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un" sheetId="1" r:id="rId4"/>
  </sheets>
  <definedNames/>
  <calcPr/>
</workbook>
</file>

<file path=xl/sharedStrings.xml><?xml version="1.0" encoding="utf-8"?>
<sst xmlns="http://schemas.openxmlformats.org/spreadsheetml/2006/main" count="30070" uniqueCount="14273">
  <si>
    <t>15000+ Prompt Collection with Resell Rights</t>
  </si>
  <si>
    <t>۱۵ هزار پرامپت چت جی پی تی</t>
  </si>
  <si>
    <t>Number</t>
  </si>
  <si>
    <t>Prompt Category</t>
  </si>
  <si>
    <t>ChatGPT Prompts with Resell Rights</t>
  </si>
  <si>
    <t>پرامپت</t>
  </si>
  <si>
    <t>Social media marketing</t>
  </si>
  <si>
    <t>You're launching a new product and want to create buzz on social media. Write a captivating tweet that grabs attention and entices users to learn more.</t>
  </si>
  <si>
    <t>Imagine you're managing a social media account for a fashion brand. Create a compelling Instagram caption that showcases the brand's latest collection and encourages users to engage with the post.</t>
  </si>
  <si>
    <t>You've been tasked with increasing engagement on a company's Facebook page. Write a Facebook post that sparks conversation and encourages followers to tag their friends.</t>
  </si>
  <si>
    <t>As a social media manager for a restaurant, write a creative tweet that promotes a limited-time offer and encourages followers to make reservations.</t>
  </si>
  <si>
    <t>You're creating a social media strategy for a fitness influencer. Craft an attention-grabbing Instagram bio that reflects the influencer's unique brand and encourages users to follow.</t>
  </si>
  <si>
    <t>You're managing a LinkedIn profile for a business consultant. Write a thought-provoking status update that positions the consultant as an industry thought leader and generates discussion among professionals.</t>
  </si>
  <si>
    <t>You're running a social media campaign for a travel agency. Write a persuasive Facebook ad copy that entices users to book their dream vacation and highlights the agency's unique offerings.</t>
  </si>
  <si>
    <t>As a social media manager, you're tasked with creating shareable content for a pet supplies brand. Write a witty and engaging tweet that showcases a new product and taps into pet owners' love for their furry friends.</t>
  </si>
  <si>
    <t>You're managing an influencer's YouTube channel focused on beauty and skincare. Write an attention-grabbing video title and description that piques viewers' curiosity and encourages them to watch and subscribe.</t>
  </si>
  <si>
    <t>You're managing a Twitter account for a tech startup. Craft a tweet that highlights an upcoming product launch, incorporates relevant hashtags, and encourages followers to retweet and spread the word.</t>
  </si>
  <si>
    <t>You're managing a social media account for a nonprofit organization. Write a heartwarming Facebook post that tells a compelling story about the impact of the organization's work and encourages followers to donate.</t>
  </si>
  <si>
    <t>As a social media manager, create a visually stunning Pinterest board for a home decor brand, curating a collection of inspirational interior design ideas.</t>
  </si>
  <si>
    <t>You're running an Instagram account for a fitness influencer. Craft a motivating and visually appealing caption to accompany a workout photo, encouraging followers to prioritize their health and fitness goals.</t>
  </si>
  <si>
    <t>Imagine you're managing a Twitter account for a software company. Write a tweet that announces a new software update, highlighting its key features and benefits for users.</t>
  </si>
  <si>
    <t>You're creating a social media strategy for a bookstore. Write a series of engaging Facebook posts that recommend popular books in different genres, enticing followers to discover their next great read.</t>
  </si>
  <si>
    <t>You're managing a LinkedIn profile for a marketing professional. Write a LinkedIn article that shares valuable insights on the latest marketing trends, positioning the professional as an industry expert.</t>
  </si>
  <si>
    <t>As a social media manager, create an attention-grabbing TikTok video for a fashion brand, showcasing a quick and trendy styling hack using their products.</t>
  </si>
  <si>
    <t>You're running a social media campaign for a coffee shop. Write an Instagram story that promotes a limited-time offer and encourages users to visit the shop and share their experience using a branded hashtag.</t>
  </si>
  <si>
    <t>You're managing a YouTube channel for a cooking enthusiast. Craft a compelling video title and description for a recipe tutorial, emphasizing the deliciousness and simplicity of the dish.</t>
  </si>
  <si>
    <t>As a social media manager, write a persuasive LinkedIn message to establish a partnership with a complementary business, highlighting the mutual benefits of collaboration.</t>
  </si>
  <si>
    <t>You're managing an influencer's Instagram account focused on travel. Write an engaging and descriptive caption for a stunning travel photo, inspiring followers to explore new destinations.</t>
  </si>
  <si>
    <t>You're running a social media contest for a beauty brand. Write a Facebook post that announces the contest, explains the rules, and encourages followers to participate for a chance to win a prize.</t>
  </si>
  <si>
    <t>As a social media manager, create a series of Instagram carousel posts for a tech startup, showcasing the step-by-step process of using their innovative product.</t>
  </si>
  <si>
    <t>You're managing a Twitter account for a music artist. Write a tweet that teases an upcoming album release, building anticipation and encouraging followers to pre-order.</t>
  </si>
  <si>
    <t>You're creating a social media strategy for a wellness coach. Write a Facebook Live event description that outlines the topic, highlights key takeaways, and encourages followers to tune in and ask questions.</t>
  </si>
  <si>
    <t>You're managing a Pinterest account for a food blogger. Create a visually appealing pin for a delicious and healthy recipe, including an enticing description and a link to the blog post.</t>
  </si>
  <si>
    <t>As a social media manager, write an attention-grabbing Snapchat story for a fashion retailer, featuring behind-the-scenes footage of a photo shoot and offering exclusive discounts for a limited time.</t>
  </si>
  <si>
    <t>You're running a social media campaign for a luxury hotel. Write an Instagram caption that paints a vivid picture of a dream vacation experience, inviting followers to book their stay.</t>
  </si>
  <si>
    <t>You're managing a YouTube channel for a personal finance expert. Craft a compelling video thumbnail and title for a video discussing practical tips for saving money.</t>
  </si>
  <si>
    <t>As a social media manager, create an informative and visually appealing infographic for a health and wellness brand, highlighting the benefits of their flagship product.</t>
  </si>
  <si>
    <t>You're running an Instagram account for a pet adoption center. Write a heartfelt caption for a photo of an adorable rescue animal, urging followers to consider adoption and share the post.</t>
  </si>
  <si>
    <t>You're managing a LinkedIn profile for a career coach. Write a LinkedIn post that offers valuable advice for job seekers, positioning the coach as a trusted resource for professional growth.</t>
  </si>
  <si>
    <t>As a social media manager, create a series of Twitter threads for a food delivery service, featuring quick and easy recipe ideas using their ingredients.</t>
  </si>
  <si>
    <t>You're creating a social media strategy for a travel agency. Write a persuasive YouTube video script that showcases the agency's exclusive travel packages and highlights the unique experiences they offer.</t>
  </si>
  <si>
    <t>You're managing a Facebook page for a local event. Write a post that announces the event, shares the lineup of activities, and encourages followers to RSVP and invite their friends.</t>
  </si>
  <si>
    <t>You're running a social media campaign for a fitness apparel brand. Write an engaging Instagram story that features customer testimonials and success stories, promoting the brand's quality and performance.</t>
  </si>
  <si>
    <t>As a social media manager, write a persuasive blog post for a digital marketing agency, explaining the benefits of outsourcing social media management and showcasing the agency's expertise.</t>
  </si>
  <si>
    <t>You're managing an influencer's Twitter account focused on personal development. Write a thought-provoking tweet that offers a valuable life lesson and encourages followers to share their own experiences.</t>
  </si>
  <si>
    <t>You're managing a LinkedIn profile for a technology startup founder. Write a LinkedIn article that shares insights on navigating challenges in the startup ecosystem, positioning the founder as a resilient and knowledgeable entrepreneur.</t>
  </si>
  <si>
    <t>As a social media manager, create an eye-catching Instagram Reel for a skincare brand, demonstrating a quick and effective skincare routine using their products.</t>
  </si>
  <si>
    <t>You're running a social media contest for a home improvement store. Write a Facebook post that invites followers to share their best DIY project photos, with the chance to win a gift card.</t>
  </si>
  <si>
    <t>You're managing a YouTube channel for a travel vlogger. Craft a compelling video title and description for a travel guide to a popular destination, highlighting unique experiences and hidden gems.</t>
  </si>
  <si>
    <t>You're creating a social media strategy for a fashion retailer. Write a series of engaging Instagram captions that accompany outfit photos, incorporating fashion tips and encouraging followers to express their personal style.</t>
  </si>
  <si>
    <t>As a social media manager, write an attention-grabbing Snapchat story for a gaming company, featuring sneak peeks of an upcoming game release and exclusive content for followers.</t>
  </si>
  <si>
    <t>You're managing a Pinterest account for a wedding planner. Create a visually stunning pinboard that showcases different wedding themes and inspires couples with creative ideas.</t>
  </si>
  <si>
    <t>You're running a social media campaign for a health and wellness app. Write an Instagram caption that highlights the app's features and benefits, encouraging users to download and prioritize their well-being.</t>
  </si>
  <si>
    <t>As a social media manager, create an engaging Twitter chat for a software company, focusing on a specific industry topic and inviting experts to participate.</t>
  </si>
  <si>
    <t>You're managing an Instagram account for a food delivery service. Write a mouthwatering caption for a photo of a delicious meal, highlighting the convenience and variety of the service.</t>
  </si>
  <si>
    <t>You're creating a social media strategy for a nonprofit organization focused on environmental conservation. Write a persuasive LinkedIn post that educates professionals about the organization's mission and encourages collaboration.</t>
  </si>
  <si>
    <t>You're managing a Facebook page for a fitness studio. Write a post that promotes a special membership offer, emphasizing the benefits of joining and achieving fitness goals together.</t>
  </si>
  <si>
    <t>As a social media manager, write a compelling blog post for a photography studio, sharing tips on capturing stunning photos for social media and promoting the studio's services.</t>
  </si>
  <si>
    <t>You're managing an influencer's YouTube channel focused on lifestyle and wellness. Craft a captivating video title and description for a video exploring healthy habits and self-care routines.</t>
  </si>
  <si>
    <t>You're running a social media contest for a fashion accessories brand. Write an Instagram post that encourages followers to share their favorite outfit accessories using a branded hashtag, with the chance to win a prize.</t>
  </si>
  <si>
    <t>As a social media manager, create a series of LinkedIn posts for a career development platform, offering valuable tips for advancing in the workplace and positioning the platform as a trusted resource.</t>
  </si>
  <si>
    <t>You're managing a Twitter account for a home decor brand. Write a tweet that showcases a customer's positive review and includes a discount code for their next purchase.</t>
  </si>
  <si>
    <t>You're creating a social media strategy for a wellness retreat. Write an attention-grabbing Facebook ad copy that invites users to unwind, relax, and rejuvenate at the retreat.</t>
  </si>
  <si>
    <t>You're managing a Pinterest account for a fitness coach. Create a visually appealing pin that features a workout routine, including a description of the benefits and a link to a full-length video.</t>
  </si>
  <si>
    <t>As a social media manager, write an informative LinkedIn post for a financial advisor, offering practical tips for budgeting and saving money.</t>
  </si>
  <si>
    <t>You're running an Instagram account for a beauty salon. Write a captivating caption for a transformation photo, showcasing the salon's expertise and inviting followers to book an appointment.</t>
  </si>
  <si>
    <t>You're managing a YouTube channel for a personal development coach. Craft a compelling video thumbnail and title for a video discussing effective goal-setting strategies.</t>
  </si>
  <si>
    <t>You're managing a social media account for a travel agency. Write a Facebook post that asks followers to share their most memorable travel experiences, generating user-generated content and engagement.</t>
  </si>
  <si>
    <t>As a social media manager, create an attention-grabbing Instagram Reel for a fitness brand, demonstrating a quick and intense workout routine using their equipment.</t>
  </si>
  <si>
    <t>You're running a social media campaign for a food delivery app. Write a tweet that promotes a limited-time discount code and encourages users to order their favorite meals.</t>
  </si>
  <si>
    <t>You're managing a LinkedIn profile for a marketing executive. Write a LinkedIn article that discusses the future trends in digital marketing and offers insights on how professionals can stay ahead of the curve.</t>
  </si>
  <si>
    <t>As a social media manager, create an eye-catching Pinterest infographic for a beauty brand, sharing skincare tips and hacks for different skin types.</t>
  </si>
  <si>
    <t>You're creating a social media strategy for a nonprofit organization focused on education. Write a persuasive Facebook Live event description that invites followers to join an educational webinar with industry experts.</t>
  </si>
  <si>
    <t>You're managing an influencer's YouTube channel focused on gaming. Craft a compelling video title and description for a live streaming session, inviting viewers to join and interact in real-time.</t>
  </si>
  <si>
    <t>You're running a social media contest for a tech gadget brand. Write an Instagram post that encourages followers to share their most creative ways of using the brand's products, with the chance to win a prize.</t>
  </si>
  <si>
    <t>As a social media manager, write an engaging Twitter thread for a book author, discussing the inspiration behind their latest novel and inviting readers to join the conversation.</t>
  </si>
  <si>
    <t>You're managing a Pinterest account for a wedding photographer. Create a visually stunning pinboard that showcases different wedding photography styles and captures the beauty of special moments.</t>
  </si>
  <si>
    <t>You're creating a social media strategy for a fitness influencer. Write a series of captivating Instagram captions that accompany transformation photos, sharing personal stories of overcoming challenges and inspiring followers.</t>
  </si>
  <si>
    <t>You're managing a Facebook page for a sustainability-focused brand. Write a post that educates followers about the brand's eco-friendly initiatives and encourages them to join the movement.</t>
  </si>
  <si>
    <t>As a social media manager, create an informative LinkedIn post for a real estate agency, offering tips on buying or selling a property in the current market.</t>
  </si>
  <si>
    <t>You're managing an Instagram account for a pet accessories brand. Write a playful and humorous caption for a photo featuring a cute pet wearing one of the brand's products.</t>
  </si>
  <si>
    <t>You're running a social media campaign for a music streaming platform. Write a Facebook ad copy that highlights the platform's extensive music library and personalized recommendations.</t>
  </si>
  <si>
    <t>As a social media manager, write a persuasive blog post for a travel gear company, featuring a list of essential items for an adventure-packed vacation.</t>
  </si>
  <si>
    <t>You're managing a YouTube channel for a fashion influencer. Craft a compelling video thumbnail and title for a 'Get Ready with Me' video, showcasing a stylish and trendy outfit.</t>
  </si>
  <si>
    <t>You're creating a social media strategy for a health and wellness coach. Write an attention-grabbing Instagram story that shares a quick wellness tip and encourages followers to prioritize self-care.</t>
  </si>
  <si>
    <t>You're managing a Twitter account for a car dealership. Write a tweet that announces a special discount on select models, emphasizing the limited availability.</t>
  </si>
  <si>
    <t>As a social media manager, create a series of Instagram carousel posts for a home organization brand, providing practical tips and showcasing their products in action.</t>
  </si>
  <si>
    <t>You're managing an influencer's Twitter account focused on personal finance. Write a tweet that shares a valuable money-saving tip and encourages followers to share their own strategies.</t>
  </si>
  <si>
    <t>You're running a social media contest for a skincare brand. Write a Facebook post that invites followers to share their skincare routines using a branded hashtag, with the chance to win a skincare bundle.</t>
  </si>
  <si>
    <t>As a social media manager, write an attention-grabbing Snapchat story for a lifestyle brand, featuring sneak peeks of upcoming product releases and exclusive discounts.</t>
  </si>
  <si>
    <t>You're managing a Pinterest account for a DIY blog. Create a visually appealing pinboard that features different home renovation projects and inspires followers with creative ideas.</t>
  </si>
  <si>
    <t>You're creating a social media strategy for a food and beverage festival. Write a persuasive YouTube video script that showcases the festival's culinary offerings and highlights special events.</t>
  </si>
  <si>
    <t>You're managing a Facebook page for a local sports team. Write a post that celebrates a recent victory and encourages followers to show their support at the next game.</t>
  </si>
  <si>
    <t>As a social media manager, write an informative LinkedIn post for a financial planner, offering tips on managing personal finances and preparing for retirement.</t>
  </si>
  <si>
    <t>You're managing an Instagram account for a fashion retailer. Write a captivating caption for an outfit-of-the-day photo, showcasing the brand's latest collection.</t>
  </si>
  <si>
    <t>You're running a social media campaign for a home decor brand. Write an Instagram caption that highlights the brand's sustainable practices and eco-friendly materials.</t>
  </si>
  <si>
    <t>As a social media manager, create an engaging Twitter chat for a health and wellness app, discussing topics such as fitness, nutrition, and mental well-being.</t>
  </si>
  <si>
    <t>You're managing a YouTube channel for a travel blogger. Craft a compelling video title and description for a vlog that explores off-the-beaten-path destinations.</t>
  </si>
  <si>
    <t>You're creating a social media strategy for a nonprofit organization focused on animal welfare. Write a persuasive Facebook Live event description that raises awareness about a specific animal rescue initiative.</t>
  </si>
  <si>
    <t>As a social media manager, write an attention-grabbing blog post for a fashion brand, discussing the latest fashion trends and providing styling tips.</t>
  </si>
  <si>
    <t>You're managing an influencer's Instagram account focused on home organization. Write an informative and visually appealing caption for a photo that showcases a clutter-free living space.</t>
  </si>
  <si>
    <t>You're running a social media contest for a tech accessories brand. Write an Instagram post that encourages followers to share their most innovative tech setups, with the chance to win a prize.</t>
  </si>
  <si>
    <t>As a social media manager, create a series of LinkedIn posts for a leadership coach, sharing valuable insights on effective leadership and professional development.</t>
  </si>
  <si>
    <t>You're managing a Pinterest account for a beauty influencer. Create a visually stunning pin that features a makeup tutorial, including step-by-step instructions and product recommendations.</t>
  </si>
  <si>
    <t>You're creating a social media strategy for a restaurant. Write a series of engaging Instagram captions that accompany mouthwatering food photos, highlighting the unique flavors and culinary expertise.</t>
  </si>
  <si>
    <t>As a social media manager, write a persuasive LinkedIn post for a software company, discussing the benefits of their latest product and how it solves common business challenges.</t>
  </si>
  <si>
    <t>You're managing a Facebook page for a wellness retreat. Write a post that invites followers to join a virtual meditation session, promoting relaxation and mindfulness.</t>
  </si>
  <si>
    <t>You're running an Instagram account for a coffee brand. Write a captivating caption for a photo that showcases the artistry of latte foam designs.</t>
  </si>
  <si>
    <t>As a social media manager, create an informative Twitter thread for a health and fitness coach, offering practical tips for maintaining a balanced lifestyle.</t>
  </si>
  <si>
    <t>You're managing a LinkedIn profile for a freelance graphic designer. Write a LinkedIn article that shares insights on the importance of visual branding for businesses.</t>
  </si>
  <si>
    <t>You're creating a social media strategy for a nonprofit organization focused on mental health. Write a persuasive Facebook post that encourages followers to donate and support their mission.</t>
  </si>
  <si>
    <t>As a social media manager, write an engaging blog post for a music streaming platform, discussing the impact of music on mental well-being and productivity.</t>
  </si>
  <si>
    <t>You're managing an influencer's YouTube channel focused on fashion hauls. Craft a compelling video thumbnail and title for a video showcasing the latest fashion trends.</t>
  </si>
  <si>
    <t>You're running a social media campaign for a sustainable fashion brand. Write an Instagram caption that highlights the brand's commitment to ethical production and eco-friendly materials.</t>
  </si>
  <si>
    <t>As a social media manager, create a series of Pinterest graphics for a wellness coach, featuring inspirational quotes and wellness tips.</t>
  </si>
  <si>
    <t>You're managing a Twitter account for a tech news website. Write a tweet that announces the latest tech industry update and encourages followers to read the full article.</t>
  </si>
  <si>
    <t>You're creating a social media strategy for a nonprofit organization focused on education. Write a persuasive YouTube video script that shares success stories of students benefiting from the organization's programs.</t>
  </si>
  <si>
    <t>You're managing a social media account for a fitness influencer. Write an Instagram post that showcases a before-and-after transformation photo, highlighting the individual's fitness journey and inspiring followers.</t>
  </si>
  <si>
    <t>As a social media manager, create an attention-grabbing YouTube thumbnail and title for a video tutorial on using social media for business growth.</t>
  </si>
  <si>
    <t>You're running a social media campaign for a home decor brand. Write a Facebook post that asks followers to share their favorite interior design tips, generating user-generated content and engagement.</t>
  </si>
  <si>
    <t>You're managing a LinkedIn profile for a professional photographer. Write a LinkedIn article that shares insights on capturing stunning photos and positioning the photographer as an expert in their field.</t>
  </si>
  <si>
    <t>As a social media manager, create an informative Twitter thread for a technology blog, discussing the latest gadgets and their impact on daily life.</t>
  </si>
  <si>
    <t>You're creating a social media strategy for a nonprofit organization focused on environmental conservation. Write a persuasive Instagram caption that raises awareness about an endangered species and encourages followers to take action.</t>
  </si>
  <si>
    <t>You're managing an influencer's Instagram account focused on fashion. Write a caption for a photo that showcases a trendy outfit, incorporating fashion tips and encouraging followers to express their personal style.</t>
  </si>
  <si>
    <t>You're running a social media contest for a wellness brand. Write a tweet that encourages followers to share their self-care routines, with the chance to win a wellness package.</t>
  </si>
  <si>
    <t>As a social media manager, write an engaging blog post for a digital marketing agency, discussing the impact of social media on brand visibility and customer engagement.</t>
  </si>
  <si>
    <t>You're managing a Pinterest account for a recipe blog. Create a visually appealing pinboard that features healthy and delicious recipes, providing inspiration for followers.</t>
  </si>
  <si>
    <t>You're creating a social media strategy for a travel influencer. Write a persuasive Facebook Live event description that invites followers to join a virtual Q&amp;A session about travel tips and destinations.</t>
  </si>
  <si>
    <t>As a social media manager, create an attention-grabbing Snapchat story for a fashion brand, showcasing behind-the-scenes footage of a photoshoot or runway show.</t>
  </si>
  <si>
    <t>You're managing a Facebook page for a local business. Write a post that announces a special event or promotion, encouraging followers to visit and support the business.</t>
  </si>
  <si>
    <t>You're running a social media campaign for a technology startup. Write an Instagram caption that highlights the innovative features of their product and encourages followers to try it out.</t>
  </si>
  <si>
    <t>As a social media manager, write an informative LinkedIn post for a personal finance expert, offering practical tips on budgeting and saving money.</t>
  </si>
  <si>
    <t>You're managing an Instagram account for a pet shelter. Write a heartfelt caption for a photo of an adorable adoptable pet, inviting followers to consider adoption.</t>
  </si>
  <si>
    <t>You're creating a social media strategy for a nonprofit organization focused on education. Write a persuasive Twitter thread that highlights the importance of equal access to education and encourages donations.</t>
  </si>
  <si>
    <t>As a social media manager, create a series of Pinterest graphics for a wedding planner, featuring wedding inspiration and tips for planning the perfect day.</t>
  </si>
  <si>
    <t>You're managing a YouTube channel for a beauty influencer. Craft a compelling video title and description for a makeup tutorial, showcasing a trendy makeup look.</t>
  </si>
  <si>
    <t>You're running a social media contest for a sports apparel brand. Write an Instagram post that encourages followers to share their fitness goals, with the chance to win a workout gear set.</t>
  </si>
  <si>
    <t>As a social media manager, write an informative blog post for a nutritionist, discussing the benefits of a balanced diet and offering healthy recipe ideas.</t>
  </si>
  <si>
    <t>You're managing an influencer's Twitter account focused on personal development. Write a tweet that shares a motivational quote and encourages followers to set goals for self-improvement.</t>
  </si>
  <si>
    <t>You're creating a social media strategy for a restaurant. Write a persuasive Facebook post that highlights the unique dining experience and mouthwatering menu options.</t>
  </si>
  <si>
    <t>As a social media manager, create an engaging LinkedIn post for a career coach, offering tips on job searching and professional development.</t>
  </si>
  <si>
    <t>You're managing a Pinterest account for a travel agency. Create a visually stunning pinboard that features dream travel destinations, inspiring wanderlust in followers.</t>
  </si>
  <si>
    <t>You're running a social media campaign for a skincare brand. Write an Instagram caption that educates followers about the benefits of their products and encourages a skincare routine.</t>
  </si>
  <si>
    <t>As a social media manager, write an attention-grabbing Twitter thread for a fashion designer, discussing the inspiration behind their latest collection.</t>
  </si>
  <si>
    <t>You're managing a LinkedIn profile for a business consultant. Write a LinkedIn article that shares insights on improving productivity and efficiency in the workplace.</t>
  </si>
  <si>
    <t>You're creating a social media strategy for a nonprofit organization focused on animal rights. Write a persuasive Facebook Live event description that advocates for responsible pet ownership.</t>
  </si>
  <si>
    <t>As a social media manager, create a series of Instagram carousel posts for a personal trainer, showcasing different workout routines and fitness tips.</t>
  </si>
  <si>
    <t>You're managing a YouTube channel for a cooking enthusiast. Craft a compelling video thumbnail and title for a recipe video, featuring a delicious and easy-to-make dish.</t>
  </si>
  <si>
    <t>You're running a social media contest for a fashion accessories brand. Write an Instagram post that encourages followers to share their favorite accessory styling tips, with the chance to win a gift card.</t>
  </si>
  <si>
    <t>As a social media manager, write an engaging blog post for a wellness coach, discussing the importance of self-care and providing practical tips for incorporating it into daily life.</t>
  </si>
  <si>
    <t>You're managing an influencer's Instagram account focused on home decor. Write a caption for a photo that showcases a beautifully styled room, offering design tips and encouraging followers to create their own sanctuary.</t>
  </si>
  <si>
    <t>You're creating a social media strategy for a nonprofit organization focused on mental health. Write a persuasive Twitter thread that raises awareness about mental health issues and promotes the organization's resources.</t>
  </si>
  <si>
    <t>As a social media manager, create an informative LinkedIn post for a software company, discussing the benefits of their latest product and how it improves productivity.</t>
  </si>
  <si>
    <t>You're managing a Facebook page for a travel agency. Write a post that highlights a unique travel destination and invites followers to book their next adventure.</t>
  </si>
  <si>
    <t>You're running a social media campaign for a fitness apparel brand. Write an Instagram caption that inspires followers to embrace an active lifestyle and showcases the brand's products in action.</t>
  </si>
  <si>
    <t>As a social media manager, write a persuasive blog post for a digital product creator, discussing the benefits of their product and how it solves a common problem.</t>
  </si>
  <si>
    <t>You're managing a Pinterest account for a beauty influencer. Create a visually stunning pin that features a makeup tutorial, highlighting a specific makeup technique or trend.</t>
  </si>
  <si>
    <t>You're creating a social media strategy for a nonprofit organization focused on environmental sustainability. Write a persuasive Facebook post that raises awareness about the importance of recycling and offers practical tips.</t>
  </si>
  <si>
    <t>As a social media manager, create an attention-grabbing YouTube thumbnail and title for a video discussing the latest social media trends and strategies.</t>
  </si>
  <si>
    <t>You're managing an Instagram account for a food blog. Write a captivating caption for a photo of a mouthwatering dish, including the recipe and inviting followers to try it themselves.</t>
  </si>
  <si>
    <t>You're running a social media contest for a tech gadget brand. Write a tweet that encourages followers to share their innovative ideas for using the brand's products, with the chance to win a new gadget.</t>
  </si>
  <si>
    <t>As a social media manager, write an informative LinkedIn post for a business coach, offering tips on effective networking and building professional relationships.</t>
  </si>
  <si>
    <t>You're managing a YouTube channel for a lifestyle influencer. Craft a compelling video title and description for a video discussing self-improvement and personal growth.</t>
  </si>
  <si>
    <t>You're creating a social media strategy for a nonprofit organization focused on education. Write a persuasive Instagram caption that highlights the impact of education on individuals and society.</t>
  </si>
  <si>
    <t>As a social media manager, create a series of Twitter posts for a marketing agency, sharing quick marketing tips and industry insights.</t>
  </si>
  <si>
    <t>You're managing a Facebook page for a fashion retailer. Write a post that showcases a new collection and offers a special discount code for followers.</t>
  </si>
  <si>
    <t>You're running a social media campaign for a sustainable living brand. Write an Instagram caption that educates followers about eco-friendly lifestyle choices and encourages sustainable habits.</t>
  </si>
  <si>
    <t>As a social media manager, write an engaging blog post for a travel agency, highlighting hidden gems in a popular travel destination.</t>
  </si>
  <si>
    <t>You're managing an influencer's Twitter account focused on personal finance. Write a tweet that shares a money-saving tip and encourages followers to take control of their finances.</t>
  </si>
  <si>
    <t>You're creating a social media strategy for a restaurant. Write a persuasive LinkedIn post that promotes the restaurant's unique menu items and highlights positive customer reviews.</t>
  </si>
  <si>
    <t>As a social media manager, create an informative Facebook Live event for a health and wellness expert, discussing the benefits of a balanced diet and answering viewers' questions.</t>
  </si>
  <si>
    <t>You're managing a Pinterest account for a DIY blog. Create a visually appealing pinboard that features easy and creative DIY projects, inspiring followers to get creative.</t>
  </si>
  <si>
    <t>You're running a social media contest for a beauty brand. Write an Instagram post that encourages followers to share their favorite makeup looks, with the chance to win a beauty bundle.</t>
  </si>
  <si>
    <t>As a social media manager, write an attention-grabbing blog post for a fitness coach, discussing the importance of setting realistic goals and maintaining motivation.</t>
  </si>
  <si>
    <t>You're managing an Instagram account for a pet supplies retailer. Write a caption for a photo that showcases a cute pet and promotes a new product or special offer.</t>
  </si>
  <si>
    <t>You're creating a social media strategy for a nonprofit organization focused on children's education. Write a persuasive Twitter thread that advocates for access to quality education for all children.</t>
  </si>
  <si>
    <t>As a social media manager, create a series of Instagram stories for a travel influencer, documenting their recent trip and sharing travel tips and recommendations.</t>
  </si>
  <si>
    <t>You're managing a YouTube channel for a tech reviewer. Craft a compelling video thumbnail and title for a video reviewing the latest smartphone.</t>
  </si>
  <si>
    <t>You're running a social media campaign for a sustainable fashion brand. Write an Instagram caption that highlights the brand's eco-friendly materials and ethical manufacturing practices.</t>
  </si>
  <si>
    <t>As a social media manager, write an informative LinkedIn post for a business consultant, offering insights on effective leadership and organizational strategies.</t>
  </si>
  <si>
    <t>You're managing a Facebook page for a nonprofit organization focused on animal welfare. Write a post that invites followers to volunteer at an upcoming animal adoption event.</t>
  </si>
  <si>
    <t>You're creating a social media strategy for a startup company. Write a persuasive Facebook post that introduces the company's innovative product and invites followers to sign up for early access.</t>
  </si>
  <si>
    <t>As a social media manager, create an engaging Pinterest infographic for a health and wellness coach, sharing tips for stress management and self-care.</t>
  </si>
  <si>
    <t>You're managing an influencer's Instagram account focused on fashion. Write a caption for a photo that showcases a trendy outfit, providing styling tips and promoting the featured clothing items.</t>
  </si>
  <si>
    <t>You're running a social media contest for a sports brand. Write a tweet that encourages followers to share their favorite workout routines, with the chance to win a fitness package.</t>
  </si>
  <si>
    <t>As a social media manager, write an informative blog post for a marketing agency, discussing the latest trends in digital advertising.</t>
  </si>
  <si>
    <t>You're managing a Pinterest account for a home decor blog. Create a visually appealing pinboard that features interior design inspirations for different rooms.</t>
  </si>
  <si>
    <t>You're creating a social media strategy for a nonprofit organization focused on healthcare. Write a persuasive Instagram caption that highlights the importance of access to quality healthcare and calls for donations.</t>
  </si>
  <si>
    <t>As a social media manager, create an attention-grabbing YouTube thumbnail and title for a video discussing the best strategies for building an online presence.</t>
  </si>
  <si>
    <t>You're managing an Instagram account for a food delivery service. Write a caption for a photo that showcases a delicious meal, inviting followers to order and enjoy it.</t>
  </si>
  <si>
    <t>You're running a social media campaign for a technology company. Write an Instagram caption that introduces a new product release and encourages followers to pre-order.</t>
  </si>
  <si>
    <t>As a social media manager, write an engaging LinkedIn post for a career counselor, offering advice on job interviews and resume writing.</t>
  </si>
  <si>
    <t>You're managing a YouTube channel for a lifestyle influencer. Craft a compelling video title and description for a video showcasing a day in the life and offering productivity tips.</t>
  </si>
  <si>
    <t>You're creating a social media strategy for a nonprofit organization focused on environmental conservation. Write a persuasive Facebook post that raises awareness about the impact of plastic pollution and promotes sustainable alternatives.</t>
  </si>
  <si>
    <t>As a social media manager, create a series of Twitter posts for a fitness expert, sharing quick workout tips and inspirational quotes.</t>
  </si>
  <si>
    <t>You're managing a Facebook page for a fashion retailer. Write a post that highlights a fashion trend and offers styling suggestions using the store's latest collection.</t>
  </si>
  <si>
    <t>You're running a social media contest for a tech gadget brand. Write an Instagram post that encourages followers to share their innovative ideas for using the brand's products, with the chance to win a prize package.</t>
  </si>
  <si>
    <t>As a social media manager, write an informative blog post for a wellness coach, discussing the benefits of mindfulness and offering tips for incorporating it into daily life.</t>
  </si>
  <si>
    <t>You're managing an influencer's Instagram account focused on home decor. Write a caption for a photo that showcases a beautifully styled room, providing design tips and promoting the featured decor items.</t>
  </si>
  <si>
    <t>You're creating a social media strategy for a nonprofit organization focused on mental health. Write a persuasive Twitter thread that raises awareness about mental health stigmas and promotes the organization's resources.</t>
  </si>
  <si>
    <t>As a social media manager, create an attention-grabbing LinkedIn post for a software company, discussing the key features of their new software release.</t>
  </si>
  <si>
    <t>You're managing a Facebook page for a travel agency. Write a post that highlights a unique travel destination and offers a limited-time discount for bookings.</t>
  </si>
  <si>
    <t>You're running a social media campaign for a fitness apparel brand. Write an Instagram caption that motivates followers to stay active and showcases the brand's latest activewear collection.</t>
  </si>
  <si>
    <t>As a social media manager, write a persuasive blog post for a nutritionist, discussing the importance of healthy eating habits and providing practical tips for balanced nutrition.</t>
  </si>
  <si>
    <t>You're managing an Instagram account for a pet shelter. Write a heartfelt caption for a photo of a rescued pet, encouraging followers to consider adoption and support the shelter.</t>
  </si>
  <si>
    <t>You're creating a social media strategy for a nonprofit organization focused on children's education. Write a persuasive Facebook post that advocates for inclusive education and emphasizes the importance of equal opportunities.</t>
  </si>
  <si>
    <t>As a social media manager, create a series of Instagram stories for a travel influencer, sharing travel tips, and behind-the-scenes footage from their latest adventure.</t>
  </si>
  <si>
    <t>You're managing a YouTube channel for a cooking enthusiast. Craft a compelling video thumbnail and title for a recipe video, featuring a mouthwatering dessert.</t>
  </si>
  <si>
    <t>You're running a social media contest for a fashion accessories brand. Write an Instagram post that encourages followers to share their favorite accessory combinations, with the chance to win a shopping spree.</t>
  </si>
  <si>
    <t>As a social media manager, write an engaging blog post for a wellness coach, discussing the benefits of regular exercise and providing workout suggestions for different fitness levels.</t>
  </si>
  <si>
    <t>You're managing an influencer's Twitter account focused on personal development. Write a tweet that shares a valuable life lesson and encourages followers to reflect on their personal growth.</t>
  </si>
  <si>
    <t>You're creating a social media strategy for a nonprofit organization focused on environmental sustainability. Write a persuasive Instagram caption that educates followers about the importance of renewable energy and encourages sustainable choices.</t>
  </si>
  <si>
    <t>As a social media manager, create an informative LinkedIn post for a business consultant, offering tips on effective communication and relationship building with clients.</t>
  </si>
  <si>
    <t>You're managing a Facebook page for a nonprofit organization focused on animal welfare. Write a post that showcases a heartwarming animal rescue story and invites followers to donate.</t>
  </si>
  <si>
    <t>You're running a social media campaign for a sustainable fashion brand. Write an Instagram caption that highlights the brand's eco-friendly manufacturing process and encourages conscious shopping.</t>
  </si>
  <si>
    <t>As a social media manager, write an attention-grabbing blog post for a tech blog, discussing the latest gadgets and their impact on everyday life.</t>
  </si>
  <si>
    <t>You're managing an Instagram account for a food blog. Write a caption for a photo that features a delicious and healthy recipe, encouraging followers to try it out and share their results.</t>
  </si>
  <si>
    <t>You're managing a Pinterest account for a wedding planner. Create a visually appealing pinboard that features wedding decor inspirations and tips for brides-to-be.</t>
  </si>
  <si>
    <t>As a social media manager, write an engaging LinkedIn post for a digital marketing agency, discussing the importance of data analytics in optimizing marketing campaigns.</t>
  </si>
  <si>
    <t>You're running a social media contest for a beauty brand. Write an Instagram post that encourages followers to share their favorite makeup looks, with the chance to win a beauty makeover.</t>
  </si>
  <si>
    <t>You're creating a social media strategy for a nonprofit organization focused on empowering women. Write a persuasive Facebook post that raises awareness about gender equality and showcases success stories.</t>
  </si>
  <si>
    <t>As a social media manager, create an informative YouTube video for a finance expert, discussing effective budgeting techniques and tips for saving money.</t>
  </si>
  <si>
    <t>You're managing an Instagram account for a fitness influencer. Write a caption for a workout photo that inspires followers to prioritize their health and fitness goals.</t>
  </si>
  <si>
    <t>You're running a social media campaign for a sustainable lifestyle brand. Write an Instagram caption that promotes eco-friendly practices and encourages followers to make conscious choices.</t>
  </si>
  <si>
    <t>As a social media manager, write an attention-grabbing blog post for a travel agency, featuring a list of must-visit destinations for adventure enthusiasts.</t>
  </si>
  <si>
    <t>You're managing a Facebook page for a fashion retailer. Write a post that showcases a new clothing collection and offers a limited-time discount code for followers.</t>
  </si>
  <si>
    <t>You're creating a social media strategy for a nonprofit organization focused on education. Write a persuasive Twitter thread that advocates for equal access to education and highlights the organization's initiatives.</t>
  </si>
  <si>
    <t>As a social media manager, create a series of Instagram stories for a wellness coach, sharing quick self-care tips and promoting their upcoming workshop.</t>
  </si>
  <si>
    <t>You're managing a YouTube channel for a gaming content creator. Craft a compelling video title and description for a gameplay video, featuring a highly anticipated new release.</t>
  </si>
  <si>
    <t>You're running a social media contest for a tech gadget brand. Write a tweet that encourages followers to share their innovative ideas for the future of technology, with the chance to win the latest gadget.</t>
  </si>
  <si>
    <t>As a social media manager, write an informative LinkedIn post for a career counselor, offering tips on personal branding and job search strategies.</t>
  </si>
  <si>
    <t>You're managing an Instagram account for a pet food brand. Write a caption for a photo that showcases a happy pet enjoying their nutritious meal, promoting the brand's high-quality products.</t>
  </si>
  <si>
    <t>You're creating a social media strategy for a nonprofit organization focused on environmental conservation. Write a persuasive Facebook post that raises awareness about the impact of climate change and calls for action.</t>
  </si>
  <si>
    <t>As a social media manager, create an engaging Pinterest infographic for a health and wellness expert, sharing tips for maintaining a balanced lifestyle.</t>
  </si>
  <si>
    <t>You're managing a Facebook page for a technology news website. Write a post that highlights the latest tech trends and invites followers to join the conversation.</t>
  </si>
  <si>
    <t>You're running a social media campaign for a fitness apparel brand. Write an Instagram caption that empowers followers to embrace their active lifestyle and showcases the brand's stylish activewear.</t>
  </si>
  <si>
    <t>As a social media manager, write a persuasive blog post for a nutritionist, discussing the importance of mindful eating and providing practical tips for developing healthy eating habits.</t>
  </si>
  <si>
    <t>You're managing an influencer's Twitter account focused on personal development. Write a tweet that shares a motivational quote and encourages followers to take steps towards achieving their goals.</t>
  </si>
  <si>
    <t>You're creating a social media strategy for a nonprofit organization focused on children's education. Write a persuasive Instagram caption that advocates for inclusive and quality education for every child.</t>
  </si>
  <si>
    <t>As a social media manager, create an attention-grabbing LinkedIn post for a software company, introducing their innovative new product and highlighting its key features.</t>
  </si>
  <si>
    <t>You're managing a Facebook page for a travel agency. Write a post that showcases a unique travel destination and offers a special discount for bookings made within a certain timeframe.</t>
  </si>
  <si>
    <t>You're running a social media contest for a fashion brand. Write an Instagram post that encourages followers to share their most stylish outfit using the brand's hashtag, with the chance to be featured on their page.</t>
  </si>
  <si>
    <t>As a social media manager, write an engaging blog post for a wellness influencer, discussing the benefits of mindfulness and providing practical tips for practicing mindfulness in daily life.</t>
  </si>
  <si>
    <t>You're managing an Instagram account for a sustainable living blog. Write a caption for a photo that showcases eco-friendly products and encourages followers to make sustainable choices.</t>
  </si>
  <si>
    <t>You're creating a social media strategy for a nonprofit organization focused on healthcare. Write a persuasive Twitter thread that highlights the importance of accessible healthcare for all and raises awareness about the organization's initiatives.</t>
  </si>
  <si>
    <t>As a social media manager, create a series of Instagram stories for a fashion influencer, sharing fashion tips, outfit inspirations, and behind-the-scenes footage from fashion events.</t>
  </si>
  <si>
    <t>You're managing a YouTube channel for a cooking channel. Craft a compelling video thumbnail and title for a recipe video, featuring a delicious and healthy dish.</t>
  </si>
  <si>
    <t>You're running a social media campaign for a tech company. Write an Instagram caption that introduces their latest product release and highlights its innovative features.</t>
  </si>
  <si>
    <t>You're managing a Facebook page for a nonprofit organization focused on animal welfare. Write a post that shares an inspiring animal rescue story and encourages followers to support the cause.</t>
  </si>
  <si>
    <t>You're creating a social media strategy for a startup company. Write a persuasive Facebook post that introduces the company's mission and invites followers to join their journey.</t>
  </si>
  <si>
    <t>As a social media manager, create an attention-grabbing Pinterest infographic for a tech blog, sharing the latest tech hacks and gadgets.</t>
  </si>
  <si>
    <t>You're managing an Instagram account for a home decor brand. Write a caption for a photo that showcases a beautifully designed room and promotes the brand's furniture collection.</t>
  </si>
  <si>
    <t>You're running a social media contest for a fitness brand. Write a tweet that encourages followers to share their fitness transformation stories, with the chance to win a year's supply of fitness products.</t>
  </si>
  <si>
    <t>As a social media manager, write an engaging blog post for a marketing agency, discussing the power of influencer marketing and providing tips for successful collaborations.</t>
  </si>
  <si>
    <t>You're managing an influencer's Instagram account focused on beauty. Write a caption for a photo that showcases a makeup look, featuring the products used and offering makeup tips.</t>
  </si>
  <si>
    <t>You're creating a social media strategy for a nonprofit organization focused on environmental sustainability. Write a persuasive Twitter thread that educates followers about the importance of recycling and provides practical tips for reducing waste.</t>
  </si>
  <si>
    <t>As a social media manager, create a series of Instagram stories for a travel influencer, sharing travel tips, and insider recommendations for a popular tourist destination.</t>
  </si>
  <si>
    <t>You're managing a YouTube channel for a technology reviewer. Craft a compelling video title and description for a review video, featuring the latest gadgets and their pros and cons.</t>
  </si>
  <si>
    <t>You're running a social media campaign for a sustainable fashion brand. Write an Instagram caption that highlights the brand's eco-friendly materials and ethical production practices.</t>
  </si>
  <si>
    <t>As a social media manager, write an informative LinkedIn post for a career coach, offering insights on personal branding and effective job search strategies.</t>
  </si>
  <si>
    <t>You're managing a Facebook page for a food blog. Write a post that showcases a mouthwatering recipe and encourages followers to try it out and share their experience.</t>
  </si>
  <si>
    <t>You're creating a social media strategy for a nonprofit organization focused on promoting literacy. Write a persuasive Facebook post that emphasizes the importance of reading and encourages followers to donate books.</t>
  </si>
  <si>
    <t>As a social media manager, create an engaging Pinterest board for a lifestyle influencer, featuring tips for a healthy and balanced lifestyle, inspirational quotes, and self-care ideas.</t>
  </si>
  <si>
    <t>You're managing an Instagram account for a pet accessories brand. Write a caption for a photo that showcases a cute pet wearing the brand's accessories, and offers a discount code for followers.</t>
  </si>
  <si>
    <t>You're running a social media contest for a technology brand. Write an Instagram post that encourages followers to share their innovative tech ideas, with the chance to win a prize package.</t>
  </si>
  <si>
    <t>As a social media manager, write an attention-grabbing blog post for a nutrition blog, discussing the benefits of a plant-based diet and providing plant-based recipe ideas.</t>
  </si>
  <si>
    <t>Content creation</t>
  </si>
  <si>
    <t>Explore the power of storytelling and its impact on audience engagement.</t>
  </si>
  <si>
    <t>Share effective techniques for creating visually appealing content.</t>
  </si>
  <si>
    <t>Discuss the importance of creating valuable and informative content for your audience.</t>
  </si>
  <si>
    <t>Dive into the art of crafting compelling headlines that grab attention.</t>
  </si>
  <si>
    <t>Explore the benefits of repurposing content across different platforms.</t>
  </si>
  <si>
    <t>Share tips for conducting thorough research to enhance the quality of your content.</t>
  </si>
  <si>
    <t>Discuss the role of emotions in creating content that resonates with your audience.</t>
  </si>
  <si>
    <t>Explore different content formats, such as videos, infographics, and podcasts.</t>
  </si>
  <si>
    <t>Discuss strategies for optimizing content for search engines (SEO).</t>
  </si>
  <si>
    <t>Share tips for building a strong brand voice and tone in your content.</t>
  </si>
  <si>
    <t>Explore the concept of evergreen content and its long-term value.</t>
  </si>
  <si>
    <t>Discuss the significance of user-generated content and how to leverage it effectively.</t>
  </si>
  <si>
    <t>Share practical tips for overcoming writer's block and boosting creativity.</t>
  </si>
  <si>
    <t>Discuss the ethical considerations of content creation, such as plagiarism and copyright.</t>
  </si>
  <si>
    <t>Explore the impact of visuals in content and ways to create visually stunning designs.</t>
  </si>
  <si>
    <t>Discuss the importance of consistency in content creation and maintaining a publishing schedule.</t>
  </si>
  <si>
    <t>Share tips for effective content promotion across social media channels.</t>
  </si>
  <si>
    <t>Dive into the world of influencer marketing and its role in content creation.</t>
  </si>
  <si>
    <t>Discuss the power of storytelling in brand marketing and building customer loyalty.</t>
  </si>
  <si>
    <t>Explore the concept of audience persona and tailoring content to specific demographics.</t>
  </si>
  <si>
    <t>Share strategies for creating engaging and interactive content to boost audience participation.</t>
  </si>
  <si>
    <t>Discuss the role of analytics in measuring content performance and making data-driven decisions.</t>
  </si>
  <si>
    <t>Explore the psychology behind persuasive writing techniques for content creation.</t>
  </si>
  <si>
    <t>Share tips for conducting interviews and incorporating them into content pieces.</t>
  </si>
  <si>
    <t>Discuss the benefits of collaborating with other content creators for cross-promotion.</t>
  </si>
  <si>
    <t>Explore the role of authenticity and transparency in content creation.</t>
  </si>
  <si>
    <t>Discuss the impact of mobile optimization on content consumption and user experience.</t>
  </si>
  <si>
    <t>Share tips for crafting compelling introductions that captivate readers from the start.</t>
  </si>
  <si>
    <t>Explore the benefits of incorporating storytelling elements into marketing copy.</t>
  </si>
  <si>
    <t>Discuss the role of content curation in providing value to your audience.</t>
  </si>
  <si>
    <t>Share tips for creating content that sparks meaningful conversations and encourages dialogue.</t>
  </si>
  <si>
    <t>Dive into the world of influencer collaborations and how they can amplify your content reach.</t>
  </si>
  <si>
    <t>Discuss strategies for repackaging old content and giving it a fresh spin.</t>
  </si>
  <si>
    <t>Explore the concept of content pillars and organizing your content around key themes.</t>
  </si>
  <si>
    <t>Share tips for effective proofreading and editing to ensure error-free content.</t>
  </si>
  <si>
    <t>Discuss the impact of visual branding elements, such as logos and color schemes, on content.</t>
  </si>
  <si>
    <t>Explore the benefits of creating content clusters to establish topical authority.</t>
  </si>
  <si>
    <t>Share tips for incorporating storytelling techniques into social media captions.</t>
  </si>
  <si>
    <t>Discuss the role of emotions in creating viral content that resonates with a wide audience.</t>
  </si>
  <si>
    <t>Explore the impact of user experience (UX) design on content consumption and engagement.</t>
  </si>
  <si>
    <t>Share strategies for repurposing long-form content into bite-sized snippets for social media.</t>
  </si>
  <si>
    <t>Discuss the benefits of incorporating data and statistics to support your content claims.</t>
  </si>
  <si>
    <t>Explore the role of content partnerships and collaborations in expanding your reach.</t>
  </si>
  <si>
    <t>Share tips for creating content that addresses the pain points and challenges of your audience.</t>
  </si>
  <si>
    <t>Discuss the significance of content distribution channels beyond traditional social media platforms.</t>
  </si>
  <si>
    <t>Explore the benefits of incorporating multimedia elements, such as videos and images, into blog posts.</t>
  </si>
  <si>
    <t>Share strategies for creating content that educates and empowers your audience.</t>
  </si>
  <si>
    <t>Discuss the impact of personalization in content creation and tailoring content to individual preferences.</t>
  </si>
  <si>
    <t>Explore the benefits of repurposing user-generated content as testimonials and social proof.</t>
  </si>
  <si>
    <t>Share tips for effective call-to-action (CTA) placement to drive desired actions from your audience.</t>
  </si>
  <si>
    <t>Discuss the role of empathy in creating content that connects with your audience.</t>
  </si>
  <si>
    <t>Share tips for crafting compelling storytelling in your brand's origin story.</t>
  </si>
  <si>
    <t>Explore the concept of content localization and tailoring your message to different cultures.</t>
  </si>
  <si>
    <t>Discuss the benefits of conducting surveys and polls to gather audience insights for content creation.</t>
  </si>
  <si>
    <t>Share strategies for leveraging user-generated content as social proof in your marketing efforts.</t>
  </si>
  <si>
    <t>Explore the impact of emotional storytelling in nonprofit and cause-related content.</t>
  </si>
  <si>
    <t>Discuss the benefits of incorporating humor and lightheartedness into your content.</t>
  </si>
  <si>
    <t>Share tips for creating content that educates and guides your audience through a step-by-step process.</t>
  </si>
  <si>
    <t>Explore the concept of gamification in content creation and how it can boost engagement.</t>
  </si>
  <si>
    <t>Discuss the impact of long-form content, such as comprehensive guides and whitepapers, in establishing thought leadership.</t>
  </si>
  <si>
    <t>Share strategies for creating content that addresses the frequently asked questions and pain points of your audience.</t>
  </si>
  <si>
    <t>Explore the benefits of repurposing webinar recordings into on-demand content for ongoing engagement.</t>
  </si>
  <si>
    <t>Discuss the role of interactive quizzes and assessments in capturing audience attention and driving engagement.</t>
  </si>
  <si>
    <t>Share tips for incorporating data visualization techniques, such as charts and graphs, to enhance content effectiveness.</t>
  </si>
  <si>
    <t>Explore the concept of content partnerships with complementary brands to reach new audiences.</t>
  </si>
  <si>
    <t>Discuss the benefits of conducting expert interviews and featuring them in your content.</t>
  </si>
  <si>
    <t>Share strategies for leveraging user reviews and testimonials as compelling social proof for your products or services.</t>
  </si>
  <si>
    <t>Explore the impact of personal anecdotes and real-life examples in making your content relatable and engaging.</t>
  </si>
  <si>
    <t>Discuss the role of content syndication and guest blogging in expanding your content reach.</t>
  </si>
  <si>
    <t>Share tips for conducting keyword research and incorporating relevant keywords into your content for SEO optimization.</t>
  </si>
  <si>
    <t>Explore the benefits of creating content clusters to establish a comprehensive resource hub on a specific topic.</t>
  </si>
  <si>
    <t>Discuss the role of emotion-triggering visuals, such as captivating images and illustrations, in content creation.</t>
  </si>
  <si>
    <t>Share strategies for creating content that taps into current trends and timely topics to increase relevance.</t>
  </si>
  <si>
    <t>Explore the concept of repurposing live event recordings, such as conferences or workshops, into valuable content assets.</t>
  </si>
  <si>
    <t>Discuss the benefits of incorporating case studies and success stories to showcase the impact of your products or services.</t>
  </si>
  <si>
    <t>Share tips for effective content collaboration with influencers and industry experts.</t>
  </si>
  <si>
    <t>Explore the impact of inclusivity and diversity in content creation and representation.</t>
  </si>
  <si>
    <t>Discuss the role of content upgrades, such as downloadable resources or exclusive content, in growing your email list.</t>
  </si>
  <si>
    <t>Share strategies for creating content that addresses common myths or misconceptions in your industry.</t>
  </si>
  <si>
    <t>Explore the benefits of using storytelling frameworks, such as the hero's journey or problem-solution format, to structure your content.</t>
  </si>
  <si>
    <t>Discuss the impact of social listening and monitoring on understanding audience needs and creating relevant content.</t>
  </si>
  <si>
    <t>Share tips for creating content that sparks conversations and encourages audience engagement through comments and discussions.</t>
  </si>
  <si>
    <t>Explore the concept of evergreen content and its long-term value in driving consistent traffic and engagement.</t>
  </si>
  <si>
    <t>Discuss the role of user personas in tailoring your content to specific target audiences.</t>
  </si>
  <si>
    <t>Share strategies for repurposing blog content into engaging social media posts and vice versa.</t>
  </si>
  <si>
    <t>Explore the benefits of conducting competitor analysis to identify content gaps and opportunities.</t>
  </si>
  <si>
    <t>Discuss the impact of visual storytelling through platforms like Instagram Stories or Snapchat.</t>
  </si>
  <si>
    <t>Share tips for optimizing content for voice search to cater to the growing popularity of voice-activated devices.</t>
  </si>
  <si>
    <t>Explore the concept of content gateways and creating exclusive content for your loyal audience or subscribers.</t>
  </si>
  <si>
    <t>Discuss the role of content audits in evaluating the performance and relevance of your existing content.</t>
  </si>
  <si>
    <t>Share strategies for creating content that aligns with your brand values and resonates with your target audience.</t>
  </si>
  <si>
    <t>Explore the benefits of creating content series or serialized content to keep your audience engaged and coming back for more.</t>
  </si>
  <si>
    <t>Discuss the impact of social proof elements, such as customer testimonials or social media shares, in building trust with your audience.</t>
  </si>
  <si>
    <t>Share tips for creating content that provides practical tips, tutorials, or how-to guides to help your audience solve specific problems.</t>
  </si>
  <si>
    <t>Explore the concept of content repurposing for different formats, such as transforming blog posts into video scripts or podcast episodes.</t>
  </si>
  <si>
    <t>Discuss the role of content gap analysis in identifying opportunities to create content that outperforms your competitors.</t>
  </si>
  <si>
    <t>Share strategies for leveraging trending hashtags and topics to amplify the reach of your content on social media.</t>
  </si>
  <si>
    <t>Explore the benefits of creating content that addresses the unique challenges and pain points of niche or specialized audiences.</t>
  </si>
  <si>
    <t>Discuss the impact of content personalization and tailoring your messaging to different stages of the buyer's journey.</t>
  </si>
  <si>
    <t>Share tips for creating content that encourages social sharing and virality, such as creating shareable quote graphics or infographics.</t>
  </si>
  <si>
    <t>Explore the concept of storytelling through user-generated content, such as customer stories or testimonials.</t>
  </si>
  <si>
    <t>Discuss the benefits of incorporating visual storytelling techniques in content, such as storyboarding or visual narratives.</t>
  </si>
  <si>
    <t>Share strategies for creating content that evokes emotions and fosters a sense of connection with your audience.</t>
  </si>
  <si>
    <t>Explore the impact of micro-content, such as social media captions or snippets, in capturing attention and driving engagement.</t>
  </si>
  <si>
    <t>Discuss the role of content co-creation with your audience, such as user-generated campaigns or collaborative projects.</t>
  </si>
  <si>
    <t>Share tips for conducting effective interviews with industry experts and influencers for content creation.</t>
  </si>
  <si>
    <t>Explore the concept of content amplification through paid advertising or influencer partnerships.</t>
  </si>
  <si>
    <t>Discuss the benefits of incorporating user-generated reviews or testimonials into product or service pages.</t>
  </si>
  <si>
    <t>Share strategies for creating content that addresses common objections or concerns of your potential customers.</t>
  </si>
  <si>
    <t>Explore the impact of interactive content formats, such as quizzes, polls, or calculators, in driving engagement and capturing data.</t>
  </si>
  <si>
    <t>Discuss the role of content localization and tailoring your messaging to resonate with different cultural nuances.</t>
  </si>
  <si>
    <t>Share tips for repurposing successful content into different formats, such as transforming a blog post into a slide deck or podcast episode.</t>
  </si>
  <si>
    <t>Explore the concept of content cohesiveness and maintaining a consistent brand voice across different channels and platforms.</t>
  </si>
  <si>
    <t>Discuss the benefits of incorporating storytelling elements in email marketing campaigns to increase open and click-through rates.</t>
  </si>
  <si>
    <t>Share strategies for creating content that addresses emerging trends and keeps your audience ahead of the curve.</t>
  </si>
  <si>
    <t>Explore the impact of conversational content and incorporating chatbots or interactive features in your website or app.</t>
  </si>
  <si>
    <t>Discuss the role of content curation in providing value to your audience by curating and sharing relevant industry news or resources.</t>
  </si>
  <si>
    <t>Share tips for creating content that educates and empowers your audience through actionable insights and practical advice.</t>
  </si>
  <si>
    <t>Explore the concept of content pillar pages and creating comprehensive resources that cover various aspects of a specific topic.</t>
  </si>
  <si>
    <t>Discuss the benefits of incorporating influencer marketing in your content strategy to tap into their existing audience and expertise.</t>
  </si>
  <si>
    <t>Share strategies for optimizing your content for featured snippets and position zero in search engine results pages (SERPs).</t>
  </si>
  <si>
    <t>Explore the impact of visual branding elements, such as logos or color palettes, in enhancing brand recognition and consistency.</t>
  </si>
  <si>
    <t>Discuss the role of content upgrades and lead magnets in capturing email addresses and growing your subscriber base.</t>
  </si>
  <si>
    <t>Share tips for effective content distribution and amplification through social media, email newsletters, or partnerships.</t>
  </si>
  <si>
    <t>Explore the concept of repackaging old content into new formats, such as transforming blog posts into e-books or online courses.</t>
  </si>
  <si>
    <t>Discuss the benefits of incorporating multimedia elements, such as videos or infographics, to enhance the visual appeal of your content.</t>
  </si>
  <si>
    <t>Share strategies for creating content that addresses current societal or cultural issues, positioning your brand as socially responsible.</t>
  </si>
  <si>
    <t>Explore the impact of data-driven content and incorporating research or industry statistics to support your claims and enhance credibility.</t>
  </si>
  <si>
    <t>Discuss the role of evergreen content in driving consistent traffic and engagement over time.</t>
  </si>
  <si>
    <t>Share tips for effective headline writing to grab attention and entice readers to click on your content.</t>
  </si>
  <si>
    <t>Explore the concept of content experimentation and A/B testing to optimize your messaging and formats.</t>
  </si>
  <si>
    <t>Discuss the benefits of incorporating social listening and monitoring to identify content opportunities and trends in real-time.</t>
  </si>
  <si>
    <t>Share strategies for creating content that showcases your brand's unique values and differentiators.</t>
  </si>
  <si>
    <t>Explore the impact of content gamification and interactive elements in driving engagement and loyalty.</t>
  </si>
  <si>
    <t>Discuss the role of influencer collaborations in expanding your content reach and tapping into new audiences.</t>
  </si>
  <si>
    <t>Share tips for repurposing user-generated content, such as testimonials or social media posts, to enhance your brand's credibility.</t>
  </si>
  <si>
    <t>Explore the concept of content atomization and breaking down longer-form content into smaller, bite-sized pieces for easier consumption.</t>
  </si>
  <si>
    <t>Discuss the benefits of incorporating emotional storytelling in your content to create a deeper connection with your audience.</t>
  </si>
  <si>
    <t>Share strategies for creating content that addresses frequently asked questions or common challenges in your industry.</t>
  </si>
  <si>
    <t>Explore the impact of incorporating dynamic content elements, such as personalized recommendations or interactive quizzes, to enhance user experience.</t>
  </si>
  <si>
    <t>Discuss the role of content partnerships and collaborations with complementary brands to reach new audiences and create mutually beneficial campaigns.</t>
  </si>
  <si>
    <t>Share tips for optimizing your content for mobile devices, considering the growing number of users accessing content on smartphones and tablets.</t>
  </si>
  <si>
    <t>Explore the concept of content distribution beyond traditional channels, such as podcast guest appearances or syndication on niche platforms.</t>
  </si>
  <si>
    <t>Discuss the benefits of creating content that taps into nostalgia or sentimental value, triggering emotional connections with your audience.</t>
  </si>
  <si>
    <t>Share strategies for incorporating influencer-generated content into your marketing efforts, leveraging their creativity and reach.</t>
  </si>
  <si>
    <t>Explore the impact of social proof elements, such as social media shares or customer testimonials, in building trust and credibility with your audience.</t>
  </si>
  <si>
    <t>Discuss the role of content personalization and tailoring your messaging based on user behavior or preferences.</t>
  </si>
  <si>
    <t>Share tips for creating content that addresses emerging or niche markets, catering to specialized audience segments.</t>
  </si>
  <si>
    <t>Explore the concept of user-centric content design, ensuring your content is easy to read, accessible, and visually appealing.</t>
  </si>
  <si>
    <t>Discuss the benefits of conducting content performance analysis and leveraging data to optimize your content strategy for better results.</t>
  </si>
  <si>
    <t>Explore the power of storytelling in creating memorable brand narratives.</t>
  </si>
  <si>
    <t>Discuss the benefits of creating content that sparks curiosity and leaves your audience wanting to learn more.</t>
  </si>
  <si>
    <t>Share tips for creating content that establishes your brand as an industry thought leader.</t>
  </si>
  <si>
    <t>Explore the concept of content repurposing and how it can extend the lifespan and reach of your content.</t>
  </si>
  <si>
    <t>Discuss the impact of visual content, such as infographics or videos, in capturing and retaining audience attention.</t>
  </si>
  <si>
    <t>Share strategies for creating content that addresses common pain points and challenges faced by your target audience.</t>
  </si>
  <si>
    <t>Explore the benefits of incorporating user-generated content in your content marketing strategy.</t>
  </si>
  <si>
    <t>Discuss the role of storytelling in humanizing your brand and building emotional connections with your audience.</t>
  </si>
  <si>
    <t>Share tips for creating content that educates and empowers your audience to take action.</t>
  </si>
  <si>
    <t>Explore the concept of content diversification and the importance of offering different formats and mediums to cater to different preferences.</t>
  </si>
  <si>
    <t>Discuss the impact of social media trends and challenges in shaping your content strategy.</t>
  </si>
  <si>
    <t>Share strategies for creating content that fosters engagement and encourages audience interaction.</t>
  </si>
  <si>
    <t>Explore the benefits of collaborating with influencers or industry experts to co-create content.</t>
  </si>
  <si>
    <t>Discuss the role of data-driven content and how it can provide valuable insights and support your key messages.</t>
  </si>
  <si>
    <t>Share tips for optimizing your content for search engines to improve visibility and organic traffic.</t>
  </si>
  <si>
    <t>Explore the concept of emotional marketing and how it can influence your content creation process.</t>
  </si>
  <si>
    <t>Discuss the impact of personalization in content delivery and how it can enhance the user experience.</t>
  </si>
  <si>
    <t>Share strategies for creating content that aligns with current events and trending topics.</t>
  </si>
  <si>
    <t>Explore the benefits of creating evergreen content that remains relevant and valuable over time.</t>
  </si>
  <si>
    <t>Discuss the role of content promotion and distribution in maximizing the reach and impact of your content.</t>
  </si>
  <si>
    <t>Share tips for creating compelling headlines that grab attention and entice readers to click.</t>
  </si>
  <si>
    <t>Explore the concept of content audits and how they can help you identify gaps and opportunities in your content strategy.</t>
  </si>
  <si>
    <t>Discuss the impact of interactive content, such as quizzes or polls, in driving engagement and gathering audience insights.</t>
  </si>
  <si>
    <t>Share strategies for leveraging user feedback and comments to improve and iterate on your content.</t>
  </si>
  <si>
    <t>Explore the benefits of creating content that addresses frequently asked questions and provides helpful answers.</t>
  </si>
  <si>
    <t>Discuss the role of content calendars in organizing and planning your content production and distribution.</t>
  </si>
  <si>
    <t>Share tips for creating content that resonates with different generations and demographics.</t>
  </si>
  <si>
    <t>Explore the concept of emotional triggers in content creation and how to elicit specific emotions from your audience.</t>
  </si>
  <si>
    <t>Discuss the impact of user experience design in optimizing your content for ease of use and navigation.</t>
  </si>
  <si>
    <t>Share strategies for repurposing successful content into different formats, such as turning blog posts into podcasts or videos.</t>
  </si>
  <si>
    <t>Explore the benefits of guest blogging and contributing content to external publications to expand your reach.</t>
  </si>
  <si>
    <t>Discuss the role of content partnerships and collaborations in reaching new audiences and amplifying your message.</t>
  </si>
  <si>
    <t>Share tips for creating content that addresses objections and concerns that potential customers may have.</t>
  </si>
  <si>
    <t>Explore the concept of content localization and how adapting your content to different languages and cultures can enhance its impact.</t>
  </si>
  <si>
    <t>Discuss the impact of influencer testimonials and endorsements in building trust and credibility with your audience.</t>
  </si>
  <si>
    <t>Share strategies for creating content that encourages social sharing and virality.</t>
  </si>
  <si>
    <t>Explore the benefits of repackaging existing content into comprehensive guides or e-books.</t>
  </si>
  <si>
    <t>Share tips for creating content that provides actionable steps and practical advice for your audience.</t>
  </si>
  <si>
    <t>Explore the concept of content co-creation with your audience, such as involving them in content ideation or creation processes.</t>
  </si>
  <si>
    <t>Discuss the impact of visual branding elements, such as colors and fonts, in creating a consistent and recognizable brand identity.</t>
  </si>
  <si>
    <t>Share strategies for leveraging user-generated reviews and testimonials in your content to build social proof.</t>
  </si>
  <si>
    <t>Explore the benefits of conducting surveys or polls to gather audience insights and generate content ideas.</t>
  </si>
  <si>
    <t>Discuss the role of content storytelling in building brand loyalty and fostering long-term customer relationships.</t>
  </si>
  <si>
    <t>Share tips for optimizing your content for mobile devices and ensuring a seamless mobile browsing experience.</t>
  </si>
  <si>
    <t>Explore the concept of content gap analysis and how it can help you identify areas where additional content is needed.</t>
  </si>
  <si>
    <t>Discuss the impact of content distribution platforms, such as Medium or LinkedIn Pulse, in expanding your content's reach.</t>
  </si>
  <si>
    <t>Share strategies for creating content that addresses emerging trends and keeps your audience informed and engaged.</t>
  </si>
  <si>
    <t>Explore the benefits of creating content that leverages user-generated data or research findings.</t>
  </si>
  <si>
    <t>Discuss the role of content refreshment and updating older content to ensure its accuracy and relevance.</t>
  </si>
  <si>
    <t>Share tips for effective content collaboration with internal teams, such as involving subject matter experts or marketing specialists.</t>
  </si>
  <si>
    <t>Explore the concept of content series or serialized content to keep your audience engaged and coming back for more.</t>
  </si>
  <si>
    <t>Discuss the impact of social listening and monitoring on understanding audience needs and preferences for content creation.</t>
  </si>
  <si>
    <t>Share strategies for creating content that showcases your brand's unique value proposition and differentiators.</t>
  </si>
  <si>
    <t>Explore the benefits of repurposing user-generated content, such as customer testimonials or social media posts, in your marketing efforts.</t>
  </si>
  <si>
    <t>Discuss the role of content diversity and inclusivity in reaching a broader audience and fostering a sense of belonging.</t>
  </si>
  <si>
    <t>Share tips for incorporating storytelling elements in your content to create a narrative that captivates and resonates with your audience.</t>
  </si>
  <si>
    <t>Explore the concept of content distribution partnerships and collaborations with other brands or influencers to expand your reach.</t>
  </si>
  <si>
    <t>Discuss the impact of content personalization and tailoring your messaging to different stages of the customer journey.</t>
  </si>
  <si>
    <t>Share strategies for creating content that taps into the power of nostalgia and evokes emotions related to shared experiences.</t>
  </si>
  <si>
    <t>Course creation</t>
  </si>
  <si>
    <t>Explore the importance of proper course planning and curriculum development in creating a successful online course.</t>
  </si>
  <si>
    <t>Discuss the benefits of identifying your target audience and their specific learning needs before creating a course.</t>
  </si>
  <si>
    <t>Share tips for structuring course modules and lessons to ensure a logical and engaging learning progression.</t>
  </si>
  <si>
    <t>Explore the concept of incorporating multimedia elements, such as videos, quizzes, and interactive activities, to enhance the learning experience.</t>
  </si>
  <si>
    <t>Discuss the role of assessments and quizzes in gauging student progress and reinforcing key concepts in your course.</t>
  </si>
  <si>
    <t>Share strategies for creating clear and concise learning objectives that guide the course content and student expectations.</t>
  </si>
  <si>
    <t>Explore the benefits of incorporating real-life examples, case studies, and practical exercises to make the course content more relatable and applicable.</t>
  </si>
  <si>
    <t>Discuss the impact of providing ongoing support and engagement opportunities, such as discussion forums or Q&amp;A sessions, for course participants.</t>
  </si>
  <si>
    <t>Share tips for creating visually appealing course materials, such as slide presentations or handouts, to enhance learner engagement.</t>
  </si>
  <si>
    <t>Explore the concept of gamification in course design and how it can increase student motivation and participation.</t>
  </si>
  <si>
    <t>Discuss the role of feedback and assessment in providing valuable insights for course improvement and student learning.</t>
  </si>
  <si>
    <t>Share strategies for incorporating interactive elements, such as simulations or virtual labs, to provide hands-on learning experiences.</t>
  </si>
  <si>
    <t>Explore the benefits of incorporating social learning components, such as group projects or peer reviews, to foster collaboration and knowledge sharing.</t>
  </si>
  <si>
    <t>Discuss the impact of leveraging learning management systems (LMS) and online platforms for course delivery and student management.</t>
  </si>
  <si>
    <t>Share tips for creating clear and effective instructional videos that engage and effectively communicate course content.</t>
  </si>
  <si>
    <t>Explore the concept of microlearning and creating bite-sized modules or lessons for better learner retention and flexibility.</t>
  </si>
  <si>
    <t>Discuss the role of pre-assessments and diagnostic tests in identifying learner knowledge gaps and tailoring course content accordingly.</t>
  </si>
  <si>
    <t>Share strategies for providing ongoing updates and fresh content to keep your course relevant and up to date.</t>
  </si>
  <si>
    <t>Explore the benefits of incorporating quizzes, assignments, and practical projects to reinforce learning and provide opportunities for skill application.</t>
  </si>
  <si>
    <t>Discuss the impact of utilizing multimedia tools and software, such as screen recordings or interactive presentations, in course creation.</t>
  </si>
  <si>
    <t>Share tips for creating engaging and interactive discussions and activities that foster learner engagement and knowledge exchange.</t>
  </si>
  <si>
    <t>Explore the concept of scaffolding in course design and providing support and resources at different stages of the learning process.</t>
  </si>
  <si>
    <t>Discuss the role of storytelling and narrative elements in course content to captivate learners and make the material more memorable.</t>
  </si>
  <si>
    <t>Share strategies for providing clear instructions and guidance for course activities and assignments.</t>
  </si>
  <si>
    <t>Explore the benefits of incorporating self-paced learning options and flexible course structures to accommodate different learning styles and schedules.</t>
  </si>
  <si>
    <t>Discuss the impact of incorporating formative and summative assessments in evaluating student progress and course effectiveness.</t>
  </si>
  <si>
    <t>Share tips for creating accessible course materials to ensure inclusivity and accommodate learners with different abilities.</t>
  </si>
  <si>
    <t>Explore the concept of course branding and creating a cohesive visual identity that reflects your course's purpose and value.</t>
  </si>
  <si>
    <t>Discuss the role of learner feedback and evaluation in iteratively improving your course content and delivery.</t>
  </si>
  <si>
    <t>Share strategies for marketing and promoting your online course to attract and enroll learners.</t>
  </si>
  <si>
    <t>Explore the importance of conducting a thorough market research before developing a new course.</t>
  </si>
  <si>
    <t>Discuss the benefits of outlining clear learning outcomes and objectives for your course.</t>
  </si>
  <si>
    <t>Share tips for selecting and organizing course content to ensure a logical flow and effective knowledge transfer.</t>
  </si>
  <si>
    <t>Explore the concept of incorporating multimedia elements, such as audio lectures or interactive presentations, to enhance course engagement.</t>
  </si>
  <si>
    <t>Discuss the role of incorporating practical exercises and assignments to promote active learning and skill application.</t>
  </si>
  <si>
    <t>Share strategies for creating assessments and quizzes that effectively measure student comprehension and progress.</t>
  </si>
  <si>
    <t>Explore the benefits of creating a comprehensive course syllabus that outlines the structure and expectations of the course.</t>
  </si>
  <si>
    <t>Discuss the impact of incorporating case studies and real-world examples in illustrating key concepts and theories.</t>
  </si>
  <si>
    <t>Share tips for leveraging technology tools and platforms to enhance course delivery and student interaction.</t>
  </si>
  <si>
    <t>Explore the concept of incorporating discussion forums or community platforms to foster peer learning and collaboration.</t>
  </si>
  <si>
    <t>Discuss the role of providing timely feedback and constructive criticism to support student growth and improvement.</t>
  </si>
  <si>
    <t>Share strategies for creating visually appealing course materials, such as infographics or interactive charts, to enhance learner engagement.</t>
  </si>
  <si>
    <t>Explore the benefits of incorporating guest speakers or subject matter experts to provide additional perspectives and insights.</t>
  </si>
  <si>
    <t>Discuss the impact of incorporating self-assessment tools and reflection exercises to encourage self-directed learning.</t>
  </si>
  <si>
    <t>Share tips for creating a compelling course introduction that captures student interest and sets the stage for the learning journey.</t>
  </si>
  <si>
    <t>Explore the concept of chunking content into digestible modules or units to facilitate learning and retention.</t>
  </si>
  <si>
    <t>Discuss the role of formative assessments and progress tracking in guiding students' learning and identifying areas of improvement.</t>
  </si>
  <si>
    <t>Share strategies for providing supplemental resources and recommended readings to enrich the learning experience.</t>
  </si>
  <si>
    <t>Explore the benefits of incorporating interactive simulations or virtual labs to provide hands-on learning opportunities.</t>
  </si>
  <si>
    <t>Discuss the impact of incorporating real-time feedback mechanisms, such as quizzes with immediate scoring, to enhance student engagement.</t>
  </si>
  <si>
    <t>Share tips for creating engaging and interactive multimedia presentations or lectures.</t>
  </si>
  <si>
    <t>Explore the concept of differentiated instruction and how to tailor course content to meet diverse learner needs.</t>
  </si>
  <si>
    <t>Discuss the role of building a supportive online learning community to foster peer-to-peer support and networking.</t>
  </si>
  <si>
    <t>Share strategies for addressing potential learner challenges or obstacles in the course content or design.</t>
  </si>
  <si>
    <t>Explore the benefits of incorporating formative evaluations and student surveys to gather feedback and improve the course.</t>
  </si>
  <si>
    <t>Discuss the impact of incorporating storytelling techniques and narratives to make the course content more relatable and memorable.</t>
  </si>
  <si>
    <t>Share tips for incorporating real-time or asynchronous discussions to facilitate student interaction and knowledge sharing.</t>
  </si>
  <si>
    <t>Explore the concept of peer assessment and how it can promote critical thinking and evaluation skills among students.</t>
  </si>
  <si>
    <t>Discuss the role of providing supplementary materials, such as cheat sheets or study guides, to support student learning.</t>
  </si>
  <si>
    <t>Share strategies for creating engaging and interactive assignments that encourage creativity and critical thinking.</t>
  </si>
  <si>
    <t>Explore the benefits of incorporating gamified elements, such as badges or leaderboards, to enhance student motivation and engagement.</t>
  </si>
  <si>
    <t>Discuss the impact of incorporating self-paced learning options to accommodate diverse learner schedules and preferences.</t>
  </si>
  <si>
    <t>Share tips for designing visually appealing course interfaces and navigation systems for a seamless learning experience.</t>
  </si>
  <si>
    <t>Explore the concept of incorporating multimedia case studies or simulations to promote problem-solving and decision-making skills.</t>
  </si>
  <si>
    <t>Discuss the role of regular course evaluations and updates to ensure the course remains relevant and effective.</t>
  </si>
  <si>
    <t>Share strategies for providing continuous support and feedback throughout the duration of the course.</t>
  </si>
  <si>
    <t>Explore the benefits of incorporating self-reflection activities or journals to promote metacognition and self-awareness.</t>
  </si>
  <si>
    <t>Discuss the impact of incorporating culturally responsive and inclusive content to cater to a diverse student population.</t>
  </si>
  <si>
    <t>Share tips for incorporating multimedia tutorials or demonstrations to enhance understanding and skill development.</t>
  </si>
  <si>
    <t>Explore the concept of creating pre- and post-course assessments to measure student growth and learning outcomes.</t>
  </si>
  <si>
    <t>Discuss the role of building a course community through online events, webinars, or live Q&amp;A sessions.</t>
  </si>
  <si>
    <t>Share strategies for designing effective course visuals, such as graphics or diagrams, to aid understanding and retention.</t>
  </si>
  <si>
    <t>Explore the benefits of offering supplemental resources, such as e-books or downloadable materials, to support student learning.</t>
  </si>
  <si>
    <t>Discuss the impact of incorporating self-assessment opportunities to empower students to monitor their own progress.</t>
  </si>
  <si>
    <t>Share tips for designing collaborative projects or group assignments to foster teamwork and communication skills.</t>
  </si>
  <si>
    <t>Explore the concept of incorporating learning checkpoints or quizzes to reinforce key concepts and ensure comprehension.</t>
  </si>
  <si>
    <t>Discuss the role of providing clear and detailed instructions for assignments and activities to minimize confusion.</t>
  </si>
  <si>
    <t>Share strategies for incorporating real-world applications or case studies to bridge the gap between theory and practice.</t>
  </si>
  <si>
    <t>Explore the benefits of providing regular communication and updates to keep students engaged and informed.</t>
  </si>
  <si>
    <t>Discuss the impact of creating a comprehensive course resource library for additional learning materials and references.</t>
  </si>
  <si>
    <t>Explore the importance of conducting a needs assessment to identify the knowledge gaps and learning needs of your target audience.</t>
  </si>
  <si>
    <t>Discuss the benefits of incorporating interactive quizzes and knowledge checks throughout the course to reinforce learning.</t>
  </si>
  <si>
    <t>Share tips for designing effective course objectives that are specific, measurable, achievable, relevant, and time-bound (SMART).</t>
  </si>
  <si>
    <t>Explore the concept of chunking content into manageable modules or lessons to enhance comprehension and retention.</t>
  </si>
  <si>
    <t>Discuss the role of creating a course outline or roadmap that provides a clear overview of the topics and progression.</t>
  </si>
  <si>
    <t>Share strategies for integrating real-world examples and case studies to illustrate the practical applications of the course material.</t>
  </si>
  <si>
    <t>Explore the benefits of incorporating multimedia elements, such as audio or video, to enhance learner engagement and understanding.</t>
  </si>
  <si>
    <t>Discuss the impact of providing downloadable resources, such as worksheets or templates, to support application and practice.</t>
  </si>
  <si>
    <t>Share tips for creating engaging discussion prompts or reflection questions to encourage critical thinking and knowledge sharing.</t>
  </si>
  <si>
    <t>Explore the concept of scaffolding learning by breaking complex topics into smaller, more manageable concepts.</t>
  </si>
  <si>
    <t>Discuss the role of providing regular feedback and constructive criticism to guide student progress and improvement.</t>
  </si>
  <si>
    <t>Share strategies for incorporating self-paced learning options, such as flexible deadlines or self-assessment modules, to accommodate different learning styles and preferences.</t>
  </si>
  <si>
    <t>Explore the benefits of integrating social learning features, such as peer-to-peer discussions or group projects, to foster collaboration and community.</t>
  </si>
  <si>
    <t>Discuss the impact of incorporating real-time virtual classrooms or live webinars to facilitate synchronous learning experiences.</t>
  </si>
  <si>
    <t>Share tips for designing visually appealing slide presentations or visual aids to enhance understanding and engagement.</t>
  </si>
  <si>
    <t>Explore the concept of incorporating scenario-based learning or simulations to encourage practical application and problem-solving.</t>
  </si>
  <si>
    <t>Discuss the role of providing supplemental resources, such as recommended readings or external references, to deepen understanding and exploration.</t>
  </si>
  <si>
    <t>Share strategies for creating engaging and interactive assessments, such as quizzes, assignments, or case studies, to evaluate student comprehension.</t>
  </si>
  <si>
    <t>Explore the benefits of offering a variety of learning formats, such as text-based lessons, videos, or interactive exercises, to cater to diverse learning preferences.</t>
  </si>
  <si>
    <t>Discuss the impact of creating a supportive and inclusive learning environment that respects diversity and fosters a sense of belonging.</t>
  </si>
  <si>
    <t>Share tips for utilizing learning analytics and data to track student progress and identify areas for improvement in course design.</t>
  </si>
  <si>
    <t>Explore the concept of incorporating gamification elements, such as badges or leaderboards, to enhance learner motivation and engagement.</t>
  </si>
  <si>
    <t>Discuss the role of providing clear instructions and expectations for assessments and assignments to avoid confusion and promote student success.</t>
  </si>
  <si>
    <t>Share strategies for creating opportunities for learner reflection and self-assessment to encourage metacognition and self-directed learning.</t>
  </si>
  <si>
    <t>Explore the benefits of incorporating industry experts or guest speakers as guest lecturers or mentors to provide additional perspectives and insights.</t>
  </si>
  <si>
    <t>Discuss the impact of fostering a sense of community and interaction among course participants through discussion forums or social platforms.</t>
  </si>
  <si>
    <t>Share tips for designing effective progress tracking tools or dashboards to help students monitor their own learning journey.</t>
  </si>
  <si>
    <t>Explore the concept of offering microcredentials or badges to validate and recognize learner achievements within the course.</t>
  </si>
  <si>
    <t>Discuss the role of providing timely and responsive support channels, such as email support or dedicated forums, to address student questions and concerns.</t>
  </si>
  <si>
    <t>Share strategies for incorporating formative feedback loops throughout the course to promote continuous improvement and learning.</t>
  </si>
  <si>
    <t>Explore the benefits of incorporating real-time collaboration tools, such as shared documents or virtual whiteboards, for group projects or brainstorming sessions.</t>
  </si>
  <si>
    <t>Discuss the impact of incorporating industry trends and emerging topics to ensure the course remains relevant and up-to-date.</t>
  </si>
  <si>
    <t>Share tips for designing assessments that assess higher-order thinking skills, such as analysis, synthesis, and evaluation.</t>
  </si>
  <si>
    <t>Explore the concept of adaptive learning and how personalized learning paths can cater to individual learner needs and preferences.</t>
  </si>
  <si>
    <t>Discuss the role of peer feedback and peer assessment in promoting active learning and providing multiple perspectives on student work.</t>
  </si>
  <si>
    <t>Share strategies for creating opportunities for self-reflection and self-assessment to promote self-awareness and self-improvement.</t>
  </si>
  <si>
    <t>Explore the benefits of incorporating asynchronous discussion boards or forums to facilitate ongoing discussions and knowledge exchange.</t>
  </si>
  <si>
    <t>Discuss the impact of incorporating real-world projects or case studies that allow students to apply their learning in practical contexts.</t>
  </si>
  <si>
    <t>Share tips for creating engaging and visually appealing course trailers or promotional videos to generate interest and attract learners.</t>
  </si>
  <si>
    <t>Explore the concept of providing opportunities for learners to connect with industry professionals or alumni for networking or mentorship.</t>
  </si>
  <si>
    <t>Discuss the role of incorporating regular course evaluations and feedback surveys to gather insights for course improvement.</t>
  </si>
  <si>
    <t>Share strategies for designing assessments that assess both knowledge acquisition and practical application of the course material.</t>
  </si>
  <si>
    <t>Explore the benefits of incorporating self-assessment quizzes or knowledge checks to promote self-directed learning and review.</t>
  </si>
  <si>
    <t>Discuss the impact of incorporating opportunities for collaborative learning, such as group projects or peer-to-peer feedback, to foster teamwork and communication skills.</t>
  </si>
  <si>
    <t>Explore the concept of incorporating real-world examples and case studies to bridge the gap between theory and practice.</t>
  </si>
  <si>
    <t>Discuss the role of providing regular communication and updates to keep students engaged and informed throughout the course.</t>
  </si>
  <si>
    <t>Share strategies for creating a positive and inclusive online learning environment that encourages participation and respect.</t>
  </si>
  <si>
    <t>Explore the benefits of incorporating real-time feedback mechanisms, such as immediate quiz feedback or instructor Q&amp;A sessions, to enhance student engagement.</t>
  </si>
  <si>
    <t>Discuss the impact of creating a comprehensive course roadmap or timeline to help students visualize their learning journey and manage their progress.</t>
  </si>
  <si>
    <t>Explore the importance of setting clear learning objectives that align with the desired outcomes of the course.</t>
  </si>
  <si>
    <t>Discuss the benefits of incorporating multimedia elements, such as videos, infographics, or interactive slides, to enhance course engagement.</t>
  </si>
  <si>
    <t>Share tips for designing effective assessments that measure student understanding and mastery of course concepts.</t>
  </si>
  <si>
    <t>Explore the concept of incorporating real-life case studies or examples to illustrate the practical applications of the course material.</t>
  </si>
  <si>
    <t>Discuss the role of providing ongoing support and guidance to students throughout their learning journey.</t>
  </si>
  <si>
    <t>Share strategies for fostering a collaborative and interactive learning environment, such as through group projects or online discussions.</t>
  </si>
  <si>
    <t>Explore the benefits of incorporating self-paced learning options, allowing students to progress at their own speed.</t>
  </si>
  <si>
    <t>Discuss the impact of incorporating formative feedback to help students monitor their progress and identify areas for improvement.</t>
  </si>
  <si>
    <t>Share tips for creating engaging and interactive learning activities, such as simulations, quizzes, or role-playing exercises.</t>
  </si>
  <si>
    <t>Explore the concept of providing supplementary resources, such as recommended readings or additional learning materials, to enrich the course experience.</t>
  </si>
  <si>
    <t>Discuss the role of creating opportunities for peer-to-peer learning and collaboration, such as through peer reviews or group assignments.</t>
  </si>
  <si>
    <t>Share strategies for designing clear and organized course content, ensuring easy navigation and comprehension.</t>
  </si>
  <si>
    <t>Explore the benefits of incorporating real-time virtual meetings or webinars to facilitate live interactions and Q&amp;A sessions.</t>
  </si>
  <si>
    <t>Discuss the impact of creating a supportive online community where students can connect, share ideas, and seek help.</t>
  </si>
  <si>
    <t>Share tips for structuring and sequencing course content to ensure a logical progression of concepts and skills.</t>
  </si>
  <si>
    <t>Explore the concept of incorporating gamification elements, such as badges or leaderboards, to enhance student motivation and engagement.</t>
  </si>
  <si>
    <t>Discuss the role of providing timely and constructive feedback on assignments and assessments to guide student learning.</t>
  </si>
  <si>
    <t>Share strategies for integrating real-world projects or hands-on activities to apply the knowledge gained in the course.</t>
  </si>
  <si>
    <t>Explore the benefits of incorporating formative assessments, such as quizzes or practice exercises, to reinforce learning.</t>
  </si>
  <si>
    <t>Discuss the impact of incorporating real-world examples and success stories from industry experts to inspire and motivate students.</t>
  </si>
  <si>
    <t>Share tips for designing visually appealing and aesthetically pleasing course materials to enhance learner engagement.</t>
  </si>
  <si>
    <t>Explore the concept of using storytelling techniques to make the course content more relatable and memorable.</t>
  </si>
  <si>
    <t>Discuss the role of providing opportunities for self-reflection and self-assessment to encourage metacognition and self-directed learning.</t>
  </si>
  <si>
    <t>Share strategies for creating a supportive and inclusive learning environment that values diversity and fosters collaboration.</t>
  </si>
  <si>
    <t>Explore the benefits of incorporating real-time progress tracking tools or dashboards to help students monitor their own growth.</t>
  </si>
  <si>
    <t>Discuss the impact of incorporating real-world challenges or problem-solving exercises to develop critical thinking skills.</t>
  </si>
  <si>
    <t>Share tips for designing effective multimedia presentations or video lectures that capture and maintain student attention.</t>
  </si>
  <si>
    <t>Explore the concept of incorporating real-time or asynchronous discussions to facilitate student interaction and knowledge sharing.</t>
  </si>
  <si>
    <t>Discuss the role of incorporating industry trends and updates to ensure the course content remains relevant and up to date.</t>
  </si>
  <si>
    <t>Share strategies for promoting self-motivation and accountability among students, such as through goal-setting and progress monitoring.</t>
  </si>
  <si>
    <t>Explore the benefits of providing opportunities for reflection and debriefing to reinforce learning and facilitate application.</t>
  </si>
  <si>
    <t>Discuss the impact of creating opportunities for students to showcase their work or demonstrate their skills within the course.</t>
  </si>
  <si>
    <t>Share tips for designing assessments that align with the course objectives and measure the desired learning outcomes.</t>
  </si>
  <si>
    <t>Explore the concept of providing resources for further exploration and self-study beyond the course material.</t>
  </si>
  <si>
    <t>Discuss the role of providing opportunities for students to give and receive peer feedback to enhance their learning experience.</t>
  </si>
  <si>
    <t>Share strategies for incorporating real-life examples and case studies that highlight the practical relevance of the course content.</t>
  </si>
  <si>
    <t>Explore the benefits of incorporating self-assessment tools or quizzes to allow students to gauge their own understanding.</t>
  </si>
  <si>
    <t>Discuss the impact of creating a structured and well-organized course syllabus that outlines expectations and deadlines.</t>
  </si>
  <si>
    <t>Share tips for designing interactive and engaging discussions or forums to facilitate student engagement and collaboration.</t>
  </si>
  <si>
    <t>Explore the concept of incorporating project-based learning or capstone projects to apply the acquired knowledge and skills.</t>
  </si>
  <si>
    <t>Discuss the role of providing resources and support for students with different learning styles or accessibility needs.</t>
  </si>
  <si>
    <t>Share strategies for incorporating formative assessments and self-check quizzes to help students monitor their progress.</t>
  </si>
  <si>
    <t>Explore the benefits of incorporating guest speakers or industry experts to provide additional insights and perspectives.</t>
  </si>
  <si>
    <t>Discuss the impact of providing opportunities for students to reflect on their learning journey and set personal goals.</t>
  </si>
  <si>
    <t>Share tips for creating clear and concise instructions for assignments and activities to avoid ambiguity.</t>
  </si>
  <si>
    <t>Explore the concept of providing opportunities for students to provide feedback and suggestions for course improvement.</t>
  </si>
  <si>
    <t>Discuss the role of creating a supportive learning community where students can engage in peer-to-peer support and collaboration.</t>
  </si>
  <si>
    <t>Share strategies for incorporating real-time feedback and support channels to address student questions and concerns promptly.</t>
  </si>
  <si>
    <t>Explore the benefits of incorporating self-paced modules or microlearning segments for flexibility and focused learning.</t>
  </si>
  <si>
    <t>Discuss the impact of providing opportunities for students to apply their learning in real-world settings or simulations.</t>
  </si>
  <si>
    <t>Explore the importance of conducting a learner needs analysis to understand the target audience and tailor the course content accordingly.</t>
  </si>
  <si>
    <t>Discuss the benefits of incorporating multimedia elements, such as audio, video, and interactive visuals, to enhance learner engagement and understanding.</t>
  </si>
  <si>
    <t>Share tips for structuring course modules or units to ensure a logical flow of information and concepts.</t>
  </si>
  <si>
    <t>Explore the concept of incorporating real-life examples and case studies to illustrate the practical applications of the course material.</t>
  </si>
  <si>
    <t>Discuss the role of providing opportunities for active learning, such as hands-on exercises, role-plays, or simulations.</t>
  </si>
  <si>
    <t>Share strategies for designing assessments that effectively measure learner progress and mastery of the course material.</t>
  </si>
  <si>
    <t>Explore the benefits of incorporating social learning features, such as discussion boards or peer collaboration, to foster knowledge sharing and community building.</t>
  </si>
  <si>
    <t>Discuss the impact of providing timely and constructive feedback on assignments and assessments to support learner growth and improvement.</t>
  </si>
  <si>
    <t>Share tips for creating engaging and interactive multimedia presentations or lectures that cater to different learning styles.</t>
  </si>
  <si>
    <t>Explore the concept of incorporating self-paced learning options, allowing learners to progress at their own speed and convenience.</t>
  </si>
  <si>
    <t>Discuss the role of incorporating formative assessments, such as quizzes or knowledge checks, to monitor learner comprehension and provide ongoing feedback.</t>
  </si>
  <si>
    <t>Share strategies for designing clear and concise learning objectives that align with the desired outcomes of the course.</t>
  </si>
  <si>
    <t>Explore the benefits of providing supplementary resources, such as readings, articles, or videos, to deepen learner understanding and exploration.</t>
  </si>
  <si>
    <t>Discuss the impact of incorporating real-world scenarios and problem-solving activities to enhance learner application of knowledge.</t>
  </si>
  <si>
    <t>Share tips for designing visually appealing and intuitive course interfaces to enhance learner navigation and usability.</t>
  </si>
  <si>
    <t>Explore the concept of incorporating gamification elements, such as badges, leaderboards, or rewards, to increase learner motivation and engagement.</t>
  </si>
  <si>
    <t>Discuss the role of fostering a supportive and inclusive learning environment that respects diversity and encourages active participation.</t>
  </si>
  <si>
    <t>Share strategies for incorporating opportunities for reflection and self-assessment to promote learner metacognition and self-directed learning.</t>
  </si>
  <si>
    <t>Explore the benefits of providing opportunities for learner collaboration and peer feedback to enhance critical thinking and perspective-taking.</t>
  </si>
  <si>
    <t>Discuss the impact of incorporating real-time virtual meetings or webinars to facilitate live interactions and synchronous learning experiences.</t>
  </si>
  <si>
    <t>Share tips for designing authentic and meaningful assessments that mirror real-world challenges and evaluate practical skills.</t>
  </si>
  <si>
    <t>Explore the concept of incorporating adaptive learning technologies to personalize the learning experience and address individual learner needs.</t>
  </si>
  <si>
    <t>Discuss the role of providing ongoing support and resources, such as a dedicated discussion forum or FAQ section, to address learner questions and concerns.</t>
  </si>
  <si>
    <t>Share strategies for creating opportunities for learners to apply their knowledge through hands-on projects or real-world simulations.</t>
  </si>
  <si>
    <t>Explore the benefits of providing opportunities for learners to showcase their work or portfolios as a tangible representation of their achievements.</t>
  </si>
  <si>
    <t>Discuss the impact of incorporating opportunities for self-reflection and goal-setting to foster learner motivation and self-efficacy.</t>
  </si>
  <si>
    <t>Share tips for incorporating storytelling techniques to make the course content engaging and relatable for learners.</t>
  </si>
  <si>
    <t>Explore the concept of incorporating formative feedback loops, such as self-assessment quizzes or peer evaluations, to promote continuous improvement.</t>
  </si>
  <si>
    <t>Discuss the role of integrating social media platforms or online communities to facilitate learner interaction, knowledge sharing, and networking.</t>
  </si>
  <si>
    <t>Share strategies for designing accessible and inclusive courses that accommodate diverse learning needs and preferences.</t>
  </si>
  <si>
    <t>Explore the benefits of incorporating microlearning modules or bite-sized lessons for on-the-go and just-in-time learning.</t>
  </si>
  <si>
    <t>Discuss the impact of incorporating real-time progress tracking and analytics to empower learners to monitor their own growth and development.</t>
  </si>
  <si>
    <t>Share tips for creating opportunities for learners to connect with industry experts or guest speakers for insights and real-world perspectives.</t>
  </si>
  <si>
    <t>Explore the concept of incorporating formative assessments within the course modules to provide immediate feedback and reinforcement.</t>
  </si>
  <si>
    <t>Discuss the role of fostering a growth mindset among learners, encouraging them to embrace challenges and persevere through setbacks.</t>
  </si>
  <si>
    <t>Share strategies for incorporating interactive discussion prompts or thought-provoking questions to stimulate learner engagement and critical thinking.</t>
  </si>
  <si>
    <t>Explore the benefits of providing opportunities for learners to reflect on their learning experiences and share insights with peers.</t>
  </si>
  <si>
    <t>Discuss the impact of incorporating real-time simulations or virtual labs to provide experiential learning opportunities.</t>
  </si>
  <si>
    <t>Share tips for designing visually appealing infographics or visual summaries to aid learner comprehension and retention.</t>
  </si>
  <si>
    <t>Explore the concept of incorporating peer mentoring or buddy systems to foster peer support and collaboration.</t>
  </si>
  <si>
    <t>Discuss the role of incorporating self-assessment tools or progress trackers to help learners track their own learning journey.</t>
  </si>
  <si>
    <t>Share strategies for incorporating real-world examples of successful individuals who have applied the knowledge and skills taught in the course.</t>
  </si>
  <si>
    <t>Explore the benefits of incorporating opportunities for learners to provide feedback and suggestions for course improvement and future iterations.</t>
  </si>
  <si>
    <t>Discuss the impact of incorporating real-time discussion moderation or facilitation to ensure productive and respectful online interactions.</t>
  </si>
  <si>
    <t>Share tips for designing mobile-friendly courses that enable learners to access the content from various devices.</t>
  </si>
  <si>
    <t>Explore the concept of incorporating real-time industry trends and updates to keep the course content relevant and up to date.</t>
  </si>
  <si>
    <t>Discuss the role of providing opportunities for learners to engage in self-directed research or independent study to explore specific topics of interest.</t>
  </si>
  <si>
    <t>Share strategies for promoting learner engagement and participation through interactive polls, surveys, or knowledge-sharing activities.</t>
  </si>
  <si>
    <t>Explore the benefits of incorporating experiential learning activities, such as field trips or internships, to bridge the gap between theory and practice.</t>
  </si>
  <si>
    <t>Discuss the impact of incorporating opportunities for learners to reflect on their personal growth and skill development throughout the course.</t>
  </si>
  <si>
    <t>Explore the importance of creating a strong course introduction that captivates learners' attention and sets the stage for the learning journey.</t>
  </si>
  <si>
    <t>Discuss the benefits of incorporating real-world case studies or examples that demonstrate the practical application of course concepts.</t>
  </si>
  <si>
    <t>Share tips for designing effective discussion prompts that encourage thoughtful participation and foster meaningful peer-to-peer interactions.</t>
  </si>
  <si>
    <t>Explore the concept of incorporating interactive quizzes or knowledge checks throughout the course to reinforce learning and assess understanding.</t>
  </si>
  <si>
    <t>Discuss the role of providing clear and actionable feedback to learners to support their growth and improvement.</t>
  </si>
  <si>
    <t>Share strategies for incorporating diverse learning resources, such as articles, podcasts, or videos, to cater to different learning preferences.</t>
  </si>
  <si>
    <t>Explore the benefits of incorporating self-paced modules or learning paths that allow learners to progress at their own speed.</t>
  </si>
  <si>
    <t>Discuss the impact of incorporating real-time or asynchronous virtual office hours to provide personalized support and address learner questions.</t>
  </si>
  <si>
    <t>Share tips for designing visually engaging slide presentations or multimedia content to enhance learner comprehension and engagement.</t>
  </si>
  <si>
    <t>Explore the concept of incorporating scenario-based learning activities that challenge learners to apply their knowledge in realistic situations.</t>
  </si>
  <si>
    <t>Discuss the role of providing opportunities for learners to reflect on their learning progress and set actionable goals.</t>
  </si>
  <si>
    <t>Share strategies for incorporating collaborative projects or group activities that foster teamwork and peer learning.</t>
  </si>
  <si>
    <t>Explore the benefits of incorporating microlearning modules or bite-sized lessons that facilitate learning retention and easy access to information.</t>
  </si>
  <si>
    <t>Discuss the impact of incorporating real-time data and analytics to track learner progress and identify areas for intervention or improvement.</t>
  </si>
  <si>
    <t>Share tips for creating inclusive assessments that accommodate different learning styles and promote equitable evaluation.</t>
  </si>
  <si>
    <t>Explore the concept of incorporating real-world guest speakers or subject matter experts to provide industry insights and perspectives.</t>
  </si>
  <si>
    <t>Discuss the role of incorporating gamified elements, such as badges, levels, or rewards, to enhance learner motivation and engagement.</t>
  </si>
  <si>
    <t>Share strategies for designing interactive simulations or virtual labs that allow learners to practice and apply their skills.</t>
  </si>
  <si>
    <t>Explore the benefits of incorporating peer review or peer feedback activities to promote critical thinking and constructive evaluation.</t>
  </si>
  <si>
    <t>Discuss the impact of incorporating opportunities for learners to demonstrate their understanding through project portfolios or showcase events.</t>
  </si>
  <si>
    <t>Share tips for designing accessible course materials that consider different learning abilities and ensure inclusivity.</t>
  </si>
  <si>
    <t>Explore the concept of incorporating storytelling techniques to make the course content relatable and memorable.</t>
  </si>
  <si>
    <t>Discuss the role of incorporating real-time or asynchronous discussions to facilitate peer-to-peer learning and knowledge sharing.</t>
  </si>
  <si>
    <t>Share strategies for incorporating real-world challenges or problem-solving activities that encourage critical thinking and creative solutions.</t>
  </si>
  <si>
    <t>Explore the benefits of incorporating formative assessments that provide ongoing feedback and support learner progression.</t>
  </si>
  <si>
    <t>Discuss the impact of incorporating reflection activities that encourage learners to connect course concepts with their own experiences.</t>
  </si>
  <si>
    <t>Share tips for designing engaging and interactive assignments that encourage learner autonomy and creativity.</t>
  </si>
  <si>
    <t>Explore the concept of incorporating social learning platforms or communities to foster collaboration and knowledge exchange.</t>
  </si>
  <si>
    <t>Discuss the role of providing opportunities for learners to connect with alumni or industry professionals for networking or mentorship.</t>
  </si>
  <si>
    <t>Share strategies for designing inclusive discussion guidelines that promote respectful and inclusive online conversations.</t>
  </si>
  <si>
    <t>Explore the benefits of incorporating real-time or asynchronous group coaching sessions to provide additional guidance and support.</t>
  </si>
  <si>
    <t>Discuss the impact of incorporating real-life testimonials or success stories from previous learners who have benefited from the course.</t>
  </si>
  <si>
    <t>Share tips for designing assessments that measure both knowledge acquisition and practical application of course concepts.</t>
  </si>
  <si>
    <t>Explore the concept of incorporating learning contracts or personalized learning plans to empower learners and enhance accountability.</t>
  </si>
  <si>
    <t>Discuss the role of incorporating multimedia feedback, such as audio or video comments, to provide richer and more personalized feedback to learners.</t>
  </si>
  <si>
    <t>Share strategies for creating engaging and interactive course trailers or promotional materials to attract and engage prospective learners.</t>
  </si>
  <si>
    <t>Explore the benefits of incorporating self-reflection activities that encourage learners to assess their own strengths, weaknesses, and learning preferences.</t>
  </si>
  <si>
    <t>Discuss the impact of incorporating industry-relevant projects or assignments that allow learners to showcase their skills to potential employers.</t>
  </si>
  <si>
    <t>Share tips for designing mobile-responsive courses that enable learners to access the content on various devices.</t>
  </si>
  <si>
    <t>Explore the concept of incorporating real-time collaborative document editing or brainstorming tools to facilitate group work and idea generation.</t>
  </si>
  <si>
    <t>Discuss the role of incorporating multimedia-rich learning resources, such as infographics or interactive e-books, to enhance learner engagement.</t>
  </si>
  <si>
    <t>Share strategies for incorporating self-assessment tools or progress trackers that allow learners to monitor their own learning journey.</t>
  </si>
  <si>
    <t>Explore the benefits of incorporating personalized learning paths or adaptive learning technologies to tailor the course experience to individual learners.</t>
  </si>
  <si>
    <t>Discuss the impact of incorporating asynchronous discussion boards or forums that allow learners from different time zones to engage in meaningful conversations.</t>
  </si>
  <si>
    <t>Share tips for designing effective lesson summaries or review activities that reinforce key concepts and facilitate knowledge retention.</t>
  </si>
  <si>
    <t>Explore the concept of incorporating industry certifications or badges as an additional incentive for learners to complete the course.</t>
  </si>
  <si>
    <t>Discuss the importance of building a targeted email list and strategies for effectively segmenting subscribers based on their interests and preferences.</t>
  </si>
  <si>
    <t>Email marketing</t>
  </si>
  <si>
    <t>Share tips for crafting compelling subject lines that capture recipients' attention and increase open rates.</t>
  </si>
  <si>
    <t>Explore the concept of creating personalized email content that resonates with individual subscribers and boosts engagement.</t>
  </si>
  <si>
    <t>Discuss the role of using persuasive call-to-action (CTA) elements in email campaigns to drive conversions and achieve desired outcomes.</t>
  </si>
  <si>
    <t>Share strategies for designing visually appealing and mobile-responsive email templates that ensure optimal readability across devices.</t>
  </si>
  <si>
    <t>Explore the benefits of conducting A/B testing on different elements of email campaigns, such as subject lines, CTAs, or visuals, to optimize performance.</t>
  </si>
  <si>
    <t>Discuss the impact of incorporating storytelling techniques in email copywriting to build emotional connections with subscribers and drive action.</t>
  </si>
  <si>
    <t>Share tips for effectively using automated email sequences and drip campaigns to nurture leads and guide them through the customer journey.</t>
  </si>
  <si>
    <t>Explore the concept of leveraging user-generated content, such as testimonials or reviews, in email campaigns to enhance credibility and trust.</t>
  </si>
  <si>
    <t>Discuss the role of providing valuable and educational content in email newsletters to position the sender as a trusted industry expert.</t>
  </si>
  <si>
    <t>Share strategies for optimizing email deliverability by adhering to best practices, such as maintaining a clean email list and avoiding spam triggers.</t>
  </si>
  <si>
    <t>Explore the benefits of incorporating dynamic content in emails that adapts based on subscribers' preferences or past interactions.</t>
  </si>
  <si>
    <t>Discuss the impact of incorporating social proof, such as social media follower counts or customer success stories, in email campaigns to build trust.</t>
  </si>
  <si>
    <t>Share tips for writing concise and persuasive email copy that effectively communicates the key message and drives recipients to take action.</t>
  </si>
  <si>
    <t>Explore the concept of using email personalization techniques, such as merging subscriber names or referencing previous interactions, to create tailored experiences.</t>
  </si>
  <si>
    <t>Discuss the role of incorporating compelling visuals, such as high-quality images or videos, to capture subscribers' attention and increase engagement.</t>
  </si>
  <si>
    <t>Share strategies for optimizing email timing and frequency to ensure messages are delivered at the most opportune moments.</t>
  </si>
  <si>
    <t>Explore the benefits of implementing email list growth strategies, such as lead magnets or gated content, to expand the subscriber base.</t>
  </si>
  <si>
    <t>Discuss the impact of using social media integrations in email campaigns to encourage social sharing and expand the reach of the message.</t>
  </si>
  <si>
    <t>Share tips for designing effective email landing pages that align with the email content and provide a seamless user experience.</t>
  </si>
  <si>
    <t>Explore the concept of using segmentation and personalization to deliver targeted email offers and promotions based on subscribers' preferences.</t>
  </si>
  <si>
    <t>Discuss the role of monitoring and analyzing email campaign metrics, such as open rates, click-through rates, and conversions, to measure success and make data-driven optimizations.</t>
  </si>
  <si>
    <t>Share strategies for creating engaging and interactive email content, such as quizzes, polls, or surveys, to encourage subscriber participation.</t>
  </si>
  <si>
    <t>Explore the benefits of incorporating email automation tools or software to streamline workflows and save time in campaign management.</t>
  </si>
  <si>
    <t>Discuss the impact of optimizing email designs for accessibility, including considerations for screen readers and color contrast.</t>
  </si>
  <si>
    <t>Share tips for crafting effective email subject lines that pique curiosity and entice recipients to open the email.</t>
  </si>
  <si>
    <t>Explore the concept of using email personalization beyond just subscriber names, such as leveraging purchase history or browsing behavior to deliver relevant content.</t>
  </si>
  <si>
    <t>Discuss the role of incorporating social media advertisements or retargeting campaigns in conjunction with email marketing to enhance overall reach and conversion rates.</t>
  </si>
  <si>
    <t>Share strategies for conducting customer segmentation based on factors like demographics, purchase history, or engagement levels to tailor email content.</t>
  </si>
  <si>
    <t>Explore the benefits of using email analytics to track subscriber engagement, identify trends, and optimize future email campaigns.</t>
  </si>
  <si>
    <t>Discuss the impact of incorporating scarcity and urgency tactics in email marketing, such as limited-time offers or countdown timers, to drive conversions.</t>
  </si>
  <si>
    <t>Share tips for writing effective email welcome series that introduce new subscribers to the brand and nurture the relationship from the start.</t>
  </si>
  <si>
    <t>Explore the concept of using email personalization to deliver dynamic product recommendations based on subscribers' browsing or purchase history.</t>
  </si>
  <si>
    <t>Discuss the role of crafting compelling preheader text that complements the subject line and provides additional context to entice email opens.</t>
  </si>
  <si>
    <t>Share strategies for optimizing email content for mobile devices, including responsive design and concise formatting for smaller screens.</t>
  </si>
  <si>
    <t>Explore the benefits of implementing email list hygiene practices, such as regularly removing inactive subscribers or managing email bounces.</t>
  </si>
  <si>
    <t>Discuss the impact of incorporating social sharing buttons or "refer a friend" incentives in emails to encourage subscribers to spread the word.</t>
  </si>
  <si>
    <t>Share tips for leveraging email marketing automation to nurture leads through targeted workflows based on specific actions or triggers.</t>
  </si>
  <si>
    <t>Explore the concept of using personalized email recommendations based on subscribers' previous purchases or browsing behavior to drive repeat sales.</t>
  </si>
  <si>
    <t>Discuss the role of crafting compelling email subject lines that create a sense of urgency or exclusivity to encourage immediate action.</t>
  </si>
  <si>
    <t>Share strategies for conducting A/B testing on different email elements, such as email design, CTA placement, or sender name, to optimize performance.</t>
  </si>
  <si>
    <t>Explore the benefits of using storytelling techniques in email marketing to engage subscribers emotionally and build long-term relationships.</t>
  </si>
  <si>
    <t>Discuss the impact of incorporating social proof, such as customer testimonials or influencer endorsements, in email campaigns to increase trust and credibility.</t>
  </si>
  <si>
    <t>Share tips for optimizing email deliverability by ensuring email templates are coded correctly and avoiding spam triggers in email content.</t>
  </si>
  <si>
    <t>Explore the concept of using personalized email greetings or introductions to create a more tailored and engaging experience for subscribers.</t>
  </si>
  <si>
    <t>Discuss the role of using email marketing analytics to track key metrics, such as open rates, click-through rates, and conversions, to measure campaign success.</t>
  </si>
  <si>
    <t>Share strategies for creating attention-grabbing email designs that incorporate eye-catching visuals and clear calls-to-action.</t>
  </si>
  <si>
    <t>Explore the benefits of using customer segmentation to deliver targeted email content that resonates with specific audience segments.</t>
  </si>
  <si>
    <t>Discuss the impact of incorporating email automation workflows, such as abandoned cart reminders or post-purchase follow-ups, to drive conversions and customer retention.</t>
  </si>
  <si>
    <t>Share tips for crafting compelling email copy that effectively communicates the value proposition, addresses pain points, and encourages action.</t>
  </si>
  <si>
    <t>Discuss the importance of email list hygiene and share best practices for regularly cleaning and maintaining an updated subscriber list.</t>
  </si>
  <si>
    <t>Share tips for creating effective email subject lines that evoke curiosity and encourage recipients to open the email.</t>
  </si>
  <si>
    <t>Explore the concept of using personalized email recommendations based on subscribers' preferences or past purchases to drive engagement and conversions.</t>
  </si>
  <si>
    <t>Discuss the role of incorporating user-generated content, such as customer reviews or testimonials, in email campaigns to build social proof and trust.</t>
  </si>
  <si>
    <t>Share strategies for using email marketing to re-engage inactive subscribers and win back their interest and engagement.</t>
  </si>
  <si>
    <t>Explore the benefits of using automated email workflows to nurture leads and guide them through the customer journey.</t>
  </si>
  <si>
    <t>Discuss the impact of using segmentation to deliver targeted email campaigns to specific audience segments with personalized content.</t>
  </si>
  <si>
    <t>Share tips for optimizing email layouts and designs for different email clients and devices to ensure a consistent and appealing user experience.</t>
  </si>
  <si>
    <t>Explore the concept of using interactive elements, such as polls or surveys, in emails to encourage subscriber engagement and gather valuable insights.</t>
  </si>
  <si>
    <t>Discuss the role of incorporating social media integration in email campaigns to encourage subscribers to follow and engage with the brand on social platforms.</t>
  </si>
  <si>
    <t>Share strategies for optimizing email deliverability by following email authentication protocols, such as SPF and DKIM, and managing sender reputation.</t>
  </si>
  <si>
    <t>Explore the benefits of using triggered emails, such as cart abandonment emails or birthday offers, to deliver timely and relevant messages to subscribers.</t>
  </si>
  <si>
    <t>Discuss the impact of using storytelling techniques in email copywriting to create a compelling narrative that resonates with subscribers.</t>
  </si>
  <si>
    <t>Share tips for creating mobile-responsive email templates that adapt to different screen sizes and ensure a seamless viewing experience on mobile devices.</t>
  </si>
  <si>
    <t>Explore the concept of using dynamic content in emails to deliver personalized product recommendations or tailored offers based on subscribers' preferences.</t>
  </si>
  <si>
    <t>Discuss the role of incorporating social sharing buttons in emails to encourage subscribers to share content with their networks and expand brand reach.</t>
  </si>
  <si>
    <t>Share strategies for optimizing email sign-up forms to increase conversion rates and capture relevant subscriber information.</t>
  </si>
  <si>
    <t>Explore the benefits of conducting email surveys or feedback requests to gather insights and improve the overall email marketing strategy.</t>
  </si>
  <si>
    <t>Discuss the impact of using emotional triggers in email copywriting to connect with subscribers on a deeper level and drive desired actions.</t>
  </si>
  <si>
    <t>Share tips for optimizing the email unsubscribe process to provide a positive experience for subscribers and gather valuable feedback.</t>
  </si>
  <si>
    <t>Explore the concept of using personalized birthday or anniversary emails to make subscribers feel valued and foster long-term loyalty.</t>
  </si>
  <si>
    <t>Discuss the role of incorporating social proof elements, such as customer success stories or influencer endorsements, in email campaigns to boost credibility.</t>
  </si>
  <si>
    <t>Share strategies for creating compelling email offers and promotions that drive conversions and encourage immediate action.</t>
  </si>
  <si>
    <t>Explore the benefits of using dynamic email content that updates in real-time, such as countdown timers or live inventory updates, to create a sense of urgency.</t>
  </si>
  <si>
    <t>Discuss the impact of using behavioral segmentation to send targeted emails based on subscribers' actions and engagement levels.</t>
  </si>
  <si>
    <t>Share tips for crafting effective email CTAs that are clear, concise, and compelling, driving recipients to take the desired action.</t>
  </si>
  <si>
    <t>Explore the concept of using customer personas to guide email content creation and ensure messages resonate with the intended audience.</t>
  </si>
  <si>
    <t>Discuss the role of incorporating social media contests or giveaways in email campaigns to encourage subscriber engagement and list growth.</t>
  </si>
  <si>
    <t>Share strategies for optimizing email preview text to provide a preview of the email content and entice recipients to open the email.</t>
  </si>
  <si>
    <t>Explore the benefits of using email personalization beyond just subscriber names, such as incorporating location-specific offers or tailored content based on subscriber data.</t>
  </si>
  <si>
    <t>Discuss the impact of using email re-engagement campaigns to win back inactive subscribers and rekindle their interest in the brand.</t>
  </si>
  <si>
    <t>Share tips for optimizing email frequency to find the right balance between staying top-of-mind and avoiding subscriber fatigue.</t>
  </si>
  <si>
    <t>Explore the concept of using triggered emails to deliver personalized recommendations based on browsing behavior or previous purchases.</t>
  </si>
  <si>
    <t>Discuss the role of incorporating social proof elements, such as customer testimonials or social media mentions, in email campaigns to build trust and credibility.</t>
  </si>
  <si>
    <t>Share strategies for using email segmentation to deliver targeted content based on subscribers' interests, preferences, or demographics.</t>
  </si>
  <si>
    <t>Explore the benefits of using email automation to streamline repetitive tasks, such as welcome emails or order confirmations, and save time.</t>
  </si>
  <si>
    <t>Discuss the impact of using persuasive storytelling in email copywriting to create a connection with subscribers and compel them to take action.</t>
  </si>
  <si>
    <t>Share tips for optimizing email layouts for skimmability, including clear headings, bullet points, and concise content, to improve readability.</t>
  </si>
  <si>
    <t>Explore the concept of using email personalization to deliver tailored product recommendations or content based on subscribers' past interactions.</t>
  </si>
  <si>
    <t>Discuss the role of using email analytics to track key metrics, such as open rates, click-through rates, and conversions, and make data-driven optimizations.</t>
  </si>
  <si>
    <t>Share strategies for leveraging customer data to send personalized email campaigns, such as anniversary offers or post-purchase follow-ups.</t>
  </si>
  <si>
    <t>Explore the benefits of using email segmentation to deliver targeted content to different stages of the customer lifecycle, such as onboarding emails or loyalty rewards.</t>
  </si>
  <si>
    <t>Discuss the impact of using conversational language and tone in email copywriting to create a more engaging and relatable experience for subscribers.</t>
  </si>
  <si>
    <t>Share tips for optimizing email images, including proper file sizes and alt text, to ensure they load quickly and are accessible to all recipients.</t>
  </si>
  <si>
    <t>Explore the concept of using social proof elements, such as customer ratings or reviews, in email campaigns to build trust and influence purchasing decisions.</t>
  </si>
  <si>
    <t>Discuss the role of incorporating urgency and scarcity tactics in email marketing, such as limited-time offers or exclusive discounts, to drive immediate action.</t>
  </si>
  <si>
    <t>Share strategies for creating effective email drip campaigns that deliver relevant content and nurture leads over time.</t>
  </si>
  <si>
    <t>Explore the benefits of using email personalization to deliver targeted content based on subscribers' preferences, such as specific product categories or content topics.</t>
  </si>
  <si>
    <t>Discuss the impact of using email automation to trigger personalized emails based on specific customer actions or milestones, such as reaching a certain purchase threshold.</t>
  </si>
  <si>
    <t>Share tips for conducting A/B testing on different elements of email campaigns, such as subject lines, CTAs, or email designs, to optimize performance and improve results.</t>
  </si>
  <si>
    <t>Discuss the importance of email segmentation and how it can improve the relevance and effectiveness of email campaigns.</t>
  </si>
  <si>
    <t>Share tips for creating effective welcome emails that make a positive first impression and set the tone for the subscriber's relationship with the brand.</t>
  </si>
  <si>
    <t>Explore the concept of using behavioral triggers, such as abandoned carts or browsing history, to send personalized and timely follow-up emails.</t>
  </si>
  <si>
    <t>Discuss the role of incorporating social media integration in email marketing to encourage subscribers to engage with the brand across multiple channels.</t>
  </si>
  <si>
    <t>Share strategies for optimizing email layouts for readability, including font choices, line spacing, and appropriate use of white space.</t>
  </si>
  <si>
    <t>Explore the benefits of using storytelling in email marketing to captivate subscribers and create an emotional connection with the brand.</t>
  </si>
  <si>
    <t>Discuss the impact of leveraging user-generated content, such as customer testimonials or user reviews, in email campaigns to build trust and social proof.</t>
  </si>
  <si>
    <t>Share tips for optimizing email accessibility, including using alt text for images and ensuring that emails are compatible with screen readers.</t>
  </si>
  <si>
    <t>Explore the concept of using triggered emails to deliver personalized upsell or cross-sell offers based on customers' previous purchases.</t>
  </si>
  <si>
    <t>Discuss the role of using email personalization to address subscribers by their names and tailor content based on their preferences and behaviors.</t>
  </si>
  <si>
    <t>Share strategies for crafting compelling email copy that grabs attention, communicates value, and encourages recipients to take action.</t>
  </si>
  <si>
    <t>Explore the benefits of using dynamic content in emails to deliver real-time information or personalized product recommendations.</t>
  </si>
  <si>
    <t>Discuss the impact of using social sharing buttons in emails to encourage subscribers to share the content with their social networks.</t>
  </si>
  <si>
    <t>Share tips for optimizing email deliverability by following email authentication protocols and implementing sender reputation management practices.</t>
  </si>
  <si>
    <t>Explore the concept of using win-back campaigns to re-engage inactive subscribers and encourage them to become active again.</t>
  </si>
  <si>
    <t>Discuss the role of using customer segmentation to send targeted emails based on customers' demographics, preferences, or purchase history.</t>
  </si>
  <si>
    <t>Share strategies for using email automation to nurture leads through the sales funnel and convert them into paying customers.</t>
  </si>
  <si>
    <t>Explore the benefits of using customer feedback surveys in emails to gather insights, improve customer experience, and enhance email marketing strategies.</t>
  </si>
  <si>
    <t>Discuss the impact of using emojis in email subject lines and body copy to add personality and increase engagement with subscribers.</t>
  </si>
  <si>
    <t>Share tips for optimizing email timing to ensure that messages are sent at the most opportune times for maximum impact and open rates.</t>
  </si>
  <si>
    <t>Explore the concept of using triggered re-engagement emails to remind subscribers of the value they can gain from staying connected with the brand.</t>
  </si>
  <si>
    <t>Discuss the role of using urgency and scarcity techniques in email marketing, such as limited-time offers or low stock notifications, to drive conversions.</t>
  </si>
  <si>
    <t>Share strategies for conducting A/B testing on different elements of email campaigns, such as design, copy, or CTAs, to identify what resonates best with subscribers.</t>
  </si>
  <si>
    <t>Explore the benefits of using personalized email recommendations based on customers' browsing history or purchase patterns to increase engagement and sales.</t>
  </si>
  <si>
    <t>Discuss the impact of using triggered transactional emails, such as order confirmations or shipping notifications, to provide valuable information and reinforce customer trust.</t>
  </si>
  <si>
    <t>Share tips for optimizing email unsubscribe processes to retain subscribers and offer alternatives, such as preference centers or reduced email frequency options.</t>
  </si>
  <si>
    <t>Explore the concept of using segmentation to send targeted re-engagement emails to subscribers who haven't interacted with the brand in a specific timeframe.</t>
  </si>
  <si>
    <t>Discuss the role of using data analytics to track and measure email campaign performance, identify trends, and make data-driven optimizations.</t>
  </si>
  <si>
    <t>Share strategies for creating compelling email subject lines that stand out in crowded inboxes and entice recipients to open the email.</t>
  </si>
  <si>
    <t>Explore the benefits of using email personalization beyond the first name, such as including purchase history, location-specific information, or recommended content.</t>
  </si>
  <si>
    <t>Discuss the impact of using customer loyalty programs and exclusive offers in email marketing to reward and retain valuable customers.</t>
  </si>
  <si>
    <t>Share tips for using email surveys or polls to gather feedback and insights from subscribers, helping to tailor future email content and offers.</t>
  </si>
  <si>
    <t>Explore the concept of using triggered replenishment emails to remind customers to repurchase consumable products based on their typical usage patterns.</t>
  </si>
  <si>
    <t>Discuss the role of using email contests or giveaways to foster engagement, grow the subscriber base, and create buzz around the brand.</t>
  </si>
  <si>
    <t>Share strategies for creating effective email CTAs that are clear, compelling, and drive recipients to take the desired action.</t>
  </si>
  <si>
    <t>Explore the benefits of using segmentation to send targeted cart abandonment emails that remind customers of their incomplete purchases and offer incentives to complete the transaction.</t>
  </si>
  <si>
    <t>Discuss the impact of using interactive elements in emails, such as quizzes or interactive product demos, to engage subscribers and encourage participation.</t>
  </si>
  <si>
    <t>Share tips for optimizing email templates for different email clients and devices, ensuring consistent rendering and functionality across various platforms.</t>
  </si>
  <si>
    <t>Explore the concept of using triggered milestone emails to celebrate customer anniversaries, birthdays, or significant milestones in the customer relationship.</t>
  </si>
  <si>
    <t>Discuss the role of using email personalization to deliver customized content based on subscribers' preferences, interests, or previous interactions.</t>
  </si>
  <si>
    <t>Share strategies for using email marketing to nurture leads acquired through other channels, such as social media or content marketing.</t>
  </si>
  <si>
    <t>Explore the benefits of using email surveys or feedback requests to gather insights on customer satisfaction and identify areas for improvement.</t>
  </si>
  <si>
    <t>Discuss the impact of using segmentation to send targeted win-back emails to previous customers who haven't made a purchase in a certain timeframe.</t>
  </si>
  <si>
    <t>Share tips for optimizing email engagement through compelling preheader text that complements the subject line and entices recipients to open the email.</t>
  </si>
  <si>
    <t>Explore the concept of using automated email onboarding sequences to introduce new customers to the brand and guide them through their first interactions.</t>
  </si>
  <si>
    <t>Discuss the role of using email personalization to acknowledge and reward loyal customers, such as exclusive discounts or VIP access.</t>
  </si>
  <si>
    <t>Share strategies for creating effective re-engagement emails that offer incentives, highlight new offerings, or provide valuable content to rekindle subscriber interest.</t>
  </si>
  <si>
    <t>Explore the benefits of using social proof elements, such as customer success stories or influencer endorsements, in email campaigns to build trust and credibility.</t>
  </si>
  <si>
    <t>Discuss the impact of using email analytics to track and analyze customer engagement metrics, such as click-through rates and conversion rates, to optimize campaign performance.</t>
  </si>
  <si>
    <t>Share tips for optimizing email preview text to provide a compelling sneak peek of the email content and entice recipients to open and read the full message.</t>
  </si>
  <si>
    <t>Discuss the importance of creating a strong brand voice in email marketing and how it can help build brand recognition and loyalty.</t>
  </si>
  <si>
    <t>Share tips for crafting compelling email subject lines that grab attention and entice recipients to open the email.</t>
  </si>
  <si>
    <t>Explore the concept of using storytelling techniques in email marketing to engage subscribers and create a memorable brand experience.</t>
  </si>
  <si>
    <t>Discuss the role of using social proof elements, such as customer testimonials or case studies, in email campaigns to establish credibility and trust.</t>
  </si>
  <si>
    <t>Share strategies for optimizing email content for mobile devices to ensure a seamless user experience for subscribers on smartphones and tablets.</t>
  </si>
  <si>
    <t>Explore the benefits of using dynamic email content that adapts based on real-time data, such as weather-based promotions or personalized recommendations.</t>
  </si>
  <si>
    <t>Discuss the impact of using triggered emails to send personalized follow-ups based on specific customer actions or behaviors.</t>
  </si>
  <si>
    <t>Share tips for creating effective email CTAs that clearly communicate the desired action and encourage recipients to click through.</t>
  </si>
  <si>
    <t>Explore the concept of using customer segmentation to deliver targeted and relevant content to different customer segments or personas.</t>
  </si>
  <si>
    <t>Discuss the role of using email analytics and metrics to measure the success of email campaigns and identify areas for improvement.</t>
  </si>
  <si>
    <t>Share strategies for using personalization beyond just inserting the subscriber's name, such as customizing content based on purchase history or preferences.</t>
  </si>
  <si>
    <t>Explore the benefits of using email automation to streamline repetitive tasks and nurture leads throughout the customer journey.</t>
  </si>
  <si>
    <t>Discuss the impact of using A/B testing to experiment with different elements of email campaigns, such as subject lines, layouts, or visuals.</t>
  </si>
  <si>
    <t>Share tips for optimizing email deliverability by following best practices, such as using a reputable email service provider and maintaining a clean email list.</t>
  </si>
  <si>
    <t>Explore the concept of using email surveys to gather feedback and insights from subscribers, helping to improve future email content and offers.</t>
  </si>
  <si>
    <t>Discuss the role of using personalization to create a sense of exclusivity or VIP treatment for loyal customers.</t>
  </si>
  <si>
    <t>Share strategies for creating effective cart recovery emails that encourage customers to complete their abandoned purchases.</t>
  </si>
  <si>
    <t>Explore the benefits of using triggered emails to send personalized product recommendations based on customers' browsing or purchase history.</t>
  </si>
  <si>
    <t>Discuss the impact of using social media integration in email marketing to leverage user-generated content and encourage subscribers to follow and engage on social platforms.</t>
  </si>
  <si>
    <t>Share tips for optimizing email layouts and designs to create visually appealing emails that align with the brand's aesthetic.</t>
  </si>
  <si>
    <t>Explore the concept of using countdown timers or limited-time offers in email campaigns to create a sense of urgency and drive conversions.</t>
  </si>
  <si>
    <t>Discuss the role of using segmentation to send targeted re-engagement emails to subscribers who have become inactive or disengaged.</t>
  </si>
  <si>
    <t>Share strategies for using email to nurture leads acquired through other marketing channels, such as events or content marketing.</t>
  </si>
  <si>
    <t>Explore the benefits of using personalized recommendations or curated content in email newsletters to deliver value and engage subscribers.</t>
  </si>
  <si>
    <t>Discuss the impact of using emotional triggers and storytelling in email copywriting to evoke specific emotions and create a connection with subscribers.</t>
  </si>
  <si>
    <t>Share tips for optimizing email frequency to find the right balance between staying top-of-mind and avoiding overwhelming subscribers.</t>
  </si>
  <si>
    <t>Explore the concept of using email personalization to deliver tailored content based on subscribers' demographics, interests, or preferences.</t>
  </si>
  <si>
    <t>Discuss the role of using behavioral triggers, such as browsing history or purchase patterns, to send targeted emails that align with customers' interests.</t>
  </si>
  <si>
    <t>Share strategies for creating effective re-engagement campaigns to win back inactive subscribers and encourage them to re-engage with the brand.</t>
  </si>
  <si>
    <t>Explore the benefits of using transactional emails as an opportunity to upsell or cross-sell additional products or services.</t>
  </si>
  <si>
    <t>Discuss the impact of using personalized birthday or anniversary emails to show appreciation and reward loyal customers.</t>
  </si>
  <si>
    <t>Share tips for optimizing email accessibility by ensuring emails are compatible with assistive technologies and following accessibility guidelines.</t>
  </si>
  <si>
    <t>Explore the concept of using gamification elements, such as interactive quizzes or challenges, in email marketing to boost engagement and interaction.</t>
  </si>
  <si>
    <t>Discuss the role of using data segmentation to deliver personalized recommendations or content based on customers' specific preferences or past behaviors.</t>
  </si>
  <si>
    <t>Share strategies for leveraging user-generated content in email campaigns, such as featuring customer photos or testimonials.</t>
  </si>
  <si>
    <t>Explore the benefits of using triggered win-back emails to entice previous customers who haven't made a purchase in a while to return and make a new purchase.</t>
  </si>
  <si>
    <t>Discuss the impact of using social sharing buttons in emails to encourage subscribers to share content with their social networks, expanding the brand's reach.</t>
  </si>
  <si>
    <t>Share tips for optimizing email unsubscribe processes to gather feedback and offer alternatives to unsubscribing, such as reducing email frequency or adjusting preferences.</t>
  </si>
  <si>
    <t>Explore the concept of using customer journey mapping to identify key touchpoints where email marketing can effectively nurture leads and drive conversions.</t>
  </si>
  <si>
    <t>Discuss the role of using personalized email greetings and salutations to create a more human and personalized experience for subscribers.</t>
  </si>
  <si>
    <t>Share strategies for using email drip campaigns to nurture leads over time and guide them through the sales funnel.</t>
  </si>
  <si>
    <t>Explore the benefits of using email marketing to deliver exclusive content, such as sneak peeks, behind-the-scenes access, or insider tips.</t>
  </si>
  <si>
    <t>Discuss the impact of using persuasive copywriting techniques, such as storytelling, benefits-focused language, or social proof, to drive conversions in email campaigns.</t>
  </si>
  <si>
    <t>Share tips for optimizing email previews and preheader text to provide additional context and entice recipients to open the email.</t>
  </si>
  <si>
    <t>Explore the concept of using animated GIFs or videos in emails to create visually engaging and interactive content.</t>
  </si>
  <si>
    <t>Discuss the role of using customer feedback and insights to continuously improve and refine email marketing strategies.</t>
  </si>
  <si>
    <t>Share strategies for using email to promote and drive registrations for webinars, workshops, or online courses.</t>
  </si>
  <si>
    <t>Explore the benefits of using personalized cart abandonment emails that remind customers of their abandoned items and offer incentives to complete the purchase.</t>
  </si>
  <si>
    <t>Discuss the impact of using triggered upsell or cross-sell emails to recommend complementary or upgraded products based on customers' previous purchases.</t>
  </si>
  <si>
    <t>Share tips for creating effective email newsletters that provide valuable content, updates, and offers to engage and retain subscribers.</t>
  </si>
  <si>
    <t>Discuss the importance of creating a strong brand identity in email marketing and how it can help differentiate a business from its competitors.</t>
  </si>
  <si>
    <t>Share tips for crafting compelling email subject lines that evoke curiosity and drive open rates.</t>
  </si>
  <si>
    <t>Explore the concept of using personalization in email marketing to address subscribers by their specific interests or preferences.</t>
  </si>
  <si>
    <t>Discuss the role of using social media influencers in email campaigns to expand reach and credibility.</t>
  </si>
  <si>
    <t>Share strategies for optimizing email layouts for readability and scannability, including the use of bullet points, subheadings, and clear formatting.</t>
  </si>
  <si>
    <t>Explore the benefits of using automated welcome email series to onboard new subscribers and nurture them into engaged customers.</t>
  </si>
  <si>
    <t>Discuss the impact of using customer testimonials and reviews in email marketing to build trust and social proof.</t>
  </si>
  <si>
    <t>Share tips for improving email deliverability by managing email lists, removing inactive subscribers, and avoiding spam triggers.</t>
  </si>
  <si>
    <t>Explore the concept of using interactive elements in emails, such as surveys or polls, to encourage subscriber engagement.</t>
  </si>
  <si>
    <t>Discuss the role of using segmentation to send targeted promotional emails to specific customer segments based on their buying behavior or demographics.</t>
  </si>
  <si>
    <t>Share strategies for using email marketing to drive traffic to blog posts or other content assets, increasing visibility and engagement.</t>
  </si>
  <si>
    <t>Explore the benefits of using triggered emails to send personalized recommendations based on customers' browsing history or previous purchases.</t>
  </si>
  <si>
    <t>Discuss the impact of using urgency and scarcity techniques in email campaigns, such as limited-time offers or low stock notifications, to drive conversions.</t>
  </si>
  <si>
    <t>Share tips for optimizing email design for accessibility, including using alt text for images and using high contrast color combinations.</t>
  </si>
  <si>
    <t>Explore the concept of using behavioral triggers to send automated emails based on specific actions, such as cart abandonment or product views.</t>
  </si>
  <si>
    <t>Discuss the role of using storytelling in email marketing to connect with subscribers on an emotional level and build brand loyalty.</t>
  </si>
  <si>
    <t>Share strategies for using email to nurture leads and guide them through the buyer's journey, from awareness to purchase.</t>
  </si>
  <si>
    <t>Explore the benefits of using personalization in email subject lines to capture subscribers' attention and increase open rates.</t>
  </si>
  <si>
    <t>Discuss the impact of using email marketing to promote special events, such as product launches or webinars.</t>
  </si>
  <si>
    <t>Share tips for optimizing email content for mobile devices, including responsive design and concise messaging.</t>
  </si>
  <si>
    <t>Explore the concept of using triggered re-engagement emails to win back inactive subscribers and encourage them to re-engage with the brand.</t>
  </si>
  <si>
    <t>Discuss the role of using segmentation to send targeted upsell or cross-sell emails to customers who have already made a purchase.</t>
  </si>
  <si>
    <t>Share strategies for using email to gather customer feedback and insights, helping to improve products, services, and overall customer experience.</t>
  </si>
  <si>
    <t>Explore the benefits of using automated email sequences to nurture leads over time and build relationships.</t>
  </si>
  <si>
    <t>Discuss the impact of using social sharing buttons in emails to encourage subscribers to share content with their social networks, extending the reach of the brand.</t>
  </si>
  <si>
    <t>Share tips for crafting compelling call-to-action buttons that drive click-through rates and conversions.</t>
  </si>
  <si>
    <t>Explore the concept of using personalized recommendations in email marketing to provide tailored product suggestions based on customers' preferences and behavior.</t>
  </si>
  <si>
    <t>Discuss the role of using email to announce special promotions, discounts, or exclusive offers to reward and retain loyal customers.</t>
  </si>
  <si>
    <t>Share strategies for using email marketing to educate subscribers and provide valuable information, positioning the brand as an industry expert.</t>
  </si>
  <si>
    <t>Explore the benefits of using transactional emails, such as order confirmations or shipping notifications, to reinforce customer trust and engagement.</t>
  </si>
  <si>
    <t>Discuss the impact of using automated birthday or anniversary emails to celebrate customers and offer special incentives or discounts.</t>
  </si>
  <si>
    <t>Share tips for optimizing email content for skimmers, including using scannable headings, bullet points, and concise paragraphs.</t>
  </si>
  <si>
    <t>Explore the concept of using email retargeting to reach customers who have shown interest in specific products or visited certain pages on the website.</t>
  </si>
  <si>
    <t>Discuss the role of using customer segmentation to send personalized content and offers that resonate with different audience segments.</t>
  </si>
  <si>
    <t>Share strategies for using email to promote customer loyalty programs, encouraging repeat purchases and brand advocacy.</t>
  </si>
  <si>
    <t>Explore the benefits of using automated feedback emails to gather customer reviews and testimonials that can be used for social proof.</t>
  </si>
  <si>
    <t>Discuss the impact of using GIFs or videos in emails to capture attention and increase engagement.</t>
  </si>
  <si>
    <t>Share tips for optimizing email frequency to maintain subscriber engagement without overwhelming their inbox.</t>
  </si>
  <si>
    <t>Explore the concept of using transactional emails to upsell or cross-sell related products or services based on customers' recent purchases.</t>
  </si>
  <si>
    <t>Discuss the role of using email marketing to build anticipation and promote upcoming product launches or updates.</t>
  </si>
  <si>
    <t>Share strategies for using email to communicate important updates, such as policy changes, new features, or service disruptions.</t>
  </si>
  <si>
    <t>Explore the benefits of using automated win-back emails to re-engage customers who haven't made a purchase in a while.</t>
  </si>
  <si>
    <t>Discuss the impact of using email segmentation to deliver personalized content based on customers' geographic location or time zone.</t>
  </si>
  <si>
    <t>Share tips for optimizing email templates for different email clients and devices to ensure consistent rendering and user experience.</t>
  </si>
  <si>
    <t>Explore the concept of using triggered emails to provide timely and relevant information, such as order tracking updates or product recommendations.</t>
  </si>
  <si>
    <t>Discuss the role of using emotional triggers in email marketing to evoke positive emotions and create a connection with subscribers.</t>
  </si>
  <si>
    <t>Share strategies for using email to nurture leads generated from social media campaigns, capturing their interest and guiding them towards conversion.</t>
  </si>
  <si>
    <t>Explore the benefits of using drip email campaigns to deliver a series of relevant and valuable content to educate and engage subscribers.</t>
  </si>
  <si>
    <t>Discuss the impact of using customer segmentation to send targeted win-back emails with tailored offers and incentives.</t>
  </si>
  <si>
    <t>Share tips for optimizing email opt-in forms to increase subscription rates, including clear value propositions and minimal required fields.</t>
  </si>
  <si>
    <t>Discuss the benefits of setting up an online store versus a physical retail store, highlighting the potential for global reach and 24/7 accessibility.</t>
  </si>
  <si>
    <t>E-commerce and online sales</t>
  </si>
  <si>
    <t>Share tips for optimizing product pages in e-commerce websites to increase conversions, including high-quality product images, detailed descriptions, and customer reviews.</t>
  </si>
  <si>
    <t>Explore the concept of using upselling and cross-selling techniques in e-commerce to increase the average order value and customer satisfaction.</t>
  </si>
  <si>
    <t>Discuss the role of using social proof elements, such as customer testimonials and ratings, to build trust and credibility in online sales.</t>
  </si>
  <si>
    <t>Share strategies for optimizing the checkout process in e-commerce websites to reduce cart abandonment rates and improve overall conversion rates.</t>
  </si>
  <si>
    <t>Explore the benefits of implementing personalized product recommendations based on customer browsing and purchase history to enhance the shopping experience.</t>
  </si>
  <si>
    <t>Discuss the impact of using scarcity and urgency tactics, such as limited-time offers or low stock notifications, to drive sales and create a sense of urgency among customers.</t>
  </si>
  <si>
    <t>Share tips for creating effective product descriptions that highlight the unique features, benefits, and value proposition of each product.</t>
  </si>
  <si>
    <t>Explore the concept of using user-generated content, such as customer photos and reviews, to enhance product credibility and encourage purchase decisions.</t>
  </si>
  <si>
    <t>Discuss the role of implementing a seamless and secure payment gateway in e-commerce websites to instill confidence in customers and protect their sensitive information.</t>
  </si>
  <si>
    <t>Share strategies for optimizing e-commerce websites for mobile devices, ensuring a responsive design and user-friendly experience for mobile shoppers.</t>
  </si>
  <si>
    <t>Explore the benefits of implementing a robust inventory management system in e-commerce to prevent overselling, streamline operations, and improve customer satisfaction.</t>
  </si>
  <si>
    <t>Discuss the impact of offering flexible shipping options, such as expedited shipping or free shipping thresholds, to meet customer expectations and increase conversions.</t>
  </si>
  <si>
    <t>Share tips for leveraging email marketing in e-commerce to nurture leads, send personalized offers, and recover abandoned carts.</t>
  </si>
  <si>
    <t>Explore the concept of using retargeting ads to reach customers who have shown interest in specific products or visited the website but didn't complete a purchase.</t>
  </si>
  <si>
    <t>Discuss the role of using customer segmentation to deliver targeted marketing campaigns and personalized offers based on customers' preferences and behaviors.</t>
  </si>
  <si>
    <t>Share strategies for implementing a customer loyalty program in e-commerce to incentivize repeat purchases, foster customer retention, and drive customer advocacy.</t>
  </si>
  <si>
    <t>Explore the benefits of using live chat or chatbot support in e-commerce websites to provide real-time assistance and improve customer satisfaction.</t>
  </si>
  <si>
    <t>Discuss the impact of leveraging social media platforms, such as Instagram or Facebook, to showcase products, engage with customers, and drive traffic to the online store.</t>
  </si>
  <si>
    <t>Share tips for optimizing product search and navigation functionalities in e-commerce websites to help customers find products quickly and easily.</t>
  </si>
  <si>
    <t>Explore the concept of using customer reviews and ratings as social proof to influence purchase decisions and build brand reputation.</t>
  </si>
  <si>
    <t>Discuss the role of using personalized abandoned cart recovery emails to entice customers to return and complete their purchase.</t>
  </si>
  <si>
    <t>Share strategies for implementing effective product bundling or package deals to increase sales and provide added value to customers.</t>
  </si>
  <si>
    <t>Explore the benefits of offering a hassle-free return and refund policy in e-commerce to build trust, reduce buyer hesitations, and improve customer satisfaction.</t>
  </si>
  <si>
    <t>Discuss the impact of leveraging influencer marketing in e-commerce to reach new audiences, build brand awareness, and drive sales.</t>
  </si>
  <si>
    <t>Share tips for optimizing product images to showcase products in the best light, including multiple angles, zoom functionality, and lifestyle shots.</t>
  </si>
  <si>
    <t>Explore the concept of using personalized discounts or exclusive offers for loyal customers to encourage repeat purchases and foster brand loyalty.</t>
  </si>
  <si>
    <t>Discuss the role of implementing customer reviews and ratings on product pages to provide social proof and aid in the purchase decision-making process.</t>
  </si>
  <si>
    <t>Share strategies for optimizing the product recommendation engine in e-commerce websites to increase cross-selling and upselling opportunities.</t>
  </si>
  <si>
    <t>Explore the benefits of using customer data and analytics to gain insights into customer behavior, preferences, and trends, and improve marketing and sales strategies.</t>
  </si>
  <si>
    <t>Discuss the impact of offering a seamless and intuitive user experience in e-commerce, including easy navigation, fast-loading pages, and intuitive search functionality.</t>
  </si>
  <si>
    <t>Share tips for implementing effective abandoned cart recovery strategies, such as sending personalized emails with incentives or offering live chat support.</t>
  </si>
  <si>
    <t>Explore the concept of using influencer partnerships or collaborations to create exclusive product lines or limited editions, driving customer excitement and sales.</t>
  </si>
  <si>
    <t>Discuss the role of implementing customer segmentation in e-commerce marketing campaigns to deliver targeted messages and offers to specific customer segments.</t>
  </si>
  <si>
    <t>Share strategies for optimizing product pricing in e-commerce, including competitive analysis, value-based pricing, and dynamic pricing.</t>
  </si>
  <si>
    <t>Explore the benefits of implementing customer feedback loops in e-commerce to gather insights, improve products and services, and enhance the overall customer experience.</t>
  </si>
  <si>
    <t>Discuss the impact of offering flexible payment options, such as installment plans or buy now, pay later, to accommodate different customer preferences and increase sales.</t>
  </si>
  <si>
    <t>Share tips for optimizing product categorization and filtering options in e-commerce websites to help customers find products based on specific attributes or preferences.</t>
  </si>
  <si>
    <t>Explore the concept of using social media advertising, such as Facebook Ads or Instagram Ads, to target specific customer segments and drive traffic to the online store.</t>
  </si>
  <si>
    <t>Discuss the role of implementing personalized email marketing campaigns, such as abandoned cart reminders or product recommendations, to nurture leads and drive conversions.</t>
  </si>
  <si>
    <t>Share strategies for optimizing product packaging and unboxing experiences to create a memorable and shareable brand experience for customers.</t>
  </si>
  <si>
    <t>Explore the benefits of implementing a customer-centric returns and exchanges process in e-commerce, focusing on ease, speed, and customer satisfaction.</t>
  </si>
  <si>
    <t>Discuss the impact of using scarcity and FOMO (fear of missing out) tactics in e-commerce, such as limited-time sales or exclusive offers, to drive impulse purchases.</t>
  </si>
  <si>
    <t>Share tips for optimizing product reviews and ratings systems to encourage customers to leave feedback and improve the overall credibility and trustworthiness of the online store.</t>
  </si>
  <si>
    <t>Explore the concept of using personalized product recommendations and dynamic product displays based on customers' browsing history or previous purchases to enhance the shopping experience.</t>
  </si>
  <si>
    <t>Discuss the role of using customer segmentation to deliver targeted email marketing campaigns with personalized offers and recommendations based on customers' preferences and behaviors.</t>
  </si>
  <si>
    <t>Share strategies for implementing effective product upselling techniques, such as suggesting complementary or upgraded products during the checkout process, to increase the average order value.</t>
  </si>
  <si>
    <t>Explore the benefits of offering a seamless omnichannel shopping experience, allowing customers to browse and purchase products across multiple devices and touchpoints.</t>
  </si>
  <si>
    <t>Discuss the impact of leveraging user-generated content, such as customer photos and testimonials, in e-commerce to build social proof and foster trust among potential buyers.</t>
  </si>
  <si>
    <t>Share tips for optimizing the product search functionality in e-commerce websites, including implementing filters, autocomplete suggestions, and advanced search options.</t>
  </si>
  <si>
    <t>Discuss the benefits of implementing a customer referral program in e-commerce to incentivize existing customers to refer new customers and drive sales.</t>
  </si>
  <si>
    <t>Share tips for optimizing product SEO (Search Engine Optimization) in e-commerce websites to improve visibility and organic search rankings.</t>
  </si>
  <si>
    <t>Explore the concept of using social media influencers as brand ambassadors to promote products and drive online sales.</t>
  </si>
  <si>
    <t>Discuss the role of leveraging customer segmentation to create targeted email marketing campaigns for different customer segments, such as new customers, repeat buyers, or high-value customers.</t>
  </si>
  <si>
    <t>Share strategies for implementing live chat support on e-commerce websites to provide real-time assistance and address customer queries, leading to increased conversions.</t>
  </si>
  <si>
    <t>Explore the benefits of offering flexible pricing options, such as tiered pricing or subscription-based models, to cater to different customer preferences and increase customer lifetime value.</t>
  </si>
  <si>
    <t>Discuss the impact of implementing a customer feedback and review system in e-commerce to gather insights, improve products, and build trust among potential buyers.</t>
  </si>
  <si>
    <t>Share tips for optimizing the mobile shopping experience in e-commerce, including responsive design, simplified checkout processes, and mobile-friendly payment options.</t>
  </si>
  <si>
    <t>Explore the concept of using social media advertising retargeting to reach customers who have previously shown interest in specific products or visited the online store.</t>
  </si>
  <si>
    <t>Discuss the role of implementing a customer-centric content marketing strategy in e-commerce to provide valuable information, engage customers, and drive traffic to the online store.</t>
  </si>
  <si>
    <t>Share strategies for leveraging user-generated content in e-commerce, such as customer photos and videos, to enhance product visibility and authenticity.</t>
  </si>
  <si>
    <t>Explore the benefits of offering personalized discounts and promotions based on customers' preferences, purchase history, or special occasions.</t>
  </si>
  <si>
    <t>Discuss the impact of implementing customer journey mapping in e-commerce to understand customers' touchpoints and optimize the shopping experience.</t>
  </si>
  <si>
    <t>Share tips for implementing effective abandoned cart email sequences to remind customers of their incomplete purchases and encourage them to return and complete the transaction.</t>
  </si>
  <si>
    <t>Explore the concept of using gamification techniques, such as loyalty point systems or interactive quizzes, to increase customer engagement and incentivize repeat purchases.</t>
  </si>
  <si>
    <t>Discuss the role of leveraging social media listening and monitoring tools to gather insights about customer preferences, sentiments, and trends in e-commerce.</t>
  </si>
  <si>
    <t>Share strategies for implementing effective product bundling or product kits to encourage customers to purchase multiple items and increase the average order value.</t>
  </si>
  <si>
    <t>Explore the benefits of implementing social login options on e-commerce websites to streamline the registration and checkout process and reduce friction for customers.</t>
  </si>
  <si>
    <t>Discuss the impact of using AI-powered chatbots in e-commerce to provide instant customer support, recommend products, and guide customers through the buying process.</t>
  </si>
  <si>
    <t>Share tips for optimizing product recommendations on the product pages and the shopping cart page to upsell and cross-sell related products.</t>
  </si>
  <si>
    <t>Explore the concept of using influencer collaborations or sponsored content to showcase products, reach new audiences, and drive online sales.</t>
  </si>
  <si>
    <t>Discuss the role of implementing a robust analytics and reporting system in e-commerce to track key metrics, identify areas for improvement, and make data-driven decisions.</t>
  </si>
  <si>
    <t>Share strategies for implementing effective cart abandonment recovery campaigns, such as offering personalized incentives or providing additional product information.</t>
  </si>
  <si>
    <t>Explore the benefits of offering customer-exclusive discounts or early access to new product launches to foster a sense of exclusivity and loyalty.</t>
  </si>
  <si>
    <t>Discuss the impact of using social media contests or giveaways to increase brand awareness, engage customers, and drive traffic to the online store.</t>
  </si>
  <si>
    <t>Share tips for implementing an effective cart recovery email series to win back customers who have abandoned their carts and encourage them to complete the purchase.</t>
  </si>
  <si>
    <t>Explore the concept of using dynamic pricing strategies, such as flash sales or personalized discounts, to create a sense of urgency and drive sales.</t>
  </si>
  <si>
    <t>Discuss the role of implementing customer reviews and ratings on the product pages to provide social proof and assist customers in their purchase decision-making process.</t>
  </si>
  <si>
    <t>Share strategies for optimizing product packaging and unboxing experiences to create a memorable and shareable brand experience that delights customers.</t>
  </si>
  <si>
    <t>Explore the benefits of offering customer support through multiple channels, such as live chat, email, or phone, to cater to customers' preferred communication methods.</t>
  </si>
  <si>
    <t>Discuss the impact of leveraging user-generated content on social media platforms, such as customer testimonials or unboxing videos, to build trust and encourage online sales.</t>
  </si>
  <si>
    <t>Share tips for optimizing the search engine ranking of product category pages in e-commerce websites to attract organic traffic and increase visibility.</t>
  </si>
  <si>
    <t>Explore the concept of using personalized product recommendations in email marketing campaigns based on customers' browsing history or purchase patterns.</t>
  </si>
  <si>
    <t>Discuss the role of implementing a loyalty program in e-commerce to reward customer loyalty, increase customer retention, and drive repeat purchases.</t>
  </si>
  <si>
    <t>Share strategies for implementing effective social proof elements, such as trust badges or social media follower counts, to enhance credibility and trust in online sales.</t>
  </si>
  <si>
    <t>Explore the benefits of offering free shipping or discounted shipping thresholds to reduce cart abandonment rates and increase overall conversions.</t>
  </si>
  <si>
    <t>Discuss the impact of implementing a seamless and intuitive navigation menu on e-commerce websites to help customers find products easily and improve their shopping experience.</t>
  </si>
  <si>
    <t>Share tips for optimizing product page load times in e-commerce websites to reduce bounce rates and improve overall user experience.</t>
  </si>
  <si>
    <t>Explore the concept of using customer segmentation and personalization to deliver targeted product recommendations and offers through email marketing campaigns.</t>
  </si>
  <si>
    <t>Discuss the role of implementing exit-intent pop-ups on e-commerce websites to capture visitors' attention and provide special offers or incentives to encourage purchases.</t>
  </si>
  <si>
    <t>Share strategies for leveraging customer testimonials and case studies in e-commerce to showcase successful customer experiences and build trust among potential buyers.</t>
  </si>
  <si>
    <t>Explore the benefits of offering a hassle-free and transparent return policy in e-commerce to instill confidence in customers and increase their willingness to make a purchase.</t>
  </si>
  <si>
    <t>Discuss the impact of using dynamic product pricing based on supply and demand factors or personalized customer attributes to optimize revenue and maximize sales.</t>
  </si>
  <si>
    <t>Share tips for optimizing the order confirmation and shipping notification emails to provide customers with timely updates and build trust in the purchase process.</t>
  </si>
  <si>
    <t>Explore the concept of using influencer takeovers or live streaming events to promote products and create a sense of urgency and excitement among customers.</t>
  </si>
  <si>
    <t>Discuss the role of leveraging social media listening to monitor customer feedback, sentiment, and trends to identify opportunities for product improvement or new product development.</t>
  </si>
  <si>
    <t>Share strategies for optimizing product listing titles and descriptions with relevant keywords to improve search engine visibility and attract targeted traffic.</t>
  </si>
  <si>
    <t>Explore the benefits of implementing a customer-centric returns and refunds process in e-commerce, focusing on ease, speed, and customer satisfaction.</t>
  </si>
  <si>
    <t>Discuss the impact of offering personalized product recommendations on the shopping cart page to upsell and cross-sell additional products before the final checkout.</t>
  </si>
  <si>
    <t>Share tips for implementing effective scarcity marketing tactics, such as limited stock notifications or countdown timers, to create a sense of urgency and drive sales.</t>
  </si>
  <si>
    <t>Discuss the benefits of implementing social proof elements, such as customer reviews and testimonials, to build trust and credibility in e-commerce.</t>
  </si>
  <si>
    <t>Share strategies for optimizing product images and visuals to enhance product appeal and drive conversions.</t>
  </si>
  <si>
    <t>Explore the concept of using personalized product recommendations on the homepage to showcase relevant products and increase engagement.</t>
  </si>
  <si>
    <t>Discuss the role of implementing an easy and streamlined checkout process to reduce cart abandonment rates and increase conversions.</t>
  </si>
  <si>
    <t>Share tips for optimizing product descriptions with compelling and persuasive copy that highlights key features and benefits.</t>
  </si>
  <si>
    <t>Explore the benefits of offering product bundles or packages to incentivize customers to purchase multiple items together.</t>
  </si>
  <si>
    <t>Discuss the impact of using scarcity marketing techniques, such as limited-time offers or limited stock notifications, to create a sense of urgency and drive sales.</t>
  </si>
  <si>
    <t>Share strategies for implementing customer segmentation based on demographics, purchase history, or browsing behavior to deliver targeted marketing campaigns.</t>
  </si>
  <si>
    <t>Explore the concept of using exit-intent pop-ups to capture visitors' attention and offer incentives to encourage them to stay and make a purchase.</t>
  </si>
  <si>
    <t>Discuss the role of implementing live chat support to provide real-time assistance and address customer concerns during the purchasing process.</t>
  </si>
  <si>
    <t>Share tips for optimizing product search functionality on e-commerce websites to help customers find products quickly and easily.</t>
  </si>
  <si>
    <t>Explore the benefits of offering a guest checkout option to reduce friction for first-time customers and increase conversion rates.</t>
  </si>
  <si>
    <t>Discuss the impact of leveraging social media influencers to promote products and increase brand visibility in the online marketplace.</t>
  </si>
  <si>
    <t>Share strategies for implementing an effective abandoned cart recovery campaign to recapture lost sales and encourage customers to complete their purchase.</t>
  </si>
  <si>
    <t>Explore the concept of using retargeting ads to reach customers who have previously visited the website or shown interest in specific products.</t>
  </si>
  <si>
    <t>Discuss the role of implementing personalized email marketing campaigns to nurture leads, build relationships, and drive repeat purchases.</t>
  </si>
  <si>
    <t>Share tips for optimizing product pricing strategies, such as dynamic pricing or price testing, to find the right balance between profitability and competitiveness.</t>
  </si>
  <si>
    <t>Explore the benefits of offering freebies or samples to incentivize customers to try new products and increase brand loyalty.</t>
  </si>
  <si>
    <t>Discuss the impact of implementing social media sharing buttons on product pages to encourage customers to share their purchases with their network.</t>
  </si>
  <si>
    <t>Share strategies for optimizing product reviews and ratings to provide social proof and build trust among potential buyers.</t>
  </si>
  <si>
    <t>Explore the concept of using influencer collaborations or partnerships to create exclusive product lines or limited editions, driving customer excitement and sales.</t>
  </si>
  <si>
    <t>Discuss the role of implementing upselling and cross-selling techniques to increase the average order value and maximize revenue.</t>
  </si>
  <si>
    <t>Share tips for optimizing product categorization and filtering options to help customers navigate and find products based on their preferences.</t>
  </si>
  <si>
    <t>Explore the benefits of offering flexible payment options, such as installment plans or buy now, pay later, to accommodate different customer preferences.</t>
  </si>
  <si>
    <t>Discuss the impact of implementing a customer loyalty program to reward repeat purchases, encourage customer retention, and foster brand advocacy.</t>
  </si>
  <si>
    <t>Share strategies for leveraging user-generated content, such as customer photos or videos, to showcase products and engage with the community.</t>
  </si>
  <si>
    <t>Explore the concept of using targeted advertising campaigns on social media platforms to reach specific customer segments and drive traffic to the online store.</t>
  </si>
  <si>
    <t>Discuss the role of implementing customer feedback loops in e-commerce to gather insights, improve products and services, and enhance the overall customer experience.</t>
  </si>
  <si>
    <t>Share tips for optimizing product packaging and unboxing experiences to create a memorable and shareable brand experience for customers.</t>
  </si>
  <si>
    <t>Explore the benefits of offering personalized recommendations and product discovery features based on customers' browsing history and preferences.</t>
  </si>
  <si>
    <t>Discuss the impact of implementing a tiered pricing structure or loyalty-based discounts to incentivize customers to purchase higher quantities or become long-term customers.</t>
  </si>
  <si>
    <t>Share strategies for optimizing product inventory management to avoid stockouts, minimize backorders, and maintain a positive customer experience.</t>
  </si>
  <si>
    <t>Explore the concept of using email automation to deliver personalized product recommendations, discounts, or abandoned cart reminders.</t>
  </si>
  <si>
    <t>Discuss the role of implementing social media listening and monitoring tools to track brand mentions, customer feedback, and industry trends.</t>
  </si>
  <si>
    <t>Share tips for optimizing product page layouts and designs to enhance user experience and facilitate a seamless purchase journey.</t>
  </si>
  <si>
    <t>Explore the benefits of offering a hassle-free return policy and transparent refund process to build customer trust and confidence.</t>
  </si>
  <si>
    <t>Discuss the impact of implementing customer satisfaction surveys and feedback mechanisms to gather insights and continuously improve the shopping experience.</t>
  </si>
  <si>
    <t>Share strategies for optimizing product listing titles and meta descriptions with relevant keywords to improve search engine visibility and click-through rates.</t>
  </si>
  <si>
    <t>Explore the concept of using personalized order confirmations and shipping notifications to provide customers with real-time updates on their purchases.</t>
  </si>
  <si>
    <t>Discuss the role of implementing social media contests or giveaways to increase brand awareness, engage customers, and generate user-generated content.</t>
  </si>
  <si>
    <t>Share tips for optimizing product page loading speed to reduce bounce rates and improve search engine rankings.</t>
  </si>
  <si>
    <t>Explore the benefits of offering product customization options, such as color choices or engraving, to cater to individual customer preferences.</t>
  </si>
  <si>
    <t>Discuss the impact of using customer testimonials or case studies in marketing materials to showcase successful customer experiences and build trust.</t>
  </si>
  <si>
    <t>Share strategies for optimizing product reviews and ratings to foster customer trust and provide valuable feedback for product improvements.</t>
  </si>
  <si>
    <t>Explore the concept of using influencer-generated content, such as product reviews or tutorials, to promote products and reach new audiences.</t>
  </si>
  <si>
    <t>Discuss the role of implementing targeted remarketing campaigns to re-engage customers who have shown interest in specific products or categories.</t>
  </si>
  <si>
    <t>Share tips for optimizing the mobile shopping experience, including responsive design, easy navigation, and mobile-friendly payment options.</t>
  </si>
  <si>
    <t>Explore the benefits of offering personalized discounts or exclusive promotions to customers based on their loyalty status or purchase history.</t>
  </si>
  <si>
    <t>Discuss the impact of implementing a robust analytics and reporting system to track key performance indicators, identify trends, and make data-driven decisions.</t>
  </si>
  <si>
    <t>Share strategies for optimizing product images for social media platforms to enhance visibility, engagement, and click-through rates.</t>
  </si>
  <si>
    <t>Discuss the benefits of implementing live chat support on e-commerce websites to provide real-time assistance and address customer inquiries.</t>
  </si>
  <si>
    <t>Share strategies for optimizing product recommendations based on customer behavior, such as frequently bought together or recently viewed items.</t>
  </si>
  <si>
    <t>Explore the concept of using social media advertising to target specific customer segments and drive traffic to the online store.</t>
  </si>
  <si>
    <t>Discuss the role of implementing customer testimonials and reviews on product pages to build trust and increase conversions.</t>
  </si>
  <si>
    <t>Share tips for optimizing product page layouts to highlight key features, benefits, and persuasive call-to-action buttons.</t>
  </si>
  <si>
    <t>Explore the benefits of offering a subscription-based model for recurring product purchases and increasing customer lifetime value.</t>
  </si>
  <si>
    <t>Discuss the impact of implementing personalized email campaigns for abandoned cart recovery to encourage customers to complete their purchases.</t>
  </si>
  <si>
    <t>Share strategies for optimizing product search functionality to provide accurate and relevant search results for customers.</t>
  </si>
  <si>
    <t>Explore the concept of using chatbots for automated customer support to provide instant responses and enhance customer satisfaction.</t>
  </si>
  <si>
    <t>Discuss the role of implementing social proof elements, such as social media share counts or customer testimonials, to build credibility and increase sales.</t>
  </si>
  <si>
    <t>Share tips for optimizing product descriptions with SEO keywords to improve search engine rankings and attract organic traffic.</t>
  </si>
  <si>
    <t>Explore the benefits of offering free downloadable content, such as e-books or guides, to capture leads and build an email subscriber list.</t>
  </si>
  <si>
    <t>Discuss the impact of implementing personalized upsell and cross-sell recommendations to increase average order value and customer satisfaction.</t>
  </si>
  <si>
    <t>Share strategies for optimizing product pricing to remain competitive while maintaining profitability.</t>
  </si>
  <si>
    <t>Explore the concept of using customer segmentation to deliver targeted email marketing campaigns based on customer preferences and behavior.</t>
  </si>
  <si>
    <t>Discuss the role of implementing social media contests or giveaways to generate buzz, increase brand awareness, and drive engagement.</t>
  </si>
  <si>
    <t>Share tips for optimizing product page load times to reduce bounce rates and improve user experience.</t>
  </si>
  <si>
    <t>Explore the benefits of offering product warranties or guarantees to instill customer confidence and minimize buyer hesitations.</t>
  </si>
  <si>
    <t>Discuss the impact of implementing user-friendly navigation menus and intuitive website architecture to enhance the browsing and shopping experience.</t>
  </si>
  <si>
    <t>Share strategies for implementing personalized product recommendations based on customer demographics and preferences.</t>
  </si>
  <si>
    <t>Explore the concept of using influencer marketing campaigns to promote products and reach new audiences.</t>
  </si>
  <si>
    <t>Discuss the role of implementing customer loyalty programs to reward repeat purchases and foster customer retention.</t>
  </si>
  <si>
    <t>Share tips for optimizing product images for visual appeal, including high-quality resolution and multiple angles.</t>
  </si>
  <si>
    <t>Explore the benefits of offering flexible payment options, such as installment plans or buy now, pay later, to cater to different customer needs.</t>
  </si>
  <si>
    <t>Discuss the impact of implementing a seamless and secure checkout process to minimize cart abandonment and improve conversion rates.</t>
  </si>
  <si>
    <t>Share strategies for optimizing product packaging to create a memorable unboxing experience and enhance brand perception.</t>
  </si>
  <si>
    <t>Explore the concept of using personalized product recommendations based on customer browsing history and preferences.</t>
  </si>
  <si>
    <t>Discuss the role of implementing social media listening to monitor customer feedback, sentiment, and trends to identify opportunities for improvement.</t>
  </si>
  <si>
    <t>Share tips for optimizing product reviews and ratings to build trust and credibility among potential customers.</t>
  </si>
  <si>
    <t>Explore the benefits of offering limited-time promotions or flash sales to create a sense of urgency and drive immediate purchases.</t>
  </si>
  <si>
    <t>Discuss the impact of implementing customer feedback surveys to gather insights and improve the overall customer experience.</t>
  </si>
  <si>
    <t>Share strategies for optimizing product categorization and filtering options to facilitate easy navigation and product discovery.</t>
  </si>
  <si>
    <t>Explore the concept of using email automation to deliver personalized product recommendations and follow-up messages based on customer actions.</t>
  </si>
  <si>
    <t>Discuss the role of implementing customer referral programs to incentivize existing customers to refer friends and family to the online store.</t>
  </si>
  <si>
    <t>Share tips for optimizing product SEO by conducting keyword research and incorporating relevant keywords into product titles and descriptions.</t>
  </si>
  <si>
    <t>Explore the benefits of offering free shipping or discounted shipping rates to incentivize customers to make a purchase.</t>
  </si>
  <si>
    <t>Discuss the impact of implementing a loyalty-based rewards system, such as points or tiers, to encourage repeat purchases and foster customer loyalty.</t>
  </si>
  <si>
    <t>Share strategies for optimizing product page layouts for mobile devices to provide a seamless mobile shopping experience.</t>
  </si>
  <si>
    <t>Explore the concept of using social media influencers as brand ambassadors to promote products and increase brand visibility.</t>
  </si>
  <si>
    <t>Discuss the role of implementing retargeting ads to reach customers who have shown interest in specific products or visited the website.</t>
  </si>
  <si>
    <t>Share tips for optimizing product reviews and ratings to encourage customer feedback and facilitate informed purchasing decisions.</t>
  </si>
  <si>
    <t>Explore the benefits of offering a hassle-free returns policy to build customer trust and confidence in the buying process.</t>
  </si>
  <si>
    <t>Discuss the impact of implementing customer segmentation and targeted marketing campaigns based on customer preferences and demographics.</t>
  </si>
  <si>
    <t>Share strategies for optimizing product listing titles to capture attention and communicate key product attributes.</t>
  </si>
  <si>
    <t>Explore the concept of using customer-generated content, such as product photos or reviews, to showcase products and enhance social proof.</t>
  </si>
  <si>
    <t>Discuss the role of implementing a responsive design for the online store to provide a consistent and user-friendly experience across different devices.</t>
  </si>
  <si>
    <t>Share tips for optimizing product inventory management to ensure availability and avoid stockouts or overselling.</t>
  </si>
  <si>
    <t>Explore the benefits of offering product demonstrations or video tutorials to showcase product features and usage.</t>
  </si>
  <si>
    <t>Discuss the impact of implementing customer-centric return policies, including prepaid return labels and easy return processes.</t>
  </si>
  <si>
    <t>Share strategies for optimizing product recommendations through AI-powered algorithms and machine learning for enhanced personalization.</t>
  </si>
  <si>
    <t>Discuss the benefits of implementing a customer loyalty program to incentivize repeat purchases and foster long-term customer relationships.</t>
  </si>
  <si>
    <t>Explore the concept of using user-generated content, such as customer testimonials or product photos, to increase social proof and build trust.</t>
  </si>
  <si>
    <t>Discuss the role of implementing targeted email marketing campaigns to nurture leads, drive conversions, and increase customer engagement.</t>
  </si>
  <si>
    <t>Share tips for optimizing product listing titles and descriptions to improve search engine visibility and click-through rates.</t>
  </si>
  <si>
    <t>Explore the benefits of offering product bundles or kits to increase average order value and provide value to customers.</t>
  </si>
  <si>
    <t>Discuss the impact of implementing a live chat feature to provide instant support and address customer inquiries during the shopping process.</t>
  </si>
  <si>
    <t>Share strategies for optimizing the mobile shopping experience, including responsive design and easy navigation.</t>
  </si>
  <si>
    <t>Explore the concept of using scarcity tactics, such as limited stock or limited-time offers, to create a sense of urgency and drive sales.</t>
  </si>
  <si>
    <t>Discuss the role of implementing customer reviews and ratings on product pages to provide social proof and help customers make informed decisions.</t>
  </si>
  <si>
    <t>Share tips for optimizing product images to showcase products in the best light and enhance visual appeal.</t>
  </si>
  <si>
    <t>Explore the benefits of offering personalized recommendations based on customer browsing history and purchase behavior.</t>
  </si>
  <si>
    <t>Discuss the impact of implementing a referral program to incentivize customers to refer friends and family to the online store.</t>
  </si>
  <si>
    <t>Share strategies for optimizing product pricing to find the right balance between profitability and competitiveness.</t>
  </si>
  <si>
    <t>Explore the concept of using influencer collaborations to promote products and reach new audiences.</t>
  </si>
  <si>
    <t>Discuss the role of implementing a streamlined checkout process to reduce cart abandonment rates and increase conversions.</t>
  </si>
  <si>
    <t>Share tips for optimizing product categorization and filtering options to help customers find products quickly and easily.</t>
  </si>
  <si>
    <t>Explore the benefits of offering free shipping or free returns to remove barriers and encourage customer purchases.</t>
  </si>
  <si>
    <t>Discuss the impact of implementing personalized product recommendations based on customer preferences and behavior.</t>
  </si>
  <si>
    <t>Share strategies for optimizing product descriptions to highlight key features, benefits, and unique selling points.</t>
  </si>
  <si>
    <t>Discuss the role of implementing customer segmentation to deliver targeted marketing campaigns and personalized offers.</t>
  </si>
  <si>
    <t>Share tips for optimizing product reviews and ratings to encourage customer feedback and build trust.</t>
  </si>
  <si>
    <t>Explore the benefits of offering a hassle-free returns policy to provide a positive customer experience and increase satisfaction.</t>
  </si>
  <si>
    <t>Discuss the impact of implementing a secure payment gateway to ensure customer data protection and build trust.</t>
  </si>
  <si>
    <t>Share strategies for optimizing product inventory management to avoid stockouts and maintain accurate product availability.</t>
  </si>
  <si>
    <t>Explore the concept of using upselling and cross-selling techniques to increase the average order value and maximize revenue.</t>
  </si>
  <si>
    <t>Discuss the role of implementing email automation to deliver personalized product recommendations and abandoned cart reminders.</t>
  </si>
  <si>
    <t>Share tips for optimizing product search functionality to provide accurate and relevant search results for customers.</t>
  </si>
  <si>
    <t>Explore the benefits of offering exclusive discounts or promotions to email subscribers and loyal customers.</t>
  </si>
  <si>
    <t>Discuss the impact of implementing social media contests or giveaways to generate buzz, increase brand awareness, and engage customers.</t>
  </si>
  <si>
    <t>Share strategies for optimizing product variations and options to cater to different customer preferences and needs.</t>
  </si>
  <si>
    <t>Discuss the role of implementing customer feedback surveys to gather insights, identify areas for improvement, and enhance the customer experience.</t>
  </si>
  <si>
    <t>Share tips for optimizing product SEO to improve search engine rankings and attract organic traffic.</t>
  </si>
  <si>
    <t>Explore the benefits of offering product warranties or guarantees to provide reassurance and instill confidence in customers.</t>
  </si>
  <si>
    <t>Discuss the impact of implementing a customer-centric approach to customer support, including quick response times and effective problem resolution.</t>
  </si>
  <si>
    <t>Share strategies for optimizing the product return process to streamline operations and provide a seamless customer experience.</t>
  </si>
  <si>
    <t>Explore the concept of using personalized product recommendations in email marketing campaigns to drive repeat purchases.</t>
  </si>
  <si>
    <t>Discuss the role of implementing a comprehensive analytics system to track key performance metrics and make data-driven decisions.</t>
  </si>
  <si>
    <t>Share tips for optimizing product pages for accessibility to ensure a positive shopping experience for customers with disabilities.</t>
  </si>
  <si>
    <t>Explore the benefits of offering product pre-orders or exclusive launches to create anticipation and excitement among customers.</t>
  </si>
  <si>
    <t>Discuss the impact of implementing customer segmentation based on demographics, interests, or purchasing behavior to deliver targeted offers.</t>
  </si>
  <si>
    <t>Share strategies for optimizing product images for social media platforms to increase visibility, engagement, and click-through rates.</t>
  </si>
  <si>
    <t>Explore the concept of using customer-centric content marketing, such as informative blog posts or video tutorials, to educate and engage customers.</t>
  </si>
  <si>
    <t>Discuss the role of implementing a personalized on-site messaging system to provide real-time assistance and support to customers.</t>
  </si>
  <si>
    <t>Share tips for optimizing product pages with persuasive copywriting techniques to convey product benefits and compel customers to make a purchase.</t>
  </si>
  <si>
    <t>Explore the benefits of offering a guest checkout option to streamline the purchasing process for first-time customers.</t>
  </si>
  <si>
    <t>Discuss the impact of implementing customer segmentation for targeted email campaigns, such as cart abandonment reminders or personalized product recommendations.</t>
  </si>
  <si>
    <t>Share strategies for optimizing product listings for international markets, including localization, currency conversion, and shipping options.</t>
  </si>
  <si>
    <t>Discuss the benefits of implementing a product comparison feature on your e-commerce website to help customers make informed purchase decisions.</t>
  </si>
  <si>
    <t>Share strategies for optimizing product pages for voice search to cater to the growing number of voice-activated shopping assistants.</t>
  </si>
  <si>
    <t>Explore the concept of using social media influencers to create engaging and interactive product demonstrations or tutorials.</t>
  </si>
  <si>
    <t>Discuss the role of implementing personalized product recommendations based on seasonal or holiday trends to drive sales during specific periods.</t>
  </si>
  <si>
    <t>Share tips for optimizing product pages with customer testimonials and success stories to build trust and credibility.</t>
  </si>
  <si>
    <t>Explore the benefits of offering a seamless omnichannel experience, allowing customers to shop across multiple platforms and devices.</t>
  </si>
  <si>
    <t>Discuss the impact of implementing a rewards program that offers exclusive perks and discounts to encourage customer loyalty.</t>
  </si>
  <si>
    <t>Share strategies for optimizing product listings for search engine ads to increase visibility and attract targeted traffic.</t>
  </si>
  <si>
    <t>Explore the concept of using retargeting ads with dynamic product ads to remind customers of products they have previously viewed or shown interest in.</t>
  </si>
  <si>
    <t>Discuss the role of implementing a social media customer service strategy to promptly address customer inquiries and concerns.</t>
  </si>
  <si>
    <t>Share tips for optimizing product descriptions with storytelling techniques to create emotional connections and drive engagement.</t>
  </si>
  <si>
    <t>Explore the benefits of offering personalized post-purchase recommendations to upsell or cross-sell related products.</t>
  </si>
  <si>
    <t>Discuss the impact of implementing a live product demo or virtual showroom experience to engage customers and showcase product features.</t>
  </si>
  <si>
    <t>Share strategies for optimizing product listings with clear and concise bullet points that highlight key product details and benefits.</t>
  </si>
  <si>
    <t>Explore the concept of using user-generated content contests or challenges to encourage customers to share their experiences with your products.</t>
  </si>
  <si>
    <t>Discuss the role of implementing an abandoned cart recovery email campaign with personalized incentives to encourage customers to complete their purchase.</t>
  </si>
  <si>
    <t>Share tips for optimizing product images for social media platforms, considering dimensions, aspect ratios, and visual appeal.</t>
  </si>
  <si>
    <t>Explore the benefits of offering product customization options, allowing customers to personalize their purchases to suit their preferences.</t>
  </si>
  <si>
    <t>Discuss the impact of implementing a product recommendation engine powered by machine learning algorithms to improve personalization.</t>
  </si>
  <si>
    <t>Share strategies for optimizing the checkout process by reducing the number of steps and providing clear progress indicators.</t>
  </si>
  <si>
    <t>Discuss the benefits of incorporating strength training exercises into a fitness routine to improve muscle tone, strength, and overall body composition.</t>
  </si>
  <si>
    <t>Share tips for designing a balanced workout routine that includes cardiovascular exercises, strength training, and flexibility exercises for overall fitness.</t>
  </si>
  <si>
    <t>Explore the concept of using HIIT (High-Intensity Interval Training) workouts to maximize calorie burn and increase cardiovascular fitness.</t>
  </si>
  <si>
    <t>Discuss the role of incorporating yoga or Pilates exercises into a fitness routine to improve flexibility, balance, and mind-body connection.</t>
  </si>
  <si>
    <t>Fitness and exercise routines</t>
  </si>
  <si>
    <t>Share strategies for setting realistic fitness goals and creating a plan to track progress and stay motivated.</t>
  </si>
  <si>
    <t>Explore the benefits of incorporating outdoor activities such as hiking, biking, or running into a fitness routine for fresh air and variety.</t>
  </si>
  <si>
    <t>Discuss the impact of implementing a proper warm-up and cool-down routine to prevent injuries and enhance workout performance.</t>
  </si>
  <si>
    <t>Share tips for staying motivated and overcoming plateaus in a fitness journey, including varying workout routines and setting new challenges.</t>
  </si>
  <si>
    <t>Explore the concept of using wearable fitness trackers or mobile apps to monitor progress, track steps, and measure activity levels.</t>
  </si>
  <si>
    <t>Discuss the role of proper nutrition and hydration in supporting fitness goals and enhancing workout performance.</t>
  </si>
  <si>
    <t>Share strategies for incorporating mindfulness and relaxation techniques into a fitness routine, such as meditation or deep breathing exercises.</t>
  </si>
  <si>
    <t>Explore the benefits of incorporating resistance bands or bodyweight exercises for strength training without the need for heavy equipment.</t>
  </si>
  <si>
    <t>Discuss the impact of incorporating stretching exercises to improve flexibility, prevent muscle imbalances, and reduce the risk of injury.</t>
  </si>
  <si>
    <t>Share tips for staying consistent with a fitness routine, including scheduling workouts, finding an accountability partner, or joining group fitness classes.</t>
  </si>
  <si>
    <t>Explore the concept of using interval training to boost metabolism, burn calories, and improve cardiovascular fitness.</t>
  </si>
  <si>
    <t>Discuss the role of proper form and technique in exercise routines to maximize effectiveness and prevent injuries.</t>
  </si>
  <si>
    <t>Share strategies for incorporating functional exercises that mimic real-life movements and improve overall body strength and stability.</t>
  </si>
  <si>
    <t>Explore the benefits of cross-training by engaging in different types of workouts, such as swimming, cycling, or dance, to challenge the body in various ways.</t>
  </si>
  <si>
    <t>Discuss the impact of incorporating rest days into a fitness routine to allow for proper recovery and prevent overtraining.</t>
  </si>
  <si>
    <t>Share tips for overcoming common obstacles and excuses, such as lack of time or motivation, in maintaining a consistent fitness routine.</t>
  </si>
  <si>
    <t>Discuss the benefits of incorporating cardiovascular exercises, such as running, cycling, or swimming, into a fitness routine to improve heart health and endurance.</t>
  </si>
  <si>
    <t>Share tips for creating a home workout routine using minimal equipment, including bodyweight exercises and household items as workout props.</t>
  </si>
  <si>
    <t>Explore the concept of incorporating functional training exercises, such as squats, lunges, and planks, to improve everyday movements and overall strength.</t>
  </si>
  <si>
    <t>Discuss the role of incorporating mind-body exercises, such as tai chi or qigong, to promote relaxation, balance, and stress reduction.</t>
  </si>
  <si>
    <t>Share strategies for incorporating interval training into a fitness routine, alternating between high-intensity bursts and recovery periods for maximum calorie burn.</t>
  </si>
  <si>
    <t>Explore the benefits of engaging in group fitness classes or joining fitness communities to enhance motivation and accountability.</t>
  </si>
  <si>
    <t>Discuss the impact of setting specific and measurable fitness goals, such as running a marathon or achieving a certain weightlifting milestone.</t>
  </si>
  <si>
    <t>Share tips for incorporating foam rolling or self-myofascial release techniques into a fitness routine to improve flexibility and relieve muscle tension.</t>
  </si>
  <si>
    <t>Explore the concept of incorporating circuit training workouts that combine strength exercises and cardio bursts for a time-efficient and effective workout.</t>
  </si>
  <si>
    <t>Discuss the role of incorporating balance and stability exercises, such as yoga poses or single-leg exercises, to improve posture and prevent injuries.</t>
  </si>
  <si>
    <t>Share strategies for staying active throughout the day, such as taking regular walking breaks, using a standing desk, or opting for active transportation.</t>
  </si>
  <si>
    <t>Explore the benefits of incorporating resistance training exercises, such as weightlifting or resistance band workouts, to increase muscle strength and bone density.</t>
  </si>
  <si>
    <t>Discuss the impact of incorporating core exercises, such as planks or Russian twists, to strengthen the abdominal muscles and improve posture.</t>
  </si>
  <si>
    <t>Share tips for overcoming workout plateaus by incorporating progressive overload techniques, such as increasing weights or reps, to continuously challenge the body.</t>
  </si>
  <si>
    <t>Explore the concept of incorporating mind-body exercises, such as meditation or deep breathing, to promote mental well-being and reduce stress.</t>
  </si>
  <si>
    <t>Discuss the role of incorporating plyometric exercises, such as jump squats or box jumps, to improve power and explosiveness in athletic performance.</t>
  </si>
  <si>
    <t>Share strategies for incorporating outdoor workouts, such as trail running or outdoor circuit training, to enjoy nature and fresh air while exercising.</t>
  </si>
  <si>
    <t>Explore the benefits of incorporating stretching routines, such as dynamic stretches before workouts and static stretches after workouts, to improve flexibility and prevent injuries.</t>
  </si>
  <si>
    <t>Discuss the impact of incorporating high-quality sleep and proper recovery practices, such as foam rolling or stretching, in optimizing fitness results.</t>
  </si>
  <si>
    <t>Share tips for staying motivated and consistent with a fitness routine, including finding a workout buddy, rewarding milestones, or tracking progress visually.</t>
  </si>
  <si>
    <t>Explore the concept of incorporating resistance training exercises targeting specific muscle groups, such as bicep curls or tricep dips, to sculpt and tone the body.</t>
  </si>
  <si>
    <t>Discuss the role of incorporating low-impact exercises, such as swimming or cycling, for individuals with joint or mobility issues.</t>
  </si>
  <si>
    <t>Share strategies for incorporating pre-workout nutrition, such as balanced meals or energizing snacks, to fuel workouts and enhance performance.</t>
  </si>
  <si>
    <t>Explore the benefits of incorporating outdoor activities, such as hiking or kayaking, as alternative fitness options that provide both physical and mental health benefits.</t>
  </si>
  <si>
    <t>Discuss the impact of incorporating a dynamic warm-up routine to prepare the body for exercise, including mobility exercises and light cardio movements.</t>
  </si>
  <si>
    <t>Share tips for incorporating resistance training exercises that target the posterior chain, such as deadlifts or glute bridges, to improve posture and reduce lower back pain.</t>
  </si>
  <si>
    <t>Explore the concept of incorporating meditation or mindfulness practices before or after workouts to promote focus, relaxation, and mind-body connection.</t>
  </si>
  <si>
    <t>Discuss the role of incorporating bodyweight exercises, such as push-ups or squats, for individuals who prefer to exercise without equipment.</t>
  </si>
  <si>
    <t>Share strategies for incorporating interval training on cardio machines, such as the treadmill or stationary bike, to challenge the cardiovascular system and burn calories.</t>
  </si>
  <si>
    <t>Explore the benefits of incorporating stretching exercises specific to desk workers or individuals with sedentary lifestyles, targeting areas prone to tightness, such as neck and hips.</t>
  </si>
  <si>
    <t>Discuss the impact of incorporating exercise breaks during long periods of sitting or desk work to improve circulation, posture, and overall energy levels.</t>
  </si>
  <si>
    <t>Share tips for incorporating outdoor sports or recreational activities, such as basketball or soccer, as a fun and engaging way to stay active.</t>
  </si>
  <si>
    <t>Explore the concept of incorporating functional movement patterns, such as squatting or lifting, into daily activities to improve strength and mobility.</t>
  </si>
  <si>
    <t>Discuss the role of incorporating water-based exercises, such as swimming or aqua aerobics, for individuals with joint pain or injuries.</t>
  </si>
  <si>
    <t>Share strategies for incorporating dynamic stretching routines before workouts to improve range of motion, muscle activation, and overall performance.</t>
  </si>
  <si>
    <t>Explore the benefits of incorporating resistance band exercises for individuals who travel frequently or prefer portable workout equipment.</t>
  </si>
  <si>
    <t>Discuss the impact of incorporating balance exercises, such as yoga or tai chi, to improve stability and reduce the risk of falls, especially in older adults.</t>
  </si>
  <si>
    <t>Share tips for incorporating full-body workouts that engage multiple muscle groups simultaneously for efficiency and calorie expenditure.</t>
  </si>
  <si>
    <t>Explore the concept of incorporating foam rolling techniques for self-massage and myofascial release to alleviate muscle soreness and improve recovery.</t>
  </si>
  <si>
    <t>Discuss the role of incorporating agility and speed drills, such as ladder drills or cone exercises, to improve coordination and athletic performance.</t>
  </si>
  <si>
    <t>Share strategies for incorporating active commuting options, such as walking or biking to work, as a way to incorporate physical activity into daily routines.</t>
  </si>
  <si>
    <t>Explore the benefits of incorporating bodyweight exercises that focus on core strength, such as planks or mountain climbers, for improved stability and functional movement.</t>
  </si>
  <si>
    <t>Discuss the impact of incorporating resistance training exercises that target the major muscle groups, such as squats or bench presses, to build overall strength and muscle mass.</t>
  </si>
  <si>
    <t>Share tips for incorporating low-impact cardio exercises, such as elliptical training or swimming, for individuals with joint conditions or recovering from injuries.</t>
  </si>
  <si>
    <t>Explore the concept of incorporating mind-body exercises, such as yoga or meditation, to reduce stress, improve mental clarity, and enhance overall well-being.</t>
  </si>
  <si>
    <t>Discuss the role of incorporating post-workout nutrition, such as protein-rich meals or shakes, to aid in muscle recovery and repair.</t>
  </si>
  <si>
    <t>Share strategies for incorporating exercises that improve flexibility and mobility, such as yoga or dynamic stretching, to prevent injuries and enhance movement range.</t>
  </si>
  <si>
    <t>Explore the benefits of incorporating resistance training exercises using free weights or weight machines for targeted muscle development and increased strength.</t>
  </si>
  <si>
    <t>Discuss the impact of incorporating high-intensity workouts, such as Tabata or CrossFit-style routines, to challenge the body and improve cardiovascular fitness.</t>
  </si>
  <si>
    <t>Share tips for incorporating exercises that improve posture and spinal alignment, such as back extensions or shoulder rolls, to alleviate back and neck pain.</t>
  </si>
  <si>
    <t>Discuss the benefits of incorporating stretching exercises for specific muscle groups, such as the hamstrings, quadriceps, or shoulders, to improve flexibility and prevent muscle imbalances.</t>
  </si>
  <si>
    <t>Share tips for incorporating resistance band exercises that target the upper body, such as bicep curls or shoulder presses, to tone and strengthen the arms, chest, and back.</t>
  </si>
  <si>
    <t>Explore the concept of incorporating balance exercises, such as single-leg standing or yoga poses, to improve stability and reduce the risk of falls.</t>
  </si>
  <si>
    <t>Discuss the role of incorporating foam rolling techniques for recovery and self-myofascial release to alleviate muscle tightness and improve mobility.</t>
  </si>
  <si>
    <t>Share strategies for incorporating compound exercises, such as squats, deadlifts, or lunges, that work multiple muscle groups simultaneously for efficient and effective workouts.</t>
  </si>
  <si>
    <t>Explore the benefits of incorporating high-intensity interval training (HIIT) workouts to boost metabolism, burn calories, and improve cardiovascular fitness.</t>
  </si>
  <si>
    <t>Discuss the impact of incorporating core exercises, such as planks or Russian twists, to strengthen the abdominal muscles and improve overall stability and posture.</t>
  </si>
  <si>
    <t>Share tips for incorporating exercises that target the glutes, such as hip thrusts or glute bridges, to build strength and shape in the lower body.</t>
  </si>
  <si>
    <t>Explore the concept of incorporating dynamic warm-up exercises, such as leg swings or arm circles, to increase body temperature, activate muscles, and reduce the risk of injury.</t>
  </si>
  <si>
    <t>Discuss the role of incorporating exercises that improve agility and coordination, such as ladder drills or agility ladder exercises, to enhance athletic performance.</t>
  </si>
  <si>
    <t>Share strategies for incorporating exercises that target the posterior chain, including the back, glutes, and hamstrings, to improve posture and reduce lower back pain.</t>
  </si>
  <si>
    <t>Explore the benefits of incorporating bodyweight exercises, such as push-ups, squats, or burpees, for functional strength and overall fitness.</t>
  </si>
  <si>
    <t>Discuss the impact of incorporating exercises that target the core stabilizer muscles, such as planks or bird dogs, to improve balance and prevent back injuries.</t>
  </si>
  <si>
    <t>Share tips for incorporating exercises that improve cardiovascular endurance, such as jogging, cycling, or swimming, to increase stamina and overall fitness.</t>
  </si>
  <si>
    <t>Explore the concept of incorporating interval training on cardio machines, such as the treadmill or stationary bike, alternating between high-intensity bursts and recovery periods.</t>
  </si>
  <si>
    <t>Discuss the role of incorporating exercises that target the upper body, such as push-ups, pull-ups, or overhead presses, to build strength and tone the arms, shoulders, and chest.</t>
  </si>
  <si>
    <t>Share strategies for incorporating exercises that improve flexibility and mobility, such as yoga or dynamic stretching, to prevent injuries and enhance range of motion.</t>
  </si>
  <si>
    <t>Explore the benefits of incorporating exercises that target the lower body, such as squats, lunges, or step-ups, to strengthen and tone the legs and glutes.</t>
  </si>
  <si>
    <t>Discuss the impact of incorporating exercises that focus on improving posture, such as rows or shoulder retractions, to alleviate muscle imbalances and reduce the risk of injury.</t>
  </si>
  <si>
    <t>Share tips for incorporating exercises that target the core and oblique muscles, such as bicycle crunches or side planks, for a strong and defined midsection.</t>
  </si>
  <si>
    <t>Explore the concept of incorporating plyometric exercises, such as box jumps or jump lunges, to improve power, explosiveness, and athletic performance.</t>
  </si>
  <si>
    <t>Discuss the role of incorporating exercises that promote spinal mobility, such as cat-cow stretches or spinal twists, to maintain a healthy and flexible spine.</t>
  </si>
  <si>
    <t>Share strategies for incorporating exercises that target the triceps, such as tricep dips or skull crushers, to tone and strengthen the back of the arms.</t>
  </si>
  <si>
    <t>Explore the benefits of incorporating exercises that target the muscles of the posterior chain, including the back, glutes, and hamstrings, to improve athletic performance and prevent injuries.</t>
  </si>
  <si>
    <t>Discuss the impact of incorporating exercises that improve balance and stability, such as single-leg deadlifts or Bosu ball exercises, to enhance functional movement and reduce the risk of falls.</t>
  </si>
  <si>
    <t>Share tips for incorporating exercises that target the muscles of the upper back, such as rows or pull-ups, to improve posture and prevent rounded shoulders.</t>
  </si>
  <si>
    <t>Explore the concept of incorporating exercises that promote mobility and flexibility in the hips, such as hip circles or deep squats, to improve overall movement quality.</t>
  </si>
  <si>
    <t>Discuss the role of incorporating exercises that target the chest muscles, such as push-ups or chest presses, to build strength and definition in the upper body.</t>
  </si>
  <si>
    <t>Share strategies for incorporating exercises that target the muscles of the lower back, such as Superman holds or back extensions, to improve core strength and prevent lower back pain.</t>
  </si>
  <si>
    <t>Explore the benefits of incorporating exercises that target the muscles of the lower body, such as hip thrusts or Bulgarian split squats, to build strength and shape in the glutes, quads, and hamstrings.</t>
  </si>
  <si>
    <t>Discuss the impact of incorporating exercises that target the muscles of the shoulders, such as lateral raises or shoulder presses, to improve upper body strength and definition.</t>
  </si>
  <si>
    <t>Share tips for incorporating exercises that target the muscles of the biceps, such as bicep curls or hammer curls, to build strength and shape in the arms.</t>
  </si>
  <si>
    <t>Explore the concept of incorporating exercises that improve stability and proprioception, such as Bosu ball exercises or single-leg balance, to enhance athletic performance and reduce the risk of injuries.</t>
  </si>
  <si>
    <t>Discuss the role of incorporating exercises that target the muscles of the core, such as planks or mountain climbers, to improve overall stability, balance, and posture.</t>
  </si>
  <si>
    <t>Share strategies for incorporating exercises that target the muscles of the legs, such as squats, lunges, or calf raises, to build strength and tone the lower body.</t>
  </si>
  <si>
    <t>Explore the benefits of incorporating exercises that target the muscles of the back, such as rows or lat pulldowns, to improve posture and prevent upper back pain.</t>
  </si>
  <si>
    <t>Discuss the impact of incorporating exercises that promote mobility and flexibility in the shoulders, such as arm circles or shoulder stretches, to improve overall movement and reduce the risk of injuries.</t>
  </si>
  <si>
    <t>Share tips for incorporating exercises that target the muscles of the triceps, such as tricep dips or overhead extensions, to build strength and definition in the back of the arms.</t>
  </si>
  <si>
    <t>Explore the concept of incorporating exercises that improve explosive power, such as medicine ball throws or plyometric push-ups, to enhance athletic performance.</t>
  </si>
  <si>
    <t>Discuss the role of incorporating exercises that target the muscles of the glutes, such as hip thrusts or glute bridges, to build strength and shape in the buttocks.</t>
  </si>
  <si>
    <t>Share strategies for incorporating exercises that target the muscles of the core, such as Russian twists or bicycle crunches, to strengthen and tone the abdominal muscles.</t>
  </si>
  <si>
    <t>Explore the benefits of incorporating exercises that improve flexibility and mobility in the hips, such as hip flexor stretches or deep squats, to enhance overall movement quality.</t>
  </si>
  <si>
    <t>Discuss the impact of incorporating exercises that target the muscles of the chest, such as push-ups or chest flies, to build strength and definition in the upper body.</t>
  </si>
  <si>
    <t>Share tips for incorporating exercises that target the muscles of the forearms, such as wrist curls or farmer's carries, to improve grip strength and overall arm stability.</t>
  </si>
  <si>
    <t>Explore the concept of incorporating exercises that improve balance and stability, such as single-leg deadlifts or stability ball exercises, to enhance functional movement and reduce the risk of falls.</t>
  </si>
  <si>
    <t>Discuss the role of incorporating exercises that target the muscles of the upper back, such as rows or pull-ups, to improve posture and prevent rounded shoulders.</t>
  </si>
  <si>
    <t>Discuss the benefits of incorporating circuit training workouts that combine cardiovascular exercises, strength training, and flexibility exercises for a comprehensive fitness routine.</t>
  </si>
  <si>
    <t>Share tips for incorporating foam rolling exercises to release muscle tension and improve muscle recovery after workouts.</t>
  </si>
  <si>
    <t>Explore the concept of incorporating plyometric exercises, such as box jumps or burpees, to improve explosive power and athletic performance.</t>
  </si>
  <si>
    <t>Discuss the role of incorporating yoga or Pilates workouts to improve flexibility, core strength, and mind-body connection.</t>
  </si>
  <si>
    <t>Share strategies for incorporating interval training on cardio machines, such as the elliptical or rowing machine, to challenge the cardiovascular system and burn calories.</t>
  </si>
  <si>
    <t>Explore the benefits of incorporating resistance training exercises using resistance bands or free weights to build strength and tone muscles.</t>
  </si>
  <si>
    <t>Discuss the impact of incorporating high-intensity workouts, such as Tabata or HIIT (High-Intensity Interval Training), to maximize calorie burn and improve cardiovascular fitness.</t>
  </si>
  <si>
    <t>Share tips for incorporating outdoor activities like hiking, biking, or running to enjoy nature while staying active.</t>
  </si>
  <si>
    <t>Explore the concept of incorporating mindfulness practices, such as meditation or deep breathing exercises, as part of a holistic fitness routine.</t>
  </si>
  <si>
    <t>Discuss the role of incorporating stretching exercises for post-workout cool-downs to enhance flexibility and prevent muscle soreness.</t>
  </si>
  <si>
    <t>Share strategies for incorporating functional fitness exercises, such as squats, lunges, or kettlebell swings, to improve strength and mobility for everyday activities.</t>
  </si>
  <si>
    <t>Explore the benefits of incorporating low-impact exercises like swimming or cycling for individuals with joint issues or recovering from injuries.</t>
  </si>
  <si>
    <t>Discuss the impact of incorporating balance training exercises, such as single-leg stands or yoga poses, to improve stability and prevent falls.</t>
  </si>
  <si>
    <t>Share tips for incorporating home workouts using minimal equipment, such as bodyweight exercises, resistance bands, or dumbbells.</t>
  </si>
  <si>
    <t>Explore the concept of incorporating dance workouts, such as Zumba or hip-hop classes, to combine fitness with fun and creativity.</t>
  </si>
  <si>
    <t>Discuss the role of incorporating stretching routines focused on specific muscle groups, such as the hamstrings, calves, or shoulders, to improve flexibility and prevent injuries.</t>
  </si>
  <si>
    <t>Share strategies for incorporating cardio kickboxing or martial arts workouts to improve cardiovascular endurance and enhance self-defense skills.</t>
  </si>
  <si>
    <t>Explore the benefits of incorporating group fitness classes, such as spin classes or boot camps, for motivation, accountability, and a sense of community.</t>
  </si>
  <si>
    <t>Discuss the impact of incorporating bodyweight exercises, such as push-ups, squats, or planks, for individuals who prefer to exercise without equipment.</t>
  </si>
  <si>
    <t>Share tips for incorporating resistance training exercises that target different muscle groups on different days to allow for adequate rest and recovery.</t>
  </si>
  <si>
    <t>Explore the concept of incorporating functional movement patterns, such as crawling or climbing, to improve overall coordination and body awareness.</t>
  </si>
  <si>
    <t>Discuss the role of incorporating stretching exercises that promote relaxation and stress relief, such as gentle yoga or tai chi, to support overall well-being.</t>
  </si>
  <si>
    <t>Share strategies for incorporating water-based exercises, such as swimming or aqua aerobics, as a low-impact option for individuals with joint pain or injuries.</t>
  </si>
  <si>
    <t>Explore the benefits of incorporating bodyweight HIIT workouts, using exercises like burpees, mountain climbers, and squat jumps, to improve cardiovascular fitness and burn calories.</t>
  </si>
  <si>
    <t>Discuss the impact of incorporating compound exercises, such as deadlifts or bench presses, to engage multiple muscle groups and promote overall strength gains.</t>
  </si>
  <si>
    <t>Share tips for incorporating resistance training exercises that target the core, such as planks or Russian twists, to improve core strength and stability.</t>
  </si>
  <si>
    <t>Explore the concept of incorporating stability ball exercises to challenge balance and engage core muscles during strength training workouts.</t>
  </si>
  <si>
    <t>Discuss the role of incorporating flexibility-focused workouts, such as yoga flows or stretching routines, to improve range of motion and prevent muscle imbalances.</t>
  </si>
  <si>
    <t>Share strategies for incorporating outdoor activities, such as hiking or trail running, to enjoy nature while getting a full-body workout.</t>
  </si>
  <si>
    <t>Explore the benefits of incorporating functional training exercises, such as kettlebell swings or medicine ball slams, to improve strength and mobility for everyday movements.</t>
  </si>
  <si>
    <t>Discuss the impact of incorporating resistance band exercises, targeting the muscles of the upper body, such as rows or bicep curls, to build strength and tone.</t>
  </si>
  <si>
    <t>Share tips for incorporating cardio workouts at home, such as jumping rope, high knees, or mountain climbers, to get the heart rate up and burn calories.</t>
  </si>
  <si>
    <t>Explore the concept of incorporating mindfulness practices, such as mindful walking or body scan meditations, to bring awareness and focus to the present moment during exercise.</t>
  </si>
  <si>
    <t>Discuss the role of incorporating balance and coordination exercises, such as Bosu ball workouts or agility ladder drills, to improve overall stability and motor skills.</t>
  </si>
  <si>
    <t>Share strategies for incorporating strength training exercises that target the lower body, such as squats, lunges, or step-ups, to build muscle and improve lower body strength.</t>
  </si>
  <si>
    <t>Explore the benefits of incorporating low-intensity steady-state (LISS) cardio workouts, such as brisk walking or cycling, for fat burning and improved cardiovascular health.</t>
  </si>
  <si>
    <t>Discuss the impact of incorporating exercises that improve posture, such as thoracic spine stretches or shoulder retractions, to alleviate muscle imbalances and prevent injuries.</t>
  </si>
  <si>
    <t>Share tips for incorporating resistance training exercises that target the muscles of the back, such as lat pulldowns or rows, to improve posture and upper body strength.</t>
  </si>
  <si>
    <t>Explore the concept of incorporating bodyweight exercises that engage the core, such as mountain climbers or plank variations, to strengthen the abdominal muscles.</t>
  </si>
  <si>
    <t>Discuss the role of incorporating dynamic warm-up exercises, such as jumping jacks or leg swings, to prepare the body for movement and prevent injuries.</t>
  </si>
  <si>
    <t>Share strategies for incorporating strength training exercises that target the muscles of the arms, such as tricep dips or bicep curls, to build definition and strength.</t>
  </si>
  <si>
    <t>Explore the benefits of incorporating interval training workouts on cardio machines, such as the treadmill or stationary bike, alternating between high-intensity sprints and recovery periods.</t>
  </si>
  <si>
    <t>Discuss the impact of incorporating exercises that target the muscles of the chest, such as push-ups or chest presses, to strengthen and tone the upper body.</t>
  </si>
  <si>
    <t>Share tips for incorporating stretching exercises for the neck and shoulders to alleviate tension and improve mobility in these commonly tight areas.</t>
  </si>
  <si>
    <t>Explore the concept of incorporating low-impact cardio workouts, such as swimming or elliptical training, for individuals with joint issues or recovering from injuries.</t>
  </si>
  <si>
    <t>Discuss the role of incorporating exercises that target the muscles of the legs, such as squats, lunges, or leg presses, to build lower body strength and tone.</t>
  </si>
  <si>
    <t>Share strategies for incorporating resistance band exercises that target the muscles of the legs, such as lateral band walks or glute bridges, to activate and strengthen the lower body.</t>
  </si>
  <si>
    <t>Explore the benefits of incorporating Pilates exercises, such as the Hundred or the Pilates Roll-Up, to improve core strength and overall body alignment.</t>
  </si>
  <si>
    <t>Discuss the impact of incorporating stretching exercises that focus on the hips and glutes, such as hip flexor stretches or pigeon pose, to improve flexibility and reduce lower back pain.</t>
  </si>
  <si>
    <t>Share tips for incorporating cardiovascular exercises that can be done at home, such as jumping jacks, mountain climbers, or dancing, to get the heart rate up and burn calories.</t>
  </si>
  <si>
    <t>Discuss the importance of active listening in building strong and meaningful relationships.</t>
  </si>
  <si>
    <t>Share tips for effective conflict resolution in relationships, focusing on constructive communication and compromise.</t>
  </si>
  <si>
    <t>Explore the concept of setting healthy boundaries in relationships and the positive impact it can have on overall dynamics.</t>
  </si>
  <si>
    <t>Discuss the role of empathy in understanding and connecting with others on a deeper level.</t>
  </si>
  <si>
    <t>Share strategies for effective communication in romantic relationships, such as using "I" statements and practicing open-mindedness.</t>
  </si>
  <si>
    <t>Explore the benefits of practicing gratitude and appreciation in relationships to foster a positive and loving atmosphere.</t>
  </si>
  <si>
    <t>Discuss the impact of effective non-verbal communication, including body language and facial expressions, in conveying emotions and building rapport.</t>
  </si>
  <si>
    <t>Share tips for managing and expressing emotions in a healthy and constructive way within relationships.</t>
  </si>
  <si>
    <t>Relationship advice and communication skills</t>
  </si>
  <si>
    <t>Explore the concept of active problem-solving in relationships, focusing on collaboration and finding mutually beneficial solutions.</t>
  </si>
  <si>
    <t>Discuss the role of trust and honesty in nurturing strong and long-lasting relationships.</t>
  </si>
  <si>
    <t>Share strategies for effective communication during conflicts or disagreements, emphasizing the importance of staying calm and respectful.</t>
  </si>
  <si>
    <t>Explore the benefits of practicing mindfulness in relationships, fostering present-moment awareness and deeper connections.</t>
  </si>
  <si>
    <t>Discuss the impact of practicing active appreciation and expressing love languages to strengthen emotional bonds in relationships.</t>
  </si>
  <si>
    <t>Share tips for cultivating healthy and open communication with family members, including active listening and conflict resolution techniques.</t>
  </si>
  <si>
    <t>Explore the concept of effective communication in friendships, highlighting the importance of trust, loyalty, and mutual support.</t>
  </si>
  <si>
    <t>Discuss the role of effective communication in professional relationships, emphasizing active listening and clear expression of ideas.</t>
  </si>
  <si>
    <t>Share strategies for building trust in relationships, focusing on consistent actions, open communication, and vulnerability.</t>
  </si>
  <si>
    <t>Explore the benefits of practicing effective communication in parenting, including active listening and clear boundaries.</t>
  </si>
  <si>
    <t>Discuss the impact of practicing forgiveness and letting go of grudges in maintaining healthy and harmonious relationships.</t>
  </si>
  <si>
    <t>Share tips for navigating long-distance relationships, focusing on open communication, trust-building, and shared experiences.</t>
  </si>
  <si>
    <t>Explore the concept of effective communication in blended families, addressing challenges and fostering a sense of belonging.</t>
  </si>
  <si>
    <t>Discuss the role of effective communication in resolving conflicts between friends, emphasizing empathy and understanding.</t>
  </si>
  <si>
    <t>Share strategies for building intimacy and connection in romantic relationships through open and vulnerable communication.</t>
  </si>
  <si>
    <t>Explore the benefits of practicing active validation and acknowledgement of emotions in relationships.</t>
  </si>
  <si>
    <t>Discuss the impact of effective communication in the workplace, including active listening, clear expectations, and constructive feedback.</t>
  </si>
  <si>
    <t>Share tips for cultivating healthy boundaries in friendships, respecting individual needs and maintaining mutual respect.</t>
  </si>
  <si>
    <t>Explore the concept of effective communication in parent-child relationships, focusing on active listening and fostering a safe and supportive environment.</t>
  </si>
  <si>
    <t>Discuss the role of effective communication in maintaining healthy boundaries in relationships, preventing codependency and fostering individual growth.</t>
  </si>
  <si>
    <t>Share strategies for resolving conflicts in relationships through assertive communication and active problem-solving.</t>
  </si>
  <si>
    <t>Explore the benefits of practicing effective communication in romantic relationships, promoting understanding, trust, and emotional intimacy.</t>
  </si>
  <si>
    <t>Discuss the impact of effective communication in caregiver relationships, emphasizing empathy, active listening, and clear expectations.</t>
  </si>
  <si>
    <t>Share tips for navigating communication challenges in intercultural relationships, fostering understanding and respect for different perspectives.</t>
  </si>
  <si>
    <t>Explore the concept of effective communication in peer relationships, including active listening, empathy, and conflict resolution skills.</t>
  </si>
  <si>
    <t>Discuss the role of effective communication in maintaining healthy friendships, including clear communication of boundaries and expectations.</t>
  </si>
  <si>
    <t>Share strategies for rebuilding trust in relationships after a breach, emphasizing open communication, accountability, and forgiveness.</t>
  </si>
  <si>
    <t>Explore the benefits of practicing effective communication in sibling relationships, fostering understanding, cooperation, and support.</t>
  </si>
  <si>
    <t>Discuss the impact of effective communication in romantic relationships, including expressing needs, desires, and boundaries.</t>
  </si>
  <si>
    <t>Share tips for navigating communication challenges with aging parents, focusing on empathy, active listening, and patience.</t>
  </si>
  <si>
    <t>Explore the concept of effective communication in mentor-mentee relationships, including active listening, feedback, and guidance.</t>
  </si>
  <si>
    <t>Discuss the role of effective communication in maintaining healthy relationships with ex-partners, emphasizing respect and co-parenting cooperation.</t>
  </si>
  <si>
    <t>Share strategies for building trust and effective communication in team environments, fostering collaboration and shared goals.</t>
  </si>
  <si>
    <t>Explore the benefits of practicing effective communication in self-care and self-love, including setting boundaries and expressing needs.</t>
  </si>
  <si>
    <t>Discuss the impact of effective communication in friendships, including active listening, emotional support, and conflict resolution.</t>
  </si>
  <si>
    <t>Share tips for navigating communication challenges with teenagers, focusing on active listening, empathy, and understanding.</t>
  </si>
  <si>
    <t>Explore the concept of effective communication in LGBTQ+ relationships, addressing unique challenges and fostering acceptance and love.</t>
  </si>
  <si>
    <t>Discuss the role of effective communication in managing stress and conflict within relationships, including self-expression and active problem-solving.</t>
  </si>
  <si>
    <t>Share strategies for maintaining open communication and trust in long-term relationships, including regular check-ins and quality time.</t>
  </si>
  <si>
    <t>Explore the benefits of practicing effective communication in online relationships, including clear boundaries and open dialogue.</t>
  </si>
  <si>
    <t>Discuss the impact of effective communication in professional networking, emphasizing active listening, clear articulation, and relationship-building.</t>
  </si>
  <si>
    <t>Share tips for nurturing communication and connection in long-term marriages or partnerships, including regular date nights and emotional intimacy.</t>
  </si>
  <si>
    <t>Discuss the importance of trust in romantic relationships and share strategies for building and maintaining it.</t>
  </si>
  <si>
    <t>Explore the concept of emotional intelligence and its role in effective communication within relationships.</t>
  </si>
  <si>
    <t>Share tips for expressing gratitude and appreciation to your partner, fostering a positive and loving atmosphere.</t>
  </si>
  <si>
    <t>Discuss the impact of active listening and validation in creating deeper connections and resolving conflicts.</t>
  </si>
  <si>
    <t>Explore the benefits of practicing empathy in relationships, understanding and relating to your partner's emotions.</t>
  </si>
  <si>
    <t>Share strategies for managing and resolving jealousy within relationships, promoting trust and security.</t>
  </si>
  <si>
    <t>Discuss the role of effective communication in setting and achieving shared goals as a couple.</t>
  </si>
  <si>
    <t>Explore the concept of love languages and how understanding them can enhance communication and connection.</t>
  </si>
  <si>
    <t>Share tips for maintaining a healthy work-life balance within relationships, prioritizing quality time together.</t>
  </si>
  <si>
    <t>Discuss the impact of practicing forgiveness and letting go of grudges in nurturing long-lasting relationships.</t>
  </si>
  <si>
    <t>Explore the benefits of practicing active appreciation and showing small acts of kindness in relationships.</t>
  </si>
  <si>
    <t>Share strategies for navigating cultural differences and promoting understanding in intercultural relationships.</t>
  </si>
  <si>
    <t>Discuss the role of effective communication in rebuilding trust after a breach or betrayal.</t>
  </si>
  <si>
    <t>Explore the concept of self-care within relationships, emphasizing the importance of individual well-being.</t>
  </si>
  <si>
    <t>Share tips for fostering healthy communication with in-laws and extended family members.</t>
  </si>
  <si>
    <t>Discuss the impact of effective communication in maintaining healthy friendships alongside romantic relationships.</t>
  </si>
  <si>
    <t>Explore the benefits of quality time and shared experiences in keeping the spark alive in long-term relationships.</t>
  </si>
  <si>
    <t>Share strategies for handling conflicts related to finances and budgeting within relationships.</t>
  </si>
  <si>
    <t>Discuss the role of compromise and negotiation in resolving disagreements and finding win-win solutions.</t>
  </si>
  <si>
    <t>Explore the concept of love and attraction, discussing how to maintain and nurture these aspects in relationships.</t>
  </si>
  <si>
    <t>Share tips for practicing effective communication during times of stress or challenging circumstances.</t>
  </si>
  <si>
    <t>Discuss the impact of social media on relationships and strategies for maintaining healthy boundaries.</t>
  </si>
  <si>
    <t>Explore the benefits of practicing active problem-solving as a team in relationships.</t>
  </si>
  <si>
    <t>Share strategies for nurturing intimacy and connection in long-distance relationships.</t>
  </si>
  <si>
    <t>Discuss the role of effective communication in supporting each other's personal growth and aspirations.</t>
  </si>
  <si>
    <t>Explore the concept of maintaining individual identities within relationships, promoting independence and self-expression.</t>
  </si>
  <si>
    <t>Share tips for navigating communication challenges during major life transitions, such as parenthood or career changes.</t>
  </si>
  <si>
    <t>Discuss the impact of practicing vulnerability and open communication in deepening emotional intimacy.</t>
  </si>
  <si>
    <t>Explore the benefits of practicing self-reflection and self-awareness in improving relationship dynamics.</t>
  </si>
  <si>
    <t>Share strategies for fostering trust and open communication with children and teenagers.</t>
  </si>
  <si>
    <t>Discuss the role of boundaries in maintaining healthy relationships and protecting individual well-being.</t>
  </si>
  <si>
    <t>Explore the concept of active appreciation and acknowledging each other's strengths and efforts.</t>
  </si>
  <si>
    <t>Share tips for nurturing romance and passion in long-term relationships.</t>
  </si>
  <si>
    <t>Discuss the impact of effective communication in setting and respecting personal boundaries within relationships.</t>
  </si>
  <si>
    <t>Explore the benefits of practicing active problem-solving and conflict resolution in parent-child relationships.</t>
  </si>
  <si>
    <t>Share strategies for maintaining a healthy sex life and addressing intimacy issues within relationships.</t>
  </si>
  <si>
    <t>Discuss the role of effective communication in navigating relationship transitions, such as moving in together or getting married.</t>
  </si>
  <si>
    <t>Explore the concept of relationship rituals and the positive impact they can have on connection and intimacy.</t>
  </si>
  <si>
    <t>Share tips for handling disagreements about parenting styles and fostering a unified approach.</t>
  </si>
  <si>
    <t>Discuss the impact of practicing self-compassion and empathy towards oneself in maintaining healthy relationships.</t>
  </si>
  <si>
    <t>Explore the benefits of practicing gratitude and expressing appreciation for each other's contributions.</t>
  </si>
  <si>
    <t>Share strategies for nurturing trust and communication in long-distance relationships.</t>
  </si>
  <si>
    <t>Discuss the role of effective communication in addressing and resolving trust issues within relationships.</t>
  </si>
  <si>
    <t>Explore the concept of active listening and the role it plays in building trust and understanding.</t>
  </si>
  <si>
    <t>Share tips for managing and balancing personal and couple time in relationships.</t>
  </si>
  <si>
    <t>Discuss the impact of practicing effective communication in preventing misunderstandings and miscommunications.</t>
  </si>
  <si>
    <t>Explore the benefits of practicing active conflict resolution techniques, such as reflective listening and compromise.</t>
  </si>
  <si>
    <t>Share strategies for navigating cultural and religious differences in relationships.</t>
  </si>
  <si>
    <t>Discuss the role of effective communication in supporting each other's dreams and aspirations.</t>
  </si>
  <si>
    <t>Explore the concept of healthy boundaries in friendships and how to communicate them effectively.</t>
  </si>
  <si>
    <t>Discuss the importance of building trust and emotional safety in intimate relationships.</t>
  </si>
  <si>
    <t>Share tips for maintaining healthy communication while going through challenging times or crises.</t>
  </si>
  <si>
    <t>Explore the concept of active listening and its role in understanding and validating your partner's emotions.</t>
  </si>
  <si>
    <t>Discuss the impact of effective communication in resolving conflicts and preventing resentment from building up.</t>
  </si>
  <si>
    <t>Share strategies for cultivating a healthy balance of independence and togetherness in relationships.</t>
  </si>
  <si>
    <t>Explore the benefits of practicing empathy and perspective-taking in fostering understanding and connection.</t>
  </si>
  <si>
    <t>Discuss the role of effective communication in nurturing intimacy and keeping the romance alive.</t>
  </si>
  <si>
    <t>Share tips for expressing love and affection in different ways to cater to your partner's love language.</t>
  </si>
  <si>
    <t>Explore the concept of emotional intelligence and its significance in building strong, harmonious relationships.</t>
  </si>
  <si>
    <t>Discuss the impact of effective communication in addressing and resolving issues related to trust and jealousy.</t>
  </si>
  <si>
    <t>Share strategies for maintaining open and honest communication during periods of long-distance or travel.</t>
  </si>
  <si>
    <t>Explore the benefits of practicing active problem-solving and compromise in resolving relationship conflicts.</t>
  </si>
  <si>
    <t>Discuss the role of effective communication in setting and respecting personal boundaries within relationships.</t>
  </si>
  <si>
    <t>Share tips for navigating communication challenges with blended families and step-parenting dynamics.</t>
  </si>
  <si>
    <t>Explore the concept of effective communication in addressing and healing from past relationship traumas.</t>
  </si>
  <si>
    <t>Discuss the impact of practicing gratitude and appreciation for your partner's contributions and qualities.</t>
  </si>
  <si>
    <t>Share strategies for managing and balancing individual needs and priorities within a committed relationship.</t>
  </si>
  <si>
    <t>Explore the benefits of practicing effective communication in building strong friendships within relationships.</t>
  </si>
  <si>
    <t>Discuss the role of self-awareness and self-reflection in promoting healthy relationship dynamics.</t>
  </si>
  <si>
    <t>Share tips for navigating sensitive topics and discussions with compassion and respect.</t>
  </si>
  <si>
    <t>Explore the concept of active validation and supportive communication during times of stress or grief.</t>
  </si>
  <si>
    <t>Discuss the impact of effective communication in maintaining a healthy sexual connection and intimacy.</t>
  </si>
  <si>
    <t>Share strategies for fostering trust and open communication in long-term relationships.</t>
  </si>
  <si>
    <t>Explore the benefits of practicing active listening and empathy in parent-child relationships.</t>
  </si>
  <si>
    <t>Discuss the role of effective communication in addressing and resolving power imbalances within relationships.</t>
  </si>
  <si>
    <t>Share tips for managing conflicts related to finances and budgeting within relationships.</t>
  </si>
  <si>
    <t>Explore the concept of maintaining individual identities and interests while nurturing a shared life.</t>
  </si>
  <si>
    <t>Discuss the impact of practicing effective communication in managing and resolving conflicts with in-laws.</t>
  </si>
  <si>
    <t>Share strategies for nurturing emotional intimacy and vulnerability in relationships.</t>
  </si>
  <si>
    <t>Explore the benefits of practicing forgiveness and letting go of past hurts in relationships.</t>
  </si>
  <si>
    <t>Discuss the role of effective communication in addressing and resolving issues related to intimacy and desire.</t>
  </si>
  <si>
    <t>Share tips for setting and achieving relationship goals together as a couple.</t>
  </si>
  <si>
    <t>Explore the concept of active problem-solving in maintaining a healthy work-life balance within relationships.</t>
  </si>
  <si>
    <t>Discuss the impact of practicing assertive communication in expressing needs and desires within relationships.</t>
  </si>
  <si>
    <t>Share strategies for navigating communication challenges with aging parents and eldercare responsibilities.</t>
  </si>
  <si>
    <t>Explore the benefits of practicing active gratitude and expressing appreciation for your partner's efforts.</t>
  </si>
  <si>
    <t>Discuss the role of effective communication in nurturing trust and connection in online relationships.</t>
  </si>
  <si>
    <t>Share tips for maintaining healthy boundaries and fostering trust in long-distance relationships.</t>
  </si>
  <si>
    <t>Explore the concept of effective communication in resolving conflicts related to parenting styles.</t>
  </si>
  <si>
    <t>Discuss the impact of practicing active self-care and promoting self-love within relationships.</t>
  </si>
  <si>
    <t>Share strategies for managing and resolving conflicts related to career ambitions and personal growth.</t>
  </si>
  <si>
    <t>Explore the benefits of practicing open and non-judgmental communication in supporting mental health within relationships.</t>
  </si>
  <si>
    <t>Discuss the role of effective communication in navigating and embracing change and life transitions.</t>
  </si>
  <si>
    <t>Share tips for cultivating a healthy balance of quality time and personal space in relationships.</t>
  </si>
  <si>
    <t>Explore the concept of effective communication in addressing and resolving issues related to addiction or substance abuse.</t>
  </si>
  <si>
    <t>Discuss the impact of practicing active appreciation and celebrating milestones in relationships.</t>
  </si>
  <si>
    <t>Share strategies for managing and resolving conflicts related to household responsibilities and chores.</t>
  </si>
  <si>
    <t>Explore the benefits of practicing active communication and empathy in supporting each other's dreams and aspirations.</t>
  </si>
  <si>
    <t>Discuss the role of effective communication in navigating conflicts and differences in religious or spiritual beliefs.</t>
  </si>
  <si>
    <t>Share tips for maintaining a strong emotional connection and keeping the flame alive in long-term relationships.</t>
  </si>
  <si>
    <t>Discuss the importance of practicing active listening and validation in fostering trust and understanding.</t>
  </si>
  <si>
    <t>Share tips for navigating communication challenges with introverted or extroverted partners.</t>
  </si>
  <si>
    <t>Explore the concept of effective communication in managing and resolving conflicts related to different parenting styles.</t>
  </si>
  <si>
    <t>Discuss the impact of practicing effective communication in maintaining a healthy work-life balance as a couple.</t>
  </si>
  <si>
    <t>Share strategies for fostering open and non-judgmental communication in addressing sensitive topics or past traumas.</t>
  </si>
  <si>
    <t>Explore the benefits of practicing empathy and understanding in bridging communication gaps between generations.</t>
  </si>
  <si>
    <t>Discuss the role of effective communication in setting and respecting boundaries in polyamorous or non-monogamous relationships.</t>
  </si>
  <si>
    <t>Share tips for maintaining a healthy sense of individuality and personal growth within committed relationships.</t>
  </si>
  <si>
    <t>Explore the concept of effective communication in addressing and resolving issues related to body image and self-esteem.</t>
  </si>
  <si>
    <t>Discuss the impact of practicing active problem-solving and compromise in resolving conflicts related to household finances.</t>
  </si>
  <si>
    <t>Share strategies for nurturing intimacy and connection in long-term relationships amidst busy schedules and responsibilities.</t>
  </si>
  <si>
    <t>Explore the benefits of practicing forgiveness and letting go of resentment in healing and rebuilding relationships.</t>
  </si>
  <si>
    <t>Discuss the role of effective communication in addressing and resolving conflicts related to differing political or social beliefs.</t>
  </si>
  <si>
    <t>Share tips for maintaining a healthy balance between digital connectivity and quality time in modern relationships.</t>
  </si>
  <si>
    <t>Explore the concept of effective communication in addressing and resolving conflicts related to differing career aspirations.</t>
  </si>
  <si>
    <t>Discuss the impact of practicing active appreciation and expressing gratitude for the small moments in relationships.</t>
  </si>
  <si>
    <t>Share strategies for navigating communication challenges with partners from different cultural backgrounds.</t>
  </si>
  <si>
    <t>Explore the benefits of practicing assertive communication in expressing needs and desires in a healthy and respectful manner.</t>
  </si>
  <si>
    <t>Discuss the role of effective communication in addressing and resolving issues related to trust and infidelity.</t>
  </si>
  <si>
    <t>Share tips for fostering open and honest communication with children and teenagers within the family dynamic.</t>
  </si>
  <si>
    <t>Explore the concept of effective communication in addressing and resolving conflicts related to intimacy and sexual desires.</t>
  </si>
  <si>
    <t>Discuss the impact of practicing active communication in maintaining healthy friendships outside of the romantic relationship.</t>
  </si>
  <si>
    <t>Share strategies for nurturing trust and connection in long-distance relationships amidst physical separation.</t>
  </si>
  <si>
    <t>Explore the benefits of practicing vulnerability and emotional openness in deepening intimacy and connection.</t>
  </si>
  <si>
    <t>Discuss the role of effective communication in addressing and resolving conflicts related to differing expectations and goals for the future.</t>
  </si>
  <si>
    <t>Discuss the importance of SEO optimization in improving website visibility and organic search rankings.</t>
  </si>
  <si>
    <t>Share tips for conducting keyword research and incorporating relevant keywords into website content.</t>
  </si>
  <si>
    <t>Explore the concept of on-page SEO optimization and best practices for optimizing meta tags and headers.</t>
  </si>
  <si>
    <t>Discuss the impact of mobile optimization on SEO rankings and strategies for optimizing websites for mobile devices.</t>
  </si>
  <si>
    <t>Share strategies for improving website loading speed and its impact on SEO performance.</t>
  </si>
  <si>
    <t>Explore the benefits of creating high-quality, engaging content for SEO purposes.</t>
  </si>
  <si>
    <t>Discuss the role of backlinks in SEO optimization and strategies for acquiring high-quality backlinks.</t>
  </si>
  <si>
    <t>Share tips for optimizing website structure and navigation for better user experience and SEO performance.</t>
  </si>
  <si>
    <t>SEO Optimization</t>
  </si>
  <si>
    <t>Explore the concept of local SEO optimization and strategies for improving visibility in local search results.</t>
  </si>
  <si>
    <t>Discuss the impact of user engagement metrics, such as bounce rate and time on page, on SEO rankings.</t>
  </si>
  <si>
    <t>Share strategies for optimizing images and multimedia elements for better SEO performance.</t>
  </si>
  <si>
    <t>Explore the benefits of implementing schema markup and structured data for enhanced search engine visibility.</t>
  </si>
  <si>
    <t>Discuss the role of social media signals in SEO optimization and strategies for leveraging social media for better rankings.</t>
  </si>
  <si>
    <t>Share tips for optimizing website URLs and creating search engine-friendly URL structures.</t>
  </si>
  <si>
    <t>Explore the concept of site architecture and its impact on SEO rankings and crawlability.</t>
  </si>
  <si>
    <t>Discuss the importance of website security and HTTPS encryption for SEO optimization.</t>
  </si>
  <si>
    <t>Share strategies for optimizing website content for featured snippets and improving visibility in search engine result pages (SERPs).</t>
  </si>
  <si>
    <t>Explore the benefits of user-generated content and strategies for encouraging user reviews and testimonials for SEO purposes.</t>
  </si>
  <si>
    <t>Discuss the role of site speed optimization and strategies for reducing page load times.</t>
  </si>
  <si>
    <t>Share tips for optimizing website metadata, including title tags and meta descriptions, for better click-through rates in search results.</t>
  </si>
  <si>
    <t>Explore the concept of semantic search and the importance of creating content that matches user search intent.</t>
  </si>
  <si>
    <t>Discuss the impact of voice search on SEO optimization and strategies for optimizing content for voice queries.</t>
  </si>
  <si>
    <t>Share strategies for optimizing local business listings and directories for improved local SEO performance.</t>
  </si>
  <si>
    <t>Explore the benefits of implementing an effective internal linking strategy for better website crawlability and SEO rankings.</t>
  </si>
  <si>
    <t>Discuss the role of user experience (UX) in SEO optimization and strategies for improving UX signals on websites.</t>
  </si>
  <si>
    <t>Share tips for optimizing website content for long-tail keywords and niche search queries.</t>
  </si>
  <si>
    <t>Explore the concept of search engine penalties and strategies for avoiding common SEO pitfalls.</t>
  </si>
  <si>
    <t>Discuss the importance of regular website audits and optimization for maintaining strong SEO performance.</t>
  </si>
  <si>
    <t>Share strategies for optimizing website content for rich snippets and enhancing visibility in search results.</t>
  </si>
  <si>
    <t>Explore the benefits of creating an XML sitemap and submitting it to search engines for better crawlability.</t>
  </si>
  <si>
    <t>Discuss the role of content freshness and regular updates in SEO optimization.</t>
  </si>
  <si>
    <t>Share tips for optimizing website navigation and site structure for improved user experience and SEO rankings.</t>
  </si>
  <si>
    <t>Explore the concept of link building and strategies for acquiring high-quality, authoritative backlinks.</t>
  </si>
  <si>
    <t>Discuss the impact of social signals and social media marketing on SEO performance.</t>
  </si>
  <si>
    <t>Share strategies for optimizing website content for local keywords and geographic targeting.</t>
  </si>
  <si>
    <t>Explore the benefits of creating pillar content and topic clusters for better SEO visibility.</t>
  </si>
  <si>
    <t>Discuss the role of user-generated reviews and ratings in local SEO optimization.</t>
  </si>
  <si>
    <t>Share tips for optimizing website content for mobile-first indexing and responsive design.</t>
  </si>
  <si>
    <t>Explore the concept of SEO analytics and the use of data to measure and improve SEO performance.</t>
  </si>
  <si>
    <t>Discuss the importance of website accessibility and its impact on SEO rankings.</t>
  </si>
  <si>
    <t>Share strategies for optimizing website content for international audiences and multilingual SEO.</t>
  </si>
  <si>
    <t>Explore the benefits of optimizing website navigation for better internal linking and user experience.</t>
  </si>
  <si>
    <t>Discuss the role of content promotion and outreach in SEO optimization.</t>
  </si>
  <si>
    <t>Share tips for optimizing website content for semantic search and natural language processing.</t>
  </si>
  <si>
    <t>Explore the concept of content silos and strategies for organizing website content for better SEO performance.</t>
  </si>
  <si>
    <t>Discuss the impact of user reviews and ratings on local SEO rankings and reputation management.</t>
  </si>
  <si>
    <t>Share strategies for optimizing website content for high-converting keywords and user intent.</t>
  </si>
  <si>
    <t>Explore the benefits of implementing structured data markup for better visibility in search results.</t>
  </si>
  <si>
    <t>Discuss the role of competitor analysis in SEO optimization and strategies for staying ahead of the competition.</t>
  </si>
  <si>
    <t>Share tips for optimizing website content for voice search queries and voice-enabled devices.</t>
  </si>
  <si>
    <t>Discuss the importance of creating an XML sitemap and submitting it to search engines for improved crawlability.</t>
  </si>
  <si>
    <t>Share tips for optimizing website content for local keywords and location-based search queries.</t>
  </si>
  <si>
    <t>Explore the concept of optimizing website URLs for better search engine visibility and user experience.</t>
  </si>
  <si>
    <t>Discuss the impact of social media signals on SEO rankings and strategies for leveraging social media for better visibility.</t>
  </si>
  <si>
    <t>Share strategies for optimizing website content for voice search and capturing voice search traffic.</t>
  </si>
  <si>
    <t>Explore the benefits of optimizing website content for featured snippets and increasing visibility in search results.</t>
  </si>
  <si>
    <t>Discuss the role of link building in SEO optimization and effective strategies for acquiring high-quality backlinks.</t>
  </si>
  <si>
    <t>Share tips for optimizing website images, including proper file naming, alt tags, and image compression.</t>
  </si>
  <si>
    <t>Explore the concept of structured data and schema markup in enhancing search engine understanding of website content.</t>
  </si>
  <si>
    <t>Discuss the importance of user experience (UX) in SEO optimization and strategies for improving website usability.</t>
  </si>
  <si>
    <t>Share strategies for optimizing website content for long-tail keywords and niche search queries.</t>
  </si>
  <si>
    <t>Explore the benefits of creating high-quality, informative content to establish authority and improve SEO rankings.</t>
  </si>
  <si>
    <t>Discuss the role of anchor text optimization in link building and strategies for using anchor text effectively.</t>
  </si>
  <si>
    <t>Share tips for optimizing website content for mobile devices and ensuring a responsive design.</t>
  </si>
  <si>
    <t>Explore the concept of local SEO and strategies for optimizing local business listings and directories.</t>
  </si>
  <si>
    <t>Discuss the impact of user engagement metrics, such as dwell time and click-through rates, on SEO rankings.</t>
  </si>
  <si>
    <t>Share strategies for optimizing website content for video SEO and increasing visibility in video search results.</t>
  </si>
  <si>
    <t>Explore the benefits of creating a comprehensive internal linking structure to improve website crawlability.</t>
  </si>
  <si>
    <t>Discuss the role of user-generated content in SEO optimization and strategies for encouraging user reviews and testimonials.</t>
  </si>
  <si>
    <t>Share tips for optimizing website content for quick answers and appearing in the Google Knowledge Graph.</t>
  </si>
  <si>
    <t>Explore the concept of E-A-T (Expertise, Authoritativeness, Trustworthiness) and its impact on SEO rankings.</t>
  </si>
  <si>
    <t>Discuss the importance of website security and HTTPS encryption in SEO optimization.</t>
  </si>
  <si>
    <t>Share strategies for optimizing website content for international SEO and reaching a global audience.</t>
  </si>
  <si>
    <t>Explore the benefits of optimizing website speed and performance for better user experience and SEO rankings.</t>
  </si>
  <si>
    <t>Discuss the role of content repurposing and recycling in maximizing SEO impact and reaching a wider audience.</t>
  </si>
  <si>
    <t>Explore the concept of content depth and comprehensiveness in improving search engine visibility.</t>
  </si>
  <si>
    <t>Discuss the impact of social bookmarking and social sharing on SEO performance.</t>
  </si>
  <si>
    <t>Share strategies for optimizing website content for rich snippets and increasing visibility in search result snippets.</t>
  </si>
  <si>
    <t>Explore the benefits of optimizing website content for people also ask (PAA) boxes in search results.</t>
  </si>
  <si>
    <t>Discuss the role of online reviews and reputation management in local SEO optimization.</t>
  </si>
  <si>
    <t>Share tips for optimizing website content for image search and leveraging visual elements for SEO.</t>
  </si>
  <si>
    <t>Explore the concept of site architecture and the organization of website content for improved SEO performance.</t>
  </si>
  <si>
    <t>Discuss the impact of mobile-first indexing on SEO rankings and strategies for optimizing for mobile devices.</t>
  </si>
  <si>
    <t>Share strategies for optimizing website content for long-form articles and comprehensive guides.</t>
  </si>
  <si>
    <t>Explore the benefits of implementing a content distribution strategy to increase backlinks and referral traffic.</t>
  </si>
  <si>
    <t>Discuss the importance of monitoring and analyzing SEO performance using analytics tools.</t>
  </si>
  <si>
    <t>Share tips for optimizing website content for seasonal or time-sensitive keywords and events.</t>
  </si>
  <si>
    <t>Explore the concept of content freshness and the impact of regular updates on SEO rankings.</t>
  </si>
  <si>
    <t>Discuss the role of user-generated Q&amp;A content in SEO optimization and strategies for encouraging user engagement.</t>
  </si>
  <si>
    <t>Share strategies for optimizing website content for local voice search queries and voice-enabled devices.</t>
  </si>
  <si>
    <t>Explore the benefits of optimizing website content for search intent and aligning with user needs and goals.</t>
  </si>
  <si>
    <t>Discuss the impact of website authority and domain trust on SEO rankings and strategies for building credibility.</t>
  </si>
  <si>
    <t>Share tips for optimizing website content for local directories and review platforms.</t>
  </si>
  <si>
    <t>Explore the concept of pillar pages and topic clusters in organizing and optimizing website content.</t>
  </si>
  <si>
    <t>Discuss the importance of optimizing meta tags, including title tags and meta descriptions, for better click-through rates.</t>
  </si>
  <si>
    <t>Share strategies for optimizing website content for snippet optimization and increasing visibility in search results.</t>
  </si>
  <si>
    <t>Explore the benefits of optimizing website content for natural language queries and conversational search.</t>
  </si>
  <si>
    <t>Discuss the role of user experience testing and optimization in improving SEO performance.</t>
  </si>
  <si>
    <t>Share tips for optimizing website content for answer boxes and appearing as a featured answer in search results.</t>
  </si>
  <si>
    <t>Explore the concept of link reclamation and strategies for reclaiming broken or lost backlinks.</t>
  </si>
  <si>
    <t>Discuss the impact of social media engagement and shares on SEO rankings.</t>
  </si>
  <si>
    <t>Share strategies for optimizing website content for Google News and appearing in news search results.</t>
  </si>
  <si>
    <t>Explore the benefits of creating and optimizing content for niche or industry-specific keywords.</t>
  </si>
  <si>
    <t>Discuss the role of user-generated ratings and reviews in e-commerce SEO optimization.</t>
  </si>
  <si>
    <t>Share tips for optimizing website content for voice assistants, such as Siri, Alexa, and Google Assistant.</t>
  </si>
  <si>
    <t>Explore the concept of local link building and strategies for acquiring backlinks from local sources.</t>
  </si>
  <si>
    <t>Share strategies for optimizing website content for evergreen topics and maintaining long-term SEO value.</t>
  </si>
  <si>
    <t>Explore the benefits of optimizing website content for local events and community involvement.</t>
  </si>
  <si>
    <t>Discuss the role of influencer marketing in SEO optimization and strategies for collaborating with influencers.</t>
  </si>
  <si>
    <t>Share tips for optimizing website content for knowledge panels and appearing as a featured entity in search results.</t>
  </si>
  <si>
    <t>Explore the concept of link profile analysis and strategies for identifying and disavowing toxic backlinks.</t>
  </si>
  <si>
    <t>Discuss the impact of content formatting, such as headings and bullet points, on SEO visibility.</t>
  </si>
  <si>
    <t>Share strategies for optimizing website content for product and service keywords in e-commerce SEO.</t>
  </si>
  <si>
    <t>Explore the benefits of optimizing website content for niche directories and industry-specific platforms.</t>
  </si>
  <si>
    <t>Discuss the role of social media listening and sentiment analysis in SEO optimization.</t>
  </si>
  <si>
    <t>Share tips for optimizing website content for local maps and appearing in local map search results.</t>
  </si>
  <si>
    <t>Explore the concept of user-generated content curation and its impact on SEO visibility.</t>
  </si>
  <si>
    <t>Discuss the importance of user experience optimization for mobile users and strategies for mobile SEO.</t>
  </si>
  <si>
    <t>Share strategies for optimizing website content for trending topics and capitalizing on viral content.</t>
  </si>
  <si>
    <t>Explore the benefits of optimizing website content for long-tail keyword variations and synonyms.</t>
  </si>
  <si>
    <t>Discuss the role of content promotion and outreach in acquiring high-quality backlinks and referral traffic.</t>
  </si>
  <si>
    <t>Share tips for optimizing website content for international markets and multilingual SEO.</t>
  </si>
  <si>
    <t>Explore the concept of keyword cannibalization and strategies for resolving duplicate content issues.</t>
  </si>
  <si>
    <t>Discuss the impact of social media profiles and engagement on personal brand SEO.</t>
  </si>
  <si>
    <t>Share strategies for optimizing website content for product descriptions and e-commerce SEO.</t>
  </si>
  <si>
    <t>Explore the benefits of optimizing website content for voice search and natural language queries.</t>
  </si>
  <si>
    <t>Discuss the role of user-generated content in local SEO optimization and reputation management.</t>
  </si>
  <si>
    <t>Share tips for optimizing website content for local citation building and improving local SEO visibility.</t>
  </si>
  <si>
    <t>Explore the concept of backlink outreach and effective strategies for acquiring authoritative backlinks.</t>
  </si>
  <si>
    <t>Discuss the importance of user-generated ratings and reviews in local business SEO optimization.</t>
  </si>
  <si>
    <t>Share strategies for optimizing website content for local events and leveraging local community connections.</t>
  </si>
  <si>
    <t>Explore the benefits of optimizing website content for industry-specific keywords and niche search queries.</t>
  </si>
  <si>
    <t>Discuss the role of social media signals in SEO optimization and strategies for boosting social engagement.</t>
  </si>
  <si>
    <t>Share tips for optimizing website content for Google My Business and local search visibility.</t>
  </si>
  <si>
    <t>Discuss the importance of website structure and internal linking for improved crawlability and user experience.</t>
  </si>
  <si>
    <t>Share strategies for optimizing website content for user-generated Q&amp;A platforms and featured snippets.</t>
  </si>
  <si>
    <t>Explore the benefits of optimizing website content for user intent and aligning with searchers' goals.</t>
  </si>
  <si>
    <t>Discuss the role of local schema markup in local SEO optimization and rich snippet visibility.</t>
  </si>
  <si>
    <t>Share tips for optimizing website content for voice search and capturing voice assistant traffic.</t>
  </si>
  <si>
    <t>Explore the concept of content repurposing and recycling for maximum SEO impact and reach.</t>
  </si>
  <si>
    <t>Share strategies for optimizing website content for rich snippets and increasing visibility in search results.</t>
  </si>
  <si>
    <t>Explore the benefits of optimizing website content for quick answers and appearing in the Google Knowledge Graph.</t>
  </si>
  <si>
    <t>Discuss the role of social bookmarking and social sharing in SEO optimization.</t>
  </si>
  <si>
    <t>Discuss the impact of user reviews and reputation management on local SEO rankings.</t>
  </si>
  <si>
    <t>Discuss the importance of long-tail keywords in SEO optimization and strategies for targeting them effectively.</t>
  </si>
  <si>
    <t>Share tips for optimizing website content for mobile-first indexing and ensuring a mobile-friendly user experience.</t>
  </si>
  <si>
    <t>Explore the concept of natural language processing in search engines and its implications for SEO optimization.</t>
  </si>
  <si>
    <t>Discuss the role of user-generated content in SEO rankings and strategies for encouraging user contributions.</t>
  </si>
  <si>
    <t>Share strategies for optimizing website content for Google's featured snippets and increasing visibility in search results.</t>
  </si>
  <si>
    <t>Explore the benefits of optimizing website content for local search intent and targeting local keywords.</t>
  </si>
  <si>
    <t>Discuss the impact of user experience (UX) design on SEO performance and strategies for improving UX factors.</t>
  </si>
  <si>
    <t>Explore the concept of topic clusters and pillar content in organizing and optimizing website structure.</t>
  </si>
  <si>
    <t>Discuss the importance of backlink quality over quantity and strategies for acquiring authoritative backlinks.</t>
  </si>
  <si>
    <t>Explore the benefits of optimizing website content for long-form articles and comprehensive guides.</t>
  </si>
  <si>
    <t>Explore the concept of user intent and its significance in optimizing website content for search engines.</t>
  </si>
  <si>
    <t>Discuss the impact of website loading speed on SEO rankings and strategies for improving site performance.</t>
  </si>
  <si>
    <t>Share strategies for optimizing website content for voice search and natural language queries.</t>
  </si>
  <si>
    <t>Explore the benefits of optimizing website content for local maps and appearing in local search results.</t>
  </si>
  <si>
    <t>Discuss the role of user-generated content in SEO optimization and strategies for leveraging user reviews and testimonials.</t>
  </si>
  <si>
    <t>Share tips for optimizing website content for semantic search and aligning with search engine algorithms.</t>
  </si>
  <si>
    <t>Explore the concept of influencer collaborations in SEO optimization and strategies for building relationships.</t>
  </si>
  <si>
    <t>Discuss the importance of on-page SEO factors, such as meta tags and headings, in search engine visibility.</t>
  </si>
  <si>
    <t>Explore the benefits of optimizing website content for rich snippets and increasing visibility in search results.</t>
  </si>
  <si>
    <t>Discuss the role of social media engagement and shares in SEO rankings and strategies for maximizing social impact.</t>
  </si>
  <si>
    <t>Discuss the impact of user engagement metrics, such as bounce rate and time on page, on SEO performance.</t>
  </si>
  <si>
    <t>Discuss the role of content repurposing and recycling in maximizing SEO impact and reach.</t>
  </si>
  <si>
    <t>Explore the concept of local schema markup and its impact on local search visibility and rich snippets.</t>
  </si>
  <si>
    <t>Discuss the importance of user reviews and ratings in local SEO optimization and reputation management.</t>
  </si>
  <si>
    <t>Share strategies for optimizing website content for knowledge panels and appearing as a featured entity in search results.</t>
  </si>
  <si>
    <t>Discuss the role of local link building in SEO optimization and strategies for acquiring local backlinks.</t>
  </si>
  <si>
    <t>Share tips for optimizing website content for industry-specific keywords and targeting niche audiences.</t>
  </si>
  <si>
    <t>Explore the benefits of optimizing website content for evergreen topics and maintaining long-term SEO value.</t>
  </si>
  <si>
    <t>Share tips for optimizing website content for rich media, such as images and videos, for enhanced SEO visibility.</t>
  </si>
  <si>
    <t>Share strategies for optimizing website content for local event promotion and community involvement.</t>
  </si>
  <si>
    <t>Share tips for optimizing website content for local citation building and improving local search visibility.</t>
  </si>
  <si>
    <t>Discuss the importance of user-generated ratings and reviews in local SEO optimization and reputation management.</t>
  </si>
  <si>
    <t>Share strategies for optimizing website content for local landing pages and location-based keywords.</t>
  </si>
  <si>
    <t>Explore the benefits of optimizing website content for question-based queries and FAQs.</t>
  </si>
  <si>
    <t>Discuss the role of social media advertising in SEO optimization and strategies for integrating paid and organic efforts.</t>
  </si>
  <si>
    <t>Share tips for optimizing website content for product descriptions and e-commerce SEO.</t>
  </si>
  <si>
    <t>Explore the concept of on-site user engagement metrics and their impact on SEO rankings.</t>
  </si>
  <si>
    <t>Discuss the importance of website crawlability and indexability for search engine visibility.</t>
  </si>
  <si>
    <t>Share strategies for optimizing website content for long-tail keyword variations and synonyms.</t>
  </si>
  <si>
    <t>Explore the benefits of optimizing website content for user intent and aligning with searcher needs and expectations.</t>
  </si>
  <si>
    <t>Discuss the role of internal linking and site architecture in SEO optimization.</t>
  </si>
  <si>
    <t>Share tips for optimizing website content for Google News and appearing in news search results.</t>
  </si>
  <si>
    <t>Explore the concept of competitor analysis in SEO optimization and strategies for staying ahead in the SERPs.</t>
  </si>
  <si>
    <t>Discuss the importance of website accessibility and its impact on SEO rankings and user experience.</t>
  </si>
  <si>
    <t>Share strategies for optimizing website content for local influencer partnerships and collaborations.</t>
  </si>
  <si>
    <t>Explore the benefits of optimizing website content for user-generated testimonials and case studies.</t>
  </si>
  <si>
    <t>Explore the concept of semantic search and strategies for incorporating contextual relevance into content.</t>
  </si>
  <si>
    <t>Discuss the importance of site structure and hierarchy in SEO optimization.</t>
  </si>
  <si>
    <t>Explore the benefits of optimizing website content for local search ads and geo-targeted campaigns.</t>
  </si>
  <si>
    <t>Discuss the role of content freshness and regular updates in SEO rankings and user engagement.</t>
  </si>
  <si>
    <t>Share tips for optimizing website content for keyword placement and density without keyword stuffing.</t>
  </si>
  <si>
    <t>Explore the concept of image optimization and strategies for improving image search visibility.</t>
  </si>
  <si>
    <t>Discuss the importance of content quality and relevance in SEO optimization.</t>
  </si>
  <si>
    <t>Share strategies for optimizing website content for rich product snippets and e-commerce SEO.</t>
  </si>
  <si>
    <t>Explore the benefits of optimizing website content for semantic markup and structured data.</t>
  </si>
  <si>
    <t>Discuss the role of social media profiles and engagement in personal brand SEO optimization.</t>
  </si>
  <si>
    <t>Share tips for optimizing website content for local reviews and reputation management.</t>
  </si>
  <si>
    <t>Explore the concept of user intent and strategies for aligning content with user needs and search queries.</t>
  </si>
  <si>
    <t>Discuss the importance of local content marketing in SEO optimization and community engagement.</t>
  </si>
  <si>
    <t>Share strategies for optimizing website content for industry-specific search engines and directories.</t>
  </si>
  <si>
    <t>Explore the benefits of optimizing website content for local voice search and smart assistant devices.</t>
  </si>
  <si>
    <t>Discuss the role of content syndication and guest blogging in SEO optimization and brand exposure.</t>
  </si>
  <si>
    <t>Share tips for optimizing website content for featured snippets and appearing as a knowledge resource.</t>
  </si>
  <si>
    <t>Explore the concept of user engagement signals and their impact on SEO rankings.</t>
  </si>
  <si>
    <t>Discuss the importance of competitor research in SEO optimization and strategies for differentiating from competitors.</t>
  </si>
  <si>
    <t>Blogging</t>
  </si>
  <si>
    <t>Share tips for choosing a niche for your blog and identifying your target audience.</t>
  </si>
  <si>
    <t>Discuss the importance of creating an editorial calendar for consistent and organized blogging.</t>
  </si>
  <si>
    <t>Explore different types of blog post formats, such as listicles, tutorials, and interviews, and their effectiveness.</t>
  </si>
  <si>
    <t>Share strategies for brainstorming engaging blog post ideas and overcoming writer's block.</t>
  </si>
  <si>
    <t>Discuss the importance of creating compelling blog post titles that capture readers' attention.</t>
  </si>
  <si>
    <t>Explore different ways to monetize your blog, such as affiliate marketing, sponsored content, and digital products.</t>
  </si>
  <si>
    <t>Share tips for optimizing blog posts for search engines and improving organic traffic.</t>
  </si>
  <si>
    <t>Discuss the role of storytelling in blog writing and how to create engaging narratives.</t>
  </si>
  <si>
    <t>Explore the benefits of guest blogging and how to pitch and collaborate with other bloggers.</t>
  </si>
  <si>
    <t>Share strategies for promoting your blog through social media, email marketing, and networking.</t>
  </si>
  <si>
    <t>Discuss the importance of building an email list and using email marketing to engage with your blog audience.</t>
  </si>
  <si>
    <t>Explore different blog design elements and layouts that enhance user experience and readability.</t>
  </si>
  <si>
    <t>Share tips for writing captivating introductions and hooks to grab readers' attention.</t>
  </si>
  <si>
    <t>Discuss the role of visuals, such as images, infographics, and videos, in enhancing blog content.</t>
  </si>
  <si>
    <t>Explore the benefits of incorporating storytelling techniques into your blog posts.</t>
  </si>
  <si>
    <t>Share strategies for building a loyal blog community and fostering reader engagement through comments and discussions.</t>
  </si>
  <si>
    <t>Discuss the importance of conducting keyword research and incorporating SEO best practices in blog writing.</t>
  </si>
  <si>
    <t>Explore different ways to repurpose and recycle blog content to reach a wider audience.</t>
  </si>
  <si>
    <t>Share tips for crafting effective calls-to-action (CTAs) to encourage reader engagement and conversions.</t>
  </si>
  <si>
    <t>Discuss the role of data-driven blogging and how to use analytics to optimize your content strategy.</t>
  </si>
  <si>
    <t>Explore the benefits of collaborating with other bloggers and influencers on joint content projects.</t>
  </si>
  <si>
    <t>Share strategies for creating evergreen content that remains relevant and valuable over time.</t>
  </si>
  <si>
    <t>Discuss the importance of maintaining a consistent blogging schedule and strategies for staying motivated.</t>
  </si>
  <si>
    <t>Explore different ways to leverage social media platforms to drive traffic and grow your blog audience.</t>
  </si>
  <si>
    <t>Share tips for developing a unique blogging voice and establishing your personal brand.</t>
  </si>
  <si>
    <t>Discuss the role of guest posting on high-authority websites to boost your blog's visibility and credibility.</t>
  </si>
  <si>
    <t>Explore the benefits of incorporating multimedia content, such as podcasts or webinars, into your blog.</t>
  </si>
  <si>
    <t>Share strategies for writing engaging and shareable blog post headlines for social media promotion.</t>
  </si>
  <si>
    <t>Discuss the importance of conducting competitor analysis and staying updated with industry trends in blog writing.</t>
  </si>
  <si>
    <t>Explore different ways to monetize your blog through sponsored content and brand collaborations.</t>
  </si>
  <si>
    <t>Share tips for structuring blog posts with clear headings, subheadings, and bullet points for easy readability.</t>
  </si>
  <si>
    <t>Discuss the role of email marketing funnels in converting blog readers into loyal subscribers.</t>
  </si>
  <si>
    <t>Explore the benefits of conducting reader surveys and using feedback to improve your blog content.</t>
  </si>
  <si>
    <t>Share strategies for repurposing blog content into e-books, online courses, or downloadable resources.</t>
  </si>
  <si>
    <t>Discuss the importance of creating compelling meta descriptions and featured snippets to improve click-through rates.</t>
  </si>
  <si>
    <t>Explore different ways to promote your blog through guest interviews, podcast appearances, or virtual summits.</t>
  </si>
  <si>
    <t>Share tips for creating high-quality visuals, such as custom graphics or professional photographs, for your blog.</t>
  </si>
  <si>
    <t>Discuss the role of user-generated content in building a sense of community and driving engagement on your blog.</t>
  </si>
  <si>
    <t>Explore the benefits of incorporating personal anecdotes and experiences into your blog posts.</t>
  </si>
  <si>
    <t>Share strategies for developing a content promotion plan to reach a wider audience beyond your blog.</t>
  </si>
  <si>
    <t>Discuss the importance of building backlinks to improve your blog's domain authority and search engine rankings.</t>
  </si>
  <si>
    <t>Explore different ways to collaborate with other bloggers on roundup posts, expert interviews, or collaborative projects.</t>
  </si>
  <si>
    <t>Share tips for optimizing your blog's loading speed and performance for better user experience.</t>
  </si>
  <si>
    <t>Discuss the role of content upgrades and lead magnets in growing your email list and blog subscribers.</t>
  </si>
  <si>
    <t>Explore the benefits of conducting keyword research and incorporating long-tail keywords in your blog posts.</t>
  </si>
  <si>
    <t>Share strategies for crafting compelling conclusions that leave a lasting impression on your readers.</t>
  </si>
  <si>
    <t>Discuss the importance of building an engaged social media following to amplify your blog's reach.</t>
  </si>
  <si>
    <t>Explore different ways to leverage influencer marketing to promote your blog and reach new audiences.</t>
  </si>
  <si>
    <t>Share tips for writing blog posts that address common pain points or provide practical solutions for readers.</t>
  </si>
  <si>
    <t>Discuss the role of guest experts or industry influencers in contributing guest posts to your blog.</t>
  </si>
  <si>
    <t>Share strategies for conducting effective interviews with industry experts and thought leaders for blog content.</t>
  </si>
  <si>
    <t>Discuss the importance of creating engaging and visually appealing blog post layouts using formatting and typography.</t>
  </si>
  <si>
    <t>Explore different ways to leverage user-generated content, such as testimonials or success stories, in your blog.</t>
  </si>
  <si>
    <t>Share tips for optimizing your blog for mobile devices to cater to the growing mobile audience.</t>
  </si>
  <si>
    <t>Discuss the role of influencer outreach and collaborations in expanding your blog's reach and audience.</t>
  </si>
  <si>
    <t>Explore the benefits of conducting surveys or polls to gather insights and data for informative blog posts.</t>
  </si>
  <si>
    <t>Share strategies for promoting your blog through online communities, forums, or niche-specific platforms.</t>
  </si>
  <si>
    <t>Discuss the importance of optimizing your blog's meta tags, including title tags and meta descriptions, for SEO.</t>
  </si>
  <si>
    <t>Explore different ways to engage with your blog readers through interactive elements like quizzes or surveys.</t>
  </si>
  <si>
    <t>Share tips for repurposing blog content into visually appealing infographics or slide decks for increased shareability.</t>
  </si>
  <si>
    <t>Discuss the role of content curation in adding value to your blog by curating and sharing relevant industry news and resources.</t>
  </si>
  <si>
    <t>Explore the benefits of incorporating storytelling techniques, such as personal anecdotes or case studies, into your blog posts.</t>
  </si>
  <si>
    <t>Share strategies for creating attention-grabbing blog post introductions that hook readers from the start.</t>
  </si>
  <si>
    <t>Discuss the importance of user-friendly navigation and intuitive site structure for better blog usability.</t>
  </si>
  <si>
    <t>Explore different ways to leverage email marketing to nurture relationships with your blog subscribers and drive traffic.</t>
  </si>
  <si>
    <t>Share tips for conducting effective keyword research to identify trending topics and optimize your blog content.</t>
  </si>
  <si>
    <t>Discuss the role of data visualization, such as charts or graphs, in presenting information effectively in your blog.</t>
  </si>
  <si>
    <t>Explore the benefits of conducting expert roundup posts, where you gather insights and opinions from industry experts on a specific topic.</t>
  </si>
  <si>
    <t>Share strategies for leveraging social proof, such as user testimonials or case studies, to build credibility for your blog.</t>
  </si>
  <si>
    <t>Discuss the importance of incorporating internal links within your blog posts to improve navigation and user engagement.</t>
  </si>
  <si>
    <t>Explore different ways to optimize your blog for voice search and cater to the growing popularity of voice-enabled devices.</t>
  </si>
  <si>
    <t>Share tips for writing compelling product reviews or recommendations that resonate with your blog audience.</t>
  </si>
  <si>
    <t>Discuss the role of content syndication and republishing your blog posts on external platforms to reach a wider audience.</t>
  </si>
  <si>
    <t>Explore the benefits of incorporating video content into your blog, such as vlogs, tutorials, or interviews.</t>
  </si>
  <si>
    <t>Share strategies for conducting keyword analysis to identify low competition keywords for better blog ranking opportunities.</t>
  </si>
  <si>
    <t>Discuss the importance of building relationships with other bloggers through networking and collaboration opportunities.</t>
  </si>
  <si>
    <t>Explore different ways to leverage social media influencers to promote your blog and attract new readers.</t>
  </si>
  <si>
    <t>Share tips for optimizing your blog's meta tags, including title tags and meta descriptions, for better click-through rates in search results.</t>
  </si>
  <si>
    <t>Discuss the role of user experience (UX) design in creating a seamless and enjoyable browsing experience for your blog visitors.</t>
  </si>
  <si>
    <t>Explore the benefits of incorporating data-driven content, such as research studies or data analysis, into your blog posts.</t>
  </si>
  <si>
    <t>Share strategies for creating pillar content or ultimate guides that serve as comprehensive resources on specific topics.</t>
  </si>
  <si>
    <t>Discuss the importance of promoting your blog through online communities or forums related to your niche.</t>
  </si>
  <si>
    <t>Explore different ways to leverage influencer takeovers or guest posts on your blog to attract new readers and fresh perspectives.</t>
  </si>
  <si>
    <t>Share tips for optimizing your blog's permalink structure and URL slugs for better search engine visibility.</t>
  </si>
  <si>
    <t>Discuss the role of user-generated content contests or challenges in fostering engagement and creating buzz around your blog.</t>
  </si>
  <si>
    <t>Explore the benefits of creating content series or serialized blog posts to keep readers engaged and coming back for more.</t>
  </si>
  <si>
    <t>Share strategies for using social media analytics and tracking tools to measure the impact of your blog promotion efforts.</t>
  </si>
  <si>
    <t>Discuss the importance of conducting regular blog audits to identify and update outdated or underperforming content.</t>
  </si>
  <si>
    <t>Explore different ways to leverage video content platforms, such as YouTube or Vimeo, to expand your blog's reach.</t>
  </si>
  <si>
    <t>Share tips for optimizing your blog's images for faster loading times and better user experience.</t>
  </si>
  <si>
    <t>Discuss the role of content repurposing in extending the lifespan of your blog posts and reaching new audiences.</t>
  </si>
  <si>
    <t>Explore the benefits of creating in-depth tutorials or step-by-step guides on topics relevant to your blog's niche.</t>
  </si>
  <si>
    <t>Share strategies for using social media advertising to drive targeted traffic to your blog and increase brand awareness.</t>
  </si>
  <si>
    <t>Discuss the importance of building a strong personal brand as a blogger and how it can positively impact your blog's growth.</t>
  </si>
  <si>
    <t>Explore different ways to collaborate with brands or businesses on sponsored content that aligns with your blog's niche.</t>
  </si>
  <si>
    <t>Share tips for conducting thorough research and fact-checking to ensure accuracy and credibility in your blog posts.</t>
  </si>
  <si>
    <t>Discuss the role of content upgrades or lead magnets in converting blog readers into email subscribers.</t>
  </si>
  <si>
    <t>Explore the benefits of incorporating user-generated content, such as testimonials or reviews, into your blog posts.</t>
  </si>
  <si>
    <t>Share strategies for creating content that evokes emotion and connects with your readers on a deeper level.</t>
  </si>
  <si>
    <t>Discuss the importance of optimizing your blog's loading speed and performance for better search engine rankings.</t>
  </si>
  <si>
    <t>Share tips for creating compelling blog post headlines that grab readers' attention.</t>
  </si>
  <si>
    <t>Discuss the importance of conducting audience research to understand the needs and preferences of your blog readers.</t>
  </si>
  <si>
    <t>Explore different ways to leverage influencer collaborations or guest posts to expand your blog's reach.</t>
  </si>
  <si>
    <t>Share strategies for incorporating storytelling techniques into your blog posts to captivate and engage readers.</t>
  </si>
  <si>
    <t>Discuss the role of content promotion and distribution channels in driving traffic to your blog.</t>
  </si>
  <si>
    <t>Explore the benefits of incorporating multimedia content, such as videos or podcasts, into your blog posts.</t>
  </si>
  <si>
    <t>Share tips for optimizing your blog for local SEO to attract readers from specific geographic areas.</t>
  </si>
  <si>
    <t>Discuss the importance of building an email list and using email marketing to nurture relationships with your blog audience.</t>
  </si>
  <si>
    <t>Explore different ways to monetize your blog through sponsored content, affiliate marketing, or digital products.</t>
  </si>
  <si>
    <t>Share strategies for conducting interviews with industry experts or thought leaders to provide valuable insights in your blog posts.</t>
  </si>
  <si>
    <t>Discuss the role of content curation in providing curated lists, resources, or recommendations to your blog readers.</t>
  </si>
  <si>
    <t>Share tips for writing engaging blog post introductions that hook readers from the beginning.</t>
  </si>
  <si>
    <t>Discuss the importance of creating high-quality visuals, such as custom images or infographics, to enhance your blog posts.</t>
  </si>
  <si>
    <t>Explore different ways to optimize your blog's layout and design for better user experience and readability.</t>
  </si>
  <si>
    <t>Share strategies for repurposing blog content into other formats, such as e-books, online courses, or social media posts.</t>
  </si>
  <si>
    <t>Discuss the role of social media in promoting your blog and building an online community around your content.</t>
  </si>
  <si>
    <t>Explore the benefits of conducting reader surveys or polls to gather feedback and understand your audience better.</t>
  </si>
  <si>
    <t>Share tips for optimizing your blog's meta tags, including title tags and meta descriptions, for better search engine visibility.</t>
  </si>
  <si>
    <t>Discuss the importance of creating a consistent brand voice and tone in your blog writing.</t>
  </si>
  <si>
    <t>Explore different ways to leverage user-generated content, such as testimonials or user-submitted stories, in your blog posts.</t>
  </si>
  <si>
    <t>Share strategies for organizing and categorizing your blog content to improve navigation and user experience.</t>
  </si>
  <si>
    <t>Discuss the role of guest blogging on other high-authority websites to increase your blog's visibility and credibility.</t>
  </si>
  <si>
    <t>Explore the benefits of incorporating data and statistics into your blog posts to provide evidence and support your arguments.</t>
  </si>
  <si>
    <t>Share tips for writing actionable and practical blog posts that provide valuable takeaways for readers.</t>
  </si>
  <si>
    <t>Discuss the importance of optimizing your blog for voice search to cater to the growing use of voice-enabled devices.</t>
  </si>
  <si>
    <t>Explore different ways to collaborate with other bloggers on joint projects, such as roundup posts or collaborative guides.</t>
  </si>
  <si>
    <t>Share strategies for building relationships with your blog readers through comments, social media engagement, or email communication.</t>
  </si>
  <si>
    <t>Discuss the role of SEO keyword research in identifying relevant topics and optimizing your blog posts for search engines.</t>
  </si>
  <si>
    <t>Explore the benefits of creating a content calendar and planning your blog posts in advance for consistent publishing.</t>
  </si>
  <si>
    <t>Share tips for writing engaging conclusions that leave a lasting impression on your blog readers.</t>
  </si>
  <si>
    <t>Discuss the importance of incorporating internal links within your blog posts to enhance navigation and promote related content.</t>
  </si>
  <si>
    <t>Explore different ways to repurpose your blog content into visual formats, such as slideshows, infographics, or Pinterest-friendly graphics.</t>
  </si>
  <si>
    <t>Share strategies for promoting your blog through collaborations with influencers or brand ambassadors.</t>
  </si>
  <si>
    <t>Discuss the role of social media scheduling tools in automating your blog promotion and increasing your reach.</t>
  </si>
  <si>
    <t>Explore the benefits of conducting in-depth research for your blog posts to provide comprehensive and authoritative information.</t>
  </si>
  <si>
    <t>Share tips for optimizing your blog's loading speed to improve user experience and reduce bounce rates.</t>
  </si>
  <si>
    <t>Discuss the importance of building a strong brand identity through consistent visual elements, such as logos and color schemes.</t>
  </si>
  <si>
    <t>Explore different ways to leverage user-generated content, such as testimonials or user-submitted photos, to enhance your blog.</t>
  </si>
  <si>
    <t>Share strategies for creating compelling calls to action in your blog posts to encourage reader engagement and conversions.</t>
  </si>
  <si>
    <t>Discuss the importance of creating an effective content promotion strategy to increase the visibility of your blog posts.</t>
  </si>
  <si>
    <t>Share tips for optimizing your blog's meta tags, including meta keywords and meta descriptions, for improved search engine rankings.</t>
  </si>
  <si>
    <t>Explore different ways to engage with your blog readers through interactive elements like polls, quizzes, or contests.</t>
  </si>
  <si>
    <t>Discuss the role of influencer marketing in expanding your blog's reach and building relationships with industry experts.</t>
  </si>
  <si>
    <t>Share strategies for optimizing your blog's navigation menu to improve user experience and help visitors find relevant content.</t>
  </si>
  <si>
    <t>Explore the benefits of repurposing your blog content into video tutorials, webinars, or online courses for additional monetization opportunities.</t>
  </si>
  <si>
    <t>Discuss the importance of conducting competitor research to identify content gaps and unique angles for your blog posts.</t>
  </si>
  <si>
    <t>Share tips for creating compelling blog post titles that not only attract attention but also accurately represent the content.</t>
  </si>
  <si>
    <t>Explore different ways to monetize your blog through display advertising, sponsored content, or selling digital products.</t>
  </si>
  <si>
    <t>Discuss the role of social media listening and monitoring in understanding your audience's needs and tailoring your blog content accordingly.</t>
  </si>
  <si>
    <t>Share strategies for creating a content calendar and scheduling your blog posts in advance for consistent publishing.</t>
  </si>
  <si>
    <t>Explore the benefits of incorporating user-generated content, such as testimonials or user reviews, to build trust and credibility.</t>
  </si>
  <si>
    <t>Discuss the importance of incorporating storytelling techniques into your blog posts to captivate and resonate with your readers.</t>
  </si>
  <si>
    <t>Share tips for optimizing your blog's permalink structure to make it more readable and SEO-friendly.</t>
  </si>
  <si>
    <t>Explore different ways to collaborate with other bloggers or content creators on joint projects, such as co-authored posts or interviews.</t>
  </si>
  <si>
    <t>Discuss the role of email marketing in nurturing relationships with your blog audience and driving traffic to your new blog posts.</t>
  </si>
  <si>
    <t>Share strategies for promoting your blog through social media advertising, targeting specific demographics or interest groups.</t>
  </si>
  <si>
    <t>Explore the benefits of incorporating visual content, such as images, infographics, or videos, to enhance your blog posts.</t>
  </si>
  <si>
    <t>Discuss the importance of building an engaged community around your blog through comments, discussion forums, or social media groups.</t>
  </si>
  <si>
    <t>Explore different ways to repurpose your blog content into different formats, such as e-books, podcasts, or guest posts on other websites.</t>
  </si>
  <si>
    <t>Discuss the role of guest blogging on high-authority websites to expand your reach and attract new readers to your blog.</t>
  </si>
  <si>
    <t>Share strategies for leveraging influencer collaborations or brand partnerships to create sponsored content that aligns with your blog's niche.</t>
  </si>
  <si>
    <t>Discuss the importance of conducting regular SEO audits for your blog to identify and fix any technical or on-page optimization issues.</t>
  </si>
  <si>
    <t>Explore the benefits of creating pillar content, comprehensive and authoritative guides, that attract backlinks and establish your blog as an authority in the field.</t>
  </si>
  <si>
    <t>Share tips for optimizing your blog's design and layout for mobile responsiveness, ensuring a seamless experience for mobile users.</t>
  </si>
  <si>
    <t>Discuss the role of content syndication and republishing on third-party platforms to increase the visibility and reach of your blog posts.</t>
  </si>
  <si>
    <t>Explore different ways to engage with your blog audience through live webinars, Q&amp;A sessions, or AMA (Ask Me Anything) formats.</t>
  </si>
  <si>
    <t>Share strategies for building backlinks to your blog through guest posting, outreach to other bloggers, or participating in industry forums.</t>
  </si>
  <si>
    <t>Discuss the importance of conducting keyword research and incorporating relevant keywords into your blog posts for improved search engine visibility.</t>
  </si>
  <si>
    <t>Explore the benefits of creating expert roundup posts, where you gather insights and opinions from industry experts on a specific topic.</t>
  </si>
  <si>
    <t>Share tips for creating compelling meta descriptions that entice users to click through to your blog post from search engine results.</t>
  </si>
  <si>
    <t>Explore different ways to engage with your blog readers through social media, responding to comments, and participating in discussions.</t>
  </si>
  <si>
    <t>Share strategies for leveraging user-generated content, such as social media mentions or customer testimonials, to create blog posts that resonate with your audience.</t>
  </si>
  <si>
    <t>Discuss the importance of conducting A/B testing on your blog, experimenting with different layouts, colors, or call-to-action buttons to optimize conversions.</t>
  </si>
  <si>
    <t>Explore the benefits of creating cornerstone content, in-depth and comprehensive articles that cover a broad topic and serve as a foundation for your blog.</t>
  </si>
  <si>
    <t>Share tips for creating visually appealing blog post layouts, utilizing white space, headers, and bullet points to enhance readability.</t>
  </si>
  <si>
    <t>Discuss the role of evergreen content in driving consistent traffic to your blog over time, focusing on topics that remain relevant and valuable.</t>
  </si>
  <si>
    <t>Explore different ways to optimize your blog's images for search engines, including descriptive file names, alt tags, and image compression.</t>
  </si>
  <si>
    <t>Share strategies for conducting interviews with industry experts, thought leaders, or customers to provide unique insights and perspectives in your blog posts.</t>
  </si>
  <si>
    <t>Discuss the importance of creating engaging and interactive content, such as quizzes, surveys, or interactive infographics, to enhance user experience.</t>
  </si>
  <si>
    <t>Explore the benefits of incorporating social proof into your blog posts, showcasing testimonials, case studies, or success stories from satisfied customers.</t>
  </si>
  <si>
    <t>Share tips for writing blog posts that address common pain points or challenges faced by your target audience, providing practical solutions and advice.</t>
  </si>
  <si>
    <t>Discuss the role of internal linking within your blog, guiding readers to related articles or resources for further exploration and engagement.</t>
  </si>
  <si>
    <t>Explore different ways to leverage social media platforms, such as Pinterest or Instagram, to drive traffic and promote your blog posts.</t>
  </si>
  <si>
    <t>Share strategies for creating shareable content, including compelling headlines, visually appealing graphics, and easy social media sharing options.</t>
  </si>
  <si>
    <t>Discuss the importance of tracking and analyzing key metrics, such as page views, bounce rates, and engagement, to measure the success of your blog.</t>
  </si>
  <si>
    <t>Explore the benefits of collaborating with other bloggers or influencers on content series, where each participant contributes a piece on a specific topic.</t>
  </si>
  <si>
    <t>Share tips for optimizing your blog for voice search, considering the increasing prevalence of voice-activated devices and virtual assistants.</t>
  </si>
  <si>
    <t>Discuss the role of content curation in providing value to your blog readers, curating and sharing relevant resources, articles, or industry news.</t>
  </si>
  <si>
    <t>Explore different ways to incorporate storytelling elements, such as personal anecdotes or narratives, into your blog posts to connect with readers on an emotional level.</t>
  </si>
  <si>
    <t>Share strategies for building an email list from your blog readers, including opt-in incentives, newsletter subscriptions, or content upgrades.</t>
  </si>
  <si>
    <t>Discuss the importance of engaging with your blog readers through comments and fostering a sense of community and conversation.</t>
  </si>
  <si>
    <t>Explore the benefits of conducting surveys or polls among your blog readers to gather feedback, insights, and ideas for future content.</t>
  </si>
  <si>
    <t>Share tips for repurposing your blog content into social media posts, creating snippets, quotes, or key takeaways to drive traffic back to your blog.</t>
  </si>
  <si>
    <t>Discuss the role of long-form content in your blog strategy, exploring the advantages of in-depth articles or guides that provide comprehensive information to your audience.</t>
  </si>
  <si>
    <t>Explore different ways to optimize your blog for local search, targeting keywords and topics relevant to your geographical location.</t>
  </si>
  <si>
    <t>Share strategies for leveraging user-generated content, such as reader submissions or testimonials, as blog post inspiration or featured content.</t>
  </si>
  <si>
    <t>Discuss the importance of authenticity and transparency in your blog writing, sharing personal experiences, challenges, and lessons learned with your audience.</t>
  </si>
  <si>
    <t>Share strategies for setting effective goals and breaking them down into actionable steps for increased productivity.</t>
  </si>
  <si>
    <t>Discuss the importance of prioritizing tasks based on their importance and urgency to optimize time management.</t>
  </si>
  <si>
    <t>Explore different techniques for managing distractions and maintaining focus, such as time blocking or implementing a Pomodoro timer.</t>
  </si>
  <si>
    <t>Productivity and Time Management</t>
  </si>
  <si>
    <t>Share tips for creating a productive morning routine to start the day off on the right foot and maximize efficiency.</t>
  </si>
  <si>
    <t>Discuss the benefits of utilizing productivity tools and apps, such as task managers or project management software, to stay organized and streamline workflows.</t>
  </si>
  <si>
    <t>Explore strategies for overcoming procrastination and boosting motivation to tackle tasks head-on.</t>
  </si>
  <si>
    <t>Share techniques for effectively managing email overload and implementing inbox organization systems.</t>
  </si>
  <si>
    <t>Discuss the importance of maintaining a healthy work-life balance and implementing boundaries to prevent burnout and enhance productivity.</t>
  </si>
  <si>
    <t>Explore different methods for improving decision-making skills and avoiding analysis paralysis.</t>
  </si>
  <si>
    <t>Share tips for effective time blocking and scheduling, ensuring a balanced allocation of time for various tasks and activities.</t>
  </si>
  <si>
    <t>Discuss the benefits of delegating tasks and leveraging the strengths of others to enhance productivity.</t>
  </si>
  <si>
    <t>Explore techniques for managing and reducing multitasking, emphasizing the importance of focusing on one task at a time.</t>
  </si>
  <si>
    <t>Share strategies for optimizing workflow and creating efficient systems to automate repetitive tasks.</t>
  </si>
  <si>
    <t>Discuss the role of mindfulness and meditation in increasing focus, reducing stress, and improving overall productivity.</t>
  </si>
  <si>
    <t>Explore different approaches to managing and organizing digital files, documents, and folders for easy retrieval and productivity.</t>
  </si>
  <si>
    <t>Share tips for effective project management, including setting milestones, tracking progress, and adjusting timelines as needed.</t>
  </si>
  <si>
    <t>Discuss the benefits of taking regular breaks and incorporating self-care activities into daily routines to maintain productivity and well-being.</t>
  </si>
  <si>
    <t>Explore techniques for managing information overload and staying updated without becoming overwhelmed.</t>
  </si>
  <si>
    <t>Share strategies for effective task prioritization based on the Eisenhower Matrix or other prioritization frameworks.</t>
  </si>
  <si>
    <t>Discuss the importance of maintaining a clutter-free workspace and organizing physical materials for enhanced productivity.</t>
  </si>
  <si>
    <t>Explore different methods for boosting creativity and innovation within the framework of productivity and time management.</t>
  </si>
  <si>
    <t>Share tips for effective communication and collaboration, emphasizing the importance of clear expectations and deadlines.</t>
  </si>
  <si>
    <t>Discuss the benefits of incorporating physical exercise or movement breaks into daily routines for increased productivity and energy.</t>
  </si>
  <si>
    <t>Explore techniques for managing and reducing stress, including relaxation techniques, mindfulness practices, and stress management strategies.</t>
  </si>
  <si>
    <t>Share strategies for overcoming perfectionism and adopting a mindset of progress over perfection in order to increase productivity.</t>
  </si>
  <si>
    <t>Discuss the importance of continuous learning and personal development for enhancing productivity and staying ahead in a fast-paced world.</t>
  </si>
  <si>
    <t>Explore different strategies for effective goal tracking and progress monitoring, such as journaling, habit trackers, or performance dashboards.</t>
  </si>
  <si>
    <t>Share tips for effective delegation, including assessing tasks, assigning responsibilities, and providing clear instructions to team members.</t>
  </si>
  <si>
    <t>Discuss the benefits of adopting agile methodologies, such as Kanban or Scrum, for improved productivity and project management.</t>
  </si>
  <si>
    <t>Explore techniques for managing and minimizing interruptions, setting boundaries, and creating a focused work environment.</t>
  </si>
  <si>
    <t>Share techniques for effective goal setting and aligning goals with long-term vision and values.</t>
  </si>
  <si>
    <t>Discuss the benefits of using productivity journals or planners to track tasks, goals, and progress.</t>
  </si>
  <si>
    <t>Explore different strategies for managing and reducing meetings to optimize time and productivity.</t>
  </si>
  <si>
    <t>Share tips for effective time management while working from home or in a remote setting.</t>
  </si>
  <si>
    <t>Discuss the importance of self-reflection and self-assessment in identifying productivity strengths and areas for improvement.</t>
  </si>
  <si>
    <t>Explore techniques for managing and reducing digital distractions, such as social media or smartphone notifications.</t>
  </si>
  <si>
    <t>Share strategies for managing information overload, including effective information filtering and organization.</t>
  </si>
  <si>
    <t>Discuss the benefits of practicing the "two-minute rule" for handling quick tasks promptly and avoiding accumulation.</t>
  </si>
  <si>
    <t>Explore different methods for creating a weekly or monthly review process to evaluate progress and make necessary adjustments.</t>
  </si>
  <si>
    <t>Share tips for effective project planning and breaking down complex projects into manageable tasks.</t>
  </si>
  <si>
    <t>Discuss the importance of setting realistic deadlines and managing expectations to avoid overwhelm and stress.</t>
  </si>
  <si>
    <t>Explore techniques for managing and overcoming perfectionism tendencies that hinder productivity.</t>
  </si>
  <si>
    <t>Share strategies for effective communication and collaboration with remote teams or colleagues in different time zones.</t>
  </si>
  <si>
    <t>Discuss the benefits of incorporating mindfulness practices into daily routines for improved focus and productivity.</t>
  </si>
  <si>
    <t>Explore different methods for managing and organizing digital passwords and login information securely.</t>
  </si>
  <si>
    <t>Share tips for effective email management, including setting specific time blocks for checking and responding to emails.</t>
  </si>
  <si>
    <t>Discuss the importance of maintaining a healthy work environment, including proper ergonomics and workspace organization.</t>
  </si>
  <si>
    <t>Explore techniques for managing and reducing decision fatigue to make better choices throughout the day.</t>
  </si>
  <si>
    <t>Share strategies for effective task batching and grouping similar tasks together for increased efficiency.</t>
  </si>
  <si>
    <t>Discuss the benefits of utilizing project management methodologies, such as Agile or Lean, for enhanced productivity.</t>
  </si>
  <si>
    <t>Explore different methods for managing and minimizing interruptions in a busy work environment.</t>
  </si>
  <si>
    <t>Share tips for effective delegation, including assessing tasks, identifying suitable team members, and providing clear instructions.</t>
  </si>
  <si>
    <t>Discuss the importance of continuous learning and staying updated on industry trends for enhanced productivity.</t>
  </si>
  <si>
    <t>Explore techniques for managing and reducing work-related stress, such as deep breathing exercises or mindfulness breaks.</t>
  </si>
  <si>
    <t>Share strategies for effective self-motivation and overcoming procrastination tendencies.</t>
  </si>
  <si>
    <t>Discuss the benefits of maintaining a healthy work-life integration, finding harmony between personal and professional commitments.</t>
  </si>
  <si>
    <t>Explore different methods for managing and organizing digital files and documents for easy retrieval.</t>
  </si>
  <si>
    <t>Share tips for effective meeting management, including setting agendas, defining objectives, and facilitating productive discussions.</t>
  </si>
  <si>
    <t>Discuss the importance of maintaining a balanced workload and avoiding overcommitment to prevent burnout.</t>
  </si>
  <si>
    <t>Explore techniques for managing and reducing digital clutter, including organizing computer files, bookmarks, and browser tabs.</t>
  </si>
  <si>
    <t>Share strategies for effective task prioritization, including using the Urgent-Important Matrix or other prioritization frameworks.</t>
  </si>
  <si>
    <t>Discuss the benefits of incorporating breaks and restorative activities into daily routines for improved productivity and focus.</t>
  </si>
  <si>
    <t>Explore different methods for managing and reducing email overload, such as implementing email filters or using separate inboxes.</t>
  </si>
  <si>
    <t>Share tips for effective goal visualization and using vision boards or visual reminders to stay motivated.</t>
  </si>
  <si>
    <t>Discuss the importance of setting boundaries and learning to say no to non-essential tasks or commitments.</t>
  </si>
  <si>
    <t>Explore techniques for managing and minimizing procrastination tendencies, such as using the "eat that frog" approach.</t>
  </si>
  <si>
    <t>Share strategies for effective time tracking and identifying time-wasting activities or habits.</t>
  </si>
  <si>
    <t>Discuss the benefits of practicing effective communication skills, including active listening and concise expression of ideas.</t>
  </si>
  <si>
    <t>Explore different methods for managing and organizing physical documents and paperwork for increased efficiency.</t>
  </si>
  <si>
    <t>Share tips for effective energy management throughout the day, including utilizing natural circadian rhythms and taking power naps.</t>
  </si>
  <si>
    <t>Discuss the importance of maintaining a healthy sleep routine and getting enough quality sleep for optimal productivity.</t>
  </si>
  <si>
    <t>Explore techniques for managing and reducing overwhelm by breaking tasks into smaller, actionable steps.</t>
  </si>
  <si>
    <t>Share strategies for effective boundary setting in the workplace to protect personal time and prevent work-related stress.</t>
  </si>
  <si>
    <t>Discuss the benefits of incorporating mindfulness breaks or meditation into the workday for enhanced focus and mental clarity.</t>
  </si>
  <si>
    <t>Explore different methods for managing and minimizing digital distractions, such as using website blockers or app timers.</t>
  </si>
  <si>
    <t>Share tips for effective task estimation and setting realistic timelines for project completion.</t>
  </si>
  <si>
    <t>Discuss the importance of continuous improvement and seeking feedback to enhance productivity and performance.</t>
  </si>
  <si>
    <t>Explore techniques for managing and reducing information overload from various sources, such as emails, news, or social media.</t>
  </si>
  <si>
    <t>Share strategies for effective task prioritization when faced with competing deadlines or multiple projects.</t>
  </si>
  <si>
    <t>Discuss the benefits of incorporating exercise or movement breaks into the workday for increased productivity and well-being.</t>
  </si>
  <si>
    <t>Explore different methods for managing and organizing project-related documents, resources, and reference materials.</t>
  </si>
  <si>
    <t>Share tips for effective stress management techniques, such as deep breathing, meditation, or physical exercise.</t>
  </si>
  <si>
    <t>Discuss the importance of setting realistic expectations and managing perfectionism tendencies to foster productivity.</t>
  </si>
  <si>
    <t>Explore techniques for managing and minimizing interruptions in a shared workspace or open office environment.</t>
  </si>
  <si>
    <t>Share strategies for effective decision-making processes, including gathering information, analyzing options, and considering long-term implications.</t>
  </si>
  <si>
    <t>Discuss the benefits of utilizing automation tools and workflows to streamline repetitive tasks and save time.</t>
  </si>
  <si>
    <t>Explore different methods for managing and reducing meeting times, such as setting clear objectives and agendas in advance.</t>
  </si>
  <si>
    <t>Share tips for effective time blocking and scheduling, allocating dedicated time slots for specific tasks or activities.</t>
  </si>
  <si>
    <t>Discuss the importance of maintaining a positive mindset and cultivating a growth mindset for increased productivity.</t>
  </si>
  <si>
    <t>Explore techniques for managing and reducing digital overload by implementing digital detox periods or screen-free activities.</t>
  </si>
  <si>
    <t>Share strategies for effective communication in virtual or remote teams, including clear written communication and virtual meeting etiquette.</t>
  </si>
  <si>
    <t>Discuss the benefits of incorporating breaks and leisure activities into daily routines to recharge and prevent burnout.</t>
  </si>
  <si>
    <t>Explore different methods for managing and organizing project-related tasks, milestones, and deadlines.</t>
  </si>
  <si>
    <t>Share tips for effective self-care practices, such as practicing gratitude, taking regular breaks, or pursuing hobbies outside of work.</t>
  </si>
  <si>
    <t>Discuss the importance of setting boundaries with technology and establishing digital detox periods for improved well-being and focus.</t>
  </si>
  <si>
    <t>Explore techniques for managing and reducing mental clutter by practicing mindfulness and decluttering the mind.</t>
  </si>
  <si>
    <t>Share strategies for effective collaboration and teamwork, including fostering open communication and leveraging each team member's strengths.</t>
  </si>
  <si>
    <t>Discuss the benefits of using project management software or tools to track progress, assign tasks, and collaborate with team members.</t>
  </si>
  <si>
    <t>Explore different methods for managing and reducing overwhelm when faced with a high volume of tasks or projects.</t>
  </si>
  <si>
    <t>Share tips for effective task management, including breaking down tasks into smaller, manageable steps and setting clear deadlines.</t>
  </si>
  <si>
    <t>Explore techniques for managing and minimizing distractions in a busy or noisy work environment, such as using noise-cancelling headphones or creating designated quiet zones.</t>
  </si>
  <si>
    <t>Share tips for effective energy management throughout the day, including utilizing natural circadian rhythms and taking short breaks.</t>
  </si>
  <si>
    <t>Discuss the importance of setting clear goals and aligning daily tasks with long-term objectives for improved productivity.</t>
  </si>
  <si>
    <t>Explore techniques for managing and reducing digital distractions, such as setting specific times for checking social media or implementing website blockers.</t>
  </si>
  <si>
    <t>Share strategies for effective prioritization, including using the ABCDE method or the 80/20 principle.</t>
  </si>
  <si>
    <t>Discuss the benefits of incorporating breaks and leisure activities into the workday to enhance focus and rejuvenation.</t>
  </si>
  <si>
    <t>Explore different methods for managing and organizing digital notes and information for easy retrieval.</t>
  </si>
  <si>
    <t>Share tips for effective project management, including defining project scope, establishing milestones, and tracking progress.</t>
  </si>
  <si>
    <t>Discuss the importance of setting realistic deadlines and managing time buffers to accommodate unforeseen circumstances.</t>
  </si>
  <si>
    <t>Explore techniques for managing and reducing mental clutter, such as practicing mindfulness meditation or journaling.</t>
  </si>
  <si>
    <t>Share strategies for effective delegation and empowering team members to take ownership of tasks and projects.</t>
  </si>
  <si>
    <t>Discuss the benefits of maintaining a clean and organized workspace for improved focus and productivity.</t>
  </si>
  <si>
    <t>Explore different methods for managing and minimizing interruptions while working in a shared or open office space.</t>
  </si>
  <si>
    <t>Share tips for effective self-motivation and staying focused on long-term goals during challenging times.</t>
  </si>
  <si>
    <t>Discuss the importance of setting boundaries with technology and establishing designated time for digital detox and relaxation.</t>
  </si>
  <si>
    <t>Explore techniques for managing and reducing decision fatigue by automating routine decisions and delegating decision-making.</t>
  </si>
  <si>
    <t>Share strategies for effective communication with stakeholders, including clear and concise reporting and progress updates.</t>
  </si>
  <si>
    <t>Discuss the benefits of incorporating mindfulness practices into daily routines for increased self-awareness and stress reduction.</t>
  </si>
  <si>
    <t>Explore different methods for managing and organizing project-related expenses and financial documentation.</t>
  </si>
  <si>
    <t>Share tips for effective time management when juggling multiple projects or roles simultaneously.</t>
  </si>
  <si>
    <t>Discuss the importance of setting realistic expectations and avoiding overcommitment to prevent overwhelm and burnout.</t>
  </si>
  <si>
    <t>Explore techniques for managing and reducing digital clutter, including organizing computer files, email folders, and browser bookmarks.</t>
  </si>
  <si>
    <t>Share strategies for effective task prioritization based on the importance and impact of each task.</t>
  </si>
  <si>
    <t>Discuss the benefits of incorporating regular exercise or physical activity into daily routines for improved productivity and well-being.</t>
  </si>
  <si>
    <t>Explore different methods for managing and reducing stress in the workplace, such as practicing mindfulness or engaging in relaxation techniques.</t>
  </si>
  <si>
    <t>Share tips for effective self-reflection and evaluation of productivity and time management habits.</t>
  </si>
  <si>
    <t>Share strategies for setting realistic and achievable goals that align with personal and professional aspirations.</t>
  </si>
  <si>
    <t>Discuss the benefits of creating a daily routine and sticking to it for improved productivity and time management.</t>
  </si>
  <si>
    <t>Explore techniques for managing and organizing digital files and documents to ensure easy access and retrieval.</t>
  </si>
  <si>
    <t>Share tips for effective task delegation, including identifying tasks suitable for delegation and providing clear instructions.</t>
  </si>
  <si>
    <t>Discuss the importance of managing energy levels and leveraging peak productivity hours for high-priority tasks.</t>
  </si>
  <si>
    <t>Explore different methods for managing and minimizing distractions in the workplace, such as implementing noise-cancelling techniques or creating a dedicated workspace.</t>
  </si>
  <si>
    <t>Share strategies for effective time blocking and scheduling to allocate specific time slots for different activities and tasks.</t>
  </si>
  <si>
    <t>Discuss the benefits of utilizing productivity apps and tools to streamline workflows and enhance efficiency.</t>
  </si>
  <si>
    <t>Explore techniques for managing and reducing procrastination tendencies, such as implementing the Pomodoro Technique or creating accountability systems.</t>
  </si>
  <si>
    <t>Share tips for effective email management, including setting designated times for checking and responding to emails.</t>
  </si>
  <si>
    <t>Discuss the importance of maintaining a healthy work-life balance and establishing boundaries to prevent burnout.</t>
  </si>
  <si>
    <t>Explore different methods for managing and organizing project-related deadlines and milestones for improved project management.</t>
  </si>
  <si>
    <t>Share strategies for effective decision-making processes, including evaluating options, considering potential outcomes, and making informed choices.</t>
  </si>
  <si>
    <t>Discuss the benefits of incorporating breaks and relaxation techniques into daily routines to enhance focus and rejuvenation.</t>
  </si>
  <si>
    <t>Explore techniques for managing and reducing information overload, such as utilizing note-taking systems or implementing content filters.</t>
  </si>
  <si>
    <t>Share tips for effective prioritization when faced with multiple tasks and deadlines.</t>
  </si>
  <si>
    <t>Discuss the importance of effective communication skills in managing projects and collaborating with team members.</t>
  </si>
  <si>
    <t>Explore different methods for managing and minimizing interruptions, such as setting boundaries and creating designated work periods.</t>
  </si>
  <si>
    <t>Share strategies for overcoming perfectionism tendencies and focusing on progress rather than perfection.</t>
  </si>
  <si>
    <t>Discuss the benefits of practicing mindfulness and meditation for increased mental clarity and stress reduction.</t>
  </si>
  <si>
    <t>Explore techniques for managing and reducing digital distractions, such as turning off notifications or using website blockers.</t>
  </si>
  <si>
    <t>Share tips for effective project planning and organization, including creating project timelines and breaking tasks into actionable steps.</t>
  </si>
  <si>
    <t>Discuss the importance of prioritizing self-care and well-being for long-term productivity and success.</t>
  </si>
  <si>
    <t>Explore different methods for managing and organizing physical documents and paperwork for easy access and retrieval.</t>
  </si>
  <si>
    <t>Share strategies for effective goal tracking and monitoring progress to stay motivated and on track.</t>
  </si>
  <si>
    <t>Discuss the benefits of maintaining a positive mindset and cultivating a growth mindset in overcoming challenges and setbacks.</t>
  </si>
  <si>
    <t>Explore techniques for managing and reducing stress in the workplace, such as practicing deep breathing exercises or engaging in regular physical activity.</t>
  </si>
  <si>
    <t>Share tips for effective multitasking, including identifying compatible tasks and managing time efficiently.</t>
  </si>
  <si>
    <t>Discuss the importance of setting clear boundaries with colleagues and clients to protect personal time and maintain work-life balance.</t>
  </si>
  <si>
    <t>Share strategies for effective brainstorming and creative thinking to generate innovative ideas and solutions.</t>
  </si>
  <si>
    <t>Discuss the benefits of incorporating technology tools for project management and collaboration, such as task management apps or cloud-based platforms.</t>
  </si>
  <si>
    <t>Explore techniques for managing and reducing overwhelm when facing a high volume of tasks and responsibilities.</t>
  </si>
  <si>
    <t>Share tips for effective communication with team members and stakeholders, including active listening and clear articulation of ideas.</t>
  </si>
  <si>
    <t>Discuss the importance of regular self-reflection and evaluation of productivity habits to identify areas for improvement.</t>
  </si>
  <si>
    <t>Explore different methods for managing and minimizing digital clutter, such as organizing files and folders or decluttering email inboxes.</t>
  </si>
  <si>
    <t>Share strategies for effective time management when working remotely or in a flexible work environment.</t>
  </si>
  <si>
    <t>Discuss the benefits of establishing daily rituals and habits that promote focus, creativity, and well-being.</t>
  </si>
  <si>
    <t>Explore techniques for managing and reducing decision fatigue, such as implementing decision-making frameworks or delegating decisions.</t>
  </si>
  <si>
    <t>Share tips for effective communication in virtual or remote teams, including utilizing video conferencing tools and maintaining regular communication channels.</t>
  </si>
  <si>
    <t>Discuss the importance of setting realistic expectations and avoiding overcommitment to prevent stress and overwhelm.</t>
  </si>
  <si>
    <t>Explore different methods for managing and organizing project-related resources and reference materials for easy access and retrieval.</t>
  </si>
  <si>
    <t>Share strategies for effective stress management techniques, such as mindfulness exercises, relaxation techniques, or engaging in hobbies.</t>
  </si>
  <si>
    <t>Discuss the benefits of practicing effective time management techniques to maximize productivity and minimize wasted time.</t>
  </si>
  <si>
    <t>Explore techniques for managing and minimizing distractions caused by social media and online platforms.</t>
  </si>
  <si>
    <t>Share tips for effective goal-setting, including using the SMART goal framework and breaking goals into smaller, actionable steps.</t>
  </si>
  <si>
    <t>Discuss the importance of effective communication in managing expectations and setting clear deliverables with clients or stakeholders.</t>
  </si>
  <si>
    <t>Explore different methods for managing and organizing personal and professional calendars for effective time management.</t>
  </si>
  <si>
    <t>Share strategies for effective project tracking and progress monitoring, including using project management tools or creating visual representations.</t>
  </si>
  <si>
    <t>Discuss the benefits of utilizing automation and delegation to streamline repetitive tasks and free up time for high-value activities.</t>
  </si>
  <si>
    <t>Explore techniques for managing and reducing digital overload, such as implementing digital detox periods or setting boundaries with technology.</t>
  </si>
  <si>
    <t>Share tips for effective self-motivation and maintaining focus when working on long-term projects or goals.</t>
  </si>
  <si>
    <t>Discuss the importance of maintaining a clean and organized workspace to promote focus and reduce distractions.</t>
  </si>
  <si>
    <t>Explore different methods for managing and minimizing interruptions in a shared workspace or open office environment.</t>
  </si>
  <si>
    <t>Share strategies for effective time estimation and task planning to avoid underestimating or overcommitting time.</t>
  </si>
  <si>
    <t>Discuss the benefits of incorporating breaks and physical exercise into the workday for increased productivity and well-being.</t>
  </si>
  <si>
    <t>Discuss the importance of setting boundaries and saying no to non-essential tasks or commitments.</t>
  </si>
  <si>
    <t>Explore techniques for managing and reducing overwhelm when faced with a high volume of tasks or projects.</t>
  </si>
  <si>
    <t>Explore different methods for managing and minimizing distractions in a busy or noisy work environment, such as using noise-cancelling headphones or creating designated quiet zones.</t>
  </si>
  <si>
    <t>Explore techniques for managing and organizing physical documents and paperwork for increased efficiency.</t>
  </si>
  <si>
    <t>Explore different methods for managing and reducing overwhelm by breaking tasks into smaller, actionable steps.</t>
  </si>
  <si>
    <t>Discuss the benefits of leveraging technology and automation to streamline repetitive tasks and increase efficiency.</t>
  </si>
  <si>
    <t>Explore techniques for managing and reducing distractions caused by email and other forms of digital communication.</t>
  </si>
  <si>
    <t>Share tips for effective task prioritization, including assessing urgency, importance, and impact on overall goals.</t>
  </si>
  <si>
    <t>Discuss the importance of taking regular breaks and engaging in activities that promote mental and physical well-being.</t>
  </si>
  <si>
    <t>Explore different methods for managing and organizing digital files and folders for easy access and retrieval.</t>
  </si>
  <si>
    <t>Share strategies for effective time management when juggling multiple projects or roles simultaneously.</t>
  </si>
  <si>
    <t>Discuss the benefits of incorporating mindfulness practices into daily routines for increased focus and stress reduction.</t>
  </si>
  <si>
    <t>Explore techniques for managing and reducing digital clutter, such as decluttering desktops, organizing bookmarks, and archiving old files.</t>
  </si>
  <si>
    <t>Share tips for effective self-discipline and overcoming procrastination tendencies.</t>
  </si>
  <si>
    <t>Discuss the importance of setting clear boundaries and communicating expectations with colleagues, clients, or team members.</t>
  </si>
  <si>
    <t>Explore different methods for managing and prioritizing personal and professional tasks in a single unified system.</t>
  </si>
  <si>
    <t>Share strategies for effective email management, including setting designated times for checking and responding to emails.</t>
  </si>
  <si>
    <t>Discuss the benefits of practicing effective time blocking techniques to allocate dedicated time for specific tasks or projects.</t>
  </si>
  <si>
    <t>Explore techniques for managing and minimizing interruptions during focused work periods, such as implementing "Do Not Disturb" modes or using visual cues to indicate availability.</t>
  </si>
  <si>
    <t>Share tips for effective delegation and empowering team members to take ownership of tasks and projects.</t>
  </si>
  <si>
    <t>Discuss the importance of regular self-care practices, such as exercise, meditation, or hobbies, to recharge and maintain well-being.</t>
  </si>
  <si>
    <t>Explore different methods for managing and organizing project-related deadlines and milestones for improved project planning and execution.</t>
  </si>
  <si>
    <t>Discuss the benefits of incorporating breaks and leisure activities into the workday to enhance productivity and creativity.</t>
  </si>
  <si>
    <t>Explore techniques for managing and reducing decision fatigue by automating routine decisions or implementing decision-making frameworks.</t>
  </si>
  <si>
    <t>Share tips for effective self-motivation and maintaining focus during challenging or tedious tasks.</t>
  </si>
  <si>
    <t>Explore different methods for managing and minimizing mental distractions, such as practicing mindfulness or implementing focused work techniques.</t>
  </si>
  <si>
    <t>Share strategies for effective project tracking and progress monitoring, including using project management software or creating visual representations.</t>
  </si>
  <si>
    <t>Discuss the benefits of maintaining a clean and organized workspace for improved focus and efficiency.</t>
  </si>
  <si>
    <t>Explore techniques for managing and reducing digital distractions, such as utilizing website blockers or setting device-free zones.</t>
  </si>
  <si>
    <t>Copywriting I</t>
  </si>
  <si>
    <t>Discuss the importance of understanding the target audience and tailoring copy to their specific needs and preferences.</t>
  </si>
  <si>
    <t>Share tips for writing attention-grabbing headlines that captivate readers and compel them to continue reading.</t>
  </si>
  <si>
    <t>Explore techniques for incorporating storytelling elements into copywriting to create a compelling narrative and engage the audience.</t>
  </si>
  <si>
    <t>Discuss the benefits of using persuasive language and emotional appeals to drive desired actions and conversions.</t>
  </si>
  <si>
    <t>Share strategies for writing effective product descriptions that highlight key features, benefits, and unique selling points.</t>
  </si>
  <si>
    <t>Explore different methods for structuring and organizing copy to ensure clarity and readability.</t>
  </si>
  <si>
    <t>Discuss the importance of conducting thorough research to gather relevant information and insights for impactful copywriting.</t>
  </si>
  <si>
    <t>Share tips for creating compelling calls to action that motivate readers to take the desired action.</t>
  </si>
  <si>
    <t>Explore techniques for crafting engaging opening paragraphs that hook readers and encourage them to read further.</t>
  </si>
  <si>
    <t>Discuss the benefits of using customer testimonials and social proof in copywriting to build credibility and trust.</t>
  </si>
  <si>
    <t>Share strategies for incorporating keywords and optimizing copy for search engine visibility.</t>
  </si>
  <si>
    <t>Explore different methods for writing persuasive sales letters and emails that drive conversions.</t>
  </si>
  <si>
    <t>Discuss the importance of using clear and concise language in copywriting to communicate messages effectively.</t>
  </si>
  <si>
    <t>Share tips for writing engaging and informative blog posts that provide value to readers.</t>
  </si>
  <si>
    <t>Explore techniques for creating effective landing pages that encourage visitors to take a specific action.</t>
  </si>
  <si>
    <t>Discuss the benefits of creating a unique brand voice and tone in copywriting to differentiate from competitors.</t>
  </si>
  <si>
    <t>Share strategies for writing compelling headlines and subject lines that increase open rates and click-through rates.</t>
  </si>
  <si>
    <t>Explore different methods for overcoming objections and addressing common concerns in copywriting.</t>
  </si>
  <si>
    <t>Discuss the importance of proofreading and editing copy to ensure accuracy, clarity, and coherence.</t>
  </si>
  <si>
    <t>Share tips for writing persuasive social media copy that drives engagement and conversions.</t>
  </si>
  <si>
    <t>Explore techniques for crafting effective website copy that communicates brand values and establishes trust.</t>
  </si>
  <si>
    <t>Discuss the benefits of using storytelling techniques in copywriting to create an emotional connection with the audience.</t>
  </si>
  <si>
    <t>Share strategies for writing persuasive product reviews that highlight benefits and address potential concerns.</t>
  </si>
  <si>
    <t>Explore different methods for creating compelling value propositions that resonate with the target audience.</t>
  </si>
  <si>
    <t>Discuss the importance of understanding the buyer's journey and tailoring copy to each stage of the journey.</t>
  </si>
  <si>
    <t>Share tips for writing effective meta descriptions that entice users to click on search engine results.</t>
  </si>
  <si>
    <t>Explore techniques for writing impactful headlines and subheadings that break up the copy and improve readability.</t>
  </si>
  <si>
    <t>Discuss the benefits of incorporating relevant statistics and data to support claims and strengthen persuasive copy.</t>
  </si>
  <si>
    <t>Share strategies for writing compelling sales pages that communicate value and overcome objections.</t>
  </si>
  <si>
    <t>Explore different methods for creating urgency and scarcity in copywriting to drive immediate action.</t>
  </si>
  <si>
    <t>Discuss the importance of creating a strong opening and closing in copywriting to leave a lasting impression.</t>
  </si>
  <si>
    <t>Share tips for writing engaging email subject lines that increase open rates.</t>
  </si>
  <si>
    <t>Explore techniques for crafting persuasive social media ads that grab attention and drive conversions.</t>
  </si>
  <si>
    <t>Discuss the benefits of using storytelling elements in video scripts and scripts for audio advertisements.</t>
  </si>
  <si>
    <t>Share strategies for writing effective landing page headlines that capture attention and communicate value.</t>
  </si>
  <si>
    <t>Explore different methods for tailoring copy to different platforms and channels to maximize effectiveness.</t>
  </si>
  <si>
    <t>Discuss the importance of using customer-focused language and addressing pain points in copywriting.</t>
  </si>
  <si>
    <t>Share tips for writing persuasive sales copy for e-commerce product pages.</t>
  </si>
  <si>
    <t>Explore techniques for creating compelling case studies that demonstrate the value of products or services.</t>
  </si>
  <si>
    <t>Discuss the benefits of using sensory language in copywriting to evoke emotions and create vivid descriptions.</t>
  </si>
  <si>
    <t>Share strategies for writing impactful About Us pages that convey brand story and build trust.</t>
  </si>
  <si>
    <t>Explore different methods for creating curiosity and intrigue in copywriting to pique the reader's interest.</t>
  </si>
  <si>
    <t>Discuss the importance of using clear and compelling headlines in print advertisements.</t>
  </si>
  <si>
    <t>Share tips for writing effective call-to-action buttons that encourage clicks and conversions.</t>
  </si>
  <si>
    <t>Explore techniques for writing persuasive scripts for video or audio advertisements.</t>
  </si>
  <si>
    <t>Discuss the benefits of using rhetorical devices, such as metaphors or similes, to enhance copywriting.</t>
  </si>
  <si>
    <t>Share strategies for incorporating social media influencers and endorsements into copywriting.</t>
  </si>
  <si>
    <t>Explore different methods for creating memorable taglines and slogans that resonate with the target audience.</t>
  </si>
  <si>
    <t>Discuss the importance of creating buyer personas and tailoring copy to their specific characteristics and preferences.</t>
  </si>
  <si>
    <t>Share tips for crafting persuasive elevator pitches that succinctly communicate value and generate interest.</t>
  </si>
  <si>
    <t>Explore techniques for writing engaging product comparisons that help customers make informed decisions.</t>
  </si>
  <si>
    <t>Discuss the benefits of using storytelling techniques in email marketing to create a personal connection with subscribers.</t>
  </si>
  <si>
    <t>Share strategies for writing compelling headlines for print ads that stand out and grab attention.</t>
  </si>
  <si>
    <t>Explore different methods for writing persuasive scripts for radio advertisements.</t>
  </si>
  <si>
    <t>Discuss the importance of using social media listening and monitoring to inform copywriting strategies.</t>
  </si>
  <si>
    <t>Share tips for writing effective product packaging copy that communicates value and encourages purchase.</t>
  </si>
  <si>
    <t>Explore techniques for creating impactful testimonials and reviews that build trust and credibility.</t>
  </si>
  <si>
    <t>Discuss the benefits of incorporating user-generated content into copywriting to foster authenticity and engagement.</t>
  </si>
  <si>
    <t>Share strategies for crafting compelling introductions and hooks in copywriting.</t>
  </si>
  <si>
    <t>Explore different methods for writing persuasive press releases that generate media interest.</t>
  </si>
  <si>
    <t>Discuss the importance of A/B testing and data analysis in optimizing copy for better results.</t>
  </si>
  <si>
    <t>Share tips for writing persuasive fundraising appeals that motivate donors to contribute.</t>
  </si>
  <si>
    <t>Explore techniques for creating engaging and informative video scripts for marketing purposes.</t>
  </si>
  <si>
    <t>Discuss the benefits of using emotional storytelling in nonprofit copywriting to generate empathy and support.</t>
  </si>
  <si>
    <t>Share strategies for writing effective headlines for social media posts that capture attention.</t>
  </si>
  <si>
    <t>Explore different methods for incorporating humor and wit into copywriting to entertain and engage the audience.</t>
  </si>
  <si>
    <t>Discuss the importance of understanding the unique selling proposition (USP) and communicating it effectively in copy.</t>
  </si>
  <si>
    <t>Share tips for writing persuasive website copy for service-based businesses.</t>
  </si>
  <si>
    <t>Explore techniques for creating compelling product packaging copy that communicates value and benefits.</t>
  </si>
  <si>
    <t>Discuss the benefits of using customer-centric language and personalization in email marketing copy.</t>
  </si>
  <si>
    <t>Share strategies for crafting persuasive headlines for native advertisements.</t>
  </si>
  <si>
    <t>Explore different methods for creating engaging and informative video scripts for educational content.</t>
  </si>
  <si>
    <t>Discuss the importance of conducting competitor analysis to identify unique selling points and differentiate in copy.</t>
  </si>
  <si>
    <t>Share tips for writing effective social media bios that communicate brand personality and value proposition.</t>
  </si>
  <si>
    <t>Explore techniques for crafting persuasive advertorials that blend editorial content with promotional messaging.</t>
  </si>
  <si>
    <t>Discuss the benefits of using data and research to support claims and strengthen copywriting.</t>
  </si>
  <si>
    <t>Share strategies for writing impactful email newsletters that engage subscribers and drive action.</t>
  </si>
  <si>
    <t>Explore different methods for creating compelling content for online banner ads.</t>
  </si>
  <si>
    <t>Discuss the importance of using customer segmentation and personalization in email marketing copy.</t>
  </si>
  <si>
    <t>Share tips for writing persuasive video scripts for product demonstrations or tutorials.</t>
  </si>
  <si>
    <t>Explore techniques for creating compelling and memorable brand taglines.</t>
  </si>
  <si>
    <t>Discuss the benefits of using storytelling techniques in copywriting for nonprofit organizations.</t>
  </si>
  <si>
    <t>Share strategies for writing persuasive headlines for blog posts that encourage readership.</t>
  </si>
  <si>
    <t>Explore different methods for incorporating keywords and SEO best practices into copywriting.</t>
  </si>
  <si>
    <t>Discuss the importance of creating a strong brand voice and tone in copywriting to build consistency and recognition.</t>
  </si>
  <si>
    <t>Share tips for writing effective social media captions that grab attention and drive engagement.</t>
  </si>
  <si>
    <t>Explore techniques for crafting persuasive sales scripts for telemarketing or cold calling.</t>
  </si>
  <si>
    <t>Discuss the benefits of using data-driven insights to optimize copy for better performance.</t>
  </si>
  <si>
    <t>Share strategies for writing impactful case studies that showcase successful outcomes and benefits.</t>
  </si>
  <si>
    <t>Explore different methods for creating compelling content for display advertisements.</t>
  </si>
  <si>
    <t>Discuss the importance of using customer feedback and testimonials to inform copywriting strategies.</t>
  </si>
  <si>
    <t>Share tips for writing persuasive email subject lines that entice recipients to open and read.</t>
  </si>
  <si>
    <t>Explore techniques for creating engaging and informative blog posts that provide value to readers.</t>
  </si>
  <si>
    <t>Discuss the benefits of using storytelling elements in copywriting for hospitality and travel industries.</t>
  </si>
  <si>
    <t>Share strategies for writing impactful headlines for content marketing articles.</t>
  </si>
  <si>
    <t>Explore different methods for incorporating social proof, such as customer reviews or ratings, into copywriting.</t>
  </si>
  <si>
    <t>Discuss the importance of creating a strong brand identity and positioning in copywriting.</t>
  </si>
  <si>
    <t>Share tips for writing persuasive sales scripts for webinars or online presentations.</t>
  </si>
  <si>
    <t>Explore techniques for crafting compelling headlines for landing pages that capture attention and encourage conversions.</t>
  </si>
  <si>
    <t>Discuss the benefits of using targeted messaging and personalization in copywriting to enhance customer experience.</t>
  </si>
  <si>
    <t>Share tips for writing compelling headlines for social media ad campaigns.</t>
  </si>
  <si>
    <t>Explore techniques for creating persuasive copy for direct mail marketing.</t>
  </si>
  <si>
    <t>Discuss the benefits of using storytelling elements in copywriting for the fashion and beauty industry.</t>
  </si>
  <si>
    <t>Share strategies for writing effective call-to-action (CTA) copy that encourages immediate action.</t>
  </si>
  <si>
    <t>Explore different methods for writing persuasive scripts for television commercials.</t>
  </si>
  <si>
    <t>Discuss the importance of using customer insights and market research to inform copywriting strategies.</t>
  </si>
  <si>
    <t>Share tips for crafting persuasive sales copy for online courses or digital products.</t>
  </si>
  <si>
    <t>Explore techniques for creating compelling and memorable brand slogans.</t>
  </si>
  <si>
    <t>Discuss the benefits of using emotional appeals and empathy in nonprofit copywriting.</t>
  </si>
  <si>
    <t>Share strategies for writing impactful headlines for email marketing campaigns.</t>
  </si>
  <si>
    <t>Explore different methods for incorporating social media influencers into copywriting for influencer marketing campaigns.</t>
  </si>
  <si>
    <t>Discuss the importance of creating a consistent brand voice across different marketing channels.</t>
  </si>
  <si>
    <t>Share tips for writing persuasive website copy that showcases the unique value of a service-based business.</t>
  </si>
  <si>
    <t>Explore techniques for crafting compelling and informative video scripts for brand storytelling.</t>
  </si>
  <si>
    <t>Discuss the benefits of using customer-focused language and addressing pain points in copywriting for healthcare and wellness industries.</t>
  </si>
  <si>
    <t>Share strategies for writing effective headlines for content upgrades or lead magnets.</t>
  </si>
  <si>
    <t>Explore different methods for creating engaging and persuasive copy for online sales funnels.</t>
  </si>
  <si>
    <t>Discuss the importance of using data-driven insights to optimize email copy for higher open and click-through rates.</t>
  </si>
  <si>
    <t>Share tips for writing persuasive product descriptions for e-commerce websites.</t>
  </si>
  <si>
    <t>Explore techniques for crafting impactful brand stories in copywriting.</t>
  </si>
  <si>
    <t>Discuss the benefits of using testimonials and user-generated content in copywriting for social proof.</t>
  </si>
  <si>
    <t>Share strategies for writing compelling headlines for case studies that highlight successful outcomes.</t>
  </si>
  <si>
    <t>Explore different methods for incorporating urgency and scarcity in copywriting to drive immediate action.</t>
  </si>
  <si>
    <t>Discuss the importance of understanding the target audience's pain points and desires in copywriting.</t>
  </si>
  <si>
    <t>Share tips for writing persuasive copy for landing pages that increase conversion rates.</t>
  </si>
  <si>
    <t>Explore techniques for creating engaging and informative video scripts for educational courses.</t>
  </si>
  <si>
    <t>Discuss the benefits of using humor and wit in copywriting to entertain and engage the audience.</t>
  </si>
  <si>
    <t>Share strategies for writing impactful headlines for press releases that grab media attention.</t>
  </si>
  <si>
    <t>Explore different methods for creating persuasive copy for crowdfunding campaigns.</t>
  </si>
  <si>
    <t>Discuss the importance of conducting competitive analysis to differentiate and position copy effectively.</t>
  </si>
  <si>
    <t>Share tips for writing effective copy for Facebook ads that drive engagement and conversions.</t>
  </si>
  <si>
    <t>Explore techniques for crafting compelling and persuasive copy for sales pages.</t>
  </si>
  <si>
    <t>Discuss the benefits of using personal stories and experiences in copywriting to connect with the audience.</t>
  </si>
  <si>
    <t>Share strategies for writing impactful headlines for podcast episodes or audio content.</t>
  </si>
  <si>
    <t>Explore different methods for incorporating social media listening and monitoring into copywriting strategies.</t>
  </si>
  <si>
    <t>Discuss the importance of understanding the target audience's buying journey in copywriting.</t>
  </si>
  <si>
    <t>Share tips for writing persuasive copy for webinar registration pages that increase sign-ups.</t>
  </si>
  <si>
    <t>Explore techniques for creating engaging and persuasive copy for affiliate marketing promotions.</t>
  </si>
  <si>
    <t>Discuss the benefits of using data-driven insights to create personalized copy for email marketing campaigns.</t>
  </si>
  <si>
    <t>Share strategies for writing impactful headlines for LinkedIn posts that generate engagement.</t>
  </si>
  <si>
    <t>Explore different methods for incorporating storytelling elements in copywriting for technology products or services.</t>
  </si>
  <si>
    <t>Discuss the importance of using customer-focused language and benefits-driven copy in B2B copywriting.</t>
  </si>
  <si>
    <t>Share tips for writing persuasive copy for e-book sales pages that encourage downloads.</t>
  </si>
  <si>
    <t>Explore techniques for crafting compelling and persuasive copy for influencer collaborations.</t>
  </si>
  <si>
    <t>Discuss the benefits of using power words and emotional triggers in copywriting to captivate the audience.</t>
  </si>
  <si>
    <t>Share strategies for writing impactful headlines for job postings that attract qualified candidates.</t>
  </si>
  <si>
    <t>Explore different methods for incorporating social media contests and giveaways into copywriting for increased engagement.</t>
  </si>
  <si>
    <t>Discuss the importance of using concise and clear language in copywriting for better readability.</t>
  </si>
  <si>
    <t>Share tips for writing persuasive copy for sales emails that drive conversions.</t>
  </si>
  <si>
    <t>Explore techniques for creating engaging and informative video scripts for customer testimonials.</t>
  </si>
  <si>
    <t>Share strategies for writing persuasive copy for subscription-based services that encourage sign-ups.</t>
  </si>
  <si>
    <t>Explore techniques for incorporating storytelling elements in copywriting for luxury brands and products.</t>
  </si>
  <si>
    <t>Discuss the benefits of using social proof and testimonials in copywriting for real estate listings.</t>
  </si>
  <si>
    <t>Share tips for crafting compelling headlines for blog posts that generate interest and clicks.</t>
  </si>
  <si>
    <t>Explore different methods for creating persuasive copy for fundraising campaigns and appeals.</t>
  </si>
  <si>
    <t>Discuss the importance of using sensory language and vivid imagery in copywriting to evoke emotions.</t>
  </si>
  <si>
    <t>Share strategies for writing impactful copy for product launches that build anticipation and excitement.</t>
  </si>
  <si>
    <t>Explore techniques for incorporating personalization and dynamic content in email marketing copy.</t>
  </si>
  <si>
    <t>Discuss the benefits of using data-driven insights to optimize copy for higher conversion rates.</t>
  </si>
  <si>
    <t>Share tips for writing persuasive copy for online course sales pages that highlight the benefits of learning.</t>
  </si>
  <si>
    <t>Explore different methods for creating engaging and persuasive copy for social media ads.</t>
  </si>
  <si>
    <t>Discuss the importance of using storytelling techniques in copywriting for non-profit organizations.</t>
  </si>
  <si>
    <t>Share strategies for crafting compelling headlines for e-commerce product descriptions.</t>
  </si>
  <si>
    <t>Explore techniques for incorporating persuasive copy in packaging design to enhance brand perception.</t>
  </si>
  <si>
    <t>Discuss the benefits of using emotional triggers and storytelling in copywriting for parenting and family-related products.</t>
  </si>
  <si>
    <t>Share tips for writing persuasive copy for software and technology solutions.</t>
  </si>
  <si>
    <t>Explore different methods for creating engaging and informative video scripts for brand tutorials.</t>
  </si>
  <si>
    <t>Discuss the importance of understanding the target audience's pain points and desires in copywriting for financial services.</t>
  </si>
  <si>
    <t>Share strategies for writing impactful headlines for travel destination guides and itineraries.</t>
  </si>
  <si>
    <t>Explore techniques for crafting compelling and persuasive copy for sales letters.</t>
  </si>
  <si>
    <t>Discuss the benefits of using social media listening and sentiment analysis to inform copywriting strategies.</t>
  </si>
  <si>
    <t>Share tips for writing persuasive copy for crowdfunding campaigns that inspire contributions.</t>
  </si>
  <si>
    <t>Explore different methods for incorporating user-generated content and customer testimonials into copywriting for increased credibility.</t>
  </si>
  <si>
    <t>Discuss the importance of using power words and persuasive language in copywriting for health and wellness products.</t>
  </si>
  <si>
    <t>Share strategies for creating impactful headlines for online reviews and testimonials.</t>
  </si>
  <si>
    <t>Explore techniques for crafting persuasive copy for mobile app descriptions and store listings.</t>
  </si>
  <si>
    <t>Discuss the benefits of using data-driven insights to personalize copy for better engagement.</t>
  </si>
  <si>
    <t>Share tips for writing persuasive copy for event invitations and registrations.</t>
  </si>
  <si>
    <t>Explore different methods for creating engaging and persuasive copy for online quizzes and assessments.</t>
  </si>
  <si>
    <t>Discuss the importance of creating a strong brand voice and tone in copywriting for hospitality and tourism industries.</t>
  </si>
  <si>
    <t>Share strategies for writing impactful headlines for resume and CV templates.</t>
  </si>
  <si>
    <t>Explore techniques for incorporating storytelling elements in copywriting for food and beverage products.</t>
  </si>
  <si>
    <t>Discuss the benefits of using social media influencers and partnerships in copywriting for influencer collaborations.</t>
  </si>
  <si>
    <t>Share tips for crafting persuasive copy for financial investment opportunities.</t>
  </si>
  <si>
    <t>Explore different methods for creating persuasive copy for online booking platforms and services.</t>
  </si>
  <si>
    <t>Discuss the importance of using conversational language and addressing customer pain points in copywriting for customer support services.</t>
  </si>
  <si>
    <t>Share strategies for writing impactful headlines for educational courses and programs.</t>
  </si>
  <si>
    <t>Explore techniques for incorporating humor and wit in copywriting for entertainment and leisure products.</t>
  </si>
  <si>
    <t>Discuss the benefits of using social media hashtags and trends in copywriting for increased visibility and engagement.</t>
  </si>
  <si>
    <t>Share tips for writing persuasive copy for e-commerce upselling and cross-selling campaigns.</t>
  </si>
  <si>
    <t>Explore different methods for creating engaging and informative video scripts for brand testimonials.</t>
  </si>
  <si>
    <t>Discuss the importance of using data-driven insights to optimize copy for search engine optimization (SEO).</t>
  </si>
  <si>
    <t>Share strategies for crafting compelling headlines for job application cover letters.</t>
  </si>
  <si>
    <t>Explore techniques for incorporating storytelling elements in copywriting for sustainable and eco-friendly brands.</t>
  </si>
  <si>
    <t>Discuss the benefits of using emotional appeals and storytelling in copywriting for pet-related products and services.</t>
  </si>
  <si>
    <t>Share tips for writing persuasive copy for financial planning and retirement services.</t>
  </si>
  <si>
    <t>Explore different methods for creating engaging and persuasive copy for beauty and skincare products.</t>
  </si>
  <si>
    <t>Discuss the importance of using social media captions and microcopy to enhance brand personality.</t>
  </si>
  <si>
    <t>Share strategies for writing impactful headlines for book summaries and reviews.</t>
  </si>
  <si>
    <t>Explore techniques for incorporating personal stories and experiences in copywriting for personal development products.</t>
  </si>
  <si>
    <t>Advertising</t>
  </si>
  <si>
    <t>Discuss the benefits of using social media influencers in advertising to reach niche audiences and increase brand awareness.</t>
  </si>
  <si>
    <t>Share strategies for creating impactful billboard advertisements that grab attention and deliver a memorable message.</t>
  </si>
  <si>
    <t>Explore techniques for using data-driven targeting and segmentation in digital advertising for better campaign results.</t>
  </si>
  <si>
    <t>Discuss the importance of incorporating storytelling and emotional appeals in advertising for nonprofit organizations.</t>
  </si>
  <si>
    <t>Share tips for creating persuasive radio jingles that effectively communicate the brand's message and stick in the listeners' minds.</t>
  </si>
  <si>
    <t>Explore different methods for using user-generated content and customer testimonials in advertising for travel and tourism campaigns.</t>
  </si>
  <si>
    <t>Discuss the benefits of using interactive and experiential advertising to create memorable brand experiences.</t>
  </si>
  <si>
    <t>Share strategies for creating impactful social media ad campaigns that drive engagement and conversions.</t>
  </si>
  <si>
    <t>Explore techniques for using humor and satire in advertising to create a memorable and shareable brand image.</t>
  </si>
  <si>
    <t>Discuss the importance of incorporating ethical and socially responsible messaging in advertising for sustainable brands.</t>
  </si>
  <si>
    <t>Share tips for creating persuasive direct mail advertisements that stand out in the mailbox and generate response.</t>
  </si>
  <si>
    <t>Explore different methods for using programmatic advertising and real-time bidding to optimize ad placements and targeting.</t>
  </si>
  <si>
    <t>Discuss the benefits of using influencer collaborations and co-branded campaigns in advertising for lifestyle brands.</t>
  </si>
  <si>
    <t>Share strategies for creating impactful experiential advertising campaigns that engage and immerse the audience.</t>
  </si>
  <si>
    <t>Explore techniques for using animated and motion graphics in digital advertising to capture attention and convey messages effectively.</t>
  </si>
  <si>
    <t>Discuss the importance of conducting market research and consumer insights in developing effective advertising strategies.</t>
  </si>
  <si>
    <t>Share tips for incorporating social media contests and giveaways in advertising to drive audience participation and brand loyalty.</t>
  </si>
  <si>
    <t>Explore different methods for using data analytics and attribution modeling in measuring the effectiveness of advertising campaigns.</t>
  </si>
  <si>
    <t>Discuss the benefits of using emotional storytelling in advertising for healthcare and pharmaceutical products.</t>
  </si>
  <si>
    <t>Share strategies for creating impactful influencer marketing campaigns that align with the brand's values and target audience.</t>
  </si>
  <si>
    <t>Explore techniques for using humor and storytelling in advertising for fast food and restaurant brands.</t>
  </si>
  <si>
    <t>Discuss the importance of incorporating diversity and inclusivity in advertising to reflect and connect with diverse audiences.</t>
  </si>
  <si>
    <t>Share tips for creating persuasive video advertisements for YouTube and other online video platforms.</t>
  </si>
  <si>
    <t>Explore different methods for using augmented reality (AR) and virtual reality (VR) in advertising to enhance brand experiences.</t>
  </si>
  <si>
    <t>Discuss the benefits of using customer segmentation and personalized messaging in email marketing advertising campaigns.</t>
  </si>
  <si>
    <t>Share strategies for creating impactful mobile app advertisements that drive downloads and user engagement.</t>
  </si>
  <si>
    <t>Explore techniques for using user-generated content and customer reviews in advertising for consumer electronics and gadgets.</t>
  </si>
  <si>
    <t>Discuss the importance of using data-driven insights and consumer behavior analysis in optimizing advertising strategies.</t>
  </si>
  <si>
    <t>Share tips for incorporating influencer-generated content in advertising for beauty and cosmetics brands.</t>
  </si>
  <si>
    <t>Explore different methods for using gamification and interactive elements in advertising to increase audience engagement.</t>
  </si>
  <si>
    <t>Discuss the benefits of using emotional appeals and storytelling in automotive advertising to connect with consumers' aspirations.</t>
  </si>
  <si>
    <t>Share strategies for creating impactful digital signage advertisements in public spaces and retail environments.</t>
  </si>
  <si>
    <t>Explore techniques for using user-generated content and testimonials in advertising for home decor and interior design brands.</t>
  </si>
  <si>
    <t>Discuss the importance of leveraging social media listening and sentiment analysis in advertising to understand audience perception.</t>
  </si>
  <si>
    <t>Share tips for creating persuasive testimonial advertisements for fitness and wellness products.</t>
  </si>
  <si>
    <t>Explore different methods for using influencer-generated content in advertising for fashion and apparel brands.</t>
  </si>
  <si>
    <t>Discuss the benefits of using interactive quizzes and surveys in advertising to engage and collect data from the audience.</t>
  </si>
  <si>
    <t>Share strategies for creating impactful storytelling advertisements for financial services and banking institutions.</t>
  </si>
  <si>
    <t>Explore techniques for using emotional appeals and storytelling in advertising for charitable organizations and fundraising campaigns.</t>
  </si>
  <si>
    <t>Discuss the importance of using cross-channel advertising and integrated marketing communications for consistent brand messaging.</t>
  </si>
  <si>
    <t>Explore techniques for using social media influencers and brand partnerships in advertising campaigns.</t>
  </si>
  <si>
    <t>Discuss the benefits of using emotional storytelling in advertising for luxury and high-end products.</t>
  </si>
  <si>
    <t>Share strategies for creating impactful video advertisements for streaming platforms and video-sharing websites.</t>
  </si>
  <si>
    <t>Discuss the importance of incorporating social proof and user-generated content in advertising for e-commerce products.</t>
  </si>
  <si>
    <t>Share tips for creating persuasive testimonial advertisements that highlight the positive experiences of satisfied customers.</t>
  </si>
  <si>
    <t>Explore different methods for using influencer-generated content in advertising for health and wellness brands.</t>
  </si>
  <si>
    <t>Discuss the benefits of using emotional storytelling in advertising for automotive and car-related products.</t>
  </si>
  <si>
    <t>Share strategies for creating impactful radio advertisements that effectively communicate the brand's message through audio.</t>
  </si>
  <si>
    <t>Explore techniques for using humor and creativity in advertising for food and beverage brands.</t>
  </si>
  <si>
    <t>Discuss the importance of incorporating aspirational and lifestyle imagery in advertising for travel and tourism campaigns.</t>
  </si>
  <si>
    <t>Share tips for creating persuasive print advertisements that capture attention and deliver the brand's message effectively.</t>
  </si>
  <si>
    <t>Explore different methods for using data-driven insights to target and personalize advertising messages.</t>
  </si>
  <si>
    <t>Discuss the benefits of using emotional appeals and storytelling in advertising for home and lifestyle products.</t>
  </si>
  <si>
    <t>Share strategies for creating impactful influencer marketing campaigns that resonate with the target audience.</t>
  </si>
  <si>
    <t>Explore techniques for using interactive elements and gamification in digital advertising to increase engagement.</t>
  </si>
  <si>
    <t>Discuss the importance of incorporating user-generated content in advertising for consumer electronics brands.</t>
  </si>
  <si>
    <t>Share tips for creating persuasive billboard advertisements that make an impact and leave a lasting impression.</t>
  </si>
  <si>
    <t>Explore different methods for using dynamic and personalized advertisements based on user behavior and preferences.</t>
  </si>
  <si>
    <t>Discuss the benefits of using emotional storytelling in advertising for pet-related products and services.</t>
  </si>
  <si>
    <t>Share strategies for creating impactful outdoor advertisements that catch the attention of passersby.</t>
  </si>
  <si>
    <t>Explore techniques for using humor and wit in advertising for financial services and products.</t>
  </si>
  <si>
    <t>Discuss the importance of incorporating social media advertising platforms in targeted and personalized ad campaigns.</t>
  </si>
  <si>
    <t>Share tips for creating persuasive digital banner advertisements that drive click-throughs and conversions.</t>
  </si>
  <si>
    <t>Explore different methods for using influencer-generated content in advertising for beauty and skincare brands.</t>
  </si>
  <si>
    <t>Discuss the benefits of using emotional appeals and storytelling in advertising for personal development products.</t>
  </si>
  <si>
    <t>Share strategies for creating impactful cause-related advertising campaigns that align with social and environmental issues.</t>
  </si>
  <si>
    <t>Explore techniques for using emotional appeals and storytelling in political advertising to connect with voters.</t>
  </si>
  <si>
    <t>Discuss the importance of incorporating diversity and inclusivity in advertising to resonate with a wider audience.</t>
  </si>
  <si>
    <t>Share tips for incorporating social media trends and viral content in advertising to generate buzz and organic reach.</t>
  </si>
  <si>
    <t>Discuss the benefits of using emotional storytelling in advertising for home decor and interior design products.</t>
  </si>
  <si>
    <t>Share strategies for creating impactful advertising campaigns for local businesses and targeted geographic areas.</t>
  </si>
  <si>
    <t>Explore techniques for using dynamic and personalized advertisements based on user preferences and browsing behavior.</t>
  </si>
  <si>
    <t>Discuss the importance of understanding the target audience's values and aspirations in advertising.</t>
  </si>
  <si>
    <t>Share tips for incorporating testimonials and success stories in advertising for professional services.</t>
  </si>
  <si>
    <t>Explore different methods for using social media advertising retargeting to reach engaged audiences and improve conversion rates.</t>
  </si>
  <si>
    <t>Discuss the benefits of using influencer-generated content in advertising for fitness and wellness brands.</t>
  </si>
  <si>
    <t>Share strategies for creating impactful storytelling advertisements for technology and gadget products.</t>
  </si>
  <si>
    <t>Explore techniques for using emotional appeals and storytelling in advertising for educational services.</t>
  </si>
  <si>
    <t>Discuss the importance of incorporating authenticity and transparency in advertising for sustainable and eco-friendly brands.</t>
  </si>
  <si>
    <t>Share tips for creating persuasive testimonial advertisements that showcase real customer experiences.</t>
  </si>
  <si>
    <t>Explore different methods for using influencer-generated content in advertising for food and beverage brands.</t>
  </si>
  <si>
    <t>Discuss the benefits of using emotional storytelling in advertising for travel and tourism destinations.</t>
  </si>
  <si>
    <t>Share strategies for creating impactful video advertisements for social media platforms.</t>
  </si>
  <si>
    <t>Discuss the importance of incorporating social proof and customer reviews in advertising for online marketplaces.</t>
  </si>
  <si>
    <t>Explore techniques for using humor and creativity in advertising for home and lifestyle brands.</t>
  </si>
  <si>
    <t>Share tips for creating persuasive radio advertisements that engage listeners and drive action.</t>
  </si>
  <si>
    <t>Discuss the benefits of using emotional appeals and storytelling in advertising for fitness and wellness products.</t>
  </si>
  <si>
    <t>Share strategies for creating impactful digital display advertisements that capture attention and generate clicks.</t>
  </si>
  <si>
    <t>Explore different methods for using user-generated content in advertising for fashion and apparel brands.</t>
  </si>
  <si>
    <t>Discuss the importance of incorporating cultural sensitivity and diversity in advertising campaigns.</t>
  </si>
  <si>
    <t>Share tips for creating persuasive billboard advertisements that make a strong visual impact.</t>
  </si>
  <si>
    <t>Explore techniques for using data analytics and audience targeting in digital advertising campaigns.</t>
  </si>
  <si>
    <t>Discuss the benefits of using emotional storytelling in advertising for automotive and transportation brands.</t>
  </si>
  <si>
    <t>Share strategies for creating impactful influencer marketing campaigns that drive brand awareness.</t>
  </si>
  <si>
    <t>Explore different methods for using humor and wit in advertising for technology and gadgets.</t>
  </si>
  <si>
    <t>Discuss the importance of incorporating social media advertising in reaching younger demographics.</t>
  </si>
  <si>
    <t>Share tips for creating persuasive print advertisements that stand out in print publications.</t>
  </si>
  <si>
    <t>Explore techniques for using interactive elements in digital advertising to engage the audience.</t>
  </si>
  <si>
    <t>Discuss the benefits of using emotional appeals and storytelling in advertising for pet-related products.</t>
  </si>
  <si>
    <t>Share strategies for creating impactful outdoor advertisements that resonate with passersby.</t>
  </si>
  <si>
    <t>Discuss the importance of incorporating social media influencers in advertising for travel and hospitality.</t>
  </si>
  <si>
    <t>Share tips for creating persuasive email advertisements that drive open rates and conversions.</t>
  </si>
  <si>
    <t>Explore techniques for using emotional storytelling in advertising for personal finance and insurance.</t>
  </si>
  <si>
    <t>Discuss the benefits of using cause-related advertising campaigns to support social and environmental causes.</t>
  </si>
  <si>
    <t>Share strategies for creating impactful video advertisements for streaming platforms and online video content.</t>
  </si>
  <si>
    <t>Explore different methods for using user-generated content in advertising for consumer electronics brands.</t>
  </si>
  <si>
    <t>Discuss the importance of incorporating humor and entertainment in advertising for food and beverage brands.</t>
  </si>
  <si>
    <t>Share tips for creating persuasive digital banner advertisements that attract clicks and engagement.</t>
  </si>
  <si>
    <t>Explore techniques for using influencer-generated content in advertising for fashion and apparel brands.</t>
  </si>
  <si>
    <t>Discuss the benefits of using emotional appeals and storytelling in advertising for home decor and interior design.</t>
  </si>
  <si>
    <t>Share strategies for creating impactful storytelling advertisements for health and wellness products.</t>
  </si>
  <si>
    <t>Explore different methods for using interactive elements in digital signage advertising.</t>
  </si>
  <si>
    <t>Discuss the importance of incorporating social media contests and giveaways in advertising campaigns.</t>
  </si>
  <si>
    <t>Share tips for creating persuasive testimonial advertisements for automotive and vehicle-related products.</t>
  </si>
  <si>
    <t>Explore techniques for using humor and creativity in advertising for financial services and banking.</t>
  </si>
  <si>
    <t>Discuss the benefits of using emotional appeals and storytelling in advertising for technology and gadgets.</t>
  </si>
  <si>
    <t>Share strategies for creating impactful influencer marketing campaigns for lifestyle and fashion brands.</t>
  </si>
  <si>
    <t>Explore different methods for using user-generated content in advertising for travel and tourism destinations.</t>
  </si>
  <si>
    <t>Discuss the importance of incorporating social proof and customer testimonials in advertising for health and wellness products.</t>
  </si>
  <si>
    <t>Share tips for creating persuasive radio jingles that effectively communicate brand messages.</t>
  </si>
  <si>
    <t>Explore techniques for using emotional storytelling in advertising for home improvement and renovation services.</t>
  </si>
  <si>
    <t>Share strategies for creating impactful video advertisements for social media stories and short-form content.</t>
  </si>
  <si>
    <t>Explore different methods for using humor and entertainment in advertising for travel and tourism destinations.</t>
  </si>
  <si>
    <t>Discuss the importance of incorporating social media influencers in advertising for beauty and skincare brands.</t>
  </si>
  <si>
    <t>Share tips for creating persuasive print advertisements for real estate and property listings.</t>
  </si>
  <si>
    <t>Explore techniques for using interactive elements in digital advertising to enhance user engagement and conversions.</t>
  </si>
  <si>
    <t>Discuss the benefits of using emotional appeals and storytelling in advertising for fashion and apparel brands.</t>
  </si>
  <si>
    <t>Share strategies for creating impactful influencer marketing campaigns for food and beverage brands.</t>
  </si>
  <si>
    <t>Explore techniques for using emotional storytelling in advertising for home and lifestyle products.</t>
  </si>
  <si>
    <t>Discuss the benefits of incorporating user-generated content in advertising for travel and tourism campaigns.</t>
  </si>
  <si>
    <t>Share tips for creating persuasive radio advertisements that effectively communicate the brand's message.</t>
  </si>
  <si>
    <t>Explore different methods for using humor and creativity in advertising for automotive and car-related products.</t>
  </si>
  <si>
    <t>Discuss the importance of incorporating social media advertising platforms in targeted ad campaigns.</t>
  </si>
  <si>
    <t>Share strategies for creating impactful digital banner advertisements that catch the audience's attention.</t>
  </si>
  <si>
    <t>Explore techniques for using influencer-generated content in advertising for health and wellness brands.</t>
  </si>
  <si>
    <t>Share tips for creating persuasive billboard advertisements that make a lasting impression on viewers.</t>
  </si>
  <si>
    <t>Explore different methods for using dynamic and personalized advertisements based on user behavior.</t>
  </si>
  <si>
    <t>Discuss the importance of incorporating authenticity and transparency in advertising for sustainable brands.</t>
  </si>
  <si>
    <t>Share strategies for creating impactful cause-related advertising campaigns that resonate with audiences.</t>
  </si>
  <si>
    <t>Discuss the benefits of using influencer-generated content in advertising for fashion and apparel brands.</t>
  </si>
  <si>
    <t>Share tips for creating persuasive storytelling advertisements for technology and gadget products.</t>
  </si>
  <si>
    <t>Explore different methods for using social media advertising retargeting to improve conversion rates.</t>
  </si>
  <si>
    <t>Discuss the importance of incorporating user-generated content in advertising for beauty and skincare brands.</t>
  </si>
  <si>
    <t>Share strategies for creating impactful advertising campaigns for local businesses and geographic areas.</t>
  </si>
  <si>
    <t>Explore techniques for using dynamic and personalized advertisements based on user preferences.</t>
  </si>
  <si>
    <t>Discuss the benefits of using emotional appeals and storytelling in advertising for educational services.</t>
  </si>
  <si>
    <t>Explore different methods for using social media trends and viral content in advertising campaigns.</t>
  </si>
  <si>
    <t>Discuss the importance of incorporating influencer-generated content in advertising for fitness brands.</t>
  </si>
  <si>
    <t>Explore techniques for using emotional appeals and storytelling in advertising for home decor products.</t>
  </si>
  <si>
    <t>Discuss the benefits of using authenticity and relatability in advertising for personal care products.</t>
  </si>
  <si>
    <t>Discuss the importance of incorporating social media influencers in advertising for travel campaigns.</t>
  </si>
  <si>
    <t>Share strategies for creating impactful video advertisements for streaming platforms and online videos.</t>
  </si>
  <si>
    <t>Explore techniques for using emotional appeals and storytelling in advertising for pet-related products.</t>
  </si>
  <si>
    <t>Discuss the benefits of using humor and creativity in advertising for food and beverage brands.</t>
  </si>
  <si>
    <t>Share tips for creating persuasive digital banner advertisements that drive click-through rates.</t>
  </si>
  <si>
    <t>Share strategies for creating impactful outdoor advertisements that capture attention and engage viewers.</t>
  </si>
  <si>
    <t>Discuss the benefits of using emotional appeals and storytelling in advertising for personal finance products.</t>
  </si>
  <si>
    <t>Share tips for incorporating social proof and testimonials in advertising for health and wellness products.</t>
  </si>
  <si>
    <t>Discuss the importance of incorporating emotional storytelling in advertising for home decor products.</t>
  </si>
  <si>
    <t>Share strategies for creating impactful storytelling advertisements for health and wellness brands.</t>
  </si>
  <si>
    <t>Explore techniques for using humor and creativity in advertising for technology and gadget products.</t>
  </si>
  <si>
    <t>Discuss the benefits of using user-generated content in advertising for travel and tourism destinations.</t>
  </si>
  <si>
    <t>Discuss the benefits of incorporating user-generated content in advertising for beauty and skincare brands.</t>
  </si>
  <si>
    <t>Share strategies for creating impactful email advertisements that drive open rates and conversions.</t>
  </si>
  <si>
    <t>Explore techniques for using user-generated content in advertising for fashion and apparel brands.</t>
  </si>
  <si>
    <t>Share tips for creating persuasive video advertisements for streaming platforms and online videos.</t>
  </si>
  <si>
    <t>Explore different methods for using emotional appeals and storytelling in advertising for pet-related products.</t>
  </si>
  <si>
    <t>Share strategies for creating impactful digital banner advertisements that drive click-through rates.</t>
  </si>
  <si>
    <t>Explore techniques for using influencer-generated content in advertising for beauty and skincare brands.</t>
  </si>
  <si>
    <t>Share tips for creating persuasive outdoor advertisements that capture attention and engage viewers.</t>
  </si>
  <si>
    <t>Explore different methods for using dynamic and personalized advertisements based on user preferences.</t>
  </si>
  <si>
    <t>Share strategies for incorporating social proof and testimonials in advertising for health and wellness products.</t>
  </si>
  <si>
    <t>Share tips for creating impactful storytelling advertisements for health and wellness brands.</t>
  </si>
  <si>
    <t>Explore different methods for using humor and creativity in advertising for technology and gadget products.</t>
  </si>
  <si>
    <t>Share strategies for creating persuasive radio advertisements that effectively communicate the brand's message.</t>
  </si>
  <si>
    <t>Explore techniques for using dynamic and personalized advertisements based on user behavior.</t>
  </si>
  <si>
    <t>Share tips for creating impactful digital banner advertisements that catch the audience's attention.</t>
  </si>
  <si>
    <t>Share strategies for creating persuasive billboard advertisements that make a lasting impression on viewers.</t>
  </si>
  <si>
    <t>Explore techniques for using social media advertising retargeting to improve conversion rates.</t>
  </si>
  <si>
    <t>Share tips for creating impactful advertising campaigns for local businesses and geographic areas.</t>
  </si>
  <si>
    <t>Discuss the benefits of incorporating influencer-generated content in advertising for fitness brands.</t>
  </si>
  <si>
    <t>Share strategies for creating persuasive storytelling advertisements for technology and gadget products.</t>
  </si>
  <si>
    <t>Explore techniques for using social media trends and viral content in advertising campaigns.</t>
  </si>
  <si>
    <t>Discuss the importance of using authenticity and relatability in advertising for personal care products.</t>
  </si>
  <si>
    <t>Share tips for creating impactful email advertisements that drive open rates and conversions.</t>
  </si>
  <si>
    <t>Discuss the benefits of incorporating social media influencers in advertising for travel campaigns.</t>
  </si>
  <si>
    <t>Share strategies for creating persuasive video advertisements for streaming platforms and online videos.</t>
  </si>
  <si>
    <t>Discuss the importance of using humor and creativity in advertising for food and beverage brands.</t>
  </si>
  <si>
    <t>Share tips for creating impactful digital banner advertisements that drive click-through rates.</t>
  </si>
  <si>
    <t>Writing and storytelling prompts</t>
  </si>
  <si>
    <t>Write a short story about a mysterious object that grants wishes, but at a great cost.</t>
  </si>
  <si>
    <t>Describe a character who possesses the ability to hear other people's thoughts and explore the consequences of this power.</t>
  </si>
  <si>
    <t>Write a scene in which two long-lost friends reunite after many years and confront their unresolved conflicts.</t>
  </si>
  <si>
    <t>Create a fictional world where dreams become reality and explore the impact on society.</t>
  </si>
  <si>
    <t>Write a dialogue between two characters who have opposing perspectives on a controversial topic.</t>
  </si>
  <si>
    <t>Describe a journey to a hidden realm where mythical creatures exist and explore the protagonist's encounters.</t>
  </si>
  <si>
    <t>Write a story about a person who discovers they have the power to manipulate time and the challenges they face.</t>
  </si>
  <si>
    <t>Create a character who is haunted by their past and must confront their inner demons to find redemption.</t>
  </si>
  <si>
    <t>Write a scene set in a post-apocalyptic world where a small group of survivors struggle to rebuild society.</t>
  </si>
  <si>
    <t>Describe a magical book that transports its readers to different time periods and the adventures they experience.</t>
  </si>
  <si>
    <t>Write a story about a person who wakes up in a parallel universe where everything is opposite to their own world.</t>
  </si>
  <si>
    <t>Create a character who possesses the ability to speak to animals and the unexpected consequences it brings.</t>
  </si>
  <si>
    <t>Write a scene where two strangers meet on a train and discover they have a profound connection.</t>
  </si>
  <si>
    <t>Describe a hidden society within modern society, where a select group of people possess extraordinary abilities.</t>
  </si>
  <si>
    <t>Write a story about a young artist who discovers their artwork has the power to bring their imagination to life.</t>
  </si>
  <si>
    <t>Create a character who can see glimpses of the future and the challenges they face in altering destiny.</t>
  </si>
  <si>
    <t>Write a scene in which a group of explorers stumble upon a long-lost treasure and must outwit their rivals to claim it.</t>
  </si>
  <si>
    <t>Describe a world where everyone is born with a unique mark that determines their destiny and explore a character's journey to defy their predetermined fate.</t>
  </si>
  <si>
    <t>Write a story about a person who can hear the thoughts of inanimate objects and the insights they gain from it.</t>
  </si>
  <si>
    <t>Create a character who has the ability to communicate with plants and the impact it has on their life and relationships.</t>
  </si>
  <si>
    <t>Write a scene set in a dystopian society where individuality is suppressed, and a rebellion is brewing.</t>
  </si>
  <si>
    <t>Describe a forbidden love story between two individuals from rival factions or warring families.</t>
  </si>
  <si>
    <t>Write a story about a person who discovers they have the power to enter the world of books and interact with fictional characters.</t>
  </si>
  <si>
    <t>Create a character who can manipulate the elements and the responsibility that comes with such power.</t>
  </si>
  <si>
    <t>Write a scene in which a detective uncovers a hidden conspiracy that goes far deeper than expected.</t>
  </si>
  <si>
    <t>Describe a hidden portal that leads to different dimensions, and the adventures that await those who discover it.</t>
  </si>
  <si>
    <t>Write a story about a group of friends who stumble upon a magical artifact and the extraordinary events that follow.</t>
  </si>
  <si>
    <t>Create a character who can project their consciousness into the minds of others and explore the ethical dilemmas they face.</t>
  </si>
  <si>
    <t>Write a scene set in a futuristic society where technology controls every aspect of people's lives.</t>
  </si>
  <si>
    <t>Describe a person who can travel through time but becomes trapped in a loop, reliving the same day over and over again.</t>
  </si>
  <si>
    <t>Write a story about a group of strangers who find themselves stranded on a deserted island and must work together to survive.</t>
  </si>
  <si>
    <t>Create a character who possesses the ability to manipulate dreams and delve into the psychological consequences.</t>
  </si>
  <si>
    <t>Write a scene in which a journalist uncovers a dark secret that could bring down a powerful organization.</t>
  </si>
  <si>
    <t>Describe a society where emotions are forbidden, and a rebel group fights to restore freedom of expression.</t>
  </si>
  <si>
    <t>Write a story about a person who discovers they have the power to heal others but must navigate the moral complexities.</t>
  </si>
  <si>
    <t>Create a character who can communicate with ghosts and the challenges they face in helping them find peace.</t>
  </si>
  <si>
    <t>Write a scene set in a world where time flows backward and explore the implications on daily life.</t>
  </si>
  <si>
    <t>Describe a hidden school for magical beings and the adventures that unfold within its walls.</t>
  </si>
  <si>
    <t>Write a story about a person who wakes up with no memory and must unravel the mystery of their own identity.</t>
  </si>
  <si>
    <t>Create a character who can shapeshift into different animals and the struggles they face in balancing their dual nature.</t>
  </si>
  <si>
    <t>Write a scene in which a group of unlikely allies comes together to defeat a common enemy.</t>
  </si>
  <si>
    <t>Describe a person who discovers they have the power to bring paintings to life and the consequences it brings.</t>
  </si>
  <si>
    <t>Write a story about a time-traveling detective who solves crimes across different eras.</t>
  </si>
  <si>
    <t>Create a character who can manipulate people's emotions and the moral dilemmas they encounter.</t>
  </si>
  <si>
    <t>Write a scene set in a city where dreams are bought and sold, and explore the impact on individuals and society.</t>
  </si>
  <si>
    <t>Describe a hidden society of immortals living among humans and the conflicts that arise.</t>
  </si>
  <si>
    <t>Write a story about a person who can communicate with the dead and helps solve cold cases.</t>
  </si>
  <si>
    <t>Create a character who can control the weather and the responsibilities that come with such power.</t>
  </si>
  <si>
    <t>Write a scene in which a group of rebels fights against a tyrannical government to restore freedom.</t>
  </si>
  <si>
    <t>Describe a person who discovers they have the power to bring fictional characters to life and the chaos that ensues.</t>
  </si>
  <si>
    <t>Write a story about a musician who discovers a magical instrument that can control people's emotions.</t>
  </si>
  <si>
    <t>Create a character who can communicate with animals and embarks on a quest to save their endangered species.</t>
  </si>
  <si>
    <t>Write a scene in which a group of strangers find themselves trapped in a haunted mansion and must uncover its dark secrets.</t>
  </si>
  <si>
    <t>Describe a hidden society of elemental beings who coexist with humans and the conflicts that arise between them.</t>
  </si>
  <si>
    <t>Write a story about a person who gains the ability to speak and understand all languages and the impact it has on their life.</t>
  </si>
  <si>
    <t>Create a character who can enter the dreams of others and experiences a series of strange and surreal dreamscapes.</t>
  </si>
  <si>
    <t>Write a scene set in a futuristic world where artificial intelligence has become sentient and threatens humanity.</t>
  </si>
  <si>
    <t>Describe a society where books are forbidden, and a group of rebels fights to preserve knowledge and literacy.</t>
  </si>
  <si>
    <t>Write a story about a person who discovers a portal to a parallel universe and the parallel versions of themselves they encounter.</t>
  </si>
  <si>
    <t>Create a character who possesses the power of telekinesis and the challenges they face in controlling and using their abilities.</t>
  </si>
  <si>
    <t>Write a scene in which a group of friends stumble upon a hidden treasure map and embark on a thrilling treasure hunt.</t>
  </si>
  <si>
    <t>Describe a world where magic is real but has been forgotten, and a chosen hero must bring back its existence.</t>
  </si>
  <si>
    <t>Write a story about a person who wakes up one day to find that everyone else in the world has disappeared.</t>
  </si>
  <si>
    <t>Create a character who can manipulate the elements, but each element comes with a price.</t>
  </si>
  <si>
    <t>Write a scene set in a post-apocalyptic society where survivors form new tribes and fight for resources.</t>
  </si>
  <si>
    <t>Describe a hidden library that holds the secrets of the universe and the person who discovers it.</t>
  </si>
  <si>
    <t>Write a story about a person who can see into the future but is cursed with the knowledge of their own death.</t>
  </si>
  <si>
    <t>Create a character who can travel through time but must maintain the balance to prevent disastrous consequences.</t>
  </si>
  <si>
    <t>Write a scene in which a group of teenagers develop superpowers and must learn to harness them responsibly.</t>
  </si>
  <si>
    <t>Describe a society where emotions are harvested and traded as a commodity, and a rebellion emerges to reclaim them.</t>
  </si>
  <si>
    <t>Write a story about a person who can transform into different mythical creatures and the challenges they face in accepting their true self.</t>
  </si>
  <si>
    <t>Create a character who can manipulate dreams and enters a realm where dreams and reality collide.</t>
  </si>
  <si>
    <t>Write a scene in which a group of outcasts with unique abilities forms a team to protect the world from impending doom.</t>
  </si>
  <si>
    <t>Describe a hidden academy where young witches and wizards are trained in the magical arts.</t>
  </si>
  <si>
    <t>Write a story about a person who discovers they are the chosen one destined to save the world from an ancient evil.</t>
  </si>
  <si>
    <t>Create a character who possesses the power of invisibility and uses it for both good and mischievous purposes.</t>
  </si>
  <si>
    <t>Write a scene set in a futuristic society where technology has advanced to the point of controlling human behavior.</t>
  </si>
  <si>
    <t>Describe a world where music has the power to manipulate emotions and the consequences of its misuse.</t>
  </si>
  <si>
    <t>Write a story about a person who can communicate with plants and uses this gift to restore the balance of nature.</t>
  </si>
  <si>
    <t>Create a character who can enter paintings and interact with the characters within them.</t>
  </si>
  <si>
    <t>Write a scene in which a group of explorers stumbles upon a lost civilization hidden deep within the jungles.</t>
  </si>
  <si>
    <t>Describe a hidden society of shape-shifters who live among humans, navigating a delicate balance between the two worlds.</t>
  </si>
  <si>
    <t>Write a story about a person who discovers they can manipulate the fabric of reality itself.</t>
  </si>
  <si>
    <t>Create a character who can hear people's thoughts but struggles to maintain their own sense of identity.</t>
  </si>
  <si>
    <t>Write a scene in which a journalist uncovers a global conspiracy that threatens to reshape the world as we know it.</t>
  </si>
  <si>
    <t>Describe a society where dreams are harvested and used as a source of energy, and the consequences it has on the dreamers.</t>
  </si>
  <si>
    <t>Write a story about a person who possesses the ability to bring historical figures back to life temporarily.</t>
  </si>
  <si>
    <t>Create a character who can control and manipulate fire, but must learn to control their own fiery temperament.</t>
  </si>
  <si>
    <t>Write a scene set in a distant future where humans have colonized other planets, and interplanetary conflicts arise.</t>
  </si>
  <si>
    <t>Describe a hidden sanctuary where mythical creatures seek refuge from the human world.</t>
  </si>
  <si>
    <t>Write a story about a person who can see glimpses of parallel universes and the possibilities they present.</t>
  </si>
  <si>
    <t>Create a character who can communicate with the dead and becomes a bridge between the living and the afterlife.</t>
  </si>
  <si>
    <t>Write a scene in which a group of adventurers embarks on a quest to find a legendary artifact with unimaginable powers.</t>
  </si>
  <si>
    <t>Describe a society where people's memories can be extracted and traded, and the moral implications it raises.</t>
  </si>
  <si>
    <t>Write a story about a person who possesses the power of telepathy and uncovers a sinister plot within their own mind.</t>
  </si>
  <si>
    <t>Create a character who can control and manipulate plant life, using it as a powerful tool.</t>
  </si>
  <si>
    <t>Write a scene in which a group of time travelers accidentally alter the course of history and must fix their mistake.</t>
  </si>
  <si>
    <t>Describe a hidden world within a painting where the characters come to life and embark on their own adventures.</t>
  </si>
  <si>
    <t>Write a story about a person who discovers they have the power to bring imaginary friends to life.</t>
  </si>
  <si>
    <t>Create a character who can manipulate shadows and uses their abilities to fight against injustice.</t>
  </si>
  <si>
    <t>Write a story about a person who can hear the thoughts of animals and uses this gift to solve a mystery in the animal kingdom.</t>
  </si>
  <si>
    <t>Create a character who discovers an ancient book that can rewrite reality itself, but must choose between preserving the natural order or pursuing their own desires.</t>
  </si>
  <si>
    <t>Write a scene set in a world where dreams are harvested and used as a form of currency, leading to a divide between the dream-rich and the dream-poor.</t>
  </si>
  <si>
    <t>Describe a hidden realm where mythical creatures coexist and a young adventurer stumbles upon their existence.</t>
  </si>
  <si>
    <t>Write a story about a person who possesses the power to manipulate the weather and the consequences it has on their personal relationships.</t>
  </si>
  <si>
    <t>Create a character who can enter the minds of others and experiences the weight of their memories and emotions.</t>
  </si>
  <si>
    <t>Write a scene in which a group of explorers discovers a portal to a parallel dimension with different laws of physics and a unique civilization.</t>
  </si>
  <si>
    <t>Describe a society where people are born with tattoos that grant them magical abilities, and the conflicts that arise from this power imbalance.</t>
  </si>
  <si>
    <t>Write a story about a person who can travel through mirrors and discovers a hidden world on the other side.</t>
  </si>
  <si>
    <t>Create a character who can control and manipulate sound waves, using their abilities for both creative and destructive purposes.</t>
  </si>
  <si>
    <t>Write a scene set in a dystopian future where emotions are regulated and a rebellion forms to reclaim the freedom of feeling.</t>
  </si>
  <si>
    <t>Describe a hidden tribe with the ability to communicate with nature and the challenges they face when their homeland is threatened.</t>
  </si>
  <si>
    <t>Write a story about a person who possesses the power of telepathic projection, allowing them to create illusions in the minds of others.</t>
  </si>
  <si>
    <t>Create a character who can turn invisible but must grapple with the moral implications of their power.</t>
  </si>
  <si>
    <t>Write a scene in which a group of individuals with extraordinary abilities is forced to participate in a deadly tournament.</t>
  </si>
  <si>
    <t>Describe a society where everyone has a unique superpower, but one person is born without any power and must find their own way to contribute.</t>
  </si>
  <si>
    <t>Write a story about a person who discovers a hidden library containing books that can rewrite reality when read aloud.</t>
  </si>
  <si>
    <t>Create a character who can manipulate gravity and explores the cosmos, encountering celestial beings and cosmic phenomena.</t>
  </si>
  <si>
    <t>Write a scene set in a world where the boundaries between dreams and reality have blurred, leading to surreal and unpredictable experiences.</t>
  </si>
  <si>
    <t>Describe a hidden academy where young magicians are trained in the art of spellcasting and navigate the complexities of magical ethics.</t>
  </si>
  <si>
    <t>Write a story about a person who possesses the power of empathy, being able to feel and understand the emotions of others.</t>
  </si>
  <si>
    <t>Create a character who can control and manipulate time, but must confront the consequences of altering the past or future.</t>
  </si>
  <si>
    <t>Write a scene in which a group of unlikely allies from different realms must come together to defeat a common enemy.</t>
  </si>
  <si>
    <t>Describe a society where art comes to life, and a gifted artist holds the key to maintaining the balance between creation and destruction.</t>
  </si>
  <si>
    <t>Write a story about a person who can transform into a mythical creature and embarks on a journey to reclaim their lost heritage.</t>
  </si>
  <si>
    <t>Create a character who can communicate with celestial beings and becomes entangled in a celestial conflict.</t>
  </si>
  <si>
    <t>Write a scene in which a group of time-traveling historians safeguards the integrity of historical events.</t>
  </si>
  <si>
    <t>Describe a hidden city beneath the ocean where merfolk and humans coexist, navigating the challenges of two worlds.</t>
  </si>
  <si>
    <t>Write a story about a person who possesses the power of precognition and must grapple with the burden of knowing the future.</t>
  </si>
  <si>
    <t>Create a character who can manipulate the elements but struggles to control their powers during moments of intense emotion.</t>
  </si>
  <si>
    <t>Write a scene set in a world where storytelling has the power to shape reality, and a legendary storyteller goes missing.</t>
  </si>
  <si>
    <t>Describe a society where imagination is regulated, and a group of rebels fights to liberate creativity and individuality.</t>
  </si>
  <si>
    <t>Write a story about a person who discovers a hidden language that can unlock the secrets of the universe.</t>
  </si>
  <si>
    <t>Create a character who can communicate with machines and becomes involved in a conflict between technology and nature.</t>
  </si>
  <si>
    <t>Write a scene in which a group of adventurers embarks on a quest to find a mythical artifact said to grant immortality.</t>
  </si>
  <si>
    <t>Describe a hidden forest where the trees possess ancient wisdom and a young wanderer seeks guidance and enlightenment.</t>
  </si>
  <si>
    <t>Write a story about a person who possesses the power of teleportation but finds themselves trapped in an alternate dimension.</t>
  </si>
  <si>
    <t>Create a character who can manipulate the fabric of reality, bending and reshaping the world to their will.</t>
  </si>
  <si>
    <t>Write a scene in which a group of travelers stumbles upon a lost city in the desert and unravels its ancient mysteries.</t>
  </si>
  <si>
    <t>Describe a society where everyone has a unique musical ability, and a prodigious musician uncovers the true power of music.</t>
  </si>
  <si>
    <t>Write a story about a person who possesses the power of healing but must confront the consequences of tampering with life and death.</t>
  </si>
  <si>
    <t>Create a character who can communicate with spirits and becomes a bridge between the living and the supernatural realm.</t>
  </si>
  <si>
    <t>Write a scene set in a world where shadows hold secrets and a shadow-walker must uncover the truth behind a conspiracy.</t>
  </si>
  <si>
    <t>Describe a hidden civilization in the clouds where winged beings coexist and a young outsider discovers their own wings.</t>
  </si>
  <si>
    <t>Write a story about a person who possesses the power of empathy, being able to absorb and manipulate emotions.</t>
  </si>
  <si>
    <t>Create a character who can control and manipulate crystals, tapping into their energy and harnessing their properties.</t>
  </si>
  <si>
    <t>Write a scene in which a group of individuals with extraordinary abilities forms a team to protect the world from supernatural threats.</t>
  </si>
  <si>
    <t>Describe a society where dreams are transformed into physical objects, and a dreamsmith crafts and repairs the collective dreamscape.</t>
  </si>
  <si>
    <t>Write a story about a person who can communicate with mythical creatures and becomes entangled in a battle for their survival.</t>
  </si>
  <si>
    <t>Create a character who can control and manipulate dreams, using their abilities to guide and protect dreamers.</t>
  </si>
  <si>
    <t>Write a story about a person who discovers a hidden realm within a book and becomes a part of its narrative.</t>
  </si>
  <si>
    <t>Create a character who can manipulate emotions and must navigate the ethical implications of their power.</t>
  </si>
  <si>
    <t>Write a scene set in a world where technology has advanced to the point where human memories can be recorded and relived.</t>
  </si>
  <si>
    <t>Describe a society where storytelling is forbidden, and a group of rebels seeks to preserve the power of narrative.</t>
  </si>
  <si>
    <t>Write a story about a person who possesses the power of mind control and must decide whether to use it for good or evil.</t>
  </si>
  <si>
    <t>Create a character who can travel through different dimensions and encounters their alternate selves.</t>
  </si>
  <si>
    <t>Write a scene in which a group of individuals with unique abilities forms a secret society to protect the world from supernatural threats.</t>
  </si>
  <si>
    <t>Describe a hidden library where books have the ability to transport readers into the stories they contain.</t>
  </si>
  <si>
    <t>Write a story about a person who can communicate with animals and embarks on a quest to save endangered species.</t>
  </si>
  <si>
    <t>Create a character who can manipulate dreams and explores the dream realm, encountering both wonders and nightmares.</t>
  </si>
  <si>
    <t>Write a scene set in a post-apocalyptic world where a group of survivors discovers a hidden sanctuary that offers hope for humanity.</t>
  </si>
  <si>
    <t>Describe a society where everyone is born with a specific elemental power, and a young individual emerges with the ability to control all elements.</t>
  </si>
  <si>
    <t>Write a story about a person who possesses the power of illusion and uses it to deceive others for personal gain.</t>
  </si>
  <si>
    <t>Create a character who can communicate with plants and learns ancient herbal knowledge from the natural world.</t>
  </si>
  <si>
    <t>Write a scene in which a group of unlikely heroes with extraordinary abilities must band together to defeat a common enemy.</t>
  </si>
  <si>
    <t>Describe a hidden city where time flows differently, and a curious explorer becomes trapped in its timeless embrace.</t>
  </si>
  <si>
    <t>Write a story about a person who can manipulate shadows and uses their powers to protect the innocent.</t>
  </si>
  <si>
    <t>Create a character who can speak any language, even those long forgotten, and becomes a bridge between cultures and civilizations.</t>
  </si>
  <si>
    <t>Write a scene set in a futuristic world where people can upload their consciousness into a virtual reality, blurring the line between real and digital.</t>
  </si>
  <si>
    <t>Describe a society where dreams can be shared and experienced collectively, leading to profound connections and unforeseen consequences.</t>
  </si>
  <si>
    <t>Write a story about a person who possesses the power of empathy and can heal emotional wounds in others.</t>
  </si>
  <si>
    <t>Create a character who can control and manipulate electricity, using their powers for both invention and defense.</t>
  </si>
  <si>
    <t>Write a scene in which a group of explorers discovers a hidden civilization deep in the Amazon rainforest, untouched by modern society.</t>
  </si>
  <si>
    <t>Describe a hidden order of magical knights who protect the balance between light and darkness.</t>
  </si>
  <si>
    <t>Write a story about a person who possesses the power of astral projection and embarks on journeys beyond the physical realm.</t>
  </si>
  <si>
    <t>Create a character who can shape-shift into different animals and must navigate the complexities of identity and loyalty.</t>
  </si>
  <si>
    <t>Write a scene set in a world where music has the power to heal, inspire, or even manipulate emotions.</t>
  </si>
  <si>
    <t>Describe a society where memories can be extracted and traded, and a memory thief seeks redemption.</t>
  </si>
  <si>
    <t>Write a story about a person who possesses the power of teleportation but discovers the existence of dangerous portals to other dimensions.</t>
  </si>
  <si>
    <t>Create a character who can communicate with mythical creatures and becomes a guardian of their world.</t>
  </si>
  <si>
    <t>Write a scene in which a group of archaeologists uncovers a long-lost civilization with advanced technology and mysterious powers.</t>
  </si>
  <si>
    <t>Describe a hidden realm of ancient spirits where a chosen one must master their abilities to protect the balance between worlds.</t>
  </si>
  <si>
    <t>Write a story about a person who possesses the power of persuasion and must navigate the ethical boundaries of influence.</t>
  </si>
  <si>
    <t>Create a character who can manipulate the weather, bringing storms or calming turbulent skies.</t>
  </si>
  <si>
    <t>Write a scene set in a world where art comes to life, and paintings hold portals to other realms.</t>
  </si>
  <si>
    <t>Describe a society where emotions are seen as a form of energy, and an empathic individual becomes a target of those seeking power.</t>
  </si>
  <si>
    <t>Write a story about a person who possesses the power of telekinesis and learns to harness it to protect their loved ones.</t>
  </si>
  <si>
    <t>Create a character who can communicate with the spirits of the deceased, helping them find closure or uncovering hidden truths.</t>
  </si>
  <si>
    <t>Write a scene in which a group of time travelers attempts to prevent a cataclysmic event that threatens the fabric of reality.</t>
  </si>
  <si>
    <t>Describe a hidden sanctuary where ancient creatures reside, and a chosen one is destined to protect their existence.</t>
  </si>
  <si>
    <t>Write a story about a person who possesses the power of invisibility and uses it to uncover secrets and fight injustice.</t>
  </si>
  <si>
    <t>Create a character who can manipulate the elements of nature, harnessing the forces of earth, air, fire, and water.</t>
  </si>
  <si>
    <t>Write a scene in which a group of adventurers embarks on a quest to recover lost artifacts infused with ancient magic.</t>
  </si>
  <si>
    <t>Describe a society where dreams can be harvested and used to create new worlds, and a dream thief threatens to unravel the balance.</t>
  </si>
  <si>
    <t>Write a story about a person who possesses the power of clairvoyance and must navigate the complexities of fate and free will.</t>
  </si>
  <si>
    <t>Create a character who can communicate with celestial beings and becomes a guardian of cosmic balance.</t>
  </si>
  <si>
    <t>Write a scene set in a world where mythical creatures are a common sight, and a human stumbles into their magical realm.</t>
  </si>
  <si>
    <t>Describe a hidden academy where gifted individuals are trained in the art of soul magic, tapping into the essence of life itself.</t>
  </si>
  <si>
    <t>Write a story about a person who possesses the power of transformation and must learn to control their shifting abilities.</t>
  </si>
  <si>
    <t>Create a character who can manipulate sound waves, creating symphonies of harmony or cacophonies of chaos.</t>
  </si>
  <si>
    <t>Education</t>
  </si>
  <si>
    <t>Discuss the impact of technology on modern education and how it has transformed traditional learning methods.</t>
  </si>
  <si>
    <t>Analyze the benefits and drawbacks of online learning compared to traditional classroom education.</t>
  </si>
  <si>
    <t>Explore the importance of critical thinking skills in education and how they can be fostered in students.</t>
  </si>
  <si>
    <t>Discuss the role of creativity and innovation in education and how they contribute to a well-rounded learning experience.</t>
  </si>
  <si>
    <t>Analyze the benefits of project-based learning and its effectiveness in preparing students for real-world challenges.</t>
  </si>
  <si>
    <t>Explore the role of teachers as facilitators of learning and the importance of creating a student-centered classroom environment.</t>
  </si>
  <si>
    <t>Discuss the challenges and opportunities of multicultural education in promoting diversity and inclusivity in schools.</t>
  </si>
  <si>
    <t>Analyze the impact of standardized testing on students' learning experiences and educational outcomes.</t>
  </si>
  <si>
    <t>Explore the benefits of integrating technology into the classroom and its potential to enhance teaching and learning.</t>
  </si>
  <si>
    <t>Discuss the importance of teaching empathy and emotional intelligence in schools and how it contributes to positive social interactions.</t>
  </si>
  <si>
    <t>Analyze the benefits of collaborative learning and how it fosters teamwork, communication, and problem-solving skills.</t>
  </si>
  <si>
    <t>Explore the role of educational institutions in promoting environmental awareness and sustainability among students.</t>
  </si>
  <si>
    <t>Discuss the significance of teaching financial literacy in schools and its impact on students' future financial well-being.</t>
  </si>
  <si>
    <t>Analyze the benefits of inclusive education and how it promotes equal opportunities for students with diverse learning needs.</t>
  </si>
  <si>
    <t>Explore the role of arts education in fostering creativity, self-expression, and cultural appreciation among students.</t>
  </si>
  <si>
    <t>Discuss the impact of social media on education and how it can be leveraged as a tool for learning and collaboration.</t>
  </si>
  <si>
    <t>Analyze the benefits of experiential learning and its ability to engage students through hands-on, real-world experiences.</t>
  </si>
  <si>
    <t>Explore the importance of teaching media literacy in schools and how it empowers students to critically analyze and navigate the digital landscape.</t>
  </si>
  <si>
    <t>Discuss the role of physical education in promoting a healthy and active lifestyle among students.</t>
  </si>
  <si>
    <t>Analyze the benefits of incorporating mindfulness and meditation practices in schools to support students' well-being and focus.</t>
  </si>
  <si>
    <t>Explore the impact of globalization on education and how it has influenced curriculum development and cross-cultural understanding.</t>
  </si>
  <si>
    <t>Discuss the benefits of teaching coding and computer science in schools to prepare students for the digital age.</t>
  </si>
  <si>
    <t>Analyze the importance of teaching global citizenship and fostering a sense of social responsibility among students.</t>
  </si>
  <si>
    <t>Explore the role of early childhood education in laying the foundation for lifelong learning and development.</t>
  </si>
  <si>
    <t>Discuss the benefits of integrating interdisciplinary studies into the curriculum and how it encourages holistic learning.</t>
  </si>
  <si>
    <t>Analyze the challenges and opportunities of online education in providing accessible and flexible learning options.</t>
  </si>
  <si>
    <t>Explore the role of educational technology in personalized learning and how it tailors instruction to meet individual students' needs.</t>
  </si>
  <si>
    <t>Discuss the benefits of outdoor education and its ability to promote environmental stewardship and hands-on learning.</t>
  </si>
  <si>
    <t>Analyze the impact of cultural diversity in classrooms and how it enriches students' educational experiences.</t>
  </si>
  <si>
    <t>Discuss the benefits of teaching emotional intelligence in schools and its impact on students' social and emotional well-being.</t>
  </si>
  <si>
    <t>Analyze the role of assessment and feedback in supporting student learning and growth.</t>
  </si>
  <si>
    <t>Explore the benefits of integrating arts education into STEM subjects (STEAM) and how it fosters creativity and innovation.</t>
  </si>
  <si>
    <t>Discuss the challenges and opportunities of inclusive education in promoting equity and diversity in classrooms.</t>
  </si>
  <si>
    <t>Analyze the impact of social-emotional learning programs in schools and how they contribute to students' overall well-being.</t>
  </si>
  <si>
    <t>Explore the benefits of flipped classrooms and how they transform the traditional teacher-centered learning model.</t>
  </si>
  <si>
    <t>Discuss the importance of teaching media literacy in the digital age and how it empowers students to be critical consumers of information.</t>
  </si>
  <si>
    <t>Analyze the benefits of inquiry-based learning and how it promotes curiosity, problem-solving, and self-directed learning.</t>
  </si>
  <si>
    <t>Explore the role of community partnerships in education and how they enhance students' learning experiences through real-world connections.</t>
  </si>
  <si>
    <t>Discuss the impact of culturally responsive teaching and its ability to create inclusive and empowering learning environments.</t>
  </si>
  <si>
    <t>Analyze the benefits of outdoor and experiential education in developing students' environmental awareness and sense of place.</t>
  </si>
  <si>
    <t>Explore the importance of teaching digital citizenship and internet safety to equip students with the skills to navigate the online world responsibly.</t>
  </si>
  <si>
    <t>Discuss the role of technology in special education and how it supports students with diverse learning needs.</t>
  </si>
  <si>
    <t>Analyze the benefits of project-based learning and how it prepares students for real-world problem-solving and collaboration.</t>
  </si>
  <si>
    <t>Discuss the impact of student-centered learning approaches, such as personalized learning and competency-based education.</t>
  </si>
  <si>
    <t>Analyze the benefits of teaching coding and computational thinking skills in schools to foster creativity and problem-solving abilities.</t>
  </si>
  <si>
    <t>Explore the role of environmental education in fostering a sense of environmental stewardship and sustainability among students.</t>
  </si>
  <si>
    <t>Discuss the importance of teaching financial literacy in schools and its impact on students' future financial well-being.</t>
  </si>
  <si>
    <t>Analyze the benefits of integrating social-emotional learning into the curriculum and how it supports students' well-being and success.</t>
  </si>
  <si>
    <t>Discuss the role of educational technology in promoting personalized learning experiences for students.</t>
  </si>
  <si>
    <t>Analyze the benefits of inclusive classroom practices in supporting students with diverse learning needs.</t>
  </si>
  <si>
    <t>Explore the impact of culturally relevant teaching strategies on student engagement and achievement.</t>
  </si>
  <si>
    <t>Discuss the benefits of project-based assessments in evaluating student learning and understanding.</t>
  </si>
  <si>
    <t>Analyze the role of social media in shaping student communication and information sharing in educational settings.</t>
  </si>
  <si>
    <t>Explore the impact of teacher-student relationships on student motivation and academic success.</t>
  </si>
  <si>
    <t>Discuss the benefits of integrating mindfulness practices into the curriculum to promote student well-being and focus.</t>
  </si>
  <si>
    <t>Analyze the role of play-based learning in early childhood education and its impact on cognitive development.</t>
  </si>
  <si>
    <t>Explore the benefits of differentiated instruction in meeting the diverse learning needs of students.</t>
  </si>
  <si>
    <t>Discuss the impact of parent and community involvement on student achievement and school success.</t>
  </si>
  <si>
    <t>Analyze the benefits of collaborative learning environments in fostering teamwork and critical thinking skills.</t>
  </si>
  <si>
    <t>Explore the role of cultural competency in creating inclusive and equitable learning environments.</t>
  </si>
  <si>
    <t>Discuss the benefits of integrating environmental education across various subject areas to promote sustainability.</t>
  </si>
  <si>
    <t>Analyze the impact of standardized testing on curriculum development and instructional practices.</t>
  </si>
  <si>
    <t>Explore the benefits of teaching media literacy skills to empower students as critical consumers and creators of media.</t>
  </si>
  <si>
    <t>Discuss the role of school leadership in driving educational innovation and improvement.</t>
  </si>
  <si>
    <t>Analyze the benefits of peer tutoring programs in enhancing student learning and social-emotional development.</t>
  </si>
  <si>
    <t>Explore the impact of student voice and choice in shaping educational experiences and decision-making.</t>
  </si>
  <si>
    <t>Discuss the benefits of service-learning projects in fostering civic engagement and community responsibility.</t>
  </si>
  <si>
    <t>Analyze the role of educational policies in shaping classroom practices and student outcomes.</t>
  </si>
  <si>
    <t>Explore the benefits of using technology tools for formative assessment and timely feedback.</t>
  </si>
  <si>
    <t>Discuss the impact of inclusive curriculum and diverse literature in promoting cultural understanding and empathy.</t>
  </si>
  <si>
    <t>Analyze the benefits of interdisciplinary instruction in fostering connections and deeper understanding across subject areas.</t>
  </si>
  <si>
    <t>Explore the role of educational research in informing evidence-based instructional practices.</t>
  </si>
  <si>
    <t>Discuss the benefits of social-emotional learning programs in promoting positive school climate and student well-being.</t>
  </si>
  <si>
    <t>Analyze the impact of educational equity and access on student achievement and educational outcomes.</t>
  </si>
  <si>
    <t>Explore the benefits of experiential learning opportunities, such as field trips and hands-on activities.</t>
  </si>
  <si>
    <t>Discuss the role of professional development in supporting teacher growth and instructional improvement.</t>
  </si>
  <si>
    <t>Analyze the benefits of flipped classroom models in promoting active student engagement and independent learning.</t>
  </si>
  <si>
    <t>Explore the impact of culturally responsive curriculum on student engagement and academic success.</t>
  </si>
  <si>
    <t>Discuss the benefits of integrating technology into special education to support individualized learning and communication.</t>
  </si>
  <si>
    <t>Analyze the role of assessment for learning in promoting student self-reflection and metacognitive skills.</t>
  </si>
  <si>
    <t>Explore the benefits of global education in fostering cultural awareness and preparing students for a globalized world.</t>
  </si>
  <si>
    <t>Discuss the impact of social-emotional learning on student behavior and discipline in schools.</t>
  </si>
  <si>
    <t>Analyze the benefits of outdoor education in fostering environmental stewardship and holistic student development.</t>
  </si>
  <si>
    <t>Explore the role of project-based learning in developing critical thinking and problem-solving skills.</t>
  </si>
  <si>
    <t>Discuss the benefits of promoting digital citizenship and online safety in educational settings.</t>
  </si>
  <si>
    <t>Analyze the impact of teacher collaboration and professional learning communities on instructional practices and student achievement.</t>
  </si>
  <si>
    <t>Explore the benefits of blended learning approaches, combining online and face-to-face instruction.</t>
  </si>
  <si>
    <t>Discuss the role of student-led conferences in promoting ownership of learning and self-assessment.</t>
  </si>
  <si>
    <t>Analyze the benefits of reflective teaching practices in improving instructional effectiveness and student learning outcomes.</t>
  </si>
  <si>
    <t>Explore the impact of culturally responsive pedagogy on student motivation and engagement.</t>
  </si>
  <si>
    <t>Discuss the benefits of incorporating global perspectives and cultural diversity into the curriculum.</t>
  </si>
  <si>
    <t>Analyze the role of educational leadership in fostering a positive school culture and climate.</t>
  </si>
  <si>
    <t>Explore the benefits of incorporating project-based learning into STEM (Science, Technology, Engineering, and Mathematics) education.</t>
  </si>
  <si>
    <t>Discuss the impact of teacher expectations on student achievement and self-perception.</t>
  </si>
  <si>
    <t>Analyze the benefits of teaching digital literacy skills to prepare students for the digital age.</t>
  </si>
  <si>
    <t>Explore the role of arts education in fostering creativity, expression, and critical thinking.</t>
  </si>
  <si>
    <t>Discuss the benefits of teaching growth mindset and resilience in supporting student success.</t>
  </si>
  <si>
    <t>Analyze the impact of student-centered learning on student motivation and academic achievement.</t>
  </si>
  <si>
    <t>Discuss the benefits of incorporating problem-based learning into the curriculum to develop critical thinking and problem-solving skills.</t>
  </si>
  <si>
    <t>Analyze the role of educational leadership in promoting a positive school climate and fostering student success.</t>
  </si>
  <si>
    <t>Explore the impact of student engagement strategies on learning outcomes and classroom dynamics.</t>
  </si>
  <si>
    <t>Discuss the benefits of teaching financial literacy in schools and its impact on students' future financial well-being.</t>
  </si>
  <si>
    <t>Analyze the role of technology in supporting personalized learning experiences for students.</t>
  </si>
  <si>
    <t>Explore the benefits of teaching coding and computational thinking skills in preparing students for the digital era.</t>
  </si>
  <si>
    <t>Discuss the impact of student-led assessments on promoting student agency and self-assessment skills.</t>
  </si>
  <si>
    <t>Analyze the benefits of teaching media literacy in schools to help students critically analyze and evaluate information.</t>
  </si>
  <si>
    <t>Explore the role of arts integration in enhancing student creativity and expression across different subject areas.</t>
  </si>
  <si>
    <t>Discuss the benefits of inclusive educational practices in creating equitable learning environments for all students.</t>
  </si>
  <si>
    <t>Analyze the impact of school-community partnerships on student learning and community engagement.</t>
  </si>
  <si>
    <t>Explore the benefits of teaching entrepreneurship skills in fostering innovation and creativity among students.</t>
  </si>
  <si>
    <t>Discuss the role of student voice and choice in shaping the learning experience and promoting student agency.</t>
  </si>
  <si>
    <t>Analyze the impact of inclusive STEM education in promoting diversity and gender equity in STEM fields.</t>
  </si>
  <si>
    <t>Explore the benefits of teaching global citizenship and cultural competence in preparing students for a globalized world.</t>
  </si>
  <si>
    <t>Discuss the role of play-based learning in early childhood education and its impact on social and cognitive development.</t>
  </si>
  <si>
    <t>Analyze the benefits of outdoor education in fostering environmental awareness and a connection with nature.</t>
  </si>
  <si>
    <t>Explore the impact of differentiated instruction on meeting the diverse learning needs of students.</t>
  </si>
  <si>
    <t>Discuss the benefits of mindfulness practices in promoting student well-being and mental health.</t>
  </si>
  <si>
    <t>Analyze the role of project-based learning in developing collaboration and problem-solving skills.</t>
  </si>
  <si>
    <t>Explore the benefits of integrating social-emotional learning into the curriculum to support students' social and emotional development.</t>
  </si>
  <si>
    <t>Discuss the impact of classroom design and flexible learning spaces on student engagement and learning outcomes.</t>
  </si>
  <si>
    <t>Analyze the benefits of teaching critical digital literacy skills to help students navigate the digital landscape responsibly.</t>
  </si>
  <si>
    <t>Explore the role of assessment for learning in promoting student growth and self-reflection.</t>
  </si>
  <si>
    <t>Discuss the benefits of promoting equity and inclusivity in educational policies and practices.</t>
  </si>
  <si>
    <t>Analyze the impact of teacher-student relationships on student motivation and academic success.</t>
  </si>
  <si>
    <t>Explore the benefits of teaching environmental sustainability in schools and empowering students to be eco-conscious.</t>
  </si>
  <si>
    <t>Discuss the role of educational technology in promoting active learning and student-centered instruction.</t>
  </si>
  <si>
    <t>Analyze the benefits of peer collaboration and cooperative learning in enhancing student learning outcomes.</t>
  </si>
  <si>
    <t>Explore the impact of culturally responsive pedagogy on student engagement and achievement.</t>
  </si>
  <si>
    <t>Discuss the benefits of teaching interdisciplinary units and promoting connections across subject areas.</t>
  </si>
  <si>
    <t>Analyze the role of educational research in informing evidence-based instructional practices.</t>
  </si>
  <si>
    <t>Explore the benefits of teaching problem-solving and critical thinking skills in preparing students for future careers.</t>
  </si>
  <si>
    <t>Discuss the impact of parental involvement on student academic achievement and overall well-being.</t>
  </si>
  <si>
    <t>Analyze the benefits of project-based assessments in evaluating student understanding and application of knowledge.</t>
  </si>
  <si>
    <t>Explore the role of education in fostering social justice and addressing societal inequities.</t>
  </si>
  <si>
    <t>Discuss the benefits of fostering a growth mindset culture in classrooms to promote resilience and perseverance.</t>
  </si>
  <si>
    <t>Analyze the impact of inquiry-based learning in promoting student curiosity and deep understanding.</t>
  </si>
  <si>
    <t>Explore the benefits of teaching media production skills to empower students as creators of digital content.</t>
  </si>
  <si>
    <t>Discuss the role of restorative justice practices in promoting positive discipline and conflict resolution in schools.</t>
  </si>
  <si>
    <t>Analyze the benefits of teaching multicultural literature to promote empathy and cultural understanding.</t>
  </si>
  <si>
    <t>Explore the impact of flipped classroom models on student engagement and active learning.</t>
  </si>
  <si>
    <t>Discuss the benefits of teaching digital citizenship to promote responsible online behavior and digital ethics.</t>
  </si>
  <si>
    <t>Analyze the role of educational leadership in fostering teacher professional growth and development.</t>
  </si>
  <si>
    <t>Explore the benefits of teaching financial literacy in schools to empower students with lifelong money management skills.</t>
  </si>
  <si>
    <t>Discuss the impact of inclusive assessment practices in promoting fair and valid evaluation of student learning.</t>
  </si>
  <si>
    <t>Analyze the benefits of teaching collaboration and teamwork skills to prepare students for the workplace.</t>
  </si>
  <si>
    <t>Explore the role of educational policies in shaping curriculum development and instructional practices.</t>
  </si>
  <si>
    <t>Discuss the benefits of integrating character education into the curriculum to foster moral and ethical values.</t>
  </si>
  <si>
    <t>Analyze the impact of educational technology on educational equity and access.</t>
  </si>
  <si>
    <t>Discuss the benefits of project-based assessments in evaluating students' real-world application of knowledge and skills.</t>
  </si>
  <si>
    <t>Analyze the role of educational technology in facilitating personalized learning experiences for students with diverse needs.</t>
  </si>
  <si>
    <t>Explore the impact of multicultural education in promoting cultural understanding and fostering inclusivity in the classroom.</t>
  </si>
  <si>
    <t>Discuss the benefits of teaching media literacy to help students critically analyze and evaluate media messages.</t>
  </si>
  <si>
    <t>Analyze the role of formative assessment in providing timely feedback and guiding instruction.</t>
  </si>
  <si>
    <t>Explore the benefits of teaching growth mindset to empower students to embrace challenges and persist in their learning.</t>
  </si>
  <si>
    <t>Discuss the impact of culturally responsive curriculum on student engagement and academic achievement.</t>
  </si>
  <si>
    <t>Analyze the benefits of promoting digital citizenship and responsible online behavior among students.</t>
  </si>
  <si>
    <t>Explore the role of arts integration in enhancing creativity and fostering interdisciplinary learning.</t>
  </si>
  <si>
    <t>Discuss the benefits of teaching mindfulness practices to support students' well-being and enhance their focus and concentration.</t>
  </si>
  <si>
    <t>Analyze the impact of flipped classroom models in promoting active learning and student engagement.</t>
  </si>
  <si>
    <t>Explore the benefits of teaching critical thinking skills to help students become independent and analytical thinkers.</t>
  </si>
  <si>
    <t>Discuss the role of inclusive assessment practices in recognizing and valuing students' diverse strengths and abilities.</t>
  </si>
  <si>
    <t>Analyze the benefits of promoting global competency in preparing students to thrive in a multicultural and interconnected world.</t>
  </si>
  <si>
    <t>Explore the impact of peer collaboration and cooperative learning on student motivation and achievement.</t>
  </si>
  <si>
    <t>Discuss the benefits of teaching financial literacy to empower students with practical money management skills.</t>
  </si>
  <si>
    <t>Analyze the role of educational leadership in fostering a positive school climate and promoting inclusive practices.</t>
  </si>
  <si>
    <t>Explore the benefits of project-based learning in developing students' problem-solving and teamwork skills.</t>
  </si>
  <si>
    <t>Discuss the impact of social-emotional learning programs on students' social skills, emotional well-being, and academic success.</t>
  </si>
  <si>
    <t>Analyze the benefits of promoting digital creativity and innovation in the classroom.</t>
  </si>
  <si>
    <t>Explore the role of educational policies in addressing educational inequities and promoting access to quality education for all.</t>
  </si>
  <si>
    <t>Discuss the benefits of teaching coding and computational thinking to foster students' problem-solving and logical reasoning skills.</t>
  </si>
  <si>
    <t>Analyze the impact of culturally relevant pedagogy in promoting academic success and positive identity development.</t>
  </si>
  <si>
    <t>Explore the benefits of teaching environmental sustainability to raise students' awareness and empower them as responsible global citizens.</t>
  </si>
  <si>
    <t>Discuss the role of teacher collaboration and professional learning communities in enhancing instructional practices and student outcomes.</t>
  </si>
  <si>
    <t>Analyze the benefits of promoting self-regulated learning skills to help students become independent and lifelong learners.</t>
  </si>
  <si>
    <t>Explore the impact of inclusive classroom environments on students' sense of belonging and academic achievement.</t>
  </si>
  <si>
    <t>Discuss the benefits of promoting inquiry-based science education to cultivate students' curiosity and scientific thinking.</t>
  </si>
  <si>
    <t>Analyze the role of educational technology in fostering student creativity and innovation.</t>
  </si>
  <si>
    <t>Explore the benefits of teaching digital literacy and online research skills to help students navigate and evaluate online information.</t>
  </si>
  <si>
    <t>Discuss the impact of project-based learning on students' motivation, engagement, and deeper understanding of content.</t>
  </si>
  <si>
    <t>Analyze the benefits of integrating service-learning experiences into the curriculum to promote civic engagement and social responsibility.</t>
  </si>
  <si>
    <t>Discuss the benefits of promoting gender equity in STEM education to increase diversity and inclusion in these fields.</t>
  </si>
  <si>
    <t>Analyze the impact of differentiated instruction in meeting the diverse learning needs of students.</t>
  </si>
  <si>
    <t>Explore the benefits of teaching cultural competency to foster respect and understanding among students from different backgrounds.</t>
  </si>
  <si>
    <t>Discuss the role of educational leadership in supporting teacher professional development and instructional improvement.</t>
  </si>
  <si>
    <t>Analyze the benefits of promoting student voice and agency in decision-making processes within the educational setting.</t>
  </si>
  <si>
    <t>Explore the impact of technology integration in promoting active learning and enhancing student engagement.</t>
  </si>
  <si>
    <t>Discuss the benefits of promoting global citizenship education to foster a sense of responsibility and empathy towards global issues.</t>
  </si>
  <si>
    <t>Analyze the role of assessment for learning in guiding instructional decisions and promoting student growth.</t>
  </si>
  <si>
    <t>Explore the benefits of teaching problem-solving and critical thinking skills in preparing students for future careers and challenges.</t>
  </si>
  <si>
    <t>Discuss the impact of inclusive practices for students with disabilities in fostering their academic and social inclusion.</t>
  </si>
  <si>
    <t>Analyze the benefits of promoting digital collaboration tools to enhance communication and collaboration among students.</t>
  </si>
  <si>
    <t>Explore the role of parental involvement in supporting student learning and academic achievement.</t>
  </si>
  <si>
    <t>Discuss the benefits of teaching media production skills to empower students as creators of digital media.</t>
  </si>
  <si>
    <t>Analyze the impact of game-based learning in promoting student engagement and motivation.</t>
  </si>
  <si>
    <t>Explore the benefits of teaching global perspectives and intercultural understanding in the curriculum.</t>
  </si>
  <si>
    <t>Discuss the role of educational policies in promoting educational innovation and reform.</t>
  </si>
  <si>
    <t>Analyze the benefits of promoting a growth mindset in educators to foster continuous professional growth and improvement.</t>
  </si>
  <si>
    <t>Discuss the benefits of project-based learning in fostering student creativity, critical thinking, and problem-solving skills.</t>
  </si>
  <si>
    <t>Analyze the role of educational assessment in providing valuable feedback and promoting student growth.</t>
  </si>
  <si>
    <t>Explore the impact of student-centered instructional approaches on student engagement and achievement.</t>
  </si>
  <si>
    <t>Discuss the benefits of integrating environmental education into the curriculum to promote sustainability awareness.</t>
  </si>
  <si>
    <t>Analyze the role of social-emotional learning in supporting student well-being and academic success.</t>
  </si>
  <si>
    <t>Explore the benefits of inclusive classroom practices in creating a positive and supportive learning environment.</t>
  </si>
  <si>
    <t>Discuss the impact of culturally responsive teaching on student engagement and cultural understanding.</t>
  </si>
  <si>
    <t>Analyze the benefits of integrating technology into the curriculum to enhance teaching and learning experiences.</t>
  </si>
  <si>
    <t>Explore the role of experiential learning in deepening student understanding and retention of knowledge.</t>
  </si>
  <si>
    <t>Discuss the benefits of promoting growth mindset in students to foster resilience and a love for learning.</t>
  </si>
  <si>
    <t>Analyze the impact of teacher collaboration and professional learning communities on instructional practices and student outcomes.</t>
  </si>
  <si>
    <t>Discuss the role of creativity and innovation in educational settings in preparing students for future challenges.</t>
  </si>
  <si>
    <t>Analyze the benefits of promoting global awareness and cultural competence in the curriculum.</t>
  </si>
  <si>
    <t>Explore the impact of inclusive educational practices on promoting educational equity and access.</t>
  </si>
  <si>
    <t>Discuss the benefits of teaching financial literacy in schools to prepare students for responsible financial decision-making.</t>
  </si>
  <si>
    <t>Analyze the role of parental involvement in student achievement and educational success.</t>
  </si>
  <si>
    <t>Explore the benefits of integrating arts education into the curriculum to foster creativity and self-expression.</t>
  </si>
  <si>
    <t>Discuss the impact of technology integration in transforming teaching and learning experiences.</t>
  </si>
  <si>
    <t>Analyze the benefits of teaching problem-solving and critical thinking skills in preparing students for the 21st-century workforce.</t>
  </si>
  <si>
    <t>Explore the role of inquiry-based learning in promoting student curiosity, exploration, and deeper understanding.</t>
  </si>
  <si>
    <t>Discuss the benefits of teaching coding and computational thinking skills in developing digital literacy.</t>
  </si>
  <si>
    <t>Analyze the impact of inclusive practices for students with special educational needs on their academic and social development.</t>
  </si>
  <si>
    <t>Explore the benefits of teaching mindfulness and self-care practices in promoting student well-being and resilience.</t>
  </si>
  <si>
    <t>Discuss the role of educational leadership in fostering a positive school culture and supporting teacher growth.</t>
  </si>
  <si>
    <t>Analyze the benefits of service-learning experiences in connecting classroom learning with real-world applications.</t>
  </si>
  <si>
    <t>Explore the impact of diverse literature and multicultural perspectives in promoting inclusivity and empathy.</t>
  </si>
  <si>
    <t>Discuss the benefits of promoting student agency and voice in the learning process.</t>
  </si>
  <si>
    <t>Analyze the role of educational policies in shaping curriculum design, assessment practices, and instructional approaches.</t>
  </si>
  <si>
    <t>Explore the benefits of teaching digital citizenship and online safety skills to promote responsible digital behavior.</t>
  </si>
  <si>
    <t>Discuss the impact of outdoor education and nature-based learning on student engagement and environmental awareness.</t>
  </si>
  <si>
    <t>Analyze the benefits of promoting collaborative problem-solving and teamwork skills in preparing students for collaborative work environments.</t>
  </si>
  <si>
    <t>Discuss the benefits of promoting student self-reflection and metacognitive skills in the learning process.</t>
  </si>
  <si>
    <t>Analyze the impact of social-emotional learning programs on student behavior, emotional well-being, and academic success.</t>
  </si>
  <si>
    <t>Explore the benefits of teaching entrepreneurship and innovation skills to foster creativity and entrepreneurial mindset.</t>
  </si>
  <si>
    <t>Discuss the role of technology in facilitating personalized learning experiences for students.</t>
  </si>
  <si>
    <t>Analyze the benefits of promoting digital literacy and online research skills to help students navigate the digital information landscape.</t>
  </si>
  <si>
    <t>Explore the impact of project-based assessments on student engagement, ownership of learning, and application of knowledge.</t>
  </si>
  <si>
    <t>Discuss the benefits of promoting cultural diversity and inclusivity in school curricula.</t>
  </si>
  <si>
    <t>Analyze the role of educational technology in fostering educational equity and bridging the digital divide.</t>
  </si>
  <si>
    <t>Explore the benefits of teaching media production skills to empower students as digital storytellers.</t>
  </si>
  <si>
    <t>Discuss the impact of teacher-student relationships on student motivation, engagement, and academic achievement.</t>
  </si>
  <si>
    <t>Analyze the benefits of integrating STEM (Science, Technology, Engineering, and Mathematics) education into the curriculum.</t>
  </si>
  <si>
    <t>Explore the role of educational policies in promoting educational equity and access for all students.</t>
  </si>
  <si>
    <t>Discuss the benefits of teaching growth mindset and fostering a positive learning mindset among students.</t>
  </si>
  <si>
    <t>Analyze the impact of inquiry-based learning in promoting student curiosity, critical thinking, and problem-solving skills.</t>
  </si>
  <si>
    <t>Explore the benefits of teaching social justice and promoting activism in the classroom.</t>
  </si>
  <si>
    <t>Discuss the role of educational leadership in creating a culture of continuous improvement and professional growth.</t>
  </si>
  <si>
    <t>Analyze the benefits of promoting student autonomy and self-directed learning in the educational setting.</t>
  </si>
  <si>
    <t>Discuss the benefits of incorporating project-based learning to develop students' critical thinking and problem-solving skills.</t>
  </si>
  <si>
    <t>Analyze the role of educational technology in enhancing student engagement and motivation in the classroom.</t>
  </si>
  <si>
    <t>Explore the impact of culturally responsive teaching on student achievement and cultural understanding.</t>
  </si>
  <si>
    <t>Discuss the benefits of promoting student-centered learning environments to foster independent and lifelong learners.</t>
  </si>
  <si>
    <t>Analyze the role of formative assessment in supporting students' learning progress and informing instructional decisions.</t>
  </si>
  <si>
    <t>Explore the benefits of teaching media literacy skills to help students critically analyze and evaluate media messages.</t>
  </si>
  <si>
    <t>Discuss the impact of social-emotional learning programs on students' well-being and academic success.</t>
  </si>
  <si>
    <t>Analyze the benefits of incorporating outdoor and experiential learning into the curriculum.</t>
  </si>
  <si>
    <t>Explore the role of educational policies in shaping equitable and inclusive educational practices.</t>
  </si>
  <si>
    <t>Discuss the benefits of fostering a growth mindset among students to cultivate resilience and a love for learning.</t>
  </si>
  <si>
    <t>Analyze the impact of culturally diverse literature in promoting empathy and cultural appreciation among students.</t>
  </si>
  <si>
    <t>Discuss the role of inclusive instructional strategies in meeting the diverse needs of students with special educational needs.</t>
  </si>
  <si>
    <t>Analyze the benefits of promoting digital citizenship and online safety education in the digital age.</t>
  </si>
  <si>
    <t>Explore the impact of teacher collaboration and professional learning communities on instructional practices and student outcomes.</t>
  </si>
  <si>
    <t>Discuss the benefits of teaching financial literacy skills to empower students with financial management skills.</t>
  </si>
  <si>
    <t>Analyze the role of educational leadership in creating a positive and inclusive school culture.</t>
  </si>
  <si>
    <t>Explore the benefits of promoting interdisciplinary learning to make connections across different subject areas.</t>
  </si>
  <si>
    <t>Discuss the impact of inclusive classroom practices in creating a sense of belonging and fostering student engagement.</t>
  </si>
  <si>
    <t>Analyze the benefits of promoting inquiry-based learning to develop students' critical thinking and problem-solving skills.</t>
  </si>
  <si>
    <t>Explore the role of educational technology in supporting personalized learning experiences for students.</t>
  </si>
  <si>
    <t>Discuss the benefits of teaching coding and computational thinking to foster students' digital literacy and problem-solving abilities.</t>
  </si>
  <si>
    <t>Analyze the impact of restorative justice practices in creating a positive and inclusive school climate.</t>
  </si>
  <si>
    <t>Explore the benefits of incorporating global perspectives into the curriculum to promote global citizenship.</t>
  </si>
  <si>
    <t>Discuss the role of assessment for learning in providing feedback and supporting student growth and improvement.</t>
  </si>
  <si>
    <t>Analyze the benefits of promoting student voice and choice in the educational setting.</t>
  </si>
  <si>
    <t>Explore the impact of inclusive curriculum design in promoting diversity and representation in education.</t>
  </si>
  <si>
    <t>Discuss the benefits of teaching environmental sustainability to develop students' awareness and stewardship of the environment.</t>
  </si>
  <si>
    <t>Analyze the role of social media in education and its impact on student learning and communication.</t>
  </si>
  <si>
    <t>Explore the benefits of promoting culturally responsive pedagogy to foster equitable and inclusive classrooms.</t>
  </si>
  <si>
    <t>Discuss the impact of inclusive leadership in promoting teacher collaboration and professional development.</t>
  </si>
  <si>
    <t>Analyze the benefits of promoting global competency skills in preparing students for a globally interconnected world.</t>
  </si>
  <si>
    <t>Discuss the benefits of promoting metacognitive strategies to enhance students' self-regulation and learning skills.</t>
  </si>
  <si>
    <t>Analyze the impact of inclusive assessment practices in recognizing and valuing students' diverse abilities and achievements.</t>
  </si>
  <si>
    <t>Explore the benefits of teaching digital literacy skills to develop students' critical thinking and responsible digital citizenship.</t>
  </si>
  <si>
    <t>Discuss the role of project-based assessments in promoting authentic and meaningful learning experiences.</t>
  </si>
  <si>
    <t>Analyze the benefits of promoting inclusive literature and diverse voices in the classroom.</t>
  </si>
  <si>
    <t>Explore the impact of mindfulness practices on students' well-being and academic performance.</t>
  </si>
  <si>
    <t>Discuss the benefits of promoting collaborative problem-solving skills to prepare students for future workplaces.</t>
  </si>
  <si>
    <t>Analyze the role of educational policies in supporting educational equity and access for all students.</t>
  </si>
  <si>
    <t>Explore the benefits of teaching cultural competency to foster respect and understanding among students from diverse backgrounds.</t>
  </si>
  <si>
    <t>Discuss the impact of differentiated instruction in meeting the diverse learning needs of students.</t>
  </si>
  <si>
    <t>Analyze the benefits of promoting peer tutoring and collaborative learning in the classroom.</t>
  </si>
  <si>
    <t>Explore the role of parent-teacher partnerships in supporting student success and academic achievement.</t>
  </si>
  <si>
    <t>Discuss the benefits of teaching critical digital literacy skills to help students navigate and evaluate online information.</t>
  </si>
  <si>
    <t>Analyze the impact of inclusive technology practices in ensuring accessibility and equal opportunities for all students.</t>
  </si>
  <si>
    <t>Explore the benefits of promoting reflective practices among educators to enhance teaching effectiveness and professional growth.</t>
  </si>
  <si>
    <t>Discuss the role of educational policies in supporting the integration of technology in the classroom.</t>
  </si>
  <si>
    <t>Analyze the benefits of promoting a growth mindset culture in educational institutions to foster continuous improvement and resilience.</t>
  </si>
  <si>
    <t>Share your favorite family recipe and its significance to you.</t>
  </si>
  <si>
    <t>Discuss the benefits of meal prepping for saving time and maintaining a healthy diet.</t>
  </si>
  <si>
    <t>Explore the art of plating and presentation in creating visually appealing dishes.</t>
  </si>
  <si>
    <t>Discuss the benefits of using locally sourced and seasonal ingredients in cooking.</t>
  </si>
  <si>
    <t>Share tips for cooking on a budget without compromising on flavor and nutrition.</t>
  </si>
  <si>
    <t>Explore the cultural significance of traditional dishes from around the world.</t>
  </si>
  <si>
    <t>Discuss the impact of food sustainability and eco-friendly practices in cooking.</t>
  </si>
  <si>
    <t>Cooking</t>
  </si>
  <si>
    <t>Share your go-to kitchen hacks and tips for improving cooking efficiency.</t>
  </si>
  <si>
    <t>Explore the benefits of incorporating vegetarian or vegan meals into your cooking routine.</t>
  </si>
  <si>
    <t>Discuss the health benefits of various cooking techniques, such as steaming, grilling, or roasting.</t>
  </si>
  <si>
    <t>Share your favorite cooking blogs or YouTube channels for recipe inspiration.</t>
  </si>
  <si>
    <t>Explore the art of flavor pairing and creating harmonious taste combinations in dishes.</t>
  </si>
  <si>
    <t>Discuss the benefits of homemade versus store-bought condiments, sauces, and dressings.</t>
  </si>
  <si>
    <t>Share your tips for reducing food waste and repurposing leftovers creatively.</t>
  </si>
  <si>
    <t>Explore the cultural and historical origins of popular spices and herbs used in cooking.</t>
  </si>
  <si>
    <t>Discuss the role of mindful eating and savoring flavors in enjoying the culinary experience.</t>
  </si>
  <si>
    <t>Share your tips for meal planning and organizing a well-balanced weekly menu.</t>
  </si>
  <si>
    <t>Explore the art of baking and the science behind achieving perfect results.</t>
  </si>
  <si>
    <t>Discuss the benefits of incorporating international cuisines into your cooking repertoire.</t>
  </si>
  <si>
    <t>Share your favorite kitchen gadgets and tools that make cooking easier and more enjoyable.</t>
  </si>
  <si>
    <t>Explore the benefits of cooking with fresh herbs and their culinary applications.</t>
  </si>
  <si>
    <t>Discuss the health benefits of incorporating fermented foods into your diet.</t>
  </si>
  <si>
    <t>Share your tips for creating delicious and nutritious meals for picky eaters.</t>
  </si>
  <si>
    <t>Explore the art of food styling and photography for capturing mouthwatering images.</t>
  </si>
  <si>
    <t>Discuss the benefits of home gardening and growing your own herbs and vegetables.</t>
  </si>
  <si>
    <t>Share your favorite recipes for quick and easy weeknight dinners.</t>
  </si>
  <si>
    <t>Explore the techniques and tips for mastering the perfect steak or seafood dish.</t>
  </si>
  <si>
    <t>Discuss the cultural traditions and rituals associated with food preparation and dining.</t>
  </si>
  <si>
    <t>Share your tips for hosting a successful dinner party or gathering.</t>
  </si>
  <si>
    <t>Explore the world of food pairings with wine, beer, or other beverages.</t>
  </si>
  <si>
    <t>Discuss the health benefits of incorporating whole grains into your cooking.</t>
  </si>
  <si>
    <t>Share your tips for creating tasty and nutritious meals for individuals with dietary restrictions or allergies.</t>
  </si>
  <si>
    <t>Explore the techniques and secrets to achieving restaurant-quality desserts at home.</t>
  </si>
  <si>
    <t>Discuss the benefits of cooking with sustainable and ethically sourced ingredients.</t>
  </si>
  <si>
    <t>Share your favorite recipes for homemade comfort foods and nostalgic dishes.</t>
  </si>
  <si>
    <t>Explore the art of knife skills and proper knife handling in the kitchen.</t>
  </si>
  <si>
    <t>Discuss the benefits of meal sharing and community cooking events.</t>
  </si>
  <si>
    <t>Share your tips for improvising and adapting recipes based on ingredient availability.</t>
  </si>
  <si>
    <t>Explore the culinary traditions and practices of specific regions or countries.</t>
  </si>
  <si>
    <t>Discuss the benefits of incorporating plant-based proteins into your cooking.</t>
  </si>
  <si>
    <t>Share your tips for creating flavorful and balanced vegetarian or vegan meals.</t>
  </si>
  <si>
    <t>Explore the techniques and secrets to achieving crispy and perfectly cooked fried foods.</t>
  </si>
  <si>
    <t>Discuss the art of food preservation and techniques such as canning, pickling, and fermenting.</t>
  </si>
  <si>
    <t>Share your favorite recipes for homemade bread and baked goods.</t>
  </si>
  <si>
    <t>Explore the world of artisanal cheeses and their unique flavor profiles.</t>
  </si>
  <si>
    <t>Discuss the benefits of cooking with organic ingredients and avoiding harmful additives.</t>
  </si>
  <si>
    <t>Share your tips for meal prepping for busy individuals or families.</t>
  </si>
  <si>
    <t>Explore the techniques and tips for achieving the ideal texture in cooking, such as crispy, tender, or creamy.</t>
  </si>
  <si>
    <t>Discuss the role of spices and herbs in enhancing flavors and creating depth in dishes.</t>
  </si>
  <si>
    <t>Share your favorite tips for balancing flavors and creating well-seasoned dishes.</t>
  </si>
  <si>
    <t>Discuss the benefits of cooking meals from scratch versus relying on processed or pre-packaged foods.</t>
  </si>
  <si>
    <t>Share your tips for meal planning and prepping to save time and reduce stress in the kitchen.</t>
  </si>
  <si>
    <t>Explore the art of creating beautiful and delicious homemade desserts.</t>
  </si>
  <si>
    <t>Discuss the health benefits of incorporating herbs and spices into your cooking.</t>
  </si>
  <si>
    <t>Share your favorite recipe for a classic comfort food dish.</t>
  </si>
  <si>
    <t>Explore the techniques and tips for achieving the perfect balance of flavors in a dish.</t>
  </si>
  <si>
    <t>Discuss the benefits of using alternative ingredients for dietary restrictions or preferences, such as gluten-free or dairy-free cooking.</t>
  </si>
  <si>
    <t>Share your tips for maximizing flavor in vegetarian or vegan dishes.</t>
  </si>
  <si>
    <t>Explore the techniques and tips for achieving tender and juicy meat dishes.</t>
  </si>
  <si>
    <t>Discuss the benefits of using local and seasonal produce in your cooking.</t>
  </si>
  <si>
    <t>Share your favorite recipes for homemade sauces and dressings.</t>
  </si>
  <si>
    <t>Explore the art of food plating and presentation for restaurant-worthy dishes.</t>
  </si>
  <si>
    <t>Discuss the health benefits of incorporating more plant-based meals into your diet.</t>
  </si>
  <si>
    <t>Share your tips for cooking nutritious and delicious meals for picky eaters, including children.</t>
  </si>
  <si>
    <t>Explore the techniques and tips for achieving the perfect texture in baking, such as soft and chewy cookies or light and fluffy cakes.</t>
  </si>
  <si>
    <t>Discuss the benefits of meal sharing and cooking with friends or family.</t>
  </si>
  <si>
    <t>Share your favorite recipes for quick and easy breakfast ideas.</t>
  </si>
  <si>
    <t>Explore the techniques and tips for achieving a crispy crust on various dishes.</t>
  </si>
  <si>
    <t>Discuss the cultural significance of traditional cooking methods and recipes.</t>
  </si>
  <si>
    <t>Share your tips for meal prepping on a budget without sacrificing taste or quality.</t>
  </si>
  <si>
    <t>Explore the techniques and tips for achieving the ideal doneness in cooking different types of seafood.</t>
  </si>
  <si>
    <t>Discuss the benefits of incorporating fermented foods into your cooking, such as kimchi or sauerkraut.</t>
  </si>
  <si>
    <t>Share your favorite recipes for homemade pasta and sauces.</t>
  </si>
  <si>
    <t>Explore the world of international street food and its unique flavors.</t>
  </si>
  <si>
    <t>Discuss the health benefits of incorporating superfoods into your cooking.</t>
  </si>
  <si>
    <t>Share your tips for creating flavorful and satisfying vegetarian meals.</t>
  </si>
  <si>
    <t>Explore the techniques and tips for achieving the perfect balance of sweetness and acidity in desserts.</t>
  </si>
  <si>
    <t>Discuss the benefits of cooking with sustainable and ethically sourced seafood.</t>
  </si>
  <si>
    <t>Share your favorite recipes for homemade soups and stews.</t>
  </si>
  <si>
    <t>Explore the techniques and tips for achieving the ideal caramelization in cooking.</t>
  </si>
  <si>
    <t>Discuss the cultural traditions and customs associated with food and cooking.</t>
  </si>
  <si>
    <t>Share your tips for cooking for a crowd, such as hosting a dinner party or family gathering.</t>
  </si>
  <si>
    <t>Explore the techniques and tips for achieving the perfect texture in vegetarian or vegan protein substitutes.</t>
  </si>
  <si>
    <t>Discuss the benefits of incorporating ancient grains into your cooking.</t>
  </si>
  <si>
    <t>Share your favorite recipes for homemade pizza and toppings.</t>
  </si>
  <si>
    <t>Explore the techniques and tips for achieving the ideal balance of flavors in Asian cuisine.</t>
  </si>
  <si>
    <t>Discuss the health benefits of cooking with herbs and spices, such as turmeric or cinnamon.</t>
  </si>
  <si>
    <t>Share your tips for cooking with limited kitchen equipment or resources.</t>
  </si>
  <si>
    <t>Explore the techniques and tips for achieving the ideal flakiness in pastry dough.</t>
  </si>
  <si>
    <t>Discuss the benefits of cooking with seasonal herbs and edible flowers.</t>
  </si>
  <si>
    <t>Share your favorite recipes for homemade dips and spreads.</t>
  </si>
  <si>
    <t>Explore the techniques and tips for achieving the ideal sear on meats and proteins.</t>
  </si>
  <si>
    <t>Discuss the cultural influences on fusion cuisine and its creative combinations.</t>
  </si>
  <si>
    <t>Share your tips for maximizing flavors in vegetarian or vegan dishes without relying on meat substitutes.</t>
  </si>
  <si>
    <t>Explore the techniques and tips for achieving the ideal texture in gluten-free baking.</t>
  </si>
  <si>
    <t>Discuss the benefits of cooking with sustainable and ethically sourced meats.</t>
  </si>
  <si>
    <t>Share your favorite recipes for homemade condiments and marinades.</t>
  </si>
  <si>
    <t>Explore the techniques and tips for achieving the perfect balance of heat and spice in dishes.</t>
  </si>
  <si>
    <t>Discuss the health benefits of incorporating more whole foods into your cooking.</t>
  </si>
  <si>
    <t>Share your tips for cooking and entertaining outdoors, such as barbecues or picnics.</t>
  </si>
  <si>
    <t>Discuss the benefits of using cast iron cookware and share your favorite recipes to cook in it.</t>
  </si>
  <si>
    <t>Share your tips for creating homemade artisanal bread with a crispy crust and soft interior.</t>
  </si>
  <si>
    <t>Explore the techniques and tips for achieving the perfect balance of flavors in Indian cuisine.</t>
  </si>
  <si>
    <t>Discuss the health benefits of incorporating more fermented foods into your diet, such as kombucha or kefir.</t>
  </si>
  <si>
    <t>Share your favorite recipes for homemade ice cream and sorbets.</t>
  </si>
  <si>
    <t>Discuss the benefits of cooking with heirloom or heritage ingredients and preserving culinary traditions.</t>
  </si>
  <si>
    <t>Share your tips for creating delicious plant-based protein alternatives, such as tofu or tempeh.</t>
  </si>
  <si>
    <t>Explore the world of molecular gastronomy and the techniques used to create unique culinary experiences.</t>
  </si>
  <si>
    <t>Discuss the cultural influences on Mediterranean cuisine and its health benefits.</t>
  </si>
  <si>
    <t>Share your favorite recipes for homemade jams, jellies, and preserves.</t>
  </si>
  <si>
    <t>Explore the techniques and tips for achieving the ideal level of spice and heat in Mexican cuisine.</t>
  </si>
  <si>
    <t>Discuss the benefits of cooking with aromatic spices and herbs, such as cardamom or basil.</t>
  </si>
  <si>
    <t>Share your tips for achieving the perfect balance of sweetness and acidity in baking.</t>
  </si>
  <si>
    <t>Explore the world of culinary fusion and share your favorite recipes that combine different cuisines.</t>
  </si>
  <si>
    <t>Discuss the health benefits of incorporating more plant-based fats into your cooking, such as avocado or coconut oil.</t>
  </si>
  <si>
    <t>Share your favorite recipes for homemade pickles and relishes.</t>
  </si>
  <si>
    <t>Explore the techniques and tips for achieving the perfect texture in vegan desserts.</t>
  </si>
  <si>
    <t>Discuss the benefits of cooking with seasonal and locally sourced ingredients.</t>
  </si>
  <si>
    <t>Share your tips for creating restaurant-quality sushi rolls at home.</t>
  </si>
  <si>
    <t>Explore the techniques and tips for achieving the ideal level of tenderness in slow-cooked dishes.</t>
  </si>
  <si>
    <t>Discuss the health benefits of cooking with superfoods, such as quinoa or kale.</t>
  </si>
  <si>
    <t>Share your favorite recipes for homemade granola and energy bars.</t>
  </si>
  <si>
    <t>Explore the world of Middle Eastern cuisine and share your favorite recipes for dishes like hummus or falafel.</t>
  </si>
  <si>
    <t>Discuss the benefits of cooking with edible flowers and their culinary applications.</t>
  </si>
  <si>
    <t>Share your tips for achieving the perfect consistency in sauces, such as béchamel or hollandaise.</t>
  </si>
  <si>
    <t>Explore the techniques and tips for achieving the ideal level of smokiness in barbecue dishes.</t>
  </si>
  <si>
    <t>Discuss the health benefits of incorporating more fermented dairy products into your cooking, such as yogurt or kefir.</t>
  </si>
  <si>
    <t>Share your favorite recipes for homemade pasta sauces and pesto.</t>
  </si>
  <si>
    <t>Explore the techniques and tips for achieving the perfect fluffiness in pancakes and waffles.</t>
  </si>
  <si>
    <t>Discuss the benefits of cooking with ancient grains and their nutritional value.</t>
  </si>
  <si>
    <t>Share your tips for creating delicious and nutritious meals for children, including sneaking in vegetables.</t>
  </si>
  <si>
    <t>Explore the world of plant-based cheeses and share your favorite recipes for homemade vegan cheese.</t>
  </si>
  <si>
    <t>Discuss the cultural influences on Chinese cuisine and its diverse regional dishes.</t>
  </si>
  <si>
    <t>Share your favorite recipes for homemade sushi and sashimi.</t>
  </si>
  <si>
    <t>Explore the techniques and tips for achieving the ideal texture in vegan protein substitutes.</t>
  </si>
  <si>
    <t>Discuss the health benefits of incorporating more nuts and seeds into your cooking.</t>
  </si>
  <si>
    <t>Share your tips for creating flavorful and healthy smoothies and smoothie bowls.</t>
  </si>
  <si>
    <t>Explore the techniques and tips for achieving the ideal level of crispiness in fried foods.</t>
  </si>
  <si>
    <t>Discuss the benefits of cooking with whole spices and grinding them fresh for enhanced flavor.</t>
  </si>
  <si>
    <t>Share your favorite recipes for homemade chutneys and relishes.</t>
  </si>
  <si>
    <t>Explore the techniques and tips for achieving the perfect rise in baked goods.</t>
  </si>
  <si>
    <t>Discuss the cultural influences on Thai cuisine and its aromatic flavors.</t>
  </si>
  <si>
    <t>Share your tips for reducing food waste and repurposing leftovers in creative ways.</t>
  </si>
  <si>
    <t>Explore the techniques and tips for achieving the ideal texture in gluten-free pizza crust.</t>
  </si>
  <si>
    <t>Discuss the health benefits of cooking with fresh herbs and their medicinal properties.</t>
  </si>
  <si>
    <t>Share your favorite recipes for homemade dumplings and potstickers.</t>
  </si>
  <si>
    <t>Explore the techniques and tips for achieving the perfect balance of flavors in Greek cuisine.</t>
  </si>
  <si>
    <t>Discuss the benefits of cooking with heirloom vegetables and preserving biodiversity.</t>
  </si>
  <si>
    <t>Share your tips for creating delicious and visually appealing charcuterie boards.</t>
  </si>
  <si>
    <t>Discuss the benefits of using a slow cooker or crockpot for convenient and flavorful meals.</t>
  </si>
  <si>
    <t>Share your tips for achieving the perfect crust on homemade pies and tarts.</t>
  </si>
  <si>
    <t>Explore the techniques and tips for achieving the ideal texture in gluten-free bread.</t>
  </si>
  <si>
    <t>Discuss the health benefits of cooking with whole grains and their nutritional value.</t>
  </si>
  <si>
    <t>Share your favorite recipes for homemade barbecue sauces and marinades.</t>
  </si>
  <si>
    <t>Explore the techniques and tips for achieving the perfect balance of flavors in Vietnamese cuisine.</t>
  </si>
  <si>
    <t>Discuss the benefits of cooking with seasonal fruits and vegetables and their enhanced flavors.</t>
  </si>
  <si>
    <t>Share your tips for creating restaurant-quality steak at home, including the best cooking methods and seasonings.</t>
  </si>
  <si>
    <t>Explore the world of fermented beverages, such as kombucha or homemade ginger beer.</t>
  </si>
  <si>
    <t>Discuss the cultural influences on Japanese cuisine and its delicate presentation.</t>
  </si>
  <si>
    <t>Share your favorite recipes for homemade flavored oils and vinegars.</t>
  </si>
  <si>
    <t>Explore the techniques and tips for achieving the ideal texture in vegan cheese substitutes.</t>
  </si>
  <si>
    <t>Discuss the benefits of cooking with natural sweeteners, such as maple syrup or honey.</t>
  </si>
  <si>
    <t>Share your tips for achieving the perfect consistency in homemade custards and puddings.</t>
  </si>
  <si>
    <t>Explore the techniques and tips for achieving the ideal level of tenderness in grilled meats and vegetables.</t>
  </si>
  <si>
    <t>Discuss the health benefits of incorporating more plant-based proteins into your cooking, such as legumes or tofu.</t>
  </si>
  <si>
    <t>Share your favorite recipes for homemade nut butters and spreads.</t>
  </si>
  <si>
    <t>Explore the world of Caribbean cuisine and share your favorite recipes for dishes like jerk chicken or plantain fritters.</t>
  </si>
  <si>
    <t>Discuss the benefits of cooking with fresh and dried herbs, and their unique flavor profiles.</t>
  </si>
  <si>
    <t>Share your tips for creating impressive and delicious homemade layer cakes.</t>
  </si>
  <si>
    <t>Explore the techniques and tips for achieving the perfect consistency in risottos and creamy rice dishes.</t>
  </si>
  <si>
    <t>Discuss the health benefits of cooking with healthy fats, such as olive oil or avocado oil.</t>
  </si>
  <si>
    <t>Share your favorite recipes for homemade fruit preserves and marmalades.</t>
  </si>
  <si>
    <t>Explore the techniques and tips for achieving the ideal texture in vegan ice cream.</t>
  </si>
  <si>
    <t>Discuss the benefits of cooking with wild-caught seafood and its sustainability.</t>
  </si>
  <si>
    <t>Share your tips for creating flavorful and nutritious salads with homemade dressings.</t>
  </si>
  <si>
    <t>Explore the techniques and tips for achieving the perfect rise in homemade bread.</t>
  </si>
  <si>
    <t>Discuss the cultural influences on Mexican cuisine and its vibrant flavors.</t>
  </si>
  <si>
    <t>Share your favorite recipes for homemade flavored salts and spice blends.</t>
  </si>
  <si>
    <t>Explore the techniques and tips for achieving the ideal level of sweetness in baked goods without refined sugars.</t>
  </si>
  <si>
    <t>Discuss the benefits of cooking with fresh and dried chili peppers and their heat levels.</t>
  </si>
  <si>
    <t>Share your tips for creating mouthwatering grilled vegetables with charred edges.</t>
  </si>
  <si>
    <t>Explore the techniques and tips for achieving the perfect texture in gluten-free pizza dough.</t>
  </si>
  <si>
    <t>Discuss the health benefits of cooking with nutrient-rich greens, such as kale or spinach.</t>
  </si>
  <si>
    <t>Share your favorite recipes for homemade fruit pies and galettes.</t>
  </si>
  <si>
    <t>Explore the techniques and tips for achieving the ideal level of smokiness in smoked meats and fish.</t>
  </si>
  <si>
    <t>Discuss the benefits of cooking with ancient spices and their historical significance.</t>
  </si>
  <si>
    <t>Share your tips for creating homemade yogurt and exploring different flavor variations.</t>
  </si>
  <si>
    <t>Explore the techniques and tips for achieving the perfect flakiness in puff pastry.</t>
  </si>
  <si>
    <t>Discuss the cultural influences on French cuisine and its elegant culinary techniques.</t>
  </si>
  <si>
    <t>Share your favorite recipes for homemade flavored syrups and cocktail mixers.</t>
  </si>
  <si>
    <t>Explore the techniques and tips for achieving the ideal texture in gluten-free cookies.</t>
  </si>
  <si>
    <t>Discuss the health benefits of incorporating more leafy greens into your cooking, such as kale or Swiss chard.</t>
  </si>
  <si>
    <t>Share your tips for creating homemade sausages and experimenting with different flavors.</t>
  </si>
  <si>
    <t>Explore the techniques and tips for achieving the perfect balance of flavors in Korean cuisine.</t>
  </si>
  <si>
    <t>Discuss the benefits of cooking with locally sourced ingredients and supporting local farmers.</t>
  </si>
  <si>
    <t>Share your favorite recipes for homemade breadsticks and savory snacks.</t>
  </si>
  <si>
    <t>Explore the techniques and tips for achieving the ideal level of creaminess in vegan soups and bisques.</t>
  </si>
  <si>
    <t>Discuss the cultural influences on Italian cuisine and its rich culinary traditions.</t>
  </si>
  <si>
    <t>Share your tips for creating homemade fermented vegetables, such as sauerkraut or kimchi.</t>
  </si>
  <si>
    <t>Discuss the benefits of cooking with fresh herbs and share your favorite recipes that highlight their flavors.</t>
  </si>
  <si>
    <t>Share your tips for creating beautiful and delicious charcuterie boards for entertaining guests.</t>
  </si>
  <si>
    <t>Explore the techniques and tips for achieving the perfect texture in gluten-free pancakes and waffles.</t>
  </si>
  <si>
    <t>Discuss the health benefits of incorporating more plant-based proteins, such as lentils or chickpeas, into your cooking.</t>
  </si>
  <si>
    <t>Share your favorite recipes for homemade flavored butter and compound spreads.</t>
  </si>
  <si>
    <t>Explore the techniques and tips for achieving the ideal level of spiciness in Thai cuisine.</t>
  </si>
  <si>
    <t>Discuss the benefits of cooking with organic ingredients and their impact on the environment.</t>
  </si>
  <si>
    <t>Share your tips for creating flavorful and satisfying vegetarian burgers and plant-based patties.</t>
  </si>
  <si>
    <t>Explore the techniques and tips for achieving the perfect consistency in vegan cheesecakes and creamy desserts.</t>
  </si>
  <si>
    <t>Discuss the cultural influences on Spanish cuisine and its diverse regional dishes.</t>
  </si>
  <si>
    <t>Share your favorite recipes for homemade spice blends and rubs.</t>
  </si>
  <si>
    <t>Explore the techniques and tips for achieving the ideal level of sweetness in baked goods using natural sweeteners.</t>
  </si>
  <si>
    <t>Discuss the health benefits of cooking with fermented foods, such as sauerkraut or miso.</t>
  </si>
  <si>
    <t>Share your tips for achieving the perfect sear on steaks and other meats.</t>
  </si>
  <si>
    <t>Explore the techniques and tips for achieving the ideal texture in gluten-free pasta.</t>
  </si>
  <si>
    <t>Discuss the benefits of cooking with seasonal vegetables and fruits and maximizing their flavors.</t>
  </si>
  <si>
    <t>Share your favorite recipes for homemade infused oils and vinegars.</t>
  </si>
  <si>
    <t>Explore the techniques and tips for achieving the perfect fluffiness in gluten-free muffins and quick breads.</t>
  </si>
  <si>
    <t>Discuss the cultural influences on Indian cuisine and its vibrant array of spices.</t>
  </si>
  <si>
    <t>Share your tips for creating homemade salad dressings and vinaigrettes with unique flavor combinations.</t>
  </si>
  <si>
    <t>Explore the techniques and tips for achieving the ideal level of richness in chocolate desserts.</t>
  </si>
  <si>
    <t>Discuss the health benefits of cooking with nutrient-dense superfoods, such as quinoa or spirulina.</t>
  </si>
  <si>
    <t>Share your favorite recipes for homemade flavored salts and seasonings.</t>
  </si>
  <si>
    <t>Explore the techniques and tips for achieving the perfect rise in gluten-free yeast bread.</t>
  </si>
  <si>
    <t>Discuss the benefits of cooking with heirloom varieties of fruits and vegetables and preserving biodiversity.</t>
  </si>
  <si>
    <t>Share your tips for creating visually stunning and delicious fruit tarts and galettes.</t>
  </si>
  <si>
    <t>Explore the techniques and tips for achieving the ideal level of tenderness in slow-cooked meat dishes.</t>
  </si>
  <si>
    <t>Discuss the cultural influences on Moroccan cuisine and its fragrant spice blends.</t>
  </si>
  <si>
    <t>Share your favorite recipes for homemade infused spirits and liqueurs.</t>
  </si>
  <si>
    <t>Explore the techniques and tips for achieving the perfect texture in gluten-free pie crust.</t>
  </si>
  <si>
    <t>Discuss the health benefits of incorporating more nuts and seeds into your cooking, such as almonds or chia seeds.</t>
  </si>
  <si>
    <t>Share your tips for creating flavorful and healthy grain bowls with a variety of ingredients and toppings.</t>
  </si>
  <si>
    <t>Explore the techniques and tips for achieving the ideal level of heat in spicy dishes.</t>
  </si>
  <si>
    <t>Discuss the benefits of cooking with fresh and seasonal seafood and its sustainability.</t>
  </si>
  <si>
    <t>Share your favorite recipes for homemade vegetable soups and comforting stews.</t>
  </si>
  <si>
    <t>Explore the techniques and tips for achieving the perfect texture in gluten-free cookies and bars.</t>
  </si>
  <si>
    <t>Discuss the cultural influences on Lebanese cuisine and its aromatic flavors.</t>
  </si>
  <si>
    <t>Share your tips for creating homemade infused waters and refreshing summer beverages.</t>
  </si>
  <si>
    <t>Explore the techniques and tips for achieving the ideal level of creaminess in dairy-free mashed potatoes.</t>
  </si>
  <si>
    <t>Discuss the health benefits of cooking with colorful fruits and vegetables and their nutrient profiles.</t>
  </si>
  <si>
    <t>Share your favorite recipes for homemade flavored popcorn and snack mixes.</t>
  </si>
  <si>
    <t>Explore the techniques and tips for achieving the perfect balance of flavors in Chinese cuisine.</t>
  </si>
  <si>
    <t>Discuss the benefits of cooking with ancient grains, such as quinoa or amaranth, and their nutritional value.</t>
  </si>
  <si>
    <t>Share your tips for creating delicious and nutritious smoothie bowls with creative toppings.</t>
  </si>
  <si>
    <t>Explore the techniques and tips for achieving the ideal level of tanginess in fermented foods, like pickles or kombucha.</t>
  </si>
  <si>
    <t>Discuss the cultural influences on Brazilian cuisine and its bold and diverse culinary traditions.</t>
  </si>
  <si>
    <t>Share your favorite recipes for homemade flavored sugars and sweeteners.</t>
  </si>
  <si>
    <t>Explore the techniques and tips for achieving the perfect texture in gluten-free pizza crusts.</t>
  </si>
  <si>
    <t>Discuss the benefits of cooking with fresh and aromatic spices, such as turmeric or cumin.</t>
  </si>
  <si>
    <t>Share your tips for creating homemade energy bars and healthy snacks on the go.</t>
  </si>
  <si>
    <t>Share your tips for creating delicious and visually appealing sushi rolls at home.</t>
  </si>
  <si>
    <t>Discuss the benefits of cooking with seasonal herbs and spices and how they enhance flavors.</t>
  </si>
  <si>
    <t>Share your favorite recipes for homemade salad dressings using unique flavor combinations.</t>
  </si>
  <si>
    <t>Discuss the cultural influences on Mexican cuisine and its vibrant array of flavors.</t>
  </si>
  <si>
    <t>Share your tips for creating perfectly cooked and seasoned roasted vegetables.</t>
  </si>
  <si>
    <t>Discuss the health benefits of incorporating more fermented foods, such as kimchi or kefir, into your cooking.</t>
  </si>
  <si>
    <t>Share your favorite recipes for homemade ice creams and sorbets with inventive flavor profiles.</t>
  </si>
  <si>
    <t>Explore the techniques and tips for achieving the perfect flakiness in gluten-free pie crusts.</t>
  </si>
  <si>
    <t>Discuss the benefits of cooking with fresh and seasonal fruits and their impact on flavor.</t>
  </si>
  <si>
    <t>Share your tips for creating flavorful and aromatic curry dishes from different cuisines.</t>
  </si>
  <si>
    <t>Explore the techniques and tips for achieving the ideal level of juiciness in grilled meats and poultry.</t>
  </si>
  <si>
    <t>Discuss the cultural influences on Thai cuisine and its unique blend of sweet, sour, spicy, and savory flavors.</t>
  </si>
  <si>
    <t>Share your favorite recipes for homemade pasta with various sauces and fillings.</t>
  </si>
  <si>
    <t>Explore the techniques and tips for achieving the perfect rise in gluten-free bread.</t>
  </si>
  <si>
    <t>Discuss the health benefits of cooking with alternative flours, such as almond or coconut flour.</t>
  </si>
  <si>
    <t>Share your tips for creating impressive and delectable layered cakes with different fillings and frostings.</t>
  </si>
  <si>
    <t>Share your favorite recipes for homemade condiments and sauces, like barbecue sauce or aioli.</t>
  </si>
  <si>
    <t>Discuss the cultural influences on Japanese cuisine and its focus on simplicity and presentation.</t>
  </si>
  <si>
    <t>Share your tips for creating flavorful and nutritious grain salads with a variety of ingredients.</t>
  </si>
  <si>
    <t>Explore the techniques and tips for achieving the ideal level of creaminess in dairy-free desserts.</t>
  </si>
  <si>
    <t>Discuss the health benefits of cooking with whole grains, such as quinoa or brown rice.</t>
  </si>
  <si>
    <t>Share your favorite recipes for homemade soups and stews with hearty and comforting flavors.</t>
  </si>
  <si>
    <t>Discuss the benefits of cooking with fresh and vibrant vegetables and their impact on nutrition.</t>
  </si>
  <si>
    <t>Share your tips for creating homemade bread with different types of flour and grains.</t>
  </si>
  <si>
    <t>Explore the techniques and tips for achieving the ideal level of tanginess in fermented foods, like sauerkraut or yogurt.</t>
  </si>
  <si>
    <t>Discuss the cultural influences on French cuisine and its emphasis on technique and quality ingredients.</t>
  </si>
  <si>
    <t>Share your favorite recipes for homemade dips and spreads, such as hummus or guacamole.</t>
  </si>
  <si>
    <t>Explore the techniques and tips for achieving the perfect balance of flavors in Indian curries.</t>
  </si>
  <si>
    <t>Discuss the benefits of cooking with aromatic herbs, like basil or rosemary, and their culinary uses.</t>
  </si>
  <si>
    <t>Share your tips for creating visually stunning and delicious fruit tarts and pies.</t>
  </si>
  <si>
    <t>Discuss the health benefits of cooking with leafy greens, like kale or spinach, and their nutritional value.</t>
  </si>
  <si>
    <t>Share your favorite recipes for homemade pickles and fermented vegetables.</t>
  </si>
  <si>
    <t>Explore the techniques and tips for achieving the perfect texture in gluten-free pasta.</t>
  </si>
  <si>
    <t>Discuss the cultural influences on Italian cuisine and its regional specialties.</t>
  </si>
  <si>
    <t>Share your tips for creating homemade spice blends for different cuisines, such as Cajun or Moroccan.</t>
  </si>
  <si>
    <t>Discuss the benefits of cooking with olive oil and its role in Mediterranean cuisine.</t>
  </si>
  <si>
    <t>Share your favorite recipes for homemade comfort foods, like macaroni and cheese or lasagna.</t>
  </si>
  <si>
    <t>Discuss the health benefits of cooking with superfoods, such as kale or quinoa.</t>
  </si>
  <si>
    <t>Share your tips for creating flavorful and aromatic marinades for meats and vegetables.</t>
  </si>
  <si>
    <t>Explore the techniques and tips for achieving the ideal level of sweetness in desserts using natural sweeteners.</t>
  </si>
  <si>
    <t>Explore different breathing techniques for relaxation and stress reduction.</t>
  </si>
  <si>
    <t>Discuss the benefits of practicing mindfulness in daily life and its impact on overall well-being.</t>
  </si>
  <si>
    <t>Share tips for creating a peaceful and inviting meditation space at home.</t>
  </si>
  <si>
    <t>Explore different types of meditation practices, such as loving-kindness or body scan meditation.</t>
  </si>
  <si>
    <t>Discuss the importance of setting intentions and goals for your mindfulness and meditation practice.</t>
  </si>
  <si>
    <t>Share guided meditation techniques for promoting better sleep and relaxation.</t>
  </si>
  <si>
    <t>Explore the connection between mindfulness and emotional intelligence.</t>
  </si>
  <si>
    <t>Discuss the benefits of incorporating mindfulness into daily activities, such as eating or walking.</t>
  </si>
  <si>
    <t>Share tips for cultivating gratitude and appreciation through mindfulness exercises.</t>
  </si>
  <si>
    <t>Explore the role of mindfulness in managing and reducing anxiety and stress.</t>
  </si>
  <si>
    <t>Discuss the benefits of practicing mindfulness in enhancing focus and concentration.</t>
  </si>
  <si>
    <t>Share techniques for cultivating self-compassion and self-care through mindfulness practices.</t>
  </si>
  <si>
    <t>Explore the connection between mindfulness and resilience in dealing with life's challenges.</t>
  </si>
  <si>
    <t>Discuss the benefits of practicing mindfulness in improving interpersonal relationships and communication.</t>
  </si>
  <si>
    <t>Share tips for incorporating mindfulness into a busy schedule or work environment.</t>
  </si>
  <si>
    <t>Explore different meditation techniques for promoting relaxation and stress relief.</t>
  </si>
  <si>
    <t>Discuss the benefits of mindful eating and its impact on our relationship with food.</t>
  </si>
  <si>
    <t>Share techniques for developing a regular meditation practice and overcoming common obstacles.</t>
  </si>
  <si>
    <t>Mindfulness and meditation practices</t>
  </si>
  <si>
    <t>Explore the connection between mindfulness and creativity in fostering inspiration and innovation.</t>
  </si>
  <si>
    <t>Discuss the benefits of mindfulness in cultivating a greater sense of self-awareness.</t>
  </si>
  <si>
    <t>Share tips for practicing mindfulness in nature and connecting with the natural world.</t>
  </si>
  <si>
    <t>Explore the role of mindfulness in managing and reducing symptoms of depression.</t>
  </si>
  <si>
    <t>Discuss the benefits of incorporating mindfulness into physical exercise and movement practices.</t>
  </si>
  <si>
    <t>Share techniques for practicing mindfulness during challenging or difficult emotions.</t>
  </si>
  <si>
    <t>Explore the connection between mindfulness and improved cognitive function and mental clarity.</t>
  </si>
  <si>
    <t>Discuss the benefits of practicing mindfulness in cultivating compassion and empathy towards others.</t>
  </si>
  <si>
    <t>Share tips for incorporating mindfulness into daily routines, such as morning or evening rituals.</t>
  </si>
  <si>
    <t>Explore different mindfulness practices for promoting relaxation and stress reduction at the workplace.</t>
  </si>
  <si>
    <t>Discuss the benefits of practicing mindfulness in developing a greater sense of purpose and meaning in life.</t>
  </si>
  <si>
    <t>Share techniques for practicing mindfulness in social interactions and enhancing empathy.</t>
  </si>
  <si>
    <t>Explore the role of mindfulness in managing and reducing chronic pain and improving well-being.</t>
  </si>
  <si>
    <t>Discuss the benefits of incorporating mindfulness into parenting and nurturing relationships with children.</t>
  </si>
  <si>
    <t>Share tips for integrating mindfulness into technology use and creating digital balance.</t>
  </si>
  <si>
    <t>Explore different meditation techniques for cultivating mindfulness in movement, such as yoga or tai chi.</t>
  </si>
  <si>
    <t>Discuss the benefits of practicing mindfulness in improving emotional regulation and self-control.</t>
  </si>
  <si>
    <t>Share techniques for incorporating mindfulness into daily chores and mundane activities.</t>
  </si>
  <si>
    <t>Explore the connection between mindfulness and improved sleep quality and relaxation.</t>
  </si>
  <si>
    <t>Discuss the benefits of mindfulness in cultivating a greater sense of body awareness and self-acceptance.</t>
  </si>
  <si>
    <t>Share tips for practicing mindfulness during moments of transition and change.</t>
  </si>
  <si>
    <t>Explore different mindfulness practices for promoting self-reflection and personal growth.</t>
  </si>
  <si>
    <t>Discuss the benefits of incorporating mindfulness into workplace environments for enhanced productivity and well-being.</t>
  </si>
  <si>
    <t>Share techniques for practicing mindfulness in the midst of busy and chaotic surroundings.</t>
  </si>
  <si>
    <t>Explore the role of mindfulness in managing and reducing symptoms of anxiety disorders.</t>
  </si>
  <si>
    <t>Discuss the benefits of practicing mindfulness in improving overall mental health and resilience.</t>
  </si>
  <si>
    <t>Share tips for incorporating mindfulness into daily journaling or creative expression.</t>
  </si>
  <si>
    <t>Explore different meditation techniques for promoting compassion and kindness towards oneself and others.</t>
  </si>
  <si>
    <t>Discuss the benefits of mindfulness in cultivating a sense of present-moment awareness and non-judgment.</t>
  </si>
  <si>
    <t>Share techniques for practicing mindfulness during moments of stress or overwhelm.</t>
  </si>
  <si>
    <t>Explore the connection between mindfulness and improved self-esteem and self-confidence.</t>
  </si>
  <si>
    <t>Discuss the benefits of incorporating mindfulness into workplace communication and conflict resolution.</t>
  </si>
  <si>
    <t>Share techniques for incorporating mindfulness into daily commuting or transportation routines.</t>
  </si>
  <si>
    <t>Explore different meditation practices for cultivating mindfulness in movement, such as dance or walking.</t>
  </si>
  <si>
    <t>Discuss the benefits of practicing mindfulness in enhancing creativity and innovation.</t>
  </si>
  <si>
    <t>Share tips for practicing mindfulness in the digital age and creating a healthy relationship with technology.</t>
  </si>
  <si>
    <t>Explore the connection between mindfulness and improved decision-making and problem-solving skills.</t>
  </si>
  <si>
    <t>Discuss the benefits of incorporating mindfulness into parenting and nurturing strong family connections.</t>
  </si>
  <si>
    <t>Share techniques for practicing mindfulness in the workplace to reduce stress and enhance productivity.</t>
  </si>
  <si>
    <t>Explore different meditation practices for cultivating mindfulness in nature and connecting with the environment.</t>
  </si>
  <si>
    <t>Discuss the benefits of practicing mindfulness in promoting self-compassion and self-love.</t>
  </si>
  <si>
    <t>Share tips for incorporating mindfulness into daily self-care routines and rituals.</t>
  </si>
  <si>
    <t>Explore the role of mindfulness in cultivating resilience and bouncing back from adversity.</t>
  </si>
  <si>
    <t>Discuss the benefits of practicing mindfulness in improving focus and concentration in academic or professional settings.</t>
  </si>
  <si>
    <t>Share techniques for practicing mindfulness during moments of transition and life changes.</t>
  </si>
  <si>
    <t>Explore different meditation practices for promoting mindfulness in sports and physical activities.</t>
  </si>
  <si>
    <t>Discuss the benefits of incorporating mindfulness into leadership and fostering a positive work culture.</t>
  </si>
  <si>
    <t>Share tips for practicing mindfulness in social media usage and maintaining a healthy digital presence.</t>
  </si>
  <si>
    <t>Explore the connection between mindfulness and improved communication and active listening skills.</t>
  </si>
  <si>
    <t>Discuss the benefits of practicing mindfulness in managing and reducing symptoms of chronic illness.</t>
  </si>
  <si>
    <t>Share techniques for incorporating mindfulness into daily gratitude practices.</t>
  </si>
  <si>
    <t>Explore the role of mindfulness in cultivating non-reactivity and emotional regulation.</t>
  </si>
  <si>
    <t>Discuss the benefits of mindfulness in fostering compassion and empathy towards others.</t>
  </si>
  <si>
    <t>Share tips for incorporating mindfulness into the evening routine for better sleep and relaxation.</t>
  </si>
  <si>
    <t>Explore different meditation practices for cultivating mindfulness in creative pursuits, such as writing or painting.</t>
  </si>
  <si>
    <t>Discuss the benefits of practicing mindfulness in enhancing body awareness and promoting physical well-being.</t>
  </si>
  <si>
    <t>Share techniques for practicing mindfulness during moments of anxiety or panic.</t>
  </si>
  <si>
    <t>Explore the connection between mindfulness and improved relationships and intimacy.</t>
  </si>
  <si>
    <t>Discuss the benefits of incorporating mindfulness into caregiving and supporting others.</t>
  </si>
  <si>
    <t>Share tips for practicing mindfulness in public spaces and crowded environments.</t>
  </si>
  <si>
    <t>Explore different mindfulness practices for promoting mindful eating and a healthy relationship with food.</t>
  </si>
  <si>
    <t>Discuss the benefits of practicing mindfulness in fostering a sense of interconnectedness and oneness.</t>
  </si>
  <si>
    <t>Share techniques for incorporating mindfulness into daily technology breaks and digital detoxes.</t>
  </si>
  <si>
    <t>Explore the role of mindfulness in managing and reducing symptoms of insomnia and sleep disorders.</t>
  </si>
  <si>
    <t>Discuss the benefits of mindfulness in cultivating a sense of acceptance and non-judgment.</t>
  </si>
  <si>
    <t>Share tips for practicing mindfulness during moments of grief or loss.</t>
  </si>
  <si>
    <t>Explore different meditation practices for cultivating mindfulness in daily work tasks and responsibilities.</t>
  </si>
  <si>
    <t>Discuss the benefits of practicing mindfulness in promoting workplace well-being and stress reduction.</t>
  </si>
  <si>
    <t>Share techniques for incorporating mindfulness into daily self-reflection and introspection.</t>
  </si>
  <si>
    <t>Explore the connection between mindfulness and improved body-mind connection in physical activities.</t>
  </si>
  <si>
    <t>Discuss the benefits of incorporating mindfulness into conflict resolution and fostering peaceful relationships.</t>
  </si>
  <si>
    <t>Share tips for practicing mindfulness in the midst of a busy and demanding schedule.</t>
  </si>
  <si>
    <t>Explore different mindfulness practices for promoting mindful communication and resolving conflicts.</t>
  </si>
  <si>
    <t>Discuss the benefits of practicing mindfulness in managing and reducing symptoms of attention disorders.</t>
  </si>
  <si>
    <t>Share techniques for incorporating mindfulness into morning rituals and setting positive intentions for the day.</t>
  </si>
  <si>
    <t>Explore the role of mindfulness in cultivating resilience and adaptability in times of change.</t>
  </si>
  <si>
    <t>Discuss the benefits of mindfulness in promoting emotional intelligence and self-awareness.</t>
  </si>
  <si>
    <t>Share tips for practicing mindfulness in the midst of difficult emotions or challenging situations.</t>
  </si>
  <si>
    <t>Explore different meditation practices for cultivating mindfulness in artistic expressions, such as music or poetry.</t>
  </si>
  <si>
    <t>Discuss the benefits of incorporating mindfulness into the education system and student well-being.</t>
  </si>
  <si>
    <t>Share techniques for practicing mindfulness during moments of boredom or monotony.</t>
  </si>
  <si>
    <t>Explore the connection between mindfulness and improved body posture and physical alignment.</t>
  </si>
  <si>
    <t>Share techniques for incorporating mindfulness into everyday chores and household tasks.</t>
  </si>
  <si>
    <t>Explore different meditation practices for cultivating mindfulness in the workplace.</t>
  </si>
  <si>
    <t>Discuss the benefits of practicing mindfulness in managing and reducing symptoms of burnout.</t>
  </si>
  <si>
    <t>Share tips for practicing mindfulness in social gatherings and navigating social interactions with presence.</t>
  </si>
  <si>
    <t>Explore the connection between mindfulness and improved memory and cognitive function.</t>
  </si>
  <si>
    <t>Discuss the benefits of incorporating mindfulness into conflict resolution and building healthy relationships.</t>
  </si>
  <si>
    <t>Share techniques for practicing mindfulness while traveling or exploring new environments.</t>
  </si>
  <si>
    <t>Explore different mindfulness practices for promoting self-compassion and self-acceptance.</t>
  </si>
  <si>
    <t>Discuss the benefits of practicing mindfulness in enhancing focus and attention span.</t>
  </si>
  <si>
    <t>Share tips for incorporating mindfulness into family routines and strengthening family bonds.</t>
  </si>
  <si>
    <t>Explore the role of mindfulness in managing and reducing symptoms of stress-related disorders.</t>
  </si>
  <si>
    <t>Discuss the benefits of mindfulness in fostering a sense of gratitude and appreciation.</t>
  </si>
  <si>
    <t>Share techniques for practicing mindfulness during moments of anger or frustration.</t>
  </si>
  <si>
    <t>Explore different meditation practices for cultivating mindfulness in creative writing or journaling.</t>
  </si>
  <si>
    <t>Discuss the benefits of incorporating mindfulness into decision-making processes and enhancing clarity.</t>
  </si>
  <si>
    <t>Share tips for practicing mindfulness in the digital age and balancing online and offline experiences.</t>
  </si>
  <si>
    <t>Explore the connection between mindfulness and improved immune system function and overall health.</t>
  </si>
  <si>
    <t>Discuss the benefits of practicing mindfulness in promoting body-mind connection in physical activities.</t>
  </si>
  <si>
    <t>Share techniques for incorporating mindfulness into goal setting and achieving personal aspirations.</t>
  </si>
  <si>
    <t>Explore different mindfulness practices for promoting mindful communication in romantic relationships.</t>
  </si>
  <si>
    <t>Discuss the benefits of mindfulness in managing and reducing symptoms of post-traumatic stress disorder (PTSD).</t>
  </si>
  <si>
    <t>Share tips for practicing mindfulness in the workplace to reduce distractions and improve productivity.</t>
  </si>
  <si>
    <t>Explore the role of mindfulness in cultivating self-awareness and understanding personal strengths and weaknesses.</t>
  </si>
  <si>
    <t>Discuss the benefits of incorporating mindfulness into leadership practices for effective decision-making.</t>
  </si>
  <si>
    <t>Share techniques for practicing mindfulness during moments of uncertainty or life transitions.</t>
  </si>
  <si>
    <t>Explore different meditation practices for cultivating mindfulness in caregiving roles and nurturing others.</t>
  </si>
  <si>
    <t>Discuss the benefits of practicing mindfulness in developing resilience and coping skills.</t>
  </si>
  <si>
    <t>Share tips for incorporating mindfulness into meal preparation and enjoying mindful eating experiences.</t>
  </si>
  <si>
    <t>Explore the connection between mindfulness and improved emotional regulation and well-being.</t>
  </si>
  <si>
    <t>Discuss the benefits of mindfulness in promoting empathy and compassion towards oneself and others.</t>
  </si>
  <si>
    <t>Share techniques for practicing mindfulness during moments of overwhelm or information overload.</t>
  </si>
  <si>
    <t>Explore different mindfulness practices for promoting body awareness and practicing embodiment.</t>
  </si>
  <si>
    <t>Discuss the benefits of incorporating mindfulness into team building and fostering collaboration.</t>
  </si>
  <si>
    <t>Share tips for practicing mindfulness during moments of boredom or waiting.</t>
  </si>
  <si>
    <t>Explore the role of mindfulness in managing and reducing symptoms of phobias or anxiety disorders.</t>
  </si>
  <si>
    <t>Discuss the benefits of mindfulness in enhancing creativity and innovative thinking.</t>
  </si>
  <si>
    <t>Share techniques for incorporating mindfulness into daily technology use for digital well-being.</t>
  </si>
  <si>
    <t>Explore different meditation practices for cultivating mindfulness in public speaking or presentations.</t>
  </si>
  <si>
    <t>Discuss the benefits of practicing mindfulness in managing and reducing symptoms of chronic fatigue.</t>
  </si>
  <si>
    <t>Share tips for practicing mindfulness in the evening to promote restful sleep and relaxation.</t>
  </si>
  <si>
    <t>Explore the connection between mindfulness and improved body image and self-esteem.</t>
  </si>
  <si>
    <t>Discuss the benefits of incorporating mindfulness into recovery and addiction support programs.</t>
  </si>
  <si>
    <t>Share techniques for practicing mindfulness during moments of temptation or cravings.</t>
  </si>
  <si>
    <t>Discuss the benefits of mindfulness in promoting a sense of interconnectedness and global awareness.</t>
  </si>
  <si>
    <t>Share tips for incorporating mindfulness into daily reading or studying routines.</t>
  </si>
  <si>
    <t>Explore the role of mindfulness in managing and reducing symptoms of social anxiety.</t>
  </si>
  <si>
    <t>Discuss the benefits of practicing mindfulness in cultivating resilience in the face of setbacks or challenges.</t>
  </si>
  <si>
    <t>Share techniques for incorporating mindfulness into daily mindfulness-based exercises, such as yoga or tai chi.</t>
  </si>
  <si>
    <t>Explore different meditation practices for cultivating mindfulness in parenting and fostering connection with children.</t>
  </si>
  <si>
    <t>Explore the concept of "mindfulness" and its role in reducing stress and promoting overall well-being.</t>
  </si>
  <si>
    <t>Discuss the benefits of incorporating meditation into daily life and how it can enhance mental clarity and focus.</t>
  </si>
  <si>
    <t>Share mindfulness techniques for grounding and centering oneself in the present moment.</t>
  </si>
  <si>
    <t>Reflect on the connection between mindfulness and emotional intelligence, and how mindfulness can support emotional regulation.</t>
  </si>
  <si>
    <t>Explore different meditation styles, such as loving-kindness meditation or body scan meditation, and their unique benefits.</t>
  </si>
  <si>
    <t>Discuss the importance of mindfulness in cultivating self-compassion and nurturing a positive self-image.</t>
  </si>
  <si>
    <t>Explore mindfulness practices for enhancing creativity and accessing a state of flow.</t>
  </si>
  <si>
    <t>Discuss the role of mindfulness in improving sleep quality and promoting relaxation.</t>
  </si>
  <si>
    <t>Reflect on the connection between mindfulness and resilience in navigating life's challenges.</t>
  </si>
  <si>
    <t>Share mindfulness techniques for managing anxiety and promoting a sense of calm.</t>
  </si>
  <si>
    <t>Explore the benefits of mindfulness in fostering healthier relationships and improving communication.</t>
  </si>
  <si>
    <t>Discuss mindfulness practices for cultivating gratitude and cultivating a positive mindset.</t>
  </si>
  <si>
    <t>Reflect on the role of mindfulness in managing pain and promoting overall physical well-being.</t>
  </si>
  <si>
    <t>Share techniques for incorporating mindfulness into daily activities, such as mindful eating or mindful walking.</t>
  </si>
  <si>
    <t>Discuss the concept of "mindful parenting" and explore mindfulness practices for nurturing parent-child connections.</t>
  </si>
  <si>
    <t>Reflect on the benefits of mindfulness in reducing burnout and promoting work-life balance.</t>
  </si>
  <si>
    <t>Explore mindfulness practices for cultivating self-awareness and deepening personal growth.</t>
  </si>
  <si>
    <t>Discuss the relationship between mindfulness and compassion, and how both can be cultivated through meditation.</t>
  </si>
  <si>
    <t>Share mindfulness techniques for managing stress and promoting relaxation during busy or challenging times.</t>
  </si>
  <si>
    <t>Reflect on the connection between mindfulness and intuition, and how mindfulness can enhance decision-making abilities.</t>
  </si>
  <si>
    <t>Discuss mindfulness practices for enhancing focus and concentration in academic or work settings.</t>
  </si>
  <si>
    <t>Explore the benefits of mindfulness in managing emotions and reducing reactivity.</t>
  </si>
  <si>
    <t>Share techniques for incorporating mindfulness into everyday routines, such as a morning or bedtime mindfulness practice.</t>
  </si>
  <si>
    <t>Discuss the role of mindfulness in fostering resilience in the face of adversity or difficult life transitions.</t>
  </si>
  <si>
    <t>Reflect on the connection between mindfulness and self-care, and how mindfulness practices can support overall well-being.</t>
  </si>
  <si>
    <t>Explore mindfulness techniques for cultivating a sense of inner peace and tranquility.</t>
  </si>
  <si>
    <t>Discuss mindfulness practices for enhancing body awareness and promoting physical relaxation.</t>
  </si>
  <si>
    <t>Share techniques for practicing mindfulness in nature and connecting with the present moment.</t>
  </si>
  <si>
    <t>Reflect on the benefits of mindfulness in promoting overall mental health and well-being.</t>
  </si>
  <si>
    <t>Discuss the role of mindfulness in cultivating non-judgmental awareness and reducing self-criticism.</t>
  </si>
  <si>
    <t>Explore mindfulness practices for cultivating compassion towards oneself and others.</t>
  </si>
  <si>
    <t>Share techniques for incorporating mindfulness into a busy schedule and finding moments of stillness amidst the chaos.</t>
  </si>
  <si>
    <t>Discuss the benefits of mindfulness in promoting overall work productivity and focus.</t>
  </si>
  <si>
    <t>Reflect on the connection between mindfulness and spirituality, and how mindfulness can deepen one's spiritual practice.</t>
  </si>
  <si>
    <t>Explore mindfulness techniques for managing negative thought patterns and promoting a positive mindset.</t>
  </si>
  <si>
    <t>Discuss mindfulness practices for enhancing body-mind connection and promoting overall embodied well-being.</t>
  </si>
  <si>
    <t>Share techniques for practicing mindfulness in social interactions and improving interpersonal relationships.</t>
  </si>
  <si>
    <t>Reflect on the benefits of mindfulness in enhancing self-reflection and self-discovery.</t>
  </si>
  <si>
    <t>Discuss mindfulness practices for promoting self-acceptance and cultivating a sense of inner worth.</t>
  </si>
  <si>
    <t>Explore mindfulness techniques for managing overwhelm and finding balance in a fast-paced world.</t>
  </si>
  <si>
    <t>Share techniques for incorporating mindfulness into technology use and promoting digital well-being.</t>
  </si>
  <si>
    <t>Discuss the role of mindfulness in cultivating resilience in the face of setbacks or challenges.</t>
  </si>
  <si>
    <t>Reflect on the benefits of mindfulness in promoting emotional regulation and reducing impulsivity.</t>
  </si>
  <si>
    <t>Explore mindfulness practices for cultivating a sense of interconnectedness and fostering compassion towards all beings.</t>
  </si>
  <si>
    <t>Discuss mindfulness techniques for managing distractions and improving focus in daily life.</t>
  </si>
  <si>
    <t>Share techniques for practicing mindfulness during moments of transition or change.</t>
  </si>
  <si>
    <t>Reflect on the connection between mindfulness and gratitude, and how both can be cultivated for greater well-being.</t>
  </si>
  <si>
    <t>Explore mindfulness practices for enhancing self-compassion and nurturing a kind and gentle inner voice.</t>
  </si>
  <si>
    <t>Discuss the benefits of mindfulness in promoting body acceptance and reducing body dissatisfaction.</t>
  </si>
  <si>
    <t>Share techniques for incorporating mindfulness into daily rituals and finding moments of stillness in everyday life.</t>
  </si>
  <si>
    <t>Reflect on the benefits of practicing mindfulness in nature and connecting with the natural world.</t>
  </si>
  <si>
    <t>Discuss the role of mindfulness in cultivating compassion for oneself and others.</t>
  </si>
  <si>
    <t>Explore mindfulness practices for managing and reducing the impact of stress on the mind and body.</t>
  </si>
  <si>
    <t>Share techniques for incorporating mindfulness into daily routines, such as morning rituals or bedtime rituals.</t>
  </si>
  <si>
    <t>Discuss the benefits of mindfulness in promoting self-awareness and self-discovery.</t>
  </si>
  <si>
    <t>Reflect on the connection between mindfulness and gratitude, and how both practices can enhance well-being.</t>
  </si>
  <si>
    <t>Discuss the role of mindfulness in improving focus and concentration in academic or work settings.</t>
  </si>
  <si>
    <t>Share mindfulness practices for promoting better sleep quality and overall restfulness.</t>
  </si>
  <si>
    <t>Reflect on the benefits of mindfulness in promoting emotional resilience and regulating difficult emotions.</t>
  </si>
  <si>
    <t>Discuss mindfulness techniques for cultivating mindfulness in social interactions and improving communication.</t>
  </si>
  <si>
    <t>Explore mindfulness practices for nurturing self-compassion and developing a kinder relationship with oneself.</t>
  </si>
  <si>
    <t>Share techniques for incorporating mindfulness into physical activities, such as mindful movement or yoga.</t>
  </si>
  <si>
    <t>Discuss the benefits of mindfulness in cultivating non-reactivity and responding to situations with greater clarity.</t>
  </si>
  <si>
    <t>Reflect on the connection between mindfulness and creativity, and how mindfulness can enhance artistic expression.</t>
  </si>
  <si>
    <t>Explore mindfulness techniques for managing anxiety and promoting a sense of calm and relaxation.</t>
  </si>
  <si>
    <t>Discuss mindfulness practices for developing a greater sense of body awareness and self-care.</t>
  </si>
  <si>
    <t>Share techniques for practicing mindfulness during everyday tasks, such as eating mindfully or engaging in mindful walking.</t>
  </si>
  <si>
    <t>Reflect on the benefits of mindfulness in fostering resilience and adaptability in the face of challenges.</t>
  </si>
  <si>
    <t>Discuss mindfulness techniques for cultivating present-moment awareness and reducing rumination.</t>
  </si>
  <si>
    <t>Explore mindfulness practices for promoting mindful decision-making and aligning actions with values.</t>
  </si>
  <si>
    <t>Share techniques for incorporating mindfulness into digital habits and finding balance in the age of technology.</t>
  </si>
  <si>
    <t>Explore mindfulness techniques for managing and reducing the impact of stress on the mind and body.</t>
  </si>
  <si>
    <t>Discuss mindfulness techniques for managing anxiety and promoting a sense of calm and relaxation.</t>
  </si>
  <si>
    <t>Explore mindfulness practices for developing a greater sense of body awareness and self-care.</t>
  </si>
  <si>
    <t>Discuss the role of mindfulness in enhancing relationships and fostering deeper connections with others.</t>
  </si>
  <si>
    <t>Reflect on the benefits of mindfulness in promoting compassion for oneself and the world.</t>
  </si>
  <si>
    <t>Explore mindfulness techniques for managing and reducing the impact of negative thought patterns.</t>
  </si>
  <si>
    <t>Discuss mindfulness practices for cultivating a sense of gratitude and appreciation in daily life.</t>
  </si>
  <si>
    <t>Share techniques for incorporating mindfulness into physical exercise and movement practices.</t>
  </si>
  <si>
    <t>Reflect on the connection between mindfulness and resilience, and how mindfulness can support bouncing back from adversity.</t>
  </si>
  <si>
    <t>Explore mindfulness techniques for managing and reducing symptoms of burnout and promoting self-care.</t>
  </si>
  <si>
    <t>Discuss the benefits of mindfulness in cultivating mindful eating habits and a healthy relationship with food.</t>
  </si>
  <si>
    <t>Share practices for incorporating mindfulness into mindfulness and meditation into workplace settings.</t>
  </si>
  <si>
    <t>Reflect on the benefits of mindfulness in promoting emotional intelligence and self-regulation.</t>
  </si>
  <si>
    <t>Discuss mindfulness techniques for cultivating mindfulness in parenting and nurturing healthy family dynamics.</t>
  </si>
  <si>
    <t>Reflect on the role of mindfulness in fostering self-acceptance and embracing imperfections.</t>
  </si>
  <si>
    <t>Explore mindfulness techniques for cultivating a sense of inner calm and tranquility.</t>
  </si>
  <si>
    <t>Discuss the benefits of mindfulness in promoting emotional regulation and resilience.</t>
  </si>
  <si>
    <t>Share practices for incorporating mindfulness into daily routines and finding moments of stillness in busy schedules.</t>
  </si>
  <si>
    <t>Reflect on the connection between mindfulness and intuition, and how mindfulness can enhance decision-making.</t>
  </si>
  <si>
    <t>Explore mindfulness techniques for managing and reducing symptoms of anxiety and promoting a sense of peace.</t>
  </si>
  <si>
    <t>Discuss the benefits of mindfulness in promoting compassion for oneself and others.</t>
  </si>
  <si>
    <t>Share techniques for incorporating mindfulness into creative pursuits, such as writing, painting, or music.</t>
  </si>
  <si>
    <t>Reflect on the role of mindfulness in fostering deeper connections in relationships and improving communication.</t>
  </si>
  <si>
    <t>Explore mindfulness practices for cultivating a sense of gratitude and appreciation in daily life.</t>
  </si>
  <si>
    <t>Discuss mindfulness techniques for managing and reducing the impact of stress on mental and physical well-being.</t>
  </si>
  <si>
    <t>Share practices for incorporating mindfulness into digital habits and finding balance in the digital age.</t>
  </si>
  <si>
    <t>Reflect on the benefits of mindfulness in promoting self-compassion and self-care.</t>
  </si>
  <si>
    <t>Explore mindfulness techniques for developing a greater sense of body awareness and embodiment.</t>
  </si>
  <si>
    <t>Discuss the role of mindfulness in promoting resilience and adaptability in the face of challenges.</t>
  </si>
  <si>
    <t>Reflect on the connection between mindfulness and creativity, and how mindfulness can enhance creative expression.</t>
  </si>
  <si>
    <t>Explore mindfulness techniques for cultivating non-judgmental awareness and reducing self-criticism.</t>
  </si>
  <si>
    <t>Discuss the benefits of mindfulness in promoting better sleep quality and relaxation.</t>
  </si>
  <si>
    <t>Share practices for incorporating mindfulness into physical exercise and movement for a mindful workout.</t>
  </si>
  <si>
    <t>Reflect on the role of mindfulness in fostering self-discovery and personal growth.</t>
  </si>
  <si>
    <t>Explore mindfulness techniques for managing and reducing symptoms of depression and promoting well-being.</t>
  </si>
  <si>
    <t>Discuss the benefits of mindfulness in promoting a sense of interconnectedness and fostering compassion towards all beings.</t>
  </si>
  <si>
    <t>Share practices for incorporating mindfulness and meditation into workplace settings for increased productivity and well-being.</t>
  </si>
  <si>
    <t>Reflect on the role of mindfulness in enhancing relationships and fostering deeper connections with others.</t>
  </si>
  <si>
    <t>Explore mindfulness techniques for cultivating gratitude and appreciation in everyday life.</t>
  </si>
  <si>
    <t>Discuss the benefits of mindfulness in promoting emotional intelligence and self-regulation.</t>
  </si>
  <si>
    <t>Share techniques for incorporating mindfulness into parenting practices for mindful and present parenting.</t>
  </si>
  <si>
    <t>Reflect on the connection between mindfulness and physical health, and how mindfulness can support overall well-being.</t>
  </si>
  <si>
    <t>Explore mindfulness techniques for managing and reducing symptoms of chronic pain or illness.</t>
  </si>
  <si>
    <t>Discuss the benefits of mindfulness in fostering a sense of purpose and aligning actions with values.</t>
  </si>
  <si>
    <t>Share practices for incorporating mindfulness into the workplace to reduce stress and enhance focus.</t>
  </si>
  <si>
    <t>Reflect on the role of mindfulness in promoting self-compassion and reducing self-criticism.</t>
  </si>
  <si>
    <t>Explore mindfulness techniques for managing and reducing symptoms of anxiety in social situations.</t>
  </si>
  <si>
    <t>Discuss the benefits of mindfulness in promoting resilience and adaptability in the face of uncertainty.</t>
  </si>
  <si>
    <t>Share techniques for incorporating mindfulness into digital detoxes and promoting digital well-being.</t>
  </si>
  <si>
    <t>Reflect on the connection between mindfulness and creativity, and how mindfulness can enhance creative problem-solving.</t>
  </si>
  <si>
    <t>Explore mindfulness techniques for managing and reducing symptoms of insomnia for better sleep.</t>
  </si>
  <si>
    <t>Discuss the benefits of mindfulness in fostering empathy and compassion towards oneself and others.</t>
  </si>
  <si>
    <t>Share practices for incorporating mindfulness into physical exercise and movement practices.</t>
  </si>
  <si>
    <t>Reflect on the role of mindfulness in cultivating a sense of inner peace and contentment.</t>
  </si>
  <si>
    <t>Explore mindfulness techniques for managing and reducing symptoms of stress-related headaches or migraines.</t>
  </si>
  <si>
    <t>Discuss the benefits of mindfulness in promoting self-awareness and personal growth.</t>
  </si>
  <si>
    <t>Share techniques for incorporating mindfulness into nature walks or outdoor activities for a mindful connection with the environment.</t>
  </si>
  <si>
    <t>Reflect on the connection between mindfulness and emotional well-being, and how mindfulness can support emotional balance.</t>
  </si>
  <si>
    <t>Explore mindfulness practices for cultivating mindfulness in parenting and nurturing healthy family dynamics.</t>
  </si>
  <si>
    <t>Reflect on the role of mindfulness in cultivating self-compassion and nurturing a positive self-image.</t>
  </si>
  <si>
    <t>Explore mindfulness techniques for managing and reducing symptoms of tension and stress in the body.</t>
  </si>
  <si>
    <t>Discuss the benefits of mindfulness in fostering resilience and adaptability in challenging times.</t>
  </si>
  <si>
    <t>Share practices for incorporating mindfulness into daily rituals for a sense of grounding and presence.</t>
  </si>
  <si>
    <t>Explore mindfulness techniques for managing and reducing symptoms of anger or frustration.</t>
  </si>
  <si>
    <t>Discuss the benefits of mindfulness in promoting better decision-making and problem-solving skills.</t>
  </si>
  <si>
    <t>Share techniques for incorporating mindfulness into commuting or travel for a mindful journey.</t>
  </si>
  <si>
    <t>Reflect on the role of mindfulness in cultivating empathy and understanding in interpersonal relationships.</t>
  </si>
  <si>
    <t>Explore mindfulness practices for cultivating a sense of forgiveness and letting go of past grievances.</t>
  </si>
  <si>
    <t>Discuss the benefits of mindfulness in promoting clarity and focus in academic or professional pursuits.</t>
  </si>
  <si>
    <t>Share practices for incorporating mindfulness into digital communication for more mindful and meaningful interactions.</t>
  </si>
  <si>
    <t>Reflect on the connection between mindfulness and physical well-being, and how mindfulness can support overall health.</t>
  </si>
  <si>
    <t>Discuss the benefits of mindfulness in fostering gratitude and appreciation for the present moment.</t>
  </si>
  <si>
    <t>Share techniques for incorporating mindfulness into meal preparation and eating for a mindful culinary experience.</t>
  </si>
  <si>
    <t>Reflect on the role of mindfulness in cultivating resilience and self-care during times of change or uncertainty.</t>
  </si>
  <si>
    <t>Explore mindfulness practices for developing a sense of loving-kindness and compassion towards oneself and others.</t>
  </si>
  <si>
    <t>Share practices for incorporating mindfulness into the workplace for enhanced productivity and well-being.</t>
  </si>
  <si>
    <t>Reflect on the connection between mindfulness and body awareness, and how mindfulness can support physical healing.</t>
  </si>
  <si>
    <t>Explore mindfulness techniques for managing and reducing symptoms of worry and overthinking.</t>
  </si>
  <si>
    <t>Discuss the benefits of mindfulness in promoting a sense of interconnectedness and unity with the world.</t>
  </si>
  <si>
    <t>Share techniques for incorporating mindfulness into creativity and artistic endeavors for inspired expression.</t>
  </si>
  <si>
    <t>Reflect on the role of mindfulness in fostering a sense of purpose and meaning in life.</t>
  </si>
  <si>
    <t>Reflect on the role of mindfulness in cultivating patience and acceptance of life's uncertainties.</t>
  </si>
  <si>
    <t>Explore mindfulness techniques for managing and reducing symptoms of restlessness and inner turmoil.</t>
  </si>
  <si>
    <t>Discuss the benefits of mindfulness in promoting better emotional regulation and self-control.</t>
  </si>
  <si>
    <t>Share practices for incorporating mindfulness into the morning routine for a mindful start to the day.</t>
  </si>
  <si>
    <t>Reflect on the connection between mindfulness and gratitude, and how mindfulness can deepen appreciation.</t>
  </si>
  <si>
    <t>Explore mindfulness techniques for managing and reducing symptoms of overwhelm and information overload.</t>
  </si>
  <si>
    <t>Discuss the benefits of mindfulness in promoting better communication and active listening skills.</t>
  </si>
  <si>
    <t>Share techniques for incorporating mindfulness into technology use for a healthier digital balance.</t>
  </si>
  <si>
    <t>Reflect on the role of mindfulness in cultivating compassion for oneself and others.</t>
  </si>
  <si>
    <t>Explore mindfulness practices for developing a sense of equanimity and balance in challenging situations.</t>
  </si>
  <si>
    <t>Discuss the benefits of mindfulness in promoting better self-awareness and self-reflection.</t>
  </si>
  <si>
    <t>Share practices for incorporating mindfulness into driving or commuting for a mindful travel experience.</t>
  </si>
  <si>
    <t>Reflect on the connection between mindfulness and intuition, and how mindfulness can enhance inner guidance.</t>
  </si>
  <si>
    <t>Explore mindfulness techniques for managing and reducing symptoms of fatigue and mental exhaustion.</t>
  </si>
  <si>
    <t>Discuss the benefits of mindfulness in fostering a sense of interconnectedness with nature and the environment.</t>
  </si>
  <si>
    <t>Share techniques for incorporating mindfulness into digital media consumption for a more mindful online experience.</t>
  </si>
  <si>
    <t>Reflect on the role of mindfulness in cultivating resilience and self-care during times of stress.</t>
  </si>
  <si>
    <t>Explore mindfulness practices for developing a sense of balance and harmony in relationships.</t>
  </si>
  <si>
    <t>Discuss the benefits of mindfulness in promoting better body posture and physical alignment.</t>
  </si>
  <si>
    <t>Share practices for incorporating mindfulness into bedtime routines for a peaceful and restful sleep.</t>
  </si>
  <si>
    <t>Reflect on the connection between mindfulness and self-care, and how mindfulness can support overall well-being.</t>
  </si>
  <si>
    <t>Explore mindfulness techniques for managing and reducing symptoms of fear or anxiety related to public speaking.</t>
  </si>
  <si>
    <t>Discuss the benefits of mindfulness in promoting better self-regulation and impulse control.</t>
  </si>
  <si>
    <t>Share practices for incorporating mindfulness into daily routines for a sense of intention and presence.</t>
  </si>
  <si>
    <t>Reflect on the role of mindfulness in cultivating a deeper connection with nature and the environment.</t>
  </si>
  <si>
    <t>What are some trending wedding themes for the upcoming year?</t>
  </si>
  <si>
    <t>How can you create a romantic and enchanting atmosphere with your wedding theme and décor?</t>
  </si>
  <si>
    <t>Share some unique ideas for incorporating nature-inspired elements into the wedding theme.</t>
  </si>
  <si>
    <t>What are some creative ways to infuse cultural elements into the wedding theme and décor?</t>
  </si>
  <si>
    <t>How can you incorporate the couple's love story or interests into the overall wedding theme?</t>
  </si>
  <si>
    <t>Share some ideas for a whimsical and fairytale-inspired wedding theme.</t>
  </si>
  <si>
    <t>What are some ways to create an elegant and timeless ambiance through the wedding theme and décor?</t>
  </si>
  <si>
    <t>How can you incorporate vintage elements into a modern wedding theme?</t>
  </si>
  <si>
    <t>Share some tips for creating a luxurious and opulent wedding theme on a budget.</t>
  </si>
  <si>
    <t>What are some ways to infuse vibrant colors into the wedding theme and décor?</t>
  </si>
  <si>
    <t>How can you create a rustic and charming atmosphere with rustic-themed wedding décor?</t>
  </si>
  <si>
    <t>Share some ideas for a beach or nautical-inspired wedding theme.</t>
  </si>
  <si>
    <t>What are some ways to incorporate sustainable and eco-friendly elements into the wedding theme and décor?</t>
  </si>
  <si>
    <t>How can you create a minimalist and contemporary wedding theme with clean lines and simplicity?</t>
  </si>
  <si>
    <t>Share some ideas for a glamorous and Hollywood-inspired wedding theme.</t>
  </si>
  <si>
    <t>What are some ways to create a bohemian and free-spirited atmosphere through the wedding theme and décor?</t>
  </si>
  <si>
    <t>How can you incorporate art and cultural influences into the wedding theme and décor?</t>
  </si>
  <si>
    <t>Share some tips for creating a festive and vibrant atmosphere with a festival-themed wedding.</t>
  </si>
  <si>
    <t>What are some ways to incorporate geometric patterns and shapes into the wedding theme and décor?</t>
  </si>
  <si>
    <t>How can you create a magical and mystical ambiance with a fantasy-themed wedding?</t>
  </si>
  <si>
    <t>Share some ideas for a vintage garden party-inspired wedding theme.</t>
  </si>
  <si>
    <t>What are some ways to incorporate metallic accents into the wedding theme and décor?</t>
  </si>
  <si>
    <t>How can you create a modern and industrial vibe with urban-themed wedding décor?</t>
  </si>
  <si>
    <t>Share some tips for creating a whimsical and dreamy atmosphere with a fairy tale-themed wedding.</t>
  </si>
  <si>
    <t>What are some ways to incorporate cultural traditions and rituals into the wedding theme and décor?</t>
  </si>
  <si>
    <t>How can you create a cozy and intimate ambiance with a winter wonderland-themed wedding?</t>
  </si>
  <si>
    <t>Share some ideas for a travel-inspired wedding theme that reflects the couple's wanderlust.</t>
  </si>
  <si>
    <t>What are some ways to incorporate personalized signage and monograms into the wedding theme and décor?</t>
  </si>
  <si>
    <t>How can you create a rustic and elegant atmosphere with a barn wedding theme?</t>
  </si>
  <si>
    <t>Share some tips for creating a romantic and vintage-inspired ambiance with a shabby chic wedding theme.</t>
  </si>
  <si>
    <t>What are some ways to incorporate celestial elements into the wedding theme and décor?</t>
  </si>
  <si>
    <t>How can you create a tropical paradise atmosphere with a destination beach wedding theme?</t>
  </si>
  <si>
    <t>Share some ideas for a garden fairy-inspired wedding theme with lush floral decorations.</t>
  </si>
  <si>
    <t>What are some ways to incorporate cultural fabrics and textiles into the wedding theme and décor?</t>
  </si>
  <si>
    <t>How can you create a whimsical and playful ambiance with a circus-themed wedding?</t>
  </si>
  <si>
    <t>Share some tips for creating a glamorous and glitzy atmosphere with a Gatsby-inspired wedding theme.</t>
  </si>
  <si>
    <t>What are some ways to incorporate natural elements like wood and greenery into the wedding theme and décor?</t>
  </si>
  <si>
    <t>How can you create a vintage and retro vibe with a 1950s-inspired wedding theme?</t>
  </si>
  <si>
    <t>Share some ideas for a modern and edgy wedding theme with bold and unconventional décor.</t>
  </si>
  <si>
    <t>What are some ways to incorporate fairy lights and candles into the wedding theme and décor?</t>
  </si>
  <si>
    <t>How can you create a romantic and ethereal ambiance with a boho-chic wedding theme?</t>
  </si>
  <si>
    <t>Share some tips for creating a traditional and elegant atmosphere with a classic wedding theme.</t>
  </si>
  <si>
    <t>Wedding planner</t>
  </si>
  <si>
    <t>What are some ways to incorporate cultural cuisine and food presentation into the wedding theme and décor?</t>
  </si>
  <si>
    <t>How can you create a glamorous and sophisticated ambiance with an Old Hollywood wedding theme?</t>
  </si>
  <si>
    <t>Share some ideas for a vineyard-inspired wedding theme with rustic vineyard decorations.</t>
  </si>
  <si>
    <t>What are some ways to incorporate personalized wedding favors into the wedding theme and décor?</t>
  </si>
  <si>
    <t>How can you create a vibrant and festive atmosphere with a Mexican fiesta-themed wedding?</t>
  </si>
  <si>
    <t>Share some tips for creating a modern and minimalist ambiance with an urban loft wedding theme.</t>
  </si>
  <si>
    <t>What are some ways to incorporate seasonal elements into the wedding theme and décor?</t>
  </si>
  <si>
    <t>How can you create a dreamy and whimsical atmosphere with a pastel-colored wedding theme?</t>
  </si>
  <si>
    <t>Share some ideas for a fairytale castle-inspired wedding theme with regal decorations.</t>
  </si>
  <si>
    <t>What are some ways to incorporate cultural music and dance into the wedding theme and décor?</t>
  </si>
  <si>
    <t>How can you create an elegant and refined ambiance with a black and white wedding theme?</t>
  </si>
  <si>
    <t>Share some tips for creating a romantic and intimate atmosphere with a candlelit wedding theme.</t>
  </si>
  <si>
    <t>What are some ways to incorporate rustic elements into the wedding theme and décor?</t>
  </si>
  <si>
    <t>How can you create a modern and artistic vibe with an abstract-inspired wedding theme?</t>
  </si>
  <si>
    <t>Share some ideas for a coastal-inspired wedding theme with beachy decorations.</t>
  </si>
  <si>
    <t>What are some ways to incorporate fresh flowers and floral arrangements into the wedding theme and décor?</t>
  </si>
  <si>
    <t>How can you create a festive and colorful atmosphere with a carnival-themed wedding?</t>
  </si>
  <si>
    <t>Share some tips for creating a glamorous and luxurious ambiance with a Great Gatsby wedding theme.</t>
  </si>
  <si>
    <t>What are some ways to incorporate cultural symbols and motifs into the wedding theme and décor?</t>
  </si>
  <si>
    <t>How can you create a cozy and warm atmosphere with a rustic winter wedding theme?</t>
  </si>
  <si>
    <t>Share some ideas for a bohemian and nature-inspired wedding theme with earthy decorations.</t>
  </si>
  <si>
    <t>What are some ways to incorporate vintage photographs and family heirlooms into the wedding theme and décor?</t>
  </si>
  <si>
    <t>How can you create a tropical and vibrant ambiance with a Hawaiian luau-themed wedding?</t>
  </si>
  <si>
    <t>Share some tips for creating a romantic and ethereal atmosphere with a blush pink wedding theme.</t>
  </si>
  <si>
    <t>What are some ways to incorporate rustic-chic elements into the wedding theme and décor?</t>
  </si>
  <si>
    <t>How can you create a modern and geometric vibe with a minimalist geometric wedding theme?</t>
  </si>
  <si>
    <t>Share some ideas for a rustic woodland-inspired wedding theme with nature-inspired decorations.</t>
  </si>
  <si>
    <t>What are some ways to incorporate unique and unconventional seating arrangements into the wedding theme and décor?</t>
  </si>
  <si>
    <t>How can you create a romantic and vintage ambiance with a Victorian-inspired wedding theme?</t>
  </si>
  <si>
    <t>Share some tips for creating a cozy and intimate atmosphere with a fireside wedding theme.</t>
  </si>
  <si>
    <t>What are some ways to incorporate cultural traditions and customs into the wedding theme and décor?</t>
  </si>
  <si>
    <t>How can you create an elegant and timeless ambiance with a black-tie wedding theme?</t>
  </si>
  <si>
    <t>Share some ideas for a rustic-chic barnyard-inspired wedding theme with farm-themed decorations.</t>
  </si>
  <si>
    <t>What are some ways to incorporate personalized wedding signage into the wedding theme and décor?</t>
  </si>
  <si>
    <t>How can you create a whimsical and magical atmosphere with an enchanted forest wedding theme?</t>
  </si>
  <si>
    <t>Share some tips for creating a vibrant and lively ambiance with a Bollywood-inspired wedding theme.</t>
  </si>
  <si>
    <t>What are some ways to incorporate natural elements like moss and branches into the wedding theme and décor?</t>
  </si>
  <si>
    <t>How can you create a modern and sleek vibe with a contemporary art-inspired wedding theme?</t>
  </si>
  <si>
    <t>How can wedding planners effectively communicate and negotiate with wedding vendors?</t>
  </si>
  <si>
    <t>Share some tips for sourcing and selecting reliable and professional wedding vendors.</t>
  </si>
  <si>
    <t>What are the key questions wedding planners should ask when interviewing potential vendors?</t>
  </si>
  <si>
    <t>How can wedding planners establish strong relationships and partnerships with wedding vendors?</t>
  </si>
  <si>
    <t>Share some strategies for managing contracts and agreements with wedding vendors.</t>
  </si>
  <si>
    <t>What are some ways to ensure timely and efficient communication between wedding planners and vendors?</t>
  </si>
  <si>
    <t>How can wedding planners effectively manage vendor payments and budgets?</t>
  </si>
  <si>
    <t>Share some tips for coordinating vendor schedules and timelines to ensure a smooth wedding day.</t>
  </si>
  <si>
    <t>What are the best practices for handling vendor cancellations or unforeseen issues?</t>
  </si>
  <si>
    <t>How can wedding planners ensure that vendors understand and execute the couple's vision accurately?</t>
  </si>
  <si>
    <t>Share some ideas for creating a preferred vendor list and maintaining positive vendor relationships.</t>
  </si>
  <si>
    <t>What are the key qualities to look for when hiring and collaborating with wedding vendors?</t>
  </si>
  <si>
    <t>How can wedding planners effectively negotiate prices and packages with vendors?</t>
  </si>
  <si>
    <t>Share some strategies for managing vendor expectations and resolving conflicts.</t>
  </si>
  <si>
    <t>What are the essential documents and paperwork that wedding planners should have when working with vendors?</t>
  </si>
  <si>
    <t>How can wedding planners ensure that vendors are properly licensed and insured?</t>
  </si>
  <si>
    <t>Share some tips for coordinating vendor load-in, setup, and breakdown on the wedding day.</t>
  </si>
  <si>
    <t>What are some ways to track and manage vendor payments and invoices?</t>
  </si>
  <si>
    <t>How can wedding planners handle changes or additions to the vendor team during the planning process?</t>
  </si>
  <si>
    <t>Share some ideas for creating a vendor management toolkit or resource guide for wedding planners.</t>
  </si>
  <si>
    <t>What are the key responsibilities of wedding planners in overseeing vendor performance and deliverables?</t>
  </si>
  <si>
    <t>How can wedding planners effectively communicate the wedding day schedule and logistics to vendors?</t>
  </si>
  <si>
    <t>Share some strategies for managing multiple vendors and ensuring seamless coordination between them.</t>
  </si>
  <si>
    <t>What are some ways to handle vendor emergencies or last-minute changes on the wedding day?</t>
  </si>
  <si>
    <t>How can wedding planners establish trust and rapport with new or unfamiliar vendors?</t>
  </si>
  <si>
    <t>Share some tips for conducting vendor site visits and inspections before the wedding day.</t>
  </si>
  <si>
    <t>What are the best practices for reviewing and comparing vendor proposals and quotes?</t>
  </si>
  <si>
    <t>How can wedding planners ensure that vendors are adhering to the agreed-upon terms and conditions?</t>
  </si>
  <si>
    <t>Share some ideas for incentivizing vendors and rewarding exceptional service.</t>
  </si>
  <si>
    <t>What are the key factors to consider when determining vendor pricing and budget allocations?</t>
  </si>
  <si>
    <t>How can wedding planners assist couples in making informed decisions when choosing between different vendors?</t>
  </si>
  <si>
    <t>Share some strategies for maintaining open lines of communication with vendors throughout the planning process.</t>
  </si>
  <si>
    <t>What are the best practices for managing vendor referrals and recommendations?</t>
  </si>
  <si>
    <t>How can wedding planners handle vendor requests for changes or modifications to the contract?</t>
  </si>
  <si>
    <t>Share some tips for conducting effective vendor meetings and consultations.</t>
  </si>
  <si>
    <t>What are the essential details that wedding planners should include in vendor contracts?</t>
  </si>
  <si>
    <t>How can wedding planners ensure that vendors are aware of and adhere to venue rules and regulations?</t>
  </si>
  <si>
    <t>Share some strategies for managing vendor expectations regarding setup and teardown times.</t>
  </si>
  <si>
    <t>What are the key considerations for coordinating vendor meals and accommodations on the wedding day?</t>
  </si>
  <si>
    <t>How can wedding planners handle vendor disputes or disagreements professionally and diplomatically?</t>
  </si>
  <si>
    <t>Share some ideas for fostering long-term relationships and partnerships with preferred vendors.</t>
  </si>
  <si>
    <t>What are the best practices for providing feedback and evaluations to vendors after the wedding?</t>
  </si>
  <si>
    <t>How can wedding planners assist vendors in promoting their services through the wedding event?</t>
  </si>
  <si>
    <t>Share some tips for managing vendor portfolios, contracts, and other documentation efficiently.</t>
  </si>
  <si>
    <t>What are the key factors to consider when determining the appropriate vendor tipping etiquette?</t>
  </si>
  <si>
    <t>How can wedding planners ensure that vendors are aware of and prepared for any specific cultural or religious requirements?</t>
  </si>
  <si>
    <t>Share some strategies for managing vendor expectations regarding client preferences and specific requests.</t>
  </si>
  <si>
    <t>What are the essential details to include in vendor itineraries and contact lists for the wedding day?</t>
  </si>
  <si>
    <t>How can wedding planners handle vendor no-shows or last-minute cancellations?</t>
  </si>
  <si>
    <t>Share some ideas for recognizing and appreciating vendors for their outstanding work and contributions.</t>
  </si>
  <si>
    <t>What are the key qualities to look for when selecting a wedding photographer or videographer?</t>
  </si>
  <si>
    <t>Share some tips for creating a shot list and capturing essential moments during the wedding day.</t>
  </si>
  <si>
    <t>How can wedding planners collaborate with photographers and videographers to ensure a cohesive vision?</t>
  </si>
  <si>
    <t>What are the latest trends and styles in wedding photography and videography?</t>
  </si>
  <si>
    <t>Share some ideas for incorporating unique and creative poses into wedding photography.</t>
  </si>
  <si>
    <t>How can wedding planners help couples choose the right locations and backdrops for their photoshoots?</t>
  </si>
  <si>
    <t>What are the essential questions to ask when interviewing potential wedding photographers or videographers?</t>
  </si>
  <si>
    <t>Share some strategies for capturing candid and authentic moments during the wedding day.</t>
  </si>
  <si>
    <t>How can photographers and videographers effectively communicate and coordinate with other vendors?</t>
  </si>
  <si>
    <t>What are the key factors to consider when determining the photography and videography budget?</t>
  </si>
  <si>
    <t>Share some tips for ensuring that photographers and videographers capture diverse cultural and religious traditions.</t>
  </si>
  <si>
    <t>How can wedding planners assist photographers and videographers in understanding the couple's style preferences?</t>
  </si>
  <si>
    <t>What are the best practices for handling photo and video delivery timelines and formats?</t>
  </si>
  <si>
    <t>Share some ideas for incorporating storytelling elements into wedding photography and videography.</t>
  </si>
  <si>
    <t>How can photographers and videographers capture the emotions and atmosphere of the wedding day?</t>
  </si>
  <si>
    <t>What are the essential shots to include in a wedding photography and videography package?</t>
  </si>
  <si>
    <t>Share some strategies for managing the photography and videography timeline on the wedding day.</t>
  </si>
  <si>
    <t>How can wedding planners help couples plan and prepare for engagement or pre-wedding photoshoots?</t>
  </si>
  <si>
    <t>What are some ways to incorporate unique props or accessories into wedding photos and videos?</t>
  </si>
  <si>
    <t>Share some tips for capturing stunning aerial shots and drone footage during the wedding day.</t>
  </si>
  <si>
    <t>How can photographers and videographers ensure that they capture the couple's personality and individuality?</t>
  </si>
  <si>
    <t>What are the best practices for organizing and managing a large group photoshoot during the wedding day?</t>
  </si>
  <si>
    <t>Share some ideas for creating a photo booth or interactive photography experience for wedding guests.</t>
  </si>
  <si>
    <t>How can photographers and videographers effectively capture the details and décor of the wedding?</t>
  </si>
  <si>
    <t>What are the key considerations for choosing between traditional photography and documentary-style coverage?</t>
  </si>
  <si>
    <t>Share some strategies for managing copyright and usage rights for wedding photos and videos.</t>
  </si>
  <si>
    <t>How can wedding planners assist photographers and videographers in obtaining necessary permits or permissions for specific locations?</t>
  </si>
  <si>
    <t>What are the essential equipment and backup plans photographers and videographers should have in place?</t>
  </si>
  <si>
    <t>Share some tips for posing and directing couples and wedding party members during photoshoots.</t>
  </si>
  <si>
    <t>How can photographers and videographers adapt to different lighting conditions and venues?</t>
  </si>
  <si>
    <t>What are some ways to incorporate special effects or editing techniques into wedding videos?</t>
  </si>
  <si>
    <t>Share some ideas for creating memorable and personalized wedding photo albums and video montages.</t>
  </si>
  <si>
    <t>How can photographers and videographers capture the energy and excitement of the reception and dancing?</t>
  </si>
  <si>
    <t>What are the best practices for collaborating with photographers and videographers on pre-wedding planning and timelines?</t>
  </si>
  <si>
    <t>Share some strategies for managing multiple photographers or videographers on the wedding day.</t>
  </si>
  <si>
    <t>How can wedding planners help photographers and videographers navigate cultural sensitivities and traditions?</t>
  </si>
  <si>
    <t>What are the key considerations for capturing outdoor weddings and managing natural lighting?</t>
  </si>
  <si>
    <t>Share some tips for capturing candid moments during the ceremony and speeches.</t>
  </si>
  <si>
    <t>How can photographers and videographers ensure the privacy and security of the couple's images and videos?</t>
  </si>
  <si>
    <t>What are some ways to incorporate time-lapse or slow-motion techniques into wedding videos?</t>
  </si>
  <si>
    <t>Share some ideas for creating memorable and unique engagement announcement photos and videos.</t>
  </si>
  <si>
    <t>What are the key factors to consider when choosing a wedding venue?</t>
  </si>
  <si>
    <t>Share some tips for determining the ideal venue size based on the guest count and desired atmosphere.</t>
  </si>
  <si>
    <t>How can wedding planners assist couples in finding venues that align with their preferred wedding style?</t>
  </si>
  <si>
    <t>What are the essential questions to ask when touring potential wedding venues?</t>
  </si>
  <si>
    <t>Share some strategies for selecting a wedding venue that fits within the couple's budget.</t>
  </si>
  <si>
    <t>How can wedding planners help couples assess the logistical considerations of different venue options?</t>
  </si>
  <si>
    <t>What are the best practices for evaluating venue amenities and services?</t>
  </si>
  <si>
    <t>Share some ideas for finding unique and non-traditional wedding venues that offer distinct experiences.</t>
  </si>
  <si>
    <t>How can wedding planners assist couples in securing their preferred wedding date at a popular venue?</t>
  </si>
  <si>
    <t>What are the key considerations for choosing between indoor and outdoor wedding venues?</t>
  </si>
  <si>
    <t>Share some tips for selecting a wedding venue that can accommodate specific cultural or religious traditions.</t>
  </si>
  <si>
    <t>How can wedding planners help couples assess the accessibility and convenience of potential venues for their guests?</t>
  </si>
  <si>
    <t>What are the essential factors to consider when evaluating the parking and transportation options at a wedding venue?</t>
  </si>
  <si>
    <t>Share some strategies for assessing the flexibility and customization options offered by different venues.</t>
  </si>
  <si>
    <t>How can couples determine whether a particular wedding venue reflects their desired ambiance and atmosphere?</t>
  </si>
  <si>
    <t>What are the best practices for reviewing and negotiating contracts with wedding venues?</t>
  </si>
  <si>
    <t>Share some ideas for incorporating unique decor and personal touches into different types of wedding venues.</t>
  </si>
  <si>
    <t>How can wedding planners assist couples in understanding and adhering to venue policies and restrictions?</t>
  </si>
  <si>
    <t>What are the key considerations for choosing between all-inclusive wedding venues and à la carte options?</t>
  </si>
  <si>
    <t>Share some tips for assessing the acoustics and audiovisual capabilities of potential wedding venues.</t>
  </si>
  <si>
    <t>How can couples evaluate the natural lighting and overall aesthetics of different venue spaces?</t>
  </si>
  <si>
    <t>What are the essential factors to consider when evaluating the restroom facilities at a wedding venue?</t>
  </si>
  <si>
    <t>Share some strategies for assessing the availability and suitability of nearby accommodations for out-of-town guests.</t>
  </si>
  <si>
    <t>How can wedding planners help couples assess the venue's layout and flow for different wedding activities?</t>
  </si>
  <si>
    <t>What are the key considerations for selecting a wedding venue that aligns with the couple's desired theme or concept?</t>
  </si>
  <si>
    <t>Share some ideas for finding wedding venues that offer stunning backdrops and photo opportunities.</t>
  </si>
  <si>
    <t>How can couples evaluate the security and privacy measures in place at potential wedding venues?</t>
  </si>
  <si>
    <t>What are the best practices for assessing the accessibility and inclusivity of different wedding venues?</t>
  </si>
  <si>
    <t>Share some tips for evaluating the environmental sustainability and eco-friendly practices of wedding venues.</t>
  </si>
  <si>
    <t>How can wedding planners assist couples in considering the weather and seasonal factors when choosing outdoor venues?</t>
  </si>
  <si>
    <t>What are the essential factors to consider when evaluating the backup plans and contingency options at a wedding venue?</t>
  </si>
  <si>
    <t>Share some strategies for assessing the parking capacity and availability at potential wedding venues.</t>
  </si>
  <si>
    <t>How can couples evaluate the venue's proximity to important landmarks or sentimental locations?</t>
  </si>
  <si>
    <t>What are the key considerations for selecting a wedding venue that can accommodate specific entertainment or performance requirements?</t>
  </si>
  <si>
    <t>Share some ideas for finding wedding venues that offer on-site catering or allow outside catering options.</t>
  </si>
  <si>
    <t>How can wedding planners help couples assess the overall accessibility and suitability of potential venues for guests with disabilities?</t>
  </si>
  <si>
    <t>What are the essential factors to consider when evaluating the noise restrictions and curfews at a wedding venue?</t>
  </si>
  <si>
    <t>Share some tips for assessing the venue's flexibility and accommodation for different wedding ceremony and reception layouts.</t>
  </si>
  <si>
    <t>How can couples evaluate the natural surroundings and landscaping of potential outdoor wedding venues?</t>
  </si>
  <si>
    <t>What are the best practices for evaluating the venue's cleanliness and maintenance standards?</t>
  </si>
  <si>
    <t>Share some strategies for assessing the venue's alcohol policies and options for bar services.</t>
  </si>
  <si>
    <t>How can couples evaluate the venue's proximity to transportation hubs and airports for out-of-town guests?</t>
  </si>
  <si>
    <t>What are the key considerations for selecting a wedding venue that offers convenient on-site accommodations for the couple or guests?</t>
  </si>
  <si>
    <t>Share some ideas for finding wedding venues that offer additional event spaces for pre-wedding activities or post-wedding brunches.</t>
  </si>
  <si>
    <t>How can wedding planners assist couples in considering the parking and transportation logistics for a remote or offbeat wedding venue?</t>
  </si>
  <si>
    <t>What are the essential factors to consider when evaluating the venue's sound system and audio equipment?</t>
  </si>
  <si>
    <t>Share some tips for assessing the venue's liability insurance and policies regarding accidents or damages.</t>
  </si>
  <si>
    <t>How can couples evaluate the venue's availability and suitability for different wedding date options or seasons?</t>
  </si>
  <si>
    <t>What are the key considerations for selecting a wedding venue that can accommodate specific dietary restrictions or food preferences?</t>
  </si>
  <si>
    <t>Share some strategies for assessing the venue's accessibility and suitability for different weather conditions.</t>
  </si>
  <si>
    <t>What are some popular wedding entertainment options for couples to consider?</t>
  </si>
  <si>
    <t>Share some unique and interactive entertainment ideas to surprise and delight wedding guests.</t>
  </si>
  <si>
    <t>How can wedding planners help couples select the right entertainment that matches their wedding theme and style?</t>
  </si>
  <si>
    <t>What are the essential questions to ask when interviewing potential wedding entertainment providers?</t>
  </si>
  <si>
    <t>Share some tips for creating a wedding entertainment timeline that keeps guests engaged throughout the event.</t>
  </si>
  <si>
    <t>How can wedding planners assist couples in finding entertainment that caters to different age groups and diverse tastes?</t>
  </si>
  <si>
    <t>What are the key considerations for selecting live music or a DJ for the wedding reception?</t>
  </si>
  <si>
    <t>Share some strategies for incorporating cultural or traditional entertainment elements into the wedding festivities.</t>
  </si>
  <si>
    <t>How can couples choose the appropriate entertainment for different parts of the wedding day, such as the ceremony, cocktail hour, and reception?</t>
  </si>
  <si>
    <t>What are the best practices for managing sound and audio requirements for wedding entertainment?</t>
  </si>
  <si>
    <t>Share some ideas for organizing interactive games or activities to entertain guests during the reception.</t>
  </si>
  <si>
    <t>How can wedding planners assist couples in coordinating special performances or surprise acts for the wedding?</t>
  </si>
  <si>
    <t>What are the essential factors to consider when evaluating the space and technical requirements for wedding entertainment?</t>
  </si>
  <si>
    <t>Share some tips for creating a memorable first dance or choreographed performance for the couple.</t>
  </si>
  <si>
    <t>How can couples incorporate technology and digital elements into their wedding entertainment?</t>
  </si>
  <si>
    <t>What are the key considerations for selecting entertainment that complements the wedding venue and its ambiance?</t>
  </si>
  <si>
    <t>Share some strategies for managing the logistics and timing of entertainment performances during the wedding day.</t>
  </si>
  <si>
    <t>How can wedding planners help couples in choosing entertainment that reflects their personalities and interests?</t>
  </si>
  <si>
    <t>What are some ways to enhance the guest experience through interactive photo booths or interactive installations?</t>
  </si>
  <si>
    <t>Share some ideas for surprise entertainment acts or performers that can create a wow factor for guests.</t>
  </si>
  <si>
    <t>How can couples choose entertainment that caters to different musical genres and preferences?</t>
  </si>
  <si>
    <t>What are the best practices for managing contracts and agreements with wedding entertainment providers?</t>
  </si>
  <si>
    <t>Share some tips for selecting entertainment that aligns with the couple's budget and financial considerations.</t>
  </si>
  <si>
    <t>How can wedding planners assist couples in evaluating the professionalism and reliability of potential entertainment providers?</t>
  </si>
  <si>
    <t>What are the essential factors to consider when evaluating the energy and engagement level of entertainment performers?</t>
  </si>
  <si>
    <t>Share some strategies for selecting entertainment that encourages guest participation and dancing.</t>
  </si>
  <si>
    <t>How can couples incorporate cultural dances or performances into the wedding entertainment lineup?</t>
  </si>
  <si>
    <t>What are the key considerations for selecting entertainment that is suitable for both indoor and outdoor wedding venues?</t>
  </si>
  <si>
    <t>Share some ideas for incorporating children's entertainment and activities to keep young guests engaged.</t>
  </si>
  <si>
    <t>How can wedding planners assist couples in managing special requests or customizations for their chosen entertainment?</t>
  </si>
  <si>
    <t>What are the best practices for coordinating entertainment rehearsals and sound checks before the wedding day?</t>
  </si>
  <si>
    <t>Share some tips for managing guest expectations and creating excitement around the wedding entertainment lineup.</t>
  </si>
  <si>
    <t>How can couples incorporate surprise elements or interactive experiences into their wedding entertainment?</t>
  </si>
  <si>
    <t>What are the essential factors to consider when evaluating the equipment and technical requirements for wedding entertainment?</t>
  </si>
  <si>
    <t>Share some strategies for selecting entertainment that creates a seamless transition between different parts of the wedding day.</t>
  </si>
  <si>
    <t>How can wedding planners assist couples in managing the space and logistics for entertainment setups and performances?</t>
  </si>
  <si>
    <t>What are some ways to incorporate live painting, caricature artists, or other visual entertainment into the wedding?</t>
  </si>
  <si>
    <t>Share some ideas for creating themed entertainment experiences that transport guests to different eras or settings.</t>
  </si>
  <si>
    <t>How can couples select entertainment that is inclusive and caters to guests with diverse backgrounds and interests?</t>
  </si>
  <si>
    <t>What are the key considerations for selecting entertainment that adheres to specific cultural or religious traditions?</t>
  </si>
  <si>
    <t>Share some tips for managing the volume and acoustics of wedding entertainment to ensure a pleasant experience for guests.</t>
  </si>
  <si>
    <t>How can wedding planners assist couples in integrating entertainment seamlessly with other wedding elements, such as speeches or presentations?</t>
  </si>
  <si>
    <t>What are the essential factors to consider when evaluating the reputation and reviews of potential wedding entertainment providers?</t>
  </si>
  <si>
    <t>Share some strategies for managing guest interactions and crowd control during interactive entertainment performances.</t>
  </si>
  <si>
    <t>How can couples select entertainment that aligns with their sustainability goals and eco-friendly values?</t>
  </si>
  <si>
    <t>What are some ways to incorporate surprise celebrity appearances or performances into the wedding entertainment?</t>
  </si>
  <si>
    <t>Share some ideas for unique cultural or traditional entertainment acts that can add a memorable touch to the wedding.</t>
  </si>
  <si>
    <t>How can wedding planners assist couples in managing copyright and licensing issues related to music or performances?</t>
  </si>
  <si>
    <t>What are the best practices for ensuring the safety and security of entertainment performers and guests during the event?</t>
  </si>
  <si>
    <t>Share some tips for evaluating the overall entertainment experience and gathering feedback from wedding guests.</t>
  </si>
  <si>
    <t>What are the key factors to consider when choosing a wedding dress?</t>
  </si>
  <si>
    <t>Share some tips for finding the perfect wedding dress that complements the bride's body type.</t>
  </si>
  <si>
    <t>How can wedding planners assist brides in selecting a dress that matches the wedding theme and venue?</t>
  </si>
  <si>
    <t>What are the latest trends and styles in wedding dresses?</t>
  </si>
  <si>
    <t>Share some strategies for incorporating unique accessories into the bridal look.</t>
  </si>
  <si>
    <t>How can brides choose the right hairstyle and makeup that complements their wedding dress?</t>
  </si>
  <si>
    <t>What are the essential questions to ask when consulting with a bridal stylist or fashion consultant?</t>
  </si>
  <si>
    <t>Share some ideas for incorporating cultural or traditional elements into the bride's wedding attire.</t>
  </si>
  <si>
    <t>How can wedding planners help brides select dresses that fit within their budget?</t>
  </si>
  <si>
    <t>What are the key considerations for choosing between ready-to-wear and custom-made wedding dresses?</t>
  </si>
  <si>
    <t>Share some tips for coordinating the bridesmaids' dresses with the bride's gown.</t>
  </si>
  <si>
    <t>How can brides incorporate sentimental or heirloom pieces into their wedding attire?</t>
  </si>
  <si>
    <t>What are the best practices for managing dress fittings and alterations?</t>
  </si>
  <si>
    <t>Share some strategies for selecting wedding attire that suits different seasons and weather conditions.</t>
  </si>
  <si>
    <t>How can wedding planners assist grooms in choosing the right wedding suit or tuxedo?</t>
  </si>
  <si>
    <t>What are the essential factors to consider when selecting accessories for the groom's attire?</t>
  </si>
  <si>
    <t>Share some ideas for incorporating unique boutonnieres or pocket squares into the groom's ensemble.</t>
  </si>
  <si>
    <t>How can grooms choose the right hairstyle and grooming options for their wedding day?</t>
  </si>
  <si>
    <t>What are the key considerations for coordinating the groomsmen's attire with the groom's outfit?</t>
  </si>
  <si>
    <t>Share some tips for selecting attire for the flower girl and ring bearer that aligns with the overall wedding theme.</t>
  </si>
  <si>
    <t>How can wedding planners assist couples in coordinating their attire to create a cohesive and harmonious look?</t>
  </si>
  <si>
    <t>What are some ways to incorporate personalized details or monograms into the wedding attire?</t>
  </si>
  <si>
    <t>Share some strategies for selecting footwear that is comfortable yet stylish for the wedding day.</t>
  </si>
  <si>
    <t>How can couples incorporate sustainable and eco-friendly fashion choices into their wedding attire?</t>
  </si>
  <si>
    <t>What are the key considerations for choosing attire for destination or beach weddings?</t>
  </si>
  <si>
    <t>Share some tips for managing dress code expectations and guidelines for wedding guests.</t>
  </si>
  <si>
    <t>How can wedding planners assist couples in selecting attire for different wedding events, such as the rehearsal dinner or post-wedding brunch?</t>
  </si>
  <si>
    <t>What are the essential factors to consider when evaluating the fabric and material choices for wedding attire?</t>
  </si>
  <si>
    <t>Share some ideas for incorporating unique and non-traditional colors into the wedding attire.</t>
  </si>
  <si>
    <t>How can couples select attire that reflects their individual styles while still looking cohesive as a couple?</t>
  </si>
  <si>
    <t>What are the best practices for managing the attire for large wedding parties with multiple bridesmaids and groomsmen?</t>
  </si>
  <si>
    <t>Share some strategies for incorporating cultural or traditional elements into the attire of the wedding party.</t>
  </si>
  <si>
    <t>How can couples choose attire that allows for comfortable movement and ease during the wedding festivities?</t>
  </si>
  <si>
    <t>What are the key considerations for selecting attire for same-sex weddings or gender-neutral fashion choices?</t>
  </si>
  <si>
    <t>Share some tips for managing the logistics of coordinating and organizing dress fittings for the entire wedding party.</t>
  </si>
  <si>
    <t>How can wedding planners assist couples in managing the attire rentals and returns for the wedding day?</t>
  </si>
  <si>
    <t>What are the essential factors to consider when evaluating the quality and craftsmanship of wedding attire?</t>
  </si>
  <si>
    <t>Share some ideas for incorporating unique and statement accessories into the wedding party's attire.</t>
  </si>
  <si>
    <t>How can couples select attire that flatters a range of body types and sizes within the wedding party?</t>
  </si>
  <si>
    <t>What are the key considerations for selecting attire that is appropriate for different types of wedding ceremonies (e.g., religious, non-religious)?</t>
  </si>
  <si>
    <t>Share some strategies for selecting attire that allows for flexibility and comfort during outdoor weddings.</t>
  </si>
  <si>
    <t>How can couples incorporate sentimental or meaningful details into their wedding attire choices?</t>
  </si>
  <si>
    <t>What are the best practices for managing the coordination and fitting schedules for out-of-town wedding party members?</t>
  </si>
  <si>
    <t>Share some tips for selecting attire that is cohesive with the overall wedding color palette and decor.</t>
  </si>
  <si>
    <t>How can wedding planners assist couples in coordinating the attire of family members and important guests?</t>
  </si>
  <si>
    <t>What are the essential factors to consider when evaluating the seasonality and trends of wedding attire?</t>
  </si>
  <si>
    <t>Share some ideas for incorporating non-traditional elements into the groom's attire, such as colorful socks or unique cufflinks.</t>
  </si>
  <si>
    <t>How can couples choose attire that allows for easy movement and dancing during the reception?</t>
  </si>
  <si>
    <t>What are the key considerations for selecting attire for different wedding themes, such as vintage or bohemian?</t>
  </si>
  <si>
    <t>Share some strategies for managing the logistics of dress and attire shopping for couples with busy schedules.</t>
  </si>
  <si>
    <t>How can wedding planners assist couples in finding the right attire that suits their destination or elopement wedding?</t>
  </si>
  <si>
    <t>What are the essential factors to consider when evaluating the comfort and breathability of wedding attire fabrics?</t>
  </si>
  <si>
    <t>Share some tips for coordinating the attire of the wedding party with the overall wedding decor and color scheme.</t>
  </si>
  <si>
    <t>How can couples select attire that is suitable for different cultural or religious wedding ceremonies and traditions?</t>
  </si>
  <si>
    <t>What are the key considerations for selecting attire that is appropriate for formal or black-tie weddings?</t>
  </si>
  <si>
    <t>Share some ideas for incorporating eco-friendly or sustainable fabrics into wedding attire choices.</t>
  </si>
  <si>
    <t>How can wedding planners assist couples in managing the coordination and fitting schedules for a large wedding party?</t>
  </si>
  <si>
    <t>What are the essential factors to consider when evaluating the durability and stain-resistance of wedding attire fabrics?</t>
  </si>
  <si>
    <t>Share some strategies for selecting attire that allows for easy transitions between different parts of the wedding day.</t>
  </si>
  <si>
    <t>How can couples incorporate personalized details or embroidery into their wedding attire?</t>
  </si>
  <si>
    <t>What are the key considerations for selecting attire that is suitable for different wedding venues, such as rustic barns or elegant ballrooms?</t>
  </si>
  <si>
    <t>Share some tips for coordinating the attire of the parents of the couple with the overall wedding party.</t>
  </si>
  <si>
    <t>How can wedding planners assist couples in managing the logistics of dress shopping and fittings for the entire wedding party?</t>
  </si>
  <si>
    <t>What are the essential factors to consider when evaluating the versatility and reusability of wedding attire pieces?</t>
  </si>
  <si>
    <t>Share some ideas for incorporating non-traditional headpieces or accessories into the bridal ensemble.</t>
  </si>
  <si>
    <t>How can couples select attire that complements the seasonal colors and ambiance of the wedding?</t>
  </si>
  <si>
    <t>What are the key considerations for selecting attire that is suitable for outdoor weddings with varying weather conditions?</t>
  </si>
  <si>
    <t>Share some strategies for incorporating personal or cultural symbols into the wedding attire.</t>
  </si>
  <si>
    <t>How can wedding planners assist couples in managing the coordination and communication of dress code guidelines to wedding guests?</t>
  </si>
  <si>
    <t>What are the essential factors to consider when evaluating the appropriateness and modesty of wedding attire for different cultural or religious ceremonies?</t>
  </si>
  <si>
    <t>Share some tips for coordinating the attire of the wedding party with the overall wedding theme and decor.</t>
  </si>
  <si>
    <t>How can couples select attire that allows for easy transitions between different wedding activities, such as sitting, standing, and dancing?</t>
  </si>
  <si>
    <t>What are the key considerations for selecting attire that is comfortable for long wedding ceremonies or events?</t>
  </si>
  <si>
    <t>Share some ideas for incorporating unique and personalized accessories into the groom's attire.</t>
  </si>
  <si>
    <t>How can wedding planners assist couples in managing the attire logistics for a destination wedding with limited suitcase space?</t>
  </si>
  <si>
    <t>What are the essential factors to consider when evaluating the versatility and mix-and-match options of bridesmaid dresses?</t>
  </si>
  <si>
    <t>Share some strategies for incorporating sustainable and ethical fashion choices into the wedding attire.</t>
  </si>
  <si>
    <t>How can couples select attire that complements the overall color palette and decor of the wedding venue?</t>
  </si>
  <si>
    <t>What are the key considerations for selecting attire that allows for easy adjustments or alterations if needed?</t>
  </si>
  <si>
    <t>Share some tips for managing the coordination and fitting schedules for a wedding party with members living in different cities or countries.</t>
  </si>
  <si>
    <t>What are the essential elements to include in a wedding invitation suite?</t>
  </si>
  <si>
    <t>Share some tips for creating a cohesive and visually appealing wedding stationery suite.</t>
  </si>
  <si>
    <t>How can wedding planners assist couples in selecting the right style and design for their wedding invitations?</t>
  </si>
  <si>
    <t>What are the latest trends in wedding invitation design and typography?</t>
  </si>
  <si>
    <t>Share some ideas for incorporating unique and personalized touches into the wedding invitations.</t>
  </si>
  <si>
    <t>How can couples choose the appropriate color palette and paper selection for their wedding stationery?</t>
  </si>
  <si>
    <t>What are the essential pieces of information to include in a save-the-date card?</t>
  </si>
  <si>
    <t>Share some strategies for managing guest lists and addressing envelopes for wedding invitations.</t>
  </si>
  <si>
    <t>How can wedding planners help couples in creating a consistent theme and aesthetic throughout their invitation suite?</t>
  </si>
  <si>
    <t>What are the key considerations for selecting between digital and traditional printed wedding invitations?</t>
  </si>
  <si>
    <t>Share some tips for wording wedding invitations to reflect the couple's style and formality of the event.</t>
  </si>
  <si>
    <t>How can couples incorporate cultural or religious symbols into their wedding stationery?</t>
  </si>
  <si>
    <t>What are the best practices for managing RSVPs and tracking guest responses?</t>
  </si>
  <si>
    <t>Share some ideas for incorporating eco-friendly and sustainable materials into wedding invitations and stationery.</t>
  </si>
  <si>
    <t>How can wedding planners assist couples in coordinating the design of their wedding invitations with other wedding elements, such as the decor or theme?</t>
  </si>
  <si>
    <t>What are the essential factors to consider when evaluating the quality and texture of paper for wedding stationery?</t>
  </si>
  <si>
    <t>Share some strategies for managing the printing and assembly of wedding invitations within a specific budget.</t>
  </si>
  <si>
    <t>How can couples select invitation designs that reflect their wedding venue or location?</t>
  </si>
  <si>
    <t>What are the key considerations for selecting fonts and typography styles for wedding stationery?</t>
  </si>
  <si>
    <t>Share some tips for creating a visually appealing and informative wedding website or digital invitation.</t>
  </si>
  <si>
    <t>How can wedding planners help couples in managing the distribution and delivery of wedding invitations?</t>
  </si>
  <si>
    <t>What are the essential pieces of information to include in an accommodation or travel card for out-of-town guests?</t>
  </si>
  <si>
    <t>Share some ideas for incorporating personalized wax seals, ribbons, or other embellishments into wedding invitations.</t>
  </si>
  <si>
    <t>How can couples incorporate their engagement photos or illustrations into their wedding stationery?</t>
  </si>
  <si>
    <t>What are the best practices for managing the timeline and deadlines for designing and sending out wedding invitations?</t>
  </si>
  <si>
    <t>Share some strategies for selecting invitation wording that is inclusive and accommodating to different types of guests.</t>
  </si>
  <si>
    <t>How can wedding planners assist couples in creating custom maps or directions for their wedding invitations?</t>
  </si>
  <si>
    <t>What are the key considerations for selecting envelope designs and colors that make an impactful first impression?</t>
  </si>
  <si>
    <t>Share some tips for designing and wording wedding programs or ceremony booklets.</t>
  </si>
  <si>
    <t>How can couples incorporate their wedding theme or motif into the design of their RSVP cards?</t>
  </si>
  <si>
    <t>What are the essential factors to consider when evaluating the readability and legibility of invitation fonts?</t>
  </si>
  <si>
    <t>Share some ideas for incorporating unique and interactive elements into wedding stationery, such as pop-up features or scratch-off details.</t>
  </si>
  <si>
    <t>How can wedding planners help couples in managing the printing and mailing of thank-you cards after the wedding?</t>
  </si>
  <si>
    <t>What are the key considerations for selecting invitation designs that reflect the couple's personalities and interests?</t>
  </si>
  <si>
    <t>Share some strategies for managing the guest list and seating arrangements through wedding place cards or escort cards.</t>
  </si>
  <si>
    <t>How can couples select invitation designs that convey the formality or informality of their wedding event?</t>
  </si>
  <si>
    <t>What are the best practices for managing bilingual or multilingual wedding invitations for international or multicultural weddings?</t>
  </si>
  <si>
    <t>Share some tips for creating a cohesive and consistent visual identity across different wedding stationery items, such as menus and table numbers.</t>
  </si>
  <si>
    <t>How can wedding planners assist couples in creating custom envelope liners or envelope seals for their invitations?</t>
  </si>
  <si>
    <t>What are the essential factors to consider when evaluating the readability and accessibility of invitation text for guests with visual impairments?</t>
  </si>
  <si>
    <t>Share some ideas for incorporating non-traditional or unconventional shapes and formats into wedding invitations.</t>
  </si>
  <si>
    <t>How can couples select invitation designs that reflect the season or time of year of their wedding?</t>
  </si>
  <si>
    <t>What are the key considerations for selecting invitation enclosures, such as reception cards or directions cards?</t>
  </si>
  <si>
    <t>Share some strategies for managing the organization and storage of wedding invitation samples and prototypes.</t>
  </si>
  <si>
    <t>How can wedding planners help couples in designing and ordering personalized wedding favor tags or labels?</t>
  </si>
  <si>
    <t>What are the essential elements to include in a wedding invitation timeline or schedule of events card?</t>
  </si>
  <si>
    <t>Share some tips for managing the proofreading and editing process for wedding invitation text.</t>
  </si>
  <si>
    <t>How can couples incorporate their wedding hashtag or social media information into their wedding stationery?</t>
  </si>
  <si>
    <t>What are the best practices for managing the delivery and mailing of wedding invitations to international guests?</t>
  </si>
  <si>
    <t>Share some ideas for creating unique and memorable wedding thank-you cards that express the couple's gratitude.</t>
  </si>
  <si>
    <t>What are some unique and meaningful wedding ceremony rituals that couples can incorporate into their wedding?</t>
  </si>
  <si>
    <t>Share some ideas for personalizing the traditional wedding vows to reflect the couple's values and beliefs.</t>
  </si>
  <si>
    <t>How can wedding planners assist couples in choosing the right officiant or celebrant for their wedding ceremony?</t>
  </si>
  <si>
    <t>What are the essential elements to include in a wedding ceremony program?</t>
  </si>
  <si>
    <t>Share some strategies for creating a seamless and smooth processional and recessional for the wedding ceremony.</t>
  </si>
  <si>
    <t>How can couples incorporate cultural or religious traditions into their wedding ceremony?</t>
  </si>
  <si>
    <t>What are some alternative unity ceremony ideas that go beyond the traditional unity candle or sand ceremony?</t>
  </si>
  <si>
    <t>Share some tips for creating a ceremony timeline that allows for a meaningful and impactful experience for the couple and guests.</t>
  </si>
  <si>
    <t>How can wedding planners help couples in selecting the right music and songs for their wedding ceremony?</t>
  </si>
  <si>
    <t>What are the key considerations for choosing the location and setting for the wedding ceremony?</t>
  </si>
  <si>
    <t>Share some ideas for incorporating personalized readings or poems into the wedding ceremony.</t>
  </si>
  <si>
    <t>How can couples include family members or close friends in the wedding ceremony through special roles or rituals?</t>
  </si>
  <si>
    <t>What are the best practices for managing the logistics of obtaining the necessary marriage licenses and legal documents?</t>
  </si>
  <si>
    <t>Share some strategies for creating a ceremony seating plan that ensures optimal visibility and comfort for the guests.</t>
  </si>
  <si>
    <t>How can couples incorporate their shared hobbies or interests into their wedding ceremony?</t>
  </si>
  <si>
    <t>What are the essential elements to include in a welcome or introductory speech for the wedding ceremony?</t>
  </si>
  <si>
    <t>Share some tips for designing and decorating the ceremony space to create a warm and inviting atmosphere.</t>
  </si>
  <si>
    <t>How can wedding planners assist couples in coordinating and rehearsing the ceremony processional and recessional?</t>
  </si>
  <si>
    <t>What are the key considerations for selecting readings or passages that resonate with the couple's love story and journey?</t>
  </si>
  <si>
    <t>Share some ideas for incorporating symbolic gestures or rituals into the wedding ceremony, such as handfasting or tree planting.</t>
  </si>
  <si>
    <t>How can couples create a ceremony script that reflects their unique personalities and relationship?</t>
  </si>
  <si>
    <t>What are the essential factors to consider when choosing between indoor and outdoor wedding ceremony venues?</t>
  </si>
  <si>
    <t>Share some strategies for managing the ceremony logistics, such as seating arrangements and guest guidance.</t>
  </si>
  <si>
    <t>How can couples honor and remember loved ones who are no longer with them during the wedding ceremony?</t>
  </si>
  <si>
    <t>What are the best practices for managing the timing and flow of the wedding ceremony, including transitions between different segments?</t>
  </si>
  <si>
    <t>Share some tips for creating a ceremony atmosphere that is inclusive and welcoming to guests of different cultural or religious backgrounds.</t>
  </si>
  <si>
    <t>How can wedding planners assist couples in selecting the right readings or speeches for their chosen wedding officiant?</t>
  </si>
  <si>
    <t>What are the key considerations for incorporating live music or musicians into the wedding ceremony?</t>
  </si>
  <si>
    <t>Share some ideas for incorporating personalized vows or promises into the wedding ceremony.</t>
  </si>
  <si>
    <t>How can couples involve their families or parents in special rituals or gestures during the wedding ceremony?</t>
  </si>
  <si>
    <t>What are the essential elements to include in a wedding ceremony backdrop or altar design?</t>
  </si>
  <si>
    <t>Share some strategies for managing the coordination and timing of music cues during the wedding ceremony.</t>
  </si>
  <si>
    <t>How can couples incorporate elements of nature or the outdoors into their wedding ceremony?</t>
  </si>
  <si>
    <t>What are the key considerations for selecting the right lighting and sound setup for the wedding ceremony venue?</t>
  </si>
  <si>
    <t>Share some tips for creating a ceremony atmosphere that encourages guest participation and engagement.</t>
  </si>
  <si>
    <t>How can wedding planners assist couples in incorporating their cultural or religious wedding traditions while maintaining a modern and personalized ceremony?</t>
  </si>
  <si>
    <t>What are the best practices for managing the communication and coordination with ceremony participants, such as readers or musicians?</t>
  </si>
  <si>
    <t>Share some strategies for creating a ceremony space that is accessible and comfortable for guests with mobility or sensory impairments.</t>
  </si>
  <si>
    <t>How can couples involve their wedding party or close friends in special rituals or gestures during the wedding ceremony?</t>
  </si>
  <si>
    <t>What are the essential factors to consider when evaluating the flow and order of different ceremony segments, such as the exchange of rings or pronouncement of marriage?</t>
  </si>
  <si>
    <t>Share some ideas for creating a ceremony atmosphere that is intimate and heartfelt, even for larger weddings.</t>
  </si>
  <si>
    <t>How can couples incorporate elements of their heritage or ancestry into their wedding ceremony?</t>
  </si>
  <si>
    <t>What are the key considerations for selecting the right ceremony officiant who can effectively convey the couple's love story and vision?</t>
  </si>
  <si>
    <t>Share some tips for creating a ceremony timeline that allows for moments of reflection and emotional connection between the couple and their guests.</t>
  </si>
  <si>
    <t>How can wedding planners assist couples in incorporating unique and non-traditional ceremony elements, such as a surprise performance or symbolic act?</t>
  </si>
  <si>
    <t>What are the essential elements to include in a wedding ceremony run sheet or timeline for the wedding party and vendors?</t>
  </si>
  <si>
    <t>Share some strategies for managing the coordination and timing of processional and recessional music during the wedding ceremony.</t>
  </si>
  <si>
    <t>How can couples involve their guests in interactive or participatory rituals during the wedding ceremony?</t>
  </si>
  <si>
    <t>What are the best practices for managing the seating arrangements and guest flow within the ceremony space?</t>
  </si>
  <si>
    <t>Share some ideas for creating a ceremony experience that is inclusive of different faiths, beliefs, and cultures.</t>
  </si>
  <si>
    <t>How can couples create a menu that reflects their personal tastes and preferences?</t>
  </si>
  <si>
    <t>Share some ideas for incorporating seasonal and locally sourced ingredients into the wedding menu.</t>
  </si>
  <si>
    <t>What are the essential factors to consider when selecting a catering service or wedding caterer?</t>
  </si>
  <si>
    <t>How can wedding planners assist couples in designing a menu that accommodates different dietary restrictions and preferences?</t>
  </si>
  <si>
    <t>Share some strategies for creating a cohesive and balanced menu, considering different courses and flavor profiles.</t>
  </si>
  <si>
    <t>What are the key considerations for selecting the right style of service for the wedding reception, such as buffet, plated, or family-style?</t>
  </si>
  <si>
    <t>How can couples incorporate cultural or regional dishes into their wedding menu to celebrate their heritage?</t>
  </si>
  <si>
    <t>Share some tips for creating a memorable and interactive food and beverage experience, such as food stations or specialty cocktail bars.</t>
  </si>
  <si>
    <t>How can wedding planners help couples in managing the logistics of menu tastings and finalizing the wedding menu?</t>
  </si>
  <si>
    <t>What are the essential elements to include in a wedding menu card or display for guests?</t>
  </si>
  <si>
    <t>Share some ideas for incorporating unique and creative food presentation and plating techniques.</t>
  </si>
  <si>
    <t>How can couples select the right wine and beverage pairings for their wedding menu?</t>
  </si>
  <si>
    <t>What are the best practices for managing the coordination and timing of food service during the wedding reception?</t>
  </si>
  <si>
    <t>Share some strategies for managing the catering budget without compromising on quality and guest satisfaction.</t>
  </si>
  <si>
    <t>How can couples incorporate their favorite comfort foods or childhood favorites into their wedding menu?</t>
  </si>
  <si>
    <t>What are the key considerations for creating a menu that caters to both adults and children attending the wedding?</t>
  </si>
  <si>
    <t>Share some tips for designing a dessert table or sweets display that offers a variety of treats for guests.</t>
  </si>
  <si>
    <t>How can wedding planners assist couples in planning and executing a memorable and personalized cocktail hour?</t>
  </si>
  <si>
    <t>What are the essential factors to consider when selecting a wedding cake or alternative dessert options?</t>
  </si>
  <si>
    <t>Share some ideas for incorporating interactive food stations or chef-attended stations into the wedding reception.</t>
  </si>
  <si>
    <t>How can couples incorporate unique and signature cocktails into their wedding bar menu?</t>
  </si>
  <si>
    <t>What are the key considerations for managing the coordination and logistics of bar service during the wedding reception?</t>
  </si>
  <si>
    <t>Share some strategies for creating a menu that caters to guests with specific dietary needs, such as gluten-free or vegan options.</t>
  </si>
  <si>
    <t>How can wedding planners help couples in selecting the right tableware and presentation styles for the wedding reception?</t>
  </si>
  <si>
    <t>What are the best practices for managing the quantity and portion sizes of food and beverages to avoid wastage?</t>
  </si>
  <si>
    <t>Share some tips for creating a menu that balances traditional favorites with innovative and modern dishes.</t>
  </si>
  <si>
    <t>How can couples incorporate food and beverage elements that reflect the wedding theme or color scheme?</t>
  </si>
  <si>
    <t>What are the essential elements to include in a wedding beverage menu or bar sign?</t>
  </si>
  <si>
    <t>Share some ideas for creating a menu that incorporates interactive food and beverage stations, such as a build-your-own taco bar or a DIY cocktail station.</t>
  </si>
  <si>
    <t>How can wedding planners assist couples in coordinating the timing and flow of food service with other reception events, such as speeches or dances?</t>
  </si>
  <si>
    <t>What are the key considerations for selecting the appropriate serving style for different menu items, such as plated or buffet?</t>
  </si>
  <si>
    <t>Share some strategies for managing the coordination and communication with the catering staff during the wedding reception.</t>
  </si>
  <si>
    <t>How can couples incorporate their favorite childhood desserts or nostalgic treats into the wedding menu?</t>
  </si>
  <si>
    <t>What are the essential factors to consider when planning for late-night snacks or food options for guests who may stay until the end of the reception?</t>
  </si>
  <si>
    <t>Share some tips for incorporating unique and personalized signage or labels for food and beverage stations.</t>
  </si>
  <si>
    <t>How can wedding planners help couples in managing the logistics of rentals and equipment needed for food and beverage service?</t>
  </si>
  <si>
    <t>What are the best practices for managing the coordination and presentation of specialty dietary meals, such as kosher or halal options?</t>
  </si>
  <si>
    <t>Share some strategies for creating a menu that offers a balance of vegetarian and non-vegetarian options for guests.</t>
  </si>
  <si>
    <t>How can couples incorporate interactive elements into the wedding menu, such as live cooking stations or chef demonstrations?</t>
  </si>
  <si>
    <t>What are the key considerations for selecting the right bar package or beverage options within a specific budget?</t>
  </si>
  <si>
    <t>Share some ideas for creating a menu that incorporates cultural fusion or fusion cuisine to represent the couple's diverse backgrounds.</t>
  </si>
  <si>
    <t>How can wedding planners assist couples in coordinating and executing menu changes or adjustments based on guest RSVPs and preferences?</t>
  </si>
  <si>
    <t>What are the essential elements to include in a wedding food and beverage budget, and how can wedding planners help couples stay within their allocated budget?</t>
  </si>
  <si>
    <t>Share some tips for designing and arranging the bar setup and drink stations to ensure efficient service and guest flow.</t>
  </si>
  <si>
    <t>How can couples incorporate their favorite regional or international cuisine into the wedding menu?</t>
  </si>
  <si>
    <t>What are the best practices for managing the coordination and timing of food and beverage service with the entertainment or music schedule during the reception?</t>
  </si>
  <si>
    <t>Share some strategies for incorporating unique and themed food stations, such as a sushi bar or a Mediterranean mezze station.</t>
  </si>
  <si>
    <t>How can couples create a menu that caters to guests with specific allergies or intolerances, such as nut-free or dairy-free options?</t>
  </si>
  <si>
    <t>What are the key considerations for selecting the appropriate glassware and servingware for different types of beverages?</t>
  </si>
  <si>
    <t>Share some ideas for creating a menu that offers a balance of familiar comfort foods and adventurous culinary experiences.</t>
  </si>
  <si>
    <t>How can couples create a welcoming and memorable experience for their wedding guests?</t>
  </si>
  <si>
    <t>Share some ideas for incorporating personalized welcome gifts or welcome bags for guests upon arrival.</t>
  </si>
  <si>
    <t>What are the essential factors to consider when selecting accommodations for out-of-town guests?</t>
  </si>
  <si>
    <t>How can wedding planners assist couples in managing transportation logistics for guests, such as shuttles or car services?</t>
  </si>
  <si>
    <t>Share some strategies for creating a seamless and enjoyable guest registration and check-in process.</t>
  </si>
  <si>
    <t>How can couples provide useful and informative wedding itineraries or schedules to guests?</t>
  </si>
  <si>
    <t>What are the key considerations for creating a comfortable and well-designed seating plan for the wedding reception?</t>
  </si>
  <si>
    <t>Share some tips for designing and arranging a guest lounge or relaxation area at the wedding venue.</t>
  </si>
  <si>
    <t>How can wedding planners help couples in creating a guest list management system that tracks RSVPs, dietary restrictions, and special requests?</t>
  </si>
  <si>
    <t>What are the essential elements to include in a wedding website or digital platform to enhance the guest experience?</t>
  </si>
  <si>
    <t>Share some ideas for incorporating interactive elements, such as photo booths or games, to entertain and engage guests.</t>
  </si>
  <si>
    <t>How can couples create a thoughtful and inclusive seating plan that considers guests' relationships and preferences?</t>
  </si>
  <si>
    <t>What are the best practices for managing guest transportation to and from the wedding ceremony and reception venues?</t>
  </si>
  <si>
    <t>Share some strategies for providing clear and detailed directions and maps to guide guests to the wedding locations.</t>
  </si>
  <si>
    <t>How can couples incorporate personalized touches or surprises throughout the wedding day to delight their guests?</t>
  </si>
  <si>
    <t>What are the key considerations for managing guest accommodations and room blocks at hotels or accommodations?</t>
  </si>
  <si>
    <t>Share some tips for creating a comfortable and inviting atmosphere at the wedding ceremony and reception venues.</t>
  </si>
  <si>
    <t>How can wedding planners assist couples in managing guest communications and answering frequently asked questions leading up to the wedding?</t>
  </si>
  <si>
    <t>What are the essential factors to consider when creating a designated space or activities for children attending the wedding?</t>
  </si>
  <si>
    <t>Share some ideas for creating a guest book or alternative guest messaging system that allows guests to leave well wishes and memories.</t>
  </si>
  <si>
    <t>How can couples incorporate their love story and relationship milestones into the wedding décor and guest experience?</t>
  </si>
  <si>
    <t>What are the key considerations for providing appropriate and accessible amenities for guests with disabilities or special needs?</t>
  </si>
  <si>
    <t>Share some strategies for managing and coordinating the distribution of wedding favors or thank-you gifts to guests.</t>
  </si>
  <si>
    <t>How can couples create a guest seating plan that encourages socialization and interaction among different groups of guests?</t>
  </si>
  <si>
    <t>What are the best practices for managing the timing and flow of different events and activities during the wedding day to ensure a smooth guest experience?</t>
  </si>
  <si>
    <t>Share some tips for providing clear and informative signage or wayfinding systems to guide guests within the wedding venues.</t>
  </si>
  <si>
    <t>How can wedding planners help couples in managing and tracking guest dietary restrictions, allergies, and special meal requests?</t>
  </si>
  <si>
    <t>What are the essential elements to include in a wedding welcome packet or information package for out-of-town guests?</t>
  </si>
  <si>
    <t>Share some ideas for creating a comfortable and stylish bridal suite or getting-ready area for the wedding party and close family members.</t>
  </si>
  <si>
    <t>How can couples incorporate interactive elements, such as a guest photo challenge or social media sharing, to enhance the guest experience?</t>
  </si>
  <si>
    <t>What are the key considerations for creating a guest seating plan that ensures optimal visibility and comfort for all guests?</t>
  </si>
  <si>
    <t>Share some strategies for managing the coordination and communication with guest transportation providers to ensure timely arrivals and departures.</t>
  </si>
  <si>
    <t>How can couples create a guest experience that reflects their shared interests and hobbies?</t>
  </si>
  <si>
    <t>What are the essential factors to consider when selecting and arranging welcome signage and directions for guests at the wedding venues?</t>
  </si>
  <si>
    <t>Share some tips for creating a guest-friendly wedding timeline that allows for breaks, mingling, and relaxation between different events.</t>
  </si>
  <si>
    <t>How can wedding planners assist couples in creating a comprehensive guest communication plan that covers pre-wedding information, updates, and post-wedding thank-yous?</t>
  </si>
  <si>
    <t>What are the best practices for managing guest seating assignments and escort cards to ensure a smooth and organized guest arrival process?</t>
  </si>
  <si>
    <t>Share some strategies for managing guest expectations and providing clear guidelines for dress code and wedding etiquette.</t>
  </si>
  <si>
    <t>How can couples incorporate unique and interactive elements, such as a guest wish tree or advice station, to engage guests and create lasting memories?</t>
  </si>
  <si>
    <t>What are the key considerations for managing guest parking arrangements and providing convenient parking options for attendees?</t>
  </si>
  <si>
    <t>Share some ideas for creating a memorable and personalized guest departure experience, such as a sparkler send-off or farewell treats.</t>
  </si>
  <si>
    <t>How can couples incorporate their cultural traditions or customs into the guest experience to provide a meaningful and immersive celebration?</t>
  </si>
  <si>
    <t>What are the essential elements to include in a wedding welcome speech or message to express gratitude and set the tone for the guest experience?</t>
  </si>
  <si>
    <t>Share some tips for managing the coordination and timing of guest arrival and check-in at the wedding venues.</t>
  </si>
  <si>
    <t>How can wedding planners assist couples in coordinating and organizing group activities or outings for guests during the wedding weekend?</t>
  </si>
  <si>
    <t>What are the best practices for managing guest dietary restrictions and allergies when planning the wedding menu?</t>
  </si>
  <si>
    <t>Share some strategies for creating a guest experience that caters to different age groups and ensures their enjoyment throughout the day.</t>
  </si>
  <si>
    <t>How can couples incorporate surprise elements or entertainment throughout the wedding day to keep guests engaged and excited?</t>
  </si>
  <si>
    <t>What are the key considerations for providing comfortable and accessible restroom facilities for guests at the wedding venues?</t>
  </si>
  <si>
    <t>Share some ideas for creating a guest experience that reflects the couple's shared values and philanthropic efforts, such as charitable donations in lieu of traditional favors.</t>
  </si>
  <si>
    <t>How can couples leverage wedding planning websites and apps to streamline their wedding planning process?</t>
  </si>
  <si>
    <t>Share some ideas for incorporating digital RSVP systems to efficiently track and manage guest responses.</t>
  </si>
  <si>
    <t>What are the essential factors to consider when selecting a wedding website platform or builder?</t>
  </si>
  <si>
    <t>How can wedding planners assist couples in creating a personalized wedding website that showcases their love story and provides important wedding details?</t>
  </si>
  <si>
    <t>Share some strategies for using social media platforms to communicate and share updates with wedding guests.</t>
  </si>
  <si>
    <t>How can couples utilize online wedding registries to make the gift selection process easier for guests?</t>
  </si>
  <si>
    <t>What are the key considerations for using online collaboration and project management tools to stay organized during the wedding planning process?</t>
  </si>
  <si>
    <t>Share some tips for creating and managing digital guest lists and seating charts to streamline the seating arrangement process.</t>
  </si>
  <si>
    <t>How can couples incorporate virtual wedding elements, such as live streaming or online guest participation, to include distant loved ones in the celebration?</t>
  </si>
  <si>
    <t>What are the essential elements to include in a wedding planning timeline or checklist using digital tools?</t>
  </si>
  <si>
    <t>Share some ideas for creating personalized wedding hashtags to encourage guests to share their experiences on social media.</t>
  </si>
  <si>
    <t>How can wedding planners help couples in selecting and using wedding planning software or online tools to track budget and expenses?</t>
  </si>
  <si>
    <t>What are the best practices for using email marketing platforms to send wedding updates and reminders to guests?</t>
  </si>
  <si>
    <t>Share some strategies for using digital invitations and e-cards to reduce paper waste and simplify the invitation process.</t>
  </si>
  <si>
    <t>How can couples utilize online wedding forums and communities to seek advice, inspiration, and vendor recommendations?</t>
  </si>
  <si>
    <t>What are the key considerations for using online collaboration tools to communicate and coordinate with the wedding planning team, including vendors and the wedding party?</t>
  </si>
  <si>
    <t>Share some tips for creating and sharing digital wedding albums and photo galleries to preserve and share wedding memories.</t>
  </si>
  <si>
    <t>How can couples incorporate interactive elements, such as virtual photo booths or digital guestbooks, to engage guests during the wedding celebration?</t>
  </si>
  <si>
    <t>What are the essential factors to consider when selecting and using wedding planning apps to manage tasks, appointments, and deadlines?</t>
  </si>
  <si>
    <t>Share some ideas for creating personalized wedding playlists using streaming platforms or music apps.</t>
  </si>
  <si>
    <t>How can wedding planners assist couples in using event management platforms to track and manage RSVPs, guest lists, and seating arrangements?</t>
  </si>
  <si>
    <t>What are the best practices for using online wedding vendor directories and review platforms to research and select reliable vendors?</t>
  </si>
  <si>
    <t>Share some strategies for using virtual wedding planning tools, such as 3D venue walkthroughs or virtual reality planning experiences, to visualize and plan the wedding details.</t>
  </si>
  <si>
    <t>How can couples incorporate interactive elements, such as online polls or surveys, to involve guests in decision-making processes, such as menu choices or song requests?</t>
  </si>
  <si>
    <t>What are the key considerations for using online wedding planning spreadsheets and templates to organize and track budget, vendor contacts, and deadlines?</t>
  </si>
  <si>
    <t>Share some tips for using online wedding inspiration boards and digital scrapbooking tools to collect and organize wedding ideas and inspirations.</t>
  </si>
  <si>
    <t>How can couples incorporate virtual wedding planning consultations and meetings with vendors to save time and accommodate busy schedules?</t>
  </si>
  <si>
    <t>What are the essential elements to include in a wedding planning app or dashboard to provide couples with a centralized platform for managing all wedding-related tasks and information?</t>
  </si>
  <si>
    <t>Share some ideas for using augmented reality (AR) or virtual reality (VR) experiences to enhance the wedding planning process, such as virtual venue tours or virtual wedding dress fittings.</t>
  </si>
  <si>
    <t>How can wedding planners assist couples in using online collaboration and document sharing tools to streamline communication and document management with vendors?</t>
  </si>
  <si>
    <t>What are the best practices for using online wedding planning communities and forums to gather feedback and advice from fellow brides and grooms?</t>
  </si>
  <si>
    <t>Share some strategies for using video conferencing platforms to conduct virtual meetings and consultations with wedding vendors and the wedding planning team.</t>
  </si>
  <si>
    <t>How can couples incorporate digital guestbooks or online well-wishes platforms to collect and preserve heartfelt messages from wedding guests?</t>
  </si>
  <si>
    <t>What are the key considerations for using online event ticketing platforms to manage guest registrations and ticket sales for wedding-related events, such as pre-wedding parties or post-wedding brunches?</t>
  </si>
  <si>
    <t>Share some tips for using online travel planning tools and platforms to coordinate and book accommodations for out-of-town guests.</t>
  </si>
  <si>
    <t>How can couples utilize social media platforms and targeted advertising to share wedding-related updates and information with guests?</t>
  </si>
  <si>
    <t>What are the essential factors to consider when selecting and using online wedding stationery and design tools to create personalized save-the-dates, invitations, and programs?</t>
  </si>
  <si>
    <t>Share some ideas for incorporating virtual reality (VR) or 360-degree video technology to provide immersive wedding experiences for guests unable to attend in person.</t>
  </si>
  <si>
    <t>How can wedding planners assist couples in using online event registration and ticketing systems to manage guest RSVPs and attendance for different wedding-related events?</t>
  </si>
  <si>
    <t>What are the best practices for using online collaboration tools to coordinate and communicate with destination wedding vendors and venues?</t>
  </si>
  <si>
    <t>Share some strategies for using video sharing platforms to create and share pre-wedding videos, such as save-the-date videos or love story montages.</t>
  </si>
  <si>
    <t>How can couples incorporate online wedding planning resources and courses to enhance their knowledge and skills in wedding planning and design?</t>
  </si>
  <si>
    <t>What are the key considerations for using online budget tracking and financial management tools to stay on track with wedding expenses?</t>
  </si>
  <si>
    <t>Share some tips for using wedding planning software or mobile apps to create and manage digital seating charts for the wedding reception.</t>
  </si>
  <si>
    <t>How can couples utilize livestreaming platforms to broadcast their wedding ceremony and reception to guests who are unable to attend in person?</t>
  </si>
  <si>
    <t>What are the essential elements to include in a wedding planning website or app to provide guests with easy access to important wedding details, such as venue locations and accommodation information?</t>
  </si>
  <si>
    <t>Share some ideas for using virtual event platforms to host interactive and engaging virtual wedding events, such as online bridal showers or virtual dance parties.</t>
  </si>
  <si>
    <t>How can wedding planners assist couples in using online collaboration tools and project management software to effectively communicate and collaborate with the wedding planning team?</t>
  </si>
  <si>
    <t>What are the best practices for using online guest management systems to send automated reminders and updates to guests leading up to the wedding day?</t>
  </si>
  <si>
    <t>How can I boost my self-confidence in the context of dating?</t>
  </si>
  <si>
    <t>What are some practical tips for overcoming dating-related insecurities?</t>
  </si>
  <si>
    <t>How can I develop a positive mindset and maintain confidence throughout the dating process?</t>
  </si>
  <si>
    <t>What are some effective strategies for building self-esteem and self-worth?</t>
  </si>
  <si>
    <t>How can I overcome the fear of rejection and approach dating with confidence?</t>
  </si>
  <si>
    <t>What are some techniques for practicing self-care and self-love while navigating the dating world?</t>
  </si>
  <si>
    <t>How can I identify and work on my personal areas of growth to improve my confidence?</t>
  </si>
  <si>
    <t>What role does self-acceptance play in building confidence, and how can I cultivate it?</t>
  </si>
  <si>
    <t>How can I leverage my strengths and unique qualities to enhance my confidence in dating?</t>
  </si>
  <si>
    <t>What are some ways to develop a positive body image and feel confident in my own skin?</t>
  </si>
  <si>
    <t>How can I overcome self-doubt and trust myself more in the dating process?</t>
  </si>
  <si>
    <t>What are some effective strategies for setting boundaries and prioritizing my own needs and desires?</t>
  </si>
  <si>
    <t>How can I build resilience and bounce back from dating setbacks with confidence?</t>
  </si>
  <si>
    <t>What are some practical exercises or activities that can help me build my self-confidence?</t>
  </si>
  <si>
    <t>How can I develop a strong sense of self and know my own worth in the dating world?</t>
  </si>
  <si>
    <t>What are some techniques for practicing self-compassion and being kinder to myself?</t>
  </si>
  <si>
    <t>How can I use positive affirmations and visualization to boost my confidence in dating?</t>
  </si>
  <si>
    <t>What are some ways to build confidence in initiating and maintaining conversations with potential matches?</t>
  </si>
  <si>
    <t>How can I overcome social anxiety and feel more at ease in dating situations?</t>
  </si>
  <si>
    <t>What are some effective communication skills I can develop to feel more confident in expressing myself?</t>
  </si>
  <si>
    <t>How can I build confidence in setting and achieving personal goals in my dating life?</t>
  </si>
  <si>
    <t>What are some strategies for handling rejection gracefully and preserving my self-esteem?</t>
  </si>
  <si>
    <t>How can I cultivate a growth mindset and see dating challenges as opportunities for personal development?</t>
  </si>
  <si>
    <t>What are some ways to build confidence in navigating online dating platforms and apps?</t>
  </si>
  <si>
    <t>How can I build confidence in making the first move and initiating contact with someone I'm interested in?</t>
  </si>
  <si>
    <t>What are some techniques for building confidence in flirting and creating a connection with potential matches?</t>
  </si>
  <si>
    <t>How can I develop assertiveness and speak up for my needs and boundaries with confidence?</t>
  </si>
  <si>
    <t>What are some ways to build confidence in planning and organizing memorable dates?</t>
  </si>
  <si>
    <t>How can I build confidence in my ability to handle dating conflicts and effectively communicate my feelings?</t>
  </si>
  <si>
    <t>What are some techniques for building confidence in embracing vulnerability and being open to intimacy in relationships?</t>
  </si>
  <si>
    <t>How can I develop self-assurance in navigating cultural and interracial dating scenarios?</t>
  </si>
  <si>
    <t>What are some strategies for building confidence in maintaining a healthy balance between online and offline interactions?</t>
  </si>
  <si>
    <t>How can I overcome dating fatigue and stay motivated with a positive attitude?</t>
  </si>
  <si>
    <t>What are some ways to build confidence in embracing my authenticity and being true to myself in dating?</t>
  </si>
  <si>
    <t>How can I develop self-awareness and self-reflection skills to enhance my confidence in dating?</t>
  </si>
  <si>
    <t>What are some techniques for building confidence in dealing with different dating intentions and expectations?</t>
  </si>
  <si>
    <t>How can I build confidence in embracing and celebrating my own uniqueness in the dating world?</t>
  </si>
  <si>
    <t>What are some strategies for building confidence in handling long-distance relationships through dating apps?</t>
  </si>
  <si>
    <t>How can I develop a sense of trust and ensure my safety while engaging in online dating?</t>
  </si>
  <si>
    <t>What are some ways to build confidence in bouncing back from past dating experiences and learning from them?</t>
  </si>
  <si>
    <t>How can I cultivate a positive mindset and optimism when faced with dating challenges?</t>
  </si>
  <si>
    <t>What are some techniques for building confidence in reflecting on my dating experiences and using them to grow?</t>
  </si>
  <si>
    <t>Dating Advice</t>
  </si>
  <si>
    <t>How can I develop self-assurance and confidence in pursuing niche or specialized dating interests?</t>
  </si>
  <si>
    <t>What are some strategies for building confidence in exploring and embracing new cultural experiences through dating?</t>
  </si>
  <si>
    <t>How can I overcome comparison and build confidence in my own journey without getting discouraged by others' successes?</t>
  </si>
  <si>
    <t>What are some ways to build confidence in navigating the complexities of online dating etiquette?</t>
  </si>
  <si>
    <t>How can I develop self-confidence in expressing my desires and needs without fear of judgment?</t>
  </si>
  <si>
    <t>What are some techniques for building confidence in embracing my sexuality and discussing it comfortably with potential partners?</t>
  </si>
  <si>
    <t>How can I build confidence in embracing and expressing my emotions authentically in dating situations?</t>
  </si>
  <si>
    <t>What are some strategies for building confidence in embracing the unknown and taking risks in the dating world?</t>
  </si>
  <si>
    <t>What are some tips for choosing the best profile picture that attracts attention?</t>
  </si>
  <si>
    <t>How can I showcase my personality through my bio in a creative and captivating way?</t>
  </si>
  <si>
    <t>What are some strategies for highlighting my interests and hobbies in my profile?</t>
  </si>
  <si>
    <t>How can I create a compelling opening line that grabs the viewer's attention?</t>
  </si>
  <si>
    <t>What are some ways to incorporate humor into my profile to make it more engaging?</t>
  </si>
  <si>
    <t>How can I strike a balance between being authentic and presenting my best self in my profile?</t>
  </si>
  <si>
    <t>What are some tips for selecting the right username that reflects my personality?</t>
  </si>
  <si>
    <t>How can I showcase my values and what I'm looking for in a partner without sounding too demanding?</t>
  </si>
  <si>
    <t>What are some effective techniques for writing a captivating and unique About Me section?</t>
  </si>
  <si>
    <t>How can I use storytelling to make my profile more interesting and memorable?</t>
  </si>
  <si>
    <t>What are some creative ways to include my favorite quotes or lines from movies/books in my profile?</t>
  </si>
  <si>
    <t>How can I use descriptive language to paint a vivid picture of who I am and what I enjoy?</t>
  </si>
  <si>
    <t>What are some strategies for avoiding clichés and creating a profile that stands out from the crowd?</t>
  </si>
  <si>
    <t>How can I incorporate elements of my culture or heritage into my profile to showcase my identity?</t>
  </si>
  <si>
    <t>What are some tips for writing an engaging and meaningful profile headline?</t>
  </si>
  <si>
    <t>How can I use emojis effectively to add personality and visual appeal to my profile?</t>
  </si>
  <si>
    <t>What are some ways to showcase my sense of adventure and love for travel in my profile?</t>
  </si>
  <si>
    <t>How can I use specific examples and anecdotes to demonstrate my passions and interests?</t>
  </si>
  <si>
    <t>What are some techniques for making my profile visually appealing with the use of photos and formatting?</t>
  </si>
  <si>
    <t>How can I engage the viewer's curiosity by leaving a little mystery in my profile?</t>
  </si>
  <si>
    <t>What are some tips for expressing my sense of style and fashion in my profile pictures?</t>
  </si>
  <si>
    <t>How can I create an inclusive and welcoming profile that respects and celebrates diversity?</t>
  </si>
  <si>
    <t>What are some strategies for incorporating my career and professional achievements into my profile?</t>
  </si>
  <si>
    <t>How can I use humor and wit to make my profile memorable and leave a lasting impression?</t>
  </si>
  <si>
    <t>What are some ways to show my love for food and culinary adventures in my profile?</t>
  </si>
  <si>
    <t>How can I use prompts or questions in my profile to spark interesting conversations with potential matches?</t>
  </si>
  <si>
    <t>What are some tips for creating a profile that appeals to a specific niche or interest group?</t>
  </si>
  <si>
    <t>How can I showcase my artistic talents or creative hobbies through my profile?</t>
  </si>
  <si>
    <t>What are some techniques for expressing my values and beliefs without sounding preachy or judgmental?</t>
  </si>
  <si>
    <t>How can I use positive language and optimistic statements to create an uplifting profile?</t>
  </si>
  <si>
    <t>What are some ways to demonstrate my active lifestyle and love for fitness in my profile?</t>
  </si>
  <si>
    <t>How can I show my love for animals or pets in my profile in a way that resonates with others?</t>
  </si>
  <si>
    <t>What are some tips for creating a profile that attracts like-minded individuals with similar interests?</t>
  </si>
  <si>
    <t>How can I use storytelling or anecdotes to convey my personality and values in my profile?</t>
  </si>
  <si>
    <t>What are some strategies for incorporating elements of my favorite hobbies or activities into my profile?</t>
  </si>
  <si>
    <t>How can I show my appreciation for the arts (music, literature, theater, etc.) in my profile?</t>
  </si>
  <si>
    <t>What are some ways to showcase my sense of humor through clever captions or witty remarks in my profile?</t>
  </si>
  <si>
    <t>How can I use descriptive language to create a vivid picture of the type of relationship I'm seeking?</t>
  </si>
  <si>
    <t>What are some tips for creating a profile that reflects my genuine intentions and sincerity?</t>
  </si>
  <si>
    <t>How can I incorporate elements of my favorite TV shows or movies into my profile to spark common interests?</t>
  </si>
  <si>
    <t>What are some techniques for showcasing my love for nature and outdoor activities in my profile?</t>
  </si>
  <si>
    <t>How can I use storytelling to share memorable experiences and adventures in my profile?</t>
  </si>
  <si>
    <t>What are some ways to showcase my love for music and favorite artists in my profile?</t>
  </si>
  <si>
    <t>How can I create a profile that invites curiosity and encourages potential matches to ask questions?</t>
  </si>
  <si>
    <t>What are some tips for choosing the right filters and editing techniques for my profile pictures?</t>
  </si>
  <si>
    <t>How can I use humor and playfulness in my profile to create a lighthearted and fun impression?</t>
  </si>
  <si>
    <t>What are some strategies for creating a profile that is inclusive and welcoming to people from different backgrounds?</t>
  </si>
  <si>
    <t>How can I show my commitment to personal growth and self-improvement in my profile?</t>
  </si>
  <si>
    <t>What are some techniques for creating a profile that sparks a sense of adventure and exploration?</t>
  </si>
  <si>
    <t>How can I use the power of storytelling to create an emotional connection with potential matches through my profile?</t>
  </si>
  <si>
    <t>What are some effective opening lines to start a conversation on a dating app?</t>
  </si>
  <si>
    <t>How can I personalize my first message to stand out from generic greetings?</t>
  </si>
  <si>
    <t>What are some icebreaker questions that can spark interesting conversations?</t>
  </si>
  <si>
    <t>How can I show genuine interest in the other person's profile and initiate a conversation based on that?</t>
  </si>
  <si>
    <t>What are some ways to complement a person's interests or hobbies to start a conversation?</t>
  </si>
  <si>
    <t>How can I use humor to break the ice and make the conversation light-hearted?</t>
  </si>
  <si>
    <t>What are some strategies for asking thought-provoking questions to engage the other person in a deeper conversation?</t>
  </si>
  <si>
    <t>How can I start a conversation by sharing a personal anecdote or story related to the topic of interest?</t>
  </si>
  <si>
    <t>What are some techniques for using emojis or GIFs to add fun and expressiveness to the conversation?</t>
  </si>
  <si>
    <t>How can I initiate a conversation based on a shared interest or mutual connection?</t>
  </si>
  <si>
    <t>What are some tips for starting a conversation with someone who has a minimal profile?</t>
  </si>
  <si>
    <t>How can I create an open-ended question that encourages the other person to share more about themselves?</t>
  </si>
  <si>
    <t>What are some ways to comment on a recent photo or activity shared by the other person to start a conversation?</t>
  </si>
  <si>
    <t>How can I initiate a conversation by asking for recommendations or opinions on a specific topic?</t>
  </si>
  <si>
    <t>What are some strategies for starting a conversation by offering a unique perspective or insight on a shared interest?</t>
  </si>
  <si>
    <t>How can I show curiosity and ask follow-up questions to keep the conversation flowing?</t>
  </si>
  <si>
    <t>What are some techniques for starting a conversation by sharing a funny or interesting fact related to the topic?</t>
  </si>
  <si>
    <t>How can I use a playful challenge or game to engage the other person in a conversation?</t>
  </si>
  <si>
    <t>What are some tips for starting a conversation with a compliment that feels genuine and respectful?</t>
  </si>
  <si>
    <t>How can I initiate a conversation by referencing a shared experience or event mentioned in the other person's profile?</t>
  </si>
  <si>
    <t>What are some ways to start a conversation by sharing a relatable dating experience or story?</t>
  </si>
  <si>
    <t>How can I use a creative and attention-grabbing subject line to start a conversation in a dating app message?</t>
  </si>
  <si>
    <t>What are some strategies for starting a conversation by asking about the other person's aspirations or goals?</t>
  </si>
  <si>
    <t>How can I show active listening and empathy in the conversation by responding thoughtfully to the other person's messages?</t>
  </si>
  <si>
    <t>What are some techniques for starting a conversation by asking for advice or suggestions on a specific topic?</t>
  </si>
  <si>
    <t>How can I initiate a conversation by sharing a genuine compliment about the other person's profile or qualities?</t>
  </si>
  <si>
    <t>What are some ways to start a conversation by discussing a recent news article or trending topic?</t>
  </si>
  <si>
    <t>How can I use a playful and unexpected question to grab the other person's attention and start a conversation?</t>
  </si>
  <si>
    <t>What are some tips for starting a conversation by sharing a funny or interesting observation about the dating app experience?</t>
  </si>
  <si>
    <t>How can I initiate a conversation by asking the other person about their favorite books, movies, or TV shows?</t>
  </si>
  <si>
    <t>What are some strategies for starting a conversation by asking about the other person's favorite travel destinations or dream vacations?</t>
  </si>
  <si>
    <t>How can I show genuine curiosity by asking open-ended questions that encourage the other person to share their passions or interests?</t>
  </si>
  <si>
    <t>What are some techniques for starting a conversation by expressing curiosity about the other person's cultural background or heritage?</t>
  </si>
  <si>
    <t>How can I initiate a conversation by sharing a unique or unexpected fact about myself that can spark curiosity?</t>
  </si>
  <si>
    <t>What are some ways to start a conversation by asking about the other person's favorite hobbies or activities?</t>
  </si>
  <si>
    <t>How can I use a genuine and sincere compliment about the other person's profile picture to start a conversation?</t>
  </si>
  <si>
    <t>What are some tips for starting a conversation by sharing a funny or interesting dating app success or failure story?</t>
  </si>
  <si>
    <t>How can I initiate a conversation by asking the other person about their favorite restaurants or culinary preferences?</t>
  </si>
  <si>
    <t>What are some strategies for starting a conversation by asking about the other person's favorite music or concerts they've attended?</t>
  </si>
  <si>
    <t>How can I show genuine interest in the other person's career or profession and start a conversation based on that?</t>
  </si>
  <si>
    <t>What are some techniques for starting a conversation by sharing an intriguing quote or thought-provoking statement?</t>
  </si>
  <si>
    <t>How can I initiate a conversation by asking the other person about their favorite outdoor activities or sports?</t>
  </si>
  <si>
    <t>What are some ways to start a conversation by sharing a fun fact or trivia related to the other person's interests?</t>
  </si>
  <si>
    <t>How can I use a lighthearted and playful teasing comment to start a conversation in a friendly way?</t>
  </si>
  <si>
    <t>What are some tips for starting a conversation by asking the other person about their favorite fashion styles or brands?</t>
  </si>
  <si>
    <t>How can I initiate a conversation by sharing a unique or unconventional date idea?</t>
  </si>
  <si>
    <t>What are some strategies for starting a conversation by asking the other person about their favorite quotes or inspirations?</t>
  </si>
  <si>
    <t>How can I show genuine curiosity by asking the other person about their favorite art forms or artistic preferences?</t>
  </si>
  <si>
    <t>What are some techniques for starting a conversation by asking the other person about their favorite fitness activities or wellness routines?</t>
  </si>
  <si>
    <t>How can I initiate a conversation by sharing a funny or interesting observation about the local area or city where the other person is from?</t>
  </si>
  <si>
    <t>What are some effective ways to start a conversation with someone on an online dating platform?</t>
  </si>
  <si>
    <t>How can I keep a conversation interesting and engaging with a potential match?</t>
  </si>
  <si>
    <t>What are some strategies for finding common interests and topics to discuss with a potential match?</t>
  </si>
  <si>
    <t>How can I show genuine curiosity and interest in a potential match's life and experiences?</t>
  </si>
  <si>
    <t>What are some tips for asking open-ended questions that encourage meaningful conversation?</t>
  </si>
  <si>
    <t>How can I avoid common conversation pitfalls, such as using generic or boring opening lines?</t>
  </si>
  <si>
    <t>What are some techniques for using humor and wit to spark a connection in online conversations?</t>
  </si>
  <si>
    <t>How can I balance sharing information about myself while also showing interest in the other person?</t>
  </si>
  <si>
    <t>What are some strategies for actively listening and showing empathy during online conversations?</t>
  </si>
  <si>
    <t>How can I navigate conversations around sensitive topics or personal experiences with tact and respect?</t>
  </si>
  <si>
    <t>What are some tips for maintaining a positive and upbeat tone in online conversations?</t>
  </si>
  <si>
    <t>How can I transition from small talk to deeper, more meaningful conversations with a potential match?</t>
  </si>
  <si>
    <t>What are some techniques for using emojis and GIFs to add personality and emotion to online conversations?</t>
  </si>
  <si>
    <t>How can I express genuine compliments and appreciation in online conversations without coming across as insincere?</t>
  </si>
  <si>
    <t>What are some strategies for finding a balance between sharing personal information and maintaining privacy in online conversations?</t>
  </si>
  <si>
    <t>How can I keep a conversation light and fun without it feeling superficial or lacking depth?</t>
  </si>
  <si>
    <t>What are some tips for using active listening techniques to make the other person feel heard and understood?</t>
  </si>
  <si>
    <t>How can I show vulnerability and authenticity in online conversations without oversharing or making the other person uncomfortable?</t>
  </si>
  <si>
    <t>What are some techniques for keeping the conversation flowing when there are lulls or moments of silence?</t>
  </si>
  <si>
    <t>How can I use storytelling techniques to engage a potential match and create a memorable conversation?</t>
  </si>
  <si>
    <t>What are some strategies for recognizing and responding to cues of disinterest or lack of engagement in online conversations?</t>
  </si>
  <si>
    <t>How can I use curiosity-driven questions to deepen the connection and uncover shared values and goals?</t>
  </si>
  <si>
    <t>What are some tips for maintaining a respectful and inclusive conversation that avoids sensitive or controversial topics?</t>
  </si>
  <si>
    <t>How can I show genuine appreciation for a potential match's perspective or opinion during an online conversation?</t>
  </si>
  <si>
    <t>What are some techniques for using active language and positive reinforcement in online conversations?</t>
  </si>
  <si>
    <t>How can I inject playful banter and teasing into online conversations to create a lighthearted and flirtatious atmosphere?</t>
  </si>
  <si>
    <t>What are some strategies for finding a balance between being responsive and not appearing too eager or desperate in online conversations?</t>
  </si>
  <si>
    <t>How can I leave a lasting impression and stand out from other conversations a potential match may be having?</t>
  </si>
  <si>
    <t>What are some tips for adjusting the conversation pace to match the other person's communication style?</t>
  </si>
  <si>
    <t>How can I navigate conversations that veer into sensitive or difficult topics with grace and empathy?</t>
  </si>
  <si>
    <t>What are some techniques for using active listening to pick up on subtle cues and nuances in online conversations?</t>
  </si>
  <si>
    <t>How can I show appreciation for a potential match's hobbies or interests and find ways to connect over shared passions?</t>
  </si>
  <si>
    <t>What are some strategies for finding the right balance between playful teasing and respectful communication in online conversations?</t>
  </si>
  <si>
    <t>How can I use storytelling and anecdotes to create engaging and memorable online conversations?</t>
  </si>
  <si>
    <t>What are some tips for responding to messages promptly without appearing too available or desperate?</t>
  </si>
  <si>
    <t>How can I navigate conversations about personal boundaries and expectations in a respectful and open manner?</t>
  </si>
  <si>
    <t>What are some techniques for infusing humor and wit into online conversations without coming across as trying too hard?</t>
  </si>
  <si>
    <t>How can I use active listening to pick up on the other person's values and interests and tailor the conversation accordingly?</t>
  </si>
  <si>
    <t>What are some strategies for steering the conversation towards making plans to meet in person without rushing or pressuring the other person?</t>
  </si>
  <si>
    <t>How can I show genuine enthusiasm and interest in the other person's life experiences during online conversations?</t>
  </si>
  <si>
    <t>What are some tips for responding to compliments graciously and using them as a springboard for further conversation?</t>
  </si>
  <si>
    <t>How can I navigate conversations around sensitive topics or differing opinions with empathy and respect?</t>
  </si>
  <si>
    <t>What are some techniques for creating a sense of anticipation and excitement in online conversations?</t>
  </si>
  <si>
    <t>How can I use mirroring and reflection techniques to build rapport and connection with a potential match?</t>
  </si>
  <si>
    <t>What are some strategies for injecting playfulness and flirtation into online conversations without crossing boundaries or making the other person uncomfortable?</t>
  </si>
  <si>
    <t>How can I express curiosity and ask deeper questions that go beyond surface-level conversation in online interactions?</t>
  </si>
  <si>
    <t>What are some tips for using positive affirmations and encouragement to foster a supportive and uplifting conversation environment?</t>
  </si>
  <si>
    <t>How can I use active listening to pick up on the other person's emotions and respond with empathy and understanding?</t>
  </si>
  <si>
    <t>What are some techniques for incorporating shared experiences or references into online conversations to create a sense of familiarity and connection?</t>
  </si>
  <si>
    <t>How can I express gratitude and appreciation for a potential match's time and attention in online conversations?</t>
  </si>
  <si>
    <t>What are some essential tips for choosing the best profile photo that captures attention and showcases my personality?</t>
  </si>
  <si>
    <t>How can I use lighting to my advantage to create flattering and eye-catching profile photos?</t>
  </si>
  <si>
    <t>What are some composition techniques that can help make my profile photos visually appealing and engaging?</t>
  </si>
  <si>
    <t>How can I strike a balance between looking natural and showcasing my best features in my profile photos?</t>
  </si>
  <si>
    <t>What are some effective ways to convey my interests and hobbies through my profile photos?</t>
  </si>
  <si>
    <t>How can I make sure that my profile photos accurately represent my current appearance?</t>
  </si>
  <si>
    <t>What are some tips for selecting a profile photo that stands out from the crowd and leaves a lasting impression?</t>
  </si>
  <si>
    <t>How can I use body language and facial expressions to convey confidence and approachability in my profile photos?</t>
  </si>
  <si>
    <t>What are some strategies for choosing the right background or setting for my profile photos?</t>
  </si>
  <si>
    <t>How can I showcase my personal style and individuality through my profile photos?</t>
  </si>
  <si>
    <t>What are some dos and don'ts for using filters and editing tools on my profile photos?</t>
  </si>
  <si>
    <t>How can I use colors and contrasts effectively to make my profile photos visually appealing?</t>
  </si>
  <si>
    <t>What are some tips for choosing profile photos that reflect the type of relationship I'm looking for?</t>
  </si>
  <si>
    <t>How can I include photos with friends or pets in my profile without detracting from the focus on myself?</t>
  </si>
  <si>
    <t>What are some techniques for capturing candid and authentic moments in my profile photos?</t>
  </si>
  <si>
    <t>How can I ensure that my profile photos are consistent in terms of quality and style?</t>
  </si>
  <si>
    <t>What are some strategies for choosing the right attire and grooming for my profile photos?</t>
  </si>
  <si>
    <t>How can I use props or accessories to add personality and intrigue to my profile photos?</t>
  </si>
  <si>
    <t>What are some tips for selecting profile photos that evoke positive emotions and attract potential matches?</t>
  </si>
  <si>
    <t>How can I incorporate a sense of adventure or passion into my profile photos to spark interest?</t>
  </si>
  <si>
    <t>What are some dos and don'ts for including group photos in my profile?</t>
  </si>
  <si>
    <t>How can I make sure that my profile photos are well-aligned with my overall dating profile and personal branding?</t>
  </si>
  <si>
    <t>What are some techniques for capturing flattering angles and poses in my profile photos?</t>
  </si>
  <si>
    <t>How can I use storytelling through my profile photos to give potential matches a glimpse into my life?</t>
  </si>
  <si>
    <t>What are some tips for selecting profile photos that reflect my values and personality traits?</t>
  </si>
  <si>
    <t>How can I create a diverse and well-rounded collection of profile photos that showcase different aspects of my life?</t>
  </si>
  <si>
    <t>What are some strategies for capturing profile photos that convey a sense of confidence and self-assurance?</t>
  </si>
  <si>
    <t>How can I use different perspectives and compositions to add depth and visual interest to my profile photos?</t>
  </si>
  <si>
    <t>What are some dos and don'ts for choosing profile photos that attract the right kind of attention?</t>
  </si>
  <si>
    <t>How can I choose profile photos that appeal to my target demographic and resonate with potential matches?</t>
  </si>
  <si>
    <t>What are some techniques for taking great profile photos with a smartphone or self-timer?</t>
  </si>
  <si>
    <t>How can I use captions or descriptions to add context and personality to my profile photos?</t>
  </si>
  <si>
    <t>What are some tips for selecting profile photos that create a sense of intrigue and leave potential matches wanting to know more?</t>
  </si>
  <si>
    <t>How can I ensure that my profile photos are an accurate representation of my lifestyle and interests?</t>
  </si>
  <si>
    <t>What are some strategies for avoiding common profile photo mistakes that may turn off potential matches?</t>
  </si>
  <si>
    <t>How can I use different poses and expressions to showcase my versatility and range in my profile photos?</t>
  </si>
  <si>
    <t>What are some dos and don'ts for including travel photos in my profile?</t>
  </si>
  <si>
    <t>How can I use visual storytelling to create a narrative through my profile photos?</t>
  </si>
  <si>
    <t>What are some techniques for capturing profile photos that convey warmth and approachability?</t>
  </si>
  <si>
    <t>How can I choose profile photos that align with the vibe and atmosphere I want to create in my dating profile?</t>
  </si>
  <si>
    <t>What are some tips for selecting profile photos that create a sense of trust and authenticity?</t>
  </si>
  <si>
    <t>How can I use close-up shots and details to add intrigue and capture attention in my profile photos?</t>
  </si>
  <si>
    <t>What are some strategies for choosing profile photos that reflect my sense of humor and playfulness?</t>
  </si>
  <si>
    <t>How can I incorporate my passions and hobbies into my profile photos in a visually appealing way?</t>
  </si>
  <si>
    <t>What are some dos and don'ts for including mirror selfies in my profile?</t>
  </si>
  <si>
    <t>How can I use props or objects related to my interests to enhance my profile photos?</t>
  </si>
  <si>
    <t>What are some tips for selecting profile photos that convey a sense of adventure and spontaneity?</t>
  </si>
  <si>
    <t>How can I use different environments and locations to create variety and interest in my profile photos?</t>
  </si>
  <si>
    <t>What are some techniques for capturing profile photos that evoke positive emotions and attract potential matches?</t>
  </si>
  <si>
    <t>How can I ensure that my profile photos reflect my personal brand and convey the message I want to send to potential matches?</t>
  </si>
  <si>
    <t>What are some effective opening lines that can grab someone's attention and spark their interest?</t>
  </si>
  <si>
    <t>How can I personalize my openers to show that I've read the person's dating profile and genuinely want to start a conversation?</t>
  </si>
  <si>
    <t>What are some creative ways to break the ice and make a memorable first impression with my online dating openers?</t>
  </si>
  <si>
    <t>How can I use humor in my openers to create a light and playful atmosphere from the start?</t>
  </si>
  <si>
    <t>What are some strategies for using open-ended questions as conversation starters to encourage meaningful dialogue?</t>
  </si>
  <si>
    <t>How can I show confidence and authenticity in my online dating openers to make a positive impression?</t>
  </si>
  <si>
    <t>What are some techniques for tailoring my openers to match the person's interests or hobbies?</t>
  </si>
  <si>
    <t>How can I use compliments in my openers without sounding generic or insincere?</t>
  </si>
  <si>
    <t>What are some tips for using curiosity and intrigue in my openers to pique the person's interest and make them want to respond?</t>
  </si>
  <si>
    <t>How can I reference shared experiences or connections in my openers to create an immediate sense of rapport?</t>
  </si>
  <si>
    <t>What are some dos and don'ts for using pickup lines in online dating openers?</t>
  </si>
  <si>
    <t>How can I use emojis or GIFs in my openers to add a touch of fun and expressiveness?</t>
  </si>
  <si>
    <t>What are some strategies for using openers that initiate a playful banter or teasing dynamic?</t>
  </si>
  <si>
    <t>How can I show genuine interest in the person's profile and ask engaging questions in my openers?</t>
  </si>
  <si>
    <t>What are some techniques for using observational openers that comment on something unique or intriguing in the person's photos or profile?</t>
  </si>
  <si>
    <t>How can I use a bold and confident tone in my openers without coming across as arrogant?</t>
  </si>
  <si>
    <t>What are some tips for using openers that are short, simple, and to the point?</t>
  </si>
  <si>
    <t>How can I incorporate a bit of mystery or intrigue in my openers to leave the person curious and wanting to know more?</t>
  </si>
  <si>
    <t>What are some strategies for using openers that demonstrate empathy and understanding towards the person's experiences or feelings?</t>
  </si>
  <si>
    <t>How can I use openers that showcase my own unique personality and stand out from the generic messages?</t>
  </si>
  <si>
    <t>What are some dos and don'ts for using openers that reference physical appearance or attractiveness?</t>
  </si>
  <si>
    <t>How can I use openers that share a personal anecdote or story to create a connection and foster conversation?</t>
  </si>
  <si>
    <t>What are some tips for using openers that are lighthearted and playful, without crossing any boundaries?</t>
  </si>
  <si>
    <t>How can I use openers that highlight a common interest or passion to establish common ground and initiate conversation?</t>
  </si>
  <si>
    <t>What are some techniques for using openers that invoke curiosity or challenge the person's assumptions?</t>
  </si>
  <si>
    <t>How can I tailor my openers to match the person's communication style or tone?</t>
  </si>
  <si>
    <t>What are some strategies for using openers that demonstrate respect and genuine intentions?</t>
  </si>
  <si>
    <t>How can I use openers that spark an emotional response or evoke a positive feeling in the person?</t>
  </si>
  <si>
    <t>What are some tips for using openers that showcase my sense of humor and wit?</t>
  </si>
  <si>
    <t>How can I use openers that initiate a conversation about a current event or popular topic to engage the person?</t>
  </si>
  <si>
    <t>What are some techniques for using openers that invite the person to share their opinion or perspective on a relevant subject?</t>
  </si>
  <si>
    <t>How can I show empathy and understanding in my openers by acknowledging the challenges or experiences mentioned in the person's profile?</t>
  </si>
  <si>
    <t>What are some strategies for using openers that initiate a conversation about travel or adventure, fostering a sense of excitement and shared experiences?</t>
  </si>
  <si>
    <t>How can I use openers that showcase my unique hobbies or interests to stand out and create intrigue?</t>
  </si>
  <si>
    <t>What are some dos and don'ts for using openers that reference the person's physical appearance in a respectful and non-objectifying way?</t>
  </si>
  <si>
    <t>How can I use openers that initiate a conversation about food or culinary experiences to connect with the person's interests?</t>
  </si>
  <si>
    <t>What are some tips for using openers that convey vulnerability and authenticity, inviting the person to do the same?</t>
  </si>
  <si>
    <t>How can I use openers that incorporate a genuine and specific compliment to make the person feel special?</t>
  </si>
  <si>
    <t>What are some techniques for using openers that playfully challenge the person to guess or answer a fun question or riddle?</t>
  </si>
  <si>
    <t>How can I tailor my openers to match the person's preferred communication style, whether they prefer casual banter or deep conversations?</t>
  </si>
  <si>
    <t>What are some strategies for using openers that showcase my knowledge or expertise in a particular field or subject?</t>
  </si>
  <si>
    <t>How can I use openers that initiate a conversation about music or entertainment, tapping into shared interests and preferences?</t>
  </si>
  <si>
    <t>What are some tips for using openers that demonstrate active listening, referencing something the person mentioned in a previous conversation or their profile?</t>
  </si>
  <si>
    <t>How can I use openers that invite the person to share a funny or embarrassing story, creating a light and humorous tone?</t>
  </si>
  <si>
    <t>What are some techniques for using openers that initiate a conversation about books or literature, engaging the person's intellect and curiosity?</t>
  </si>
  <si>
    <t>How can I use openers that showcase my appreciation for art, culture, or creativity, inviting the person to share their own interests in these areas?</t>
  </si>
  <si>
    <t>What are some dos and don'ts for using openers that reference the person's personal achievements or accomplishments?</t>
  </si>
  <si>
    <t>How can I use openers that initiate a conversation about fitness or wellness, showing that I value a healthy lifestyle?</t>
  </si>
  <si>
    <t>What are some strategies for using openers that create a sense of nostalgia or fondness, tapping into shared experiences or memories?</t>
  </si>
  <si>
    <t>How can I use openers that invoke positivity and optimism, setting a welcoming and uplifting tone for the conversation?</t>
  </si>
  <si>
    <t>How can I create a profile description that captures my unique personality and interests?</t>
  </si>
  <si>
    <t>What are some effective ways to showcase my sense of humor in my profile description?</t>
  </si>
  <si>
    <t>How can I use storytelling techniques to make my profile description engaging and memorable?</t>
  </si>
  <si>
    <t>What are some tips for using descriptive language and vivid imagery to paint a picture of who I am in my profile description?</t>
  </si>
  <si>
    <t>How can I showcase my passions and hobbies in my profile description in a way that sparks curiosity and interest?</t>
  </si>
  <si>
    <t>What are some strategies for incorporating my values and beliefs into my profile description?</t>
  </si>
  <si>
    <t>How can I highlight my accomplishments and achievements without sounding boastful in my profile description?</t>
  </si>
  <si>
    <t>What are some techniques for crafting a concise and impactful profile description that captures attention?</t>
  </si>
  <si>
    <t>How can I use my profile description to express what I'm looking for in a potential match without coming across as too specific or demanding?</t>
  </si>
  <si>
    <t>What are some dos and don'ts for using emojis and symbols in my profile description?</t>
  </si>
  <si>
    <t>How can I create a profile description that stands out from the crowd and leaves a lasting impression?</t>
  </si>
  <si>
    <t>What are some tips for conveying authenticity and vulnerability in my profile description?</t>
  </si>
  <si>
    <t>How can I use humor and wit to add personality to my profile description?</t>
  </si>
  <si>
    <t>What are some strategies for using quotes or song lyrics to express my interests and values in my profile description?</t>
  </si>
  <si>
    <t>How can I show my adventurous side and love for new experiences in my profile description?</t>
  </si>
  <si>
    <t>What are some techniques for using metaphors or analogies to describe myself in my profile description?</t>
  </si>
  <si>
    <t>How can I incorporate elements of mystery and intrigue into my profile description to spark curiosity?</t>
  </si>
  <si>
    <t>What are some tips for using positive language and optimistic tones in my profile description?</t>
  </si>
  <si>
    <t>How can I authentically express my vulnerability and openness to new connections in my profile description?</t>
  </si>
  <si>
    <t>What are some strategies for using storytelling to share meaningful anecdotes or experiences in my profile description?</t>
  </si>
  <si>
    <t>How can I use my profile description to showcase my unique talents or skills?</t>
  </si>
  <si>
    <t>What are some techniques for incorporating humor into my profile description without undermining the sincerity of my intentions?</t>
  </si>
  <si>
    <t>How can I create a profile description that reflects my personal growth and self-improvement journey?</t>
  </si>
  <si>
    <t>What are some tips for using specific examples or details in my profile description to make it more relatable?</t>
  </si>
  <si>
    <t>How can I use my profile description to convey my values and what I prioritize in relationships?</t>
  </si>
  <si>
    <t>What are some strategies for crafting a profile description that sparks curiosity and prompts potential matches to ask questions?</t>
  </si>
  <si>
    <t>How can I showcase my love for learning and intellectual pursuits in my profile description?</t>
  </si>
  <si>
    <t>What are some techniques for using metaphors or analogies to describe my ideal partner in my profile description?</t>
  </si>
  <si>
    <t>How can I use my profile description to express my commitment to personal growth and self-care?</t>
  </si>
  <si>
    <t>What are some tips for using descriptive language to create a sense of ambiance or atmosphere in my profile description?</t>
  </si>
  <si>
    <t>How can I convey my sense of adventure and love for travel in my profile description?</t>
  </si>
  <si>
    <t>What are some strategies for using contrasts or juxtapositions to make my profile description more intriguing?</t>
  </si>
  <si>
    <t>How can I use my profile description to express my appreciation for art, music, or culture?</t>
  </si>
  <si>
    <t>What are some techniques for incorporating gratitude and positivity into my profile description?</t>
  </si>
  <si>
    <t>How can I create a profile description that balances sincerity and playfulness?</t>
  </si>
  <si>
    <t>What are some tips for using anecdotes or stories to showcase my sense of empathy and understanding in my profile description?</t>
  </si>
  <si>
    <t>How can I showcase my active lifestyle and love for fitness in my profile description?</t>
  </si>
  <si>
    <t>What are some strategies for using lists or bullet points to highlight key aspects of my personality in my profile description?</t>
  </si>
  <si>
    <t>How can I convey my love for animals or pets in my profile description?</t>
  </si>
  <si>
    <t>What are some techniques for using rhetorical questions to engage potential matches in my profile description?</t>
  </si>
  <si>
    <t>How can I use my profile description to convey my values around social justice or activism?</t>
  </si>
  <si>
    <t>What are some tips for using humor to break the ice and create a lighthearted tone in my profile description?</t>
  </si>
  <si>
    <t>How can I showcase my creativity and artistic pursuits in my profile description?</t>
  </si>
  <si>
    <t>What are some strategies for using metaphors or analogies to describe my ideal relationship in my profile description?</t>
  </si>
  <si>
    <t>How can I create a profile description that conveys my love for food and culinary experiences?</t>
  </si>
  <si>
    <t>What are some techniques for using sensory language to evoke emotions and create a vivid impression in my profile description?</t>
  </si>
  <si>
    <t>How can I use my profile description to express my desire for meaningful connections and deep conversations?</t>
  </si>
  <si>
    <t>What are some tips for using self-deprecating humor in my profile description without undermining my self-confidence?</t>
  </si>
  <si>
    <t>How can I convey my love for the outdoors and nature in my profile description?</t>
  </si>
  <si>
    <t>What are some strategies for using a conversational and friendly tone in my profile description?</t>
  </si>
  <si>
    <t>What are some strategies for choosing the right dating app or platform that aligns with my dating goals?</t>
  </si>
  <si>
    <t>How can I effectively filter and prioritize potential matches based on my preferences and compatibility?</t>
  </si>
  <si>
    <t>What are some dos and don'ts for creating an attractive and attention-grabbing online dating profile?</t>
  </si>
  <si>
    <t>How can I navigate the process of matching and messaging with potential matches in a genuine and engaging way?</t>
  </si>
  <si>
    <t>What are some tips for identifying and avoiding online dating scams or fake profiles?</t>
  </si>
  <si>
    <t>How can I manage my expectations and stay positive during the online dating journey?</t>
  </si>
  <si>
    <t>What are some strategies for dealing with rejection or ghosting in online dating?</t>
  </si>
  <si>
    <t>How can I maintain a healthy balance between online dating and other aspects of my life?</t>
  </si>
  <si>
    <t>What are some dos and don'ts for initiating and planning offline dates with online matches?</t>
  </si>
  <si>
    <t>How can I effectively communicate my dating intentions and expectations to potential matches?</t>
  </si>
  <si>
    <t>What are some tips for managing and organizing multiple conversations and connections in online dating?</t>
  </si>
  <si>
    <t>How can I navigate the process of exchanging contact information and moving conversations off the dating app?</t>
  </si>
  <si>
    <t>What are some strategies for managing time and energy while engaging in online dating?</t>
  </si>
  <si>
    <t>How can I handle and respond to unsolicited or inappropriate messages in online dating?</t>
  </si>
  <si>
    <t>What are some dos and don'ts for using online dating as a platform for casual dating or hookups?</t>
  </si>
  <si>
    <t>How can I navigate the process of transitioning from online communication to an in-person meeting?</t>
  </si>
  <si>
    <t>What are some tips for maintaining safety and privacy while using online dating platforms?</t>
  </si>
  <si>
    <t>How can I effectively read between the lines and interpret the true intentions of potential matches' profiles or messages?</t>
  </si>
  <si>
    <t>What are some strategies for setting boundaries and communicating them to potential matches?</t>
  </si>
  <si>
    <t>How can I navigate the process of evaluating and vetting potential matches for compatibility?</t>
  </si>
  <si>
    <t>What are some dos and don'ts for engaging in online dating conversations that lead to meaningful connections?</t>
  </si>
  <si>
    <t>How can I navigate the challenges of long-distance online dating and maintain a strong connection?</t>
  </si>
  <si>
    <t>What are some tips for recognizing and avoiding common online dating pitfalls or red flags?</t>
  </si>
  <si>
    <t>How can I effectively manage my online dating presence and activity without feeling overwhelmed?</t>
  </si>
  <si>
    <t>What are some strategies for handling cultural or language differences in online dating?</t>
  </si>
  <si>
    <t>How can I navigate the process of introducing online matches to my friends or family?</t>
  </si>
  <si>
    <t>What are some dos and don'ts for using online dating as a platform for finding a long-term relationship?</t>
  </si>
  <si>
    <t>How can I maintain authenticity and stay true to myself while engaging in online dating?</t>
  </si>
  <si>
    <t>What are some tips for managing nerves and anxiety when meeting an online match for the first time?</t>
  </si>
  <si>
    <t>How can I navigate the process of defining the relationship and discussing exclusivity with an online match?</t>
  </si>
  <si>
    <t>What are some strategies for balancing multiple online dating platforms or apps effectively?</t>
  </si>
  <si>
    <t>How can I effectively communicate my deal-breakers and non-negotiables in online dating?</t>
  </si>
  <si>
    <t>What are some dos and don'ts for handling conflicts or disagreements that arise in online dating?</t>
  </si>
  <si>
    <t>How can I navigate the process of online dating as a single parent?</t>
  </si>
  <si>
    <t>What are some tips for managing and overcoming online dating burnout or fatigue?</t>
  </si>
  <si>
    <t>How can I navigate the process of disclosing personal information or past experiences in online dating?</t>
  </si>
  <si>
    <t>What are some strategies for evaluating and improving my online dating profile to attract more compatible matches?</t>
  </si>
  <si>
    <t>How can I effectively respond to and engage with different types of online dating messages?</t>
  </si>
  <si>
    <t>What are some dos and don'ts for maintaining boundaries and avoiding codependency in online dating?</t>
  </si>
  <si>
    <t>How can I navigate the process of re-entering the online dating scene after a hiatus?</t>
  </si>
  <si>
    <t>What are some tips for recognizing and responding to online dating catfishing or misrepresentation?</t>
  </si>
  <si>
    <t>How can I effectively assess and prioritize the values and relationship goals of potential matches?</t>
  </si>
  <si>
    <t>What are some strategies for managing expectations and navigating the early stages of online dating?</t>
  </si>
  <si>
    <t>How can I navigate the process of discussing and addressing potential deal-breakers with an online match?</t>
  </si>
  <si>
    <t>What are some dos and don'ts for engaging in online dating conversations that lead to deeper connections?</t>
  </si>
  <si>
    <t>How can I effectively handle and navigate online dating rejections with resilience and grace?</t>
  </si>
  <si>
    <t>What are some tips for managing and responding to online dating messages from different age groups or demographics?</t>
  </si>
  <si>
    <t>How can I navigate the process of identifying and addressing online dating compatibility issues?</t>
  </si>
  <si>
    <t>What are some strategies for building trust and establishing a solid foundation in online dating relationships?</t>
  </si>
  <si>
    <t>How can I effectively navigate the online dating landscape while maintaining a positive and confident mindset?</t>
  </si>
  <si>
    <t>What are some do's and don'ts of initiating contact on a dating app?</t>
  </si>
  <si>
    <t>How can I navigate the timing of responses in online conversations without seeming too eager or disinterested?</t>
  </si>
  <si>
    <t>What are some strategies for politely declining a date request or ending a conversation?</t>
  </si>
  <si>
    <t>How can I manage expectations and communicate my intentions clearly in online dating?</t>
  </si>
  <si>
    <t>What are some tips for navigating the transition from online messaging to arranging a first date?</t>
  </si>
  <si>
    <t>How can I handle ghosting or being ghosted in online dating with grace and understanding?</t>
  </si>
  <si>
    <t>What are some techniques for managing multiple conversations and potential matches without feeling overwhelmed?</t>
  </si>
  <si>
    <t>How can I navigate the balance between being persistent and respecting someone's boundaries?</t>
  </si>
  <si>
    <t>What are some strategies for setting and communicating personal boundaries in online dating?</t>
  </si>
  <si>
    <t>How can I handle rejection in online dating without letting it affect my self-esteem?</t>
  </si>
  <si>
    <t>What are some tips for maintaining a positive and respectful tone in online conversations?</t>
  </si>
  <si>
    <t>How can I navigate the issue of privacy and personal information sharing in online dating?</t>
  </si>
  <si>
    <t>What are some techniques for handling inappropriate or disrespectful messages in online dating?</t>
  </si>
  <si>
    <t>How can I manage the pressure of meeting someone in person after establishing a connection online?</t>
  </si>
  <si>
    <t>What are some strategies for handling disagreements or conflicts that may arise in online conversations?</t>
  </si>
  <si>
    <t>How can I navigate the issue of online dating etiquette when it comes to profile pictures and photo sharing?</t>
  </si>
  <si>
    <t>What are some tips for being mindful of cultural differences and sensitivities in online dating?</t>
  </si>
  <si>
    <t>How can I handle the issue of honesty and authenticity in online dating profiles and conversations?</t>
  </si>
  <si>
    <t>What are some techniques for gracefully ending a conversation or politely declining a second date?</t>
  </si>
  <si>
    <t>How can I navigate the issue of exclusivity and defining the relationship in online dating?</t>
  </si>
  <si>
    <t>What are some strategies for managing expectations and staying grounded in the early stages of online dating?</t>
  </si>
  <si>
    <t>How can I handle the issue of breadcrumbing or being strung along in online dating?</t>
  </si>
  <si>
    <t>What are some tips for being respectful and considerate when canceling or rescheduling a date?</t>
  </si>
  <si>
    <t>How can I navigate the issue of online dating etiquette when it comes to initiating physical intimacy?</t>
  </si>
  <si>
    <t>What are some techniques for handling the issue of online dating scams and protecting my personal information?</t>
  </si>
  <si>
    <t>How can I manage the issue of online dating fatigue and burnout?</t>
  </si>
  <si>
    <t>What are some strategies for handling the issue of catfishing or encountering dishonest profiles in online dating?</t>
  </si>
  <si>
    <t>How can I navigate the balance between being persistent and respecting someone's desire for space or time?</t>
  </si>
  <si>
    <t>What are some tips for practicing online dating etiquette when it comes to conversation flow and response times?</t>
  </si>
  <si>
    <t>How can I handle the issue of breadcrumbing or being led on without clear intentions in online dating?</t>
  </si>
  <si>
    <t>What are some techniques for politely and respectfully declining unsolicited or inappropriate advances in online dating?</t>
  </si>
  <si>
    <t>How can I navigate the issue of online dating etiquette when it comes to disclosing personal information or past experiences?</t>
  </si>
  <si>
    <t>What are some strategies for managing the issue of online dating etiquette when it comes to dealing with ex-partners on the same platform?</t>
  </si>
  <si>
    <t>How can I handle the issue of miscommunication or misunderstanding in online dating conversations?</t>
  </si>
  <si>
    <t>What are some tips for practicing online dating etiquette when it comes to scheduling and confirming dates?</t>
  </si>
  <si>
    <t>How can I navigate the issue of online dating etiquette when it comes to discussing future plans or long-term compatibility?</t>
  </si>
  <si>
    <t>What are some techniques for handling the issue of ghosting or sudden communication cutoff in online dating?</t>
  </si>
  <si>
    <t>How can I manage the issue of online dating etiquette when it comes to expressing interest or attraction without crossing boundaries?</t>
  </si>
  <si>
    <t>What are some strategies for handling the issue of online dating etiquette when it comes to dating multiple people simultaneously?</t>
  </si>
  <si>
    <t>How can I handle the issue of online dating etiquette when it comes to responding to compliments or flattery?</t>
  </si>
  <si>
    <t>What are some tips for practicing online dating etiquette when it comes to navigating the balance between being available and not appearing too needy?</t>
  </si>
  <si>
    <t>How can I navigate the issue of online dating etiquette when it comes to discussing past relationships or baggage?</t>
  </si>
  <si>
    <t>What are some techniques for managing the issue of online dating etiquette when it comes to verifying the authenticity of someone's identity?</t>
  </si>
  <si>
    <t>How can I handle the issue of online dating etiquette when it comes to managing conflicts or disagreements in online conversations?</t>
  </si>
  <si>
    <t>What are some strategies for practicing online dating etiquette when it comes to respecting someone's time and availability?</t>
  </si>
  <si>
    <t>How can I navigate the issue of online dating etiquette when it comes to discussing sensitive topics or controversial issues?</t>
  </si>
  <si>
    <t>What are some tips for handling the issue of online dating etiquette when it comes to addressing age differences or age-related concerns?</t>
  </si>
  <si>
    <t>How can I manage the issue of online dating etiquette when it comes to managing expectations around physical appearance or attraction?</t>
  </si>
  <si>
    <t>What are some techniques for practicing online dating etiquette when it comes to managing the balance between being persistent and not being pushy?</t>
  </si>
  <si>
    <t>How can I navigate the issue of online dating etiquette when it comes to initiating a conversation with someone who has different cultural or religious beliefs?</t>
  </si>
  <si>
    <t>How can I improve my active listening skills to better understand and connect with my date?</t>
  </si>
  <si>
    <t>What are some strategies for expressing myself clearly and effectively in conversations?</t>
  </si>
  <si>
    <t>How can I develop empathy and show understanding towards my date's perspectives and experiences?</t>
  </si>
  <si>
    <t>What are some techniques for asking open-ended questions that encourage deeper conversations?</t>
  </si>
  <si>
    <t>How can I improve my non-verbal communication skills to convey interest and engagement?</t>
  </si>
  <si>
    <t>What are some tips for practicing mindfulness and being fully present during conversations?</t>
  </si>
  <si>
    <t>How can I enhance my storytelling skills to make my experiences more engaging and relatable?</t>
  </si>
  <si>
    <t>What are some strategies for managing conflicts and disagreements in a respectful and constructive manner?</t>
  </si>
  <si>
    <t>How can I develop assertiveness and express my needs and boundaries in a dating context?</t>
  </si>
  <si>
    <t>What are some techniques for recognizing and managing communication barriers in conversations?</t>
  </si>
  <si>
    <t>How can I improve my conversation flow and prevent awkward silences?</t>
  </si>
  <si>
    <t>What are some tips for using positive language and avoiding negative or judgmental statements?</t>
  </si>
  <si>
    <t>How can I develop my emotional intelligence to better understand and respond to my date's emotions?</t>
  </si>
  <si>
    <t>What are some strategies for building rapport and creating a comfortable atmosphere in conversations?</t>
  </si>
  <si>
    <t>How can I improve my ability to give and receive feedback in a constructive and non-defensive way?</t>
  </si>
  <si>
    <t>What are some techniques for using humor appropriately to lighten the mood and create a positive connection?</t>
  </si>
  <si>
    <t>How can I develop my active vocabulary and language skills to express myself more effectively?</t>
  </si>
  <si>
    <t>What are some tips for practicing patience and allowing space for the other person to express themselves?</t>
  </si>
  <si>
    <t>How can I enhance my ability to read body language and non-verbal cues in conversations?</t>
  </si>
  <si>
    <t>What are some strategies for adapting my communication style to different personality types and communication preferences?</t>
  </si>
  <si>
    <t>How can I improve my online communication skills, including text-based messaging and video calls?</t>
  </si>
  <si>
    <t>What are some techniques for expressing gratitude and appreciation in conversations?</t>
  </si>
  <si>
    <t>How can I develop my listening skills to remember important details and show genuine interest?</t>
  </si>
  <si>
    <t>What are some tips for practicing active engagement in conversations, such as nodding and using affirming statements?</t>
  </si>
  <si>
    <t>How can I enhance my ability to give compliments and make the other person feel valued?</t>
  </si>
  <si>
    <t>What are some strategies for using effective body language, such as maintaining eye contact and open posture?</t>
  </si>
  <si>
    <t>How can I improve my ability to pick up on social cues and adjust my communication accordingly?</t>
  </si>
  <si>
    <t>What are some techniques for managing nervousness or anxiety in conversations and presenting myself confidently?</t>
  </si>
  <si>
    <t>How can I develop my skill of summarizing and paraphrasing to ensure understanding and avoid miscommunication?</t>
  </si>
  <si>
    <t>What are some tips for practicing patience and active listening when the conversation becomes intense or emotional?</t>
  </si>
  <si>
    <t>How can I enhance my ability to provide emotional support and be a good listener for my date?</t>
  </si>
  <si>
    <t>What are some strategies for using reflective listening to validate the other person's feelings and experiences?</t>
  </si>
  <si>
    <t>How can I improve my ability to express vulnerability and share personal experiences in a meaningful way?</t>
  </si>
  <si>
    <t>What are some techniques for using positive reinforcement and affirmation in conversations?</t>
  </si>
  <si>
    <t>How can I develop my skill of giving constructive feedback in a tactful and respectful manner?</t>
  </si>
  <si>
    <t>What are some tips for using effective timing and pacing in conversations, such as allowing pauses and not interrupting?</t>
  </si>
  <si>
    <t>How can I enhance my ability to ask follow-up questions that show genuine curiosity and encourage deeper discussions?</t>
  </si>
  <si>
    <t>What are some strategies for using active voice and assertive language in conversations?</t>
  </si>
  <si>
    <t>How can I improve my skill of paraphrasing to ensure understanding and clarify any potential misunderstandings?</t>
  </si>
  <si>
    <t>What are some techniques for using empathy and validation to support the other person's emotions and experiences?</t>
  </si>
  <si>
    <t>How can I develop my skill of finding common ground and connecting over shared interests or values?</t>
  </si>
  <si>
    <t>What are some tips for practicing self-awareness and monitoring my own communication patterns and tendencies?</t>
  </si>
  <si>
    <t>How can I enhance my ability to provide constructive criticism without coming across as judgmental or harsh?</t>
  </si>
  <si>
    <t>What are some strategies for managing distractions and staying fully engaged in conversations?</t>
  </si>
  <si>
    <t>How can I improve my active listening skills to pick up on subtle cues and understand the underlying meaning?</t>
  </si>
  <si>
    <t>What are some techniques for using positive reinforcement and encouragement in conversations?</t>
  </si>
  <si>
    <t>How can I develop my skill of giving space and allowing the other person to express themselves fully?</t>
  </si>
  <si>
    <t>What are some tips for practicing authenticity and being true to myself in conversations?</t>
  </si>
  <si>
    <t>How can I enhance my ability to navigate sensitive or difficult topics in a respectful and empathetic manner?</t>
  </si>
  <si>
    <t>What are some strategies for using effective communication techniques in online dating, such as using emojis and conveying tone through text?</t>
  </si>
  <si>
    <t>What are some playful and flirty opening lines that can grab someone's attention on a dating app?</t>
  </si>
  <si>
    <t>How can I use humor to create a light and engaging atmosphere while flirting?</t>
  </si>
  <si>
    <t>What are some techniques for using emojis and GIFs to enhance flirtatious conversations?</t>
  </si>
  <si>
    <t>How can I build a strong connection with someone by showing genuine interest in their passions and hobbies?</t>
  </si>
  <si>
    <t>What are some tips for using compliments effectively to make the other person feel special and appreciated?</t>
  </si>
  <si>
    <t>How can I create a sense of intrigue and mystery to keep the conversation exciting and build anticipation?</t>
  </si>
  <si>
    <t>What are some strategies for using teasing and playful banter to create a flirty and fun dynamic?</t>
  </si>
  <si>
    <t>How can I use storytelling to share personal experiences and create a deeper connection?</t>
  </si>
  <si>
    <t>What are some techniques for using flirtatious body language, such as eye contact and smiling, in online conversations?</t>
  </si>
  <si>
    <t>How can I create a sense of intimacy and vulnerability in conversations to deepen the connection?</t>
  </si>
  <si>
    <t>What are some tips for using flirting as a way to build confidence and create a positive self-image?</t>
  </si>
  <si>
    <t>How can I use curiosity and genuine questions to explore the other person's thoughts and emotions?</t>
  </si>
  <si>
    <t>What are some strategies for using flirty wordplay and double entendre to keep the conversation light and playful?</t>
  </si>
  <si>
    <t>How can I express my attraction and interest in a respectful and non-pressuring way?</t>
  </si>
  <si>
    <t>What are some techniques for using active listening and validation to make the other person feel heard and understood?</t>
  </si>
  <si>
    <t>How can I create a sense of chemistry and sexual tension through flirting in online conversations?</t>
  </si>
  <si>
    <t>What are some tips for using compliments that go beyond physical appearance and focus on personality traits or qualities?</t>
  </si>
  <si>
    <t>How can I use genuine curiosity and follow-up questions to show deeper interest in the other person?</t>
  </si>
  <si>
    <t>What are some strategies for using flirty challenges or dares to create a sense of playfulness and excitement?</t>
  </si>
  <si>
    <t>How can I express my sense of humor and wit in online conversations to spark laughter and connection?</t>
  </si>
  <si>
    <t>What are some techniques for using shared experiences or inside jokes to build a connection and create a bond?</t>
  </si>
  <si>
    <t>How can I use flirty and creative conversation starters to stand out from the crowd and leave a memorable impression?</t>
  </si>
  <si>
    <t>What are some tips for using active listening to pick up on the other person's cues and tailor the conversation accordingly?</t>
  </si>
  <si>
    <t>How can I create a sense of comfort and trust in conversations to encourage the other person to open up?</t>
  </si>
  <si>
    <t>What are some strategies for using flirty challenges or playful competitions to keep the conversation engaging?</t>
  </si>
  <si>
    <t>How can I express my admiration for the other person's qualities or achievements in a sincere and meaningful way?</t>
  </si>
  <si>
    <t>What are some techniques for using light physical touch in online conversations, such as virtual high-fives or playful nudges?</t>
  </si>
  <si>
    <t>How can I use role-play or hypothetical scenarios to create a sense of adventure and excitement?</t>
  </si>
  <si>
    <t>What are some tips for using compliments as a way to build the other person's self-esteem and confidence?</t>
  </si>
  <si>
    <t>How can I create a sense of anticipation and build up to a potential meeting or date through flirting?</t>
  </si>
  <si>
    <t>What are some strategies for using flirty challenges or questions to uncover shared interests and values?</t>
  </si>
  <si>
    <t>How can I express my vulnerability and share personal stories as a way to create a deeper connection?</t>
  </si>
  <si>
    <t>What are some techniques for using sensory language to evoke emotions and create a vivid experience in conversations?</t>
  </si>
  <si>
    <t>How can I use playfulness and spontaneity to break the ice and create a relaxed atmosphere?</t>
  </si>
  <si>
    <t>What are some tips for using flirtatious compliments that are specific and tailored to the other person?</t>
  </si>
  <si>
    <t>How can I create a sense of anticipation and mystery by leaving open-ended questions or cliffhangers in the conversation?</t>
  </si>
  <si>
    <t>What are some strategies for using flirty challenges or hypothetical scenarios to explore the other person's desires and fantasies?</t>
  </si>
  <si>
    <t>How can I express my appreciation for the other person's intelligence or unique perspectives in a flirtatious way?</t>
  </si>
  <si>
    <t>What are some techniques for using touchy subjects or light teasing to create a playful and flirty dynamic?</t>
  </si>
  <si>
    <t>How can I use the power of silence and pauses in conversations to create tension and anticipation?</t>
  </si>
  <si>
    <t>What are some tips for using flirty banter to create a sense of camaraderie and shared humor?</t>
  </si>
  <si>
    <t>How can I create a sense of emotional connection by sharing personal values and beliefs?</t>
  </si>
  <si>
    <t>What are some strategies for using flirty challenges or playful bets to add excitement and fun to the conversation?</t>
  </si>
  <si>
    <t>How can I express my genuine interest in the other person's opinions and perspectives through flirting?</t>
  </si>
  <si>
    <t>What are some techniques for using playful nicknames or pet names to create a sense of closeness?</t>
  </si>
  <si>
    <t>How can I use sensory language and vivid descriptions to paint a picture and engage the other person's imagination?</t>
  </si>
  <si>
    <t>What are some tips for using flirtatious compliments that focus on the other person's unique quirks or talents?</t>
  </si>
  <si>
    <t>How can I create a sense of nostalgia and connection by sharing childhood memories or favorite experiences?</t>
  </si>
  <si>
    <t>What are some strategies for using flirty challenges or playful competitions to spark friendly rivalry and flirtatious banter?</t>
  </si>
  <si>
    <t>How can I express my genuine curiosity and interest in the other person's life by asking meaningful questions?</t>
  </si>
  <si>
    <t>What are some unique and creative date ideas that can make a lasting impression?</t>
  </si>
  <si>
    <t>How can I plan a romantic picnic in a picturesque location?</t>
  </si>
  <si>
    <t>What are some ideas for organizing a fun and interactive cooking or baking date?</t>
  </si>
  <si>
    <t>How can I create a personalized scavenger hunt for a memorable date experience?</t>
  </si>
  <si>
    <t>What are some tips for planning a surprise date that will leave a lasting impression?</t>
  </si>
  <si>
    <t>How can I organize a day trip to a nearby town or city for an adventurous date?</t>
  </si>
  <si>
    <t>What are some ideas for planning a themed movie night at home with a special twist?</t>
  </si>
  <si>
    <t>How can I arrange a surprise concert or live music experience for a memorable date?</t>
  </si>
  <si>
    <t>What are some tips for planning a romantic weekend getaway to create lasting memories?</t>
  </si>
  <si>
    <t>How can I organize a creative and hands-on arts and crafts date for a unique experience?</t>
  </si>
  <si>
    <t>What are some ideas for planning an outdoor adventure date, such as hiking or kayaking?</t>
  </si>
  <si>
    <t>How can I arrange a visit to a local museum or art gallery for an enriching and memorable date?</t>
  </si>
  <si>
    <t>What are some tips for planning a scenic bike ride or a leisurely stroll in a beautiful park?</t>
  </si>
  <si>
    <t>How can I organize a surprise date that involves a thrilling activity, such as skydiving or bungee jumping?</t>
  </si>
  <si>
    <t>What are some ideas for planning a fun and nostalgic date at an amusement park or fair?</t>
  </si>
  <si>
    <t>How can I arrange a private cooking class or cocktail-making session for a unique date experience?</t>
  </si>
  <si>
    <t>What are some tips for planning a romantic dinner at home, complete with candles and a gourmet meal?</t>
  </si>
  <si>
    <t>How can I organize a surprise visit to a botanical garden or a serene nature reserve for a memorable date?</t>
  </si>
  <si>
    <t>What are some ideas for planning a fun and competitive game night with board games or video games?</t>
  </si>
  <si>
    <t>How can I arrange a special date that involves learning a new skill or hobby together, such as painting or dancing?</t>
  </si>
  <si>
    <t>What are some tips for planning a sunset beach picnic or bonfire for a romantic and memorable date?</t>
  </si>
  <si>
    <t>How can I organize a surprise date that involves attending a live sports event or cheering for a favorite team?</t>
  </si>
  <si>
    <t>What are some ideas for planning a volunteer date, where we can give back to the community together?</t>
  </si>
  <si>
    <t>How can I arrange a private wine or whiskey tasting experience for a sophisticated and memorable date?</t>
  </si>
  <si>
    <t>What are some tips for planning a cultural date, such as visiting an art exhibit or attending a theater performance?</t>
  </si>
  <si>
    <t>How can I organize a surprise date that involves a hot air balloon ride or a helicopter tour?</t>
  </si>
  <si>
    <t>What are some ideas for planning a fun and lighthearted mini-golf or bowling date?</t>
  </si>
  <si>
    <t>How can I arrange a visit to a local farm or orchard for a charming and memorable date?</t>
  </si>
  <si>
    <t>What are some tips for planning a cozy and intimate indoor picnic or movie marathon?</t>
  </si>
  <si>
    <t>How can I organize a surprise date that involves taking a scenic train ride or a boat cruise?</t>
  </si>
  <si>
    <t>What are some ideas for planning a DIY spa day at home, complete with massages and pampering?</t>
  </si>
  <si>
    <t>How can I arrange a private stargazing session or a visit to an observatory for a romantic and memorable date?</t>
  </si>
  <si>
    <t>What are some tips for planning a fun and interactive karaoke night or a dance party at home?</t>
  </si>
  <si>
    <t>How can I organize a surprise date that involves attending a comedy show or a live performance?</t>
  </si>
  <si>
    <t>What are some ideas for planning a casual and relaxed coffee date at a trendy cafe or a cozy coffee shop?</t>
  </si>
  <si>
    <t>How can I arrange a visit to a local animal shelter or a pet cafe for a heartwarming and memorable date?</t>
  </si>
  <si>
    <t>What are some tips for planning a thrilling adventure date, such as indoor rock climbing or zip-lining?</t>
  </si>
  <si>
    <t>How can I organize a surprise date that involves a scenic helicopter or hot air balloon ride?</t>
  </si>
  <si>
    <t>What are some ideas for planning a fun and nostalgic date at an arcade or a retro game bar?</t>
  </si>
  <si>
    <t>How can I arrange a private yoga or meditation session for a tranquil and memorable date?</t>
  </si>
  <si>
    <t>What are some tips for planning a visit to a local farmer's market or a food festival for a delightful date experience?</t>
  </si>
  <si>
    <t>How can I organize a surprise date that involves a visit to a comedy club or an improv show?</t>
  </si>
  <si>
    <t>What are some ideas for planning a DIY outdoor movie night under the stars?</t>
  </si>
  <si>
    <t>How can I arrange a private pottery or painting class for a creative and memorable date?</t>
  </si>
  <si>
    <t>What are some tips for planning a visit to a local zoo or aquarium for an enjoyable and educational date?</t>
  </si>
  <si>
    <t>How can I organize a surprise date that involves attending a music festival or a live concert?</t>
  </si>
  <si>
    <t>What are some ideas for planning a scenic bike tour or a leisurely walk in a charming neighborhood?</t>
  </si>
  <si>
    <t>How can I arrange a private outdoor yoga or fitness session for an active and rejuvenating date?</t>
  </si>
  <si>
    <t>What are some tips for planning a visit to a local winery or brewery for a delightful tasting experience?</t>
  </si>
  <si>
    <t>How can I organize a surprise date that involves a romantic hot air balloon ride or a horse-drawn carriage?</t>
  </si>
  <si>
    <t>How can I overcome the fear of rejection when starting conversations with someone new?</t>
  </si>
  <si>
    <t>What are some strategies for dealing with ghosting or sudden communication gaps in online dating?</t>
  </si>
  <si>
    <t>How can I manage the frustration of not receiving many matches or responses on dating apps?</t>
  </si>
  <si>
    <t>What are some tips for staying positive and motivated when facing online dating setbacks?</t>
  </si>
  <si>
    <t>How can I overcome self-doubt and develop confidence in presenting myself authentically online?</t>
  </si>
  <si>
    <t>What are some strategies for dealing with online dating fatigue and burnout?</t>
  </si>
  <si>
    <t>How can I navigate through the abundance of choices and profiles on dating apps without feeling overwhelmed?</t>
  </si>
  <si>
    <t>What are some tips for handling online dating rejections and not taking them personally?</t>
  </si>
  <si>
    <t>How can I manage the pressure of online dating expectations and societal norms?</t>
  </si>
  <si>
    <t>What are some strategies for dealing with catfishing or misrepresentation on dating apps?</t>
  </si>
  <si>
    <t>How can I overcome the fear of not being interesting enough or running out of things to say in online conversations?</t>
  </si>
  <si>
    <t>What are some tips for setting healthy boundaries and managing time spent on dating apps?</t>
  </si>
  <si>
    <t>How can I navigate cultural or language barriers in online dating and foster understanding?</t>
  </si>
  <si>
    <t>What are some strategies for dealing with online dating scams or suspicious profiles?</t>
  </si>
  <si>
    <t>How can I manage the anxiety of transitioning from online conversations to offline meetings?</t>
  </si>
  <si>
    <t>What are some tips for handling rejection gracefully and maintaining a positive mindset?</t>
  </si>
  <si>
    <t>How can I overcome the pressure of constantly comparing myself to others on dating apps?</t>
  </si>
  <si>
    <t>What are some strategies for dealing with online dating platforms that don't align with my values or preferences?</t>
  </si>
  <si>
    <t>How can I manage the disappointment of a date not meeting my expectations or not being a good match?</t>
  </si>
  <si>
    <t>What are some tips for staying safe and protecting personal information while online dating?</t>
  </si>
  <si>
    <t>How can I overcome the fear of being vulnerable and opening up emotionally in online dating?</t>
  </si>
  <si>
    <t>What are some strategies for dealing with online dating trolls or negative interactions?</t>
  </si>
  <si>
    <t>How can I manage the frustration of online dating burnout and feeling like I'm not making progress?</t>
  </si>
  <si>
    <t>What are some tips for handling long-distance online dating and maintaining connection?</t>
  </si>
  <si>
    <t>How can I overcome the fear of being judged or misunderstood based on my online dating profile?</t>
  </si>
  <si>
    <t>What are some strategies for dealing with online dating conflicts or disagreements?</t>
  </si>
  <si>
    <t>How can I manage the pressure of presenting the 'perfect' version of myself on dating apps?</t>
  </si>
  <si>
    <t>What are some tips for navigating online dating as an introvert or someone who prefers deeper connections?</t>
  </si>
  <si>
    <t>How can I overcome the fear of online dating scams and protect myself from potential fraud?</t>
  </si>
  <si>
    <t>What are some strategies for dealing with online dating burnout and taking breaks when needed?</t>
  </si>
  <si>
    <t>How can I manage the disappointment of not finding an immediate connection on dating apps?</t>
  </si>
  <si>
    <t>What are some tips for handling online dating rejection with grace and resilience?</t>
  </si>
  <si>
    <t>How can I overcome the fear of being vulnerable and expressing my true desires and intentions in online dating?</t>
  </si>
  <si>
    <t>What are some strategies for dealing with online dating platforms that promote superficiality or objectification?</t>
  </si>
  <si>
    <t>How can I manage the pressure of online dating expectations and societal standards of beauty?</t>
  </si>
  <si>
    <t>What are some tips for handling online dating conflicts or misunderstandings in a constructive way?</t>
  </si>
  <si>
    <t>How can I overcome the fear of being judged or criticized based on my appearance or profile on dating apps?</t>
  </si>
  <si>
    <t>What are some strategies for dealing with online dating fatigue and staying motivated to keep trying?</t>
  </si>
  <si>
    <t>How can I manage the disappointment of online dating when it doesn't align with my romantic goals or desires?</t>
  </si>
  <si>
    <t>What are some tips for navigating online dating as an extrovert or someone who enjoys social interactions?</t>
  </si>
  <si>
    <t>How can I overcome the fear of being vulnerable and expressing my true self in online conversations?</t>
  </si>
  <si>
    <t>What are some strategies for dealing with online dating platforms that prioritize quantity over quality?</t>
  </si>
  <si>
    <t>How can I manage the pressure of online dating expectations and feeling the need to constantly impress others?</t>
  </si>
  <si>
    <t>What are some tips for handling online dating conflicts or incompatible values with respect and empathy?</t>
  </si>
  <si>
    <t>How can I embrace rejection as a natural part of the dating process and not take it personally?</t>
  </si>
  <si>
    <t>What are some tips for learning from past dating experiences and using them to improve my approach?</t>
  </si>
  <si>
    <t>How can I overcome the fear of rejection and approach potential matches with confidence?</t>
  </si>
  <si>
    <t>What are some strategies for self-reflection after a dating rejection to gain valuable insights?</t>
  </si>
  <si>
    <t>How can I use rejection as a motivation to become a better version of myself?</t>
  </si>
  <si>
    <t>What are some tips for maintaining self-esteem and self-worth in the face of rejection?</t>
  </si>
  <si>
    <t>How can I develop a growth mindset to see rejection as a stepping stone towards success?</t>
  </si>
  <si>
    <t>What are some strategies for staying positive and optimistic after experiencing rejection?</t>
  </si>
  <si>
    <t>How can I learn to detach my self-worth from the outcome of my dating experiences?</t>
  </si>
  <si>
    <t>What are some tips for seeking constructive feedback after a dating rejection?</t>
  </si>
  <si>
    <t>How can I use rejection as an opportunity to refine my dating preferences and criteria?</t>
  </si>
  <si>
    <t>What are some strategies for letting go of past rejections and moving forward with an open mind?</t>
  </si>
  <si>
    <t>How can I embrace rejection as a chance to explore new possibilities and meet different people?</t>
  </si>
  <si>
    <t>What are some tips for practicing self-compassion and self-care in the face of rejection?</t>
  </si>
  <si>
    <t>How can I use rejection as a catalyst for personal growth and self-improvement?</t>
  </si>
  <si>
    <t>What are some strategies for building resilience and bouncing back stronger after a rejection?</t>
  </si>
  <si>
    <t>How can I reframe rejection as a redirection towards finding a more compatible match?</t>
  </si>
  <si>
    <t>What are some tips for recognizing and appreciating the lessons learned from dating rejections?</t>
  </si>
  <si>
    <t>How can I cultivate a mindset of abundance to overcome the fear of rejection?</t>
  </si>
  <si>
    <t>What are some strategies for staying motivated and optimistic in the face of repeated rejections?</t>
  </si>
  <si>
    <t>How can I embrace rejection as an opportunity to explore different dating avenues and expand my horizons?</t>
  </si>
  <si>
    <t>What are some tips for surrounding myself with a supportive network of friends and loved ones during times of rejection?</t>
  </si>
  <si>
    <t>How can I use rejection as a chance to reassess and refine my dating goals and priorities?</t>
  </si>
  <si>
    <t>What are some strategies for maintaining a positive outlook and not letting rejection discourage me?</t>
  </si>
  <si>
    <t>How can I reframe rejection as a selection process that brings me closer to finding the right match?</t>
  </si>
  <si>
    <t>What are some tips for practicing self-compassion and self-acceptance after experiencing rejection?</t>
  </si>
  <si>
    <t>How can I embrace rejection as an opportunity to build resilience and strengthen my character?</t>
  </si>
  <si>
    <t>What are some strategies for avoiding self-blame and negative self-talk after a dating rejection?</t>
  </si>
  <si>
    <t>How can I use rejection as a catalyst for self-improvement and personal development?</t>
  </si>
  <si>
    <t>What are some tips for seeking support and guidance from dating coaches or mentors to navigate rejection?</t>
  </si>
  <si>
    <t>How can I maintain a healthy perspective and not let rejection define my self-worth?</t>
  </si>
  <si>
    <t>What are some strategies for reframing rejection as feedback for growth and self-awareness?</t>
  </si>
  <si>
    <t>How can I embrace rejection as a chance to explore different dating approaches and strategies?</t>
  </si>
  <si>
    <t>What are some tips for practicing self-care and self-love during times of dating rejection?</t>
  </si>
  <si>
    <t>How can I use rejection as an opportunity to fine-tune my communication and social skills?</t>
  </si>
  <si>
    <t>What are some strategies for staying resilient and persistent in the face of multiple rejections?</t>
  </si>
  <si>
    <t>How can I reframe rejection as a natural filtering process that leads me to the right person?</t>
  </si>
  <si>
    <t>What are some tips for staying focused on my long-term dating goals despite experiencing rejection?</t>
  </si>
  <si>
    <t>How can I embrace rejection as a learning opportunity and not let it discourage me?</t>
  </si>
  <si>
    <t>What are some strategies for keeping an open mind and not letting past rejections influence future connections?</t>
  </si>
  <si>
    <t>How can I use rejection as a chance to reassess my own wants and needs in a relationship?</t>
  </si>
  <si>
    <t>How can I cultivate self-compassion and kindness towards myself when facing rejection?</t>
  </si>
  <si>
    <t>What are some strategies for developing a growth mindset and seeing rejection as a stepping stone to success?</t>
  </si>
  <si>
    <t>How can I reframe rejection as a way to refine my dating strategy and approach?</t>
  </si>
  <si>
    <t>How can I embrace rejection as a valuable learning experience that helps me understand my own preferences better?</t>
  </si>
  <si>
    <t>Real Estate for Professionals</t>
  </si>
  <si>
    <t>What are the key strategies for networking and building relationships with other professionals in the real estate industry?</t>
  </si>
  <si>
    <t>How can real estate professionals effectively use direct mail marketing to target specific neighborhoods or demographics?</t>
  </si>
  <si>
    <t>What are the best practices for hosting successful open houses and attracting qualified buyers?</t>
  </si>
  <si>
    <t>How can real estate professionals leverage influencer marketing to expand their reach and engage with a larger audience?</t>
  </si>
  <si>
    <t>What are the essential steps for creating a comprehensive marketing budget for real estate professionals?</t>
  </si>
  <si>
    <t>How can real estate professionals utilize data analytics and tracking tools to measure the effectiveness of their marketing campaigns?</t>
  </si>
  <si>
    <t>What are the crucial factors to consider when developing a brand positioning strategy for a real estate business?</t>
  </si>
  <si>
    <t>How can real estate professionals utilize local marketing tactics to establish a strong presence in their target market?</t>
  </si>
  <si>
    <t>What are the key strategies for utilizing customer relationship management (CRM) software to streamline marketing efforts and improve client communication?</t>
  </si>
  <si>
    <t>How can real estate professionals effectively use online listing portals and property search websites to maximize exposure for their listings?</t>
  </si>
  <si>
    <t>What are the best practices for creating engaging and informative real estate blog content to attract and educate potential clients?</t>
  </si>
  <si>
    <t>How can real estate professionals utilize storytelling techniques in their marketing materials to create an emotional connection with buyers?</t>
  </si>
  <si>
    <t>What are the essential steps for creating a compelling lead magnet or free resource to capture leads and build an email list?</t>
  </si>
  <si>
    <t>How can real estate professionals leverage local events and sponsorships to increase brand visibility and generate leads?</t>
  </si>
  <si>
    <t>What are the key strategies for utilizing paid advertising platforms, such as Google Ads or Facebook Ads, to reach a targeted audience of potential buyers?</t>
  </si>
  <si>
    <t>How can real estate professionals effectively use customer testimonials and success stories to build social proof and credibility?</t>
  </si>
  <si>
    <t>What are the crucial factors to consider when creating a content calendar for social media marketing in the real estate industry?</t>
  </si>
  <si>
    <t>How can real estate professionals utilize online marketplaces and classified websites to expand their reach and attract potential clients?</t>
  </si>
  <si>
    <t>What are the best practices for creating engaging property listing descriptions that highlight unique selling points and compel buyers to take action?</t>
  </si>
  <si>
    <t>How can real estate professionals leverage local partnerships and collaborations to enhance their marketing efforts?</t>
  </si>
  <si>
    <t>What are the essential steps for optimizing real estate listings for mobile devices and ensuring a seamless user experience?</t>
  </si>
  <si>
    <t>How can real estate professionals utilize online forums and community platforms to establish themselves as trusted authorities in their local market?</t>
  </si>
  <si>
    <t>What are the key strategies for utilizing targeted online advertising to reach specific buyer segments and increase lead generation?</t>
  </si>
  <si>
    <t>How can real estate professionals effectively use influencer collaborations and endorsements to amplify their brand reach?</t>
  </si>
  <si>
    <t>What are the crucial factors to consider when designing a visually appealing and user-friendly real estate website?</t>
  </si>
  <si>
    <t>How can real estate professionals leverage the power of storytelling in property descriptions to evoke emotions and engage potential buyers?</t>
  </si>
  <si>
    <t>What are the best practices for utilizing email newsletters to stay connected with past clients and nurture long-term relationships?</t>
  </si>
  <si>
    <t>How can real estate professionals incorporate interactive elements, such as quizzes or calculators, into their marketing materials to increase engagement?</t>
  </si>
  <si>
    <t>What are the essential steps for creating a strong social media presence as a real estate professional, including selecting the right platforms and creating engaging content?</t>
  </si>
  <si>
    <t>How can real estate professionals utilize data-driven marketing strategies to identify and target high-potential buyer segments?</t>
  </si>
  <si>
    <t>What are the key strategies for utilizing virtual staging and home styling services to enhance property marketing and visualization?</t>
  </si>
  <si>
    <t>How can real estate professionals effectively use online booking and scheduling tools to streamline the property viewing process and improve customer experience?</t>
  </si>
  <si>
    <t>What are the crucial factors to consider when developing a cohesive and consistent brand voice across all marketing channels?</t>
  </si>
  <si>
    <t>How can real estate professionals leverage the power of local search engine optimization (SEO) to appear prominently in local search results?</t>
  </si>
  <si>
    <t>What are the best practices for utilizing storytelling through video marketing to create an emotional connection with potential buyers?</t>
  </si>
  <si>
    <t>How can real estate professionals utilize community outreach programs and philanthropic initiatives to build goodwill and brand recognition?</t>
  </si>
  <si>
    <t>What are the essential steps for creating compelling property brochures and marketing materials that effectively showcase property features and benefits?</t>
  </si>
  <si>
    <t>How can real estate professionals effectively use online chatbots and automated messaging systems to provide instant support and engage with website visitors?</t>
  </si>
  <si>
    <t>What are the key strategies for utilizing online review management platforms to monitor and respond to customer reviews and feedback?</t>
  </si>
  <si>
    <t>How can real estate professionals incorporate user-generated content, such as testimonials or client success stories, into their marketing materials?</t>
  </si>
  <si>
    <t>What are the crucial factors to consider when designing and optimizing landing pages for real estate marketing campaigns?</t>
  </si>
  <si>
    <t>How can real estate professionals leverage the power of local media and press releases to generate media coverage and enhance brand visibility?</t>
  </si>
  <si>
    <t>What are the best practices for utilizing customer surveys and feedback forms to gather insights and improve the quality of services offered?</t>
  </si>
  <si>
    <t>How can real estate professionals effectively use retargeting ads to re-engage with website visitors and convert them into leads?</t>
  </si>
  <si>
    <t>What are the essential steps for creating a strategic content marketing plan that aligns with the target audience's needs and preferences?</t>
  </si>
  <si>
    <t>How can real estate professionals utilize podcasting or hosting webinars to position themselves as industry thought leaders and attract a dedicated audience?</t>
  </si>
  <si>
    <t>What are the key strategies for utilizing influencer partnerships and collaborations to reach a wider audience and gain credibility in the real estate industry?</t>
  </si>
  <si>
    <t>How can real estate professionals effectively use Google My Business and local directories to improve their online visibility in local search results?</t>
  </si>
  <si>
    <t>What are the crucial factors to consider when developing a comprehensive social media marketing strategy for real estate professionals?</t>
  </si>
  <si>
    <t>How can real estate professionals leverage the power of augmented reality (AR) or virtual reality (VR) technology to provide immersive property experiences for potential buyers?</t>
  </si>
  <si>
    <t>What are the best practices for utilizing customer testimonials and success stories in video format to enhance the credibility and trustworthiness of a real estate brand?</t>
  </si>
  <si>
    <t>How can real estate professionals effectively use webinars or online workshops to educate potential clients and generate leads?</t>
  </si>
  <si>
    <t>What are the key strategies for utilizing drone photography and videography to capture stunning visuals of properties and attract buyer attention?</t>
  </si>
  <si>
    <t>How can real estate professionals incorporate chatbots and live chat functionality on their website to provide instant support and engage with website visitors?</t>
  </si>
  <si>
    <t>What are the crucial factors to consider when designing and optimizing real estate landing pages to maximize lead generation and conversion rates?</t>
  </si>
  <si>
    <t>How can real estate professionals leverage the power of local partnerships and sponsorships to enhance their brand visibility and gain exposure within the community?</t>
  </si>
  <si>
    <t>What are the best practices for utilizing customer segmentation and personalized marketing campaigns to deliver targeted messages and increase conversion rates?</t>
  </si>
  <si>
    <t>How can real estate professionals effectively use virtual staging and 3D rendering to enhance the visual appeal of properties and facilitate buyer visualization?</t>
  </si>
  <si>
    <t>What are the essential steps for creating a consistent and cohesive brand identity for a real estate business, including logo design and visual elements?</t>
  </si>
  <si>
    <t>How can real estate professionals utilize social proof, such as client testimonials and case studies, to build trust and credibility with potential buyers?</t>
  </si>
  <si>
    <t>What are the key strategies for utilizing geofencing and location-based marketing to target potential buyers within specific areas or neighborhoods?</t>
  </si>
  <si>
    <t>How can real estate professionals incorporate storytelling techniques into their property listing descriptions to create a sense of emotional connection and desire?</t>
  </si>
  <si>
    <t>What are the crucial factors to consider when optimizing real estate websites for mobile devices, ensuring a seamless user experience and accessibility?</t>
  </si>
  <si>
    <t>How can real estate professionals leverage online marketplaces and listing aggregators to expand their reach and attract potential buyers?</t>
  </si>
  <si>
    <t>What are the best practices for creating captivating and visually appealing property videos that effectively showcase the features and benefits of a property?</t>
  </si>
  <si>
    <t>How can real estate professionals effectively use content syndication and guest blogging to reach a wider audience and drive traffic to their own website?</t>
  </si>
  <si>
    <t>What are the key strategies for utilizing social media advertising to target specific buyer demographics and generate leads for real estate properties?</t>
  </si>
  <si>
    <t>How can real estate professionals incorporate influencer marketing into their strategies to leverage the reach and influence of industry experts and personalities?</t>
  </si>
  <si>
    <t>What are the crucial factors to consider when designing and optimizing real estate email newsletters to maximize open rates and engagement?</t>
  </si>
  <si>
    <t>How can real estate professionals leverage the power of user-generated content, such as social media reviews and testimonials, to enhance their brand reputation?</t>
  </si>
  <si>
    <t>What are the best practices for utilizing virtual reality (VR) or augmented reality (AR) technology to provide immersive property experiences for potential buyers?</t>
  </si>
  <si>
    <t>How can real estate professionals effectively use chatbots and AI-powered messaging to provide instant customer support and engage with website visitors?</t>
  </si>
  <si>
    <t>What are the key strategies for utilizing data analytics and tracking tools to measure the success of real estate marketing campaigns and optimize future efforts?</t>
  </si>
  <si>
    <t>How can real estate professionals incorporate influencer collaborations and partnerships into their marketing strategies to amplify their brand reach and gain credibility?</t>
  </si>
  <si>
    <t>What are the crucial factors to consider when developing a content marketing strategy for real estate professionals, including selecting relevant topics and channels?</t>
  </si>
  <si>
    <t>How can real estate professionals leverage the power of social media influencers to promote their listings and attract a wider audience of potential buyers?</t>
  </si>
  <si>
    <t>What are the best practices for utilizing retargeting ads and remarketing techniques to re-engage with website visitors and convert them into leads?</t>
  </si>
  <si>
    <t>How can real estate professionals effectively use live streaming platforms, such as Facebook Live or Instagram Live, to showcase properties and engage with potential buyers in real-time?</t>
  </si>
  <si>
    <t>What are the key strategies for utilizing search engine optimization (SEO) techniques to improve the visibility of real estate websites and attract organic traffic?</t>
  </si>
  <si>
    <t>How can real estate professionals incorporate interactive elements, such as quizzes or calculators, into their marketing materials to increase user engagement and lead generation?</t>
  </si>
  <si>
    <t>What are the crucial factors to consider when designing and optimizing real estate signage and billboards to maximize visibility and capture attention?</t>
  </si>
  <si>
    <t>How can real estate professionals leverage user-generated content, such as client testimonials and reviews, to build social proof and enhance their brand reputation?</t>
  </si>
  <si>
    <t>What are the best practices for utilizing mobile advertising platforms, such as in-app ads or location-based targeting, to reach potential buyers on their mobile devices?</t>
  </si>
  <si>
    <t>How can real estate professionals effectively use data-driven marketing strategies, such as audience segmentation and behavioral targeting, to deliver personalized messages to potential buyers?</t>
  </si>
  <si>
    <t>How can real estate professionals effectively prepare for a negotiation with a potential buyer or seller?</t>
  </si>
  <si>
    <t>What are the key strategies for establishing rapport and building a positive relationship with the other party during a negotiation?</t>
  </si>
  <si>
    <t>How can real estate professionals utilize active listening skills to understand the needs and motivations of the other party?</t>
  </si>
  <si>
    <t>What are the crucial factors to consider when determining the optimal negotiation approach for a specific real estate transaction?</t>
  </si>
  <si>
    <t>How can real estate professionals effectively communicate their value proposition and unique selling points during a negotiation?</t>
  </si>
  <si>
    <t>What are the best practices for identifying and leveraging leverage points in a real estate negotiation?</t>
  </si>
  <si>
    <t>How can real estate professionals effectively handle objections and counteroffers during a negotiation?</t>
  </si>
  <si>
    <t>What are the key strategies for maintaining a win-win mindset and finding mutually beneficial solutions in real estate negotiations?</t>
  </si>
  <si>
    <t>How can real estate professionals effectively navigate complex negotiations involving multiple parties, such as in commercial real estate transactions?</t>
  </si>
  <si>
    <t>What are the crucial factors to consider when setting negotiation goals and defining acceptable outcomes for a real estate deal?</t>
  </si>
  <si>
    <t>How can real estate professionals effectively manage emotions and maintain a calm and composed demeanor during a negotiation?</t>
  </si>
  <si>
    <t>What are the best practices for conducting thorough research and gathering relevant information prior to a negotiation?</t>
  </si>
  <si>
    <t>How can real estate professionals utilize creative problem-solving techniques to overcome obstacles and reach favorable agreements in negotiations?</t>
  </si>
  <si>
    <t>What are the key strategies for effectively presenting and justifying a proposed price or offer during a real estate negotiation?</t>
  </si>
  <si>
    <t>How can real estate professionals effectively use concessions and trade-offs to facilitate successful negotiations?</t>
  </si>
  <si>
    <t>What are the crucial factors to consider when determining the appropriate timing and sequencing of negotiation tactics in a real estate deal?</t>
  </si>
  <si>
    <t>How can real estate professionals effectively manage negotiation deadlocks and impasses to keep the conversation moving forward?</t>
  </si>
  <si>
    <t>What are the best practices for anticipating and addressing common negotiation tactics used by the other party in real estate transactions?</t>
  </si>
  <si>
    <t>How can real estate professionals utilize persuasive communication techniques to influence the other party's decision-making during a negotiation?</t>
  </si>
  <si>
    <t>What are the key strategies for effectively managing power dynamics and maintaining control in a real estate negotiation?</t>
  </si>
  <si>
    <t>How can real estate professionals effectively handle and resolve conflicts that arise during a negotiation process?</t>
  </si>
  <si>
    <t>What are the crucial factors to consider when determining the appropriate level of flexibility and adaptability in a real estate negotiation?</t>
  </si>
  <si>
    <t>How can real estate professionals effectively leverage market trends and data to strengthen their negotiating position?</t>
  </si>
  <si>
    <t>What are the best practices for managing negotiation risks and potential pitfalls in real estate transactions?</t>
  </si>
  <si>
    <t>How can real estate professionals utilize negotiation simulations and role-playing exercises to enhance their skills and confidence?</t>
  </si>
  <si>
    <t>What are the key strategies for effectively using silence as a negotiation tactic in real estate deals?</t>
  </si>
  <si>
    <t>How can real estate professionals effectively manage the negotiation process when faced with multiple offers or competing buyers?</t>
  </si>
  <si>
    <t>What are the crucial factors to consider when establishing a negotiation timeline and setting deadlines for reaching agreement in real estate transactions?</t>
  </si>
  <si>
    <t>How can real estate professionals effectively convey empathy and understanding during a negotiation to build rapport with the other party?</t>
  </si>
  <si>
    <t>What are the best practices for effectively documenting and formalizing negotiated agreements in real estate deals?</t>
  </si>
  <si>
    <t>How can real estate professionals utilize negotiation concessions as a strategic tool to achieve desired outcomes?</t>
  </si>
  <si>
    <t>What are the key strategies for managing difficult personalities or challenging behaviors during a real estate negotiation?</t>
  </si>
  <si>
    <t>How can real estate professionals effectively utilize non-verbal communication cues and body language to enhance their negotiation effectiveness?</t>
  </si>
  <si>
    <t>What are the crucial factors to consider when determining the appropriate level of assertiveness and assertive communication in a real estate negotiation?</t>
  </si>
  <si>
    <t>How can real estate professionals effectively handle negotiations with multiple decision-makers or stakeholders involved?</t>
  </si>
  <si>
    <t>What are the best practices for managing negotiation fatigue and maintaining focus and concentration throughout the negotiation process?</t>
  </si>
  <si>
    <t>How can real estate professionals effectively address and overcome common objections related to price, terms, or property conditions during a negotiation?</t>
  </si>
  <si>
    <t>What are the key strategies for utilizing negotiation techniques specific to different types of real estate transactions, such as residential, commercial, or investment properties?</t>
  </si>
  <si>
    <t>How can real estate professionals effectively manage their emotions and maintain a professional demeanor when faced with challenging or confrontational situations during a negotiation?</t>
  </si>
  <si>
    <t>What are the crucial factors to consider when determining the appropriate level of assertiveness and collaborative problem-solving in a real estate negotiation?</t>
  </si>
  <si>
    <t>How can real estate professionals effectively negotiate repairs or contingencies in a real estate deal to protect their clients' interests?</t>
  </si>
  <si>
    <t>What are the best practices for managing expectations and effectively communicating with clients throughout the negotiation process?</t>
  </si>
  <si>
    <t>How can real estate professionals utilize negotiation tactics to address potential deal breakers and reach mutually beneficial solutions?</t>
  </si>
  <si>
    <t>What are the key strategies for managing time-sensitive negotiations and making prompt decisions to avoid losing opportunities?</t>
  </si>
  <si>
    <t>How can real estate professionals effectively use empathy and active listening skills to understand the underlying motivations and needs of the other party?</t>
  </si>
  <si>
    <t>What are the crucial factors to consider when determining the appropriate level of flexibility and compromise in a real estate negotiation?</t>
  </si>
  <si>
    <t>How can real estate professionals effectively negotiate favorable terms and conditions in contracts and agreements related to real estate transactions?</t>
  </si>
  <si>
    <t>What are the best practices for managing negotiation tactics and strategies when representing both the buyer and seller in a real estate transaction?</t>
  </si>
  <si>
    <t>How can real estate professionals utilize negotiation techniques to negotiate favorable financing terms for their clients?</t>
  </si>
  <si>
    <t>What are the key strategies for effectively using negotiation leverage in situations where there is high demand or limited supply in the real estate market?</t>
  </si>
  <si>
    <t>How can real estate professionals effectively handle and negotiate contingencies related to property inspections, appraisals, or financing in a real estate deal?</t>
  </si>
  <si>
    <t>What are the crucial factors to consider when determining the appropriate level of transparency and disclosure in a real estate negotiation?</t>
  </si>
  <si>
    <t>How can real estate professionals effectively utilize negotiation techniques to address issues related to property boundaries, easements, or encroachments?</t>
  </si>
  <si>
    <t>What are the best practices for managing negotiation power dynamics when representing clients with differing levels of knowledge or experience in real estate transactions?</t>
  </si>
  <si>
    <t>How can real estate professionals effectively negotiate with difficult or challenging personalities to achieve successful outcomes?</t>
  </si>
  <si>
    <t>What are the key strategies for effectively handling and negotiating offers and counteroffers in a competitive real estate market?</t>
  </si>
  <si>
    <t>How can real estate professionals utilize negotiation techniques to negotiate favorable terms and conditions in lease agreements for rental properties?</t>
  </si>
  <si>
    <t>What are the crucial factors to consider when determining the appropriate level of persistence and perseverance in a real estate negotiation?</t>
  </si>
  <si>
    <t>How can real estate professionals effectively negotiate price reductions or concessions when representing buyers in a real estate transaction?</t>
  </si>
  <si>
    <t>What are the best practices for managing negotiation expectations and communicating realistic outcomes to clients in real estate deals?</t>
  </si>
  <si>
    <t>How can real estate professionals effectively handle and negotiate contingencies or repair requests in a home inspection process?</t>
  </si>
  <si>
    <t>What are the key strategies for utilizing negotiation techniques to address issues related to property title, liens, or legal disputes in real estate transactions?</t>
  </si>
  <si>
    <t>How can real estate professionals effectively negotiate favorable terms and conditions in commercial lease agreements for retail or office spaces?</t>
  </si>
  <si>
    <t>What are the crucial factors to consider when determining the appropriate level of assertiveness and collaboration in a real estate negotiation involving multiple parties?</t>
  </si>
  <si>
    <t>How can real estate professionals utilize negotiation techniques to address concerns or objections related to property disclosures or environmental factors?</t>
  </si>
  <si>
    <t>What are the best practices for managing negotiation deadlines and time-sensitive offers in real estate transactions?</t>
  </si>
  <si>
    <t>How can real estate professionals effectively negotiate contract terms and contingencies to protect their clients' interests in new construction or development projects?</t>
  </si>
  <si>
    <t>What are the key strategies for utilizing negotiation tactics to address financing challenges or restrictions in real estate transactions?</t>
  </si>
  <si>
    <t>How can real estate professionals effectively handle and negotiate price negotiations in a competitive bidding situation?</t>
  </si>
  <si>
    <t>What are the crucial factors to consider when determining the appropriate level of compromise and collaboration in a real estate negotiation involving multiple offers or interested parties?</t>
  </si>
  <si>
    <t>How can real estate professionals utilize negotiation techniques to address concerns or objections related to property zoning, permits, or land use regulations?</t>
  </si>
  <si>
    <t>What are the best practices for managing negotiation expectations and maintaining open lines of communication with the other party throughout the negotiation process?</t>
  </si>
  <si>
    <t>How can real estate professionals effectively negotiate favorable terms and conditions in lease agreements for commercial properties?</t>
  </si>
  <si>
    <t>What are the key strategies for utilizing negotiation tactics to address issues related to property inspections, repairs, or maintenance in a real estate transaction?</t>
  </si>
  <si>
    <t>How can real estate professionals effectively handle and negotiate price adjustments or concessions in a changing market condition?</t>
  </si>
  <si>
    <t>What are the crucial factors to consider when determining the appropriate level of assertiveness and collaboration in a real estate negotiation involving contractors or service providers?</t>
  </si>
  <si>
    <t>How can real estate professionals utilize negotiation techniques to address concerns or objections related to property insurance or warranty coverage?</t>
  </si>
  <si>
    <t>What are the best practices for managing negotiation deadlines and time-sensitive offers in commercial real estate transactions?</t>
  </si>
  <si>
    <t>How can real estate professionals effectively negotiate contract terms and contingencies to protect their clients' interests in a foreclosure or short sale situation?</t>
  </si>
  <si>
    <t>What are the key strategies for utilizing negotiation tactics to address financing challenges or restrictions in commercial real estate transactions?</t>
  </si>
  <si>
    <t>How can real estate professionals effectively handle and negotiate lease terms and conditions for retail or office spaces?</t>
  </si>
  <si>
    <t>What are the crucial factors to consider when determining the appropriate level of compromise and collaboration in a real estate negotiation involving investment properties or portfolio acquisitions?</t>
  </si>
  <si>
    <t>How can real estate professionals utilize negotiation techniques to address concerns or objections related to property easements, access rights, or shared amenities?</t>
  </si>
  <si>
    <t>What are the best practices for managing negotiation expectations and maintaining transparency with clients in real estate investment transactions?</t>
  </si>
  <si>
    <t>How can real estate professionals effectively negotiate favorable terms and conditions in purchase agreements for multifamily or income-generating properties?</t>
  </si>
  <si>
    <t>What are the key strategies for utilizing negotiation tactics to address issues related to property survey, boundaries, or subdivision regulations in real estate deals?</t>
  </si>
  <si>
    <t>How can real estate professionals handle and negotiate price negotiations when representing investors or institutional buyers in commercial real estate transactions?</t>
  </si>
  <si>
    <t>What are the crucial factors to consider when determining the appropriate level of assertiveness and collaboration in a real estate negotiation involving international or cross-border transactions?</t>
  </si>
  <si>
    <t>How can real estate professionals utilize negotiation techniques to address concerns or objections related to property zoning changes or development approvals?</t>
  </si>
  <si>
    <t>What are the best practices for managing negotiation deadlines and contingencies in real estate transactions involving distressed properties or auctions?</t>
  </si>
  <si>
    <t>How can real estate professionals effectively negotiate contract terms and contingencies to protect their clients' interests in 1031 exchanges or tax-deferred transactions?</t>
  </si>
  <si>
    <t>What are the key strategies for utilizing negotiation tactics to address financing challenges or restrictions in luxury or high-end real estate transactions?</t>
  </si>
  <si>
    <t>How can real estate professionals handle and negotiate lease terms and conditions for industrial or warehouse properties?</t>
  </si>
  <si>
    <t>What are the crucial factors to consider when determining the appropriate level of compromise and collaboration in a real estate negotiation involving relocation or corporate clients?</t>
  </si>
  <si>
    <t>How can real estate professionals utilize negotiation techniques to address concerns or objections related to property historical preservation, conservation, or architectural guidelines?</t>
  </si>
  <si>
    <t>What are the best practices for managing negotiation expectations and maintaining professionalism when representing clients in highly emotional or contentious real estate disputes?</t>
  </si>
  <si>
    <t>How can real estate professionals effectively negotiate favorable terms and conditions in purchase agreements for vacation or second homes?</t>
  </si>
  <si>
    <t>What are the key strategies for utilizing negotiation tactics to address issues related to property mineral rights, water rights, or natural resource leases in real estate deals?</t>
  </si>
  <si>
    <t>How can real estate professionals handle and negotiate price negotiations when representing developers or landowners in large-scale land acquisitions or subdivisions?</t>
  </si>
  <si>
    <t>What are the crucial factors to consider when determining the appropriate level of assertiveness and collaboration in a real estate negotiation involving historic or landmark properties?</t>
  </si>
  <si>
    <t>What are the key factors to consider when evaluating different financing options for real estate investments?</t>
  </si>
  <si>
    <t>How can real estate professionals identify and leverage financing programs or incentives available for specific types of properties, such as affordable housing or energy-efficient buildings?</t>
  </si>
  <si>
    <t>What are the crucial steps to take when conducting a thorough analysis of the financial viability and potential returns of a real estate investment opportunity?</t>
  </si>
  <si>
    <t>How can real estate professionals effectively structure a deal to attract investors and secure financing for a larger-scale real estate project?</t>
  </si>
  <si>
    <t>What are the best practices for managing and minimizing risks associated with real estate financing, such as interest rate fluctuations or changes in market conditions?</t>
  </si>
  <si>
    <t>How can real estate professionals utilize creative financing strategies, such as seller financing or lease options, to facilitate transactions and expand investment opportunities?</t>
  </si>
  <si>
    <t>What are the key considerations when determining the optimal loan-to-value (LTV) ratio and debt-to-income (DTI) ratio for a real estate investment?</t>
  </si>
  <si>
    <t>How can real estate professionals effectively negotiate favorable loan terms, interest rates, and repayment schedules with lenders?</t>
  </si>
  <si>
    <t>What are the crucial factors to consider when assessing the potential impact of financing costs, including loan origination fees, closing costs, and ongoing interest payments, on the overall profitability of a real estate investment?</t>
  </si>
  <si>
    <t>How can real estate professionals leverage partnerships or joint ventures to access additional capital and financing for investment projects?</t>
  </si>
  <si>
    <t>What are the best practices for navigating the process of obtaining a mortgage or securing financing for rental properties or income-generating assets?</t>
  </si>
  <si>
    <t>How can real estate professionals effectively analyze and assess the risks and benefits associated with different investment property financing options, such as conventional loans, hard money loans, or private financing?</t>
  </si>
  <si>
    <t>What are the key strategies for optimizing the use of leverage in real estate investments while mitigating potential risks?</t>
  </si>
  <si>
    <t>How can real estate professionals evaluate and compare different financing terms, such as fixed-rate mortgages, adjustable-rate mortgages, or interest-only loans, to determine the most suitable option for their investment goals?</t>
  </si>
  <si>
    <t>What are the crucial factors to consider when determining the appropriate loan amortization period and repayment strategy for a real estate investment?</t>
  </si>
  <si>
    <t>How can real estate professionals effectively utilize financial modeling and investment analysis tools to assess the potential cash flow, return on investment (ROI), and internal rate of return (IRR) of a real estate investment opportunity?</t>
  </si>
  <si>
    <t>How can real estate professionals use the discounted cash flow (DCF) method to value investment properties?</t>
  </si>
  <si>
    <t>What are the crucial factors to consider when assessing the highest and best use of a property?</t>
  </si>
  <si>
    <t>How can real estate professionals analyze and compare the financial performance of different investment properties using metrics like cash flow and ROI?</t>
  </si>
  <si>
    <t>What are the key considerations when evaluating the potential value and income-generating capabilities of vacation rental properties?</t>
  </si>
  <si>
    <t>How can real estate professionals use regression analysis to identify and analyze market trends and property values?</t>
  </si>
  <si>
    <t>What are the essential steps for performing a thorough due diligence process when valuing a commercial property?</t>
  </si>
  <si>
    <t>How can real estate professionals analyze the impact of demographic and population trends on property values?</t>
  </si>
  <si>
    <t>What are the best practices for calculating the net operating income (NOI) and capitalization rate (cap rate) for commercial properties?</t>
  </si>
  <si>
    <t>How can real estate professionals assess the value of historical or heritage properties?</t>
  </si>
  <si>
    <t>What are the crucial factors to consider when evaluating the potential value of properties in a changing real estate market?</t>
  </si>
  <si>
    <t>How can real estate professionals analyze the impact of local amenities and infrastructure on property values?</t>
  </si>
  <si>
    <t>What are the essential steps for performing a rental market analysis and determining optimal rental rates for investment properties?</t>
  </si>
  <si>
    <t>How can real estate professionals use the cost approach method to value properties, particularly for unique or specialized properties?</t>
  </si>
  <si>
    <t>What are the key considerations when evaluating the potential value and profitability of mixed-use properties?</t>
  </si>
  <si>
    <t>How can real estate professionals assess the value of properties in a specific school district or proximity to educational institutions?</t>
  </si>
  <si>
    <t>What are the best practices for analyzing the potential risks and rewards of investing in commercial properties in different sectors, such as retail, office, or industrial?</t>
  </si>
  <si>
    <t>How can real estate professionals use regression analysis and market data to determine the value of residential properties?</t>
  </si>
  <si>
    <t>What are the crucial factors to consider when evaluating the potential value of properties in a waterfront or scenic location?</t>
  </si>
  <si>
    <t>How can real estate professionals analyze and project rental income for multi-family residential properties?</t>
  </si>
  <si>
    <t>What are the essential steps for performing a cost analysis and determining the value of new construction properties?</t>
  </si>
  <si>
    <t>How can real estate professionals assess the value of properties in a specific climate or weather-prone area?</t>
  </si>
  <si>
    <t>What are the key considerations when evaluating the potential value and income-generating capabilities of senior living or assisted living properties?</t>
  </si>
  <si>
    <t>How can real estate professionals use the income capitalization method to value commercial properties?</t>
  </si>
  <si>
    <t>What are the best practices for analyzing and valuing properties with unique architectural features or historical significance?</t>
  </si>
  <si>
    <t>How can real estate professionals assess the value of properties in a specific tourist or vacation destination?</t>
  </si>
  <si>
    <t>What are the crucial factors to consider when evaluating the potential value and income-generating capabilities of self-storage facilities?</t>
  </si>
  <si>
    <t>How can real estate professionals analyze and compare the value and performance of different real estate investment vehicles, such as REITs or real estate syndications?</t>
  </si>
  <si>
    <t>What are the essential steps for performing a land feasibility study and determining its development potential?</t>
  </si>
  <si>
    <t>How can real estate professionals assess the value of properties in a specific market experiencing rapid gentrification?</t>
  </si>
  <si>
    <t>What are the key considerations when evaluating the potential value and income-generating capabilities of mobile home parks?</t>
  </si>
  <si>
    <t>How can real estate professionals analyze the impact of transportation infrastructure, such as highways or public transit, on property values?</t>
  </si>
  <si>
    <t>What are the best practices for analyzing and valuing commercial properties with long-term leases or anchor tenants?</t>
  </si>
  <si>
    <t>How can real estate professionals assess the value of properties in a specific market known for its outdoor recreational opportunities?</t>
  </si>
  <si>
    <t>What are the crucial factors to consider when evaluating the potential value and income-generating capabilities of storage facilities or warehouses?</t>
  </si>
  <si>
    <t>How can real estate professionals use the replacement cost method to value properties, particularly for specialized or unique properties?</t>
  </si>
  <si>
    <t>What are the key considerations when evaluating the potential value and income-generating capabilities of hotel or hospitality properties?</t>
  </si>
  <si>
    <t>How can real estate professionals analyze the impact of economic factors, such as job growth or inflation, on property values?</t>
  </si>
  <si>
    <t>What are the essential steps for performing a zoning analysis and understanding the development potential of a property?</t>
  </si>
  <si>
    <t>How can real estate professionals assess the value of properties in a specific market known for its arts and cultural scene?</t>
  </si>
  <si>
    <t>What are the best practices for analyzing and valuing properties with potential for redevelopment or adaptive reuse?</t>
  </si>
  <si>
    <t>How can real estate professionals evaluate the value and potential return on investment (ROI) of vacation rental properties in popular tourist destinations?</t>
  </si>
  <si>
    <t>What are the crucial factors to consider when evaluating the potential value and income-generating capabilities of medical or healthcare properties?</t>
  </si>
  <si>
    <t>How can real estate professionals analyze the impact of natural disasters or climate change risks on property values?</t>
  </si>
  <si>
    <t>What are the key considerations when evaluating the potential value and income-generating capabilities of mixed-use properties with retail and residential components?</t>
  </si>
  <si>
    <t>How can real estate professionals assess the value of properties in a specific market known for its technology or innovation sector?</t>
  </si>
  <si>
    <t>What are the essential steps for performing a 1031 exchange analysis and understanding the tax implications of property transactions?</t>
  </si>
  <si>
    <t>How can real estate professionals evaluate the value and income potential of properties in a specific market known for its educational institutions?</t>
  </si>
  <si>
    <t>What are the best practices for analyzing and valuing properties with potential for leaseback agreements or sale-leaseback transactions?</t>
  </si>
  <si>
    <t>How can real estate professionals assess the value of properties in a specific market known for its entertainment or nightlife scene?</t>
  </si>
  <si>
    <t>What are the crucial factors to consider when evaluating the potential value and income-generating capabilities of data centers or technology infrastructure properties?</t>
  </si>
  <si>
    <t>How can real estate professionals analyze the impact of environmental factors, such as proximity to parks or green spaces, on property values?</t>
  </si>
  <si>
    <t>What are the key considerations when evaluating the potential value and income-generating capabilities of mixed-use properties with office and residential components?</t>
  </si>
  <si>
    <t>How can real estate professionals assess the value of properties in a specific market known for its sports or stadium facilities?</t>
  </si>
  <si>
    <t>What are the essential steps for performing a historical analysis and understanding the market trends and cycles of a specific property type or location?</t>
  </si>
  <si>
    <t>How can real estate professionals evaluate the value and potential return on investment (ROI) of student housing properties in proximity to colleges and universities?</t>
  </si>
  <si>
    <t>What are the best practices for analyzing and valuing properties with potential for airbnb or short-term rental income?</t>
  </si>
  <si>
    <t>How can real estate professionals assess the value of properties in a specific market known for its culinary or food scene?</t>
  </si>
  <si>
    <t>What are the crucial factors to consider when evaluating the potential value and income-generating capabilities of co-working or shared office space properties?</t>
  </si>
  <si>
    <t>How can real estate professionals analyze the impact of social factors, such as crime rates or school quality, on property values?</t>
  </si>
  <si>
    <t>What are the key considerations when evaluating the potential value and income-generating capabilities of properties in a specific market known for its luxury or high-end segment?</t>
  </si>
  <si>
    <t>How can real estate professionals assess the value of properties in a specific market known for its renewable energy or sustainability initiatives?</t>
  </si>
  <si>
    <t>What are the essential steps for performing a profitability analysis and understanding the cash flow potential of a commercial property?</t>
  </si>
  <si>
    <t>How can real estate professionals evaluate the value and potential return on investment (ROI) of properties in a specific market known for its tourism or hospitality industry?</t>
  </si>
  <si>
    <t>What are the best practices for analyzing and valuing properties with potential for affordable housing or subsidized rental income?</t>
  </si>
  <si>
    <t>How can real estate professionals assess the value of properties in a specific market known for its fashion or shopping district?</t>
  </si>
  <si>
    <t>What are the crucial factors to consider when evaluating the potential value and income-generating capabilities of mixed-use properties with residential and hotel components?</t>
  </si>
  <si>
    <t>How can real estate professionals analyze the impact of transportation infrastructure, such as airports or major highways, on property values?</t>
  </si>
  <si>
    <t>What are the essential elements of an effective real estate marketing plan?</t>
  </si>
  <si>
    <t>How can real estate professionals create a compelling brand story that resonates with their target audience?</t>
  </si>
  <si>
    <t>What are the key strategies for leveraging social media to promote real estate listings and engage with potential buyers?</t>
  </si>
  <si>
    <t>How can real estate professionals optimize their website to generate more leads and increase conversions?</t>
  </si>
  <si>
    <t>What are the best practices for creating visually appealing property listings that capture the attention of buyers?</t>
  </si>
  <si>
    <t>How can real estate professionals use email marketing to nurture leads and stay top-of-mind with potential clients?</t>
  </si>
  <si>
    <t>What are the crucial factors to consider when developing a target market profile for real estate marketing campaigns?</t>
  </si>
  <si>
    <t>How can real estate professionals effectively use video marketing to showcase properties and attract buyers?</t>
  </si>
  <si>
    <t>What are the key components of a successful real estate advertising campaign, both online and offline?</t>
  </si>
  <si>
    <t>How can real estate professionals leverage content marketing to establish themselves as industry experts and attract qualified leads?</t>
  </si>
  <si>
    <t>What are the essential steps for building a strong personal brand as a real estate professional?</t>
  </si>
  <si>
    <t>How can real estate professionals utilize search engine optimization (SEO) to improve their online visibility and attract organic traffic?</t>
  </si>
  <si>
    <t>What are the best practices for utilizing online review platforms and testimonials to build trust and credibility with potential clients?</t>
  </si>
  <si>
    <t>How can real estate professionals develop a referral program to incentivize existing clients to refer new leads?</t>
  </si>
  <si>
    <t>What are the crucial factors to consider when creating a memorable and impactful real estate logo and visual identity?</t>
  </si>
  <si>
    <t>How can real estate professionals utilize virtual tours and 3D technology to enhance property marketing?</t>
  </si>
  <si>
    <t>How can real estate professionals assess the potential for rental income during off-peak seasons or periods of low tourist activity for vacation properties?</t>
  </si>
  <si>
    <t>What techniques can real estate professionals use to negotiate favorable lease terms and rental agreements for long-term rental properties?</t>
  </si>
  <si>
    <t>How can real estate professionals leverage social media platforms and influencer partnerships to promote and market vacation or rental properties?</t>
  </si>
  <si>
    <t>What strategies can real estate professionals employ to optimize the online presence and search engine visibility of vacation or rental property listings?</t>
  </si>
  <si>
    <t>How can real estate professionals evaluate the potential risks and liabilities associated with renting out vacation or rental properties?</t>
  </si>
  <si>
    <t>What are the key considerations for implementing a guest screening process, including background checks and credit checks, for vacation or rental properties?</t>
  </si>
  <si>
    <t>How can real estate professionals effectively manage and coordinate maintenance and repairs for vacation or rental properties to minimize downtime and ensure guest satisfaction?</t>
  </si>
  <si>
    <t>What strategies can real estate professionals employ to attract corporate clients and business travelers to their vacation or rental properties?</t>
  </si>
  <si>
    <t>How can real estate professionals assess the impact of local tourism and hospitality trends on the performance of vacation or rental properties?</t>
  </si>
  <si>
    <t>What techniques can real estate professionals use to analyze the rental market saturation and competition in a specific area for vacation properties?</t>
  </si>
  <si>
    <t>How can real estate professionals leverage customer feedback and reviews to continuously improve the guest experience and increase occupancy rates for vacation or rental properties?</t>
  </si>
  <si>
    <t>What are the benefits of engaging a professional interior designer or staging expert to enhance the visual appeal and marketability of vacation or rental properties?</t>
  </si>
  <si>
    <t>How can real estate professionals evaluate the potential for rental income diversification by targeting different customer segments, such as families, couples, or solo travelers?</t>
  </si>
  <si>
    <t>What strategies can real estate professionals employ to effectively manage guest inquiries, bookings, and rental agreements for vacation or rental properties?</t>
  </si>
  <si>
    <t>How can real estate professionals assess the potential for property management outsourcing or hiring an in-house team for vacation or rental properties?</t>
  </si>
  <si>
    <t>What techniques can real estate professionals use to analyze the financial performance and cash flow projections for vacation or rental properties?</t>
  </si>
  <si>
    <t>How can real estate professionals navigate the challenges and considerations of owning and managing vacation or rental properties in different geographical locations?</t>
  </si>
  <si>
    <t>What strategies can real estate professionals employ to attract international guests and target the global market for vacation or rental properties?</t>
  </si>
  <si>
    <t>How can real estate professionals assess the potential for offering unique amenities or experiences, such as private pools or guided tours, to differentiate their vacation or rental properties?</t>
  </si>
  <si>
    <t>What techniques can real estate professionals use to effectively manage guest reviews and ratings to maintain a positive reputation for their vacation or rental properties?</t>
  </si>
  <si>
    <t>How can real estate professionals evaluate the potential for implementing eco-friendly practices and sustainability initiatives in vacation or rental properties to attract environmentally conscious guests?</t>
  </si>
  <si>
    <t>What are the benefits of engaging a professional property inspector or maintenance team to ensure the safety and compliance of vacation or rental properties?</t>
  </si>
  <si>
    <t>How can real estate professionals assess the feasibility of investing in vacation or rental properties in emerging or up-and-coming destinations?</t>
  </si>
  <si>
    <t>What strategies can real estate professionals employ to build long-term relationships and loyalty with repeat guests for their vacation or rental properties?</t>
  </si>
  <si>
    <t>How can real estate professionals evaluate the potential for offering extended-stay options or corporate housing services for their vacation or rental properties?</t>
  </si>
  <si>
    <t>What techniques can real estate professionals use to analyze and forecast the impact of local events or festivals on the demand and pricing of vacation or rental properties?</t>
  </si>
  <si>
    <t>How can real estate professionals effectively market and promote their vacation or rental properties to specific demographic groups, such as millennials or retirees?</t>
  </si>
  <si>
    <t>What strategies can real estate professionals employ to optimize the online booking process and streamline the reservation management for their vacation or rental properties?</t>
  </si>
  <si>
    <t>How can real estate professionals assess the potential for implementing smart home technology and automation systems in vacation or rental properties to enhance the guest experience?</t>
  </si>
  <si>
    <t>What are the benefits of engaging a professional property appraiser or valuation expert to determine the fair market value of vacation or rental properties?</t>
  </si>
  <si>
    <t>How can real estate professionals evaluate the potential for offering value-added services, such as housekeeping or concierge assistance, for their vacation or rental properties?</t>
  </si>
  <si>
    <t>What techniques can real estate professionals use to analyze and compare the performance of different online booking platforms and listing websites for vacation or rental properties?</t>
  </si>
  <si>
    <t>How can real estate professionals assess the potential for implementing flexible cancellation policies or travel insurance options to attract more bookings for their vacation or rental properties?</t>
  </si>
  <si>
    <t>What strategies can real estate professionals employ to stay updated on vacation rental regulations and compliance requirements in different jurisdictions?</t>
  </si>
  <si>
    <t>How can real estate professionals effectively leverage email marketing and newsletters to nurture relationships with past guests and promote their vacation or rental properties?</t>
  </si>
  <si>
    <t>What are the key considerations for implementing a dynamic pricing strategy that adjusts rates based on factors such as seasonality, demand, and local events for vacation or rental properties?</t>
  </si>
  <si>
    <t>How can real estate professionals assess the potential for offering pet-friendly accommodations or amenities to cater to a wider range of guests for their vacation or rental properties?</t>
  </si>
  <si>
    <t>What techniques can real estate professionals use to analyze the profitability and cash flow potential of investing in vacation or rental properties within a specific price range or property type?</t>
  </si>
  <si>
    <t>How can real estate professionals evaluate the potential for partnering with local businesses or tour operators to create value-added packages for guests staying at their vacation or rental properties?</t>
  </si>
  <si>
    <t>What strategies can real estate professionals employ to minimize vacancies and maximize occupancy rates for their vacation or rental properties throughout the year?</t>
  </si>
  <si>
    <t>How can real estate professionals assess the potential for capitalizing on emerging travel trends, such as remote work or digital nomadism, for their vacation or rental properties?</t>
  </si>
  <si>
    <t>What are the benefits of engaging a professional vacation rental photographer or videographer to capture high-quality visuals that showcase the unique features of vacation or rental properties?</t>
  </si>
  <si>
    <t>How can real estate professionals evaluate the potential for offering additional services or amenities, such as airport transfers or pre-arrival grocery shopping, to enhance the guest experience at their vacation or rental properties?</t>
  </si>
  <si>
    <t>What techniques can real estate professionals use to analyze the demographic and psychographic profiles of their target guest segments for effective marketing and communication strategies?</t>
  </si>
  <si>
    <t>How can real estate professionals assess the potential for incorporating sustainable and energy-efficient features, such as solar panels or water-saving fixtures, into vacation or rental properties?</t>
  </si>
  <si>
    <t>What strategies can real estate professionals employ to create partnerships with local event organizers or conference planners to attract attendees and secure bookings for their vacation or rental properties?</t>
  </si>
  <si>
    <t>How can real estate professionals effectively utilize virtual reality (VR) technology or 3D tours to provide immersive experiences and showcase the layout and features of their vacation or rental properties?</t>
  </si>
  <si>
    <t>What are the key components involved in a comprehensive real estate appraisal report?</t>
  </si>
  <si>
    <t>How can real estate professionals assess the accuracy and reliability of property valuations conducted by appraisers?</t>
  </si>
  <si>
    <t>What strategies can real estate professionals employ to gather and analyze relevant market data for conducting property appraisals?</t>
  </si>
  <si>
    <t>How can real estate professionals evaluate the impact of economic factors, such as interest rates or employment trends, on property valuations?</t>
  </si>
  <si>
    <t>What techniques can real estate professionals use to determine the appropriate valuation methods for different property types, such as residential, commercial, or industrial?</t>
  </si>
  <si>
    <t>How can real estate professionals assess the potential risks and challenges associated with appraising unique or specialized properties, such as historical buildings or land parcels with development potential?</t>
  </si>
  <si>
    <t>What are the benefits of engaging a certified appraiser with expertise in a specific geographic area or property type for conducting real estate appraisals?</t>
  </si>
  <si>
    <t>How can real estate professionals effectively analyze and interpret the results of a property appraisal to inform buying or selling decisions?</t>
  </si>
  <si>
    <t>What strategies can real estate professionals employ to negotiate with appraisers in situations where the valuation may not align with the desired outcome?</t>
  </si>
  <si>
    <t>How can real estate professionals evaluate the credibility and qualifications of appraisers to ensure accurate and unbiased property valuations?</t>
  </si>
  <si>
    <t>What techniques can real estate professionals use to conduct due diligence on property appraisals obtained by sellers or listing agents?</t>
  </si>
  <si>
    <t>How can real estate professionals assess the impact of local market conditions and trends on property valuations?</t>
  </si>
  <si>
    <t>What are the key considerations for conducting property inspections and gathering relevant information during the appraisal process?</t>
  </si>
  <si>
    <t>How can real estate professionals evaluate the potential risks and liabilities associated with relying on outdated or inaccurate property appraisals?</t>
  </si>
  <si>
    <t>What strategies can real estate professionals employ to challenge or appeal an appraisal that they believe does not accurately reflect the market value of a property?</t>
  </si>
  <si>
    <t>How can real estate professionals effectively communicate with appraisers to provide relevant information and support the valuation process?</t>
  </si>
  <si>
    <t>What techniques can real estate professionals use to analyze and compare recent comparable sales data for determining property values?</t>
  </si>
  <si>
    <t>How can real estate professionals assess the potential impact of environmental factors, zoning restrictions, or easements on property valuations?</t>
  </si>
  <si>
    <t>What are the benefits of engaging a third-party appraisal management company to oversee and coordinate the appraisal process for real estate transactions?</t>
  </si>
  <si>
    <t>How can real estate professionals evaluate the potential for conducting income-based appraisals for commercial properties, such as using the capitalization rate approach?</t>
  </si>
  <si>
    <t>What strategies can real estate professionals employ to gather and analyze historical market data to determine property appreciation rates and forecast future values?</t>
  </si>
  <si>
    <t>How can real estate professionals assess the potential impact of external factors, such as infrastructure developments or major economic projects, on property valuations?</t>
  </si>
  <si>
    <t>What techniques can real estate professionals use to analyze the condition and maintenance history of a property as part of the appraisal process?</t>
  </si>
  <si>
    <t>How can real estate professionals evaluate the potential risks and limitations of automated valuation models (AVMs) for property appraisals?</t>
  </si>
  <si>
    <t>What are the key considerations for conducting property title searches and assessing the legal status and encumbrances of a property during due diligence?</t>
  </si>
  <si>
    <t>How can real estate professionals assess the potential risks and challenges associated with conducting appraisals for properties located in high-risk areas, such as flood zones or earthquake-prone regions?</t>
  </si>
  <si>
    <t>What strategies can real estate professionals employ to gather and analyze demographic data and market trends as part of the appraisal process?</t>
  </si>
  <si>
    <t>How can real estate professionals evaluate the potential impact of property improvements or renovations on the overall value of a property?</t>
  </si>
  <si>
    <t>What techniques can real estate professionals use to analyze the local rental market and assess the potential income-generating capacity of investment properties?</t>
  </si>
  <si>
    <t>How can real estate professionals assess the potential risks and limitations of using automated valuation models (AVMs) for property appraisals?</t>
  </si>
  <si>
    <t>What are the key indicators and data sources used for forecasting real estate market trends?</t>
  </si>
  <si>
    <t>How can real estate professionals analyze historical market data to identify patterns and trends for forecasting future market conditions?</t>
  </si>
  <si>
    <t>What strategies can real estate professionals employ to assess the impact of macroeconomic factors, such as interest rates or GDP growth, on real estate market forecasts?</t>
  </si>
  <si>
    <t>How can real estate professionals evaluate the potential risks and challenges associated with forecasting market conditions for specific property types or geographic areas?</t>
  </si>
  <si>
    <t>What techniques can real estate professionals use to conduct supply and demand analysis to predict future market conditions?</t>
  </si>
  <si>
    <t>How can real estate professionals assess the impact of demographic shifts, such as population growth or aging populations, on real estate market forecasts?</t>
  </si>
  <si>
    <t>What are the benefits of using statistical models, such as regression analysis or time series analysis, for real estate market forecasting?</t>
  </si>
  <si>
    <t>How can real estate professionals evaluate the accuracy and reliability of real estate market forecasts provided by research firms or industry experts?</t>
  </si>
  <si>
    <t>What strategies can real estate professionals employ to stay updated on current market trends and indicators for more accurate forecasting?</t>
  </si>
  <si>
    <t>How can real estate professionals assess the potential impact of government policies or regulations on real estate market forecasts?</t>
  </si>
  <si>
    <t>What techniques can real estate professionals use to analyze local market data, such as sales transactions or rental rates, for forecasting market trends?</t>
  </si>
  <si>
    <t>How can real estate professionals evaluate the potential risks and opportunities associated with emerging technologies, such as blockchain or AI, on real estate market forecasts?</t>
  </si>
  <si>
    <t>What are the key considerations for incorporating environmental and sustainability factors into real estate market forecasts?</t>
  </si>
  <si>
    <t>How can real estate professionals assess the potential impact of geopolitical events, such as trade agreements or political instability, on real estate market forecasts?</t>
  </si>
  <si>
    <t>What strategies can real estate professionals employ to gather and analyze qualitative data, such as surveys or expert opinions, for more comprehensive market forecasts?</t>
  </si>
  <si>
    <t>How can real estate professionals evaluate the potential impact of cultural or social trends, such as changing consumer preferences or lifestyle shifts, on real estate market forecasts?</t>
  </si>
  <si>
    <t>What techniques can real estate professionals use to assess the competitive landscape and market positioning for accurate market forecasting?</t>
  </si>
  <si>
    <t>How can real estate professionals leverage big data and predictive analytics tools for more accurate real estate market forecasts?</t>
  </si>
  <si>
    <t>What are the benefits of using scenario analysis or sensitivity analysis in real estate market forecasting to account for various possible outcomes?</t>
  </si>
  <si>
    <t>How can real estate professionals assess the potential risks and limitations of relying solely on historical data for market forecasting in rapidly changing markets?</t>
  </si>
  <si>
    <t>What strategies can real estate professionals employ to incorporate market sentiment and investor confidence indicators into real estate market forecasts?</t>
  </si>
  <si>
    <t>How can real estate professionals evaluate the potential impact of technological advancements, such as smart home devices or virtual reality tours, on real estate market forecasts?</t>
  </si>
  <si>
    <t>What techniques can real estate professionals use to analyze the impact of transportation infrastructure developments or urban planning initiatives on real estate market forecasts?</t>
  </si>
  <si>
    <t>How can real estate professionals assess the potential risks and challenges associated with forecasting market conditions for niche or specialized property sectors, such as luxury real estate or senior housing?</t>
  </si>
  <si>
    <t>What strategies can real estate professionals employ to effectively communicate real estate market forecasts to clients or stakeholders for informed decision-making?</t>
  </si>
  <si>
    <t>How can real estate professionals evaluate the potential impact of natural disasters or climate change-related risks on real estate market forecasts?</t>
  </si>
  <si>
    <t>What techniques can real estate professionals use to assess the potential impact of changing interest rates or lending policies on real estate market forecasts?</t>
  </si>
  <si>
    <t>How can real estate professionals assess the potential risks and opportunities associated with demographic shifts, such as urbanization or immigration, on real estate market forecasts?</t>
  </si>
  <si>
    <t>What strategies can real estate professionals employ to gather and analyze data on rental market dynamics, such as vacancy rates or rental yields, for accurate market forecasting?</t>
  </si>
  <si>
    <t>How can real estate professionals evaluate the potential impact of changing consumer behavior, such as the rise of remote work or e-commerce, on real estate market forecasts?</t>
  </si>
  <si>
    <t>What techniques can real estate professionals use to assess the potential impact of changing zoning regulations or land-use policies on real estate market forecasts?</t>
  </si>
  <si>
    <t>How can real estate professionals assess the potential risks and challenges associated with forecasting market conditions for international or global real estate markets?</t>
  </si>
  <si>
    <t>What strategies can real estate professionals employ to assess the impact of industry-specific factors, such as technology advancements or healthcare reforms, on real estate market forecasts?</t>
  </si>
  <si>
    <t>How can real estate professionals leverage predictive modeling or machine learning algorithms for more accurate real estate market forecasts?</t>
  </si>
  <si>
    <t>What are the key considerations for incorporating economic forecasts, such as GDP growth or inflation rates, into real estate market forecasts?</t>
  </si>
  <si>
    <t>How can real estate professionals assess the potential impact of changing consumer preferences or lifestyle trends on real estate market forecasts?</t>
  </si>
  <si>
    <t>What techniques can real estate professionals use to analyze the impact of cultural or demographic diversity on real estate market forecasts?</t>
  </si>
  <si>
    <t>How can real estate professionals evaluate the potential risks and limitations of relying on expert opinions or forecasts provided by industry professionals for market forecasting?</t>
  </si>
  <si>
    <t>What strategies can real estate professionals employ to gather and analyze data on commercial real estate market dynamics, such as absorption rates or cap rates, for accurate market forecasting?</t>
  </si>
  <si>
    <t>How can real estate professionals assess the potential impact of changing regulations or tax policies on real estate market forecasts?</t>
  </si>
  <si>
    <t>What techniques can real estate professionals use to assess the potential impact of changing transportation infrastructure or connectivity on real estate market forecasts?</t>
  </si>
  <si>
    <t>How can real estate professionals evaluate the potential risks and challenges associated with forecasting market conditions for specific property types, such as residential condominiums or industrial warehouses?</t>
  </si>
  <si>
    <t>What strategies can real estate professionals employ to effectively visualize and present real estate market forecasts to clients or stakeholders?</t>
  </si>
  <si>
    <t>How can real estate professionals assess the potential impact of changing environmental regulations or sustainability standards on real estate market forecasts?</t>
  </si>
  <si>
    <t>What techniques can real estate professionals use to assess the potential impact of changing lending practices or credit availability on real estate market forecasts?</t>
  </si>
  <si>
    <t>How can real estate professionals evaluate the potential risks and opportunities associated with technological disruptions, such as proptech or blockchain, on real estate market forecasts?</t>
  </si>
  <si>
    <t>What strategies can real estate professionals employ to gather and analyze data on rental demand drivers, such as employment growth or migration patterns, for accurate market forecasting?</t>
  </si>
  <si>
    <t>How can real estate professionals assess the potential impact of changing urban planning or development policies on real estate market forecasts?</t>
  </si>
  <si>
    <t>What techniques can real estate professionals use to analyze the impact of lifestyle preferences or cultural shifts on real estate market forecasts?</t>
  </si>
  <si>
    <t>How can real estate professionals evaluate the potential risks and limitations of relying solely on quantitative data for market forecasting in dynamic markets?</t>
  </si>
  <si>
    <t>What strategies can real estate professionals employ to incorporate sentiment analysis or social media data into real estate market forecasts?</t>
  </si>
  <si>
    <t>How can real estate professionals assess the potential impact of changing technological innovations or disruptions on real estate market forecasts?</t>
  </si>
  <si>
    <t>What techniques can real estate professionals use to assess the potential impact of changing infrastructure projects or transportation developments on real estate market forecasts?</t>
  </si>
  <si>
    <t>How can real estate professionals evaluate the potential risks and challenges associated with forecasting market conditions for specialized property sectors, such as hospitality or student housing?</t>
  </si>
  <si>
    <t>How can real estate professionals assess the potential impact of changing climate patterns or environmental risks on real estate market forecasts?</t>
  </si>
  <si>
    <t>What techniques can real estate professionals use to assess the potential impact of changing financing options or mortgage rates on real estate market forecasts?</t>
  </si>
  <si>
    <t>How can real estate professionals evaluate the potential risks and opportunities associated with demographic shifts, such as urbanization or aging populations, on real estate market forecasts?</t>
  </si>
  <si>
    <t>How can real estate professionals assess the potential impact of changing consumer behavior, such as the rise of remote work or e-commerce, on real estate market forecasts?</t>
  </si>
  <si>
    <t>What are the key advantages of selling real estate through auctions compared to traditional listing methods?</t>
  </si>
  <si>
    <t>How can real estate professionals effectively market and promote properties to maximize participation and bids in real estate auctions?</t>
  </si>
  <si>
    <t>What strategies can real estate professionals employ to identify and target potential buyers or investors for real estate auctions?</t>
  </si>
  <si>
    <t>How can real estate professionals determine the appropriate starting bid and reserve price for properties being auctioned?</t>
  </si>
  <si>
    <t>What are the key considerations for conducting due diligence and property inspections prior to real estate auctions?</t>
  </si>
  <si>
    <t>How can real estate professionals leverage online auction platforms and technology to reach a wider audience for real estate auctions?</t>
  </si>
  <si>
    <t>What techniques can real estate professionals use to create a sense of urgency and competition among bidders in real estate auctions?</t>
  </si>
  <si>
    <t>How can real estate professionals effectively communicate auction terms, conditions, and bidding procedures to potential buyers?</t>
  </si>
  <si>
    <t>What strategies can real estate professionals employ to handle and negotiate pre-auction offers or offers received during the auction process?</t>
  </si>
  <si>
    <t>How can real estate professionals evaluate the potential risks and challenges associated with selling distressed or foreclosed properties through auctions?</t>
  </si>
  <si>
    <t>What legal and compliance considerations should real estate professionals be aware of when conducting real estate auctions?</t>
  </si>
  <si>
    <t>How can real estate professionals assess the potential impact of market conditions and buyer demand on the success of real estate auctions?</t>
  </si>
  <si>
    <t>What techniques can real estate professionals use to set realistic expectations and guide sellers on the potential outcomes of real estate auctions?</t>
  </si>
  <si>
    <t>How can real estate professionals facilitate a transparent and fair bidding process in real estate auctions?</t>
  </si>
  <si>
    <t>What are the key differences between absolute auctions, reserve auctions, and minimum bid auctions, and when are they most appropriate?</t>
  </si>
  <si>
    <t>How can real estate professionals effectively manage and respond to bidder inquiries and questions during the auction process?</t>
  </si>
  <si>
    <t>What strategies can real estate professionals employ to create compelling auction listings and marketing materials to attract potential buyers?</t>
  </si>
  <si>
    <t>How can real estate professionals leverage social media and digital advertising to generate interest and engagement for real estate auctions?</t>
  </si>
  <si>
    <t>What techniques can real estate professionals use to overcome common objections and concerns from sellers regarding real estate auctions?</t>
  </si>
  <si>
    <t>How can real estate professionals evaluate the potential risks and challenges associated with conducting live in-person auctions versus online auctions?</t>
  </si>
  <si>
    <t>What are the key considerations for selecting the right auctioneer or auction company for real estate auctions?</t>
  </si>
  <si>
    <t>How can real estate professionals assess the potential impact of seller motivations and timelines on the decision to use real estate auctions?</t>
  </si>
  <si>
    <t>What strategies can real estate professionals employ to build relationships with qualified bidders and investors for recurring real estate auctions?</t>
  </si>
  <si>
    <t>How can real estate professionals effectively market and showcase the unique features and selling points of properties being auctioned?</t>
  </si>
  <si>
    <t>What techniques can real estate professionals use to create a competitive bidding environment in real estate auctions, even for properties with limited interest?</t>
  </si>
  <si>
    <t>How can real estate professionals evaluate the potential risks and opportunities associated with offering financing options or seller financing in real estate auctions?</t>
  </si>
  <si>
    <t>What legal and compliance considerations should real estate professionals be aware of when handling earnest money deposits and closing processes in real estate auctions?</t>
  </si>
  <si>
    <t>How can real estate professionals assess the potential impact of economic factors, such as interest rates or inflation, on buyer demand and bidding activity in real estate auctions?</t>
  </si>
  <si>
    <t>What strategies can real estate professionals employ to effectively manage multiple properties being auctioned simultaneously?</t>
  </si>
  <si>
    <t>How can real estate professionals evaluate the potential risks and challenges associated with selling unique or specialty properties, such as historic homes or commercial buildings, through auctions?</t>
  </si>
  <si>
    <t>What techniques can real estate professionals use to generate pre-auction buzz and anticipation for upcoming real estate auctions?</t>
  </si>
  <si>
    <t>How can real estate professionals effectively collaborate with sellers, attorneys, and other stakeholders to ensure a smooth and successful auction process?</t>
  </si>
  <si>
    <t>What are the key considerations for setting auction timelines and deadlines to create a sense of urgency for potential buyers?</t>
  </si>
  <si>
    <t>How can real estate professionals assess the potential impact of local market conditions and competition on the success of real estate auctions?</t>
  </si>
  <si>
    <t>What strategies can real estate professionals employ to handle and negotiate post-auction offers or counteroffers from interested buyers?</t>
  </si>
  <si>
    <t>How can real estate professionals leverage data analytics and market research to determine the optimal timing and seasonality for real estate auctions?</t>
  </si>
  <si>
    <t>What techniques can real estate professionals use to engage and educate potential buyers about the benefits and advantages of participating in real estate auctions?</t>
  </si>
  <si>
    <t>How can real estate professionals evaluate the potential risks and opportunities associated with partnering with other industry professionals or auction houses for collaborative auctions?</t>
  </si>
  <si>
    <t>What legal and compliance considerations should real estate professionals be aware of when conducting online auctions, particularly in different jurisdictions?</t>
  </si>
  <si>
    <t>How can real estate professionals assess the potential impact of market sentiment and investor confidence on bidding activity and final sale prices in real estate auctions?</t>
  </si>
  <si>
    <t>What strategies can real estate professionals employ to manage and mitigate potential conflicts of interest or ethical concerns in real estate auctions?</t>
  </si>
  <si>
    <t>How can real estate professionals effectively negotiate and finalize contract terms with winning bidders in real estate auctions?</t>
  </si>
  <si>
    <t>What techniques can real estate professionals use to create an engaging and memorable auction experience for participants, both in-person and online?</t>
  </si>
  <si>
    <t>How can real estate professionals evaluate the potential risks and challenges associated with selling properties with tenant-occupied units or leases through auctions?</t>
  </si>
  <si>
    <t>What are the key considerations for selecting the right auction format, such as open outcry auctions, sealed bid auctions, or online-only auctions, based on property type and market dynamics?</t>
  </si>
  <si>
    <t>How can real estate professionals assess the potential impact of changing technology and digital innovations on the future of real estate auctions?</t>
  </si>
  <si>
    <t>What strategies can real estate professionals employ to effectively handle bid increments, bidding extensions, and auction time limits to optimize results?</t>
  </si>
  <si>
    <t>How can real estate professionals leverage testimonials and success stories from previous auction clients to build credibility and trust among potential sellers?</t>
  </si>
  <si>
    <t>What techniques can real estate professionals use to identify and address common misconceptions or myths about real estate auctions?</t>
  </si>
  <si>
    <t>How can real estate professionals evaluate the potential risks and opportunities associated with offering incentives or concessions to potential buyers in real estate auctions?</t>
  </si>
  <si>
    <t>What legal and compliance considerations should real estate professionals be aware of when dealing with bid rigging or anti-competitive practices in real estate auctions?</t>
  </si>
  <si>
    <t>How can real estate professionals assess the potential impact of property staging and presentation on buyer interest and bidding activity in real estate auctions?</t>
  </si>
  <si>
    <t>What strategies can real estate professionals employ to effectively manage and communicate property disclosures and condition reports in real estate auctions?</t>
  </si>
  <si>
    <t>How can real estate professionals leverage networking and partnerships with other industry professionals to attract a diverse pool of bidders for real estate auctions?</t>
  </si>
  <si>
    <t>What techniques can real estate professionals use to analyze and interpret bidding patterns and behaviors to gain insights into buyer preferences and strategies in real estate auctions?</t>
  </si>
  <si>
    <t>How can real estate professionals evaluate the potential risks and challenges associated with selling properties with complex ownership structures or legal disputes through auctions?</t>
  </si>
  <si>
    <t>What are the key considerations for handling post-auction negotiations, contingencies, and contract amendments to ensure a smooth closing process for real estate auctions?</t>
  </si>
  <si>
    <t>How can real estate professionals assess the potential impact of changing tax laws or regulations on the appeal and profitability of real estate auctions?</t>
  </si>
  <si>
    <t>What strategies can real estate professionals employ to effectively communicate and manage the expectations of sellers throughout the auction process?</t>
  </si>
  <si>
    <t>How can real estate professionals leverage video marketing and virtual tours to showcase properties and attract remote bidders in real estate auctions?</t>
  </si>
  <si>
    <t>What techniques can real estate professionals use to create a sense of exclusivity and scarcity for properties being auctioned, increasing buyer motivation and competition?</t>
  </si>
  <si>
    <t>How can real estate professionals evaluate the potential risks and opportunities associated with offering seller incentives, such as reduced commissions or closing cost assistance, in real estate auctions?</t>
  </si>
  <si>
    <t>What legal and compliance considerations should real estate professionals be aware of when conducting charity or fundraising auctions involving real estate properties?</t>
  </si>
  <si>
    <t>How can real estate professionals assess the potential impact of environmental factors, such as natural disasters or climate change, on the marketability and value of properties being auctioned?</t>
  </si>
  <si>
    <t>What strategies can real estate professionals employ to effectively manage and address buyer objections and concerns during the auction process?</t>
  </si>
  <si>
    <t>How can real estate professionals leverage partnerships with local businesses and organizations to promote real estate auctions and attract a broader audience?</t>
  </si>
  <si>
    <t>What techniques can real estate professionals use to conduct pre-auction property tours or open houses to generate buyer interest and confidence?</t>
  </si>
  <si>
    <t>How can real estate professionals evaluate the potential risks and challenges associated with selling properties with structural or repair issues through auctions?</t>
  </si>
  <si>
    <t>What are the key considerations for selecting the appropriate auction method, such as absolute auction, minimum bid auction, or multi-property auction, based on property characteristics and market conditions?</t>
  </si>
  <si>
    <t>How can real estate professionals assess the potential impact of media coverage and public relations efforts on generating buzz and driving participation in real estate auctions?</t>
  </si>
  <si>
    <t>What are the key factors to consider when selecting a potential real estate development site?</t>
  </si>
  <si>
    <t>How can real estate developers assess the feasibility and profitability of a proposed development project?</t>
  </si>
  <si>
    <t>What strategies can real estate developers employ to conduct thorough market research and analysis before initiating a development project?</t>
  </si>
  <si>
    <t>How can real estate developers navigate the regulatory and permitting processes involved in real estate development?</t>
  </si>
  <si>
    <t>What are the essential steps in the development process, from concept to completion, that real estate developers should follow?</t>
  </si>
  <si>
    <t>How can real estate developers evaluate the potential risks and challenges associated with brownfield redevelopment or adaptive reuse projects?</t>
  </si>
  <si>
    <t>What techniques can real estate developers use to identify and secure financing options for development projects?</t>
  </si>
  <si>
    <t>How can real estate developers effectively manage project timelines, budgets, and resources during the development process?</t>
  </si>
  <si>
    <t>What strategies can real estate developers employ to incorporate sustainable and environmentally friendly practices in their development projects?</t>
  </si>
  <si>
    <t>How can real estate developers assess the potential impact of changing market conditions, such as supply and demand dynamics, on the success of a development project?</t>
  </si>
  <si>
    <t>What are the key considerations for conducting a thorough cost-benefit analysis of a real estate development project?</t>
  </si>
  <si>
    <t>How can real estate developers leverage technology and data analytics to streamline and optimize the development process?</t>
  </si>
  <si>
    <t>What techniques can real estate developers use to collaborate with architects, engineers, and other professionals to design and execute successful development projects?</t>
  </si>
  <si>
    <t>How can real estate developers evaluate the potential risks and opportunities associated with mixed-use development projects?</t>
  </si>
  <si>
    <t>What strategies can real estate developers employ to attract and engage stakeholders, including investors, partners, and local communities, in their development projects?</t>
  </si>
  <si>
    <t>How can real estate developers assess the potential impact of changing demographics and market trends on the design and functionality of a development project?</t>
  </si>
  <si>
    <t>What are the key considerations for conducting a comprehensive feasibility study, including market analysis, financial projections, and risk assessment, for a real estate development project?</t>
  </si>
  <si>
    <t>How can real estate developers effectively navigate zoning regulations, land-use restrictions, and other legal considerations in the development process?</t>
  </si>
  <si>
    <t>What techniques can real estate developers use to incorporate smart technologies and innovative features in their development projects?</t>
  </si>
  <si>
    <t>How can real estate developers evaluate the potential risks and challenges associated with large-scale, master-planned development projects?</t>
  </si>
  <si>
    <t>What strategies can real estate developers employ to conduct community outreach and gain public support for their development projects?</t>
  </si>
  <si>
    <t>How can real estate developers assess the potential impact of infrastructure developments, such as transportation upgrades or utility expansions, on the value and viability of a development project?</t>
  </si>
  <si>
    <t>What are the key considerations for conducting a thorough competitive analysis of similar development projects in the area?</t>
  </si>
  <si>
    <t>How can real estate developers leverage partnerships and joint ventures with other industry professionals or organizations to enhance the success of a development project?</t>
  </si>
  <si>
    <t>What techniques can real estate developers use to balance economic feasibility with social and environmental sustainability in their development projects?</t>
  </si>
  <si>
    <t>How can real estate developers evaluate the potential risks and challenges associated with developing properties in emerging or high-growth markets?</t>
  </si>
  <si>
    <t>What strategies can real estate developers employ to mitigate potential risks and challenges associated with construction delays, cost overruns, or unforeseen obstacles?</t>
  </si>
  <si>
    <t>How can real estate developers effectively manage and address community concerns, such as gentrification or displacement, during the development process?</t>
  </si>
  <si>
    <t>What are the key considerations for incorporating design principles and architectural aesthetics that align with the target market and project objectives?</t>
  </si>
  <si>
    <t>How can real estate developers assess the potential impact of changing technology trends, such as automation or virtual reality, on the design and functionality of a development project?</t>
  </si>
  <si>
    <t>What techniques can real estate developers use to conduct comprehensive market demand analysis and identify target demographics for a development project?</t>
  </si>
  <si>
    <t>How can real estate developers leverage sustainable design and green building practices to enhance the marketability and value of their development projects?</t>
  </si>
  <si>
    <t>What strategies can real estate developers employ to create and execute effective marketing and branding campaigns for their development projects?</t>
  </si>
  <si>
    <t>How can real estate developers evaluate the potential risks and challenges associated with developing properties in historic districts or heritage sites?</t>
  </si>
  <si>
    <t>What are the key considerations for selecting and managing construction contractors and subcontractors for a real estate development project?</t>
  </si>
  <si>
    <t>How can real estate developers effectively communicate and negotiate with local authorities, government agencies, and community stakeholders during the development process?</t>
  </si>
  <si>
    <t>What techniques can real estate developers use to incorporate amenities and lifestyle features that appeal to the target market in their development projects?</t>
  </si>
  <si>
    <t>How can real estate developers assess the potential impact of economic factors, such as interest rates or inflation, on the financial viability of a development project?</t>
  </si>
  <si>
    <t>What strategies can real estate developers employ to conduct comprehensive risk assessment and develop contingency plans for their development projects?</t>
  </si>
  <si>
    <t>How can real estate developers leverage partnerships with educational institutions or research centers to incorporate innovation and technology in their development projects?</t>
  </si>
  <si>
    <t>What are the key considerations for conducting a thorough site analysis, including environmental assessments and infrastructure evaluations, for a real estate development project?</t>
  </si>
  <si>
    <t>How can real estate developers assess the potential impact of demographic shifts, such as population growth or aging populations, on the demand for specific types of development projects?</t>
  </si>
  <si>
    <t>What techniques can real estate developers use to optimize the layout and space utilization in their development projects?</t>
  </si>
  <si>
    <t>How can real estate developers evaluate the potential risks and challenges associated with developing properties in high-risk areas, such as flood zones or earthquake-prone regions?</t>
  </si>
  <si>
    <t>What strategies can real estate developers employ to foster positive relationships with local communities and address community needs and preferences in their development projects?</t>
  </si>
  <si>
    <t>How can real estate developers assess the potential impact of changing consumer preferences and lifestyle trends on the design and amenities of a development project?</t>
  </si>
  <si>
    <t>What are the key considerations for selecting and acquiring properties or land parcels for a real estate development project?</t>
  </si>
  <si>
    <t>How can real estate developers effectively analyze and interpret market data and trends to identify emerging opportunities for development projects?</t>
  </si>
  <si>
    <t>What techniques can real estate developers use to create compelling and visually appealing marketing materials, such as renderings or virtual tours, for their development projects?</t>
  </si>
  <si>
    <t>How can real estate developers evaluate the potential risks and challenges associated with developing properties in international markets or foreign countries?</t>
  </si>
  <si>
    <t>What strategies can real estate developers employ to secure long-term financing options for development projects, such as construction loans or equity partnerships?</t>
  </si>
  <si>
    <t>How can real estate developers assess the potential impact of changing government policies or regulations on the feasibility and profitability of a development project?</t>
  </si>
  <si>
    <t>What are the key considerations for conducting a thorough financial analysis, including projected revenues, costs, and return on investment, for a real estate development project?</t>
  </si>
  <si>
    <t>How can real estate developers effectively communicate and collaborate with project stakeholders, including architects, contractors, investors, and government officials?</t>
  </si>
  <si>
    <t>What techniques can real estate developers use to incorporate sustainable and energy-efficient features in their development projects, such as solar panels or green roofs?</t>
  </si>
  <si>
    <t>How can real estate developers evaluate the potential risks and challenges associated with developing mixed-income or affordable housing projects?</t>
  </si>
  <si>
    <t>What strategies can real estate developers employ to optimize the use of available space and maximize the potential revenue streams in their development projects?</t>
  </si>
  <si>
    <t>How can real estate developers assess the potential impact of changing consumer preferences and market demands on the types and sizes of units or properties in a development project?</t>
  </si>
  <si>
    <t>What are the key considerations for conducting a comprehensive due diligence process, including property inspections, title searches, and legal reviews, for a real estate development project?</t>
  </si>
  <si>
    <t>How can real estate developers leverage data analytics and predictive modeling to forecast market demand and inform their development decisions?</t>
  </si>
  <si>
    <t>What techniques can real estate developers use to create engaging and interactive virtual reality experiences for their development projects?</t>
  </si>
  <si>
    <t>What are the key tax deductions and credits available to real estate professionals, such as depreciation, mortgage interest, and property tax deductions?</t>
  </si>
  <si>
    <t>How can real estate professionals strategically use 1031 exchanges to defer capital gains taxes when selling and acquiring investment properties?</t>
  </si>
  <si>
    <t>What are the tax implications of different types of real estate investments, such as residential rental properties, commercial properties, and real estate investment trusts (REITs)?</t>
  </si>
  <si>
    <t>How can real estate professionals structure their real estate business entities, such as limited liability companies (LLCs) or partnerships, to optimize tax benefits and liability protection?</t>
  </si>
  <si>
    <t>What strategies can real estate professionals employ to minimize their tax liability when flipping properties for short-term gains?</t>
  </si>
  <si>
    <t>How can real estate professionals navigate the tax rules and regulations related to short-term rentals, such as Airbnb or vacation rentals?</t>
  </si>
  <si>
    <t>What are the key considerations for real estate professionals when claiming home office deductions and other business-related expenses?</t>
  </si>
  <si>
    <t>How can real estate professionals take advantage of cost segregation studies to accelerate depreciation and increase tax savings on commercial properties?</t>
  </si>
  <si>
    <t>What tax planning techniques can real estate professionals use to optimize their overall tax position and maximize after-tax profits?</t>
  </si>
  <si>
    <t>How can real estate professionals structure seller financing arrangements to minimize tax liabilities and maximize cash flow?</t>
  </si>
  <si>
    <t>What tax implications should real estate professionals consider when investing in real estate through self-directed individual retirement accounts (IRAs) or 401(k)s?</t>
  </si>
  <si>
    <t>How can real estate professionals utilize like-kind exchanges to defer taxes when exchanging properties for similar investment properties?</t>
  </si>
  <si>
    <t>What tax strategies can real estate professionals employ to minimize the impact of the alternative minimum tax (AMT) on their real estate investments?</t>
  </si>
  <si>
    <t>How can real estate professionals leverage tax-efficient estate planning techniques, such as gifting or charitable contributions, to preserve wealth and pass down properties to heirs?</t>
  </si>
  <si>
    <t>What are the tax implications of investing in real estate syndications or private equity funds?</t>
  </si>
  <si>
    <t>How can real estate professionals navigate the tax rules and regulations related to passive losses and material participation in real estate investments?</t>
  </si>
  <si>
    <t>What strategies can real estate professionals employ to take advantage of the opportunity zone program and receive tax benefits for investing in designated economically distressed areas?</t>
  </si>
  <si>
    <t>How can real estate professionals optimize their tax position when investing in real estate through a self-directed solo 401(k) or self-directed IRA?</t>
  </si>
  <si>
    <t>What tax considerations should real estate professionals be aware of when investing in international real estate or dealing with foreign investors?</t>
  </si>
  <si>
    <t>How can real estate professionals utilize tax-deferred retirement accounts, such as self-directed SEP-IRAs or solo 401(k)s, to fund real estate investments?</t>
  </si>
  <si>
    <t>What are the key tax implications for real estate professionals when acquiring, developing, and selling land for future development?</t>
  </si>
  <si>
    <t>How can real estate professionals effectively track and document their expenses and income to ensure accurate tax reporting and compliance?</t>
  </si>
  <si>
    <t>What tax strategies can real estate professionals employ to maximize deductions for property improvements, repairs, and renovations?</t>
  </si>
  <si>
    <t>How can real estate professionals optimize their tax position when investing in real estate crowdfunding platforms?</t>
  </si>
  <si>
    <t>What are the tax considerations for real estate professionals when investing in real estate investment trusts (REITs) or publicly traded real estate securities?</t>
  </si>
  <si>
    <t>How can real estate professionals leverage tax credits, such as historic rehabilitation tax credits or energy efficiency credits, in their real estate investments?</t>
  </si>
  <si>
    <t>What tax planning techniques can real estate professionals use to optimize the timing of property acquisitions and sales for maximum tax advantages?</t>
  </si>
  <si>
    <t>How can real estate professionals navigate the tax rules and regulations related to passive activity losses and real estate professional status?</t>
  </si>
  <si>
    <t>What tax strategies can real estate professionals employ to optimize the tax treatment of rental income and expenses for residential and commercial properties?</t>
  </si>
  <si>
    <t>How can real estate professionals minimize tax liabilities when transferring real estate assets through gifting or inheritance?</t>
  </si>
  <si>
    <t>What are the key tax implications for real estate professionals when investing in real estate through a self-directed Health Savings Account (HSA)?</t>
  </si>
  <si>
    <t>How can real estate professionals utilize tax-advantaged retirement accounts, such as a self-directed Roth IRA, to invest in real estate?</t>
  </si>
  <si>
    <t>What tax considerations should real estate professionals be aware of when investing in real estate through a real estate crowdfunding platform?</t>
  </si>
  <si>
    <t>How can real estate professionals structure lease agreements to optimize tax deductions and benefits?</t>
  </si>
  <si>
    <t>What strategies can real estate professionals employ to take advantage of tax credits and incentives for investing in affordable housing or low-income housing projects?</t>
  </si>
  <si>
    <t>How can real estate professionals navigate the tax rules and regulations related to short-term vacation rental income, such as Airbnb rentals?</t>
  </si>
  <si>
    <t>What are the tax implications of selling real estate through owner financing or installment sales agreements?</t>
  </si>
  <si>
    <t>How can real estate professionals leverage tax advantages for investing in opportunity zones and qualifying opportunity zone businesses?</t>
  </si>
  <si>
    <t>What tax strategies can real estate professionals employ to optimize the tax treatment of real estate development projects, including land improvements and infrastructure costs?</t>
  </si>
  <si>
    <t>How can real estate professionals minimize tax liabilities when transferring real estate assets through trusts or other estate planning vehicles?</t>
  </si>
  <si>
    <t>What are the key tax implications for real estate professionals when investing in real estate investment partnerships or joint ventures?</t>
  </si>
  <si>
    <t>How can real estate professionals utilize tax-deferred exchanges to acquire properties with higher income potential and tax advantages?</t>
  </si>
  <si>
    <t>What tax considerations should real estate professionals be aware of when investing in real estate through a self-directed Simplified Employee Pension (SEP) IRA?</t>
  </si>
  <si>
    <t>How can real estate professionals structure lease-option agreements to maximize tax benefits and flexibility in property transactions?</t>
  </si>
  <si>
    <t>What strategies can real estate professionals employ to take advantage of tax deductions for home-based businesses in their real estate ventures?</t>
  </si>
  <si>
    <t>How can real estate professionals navigate the tax rules and regulations related to foreign real estate investments, including withholding taxes and reporting requirements?</t>
  </si>
  <si>
    <t>What are the tax implications of investing in real estate through real estate investment clubs or syndications?</t>
  </si>
  <si>
    <t>How can real estate professionals optimize their tax position when investing in real estate through a self-directed Individual 401(k) plan?</t>
  </si>
  <si>
    <t>What tax planning techniques can real estate professionals use to minimize the impact of self-employment taxes on their real estate business income?</t>
  </si>
  <si>
    <t>How can real estate professionals leverage tax benefits for investing in properties in designated historic districts or preservation areas?</t>
  </si>
  <si>
    <t>How can real estate professionals adapt their business strategies in response to market disruptions, such as economic recessions or downturns?</t>
  </si>
  <si>
    <t>What are the key considerations for real estate professionals when navigating the impact of technological advancements, such as proptech and online marketplaces, on the real estate industry?</t>
  </si>
  <si>
    <t>How can real estate professionals leverage data analytics and predictive modeling to anticipate and respond to market disruptions?</t>
  </si>
  <si>
    <t>What strategies can real estate professionals employ to mitigate the risks associated with market fluctuations and disruptions?</t>
  </si>
  <si>
    <t>How can real estate professionals adapt their marketing and advertising strategies to reach and engage with customers in the midst of market disruptions?</t>
  </si>
  <si>
    <t>What are the key challenges and opportunities for real estate professionals when operating in a highly competitive market with frequent disruptions?</t>
  </si>
  <si>
    <t>How can real estate professionals effectively communicate and reassure clients during periods of market volatility and uncertainty?</t>
  </si>
  <si>
    <t>What innovative financing options and strategies can real estate professionals explore to overcome financial challenges caused by market disruptions?</t>
  </si>
  <si>
    <t>How can real estate professionals stay informed and updated about emerging market trends and potential disruptions?</t>
  </si>
  <si>
    <t>What are the key considerations for real estate professionals when diversifying their investment portfolios to withstand market disruptions?</t>
  </si>
  <si>
    <t>How can real estate professionals leverage technology and automation to streamline their business operations and adapt to market disruptions?</t>
  </si>
  <si>
    <t>What strategies can real estate professionals employ to identify and capitalize on new market opportunities arising from market disruptions?</t>
  </si>
  <si>
    <t>How can real estate professionals build resilient and adaptable business models to thrive in a rapidly changing market landscape?</t>
  </si>
  <si>
    <t>What are the potential long-term effects of market disruptions on real estate investment strategies and asset valuations?</t>
  </si>
  <si>
    <t>How can real estate professionals effectively manage client expectations and provide accurate market assessments during times of market disruptions?</t>
  </si>
  <si>
    <t>What risk management strategies and insurance options should real estate professionals consider to protect their investments against market disruptions?</t>
  </si>
  <si>
    <t>How can real estate professionals leverage social media and online platforms to maintain a strong market presence and engage with customers during market disruptions?</t>
  </si>
  <si>
    <t>What are the key considerations for real estate professionals when diversifying their services or expanding into new real estate markets in response to disruptions?</t>
  </si>
  <si>
    <t>How can real estate professionals proactively identify and address potential legal and regulatory challenges arising from market disruptions?</t>
  </si>
  <si>
    <t>What strategies can real estate professionals employ to build and maintain strong relationships with industry partners and stakeholders during market disruptions?</t>
  </si>
  <si>
    <t>How can real estate professionals leverage virtual and remote technologies to conduct property viewings and transactions during times of market disruptions?</t>
  </si>
  <si>
    <t>What innovative marketing and branding strategies can real estate professionals adopt to differentiate themselves and stand out in a competitive and disrupted market?</t>
  </si>
  <si>
    <t>How can real estate professionals effectively analyze and interpret market data to identify emerging trends and anticipate future disruptions?</t>
  </si>
  <si>
    <t>What are the key considerations for real estate professionals when diversifying their property portfolios to include assets that are less susceptible to market disruptions?</t>
  </si>
  <si>
    <t>How can real estate professionals provide value-added services, such as market research and analysis, to clients navigating market disruptions?</t>
  </si>
  <si>
    <t>What strategies can real estate professionals employ to maintain positive cash flow and financial stability during periods of market disruptions?</t>
  </si>
  <si>
    <t>How can real estate professionals adapt their property management practices to address the unique challenges posed by market disruptions?</t>
  </si>
  <si>
    <t>What are the potential opportunities for real estate professionals to acquire distressed properties or assets at discounted prices during market disruptions?</t>
  </si>
  <si>
    <t>How can real estate professionals effectively communicate and collaborate with industry peers and competitors to navigate market disruptions collectively?</t>
  </si>
  <si>
    <t>What are the key considerations for real estate professionals when evaluating the impact of demographic shifts and changing consumer preferences on the market during disruptions?</t>
  </si>
  <si>
    <t>How can real estate professionals leverage their networks and connections to identify potential investment opportunities and partnerships during market disruptions?</t>
  </si>
  <si>
    <t>What strategies can real estate professionals employ to maintain a strong online presence and engage with clients through digital marketing channels during market disruptions?</t>
  </si>
  <si>
    <t>How can real estate professionals adapt their pricing strategies to remain competitive and attract buyers or tenants in a disrupted market?</t>
  </si>
  <si>
    <t>What are the potential challenges and opportunities for real estate professionals when dealing with distressed properties and foreclosures during market disruptions?</t>
  </si>
  <si>
    <t>How can real estate professionals leverage alternative financing options, such as peer-to-peer lending or crowdfunding, to overcome funding challenges during market disruptions?</t>
  </si>
  <si>
    <t>What innovative property marketing and showcasing techniques can real estate professionals utilize to attract buyers or tenants during market disruptions?</t>
  </si>
  <si>
    <t>How can real estate professionals effectively manage and address customer concerns and inquiries during times of market disruptions?</t>
  </si>
  <si>
    <t>What strategies can real estate professionals employ to anticipate and respond to changing government policies and regulations impacting the real estate market during disruptions?</t>
  </si>
  <si>
    <t>How can real estate professionals stay ahead of the curve by proactively monitoring and adapting to emerging market disruptions?</t>
  </si>
  <si>
    <t>What are the key considerations for real estate professionals when evaluating the impact of global events, such as pandemics or geopolitical changes, on the local real estate market during disruptions?</t>
  </si>
  <si>
    <t>How can real estate professionals leverage data-driven market insights and trend analysis to make informed decisions during times of market disruptions?</t>
  </si>
  <si>
    <t>What strategies can real estate professionals employ to enhance property security and protect their investments during periods of market disruptions?</t>
  </si>
  <si>
    <t>How can real estate professionals effectively negotiate and navigate contract terms and contingencies in a volatile and disrupted market?</t>
  </si>
  <si>
    <t>What are the potential opportunities for real estate professionals to engage in joint ventures or collaborations with industry peers to mitigate risks and leverage resources during market disruptions?</t>
  </si>
  <si>
    <t>How can real estate professionals utilize strategic partnerships with property management companies or service providers to optimize property performance during market disruptions?</t>
  </si>
  <si>
    <t>What strategies can real estate professionals employ to effectively market and sell properties through virtual tours and online platforms during times of market disruptions?</t>
  </si>
  <si>
    <t>How can real estate professionals proactively address potential financing challenges, such as tightening lending requirements, in a disrupted market?</t>
  </si>
  <si>
    <t>What are the key considerations for real estate professionals when evaluating the impact of environmental or climate-related factors on the market during disruptions?</t>
  </si>
  <si>
    <t>How can real estate professionals leverage content marketing and thought leadership to position themselves as trusted advisors in a disrupted market?</t>
  </si>
  <si>
    <t>What strategies can real estate professionals employ to maintain high customer satisfaction and retention rates during times of market disruptions?</t>
  </si>
  <si>
    <t>What are the key considerations for real estate investors when exploring opportunities in foreign real estate markets?</t>
  </si>
  <si>
    <t>How can real estate investors conduct thorough market research and analysis to evaluate the potential of investing in foreign markets?</t>
  </si>
  <si>
    <t>What are the legal and regulatory requirements that real estate investors should be aware of when investing in foreign real estate markets?</t>
  </si>
  <si>
    <t>How can real estate investors identify reliable local partners and professionals to navigate foreign real estate markets?</t>
  </si>
  <si>
    <t>What are the risks and challenges associated with investing in foreign real estate markets, and how can investors mitigate them?</t>
  </si>
  <si>
    <t>What strategies can real estate investors employ to effectively manage properties in foreign markets, including dealing with language and cultural differences?</t>
  </si>
  <si>
    <t>How can real estate investors assess the economic stability and growth potential of foreign real estate markets?</t>
  </si>
  <si>
    <t>What are the tax implications and considerations for real estate investors when investing in foreign real estate markets?</t>
  </si>
  <si>
    <t>How can real estate investors identify emerging trends and opportunities in foreign real estate markets?</t>
  </si>
  <si>
    <t>What financing options and strategies are available to real estate investors when investing in foreign real estate markets?</t>
  </si>
  <si>
    <t>How can real estate investors navigate currency exchange risks and fluctuations when investing in foreign markets?</t>
  </si>
  <si>
    <t>What are the key factors to consider when selecting specific cities or regions within foreign real estate markets for investment?</t>
  </si>
  <si>
    <t>How can real estate investors evaluate the rental market dynamics and potential rental yields in foreign real estate markets?</t>
  </si>
  <si>
    <t>What due diligence processes should real estate investors follow when conducting property inspections and assessments in foreign markets?</t>
  </si>
  <si>
    <t>How can real estate investors assess the legal framework and property rights protection in foreign real estate markets?</t>
  </si>
  <si>
    <t>What are the exit strategies available to real estate investors when investing in foreign real estate markets?</t>
  </si>
  <si>
    <t>How can real estate investors build a network of local contacts and professionals to support their investments in foreign markets?</t>
  </si>
  <si>
    <t>What are the financing options and strategies available to foreign investors when purchasing properties in foreign real estate markets?</t>
  </si>
  <si>
    <t>How can real estate investors assess the political and social stability of foreign real estate markets before making investment decisions?</t>
  </si>
  <si>
    <t>What strategies can real estate investors employ to manage foreign currency transactions and minimize associated costs?</t>
  </si>
  <si>
    <t>How can real estate investors navigate the process of acquiring and transferring property titles in foreign real estate markets?</t>
  </si>
  <si>
    <t>What are the key considerations for real estate investors when evaluating the rental demand and tenant profiles in foreign markets?</t>
  </si>
  <si>
    <t>How can real estate investors identify the most profitable property types and sectors within foreign real estate markets?</t>
  </si>
  <si>
    <t>What are the risks and benefits of investing in emerging markets versus established markets for real estate investors?</t>
  </si>
  <si>
    <t>Print on Demand (POD)</t>
  </si>
  <si>
    <t>What is Print on Demand (POD) and how does it work?</t>
  </si>
  <si>
    <t>What are the benefits of using Print on Demand for selling products online?</t>
  </si>
  <si>
    <t>How has Print on Demand revolutionized the e-commerce industry?</t>
  </si>
  <si>
    <t>How to assess the potential niche expansion opportunities and diversification within the Print on Demand industry on Etsy?</t>
  </si>
  <si>
    <t>What are the niche-specific content formats and platforms to engage the target audience on Etsy?</t>
  </si>
  <si>
    <t>How to identify and cater to niche-specific cultural preferences and sensitivities within Print on Demand on Etsy?</t>
  </si>
  <si>
    <t>What are the potential niches related to fashion and apparel for Print on Demand on Etsy?</t>
  </si>
  <si>
    <t>How to analyze and leverage niche-specific customer reviews and feedback for product improvement on Etsy?</t>
  </si>
  <si>
    <t>What are the niche-specific strategies for generating organic traffic and visibility within Print on Demand on Etsy?</t>
  </si>
  <si>
    <t>How to identify and tap into niche-specific gifting markets and occasions for Print on Demand on Etsy?</t>
  </si>
  <si>
    <t>What are the niche-specific product bundling and cross-selling opportunities for increasing average order value on Etsy?</t>
  </si>
  <si>
    <t>How to brainstorm and generate unique design ideas for Print on Demand products on Etsy?</t>
  </si>
  <si>
    <t>What are the key elements of a visually appealing and marketable design for Print on Demand on Etsy?</t>
  </si>
  <si>
    <t>How to create designs that cater to specific niches and target audiences on Etsy?</t>
  </si>
  <si>
    <t>What are the best practices for designing typography-based Print on Demand products on Etsy?</t>
  </si>
  <si>
    <t>How to create eye-catching and trendy designs for apparel and accessories on Etsy?</t>
  </si>
  <si>
    <t>What are the techniques for creating cohesive design collections for Print on Demand on Etsy?</t>
  </si>
  <si>
    <t>How to incorporate popular design trends into Print on Demand products on Etsy?</t>
  </si>
  <si>
    <t>What are the considerations for designing for different Print on Demand product types, such as mugs or phone cases, on Etsy?</t>
  </si>
  <si>
    <t>How to effectively use colors and color combinations to enhance the visual impact of Print on Demand designs on Etsy?</t>
  </si>
  <si>
    <t>What are the techniques for creating engaging and marketable designs for home decor items on Etsy?</t>
  </si>
  <si>
    <t>How to optimize designs for different printing methods used in Print on Demand on Etsy?</t>
  </si>
  <si>
    <t>What are the design strategies for creating evergreen and timeless designs for Print on Demand on Etsy?</t>
  </si>
  <si>
    <t>How to create designs that evoke specific emotions and resonate with customers on Etsy?</t>
  </si>
  <si>
    <t>What are the tools and software options available for designing Print on Demand products on Etsy?</t>
  </si>
  <si>
    <t>How to create designs that align with the brand identity and storytelling of a Print on Demand shop on Etsy?</t>
  </si>
  <si>
    <t>What are the design considerations for creating scalable and adaptable designs for multiple products on Etsy?</t>
  </si>
  <si>
    <t>How to incorporate user-generated content or customer requests into the design process for Print on Demand on Etsy?</t>
  </si>
  <si>
    <t>What are the techniques for creating designs that can be easily customized or personalized by customers on Etsy?</t>
  </si>
  <si>
    <t>How to create designs that effectively communicate a message or convey a specific theme on Print on Demand products on Etsy?</t>
  </si>
  <si>
    <t>What are the design strategies for creating visually appealing patterns and illustrations for Print on Demand on Etsy?</t>
  </si>
  <si>
    <t>How to create designs that cater to specific seasons, holidays, or special occasions for Print on Demand on Etsy?</t>
  </si>
  <si>
    <t>What are the design considerations for creating designs with a global appeal and cultural sensitivity on Etsy?</t>
  </si>
  <si>
    <t>How to optimize designs for high-quality printing and product representation on Etsy?</t>
  </si>
  <si>
    <t>What are the best practices for designing mockups and product previews for Print on Demand on Etsy?</t>
  </si>
  <si>
    <t>How to create designs that stand out and differentiate from competitors' products on Etsy?</t>
  </si>
  <si>
    <t>What are the techniques for incorporating hand-drawn or hand-lettered elements into Print on Demand designs on Etsy?</t>
  </si>
  <si>
    <t>How to create designs with a consistent and recognizable style for a Print on Demand shop on Etsy?</t>
  </si>
  <si>
    <t>What are the design strategies for creating designs that appeal to different age groups or demographics on Etsy?</t>
  </si>
  <si>
    <t>How to create designs that can be easily adapted for seasonal or limited-time offers on Print on Demand on Etsy?</t>
  </si>
  <si>
    <t>What are the considerations for designing products with multiple variations or customization options on Etsy?</t>
  </si>
  <si>
    <t>How to create designs that effectively showcase the unique features and selling points of a Print on Demand product on Etsy?</t>
  </si>
  <si>
    <t>What are the design techniques for creating designs that evoke a sense of nostalgia or vintage aesthetics on Etsy?</t>
  </si>
  <si>
    <t>How to create designs that can be used for branding and marketing purposes on Print on Demand products on Etsy?</t>
  </si>
  <si>
    <t>What are the considerations for designing products with text-based designs or quotes on Etsy?</t>
  </si>
  <si>
    <t>How to create designs that are optimized for different product sizes and dimensions on Print on Demand on Etsy?</t>
  </si>
  <si>
    <t>What are the design strategies for creating designs that cater to specific hobbies or interests on Etsy?</t>
  </si>
  <si>
    <t>How to create designs that convey a sense of luxury or premium quality for high-end Print on Demand products on Etsy?</t>
  </si>
  <si>
    <t>What are the techniques for incorporating trending icons, symbols, or motifs into Print on Demand designs on Etsy?</t>
  </si>
  <si>
    <t>How to create designs that effectively target specific geographic markets or regions on Etsy?</t>
  </si>
  <si>
    <t>What are the design considerations for creating designs with a strong visual hierarchy and composition on Print on Demand products on Etsy?</t>
  </si>
  <si>
    <t>How to create designs that appeal to different genders or target gender-specific markets on Etsy?</t>
  </si>
  <si>
    <t>What are the techniques for creating designs that can be easily adapted for different product colors or backgrounds on Print on Demand on Etsy?</t>
  </si>
  <si>
    <t>How to create designs that align with popular culture references or fandoms for Print on Demand on Etsy?</t>
  </si>
  <si>
    <t>What are the design strategies for creating designs that cater to the eco-conscious or sustainability-focused market on Etsy?</t>
  </si>
  <si>
    <t>How to create designs that effectively utilize negative space and minimalistic aesthetics on Print on Demand products on Etsy?</t>
  </si>
  <si>
    <t>What are the considerations for designing designs with a strong call-to-action or promotional message on Etsy?</t>
  </si>
  <si>
    <t>How to create designs that cater to specific age groups, such as children or seniors, for Print on Demand on Etsy?</t>
  </si>
  <si>
    <t>What are the design techniques for creating designs that convey a sense of humor or playfulness on Etsy?</t>
  </si>
  <si>
    <t>How to create designs that are optimized for different printing techniques, such as sublimation or screen printing, on Print on Demand products on Etsy?</t>
  </si>
  <si>
    <t>What are the design considerations for creating designs that can be easily resized or adapted for different product placements on Etsy?</t>
  </si>
  <si>
    <t>How to create designs that effectively utilize texture and visual effects for enhanced product appeal on Print on Demand on Etsy?</t>
  </si>
  <si>
    <t>What are the techniques for creating designs that can be easily localized or translated for international markets on Etsy?</t>
  </si>
  <si>
    <t>How to create designs that cater to specific professions or occupational interests on Print on Demand on Etsy?</t>
  </si>
  <si>
    <t>What are the design strategies for creating designs that appeal to specific subcultures or niche communities on Etsy?</t>
  </si>
  <si>
    <t>How to create designs that effectively utilize trending design elements, such as gradients or geometric shapes, on Print on Demand products on Etsy?</t>
  </si>
  <si>
    <t>What are the considerations for creating designs that cater to the LGBTQ+ community or support social causes on Etsy?</t>
  </si>
  <si>
    <t>How to create designs that effectively utilize photographic elements or collages for Print on Demand on Etsy?</t>
  </si>
  <si>
    <t>What are the design techniques for creating designs that evoke a sense of adventure or exploration on Etsy?</t>
  </si>
  <si>
    <t>How to create designs that align with specific design aesthetics or art movements for Print on Demand on Etsy?</t>
  </si>
  <si>
    <t>What are the design considerations for creating designs with a cohesive and recognizable brand identity for a Print on Demand shop on Etsy?</t>
  </si>
  <si>
    <t>How to create designs that effectively convey the benefits or features of a Print on Demand product on Etsy?</t>
  </si>
  <si>
    <t>What are the techniques for incorporating cultural symbolism or references into Print on Demand designs on Etsy?</t>
  </si>
  <si>
    <t>How to create designs that cater to specific pet owners or animal lovers for Print on Demand on Etsy?</t>
  </si>
  <si>
    <t>What are the design strategies for creating designs that appeal to specific fandoms or geek culture on Etsy?</t>
  </si>
  <si>
    <t>How to create designs that effectively utilize storytelling or narrative elements for Print on Demand products on Etsy?</t>
  </si>
  <si>
    <t>What are the considerations for designing designs with a vintage or retro-inspired aesthetic on Etsy?</t>
  </si>
  <si>
    <t>How to create designs that cater to specific hobbies or interests within the sports and fitness niche on Print on Demand on Etsy?</t>
  </si>
  <si>
    <t>What are the techniques for creating designs that can be easily adapted for different languages or cultural contexts on Etsy?</t>
  </si>
  <si>
    <t>How to create designs that effectively utilize seasonal motifs or themes for Print on Demand products on Etsy?</t>
  </si>
  <si>
    <t>What are the design considerations for creating designs that can be easily scaled or resized for different product variations on Etsy?</t>
  </si>
  <si>
    <t>How to create designs that incorporate elements of nature or environmental sustainability for Print on Demand on Etsy?</t>
  </si>
  <si>
    <t>What are the techniques for creating designs that evoke a sense of nostalgia or sentimental value on Etsy?</t>
  </si>
  <si>
    <t>How to create designs that cater to specific dietary preferences or food-related interests for Print on Demand on Etsy?</t>
  </si>
  <si>
    <t>What are the design strategies for creating designs that appeal to specific spiritual or mindfulness practices on Etsy?</t>
  </si>
  <si>
    <t>How to create designs that effectively utilize abstract or artistic interpretations for Print on Demand products on Etsy?</t>
  </si>
  <si>
    <t>What are the considerations for designing designs with a futuristic or technological theme on Etsy?</t>
  </si>
  <si>
    <t>How to create designs that cater to specific music genres or musical interests for Print on Demand on Etsy?</t>
  </si>
  <si>
    <t>What are the design techniques for creating designs that evoke a sense of relaxation or tranquility on Etsy?</t>
  </si>
  <si>
    <t>How to create designs that effectively utilize cultural patterns or motifs for Print on Demand products on Etsy?</t>
  </si>
  <si>
    <t>What are the design considerations for creating designs with a whimsical or fantasy-inspired aesthetic on Etsy?</t>
  </si>
  <si>
    <t>How to create designs that cater to specific cultural celebrations or holidays for Print on Demand on Etsy?</t>
  </si>
  <si>
    <t>How to strategically organize your shop sections and categories for easy navigation and improved customer experience?</t>
  </si>
  <si>
    <t>What are the best practices for optimizing your Etsy shop's search tags and keywords to improve discoverability?</t>
  </si>
  <si>
    <t>How to optimize your Etsy shop's product titles and descriptions to rank higher in search results?</t>
  </si>
  <si>
    <t>What are the techniques for optimizing your Etsy shop's product images to attract attention and drive conversions?</t>
  </si>
  <si>
    <t>How to leverage customer reviews and testimonials to build social proof and trust in your Etsy shop?</t>
  </si>
  <si>
    <t>What are the strategies for optimizing your Etsy shop's shipping and return policies to provide a seamless customer experience?</t>
  </si>
  <si>
    <t>How to effectively use Etsy's promoted listings feature to increase visibility and drive targeted traffic to your shop?</t>
  </si>
  <si>
    <t>What are the techniques for optimizing your Etsy shop's pricing strategy to maximize profit and competitiveness?</t>
  </si>
  <si>
    <t>How to strategically use Etsy's variations feature to offer customization options and increase customer satisfaction?</t>
  </si>
  <si>
    <t>What are the best practices for optimizing your Etsy shop's product inventory to ensure a consistent and appealing selection?</t>
  </si>
  <si>
    <t>How to create and optimize your Etsy shop's FAQs section to address common customer queries and reduce support requests?</t>
  </si>
  <si>
    <t>What are the strategies for optimizing your Etsy shop's customer communication and response times to enhance customer satisfaction?</t>
  </si>
  <si>
    <t>How to use Etsy's marketing tools, such as coupons and discounts, to incentivize repeat purchases and attract new customers?</t>
  </si>
  <si>
    <t>What are the techniques for optimizing your Etsy shop's packaging and presentation to create a memorable unboxing experience?</t>
  </si>
  <si>
    <t>How to analyze and interpret your Etsy shop's performance metrics and use the insights to make data-driven optimizations?</t>
  </si>
  <si>
    <t>What are the strategies for optimizing your Etsy shop's social media presence to drive traffic and build a strong online brand?</t>
  </si>
  <si>
    <t>How to leverage Etsy's advertising options, such as Offsite Ads, to expand your reach and increase sales?</t>
  </si>
  <si>
    <t>What are the techniques for optimizing your Etsy shop's product categorization and tagging to target specific buyer personas?</t>
  </si>
  <si>
    <t>How to create compelling product descriptions that highlight the unique features and benefits of your Etsy shop's products?</t>
  </si>
  <si>
    <t>What are the best practices for optimizing your Etsy shop's product pricing to maximize profit margins and competitiveness?</t>
  </si>
  <si>
    <t>How to use Etsy's Shop Updates feature to showcase new products, promotions, and behind-the-scenes content?</t>
  </si>
  <si>
    <t>What are the strategies for optimizing your Etsy shop's customer reviews and ratings to build trust and credibility?</t>
  </si>
  <si>
    <t>How to leverage Etsy's analytics tools to gain insights into your shop's performance and identify areas for improvement?</t>
  </si>
  <si>
    <t>What are the techniques for optimizing your Etsy shop's inventory management to ensure efficient order fulfillment and minimize stockouts?</t>
  </si>
  <si>
    <t>How to create and optimize your Etsy shop's policies page to clearly communicate your shop's terms and conditions to customers?</t>
  </si>
  <si>
    <t>What are the strategies for optimizing your Etsy shop's international shipping options to cater to a global customer base?</t>
  </si>
  <si>
    <t>How to effectively showcase your Etsy shop's best-selling and top-rated products to attract customer attention and drive sales?</t>
  </si>
  <si>
    <t>What are the techniques for optimizing your Etsy shop's product photography to create professional and visually appealing images?</t>
  </si>
  <si>
    <t>How to use Etsy's shop sections and featured listings to curate collections and highlight your shop's best products?</t>
  </si>
  <si>
    <t>What are the best practices for optimizing your Etsy shop's SEO strategy to improve organic search rankings and visibility?</t>
  </si>
  <si>
    <t>How to leverage Etsy's community and engagement features, such as teams and forums, to connect with like-minded sellers and potential customers?</t>
  </si>
  <si>
    <t>What are the strategies for optimizing your Etsy shop's cross-selling and upselling techniques to increase average order value?</t>
  </si>
  <si>
    <t>How to use Etsy's shop stats and reports to gain insights into customer behavior and identify opportunities for growth?</t>
  </si>
  <si>
    <t>What are the techniques for optimizing your Etsy shop's customer service and support to provide a positive and personalized experience?</t>
  </si>
  <si>
    <t>How to create and optimize your Etsy shop's promotional campaigns, such as seasonal sales and limited-time offers, to drive urgency and boost sales?</t>
  </si>
  <si>
    <t>What are the strategies for optimizing your Etsy shop's branding and visual identity to create a cohesive and memorable brand experience?</t>
  </si>
  <si>
    <t>How to leverage Etsy's marketing emails and notifications to keep customers informed about new products and promotions?</t>
  </si>
  <si>
    <t>What are the techniques for optimizing your Etsy shop's product packaging and inserts to leave a lasting impression on customers?</t>
  </si>
  <si>
    <t>How to use Etsy's shop policies and terms of service to protect your business and set clear expectations with customers?</t>
  </si>
  <si>
    <t>What are the best practices for optimizing your Etsy shop's customer feedback and reviews to foster a positive reputation?</t>
  </si>
  <si>
    <t>How to create and optimize your Etsy shop's customer loyalty program to encourage repeat purchases and foster customer retention?</t>
  </si>
  <si>
    <t>What are the strategies for optimizing your Etsy shop's mobile responsiveness and user experience for customers browsing on mobile devices?</t>
  </si>
  <si>
    <t>How to leverage Etsy's analytics data to identify your shop's top-performing products and focus on scaling your success?</t>
  </si>
  <si>
    <t>What are the techniques for optimizing your Etsy shop's digital marketing efforts, such as social media advertising and influencer collaborations?</t>
  </si>
  <si>
    <t>How to use Etsy's shop updates and behind-the-scenes content to build a connection with customers and showcase your shop's unique story?</t>
  </si>
  <si>
    <t>What are the strategies for optimizing your Etsy shop's inventory forecasting and restocking processes to maintain product availability?</t>
  </si>
  <si>
    <t>How to leverage Etsy's advertising analytics to measure the effectiveness of your promotional campaigns and adjust strategies accordingly?</t>
  </si>
  <si>
    <t>What are the techniques for optimizing your Etsy shop's social media integration to drive traffic and increase brand visibility?</t>
  </si>
  <si>
    <t>How to use Etsy's shop analytics to identify trends and market demands, allowing you to align your product offerings accordingly?</t>
  </si>
  <si>
    <t>What are the strategies for optimizing your Etsy shop's product listing renewal and relisting strategies to maintain visibility and momentum?</t>
  </si>
  <si>
    <t>How to effectively use Etsy's shop customization options, such as shop sections and cover photos, to create a visually appealing storefront?</t>
  </si>
  <si>
    <t>What are the techniques for optimizing your Etsy shop's pricing competitiveness while ensuring profitability and value perception?</t>
  </si>
  <si>
    <t>How to use Etsy's shop announcements and social media posts to promote limited-edition products and exclusive offers?</t>
  </si>
  <si>
    <t>What are the best practices for optimizing your Etsy shop's customer engagement and responsiveness to build long-term customer relationships?</t>
  </si>
  <si>
    <t>How to create and optimize your Etsy shop's product packaging inserts and thank-you notes to encourage customer loyalty and repeat purchases?</t>
  </si>
  <si>
    <t>What are the strategies for optimizing your Etsy shop's international shipping processes to minimize customs delays and ensure smooth delivery?</t>
  </si>
  <si>
    <t>How to leverage Etsy's shop analytics to identify your best-performing marketing channels and focus your efforts accordingly?</t>
  </si>
  <si>
    <t>What are the techniques for optimizing your Etsy shop's branding consistency across various touchpoints, including packaging, listings, and social media?</t>
  </si>
  <si>
    <t>How to use Etsy's shop customization options, such as shop policies and FAQs, to communicate your unique selling points and value proposition?</t>
  </si>
  <si>
    <t>What are the strategies for optimizing your Etsy shop's product categorization and tagging to target specific customer niches and increase visibility?</t>
  </si>
  <si>
    <t>How to effectively use Etsy's customer messaging and communication tools to provide personalized and timely support to buyers?</t>
  </si>
  <si>
    <t>What are the techniques for optimizing your Etsy shop's product descriptions to highlight key features and address customer pain points?</t>
  </si>
  <si>
    <t>How to use Etsy's shop analytics to identify customer behavior patterns and optimize your marketing strategies for better targeting?</t>
  </si>
  <si>
    <t>What are the best practices for optimizing your Etsy shop's customer retention efforts, such as email marketing and loyalty programs?</t>
  </si>
  <si>
    <t>How to create and optimize your Etsy shop's product bundles and gift sets to increase average order value and encourage upsells?</t>
  </si>
  <si>
    <t>What are the strategies for optimizing your Etsy shop's inventory turnover rate to maintain a fresh and appealing product selection?</t>
  </si>
  <si>
    <t>How to leverage Etsy's shop promotion tools, such as coupon codes and free shipping offers, to attract new customers and incentivize purchases?</t>
  </si>
  <si>
    <t>What are the techniques for optimizing your Etsy shop's listing variations to offer customization options and cater to diverse customer preferences?</t>
  </si>
  <si>
    <t>How to use Etsy's shop analytics to identify seasonal trends and capitalize on upcoming holidays and events for targeted marketing?</t>
  </si>
  <si>
    <t>What are the strategies for optimizing your Etsy shop's customer feedback collection process to gather valuable insights and improve your offerings?</t>
  </si>
  <si>
    <t>How to effectively use Etsy's shop policies and disclaimers to ensure transparency and protect your business from potential disputes?</t>
  </si>
  <si>
    <t>What are the techniques for optimizing your Etsy shop's product presentation, such as lifestyle photos and product staging, to enhance desirability?</t>
  </si>
  <si>
    <t>How to use Etsy's shop analytics to track and analyze your shop's conversion rates and identify areas for optimization?</t>
  </si>
  <si>
    <t>What are the best practices for optimizing your Etsy shop's customer communication during peak seasons to manage expectations and provide excellent service?</t>
  </si>
  <si>
    <t>How to create and optimize your Etsy shop's customer referral program to encourage word-of-mouth marketing and expand your customer base?</t>
  </si>
  <si>
    <t>What are the strategies for optimizing your Etsy shop's customer feedback response and resolution process to maintain a positive reputation?</t>
  </si>
  <si>
    <t>How to leverage Etsy's shop analytics to identify geographical trends and target specific regions or markets for increased sales?</t>
  </si>
  <si>
    <t>What are the techniques for optimizing your Etsy shop's listing titles and tags to align with popular search terms and attract relevant traffic?</t>
  </si>
  <si>
    <t>How to use Etsy's shop customization options, such as cover photos and featured listings, to create a visually compelling storefront that showcases your best products?</t>
  </si>
  <si>
    <t>What are the strategies for optimizing your Etsy shop's customer engagement through personalized messages, order updates, and follow-ups?</t>
  </si>
  <si>
    <t>How to effectively use Etsy's shop reviews and testimonials to build social proof and credibility for your business?</t>
  </si>
  <si>
    <t>What are the techniques for optimizing your Etsy shop's product attributes and specifications to provide detailed and accurate information for buyers?</t>
  </si>
  <si>
    <t>How to identify unique product features that set your Print on Demand items apart from competitors?</t>
  </si>
  <si>
    <t>What are the best practices for conducting market research to uncover gaps and opportunities for product differentiation?</t>
  </si>
  <si>
    <t>How to incorporate customizations and personalization options to make your Print on Demand products stand out?</t>
  </si>
  <si>
    <t>What are the techniques for adding exclusive designs or artwork to your Print on Demand items to create a sense of uniqueness?</t>
  </si>
  <si>
    <t>How to leverage specialized materials or manufacturing processes to differentiate your Print on Demand products in terms of quality?</t>
  </si>
  <si>
    <t>What are the strategies for offering limited edition or one-of-a-kind variations of your Print on Demand items to create exclusivity?</t>
  </si>
  <si>
    <t>How to collaborate with artists or designers to create custom designs for your Print on Demand products?</t>
  </si>
  <si>
    <t>What are the techniques for incorporating innovative or functional features into your Print on Demand items to differentiate them in the market?</t>
  </si>
  <si>
    <t>How to create product bundles or sets that combine multiple Print on Demand items for added value and differentiation?</t>
  </si>
  <si>
    <t>What are the strategies for targeting specific niches or subcultures with your Print on Demand products to appeal to their unique preferences?</t>
  </si>
  <si>
    <t>How to leverage storytelling and branding to differentiate your Print on Demand products and create an emotional connection with customers?</t>
  </si>
  <si>
    <t>What are the techniques for using high-quality packaging and presentation to elevate the perceived value of your Print on Demand items?</t>
  </si>
  <si>
    <t>How to offer customizable options, such as color choices or text personalization, to differentiate your Print on Demand products?</t>
  </si>
  <si>
    <t>What are the best practices for incorporating eco-friendly or sustainable materials into your Print on Demand items to appeal to conscious consumers?</t>
  </si>
  <si>
    <t>How to create Print on Demand products that solve specific problems or address unmet needs in the market?</t>
  </si>
  <si>
    <t>What are the strategies for leveraging cultural or seasonal trends to create timely and in-demand Print on Demand products?</t>
  </si>
  <si>
    <t>How to conduct competitor analysis to identify their product offerings and find opportunities for differentiation in your Print on Demand business?</t>
  </si>
  <si>
    <t>What are the techniques for offering product variants or sizes to cater to different customer preferences and increase your product range?</t>
  </si>
  <si>
    <t>How to collaborate with influencers or bloggers to showcase your unique Print on Demand products and reach new audiences?</t>
  </si>
  <si>
    <t>What are the strategies for incorporating user-generated content or customer input into your Print on Demand items to create a sense of community and ownership?</t>
  </si>
  <si>
    <t>How to conduct surveys or customer feedback to understand their preferences and identify opportunities for product differentiation?</t>
  </si>
  <si>
    <t>What are the techniques for incorporating trending or popular themes into your Print on Demand products to attract a wider customer base?</t>
  </si>
  <si>
    <t>How to create exclusive or limited-time collaborations with other brands or artists to differentiate your Print on Demand items?</t>
  </si>
  <si>
    <t>What are the best practices for offering complementary or matching products to create a cohesive Print on Demand collection?</t>
  </si>
  <si>
    <t>How to create Print on Demand products that serve a specific occasion or event to target niche markets?</t>
  </si>
  <si>
    <t>What are the strategies for incorporating personal touches, such as handwritten notes or custom packaging, to differentiate your Print on Demand items?</t>
  </si>
  <si>
    <t>How to leverage customer testimonials or success stories to highlight the unique benefits of your Print on Demand products?</t>
  </si>
  <si>
    <t>What are the techniques for incorporating innovative or cutting-edge technologies into your Print on Demand items to differentiate them from traditional offerings?</t>
  </si>
  <si>
    <t>How to create Print on Demand products with unconventional or unexpected uses to attract attention and curiosity from customers?</t>
  </si>
  <si>
    <t>What are the strategies for leveraging cultural diversity or inclusivity in your Print on Demand items to appeal to a broader audience?</t>
  </si>
  <si>
    <t>How to conduct keyword research to identify relevant and high-performing keywords for your Etsy listings?</t>
  </si>
  <si>
    <t>What are the best practices for optimizing your Etsy listing titles to include targeted keywords and attract more search traffic?</t>
  </si>
  <si>
    <t>How to write compelling and keyword-rich product descriptions that not only inform but also persuade potential buyers?</t>
  </si>
  <si>
    <t>What are the techniques for optimizing your Etsy listing tags to improve visibility in search results?</t>
  </si>
  <si>
    <t>How to leverage long-tail keywords to target specific customer needs and preferences in your Etsy listings?</t>
  </si>
  <si>
    <t>What are the strategies for optimizing your Etsy shop sections and categories for better organization and searchability?</t>
  </si>
  <si>
    <t>How to use Etsy's search analytics to identify trends and adjust your keyword strategies accordingly?</t>
  </si>
  <si>
    <t>What are the techniques for incorporating relevant keywords into your listing images' alt tags to improve SEO?</t>
  </si>
  <si>
    <t>How to optimize your Etsy shop announcement and About section with keywords to enhance your shop's search visibility?</t>
  </si>
  <si>
    <t>What are the strategies for monitoring and adjusting your SEO efforts based on Etsy's search algorithm updates?</t>
  </si>
  <si>
    <t>How to conduct competitive analysis to identify high-ranking keywords and optimize your Etsy listings accordingly?</t>
  </si>
  <si>
    <t>What are the best practices for using long-tail keywords in your Etsy listing titles to attract more targeted traffic?</t>
  </si>
  <si>
    <t>How to effectively use bullet points in your Etsy product descriptions to highlight key features and improve readability?</t>
  </si>
  <si>
    <t>What are the techniques for incorporating synonyms and variations of your main keywords into your Etsy tags?</t>
  </si>
  <si>
    <t>How to optimize your Etsy shop's metadata, including shop title and shop announcement, for improved search visibility?</t>
  </si>
  <si>
    <t>What are the strategies for leveraging customer reviews and feedback to uncover valuable keywords for your Etsy listings?</t>
  </si>
  <si>
    <t>How to optimize your Etsy shop's URL structure to include relevant keywords and improve search rankings?</t>
  </si>
  <si>
    <t>What are the techniques for using location-based keywords to target local customers and enhance your Etsy shop's visibility in specific regions?</t>
  </si>
  <si>
    <t>How to optimize your Etsy shop's shipping policies and FAQ section with keywords to improve search relevance?</t>
  </si>
  <si>
    <t>What are the strategies for conducting A/B testing on your Etsy listings' titles and descriptions to determine the most effective keywords?</t>
  </si>
  <si>
    <t>Branding and logo design</t>
  </si>
  <si>
    <t>Explore the importance of branding in creating a memorable and recognizable identity for a business.</t>
  </si>
  <si>
    <t>Discuss the key elements of a strong brand identity, such as logo design, color palette, typography, and visual style.</t>
  </si>
  <si>
    <t>Reflect on successful brand stories and analyze how their logos and branding strategies contribute to their overall success.</t>
  </si>
  <si>
    <t>Share tips for creating a compelling brand story that resonates with the target audience and communicates the brand's values.</t>
  </si>
  <si>
    <t>Discuss the role of research and market analysis in developing an effective brand strategy.</t>
  </si>
  <si>
    <t>Explore different logo design styles, such as minimalist, vintage, abstract, or illustrative, and their suitability for different industries.</t>
  </si>
  <si>
    <t>Reflect on the psychology of colors in branding and how color choices can influence consumer perceptions and emotions.</t>
  </si>
  <si>
    <t>Discuss the importance of consistency in branding and how to maintain a cohesive brand identity across different platforms and touchpoints.</t>
  </si>
  <si>
    <t>Share techniques for conducting a brand audit to evaluate the effectiveness and relevance of an existing brand identity.</t>
  </si>
  <si>
    <t>Explore the concept of brand positioning and how to differentiate a brand from competitors in the market.</t>
  </si>
  <si>
    <t>Reflect on the role of storytelling in branding and how to create narratives that connect with the target audience.</t>
  </si>
  <si>
    <t>Discuss the significance of typography in logo design and how font choices can convey the brand's personality and message.</t>
  </si>
  <si>
    <t>Share best practices for designing a memorable and versatile logo that can adapt to various mediums and sizes.</t>
  </si>
  <si>
    <t>Explore the impact of visual elements, such as icons, symbols, or mascots, in logo design and brand recognition.</t>
  </si>
  <si>
    <t>Reflect on the role of brand guidelines in maintaining visual consistency and ensuring brand integrity.</t>
  </si>
  <si>
    <t>Discuss the challenges and opportunities of rebranding and the considerations involved in refreshing or redesigning a brand identity.</t>
  </si>
  <si>
    <t>Share tips for conducting brand surveys and interviews to gather feedback and insights from the target audience.</t>
  </si>
  <si>
    <t>Explore the concept of brand equity and how to build and measure the value of a brand over time.</t>
  </si>
  <si>
    <t>Reflect on the role of storytelling in logo design and how to create a visual narrative that communicates the brand's essence.</t>
  </si>
  <si>
    <t>Discuss the importance of user experience (UX) in brand identity design and how to create brand touchpoints that are engaging and intuitive.</t>
  </si>
  <si>
    <t>Share techniques for brainstorming and ideating logo concepts that align with the brand's values and goals.</t>
  </si>
  <si>
    <t>Explore the impact of cultural considerations in global branding and how to adapt a brand identity for different markets and cultures.</t>
  </si>
  <si>
    <t>Reflect on the role of brand ambassadors and influencers in promoting and representing a brand's identity.</t>
  </si>
  <si>
    <t>Discuss the relationship between brand identity and customer loyalty, and how to create brand experiences that foster long-term relationships.</t>
  </si>
  <si>
    <t>Share best practices for designing brand collateral, such as business cards, letterheads, packaging, or signage, that reinforce the brand's visual identity.</t>
  </si>
  <si>
    <t>Explore the concept of brand voice and tone and how to develop a communication style that aligns with the brand's personality.</t>
  </si>
  <si>
    <t>Reflect on the role of social media in branding and how to create a consistent brand presence across different social platforms.</t>
  </si>
  <si>
    <t>Discuss the impact of responsive design in logo and brand identity, and how to ensure the brand looks consistent across various devices and screen sizes.</t>
  </si>
  <si>
    <t>Share tips for creating a brand style guide that outlines the brand's visual identity, voice, tone, and messaging guidelines.</t>
  </si>
  <si>
    <t>Explore the role of customer feedback in evolving and refining a brand identity over time.</t>
  </si>
  <si>
    <t>Reflect on the influence of brand storytelling in creating emotional connections with the target audience and building brand loyalty.</t>
  </si>
  <si>
    <t>Discuss the impact of brand packaging in capturing attention, communicating the brand's values, and enhancing the overall customer experience.</t>
  </si>
  <si>
    <t>Share techniques for conducting competitor analysis and identifying unique selling points that differentiate a brand from its competitors.</t>
  </si>
  <si>
    <t>Explore the significance of brand transparency and authenticity in building trust and credibility with the target audience.</t>
  </si>
  <si>
    <t>Reflect on the role of typography in expressing the brand's personality and evoking specific emotions or associations.</t>
  </si>
  <si>
    <t>Discuss the considerations and best practices for designing a responsive logo that adapts well to different digital platforms and screen sizes.</t>
  </si>
  <si>
    <t>Share tips for creating a strong brand tagline or slogan that captures the essence of the brand and resonates with the target audience.</t>
  </si>
  <si>
    <t>Explore the concept of brand archetypes and how they can be used to create a cohesive brand identity and storytelling.</t>
  </si>
  <si>
    <t>Reflect on the role of brand partnerships and collaborations in expanding brand reach and attracting new audiences.</t>
  </si>
  <si>
    <t>Discuss the impact of brand experiences and events in creating memorable interactions and fostering brand loyalty.</t>
  </si>
  <si>
    <t>Share techniques for creating a brand positioning statement that clearly articulates the brand's unique value proposition.</t>
  </si>
  <si>
    <t>Explore the role of emotional branding and how to create brand experiences that evoke specific emotions and connections.</t>
  </si>
  <si>
    <t>Reflect on the influence of cultural trends and societal changes in shaping branding strategies and design aesthetics.</t>
  </si>
  <si>
    <t>Discuss the significance of brand consistency in building trust and recognition in the minds of consumers.</t>
  </si>
  <si>
    <t>Share tips for conducting brand audits to evaluate the alignment of brand perception with brand objectives and values.</t>
  </si>
  <si>
    <t>Explore the impact of environmental sustainability in brand identity and how to incorporate eco-friendly elements in branding strategies.</t>
  </si>
  <si>
    <t>Discuss the considerations and best practices for designing a responsivelogo that adapts well to different digital platforms and screen sizes.</t>
  </si>
  <si>
    <t>Reflect on the role of brand storytelling in creating a compelling narrative that resonates with the target audience.</t>
  </si>
  <si>
    <t>Discuss the importance of brand differentiation and how to develop a unique brand identity that sets you apart from competitors.</t>
  </si>
  <si>
    <t>Share techniques for creating memorable brand visuals that leave a lasting impression on customers.</t>
  </si>
  <si>
    <t>Explore the impact of typography choices in logo design and how font selection can communicate the brand's personality.</t>
  </si>
  <si>
    <t>Reflect on the role of color psychology in branding and how color choices can evoke specific emotions and associations.</t>
  </si>
  <si>
    <t>Discuss the importance of scalability in logo design and how to create a logo that can be resized without losing its impact.</t>
  </si>
  <si>
    <t>Share tips for conducting market research to understand the target audience's preferences and perceptions of branding.</t>
  </si>
  <si>
    <t>Explore the role of storytelling in creating a brand narrative that engages and resonates with customers.</t>
  </si>
  <si>
    <t>Reflect on the significance of brand consistency in all customer touchpoints, from online presence to packaging and customer service.</t>
  </si>
  <si>
    <t>Discuss the impact of typography hierarchy in creating visually appealing and legible brand communication.</t>
  </si>
  <si>
    <t>Share techniques for incorporating cultural relevance and inclusivity in brand identity to connect with diverse audiences.</t>
  </si>
  <si>
    <t>Explore the relationship between brand values and customer loyalty, and how to align brand messaging with the target audience's values.</t>
  </si>
  <si>
    <t>Reflect on the role of brand experience design in creating memorable interactions that build lasting connections with customers.</t>
  </si>
  <si>
    <t>Discuss the importance of responsive design in creating a seamless brand experience across different devices and platforms.</t>
  </si>
  <si>
    <t>Share tips for creating a strong brand personality that reflects the brand's values and resonates with the target audience.</t>
  </si>
  <si>
    <t>Explore the impact of brand storytelling on building an emotional connection with customers and fostering brand loyalty.</t>
  </si>
  <si>
    <t>Reflect on the role of simplicity and minimalism in logo design, and how it can create a timeless and versatile brand identity.</t>
  </si>
  <si>
    <t>Discuss the significance of brand cohesiveness and how to ensure consistency in branding elements across various marketing channels.</t>
  </si>
  <si>
    <t>Share techniques for conducting brand workshops or brainstorming sessions to define or refine brand identity and values.</t>
  </si>
  <si>
    <t>Explore the role of user-centered design in creating brand experiences that cater to the target audience's needs and preferences.</t>
  </si>
  <si>
    <t>Reflect on the influence of cultural nuances and regional aesthetics in global branding strategies.</t>
  </si>
  <si>
    <t>Discuss the importance of brand evolution and adaptation to changing market trends and consumer expectations.</t>
  </si>
  <si>
    <t>Share tips for designing a visually compelling brand portfolio that showcases the brand's capabilities and style.</t>
  </si>
  <si>
    <t>Explore the role of brand authenticity in building trust and credibility with customers.</t>
  </si>
  <si>
    <t>Reflect on the impact of brand communication in shaping customer perceptions and loyalty.</t>
  </si>
  <si>
    <t>Discuss the future trends and emerging technologies that will shape the branding and logo design landscape.</t>
  </si>
  <si>
    <t>Reflect on the role of brand personality and how it influences consumer perceptions and brand loyalty.</t>
  </si>
  <si>
    <t>Explore the concept of brand equity and its impact on the financial value of a brand.</t>
  </si>
  <si>
    <t>Discuss the importance of storytelling in brand identity and how narrative elements can shape brand perceptions.</t>
  </si>
  <si>
    <t>Share techniques for creating a brand voice that resonates with the target audience and communicates the brand's values.</t>
  </si>
  <si>
    <t>Explore the impact of cultural diversity in global branding and how to adapt branding strategies for different markets.</t>
  </si>
  <si>
    <t>Reflect on the role of typography in creating a distinctive and memorable brand identity.</t>
  </si>
  <si>
    <t>Discuss the considerations for creating a brand style guide that maintains consistency across various brand touchpoints.</t>
  </si>
  <si>
    <t>Share tips for conducting a competitive analysis to identify opportunities for differentiation in branding.</t>
  </si>
  <si>
    <t>Explore the relationship between brand positioning and target audience segmentation in effective brand strategies.</t>
  </si>
  <si>
    <t>Reflect on the importance of emotional branding in creating connections with customers on a deeper level.</t>
  </si>
  <si>
    <t>Discuss the impact of brand packaging in conveying the brand's values and creating a memorable unboxing experience.</t>
  </si>
  <si>
    <t>Share techniques for creating a brand promise that communicates the unique value proposition to customers.</t>
  </si>
  <si>
    <t>Explore the role of color psychology in branding and how different color palettes evoke specific emotions.</t>
  </si>
  <si>
    <t>Reflect on the influence of digital media in shaping brand perception and engagement with customers.</t>
  </si>
  <si>
    <t>Discuss the importance of brand consistency in building trust and credibility with consumers.</t>
  </si>
  <si>
    <t>Share tips for conducting brand workshops to align internal stakeholders and define the brand's core values.</t>
  </si>
  <si>
    <t>Explore the impact of brand extension strategies in expanding brand reach and entering new markets.</t>
  </si>
  <si>
    <t>Reflect on the role of brand authenticity in establishing a genuine connection with customers.</t>
  </si>
  <si>
    <t>Discuss the considerations for creating a memorable brand tagline or slogan that encapsulates the brand's essence.</t>
  </si>
  <si>
    <t>Share techniques for creating a visual identity system that encompasses logo, typography, color palette, and other visual elements.</t>
  </si>
  <si>
    <t>Explore the concept of brand differentiation and how to identify unique selling points in a crowded market.</t>
  </si>
  <si>
    <t>Reflect on the role of market research in understanding consumer preferences and identifying branding opportunities.</t>
  </si>
  <si>
    <t>Discuss the importance of brand positioning in communicating the brand's value proposition to the target audience.</t>
  </si>
  <si>
    <t>Share tips for creating a brand identity that resonates with the values and aspirations of the target market.</t>
  </si>
  <si>
    <t>Explore the impact of brand experiences and customer interactions in shaping brand loyalty and advocacy.</t>
  </si>
  <si>
    <t>Reflect on the role of brand ambassadors and influencers in amplifying brand reach and credibility.</t>
  </si>
  <si>
    <t>Discuss the considerations for creating a cohesive brand narrative that aligns with the brand's values and goals.</t>
  </si>
  <si>
    <t>Share techniques for creating a memorable brand symbol or icon that represents the brand's identity.</t>
  </si>
  <si>
    <t>Explore the influence of consumer behavior and trends in shaping branding strategies and design aesthetics.</t>
  </si>
  <si>
    <t>Reflect on the importance of brand recognition and recall in building a strong market presence.</t>
  </si>
  <si>
    <t>Discuss the impact of brand partnerships and collaborations in expanding brand awareness and reaching new audiences.</t>
  </si>
  <si>
    <t>Share tips for creating a brand positioning statement that conveys the brand's unique value in the marketplace.</t>
  </si>
  <si>
    <t>Explore the role of user experience (UX) design in creating seamless and intuitive brand interactions.</t>
  </si>
  <si>
    <t>Reflect on the influence of social media in brand building and leveraging user-generated content for brand promotion.</t>
  </si>
  <si>
    <t>Discuss the considerations for designing a responsive brand identity that adapts to different digital platforms and devices.</t>
  </si>
  <si>
    <t>Share techniques for conducting brand perception surveys to gather insights on how the brand is perceived by customers.</t>
  </si>
  <si>
    <t>Explore the impact of brand loyalty programs and incentives in fostering customer retention and repeat business.</t>
  </si>
  <si>
    <t>Reflect on the role of brand archetypes in creating a consistent and recognizable brand personality.</t>
  </si>
  <si>
    <t>Discuss the importance of brand monitoring and reputation management in maintaining a positive brand image.</t>
  </si>
  <si>
    <t>Share tips for creating a compelling brand story that engages customers and fosters emotional connections.</t>
  </si>
  <si>
    <t>Explore the concept of brand evolution and the challenges of rebranding to meet changing market dynamics.</t>
  </si>
  <si>
    <t>Reflect on the role of brand advocates and word-of-mouth marketing in building brand credibility and trust.</t>
  </si>
  <si>
    <t>Discuss the impact of brand experiences in physical spaces, such as retail stores or events, in shaping brand perceptions.</t>
  </si>
  <si>
    <t>Share techniques for incorporating storytelling elements in logo design to evoke emotions and convey brand values.</t>
  </si>
  <si>
    <t>Explore the influence of consumer psychology in branding and how to align brand messaging with customer motivations.</t>
  </si>
  <si>
    <t>Reflect on the role of brand monitoring and competitive analysis in identifying opportunities for brand growth.</t>
  </si>
  <si>
    <t>Discuss the considerations for creating a brand identity that is inclusive and representative of diverse audiences.</t>
  </si>
  <si>
    <t>Share tips for creating a brand visual language that extends beyond the logo and encompasses various design elements.</t>
  </si>
  <si>
    <t>Explore the impact of brand trust and transparency in consumer decision-making and brand loyalty.</t>
  </si>
  <si>
    <t>Reflect on the role of brand communication channels, such as websites, social media, and advertising, in conveying the brand's message.</t>
  </si>
  <si>
    <t>Discuss the importance of brand authenticity and how to maintain brand integrity in all brand interactions.</t>
  </si>
  <si>
    <t>Share techniques for creating a strong brand presence on social media platforms to engage with the target audience.</t>
  </si>
  <si>
    <t>Explore the concept of brand equity and how to measure and enhance the value of a brand over time.</t>
  </si>
  <si>
    <t>Reflect on the role of emotional design in creating a memorable and impactful brand experience.</t>
  </si>
  <si>
    <t>Discuss the considerations for designing a brand identity that appeals to different generational demographics.</t>
  </si>
  <si>
    <t>Share tips for creating a brand launch strategy that generates excitement and builds anticipation among the target audience.</t>
  </si>
  <si>
    <t>Explore the impact of environmental sustainability in branding and how to incorporate eco-friendly practices into brand identity.</t>
  </si>
  <si>
    <t>Reflect on the role of user-centered design in creating brand touchpoints that prioritize the customer experience.</t>
  </si>
  <si>
    <t>Discuss the importance of brand storytelling in connecting with customers on an emotional level.</t>
  </si>
  <si>
    <t>Share techniques for creating a consistent brand experience across various customer touchpoints, both online and offline.</t>
  </si>
  <si>
    <t>Explore the influence of cultural context in branding and how to tailor brandmessaging and design to resonate with specific cultures or regions.</t>
  </si>
  <si>
    <t>Reflect on the role of brand authenticity in building trust and long-term customer relationships.</t>
  </si>
  <si>
    <t>Discuss the considerations for designing a brand logo that reflects the brand's values, personality, and target audience.</t>
  </si>
  <si>
    <t>Share tips for conducting a brand audit to evaluate the effectiveness and relevance of an existing brand identity.</t>
  </si>
  <si>
    <t>Explore the impact of brand storytelling in creating a strong emotional connection with customers.</t>
  </si>
  <si>
    <t>Reflect on the role of brand associations and how to strategically align the brand with positive attributes and values.</t>
  </si>
  <si>
    <t>Discuss the importance of brand consistency in maintaining a cohesive and recognizable brand identity.</t>
  </si>
  <si>
    <t>Share techniques for designing a memorable brand mark or emblem that represents the essence of the brand.</t>
  </si>
  <si>
    <t>Explore the influence of consumer perceptions and brand reputation on purchase decisions.</t>
  </si>
  <si>
    <t>Reflect on the role of brand experiences and interactions in shaping customer loyalty and advocacy.</t>
  </si>
  <si>
    <t>Discuss the considerations for creating a brand voice that aligns with the brand's personality and resonates with the target audience.</t>
  </si>
  <si>
    <t>Share tips for creating a brand identity system that includes logo variations, color palettes, typography, and visual elements.</t>
  </si>
  <si>
    <t>Explore the concept of brand positioning and how to differentiate a brand in a competitive market.</t>
  </si>
  <si>
    <t>Reflect on the impact of brand packaging and how it can enhance the product experience and convey brand values.</t>
  </si>
  <si>
    <t>Discuss the importance of brand guidelines in maintaining consistency and ensuring the correct usage of brand elements.</t>
  </si>
  <si>
    <t>Share techniques for conducting customer research to gain insights into their perceptions and preferences related to the brand.</t>
  </si>
  <si>
    <t>Explore the role of brand ambassadors and influencers in amplifying brand reach and credibility.</t>
  </si>
  <si>
    <t>Reflect on the significance of brand loyalty and how to cultivate long-term relationships with customers.</t>
  </si>
  <si>
    <t>Discuss the considerations for designing a responsive logo that scales well across different digital platforms and screen sizes.</t>
  </si>
  <si>
    <t>Share tips for creating a memorable brand tagline or slogan that encapsulates the brand's essence and resonates with the target audience.</t>
  </si>
  <si>
    <t>Explore the impact of visual storytelling in brand communication and how to create visually compelling brand narratives.</t>
  </si>
  <si>
    <t>Reflect on the role of color psychology in branding and how different color palettes evoke specific emotions and associations.</t>
  </si>
  <si>
    <t>Discuss the importance of brand research and market analysis in developing an effective brand strategy.</t>
  </si>
  <si>
    <t>Share techniques for creating a strong brand identity that stands out in a crowded market.</t>
  </si>
  <si>
    <t>Explore the relationship between brand identity and customer loyalty, and how to foster brand advocacy among customers.</t>
  </si>
  <si>
    <t>Reflect on the role of typography in brand design and how font choices can convey the brand's personality and message.</t>
  </si>
  <si>
    <t>Discuss the considerations for designing a brand style guide that provides guidelines for visual and verbal brand expression.</t>
  </si>
  <si>
    <t>Share tips for conducting competitor analysis to identify opportunities for differentiation and staying ahead in the market.</t>
  </si>
  <si>
    <t>Explore the impact of brand experiences in physical spaces, such as retail stores or events, in shaping customer perceptions.</t>
  </si>
  <si>
    <t>Reflect on the influence of cultural diversity in global branding and how to adapt branding strategies for different markets.</t>
  </si>
  <si>
    <t>Discuss the importance of brand consistency in building trust and recognition in the minds of consumers.</t>
  </si>
  <si>
    <t>Share techniques for creating a strong brand narrative that engages customers and aligns with the brand's values.</t>
  </si>
  <si>
    <t>Explore the concept of brand architecture and how to develop a coherent brand portfolio that supports brand growth.</t>
  </si>
  <si>
    <t>Reflect on the role of brand personality in creating a distinct and relatable brand identity.</t>
  </si>
  <si>
    <t>Share tips for conducting brand perception surveys to gather insights on how the brand is perceived by customers.</t>
  </si>
  <si>
    <t>Explore the impact of brand loyalty programs and incentives in fostering customer retention and advocacy.</t>
  </si>
  <si>
    <t>Discuss the importance of brand storytelling in creating emotional connections and building long-lasting customer relationships.</t>
  </si>
  <si>
    <t>Share techniques for creating a consistent and cohesive brand experience across various touchpoints, from online to offline.</t>
  </si>
  <si>
    <t>Reflect on the role of brand purpose in shaping a brand's mission, values, and identity.</t>
  </si>
  <si>
    <t>Explore the impact of storytelling in creating an authentic and relatable brand narrative.</t>
  </si>
  <si>
    <t>Discuss the importance of brand differentiation in standing out from competitors and capturing audience attention.</t>
  </si>
  <si>
    <t>Share techniques for conducting brand surveys to gather feedback and insights from the target audience.</t>
  </si>
  <si>
    <t>Explore the relationship between brand identity and customer trust, and how to build trust through consistent branding.</t>
  </si>
  <si>
    <t>Reflect on the influence of cultural symbols and visual cues in creating culturally relevant brand identities.</t>
  </si>
  <si>
    <t>Discuss the considerations for designing a versatile logo that can adapt to different applications and mediums.</t>
  </si>
  <si>
    <t>Share tips for selecting the right typography that aligns with the brand's personality and conveys the desired message.</t>
  </si>
  <si>
    <t>Explore the impact of visual hierarchy in brand design and how it guides user attention and perception.</t>
  </si>
  <si>
    <t>Discuss the importance of brand naming and how to create a memorable and meaningful brand name.</t>
  </si>
  <si>
    <t>Share techniques for creating a brand style guide that provides guidelines for consistent brand expression.</t>
  </si>
  <si>
    <t>Reflect on the influence of user experience (UX) design in creating brand interactions that delight and engage.</t>
  </si>
  <si>
    <t>Discuss the considerations for designing packaging that aligns with the brand's values and enhances the product experience.</t>
  </si>
  <si>
    <t>Share tips for crafting a compelling brand story that resonates with the target audience and builds emotional connections.</t>
  </si>
  <si>
    <t>Explore the impact of brand partnerships in expanding brand reach and entering new markets.</t>
  </si>
  <si>
    <t>Reflect on the role of brand voice and tone in shaping brand communication and establishing brand personality.</t>
  </si>
  <si>
    <t>Discuss the importance of brand audits in evaluating the effectiveness and relevance of an existing brand identity.</t>
  </si>
  <si>
    <t>Share techniques for creating a brand logo that is timeless, versatile, and visually impactful.</t>
  </si>
  <si>
    <t>Explore the concept of brand identity systems and how they ensure consistent visual representation across various touchpoints.</t>
  </si>
  <si>
    <t>Reflect on the role of emotional design in creating brand experiences that elicit positive emotions and strengthen brand affinity.</t>
  </si>
  <si>
    <t>Discuss the considerations for designing a responsive brand identity that adapts seamlessly to digital and print mediums.</t>
  </si>
  <si>
    <t>Share tips for conducting competitor analysis to identify market trends and opportunities for brand differentiation.</t>
  </si>
  <si>
    <t>Explore the impact of brand experiences in physical spaces, such as retail environments or events, in shaping brand perceptions.</t>
  </si>
  <si>
    <t>Reflect on the role of brand loyalty programs in rewarding and retaining customers while fostering brand advocacy.</t>
  </si>
  <si>
    <t>Discuss the importance of brand guidelines in maintaining consistency and preserving brand integrity.</t>
  </si>
  <si>
    <t>Explore the influence of social media platforms in brand building and fostering authentic customer relationships.</t>
  </si>
  <si>
    <t>Discuss the considerations for designing a brand identity that resonates with different generational demographics.</t>
  </si>
  <si>
    <t>Share tips for creating a memorable brand tagline or slogan that encapsulates the brand's essence and communicates its unique value.</t>
  </si>
  <si>
    <t>Explore the concept of brand storytelling and how it creates emotional connections with customers.</t>
  </si>
  <si>
    <t>Reflect on the importance of brand consistency in maintaining a unified brand experience across various touchpoints.</t>
  </si>
  <si>
    <t>Discuss the impact of user-generated content in building brand authenticity and fostering customer engagement.</t>
  </si>
  <si>
    <t>Share techniques for creating a brand color palette that aligns with the brand's personality and evokes the desired emotions.</t>
  </si>
  <si>
    <t>Explore the role of brand architecture in managing brand portfolios and maintaining brand cohesiveness.</t>
  </si>
  <si>
    <t>Reflect on the influence of consumer perceptions and brand reputation in shaping brand loyalty and purchase decisions.</t>
  </si>
  <si>
    <t>Discuss the considerations for designing a brand identity that is inclusive and represents diverse audiences.</t>
  </si>
  <si>
    <t>Share tips for creating a strong visual brand identity that captures the essence of the brand and communicates its values.</t>
  </si>
  <si>
    <t>Explore the impact of brand extensions in expanding brand reach and leveraging brand equity.</t>
  </si>
  <si>
    <t>Discuss the importance of brand authenticity in establishing trust and credibility with customers.</t>
  </si>
  <si>
    <t>Share techniques for designing a memorable brand mark or emblem that represents the brand's essence.</t>
  </si>
  <si>
    <t>Reflect on the considerations for designing a responsive logo that maintains its visual impact across different devices and sizes.</t>
  </si>
  <si>
    <t>Share tips for creating a compelling brand narrative that engages customers and conveys the brand's values.</t>
  </si>
  <si>
    <t>Explore the concept of brand evolution and how to adapt brand identity to changing market dynamics and customer preferences.</t>
  </si>
  <si>
    <t>Reflect on the role of brand experiences in digital environments and how to create immersive and memorable online brand interactions.</t>
  </si>
  <si>
    <t>Amazon Success</t>
  </si>
  <si>
    <t>How can sellers optimize their product titles to improve search visibility on Amazon?</t>
  </si>
  <si>
    <t>What are the key elements to include in a product title for better conversion rates?</t>
  </si>
  <si>
    <t>How important is keyword research in listing optimization, and what tools can sellers use for effective keyword identification?</t>
  </si>
  <si>
    <t>Share tips for incorporating relevant keywords naturally and strategically in product descriptions.</t>
  </si>
  <si>
    <t>What role does the bullet point format play in optimizing product listings, and how can sellers make the most of this format?</t>
  </si>
  <si>
    <t>Explain the importance of compelling and persuasive product descriptions in driving conversions on Amazon.</t>
  </si>
  <si>
    <t>How can sellers use A+ Content to enhance their product listings and differentiate their brand?</t>
  </si>
  <si>
    <t>Share strategies for effectively utilizing product features and benefits in listing optimization.</t>
  </si>
  <si>
    <t>What are the best practices for optimizing backend keywords in Amazon listings?</t>
  </si>
  <si>
    <t>How can sellers leverage customer reviews and testimonials to strengthen their product listings?</t>
  </si>
  <si>
    <t>Discuss the significance of high-quality product images in optimizing Amazon listings.</t>
  </si>
  <si>
    <t>Share tips for capturing visually appealing and informative product images that attract potential customers.</t>
  </si>
  <si>
    <t>How can sellers optimize image alt-text and file names for better search visibility on Amazon?</t>
  </si>
  <si>
    <t>Explain the importance of product dimensions and weight information in listing optimization.</t>
  </si>
  <si>
    <t>Share insights on how to effectively use variations and options to improve listing visibility and customer experience.</t>
  </si>
  <si>
    <t>Discuss the role of pricing information and promotional offers in optimizing product listings.</t>
  </si>
  <si>
    <t>How can sellers use comparison charts or tables to highlight the unique selling points of their products?</t>
  </si>
  <si>
    <t>Share strategies for optimizing listing content for mobile devices and improving mobile user experience.</t>
  </si>
  <si>
    <t>What are the best practices for structuring and formatting bullet points to convey key information effectively?</t>
  </si>
  <si>
    <t>Explain how to write persuasive and keyword-rich product titles that comply with Amazon's guidelines.</t>
  </si>
  <si>
    <t>How can sellers utilize Enhanced Brand Content or A+ Content to create visually appealing and informative product listings?</t>
  </si>
  <si>
    <t>Discuss the importance of addressing potential customer objections or concerns in the product description.</t>
  </si>
  <si>
    <t>Share tips for optimizing product listings for international marketplaces and multilingual customers.</t>
  </si>
  <si>
    <t>What are the best practices for utilizing search terms and backend search fields for improved listing optimization?</t>
  </si>
  <si>
    <t>How can sellers effectively highlight key product benefits and differentiate themselves from competitors in the bullet points?</t>
  </si>
  <si>
    <t>Explain the significance of incorporating relevant and popular search terms in the product title and description.</t>
  </si>
  <si>
    <t>Share insights on how to effectively use product reviews and ratings to enhance listing optimization.</t>
  </si>
  <si>
    <t>Discuss the importance of accurate and optimized product categorization for better search visibility.</t>
  </si>
  <si>
    <t>How can sellers optimize product listings for voice search on Amazon's Alexa-enabled devices?</t>
  </si>
  <si>
    <t>Share tips for crafting engaging and compelling product descriptions that capture customers' attention.</t>
  </si>
  <si>
    <t>What are the best practices for optimizing product listings for specific seasons or holidays?</t>
  </si>
  <si>
    <t>Discuss the role of product videos in listing optimization and how sellers can create engaging video content.</t>
  </si>
  <si>
    <t>How can sellers optimize product listings for better visibility in Amazon's sponsored product ads?</t>
  </si>
  <si>
    <t>Explain the importance of incorporating product-specific details and specifications in the bullet points.</t>
  </si>
  <si>
    <t>Share strategies for conducting competitor research and using the insights to optimize product listings.</t>
  </si>
  <si>
    <t>What are the best practices for optimizing backend search terms for long-tail keywords and niche targeting?</t>
  </si>
  <si>
    <t>Discuss the role of customer-generated content, such as images and videos, in listing optimization.</t>
  </si>
  <si>
    <t>How can sellers use storytelling techniques to engage customers and enhance listing optimization?</t>
  </si>
  <si>
    <t>Share tips for leveraging product badges, certifications, or awards to improve listing credibility.</t>
  </si>
  <si>
    <t>Explain the importance of accurate and optimized product attributes in listing optimization.</t>
  </si>
  <si>
    <t>What are the best practices for structuring and organizing product descriptions for better readability?</t>
  </si>
  <si>
    <t>Discuss the role of social proof, such as customer testimonials, in optimizing product listings.</t>
  </si>
  <si>
    <t>How can sellers utilize Frequently Asked Questions (FAQs) to address customer concerns and improve listing optimization?</t>
  </si>
  <si>
    <t>Share insights on how to optimize backend search terms without violating Amazon's keyword stuffing policies.</t>
  </si>
  <si>
    <t>Explain the significance of optimizing product listings for Amazon's Buy Box algorithm and winning the Buy Box.</t>
  </si>
  <si>
    <t>Discuss the role of positive seller feedback and ratings in optimizing product listings.</t>
  </si>
  <si>
    <t>How can sellers use emotional triggers and persuasive language in listing optimization to drive conversions?</t>
  </si>
  <si>
    <t>Share tips for conducting A/B testing to optimize different elements of product listings.</t>
  </si>
  <si>
    <t>What are the best practices for optimizing listing content for different screen sizes and resolutions?</t>
  </si>
  <si>
    <t>Explain the importance of aligning listing optimization strategies with Amazon's Terms of Service and guidelines.</t>
  </si>
  <si>
    <t>How can sellers effectively use cross-promotions or upselling techniques in listing optimization?</t>
  </si>
  <si>
    <t>Discuss the role of product bundling or multi-pack offers in optimizing Amazon listings.</t>
  </si>
  <si>
    <t>Share insights on how to optimize product listings for Amazon Prime eligibility and increase visibility.</t>
  </si>
  <si>
    <t>What are the best practices for incorporating relevant search terms in the product backend subject matter field?</t>
  </si>
  <si>
    <t>Explain the importance of showcasing unique product features or innovations in listing optimization.</t>
  </si>
  <si>
    <t>How can sellers optimize their listings for better visibility in Amazon's "Customers who bought this also bought" section?</t>
  </si>
  <si>
    <t>Discuss the significance of optimizing product listings for different stages of the customer journey (awareness, consideration, decision).</t>
  </si>
  <si>
    <t>Share tips for creating compelling and keyword-rich product metadata to improve listing optimization.</t>
  </si>
  <si>
    <t>What are the best practices for optimizing product listings for better conversion rates on mobile devices?</t>
  </si>
  <si>
    <t>Explain the importance of utilizing positive customer testimonials or reviews in the product description.</t>
  </si>
  <si>
    <t>How can sellers optimize their listings for better visibility in Amazon's "Customers who viewed this also viewed" section?</t>
  </si>
  <si>
    <t>Discuss the role of relevant and optimized product tags in listing optimization.</t>
  </si>
  <si>
    <t>Share insights on how to optimize product listings for better performance in Amazon's "Customers also shopped for" section.</t>
  </si>
  <si>
    <t>What are the best practices for optimizing product listings for better performance in Amazon's "Customers also bought" section?</t>
  </si>
  <si>
    <t>Explain the significance of optimizing product listings for voice assistants like Amazon's Alexa.</t>
  </si>
  <si>
    <t>How can sellers use storytelling and brand narratives in listing optimization to build brand loyalty?</t>
  </si>
  <si>
    <t>Discuss the importance of optimizing product listings for better performance in Amazon's "Sponsored products related to this item" section.</t>
  </si>
  <si>
    <t>Share tips for utilizing persuasive copywriting techniques in product titles and bullet points.</t>
  </si>
  <si>
    <t>What are the best practices for optimizing product listings for better performance in Amazon's "Top rated from our brands" section?</t>
  </si>
  <si>
    <t>Explain the importance of incorporating social proof elements, such as user-generated content, in listing optimization.</t>
  </si>
  <si>
    <t>How can sellers use pricing strategies and psychological pricing techniques in listing optimization?</t>
  </si>
  <si>
    <t>Discuss the role of optimized product listings in driving organic traffic and improving search rankings on Amazon.</t>
  </si>
  <si>
    <t>Share insights on how to optimize product listings for better performance in Amazon's "Best sellers rank" section.</t>
  </si>
  <si>
    <t>What are the best practices for optimizing product listings for better performance in Amazon's "Hot new releases" section?</t>
  </si>
  <si>
    <t>Explain the significance of optimizing product listings for better performance in Amazon's "Movers and shakers" section.</t>
  </si>
  <si>
    <t>How can sellers use persuasive copywriting techniques in the product description to address customer pain points?</t>
  </si>
  <si>
    <t>Discuss the importance of optimizing product listings for better performance in Amazon's "Gift ideas" section.</t>
  </si>
  <si>
    <t>Share tips for utilizing scarcity and urgency elements in listing optimization to drive conversions.</t>
  </si>
  <si>
    <t>What are the best practices for optimizing product listings for better performance in Amazon's "Customers who bought this also bought" section?</t>
  </si>
  <si>
    <t>Explain the role of customer search terms and search query data in listing optimization.</t>
  </si>
  <si>
    <t>How can sellers identify profitable product niches with high demand on Amazon?</t>
  </si>
  <si>
    <t>Share strategies for conducting in-depth market research to identify trending product opportunities.</t>
  </si>
  <si>
    <t>What are the best methods for analyzing competitor products and identifying gaps in the market?</t>
  </si>
  <si>
    <t>Discuss the importance of considering product size, weight, and shipping requirements in product research.</t>
  </si>
  <si>
    <t>How can sellers utilize Amazon's Best Sellers Rank (BSR) to identify popular and high-performing products?</t>
  </si>
  <si>
    <t>Share tips for using product research tools and software to uncover profitable product opportunities.</t>
  </si>
  <si>
    <t>Explain the significance of conducting keyword research to understand customer search trends and preferences.</t>
  </si>
  <si>
    <t>Discuss the role of product reviews and ratings in assessing market demand and customer satisfaction.</t>
  </si>
  <si>
    <t>How can sellers analyze seasonal trends and identify products with high demand during specific times of the year?</t>
  </si>
  <si>
    <t>Share insights on how to evaluate product competition and determine the level of market saturation.</t>
  </si>
  <si>
    <t>What are the best practices for considering product sourcing and manufacturing costs in product research?</t>
  </si>
  <si>
    <t>Explain the importance of assessing product profitability and calculating potential profit margins before investing in a product.</t>
  </si>
  <si>
    <t>How can sellers identify products with a low competition and high-profit potential in specific Amazon categories?</t>
  </si>
  <si>
    <t>Share strategies for using customer feedback and reviews to identify product improvement opportunities.</t>
  </si>
  <si>
    <t>Discuss the significance of considering product longevity and sustainability in product research.</t>
  </si>
  <si>
    <t>How can sellers assess the potential for product differentiation and unique selling propositions in a market?</t>
  </si>
  <si>
    <t>Share tips for using social media platforms and online communities to identify emerging product trends.</t>
  </si>
  <si>
    <t>What are the best methods for identifying underserved customer segments and niche markets?</t>
  </si>
  <si>
    <t>Explain the importance of considering product seasonality and the potential impact on sales and profitability.</t>
  </si>
  <si>
    <t>How can sellers leverage data analysis and sales metrics to identify high-performing product categories?</t>
  </si>
  <si>
    <t>Share insights on how to research and identify popular and profitable private label product opportunities.</t>
  </si>
  <si>
    <t>Discuss the role of trade shows and industry events in discovering new product ideas and innovations.</t>
  </si>
  <si>
    <t>How can sellers assess the scalability of a product and its potential for long-term success?</t>
  </si>
  <si>
    <t>Share tips for using customer surveys and feedback to validate product ideas and gather market insights.</t>
  </si>
  <si>
    <t>What are the best practices for considering product restrictions and regulations in specific marketplaces?</t>
  </si>
  <si>
    <t>Explain the importance of analyzing product pricing and determining the competitive landscape.</t>
  </si>
  <si>
    <t>How can sellers leverage customer search volume data to identify product opportunities with high search demand?</t>
  </si>
  <si>
    <t>Discuss the significance of assessing the potential for product bundling and upselling opportunities.</t>
  </si>
  <si>
    <t>Share strategies for using crowdfunding platforms and campaigns to gauge market interest and validate product ideas.</t>
  </si>
  <si>
    <t>What are the best methods for evaluating product trends and demand in international marketplaces?</t>
  </si>
  <si>
    <t>Explain the role of product reviews and ratings in understanding customer pain points and product improvement areas.</t>
  </si>
  <si>
    <t>How can sellers utilize Amazon's "Movers and Shakers" list to identify products gaining popularity?</t>
  </si>
  <si>
    <t>Discuss the importance of considering product sourcing options and building relationships with reliable suppliers.</t>
  </si>
  <si>
    <t>Share insights on how to evaluate product potential based on long-term trends and evolving consumer preferences.</t>
  </si>
  <si>
    <t>What are the best practices for conducting a SWOT analysis (Strengths, Weaknesses, Opportunities, Threats) for potential products?</t>
  </si>
  <si>
    <t>Explain the significance of analyzing keyword competition and difficulty when researching product opportunities.</t>
  </si>
  <si>
    <t>How can sellers leverage customer demographics and psychographics to identify product preferences and needs?</t>
  </si>
  <si>
    <t>Discuss the role of product bundling or cross-selling potential in expanding product research opportunities.</t>
  </si>
  <si>
    <t>Share tips for utilizing Amazon's "Frequently Bought Together" section to identify product bundling possibilities.</t>
  </si>
  <si>
    <t>What are the best methods for conducting product research on emerging Amazon marketplaces?</t>
  </si>
  <si>
    <t>Explain the importance of analyzing customer search intent and aligning product offerings accordingly.</t>
  </si>
  <si>
    <t>How can sellers identify and leverage emerging product trends and fads for short-term profitability?</t>
  </si>
  <si>
    <t>Discuss the significance of considering intellectual property rights and patent issues when researching products.</t>
  </si>
  <si>
    <t>Share insights on how to evaluate the potential for product subscriptions or recurring revenue models.</t>
  </si>
  <si>
    <t>What are the best practices for conducting product research on Amazon's international marketplaces?</t>
  </si>
  <si>
    <t>Explain the role of product seasonality and the impact on demand fluctuations in product research.</t>
  </si>
  <si>
    <t>How can sellers assess the potential for product differentiation and competitive advantage in a crowded market?</t>
  </si>
  <si>
    <t>Discuss the significance of evaluating product quality and customer satisfaction through competitor analysis.</t>
  </si>
  <si>
    <t>Share tips for using Google Trends and other external tools to validate product interest and demand.</t>
  </si>
  <si>
    <t>What are the best methods for identifying evergreen products with consistent demand throughout the year?</t>
  </si>
  <si>
    <t>Explain the importance of considering product compatibility and cross-selling potential with existing product lines.</t>
  </si>
  <si>
    <t>How can sellers leverage customer-generated content, such as reviews and social media mentions, in product research?</t>
  </si>
  <si>
    <t>Discuss the role of analyzing customer search terms and search volume in identifying product opportunities.</t>
  </si>
  <si>
    <t>Share insights on how to evaluate product trends and demand based on social media discussions and influencer mentions.</t>
  </si>
  <si>
    <t>What are the best practices for researching and identifying trending products in specific demographics or target markets?</t>
  </si>
  <si>
    <t>Explain the significance of analyzing product pricing history and understanding price elasticity.</t>
  </si>
  <si>
    <t>How can sellers assess the potential for product variations and customization options within a market?</t>
  </si>
  <si>
    <t>Discuss the importance of considering product longevity and sustainability in terms of future market demand.</t>
  </si>
  <si>
    <t>Share tips for conducting focus groups or customer interviews to gather insights and validate product ideas.</t>
  </si>
  <si>
    <t>What are the best methods for identifying low-competition and high-demand product opportunities in specific Amazon categories?</t>
  </si>
  <si>
    <t>Explain the role of product seasonality and the impact on sales and profitability throughout the year.</t>
  </si>
  <si>
    <t>How can sellers utilize customer search query data to identify product opportunities and gaps in the market?</t>
  </si>
  <si>
    <t>Discuss the significance of analyzing customer behavior and purchase patterns to uncover product opportunities.</t>
  </si>
  <si>
    <t>Share insights on how to evaluate product trends and demand in niche or specialized markets.</t>
  </si>
  <si>
    <t>What are the best practices for researching and identifying unique and innovative product ideas?</t>
  </si>
  <si>
    <t>Explain the importance of analyzing customer sentiment and reviews for potential product improvement areas.</t>
  </si>
  <si>
    <t>How can sellers leverage keyword research tools to identify long-tail keywords and niche product opportunities?</t>
  </si>
  <si>
    <t>Discuss the role of product bundling or multi-pack offers in expanding product research possibilities.</t>
  </si>
  <si>
    <t>Share tips for analyzing customer search terms and incorporating relevant keywords in product research.</t>
  </si>
  <si>
    <t>What are the best methods for assessing the potential for product growth and scalability in a market?</t>
  </si>
  <si>
    <t>Explain the significance of analyzing customer feedback and reviews to identify product improvement areas.</t>
  </si>
  <si>
    <t>How can sellers utilize industry reports and market research data to uncover product opportunities?</t>
  </si>
  <si>
    <t>Discuss the importance of considering product trends and demands in relation to cultural or societal events.</t>
  </si>
  <si>
    <t>Share insights on how to evaluate product profitability and calculate potential profit margins accurately.</t>
  </si>
  <si>
    <t>What are the best practices for conducting competitive analysis and differentiating products in a saturated market?</t>
  </si>
  <si>
    <t>Explain the role of product research in identifying opportunities for expanding into Amazon's international marketplaces.</t>
  </si>
  <si>
    <t>How can sellers assess the potential for private label or exclusive product opportunities?</t>
  </si>
  <si>
    <t>Discuss the significance of analyzing customer search trends and search volume in product research.</t>
  </si>
  <si>
    <t>Share tips for using reverse engineering techniques to uncover successful product opportunities.</t>
  </si>
  <si>
    <t>What are the best methods for evaluating customer satisfaction and identifying product improvement areas through reviews?</t>
  </si>
  <si>
    <t>How can sellers identify their main competitors in a specific product category on Amazon?</t>
  </si>
  <si>
    <t>Share strategies for analyzing competitor product listings and identifying their unique selling points.</t>
  </si>
  <si>
    <t>What are the best methods for evaluating competitor pricing strategies and determining price competitiveness?</t>
  </si>
  <si>
    <t>Discuss the significance of assessing competitor customer reviews and ratings to understand their product quality and customer satisfaction levels.</t>
  </si>
  <si>
    <t>How can sellers identify and analyze competitor product keywords to improve their own keyword targeting?</t>
  </si>
  <si>
    <t>Share tips for monitoring competitor product launches and staying updated on their new offerings.</t>
  </si>
  <si>
    <t>What are the best practices for analyzing competitor product images and determining opportunities for improvement?</t>
  </si>
  <si>
    <t>Explain the importance of assessing competitor brand reputation and identifying potential areas for differentiation.</t>
  </si>
  <si>
    <t>How can sellers evaluate competitor fulfillment methods and determine opportunities to optimize their own order fulfillment?</t>
  </si>
  <si>
    <t>Discuss the role of competitor advertising and marketing strategies in understanding their promotional tactics.</t>
  </si>
  <si>
    <t>Share insights on how to analyze competitor social media presence and engagement to identify their marketing strengths.</t>
  </si>
  <si>
    <t>What are the best methods for monitoring competitor pricing fluctuations and adjusting pricing strategies accordingly?</t>
  </si>
  <si>
    <t>Explain the significance of evaluating competitor customer service and identifying areas for improvement in your own customer support.</t>
  </si>
  <si>
    <t>How can sellers analyze competitor product reviews to identify common customer pain points and address them in their own products?</t>
  </si>
  <si>
    <t>Discuss the importance of monitoring competitor inventory levels and identifying potential supply chain advantages.</t>
  </si>
  <si>
    <t>Share tips for analyzing competitor product descriptions and identifying opportunities to optimize your own product content.</t>
  </si>
  <si>
    <t>What are the best practices for tracking competitor sales performance and identifying market trends?</t>
  </si>
  <si>
    <t>Explain the role of competitor search rankings and organic visibility in understanding their search engine optimization (SEO) strategies.</t>
  </si>
  <si>
    <t>How can sellers assess competitor product packaging and branding to identify opportunities for enhancing their own visual appeal?</t>
  </si>
  <si>
    <t>Discuss the significance of analyzing competitor product variations and identifying gaps in the market for new variations.</t>
  </si>
  <si>
    <t>Share insights on how to monitor competitor customer feedback and identify potential areas for product enhancement.</t>
  </si>
  <si>
    <t>What are the best methods for tracking competitor advertising campaigns and evaluating their impact on sales?</t>
  </si>
  <si>
    <t>Explain the importance of analyzing competitor customer targeting and identifying opportunities to reach untapped customer segments.</t>
  </si>
  <si>
    <t>How can sellers evaluate competitor product bundling and cross-selling strategies to improve their own product offerings?</t>
  </si>
  <si>
    <t>Discuss the role of competitor sales promotions and discounts in understanding their pricing strategies.</t>
  </si>
  <si>
    <t>Share tips for monitoring competitor keyword rankings and optimizing your own keyword targeting based on their success.</t>
  </si>
  <si>
    <t>What are the best practices for analyzing competitor customer demographics and tailoring your marketing efforts accordingly?</t>
  </si>
  <si>
    <t>Explain the significance of tracking competitor product availability and leveraging supply chain advantages.</t>
  </si>
  <si>
    <t>How can sellers assess competitor customer loyalty programs and identify opportunities to enhance customer retention strategies?</t>
  </si>
  <si>
    <t>Discuss the importance of analyzing competitor product videos and identifying opportunities to improve your own product visual content.</t>
  </si>
  <si>
    <t>Share insights on how to monitor competitor product listing optimizations and incorporate successful strategies into your own listings.</t>
  </si>
  <si>
    <t>What are the best methods for tracking competitor sponsored product ads and evaluating their effectiveness?</t>
  </si>
  <si>
    <t>Explain the role of competitor customer testimonials and user-generated content in understanding their brand reputation.</t>
  </si>
  <si>
    <t>How can sellers evaluate competitor shipping options and delivery speed to optimize their own fulfillment methods?</t>
  </si>
  <si>
    <t>Discuss the significance of analyzing competitor customer reviews for insights into product performance and feature preferences.</t>
  </si>
  <si>
    <t>Share tips for monitoring competitor customer engagement on social media platforms and adapting your own social media strategies.</t>
  </si>
  <si>
    <t>What are the best practices for tracking competitor product recalls or quality issues and assuring product superiority?</t>
  </si>
  <si>
    <t>Explain the importance of analyzing competitor product attributes and identifying opportunities for product differentiation.</t>
  </si>
  <si>
    <t>How can sellers assess competitor brand messaging and positioning to refine their own brand identity?</t>
  </si>
  <si>
    <t>Discuss the role of competitor product certifications and industry affiliations in understanding their credibility and market advantages.</t>
  </si>
  <si>
    <t>Share insights on how to monitor competitor pricing changes and adjust pricing strategies accordingly.</t>
  </si>
  <si>
    <t>What are the best methods for tracking competitor product sales volumes and estimating their market share?</t>
  </si>
  <si>
    <t>Explain the significance of analyzing competitor customer retention strategies and loyalty programs.</t>
  </si>
  <si>
    <t>How can sellers evaluate competitor email marketing campaigns and incorporate successful tactics into their own email marketing efforts?</t>
  </si>
  <si>
    <t>Discuss the importance of monitoring competitor product ratings and reviews to identify potential areas for product improvement.</t>
  </si>
  <si>
    <t>Share tips for analyzing competitor product bundles or kits to identify opportunities for creating your own bundled offerings.</t>
  </si>
  <si>
    <t>What are the best practices for tracking competitor product listing optimizations and adapting your own listing strategies?</t>
  </si>
  <si>
    <t>Explain the role of competitor brand ambassadors or influencers in understanding their marketing tactics.</t>
  </si>
  <si>
    <t>How can sellers assess competitor customer support responsiveness and identify opportunities to excel in customer service?</t>
  </si>
  <si>
    <t>Discuss the significance of analyzing competitor product warranties or guarantees and identifying areas for improvement in your own policies.</t>
  </si>
  <si>
    <t>Share insights on how to monitor competitor product inventory fluctuations and anticipate supply chain challenges.</t>
  </si>
  <si>
    <t>What are the best methods for tracking competitor product ratings and reviews to identify potential gaps in the market?</t>
  </si>
  <si>
    <t>Explain the importance of analyzing competitor customer targeting and identifying opportunities to reach new customer segments.</t>
  </si>
  <si>
    <t>How can sellers evaluate competitor packaging design and identify opportunities to enhance their own product presentation?</t>
  </si>
  <si>
    <t>Discuss the role of competitor product cross-promotions or collaborations in understanding their marketing strategies.</t>
  </si>
  <si>
    <t>Share tips for analyzing competitor product content updates and incorporating successful elements into your own content.</t>
  </si>
  <si>
    <t>What are the best practices for tracking competitor advertising expenditure and evaluating its impact on sales?</t>
  </si>
  <si>
    <t>Explain the significance of monitoring competitor customer satisfaction surveys and feedback to gather market insights.</t>
  </si>
  <si>
    <t>How can sellers assess competitor fulfillment methods and identify opportunities to optimize their own order processing and shipping?</t>
  </si>
  <si>
    <t>Discuss the importance of analyzing competitor product certifications or awards and identifying potential industry recognition opportunities.</t>
  </si>
  <si>
    <t>Share insights on how to monitor competitor customer loyalty programs and adapt your own customer retention strategies.</t>
  </si>
  <si>
    <t>What are the best methods for tracking competitor product returns and identifying areas for improvement in your own return policies?</t>
  </si>
  <si>
    <t>Explain the role of competitor customer engagement on social media platforms in understanding their brand loyalty strategies.</t>
  </si>
  <si>
    <t>How can sellers evaluate competitor packaging materials and identify opportunities to enhance their own product sustainability.</t>
  </si>
  <si>
    <t>Discuss the significance of analyzing competitor advertising creatives and messaging to refine your own marketing materials.</t>
  </si>
  <si>
    <t>Share tips for monitoring competitor keyword rankings and adjusting your own keyword targeting strategies accordingly.</t>
  </si>
  <si>
    <t>What are the best practices for tracking competitor sales trends and market share fluctuations?</t>
  </si>
  <si>
    <t>Explain the importance of analyzing competitor customer testimonials and incorporating social proof elements into your own marketing efforts.</t>
  </si>
  <si>
    <t>How can sellers assess competitor shipping costs and delivery speed to optimize their own fulfillment strategies?</t>
  </si>
  <si>
    <t>Discuss the role of competitor influencer partnerships and endorsements in understanding their brand visibility strategies.</t>
  </si>
  <si>
    <t>Share insights on how to monitor competitor product feature updates and incorporate successful features into your own product development.</t>
  </si>
  <si>
    <t>What are the best methods for tracking competitor sponsored brand ads and evaluating their impact on brand visibility?</t>
  </si>
  <si>
    <t>Explain the significance of analyzing competitor customer retention strategies and identifying opportunities for improvement.</t>
  </si>
  <si>
    <t>How can sellers evaluate competitor email marketing campaigns and adapt successful tactics into their own email marketing efforts?</t>
  </si>
  <si>
    <t>Discuss the importance of monitoring competitor product recalls or quality issues to assure product superiority.</t>
  </si>
  <si>
    <t>Share tips for analyzing competitor customer support channels and response times to improve your own customer service.</t>
  </si>
  <si>
    <t>What are the best practices for tracking competitor pricing trends and adjusting your own pricing strategies accordingly?</t>
  </si>
  <si>
    <t>Explain the role of competitor customer satisfaction surveys and feedback in understanding market trends and customer preferences.</t>
  </si>
  <si>
    <t>How can sellers assess competitor website usability and user experience to optimize their own online shopping interface?</t>
  </si>
  <si>
    <t>Discuss the significance of analyzing competitor product variations and identifying opportunities for expanding your own product line.</t>
  </si>
  <si>
    <t>How can sellers leverage Amazon Sponsored Products to increase visibility and drive sales?</t>
  </si>
  <si>
    <t>Share strategies for optimizing product listings for better organic search rankings on Amazon.</t>
  </si>
  <si>
    <t>What are the best methods for running effective Amazon Pay-Per-Click (PPC) campaigns to maximize ROI?</t>
  </si>
  <si>
    <t>Discuss the significance of utilizing targeted keywords in product titles, bullet points, and descriptions.</t>
  </si>
  <si>
    <t>How can sellers create compelling product images and optimize them for improved click-through rates?</t>
  </si>
  <si>
    <t>Share tips for writing persuasive and informative product descriptions that convert shoppers into buyers.</t>
  </si>
  <si>
    <t>What are the best practices for utilizing Amazon Enhanced Brand Content (EBC) to enhance product listings?</t>
  </si>
  <si>
    <t>Explain the role of A+ Content in boosting brand visibility and conveying product features effectively.</t>
  </si>
  <si>
    <t>How can sellers leverage customer reviews and ratings as a powerful marketing tool on Amazon?</t>
  </si>
  <si>
    <t>Discuss the importance of optimizing backend keywords for improved search visibility on Amazon.</t>
  </si>
  <si>
    <t>Share insights on how to effectively use social media platforms to promote products and engage with customers.</t>
  </si>
  <si>
    <t>What are the best methods for running targeted advertising campaigns on external platforms like Facebook and Google?</t>
  </si>
  <si>
    <t>Explain the significance of utilizing influencer marketing to reach a wider audience and drive product awareness.</t>
  </si>
  <si>
    <t>How can sellers leverage email marketing to build customer loyalty and generate repeat sales?</t>
  </si>
  <si>
    <t>Discuss the role of customer segmentation and personalized marketing in driving customer engagement and conversions.</t>
  </si>
  <si>
    <t>Share tips for using customer testimonials and user-generated content to build trust and credibility.</t>
  </si>
  <si>
    <t>What are the best practices for running limited-time promotions and flash sales to create urgency and boost sales?</t>
  </si>
  <si>
    <t>Explain the importance of leveraging social proof elements such as product ratings and customer reviews in advertising.</t>
  </si>
  <si>
    <t>How can sellers utilize video marketing to showcase product features and engage with customers?</t>
  </si>
  <si>
    <t>Discuss the significance of running targeted advertising campaigns during peak shopping seasons and holidays.</t>
  </si>
  <si>
    <t>Share insights on how to create effective landing pages for external traffic to increase conversions.</t>
  </si>
  <si>
    <t>What are the best methods for optimizing product listings for mobile users and capturing mobile traffic?</t>
  </si>
  <si>
    <t>Explain the role of remarketing and retargeting campaigns in re-engaging potential customers and driving conversions.</t>
  </si>
  <si>
    <t>How can sellers leverage influencer collaborations and partnerships to expand brand reach and attract new customers?</t>
  </si>
  <si>
    <t>Discuss the importance of monitoring and analyzing advertising campaign metrics to optimize performance.</t>
  </si>
  <si>
    <t>Share tips for creating attention-grabbing headlines and ad copy that entices shoppers to click.</t>
  </si>
  <si>
    <t>What are the best practices for using customer-generated content, such as photos and videos, in advertising campaigns?</t>
  </si>
  <si>
    <t>Explain the significance of utilizing Amazon Coupons and Lightning Deals to incentivize purchases and increase sales.</t>
  </si>
  <si>
    <t>How can sellers leverage social media advertising platforms like Instagram and Pinterest to promote products effectively?</t>
  </si>
  <si>
    <t>Discuss the role of content marketing and blogging in driving organic traffic and establishing industry expertise.</t>
  </si>
  <si>
    <t>Share insights on how to create compelling product videos that demonstrate product usage and benefits.</t>
  </si>
  <si>
    <t>What are the best methods for utilizing Amazon's Vine Program to generate early reviews and build product credibility?</t>
  </si>
  <si>
    <t>Explain the importance of optimizing product pricing and offering competitive deals to attract customers.</t>
  </si>
  <si>
    <t>How can sellers utilize customer segmentation and targeting to create personalized advertising campaigns?</t>
  </si>
  <si>
    <t>Discuss the significance of running product giveaways and contests to generate buzz and attract new customers.</t>
  </si>
  <si>
    <t>Share tips for utilizing influencer marketing platforms to connect with relevant influencers in your niche.</t>
  </si>
  <si>
    <t>What are the best practices for optimizing product listings for voice search and capturing voice-activated device users?</t>
  </si>
  <si>
    <t>Explain the role of affiliate marketing in driving referral traffic and increasing product visibility.</t>
  </si>
  <si>
    <t>How can sellers leverage customer data and analytics to refine advertising strategies and target high-value customers?</t>
  </si>
  <si>
    <t>Discuss the importance of A/B testing and experimentation in optimizing advertising campaigns for better performance.</t>
  </si>
  <si>
    <t>Explain the significance of utilizing descriptive and relevant product keywords in backend search terms for improved search visibility.</t>
  </si>
  <si>
    <t>How can sellers leverage social media platforms and external websites to drive traffic and improve search engine optimization on Amazon?</t>
  </si>
  <si>
    <t>Discuss the importance of monitoring and responding to customer questions and reviews to enhance search relevance and visibility.</t>
  </si>
  <si>
    <t>Share tips for optimizing product listings for frequently asked questions (FAQs) to improve search engine optimization.</t>
  </si>
  <si>
    <t>What are the best methods for optimizing product listings for specific Amazon product categories, such as books, electronics, or home goods?</t>
  </si>
  <si>
    <t>Explain the role of optimizing product listings for specific geographical locations to target local customers and improve search visibility.</t>
  </si>
  <si>
    <t>How can sellers utilize keyword-rich product titles and descriptions to improve search rankings on external search engines, such as Google?</t>
  </si>
  <si>
    <t>Discuss the significance of utilizing high-quality and keyword-optimized product videos to enhance search engine optimization on Amazon.</t>
  </si>
  <si>
    <t>What are the key considerations when optimizing product listings for Amazon's recommendation algorithms, such as Frequently Bought Together or Customers Who Bought This Also Bought?</t>
  </si>
  <si>
    <t>Share insights on how to effectively optimize product listings for search results on Amazon's mobile app.</t>
  </si>
  <si>
    <t>How can sellers leverage external SEO strategies, such as link building and content marketing, to improve search engine optimization on Amazon?</t>
  </si>
  <si>
    <t>Discuss the importance of monitoring and analyzing competitor listings and search rankings to identify optimization opportunities.</t>
  </si>
  <si>
    <t>Explain the significance of utilizing customer search terms and queries in product titles and descriptions for improved search relevance.</t>
  </si>
  <si>
    <t>What are the best practices for utilizing Amazon's storefronts and brand pages to enhance search engine optimization?</t>
  </si>
  <si>
    <t>Share tips for optimizing product listings for Amazon's Subscribe &amp; Save program to attract recurring customers and improve search visibility.</t>
  </si>
  <si>
    <t>How can sellers leverage Amazon's Vine program to generate authentic and trusted product reviews and enhance search engine optimization?</t>
  </si>
  <si>
    <t>Discuss the role of optimizing product listings for specific search intents, such as informational, navigational, or transactional searches.</t>
  </si>
  <si>
    <t>Share insights on how to optimize product listings for specific Amazon search filters, such as Prime eligibility or customer ratings.</t>
  </si>
  <si>
    <t>What are the key considerations when optimizing product listings for specific Amazon advertising formats, such as video ads or display ads?</t>
  </si>
  <si>
    <t>Explain the importance of optimizing backend search terms for misspelled keywords or common variations of search terms.</t>
  </si>
  <si>
    <t>How can sellers leverage external keyword research tools to identify high-volume and relevant search terms for their products?</t>
  </si>
  <si>
    <t>Discuss the significance of optimizing product listings for specific customer demographics, preferences, or lifestyles to improve search relevance.</t>
  </si>
  <si>
    <t>Share tips for optimizing product listings for specific Amazon programs, such as Amazon Prime or Amazon Fresh.</t>
  </si>
  <si>
    <t>What are the best methods for optimizing product listings for specific search filters, such as product ratings or shipping options?</t>
  </si>
  <si>
    <t>Explain the role of optimizing product listings for specific customer reviews and ratings to enhance search engine optimization.</t>
  </si>
  <si>
    <t>How can sellers utilize customer search queries and voice of customer data to optimize product listings for improved search relevance?</t>
  </si>
  <si>
    <t>Discuss the importance of optimizing product listings for specific product bundles or multipacks to capture relevant search traffic.</t>
  </si>
  <si>
    <t>Share insights on how to optimize product listings for specific search terms used by professional buyers or B2B customers.</t>
  </si>
  <si>
    <t>What are the key considerations when optimizing product listings for specific customer personas or target audiences?</t>
  </si>
  <si>
    <t>Explain the significance of optimizing product listings for specific product features or benefits to improve search relevance.</t>
  </si>
  <si>
    <t>How can sellers leverage Amazon's automatic backend search term indexing to enhance search engine optimization?</t>
  </si>
  <si>
    <t>Discuss the role of optimizing product listings for specific search filters, such as average customer reviews or price ranges.</t>
  </si>
  <si>
    <t>Share tips for optimizing product listings for specific search terms used by international customers in different languages.</t>
  </si>
  <si>
    <t>What are the best practices for optimizing product listings for specific promotional campaigns, discounts, or limited-time offers?</t>
  </si>
  <si>
    <t>Explain the importance of optimizing product listings for specific search filters, such as new arrivals or best sellers.</t>
  </si>
  <si>
    <t>How can sellers utilize customer search behavior and search term reports to identify and target emerging or trending keywords?</t>
  </si>
  <si>
    <t>Discuss the significance of optimizing product listings for specific customer search intents, such as problem-solving or comparison searches.</t>
  </si>
  <si>
    <t>Share insights on how to optimize backend search terms for specific search terms used by customers in different stages of the buyer's journey.</t>
  </si>
  <si>
    <t>What are the key considerations when optimizing product listings for specific target keywords based on seasonality or trends?</t>
  </si>
  <si>
    <t>Explain the role of optimizing product listings for specific search filters, such as availability or product condition (new or used).</t>
  </si>
  <si>
    <t>How can sellers leverage Amazon's advertising reports and analytics to identify optimization opportunities for search engine optimization?</t>
  </si>
  <si>
    <t>Discuss the importance of optimizing product listings for specific search filters, such as brand or seller-specific filters.</t>
  </si>
  <si>
    <t>Share tips for optimizing product listings for specific search terms used by customers in different product-related niches.</t>
  </si>
  <si>
    <t>What are the best methods for optimizing product listings for specific search filters, such as customer reviews or average star ratings?</t>
  </si>
  <si>
    <t>Explain the significance of optimizing product listings for specific search terms used by customers in different geographical regions.</t>
  </si>
  <si>
    <t>How can sellers utilize competitor keyword analysis to identify and target relevant keywords for improved search engine optimization?</t>
  </si>
  <si>
    <t>Discuss the role of optimizing product listings for specific search filters, such as fast shipping or product condition (refurbished).</t>
  </si>
  <si>
    <t>Share insights on how to optimize product listings for specific search terms used by customers in different age groups or demographics.</t>
  </si>
  <si>
    <t>What are the key considerations when optimizing backend search terms for specific search terms used by customers in different industries or professions?</t>
  </si>
  <si>
    <t>Explain the importance of optimizing product listings for specific search filters, such as product dimensions or weight.</t>
  </si>
  <si>
    <t>How can sellers leverage external product review websites and blogs to enhance search engine optimization on Amazon?</t>
  </si>
  <si>
    <t>Discuss the significance of optimizing product listings for specific search terms used by customers with specific preferences or dietary restrictions.</t>
  </si>
  <si>
    <t>Share tips for optimizing product listings for specific search filters, such as top-rated or Amazon's Choice products.</t>
  </si>
  <si>
    <t>What are the best practices for optimizing product listings for specific search terms used by customers in different educational or professional fields?</t>
  </si>
  <si>
    <t>Explain the role of optimizing product listings for specific search filters, such as product variations or color options.</t>
  </si>
  <si>
    <t>How can sellers utilize customer search queries and search term reports to identify and target long-tail keywords for improved search engine optimization?</t>
  </si>
  <si>
    <t>Discuss the importance of optimizing product listings for specific search filters, such as free shipping or product warranty.</t>
  </si>
  <si>
    <t>Share insights on how to optimize product listings for specific search terms used by customers with different budget preferences or price ranges.</t>
  </si>
  <si>
    <t>What are the key considerations when optimizing product listings for specific search filters, such as customer recommendations or deals and promotions?</t>
  </si>
  <si>
    <t>Explain the significance of optimizing product listings for specific search terms used by customers with specific health or wellness concerns.</t>
  </si>
  <si>
    <t>How can sellers leverage external product comparison websites and platforms to enhance search engine optimization on Amazon?</t>
  </si>
  <si>
    <t>Discuss the role of optimizing product listings for specific search filters, such as customer ratings or product compatibility.</t>
  </si>
  <si>
    <t>Share tips for optimizing product listings for specific search terms used by customers in different hobbies, interests, or recreational activities.</t>
  </si>
  <si>
    <t>What are the best methods for optimizing product listings for specific search filters, such as local pickup availability or Prime eligibility?</t>
  </si>
  <si>
    <t>Explain the importance of optimizing product listings for specific search terms used by customers in different cultural or ethnic contexts.</t>
  </si>
  <si>
    <t>How can sellers utilize customer search behavior and search term reports to identify and target niche or long-tail keywords for improved search engine optimization?</t>
  </si>
  <si>
    <t>Discuss the significance of optimizing product listings for specific search filters, such as product materials or ingredients.</t>
  </si>
  <si>
    <t>Share insights on how to optimize product listings for specific search terms used by customers with different style preferences or fashion trends.</t>
  </si>
  <si>
    <t>What are the key considerations when optimizing backend search terms for specific search terms used by customers with different tech-savviness or digital literacy levels?</t>
  </si>
  <si>
    <t>What are the key factors to consider when determining the optimal pricing strategy for your product?</t>
  </si>
  <si>
    <t>Discuss the advantages and disadvantages of using a cost-based pricing strategy.</t>
  </si>
  <si>
    <t>Share insights on how to effectively use a value-based pricing strategy to capture customer willingness to pay.</t>
  </si>
  <si>
    <t>Explain the role of market research and competitor analysis in developing a competitive pricing strategy.</t>
  </si>
  <si>
    <t>How can sellers leverage dynamic pricing strategies to adjust prices in real-time based on market conditions and demand?</t>
  </si>
  <si>
    <t>Discuss the significance of using psychological pricing techniques, such as charm pricing or price bundling, to influence customer perceptions.</t>
  </si>
  <si>
    <t>What are the best practices for implementing a penetration pricing strategy to gain market share and attract new customers?</t>
  </si>
  <si>
    <t>Share tips for effectively using price skimming as a pricing strategy to maximize revenue during the initial product launch.</t>
  </si>
  <si>
    <t>Explain the importance of considering the price elasticity of demand when developing a pricing strategy.</t>
  </si>
  <si>
    <t>How can sellers utilize promotional pricing strategies, such as discounts or coupons, to drive sales and customer acquisition?</t>
  </si>
  <si>
    <t>Discuss the role of dynamic pricing algorithms and pricing optimization tools in implementing an effective pricing strategy.</t>
  </si>
  <si>
    <t>What are the key considerations when implementing a value-added pricing strategy to differentiate your product in the market?</t>
  </si>
  <si>
    <t>Share insights on how to effectively use price anchoring techniques to influence customer perception of value.</t>
  </si>
  <si>
    <t>Explain the significance of implementing a premium pricing strategy to position your product as a high-quality offering.</t>
  </si>
  <si>
    <t>How can sellers utilize price discrimination strategies, such as tiered pricing or personalized pricing, to cater to different customer segments?</t>
  </si>
  <si>
    <t>Discuss the importance of considering the product life cycle stage when determining the appropriate pricing strategy.</t>
  </si>
  <si>
    <t>What are the best practices for implementing a price matching strategy to stay competitive in the market?</t>
  </si>
  <si>
    <t>Share tips for effectively using promotional pricing strategies, such as flash sales or limited-time offers, to create a sense of urgency.</t>
  </si>
  <si>
    <t>Explain the role of psychological pricing cues, such as odd pricing or decoy pricing, in influencing customer purchase decisions.</t>
  </si>
  <si>
    <t>How can sellers leverage pricing experiments and A/B testing to optimize their pricing strategy and maximize profitability?</t>
  </si>
  <si>
    <t>Discuss the significance of implementing a subscription-based pricing model to create recurring revenue streams and enhance customer loyalty.</t>
  </si>
  <si>
    <t>What are the key considerations when implementing a freemium pricing strategy to attract customers with a free version of your product?</t>
  </si>
  <si>
    <t>Share insights on how to effectively use price differentiation based on geographic or demographic factors in your pricing strategy.</t>
  </si>
  <si>
    <t>Explain the importance of conducting pricing sensitivity analysis to identify the price range that maximizes profit and customer demand.</t>
  </si>
  <si>
    <t>How can sellers utilize bundle pricing strategies to increase average order value and promote cross-selling?</t>
  </si>
  <si>
    <t>Discuss the role of pricing as a positioning strategy to communicate your product's value proposition and target specific market segments.</t>
  </si>
  <si>
    <t>What are the best practices for implementing a value pricing strategy to offer affordable options without compromising profitability?</t>
  </si>
  <si>
    <t>Share tips for effectively using price signaling techniques, such as prestige pricing or price lining, to convey product quality and exclusivity.</t>
  </si>
  <si>
    <t>Explain the significance of implementing a yield management pricing strategy to optimize revenue in industries with perishable inventory or fluctuating demand.</t>
  </si>
  <si>
    <t>How can sellers leverage pricing tiers and options to cater to customers with different needs and budgets?</t>
  </si>
  <si>
    <t>Discuss the importance of monitoring and adjusting prices based on customer feedback and market dynamics.</t>
  </si>
  <si>
    <t>What are the key considerations when implementing a cost-plus pricing strategy to ensure profitability and cover expenses?</t>
  </si>
  <si>
    <t>Share insights on how to effectively use dynamic pricing strategies in response to changes in competitor pricing or market conditions.</t>
  </si>
  <si>
    <t>Explain the role of price transparency and clear pricing communication in building customer trust and loyalty.</t>
  </si>
  <si>
    <t>How can sellers utilize price segmentation strategies to target different customer segments with tailored pricing offers?</t>
  </si>
  <si>
    <t>Discuss the significance of implementing a loss leader pricing strategy to attract customers with discounted products and drive additional sales.</t>
  </si>
  <si>
    <t>What are the best practices for implementing a value-pack pricing strategy to encourage customers to buy in bulk or larger quantities?</t>
  </si>
  <si>
    <t>Share tips for effectively using promotional pricing strategies during seasonal or holiday sales periods.</t>
  </si>
  <si>
    <t>Explain the importance of considering the perceived value of your product in relation to its price when developing a pricing strategy.</t>
  </si>
  <si>
    <t>How can sellers leverage price optimization software and algorithms to automate pricing decisions and maximize profitability?</t>
  </si>
  <si>
    <t>Discuss the role of pricing psychology and consumer behavior theories in shaping pricing strategies.</t>
  </si>
  <si>
    <t>What are the key considerations when implementing a dynamic pricing strategy for e-commerce platforms or online marketplaces?</t>
  </si>
  <si>
    <t>Share insights on how to effectively use price testing and experimentation to determine the optimal price point for your product.</t>
  </si>
  <si>
    <t>Explain the significance of implementing a value-based pricing strategy to align pricing with the unique benefits and advantages your product offers.</t>
  </si>
  <si>
    <t>How can sellers leverage price differentiation based on customer loyalty or membership programs to reward and retain valuable customers?</t>
  </si>
  <si>
    <t>Discuss the importance of considering the value chain and distribution channel dynamics when determining your pricing strategy.</t>
  </si>
  <si>
    <t>What are the best practices for implementing a psychological pricing strategy that appeals to customers' perception of value?</t>
  </si>
  <si>
    <t>Share tips for effectively using price negotiation and flexible pricing strategies in B2B or contract-based business models.</t>
  </si>
  <si>
    <t>Explain the role of pricing software and analytics in monitoring competitor prices and adjusting your pricing strategy accordingly.</t>
  </si>
  <si>
    <t>How can sellers leverage pricing promotions and incentives to encourage repeat purchases and foster customer loyalty?</t>
  </si>
  <si>
    <t>How can sellers develop a strong and memorable brand identity that resonates with their target audience?</t>
  </si>
  <si>
    <t>Discuss the importance of creating a cohesive brand story and messaging across all brand touchpoints.</t>
  </si>
  <si>
    <t>Share tips for designing a visually appealing and professional logo that reflects the essence of your brand.</t>
  </si>
  <si>
    <t>Explain the significance of conducting market research and competitor analysis to identify opportunities for brand differentiation.</t>
  </si>
  <si>
    <t>How can sellers effectively use packaging design to communicate the value and quality of their products?</t>
  </si>
  <si>
    <t>Discuss the role of brand positioning and unique selling propositions in shaping the overall brand strategy.</t>
  </si>
  <si>
    <t>What are the key considerations when choosing brand colors and fonts that align with your brand personality and target market?</t>
  </si>
  <si>
    <t>Share insights on how to create a consistent brand experience across all customer touchpoints, from packaging to marketing materials.</t>
  </si>
  <si>
    <t>Explain the importance of incorporating brand elements, such as logos or slogans, into your product packaging design.</t>
  </si>
  <si>
    <t>How can sellers utilize storytelling techniques to create an emotional connection with customers through their brand?</t>
  </si>
  <si>
    <t>Discuss the significance of creating a brand style guide to maintain consistency in visual and written communication.</t>
  </si>
  <si>
    <t>What are the best practices for creating packaging that is not only visually appealing but also functional and protective?</t>
  </si>
  <si>
    <t>Share tips for effectively using packaging to differentiate your product from competitors on store shelves or online platforms.</t>
  </si>
  <si>
    <t>Explain the role of brand personality and brand voice in shaping the overall customer perception of your brand.</t>
  </si>
  <si>
    <t>How can sellers leverage packaging as a marketing tool to communicate product benefits and features to potential customers?</t>
  </si>
  <si>
    <t>Discuss the importance of conducting consumer research and testing to ensure that your packaging design resonates with your target audience.</t>
  </si>
  <si>
    <t>What are the key considerations when designing packaging that aligns with eco-friendly or sustainable brand values?</t>
  </si>
  <si>
    <t>Share insights on how to create a compelling and persuasive brand message that captures the attention of your target market.</t>
  </si>
  <si>
    <t>Explain the significance of creating a brand positioning statement that clearly defines your brand's unique value proposition.</t>
  </si>
  <si>
    <t>How can sellers effectively use packaging materials and finishes to create a premium or luxury brand image?</t>
  </si>
  <si>
    <t>Discuss the role of brand consistency in building brand trust and loyalty among customers.</t>
  </si>
  <si>
    <t>What are the best practices for incorporating storytelling elements into your packaging design to create an emotional connection with customers?</t>
  </si>
  <si>
    <t>Share tips for creating packaging that is not only visually appealing but also easy to open, handle, and store for the customers.</t>
  </si>
  <si>
    <t>Explain the importance of aligning your packaging design with your target market's preferences, lifestyles, and demographics.</t>
  </si>
  <si>
    <t>How can sellers leverage packaging design to stand out in a crowded marketplace and attract customer attention?</t>
  </si>
  <si>
    <t>Discuss the significance of creating a brand positioning statement that clearly defines your brand's unique value proposition.</t>
  </si>
  <si>
    <t>What are the key factors to consider when evaluating the feasibility of expanding your Amazon business into international markets?</t>
  </si>
  <si>
    <t>Discuss the benefits of expanding your business internationally and the potential opportunities for growth.</t>
  </si>
  <si>
    <t>Share insights on how to conduct market research to identify viable international markets for your products.</t>
  </si>
  <si>
    <t>Explain the importance of understanding cultural differences and adapting your marketing strategies to resonate with international customers.</t>
  </si>
  <si>
    <t>How can sellers navigate language barriers and effectively communicate with international customers in their native languages?</t>
  </si>
  <si>
    <t>Discuss the logistics and operational considerations when expanding your Amazon business to international marketplaces.</t>
  </si>
  <si>
    <t>What are the best practices for optimizing your product listings and content for international audiences?</t>
  </si>
  <si>
    <t>Share tips for navigating international shipping and fulfillment, including customs regulations and shipping options.</t>
  </si>
  <si>
    <t>Explain the significance of localizing your product packaging and marketing materials to appeal to international customers.</t>
  </si>
  <si>
    <t>How can sellers leverage international fulfillment services, such as Amazon's FBA Global Export, to streamline international shipping processes?</t>
  </si>
  <si>
    <t>Discuss the importance of understanding local competition and market dynamics when expanding internationally.</t>
  </si>
  <si>
    <t>What are the key considerations when establishing pricing strategies for international markets, including currency conversions and local pricing norms?</t>
  </si>
  <si>
    <t>Share insights on how to build relationships with local suppliers and manufacturers in your target international markets.</t>
  </si>
  <si>
    <t>Explain the significance of developing a comprehensive international expansion strategy that aligns with your overall business goals.</t>
  </si>
  <si>
    <t>How can sellers effectively use localization and translation services to adapt their product listings and marketing content for different international markets?</t>
  </si>
  <si>
    <t>Discuss the challenges and opportunities of selling on international Amazon marketplaces and the best practices for success.</t>
  </si>
  <si>
    <t>What are the legal and regulatory considerations when expanding your business internationally, including intellectual property protection and tax obligations?</t>
  </si>
  <si>
    <t>Share tips for managing customer support and handling returns for international customers.</t>
  </si>
  <si>
    <t>Explain the importance of building a network of international contacts, such as distributors or local influencers, to support your expansion efforts.</t>
  </si>
  <si>
    <t>How can sellers leverage cross-border advertising and marketing strategies to reach and engage international customers?</t>
  </si>
  <si>
    <t>Discuss the significance of conducting a competitive analysis in international markets to identify opportunities for differentiation and growth.</t>
  </si>
  <si>
    <t>What are the key considerations when localizing your product offering to meet the unique preferences and needs of international customers?</t>
  </si>
  <si>
    <t>Share insights on how to navigate currency exchange fluctuations and mitigate financial risks when selling internationally.</t>
  </si>
  <si>
    <t>Explain the significance of understanding local consumer behavior and purchasing habits in international markets.</t>
  </si>
  <si>
    <t>How can sellers leverage international marketplaces and e-commerce platforms beyond Amazon to expand their global reach?</t>
  </si>
  <si>
    <t>Discuss the challenges and strategies for building brand awareness and reputation in new international markets.</t>
  </si>
  <si>
    <t>What are the best practices for optimizing your product images and videos to resonate with international customers?</t>
  </si>
  <si>
    <t>Share tips for conducting effective market entry analysis and selecting the most suitable international markets for expansion.</t>
  </si>
  <si>
    <t>Explain the importance of conducting a thorough legal and compliance review before expanding your business into international markets.</t>
  </si>
  <si>
    <t>How can sellers leverage international fulfillment centers and warehouses to streamline inventory management and shipping logistics?</t>
  </si>
  <si>
    <t>Discuss the significance of developing localized customer service and support channels for international customers.</t>
  </si>
  <si>
    <t>What are the key considerations when adapting your product packaging and labeling to meet international regulatory requirements?</t>
  </si>
  <si>
    <t>Share insights on how to conduct pricing research and analysis to determine competitive and profitable pricing strategies in international markets.</t>
  </si>
  <si>
    <t>Explain the significance of understanding the cultural nuances and sensitivities of different international markets when developing marketing campaigns.</t>
  </si>
  <si>
    <t>How can sellers leverage cross-border partnerships and collaborations to expand their reach and customer base in new international markets?</t>
  </si>
  <si>
    <t>Discuss the challenges and strategies for managing international logistics, including inventory forecasting, supply chain optimization, and transportation.</t>
  </si>
  <si>
    <t>What are the best practices for building trust and credibility with international customers through localized customer reviews and testimonials?</t>
  </si>
  <si>
    <t>Share tips for adapting your product descriptions and features to align with the language and terminology preferences of international customers.</t>
  </si>
  <si>
    <t>Explain the importance of conducting intellectual property research and protection when expanding into new international markets.</t>
  </si>
  <si>
    <t>How can sellers leverage market research and data analysis to identify untapped international market opportunities for their products?</t>
  </si>
  <si>
    <t>Discuss the significance of adapting your marketing and advertising strategies to local cultural norms and preferences in international markets.</t>
  </si>
  <si>
    <t>What are the key considerations when selecting international shipping providers and negotiating favorable rates and terms?</t>
  </si>
  <si>
    <t>Share insights on how to navigate international payment processing and currency conversion to facilitate smooth transactions with international customers.</t>
  </si>
  <si>
    <t>Explain the significance of building relationships with local influencers and industry experts to enhance your brand presence in international markets.</t>
  </si>
  <si>
    <t>How can sellers leverage social media and online marketing channels to reach and engage international audiences?</t>
  </si>
  <si>
    <t>Discuss the challenges and strategies for managing inventory and supply chain disruptions when selling internationally.</t>
  </si>
  <si>
    <t>What are the best practices for developing localized customer support resources, including multilingual customer service and self-help tools?</t>
  </si>
  <si>
    <t>Share tips for conducting market entry tests and pilot programs to validate product demand and market fit in international markets.</t>
  </si>
  <si>
    <t>Explain the importance of understanding international shipping regulations and compliance requirements for different product categories.</t>
  </si>
  <si>
    <t>How can sellers leverage cross-border fulfillment services, such as Amazon's Global Selling Program, to simplify international expansion and logistics?</t>
  </si>
  <si>
    <t>Discuss the importance of providing exceptional customer service to build customer loyalty and drive repeat purchases.</t>
  </si>
  <si>
    <t>Share tips for establishing effective communication channels to promptly address customer inquiries and concerns.</t>
  </si>
  <si>
    <t>Explain the significance of training customer service representatives to deliver knowledgeable and empathetic support to customers.</t>
  </si>
  <si>
    <t>How can sellers proactively anticipate and address common customer questions or issues through comprehensive FAQs or self-help resources?</t>
  </si>
  <si>
    <t>Discuss the benefits of implementing a customer relationship management (CRM) system to track customer interactions and provide personalized support.</t>
  </si>
  <si>
    <t>What are the key considerations when setting response time goals for customer inquiries and messages?</t>
  </si>
  <si>
    <t>Share insights on how to effectively handle and resolve customer complaints or negative reviews to turn them into positive experiences.</t>
  </si>
  <si>
    <t>Explain the importance of actively seeking customer feedback and using it to improve products and service quality.</t>
  </si>
  <si>
    <t>How can sellers leverage automation tools and chatbots to streamline customer support processes and provide quick responses?</t>
  </si>
  <si>
    <t>Discuss the role of social media in customer service and how to effectively engage with customers on platforms like Facebook or Twitter.</t>
  </si>
  <si>
    <t>What are the best practices for implementing a customer loyalty program to reward and retain valuable customers?</t>
  </si>
  <si>
    <t>Share tips for handling product returns and exchanges smoothly and efficiently to ensure customer satisfaction.</t>
  </si>
  <si>
    <t>Explain the significance of maintaining a professional and courteous tone in all customer interactions, whether written or verbal.</t>
  </si>
  <si>
    <t>How can sellers utilize data analytics and customer insights to identify patterns and trends that can inform improvements in customer service?</t>
  </si>
  <si>
    <t>Discuss the benefits of offering multiple support channels, such as phone, email, and live chat, to cater to different customer preferences.</t>
  </si>
  <si>
    <t>What are the key considerations when outsourcing customer service tasks to third-party service providers?</t>
  </si>
  <si>
    <t>Share insights on how to effectively manage customer expectations and deliver on promises regarding shipping, delivery, or product performance.</t>
  </si>
  <si>
    <t>Explain the importance of empowering customer service representatives with the authority to make decisions and resolve issues independently.</t>
  </si>
  <si>
    <t>How can sellers create a customer-centric culture within their organization to prioritize customer service excellence?</t>
  </si>
  <si>
    <t>Discuss the significance of measuring and tracking customer satisfaction metrics, such as Net Promoter Score (NPS), to gauge performance and identify areas for improvement.</t>
  </si>
  <si>
    <t>What are the best practices for handling high-volume customer inquiries during peak seasons or promotional periods?</t>
  </si>
  <si>
    <t>Share tips for managing and resolving customer disputes or escalations in a fair and efficient manner.</t>
  </si>
  <si>
    <t>Explain the importance of providing clear and accurate product information to prevent customer misunderstandings or dissatisfaction.</t>
  </si>
  <si>
    <t>How can sellers leverage personalization techniques to create tailored customer experiences and strengthen customer relationships?</t>
  </si>
  <si>
    <t>Discuss the role of proactive customer outreach and follow-up to ensure customer satisfaction and address any lingering concerns.</t>
  </si>
  <si>
    <t>What are the key considerations when implementing a customer support ticketing system to manage and track customer inquiries?</t>
  </si>
  <si>
    <t>Share insights on how to effectively handle and resolve shipping or delivery issues to minimize customer frustration.</t>
  </si>
  <si>
    <t>Explain the significance of training customer service representatives to actively listen and empathize with customers' concerns and needs.</t>
  </si>
  <si>
    <t>How can sellers leverage social proof, such as customer testimonials or reviews, to build trust and credibility with potential customers?</t>
  </si>
  <si>
    <t>Discuss the benefits of implementing a knowledge base or self-service portal to provide customers with quick access to information and solutions.</t>
  </si>
  <si>
    <t>What are the best practices for handling customer data and privacy to ensure compliance with data protection regulations?</t>
  </si>
  <si>
    <t>Share tips for effectively managing customer expectations during product launches or pre-order phases.</t>
  </si>
  <si>
    <t>Explain the importance of empowering customers with self-service options, such as order tracking or returns initiation, to enhance their experience.</t>
  </si>
  <si>
    <t>How can sellers leverage customer feedback and reviews to identify product improvements or new product opportunities?</t>
  </si>
  <si>
    <t>Discuss the significance of continuous training and development for customer service representatives to stay updated with product knowledge and industry trends.</t>
  </si>
  <si>
    <t>What are the key considerations when implementing a customer support escalation process to handle complex or unresolved issues?</t>
  </si>
  <si>
    <t>Share insights on how to effectively manage customer inquiries or support requests during non-business hours or holidays.</t>
  </si>
  <si>
    <t>Explain the importance of providing prompt and transparent communication regarding order status updates or delays.</t>
  </si>
  <si>
    <t>How can sellers leverage customer support analytics to identify common pain points or bottlenecks and implement proactive solutions?</t>
  </si>
  <si>
    <t>Discuss the benefits of implementing a customer satisfaction survey or feedback mechanism to gather insights and measure performance.</t>
  </si>
  <si>
    <t>What are the best practices for integrating customer service and support processes with other business functions, such as inventory management or fulfillment?</t>
  </si>
  <si>
    <t>Share tips for creating a customer-centric returns and refund policy that balances customer satisfaction and business needs.</t>
  </si>
  <si>
    <t>Explain the significance of building a customer service team that embodies the brand values and represents the company effectively.</t>
  </si>
  <si>
    <t>How can sellers leverage social listening and sentiment analysis tools to monitor and respond to customer feedback or mentions online?</t>
  </si>
  <si>
    <t>Discuss the role of customer service in managing product recalls or safety concerns and the best practices for handling such situations.</t>
  </si>
  <si>
    <t>What are the key considerations when providing multilingual customer support to cater to customers from different language backgrounds?</t>
  </si>
  <si>
    <t>Share insights on how to empower customers with self-help resources, such as video tutorials or user guides, to troubleshoot common issues.</t>
  </si>
  <si>
    <t>Explain the importance of proactively communicating product updates or changes to existing customers to maintain transparency.</t>
  </si>
  <si>
    <t>How can sellers implement a system for tracking and resolving customer complaints or issues to ensure timely resolution and customer satisfaction?</t>
  </si>
  <si>
    <t>Discuss the benefits of fostering a customer-centric culture within your organization and the impact it can have on long-term business success.</t>
  </si>
  <si>
    <t>Discuss the importance of efficient shipping and logistics processes in meeting customer expectations and driving customer satisfaction.</t>
  </si>
  <si>
    <t>Share tips for selecting the most suitable shipping carriers and services based on factors such as cost, reliability, and speed.</t>
  </si>
  <si>
    <t>Explain the significance of accurately calculating shipping costs and incorporating them into product pricing and profit margins.</t>
  </si>
  <si>
    <t>How can sellers optimize packaging and shipping materials to minimize costs while ensuring product protection during transit?</t>
  </si>
  <si>
    <t>Discuss the benefits of integrating shipping software or tools to streamline order fulfillment and automate shipping processes.</t>
  </si>
  <si>
    <t>What are the key considerations when setting up shipping zones and determining shipping rates for different regions or countries?</t>
  </si>
  <si>
    <t>Share insights on how to effectively manage inventory levels to ensure timely order fulfillment and prevent stockouts or overstock situations.</t>
  </si>
  <si>
    <t>Explain the importance of tracking and monitoring shipment status to proactively address any potential delivery issues or delays.</t>
  </si>
  <si>
    <t>How can sellers leverage order batching and batch shipping techniques to optimize fulfillment efficiency and reduce shipping costs?</t>
  </si>
  <si>
    <t>Discuss the significance of utilizing shipping insurance to protect against lost or damaged shipments and minimize financial risks.</t>
  </si>
  <si>
    <t>What are the best practices for handling international shipping, including customs documentation, duties, and import/export regulations?</t>
  </si>
  <si>
    <t>Share tips for negotiating favorable shipping rates with carriers or exploring discounted shipping programs and partnerships.</t>
  </si>
  <si>
    <t>Explain the importance of establishing clear and transparent shipping policies to set customer expectations regarding delivery times and processes.</t>
  </si>
  <si>
    <t>How can sellers optimize order processing and fulfillment workflows to minimize order processing time and maximize efficiency?</t>
  </si>
  <si>
    <t>Discuss the benefits of implementing order tracking and providing customers with shipment tracking information to enhance transparency and satisfaction.</t>
  </si>
  <si>
    <t>What are the key considerations when selecting fulfillment options, such as Amazon FBA or third-party fulfillment centers, based on business needs and customer demands?</t>
  </si>
  <si>
    <t>Share insights on how to effectively handle returns and manage the reverse logistics process to streamline operations and customer satisfaction.</t>
  </si>
  <si>
    <t>Explain the significance of evaluating and optimizing packaging dimensions and weights to reduce dimensional weight charges and shipping costs.</t>
  </si>
  <si>
    <t>How can sellers leverage shipping analytics and data to identify trends, optimize shipping strategies, and reduce shipping errors or inefficiencies?</t>
  </si>
  <si>
    <t>Discuss the role of order cutoff times and same-day shipping options in meeting customer expectations and gaining a competitive edge.</t>
  </si>
  <si>
    <t>Discuss the importance of high-quality product photography in attracting customers and driving conversions.</t>
  </si>
  <si>
    <t>Share tips for creating visually appealing product images that effectively showcase the features and details of the product.</t>
  </si>
  <si>
    <t>Explain the significance of using proper lighting techniques to enhance the clarity and visual appeal of product photos.</t>
  </si>
  <si>
    <t>How can sellers optimize product composition and staging to create visually appealing and contextually relevant product images?</t>
  </si>
  <si>
    <t>Discuss the benefits of using professional-grade photography equipment and tools to capture high-resolution product images.</t>
  </si>
  <si>
    <t>What are the key considerations when choosing appropriate backgrounds and props to complement and enhance the product being photographed?</t>
  </si>
  <si>
    <t>Share insights on how to effectively capture different angles and perspectives of the product to provide a comprehensive view for customers.</t>
  </si>
  <si>
    <t>Explain the importance of consistent branding and visual style across all product images to create a cohesive and professional storefront.</t>
  </si>
  <si>
    <t>How can sellers leverage lifestyle or in-context product photography to help customers visualize the product's use and benefits?</t>
  </si>
  <si>
    <t>Discuss the significance of post-processing and image editing techniques to enhance product images and ensure consistency.</t>
  </si>
  <si>
    <t>What are the best practices for optimizing image file sizes and formats to maintain image quality while minimizing page load times?</t>
  </si>
  <si>
    <t>Share tips for capturing accurate and color-true product images to prevent discrepancies between the online representation and the actual product.</t>
  </si>
  <si>
    <t>Explain the importance of accurately representing product dimensions and scale through product photography to manage customer expectations.</t>
  </si>
  <si>
    <t>How can sellers leverage 360-degree product photography or interactive image features to provide an immersive product viewing experience?</t>
  </si>
  <si>
    <t>Discuss the benefits of incorporating lifestyle models or product demonstrations in product photography to showcase product usage and fit.</t>
  </si>
  <si>
    <t>What are the key considerations when photographing products with reflective surfaces or complex textures to capture accurate representations?</t>
  </si>
  <si>
    <t>Share insights on how to effectively showcase product variations, such as different colors or sizes, through product photography.</t>
  </si>
  <si>
    <t>Explain the significance of creating visually appealing product collages or composite images to highlight product features or variations.</t>
  </si>
  <si>
    <t>How can sellers optimize image alt text and file names for search engine optimization and accessibility purposes?</t>
  </si>
  <si>
    <t>Discuss the role of A/B testing and gathering customer feedback to continuously improve product photography and optimize conversion rates.</t>
  </si>
  <si>
    <t>What are the best practices for maintaining a consistent and cohesive visual style across multiple product categories or product lines?</t>
  </si>
  <si>
    <t>Share tips for capturing and highlighting unique selling points or product details through close-up or macro photography techniques.</t>
  </si>
  <si>
    <t>Explain the importance of accurately capturing and showcasing product packaging and branding in product photography.</t>
  </si>
  <si>
    <t>How can sellers leverage lifestyle props or contextual elements to create aspirational or relatable product narratives through photography?</t>
  </si>
  <si>
    <t>Discuss the benefits of using high-resolution zoomable product images to allow customers to examine product details more closely.</t>
  </si>
  <si>
    <t>What are the key considerations when photographing products with intricate or small details to ensure clarity and visibility?</t>
  </si>
  <si>
    <t>Share insights on how to effectively capture product images that are optimized for mobile viewing and responsive storefront design.</t>
  </si>
  <si>
    <t>Explain the significance of leveraging user-generated content, such as customer-submitted photos, to enhance product imagery and social proof.</t>
  </si>
  <si>
    <t>How can sellers use storytelling or visual narratives in product photography to evoke emotions and engage customers on an emotional level?</t>
  </si>
  <si>
    <t>Discuss the role of post-production techniques, such as color correction or background removal, in enhancing product images and maintaining consistency.</t>
  </si>
  <si>
    <t>What are the best practices for creating product images that adhere to marketplace guidelines and policies regarding image quality and content?</t>
  </si>
  <si>
    <t>Share tips for creating eye-catching product thumbnail images that entice customers to click and explore further.</t>
  </si>
  <si>
    <t>Explain the importance of optimizing product images for mobile devices, considering factors like image size, load speed, and visual hierarchy.</t>
  </si>
  <si>
    <t>How can sellers incorporate customer lifestyle or user-generated images into their product listings to enhance authenticity and social proof?</t>
  </si>
  <si>
    <t>Discuss the benefits of using professional models or lifestyle photographers to create compelling and aspirational product imagery.</t>
  </si>
  <si>
    <t>What are the key considerations when photographing products with intricate patterns or textures to ensure accurate representation?</t>
  </si>
  <si>
    <t>Share insights on how to effectively capture and convey product dimensions and scale through strategic placement and visual cues.</t>
  </si>
  <si>
    <t>Explain the significance of consistent image styling, such as using consistent backgrounds, lighting, and props, to create a cohesive product catalog.</t>
  </si>
  <si>
    <t>How can sellers leverage creative product staging and props to enhance the perceived value and desirability of the product?</t>
  </si>
  <si>
    <t>Discuss the role of product photography in creating a strong brand identity and conveying the brand's values and aesthetics.</t>
  </si>
  <si>
    <t>What are the best practices for photographing products in different settings, such as outdoor or studio environments, to cater to various product categories?</t>
  </si>
  <si>
    <t>Share tips for photographing products with translucent or transparent elements to capture their unique characteristics accurately.</t>
  </si>
  <si>
    <t>Explain the importance of conducting competitor research and staying updated with industry trends to continuously improve product photography.</t>
  </si>
  <si>
    <t>How can sellers optimize product images for visual search technologies and image-based search engines?</t>
  </si>
  <si>
    <t>Discuss the benefits of using lifestyle or environmental product photography to showcase the product's compatibility with specific lifestyles or settings.</t>
  </si>
  <si>
    <t>What are the key considerations when photographing products that require assembly or include multiple components to provide a comprehensive understanding to customers?</t>
  </si>
  <si>
    <t>Share insights on how to effectively photograph products with different surface finishes, such as glossy, matte, or metallic, to capture their unique properties.</t>
  </si>
  <si>
    <t>Explain the significance of incorporating storytelling elements or visual narratives in product photography to engage and captivate customers.</t>
  </si>
  <si>
    <t>How can sellers use product photography to convey a sense of luxury, exclusivity, or premium quality for high-end or luxury products?</t>
  </si>
  <si>
    <t>Discuss the role of customer feedback and data analysis in identifying opportunities for product photography optimization and improvement.</t>
  </si>
  <si>
    <t>Discuss the benefits of running sponsored product ads to increase product visibility and drive sales on Amazon.</t>
  </si>
  <si>
    <t>Share tips for conducting keyword research to identify relevant and high-converting keywords for Amazon advertising campaigns.</t>
  </si>
  <si>
    <t>Explain the significance of optimizing product listings and content before launching Amazon advertising campaigns for maximum effectiveness.</t>
  </si>
  <si>
    <t>How can sellers leverage automatic targeting campaigns to gather valuable keyword data and refine their advertising strategies?</t>
  </si>
  <si>
    <t>Discuss the role of sponsored brand ads in promoting brand awareness, driving customer loyalty, and increasing overall sales.</t>
  </si>
  <si>
    <t>What are the key considerations when setting advertising budgets and bid strategies to maximize return on investment (ROI) for Amazon advertising campaigns?</t>
  </si>
  <si>
    <t>Share insights on how to effectively structure and organize advertising campaigns, ad groups, and keywords for better campaign management.</t>
  </si>
  <si>
    <t>Explain the importance of monitoring and analyzing advertising campaign performance metrics, such as click-through rates (CTRs) and conversion rates, to optimize campaign results.</t>
  </si>
  <si>
    <t>How can sellers utilize negative keywords and campaign targeting options to improve ad targeting and reduce advertising costs?</t>
  </si>
  <si>
    <t>Discuss the benefits of utilizing ad scheduling and dayparting techniques to optimize ad visibility during peak customer activity times.</t>
  </si>
  <si>
    <t>What are the best practices for creating compelling ad copy and imagery that captures customer attention and drives engagement?</t>
  </si>
  <si>
    <t>Share tips for optimizing product listings and content based on customer search terms and popular keywords to improve advertising campaign performance.</t>
  </si>
  <si>
    <t>Explain the significance of conducting A/B testing and experimenting with different ad creatives, targeting options, and campaign settings to refine advertising strategies.</t>
  </si>
  <si>
    <t>How can sellers leverage product targeting campaigns to reach customers who are actively searching for similar or complementary products?</t>
  </si>
  <si>
    <t>Discuss the role of product display ads in targeting specific product categories, competitor listings, or customer interests to drive conversions.</t>
  </si>
  <si>
    <t>What are the key considerations when utilizing sponsored brand video ads to showcase product features, benefits, and brand story on Amazon?</t>
  </si>
  <si>
    <t>Share insights on how to effectively track and measure the impact of Amazon advertising campaigns on overall sales and business growth.</t>
  </si>
  <si>
    <t>Explain the importance of monitoring and managing advertising campaign budgets and bids to ensure cost-effective advertising spend.</t>
  </si>
  <si>
    <t>How can sellers leverage audience targeting options, such as remarketing or lookalike audiences, to reach and engage specific customer segments?</t>
  </si>
  <si>
    <t>Discuss the benefits of utilizing sponsored display ads to retarget customers who have previously viewed or interacted with the seller's products.</t>
  </si>
  <si>
    <t>What are the best practices for optimizing product images and ad creative to capture customer attention and drive click-through rates (CTRs)?</t>
  </si>
  <si>
    <t>Share tips for utilizing sponsored brand headline search ads to promote multiple products and create a cohesive brand experience for customers.</t>
  </si>
  <si>
    <t>Explain the significance of monitoring and managing advertising campaign placements to ensure ad visibility on relevant and high-converting product pages.</t>
  </si>
  <si>
    <t>How can sellers leverage Amazon DSP (Demand-Side Platform) to expand their advertising reach and target customers across the web?</t>
  </si>
  <si>
    <t>Discuss the role of product review campaigns in leveraging positive customer reviews to drive credibility, trust, and conversions.</t>
  </si>
  <si>
    <t>What are the key considerations when utilizing sponsored brand custom image ads to create visually appealing and highly targeted ad experiences?</t>
  </si>
  <si>
    <t>Share insights on how to effectively use sponsored brand video ads in conjunction with influencer marketing campaigns to amplify brand visibility and engagement.</t>
  </si>
  <si>
    <t>Explain the importance of aligning advertising campaign goals with overall business objectives and sales targets for strategic campaign planning.</t>
  </si>
  <si>
    <t>How can sellers leverage Amazon's ad placement options, such as above-the-fold placements or top-of-search ads, to increase ad visibility and click-through rates (CTRs)?</t>
  </si>
  <si>
    <t>Discuss the benefits of utilizing Amazon's advertising reporting and analytics tools to gain insights into campaign performance and make data-driven optimizations.</t>
  </si>
  <si>
    <t>What are the best practices for utilizing campaign negative targeting and negative keywords to exclude irrelevant or low-performing traffic from ads?</t>
  </si>
  <si>
    <t>Share tips for optimizing product pricing and promotions in conjunction with advertising campaigns to drive sales and conversions.</t>
  </si>
  <si>
    <t>Explain the significance of utilizing ad campaign automation tools and bidding algorithms to streamline campaign management and optimize performance.</t>
  </si>
  <si>
    <t>How can sellers leverage Amazon's Sponsored Brands Store to create a curated shopping experience for customers and promote multiple products?</t>
  </si>
  <si>
    <t>Discuss the role of product targeting ads in reaching customers who have previously viewed or purchased similar products on Amazon.</t>
  </si>
  <si>
    <t>What are the key considerations when running advertising campaigns during seasonal or promotional periods to maximize sales and capitalize on increased customer demand?</t>
  </si>
  <si>
    <t>Share insights on how to effectively optimize ad targeting options, such as age, gender, or interests, to reach specific customer demographics.</t>
  </si>
  <si>
    <t>Explain the importance of incorporating customer reviews and ratings into ad creatives to build trust and social proof for the advertised products.</t>
  </si>
  <si>
    <t>How can sellers leverage Amazon's sponsored brand video store ads to drive traffic and engagement to their brand's storefront?</t>
  </si>
  <si>
    <t>Discuss the benefits of utilizing Amazon's enhanced brand content and A+ content in conjunction with advertising campaigns to provide a richer product experience for customers.</t>
  </si>
  <si>
    <t>What are the best practices for utilizing Amazon's customer targeting options, such as previous purchase behavior or search history, to deliver personalized and relevant ads?</t>
  </si>
  <si>
    <t>Share tips for utilizing promotional offers, discounts, or coupons in advertising campaigns to incentivize customer purchases and increase conversion rates.</t>
  </si>
  <si>
    <t>Explain the significance of monitoring and managing advertising campaign placements on different Amazon marketplaces to maximize global reach and sales opportunities.</t>
  </si>
  <si>
    <t>How can sellers leverage Amazon's Sponsored Display Audiences feature to reach and engage customers beyond the Amazon platform?</t>
  </si>
  <si>
    <t>Discuss the role of headline search ads in capturing top-of-funnel customer attention and driving brand awareness and consideration.</t>
  </si>
  <si>
    <t>What are the key considerations when utilizing product targeting campaigns to protect against competitive targeting and maintain a strong market position?</t>
  </si>
  <si>
    <t>Share insights on how to effectively leverage customer data and insights to inform advertising campaign strategies and optimize ad targeting.</t>
  </si>
  <si>
    <t>Explain the importance of continuously monitoring and adjusting advertising campaign budgets and bids based on performance and market dynamics.</t>
  </si>
  <si>
    <t>How can sellers utilize Amazon's brand analytics and customer insights to identify new advertising opportunities and target customer segments effectively?</t>
  </si>
  <si>
    <t>Discuss the benefits of utilizing sponsored brand video ads in conjunction with influencer partnerships to increase brand credibility and reach new audiences.</t>
  </si>
  <si>
    <t>What are the best practices for utilizing sponsored display product collection ads to showcase product variations or related products within a single ad unit?</t>
  </si>
  <si>
    <t>Share tips for creating compelling ad headlines and copy that quickly communicate product value propositions and attract customer attention.</t>
  </si>
  <si>
    <t>Explain the significance of utilizing retargeting campaigns to re-engage customers who have shown interest in the seller's products but did not make a purchase.</t>
  </si>
  <si>
    <t>How can sellers leverage Amazon Attribution to measure and optimize advertising campaign performance across multiple marketing channels?</t>
  </si>
  <si>
    <t>Explain the benefits of utilizing Amazon Prime for sellers, such as increased visibility, customer trust, and access to Prime-exclusive deals.</t>
  </si>
  <si>
    <t>Share tips for optimizing product listings to cater specifically to Amazon Prime customers and highlight Prime-eligible benefits.</t>
  </si>
  <si>
    <t>Discuss the requirements and process for enrolling products in the Fulfillment by Amazon (FBA) program and the advantages it offers sellers.</t>
  </si>
  <si>
    <t>How can sellers leverage the Prime badge and Prime Day promotions to increase sales and attract Prime members?</t>
  </si>
  <si>
    <t>Explain the importance of maintaining high inventory levels and fast turnaround times to meet Prime's fast and reliable shipping standards.</t>
  </si>
  <si>
    <t>Share insights on how to effectively manage FBA inventory to minimize stockouts, maximize availability, and avoid storage fees.</t>
  </si>
  <si>
    <t>Discuss the benefits of using FBA for international selling and how it simplifies cross-border logistics and customer fulfillment.</t>
  </si>
  <si>
    <t>What are the key considerations when pricing products for Amazon Prime customers to ensure competitiveness and profitability?</t>
  </si>
  <si>
    <t>Explain the significance of utilizing Amazon's FBA inbound shipment tools to streamline and optimize the shipping process.</t>
  </si>
  <si>
    <t>How can sellers leverage FBA's customer returns and refund management to provide a seamless and hassle-free experience for customers?</t>
  </si>
  <si>
    <t>Discuss the role of FBA in offering customer support and handling inquiries, feedback, and product reviews on behalf of sellers.</t>
  </si>
  <si>
    <t>Share tips for optimizing product packaging and labeling to comply with FBA requirements and ensure smooth inbound and outbound shipments.</t>
  </si>
  <si>
    <t>Explain the importance of monitoring FBA performance metrics, such as order defect rate (ODR) and late shipment rate, to maintain account health and performance.</t>
  </si>
  <si>
    <t>How can sellers utilize FBA's multi-channel fulfillment (MCF) service to fulfill orders from external sales channels and expand their reach?</t>
  </si>
  <si>
    <t>Discuss the benefits of using FBA's global export feature to reach international customers and tap into new market opportunities.</t>
  </si>
  <si>
    <t>What are the key considerations when calculating FBA fees and factoring them into product pricing and profitability calculations?</t>
  </si>
  <si>
    <t>Share insights on how to effectively use FBA inventory placement services to reduce shipping costs and streamline fulfillment operations.</t>
  </si>
  <si>
    <t>Explain the significance of utilizing FBA's automated pricing tools to dynamically adjust product prices and stay competitive in the marketplace.</t>
  </si>
  <si>
    <t>How can sellers leverage FBA's integration with Amazon's advertising platform to optimize advertising campaigns and drive sales?</t>
  </si>
  <si>
    <t>Discuss the role of FBA in handling order fulfillment during peak sales periods, such as holiday seasons or major shopping events.</t>
  </si>
  <si>
    <t>What are the best practices for utilizing FBA's inventory performance dashboard to identify slow-moving products, excess inventory, or replenishment needs?</t>
  </si>
  <si>
    <t>Share tips for optimizing product listings and content to leverage FBA's fast and free shipping benefits in search rankings and organic visibility.</t>
  </si>
  <si>
    <t>Explain the importance of monitoring FBA reimbursements and reconciling discrepancies to ensure accurate inventory and financial records.</t>
  </si>
  <si>
    <t>How can sellers leverage FBA's multi-channel inventory fulfillment options to expand their business beyond Amazon's marketplace?</t>
  </si>
  <si>
    <t>Discuss the benefits of utilizing FBA's Subscribe &amp; Save program to drive customer loyalty and recurring sales for consumable products.</t>
  </si>
  <si>
    <t>What are the key considerations when transitioning from seller-fulfilled to FBA to take advantage of Prime's shipping benefits and customer trust?</t>
  </si>
  <si>
    <t>Share insights on how to effectively communicate with FBA support and resolve any fulfillment or inventory-related issues promptly.</t>
  </si>
  <si>
    <t>Explain the significance of utilizing FBA's customer feedback and performance metrics to identify areas for improvement and enhance the customer experience.</t>
  </si>
  <si>
    <t>How can sellers leverage FBA's warehouse deals program to sell excess or discounted inventory and increase visibility for their products?</t>
  </si>
  <si>
    <t>Discuss the role of FBA's transparent and efficient order tracking and delivery notifications in ensuring a positive customer experience.</t>
  </si>
  <si>
    <t>What are the best practices for managing FBA shipments during seasonal or promotional periods to meet increased customer demand and avoid delays?</t>
  </si>
  <si>
    <t>Share tips for optimizing product bundling and multi-pack options to increase average order value and attract Prime members.</t>
  </si>
  <si>
    <t>Explain the importance of utilizing FBA's inventory removal and disposal services to manage obsolete or unsellable inventory effectively.</t>
  </si>
  <si>
    <t>How can sellers leverage FBA's customer satisfaction metrics, such as feedback ratings and return rates, to build trust and credibility with customers?</t>
  </si>
  <si>
    <t>Discuss the benefits of utilizing FBA's Small and Light program for lightweight products to offer competitive pricing and fast shipping options.</t>
  </si>
  <si>
    <t>What are the key considerations when optimizing product images and content for mobile devices, considering the high mobile usage among Prime members?</t>
  </si>
  <si>
    <t>Share insights on how to effectively manage FBA replenishments and maintain optimal inventory levels based on demand and sales velocity.</t>
  </si>
  <si>
    <t>Explain the significance of utilizing FBA's inventory performance index (IPI) to track and improve inventory management efficiency.</t>
  </si>
  <si>
    <t>How can sellers leverage FBA's removal order reports and inventory health reports to identify and address any inventory issues promptly?</t>
  </si>
  <si>
    <t>Discuss the role of FBA's multi-channel fulfillment fees and cost calculations in evaluating the profitability of selling on external sales channels.</t>
  </si>
  <si>
    <t>What are the best practices for utilizing FBA's virtual bundling feature to create unique product offerings and increase product differentiation?</t>
  </si>
  <si>
    <t>Share tips for leveraging FBA's fulfillment center network to strategically position inventory closer to customers and reduce shipping costs.</t>
  </si>
  <si>
    <t>Explain the importance of monitoring FBA fees, storage fees, and long-term storage fees to optimize cost efficiency and profitability.</t>
  </si>
  <si>
    <t>How can sellers utilize FBA's warehouse deals program to acquire discounted inventory and increase profit margins on reselling opportunities?</t>
  </si>
  <si>
    <t>Discuss the benefits of using FBA's removal order service to liquidate excess inventory or test new product offerings.</t>
  </si>
  <si>
    <t>What are the key considerations when creating FBA inbound shipment plans to ensure efficient and accurate handling of inventory at Amazon's fulfillment centers?</t>
  </si>
  <si>
    <t>Share insights on how to effectively leverage FBA's inventory age and storage duration reports to manage inventory turnover and reduce long-term storage fees.</t>
  </si>
  <si>
    <t>Explain the significance of utilizing FBA's export services and global fulfillment capabilities to expand into international marketplaces.</t>
  </si>
  <si>
    <t>How can sellers leverage FBA's automated pricing rules to adjust prices dynamically based on factors like competition, demand, and profitability?</t>
  </si>
  <si>
    <t>Discuss the role of FBA's customer returns and refunds policy in building trust and confidence among customers and increasing repeat purchases.</t>
  </si>
  <si>
    <t>What are the best practices for utilizing FBA's multi-channel fulfillment (MCF) inventory allocation feature to prioritize inventory allocation across multiple sales channels?</t>
  </si>
  <si>
    <t>Share tips for optimizing product listings and content to target specific Amazon Prime customer segments, such as Prime Pantry or Prime Student members.</t>
  </si>
  <si>
    <t>Explain the importance of maintaining accurate and up-to-date product information and inventory levels to avoid order cancellations and negative customer experiences.</t>
  </si>
  <si>
    <t>How can sellers leverage FBA's inventory health reports and restock inventory recommendations to ensure adequate stock availability and prevent lost sales opportunities?</t>
  </si>
  <si>
    <t>Discuss the benefits of utilizing FBA's removal order service to dispose of damaged or unsellable inventory and maintain a clean and organized inventory.</t>
  </si>
  <si>
    <t>What are the key considerations when utilizing FBA's Subscribe &amp; Save program to encourage customer loyalty and recurring subscription purchases?</t>
  </si>
  <si>
    <t>Share insights on how to effectively utilize FBA's multi-channel fulfillment (MCF) inventory placement options to minimize shipping costs and improve delivery times.</t>
  </si>
  <si>
    <t>Explain the significance of utilizing FBA's Fulfilled by Amazon (FBA) export program to reach international customers and expand into global marketplaces.</t>
  </si>
  <si>
    <t>How can sellers leverage FBA's automated pricing tools and repricing strategies to win the Buy Box and maximize sales opportunities?</t>
  </si>
  <si>
    <t>Discuss the role of FBA's customer reviews and seller ratings in building reputation and trust among Prime members and potential customers.</t>
  </si>
  <si>
    <t>What are the best practices for utilizing FBA's removal order service to liquidate slow-moving inventory and optimize storage space?</t>
  </si>
  <si>
    <t>Share tips for optimizing product listings and content for voice search queries, considering the growing adoption of voice-activated devices among Prime members.</t>
  </si>
  <si>
    <t>Explain the importance of maintaining accurate and timely inventory updates to avoid overselling or underselling products through FBA.</t>
  </si>
  <si>
    <t>How can sellers leverage FBA's automated customer messaging feature to proactively communicate with customers, address concerns, and improve satisfaction?</t>
  </si>
  <si>
    <t>Discuss the benefits of utilizing FBA's product bundling options to offer unique and attractive bundles that increase customer value and differentiate from competitors.</t>
  </si>
  <si>
    <t>What are the key considerations when utilizing FBA's multi-channel fulfillment (MCF) inventory transfers to optimize inventory allocation and meet customer demand efficiently?</t>
  </si>
  <si>
    <t>Share insights on how to effectively manage FBA removal orders and inventory reconciliation to maintain accurate records and minimize errors.</t>
  </si>
  <si>
    <t>Explain the significance of utilizing FBA's stranded inventory reports to identify and resolve any inventory listing issues promptly.</t>
  </si>
  <si>
    <t>How can sellers leverage FBA's customer feedback and ratings to continuously improve product quality, customer service, and overall performance?</t>
  </si>
  <si>
    <t>Discuss the role of FBA's storage fees and inventory health reports in evaluating the profitability of products and making informed inventory management decisions.</t>
  </si>
  <si>
    <t>What are the best practices for utilizing FBA's export services to handle international shipping, customs requirements, and import taxes effectively?</t>
  </si>
  <si>
    <t>Share tips for optimizing product titles and keywords to align with customer search behavior and increase visibility among Amazon Prime members.</t>
  </si>
  <si>
    <t>Explain the importance of monitoring FBA inventory health metrics, such as excess inventory or stranded inventory, to maintain optimal inventory levels.</t>
  </si>
  <si>
    <t>How can sellers leverage FBA's inventory placement service to strategically distribute inventory across fulfillment centers and reduce shipping costs?</t>
  </si>
  <si>
    <t>Discuss the benefits of utilizing FBA's multi-channel fulfillment (MCF) inventory reconciliation feature to maintain accurate inventory records across multiple sales channels.</t>
  </si>
  <si>
    <t>What are the key considerations when utilizing FBA's returns processing and reimbursement system to ensure timely and accurate refunds for returned items?</t>
  </si>
  <si>
    <t>Share insights on how to effectively utilize FBA's restock inventory recommendations to prevent stockouts and maintain a consistent supply of products.</t>
  </si>
  <si>
    <t>Explain the significance of utilizing FBA's removal order disposal options to minimize waste and comply with environmental sustainability practices.</t>
  </si>
  <si>
    <t>Share insights on how to deal with and address negative reviews on Amazon in a professional and customer-centric manner.</t>
  </si>
  <si>
    <t>What are the key factors that influence customers to leave reviews and ratings for products they have purchased on Amazon?</t>
  </si>
  <si>
    <t>Explain the significance of obtaining a high number of verified purchase reviews for establishing credibility and trust on Amazon.</t>
  </si>
  <si>
    <t>How can sellers utilize customer reviews and ratings as a valuable source of feedback for product development and innovation?</t>
  </si>
  <si>
    <t>Discuss the impact of product reviews and ratings on the conversion rate and sales performance of a product listing on Amazon.</t>
  </si>
  <si>
    <t>Share tips for optimizing product listings to showcase positive reviews and ratings and increase customer confidence in purchasing.</t>
  </si>
  <si>
    <t>What are the best strategies for navigating Amazon's review policies and guidelines while actively seeking customer feedback?</t>
  </si>
  <si>
    <t>Explain the importance of maintaining a balance between positive and negative reviews to provide transparency and credibility to potential customers.</t>
  </si>
  <si>
    <t>How can sellers leverage the Amazon Vine Program to generate honest and authentic reviews from trusted reviewers?</t>
  </si>
  <si>
    <t>Discuss the benefits of leveraging social proof elements, such as review snippets or star ratings, in product advertising and promotional materials.</t>
  </si>
  <si>
    <t>Share insights on how to leverage positive customer reviews and ratings to differentiate products from competitors and increase sales.</t>
  </si>
  <si>
    <t>What are the key considerations when utilizing review management tools to monitor and respond to customer feedback in a timely manner?</t>
  </si>
  <si>
    <t>Explain the significance of analyzing customer sentiment and trends in reviews to identify opportunities for product improvements and business growth.</t>
  </si>
  <si>
    <t>How can sellers effectively communicate with customers who have left reviews to address concerns, offer solutions, or express gratitude?</t>
  </si>
  <si>
    <t>Discuss the impact of seller ratings and feedback on overall account health and the ability to win the Buy Box on Amazon.</t>
  </si>
  <si>
    <t>Share tips for managing and responding to negative reviews in a constructive and customer-oriented manner.</t>
  </si>
  <si>
    <t>What are the best practices for following up with customers after a purchase to encourage them to leave reviews and ratings on Amazon?</t>
  </si>
  <si>
    <t>Explain the importance of leveraging customer testimonials and positive reviews in marketing materials and product packaging.</t>
  </si>
  <si>
    <t>How can sellers proactively manage and mitigate the impact of fake or malicious reviews on their product listings?</t>
  </si>
  <si>
    <t>Discuss the benefits of conducting sentiment analysis on customer reviews to gain insights into the overall perception of a product.</t>
  </si>
  <si>
    <t>Share insights on how to effectively utilize review analytics to identify product strengths and weaknesses and inform business decisions.</t>
  </si>
  <si>
    <t>What strategies can sellers employ to incentivize customers to update or modify their existing reviews on Amazon?</t>
  </si>
  <si>
    <t>Explain the significance of monitoring and reporting fraudulent or manipulative reviews to maintain a fair and trustworthy marketplace.</t>
  </si>
  <si>
    <t>How can sellers leverage positive reviews and ratings to build brand reputation and loyalty among Amazon customers?</t>
  </si>
  <si>
    <t>Discuss the impact of visual elements, such as product images or videos, on customer perceptions and review engagement.</t>
  </si>
  <si>
    <t>Share tips for encouraging customers to leave detailed and informative reviews that can help other potential buyers make informed decisions.</t>
  </si>
  <si>
    <t>What are the key considerations when utilizing customer feedback and reviews to optimize product listings and marketing strategies?</t>
  </si>
  <si>
    <t>Explain the importance of utilizing review insights to understand customer preferences, preferences, and pain points for new product development.</t>
  </si>
  <si>
    <t>How can sellers leverage positive reviews and ratings to gain a competitive edge and increase their chances of winning the Buy Box?</t>
  </si>
  <si>
    <t>Discuss the benefits of utilizing review solicitation emails or post-purchase follow-ups to encourage customers to share their experiences.</t>
  </si>
  <si>
    <t>Share insights on how to effectively leverage customer testimonials and positive reviews in social media marketing and advertising campaigns.</t>
  </si>
  <si>
    <t>What strategies can sellers employ to address and resolve customer issues mentioned in negative reviews and turn them into positive experiences?</t>
  </si>
  <si>
    <t>Explain the significance of actively monitoring and managing product reviews to ensure compliance with Amazon's review policies and guidelines.</t>
  </si>
  <si>
    <t>How can sellers leverage positive reviews and ratings to build trust and establish themselves as reputable brands in their respective niches?</t>
  </si>
  <si>
    <t>Discuss the impact of customer reviews and ratings on the Amazon Choice and Best Seller badge eligibility for a product.</t>
  </si>
  <si>
    <t>Share tips for leveraging customer reviews and ratings as valuable content for SEO optimization and driving organic traffic to product listings.</t>
  </si>
  <si>
    <t>What are the key considerations when utilizing review monitoring tools to track and analyze competitor reviews and feedback?</t>
  </si>
  <si>
    <t>Explain the importance of maintaining a balance between solicited and organic reviews to uphold the integrity and authenticity of customer feedback.</t>
  </si>
  <si>
    <t>How can sellers effectively utilize review aggregation platforms or widgets to display and showcase reviews on their own websites or external channels?</t>
  </si>
  <si>
    <t>Discuss the benefits of leveraging customer reviews and ratings to identify opportunities for product differentiation and competitive advantage.</t>
  </si>
  <si>
    <t>Share insights on how to encourage customers to leave reviews and ratings by offering incentives without violating Amazon's terms of service.</t>
  </si>
  <si>
    <t>What strategies can sellers employ to engage with positive reviewers and turn them into brand advocates or influencers?</t>
  </si>
  <si>
    <t>Explain the significance of continuous review monitoring and optimization to adapt to evolving customer preferences and market trends.</t>
  </si>
  <si>
    <t>What are the essential Amazon SEO tools and software that sellers should consider using to optimize their product listings?</t>
  </si>
  <si>
    <t>How can keyword research tools help sellers identify relevant and high-performing keywords for their Amazon product listings?</t>
  </si>
  <si>
    <t>Discuss the benefits of using listing optimization tools to analyze and optimize product titles, bullet points, and descriptions for maximum visibility.</t>
  </si>
  <si>
    <t>Share insights on how to leverage Amazon SEO software to monitor and track keyword rankings and organic search performance.</t>
  </si>
  <si>
    <t>What are the key features to look for when selecting an Amazon product research tool to identify profitable product opportunities?</t>
  </si>
  <si>
    <t>How can product research software help sellers analyze market trends, competition, and customer demand to make data-driven product sourcing decisions?</t>
  </si>
  <si>
    <t>Discuss the benefits of using competitor analysis tools to evaluate competitor strategies, pricing, and product performance on Amazon.</t>
  </si>
  <si>
    <t>Share tips for utilizing Amazon PPC management tools to optimize advertising campaigns, improve ROI, and increase product visibility.</t>
  </si>
  <si>
    <t>What are the key considerations when selecting an Amazon review management tool to monitor and respond to customer feedback effectively?</t>
  </si>
  <si>
    <t>Explain the significance of using analytics tools to track key performance metrics, such as sales, conversion rates, and traffic, for Amazon product listings.</t>
  </si>
  <si>
    <t>How can inventory management software help sellers streamline their supply chain, forecast demand, and prevent stockouts or overstock situations?</t>
  </si>
  <si>
    <t>Discuss the benefits of using repricing tools to automate and optimize pricing strategies to remain competitive in the Amazon marketplace.</t>
  </si>
  <si>
    <t>Share insights on how to utilize feedback management software to proactively gather and manage customer reviews and ratings on Amazon.</t>
  </si>
  <si>
    <t>What are the key features to consider when selecting an Amazon listing monitoring tool to track product visibility, hijackers, and listing changes?</t>
  </si>
  <si>
    <t>Explain the significance of using keyword tracking tools to monitor keyword performance and identify opportunities for optimization.</t>
  </si>
  <si>
    <t>How can sales analytics software help sellers analyze historical data, identify trends, and make informed business decisions on Amazon?</t>
  </si>
  <si>
    <t>Discuss the benefits of using inventory forecasting tools to ensure optimal stock levels and minimize storage costs on Amazon.</t>
  </si>
  <si>
    <t>Share tips for utilizing A/B testing software to experiment with different variations of product listings and optimize conversion rates.</t>
  </si>
  <si>
    <t>What are the key considerations when selecting an Amazon repricing tool to dynamically adjust prices based on competition and market conditions?</t>
  </si>
  <si>
    <t>Explain the significance of using feedback request automation tools to solicit product reviews and ratings from customers on Amazon.</t>
  </si>
  <si>
    <t>How can sales rank tracking software help sellers monitor the performance of their products in relation to their competitors in real-time?</t>
  </si>
  <si>
    <t>Discuss the benefits of using data analytics tools to gain actionable insights into customer behavior, preferences, and purchasing patterns on Amazon.</t>
  </si>
  <si>
    <t>Share insights on how to utilize keyword optimization tools to identify long-tail keywords and optimize product listings for improved search visibility.</t>
  </si>
  <si>
    <t>What are the key features to consider when selecting an Amazon advertising management tool to optimize sponsored product campaigns?</t>
  </si>
  <si>
    <t>Explain the significance of using product research software to analyze product reviews, ratings, and customer feedback for market insights and product improvements.</t>
  </si>
  <si>
    <t>How can listing analytics tools help sellers identify optimization opportunities, such as low-performing keywords or missing product information?</t>
  </si>
  <si>
    <t>Discuss the benefits of using competitor tracking software to monitor competitor pricing, promotions, and listing changes on Amazon.</t>
  </si>
  <si>
    <t>Share tips for utilizing product sourcing tools to find reliable suppliers, compare prices, and source products efficiently for an Amazon business.</t>
  </si>
  <si>
    <t>What are the key considerations when selecting an Amazon inventory management tool to automate reorder processes and avoid stockouts?</t>
  </si>
  <si>
    <t>Explain the significance of using split testing software to compare and optimize different variations of product images, titles, or descriptions.</t>
  </si>
  <si>
    <t>How can sales velocity tracking tools help sellers analyze sales trends, identify peak periods, and optimize inventory management on Amazon?</t>
  </si>
  <si>
    <t>Discuss the benefits of using sponsored ad management tools to optimize ad campaigns, target specific keywords, and improve ad performance.</t>
  </si>
  <si>
    <t>Share insights on how to utilize keyword research tools to identify and prioritize relevant keywords for Amazon PPC advertising campaigns.</t>
  </si>
  <si>
    <t>What are the key features to consider when selecting an Amazon feedback management tool to proactively engage with customers and resolve issues?</t>
  </si>
  <si>
    <t>Explain the significance of using conversion rate optimization tools to analyze and optimize product listings for increased sales conversion.</t>
  </si>
  <si>
    <t>How can inventory forecasting tools help sellers minimize storage costs, avoid stockouts, and optimize their overall inventory management strategy on Amazon?</t>
  </si>
  <si>
    <t>Discuss the benefits of using product sourcing software to analyze product demand, competition, and profitability before making sourcing decisions.</t>
  </si>
  <si>
    <t>Share tips for utilizing rank tracking tools to monitor keyword rankings, track progress, and make informed SEO optimizations on Amazon.</t>
  </si>
  <si>
    <t>What are the key considerations when selecting an Amazon analytics tool to track sales performance, conversion rates, and other important metrics?</t>
  </si>
  <si>
    <t>Explain the significance of using review monitoring tools to track customer feedback, respond to reviews, and maintain a positive brand reputation on Amazon.</t>
  </si>
  <si>
    <t>How can pricing optimization software help sellers analyze market trends, competitor pricing, and customer demand to set optimal product prices?</t>
  </si>
  <si>
    <t>Discuss the benefits of using product research tools with historical data analysis capabilities to identify seasonal trends and product opportunities.</t>
  </si>
  <si>
    <t>Share insights on how to utilize inventory management software to synchronize inventory levels across multiple sales channels and prevent overselling.</t>
  </si>
  <si>
    <t>What are the key features to consider when selecting an Amazon listing optimization tool to improve product discoverability and conversion rates?</t>
  </si>
  <si>
    <t>Explain the significance of using advertising analytics tools to measure the effectiveness of Amazon PPC campaigns and optimize ad spend.</t>
  </si>
  <si>
    <t>How can sales forecasting software help sellers project future sales, plan inventory levels, and make informed business decisions on Amazon?</t>
  </si>
  <si>
    <t>Discuss the benefits of using pricing analytics tools to monitor competitor prices, track market trends, and adjust pricing strategies accordingly.</t>
  </si>
  <si>
    <t>Share tips for utilizing keyword research software to uncover untapped keyword opportunities and optimize product listings for improved search visibility.</t>
  </si>
  <si>
    <t>What are the key considerations when selecting an Amazon competitor analysis tool to track competitor performance, pricing, and listing changes?</t>
  </si>
  <si>
    <t>Explain the significance of using product analytics tools to gain insights into customer behavior, product performance, and overall business growth on Amazon.</t>
  </si>
  <si>
    <t>How can sellers leverage video marketing on Amazon to enhance product visibility and engage potential customers?</t>
  </si>
  <si>
    <t>What are the key benefits of incorporating video content into product listings on Amazon?</t>
  </si>
  <si>
    <t>Share tips for creating compelling and informative product demonstration videos to showcase features and benefits.</t>
  </si>
  <si>
    <t>How can sellers utilize video ads on Amazon to reach a wider audience and increase sales?</t>
  </si>
  <si>
    <t>Discuss the impact of video testimonials and customer reviews on the conversion rate of a product listing on Amazon.</t>
  </si>
  <si>
    <t>What are the best practices for optimizing video titles, descriptions, and tags to improve search visibility on Amazon?</t>
  </si>
  <si>
    <t>Explain the significance of utilizing professional video production tools and software to create high-quality videos for Amazon marketing.</t>
  </si>
  <si>
    <t>How can sellers effectively incorporate storytelling techniques in their Amazon product videos to create an emotional connection with customers?</t>
  </si>
  <si>
    <t>Share insights on how to leverage video ads in Amazon Sponsored Brands campaigns to increase brand awareness and drive sales.</t>
  </si>
  <si>
    <t>What are the key considerations when optimizing video thumbnails and previews to attract attention and encourage click-throughs?</t>
  </si>
  <si>
    <t>Discuss the benefits of utilizing Amazon Live video streaming to engage with customers, showcase products, and answer questions in real-time.</t>
  </si>
  <si>
    <t>Share tips for creating engaging and shareable video content that can go viral and generate buzz on Amazon.</t>
  </si>
  <si>
    <t>How can sellers leverage video remarketing campaigns on Amazon to re-engage previous visitors and convert them into customers?</t>
  </si>
  <si>
    <t>Explain the importance of A/B testing different video variations to determine the most effective format and content for Amazon marketing.</t>
  </si>
  <si>
    <t>What strategies can sellers employ to optimize video loading speed and performance to prevent customer drop-offs and increase engagement?</t>
  </si>
  <si>
    <t>Discuss the impact of video tutorials and educational content on customer trust and loyalty on Amazon.</t>
  </si>
  <si>
    <t>Share insights on how to effectively promote and distribute Amazon product videos on social media platforms for increased reach and engagement.</t>
  </si>
  <si>
    <t>How can sellers leverage user-generated content in the form of customer video reviews to enhance social proof and credibility on Amazon?</t>
  </si>
  <si>
    <t>What are the key considerations when optimizing video metadata for improved discoverability and relevance on Amazon search results?</t>
  </si>
  <si>
    <t>Explain the significance of incorporating call-to-action buttons and links in Amazon product videos to drive conversions and sales.</t>
  </si>
  <si>
    <t>How can sellers utilize video retargeting campaigns to re-engage customers who have shown interest in specific products or categories?</t>
  </si>
  <si>
    <t>Discuss the benefits of utilizing 360-degree product videos on Amazon to provide an immersive and interactive shopping experience.</t>
  </si>
  <si>
    <t>Share tips for optimizing video length and format to cater to the preferences and attention span of Amazon customers.</t>
  </si>
  <si>
    <t>How can sellers utilize Amazon's analytics and reporting tools to gain insights into sales performance and customer behavior?</t>
  </si>
  <si>
    <t>What are the key metrics and KPIs that sellers should track and analyze in Amazon's analytics dashboard?</t>
  </si>
  <si>
    <t>Share tips for interpreting and understanding Amazon's sales reports to identify trends and opportunities for growth.</t>
  </si>
  <si>
    <t>How can sellers utilize Amazon's customer demographic data to target specific customer segments and optimize marketing strategies?</t>
  </si>
  <si>
    <t>Discuss the benefits of utilizing third-party analytics tools to complement and enhance the data provided by Amazon's native analytics.</t>
  </si>
  <si>
    <t>What are the key considerations when analyzing keyword performance data to optimize product listings and PPC campaigns?</t>
  </si>
  <si>
    <t>Explain the significance of analyzing customer search terms and query reports to identify new product opportunities and keyword trends.</t>
  </si>
  <si>
    <t>How can sellers leverage sales and revenue forecasting tools to make informed business decisions and plan inventory management?</t>
  </si>
  <si>
    <t>Share insights on how to use Amazon's Buy Box percentage and Buy Box share data to assess and improve competitiveness.</t>
  </si>
  <si>
    <t>What strategies can sellers employ to track and monitor competitor performance and market trends using Amazon's analytics tools?</t>
  </si>
  <si>
    <t>Discuss the impact of tracking conversion rates and click-through rates on product listings to optimize listing optimization efforts.</t>
  </si>
  <si>
    <t>Share tips for analyzing customer reviews and ratings data to identify product strengths and areas for improvement.</t>
  </si>
  <si>
    <t>How can sellers leverage traffic and conversion data to optimize product pricing strategies and maximize profitability?</t>
  </si>
  <si>
    <t>What is Amazon Brand Registry and how can it benefit sellers in terms of brand protection and enhanced control over their listings?</t>
  </si>
  <si>
    <t>Share tips for registering a brand on Amazon and the necessary requirements and documentation needed for a successful application.</t>
  </si>
  <si>
    <t>How does Amazon Brand Registry help sellers prevent counterfeit and unauthorized sellers from infringing on their brand and listings?</t>
  </si>
  <si>
    <t>Discuss the advantages of having a registered brand on Amazon, such as access to enhanced brand content features and brand-specific advertising options.</t>
  </si>
  <si>
    <t>What strategies can sellers employ to utilize the Brand Registry's reporting tools to identify and report instances of intellectual property infringement?</t>
  </si>
  <si>
    <t>Explain the process of enrolling in Amazon's Transparency Program through Brand Registry to help prevent counterfeit products from reaching customers.</t>
  </si>
  <si>
    <t>How can sellers leverage Amazon's Brand Registry to gain access to additional data and insights about their brand's performance on the platform?</t>
  </si>
  <si>
    <t>Share insights on how Brand Registry helps sellers protect their brand's reputation by enabling them to proactively monitor and enforce their intellectual property rights.</t>
  </si>
  <si>
    <t>What are the key considerations when using Brand Registry to create a comprehensive brand presence on Amazon, including branded storefronts and A+ content?</t>
  </si>
  <si>
    <t>Discuss the benefits of participating in Amazon's Early Reviewer Program through Brand Registry to generate authentic customer reviews for new product launches.</t>
  </si>
  <si>
    <t>What is product bundling on Amazon and how can it benefit sellers in terms of sales and customer satisfaction?</t>
  </si>
  <si>
    <t>Share tips for identifying suitable products to bundle together based on complementary features, customer preferences, or cross-selling opportunities.</t>
  </si>
  <si>
    <t>How can sellers effectively package and present product bundles to attract customer attention and convey added value?</t>
  </si>
  <si>
    <t>Discuss the advantages of creating exclusive bundle offers on Amazon to differentiate from competitors and increase sales conversion.</t>
  </si>
  <si>
    <t>What strategies can sellers employ to optimize pricing and discounts for product bundles to maximize profitability and customer appeal?</t>
  </si>
  <si>
    <t>Explain the importance of conducting market research and analyzing customer demand to identify potential opportunities for product bundling.</t>
  </si>
  <si>
    <t>How can sellers leverage Amazon's Enhanced Brand Content or A+ Content to effectively showcase and promote product bundles?</t>
  </si>
  <si>
    <t>Share insights on how product bundling can help sellers increase their average order value and cross-sell related products.</t>
  </si>
  <si>
    <t>What are the key considerations when managing inventory and logistics for product bundles on Amazon to ensure seamless fulfillment?</t>
  </si>
  <si>
    <t>Discuss the benefits of leveraging customer reviews and feedback to refine and improve product bundling strategies for enhanced customer satisfaction.</t>
  </si>
  <si>
    <t>What are Amazon Sponsored Brands and how can they help sellers increase brand visibility and drive traffic to their listings?</t>
  </si>
  <si>
    <t>Share tips for creating effective Sponsored Brands campaigns, including keyword selection, ad creative, and budget allocation.</t>
  </si>
  <si>
    <t>How can sellers leverage Sponsored Brands to promote multiple products within their brand and create a cohesive brand presence on Amazon?</t>
  </si>
  <si>
    <t>Discuss the advantages of utilizing Sponsored Brands video ads to engage customers and showcase product features and benefits.</t>
  </si>
  <si>
    <t>What strategies can sellers employ to optimize bidding and budget management for Sponsored Brands campaigns to maximize return on investment?</t>
  </si>
  <si>
    <t>Explain the importance of utilizing relevant keywords and negative keywords to target specific customer search queries and optimize ad performance.</t>
  </si>
  <si>
    <t>How can sellers leverage Sponsored Brands analytics and reporting data to track campaign performance and make data-driven optimizations?</t>
  </si>
  <si>
    <t>Share insights on how to create compelling headline and logo combinations for Sponsored Brands ads to capture customer attention and drive clicks.</t>
  </si>
  <si>
    <t>What are the key considerations when targeting specific audiences, such as demographics or interests, in Sponsored Brands campaigns?</t>
  </si>
  <si>
    <t>Discuss the benefits of leveraging Sponsored Brands Store Pages to provide an enhanced brand experience and showcase a range of products.</t>
  </si>
  <si>
    <t>Ebay Success</t>
  </si>
  <si>
    <t>How can I research and assess the demand for products that cater to specific outdoor or recreational interests on eBay?</t>
  </si>
  <si>
    <t>What are some strategies for identifying and researching products that cater to specific holiday or gifting occasions on eBay?</t>
  </si>
  <si>
    <t>How can I leverage eBay's 'Seller Insights' feature to gain insights into product preferences and buying behavior among specific buyer demographics?</t>
  </si>
  <si>
    <t>What are some strategies for identifying and evaluating trending products within specific product durability or lifespan categories on eBay?</t>
  </si>
  <si>
    <t>How can I research and assess the demand for products that cater to specific fashion or style preferences on eBay?</t>
  </si>
  <si>
    <t>What are some strategies for identifying and researching product opportunities within specific target market segments or customer profiles on eBay?</t>
  </si>
  <si>
    <t>How can I leverage eBay's 'Seller Insights' feature to gain insights into product preferences and buying behavior among specific buyer locations or regions?</t>
  </si>
  <si>
    <t>What are some strategies for identifying and evaluating trending products within specific product safety or certification categories on eBay?</t>
  </si>
  <si>
    <t>How can I research and assess the demand for products that cater to specific DIY or home improvement projects on eBay?</t>
  </si>
  <si>
    <t>What are some strategies for identifying and researching products that cater to specific hobbies or recreational activities on eBay?</t>
  </si>
  <si>
    <t>How can I leverage eBay's 'Seller Insights' feature to gain insights into product preferences and buying behavior among specific buyer income brackets?</t>
  </si>
  <si>
    <t>What are some strategies for identifying and evaluating trending products within specific product texture or material categories on eBay?</t>
  </si>
  <si>
    <t>How can I research and assess the demand for products that cater to specific health or wellness concerns on eBay?</t>
  </si>
  <si>
    <t>What are some strategies for identifying and researching product opportunities within specific product packaging or presentation categories on eBay?</t>
  </si>
  <si>
    <t>How can I leverage eBay's 'Seller Insights' feature to gain insights into product preferences and buying behavior among specific buyer interests or hobbies?</t>
  </si>
  <si>
    <t>What are some strategies for identifying and evaluating trending products within specific product noise or sound level categories on eBay?</t>
  </si>
  <si>
    <t>How can I research and assess the demand for products that cater to specific parenting or child-related needs on eBay?</t>
  </si>
  <si>
    <t>What are some strategies for identifying and researching products that cater to specific artistic or creative pursuits on eBay?</t>
  </si>
  <si>
    <t>How can I leverage eBay's 'Seller Insights' feature to gain insights into product preferences and buying behavior among specific buyer demographics (e.g., parents, professionals, etc.)?</t>
  </si>
  <si>
    <t>What are some strategies for identifying and evaluating trending products within specific product energy efficiency or eco-friendly categories on eBay?</t>
  </si>
  <si>
    <t>How can I research and assess the demand for products that cater to specific entertainment or media preferences on eBay?</t>
  </si>
  <si>
    <t>What are some strategies for identifying and researching product opportunities within specific product taste or flavor categories on eBay?</t>
  </si>
  <si>
    <t>How can I leverage eBay's 'Seller Insights' feature to gain insights into product preferences and buying behavior among specific buyer psychographics or lifestyle segments?</t>
  </si>
  <si>
    <t>What are some strategies for identifying and evaluating trending products within specific product portability or compactness categories on eBay?</t>
  </si>
  <si>
    <t>How can I research and assess the demand for products that cater to specific cultural or traditional practices on eBay?</t>
  </si>
  <si>
    <t>How can I create an attention-grabbing eBay listing title?</t>
  </si>
  <si>
    <t>What are the key elements to include in a compelling product description on eBay?</t>
  </si>
  <si>
    <t>How can I optimize my eBay listing for better search engine visibility?</t>
  </si>
  <si>
    <t>What are some effective strategies for incorporating relevant keywords in my eBay listing?</t>
  </si>
  <si>
    <t>How can I format and structure my eBay listing description for better readability?</t>
  </si>
  <si>
    <t>What are the benefits of using bullet points in my eBay listing?</t>
  </si>
  <si>
    <t>How can I enhance my product images to attract buyers on eBay?</t>
  </si>
  <si>
    <t>What are the best practices for creating a visually appealing image gallery on eBay?</t>
  </si>
  <si>
    <t>How can I optimize my pricing and shipping information in my eBay listing?</t>
  </si>
  <si>
    <t>What strategies can I use to utilize eBay's item specifics and attributes effectively?</t>
  </si>
  <si>
    <t>How can I optimize my eBay listing for mobile users?</t>
  </si>
  <si>
    <t>What are some effective techniques for gaining buyer trust through reviews and ratings on eBay?</t>
  </si>
  <si>
    <t>How can I create a sense of urgency in my eBay listing to drive conversions?</t>
  </si>
  <si>
    <t>What are the benefits of cross-promoting products within my eBay listing?</t>
  </si>
  <si>
    <t>How can I leverage eBay's promoted listings feature to increase visibility and sales?</t>
  </si>
  <si>
    <t>What strategies can I use to continuously test and improve my eBay listing performance?</t>
  </si>
  <si>
    <t>How can I optimize my eBay listing for a specific product category or niche?</t>
  </si>
  <si>
    <t>What are the key considerations for international selling on eBay and optimizing listings for global buyers?</t>
  </si>
  <si>
    <t>How can I optimize my eBay store for increased sales and customer engagement?</t>
  </si>
  <si>
    <t>What are some effective techniques for incorporating relevant hashtags in my eBay listing?</t>
  </si>
  <si>
    <t>How can I analyze my competitors' listings to gain insights for optimizing my own?</t>
  </si>
  <si>
    <t>What are the best practices for writing persuasive call-to-action statements in my eBay listing?</t>
  </si>
  <si>
    <t>How can I incorporate social proof elements, such as testimonials or endorsements, in my eBay listing?</t>
  </si>
  <si>
    <t>What strategies can I use to optimize my eBay listing for improved performance in Google search results?</t>
  </si>
  <si>
    <t>How can I optimize my eBay listing to align with eBay's Best Match search algorithm?</t>
  </si>
  <si>
    <t>What are the benefits of writing compelling product titles on eBay?</t>
  </si>
  <si>
    <t>How can I optimize my eBay listing description for better clarity and accuracy?</t>
  </si>
  <si>
    <t>What strategies can I employ to improve click-through rates and buyer engagement on my eBay listing?</t>
  </si>
  <si>
    <t>How can I conduct keyword research to identify relevant terms for my eBay listing?</t>
  </si>
  <si>
    <t>What are the best practices for using high-quality product images that showcase my item effectively?</t>
  </si>
  <si>
    <t>How can I optimize my eBay listing for faster loading speed and optimal performance?</t>
  </si>
  <si>
    <t>What are the benefits of incorporating trust signals in my eBay listing?</t>
  </si>
  <si>
    <t>How can I optimize my eBay listing for improved performance in eBay's Similar Items and Related Searches sections?</t>
  </si>
  <si>
    <t>What strategies can I use to optimize my eBay listing for increased visibility in specific eBay categories?</t>
  </si>
  <si>
    <t>How can I create compelling product titles that stand out from the competition on eBay?</t>
  </si>
  <si>
    <t>What are the benefits of writing detailed and informative product descriptions on eBay?</t>
  </si>
  <si>
    <t>What are the key considerations for optimizing eBay listings for improved performance in eBay's 'Local Deals' and 'Nearby Pickup' filters?</t>
  </si>
  <si>
    <t>How can I optimize eBay listing descriptions for better scannability and easy identification of key product information?</t>
  </si>
  <si>
    <t>What strategies can I employ to optimize eBay listings for increased visibility and ranking in eBay's 'Hot This Week' and 'Trending on eBay' sections?</t>
  </si>
  <si>
    <t>How can I leverage buyer feedback and ratings to continuously improve and optimize my eBay listings?</t>
  </si>
  <si>
    <t>What are the best practices for using persuasive language and benefit-driven statements in eBay listing titles?</t>
  </si>
  <si>
    <t>How can I optimize eBay listings for better performance in eBay's 'Limited Time Deals' and 'Flash Sales' filters?</t>
  </si>
  <si>
    <t>What strategies can I use to optimize eBay listings for increased buyer trust and confidence?</t>
  </si>
  <si>
    <t>How can I incorporate storytelling techniques and compelling narratives in eBay listing descriptions to engage buyers?</t>
  </si>
  <si>
    <t>What are the key elements to consider when creating visually appealing eBay listing images that showcase product features?</t>
  </si>
  <si>
    <t>How can I optimize eBay listings for better performance in eBay's 'Top Rated Plus' and '30-Day Returns' filters?</t>
  </si>
  <si>
    <t>What strategies can I employ to optimize eBay listings for higher conversion rates and improved sales performance?</t>
  </si>
  <si>
    <t>What are the essential elements to include in an attention-grabbing eBay listing title?</t>
  </si>
  <si>
    <t>How can I write compelling product descriptions that provide detailed information and entice buyers?</t>
  </si>
  <si>
    <t>What strategies can I use to optimize my eBay listing for search engine visibility?</t>
  </si>
  <si>
    <t>How can I incorporate relevant keywords and key phrases into my eBay listing to improve search rankings?</t>
  </si>
  <si>
    <t>What are some effective techniques for formatting and structuring eBay listing descriptions for better readability?</t>
  </si>
  <si>
    <t>How can I utilize bullet points and concise formatting to highlight key features and benefits in my eBay listings?</t>
  </si>
  <si>
    <t>What are the best practices for optimizing product images in eBay listings to attract buyer attention?</t>
  </si>
  <si>
    <t>How can I create visually appealing product image galleries that showcase different angles and variations?</t>
  </si>
  <si>
    <t>What strategies can I employ to optimize the pricing and shipping information in my eBay listings?</t>
  </si>
  <si>
    <t>How can I use eBay's item specifics and attributes effectively to provide accurate and detailed product information?</t>
  </si>
  <si>
    <t>What are some ways to optimize eBay listings for mobile users and ensure a seamless mobile shopping experience?</t>
  </si>
  <si>
    <t>How can I leverage customer reviews and ratings to enhance the credibility and trustworthiness of my eBay listings?</t>
  </si>
  <si>
    <t>What are the key elements to consider when crafting persuasive call-to-action statements in eBay listings?</t>
  </si>
  <si>
    <t>How can I incorporate social proof elements, such as testimonials or endorsements, into my eBay listings?</t>
  </si>
  <si>
    <t>What are some effective techniques for creating a sense of urgency and scarcity in eBay listings to drive conversions?</t>
  </si>
  <si>
    <t>How can I optimize my eBay listing for cross-promotion and upselling opportunities within my inventory?</t>
  </si>
  <si>
    <t>What are the best practices for utilizing eBay's promoted listings feature to increase visibility and sales?</t>
  </si>
  <si>
    <t>How can I conduct A/B testing and performance analysis to continuously optimize my eBay listings?</t>
  </si>
  <si>
    <t>What strategies can I use to optimize eBay listings for specific product categories or niches?</t>
  </si>
  <si>
    <t>How can I incorporate relevant and trending hashtags in my eBay listings to reach a wider audience?</t>
  </si>
  <si>
    <t>What are the key considerations for optimizing eBay listings for international buyers and cross-border selling?</t>
  </si>
  <si>
    <t>How can I research and analyze competitor listings to gain insights and inspiration for listing optimization?</t>
  </si>
  <si>
    <t>What are some effective techniques for using storytelling in eBay listings to create emotional connections with buyers?</t>
  </si>
  <si>
    <t>How can I optimize my eBay listings for better conversion rates by leveraging psychological principles?</t>
  </si>
  <si>
    <t>What are the best practices for incorporating customer testimonials and reviews in eBay listings?</t>
  </si>
  <si>
    <t>How can I optimize my eBay listings for improved performance in specific search filters and refinements?</t>
  </si>
  <si>
    <t>What strategies can I use to optimize eBay listings for increased trust and credibility?</t>
  </si>
  <si>
    <t>How can I leverage eBay's markdown manager or promotions manager to optimize pricing and offer discounts?</t>
  </si>
  <si>
    <t>What are the key considerations for optimizing eBay listings for higher visibility in Google search results?</t>
  </si>
  <si>
    <t>How can I optimize eBay listings for better performance in eBay's Best Match search algorithm?</t>
  </si>
  <si>
    <t>What are some effective techniques for writing compelling product titles that grab attention and include relevant keywords?</t>
  </si>
  <si>
    <t>How can I optimize eBay listing descriptions for clarity, brevity, and accurate representation of the product?</t>
  </si>
  <si>
    <t>What strategies can I use to optimize eBay listings for improved click-through rates and buyer engagement?</t>
  </si>
  <si>
    <t>How can I conduct keyword research and integrate relevant search terms into my eBay listings?</t>
  </si>
  <si>
    <t>What are the best practices for using high-quality, well-lit product images that showcase the product's features?</t>
  </si>
  <si>
    <t>How can I optimize eBay listings for fast loading speed and optimal performance across different devices?</t>
  </si>
  <si>
    <t>What are some effective techniques for incorporating trust signals, such as security badges or guarantees, in eBay listings?</t>
  </si>
  <si>
    <t>How can I optimize eBay listings for improved performance in eBay's 'Similar Items' and 'Related Searches' sections?</t>
  </si>
  <si>
    <t>What strategies can I use to optimize eBay listings for improved visibility in specific eBay categories or subcategories?</t>
  </si>
  <si>
    <t>How can I incorporate persuasive storytelling techniques in eBay listing descriptions to connect with buyers on an emotional level?</t>
  </si>
  <si>
    <t>What are the key elements to consider when creating compelling product titles that stand out in a crowded marketplace?</t>
  </si>
  <si>
    <t>How can I optimize eBay listing descriptions for better readability and scannability?</t>
  </si>
  <si>
    <t>What strategies can I employ to optimize eBay listings for increased buyer trust and confidence?</t>
  </si>
  <si>
    <t>How can I leverage buyer personas and target audience analysis to tailor eBay listings for specific buyer segments?</t>
  </si>
  <si>
    <t>What are some effective techniques for using high-resolution product images that clearly depict the product's features and quality?</t>
  </si>
  <si>
    <t>How can I optimize eBay listings for better performance in eBay's 'Ending Soonest' and 'Newly Listed' sorting options?</t>
  </si>
  <si>
    <t>What are the best practices for incorporating persuasive language and benefit-driven statements in eBay listing descriptions?</t>
  </si>
  <si>
    <t>How can I optimize eBay listings for improved performance in eBay's 'Buyer's Guide' and 'Gift Ideas' sections?</t>
  </si>
  <si>
    <t>What strategies can I use to optimize eBay listings for higher conversion rates and reduced bounce rates?</t>
  </si>
  <si>
    <t>How can I conduct user testing and gather feedback to continuously refine and optimize my eBay listings?</t>
  </si>
  <si>
    <t>What are the key considerations for optimizing eBay listings for improved visibility in eBay's search suggestions and auto-complete feature?</t>
  </si>
  <si>
    <t>How can I optimize eBay listing titles for improved performance in external search engines like Google or Bing?</t>
  </si>
  <si>
    <t>What strategies can I employ to optimize eBay listings for increased buyer engagement and time spent on the page?</t>
  </si>
  <si>
    <t>How can I leverage buyer reviews and testimonials in eBay listings to build social proof and trust?</t>
  </si>
  <si>
    <t>What are some effective techniques for optimizing eBay listings for increased click-through rates from search results?</t>
  </si>
  <si>
    <t>How can I incorporate relevant product specifications and attributes in eBay listings to provide comprehensive information?</t>
  </si>
  <si>
    <t>What are the best practices for using persuasive pricing strategies, such as tiered pricing or limited-time offers, in eBay listings?</t>
  </si>
  <si>
    <t>How can I optimize eBay listings for improved performance in eBay's 'Top Rated Plus' and 'Fast 'N Free' filters?</t>
  </si>
  <si>
    <t>What strategies can I use to optimize eBay listings for increased buyer confidence and reduced hesitation?</t>
  </si>
  <si>
    <t>How can I analyze and utilize search term reports and buyer behavior data to optimize my eBay listings?</t>
  </si>
  <si>
    <t>What are the key elements to consider when selecting the most appropriate category and subcategory for eBay listings?</t>
  </si>
  <si>
    <t>How can I optimize eBay listing descriptions for better clarity, accuracy, and avoidance of ambiguous language?</t>
  </si>
  <si>
    <t>What strategies can I employ to optimize eBay listings for improved performance in eBay's 'Deals &amp; Special Offers' section?</t>
  </si>
  <si>
    <t>How can I leverage the power of storytelling and emotional appeals in eBay listing images and captions?</t>
  </si>
  <si>
    <t>What are some effective techniques for using customer-generated content, such as user photos or videos, in eBay listings?</t>
  </si>
  <si>
    <t>How can I optimize eBay listings for better performance in eBay's 'Best Value' and 'Top Rated' filters?</t>
  </si>
  <si>
    <t>How can I incorporate scarcity and urgency elements, such as limited stock or time-limited promotions, in eBay listings?</t>
  </si>
  <si>
    <t>What are the best practices for using persuasive language and rhetorical techniques in eBay listing titles?</t>
  </si>
  <si>
    <t>How can I optimize eBay listings for improved performance in eBay's 'Seller Refurbished' and 'New with Tags' filters?</t>
  </si>
  <si>
    <t>What strategies can I use to optimize eBay listings for increased visibility and ranking in eBay's 'Most Watched' and 'Popular Right Now' sections?</t>
  </si>
  <si>
    <t>How can I utilize customer questions and feedback to continuously optimize and improve my eBay listings?</t>
  </si>
  <si>
    <t>What are the key considerations for optimizing eBay listings for improved performance in eBay's 'Free Shipping' and 'Local Pickup' filters?</t>
  </si>
  <si>
    <t>How can I optimize eBay listing descriptions for better storytelling and creating a personal connection with potential buyers?</t>
  </si>
  <si>
    <t>What strategies can I employ to optimize eBay listings for improved performance in eBay's 'Buy It Now' and 'Auction' formats?</t>
  </si>
  <si>
    <t>How can I leverage social media platforms to drive traffic and engagement to my eBay listings?</t>
  </si>
  <si>
    <t>What are the best practices for using product comparisons and contrast statements in eBay listing descriptions?</t>
  </si>
  <si>
    <t>How can I optimize eBay listings for better performance in eBay's 'Top Rated Seller' and 'Fast Handling Time' filters?</t>
  </si>
  <si>
    <t>How can I incorporate customer benefits and unique selling propositions in eBay listing titles to attract buyer attention?</t>
  </si>
  <si>
    <t>What strategies can I use to optimize eBay listings for improved performance in eBay's 'International Shipping' and 'Global Shipping Program' filters?</t>
  </si>
  <si>
    <t>How can I utilize persuasive language and storytelling techniques in eBay listing descriptions to create a memorable buying experience?</t>
  </si>
  <si>
    <t>What are the key elements to consider when designing visually cohesive eBay listing templates that reflect my brand image?</t>
  </si>
  <si>
    <t>How can I optimize eBay listings for better performance in eBay's 'Condition' and 'Seller Type' filters?</t>
  </si>
  <si>
    <t>What strategies can I employ to optimize eBay listings for increased buyer engagement and interactivity?</t>
  </si>
  <si>
    <t>How can I leverage the power of social proof and customer testimonials to boost credibility and trust in my eBay listings?</t>
  </si>
  <si>
    <t>What are some effective techniques for using emojis and symbols in eBay listing titles and descriptions to attract attention?</t>
  </si>
  <si>
    <t>How can I optimize eBay listings for improved performance in eBay's 'Best Selling' and 'Trending' filters?</t>
  </si>
  <si>
    <t>How can I incorporate persuasive copywriting techniques, such as storytelling or problem-solving narratives, in eBay listings?</t>
  </si>
  <si>
    <t>What strategies can I use to optimize eBay listings for increased conversions and reduced shopping cart abandonment rates?</t>
  </si>
  <si>
    <t>How can I analyze and optimize my eBay listings based on performance metrics like click-through rates and conversion rates?</t>
  </si>
  <si>
    <t>How can I utilize eBay's analytics dashboard to track the performance of my listings?</t>
  </si>
  <si>
    <t>What are the key metrics to monitor in order to gauge the success of my eBay listings?</t>
  </si>
  <si>
    <t>How can I track and analyze the click-through rates of my eBay listings?</t>
  </si>
  <si>
    <t>What strategies can I use to monitor and improve the conversion rates of my eBay listings?</t>
  </si>
  <si>
    <t>How can I leverage eBay's data insights to optimize my listing titles and descriptions?</t>
  </si>
  <si>
    <t>What are the benefits of using third-party analytics tools to track the performance of my eBay listings?</t>
  </si>
  <si>
    <t>How can I analyze the engagement metrics of my eBay listings, such as views and watchers?</t>
  </si>
  <si>
    <t>What strategies can I employ to identify trends and patterns in the performance of my eBay listings?</t>
  </si>
  <si>
    <t>How can I utilize split testing to experiment with different listing elements and measure their impact?</t>
  </si>
  <si>
    <t>What are the best practices for setting up custom tracking parameters for my eBay listings?</t>
  </si>
  <si>
    <t>How can I track the performance of my eBay listings across different devices, such as mobile and desktop?</t>
  </si>
  <si>
    <t>What are the benefits of tracking and analyzing the performance of my eBay listings over time?</t>
  </si>
  <si>
    <t>How can I identify underperforming listings and take steps to improve their performance?</t>
  </si>
  <si>
    <t>What strategies can I use to track and analyze the impact of pricing changes on my eBay listings?</t>
  </si>
  <si>
    <t>How can I monitor the performance of my eBay listings in relation to my competitors?</t>
  </si>
  <si>
    <t>What are the key insights I can gather from eBay's search term reports to optimize my listings?</t>
  </si>
  <si>
    <t>How can I track the performance of my eBay listings in specific geographical regions or target markets?</t>
  </si>
  <si>
    <t>What strategies can I employ to measure and improve the visibility of my eBay listings in search results?</t>
  </si>
  <si>
    <t>How can I track the impact of eBay promotions and discounts on the performance of my listings?</t>
  </si>
  <si>
    <t>What are the benefits of tracking the performance of my eBay listings based on time of day or day of the week?</t>
  </si>
  <si>
    <t>How can I use eBay's performance tracking tools to identify and address listing violations or policy issues?</t>
  </si>
  <si>
    <t>What are the key metrics to consider when evaluating the profitability of my eBay listings?</t>
  </si>
  <si>
    <t>How can I track and analyze the impact of shipping options and delivery times on my eBay listings?</t>
  </si>
  <si>
    <t>What strategies can I use to identify and optimize high-demand keywords in my eBay listings?</t>
  </si>
  <si>
    <t>How can I track and measure the impact of seller ratings and feedback on the performance of my listings?</t>
  </si>
  <si>
    <t>What are the benefits of tracking and analyzing the performance of my eBay listings by product category?</t>
  </si>
  <si>
    <t>How can I utilize eBay's seller performance metrics to identify areas of improvement for my listings?</t>
  </si>
  <si>
    <t>What strategies can I employ to track and analyze the impact of listing enhancements, such as bold or highlight, on my eBay listings?</t>
  </si>
  <si>
    <t>How can I track the performance of my eBay listings across different marketing channels, such as social media or email campaigns?</t>
  </si>
  <si>
    <t>What are the key insights I can gather from eBay's buyer behavior data to optimize my listings?</t>
  </si>
  <si>
    <t>How can I monitor and improve the visibility of my eBay listings in specific eBay search filters?</t>
  </si>
  <si>
    <t>What strategies can I use to track and analyze the impact of seasonality or trends on the performance of my eBay listings?</t>
  </si>
  <si>
    <t>How can I track and measure the effectiveness of my eBay listing promotions, such as free shipping or buy one get one?</t>
  </si>
  <si>
    <t>What are the benefits of tracking and analyzing the performance of my eBay listings based on buyer demographics and preferences?</t>
  </si>
  <si>
    <t>How can I utilize eBay's listing analytics to identify opportunities for cross-selling or upselling in my listings?</t>
  </si>
  <si>
    <t>What strategies can I employ to track and measure the impact of listing optimizations on the performance of my eBay listings?</t>
  </si>
  <si>
    <t>How can I track and analyze the impact of eBay's advertising programs, such as Promoted Listings, on my listings' visibility and sales?</t>
  </si>
  <si>
    <t>What are the key metrics to consider when evaluating the success of my eBay listings' return on investment (ROI)?</t>
  </si>
  <si>
    <t>How can I track and measure the impact of changes in eBay's search algorithm on the performance of my listings?</t>
  </si>
  <si>
    <t>What strategies can I use to track and analyze the performance of my eBay listings in relation to specific buyer search terms?</t>
  </si>
  <si>
    <t>How can I monitor and improve the performance of my eBay listings in relation to my competitors' pricing strategies?</t>
  </si>
  <si>
    <t>What are the benefits of tracking and analyzing the performance of my eBay listings based on buyer feedback and ratings?</t>
  </si>
  <si>
    <t>How can I track and measure the impact of listing duration options, such as 3-day versus 7-day listings, on my eBay listings' visibility and sales?</t>
  </si>
  <si>
    <t>What strategies can I employ to track and analyze the impact of different listing formats, such as auction-style versus fixed price, on my eBay listings?</t>
  </si>
  <si>
    <t>How can I track and analyze the impact of different shipping policies, such as free shipping or expedited shipping, on the performance of my eBay listings?</t>
  </si>
  <si>
    <t>What are the key insights I can gather from eBay's buyer search terms report to optimize my listings for specific keywords?</t>
  </si>
  <si>
    <t>How can I monitor and improve the performance of my eBay listings in relation to changes in market demand and trends?</t>
  </si>
  <si>
    <t>What strategies can I use to track and analyze the impact of listing visibility upgrades, such as Featured Plus or Anchor Store subscriptions, on my eBay listings?</t>
  </si>
  <si>
    <t>How can I track and measure the effectiveness of my eBay listings' promotional activities, such as discounts or coupon codes?</t>
  </si>
  <si>
    <t>What are the benefits of tracking and analyzing the performance of my eBay listings based on buyer engagement metrics, such as click-through rates and time on page?</t>
  </si>
  <si>
    <t>How can I identify my top competitors in the eBay marketplace?</t>
  </si>
  <si>
    <t>What are the key factors to consider when analyzing my competitors' pricing strategies on eBay?</t>
  </si>
  <si>
    <t>How can I identify my competitors' best-selling products on eBay?</t>
  </si>
  <si>
    <t>What strategies can I use to analyze my competitors' listing titles and descriptions on eBay?</t>
  </si>
  <si>
    <t>How can I identify my competitors' target audience and buyer demographics on eBay?</t>
  </si>
  <si>
    <t>What are the benefits of analyzing my competitors' feedback and ratings on eBay?</t>
  </si>
  <si>
    <t>How can I track my competitors' sales volume and performance on eBay?</t>
  </si>
  <si>
    <t>What strategies can I employ to monitor my competitors' inventory levels and availability on eBay?</t>
  </si>
  <si>
    <t>How can I analyze my competitors' shipping and return policies on eBay?</t>
  </si>
  <si>
    <t>What are the key insights I can gather from analyzing my competitors' customer reviews and comments on eBay?</t>
  </si>
  <si>
    <t>How can I identify my competitors' pricing trends and fluctuations on eBay?</t>
  </si>
  <si>
    <t>What strategies can I use to analyze my competitors' promotional activities and discounts on eBay?</t>
  </si>
  <si>
    <t>How can I identify my competitors' strengths and weaknesses in their eBay listings and branding?</t>
  </si>
  <si>
    <t>What are the benefits of monitoring my competitors' customer service and response times on eBay?</t>
  </si>
  <si>
    <t>How can I track my competitors' keywords and search terms they target in their eBay listings?</t>
  </si>
  <si>
    <t>What strategies can I employ to analyze my competitors' social media presence and engagement related to eBay selling?</t>
  </si>
  <si>
    <t>How can I identify my competitors' external marketing efforts and campaigns that drive traffic to their eBay listings?</t>
  </si>
  <si>
    <t>What are the key factors to consider when analyzing my competitors' product images and visual presentation on eBay?</t>
  </si>
  <si>
    <t>How can I track my competitors' listing duration and frequency on eBay?</t>
  </si>
  <si>
    <t>What strategies can I use to analyze my competitors' cross-selling and upselling techniques on eBay?</t>
  </si>
  <si>
    <t>How can I identify my competitors' supplier or sourcing relationships for their eBay products?</t>
  </si>
  <si>
    <t>What are the benefits of analyzing my competitors' eBay store layout and design?</t>
  </si>
  <si>
    <t>How can I track my competitors' international selling and shipping practices on eBay?</t>
  </si>
  <si>
    <t>What strategies can I employ to monitor my competitors' customer retention and repeat purchases on eBay?</t>
  </si>
  <si>
    <t>How can I identify my competitors' brand reputation and recognition on eBay?</t>
  </si>
  <si>
    <t>What are the key insights I can gather from analyzing my competitors' keywords and tags in their eBay listings?</t>
  </si>
  <si>
    <t>How can I track my competitors' performance and rankings in eBay's search results?</t>
  </si>
  <si>
    <t>What strategies can I use to analyze my competitors' pricing strategies for bundled or multi-pack items on eBay?</t>
  </si>
  <si>
    <t>How can I identify my competitors' promotional partnerships or collaborations on eBay?</t>
  </si>
  <si>
    <t>What are the benefits of monitoring my competitors' product sourcing and inventory management methods on eBay?</t>
  </si>
  <si>
    <t>How can I analyze my competitors' eBay listing optimization strategies, such as title keywords and item specifics?</t>
  </si>
  <si>
    <t>What strategies can I employ to track my competitors' response to customer inquiries and messages on eBay?</t>
  </si>
  <si>
    <t>How can I identify my competitors' top-performing eBay categories and niches?</t>
  </si>
  <si>
    <t>What are the key factors to consider when analyzing my competitors' customer acquisition and retention strategies on eBay?</t>
  </si>
  <si>
    <t>How can I track my competitors' performance and ratings on eBay's Top Rated Seller program?</t>
  </si>
  <si>
    <t>What strategies can I use to analyze my competitors' product bundling and value-added offerings on eBay?</t>
  </si>
  <si>
    <t>How can I identify my competitors' marketing tactics and ad placements on eBay?</t>
  </si>
  <si>
    <t>What are the benefits of analyzing my competitors' eBay store policies and terms of service?</t>
  </si>
  <si>
    <t>How can I monitor my competitors' eBay listing updates and revisions for continuous improvement?</t>
  </si>
  <si>
    <t>What strategies can I employ to analyze my competitors' customer feedback and suggestions on eBay?</t>
  </si>
  <si>
    <t>How can I identify my competitors' cross-border selling practices and success on eBay?</t>
  </si>
  <si>
    <t>What are the key insights I can gather from analyzing my competitors' eBay sales patterns and trends over time?</t>
  </si>
  <si>
    <t>How can I track my competitors' performance in eBay's Best Match search algorithm?</t>
  </si>
  <si>
    <t>What strategies can I use to analyze my competitors' product packaging and presentation on eBay?</t>
  </si>
  <si>
    <t>How can I identify my competitors' unique selling propositions (USPs) and value propositions on eBay?</t>
  </si>
  <si>
    <t>What are the benefits of monitoring my competitors' participation and success in eBay promotions and events?</t>
  </si>
  <si>
    <t>How can I analyze my competitors' eBay listing traffic sources and referral sources?</t>
  </si>
  <si>
    <t>What strategies can I employ to track my competitors' customer satisfaction and feedback on eBay?</t>
  </si>
  <si>
    <t>How can I identify my competitors' expansion into other sales channels beyond eBay?</t>
  </si>
  <si>
    <t>What are the key factors to consider when analyzing my competitors' fulfillment and shipping speed on eBay?</t>
  </si>
  <si>
    <t>What are the most effective marketing strategies to drive traffic to my eBay listings?</t>
  </si>
  <si>
    <t>How can I leverage social media platforms to promote my eBay products?</t>
  </si>
  <si>
    <t>What are the key elements of a compelling product description that can enhance marketing efforts on eBay?</t>
  </si>
  <si>
    <t>How can I use email marketing to engage and retain customers for my eBay business?</t>
  </si>
  <si>
    <t>What strategies can I employ to create engaging and visually appealing product images for eBay marketing?</t>
  </si>
  <si>
    <t>How can I utilize influencer marketing to increase brand visibility and sales on eBay?</t>
  </si>
  <si>
    <t>What are the benefits of utilizing paid advertising options on eBay to promote my listings?</t>
  </si>
  <si>
    <t>How can I optimize my eBay store design and layout for effective marketing and promotion?</t>
  </si>
  <si>
    <t>What strategies can I use to create and optimize eBay landing pages for specific marketing campaigns?</t>
  </si>
  <si>
    <t>How can I leverage customer reviews and testimonials to enhance marketing efforts on eBay?</t>
  </si>
  <si>
    <t>What are the key components of a successful email marketing campaign for promoting eBay listings?</t>
  </si>
  <si>
    <t>How can I effectively use video marketing to showcase and promote my eBay products?</t>
  </si>
  <si>
    <t>What strategies can I employ to collaborate with other eBay sellers for cross-promotion and joint marketing efforts?</t>
  </si>
  <si>
    <t>How can I utilize content marketing, such as blogging or guest posting, to promote my eBay business?</t>
  </si>
  <si>
    <t>What are the benefits of participating in eBay's promotional events and campaigns for marketing purposes?</t>
  </si>
  <si>
    <t>How can I optimize my eBay listings for search engines to increase organic visibility and traffic?</t>
  </si>
  <si>
    <t>What strategies can I use to implement affiliate marketing programs to promote my eBay listings?</t>
  </si>
  <si>
    <t>How can I leverage customer segmentation and targeted marketing to maximize eBay sales?</t>
  </si>
  <si>
    <t>What are the key elements of an effective call-to-action (CTA) to drive conversions in eBay marketing?</t>
  </si>
  <si>
    <t>How can I utilize remarketing and retargeting techniques to re-engage potential eBay customers?</t>
  </si>
  <si>
    <t>What strategies can I employ to create compelling and persuasive eBay listing titles for effective marketing?</t>
  </si>
  <si>
    <t>How can I effectively use social proof, such as customer testimonials and ratings, to boost eBay marketing efforts?</t>
  </si>
  <si>
    <t>What are the benefits of utilizing promotional discounts and offers to drive sales on eBay?</t>
  </si>
  <si>
    <t>How can I optimize my eBay listings for mobile devices to capture mobile shoppers?</t>
  </si>
  <si>
    <t>What strategies can I use to implement referral marketing programs to expand my eBay customer base?</t>
  </si>
  <si>
    <t>How can I leverage user-generated content, such as customer photos and reviews, for eBay marketing?</t>
  </si>
  <si>
    <t>What are the key components of an effective influencer collaboration for eBay promotion?</t>
  </si>
  <si>
    <t>How can I effectively use storytelling in my eBay marketing to create a compelling brand narrative?</t>
  </si>
  <si>
    <t>What strategies can I employ to leverage holidays and seasonal events for eBay marketing campaigns?</t>
  </si>
  <si>
    <t>How can I utilize customer loyalty programs and rewards to encourage repeat purchases on eBay?</t>
  </si>
  <si>
    <t>How can I identify and research potential international markets to target for selling on eBay?</t>
  </si>
  <si>
    <t>What strategies can I use to overcome language barriers and effectively communicate with international buyers on eBay?</t>
  </si>
  <si>
    <t>How can I optimize my eBay listings to attract international buyers and showcase global shipping options?</t>
  </si>
  <si>
    <t>What are the benefits of utilizing eBay's Global Shipping Program or other international shipping services for seamless cross-border transactions?</t>
  </si>
  <si>
    <t>How can I navigate and comply with international customs regulations and requirements when shipping internationally on eBay?</t>
  </si>
  <si>
    <t>What strategies can I employ to offer localized customer support and service for international buyers on eBay?</t>
  </si>
  <si>
    <t>How can I optimize my eBay store for multi-currency pricing and international payment options to accommodate global buyers?</t>
  </si>
  <si>
    <t>What are the key elements of an international return policy to address returns and exchanges from international buyers on eBay?</t>
  </si>
  <si>
    <t>How can I leverage international market trends and preferences to tailor my product offerings for global eBay customers?</t>
  </si>
  <si>
    <t>What strategies can I use to research and determine competitive pricing for international markets on eBay?</t>
  </si>
  <si>
    <t>How can I effectively handle and resolve instances of international shipping delays or customs-related issues on eBay?</t>
  </si>
  <si>
    <t>What are the benefits of offering international buyers exclusive promotions or discounts to encourage cross-border purchases on eBay?</t>
  </si>
  <si>
    <t>How can I optimize my eBay listings for international search visibility and ranking on eBay's international platforms?</t>
  </si>
  <si>
    <t>What strategies can I employ to offer localized product descriptions and information for international buyers on eBay?</t>
  </si>
  <si>
    <t>How can I proactively address and resolve instances of international buyer disputes or conflicts on eBay?</t>
  </si>
  <si>
    <t>What are the key elements of an efficient and cost-effective international shipping and fulfillment strategy for eBay sellers?</t>
  </si>
  <si>
    <t>How can I leverage international holidays and cultural events to drive sales and marketing campaigns for international eBay customers?</t>
  </si>
  <si>
    <t>What strategies can I use to navigate international shipping costs and calculate accurate shipping fees for eBay international orders?</t>
  </si>
  <si>
    <t>How can I optimize my eBay store for international buyer trust and credibility through seller ratings and reviews?</t>
  </si>
  <si>
    <t>How can I proactively handle instances of international package loss or damage for eBay buyers?</t>
  </si>
  <si>
    <t>What strategies can I employ to offer localized customer service channels, such as international phone support or live chat, for global eBay customers?</t>
  </si>
  <si>
    <t>How can I effectively manage and communicate with international buyers regarding import taxes and duties on eBay?</t>
  </si>
  <si>
    <t>What are the benefits of utilizing international fulfillment centers or warehouses to streamline international order processing and shipping on eBay?</t>
  </si>
  <si>
    <t>How can I optimize my eBay listings for international SEO and keyword optimization to reach global buyers?</t>
  </si>
  <si>
    <t>What strategies can I use to research and adapt my product packaging and labeling to meet international standards and requirements on eBay?</t>
  </si>
  <si>
    <t>How can I proactively address and resolve instances of language or cultural misunderstandings with international eBay buyers?</t>
  </si>
  <si>
    <t>What are the key elements of an international marketing and advertising strategy to promote my eBay business to global audiences?</t>
  </si>
  <si>
    <t>How can I leverage global sourcing and supplier networks to expand my product offerings for international selling on eBay?</t>
  </si>
  <si>
    <t>What strategies can I employ to provide accurate and localized product sizing and measurement information for international buyers on eBay?</t>
  </si>
  <si>
    <t>How can I effectively manage and track international inventory levels and availability for eBay global customers?</t>
  </si>
  <si>
    <t>What strategies can I use to proactively communicate with international buyers regarding shipping updates and tracking information on eBay?</t>
  </si>
  <si>
    <t>How can I optimize my eBay store for international buyer trust and security through secure payment options and buyer protection programs?</t>
  </si>
  <si>
    <t>What are the benefits of offering international buyers flexible shipping options, such as expedited or economy shipping, on eBay?</t>
  </si>
  <si>
    <t>How can I navigate and comply with international labeling and packaging requirements for hazardous or restricted items on eBay?</t>
  </si>
  <si>
    <t>What strategies can I employ to offer localized product recommendations and cross-selling opportunities for international eBay customers?</t>
  </si>
  <si>
    <t>How can I proactively address and resolve instances of international currency conversions or exchange rate fluctuations on eBay?</t>
  </si>
  <si>
    <t>What are the key elements of a comprehensive international shipping insurance policy to protect shipments for eBay global buyers?</t>
  </si>
  <si>
    <t>How can I leverage international market insights and data analytics to make informed decisions for expanding my eBay business globally?</t>
  </si>
  <si>
    <t>How can I optimize my eBay listings for cross-border trade regulations and compliance requirements for international selling?</t>
  </si>
  <si>
    <t>What strategies can I use to offer international buyers competitive shipping timeframes and delivery options on eBay?</t>
  </si>
  <si>
    <t>How can I effectively handle and process international product warranties or guarantees for eBay global customers?</t>
  </si>
  <si>
    <t>What are the benefits of utilizing localized marketing and advertising channels, such as social media platforms, to target international eBay buyers?</t>
  </si>
  <si>
    <t>How can I optimize my eBay store for language localization and translation to cater to international buyers?</t>
  </si>
  <si>
    <t>What strategies can I employ to offer localized product packaging or branding adaptations for international markets on eBay?</t>
  </si>
  <si>
    <t>How can I proactively handle instances of international buyer fraud or suspicious activity on eBay?</t>
  </si>
  <si>
    <t>What are the key elements of an international inventory management system to ensure accurate stock levels and availability for eBay global buyers?</t>
  </si>
  <si>
    <t>How can I leverage international product trends and demand patterns to source and offer high-demand items for global eBay customers?</t>
  </si>
  <si>
    <t>What strategies can I use to build trust and establish long-term relationships with international buyers on eBay?</t>
  </si>
  <si>
    <t>How can I optimize my eBay listings for cross-border keyword optimization and international SEO to drive traffic from global search engines?</t>
  </si>
  <si>
    <t>What are the key benefits of implementing an efficient inventory management system for my eBay business?</t>
  </si>
  <si>
    <t>How can I categorize and organize my inventory to streamline product identification and retrieval on eBay?</t>
  </si>
  <si>
    <t>What strategies can I use to accurately track and monitor inventory levels to avoid stockouts or overstocking on eBay?</t>
  </si>
  <si>
    <t>How can I optimize my eBay listings to showcase real-time inventory availability and prevent overselling?</t>
  </si>
  <si>
    <t>What are the benefits of utilizing barcoding or RFID technology to improve inventory accuracy and efficiency on eBay?</t>
  </si>
  <si>
    <t>How can I implement a system for cycle counting and regular inventory audits to maintain inventory accuracy on eBay?</t>
  </si>
  <si>
    <t>What strategies can I employ to forecast demand and plan inventory replenishment cycles for efficient stock management on eBay?</t>
  </si>
  <si>
    <t>How can I optimize my eBay store to handle variations in product attributes, such as size or color, within my inventory?</t>
  </si>
  <si>
    <t>What are the key elements of an inventory storage and organization system to maximize space utilization and accessibility on eBay?</t>
  </si>
  <si>
    <t>How can I leverage historical sales data and analytics to make informed decisions for inventory planning and stocking on eBay?</t>
  </si>
  <si>
    <t>What strategies can I use to identify slow-moving or obsolete inventory and take necessary actions to liquidate or reposition on eBay?</t>
  </si>
  <si>
    <t>How can I effectively manage and track inventory across multiple sales channels or marketplaces, in addition to eBay?</t>
  </si>
  <si>
    <t>What are the benefits of utilizing dropshipping or third-party fulfillment services to manage inventory and order fulfillment on eBay?</t>
  </si>
  <si>
    <t>How can I optimize my eBay listings to highlight limited quantity or exclusive inventory to create a sense of urgency for buyers?</t>
  </si>
  <si>
    <t>What strategies can I employ to streamline the process of receiving and restocking inventory for efficient inventory management on eBay?</t>
  </si>
  <si>
    <t>How can I proactively handle instances of inventory discrepancies or inaccuracies between my physical inventory and eBay listings?</t>
  </si>
  <si>
    <t>What are the key elements of an inventory replenishment strategy to ensure a continuous supply of products for eBay sales?</t>
  </si>
  <si>
    <t>How can I leverage sales forecasting models and demand planning tools to optimize inventory levels and prevent stockouts on eBay?</t>
  </si>
  <si>
    <t>What strategies can I use to implement product bundling or kit assembly to maximize inventory utilization and sales on eBay?</t>
  </si>
  <si>
    <t>How can I optimize my eBay store to handle seasonal fluctuations in demand and adjust inventory levels accordingly?</t>
  </si>
  <si>
    <t>How can I effectively manage and track serialized or unique product identifiers within my inventory on eBay?</t>
  </si>
  <si>
    <t>What strategies can I employ to implement safety stock or buffer inventory to mitigate the risks of stockouts on eBay?</t>
  </si>
  <si>
    <t>How can I proactively handle instances of product expiration or shelf-life limitations within my inventory on eBay?</t>
  </si>
  <si>
    <t>What are the benefits of utilizing inventory management software or integrations to automate and streamline inventory processes on eBay?</t>
  </si>
  <si>
    <t>How can I optimize my eBay listings to offer pre-orders or backorders for items that are temporarily out of stock?</t>
  </si>
  <si>
    <t>What strategies can I use to implement a system for cross-docking or just-in-time inventory replenishment on eBay?</t>
  </si>
  <si>
    <t>How can I effectively manage and track inventory for products with multiple variations or options on eBay?</t>
  </si>
  <si>
    <t>What are the key elements of an efficient inventory picking and packing process to ensure accurate order fulfillment on eBay?</t>
  </si>
  <si>
    <t>How can I leverage product bundling or cross-selling opportunities within my inventory to increase average order value on eBay?</t>
  </si>
  <si>
    <t>What strategies can I employ to monitor and adjust inventory turnover ratios to optimize cash flow and minimize holding costs on eBay?</t>
  </si>
  <si>
    <t>How can I proactively handle instances of product recalls or quality issues within my inventory on eBay?</t>
  </si>
  <si>
    <t>What strategies can I use to implement a system for lot or batch tracking of inventory on eBay?</t>
  </si>
  <si>
    <t>How can I optimize my eBay store to offer inventory visibility to buyers, such as displaying available stock quantities or estimated restock dates?</t>
  </si>
  <si>
    <t>What are the benefits of implementing automated reorder points or inventory alerts to streamline inventory replenishment on eBay?</t>
  </si>
  <si>
    <t>How can I effectively manage and track inventory for perishable or seasonal items with limited shelf life on eBay?</t>
  </si>
  <si>
    <t>What strategies can I employ to optimize the storage layout and organization of my inventory for efficient order picking and fulfillment on eBay?</t>
  </si>
  <si>
    <t>How can I leverage inventory analysis and SKU rationalization to optimize product assortment and eliminate slow-moving items on eBay?</t>
  </si>
  <si>
    <t>What are the key elements of an inventory disposal or clearance strategy to liquidate excess or outdated inventory on eBay?</t>
  </si>
  <si>
    <t>How can I proactively handle instances of inventory shrinkage or theft within my eBay inventory management processes?</t>
  </si>
  <si>
    <t>How can I optimize my eBay listings to showcase bundle deals or multipacks to boost sales and inventory turnover?</t>
  </si>
  <si>
    <t>What strategies can I use to implement a system for cross-channel inventory synchronization and allocation on eBay?</t>
  </si>
  <si>
    <t>How can I effectively manage and track inventory for products with expiration dates or shelf-life considerations on eBay?</t>
  </si>
  <si>
    <t>What are the benefits of implementing a just-in-case inventory strategy to mitigate the risks of supply chain disruptions on eBay?</t>
  </si>
  <si>
    <t>How can I optimize my eBay store to handle and manage inventory for products with serialized or unique identifiers?</t>
  </si>
  <si>
    <t>What strategies can I employ to implement a system for real-time inventory updates and availability notifications on eBay?</t>
  </si>
  <si>
    <t>How can I proactively handle instances of inventory obsolescence or changes in market demand on eBay?</t>
  </si>
  <si>
    <t>What are the key elements of an inventory reconciliation process to ensure accuracy between my eBay sales and actual inventory on hand?</t>
  </si>
  <si>
    <t>How can I leverage inventory forecasting models and predictive analytics to optimize inventory levels and prevent overstocking on eBay?</t>
  </si>
  <si>
    <t>What strategies can I use to implement a system for bin location or slotting optimization to improve picking efficiency on eBay?</t>
  </si>
  <si>
    <t>How can I optimize my eBay listings to highlight new arrivals or recently restocked items to attract buyer attention and drive sales?</t>
  </si>
  <si>
    <t>How can I improve the overall design and layout of my eBay store to create a visually appealing and professional storefront?</t>
  </si>
  <si>
    <t>What are the key elements of a compelling and informative store banner or logo to effectively represent my brand on eBay?</t>
  </si>
  <si>
    <t>How can I optimize my eBay store categories and subcategories for easy navigation and browsing for buyers?</t>
  </si>
  <si>
    <t>What strategies can I use to showcase best-selling or featured products prominently on my eBay store homepage?</t>
  </si>
  <si>
    <t>How can I leverage eBay store customization options, such as colors, fonts, and templates, to create a cohesive and branded store experience?</t>
  </si>
  <si>
    <t>What are the benefits of utilizing promotional banners or carousel sliders to highlight special offers or discounts in my eBay store?</t>
  </si>
  <si>
    <t>How can I optimize my eBay store for mobile devices to ensure a seamless browsing and shopping experience for mobile users?</t>
  </si>
  <si>
    <t>What strategies can I employ to implement customer testimonials or reviews within my eBay store to build buyer trust and credibility?</t>
  </si>
  <si>
    <t>How can I effectively use cross-promotion modules or related item suggestions to encourage additional purchases within my eBay store?</t>
  </si>
  <si>
    <t>How can I leverage eBay store analytics and data to identify areas for improvement and track the performance of my store?</t>
  </si>
  <si>
    <t>What strategies can I use to optimize my eBay store search engine visibility and rankings to attract more organic traffic?</t>
  </si>
  <si>
    <t>How can I improve the product photography and image quality in my eBay store listings to enhance visual appeal and buyer confidence?</t>
  </si>
  <si>
    <t>What are the benefits of utilizing eBay store marketing tools, such as email newsletters or promotional campaigns, to engage with buyers?</t>
  </si>
  <si>
    <t>How can I optimize my eBay store's product descriptions and keywords to improve search relevancy and reach a wider audience?</t>
  </si>
  <si>
    <t>What strategies can I employ to offer exclusive deals or promotions to eBay store subscribers or followers?</t>
  </si>
  <si>
    <t>How can I proactively handle instances of negative feedback or reviews within my eBay store to maintain a positive reputation?</t>
  </si>
  <si>
    <t>What are the key elements of an effective store policy page to outline shipping, returns, and customer service information for buyers?</t>
  </si>
  <si>
    <t>How can I leverage social media integration to promote and drive traffic to my eBay store from external platforms?</t>
  </si>
  <si>
    <t>What strategies can I use to optimize my eBay store for cross-border trade and cater to international buyers?</t>
  </si>
  <si>
    <t>How can I effectively use upselling and cross-selling techniques within my eBay store to increase average order value?</t>
  </si>
  <si>
    <t>What are the benefits of utilizing eBay store analytics and data to identify trends, popular categories, and buyer preferences?</t>
  </si>
  <si>
    <t>How can I optimize my eBay store for fast loading speeds and smooth navigation to enhance the user experience?</t>
  </si>
  <si>
    <t>What strategies can I employ to implement trust badges, secure payment icons, and SSL certificates within my eBay store to build buyer confidence?</t>
  </si>
  <si>
    <t>How can I proactively handle instances of fraudulent or suspicious activities within my eBay store to protect both buyers and my business?</t>
  </si>
  <si>
    <t>What are the key elements of an informative and comprehensive "About Us" page in my eBay store to convey my brand story and values?</t>
  </si>
  <si>
    <t>How can I leverage customer feedback and reviews to improve the product selection and assortment in my eBay store?</t>
  </si>
  <si>
    <t>What strategies can I use to implement live chat or messaging support within my eBay store to provide real-time customer assistance?</t>
  </si>
  <si>
    <t>How can I optimize my eBay store for SEO (Search Engine Optimization) to improve visibility and drive more organic traffic?</t>
  </si>
  <si>
    <t>What are the benefits of offering exclusive discounts or promotions to eBay store subscribers or repeat customers?</t>
  </si>
  <si>
    <t>How can I effectively use customer segmentation and personalized marketing within my eBay store to tailor offers to specific buyer segments?</t>
  </si>
  <si>
    <t>What strategies can I employ to optimize my eBay store for accessibility and compliance with web accessibility guidelines?</t>
  </si>
  <si>
    <t>How can I improve the product categorization and organization within my eBay store to facilitate easy browsing and discovery for buyers?</t>
  </si>
  <si>
    <t>What are the key elements of an effective product filtering and sorting system in my eBay store to help buyers find desired items quickly?</t>
  </si>
  <si>
    <t>How can I leverage eBay store analytics to identify top-performing listings and prioritize them within my store?</t>
  </si>
  <si>
    <t>What strategies can I use to implement a user-friendly and intuitive search function within my eBay store for better product discovery?</t>
  </si>
  <si>
    <t>How can I optimize my eBay store for cross-promotion and upselling by showcasing related or complementary products together?</t>
  </si>
  <si>
    <t>What are the benefits of utilizing customer loyalty programs or rewards within my eBay store to incentivize repeat purchases?</t>
  </si>
  <si>
    <t>How can I proactively handle instances of low inventory or out-of-stock items within my eBay store to minimize buyer frustration?</t>
  </si>
  <si>
    <t>What strategies can I employ to implement a seamless checkout process within my eBay store to reduce cart abandonment rates?</t>
  </si>
  <si>
    <t>How can I optimize my eBay store for social proof by displaying positive customer testimonials or reviews prominently?</t>
  </si>
  <si>
    <t>How can I effectively use eBay store promotions and discounts to attract new buyers and drive conversion rates?</t>
  </si>
  <si>
    <t>What strategies can I use to implement a user-friendly and intuitive navigation menu within my eBay store for easy category browsing?</t>
  </si>
  <si>
    <t>How can I improve the product presentation in my eBay store by utilizing enhanced images, videos, or 360-degree views?</t>
  </si>
  <si>
    <t>What are the key elements of an effective FAQ section within my eBay store to address common buyer questions and concerns?</t>
  </si>
  <si>
    <t>How can I leverage customer data and purchase history to offer personalized recommendations and product suggestions within my eBay store?</t>
  </si>
  <si>
    <t>What strategies can I employ to optimize my eBay store for voice search compatibility and capitalize on emerging search trends?</t>
  </si>
  <si>
    <t>How can I proactively handle instances of negative feedback or disputes within my eBay store to maintain a positive seller rating?</t>
  </si>
  <si>
    <t>What are the benefits of implementing a live chat or messaging support feature within my eBay store for real-time buyer assistance?</t>
  </si>
  <si>
    <t>How can I optimize my eBay store for multichannel selling by integrating with other marketplaces or e-commerce platforms?</t>
  </si>
  <si>
    <t>How can I effectively use eBay store promotions and exclusive offers to incentivize repeat purchases and foster customer loyalty?</t>
  </si>
  <si>
    <t>What are the key strategies for scaling an eBay business and expanding product offerings to new categories?</t>
  </si>
  <si>
    <t>How can I effectively assess the scalability potential of my eBay business and identify areas for growth?</t>
  </si>
  <si>
    <t>What are the benefits of diversifying sales channels and expanding beyond eBay to reach a wider customer base?</t>
  </si>
  <si>
    <t>What strategies can I use to optimize inventory management and fulfillment processes to support business growth on eBay?</t>
  </si>
  <si>
    <t>How can I leverage data analytics and market research to identify emerging trends and opportunities for expansion on eBay?</t>
  </si>
  <si>
    <t>What are the key considerations for expanding internationally and reaching global markets through eBay?</t>
  </si>
  <si>
    <t>What strategies can I employ to establish strategic partnerships or collaborations to drive business expansion on eBay?</t>
  </si>
  <si>
    <t>How can I optimize my eBay listings and store to target new customer segments and attract a broader audience?</t>
  </si>
  <si>
    <t>What are the benefits of investing in marketing and advertising campaigns to support business expansion on eBay?</t>
  </si>
  <si>
    <t>How can I effectively manage and scale customer support operations to accommodate increased sales volume on eBay?</t>
  </si>
  <si>
    <t>What strategies can I use to optimize pricing and competitive positioning to support business growth on eBay?</t>
  </si>
  <si>
    <t>How can I leverage automation tools and technologies to streamline processes and scale operations on eBay?</t>
  </si>
  <si>
    <t>What are the key elements of a robust supply chain management strategy to support business expansion on eBay?</t>
  </si>
  <si>
    <t>How can I proactively manage inventory forecasting and replenishment to meet increased demand as the business scales on eBay?</t>
  </si>
  <si>
    <t>What strategies can I employ to expand product reach and visibility through strategic search engine optimization (SEO) techniques on eBay?</t>
  </si>
  <si>
    <t>How can I optimize my eBay store to handle increased traffic and sales volume as the business scales?</t>
  </si>
  <si>
    <t>What are the benefits of exploring new sourcing options and suppliers to support business growth on eBay?</t>
  </si>
  <si>
    <t>How can I effectively use customer data and insights to personalize marketing efforts and drive repeat purchases during the scaling process on eBay?</t>
  </si>
  <si>
    <t>What strategies can I use to implement efficient order management and fulfillment systems to support business expansion on eBay?</t>
  </si>
  <si>
    <t>How can I leverage customer feedback and reviews to improve product offerings and customer satisfaction as the business scales on eBay?</t>
  </si>
  <si>
    <t>What are the key considerations for expanding into private label or branded products as part of the business scaling process on eBay?</t>
  </si>
  <si>
    <t>How can I optimize my eBay listings for mobile devices to capture a growing mobile customer base as the business expands?</t>
  </si>
  <si>
    <t>What strategies can I employ to streamline and scale customer acquisition efforts through targeted advertising and marketing campaigns on eBay?</t>
  </si>
  <si>
    <t>How can I proactively handle instances of increased competition and market saturation as the business scales on eBay?</t>
  </si>
  <si>
    <t>What are the benefits of implementing customer loyalty programs or rewards to foster repeat business and support business growth on eBay?</t>
  </si>
  <si>
    <t>How can I optimize my eBay store for multichannel selling and integration with other e-commerce platforms to expand sales opportunities?</t>
  </si>
  <si>
    <t>What strategies can I use to develop a brand identity and establish a strong brand presence as the business scales on eBay?</t>
  </si>
  <si>
    <t>How can I effectively manage and scale fulfillment and shipping operations to meet increased demand on eBay?</t>
  </si>
  <si>
    <t>What are the key considerations for expanding into wholesale or bulk purchasing to support business growth on eBay?</t>
  </si>
  <si>
    <t>How can I leverage social media and influencer marketing to expand brand awareness and reach new customers on eBay?</t>
  </si>
  <si>
    <t>What strategies can I employ to optimize customer retention and nurture long-term relationships as the business scales on eBay?</t>
  </si>
  <si>
    <t>How can I proactively handle instances of supply chain disruptions or inventory challenges during the scaling process on eBay?</t>
  </si>
  <si>
    <t>What are the benefits of exploring new geographical markets or demographics to expand the customer base on eBay?</t>
  </si>
  <si>
    <t>How can I optimize my eBay store for cross-selling and upselling opportunities to maximize average order value as the business scales?</t>
  </si>
  <si>
    <t>What strategies can I use to implement effective pricing strategies and promotions to support business growth on eBay?</t>
  </si>
  <si>
    <t>How can I effectively manage and scale marketing campaigns across multiple channels to reach a wider audience on eBay?</t>
  </si>
  <si>
    <t>What are the key considerations for expanding into fulfillment by Amazon (FBA) or other third-party fulfillment options as the business scales on eBay?</t>
  </si>
  <si>
    <t>How can I leverage customer referrals and word-of-mouth marketing to expand the customer base and drive organic growth on eBay?</t>
  </si>
  <si>
    <t>What strategies can I employ to optimize product packaging and presentation to create a memorable unboxing experience for customers as the business scales on eBay?</t>
  </si>
  <si>
    <t>How can I proactively handle instances of increased customer inquiries and support requests as the business expands on eBay?</t>
  </si>
  <si>
    <t>What are the benefits of exploring wholesale partnerships or dropshipping arrangements to support business growth on eBay?</t>
  </si>
  <si>
    <t>How can I optimize my eBay store for international selling and cater to the needs of global customers during the scaling process?</t>
  </si>
  <si>
    <t>What strategies can I use to implement effective inventory forecasting and demand planning to support business expansion on eBay?</t>
  </si>
  <si>
    <t>How can I effectively manage and scale customer feedback and reviews to maintain a positive reputation as the business scales on eBay?</t>
  </si>
  <si>
    <t>What are the key considerations for expanding into new product categories or niches to diversify revenue streams on eBay?</t>
  </si>
  <si>
    <t>How can I leverage data analytics and market trends to identify emerging product opportunities and make informed decisions for business expansion on eBay?</t>
  </si>
  <si>
    <t>What strategies can I employ to optimize customer onboarding and ensure a seamless buying experience as the business scales on eBay?</t>
  </si>
  <si>
    <t>How can I proactively handle instances of increased return and refund requests as the business expands on eBay?</t>
  </si>
  <si>
    <t>What are the benefits of investing in employee training and development to support business growth and maintain operational excellence on eBay?</t>
  </si>
  <si>
    <t>How can I optimize my eBay store for scalability and flexibility to accommodate future business expansion and changing market dynamics?</t>
  </si>
  <si>
    <t>What factors should I consider when setting the initial price for my eBay listings to attract buyers and remain competitive?</t>
  </si>
  <si>
    <t>How can I analyze market trends and competitor pricing to determine the optimal price range for my products on eBay?</t>
  </si>
  <si>
    <t>What strategies can I use to implement dynamic pricing based on factors such as demand, seasonality, and buyer behavior on eBay?</t>
  </si>
  <si>
    <t>How can I leverage data analytics and historical sales data to identify pricing patterns and adjust prices accordingly on eBay?</t>
  </si>
  <si>
    <t>What are the benefits of conducting A/B testing and price experiments to find the optimal price point that maximizes sales and profitability on eBay?</t>
  </si>
  <si>
    <t>How can I utilize pricing strategies such as bundling, upselling, or offering discounts to encourage larger order sizes and increase average order value on eBay?</t>
  </si>
  <si>
    <t>What are the key considerations when implementing price adjustments and discounts during promotional periods or sales events on eBay?</t>
  </si>
  <si>
    <t>How can I effectively use price tracking tools and software to monitor competitor prices and make informed pricing decisions on eBay?</t>
  </si>
  <si>
    <t>What strategies can I employ to implement dynamic pricing based on factors such as inventory levels, shipping costs, and product popularity on eBay?</t>
  </si>
  <si>
    <t>How can I optimize my eBay listings by clearly communicating the value and benefits of my products to justify higher price points?</t>
  </si>
  <si>
    <t>What are the benefits of offering competitive pricing with free shipping to attract buyers and increase conversion rates on eBay?</t>
  </si>
  <si>
    <t>How can I effectively manage pricing strategies for seasonal or limited-time products to maximize sales and minimize inventory holding costs on eBay?</t>
  </si>
  <si>
    <t>What strategies can I use to implement tiered pricing or volume discounts to incentivize bulk purchases and cater to different buyer segments on eBay?</t>
  </si>
  <si>
    <t>How can I leverage customer data and purchase history to personalize pricing and offer tailored discounts or promotions on eBay?</t>
  </si>
  <si>
    <t>What are the key considerations when implementing dynamic pricing strategies based on real-time market conditions and demand fluctuations on eBay?</t>
  </si>
  <si>
    <t>How can I proactively monitor and adjust prices in response to changes in shipping costs, currency exchange rates, or market conditions on eBay?</t>
  </si>
  <si>
    <t>What strategies can I employ to implement price optimization across different product variations or options to maximize profitability on eBay?</t>
  </si>
  <si>
    <t>How can I effectively communicate price differentiators, such as product quality, brand reputation, or unique features, to justify higher price points on eBay?</t>
  </si>
  <si>
    <t>What are the benefits of utilizing dynamic repricing software or tools to automate price adjustments and maintain competitiveness on eBay?</t>
  </si>
  <si>
    <t>How can I optimize my eBay listings with clear and transparent pricing information, including any additional fees or charges, to build buyer trust and confidence?</t>
  </si>
  <si>
    <t>What strategies can I use to implement psychological pricing techniques, such as charm pricing or price anchoring, to influence buyer perception and increase conversions on eBay?</t>
  </si>
  <si>
    <t>How can I effectively use promotional pricing strategies, such as flash sales or limited-time offers, to create a sense of urgency and drive sales on eBay?</t>
  </si>
  <si>
    <t>What are the key considerations when implementing pricing strategies for refurbished or pre-owned items to maximize profitability on eBay?</t>
  </si>
  <si>
    <t>How can I leverage customer reviews and feedback to assess perceived value and make pricing adjustments based on buyer sentiments on eBay?</t>
  </si>
  <si>
    <t>What strategies can I employ to implement competitive pricing intelligence, such as tracking pricing trends and market demand, to optimize prices on eBay?</t>
  </si>
  <si>
    <t>How can I optimize my eBay store by offering price-matching guarantees or price-beat policies to attract price-conscious buyers and stand out from competitors?</t>
  </si>
  <si>
    <t>What are the benefits of implementing dynamic pricing strategies that align with buyer demographics or geographical markets on eBay?</t>
  </si>
  <si>
    <t>How can I proactively handle instances of price undercutting or price wars with competitors while maintaining profitability on eBay?</t>
  </si>
  <si>
    <t>What strategies can I use to implement flexible pricing options, such as auctions or best offers, to cater to different buyer preferences and maximize sales on eBay?</t>
  </si>
  <si>
    <t>How can I optimize my eBay listings with compelling product descriptions and visuals to enhance perceived value and justify higher price points?</t>
  </si>
  <si>
    <t>What are the benefits of utilizing repricing strategies based on buyer browsing behavior or purchase history to optimize prices on eBay?</t>
  </si>
  <si>
    <t>How can I effectively manage and adjust prices for seasonal clearance sales or end-of-season promotions to liquidate inventory and maximize revenue on eBay?</t>
  </si>
  <si>
    <t>What strategies can I employ to implement price optimization across different eBay marketplaces or international selling to accommodate varying market dynamics?</t>
  </si>
  <si>
    <t>How can I leverage pricing data and insights from eBay's Terapeak or third-party analytics tools to identify pricing opportunities and optimize prices?</t>
  </si>
  <si>
    <t>What are the key considerations when implementing pricing strategies for limited-quantity or rare items to maximize profitability on eBay?</t>
  </si>
  <si>
    <t>How can I proactively communicate the benefits or cost savings of upselling to customers through persuasive product descriptions or personalized messages on eBay?</t>
  </si>
  <si>
    <t>What are the benefits of creating cross-promotion campaigns or bundles for seasonal or thematic occasions, such as holidays or special events, on eBay?</t>
  </si>
  <si>
    <t>How can I optimize the placement and visibility of cross-promotion links or banners within my eBay listings to attract buyer attention and encourage upselling?</t>
  </si>
  <si>
    <t>What are the key considerations when identifying cross-selling opportunities based on customer segmentation, purchasing patterns, or product affinity on eBay?</t>
  </si>
  <si>
    <t>How can I effectively showcase the value proposition of cross-purchased items, emphasizing how they enhance the primary product or provide additional functionality on eBay?</t>
  </si>
  <si>
    <t>What strategies can I employ to leverage customer reviews or testimonials to support cross-promotion and upselling efforts by showcasing positive experiences on eBay?</t>
  </si>
  <si>
    <t>How can I incentivize repeat customers to explore related products or higher-tier options through loyalty rewards, exclusive offers, or personalized recommendations on eBay?</t>
  </si>
  <si>
    <t>What are the benefits of using visual cues, such as "Frequently Bought Together" images or icons, to encourage cross-purchases and upselling on eBay?</t>
  </si>
  <si>
    <t>How can I optimize the use of product bundling or package deals to offer discounted pricing or added value and increase upselling opportunities on eBay?</t>
  </si>
  <si>
    <t>What strategies can I use to create compelling product comparisons or upgrade guides that encourage customers to choose higher-priced options on eBay?</t>
  </si>
  <si>
    <t>How can I proactively address buyer objections or hesitations regarding upselling by providing transparent information, product demonstrations, or customer support on eBay?</t>
  </si>
  <si>
    <t>What are the key considerations when timing cross-promotion offers, such as during peak buying periods or in follow-up communications, to maximize upselling on eBay?</t>
  </si>
  <si>
    <t>How can I leverage customer segmentation and purchase history data to create personalized cross-promotion campaigns that resonate with specific buyer segments on eBay?</t>
  </si>
  <si>
    <t>What promotional tactics can I employ, such as limited-time offers, free gifts, or exclusive bundles, to create a sense of urgency and drive upselling on eBay?</t>
  </si>
  <si>
    <t>How can I effectively communicate the unique selling points or advantages of cross-purchased items through concise and persuasive messaging on eBay?</t>
  </si>
  <si>
    <t>What strategies can I use to leverage cross-promotion and upselling techniques in my eBay store design, layout, or navigation to guide customers towards additional purchases?</t>
  </si>
  <si>
    <t>How can I optimize the use of cross-promotion and upselling techniques for high-margin or premium products to increase profitability and customer satisfaction on eBay?</t>
  </si>
  <si>
    <t>What are the benefits of offering product samples or trial sizes as cross-promotional items to introduce customers to new products or encourage upselling on eBay?</t>
  </si>
  <si>
    <t>How can I proactively address potential buyer concerns, such as price sensitivity or product compatibility, by providing clear and compelling upselling justifications on eBay?</t>
  </si>
  <si>
    <t>What strategies can I employ to create cross-promotion partnerships or collaborations with other eBay sellers to expand product offerings and drive mutual upselling?</t>
  </si>
  <si>
    <t>How can I leverage social proof, such as customer testimonials or ratings, to build trust and confidence in cross-purchased items and facilitate upselling on eBay?</t>
  </si>
  <si>
    <t>What are the key considerations when creating cross-promotion and upselling campaigns for different buyer personas or target markets on eBay?</t>
  </si>
  <si>
    <t>How can I optimize the use of personalized recommendations and product suggestion algorithms to deliver targeted cross-promotion offers to eBay customers?</t>
  </si>
  <si>
    <t>What promotional tactics can I use to upsell additional warranties, protection plans, or service packages for products with longer lifecycles or higher maintenance on eBay?</t>
  </si>
  <si>
    <t>How can I effectively communicate the value and cost savings of cross-purchasing options through visually appealing product comparisons, charts, or infographics on eBay?</t>
  </si>
  <si>
    <t>What strategies can I employ to educate customers about the benefits or advantages of upselling through engaging and informative content, such as buying guides or video tutorials on eBay?</t>
  </si>
  <si>
    <t>How can I optimize the use of customer segmentation and purchase history data to create automated cross-promotion email campaigns that encourage upselling on eBay?</t>
  </si>
  <si>
    <t>What are the benefits of offering flexible financing options, installment plans, or credit lines to facilitate upselling and cross-purchases for higher-priced items on eBay?</t>
  </si>
  <si>
    <t>How can I proactively address potential objections or doubts regarding upselling by providing social proof, such as customer testimonials or case studies, on eBay?</t>
  </si>
  <si>
    <t>What strategies can I use to create cross-promotion opportunities based on current trends, popular product combinations, or emerging market demands on eBay?</t>
  </si>
  <si>
    <t>How can I leverage limited inventory or scarcity messaging to create a sense of exclusivity and urgency for cross-promotion and upselling on eBay?</t>
  </si>
  <si>
    <t>What are the key considerations when creating cross-promotion and upselling campaigns for different stages of the buyer's journey, such as initial discovery or post-purchase on eBay?</t>
  </si>
  <si>
    <t>How can I optimize the use of cross-promotion and upselling techniques in my eBay listing templates or templates to ensure consistent and effective messaging across all products?</t>
  </si>
  <si>
    <t>What promotional tactics can I employ, such as free shipping or extended warranties, to sweeten cross-promotion offers and incentivize upselling on eBay?</t>
  </si>
  <si>
    <t>How can I effectively communicate the cost savings or added value of cross-purchased items through compelling pricing displays, percentage discounts, or bundled deals on eBay?</t>
  </si>
  <si>
    <t>What strategies can I employ to create cross-promotion and upselling campaigns that align with seasonal or event-based shopping patterns, such as back-to-school or holiday seasons, on eBay?</t>
  </si>
  <si>
    <t>How can I optimize the use of customer feedback, reviews, or ratings to identify potential cross-promotion opportunities and fine-tune upselling strategies on eBay?</t>
  </si>
  <si>
    <t>What are the benefits of using persuasive copywriting techniques, such as storytelling or emotional appeals, to encourage cross-purchases and upselling on eBay?</t>
  </si>
  <si>
    <t>How can I proactively address potential buyer objections or hesitations regarding upselling by offering flexible return policies or satisfaction guarantees on eBay?</t>
  </si>
  <si>
    <t>What strategies can I use to create exclusive or limited-edition cross-promotion offers that appeal to collectors, enthusiasts, or loyal customers on eBay?</t>
  </si>
  <si>
    <t>How can I leverage social media platforms or influencer partnerships to amplify cross-promotion efforts and reach a broader audience for upselling on eBay?</t>
  </si>
  <si>
    <t>What are the key considerations when analyzing cross-promotion and upselling metrics, such as conversion rates, average order value, or repeat purchases, to optimize strategies on eBay?</t>
  </si>
  <si>
    <t>How can I optimize the use of personalized product recommendations or dynamic content modules to deliver targeted cross-promotion offers across various eBay channels?</t>
  </si>
  <si>
    <t>What promotional tactics can I employ, such as tiered discounts or loyalty rewards, to incentivize repeat customers and drive upselling on eBay?</t>
  </si>
  <si>
    <t>How can I effectively communicate the exclusivity or limited availability of cross-purchased items through persuasive language, countdown timers, or stock indicators on eBay?</t>
  </si>
  <si>
    <t>What strategies can I employ to provide exceptional customer service and personalized recommendations to foster trust, loyalty, and repeat business for cross-promotion and upselling on eBay?</t>
  </si>
  <si>
    <t>What is the return policy that I should establish for my eBay listings to ensure a smooth and transparent returns process for buyers?</t>
  </si>
  <si>
    <t>How can I effectively communicate my return policy to potential buyers in my eBay listings to instill confidence and address their concerns?</t>
  </si>
  <si>
    <t>What are the key considerations when setting timeframes for returns and refund requests on eBay to balance customer satisfaction and operational efficiency?</t>
  </si>
  <si>
    <t>How can I streamline the returns process on eBay by providing clear instructions and pre-paid return labels to make it convenient for buyers?</t>
  </si>
  <si>
    <t>What strategies can I employ to handle return requests promptly and efficiently on eBay to minimize any negative impact on my seller reputation?</t>
  </si>
  <si>
    <t>How can I proactively address common reasons for returns, such as sizing issues or product discrepancies, by providing accurate product information and detailed descriptions on eBay?</t>
  </si>
  <si>
    <t>What are the benefits of offering hassle-free returns or no-questions-asked refund policies on eBay to attract more buyers and build trust?</t>
  </si>
  <si>
    <t>How can I effectively communicate the condition requirements for returned items on eBay to ensure that buyers understand the expectations and prevent misuse of the return policy?</t>
  </si>
  <si>
    <t>What strategies can I use to minimize return rates on eBay by providing accurate product images and detailed specifications that match the actual item?</t>
  </si>
  <si>
    <t>How can I leverage customer feedback and return reasons to identify patterns or issues in my products or listings and make necessary improvements on eBay?</t>
  </si>
  <si>
    <t>What are the key considerations when handling partial refunds or replacement requests on eBay to resolve buyer concerns and maintain customer satisfaction?</t>
  </si>
  <si>
    <t>How can I proactively communicate with buyers during the returns process on eBay to provide updates, address any questions or concerns, and ensure a positive experience?</t>
  </si>
  <si>
    <t>What strategies can I employ to minimize return shipping costs on eBay by offering alternative solutions, such as returnless refunds or local drop-off points?</t>
  </si>
  <si>
    <t>How can I optimize the use of return metrics and analytics on eBay to identify trends, product performance issues, or areas for improvement in my listings or inventory?</t>
  </si>
  <si>
    <t>What are the benefits of implementing a restocking fee policy on eBay for certain types of products to cover expenses associated with returns and discourage frivolous returns?</t>
  </si>
  <si>
    <t>How can I proactively address buyer dissatisfaction or concerns before a return request is initiated on eBay through proactive communication and exceptional customer service?</t>
  </si>
  <si>
    <t>What strategies can I use to reduce the chances of fraudulent returns or item swapping on eBay by implementing security measures and thorough inspection processes?</t>
  </si>
  <si>
    <t>How can I effectively communicate any warranty or guarantee information for my products on eBay to reassure buyers and provide them with additional confidence in their purchase?</t>
  </si>
  <si>
    <t>What strategies can I employ to handle international returns on eBay by considering factors such as customs, shipping costs, and localized return options?</t>
  </si>
  <si>
    <t>How can I optimize the use of return-related data and buyer feedback on eBay to make informed decisions about product selection, inventory management, or listing optimization?</t>
  </si>
  <si>
    <t>What are the key considerations when determining the eligibility criteria for returns on eBay, such as opened items, used products, or customized items?</t>
  </si>
  <si>
    <t>How can I proactively prevent returns and buyer dissatisfaction by providing accurate and detailed product descriptions, including measurements, specifications, and usage instructions, on eBay?</t>
  </si>
  <si>
    <t>What strategies can I use to manage return requests from buyers who have changed their mind or made incorrect purchases on eBay, while balancing customer satisfaction and business needs?</t>
  </si>
  <si>
    <t>How can I optimize the returns process on eBay by offering alternative solutions, such as exchanges, store credit, or discounts, to encourage customer retention and repeat business?</t>
  </si>
  <si>
    <t>What are the benefits of implementing a comprehensive quality control process for my products on eBay to minimize the chances of returns due to defects or inaccuracies?</t>
  </si>
  <si>
    <t>How can I proactively address buyer concerns or questions about the return policy on eBay by providing detailed FAQs or dedicated customer support channels?</t>
  </si>
  <si>
    <t>What strategies can I employ to handle return requests for large or fragile items on eBay by considering special packaging, pick-up services, or local drop-off options?</t>
  </si>
  <si>
    <t>How can I effectively communicate any restocking fees or return shipping costs to buyers on eBay to ensure transparency and prevent surprises during the returns process?</t>
  </si>
  <si>
    <t>What strategies can I use to leverage positive returns and refund experiences on eBay by requesting buyer feedback or reviews to enhance my seller reputation?</t>
  </si>
  <si>
    <t>How can I optimize the use of automation and technology, such as return request templates or tracking systems, to streamline the returns process on eBay and improve efficiency?</t>
  </si>
  <si>
    <t>What are the key considerations when handling returns for perishable or consumable items on eBay, ensuring compliance with health and safety regulations and customer satisfaction?</t>
  </si>
  <si>
    <t>How can I proactively address buyer concerns or issues before they escalate to return requests on eBay through proactive communication and problem-solving?</t>
  </si>
  <si>
    <t>What strategies can I employ to minimize returns due to incorrect sizing or fit on eBay by providing detailed size charts, measurements, or fitting guides?</t>
  </si>
  <si>
    <t>How can I optimize the use of customer feedback and return reasons on eBay to identify opportunities for product improvement, diversification, or sourcing adjustments?</t>
  </si>
  <si>
    <t>What are the benefits of implementing a tiered return policy on eBay based on item categories, price ranges, or condition criteria to provide tailored solutions for different types of products?</t>
  </si>
  <si>
    <t>How can I proactively prevent buyer confusion or dissatisfaction related to returns by providing clear and concise terms and conditions in my eBay listings and store policies?</t>
  </si>
  <si>
    <t>What strategies can I use to handle returns for customized or personalized items on eBay, considering factors such as refund options, reselling limitations, or alterations?</t>
  </si>
  <si>
    <t>How can I effectively communicate the expected timeframe for refunds or reimbursement processing on eBay to manage buyer expectations and ensure timely resolutions?</t>
  </si>
  <si>
    <t>What strategies can I employ to handle returns for electronic or tech products on eBay by considering factors such as data privacy, warranties, or product troubleshooting?</t>
  </si>
  <si>
    <t>How can I optimize the use of customer feedback and return reasons on eBay to identify opportunities for product bundling, upselling, or cross-promotion to reduce returns and increase overall sales?</t>
  </si>
  <si>
    <t>What are the key considerations when handling returns for used or pre-owned items on eBay, including inspection procedures, pricing adjustments, or reselling options?</t>
  </si>
  <si>
    <t>How can I proactively prevent returns related to buyer remorse or impulse purchases on eBay by providing detailed product information, high-quality images, and accurate pricing?</t>
  </si>
  <si>
    <t>What strategies can I employ to handle returns for oversized or heavy items on eBay by considering specialized shipping services, carrier limitations, or pick-up arrangements?</t>
  </si>
  <si>
    <t>How can I optimize the use of return-related data and analytics on eBay to identify patterns or trends that may indicate issues with specific suppliers, manufacturers, or product lines?</t>
  </si>
  <si>
    <t>What are the benefits of implementing a seamless communication process for returns and refunds on eBay to provide buyers with updates, resolutions, and peace of mind?</t>
  </si>
  <si>
    <t>How can I proactively prevent returns due to shipping damages on eBay by implementing robust packaging techniques, insurance coverage, or working closely with shipping carriers?</t>
  </si>
  <si>
    <t>What strategies can I use to handle returns for digital goods, such as software licenses or digital downloads, on eBay by providing clear usage terms, licensing agreements, or activation instructions?</t>
  </si>
  <si>
    <t>How can I effectively communicate the availability of customer support channels or return assistance on eBay to ensure buyers feel supported and confident in their purchase decisions?</t>
  </si>
  <si>
    <t>What strategies can I employ to handle returns for international buyers on eBay by considering customs regulations, return shipping costs, or localized customer support options?</t>
  </si>
  <si>
    <t>How can I optimize the use of return-related metrics and feedback on eBay to identify opportunities for process improvements, customer service enhancements, or product quality control?</t>
  </si>
  <si>
    <t>What is dropshipping and how can I leverage this fulfillment method to build a successful eBay business without the need for inventory storage?</t>
  </si>
  <si>
    <t>What are the key considerations when selecting reliable and reputable dropshipping suppliers to ensure timely order fulfillment and customer satisfaction on eBay?</t>
  </si>
  <si>
    <t>How can I optimize the process of sourcing and listing dropshipped products on eBay to ensure accurate product information, competitive pricing, and compelling descriptions?</t>
  </si>
  <si>
    <t>What strategies can I employ to streamline the order fulfillment process with dropshipping suppliers on eBay, including automated order placement and tracking integration?</t>
  </si>
  <si>
    <t>How can I effectively communicate the shipping times and delivery expectations to eBay buyers when using dropshipping, to manage their expectations and provide transparency?</t>
  </si>
  <si>
    <t>What are the benefits of using multiple dropshipping suppliers or diversifying product sources on eBay to mitigate risks, improve product availability, and enhance customer satisfaction?</t>
  </si>
  <si>
    <t>How can I proactively address potential issues with dropshipped products, such as quality control or damaged items, by establishing clear communication channels with suppliers on eBay?</t>
  </si>
  <si>
    <t>What strategies can I use to optimize shipping costs and transit times when dropshipping on eBay, considering factors such as supplier location, shipping methods, and customer preferences?</t>
  </si>
  <si>
    <t>How can I leverage automation tools or software to streamline the management of dropshipping orders, tracking information, and inventory synchronization on eBay?</t>
  </si>
  <si>
    <t>What are the key considerations when selecting product niches or categories for dropshipping on eBay, including market demand, competition analysis, and profit margins?</t>
  </si>
  <si>
    <t>How can I proactively manage inventory availability and prevent overselling when dropshipping on eBay, ensuring accurate stock levels and timely updates from suppliers?</t>
  </si>
  <si>
    <t>What strategies can I employ to enhance the packaging and branding of dropshipped products on eBay, ensuring a positive unboxing experience for buyers and promoting seller credibility?</t>
  </si>
  <si>
    <t>How can I optimize the use of customer feedback and ratings to evaluate and select reputable dropshipping suppliers on eBay, ensuring high product quality and reliable fulfillment?</t>
  </si>
  <si>
    <t>What are the benefits of establishing strong relationships with dropshipping suppliers on eBay, including negotiated pricing, priority access to new products, or customized packaging options?</t>
  </si>
  <si>
    <t>How can I proactively address potential shipping delays or disruptions caused by external factors, such as holidays, natural disasters, or customs regulations, when dropshipping on eBay?</t>
  </si>
  <si>
    <t>What strategies can I use to differentiate my eBay listings and provide added value to buyers when dropshipping, such as offering exclusive bonuses, bundle deals, or personalized customer support?</t>
  </si>
  <si>
    <t>How can I optimize the use of tracking information and shipment notifications from dropshipping suppliers to provide timely updates and proactive communication with buyers on eBay?</t>
  </si>
  <si>
    <t>What strategies can I employ to handle returns or exchange requests when dropshipping on eBay, including coordinating with suppliers, managing return shipping, and refund processing?</t>
  </si>
  <si>
    <t>How can I effectively communicate the unique selling propositions of dropshipped products to eBay buyers, such as product features, benefits, or niche-specific advantages?</t>
  </si>
  <si>
    <t>What are the key considerations when calculating pricing and profit margins for dropshipped products on eBay, accounting for product costs, fees, shipping expenses, and desired profit targets?</t>
  </si>
  <si>
    <t>How can I proactively address potential issues with product availability or discontinued items when dropshipping on eBay, ensuring prompt communication with buyers and suitable alternatives?</t>
  </si>
  <si>
    <t>What strategies can I use to optimize order processing and fulfillment timeframes with dropshipping suppliers on eBay, including establishing clear expectations, monitoring performance, and addressing bottlenecks?</t>
  </si>
  <si>
    <t>How can I leverage eBay analytics and sales data to identify top-performing dropshipped products, trends, or emerging market demands to drive business growth and expansion?</t>
  </si>
  <si>
    <t>What strategies can I employ to ensure consistent product quality and avoid negative feedback or buyer dissatisfaction when dropshipping on eBay, including supplier evaluation and monitoring?</t>
  </si>
  <si>
    <t>How can I optimize the use of customer service and support when dropshipping on eBay, including addressing buyer inquiries, order updates, or post-purchase assistance?</t>
  </si>
  <si>
    <t>What are the benefits of using fulfillment centers or third-party logistics providers to streamline order fulfillment and enhance shipping efficiency when dropshipping on eBay?</t>
  </si>
  <si>
    <t>How can I proactively prevent issues related to product variations, discrepancies, or mismatches when dropshipping on eBay by ensuring accurate product information and regular supplier communication?</t>
  </si>
  <si>
    <t>What strategies can I use to optimize shipping methods and carriers when dropshipping on eBay, considering factors such as cost-effectiveness, delivery speed, and service reliability?</t>
  </si>
  <si>
    <t>How can I leverage customer feedback and ratings on eBay to evaluate the performance and reliability of dropshipping suppliers, making informed decisions about their suitability?</t>
  </si>
  <si>
    <t>What are the key considerations when selecting dropshipping suppliers for international shipping on eBay, including customs regulations, shipping restrictions, and localized customer support?</t>
  </si>
  <si>
    <t>Prompts for Teachers</t>
  </si>
  <si>
    <t>Explore the importance of fostering a culture of accountability and high expectations in educational leadership.</t>
  </si>
  <si>
    <t>Discuss the impact of effective instructional leadership on student engagement and academic success.</t>
  </si>
  <si>
    <t>Share your experiences with leading and managing effective school-wide assessment and evaluation practices.</t>
  </si>
  <si>
    <t>Explore strategies for promoting collaborative decision-making and shared leadership among staff members.</t>
  </si>
  <si>
    <t>Discuss the role of educational leaders in promoting and supporting parent involvement in education.</t>
  </si>
  <si>
    <t>Share your insights on effective strategies for managing and leveraging community partnerships.</t>
  </si>
  <si>
    <t>Explore the importance of continuous professional development for educational leaders.</t>
  </si>
  <si>
    <t>Discuss the impact of distributed leadership on staff morale and job satisfaction.</t>
  </si>
  <si>
    <t>Share your experiences with leading and managing effective special education and inclusive practices.</t>
  </si>
  <si>
    <t>Explore strategies for fostering a culture of innovation and risk-taking in educational leadership.</t>
  </si>
  <si>
    <t>Discuss the impact of effective school leadership on student motivation and engagement.</t>
  </si>
  <si>
    <t>Share your insights on the role of educational leaders in promoting a growth mindset among staff and students.</t>
  </si>
  <si>
    <t>Explore strategies for promoting culturally responsive pedagogy and multicultural education in schools.</t>
  </si>
  <si>
    <t>Discuss the importance of effective time management and organization skills in educational leadership.</t>
  </si>
  <si>
    <t>Share your experiences with leading and managing successful school improvement initiatives.</t>
  </si>
  <si>
    <t>Explore strategies for promoting a positive and inclusive school climate that values diversity.</t>
  </si>
  <si>
    <t>Discuss the role of educational leaders in fostering a strong sense of shared vision and mission within a school.</t>
  </si>
  <si>
    <t>Share your insights on the effective use of data to inform instructional decision-making and school improvement efforts.</t>
  </si>
  <si>
    <t>Explore strategies for promoting effective family-school partnerships and parent engagement in education.</t>
  </si>
  <si>
    <t>Discuss the importance of continuous communication and feedback in educational leadership and administration.</t>
  </si>
  <si>
    <t>Share your experiences with leading and managing effective professional learning communities among staff members.</t>
  </si>
  <si>
    <t>Explore strategies for promoting teacher autonomy and empowerment in educational leadership.</t>
  </si>
  <si>
    <t>Discuss the impact of effective instructional leadership on teacher job satisfaction and retention.</t>
  </si>
  <si>
    <t>Share your insights on the role of educational leaders in promoting social-emotional learning and well-being in schools.</t>
  </si>
  <si>
    <t>Explore strategies for creating a positive and supportive work culture that values collaboration and professional growth.</t>
  </si>
  <si>
    <t>Discuss the importance of ethical decision-making and integrity in educational leadership.</t>
  </si>
  <si>
    <t>Share your experiences with leading and managing effective school-wide assessment practices and data analysis.</t>
  </si>
  <si>
    <t>Explore strategies for promoting a culture of innovation and creativity among staff and students.</t>
  </si>
  <si>
    <t>Discuss the role of educational leaders in addressing and mitigating educational inequities.</t>
  </si>
  <si>
    <t>Share your insights on effective strategies for building and sustaining partnerships with external organizations and stakeholders.</t>
  </si>
  <si>
    <t>Explore strategies for fostering a culture of continuous improvement and learning among staff members.</t>
  </si>
  <si>
    <t>Discuss the importance of instructional coaching and support in educational leadership and administration.</t>
  </si>
  <si>
    <t>Share your experiences with leading and managing successful school-wide technology integration initiatives.</t>
  </si>
  <si>
    <t>Explore strategies for promoting effective communication and collaboration among school leaders and staff.</t>
  </si>
  <si>
    <t>Discuss the impact of effective educational leadership on teacher morale and job satisfaction.</t>
  </si>
  <si>
    <t>Discuss the importance of building strong partnerships and effective communication with parents.</t>
  </si>
  <si>
    <t>Share strategies for involving parents in their child's education and fostering a collaborative relationship.</t>
  </si>
  <si>
    <t>Explore ways to address challenging parent-teacher interactions and maintain positive communication.</t>
  </si>
  <si>
    <t>Discuss the importance of strong teacher-parent partnerships in supporting student success.</t>
  </si>
  <si>
    <t>Share strategies for establishing positive and effective communication channels with parents.</t>
  </si>
  <si>
    <t>Explore the benefits of involving parents in the classroom and school activities.</t>
  </si>
  <si>
    <t>Discuss the role of parent involvement in supporting student motivation and engagement.</t>
  </si>
  <si>
    <t>Share your insights on effective strategies for building trust and rapport with parents.</t>
  </si>
  <si>
    <t>Explore ways to effectively communicate student progress and achievements to parents.</t>
  </si>
  <si>
    <t>Discuss the impact of parental involvement on student attendance and academic performance.</t>
  </si>
  <si>
    <t>Share your experiences with successful parent-teacher conferences and meetings.</t>
  </si>
  <si>
    <t>Explore strategies for involving parents in decision-making processes at the school and classroom levels.</t>
  </si>
  <si>
    <t>Discuss the importance of cultural sensitivity and inclusivity in teacher-parent partnerships.</t>
  </si>
  <si>
    <t>Share your insights on the role of parents in supporting homework completion and reinforcing learning at home.</t>
  </si>
  <si>
    <t>Explore strategies for collaborating with parents to address and support students' social-emotional needs.</t>
  </si>
  <si>
    <t>Discuss the benefits of involving parents in school events, field trips, and extracurricular activities.</t>
  </si>
  <si>
    <t>Share your experiences with implementing effective home-school communication platforms or technologies.</t>
  </si>
  <si>
    <t>Explore ways to engage parents as partners in student goal-setting and academic planning.</t>
  </si>
  <si>
    <t>Discuss the role of parents in promoting a positive and supportive learning environment at home.</t>
  </si>
  <si>
    <t>Share strategies for involving parents in the assessment and evaluation of student progress.</t>
  </si>
  <si>
    <t>Explore ways to effectively communicate classroom expectations and policies to parents.</t>
  </si>
  <si>
    <t>Discuss the impact of parental involvement on student self-esteem and confidence.</t>
  </si>
  <si>
    <t>Share your insights on the benefits of involving parents in school decision-making committees or councils.</t>
  </si>
  <si>
    <t>Explore strategies for involving parents in the creation and review of school policies.</t>
  </si>
  <si>
    <t>Discuss the importance of recognizing and valuing the diversity of parents' backgrounds and experiences.</t>
  </si>
  <si>
    <t>Share your experiences with implementing effective parent education programs or workshops.</t>
  </si>
  <si>
    <t>Explore ways to involve parents in the integration of technology in teaching and learning.</t>
  </si>
  <si>
    <t>Discuss the role of parents in promoting a growth mindset and resilience in students.</t>
  </si>
  <si>
    <t>Share your insights on effective strategies for addressing and resolving conflicts with parents.</t>
  </si>
  <si>
    <t>Explore ways to involve parents in promoting positive behavior and discipline practices.</t>
  </si>
  <si>
    <t>Discuss the impact of parental involvement on students' transition to new grade levels or schools.</t>
  </si>
  <si>
    <t>Share your experiences with involving parents in career guidance and college preparation.</t>
  </si>
  <si>
    <t>Explore strategies for involving parents in community service and volunteering opportunities.</t>
  </si>
  <si>
    <t>Discuss the importance of involving parents in the Individualized Education Program (IEP) process for students with special needs.</t>
  </si>
  <si>
    <t>Share your insights on effective strategies for involving parents in promoting literacy and reading at home.</t>
  </si>
  <si>
    <t>Explore ways to involve parents in supporting students' physical health and well-being.</t>
  </si>
  <si>
    <t>Discuss the role of parents in promoting digital citizenship and internet safety.</t>
  </si>
  <si>
    <t>Share your experiences with involving parents in supporting students' participation in extracurricular activities.</t>
  </si>
  <si>
    <t>Explore strategies for involving parents in supporting students' transition from school to higher education or careers.</t>
  </si>
  <si>
    <t>Discuss the impact of parental involvement on students' motivation and academic aspirations.</t>
  </si>
  <si>
    <t>Share your insights on effective strategies for involving parents in conflict resolution and restorative practices.</t>
  </si>
  <si>
    <t>Explore ways to involve parents in school fundraising and resource allocation initiatives.</t>
  </si>
  <si>
    <t>Discuss the importance of involving parents in the development and implementation of Individualized Education Plans (IEPs).</t>
  </si>
  <si>
    <t>Share your experiences with involving parents in promoting healthy nutrition and lifestyles.</t>
  </si>
  <si>
    <t>Explore strategies for involving parents in promoting cultural awareness and celebrating diversity.</t>
  </si>
  <si>
    <t>Discuss the role of parents in supporting students' social skills and positive peer relationships.</t>
  </si>
  <si>
    <t>Share your insights on effective strategies for involving parents in promoting financial literacy and responsible money management.</t>
  </si>
  <si>
    <t>Explore ways to involve parents in fostering students' creativity and artistic expression.</t>
  </si>
  <si>
    <t>Discuss the impact of parental involvement on students' sense of belonging and school connectedness.</t>
  </si>
  <si>
    <t>Share your experiences with involving parents in supporting students' participation in community service projects.</t>
  </si>
  <si>
    <t>Explore strategies for involving parents in the prevention of bullying and fostering a safe school environment.</t>
  </si>
  <si>
    <t>Discuss the importance of involving parents in the transition from early childhood education to elementary school.</t>
  </si>
  <si>
    <t>Share your insights on effective strategies for involving parents in supporting students' mental health and well-being.</t>
  </si>
  <si>
    <t>Discuss the role of parents in supporting students' problem-solving and critical thinking skills.</t>
  </si>
  <si>
    <t>Share your insights on effective strategies for involving parents in promoting STEM education at home.</t>
  </si>
  <si>
    <t>Explore ways to involve parents in supporting students' language development and bilingual education.</t>
  </si>
  <si>
    <t>Discuss the impact of parental involvement on students' career exploration and guidance.</t>
  </si>
  <si>
    <t>Share your experiences with involving parents in promoting healthy screen time and digital citizenship.</t>
  </si>
  <si>
    <t>Explore strategies for involving parents in addressing and supporting students' special talents or interests.</t>
  </si>
  <si>
    <t>Discuss the importance of involving parents in fostering students' resilience and coping skills.</t>
  </si>
  <si>
    <t>Share your insights on effective strategies for involving parents in promoting environmental awareness and sustainability.</t>
  </si>
  <si>
    <t>Explore ways to involve parents in supporting students' financial literacy and responsible money management.</t>
  </si>
  <si>
    <t>Discuss the role of parents in promoting a positive and inclusive classroom culture.</t>
  </si>
  <si>
    <t>Share your experiences with involving parents in supporting students' social-emotional learning and well-being.</t>
  </si>
  <si>
    <t>Explore strategies for involving parents in promoting healthy sleep habits and physical well-being.</t>
  </si>
  <si>
    <t>Discuss the impact of parental involvement on students' attendance and punctuality.</t>
  </si>
  <si>
    <t>Share your insights on effective strategies for involving parents in promoting mindfulness and stress management.</t>
  </si>
  <si>
    <t>Explore ways to involve parents in supporting students' creativity and innovation.</t>
  </si>
  <si>
    <t>Discuss the importance of involving parents in promoting positive study habits and time management skills.</t>
  </si>
  <si>
    <t>Share your experiences with involving parents in promoting cultural celebrations and diversity awareness.</t>
  </si>
  <si>
    <t>Explore strategies for involving parents in supporting students' leadership and civic engagement.</t>
  </si>
  <si>
    <t>Discuss the role of parents in promoting positive social skills and conflict resolution strategies.</t>
  </si>
  <si>
    <t>Share your insights on effective strategies for involving parents in promoting healthy nutrition and wellness.</t>
  </si>
  <si>
    <t>Explore ways to involve parents in supporting students' music, arts, or performing arts education.</t>
  </si>
  <si>
    <t>Discuss the impact of parental involvement on students' transition to new schools or educational levels.</t>
  </si>
  <si>
    <t>Share your experiences with involving parents in promoting gender equity and inclusivity.</t>
  </si>
  <si>
    <t>Explore strategies for involving parents in promoting positive communication and relationship-building among students.</t>
  </si>
  <si>
    <t>Discuss the importance of involving parents in fostering a growth mindset and academic resilience.</t>
  </si>
  <si>
    <t>Share your insights on effective strategies for involving parents in supporting students with homework and assignments.</t>
  </si>
  <si>
    <t>Explore ways to involve parents in supporting students' career exploration and vocational guidance.</t>
  </si>
  <si>
    <t>Discuss the role of parents in promoting positive digital citizenship and online safety.</t>
  </si>
  <si>
    <t>Share your experiences with involving parents in promoting positive peer relationships and anti-bullying initiatives.</t>
  </si>
  <si>
    <t>Explore strategies for involving parents in supporting students' physical education and sports participation.</t>
  </si>
  <si>
    <t>Discuss the role of parents in supporting students' character development and values education.</t>
  </si>
  <si>
    <t>Share your insights on effective strategies for involving parents in promoting digital literacy and online safety.</t>
  </si>
  <si>
    <t>Explore ways to involve parents in supporting students' career exploration and future planning.</t>
  </si>
  <si>
    <t>Discuss the impact of parental involvement on students' sense of belonging and social integration.</t>
  </si>
  <si>
    <t>Share your experiences with involving parents in promoting healthy eating habits and nutrition education.</t>
  </si>
  <si>
    <t>Explore strategies for involving parents in supporting students' environmental stewardship and conservation.</t>
  </si>
  <si>
    <t>Discuss the importance of involving parents in promoting inclusive practices for students with diverse needs.</t>
  </si>
  <si>
    <t>Share your insights on effective strategies for involving parents in promoting media literacy and critical thinking skills.</t>
  </si>
  <si>
    <t>Explore ways to involve parents in supporting students' physical fitness and active lifestyles.</t>
  </si>
  <si>
    <t>Discuss the role of parents in promoting positive peer relationships and conflict resolution skills.</t>
  </si>
  <si>
    <t>Share your experiences with involving parents in promoting community service and volunteerism among students.</t>
  </si>
  <si>
    <t>Explore strategies for involving parents in supporting students' cultural identity and heritage.</t>
  </si>
  <si>
    <t>Discuss the impact of parental involvement on students' sense of responsibility and accountability.</t>
  </si>
  <si>
    <t>Share your insights on effective strategies for involving parents in promoting creativity and innovation in the classroom.</t>
  </si>
  <si>
    <t>Explore ways to involve parents in supporting students' social skills and emotional intelligence.</t>
  </si>
  <si>
    <t>Discuss the importance of involving parents in fostering a positive and respectful online behavior among students.</t>
  </si>
  <si>
    <t>Share your experiences with involving parents in supporting students' literacy development and reading habits.</t>
  </si>
  <si>
    <t>Explore strategies for involving parents in promoting positive school attendance and punctuality.</t>
  </si>
  <si>
    <t>Discuss the role of parents in promoting positive study habits and effective learning strategies.</t>
  </si>
  <si>
    <t>Explore ways to involve parents in supporting students' extracurricular interests and talents.</t>
  </si>
  <si>
    <t>Discuss the impact of parental involvement on students' sense of motivation and achievement.</t>
  </si>
  <si>
    <t>Share your experiences with involving parents in promoting inclusive practices for students from diverse cultural backgrounds.</t>
  </si>
  <si>
    <t>Explore strategies for involving parents in supporting students' technology literacy and responsible digital citizenship.</t>
  </si>
  <si>
    <t>Discuss the importance of involving parents in fostering a growth mindset and resilience in students.</t>
  </si>
  <si>
    <t>What are some effective methods for fostering strong partnerships with parents and guardians?</t>
  </si>
  <si>
    <t>Share your tips for effective communication with parents regarding student progress.</t>
  </si>
  <si>
    <t>Discuss strategies to involve the community in supporting student learning and success.</t>
  </si>
  <si>
    <t>Discuss the importance of parent and community engagement in promoting student success.</t>
  </si>
  <si>
    <t>Share strategies for building strong partnerships between parents, schools, and the local community.</t>
  </si>
  <si>
    <t>Explore ways to involve parents and community members in supporting students' social-emotional well-being.</t>
  </si>
  <si>
    <t>Discuss the role of parents and community organizations in promoting a safe and nurturing school environment.</t>
  </si>
  <si>
    <t>Share your insights on effective strategies for involving parents and community stakeholders in school decision-making processes.</t>
  </si>
  <si>
    <t>Explore ways to engage parents and community members in supporting students' academic achievement and enrichment.</t>
  </si>
  <si>
    <t>Discuss the impact of parent and community involvement on students' motivation and engagement in learning.</t>
  </si>
  <si>
    <t>Share your experiences with successful parent and community volunteer programs in schools.</t>
  </si>
  <si>
    <t>Explore strategies for involving parents and community partners in promoting cultural diversity and inclusivity.</t>
  </si>
  <si>
    <t>Discuss the importance of parent and community engagement in fostering positive school climate and behavior management.</t>
  </si>
  <si>
    <t>Share your insights on effective strategies for involving parents and community members in supporting students with special needs.</t>
  </si>
  <si>
    <t>Explore ways to involve parents and community stakeholders in promoting career exploration and readiness for students.</t>
  </si>
  <si>
    <t>Discuss the role of parents and community organizations in promoting environmental sustainability and awareness.</t>
  </si>
  <si>
    <t>Share your experiences with successful parent and community fundraising initiatives for educational programs and resources.</t>
  </si>
  <si>
    <t>Explore strategies for involving parents and community members in promoting health and wellness initiatives in schools.</t>
  </si>
  <si>
    <t>Discuss the impact of parent and community involvement on students' sense of belonging and connectedness.</t>
  </si>
  <si>
    <t>Share your insights on effective strategies for involving parents and community partners in promoting digital citizenship and online safety.</t>
  </si>
  <si>
    <t>Explore ways to involve parents and community stakeholders in supporting students' language and literacy development.</t>
  </si>
  <si>
    <t>Discuss the importance of parent and community engagement in promoting positive school attendance and punctuality.</t>
  </si>
  <si>
    <t>Share your experiences with successful parent and community mentorship programs for students.</t>
  </si>
  <si>
    <t>Explore strategies for involving parents and community members in promoting financial literacy and responsible money management.</t>
  </si>
  <si>
    <t>Discuss the role of parents and community organizations in promoting inclusive practices for students with diverse backgrounds.</t>
  </si>
  <si>
    <t>Share your insights on effective strategies for involving parents and community partners in promoting STEM education and careers.</t>
  </si>
  <si>
    <t>Explore ways to involve parents and community stakeholders in promoting arts and cultural education in schools.</t>
  </si>
  <si>
    <t>Discuss the impact of parent and community involvement on students' sense of civic responsibility and community engagement.</t>
  </si>
  <si>
    <t>Share your experiences with successful parent and community workshops on parenting and educational topics.</t>
  </si>
  <si>
    <t>Explore strategies for involving parents and community members in supporting students' transition to higher education or careers.</t>
  </si>
  <si>
    <t>Discuss the importance of parent and community engagement in addressing educational inequities and promoting social justice.</t>
  </si>
  <si>
    <t>Share your insights on effective strategies for involving parents and community partners in promoting physical education and sports.</t>
  </si>
  <si>
    <t>Explore ways to involve parents and community stakeholders in supporting students' technology literacy and innovation.</t>
  </si>
  <si>
    <t>Discuss the role of parents and community organizations in promoting positive family-school-community partnerships.</t>
  </si>
  <si>
    <t>Share your experiences with successful parent and community outreach initiatives to increase school involvement.</t>
  </si>
  <si>
    <t>Explore strategies for involving parents and community members in supporting students' social skills and peer relationships.</t>
  </si>
  <si>
    <t>Discuss the impact of parent and community involvement on students' sense of cultural identity and heritage.</t>
  </si>
  <si>
    <t>Share your insights on effective strategies for involving parents and community partners in supporting students' mental health and well-being.</t>
  </si>
  <si>
    <t>Explore ways to involve parents and community stakeholders in promoting global awareness and multicultural education.</t>
  </si>
  <si>
    <t>Discuss the importance of parent and community engagement in promoting college and career readiness for students.</t>
  </si>
  <si>
    <t>Share your experiences with successful parent and community recognition programs for student achievements.</t>
  </si>
  <si>
    <t>Explore strategies for involving parents and community members in supporting students' community service and volunteerism.</t>
  </si>
  <si>
    <t>Discuss the role of parents and community organizations in promoting inclusive practices for students with disabilities.</t>
  </si>
  <si>
    <t>Share your insights on effective strategies for involving parents and community partners in promoting media literacy and responsible digital citizenship.</t>
  </si>
  <si>
    <t>Explore ways to involve parents and community stakeholders in supporting students' creativity and artistic expression.</t>
  </si>
  <si>
    <t>Discuss the impact of parent and community involvement on students' sense of belonging and school connectedness.</t>
  </si>
  <si>
    <t>Share your experiences with successful parent and community engagement initiatives during school events and celebrations.</t>
  </si>
  <si>
    <t>Explore strategies for involving parents and community members in promoting positive peer relationships and anti-bullying efforts.</t>
  </si>
  <si>
    <t>Discuss the importance of parent and community engagement in fostering students' resilience and coping skills.</t>
  </si>
  <si>
    <t>Share your insights on effective strategies for involving parents and community partners in supporting students' English language acquisition.</t>
  </si>
  <si>
    <t>Explore ways to involve parents and community stakeholders in promoting cultural celebrations and diversity awareness.</t>
  </si>
  <si>
    <t>Discuss the role of parents and community organizations in promoting positive school discipline and restorative practices.</t>
  </si>
  <si>
    <t>Share your experiences with successful parent and community partnerships in implementing educational technology initiatives.</t>
  </si>
  <si>
    <t>Discuss the impact of parent and community involvement on students' academic achievement and graduation rates.</t>
  </si>
  <si>
    <t>Share your insights on effective strategies for involving parents and community partners in promoting social-emotional learning and well-being.</t>
  </si>
  <si>
    <t>Explore ways to involve parents and community stakeholders in supporting students' career exploration and vocational guidance.</t>
  </si>
  <si>
    <t>Discuss the role of parents and community organizations in promoting positive school climate and character education.</t>
  </si>
  <si>
    <t>Share your experiences with successful parent and community initiatives to improve school attendance and reduce truancy.</t>
  </si>
  <si>
    <t>Explore strategies for involving parents and community members in supporting students' financial literacy and responsible money management.</t>
  </si>
  <si>
    <t>Discuss the importance of parent and community engagement in promoting inclusive practices for students from diverse cultural backgrounds.</t>
  </si>
  <si>
    <t>Share your insights on effective strategies for involving parents and community partners in promoting technology integration and digital learning.</t>
  </si>
  <si>
    <t>Explore ways to involve parents and community stakeholders in supporting students' physical fitness and healthy lifestyles.</t>
  </si>
  <si>
    <t>Discuss the impact of parent and community involvement on students' sense of belonging and connectedness to their school.</t>
  </si>
  <si>
    <t>Share your experiences with successful parent and community collaborations in organizing educational field trips and experiential learning opportunities.</t>
  </si>
  <si>
    <t>Explore strategies for involving parents and community members in promoting environmental conservation and sustainability.</t>
  </si>
  <si>
    <t>Discuss the role of parents and community organizations in advocating for educational equity and access for all students.</t>
  </si>
  <si>
    <t>Share your insights on effective strategies for involving parents and community partners in promoting media literacy and critical thinking skills.</t>
  </si>
  <si>
    <t>Explore ways to involve parents and community stakeholders in supporting students' language and literacy development across disciplines.</t>
  </si>
  <si>
    <t>Discuss the importance of parent and community engagement in addressing the social and emotional needs of gifted and talented students.</t>
  </si>
  <si>
    <t>Share your experiences with successful parent and community outreach programs to enhance parental involvement in student learning.</t>
  </si>
  <si>
    <t>Explore strategies for involving parents and community members in supporting students' arts education and creative expression.</t>
  </si>
  <si>
    <t>Discuss the impact of parent and community involvement on students' sense of identity and cultural pride.</t>
  </si>
  <si>
    <t>Share your insights on effective strategies for involving parents and community partners in promoting inclusive sports and physical activities.</t>
  </si>
  <si>
    <t>Explore ways to involve parents and community stakeholders in supporting students' entrepreneurship and innovation skills.</t>
  </si>
  <si>
    <t>Discuss the role of parents and community organizations in promoting positive school-family-community partnerships.</t>
  </si>
  <si>
    <t>Share your experiences with successful parent and community initiatives to foster a sense of global citizenship among students.</t>
  </si>
  <si>
    <t>Explore strategies for involving parents and community members in supporting students' social skills and conflict resolution.</t>
  </si>
  <si>
    <t>Discuss the importance of parent and community engagement in addressing the unique needs of students with English as a second language.</t>
  </si>
  <si>
    <t>Share your insights on effective strategies for involving parents and community partners in promoting inclusive practices for students with diverse abilities.</t>
  </si>
  <si>
    <t>Explore ways to involve parents and community stakeholders in supporting students' digital literacy and responsible online behavior.</t>
  </si>
  <si>
    <t>Discuss the impact of parent and community involvement on students' motivation and perseverance in their academic pursuits.</t>
  </si>
  <si>
    <t>Share your experiences with successful parent and community collaborations in organizing career fairs and guest speaker events.</t>
  </si>
  <si>
    <t>Explore strategies for involving parents and community members in supporting students' transition from school to college or career paths.</t>
  </si>
  <si>
    <t>Discuss the role of parents and community organizations in promoting financial literacy and responsible money management among students.</t>
  </si>
  <si>
    <t>Explore ways to involve parents and community stakeholders in promoting cultural celebrations and diversity awareness in schools.</t>
  </si>
  <si>
    <t>Discuss the impact of parent and community involvement on students' sense of belonging and inclusion in the school community.</t>
  </si>
  <si>
    <t>Share your experiences with successful parent and community partnerships in implementing restorative justice practices in schools.</t>
  </si>
  <si>
    <t>Explore strategies for involving parents and community members in supporting students' physical education and sports activities.</t>
  </si>
  <si>
    <t>Discuss the importance of parent and community engagement in fostering students' environmental awareness and sustainable practices.</t>
  </si>
  <si>
    <t>Share your insights on effective strategies for involving parents and community partners in promoting academic resilience and perseverance.</t>
  </si>
  <si>
    <t>Explore ways to involve parents and community stakeholders in supporting students' technology literacy and digital citizenship.</t>
  </si>
  <si>
    <t>Discuss the role of parents and community organizations in promoting civic engagement and social responsibility among students.</t>
  </si>
  <si>
    <t>Share your experiences with successful parent and community initiatives to bridge the achievement gap and promote educational equity.</t>
  </si>
  <si>
    <t>Explore strategies for involving parents and community members in supporting students' social skills and conflict resolution abilities.</t>
  </si>
  <si>
    <t>Discuss the impact of parent and community involvement on students' sense of cultural identity and heritage preservation.</t>
  </si>
  <si>
    <t>Share your insights on effective strategies for involving parents and community partners in promoting career readiness and vocational exploration.</t>
  </si>
  <si>
    <t>Explore ways to involve parents and community stakeholders in supporting students' participation in community service and volunteerism.</t>
  </si>
  <si>
    <t>Discuss the benefits of participating in professional learning communities and collaborative practices</t>
  </si>
  <si>
    <t>Share your insights into effective teamwork and collaboration among teachers in a school setting.</t>
  </si>
  <si>
    <t>Explore ways to engage in virtual collaboration and networking with educators from different geographical locations.</t>
  </si>
  <si>
    <t>Discuss the role of professional learning communities in promoting a culture of reflective practice and continuous learning.</t>
  </si>
  <si>
    <t>Share your experiences with successful collaboration between schools and higher education institutions within a professional learning community.</t>
  </si>
  <si>
    <t>Discuss the role of professional learning communities in promoting culturally responsive teaching practices.</t>
  </si>
  <si>
    <t>Share your experiences with successful collaboration between teachers and educational researchers within a professional learning community.</t>
  </si>
  <si>
    <t>Explore strategies for promoting student voice and agency through collaborative decision making within a professional learning community.</t>
  </si>
  <si>
    <t>Discuss the impact of collaborative assessment practices on student engagement and achievement within a professional learning community.</t>
  </si>
  <si>
    <t>Share your insights on effective strategies for facilitating virtual collaboration and professional development opportunities.</t>
  </si>
  <si>
    <t>Explore ways to promote cross-school collaboration and knowledge sharing within a professional learning community.</t>
  </si>
  <si>
    <t>Discuss the importance of building relationships and trust among members of a professional learning community.</t>
  </si>
  <si>
    <t>Share your experiences with successful collaboration between mainstream teachers and English language learner specialists within a professional learning community.</t>
  </si>
  <si>
    <t>Explore strategies for promoting interdisciplinary collaboration and project-based learning within a professional learning community.</t>
  </si>
  <si>
    <t>Discuss the role of professional learning communities in supporting teacher-led research and inquiry projects.</t>
  </si>
  <si>
    <t>Share your insights on effective strategies for integrating social-emotional learning and well-being into a professional learning community.</t>
  </si>
  <si>
    <t>Explore ways to involve educational leaders and administrators in collaborative efforts within a professional learning community.</t>
  </si>
  <si>
    <t>Discuss the impact of collaborative curriculum mapping and alignment on instructional coherence and student progression.</t>
  </si>
  <si>
    <t>Share your experiences with successful collaboration between classroom teachers and instructional coaches within a professional learning community.</t>
  </si>
  <si>
    <t>Explore strategies for promoting inclusive practices and addressing diverse learning needs within a professional learning community.</t>
  </si>
  <si>
    <t>Discuss the importance of equity-focused professional learning communities in addressing systemic educational inequities.</t>
  </si>
  <si>
    <t>Share your insights on effective strategies for facilitating virtual collaboration and networking among educators.</t>
  </si>
  <si>
    <t>Explore ways to promote collaborative problem-solving and innovation within a professional learning community.</t>
  </si>
  <si>
    <t>Discuss the role of professional learning communities in supporting teacher retention and professional growth.</t>
  </si>
  <si>
    <t>Explore strategies for leveraging community resources and partnerships to enhance collaborative learning within a professional learning community.</t>
  </si>
  <si>
    <t>Discuss the impact of collaborative assessment moderation on ensuring consistent and fair grading practices.</t>
  </si>
  <si>
    <t>Share your insights on effective strategies for promoting a culture of risk-taking and experimentation within a professional learning community.</t>
  </si>
  <si>
    <t>Explore ways to integrate social justice and advocacy initiatives within a professional learning community.</t>
  </si>
  <si>
    <t>Discuss the importance of differentiated professional development opportunities within a professional learning community.</t>
  </si>
  <si>
    <t>Share your experiences with successful collaboration between educators and families within a professional learning community.</t>
  </si>
  <si>
    <t>Explore strategies for promoting cross-grade collaboration and vertical articulation within a professional learning community.</t>
  </si>
  <si>
    <t>Discuss the role of professional learning communities in supporting teacher self-reflection and growth mindset development.</t>
  </si>
  <si>
    <t>Share your insights on effective strategies for facilitating collaborative lesson study and peer observation within a professional learning community.</t>
  </si>
  <si>
    <t>Explore ways to leverage technology for asynchronous collaboration and resource sharing within a professional learning community.</t>
  </si>
  <si>
    <t>Discuss the impact of collaborative data analysis and evidence-based decision making within a professional learning community.</t>
  </si>
  <si>
    <t>Share your experiences with successful collaboration between rural and urban schools within a professional learning community.</t>
  </si>
  <si>
    <t>Explore strategies for promoting teacher leadership and distributed expertise within a professional learning community.</t>
  </si>
  <si>
    <t>Discuss the importance of cultivating a culture of empathy and support within a professional learning community.</t>
  </si>
  <si>
    <t>Share your insights on effective strategies for promoting teacher well-being and self-care within a professional learning community.</t>
  </si>
  <si>
    <t>Explore ways to involve educational policymakers and community leaders in collaborative efforts within a professional learning community.</t>
  </si>
  <si>
    <t>Discuss the role of professional learning communities in promoting educational innovation and continuous improvement.</t>
  </si>
  <si>
    <t>Share your experiences with successful collaboration between teachers and technology specialists within a professional learning community.</t>
  </si>
  <si>
    <t>Explore strategies for promoting collaborative curriculum development and instructional resource sharing within a professional learning community.</t>
  </si>
  <si>
    <t>Discuss the impact of collaborative coaching and mentoring programs on teacher effectiveness and professional growth within a professional learning community.</t>
  </si>
  <si>
    <t>Discuss the key components of effective classroom management and their impact on student learning.</t>
  </si>
  <si>
    <t>Share your experiences with successful strategies for establishing clear expectations and rules in the classroom.</t>
  </si>
  <si>
    <t>Explore ways to create a positive and inclusive classroom environment that promotes student engagement and respect.</t>
  </si>
  <si>
    <t>Discuss the role of relationship-building and rapport with students in effective classroom management.</t>
  </si>
  <si>
    <t>Share your insights on effective strategies for managing transitions and maintaining smooth routines in the classroom.</t>
  </si>
  <si>
    <t>Explore techniques for promoting active listening and positive communication within the classroom.</t>
  </si>
  <si>
    <t>Discuss the importance of modeling and teaching appropriate behavior and social skills to students.</t>
  </si>
  <si>
    <t>Share your experiences with successful strategies for managing disruptive behavior and maintaining a calm learning environment.</t>
  </si>
  <si>
    <t>Explore ways to implement effective classroom seating arrangements that support student collaboration and engagement.</t>
  </si>
  <si>
    <t>Discuss the impact of proactive strategies, such as positive reinforcement and praise, on classroom management.</t>
  </si>
  <si>
    <t>Share your insights on effective strategies for managing student conflicts and promoting peaceful resolution.</t>
  </si>
  <si>
    <t>Explore techniques for promoting student self-regulation and fostering a sense of responsibility in the classroom.</t>
  </si>
  <si>
    <t>Discuss the role of clear and consistent consequences in maintaining discipline and promoting accountability.</t>
  </si>
  <si>
    <t>Share your experiences with successful strategies for managing diverse classrooms and addressing individual student needs.</t>
  </si>
  <si>
    <t>Explore ways to incorporate restorative justice practices and conflict resolution techniques in classroom management.</t>
  </si>
  <si>
    <t>Discuss the importance of establishing a classroom community and fostering a sense of belonging among students.</t>
  </si>
  <si>
    <t>Share your insights on effective strategies for managing transitions and maintaining student focus during instructional time.</t>
  </si>
  <si>
    <t>Explore techniques for promoting student ownership and active participation in classroom management processes.</t>
  </si>
  <si>
    <t>Discuss the impact of effective classroom management on students' academic achievement and well-being.</t>
  </si>
  <si>
    <t>Share your experiences with successful strategies for managing large class sizes and maximizing student engagement.</t>
  </si>
  <si>
    <t>Explore ways to promote a growth mindset and resilience in students through effective classroom management.</t>
  </si>
  <si>
    <t>Discuss the role of classroom routines and procedures in establishing a structured learning environment.</t>
  </si>
  <si>
    <t>Share your insights on effective strategies for managing technology use and promoting digital citizenship in the classroom.</t>
  </si>
  <si>
    <t>Explore techniques for creating a safe and supportive learning environment for students with diverse backgrounds and abilities.</t>
  </si>
  <si>
    <t>Discuss the importance of clear and organized classroom materials and resources in effective classroom management.</t>
  </si>
  <si>
    <t>Share your experiences with successful strategies for managing transitions and maintaining student engagement during independent work.</t>
  </si>
  <si>
    <t>Explore ways to involve students in developing classroom rules and expectations for a sense of ownership.</t>
  </si>
  <si>
    <t>Discuss the impact of proactive communication and collaboration with parents in supporting classroom management.</t>
  </si>
  <si>
    <t>Share your insights on effective strategies for managing off-task behavior and redirecting students' attention.</t>
  </si>
  <si>
    <t>Explore techniques for promoting positive peer interactions and fostering a sense of community in the classroom.</t>
  </si>
  <si>
    <t>Discuss the role of mindfulness and self-regulation techniques in supporting classroom management.</t>
  </si>
  <si>
    <t>Share your experiences with successful strategies for managing group work and facilitating productive collaboration.</t>
  </si>
  <si>
    <t>Explore ways to address and prevent bullying behavior through proactive classroom management.</t>
  </si>
  <si>
    <t>Discuss the importance of promoting student autonomy and choice within a structured classroom management framework.</t>
  </si>
  <si>
    <t>Share your insights on effective strategies for managing time and maximizing instructional minutes in the classroom.</t>
  </si>
  <si>
    <t>Explore techniques for providing effective feedback and reinforcement to students for positive behavior.</t>
  </si>
  <si>
    <t>Discuss the impact of incorporating movement and brain breaks in maintaining student focus and engagement.</t>
  </si>
  <si>
    <t>Share your experiences with successful strategies for managing student transitions between different learning activities.</t>
  </si>
  <si>
    <t>Explore ways to create a culturally responsive classroom environment that values diversity and promotes inclusivity.</t>
  </si>
  <si>
    <t>Discuss the role of positive teacher-student relationships in effective classroom management.</t>
  </si>
  <si>
    <t>Share your insights on effective strategies for managing challenging student behaviors and implementing behavior intervention plans.</t>
  </si>
  <si>
    <t>Explore techniques for promoting active participation and reducing off-task behavior during whole-class instruction.</t>
  </si>
  <si>
    <t>Discuss the importance of establishing consistent routines for materials organization and distribution.</t>
  </si>
  <si>
    <t>Share your experiences with successful strategies for managing noise levels and promoting a quiet working environment.</t>
  </si>
  <si>
    <t>Explore ways to promote self-reflection and goal-setting skills in students through classroom management practices.</t>
  </si>
  <si>
    <t>Discuss the impact of incorporating movement and kinesthetic learning opportunities in classroom management.</t>
  </si>
  <si>
    <t>Share your insights on effective strategies for managing student transitions during special events and assemblies.</t>
  </si>
  <si>
    <t>Explore techniques for creating visual supports and cues to reinforce classroom rules and expectations.</t>
  </si>
  <si>
    <t>Discuss the role of restorative practices in building a positive classroom culture and addressing behavioral issues.</t>
  </si>
  <si>
    <t>Share your experiences with successful strategies for managing off-task behavior and refocusing student attention.</t>
  </si>
  <si>
    <t>Explore ways to integrate technology tools for classroom management, such as behavior tracking apps or timers.</t>
  </si>
  <si>
    <t>Discuss the importance of providing clear and timely feedback to students on their behavior and progress.</t>
  </si>
  <si>
    <t>Share your insights on effective strategies for managing student anxiety and promoting a safe learning environment.</t>
  </si>
  <si>
    <t>Explore techniques for promoting active engagement and reducing distractions during independent work time.</t>
  </si>
  <si>
    <t>Discuss the impact of promoting student voice and choice in classroom decision-making on classroom management.</t>
  </si>
  <si>
    <t>Share your experiences with successful strategies for managing transitions during special projects or hands-on activities.</t>
  </si>
  <si>
    <t>Explore ways to establish consistent procedures for handling materials and resources in the classroom.</t>
  </si>
  <si>
    <t>Discuss the role of peer-mediated interventions in promoting positive behavior and classroom management.</t>
  </si>
  <si>
    <t>Share your insights on effective strategies for managing student attention and engagement during whole-group discussions.</t>
  </si>
  <si>
    <t>Explore techniques for promoting a positive classroom climate and fostering a sense of community among students.</t>
  </si>
  <si>
    <t>Discuss the importance of self-care and stress management for teachers in maintaining effective classroom management.</t>
  </si>
  <si>
    <t>Share your experiences with successful strategies for managing student behaviors during field trips or outdoor activities.</t>
  </si>
  <si>
    <t>Explore ways to implement effective behavior contracts or behavior incentive systems for classroom management.</t>
  </si>
  <si>
    <t>Discuss the impact of incorporating social-emotional learning and character education in classroom management practices.</t>
  </si>
  <si>
    <t>Share your insights on effective strategies for managing student work completion and organization.</t>
  </si>
  <si>
    <t>Explore techniques for promoting student accountability and responsibility for their own learning within the classroom.</t>
  </si>
  <si>
    <t>Discuss the role of positive reinforcement and rewards systems in motivating desired behavior in the classroom.</t>
  </si>
  <si>
    <t>Share your experiences with successful strategies for managing student behavior during transitions between different locations.</t>
  </si>
  <si>
    <t>Explore ways to involve students in developing and enforcing consequences for classroom rule violations.</t>
  </si>
  <si>
    <t>Discuss the importance of ongoing professional development and reflection for improving classroom management skills.</t>
  </si>
  <si>
    <t>Share your insights on effective strategies for managing off-task behavior during group work or collaborative projects.</t>
  </si>
  <si>
    <t>Explore techniques for promoting active listening and respectful communication during classroom discussions.</t>
  </si>
  <si>
    <t>Discuss the impact of incorporating visual schedules and routines in supporting students with special needs in the classroom.</t>
  </si>
  <si>
    <t>Share your experiences with successful strategies for managing student behaviors during independent or quiet work time.</t>
  </si>
  <si>
    <t>Explore ways to implement effective de-escalation techniques for managing challenging student behaviors.</t>
  </si>
  <si>
    <t>Discuss the role of restorative circles and restorative conferences in resolving conflicts and building community.</t>
  </si>
  <si>
    <t>Share your insights on effective strategies for managing student behavior during transitions between different subjects.</t>
  </si>
  <si>
    <t>Explore techniques for promoting self-regulation and impulse control in students through classroom management.</t>
  </si>
  <si>
    <t>Discuss the importance of fostering a growth mindset and resilience in students through effective classroom management.</t>
  </si>
  <si>
    <t>Share your experiences with successful strategies for managing student behaviors during group discussions or debates.</t>
  </si>
  <si>
    <t>Discuss the impact of classroom layout and seating arrangements on student engagement and collaboration.</t>
  </si>
  <si>
    <t>Share your insights on creating a welcoming and inclusive classroom environment for all students.</t>
  </si>
  <si>
    <t>Explore ways to optimize natural lighting and acoustics in the classroom for better learning outcomes.</t>
  </si>
  <si>
    <t>Discuss the importance of incorporating flexible seating options to accommodate different learning styles and preferences.</t>
  </si>
  <si>
    <t>Share your experiences with successful strategies for organizing and arranging classroom materials for easy access.</t>
  </si>
  <si>
    <t>Explore techniques for creating visually appealing and informative displays that support student learning.</t>
  </si>
  <si>
    <t>Discuss the role of color psychology in classroom design and its impact on student mood and behavior.</t>
  </si>
  <si>
    <t>Share your insights on effective strategies for creating designated learning spaces within the classroom.</t>
  </si>
  <si>
    <t>Explore ways to incorporate technology seamlessly into the classroom environment through thoughtful design.</t>
  </si>
  <si>
    <t>Discuss the importance of providing a variety of learning zones to accommodate different instructional activities.</t>
  </si>
  <si>
    <t>Share your experiences with successful strategies for managing and organizing classroom supplies and resources.</t>
  </si>
  <si>
    <t>Explore techniques for creating a clutter-free and organized classroom environment that promotes focus and productivity.</t>
  </si>
  <si>
    <t>Discuss the impact of incorporating nature and green elements in the classroom environment for enhanced well-being.</t>
  </si>
  <si>
    <t>Share your insights on effective strategies for creating a print-rich environment that promotes literacy and language development.</t>
  </si>
  <si>
    <t>Explore ways to personalize the classroom environment to reflect the diverse backgrounds and interests of students.</t>
  </si>
  <si>
    <t>Discuss the role of classroom rules and visual cues in creating a structured and safe learning environment.</t>
  </si>
  <si>
    <t>Share your experiences with successful strategies for creating designated areas for student collaboration and group work.</t>
  </si>
  <si>
    <t>Explore techniques for incorporating student artwork and displays that celebrate their achievements and creativity.</t>
  </si>
  <si>
    <t>Discuss the importance of creating designated areas for quiet reflection and individual work in the classroom.</t>
  </si>
  <si>
    <t>Share your insights on effective strategies for managing and organizing digital resources in a technology-rich classroom.</t>
  </si>
  <si>
    <t>Explore techniques for promoting digital literacy skills and responsible technology use in lesson plans.</t>
  </si>
  <si>
    <t>Discuss the impact of incorporating cultural competency and global citizenship in curriculum development.</t>
  </si>
  <si>
    <t>Share your insights on effective strategies for integrating differentiated instructional strategies in lesson plans.</t>
  </si>
  <si>
    <t>Explore ways to incorporate collaborative projects and group work in lesson planning.</t>
  </si>
  <si>
    <t>Discuss the importance of incorporating hands-on manipulatives and materials in lesson plans.</t>
  </si>
  <si>
    <t>Share your experiences with successful strategies for integrating multimedia presentations in lesson plans.</t>
  </si>
  <si>
    <t>Explore techniques for incorporating peer feedback and self-assessment in lesson planning.</t>
  </si>
  <si>
    <t>Discuss the role of instructional technology tools and resources in curriculum development.</t>
  </si>
  <si>
    <t>Share your insights on effective strategies for integrating environmental sustainability and awareness in lesson plans.</t>
  </si>
  <si>
    <t>Explore ways to incorporate differentiated instructional activities and tasks in lesson planning.</t>
  </si>
  <si>
    <t>Discuss the impact of incorporating blended learning models in lesson plans.</t>
  </si>
  <si>
    <t>Share your experiences with successful strategies for integrating culturally diverse literature in lesson plans.</t>
  </si>
  <si>
    <t>Explore techniques for promoting problem-solving and critical thinking skills through project-based learning in lesson plans.</t>
  </si>
  <si>
    <t>Discuss the importance of incorporating social justice and equity perspectives in curriculum development.</t>
  </si>
  <si>
    <t>Share your insights on effective strategies for integrating differentiated assessments in lesson plans.</t>
  </si>
  <si>
    <t>Explore ways to incorporate technology-enhanced instructional strategies in lesson planning.</t>
  </si>
  <si>
    <t>Discuss the role of flexible grouping and differentiated instruction in curriculum development.</t>
  </si>
  <si>
    <t>Share your experiences with successful strategies for integrating multimedia production projects in lesson plans.</t>
  </si>
  <si>
    <t>Explore techniques for promoting student-led inquiries and research projects in lesson planning.</t>
  </si>
  <si>
    <t>Discuss the impact of incorporating authentic assessments and performance tasks in curriculum development.</t>
  </si>
  <si>
    <t>Share your insights on effective strategies for integrating field trips and real-world experiences in lesson plans.</t>
  </si>
  <si>
    <t>Explore ways to incorporate digital storytelling and narrative-based activities in lesson planning.</t>
  </si>
  <si>
    <t>Discuss the importance of incorporating universal design for learning (UDL) principles in curriculum development.</t>
  </si>
  <si>
    <t>Share your experiences with successful strategies for integrating problem-solving and critical thinking tasks in lesson plans.</t>
  </si>
  <si>
    <t>Explore techniques for promoting active learning and student engagement in lesson planning.</t>
  </si>
  <si>
    <t>Discuss the role of backward design in developing long-term unit plans and curriculum frameworks.</t>
  </si>
  <si>
    <t>Share your insights on effective strategies for integrating multimedia resources and virtual field trips in lesson plans.</t>
  </si>
  <si>
    <t>Explore ways to incorporate reflective journals and portfolios in curriculum development.</t>
  </si>
  <si>
    <t>Discuss the impact of incorporating global competencies and 21st-century skills in lesson plans.</t>
  </si>
  <si>
    <t>Share your experiences with successful strategies for integrating student-driven inquiry projects in lesson plans.</t>
  </si>
  <si>
    <t>Explore techniques for promoting differentiated assessments and alternative forms of expression in curriculum development.</t>
  </si>
  <si>
    <t>Discuss the importance of integrating social-emotional learning competencies in lesson planning.</t>
  </si>
  <si>
    <t>Share your insights on effective strategies for incorporating culturally responsive pedagogy in curriculum development.</t>
  </si>
  <si>
    <t>Explore ways to incorporate project-based assessments and authentic performance tasks in lesson planning.</t>
  </si>
  <si>
    <t>Discuss the role of flexible seating arrangements and classroom design in lesson planning.</t>
  </si>
  <si>
    <t>Share your experiences with successful strategies for integrating problem-solving and decision-making tasks in lesson plans.</t>
  </si>
  <si>
    <t>Explore techniques for promoting student-led discussions and peer-to-peer learning in curriculum development.</t>
  </si>
  <si>
    <t>Discuss the impact of incorporating interdisciplinary projects and units in lesson plans.</t>
  </si>
  <si>
    <t>Share your insights on effective strategies for integrating formative assessment feedback loops in curriculum development.</t>
  </si>
  <si>
    <t>Discuss the importance of incorporating metacognitive strategies and self-regulated learning in curriculum development.</t>
  </si>
  <si>
    <t>Share your insights on effective strategies for integrating student-centered and inquiry-based approaches in lesson plans.</t>
  </si>
  <si>
    <t>Explore ways to incorporate project-based assessments and performance tasks in curriculum development.</t>
  </si>
  <si>
    <t>Discuss the role of assessment for learning in shaping lesson plans and curriculum frameworks.</t>
  </si>
  <si>
    <t>Share your experiences with successful strategies for integrating multimedia presentations and digital resources in lesson plans.</t>
  </si>
  <si>
    <t>Explore techniques for promoting critical digital literacy skills and responsible online behavior in curriculum development.</t>
  </si>
  <si>
    <t>Discuss the impact of incorporating cultural diversity and inclusivity in curriculum development.</t>
  </si>
  <si>
    <t>Share your insights on effective strategies for integrating social-emotional learning (SEL) competencies in lesson plans.</t>
  </si>
  <si>
    <t>Explore ways to incorporate real-world connections and authentic contexts in curriculum development.</t>
  </si>
  <si>
    <t>Discuss the importance of integrating global perspectives and global citizenship education in lesson plans.</t>
  </si>
  <si>
    <t>Share your experiences with successful strategies for integrating problem-solving and decision-making tasks in curriculum development.</t>
  </si>
  <si>
    <t>Explore techniques for promoting student agency and voice in lesson planning and curriculum development.</t>
  </si>
  <si>
    <t>Discuss the role of performance-based assessments and authentic audience in shaping lesson plans.</t>
  </si>
  <si>
    <t>Share your insights on effective strategies for integrating visual arts and creative expression in curriculum development.</t>
  </si>
  <si>
    <t>Explore ways to incorporate digital citizenship education and online safety in lesson plans.</t>
  </si>
  <si>
    <t>Discuss the impact of incorporating environmental sustainability and ecological awareness in curriculum development.</t>
  </si>
  <si>
    <t>Share your experiences with successful strategies for integrating formative assessment practices in lesson plans.</t>
  </si>
  <si>
    <t>Explore techniques for promoting cross-curricular connections and interdisciplinary learning in curriculum development.</t>
  </si>
  <si>
    <t>Discuss the importance of integrating global competence and intercultural understanding in lesson plans.</t>
  </si>
  <si>
    <t>Share your insights on effective strategies for integrating literacy skills across content areas in curriculum development.</t>
  </si>
  <si>
    <t>Explore ways to incorporate service-learning and community engagement in lesson plans.</t>
  </si>
  <si>
    <t>Discuss the role of student choice and personalization in shaping lesson plans and curriculum frameworks.</t>
  </si>
  <si>
    <t>Share your experiences with successful strategies for integrating multimedia production and digital storytelling in lesson plans.</t>
  </si>
  <si>
    <t>Explore techniques for promoting inquiry-based science instruction and scientific thinking in curriculum development.</t>
  </si>
  <si>
    <t>Discuss the impact of incorporating project-based learning and collaborative problem-solving in lesson plans.</t>
  </si>
  <si>
    <t>Share your insights on effective strategies for integrating technology-enhanced assessments in curriculum development.</t>
  </si>
  <si>
    <t>Explore ways to incorporate culturally responsive texts and resources in lesson plans.</t>
  </si>
  <si>
    <t>Discuss the importance of incorporating differentiated instructional materials and resources in curriculum development.</t>
  </si>
  <si>
    <t>Share your experiences with successful strategies for integrating global issues and social justice in lesson plans.</t>
  </si>
  <si>
    <t>Explore techniques for promoting active learning and student engagement in curriculum development.</t>
  </si>
  <si>
    <t>Discuss the role of reflective practices and self-assessment in shaping lesson plans and curriculum frameworks.</t>
  </si>
  <si>
    <t>Share your insights on effective strategies for integrating student-led discussions and collaborative learning in lesson plans.</t>
  </si>
  <si>
    <t>Explore ways to incorporate media literacy skills and critical analysis in curriculum development.</t>
  </si>
  <si>
    <t>Discuss the impact of incorporating technology-enhanced simulations and virtual reality experiences in lesson plans.</t>
  </si>
  <si>
    <t>Share your experiences with successful strategies for integrating artistic expression and creativity in curriculum development.</t>
  </si>
  <si>
    <t>Explore techniques for promoting differentiated assessments and alternative forms of expression in lesson plans.</t>
  </si>
  <si>
    <t>Discuss the importance of incorporating ethical considerations and digital citizenship in curriculum development.</t>
  </si>
  <si>
    <t>Share your insights on effective strategies for integrating multicultural literature and diverse perspectives in lesson plans.</t>
  </si>
  <si>
    <t>Explore ways to incorporate hands-on experiments and scientific inquiry in curriculum development.</t>
  </si>
  <si>
    <t>Discuss the role of social-emotional learning competencies in shaping lesson plans and curriculum frameworks.</t>
  </si>
  <si>
    <t>Discuss the importance of using a variety of assessment methods to capture student learning.</t>
  </si>
  <si>
    <t>Share your insights on effective strategies for aligning assessments with learning objectives and standards.</t>
  </si>
  <si>
    <t>Explore ways to incorporate formative assessments to monitor student progress and provide timely feedback.</t>
  </si>
  <si>
    <t>Discuss the role of summative assessments in evaluating student achievement and informing instructional decisions.</t>
  </si>
  <si>
    <t>Share your experiences with successful strategies for designing authentic assessments that reflect real-world tasks and challenges.</t>
  </si>
  <si>
    <t>Explore techniques for promoting student self-assessment and reflection as part of the assessment process.</t>
  </si>
  <si>
    <t>Discuss the impact of using rubrics and scoring guides to provide clear expectations and criteria for assessment.</t>
  </si>
  <si>
    <t>Share your insights on effective strategies for differentiating assessments to meet the diverse needs of learners.</t>
  </si>
  <si>
    <t>Explore ways to incorporate performance-based assessments that assess skills and competencies beyond knowledge recall.</t>
  </si>
  <si>
    <t>Discuss the importance of using technology tools for assessment, such as online quizzes, digital portfolios, or video submissions.</t>
  </si>
  <si>
    <t>Share your experiences with successful strategies for involving students in the assessment process through peer feedback and self-assessment.</t>
  </si>
  <si>
    <t>Explore techniques for incorporating alternative assessment methods, such as projects, presentations, or performances.</t>
  </si>
  <si>
    <t>Discuss the role of data-driven decision making in using assessment results to guide instructional planning and interventions.</t>
  </si>
  <si>
    <t>Share your insights on effective strategies for providing constructive feedback that supports student growth and improvement.</t>
  </si>
  <si>
    <t>Explore ways to incorporate ongoing assessment practices that inform instruction and allow for timely interventions.</t>
  </si>
  <si>
    <t>Discuss the impact of using authentic and real-world contexts in assessment tasks to enhance student engagement and motivation.</t>
  </si>
  <si>
    <t>Share your experiences with successful strategies for ensuring the validity and reliability of assessments.</t>
  </si>
  <si>
    <t>Explore techniques for promoting fairness and equity in assessment practices, considering cultural and individual differences.</t>
  </si>
  <si>
    <t>Discuss the importance of involving students in setting learning goals and tracking their progress through formative assessments.</t>
  </si>
  <si>
    <t>Share your insights on effective strategies for communicating assessment results to students, parents, and stakeholders.</t>
  </si>
  <si>
    <t>Explore ways to incorporate self-assessment and goal-setting as part of the assessment process.</t>
  </si>
  <si>
    <t>Discuss the role of peer assessment and collaborative feedback in promoting student learning and reflection.</t>
  </si>
  <si>
    <t>Share your experiences with successful strategies for using portfolios or learning journals as assessment tools.</t>
  </si>
  <si>
    <t>Explore techniques for incorporating performance tasks that require application of knowledge and skills in real-life scenarios.</t>
  </si>
  <si>
    <t>Discuss the impact of using multiple-choice, short answer, and open-ended questions in assessing different types of learning outcomes.</t>
  </si>
  <si>
    <t>Share your insights on effective strategies for ensuring the reliability and consistency of grading practices.</t>
  </si>
  <si>
    <t>Explore ways to incorporate student reflection and metacognitive strategies in post-assessment analysis.</t>
  </si>
  <si>
    <t>Discuss the importance of providing opportunities for students to revise and improve their work based on feedback.</t>
  </si>
  <si>
    <t>Share your experiences with successful strategies for involving students in goal-setting and tracking their own learning progress.</t>
  </si>
  <si>
    <t>Explore techniques for promoting self-regulated learning and study skills through assessment practices.</t>
  </si>
  <si>
    <t>Discuss the role of norm-referenced and criterion-referenced assessments in evaluating student performance.</t>
  </si>
  <si>
    <t>Share your insights on effective strategies for using performance rubrics to provide specific and actionable feedback.</t>
  </si>
  <si>
    <t>Explore ways to incorporate technology-enhanced assessments, such as online simulations or interactive quizzes.</t>
  </si>
  <si>
    <t>Discuss the impact of using data visualization tools to analyze and present assessment data for instructional decision-making.</t>
  </si>
  <si>
    <t>Share your experiences with successful strategies for managing time and logistics during large-scale assessments.</t>
  </si>
  <si>
    <t>Explore techniques for incorporating student reflection and self-assessment in the assessment process.</t>
  </si>
  <si>
    <t>Discuss the importance of using authentic and meaningful contexts in assessing 21st-century skills.</t>
  </si>
  <si>
    <t>Share your insights on effective strategies for promoting assessment literacy among students, parents, and colleagues.</t>
  </si>
  <si>
    <t>Explore ways to incorporate peer feedback and self-assessment as part of the assessment cycle.</t>
  </si>
  <si>
    <t>Discuss the role of self-assessment and goal-setting in fostering student ownership of learning and metacognitive development.</t>
  </si>
  <si>
    <t>Share your experiences with successful strategies for providing differentiated assessments for students with diverse needs and abilities.</t>
  </si>
  <si>
    <t>Explore techniques for incorporating performance-based assessments that allow for creativity and personal expression.</t>
  </si>
  <si>
    <t>Discuss the impact of using portfolios or digital showcases to document and showcase student learning.</t>
  </si>
  <si>
    <t>Share your insights on effective strategies for providing timely and specific feedback that supports student growth.</t>
  </si>
  <si>
    <t>Explore ways to incorporate student-led conferences or presentations as a means of assessment and reflection.</t>
  </si>
  <si>
    <t>Discuss the importance of using both quantitative and qualitative assessment data to gain a holistic understanding of student learning.</t>
  </si>
  <si>
    <t>Share your experiences with successful strategies for involving students in setting criteria and standards for assessment.</t>
  </si>
  <si>
    <t>Explore techniques for promoting self-assessment and reflection through the use of learning journals or reflective prompts.</t>
  </si>
  <si>
    <t>Discuss the role of ongoing and frequent feedback in supporting student learning and progress.</t>
  </si>
  <si>
    <t>Share your insights on effective strategies for involving students in the assessment process through peer feedback and self-assessment.</t>
  </si>
  <si>
    <t>Explore ways to incorporate authentic assessment tasks that require problem-solving, critical thinking, and creativity.</t>
  </si>
  <si>
    <t>Discuss the impact of using alternative forms of assessment, such as exhibitions, performances, or portfolios.</t>
  </si>
  <si>
    <t>Share your experiences with successful strategies for providing meaningful feedback that guides student improvement.</t>
  </si>
  <si>
    <t>Explore techniques for promoting self-assessment and goal-setting as part of the assessment process.</t>
  </si>
  <si>
    <t>Discuss the impact of using technology tools for assessment, such as online quizzes, digital portfolios, or video submissions.</t>
  </si>
  <si>
    <t>Explore the benefits of integrating technology into classroom instruction.</t>
  </si>
  <si>
    <t>Discuss the role of technology in promoting student engagement and motivation.</t>
  </si>
  <si>
    <t>Share your favorite educational apps or software for different subject areas.</t>
  </si>
  <si>
    <t>Discuss the importance of digital citizenship and responsible use of technology in the classroom.</t>
  </si>
  <si>
    <t>Explore ways to use interactive whiteboards or smart boards to enhance classroom instruction.</t>
  </si>
  <si>
    <t>Share your experiences with successful strategies for using educational websites to support learning.</t>
  </si>
  <si>
    <t>Discuss the impact of using multimedia tools, such as videos or podcasts, to enhance lesson delivery.</t>
  </si>
  <si>
    <t>Explore ways to incorporate virtual reality or augmented reality experiences into classroom lessons.</t>
  </si>
  <si>
    <t>Share your insights on effective strategies for using educational games to reinforce learning objectives.</t>
  </si>
  <si>
    <t>Discuss the role of technology in promoting collaboration and communication among students.</t>
  </si>
  <si>
    <t>Explore ways to use digital tools for formative assessment and instant feedback.</t>
  </si>
  <si>
    <t>Share your experiences with successful strategies for incorporating online discussions or forums into classroom activities.</t>
  </si>
  <si>
    <t>Discuss the importance of teaching digital literacy skills to help students navigate and evaluate online information.</t>
  </si>
  <si>
    <t>Explore ways to use social media platforms for educational purposes in the classroom.</t>
  </si>
  <si>
    <t>Share your insights on effective strategies for using educational videos or animations to explain complex concepts.</t>
  </si>
  <si>
    <t>Discuss the impact of using learning management systems to organize and deliver course content.</t>
  </si>
  <si>
    <t>Explore ways to integrate coding and programming skills into classroom activities.</t>
  </si>
  <si>
    <t>Share your experiences with successful strategies for using digital portfolios to showcase student work.</t>
  </si>
  <si>
    <t>Discuss the role of online research tools and databases in supporting inquiry-based learning.</t>
  </si>
  <si>
    <t>Explore ways to use digital storytelling tools to enhance literacy skills and creativity.</t>
  </si>
  <si>
    <t>Share your insights on effective strategies for using interactive simulations to explore scientific concepts.</t>
  </si>
  <si>
    <t>Discuss the importance of providing students with access to technology tools and resources in the classroom.</t>
  </si>
  <si>
    <t>Explore ways to use video conferencing or virtual classrooms for distance learning or global collaboration.</t>
  </si>
  <si>
    <t>Share your experiences with successful strategies for using educational blogs or websites for student publishing.</t>
  </si>
  <si>
    <t>Discuss the impact of using adaptive learning technologies to personalize instruction for individual students.</t>
  </si>
  <si>
    <t>Explore ways to use digital mind mapping or concept mapping tools to organize and visualize ideas.</t>
  </si>
  <si>
    <t>Share your insights on effective strategies for using online quizzes or assessments to monitor student progress.</t>
  </si>
  <si>
    <t>Discuss the role of digital storytelling in promoting creativity and narrative skills.</t>
  </si>
  <si>
    <t>Explore ways to use digital annotation tools for collaborative reading and annotation activities.</t>
  </si>
  <si>
    <t>Share your experiences with successful strategies for using video editing software to create multimedia projects.</t>
  </si>
  <si>
    <t>Discuss the importance of teaching online research skills, including evaluating sources and citing references.</t>
  </si>
  <si>
    <t>Explore ways to use educational podcasts or audio resources to support learning.</t>
  </si>
  <si>
    <t>Share your insights on effective strategies for using online interactive lessons or tutorials for differentiated instruction.</t>
  </si>
  <si>
    <t>Discuss the impact of using digital tools for data analysis and visualization in mathematics or science.</t>
  </si>
  <si>
    <t>Explore ways to use educational apps or websites for foreign language learning and practice.</t>
  </si>
  <si>
    <t>Share your experiences with successful strategies for using online collaboration tools for group projects.</t>
  </si>
  <si>
    <t>Discuss the role of digital portfolios in documenting and assessing student growth over time.</t>
  </si>
  <si>
    <t>Explore ways to use online polling or survey tools for gathering student feedback and opinions.</t>
  </si>
  <si>
    <t>Share your insights on effective strategies for using online writing platforms for collaborative writing projects.</t>
  </si>
  <si>
    <t>Discuss the importance of digital accessibility and inclusive design in technology integration.</t>
  </si>
  <si>
    <t>Explore ways to use online interactive maps or globes for geography and social studies lessons.</t>
  </si>
  <si>
    <t>Share your experiences with successful strategies for using digital tools for data collection and analysis in science experiments.</t>
  </si>
  <si>
    <t>Discuss the impact of using educational apps or websites for practicing math skills and problem-solving.</t>
  </si>
  <si>
    <t>Explore ways to use video conferencing or online communication tools for virtual guest speakers or experts.</t>
  </si>
  <si>
    <t>Share your insights on effective strategies for using digital flashcards or study apps for review and memorization.</t>
  </si>
  <si>
    <t>Discuss the role of digital citizenship curriculum in teaching responsible and ethical technology use.</t>
  </si>
  <si>
    <t>Explore ways to use online annotation and highlighting tools for close reading and analysis of texts.</t>
  </si>
  <si>
    <t>Share your experiences with successful strategies for using educational simulations for virtual field trips or historical reenactments.</t>
  </si>
  <si>
    <t>Discuss the importance of teaching online safety and cybersecurity skills to students.</t>
  </si>
  <si>
    <t>Explore ways to use digital collaboration tools for global projects or cross-cultural exchanges.</t>
  </si>
  <si>
    <t>Share your insights on effective strategies for using educational game-based platforms to engage and motivate students.</t>
  </si>
  <si>
    <t>Discuss the impact of using digital feedback tools for providing timely and specific feedback to students.</t>
  </si>
  <si>
    <t>Explore ways to use online video platforms for flipped classroom or asynchronous learning.</t>
  </si>
  <si>
    <t>Share your experiences with successful strategies for using educational coding platforms for computational thinking.</t>
  </si>
  <si>
    <t>Discuss the role of digital portfolios in promoting student reflection and self-assessment.</t>
  </si>
  <si>
    <t>Explore ways to use digital annotation tools for peer feedback and collaborative editing.</t>
  </si>
  <si>
    <t>Share your insights on effective strategies for using online discussion boards or forums for student-led discussions.</t>
  </si>
  <si>
    <t>Discuss the importance of teaching media literacy skills to help students critically analyze and evaluate media messages.</t>
  </si>
  <si>
    <t>Discuss the impact of technology on fostering student agency and self-directed learning.</t>
  </si>
  <si>
    <t>Explore ways to use digital simulations and virtual labs for science experiments and scientific inquiry.</t>
  </si>
  <si>
    <t>Share your experiences with successful strategies for using technology to support language acquisition and English language learners.</t>
  </si>
  <si>
    <t>Discuss the importance of teaching cybersecurity and digital citizenship to ensure safe and responsible technology use.</t>
  </si>
  <si>
    <t>Explore ways to use technology for fostering student reflection and metacognitive skills.</t>
  </si>
  <si>
    <t>Share your insights on effective strategies for using technology to support students with special needs and disabilities.</t>
  </si>
  <si>
    <t>Discuss the role of data analytics and learning analytics in improving instructional practices and student outcomes.</t>
  </si>
  <si>
    <t>Explore ways to use technology for fostering creativity and innovation in arts and humanities education.</t>
  </si>
  <si>
    <t>Share your experiences with successful strategies for using technology to facilitate flipped classroom models.</t>
  </si>
  <si>
    <t>Discuss the impact of technology on promoting authentic, real-world connections and learning experiences.</t>
  </si>
  <si>
    <t>Explore ways to use video conferencing and virtual collaboration tools for connecting classrooms globally.</t>
  </si>
  <si>
    <t>Share your insights on effective strategies for using technology to promote student agency and voice in the learning process.</t>
  </si>
  <si>
    <t>Discuss the importance of digital storytelling in enhancing literacy skills and promoting student engagement.</t>
  </si>
  <si>
    <t>Explore ways to use technology for creating interactive quizzes and assessments for formative feedback.</t>
  </si>
  <si>
    <t>Share your experiences with successful strategies for using technology to support inquiry-based learning in the sciences.</t>
  </si>
  <si>
    <t>Discuss the role of technology in fostering student ownership of learning and self-assessment.</t>
  </si>
  <si>
    <t>Explore ways to use technology for promoting cultural diversity and inclusivity in the classroom.</t>
  </si>
  <si>
    <t>Share your insights on effective strategies for using educational games and simulations to reinforce learning objectives.</t>
  </si>
  <si>
    <t>Discuss the impact of technology on fostering interdisciplinary connections and cross-curricular learning experiences.</t>
  </si>
  <si>
    <t>Explore ways to use technology for promoting active learning and student-centered instructional approaches.</t>
  </si>
  <si>
    <t>Share your experiences with successful strategies for using technology to enhance teacher-parent communication and collaboration.</t>
  </si>
  <si>
    <t>Discuss the importance of professional development and ongoing training for effective technology integration.</t>
  </si>
  <si>
    <t>Explore ways to use technology for fostering global citizenship and social responsibility among students.</t>
  </si>
  <si>
    <t>Share your insights on effective strategies for using technology to support student self-assessment and goal setting.</t>
  </si>
  <si>
    <t>Discuss the impact of technology on promoting data-driven decision-making and personalized instruction.</t>
  </si>
  <si>
    <t>Discuss the benefits of using learning management systems (LMS) for organizing and delivering course content.</t>
  </si>
  <si>
    <t>Explore the features and applications of interactive whiteboard technology in the classroom.</t>
  </si>
  <si>
    <t>Share your favorite educational websites or online platforms for interactive learning activities.</t>
  </si>
  <si>
    <t>Discuss the role of educational apps in promoting student engagement and academic achievement.</t>
  </si>
  <si>
    <t>Explore ways to use video conferencing tools for virtual field trips and guest speaker sessions.</t>
  </si>
  <si>
    <t>Share your experiences with successful strategies for using digital storytelling tools for narrative-based learning.</t>
  </si>
  <si>
    <t>Discuss the importance of incorporating adaptive learning software in personalized instruction.</t>
  </si>
  <si>
    <t>Explore the benefits of using educational podcasts as a supplemental learning resource.</t>
  </si>
  <si>
    <t>Share your insights on effective strategies for using online research databases for student inquiry projects.</t>
  </si>
  <si>
    <t>Discuss the impact of augmented reality (AR) and virtual reality (VR) in enhancing learning experiences.</t>
  </si>
  <si>
    <t>Explore ways to use educational game-based platforms for gamified learning and skill development.</t>
  </si>
  <si>
    <t>Share your experiences with successful strategies for using digital assessment tools for formative feedback.</t>
  </si>
  <si>
    <t>Discuss the role of online collaboration tools in facilitating group work and project-based learning.</t>
  </si>
  <si>
    <t>Explore the benefits of using digital interactive textbooks for customizable and interactive learning experiences.</t>
  </si>
  <si>
    <t>Share your insights on effective strategies for using digital annotation tools for close reading and analysis.</t>
  </si>
  <si>
    <t>Share your experiences with successful strategies for incorporating culturally responsive teaching into mathematics instruction.</t>
  </si>
  <si>
    <t>Explore ways to use culturally responsive teaching to address historical erasure and marginalized narratives.</t>
  </si>
  <si>
    <t>Discuss the importance of including indigenous perspectives in environmental and ecological education.</t>
  </si>
  <si>
    <t>Share your insights on effective strategies for using culturally responsive teaching to promote digital literacy and internet safety.</t>
  </si>
  <si>
    <t>Explore ways to use culturally responsive teaching to promote equitable access to technology and digital resources.</t>
  </si>
  <si>
    <t>Discuss the role of culturally responsive teaching in fostering students' cultural curiosity and appreciation.</t>
  </si>
  <si>
    <t>Share your experiences with successful strategies for using culturally responsive teaching to support students with disabilities.</t>
  </si>
  <si>
    <t>Explore ways to use culturally responsive teaching to address and challenge stereotypes in science, technology, engineering, and math (STEM) fields.</t>
  </si>
  <si>
    <t>Discuss the impact of culturally responsive teaching on students' sense of belonging and academic self-confidence.</t>
  </si>
  <si>
    <t>Share your insights on effective strategies for using culturally responsive teaching to promote social-emotional learning and well-being.</t>
  </si>
  <si>
    <t>Explore ways to use culturally responsive teaching to address historical and contemporary social inequalities.</t>
  </si>
  <si>
    <t>Discuss the importance of culturally responsive teaching in fostering positive racial and ethnic identity development.</t>
  </si>
  <si>
    <t>Share your experiences with successful strategies for incorporating culturally responsive teaching into physical education and sports.</t>
  </si>
  <si>
    <t>Discuss the importance of multicultural education in fostering understanding and appreciation for diverse cultures.</t>
  </si>
  <si>
    <t>Share your experiences with successful strategies for incorporating global perspectives into the curriculum.</t>
  </si>
  <si>
    <t>Explore ways to integrate multicultural literature and texts into language arts instruction.</t>
  </si>
  <si>
    <t>Discuss the impact of multicultural education on promoting empathy and respect among students.</t>
  </si>
  <si>
    <t>Share your insights on effective strategies for incorporating diverse cultural perspectives into social studies instruction.</t>
  </si>
  <si>
    <t>Explore ways to use technology to connect students with global communities and cultures.</t>
  </si>
  <si>
    <t>Discuss the role of multicultural education in challenging stereotypes and biases.</t>
  </si>
  <si>
    <t>Share your experiences with successful strategies for fostering cross-cultural communication and collaboration among students.</t>
  </si>
  <si>
    <t>Explore ways to incorporate multicultural perspectives into science and math education.</t>
  </si>
  <si>
    <t>Discuss the importance of teaching about global issues and social justice in the classroom.</t>
  </si>
  <si>
    <t>Share your insights on effective strategies for promoting multicultural awareness and understanding in early childhood education.</t>
  </si>
  <si>
    <t>Explore ways to use multicultural art and music to celebrate diversity and promote cultural expression.</t>
  </si>
  <si>
    <t>Discuss the impact of multicultural education on building inclusive and equitable learning environments.</t>
  </si>
  <si>
    <t>Explore ways to incorporate multicultural perspectives into physical education and sports instruction.</t>
  </si>
  <si>
    <t>Discuss the role of multicultural education in promoting global citizenship and responsible stewardship.</t>
  </si>
  <si>
    <t>Share your insights on effective strategies for incorporating multicultural perspectives into STEM education.</t>
  </si>
  <si>
    <t>Explore ways to use multicultural education to address and challenge systemic inequalities in education.</t>
  </si>
  <si>
    <t>Discuss the importance of teaching about global religions and religious tolerance in the classroom.</t>
  </si>
  <si>
    <t>Share your experiences with successful strategies for incorporating multicultural perspectives into project-based learning.</t>
  </si>
  <si>
    <t>Explore ways to use multicultural education to promote gender equality and challenge gender stereotypes.</t>
  </si>
  <si>
    <t>Discuss the impact of multicultural education on students' sense of belonging and cultural identity.</t>
  </si>
  <si>
    <t>Share your insights on effective strategies for integrating multicultural perspectives into physical classroom spaces.</t>
  </si>
  <si>
    <t>Explore ways to use multicultural education to promote environmental sustainability and global awareness.</t>
  </si>
  <si>
    <t>Discuss the role of multicultural education in promoting multilingualism and language diversity.</t>
  </si>
  <si>
    <t>Share your experiences with successful strategies for incorporating multicultural perspectives into music education.</t>
  </si>
  <si>
    <t>Explore ways to use multicultural education to promote understanding and respect for LGBTQ+ identities.</t>
  </si>
  <si>
    <t>Discuss the importance of incorporating diverse historical narratives into history education.</t>
  </si>
  <si>
    <t>Share your insights on effective strategies for incorporating multicultural perspectives into media literacy education.</t>
  </si>
  <si>
    <t>Explore ways to use multicultural education to foster critical thinking and global problem-solving skills.</t>
  </si>
  <si>
    <t>Discuss the impact of multicultural education on reducing prejudice and promoting social inclusion.</t>
  </si>
  <si>
    <t>Share your experiences with successful strategies for incorporating multicultural perspectives into drama and theater education.</t>
  </si>
  <si>
    <t>Explore ways to use multicultural education to address and challenge cultural stereotypes in literature and media.</t>
  </si>
  <si>
    <t>Discuss the role of multicultural education in preparing students for the global workforce.</t>
  </si>
  <si>
    <t>Share your insights on effective strategies for integrating multicultural perspectives into career and technical education.</t>
  </si>
  <si>
    <t>Explore ways to use multicultural education to promote cultural competence among students.</t>
  </si>
  <si>
    <t>Discuss the importance of incorporating diverse voices and perspectives in guest speaker programs and assemblies.</t>
  </si>
  <si>
    <t>Share your experiences with successful strategies for incorporating multicultural perspectives into outdoor and experiential learning.</t>
  </si>
  <si>
    <t>Explore ways to use multicultural education to promote understanding and respect for diverse abilities and disabilities.</t>
  </si>
  <si>
    <t>Discuss the impact of multicultural education on promoting inclusive and diverse school cultures.</t>
  </si>
  <si>
    <t>Share your insights on effective strategies for incorporating multicultural perspectives into character education and social-emotional learning.</t>
  </si>
  <si>
    <t>Explore ways to use multicultural education to address and challenge Eurocentrism in the curriculum.</t>
  </si>
  <si>
    <t>Discuss the role of multicultural education in promoting peace education and conflict resolution.</t>
  </si>
  <si>
    <t>Share your experiences with successful strategies for incorporating multicultural perspectives into technology and digital literacy education.</t>
  </si>
  <si>
    <t>Explore ways to use multicultural education to promote understanding and respect for diverse family structures and backgrounds.</t>
  </si>
  <si>
    <t>Discuss the importance of incorporating diverse perspectives into environmental and sustainability education.</t>
  </si>
  <si>
    <t>Share your insights on effective strategies for integrating multicultural perspectives into physical education and health education.</t>
  </si>
  <si>
    <t>Explore ways to use multicultural education to promote understanding and respect for diverse religious and spiritual beliefs.</t>
  </si>
  <si>
    <t>Discuss the impact of multicultural education on promoting cultural exchange and international understanding.</t>
  </si>
  <si>
    <t>Share your experiences with successful strategies for incorporating multicultural perspectives into civic education and community engagement.</t>
  </si>
  <si>
    <t>Explore ways to use multicultural education to address and challenge ableism and promote disability rights.</t>
  </si>
  <si>
    <t>Discuss the role of multicultural education in promoting cultural preservation and heritage awareness.</t>
  </si>
  <si>
    <t>Share your insights on effective strategies for incorporating multicultural perspectives into coding and computer science education.</t>
  </si>
  <si>
    <t>Explore ways to use multicultural education to promote understanding and respect for diverse gender identities.</t>
  </si>
  <si>
    <t>Discuss the importance of incorporating indigenous perspectives into environmental and ecological education.</t>
  </si>
  <si>
    <t>Share your experiences with successful strategies for incorporating multicultural perspectives into culinary arts and food studies.</t>
  </si>
  <si>
    <t>Explore ways to use multicultural education to address and challenge racism and xenophobia.</t>
  </si>
  <si>
    <t>Discuss the impact of multicultural education on promoting intercultural communication and collaboration.</t>
  </si>
  <si>
    <t>Share your insights on effective strategies for integrating multicultural perspectives into career exploration and vocational education.</t>
  </si>
  <si>
    <t>Explore ways to use multicultural education to promote understanding and respect for diverse body types and physical abilities.</t>
  </si>
  <si>
    <t>Discuss the role of multicultural education in promoting inclusive and diverse school events and celebrations.</t>
  </si>
  <si>
    <t>Share your experiences with successful strategies for incorporating multicultural perspectives into physical classroom decorations.</t>
  </si>
  <si>
    <t>Explore ways to use multicultural education to address and challenge homophobia and promote LGBTQ+ rights.</t>
  </si>
  <si>
    <t>Discuss the importance of incorporating diverse perspectives into economics and financial literacy education.</t>
  </si>
  <si>
    <t>Share your insights on effective strategies for incorporating multicultural perspectives into science lab experiments and demonstrations.</t>
  </si>
  <si>
    <t>Explore ways to use multicultural education to promote understanding and respect for diverse aging experiences.</t>
  </si>
  <si>
    <t>Discuss the impact of multicultural education on promoting inclusive and diverse educational policies and practices.</t>
  </si>
  <si>
    <t>Share your experiences with successful strategies for incorporating multicultural perspectives into journalism and media studies.</t>
  </si>
  <si>
    <t>Discuss the importance of classroom differentiation in meeting the diverse learning needs of students.</t>
  </si>
  <si>
    <t>Share your experiences with successful strategies for assessing students' learning styles and preferences.</t>
  </si>
  <si>
    <t>Explore ways to use technology to personalize learning experiences for students.</t>
  </si>
  <si>
    <t>Discuss the impact of differentiated instruction on student engagement and motivation.</t>
  </si>
  <si>
    <t>Share your insights on effective strategies for adapting instructional materials to accommodate students' individual needs.</t>
  </si>
  <si>
    <t>Explore ways to provide choice and autonomy in student learning tasks and activities.</t>
  </si>
  <si>
    <t>Discuss the role of personalized learning plans in supporting students' academic and personal growth.</t>
  </si>
  <si>
    <t>Share your experiences with successful strategies for differentiating instruction in mixed-ability classrooms.</t>
  </si>
  <si>
    <t>Explore ways to use formative assessment to inform and guide differentiated instruction.</t>
  </si>
  <si>
    <t>Discuss the importance of scaffolding and providing supports for students who need additional assistance.</t>
  </si>
  <si>
    <t>Share your insights on effective strategies for promoting self-directed learning and student agency.</t>
  </si>
  <si>
    <t>Explore ways to incorporate student interests and passions into the curriculum.</t>
  </si>
  <si>
    <t>Discuss the impact of flexible grouping and collaborative learning on student achievement.</t>
  </si>
  <si>
    <t>Share your experiences with successful strategies for providing enrichment opportunities for gifted and talented students.</t>
  </si>
  <si>
    <t>Explore ways to differentiate instruction to support students with diverse language backgrounds.</t>
  </si>
  <si>
    <t>Discuss the role of individualized goal-setting and progress monitoring in personalized learning.</t>
  </si>
  <si>
    <t>Share your insights on effective strategies for providing accommodations for students with special educational needs.</t>
  </si>
  <si>
    <t>Explore ways to incorporate project-based learning and inquiry-based approaches to differentiate instruction.</t>
  </si>
  <si>
    <t>Discuss the importance of building strong teacher-student relationships to support personalized learning.</t>
  </si>
  <si>
    <t>Share your experiences with successful strategies for incorporating technology tools and resources for individualized learning.</t>
  </si>
  <si>
    <t>Explore ways to differentiate assessment methods to reflect students' unique strengths and abilities.</t>
  </si>
  <si>
    <t>Discuss the impact of student-led conferences and self-reflection on personalizing the learning experience.</t>
  </si>
  <si>
    <t>Share your insights on effective strategies for providing feedback and guidance tailored to individual student needs.</t>
  </si>
  <si>
    <t>Explore ways to cultivate a growth mindset and foster a culture of continuous improvement in personalized learning.</t>
  </si>
  <si>
    <t>Discuss the role of student voice and choice in shaping the learning environment.</t>
  </si>
  <si>
    <t>Share your experiences with successful strategies for promoting self-regulation and metacognitive skills in students.</t>
  </si>
  <si>
    <t>Explore ways to differentiate homework and assignments to accommodate diverse learning needs.</t>
  </si>
  <si>
    <t>Discuss the importance of ongoing professional development for teachers to enhance classroom differentiation.</t>
  </si>
  <si>
    <t>Share your insights on effective strategies for communicating with parents and guardians about personalized learning plans.</t>
  </si>
  <si>
    <t>Explore ways to leverage data and assessment results to inform differentiated instruction.</t>
  </si>
  <si>
    <t>Discuss the impact of peer collaboration and peer tutoring in supporting personalized learning.</t>
  </si>
  <si>
    <t>Share your experiences with successful strategies for promoting self-advocacy and self-efficacy in students.</t>
  </si>
  <si>
    <t>Explore ways to differentiate instruction to address students' cultural and social backgrounds.</t>
  </si>
  <si>
    <t>Discuss the role of flexible seating arrangements and classroom organization in personalizing the learning environment.</t>
  </si>
  <si>
    <t>Share your insights on effective strategies for providing opportunities for students to pursue their passions and interests.</t>
  </si>
  <si>
    <t>Explore ways to incorporate technology tools for adaptive learning and individualized instruction.</t>
  </si>
  <si>
    <t>Discuss the importance of ongoing reflection and adjustment in personalized learning plans.</t>
  </si>
  <si>
    <t>Share your experiences with successful strategies for differentiating instruction in large class sizes.</t>
  </si>
  <si>
    <t>Explore ways to provide opportunities for students to demonstrate their understanding through multiple modalities.</t>
  </si>
  <si>
    <t>Discuss the impact of self-paced learning and competency-based approaches in personalized instruction.</t>
  </si>
  <si>
    <t>Share your insights on effective strategies for promoting self-assessment and goal-setting in students.</t>
  </si>
  <si>
    <t>Explore ways to differentiate instruction to address students' diverse cultural and linguistic backgrounds.</t>
  </si>
  <si>
    <t>Discuss the role of student choice boards and menus in fostering personalized learning experiences.</t>
  </si>
  <si>
    <t>Share your experiences with successful strategies for incorporating project-based and problem-based learning in differentiated instruction.</t>
  </si>
  <si>
    <t>Explore ways to use technology tools for individualized progress tracking and data analysis.</t>
  </si>
  <si>
    <t>Discuss the importance of building a supportive classroom community to enhance personalized learning.</t>
  </si>
  <si>
    <t>Share your insights on effective strategies for differentiating instruction in subject-specific areas (e.g., math, science, literacy).</t>
  </si>
  <si>
    <t>Explore ways to incorporate real-world connections and authentic learning experiences in personalized instruction.</t>
  </si>
  <si>
    <t>Discuss the impact of student goal-setting and reflection on personal growth and achievement.</t>
  </si>
  <si>
    <t>Share your experiences with successful strategies for differentiating instruction in virtual and online learning environments.</t>
  </si>
  <si>
    <t>Explore ways to differentiate assessment methods to accommodate diverse learning preferences and strengths.</t>
  </si>
  <si>
    <t>Discuss the role of student-led conferences and portfolio assessments in personalized learning.</t>
  </si>
  <si>
    <t>Share your insights on effective strategies for incorporating student choice and voice in curriculum design.</t>
  </si>
  <si>
    <t>Explore ways to differentiate instruction to meet the social-emotional needs of students.</t>
  </si>
  <si>
    <t>Discuss the importance of providing timely and specific feedback in personalized learning environments.</t>
  </si>
  <si>
    <t>Explore ways to teach students strategies for managing stress and anxiety.</t>
  </si>
  <si>
    <t>Discuss the importance of promoting a sense of purpose and goal-setting in students.</t>
  </si>
  <si>
    <t>Share your experiences with successful strategies for fostering a positive classroom culture.</t>
  </si>
  <si>
    <t>Explore ways to teach students conflict resolution and problem-solving skills.</t>
  </si>
  <si>
    <t>Discuss the impact of social-emotional learning on students' relationships and social interactions.</t>
  </si>
  <si>
    <t>Share your insights on effective strategies for promoting self-advocacy and self-expression.</t>
  </si>
  <si>
    <t>Explore ways to teach students empathy and compassion for others.</t>
  </si>
  <si>
    <t>Discuss the role of positive affirmation and encouragement in promoting students' self-esteem.</t>
  </si>
  <si>
    <t>Share your experiences with successful strategies for promoting a sense of belonging and acceptance among diverse student populations.</t>
  </si>
  <si>
    <t>Explore ways to teach students strategies for managing their emotions and handling conflicts peacefully.</t>
  </si>
  <si>
    <t>Discuss the importance of fostering a positive classroom climate for social-emotional learning.</t>
  </si>
  <si>
    <t>Share your insights on effective strategies for teaching students the importance of self-care and well-being.</t>
  </si>
  <si>
    <t>Explore ways to integrate social-emotional learning into virtual or online learning environments.</t>
  </si>
  <si>
    <t>Discuss the impact of social-emotional learning on students' mental health and resilience.</t>
  </si>
  <si>
    <t>Share your experiences with successful strategies for fostering positive peer relationships and collaboration.</t>
  </si>
  <si>
    <t>Explore ways to teach students empathy and understanding towards individuals from different cultures and backgrounds.</t>
  </si>
  <si>
    <t>Discuss the role of self-reflection and goal-setting in promoting students' personal growth.</t>
  </si>
  <si>
    <t>Share your insights on effective strategies for promoting responsible digital citizenship and online safety.</t>
  </si>
  <si>
    <t>Explore ways to teach students conflict resolution skills and the importance of active listening.</t>
  </si>
  <si>
    <t>Discuss the importance of teaching students emotional intelligence and self-management skills.</t>
  </si>
  <si>
    <t>Share your experiences with successful strategies for promoting a positive classroom climate that supports SEL.</t>
  </si>
  <si>
    <t>Explore ways to integrate SEL into arts and creative expression activities.</t>
  </si>
  <si>
    <t>Discuss the impact of SEL on students' social skills and ability to navigate peer relationships.</t>
  </si>
  <si>
    <t>Share your insights on effective strategies for promoting a sense of empathy and respect for diversity.</t>
  </si>
  <si>
    <t>Explore ways to teach students strategies for managing stress and building resilience.</t>
  </si>
  <si>
    <t>Discuss the role of social-emotional learning in fostering a positive school culture.</t>
  </si>
  <si>
    <t>Share your experiences with successful strategies for teaching students problem-solving and decision-making skills.</t>
  </si>
  <si>
    <t>Explore ways to integrate SEL into physical education and movement-based activities.</t>
  </si>
  <si>
    <t>Discuss the importance of promoting a growth mindset and perseverance in students.</t>
  </si>
  <si>
    <t>Share your insights on effective strategies for teaching conflict resolution skills in group settings.</t>
  </si>
  <si>
    <t>Explore ways to teach students strategies for building healthy relationships and setting boundaries.</t>
  </si>
  <si>
    <t>Discuss the impact of SEL on students' motivation and engagement in their learning.</t>
  </si>
  <si>
    <t>Share your experiences with successful strategies for promoting self-care and well-being among students.</t>
  </si>
  <si>
    <t>Discuss the role of intrinsic and extrinsic motivation in student learning.</t>
  </si>
  <si>
    <t>Explore ways to make learning relevant and meaningful to students' lives.</t>
  </si>
  <si>
    <t>Discuss the impact of goal-setting and progress monitoring on student motivation.</t>
  </si>
  <si>
    <t>Share your insights on effective strategies for promoting a positive classroom climate that motivates students.</t>
  </si>
  <si>
    <t>Explore ways to use technology tools and gamification to enhance student engagement.</t>
  </si>
  <si>
    <t>Discuss the importance of providing students with choice and autonomy in their learning.</t>
  </si>
  <si>
    <t>Share your experiences with successful strategies for using storytelling and narratives to captivate students' interest.</t>
  </si>
  <si>
    <t>Explore ways to incorporate hands-on, experiential learning activities to increase student engagement.</t>
  </si>
  <si>
    <t>Discuss the role of positive reinforcement and recognition in motivating students.</t>
  </si>
  <si>
    <t>Share your insights on effective strategies for tapping into students' passions and interests.</t>
  </si>
  <si>
    <t>Explore ways to create a collaborative learning environment that encourages active participation.</t>
  </si>
  <si>
    <t>Discuss the impact of fostering a sense of ownership and responsibility in students' learning.</t>
  </si>
  <si>
    <t>Share your experiences with successful strategies for promoting a growth mindset and resilience in students.</t>
  </si>
  <si>
    <t>Explore ways to connect classroom learning to real-world applications and careers.</t>
  </si>
  <si>
    <t>Discuss the importance of building positive relationships with students to enhance motivation.</t>
  </si>
  <si>
    <t>Share your insights on effective strategies for promoting self-efficacy and confidence in students.</t>
  </si>
  <si>
    <t>Explore ways to incorporate project-based learning and inquiry-based approaches to engage students.</t>
  </si>
  <si>
    <t>Discuss the role of peer collaboration and cooperative learning in fostering student motivation.</t>
  </si>
  <si>
    <t>Share your experiences with successful strategies for using technology tools and multimedia to engage students.</t>
  </si>
  <si>
    <t>Explore ways to provide timely and constructive feedback to enhance student motivation.</t>
  </si>
  <si>
    <t>Discuss the impact of creating a positive and inclusive classroom culture on student engagement.</t>
  </si>
  <si>
    <t>Share your insights on effective strategies for setting challenging yet achievable goals for students.</t>
  </si>
  <si>
    <t>Explore ways to integrate arts and creative expression into the curriculum to engage students.</t>
  </si>
  <si>
    <t>Discuss the importance of building a classroom community that celebrates and values diversity.</t>
  </si>
  <si>
    <t>Share your experiences with successful strategies for promoting student agency and self-directed learning.</t>
  </si>
  <si>
    <t>Explore ways to incorporate problem-solving and critical thinking tasks to engage students.</t>
  </si>
  <si>
    <t>Discuss the role of curiosity and inquiry in fostering student motivation.</t>
  </si>
  <si>
    <t>Share your insights on effective strategies for teaching time management and organizational skills to students.</t>
  </si>
  <si>
    <t>Explore ways to leverage students' strengths and talents to enhance motivation.</t>
  </si>
  <si>
    <t>Discuss the impact of fostering a positive classroom environment that promotes risk-taking and learning from mistakes.</t>
  </si>
  <si>
    <t>Share your experiences with successful strategies for incorporating movement and physical activity into the learning process.</t>
  </si>
  <si>
    <t>Explore ways to connect with students' interests and cultural backgrounds to increase engagement.</t>
  </si>
  <si>
    <t>Discuss the importance of fostering a sense of competence and mastery in students.</t>
  </si>
  <si>
    <t>Share your insights on effective strategies for promoting self-reflection and self-assessment among students.</t>
  </si>
  <si>
    <t>Explore ways to use technology tools for interactive and multimedia presentations to engage students.</t>
  </si>
  <si>
    <t>Discuss the role of goal-setting and action planning in motivating students to achieve their targets.</t>
  </si>
  <si>
    <t>Share your experiences with successful strategies for fostering a sense of curiosity and wonder in students.</t>
  </si>
  <si>
    <t>Explore ways to incorporate choice boards and differentiated instruction to increase student motivation.</t>
  </si>
  <si>
    <t>Discuss the impact of incorporating real-world problems and authentic tasks into the curriculum to engage students.</t>
  </si>
  <si>
    <t>Share your insights on effective strategies for promoting a sense of belonging and inclusivity in the classroom.</t>
  </si>
  <si>
    <t>Explore ways to use humor and storytelling to create a positive and engaging learning environment.</t>
  </si>
  <si>
    <t>Discuss the importance of creating opportunities for students to apply their learning in meaningful contexts.</t>
  </si>
  <si>
    <t>Share your experiences with successful strategies for using student-centered instructional approaches to enhance motivation.</t>
  </si>
  <si>
    <t>Explore ways to use technology for virtual field trips and interactive simulations to engage students.</t>
  </si>
  <si>
    <t>Discuss the role of self-assessment and self-monitoring in promoting student motivation.</t>
  </si>
  <si>
    <t>Share your insights on effective strategies for fostering positive teacher-student relationships to increase engagement.</t>
  </si>
  <si>
    <t>Explore ways to use project-based learning and problem-solving tasks to promote student motivation.</t>
  </si>
  <si>
    <t>Discuss the impact of incorporating choice and flexibility in assignments and assessments on student motivation.</t>
  </si>
  <si>
    <t>Share your experiences with successful strategies for promoting a growth mindset and perseverance in students.</t>
  </si>
  <si>
    <t>Explore ways to connect the curriculum to students' personal interests and aspirations.</t>
  </si>
  <si>
    <t>Discuss the importance of providing opportunities for student voice and agency in the classroom.</t>
  </si>
  <si>
    <t>Share your insights on effective strategies for promoting self-regulation and self-motivation in students.</t>
  </si>
  <si>
    <t>Explore ways to use technology for virtual collaboration and communication to engage students.</t>
  </si>
  <si>
    <t>Discuss the role of goal celebrations and rewards in motivating students to achieve their targets.</t>
  </si>
  <si>
    <t>Share your experiences with successful strategies for fostering a sense of purpose and relevance in students' learning.</t>
  </si>
  <si>
    <t>Explore ways to create a positive and motivating learning environment through classroom design.</t>
  </si>
  <si>
    <t>Discuss the impact of peer feedback and peer collaboration on student motivation.</t>
  </si>
  <si>
    <t>Share your insights on effective strategies for promoting a positive mindset and overcoming obstacles in student learning.</t>
  </si>
  <si>
    <t>Explore ways to use project-based learning and authentic assessments to increase student engagement.</t>
  </si>
  <si>
    <t>Discuss the importance of promoting a growth mindset and embracing challenges in student motivation.</t>
  </si>
  <si>
    <t>Share your experiences with successful strategies for incorporating student choice and agency in the assessment process.</t>
  </si>
  <si>
    <t>Explore ways to use technology tools for interactive quizzes and games to engage students.</t>
  </si>
  <si>
    <t>Discuss the role of goal-setting and action planning in motivating students towards long-term success.</t>
  </si>
  <si>
    <t>Share your insights on effective strategies for promoting self-confidence and positive self-image in students.</t>
  </si>
  <si>
    <t>Explore ways to use project-based learning and real-world applications to increase student motivation.</t>
  </si>
  <si>
    <t>Discuss the impact of incorporating student interests and passions into the curriculum on student engagement.</t>
  </si>
  <si>
    <t>Share your experiences with successful strategies for promoting a sense of belonging and connectedness among students.</t>
  </si>
  <si>
    <t>Explore ways to use technology for virtual collaborations and global connections to engage students.</t>
  </si>
  <si>
    <t>Discuss the importance of promoting scientific literacy and responsible use of technology in STEM education.</t>
  </si>
  <si>
    <t>Explore ways to integrate data analysis and visualization tools in STEM investigations.</t>
  </si>
  <si>
    <t>Share your insights on promoting career readiness and 21st-century skills through STEM education.</t>
  </si>
  <si>
    <t>Discuss the role of STEM competitions and challenges in engaging students and fostering healthy competition.</t>
  </si>
  <si>
    <t>Explore strategies for integrating engineering principles and design thinking in STEM projects.</t>
  </si>
  <si>
    <t>Share your experiences with incorporating STEM mentorship programs and industry partnerships.</t>
  </si>
  <si>
    <t>Discuss the impact of incorporating culturally responsive pedagogy in STEM instruction.</t>
  </si>
  <si>
    <t>Explore ways to incorporate entrepreneurship and innovation in STEM education.</t>
  </si>
  <si>
    <t>Share your insights on promoting scientific communication and presentation skills in STEM learning.</t>
  </si>
  <si>
    <t>Discuss the importance of incorporating ethics and responsible decision-making in STEM education.</t>
  </si>
  <si>
    <t>Explore strategies for integrating hands-on mathematics manipulatives in STEM activities.</t>
  </si>
  <si>
    <t>Share your experiences with incorporating STEM-related career exploration and guest speakers.</t>
  </si>
  <si>
    <t>Discuss the role of problem-based learning in fostering students' critical thinking skills in STEM subjects.</t>
  </si>
  <si>
    <t>Explore ways to incorporate engineering challenges and design projects in elementary STEM education.</t>
  </si>
  <si>
    <t>Share your insights on promoting interdisciplinary connections between STEM and the arts, humanities, or social sciences.</t>
  </si>
  <si>
    <t>Discuss the impact of incorporating STEM-related field trips and industry visits in students' career exploration.</t>
  </si>
  <si>
    <t>Explore strategies for incorporating online collaboration and remote learning opportunities in STEM education.</t>
  </si>
  <si>
    <t>Share your experiences with incorporating STEM challenges that address sustainability and environmental issues.</t>
  </si>
  <si>
    <t>Discuss the importance of hands-on experimentation and scientific method in STEM learning.</t>
  </si>
  <si>
    <t>Explore ways to incorporate coding and computational thinking skills in early childhood STEM education.</t>
  </si>
  <si>
    <t>Share your insights on promoting equity and access in STEM education for underrepresented groups.</t>
  </si>
  <si>
    <t>Discuss the role of STEM mentorship programs and role models in inspiring students' interest in STEM fields.</t>
  </si>
  <si>
    <t>Explore strategies for integrating augmented reality (AR) and virtual reality (VR) technologies in STEM instruction.</t>
  </si>
  <si>
    <t>Discuss the importance of using differentiated instruction to meet the diverse needs of students in the classroom.</t>
  </si>
  <si>
    <t>Explore strategies for promoting active learning and student engagement during lessons.</t>
  </si>
  <si>
    <t>Share your experiences with implementing cooperative learning structures to foster collaboration among students.</t>
  </si>
  <si>
    <t>Discuss the impact of incorporating technology tools and digital resources in instructional strategies.</t>
  </si>
  <si>
    <t>Explore ways to incorporate formative assessment techniques to monitor student progress and provide timely feedback.</t>
  </si>
  <si>
    <t>Share your insights on using visual aids and graphic organizers to enhance understanding and retention of content.</t>
  </si>
  <si>
    <t>Discuss the role of scaffolding and gradual release of responsibility in guiding students toward independent learning.</t>
  </si>
  <si>
    <t>Explore strategies for incorporating hands-on and experiential learning opportunities in classroom instruction.</t>
  </si>
  <si>
    <t>Share your experiences with implementing problem-based learning approaches to foster critical thinking and problem-solving skills.</t>
  </si>
  <si>
    <t>Discuss the importance of activating prior knowledge and making connections to students' real-life experiences in instruction.</t>
  </si>
  <si>
    <t>Explore ways to incorporate storytelling and narrative techniques to make lessons more engaging and memorable.</t>
  </si>
  <si>
    <t>Share your insights on using think-pair-share or turn-and-talk strategies to promote active student participation.</t>
  </si>
  <si>
    <t>Discuss the impact of incorporating inquiry-based learning approaches to encourage curiosity and exploration.</t>
  </si>
  <si>
    <t>Explore strategies for integrating arts-based activities, such as drama or visual arts, in instructional strategies.</t>
  </si>
  <si>
    <t>Share your experiences with using project-based learning to create authentic, real-world learning experiences.</t>
  </si>
  <si>
    <t>Discuss the role of metacognitive strategies and self-regulated learning in enhancing students' academic performance.</t>
  </si>
  <si>
    <t>Explore ways to incorporate movement and kinesthetic activities to support active learning in the classroom.</t>
  </si>
  <si>
    <t>Share your insights on using questioning techniques, such as Socratic questioning, to promote critical thinking and class discussions.</t>
  </si>
  <si>
    <t>Discuss the importance of providing opportunities for student choice and autonomy in instructional strategies.</t>
  </si>
  <si>
    <t>Explore strategies for incorporating storytelling and narrative techniques to make lessons more engaging and memorable.</t>
  </si>
  <si>
    <t>Share your experiences with implementing flipped classroom approaches to optimize in-class learning time.</t>
  </si>
  <si>
    <t>Discuss the impact of incorporating visual aids, multimedia, and educational technology tools in instructional strategies.</t>
  </si>
  <si>
    <t>Explore ways to integrate authentic, real-world problems and scenarios into instructional strategies.</t>
  </si>
  <si>
    <t>Share your insights on using concept mapping or mind mapping to facilitate understanding and organization of information.</t>
  </si>
  <si>
    <t>Discuss the role of cooperative learning structures, such as jigsaw or peer tutoring, in promoting student collaboration.</t>
  </si>
  <si>
    <t>Explore strategies for incorporating reflection and metacognition in instructional strategies to enhance learning outcomes.</t>
  </si>
  <si>
    <t>Share your experiences with implementing guided practice and gradual release of responsibility in instructional strategies.</t>
  </si>
  <si>
    <t>Discuss the importance of providing timely and constructive feedback to students to support their learning process.</t>
  </si>
  <si>
    <t>Share your insights on using technology tools for virtual simulations or virtual field trips to enhance instructional strategies.</t>
  </si>
  <si>
    <t>Discuss the impact of incorporating culturally responsive teaching approaches in instructional strategies.</t>
  </si>
  <si>
    <t>Explore strategies for integrating inquiry-based science experiments or hands-on math manipulatives in instruction.</t>
  </si>
  <si>
    <t>Share your experiences with using mnemonics or memory techniques to support retention and recall of information.</t>
  </si>
  <si>
    <t>Discuss the role of metacognitive strategies and self-assessment in promoting student ownership of learning.</t>
  </si>
  <si>
    <t>Explore ways to incorporate cooperative learning structures, such as think-pair-share or jigsaw, to foster collaboration among students.</t>
  </si>
  <si>
    <t>Share your insights on using guided reading or guided math groups to differentiate instruction based on students' abilities.</t>
  </si>
  <si>
    <t>Discuss the importance of providing clear learning objectives and success criteria to guide instructional strategies.</t>
  </si>
  <si>
    <t>Explore strategies for incorporating technology tools for formative assessment and data-driven instruction.</t>
  </si>
  <si>
    <t>Share your experiences with implementing the gradual release of responsibility model (I do, we do, you do) in instructional strategies.</t>
  </si>
  <si>
    <t>Discuss the impact of incorporating games and gamified elements in instructional strategies to increase student engagement.</t>
  </si>
  <si>
    <t>Explore ways to integrate inquiry-based learning approaches in social studies or humanities instruction.</t>
  </si>
  <si>
    <t>Share your insights on using reciprocal teaching or peer-led discussions to enhance comprehension and critical thinking skills.</t>
  </si>
  <si>
    <t>Discuss the role of modeling and think-alouds in guiding students' understanding and mastery of concepts.</t>
  </si>
  <si>
    <t>Explore strategies for incorporating problem-solving tasks or challenges in instructional strategies.</t>
  </si>
  <si>
    <t>Share your experiences with using role-play or simulations to make lessons more interactive and immersive.</t>
  </si>
  <si>
    <t>Explore strategies for integrating peer teaching and peer tutoring in collaborative group work to enhance learning outcomes.</t>
  </si>
  <si>
    <t>Discuss the role of teacher facilitation in guiding and supporting effective group work, balancing autonomy and guidance.</t>
  </si>
  <si>
    <t>Share your insights on using graphic organizers or collaborative digital tools to visually organize ideas and facilitate group work.</t>
  </si>
  <si>
    <t>Explore ways to provide opportunities for student-led discussions and decision-making in collaborative learning settings.</t>
  </si>
  <si>
    <t>Discuss the importance of fostering a growth mindset in students to promote resilience and a willingness to take risks in group work.</t>
  </si>
  <si>
    <t>Share your experiences with using case studies or simulations as collaborative learning experiences that mirror real-world scenarios.</t>
  </si>
  <si>
    <t>Explore strategies for incorporating reflection and metacognitive activities after collaborative projects to deepen student understanding.</t>
  </si>
  <si>
    <t>Discuss the impact of incorporating peer assessment and self-assessment in evaluating individual and group contributions in collaborative work.</t>
  </si>
  <si>
    <t>Share your insights on using structured protocols, such as the Socratic seminar or fishbowl discussion, to promote deep inquiry and dialogue in collaborative settings.</t>
  </si>
  <si>
    <t>Explore ways to scaffold collaborative skills through gradual release of responsibility, starting with teacher-led collaboration and gradually shifting to student-led initiatives.</t>
  </si>
  <si>
    <t>Discuss the role of goal-setting and progress monitoring in collaborative projects to ensure accountability and task completion.</t>
  </si>
  <si>
    <t>Share your experiences with using multimedia presentations or digital storytelling as collaborative platforms for group projects.</t>
  </si>
  <si>
    <t>Explore strategies for creating opportunities for cross-grade or cross-class collaboration to foster peer mentorship and learning.</t>
  </si>
  <si>
    <t>Discuss the importance of incorporating reflection and celebration activities at the end of collaborative projects to acknowledge student achievements and growth.</t>
  </si>
  <si>
    <t>Share your insights on using project management tools or online platforms to facilitate task management and collaboration in group work.</t>
  </si>
  <si>
    <t>Explore ways to foster a sense of collective ownership and responsibility in group projects, promoting collaboration and shared success.</t>
  </si>
  <si>
    <t>Discuss the impact of incorporating authentic audience and public presentations in collaborative projects to enhance motivation and accountability.</t>
  </si>
  <si>
    <t>Share your experiences with using structured protocols, such as gallery walks or peer critiques, to promote peer-to-peer feedback and reflection.</t>
  </si>
  <si>
    <t>Explore strategies for integrating technology tools, such as collaborative documents or virtual whiteboards, to facilitate simultaneous online collaboration.</t>
  </si>
  <si>
    <t>Discuss the role of collaborative problem-solving activities in developing critical thinking and communication skills in students.</t>
  </si>
  <si>
    <t>Share your insights on using structured debriefing sessions after collaborative projects to promote reflection and learning from shared experiences.</t>
  </si>
  <si>
    <t>Explore ways to promote equitable participation and ensure all voices are heard in collaborative group work.</t>
  </si>
  <si>
    <t>Discuss the importance of explicitly teaching collaboration skills, such as negotiation and compromise, to support productive group dynamics.</t>
  </si>
  <si>
    <t>Share your experiences with using group contracts or rubrics to clarify expectations and assess individual and group performance in collaborative work.</t>
  </si>
  <si>
    <t>Explore strategies for incorporating peer mentoring and peer coaching in collaborative learning, allowing students to support and guide one another.</t>
  </si>
  <si>
    <t>Discuss the impact of using role-playing or simulations to immerse students in collaborative scenarios and develop empathy and teamwork skills.</t>
  </si>
  <si>
    <t>Share your insights on using visible thinking routines, such as See-Think-Wonder or Circle of Viewpoints, to promote deeper understanding and perspective-taking in collaborative work.</t>
  </si>
  <si>
    <t>Explore ways to provide opportunities for students to take ownership of their learning in collaborative projects, fostering autonomy and self-direction.</t>
  </si>
  <si>
    <t>Discuss the benefits of outdoor and experiential learning in promoting student engagement and deepening understanding.</t>
  </si>
  <si>
    <t>Share your experiences with using nature walks or field trips to connect classroom learning with real-world experiences.</t>
  </si>
  <si>
    <t>Explore ways to incorporate hands-on experiments and investigations in outdoor environments to foster curiosity and scientific inquiry.</t>
  </si>
  <si>
    <t>Discuss the role of outdoor and environmental education in promoting ecological literacy and sustainable practices.</t>
  </si>
  <si>
    <t>Share your insights on using outdoor learning spaces, such as gardens or nature reserves, to create immersive learning experiences.</t>
  </si>
  <si>
    <t>Explore strategies for integrating technology tools, such as data collection apps or augmented reality, into outdoor and experiential learning activities.</t>
  </si>
  <si>
    <t>Discuss the importance of promoting risk-taking and resilience in outdoor learning experiences to foster personal growth and development.</t>
  </si>
  <si>
    <t>Share your experiences with using outdoor team-building activities to develop collaboration and problem-solving skills among students.</t>
  </si>
  <si>
    <t>Explore ways to incorporate art and creative expression in outdoor learning, such as nature-inspired artwork or outdoor performances.</t>
  </si>
  <si>
    <t>Discuss the impact of incorporating reflection and journaling activities in outdoor learning to deepen student connections with nature.</t>
  </si>
  <si>
    <t>Share your insights on using outdoor learning to promote cultural awareness and understanding of diverse communities and environments.</t>
  </si>
  <si>
    <t>Explore strategies for incorporating mindfulness and reflection exercises in outdoor settings to enhance student well-being and self-awareness.</t>
  </si>
  <si>
    <t>Discuss the role of community partnerships and local resources in enriching outdoor learning experiences for students.</t>
  </si>
  <si>
    <t>Share your experiences with using place-based education approaches to connect students with the natural and cultural heritage of their local area.</t>
  </si>
  <si>
    <t>Explore ways to integrate interdisciplinary learning in outdoor experiences, allowing students to make connections across subjects.</t>
  </si>
  <si>
    <t>Discuss the importance of safety protocols and risk management strategies in outdoor and experiential learning settings.</t>
  </si>
  <si>
    <t>Share your insights on using outdoor challenges or obstacle courses to promote problem-solving and perseverance among students.</t>
  </si>
  <si>
    <t>Explore strategies for incorporating citizen science projects in outdoor learning, empowering students to contribute to scientific research.</t>
  </si>
  <si>
    <t>Discuss the impact of outdoor learning on students' physical health and well-being, including the benefits of physical activity and fresh air.</t>
  </si>
  <si>
    <t>Share your experiences with using outdoor learning to foster environmental stewardship and a sense of responsibility towards the natural world.</t>
  </si>
  <si>
    <t>Explore ways to incorporate storytelling and narrative-based activities in outdoor learning to enhance engagement and comprehension.</t>
  </si>
  <si>
    <t>Discuss the role of outdoor adventure and exploration in developing resilience, self-confidence, and leadership skills among students.</t>
  </si>
  <si>
    <t>Share your insights on using reflective discussions and group debriefing sessions to help students make connections between outdoor experiences and academic concepts.</t>
  </si>
  <si>
    <t>Explore strategies for integrating local indigenous knowledge and cultural practices in outdoor learning, honoring and respecting diverse perspectives.</t>
  </si>
  <si>
    <t>Discuss the importance of fostering a sense of wonder and curiosity in outdoor learning experiences to stimulate inquiry and exploration.</t>
  </si>
  <si>
    <t>Share your experiences with using outdoor sensory activities to engage students' senses and deepen their understanding of the natural world.</t>
  </si>
  <si>
    <t>Explore ways to incorporate digital storytelling or multimedia projects to document and share outdoor learning experiences.</t>
  </si>
  <si>
    <t>Discuss the impact of outdoor learning on students' mental health and well-being, including the benefits of connecting with nature and reducing stress.</t>
  </si>
  <si>
    <t>Share your insights on using nature-inspired poetry or creative writing activities to cultivate students' appreciation for the environment.</t>
  </si>
  <si>
    <t>Explore strategies for incorporating environmental service-learning projects in outdoor settings, empowering students to make a positive impact in their communities.</t>
  </si>
  <si>
    <t>Discuss the role of reflection and goal-setting in outdoor learning experiences to promote personal growth and self-directed learning.</t>
  </si>
  <si>
    <t>Share your experiences with using outdoor experiments or field observations to develop critical thinking and scientific inquiry skills.</t>
  </si>
  <si>
    <t>Explore ways to incorporate technology tools, such as geocaching or GPS mapping, to enhance outdoor learning experiences.</t>
  </si>
  <si>
    <t>Discuss the importance of inclusive practices in outdoor learning, ensuring accessibility and accommodation for students with diverse abilities and needs.</t>
  </si>
  <si>
    <t>Share your insights on using outdoor learning to foster global citizenship and a sense of responsibility towards the global environment.</t>
  </si>
  <si>
    <t>Explore strategies for incorporating outdoor learning in urban or indoor settings, adapting activities to the available resources.</t>
  </si>
  <si>
    <t>Discuss the impact of outdoor learning on students' social skills and interpersonal relationships, including teamwork and communication.</t>
  </si>
  <si>
    <t>Share your experiences with using storytelling or oral traditions from local cultures to connect students with the natural world.</t>
  </si>
  <si>
    <t>Explore ways to incorporate reflection and metacognitive activities after outdoor experiences to deepen student understanding and connections.</t>
  </si>
  <si>
    <t>Discuss the role of outdoor learning in promoting healthy lifestyles and physical activity habits among students.</t>
  </si>
  <si>
    <t>Share your insights on using outdoor learning to promote sustainability education and encourage students to be environmentally conscious.</t>
  </si>
  <si>
    <t>Explore strategies for incorporating inquiry-based learning approaches in outdoor experiences, fostering a spirit of curiosity and exploration.</t>
  </si>
  <si>
    <t>Discuss the importance of fostering a sense of awe and reverence for the natural world in outdoor learning experiences.</t>
  </si>
  <si>
    <t>Share your experiences with using outdoor simulations or role-playing activities to engage students in authentic learning experiences.</t>
  </si>
  <si>
    <t>Explore ways to connect outdoor learning with local environmental issues and encourage students to take action for positive change.</t>
  </si>
  <si>
    <t>Discuss the impact of outdoor learning on students' academic achievement and motivation to learn.</t>
  </si>
  <si>
    <t>Share your insights on using outdoor learning to promote digital citizenship and responsible use of technology in natural environments.</t>
  </si>
  <si>
    <t>Explore strategies for incorporating community-based research projects in outdoor learning, empowering students to investigate real-world issues.</t>
  </si>
  <si>
    <t>Discuss the role of outdoor learning in promoting cultural competence and understanding of diverse perspectives.</t>
  </si>
  <si>
    <t>Share your experiences with using reflective journals or portfolios to document and showcase students' outdoor learning journeys.</t>
  </si>
  <si>
    <t>Discuss the importance of incorporating mindfulness and social-emotional learning in the classroom.</t>
  </si>
  <si>
    <t>Share your experiences with implementing mindfulness techniques to support students' emotional well-being.</t>
  </si>
  <si>
    <t>Explore strategies for teaching students self-awareness and self-regulation through mindfulness practices.</t>
  </si>
  <si>
    <t>Discuss the benefits of mindfulness in promoting a positive classroom climate and reducing stress and anxiety.</t>
  </si>
  <si>
    <t>Share your insights on integrating mindfulness activities with social-emotional learning to enhance students' emotional intelligence.</t>
  </si>
  <si>
    <t>Explore ways to incorporate mindful breathing exercises to help students manage their emotions and increase focus.</t>
  </si>
  <si>
    <t>Discuss the role of mindfulness in cultivating empathy and fostering a sense of compassion among students.</t>
  </si>
  <si>
    <t>Share your experiences with using mindfulness techniques to support students' attention and concentration in the classroom.</t>
  </si>
  <si>
    <t>Explore strategies for incorporating gratitude practices to promote a positive and appreciative mindset among students.</t>
  </si>
  <si>
    <t>Discuss the impact of mindfulness on students' social skills and their ability to build positive relationships with peers.</t>
  </si>
  <si>
    <t>Share your insights on using mindfulness activities to promote conflict resolution and peaceful problem-solving in the classroom.</t>
  </si>
  <si>
    <t>Explore ways to integrate mindfulness into academic subjects to enhance students' learning experiences.</t>
  </si>
  <si>
    <t>Discuss the importance of teacher self-care and mindfulness practices in promoting a positive classroom environment.</t>
  </si>
  <si>
    <t>Share your experiences with using mindfulness exercises to support students' resilience and coping skills.</t>
  </si>
  <si>
    <t>Explore strategies for incorporating mindfulness-based movement activities, such as yoga or tai chi, to enhance students' mind-body connection.</t>
  </si>
  <si>
    <t>Discuss the role of mindfulness in promoting emotional regulation and reducing behavioral challenges in the classroom.</t>
  </si>
  <si>
    <t>Share your insights on using mindfulness techniques to support students' decision-making and impulse control.</t>
  </si>
  <si>
    <t>Explore ways to incorporate mindfulness into daily classroom routines and transitions to promote a calm and focused learning environment.</t>
  </si>
  <si>
    <t>Discuss the benefits of mindfulness in promoting students' self-confidence and positive self-image.</t>
  </si>
  <si>
    <t>Share your experiences with using mindfulness practices to support students' stress management during exams or high-pressure situations.</t>
  </si>
  <si>
    <t>Explore strategies for incorporating mindfulness-based activities in virtual or online learning environments.</t>
  </si>
  <si>
    <t>Discuss the role of mindfulness in promoting a growth mindset and cultivating students' perseverance and resilience.</t>
  </si>
  <si>
    <t>Podcast Success</t>
  </si>
  <si>
    <t>How to write scripts that cater to different podcast formats, such as solo shows, interviews, or narrative storytelling?</t>
  </si>
  <si>
    <t>What are the strategies for adapting your podcast script for different episodes lengths, from mini-episodes to longer-form content?</t>
  </si>
  <si>
    <t>Howto create a strong opening hook that immediately captures your listeners' attention in your podcast script?</t>
  </si>
  <si>
    <t>What are the techniques for using sensory language to create vivid imagery and engage your listeners in your podcast script?</t>
  </si>
  <si>
    <t>How to effectively incorporate testimonials or real-life stories into your podcast script to add credibility and relatability?</t>
  </si>
  <si>
    <t>What are the strategies for incorporating interactive elements, such as quizzes or challenges, into your podcast script to engage your audience?</t>
  </si>
  <si>
    <t>How to write compelling and informative podcast scripts for educational or instructional content?</t>
  </si>
  <si>
    <t>What are the techniques for creating suspense and building anticipation for upcoming episodes or series in your podcast script?</t>
  </si>
  <si>
    <t>How to effectively use storytelling elements, such as character development or plot progression, in your podcast script?</t>
  </si>
  <si>
    <t>What are the strategies for incorporating guest introductions and establishing their expertise in your podcast script?</t>
  </si>
  <si>
    <t>How to effectively use metaphors, analogies, or examples to simplify complex concepts and enhance listener understanding in your podcast script?</t>
  </si>
  <si>
    <t>What are the techniques for incorporating humor and lightheartedness into your podcast script without compromising the core message or content?</t>
  </si>
  <si>
    <t>How to effectively use testimonials or personal anecdotes from listeners to add authenticity and connection to your podcast script?</t>
  </si>
  <si>
    <t>What are the strategies for creating engaging and informative podcast scripts for educational interviews with experts or thought leaders?</t>
  </si>
  <si>
    <t>How to write clear and concise podcast scripts that deliver information and insights efficiently to your listeners?</t>
  </si>
  <si>
    <t>What are the techniques for creating cliffhangers or suspenseful moments within your podcast script to keep your audience engaged and eagerly awaiting the next episode?</t>
  </si>
  <si>
    <t>How to effectively address listener feedback, questions, or comments within your podcast script to foster a sense of community and interactivity?</t>
  </si>
  <si>
    <t>What are the strategies for adapting your podcast script for different platforms or distribution channels, such as YouTube or social media snippets?</t>
  </si>
  <si>
    <t>How to write podcast scripts that elicit emotional responses from your listeners, such as empathy, inspiration, or nostalgia?</t>
  </si>
  <si>
    <t>What are the techniques for creating powerful and memorable storytelling arcs within your podcast script?</t>
  </si>
  <si>
    <t>How to effectively use transitions, segues, or segment markers in your podcast script to guide your listeners through different parts of the episode?</t>
  </si>
  <si>
    <t>What are the strategies for creating conversational and engaging dialogue between co-hosts or multiple participants in your podcast script?</t>
  </si>
  <si>
    <t>How to write podcast scripts that incorporate actionable tips or steps for listeners to implement in their own lives or businesses?</t>
  </si>
  <si>
    <t>What are the techniques for crafting compelling narratives or case studies within your podcast script to illustrate concepts or theories?</t>
  </si>
  <si>
    <t>How to effectively use quotes, excerpts, or references from books, articles, or other media sources to enrich your podcast script?</t>
  </si>
  <si>
    <t>What are the strategies for incorporating personal reflections or insights into your podcast script to create a deeper connection with your audience?</t>
  </si>
  <si>
    <t>How to write podcast scripts that cater to different audience preferences, such as providing both high-level overviews and detailed explanations?</t>
  </si>
  <si>
    <t>What are the techniques for creating memorable and impactful metaphors or analogies in your podcast script to enhance understanding and engagement?</t>
  </si>
  <si>
    <t>How to effectively use repetition or callbacks to reinforce key points or themes within your podcast script?</t>
  </si>
  <si>
    <t>What are the strategies for incorporating storytelling techniques, such as foreshadowing, plot twists, or character development, into non-fiction podcast scripts to captivate your audience?</t>
  </si>
  <si>
    <t>How to choose the most suitable content format for your podcast?</t>
  </si>
  <si>
    <t>What are the key elements of creating compelling podcast episodes that resonate with your target audience?</t>
  </si>
  <si>
    <t>How to structure your podcast episodes to maintain a coherent and engaging flow of content?</t>
  </si>
  <si>
    <t>What are effective techniques for incorporating storytelling into your podcast episodes?</t>
  </si>
  <si>
    <t>How to choose the optimal episode length for your podcast to keep your listeners engaged?</t>
  </si>
  <si>
    <t>What are the strategies for creating a consistent theme or focus for your podcast episodes?</t>
  </si>
  <si>
    <t>How to brainstorm and generate fresh content ideas for your podcast on an ongoing basis?</t>
  </si>
  <si>
    <t>What are the techniques for conducting thorough research to provide accurate and valuable information in your podcast episodes?</t>
  </si>
  <si>
    <t>How to effectively plan and outline your podcast episodes to ensure a logical progression of ideas?</t>
  </si>
  <si>
    <t>What are the best practices for opening and closing segments within your podcast episodes?</t>
  </si>
  <si>
    <t>How to create compelling episode titles that capture the attention of your target audience?</t>
  </si>
  <si>
    <t>What are the strategies for incorporating interviews, guest features, or co-hosted episodes into your podcast format?</t>
  </si>
  <si>
    <t>How to experiment with different episode structures or formats to keep your podcast content engaging and fresh?</t>
  </si>
  <si>
    <t>What are effective techniques for creating podcast episodes that cater to different learning styles or preferences?</t>
  </si>
  <si>
    <t>How to use audience feedback and listener suggestions to shape the content and format of your podcast episodes?</t>
  </si>
  <si>
    <t>What are the techniques for incorporating audience participation, such as Q&amp;A segments or listener-submitted content, into your podcast format?</t>
  </si>
  <si>
    <t>How to effectively use episodes' intros and outros to set the tone and create a consistent branding experience for your podcast?</t>
  </si>
  <si>
    <t>What are the strategies for creating mini-series or themed episodes to provide a deep dive into specific topics within your podcast?</t>
  </si>
  <si>
    <t>How to balance scripted content with spontaneous discussions or improvisation in your podcast episodes?</t>
  </si>
  <si>
    <t>What are the techniques for creating a cohesive narrative or overarching story arc across multiple episodes of your podcast?</t>
  </si>
  <si>
    <t>How to create episodes with actionable takeaways or practical tips that provide value to your listeners?</t>
  </si>
  <si>
    <t>What are the strategies for incorporating audience stories, testimonials, or listener call-ins into your podcast format?</t>
  </si>
  <si>
    <t>How to leverage current events or trending topics to create timely and relevant podcast episodes?</t>
  </si>
  <si>
    <t>What are the techniques for creating compelling and attention-grabbing podcast intros that hook your listeners from the start?</t>
  </si>
  <si>
    <t>How to create podcast episodes that cater to different levels of expertise or knowledge within your target audience?</t>
  </si>
  <si>
    <t>What are the strategies for incorporating humor or entertainment value into your podcast format without sacrificing educational or informative content?</t>
  </si>
  <si>
    <t>How to effectively use music, sound effects, or ambient sounds to enhance the overall listening experience of your podcast episodes?</t>
  </si>
  <si>
    <t>What are the techniques for creating podcast episodes that encourage listener engagement and interaction, such as through contests or listener challenges?</t>
  </si>
  <si>
    <t>How to incorporate recurring segments or features within your podcast format to create consistency and familiarity for your audience?</t>
  </si>
  <si>
    <t>What are the strategies for repurposing and reformatting existing content to create bonus episodes or additional podcast offerings?</t>
  </si>
  <si>
    <t>How to create podcast episodes that tell personal stories or share vulnerable experiences to foster connection with your listeners?</t>
  </si>
  <si>
    <t>What are the techniques for creating podcast episodes that educate, inspire, and motivate your audience to take action in their own lives?</t>
  </si>
  <si>
    <t>How to create podcast episodes that address common pain points or challenges within your target audience and provide practical solutions?</t>
  </si>
  <si>
    <t>What are the strategies for adapting your podcast format to accommodate different guest types, such as experts, industry leaders, or everyday individuals?</t>
  </si>
  <si>
    <t>How to effectively use episode show notes or accompanying resources to enhance the educational value of your podcast episodes?</t>
  </si>
  <si>
    <t>What are the techniques for creating podcast episodes that offerstep-by-step tutorials or instructional content to guide your listeners through a specific process or skill?</t>
  </si>
  <si>
    <t>How to create podcast episodes that share personal insights, lessons learned, or reflections to inspire and connect with your audience?</t>
  </si>
  <si>
    <t>What are the strategies for incorporating relevant and compelling examples or case studies into your podcast episodes to illustrate key concepts?</t>
  </si>
  <si>
    <t>How to create podcast episodes that address controversial or thought-provoking topics while maintaining a respectful and inclusive discussion?</t>
  </si>
  <si>
    <t>What are the techniques for creating podcast episodes that feature success stories, interviews, or profiles of individuals who have achieved remarkable results in a specific area?</t>
  </si>
  <si>
    <t>How to create podcast episodes that encourage collaboration and partnership within your industry or niche, such as through guest co-hosting or joint episodes?</t>
  </si>
  <si>
    <t>What are the strategies for creating podcast episodes that explore emerging trends, innovations, or future predictions within your field or industry?</t>
  </si>
  <si>
    <t>How to effectively use storytelling techniques, such as narrative arcs or character development, within your podcast episodes to engage and captivate your listeners?</t>
  </si>
  <si>
    <t>What are the techniques for creating podcast episodes that offer expert advice, tips, or strategies to help your audience overcome challenges or achieve their goals?</t>
  </si>
  <si>
    <t>How to create podcast episodes that feature behind-the-scenes insights, anecdotes, or bloopers to provide a more intimate and relatable experience for your listeners?</t>
  </si>
  <si>
    <t>What are the strategies for incorporating interactive elements, such as polls, quizzes, or listener-submitted questions, into your podcast episodes to foster engagement?</t>
  </si>
  <si>
    <t>How to create podcast episodes that explore diverse perspectives, experiences, or voices to promote inclusivity and broaden your audience reach?</t>
  </si>
  <si>
    <t>What are the techniques for creating podcast episodes that address frequently asked questions or common misconceptions within your industry or niche?</t>
  </si>
  <si>
    <t>How to effectively use open-ended questions or discussion prompts within your podcast episodes to encourage listener participation and dialogue?</t>
  </si>
  <si>
    <t>What are the strategies for creating podcast episodes that offer in-depth analysis, research findings, or expert insights on a specific topic of interest to your audience?</t>
  </si>
  <si>
    <t>How to create podcast episodes that provide recommendations, reviews, or curated lists of resources, products, or services that align with your niche or audience interests?</t>
  </si>
  <si>
    <t>What are the techniques for creating podcast episodes that share personal anecdotes, experiences, or lessons learned to establish authenticity and connection with your listeners?</t>
  </si>
  <si>
    <t>How to effectively use storytelling elements, such as suspense, conflict, or resolution, within your podcast episodes to create a compelling narrative arc?</t>
  </si>
  <si>
    <t>What are the strategies for creating podcast episodes that highlight success stories or case studies of individuals or businesses that have achieved remarkable results using specific strategies or techniques?</t>
  </si>
  <si>
    <t>How to create podcast episodes that offer practical tips, techniques, or exercises for personal growth, self-improvement, or well-being within your niche or industry?</t>
  </si>
  <si>
    <t>What are the techniques for creating podcast episodes that feature in-depth interviews with industry thought leaders, experts, or influencers to provide valuable insights to your listeners?</t>
  </si>
  <si>
    <t>How to effectively use real-time examples, current news events, or relevant anecdotes within your podcast episodes to make your content timely and relatable to your audience?</t>
  </si>
  <si>
    <t>What are the strategies for creating podcast episodes that celebrate milestones, anniversaries, or special occasions within your podcast's journey or niche?</t>
  </si>
  <si>
    <t>How to create podcast episodes that encourage creativity, inspiration, or innovation by featuring interviews, stories, or discussions related to art, design, or creative fields?</t>
  </si>
  <si>
    <t>What are the techniques for creating podcast episodes that foster connection and community by featuring listener stories, testimonials, or listener-submitted content?</t>
  </si>
  <si>
    <t>How to effectively use episode teasers or previews to generate anticipation and interest for upcoming podcast episodes or series?</t>
  </si>
  <si>
    <t>What are the strategies for creating podcast episodes that challenge assumptions, provoke critical thinking, or spark meaningful conversations within your niche or industry?</t>
  </si>
  <si>
    <t>How to create podcast episodes that offer step-by-step guides or tutorials for specific skills, techniques, or processes within your field or niche?</t>
  </si>
  <si>
    <t>What are the techniques for creating podcast episodes that feature in-depth explorations or analyses of books, films, or other media relevant to your audience?</t>
  </si>
  <si>
    <t>How to effectively use interviews, panel discussions, or roundtable conversations to provide diverse perspectives and insights in your podcast episodes?</t>
  </si>
  <si>
    <t>What are the strategies for creating podcast episodes that share personal stories of overcoming adversity, resilience, or personal growth to inspire your listeners?</t>
  </si>
  <si>
    <t>How to create podcast episodes that provide practical advice, strategies, or resources for career development, entrepreneurship, or professional growth within your industry?</t>
  </si>
  <si>
    <t>What are the techniques for creating podcast episodes that showcase or promote other podcasts, content creators, or thought leaders within your niche or industry?</t>
  </si>
  <si>
    <t>How to effectively use season breaks, hiatuses, or special episodes to create anticipation and maintain engagement with your audience?</t>
  </si>
  <si>
    <t>What are the strategies for creating podcast episodes that address timely or relevant societal or cultural issues, promoting awareness, empathy, or positive change?</t>
  </si>
  <si>
    <t>What are the key elements of conducting a successful podcast interview?</t>
  </si>
  <si>
    <t>How to prepare for a podcast interview and research your guest thoroughly?</t>
  </si>
  <si>
    <t>What are effective techniques for creating a comfortable and engaging atmosphere for your podcast interviewees?</t>
  </si>
  <si>
    <t>How to craft compelling and thought-provoking interview questions that elicit insightful responses?</t>
  </si>
  <si>
    <t>What are the strategies for actively listening and engaging with your interviewee during the podcast interview?</t>
  </si>
  <si>
    <t>How to navigate challenging or sensitive topics during a podcast interview with grace and respect?</t>
  </si>
  <si>
    <t>What are the techniques for building rapport and establishing a connection with your podcast interviewees?</t>
  </si>
  <si>
    <t>How to incorporate storytelling elements within your podcast interviews to captivate your audience?</t>
  </si>
  <si>
    <t>What are the strategies for conducting remote podcast interviews and maintaining audio quality and connection?</t>
  </si>
  <si>
    <t>How to adapt your interviewing style to suit different types of guests, such as experts, celebrities, or everyday individuals?</t>
  </si>
  <si>
    <t>What are effective techniques for conducting in-depth and comprehensive podcast interviews that provide valuable insights to your audience?</t>
  </si>
  <si>
    <t>How to create a balance between structured interview questions and spontaneous follow-up questions during your podcast interviews?</t>
  </si>
  <si>
    <t>What are the strategies for conducting engaging and dynamic conversations with your podcast interviewees?</t>
  </si>
  <si>
    <t>How to handle interruptions, tangents, or digressions during a podcast interview and steer the conversation back on track?</t>
  </si>
  <si>
    <t>What are the techniques for creating a conversational flow and natural rhythm in your podcast interviews?</t>
  </si>
  <si>
    <t>How to use open-ended questions to encourage detailed and thoughtful responses from your podcast interviewees?</t>
  </si>
  <si>
    <t>What are the strategies for creating a safe and supportive environment for your podcast interviewees to share their stories or experiences?</t>
  </si>
  <si>
    <t>How to effectively manage time and ensure a well-paced podcast interview within the designated episode duration?</t>
  </si>
  <si>
    <t>What are the techniques for incorporating audience-submitted questions or live call-ins during your podcast interviews?</t>
  </si>
  <si>
    <t>How to use active listening techniques, such as mirroring, paraphrasing, or clarifying, to demonstrate attentiveness during your podcast interviews?</t>
  </si>
  <si>
    <t>What are the strategies for adapting your interview style to accommodate different personalities or communication styles of your podcast interviewees?</t>
  </si>
  <si>
    <t>How to craft interview questions that evoke emotion, vulnerability, or personal insights from your podcast interviewees?</t>
  </si>
  <si>
    <t>What are the techniques for conducting podcast interviews that provide actionable advice, tips, or strategies for your audience?</t>
  </si>
  <si>
    <t>How to handle disagreements or differing opinions during a podcast interview and foster respectful and constructive dialogue?</t>
  </si>
  <si>
    <t>What are the strategies for conducting podcast interviews that uncover unique stories, perspectives, or insights from your guests?</t>
  </si>
  <si>
    <t>How to effectively conclude a podcast interview and leave a lasting impression on your podcast interviewees and audience?</t>
  </si>
  <si>
    <t>What are the techniques for incorporating storytelling techniques, such as anecdotes or narrative arcs, within your podcast interviews?</t>
  </si>
  <si>
    <t>How to create interview questions that inspire introspection, reflection, or personal growth in your podcast interviewees?</t>
  </si>
  <si>
    <t>What are the strategies for conducting podcast interviews with multiple guests or panel discussions to provide diverse perspectives on a topic?</t>
  </si>
  <si>
    <t>How to handle nervous or inexperienced podcast interviewees and create a supportive and encouraging environment for them?</t>
  </si>
  <si>
    <t>What are the techniques for conducting podcast interviews that uncover hidden gems, lesser-known facts, or surprising revelations from your guests?</t>
  </si>
  <si>
    <t>How to effectively use silence or pauses during a podcast interview to allow your guest to gather their thoughts or provide additional insights?</t>
  </si>
  <si>
    <t>What are the strategies for conducting podcast interviews that educate and inform your audience on complex or technical subjects?</t>
  </si>
  <si>
    <t>How to create a compelling narrative arc or story progression within a podcast interview to engage your listeners?</t>
  </si>
  <si>
    <t>What are the techniques for incorporating humor or light-hearted moments into your podcast interviews to create a relaxed and enjoyable atmosphere36. How to navigate interviewees who may be guarded or reluctant to share certain information during a podcast interview?</t>
  </si>
  <si>
    <t>What are the strategies for conducting podcast interviews that explore personal transformations, journeys, or lessons learned?</t>
  </si>
  <si>
    <t>How to adapt your interview style and tone based on the genre or theme of your podcast and the expectations of your audience?</t>
  </si>
  <si>
    <t>What are the techniques for conducting podcast interviews with experts in a way that extracts their specialized knowledge and insights?</t>
  </si>
  <si>
    <t>How to handle interruptions, technical difficulties, or unexpected challenges during a live podcast interview?</t>
  </si>
  <si>
    <t>What are the strategies for conducting podcast interviews that inspire actionable change or motivate listeners to pursue new endeavors?</t>
  </si>
  <si>
    <t>How to craft interview questions that encourage your podcast interviewees to share practical tips, strategies, or resources with your audience?</t>
  </si>
  <si>
    <t>What are the techniques for conducting podcast interviews that provide an insider's perspective or behind-the-scenes insights within a specific industry or field?</t>
  </si>
  <si>
    <t>How to adapt your interviewing techniques for podcasts that focus on personal stories, experiences, or journeys of your interviewees?</t>
  </si>
  <si>
    <t>What are the strategies for conducting podcast interviews with influential or well-known individuals, ensuring a balance between familiarity and curiosity?</t>
  </si>
  <si>
    <t>How to incorporate audience engagement during a podcast interview, such as through live chats, social media interactions, or listener-submitted questions?</t>
  </si>
  <si>
    <t>What are the techniques for conducting podcast interviews that shed light on social issues, activism, or meaningful causes?</t>
  </si>
  <si>
    <t>How to gracefully transition between different topics or segments during a podcast interview, maintaining a cohesive flow of the conversation?</t>
  </si>
  <si>
    <t>What are the strategies for conducting podcast interviews that explore the intersection of different disciplines, industries, or perspectives?</t>
  </si>
  <si>
    <t>How to create interview questions that tap into the unique expertise, experiences, or perspectives of your podcast interviewees?</t>
  </si>
  <si>
    <t>What are the techniques for conducting podcast interviews that delve into personal motivations, inspirations, or defining moments of your interviewees?</t>
  </si>
  <si>
    <t>How to handle emotional or sensitive topics during a podcast interview, ensuring empathy, respect, and a safe space for your guest?</t>
  </si>
  <si>
    <t>What are the strategies for conducting podcast interviews that showcase success stories, achievements, or innovative approaches within a specific field?</t>
  </si>
  <si>
    <t>How to adapt your interview techniques for podcasts that aim to inspire, uplift, or provide moments of positivity for your audience?</t>
  </si>
  <si>
    <t>What are the techniques for conducting podcast interviews with individuals from different cultural backgrounds, ensuring cultural sensitivity and inclusivity?</t>
  </si>
  <si>
    <t>How to create interview questions that encourage your podcast interviewees to share practical advice or lessons they have learned from their own experiences?</t>
  </si>
  <si>
    <t>What are the strategies for conducting podcast interviews that focus on exploring creativity, innovation, or out-of-the-box thinking within a specific industry or niche?</t>
  </si>
  <si>
    <t>How to foster a collaborative atmosphere during a podcast interview, encouraging a dialogue rather than a one-sided conversation?</t>
  </si>
  <si>
    <t>What are the techniques for conducting podcast interviews that challenge assumptions, provoke critical thinking, or encourage reflection within your audience?</t>
  </si>
  <si>
    <t>How to adapt your interview style for podcasts that aim to educate, inform, or provide in-depth knowledge on a specific subject or field?</t>
  </si>
  <si>
    <t>What are the strategies for conducting podcast interviews that celebrate diversity, inclusivity, and underrepresented voices within your industry or niche?</t>
  </si>
  <si>
    <t>How to create interview questions that evoke personal anecdotes, funny moments, or entertaining stories from your podcast interviewees?</t>
  </si>
  <si>
    <t>What are the techniques for conducting podcast interviews that explore emerging trends, future predictions, or disruptors within a specific industry or field?</t>
  </si>
  <si>
    <t>How to balance between preparation and spontaneity during a podcast interview, allowing room for unexpected insights or organic conversations to unfold?</t>
  </si>
  <si>
    <t>What are the strategies for conducting podcast interviews with individuals who have overcome challenges, setbacks, or adversity, sharing their inspiring stories with your audience?</t>
  </si>
  <si>
    <t>How to adapt your interview techniques forpodcasts that aim to provide a platform for marginalized voices, underrepresented communities, or social justice issues?</t>
  </si>
  <si>
    <t>What are the techniques for conducting podcast interviews that delve into the creative process, inspiration, or artistic journeys of your interviewees?</t>
  </si>
  <si>
    <t>How to create interview questions that encourage your podcast interviewees to share their visions, dreams, or aspirations for the future?</t>
  </si>
  <si>
    <t>What are the strategies for conducting podcast interviews that explore the intersection of personal well-being, self-care, or mindfulness within your niche or industry?</t>
  </si>
  <si>
    <t>How to adapt your interview style for podcasts that focus on exploring the impact of technology, innovation, or digital transformation within a specific field or industry?</t>
  </si>
  <si>
    <t>What are the key elements of a successful podcast growth strategy?</t>
  </si>
  <si>
    <t>How to define and understand your target audience to tailor your podcast content and marketing efforts?</t>
  </si>
  <si>
    <t>What are effective techniques for optimizing your podcast title, description, and keywords to improve discoverability?</t>
  </si>
  <si>
    <t>How to leverage social media platforms to promote your podcast and engage with your audience?</t>
  </si>
  <si>
    <t>What are the strategies for collaborating with other podcasters or influencers to expand your podcast's reach?</t>
  </si>
  <si>
    <t>How to encourage and incentivize your listeners to leave reviews and ratings on podcast platforms?</t>
  </si>
  <si>
    <t>What are the techniques for creating compelling podcast trailers or teaser episodes to attract new listeners?</t>
  </si>
  <si>
    <t>How to effectively use email marketing to grow your podcast audience and engage with your subscribers?</t>
  </si>
  <si>
    <t>What are the strategies for leveraging guest appearances on other podcasts to increase your podcast's visibility?</t>
  </si>
  <si>
    <t>How to optimize your podcast website for search engines and enhance your online presence?</t>
  </si>
  <si>
    <t>What are the techniques for promoting your podcast through guest blogging or contributing to industry publications?</t>
  </si>
  <si>
    <t>How to create engaging and shareable podcast graphics or audiograms for social media promotion?</t>
  </si>
  <si>
    <t>What are the strategies for leveraging podcast directories and platforms to reach new audiences?</t>
  </si>
  <si>
    <t>How to build an engaged community around your podcast through forums, social media groups, or online communities?</t>
  </si>
  <si>
    <t>What are the techniques for using paid advertising, such as Facebook ads or Google AdWords, to promote your podcast?</t>
  </si>
  <si>
    <t>How to collaborate with industry experts or thought leaders to feature them as guests on your podcast and tap into their existing audience?</t>
  </si>
  <si>
    <t>What are the strategies for cross-promoting your podcast on other media channels, such as YouTube, blogs, or newsletters?</t>
  </si>
  <si>
    <t>How to leverage your existing network and relationships to gain exposure and grow your podcast audience?</t>
  </si>
  <si>
    <t>What are the techniques for using search engine optimization (SEO) strategies to improve your podcast's visibility in search results?</t>
  </si>
  <si>
    <t>How to incorporate listener feedback and suggestions to continually improve and refine your podcast content?</t>
  </si>
  <si>
    <t>What are the strategies for participating in relevant industry events, conferences, or panels to increase your podcast's visibility?</t>
  </si>
  <si>
    <t>How to create compelling and shareable social media content related to your podcast episodes to expand your reach?</t>
  </si>
  <si>
    <t>What are the techniques for leveraging influencer partnerships or brand collaborations to promote your podcast?</t>
  </si>
  <si>
    <t>How to guest on popular YouTube channels or participate in video interviews to reach new audiences?</t>
  </si>
  <si>
    <t>What are the strategies for utilizing podcast networks or aggregators to gain exposure and attract new listeners?</t>
  </si>
  <si>
    <t>How to engage with your audience through live streaming platforms, such as Twitch or Instagram Live, to foster connection and loyalty?</t>
  </si>
  <si>
    <t>What are the techniques for creating engaging and interactive podcast episodes that encourage listener participation and sharing?</t>
  </si>
  <si>
    <t>How to leverage user-generated content, such as testimonials or fan art, to promote your podcast and engage your audience?</t>
  </si>
  <si>
    <t>What are the strategies for optimizing your podcast's presence on social audio platforms, such as Clubhouse or Twitter Spaces?</t>
  </si>
  <si>
    <t>How to implement referral or affiliate programs to incentivize your existing listeners to promote your podcast to others?</t>
  </si>
  <si>
    <t>What are the techniques for using influencer marketing strategies to amplify your podcast's reach and attract new listeners?</t>
  </si>
  <si>
    <t>How to strategically guest on podcasts that target similar audiences to expand your reach and tap into their listener base?</t>
  </si>
  <si>
    <t>What are the strategies for leveraging PR opportunities, such as press releases or media coverage, to increase your podcast's visibility?</t>
  </si>
  <si>
    <t>How to create strategic partnerships or sponsorships with relevant brands or companies to grow your podcast audience?</t>
  </si>
  <si>
    <t>What are the techniques for utilizing YouTube or video platforms to repurpose and promote your podcast episodes visually?</t>
  </si>
  <si>
    <t>How to leverage email newsletters or collaborations with popularnewsletters to reach new audiences and promote your podcast?</t>
  </si>
  <si>
    <t>What are the strategies for utilizing podcast directories and platforms to gain exposure and attract new listeners?</t>
  </si>
  <si>
    <t>What are the techniques for leveraging social media platforms to build a community around your podcast and engage with your listeners?</t>
  </si>
  <si>
    <t>How to optimize your podcast's website for search engines and enhance its discoverability?</t>
  </si>
  <si>
    <t>What are the strategies for collaborating with other podcasters or influencers to cross-promote and expand your audience?</t>
  </si>
  <si>
    <t>How to encourage listeners to leave reviews and ratings on podcast platforms to increase your podcast's visibility?</t>
  </si>
  <si>
    <t>What are the techniques for creating compelling podcast trailers or teaser episodes that attract new listeners?</t>
  </si>
  <si>
    <t>How to effectively use email marketing to grow your podcast's audience and engage with your subscribers?</t>
  </si>
  <si>
    <t>What are the strategies for leveraging guest appearances on other podcasts to increase your podcast's reach?</t>
  </si>
  <si>
    <t>How to use storytelling and compelling narratives to captivate and retain your podcast audience?</t>
  </si>
  <si>
    <t>What are the techniques for leveraging listener feedback and engagement to improve your podcast and foster loyalty?</t>
  </si>
  <si>
    <t>How to collaborate with industry experts or thought leaders for interviews to attract their followers to your podcast?</t>
  </si>
  <si>
    <t>What are the strategies for promoting your podcast through targeted online advertising to reach new listeners?</t>
  </si>
  <si>
    <t>How to leverage social media influencers to promote and endorse your podcast to their followers?</t>
  </si>
  <si>
    <t>What are the techniques for optimizing your podcast's metadata, including titles and descriptions, for improved discoverability?</t>
  </si>
  <si>
    <t>How to engage with your audience through live events, Q&amp;A sessions, or AMA (Ask Me Anything) episodes?</t>
  </si>
  <si>
    <t>What are the strategies for utilizing YouTube or video platforms to repurpose and promote your podcast episodes visually?</t>
  </si>
  <si>
    <t>How to create shareable social media content related to your podcast episodes to expand your reach?</t>
  </si>
  <si>
    <t>What are the techniques for utilizing search engine optimization (SEO) strategies to improve your podcast's visibility in search results?</t>
  </si>
  <si>
    <t>How to leverage partnerships with complementary brands or businesses to reach new audiences and promote your podcast?</t>
  </si>
  <si>
    <t>What are the strategies for participating in relevant industry conferences, events, or panels to increase your podcast's exposure?</t>
  </si>
  <si>
    <t>How to use cross-promotion with other podcasters to expand your listener base and increase your podcast's reach?</t>
  </si>
  <si>
    <t>What are the techniques for engaging with your audience through interactive elements, such as polls, surveys, or listener-submitted questions?</t>
  </si>
  <si>
    <t>How to leverage your personal network and connections to gain exposure and attract new listeners to your podcast?</t>
  </si>
  <si>
    <t>What are the strategies for creating valuable and informative podcast episodes that encourage word-of-mouth recommendations?</t>
  </si>
  <si>
    <t>How to utilize social media advertising platforms, such as Facebook Ads or Instagram Ads, to promote your podcast to targeted audiences?</t>
  </si>
  <si>
    <t>What are the techniques for utilizing online communities, forums, or groups to engage with potential listeners and promote your podcast?</t>
  </si>
  <si>
    <t>How to leverage guest blogging opportunities to reach new audiences and drive traffic to your podcast episodes?</t>
  </si>
  <si>
    <t>What are the strategies for optimizing your podcast's presence on podcast platforms, directories, and aggregators to increase discoverability?</t>
  </si>
  <si>
    <t>How to use live streaming platforms, such as Twitch or YouTube Live, to interact with your audience and attract new listeners to your podcast?</t>
  </si>
  <si>
    <t>What are the techniques for creating compelling podcast episodes that provide unique insights, expertise, or value to your target audience?</t>
  </si>
  <si>
    <t>How to engage with your listeners through email newsletters, providing exclusive content, updates, or bonus episodes?</t>
  </si>
  <si>
    <t>What are the strategies for utilizing SEO techniques to rank higher in search engine results for relevant keywords related to your podcast?</t>
  </si>
  <si>
    <t>How to collaborate with influencers or experts in your niche for co-branded content or cross-promotion to expand your podcast's reach.</t>
  </si>
  <si>
    <t>What are the key steps involved in the podcast editing and post-production process?</t>
  </si>
  <si>
    <t>How to choose the right software or tools for editing and enhancing your podcast audio?</t>
  </si>
  <si>
    <t>What are effective techniques for removing background noise and improving the overall audio quality in your podcast episodes?</t>
  </si>
  <si>
    <t>How to edit and tighten the pacing of your podcast episodes for a more engaging listening experience?</t>
  </si>
  <si>
    <t>What are the strategies for incorporating music, sound effects, or jingles into your podcast episodes to enhance the storytelling and atmosphere?</t>
  </si>
  <si>
    <t>How to effectively edit interview-style podcasts to remove ums, ahs, and other verbal fillers without compromising the flow of the conversation?</t>
  </si>
  <si>
    <t>What are the techniques for adjusting the volume levels and equalization of different audio tracks within your podcast episodes?</t>
  </si>
  <si>
    <t>How to seamlessly edit out mistakes, pauses, or technical glitches in your podcast recordings for a polished final product?</t>
  </si>
  <si>
    <t>What are the strategies for adding intros, outros, or sponsor mentions to your podcast episodes during the editing process?</t>
  </si>
  <si>
    <t>How to create smooth transitions between different segments, interviews, or topics within your podcast episodes?</t>
  </si>
  <si>
    <t>What are the techniques for balancing the audio levels of multiple speakers or participants in a podcast episode?</t>
  </si>
  <si>
    <t>How to edit and structure your podcast episodes for optimal storytelling and narrative flow?</t>
  </si>
  <si>
    <t>What are the strategies for removing or reducing distractions, such as mouth clicks or breathing sounds, from your podcast recordings?</t>
  </si>
  <si>
    <t>How to creatively use editing techniques, such as crossfades or audio layering, to enhance the overall production value of your podcast episodes?</t>
  </si>
  <si>
    <t>What are the techniques for incorporating dynamic range compression and audio normalization to ensure consistent audio levels throughout your podcast episodes?</t>
  </si>
  <si>
    <t>How to edit and fine-tune the timing of comedic elements, punchlines, or humorous interactions within your podcast episodes?</t>
  </si>
  <si>
    <t>What are the strategies for adding episode-specific show notes, timestamps, or chapter markers to enhance the listener experience?</t>
  </si>
  <si>
    <t>How to efficiently edit out tangents, irrelevant discussions, or repetitive content while maintaining the integrity of the episode's main topic or theme?</t>
  </si>
  <si>
    <t>What are the techniques for incorporating listener voicemails, audio feedback, or call-ins into your podcast episodes during the editing process?</t>
  </si>
  <si>
    <t>How to edit and integrate pre-recorded advertisements, sponsor messages, or promotional spots into your podcast episodes?</t>
  </si>
  <si>
    <t>What are the strategies for enhancing the clarity and intelligibility of podcast episodes through equalization, de-essing, or audio restoration techniques?</t>
  </si>
  <si>
    <t>How to effectively edit and format podcast episodes for compliance with industry standards, such as loudness normalization or content restrictions?</t>
  </si>
  <si>
    <t>What are the techniques for seamlessly editing together multiple takes or segments to create a cohesive and smooth-flowing podcast episode?</t>
  </si>
  <si>
    <t>How to edit and enhance remote podcast interviews, ensuring clear audio quality and minimizing technical limitations or delays?</t>
  </si>
  <si>
    <t>What are the strategies for adding additional audio elements, such as ambient sounds or field recordings, to create a more immersive listening experience?</t>
  </si>
  <si>
    <t>How to edit and optimize your podcast episodes for different audio formats or platforms, such as stereo, mono, or binaural audio?</t>
  </si>
  <si>
    <t>What are the techniques for removing or reducing mouth noises, plosives, or sibilance from your podcast recordings during the editing process?</t>
  </si>
  <si>
    <t>How to seamlessly edit and blend together different audio sources, such as interviews, narration, or pre-recorded segments, for a cohesive episode?</t>
  </si>
  <si>
    <t>What are the strategies for editing and refining the pacing and timing of comedic podcasts to maximize comedic impact and timing?</t>
  </si>
  <si>
    <t>How to edit and integrate audience engagement elements, such as listener questions or comments, into your podcast episodes?</t>
  </si>
  <si>
    <t>What are the techniques for seamlessly editing out confidential orsensitive information shared during podcast recordings, ensuring privacy and consent?</t>
  </si>
  <si>
    <t>How to efficiently edit and condense longer podcast recordings or interviews into concise and engaging episodes?</t>
  </si>
  <si>
    <t>What are the strategies for incorporating sound design elements, such as Foley effects or background ambience, to enhance the storytelling and atmosphere of your podcast episodes?</t>
  </si>
  <si>
    <t>How to edit and optimize your podcast episodes for different platforms or distribution channels, such as Spotify, Apple Podcasts, or YouTube?</t>
  </si>
  <si>
    <t>What are the techniques for seamlessly editing out technical issues, such as audio glitches or interruptions, to create a smooth and professional final product?</t>
  </si>
  <si>
    <t>How to edit and enhance podcast episodes with dynamic audio processing techniques, such as stereo imaging or spatial effects?</t>
  </si>
  <si>
    <t>What are the techniques for utilizing podcast launch partnerships with complementary brands, products, or services to cross-promote and expand your reach?</t>
  </si>
  <si>
    <t>How to create strategic partnerships with podcast networks, media outlets, or online communities to gain exposure and generate buzz around your podcast launch?</t>
  </si>
  <si>
    <t>What are the strategies for incorporating listener-generated content, such as questions, stories, or testimonials, into your podcast launch materials to showcase community engagement and anticipation?</t>
  </si>
  <si>
    <t>How to optimize your podcast's website or landing page for conversions, ensuring a clear call-to-action to subscribe or join your launch email list?</t>
  </si>
  <si>
    <t>What are the techniques for creating engaging and informative launch-focused episodes or series that provide a taste of the valuable content listeners can expect from your podcast?</t>
  </si>
  <si>
    <t>How to effectively use storytelling and emotional narratives in your podcast launch marketing to connect with potential listeners and create a memorable launch experience?</t>
  </si>
  <si>
    <t>What are the strategies for hosting exclusive pre-launch events, webinars, or live sessions to provide valuable insights or behind-the-scenes peeks to your launch audience?</t>
  </si>
  <si>
    <t>How to leverage PR opportunities, such as press releases, media interviews, or guest blogging, to generate buzz and media coverage for your podcast launch?</t>
  </si>
  <si>
    <t>What are the techniques for utilizing influencer takeovers or guest appearances on popular social media accounts to promote your podcast launch to their followers?</t>
  </si>
  <si>
    <t>How to engage with your audience through targeted email campaigns, providing sneak peeks, bonus content, or exclusive offers leading up to your podcast launch?</t>
  </si>
  <si>
    <t>What are the strategies for utilizing cross-promotion with complementary podcasts or content creators to generate excitement and anticipation for your podcast launch?</t>
  </si>
  <si>
    <t>How to create engaging and shareable launch-focused social media campaigns, utilizing hashtags, contests, or interactive posts to encourage engagement and shares?</t>
  </si>
  <si>
    <t>What are the techniques for incorporating behind-the-scenes content, bloopers, or sneak peeks into your podcast launch marketing to create a sense of authenticity and connection?</t>
  </si>
  <si>
    <t>How to engage with your audience through live audio platforms, such as Clubhouse or Twitter Spaces, hosting discussions or Q&amp;A sessions focused on your podcast launch?</t>
  </si>
  <si>
    <t>What are the strategies for utilizing targeted outreach to relevant industry publications, blogs, or newsletters to secure coverage and generate interest in your podcast launch?</t>
  </si>
  <si>
    <t>How to leverage your personal network, including friends, family, colleagues, and industry connections, to amplify your podcast launch through word-of-mouth recommendations and support?</t>
  </si>
  <si>
    <t>What are the techniques for creating compelling launch-focused social media content, such as videos, images, or quotes, to captivate and attract potential listeners?</t>
  </si>
  <si>
    <t>How to engage with your audience through interactive elements, such as polls, surveys, or listener-submitted questions, leading up to your podcast launch?</t>
  </si>
  <si>
    <t>What are the strategies for utilizing strategic partnerships with other podcasters or industry influencers to participate in joint launch campaigns or promotional efforts?</t>
  </si>
  <si>
    <t>How to create buzz and generate excitement through limited-time offers, early access privileges, or exclusive content for subscribers or launch-day listeners?</t>
  </si>
  <si>
    <t>What are the techniques for incorporating launch-focusedstorytelling, such as sharing the journey, inspiration, or challenges behind your podcast, to create a connection with your audience and build anticipation for your launch?</t>
  </si>
  <si>
    <t>How to leverage your existing content or expertise, such as blog posts, videos, or webinars, to create anticipation and generate interest in your upcoming podcast launch?</t>
  </si>
  <si>
    <t>What are the strategies for utilizing testimonials or endorsements from industry experts, influencers, or satisfied listeners to build credibility and generate excitement for your podcast launch?</t>
  </si>
  <si>
    <t>How to create engaging launch-focused email sequences, providing valuable insights, behind-the-scenes peeks, or bonus content to your launch email list?</t>
  </si>
  <si>
    <t>What are the techniques for leveraging community engagement, such as hosting contests, challenges, or listener-submitted content, to generate buzz and promote your podcast launch?</t>
  </si>
  <si>
    <t>How to optimize your podcast's presence on social audio platforms, such as Clubhouse or Twitter Spaces, to engage with potential listeners and promote your upcoming launch?</t>
  </si>
  <si>
    <t>What are the strategies for utilizing storytelling elements, such as teaser episodes, cliffhangers, or intriguing episode descriptions, to create curiosity and anticipation for your podcast launch?</t>
  </si>
  <si>
    <t>How to engage with potential listeners through live streaming platforms, such as Twitch or Instagram Live, hosting Q&amp;A sessions, AMA (Ask Me Anything) episodes, or exclusive launch events?</t>
  </si>
  <si>
    <t>What are the techniques for creating launch-focused collaborations or partnerships with relevant brands, influencers, or organizations to generate excitement and expand your reach?</t>
  </si>
  <si>
    <t>How to create a compelling launch announcement or press kit, including key details, quotes, and images, to share with media outlets, podcast directories, and potential collaborators?</t>
  </si>
  <si>
    <t>What are the strategies for leveraging your existing platform or audience, such as a blog, YouTube channel, or social media following, to promote your podcast launch and attract new listeners?</t>
  </si>
  <si>
    <t>How to utilize strategic guest appearances on other podcasts, media outlets, or industry events to share insights about your upcoming podcast launch and generate interest?</t>
  </si>
  <si>
    <t>What are the techniques for incorporating countdowns, sneak peeks, or exclusive previews into your podcast launch marketing to create a sense of anticipation and exclusivity?</t>
  </si>
  <si>
    <t>How to engage with your audience through personalized outreach, such as direct messages, emails, or voice notes, to create a personal connection and generate excitement for your podcast launch?</t>
  </si>
  <si>
    <t>What are the strategies for utilizing influencer partnerships or brand collaborations to create launch-focused sponsored content or endorsements for your podcast?</t>
  </si>
  <si>
    <t>How to organize and host a virtual launch party or live event, inviting your audience, industry peers, and influencers to celebrate the release of your podcast and generate buzz.</t>
  </si>
  <si>
    <t>What are the fundamentals of SEO (Search Engine Optimization) and how can they be applied to podcasts?</t>
  </si>
  <si>
    <t>How to optimize your podcast titles and descriptions for search engines to increase discoverability?</t>
  </si>
  <si>
    <t>What are the best practices for keyword research in the context of podcasting and SEO?</t>
  </si>
  <si>
    <t>How to incorporate relevant keywords naturally into your podcast episodes to improve search engine rankings?</t>
  </si>
  <si>
    <t>What are effective techniques for optimizing podcast episode titles and descriptions for maximum SEO impact?</t>
  </si>
  <si>
    <t>How to structure your podcast website or landing page to enhance its SEO performance and increase organic traffic?</t>
  </si>
  <si>
    <t>What are the strategies for utilizing meta tags, such as meta titles and meta descriptions, to improve your podcast's SEO?</t>
  </si>
  <si>
    <t>How to leverage podcast show notes and transcriptions to enhance SEO and improve search engine rankings?</t>
  </si>
  <si>
    <t>What are the techniques for optimizing podcast episode URLs and permalinks for better search engine visibility?</t>
  </si>
  <si>
    <t>How to effectively use internal linking within your podcast episodes and website to improve SEO and user navigation?</t>
  </si>
  <si>
    <t>What are the strategies for optimizing podcast audio files, such as file naming, metadata, and tagging, for improved SEO?</t>
  </si>
  <si>
    <t>How to optimize podcast images, such as episode cover art and website graphics, for better SEO and visual search results?</t>
  </si>
  <si>
    <t>What are the techniques for using schema markup and structured data to enhance your podcast's visibility in search engine results?</t>
  </si>
  <si>
    <t>How to optimize your podcast's RSS feed for better indexing and discovery by search engines?</t>
  </si>
  <si>
    <t>What are the strategies for utilizing XML sitemaps to improve search engine crawling and indexing of your podcast episodes?</t>
  </si>
  <si>
    <t>How to incorporate long-tail keywords and phrases into your podcast content to target specific search queries and attract relevant listeners?</t>
  </si>
  <si>
    <t>What are the techniques for optimizing your podcast's social media profiles, such as podcast directories and platforms, for better search engine visibility?</t>
  </si>
  <si>
    <t>How to effectively use external linking and backlinks to improve your podcast's SEO authority and search engine rankings?</t>
  </si>
  <si>
    <t>What are the strategies for leveraging user-generated content, such as listener reviews and testimonials, to enhance your podcast's SEO and credibility?</t>
  </si>
  <si>
    <t>How to optimize podcast episode durations and timestamps for improved search engine visibility and user engagement?</t>
  </si>
  <si>
    <t>What are the techniques for using SEO-friendly URLs and permalink structures for your podcast episodes and website pages?</t>
  </si>
  <si>
    <t>How to conduct competitor analysis and keyword research to identify opportunities for SEO optimization within your podcast niche?</t>
  </si>
  <si>
    <t>What are the strategies for optimizing your podcast's mobile compatibility and responsiveness for better search engine rankings?</t>
  </si>
  <si>
    <t>How to create high-quality and engaging podcast content that aligns with SEO best practices and attracts organic search traffic?</t>
  </si>
  <si>
    <t>What are the techniques for utilizing social signals, such as shares, likes, and comments, to improve your podcast's SEO performance?</t>
  </si>
  <si>
    <t>How to optimize podcast episode descriptions and show notes for featured snippets and rich search results in search engines?</t>
  </si>
  <si>
    <t>What are the strategies for utilizing guest interviews and collaborations to enhance your podcast's SEO and increase organic search visibility?</t>
  </si>
  <si>
    <t>How to effectively use anchor text optimization within your podcast episodes and website to improve SEO and user navigation?</t>
  </si>
  <si>
    <t>What are the techniques for utilizing local SEO strategies, such as location-based keywords and listings, to attract geographically targeted podcast listeners?</t>
  </si>
  <si>
    <t>How to leverage podcast guest appearances on other shows to enhance your podcast's SEO and generate relevant backlinks?</t>
  </si>
  <si>
    <t>What are the strategies for utilizing social bookmarking and content sharing platforms to improve your podcast's SEO and reach?</t>
  </si>
  <si>
    <t>How to optimize podcast episode metadata, including titles, descriptions, and tags, for improved SEO and discoverability?</t>
  </si>
  <si>
    <t>What are the techniques for conducting SEO audits and keyword tracking for your podcast to monitor and improve its search engine performance?</t>
  </si>
  <si>
    <t>How to effectively use Google Analytics and other SEO tools to analyze and measure the performance of your podcast in search engine results?</t>
  </si>
  <si>
    <t>What are the strategies for optimizing your podcast's presence on Google Podcasts, Apple Podcasts, and other major podcast directories for improved SEO?</t>
  </si>
  <si>
    <t>How to incorporate SEO-friendly headlines and subheadings within your podcast episodes to improve readability and search engine visibility?</t>
  </si>
  <si>
    <t>What are the techniques for leveraging user engagement signals, such as podcast episode ratings, comments, and subscriptions, to enhance your podcast's SEO?</t>
  </si>
  <si>
    <t>How to optimize your podcast's social media posts and captions with relevant keywords and hashtags to increase search visibility?</t>
  </si>
  <si>
    <t>What are the strategies for utilizing guest blogging and content partnerships to enhance your podcast's SEO through authoritative backlinks?</t>
  </si>
  <si>
    <t>How to optimize podcast episode formats, such as Q&amp;A sessions, listicles, or tutorials, to align with user search intent and improve SEO performance?</t>
  </si>
  <si>
    <t>What are the techniques for optimizing podcast episode length and frequency to improve SEO and user engagement?</t>
  </si>
  <si>
    <t>How to leverage topic clusters and content pillars within your podcast to create a comprehensive SEO strategy and improve search engine rankings?</t>
  </si>
  <si>
    <t>What are the strategies for incorporating relevant and valuable external resources, such as blog posts or research papers, into your podcast episodes to enhance SEO?</t>
  </si>
  <si>
    <t>How to optimize your podcast's loading speed and performance to improve user experience and search engine rankings?</t>
  </si>
  <si>
    <t>What are the techniques for utilizing influencer outreach and collaborations to generate high-quality backlinks and improve your podcast's SEO?</t>
  </si>
  <si>
    <t>How to conduct on-page SEO optimization for your podcast's website, including meta titles, meta descriptions, header tags, and keyword placement?</t>
  </si>
  <si>
    <t>What are the strategies for incorporating SEO-friendly content formatting, such as bullet points, subheadings, and multimedia elements, into your podcast episodes?</t>
  </si>
  <si>
    <t>How to leverage user-generated questions and listener feedback to create SEO-optimized podcast episodes that directly address audience queries?</t>
  </si>
  <si>
    <t>What are the techniques for utilizing podcast episode repurposing, such as transcribing episodes into blog posts or creating video content, to enhance SEO and reach new audiences?</t>
  </si>
  <si>
    <t>How to optimize podcast episode promotion through email marketing, utilizing targeted keywords and optimized email subject lines for improved SEO?</t>
  </si>
  <si>
    <t>What are the strategies for utilizing local business directories, Google My Business, and other location-based platforms to enhance your podcast's local SEO presence?</t>
  </si>
  <si>
    <t>How to effectively use cross-linking and internal navigation within your podcast episodes and website to improve SEO and user engagement?</t>
  </si>
  <si>
    <t>What are the techniques for optimizing podcast episode tags, categories, and topic labels to enhance search engine visibility and organization?</t>
  </si>
  <si>
    <t>How to leverage social proof, such as podcast reviews and ratings, to enhance your podcast's SEO and attract new listeners through social validation?</t>
  </si>
  <si>
    <t>What are the strategies for utilizing press releases and media outreach to generate SEO-friendly coverage and backlinks for your podcast?</t>
  </si>
  <si>
    <t>How to optimize podcast episode promotion through social media advertising, utilizing targeted keywords and audience segmentation for improved SEO impact?</t>
  </si>
  <si>
    <t>What are the techniques for optimizing podcast episode promotion through influencer marketing, collaborating with influencers who can generate relevant backlinks and social signals?</t>
  </si>
  <si>
    <t>How to leverage industry-specific directories and platforms to enhance your podcast's SEO and increase its visibility within your niche?</t>
  </si>
  <si>
    <t>What are the strategies for utilizing YouTube and video platforms to repurpose podcast content and enhance your podcast's SEO through video search results?</t>
  </si>
  <si>
    <t>How to optimize your podcast's RSS feed and XML structure to improve its indexing and visibility in podcast directories and search engines?</t>
  </si>
  <si>
    <t>What are the techniques for utilizing podcast episode promotion through online communities, forums, and discussion platforms to generate backlinks and engage with targeted audiences?</t>
  </si>
  <si>
    <t>How to leverage SEO-friendly content promotion strategies, such as guest blogging, influencer collaborations, and content syndication, to improve your podcast's search engine visibility and attract new listeners?</t>
  </si>
  <si>
    <t>What are the strategies for utilizing local SEO tactics, such as optimizing your podcast for location-based keywords and targeting local search intent, to attract geographically targeted listeners?</t>
  </si>
  <si>
    <t>How to optimize podcast episode transcripts for search engine visibility and accessibility, ensuring accurate keyword usage and formatting?</t>
  </si>
  <si>
    <t>What are the techniques for leveraging user-generated content, such as listener-submitted questions or comments, to enhance your podcast's SEO and engage with your audience?</t>
  </si>
  <si>
    <t>How to conduct keyword gap analysis and competitor research to identify untapped SEO opportunities for your podcast?</t>
  </si>
  <si>
    <t>What are the strategies for utilizing influencer outreach and partnerships to amplify your podcast's SEO efforts through guest appearances, endorsements, or collaborative content?</t>
  </si>
  <si>
    <t>How to optimize your podcast's website or landing page for mobile SEO, ensuring fast loading times, responsive design, and mobile-friendly user experience?</t>
  </si>
  <si>
    <t>What are the techniques for incorporating audio SEO tactics, such as optimizing podcast episode metadata and using relevant audio transcripts, to improve search engine rankings?</t>
  </si>
  <si>
    <t>How to monitor and measure the effectiveness of your podcast's SEO efforts through analytics tools, keyword tracking, and SEO performance indicators?</t>
  </si>
  <si>
    <t>What are the essential podcast equipment and tools needed to start a high-quality podcast?</t>
  </si>
  <si>
    <t>How to choose the right microphone for your podcasting needs based on your budget and recording environment?</t>
  </si>
  <si>
    <t>What are the strategies for setting up a professional podcast recording studio at home or in a dedicated space?</t>
  </si>
  <si>
    <t>How to optimize your podcast recording environment for optimal sound quality and minimize background noise?</t>
  </si>
  <si>
    <t>What are the techniques for selecting the best headphones for monitoring and editing your podcast episodes?</t>
  </si>
  <si>
    <t>How to choose the ideal audio interface for connecting microphones and other audio equipment to your computer or recording device?</t>
  </si>
  <si>
    <t>What are the strategies for selecting the appropriate microphone stands or boom arms for comfortable and convenient podcast recording?</t>
  </si>
  <si>
    <t>How to set up and configure audio recording software or digital audio workstations (DAWs) for capturing high-quality podcast episodes?</t>
  </si>
  <si>
    <t>What are the techniques for adjusting microphone settings, such as gain, polar patterns, and frequency response, for optimal audio recording?</t>
  </si>
  <si>
    <t>How to choose the right headphones for guests or co-hosts during podcast recordings to ensure clear communication and monitoring?</t>
  </si>
  <si>
    <t>What are the strategies for selecting and setting up a podcast mixer or audio interface to control audio levels and incorporate multiple microphones?</t>
  </si>
  <si>
    <t>How to optimize your podcast recording space acoustically with foam panels, diffusers, or bass traps to improve sound quality and reduce echo?</t>
  </si>
  <si>
    <t>What are the techniques for setting up pop filters or windscreens to minimize plosive sounds and improve the clarity of spoken words?</t>
  </si>
  <si>
    <t>How to choose and set up a podcast recording software or app for remote interviews and recordings with guests located in different locations?</t>
  </si>
  <si>
    <t>What are the strategies for selecting and setting up podcast recording accessories, such as shock mounts, reflection filters, or soundproofing curtains?</t>
  </si>
  <si>
    <t>How to optimize microphone placement and positioning for different podcast recording setups, such as solo, duo, or roundtable discussions?</t>
  </si>
  <si>
    <t>What are the techniques for managing and organizing podcast audio files and recordings to ensure easy access and efficient post-production workflows?</t>
  </si>
  <si>
    <t>How to set up and configure podcast recording equipment for optimal sound quality, including microphone preamps, audio interfaces, and headphone amplifiers?</t>
  </si>
  <si>
    <t>What are the strategies for selecting the best recording software or digital audio workstation (DAW) based on your podcasting needs and computer setup?</t>
  </si>
  <si>
    <t>How to choose and set up podcast recording equipment for on-the-go or remote recording, such as portable microphones and digital recorders?</t>
  </si>
  <si>
    <t>What are the techniques for creating backup and redundancy systems for podcast recordings to prevent data loss or technical failures?</t>
  </si>
  <si>
    <t>How to optimize recording settings, such as sample rate, bit depth, and file formats, for the best audio quality and compatibility with different platforms?</t>
  </si>
  <si>
    <t>What are the strategies for selecting and setting up podcast monitoring systems, such as studio monitors or headphones, for accurate audio playback and editing?</t>
  </si>
  <si>
    <t>How to choose and set up a podcasting desk or workstation that provides a comfortable and ergonomic setup for long recording sessions?</t>
  </si>
  <si>
    <t>What are the techniques for managing podcast recording levels and adjusting audio gain to prevent distortion and ensure balanced sound quality?</t>
  </si>
  <si>
    <t>How to optimize podcast recording settings for remote interviews or co-hosting using voice-over-IP (VoIP) software or communication platforms?</t>
  </si>
  <si>
    <t>What are the strategies for selecting and setting up podcast recording equipment for mobile podcasting, such as podcasting from events or remote locations?</t>
  </si>
  <si>
    <t>How to choose and set up a podcast recording space in a budget-friendly manner, utilizing DIY solutions and equipment alternatives?</t>
  </si>
  <si>
    <t>What are the techniques for selecting and setting up portable podcasting setups, such as handheld recorders or USB microphones, for on-the-go recording?</t>
  </si>
  <si>
    <t>How to optimize podcast recording settings for video podcasts, ensuring synchronization between audio and video elements for a seamless viewer experience?</t>
  </si>
  <si>
    <t>What are the strategies for selecting and setting up podcast recording accessories, such as microphone isolators or reflection filters, to reduce unwanted room reflections?</t>
  </si>
  <si>
    <t>How to choose and set up a podcast recording backup system, such as redundant hard drives or cloud storage, to protect your recordings from data loss?</t>
  </si>
  <si>
    <t>What are the techniques for setting up a podcast recording schedule and maintaining consistent audio quality across different episodes and recording sessions?</t>
  </si>
  <si>
    <t>How to optimize microphone technique and positioning for different podcast formats, such as interviews, solo episodes, or panel discussions?</t>
  </si>
  <si>
    <t>What are the strategies for selecting and setting up podcast recording software or apps with features such as multi-track recording and noise reduction capabilities?</t>
  </si>
  <si>
    <t>How to choose and set up podcast recording equipment for live podcasting or streaming, incorporating mixers, audio interfaces, and streaming platforms?</t>
  </si>
  <si>
    <t>What are the techniques for setting up a podcast recording space with proper ventilation and temperature control to prevent overheating and equipment damage?</t>
  </si>
  <si>
    <t>How to optimize podcast recording settings for remote collaborations, utilizing platforms such as Zencastr, SquadCast, or Cleanfeed for high-quality audio recordings?</t>
  </si>
  <si>
    <t>What are the strategies for selecting and setting up podcast recording equipment for multi-host shows, incorporating multiple microphones and headphone monitoring?</t>
  </si>
  <si>
    <t>How to choose and set up a podcast recording space in a noisy or acoustically challenging environment, utilizing soundproofing techniques and noise reduction tools?</t>
  </si>
  <si>
    <t>What are the techniques for setting up and calibrating monitor speakers or headphones for accurate audio playback and monitoring during podcast recording sessions?</t>
  </si>
  <si>
    <t>How to optimize podcast recording settings for dynamic range and audio processing, utilizing techniques such as compression, equalization, and noise gating?</t>
  </si>
  <si>
    <t>What are the strategies for selecting and setting up podcast recording equipment for field recording or outdoor podcasting, including portable recorders and microphones?</t>
  </si>
  <si>
    <t>How to choose and set up podcast recording equipment for co-hosted shows, considering factors such as microphone compatibility and audio routing configurations?</t>
  </si>
  <si>
    <t>What are the techniques for setting up a podcast recording space with proper lighting and aesthetics to create a visually appealing podcasting environment?</t>
  </si>
  <si>
    <t>How to optimize podcast recording settings for remote guest interviews, utilizing software features such as individual audio tracks and automatic level adjustments?</t>
  </si>
  <si>
    <t>What are the strategies for selecting and setting up podcast recording equipment for music-oriented podcasts, incorporating instruments, mixers, and MIDI controllers?</t>
  </si>
  <si>
    <t>How to choose and set up a podcast recording space with adequate cable management and organization to ensure a clean and clutter-free setup?</t>
  </si>
  <si>
    <t>What are the techniques for optimizing podcast recording settings for optimal signal-to-noise ratio and minimal audio artifacts during the recording process?</t>
  </si>
  <si>
    <t>How to set up and configure podcast recording equipment for live audience recordings, considering factors such as microphone placement and audience interaction?</t>
  </si>
  <si>
    <t>What are the strategies for selecting and setting up podcast recording equipment for narrative storytelling or audio drama podcasts, including studio-grade microphones and sound effects libraries?</t>
  </si>
  <si>
    <t>How to optimize podcast recording settings for remote co-hosts or guests, utilizing strategies such as noise reduction algorithms and latency compensation?</t>
  </si>
  <si>
    <t>What are the techniques for setting up a podcast recording space with proper ergonomics, considering factors such as chair height, desk position, and microphone reach?</t>
  </si>
  <si>
    <t>How to choose and set up a podcast recording equipment rack or storage solution for efficient organization and protection of your podcasting gear?</t>
  </si>
  <si>
    <t>What are the strategies for selecting and setting up podcast recording equipment for podcast networks or multi-show production setups, considering scalability and ease of use?</t>
  </si>
  <si>
    <t>How to optimize podcast recording settings for live performances or audience interaction, utilizing features such as crowd noise suppression and dynamic EQ adjustments?</t>
  </si>
  <si>
    <t>What are the techniquesfor setting up and optimizing podcast recording equipment for ASMR or meditation podcasts, focusing on sensitive and high-quality microphones and minimal background noise?</t>
  </si>
  <si>
    <t>How to choose and set up a podcast recording space with proper cable routing and management to minimize interference and ensure a tidy setup?</t>
  </si>
  <si>
    <t>What are the strategies for selecting and setting up podcast recording equipment for language learning or educational podcasts, incorporating clear and accurate audio reproduction?</t>
  </si>
  <si>
    <t>How to optimize podcast recording settings for remote podcast collaborations, utilizing techniques such as synchronized recording and real-time monitoring?</t>
  </si>
  <si>
    <t>How to choose and set up a podcast recording equipment for roundtable discussions or group interviews, considering microphone compatibility and audio mixing capabilities?</t>
  </si>
  <si>
    <t>What are the strategies for selecting and setting up podcast recording equipment for podcasts with live musical performances or studio sessions, including microphones and audio interfaces?</t>
  </si>
  <si>
    <t>How to optimize podcast recording settings for guest call-ins or remote interviews, utilizing software features such as noise reduction and echo cancellation?</t>
  </si>
  <si>
    <t>What are the techniques for setting up a podcast recording space with proper acoustics and sound treatment, utilizing diffusers, absorbers, and bass traps?</t>
  </si>
  <si>
    <t>How to choose and set up a podcast recording equipment for podcasts involving field reporting or interviews in outdoor environments, considering weather resistance and portability?</t>
  </si>
  <si>
    <t>What are the strategies for selecting and setting up podcast recording equipment for sports commentary or live event coverage, incorporating broadcast-grade microphones and audio mixers?</t>
  </si>
  <si>
    <t>How to optimize podcast recording settings for podcasts with multiple languages or multilingual segments, ensuring clear audio separation and balanced volume levels?</t>
  </si>
  <si>
    <t>What are the techniques for setting up a podcast recording space with proper electrical grounding and surge protection to safeguard your equipment and ensure a stable recording environment?</t>
  </si>
  <si>
    <t>How to choose and set up a podcast recording equipment for podcasts featuring musical performances, including microphones, audio interfaces, and audio processing tools?</t>
  </si>
  <si>
    <t>What are the key podcasting metrics and analytics you should track to measure the performance of your podcast?</t>
  </si>
  <si>
    <t>How to set up podcasting analytics tools, such as Google Analytics or podcast hosting platform analytics, to monitor and analyze your podcast's performance?</t>
  </si>
  <si>
    <t>What are the strategies for tracking podcast download numbers and audience growth over time?</t>
  </si>
  <si>
    <t>How to measure listener engagement and retention metrics, such as average listen duration and completion rates, to assess the effectiveness of your podcast content?</t>
  </si>
  <si>
    <t>What are the techniques for analyzing listener demographics and geographic data to understand your podcast's audience and tailor your content accordingly?</t>
  </si>
  <si>
    <t>How to track podcast episode popularity and listener preferences through metrics like downloads, plays, and episode rankings?</t>
  </si>
  <si>
    <t>What are the strategies for measuring podcast listener loyalty and repeat listens to evaluate the strength of your podcast's fanbase?</t>
  </si>
  <si>
    <t>How to analyze listener feedback, reviews, and ratings to gauge audience satisfaction and make improvements to your podcast?</t>
  </si>
  <si>
    <t>What are the techniques for tracking listener behavior, such as skip rates, drop-off points, and episode replay rates, to identify areas for content optimization?</t>
  </si>
  <si>
    <t>How to measure podcast referral sources, such as social media, search engines, or other websites, to understand how listeners discover your podcast?</t>
  </si>
  <si>
    <t>What are the strategies for tracking listener engagement on social media, such as shares, comments, and mentions, to assess the social impact and virality of your podcast episodes?</t>
  </si>
  <si>
    <t>How to analyze podcast listener demographics, including age, gender, interests, and occupation, to refine your target audience and create tailored content?</t>
  </si>
  <si>
    <t>What are the techniques for tracking podcast episode performance over time, comparing download trends, and identifying successful episodes or topics?</t>
  </si>
  <si>
    <t>How to measure podcast monetization metrics, such as ad impressions, click-through rates, or conversion rates, to evaluate the effectiveness of your advertising campaigns?</t>
  </si>
  <si>
    <t>What are the strategies for tracking listener feedback and sentiment analysis through social listening tools and monitoring online conversations about your podcast?</t>
  </si>
  <si>
    <t>How to analyze podcast listener behavior through heatmaps, click-through rates, or user flow analysis on your podcast website or landing page?</t>
  </si>
  <si>
    <t>What are the techniques for tracking podcast episode sharing and virality, such as social shares, email forwards, or episode embedding on other websites?</t>
  </si>
  <si>
    <t>How to measure podcast listener churn rate and identify reasons for listener attrition to implement strategies for audience retention and growth?</t>
  </si>
  <si>
    <t>What are the strategies for benchmarking your podcast's performance against industry standards and competitors to identify areas for improvement?</t>
  </si>
  <si>
    <t>How to analyze podcast audience engagement through interactive elements, such as polls, surveys, or call-to-action responses, to assess listener preferences and feedback?</t>
  </si>
  <si>
    <t>What are the techniques for tracking podcast episode downloads and plays across different platforms and podcast directories to understand audience distribution?</t>
  </si>
  <si>
    <t>How to measure podcast episode performance by analyzing listener engagement at specific time markers or segments within each episode?</t>
  </si>
  <si>
    <t>What are the strategies for tracking podcast episode conversion rates, such as newsletter sign-ups, product purchases, or event registrations, to assess the podcast's impact on business objectives?</t>
  </si>
  <si>
    <t>How to analyze podcast listener journey and behavior funnels, tracking the path from initial discovery to becoming a loyal subscriber or customer?</t>
  </si>
  <si>
    <t>What are the techniques for monitoring podcast episode ratings and reviews on podcast directories, aggregators, or social media platforms to gauge audience sentiment and perception?</t>
  </si>
  <si>
    <t>How to measure podcast episode transcript usage and search keyword popularity to understand listener interest in specific topics or segments?</t>
  </si>
  <si>
    <t>What are the strategies for tracking podcast audience feedback through direct communication channels, such as emails, comments, or voice messages?</t>
  </si>
  <si>
    <t>How to analyze podcast episode performance across different platforms and player apps to identify the most popular listening environments andoptimize your podcast's distribution strategy.</t>
  </si>
  <si>
    <t>What are the techniques for tracking podcast episode download trends and listener behavior during specific promotional campaigns or marketing initiatives?</t>
  </si>
  <si>
    <t>How to measure podcast episode conversion rates through unique URLs, promo codes, or custom landing pages to assess the impact of affiliate partnerships or sponsored content.</t>
  </si>
  <si>
    <t>What are the strategies for analyzing podcast listener demographics and psychographics to develop targeted marketing campaigns or sponsorship proposals.</t>
  </si>
  <si>
    <t>How to track podcast listener engagement and sentiment through sentiment analysis tools, sentiment surveys, or social media monitoring.</t>
  </si>
  <si>
    <t>What are the techniques for monitoring podcast listener interaction and engagement during live recordings, virtual events, or Q&amp;A sessions.</t>
  </si>
  <si>
    <t>How to measure podcast episode sharing and virality through referral links, social media shares, or word-of-mouth tracking.</t>
  </si>
  <si>
    <t>What are the strategies for tracking podcast episode performance across different devices and operating systems to optimize user experience.</t>
  </si>
  <si>
    <t>How to analyze podcast listener drop-off points and audience retention curves to identify potential areas for content improvement or format adjustments.</t>
  </si>
  <si>
    <t>What are the techniques for measuring podcast episode impact on website traffic, including referral sources, session duration, and page views.</t>
  </si>
  <si>
    <t>How to track podcast episode performance across different international markets to understand global audience reach and engagement.</t>
  </si>
  <si>
    <t>What are the strategies for monitoring podcast listener engagement on email newsletters, including open rates, click-through rates, and subscription growth.</t>
  </si>
  <si>
    <t>How to measure podcast episode impact on social media engagement, such as likes, comments, shares, and follower growth.</t>
  </si>
  <si>
    <t>What are the techniques for analyzing podcast listener engagement through user-generated content, such as fan art, fan fiction, or listener testimonials.</t>
  </si>
  <si>
    <t>How to track podcast episode performance within specific niche categories or subgenres to identify targeted audience segments.</t>
  </si>
  <si>
    <t>What are the strategies for measuring podcast episode impact on brand awareness and sentiment through surveys, brand mentions, or sentiment analysis.</t>
  </si>
  <si>
    <t>How to analyze podcast listener engagement through interactive features, such as live polls, quizzes, or interactive show notes.</t>
  </si>
  <si>
    <t>What are the techniques for tracking podcast episode performance based on different timeframes, such as daily, weekly, monthly, or seasonal trends.</t>
  </si>
  <si>
    <t>How to measure podcast episode impact on website conversions, such as newsletter sign-ups, lead generation, or product sales.</t>
  </si>
  <si>
    <t>What are the strategies for monitoring podcast listener engagement on community platforms, such as forums, Discord, or Facebook groups.</t>
  </si>
  <si>
    <t>How to analyze podcast episode performance based on listener behavior segments, such as new listeners, loyal subscribers, or dormant listeners.</t>
  </si>
  <si>
    <t>What are the techniques for tracking podcast listener engagement through contest participation, giveaways, or user-generated content submissions.</t>
  </si>
  <si>
    <t>How to measure podcast episode impact on audience sentiment and brand perception through sentiment analysis tools or sentiment-based surveys.</t>
  </si>
  <si>
    <t>What are the strategies for monitoring podcast listener engagement on podcast directories and platforms, including reviews, ratings, and listener comments.</t>
  </si>
  <si>
    <t>How to analyze podcast episode performance based on listener feedback and recommendations through direct communication channels.</t>
  </si>
  <si>
    <t>What are the techniques for tracking podcast episode impact on social media followers and engagement, such as follower growth and post reach.</t>
  </si>
  <si>
    <t>How to measure podcast listener engagement through email click-through rates, email open rates, and subscription growth.</t>
  </si>
  <si>
    <t>What are the strategies for monitoring podcast episode performance on external websites or blogs through backlink tracking and referral traffic analysis.</t>
  </si>
  <si>
    <t>How to analyze podcast episode impact on listener behavior and user journey through website analytics and user flow analysis.</t>
  </si>
  <si>
    <t>What are the techniques for tracking podcast listener engagement through surveys, polls, or feedback forms embedded within podcast episodes.</t>
  </si>
  <si>
    <t>How to measure podcast episode performance based on listener engagement on podcast monetization platforms, such as Patreon or sponsorship platforms.</t>
  </si>
  <si>
    <t>What are the strategies for monitoring podcast listener engagement on social audio platforms, such as Clubhouse or Twitter Spaces.</t>
  </si>
  <si>
    <t>Howto analyze podcast episode impact on brand equity and customer perception through brand awareness surveys, sentiment analysis, and customer feedback.</t>
  </si>
  <si>
    <t>What are the techniques for tracking podcast listener engagement through user-generated content, such as fan art, listener testimonials, or social media mentions.</t>
  </si>
  <si>
    <t>How to measure podcast episode performance based on listener engagement metrics, such as comments, shares, or downloads per episode.</t>
  </si>
  <si>
    <t>How to analyze podcast episode impact on website conversions, such as lead generation, product sales, or newsletter sign-ups.</t>
  </si>
  <si>
    <t>What are the techniques for tracking podcast listener behavior through heatmaps, click-through rates, or user flow analysis on your podcast website or landing page.</t>
  </si>
  <si>
    <t>How to measure podcast episode performance based on listener sentiment and satisfaction surveys.</t>
  </si>
  <si>
    <t>What are the strategies for monitoring podcast listener engagement on social media platforms, such as likes, comments, shares, or follower growth.</t>
  </si>
  <si>
    <t>How to analyze podcast episode impact on audience reach and awareness through social media mentions, hashtags, or impressions.</t>
  </si>
  <si>
    <t>What are the techniques for tracking podcast listener engagement through contests, giveaways, or interactive segments within podcast episodes.</t>
  </si>
  <si>
    <t>How to measure podcast episode performance based on listener feedback and ratings on podcast directories or platforms.</t>
  </si>
  <si>
    <t>What are the different monetization strategies for podcasts and how can you choose the right one for your podcast?</t>
  </si>
  <si>
    <t>How to effectively implement advertising and sponsorship opportunities to generate revenue from your podcast?</t>
  </si>
  <si>
    <t>What are the strategies for attracting and negotiating sponsorships or brand partnerships for your podcast?</t>
  </si>
  <si>
    <t>How to create engaging and effective ad reads or sponsor mentions that resonate with your audience and drive revenue?</t>
  </si>
  <si>
    <t>What are the techniques for leveraging affiliate marketing programs to generate revenue through product recommendations and endorsements?</t>
  </si>
  <si>
    <t>How to develop and sell merchandise or products related to your podcast to create an additional revenue stream?</t>
  </si>
  <si>
    <t>What are the strategies for launching a successful crowdfunding campaign to generate financial support from your podcast audience?</t>
  </si>
  <si>
    <t>How to utilize Patreon or other membership platforms to monetize your podcast through exclusive content and perks for supporters?</t>
  </si>
  <si>
    <t>What are the techniques for creating and selling premium content or episodes to generate revenue from dedicated listeners?</t>
  </si>
  <si>
    <t>How to leverage your podcast audience and expertise to offer consulting, coaching, or other services for a fee?</t>
  </si>
  <si>
    <t>What are the strategies for utilizing live events, workshops, or conferences to generate revenue and engage with your podcast audience?</t>
  </si>
  <si>
    <t>How to effectively implement pre-roll and mid-roll advertisements in your podcast episodes to generate revenue without sacrificing listener experience?</t>
  </si>
  <si>
    <t>What are the techniques for using dynamic ad insertion technology to optimize ad targeting and revenue generation in your podcast episodes?</t>
  </si>
  <si>
    <t>How to monetize your podcast through sponsored content or branded segments that align with your podcast's niche and audience interests?</t>
  </si>
  <si>
    <t>What are the strategies for leveraging your podcast's influence and audience reach to negotiate higher rates for advertising and sponsorship deals?</t>
  </si>
  <si>
    <t>How to implement a tiered pricing structure or premium subscription model for your podcast to offer additional perks and generate recurring revenue?</t>
  </si>
  <si>
    <t>What are the techniques for utilizing guest appearances or collaborations on other podcasts to increase your podcast's exposure and revenue potential?</t>
  </si>
  <si>
    <t>How to leverage your podcast's audience data and analytics to attract advertisers and demonstrate the value of partnering with your podcast?</t>
  </si>
  <si>
    <t>What are the strategies for utilizing content syndication or licensing deals to expand the reach of your podcast and generate additional revenue?</t>
  </si>
  <si>
    <t>How to optimize your podcast's website or landing page for effective monetization through display ads, affiliate links, or sponsored content?</t>
  </si>
  <si>
    <t>What are the techniques for incorporating sponsored contests or giveaways within your podcast episodes to generate revenue and engage your audience?</t>
  </si>
  <si>
    <t>How to develop and sell online courses or educational resources related to your podcast's topic to generate revenue and provide additional value to your audience?</t>
  </si>
  <si>
    <t>What are the strategies for creating and implementing a successful podcast membership program to generate recurring revenue and foster a loyal community?</t>
  </si>
  <si>
    <t>How to effectively implement donation-based monetization models, such as Patreon or Ko-fi, to generate financial support from your podcast audience?</t>
  </si>
  <si>
    <t>What are the techniques for leveraging your podcast's expertise and audience trust to offer sponsored workshops, consulting services, or speaking engagements?</t>
  </si>
  <si>
    <t>How to monetize your podcast through direct sponsorships or partnerships with relevant brands or companies in your niche?</t>
  </si>
  <si>
    <t>What are the strategies for utilizing targeted advertising platforms, such as podcast ad networks or programmatic advertising, to generate revenue from your podcast?</t>
  </si>
  <si>
    <t>How to effectively implement listener-supported monetization models, such as listener donations or tip jars, to generate revenue and foster a sense of community support?</t>
  </si>
  <si>
    <t>What are the techniques for leveraging your podcast's intellectual property, such as licensing rights or merchandise partnerships, to generate additional revenue streams?</t>
  </si>
  <si>
    <t>How to optimize your podcast's online presence and SEO to attract advertisers and sponsors who are looking to reach your specific target audience?</t>
  </si>
  <si>
    <t>What are the strategies for diversifying your podcast's revenue streams, such ascreating and selling digital products, offering consulting services, or hosting live events, to maximize your revenue potential?</t>
  </si>
  <si>
    <t>How to effectively leverage your podcast's email list and subscriber base to generate revenue through targeted promotions and exclusive offers?</t>
  </si>
  <si>
    <t>What are the techniques for incorporating native advertising within your podcast episodes to seamlessly integrate sponsored content and generate revenue?</t>
  </si>
  <si>
    <t>How to monetize your podcast through licensing agreements with platforms or networks that want to distribute your content to a wider audience?</t>
  </si>
  <si>
    <t>What are the strategies for utilizing sponsored guest appearances on your podcast to generate revenue and cross-promote other brands or influencers?</t>
  </si>
  <si>
    <t>How to optimize your podcast's brand partnerships by offering custom advertising packages or unique sponsorship opportunities tailored to each partner's needs?</t>
  </si>
  <si>
    <t>What are the techniques for leveraging your podcast's listener community to create a membership program or exclusive content that generates recurring revenue?</t>
  </si>
  <si>
    <t>How to effectively implement geo-targeted advertising to attract local businesses and generate revenue from location-specific sponsorships or promotions?</t>
  </si>
  <si>
    <t>What are the strategies for utilizing podcast networks or aggregators to access additional monetization opportunities, such as network-wide sponsorships or ad exchanges?</t>
  </si>
  <si>
    <t>How to monetize your podcast through direct sales of physical products or merchandise, leveraging your podcast's branding and audience loyalty?</t>
  </si>
  <si>
    <t>What are the techniques for implementing affiliate marketing partnerships with brands or products that align with your podcast's niche to generate commission-based revenue?</t>
  </si>
  <si>
    <t>How to optimize your podcast's listener engagement and retention strategies to attract advertisers who value a highly engaged and loyal audience?</t>
  </si>
  <si>
    <t>What are the strategies for offering sponsored bonus episodes, exclusive content, or early access to generate revenue from dedicated fans and supporters?</t>
  </si>
  <si>
    <t>How to effectively negotiate and structure sponsorship agreements to ensure fair compensation and long-term revenue potential for your podcast?</t>
  </si>
  <si>
    <t>What are the techniques for leveraging social media platforms and influencer marketing to promote your podcast and attract sponsors or advertisers?</t>
  </si>
  <si>
    <t>How to monetize your podcast through speaking engagements, workshop facilitation, or guest appearances at conferences or industry events related to your podcast's niche?</t>
  </si>
  <si>
    <t>What are the strategies for incorporating in-podcast calls-to-action, such as discount codes or affiliate links, to track and measure the revenue generated from your podcast?</t>
  </si>
  <si>
    <t>How to optimize your podcast's monetization through strategic pricing models, such as tiered membership levels or bundled product offerings, to maximize revenue and value for your audience?</t>
  </si>
  <si>
    <t>What are the techniques for leveraging your podcast's audience insights and demographics to attract advertisers seeking to target specific consumer segments?</t>
  </si>
  <si>
    <t>How to monetize your podcast through sponsored live events, collaborations, or brand activations that offer unique experiences and engagement opportunities for your audience?</t>
  </si>
  <si>
    <t>What are the different monetization strategies available for content creators, including podcasters, and how can you choose the right one for your podcast?</t>
  </si>
  <si>
    <t>What are the strategies for diversifying your podcast's revenue streams, such as creating and selling digital products, offering consulting services, or hosting live events, to maximize your revenue potential?</t>
  </si>
  <si>
    <t>What are thestrategies for offering sponsored bonus episodes, exclusive content, or early access to generate revenue from dedicated fans and supporters?</t>
  </si>
  <si>
    <t>How to develop and sell premium podcast subscriptions or ad-free listening options to generate recurring revenue from your podcast audience?</t>
  </si>
  <si>
    <t>How to monetize your podcast through brand collaborations and product integrations that align with your podcast's content and audience interests?</t>
  </si>
  <si>
    <t>What are the strategies for implementing pay-per-view or pay-per-episode models for special or premium podcast content?</t>
  </si>
  <si>
    <t>How to implement a hybrid monetization model, combining different strategies such as advertising, sponsorships, and premium content, to maximize revenue streams?</t>
  </si>
  <si>
    <t>What are the techniques for leveraging your podcast's community and audience engagement to offer premium memberships or exclusive access to bonus content?</t>
  </si>
  <si>
    <t>How to monetize your podcast through brand partnerships and sponsored episodes that provide valuable content and promotions to your audience?</t>
  </si>
  <si>
    <t>What are the strategies for offering branded merchandise or limited edition products related to your podcast to create additional revenue streams?</t>
  </si>
  <si>
    <t>How to optimize your podcast's listener experience and engagement to attract advertisers and sponsors who value a highly attentive and responsive audience?</t>
  </si>
  <si>
    <t>What are the techniques for implementing targeted advertising and personalized promotions within your podcast episodes to increase revenue and listener engagement?</t>
  </si>
  <si>
    <t>How to monetize your podcast through affiliate partnerships with relevant products or services that resonate with your audience and align with your podcast's niche?</t>
  </si>
  <si>
    <t>What are the strategies for offering premium subscriptions or memberships with exclusive benefits, such as access to bonus episodes, behind-the-scenes content, or Q&amp;A sessions?</t>
  </si>
  <si>
    <t>How to leverage your podcast's success and audience trust to secure speaking engagements or event appearances that generate revenue and promote your brand?</t>
  </si>
  <si>
    <t>What are the techniques for implementing sponsored content or native advertising within your podcast episodes in a way that feels authentic and adds value to your listeners?</t>
  </si>
  <si>
    <t>How to monetize your podcast through licensing or syndication deals with other platforms or media outlets that seek to distribute or repurpose your podcast content?</t>
  </si>
  <si>
    <t>What is the importance of branding for podcasts and how can you create a strong brand identity for your podcast?</t>
  </si>
  <si>
    <t>How to define your podcast's unique value proposition and positioning in the market to stand out from competitors?</t>
  </si>
  <si>
    <t>What are the key elements to consider when designing a compelling podcast logo and visual identity that resonates with your target audience?</t>
  </si>
  <si>
    <t>How to develop a memorable podcast name that reflects your content and captures the essence of your brand?</t>
  </si>
  <si>
    <t>What are the strategies for creating a consistent and cohesive brand voice and tone that aligns with your podcast's content and audience?</t>
  </si>
  <si>
    <t>How to conduct market research and audience analysis to better understand your target listeners and tailor your branding efforts to their preferences?</t>
  </si>
  <si>
    <t>What are the techniques for crafting a compelling podcast tagline or slogan that encapsulates the essence of your show and resonates with your audience?</t>
  </si>
  <si>
    <t>How to create a captivating podcast cover art that grabs attention and entices potential listeners to explore your show further?</t>
  </si>
  <si>
    <t>What are the strategies for developing a strong podcast mission statement that communicates the purpose and values of your show to your audience?</t>
  </si>
  <si>
    <t>How to establish a consistent brand presence across different platforms and touchpoints, including social media, your website, and podcast directories?</t>
  </si>
  <si>
    <t>What are the techniques for creating a compelling podcast intro or theme music that reflects your brand personality and sets the tone for your episodes?</t>
  </si>
  <si>
    <t>How to craft a compelling podcast description or about page that clearly communicates what your show is about and entices listeners to tune in?</t>
  </si>
  <si>
    <t>What are the strategies for identifying and defining your podcast's target audience and tailoring your branding efforts to appeal to their interests and preferences?</t>
  </si>
  <si>
    <t>How to develop a brand style guide for your podcast, including color palettes, typography, and visual elements, to maintain consistency in your branding materials?</t>
  </si>
  <si>
    <t>What are the techniques for incorporating storytelling and narrative elements into your podcast episodes to enhance your brand identity and captivate your audience?</t>
  </si>
  <si>
    <t>How to create a strong podcast brand personality that reflects the tone, style, and values of your show and resonates with your target listeners?</t>
  </si>
  <si>
    <t>What are the strategies for building a community around your podcast brand, fostering engagement and loyalty among your listeners?</t>
  </si>
  <si>
    <t>How to conduct a competitive analysis to identify gaps in the podcasting market and position your show as unique and valuable within your niche?</t>
  </si>
  <si>
    <t>What are the techniques for conducting brand audits and evaluating the effectiveness of your podcast branding efforts over time?</t>
  </si>
  <si>
    <t>How to leverage your podcast's brand identity to attract guests, sponsors, and collaboration opportunities that align with your show's values and target audience?</t>
  </si>
  <si>
    <t>What are the strategies for crafting compelling podcast episode titles that grab attention, generate curiosity, and accurately represent your content?</t>
  </si>
  <si>
    <t>How to develop a podcast branding message that effectively communicates the benefits and value of your show to potential listeners?</t>
  </si>
  <si>
    <t>What are the techniques for incorporating your podcast brand into your social media profiles, headers, and cover photos to maintain consistency and brand recognition?</t>
  </si>
  <si>
    <t>How to create brand guidelines for guest appearances on other podcasts or media platforms to ensure a consistent representation of your podcast brand across different channels?</t>
  </si>
  <si>
    <t>What are the strategies for incorporating your podcast branding into your episode intros, outros, and transitions to reinforce your brand identity and create a cohesive listening experience?</t>
  </si>
  <si>
    <t>How to conduct audience surveys or focus groups to gather feedback on your podcast branding and identify areas for improvement or refinement?</t>
  </si>
  <si>
    <t>What are the techniques for creating a compelling podcast website that reflects your brand identity, showcases your episodes, and provides additional resources for your listeners?</t>
  </si>
  <si>
    <t>How to develop a compelling elevator pitch for your podcast that clearly and succinctly communicates what makes your show unique and valuable to potential listeners?</t>
  </si>
  <si>
    <t>What are the strategies for creating branded podcast merchandise, such as t-shirts, mugs, or stickers, to foster a sense of community and promote your podcast?</t>
  </si>
  <si>
    <t>How to leverage storytelling and personal anecdotes in your podcast episodes to build an emotional connection with your audience and strengthen your brand identity?</t>
  </si>
  <si>
    <t>What are the techniques for incorporating your podcast brand into your email marketing campaigns, including branded templates, personalized messaging, and consistent visual elements?</t>
  </si>
  <si>
    <t>How to collaborate with other podcasters, influencers, or experts in your niche to expand your brand reach and tap into new audiences?</t>
  </si>
  <si>
    <t>What are the strategies for creating a consistent and recognizable podcast thumbnail image that aligns with your brand identity and attracts potential listeners?</t>
  </si>
  <si>
    <t>How to develop a strong brand positioning statement that communicates your podcast's unique selling proposition and differentiation from other shows in your niche?</t>
  </si>
  <si>
    <t>What are the techniques for utilizing user-generated content, such as listener testimonials or fan art, to amplify your brand identity and create a sense of community around your podcast?</t>
  </si>
  <si>
    <t>How to conduct brand audits and market research to identify potential rebranding opportunities or refinements to your podcast's branding strategy.</t>
  </si>
  <si>
    <t>What are the strategies for incorporating your podcast branding into guest appearances or interviews on other podcasts or media outlets to increase brand visibility and recognition?</t>
  </si>
  <si>
    <t>How to leverage social media platforms to strengthen your podcast's brand identity through consistent visual aesthetics, engaging content, and active community management.</t>
  </si>
  <si>
    <t>What are the techniques for developing a brand story or narrative arc that aligns with your podcast's content and resonates with your target audience?</t>
  </si>
  <si>
    <t>How to optimize your podcast's episode structure and format to align with your brand positioning and create a consistent listening experience for your audience.</t>
  </si>
  <si>
    <t>What are the strategies for leveraging user-generated reviews, ratings, and testimonials to build social proof and enhance your podcast's brand reputation?</t>
  </si>
  <si>
    <t>How to conduct brand partnerships or collaborations with non-competing brands or organizations that share similar values or target audiences to amplify your brand reach and impact.</t>
  </si>
  <si>
    <t>What are the techniques for creating a brand ambassador or affiliate program to incentivize loyal listeners to promote your podcast and expand your brand visibility?</t>
  </si>
  <si>
    <t>How to develop a compelling podcast trailer that encapsulates your brand identity, entices potential listeners, and sets the tone for your show.</t>
  </si>
  <si>
    <t>What are the strategies for utilizing email newsletters to strengthen your podcast's brand connection, provide exclusive content, and foster ongoing engagement with your audience?</t>
  </si>
  <si>
    <t>How to conduct audience research and persona development to better understand your listeners' demographics, preferences, and motivations, and align your branding accordingly.</t>
  </si>
  <si>
    <t>What are the techniques for leveraging user-generated content, such as listener stories, questions, or feedback, to create authentic and engaging podcast episodes that reinforce your brand identity?</t>
  </si>
  <si>
    <t>How to optimize your podcast's branding for search engines, including using relevant keywords, meta tags, and podcast directories, to increase discoverability and attract new listeners.</t>
  </si>
  <si>
    <t>What are the strategies for conducting regular brand check-ins and evaluations to ensure your podcast's branding remains relevant, consistent, and aligned with your target audience's evolving needs and expectations?</t>
  </si>
  <si>
    <t>How to establish partnerships or collaborations with complementary podcasters or industry experts to expand your brand reach, tap into new audiences, and foster cross-promotion opportunities?</t>
  </si>
  <si>
    <t>What are the key strategies for identifying and defining your target audience for your podcast?</t>
  </si>
  <si>
    <t>How to conduct audience research and develop listener personas to better understand the demographics, interests, and preferences of your target audience?</t>
  </si>
  <si>
    <t>What are the techniques for creating compelling and shareable podcast content that resonates with your target audience and encourages engagement?</t>
  </si>
  <si>
    <t>How to optimize your podcast's title, description, and metadata to improve discoverability and attract a larger audience?</t>
  </si>
  <si>
    <t>What are the strategies for promoting your podcast on social media platforms to increase visibility and attract new listeners?</t>
  </si>
  <si>
    <t>How to leverage email marketing to grow your podcast audience and engage with your subscribers through exclusive content and updates?</t>
  </si>
  <si>
    <t>What are the techniques for collaborating with other podcasters, influencers, or industry experts to tap into their audience and expand your reach?</t>
  </si>
  <si>
    <t>How to utilize guest interviews on your podcast to attract new listeners and engage with the existing audience of your guests?</t>
  </si>
  <si>
    <t>What are the strategies for optimizing your podcast's website or landing page to drive traffic and convert visitors into loyal listeners?</t>
  </si>
  <si>
    <t>How to encourage and leverage listener reviews, ratings, and testimonials to build social proof and attract new listeners to your podcast?</t>
  </si>
  <si>
    <t>What are the techniques for incorporating listener feedback and questions into your podcast episodes to foster a sense of community and encourage audience engagement?</t>
  </si>
  <si>
    <t>How to use interactive features, such as polls, surveys, or Q&amp;A sessions, to engage with your audience and gather valuable insights and feedback?</t>
  </si>
  <si>
    <t>What are the strategies for hosting live episodes, virtual events, or webinars to connect with your audience in real-time and create a more interactive listening experience?</t>
  </si>
  <si>
    <t>How to create and nurture an engaged podcast community, such as a Facebook group or forum, to foster discussions, share content, and build relationships with your audience?</t>
  </si>
  <si>
    <t>What are the techniques for leveraging social media influencers or micro-influencers to promote your podcast and attract new listeners?</t>
  </si>
  <si>
    <t>How to optimize your podcast's episode length, frequency, and release schedule to cater to the preferences and habits of your target audience?</t>
  </si>
  <si>
    <t>What are the strategies for implementing referral programs or incentives to encourage your existing listeners to recommend your podcast to others?</t>
  </si>
  <si>
    <t>How to leverage guest appearances on other podcasts or media outlets to expand your audience and tap into new listener bases?</t>
  </si>
  <si>
    <t>What are the techniques for using search engine optimization (SEO) strategies to improve your podcast's visibility and organic discoverability?</t>
  </si>
  <si>
    <t>How to engage with your audience on social media platforms by responding to comments, messages, and mentions to foster a sense of connection and loyalty.</t>
  </si>
  <si>
    <t>What are the strategies for utilizing paid advertising, such as social media ads or podcast ad networks, to reach a wider audience and attract new listeners?</t>
  </si>
  <si>
    <t>How to collaborate with relevant blogs, websites, or publications to guest post or contribute content that drives traffic and introduces new audiences to your podcast.</t>
  </si>
  <si>
    <t>What are the techniques for leveraging your podcast's email list to engage with your audience, share exclusive content, and provide personalized updates and offers?</t>
  </si>
  <si>
    <t>How to optimize your podcast's website or landing page for search engines, including using relevant keywords and metadata, to increase organic traffic and discoverability.</t>
  </si>
  <si>
    <t>What are the strategies for leveraging influencer marketing or brand partnerships to reach new audiences and promote your podcast to their followers?</t>
  </si>
  <si>
    <t>How to conduct contests, giveaways, or promotions to incentivize your audience to share and promote your podcast to their networks.</t>
  </si>
  <si>
    <t>What are the techniques for leveraging user-generated content, such as listener testimonials, reviews, or fan art, to engage with your audience and showcase their support?</t>
  </si>
  <si>
    <t>How to use storytelling techniques and compelling narratives in your podcast episodes to captivate your audience and keepthem coming back for more.</t>
  </si>
  <si>
    <t>What are the strategies for leveraging social media platforms to create engaging and shareable podcast snippets, clips, or teaser content to attract new listeners?</t>
  </si>
  <si>
    <t>How to optimize your podcast's audio quality, production value, and overall listening experience to retain existing listeners and attract new ones.</t>
  </si>
  <si>
    <t>What are the techniques for collaborating with complementary podcasts or industry experts to cross-promote each other's shows and reach new audiences?</t>
  </si>
  <si>
    <t>How to leverage email marketing automation and segmentation to deliver personalized content and recommendations to your podcast subscribers.</t>
  </si>
  <si>
    <t>What are the strategies for leveraging user-generated content, such as listener questions or suggestions, to create episodes that directly cater to your audience's interests and needs?</t>
  </si>
  <si>
    <t>How to engage with your audience during live recordings or virtual events through chat rooms, Q&amp;A sessions, or interactive polls to foster a sense of community and participation.</t>
  </si>
  <si>
    <t>What are the techniques for conducting listener surveys or polls to gather feedback, gauge interests, and tailor your podcast content to better serve your audience?</t>
  </si>
  <si>
    <t>How to foster listener loyalty and engagement through exclusive content, such as bonus episodes, behind-the-scenes access, or early releases for dedicated fans.</t>
  </si>
  <si>
    <t>What are the strategies for leveraging social media listening tools and monitoring platforms to identify and engage with conversations related to your podcast's topic and engage with potential listeners.</t>
  </si>
  <si>
    <t>How to collaborate with guest experts or influencers to create joint promotions or cross-promotional content that introduces each other's audiences to your podcast.</t>
  </si>
  <si>
    <t>What are the techniques for utilizing call-to-action prompts within your podcast episodes to encourage listeners to subscribe, review, share, or take other desired actions.</t>
  </si>
  <si>
    <t>How to leverage podcast directories and platforms to optimize your podcast's visibility and reach, including optimizing your listing with relevant keywords and categories.</t>
  </si>
  <si>
    <t>What are the strategies for hosting live Q&amp;A sessions or AMA (Ask Me Anything) episodes to directly engage with your audience and address their questions and concerns.</t>
  </si>
  <si>
    <t>How to nurture relationships with your audience through email newsletters, personalized messages, or social media interactions to create a loyal and engaged listener base.</t>
  </si>
  <si>
    <t>What are the techniques for repurposing your podcast content into different formats, such as blog posts, infographics, or video snippets, to reach audiences on different platforms.</t>
  </si>
  <si>
    <t>How to collaborate with brands or organizations to host cross-promotional giveaways or joint marketing campaigns that attract new listeners to your podcast.</t>
  </si>
  <si>
    <t>What are the strategies for leveraging podcast guest appearances or industry speaking engagements to position yourself as an authority in your niche and attract a dedicated following.</t>
  </si>
  <si>
    <t>How to use social media platforms to actively listen to your audience, engage in conversations, and gain insights into their interests, pain points, and preferences.</t>
  </si>
  <si>
    <t>What are the techniques for leveraging influencer takeovers or guest hosting opportunities on other podcasts to introduce your podcast to new audiences and gain exposure.</t>
  </si>
  <si>
    <t>How to create engaging and interactive show formats, such as audience call-ins, live chats, or panel discussions, to encourage listener participation and build a sense of community.</t>
  </si>
  <si>
    <t>What are the strategies for partnering with relevant brands, organizations, or causes to sponsor episodes or collaborate on content that resonates with your audience and drives engagement.</t>
  </si>
  <si>
    <t>How to optimize your podcast's show notes, episode descriptions, and transcripts with relevant keywords and links to improve search engine visibility and attract organic traffic.</t>
  </si>
  <si>
    <t>How to identify and approach potential guests who align with your podcast's niche and target audience?</t>
  </si>
  <si>
    <t>What are the strategies for conducting effective guest research to gather insights and prepare thoughtful interview questions?</t>
  </si>
  <si>
    <t>How to craft compelling guest invitations that clearly communicate the value and benefits of appearing on your podcast?</t>
  </si>
  <si>
    <t>What are the techniques for establishing strong guest communication protocols to ensure a smooth and professional booking process?</t>
  </si>
  <si>
    <t>How to manage guest scheduling efficiently and effectively, considering different time zones and availability?</t>
  </si>
  <si>
    <t>What are the strategies for conducting pre-interview discussions or meetings to establish rapport and align expectations with your guests?</t>
  </si>
  <si>
    <t>How to create a guest onboarding process that includes providing necessary information, guidelines, and technical instructions for a successful interview?</t>
  </si>
  <si>
    <t>What are the techniques for preparing a detailed guest briefing document that includes key talking points, interview format, and logistics?</t>
  </si>
  <si>
    <t>How to foster positive relationships with your guests by engaging in active communication, expressing gratitude, and providing support throughout the process?</t>
  </si>
  <si>
    <t>What are the strategies for conducting pre-interview research to gain a deeper understanding of your guest's expertise, background, and notable achievements?</t>
  </si>
  <si>
    <t>How to effectively manage guest agreements, including consent forms, release forms, and any necessary legal documentation?</t>
  </si>
  <si>
    <t>What are the techniques for setting clear expectations with your guests regarding interview duration, topic coverage, and any specific requirements or guidelines?</t>
  </si>
  <si>
    <t>How to create a comfortable and welcoming atmosphere for your guests during the interview, making them feel relaxed and encouraged to share their insights?</t>
  </si>
  <si>
    <t>What are the strategies for promoting guest episodes and maximizing their visibility on your podcast, social media, and other platforms?</t>
  </si>
  <si>
    <t>How to follow up with guests after the interview, expressing gratitude, sharing episode updates, and encouraging them to promote their appearance on your podcast?</t>
  </si>
  <si>
    <t>What are the techniques for managing guest feedback and testimonials to improve the guest experience and enhance future guest interactions?</t>
  </si>
  <si>
    <t>How to handle challenging or difficult guests, ensuring a respectful and productive interview experience for both parties?</t>
  </si>
  <si>
    <t>What are the strategies for leveraging guest appearances as an opportunity to network and establish professional relationships within your industry or niche?</t>
  </si>
  <si>
    <t>How to maintain a guest database or CRM system to organize guest information, contact details, and episode history for future reference?</t>
  </si>
  <si>
    <t>What are the techniques for promoting guest loyalty and encouraging repeat appearances on your podcast?</t>
  </si>
  <si>
    <t>How to provide your guests with resources, such as episode highlights, quotes, or graphics, to help them promote their appearance on your podcast?</t>
  </si>
  <si>
    <t>What are the strategies for collaborating with guest experts to create bonus content, such as ebooks, guides, or webinars, that provide additional value to your audience?</t>
  </si>
  <si>
    <t>How to handle rescheduling or cancellations gracefully and efficiently, ensuring minimal disruption to your podcast production schedule?</t>
  </si>
  <si>
    <t>What are the techniques for conducting post-interview evaluations and reflections to identify areas of improvement and enhance the overall guest experience?</t>
  </si>
  <si>
    <t>How to leverage your guest network to identify potential referral guests or introductions to other experts in your industry or niche?</t>
  </si>
  <si>
    <t>What are the strategies for conducting post-interview promotions to maximize the reach and impact of guest episodes through targeted marketing and social sharing?</t>
  </si>
  <si>
    <t>How to manage multiple guest bookings and interviews concurrently, ensuring a smooth and organized process for all parties involved?</t>
  </si>
  <si>
    <t>What are the techniques for providing guests with episode analytics or performance metrics to demonstrate the impact and reach of their appearance on your podcast?</t>
  </si>
  <si>
    <t>How to handle guest requests for edits or revisions to their episode before its release, balancing their preferences with the overall quality and integrity of your content.</t>
  </si>
  <si>
    <t>What are the strategies for handling conflicts of interest or potential bias when featuring guests who may have affiliations or relationships that could impact the integrity of theinterview or the perception of your podcast?</t>
  </si>
  <si>
    <t>How to establish clear guidelines and expectations regarding promotional activities or endorsements by guests to maintain transparency and ethical practices.</t>
  </si>
  <si>
    <t>What are the techniques for conducting follow-up interviews or check-ins with previous guests to provide updates on their work or revisit topics of interest to your audience?</t>
  </si>
  <si>
    <t>How to manage guest releases and permissions for using their likeness, voice, or quotes in promotional materials, social media, or other podcast-related content?</t>
  </si>
  <si>
    <t>What are the strategies for promoting diversity and inclusion in your guest selection process to ensure a wide range of perspectives and experiences on your podcast?</t>
  </si>
  <si>
    <t>How to navigate potential conflicts or controversial opinions during interviews, maintaining a balanced and respectful conversation while addressing challenging topics.</t>
  </si>
  <si>
    <t>What are the techniques for creating a welcoming and inclusive environment for guests, ensuring they feel comfortable sharing their authentic thoughts and experiences?</t>
  </si>
  <si>
    <t>How to effectively collaborate with publicists, agents, or representatives when coordinating guest appearances and managing communication channels.</t>
  </si>
  <si>
    <t>What are the strategies for handling unexpected challenges or technical issues during guest interviews to minimize disruption and ensure a seamless recording process?</t>
  </si>
  <si>
    <t>How to incorporate guest feedback and suggestions into the continuous improvement of your podcast's interview format, style, and overall guest experience.</t>
  </si>
  <si>
    <t>What are the techniques for creating guest-centric episodes, such as panel discussions or roundtable conversations, to foster engaging and dynamic interactions among guests.</t>
  </si>
  <si>
    <t>How to establish guidelines for disclosing any potential conflicts of interest or affiliations your guests may have, maintaining transparency and integrity in your podcast content.</t>
  </si>
  <si>
    <t>What are the strategies for featuring up-and-coming guests or emerging voices in your industry or niche to provide fresh perspectives and introduce new talent to your audience?</t>
  </si>
  <si>
    <t>How to handle requests for content edits or modifications from guests after the episode has been published, ensuring a balance between guest satisfaction and maintaining the integrity of your podcast.</t>
  </si>
  <si>
    <t>What are the techniques for creating mutually beneficial partnerships with guest experts, influencers, or industry thought leaders to extend your podcast's reach and impact.</t>
  </si>
  <si>
    <t>How to effectively communicate your podcast's value proposition and audience demographics to potential guests, showcasing the benefits of appearing on your show.</t>
  </si>
  <si>
    <t>What are the strategies for promoting guest episodes across various platforms and channels, including social media, newsletters, and other podcast directories or networks.</t>
  </si>
  <si>
    <t>How to manage post-interview collaborations or partnerships with guests, such as joint content creation, co-hosting opportunities, or cross-promotional initiatives.</t>
  </si>
  <si>
    <t>What are the techniques for incorporating listener questions or feedback during guest interviews to foster engagement and create a more interactive and inclusive listening experience.</t>
  </si>
  <si>
    <t>How to cultivate long-term relationships with guests beyond their initial appearance, nurturing ongoing collaboration opportunities and maintaining a strong network of industry connections.</t>
  </si>
  <si>
    <t>What are the strategies for continually expanding and diversifying your guest pool, reaching out to new and different experts to provide a rich and varied podcast experience for your audience.</t>
  </si>
  <si>
    <t>How to identify and approach potential collaborators or podcasting networks that align with your podcast's niche and goals?</t>
  </si>
  <si>
    <t>What are the strategies for leveraging social media platforms to connect and network with other podcasters, influencers, and industry experts?</t>
  </si>
  <si>
    <t>How to effectively pitch collaboration ideas or guest appearances to other podcasters or industry professionals to expand your network and reach new audiences?</t>
  </si>
  <si>
    <t>What are the techniques for participating in industry conferences, events, or meetups to network with fellow podcasters and establish professional relationships?</t>
  </si>
  <si>
    <t>How to create mutually beneficial partnerships with complementary podcasts or brands to cross-promote each other's content and expand your audience reach?</t>
  </si>
  <si>
    <t>What are the strategies for hosting collaborative episodes or panel discussions with guest experts or podcasters to provide unique and diverse perspectives for your audience?</t>
  </si>
  <si>
    <t>How to leverage guest appearances on other podcasts to showcase your expertise, build credibility, and attract new listeners to your own show?</t>
  </si>
  <si>
    <t>What are the techniques for conducting joint marketing campaigns or giveaways with other podcasters or brands to increase brand visibility and engagement?</t>
  </si>
  <si>
    <t>How to organize virtual or live events, such as webinars, panel discussions, or workshops, that bring together podcasters and industry professionals for networking and collaboration opportunities?</t>
  </si>
  <si>
    <t>What are the strategies for leveraging LinkedIn and other professional networking platforms to connect with potential collaborators, sponsors, or industry thought leaders?</t>
  </si>
  <si>
    <t>How to establish and nurture relationships with industry influencers or thought leaders to gain exposure, tap into their expertise, and attract a wider audience to your podcast?</t>
  </si>
  <si>
    <t>What are the techniques for participating in podcast guest swaps or hosting guest exchange programs to introduce your audience to new voices and perspectives?</t>
  </si>
  <si>
    <t>How to leverage podcasting communities, forums, or Facebook groups to connect with like-minded podcasters and explore collaboration opportunities?</t>
  </si>
  <si>
    <t>What are the strategies for organizing virtual summits or conferences that bring together podcasters, industry experts, and listeners for networking and educational purposes?</t>
  </si>
  <si>
    <t>How to create a referral program or affiliate system that incentivizes your audience to refer other podcasters or industry professionals to collaborate with you?</t>
  </si>
  <si>
    <t>What are the techniques for offering guest blogging or content contribution opportunities on your podcast's website to expand your network and reach new audiences?</t>
  </si>
  <si>
    <t>How to leverage email outreach and personalized communication to establish connections with potential collaborators, sponsors, or industry influencers?</t>
  </si>
  <si>
    <t>What are the strategies for hosting joint podcast episodes with podcasters from different niches or genres to create unique and cross-pollinated content?</t>
  </si>
  <si>
    <t>How to actively engage with your podcast's listener community to discover potential collaboration opportunities, such as interviewing listeners or featuring their stories on your show.</t>
  </si>
  <si>
    <t>What are the techniques for conducting virtual coffee chats or networking sessions with fellow podcasters to foster relationships, exchange ideas, and explore potential collaboration projects?</t>
  </si>
  <si>
    <t>How to participate in podcasting awards, competitions, or showcases to gain industry recognition, expand your network, and attract new listeners to your show.</t>
  </si>
  <si>
    <t>What are the strategies for inviting influential guest experts or industry leaders to participate in your podcast as panelists, co-hosts, or interviewees to elevate your content and attract a wider audience.</t>
  </si>
  <si>
    <t>How to collaborate with guest experts or industry professionals on content creation outside of your podcast, such as co-authoring articles or creating video content for cross-promotion.</t>
  </si>
  <si>
    <t>What are the techniques for participating in virtual or in-person podcasting mastermind groups to connect with fellow podcasters, share knowledge, and receive support and feedback.</t>
  </si>
  <si>
    <t>How to leverage guest appearances on podcasts or media outlets to expand your network and establish connections with hosts, producers, and industry influencers.</t>
  </si>
  <si>
    <t>What are the strategies for hosting guest experts or industry leaders on your podcast and leveraging those relationships for future collaboration27. How to join podcasting networks or associations to connect with other podcasters, access resources, and explore collaboration opportunities.</t>
  </si>
  <si>
    <t>What are the techniques for organizing virtual or in-person networking events specifically for podcasters to foster connections, share experiences, and exchange ideas.</t>
  </si>
  <si>
    <t>How to participate in podcasting or industry-related forums, discussions, or online communities to engage in conversations and expand your network.</t>
  </si>
  <si>
    <t>What are the strategies for collaborating with brands or organizations on sponsored episodes or branded content that aligns with your podcast's values and interests.</t>
  </si>
  <si>
    <t>How to leverage guest experts or industry influencers for co-marketing initiatives, such as sharing each other's content, featuring each other on newsletters, or social media shout-outs.</t>
  </si>
  <si>
    <t>What are the techniques for hosting cross-promotional campaigns with complementary podcasts or brands to increase exposure and attract new listeners to your show.</t>
  </si>
  <si>
    <t>How to collaborate with podcast editors, producers, or other podcasting service providers to enhance the quality and production value of your show.</t>
  </si>
  <si>
    <t>What are the strategies for participating in guest expert or industry panels, discussions, or webinars to share your expertise, build credibility, and connect with fellow professionals.</t>
  </si>
  <si>
    <t>How to leverage influencer marketing strategies to collaborate with social media influencers, bloggers, or YouTube creators to expand your podcast's reach and attract new listeners.</t>
  </si>
  <si>
    <t>What are the techniques for creating guest expert roundtables or collaborative episodes that feature multiple experts sharing insights and engaging in conversations on a specific topic.</t>
  </si>
  <si>
    <t>How to participate in guest podcasting appearances as a panelist or guest expert to showcase your expertise, expand your network, and attract new listeners to your own show.</t>
  </si>
  <si>
    <t>What are the strategies for hosting virtual or in-person networking meetups specifically for your podcast's audience to foster connections and build a community around your show.</t>
  </si>
  <si>
    <t>How to establish partnerships with local businesses or organizations to host live podcasting events or workshops that bring together podcasters and enthusiasts in your area.</t>
  </si>
  <si>
    <t>What are the techniques for leveraging collaborative content creation, such as co-authored articles, podcast series, or multimedia projects, to expand your network and amplify your reach.</t>
  </si>
  <si>
    <t>How to collaborate with podcasting platforms, directories, or apps to gain additional exposure and reach new listeners through featured placements or cross-promotion opportunities.</t>
  </si>
  <si>
    <t>What are the strategies for participating in podcasting industry conferences, conventions, or trade shows to network with professionals, explore collaboration opportunities, and stay updated on industry trends.</t>
  </si>
  <si>
    <t>How to leverage podcasting guest appearances to build relationships with podcasting hosts, producers, or industry influencers for potential future collaboration projects.</t>
  </si>
  <si>
    <t>What are the techniques for leveraging influencer takeovers or guest hosting opportunities on other platforms, such as YouTube channels or social media accounts, to promote your podcast and attract new listeners.</t>
  </si>
  <si>
    <t>How to participate in podcasting or industry-related contests, challenges, or events to showcase your podcast, gain exposure, and connect with fellow creators.</t>
  </si>
  <si>
    <t>What are the strategies for collaborating with industry associations, communities, or thought leaders to co-create educational resources, courses, or webinars for aspiring podcasters.</t>
  </si>
  <si>
    <t>How to establish strategic partnerships with relevant brands or organizations to co-create sponsored content, events, or campaigns that align with your podcast's niche and audience.</t>
  </si>
  <si>
    <t>What are the techniques for joining or creating podcasting mastermind groups or accountability partnerships to receive support, exchange ideas, and foster collaborative growth.</t>
  </si>
  <si>
    <t>How to leverage podcasting guest appearances or collaborations to position yourself as a thought leader or expert in your niche and attract collaboration opportunities with fellow professionals.</t>
  </si>
  <si>
    <t>What are the strategies for attending industry trade shows, conventions, or events to network with professionals, explore partnership opportunities, and stay updated on emerging trends and technologies in podcasting.</t>
  </si>
  <si>
    <t>What are the specific strategies for podcasters in the business and entrepreneurship niche to attract and engage a target audience of aspiring entrepreneurs and business professionals?</t>
  </si>
  <si>
    <t>How to develop niche-specific content and storytelling techniques for podcasters in the true crime genre to captivate and engage listeners who are interested in crime stories and mysteries?</t>
  </si>
  <si>
    <t>What are the strategies for podcasters in the health and wellness niche to provide valuable and reliable information to help listeners improve their physical and mental well-being?</t>
  </si>
  <si>
    <t>How to leverage guest experts, case studies, and personal experiences to provide practical advice and inspiration for podcasters in the self-help and personal development niche?</t>
  </si>
  <si>
    <t>What are the techniques for podcasters in the parenting and family niche to address common challenges, provide support, and share parenting tips and advice with their listeners?</t>
  </si>
  <si>
    <t>How to create engaging and informative content for podcasters in the technology and gadget niche to keep tech enthusiasts up-to-date with the latest trends, reviews, and tech news?</t>
  </si>
  <si>
    <t>What are the strategies for podcasters in the travel and adventure niche to inspire and guide listeners in planning their next trips, sharing travel stories, and providing destination recommendations?</t>
  </si>
  <si>
    <t>How to leverage storytelling and historical research to engage listeners and educate them about different cultures and historical events as a podcaster in the history and culture niche?</t>
  </si>
  <si>
    <t>What are the techniques for podcasters in the sports and fitness niche to provide sports analysis, discuss game highlights, and share fitness tips to keep sports enthusiasts engaged?</t>
  </si>
  <si>
    <t>How to curate and discuss the latest movie releases, TV series, and entertainment news as a podcaster in the film and entertainment niche to cater to pop culture enthusiasts?</t>
  </si>
  <si>
    <t>What are the strategies for podcasters in the food and cooking niche to share recipes, cooking tips, and culinary insights to satisfy the cravings of foodies and home cooks?</t>
  </si>
  <si>
    <t>How to provide insights, strategies, and success stories for podcasters in the finance and investing niche to help listeners improve their financial literacy and make informed investment decisions?</t>
  </si>
  <si>
    <t>What are the techniques for podcasters in the science and technology niche to break down complex scientific concepts, discuss groundbreaking discoveries, and explore futuristic ideas?</t>
  </si>
  <si>
    <t>How to create engaging and educational content for podcasters in the education and learning niche to provide valuable knowledge and insights to students, teachers, and lifelong learners?</t>
  </si>
  <si>
    <t>What are the strategies for podcasters in the music and arts niche to showcase emerging artists, discuss music trends, and provide a platform for creative discussions and performances?</t>
  </si>
  <si>
    <t>How to curate and discuss the latest fashion trends, beauty tips, and style advice as a podcaster in the fashion and beauty niche to engage fashion-conscious listeners?</t>
  </si>
  <si>
    <t>What are the techniques for podcasters in the gaming niche to review games, discuss gaming strategies, and provide insights into the gaming industry to captivate gamers and enthusiasts?</t>
  </si>
  <si>
    <t>How to provide actionable tips, techniques, and insights for podcasters in the writing and publishing niche to help aspiring writers improve their craft and navigate the publishing industry?</t>
  </si>
  <si>
    <t>What are the strategies for podcasters in the spirituality and mindfulness niche to provide guidance, inspiration, and practices for listeners seeking personal growth and spiritual exploration?</t>
  </si>
  <si>
    <t>How to curate and discuss the latest news, trends, and analysis in the politics and current events niche as a podcaster to provide informative and balanced discussions for politically-engaged listeners?</t>
  </si>
  <si>
    <t>What are the techniques for podcasters in the science fiction and fantasy niche to discuss books, movies, and TV shows, and explore speculative ideas and imaginative worlds?</t>
  </si>
  <si>
    <t>How to provide advice, tips, and insights for podcasters in the career and professional development niche to help listeners excel in their careers and navigate the job market?</t>
  </si>
  <si>
    <t>What are the strategiesfor podcasters in the DIY and home improvement niche to provide step-by-step tutorials, share renovation tips, and offer creative ideas for home projects?</t>
  </si>
  <si>
    <t>How to curate and discuss the latest trends, news, and analysis in the fashion and lifestyle niche as a podcaster to engage fashion-forward and style-conscious listeners?</t>
  </si>
  <si>
    <t>What are the techniques for podcasters in the outdoor and adventure niche to share stories, discuss outdoor activities, and provide tips for exploring nature and the great outdoors?</t>
  </si>
  <si>
    <t>How to provide insights, strategies, and success stories for podcasters in the entrepreneurship and startups niche to help aspiring entrepreneurs launch and grow their own businesses?</t>
  </si>
  <si>
    <t>What are the strategies for podcasters in the sustainable living and zero waste niche to discuss eco-friendly practices, provide tips for reducing waste, and share stories of sustainable living?</t>
  </si>
  <si>
    <t>How to curate and discuss the latest trends, news, and analysis in the nutrition and dietetics field as a podcaster to provide evidence-based nutrition information and debunk myths?</t>
  </si>
  <si>
    <t>What are the techniques for podcasters in the astrology and spirituality niche to provide astrological insights, discuss spiritual practices, and offer guidance for self-discovery and personal growth?</t>
  </si>
  <si>
    <t>How to provide insights, strategies, and success stories for podcasters in the social justice and activism niche to amplify marginalized voices, discuss social issues, and inspire positive change?</t>
  </si>
  <si>
    <t>What are the strategies for podcasters in the personal branding and career development niche to help individuals build a strong personal brand, enhance their professional image, and advance their careers?</t>
  </si>
  <si>
    <t>How to curate and discuss the latest trends, news, and analysis in the mindfulness and self-care niche as a podcaster to provide tools and practices for enhancing overall well-being?</t>
  </si>
  <si>
    <t>What are the techniques for podcasters in the animal behavior and training niche to provide training tips, discuss animal psychology, and share stories of animal-human relationships?</t>
  </si>
  <si>
    <t>How to provide insights, strategies, and success stories for podcasters in the faith and spirituality niche to provide spiritual guidance, discuss religious practices, and foster a sense of community.</t>
  </si>
  <si>
    <t>What are the strategies for podcasters in the social media and influencer marketing niche to discuss social media trends, provide marketing strategies, and help businesses navigate the digital landscape?</t>
  </si>
  <si>
    <t>How to curate and discuss the latest trends, news, and analysis in the remote work and digital nomad lifestyle as a podcaster to provide insights and tips for location-independent living.</t>
  </si>
  <si>
    <t>What are the strategies for identifying potential sponsors and advertisers that align with your podcast's niche, values, and target audience?</t>
  </si>
  <si>
    <t>How to create an appealing sponsorship package that clearly communicates the benefits and value proposition for potential sponsors and advertisers?</t>
  </si>
  <si>
    <t>What are the techniques for conducting research and market analysis to determine competitive pricing and fair rates for podcast sponsorships and advertising slots?</t>
  </si>
  <si>
    <t>How to develop a compelling pitch deck or media kit that showcases your podcast's audience demographics, reach, and engagement metrics to attract potential sponsors and advertisers?</t>
  </si>
  <si>
    <t>What are the strategies for leveraging your podcast's audience data and analytics to provide insights and evidence of the value and ROI for sponsors and advertisers?</t>
  </si>
  <si>
    <t>How to effectively approach potential sponsors and advertisers, including crafting personalized outreach emails or conducting networking events to establish connections and build relationships.</t>
  </si>
  <si>
    <t>What are the techniques for negotiating sponsorship deals, including pricing, deliverables, exclusivity, and length of partnership, to ensure a mutually beneficial agreement for both parties?</t>
  </si>
  <si>
    <t>How to create engaging and effective ad spots that seamlessly integrate sponsor messages into your podcast episodes without compromising the listener experience.</t>
  </si>
  <si>
    <t>What are the strategies for diversifying your sponsorship revenue by offering different sponsorship tiers or packages, such as mid-roll ads, pre-roll ads, host-read ads, or branded segments?</t>
  </si>
  <si>
    <t>How to leverage the power of storytelling and personal anecdotes in host-read ads to make sponsored content more engaging and relatable to your audience.</t>
  </si>
  <si>
    <t>What are the techniques for incorporating dynamic ad insertion technology to deliver targeted and personalized ads to different segments of your audience based on their interests and demographics?</t>
  </si>
  <si>
    <t>How to provide value to your sponsors beyond ad placements, such as offering additional exposure through social media shout-outs, newsletter features, or guest appearances on your podcast.</t>
  </si>
  <si>
    <t>What are the strategies for measuring and tracking the effectiveness of sponsorships and ad campaigns, including using unique discount codes or custom URLs to attribute conversions and track ROI.</t>
  </si>
  <si>
    <t>How to leverage listener feedback and survey data to gather insights and testimonials that can be used to showcase the effectiveness and impact of sponsorships and advertising on your podcast.</t>
  </si>
  <si>
    <t>What are the techniques for creating sponsored content that seamlessly integrates sponsor messages into regular episodes through storytelling, interviews, or expert insights.</t>
  </si>
  <si>
    <t>How to establish clear guidelines and ethical practices for accepting and promoting sponsorships and advertisements that align with your podcast's values and maintain listener trust.</t>
  </si>
  <si>
    <t>What are the strategies for building long-term relationships with sponsors and advertisers, including offering package deals, exclusive partnerships, or seasonal campaigns.</t>
  </si>
  <si>
    <t>How to leverage your podcast's niche and expertise to offer specialized sponsorship opportunities, such as sponsored series, product reviews, or exclusive discount codes for specific industries or niches.</t>
  </si>
  <si>
    <t>What are the techniques for providing value-added services to sponsors and advertisers, such as conducting market research or surveys among your podcast audience to provide valuable consumer insights.</t>
  </si>
  <si>
    <t>How to leverage guest interviews or collaborations with industry experts as sponsorship opportunities, allowing sponsors to be featured or highlighted in episodes relevant to their target audience.</t>
  </si>
  <si>
    <t>What are the strategies for incorporating sponsored contests, giveaways, or interactive campaigns to create engagement and excitement around sponsorships and attract new listeners.</t>
  </si>
  <si>
    <t>How to identify and approach potential affiliate partnerships that allow you to earn commissions on products or services mentioned or recommended on your podcast.</t>
  </si>
  <si>
    <t>What are the techniques for leveraging social media platforms and online communities to promote sponsored content, engage with sponsors, and generate buzz around your podcast sponsorships.</t>
  </si>
  <si>
    <t>How to create sponsored bonus content, such as exclusive episodes or behind-the-scenes access, that provides additional value to your audience and increases sponsorship opportunities.</t>
  </si>
  <si>
    <t>What are the strategies for maintaining transparency and authenticity in sponsored content, including clearly disclosing sponsorships andensuring that sponsored messages are clearly differentiated from regular content.</t>
  </si>
  <si>
    <t>How to leverage podcast directories, platforms, or networks that offer built-in advertising opportunities to attract potential sponsors and advertisers.</t>
  </si>
  <si>
    <t>What are the techniques for conducting market research and audience surveys to gather data and insights that can be used to attract sponsors and advertisers interested in your podcast's niche.</t>
  </si>
  <si>
    <t>How to leverage live events or meetups associated with your podcast to offer sponsorship opportunities, such as event sponsorship or branded activations.</t>
  </si>
  <si>
    <t>What are the strategies for collaborating with sponsors and advertisers on co-branded content or campaigns that align with both your podcast's values and their marketing objectives.</t>
  </si>
  <si>
    <t>How to leverage your podcast's website or blog to offer display advertising or sponsored content opportunities to generate additional revenue.</t>
  </si>
  <si>
    <t>What are the techniques for negotiating exclusivity agreements with sponsors or advertisers to maximize the value of your podcast's advertising slots.</t>
  </si>
  <si>
    <t>How to leverage listener testimonials or case studies to showcase the effectiveness and impact of sponsorships and advertising on your podcast's audience.</t>
  </si>
  <si>
    <t>What are the strategies for diversifying your sponsorship revenue by exploring different types of sponsors and advertisers, such as local businesses, niche brands, or corporate sponsors.</t>
  </si>
  <si>
    <t>How to leverage podcast networks or agencies specialized in podcast sponsorships to connect with potential sponsors and streamline the sponsorship process.</t>
  </si>
  <si>
    <t>What are the techniques for conducting audience research and analyzing listener demographics to provide targeted advertising opportunities to sponsors and advertisers.</t>
  </si>
  <si>
    <t>How to create sponsored segments or features that offer valuable and exclusive content to listeners while integrating sponsor messages or promotions.</t>
  </si>
  <si>
    <t>What are the strategies for incorporating native advertising techniques to make sponsored content seamlessly fit within the flow and style of your podcast episodes.</t>
  </si>
  <si>
    <t>How to leverage listener surveys or focus groups to gather feedback and insights on sponsorships and advertisements, allowing you to refine and optimize your approach.</t>
  </si>
  <si>
    <t>What are the techniques for crafting compelling sponsorship proposals or pitches that clearly articulate the unique benefits and opportunities for sponsors and advertisers.</t>
  </si>
  <si>
    <t>How to leverage your podcast's social media presence to offer sponsored social media posts or collaborations that extend the reach and impact of sponsorships.</t>
  </si>
  <si>
    <t>What are the strategies for creating customized sponsorship packages or tailored advertising solutions to meet the specific needs and objectives of different sponsors and advertisers.</t>
  </si>
  <si>
    <t>How to leverage listener engagement and interaction through calls-to-action or listener-generated content as a way to drive conversions and track the effectiveness of sponsorships.</t>
  </si>
  <si>
    <t>What are the techniques for negotiating endorsement deals or brand partnerships that go beyond traditional advertising and offer deeper integration and long-term collaborations.</t>
  </si>
  <si>
    <t>How to provide sponsors and advertisers with detailed analytics and performance reports showcasing the reach, engagement, and conversion metrics related to their sponsorship or ad campaigns.</t>
  </si>
  <si>
    <t>What are the strategies for fostering long-term relationships with sponsors and advertisers, including offering loyalty discounts, recurring sponsorship options, or priority placement opportunities.</t>
  </si>
  <si>
    <t>How to leverage sponsorships and advertisements to provide exclusive benefits or perks to your podcast's loyal listeners, such as discount codes, freebies, or VIP access.</t>
  </si>
  <si>
    <t>What are the techniques for incorporating host testimonials or personal experiences with sponsored products or services to build trust and credibility among your audience.</t>
  </si>
  <si>
    <t>How to leverage seasonal or holiday-themed campaigns to attract sponsors and advertisers interested in promoting their products or services during specific times of the year.</t>
  </si>
  <si>
    <t>What are the strategies for leveraging your podcast's guest network to identify potential sponsors or advertisers who align with the expertise or industry of your guest experts.</t>
  </si>
  <si>
    <t>How to create targeted advertising opportunities based on listener segments or specific podcast episodes to provide customized and relevant sponsorship options.</t>
  </si>
  <si>
    <t>What are the techniques for offering premium or ad-free subscription options for listeners who want to support the podcast and enjoy an uninterrupted listening experience.</t>
  </si>
  <si>
    <t>How to leverage dynamic ad insertion technology to update and replace old sponsorships or ads in archived episodes,allowing sponsors and advertisers to continue receiving exposure even in older content.</t>
  </si>
  <si>
    <t>What are the strategies for collaborating with sponsors and advertisers on co-created content, such as sponsored episodes, series, or mini-campaigns, to provide added value to both parties.</t>
  </si>
  <si>
    <t>How to leverage live read sponsorships where hosts incorporate ad messages into their natural conversational style, creating an authentic and engaging experience for listeners.</t>
  </si>
  <si>
    <t>What are the techniques for offering sponsorship bundles or packages that include multiple podcast shows or platforms to provide sponsors with increased reach and exposure.</t>
  </si>
  <si>
    <t>How to create compelling sponsor testimonials or case studies that highlight the success and positive outcomes experienced by previous sponsors or advertisers.</t>
  </si>
  <si>
    <t>What are the strategies for utilizing programmatic advertising platforms or ad exchanges to automate the process of buying and selling podcast ad inventory.</t>
  </si>
  <si>
    <t>How to leverage listener surveys or polls to gather insights and data that can be used to offer targeted advertising options based on listener preferences and interests.</t>
  </si>
  <si>
    <t>What are the techniques for establishing clear guidelines and expectations for sponsored content, including the tone, style, and messaging that align with both your podcast and the sponsor's brand.</t>
  </si>
  <si>
    <t>How to leverage cross-promotion opportunities with sponsors and advertisers, such as featuring them in your newsletter, social media posts, or other marketing channels, to maximize exposure and engagement.</t>
  </si>
  <si>
    <t>What is podcasting and how does it work?</t>
  </si>
  <si>
    <t>How to choose a podcasting niche or topic that aligns with your interests and target audience.</t>
  </si>
  <si>
    <t>What are the essential equipment and software needed to start a podcast?</t>
  </si>
  <si>
    <t>How to plan and structure your podcast episodes for maximum impact and engagement.</t>
  </si>
  <si>
    <t>What are the key elements of a successful podcast intro and outro?</t>
  </si>
  <si>
    <t>How to develop your podcasting voice and delivery style.</t>
  </si>
  <si>
    <t>What are the best practices for recording high-quality audio for your podcast?</t>
  </si>
  <si>
    <t>How to edit and enhance your podcast episodes using audio editing software.</t>
  </si>
  <si>
    <t>What are the different hosting platforms and services available for podcasters?</t>
  </si>
  <si>
    <t>How to submit your podcast to directories such as Apple Podcasts, Spotify, and Google Podcasts.</t>
  </si>
  <si>
    <t>What are the strategies for creating visually appealing podcast artwork and cover images?</t>
  </si>
  <si>
    <t>How to write effective podcast show notes and episode descriptions.</t>
  </si>
  <si>
    <t>What are the essential elements to include in your podcast website or landing page?</t>
  </si>
  <si>
    <t>How to optimize your podcast episodes for search engines and discoverability.</t>
  </si>
  <si>
    <t>What are the best practices for naming your podcast and choosing episode titles?</t>
  </si>
  <si>
    <t>How to create a podcast production schedule and stay consistent with your episode releases.</t>
  </si>
  <si>
    <t>What are the legal considerations and copyright guidelines for podcasters?</t>
  </si>
  <si>
    <t>How to promote your podcast on social media platforms and engage with your audience.</t>
  </si>
  <si>
    <t>What are the strategies for gaining initial traction and attracting your first listeners?</t>
  </si>
  <si>
    <t>How to utilize guest interviews to add variety and depth to your podcast episodes.</t>
  </si>
  <si>
    <t>What are the techniques for engaging and interacting with your podcast audience?</t>
  </si>
  <si>
    <t>How to monetize your podcast through sponsorships, advertisements, or crowdfunding.</t>
  </si>
  <si>
    <t>What are the metrics and analytics to track for measuring the success of your podcast.</t>
  </si>
  <si>
    <t>How to leverage cross-promotion and collaborations with other podcasters.</t>
  </si>
  <si>
    <t>Etsy Success</t>
  </si>
  <si>
    <t>What are some strategies for positioning my products as unique within a competitive niche on Etsy?</t>
  </si>
  <si>
    <t>How can I leverage customer feedback and reviews to refine my niche selection on Etsy?</t>
  </si>
  <si>
    <t>Are there any untapped international markets or niches on Etsy that I should explore?</t>
  </si>
  <si>
    <t>How can I research the profitability and competition level of niche keywords on Etsy?</t>
  </si>
  <si>
    <t>What are some effective ways to conduct surveys or gather customer insights within a specific niche on Etsy?</t>
  </si>
  <si>
    <t>How can I identify and assess the pricing strategies of competitors within a niche on Etsy?</t>
  </si>
  <si>
    <t>What are some niche-specific industry trends or news that could impact my Etsy business?</t>
  </si>
  <si>
    <t>How can I differentiate my products within a niche based on quality, design, or functionality?</t>
  </si>
  <si>
    <t>Are there any local or regional niche markets that I can target on Etsy?</t>
  </si>
  <si>
    <t>How can I identify niche-specific influencers or opinion leaders who can help promote my Etsy products?</t>
  </si>
  <si>
    <t>What are the potential challenges or risks associated with entering a niche market on Etsy?</t>
  </si>
  <si>
    <t>How can I identify the most popular subcategories or product types within a niche on Etsy?</t>
  </si>
  <si>
    <t>What are some niche-specific marketing strategies or channels that can help me reach my target audience on Etsy?</t>
  </si>
  <si>
    <t>How can I leverage data and analytics to identify niche trends and opportunities on Etsy?</t>
  </si>
  <si>
    <t>Are there any niche-specific trade shows or events where I can showcase my Etsy products?</t>
  </si>
  <si>
    <t>How can I gather feedback from potential customers within a niche before launching my Etsy shop?</t>
  </si>
  <si>
    <t>What are the niche-specific shipping and fulfillment considerations I should keep in mind on Etsy?</t>
  </si>
  <si>
    <t>How can I identify and monitor niche-related hashtags or keywords on social media for market insights?</t>
  </si>
  <si>
    <t>Are there any niche-specific product customization or personalization opportunities I can explore on Etsy?</t>
  </si>
  <si>
    <t>How can I identify and establish partnerships with suppliers or manufacturers specializing in a specific niche?</t>
  </si>
  <si>
    <t>What are some strategies for building brand loyalty and repeat customers within a niche on Etsy?</t>
  </si>
  <si>
    <t>How can I position my Etsy shop as an authority or go-to resource within a specific niche?</t>
  </si>
  <si>
    <t>What are the potential niche-specific challenges or barriers to entry I should be aware of on Etsy?</t>
  </si>
  <si>
    <t>How can I conduct competitor analysis within a niche to identify their strengths and weaknesses on Etsy?</t>
  </si>
  <si>
    <t>Are there any niche-specific packaging or presentation trends that can enhance the perceived value of my Etsy products?</t>
  </si>
  <si>
    <t>How can I identify and target niche-specific keywords for SEO optimization on Etsy?</t>
  </si>
  <si>
    <t>What are some niche-specific pricing strategies or tactics to maximize profitability on Etsy?</t>
  </si>
  <si>
    <t>How can I leverage customer testimonials or case studies to showcase the value of my products within a niche?</t>
  </si>
  <si>
    <t>Are there any niche-specific product regulations or compliance requirements I should consider on Etsy?</t>
  </si>
  <si>
    <t>How can I leverage storytelling and content marketing to connect with customers within a niche on Etsy?</t>
  </si>
  <si>
    <t>What are some strategies for creating a cohesive product line or collection within a niche on Etsy?</t>
  </si>
  <si>
    <t>How can I use niche-specific data and insights to optimize my marketing campaigns on Etsy?</t>
  </si>
  <si>
    <t>Are there any niche-specific product bundling or cross-promotion opportunities I can explore on Etsy?</t>
  </si>
  <si>
    <t>How can I leverage niche-specific influencers or bloggers to increase the visibility of my Etsy shop?</t>
  </si>
  <si>
    <t>What are some strategies for conducting ongoing market research and staying updated within a specific niche on Etsy?</t>
  </si>
  <si>
    <t>How can I use customer surveys or feedback loops to continuously improve my products within a niche on Etsy?</t>
  </si>
  <si>
    <t>Are there any niche-specific customer retention strategies or loyalty programs I can implement on Etsy?</t>
  </si>
  <si>
    <t>How can I identify and tap into emerging niche markets or consumer trends on Etsy?</t>
  </si>
  <si>
    <t>What are some strategies for expanding my product offerings within a niche to cater to different customer preferences on Etsy?</t>
  </si>
  <si>
    <t>How can I identify and address potential niche-specific pricing objections or customer concerns on Etsy?</t>
  </si>
  <si>
    <t>What are some niche-specific advertising or promotional opportunities I can leverage on Etsy?</t>
  </si>
  <si>
    <t>How can I track and analyze the performance metrics of my Etsy products within a specific niche?</t>
  </si>
  <si>
    <t>Are there any niche-specific product research tools or platforms I can use to validate demand and competition on Etsy?</t>
  </si>
  <si>
    <t>How can I effectively communicate the value proposition of my products within a niche on Etsy?</t>
  </si>
  <si>
    <t>What are some strategies for building relationships and engaging with niche communities or influencers on Etsy?</t>
  </si>
  <si>
    <t>How can I identify and leverage niche-specific keywords and tags to improve discoverability on Etsy?</t>
  </si>
  <si>
    <t>Are there any niche-specific packaging or shipping trends that can enhance the overall customer experience on Etsy?</t>
  </si>
  <si>
    <t>How can I identify and target niche-specific demographics or customer segments on Etsy?</t>
  </si>
  <si>
    <t>What are some strategies for staying ahead of the competition within a niche on Etsy?</t>
  </si>
  <si>
    <t>How can I optimize my product listings within a niche to increase visibility and conversion rates on Etsy?</t>
  </si>
  <si>
    <t>Are there any niche-specific events or holidays that I can align my marketing efforts with on Etsy?</t>
  </si>
  <si>
    <t>How can I gather feedback and insights from niche-related online communities or forums on Etsy?</t>
  </si>
  <si>
    <t>What are some strategies for creating a unique and memorable brand identity within a niche on Etsy?</t>
  </si>
  <si>
    <t>How can I identify and analyze niche-specific search trends and customer behavior on Etsy?</t>
  </si>
  <si>
    <t>Are there any niche-specific product sourcing or manufacturing considerations I should keep in mind on Etsy?</t>
  </si>
  <si>
    <t>How can I position my Etsy shop as an expert or thought leader within a specific niche?</t>
  </si>
  <si>
    <t>What are some strategies for building credibility and trust within a niche on Etsy?</t>
  </si>
  <si>
    <t>How can I monitor and adapt to evolving customer preferences and demands within a niche on Etsy?</t>
  </si>
  <si>
    <t>Are there any niche-specific international markets or customer segments I can target on Etsy?</t>
  </si>
  <si>
    <t>How can I leverage niche-specific customer testimonials and reviews to build social proof on Etsy?</t>
  </si>
  <si>
    <t>What are some strategies for continuously researching and identifying new product ideas within a niche on Etsy?</t>
  </si>
  <si>
    <t>How can I gather data and insights from niche-specific surveys or focus groups to inform my Etsy business decisions?</t>
  </si>
  <si>
    <t>Are there any niche-specific product packaging or labeling requirements I should consider on Etsy?</t>
  </si>
  <si>
    <t>How can I use competitive analysis to identify niche gaps and opportunities for my Etsy business?</t>
  </si>
  <si>
    <t>What are some strategies for creating a niche-specific brand voice and tone for my Etsy shop?</t>
  </si>
  <si>
    <t>How can I conduct user testing or gather feedback to validate the appeal of my product ideas within a niche on Etsy?</t>
  </si>
  <si>
    <t>Are there any niche-specific subscription or recurring revenue models that can be implemented on Etsy?</t>
  </si>
  <si>
    <t>How can I leverage niche-specific influencers or brand ambassadors to expand my reach on Etsy?</t>
  </si>
  <si>
    <t>What are some strategies for differentiating my products within a niche through unique design or customization options on Etsy?</t>
  </si>
  <si>
    <t>How can I leverage customer data and insights to personalize the shopping experience for niche-specific segments on Etsy?</t>
  </si>
  <si>
    <t>Are there any niche-specific licensing or copyright considerations I should be aware of on Etsy?</t>
  </si>
  <si>
    <t>How can I leverage niche-specific trends and events to create limited-edition or seasonal products on Etsy?</t>
  </si>
  <si>
    <t>How can I optimize my Etsy shop layout and design to improve the overall user experience?</t>
  </si>
  <si>
    <t>What are the key elements of an effective Etsy shop banner and logo?</t>
  </si>
  <si>
    <t>How can I optimize my shop title and tagline to attract more visitors on Etsy?</t>
  </si>
  <si>
    <t>What are the best practices for writing compelling shop announcements and descriptions?</t>
  </si>
  <si>
    <t>How can I organize my shop categories and subcategories for easy navigation?</t>
  </si>
  <si>
    <t>What are some strategies for optimizing my Etsy shop for mobile users?</t>
  </si>
  <si>
    <t>How can I optimize my shop policies and FAQ section to address common customer concerns?</t>
  </si>
  <si>
    <t>What are the considerations for choosing the right shop colors and fonts that align with my brand?</t>
  </si>
  <si>
    <t>How can I showcase my best-selling products or featured collections on my Etsy shop homepage?</t>
  </si>
  <si>
    <t>What are the strategies for using high-quality product images and visuals to enhance conversion rates on Etsy?</t>
  </si>
  <si>
    <t>How can I optimize my product pricing and shipping details to increase sales on Etsy?</t>
  </si>
  <si>
    <t>What are the strategies for creating persuasive and detailed product listings on Etsy?</t>
  </si>
  <si>
    <t>How can I effectively use bullet points and product highlights to convey key selling points?</t>
  </si>
  <si>
    <t>What are the best practices for optimizing product titles and tags for improved discoverability on Etsy?</t>
  </si>
  <si>
    <t>How can I leverage customer reviews and testimonials to build trust and credibility on Etsy?</t>
  </si>
  <si>
    <t>How can I use persuasive language and storytelling in my product descriptions to engage buyers?</t>
  </si>
  <si>
    <t>What are the strategies for creating urgency and scarcity to drive conversions on Etsy?</t>
  </si>
  <si>
    <t>How can I optimize my product variations and options to cater to different customer preferences?</t>
  </si>
  <si>
    <t>How can I implement a clear and user-friendly checkout process to minimize cart abandonment on Etsy?</t>
  </si>
  <si>
    <t>What are the strategies for using cross-selling and upselling techniques to increase order value on Etsy?</t>
  </si>
  <si>
    <t>How can I optimize my Etsy shop's search filters and sorting options for better user experience?</t>
  </si>
  <si>
    <t>What are the strategies for reducing page load times and improving site performance on Etsy?</t>
  </si>
  <si>
    <t>How can I optimize my shop's navigation menu and internal linking structure for easy browsing?</t>
  </si>
  <si>
    <t>How can I implement effective call-to-action buttons and prompts to guide customers towards purchasing?</t>
  </si>
  <si>
    <t>What are the strategies for using social proof elements like badges, certifications, and trust seals on Etsy?</t>
  </si>
  <si>
    <t>How can I optimize my shop's "About" page to establish trust and connect with customers?</t>
  </si>
  <si>
    <t>What are the best practices for using customer testimonials and case studies to increase conversions?</t>
  </si>
  <si>
    <t>How can I implement live chat or chatbot features to provide real-time support and enhance customer experience?</t>
  </si>
  <si>
    <t>How can I use exit-intent pop-ups or offers to recover potential lost sales on Etsy?</t>
  </si>
  <si>
    <t>What are the strategies for optimizing my shop's search engine visibility and ranking on Etsy?</t>
  </si>
  <si>
    <t>How can I leverage Etsy's "Shop Updates" feature to engage with my audience and drive conversions?</t>
  </si>
  <si>
    <t>What are the strategies for implementing effective email marketing campaigns to nurture leads and boost sales on Etsy?</t>
  </si>
  <si>
    <t>How can I optimize my shop's meta tags and descriptions to improve search engine optimization (SEO)?</t>
  </si>
  <si>
    <t>How can I leverage Etsy's advertising options, such as Promoted Listings, to increase visibility and conversions?</t>
  </si>
  <si>
    <t>What are the strategies for using social media integration to drive traffic and sales to my Etsy shop?</t>
  </si>
  <si>
    <t>How can I optimize my shop's shipping options and policies to meet customer expectations and reduce cart abandonment?</t>
  </si>
  <si>
    <t>How can I use retargeting ads and abandoned cart emails to re-engage potential customers on Etsy?</t>
  </si>
  <si>
    <t>What are the strategies for implementing customer loyalty programs and incentives to drive repeat sales on Etsy?</t>
  </si>
  <si>
    <t>How can I optimize my shop's product filters and sorting options to help customers find what they're looking for?</t>
  </si>
  <si>
    <t>What are the strategies for creating effective product bundles or kits to increase average order value on Etsy?</t>
  </si>
  <si>
    <t>How can I leverage Etsy's analytics and data insights to identify opportunities for shop optimization and CRO?</t>
  </si>
  <si>
    <t>What are the strategies for implementing a seamless and user-friendly mobile checkout experience on Etsy?</t>
  </si>
  <si>
    <t>How can I optimize my shop's product reviews and ratings to build trust and credibility with buyers?</t>
  </si>
  <si>
    <t>How can I use personalized product recommendations and upselling techniques to increase conversions on Etsy?</t>
  </si>
  <si>
    <t>What are the strategies for optimizing my shop's navigation menu and category hierarchy for better user experience?</t>
  </si>
  <si>
    <t>How can I implement a guest checkout option to simplify the purchase process for new customers on Etsy?</t>
  </si>
  <si>
    <t>How can I leverage social media sharing and referral programs to encourage customers to promote my Etsy shop?</t>
  </si>
  <si>
    <t>What are the strategies for implementing a transparent and customer-friendly return and refund policy on Etsy?</t>
  </si>
  <si>
    <t>How can I optimize my shop's overall loading speed and performance to reduce bounce rates and improve conversions?</t>
  </si>
  <si>
    <t>What are the strategies for using scarcity tactics like limited editions or time-limited offers to drive urgency on Etsy?</t>
  </si>
  <si>
    <t>How can I optimize my Etsy shop for international customers, including language options and currency conversion?</t>
  </si>
  <si>
    <t>What are the strategies for implementing personalized product recommendations based on customer browsing history on Etsy?</t>
  </si>
  <si>
    <t>How can I use customer segmentation and targeted email marketing to increase conversions on Etsy?</t>
  </si>
  <si>
    <t>How can I optimize my shop's product filters and attributes to facilitate the product discovery process on Etsy?</t>
  </si>
  <si>
    <t>What are the strategies for creating effective product videos or demos to showcase the features and benefits on Etsy?</t>
  </si>
  <si>
    <t>How can I leverage user-generated content, such as customer photos or testimonials, to increase conversions on Etsy?</t>
  </si>
  <si>
    <t>How can I implement a clear and intuitive search functionality to help customers find products quickly on Etsy?</t>
  </si>
  <si>
    <t>What are the strategies for using storytelling and brand narratives to create an emotional connection with customers on Etsy?</t>
  </si>
  <si>
    <t>How can I optimize my shop's pricing display and presentation to highlight value and reduce price sensitivity on Etsy?</t>
  </si>
  <si>
    <t>What are the strategies for using targeted pop-ups or overlays to capture email leads and drive conversions on Etsy?</t>
  </si>
  <si>
    <t>How can I leverage customer feedback and surveys to gather insights and optimize my shop's user experience on Etsy?</t>
  </si>
  <si>
    <t>What are the strategies for using urgency-driven offers and discounts to encourage immediate purchases on Etsy?</t>
  </si>
  <si>
    <t>How can I optimize my shop's search result snippets and product previews to attract more clicks and conversions on Etsy?</t>
  </si>
  <si>
    <t>How can I implement a personalized and automated email follow-up sequence to nurture leads and increase conversions on Etsy?</t>
  </si>
  <si>
    <t>What are the strategies for using social proof elements like testimonials, reviews, and ratings to build trust and credibility on Etsy?</t>
  </si>
  <si>
    <t>How can I optimize my product packaging and unboxing experience to create a memorable and shareable customer experience on Etsy?</t>
  </si>
  <si>
    <t>How can I leverage user-generated content, such as product reviews and customer photos, to boost conversions on Etsy?</t>
  </si>
  <si>
    <t>What are the strategies for implementing a product recommendation engine to offer personalized suggestions to customers on Etsy?</t>
  </si>
  <si>
    <t>How can I optimize my shop's layout and product display to create a visually appealing and engaging browsing experience on Etsy?</t>
  </si>
  <si>
    <t>What are the strategies for using scarcity and limited-time promotions to create a sense of urgency and drive conversions on Etsy?</t>
  </si>
  <si>
    <t>How can I leverage social media influencers and partnerships to increase brand visibility and drive traffic to my Etsy shop?</t>
  </si>
  <si>
    <t>What are the strategies for optimizing my shop's category hierarchy and navigation to improve user experience and conversion rates on Etsy?</t>
  </si>
  <si>
    <t>How can I use customer segmentation and targeting to deliver personalized product recommendations and offers on Etsy?</t>
  </si>
  <si>
    <t>How can I optimize my product images and thumbnails to capture attention and entice clicks on Etsy?</t>
  </si>
  <si>
    <t>What are the strategies for using customer testimonials and success stories to highlight the value and benefits of my products on Etsy?</t>
  </si>
  <si>
    <t>How can I implement live chat or chatbot support to provide real-time assistance and improve customer satisfaction on Etsy?</t>
  </si>
  <si>
    <t>How can I leverage social proof elements like trust badges, certifications, and social media mentions to build credibility on Etsy?</t>
  </si>
  <si>
    <t>What are the strategies for optimizing my shop's customer reviews and ratings to inspire confidence and increase conversions on Etsy?</t>
  </si>
  <si>
    <t>How can I use targeted email marketing campaigns to re-engage inactive customers and drive repeat purchases on Etsy?</t>
  </si>
  <si>
    <t>What are the strategies for using personalized product recommendations based on browsing behavior to increase average order value on Etsy?</t>
  </si>
  <si>
    <t>How can I optimize my shop's product comparison features and interactive elements to help customers make informed decisions on Etsy?</t>
  </si>
  <si>
    <t>What are the strategies for using exit-intent pop-ups and offers to recover abandoned carts and encourage purchases on Etsy?</t>
  </si>
  <si>
    <t>How can I leverage user-generated content, such as customer testimonials and photos, to create social proof and boost conversions on Etsy?</t>
  </si>
  <si>
    <t>How can I implement a referral program or affiliate marketing system to incentivize customers to promote my Etsy shop?</t>
  </si>
  <si>
    <t>What are the strategies for using targeted product upsells and cross-sells to increase the average order value on Etsy?</t>
  </si>
  <si>
    <t>How can I optimize my shop's customer support channels, such as email or messaging, to provide timely and helpful assistance on Etsy?</t>
  </si>
  <si>
    <t>How can I leverage user-generated content, such as product reviews and social media mentions, to increase brand awareness and trust on Etsy?</t>
  </si>
  <si>
    <t>What are the strategies for optimizing my shop's search filters and sorting options to improve product discoverability and browsing experience on Etsy?</t>
  </si>
  <si>
    <t>How can I use scarcity tactics like limited editions or exclusive offers to create a sense of urgency and drive conversions on Etsy?</t>
  </si>
  <si>
    <t>What are the strategies for using A/B testing and analytics to identify and optimize key conversion points in my Etsy shop?</t>
  </si>
  <si>
    <t>How can I optimize my shop's customer feedback and review management process to maintain a positive reputation and build trust on Etsy?</t>
  </si>
  <si>
    <t>What are the strategies for using personalized product recommendations based on past purchases or browsing history to increase customer engagement on Etsy?</t>
  </si>
  <si>
    <t>How can I leverage customer loyalty programs, discounts, or rewards to encourage repeat purchases and increase customer lifetime value on Etsy?</t>
  </si>
  <si>
    <t>How can I optimize my shop's visual storytelling and brand narrative to create an emotional connection with customers on Etsy?</t>
  </si>
  <si>
    <t>What are the strategies for using persuasive copywriting techniques and storytelling in my product descriptions to increase conversions on Etsy?</t>
  </si>
  <si>
    <t>How can I implement product scarcity tactics like limited stock or countdown timers to create a sense of urgency and drive purchases on Etsy?</t>
  </si>
  <si>
    <t>How can I leverage email segmentation and personalized offers to deliver targeted promotions and increase conversions on Etsy?</t>
  </si>
  <si>
    <t>What are the strategies for optimizing my shop's customer review and rating display to enhance social proof and trustworthiness on Etsy?</t>
  </si>
  <si>
    <t>How can I use remarketing ads and email campaigns to re-engage past customers and encourage repeat purchases on Etsy?</t>
  </si>
  <si>
    <t>What are the strategies for optimizing my shop's customer testimonials and social proof elements to build credibility and increase conversions on Etsy?</t>
  </si>
  <si>
    <t>How can I identify and define my target market on Etsy?</t>
  </si>
  <si>
    <t>What are the key demographic factors to consider when developing customer personas for my Etsy business?</t>
  </si>
  <si>
    <t>How can I conduct market research to understand the needs and preferences of my target audience on Etsy?</t>
  </si>
  <si>
    <t>What are the psychographic characteristics and lifestyle factors to consider when creating customer personas for my Etsy shop?</t>
  </si>
  <si>
    <t>How can I gather data and insights on my target market's online shopping behaviors and preferences on Etsy?</t>
  </si>
  <si>
    <t>What are the strategies for identifying and understanding my target market's pain points and challenges on Etsy?</t>
  </si>
  <si>
    <t>How can I create customer personas that accurately represent the diverse segments of my target market on Etsy?</t>
  </si>
  <si>
    <t>What are the best practices for conducting surveys or interviews to gather feedback from my target market on Etsy?</t>
  </si>
  <si>
    <t>How can I use analytics and data from Etsy to identify patterns and trends within my target market?</t>
  </si>
  <si>
    <t>What are the strategies for leveraging social media platforms to gain insights into my target market's interests and behaviors?</t>
  </si>
  <si>
    <t>How can I segment my target market based on different buyer personas or customer profiles on Etsy?</t>
  </si>
  <si>
    <t>What are the strategies for identifying niche markets or subsegments within my broader target market on Etsy?</t>
  </si>
  <si>
    <t>How can I use customer feedback and reviews on Etsy to refine and improve my understanding of my target market?</t>
  </si>
  <si>
    <t>How can I create customer personas that align with my brand values and positioning on Etsy?</t>
  </si>
  <si>
    <t>What are the strategies for identifying and targeting specific customer segments based on their purchasing power and spending habits on Etsy?</t>
  </si>
  <si>
    <t>How can I use competitor analysis to gain insights into my target market's preferences and purchasing behaviors on Etsy?</t>
  </si>
  <si>
    <t>How can I create customer personas that reflect the emotional motivations and aspirations of my target market on Etsy?</t>
  </si>
  <si>
    <t>What are the strategies for using keyword research and SEO analysis to understand my target market's search intent on Etsy?</t>
  </si>
  <si>
    <t>How can I identify and tap into emerging trends and preferences within my target market on Etsy?</t>
  </si>
  <si>
    <t>What are the best practices for validating and refining my customer personas through continuous research and feedback on Etsy?</t>
  </si>
  <si>
    <t>How can I create customer personas that take into account the specific cultural or regional characteristics of my target market on Etsy?</t>
  </si>
  <si>
    <t>What are the strategies for conducting user testing or gathering feedback to validate the accuracy and effectiveness of my customer personas on Etsy?</t>
  </si>
  <si>
    <t>How can I identify and address the common objections or barriers that my target market may have when considering a purchase on Etsy?</t>
  </si>
  <si>
    <t>How can I create customer personas that highlight the unique selling points and benefits of my products for my target market on Etsy?</t>
  </si>
  <si>
    <t>What are the strategies for using social media listening and monitoring tools to gain insights into conversations and trends within my target market on Etsy?</t>
  </si>
  <si>
    <t>How can I create customer personas that reflect the varying levels of product knowledge and expertise within my target market on Etsy?</t>
  </si>
  <si>
    <t>How can I leverage customer segmentation to personalize my marketing messages and offers for different customer personas on Etsy?</t>
  </si>
  <si>
    <t>What are the strategies for using customer surveys or feedback forms to gather demographic and psychographic data from my target market on Etsy?</t>
  </si>
  <si>
    <t>How can I create customer personas that consider the different stages of the buyer's journey within my target market on Etsy?</t>
  </si>
  <si>
    <t>What are the best practices for documenting and sharing customer personas within my Etsy business to ensure a consistent understanding across the team?</t>
  </si>
  <si>
    <t>How can I create customer personas that align with the values and interests of my target market's specific niche or subculture on Etsy?</t>
  </si>
  <si>
    <t>What are the strategies for using customer segmentation to tailor my product offerings and promotions to different customer personas on Etsy?</t>
  </si>
  <si>
    <t>How can I gather data and insights on my target market's online browsing and shopping behaviors outside of Etsy?</t>
  </si>
  <si>
    <t>How can I create customer personas that address the specific pain points and challenges that my target market faces in their Etsy shopping experience?</t>
  </si>
  <si>
    <t>What are the strategies for using customer testimonials and success stories to further understand the motivations and desires of my target market on Etsy?</t>
  </si>
  <si>
    <t>How can I create customer personas that consider the various channels and touchpoints that my target market uses to interact with my Etsy shop?</t>
  </si>
  <si>
    <t>How can I use keyword research and SEO analysis to discover untapped customer segments and niche markets within my target market on Etsy?</t>
  </si>
  <si>
    <t>What are the strategies for conducting competitor analysis to gain insights into the target market of other successful Etsy sellers in my niche?</t>
  </si>
  <si>
    <t>How can I create customer personas that reflect the specific purchase motivations and decision-making factors of my target market on Etsy?</t>
  </si>
  <si>
    <t>How can I gather data and insights on my target market's response to different pricing strategies and value propositions on Etsy?</t>
  </si>
  <si>
    <t>What are the strategies for using social media engagement and interactions to gather qualitative insights into my target market's preferences on Etsy?</t>
  </si>
  <si>
    <t>How can I create customer personas that address the different communication styles and preferences of my target market on Etsy?</t>
  </si>
  <si>
    <t>How can I identify and leverage key influencers or opinion leaders within my target market to expand my reach on Etsy?</t>
  </si>
  <si>
    <t>What are the strategies for using customer journey mapping to understand the touchpoints and interactions that shape my target market's Etsy shopping experience?</t>
  </si>
  <si>
    <t>How can I create customer personas that consider the specific device usage and technological preferences of my target market on Etsy?</t>
  </si>
  <si>
    <t>How can I gather data and insights on my target market's response to different visual aesthetics and design elements on Etsy?</t>
  </si>
  <si>
    <t>What are the strategies for using customer feedback and reviews on Etsy to identify opportunities for product improvement and innovation?</t>
  </si>
  <si>
    <t>How can I create customer personas that address the varying levels of brand loyalty and affinity within my target market on Etsy?</t>
  </si>
  <si>
    <t>How can I identify and address the specific informational needs and concerns of my target market at different stages of their Etsy shopping journey?</t>
  </si>
  <si>
    <t>What are the strategies for using customer segmentation and personas to personalize my Etsy shop's messaging, content, and product recommendations?</t>
  </si>
  <si>
    <t>How can I determine the optimal pricing strategy for my products on Etsy?</t>
  </si>
  <si>
    <t>What are the key factors to consider when setting prices for my Etsy products?</t>
  </si>
  <si>
    <t>How can I calculate my product's production costs and factor them into my pricing strategy on Etsy?</t>
  </si>
  <si>
    <t>What are the strategies for conducting market research to understand the price range and competitive landscape within my niche on Etsy?</t>
  </si>
  <si>
    <t>How can I analyze my target market's price sensitivity and willingness to pay for products similar to mine on Etsy?</t>
  </si>
  <si>
    <t>What are the best practices for setting prices that reflect the value and quality of my products on Etsy?</t>
  </si>
  <si>
    <t>How can I calculate and include a profit margin that ensures sustainability and growth for my Etsy business?</t>
  </si>
  <si>
    <t>What are the strategies for adjusting prices based on seasonality, trends, or demand fluctuations on Etsy?</t>
  </si>
  <si>
    <t>How can I use pricing psychology techniques to influence customer perception and increase sales on Etsy?</t>
  </si>
  <si>
    <t>What are the considerations for pricing variations, such as offering different sizes, options, or bundles on Etsy?</t>
  </si>
  <si>
    <t>How can I implement dynamic pricing strategies, such as discounts, promotions, or flash sales, to drive conversions and customer engagement on Etsy?</t>
  </si>
  <si>
    <t>What are the strategies for communicating the value and unique selling points of my products to justify higher prices on Etsy?</t>
  </si>
  <si>
    <t>How can I analyze and interpret pricing data and analytics from Etsy to make informed pricing decisions?</t>
  </si>
  <si>
    <t>How can I set prices that provide a competitive edge while maintaining profitability on Etsy?</t>
  </si>
  <si>
    <t>What are the strategies for offering different pricing tiers or packages to cater to different customer segments on Etsy?</t>
  </si>
  <si>
    <t>How can I calculate and account for overhead expenses, such as packaging, shipping, and Etsy fees, when determining product prices?</t>
  </si>
  <si>
    <t>How can I conduct A/B testing to evaluate the impact of different price points on customer behavior and sales performance on Etsy?</t>
  </si>
  <si>
    <t>What are the strategies for implementing price elasticity testing to understand the price sensitivity of my target market on Etsy?</t>
  </si>
  <si>
    <t>How can I monitor and adjust my prices based on customer feedback, reviews, and market trends on Etsy?</t>
  </si>
  <si>
    <t>What are the considerations for international pricing and currency conversions when selling on Etsy?</t>
  </si>
  <si>
    <t>How can I implement value-based pricing strategies that align with the unique features and benefits of my products on Etsy?</t>
  </si>
  <si>
    <t>What are the strategies for bundling or upselling products to increase average order value and overall profitability on Etsy?</t>
  </si>
  <si>
    <t>How can I calculate the breakeven point and profit margins for my products to ensure financial viability on Etsy?</t>
  </si>
  <si>
    <t>How can I set prices that account for the time and effort invested in the creation or sourcing of my products on Etsy?</t>
  </si>
  <si>
    <t>What are the strategies for utilizing pricing tiers or subscription models to offer different levels of value and benefits on Etsy?</t>
  </si>
  <si>
    <t>How can I leverage pricing as a strategic tool to position my products as premium or luxury offerings on Etsy?</t>
  </si>
  <si>
    <t>How can I calculate and optimize my pricing strategy to achieve a healthy balance between sales volume and profit margins on Etsy?</t>
  </si>
  <si>
    <t>What are the considerations for seasonal or limited-edition pricing strategies to create exclusivity and drive demand on Etsy?</t>
  </si>
  <si>
    <t>How can I communicate the value proposition of my products through effective pricing and product descriptions on Etsy?</t>
  </si>
  <si>
    <t>What are the strategies for offering discounts or incentives to encourage repeat purchases and foster customer loyalty on Etsy?</t>
  </si>
  <si>
    <t>How can I implement pricing strategies that account for the perceived value and emotional connection customers have with my products on Etsy?</t>
  </si>
  <si>
    <t>What are the strategies for pricing customization or personalized products to reflect the additional effort and uniqueness on Etsy?</t>
  </si>
  <si>
    <t>How can I calculate and adjust my prices based on the cost of acquiring customers through marketing and advertising efforts on Etsy?</t>
  </si>
  <si>
    <t>How can I offer competitive pricing while maintaining a healthy profit margin and avoiding price wars on Etsy?</t>
  </si>
  <si>
    <t>What are the considerations for pricing limited-edition or one-of-a-kind products that hold higher value and exclusivity on Etsy?</t>
  </si>
  <si>
    <t>How can I analyze competitor pricing and market trends to identify pricing gaps and opportunities for my products on Etsy?</t>
  </si>
  <si>
    <t>How can I implement pricing strategies that incentivize larger order quantities or wholesale purchases on Etsy?</t>
  </si>
  <si>
    <t>What are the strategies for effectively communicating price changes or increases to customers on Etsy?</t>
  </si>
  <si>
    <t>How can I create pricing strategies that cater to different customer segments, such as budget-conscious buyers or premium-seeking customers, on Etsy?</t>
  </si>
  <si>
    <t>What are the considerations for offering free shipping and factoring it into the overall pricing strategy for my Etsy products?</t>
  </si>
  <si>
    <t>How can I calculate and optimize my prices to achieve a balance between generating profit and maintaining competitive pricing on Etsy?</t>
  </si>
  <si>
    <t>What are the strategies for utilizing pricing psychology techniques, such as charm pricing or decoy pricing, to influence customer decision-making on Etsy?</t>
  </si>
  <si>
    <t>How can I implement pricing strategies that account for the perceived value and craftsmanship of handmade or artisanal products on Etsy?</t>
  </si>
  <si>
    <t>How can I adjust my prices to align with the current market conditions, supply chain disruptions, or changes in raw material costs on Etsy?</t>
  </si>
  <si>
    <t>What are the considerations for implementing tiered pricing based on customer loyalty, repeat purchases, or referral programs on Etsy?</t>
  </si>
  <si>
    <t>How can I offer competitive pricing while maintaining high-quality standards and premium materials in my products on Etsy?</t>
  </si>
  <si>
    <t>How can I calculate and optimize my prices to account for seasonal demand fluctuations and maximize revenue on Etsy?</t>
  </si>
  <si>
    <t>What are the strategies for utilizing pricing transparency to build trust and credibility with customers on Etsy?</t>
  </si>
  <si>
    <t>How can I create pricing strategies that consider the perceived value and benefits of my products in comparison to similar offerings on Etsy?</t>
  </si>
  <si>
    <t>What are the considerations for implementing pricing strategies that encourage impulse purchases and increase conversion rates on Etsy?</t>
  </si>
  <si>
    <t>How can I create compelling listing titles that grab attention and entice potential buyers on Etsy?</t>
  </si>
  <si>
    <t>What are the key elements to include in my listing titles to optimize search visibility and click-through rates on Etsy?</t>
  </si>
  <si>
    <t>How can I use keyword research to craft targeted and relevant listing titles for my Etsy products?</t>
  </si>
  <si>
    <t>What are the strategies for incorporating descriptive and specific details in my listing titles to attract the right audience on Etsy?</t>
  </si>
  <si>
    <t>How can I optimize my listing titles to stand out among competitors and increase the chances of conversion on Etsy?</t>
  </si>
  <si>
    <t>What are the best practices for creating concise and succinct listing titles that effectively communicate the essence of my products on Etsy?</t>
  </si>
  <si>
    <t>How can I utilize power words and persuasive language in my listing titles to evoke emotions and generate interest on Etsy?</t>
  </si>
  <si>
    <t>What are the considerations for using symbols or special characters in my listing titles to make them visually appealing on Etsy?</t>
  </si>
  <si>
    <t>How can I test and iterate my listing titles to identify the most effective ones for driving engagement and sales on Etsy?</t>
  </si>
  <si>
    <t>What are the strategies for localizing my listing titles to target specific geographical markets or language preferences on Etsy?</t>
  </si>
  <si>
    <t>How can I incorporate relevant product attributes, such as size, color, or material, into my listing titles on Etsy?</t>
  </si>
  <si>
    <t>What are the strategies for highlighting unique selling points or features of my products in my listing titles on Etsy?</t>
  </si>
  <si>
    <t>How can I create urgency or scarcity in my listing titles to encourage immediate action and conversions on Etsy?</t>
  </si>
  <si>
    <t>How can I effectively convey the benefits and value proposition of my products in my listing titles on Etsy?</t>
  </si>
  <si>
    <t>What are the considerations for using humor or creativity in my listing titles to capture attention and leave a lasting impression on Etsy?</t>
  </si>
  <si>
    <t>How can I analyze and leverage customer search queries and popular keywords to optimize my listing titles on Etsy?</t>
  </si>
  <si>
    <t>What are the best practices for using title tags and meta descriptions in my Etsy listings to improve search engine visibility and click-through rates?</t>
  </si>
  <si>
    <t>How can I align my listing titles with my target market's language, preferences, and search behavior on Etsy?</t>
  </si>
  <si>
    <t>How can I incorporate relevant trends or seasonal keywords in my listing titles to capitalize on current market interests on Etsy?</t>
  </si>
  <si>
    <t>What are the strategies for conducting A/B testing to compare the performance of different listing titles and optimize conversion rates on Etsy?</t>
  </si>
  <si>
    <t>How can I use listing titles to convey a sense of exclusivity or premium quality for my products on Etsy?</t>
  </si>
  <si>
    <t>What are the considerations for balancing creativity and clarity in my listing titles to ensure they effectively communicate the product's essence on Etsy?</t>
  </si>
  <si>
    <t>How can I address common customer pain points or problems in my listing titles to position my products as solutions on Etsy?</t>
  </si>
  <si>
    <t>How can I format my listing titles to make them visually appealing and easy to read on both desktop and mobile devices on Etsy?</t>
  </si>
  <si>
    <t>What are the strategies for tailoring my listing titles to target specific customer segments or niche markets on Etsy?</t>
  </si>
  <si>
    <t>How can I use listing titles to establish a strong brand identity and recognition for my products on Etsy?</t>
  </si>
  <si>
    <t>How can I incorporate storytelling elements or emotional triggers in my listing titles to engage and resonate with potential buyers on Etsy?</t>
  </si>
  <si>
    <t>What are the considerations for using product-specific or industry-specific jargon in my listing titles to attract knowledgeable buyers on Etsy?</t>
  </si>
  <si>
    <t>How can I analyze competitor listing titles and identify opportunities to differentiate and improve my own titles on Etsy?</t>
  </si>
  <si>
    <t>What are the strategies for optimizing my listing titles for mobile search and voice search on Etsy?</t>
  </si>
  <si>
    <t>How can I create listing titles that address the specific needs, desires, or aspirations of my target market on Etsy?</t>
  </si>
  <si>
    <t>What are the best practices for using concise and impactful language in my listing titles to capture attention and convey value on Etsy?</t>
  </si>
  <si>
    <t>How can I use listing titles to effectively cross-promote related products or upsell additional items in my Etsy shop?</t>
  </si>
  <si>
    <t>How can I conduct user testing or gather feedback to evaluate the effectiveness of my listing titles in attracting and engaging potential buyers on Etsy?</t>
  </si>
  <si>
    <t>What are the strategies for integrating relevant hashtags or trending keywords in my listing titles to expand reach and visibility on Etsy?</t>
  </si>
  <si>
    <t>How can I optimize my listing titles to accommodate Etsy's search algorithm and improve the ranking of my products in search results?</t>
  </si>
  <si>
    <t>How can I create listing titles that cater to both search engine optimization (SEO) and customer appeal on Etsy?</t>
  </si>
  <si>
    <t>What are the considerations for avoiding spammy or misleading practices in my listing titles that could harm my shop's reputation on Etsy?</t>
  </si>
  <si>
    <t>How can I create listing titles that convey a sense of trust, credibility, and professionalism for my products on Etsy?</t>
  </si>
  <si>
    <t>What are the strategies for using storytelling techniques or narrative structures in my listing titles to captivate and engage potential buyers on Etsy?</t>
  </si>
  <si>
    <t>How can I incorporate social proof elements, such as reviews or ratings, in my listing titles to build trust and credibility with potential buyers on Etsy?</t>
  </si>
  <si>
    <t>What are the considerations for using emotive language or evocative imagery in my listing titles to create an emotional connection with potential buyers on Etsy?</t>
  </si>
  <si>
    <t>How can I effectively communicate the target audience or intended use of my products in my listing titles on Etsy?</t>
  </si>
  <si>
    <t>How can I create listing titles that differentiate my products from similar offerings and highlight their unique value proposition on Etsy?</t>
  </si>
  <si>
    <t>What are the strategies for using listing titles to address specific objections or concerns that potential buyers may have about my products on Etsy?</t>
  </si>
  <si>
    <t>How can I incorporate relevant trending topics or popular culture references in my listing titles to attract attention and resonate with potential buyers on Etsy?</t>
  </si>
  <si>
    <t>How can I create listing titles that instill a sense of confidence or assurance in potential buyers about the quality and reliability of my products on Etsy?</t>
  </si>
  <si>
    <t>What are the considerations for using localized or regional keywords in my listing titles to target specific markets or customer segments on Etsy?</t>
  </si>
  <si>
    <t>How can I leverage storytelling techniques or personal anecdotes in my listing titles to create an emotional connection and build rapport with potential buyers on Etsy?</t>
  </si>
  <si>
    <t>What are the strategies for using power words and action verbs in my listing titles to create a sense of urgency and encourage immediate action on Etsy?</t>
  </si>
  <si>
    <t>How can I conduct keyword research to identify the most relevant and high-traffic keywords for my Etsy listings?</t>
  </si>
  <si>
    <t>What are the best practices for incorporating keywords naturally and strategically throughout my Etsy listing titles and descriptions?</t>
  </si>
  <si>
    <t>How can I optimize my Etsy listing tags to improve search visibility and attract more organic traffic?</t>
  </si>
  <si>
    <t>What are the strategies for utilizing long-tail keywords in my Etsy listings to target specific customer queries and niche markets?</t>
  </si>
  <si>
    <t>How can I analyze and leverage competitor keywords and listing data to gain insights and improve my own Etsy listings?</t>
  </si>
  <si>
    <t>What are the considerations for using location-specific keywords in my Etsy listings to target local customers or specific geographical markets?</t>
  </si>
  <si>
    <t>How can I optimize my Etsy listing images by including descriptive file names and alt tags to improve search engine visibility?</t>
  </si>
  <si>
    <t>What are the best practices for optimizing my Etsy shop's About section and policies with relevant keywords to enhance overall SEO?</t>
  </si>
  <si>
    <t>How can I utilize customer reviews and feedback in my Etsy listings to enhance credibility and improve search rankings?</t>
  </si>
  <si>
    <t>What are the strategies for implementing internal linking within my Etsy shop to improve search engine crawling and indexing?</t>
  </si>
  <si>
    <t>How can I optimize my Etsy listing descriptions by including valuable information, features, and benefits that align with target keywords?</t>
  </si>
  <si>
    <t>What are the considerations for using synonym variations and related keywords in my Etsy listings to capture a wider range of search queries?</t>
  </si>
  <si>
    <t>How can I analyze and interpret Etsy's search analytics and data to identify opportunities for SEO optimization in my listings?</t>
  </si>
  <si>
    <t>How can I optimize my Etsy shop categories and subcategories by using keyword-rich titles and descriptions?</t>
  </si>
  <si>
    <t>What are the strategies for incorporating keyword variations and alternate spellings in my Etsy listings to accommodate different search preferences?</t>
  </si>
  <si>
    <t>How can I optimize my Etsy listing URLs by including relevant keywords and removing unnecessary characters or numbers?</t>
  </si>
  <si>
    <t>How can I utilize external linking, such as social media profiles or blog posts, to improve the overall SEO of my Etsy listings?</t>
  </si>
  <si>
    <t>What are the considerations for optimizing my Etsy listing attributes, such as color, size, or material, with relevant keywords?</t>
  </si>
  <si>
    <t>How can I optimize my Etsy shop's page titles and meta descriptions to improve click-through rates and search engine visibility?</t>
  </si>
  <si>
    <t>What are the strategies for optimizing my Etsy shop's overall structure, navigation, and user experience for better SEO performance?</t>
  </si>
  <si>
    <t>How can I utilize Google Trends and other SEO tools to identify trending keywords and topics for my Etsy listings?</t>
  </si>
  <si>
    <t>What are the best practices for optimizing my Etsy listing titles and descriptions for mobile search and voice search queries?</t>
  </si>
  <si>
    <t>How can I optimize my Etsy listings for specific product categories or sub-niches to increase visibility within those segments?</t>
  </si>
  <si>
    <t>How can I leverage customer search queries and frequently asked questions to generate keyword-rich content in my Etsy listings?</t>
  </si>
  <si>
    <t>What are the strategies for optimizing my Etsy listings for international audiences, considering language preferences and cultural nuances?</t>
  </si>
  <si>
    <t>How can I conduct regular SEO audits of my Etsy listings to identify areas for improvement and maintain optimal performance?</t>
  </si>
  <si>
    <t>What are the considerations for utilizing schema markup or rich snippets in my Etsy listings to enhance search engine visibility?</t>
  </si>
  <si>
    <t>How can I optimize my Etsy listing titles and descriptions to appear in featured snippets or other prominent search results features?</t>
  </si>
  <si>
    <t>How can I optimize my Etsy shop's overall brand presence and reputation to improve search engine rankings and visibility?</t>
  </si>
  <si>
    <t>What are the strategies for optimizing my Etsy listings for specific holidays, events, or seasonal trends?</t>
  </si>
  <si>
    <t>How can I analyze and interpret Etsy's search algorithm updates and changes to adapt my SEO strategies accordingly?</t>
  </si>
  <si>
    <t>What are the best practices for optimizing my Etsy shop's customer reviews and ratings to positively impact search rankings?</t>
  </si>
  <si>
    <t>How can I optimize my Etsy listings for voice assistants, such as Alexa or Google Assistant, to capture voice search traffic?</t>
  </si>
  <si>
    <t>How can I conduct A/B testing of different SEO strategies, such as keywords, titles, or descriptions, to measure their impact on listing performance?</t>
  </si>
  <si>
    <t>What are the considerations for optimizing my Etsy listings for specific demographic segments, such as age, gender, or interests?</t>
  </si>
  <si>
    <t>How can I optimize my Etsy shop's overall loading speed and performance to enhance search engine rankings and user experience?</t>
  </si>
  <si>
    <t>How can I utilize social media platforms and external websites to generate backlinks and improve the SEO of my Etsy listings?</t>
  </si>
  <si>
    <t>What are the best practices for optimizing my Etsy listings for specific product variations or options to increase visibility and sales?</t>
  </si>
  <si>
    <t>How can I optimize my Etsy listings for specific search intent, such as informational queries, product comparisons, or purchase-related keywords?</t>
  </si>
  <si>
    <t>What are the strategies for optimizing my Etsy listings for mobile-first indexing and ensuring a seamless mobile browsing experience?</t>
  </si>
  <si>
    <t>How can I optimize my Etsy shop's overall content strategy, including blog posts or educational resources, to improve SEO and attract organic traffic?</t>
  </si>
  <si>
    <t>What are the considerations for optimizing my Etsy listings for specific customer preferences, such as eco-friendly, sustainable, or handmade products?</t>
  </si>
  <si>
    <t>How can I analyze and optimize my Etsy shop's click-through rates (CTR) and conversion rates (CVR) to improve overall SEO performance?</t>
  </si>
  <si>
    <t>How can I optimize my Etsy listings for specific occasions, such as weddings, birthdays, or holidays, to target seasonal buyer intent?</t>
  </si>
  <si>
    <t>What are the strategies for optimizing my Etsy listings for local search queries, such as "near me" or location-specific keywords?</t>
  </si>
  <si>
    <t>How can I optimize my Etsy shop's overall social media presence and engagement to enhance search engine visibility and brand awareness?</t>
  </si>
  <si>
    <t>How can I utilize customer search trends and popular queries to generate relevant and timely content in my Etsy listings?</t>
  </si>
  <si>
    <t>What are the considerations for optimizing my Etsy listings for specific age groups or generations, such as millennials or baby boomers?</t>
  </si>
  <si>
    <t>How can I optimize my Etsy listings for specific buyer personas, considering their preferences, needs, and pain points?</t>
  </si>
  <si>
    <t>What are the strategies for continuously monitoring and analyzing the performance of my Etsy listings' SEO and making data-driven optimizations?</t>
  </si>
  <si>
    <t>What are the most effective marketing channels to promote my Etsy shop and products?</t>
  </si>
  <si>
    <t>How can I leverage social media platforms, such as Instagram or Pinterest, to drive traffic and sales to my Etsy shop?</t>
  </si>
  <si>
    <t>What are the strategies for creating compelling product images and visuals to attract attention and engagement on Etsy?</t>
  </si>
  <si>
    <t>How can I effectively use email marketing to nurture customer relationships and drive repeat purchases on Etsy?</t>
  </si>
  <si>
    <t>What are the considerations for utilizing influencer marketing to promote my Etsy shop and products to a wider audience?</t>
  </si>
  <si>
    <t>How can I optimize my Etsy shop's branding and messaging to create a cohesive and memorable customer experience?</t>
  </si>
  <si>
    <t>What are the best practices for running promotions, discounts, or limited-time offers to boost sales and attract new customers on Etsy?</t>
  </si>
  <si>
    <t>How can I collaborate with other Etsy sellers or businesses to cross-promote each other's products and reach new audiences?</t>
  </si>
  <si>
    <t>What are the strategies for utilizing Etsy's advertising features, such as promoted listings or Google Shopping ads, to increase visibility and conversions?</t>
  </si>
  <si>
    <t>How can I leverage customer testimonials, reviews, or user-generated content to build trust and social proof for my Etsy shop?</t>
  </si>
  <si>
    <t>How can I implement content marketing strategies, such as blogging or creating video tutorials, to establish thought leadership and drive traffic to my Etsy shop?</t>
  </si>
  <si>
    <t>What are the considerations for optimizing my Etsy shop's SEO to improve search engine rankings and organic visibility?</t>
  </si>
  <si>
    <t>How can I utilize Etsy's "Shop Updates" feature to share behind-the-scenes content, product launches, or updates with my audience?</t>
  </si>
  <si>
    <t>How can I leverage the power of storytelling to create emotional connections with potential buyers and enhance brand loyalty on Etsy?</t>
  </si>
  <si>
    <t>What are the strategies for hosting giveaways, contests, or collaborations to generate buzz and increase engagement on Etsy?</t>
  </si>
  <si>
    <t>How can I effectively use customer segmentation and personalization to tailor my marketing messages and offers on Etsy?</t>
  </si>
  <si>
    <t>What are the best practices for utilizing customer email lists and segmentation to deliver targeted and relevant promotions or product updates?</t>
  </si>
  <si>
    <t>How can I optimize my Etsy shop's product descriptions and tags to align with trending keywords and capture current market interests?</t>
  </si>
  <si>
    <t>How can I create engaging and informative video content to showcase my products and increase engagement on my Etsy shop?</t>
  </si>
  <si>
    <t>What are the strategies for utilizing Etsy's "Offsite Ads" feature to expand reach and attract potential customers outside the Etsy platform?</t>
  </si>
  <si>
    <t>How can I leverage the power of customer referrals and word-of-mouth marketing to generate organic growth and sales on Etsy?</t>
  </si>
  <si>
    <t>What are the considerations for implementing a loyalty program or rewards system to incentivize repeat purchases and customer loyalty on Etsy?</t>
  </si>
  <si>
    <t>How can I utilize Etsy's integrated analytics and data to track the performance of my marketing efforts and make data-driven optimizations?</t>
  </si>
  <si>
    <t>How can I optimize my Etsy shop's conversion rate by implementing effective calls-to-action and clear purchasing instructions?</t>
  </si>
  <si>
    <t>What are the strategies for optimizing my Etsy shop's shipping and return policies to provide a positive customer experience and encourage purchases?</t>
  </si>
  <si>
    <t>How can I leverage Etsy's built-in social sharing features to encourage customers to share their purchases and promote my products organically?</t>
  </si>
  <si>
    <t>What are the best practices for utilizing customer reviews and ratings as a marketing tool to build trust and attract new customers on Etsy?</t>
  </si>
  <si>
    <t>How can I create engaging and informative blog posts or articles that drive traffic and promote my Etsy products?</t>
  </si>
  <si>
    <t>How can I leverage Etsy's community forums and groups to engage with potential customers, share knowledge, and establish my expertise?</t>
  </si>
  <si>
    <t>What are the strategies for implementing referral programs or affiliate marketing to encourage others to promote my Etsy shop and products?</t>
  </si>
  <si>
    <t>How can I optimize my Etsy shop's customer service and responsiveness to build a positive reputation and encourage word-of-mouth referrals?</t>
  </si>
  <si>
    <t>What are the considerations for utilizing Etsy's promotional tools, such as Etsy Ads or coupon codes, to drive sales and attract new customers?</t>
  </si>
  <si>
    <t>How can I collaborate with relevant bloggers or influencers in my niche to review or feature my Etsy products and reach their audience?</t>
  </si>
  <si>
    <t>How can I utilize Etsy's customer messaging feature to engage with potential buyers, answer their questions, and provide personalized recommendations?</t>
  </si>
  <si>
    <t>What are the strategies for leveraging holiday seasons, special occasions, or cultural events to create targeted marketing campaigns for my Etsy shop?</t>
  </si>
  <si>
    <t>How can I optimize my Etsy shop's overall customer experience, from browsing to checkout, to minimize cart abandonment and increase conversions?</t>
  </si>
  <si>
    <t>How can I leverage user-generated content, such as customer photos or testimonials, to create social proof and increase trust in my Etsy shop?</t>
  </si>
  <si>
    <t>What are the considerations for implementing upselling and cross-selling techniques to encourage customers to purchase additional products from my Etsy shop?</t>
  </si>
  <si>
    <t>How can I collaborate with complementary Etsy sellers or local businesses to host joint promotional events or pop-up shops?</t>
  </si>
  <si>
    <t>How can I effectively use Etsy's direct checkout options, such as Apple Pay or Google Pay, to streamline the purchasing process and increase conversions?</t>
  </si>
  <si>
    <t>How can I optimize my Etsy shop's product packaging and inserts to create a memorable unboxing experience and encourage customer loyalty?</t>
  </si>
  <si>
    <t>What are the best practices for creating visually appealing and informative product listing videos to showcase my products on Etsy?</t>
  </si>
  <si>
    <t>How can I utilize social media advertising platforms, such as Facebook Ads or Instagram Ads, to target specific customer segments and drive traffic to my Etsy shop?</t>
  </si>
  <si>
    <t>How can I leverage Etsy's customer reviews and ratings to identify areas for improvement and enhance the quality of my products and services?</t>
  </si>
  <si>
    <t>What are the strategies for utilizing Etsy's "Shop Announcement" section to highlight promotions, new product launches, or important updates?</t>
  </si>
  <si>
    <t>How can I optimize my Etsy shop's overall visual branding, including logos, banners, and color schemes, to create a cohesive and professional impression?</t>
  </si>
  <si>
    <t>How can I utilize email newsletters or drip campaigns to nurture leads, build relationships, and drive conversions for my Etsy shop?</t>
  </si>
  <si>
    <t>What are the considerations for implementing live chat or chatbot features on my Etsy shop to provide real-time customer support and assistance?</t>
  </si>
  <si>
    <t>How can I optimize my Etsy shop's product photography to showcase the features, details, and craftsmanship of my products effectively?</t>
  </si>
  <si>
    <t>What are the strategies for leveraging the power of customer testimonials, case studies, or success stories to promote my Etsy products and build credibility?</t>
  </si>
  <si>
    <t>What are the essential equipment and tools needed to create high-quality product photography for my Etsy shop?</t>
  </si>
  <si>
    <t>How can I effectively use natural lighting to capture stunning product images that showcase the colors and details accurately?</t>
  </si>
  <si>
    <t>What are the best practices for styling and arranging props to create visually appealing product compositions and flat lays?</t>
  </si>
  <si>
    <t>How can I create a consistent and cohesive visual aesthetic for my Etsy shop's product photography to enhance brand identity?</t>
  </si>
  <si>
    <t>What are the strategies for capturing different angles and perspectives of my products to provide a comprehensive view for potential buyers?</t>
  </si>
  <si>
    <t>How can I use a photo editing software, such as Adobe Photoshop or Lightroom, to enhance the quality and appearance of my product images?</t>
  </si>
  <si>
    <t>What are the considerations for choosing the right backdrop or background for my product photography to complement the products effectively?</t>
  </si>
  <si>
    <t>How can I showcase the scale and dimensions of my products through the use of props or by including common objects for reference?</t>
  </si>
  <si>
    <t>What are the best practices for capturing lifestyle or in-use photos that demonstrate the practicality and functionality of my products?</t>
  </si>
  <si>
    <t>How can I create visually appealing product collages or multiple-image listings to showcase different variations or product combinations?</t>
  </si>
  <si>
    <t>What are the strategies for capturing close-up shots that highlight the intricate details and craftsmanship of my products?</t>
  </si>
  <si>
    <t>How can I effectively use different types of lighting, such as diffused or spotlighting, to create a desired mood or atmosphere for my product images?</t>
  </si>
  <si>
    <t>What are the considerations for photographing reflective or shiny surfaces, such as jewelry or glassware, to avoid unwanted reflections or glare?</t>
  </si>
  <si>
    <t>How can I optimize my product images for Etsy's thumbnail view to ensure that they are visually appealing and attention-grabbing?</t>
  </si>
  <si>
    <t>What are the best practices for photographing products with different textures or materials to capture their unique qualities accurately?</t>
  </si>
  <si>
    <t>How can I create visually appealing product packaging images to showcase the unboxing experience and add value to my products?</t>
  </si>
  <si>
    <t>What are the strategies for incorporating lifestyle elements or context into my product photography to evoke emotions and create a story around my products?</t>
  </si>
  <si>
    <t>How can I effectively use color psychology in my product photography to convey desired emotions or associations related to my brand and products?</t>
  </si>
  <si>
    <t>What are the considerations for photographing products with transparent or translucent elements to capture their beauty and unique characteristics?</t>
  </si>
  <si>
    <t>How can I create visually consistent and appealing product collages or group shots to showcase product sets or collections?</t>
  </si>
  <si>
    <t>What are the best practices for capturing action or movement shots to showcase dynamic products, such as clothing or accessories?</t>
  </si>
  <si>
    <t>How can I optimize my product images for mobile devices to ensure they are visually compelling and user-friendly for mobile shoppers on Etsy?</t>
  </si>
  <si>
    <t>What are the strategies for creating visually striking product mockups or digital representations of my physical products for virtual display on Etsy?</t>
  </si>
  <si>
    <t>How can I effectively use props or lifestyle elements in my product photography to create a sense of scale, context, or desired ambiance?</t>
  </si>
  <si>
    <t>What are the considerations for photographing products with delicate or intricate details to ensure that they are captured accurately and attractively?</t>
  </si>
  <si>
    <t>How can I create visually appealing images for product variations or customization options to showcase the available choices for buyers?</t>
  </si>
  <si>
    <t>What are the best practices for photographing products with different colors or finishes to accurately represent their appearance in various lighting conditions?</t>
  </si>
  <si>
    <t>How can I optimize my product images for Pinterest or other visual discovery platforms to drive traffic and increase exposure for my Etsy shop?</t>
  </si>
  <si>
    <t>What are the strategies for capturing compelling images that evoke emotions or create a connection with potential buyers on an emotional level?</t>
  </si>
  <si>
    <t>How can I create visually appealing before-and-after images or transformation photos to showcase the potential impact of my products?</t>
  </si>
  <si>
    <t>What are the considerations for photographing products with intricate or unique packaging designs to capture their visual appeal and attract attention?</t>
  </si>
  <si>
    <t>How can I optimize my product images for Etsy's zoom feature to allow potential buyers to examine the details and quality of my products?</t>
  </si>
  <si>
    <t>What are the best practices for creating visually appealing flat lay compositions that display multiple related products or accessories together?</t>
  </si>
  <si>
    <t>How can I effectively use negative space or minimalistic compositions in my product photography to create a clean and modern look?</t>
  </si>
  <si>
    <t>What are the strategies for capturing lifestyle or environmental shots that show how my products can be incorporated into customers' daily lives or settings?</t>
  </si>
  <si>
    <t>How can I optimize my product images for Etsy's search results page to stand out and grab the attention of potential buyers?</t>
  </si>
  <si>
    <t>What are the considerations for photographing products with unique or unconventional shapes to highlight their distinctiveness and attract interest?</t>
  </si>
  <si>
    <t>How can I create visually appealing images that showcase the process of creating or manufacturing my products, adding value and storytelling to my listings?</t>
  </si>
  <si>
    <t>What are the best practices for photographing products in different settings or scenarios to demonstrate their versatility and adaptability?</t>
  </si>
  <si>
    <t>How can I use props or elements related to the product's purpose or use to create visually engaging images that resonate with potential buyers?</t>
  </si>
  <si>
    <t>What are the strategies for incorporating lifestyle models or human elements in my product photography to show scale and help customers envision themselves using the product?</t>
  </si>
  <si>
    <t>How can I optimize my product images for Etsy's "Related Items" section to encourage cross-selling and upselling opportunities for my products?</t>
  </si>
  <si>
    <t>What are the considerations for photographing products with intricate textures or patterns to ensure that they are captured in high detail and visual appeal?</t>
  </si>
  <si>
    <t>How can I create visually consistent and appealing product listings by using a specific color palette or theme in my product photography?</t>
  </si>
  <si>
    <t>What are the best practices for creating visually appealing images that highlight the unique features or benefits of my products compared to competitors?</t>
  </si>
  <si>
    <t>How can I optimize my product images for Etsy's mobile app to ensure they are displayed optimally and attractively on small screens?</t>
  </si>
  <si>
    <t>What are the strategies for creating visually appealing "before and after" images that showcase the transformation or results of using my products?</t>
  </si>
  <si>
    <t>How can I effectively use props or backgrounds that reflect the lifestyle, interests, or preferences of my target audience to create relatable product images?</t>
  </si>
  <si>
    <t>What are the considerations for photographing products with transparent or semi-transparent packaging to showcase the product inside and entice buyers?</t>
  </si>
  <si>
    <t>How can I create visually appealing images that highlight the versatility or multi-functional aspects of my products to attract a wider customer base?</t>
  </si>
  <si>
    <t>How can I identify my top competitors on Etsy within my niche or product category?</t>
  </si>
  <si>
    <t>What are the key factors to consider when analyzing my competitors' product offerings, such as pricing, features, or customization options?</t>
  </si>
  <si>
    <t>How can I evaluate my competitors' branding and visual presentation on Etsy to identify strengths and potential areas for improvement in my own shop?</t>
  </si>
  <si>
    <t>What are the strategies for analyzing my competitors' customer reviews and ratings to gain insights into their product quality and customer satisfaction levels?</t>
  </si>
  <si>
    <t>How can I assess my competitors' product photography and visual aesthetics to identify trends or areas where I can differentiate and stand out?</t>
  </si>
  <si>
    <t>What are the considerations for analyzing my competitors' sales volume and popularity on Etsy to gauge their market position and potential demand?</t>
  </si>
  <si>
    <t>How can I identify my competitors' target audience and customer base on Etsy to refine my own target market and tailor my marketing strategies accordingly?</t>
  </si>
  <si>
    <t>What are the strategies for monitoring my competitors' pricing strategies and promotions to ensure I stay competitive and maximize my profit margins?</t>
  </si>
  <si>
    <t>How can I evaluate my competitors' shipping and fulfillment processes on Etsy to identify potential areas for improvement in my own operations?</t>
  </si>
  <si>
    <t>What are the key metrics and indicators to track when analyzing my competitors' performance on Etsy, such as conversion rates, sales velocity, or customer engagement?</t>
  </si>
  <si>
    <t>How can I research and analyze my competitors' keywords and tags on Etsy to optimize my own listing SEO and improve visibility in search results?</t>
  </si>
  <si>
    <t>What are the strategies for analyzing my competitors' social media presence and engagement to understand their marketing strategies and audience reach?</t>
  </si>
  <si>
    <t>How can I assess my competitors' customer service and responsiveness on Etsy to identify opportunities for providing a superior customer experience?</t>
  </si>
  <si>
    <t>What are the considerations for analyzing my competitors' customer feedback and complaints on Etsy to identify potential product or service gaps I can fill?</t>
  </si>
  <si>
    <t>How can I evaluate my competitors' customer retention and loyalty strategies on Etsy to gain insights into their repeat purchase rates and customer relationship management?</t>
  </si>
  <si>
    <t>What are the strategies for researching my competitors' product packaging and presentation to identify ways to enhance my own brand and customer experience?</t>
  </si>
  <si>
    <t>How can I analyze my competitors' listing optimization strategies, such as titles, descriptions, and tags, to improve the visibility and discoverability of my own products?</t>
  </si>
  <si>
    <t>What are the considerations for analyzing my competitors' marketing and advertising efforts on Etsy to identify effective channels or promotional tactics I can implement?</t>
  </si>
  <si>
    <t>How can I assess my competitors' customer acquisition strategies on Etsy, such as collaborations or affiliate programs, to explore potential partnership opportunities?</t>
  </si>
  <si>
    <t>What are the strategies for creating a compelling and visually appealing social media profile that aligns with my Etsy brand?</t>
  </si>
  <si>
    <t>How can I optimize my social media posts to drive traffic and conversions to my Etsy shop?</t>
  </si>
  <si>
    <t>What are the considerations for identifying and engaging with influencers or bloggers in my niche to promote my Etsy products?</t>
  </si>
  <si>
    <t>How can I leverage user-generated content on social media to showcase customer experiences and generate social proof for my Etsy shop?</t>
  </si>
  <si>
    <t>What are the strategies for running social media contests or giveaways to increase engagement and reach on platforms like Instagram or Facebook?</t>
  </si>
  <si>
    <t>How can I utilize Instagram Stories or Facebook Live to provide behind-the-scenes glimpses into my creative process and connect with my audience?</t>
  </si>
  <si>
    <t>What are the best practices for using hashtags effectively on social media to increase the discoverability of my Etsy products?</t>
  </si>
  <si>
    <t>How can I collaborate with other Etsy sellers or complementary businesses on social media to cross-promote and expand my reach?</t>
  </si>
  <si>
    <t>What are the considerations for incorporating social media advertising, such as Facebook Ads or Instagram Ads, into my marketing strategy for Etsy?</t>
  </si>
  <si>
    <t>How can I create engaging and shareable content on social media that aligns with my Etsy brand and resonates with my target audience?</t>
  </si>
  <si>
    <t>What are the strategies for building and nurturing an online community or Facebook Group around my Etsy products or niche?</t>
  </si>
  <si>
    <t>How can I leverage influencer partnerships on platforms like TikTok or YouTube to increase brand awareness and drive sales for my Etsy shop?</t>
  </si>
  <si>
    <t>What are the considerations for utilizing social media analytics and insights to track the performance and impact of my social media marketing efforts?</t>
  </si>
  <si>
    <t>How can I effectively use Pinterest to showcase my Etsy products, drive traffic to my shop, and increase sales?</t>
  </si>
  <si>
    <t>What are the strategies for creating engaging video content, such as tutorials or product demos, for platforms like YouTube or Instagram Reels?</t>
  </si>
  <si>
    <t>How can I utilize social media scheduling tools to streamline my social media marketing efforts and maintain a consistent posting schedule?</t>
  </si>
  <si>
    <t>What are the best practices for engaging with my social media followers and responding to comments, messages, and mentions in a timely manner?</t>
  </si>
  <si>
    <t>How can I collaborate with micro-influencers or local influencers in my target market to amplify my Etsy shop's visibility and credibility?</t>
  </si>
  <si>
    <t>What are the considerations for creating a social media content calendar to plan and organize my social media posts and campaigns effectively?</t>
  </si>
  <si>
    <t>How can I utilize Instagram shopping features or Facebook Shops to facilitate direct sales and improve the shopping experience for my social media audience?</t>
  </si>
  <si>
    <t>What are the strategies for leveraging user-generated hashtags or challenges on platforms like TikTok or Instagram to create buzz and virality around my Etsy products?</t>
  </si>
  <si>
    <t>How can I engage with relevant social media communities and participate in industry-related discussions to establish myself as an authority in my Etsy niche?</t>
  </si>
  <si>
    <t>What are the considerations for optimizing my social media profiles and posts for search engines to improve the visibility of my Etsy shop in organic search results?</t>
  </si>
  <si>
    <t>How can I collaborate with local or online influencers for product reviews or sponsored posts to generate authentic and influential recommendations for my Etsy products?</t>
  </si>
  <si>
    <t>What are the strategies for creating visually appealing and cohesive social media aesthetics that reflect my Etsy brand and attract my target audience?</t>
  </si>
  <si>
    <t>How can I leverage Facebook Groups or LinkedIn Groups to connect with fellow Etsy sellers and exchange knowledge, tips, and resources?</t>
  </si>
  <si>
    <t>What are the best practices for using social media analytics and tracking tools to monitor the performance of my social media campaigns and identify areas for improvement?</t>
  </si>
  <si>
    <t>How can I collaborate with social media influencers or bloggers for guest posts or takeover events to expand my reach and gain exposure for my Etsy shop?</t>
  </si>
  <si>
    <t>What are the considerations for cross-promoting my Etsy shop and products on social media platforms, such as sharing Instagram posts on Facebook or Twitter?</t>
  </si>
  <si>
    <t>How can I utilize social media listening tools and techniques to monitor conversations and gather insights about my target audience's preferences, needs, and pain points?</t>
  </si>
  <si>
    <t>What are the strategies for using social media storytelling to create a narrative around my Etsy products and establish an emotional connection with my audience?</t>
  </si>
  <si>
    <t>How can I collaborate with social media influencers or content creators for sponsored content or brand ambassadorship to increase brand awareness and drive conversions?</t>
  </si>
  <si>
    <t>What are the considerations for leveraging user-generated content on social media to foster a sense of community and authenticity around my Etsy brand?</t>
  </si>
  <si>
    <t>How can I utilize social media influencers or brand advocates to generate product reviews and testimonials that can be shared on my Etsy shop or website?</t>
  </si>
  <si>
    <t>What are the strategies for running social media ad campaigns with specific objectives, such as increasing website traffic or driving sales to my Etsy shop?</t>
  </si>
  <si>
    <t>How can I engage with social media influencers or bloggers for product collaborations or partnerships to create unique or limited-edition items for my Etsy shop?</t>
  </si>
  <si>
    <t>What are the best practices for creating compelling visual content for social media platforms, such as Instagram posts, Pinterest pins, or Snapchat stories?</t>
  </si>
  <si>
    <t>How can I collaborate with Etsy teams or participate in industry-related social media chats or Twitter parties to network and build relationships within my niche?</t>
  </si>
  <si>
    <t>What are the considerations for utilizing social media monitoring tools to track mentions, hashtags, or conversations related to my Etsy brand or products?</t>
  </si>
  <si>
    <t>How can I leverage user-generated reviews and testimonials on platforms like Yelp or Google My Business to build trust and credibility for my Etsy shop?</t>
  </si>
  <si>
    <t>What are the strategies for utilizing social media influencers or bloggers to create product unboxing or review videos that showcase my Etsy products?</t>
  </si>
  <si>
    <t>How can I engage with my social media followers through interactive content, such as polls, quizzes, or challenges, to increase engagement and create a sense of fun?</t>
  </si>
  <si>
    <t>What are the considerations for conducting social media giveaways or exclusive promotions to reward my loyal social media followers and incentivize new customers?</t>
  </si>
  <si>
    <t>How can I collaborate with social media influencers or content creators for sponsored Instagram Stories or Snapchat takeovers to increase brand visibility and reach?</t>
  </si>
  <si>
    <t>What are the strategies for leveraging social media retargeting and remarketing ads to re-engage with users who have shown interest in my Etsy products?</t>
  </si>
  <si>
    <t>How can I utilize social media listening and monitoring to gather market research and insights about my competitors' social media strategies and audience preferences?</t>
  </si>
  <si>
    <t>What are the best practices for creating engaging and interactive Instagram carousels or Facebook slideshows to showcase multiple products or tell a visual story?</t>
  </si>
  <si>
    <t>How can I collaborate with social media influencers or bloggers for content curation or guest blogging to provide valuable insights and resources to my target audience?</t>
  </si>
  <si>
    <t>What are the considerations for creating social media partnerships or joint campaigns with complementary brands or Etsy sellers to expand my reach and tap into new customer bases?</t>
  </si>
  <si>
    <t>How can I create a memorable and personalized post-purchase experience for my Etsy customers to encourage repeat business?</t>
  </si>
  <si>
    <t>What are the strategies for implementing a customer loyalty program on Etsy to incentivize repeat purchases and reward loyal customers?</t>
  </si>
  <si>
    <t>How can I leverage email marketing to stay connected with my previous customers and nurture long-term relationships?</t>
  </si>
  <si>
    <t>What are the considerations for offering exclusive discounts or promotions to existing customers as a way to encourage repeat business?</t>
  </si>
  <si>
    <t>How can I proactively gather and utilize customer feedback and reviews to enhance my products and improve the overall customer experience?</t>
  </si>
  <si>
    <t>What are the strategies for providing exceptional customer service and resolving any issues or concerns promptly to foster customer loyalty?</t>
  </si>
  <si>
    <t>How can I utilize personalized recommendations or product suggestions based on past purchases to entice customers to make additional purchases?</t>
  </si>
  <si>
    <t>What are the best practices for sending personalized thank-you notes or follow-up emails after a purchase to show appreciation and encourage repeat business?</t>
  </si>
  <si>
    <t>How can I engage with my previous customers on social media platforms to maintain a connection and encourage them to revisit my Etsy shop?</t>
  </si>
  <si>
    <t>What are the considerations for creating a referral program that rewards customers for referring their friends and family to my Etsy shop?</t>
  </si>
  <si>
    <t>How can I leverage packaging inserts or free samples with each order to surprise and delight my customers, increasing the likelihood of repeat purchases?</t>
  </si>
  <si>
    <t>What are the strategies for implementing a subscription or recurring purchase option for certain products to encourage repeat business?</t>
  </si>
  <si>
    <t>How can I stay updated on my customers' needs and preferences by conducting periodic surveys or feedback forms?</t>
  </si>
  <si>
    <t>What are the considerations for providing exceptional after-sales support, such as troubleshooting guides or video tutorials, to enhance the customer experience?</t>
  </si>
  <si>
    <t>How can I create a sense of exclusivity or VIP treatment for my repeat customers through special promotions or early access to new products?</t>
  </si>
  <si>
    <t>What are the strategies for re-engaging dormant customers who haven't made a purchase in a while to encourage them to return to my Etsy shop?</t>
  </si>
  <si>
    <t>How can I leverage social proof, such as customer testimonials or success stories, to build trust and encourage repeat business?</t>
  </si>
  <si>
    <t>What are the best practices for maintaining an active and engaging presence on relevant online communities or forums to stay connected with my customers?</t>
  </si>
  <si>
    <t>How can I implement a follow-up email sequence to nurture relationships with my customers and encourage repeat purchases over time?</t>
  </si>
  <si>
    <t>What are the considerations for providing excellent packaging and unboxing experiences that leave a lasting impression on customers, increasing the chances of repeat business?</t>
  </si>
  <si>
    <t>How can I create a sense of urgency or exclusivity through limited-time offers or flash sales to motivate customers to make repeat purchases?</t>
  </si>
  <si>
    <t>What are the strategies for creating valuable and educational content, such as blog posts or video tutorials, that keeps customers engaged and encourages them to return?</t>
  </si>
  <si>
    <t>How can I leverage personalized product recommendations based on customers' browsing and purchase history to promote additional purchases?</t>
  </si>
  <si>
    <t>What are the considerations for implementing a customer feedback or review system on my Etsy shop to encourage engagement and provide social proof?</t>
  </si>
  <si>
    <t>How can I create a VIP or insider program for my most loyal customers, offering exclusive perks or early access to new products?</t>
  </si>
  <si>
    <t>What are the strategies for segmenting my customer base and delivering targeted email campaigns to specific groups to maximize repeat business?</t>
  </si>
  <si>
    <t>How can I implement a win-back campaign to re-engage with customers who haven't made a purchase in a long time?</t>
  </si>
  <si>
    <t>What are the best practices for nurturing relationships with customers through personalized and timely email communications, such as birthday or anniversary greetings?</t>
  </si>
  <si>
    <t>How can I leverage social media platforms to stay connected with my customers, share updates, and remind them of my Etsy shop and products?</t>
  </si>
  <si>
    <t>What are the considerations for offering a hassle-free return or exchange policy to instill confidence in customers and encourage repeat business?</t>
  </si>
  <si>
    <t>How can I surprise and delight my repeat customers with unexpected bonuses or gifts to show appreciation for their continued support?</t>
  </si>
  <si>
    <t>What are the strategies for creating a seamless and convenient checkout process on my Etsy shop to encourage customers to complete repeat purchases?</t>
  </si>
  <si>
    <t>How can I create a sense of community and belonging for my customers through online events, such as virtual workshops or live Q&amp;A sessions?</t>
  </si>
  <si>
    <t>What are the considerations for leveraging customer-generated content, such as user photos or testimonials, to showcase the experiences of satisfied customers?</t>
  </si>
  <si>
    <t>How can I actively engage with my customers on social media by responding to comments, messages, and mentions to build rapport and loyalty?</t>
  </si>
  <si>
    <t>What are the strategies for implementing a subscription box or product bundle offering to encourage customers to engage in recurring purchases?</t>
  </si>
  <si>
    <t>How can I personalize my communication and marketing efforts to cater to specific customer segments or demographics and encourage repeat business?</t>
  </si>
  <si>
    <t>What are the best practices for staying top-of-mind with my customers through regular email newsletters or updates about new products or promotions?</t>
  </si>
  <si>
    <t>How can I utilize upselling and cross-selling techniques to showcase complementary products and encourage customers to make additional purchases?</t>
  </si>
  <si>
    <t>What are the considerations for hosting exclusive sales or events for existing customers, providing them with incentives to return and make repeat purchases?</t>
  </si>
  <si>
    <t>How can I actively seek feedback and suggestions from my customers to continuously improve my products and better meet their needs?</t>
  </si>
  <si>
    <t>What are the strategies for creating a personalized and customized shopping experience for each customer, tailoring product recommendations and offerings based on their preferences?</t>
  </si>
  <si>
    <t>How can I leverage the power of storytelling in my marketing efforts to create an emotional connection with customers and foster long-term loyalty?</t>
  </si>
  <si>
    <t>What are the considerations for implementing a tiered rewards program that offers increasing benefits and perks as customers make more purchases?</t>
  </si>
  <si>
    <t>How can I show appreciation to my customers by offering exclusive discounts or early access to new product launches before they become available to the general public?</t>
  </si>
  <si>
    <t>What are the strategies for re-engaging with customers who have abandoned their carts or started the checkout process but didn't complete the purchase?</t>
  </si>
  <si>
    <t>How can I incorporate personalized notes or messages in each order to create a personal connection with customers and encourage them to return?</t>
  </si>
  <si>
    <t>What are the best practices for keeping track of customer preferences and purchase history to offer personalized recommendations and enhance the shopping experience?</t>
  </si>
  <si>
    <t>How can I utilize customer testimonials or success stories on my Etsy shop or website to showcase the positive experiences of previous customers?</t>
  </si>
  <si>
    <t>What are the considerations for periodically offering exclusive promotions or discounts to existing customers as a way to express gratitude and encourage repeat business?</t>
  </si>
  <si>
    <t>What are the key steps involved in conducting trend research and forecasting to identify emerging trends relevant to my Etsy niche?</t>
  </si>
  <si>
    <t>How can I stay updated on the latest fashion, home decor, or design trends to ensure my Etsy products align with current market demands?</t>
  </si>
  <si>
    <t>What are the strategies for incorporating seasonal elements or themes into my product offerings to cater to seasonal trends and capitalize on seasonal buying behavior?</t>
  </si>
  <si>
    <t>How can I leverage social media platforms, such as Instagram or Pinterest, to discover and monitor popular trends in my industry and adapt my Etsy shop accordingly?</t>
  </si>
  <si>
    <t>What are the considerations for analyzing consumer behavior and market research data to uncover upcoming trends and make informed decisions for my Etsy business?</t>
  </si>
  <si>
    <t>How can I collaborate with influencers, bloggers, or industry experts to gain insights into upcoming trends and incorporate them into my Etsy product lineup?</t>
  </si>
  <si>
    <t>What are the best practices for creating trend-inspired collections or limited-edition items to create a sense of urgency and drive sales during peak trend periods?</t>
  </si>
  <si>
    <t>How can I utilize trend forecasting tools or software to track and predict market trends and align my Etsy shop offerings accordingly?</t>
  </si>
  <si>
    <t>What are the strategies for conducting competitor analysis to identify the trends they are capitalizing on and find unique ways to differentiate my Etsy products within those trends?</t>
  </si>
  <si>
    <t>How can I showcase the versatility and adaptability of my products by highlighting how they can be incorporated into various current trends?</t>
  </si>
  <si>
    <t>What are the considerations for conducting customer surveys or polls to gather insights on their preferences and interests regarding current and upcoming trends?</t>
  </si>
  <si>
    <t>How can I leverage popular events or holidays to create trend-focused product collections or promotions that align with the seasonality of customer demand?</t>
  </si>
  <si>
    <t>What are the strategies for incorporating color trends into my product designs or packaging to stay relevant and visually appealing to customers?</t>
  </si>
  <si>
    <t>How can I research and anticipate upcoming trends specific to my Etsy niche, such as eco-friendly or sustainable products, and position my offerings accordingly?</t>
  </si>
  <si>
    <t>What are the considerations for conducting trend analysis in international markets to identify cross-cultural trends that could expand my target customer base?</t>
  </si>
  <si>
    <t>How can I create trend-focused content, such as blog posts or social media updates, to establish myself as a knowledgeable source and attract customers seeking trendy products?</t>
  </si>
  <si>
    <t>What are the best practices for adapting my product photography or visual presentation to reflect current trends and make my Etsy listings more appealing to potential buyers?</t>
  </si>
  <si>
    <t>How can I stay connected with industry influencers, attend trade shows, or participate in relevant forums to stay informed about emerging trends in my Etsy niche?</t>
  </si>
  <si>
    <t>What are the strategies for collaborating with other Etsy sellers or artisans to create trend-focused product bundles or curated collections that appeal to a wider customer base?</t>
  </si>
  <si>
    <t>How can I leverage customer feedback and reviews to identify trends in their preferences and adapt my product offerings to meet their evolving needs?</t>
  </si>
  <si>
    <t>What are the considerations for incorporating trends into my Etsy shop branding and messaging to create a cohesive and visually appealing brand experience for customers?</t>
  </si>
  <si>
    <t>How can I conduct keyword research and incorporate trending search terms into my Etsy shop listings to increase visibility and attract customers searching for trendy products?</t>
  </si>
  <si>
    <t>What are the strategies for identifying micro-trends or niche-specific trends within my Etsy niche and leveraging them to differentiate my offerings and attract a targeted customer base?</t>
  </si>
  <si>
    <t>How can I leverage influencer collaborations or sponsored content to showcase my Etsy products within the context of current trends and reach a wider audience?</t>
  </si>
  <si>
    <t>What are the considerations for analyzing market reports, industry publications, or trend forecasting agencies to gain insights into broader consumer trends and adapt my Etsy business strategy accordingly?</t>
  </si>
  <si>
    <t>How can I utilize data analytics and Etsy shop metrics to track the performance of trend-inspired products and optimize my offerings based on customer response and demand?</t>
  </si>
  <si>
    <t>What are the best practices for incorporating trend-inspired elements into my product packaging or branding materials to create a memorable and cohesive brand experience for customers?</t>
  </si>
  <si>
    <t>How can I create engaging and trend-focused social media content, such as tutorials, lookbooks, or style guides, to showcase the versatility and appeal of my Etsy products?</t>
  </si>
  <si>
    <t>What are the strategies for planning ahead and preparing my Etsy shop inventory to align with upcoming trends and seasonal demands?</t>
  </si>
  <si>
    <t>How can I utilize trend forecasting platforms or online communities to connect with like-minded sellers and exchange insights on emerging trends within my Etsy niche?</t>
  </si>
  <si>
    <t>What are the considerations for monitoring and analyzing customer feedback, reviews, and social media discussions to identify emerging trends or preferences?</t>
  </si>
  <si>
    <t>How can I collaborate with local artisans, suppliers, or manufacturers to create trend-focused products that offer unique and locally sourced options for customers?</t>
  </si>
  <si>
    <t>What are the strategies for creating trend-inspired product bundles or gift sets that provide customers with a curated selection of complementary items?</t>
  </si>
  <si>
    <t>How can I leverage customer-generated content, such as user photos or testimonials, to showcase how my Etsy products align with current trends and inspire potential buyers?</t>
  </si>
  <si>
    <t>What are the considerations for participating in seasonal sales events or collaborations with other Etsy sellers to create a collective presence and drive sales during peak trend periods?</t>
  </si>
  <si>
    <t>How can I actively engage with my customers through trend-focused newsletters or email campaigns, sharing insights, tips, and product recommendations aligned with current trends?</t>
  </si>
  <si>
    <t>What are the best practices for conducting A/B testing or experimenting with different product variations to identify the most successful trend-inspired offerings for my Etsy shop?</t>
  </si>
  <si>
    <t>How can I leverage storytelling techniques to connect my Etsy products with broader trends and create an emotional connection with customers?</t>
  </si>
  <si>
    <t>What are the strategies for adapting my product descriptions and keywords to reflect current trends and increase the visibility of my Etsy listings in search results?</t>
  </si>
  <si>
    <t>How can I incorporate trend-inspired elements into my Etsy shop's visual branding, such as logo design or banner images, to create a cohesive and trendy aesthetic?</t>
  </si>
  <si>
    <t>What are the considerations for researching and identifying trendsetters or influential figures within my Etsy niche to gain insights into emerging trends and adapt my offerings accordingly?</t>
  </si>
  <si>
    <t>How can I leverage user-generated content and encourage customers to share their trend-inspired experiences with my products on social media through contests or giveaways?</t>
  </si>
  <si>
    <t>What are the strategies for collaborating with other Etsy sellers or complementary brands to create trend-focused marketing campaigns or joint promotions?</t>
  </si>
  <si>
    <t>How can I analyze and learn from past trends and their impact on my Etsy shop's performance to make more accurate predictions and strategic decisions in the future?</t>
  </si>
  <si>
    <t>What are the considerations for aligning my Etsy shop's pricing strategy with current market trends and customer perceptions of value for trend-inspired products?</t>
  </si>
  <si>
    <t>How can I utilize social listening tools or platforms to monitor conversations and trends related to my Etsy niche and gather insights for product development or marketing strategies?</t>
  </si>
  <si>
    <t>What are the best practices for adapting my Etsy shop's visual branding, such as logo or banner design, to reflect current trends and appeal to a trend-conscious audience?</t>
  </si>
  <si>
    <t>How can I incorporate user-generated content featuring my trend-inspired products into my Etsy shop's visual content, such as product galleries or carousel displays?</t>
  </si>
  <si>
    <t>What are the strategies for creating trend-focused blog posts or articles on my Etsy shop's website to attract organic traffic and establish thought leadership in my niche?</t>
  </si>
  <si>
    <t>How can I actively engage with my customers through social media polls or surveys to gather insights on their preferences and use the data to inform my trend-focused product development and marketing efforts?</t>
  </si>
  <si>
    <t>How can I identify potential collaboration opportunities with other Etsy sellers who offer complementary products or share a similar target audience?</t>
  </si>
  <si>
    <t>What are the considerations for approaching and initiating a collaboration with another Etsy seller, such as determining shared goals, responsibilities, and benefits?</t>
  </si>
  <si>
    <t>How can I leverage the power of cross-promotion by featuring another Etsy seller's products in my shop and vice versa to expand our respective customer bases?</t>
  </si>
  <si>
    <t>What are the strategies for creating joint marketing campaigns or promotions with another Etsy seller to amplify our reach and generate mutual sales?</t>
  </si>
  <si>
    <t>How can I collaborate with local artists or artisans to create unique and one-of-a-kind products that combine our respective skills and expertise?</t>
  </si>
  <si>
    <t>What are the considerations for reaching out to influencers or bloggers who align with my Etsy niche for potential collaborations, such as product reviews or sponsored content?</t>
  </si>
  <si>
    <t>How can I utilize Etsy Teams or forums to connect with like-minded sellers and explore collaboration opportunities within specific niches or interest groups?</t>
  </si>
  <si>
    <t>What are the best practices for creating collaborative limited-edition products or collections with another Etsy seller, offering exclusive items that appeal to our shared customer base?</t>
  </si>
  <si>
    <t>How can I leverage the power of storytelling to communicate the value and uniqueness of a collaboration project to potential customers and create excitement around the partnership?</t>
  </si>
  <si>
    <t>What are the considerations for establishing clear communication channels and expectations with a collaborator to ensure a smooth and successful partnership?</t>
  </si>
  <si>
    <t>How can I conduct research to find potential non-competing brands or businesses outside of Etsy that align with my target audience and explore collaboration opportunities?</t>
  </si>
  <si>
    <t>What are the strategies for hosting joint giveaways or contests with another Etsy seller or brand, creating a buzz and driving engagement for both parties involved?</t>
  </si>
  <si>
    <t>How can I collaborate with local retailers or boutiques to feature my Etsy products in their physical stores, expanding my reach and gaining exposure in new markets?</t>
  </si>
  <si>
    <t>What are the considerations for creating mutually beneficial affiliate programs with complementary Etsy sellers, where we earn a commission for referring customers to each other?</t>
  </si>
  <si>
    <t>How can I collaborate with influencers or content creators to create engaging and authentic content featuring my Etsy products and reach their dedicated audiences?</t>
  </si>
  <si>
    <t>What are the strategies for participating in collaborative events or pop-up markets where multiple Etsy sellers come together to showcase their products and attract a larger customer base?</t>
  </si>
  <si>
    <t>How can I collaborate with nonprofit organizations or charities to create special edition products, donating a portion of the proceeds to a cause aligned with my values?</t>
  </si>
  <si>
    <t>What are the best practices for leveraging local or national holidays to create collaborative limited-time offers or promotions with other Etsy sellers?</t>
  </si>
  <si>
    <t>How can I create co-branded packaging or promotional materials with a collaborator to reinforce the partnership and enhance the perceived value of our joint products?</t>
  </si>
  <si>
    <t>What are the considerations for establishing clear guidelines for pricing, profit-sharing, and inventory management in a collaboration project to ensure fairness and transparency?</t>
  </si>
  <si>
    <t>How can I collaborate with influencers or content creators to host live demonstrations or workshops featuring my Etsy products, tapping into their expertise and audience engagement?</t>
  </si>
  <si>
    <t>What are the strategies for hosting joint events or trunk shows with other Etsy sellers or local businesses, providing customers with a unique shopping experience and increasing exposure for all participants?</t>
  </si>
  <si>
    <t>How can I collaborate with bloggers or vloggers to create engaging and educational content, such as DIY tutorials or styling tips, using my Etsy products?</t>
  </si>
  <si>
    <t>What are the considerations for creating a collaborative lookbook or catalog featuring the products of multiple Etsy sellers, showcasing various styling or usage ideas to inspire customers?</t>
  </si>
  <si>
    <t>How can I collaborate with Etsy influencers or Etsy Teams to create curated product collections or gift guides, positioning our offerings as top recommendations within our respective niches?</t>
  </si>
  <si>
    <t>What are the best practices for establishing a long-term partnership with a collaborator, such as a shared workspace, joint advertising efforts, or cross-selling opportunities?</t>
  </si>
  <si>
    <t>How can I collaborate with local photographers or stylists to create visually stunning product imagery that showcases my Etsy products in a new light?</t>
  </si>
  <si>
    <t>What are the strategies for hosting collaborative workshops or educational events with other Etsy sellers, sharing our knowledge and expertise with customers and building community engagement?</t>
  </si>
  <si>
    <t>How can I collaborate with Etsy sellers who have a strong social media presence to co-host Instagram takeovers or cross-promote each other's content to reach new audiences?</t>
  </si>
  <si>
    <t>What are the considerations for creating collaborative product bundles or curated collections with another Etsy seller, providing customers with a comprehensive and cohesive shopping experience?</t>
  </si>
  <si>
    <t>How can I collaborate with other Etsy sellers to create limited-time subscription boxes or recurring product bundles, offering customers a curated selection of items from multiple sellers on a regular basis?</t>
  </si>
  <si>
    <t>What are the strategies for co-designing and co-developing a new product with a collaborator, combining our creative visions and technical expertise?</t>
  </si>
  <si>
    <t>How can I collaborate with local influencers or micro-influencers to host in-person events or pop-up shops featuring my Etsy products and leveraging their local following?</t>
  </si>
  <si>
    <t>What are the considerations for cross-promoting with complementary businesses or brands outside of Etsy through referral programs or joint advertising campaigns?</t>
  </si>
  <si>
    <t>How can I collaborate with Etsy sellers who offer complementary services, such as gift wrapping or customization, to enhance the overall customer experience and differentiate our offerings?</t>
  </si>
  <si>
    <t>What are the best practices for creating a collaborative press kit or media package to effectively communicate the value and uniqueness of a partnership to journalists or media outlets?</t>
  </si>
  <si>
    <t>How can I collaborate with Etsy sellers in different geographic regions to explore new markets and expand my customer base beyond my current target audience?</t>
  </si>
  <si>
    <t>What are the strategies for creating collaborative content, such as blog posts or videos, that highlight the story behind a partnership and showcase the shared value we bring to customers?</t>
  </si>
  <si>
    <t>How can I collaborate with local event planners or wedding coordinators to feature my Etsy products in styled shoots or events, targeting a specific market segment?</t>
  </si>
  <si>
    <t>What are the considerations for establishing clear legal agreements and terms when entering into a collaboration or partnership, including intellectual property rights and revenue sharing?</t>
  </si>
  <si>
    <t>How can I collaborate with Etsy sellers who have a strong email subscriber base or customer loyalty program to offer exclusive discounts or promotions to their audience?</t>
  </si>
  <si>
    <t>What are the strategies for collaborating with Etsy sellers who have expertise in a particular aspect of the business, such as SEO optimization or product photography, to gain insights and improve my own Etsy shop?</t>
  </si>
  <si>
    <t>How can I collaborate with local influencers or bloggers to create content that showcases my Etsy products in their day-to-day life or in specific scenarios relevant to my target market?</t>
  </si>
  <si>
    <t>What are the considerations for creating joint product launches or pre-orders with another Etsy seller, building anticipation and leveraging both audiences to drive sales?</t>
  </si>
  <si>
    <t>How can I collaborate with Etsy sellers who have established wholesale or retail partnerships to explore opportunities for my products to be featured in physical stores or boutiques?</t>
  </si>
  <si>
    <t>What are the best practices for establishing a referral network with complementary Etsy sellers, where we refer customers to each other based on specific criteria or customer preferences?</t>
  </si>
  <si>
    <t>How can I collaborate with Etsy sellers who have expertise in a different product category but share a similar target market, allowing us to cross-promote and expand our customer base?</t>
  </si>
  <si>
    <t>What are the strategies for hosting joint webinars or online workshops with other Etsy sellers, sharing valuable insights or skills with participants and building brand authority?</t>
  </si>
  <si>
    <t>How can I collaborate with Etsy sellers who offer services or add-ons that complement my products, such as gift wrapping or personalization, to enhance the overall customer experience?</t>
  </si>
  <si>
    <t>What are the considerations for creating collaborative content, such as blog posts or videos, that educate customers about the benefits of our partnership and highlight the unique value we offer?</t>
  </si>
  <si>
    <t>How can I analyze my current Etsy business operations and identify areas where I can scale and grow?</t>
  </si>
  <si>
    <t>What are the strategies for expanding my product line to offer a wider range of options to customers within my niche?</t>
  </si>
  <si>
    <t>How can I leverage customer feedback and market research to identify potential new product categories or niches to diversify my Etsy business?</t>
  </si>
  <si>
    <t>What are the considerations for outsourcing certain tasks or processes in my Etsy business to free up time and resources for scaling and growth?</t>
  </si>
  <si>
    <t>How can I explore new sales channels outside of Etsy, such as setting up my own e-commerce website or selling on other online marketplaces?</t>
  </si>
  <si>
    <t>What are the strategies for establishing wholesale partnerships with retailers or boutiques to expand the reach of my Etsy products?</t>
  </si>
  <si>
    <t>How can I develop a scalable production process or source reliable suppliers to meet increased demand for my Etsy products?</t>
  </si>
  <si>
    <t>What are the considerations for hiring additional team members or virtual assistants to support the growth and operations of my Etsy business?</t>
  </si>
  <si>
    <t>How can I optimize my order fulfillment and shipping processes to handle a larger volume of sales and ensure efficient customer service?</t>
  </si>
  <si>
    <t>What are the strategies for implementing effective inventory management systems to track stock levels, prevent stockouts, and support scaling my Etsy business?</t>
  </si>
  <si>
    <t>How can I leverage data and analytics to identify key performance indicators (KPIs) and track the growth and success of my Etsy business?</t>
  </si>
  <si>
    <t>What are the considerations for diversifying my marketing and advertising efforts to reach new customer segments and expand my Etsy business?</t>
  </si>
  <si>
    <t>How can I explore international shipping options and expand my customer base to reach buyers in different countries?</t>
  </si>
  <si>
    <t>What are the strategies for offering customization or personalization options for my Etsy products to cater to individual customer preferences and increase sales?</t>
  </si>
  <si>
    <t>How can I leverage customer loyalty programs or incentives to encourage repeat business and foster long-term relationships with my Etsy customers?</t>
  </si>
  <si>
    <t>What are the considerations for establishing a strong brand identity and positioning to differentiate my Etsy business in a competitive market?</t>
  </si>
  <si>
    <t>How can I explore collaborations or partnerships with influencers or other brands to increase brand visibility and reach a wider audience?</t>
  </si>
  <si>
    <t>What are the strategies for creating strategic alliances with complementary Etsy sellers or businesses to cross-promote and expand customer reach?</t>
  </si>
  <si>
    <t>How can I leverage email marketing and automation to nurture customer relationships, drive sales, and support the growth of my Etsy business?</t>
  </si>
  <si>
    <t>What are the considerations for setting clear financial goals and budgets to support the scaling and diversification of my Etsy business?</t>
  </si>
  <si>
    <t>How can I explore opportunities for licensing or franchising my Etsy brand to expand into new markets or territories?</t>
  </si>
  <si>
    <t>What are the strategies for conducting market research to identify emerging trends or gaps in the market that present opportunities for scaling and diversifying my Etsy business?</t>
  </si>
  <si>
    <t>How can I leverage social media advertising and paid promotions to reach a broader audience and drive traffic to my Etsy shop?</t>
  </si>
  <si>
    <t>What are the considerations for expanding my Etsy business internationally and navigating international regulations, customs, and shipping requirements?</t>
  </si>
  <si>
    <t>How can I explore opportunities for creating and selling digital products or printable downloads to diversify my product offerings and increase revenue streams?</t>
  </si>
  <si>
    <t>What are the strategies for leveraging influencer marketing to promote my Etsy products and gain exposure to new audiences?</t>
  </si>
  <si>
    <t>How can I optimize my Etsy shop's SEO (search engine optimization) to increase visibility in search results and attract more organic traffic?</t>
  </si>
  <si>
    <t>What are the considerations for setting up a fulfillment center or outsourcing order fulfillment to third-party logistics (3PL) providers to support scaling my Etsy business?</t>
  </si>
  <si>
    <t>How can I explore opportunities for wholesale collaborations with established retailers or brands to diversify my distribution channels and reach new markets?</t>
  </si>
  <si>
    <t>What are the strategies for creating an effective affiliate program to incentivize others to promote and sell my Etsy products?</t>
  </si>
  <si>
    <t>How can I leverage data analysis and customer insights to identify cross-selling or upselling opportunities within my existing customer base and increase average order value?</t>
  </si>
  <si>
    <t>What are the considerations for establishing a strong online presence beyond Etsy, such as maintaining a blog or creating content on social media platforms, to support the scaling of my Etsy business?</t>
  </si>
  <si>
    <t>How can I explore opportunities for selling my Etsy products through pop-up shops, craft fairs, or trade shows to expand my offline presence and attract new customers?</t>
  </si>
  <si>
    <t>What are the strategies for optimizing my Etsy shop's conversion rate and improving the customer experience to drive more sales and support scaling my business?</t>
  </si>
  <si>
    <t>How can I leverage email segmentation and targeted campaigns to deliver personalized messaging and offers to different customer segments?</t>
  </si>
  <si>
    <t>What are the considerations for implementing automation and streamlining processes in my Etsy business to increase efficiency and handle higher order volumes?</t>
  </si>
  <si>
    <t>How can I explore opportunities for private labeling or creating white-label products to offer unique offerings and diversify my product range?</t>
  </si>
  <si>
    <t>What are the strategies for optimizing pricing and profit margins to support scaling my Etsy business while maintaining profitability?</t>
  </si>
  <si>
    <t>How can I leverage influencer collaborations or sponsored content to create buzz and generate interest in my Etsy products?</t>
  </si>
  <si>
    <t>What are the considerations for implementing customer service systems and processes that can scale alongside the growth of my Etsy business?</t>
  </si>
  <si>
    <t>How can I explore opportunities for selling my Etsy products through subscription box services or curated gift boxes to tap into new markets and reach a recurring customer base?</t>
  </si>
  <si>
    <t>What are the strategies for implementing effective customer retention programs, such as loyalty rewards or exclusive offers, to foster repeat business and increase customer lifetime value?</t>
  </si>
  <si>
    <t>How can I leverage social proof, such as customer reviews or testimonials, to build trust and credibility for my Etsy business and attract more customers?</t>
  </si>
  <si>
    <t>What are the considerations for expanding my Etsy business into physical retail locations, such as setting up a brick-and-mortar store or partnering with existing retailers?</t>
  </si>
  <si>
    <t>How can I explore opportunities for licensing or selling my designs or patterns to other businesses or manufacturers to diversify revenue streams and expand my brand's reach?</t>
  </si>
  <si>
    <t>What are the strategies for optimizing my Etsy shop's mobile experience to cater to the increasing number of shoppers who browse and purchase using mobile devices?</t>
  </si>
  <si>
    <t>How can I leverage upselling and cross-selling techniques within my Etsy shop to increase average order value and boost overall sales?</t>
  </si>
  <si>
    <t>What are the considerations for implementing customer relationship management (CRM) systems and tools to effectively manage and nurture customer relationships as my Etsy business scales?</t>
  </si>
  <si>
    <t>How can I explore opportunities for creating and selling digital courses or workshops related to my Etsy niche to diversify revenue streams and position myself as an expert in the field?</t>
  </si>
  <si>
    <t>What are the strategies for leveraging customer referrals and word-of-mouth marketing to expand my customer base and drive organic growth?</t>
  </si>
  <si>
    <t>How can I leverage user-generated content, such as customer photos or testimonials, to create a sense of community around my Etsy brand and encourage further engagement and sales?</t>
  </si>
  <si>
    <t>What are the considerations for expanding my Etsy business into international markets by localizing product descriptions, customer support, and marketing materials?</t>
  </si>
  <si>
    <t>How can I explore opportunities for collaborations with influencers or content creators to co-create exclusive product lines or limited-edition items for my Etsy shop?</t>
  </si>
  <si>
    <t>What are the strategies for implementing effective upselling and cross-selling techniques in my Etsy shop to encourage customers to purchase additional items?</t>
  </si>
  <si>
    <t>How can I leverage data analytics and market trends to identify and capitalize on seasonal opportunities and diversify my product offerings accordingly?</t>
  </si>
  <si>
    <t>What are the considerations for expanding my Etsy business into the wholesale market and establishing relationships with retailers or distributors?</t>
  </si>
  <si>
    <t>How can I explore opportunities for creating and selling digital templates or design resources that cater to other Etsy sellers or creative entrepreneurs?</t>
  </si>
  <si>
    <t>What are the strategies for optimizing my Etsy shop's customer checkout process to minimize cart abandonment and increase conversion rates?</t>
  </si>
  <si>
    <t>How can I leverage influencer collaborations or sponsored giveaways to increase brand awareness and attract new customers to my Etsy shop?</t>
  </si>
  <si>
    <t>What are the considerations for implementing a customer feedback and review system to gather insights, improve products, and enhance the overall customer experience?</t>
  </si>
  <si>
    <t>How can I explore opportunities for creating and selling DIY kits or craft supplies that complement my existing Etsy products and appeal to a broader audience?</t>
  </si>
  <si>
    <t>What are the strategies for implementing effective customer segmentation to deliver targeted marketing campaigns and personalized recommendations in my Etsy shop?</t>
  </si>
  <si>
    <t>How can I leverage social media influencers or micro-influencers to promote my Etsy products and generate buzz among their dedicated followers?</t>
  </si>
  <si>
    <t>What are the considerations for expanding my Etsy business into the dropshipping model, allowing me to offer a wider range of products without the need for inventory management?</t>
  </si>
  <si>
    <t>How can I explore opportunities for licensing my Etsy designs to manufacturers or brands to expand the reach of my products beyond the Etsy marketplace?</t>
  </si>
  <si>
    <t>What are the strategies for optimizing my Etsy shop's branding and visual identity to create a cohesive and memorable customer experience?</t>
  </si>
  <si>
    <t>How can I leverage partnerships with local businesses or events to showcase and sell my Etsy products in physical pop-up shops or temporary retail spaces?</t>
  </si>
  <si>
    <t>What are the considerations for expanding my Etsy business into the B2B (business-to-business) market by offering wholesale options to other businesses or retailers?</t>
  </si>
  <si>
    <t>How can I explore opportunities for collaborating with influencers or content creators to host joint giveaways or contests that generate excitement and exposure for my Etsy shop?</t>
  </si>
  <si>
    <t>What are the strategies for implementing effective customer communication channels, such as chatbots or live chat support, to provide timely assistance and improve customer satisfaction?</t>
  </si>
  <si>
    <t>How can I leverage the power of customer testimonials and case studies to showcase the positive experiences and results that customers have achieved with my Etsy products?</t>
  </si>
  <si>
    <t>What are the considerations for expanding my Etsy business into the print-on-demand model, allowing me to offer customizable products without the need for production or inventory?</t>
  </si>
  <si>
    <t>How can I explore opportunities for cross-promotion with complementary Etsy sellers or businesses to tap into each other's customer base and increase exposure?</t>
  </si>
  <si>
    <t>What are the strategies for optimizing my Etsy shop's checkout process to minimize friction points and improve conversion rates?</t>
  </si>
  <si>
    <t>How can I leverage email marketing automation to create personalized and targeted email campaigns that drive engagement and sales for my Etsy products?</t>
  </si>
  <si>
    <t>How can I set up and optimize my Etsy Ads campaign to maximize visibility and drive targeted traffic to my listings?</t>
  </si>
  <si>
    <t>What are the best practices for selecting relevant keywords and optimizing my Etsy Ads to reach my target audience?</t>
  </si>
  <si>
    <t>How can I monitor and analyze the performance of my Etsy Ads campaign to make data-driven decisions and improve its effectiveness?</t>
  </si>
  <si>
    <t>What are the considerations for setting a budget and bidding strategy that align with my goals and maximize the return on investment (ROI) for my Etsy Ads?</t>
  </si>
  <si>
    <t>How can I leverage the power of Promoted Listings to increase the visibility of my Etsy products within search results and category pages?</t>
  </si>
  <si>
    <t>What are the strategies for selecting the right listings to promote and optimizing their titles, tags, and descriptions for better performance in Promoted Listings?</t>
  </si>
  <si>
    <t>How can I monitor and track the performance metrics of my Promoted Listings to evaluate their effectiveness and make necessary adjustments?</t>
  </si>
  <si>
    <t>What are the considerations for testing different ad creatives, such as images or graphics, to optimize the click-through rates and conversion rates of my Etsy Ads?</t>
  </si>
  <si>
    <t>How can I leverage the advanced targeting options available in Etsy Ads to reach specific customer segments and increase the relevance of my ad campaigns?</t>
  </si>
  <si>
    <t>What are the strategies for creating compelling ad copy that grabs attention, highlights product benefits, and encourages clicks and conversions in Etsy Ads?</t>
  </si>
  <si>
    <t>How can I leverage seasonal trends and events to create targeted Etsy Ads campaigns that align with the interests and buying behaviors of my target audience?</t>
  </si>
  <si>
    <t>What are the considerations for scheduling and timing my Etsy Ads to maximize their impact and reach during peak shopping periods or specific days of the week?</t>
  </si>
  <si>
    <t>How can I use A/B testing to experiment with different variations of my Etsy Ads and determine the most effective elements for driving conversions?</t>
  </si>
  <si>
    <t>What are the strategies for optimizing my Etsy shop's landing pages to ensure a seamless and engaging user experience for visitors who click on my Etsy Ads?</t>
  </si>
  <si>
    <t>How can I leverage the data and insights from Etsy's analytics tools to identify trends and patterns that inform my Etsy Ads targeting and optimization strategies?</t>
  </si>
  <si>
    <t>What are the considerations for adjusting my Etsy Ads bids and budgets based on the performance of individual listings or product categories?</t>
  </si>
  <si>
    <t>How can I explore opportunities for cross-promotion by targeting my Etsy Ads to appear on the listings of complementary or related Etsy sellers?</t>
  </si>
  <si>
    <t>What are the strategies for utilizing retargeting campaigns in Etsy Ads to re-engage visitors who have previously shown interest in my listings?</t>
  </si>
  <si>
    <t>How can I leverage customer reviews and ratings in my Etsy Ads to build trust and credibility, and increase click-through rates and conversions?</t>
  </si>
  <si>
    <t>What are the considerations for optimizing my Etsy shop's product photography and visuals to create impactful and eye-catching ads in Etsy Ads?</t>
  </si>
  <si>
    <t>How can I research and analyze the competition's Etsy Ads strategies to identify opportunities and gain a competitive edge in my own ad campaigns?</t>
  </si>
  <si>
    <t>What are the strategies for creating urgency and a sense of scarcity in my Etsy Ads to motivate potential customers to take immediate action?</t>
  </si>
  <si>
    <t>How can I leverage customer segmentation and targeting in Etsy Ads to deliver personalized ad experiences that resonate with different customer groups?</t>
  </si>
  <si>
    <t>What are the considerations for incorporating seasonal keywords and trending topics into my Etsy Ads to align with current market interests and increase ad relevancy?</t>
  </si>
  <si>
    <t>How can I utilize ad extensions and additional features available in Etsy Ads to enhance the visibility and appeal of my ad campaigns?</t>
  </si>
  <si>
    <t>What are the strategies for optimizing my Etsy shop's product pricing and discounts to align with my Etsy Ads campaigns and maximize the effectiveness of promotions?</t>
  </si>
  <si>
    <t>How can I leverage customer testimonials or user-generated content in my Etsy Ads to build social proof and increase trust among potential customers?</t>
  </si>
  <si>
    <t>What are the considerations for monitoring and adjusting Etsy Ads campaigns during peak shopping seasons or periods of increased competition?</t>
  </si>
  <si>
    <t>How can I explore opportunities for cross-promoting my Etsy listings through external advertising platforms or social media channels in conjunction with Etsy Ads?</t>
  </si>
  <si>
    <t>What are the strategies for creating compelling calls-to-action (CTAs) in my Etsy Ads that prompt customers to click and make a purchase?</t>
  </si>
  <si>
    <t>How can I leverage the power of video advertising in Etsy Ads to create engaging and interactive ad experiences that drive conversions?</t>
  </si>
  <si>
    <t>What are the considerations for targeting and optimizing Etsy Ads for specific geographic locations or international markets to expand my customer base?</t>
  </si>
  <si>
    <t>How can I utilize data analysis and performance metrics in Etsy Ads to identify underperforming listings or ad campaigns and make necessary adjustments?</t>
  </si>
  <si>
    <t>What are the strategies for utilizing promotional offers, such as free shipping or discounts, in my Etsy Ads to incentivize customers and increase conversions?</t>
  </si>
  <si>
    <t>How can I leverage the power of influencer collaborations or partnerships in my Etsy Ads to tap into their audience and increase brand exposure?</t>
  </si>
  <si>
    <t>What are the considerations for aligning my Etsy Ads with my overall marketing and branding strategy to maintain consistency and reinforce my brand identity?</t>
  </si>
  <si>
    <t>How can I explore opportunities for remarketing and targeting customers who have previously interacted with my Etsy shop through other online channels or platforms?</t>
  </si>
  <si>
    <t>What are the strategies for optimizing the mobile experience of my Etsy Ads to cater to the increasing number of shoppers who browse and purchase using mobile devices?</t>
  </si>
  <si>
    <t>How can I leverage the data and insights from Etsy Ads to identify and capitalize on emerging market trends and opportunities?</t>
  </si>
  <si>
    <t>What are the considerations for creating compelling and visually appealing ad creatives in Etsy Ads that grab attention and stand out from competitors?</t>
  </si>
  <si>
    <t>How can I leverage storytelling and emotional appeals in my Etsy Ads to create a connection with potential customers and drive engagement?</t>
  </si>
  <si>
    <t>What are the strategies for utilizing customer segmentation and retargeting in Etsy Ads to deliver personalized ad experiences based on customers' past interactions?</t>
  </si>
  <si>
    <t>How can I incorporate social media integration and sharing options in my Etsy Ads to encourage customers to spread the word and amplify the reach of my campaigns?</t>
  </si>
  <si>
    <t>What are the considerations for setting realistic goals and expectations for my Etsy Ads campaigns and tracking key performance indicators (KPIs) to measure success?</t>
  </si>
  <si>
    <t>How can I leverage customer data and purchase history in Etsy Ads to create customized ad experiences and recommend relevant products to individual customers?</t>
  </si>
  <si>
    <t>What are the strategies for utilizing ad scheduling and bid adjustments in Etsy Ads to target specific times of day or days of the week when my target audience is most active?</t>
  </si>
  <si>
    <t>How can I explore opportunities for co-advertising with other Etsy sellers or businesses to share the costs and increase the exposure of our ad campaigns?</t>
  </si>
  <si>
    <t>What are the considerations for utilizing different ad formats, such as carousel ads or dynamic ads, in Etsy Ads to showcase multiple products or highlight specific features?</t>
  </si>
  <si>
    <t>How can I leverage the power of influencer marketing in Etsy Ads by collaborating with influencers or content creators who align with my brand and target audience?</t>
  </si>
  <si>
    <t>What are the strategies for conducting A/B testing experiments in Etsy Ads to compare different ad variations and optimize their performance for better results?</t>
  </si>
  <si>
    <t>How can I create a memorable unboxing experience for my customers by using unique and branded packaging materials?</t>
  </si>
  <si>
    <t>What are the essential packaging supplies I need to have on hand for shipping my products safely and securely?</t>
  </si>
  <si>
    <t>How can I incorporate eco-friendly packaging materials and practices into my shipping process to align with sustainable values?</t>
  </si>
  <si>
    <t>What are the considerations for choosing the right shipping boxes or mailers that provide adequate protection for my products while minimizing shipping costs?</t>
  </si>
  <si>
    <t>How can I personalize my packaging by including handwritten thank-you notes or small surprise gifts to delight and surprise my customers?</t>
  </si>
  <si>
    <t>What are the strategies for selecting appropriate cushioning materials, such as bubble wrap or packing peanuts, to ensure the safe transit of fragile items?</t>
  </si>
  <si>
    <t>How can I incorporate my branding and logo onto my packaging materials to create a cohesive and professional look?</t>
  </si>
  <si>
    <t>What are the considerations for choosing the right size and type of shipping labels to ensure accurate delivery and professional presentation?</t>
  </si>
  <si>
    <t>How can I streamline my shipping process by using online postage services or shipping software to save time and reduce manual errors?</t>
  </si>
  <si>
    <t>What are the strategies for optimizing the efficiency of my packaging process to ensure quick turnaround times and prompt order fulfillment?</t>
  </si>
  <si>
    <t>How can I create a visually appealing and informative packing slip or invoice to include in each package?</t>
  </si>
  <si>
    <t>What are the considerations for choosing the appropriate packing tape that provides secure closure and tamper-evident features for my packages?</t>
  </si>
  <si>
    <t>How can I offer gift wrapping or special packaging options for customers who are purchasing items as gifts?</t>
  </si>
  <si>
    <t>What are the strategies for organizing and storing my packaging and shipping supplies to maintain a tidy and efficient workspace?</t>
  </si>
  <si>
    <t>How can I implement a tracking and delivery confirmation system to provide transparency and peace of mind to my customers?</t>
  </si>
  <si>
    <t>What are the considerations for implementing a return or exchange policy and including the necessary documentation in my packages?</t>
  </si>
  <si>
    <t>How can I explore custom packaging options, such as printed boxes or branded tissue paper, to enhance the presentation of my products?</t>
  </si>
  <si>
    <t>What are the strategies for minimizing packaging waste and using sustainable alternatives, such as recyclable or biodegradable materials?</t>
  </si>
  <si>
    <t>How can I incorporate promotional materials, such as business cards or discount codes, into my packaging to encourage repeat purchases?</t>
  </si>
  <si>
    <t>What are the considerations for choosing the right shipping carriers and services that offer reliable delivery and competitive rates?</t>
  </si>
  <si>
    <t>How can I create informative and eye-catching shipping labels that include important information, such as return addresses and handling instructions?</t>
  </si>
  <si>
    <t>What are the strategies for optimizing the weight and dimensions of my packaging to minimize shipping costs without compromising product protection?</t>
  </si>
  <si>
    <t>How can I offer personalized packaging options, such as gift messages or custom notes, to cater to the specific needs and preferences of my customers?</t>
  </si>
  <si>
    <t>What are the considerations for selecting the appropriate shipping insurance options to protect my products and provide coverage in case of loss or damage?</t>
  </si>
  <si>
    <t>How can I implement a system for tracking and monitoring inventory of packaging and shipping supplies to ensure I never run out of essential materials?</t>
  </si>
  <si>
    <t>What are the strategies for incorporating creative touches, such as colorful tissue paper or ribbon, to add an extra element of excitement to my packaging?</t>
  </si>
  <si>
    <t>How can I leverage packaging inserts, such as discount coupons or product samples, to encourage customer loyalty and drive repeat purchases?</t>
  </si>
  <si>
    <t>What are the considerations for complying with international shipping regulations and customs requirements when shipping products to customers in different countries?</t>
  </si>
  <si>
    <t>How can I offer expedited shipping options for customers who require faster delivery times, and what are the considerations for pricing these options?</t>
  </si>
  <si>
    <t>What are the strategies for managing and tracking the shipping costs associated with each order to ensure accurate pricing and profitability?</t>
  </si>
  <si>
    <t>How can I use package tracking notifications and delivery updates to proactively communicate with my customers and address any potential delivery issues?</t>
  </si>
  <si>
    <t>What are the considerations for choosing the appropriate shipping carrier based on factors such as delivery speed, reliability, and coverage area?</t>
  </si>
  <si>
    <t>How can I create a cohesive and on-brand packaging design that aligns with the style and aesthetic of my products and Etsy shop?</t>
  </si>
  <si>
    <t>What are the strategies for analyzing the performance of different product variations or options in terms of popularity, customer preferences, and profitability?</t>
  </si>
  <si>
    <t>How can I track and analyze the impact of customer engagement and interactions, such as comments or likes, on the visibility and reach of my Etsy shop's listings?</t>
  </si>
  <si>
    <t>What are the considerations for conducting trend analysis in my Etsy shop's sales data to identify emerging market trends, customer preferences, or product opportunities?</t>
  </si>
  <si>
    <t>How can I effectively monitor and track customer reviews for my Etsy shop?</t>
  </si>
  <si>
    <t>What are the strategies for responding to positive customer reviews on Etsy?</t>
  </si>
  <si>
    <t>How can I address negative customer reviews on Etsy in a professional and constructive manner?</t>
  </si>
  <si>
    <t>What are the best practices for encouraging customers to leave reviews on Etsy after their purchase?</t>
  </si>
  <si>
    <t>How can I use customer reviews to improve the quality and value of my products on Etsy?</t>
  </si>
  <si>
    <t>What are the considerations for dealing with fake or malicious reviews on Etsy?</t>
  </si>
  <si>
    <t>How can I leverage positive customer reviews as social proof and testimonials for my Etsy shop?</t>
  </si>
  <si>
    <t>What are the strategies for addressing common customer concerns or complaints in Etsy reviews?</t>
  </si>
  <si>
    <t>How can I learn from customer feedback in reviews to make necessary changes and enhancements to my products or services?</t>
  </si>
  <si>
    <t>What are the best practices for expressing gratitude and appreciation to customers who leave reviews on Etsy?</t>
  </si>
  <si>
    <t>How can I use customer reviews on Etsy to identify areas of improvement and enhance the overall customer experience?</t>
  </si>
  <si>
    <t>What are the considerations for maintaining professionalism and courtesy when responding to negative customer reviews on Etsy?</t>
  </si>
  <si>
    <t>How can I effectively address customer questions or inquiries in reviews and provide helpful and informative responses?</t>
  </si>
  <si>
    <t>What are the strategies for showcasing customer reviews prominently in my Etsy shop to build trust and credibility?</t>
  </si>
  <si>
    <t>How can I proactively request feedback from customers who haven't left reviews on Etsy?</t>
  </si>
  <si>
    <t>What are the best practices for soliciting and responding to customer reviews on Etsy through follow-up emails or messages?</t>
  </si>
  <si>
    <t>How can I use customer reviews to identify potential opportunities for product innovation or diversification on Etsy?</t>
  </si>
  <si>
    <t>What are the considerations for leveraging customer reviews to optimize my Etsy shop's search ranking and visibility?</t>
  </si>
  <si>
    <t>How can I turn negative customer reviews into opportunities for customer service recovery and resolution?</t>
  </si>
  <si>
    <t>What are the strategies for engaging with customers in a timely manner and maintaining a responsive approach to reviews on Etsy?</t>
  </si>
  <si>
    <t>How can I encourage customers to update or edit their reviews on Etsy based on their updated experience or satisfaction?</t>
  </si>
  <si>
    <t>What are the best practices for acknowledging and addressing specific customer feedback or suggestions in reviews on Etsy?</t>
  </si>
  <si>
    <t>How can I leverage customer reviews to build a loyal customer base and foster a positive reputation for my Etsy shop?</t>
  </si>
  <si>
    <t>What are the considerations for incorporating customer testimonials and reviews into my Etsy shop's marketing materials and product descriptions?</t>
  </si>
  <si>
    <t>How can I use customer reviews to identify potential areas for collaboration or partnership opportunities on Etsy?</t>
  </si>
  <si>
    <t>What are the strategies for showcasing customer reviews in different formats, such as video testimonials or written quotes, to enhance their impact on Etsy shoppers?</t>
  </si>
  <si>
    <t>How can I use customer reviews to differentiate my Etsy shop from competitors and highlight the unique value I offer?</t>
  </si>
  <si>
    <t>What are the considerations for handling customer reviews that contain personal or sensitive information on Etsy?</t>
  </si>
  <si>
    <t>How can I monitor and respond to customer reviews across multiple platforms, including Etsy and external review websites?</t>
  </si>
  <si>
    <t>What are the best practices for maintaining transparency and authenticity in responding to customer reviews on Etsy?</t>
  </si>
  <si>
    <t>How can I use customer reviews to identify patterns or trends in product preferences or market demand on Etsy?</t>
  </si>
  <si>
    <t>What are the strategies for leveraging customer reviews to optimize my Etsy shop's return and refund policies?</t>
  </si>
  <si>
    <t>How can I effectively showcase and respond to customer reviews in my Etsy shop's social media channels or blog?</t>
  </si>
  <si>
    <t>What are the considerations for seeking permission from customers to use their reviews as marketing material for my Etsy shop?</t>
  </si>
  <si>
    <t>How can I use customer reviews to build rapport and establish a connection with potential customers visiting my Etsy shop?</t>
  </si>
  <si>
    <t>What are the best practices for addressing customer reviews that include inaccurate or misleading information on Etsy?</t>
  </si>
  <si>
    <t>How can I use customer reviews to refine and improve my Etsy shop's customer service processes and policies?</t>
  </si>
  <si>
    <t>What are the strategies for responding to neutral customer reviews on Etsy to show appreciation for feedback and encourage further engagement?</t>
  </si>
  <si>
    <t>How can I leverage customer reviews to highlight the unique selling points of my products and distinguish myself from competitors on Etsy?</t>
  </si>
  <si>
    <t>What are the considerations for moderating and managing customer reviews on Etsy to maintain a fair and unbiased platform?</t>
  </si>
  <si>
    <t>How can I use customer reviews to gather insights and testimonials for product launches or marketing campaigns on Etsy?</t>
  </si>
  <si>
    <t>What are the strategies for responding to customer reviews in a way that aligns with my Etsy shop's brand voice and values?</t>
  </si>
  <si>
    <t>How can I address customer reviews that contain constructive criticism or suggestions for improvement on Etsy?</t>
  </si>
  <si>
    <t>What are the considerations for sharing customer reviews with my team or employees to motivate and inspire them in delivering excellent customer experiences?</t>
  </si>
  <si>
    <t>How can I use customer reviews to identify potential areas for improvement in my Etsy shop's shipping and packaging processes?</t>
  </si>
  <si>
    <t>What are the best practices for highlighting and responding to customer reviews in my Etsy shop's newsletter or email marketing campaigns?</t>
  </si>
  <si>
    <t>How can I use customer reviews to gather insights on customer preferences, demographics, and buying behaviors on Etsy?</t>
  </si>
  <si>
    <t>What are the strategies for leveraging customer reviews to build a strong brand reputation and positive online presence for my Etsy shop?</t>
  </si>
  <si>
    <t>How can I effectively manage and respond to customer reviews during busy or high-volume periods in my Etsy shop?</t>
  </si>
  <si>
    <t>What are the considerations for incorporating customer reviews into my Etsy shop's product development roadmap and future planning?</t>
  </si>
  <si>
    <t>How can I create a daily schedule that allows me to effectively manage my time and tasks as an Etsy seller?</t>
  </si>
  <si>
    <t>What are the strategies for prioritizing my Etsy shop's activities and focusing on high-value tasks?</t>
  </si>
  <si>
    <t>How can I effectively set goals and establish milestones to track my progress and productivity as an Etsy seller?</t>
  </si>
  <si>
    <t>What are the best practices for managing distractions and maintaining focus while working on my Etsy business?</t>
  </si>
  <si>
    <t>How can I use time-blocking techniques to allocate dedicated time slots for different activities in my Etsy shop?</t>
  </si>
  <si>
    <t>What are the considerations for outsourcing or delegating certain tasks to free up more time for core business activities?</t>
  </si>
  <si>
    <t>How can I leverage productivity tools and apps to streamline my workflow and automate repetitive tasks in my Etsy shop?</t>
  </si>
  <si>
    <t>What are the strategies for optimizing my workspace and creating an environment conducive to productivity as an Etsy seller?</t>
  </si>
  <si>
    <t>How can I effectively manage and balance my personal life and responsibilities with my Etsy business?</t>
  </si>
  <si>
    <t>What are the best practices for avoiding procrastination and maintaining a consistent work ethic as an Etsy seller?</t>
  </si>
  <si>
    <t>How can I use batch processing or bulk operations to efficiently handle tasks such as listing creation, inventory management, or order processing on Etsy?</t>
  </si>
  <si>
    <t>What are the considerations for setting realistic deadlines and managing time buffers to account for unforeseen circumstances in my Etsy shop?</t>
  </si>
  <si>
    <t>How can I prioritize self-care and avoid burnout while running a successful Etsy business?</t>
  </si>
  <si>
    <t>What are the strategies for effectively managing and responding to customer inquiries and messages within a reasonable timeframe on Etsy?</t>
  </si>
  <si>
    <t>How can I leverage automation tools and workflows to streamline repetitive administrative tasks in my Etsy shop?</t>
  </si>
  <si>
    <t>What are the best practices for managing email communications and setting boundaries to avoid overwhelm as an Etsy seller?</t>
  </si>
  <si>
    <t>How can I use time-management techniques, such as the Pomodoro Technique, to increase focus and productivity in my Etsy business?</t>
  </si>
  <si>
    <t>What are the considerations for setting realistic expectations and deadlines for custom orders or made-to-order products on Etsy?</t>
  </si>
  <si>
    <t>How can I effectively prioritize and manage my Etsy shop's financial tasks, such as bookkeeping, tax filings, and inventory costing?</t>
  </si>
  <si>
    <t>What are the strategies for minimizing multitasking and focusing on one task at a time to improve efficiency and productivity as an Etsy seller?</t>
  </si>
  <si>
    <t>How can I use productivity apps or software to track and analyze my time usage and identify areas for improvement in my Etsy business?</t>
  </si>
  <si>
    <t>What are the best practices for setting boundaries and managing interruptions during dedicated work hours for my Etsy shop?</t>
  </si>
  <si>
    <t>How can I leverage project management techniques, such as creating task lists and setting milestones, to stay organized and on track with my Etsy business goals?</t>
  </si>
  <si>
    <t>What are the considerations for setting realistic production or fulfillment timelines for different product types or complexities on Etsy?</t>
  </si>
  <si>
    <t>How can I use productivity hacks, such as creating templates or reusable resources, to save time and effort in my Etsy shop's operations?</t>
  </si>
  <si>
    <t>What are the strategies for managing and balancing multiple projects or product lines within my Etsy business?</t>
  </si>
  <si>
    <t>How can I effectively use to-do lists or task management tools to stay organized and prioritize my daily or weekly tasks as an Etsy seller?</t>
  </si>
  <si>
    <t>What are the considerations for setting boundaries around working hours and establishing a healthy work-life balance as an Etsy seller?</t>
  </si>
  <si>
    <t>How can I leverage collaboration tools and platforms to streamline communication and collaboration with team members or virtual assistants in my Etsy business?</t>
  </si>
  <si>
    <t>Copywriting II</t>
  </si>
  <si>
    <t>Discuss the role of headline sequencing and hierarchy in conveying a cohesive message.</t>
  </si>
  <si>
    <t>How can you create headlines that appeal to readers' aspirations and desires?</t>
  </si>
  <si>
    <t>Share your insights on crafting headlines that establish a sense of authority and expertise.</t>
  </si>
  <si>
    <t>Explore the use of emotional triggers and psychological principles in headline writing.</t>
  </si>
  <si>
    <t>Discuss the impact of cultural sensitivity and inclusivity in headline writing.</t>
  </si>
  <si>
    <t>How do you create headlines that offer a clear value proposition and benefits to the reader?</t>
  </si>
  <si>
    <t>Share your strategies for creating headlines that spark curiosity and generate click-throughs.</t>
  </si>
  <si>
    <t>Explore the use of storytelling elements, such as conflict and resolution, in headline writing.</t>
  </si>
  <si>
    <t>Discuss the impact of headline personalization and segmentation on reader engagement.</t>
  </si>
  <si>
    <t>How to optimize ad copy length for different social media platforms and audience preferences?</t>
  </si>
  <si>
    <t>Share insights on using social media targeting options, such as demographics or interests, to reach a specific audience with your ads.</t>
  </si>
  <si>
    <t>Explore the use of social proof, such as social media follower counts or user-generated content, to build credibility in your social media ads.</t>
  </si>
  <si>
    <t>Discuss the importance of aligning your ad copy with the specific goals and objectives of your social media ad campaign.</t>
  </si>
  <si>
    <t>How to leverage user engagement metrics, such as likes or comments, to gauge the performance and effectiveness of your social media ads?</t>
  </si>
  <si>
    <t>Share strategies for creating a sense of exclusivity or limited availability in social media ads to drive demand.</t>
  </si>
  <si>
    <t>Discuss the impact of using strong and attention-grabbing visuals in social media ads to increase click-through rates.</t>
  </si>
  <si>
    <t>How to craft ad copy that speaks directly to your target audience's aspirations, dreams, or desires in social media ads?</t>
  </si>
  <si>
    <t>Share insights on using storytelling frameworks, such as the hero's journey, to structure your ad copy and captivate the audience in social media ads.</t>
  </si>
  <si>
    <t>Explore the use of social media ad targeting options, such as custom audiences or lookalike audiences, to reach a highly relevant audience.</t>
  </si>
  <si>
    <t>Discuss the importance of aligning your ad copy with the specific features or benefits of the social media platform you are advertising on.</t>
  </si>
  <si>
    <t>How to use persuasive language techniques, such as scarcity or social validation, to influence user behavior in social media ads?</t>
  </si>
  <si>
    <t>Share strategies for creating ad copy that addresses the objections or concerns of your target audience in social media ads.</t>
  </si>
  <si>
    <t>Discuss the impact of using dynamic ad creative and personalization to deliver tailored messages to individual users in social media campaigns.</t>
  </si>
  <si>
    <t>How to craft ad copy that aligns with the user's intent or mindset when they are browsing social media platforms?</t>
  </si>
  <si>
    <t>Share insights on using data-driven decision-making to optimize your social media ad campaigns and improve ROI.</t>
  </si>
  <si>
    <t>Explore the use of storytelling through user-generated content or customer testimonials in social media ads to create authenticity and engagement.</t>
  </si>
  <si>
    <t>Discuss the importance of strong and concise headlines that capture attention and communicate the main message of your social media ads.</t>
  </si>
  <si>
    <t>How to leverage the power of social media ad targeting options, such as interests or behaviors, to reach a highly specific audience?</t>
  </si>
  <si>
    <t>Share strategies for creating ad copy that highlights the value and ROI potential of your product or service in social media ads.</t>
  </si>
  <si>
    <t>Discuss the impact of using social media ad retargeting to re-engage users who have previously shown interest in your brand or offerings.</t>
  </si>
  <si>
    <t>How to write ad copy that instills trust and credibility in your brand or product in social media ads?</t>
  </si>
  <si>
    <t>Share insights on using storytelling elements, such as conflict or resolution, to create a narrative arc in your social media ad copy.</t>
  </si>
  <si>
    <t>Explore the use of emotional appeals or aspirational messaging in social media ads to resonate with the desires of your target audience.</t>
  </si>
  <si>
    <t>Discuss the importance of clear and concise ad copy that communicates the key message and value proposition of your social media ads.</t>
  </si>
  <si>
    <t>How to use social media ad testing to identify the best-performing ad variations and optimize your campaign's effectiveness?</t>
  </si>
  <si>
    <t>Share strategies for creating ad copy that builds curiosity and encourages users to click and learn more in social media ads.</t>
  </si>
  <si>
    <t>Discuss the impact of using social media ad placement options, such as audience network or stories, to reach users across different touchpoints.</t>
  </si>
  <si>
    <t>How to craft ad copy that addresses the specific pain points or challenges your target audience experiences in social media ads?</t>
  </si>
  <si>
    <t>Share insights on using social media ad scheduling and frequency capping to control the delivery and visibility of your ads.</t>
  </si>
  <si>
    <t>Explore the use of customer segmentation and personalized ad targeting to deliver tailored messages to different audience segments in social media campaigns.</t>
  </si>
  <si>
    <t>Discuss the importance of aligning your ad copy with the visual elements and design principles of the social media platform you are advertising on.</t>
  </si>
  <si>
    <t>How to write ad copy that sparks curiosity and encourages users to engage with your social media ads?</t>
  </si>
  <si>
    <t>Share strategies for using social media ad analytics to measure the impact and ROI of your campaigns and make data-driven optimizations.</t>
  </si>
  <si>
    <t>Discuss the impact of using social media ad formats, such as stories or carousels, to create interactive and immersive brand experiences.</t>
  </si>
  <si>
    <t>How to leverage social media ad creative testing to identify the most effective visuals and messaging for your target audience?</t>
  </si>
  <si>
    <t>Share insights on using influencer partnerships or collaborations in social media ads to expand your brand's reach and credibility.</t>
  </si>
  <si>
    <t>Explore the use of emotional triggers, such as fear or joy, in social media ads to elicit strong emotional responses from the audience.</t>
  </si>
  <si>
    <t>Discuss the importance of ad copy that highlights the social, environmental, or ethical impact of your brand or product in social media ads.</t>
  </si>
  <si>
    <t>How to craft ad copy that appeals to the values and beliefs of your target audience in social media ads?</t>
  </si>
  <si>
    <t>Share strategies for creating a sense of community or exclusivity through your social media ad copy to foster brand loyalty.</t>
  </si>
  <si>
    <t>Discuss the impact of using persuasive storytelling techniques, such as relatable narratives or testimonials, in social media ads.</t>
  </si>
  <si>
    <t>How to optimize ad copy length for different social media platforms and user attention spans?</t>
  </si>
  <si>
    <t>Share insights on using social media ad targeting options, such as custom audiences or retargeting, to re-engage users who have shown previous interest.</t>
  </si>
  <si>
    <t>Explore the use of social media ad sequencing to tell a cohesive brand story and guide users through the customer journey.</t>
  </si>
  <si>
    <t>Discuss the importance of strong and compelling ad visuals that convey the essence of your brand or product in social media ads.</t>
  </si>
  <si>
    <t>How to write ad copy that addresses the objections or hesitations your target audience may have in social media ads?</t>
  </si>
  <si>
    <t>Share strategies for using social media ad frequency capping to control the number of times users see your ads and avoid ad fatigue.</t>
  </si>
  <si>
    <t>Discuss the impact of using social media ad localization and language targeting to reach diverse global audiences effectively.</t>
  </si>
  <si>
    <t>How to craft ad copy that leverages social media influencers or brand ambassadors to enhance your brand's reach and credibility?</t>
  </si>
  <si>
    <t>Share insights on using storytelling elements, such as conflict or resolution, to create engaging and impactful social media ad narratives.</t>
  </si>
  <si>
    <t>Explore the use of social media ad retargeting to re-engage users who have abandoned the purchase process or shown interest in your offerings.</t>
  </si>
  <si>
    <t>Discuss the importance of clear and concise ad copy that communicates the value proposition and benefits of your product or service in social media ads.</t>
  </si>
  <si>
    <t>How to write ad copy that captures the user's attention and generates curiosity in the limited space available in social media ads?</t>
  </si>
  <si>
    <t>Share strategies for using social media ad A/B testing to compare different ad variations and identify the most effective elements.</t>
  </si>
  <si>
    <t>Discuss the impact of using user-generated content, such as customer reviews or user-submitted photos, to enhance the authenticity and credibility of your social media ads.</t>
  </si>
  <si>
    <t>How to optimize ad copy for mobile devices and ensure a seamless user experience in social media ad campaigns?</t>
  </si>
  <si>
    <t>Share insights on using social media ad remarketing to re-engage users who have previously interacted with your brand or visited your website.</t>
  </si>
  <si>
    <t>Explore the use of social media ad targeting options, such as interests or behaviors, to reach a highly specific and relevant audience segment.</t>
  </si>
  <si>
    <t>How to craft ad copy that addresses the desires, aspirations, or pain points of your target audience in social media ads?</t>
  </si>
  <si>
    <t>Share strategies for leveraging the power of emotional storytelling in social media ads to create a deep connection with the audience.</t>
  </si>
  <si>
    <t>Discuss the impact of using social media ad analytics to measure the performance and effectiveness of your campaigns and make data-driven optimizations.</t>
  </si>
  <si>
    <t>How to write ad copy that conveys a sense of urgency or exclusivity to drive immediate action in social media ads?</t>
  </si>
  <si>
    <t>Share insights on using social media ad placement options, such as in-stream ads or sponsored posts, to reach users in their natural browsing experience.</t>
  </si>
  <si>
    <t>Explore the use of social media ad targeting based on user demographics or psychographics to ensure your ads reach the right audience.</t>
  </si>
  <si>
    <t>Discuss the importance of aligning your ad copy with the visual aesthetic and branding guidelines of the social media platform you are advertising on.</t>
  </si>
  <si>
    <t>How to optimize ad copy for different social media ad formats, such as video ads or carousel ads, to maximize engagement and conversions?</t>
  </si>
  <si>
    <t>Share strategies for using social media ad testing to identify the most effective ad formats, visuals, and messaging for your target audience.</t>
  </si>
  <si>
    <t>Discuss the impact of using social media ad personalization, such as dynamic product ads, to deliver tailored messages to individual users.</t>
  </si>
  <si>
    <t>How to craft ad copy that creates a sense of authenticity and builds trust in your brand or product in social media ads?</t>
  </si>
  <si>
    <t>How to create a compelling introduction that immediately grabs the reader's attention and sparks their interest?</t>
  </si>
  <si>
    <t>Share techniques for structuring persuasive arguments that build a strong case and sway the reader's opinion.</t>
  </si>
  <si>
    <t>Discuss the power of storytelling in persuasive writing and how to incorporate narrative elements to engage and persuade the audience.</t>
  </si>
  <si>
    <t>How to use persuasive language and rhetorical devices to evoke emotions and create a persuasive impact in your writing?</t>
  </si>
  <si>
    <t>Explore the art of crafting powerful headlines and subheadings that entice readers and communicate the main message effectively.</t>
  </si>
  <si>
    <t>Share strategies for addressing potential objections or counterarguments in your writing to overcome resistance and build trust.</t>
  </si>
  <si>
    <t>Discuss the importance of understanding your target audience's needs, desires, and pain points to tailor your persuasive message effectively.</t>
  </si>
  <si>
    <t>How to leverage social proof, such as testimonials or case studies, to enhance the credibility and persuasiveness of your writing?</t>
  </si>
  <si>
    <t>Explore the use of persuasive techniques, such as scarcity or urgency, to create a sense of importance and motivate action in your writing.</t>
  </si>
  <si>
    <t>Share insights on using data, facts, and statistics to add credibility and strengthen your persuasive arguments.</t>
  </si>
  <si>
    <t>Discuss the impact of using vivid and sensory language to paint a compelling picture and engage the reader's imagination.</t>
  </si>
  <si>
    <t>How to structure your writing with a clear and logical flow that guides the reader towards the desired action or conclusion?</t>
  </si>
  <si>
    <t>Share strategies for using persuasive storytelling to create an emotional connection and resonate with the reader's values and beliefs.</t>
  </si>
  <si>
    <t>Explore the use of rhetorical questions and thought-provoking statements to captivate the reader and encourage them to think deeply about your message.</t>
  </si>
  <si>
    <t>Discuss the importance of building trust and credibility through expert opinions, research, or endorsements in your persuasive writing.</t>
  </si>
  <si>
    <t>How to employ the principles of persuasion, such as reciprocity or social influence, to elicit the desired response from your readers?</t>
  </si>
  <si>
    <t>Share techniques for using persuasive writing in sales and marketing copy to drive conversions and increase customer engagement.</t>
  </si>
  <si>
    <t>Discuss the power of framing and perspective in persuasive writing, and how to position your message in a way that resonates with your audience.</t>
  </si>
  <si>
    <t>How to craft a compelling call-to-action (CTA) that motivates readers to take the desired action and achieve the intended outcome?</t>
  </si>
  <si>
    <t>Explore the use of storytelling frameworks, such as problem-solution or before-and-after, to illustrate the transformative power of your message in persuasive writing.</t>
  </si>
  <si>
    <t>Share strategies for creating a sense of urgency or FOMO (fear of missing out) in your persuasive writing to prompt immediate action.</t>
  </si>
  <si>
    <t>Discuss the impact of using social media and digital platforms to amplify the reach and persuasive impact of your writing.</t>
  </si>
  <si>
    <t>How to tailor your persuasive writing to different communication channels and mediums, such as emails, blog posts, or sales letters?</t>
  </si>
  <si>
    <t>Share insights on using the principles of influence, such as authority or consensus, to enhance the persuasiveness of your writing.</t>
  </si>
  <si>
    <t>Explore the use of storytelling elements, such as character development or conflict resolution, to engage readers and keep them hooked throughout your writing.</t>
  </si>
  <si>
    <t>Discuss the importance of creating a compelling value proposition that clearly communicates the benefits and value of your offer in persuasive writing.</t>
  </si>
  <si>
    <t>How to use persuasive writing techniques to overcome objections and address common barriers that may hinder the reader's decision-making process?</t>
  </si>
  <si>
    <t>Share strategies for using persuasive writing in content marketing to educate, inform, and influence your target audience.</t>
  </si>
  <si>
    <t>Discuss the impact of using visual elements, such as infographics or diagrams, to support and enhance the persuasiveness of your written content.</t>
  </si>
  <si>
    <t>How to leverage the principles of storytelling and suspense to create a sense of anticipation and intrigue in your persuasive writing?</t>
  </si>
  <si>
    <t>Share insights on using the psychology of persuasion, such as cognitive biases or emotional triggers, to influence and persuade your readers.</t>
  </si>
  <si>
    <t>Explore the use of testimonials, success stories, or case studies to provide social proof and validate the effectiveness of your persuasive message.</t>
  </si>
  <si>
    <t>Discuss the importance of conducting thorough research and gathering compelling evidence to support your persuasive arguments in writing.</t>
  </si>
  <si>
    <t>How to establish your credibility and expertise in your writing to gain the reader's trust and enhance the persuasiveness of your message?</t>
  </si>
  <si>
    <t>Share strategies for using persuasive writing in fundraising or donation campaigns to inspire generosity and support for a cause.</t>
  </si>
  <si>
    <t>Discuss the impact of using storytelling elements, such as relatable anecdotes or personal experiences, to establish a connection with your readers in persuasive writing.</t>
  </si>
  <si>
    <t>How to appeal to the reader's emotions and values to create a deep and lasting impact with your persuasive writing?</t>
  </si>
  <si>
    <t>Share techniques for using the power of words and language to create a persuasive rhythm and cadence in your writing.</t>
  </si>
  <si>
    <t>Explore the use of visual metaphors or analogies to simplify complex concepts and make your persuasive message more accessible and relatable.</t>
  </si>
  <si>
    <t>Discuss the importance of understanding the psychological triggers and motivations of your target audience to craft persuasive messages that resonate with them.</t>
  </si>
  <si>
    <t>How to overcome skepticism and objections in your persuasive writing by addressing potential doubts and providing compelling counterarguments?</t>
  </si>
  <si>
    <t>Share strategies for using persuasive writing in political or advocacy campaigns to mobilize support and drive social change.</t>
  </si>
  <si>
    <t>Discuss the impact of using storytelling elements, such as suspense or cliffhangers, to keep readers engaged and eager to learn more in your persuasive writing.</t>
  </si>
  <si>
    <t>How to create a sense of personalization and relevance in your persuasive writing by tailoring your message to the specific needs and interests of your audience?</t>
  </si>
  <si>
    <t>Share insights on using the principles of credibility, likability, and trust to establish a persuasive connection with your readers.</t>
  </si>
  <si>
    <t>Explore the use of persuasive writing in public speaking or presentations to captivate and persuade your audience effectively.</t>
  </si>
  <si>
    <t>Discuss the importance of using a conversational and engaging tone in your persuasive writing to establish rapport and connect with your readers.</t>
  </si>
  <si>
    <t>How to address common objections or misconceptions in your persuasive writing to alleviate doubts and increase the likelihood of acceptance?</t>
  </si>
  <si>
    <t>Share strategies for using persuasive writing in customer testimonials or reviews to build social proof and influence purchasing decisions.</t>
  </si>
  <si>
    <t>Discuss the impact of using persuasive language techniques, such as repetition or rhetorical devices, to reinforce your key messages in writing.</t>
  </si>
  <si>
    <t>How to adapt your persuasive writing to different target demographics or cultural contexts to ensure maximum relevance and effectiveness?</t>
  </si>
  <si>
    <t>Share insights on using persuasive writing in employee communication or internal memos to drive engagement and support organizational initiatives.</t>
  </si>
  <si>
    <t>Explore the use of storytelling archetypes, such as the hero's journey or the underdog narrative, to evoke powerful emotions and inspire action in your writing.</t>
  </si>
  <si>
    <t>Discuss the importance of ethical persuasion in your writing and how to ensure transparency and authenticity in your persuasive messages.</t>
  </si>
  <si>
    <t>How to incorporate elements of credibility, authority, and expertise in your persuasive writing to establish yourself as a trusted industry thought leader?</t>
  </si>
  <si>
    <t>Share strategies for using persuasive writing in customer retention and loyalty programs to foster long-term relationships and repeat business.</t>
  </si>
  <si>
    <t>Discuss the impact of using persuasive writing in website copy or landing pages to optimize conversions and guide users towards the desired action.</t>
  </si>
  <si>
    <t>How to tailor your persuasive writing to different stages of the customer journey, from awareness to consideration to conversion?</t>
  </si>
  <si>
    <t>Share techniques for using powerful storytelling techniques, such as foreshadowing or plot twists, to engage readers and enhance the persuasiveness of your writing.</t>
  </si>
  <si>
    <t>Discuss the importance of empathy and understanding your audience's perspective in persuasive writing to connect on a deeper level and influence their decision-making process.</t>
  </si>
  <si>
    <t>How to create a sense of urgency and scarcity in your persuasive writing to compel immediate action and prevent procrastination?</t>
  </si>
  <si>
    <t>Share strategies for using persuasive writing in public relations or crisis management to shape public opinion and mitigate potential reputational damage.</t>
  </si>
  <si>
    <t>Explore the use of persuasive writing techniques, such as rhetorical appeals (ethos, pathos, logos), to strengthen your arguments and engage readers intellectually and emotionally.</t>
  </si>
  <si>
    <t>Discuss the impact of using visual storytelling, such as infographics or videos, to enhance the persuasiveness and memorability of your written content.</t>
  </si>
  <si>
    <t>How does understanding the target audience's demographics, such as age, gender, and location, impact your copywriting approach?</t>
  </si>
  <si>
    <t>What are the key psychological factors that influence consumer purchasing decisions, and how can you incorporate them into your copywriting?</t>
  </si>
  <si>
    <t>How does cognitive dissonance affect consumer behavior, and how can you address it in your copywriting to alleviate potential conflicts?</t>
  </si>
  <si>
    <t>Discuss the concept of social proof and its impact on consumer decision-making. How can you incorporate social proof elements in your copywriting?</t>
  </si>
  <si>
    <t>How can the principles of persuasion, such as reciprocity and scarcity, be used to influence the target audience's perception and response to your copy?</t>
  </si>
  <si>
    <t>Explore the role of emotions in copywriting and how you can evoke specific emotional responses to resonate with your target audience.</t>
  </si>
  <si>
    <t>What are the psychological triggers that drive impulse buying, and how can you leverage them in your copywriting to prompt immediate action?</t>
  </si>
  <si>
    <t>Discuss the concept of cognitive biases and how they can be used to shape consumer perceptions and preferences through persuasive copywriting techniques.</t>
  </si>
  <si>
    <t>How can you apply the principles of cognitive psychology, such as attention and memory, to create copy that captures and retains the audience's interest?</t>
  </si>
  <si>
    <t>What are the key motivations and desires of your target audience, and how can you align your copywriting to address those needs effectively?</t>
  </si>
  <si>
    <t>Explore the influence of social identity and belongingness on consumer behavior. How can you tap into this psychology in your copywriting?</t>
  </si>
  <si>
    <t>How can you use storytelling techniques to engage the audience's imagination and create a deeper connection with your copywriting?</t>
  </si>
  <si>
    <t>Discuss the impact of decision-making biases, such as anchoring or loss aversion, on the audience's perception of value. How can you leverage these biases in your copy?</t>
  </si>
  <si>
    <t>How does self-perception theory affect consumer behavior, and how can you create copy that aligns with the target audience's desired self-image?</t>
  </si>
  <si>
    <t>What are the psychological barriers that can hinder consumer decision-making, and how can you address them in your copywriting to increase conversion rates?</t>
  </si>
  <si>
    <t>Explore the concept of brand personality and how it can be incorporated into your copywriting to resonate with the audience's values and preferences.</t>
  </si>
  <si>
    <t>How can you leverage the power of storytelling to create a narrative that aligns with the audience's aspirations, fears, or desires in your copywriting?</t>
  </si>
  <si>
    <t>Discuss the impact of cognitive load on the audience's processing of information. How can you simplify your copywriting to enhance comprehension and engagement?</t>
  </si>
  <si>
    <t>What are the psychological factors that drive brand loyalty, and how can you cultivate it through your copywriting to foster long-term customer relationships?</t>
  </si>
  <si>
    <t>How can you tap into the audience's need for social validation and belonging in your copywriting to enhance the persuasive impact of your message?</t>
  </si>
  <si>
    <t>Explore the role of priming and subconscious cues in consumer decision-making. How can you incorporate these elements into your copy to influence perception?</t>
  </si>
  <si>
    <t>How can you leverage the audience's fear of missing out (FOMO) in your copywriting to prompt immediate action and drive conversions?</t>
  </si>
  <si>
    <t>Discuss the psychological impact of pricing strategies, such as anchoring or decoy pricing, on consumer perception. How can you address pricing psychology in your copy?</t>
  </si>
  <si>
    <t>What are the key motivations and pain points of the target audience, and how can you address them effectively in your copywriting?</t>
  </si>
  <si>
    <t>How can you leverage the power of persuasion techniques, such as authority or consensus, to influence the audience's perception and response to your copy?</t>
  </si>
  <si>
    <t>Explore the concept of cognitive fluency and its impact on the audience's perception of your copy. How can you optimize your copywriting for enhanced fluency?</t>
  </si>
  <si>
    <t>How does the concept of self-determination theory affect consumer behavior, and how can you incorporate autonomy, competence, and relatedness in your copy?</t>
  </si>
  <si>
    <t>Discuss the psychological factors that influence brand trust and credibility. How can you establish trust through your copywriting to increase brand affinity?</t>
  </si>
  <si>
    <t>What are the psychological factors that drive consumer motivation and goal pursuit? How can you align your copywriting to support the audience's aspirations?</t>
  </si>
  <si>
    <t>How can you leverage the audience's need for instant gratification in your copywriting to prompt immediate action and conversions?</t>
  </si>
  <si>
    <t>Explore the impact of color psychology on consumer perception. How can you use color strategically in your copywriting to evoke specific emotions or associations?</t>
  </si>
  <si>
    <t>How does the concept of cognitive dissonance affect post-purchase behavior, and how can you address it in your copy to ensure customer satisfaction?</t>
  </si>
  <si>
    <t>What are the psychological factors that influence consumer trust in online transactions? How can you alleviate concerns and build trust through your copywriting?</t>
  </si>
  <si>
    <t>Discuss the psychological impact of positive and negative framing in your copywriting. How can you frame your message to elicit the desired response?</t>
  </si>
  <si>
    <t>How can you tap into the audience's need for autonomy and personalization in your copywriting to create a sense of individual relevance and connection?</t>
  </si>
  <si>
    <t>Explore the concept of the mere-exposure effect and its impact on consumer preference. How can you increase familiarity and likability through your copywriting?</t>
  </si>
  <si>
    <t>How does the concept of cognitive fluency and ease of processing affect the audience's perception of your copy? How can you optimize your copy for enhanced fluency?</t>
  </si>
  <si>
    <t>What are the key motivational drivers in your target audience's decision-making process, and how can you appeal to those motivations in your copywriting?</t>
  </si>
  <si>
    <t>Discuss the impact of social media and peer influence on consumer behavior. How can you leverage social proof and social influence in your copywriting?</t>
  </si>
  <si>
    <t>How can you tap into the audience's need for novelty and curiosity in your copywriting to capture and maintain their attention?</t>
  </si>
  <si>
    <t>Explore the role of sensory marketing and multi-sensory cues in copywriting. How can you engage multiple senses to enhance the persuasive impact of your message?</t>
  </si>
  <si>
    <t>How does the concept of self-efficacy affect consumer behavior, and how can you create copy that instills confidence and empowers the audience?</t>
  </si>
  <si>
    <t>What are the psychological factors that drive consumer loyalty and advocacy? How can you foster loyalty through your copywriting to encourage repeat business?</t>
  </si>
  <si>
    <t>Discuss the impact of social comparison and the fear of social exclusion in consumer decision-making. How can you address these psychological factors in your copy?</t>
  </si>
  <si>
    <t>Explore the concept of cognitive load and information overload. How can you streamline your copywriting to optimize comprehension and decision-making?</t>
  </si>
  <si>
    <t>How does the concept of primacy and recency affect the audience's memory and perception of your copy? How can you optimize the order and placement of your messages?</t>
  </si>
  <si>
    <t>What are the psychological factors that drive customer loyalty and retention? How can you nurture loyalty through your copywriting to foster long-term relationships?</t>
  </si>
  <si>
    <t>Discuss the impact of decision fatigue on consumer behavior. How can you simplify the decision-making process through your copywriting?</t>
  </si>
  <si>
    <t>How can you leverage the audience's need for social validation and conformity in your copywriting to enhance persuasion and influence?</t>
  </si>
  <si>
    <t>Explore the concept of framing and its impact on consumer perception. How can you frame your message in a way that resonates with the audience's values and priorities?</t>
  </si>
  <si>
    <t>How does the concept of psychological reactance affect consumer response to persuasive messages? How can you avoid triggering reactance in your copywriting?</t>
  </si>
  <si>
    <t>What are the psychological factors that drive customer satisfaction and post-purchase behavior? How can you address these factors in your copy to encourage positive outcomes?</t>
  </si>
  <si>
    <t>Discuss the impact of motivational appeals, such as achievement or affiliation, on consumer behavior. How can you incorporate motivational elements in your copywriting?</t>
  </si>
  <si>
    <t>How can you tap into the audience's need for personal relevance and individuality in your copywriting to create a sense of exclusivity and connection?</t>
  </si>
  <si>
    <t>Explore the concept of confirmation bias and its influence on consumer decision-making. How can you use confirmation bias to your advantage in your copywriting?</t>
  </si>
  <si>
    <t>How does the concept of emotional contagion affect consumer response to your copy? How can you evoke and amplify positive emotions through your writing?</t>
  </si>
  <si>
    <t>What are the psychological factors that drive customer loyalty and advocacy? How can you nurture loyalty through your copywriting to encourage repeat business?</t>
  </si>
  <si>
    <t>What are the psychological factors that drive consumer trust and credibility? How can you establish trust through your copywriting to increase brand loyalty?</t>
  </si>
  <si>
    <t>Discuss the impact of cognitive dissonance and the need for cognitive consistency on consumer decision-making. How can you alleviate cognitive conflicts through your copy?</t>
  </si>
  <si>
    <t>How can you tap into the audience's need for personal fulfillment and self-actualization in your copywriting to create aspirational messages?</t>
  </si>
  <si>
    <t>Explore the role of nostalgia and emotional triggers in copywriting. How can you evoke nostalgic feelings to create a positive association with your brand or product?</t>
  </si>
  <si>
    <t>How does the concept of selective attention affect the audience's perception and processing of your copy? How can you capture and maintain their attention effectively?</t>
  </si>
  <si>
    <t>What are the psychological factors that drive word-of-mouth and viral marketing? How can you encourage sharing and engagement through your copywriting?</t>
  </si>
  <si>
    <t>Discuss the impact of cognitive biases, such as the availability heuristic or the bandwagon effect, on consumer decision-making. How can you navigate these biases in your copy?</t>
  </si>
  <si>
    <t>How can you leverage the audience's need for social validation and belongingness in your copywriting to create a sense of community and connection?</t>
  </si>
  <si>
    <t>Explore the concept of framing and its impact on risk perception. How can you frame your message to minimize perceived risks and increase consumer confidence?</t>
  </si>
  <si>
    <t>How does the concept of social identity affect consumer behavior and brand preferences? How can you align your copywriting to resonate with the audience's social identities?</t>
  </si>
  <si>
    <t>What are the psychological factors that drive consumer impulse buying? How can you create urgency and desire in your copywriting to prompt immediate action?</t>
  </si>
  <si>
    <t>Discuss the impact of loss aversion and the fear of missing out (FOMO) on consumer decision-making. How can you leverage these psychological factors in your copy?</t>
  </si>
  <si>
    <t>How can you tap into the audience's need for autonomy and control in your copywriting to empower their decision-making process?</t>
  </si>
  <si>
    <t>Explore the concept of cognitive dissonance and the need for post-purchase justification. How can you alleviate cognitive conflicts through your copywriting?</t>
  </si>
  <si>
    <t>How does the concept of anchoring and the power of reference points affect consumer perception of value? How can you use anchoring techniques in your copy?</t>
  </si>
  <si>
    <t>What are the psychological factors that drive brand loyalty and advocacy? How can you foster brand loyalty through your copywriting to encourage repeat business?</t>
  </si>
  <si>
    <t>Discuss the impact of emotional appeals, such as fear or joy, on consumer response to your copy. How can you evoke the desired emotional response?</t>
  </si>
  <si>
    <t>How can you tap into the audience's need for self-expression and identity in your copywriting to create a sense of personal connection?</t>
  </si>
  <si>
    <t>Explore the concept of cognitive biases, such as the framing effect or the halo effect, and their influence on consumer decision-making. How can you address these biases in your copy?</t>
  </si>
  <si>
    <t>How does the concept of cognitive fluency and ease of processing affect consumer perception of your copy? How can you optimize your copywriting for enhanced fluency?</t>
  </si>
  <si>
    <t>How to create an engaging introduction that hooks your audience from the start?</t>
  </si>
  <si>
    <t>What are the key elements of a compelling storytelling structure for video scripts or podcasts?</t>
  </si>
  <si>
    <t>Discuss the importance of setting clear objectives and call-to-actions in your video scripts or podcasts.</t>
  </si>
  <si>
    <t>How to use humor effectively to captivate your audience and keep them entertained throughout your video or podcast?</t>
  </si>
  <si>
    <t>Explore different interview techniques to conduct engaging and informative podcast interviews.</t>
  </si>
  <si>
    <t>How to craft an impactful script that resonates with your target audience and delivers your message effectively?</t>
  </si>
  <si>
    <t>Discuss the role of emotions in video scripts and podcasts and how to evoke the desired emotional response.</t>
  </si>
  <si>
    <t>What are the best practices for incorporating visuals or sound effects to enhance the impact of your video or podcast?</t>
  </si>
  <si>
    <t>How to structure your video script or podcast episode to maintain a smooth flow and hold your audience's attention?</t>
  </si>
  <si>
    <t>Explore different strategies for creating suspense and anticipation in your video scripts or podcasts.</t>
  </si>
  <si>
    <t>Discuss the art of crafting compelling headlines or titles that entice viewers or listeners to click and engage.</t>
  </si>
  <si>
    <t>How to effectively convey complex information or concepts in a clear and understandable way in your videos or podcasts?</t>
  </si>
  <si>
    <t>What are the essential elements of a persuasive script that influences viewers or listeners to take action?</t>
  </si>
  <si>
    <t>Discuss different techniques for conducting thorough research to ensure accuracy and credibility in your video or podcast content.</t>
  </si>
  <si>
    <t>How to use storytelling techniques to create memorable and impactful moments in your videos or podcasts?</t>
  </si>
  <si>
    <t>Explore the art of conducting engaging monologues in videos or podcasts that captivate your audience's attention.</t>
  </si>
  <si>
    <t>What are the best practices for structuring and organizing your podcast episodes to deliver maximum value to your listeners?</t>
  </si>
  <si>
    <t>How to use visual aids, such as charts or diagrams, effectively in your video scripts or podcasts?</t>
  </si>
  <si>
    <t>Discuss the importance of incorporating personal anecdotes or experiences to establish a genuine connection with your audience.</t>
  </si>
  <si>
    <t>How to create a powerful closing statement or conclusion that leaves a lasting impression on your viewers or listeners?</t>
  </si>
  <si>
    <t>Explore different strategies for conducting captivating interviews in video scripts or podcasts.</t>
  </si>
  <si>
    <t>What are the techniques for effectively pacing your video or podcast to maintain engagement and avoid monotony?</t>
  </si>
  <si>
    <t>Discuss the impact of music and soundtracks in setting the mood and enhancing the overall experience of your videos or podcasts.</t>
  </si>
  <si>
    <t>How to adapt your script or content for different video or podcast formats, such as tutorials, interviews, or storytelling?</t>
  </si>
  <si>
    <t>What are the common pitfalls to avoid in video scripts or podcasts and how to overcome them?</t>
  </si>
  <si>
    <t>Explore different ways to inject your personality and unique style into your video scripts or podcasts.</t>
  </si>
  <si>
    <t>How to build anticipation and create a sense of suspense throughout your video or podcast episode?</t>
  </si>
  <si>
    <t>Discuss the art of crafting powerful and memorable one-liners that resonate with your audience.</t>
  </si>
  <si>
    <t>What are the techniques for effectively transitioning between different segments or topics in your video or podcast?</t>
  </si>
  <si>
    <t>How to incorporate storytelling elements into your video scripts or podcasts to create a deep emotional connection with your audience?</t>
  </si>
  <si>
    <t>Explore different strategies for incorporating audience interaction or participation in your video or podcast content.</t>
  </si>
  <si>
    <t>What are the best practices for conducting engaging and insightful panel discussions in podcasts?</t>
  </si>
  <si>
    <t>How to leverage the power of visual storytelling in your video scripts or podcasts to convey complex ideas or messages?</t>
  </si>
  <si>
    <t>Discuss the art of conducting interviews that uncover unique insights and perspectives in your video or podcast content.</t>
  </si>
  <si>
    <t>How to effectively use pauses and silences to create dramatic impact in your video or podcast delivery?</t>
  </si>
  <si>
    <t>What are the techniques for creating a strong and consistent brand voice in your video scripts or podcasts?</t>
  </si>
  <si>
    <t>Explore different methods for incorporating humor into your video or podcast content to entertain and engage your audience.</t>
  </si>
  <si>
    <t>How to craft an engaging and compelling narrative arc for your video scripts or podcasts?</t>
  </si>
  <si>
    <t>Discuss the importance of conducting thorough pre-production planning for your video or podcast projects.</t>
  </si>
  <si>
    <t>What are the techniques for maintaining a conversational tone and connecting with your audience in video scripts or podcasts?</t>
  </si>
  <si>
    <t>How to effectively use visuals or animations to enhance the storytelling experience in your videos or podcasts?</t>
  </si>
  <si>
    <t>Explore different strategies for conducting thought-provoking and insightful solo episodes in podcasts.</t>
  </si>
  <si>
    <t>What are the best practices for selecting and incorporating relevant and high-quality sound effects in your videos or podcasts?</t>
  </si>
  <si>
    <t>How to use storytelling techniques to create a strong emotional connection with your audience in your video scripts or podcasts?</t>
  </si>
  <si>
    <t>Discuss the art of incorporating persuasive language and rhetorical devices in your video or podcast content.</t>
  </si>
  <si>
    <t>How to effectively structure and organize your podcast episodes to deliver a cohesive and engaging listening experience?</t>
  </si>
  <si>
    <t>What are the techniques for using suspense and cliffhangers to keep your audience eagerly anticipating the next episode of your podcast?</t>
  </si>
  <si>
    <t>Explore different methods for conducting in-depth research to support your video or podcast content.</t>
  </si>
  <si>
    <t>How to create engaging and visually appealing video scripts or podcasts for social media platforms?</t>
  </si>
  <si>
    <t>Discuss the importance of authenticity and transparency in building trust with your audience in video scripts or podcasts.</t>
  </si>
  <si>
    <t>How to use metaphors or analogies to simplify complex concepts and make your video or podcast content more relatable?</t>
  </si>
  <si>
    <t>What are the techniques for conducting compelling and informative case studies in podcasts?</t>
  </si>
  <si>
    <t>Explore different strategies for incorporating storytelling elements into educational or instructional video scripts or podcasts.</t>
  </si>
  <si>
    <t>How to craft compelling and click-worthy titles or thumbnails for your videos or podcasts?</t>
  </si>
  <si>
    <t>Discuss the impact of sound quality and audio production in creating a professional and enjoyable video or podcast experience.</t>
  </si>
  <si>
    <t>What are the best practices for incorporating guest speakers or experts in your video scripts or podcasts?</t>
  </si>
  <si>
    <t>How to use visual storytelling techniques, such as storyboarding or shot composition, to enhance the visual appeal of your videos?</t>
  </si>
  <si>
    <t>Explore different methods for incorporating personal anecdotes or stories into your video or podcast content.</t>
  </si>
  <si>
    <t>What are the techniques for using rhetorical questions to engage and challenge your audience in video scripts or podcasts?</t>
  </si>
  <si>
    <t>How to effectively use humor as a way to connect with your audience and create a lighthearted atmosphere in your videos or podcasts?</t>
  </si>
  <si>
    <t>Discuss the art of crafting impactful and thought-provoking monologues for your video scripts or podcasts.</t>
  </si>
  <si>
    <t>How to create a compelling and attention-grabbing opening for your video or podcast?</t>
  </si>
  <si>
    <t>What are the techniques for effectively integrating sponsorships or advertisements into your podcast episodes?</t>
  </si>
  <si>
    <t>Explore different strategies for incorporating listener or viewer feedback and questions into your video scripts or podcasts.</t>
  </si>
  <si>
    <t>How to use visual storytelling techniques, such as visual metaphors or symbolism, to convey deeper meaning in your videos?</t>
  </si>
  <si>
    <t>Discuss the importance of pacing and timing in delivering your message effectively in video scripts or podcasts.</t>
  </si>
  <si>
    <t>What are the techniques for conducting engaging and interactive live sessions or Q&amp;A episodes in podcasts?</t>
  </si>
  <si>
    <t>How to leverage the power of personal storytelling in your video scripts or podcasts to create an emotional connection with your audience?</t>
  </si>
  <si>
    <t>Explore different methods for creating engaging and visually appealing graphics or animations for your video scripts or podcasts.</t>
  </si>
  <si>
    <t>What are the best practices for incorporating soundscapes or ambient sounds to enhance the immersive experience of your videos or podcasts?</t>
  </si>
  <si>
    <t>How to effectively use visual cues or gestures to emphasize key points in your video or podcast delivery?</t>
  </si>
  <si>
    <t>Discuss the art of crafting powerful and impactful conclusions that leave a lasting impression on your audience.</t>
  </si>
  <si>
    <t>How to create a sense of authenticity and vulnerability in your video scripts or podcasts to build trust with your audience?</t>
  </si>
  <si>
    <t>What are the techniques for delivering complex information or explanations in a concise and understandable manner in your videos or podcasts?</t>
  </si>
  <si>
    <t>Explore different strategies for incorporating call-to-actions that drive engagement and action from your audience in video scripts or podcasts.</t>
  </si>
  <si>
    <t>How to use storytelling techniques to humanize your content and create a relatable connection with your audience in video scripts or podcasts?</t>
  </si>
  <si>
    <t>Discuss the impact of using visuals or graphics to support your narrative and enhance comprehension in your videos or podcasts.</t>
  </si>
  <si>
    <t>What are the techniques for conducting engaging and insightful roundtable discussions or debates in podcasts?</t>
  </si>
  <si>
    <t>How to create a consistent and recognizable branding identity for your video scripts or podcasts?</t>
  </si>
  <si>
    <t>Explore different methods for incorporating personal interviews or testimonials into your video or podcast content.</t>
  </si>
  <si>
    <t>What are the best practices for incorporating relevant data or statistics to support your claims and enhance the credibility of your video or podcast content?</t>
  </si>
  <si>
    <t>How to effectively use pacing and rhythm to create a dynamic and engaging experience in your video scripts or podcasts?</t>
  </si>
  <si>
    <t>Discuss the art of crafting engaging and informative video scripts or podcasts for educational or e-learning purposes.</t>
  </si>
  <si>
    <t>How to create a sense of suspense and intrigue through your storytelling in video scripts or podcasts?</t>
  </si>
  <si>
    <t>What are the techniques for creating impactful and memorable visual or auditory hooks to grab your audience's attention in your videos or podcasts?</t>
  </si>
  <si>
    <t>Explore different strategies for conducting deep-dive or investigative storytelling in podcasts.</t>
  </si>
  <si>
    <t>How to incorporate storytelling techniques to elicit emotions and create empathy in your video scripts or podcasts?</t>
  </si>
  <si>
    <t>Discuss the importance of audience interaction and feedback in shaping your video or podcast content.</t>
  </si>
  <si>
    <t>What are the techniques for incorporating relevant and compelling quotes or testimonials into your video scripts or podcasts?</t>
  </si>
  <si>
    <t>How to use storytelling elements to effectively introduce and explain complex or technical concepts in your videos or podcasts?</t>
  </si>
  <si>
    <t>Explore different methods for creating engaging and visually stunning video or podcast intros.</t>
  </si>
  <si>
    <t>What are the best practices for structuring and organizing interviews to extract valuable insights and stories in podcasts?</t>
  </si>
  <si>
    <t>How to effectively use visual transitions or animations to create a seamless and visually pleasing experience in your videos?</t>
  </si>
  <si>
    <t>Discuss the art of crafting powerful and impactful hooks that grab your audience's attention within the first few seconds of your video or podcast.</t>
  </si>
  <si>
    <t>How to create an immersive and engaging storytelling experience in your video scripts or podcasts?</t>
  </si>
  <si>
    <t>What are the techniques for incorporating relevant and up-to-date industry news or trends in your video or podcast content?</t>
  </si>
  <si>
    <t>Explore different strategies for creating suspense and anticipation within individual podcast episodes.</t>
  </si>
  <si>
    <t>How to use visual storytelling techniques to create a strong visual narrative in your videos or podcasts?</t>
  </si>
  <si>
    <t>Discuss the importance of pacing and editing in creating a cohesive and engaging video or podcast experience.</t>
  </si>
  <si>
    <t>What are the techniques for incorporating natural and conversational language in your video scripts or podcasts to connect with your audience?</t>
  </si>
  <si>
    <t>How to craft an attention-grabbing headline that compels readers to take immediate action?</t>
  </si>
  <si>
    <t>What are the key elements of an effective call-to-action that drives conversions in direct response copy?</t>
  </si>
  <si>
    <t>Discuss the importance of understanding your target audience's pain points and how to address them in your copy.</t>
  </si>
  <si>
    <t>How to create a sense of urgency in your direct response copy to encourage immediate response from your prospects?</t>
  </si>
  <si>
    <t>Explore different strategies for building trust and credibility through your direct response copy.</t>
  </si>
  <si>
    <t>What are the techniques for using storytelling to engage and connect with your audience in direct response copywriting?</t>
  </si>
  <si>
    <t>How to effectively highlight the unique selling propositions of your product or service in your direct response copy?</t>
  </si>
  <si>
    <t>Discuss the role of emotional triggers in motivating readers to take action in direct response copy.</t>
  </si>
  <si>
    <t>How to use persuasive language and rhetorical devices to captivate and persuade your audience in direct response copywriting?</t>
  </si>
  <si>
    <t>Explore different methods for structuring your direct response copy to guide readers through a logical and compelling argument.</t>
  </si>
  <si>
    <t>What are the best practices for incorporating social proof, such as testimonials or case studies, into your direct response copy?</t>
  </si>
  <si>
    <t>How to overcome objections and address potential concerns in your direct response copy to boost conversions?</t>
  </si>
  <si>
    <t>Discuss the importance of creating a sense of exclusivity or limited availability in your direct response copy.</t>
  </si>
  <si>
    <t>How to use power words and compelling language to create a sense of excitement and desire in your direct response copy?</t>
  </si>
  <si>
    <t>Explore different strategies for effectively highlighting the benefits and advantages of your product or service in direct response copy.</t>
  </si>
  <si>
    <t>What are the techniques for using data and statistics to support your claims and strengthen your direct response copy?</t>
  </si>
  <si>
    <t>How to craft a compelling story-based lead that draws readers into your direct response copy?</t>
  </si>
  <si>
    <t>Discuss the art of creating a persuasive offer that is irresistible to your target audience in direct response copywriting.</t>
  </si>
  <si>
    <t>How to effectively use testimonials and success stories to demonstrate the value and effectiveness of your product or service in your direct response copy?</t>
  </si>
  <si>
    <t>What are the best practices for creating a sense of urgency and scarcity through limited-time offers or exclusive deals in your direct response copy?</t>
  </si>
  <si>
    <t>Explore different methods for addressing objections and concerns through persuasive and empathetic language in your direct response copy.</t>
  </si>
  <si>
    <t>How to use clear and concise language to communicate the key benefits and features of your product or service in your direct response copy?</t>
  </si>
  <si>
    <t>Discuss the importance of a strong and compelling guarantee in boosting confidence and reducing risk in direct response copywriting.</t>
  </si>
  <si>
    <t>How to create a sense of anticipation and excitement through persuasive storytelling techniques in your direct response copy?</t>
  </si>
  <si>
    <t>What are the techniques for using sensory language and vivid descriptions to create a strong emotional connection with your readers in direct response copy?</t>
  </si>
  <si>
    <t>How to incorporate effective storytelling elements, such as conflict and resolution, into your direct response copy to engage and captivate your audience?</t>
  </si>
  <si>
    <t>Explore different strategies for using urgency-driven language and time-limited incentives to drive immediate action in your direct response copy.</t>
  </si>
  <si>
    <t>What are the best practices for creating a sense of personalization and tailored messaging in your direct response copy?</t>
  </si>
  <si>
    <t>How to effectively use social media and online platforms to amplify the reach and impact of your direct response copy?</t>
  </si>
  <si>
    <t>Discuss the art of creating compelling headlines and subheadings that pique curiosity and drive readers to continue reading your direct response copy.</t>
  </si>
  <si>
    <t>How to use persuasive storytelling techniques, such as the hero's journey, to position your product or service as the solution to your audience's problems in direct response copywriting?</t>
  </si>
  <si>
    <t>How to optimize your copywriting for local events and promotions to attract nearby customers and drive foot traffic to your business.</t>
  </si>
  <si>
    <t>Explore different methods for optimizing your copywriting for multiple languages and international SEO to expand your global reach.</t>
  </si>
  <si>
    <t>What are the best practices for optimizing your copywriting for knowledge graph entries and featured snippets to establish authority and visibility?</t>
  </si>
  <si>
    <t>How to leverage user-generated content, such as testimonials and reviews, in your copywriting to build trust and enhance SEO rankings?</t>
  </si>
  <si>
    <t>Discuss the role of structured data markup, such as schema.org, in providing additional context to search engines and improving SEO visibility.</t>
  </si>
  <si>
    <t>How to optimize your copywriting for long-tail keywords and specific search queries to target niche audiences and drive qualified traffic?</t>
  </si>
  <si>
    <t>Explore different strategies for optimizing your copywriting for voice search assistants, such as Siri or Cortana, to capture voice-activated queries.</t>
  </si>
  <si>
    <t>What are the techniques for optimizing your copywriting for social media search to increase brand visibility and attract social-driven traffic?</t>
  </si>
  <si>
    <t>How to incorporate topic clusters and pillar pages into your copywriting strategy to improve SEO rankings and content organization?</t>
  </si>
  <si>
    <t>Discuss the importance of conducting regular SEO audits and performing on-page optimization for your existing copywriting to maintain search visibility.</t>
  </si>
  <si>
    <t>How to optimize your copywriting for e-commerce websites, including product titles, descriptions, and category pages, to drive organic traffic and conversions?</t>
  </si>
  <si>
    <t>Explore different methods for optimizing your copywriting for long-form content, such as eBooks or whitepapers, to generate leads and establish expertise.</t>
  </si>
  <si>
    <t>What are the best practices for optimizing your copywriting for local SEO directories, such as Yelp or Yellow Pages, to enhance local search visibility?</t>
  </si>
  <si>
    <t>How to conduct effective keyword mapping and on-page optimization for large websites with multiple pages and sections?</t>
  </si>
  <si>
    <t>Discuss the role of user experience (UX) and website performance in SEO copywriting and strategies for optimizing load times and navigation.</t>
  </si>
  <si>
    <t>How to optimize your copywriting for mobile search intent and deliver concise, relevant information to users on smaller screens?</t>
  </si>
  <si>
    <t>Explore different strategies for optimizing your copywriting for voice search snippets and providing concise answers to voice-activated queries.</t>
  </si>
  <si>
    <t>What are the techniques for optimizing your copywriting for news websites and leveraging timely content to attract organic traffic?</t>
  </si>
  <si>
    <t>How to incorporate local testimonials and reviews in your copywriting to enhance local SEO visibility and establish social proof?</t>
  </si>
  <si>
    <t>Discuss the importance of creating SEO-friendly URLs that include relevant keywords and provide a clear hierarchy of your website's structure.</t>
  </si>
  <si>
    <t>How to optimize your copywriting for online directories and business listings to improve local search rankings and online reputation?</t>
  </si>
  <si>
    <t>Explore different methods for optimizing your copywriting for mobile search ads and attracting mobile users with targeted ad copy.</t>
  </si>
  <si>
    <t>What are the best practices for optimizing your copywriting for e-commerce product pages, including unique descriptions and keyword-rich content?</t>
  </si>
  <si>
    <t>How to conduct effective keyword research and identify long-tail keywords to target specific niches and improve SEO copywriting performance?</t>
  </si>
  <si>
    <t>Discuss the role of social media integration and sharing buttons in amplifying the reach and SEO impact of your copywriting.</t>
  </si>
  <si>
    <t>How to optimize your copywriting for voice-activated smart devices, such as Amazon Echo or Google Home, to capture voice search queries?</t>
  </si>
  <si>
    <t>Explore different strategies for optimizing your copywriting for Google My Business listings and attracting local customers through local search.</t>
  </si>
  <si>
    <t>What are the techniques for optimizing your copywriting for image alt text and captions to improve image search visibility and accessibility?</t>
  </si>
  <si>
    <t>How to incorporate local keywords and location-specific information in your copywriting to rank higher in local search results?</t>
  </si>
  <si>
    <t>Discuss the importance of monitoring and analyzing SEO metrics, such as organic traffic and keyword rankings, to track the performance of your copywriting.</t>
  </si>
  <si>
    <t>How to optimize your copywriting for online reviews and ratings to enhance search engine visibility and influence user perception?</t>
  </si>
  <si>
    <t>Explore different methods for optimizing your copywriting for event-based SEO to attract visitors and promote time-sensitive offers or promotions.</t>
  </si>
  <si>
    <t>What are the best practices for optimizing your copywriting for mobile search engine result pages (SERPs) and capturing mobile traffic?</t>
  </si>
  <si>
    <t>How to conduct effective competitor analysis and identify opportunities for optimizing your copywriting to outrank competitors in search results?</t>
  </si>
  <si>
    <t>Discuss the role of local link building and obtaining backlinks from locally relevant sources to boost local SEO rankings.</t>
  </si>
  <si>
    <t>How to optimize your copywriting for voice-activated search devices and voice assistants to align with the growing trend of voice search?</t>
  </si>
  <si>
    <t>Explore different strategies for optimizing your copywriting for SEO-friendly blog posts and attracting organic traffic through informative content.</t>
  </si>
  <si>
    <t>What are the techniques for optimizing your copywriting for local landing pages to cater to location-specific search queries and improve local search visibility?</t>
  </si>
  <si>
    <t>How to uncover and articulate your brand's unique story that resonates with your target audience?</t>
  </si>
  <si>
    <t>Explore different storytelling techniques, such as narrative arcs and character development, to create compelling brand narratives.</t>
  </si>
  <si>
    <t>What are the essential elements of a brand story, including the protagonist, conflict, and resolution, that captivate and engage customers?</t>
  </si>
  <si>
    <t>Discuss the importance of authenticity and transparency in brand storytelling to build trust and establish emotional connections.</t>
  </si>
  <si>
    <t>How to align your brand story with your target audience's values, aspirations, and desires to create a meaningful connection?</t>
  </si>
  <si>
    <t>Explore different methods for incorporating customer testimonials and success stories into your brand narrative to showcase real-life experiences.</t>
  </si>
  <si>
    <t>What are the techniques for using visuals, such as images and videos, to enhance brand storytelling and evoke emotions?</t>
  </si>
  <si>
    <t>How to infuse storytelling elements into your brand's website, including the About Us page, to leave a lasting impression on visitors?</t>
  </si>
  <si>
    <t>Discuss the role of brand archetypes and their impact on brand storytelling to create a consistent and recognizable brand identity.</t>
  </si>
  <si>
    <t>How to craft a powerful brand tagline or slogan that captures the essence of your brand story in a concise and memorable way?</t>
  </si>
  <si>
    <t>Explore different strategies for using storytelling in social media posts and campaigns to humanize your brand and engage your audience.</t>
  </si>
  <si>
    <t>What are the best practices for integrating storytelling into your product descriptions and packaging to create a cohesive brand experience?</t>
  </si>
  <si>
    <t>How to leverage the power of emotions, such as joy, nostalgia, or empathy, in your brand storytelling to create a lasting impact?</t>
  </si>
  <si>
    <t>Discuss the importance of incorporating a brand mission or purpose into your storytelling to inspire and rally your audience behind a cause.</t>
  </si>
  <si>
    <t>How to create a consistent brand voice and tone that aligns with your brand story and resonates with your target audience?</t>
  </si>
  <si>
    <t>Explore different methods for storytelling through customer journeys and showcasing how your brand has transformed their lives or experiences.</t>
  </si>
  <si>
    <t>What are the techniques for using humor and lighthearted storytelling to make your brand more relatable and memorable?</t>
  </si>
  <si>
    <t>How to incorporate your brand's origin story into your brand narrative to add depth and create a sense of heritage?</t>
  </si>
  <si>
    <t>Discuss the role of conflict and challenges in brand storytelling to create tension and drive emotional engagement with your audience.</t>
  </si>
  <si>
    <t>How to create a compelling brand story that seamlessly integrates your products or services as solutions to your customers' pain points?</t>
  </si>
  <si>
    <t>Explore different strategies for storytelling through user-generated content, such as customer reviews or social media testimonials.</t>
  </si>
  <si>
    <t>What are the best practices for using storytelling in brand videos, commercials, or animations to convey your brand's message effectively?</t>
  </si>
  <si>
    <t>How to create a consistent brand narrative across different marketing channels, including website, social media, and advertising campaigns?</t>
  </si>
  <si>
    <t>Discuss the importance of audience research and understanding your target market's aspirations and values for impactful brand storytelling.</t>
  </si>
  <si>
    <t>How to create a memorable brand character or mascot that becomes a central figure in your brand storytelling efforts?</t>
  </si>
  <si>
    <t>Explore different methods for incorporating storytelling into your email marketing campaigns to engage and nurture your subscribers.</t>
  </si>
  <si>
    <t>What are the techniques for crafting compelling brand stories that evoke curiosity and make your audience want to learn more?</t>
  </si>
  <si>
    <t>How to use storytelling in brand partnerships and collaborations to create a unified narrative that enhances both brands' stories?</t>
  </si>
  <si>
    <t>Discuss the role of empathy in brand storytelling and how understanding your customers' needs and struggles can deepen their connection to your brand.</t>
  </si>
  <si>
    <t>How to use storytelling to showcase your brand's commitment to sustainability and social responsibility, aligning with your audience's values.</t>
  </si>
  <si>
    <t>What are the best practices for using storytelling in your brand's blog posts and articles to educate and entertain your audience?</t>
  </si>
  <si>
    <t>How to create a consistent narrative in your brand's visual identity, including logos, colors, and typography, to support your brand story?</t>
  </si>
  <si>
    <t>Explore different methods for incorporating storytelling into your brand's packaging design to enhance the overall brand experience.</t>
  </si>
  <si>
    <t>What are the techniques for using storytelling in your brand's social media bios and profiles to communicate your brand's values and personality?</t>
  </si>
  <si>
    <t>How to use storytelling to communicate the evolution and growth of your brand over time, creating a sense of progress and momentum?</t>
  </si>
  <si>
    <t>Discuss the importance of storytelling in crisis management and how a well-crafted narrative can help rebuild trust and reputation.</t>
  </si>
  <si>
    <t>How to weave storytelling into your brand's customer service interactions to create memorable experiences and foster loyalty?</t>
  </si>
  <si>
    <t>Explore different strategies for storytelling through influencer collaborations, leveraging their personal stories to amplify your brand's message.</t>
  </si>
  <si>
    <t>What are the best practices for incorporating storytelling into your brand's customer onboarding process to create a sense of belonging?</t>
  </si>
  <si>
    <t>How to create a brand manifesto or mission statement that encapsulates your brand's values, purpose, and story?</t>
  </si>
  <si>
    <t>Discuss the role of suspense and intrigue in brand storytelling, keeping your audience engaged and eager to learn more.</t>
  </si>
  <si>
    <t>How to use storytelling in your brand's social media captions and posts to spark conversations and encourage user engagement.</t>
  </si>
  <si>
    <t>Explore different methods for storytelling through interactive content, such as quizzes, polls, or interactive videos, to drive engagement.</t>
  </si>
  <si>
    <t>What are the techniques for incorporating storytelling into your brand's presentations and pitches to captivate and persuade your audience?</t>
  </si>
  <si>
    <t>How to use storytelling to highlight the unique features and benefits of your products or services, creating a compelling value proposition?</t>
  </si>
  <si>
    <t>Discuss the importance of storytelling in employer branding, attracting top talent by showcasing your brand's culture and values.</t>
  </si>
  <si>
    <t>How to create a brand narrative that connects with your audience across different cultural backgrounds and diverse demographics.</t>
  </si>
  <si>
    <t>Explore different strategies for storytelling in brand partnerships, leveraging shared values and narratives to create a mutually beneficial collaboration.</t>
  </si>
  <si>
    <t>What are the best practices for using storytelling in your brand's customer testimonials and case studies to showcase real-life success stories?</t>
  </si>
  <si>
    <t>How to leverage storytelling in your brand's PR efforts, crafting narratives that resonate with the media and generate positive coverage.</t>
  </si>
  <si>
    <t>Discuss the role of visual storytelling through infographics, illustrations, or photography in enhancing your brand's narrative.</t>
  </si>
  <si>
    <t>How to use storytelling in your brand's customer feedback and reviews to demonstrate your brand's commitment to customer satisfaction.</t>
  </si>
  <si>
    <t>Explore different methods for storytelling in your brand's event experiences, creating immersive narratives that leave a lasting impression.</t>
  </si>
  <si>
    <t>What are the techniques for incorporating storytelling into your brand's social responsibility initiatives, inspiring positive change in the world?</t>
  </si>
  <si>
    <t>How to create a brand story that effectively communicates your brand's USP (Unique Selling Proposition) and sets you apart from competitors?</t>
  </si>
  <si>
    <t>Discuss the importance of consistency and coherence in brand storytelling, ensuring that all touchpoints align with your brand's narrative.</t>
  </si>
  <si>
    <t>How to use storytelling in your brand's customer loyalty programs, reinforcing the emotional connection between your brand and customers.</t>
  </si>
  <si>
    <t>Explore different strategies for storytelling through user-generated content campaigns, leveraging your audience's stories to promote your brand.</t>
  </si>
  <si>
    <t>What are the best practices for using storytelling in your brand's annual reports and corporate communications to engage stakeholders?</t>
  </si>
  <si>
    <t>How to incorporate storytelling elements into your brand's packaging copy, creating a narrative that enhances the unboxing experience.</t>
  </si>
  <si>
    <t>Discuss the role of brand storytelling in product launches, building anticipation and excitement around your new offerings.</t>
  </si>
  <si>
    <t>How to use storytelling to convey your brand's values and commitment to diversity, equity, and inclusion (DEI) initiatives.</t>
  </si>
  <si>
    <t>Explore different methods for incorporating storytelling into your brand's customer referral programs, turning customers into brand advocates.</t>
  </si>
  <si>
    <t>What are the techniques for using storytelling in your brand's crisis communications to navigate challenging situations with transparency and empathy?</t>
  </si>
  <si>
    <t>How to create a brand story that evolves and adapts to changing market trends and customer preferences.</t>
  </si>
  <si>
    <t>Discuss the importance of storytelling in your brand's content marketing strategy, creating narratives that educate, inspire, and entertain.</t>
  </si>
  <si>
    <t>How to use storytelling in your brand's sales presentations and pitches to connect emotionally with potential clients and customers.</t>
  </si>
  <si>
    <t>Explore different strategies for storytelling through brand collaborations, leveraging complementary narratives to expand your brand's reach.</t>
  </si>
  <si>
    <t>What are the best practices for using storytelling in your brand's customer retention efforts, fostering long-term relationships with your audience?</t>
  </si>
  <si>
    <t>How to incorporate storytelling elements into your brand's packaging design, creating a visual narrative that stands out on the shelves.</t>
  </si>
  <si>
    <t>Discuss the role of personal storytelling in building a personal brand and establishing thought leadership in your industry.</t>
  </si>
  <si>
    <t>How to use storytelling in your brand's customer surveys and feedback collection to gather insights and strengthen customer relationships.</t>
  </si>
  <si>
    <t>Explore different methods for storytelling through brand documentaries or mini-documentaries, sharing your brand's journey and impact.</t>
  </si>
  <si>
    <t>What are the techniques for incorporating storytelling into your brand's customer support interactions, turning challenges into positive experiences?</t>
  </si>
  <si>
    <t>How to create a brand story that resonates with different generations, capturing the attention and loyalty of diverse age groups.</t>
  </si>
  <si>
    <t>Discuss the importance of storytelling in rebranding efforts, conveying the reasons behind the brand transformation and inviting the audience on the journey.</t>
  </si>
  <si>
    <t>How to use storytelling in your brand's influencer marketing campaigns, collaborating with influencers who align with your brand narrative.</t>
  </si>
  <si>
    <t>Explore different strategies for storytelling through user-generated video content, showcasing how your brand has influenced their lives.</t>
  </si>
  <si>
    <t>What are the best practices for using storytelling in your brand's thought leadership initiatives, positioning your brand as an industry authority?</t>
  </si>
  <si>
    <t>How to incorporate storytelling elements into your brand's packaging materials, creating an immersive and memorable unboxing experience.</t>
  </si>
  <si>
    <t>Discuss the role of storytelling in your brand's community building efforts, fostering a sense of belonging and loyalty among your customers.</t>
  </si>
  <si>
    <t>How to use storytelling in your brand's product demonstrations and tutorials, helping customers understand the value and benefits of your offerings.</t>
  </si>
  <si>
    <t>Explore different methods for storytelling through brand activations and experiential marketing, creating immersive narratives that leave a lasting impression.</t>
  </si>
  <si>
    <t>What are the techniques for incorporating storytelling into your brand's employee communications and internal culture-building efforts?</t>
  </si>
  <si>
    <t>How to create a brand story that evokes a sense of nostalgia, tapping into the emotions and memories of your target audience.</t>
  </si>
  <si>
    <t>Discuss the importance of storytelling in your brand's customer education initiatives, simplifying complex concepts through relatable narratives.</t>
  </si>
  <si>
    <t>How to use storytelling in your brand's user onboarding experiences, guiding users through the product or service with a compelling narrative.</t>
  </si>
  <si>
    <t>Explore different strategies for storytelling through augmented reality (AR) or virtual reality (VR) experiences, immersing customers in your brand's narrative.</t>
  </si>
  <si>
    <t>What are the best practices for using storytelling in your brand's packaging materials, creating a cohesive and engaging brand experience?</t>
  </si>
  <si>
    <t>How to incorporate storytelling elements into your brand's customer appreciation programs, showing gratitude and reinforcing the emotional connection.</t>
  </si>
  <si>
    <t>Discuss the role of storytelling in your brand's repositioning efforts, communicating the brand's new direction and value proposition.</t>
  </si>
  <si>
    <t>How to use storytelling in your brand's customer advocacy programs, empowering customers to share their stories and become brand ambassadors.</t>
  </si>
  <si>
    <t>Explore different methods for storytelling through brand-sponsored events or experiences, creating memorable moments that reinforce your brand narrative.</t>
  </si>
  <si>
    <t>What are the techniques for incorporating storytelling into your brand's partnership marketing initiatives, creating narratives that enhance both brands' stories.</t>
  </si>
  <si>
    <t>How to create a brand story that resonates with different cultural backgrounds and international markets, adapting your narrative for global audiences.</t>
  </si>
  <si>
    <t>Discuss the importance of storytelling in your brand's internal communications, fostering alignment and engagement among employees.</t>
  </si>
  <si>
    <t>How to use storytelling in your brand's influencer collaborations, co-creating narratives that authentically connect with your audience.</t>
  </si>
  <si>
    <t>Explore different strategies for storytelling through brand contests or challenges, inviting your audience to share their stories and experiences.</t>
  </si>
  <si>
    <t>What are the best practices for using storytelling in your brand's public speaking engagements and presentations, captivating and inspiring your audience.</t>
  </si>
  <si>
    <t>How to incorporate storytelling elements into your brand's packaging design, creating a visual narrative that reflects your brand's essence.</t>
  </si>
  <si>
    <t>How to write product descriptions that highlight the unique features and benefits of your products?</t>
  </si>
  <si>
    <t>What are the essential elements to include in a compelling product description, such as product specifications, uses, and customer benefits?</t>
  </si>
  <si>
    <t>Explore different writing styles for product descriptions, from concise and informative to creative and storytelling-driven approaches.</t>
  </si>
  <si>
    <t>How to tailor product descriptions to different target audiences, considering their needs, preferences, and pain points?</t>
  </si>
  <si>
    <t>Discuss the importance of using persuasive language and storytelling techniques to engage customers and drive conversions.</t>
  </si>
  <si>
    <t>What are the best practices for incorporating keywords and SEO strategies into your product descriptions to enhance visibility and search rankings?</t>
  </si>
  <si>
    <t>How to create a sense of urgency and exclusivity in your product descriptions to encourage immediate action from customers?</t>
  </si>
  <si>
    <t>Explore different ways to enhance the visual appeal of your product descriptions through high-quality images, videos, or interactive elements.</t>
  </si>
  <si>
    <t>How to address common customer objections and concerns in your product descriptions, building trust and credibility.</t>
  </si>
  <si>
    <t>Discuss the role of social proof, such as customer reviews or testimonials, in reinforcing the value and quality of your products.</t>
  </si>
  <si>
    <t>How to highlight the key selling points and unique selling proposition (USP) of your products in concise and impactful product descriptions?</t>
  </si>
  <si>
    <t>Explore different techniques for creating emotional connections with customers through your product descriptions, tapping into their desires and aspirations.</t>
  </si>
  <si>
    <t>What are the best practices for structuring product descriptions, including clear headings, bullet points, and scannable formatting?</t>
  </si>
  <si>
    <t>How to convey a sense of luxury, exclusivity, or premium quality through your product descriptions to attract discerning customers?</t>
  </si>
  <si>
    <t>Discuss the importance of addressing the specific pain points and needs of your target audience in your product descriptions.</t>
  </si>
  <si>
    <t>How to create a consistent tone of voice across your product descriptions that aligns with your brand identity and resonates with customers.</t>
  </si>
  <si>
    <t>Explore different strategies for cross-selling or upselling related products within your product descriptions, increasing average order value.</t>
  </si>
  <si>
    <t>What are the techniques for using sensory language and vivid imagery in your product descriptions to evoke emotions and create memorable experiences?</t>
  </si>
  <si>
    <t>How to leverage storytelling elements in your product descriptions to engage customers and communicate the product's value in context.</t>
  </si>
  <si>
    <t>Discuss the role of product comparisons and contrasts in your product descriptions, helping customers make informed purchasing decisions.</t>
  </si>
  <si>
    <t>How to create product descriptions that effectively communicate the benefits and value of your products, going beyond mere features and specifications?</t>
  </si>
  <si>
    <t>Explore different methods for tailoring product descriptions for different sales channels, such as e-commerce platforms, social media, or print catalogs.</t>
  </si>
  <si>
    <t>What are the best practices for incorporating persuasive call-to-action statements in your product descriptions to prompt customer action?</t>
  </si>
  <si>
    <t>How to use customer-focused language and inclusive messaging in your product descriptions to appeal to a wider audience.</t>
  </si>
  <si>
    <t>Discuss the importance of keeping your product descriptions concise and focused, delivering key information without overwhelming customers.</t>
  </si>
  <si>
    <t>How to address common customer questions and provide detailed answers in your product descriptions, reducing friction in the buying process.</t>
  </si>
  <si>
    <t>Explore different techniques for creating a sense of anticipation and excitement in your product descriptions, making customers eager to experience the product.</t>
  </si>
  <si>
    <t>What are the strategies for using storytelling to highlight the origin or craftsmanship of your products in your descriptions?</t>
  </si>
  <si>
    <t>How to convey a sense of value and affordability in your product descriptions without compromising quality or perceived value?</t>
  </si>
  <si>
    <t>Discuss the role of social media integration in your product descriptions, encouraging customers to share their purchase experiences and testimonials.</t>
  </si>
  <si>
    <t>How to optimize your product descriptions for mobile devices, ensuring a seamless and engaging experience for mobile shoppers.</t>
  </si>
  <si>
    <t>Explore different methods for incorporating customer-generated content, such as user photos or videos, in your product descriptions for social proof.</t>
  </si>
  <si>
    <t>What are the best practices for using persuasive copywriting techniques, such as scarcity, exclusivity, or fear of missing out, in your product descriptions?</t>
  </si>
  <si>
    <t>How to create product descriptions that cater to different stages of the buyer's journey, addressing awareness, consideration, and decision-making needs.</t>
  </si>
  <si>
    <t>Discuss the importance of using clear and concise language in your product descriptions to eliminate confusion and enhance readability.</t>
  </si>
  <si>
    <t>How to highlight the product's environmental sustainability, ethical sourcing, or social impact in your descriptions to appeal to conscious consumers.</t>
  </si>
  <si>
    <t>Explore different strategies for using storytelling to paint a picture of the product's usage and benefits in real-life scenarios.</t>
  </si>
  <si>
    <t>What are the techniques for using sensory language to describe the tactile, visual, or auditory qualities of your products in your descriptions?</t>
  </si>
  <si>
    <t>How to craft product descriptions that resonate with specific customer personas or target markets, speaking directly to their aspirations and values.</t>
  </si>
  <si>
    <t>Discuss the role of product demonstrations or tutorials in your product descriptions, helping customers visualize how the product works or is used.</t>
  </si>
  <si>
    <t>How to create product descriptions that establish your brand's authority and expertise in the industry, positioning your products as top-quality choices.</t>
  </si>
  <si>
    <t>Explore different methods for incorporating customer testimonials or success stories into your product descriptions for social proof.</t>
  </si>
  <si>
    <t>What are the best practices for using power words and compelling adjectives in your product descriptions to create impact and persuasion?</t>
  </si>
  <si>
    <t>How to optimize your product descriptions for voice search and virtual assistant devices, considering conversational language and long-tail keywords.</t>
  </si>
  <si>
    <t>Discuss the importance of proofreading and editing your product descriptions to ensure accuracy, clarity, and grammatical correctness.</t>
  </si>
  <si>
    <t>How to address objections or concerns related to pricing, value, or quality in your product descriptions, alleviating customer hesitations.</t>
  </si>
  <si>
    <t>Explore different strategies for personalizing product descriptions based on customer data, such as location, browsing behavior, or purchase history.</t>
  </si>
  <si>
    <t>What are the techniques for creating scannable and visually appealing product descriptions, using headings, subheadings, and bullet points effectively?</t>
  </si>
  <si>
    <t>How to incorporate storytelling elements into your product descriptions to create a sense of anticipation and build emotional connections with customers.</t>
  </si>
  <si>
    <t>Discuss the role of user-generated content, such as customer photos or videos, in your product descriptions to showcase real-life product experiences.</t>
  </si>
  <si>
    <t>How to optimize your product descriptions for local search and geographic targeting, considering location-specific keywords and terminology.</t>
  </si>
  <si>
    <t>Explore different methods for highlighting the product's durability, quality, or long-lasting benefits in your descriptions.</t>
  </si>
  <si>
    <t>What are the best practices for structuring product descriptions for readability and comprehension, ensuring customers can easily absorb key information.</t>
  </si>
  <si>
    <t>How to create product descriptions that establish a sense of trust and credibility through transparent information and accurate product representation.</t>
  </si>
  <si>
    <t>Discuss the importance of using storytelling to convey the brand's mission, values, or commitment to sustainability in your product descriptions.</t>
  </si>
  <si>
    <t>How to tailor product descriptions for different stages of the buyer's journey, addressing the unique needs and motivations of prospects.</t>
  </si>
  <si>
    <t>Explore different techniques for using formatting, such as bolding, italics, or color highlights, to draw attention to key product features or benefits.</t>
  </si>
  <si>
    <t>What are the strategies for incorporating customer feedback or ratings into your product descriptions, providing social proof and increasing trust.</t>
  </si>
  <si>
    <t>How to create product descriptions that highlight the product's compatibility or integration with other related products or systems.</t>
  </si>
  <si>
    <t>Discuss the role of emotional triggers, such as nostalgia, desire, or fear of missing out, in your product descriptions to engage customers.</t>
  </si>
  <si>
    <t>How to optimize your product descriptions for international markets and multilingual audiences, considering cultural nuances and language preferences.</t>
  </si>
  <si>
    <t>Explore different methods for using storytelling to describe the product's development process, craftsmanship, or attention to detail.</t>
  </si>
  <si>
    <t>What are the best practices for using persuasive storytelling techniques, such as problem-solution narratives or success stories, in your product descriptions?</t>
  </si>
  <si>
    <t>How to tailor product descriptions for different demographics, age groups, or customer segments, adapting language and messaging accordingly.</t>
  </si>
  <si>
    <t>Discuss the importance of emphasizing the product's convenience, ease of use, or time-saving benefits in your descriptions.</t>
  </si>
  <si>
    <t>How to create product descriptions that foster a sense of personal connection and identification, resonating with customers on an emotional level.</t>
  </si>
  <si>
    <t>Explore different strategies for using visual cues, such as icons or symbols, to represent key product features or benefits in your descriptions.</t>
  </si>
  <si>
    <t>What are the techniques for using social media integration in your product descriptions, allowing customers to share or purchase directly from social platforms.</t>
  </si>
  <si>
    <t>How to optimize your product descriptions for voice search, considering natural language and conversational phrases that align with voice queries.</t>
  </si>
  <si>
    <t>Discuss the role of storytelling in showcasing the product's versatility or multiple uses, demonstrating its value in different contexts.</t>
  </si>
  <si>
    <t>How to create product descriptions that address the product's lifespan, warranty, or after-sales support, instilling confidence in customers.</t>
  </si>
  <si>
    <t>Explore different methods for using persuasive storytelling techniques to overcome common objections or reservations that customers may have.</t>
  </si>
  <si>
    <t>What are the best practices for incorporating humor, wit, or personality into your product descriptions, making them memorable and engaging.</t>
  </si>
  <si>
    <t>How to tailor product descriptions for different online platforms or marketplaces, considering character limits, formatting options, and audience behavior.</t>
  </si>
  <si>
    <t>Discuss the importance of using clear and concise product titles and subtitles to grab attention and provide immediate information.</t>
  </si>
  <si>
    <t>How to create product descriptions that highlight the product's impact on health, well-being, or personal improvement.</t>
  </si>
  <si>
    <t>Explore different strategies for using storytelling to describe the product's development journey, highlighting the challenges and triumphs along the way.</t>
  </si>
  <si>
    <t>What are the techniques for using descriptive language and vivid imagery to paint a visual picture of the product in your descriptions?</t>
  </si>
  <si>
    <t>How to optimize your product descriptions for mobile browsing, ensuring a seamless and engaging experience on small screens.</t>
  </si>
  <si>
    <t>Discuss the role of social media influencers or brand ambassadors in endorsing your products within the product descriptions.</t>
  </si>
  <si>
    <t>How to create product descriptions that evoke a sense of exclusivity or scarcity, making customers feel privileged to own the product.</t>
  </si>
  <si>
    <t>Explore different methods for using storytelling to describe the product's impact on the environment or contribution to sustainability.</t>
  </si>
  <si>
    <t>What are the best practices for incorporating testimonials or case studies into your product descriptions to demonstrate real-life results.</t>
  </si>
  <si>
    <t>How to tailor product descriptions for different product variations or options, highlighting unique features or specifications of each variant.</t>
  </si>
  <si>
    <t>Discuss the importance of using concise and persuasive language to convey the value and benefits of your products in a limited space.</t>
  </si>
  <si>
    <t>How to create product descriptions that address the product's compatibility with existing systems, devices, or software.</t>
  </si>
  <si>
    <t>Explore different strategies for using storytelling to describe the product's evolution or innovation, capturing customers' curiosity and interest.</t>
  </si>
  <si>
    <t>What are the techniques for incorporating storytelling elements into your product descriptions to create an emotional connection with customers.</t>
  </si>
  <si>
    <t>How to optimize your product descriptions for readability, using short paragraphs, subheadings, and bullet points for easy scanning.</t>
  </si>
  <si>
    <t>Discuss the role of product demonstrations or video content in enhancing your product descriptions and showcasing the product in action.</t>
  </si>
  <si>
    <t>How to create product descriptions that highlight the product's time-saving benefits, efficiency, or productivity improvements.</t>
  </si>
  <si>
    <t>Explore different methods for using storytelling to describe the product's user experience or customer journey, capturing customers' imagination.</t>
  </si>
  <si>
    <t>What are the best practices for using persuasive language and emotional triggers in your product descriptions to evoke desire and urgency.</t>
  </si>
  <si>
    <t>How to tailor product descriptions for different price points or product tiers, emphasizing the value and benefits of each option.</t>
  </si>
  <si>
    <t>Discuss the importance of using customer-centric language in your product descriptions, focusing on how the product solves their problems or meets their needs.</t>
  </si>
  <si>
    <t>How to create product descriptions that cater to different geographic locations or cultural preferences, adjusting language and references accordingly.</t>
  </si>
  <si>
    <t>Explore different strategies for using sensory language to describe the product's texture, scent, taste, or sound in your descriptions.</t>
  </si>
  <si>
    <t>What are the techniques for using social proof, such as customer reviews, ratings, or endorsements, to enhance trust and credibility in your product descriptions.</t>
  </si>
  <si>
    <t>How to optimize your product descriptions for readability, using headings, subheadings, and formatting elements to improve scanability.</t>
  </si>
  <si>
    <t>Discuss the role of storytelling in creating memorable product descriptions that captivate customers and leave a lasting impression.</t>
  </si>
  <si>
    <t>How to create compelling call-to-action (CTA) buttons that drive click-through rates and conversions?</t>
  </si>
  <si>
    <t>Explore different colors, shapes, and sizes for your CTAs and their impact on user engagement and response rates.</t>
  </si>
  <si>
    <t>What are the best practices for placing CTAs strategically on your web pages or marketing materials to maximize visibility and effectiveness?</t>
  </si>
  <si>
    <t>How to optimize the copy of your CTAs to create a sense of urgency and encourage immediate action from your audience?</t>
  </si>
  <si>
    <t>Discuss the importance of using action verbs and persuasive language in your CTAs to inspire users to take the desired action.</t>
  </si>
  <si>
    <t>Explore different techniques for using personalization and segmentation in your CTAs to increase relevancy and response rates.</t>
  </si>
  <si>
    <t>What are the strategies for creating mobile-friendly CTAs that are easy to tap and interact with on smartphones and tablets?</t>
  </si>
  <si>
    <t>How to incorporate social proof or testimonials in your CTAs to build trust and credibility with your audience?</t>
  </si>
  <si>
    <t>Discuss the role of A/B testing in optimizing your CTAs, including different variations of wording, design, placement, and colors.</t>
  </si>
  <si>
    <t>How to create persuasive microcopy around your CTAs that addresses potential objections or concerns and boosts conversion rates?</t>
  </si>
  <si>
    <t>Explore different ways to enhance the visibility of your CTAs, such as using animations, arrows, or contrasting colors, to attract attention.</t>
  </si>
  <si>
    <t>What are the best practices for aligning your CTAs with the specific goals and objectives of your marketing campaigns or landing pages?</t>
  </si>
  <si>
    <t>How to optimize the loading speed of your web pages to ensure that CTAs load quickly and improve overall user experience?</t>
  </si>
  <si>
    <t>Discuss the importance of testing different CTA positions, such as above the fold, within content, or at the end of a page, to find the most effective placement.</t>
  </si>
  <si>
    <t>How to create compelling CTA copy that clearly communicates the value and benefits of taking the desired action?</t>
  </si>
  <si>
    <t>Explore different ways to create a sense of scarcity or exclusivity in your CTAs, encouraging users to act quickly to avoid missing out.</t>
  </si>
  <si>
    <t>What are the techniques for using contrasting colors and design elements in your CTAs to make them stand out and grab attention?</t>
  </si>
  <si>
    <t>How to optimize your CTAs for voice search and voice-enabled devices, considering conversational language and natural speech patterns.</t>
  </si>
  <si>
    <t>Discuss the importance of using concise and clear messaging in your CTAs to avoid confusion and encourage user action.</t>
  </si>
  <si>
    <t>How to leverage social media platforms and advertising channels to create highly targeted and optimized CTAs for specific audience segments.</t>
  </si>
  <si>
    <t>Explore different methods for using emotional triggers and psychological principles, such as fear of missing out or the desire for social acceptance, in your CTAs.</t>
  </si>
  <si>
    <t>What are the strategies for creating interactive CTAs that engage users and provide an interactive and immersive experience?</t>
  </si>
  <si>
    <t>How to use data and analytics to track and measure the performance of your CTAs and make data-driven optimizations.</t>
  </si>
  <si>
    <t>Discuss the role of CTA placement and design on different devices, such as desktop, mobile, or tablets, and how to optimize for each platform.</t>
  </si>
  <si>
    <t>How to create persuasive CTA copy that addresses the specific pain points and motivations of your target audience.</t>
  </si>
  <si>
    <t>Explore different ways to use visuals, such as arrows or icons, to direct attention towards your CTAs and increase click-through rates.</t>
  </si>
  <si>
    <t>What are the best practices for using CTA language that is clear, concise, and aligned with the user's intent or desired outcome?</t>
  </si>
  <si>
    <t>How to optimize the loading time of your CTAs to ensure a seamless and responsive user experience across different devices and internet connections.</t>
  </si>
  <si>
    <t>Discuss the importance of using social media sharing buttons or referral incentives within your CTAs to encourage users to spread the word.</t>
  </si>
  <si>
    <t>How to leverage the power of scarcity and limited-time offers in your CTAs to create a sense of urgency and drive immediate action.</t>
  </si>
  <si>
    <t>Explore different methods for using CTA placement within videos or multimedia content to prompt users to take the desired action.</t>
  </si>
  <si>
    <t>What are the strategies for creating CTA copy that instills trust and credibility in your brand, encouraging users to take the next step?</t>
  </si>
  <si>
    <t>How to optimize your CTAs for accessibility, ensuring that they are easily perceivable and operable for users with disabilities.</t>
  </si>
  <si>
    <t>Discuss the role of social proof, such as user reviews or ratings, in increasing the effectiveness of your CTAs and building trust with your audience.</t>
  </si>
  <si>
    <t>How to create CTA copy that aligns with the customer journey, considering different stages of awareness, consideration, and decision-making.</t>
  </si>
  <si>
    <t>Explore different ways to create a sense of anticipation and excitement in your CTAs, enticing users to click and explore further.</t>
  </si>
  <si>
    <t>What are the best practices for using urgency-inducing words and phrases in your CTAs to drive immediate action from your audience?</t>
  </si>
  <si>
    <t>How to leverage the power of storytelling in your CTAs to engage users emotionally and compel them to take the desired action.</t>
  </si>
  <si>
    <t>Discuss the importance of using clear and concise instructions in your CTAs, guiding users on what they need to do next.</t>
  </si>
  <si>
    <t>How to optimize your CTAs for different platforms and devices, ensuring consistent functionality and design across all channels.</t>
  </si>
  <si>
    <t>Explore different methods for using CTA copy that addresses objections or concerns users may have, providing reassurance and overcoming barriers to action.</t>
  </si>
  <si>
    <t>What are the strategies for creating dynamic and interactive CTAs that adapt to user behavior and personalize the user experience?</t>
  </si>
  <si>
    <t>How to create CTAs that leverage social media integrations, allowing users to share or engage with your content directly from the CTA.</t>
  </si>
  <si>
    <t>Discuss the role of contextual relevance in your CTAs, aligning the messaging and offer with the content or context in which the CTA is presented.</t>
  </si>
  <si>
    <t>How to use persuasive copywriting techniques, such as power words or emotional triggers, in your CTAs to increase click-through rates.</t>
  </si>
  <si>
    <t>Explore different ways to create a sense of reward or benefit in your CTAs, highlighting the value users will receive by taking the desired action.</t>
  </si>
  <si>
    <t>What are the best practices for using CTA buttons that are visually appealing, with clear and legible text and design elements?</t>
  </si>
  <si>
    <t>How to optimize your CTAs for different user segments or personas, tailoring the messaging and offer to resonate with their specific needs and preferences.</t>
  </si>
  <si>
    <t>Discuss the importance of using active language in your CTAs, encouraging users to take immediate action rather than passively browsing.</t>
  </si>
  <si>
    <t>How to create CTAs that leverage social proof and testimonials, displaying positive feedback or endorsements from satisfied customers.</t>
  </si>
  <si>
    <t>Explore different methods for using personalization and dynamic content in your CTAs to create a customized experience for each user.</t>
  </si>
  <si>
    <t>What are the strategies for creating CTAs that align with the user's mindset and intent, capturing their attention at the right moment?</t>
  </si>
  <si>
    <t>How to optimize the placement and visibility of your CTAs on mobile devices, considering the smaller screen size and user interaction patterns.</t>
  </si>
  <si>
    <t>Discuss the role of CTA copy length and readability, finding the balance between providing sufficient information and avoiding overwhelming the user.</t>
  </si>
  <si>
    <t>How to create CTAs that convey a sense of value and benefit, highlighting what users stand to gain by taking the desired action.</t>
  </si>
  <si>
    <t>Explore different ways to use social media engagement and interaction within your CTAs, prompting users to like, share, or comment on your content.</t>
  </si>
  <si>
    <t>What are the best practices for using CTA buttons that are easily clickable and touch-friendly on mobile devices, reducing friction and user frustration.</t>
  </si>
  <si>
    <t>How to optimize your CTAs for different stages of the sales funnel, tailoring the messaging and offer to align with the user's level of engagement.</t>
  </si>
  <si>
    <t>Discuss the importance of CTA placement in relation to the surrounding content or visuals, ensuring a seamless and intuitive user experience.</t>
  </si>
  <si>
    <t>How to create CTAs that convey a sense of exclusivity or VIP access, making users feel privileged and motivated to take action.</t>
  </si>
  <si>
    <t>How to create a content marketing strategy that aligns with your business goals and target audience.</t>
  </si>
  <si>
    <t>Explore different types of content formats, such as blog posts, infographics, videos, or podcasts, and their effectiveness in engaging audiences.</t>
  </si>
  <si>
    <t>What are the key elements of a compelling content headline that grabs attention and encourages readers to click?</t>
  </si>
  <si>
    <t>How to conduct audience research to understand your target market's interests, pain points, and preferences for creating highly relevant content.</t>
  </si>
  <si>
    <t>Discuss the importance of storytelling in content marketing and how to incorporate narratives to captivate and connect with your audience.</t>
  </si>
  <si>
    <t>Explore different content distribution channels, including social media, email newsletters, guest blogging, or influencer collaborations.</t>
  </si>
  <si>
    <t>What are the strategies for creating evergreen content that remains valuable and relevant to your audience over an extended period?</t>
  </si>
  <si>
    <t>How to optimize your content for search engines, including keyword research, on-page SEO, and link building techniques.</t>
  </si>
  <si>
    <t>Discuss the role of user-generated content in content marketing, leveraging customer testimonials, reviews, or user-submitted stories.</t>
  </si>
  <si>
    <t>How to create a content calendar and editorial plan to ensure consistent and timely delivery of content to your audience.</t>
  </si>
  <si>
    <t>Explore different ways to repurpose your existing content across multiple platforms and formats to maximize its reach and impact.</t>
  </si>
  <si>
    <t>What are the best practices for creating compelling visuals, such as images, graphics, or videos, to enhance your content's appeal and shareability?</t>
  </si>
  <si>
    <t>How to use data and analytics to measure the performance of your content and make data-driven decisions for optimization.</t>
  </si>
  <si>
    <t>Discuss the importance of creating content that addresses your audience's pain points and provides valuable solutions or insights.</t>
  </si>
  <si>
    <t>How to leverage social media platforms to promote and distribute your content effectively, engaging with your audience and building a loyal following.</t>
  </si>
  <si>
    <t>Explore different strategies for creating content upgrades, such as downloadable guides, templates, or checklists, to capture leads and grow your email list.</t>
  </si>
  <si>
    <t>What are the techniques for conducting competitor analysis in content marketing to identify opportunities and differentiate your brand?</t>
  </si>
  <si>
    <t>How to craft compelling introductions and hooks that grab readers' attention and entice them to continue reading your content.</t>
  </si>
  <si>
    <t>Discuss the role of influencer marketing in content promotion, collaborating with industry experts or thought leaders to amplify your reach.</t>
  </si>
  <si>
    <t>How to use storytelling techniques, such as character development or narrative arcs, to engage and resonate with your audience.</t>
  </si>
  <si>
    <t>Explore different ways to incorporate multimedia elements, such as audio or video, into your content to enhance its engagement and interactivity.</t>
  </si>
  <si>
    <t>What are the strategies for optimizing your content for mobile devices, considering responsive design, mobile-friendly formatting, and load speed?</t>
  </si>
  <si>
    <t>How to create shareable content that encourages readers to spread the word through social sharing or word-of-mouth referrals.</t>
  </si>
  <si>
    <t>Discuss the importance of building an email list and using email marketing to nurture relationships and drive traffic to your content.</t>
  </si>
  <si>
    <t>How to leverage user feedback and comments to improve your content and address your audience's needs and interests.</t>
  </si>
  <si>
    <t>Explore different methods for creating compelling headlines, subheadings, and bullet points that enhance the readability and scannability of your content.</t>
  </si>
  <si>
    <t>What are the best practices for conducting keyword research and incorporating relevant keywords into your content to improve search engine visibility?</t>
  </si>
  <si>
    <t>How to incorporate SEO-friendly elements, such as meta tags, alt tags, or internal linking, to optimize your content for search engines.</t>
  </si>
  <si>
    <t>Discuss the role of content curation in your strategy, sourcing and sharing relevant content from other industry experts to provide value to your audience.</t>
  </si>
  <si>
    <t>How to create content clusters or pillar pages that provide comprehensive coverage of a specific topic and enhance SEO authority.</t>
  </si>
  <si>
    <t>Explore different strategies for generating content ideas, including brainstorming, industry trends analysis, or customer feedback mining.</t>
  </si>
  <si>
    <t>What are the techniques for crafting compelling calls-to-action (CTAs) within your content to drive desired user actions or conversions?</t>
  </si>
  <si>
    <t>How to create content that resonates with different buyer personas and addresses their unique pain points and motivations.</t>
  </si>
  <si>
    <t>Discuss the importance of conducting content audits to assess the performance and relevance of your existing content and make informed decisions for improvement.</t>
  </si>
  <si>
    <t>How to leverage social proof and testimonials within your content to build trust and credibility with your audience.</t>
  </si>
  <si>
    <t>Explore different ways to incorporate visual storytelling into your content, using images, illustrations, or videos to enhance the narrative.</t>
  </si>
  <si>
    <t>What are the strategies for creating content that educates and provides value to your audience, positioning your brand as an industry authority?</t>
  </si>
  <si>
    <t>How to optimize your content for voice search, considering natural language queries and conversational search patterns.</t>
  </si>
  <si>
    <t>Discuss the role of content personalization and segmentation in tailoring your messages to specific audience segments and improving engagement.</t>
  </si>
  <si>
    <t>How to create content that fosters audience engagement and encourages readers to leave comments, share their opinions, or participate in discussions.</t>
  </si>
  <si>
    <t>Explore different methods for optimizing your content for social sharing, including the use of social sharing buttons, visually appealing images, or compelling captions.</t>
  </si>
  <si>
    <t>What are the best practices for creating content that aligns with different stages of the buyer's journey, from awareness to consideration and decision-making?</t>
  </si>
  <si>
    <t>How to use data-driven insights and analytics to identify high-performing content and replicate its success in future campaigns.</t>
  </si>
  <si>
    <t>Discuss the importance of creating content that is authentic, transparent, and aligned with your brand's values and mission.</t>
  </si>
  <si>
    <t>How to use storytelling techniques to humanize your brand and connect with your audience on an emotional level.</t>
  </si>
  <si>
    <t>Explore different ways to leverage user-generated content, such as testimonials, reviews, or user stories, to enhance the credibility and authenticity of your brand.</t>
  </si>
  <si>
    <t>What are the strategies for optimizing your content for local SEO, targeting specific geographical regions and capturing local search traffic?</t>
  </si>
  <si>
    <t>How to incorporate persuasive copywriting techniques, such as storytelling, social proof, or scarcity, into your content to drive conversions.</t>
  </si>
  <si>
    <t>Discuss the role of content partnerships and collaborations in expanding your reach and tapping into new audience segments.</t>
  </si>
  <si>
    <t>How to create content that addresses frequently asked questions or common challenges faced by your target audience.</t>
  </si>
  <si>
    <t>Explore different methods for conducting content gap analysis to identify areas where your content is lacking and opportunities for new content creation.</t>
  </si>
  <si>
    <t>What are the best practices for structuring and organizing your content, including headings, subheadings, bullet points, or numbered lists, for better readability?</t>
  </si>
  <si>
    <t>How to leverage the power of influencer marketing in content promotion, collaborating with influencers to amplify your reach and engage new audiences.</t>
  </si>
  <si>
    <t>Discuss the importance of content repurposing and recycling, breathing new life into your existing content and reaching new audiences across different channels.</t>
  </si>
  <si>
    <t>How to create content that encourages social sharing and virality, leveraging emotional triggers, humor, or controversial topics.</t>
  </si>
  <si>
    <t>Explore different ways to optimize your content for featured snippets and position zero in search engine results, capturing more visibility and organic traffic.</t>
  </si>
  <si>
    <t>What are the strategies for creating content that fosters brand loyalty and advocacy, turning customers into brand ambassadors?</t>
  </si>
  <si>
    <t>How to use storytelling elements, such as character development or conflict resolution, to create engaging and memorable content experiences.</t>
  </si>
  <si>
    <t>Discuss the role of content localization in expanding your global reach and resonating with diverse cultural audiences.</t>
  </si>
  <si>
    <t>How to optimize your content for mobile consumption, including responsive design, mobile-friendly formatting, and fast load times.</t>
  </si>
  <si>
    <t>Explore different methods for conducting competitor analysis in content marketing to identify content gaps, uncover unique angles, and differentiate your brand.</t>
  </si>
  <si>
    <t>What are the techniques for creating content that addresses objections and overcomes barriers to purchase, instilling confidence in your products or services?</t>
  </si>
  <si>
    <t>How to leverage content upgrades and lead magnets to capture email leads and build your subscriber list.</t>
  </si>
  <si>
    <t>Discuss the importance of data storytelling in content marketing, using data visualization and insights to create compelling narratives.</t>
  </si>
  <si>
    <t>How to create content that taps into current events, industry trends, or seasonal themes to stay relevant and engage your audience.</t>
  </si>
  <si>
    <t>Explore different ways to incorporate interactive elements into your content, such as quizzes, polls, or interactive infographics, to boost engagement and interactivity.</t>
  </si>
  <si>
    <t>What are the strategies for creating content that aligns with different marketing funnel stages, from top-of-funnel awareness to bottom-of-funnel conversions?</t>
  </si>
  <si>
    <t>How to optimize your content for readability and scannability, using clear headings, concise paragraphs, and visual cues to guide the reader's attention.</t>
  </si>
  <si>
    <t>Discuss the role of influencer-generated content in content marketing, collaborating with influencers to create and promote content on your behalf.</t>
  </si>
  <si>
    <t>How to create content that addresses specific pain points or challenges faced by your target audience, offering practical solutions or expert advice.</t>
  </si>
  <si>
    <t>Explore different methods for conducting surveys or interviews with your audience to gather insights and inspiration for content creation.</t>
  </si>
  <si>
    <t>What are the best practices for creating content that builds anticipation and excitement, such as teaser campaigns or countdowns to product launches?</t>
  </si>
  <si>
    <t>How to leverage user-generated content contests or challenges to encourage audience participation and create a sense of community.</t>
  </si>
  <si>
    <t>Discuss the importance of emotional storytelling in content marketing, tapping into human emotions to create a deep connection with your audience.</t>
  </si>
  <si>
    <t>How to create content that provides actionable tips, step-by-step guides, or tutorials to help your audience achieve their goals or solve their problems.</t>
  </si>
  <si>
    <t>Explore different ways to incorporate influencer testimonials or endorsements into your content, leveraging their credibility and expertise.</t>
  </si>
  <si>
    <t>What are the strategies for creating content that aligns with different customer personas, addressing their unique needs, preferences, and pain points?</t>
  </si>
  <si>
    <t>How to optimize your content for long-tail keywords and niche topics, targeting specific audience segments and capturing highly qualified traffic.</t>
  </si>
  <si>
    <t>Discuss the role of content syndication and guest blogging in expanding your reach and tapping into new audiences.</t>
  </si>
  <si>
    <t>How to create content that showcases your expertise and thought leadership, establishing your brand as a trusted industry resource.</t>
  </si>
  <si>
    <t>Explore different methods for creating content upgrades, such as ebooks, whitepapers, or templates, to provide additional value to your audience.</t>
  </si>
  <si>
    <t>What are the best practices for conducting A/B testing on your content, experimenting with different headlines, formats, or calls-to-action to optimize performance.</t>
  </si>
  <si>
    <t>How to use content remarketing and retargeting techniques to reconnect with previous visitors and nurture them towards conversion.</t>
  </si>
  <si>
    <t>Discuss the importance of content quality and consistency in building trust and loyalty with your audience.</t>
  </si>
  <si>
    <t>How to create content that addresses objections and skepticism, providing evidence, case studies, or testimonials to alleviate doubts.</t>
  </si>
  <si>
    <t>Explore different ways to optimize your content for social media sharing, including the use of visually appealing images, catchy headlines, or share buttons.</t>
  </si>
  <si>
    <t>What are the strategies for creating content that inspires and motivates your audience, tapping into their aspirations and goals.</t>
  </si>
  <si>
    <t>How to leverage user-generated content, such as customer reviews or social media mentions, to enhance your content and social proof.</t>
  </si>
  <si>
    <t>How to create content that educates and empowers your audience, providing valuable insights and actionable takeaways.</t>
  </si>
  <si>
    <t>Explore different methods for optimizing your content for voice search, considering natural language queries and conversational search patterns.</t>
  </si>
  <si>
    <t>What are the best practices for creating content that aligns with different stages of the customer journey, from awareness to loyalty and advocacy?</t>
  </si>
  <si>
    <t>How to use data-driven insights and analytics to measure the performance of your content and make data-informed decisions for optimization.</t>
  </si>
  <si>
    <t>Discuss the importance of creating content that is visually appealing, using high-quality images, infographics, or videos to enhance engagement.</t>
  </si>
  <si>
    <t>How to incorporate storytelling elements, such as compelling narratives or character development, into your content to captivate and resonate with your audience.</t>
  </si>
  <si>
    <t>Explore different ways to repurpose your existing content into different formats, such as videos, podcasts, or slide decks, to reach new audiences.</t>
  </si>
  <si>
    <t>What are the strategies for creating content that sparks conversations and encourages audience engagement, such as asking thought-provoking questions or soliciting feedback.</t>
  </si>
  <si>
    <t>How to optimize your content for search engines, including keyword research, on-page optimization, and link building techniques.</t>
  </si>
  <si>
    <t>Discuss the role of content promotion and distribution in reaching a wider audience, leveraging social media, email marketing, or influencer partnerships.</t>
  </si>
  <si>
    <t>How to create content that reflects your brand's unique voice and personality, establishing a consistent and recognizable tone across all your content.</t>
  </si>
  <si>
    <t>How to collect and curate customer testimonials that showcase the success and satisfaction of your clients.</t>
  </si>
  <si>
    <t>Explore different ways to display social proof on your website, such as through testimonials, case studies, or client logos.</t>
  </si>
  <si>
    <t>What are the strategies for leveraging video testimonials to provide authentic and compelling social proof.</t>
  </si>
  <si>
    <t>How to encourage satisfied customers to leave online reviews and ratings to build credibility and trust.</t>
  </si>
  <si>
    <t>Discuss the role of influencer endorsements in providing social proof for your products or services.</t>
  </si>
  <si>
    <t>Explore different methods for showcasing social proof on social media platforms, such as featuring customer testimonials in posts or stories.</t>
  </si>
  <si>
    <t>What are the best practices for using before-and-after case studies to demonstrate the transformative power of your offerings.</t>
  </si>
  <si>
    <t>How to utilize customer success stories and testimonials in your email marketing campaigns to drive engagement and conversions.</t>
  </si>
  <si>
    <t>Discuss the importance of featuring testimonials from industry experts or thought leaders to strengthen your brand's credibility.</t>
  </si>
  <si>
    <t>Explore different ways to integrate social proof into your sales pages or landing pages, such as through testimonials or customer reviews.</t>
  </si>
  <si>
    <t>What are the strategies for leveraging social media influencers to provide testimonials and recommendations for your brand.</t>
  </si>
  <si>
    <t>How to use social proof in your ad campaigns, incorporating customer testimonials or positive reviews to increase click-through rates.</t>
  </si>
  <si>
    <t>How to create persuasive ad copy for entertainment and media campaigns, building anticipation and excitement.</t>
  </si>
  <si>
    <t>Discuss the best practices for writing ad copy for non-profit organizations or charity campaigns, invoking empathy and encouraging support.</t>
  </si>
  <si>
    <t>Explore the strategies for tailoring ad copy for insurance and financial planning services, addressing security and peace of mind.</t>
  </si>
  <si>
    <t>What are the key elements to consider when writing ad copy for professional services, showcasing expertise and delivering value.</t>
  </si>
  <si>
    <t>How to optimize your ad copy for B2B (business-to-business) campaigns, focusing on ROI, efficiency, and business growth.</t>
  </si>
  <si>
    <t>Discuss the techniques for writing effective ad copy for B2C (business-to-consumer) campaigns, appealing to emotions and consumer desires.</t>
  </si>
  <si>
    <t>Explore the strategies for crafting compelling ad copy for luxury or high-end products, emphasizing exclusivity and exceptional quality.</t>
  </si>
  <si>
    <t>What are the best practices for writing ad copy for food delivery or restaurant platforms, enticing customers with delicious offerings.</t>
  </si>
  <si>
    <t>How to tailor your ad copy for travel booking platforms, inspiring wanderlust and providing hassle-free booking experiences.</t>
  </si>
  <si>
    <t>Discuss the key elements of effective ad copy for health and wellness services, promoting self-care and overall well-being.</t>
  </si>
  <si>
    <t>Explore the strategies for writing ad copy for home services, addressing common household challenges and offering convenient solutions.</t>
  </si>
  <si>
    <t>What are the techniques for crafting engaging ad copy for event planning or catering services, ensuring memorable experiences.</t>
  </si>
  <si>
    <t>How to create persuasive ad copy for automotive services, conveying expertise, reliability, and exceptional customer service.</t>
  </si>
  <si>
    <t>Discuss the best practices for writing ad copy for e-commerce marketplaces, highlighting a diverse range of products and seamless shopping experiences.</t>
  </si>
  <si>
    <t>Explore the strategies for tailoring ad copy for software and tech solutions targeted at businesses, addressing pain points and offering efficiency.</t>
  </si>
  <si>
    <t>What are the key elements to consider when writing ad copy for online coaching or consulting services, emphasizing expertise and transformative outcomes.</t>
  </si>
  <si>
    <t>How to optimize your ad copy for fashion e-commerce platforms, capturing style, trends, and individual expression.</t>
  </si>
  <si>
    <t>Discuss the techniques for writing effective ad copy for subscription boxes or membership-based services, highlighting the surprise and value of recurring deliveries.</t>
  </si>
  <si>
    <t>Explore the strategies for crafting compelling ad copy for beauty and skincare products, focusing on self-care and enhancing natural beauty.</t>
  </si>
  <si>
    <t>What are the best practices for writing ad copy for home decor and furniture e-commerce, creating inviting spaces and personalized aesthetics.</t>
  </si>
  <si>
    <t>How to tailor your ad copy for travel and tourism destinations, painting vibrant experiences and enticing visitors to explore.</t>
  </si>
  <si>
    <t>Discuss the key elements of effective ad copy for financial investment services, showcasing potential returns and personalized guidance.</t>
  </si>
  <si>
    <t>Explore the strategies for writing ad copy for educational institutions or online courses, emphasizing growth, knowledge, and career advancement.</t>
  </si>
  <si>
    <t>What are the techniques for crafting engaging ad copy for pet supplies or services, addressing pet owners' needs and creating lasting bonds.</t>
  </si>
  <si>
    <t>How to create persuasive ad copy for fitness equipment or training programs, motivating individuals to achieve their health goals.</t>
  </si>
  <si>
    <t>Discuss the best practices for writing ad copy for entertainment events or performances, building anticipation and fostering memorable experiences.</t>
  </si>
  <si>
    <t>Explore the strategies for tailoring ad copy for non-profit fundraising campaigns, conveying impact and inspiring generosity.</t>
  </si>
  <si>
    <t>What are the key elements to consider when writing ad copy for real estate agents or property listings, capturing the dream of finding the perfect home.</t>
  </si>
  <si>
    <t>How to optimize your ad copy for insurance services, instilling peace of mind and protecting what matters most.</t>
  </si>
  <si>
    <t>Discuss the techniques for writing effective ad copy for automotive dealerships or car leasing services, showcasing style, performance, and convenience.</t>
  </si>
  <si>
    <t>Explore the strategies for crafting compelling ad copy for food and beverage brands, tantalizing taste buds and creating cravings.</t>
  </si>
  <si>
    <t>What are the best practices for writing ad copy for fitness studios or wellness centers, promoting a healthy lifestyle and transformative experiences.</t>
  </si>
  <si>
    <t>How to tailor your ad copy for event venues or conference facilities, providing the ideal backdrop for memorable gatherings.</t>
  </si>
  <si>
    <t>Discuss the key elements of effective ad copy for B2B software solutions, emphasizing efficiency, productivity, and growth.</t>
  </si>
  <si>
    <t>Explore the strategies for writing ad copy for online marketplaces catering to handmade or artisan products, showcasing craftsmanship and unique stories.</t>
  </si>
  <si>
    <t>What are the techniques for crafting engaging ad copy for pet adoption or animal rescue organizations, tugging at heartstrings and encouraging adoption.</t>
  </si>
  <si>
    <t>How to create persuasive ad copy for outdoor adventure or travel gear, inspiring exploration and outdoor experiences.</t>
  </si>
  <si>
    <t>Discuss the best practices for writing ad copy for financial planning services, offering personalized strategies for wealth management and financial security.</t>
  </si>
  <si>
    <t>Explore the strategies for tailoring ad copy for educational toys or learning materials, engaging young minds and fostering curiosity.</t>
  </si>
  <si>
    <t>What are the key elements to consider when writing ad copy for health and wellness retreats, promoting relaxation, rejuvenation, and self-care.</t>
  </si>
  <si>
    <t>How to optimize your ad copy for eco-conscious brands or sustainable products, appealing to environmentally conscious consumers.</t>
  </si>
  <si>
    <t>Discuss the techniques for writing effective ad copy for luxury travel experiences or exclusive resorts, creating a sense of exclusivity and pampering.</t>
  </si>
  <si>
    <t>Explore the strategies for crafting compelling ad copy for business coaching or mentorship programs, offering guidance for entrepreneurial success.</t>
  </si>
  <si>
    <t>What are the best practices for writing ad copy for technology gadgets or innovative gadgets, highlighting cutting-edge features and convenience.</t>
  </si>
  <si>
    <t>How to tailor your ad copy for artisanal or gourmet food products, conveying quality, craftsmanship, and culinary delight.</t>
  </si>
  <si>
    <t>How to write compelling product descriptions that highlight the unique features and benefits of your e-commerce products.</t>
  </si>
  <si>
    <t>Explore the strategies for creating persuasive landing page copy that drives conversions and increases sales for your online store.</t>
  </si>
  <si>
    <t>What are the best practices for writing captivating headlines for your e-commerce website that grab attention and engage visitors.</t>
  </si>
  <si>
    <t>How to craft effective call-to-action (CTA) copy that encourages visitors to take the desired action, such as making a purchase or signing up for a newsletter.</t>
  </si>
  <si>
    <t>Discuss the key elements of persuasive copy for product category pages that guide customers through your e-commerce store and increase browsing and sales.</t>
  </si>
  <si>
    <t>Explore the strategies for writing compelling email marketing copy that drives customer engagement and boosts sales for your e-commerce business.</t>
  </si>
  <si>
    <t>What are the techniques for creating persuasive product titles that are both informative and enticing for your e-commerce listings.</t>
  </si>
  <si>
    <t>How to optimize your e-commerce copy for search engines to improve your website's visibility and attract organic traffic.</t>
  </si>
  <si>
    <t>Discuss the best practices for writing persuasive product reviews and testimonials that build trust and influence purchasing decisions.</t>
  </si>
  <si>
    <t>Explore the strategies for crafting persuasive copy for product upsells and cross-sells to increase average order value and maximize revenue.</t>
  </si>
  <si>
    <t>What are the key elements to consider when writing persuasive copy for product packaging that communicates value and enhances the overall brand experience.</t>
  </si>
  <si>
    <t>How to create compelling copy for your e-commerce homepage that immediately captures visitors' attention and communicates your brand's unique selling proposition.</t>
  </si>
  <si>
    <t>Discuss the techniques for writing persuasive copy for limited-time offers and flash sales to create a sense of urgency and drive immediate action.</t>
  </si>
  <si>
    <t>Explore the strategies for crafting persuasive copy for product bundles and gift sets to encourage customers to purchase multiple items.</t>
  </si>
  <si>
    <t>What are the best practices for writing persuasive copy for e-commerce product videos that engage and inform potential customers.</t>
  </si>
  <si>
    <t>How to optimize your e-commerce copy for mobile devices to provide a seamless and engaging shopping experience for mobile users.</t>
  </si>
  <si>
    <t>Discuss the key elements of persuasive copy for e-commerce product images and visuals that enhance the product's appeal and showcase its features.</t>
  </si>
  <si>
    <t>Explore the strategies for writing persuasive copy for product warranties and guarantees to instill confidence in your customers' purchase decisions.</t>
  </si>
  <si>
    <t>What are the techniques for creating persuasive copy for e-commerce checkout pages that minimize cart abandonment and streamline the buying process.</t>
  </si>
  <si>
    <t>How to craft effective copy for customer testimonials and social proof elements that reinforce the credibility and trustworthiness of your e-commerce brand.</t>
  </si>
  <si>
    <t>Discuss the best practices for writing persuasive copy for e-commerce product promotions and discounts to incentivize purchases and drive sales.</t>
  </si>
  <si>
    <t>Explore the strategies for crafting persuasive copy for e-commerce product variants and options to help customers make informed choices.</t>
  </si>
  <si>
    <t>What are the key elements to consider when writing persuasive copy for e-commerce customer support and FAQ pages to address potential concerns and queries.</t>
  </si>
  <si>
    <t>How to create compelling copy for your e-commerce return policy and guarantees to build customer trust and alleviate purchase anxiety.</t>
  </si>
  <si>
    <t>Discuss the techniques for writing persuasive copy for e-commerce product launches and pre-orders to generate excitement and anticipation.</t>
  </si>
  <si>
    <t>Explore the strategies for optimizing your e-commerce copy for voice search to cater to the growing trend of voice-activated shopping.</t>
  </si>
  <si>
    <t>What are the best practices for writing persuasive copy for e-commerce live chat and chatbot interactions to provide real-time assistance and support.</t>
  </si>
  <si>
    <t>How to tailor your e-commerce copy for different customer personas and segments to deliver personalized and relevant messaging.</t>
  </si>
  <si>
    <t>Discuss the key elements of persuasive copy for e-commerce customer testimonials and success stories to showcase the value and satisfaction of your products.</t>
  </si>
  <si>
    <t>Explore the strategies for writing persuasive copy for e-commerce product comparison pages to help customers make informed purchase decisions.</t>
  </si>
  <si>
    <t>What are the techniques for creating persuasive copy for e-commerce thank you pages and order confirmation emails to reinforce customer satisfaction.</t>
  </si>
  <si>
    <t>How to optimize your e-commerce copy for social media platforms to drive traffic, engagement, and conversions.</t>
  </si>
  <si>
    <t>Discuss the best practices for writing persuasive copy for e-commerce abandoned cart recovery emails to entice customers to complete their purchase.</t>
  </si>
  <si>
    <t>Explore the strategies for crafting persuasive copy for e-commerce product recommendations and personalized product suggestions to enhance the shopping experience.</t>
  </si>
  <si>
    <t>What are the key elements to consider when writing persuasive copy for e-commerce loyalty programs and customer rewards to foster customer loyalty and repeat purchases.</t>
  </si>
  <si>
    <t>How to create compelling copy for your e-commerce customer onboarding process to guide and educate new customers about your brand and products.</t>
  </si>
  <si>
    <t>Discuss the techniques for writing persuasive copy for e-commerce product scarcity and limited stock alerts to create a sense of urgency and drive sales.</t>
  </si>
  <si>
    <t>Explore the strategies for optimizing your e-commerce copy for international markets and multilingual audiences to expand your global reach.</t>
  </si>
  <si>
    <t>What are the best practices for writing persuasive copy for e-commerce product accessories and add-ons to increase average order value and upsell opportunities.</t>
  </si>
  <si>
    <t>How to tailor your e-commerce copy for seasonal promotions and holiday campaigns to capitalize on peak shopping periods.</t>
  </si>
  <si>
    <t>Discuss the key elements of persuasive copy for e-commerce product warranties and extended protection plans to provide customers with peace of mind.</t>
  </si>
  <si>
    <t>Explore the strategies for writing persuasive copy for e-commerce subscription services and recurring orders to encourage long-term customer loyalty.</t>
  </si>
  <si>
    <t>What are the techniques for creating persuasive copy for e-commerce exit-intent pop-ups and overlays to retain customers and minimize bounce rates.</t>
  </si>
  <si>
    <t>How to optimize your e-commerce copy for social proof elements, such as user-generated content and customer reviews, to build trust and credibility.</t>
  </si>
  <si>
    <t>Discuss the best practices for writing persuasive copy for e-commerce product demonstrations and tutorials to showcase the product's features and functionality.</t>
  </si>
  <si>
    <t>Explore the strategies for crafting persuasive copy for e-commerce upsell and cross-sell pop-ups and banners to increase order value and encourage additional purchases.</t>
  </si>
  <si>
    <t>What are the key elements to consider when writing persuasive copy for e-commerce product launch countdowns and teasers to generate anticipation and buzz.</t>
  </si>
  <si>
    <t>How to create compelling copy for your e-commerce product inventory status and availability notifications to create a sense of urgency and scarcity.</t>
  </si>
  <si>
    <t>Discuss the techniques for writing persuasive copy for e-commerce customer loyalty programs and referral incentives to encourage repeat business and word-of-mouth marketing.</t>
  </si>
  <si>
    <t>Explore the strategies for optimizing your e-commerce copy for featured snippets and rich snippets in search engine results to increase visibility and click-through rates.</t>
  </si>
  <si>
    <t>What are the best practices for writing persuasive copy for e-commerce retargeting ads and personalized recommendations based on customer browsing and purchase history.</t>
  </si>
  <si>
    <t>How to tailor your e-commerce copy for different stages of the customer journey, from awareness and consideration to conversion and loyalty.</t>
  </si>
  <si>
    <t>Discuss the key elements of persuasive copy for e-commerce product bundles and gift guides to simplify the shopping process and increase average order value.</t>
  </si>
  <si>
    <t>Explore the strategies for writing persuasive copy for e-commerce flash sales and limited-time promotions to create a sense of urgency and drive immediate purchases.</t>
  </si>
  <si>
    <t>What are the techniques for creating persuasive copy for e-commerce product comparison charts and tables to assist customers in making informed decisions.</t>
  </si>
  <si>
    <t>How to optimize your e-commerce copy for voice assistants and smart devices to cater to the growing trend of voice-activated shopping.</t>
  </si>
  <si>
    <t>Discuss the best practices for writing persuasive copy for e-commerce customer testimonials and success stories to build trust and social proof.</t>
  </si>
  <si>
    <t>Explore the strategies for crafting persuasive copy for e-commerce product videos and demos to showcase product features and usage scenarios.</t>
  </si>
  <si>
    <t>What are the key elements to consider when writing persuasive copy for e-commerce customer support chatbots and virtual assistants to provide instant assistance and resolve queries.</t>
  </si>
  <si>
    <t>How to create compelling copy for your e-commerce loyalty program sign-up page to encourage customer participation and engagement.</t>
  </si>
  <si>
    <t>Discuss the techniques for writing persuasive copy for e-commerce product packaging inserts and thank you cards to enhance the unboxing experience and foster customer loyalty.</t>
  </si>
  <si>
    <t>Explore the strategies for optimizing your e-commerce copy for local search to attract customers from specific geographic regions and drive foot traffic to physical stores.</t>
  </si>
  <si>
    <t>What are the best practices for writing persuasive copy for e-commerce user-generated content (UGC) campaigns and customer testimonials to engage and influence potential customers.</t>
  </si>
  <si>
    <t>How to tailor your e-commerce copy for different device types, such as smartphones, tablets, and desktops, to provide a seamless and optimized shopping experience.</t>
  </si>
  <si>
    <t>Discuss the key elements of persuasive copy for e-commerce product rating and review systems to encourage customer feedback and enhance product credibility.</t>
  </si>
  <si>
    <t>Explore the strategies for writing persuasive copy for e-commerce subscription box services, highlighting the value and surprise of curated products.</t>
  </si>
  <si>
    <t>What are the techniques for creating persuasive copy for e-commerce live chat support, addressing customer queries and providing real-time assistance.</t>
  </si>
  <si>
    <t>How to optimize your e-commerce copy for social media sharing and virality, encouraging customers to share their purchases and positive experiences.</t>
  </si>
  <si>
    <t>Discuss the best practices for writing persuasive copy for e-commerce personalized product recommendations based on customer browsing and purchase history.</t>
  </si>
  <si>
    <t>Explore the strategies for crafting persuasive copy for e-commerce product guarantee and return policies, instilling confidence and easing purchase decisions.</t>
  </si>
  <si>
    <t>What are the key elements to consider when writing persuasive copy for e-commerce abandoned cart emails, offering incentives and reminders to complete the purchase.</t>
  </si>
  <si>
    <t>How to create compelling copy for your e-commerce product "Coming Soon" pages, building anticipation and collecting customer information for future releases.</t>
  </si>
  <si>
    <t>Discuss the techniques for writing persuasive copy for e-commerce product customization and personalization options, allowing customers to create unique and tailored products.</t>
  </si>
  <si>
    <t>Explore the strategies for optimizing your e-commerce copy for mobile app stores and app descriptions to attract downloads and increase app engagement.</t>
  </si>
  <si>
    <t>What are the best practices for writing persuasive copy for e-commerce pre-order campaigns, creating anticipation and securing early sales.</t>
  </si>
  <si>
    <t>How to tailor your e-commerce copy for different customer segments, such as new customers, loyal customers, and VIP customers, to provide targeted messaging.</t>
  </si>
  <si>
    <t>Discuss the key elements of persuasive copy for e-commerce product FAQ pages, addressing common questions and concerns to facilitate purchase decisions.</t>
  </si>
  <si>
    <t>Explore the strategies for writing persuasive copy for e-commerce customer referral programs, incentivizing customers to refer friends and family.</t>
  </si>
  <si>
    <t>What are the techniques for creating persuasive copy for e-commerce limited edition or exclusive products, highlighting their rarity and desirability.</t>
  </si>
  <si>
    <t>How to optimize your e-commerce copy for voice search and natural language queries, aligning with the changing search behavior of consumers.</t>
  </si>
  <si>
    <t>Discuss the best practices for writing persuasive copy for e-commerce flash sale countdown timers and urgency-inducing elements to drive immediate action.</t>
  </si>
  <si>
    <t>Explore the strategies for crafting persuasive copy for e-commerce product bundles and upsell offers based on customer preferences and purchase history.</t>
  </si>
  <si>
    <t>What are the key elements to consider when writing persuasive copy for e-commerce product inventory alerts and restock notifications to keep customers informed.</t>
  </si>
  <si>
    <t>How to create compelling copy for your e-commerce product launch email campaigns, building anticipation and driving traffic to your new product pages.</t>
  </si>
  <si>
    <t>Discuss the techniques for writing persuasive copy for e-commerce customer win-back emails, re-engaging inactive or lapsed customers and enticing them to return.</t>
  </si>
  <si>
    <t>Explore the strategies for optimizing your e-commerce copy for mobile checkout experiences, reducing friction and increasing conversion rates.</t>
  </si>
  <si>
    <t>What are the best practices for writing persuasive copy for e-commerce product comparison landing pages, helping customers evaluate different options and make informed choices.</t>
  </si>
  <si>
    <t>How to tailor your e-commerce copy for social media ads, optimizing the messaging and format for each platform to maximize engagement and conversions.</t>
  </si>
  <si>
    <t>Discuss the key elements of persuasive copy for e-commerce product recommendations based on customer browsing behavior and personalized algorithms.</t>
  </si>
  <si>
    <t>Explore the strategies for writing persuasive copy for e-commerce shipping and delivery information, reassuring customers about the speed and reliability of their orders.</t>
  </si>
  <si>
    <t>What are the techniques for creating persuasive copy for e-commerce product scarcity notifications, emphasizing limited stock or high demand to drive urgency.</t>
  </si>
  <si>
    <t>How to optimize your e-commerce copy for user-generated content (UGC) campaigns, encouraging customers to share their experiences and photos with your products.</t>
  </si>
  <si>
    <t>Discuss the best practices for writing persuasive copy for e-commerce bundle discounts and package deals, incentivizing customers to purchase multiple items together.</t>
  </si>
  <si>
    <t>Explore the strategies for crafting persuasive copy for e-commerce product reviews and ratings, leveraging social proof to build trust and influence purchase decisions.</t>
  </si>
  <si>
    <t>What are the key elements to consider when writing persuasive copy for e-commerce flash sale banners and pop-ups, capturing attention and driving immediate action.</t>
  </si>
  <si>
    <t>How to create compelling copy for your e-commerce cart abandonment emails, offering discounts or incentives to entice customers back to complete their purchase.</t>
  </si>
  <si>
    <t>Discuss the techniques for writing persuasive copy for e-commerce checkout progress indicators, guiding customers through the checkout process and reducing cart abandonment.</t>
  </si>
  <si>
    <t>Explore the strategies for optimizing your e-commerce copy for voice assistants and smart speakers, allowing customers to make purchases through voice commands.</t>
  </si>
  <si>
    <t>What are the best practices for writing persuasive copy for e-commerce customer feedback and review requests, encouraging customers to provide valuable feedback.</t>
  </si>
  <si>
    <t>How to tailor your e-commerce copy for different stages of the sales funnel, from awareness and consideration to conversion and retention.</t>
  </si>
  <si>
    <t>What are the essential proofreading techniques for catching spelling errors in your copy?</t>
  </si>
  <si>
    <t>How can you effectively check for grammatical mistakes in your writing during the editing process?</t>
  </si>
  <si>
    <t>Discuss the importance of consistency in formatting and style when editing copy.</t>
  </si>
  <si>
    <t>What are some common punctuation errors to watch out for when proofreading your copy?</t>
  </si>
  <si>
    <t>How can you ensure that your copy is free from typos and typographical errors?</t>
  </si>
  <si>
    <t>Discuss the role of proofreading in maintaining clarity and coherence in your copy.</t>
  </si>
  <si>
    <t>What are the best practices for checking for proper sentence structure and syntax in your writing?</t>
  </si>
  <si>
    <t>How can you identify and correct awkward phrasing or ambiguous language in your copy?</t>
  </si>
  <si>
    <t>Discuss the importance of proofreading for eliminating redundant or unnecessary words in your writing.</t>
  </si>
  <si>
    <t>What strategies can you employ to detect and fix errors in capitalization and use of proper nouns?</t>
  </si>
  <si>
    <t>How can you ensure that your copy adheres to consistent and appropriate verb tense usage?</t>
  </si>
  <si>
    <t>Discuss the role of proofreading in verifying the accuracy of facts, figures, and statistics in your copy.</t>
  </si>
  <si>
    <t>What are the techniques for reviewing and correcting errors in subject-verb agreement in your writing?</t>
  </si>
  <si>
    <t>How can you effectively proofread and edit your copy for clarity, ensuring that your message is easily understandable to readers?</t>
  </si>
  <si>
    <t>Discuss the importance of reviewing and revising sentence fragments and run-on sentences in your copy.</t>
  </si>
  <si>
    <t>What are the best practices for checking for and correcting errors in parallelism and sentence parallel structure?</t>
  </si>
  <si>
    <t>How can you identify and rectify inconsistencies in tone and voice throughout your copy?</t>
  </si>
  <si>
    <t>Discuss the role of proofreading in maintaining proper formatting and spacing in your writing.</t>
  </si>
  <si>
    <t>What strategies can you employ to detect and fix errors in verb usage and verb agreement in your copy?</t>
  </si>
  <si>
    <t>How can you ensure that your copy follows the rules of proper punctuation, including commas, periods, and quotation marks?</t>
  </si>
  <si>
    <t>Discuss the importance of proofreading for checking the accuracy of hyperlinks and references in your copy.</t>
  </si>
  <si>
    <t>What are the techniques for reviewing and correcting errors in pronoun usage and pronoun-antecedent agreement in your writing?</t>
  </si>
  <si>
    <t>How can you effectively proofread and edit your copy for coherence, ensuring that your ideas flow logically from one to another?</t>
  </si>
  <si>
    <t>Discuss the best practices for checking for and correcting errors in subject-verb-object agreement in your copy.</t>
  </si>
  <si>
    <t>How can you identify and rectify inconsistencies in verb tense and verb form throughout your copy?</t>
  </si>
  <si>
    <t>What strategies can you employ to detect and fix errors in modifier placement and usage in your copy?</t>
  </si>
  <si>
    <t>How can you ensure that your copy is free from clichés, jargon, and overused phrases?</t>
  </si>
  <si>
    <t>Discuss the role of proofreading in verifying the accuracy of quotations and attributions in your copy.</t>
  </si>
  <si>
    <t>What are the techniques for reviewing and correcting errors in adjective and adverb usage in your writing?</t>
  </si>
  <si>
    <t>How can you effectively proofread and edit your copy for conciseness, ensuring that you convey your message efficiently?</t>
  </si>
  <si>
    <t>Discuss the importance of proofreading for checking the consistency and accuracy of numerical data in your copy.</t>
  </si>
  <si>
    <t>What are the best practices for checking for and correcting errors in sentence fragments and incomplete thoughts in your copy?</t>
  </si>
  <si>
    <t>How can you identify and rectify inconsistencies in point of view and narrative perspective throughout your copy?</t>
  </si>
  <si>
    <t>What strategies can you employ to detect and fix errors in preposition usage and prepositional phrase placement in your copy?</t>
  </si>
  <si>
    <t>Discuss the role of proofreading in maintaining proper citation and attribution of sources in your writing.</t>
  </si>
  <si>
    <t>How can you ensure that your copy follows the rules of proper hyphenation and dash usage?</t>
  </si>
  <si>
    <t>What techniques can you use to review and correct errors in verb mood and verb voice in your writing?</t>
  </si>
  <si>
    <t>How can you effectively proofread and edit your copy for appropriateness, ensuring that it aligns with the intended audience?</t>
  </si>
  <si>
    <t>Discuss the importance of proofreading for checking the accuracy and consistency of acronyms and abbreviations in your copy.</t>
  </si>
  <si>
    <t>What are the best practices for checking for and correcting errors in comparative and superlative forms of adjectives and adverbs in your copy?</t>
  </si>
  <si>
    <t>How can you identify and rectify inconsistencies in verb conjugation and verb agreement throughout your copy?</t>
  </si>
  <si>
    <t>What strategies can you employ to detect and fix errors in pronoun case and pronoun reference in your writing?</t>
  </si>
  <si>
    <t>How can you ensure that your copy is free from excessive wordiness and redundant phrases?</t>
  </si>
  <si>
    <t>Discuss the role of proofreading in verifying the correct usage of homophones and commonly confused words in your copy.</t>
  </si>
  <si>
    <t>What techniques can you use to review and correct errors in conjunction usage and sentence connectors in your writing?</t>
  </si>
  <si>
    <t>How can you effectively proofread and edit your copy for precision, ensuring that your words convey the intended meaning accurately?</t>
  </si>
  <si>
    <t>Discuss the importance of proofreading for checking the consistency and clarity of acronyms and initialisms in your copy.</t>
  </si>
  <si>
    <t>What are the best practices for checking for and correcting errors in subject-verb agreement with compound subjects in your copy?</t>
  </si>
  <si>
    <t>How can you identify and rectify inconsistencies in verb tense and mood shifts throughout your copy?</t>
  </si>
  <si>
    <t>What strategies can you employ to detect and fix errors in pronoun-antecedent agreement with indefinite pronouns in your writing?</t>
  </si>
  <si>
    <t>How can you ensure that your copy follows the rules of proper comma usage, including Oxford commas and comma splices?</t>
  </si>
  <si>
    <t>Discuss the role of proofreading in maintaining proper citation and adherence to copyright guidelines in your writing.</t>
  </si>
  <si>
    <t>What techniques can you use to review and correct errors in adjective and adverb placement and order in your copy?</t>
  </si>
  <si>
    <t>How can you effectively proofread and edit your copy for coherence, ensuring that your paragraphs and sentences connect smoothly?</t>
  </si>
  <si>
    <t>Discuss the importance of proofreading for checking the accuracy and consistency of numerical expressions and units of measurement in your copy.</t>
  </si>
  <si>
    <t>What are the best practices for checking for and correcting errors in subject-verb agreement with collective nouns in your copy?</t>
  </si>
  <si>
    <t>How can you identify and rectify inconsistencies in verb tense and aspect throughout your copy?</t>
  </si>
  <si>
    <t>What strategies can you employ to detect and fix errors in pronoun-antecedent agreement with relative pronouns in your writing?</t>
  </si>
  <si>
    <t>How can you ensure that your copy is free from redundant modifiers and unnecessary adjectives?</t>
  </si>
  <si>
    <t>Discuss the role of proofreading in verifying the proper usage of foreign words and phrases in your copy.</t>
  </si>
  <si>
    <t>What techniques can you use to review and correct errors in noun and pronoun agreement in your writing?</t>
  </si>
  <si>
    <t>How can you effectively proofread and edit your copy for clarity, ensuring that your sentences are well-structured and easy to understand?</t>
  </si>
  <si>
    <t>Discuss the importance of proofreading for checking the consistency and accuracy of dates, times, and other temporal references in your copy.</t>
  </si>
  <si>
    <t>What are the best practices for checking for and correcting errors in subject-verb agreement with indefinite pronouns in your copy?</t>
  </si>
  <si>
    <t>How can you identify and rectify inconsistencies in verb tense and voice changes throughout your copy?</t>
  </si>
  <si>
    <t>What strategies can you employ to detect and fix errors in pronoun case and pronoun consistency in your writing?</t>
  </si>
  <si>
    <t>How can you ensure that your copy follows the rules of proper apostrophe usage, including possessives and contractions?</t>
  </si>
  <si>
    <t>Discuss the role of proofreading in maintaining proper citation and referencing of sources in your writing.</t>
  </si>
  <si>
    <t>What techniques can you use to review and correct errors in word choice and vocabulary in your copy?</t>
  </si>
  <si>
    <t>How can you effectively proofread and edit your copy for cohesion, ensuring that your paragraphs and ideas flow smoothly?</t>
  </si>
  <si>
    <t>Discuss the importance of proofreading for checking the accuracy and consistency of geographical names and locations in your copy.</t>
  </si>
  <si>
    <t>What are the best practices for checking for and correcting errors in subject-verb agreement with words that express amount or quantity in your copy?</t>
  </si>
  <si>
    <t>How can you identify and rectify inconsistencies in verb tense and mood within complex sentence structures throughout your copy?</t>
  </si>
  <si>
    <t>What strategies can you employ to detect and fix errors in pronoun-antecedent agreement with compound antecedents in your writing?</t>
  </si>
  <si>
    <t>How can you ensure that your copy is free from colloquialisms, slang, and inappropriate language?</t>
  </si>
  <si>
    <t>Discuss the role of proofreading in verifying the correct usage of specific industry or domain-specific terminology in your copy.</t>
  </si>
  <si>
    <t>What techniques can you use to review and correct errors in sentence structure and sentence fragments in your writing?</t>
  </si>
  <si>
    <t>How can you effectively proofread and edit your copy for accuracy, ensuring that your statements and claims are supported by evidence?</t>
  </si>
  <si>
    <t>Discuss the importance of proofreading for checking the consistency and coherence of product names and branding in your copy.</t>
  </si>
  <si>
    <t>What are the best practices for checking for and correcting errors in subject-verb agreement with words that express time, distance, or amount in your copy?</t>
  </si>
  <si>
    <t>How can you identify and rectify inconsistencies in verb tense and mood between dependent and independent clauses throughout your copy?</t>
  </si>
  <si>
    <t>What strategies can you employ to detect and fix errors in pronoun-antecedent agreement with complex noun phrases in your writing?</t>
  </si>
  <si>
    <t>How can you ensure that your copy follows the rules of proper quotation mark usage, including dialogue and nested quotations?</t>
  </si>
  <si>
    <t>Discuss the role of proofreading in maintaining proper citation and acknowledgment of visual elements, such as images or charts, in your writing.</t>
  </si>
  <si>
    <t>What techniques can you use to review and correct errors in sentence rhythm and sentence length variation in your copy?</t>
  </si>
  <si>
    <t>How can you effectively proofread and edit your copy for fluency, ensuring that your sentences flow naturally and are easy to read?</t>
  </si>
  <si>
    <t>Discuss the importance of proofreading for checking the accuracy and consistency of product specifications and details in your copy.</t>
  </si>
  <si>
    <t>What are the best practices for checking for and correcting errors in subject-verb agreement with words that express price or value in your copy?</t>
  </si>
  <si>
    <t>How can you identify and rectify inconsistencies in verb tense and mood within conditional sentence structures throughout your copy?</t>
  </si>
  <si>
    <t>What strategies can you employ to detect and fix errors in pronoun-antecedent agreement with non-gender-specific pronouns in your writing?</t>
  </si>
  <si>
    <t>Personal Development</t>
  </si>
  <si>
    <t>Reflect on your core values and how they align with your life choices and goals.</t>
  </si>
  <si>
    <t>Set specific and achievable short-term and long-term goals for personal growth.</t>
  </si>
  <si>
    <t>Identify your strengths and areas for improvement, and create an action plan for self-improvement.</t>
  </si>
  <si>
    <t>Explore mindfulness practices, such as meditation and deep breathing, to reduce stress and enhance focus.</t>
  </si>
  <si>
    <t>Reflect on past challenges and how they have contributed to your personal resilience and strength.</t>
  </si>
  <si>
    <t>Develop a daily gratitude practice to appreciate the positive aspects of your life.</t>
  </si>
  <si>
    <t>Explore different time management techniques to optimize productivity and achieve a better work-life balance.</t>
  </si>
  <si>
    <t>Challenge yourself to step out of your comfort zone and embrace new opportunities for growth.</t>
  </si>
  <si>
    <t>Identify negative thought patterns and replace them with positive affirmations.</t>
  </si>
  <si>
    <t>Practice active listening to improve communication skills and build meaningful relationships.</t>
  </si>
  <si>
    <t>Set boundaries in your personal and professional life to protect your time and well-being.</t>
  </si>
  <si>
    <t>Explore the concept of emotional intelligence and its impact on personal and professional relationships.</t>
  </si>
  <si>
    <t>Reflect on your passions and hobbies, and find ways to incorporate them into your daily life.</t>
  </si>
  <si>
    <t>Learn a new skill or pursue a hobby that interests you, even if it's outside your comfort zone.</t>
  </si>
  <si>
    <t>Identify limiting beliefs that may be holding you back and work on reframing them positively.</t>
  </si>
  <si>
    <t>Practice self-compassion and forgiveness towards yourself for past mistakes or shortcomings.</t>
  </si>
  <si>
    <t>Explore different techniques for managing stress and anxiety, such as journaling or exercise.</t>
  </si>
  <si>
    <t>Cultivate a growth mindset and view challenges as opportunities for learning and development.</t>
  </si>
  <si>
    <t>Reflect on your past achievements and use them as motivation for future success.</t>
  </si>
  <si>
    <t>Identify sources of negativity in your life and take steps to eliminate or reduce their influence.</t>
  </si>
  <si>
    <t>Practice effective communication and assertiveness to express your needs and boundaries clearly.</t>
  </si>
  <si>
    <t>Develop a morning routine that sets a positive tone for the rest of the day.</t>
  </si>
  <si>
    <t>Identify your passions and interests, and consider how you can turn them into a fulfilling career or hobby.</t>
  </si>
  <si>
    <t>Explore different methods for improving self-discipline and staying focused on your goals.</t>
  </si>
  <si>
    <t>Reflect on your life purpose and how you can align your actions with your deeper values.</t>
  </si>
  <si>
    <t>Practice visualization techniques to manifest your goals and aspirations.</t>
  </si>
  <si>
    <t>Develop a self-care routine that includes activities that nourish your mind, body, and soul.</t>
  </si>
  <si>
    <t>Identify areas of your life where you can delegate tasks or seek support from others.</t>
  </si>
  <si>
    <t>Explore the power of positive thinking and how it can impact your overall well-being.</t>
  </si>
  <si>
    <t>Create a vision board that represents your goals and aspirations for the future.</t>
  </si>
  <si>
    <t>Reflect on past challenges and how they have contributed to your personal growth and resilience.</t>
  </si>
  <si>
    <t>Practice self-reflection regularly to gain insights into your emotions and actions.</t>
  </si>
  <si>
    <t>Identify toxic relationships in your life and take steps to distance yourself from negativity.</t>
  </si>
  <si>
    <t>Set boundaries with technology and social media to promote mindfulness and present-moment awareness.</t>
  </si>
  <si>
    <t>Explore different methods of managing and coping with stress, such as exercise or creative activities.</t>
  </si>
  <si>
    <t>Develop a habit of continuous learning by reading books or taking online courses on topics that interest you.</t>
  </si>
  <si>
    <t>Reflect on the role of self-compassion in building resilience and overcoming setbacks.</t>
  </si>
  <si>
    <t>Identify your unique strengths and find ways to leverage them in your personal and professional life.</t>
  </si>
  <si>
    <t>Practice gratitude journaling to focus on the positive aspects of your life.</t>
  </si>
  <si>
    <t>Explore different relaxation techniques, such as progressive muscle relaxation or guided imagery.</t>
  </si>
  <si>
    <t>Set realistic and achievable goals for personal and professional development.</t>
  </si>
  <si>
    <t>Identify sources of motivation and inspiration that fuel your drive to achieve your dreams.</t>
  </si>
  <si>
    <t>Reflect on past mistakes or failures and use them as learning opportunities for growth.</t>
  </si>
  <si>
    <t>Develop a positive morning affirmation or mantra to start each day on a positive note.</t>
  </si>
  <si>
    <t>Practice active goal setting and break down larger goals into smaller, actionable steps.</t>
  </si>
  <si>
    <t>Explore the concept of work-life integration and find ways to create harmony between personal and professional responsibilities.</t>
  </si>
  <si>
    <t>Reflect on your passions and interests, and consider how you can align them with your career path.</t>
  </si>
  <si>
    <t>Identify and challenge self-limiting beliefs that may be hindering your progress.</t>
  </si>
  <si>
    <t>Practice mindfulness during daily activities, such as eating, walking, or working.</t>
  </si>
  <si>
    <t>Set boundaries with your time and energy to avoid burnout and prioritize self-care.</t>
  </si>
  <si>
    <t>Explore the benefits of journaling and self-expression as a means of processing emotions and experiences.</t>
  </si>
  <si>
    <t>Reflect on your core values and how they shape your decision-making process.</t>
  </si>
  <si>
    <t>Practice visualization exercises to imagine and manifest your desired future.</t>
  </si>
  <si>
    <t>Identify your strengths and unique qualities, and find ways to leverage them in your personal and professional life.</t>
  </si>
  <si>
    <t>Explore different methods of self-care, such as meditation, exercise, or spending time in nature.</t>
  </si>
  <si>
    <t>Reflect on your accomplishments and celebrate your progress, no matter how small.</t>
  </si>
  <si>
    <t>Develop a growth mindset and embrace challenges as opportunities for learning and growth.</t>
  </si>
  <si>
    <t>Set realistic boundaries with others to protect your time and well-being.</t>
  </si>
  <si>
    <t>Practice gratitude by expressing appreciation for the people and experiences in your life.</t>
  </si>
  <si>
    <t>Identify sources of stress in your life and explore ways to manage and reduce them.</t>
  </si>
  <si>
    <t>Explore the concept of work-life balance and find ways to create harmony between personal and professional life.</t>
  </si>
  <si>
    <t>Reflect on past failures or setbacks and use them as learning experiences to improve and grow.</t>
  </si>
  <si>
    <t>Practice deep breathing or mindfulness exercises to manage stress and promote relaxation.</t>
  </si>
  <si>
    <t>Set specific and measurable goals for personal development, and create a timeline for achieving them.</t>
  </si>
  <si>
    <t>Identify negative thought patterns or self-talk and work on reframing them in a positive light.</t>
  </si>
  <si>
    <t>Explore different techniques for improving focus and concentration, such as mindfulness or time management.</t>
  </si>
  <si>
    <t>Reflect on your values and priorities, and align your actions with what truly matters to you.</t>
  </si>
  <si>
    <t>Practice gratitude by keeping a daily or weekly gratitude journal.</t>
  </si>
  <si>
    <t>Set boundaries with toxic relationships or environments to protect your well-being.</t>
  </si>
  <si>
    <t>Identify habits or behaviors that may be hindering your growth and work on changing them.</t>
  </si>
  <si>
    <t>Explore the concept of self-compassion and practice being kind and understanding towards yourself.</t>
  </si>
  <si>
    <t>Reflect on your personal strengths and find ways to leverage them in your career or daily life.</t>
  </si>
  <si>
    <t>Practice visualization to imagine and manifest your ideal future.</t>
  </si>
  <si>
    <t>Set realistic and achievable goals for personal development, and track your progress regularly.</t>
  </si>
  <si>
    <t>Identify sources of stress in your life and explore healthy coping mechanisms, such as exercise or creative activities.</t>
  </si>
  <si>
    <t>Explore the benefits of mindfulness meditation and how it can improve your mental well-being.</t>
  </si>
  <si>
    <t>Reflect on your core values and how they guide your decisions and actions.</t>
  </si>
  <si>
    <t>Reflect on the role of self-awareness in understanding your emotions, strengths, and weaknesses.</t>
  </si>
  <si>
    <t>Set realistic boundaries with others to protect your time, energy, and well-being.</t>
  </si>
  <si>
    <t>Explore the concept of self-acceptance and practice embracing your authentic self.</t>
  </si>
  <si>
    <t>Identify areas of your life where you can let go of perfectionism and embrace imperfections.</t>
  </si>
  <si>
    <t>Practice forgiveness towards yourself and others to release emotional burdens and find closure.</t>
  </si>
  <si>
    <t>Set a personal mission statement that aligns with your values and purpose in life.</t>
  </si>
  <si>
    <t>Explore different methods of creative expression, such as writing, painting, or music, to nurture your inner artist.</t>
  </si>
  <si>
    <t>Reflect on your support network and find ways to foster positive and meaningful connections with others.</t>
  </si>
  <si>
    <t>Set aside time for regular reflection and self-assessment to track your personal growth journey.</t>
  </si>
  <si>
    <t>Identify habits or behaviors that drain your energy and work on replacing them with positive ones.</t>
  </si>
  <si>
    <t>Practice the art of letting go of things that no longer serve your growth and well-being.</t>
  </si>
  <si>
    <t>Explore different relaxation techniques, such as yoga or mindfulness, to manage stress and promote relaxation.</t>
  </si>
  <si>
    <t>Reflect on the role of gratitude in cultivating a positive outlook on life and enhancing happiness.</t>
  </si>
  <si>
    <t>Set specific intentions for your personal development journey and take deliberate steps towards them.</t>
  </si>
  <si>
    <t>Identify your unique strengths and talents, and find ways to utilize them in your daily life.</t>
  </si>
  <si>
    <t>Practice empathy and compassion towards others, seeking to understand their perspectives and feelings.</t>
  </si>
  <si>
    <t>Explore different forms of self-expression, such as journaling or art, to process emotions and experiences.</t>
  </si>
  <si>
    <t>Reflect on your role models and the qualities you admire in them, seeking to embody those qualities in yourself.</t>
  </si>
  <si>
    <t>Set realistic and achievable boundaries with technology to ensure a healthy balance in your life.</t>
  </si>
  <si>
    <t>Identify activities or hobbies that bring you joy and make time for them regularly.</t>
  </si>
  <si>
    <t>Practice assertiveness in communicating your needs and opinions without compromising your values.</t>
  </si>
  <si>
    <t>Explore the impact of positive affirmations in building self-confidence and a positive self-image.</t>
  </si>
  <si>
    <t>Reflect on your life's purpose and explore ways to align your actions with your deeper values.</t>
  </si>
  <si>
    <t>Set a daily or weekly reflection practice to assess your progress and areas for improvement.</t>
  </si>
  <si>
    <t>Identify your limiting beliefs and work on reframing them to support your personal growth.</t>
  </si>
  <si>
    <t>Practice deep breathing exercises to promote relaxation and reduce stress.</t>
  </si>
  <si>
    <t>Explore different forms of creative problem-solving to overcome challenges and find innovative solutions.</t>
  </si>
  <si>
    <t>Reflect on your passions and interests, and consider how you can incorporate them into your career or daily life.</t>
  </si>
  <si>
    <t>Set boundaries with toxic relationships or environments to protect your emotional well-being.</t>
  </si>
  <si>
    <t>Identify the values and principles that guide your decision-making and actions in life.</t>
  </si>
  <si>
    <t>Practice self-discipline in managing your time and resources to achieve your goals.</t>
  </si>
  <si>
    <t>Explore different techniques for enhancing your focus and concentration during tasks and activities.</t>
  </si>
  <si>
    <t>Reflect on past experiences of resilience and perseverance and draw strength from them during tough times.</t>
  </si>
  <si>
    <t>Set specific boundaries with work-related tasks during personal time to maintain a healthy work-life balance.</t>
  </si>
  <si>
    <t>Practice visualization techniques to imagine and manifest your desired future.</t>
  </si>
  <si>
    <t>Reflect on your values and beliefs about money, and explore ways to improve your financial well-being.</t>
  </si>
  <si>
    <t>Identify areas of your life where you struggle with self-discipline, and work on building consistent habits.</t>
  </si>
  <si>
    <t>Practice mindfulness during everyday activities to stay present and fully engaged in the moment.</t>
  </si>
  <si>
    <t>Reflect on the impact of negative self-talk and work on cultivating a more positive inner dialogue.</t>
  </si>
  <si>
    <t>Set boundaries with people who drain your energy and create space for those who uplift and inspire you.</t>
  </si>
  <si>
    <t>Explore the importance of self-care and prioritize activities that nourish your mind, body, and soul.</t>
  </si>
  <si>
    <t>Identify and challenge any self-limiting beliefs about success and your capabilities.</t>
  </si>
  <si>
    <t>Practice gratitude by keeping a daily journal of things you are thankful for.</t>
  </si>
  <si>
    <t>Reflect on your communication style and seek to improve your active listening and empathy skills.</t>
  </si>
  <si>
    <t>Set specific and achievable goals for improving your physical health and well-being.</t>
  </si>
  <si>
    <t>Explore different time management techniques to optimize productivity and reduce procrastination.</t>
  </si>
  <si>
    <t>Reflect on the role of resilience in facing life's challenges and bouncing back from adversity.</t>
  </si>
  <si>
    <t>Identify areas of personal growth that excite and motivate you, and create an action plan to pursue them.</t>
  </si>
  <si>
    <t>Practice mindfulness eating to savor the flavors and be more conscious of your food choices.</t>
  </si>
  <si>
    <t>Reflect on your strengths and weaknesses as a leader, and explore ways to enhance your leadership skills.</t>
  </si>
  <si>
    <t>Set aside time for daily reflection and meditation to gain clarity and perspective on your life's direction.</t>
  </si>
  <si>
    <t>Explore different strategies for managing conflict and improving your conflict resolution skills.</t>
  </si>
  <si>
    <t>Reflect on the importance of self-compassion and treat yourself with the same kindness you offer others.</t>
  </si>
  <si>
    <t>Set boundaries with technology and social media to create a more balanced and focused life.</t>
  </si>
  <si>
    <t>Identify any self-sabotaging behaviors or habits and work on breaking free from them.</t>
  </si>
  <si>
    <t>Practice deep breathing exercises to reduce stress and cultivate a sense of calmness and relaxation.</t>
  </si>
  <si>
    <t>Reflect on the power of positive thinking and its impact on your overall well-being.</t>
  </si>
  <si>
    <t>Set specific boundaries with work-related tasks during personal time to maintain work-life harmony.</t>
  </si>
  <si>
    <t>Explore different methods of meditation and find the one that resonates best with you.</t>
  </si>
  <si>
    <t>Reflect on your past achievements and challenges, and consider the valuable lessons you've learned.</t>
  </si>
  <si>
    <t>Identify your core values and align your actions and decisions with them for greater fulfillment.</t>
  </si>
  <si>
    <t>Practice gratitude and appreciation for the little things that bring joy and happiness into your life.</t>
  </si>
  <si>
    <t>Set realistic expectations for yourself and others, focusing on progress rather than perfection.</t>
  </si>
  <si>
    <t>Explore different ways to foster creativity and innovation in your personal and professional life.</t>
  </si>
  <si>
    <t>Reflect on your fears and insecurities, and work on building self-confidence and self-belief.</t>
  </si>
  <si>
    <t>Identify areas of your life where you seek external validation and work on cultivating self-approval.</t>
  </si>
  <si>
    <t>Practice visualization techniques to manifest your goals and aspirations into reality.</t>
  </si>
  <si>
    <t>Explore different ways to practice self-compassion and be gentler with yourself during tough times.</t>
  </si>
  <si>
    <t>Reflect on the power of self-reflection and its role in personal growth and development.</t>
  </si>
  <si>
    <t>Set specific boundaries with social commitments to prioritize quality time with loved ones.</t>
  </si>
  <si>
    <t>Identify any unresolved issues or past traumas that may be hindering your personal growth.</t>
  </si>
  <si>
    <t>Practice assertiveness in setting boundaries and expressing your needs and wants.</t>
  </si>
  <si>
    <t>Explore different strategies for managing stress and promoting emotional well-being.</t>
  </si>
  <si>
    <t>Reflect on your personal values and how they shape your decisions and actions.</t>
  </si>
  <si>
    <t>Set aside time for regular self-care practices to nurture your mental, emotional, and physical well-being.</t>
  </si>
  <si>
    <t>Identify any negative thought patterns or cognitive distortions, and work on challenging them.</t>
  </si>
  <si>
    <t>Practice mindful breathing exercises to ground yourself in the present moment and reduce anxiety.</t>
  </si>
  <si>
    <t>Reflect on your social connections and seek to build meaningful and supportive relationships.</t>
  </si>
  <si>
    <t>Set specific goals for improving your communication skills and assertiveness.</t>
  </si>
  <si>
    <t>Explore different methods of self-expression, such as writing, art, or dance, to tap into your creativity.</t>
  </si>
  <si>
    <t>Reflect on your passions and interests, and find ways to integrate them into your career or lifestyle.</t>
  </si>
  <si>
    <t>Practice gratitude for the growth and progress you've made on your personal development journey.</t>
  </si>
  <si>
    <t>Set realistic boundaries with work commitments to maintain a healthy work-life integration.</t>
  </si>
  <si>
    <t>Identify any negative habits or addictions and take steps to break free from them.</t>
  </si>
  <si>
    <t>Explore different forms of meditation and mindfulness to enhance your overall well-being.</t>
  </si>
  <si>
    <t>Sustainable Living</t>
  </si>
  <si>
    <t>Evaluate your current energy consumption and identify areas for improvement.</t>
  </si>
  <si>
    <t>Research and implement energy-efficient appliances in your home.</t>
  </si>
  <si>
    <t>Explore solar panel installation and its benefits for renewable energy.</t>
  </si>
  <si>
    <t>Start composting to reduce food waste and create nutrient-rich soil.</t>
  </si>
  <si>
    <t>Reflect on your water usage and find ways to conserve water in daily activities.</t>
  </si>
  <si>
    <t>Install low-flow faucets and showerheads to reduce water consumption.</t>
  </si>
  <si>
    <t>Incorporate more plant-based meals into your diet to reduce your carbon footprint.</t>
  </si>
  <si>
    <t>Support local farmers and buy locally sourced produce to reduce food transportation emissions.</t>
  </si>
  <si>
    <t>Educate yourself on sustainable fishing practices and choose sustainably sourced seafood.</t>
  </si>
  <si>
    <t>Reduce single-use plastic waste by opting for reusable bags, bottles, and containers.</t>
  </si>
  <si>
    <t>Start a home garden to grow your own organic fruits and vegetables.</t>
  </si>
  <si>
    <t>Research sustainable clothing brands and make mindful fashion choices.</t>
  </si>
  <si>
    <t>Practice "reduce, reuse, recycle" by repurposing items and donating gently used belongings.</t>
  </si>
  <si>
    <t>Explore alternative transportation options, such as biking, walking, or using public transit.</t>
  </si>
  <si>
    <t>Calculate your carbon footprint and set goals to reduce it over time.</t>
  </si>
  <si>
    <t>Replace traditional light bulbs with energy-efficient LED bulbs.</t>
  </si>
  <si>
    <t>Invest in a programmable thermostat to optimize energy usage in your home.</t>
  </si>
  <si>
    <t>Support companies with sustainable packaging practices and minimal waste.</t>
  </si>
  <si>
    <t>Educate yourself on eco-friendly cleaning products and make the switch.</t>
  </si>
  <si>
    <t>Reduce paper usage by embracing digital alternatives for note-taking and documentation.</t>
  </si>
  <si>
    <t>Opt for energy-efficient appliances, such as washing machines and refrigerators.</t>
  </si>
  <si>
    <t>Volunteer for local environmental organizations to support sustainable initiatives.</t>
  </si>
  <si>
    <t>Explore the concept of minimalism and declutter your living space.</t>
  </si>
  <si>
    <t>Host clothing swaps or garage sales to give unused items a new life.</t>
  </si>
  <si>
    <t>Install rain barrels to collect and use rainwater for gardening and other non-drinking purposes.</t>
  </si>
  <si>
    <t>Implement water-saving techniques in your garden, such as drip irrigation.</t>
  </si>
  <si>
    <t>Educate yourself on the benefits of upcycling and try your hand at DIY projects.</t>
  </si>
  <si>
    <t>Support sustainable forestry by choosing products with FSC-certified wood.</t>
  </si>
  <si>
    <t>Reduce food waste by planning meals, shopping intentionally, and using leftovers creatively.</t>
  </si>
  <si>
    <t>Learn about the impact of fast fashion and opt for sustainable and ethically made clothing.</t>
  </si>
  <si>
    <t>Practice mindful consumption by questioning the necessity of new purchases.</t>
  </si>
  <si>
    <t>Research green building materials and methods for future home projects.</t>
  </si>
  <si>
    <t>Get involved in local environmental initiatives and community clean-up events.</t>
  </si>
  <si>
    <t>Replace disposable batteries with rechargeable ones to minimize electronic waste.</t>
  </si>
  <si>
    <t>Explore the benefits of renewable energy sources, such as wind or geothermal power.</t>
  </si>
  <si>
    <t>Invest in energy-efficient windows and insulation to reduce heating and cooling costs.</t>
  </si>
  <si>
    <t>Participate in carpooling or ridesharing to decrease emissions from personal vehicles.</t>
  </si>
  <si>
    <t>Advocate for sustainable practices in your workplace and community.</t>
  </si>
  <si>
    <t>Reduce your meat consumption by participating in "Meatless Mondays" or other initiatives.</t>
  </si>
  <si>
    <t>Educate yourself on the impact of palm oil production and support sustainable alternatives.</t>
  </si>
  <si>
    <t>Volunteer for conservation efforts, such as beach clean-ups or wildlife preservation projects.</t>
  </si>
  <si>
    <t>Investigate sustainable alternatives for personal care products and cosmetics.</t>
  </si>
  <si>
    <t>Install a water filtration system to reduce bottled water consumption.</t>
  </si>
  <si>
    <t>Participate in local recycling programs and ensure proper waste separation.</t>
  </si>
  <si>
    <t>Explore eco-friendly home building designs, such as passive houses or earthships.</t>
  </si>
  <si>
    <t>Support circular economy initiatives by purchasing products made from recycled materials.</t>
  </si>
  <si>
    <t>Get involved in community gardening projects to promote local food production.</t>
  </si>
  <si>
    <t>Reflect on your travel habits and seek eco-friendly vacation options, such as ecotourism.</t>
  </si>
  <si>
    <t>Research sustainable alternatives for household cleaning products.</t>
  </si>
  <si>
    <t>Invest in energy-efficient home appliances, like refrigerators and washing machines.</t>
  </si>
  <si>
    <t>Join or start a community composting program to reduce organic waste.</t>
  </si>
  <si>
    <t>Support businesses that prioritize sustainability and environmentally friendly practices.</t>
  </si>
  <si>
    <t>Reduce water waste by fixing leaks and using water-saving devices.</t>
  </si>
  <si>
    <t>Practice "eco-driving" techniques to optimize fuel efficiency while driving.</t>
  </si>
  <si>
    <t>Educate yourself on the environmental impact of food choices and make informed decisions.</t>
  </si>
  <si>
    <t>Replace disposable diapers with cloth diapers to reduce landfill waste.</t>
  </si>
  <si>
    <t>Opt for e-books and digital reading materials to reduce paper consumption.</t>
  </si>
  <si>
    <t>Learn about the benefits of permaculture and apply sustainable gardening techniques.</t>
  </si>
  <si>
    <t>Reflect on your energy usage during peak hours and adjust activities accordingly.</t>
  </si>
  <si>
    <t>Get involved in local tree-planting initiatives to combat deforestation.</t>
  </si>
  <si>
    <t>Support eco-friendly fashion brands that prioritize ethical and sustainable practices.</t>
  </si>
  <si>
    <t>Explore the benefits of buying products in bulk to reduce packaging waste.</t>
  </si>
  <si>
    <t>Use natural and non-toxic cleaning solutions to minimize chemical exposure.</t>
  </si>
  <si>
    <t>Educate yourself on sustainable forestry practices and support certified sustainable wood products.</t>
  </si>
  <si>
    <t>Reduce food waste by freezing leftovers and planning meals in advance.</t>
  </si>
  <si>
    <t>Support businesses that offer product take-back programs for recycling and repurposing.</t>
  </si>
  <si>
    <t>Investigate renewable energy options for your home, such as solar or wind power.</t>
  </si>
  <si>
    <t>Explore the impact of air travel on the environment and consider alternative transportation for shorter distances.</t>
  </si>
  <si>
    <t>Use a water-saving showerhead to reduce water consumption during showers.</t>
  </si>
  <si>
    <t>Implement a "no junk mail" policy to reduce paper waste from unwanted advertisements.</t>
  </si>
  <si>
    <t>Reflect on the environmental impact of your personal care products and opt for eco-friendly alternatives.</t>
  </si>
  <si>
    <t>Start a community garden or participate in local urban farming initiatives.</t>
  </si>
  <si>
    <t>Support eco-conscious companies that offset their carbon emissions.</t>
  </si>
  <si>
    <t>Educate yourself on sustainable fishing practices and choose ethically caught seafood.</t>
  </si>
  <si>
    <t>Practice sustainable landscaping by using native plants and conserving water.</t>
  </si>
  <si>
    <t>Invest in reusable and durable household items to reduce waste from single-use products.</t>
  </si>
  <si>
    <t>Explore renewable energy options for heating and cooling your home.</t>
  </si>
  <si>
    <t>Participate in community clean-up events to keep your neighborhood litter-free.</t>
  </si>
  <si>
    <t>Get involved in tree-planting initiatives to support reforestation efforts.</t>
  </si>
  <si>
    <t>Choose energy-efficient appliances and electronics to reduce electricity consumption.</t>
  </si>
  <si>
    <t>Reflect on your transportation choices and opt for walking or biking when possible.</t>
  </si>
  <si>
    <t>Support eco-friendly tourism by choosing destinations and accommodations that prioritize sustainability.</t>
  </si>
  <si>
    <t>Reduce waste by buying products with minimal or biodegradable packaging.</t>
  </si>
  <si>
    <t>Educate yourself on the environmental impact of palm oil production and support sustainable alternatives.</t>
  </si>
  <si>
    <t>Use eco-friendly laundry detergent and wash clothes in cold water to save energy.</t>
  </si>
  <si>
    <t>Practice sustainable fashion by choosing quality and timeless pieces over fast fashion trends.</t>
  </si>
  <si>
    <t>Explore the benefits of rainwater harvesting for irrigation and household use.</t>
  </si>
  <si>
    <t>Support local farmers' markets and buy fresh produce with minimal transportation impact.</t>
  </si>
  <si>
    <t>Invest in energy-efficient heating and cooling systems for your home.</t>
  </si>
  <si>
    <t>Reflect on the benefits of reducing meat consumption and try adopting a plant-based diet.</t>
  </si>
  <si>
    <t>Participate in "repair cafes" or learn basic repair skills to extend the life of your belongings.</t>
  </si>
  <si>
    <t>Support businesses with eco-friendly packaging and shipping practices.</t>
  </si>
  <si>
    <t>Educate yourself on the impact of microplastics and avoid products with plastic microbeads.</t>
  </si>
  <si>
    <t>Use public transportation or carpool to reduce emissions from personal vehicles.</t>
  </si>
  <si>
    <t>Explore sustainable alternatives for personal hygiene products, such as reusable menstrual products.</t>
  </si>
  <si>
    <t>Practice "mindful eating" by savoring meals and avoiding food waste.</t>
  </si>
  <si>
    <t>Research eco-friendly alternatives for household cleaning products.</t>
  </si>
  <si>
    <t>Install energy-efficient windows and doors to improve insulation in your home.</t>
  </si>
  <si>
    <t>Reflect on the impact of single-use plastics on the environment and make conscious choices to reduce their usage.</t>
  </si>
  <si>
    <t>Participate in beach or river clean-up events to help protect aquatic ecosystems.</t>
  </si>
  <si>
    <t>Reflect on the environmental impact of your daily transportation choices and consider carpooling, biking, or using public transportation more often.</t>
  </si>
  <si>
    <t>Support companies that prioritize sustainable and ethical practices in their supply chains.</t>
  </si>
  <si>
    <t>Educate yourself on the benefits of renewable energy sources, such as wind and geothermal power.</t>
  </si>
  <si>
    <t>Reduce food waste by properly storing and preserving perishable items.</t>
  </si>
  <si>
    <t>Explore the concept of "zero waste" living and implement waste reduction strategies in your daily routine.</t>
  </si>
  <si>
    <t>Support local initiatives for tree planting and urban green spaces.</t>
  </si>
  <si>
    <t>Educate yourself on the environmental impact of the fashion industry and opt for sustainable and ethical clothing brands.</t>
  </si>
  <si>
    <t>Install a programmable thermostat to optimize energy usage and reduce heating and cooling costs.</t>
  </si>
  <si>
    <t>Research sustainable alternatives for personal care products, such as shampoo bars and refillable containers.</t>
  </si>
  <si>
    <t>Participate in community clean-up events to keep public spaces free from litter.</t>
  </si>
  <si>
    <t>Reflect on the ecological impact of your pet's food and consider more sustainable options.</t>
  </si>
  <si>
    <t>Choose energy-efficient appliances and electronics for your home.</t>
  </si>
  <si>
    <t>Support sustainable agriculture practices by buying organic and locally grown produce.</t>
  </si>
  <si>
    <t>Educate yourself on the benefits of renewable energy systems for residential use, such as solar panels and wind turbines.</t>
  </si>
  <si>
    <t>Reduce water waste by fixing leaks and using water-saving devices, such as faucet aerators and low-flow toilets.</t>
  </si>
  <si>
    <t>Explore the impact of fast fashion on the environment and adopt a more mindful approach to clothing consumption.</t>
  </si>
  <si>
    <t>Practice "eco-friendly gardening" by using natural pest control methods and avoiding harmful chemicals.</t>
  </si>
  <si>
    <t>Support organizations that promote sustainable practices and environmental conservation.</t>
  </si>
  <si>
    <t>Educate yourself on the environmental impact of different types of packaging and opt for products with minimal or eco-friendly packaging.</t>
  </si>
  <si>
    <t>Install water-saving features in your home, such as rainwater harvesting systems and greywater recycling.</t>
  </si>
  <si>
    <t>Reflect on your household energy usage and seek ways to reduce energy consumption.</t>
  </si>
  <si>
    <t>Research eco-friendly alternatives for household cleaning products, such as DIY natural cleaners.</t>
  </si>
  <si>
    <t>Participate in local waste reduction programs, such as composting or community recycling initiatives.</t>
  </si>
  <si>
    <t>Support companies that use sustainable and responsibly sourced materials in their products.</t>
  </si>
  <si>
    <t>Educate yourself on the impact of single-use plastics on marine life and oceans, and take steps to reduce plastic usage.</t>
  </si>
  <si>
    <t>Invest in energy-efficient insulation for your home to improve energy conservation.</t>
  </si>
  <si>
    <t>Explore sustainable transportation options, such as electric or hybrid vehicles.</t>
  </si>
  <si>
    <t>Reflect on the environmental impact of your digital habits, such as online shopping and streaming, and seek ways to reduce digital waste.</t>
  </si>
  <si>
    <t>Support eco-friendly tourism by choosing eco-lodges and responsible travel operators.</t>
  </si>
  <si>
    <t>Educate yourself on the concept of "circular economy" and its role in sustainable living.</t>
  </si>
  <si>
    <t>Install a water filter to reduce bottled water consumption and minimize plastic waste.</t>
  </si>
  <si>
    <t>Participate in community gardening projects or start one in your neighborhood.</t>
  </si>
  <si>
    <t>Research sustainable alternatives for household products, such as biodegradable trash bags and reusable food wraps.</t>
  </si>
  <si>
    <t>Reflect on the environmental impact of the products you use and consider repairing or repurposing items before discarding them.</t>
  </si>
  <si>
    <t>Support initiatives for renewable energy research and development.</t>
  </si>
  <si>
    <t>Educate yourself on the importance of biodiversity and ways to protect local ecosystems.</t>
  </si>
  <si>
    <t>Explore the benefits of energy-efficient appliances and lighting, such as LED bulbs.</t>
  </si>
  <si>
    <t>Install a rainwater harvesting system to collect water for outdoor use.</t>
  </si>
  <si>
    <t>Reflect on the environmental impact of the meat industry and explore plant-based protein alternatives.</t>
  </si>
  <si>
    <t>Support local sustainable businesses and artisans in your community.</t>
  </si>
  <si>
    <t>Educate yourself on the impact of food miles and choose locally produced foods when possible.</t>
  </si>
  <si>
    <t>Explore the benefits of sustainable architecture and design for residential and commercial buildings.</t>
  </si>
  <si>
    <t>Install a programmable smart thermostat to optimize energy usage in your home.</t>
  </si>
  <si>
    <t>Reflect on the environmental impact of electronic waste and consider recycling old electronics properly.</t>
  </si>
  <si>
    <t>Support initiatives for renewable energy infrastructure, such as solar and wind farms.</t>
  </si>
  <si>
    <t>Educate yourself on sustainable forestry practices and support products made from responsibly sourced wood.</t>
  </si>
  <si>
    <t>Reflect on your transportation habits and explore car-sharing or ride-sharing options to reduce emissions.</t>
  </si>
  <si>
    <t>Support eco-friendly cleaning products that use natural and biodegradable ingredients.</t>
  </si>
  <si>
    <t>Educate yourself on the benefits of renewable energy sources, such as solar, wind, and geothermal power.</t>
  </si>
  <si>
    <t>Reduce your reliance on single-use plastics by using reusable alternatives, such as stainless steel or glass containers.</t>
  </si>
  <si>
    <t>Support local and sustainable agriculture by purchasing from farmers' markets or participating in community-supported agriculture (CSA) programs.</t>
  </si>
  <si>
    <t>Educate yourself on the environmental impact of different transportation modes, and choose greener options whenever possible.</t>
  </si>
  <si>
    <t>Implement water-saving practices in your home, such as fixing leaks and using a rain barrel to collect water for gardening.</t>
  </si>
  <si>
    <t>Support initiatives that promote reforestation and conservation of natural habitats.</t>
  </si>
  <si>
    <t>Educate yourself on the environmental impact of the fashion industry, and opt for sustainable and ethical clothing brands.</t>
  </si>
  <si>
    <t>Reduce food waste by planning meals, composting food scraps, and donating excess food to local food banks or shelters.</t>
  </si>
  <si>
    <t>Support businesses that prioritize sustainable packaging and take-back programs for recycling and repurposing materials.</t>
  </si>
  <si>
    <t>Educate yourself on the benefits of renewable energy systems, such as solar panels and wind turbines, for residential use.</t>
  </si>
  <si>
    <t>Reflect on the environmental impact of your energy consumption and seek ways to reduce your carbon footprint.</t>
  </si>
  <si>
    <t>Implement energy-saving habits, such as turning off lights and appliances when not in use, to conserve electricity.</t>
  </si>
  <si>
    <t>Support organizations and initiatives that promote sustainability and environmental conservation.</t>
  </si>
  <si>
    <t>Creative Writing</t>
  </si>
  <si>
    <t>Write a story about a character who discovers a hidden magical world inside an ordinary household item.</t>
  </si>
  <si>
    <t>Create a poem based on the emotions evoked by a specific piece of artwork or photograph.</t>
  </si>
  <si>
    <t>Write a suspenseful short story about a detective trying to solve a mysterious disappearance.</t>
  </si>
  <si>
    <t>Craft a dystopian tale set in a future where creativity and imagination are outlawed.</t>
  </si>
  <si>
    <t>Describe a vivid dream and transform it into a surreal and imaginative narrative.</t>
  </si>
  <si>
    <t>Write a dialogue between two characters who have opposing views on a controversial topic.</t>
  </si>
  <si>
    <t>Create a myth or legend about the origins of a natural phenomenon or celestial body.</t>
  </si>
  <si>
    <t>Develop a character who possesses the power to manipulate time and explore the consequences of their actions.</t>
  </si>
  <si>
    <t>Write a letter from a fictional character to their future self, reflecting on their life's journey.</t>
  </si>
  <si>
    <t>Craft a fairy tale with a twist, subverting traditional roles and expectations.</t>
  </si>
  <si>
    <t>Describe a breathtaking landscape and use vivid imagery to transport readers into the scene.</t>
  </si>
  <si>
    <t>Write a flash fiction piece that takes place entirely within an elevator ride, exploring the interactions between passengers.</t>
  </si>
  <si>
    <t>Create a story where the protagonist discovers a long-lost family secret with far-reaching consequences.</t>
  </si>
  <si>
    <t>Write a poem or story inspired by the changing seasons and the beauty of nature.</t>
  </si>
  <si>
    <t>Craft a dialogue-driven scene between two characters who have just met for the first time.</t>
  </si>
  <si>
    <t>Develop a short story about a person who can communicate with animals and their adventures in the animal kingdom.</t>
  </si>
  <si>
    <t>Write a futuristic sci-fi story about a society heavily reliant on technology and its impact on human connections.</t>
  </si>
  <si>
    <t>Create a horror story centered around a haunted object with a dark and mysterious past.</t>
  </si>
  <si>
    <t>Write a letter from a fictional character to a historical figure, discussing their shared interests or experiences.</t>
  </si>
  <si>
    <t>Craft a coming-of-age story about a teenager's journey of self-discovery and growth.</t>
  </si>
  <si>
    <t>Write a poem celebrating the beauty of language and the power of storytelling.</t>
  </si>
  <si>
    <t>Create a mystery story where the main character is an amateur detective solving a puzzling crime in their neighborhood.</t>
  </si>
  <si>
    <t>Develop a fantasy world with its own unique creatures, cultures, and magical elements.</t>
  </si>
  <si>
    <t>Write a dialogue between two characters who have vastly different personalities and clash throughout the conversation.</t>
  </si>
  <si>
    <t>Craft a story about a person who gains the ability to relive moments from their past and how it shapes their present.</t>
  </si>
  <si>
    <t>Create a poem or story that explores the concept of dreams and the line between reality and fantasy.</t>
  </si>
  <si>
    <t>Write a romantic tale set in a picturesque location, emphasizing the emotions and connections between the characters.</t>
  </si>
  <si>
    <t>Develop a science fiction story where humans have colonized distant planets, and the protagonist encounters an alien civilization.</t>
  </si>
  <si>
    <t>Craft a humorous story about a group of quirky characters coming together for an unusual event or adventure.</t>
  </si>
  <si>
    <t>Write a reflective poem or story about the passage of time and the inevitability of change.</t>
  </si>
  <si>
    <t>Create a story where the main character inherits an old bookstore and discovers magical books within its shelves.</t>
  </si>
  <si>
    <t>Develop a dialogue-driven scene between a parent and child, exploring their complex relationship.</t>
  </si>
  <si>
    <t>Write a mythological tale based on a lesser-known deity or supernatural being from a specific culture.</t>
  </si>
  <si>
    <t>Craft a psychological thriller about a character grappling with their deepest fears and desires.</t>
  </si>
  <si>
    <t>Create a poem that uses vivid sensory details to describe a favorite childhood memory.</t>
  </si>
  <si>
    <t>Write a story about a group of friends who stumble upon a hidden portal leading to a parallel universe.</t>
  </si>
  <si>
    <t>Develop a historical fiction piece set in a specific era, incorporating real events and characters into the narrative.</t>
  </si>
  <si>
    <t>Craft a tale about a person who possesses the power of immortality and the challenges they face over the centuries.</t>
  </si>
  <si>
    <t>Write a dialogue between two characters who are stranded on a desert island, exploring their survival strategies and conflicts.</t>
  </si>
  <si>
    <t>Create a poem or story about a character who discovers a lost treasure and its significance in their life.</t>
  </si>
  <si>
    <t>Develop a fictional travel journal detailing an adventurous journey through an imaginary land.</t>
  </si>
  <si>
    <t>Write a story where the protagonist has the ability to see into the future but struggles with the burden of this knowledge.</t>
  </si>
  <si>
    <t>Craft a dialogue-driven scene between two old friends reuniting after many years apart.</t>
  </si>
  <si>
    <t>Create a futuristic sci-fi story about a society where emotions are controlled and the consequences of rebellion.</t>
  </si>
  <si>
    <t>Write a poem or story about the transformative power of love and its impact on characters' lives.</t>
  </si>
  <si>
    <t>Develop a fantasy story where magical creatures coexist with humans, and a conflict arises between the two worlds.</t>
  </si>
  <si>
    <t>Craft a mystery tale set in a grand mansion, where the main character must uncover hidden secrets among the residents.</t>
  </si>
  <si>
    <t>Write a poem or story inspired by a specific song or piece of music, capturing its essence and emotions.</t>
  </si>
  <si>
    <t>Create a suspenseful thriller about a character who receives mysterious and threatening messages, leading them on a chase to uncover the sender's identity.</t>
  </si>
  <si>
    <t>Craft an allegorical story that addresses contemporary social or political issues through fictional characters and settings.</t>
  </si>
  <si>
    <t>Write a story about a person who wakes up one day with the ability to speak and understand every language in the world.</t>
  </si>
  <si>
    <t>Craft a poem or story inspired by a celestial event, such as a meteor shower or a lunar eclipse.</t>
  </si>
  <si>
    <t>Create a thriller set in a small, isolated town where the residents harbor dark secrets.</t>
  </si>
  <si>
    <t>Develop a sci-fi story about a time-traveling explorer who visits significant moments in history.</t>
  </si>
  <si>
    <t>Write a character-driven drama centered around a family reunion with long-buried tensions and conflicts resurfacing.</t>
  </si>
  <si>
    <t>Craft a fantasy tale about a group of unlikely heroes on a quest to save their world from an ancient evil.</t>
  </si>
  <si>
    <t>Create a poem that explores the intricacies of human emotions, drawing inspiration from different colors.</t>
  </si>
  <si>
    <t>Write a story about a person who discovers they have the power to enter and explore their own dreams.</t>
  </si>
  <si>
    <t>Develop a dystopian society where books and literature are banned, and a group of rebels seeks to preserve knowledge.</t>
  </si>
  <si>
    <t>Craft a dialogue-driven scene between two former friends who reconnect after a falling-out many years ago.</t>
  </si>
  <si>
    <t>Write a story set in a futuristic world where artificial intelligence and humans coexist, exploring the challenges and benefits of this relationship.</t>
  </si>
  <si>
    <t>Create a poem or story about a forgotten historical event or figure, shedding light on their significance.</t>
  </si>
  <si>
    <t>Develop a mystery story revolving around a stolen piece of artwork with unexpected twists and turns.</t>
  </si>
  <si>
    <t>Write a tale about a character who can manipulate the elements (earth, air, water, fire) and their journey to master these abilities.</t>
  </si>
  <si>
    <t>Craft a sci-fi story about a person who wakes up in an unfamiliar spaceship with no memory of how they got there.</t>
  </si>
  <si>
    <t>Create a poem or story inspired by the concept of "lost time" and the yearning to reclaim moments from the past.</t>
  </si>
  <si>
    <t>Write a magical realism piece where the lines between reality and the supernatural blur, leading to unexpected consequences.</t>
  </si>
  <si>
    <t>Develop a thriller set in a remote cabin in the woods, where a group of friends encounters an unknown danger.</t>
  </si>
  <si>
    <t>Craft a dialogue-driven scene between two strangers who meet on a long train journey and form an unlikely connection.</t>
  </si>
  <si>
    <t>Write a story about a protagonist who gains the ability to see glimpses of the future but struggles to interpret the visions accurately.</t>
  </si>
  <si>
    <t>Create a poem or story based on a folklore or myth from a culture other than your own.</t>
  </si>
  <si>
    <t>Develop a sci-fi adventure about a space crew exploring a distant planet and encountering extraterrestrial life.</t>
  </si>
  <si>
    <t>Write a character-driven drama about the complexities of family relationships and the impact of past decisions on the present.</t>
  </si>
  <si>
    <t>Craft a mystery story set in a sprawling mansion, where the main character must solve a series of puzzles left by the enigmatic owner.</t>
  </si>
  <si>
    <t>Create a poem or story about a character who can manipulate dreams and uses this power to help others.</t>
  </si>
  <si>
    <t>Write a tale about a parallel universe where everything is opposite, and the protagonist must navigate this inverted reality.</t>
  </si>
  <si>
    <t>Develop a sci-fi thriller set on a generation ship traveling through space, where dark secrets about the mission emerge.</t>
  </si>
  <si>
    <t>Craft a dialogue-driven scene between two characters who meet at a masquerade ball, unaware of each other's identities.</t>
  </si>
  <si>
    <t>Write a story about a person who wakes up with amnesia and must piece together their identity and past.</t>
  </si>
  <si>
    <t>Create a poem or story about the passage of time and the fleeting nature of memories.</t>
  </si>
  <si>
    <t>Develop a fantasy quest where the main character must retrieve a lost artifact to save their kingdom.</t>
  </si>
  <si>
    <t>Write a historical fiction piece about a little-known event that had a significant impact on the course of history.</t>
  </si>
  <si>
    <t>Craft a dialogue-driven scene between two rivals who are forced to work together to achieve a common goal.</t>
  </si>
  <si>
    <t>Create a sci-fi story about a futuristic amusement park with virtual reality attractions that become a reality.</t>
  </si>
  <si>
    <t>Write a story about a person who can communicate with animals and becomes a mediator between humans and wildlife.</t>
  </si>
  <si>
    <t>Develop a mystery set in a remote village, where the protagonist unravels the secrets of the tight-knit community.</t>
  </si>
  <si>
    <t>Craft a poem or story about a character who possesses the power of healing and the moral dilemmas they face.</t>
  </si>
  <si>
    <t>Write a tale about a person who can manipulate emotions and uses this ability to influence others.</t>
  </si>
  <si>
    <t>Create a fantasy world where dreams and nightmares are tangible and have an impact on reality.</t>
  </si>
  <si>
    <t>Develop a sci-fi story about a character who wakes up in a cloning facility and must uncover their true identity.</t>
  </si>
  <si>
    <t>Write a story about a person who discovers a mysterious door that leads to different places and times.</t>
  </si>
  <si>
    <t>Craft a dialogue-driven scene between a mentor and a protégé, passing on knowledge and life lessons.</t>
  </si>
  <si>
    <t>Create a poem or story inspired by a famous work of art, reimagining its narrative and emotions.</t>
  </si>
  <si>
    <t>Develop a post-apocalyptic world where nature has reclaimed the urban landscape, and survivors adapt to the new reality.</t>
  </si>
  <si>
    <t>Write a tale about a person who gains the power of invisibility and the ethical dilemmas they face in using this ability.</t>
  </si>
  <si>
    <t>Craft a mystery story set in a bustling city, where the main character investigates a series of thefts.</t>
  </si>
  <si>
    <t>Create a poem or story about a character who experiences time looping, reliving the same day repeatedly.</t>
  </si>
  <si>
    <t>Write a story about a person who can travel through mirrors and discovers a hidden dimension beyond reflection.</t>
  </si>
  <si>
    <t>Develop a fantasy adventure about a group of adventurers seeking to unlock the mysteries of an ancient artifact.</t>
  </si>
  <si>
    <t>Craft a dialogue-driven scene between two old enemies who must set aside their differences to face a common threat.</t>
  </si>
  <si>
    <t>Write a story about a character who wakes up in a world where everyone's roles and identities have been switched.</t>
  </si>
  <si>
    <t>Craft a poem or story inspired by the changing seasons and its impact on human emotions and relationships.</t>
  </si>
  <si>
    <t>Create a thriller set in a remote village where the residents harbor a dark and supernatural secret.</t>
  </si>
  <si>
    <t>Develop a sci-fi story where advanced technology allows people to upload their consciousness into virtual worlds.</t>
  </si>
  <si>
    <t>Write a character-driven drama about a person coping with memory loss and rediscovering their past.</t>
  </si>
  <si>
    <t>Craft a fantasy tale about a character who must gather a set of magical artifacts to prevent an impending catastrophe.</t>
  </si>
  <si>
    <t>Create a poem or story about a group of friends embarking on a life-changing road trip together.</t>
  </si>
  <si>
    <t>Develop a mystery story set in a bustling metropolis, where the main character unravels a series of art heists.</t>
  </si>
  <si>
    <t>Write a story about a person who stumbles upon a hidden library containing books with untold stories from parallel dimensions.</t>
  </si>
  <si>
    <t>Craft a dialogue-driven scene between two characters who meet in an unexpected location, such as an abandoned amusement park.</t>
  </si>
  <si>
    <t>Create a historical fiction piece set in an ancient civilization, exploring the daily life and customs of its inhabitants.</t>
  </si>
  <si>
    <t>Write a tale about a protagonist who can manipulate sound and uses it to communicate with animals and control elements.</t>
  </si>
  <si>
    <t>Develop a sci-fi adventure where a group of astronauts discovers a mysterious ancient spacecraft on an uncharted planet.</t>
  </si>
  <si>
    <t>Craft a poem or story about a character who experiences vivid dreams that blur the line between reality and fantasy.</t>
  </si>
  <si>
    <t>Write a story about a person who can see people's auras and uses this ability to understand their emotions and intentions.</t>
  </si>
  <si>
    <t>Create a fantasy world where music has magical properties, and bards are the most powerful beings in the realm.</t>
  </si>
  <si>
    <t>Develop a thriller about a person who receives anonymous letters that predict events in their life with uncanny accuracy.</t>
  </si>
  <si>
    <t>Craft a dialogue-driven scene between two supernatural beings from different mythologies who meet in a neutral realm.</t>
  </si>
  <si>
    <t>Write a tale about a character who discovers a hidden underground society living beneath a bustling city.</t>
  </si>
  <si>
    <t>Create a poem or story about the enigmatic beauty and dangers of the deep ocean.</t>
  </si>
  <si>
    <t>Develop a mystery story where the main character investigates a series of disappearances at an isolated mountain retreat.</t>
  </si>
  <si>
    <t>Write a story about a person who gains the power to manipulate shadows and uses it to protect the innocent.</t>
  </si>
  <si>
    <t>Craft a magical realism piece where a character inherits a mysterious object with transformative properties.</t>
  </si>
  <si>
    <t>Create a sci-fi adventure where a group of explorers encounters an ancient alien civilization on a distant planet.</t>
  </si>
  <si>
    <t>Write a dialogue-driven scene between two characters with opposing philosophies on the nature of reality and existence.</t>
  </si>
  <si>
    <t>Develop a historical fiction piece about an unsolved mystery or conspiracy from a specific era.</t>
  </si>
  <si>
    <t>Craft a poem or story about the beauty and fragility of life in a forgotten garden.</t>
  </si>
  <si>
    <t>Write a story about a protagonist who discovers they can communicate with mythical creatures in the wild.</t>
  </si>
  <si>
    <t>Create a dystopian world where books and knowledge are outlawed, and a group of rebels seeks to preserve written history.</t>
  </si>
  <si>
    <t>Develop a thriller set on a cruise ship, where the main character must solve a series of mysterious incidents.</t>
  </si>
  <si>
    <t>Craft a dialogue-driven scene between two friends who reunite after a long time apart and confront unresolved issues.</t>
  </si>
  <si>
    <t>Write a tale about a person who gains the ability to time-travel through books and explore different eras and worlds.</t>
  </si>
  <si>
    <t>Create a poem or story about a character who has visions of the future but struggles to prevent the foreseen events.</t>
  </si>
  <si>
    <t>Develop a fantasy quest where the main character must retrieve a powerful artifact stolen by a cunning thief.</t>
  </si>
  <si>
    <t>Craft a mystery story set in a quaint village, where the protagonist uncovers the truth behind a legendary ghost.</t>
  </si>
  <si>
    <t>Write a story about a person who can communicate with plants and uses this gift to heal and protect nature.</t>
  </si>
  <si>
    <t>Create a sci-fi adventure where a group of space explorers encounters a sentient alien species with a unique culture.</t>
  </si>
  <si>
    <t>Develop a thriller about a person who receives anonymous packages containing cryptic clues to a long-buried secret.</t>
  </si>
  <si>
    <t>Craft a poem or story about a character who lives in a city of floating islands and travels between them using airships.</t>
  </si>
  <si>
    <t>Write a tale about a person who gains the power of telekinesis and must learn to control this newfound ability.</t>
  </si>
  <si>
    <t>Create a magical realism piece where a character discovers they can bring their vivid dreams to life.</t>
  </si>
  <si>
    <t>Develop a sci-fi story about a virtual reality game that blurs the line between the digital world and reality.</t>
  </si>
  <si>
    <t>Craft a dialogue-driven scene between two characters who meet at a masquerade ball and form an unexpected connection.</t>
  </si>
  <si>
    <t>Write a story about a person who inherits an old mansion with a hidden library containing enchanted books.</t>
  </si>
  <si>
    <t>Create a poem or story inspired by the folklore of mythical creatures, such as dragons or phoenixes.</t>
  </si>
  <si>
    <t>Develop a mystery set in a sleepy coastal town, where the main character unravels a series of disappearances.</t>
  </si>
  <si>
    <t>Craft a tale about a character who can manipulate weather patterns and uses this power to protect their community.</t>
  </si>
  <si>
    <t>Write a story about a person who can see people's destinies but must grapple with the ethical implications of interfering.</t>
  </si>
  <si>
    <t>Create a fantasy adventure where a group of travelers explores the depths of a magical forest with sentient trees.</t>
  </si>
  <si>
    <t>Develop a sci-fi thriller where the protagonist discovers a hidden government experiment involving mind control.</t>
  </si>
  <si>
    <t>Craft a dialogue-driven scene between two rivals forced to work together to overcome a mutual enemy.</t>
  </si>
  <si>
    <t>Write a character-driven drama about a person's journey of self-discovery after a life-changing event.</t>
  </si>
  <si>
    <t>Create a poem or story inspired by the beauty and tranquility of a starry night sky.</t>
  </si>
  <si>
    <t>Develop a mystery story set in an ancient temple, where the main character unravels clues left by an enigmatic order.</t>
  </si>
  <si>
    <t>Craft a fantasy tale about a person who can transform into different animals and uses this gift to protect the wilderness.</t>
  </si>
  <si>
    <t>Write a story about a protagonist who can communicate with ghosts and helps them resolve unfinished business.</t>
  </si>
  <si>
    <t>Create a magical realism piece where a character discovers they can hear the thoughts of inanimate objects.</t>
  </si>
  <si>
    <t>Develop a thriller set in a remote mountain lodge, where the main character investigates a series of strange occurrences.</t>
  </si>
  <si>
    <t>Craft a poem or story about a character who can manipulate dreams and enters the dream world to confront nightmares.</t>
  </si>
  <si>
    <t>Write a tale about a person who gains the ability to control fire and uses it to defend their community.</t>
  </si>
  <si>
    <t>Create a sci-fi adventure where a team of explorers investigates an abandoned spaceship drifting in space.</t>
  </si>
  <si>
    <t>Develop a mystery story where the protagonist receives anonymous messages leading them on a dangerous quest.</t>
  </si>
  <si>
    <t>Craft a dialogue-driven scene between two characters from rival factions, seeking common ground for peace.</t>
  </si>
  <si>
    <t>Write a story about a person who can enter paintings and interact with the depicted world.</t>
  </si>
  <si>
    <t>Create a poem or story inspired by the majesty and mystery of ancient ruins.</t>
  </si>
  <si>
    <t>Develop a fantasy quest where the main character must retrieve stolen relics from different mythological realms.</t>
  </si>
  <si>
    <t>Craft a thriller set in a futuristic city, where the main character uncovers a government conspiracy.</t>
  </si>
  <si>
    <t>Write a tale about a character who possesses the ability to teleport to any place they have visited before.</t>
  </si>
  <si>
    <t>Create a magical realism piece where a character discovers a secret portal to a realm of forgotten memories.</t>
  </si>
  <si>
    <t>Develop a sci-fi story about a character who gains the power to manipulate gravity and its impact on the world.</t>
  </si>
  <si>
    <t>Craft a mystery story set in a secluded village, where the main character investigates a series of strange occurrences.</t>
  </si>
  <si>
    <t>Write a story about a person who can communicate with animals through a unique form of telepathy.</t>
  </si>
  <si>
    <t>Create a poem or story about a character who possesses the gift of immortality and the burden it carries.</t>
  </si>
  <si>
    <t>Develop a fantasy adventure where a group of heroes embarks on a quest to restore the balance of magic in the world.</t>
  </si>
  <si>
    <t>Craft a dialogue-driven scene between two time travelers from different eras who meet accidentally.</t>
  </si>
  <si>
    <t>Write a character-driven drama about a person's struggle with a secret identity or hidden past.</t>
  </si>
  <si>
    <t>Create a sci-fi story about a futuristic society where memories can be shared and manipulated.</t>
  </si>
  <si>
    <t>Develop a mystery set in a grand estate, where the main character must solve a series of thefts during an extravagant gala.</t>
  </si>
  <si>
    <t>Craft a poem or story about a character who possesses the gift of prophecy but can only see fragments of the future.</t>
  </si>
  <si>
    <t>Write a story about a person who discovers they have the power to control and manipulate plant life.</t>
  </si>
  <si>
    <t>Create a magical realism piece where a character finds an enchanted book that can alter reality when written in.</t>
  </si>
  <si>
    <t>Develop a thriller set in a labyrinthine underground city, where the main character must escape and uncover its secrets.</t>
  </si>
  <si>
    <t>Craft a dialogue-driven scene between two characters who meet in a dream realm and navigate its surreal landscape.</t>
  </si>
  <si>
    <t>Write a tale about a protagonist who discovers they have the ability to heal others with a simple touch.</t>
  </si>
  <si>
    <t>Create a fantasy world where each person is born with a unique mark that grants them a specific power.</t>
  </si>
  <si>
    <t>Develop a sci-fi adventure where a group of explorers encounters a sentient artificial intelligence seeking to understand humanity.</t>
  </si>
  <si>
    <t>Craft a mystery story about a detective investigating a series of bizarre occurrences in a quaint village.</t>
  </si>
  <si>
    <t>Write a story about a person who can manipulate the flow of time and uses this power to prevent disasters.</t>
  </si>
  <si>
    <t>Create a poem or story inspired by the beauty and wonder of bioluminescent creatures in the depths of the ocean.</t>
  </si>
  <si>
    <t>Develop a thriller about a character who becomes entangled in a dangerous game of espionage and secrets.</t>
  </si>
  <si>
    <t>Craft a dialogue-driven scene between two characters who meet on a deserted island and form an unexpected bond.</t>
  </si>
  <si>
    <t>Write a character-driven drama about a person who embarks on a journey of self-discovery in a foreign land.</t>
  </si>
  <si>
    <t>Create a sci-fi story about a space crew investigating a mysterious signal from a distant and uncharted planet.</t>
  </si>
  <si>
    <t>Develop a mystery set in a steampunk city, where the main character unravels a series of mechanical puzzles.</t>
  </si>
  <si>
    <t>Craft a poem or story about a character who can manipulate the elements (earth, air, water, fire) but at a great cost.</t>
  </si>
  <si>
    <t>Write a story about a person who can communicate with birds and uses this gift to understand nature's messages.</t>
  </si>
  <si>
    <t>Create a magical realism piece where a character gains the ability to hear the thoughts of people in photographs.</t>
  </si>
  <si>
    <t>Develop a thriller set in a futuristic cyberpunk city, where the main character uncovers a conspiracy involving virtual reality.</t>
  </si>
  <si>
    <t>Craft a fantasy adventure about a group of adventurers exploring a maze-like enchanted forest.</t>
  </si>
  <si>
    <t>Write a tale about a character who can enter other people's dreams and influence their subconscious minds.</t>
  </si>
  <si>
    <t>Mindful Parenting</t>
  </si>
  <si>
    <t>Describe a moment when you practiced mindfulness while interacting with your child.</t>
  </si>
  <si>
    <t>Reflect on a challenging parenting situation and how approaching it mindfully made a difference.</t>
  </si>
  <si>
    <t>Write about a mindfulness activity you and your child enjoy doing together.</t>
  </si>
  <si>
    <t>How does mindfulness help you cultivate patience in parenting?</t>
  </si>
  <si>
    <t>Explore how being present in everyday moments with your child enhances your bond.</t>
  </si>
  <si>
    <t>Write about a time when you used mindful breathing to calm yourself during a parenting challenge.</t>
  </si>
  <si>
    <t>How do you incorporate mindfulness into your family's daily routines?</t>
  </si>
  <si>
    <t>Describe a mindful listening exercise you've done with your child to improve communication.</t>
  </si>
  <si>
    <t>Reflect on how mindfulness has helped you better understand your child's emotions and needs.</t>
  </si>
  <si>
    <t>Write about a mindful mealtime experience with your family and its impact on connection.</t>
  </si>
  <si>
    <t>Explore the benefits of mindful playtime and how it nurtures creativity and imagination.</t>
  </si>
  <si>
    <t>Describe a nature-based mindfulness activity you've practiced with your child.</t>
  </si>
  <si>
    <t>Reflect on the role of gratitude in mindful parenting and its positive effects on family dynamics.</t>
  </si>
  <si>
    <t>Write about how you teach your child to manage emotions through mindful practices.</t>
  </si>
  <si>
    <t>Explore the concept of "taking a mindful pause" when faced with parenting challenges.</t>
  </si>
  <si>
    <t>Describe a bedtime mindfulness routine you've implemented with your child for better sleep.</t>
  </si>
  <si>
    <t>Reflect on how mindful discipline and setting boundaries can be more effective in parenting.</t>
  </si>
  <si>
    <t>Write about the importance of self-care and mindfulness for parents to be present for their children.</t>
  </si>
  <si>
    <t>Explore how mindfulness practices have helped you and your child cope with stress and anxiety.</t>
  </si>
  <si>
    <t>Describe a family mindfulness practice that brings a sense of unity and harmony.</t>
  </si>
  <si>
    <t>Reflect on how you encourage mindfulness in your child's daily activities and choices.</t>
  </si>
  <si>
    <t>Write about a mindful walking exercise you've done together, appreciating the present moment.</t>
  </si>
  <si>
    <t>Explore the concept of "mindful transitions" and how it eases your child's transitions throughout the day.</t>
  </si>
  <si>
    <t>Describe a mindful listening activity where you and your child appreciate sounds in your environment.</t>
  </si>
  <si>
    <t>Reflect on the power of modeling mindfulness for your child and its impact on their development.</t>
  </si>
  <si>
    <t>Write about incorporating mindfulness into learning and homework routines with your child.</t>
  </si>
  <si>
    <t>Explore how mindfulness has helped you handle conflicts and promote peaceful resolutions.</t>
  </si>
  <si>
    <t>Describe a mindfulness-based gratitude practice you've introduced to your family.</t>
  </si>
  <si>
    <t>Reflect on how you use mindfulness to encourage open and honest communication with your child.</t>
  </si>
  <si>
    <t>Write about a mindful visualization exercise you've done together to foster positive intentions.</t>
  </si>
  <si>
    <t>Reflect on a mindful parenting moment that brought you a sense of joy and connection with your child.</t>
  </si>
  <si>
    <t>Describe a mindfulness activity you do with your child to help them manage stress and emotions.</t>
  </si>
  <si>
    <t>Explore how practicing mindfulness together strengthens the parent-child bond.</t>
  </si>
  <si>
    <t>Write about the role of mindfulness in promoting empathy and understanding in your family.</t>
  </si>
  <si>
    <t>Reflect on the benefits of mindful breathing exercises for both you and your child.</t>
  </si>
  <si>
    <t>Describe a mindful eating activity you've done with your child to cultivate healthy habits.</t>
  </si>
  <si>
    <t>Write about how mindfulness has helped you become a more patient and present parent.</t>
  </si>
  <si>
    <t>Explore how mindfulness supports your child's emotional intelligence and self-awareness.</t>
  </si>
  <si>
    <t>Reflect on the impact of mindful listening on your communication with your child.</t>
  </si>
  <si>
    <t>Describe a mindful nature walk you've taken with your child, noticing the beauty of the outdoors.</t>
  </si>
  <si>
    <t>Write about the role of mindfulness in setting positive intentions for your parenting journey.</t>
  </si>
  <si>
    <t>Explore the concept of "mindful pauses" and how they help you respond to parenting challenges.</t>
  </si>
  <si>
    <t>Reflect on how mindfulness helps you appreciate the little moments with your child.</t>
  </si>
  <si>
    <t>Describe a mindfulness-based bedtime routine that promotes relaxation and restful sleep.</t>
  </si>
  <si>
    <t>Write about the benefits of mindful playtime in fostering creativity and imagination.</t>
  </si>
  <si>
    <t>Explore how mindfulness enhances your ability to be fully present in family activities.</t>
  </si>
  <si>
    <t>Reflect on the role of gratitude in mindful parenting and its impact on family dynamics.</t>
  </si>
  <si>
    <t>Describe a mindful journaling practice you and your child have done to express emotions.</t>
  </si>
  <si>
    <t>Write about the mindfulness techniques you use to cope with parental stress.</t>
  </si>
  <si>
    <t>Explore the concept of "mindful screen time" and its effects on your child's well-being.</t>
  </si>
  <si>
    <t>Reflect on the power of mindfulness in building resilience and adaptability in your child.</t>
  </si>
  <si>
    <t>Describe a mindful meal preparation activity you've done with your child, appreciating the process.</t>
  </si>
  <si>
    <t>Write about how mindfulness helps you maintain a positive and compassionate parenting approach.</t>
  </si>
  <si>
    <t>Explore how mindfulness supports your child's focus and attention in daily activities.</t>
  </si>
  <si>
    <t>Reflect on the benefits of mindful transitions for smoother daily routines with your child.</t>
  </si>
  <si>
    <t>Describe a mindfulness-based art activity that encourages self-expression in your child.</t>
  </si>
  <si>
    <t>Write about how mindful listening strengthens your connection with your child's feelings and thoughts.</t>
  </si>
  <si>
    <t>Explore the role of mindfulness in fostering emotional regulation in your child.</t>
  </si>
  <si>
    <t>Reflect on the positive effects of mindfulness on your child's overall well-being.</t>
  </si>
  <si>
    <t>Describe a mindful exercise or yoga practice you and your child enjoy together.</t>
  </si>
  <si>
    <t>Write about the importance of self-compassion in mindful parenting and modeling it for your child.</t>
  </si>
  <si>
    <t>Explore how mindfulness helps you stay present during challenging parenting moments.</t>
  </si>
  <si>
    <t>Reflect on a mindful breathing technique you've taught your child to use when feeling overwhelmed.</t>
  </si>
  <si>
    <t>Describe a mindful storytelling activity that teaches valuable life lessons to your child.</t>
  </si>
  <si>
    <t>Write about the benefits of mindfulness in nurturing a positive parent-child relationship.</t>
  </si>
  <si>
    <t>Explore how mindfulness enhances your child's sense of gratitude and appreciation.</t>
  </si>
  <si>
    <t>Reflect on a mindfulness-based family ritual that promotes peace and connection.</t>
  </si>
  <si>
    <t>Describe a mindful meditation practice you and your child incorporate into your day.</t>
  </si>
  <si>
    <t>Write about the role of mindfulness in cultivating resilience during difficult times.</t>
  </si>
  <si>
    <t>Explore how mindfulness supports your child's self-confidence and self-esteem.</t>
  </si>
  <si>
    <t>Reflect on the positive impact of mindful play on your child's social interactions.</t>
  </si>
  <si>
    <t>Describe a mindful breathing technique that helps both you and your child relax and unwind.</t>
  </si>
  <si>
    <t>Write about how mindfulness enhances your ability to be a compassionate and understanding parent.</t>
  </si>
  <si>
    <t>Explore the benefits of incorporating mindfulness into educational activities with your child.</t>
  </si>
  <si>
    <t>Reflect on the role of mindfulness in helping your child manage their emotions during transitions.</t>
  </si>
  <si>
    <t>Describe a mindfulness-based exercise that encourages gratitude and appreciation in your family.</t>
  </si>
  <si>
    <t>Write about the power of mindfulness in building a nurturing and supportive family environment.</t>
  </si>
  <si>
    <t>Explore how mindfulness helps you be more attuned to your child's needs and emotions.</t>
  </si>
  <si>
    <t>Reflect on the positive effects of mindfulness on your child's ability to focus and concentrate.</t>
  </si>
  <si>
    <t>Describe a mindful movement activity you do with your child to stay active and present.</t>
  </si>
  <si>
    <t>Write about the benefits of practicing mindfulness in nature with your child.</t>
  </si>
  <si>
    <t>Explore how mindfulness supports your child's empathy and understanding of others.</t>
  </si>
  <si>
    <t>Reflect on a mindful eating practice that encourages mindful choices and appreciation of food.</t>
  </si>
  <si>
    <t>Describe a mindful gratitude jar activity where your family expresses appreciation for each other.</t>
  </si>
  <si>
    <t>Write about the role of mindfulness in promoting positive discipline and effective communication.</t>
  </si>
  <si>
    <t>Explore how mindfulness helps you and your child cope with challenging emotions and conflicts.</t>
  </si>
  <si>
    <t>Reflect on a mindful bedtime story ritual that promotes relaxation and peaceful sleep.</t>
  </si>
  <si>
    <t>Describe a mindfulness-based art therapy exercise you've done with your child to express feelings.</t>
  </si>
  <si>
    <t>Write about the positive effects of mindfulness on your child's overall happiness and well-being.</t>
  </si>
  <si>
    <t>Explore how mindfulness helps you and your child stay centered and calm in busy moments.</t>
  </si>
  <si>
    <t>Reflect on the role of mindfulness in encouraging curiosity and exploration in your child.</t>
  </si>
  <si>
    <t>Describe a mindful meditation practice that enhances your child's ability to focus and concentrate.</t>
  </si>
  <si>
    <t>Write about the power of mindfulness in nurturing resilience and adaptability in your family.</t>
  </si>
  <si>
    <t>Explore how mindfulness supports your child's social-emotional development and relationships.</t>
  </si>
  <si>
    <t>Reflect on a mindful breathing technique that helps your family manage stress and anxiety.</t>
  </si>
  <si>
    <t>Describe a mindfulness-based activity that promotes family unity and cooperation.</t>
  </si>
  <si>
    <t>Write about the benefits of incorporating mindfulness into daily chores and routines with your child.</t>
  </si>
  <si>
    <t>Explore how mindfulness enhances your child's ability to express and manage their emotions.</t>
  </si>
  <si>
    <t>Reflect on a mindful gratitude journaling practice you and your child enjoy doing together.</t>
  </si>
  <si>
    <t>Describe a mindful movement activity that encourages your child to connect with their body and emotions.</t>
  </si>
  <si>
    <t>Write about how mindfulness enhances your ability to be present and attentive during family conversations.</t>
  </si>
  <si>
    <t>Explore the positive effects of mindfulness on your child's emotional intelligence and empathy.</t>
  </si>
  <si>
    <t>Reflect on a mindful playtime activity that encourages creativity and problem-solving in your child.</t>
  </si>
  <si>
    <t>Describe a mindfulness-based self-compassion exercise that supports your child's emotional well-being.</t>
  </si>
  <si>
    <t>Write about the role of mindfulness in fostering a positive body image and self-esteem in your child.</t>
  </si>
  <si>
    <t>Explore how mindfulness helps your child develop emotional regulation and coping skills.</t>
  </si>
  <si>
    <t>Reflect on a mindful breathing technique that helps your child manage anxiety and worries.</t>
  </si>
  <si>
    <t>Describe a mindfulness-based activity that promotes kindness and compassion in your family.</t>
  </si>
  <si>
    <t>Write about the benefits of practicing mindfulness during family meals and snack times.</t>
  </si>
  <si>
    <t>Explore how mindfulness enhances your child's ability to focus and engage in learning activities.</t>
  </si>
  <si>
    <t>Reflect on the role of mindfulness in promoting peaceful conflict resolution within your family.</t>
  </si>
  <si>
    <t>Describe a mindful visualization exercise you've done with your child to inspire positive intentions.</t>
  </si>
  <si>
    <t>Write about the power of mindfulness in creating a calm and harmonious home environment.</t>
  </si>
  <si>
    <t>Explore how mindfulness helps your child develop self-awareness and understanding of their emotions.</t>
  </si>
  <si>
    <t>Reflect on a mindfulness-based nature scavenger hunt you and your child have enjoyed together.</t>
  </si>
  <si>
    <t>Describe a mindful listening activity that deepens your connection and communication with your child.</t>
  </si>
  <si>
    <t>Write about the benefits of incorporating mindfulness into your child's bedtime routine for better sleep.</t>
  </si>
  <si>
    <t>Explore how mindfulness supports your child's ability to handle transitions and changes with ease.</t>
  </si>
  <si>
    <t>Reflect on the role of mindfulness in nurturing a strong sense of family identity and values.</t>
  </si>
  <si>
    <t>Describe a mindfulness-based activity that encourages creativity and imagination in your child.</t>
  </si>
  <si>
    <t>Write about how mindfulness enhances your ability to be patient and understanding during challenging times.</t>
  </si>
  <si>
    <t>Explore the positive effects of mindfulness on your child's ability to cope with peer interactions.</t>
  </si>
  <si>
    <t>Reflect on a mindful breathing technique that helps your family relax and unwind together.</t>
  </si>
  <si>
    <t>Describe a mindfulness-based gratitude circle you've done as a family to express appreciation.</t>
  </si>
  <si>
    <t>Write about the role of mindfulness in promoting empathy and compassion for others in your child.</t>
  </si>
  <si>
    <t>Explore how mindfulness supports your child's social skills and emotional resilience.</t>
  </si>
  <si>
    <t>Reflect on a mindful eating exercise that encourages your child to savor each bite and eat with awareness.</t>
  </si>
  <si>
    <t>Describe a mindfulness-based storytelling activity you and your child have enjoyed together.</t>
  </si>
  <si>
    <t>Write about how mindfulness enhances your ability to approach parenting with an open heart and mind.</t>
  </si>
  <si>
    <t>Explore the benefits of incorporating mindfulness into family celebrations and special moments.</t>
  </si>
  <si>
    <t>Reflect on a mindful breathing technique that has helped you and your child manage stress during challenging times.</t>
  </si>
  <si>
    <t>Describe a mindfulness-based activity that encourages your child to appreciate the beauty of nature and the environment.</t>
  </si>
  <si>
    <t>Write about the benefits of incorporating mindfulness into your child's daily school routine to enhance focus and learning.</t>
  </si>
  <si>
    <t>Explore how mindfulness supports your child's emotional resilience and ability to cope with peer pressure.</t>
  </si>
  <si>
    <t>Reflect on a mindful movement activity you and your child enjoy together to stay active and connected.</t>
  </si>
  <si>
    <t>Describe a mindfulness-based art therapy exercise that allows your child to express and process their emotions.</t>
  </si>
  <si>
    <t>Write about the role of mindfulness in promoting self-compassion and self-acceptance in your child.</t>
  </si>
  <si>
    <t>Explore how mindfulness enhances your child's ability to respond to difficult emotions with kindness and understanding.</t>
  </si>
  <si>
    <t>Reflect on a mindful gratitude practice you've incorporated into your family's daily life.</t>
  </si>
  <si>
    <t>Describe a mindfulness-based activity that encourages your child to cultivate kindness and empathy towards others.</t>
  </si>
  <si>
    <t>Write about the power of mindfulness in fostering a positive body image and self-esteem in your child.</t>
  </si>
  <si>
    <t>Explore how mindfulness supports your child's ability to communicate effectively and express their needs.</t>
  </si>
  <si>
    <t>Reflect on a mindful breathing technique that helps your family relax and unwind before bedtime.</t>
  </si>
  <si>
    <t>Describe a mindfulness-based exercise that enhances your child's ability to concentrate and complete tasks.</t>
  </si>
  <si>
    <t>Write about how mindfulness helps you and your child cope with transitions and changes in daily routines.</t>
  </si>
  <si>
    <t>Explore the positive effects of mindfulness on your child's ability to handle conflicts and resolve issues peacefully.</t>
  </si>
  <si>
    <t>Reflect on a mindful listening activity that strengthens your child's communication skills and active listening.</t>
  </si>
  <si>
    <t>Describe a mindfulness-based visualization exercise you've done with your child to promote positive thinking.</t>
  </si>
  <si>
    <t>Write about the role of mindfulness in fostering a strong sense of family unity and cooperation.</t>
  </si>
  <si>
    <t>Explore how mindfulness supports your child's ability to manage anxiety and fears in various situations.</t>
  </si>
  <si>
    <t>Reflect on a mindful eating practice that encourages your child to savor the flavors and textures of food.</t>
  </si>
  <si>
    <t>Describe a mindfulness-based activity that promotes creativity and imagination in your child's playtime.</t>
  </si>
  <si>
    <t>Write about how mindfulness enhances your ability to stay present and engaged during family outings and adventures.</t>
  </si>
  <si>
    <t>Explore the benefits of practicing mindfulness in daily activities and chores with your child.</t>
  </si>
  <si>
    <t>Reflect on the role of mindfulness in teaching your child emotional regulation and self-soothing techniques.</t>
  </si>
  <si>
    <t>Describe a mindfulness-based activity that encourages your child to express gratitude towards themselves.</t>
  </si>
  <si>
    <t>Write about how mindfulness helps you and your child navigate technology use and screen time mindfully.</t>
  </si>
  <si>
    <t>Explore how mindfulness supports your child's ability to understand and manage their emotions in social settings.</t>
  </si>
  <si>
    <t>Reflect on a mindful breathing technique that helps your child manage test anxiety or performance stress.</t>
  </si>
  <si>
    <t>Describe a mindfulness-based art activity that allows your child to explore their feelings through colors and shapes.</t>
  </si>
  <si>
    <t>Write about the role of mindfulness in promoting a positive and respectful parent-child relationship.</t>
  </si>
  <si>
    <t>Explore how mindfulness enhances your child's ability to engage in meaningful conversations with others.</t>
  </si>
  <si>
    <t>Reflect on a mindful bedtime routine that promotes relaxation and calmness for better sleep.</t>
  </si>
  <si>
    <t>Describe a mindfulness-based activity that encourages your child to cultivate patience and perseverance.</t>
  </si>
  <si>
    <t>Write about how mindfulness helps you and your child develop a deep sense of gratitude for life's blessings.</t>
  </si>
  <si>
    <t>Explore the positive effects of mindfulness on your child's ability to show kindness and empathy towards animals and nature.</t>
  </si>
  <si>
    <t>Reflect on a mindful breathing technique that helps your family recenter and refocus during busy days.</t>
  </si>
  <si>
    <t>Describe a mindfulness-based exercise that teaches your child to respond to challenges with a growth mindset.</t>
  </si>
  <si>
    <t>Write about the role of mindfulness in promoting positive communication and conflict resolution in your family.</t>
  </si>
  <si>
    <t>Explore how mindfulness supports your child's ability to express themselves creatively through writing or storytelling.</t>
  </si>
  <si>
    <t>Reflect on a mindful movement activity that encourages your child to connect with their body and movement.</t>
  </si>
  <si>
    <t>Describe a mindfulness-based activity that fosters a sense of awe and wonder in your child towards the world.</t>
  </si>
  <si>
    <t>Write about how mindfulness enhances your ability to support and nurture your child's emotional well-being.</t>
  </si>
  <si>
    <t>Explore the benefits of incorporating mindfulness into family traditions and rituals.</t>
  </si>
  <si>
    <t>Reflect on the role of mindfulness in teaching your child to appreciate the value of silence and solitude.</t>
  </si>
  <si>
    <t>Describe a mindfulness-based activity that encourages your child to observe and appreciate the changing seasons.</t>
  </si>
  <si>
    <t>Write about how mindfulness helps you and your child navigate social interactions and build meaningful relationships.</t>
  </si>
  <si>
    <t>Explore how mindfulness supports your child's ability to develop empathy and understanding towards diverse cultures.</t>
  </si>
  <si>
    <t>Reflect on a mindful gratitude practice that encourages your family to be grateful for the simple joys in life.</t>
  </si>
  <si>
    <t>Describe a mindfulness-based exercise that promotes relaxation and stress relief for your child.</t>
  </si>
  <si>
    <t>Write about the role of mindfulness in fostering a sense of purpose and meaning in your family's life.</t>
  </si>
  <si>
    <t>Explore how mindfulness enhances your child's ability to focus and concentrate on their academic pursuits.</t>
  </si>
  <si>
    <t>Reflect on a mindful breathing technique that helps your child manage strong emotions and impulses.</t>
  </si>
  <si>
    <t>Describe a mindfulness-based activity that encourages your child to cultivate compassion and kindness towards themselves and others.</t>
  </si>
  <si>
    <t>Write about how mindfulness helps you and your child find balance and harmony in your daily lives.</t>
  </si>
  <si>
    <t>Explore the positive effects of mindfulness on your child's ability to practice gratitude and appreciation for others.</t>
  </si>
  <si>
    <t>Reflect on a mindful eating exercise that encourages your child to eat mindfully and savor each bite.</t>
  </si>
  <si>
    <t>Describe a mindfulness-based storytelling activity that promotes creativity and imagination in your child's play.</t>
  </si>
  <si>
    <t>Write about the role of mindfulness in fostering resilience and adaptability in your child.</t>
  </si>
  <si>
    <t>Explore how mindfulness supports your child's ability to set and achieve goals with focus and determination.</t>
  </si>
  <si>
    <t>Reflect on a mindful listening activity that deepens your understanding of your child's thoughts and feelings.</t>
  </si>
  <si>
    <t>Describe a mindfulness-based visualization exercise you've done with your child to promote relaxation and calmness.</t>
  </si>
  <si>
    <t>Write about how mindfulness helps you and your child embrace change and uncertainty with grace.</t>
  </si>
  <si>
    <t>Explore the benefits of practicing mindfulness in outdoor activities and adventures with your child.</t>
  </si>
  <si>
    <t>Reflect on the role of mindfulness in fostering self-compassion and self-care in your family.</t>
  </si>
  <si>
    <t>Describe a mindfulness-based activity that encourages your child to cultivate gratitude and appreciation for nature.</t>
  </si>
  <si>
    <t>Write about how mindfulness enhances your ability to create a nurturing and supportive home environment.</t>
  </si>
  <si>
    <t>Explore how mindfulness supports your child's ability to express themselves creatively through art or music.</t>
  </si>
  <si>
    <t>Reflect on a mindful breathing technique that helps your family connect with each other during difficult moments.</t>
  </si>
  <si>
    <t>Describe a mindfulness-based exercise that encourages your child to engage their senses and be present in the moment.</t>
  </si>
  <si>
    <t>Write about the role of mindfulness in promoting positive body image and self-esteem in your child.</t>
  </si>
  <si>
    <t>Explore how mindfulness enhances your child's ability to handle transitions and changes with ease.</t>
  </si>
  <si>
    <t>Reflect on a mindful gratitude practice that encourages your family to appreciate the little joys in life.</t>
  </si>
  <si>
    <t>Describe a mindfulness-based activity that promotes kindness and compassion towards animals and the environment.</t>
  </si>
  <si>
    <t>Write about how mindfulness helps you and your child develop a deep sense of empathy and understanding for others.</t>
  </si>
  <si>
    <t>Explore the positive effects of mindfulness on your child's ability to cope with stress and anxiety.</t>
  </si>
  <si>
    <t>Describe a mindfulness-based activity that fosters creativity and imagination in your child's playtime.</t>
  </si>
  <si>
    <t>Explore how mindfulness enhances your child's ability to manage anxiety and fears in various situations.</t>
  </si>
  <si>
    <t>Digital Nomad Lifestyle</t>
  </si>
  <si>
    <t>How can I find remote work opportunities suitable for a digital nomad lifestyle?</t>
  </si>
  <si>
    <t>What are the best co-working spaces and digital nomad-friendly locations in [specific city/country]?</t>
  </si>
  <si>
    <t>Any advice on managing finances and budgeting while living as a digital nomad?</t>
  </si>
  <si>
    <t>Can you recommend travel insurance options tailored for digital nomads?</t>
  </si>
  <si>
    <t>What are the most essential gadgets and tools for staying productive while on the road?</t>
  </si>
  <si>
    <t>How can I maintain a healthy work-life balance as a digital nomad?</t>
  </si>
  <si>
    <t>Any tips on networking and building professional connections while living a nomadic lifestyle?</t>
  </si>
  <si>
    <t>What are the visa requirements and best visa options for digital nomads in [specific regions]?</t>
  </si>
  <si>
    <t>How can I stay motivated and focused while working remotely from different locations?</t>
  </si>
  <si>
    <t>Any recommendations for online resources and platforms to learn new skills while being a digital nomad?</t>
  </si>
  <si>
    <t>What are the top tips for finding affordable accommodation as a digital nomad?</t>
  </si>
  <si>
    <t>Can you suggest the best ways to stay connected and access reliable internet while traveling?</t>
  </si>
  <si>
    <t>How do I handle taxes and legal considerations as a digital nomad in [specific country]?</t>
  </si>
  <si>
    <t>What are the popular digital nomad communities or forums to join for support and networking?</t>
  </si>
  <si>
    <t>Any advice on packing efficiently and light for a nomadic lifestyle?</t>
  </si>
  <si>
    <t>How can I balance work commitments with exploring and experiencing new places?</t>
  </si>
  <si>
    <t>What are the best strategies for dealing with time zone differences while working remotely?</t>
  </si>
  <si>
    <t>Can you recommend co-living spaces or digital nomad retreats that foster a sense of community?</t>
  </si>
  <si>
    <t>What are the essential cybersecurity measures to take while working remotely and using public Wi-Fi?</t>
  </si>
  <si>
    <t>Any tips for overcoming challenges and loneliness that may arise while living a digital nomad lifestyle?</t>
  </si>
  <si>
    <t>How can I handle travel logistics and plan my itinerary effectively as a digital nomad?</t>
  </si>
  <si>
    <t>What are the best websites or platforms for finding short-term rentals in different cities?</t>
  </si>
  <si>
    <t>Any tips for finding local meetups or events to connect with other digital nomads in [specific location]?</t>
  </si>
  <si>
    <t>How do I stay productive and focused in new and potentially distracting environments?</t>
  </si>
  <si>
    <t>What are the most reliable online tools for managing finances and tracking expenses while nomading?</t>
  </si>
  <si>
    <t>Can you recommend travel-friendly backpacks or luggage suitable for digital nomads?</t>
  </si>
  <si>
    <t>What are the essential apps for language translation and communication in foreign countries?</t>
  </si>
  <si>
    <t>How can I build a portable and efficient workspace to adapt to various locations?</t>
  </si>
  <si>
    <t>Any advice on dealing with cultural differences and respecting local customs while traveling?</t>
  </si>
  <si>
    <t>What are the best practices for handling health and medical needs as a digital nomad?</t>
  </si>
  <si>
    <t>How can I maintain a sense of routine and structure while constantly moving?</t>
  </si>
  <si>
    <t>Can you suggest strategies for dealing with online security and protecting sensitive data while on the go?</t>
  </si>
  <si>
    <t>What are the popular digital nomad hotspots and destinations for each season?</t>
  </si>
  <si>
    <t>Any recommendations for staying environmentally conscious and sustainable while traveling as a nomad?</t>
  </si>
  <si>
    <t>How do I ensure reliable access to electricity and charging options for my devices in different countries?</t>
  </si>
  <si>
    <t>What are the top tips for staying safe and secure while traveling alone as a digital nomad?</t>
  </si>
  <si>
    <t>How can I manage my belongings and avoid overpacking while living a nomadic lifestyle?</t>
  </si>
  <si>
    <t>Can you suggest strategies for balancing work commitments with leisure and exploration?</t>
  </si>
  <si>
    <t>What are the most effective time management techniques for nomads with flexible schedules?</t>
  </si>
  <si>
    <t>Any advice on handling visa renewals and immigration paperwork while traveling as a digital nomad?</t>
  </si>
  <si>
    <t>How can I find co-living spaces or shared accommodations that foster a sense of community?</t>
  </si>
  <si>
    <t>What are the best online resources for finding remote job opportunities in specific industries?</t>
  </si>
  <si>
    <t>Any tips for creating a digital nomad portfolio or online presence to showcase my skills and work experience?</t>
  </si>
  <si>
    <t>How can I deal with cultural or language barriers in my work and personal interactions?</t>
  </si>
  <si>
    <t>What are the top strategies for finding affordable and reliable transportation options while nomading?</t>
  </si>
  <si>
    <t>Can you suggest activities and hobbies to help me immerse in the local culture and lifestyle?</t>
  </si>
  <si>
    <t>How do I handle taxation and financial reporting as a digital nomad with income from various countries?</t>
  </si>
  <si>
    <t>What are the best strategies for overcoming travel fatigue and jet lag while on the move?</t>
  </si>
  <si>
    <t>Any advice on finding remote work opportunities that align with my specific skills and interests?</t>
  </si>
  <si>
    <t>How can I build a supportive network of fellow digital nomads to share experiences and tips?</t>
  </si>
  <si>
    <t>What are the essential items to pack for maintaining a healthy and balanced diet while traveling?</t>
  </si>
  <si>
    <t>Can you recommend reliable travel insurance plans that cover medical emergencies and trip cancellations?</t>
  </si>
  <si>
    <t>How do I approach client communication and time zone coordination while nomading?</t>
  </si>
  <si>
    <t>What are the top resources for learning new languages to enhance my travel experiences?</t>
  </si>
  <si>
    <t>Any tips for managing and minimizing travel expenses while maintaining a comfortable lifestyle?</t>
  </si>
  <si>
    <t>How can I ensure a stable internet connection for video conferences and virtual meetings?</t>
  </si>
  <si>
    <t>What are the best destinations for digital nomads seeking a vibrant and creative community?</t>
  </si>
  <si>
    <t>Can you suggest strategies for staying physically active and practicing fitness routines while on the road?</t>
  </si>
  <si>
    <t>How do I handle postal mail and receive important documents while constantly changing locations?</t>
  </si>
  <si>
    <t>What are the most effective ways to network and connect with potential clients or employers as a nomad?</t>
  </si>
  <si>
    <t>Any advice on balancing work commitments with leisure and exploration while on the move?</t>
  </si>
  <si>
    <t>What are the best resources for finding affordable and reliable transportation options while nomading?</t>
  </si>
  <si>
    <t>How can I create a flexible work schedule to accommodate different time zones while traveling?</t>
  </si>
  <si>
    <t>What are the top strategies for managing personal relationships and staying connected with loved ones while on the move?</t>
  </si>
  <si>
    <t>Can you suggest online platforms for finding short-term accommodation with reliable internet access?</t>
  </si>
  <si>
    <t>How can I stay productive and focused during long travel journeys between destinations?</t>
  </si>
  <si>
    <t>What are the essential items to include in a digital nomad emergency kit for unexpected situations?</t>
  </si>
  <si>
    <t>How do I handle language barriers and effectively communicate with locals while traveling?</t>
  </si>
  <si>
    <t>What are the best strategies for staying inspired and creatively motivated while nomading?</t>
  </si>
  <si>
    <t>Can you recommend online communities or forums for digital nomads to share experiences and advice?</t>
  </si>
  <si>
    <t>How can I strike a balance between exploration and taking time for self-care while on the road?</t>
  </si>
  <si>
    <t>What are the top tips for documenting my digital nomad journey and sharing it with others?</t>
  </si>
  <si>
    <t>How do I approach negotiation and pricing when working with clients as a digital nomad freelancer?</t>
  </si>
  <si>
    <t>What are the best practices for managing work-related stress and burnout while living a nomadic lifestyle?</t>
  </si>
  <si>
    <t>Can you suggest strategies for finding pet-friendly accommodations while traveling as a digital nomad with pets?</t>
  </si>
  <si>
    <t>How can I build a strong professional network while moving from one location to another?</t>
  </si>
  <si>
    <t>What are the top resources for finding remote job opportunities in the tech industry as a digital nomad?</t>
  </si>
  <si>
    <t>How do I handle cultural differences and adapt my work approach to different cultures while nomading?</t>
  </si>
  <si>
    <t>What are the best techniques for managing digital files and backups while on the go?</t>
  </si>
  <si>
    <t>Can you recommend co-living spaces with facilities suitable for hosting digital nomad workshops or events?</t>
  </si>
  <si>
    <t>How can I engage in sustainable and responsible tourism practices while exploring new places?</t>
  </si>
  <si>
    <t>What are the best ways to stay informed about visa regulations and changes in different countries?</t>
  </si>
  <si>
    <t>How do I handle the logistics of shipping and receiving packages while constantly changing locations?</t>
  </si>
  <si>
    <t>What are the top strategies for staying motivated and focused on personal projects while nomading?</t>
  </si>
  <si>
    <t>Can you suggest online platforms for finding unique and authentic cultural experiences in each destination?</t>
  </si>
  <si>
    <t>How can I develop and maintain a healthy work routine while embracing a nomadic lifestyle?</t>
  </si>
  <si>
    <t>What are the essential language apps and translation tools for navigating foreign countries as a digital nomad?</t>
  </si>
  <si>
    <t>How do I handle time management and prioritize work tasks while exploring new destinations?</t>
  </si>
  <si>
    <t>What are the best strategies for staying organized and managing digital nomad paperwork efficiently?</t>
  </si>
  <si>
    <t>Can you recommend platforms or websites for connecting with local freelancers and collaborators in each city?</t>
  </si>
  <si>
    <t>How can I ensure a reliable internet connection for attending virtual meetings and webinars on the road?</t>
  </si>
  <si>
    <t>What are the top ways to engage in community-based projects and volunteer opportunities while nomading?</t>
  </si>
  <si>
    <t>How do I balance leisure travel with professional development and skill enhancement while on the move?</t>
  </si>
  <si>
    <t>What are the best practices for handling international banking and managing finances across different currencies?</t>
  </si>
  <si>
    <t>Can you suggest resources for learning about and respecting the cultural etiquette of various countries?</t>
  </si>
  <si>
    <t>How can I maintain a healthy and balanced diet while experiencing diverse cuisines in different countries?</t>
  </si>
  <si>
    <t>What are the top strategies for reducing environmental impact and embracing a sustainable digital nomad lifestyle?</t>
  </si>
  <si>
    <t>How do I handle the challenges of nomadic life and cultivate resilience in the face of uncertainties?</t>
  </si>
  <si>
    <t>What are the best apps for organizing and booking travel arrangements for a seamless nomadic experience?</t>
  </si>
  <si>
    <t>Can you recommend tools for tracking expenses and maintaining a budget while living a nomadic lifestyle?</t>
  </si>
  <si>
    <t>How can I effectively communicate with clients and maintain a professional image while on the move?</t>
  </si>
  <si>
    <t>What are the top strategies for cultivating a positive online presence and personal brand as a digital nomad?</t>
  </si>
  <si>
    <t>How do I find and join local events or workshops that align with my interests while traveling as a nomad?</t>
  </si>
  <si>
    <t>What are the best techniques for enhancing focus and productivity while working in diverse environments?</t>
  </si>
  <si>
    <t>Can you suggest strategies for maintaining a healthy work-life balance and avoiding burnout as a digital nomad?</t>
  </si>
  <si>
    <t>How can I immerse in the local culture and learn from the communities I encounter during my nomadic journey?</t>
  </si>
  <si>
    <t>What are the top resources for accessing remote learning opportunities and expanding my skillset while nomading?</t>
  </si>
  <si>
    <t>How do I stay updated on travel advisories and safety measures for each destination as a digital nomad?</t>
  </si>
  <si>
    <t>What are the best practices for practicing self-care and managing mental well-being while on the road?</t>
  </si>
  <si>
    <t>Can you recommend tools for collaborating and communicating effectively with remote teams while nomading?</t>
  </si>
  <si>
    <t>How can I find and join digital nomad co-living communities that offer mentorship and support?</t>
  </si>
  <si>
    <t>What are the essential apps and resources for learning the basics of local languages in different countries?</t>
  </si>
  <si>
    <t>How do I embrace spontaneity and serendipity while planning my digital nomad journey?</t>
  </si>
  <si>
    <t>What are the top strategies for staying organized and keeping track of important travel documents and IDs?</t>
  </si>
  <si>
    <t>Can you suggest resources for finding meaningful volunteer opportunities and giving back to local communities as a digital nomad?</t>
  </si>
  <si>
    <t>How can I enhance my work productivity and creativity by integrating mindfulness and meditation practices into my nomadic lifestyle?</t>
  </si>
  <si>
    <t>What are the best ways to find and participate in local cultural events, festivals, and celebrations while nomading?</t>
  </si>
  <si>
    <t>How do I handle the challenges of nomadic life and build resilience to thrive in various environments?</t>
  </si>
  <si>
    <t>What are the top strategies for maintaining a sense of belonging and community while constantly moving?</t>
  </si>
  <si>
    <t>Can you recommend online courses or workshops for personal and professional growth while living a nomadic lifestyle?</t>
  </si>
  <si>
    <t>How can I create and maintain a sustainable work routine that fosters productivity and well-being on the road?</t>
  </si>
  <si>
    <t>What are the best strategies for finding and collaborating with local artisans and creatives in each destination?</t>
  </si>
  <si>
    <t>How can I stay informed about local events and activities that align with my interests as a digital nomad?</t>
  </si>
  <si>
    <t>What are the top tips for adapting to different climates and weather conditions while nomading?</t>
  </si>
  <si>
    <t>Can you suggest online platforms for connecting with potential co-founders or business partners while on the move?</t>
  </si>
  <si>
    <t>How do I handle language barriers in client communication and negotiations as a digital nomad freelancer?</t>
  </si>
  <si>
    <t>What are the best resources for finding unique and off-the-beaten-path destinations to explore as a nomad?</t>
  </si>
  <si>
    <t>How can I cultivate a sense of gratitude and mindfulness in my daily routines as a digital nomad?</t>
  </si>
  <si>
    <t>What are the top strategies for maintaining work-life boundaries and avoiding burnout while on the road?</t>
  </si>
  <si>
    <t>Can you recommend platforms for selling and promoting digital products or services as a nomadic entrepreneur?</t>
  </si>
  <si>
    <t>How do I effectively manage time zones and coordinate meetings with clients or teams across different locations?</t>
  </si>
  <si>
    <t>What are the essential apps and tools for remote project management and collaboration as a digital nomad?</t>
  </si>
  <si>
    <t>How can I build a portable and efficient home office setup to support my work as a digital nomad?</t>
  </si>
  <si>
    <t>What are the best practices for engaging in cultural exchange and mutual learning with locals in each place I visit?</t>
  </si>
  <si>
    <t>Can you suggest strategies for maintaining a healthy and active lifestyle while traveling as a digital nomad?</t>
  </si>
  <si>
    <t>How do I navigate local transportation options and plan my travel routes while nomading in different regions?</t>
  </si>
  <si>
    <t>What are the top resources for finding co-working spaces with reliable amenities and networking opportunities?</t>
  </si>
  <si>
    <t>How can I create and maintain a budget for travel expenses and living costs as a digital nomad?</t>
  </si>
  <si>
    <t>What are the best platforms for hosting virtual events and workshops while on the move as a nomadic educator?</t>
  </si>
  <si>
    <t>Can you recommend apps for learning new skills and improving professional expertise during my nomadic journey?</t>
  </si>
  <si>
    <t>How do I maintain a positive online reputation and handle potential negative reviews or feedback as a nomad?</t>
  </si>
  <si>
    <t>What are the top strategies for staying resilient and adaptable in the face of unforeseen challenges as a digital nomad?</t>
  </si>
  <si>
    <t>How can I embrace slow travel and immerse in the local culture for a deeper travel experience as a nomad?</t>
  </si>
  <si>
    <t>What are the essential tools and techniques for practicing digital minimalism and reducing screen time while nomading?</t>
  </si>
  <si>
    <t>Can you suggest resources for finding remote volunteering opportunities to contribute to meaningful causes as a digital nomad?</t>
  </si>
  <si>
    <t>How do I handle personal finance management and plan for long-term financial goals while living a nomadic lifestyle?</t>
  </si>
  <si>
    <t>What are the best practices for navigating local customs and etiquette to show respect as a digital nomad traveler?</t>
  </si>
  <si>
    <t>How can I maintain a sense of community and connection with fellow nomads when I'm in a remote location?</t>
  </si>
  <si>
    <t>What are the top strategies for building an online portfolio and showcasing my work as a digital nomad freelancer?</t>
  </si>
  <si>
    <t>Can you recommend platforms for finding pet-friendly accommodations and services while nomading with pets?</t>
  </si>
  <si>
    <t>How do I find and engage with expat communities and digital nomad meetups in different cities?</t>
  </si>
  <si>
    <t>What are the best strategies for staying productive and focused in co-living or shared accommodation spaces as a nomad?</t>
  </si>
  <si>
    <t>How can I stay updated on global events and travel restrictions to plan my nomadic journey accordingly?</t>
  </si>
  <si>
    <t>What are the top resources for learning about local entrepreneurship and business opportunities in each country I visit as a digital nomad?</t>
  </si>
  <si>
    <t>Can you suggest techniques for maintaining a healthy work-life balance while embracing the freedom of a nomadic lifestyle?</t>
  </si>
  <si>
    <t>How do I navigate potential language barriers while seeking healthcare services and medical support in foreign countries?</t>
  </si>
  <si>
    <t>What are the best practices for collaborating and networking with other digital nomads while on the road?</t>
  </si>
  <si>
    <t>How can I embrace sustainable travel practices and support local eco-friendly initiatives as a responsible digital nomad?</t>
  </si>
  <si>
    <t>What are the top strategies for managing and prioritizing multiple projects or clients while nomading?</t>
  </si>
  <si>
    <t>Can you recommend resources for learning about the history and culture of each destination I visit as a curious digital nomad?</t>
  </si>
  <si>
    <t>How do I balance spontaneity and planning to create a fulfilling and purposeful nomadic journey?</t>
  </si>
  <si>
    <t>Mental Health and Wellbeing</t>
  </si>
  <si>
    <t>How can I manage stress and practice relaxation techniques to improve my overall mental wellbeing?</t>
  </si>
  <si>
    <t>What are the best mindfulness exercises to cultivate a sense of calm and presence in daily life?</t>
  </si>
  <si>
    <t>How do I build resilience and cope with challenges to maintain a positive mental outlook?</t>
  </si>
  <si>
    <t>Can you suggest strategies for setting healthy boundaries and managing emotional energy in relationships?</t>
  </si>
  <si>
    <t>What are the top tips for improving sleep quality and establishing a consistent sleep routine?</t>
  </si>
  <si>
    <t>How can I practice self-compassion and cultivate a positive self-image for better mental health?</t>
  </si>
  <si>
    <t>What are the best techniques for managing anxiety and reducing its impact on daily activities?</t>
  </si>
  <si>
    <t>How do I develop and maintain a healthy work-life balance to support my mental wellbeing?</t>
  </si>
  <si>
    <t>Can you recommend resources for learning about different meditation styles and their benefits?</t>
  </si>
  <si>
    <t>What are the top strategies for managing and coping with feelings of loneliness and isolation?</t>
  </si>
  <si>
    <t>How can I improve my emotional intelligence to better understand and express my feelings?</t>
  </si>
  <si>
    <t>What are the best practices for building self-confidence and boosting self-esteem?</t>
  </si>
  <si>
    <t>How do I address and overcome negative thought patterns to promote a more positive mindset?</t>
  </si>
  <si>
    <t>Can you suggest techniques for practicing gratitude and fostering a sense of appreciation in daily life?</t>
  </si>
  <si>
    <t>What are the top tips for navigating life transitions and maintaining mental wellness during changes?</t>
  </si>
  <si>
    <t>How can I create and stick to a wellness routine that supports my mental and emotional health?</t>
  </si>
  <si>
    <t>What are the best resources for finding professional help and support for mental health challenges?</t>
  </si>
  <si>
    <t>How do I manage and reduce symptoms of burnout to avoid long-term negative impacts on my mental wellbeing?</t>
  </si>
  <si>
    <t>Can you recommend mindfulness apps and tools for incorporating mindfulness practices into my daily routine?</t>
  </si>
  <si>
    <t>What are the top strategies for managing stress in the workplace and promoting a healthy work environment?</t>
  </si>
  <si>
    <t>How can I build and maintain healthy and supportive relationships for better mental health?</t>
  </si>
  <si>
    <t>What are the best techniques for setting and achieving realistic goals to boost self-motivation and fulfillment?</t>
  </si>
  <si>
    <t>How do I practice self-care and prioritize my mental wellbeing in a busy and demanding schedule?</t>
  </si>
  <si>
    <t>Can you suggest activities and hobbies that promote relaxation and reduce feelings of anxiety or depression?</t>
  </si>
  <si>
    <t>What are the top tips for fostering a positive body image and developing a healthy relationship with my body?</t>
  </si>
  <si>
    <t>How can I manage feelings of overwhelm and practice grounding techniques in challenging situations?</t>
  </si>
  <si>
    <t>What are the best resources for understanding and managing different types of mental health disorders?</t>
  </si>
  <si>
    <t>How do I develop and maintain healthy coping mechanisms for dealing with stress and difficult emotions?</t>
  </si>
  <si>
    <t>Can you recommend strategies for improving emotional regulation and handling intense feelings constructively?</t>
  </si>
  <si>
    <t>What are the top techniques for practicing mindfulness in everyday activities and experiences?</t>
  </si>
  <si>
    <t>How can I create a supportive and non-judgmental environment to express and process emotions?</t>
  </si>
  <si>
    <t>What are the best practices for managing and reducing symptoms of anxiety or panic attacks?</t>
  </si>
  <si>
    <t>How do I cultivate a growth mindset and embrace challenges as opportunities for personal development?</t>
  </si>
  <si>
    <t>Can you suggest resources for learning about different relaxation techniques, such as deep breathing or progressive muscle relaxation?</t>
  </si>
  <si>
    <t>What are the top tips for setting healthy digital boundaries to protect mental wellbeing in the age of technology?</t>
  </si>
  <si>
    <t>How can I practice self-compassion and offer myself kindness in times of self-doubt or criticism?</t>
  </si>
  <si>
    <t>What are the best strategies for managing social anxiety and building social confidence?</t>
  </si>
  <si>
    <t>How do I establish a positive morning routine to set the tone for a mentally healthy day?</t>
  </si>
  <si>
    <t>Can you recommend techniques for practicing mindfulness meditation to enhance mental clarity and focus?</t>
  </si>
  <si>
    <t>What are the top tips for improving communication skills and fostering healthy relationships with others?</t>
  </si>
  <si>
    <t>How can I develop and maintain a strong support network to navigate life's challenges?</t>
  </si>
  <si>
    <t>What are the best resources for learning about cognitive-behavioral therapy techniques for self-improvement?</t>
  </si>
  <si>
    <t>How do I practice emotional self-regulation and prevent emotional outbursts in stressful situations?</t>
  </si>
  <si>
    <t>Can you suggest activities for cultivating gratitude and positivity in my daily life?</t>
  </si>
  <si>
    <t>What are the top strategies for managing and reducing symptoms of depression or low mood?</t>
  </si>
  <si>
    <t>How can I incorporate physical activity and exercise into my routine to support my mental health?</t>
  </si>
  <si>
    <t>What are the best techniques for managing and reducing symptoms of obsessive-compulsive disorder (OCD)?</t>
  </si>
  <si>
    <t>How do I cultivate self-awareness and recognize early signs of mental and emotional distress?</t>
  </si>
  <si>
    <t>Can you recommend strategies for practicing self-acceptance and embracing imperfections?</t>
  </si>
  <si>
    <t>What are the top tips for building emotional resilience and bouncing back from setbacks?</t>
  </si>
  <si>
    <t>How can I create a calming and comforting environment at home to support my mental wellbeing?</t>
  </si>
  <si>
    <t>What are the best resources for learning about different types of therapy and counseling options?</t>
  </si>
  <si>
    <t>How do I manage feelings of imposter syndrome and develop a sense of self-worth in my accomplishments?</t>
  </si>
  <si>
    <t>Can you suggest techniques for reducing screen time and promoting digital detox for mental rejuvenation?</t>
  </si>
  <si>
    <t>What are the top strategies for practicing self-compassion and kindness during challenging times?</t>
  </si>
  <si>
    <t>How can I cultivate a positive mindset and focus on gratitude in times of adversity?</t>
  </si>
  <si>
    <t>What are the best practices for managing and reducing symptoms of attention deficit hyperactivity disorder (ADHD)?</t>
  </si>
  <si>
    <t>How do I build and maintain a healthy work-life balance to prevent feelings of burnout?</t>
  </si>
  <si>
    <t>Can you recommend resources for learning about different types of meditation and their benefits?</t>
  </si>
  <si>
    <t>What are the top tips for building self-confidence and asserting boundaries in personal and professional relationships?</t>
  </si>
  <si>
    <t>How can I practice mindfulness during mealtimes to cultivate a healthier relationship with food?</t>
  </si>
  <si>
    <t>What are the best techniques for managing and reducing symptoms of generalized anxiety disorder (GAD)?</t>
  </si>
  <si>
    <t>How do I address and overcome feelings of loneliness and isolation for better mental wellbeing?</t>
  </si>
  <si>
    <t>Can you suggest strategies for managing and reducing symptoms of post-traumatic stress disorder (PTSD)?</t>
  </si>
  <si>
    <t>What are the top tips for fostering a positive and healthy body image in a culture that emphasizes appearance?</t>
  </si>
  <si>
    <t>How can I manage and reduce symptoms of social anxiety to feel more comfortable in social settings?</t>
  </si>
  <si>
    <t>What are the best resources for learning about different types of mental health support groups and their benefits?</t>
  </si>
  <si>
    <t>How do I practice self-care and make time for myself amidst the demands of work and personal responsibilities?</t>
  </si>
  <si>
    <t>Can you recommend activities and exercises for promoting relaxation and reducing muscle tension?</t>
  </si>
  <si>
    <t>What are the top strategies for cultivating a positive self-identity and building self-esteem?</t>
  </si>
  <si>
    <t>How can I create and maintain healthy boundaries to protect my mental wellbeing in personal relationships?</t>
  </si>
  <si>
    <t>What are the best techniques for managing and reducing symptoms of phobias and fears?</t>
  </si>
  <si>
    <t>How do I develop and maintain healthy coping mechanisms to handle stress and emotional challenges?</t>
  </si>
  <si>
    <t>Can you suggest resources for learning about different holistic approaches to mental health and wellbeing?</t>
  </si>
  <si>
    <t>What are the top tips for building and maintaining emotional intelligence for better interpersonal relationships?</t>
  </si>
  <si>
    <t>How can I practice self-compassion and forgive myself for past mistakes or shortcomings?</t>
  </si>
  <si>
    <t>What are the best strategies for managing and reducing symptoms of bipolar disorder?</t>
  </si>
  <si>
    <t>How do I establish a morning routine that supports my mental and emotional wellbeing throughout the day?</t>
  </si>
  <si>
    <t>Can you recommend techniques for practicing progressive muscle relaxation to reduce stress and anxiety?</t>
  </si>
  <si>
    <t>What are the top tips for building and maintaining resilience in the face of life's challenges?</t>
  </si>
  <si>
    <t>How can I incorporate mindfulness practices into my daily routine to promote mental clarity and focus?</t>
  </si>
  <si>
    <t>What are the best resources for learning about different types of mental health medications and their effects?</t>
  </si>
  <si>
    <t>How do I manage and reduce symptoms of panic attacks to regain a sense of control?</t>
  </si>
  <si>
    <t>Can you suggest activities for promoting self-expression and creativity to boost mental wellbeing?</t>
  </si>
  <si>
    <t>What are the top strategies for managing and reducing symptoms of eating disorders?</t>
  </si>
  <si>
    <t>How can I practice grounding techniques and mindfulness to manage feelings of dissociation or detachment?</t>
  </si>
  <si>
    <t>What are the best techniques for managing and reducing symptoms of schizophrenia?</t>
  </si>
  <si>
    <t>How do I cultivate a growth mindset and embrace challenges as opportunities for personal growth?</t>
  </si>
  <si>
    <t>Can you recommend resources for learning about different therapeutic approaches for mental health treatment?</t>
  </si>
  <si>
    <t>What are the top tips for building and maintaining healthy boundaries in professional settings?</t>
  </si>
  <si>
    <t>How can I incorporate nature walks and outdoor activities into my routine to enhance mental wellbeing?</t>
  </si>
  <si>
    <t>What are the best strategies for managing and reducing symptoms of substance use disorders?</t>
  </si>
  <si>
    <t>How do I address and overcome feelings of self-doubt and imposter syndrome in my professional life?</t>
  </si>
  <si>
    <t>Can you suggest techniques for promoting positive self-talk and challenging negative thought patterns?</t>
  </si>
  <si>
    <t>What are the top resources for learning about different types of meditation and their benefits?</t>
  </si>
  <si>
    <t>How can I practice mindfulness in my daily interactions and cultivate active listening skills?</t>
  </si>
  <si>
    <t>What are the best strategies for managing and reducing symptoms of borderline personality disorder (BPD)?</t>
  </si>
  <si>
    <t>How do I build and maintain a support network to lean on during times of stress and difficulty?</t>
  </si>
  <si>
    <t>Can you recommend resources for learning about different holistic approaches to mental health and wellbeing?</t>
  </si>
  <si>
    <t>What are the top tips for building and maintaining emotional resilience in the face of life's challenges?</t>
  </si>
  <si>
    <t>How can I develop and maintain a positive body image and embrace self-acceptance?</t>
  </si>
  <si>
    <t>What are the best strategies for managing and reducing symptoms of obsessive-compulsive disorder (OCD)?</t>
  </si>
  <si>
    <t>How can I nurture a sense of purpose and meaning in my life for enhanced mental wellbeing?</t>
  </si>
  <si>
    <t>What are the best techniques for managing and reducing symptoms of postpartum depression?</t>
  </si>
  <si>
    <t>How do I address and overcome feelings of guilt and shame to promote mental healing?</t>
  </si>
  <si>
    <t>Can you suggest activities for practicing mindfulness and self-awareness in nature?</t>
  </si>
  <si>
    <t>What are the top strategies for managing and reducing symptoms of attention deficit hyperactivity disorder (ADHD)?</t>
  </si>
  <si>
    <t>How can I practice self-compassion and understanding during times of personal struggle?</t>
  </si>
  <si>
    <t>What are the best resources for learning about different types of mental health therapies and their benefits?</t>
  </si>
  <si>
    <t>How do I manage and reduce symptoms of seasonal affective disorder (SAD) and embrace the changing seasons?</t>
  </si>
  <si>
    <t>Can you recommend techniques for building emotional resilience and bouncing back from setbacks?</t>
  </si>
  <si>
    <t>What are the top tips for promoting positive body image and challenging societal beauty standards?</t>
  </si>
  <si>
    <t>How can I incorporate creative expression into my life for enhanced mental wellbeing?</t>
  </si>
  <si>
    <t>What are the best strategies for managing and reducing symptoms of social media-induced anxiety?</t>
  </si>
  <si>
    <t>How do I develop and maintain a healthy and supportive self-talk for better mental health?</t>
  </si>
  <si>
    <t>Can you suggest resources for learning about different techniques for emotional release and healing?</t>
  </si>
  <si>
    <t>What are the top tips for building and maintaining healthy and positive friendships?</t>
  </si>
  <si>
    <t>How can I practice mindfulness in my eating habits and foster a healthy relationship with food?</t>
  </si>
  <si>
    <t>What are the best techniques for managing and reducing symptoms of body dysmorphia?</t>
  </si>
  <si>
    <t>How do I address and overcome feelings of imposter syndrome and acknowledge my achievements?</t>
  </si>
  <si>
    <t>Can you recommend activities for promoting relaxation and stress relief in a busy lifestyle?</t>
  </si>
  <si>
    <t>What are the top strategies for managing and reducing symptoms of panic disorder?</t>
  </si>
  <si>
    <t>How can I cultivate gratitude and incorporate it into my daily life for a positive mindset?</t>
  </si>
  <si>
    <t>What are the best resources for learning about different breathing exercises for relaxation and anxiety reduction?</t>
  </si>
  <si>
    <t>How do I build and maintain a healthy work-life balance for better mental and emotional wellbeing?</t>
  </si>
  <si>
    <t>Can you suggest techniques for managing and reducing symptoms of borderline personality disorder (BPD)?</t>
  </si>
  <si>
    <t>What are the top tips for fostering a sense of belonging and connection in my community?</t>
  </si>
  <si>
    <t>How can I practice mindfulness during work hours to enhance focus and productivity?</t>
  </si>
  <si>
    <t>What are the best strategies for managing and reducing symptoms of post-traumatic stress disorder (PTSD)?</t>
  </si>
  <si>
    <t>How do I establish a nighttime routine that promotes relaxation and better sleep quality?</t>
  </si>
  <si>
    <t>Can you recommend activities for exploring creativity and self-expression in my free time?</t>
  </si>
  <si>
    <t>What are the top tips for building and maintaining healthy and fulfilling romantic relationships?</t>
  </si>
  <si>
    <t>How can I cultivate resilience and embrace change in times of transition or uncertainty?</t>
  </si>
  <si>
    <t>What are the best resources for learning about different types of mental health self-help books?</t>
  </si>
  <si>
    <t>How do I address and overcome feelings of anger and manage my emotions constructively?</t>
  </si>
  <si>
    <t>What are the top strategies for fostering a positive work environment that prioritizes mental health?</t>
  </si>
  <si>
    <t>How can I practice self-compassion and offer myself kindness during difficult times?</t>
  </si>
  <si>
    <t>What are the best practices for managing and reducing symptoms of dissociative identity disorder (DID)?</t>
  </si>
  <si>
    <t>How do I develop and maintain healthy boundaries in my personal and professional life?</t>
  </si>
  <si>
    <t>Can you recommend resources for learning about different relaxation techniques for stress relief?</t>
  </si>
  <si>
    <t>What are the top tips for building and maintaining resilience during challenging times?</t>
  </si>
  <si>
    <t>How can I incorporate nature and outdoor activities into my routine for improved mental wellbeing?</t>
  </si>
  <si>
    <t>What are the best strategies for managing and reducing symptoms of eating disorders?</t>
  </si>
  <si>
    <t>How do I practice grounding techniques and mindfulness to manage feelings of dissociation or detachment?</t>
  </si>
  <si>
    <t>Can you suggest techniques for managing and reducing symptoms of schizophrenia?</t>
  </si>
  <si>
    <t>What are the top tips for cultivating a growth mindset and embracing challenges as opportunities for personal growth?</t>
  </si>
  <si>
    <t>How can I develop and maintain healthy self-esteem and a positive self-image?</t>
  </si>
  <si>
    <t>What are the best strategies for managing and reducing symptoms of social anxiety?</t>
  </si>
  <si>
    <t>How do I cultivate a sense of purpose and find meaning in my life for improved mental wellbeing?</t>
  </si>
  <si>
    <t>Can you suggest techniques for managing and reducing symptoms of postpartum depression?</t>
  </si>
  <si>
    <t>What are the top tips for promoting self-compassion and understanding during challenging times?</t>
  </si>
  <si>
    <t>What are the best resources for learning about different types of mindfulness practices and their benefits?</t>
  </si>
  <si>
    <t>Can you recommend activities for practicing mindfulness and self-awareness in nature?</t>
  </si>
  <si>
    <t>Can you suggest techniques for practicing progressive muscle relaxation to reduce stress and anxiety?</t>
  </si>
  <si>
    <t>Can you recommend activities for promoting self-expression and creativity to boost mental wellbeing?</t>
  </si>
  <si>
    <t>What are some effective strategies for managing and reducing symptoms of generalized anxiety disorder (GAD)?</t>
  </si>
  <si>
    <t>How can I practice mindfulness and self-compassion to overcome feelings of self-criticism and judgment?</t>
  </si>
  <si>
    <t>What are the best techniques for managing and reducing symptoms of major depressive disorder (MDD)?</t>
  </si>
  <si>
    <t>How do I build and maintain healthy and supportive relationships with family members?</t>
  </si>
  <si>
    <t>Can you recommend resources for learning about different types of self-care practices and their benefits?</t>
  </si>
  <si>
    <t>What are the top tips for managing and reducing symptoms of body dysmorphic disorder (BDD)?</t>
  </si>
  <si>
    <t>How can I incorporate yoga and meditation into my daily routine for improved mental wellbeing?</t>
  </si>
  <si>
    <t>How do I address and overcome feelings of worthlessness and develop a positive self-concept?</t>
  </si>
  <si>
    <t>Can you suggest activities for promoting relaxation and stress relief in a busy lifestyle?</t>
  </si>
  <si>
    <t>What are the top techniques for managing and reducing symptoms of attention deficit hyperactivity disorder (ADHD)?</t>
  </si>
  <si>
    <t>DIY Crafts and Projects</t>
  </si>
  <si>
    <t>How can I create a personalized photo album to cherish my precious memories?</t>
  </si>
  <si>
    <t>What are some unique ideas for designing homemade greeting cards for special occasions?</t>
  </si>
  <si>
    <t>Can you suggest easy and creative ways to upcycle old furniture into stylish pieces?</t>
  </si>
  <si>
    <t>How do I make my own scented candles with natural ingredients for a cozy ambiance?</t>
  </si>
  <si>
    <t>What are the steps to create a beautiful handmade dreamcatcher for better sleep?</t>
  </si>
  <si>
    <t>Can you recommend DIY techniques for painting and decorating plain ceramic mugs?</t>
  </si>
  <si>
    <t>How can I design and sew my own custom-made tote bags with fabric of my choice?</t>
  </si>
  <si>
    <t>What are some fun and eco-friendly ideas for creating DIY planters using recycled materials?</t>
  </si>
  <si>
    <t>How do I make homemade bath bombs with essential oils for a relaxing bath experience?</t>
  </si>
  <si>
    <t>Can you suggest creative ways to personalize plain t-shirts with fabric paint and stencils?</t>
  </si>
  <si>
    <t>What are the steps to build a wooden bookshelf from scratch for my home?</t>
  </si>
  <si>
    <t>How can I transform mason jars into rustic lanterns for outdoor decoration?</t>
  </si>
  <si>
    <t>Can you recommend DIY techniques for making homemade natural soap with nourishing ingredients?</t>
  </si>
  <si>
    <t>What are some easy and affordable ideas for crafting handmade holiday ornaments?</t>
  </si>
  <si>
    <t>How do I create a DIY wall art using pressed flowers and leaves for a botanical touch?</t>
  </si>
  <si>
    <t>Can you suggest simple knitting or crocheting projects for beginners to try?</t>
  </si>
  <si>
    <t>What are the steps to make homemade bath salts with therapeutic benefits?</t>
  </si>
  <si>
    <t>How can I design and hand-paint my own decorative wooden signs for my home?</t>
  </si>
  <si>
    <t>What are some DIY ideas for creating personalized jewelry with beads and charms?</t>
  </si>
  <si>
    <t>How do I repurpose old wine bottles into elegant vases or candle holders?</t>
  </si>
  <si>
    <t>Can you recommend DIY techniques for making natural, chemical-free cleaning products?</t>
  </si>
  <si>
    <t>What are the steps to create a cozy and stylish DIY no-sew fleece blanket?</t>
  </si>
  <si>
    <t>How can I design and construct my own DIY terrarium with succulents and cacti?</t>
  </si>
  <si>
    <t>What are some creative ways to upcycle glass jars into storage containers or planters?</t>
  </si>
  <si>
    <t>How do I make homemade bath salts with soothing scents and Epsom salt?</t>
  </si>
  <si>
    <t>Can you suggest easy and fun DIY projects for kids to enjoy crafting at home?</t>
  </si>
  <si>
    <t>What are the steps to create a DIY jewelry organizer using a wooden frame and wire mesh?</t>
  </si>
  <si>
    <t>How can I design and sew my own personalized throw pillows with unique patterns?</t>
  </si>
  <si>
    <t>What are some innovative ideas for crafting DIY paper quilled art and designs?</t>
  </si>
  <si>
    <t>How do I make my own natural and eco-friendly beeswax wraps for food storage?</t>
  </si>
  <si>
    <t>Can you recommend DIY techniques for creating custom-designed phone cases?</t>
  </si>
  <si>
    <t>What are the steps to build a wooden birdhouse to attract birds to my garden?</t>
  </si>
  <si>
    <t>How can I transform old glass bottles into stunning painted vases or centerpieces?</t>
  </si>
  <si>
    <t>What are some creative ideas for making DIY bookmarks with various materials?</t>
  </si>
  <si>
    <t>How do I create homemade bath oils with nourishing oils and aromatic scents?</t>
  </si>
  <si>
    <t>Can you suggest DIY techniques for making homemade eco-friendly cleaning wipes?</t>
  </si>
  <si>
    <t>What are the steps to make personalized DIY canvas prints from my favorite photos?</t>
  </si>
  <si>
    <t>How can I design and sew my own fabric headbands with different patterns?</t>
  </si>
  <si>
    <t>What are some easy and enjoyable DIY projects for knitting or crocheting scarves?</t>
  </si>
  <si>
    <t>How do I repurpose old wooden pallets into functional and decorative pieces?</t>
  </si>
  <si>
    <t>Can you recommend DIY techniques for making homemade body scrubs with natural exfoliants?</t>
  </si>
  <si>
    <t>What are the steps to create custom-designed stencils for wall painting or crafting?</t>
  </si>
  <si>
    <t>How can I transform ordinary jars into beautiful DIY lanterns with fairy lights?</t>
  </si>
  <si>
    <t>What are some innovative ideas for crafting DIY paper origami creations?</t>
  </si>
  <si>
    <t>How do I make my own all-natural homemade lip balm with moisturizing ingredients?</t>
  </si>
  <si>
    <t>Can you suggest easy and creative DIY projects for decorating mason jars for various uses?</t>
  </si>
  <si>
    <t>What are the steps to build a DIY wooden storage shelf for organizing my belongings?</t>
  </si>
  <si>
    <t>How can I design and hand-paint my own DIY canvas wall art for my living space?</t>
  </si>
  <si>
    <t>Can you recommend creative ways to personalize plain t-shirts with fabric paint and stencils?</t>
  </si>
  <si>
    <t>Can you suggest DIY techniques for making homemade natural soap with nourishing ingredients?</t>
  </si>
  <si>
    <t>Can you recommend simple knitting or crocheting projects for beginners to try?</t>
  </si>
  <si>
    <t>What are some innovative ideas for creating DIY papercraft sculptures and designs?</t>
  </si>
  <si>
    <t>How do I make my own personalized resin coasters with dried flowers and other decorations?</t>
  </si>
  <si>
    <t>Can you suggest DIY techniques for making homemade eco-friendly cleaning products?</t>
  </si>
  <si>
    <t>What are the steps to build a DIY wooden birdhouse to attract birds to my garden?</t>
  </si>
  <si>
    <t>Can you suggest innovative ideas for crafting DIY paper origami creations?</t>
  </si>
  <si>
    <t>What are the steps to make my own all-natural homemade lip balm with moisturizing ingredients?</t>
  </si>
  <si>
    <t>How do I design and create my own DIY terrarium with succulents and cacti?</t>
  </si>
  <si>
    <t>Can you recommend DIY techniques for making eco-friendly beeswax wraps for food storage?</t>
  </si>
  <si>
    <t>What are some creative ideas for upcycling old denim jeans into stylish home decor?</t>
  </si>
  <si>
    <t>How can I transform unused picture frames into chic and functional DIY organizers?</t>
  </si>
  <si>
    <t>Can you suggest DIY techniques for making homemade scented sachets with essential oils?</t>
  </si>
  <si>
    <t>What are the steps to create a personalized DIY vision board for setting goals and intentions?</t>
  </si>
  <si>
    <t>How do I build a DIY vertical garden to add greenery to my outdoor or indoor space?</t>
  </si>
  <si>
    <t>Can you recommend innovative ideas for crafting DIY paper marbling art and designs?</t>
  </si>
  <si>
    <t>What are some easy and fun DIY projects for decorating and customizing plain notebooks?</t>
  </si>
  <si>
    <t>How can I repurpose old glass jars into charming DIY snow globes for the holiday season?</t>
  </si>
  <si>
    <t>Can you suggest DIY techniques for making homemade bath fizzies with soothing scents?</t>
  </si>
  <si>
    <t>What are the steps to create a custom-designed DIY jewelry display organizer?</t>
  </si>
  <si>
    <t>How do I design and sew my own fabric face masks with unique patterns and styles?</t>
  </si>
  <si>
    <t>Can you recommend creative ideas for crafting DIY paper quilled jewelry and accessories?</t>
  </si>
  <si>
    <t>What are some fun and eco-friendly ideas for creating DIY plant hangers using recycled materials?</t>
  </si>
  <si>
    <t>How can I transform plain wooden crates into rustic and functional DIY storage solutions?</t>
  </si>
  <si>
    <t>Can you suggest DIY techniques for making homemade scented candles with natural ingredients?</t>
  </si>
  <si>
    <t>What are the steps to create a personalized DIY gratitude journal for daily reflections?</t>
  </si>
  <si>
    <t>How do I build a DIY outdoor fire pit for cozy gatherings and marshmallow roasting?</t>
  </si>
  <si>
    <t>Can you recommend innovative ideas for crafting DIY woven wall hangings with different materials?</t>
  </si>
  <si>
    <t>What are some easy and enjoyable DIY projects for painting and decorating terra cotta pots?</t>
  </si>
  <si>
    <t>How can I repurpose old wine corks into unique and practical DIY crafts?</t>
  </si>
  <si>
    <t>Can you suggest DIY techniques for making homemade body butter with nourishing ingredients?</t>
  </si>
  <si>
    <t>What are the steps to create a custom-designed DIY phone stand for hands-free use?</t>
  </si>
  <si>
    <t>How do I design and construct my own DIY hammock for relaxing in my backyard?</t>
  </si>
  <si>
    <t>Can you recommend creative ideas for crafting DIY pressed flower art and designs?</t>
  </si>
  <si>
    <t>What are some innovative ideas for upcycling old t-shirts into fashionable DIY accessories?</t>
  </si>
  <si>
    <t>How can I transform plain glass votive holders into stunning DIY candle holders?</t>
  </si>
  <si>
    <t>Can you suggest DIY techniques for making personalized DIY stationery sets with various designs?</t>
  </si>
  <si>
    <t>What are the steps to create a custom-designed DIY pinboard for organizing my workspace?</t>
  </si>
  <si>
    <t>How do I build a DIY raised garden bed for growing fresh vegetables and herbs?</t>
  </si>
  <si>
    <t>Can you recommend creative ideas for crafting DIY paper-cut art and designs?</t>
  </si>
  <si>
    <t>What are some fun and eco-friendly ideas for creating DIY bird feeders using recycled materials?</t>
  </si>
  <si>
    <t>How can I repurpose old picture frames into stylish DIY serving trays for entertaining?</t>
  </si>
  <si>
    <t>Can you suggest DIY techniques for making homemade bath melts with nourishing oils?</t>
  </si>
  <si>
    <t>What are the steps to create a personalized DIY recipe book for my favorite dishes?</t>
  </si>
  <si>
    <t>How do I design and sew my own fabric pouches with unique patterns and sizes?</t>
  </si>
  <si>
    <t>Can you recommend innovative ideas for crafting DIY yarn wall art and designs?</t>
  </si>
  <si>
    <t>What are some easy and enjoyable DIY projects for making custom-designed bookmarks?</t>
  </si>
  <si>
    <t>How can I transform plain wooden spoons into charming DIY kitchen utensils?</t>
  </si>
  <si>
    <t>Can you suggest DIY techniques for making homemade scented room sprays with essential oils?</t>
  </si>
  <si>
    <t>What are the steps to create a custom-designed DIY key holder for organizing my keys?</t>
  </si>
  <si>
    <t>How do I build a DIY wooden laptop stand for ergonomic use and better posture?</t>
  </si>
  <si>
    <t>Can you recommend creative ideas for crafting DIY paper bead jewelry and accessories?</t>
  </si>
  <si>
    <t>What are some innovative ideas for upcycling old glass jars into DIY snow globes?</t>
  </si>
  <si>
    <t>How can I repurpose unused picture frames into elegant DIY jewelry organizers?</t>
  </si>
  <si>
    <t>Can you suggest DIY techniques for making homemade scented potpourri with dried flowers?</t>
  </si>
  <si>
    <t>What are the steps to create a personalized DIY vision board for goal setting and motivation?</t>
  </si>
  <si>
    <t>How do I design and construct my own DIY raised pet bed for my furry friend?</t>
  </si>
  <si>
    <t>Can you recommend fun and eco-friendly ideas for creating DIY birdhouses using recycled materials?</t>
  </si>
  <si>
    <t>What are some easy and enjoyable DIY projects for painting and decorating ceramic planters?</t>
  </si>
  <si>
    <t>How can I transform plain glass jars into decorative DIY lanterns with tea lights?</t>
  </si>
  <si>
    <t>Can you suggest DIY techniques for making homemade bath salts with therapeutic benefits?</t>
  </si>
  <si>
    <t>Photography and Visual Storytelling</t>
  </si>
  <si>
    <t>How can I capture stunning landscapes and natural scenery through photography?</t>
  </si>
  <si>
    <t>What are the best techniques for creating captivating portraits that tell a person's story?</t>
  </si>
  <si>
    <t>Can you suggest tips for using lighting to enhance the mood and emotion in my photos?</t>
  </si>
  <si>
    <t>How do I capture the vibrant colors and textures of urban environments in my photography?</t>
  </si>
  <si>
    <t>What are the steps to create a compelling photo essay that narrates a powerful story?</t>
  </si>
  <si>
    <t>How can I experiment with different camera angles to add depth and dimension to my photos?</t>
  </si>
  <si>
    <t>Can you recommend techniques for capturing candid moments and emotions in street photography?</t>
  </si>
  <si>
    <t>What are the best practices for using depth of field to create focus and blur in photos?</t>
  </si>
  <si>
    <t>How do I effectively use leading lines and framing techniques to guide the viewer's eye?</t>
  </si>
  <si>
    <t>Can you suggest ways to incorporate motion and dynamic elements in my photography?</t>
  </si>
  <si>
    <t>What are the steps to create a captivating visual narrative using a series of photos?</t>
  </si>
  <si>
    <t>How can I use color theory to evoke emotions and convey messages in my photography?</t>
  </si>
  <si>
    <t>Can you recommend strategies for capturing the essence and personality of pets in photos?</t>
  </si>
  <si>
    <t>What are the best practices for composing balanced and visually pleasing architectural shots?</t>
  </si>
  <si>
    <t>How do I use post-processing tools to enhance the storytelling aspect of my photos?</t>
  </si>
  <si>
    <t>Can you suggest techniques for capturing cultural diversity and traditions through photography?</t>
  </si>
  <si>
    <t>What are the steps to create a visual story that documents the daily life of a community?</t>
  </si>
  <si>
    <t>How can I effectively capture the passage of time and seasons through photography?</t>
  </si>
  <si>
    <t>Can you recommend tips for creating dramatic and moody photography using shadows and contrast?</t>
  </si>
  <si>
    <t>What are the best practices for photographing events and celebrations with a storytelling approach?</t>
  </si>
  <si>
    <t>How do I use perspective and scale to create unique and intriguing visual narratives?</t>
  </si>
  <si>
    <t>Can you suggest techniques for photographing food and culinary experiences in an engaging way?</t>
  </si>
  <si>
    <t>What are the steps to create a compelling visual story around a personal journey or experience?</t>
  </si>
  <si>
    <t>How can I use symbolism and metaphor to add depth and meaning to my photographic narratives?</t>
  </si>
  <si>
    <t>Can you recommend strategies for capturing the emotions and interactions of family and friends?</t>
  </si>
  <si>
    <t>What are the best techniques for using reflection and symmetry to enhance visual storytelling?</t>
  </si>
  <si>
    <t>How do I incorporate the element of surprise and unexpected moments in my photography?</t>
  </si>
  <si>
    <t>Can you suggest ways to create a cohesive visual story through a series of self-portraits?</t>
  </si>
  <si>
    <t>What are the steps to create a visual story that raises awareness about a social or environmental issue?</t>
  </si>
  <si>
    <t>How can I use minimalism and negative space to convey powerful messages in my photos?</t>
  </si>
  <si>
    <t>Can you recommend tips for creating surreal and dreamlike visual narratives through editing?</t>
  </si>
  <si>
    <t>What are the best practices for photographing travel experiences that capture the essence of a place?</t>
  </si>
  <si>
    <t>How do I use juxtaposition and juxtaposition to create thought-provoking visual stories?</t>
  </si>
  <si>
    <t>Can you suggest techniques for capturing the essence of different cultures through photography?</t>
  </si>
  <si>
    <t>What are the steps to create a visual story that documents the transformation of a subject?</t>
  </si>
  <si>
    <t>How can I effectively use black and white photography to convey emotion and mood?</t>
  </si>
  <si>
    <t>Can you recommend strategies for capturing the beauty and uniqueness of everyday moments?</t>
  </si>
  <si>
    <t>What are the best techniques for using framing and composition to highlight the subject's story?</t>
  </si>
  <si>
    <t>How do I create a visual narrative that explores the concept of identity and self-expression?</t>
  </si>
  <si>
    <t>Can you suggest ways to use close-ups and details to enhance the storytelling aspect of photos?</t>
  </si>
  <si>
    <t>What are the steps to create a visual story that captures the spirit of a cultural festival?</t>
  </si>
  <si>
    <t>How can I incorporate symbolism and metaphors to convey deeper meanings in my photos?</t>
  </si>
  <si>
    <t>Can you recommend tips for creating powerful visual narratives through documentary photography?</t>
  </si>
  <si>
    <t>What are the best practices for using color palettes to evoke specific emotions in photography?</t>
  </si>
  <si>
    <t>How do I create a visual story that highlights the resilience and strength of individuals?</t>
  </si>
  <si>
    <t>Can you suggest techniques for capturing the interaction between humans and their environment?</t>
  </si>
  <si>
    <t>What are the steps to create a visual story that celebrates diversity and inclusivity?</t>
  </si>
  <si>
    <t>How can I use contrast and contradiction to create thought-provoking visual narratives?</t>
  </si>
  <si>
    <t>Can you recommend strategies for photographing cultural rituals and traditional ceremonies?</t>
  </si>
  <si>
    <t>What are the best techniques for capturing the essence of a creative process through photography?</t>
  </si>
  <si>
    <t>How do I create a visual story that captures the fleeting beauty of moments in everyday life?</t>
  </si>
  <si>
    <t>Can you suggest ways to experiment with different focal lengths for storytelling photography?</t>
  </si>
  <si>
    <t>What are the steps to create a visual story that portrays the impact of technological advancements?</t>
  </si>
  <si>
    <t>How can I use patterns and repetition to enhance the visual storytelling aspect of my photos?</t>
  </si>
  <si>
    <t>Can you recommend tips for creating visual narratives that challenge societal norms and expectations?</t>
  </si>
  <si>
    <t>What are the best practices for photographing wildlife and nature with a storytelling approach?</t>
  </si>
  <si>
    <t>How do I create a visual story that reflects the emotions and experiences of a specific age group?</t>
  </si>
  <si>
    <t>Can you suggest techniques for capturing the energy and atmosphere of live performances?</t>
  </si>
  <si>
    <t>What are the steps to create a visual story that highlights the power of human connection?</t>
  </si>
  <si>
    <t>How can I use juxtaposition and irony to create thought-provoking visual narratives?</t>
  </si>
  <si>
    <t>Can you recommend strategies for photographing architectural details to tell a larger story?</t>
  </si>
  <si>
    <t>What are the best techniques for capturing the intersection of technology and daily life?</t>
  </si>
  <si>
    <t>How do I create a visual story that portrays the beauty and complexity of natural landscapes?</t>
  </si>
  <si>
    <t>Can you suggest ways to use color psychology to convey emotions and narratives in photography?</t>
  </si>
  <si>
    <t>What are the steps to create a visual story that documents the passage of time and change?</t>
  </si>
  <si>
    <t>How can I use motion blur and panning to create dynamic and storytelling photographs?</t>
  </si>
  <si>
    <t>Can you recommend tips for capturing the stories and personalities of pets and animals?</t>
  </si>
  <si>
    <t>What are the best practices for using macro photography to reveal hidden narratives?</t>
  </si>
  <si>
    <t>How do I create a visual story that explores the concept of identity in a diverse society?</t>
  </si>
  <si>
    <t>Can you suggest techniques for photographing the craftsmanship and details of handmade items?</t>
  </si>
  <si>
    <t>What are the steps to create a visual story that portrays the connection between generations?</t>
  </si>
  <si>
    <t>How can I use framing and composition to create a sense of mystery and curiosity in photos?</t>
  </si>
  <si>
    <t>Can you recommend strategies for capturing the emotions and experiences of individuals with empathy?</t>
  </si>
  <si>
    <t>What are the best techniques for using storytelling elements in fashion and editorial photography?</t>
  </si>
  <si>
    <t>How do I create a visual story that conveys the resilience and strength of communities?</t>
  </si>
  <si>
    <t>Can you suggest ways to use photography to raise awareness about environmental sustainability?</t>
  </si>
  <si>
    <t>What are the steps to create a visual story that portrays the beauty of cultural traditions?</t>
  </si>
  <si>
    <t>How can I use perspective and scale to tell stories of human interactions with the environment?</t>
  </si>
  <si>
    <t>Can you recommend tips for capturing the essence of architecture and urban landscapes?</t>
  </si>
  <si>
    <t>What are the best practices for using symbolism and metaphors to add depth to visual narratives?</t>
  </si>
  <si>
    <t>How do I create a visual story that celebrates the diversity of human expressions and emotions?</t>
  </si>
  <si>
    <t>Can you suggest techniques for photographing reflections and creating visual metaphors?</t>
  </si>
  <si>
    <t>What are the steps to create a visual story that documents the evolution of a personal project?</t>
  </si>
  <si>
    <t>How can I use light and shadow to create dramatic and visually engaging storytelling photos?</t>
  </si>
  <si>
    <t>Can you recommend strategies for photographing the intersection of cultures and traditions?</t>
  </si>
  <si>
    <t>What are the best techniques for using aerial photography to tell stories of landscapes?</t>
  </si>
  <si>
    <t>How do I create a visual story that portrays the connections between different forms of art?</t>
  </si>
  <si>
    <t>Can you suggest ways to use abstract photography to convey emotions and narratives?</t>
  </si>
  <si>
    <t>What are the steps to create a visual story that captures the joy and essence of celebrations?</t>
  </si>
  <si>
    <t>How can I use composition and visual elements to create a sense of mystery and intrigue?</t>
  </si>
  <si>
    <t>Can you recommend tips for capturing the beauty and simplicity of everyday moments?</t>
  </si>
  <si>
    <t>What are the best practices for using visual storytelling to shed light on social justice issues?</t>
  </si>
  <si>
    <t>How do I create a visual story that reflects the resilience and strength of individuals?</t>
  </si>
  <si>
    <t>Can you suggest techniques for photographing the essence of a specific profession or trade?</t>
  </si>
  <si>
    <t>What are the steps to create a visual story that portrays the connection between people and nature?</t>
  </si>
  <si>
    <t>How can I use juxtaposition and contrast to create thought-provoking visual narratives?</t>
  </si>
  <si>
    <t>Can you recommend strategies for capturing the atmosphere and emotion of live events?</t>
  </si>
  <si>
    <t>What are the best techniques for using double exposure and compositing in visual storytelling?</t>
  </si>
  <si>
    <t>How do I create a visual story that documents the cultural significance of a place or community?</t>
  </si>
  <si>
    <t>Can you suggest ways to use visual storytelling to inspire positive social change?</t>
  </si>
  <si>
    <t>What are the steps to create a visual story that highlights the connection between humans and animals?</t>
  </si>
  <si>
    <t>How can I use color contrasts to enhance the emotional impact of my visual narratives?</t>
  </si>
  <si>
    <t>Can you recommend techniques for capturing the essence of different professions and trades?</t>
  </si>
  <si>
    <t>What are the best practices for using light and shadow to evoke emotions in storytelling photos?</t>
  </si>
  <si>
    <t>How do I create a visual story that captures the beauty of everyday objects in unexpected ways?</t>
  </si>
  <si>
    <t>Can you suggest ways to use creative compositions to convey a sense of wonder and curiosity?</t>
  </si>
  <si>
    <t>What are the steps to create a visual story that portrays the transformation of a cityscape?</t>
  </si>
  <si>
    <t>How can I use minimalistic elements to tell powerful stories in my photography?</t>
  </si>
  <si>
    <t>Can you recommend strategies for photographing the interconnectedness of urban life?</t>
  </si>
  <si>
    <t>What are the best techniques for using silhouettes to create dramatic storytelling photos?</t>
  </si>
  <si>
    <t>How do I create a visual story that reflects the passage of time and seasons in nature?</t>
  </si>
  <si>
    <t>Can you suggest techniques for capturing the energy and rhythm of musical performances?</t>
  </si>
  <si>
    <t>What are the steps to create a visual story that highlights the intersection of art and culture?</t>
  </si>
  <si>
    <t>How can I use repetition and patterns to create visually engaging storytelling photos?</t>
  </si>
  <si>
    <t>Can you recommend tips for using symmetry and asymmetry to convey balance in photography?</t>
  </si>
  <si>
    <t>What are the best practices for using visual metaphors to convey complex emotions?</t>
  </si>
  <si>
    <t>How do I create a visual story that documents the relationships between generations?</t>
  </si>
  <si>
    <t>Can you suggest ways to use texture and detail to add depth to visual storytelling?</t>
  </si>
  <si>
    <t>What are the steps to create a visual story that captures the essence of a specific cuisine?</t>
  </si>
  <si>
    <t>How can I use framing and negative space to create a sense of anticipation in my photos?</t>
  </si>
  <si>
    <t>Can you recommend strategies for photographing the energy and spirit of sports events?</t>
  </si>
  <si>
    <t>What are the best techniques for using long exposure to create ethereal storytelling photos?</t>
  </si>
  <si>
    <t>How do I create a visual story that portrays the resilience and determination of individuals?</t>
  </si>
  <si>
    <t>Can you suggest techniques for capturing the mood and emotions of rainy or stormy weather?</t>
  </si>
  <si>
    <t>What are the steps to create a visual story that reflects the harmony between humans and nature?</t>
  </si>
  <si>
    <t>How can I use perspective distortion to create unique and intriguing storytelling photographs?</t>
  </si>
  <si>
    <t>Can you recommend tips for capturing the essence of cultural celebrations and festivals?</t>
  </si>
  <si>
    <t>What are the best practices for using reflection and refraction to enhance visual narratives?</t>
  </si>
  <si>
    <t>How do I create a visual story that explores the concept of diversity in a global context?</t>
  </si>
  <si>
    <t>Can you suggest ways to use color symbolism to convey emotions and narratives?</t>
  </si>
  <si>
    <t>What are the steps to create a visual story that documents the evolution of a community?</t>
  </si>
  <si>
    <t>How can I use motion and dynamic compositions to convey a sense of energy in my photos?</t>
  </si>
  <si>
    <t>Can you recommend strategies for photographing the bonds and interactions within families?</t>
  </si>
  <si>
    <t>What are the best techniques for using macro photography to tell stories of the micro world?</t>
  </si>
  <si>
    <t>How do I create a visual story that portrays the impact of technology on modern life?</t>
  </si>
  <si>
    <t>Can you suggest techniques for capturing the beauty and intricacy of handcrafted items?</t>
  </si>
  <si>
    <t>What are the steps to create a visual story that celebrates the joy of human connection?</t>
  </si>
  <si>
    <t>How can I use juxtaposition to create thought-provoking visual narratives?</t>
  </si>
  <si>
    <t>Can you recommend tips for using reflections to create double narratives in photography?</t>
  </si>
  <si>
    <t>What are the best practices for photographing cultural rituals and traditional ceremonies?</t>
  </si>
  <si>
    <t>How do I create a visual story that explores the concept of identity and self-expression?</t>
  </si>
  <si>
    <t>Can you suggest techniques for capturing the essence of different cultures and communities?</t>
  </si>
  <si>
    <t>What are the steps to create a visual story that highlights the power of human resilience?</t>
  </si>
  <si>
    <t>How can I use abstraction and distortion to create intriguing visual storytelling photos?</t>
  </si>
  <si>
    <t>Can you recommend strategies for photographing the beauty and uniqueness of architecture?</t>
  </si>
  <si>
    <t>What are the best techniques for using visual storytelling to raise awareness about social issues?</t>
  </si>
  <si>
    <t>How do I create a visual story that captures the emotions and experiences of travel?</t>
  </si>
  <si>
    <t>Can you suggest ways to use unconventional angles to convey a fresh perspective in photography?</t>
  </si>
  <si>
    <t>What are the steps to create a visual story that portrays the transformation of a landscape?</t>
  </si>
  <si>
    <t>How can I use candid photography to authentically capture moments and emotions?</t>
  </si>
  <si>
    <t>Can you recommend tips for using visual storytelling to document cultural diversity?</t>
  </si>
  <si>
    <t>What are the best practices for photographing the harmony between humans and animals?</t>
  </si>
  <si>
    <t>How do I create a visual story that reflects the connections between people and their surroundings?</t>
  </si>
  <si>
    <t>Can you suggest techniques for using color contrasts to create compelling visual narratives?</t>
  </si>
  <si>
    <t>What are the steps to create a visual story that highlights the beauty of natural forms?</t>
  </si>
  <si>
    <t>How can I use symmetry and balance to convey a sense of order in storytelling photos?</t>
  </si>
  <si>
    <t>Can you recommend strategies for photographing the essence of different forms of artistic expression?</t>
  </si>
  <si>
    <t>What are the best techniques for using negative space to emphasize the subject's story?</t>
  </si>
  <si>
    <t>How do I create a visual story that explores the concept of human emotions and expressions?</t>
  </si>
  <si>
    <t>Can you suggest ways to use visual storytelling to shed light on marginalized communities?</t>
  </si>
  <si>
    <t>What are the steps to create a visual story that celebrates the bonds and connections of friendship?</t>
  </si>
  <si>
    <t>How can I use light painting to add a magical and surreal quality to my storytelling photos?</t>
  </si>
  <si>
    <t>Can you recommend tips for using visual storytelling to capture the beauty of cultural traditions?</t>
  </si>
  <si>
    <t>What are the best practices for photographing the interplay between light and shadows?</t>
  </si>
  <si>
    <t>How do I create a visual story that portrays the passage of time in urban environments?</t>
  </si>
  <si>
    <t>Can you suggest techniques for using visual metaphors to convey social and political messages?</t>
  </si>
  <si>
    <t>What are the steps to create a visual story that reflects the resilience of indigenous communities?</t>
  </si>
  <si>
    <t>How can I use motion and blur to convey the dynamic nature of urban life in my photos?</t>
  </si>
  <si>
    <t>Can you recommend strategies for photographing the interactions and relationships of animals?</t>
  </si>
  <si>
    <t>What are the best techniques for using visual storytelling to convey personal growth and change?</t>
  </si>
  <si>
    <t>How do I create a visual story that captures the essence of a cultural celebration or festival?</t>
  </si>
  <si>
    <t>Can you suggest ways to use color symbolism to convey the emotions and themes of a story?</t>
  </si>
  <si>
    <t>What are the steps to create a visual story that documents the daily routines and rituals of people?</t>
  </si>
  <si>
    <t>How can I use visual juxtaposition to create thought-provoking storytelling photographs?</t>
  </si>
  <si>
    <t>Can you recommend tips for using shadows and silhouettes to add depth to visual narratives?</t>
  </si>
  <si>
    <t>What are the best practices for photographing the relationship between humans and their pets?</t>
  </si>
  <si>
    <t>How do I create a visual story that explores the concept of resilience in the face of adversity?</t>
  </si>
  <si>
    <t>Can you suggest techniques for capturing the essence of cultural diversity and inclusivity?</t>
  </si>
  <si>
    <t>What are the steps to create a visual story that highlights the beauty of natural landscapes?</t>
  </si>
  <si>
    <t>How can I use framing and composition to guide the viewer's eye in storytelling photography?</t>
  </si>
  <si>
    <t>Can you recommend strategies for photographing the emotions and interactions of children?</t>
  </si>
  <si>
    <t>What are the best techniques for using visual storytelling to celebrate cultural heritage?</t>
  </si>
  <si>
    <t>How do I create a visual story that reflects the connections and bonds within a community?</t>
  </si>
  <si>
    <t>Can you suggest ways to use visual metaphors to convey complex emotions and concepts?</t>
  </si>
  <si>
    <t>What are the steps to create a visual story that portrays the harmony between humans and nature?</t>
  </si>
  <si>
    <t>How can I use color contrasts to evoke emotions and add depth to my storytelling photos?</t>
  </si>
  <si>
    <t>Can you recommend techniques for capturing the essence of cultural celebrations and traditions?</t>
  </si>
  <si>
    <t>What are the best practices for using reflections to create mirror narratives in photography?</t>
  </si>
  <si>
    <t>How do I create a visual story that explores the concept of identity and self-discovery?</t>
  </si>
  <si>
    <t>What are the steps to create a visual story that highlights the beauty of cultural diversity?</t>
  </si>
  <si>
    <t>How can I use motion and blur to create dynamic and visually engaging storytelling photographs?</t>
  </si>
  <si>
    <t>Can you recommend strategies for photographing the interactions and relationships of families?</t>
  </si>
  <si>
    <t>What are the best techniques for using visual metaphors to convey deeper meanings?</t>
  </si>
  <si>
    <t>How do I create a visual story that captures the essence of a specific culture or tradition?</t>
  </si>
  <si>
    <t>Can you suggest techniques for using light and shadow to create mood and atmosphere?</t>
  </si>
  <si>
    <t>What are the steps to create a visual story that reflects the connections between individuals?</t>
  </si>
  <si>
    <t>How can I use color symbolism to add layers of meaning to my storytelling photography?</t>
  </si>
  <si>
    <t>Can you recommend tips for using reflection and refraction to enhance visual narratives?</t>
  </si>
  <si>
    <t>What are the best practices for photographing the beauty and intricacy of natural forms?</t>
  </si>
  <si>
    <t>How can I use composition to create a visual story that conveys a sense of mystery?</t>
  </si>
  <si>
    <t>What are the steps to capture the essence of cultural festivals and their significance?</t>
  </si>
  <si>
    <t>How do I create a visual narrative that portrays the emotions and experiences of solitude?</t>
  </si>
  <si>
    <t>Can you recommend techniques for using color psychology to evoke specific emotions?</t>
  </si>
  <si>
    <t>What are the best practices for photographing the unique beauty of natural landscapes?</t>
  </si>
  <si>
    <t>How can I use visual storytelling to raise awareness about environmental conservation?</t>
  </si>
  <si>
    <t>What are the steps to create a visual story that captures the essence of a specific season?</t>
  </si>
  <si>
    <t>How do I incorporate storytelling elements into architectural and urban photography?</t>
  </si>
  <si>
    <t>Can you suggest ways to use framing and perspective to create narrative depth?</t>
  </si>
  <si>
    <t>What are the best techniques for using visual metaphors to convey complex concepts?</t>
  </si>
  <si>
    <t>How can I use motion and gesture to tell stories of human interactions in photography?</t>
  </si>
  <si>
    <t>What are the steps to create a visual story that documents the impact of modern technology?</t>
  </si>
  <si>
    <t>How do I capture the emotions and essence of family connections through photography?</t>
  </si>
  <si>
    <t>Can you recommend strategies for photographing the intersections of cultures and traditions?</t>
  </si>
  <si>
    <t>What are the best practices for using symbolism to add layers of meaning to storytelling photos?</t>
  </si>
  <si>
    <t>How can I use visual storytelling to highlight the beauty of diversity in all its forms?</t>
  </si>
  <si>
    <t>What are the steps to create a visual narrative that portrays the strength of human bonds?</t>
  </si>
  <si>
    <t>How do I incorporate the concept of time into my visual storytelling photography?</t>
  </si>
  <si>
    <t>Can you suggest techniques for using texture and patterns to create engaging narratives?</t>
  </si>
  <si>
    <t>What are the best techniques for capturing the beauty and emotions of candid moments?</t>
  </si>
  <si>
    <t>How can I use visual metaphors to shed light on social and cultural issues?</t>
  </si>
  <si>
    <t>What are the steps to create a visual story that celebrates the connections of community?</t>
  </si>
  <si>
    <t>How do I capture the essence of human emotions through facial expressions in photography?</t>
  </si>
  <si>
    <t>Can you recommend strategies for photographing the energy and vibrancy of urban life?</t>
  </si>
  <si>
    <t>What are the best practices for using visual storytelling to document personal growth?</t>
  </si>
  <si>
    <t>How can I use color contrasts to create dynamic visual narratives that capture attention?</t>
  </si>
  <si>
    <t>What are the steps to create a visual story that reflects the power of human determination?</t>
  </si>
  <si>
    <t>How do I incorporate storytelling elements into architectural and interior design photography?</t>
  </si>
  <si>
    <t>Can you suggest ways to use reflection and mirroring to create compelling narratives?</t>
  </si>
  <si>
    <t>What are the best techniques for using visual metaphors to convey complex emotions?</t>
  </si>
  <si>
    <t>How can I use visual storytelling to highlight the cultural traditions of different regions?</t>
  </si>
  <si>
    <t>What are the steps to create a visual story that portrays the beauty of artistic expressions?</t>
  </si>
  <si>
    <t>How do I capture the emotions and interactions of individuals in candid street photography?</t>
  </si>
  <si>
    <t>Can you recommend strategies for photographing the bonds and interactions of friends?</t>
  </si>
  <si>
    <t>What are the best practices for using symbolism to convey the theme of change in storytelling?</t>
  </si>
  <si>
    <t>How can I use visual storytelling to raise awareness about mental health and well-being?</t>
  </si>
  <si>
    <t>What are the steps to create a visual narrative that captures the passage of time in nature?</t>
  </si>
  <si>
    <t>How do I incorporate storytelling elements into fashion and editorial photography?</t>
  </si>
  <si>
    <t>Can you suggest techniques for using light and shadow to create dramatic narratives?</t>
  </si>
  <si>
    <t>What are the best techniques for capturing the beauty and emotions of intimate moments?</t>
  </si>
  <si>
    <t>How can I use visual metaphors to convey messages of hope and positivity?</t>
  </si>
  <si>
    <t>What are the steps to create a visual story that reflects the interactions between generations?</t>
  </si>
  <si>
    <t>How do I capture the essence of cultural rituals and traditions in photography?</t>
  </si>
  <si>
    <t>Can you recommend strategies for photographing the essence of different forms of art?</t>
  </si>
  <si>
    <t>What are the best practices for using symbolism to convey the concept of identity?</t>
  </si>
  <si>
    <t>How can I use visual storytelling to celebrate the richness of cultural diversity?</t>
  </si>
  <si>
    <t>What are the steps to create a visual narrative that portrays the harmony between humans and animals?</t>
  </si>
  <si>
    <t>How do I incorporate storytelling elements into travel and documentary photography?</t>
  </si>
  <si>
    <t>Can you suggest ways to use reflection and refraction to create imaginative narratives?</t>
  </si>
  <si>
    <t>What are the best techniques for using visual metaphors to convey powerful messages?</t>
  </si>
  <si>
    <t>How can I use visual storytelling to capture the essence of cultural festivals and celebrations?</t>
  </si>
  <si>
    <t>What are the steps to create a visual story that portrays the emotions and experiences of growth?</t>
  </si>
  <si>
    <t>How do I capture the essence of human connections through candid interactions?</t>
  </si>
  <si>
    <t>Can you recommend strategies for photographing the beauty and emotions of everyday moments?</t>
  </si>
  <si>
    <t>What are the best practices for using symbolism to convey the concept of transformation?</t>
  </si>
  <si>
    <t>How can I use visual storytelling to document the resilience and strength of individuals?</t>
  </si>
  <si>
    <t>What are the steps to create a visual narrative that reflects the passage of time and change?</t>
  </si>
  <si>
    <t>How do I incorporate storytelling elements into landscape and nature photography?</t>
  </si>
  <si>
    <t>Can you suggest ways to use reflection and mirroring to create intriguing narratives?</t>
  </si>
  <si>
    <t>What are the best techniques for capturing the emotions and interactions of family dynamics?</t>
  </si>
  <si>
    <t>How can I use visual metaphors to convey the theme of interconnectedness?</t>
  </si>
  <si>
    <t>What are the steps to create a visual story that highlights the essence of a specific culture?</t>
  </si>
  <si>
    <t>How do I capture the beauty and emotions of cultural traditions and ceremonies?</t>
  </si>
  <si>
    <t>Can you recommend strategies for photographing the bonds and interactions of different generations?</t>
  </si>
  <si>
    <t>What are the best practices for using visual storytelling to document personal transformations?</t>
  </si>
  <si>
    <t>How can I use symbolism and metaphors to convey the concept of identity in photography?</t>
  </si>
  <si>
    <t>What are the steps to create a visual narrative that portrays the emotions and experiences of joy?</t>
  </si>
  <si>
    <t>How do I incorporate storytelling elements into still life and product photography?</t>
  </si>
  <si>
    <t>Can you suggest ways to use color contrasts to evoke emotions and tell stories in photos?</t>
  </si>
  <si>
    <t>What are the best techniques for capturing the essence of cultural diversity and inclusivity?</t>
  </si>
  <si>
    <t>How can I use visual storytelling to convey the concept of connection to nature?</t>
  </si>
  <si>
    <t>What are the steps to create a visual story that highlights the beauty of everyday moments?</t>
  </si>
  <si>
    <t>How do I capture the essence of cultural celebrations and festivals through photography?</t>
  </si>
  <si>
    <t>Can you recommend strategies for using reflection and mirroring to create dual narratives?</t>
  </si>
  <si>
    <t>What are the best practices for using symbolism to convey messages of hope and inspiration?</t>
  </si>
  <si>
    <t>How can I use visual storytelling to raise awareness about social and environmental issues?</t>
  </si>
  <si>
    <t>What are the steps to create a visual narrative that reflects the emotions and experiences of friendship?</t>
  </si>
  <si>
    <t>How do I incorporate storytelling elements into architectural and urban landscape photography?</t>
  </si>
  <si>
    <t>Can you suggest ways to use light and shadow to create mood and atmosphere in storytelling?</t>
  </si>
  <si>
    <t>What are the best techniques for capturing the emotions and connections of human relationships?</t>
  </si>
  <si>
    <t>How can I use visual metaphors to convey the concept of personal growth and transformation?</t>
  </si>
  <si>
    <t>What are the steps to create a visual story that portrays the beauty and richness of cultural heritage?</t>
  </si>
  <si>
    <t>How do I capture the essence of cultural diversity and inclusivity in my storytelling photography?</t>
  </si>
  <si>
    <t>Can you recommend strategies for using reflection and refraction to create imaginative narratives?</t>
  </si>
  <si>
    <t>What are the best practices for using symbolism to convey the emotions and themes of a story?</t>
  </si>
  <si>
    <t>How to capture dynamic motion in photographs using the right shutter speed?</t>
  </si>
  <si>
    <t>How to use leading lines to guide viewers' eyes through your visual story?</t>
  </si>
  <si>
    <t>How to create a powerful visual narrative using a series of candid street photographs?</t>
  </si>
  <si>
    <t>How to choose the right depth of field to convey emotions in portrait photography?</t>
  </si>
  <si>
    <t>How to capture the essence of a person's personality in a single portrait?</t>
  </si>
  <si>
    <t>How to use framing techniques to add layers of meaning to your photographs?</t>
  </si>
  <si>
    <t>How to create a compelling visual story through a sequence of carefully timed shots?</t>
  </si>
  <si>
    <t>How to use color theory to evoke specific emotions in your photography?</t>
  </si>
  <si>
    <t>How to convey a sense of mystery and intrigue through creative use of lighting?</t>
  </si>
  <si>
    <t>How to capture the beauty of natural landscapes through the right composition?</t>
  </si>
  <si>
    <t>How to incorporate storytelling elements into your landscape photography?</t>
  </si>
  <si>
    <t>How to capture fleeting moments of human connection in street photography?</t>
  </si>
  <si>
    <t>How to use symmetry and balance to create visually pleasing compositions?</t>
  </si>
  <si>
    <t>How to create a visual story that highlights the relationship between subjects and their environment?</t>
  </si>
  <si>
    <t>How to capture emotions and expressions in candid documentary photography?</t>
  </si>
  <si>
    <t>How to create a visual narrative that explores cultural diversity and identity?</t>
  </si>
  <si>
    <t>How to use the rule of thirds to create dynamic and engaging compositions?</t>
  </si>
  <si>
    <t>How to convey the passage of time and change through your photography?</t>
  </si>
  <si>
    <t>How to create a visual story that tells the journey of a subject from beginning to end?</t>
  </si>
  <si>
    <t>How to use negative space to draw attention to your main subject?</t>
  </si>
  <si>
    <t>How to capture the essence of a location through its architecture and design?</t>
  </si>
  <si>
    <t>How to create a visual narrative that conveys the concept of contrast and duality?</t>
  </si>
  <si>
    <t>How to use reflections and mirroring to add depth to your visual storytelling?</t>
  </si>
  <si>
    <t>How to capture intimate moments and emotions in your photography?</t>
  </si>
  <si>
    <t>How to use visual metaphors to convey complex ideas and themes in your images?</t>
  </si>
  <si>
    <t>How to create a visual story that documents the interactions and relationships within a community?</t>
  </si>
  <si>
    <t>How to capture the energy and atmosphere of a live event through your photography?</t>
  </si>
  <si>
    <t>How to convey a sense of nostalgia and memory through your visual storytelling?</t>
  </si>
  <si>
    <t>How to use different angles and perspectives to add variety to your visual narrative?</t>
  </si>
  <si>
    <t>How to create a visual narrative that explores the concept of growth and transformation?</t>
  </si>
  <si>
    <t>How to capture the beauty of everyday moments and routines in documentary photography?</t>
  </si>
  <si>
    <t>How to convey a sense of mystery and intrigue through selective focus?</t>
  </si>
  <si>
    <t>How to use color contrast to create bold and captivating visual stories?</t>
  </si>
  <si>
    <t>How to create a visual narrative that focuses on the emotions and interactions of children?</t>
  </si>
  <si>
    <t>How to capture the unique character and personality of animals in your photography?</t>
  </si>
  <si>
    <t>How to use props and symbolism to enhance the storytelling aspect of your images?</t>
  </si>
  <si>
    <t>How to create a visual story that explores the concept of unity and togetherness?</t>
  </si>
  <si>
    <t>How to convey emotions and experiences through abstract and experimental photography?</t>
  </si>
  <si>
    <t>How to use texture and patterns to add depth and interest to your visual narrative?</t>
  </si>
  <si>
    <t>How to create a visual narrative that portrays the beauty and challenges of a specific profession?</t>
  </si>
  <si>
    <t>How to capture the essence of cultural celebrations and festivals through your photography?</t>
  </si>
  <si>
    <t>How to use silhouettes to create dramatic and evocative visual stories?</t>
  </si>
  <si>
    <t>How to create a visual story that celebrates the connections between generations?</t>
  </si>
  <si>
    <t>How to capture the interactions and relationships between people and their environment?</t>
  </si>
  <si>
    <t>How to use the concept of juxtaposition to convey powerful messages in your images?</t>
  </si>
  <si>
    <t>How to create a visual narrative that highlights the emotions and experiences of adventure?</t>
  </si>
  <si>
    <t>How to use minimalism to create clean and impactful visual stories?</t>
  </si>
  <si>
    <t>How to convey the concept of change and transformation through creative use of color?</t>
  </si>
  <si>
    <t>How to create a visual story that explores the concept of isolation and solitude?</t>
  </si>
  <si>
    <t>How to use framing within framing to add complexity and intrigue to your photography?</t>
  </si>
  <si>
    <t>How to capture the essence of a city's culture and lifestyle through street photography?</t>
  </si>
  <si>
    <t>How to convey the passage of time through long exposure photography?</t>
  </si>
  <si>
    <t>How to create a visual narrative that celebrates the beauty of diversity and inclusivity?</t>
  </si>
  <si>
    <t>How to use patterns and repetition to enhance the visual impact of your storytelling?</t>
  </si>
  <si>
    <t>How to capture the emotions and interactions of couples in love through your photography?</t>
  </si>
  <si>
    <t>How to convey the essence of a person's character and history in a portrait?</t>
  </si>
  <si>
    <t>How to create a visual story that focuses on the details and textures of everyday objects?</t>
  </si>
  <si>
    <t>How to use creative angles to add a unique perspective to your visual narrative?</t>
  </si>
  <si>
    <t>How to capture the beauty and emotions of cultural rituals and traditions?</t>
  </si>
  <si>
    <t>How to convey the theme of resilience and strength through your visual storytelling?</t>
  </si>
  <si>
    <t>How to use symmetry and asymmetry to create visual balance and interest?</t>
  </si>
  <si>
    <t>How to create a visual narrative that portrays the emotions and interactions of friendship?</t>
  </si>
  <si>
    <t>How to capture the beauty of light and shadow to enhance your storytelling?</t>
  </si>
  <si>
    <t>How to convey the theme of nostalgia and memory through color grading in post-processing?</t>
  </si>
  <si>
    <t>How to create a visual story that explores the concept of identity and self-expression?</t>
  </si>
  <si>
    <t>How to use environmental portraiture to tell the story of a subject's life and experiences?</t>
  </si>
  <si>
    <t>How to capture the beauty of changing seasons and weather conditions in your photography?</t>
  </si>
  <si>
    <t>How to convey the emotions and experiences of personal growth and transformation?</t>
  </si>
  <si>
    <t>How to use repetition and rhythm to create a sense of harmony in your visual storytelling?</t>
  </si>
  <si>
    <t>How to create a visual narrative that highlights the connections between humans and nature?</t>
  </si>
  <si>
    <t>How to capture the essence of cultural traditions and ceremonies through your photography?</t>
  </si>
  <si>
    <t>How to convey the theme of hope and positivity through creative use of light?</t>
  </si>
  <si>
    <t>How to use candid photography to capture genuine moments of joy and authenticity?</t>
  </si>
  <si>
    <t>How to create a visual story that documents the daily routines and rituals of a community?</t>
  </si>
  <si>
    <t>How to use the concept of scale to convey the grandeur and significance of subjects?</t>
  </si>
  <si>
    <t>How to capture the emotions and expressions of individuals in portrait photography?</t>
  </si>
  <si>
    <t>How to create a visual narrative that explores the concept of dreams and aspirations?</t>
  </si>
  <si>
    <t>How to use dynamic compositions to create energy and movement in your visual storytelling?</t>
  </si>
  <si>
    <t>How to convey the theme of conflict and resolution through your photography?</t>
  </si>
  <si>
    <t>How to use storytelling elements to capture the essence of a place in your images?</t>
  </si>
  <si>
    <t>How to create a visual story that celebrates the beauty and diversity of human bodies?</t>
  </si>
  <si>
    <t>How to use candid street photography to document the authentic moments of city life?</t>
  </si>
  <si>
    <t>How to convey the theme of nostalgia and memory through post-processing techniques?</t>
  </si>
  <si>
    <t>How to use environmental context to add layers of meaning to your visual storytelling?</t>
  </si>
  <si>
    <t>How to create a visual narrative that portrays the emotions and interactions of families?</t>
  </si>
  <si>
    <t>How to use dramatic lighting to enhance the mood and atmosphere of your photography?</t>
  </si>
  <si>
    <t>How to convey the theme of connection and communication through visual storytelling?</t>
  </si>
  <si>
    <t>How to use compositional elements to guide viewers' emotions and interpretations?</t>
  </si>
  <si>
    <t>How to create a visual story that explores the concept of solitude and introspection?</t>
  </si>
  <si>
    <t>How to use color symbolism to convey emotions and messages in your images?</t>
  </si>
  <si>
    <t>How to capture the beauty and details of cultural artifacts and objects in your photography?</t>
  </si>
  <si>
    <t>How to create a visual narrative that highlights the experiences and emotions of youth?</t>
  </si>
  <si>
    <t>How to use visual contrast to create impact and draw attention to your subject?</t>
  </si>
  <si>
    <t>How to convey the theme of mystery and intrigue through creative use of shadows?</t>
  </si>
  <si>
    <t>How to use the concept of anticipation to create suspense and curiosity in your storytelling?</t>
  </si>
  <si>
    <t>How to create a visual story that portrays the emotions and interactions of strangers?</t>
  </si>
  <si>
    <t>How to use macro photography to capture the intricate details of small subjects?</t>
  </si>
  <si>
    <t>How to convey the theme of change and transformation through your visual storytelling?</t>
  </si>
  <si>
    <t>How to use the concept of symbolism to add depth and layers of meaning to your images?</t>
  </si>
  <si>
    <t>How to create a visual narrative that explores the concept of beauty in imperfection?</t>
  </si>
  <si>
    <t>Phone Lead Generation</t>
  </si>
  <si>
    <t>Plan a comprehensive prospecting strategy that encompasses multiple channels, such as cold calling, email outreach, social media research, and attending industry events. Outline the steps, timeline, and resources required to execute the strategy effectively.</t>
  </si>
  <si>
    <t>Itemize the key characteristics or criteria that define an ideal prospect for our product or service. Consider factors such as industry, company size, job title, geographic location, and pain points to create a target profile for focused prospecting efforts.</t>
  </si>
  <si>
    <t>Compose a list of industry-specific online communities or forums where our target audience actively engages. Research these platforms and identify opportunities for participation, sharing valuable insights, and establishing thought leadership to attract potential prospects.</t>
  </si>
  <si>
    <t>Outline a plan for leveraging social media platforms for prospecting purposes. Specify the social networks that align with our target audience, the content strategies to engage them, and the metrics to track the effectiveness of our social media prospecting efforts.</t>
  </si>
  <si>
    <t>Draft a template for a compelling cold calling script that grabs the prospect's attention, addresses their pain points, and highlights the value of our offering. Include key talking points, objections handling techniques, and a clear call-to-action to drive further engagement.</t>
  </si>
  <si>
    <t>Devise a strategy for leveraging email outreach as a prospecting tool. Plan the content, personalization techniques, and follow-up sequences to increase response rates and establish meaningful connections with potential prospects.</t>
  </si>
  <si>
    <t>List the online tools and resources available for identifying and researching potential prospects. Evaluate their features, pricing, and user reviews to determine the most suitable tools to support our prospecting efforts.</t>
  </si>
  <si>
    <t>Plan a process for attending industry events and conferences with a focus on prospecting. Outline the pre-event preparation, networking strategies, and follow-up activities to maximize lead generation opportunities and build relationships with potential prospects.</t>
  </si>
  <si>
    <t>Calculate the estimated conversion rates for each prospecting channel based on historical data and industry benchmarks. This will help us set realistic goals, allocate resources effectively, and measure the success of our prospecting efforts.</t>
  </si>
  <si>
    <t>Summarize the benefits of leveraging targeted lead generation campaigns to attract qualified prospects. Highlight how personalized messaging, value-driven content, and strategic prospecting techniques can lead to higher conversion rates and improved sales outcomes.</t>
  </si>
  <si>
    <t>Devise a plan for leveraging content marketing to attract potential prospects. Outline the content topics, formats, and distribution channels that align with our target audience's interests and pain points.</t>
  </si>
  <si>
    <t>Outline a strategy for leveraging LinkedIn Sales Navigator to identify and connect with potential prospects. Specify the search criteria, filters, and engagement tactics to effectively utilize this powerful prospecting tool.</t>
  </si>
  <si>
    <t>Plan a process for tracking and measuring the effectiveness of our prospecting efforts. Identify key metrics such as lead generation, response rates, conversion rates, and revenue generated to assess the ROI of our prospecting activities.</t>
  </si>
  <si>
    <t>Compose a template for a compelling prospecting email that captures attention, addresses a specific pain point, and offers a solution. Customize the template for different target segments and personalize it with relevant details to increase response rates.</t>
  </si>
  <si>
    <t>Draft an outline for a referral program to incentivize existing customers and contacts to refer potential prospects. Specify the referral incentives, communication strategies, and tracking mechanisms to encourage and track referrals effectively.</t>
  </si>
  <si>
    <t>List the key networking events or conferences relevant to our industry. Research these events, their attendees, and speakers to identify potential prospects and plan our participation strategy accordingly.</t>
  </si>
  <si>
    <t>Itemize the challenges or objections commonly faced during prospecting and lead generation. Devise strategies and responses to overcome these challenges and address objections effectively to keep the prospecting process on track.</t>
  </si>
  <si>
    <t>Plan a strategy for leveraging customer testimonials or case studies during the prospecting process. Outline how we can leverage these assets to showcase the value and success our product or service has brought to existing customers, thereby generating interest among potential prospects.</t>
  </si>
  <si>
    <t>Devise a process for gathering and analyzing prospect data to identify patterns, trends, and opportunities for more effective prospecting. Explore the use of data analytics and customer relationship management (CRM) tools to track prospect interactions and behavior.</t>
  </si>
  <si>
    <t>Outline a plan for leveraging webinars or online events as a prospecting tool. Specify the topics, speakers, promotional strategies, and post-event follow-up activities to attract potential prospects and nurture leads.</t>
  </si>
  <si>
    <t>Compose a list of targeted keywords or search terms that prospects might use when researching solutions in our industry. Use these keywords to optimize our website content and improve our visibility in search engine results pages, attracting potential prospects organically.</t>
  </si>
  <si>
    <t>Draft a template for a prospecting follow-up email sequence. Outline a series of well-timed and personalized follow-up emails to maintain engagement and nurture leads who have shown initial interest in our product or service.</t>
  </si>
  <si>
    <t>Plan a process for lead scoring and prioritization based on prospect engagement, fit, and readiness to buy. Define the criteria, scoring system, and thresholds that determine when a prospect should be considered a high-priority lead.</t>
  </si>
  <si>
    <t>Devise a strategy for leveraging content partnerships or collaborations to reach a broader audience and attract potential prospects. Outline the approach for identifying suitable partners, creating joint content, and mutually promoting each other's offerings.</t>
  </si>
  <si>
    <t>Outline a plan for leveraging social proof and testimonials during the prospecting process. Specify how we can showcase positive reviews, case studies, or customer success stories to build credibility and trust with potential prospects.</t>
  </si>
  <si>
    <t>List the key industry influencers or thought leaders who align with our target audience. Devise an engagement strategy to connect with them, contribute valuable insights, and explore potential collaborations to expand our reach and attract prospects.</t>
  </si>
  <si>
    <t>Plan a strategy for utilizing remarketing or retargeting campaigns to engage potential prospects who have visited our website or interacted with our content but have not converted. Outline the messaging, platforms, and conversion optimization techniques to drive re-engagement.</t>
  </si>
  <si>
    <t>Calculate the estimated cost per lead (CPL) and customer acquisition cost (CAC) for each prospecting channel. This will help us allocate our budget effectively and make informed decisions about resource allocation and ROI analysis.</t>
  </si>
  <si>
    <t>Summarize the benefits of leveraging customer data and personalization techniques in the prospecting process. Highlight how understanding prospect preferences, pain points, and behavioral data can lead to more effective outreach and higher conversion rates.</t>
  </si>
  <si>
    <t>Devise a plan for leveraging online advertising, such as pay-per-click (PPC) campaigns or social media ads, to attract potential prospects. Identify the target audience, platforms, messaging, and budget allocation for these campaigns.</t>
  </si>
  <si>
    <t>Compose a template for a prospecting voicemail message that is concise, engaging, and prompts the prospect to return the call or engage further. Outline the key components and strategies for leaving impactful voicemails that generate callbacks.</t>
  </si>
  <si>
    <t>Draft an outline for a lead nurturing campaign that follows up with potential prospects who are not yet ready to make a purchase. Specify the content, timing, and engagement tactics to nurture leads and stay top-of-mind until they are ready to convert.</t>
  </si>
  <si>
    <t>Plan a process for segmenting our prospect database based on criteria such as industry, company size, geographic location, or pain points. Outline how we can personalize our outreach and tailor our messaging to specific segments for more effective prospecting.</t>
  </si>
  <si>
    <t>Devise a strategy for leveraging thought leadership content in the prospecting process. Outline how we can create and distribute high-value content, such as whitepapers, industry reports, or expert guides, to position ourselves as trusted authorities and attract potential prospects.</t>
  </si>
  <si>
    <t>Outline a plan for leveraging customer testimonials or case studies during the prospecting process. Specify how we can leverage these assets to showcase the value and success our product or service has brought to existing customers, thereby generating interest among potential prospects.</t>
  </si>
  <si>
    <t>Compose a persuasive sales pitch that highlights the unique features and benefits of our product/service, tailored to resonate with the prospect's specific needs and pain points.</t>
  </si>
  <si>
    <t>List the key objections or concerns that prospects commonly raise during presentations, and devise effective responses to address and overcome them.</t>
  </si>
  <si>
    <t>Itemize the core features of our product/service that directly align with the prospect's stated needs and challenges, emphasizing how they provide a comprehensive solution.</t>
  </si>
  <si>
    <t>Plan a presentation structure that engages the prospect from the beginning, captures their attention, and clearly communicates the value proposition of our offering.</t>
  </si>
  <si>
    <t>Devise a strategy to incorporate storytelling elements into the presentation, sharing real-world use cases or success stories that illustrate the positive impact our product/service has had on similar clients.</t>
  </si>
  <si>
    <t>Draft an outline for a visually appealing presentation deck that effectively showcases the key features, benefits, and differentiators of our product/service, incorporating compelling visuals and data.</t>
  </si>
  <si>
    <t>Outline a plan to demonstrate the product/service in action during the presentation, using interactive tools, simulations, or live examples to showcase its capabilities and effectiveness.</t>
  </si>
  <si>
    <t>Plan a strategy to actively involve the prospect in the presentation, encouraging questions, feedback, and discussion to ensure their active participation and understanding.</t>
  </si>
  <si>
    <t>Calculate the potential return on investment (ROI) that the prospect can achieve by using our product/service, based on their specific needs, expected outcomes, and industry benchmarks.</t>
  </si>
  <si>
    <t>Summarize the key competitive advantages of our product/service, highlighting how it outperforms competing solutions and delivers superior value to the prospect.</t>
  </si>
  <si>
    <t>Estimate the cost savings or efficiency improvements that the prospect can expect by adopting our product/service, based on their current processes and pain points.</t>
  </si>
  <si>
    <t>Compose a list of compelling testimonials or case studies from satisfied customers who have experienced significant results and ROI through the use of our product/service.</t>
  </si>
  <si>
    <t>List the potential customization options or additional services that can be offered to the prospect to meet their unique requirements and enhance the value proposition.</t>
  </si>
  <si>
    <t>Itemize the specific ways in which our product/service can streamline the prospect's workflow, increase productivity, or generate cost savings, based on their specific industry and challenges.</t>
  </si>
  <si>
    <t>Devise a plan to address potential objections or concerns related to implementation, integration, or any perceived barriers to adopting our product/service during the presentation.</t>
  </si>
  <si>
    <t>Draft an outline for a product demonstration that highlights the ease of use, intuitive interface, and key functionalities of our product/service, ensuring a hands-on experience for the prospect.</t>
  </si>
  <si>
    <t>Outline a plan to present compelling data or statistics that support the effectiveness and ROI of our product/service, using industry benchmarks, research findings, or customer success metrics.</t>
  </si>
  <si>
    <t>Plan a strategy to leverage visual aids, such as infographics, charts, or graphs, to visually communicate complex concepts or data points during the presentation.</t>
  </si>
  <si>
    <t>Devise a plan to actively listen and observe the prospect's reactions and body language during the presentation, allowing for real-time adjustments and addressing any concerns promptly.</t>
  </si>
  <si>
    <t>Compose a list of thought-provoking questions to ask the prospect during the presentation, encouraging them to reflect on their current challenges and envision the potential impact of our product/service.</t>
  </si>
  <si>
    <t>List the potential integration capabilities of our product/service with the prospect's existing systems or software, highlighting the ease of implementation and interoperability.</t>
  </si>
  <si>
    <t>Itemize the key competitive differentiators of our product/service that set it apart from other solutions in the market, emphasizing the value it brings to the prospect's specific needs.</t>
  </si>
  <si>
    <t>Plan a strategy to showcase the expertise and knowledge of our team members or subject matter experts during the presentation, reinforcing the prospect's confidence in our ability to deliver.</t>
  </si>
  <si>
    <t>Devise a plan to incorporate interactive elements, such as quizzes, polls, or interactive exercises, into the presentation to engage the prospect and enhance their understanding of our product/service.</t>
  </si>
  <si>
    <t>Draft an outline for a comparison chart or matrix that visually illustrates the advantages of our product/service over competing solutions, highlighting key differentiators and value propositions.</t>
  </si>
  <si>
    <t>Outline a plan to provide a clear roadmap for implementation and onboarding, outlining the steps, timelines, and resources required to ensure a seamless transition to our product/service.</t>
  </si>
  <si>
    <t>Plan a strategy to address the prospect's long-term goals and scalability needs during the presentation, demonstrating how our product/service can grow and adapt alongside their business.</t>
  </si>
  <si>
    <t>Compose a list of probing questions to uncover the prospect's budgetary considerations and decision-making process, allowing us to tailor our pricing and negotiation strategies during the presentation.</t>
  </si>
  <si>
    <t>List the potential post-sales support and customer success resources that we can offer to the prospect, showcasing our commitment to their ongoing satisfaction and success.</t>
  </si>
  <si>
    <t>Itemize the specific pain points or challenges that our product/service directly addresses for the prospect, emphasizing the measurable improvements and outcomes they can expect.</t>
  </si>
  <si>
    <t>Devise a plan to incorporate social proof elements, such as customer testimonials, industry awards, or positive media coverage, into the presentation to build trust and credibility.</t>
  </si>
  <si>
    <t>Draft an outline for a compelling elevator pitch that succinctly communicates the value proposition and unique selling points of our product/service, suitable for quick presentations or introductory conversations.</t>
  </si>
  <si>
    <t>Outline a plan to address potential objections or reservations related to data security, compliance, or privacy concerns during the presentation, emphasizing our robust safeguards and certifications.</t>
  </si>
  <si>
    <t>Plan a strategy to leverage storytelling techniques to create an emotional connection with the prospect, highlighting the positive impact our product/service can have on their business or personal life.</t>
  </si>
  <si>
    <t>Compose a list of relevant industry trends, market insights, or research findings that can be shared during the presentation to position our product/service as forward-thinking and aligned with industry needs.</t>
  </si>
  <si>
    <t>List the potential upselling or cross-selling opportunities that can be introduced during the presentation, showcasing additional features or services that can further enhance the prospect's experience.</t>
  </si>
  <si>
    <t>Itemize the specific steps or actions that the prospect needs to take to move forward with our product/service, providing a clear and concise roadmap for next steps during the presentation.</t>
  </si>
  <si>
    <t>Devise a plan to incorporate interactive storytelling elements, such as customer success videos or testimonials, into the presentation to create a more engaging and impactful narrative.</t>
  </si>
  <si>
    <t>Draft an outline for a compelling visual storyboard that illustrates the prospect's current pain points, the potential risks of inaction, and the transformative outcomes that our product/service can deliver.</t>
  </si>
  <si>
    <t>Outline a plan to address potential objections or concerns related to implementation time, training requirements, or disruptions to the prospect's existing workflows during the presentation.</t>
  </si>
  <si>
    <t>Plan a strategy to leverage real-time data or analytics during the presentation, demonstrating how our product/service can provide the prospect with actionable insights and business intelligence.</t>
  </si>
  <si>
    <t>Compose a list of compelling and memorable analogies or metaphors that can be used during the presentation to simplify complex concepts and make them more relatable to the prospect.</t>
  </si>
  <si>
    <t>List the potential partnership opportunities that can be explored during the presentation, showcasing how our product/service can complement or enhance the prospect's existing offerings.</t>
  </si>
  <si>
    <t>Itemize the specific outcomes or results that the prospect can expect to achieve within a defined timeframe after adopting our product/service, based on previous customer success stories.</t>
  </si>
  <si>
    <t>Devise a plan to address potential objections or concerns related to pricing, ROI, or total cost of ownership during the presentation, emphasizing the long-term value and benefits of our offering.</t>
  </si>
  <si>
    <t>Draft an outline for a high-impact opening statement or question that grabs the prospect's attention and sets the tone for an engaging and persuasive presentation.</t>
  </si>
  <si>
    <t>Outline a plan to address the prospect's decision-making criteria and key evaluation factors during the presentation, aligning our product/service's strengths with their specific priorities.</t>
  </si>
  <si>
    <t>Plan a strategy to incorporate interactive demos or simulations into the presentation, allowing the prospect to experience firsthand the usability and effectiveness of our product/service.</t>
  </si>
  <si>
    <t>Devise a plan to address potential objections or concerns related to competitive alternatives or in-house solutions during the presentation, highlighting our unique advantages and the added value we offer.</t>
  </si>
  <si>
    <t>Compose a list of industry-specific use cases or success stories that showcase how our product/service has helped similar organizations overcome challenges and achieve significant results.</t>
  </si>
  <si>
    <t>List the potential customization options or flexible pricing models that can be tailored to the prospect's specific needs or budget constraints, providing a sense of personalized solutions during the presentation.</t>
  </si>
  <si>
    <t>Itemize the specific customer support channels or resources available to the prospect after the purchase, demonstrating our commitment to their ongoing satisfaction and success.</t>
  </si>
  <si>
    <t>Devise a plan to incorporate visual testimonials or case studies into the presentation, leveraging impactful quotes, statistics, or images to reinforce the benefits and credibility of our product/service.</t>
  </si>
  <si>
    <t>Draft an outline for a compelling and memorable closing statement that summarizes the key benefits and takeaways of our product/service, leaving a lasting impression on the prospect.</t>
  </si>
  <si>
    <t>Outline a plan to address potential objections or concerns related to scalability or future growth during the presentation, showcasing how our product/service can evolve and adapt alongside the prospect's needs.</t>
  </si>
  <si>
    <t>Plan a strategy to leverage data-driven insights or industry benchmarks during the presentation, demonstrating the potential performance improvements or cost savings that our product/service can deliver.</t>
  </si>
  <si>
    <t>Devise a plan to incorporate visual storytelling elements, such as interactive infographics or multimedia presentations, into the presentation to create a more immersive and memorable experience for the prospect.</t>
  </si>
  <si>
    <t>Compose a list of effective closing techniques or next-step suggestions that can be used to guide the prospect towards a positive decision or commitment after the presentation.</t>
  </si>
  <si>
    <t>List the potential partnership opportunities that can be explored during the presentation, showcasing how our product/service can complement or expand the prospect's existing capabilities.</t>
  </si>
  <si>
    <t>Itemize the specific implementation milestones or key deliverables that the prospect can expect during the onboarding process, providing a clear and transparent timeline during the presentation.</t>
  </si>
  <si>
    <t>Devise a plan to address potential objections or concerns related to data migration or compatibility with the prospect's existing systems, emphasizing our seamless integration capabilities.</t>
  </si>
  <si>
    <t>Draft an outline for a persuasive ROI analysis or business case that quantifies the financial impact and long-term benefits of adopting our product/service, based on the prospect's specific metrics and goals.</t>
  </si>
  <si>
    <t>Outline a plan to actively involve the prospect in the presentation, encouraging their participation through interactive exercises, live polls, or brainstorming sessions to create a sense of collaboration.</t>
  </si>
  <si>
    <t>Plan a strategy to leverage social proof elements, such as customer testimonials, reviews, or industry awards, during the presentation to build trust and credibility.</t>
  </si>
  <si>
    <t>Devise a plan to address potential objections or concerns related to data privacy or security during the presentation, showcasing our robust protocols and compliance measures.</t>
  </si>
  <si>
    <t>Compose a list of compelling questions to ask the prospect during the presentation, encouraging them to reflect on their current challenges and articulate their desired outcomes.</t>
  </si>
  <si>
    <t>Devise a plan to address potential objections or reservations related to implementation, integration, or any perceived barriers to adopting our product/service during the presentation.</t>
  </si>
  <si>
    <t>Devise a plan to utilize customer success stories or testimonials during the presentation, showcasing how our product/service has helped similar organizations achieve their goals and overcome challenges.</t>
  </si>
  <si>
    <t>Draft an outline for a visually appealing presentation deck that effectively communicates the key features, benefits, and value proposition of our product/service, using engaging visuals and storytelling elements.</t>
  </si>
  <si>
    <t>Devise a plan to address potential objections or concerns related to implementation time, training requirements, or disruptions to the prospect's existing workflows during the presentation.</t>
  </si>
  <si>
    <t>Outline a plan to address potential objections or concerns related to pricing, ROI, or total cost of ownership during the presentation, emphasizing the long-term value and benefits of our offering.</t>
  </si>
  <si>
    <t>Youtube Automation</t>
  </si>
  <si>
    <t>How to automate the process of generating custom video thumbnails?</t>
  </si>
  <si>
    <t>How to use automated trend analysis to choose trending topics for your videos?</t>
  </si>
  <si>
    <t>How to implement automated keyword optimization for your video titles?</t>
  </si>
  <si>
    <t>How to create an automated video publishing schedule for consistent content delivery?</t>
  </si>
  <si>
    <t>How to leverage automated analytics to identify viewer drop-off points in your videos?</t>
  </si>
  <si>
    <t>How to set up automated keyword tracking to monitor your video's search rankings?</t>
  </si>
  <si>
    <t>How to use automated subscriber segmentation for targeted video recommendations?</t>
  </si>
  <si>
    <t>How to implement automated competitor analysis to refine your content strategy?</t>
  </si>
  <si>
    <t>How to create automated personalized video recommendations for your subscribers?</t>
  </si>
  <si>
    <t>How to leverage automated engagement metrics to improve video retention?</t>
  </si>
  <si>
    <t>How to set up automated content approval workflows for collaborative videos?</t>
  </si>
  <si>
    <t>How to use automated audience feedback to refine your video content?</t>
  </si>
  <si>
    <t>How to implement automated video localization for global audience reach?</t>
  </si>
  <si>
    <t>How to create automated video intros and outros for brand consistency?</t>
  </si>
  <si>
    <t>How to leverage automated video reactions and responses to viewer comments?</t>
  </si>
  <si>
    <t>How to set up automated video ad placements to monetize your content?</t>
  </si>
  <si>
    <t>How to use automated video performance reports for sponsorships and partnerships?</t>
  </si>
  <si>
    <t>How to implement automated YouTube live stream setups for seamless broadcasts?</t>
  </si>
  <si>
    <t>How to create automated video scripts using AI-driven content generation tools?</t>
  </si>
  <si>
    <t>How to leverage automated video engagement to boost algorithm recommendations?</t>
  </si>
  <si>
    <t>How to set up automated data backups for your YouTube channel and content?</t>
  </si>
  <si>
    <t>How to use automated tools to track video copyright and content ownership?</t>
  </si>
  <si>
    <t>How to implement automated audience surveys to gather content preferences?</t>
  </si>
  <si>
    <t>How to create automated video content calendars for efficient planning?</t>
  </si>
  <si>
    <t>How to leverage automated video moderation to maintain a positive community?</t>
  </si>
  <si>
    <t>How to set up automated content promotion to drive traffic to your videos?</t>
  </si>
  <si>
    <t>How to use automated video collaboration tools to connect with other creators?</t>
  </si>
  <si>
    <t>How to implement automated video tagging for improved discoverability?</t>
  </si>
  <si>
    <t>How to create automated video update notifications for your subscribers?</t>
  </si>
  <si>
    <t>How to leverage automated video metrics to optimize video lengths for viewer engagement?</t>
  </si>
  <si>
    <t>How to set up automated playlist creation for organized content delivery?</t>
  </si>
  <si>
    <t>How to use automated video engagement data to refine your thumbnail designs?</t>
  </si>
  <si>
    <t>How to implement automated content repurposing for different platforms?</t>
  </si>
  <si>
    <t>How to create automated video content quizzes to engage and educate your audience?</t>
  </si>
  <si>
    <t>How to leverage automated social media sharing to amplify your video reach?</t>
  </si>
  <si>
    <t>How to set up automated video watermarking for brand recognition?</t>
  </si>
  <si>
    <t>How to use automated tools to track video comments and engagement over time?</t>
  </si>
  <si>
    <t>How to implement automated video content backups for peace of mind?</t>
  </si>
  <si>
    <t>How to create automated video transcriptions for improved accessibility?</t>
  </si>
  <si>
    <t>How to leverage automated video viewer surveys to gather valuable insights?</t>
  </si>
  <si>
    <t>How to set up automated video topic suggestions for your subscribers?</t>
  </si>
  <si>
    <t>How to use automated video insights to identify your audience's preferred content?</t>
  </si>
  <si>
    <t>How to implement automated video cross-promotion across multiple channels?</t>
  </si>
  <si>
    <t>How to create automated video thumbnails that stand out in search results?</t>
  </si>
  <si>
    <t>How to leverage automated subscriber engagement to boost community growth?</t>
  </si>
  <si>
    <t>How to set up automated video keyword research for optimized metadata?</t>
  </si>
  <si>
    <t>How to use automated tools to track video engagement trends over time?</t>
  </si>
  <si>
    <t>How to implement automated video comment moderation for a positive environment?</t>
  </si>
  <si>
    <t>How to create automated video compilation series for binge-worthy content?</t>
  </si>
  <si>
    <t>How to leverage automated video content AI analysis for continuous improvement?</t>
  </si>
  <si>
    <t>How to set up automated video promotion campaigns across different platforms?</t>
  </si>
  <si>
    <t>How to use automated video engagement patterns to inform content sequencing?</t>
  </si>
  <si>
    <t>How to implement automated video distribution strategies for maximum exposure?</t>
  </si>
  <si>
    <t>How to create automated video polls and surveys to gather audience opinions?</t>
  </si>
  <si>
    <t>How to leverage automated video tags for better content discoverability?</t>
  </si>
  <si>
    <t>How to set up automated video viewer segmentation for personalized recommendations?</t>
  </si>
  <si>
    <t>How to use automated tools to track video performance metrics in real time?</t>
  </si>
  <si>
    <t>How to implement automated video content archiving for historical references?</t>
  </si>
  <si>
    <t>How to create automated video analytics reports for strategic decision-making?</t>
  </si>
  <si>
    <t>How to leverage automated video audience insights to tailor your content?</t>
  </si>
  <si>
    <t>How to set up automated video reactions to changes in viewer engagement?</t>
  </si>
  <si>
    <t>How to use automated tools to track video engagement and interaction trends?</t>
  </si>
  <si>
    <t>How to implement automated video content suggestions for viewers?</t>
  </si>
  <si>
    <t>How to create automated video engagement triggers for viewer interaction?</t>
  </si>
  <si>
    <t>How to leverage automated video content recommendations for subscriber growth?</t>
  </si>
  <si>
    <t>How to set up automated video thumbnail A/B testing for optimized clicks?</t>
  </si>
  <si>
    <t>How to use automated tools to track video performance against your goals?</t>
  </si>
  <si>
    <t>How to implement automated video content curation for thematic playlists?</t>
  </si>
  <si>
    <t>How to create automated video engagement campaigns to celebrate milestones?</t>
  </si>
  <si>
    <t>How to leverage automated video transcripts for repurposing content?</t>
  </si>
  <si>
    <t>How to set up automated video content collaboration requests with influencers?</t>
  </si>
  <si>
    <t>How to use automated tools to track video engagement fluctuations?</t>
  </si>
  <si>
    <t>How to implement automated video content tagging for categorization?</t>
  </si>
  <si>
    <t>How to create automated video promotion sequences for new subscribers?</t>
  </si>
  <si>
    <t>How to leverage automated video engagement data to optimize content lengths?</t>
  </si>
  <si>
    <t>How to set up automated video trend monitoring for content ideas?</t>
  </si>
  <si>
    <t>How to use automated tools to track video engagement across different platforms?</t>
  </si>
  <si>
    <t>How to implement automated video content cross-linking for viewer retention?</t>
  </si>
  <si>
    <t>How to create automated video engagement campaigns for user-generated content?</t>
  </si>
  <si>
    <t>How to leverage automated video topic trends for content creation?</t>
  </si>
  <si>
    <t>How to set up automated video content collaborations with fellow creators?</t>
  </si>
  <si>
    <t>How to use automated tools to track video engagement in relation to viewership?</t>
  </si>
  <si>
    <t>How to implement automated video content recommendations based on viewer behavior?</t>
  </si>
  <si>
    <t>How to create automated video engagement strategies for interactive content?</t>
  </si>
  <si>
    <t>How to leverage automated video data insights to optimize content delivery?</t>
  </si>
  <si>
    <t>How to set up automated video content tagging for optimized search results?</t>
  </si>
  <si>
    <t>How to use automated tools to track video engagement peaks and valleys?</t>
  </si>
  <si>
    <t>How to implement automated video content syndication for wider exposure?</t>
  </si>
  <si>
    <t>How to create automated video engagement campaigns to re-engage inactive subscribers?</t>
  </si>
  <si>
    <t>How to leverage automated video analytics to identify viewer preferences?</t>
  </si>
  <si>
    <t>How to set up automated video content brainstorming sessions using AI?</t>
  </si>
  <si>
    <t>How to use automated tools to track video engagement patterns across demographics?</t>
  </si>
  <si>
    <t>How to implement automated video content collaborations with experts?</t>
  </si>
  <si>
    <t>How to create automated video engagement campaigns to celebrate seasonal events?</t>
  </si>
  <si>
    <t>How to leverage automated video data insights to optimize content titles?</t>
  </si>
  <si>
    <t>How to set up automated video content recommendations for content series?</t>
  </si>
  <si>
    <t>How to use automated tools to track video engagement in relation to promotion?</t>
  </si>
  <si>
    <t>How to implement automated video content suggestions for related videos?</t>
  </si>
  <si>
    <t>How to create automated video engagement campaigns for exclusive content?</t>
  </si>
  <si>
    <t>How to leverage automated video data insights to optimize content descriptions?</t>
  </si>
  <si>
    <t>How to schedule your YouTube uploads for optimal audience engagement?</t>
  </si>
  <si>
    <t>How to automate the process of sharing your YouTube videos on social media platforms?</t>
  </si>
  <si>
    <t>How to use automated email campaigns to notify subscribers about your new video releases?</t>
  </si>
  <si>
    <t>How to set up automated captions for your YouTube videos to improve accessibility?</t>
  </si>
  <si>
    <t>How to streamline your video editing workflow using automated templates and presets?</t>
  </si>
  <si>
    <t>How to use AI-driven tools to automate the process of generating video thumbnails?</t>
  </si>
  <si>
    <t>How to implement automated analytics tracking to monitor the performance of your YouTube channel?</t>
  </si>
  <si>
    <t>How to leverage chatbots for automated engagement and interaction with your YouTube audience?</t>
  </si>
  <si>
    <t>How to use automated transcription services to create video transcripts for improved SEO?</t>
  </si>
  <si>
    <t>How to automate the process of cross-promoting your YouTube videos within your content?</t>
  </si>
  <si>
    <t>How to use automated video distribution platforms to reach a wider audience?</t>
  </si>
  <si>
    <t>How to create automated playlists to organize your YouTube content for viewers?</t>
  </si>
  <si>
    <t>How to implement automated comment moderation to maintain a positive community on your channel?</t>
  </si>
  <si>
    <t>How to use automated video subtitles to cater to viewers who speak different languages?</t>
  </si>
  <si>
    <t>How to set up automated responses for frequently asked questions in your video comments?</t>
  </si>
  <si>
    <t>How to use automated video repurposing to create content for different platforms?</t>
  </si>
  <si>
    <t>How to implement automated end screens and annotations to encourage viewer engagement?</t>
  </si>
  <si>
    <t>How to create automated video updates for subscribers on your latest content?</t>
  </si>
  <si>
    <t>How to use automated email sequences to nurture and grow your YouTube subscriber base?</t>
  </si>
  <si>
    <t>How to set up automated affiliate marketing links within your video descriptions?</t>
  </si>
  <si>
    <t>How to leverage automated analytics insights to refine your YouTube content strategy?</t>
  </si>
  <si>
    <t>How to implement automated keyword research to optimize your video titles and descriptions?</t>
  </si>
  <si>
    <t>How to use automated video scheduling tools to maintain a consistent posting schedule?</t>
  </si>
  <si>
    <t>How to create automated video thumbnails that attract clicks and views?</t>
  </si>
  <si>
    <t>How to set up automated audience segmentation for targeted content recommendations?</t>
  </si>
  <si>
    <t>How to leverage automated marketing funnels to convert YouTube viewers into subscribers?</t>
  </si>
  <si>
    <t>How to use automated A/B testing for video titles, thumbnails, and descriptions?</t>
  </si>
  <si>
    <t>How to implement automated copyright detection and resolution for your videos?</t>
  </si>
  <si>
    <t>How to create automated intro and outro sequences to maintain branding consistency?</t>
  </si>
  <si>
    <t>How to set up automated live streaming for real-time audience engagement?</t>
  </si>
  <si>
    <t>How to use automated data analytics to identify trends and insights for your YouTube channel?</t>
  </si>
  <si>
    <t>How to implement automated video sharing to niche online communities and forums?</t>
  </si>
  <si>
    <t>How to leverage automated cross-promotion collaborations with other YouTube creators?</t>
  </si>
  <si>
    <t>How to use automated content curation to supplement your original videos?</t>
  </si>
  <si>
    <t>How to implement automated video translations to reach a global audience?</t>
  </si>
  <si>
    <t>How to create automated engagement prompts within your videos to encourage viewer participation?</t>
  </si>
  <si>
    <t>How to set up automated social proof notifications to showcase your video's popularity?</t>
  </si>
  <si>
    <t>How to use automated data visualization tools to present your YouTube analytics?</t>
  </si>
  <si>
    <t>How to implement automated email segmentation for personalized content recommendations?</t>
  </si>
  <si>
    <t>How to leverage automated influencer outreach to promote your YouTube channel?</t>
  </si>
  <si>
    <t>How to use automated video distribution to republish content on different platforms?</t>
  </si>
  <si>
    <t>How to implement automated video monetization strategies for passive income?</t>
  </si>
  <si>
    <t>How to create automated email newsletters featuring your latest YouTube content?</t>
  </si>
  <si>
    <t>How to set up automated live chatbots to engage with viewers during live streams?</t>
  </si>
  <si>
    <t>How to use automated video trend analysis to predict upcoming content trends?</t>
  </si>
  <si>
    <t>How to implement automated content scheduling for themed content weeks or months?</t>
  </si>
  <si>
    <t>How to leverage automated subscriber rewards and giveaways for audience engagement?</t>
  </si>
  <si>
    <t>How to use automated video feedback surveys to gather insights from your viewers?</t>
  </si>
  <si>
    <t>How to implement automated content archiving for easy access and reuse?</t>
  </si>
  <si>
    <t>How to create automated thank-you messages for new subscribers or engaged viewers?</t>
  </si>
  <si>
    <t>How to set up automated playlist recommendations based on viewer preferences?</t>
  </si>
  <si>
    <t>How to use automated audience segmentation for targeted promotional content?</t>
  </si>
  <si>
    <t>How to implement automated video series creation for consistent content themes?</t>
  </si>
  <si>
    <t>How to leverage automated social listening tools for content inspiration?</t>
  </si>
  <si>
    <t>How to use automated video performance reports for regular channel evaluation?</t>
  </si>
  <si>
    <t>How to implement automated interactive elements like polls and quizzes in your videos?</t>
  </si>
  <si>
    <t>How to create automated video teasers to promote upcoming content?</t>
  </si>
  <si>
    <t>How to set up automated video previews for social media sharing?</t>
  </si>
  <si>
    <t>How to use automated caption translation for multilingual audiences?</t>
  </si>
  <si>
    <t>How to implement automated subscriber welcome sequences for new viewers?</t>
  </si>
  <si>
    <t>How to leverage automated affiliate marketing integration within your video content?</t>
  </si>
  <si>
    <t>How to use automated video highlight reels to recap your channel's best moments?</t>
  </si>
  <si>
    <t>How to implement automated content tagging and metadata organization?</t>
  </si>
  <si>
    <t>How to create automated video compilations of your most popular content?</t>
  </si>
  <si>
    <t>How to set up automated video quality checks to ensure consistent viewer experience?</t>
  </si>
  <si>
    <t>How to leverage automated engagement analytics to optimize your video content?</t>
  </si>
  <si>
    <t>How to use automated video contest and giveaway campaigns to increase audience participation?</t>
  </si>
  <si>
    <t>How to implement automated video testimonials and endorsements from satisfied viewers?</t>
  </si>
  <si>
    <t>How to create automated video transcripts for improved accessibility?</t>
  </si>
  <si>
    <t>How to set up automated cross-channel promotions to grow your YouTube subscriber base?</t>
  </si>
  <si>
    <t>How to leverage automated influencer shoutouts to boost your YouTube visibility?</t>
  </si>
  <si>
    <t>How to use automated video tagging tools for efficient content discovery?</t>
  </si>
  <si>
    <t>How to implement automated content repackaging for different audience segments?</t>
  </si>
  <si>
    <t>How to create automated video content calendars for efficient planning and scheduling?</t>
  </si>
  <si>
    <t>How to set up automated content brainstorming sessions using AI-driven tools?</t>
  </si>
  <si>
    <t>How to leverage automated video metrics tracking to measure ROI and channel growth?</t>
  </si>
  <si>
    <t>How to use automated sentiment analysis to gauge viewer reactions to your content?</t>
  </si>
  <si>
    <t>How to implement automated video collaboration requests with other creators?</t>
  </si>
  <si>
    <t>How to create automated video testimonials from satisfied clients or customers?</t>
  </si>
  <si>
    <t>How to set up automated video archiving and retrieval for future use?</t>
  </si>
  <si>
    <t>How to leverage automated video trend alerts to stay ahead of popular topics?</t>
  </si>
  <si>
    <t>How to use automated video engagement analytics to identify viewer preferences?</t>
  </si>
  <si>
    <t>How to implement automated keyword monitoring for ongoing content optimization?</t>
  </si>
  <si>
    <t>How to create automated video compilations based on viewer requests?</t>
  </si>
  <si>
    <t>How to set up automated video series recommendations based on viewer history?</t>
  </si>
  <si>
    <t>How to leverage automated content distribution tools for wider reach?</t>
  </si>
  <si>
    <t>How to use automated video trend analysis to optimize your content strategy?</t>
  </si>
  <si>
    <t>How to implement automated video engagement campaigns to boost likes and comments?</t>
  </si>
  <si>
    <t>How to create automated video tutorials for frequently asked questions?</t>
  </si>
  <si>
    <t>How to set up automated video sharing within targeted online communities?</t>
  </si>
  <si>
    <t>How to leverage automated video tagging for improved searchability?</t>
  </si>
  <si>
    <t>How to use automated video feedback forms to gather audience insights?</t>
  </si>
  <si>
    <t>How to implement automated video testimonials from collaborators and partners?</t>
  </si>
  <si>
    <t>How to create automated video highlight reels of your channel's achievements?</t>
  </si>
  <si>
    <t>How to set up automated video distribution for paid media campaigns?</t>
  </si>
  <si>
    <t>How to leverage automated content generation tools to speed up video creation?</t>
  </si>
  <si>
    <t>How to use automated video engagement tracking to identify peak viewer times?</t>
  </si>
  <si>
    <t>How to implement automated content updates and revisions for evergreen videos?</t>
  </si>
  <si>
    <t>How to create automated video intros that captivate and engage your audience?</t>
  </si>
  <si>
    <t>How to set up automated video previews to pique viewer interest and curiosity?</t>
  </si>
  <si>
    <t>Small Business Tips</t>
  </si>
  <si>
    <t>Compose a compelling elevator pitch that succinctly describes your business, highlighting its unique value proposition, target audience, and key benefits.</t>
  </si>
  <si>
    <t>List the essential elements of a well-designed business website, including clear navigation, compelling content, intuitive user experience, and strong calls to action.</t>
  </si>
  <si>
    <t>Itemize the key factors to consider when selecting a suitable location for your brick-and-mortar store, such as foot traffic, accessibility, competition, and lease terms.</t>
  </si>
  <si>
    <t>Plan a social media content calendar that outlines the types of content you will create and share, posting frequency, and engagement strategies to build your online presence.</t>
  </si>
  <si>
    <t>Devise a customer service strategy that focuses on providing exceptional experiences, including training your employees, implementing feedback mechanisms, and resolving customer issues promptly.</t>
  </si>
  <si>
    <t>Draft a comprehensive employee handbook that outlines your company policies, procedures, and expectations, ensuring a clear understanding of the rules and fostering a positive work environment.</t>
  </si>
  <si>
    <t>Outline a competitive pricing strategy that balances profitability with market demand, taking into account factors such as cost of goods, competition, perceived value, and customer willingness to pay.</t>
  </si>
  <si>
    <t>Plan a customer journey map that visualizes the steps your customers go through when interacting with your business, identifying touchpoints and opportunities to enhance their experience.</t>
  </si>
  <si>
    <t>Calculate the lifetime value of a customer to understand the long-term revenue potential of acquiring and retaining customers, helping you allocate resources effectively.</t>
  </si>
  <si>
    <t>Summarize the steps involved in conducting market research to gather insights about your target audience, competition, and market trends, enabling informed decision-making.</t>
  </si>
  <si>
    <t>Estimate the cost and benefits of implementing a customer loyalty program for your business, considering the potential impact on customer retention and repeat purchases.</t>
  </si>
  <si>
    <t>Compose a crisis communication plan that outlines how you will communicate with your stakeholders, employees, customers, and the media in times of crisis or reputation management.</t>
  </si>
  <si>
    <t>List the key performance indicators (KPIs) that you will track to measure the success and progress of your business, such as sales growth, customer satisfaction, conversion rates, and profitability.</t>
  </si>
  <si>
    <t>Itemize the necessary insurance coverage for your business, including general liability insurance, professional liability insurance, property insurance, and workers' compensation.</t>
  </si>
  <si>
    <t>Plan a content marketing strategy that includes creating valuable and relevant content, distributing it through various channels, and measuring its impact on audience engagement and lead generation.</t>
  </si>
  <si>
    <t>Devise a supply chain management plan that ensures the efficient movement of goods or services from suppliers to customers, minimizing costs and optimizing inventory levels.</t>
  </si>
  <si>
    <t>Draft an employee benefits package that includes competitive compensation, health insurance, retirement plans, and other perks to attract and retain top talent.</t>
  </si>
  <si>
    <t>Outline a data security and privacy policy that protects your business and customer data, complying with applicable laws and regulations and mitigating cybersecurity risks.</t>
  </si>
  <si>
    <t>Plan a customer feedback and review management system that encourages customers to provide feedback, resolves their issues, and leverages positive reviews for reputation building.</t>
  </si>
  <si>
    <t>Calculate the return on investment (ROI) for your marketing campaigns or initiatives, tracking the effectiveness of your marketing efforts and optimizing your strategies accordingly.</t>
  </si>
  <si>
    <t>Summarize the essential elements of an effective website or online presence, including user experience, mobile responsiveness, search engine optimization (SEO), and engaging content.</t>
  </si>
  <si>
    <t>Estimate the size of your target market and identify the segments or niches that offer the most potential for growth, considering demographics, psychographics, and market trends.</t>
  </si>
  <si>
    <t>Compose a crisis recovery plan that focuses on recovering from a crisis or disaster, ensuring business continuity, and rebuilding customer trust and confidence.</t>
  </si>
  <si>
    <t>List the different financing options available to small businesses, such as bank loans, SBA loans, microloans, grants, and crowdfunding, outlining their pros and cons.</t>
  </si>
  <si>
    <t>Itemize the essential components of a solid marketing strategy for small businesses, including market research, target audience identification, branding, advertising, and digital marketing.</t>
  </si>
  <si>
    <t>Plan a budget for your small business, considering your operating expenses, marketing costs, inventory management, equipment, and anticipated revenue.</t>
  </si>
  <si>
    <t>Devise a customer acquisition plan that outlines the strategies and tactics you will employ to attract new customers, such as online advertising, social media campaigns, partnerships, and referrals.</t>
  </si>
  <si>
    <t>Draft an inventory management system that helps you track your inventory levels, optimize stock replenishment, minimize stockouts, and prevent excess inventory.</t>
  </si>
  <si>
    <t>Outline a competitive analysis that identifies and analyzes your direct and indirect competitors, their strengths and weaknesses, and potential market opportunities for your small business.</t>
  </si>
  <si>
    <t>Plan a sales and marketing funnel that guides potential customers through the buying process, from awareness and interest to purchase and retention, using various touchpoints.</t>
  </si>
  <si>
    <t>Calculate your break-even point to determine the level of sales you need to cover your fixed and variable costs, helping you set realistic sales targets and pricing strategies.</t>
  </si>
  <si>
    <t>Summarize the essential steps involved in starting a small business, including business registration, obtaining necessary licenses and permits, and setting up your financial accounts.</t>
  </si>
  <si>
    <t>Estimate your initial startup costs, including equipment, inventory, marketing materials, legal fees, and office or store setup, helping you secure the necessary funding.</t>
  </si>
  <si>
    <t>Compose a customer persona profile that represents your ideal customer, detailing their demographics, preferences, needs, and motivations, guiding your marketing and product decisions.</t>
  </si>
  <si>
    <t>List the key elements of an effective sales pitch or presentation, including a compelling opening, clear value proposition, addressing customer pain points, and a strong call to action.</t>
  </si>
  <si>
    <t>Itemize the technology and software solutions that can streamline your small business operations, such as accounting software, project management tools, point-of-sale systems, and customer relationship management (CRM) software.</t>
  </si>
  <si>
    <t>Plan a small business branding strategy that encompasses your brand identity, logo design, brand messaging, and consistent visual and verbal communication across all channels.</t>
  </si>
  <si>
    <t>Devise a customer retention strategy that focuses on building long-term relationships with your existing customers, including loyalty programs, personalized marketing, and exceptional customer service.</t>
  </si>
  <si>
    <t>Draft an effective email marketing campaign that nurtures leads, promotes your products or services, and keeps your customers engaged, utilizing automation and personalization techniques.</t>
  </si>
  <si>
    <t>Outline a social responsibility and sustainability plan that demonstrates your small business's commitment to ethical practices, environmental conservation, and community engagement.</t>
  </si>
  <si>
    <t>Plan a referral marketing program that encourages your satisfied customers to refer new customers to your small business, rewarding them for their advocacy and loyalty.</t>
  </si>
  <si>
    <t>Calculate your small business's cash flow projection to understand and manage your inflows and outflows, ensuring you have sufficient funds to cover expenses and invest in growth.</t>
  </si>
  <si>
    <t>Summarize the steps involved in creating a small business blog or content platform, including content planning, creation, promotion, and measuring its impact on audience engagement.</t>
  </si>
  <si>
    <t>Estimate the cost and feasibility of implementing a loyalty program for your small business, considering the potential benefits in terms of customer retention and increased sales.</t>
  </si>
  <si>
    <t>Compose a comprehensive employee training and development plan that addresses the skills and knowledge required for each role in your small business, fostering employee growth.</t>
  </si>
  <si>
    <t>List the necessary permits and licenses required for your specific industry or type of small business, ensuring compliance with local, state, and federal regulations.</t>
  </si>
  <si>
    <t>Itemize the essential components of an effective sales and customer relationship management (CRM) system for small businesses, including lead management, contact organization, and sales pipeline tracking.</t>
  </si>
  <si>
    <t>Plan a market expansion strategy to grow your small business beyond its current market, considering factors such as market research, target audience analysis, and competition assessment.</t>
  </si>
  <si>
    <t>Devise a cash flow management strategy that helps you maintain healthy cash reserves, manage accounts payable and receivable, and effectively handle seasonal fluctuations.</t>
  </si>
  <si>
    <t>Draft a customer communication plan that outlines the various channels and touchpoints you will use to engage with your customers, including email newsletters, social media, and customer support platforms.</t>
  </si>
  <si>
    <t>What are some [key steps to starting a small business], such as [developing a business plan], [registering the business], and [obtaining necessary licenses and permits]?</t>
  </si>
  <si>
    <t>How can I [research and identify my target market] to [develop effective marketing strategies] and [improve my chances of success]?</t>
  </si>
  <si>
    <t>What are some [tips for creating a strong brand identity], such as [designing a logo], [developing a mission statement], and [creating a consistent visual style]?</t>
  </si>
  <si>
    <t>How can I [establish a strong online presence] through [social media], [website design], and [search engine optimization] to [reach more customers] and [build my brand]?</t>
  </si>
  <si>
    <t>What are some [tips for managing finances] as a small business owner, such as [keeping accurate records], [managing cash flow], and [creating a budget]?</t>
  </si>
  <si>
    <t>How can I [create effective marketing campaigns] through [targeted advertising], [promotions], and [content marketing] to [attract new customers] and [build brand loyalty]?</t>
  </si>
  <si>
    <t>What are some [strategies for building customer relationships] through [excellent customer service], [loyalty programs], and [personalized experiences]?</t>
  </si>
  <si>
    <t>How can I [create effective sales strategies] through [understanding customer needs], [upselling], and [cross-selling] to [increase revenue]?</t>
  </si>
  <si>
    <t>What are some [tips for managing employees], such as [hiring the right people], [providing training and development], and [maintaining a positive company culture]?</t>
  </si>
  <si>
    <t>How can I [use technology to improve business operations], such as [implementing productivity tools], [using data analytics], and [streamlining processes]?</t>
  </si>
  <si>
    <t>What are some [tips for networking and building business relationships], such as [attending events], [joining professional organizations], and [reaching out to potential partners]?</t>
  </si>
  <si>
    <t>How can I [set and achieve business goals] through [SMART goal setting], [tracking progress], and [revising strategies]?</t>
  </si>
  <si>
    <t>What are some [tips for managing inventory] and [supply chain management], such as [optimizing stock levels], [negotiating with suppliers], and [implementing efficient logistics]?</t>
  </si>
  <si>
    <t>How can I [use customer feedback] to [improve products and services] and [maintain customer satisfaction]?</t>
  </si>
  <si>
    <t>What are some [tips for managing social media], such as [creating a content calendar], [responding to comments], and [measuring engagement]?</t>
  </si>
  <si>
    <t>How can I [use email marketing] to [reach and engage customers], such as [building an email list], [personalizing content], and [tracking metrics]?</t>
  </si>
  <si>
    <t>What are some [tips for managing business taxes] and [compliance], such as [keeping accurate records], [filing on time], and [staying up-to-date with regulations]?</t>
  </si>
  <si>
    <t>How can I [manage and reduce business expenses] through [budgeting], [negotiating with suppliers], and [minimizing waste]?</t>
  </si>
  <si>
    <t>What are some [tips for managing online reviews and reputation], such as [responding promptly], [encouraging feedback], and [improving customer experiences]?</t>
  </si>
  <si>
    <t>What are some [tips for creating effective business proposals], such as [clearly defining project scope], [outlining deliverables and timelines], and [presenting competitive pricing]?</t>
  </si>
  <si>
    <t>How can I [stay up-to-date with industry trends and news] to [remain competitive] and [innovate my business]?</t>
  </si>
  <si>
    <t>What are some [tips for managing a remote team], such as [setting clear expectations], [maintaining regular communication], and [using project management tools]?</t>
  </si>
  <si>
    <t>How can I [use customer data and insights] to [inform business decisions], such as [product development], [pricing strategies], and [targeted marketing]?</t>
  </si>
  <si>
    <t>What are some [tips for managing a small business website], such as [optimizing for search engines], [updating content regularly], and [improving website speed and performance]?</t>
  </si>
  <si>
    <t>How can I [create a positive and memorable customer experience] through [personalization], [surprise and delight], and [prompt resolution of issues]?</t>
  </si>
  <si>
    <t>What are some [tips for managing a small business budget], such as [tracking expenses], [forecasting cash flow], and [minimizing debt]?</t>
  </si>
  <si>
    <t>How can I [build and maintain a strong reputation] through [consistent branding], [quality products and services], and [ethical business practices]?</t>
  </si>
  <si>
    <t>What are some [tips for creating effective social media ads], such as [targeting the right audience], [creating eye-catching visuals], and [using compelling copy]?</t>
  </si>
  <si>
    <t>How can I [leverage the power of customer referrals] to [attract new business], such as [offering incentives], [maintaining excellent customer service], and [asking for referrals]?</t>
  </si>
  <si>
    <t>What are some [tips for creating a strong value proposition], such as [understanding customer pain points], [highlighting unique selling points], and [communicating benefits]?</t>
  </si>
  <si>
    <t>How can I [use content marketing] to [attract and engage customers], such as [creating blog posts], [producing videos], and [developing e-books]?</t>
  </si>
  <si>
    <t>What are some [tips for creating effective email subject lines], such as [personalizing], [using urgency], and [being concise]?</t>
  </si>
  <si>
    <t>How can I [create and maintain effective partnerships] with other businesses to [drive growth], such as [cross-promoting], [sharing resources], and [collaborating on projects]?</t>
  </si>
  <si>
    <t>What are some [tips for managing a small business social media presence], such as [engaging with followers], [measuring results], and [staying consistent]?</t>
  </si>
  <si>
    <t>How can I [use data analytics] to [measure and improve business performance], such as [tracking website traffic], [analyzing sales data], and [identifying areas for improvement]?</t>
  </si>
  <si>
    <t>What are some [tips for creating effective calls-to-action], such as [using action-oriented language], [offering incentives], and [creating urgency]?</t>
  </si>
  <si>
    <t>How can I [use customer segmentation] to [create targeted marketing campaigns] and [improve customer experiences]?</t>
  </si>
  <si>
    <t>What are some [tips for managing a small business social media advertising campaign], such as [setting goals], [testing different ad formats], and [tracking metrics]?</t>
  </si>
  <si>
    <t>Outline a small business growth plan that includes strategies for scaling your operations, expanding your product or service offerings, entering new markets, or exploring strategic partnerships.</t>
  </si>
  <si>
    <t>Plan a cost-effective marketing campaign for your small business that maximizes reach and impact while staying within your budget, utilizing a mix of digital and traditional marketing channels.</t>
  </si>
  <si>
    <t>Calculate the return on investment (ROI) for your marketing efforts to evaluate the effectiveness of different campaigns or initiatives and make data-driven decisions for future marketing investments.</t>
  </si>
  <si>
    <t>Summarize the steps involved in building an effective online presence for your small business, including creating a user-friendly website, optimizing it for search engines, and utilizing online directories and review platforms.</t>
  </si>
  <si>
    <t>Estimate the potential market size and demand for your product or service, conducting market research, analyzing industry trends, and identifying your target audience's needs and preferences.</t>
  </si>
  <si>
    <t>Compose a customer retention plan that includes strategies for nurturing customer loyalty, fostering repeat business, and implementing personalized marketing campaigns to keep your existing customers engaged.</t>
  </si>
  <si>
    <t>List the key financial ratios and metrics that you should regularly monitor to assess the financial health of your small business, such as gross profit margin, cash flow ratio, and return on investment.</t>
  </si>
  <si>
    <t>Itemize the essential elements of a successful small business networking strategy, including attending industry events, joining professional organizations, and leveraging online networking platforms.</t>
  </si>
  <si>
    <t>Plan a customer referral program that incentivizes your existing customers to refer new customers to your small business, using rewards or discounts to encourage word-of-mouth marketing.</t>
  </si>
  <si>
    <t>Devise a competitive differentiation strategy that highlights the unique aspects of your small business, whether it's exceptional customer service, innovative products, or a niche market focus.</t>
  </si>
  <si>
    <t>Draft a comprehensive sales script or pitch that guides your sales team in effectively communicating your small business's value proposition, addressing common objections, and closing deals.</t>
  </si>
  <si>
    <t>Outline a small business succession plan that addresses the future transfer of ownership or leadership, considering factors such as retirement, family succession, or selling the business.</t>
  </si>
  <si>
    <t>Plan a social media advertising strategy that optimizes your budget, targeting specific demographics and interests, utilizing platforms like Facebook, Instagram, LinkedIn, or Twitter.</t>
  </si>
  <si>
    <t>Calculate the cost per acquisition (CPA) for your marketing campaigns to understand how much it costs to acquire a new customer, helping you assess campaign profitability and optimize your marketing budget.</t>
  </si>
  <si>
    <t>Summarize the essential steps involved in creating an effective customer loyalty program for your small business, including defining rewards, setting redemption criteria, and implementing a tracking system.</t>
  </si>
  <si>
    <t>Estimate the potential return on investment for implementing technology solutions in your small business, such as point-of-sale systems, inventory management software, or customer relationship management (CRM) tools.</t>
  </si>
  <si>
    <t>Compose a comprehensive employee performance evaluation process that sets clear expectations, provides constructive feedback, and identifies opportunities for employee growth and development.</t>
  </si>
  <si>
    <t>List the key legal and compliance considerations for your small business, such as data protection regulations, employment laws, intellectual property protection, and tax obligations.</t>
  </si>
  <si>
    <t>Itemize the essential elements of a successful email marketing campaign for your small business, including building a targeted email list, crafting engaging content, and optimizing open and click-through rates.</t>
  </si>
  <si>
    <t>Plan a customer segmentation strategy to divide your target market into distinct groups based on demographics, psychographics, or buying behavior, allowing for more personalized marketing and messaging.</t>
  </si>
  <si>
    <t>Devise a cost-effective customer service strategy that balances customer satisfaction with operational efficiency, leveraging technology solutions like chatbots, knowledge bases, and self-service options.</t>
  </si>
  <si>
    <t>Draft a crisis management plan that outlines protocols and procedures for responding to emergencies, public relations issues, or unexpected events that may impact your small business's reputation.</t>
  </si>
  <si>
    <t>Outline a small business sustainability plan that focuses on minimizing environmental impact, reducing waste, and adopting eco-friendly practices, aligning with the growing trend of conscious consumerism.</t>
  </si>
  <si>
    <t>Plan a local marketing strategy to increase visibility and attract customers in your immediate area, including tactics such as local SEO, community partnerships, sponsoring local events, or participating in local directories.</t>
  </si>
  <si>
    <t>Calculate the cost of acquiring a new customer versus retaining an existing customer to understand the value of customer retention and prioritize efforts to build customer loyalty.</t>
  </si>
  <si>
    <t>Summarize the steps involved in conducting a SWOT analysis for your small business, evaluating its strengths, weaknesses, opportunities, and threats to inform strategic decision-making.</t>
  </si>
  <si>
    <t>Estimate the cost and feasibility of implementing an e-commerce platform for your small business, considering factors such as website development, payment processing, and logistics.</t>
  </si>
  <si>
    <t>Compose a branding style guide that outlines your small business's visual identity, including logo usage, color palettes, typography, and brand guidelines for consistent communication.</t>
  </si>
  <si>
    <t>List the essential components of an effective small business sales funnel, including lead generation, lead nurturing, conversion optimization, and customer retention strategies.</t>
  </si>
  <si>
    <t>Itemize the steps involved in creating a business continuity plan that outlines procedures and protocols to ensure your small business can continue operating during disruptions or emergencies.</t>
  </si>
  <si>
    <t>Plan a small business social responsibility initiative that aligns with your values and engages your employees and customers, such as volunteering programs, charitable partnerships, or sustainable practices.</t>
  </si>
  <si>
    <t>Devise a pricing optimization strategy that considers factors such as market demand, competition, cost structure, value perception, and pricing psychology to maximize profitability.</t>
  </si>
  <si>
    <t>Draft a small business employee retention plan that focuses on creating a positive work culture, offering growth opportunities, recognizing employee achievements, and providing competitive benefits.</t>
  </si>
  <si>
    <t>Outline a small business market penetration strategy to increase market share, such as targeted advertising campaigns, promotional offers, or expanding into new geographic regions.</t>
  </si>
  <si>
    <t>Plan a customer feedback and review management system that encourages customers to provide feedback, testimonials, and online reviews, leveraging positive feedback for reputation building.</t>
  </si>
  <si>
    <t>Calculate the customer acquisition cost (CAC) to understand the cost-effectiveness of your marketing efforts and optimize your customer acquisition strategies accordingly.</t>
  </si>
  <si>
    <t>Summarize the essential elements of a successful product launch for your small business, including market research, competitive analysis, pricing, promotion, and effective communication.</t>
  </si>
  <si>
    <t>Estimate the financial impact of introducing new products or services to your small business, considering development costs, market demand, pricing, and projected revenue.</t>
  </si>
  <si>
    <t>Compose a small business crisis response plan that outlines communication channels, key contacts, and protocols to follow during various types of crises or emergency situations.</t>
  </si>
  <si>
    <t>List the key components of an effective small business referral marketing strategy, including incentivizing referrals, providing referral tools, and nurturing relationships with referrers.</t>
  </si>
  <si>
    <t>Itemize the essential financial records and documents that you should maintain for your small business, such as balance sheets, income statements, cash flow statements, and tax records.</t>
  </si>
  <si>
    <t>Plan a small business market research strategy to gather insights about your target audience, competition, market trends, and potential opportunities for growth.</t>
  </si>
  <si>
    <t>Devise a strategic partnership strategy for your small business, identifying potential partners or collaborators who can complement your offerings, expand your reach, or provide additional resources.</t>
  </si>
  <si>
    <t>Draft a comprehensive employee onboarding process that ensures new hires receive the necessary training, resources, and support to integrate smoothly into your small business.</t>
  </si>
  <si>
    <t>Outline a small business exit strategy that defines your long-term goals, options for selling or transitioning the business, and steps to maximize its value and prepare for a smooth transition.</t>
  </si>
  <si>
    <t>Compose a competitive analysis report that provides an in-depth assessment of your main competitors, their products or services, market share, and competitive advantages.</t>
  </si>
  <si>
    <t>List the key factors to consider when selecting the right digital marketing channels for your small business, such as target audience demographics, platform reach, advertising costs, and engagement potential.</t>
  </si>
  <si>
    <t>Itemize the essential components of a well-crafted small business sales proposal, including a compelling introduction, problem statement, solution description, pricing, and call to action.</t>
  </si>
  <si>
    <t>Plan a small business customer segmentation strategy to tailor your marketing efforts to specific customer segments, identifying their unique needs, preferences, and buying behaviors.</t>
  </si>
  <si>
    <t>Devise a small business innovation strategy that encourages continuous improvement, idea generation, and experimentation to stay ahead of the competition and meet evolving customer demands.</t>
  </si>
  <si>
    <t>SaaS Success</t>
  </si>
  <si>
    <t>What are the most important steps for building a SaaS from scratch?</t>
  </si>
  <si>
    <t>How to validate a SaaS idea before building it?</t>
  </si>
  <si>
    <t>What are the most important SaaS business models to consider?</t>
  </si>
  <si>
    <t>How to choose the right technology stack for building a SaaS?</t>
  </si>
  <si>
    <t>What are the most important SaaS development frameworks to use?</t>
  </si>
  <si>
    <t>How to build a SaaS product roadmap?</t>
  </si>
  <si>
    <t>What are the most important SaaS development methodologies to follow?</t>
  </si>
  <si>
    <t>How to build a SaaS minimum viable product (MVP)?</t>
  </si>
  <si>
    <t>What are the most important SaaS development tools and resources to use?</t>
  </si>
  <si>
    <t>How to build a SaaS development team?</t>
  </si>
  <si>
    <t>What are the most important SaaS development roles and responsibilities?</t>
  </si>
  <si>
    <t>How to build a SaaS development culture?</t>
  </si>
  <si>
    <t>What are the most important SaaS development processes and best practices?</t>
  </si>
  <si>
    <t>How to build a SaaS development plan?</t>
  </si>
  <si>
    <t>What are the most important SaaS development budgets and schedules to consider?</t>
  </si>
  <si>
    <t>How to build a SaaS development environment?</t>
  </si>
  <si>
    <t>What are the most important SaaS development security and privacy considerations?</t>
  </si>
  <si>
    <t>How to build a SaaS development user experience (UX)?</t>
  </si>
  <si>
    <t>What are the most important SaaS development performance and scalability considerations?</t>
  </si>
  <si>
    <t>How to build a SaaS development DevOps pipeline?</t>
  </si>
  <si>
    <t>What are the most important SaaS development testing and quality assurance (QA) practices?</t>
  </si>
  <si>
    <t>How to build a SaaS development documentation and knowledge management?</t>
  </si>
  <si>
    <t>What are the most important SaaS development version control and release management practices?</t>
  </si>
  <si>
    <t>How to build a SaaS development disaster recovery and business continuity plan?</t>
  </si>
  <si>
    <t>What are the most important SaaS development integration and APIs considerations?</t>
  </si>
  <si>
    <t>How to build a SaaS development user onboarding and training?</t>
  </si>
  <si>
    <t>What are the most important SaaS development customer support and feedback processes?</t>
  </si>
  <si>
    <t>How to build a SaaS development pricing and monetization strategies?</t>
  </si>
  <si>
    <t>What are the most important SaaS development marketing and branding strategies?</t>
  </si>
  <si>
    <t>How to build a SaaS development distribution and sales strategies?</t>
  </si>
  <si>
    <t>What are the most important SaaS development customer acquisition and retention strategies?</t>
  </si>
  <si>
    <t>How to build a SaaS development customer success strategies?</t>
  </si>
  <si>
    <t>What are the most important SaaS development data privacy and security policies?</t>
  </si>
  <si>
    <t>How to build a SaaS development data analytics and reporting?</t>
  </si>
  <si>
    <t>What are the most important SaaS development artificial intelligence (AI) and machine learning (ML) considerations?</t>
  </si>
  <si>
    <t>How to build a SaaS development cloud computing and infrastructure strategies?</t>
  </si>
  <si>
    <t>What are the most important SaaS development mobile and web development strategies?</t>
  </si>
  <si>
    <t>How to build a SaaS development integration with third-party tools and platforms?</t>
  </si>
  <si>
    <t>What are the most important SaaS development platform-as-a-service (PaaS) and software-as-a-service (SaaS) strategies?</t>
  </si>
  <si>
    <t>How to build a SaaS development employee training and professional development?</t>
  </si>
  <si>
    <t>What are the most important SaaS development hiring and talent management strategies?</t>
  </si>
  <si>
    <t>How to build a SaaS development workplace culture and values?</t>
  </si>
  <si>
    <t>What are the most important SaaS development company vision and mission?</t>
  </si>
  <si>
    <t>How to build a SaaS development company brand identity and reputation?</t>
  </si>
  <si>
    <t>How to build a SaaS development company culture of innovation and experimentation?</t>
  </si>
  <si>
    <t>What are the most important SaaS development company values and principles?</t>
  </si>
  <si>
    <t>How to build a SaaS development company strategy and growth plan?</t>
  </si>
  <si>
    <t>What are the most important SaaS development company performance metrics and KPIs?</t>
  </si>
  <si>
    <t>How to build a SaaS development company partnerships and collaborations?</t>
  </si>
  <si>
    <t>How to build a SaaS development company culture of transparency, accountability, and ethics?</t>
  </si>
  <si>
    <t>What are the first steps to starting a SaaS business?</t>
  </si>
  <si>
    <t>How to validate a SaaS business idea?</t>
  </si>
  <si>
    <t>How to create a minimum viable product (MVP) for a SaaS business?</t>
  </si>
  <si>
    <t>What are the most important skills for starting a SaaS business?</t>
  </si>
  <si>
    <t>How to find and hire a development team for a SaaS business?</t>
  </si>
  <si>
    <t>What are the most common development platforms for SaaS?</t>
  </si>
  <si>
    <t>How to create a business plan for a SaaS business?</t>
  </si>
  <si>
    <t>What are the most important financial metrics to track in a SaaS business?</t>
  </si>
  <si>
    <t>How to secure funding for a SaaS start-up?</t>
  </si>
  <si>
    <t>What are the most common legal structures for a SaaS business?</t>
  </si>
  <si>
    <t>What are the most important considerations for choosing a SaaS hosting provider?</t>
  </si>
  <si>
    <t>How to develop and implement a pricing strategy for a SaaS business?</t>
  </si>
  <si>
    <t>What are the most important features to include in a SaaS application?</t>
  </si>
  <si>
    <t>What are the most effective marketing strategies for a SaaS business?</t>
  </si>
  <si>
    <t>How to build a customer base for a SaaS business?</t>
  </si>
  <si>
    <t>How to create a sales and distribution strategy for a SaaS business?</t>
  </si>
  <si>
    <t>What are the most important considerations for user acquisition in a SaaS business?</t>
  </si>
  <si>
    <t>How to create a customer retention strategy for a SaaS business?</t>
  </si>
  <si>
    <t>What are the most important considerations for scaling a SaaS business?</t>
  </si>
  <si>
    <t>How to effectively manage a remote team for a SaaS business?</t>
  </si>
  <si>
    <t>What are the most important considerations for hiring in a SaaS business?</t>
  </si>
  <si>
    <t>How to create a culture of innovation in a SaaS business?</t>
  </si>
  <si>
    <t>What are the most important considerations for product development in a SaaS business?</t>
  </si>
  <si>
    <t>How to effectively manage and prioritize product features for a SaaS business?</t>
  </si>
  <si>
    <t>How to implement an agile development process for a SaaS business?</t>
  </si>
  <si>
    <t>What are the most important considerations for user experience (UX) design in a SaaS business?</t>
  </si>
  <si>
    <t>How to implement continuous deployment for a SaaS business?</t>
  </si>
  <si>
    <t>What are the most important considerations for data security in a SaaS business?</t>
  </si>
  <si>
    <t>How to create a data privacy policy for a SaaS business?</t>
  </si>
  <si>
    <t>What are the most important considerations for disaster recovery in a SaaS business?</t>
  </si>
  <si>
    <t>How to implement a DevOps culture in a SaaS business?</t>
  </si>
  <si>
    <t>What are the most important considerations for DevOps in a SaaS business?</t>
  </si>
  <si>
    <t>How to effectively manage SaaS vendors and contracts?</t>
  </si>
  <si>
    <t>How to implement a SaaS governance framework?</t>
  </si>
  <si>
    <t>What are the most important considerations for SaaS user adoption?</t>
  </si>
  <si>
    <t>How to create a SaaS onboarding program?</t>
  </si>
  <si>
    <t>What are the most important considerations for SaaS support and maintenance?</t>
  </si>
  <si>
    <t>How to measure the success of a SaaS business?</t>
  </si>
  <si>
    <t>What are the most important considerations for SaaS pricing?</t>
  </si>
  <si>
    <t>How to create a SaaS pricing strategy?</t>
  </si>
  <si>
    <t>How to create a SaaS sales strategy?</t>
  </si>
  <si>
    <t>How to create a SaaS marketing strategy?</t>
  </si>
  <si>
    <t>What are the most important considerations for SaaS customer success?</t>
  </si>
  <si>
    <t>How to implement SaaS customer feedback into product development</t>
  </si>
  <si>
    <t>How to measure and optimize SaaS customer satisfaction</t>
  </si>
  <si>
    <t>What are the most important considerations for SaaS customer service?</t>
  </si>
  <si>
    <t>How to build and maintain a SaaS community</t>
  </si>
  <si>
    <t>What are the most important considerations for SaaS retention and churn?</t>
  </si>
  <si>
    <t>How to implement a SaaS referral program?</t>
  </si>
  <si>
    <t>How to measure and optimize the lifetime value of SaaS customers?</t>
  </si>
  <si>
    <t>What is the role of CRM in a SaaS business?</t>
  </si>
  <si>
    <t>How to choose the right CRM system for a SaaS company?</t>
  </si>
  <si>
    <t>What are the key features and functions of a SaaS CRM system?</t>
  </si>
  <si>
    <t>How to implement and integrate a SaaS CRM system with existing business processes?</t>
  </si>
  <si>
    <t>What are the best practices for data management and security in SaaS CRM?</t>
  </si>
  <si>
    <t>How to measure and optimize the performance and effectiveness of a SaaS CRM system?</t>
  </si>
  <si>
    <t>How to engage and educate customers on the benefits of using a SaaS CRM system?</t>
  </si>
  <si>
    <t>What are the latest trends and innovations in SaaS CRM technology and solutions?</t>
  </si>
  <si>
    <t>How to manage and grow customer relationships through SaaS CRM analytics and reporting?</t>
  </si>
  <si>
    <t>How to design and implement customer journey maps and touchpoints through SaaS CRM?</t>
  </si>
  <si>
    <t>How to use SaaS CRM to personalize and optimize customer interactions and experiences?</t>
  </si>
  <si>
    <t>How to use SaaS CRM to streamline and automate customer service and support processes?</t>
  </si>
  <si>
    <t>How to use SaaS CRM to increase customer loyalty and retention through targeted and relevant communications?</t>
  </si>
  <si>
    <t>How to use SaaS CRM to drive customer growth and expansion through cross-selling and upselling opportunities?</t>
  </si>
  <si>
    <t>How to use SaaS CRM to measure and report on customer lifetime value and ROI?</t>
  </si>
  <si>
    <t>How to use SaaS CRM to manage and analyze customer feedback and complaints?</t>
  </si>
  <si>
    <t>How to use SaaS CRM to automate and optimize lead generation and qualification processes?</t>
  </si>
  <si>
    <t>How to use SaaS CRM to track and measure customer acquisition and conversion rates?</t>
  </si>
  <si>
    <t>How to use SaaS CRM to improve and scale customer onboarding and training processes?</t>
  </si>
  <si>
    <t>How to use SaaS CRM to manage and track customer contracts and renewals?</t>
  </si>
  <si>
    <t>How to use SaaS CRM to manage and analyze customer data and insights for informed decision making?</t>
  </si>
  <si>
    <t>How to use SaaS CRM to automate and optimize customer billing and invoicing processes?</t>
  </si>
  <si>
    <t>How to use SaaS CRM to improve and manage customer relationships through gamification and rewards?</t>
  </si>
  <si>
    <t>How to use SaaS CRM to manage and optimize customer journeys through multi-channel and omnichannel marketing?</t>
  </si>
  <si>
    <t>How to use SaaS CRM to improve and automate customer referral and advocacy programs?</t>
  </si>
  <si>
    <t>How to use SaaS CRM to manage and improve customer satisfaction and NPS scores?</t>
  </si>
  <si>
    <t>How to use SaaS CRM to manage and optimize customer segments and personas for targeted marketing?</t>
  </si>
  <si>
    <t>How to use SaaS CRM to improve and manage customer churn and win-back strategies?</t>
  </si>
  <si>
    <t>How to use SaaS CRM to manage and optimize customer loyalty and retention programs?</t>
  </si>
  <si>
    <t>How to use SaaS CRM to manage and analyze customer lifetime value and CLV models?</t>
  </si>
  <si>
    <t>How to use SaaS CRM to improve and automate customer engagement and retention through triggers and events?</t>
  </si>
  <si>
    <t>How to use SaaS CRM to manage and improve customer support and service through chatbots and AI?</t>
  </si>
  <si>
    <t>How to use SaaS CRM to manage and improve customer satisfaction and feedback through surveys and quizzes?</t>
  </si>
  <si>
    <t>How to use SaaS CRM to manage and optimize customer journeys through personalized and contextual marketing?</t>
  </si>
  <si>
    <t>How to use SaaS CRM to manage and analyze customer behavior and preferences through machine learning</t>
  </si>
  <si>
    <t>What is the best way to build strong relationships with your SaaS customers?</t>
  </si>
  <si>
    <t>How do you create a customer-focused culture within a SaaS company?</t>
  </si>
  <si>
    <t>How can you measure the success of your customer relationships in SaaS?</t>
  </si>
  <si>
    <t>What are some strategies for managing customer expectations in SaaS?</t>
  </si>
  <si>
    <t>How do you handle customer complaints in SaaS?</t>
  </si>
  <si>
    <t>How do you ensure customers have a positive experience with your SaaS product?</t>
  </si>
  <si>
    <t>What metrics should you track to understand the health of your customer relationships in SaaS?</t>
  </si>
  <si>
    <t>What are some tactics for retaining customers in SaaS?</t>
  </si>
  <si>
    <t>How do you create a customer feedback loop in SaaS?</t>
  </si>
  <si>
    <t>How do you build trust with customers in SaaS?</t>
  </si>
  <si>
    <t>How do you handle difficult customer conversations in SaaS?</t>
  </si>
  <si>
    <t>What are some common mistakes made in customer relationships in SaaS?</t>
  </si>
  <si>
    <t>How do you use customer data to improve your SaaS offerings?</t>
  </si>
  <si>
    <t>How do you create a customer success program in SaaS?</t>
  </si>
  <si>
    <t>How do you balance customer needs with your SaaS business goals?</t>
  </si>
  <si>
    <t>What are the key features that make a CRM extraordinary?</t>
  </si>
  <si>
    <t>How can I improve customer engagement with my Saas CRM?</t>
  </si>
  <si>
    <t>What are the best practices for managing customer data in a Saas CRM?</t>
  </si>
  <si>
    <t>How can I make my CRM more user-friendly for my sales team?</t>
  </si>
  <si>
    <t>How can I integrate my Saas CRM with other business tools?</t>
  </si>
  <si>
    <t>How can I use data analytics to improve my Saas CRM?</t>
  </si>
  <si>
    <t>How can I improve my Saas CRM’s lead generation and nurturing processes?</t>
  </si>
  <si>
    <t>What are the best ways to ensure data privacy and security in my Saas CRM?</t>
  </si>
  <si>
    <t>How can I customize my Saas CRM to meet the specific needs of my business?</t>
  </si>
  <si>
    <t>How can I measure the success of my Saas CRM?</t>
  </si>
  <si>
    <t>How can I ensure seamless collaboration between different departments using my Saas CRM?</t>
  </si>
  <si>
    <t>How can I integrate customer feedback into my Saas CRM?</t>
  </si>
  <si>
    <t>How can I automate common tasks in my Saas CRM to improve efficiency?</t>
  </si>
  <si>
    <t>What are the best ways to optimize my Saas CRM for mobile devices?</t>
  </si>
  <si>
    <t>How can I improve my Saas CRM’s reporting and analysis capabilities?</t>
  </si>
  <si>
    <t>How can I use my Saas CRM to improve customer service and support?</t>
  </si>
  <si>
    <t>How can I implement a successful onboarding process for my Saas CRM users?</t>
  </si>
  <si>
    <t>How can I ensure my Saas CRM is accessible and usable for all of my team members?</t>
  </si>
  <si>
    <t>How can I integrate social media into my Saas CRM?</t>
  </si>
  <si>
    <t>How can I use gamification techniques to improve user adoption of my Saas CRM?</t>
  </si>
  <si>
    <t>What are the best practices for data migration when switching to a new Saas CRM?</t>
  </si>
  <si>
    <t>How can I use my Saas CRM to improve sales forecasting and planning?</t>
  </si>
  <si>
    <t>How can I ensure my Saas CRM is compliant with industry regulations and standards?</t>
  </si>
  <si>
    <t>How can I optimize my Saas CRM for cross-functional teams?</t>
  </si>
  <si>
    <t>How can I use my Saas CRM to improve customer retention and loyalty?</t>
  </si>
  <si>
    <t>How can I improve my Saas CRM’s lead scoring and qualification process?</t>
  </si>
  <si>
    <t>How can I use my Saas CRM to increase sales productivity and performance?</t>
  </si>
  <si>
    <t>How can I optimize my Saas CRM for international business and multi-language support?</t>
  </si>
  <si>
    <t>How can I use my Saas CRM to improve marketing effectiveness and ROI?</t>
  </si>
  <si>
    <t>How can I ensure my Saas CRM is scalable and can grow with my business?</t>
  </si>
  <si>
    <t>How can I use my Saas CRM to improve collaboration between sales and marketing teams?</t>
  </si>
  <si>
    <t>How can I improve my Saas CRM’s email and communication capabilities?</t>
  </si>
  <si>
    <t>How can I use my Saas CRM to improve deal closing and negotiation processes?</t>
  </si>
  <si>
    <t>How can I optimize my Saas CRM for remote and distributed teams?</t>
  </si>
  <si>
    <t>How can I use my Saas CRM to improve customer satisfaction and loyalty metrics?</t>
  </si>
  <si>
    <t>How can I ensure my Saas CRM is accessible and usable for all stakeholders, including customers and partners?</t>
  </si>
  <si>
    <t>How can I use my Saas CRM to improve lead management and conversion rates?</t>
  </si>
  <si>
    <t>How can I use my Saas CRM to track customer interactions and behaviors?</t>
  </si>
  <si>
    <t>What are the best ways to integrate AI and machine learning into my Saas CRM?</t>
  </si>
  <si>
    <t>How can I ensure my Saas CRM integrates well with my website and e-commerce platform?</t>
  </si>
  <si>
    <t>How can I use my Saas CRM to analyze and improve customer journeys?</t>
  </si>
  <si>
    <t>How can I use my Saas CRM to manage and track customer complaints and inquiries?</t>
  </si>
  <si>
    <t>How can I use my Saas CRM to create and manage loyalty programs for my customers?</t>
  </si>
  <si>
    <t>How can I ensure my Saas CRM integrates well with my existing enterprise systems?</t>
  </si>
  <si>
    <t>What are the best ways to use my Saas CRM for upselling and cross-selling?</t>
  </si>
  <si>
    <t>How can I use my Saas CRM to improve sales and customer relationship management?</t>
  </si>
  <si>
    <t>How can I improve the personalization and customization of my Saas CRM for different customer segments?</t>
  </si>
  <si>
    <t>How can I ensure my Saas CRM integrates well with my payment and billing systems?</t>
  </si>
  <si>
    <t>How can I use my Saas CRM to manage and track customer relationships through their entire lifecycle?</t>
  </si>
  <si>
    <t>How can I use my Saas CRM to track and improve customer engagement metrics?</t>
  </si>
  <si>
    <t>How to create a SaaS contract template that meets the needs of both the company and the customer?</t>
  </si>
  <si>
    <t>How to negotiate SaaS contract terms and conditions with customers?</t>
  </si>
  <si>
    <t>How to ensure that SaaS contract terms align with company policies and procedures?</t>
  </si>
  <si>
    <t>How to create a SaaS contract management process that is efficient and effective?</t>
  </si>
  <si>
    <t>How to track and monitor SaaS contract performance and compliance?</t>
  </si>
  <si>
    <t>How to manage SaaS contract renewals and extensions?</t>
  </si>
  <si>
    <t>How to manage SaaS contract cancellations and termination?</t>
  </si>
  <si>
    <t>How to handle SaaS contract disputes and negotiations?</t>
  </si>
  <si>
    <t>How to create a SaaS contract renewal process that maximizes revenue and customer retention?</t>
  </si>
  <si>
    <t>How to create a SaaS contract termination process that minimizes disruption and liability?</t>
  </si>
  <si>
    <t>How to ensure that SaaS contract pricing is competitive and in line with market trends?</t>
  </si>
  <si>
    <t>How to manage SaaS contract pricing and discounting strategies?</t>
  </si>
  <si>
    <t>How to create a SaaS contract pricing model that balances revenue and customer satisfaction?</t>
  </si>
  <si>
    <t>How to manage SaaS contract billing and invoicing processes?</t>
  </si>
  <si>
    <t>How to ensure that SaaS contract payments are received on time and in full?</t>
  </si>
  <si>
    <t>How to manage SaaS contract payment terms and conditions?</t>
  </si>
  <si>
    <t>How to create a SaaS contract payment process that is secure and efficient?</t>
  </si>
  <si>
    <t>How to manage SaaS contract payment disputes and negotiations?</t>
  </si>
  <si>
    <t>How to create a SaaS contract payment system that integrates with other platforms and tools?</t>
  </si>
  <si>
    <t>How to manage SaaS contract compliance with laws and regulations, such as GDPR and CCPA?</t>
  </si>
  <si>
    <t>How to create a SaaS contract privacy policy that protects both the company and the customer?</t>
  </si>
  <si>
    <t>How to manage SaaS contract security and data protection measures?</t>
  </si>
  <si>
    <t>How to create a SaaS contract security and data protection plan that meets industry standards and best practices?</t>
  </si>
  <si>
    <t>How to manage SaaS contract data backup and recovery processes?</t>
  </si>
  <si>
    <t>How to manage SaaS contract data retention and disposal policies?</t>
  </si>
  <si>
    <t>How to manage SaaS contract intellectual property and ownership rights?</t>
  </si>
  <si>
    <t>How to create a SaaS contract IP and ownership policy that protects both the company and the customer?</t>
  </si>
  <si>
    <t>How to manage SaaS contract liability and insurance requirements?</t>
  </si>
  <si>
    <t>How to create a SaaS contract liability and insurance plan that meets industry standards and best practices?</t>
  </si>
  <si>
    <t>How to manage SaaS contract service level agreements and performance metrics?</t>
  </si>
  <si>
    <t>How to create a SaaS contract SLA and performance policy that meets customer expectations and requirements?</t>
  </si>
  <si>
    <t>How to manage SaaS contract change management and control processes?</t>
  </si>
  <si>
    <t>How to create a SaaS contract change management and control policy that meets industry standards and best practices?</t>
  </si>
  <si>
    <t>How to manage SaaS contract customer support and service processes?</t>
  </si>
  <si>
    <t>How to create a SaaS contract customer support and service policy that meets customer expectations and requirements?</t>
  </si>
  <si>
    <t>How to manage SaaS contract customer success and retention processes?</t>
  </si>
  <si>
    <t>How to create a SaaS contract customer success and retention policy that meets company goals and objectives?</t>
  </si>
  <si>
    <t>How to manage SaaS contract customer feedback and complaint processes?</t>
  </si>
  <si>
    <t>How to create a SaaS contract customer feedback and complaint policy that meets customer expectations and requirements?</t>
  </si>
  <si>
    <t>How to manage SaaS contract customer communication and engagement processes?</t>
  </si>
  <si>
    <t>How to create a SaaS contract customer communication and engagement policy</t>
  </si>
  <si>
    <t>How to ensure that SaaS contract terms are clearly communicated and understood by customers?</t>
  </si>
  <si>
    <t>How to handle SaaS contract amendment and modification requests from customers?</t>
  </si>
  <si>
    <t>How to manage SaaS contract cross-selling and upselling opportunities?</t>
  </si>
  <si>
    <t>How to measure and analyze the impact of SaaS contract terms and conditions on customer satisfaction and loyalty?</t>
  </si>
  <si>
    <t>How to manage SaaS contract renewals and upsells through automation and AI?</t>
  </si>
  <si>
    <t>How to monitor and evaluate the success of SaaS contract pricing and discounting strategies?</t>
  </si>
  <si>
    <t>How to manage SaaS contract negotiations and renewals through customer data and analytics?</t>
  </si>
  <si>
    <t>How to handle SaaS contract non-payment and default situations?</t>
  </si>
  <si>
    <t>How to manage SaaS contract compliance and reporting requirements with local and international regulations?</t>
  </si>
  <si>
    <t>What are the most common mistakes made when starting a SaaS company?</t>
  </si>
  <si>
    <t>How can you avoid the pitfalls of rapid growth in SaaS?</t>
  </si>
  <si>
    <t>What steps can you take to ensure you are solving a real problem in SaaS?</t>
  </si>
  <si>
    <t>How do you balance the need for innovation with the need for stability in SaaS?</t>
  </si>
  <si>
    <t>What are some common pricing mistakes in SaaS?</t>
  </si>
  <si>
    <t>How can you avoid feature bloat in SaaS?</t>
  </si>
  <si>
    <t>What are some common sales and marketing mistakes in SaaS?</t>
  </si>
  <si>
    <t>How can you avoid the risks associated with customer acquisition in SaaS?</t>
  </si>
  <si>
    <t>What are some common mistakes in hiring and managing a team in SaaS?</t>
  </si>
  <si>
    <t>How can you avoid the pitfalls of working with partners and vendors in SaaS?</t>
  </si>
  <si>
    <t>What are some common mistakes in scaling a SaaS business?</t>
  </si>
  <si>
    <t>How can you avoid the risks associated with entering new markets in SaaS?</t>
  </si>
  <si>
    <t>What are some common mistakes in product development in SaaS?</t>
  </si>
  <si>
    <t>How can you avoid the risks of relying on a single channel for customer acquisition in SaaS?</t>
  </si>
  <si>
    <t>What are some common mistakes in data privacy and security in SaaS?</t>
  </si>
  <si>
    <t>How can you avoid the risks associated with high churn rates in SaaS?</t>
  </si>
  <si>
    <t>What are some common mistakes in customer support in SaaS?</t>
  </si>
  <si>
    <t>How can you avoid the risks of neglecting product maintenance in SaaS?</t>
  </si>
  <si>
    <t>What are some common mistakes in financing and fundraising in SaaS?</t>
  </si>
  <si>
    <t>How can you avoid the risks of mismanaging cash flow in SaaS?</t>
  </si>
  <si>
    <t>What are some common mistakes in defining and executing a go-to-market strategy in SaaS?</t>
  </si>
  <si>
    <t>How can you avoid the risks associated with neglecting your brand in SaaS?</t>
  </si>
  <si>
    <t>What are some common mistakes in managing operational costs in SaaS?</t>
  </si>
  <si>
    <t>How can you avoid the risks of not having a clear competitive differentiation in SaaS?</t>
  </si>
  <si>
    <t>What are some common mistakes in not adequately testing your SaaS product before launch?</t>
  </si>
  <si>
    <t>How can you avoid the risks of overinvesting in customer acquisition in SaaS?</t>
  </si>
  <si>
    <t>What are some common mistakes in not adequately considering international expansion in SaaS?</t>
  </si>
  <si>
    <t>How can you avoid the risks associated with neglecting your company culture in SaaS?</t>
  </si>
  <si>
    <t>What are some common mistakes in not having a clear customer acquisition funnel in SaaS?</t>
  </si>
  <si>
    <t>How can you avoid the risks of not having a strong team in place in SaaS?</t>
  </si>
  <si>
    <t>What are some common mistakes in not having a clear understanding of your target market in SaaS?</t>
  </si>
  <si>
    <t>How can you avoid the risks associated with not having a clear value proposition in SaaS?</t>
  </si>
  <si>
    <t>What are some common mistakes in not having a clear product roadmap in SaaS?</t>
  </si>
  <si>
    <t>How can you avoid the risks of not having a clear understanding of your key metrics in SaaS?</t>
  </si>
  <si>
    <t>What are some common mistakes in not having a clear sales process in SaaS?</t>
  </si>
  <si>
    <t>How can you avoid the risks associated with not having a clear customer success strategy in SaaS?</t>
  </si>
  <si>
    <t>What are some common mistakes in not having a clear understanding of your customer segments in SaaS?</t>
  </si>
  <si>
    <t>How can you avoid the risks of not having a clear marketing plan in SaaS?</t>
  </si>
  <si>
    <t>What are some common mistakes in not having a clear pricing strategy in SaaS?</t>
  </si>
  <si>
    <t>What steps can be taken to prevent mismanagement of finances in a SaaS company?</t>
  </si>
  <si>
    <t>How to avoid over-promising and under-delivering on features in a SaaS company?</t>
  </si>
  <si>
    <t>What are common ways to avoid poor user experience design in a SaaS application?</t>
  </si>
  <si>
    <t>How to prevent SaaS companies from losing focus on their core value proposition?</t>
  </si>
  <si>
    <t>What measures can be taken to prevent SaaS companies from becoming too reliant on a single revenue stream?</t>
  </si>
  <si>
    <t>How to avoid poor communication with customers in a SaaS company?</t>
  </si>
  <si>
    <t>What steps can be taken to avoid mismanaging data privacy in a SaaS company?</t>
  </si>
  <si>
    <t>How to prevent SaaS companies from becoming too bureaucratic and slow-moving?</t>
  </si>
  <si>
    <t>What measures can be taken to prevent SaaS companies from becoming too reliant on a single technology platform?</t>
  </si>
  <si>
    <t>How to avoid underinvesting in research and development in a SaaS company?</t>
  </si>
  <si>
    <t>What steps can be taken to prevent becoming too risk-averse in a SaaS company?</t>
  </si>
  <si>
    <t>Passive Income</t>
  </si>
  <si>
    <t>How can investors navigate the potential risks associated with investing in startups and early-stage companies through crowdfunding?</t>
  </si>
  <si>
    <t>Discuss the concept of debt crowdfunding and how it allows individuals and businesses to raise funds for specific projects.</t>
  </si>
  <si>
    <t>What role does investor engagement and community building play in successful crowdfunding campaigns?</t>
  </si>
  <si>
    <t>Explore the potential of investing in medical and healthcare projects through crowdfunding platforms.</t>
  </si>
  <si>
    <t>How can investors assess the competitive landscape and market positioning of companies seeking crowdfunding?</t>
  </si>
  <si>
    <t>Discuss the importance of setting realistic funding goals and utilizing effective marketing strategies in crowdfunding campaigns.</t>
  </si>
  <si>
    <t>Examine the impact of crowdfunding on local economies and communities by supporting local businesses and projects.</t>
  </si>
  <si>
    <t>What strategies can investors use to identify emerging trends and industries that are well-suited for crowdfunding investments?</t>
  </si>
  <si>
    <t>Explore the concept of equity crowdfunding and its role in allowing investors to own shares in startups and private companies.</t>
  </si>
  <si>
    <t>Discuss the potential of investing in technology and innovation projects through crowdfunding platforms.</t>
  </si>
  <si>
    <t>How can investors assess the management team and leadership of companies seeking crowdfunding?</t>
  </si>
  <si>
    <t>Discuss the concept of social crowdfunding and its role in raising funds for charitable causes and philanthropic projects.</t>
  </si>
  <si>
    <t>What are the potential challenges and considerations of investing in crowdfunding projects with longer time horizons?</t>
  </si>
  <si>
    <t>Explore the impact of storytelling and emotional connection in driving investor interest and participation in crowdfunding campaigns.</t>
  </si>
  <si>
    <t>How can investors assess the scalability and growth potential of companies seeking crowdfunding for expansion?</t>
  </si>
  <si>
    <t>Discuss the importance of conducting thorough background checks and verifying the legitimacy of crowdfunding opportunities.</t>
  </si>
  <si>
    <t>Examine the potential of investing in entertainment and media projects through crowdfunding platforms.</t>
  </si>
  <si>
    <t>What strategies can investors use to manage the potential risks and uncertainties associated with crowdfunding investments?</t>
  </si>
  <si>
    <t>Explore the concept of crowdfunding real estate projects as a way to access real estate investments without direct ownership.</t>
  </si>
  <si>
    <t>Discuss the role of due diligence platforms and investor protection mechanisms in the crowdfunding ecosystem.</t>
  </si>
  <si>
    <t>How can investors evaluate the market demand and consumer interest for products and services seeking crowdfunding?</t>
  </si>
  <si>
    <t>Discuss the concept of philanthropic crowdfunding and its role in raising funds for nonprofit organizations and social initiatives.</t>
  </si>
  <si>
    <t>What role does investor feedback and engagement play in shaping the direction of crowdfunding projects?</t>
  </si>
  <si>
    <t>Explore the potential of investing in agriculture and sustainable farming projects through crowdfunding platforms.</t>
  </si>
  <si>
    <t>How can investors assess the intellectual property and innovation potential of companies seeking crowdfunding?</t>
  </si>
  <si>
    <t>Discuss the importance of clear and transparent communication between project creators and investors in crowdfunding campaigns.</t>
  </si>
  <si>
    <t>Examine the impact of regulatory frameworks and compliance requirements on the operation of crowdfunding platforms.</t>
  </si>
  <si>
    <t>What strategies can investors use to evaluate the competitive landscape and market positioning of companies seeking crowdfunding?</t>
  </si>
  <si>
    <t>Explore the concept of crowdfunded real estate debt investments and their role in financing property acquisitions.</t>
  </si>
  <si>
    <t>Discuss the potential of investing in fashion and consumer product projects through crowdfunding platforms.</t>
  </si>
  <si>
    <t>How can investors analyze the financial projections and revenue models presented by companies seeking crowdfunding?</t>
  </si>
  <si>
    <t>Discuss the concept of community-based crowdfunding and its role in supporting local projects and initiatives.</t>
  </si>
  <si>
    <t>What are the potential benefits of investing in crowdfunding projects that align with personal values and social impact goals?</t>
  </si>
  <si>
    <t>Explore the impact of social media and digital marketing in driving visibility and participation in crowdfunding campaigns.</t>
  </si>
  <si>
    <t>How can investors assess the scalability and long-term viability of companies seeking crowdfunding for growth?</t>
  </si>
  <si>
    <t>Discuss the importance of transparent use of funds and financial reporting in maintaining investor trust in crowdfunding projects.</t>
  </si>
  <si>
    <t>Examine the potential of investing in education and edtech projects through crowdfunding platforms.</t>
  </si>
  <si>
    <t>What strategies can investors use to evaluate the market potential and competitive advantages of companies seeking crowdfunding?</t>
  </si>
  <si>
    <t>Explore the concept of crowdfunded real estate equity investments and their role in owning a share of income-generating properties.</t>
  </si>
  <si>
    <t>Discuss the impact of cultural and creative projects in driving community engagement and participation in crowdfunding.</t>
  </si>
  <si>
    <t>How can investors analyze the alignment of crowdfunding projects with broader industry trends and consumer preferences?</t>
  </si>
  <si>
    <t>Discuss the concept of impact investing through crowdfunding and its role in supporting projects with positive social and environmental outcomes.</t>
  </si>
  <si>
    <t>What role does transparency and accountability play in building investor confidence and credibility for crowdfunding projects?</t>
  </si>
  <si>
    <t>Explore the potential of investing in technology and innovation projects through crowdfunding platforms.</t>
  </si>
  <si>
    <t>How can investors assess the competitive landscape and differentiation strategy of companies seeking crowdfunding?</t>
  </si>
  <si>
    <t>Discuss the importance of building a strong online presence and brand identity for successful crowdfunding campaigns.</t>
  </si>
  <si>
    <t>Examine the impact of cross-promotion and partnerships in reaching a wider audience for crowdfunding projects.</t>
  </si>
  <si>
    <t>What strategies can investors use to evaluate the financial stability and sustainability of companies seeking crowdfunding?</t>
  </si>
  <si>
    <t>Explore the concept of crowdfunded impact real estate investments and their role in financing socially responsible projects.</t>
  </si>
  <si>
    <t>Discuss the potential of investing in wellness and health-focused projects through crowdfunding platforms.</t>
  </si>
  <si>
    <t>How can investors assess the innovation potential and intellectual property of companies seeking crowdfunding?</t>
  </si>
  <si>
    <t>Discuss the concept of artistic and creative crowdfunding and its role in supporting artists, musicians, and cultural projects.</t>
  </si>
  <si>
    <t>What are the potential challenges and considerations of investing in international crowdfunding projects?</t>
  </si>
  <si>
    <t>Explore the impact of visual storytelling and multimedia content in driving engagement and contributions to crowdfunding campaigns.</t>
  </si>
  <si>
    <t>How can investors assess the scalability and growth strategies of companies seeking crowdfunding for expansion?</t>
  </si>
  <si>
    <t>Discuss the importance of providing regular updates and communication to investors throughout the lifecycle of crowdfunding projects.</t>
  </si>
  <si>
    <t>Examine the potential of investing in renewable energy and sustainable development projects through crowdfunding platforms.</t>
  </si>
  <si>
    <t>What strategies can investors use to evaluate the management team and leadership qualities of companies seeking crowdfunding?</t>
  </si>
  <si>
    <t>Explore the concept of crowdfunded real estate debt investments and their role in financing property acquisitions and development.</t>
  </si>
  <si>
    <t>Discuss the impact of cultural and creative projects in fostering a sense of community and engagement in crowdfunding.</t>
  </si>
  <si>
    <t>How can investors assess the alignment of crowdfunding projects with broader industry trends and consumer preferences?</t>
  </si>
  <si>
    <t>Discuss the concept of rental properties as a passive income strategy. What are the key advantages of investing in real estate?</t>
  </si>
  <si>
    <t>What factors should investors consider when evaluating potential rental properties for passive income generation?</t>
  </si>
  <si>
    <t>Explore the potential of investing in single-family homes as rental properties for steady cash flow.</t>
  </si>
  <si>
    <t>Discuss the role of location and neighborhood selection in determining the success of rental property investments.</t>
  </si>
  <si>
    <t>How can investors use leverage, such as mortgages, to acquire rental properties and enhance their passive income?</t>
  </si>
  <si>
    <t>Examine the impact of property management options, from self-management to hiring professional property managers.</t>
  </si>
  <si>
    <t>What strategies can investors use to calculate and maximize the rental yield of their investment properties?</t>
  </si>
  <si>
    <t>Discuss the importance of tenant screening and selection in maintaining stable and reliable rental income.</t>
  </si>
  <si>
    <t>Explore the concept of house hacking as a way to generate passive income by living in one unit and renting out the others.</t>
  </si>
  <si>
    <t>How can investors use tax advantages, such as depreciation and deductions, to optimize the returns from rental properties?</t>
  </si>
  <si>
    <t>Discuss the potential of investing in multi-unit properties, such as duplexes and apartment complexes, for passive income.</t>
  </si>
  <si>
    <t>What are the key considerations for investors when setting rental prices for their investment properties?</t>
  </si>
  <si>
    <t>Examine the impact of property maintenance and repairs on the profitability and long-term success of rental properties.</t>
  </si>
  <si>
    <t>How can investors create a positive tenant experience to encourage longer leases and reduce turnover?</t>
  </si>
  <si>
    <t>Discuss the role of real estate market cycles and trends in influencing rental property investments.</t>
  </si>
  <si>
    <t>Explore the potential of investing in short-term rental properties through platforms like Airbnb for passive income.</t>
  </si>
  <si>
    <t>What strategies can investors use to optimize their listings and attract guests to their Airbnb properties?</t>
  </si>
  <si>
    <t>Discuss the importance of effective communication and responsiveness with tenants or guests for successful rental property management.</t>
  </si>
  <si>
    <t>Examine the impact of local regulations and legal considerations on operating rental properties and Airbnb listings.</t>
  </si>
  <si>
    <t>How can investors use renovation and property improvements to increase the value and rental income of their properties?</t>
  </si>
  <si>
    <t>Discuss the concept of renting out vacation homes or second properties as a source of passive income.</t>
  </si>
  <si>
    <t>What are the potential challenges and considerations of managing short-term rental properties on platforms like Airbnb?</t>
  </si>
  <si>
    <t>Explore the role of property amenities and unique features in attracting guests to Airbnb listings.</t>
  </si>
  <si>
    <t>How can investors use dynamic pricing strategies to maximize rental income from their Airbnb properties?</t>
  </si>
  <si>
    <t>Discuss the impact of seasonal demand and local events on the profitability of short-term rental properties.</t>
  </si>
  <si>
    <t>Examine the potential of investing in real estate partnerships or syndications for rental property projects.</t>
  </si>
  <si>
    <t>What strategies can investors use to market their rental properties or Airbnb listings effectively?</t>
  </si>
  <si>
    <t>Discuss the importance of maintaining a strong online reputation and positive reviews for successful Airbnb hosting.</t>
  </si>
  <si>
    <t>Explore the concept of real estate crowdfunding as a way to invest in rental properties collectively for passive income.</t>
  </si>
  <si>
    <t>How can investors use property insurance and risk management strategies to protect their rental property investments?</t>
  </si>
  <si>
    <t>Discuss the potential of investing in furnished rentals or corporate housing for passive income.</t>
  </si>
  <si>
    <t>What role does interior design and staging play in enhancing the appeal of Airbnb properties to potential guests?</t>
  </si>
  <si>
    <t>Examine the impact of location selection and proximity to tourist attractions on the success of Airbnb listings.</t>
  </si>
  <si>
    <t>How can investors handle guest check-ins, cleaning, and maintenance to ensure a seamless experience for Airbnb guests?</t>
  </si>
  <si>
    <t>Discuss the concept of real estate investment trusts (REITs) as a way to invest in rental properties indirectly for passive income.</t>
  </si>
  <si>
    <t>Explore the potential of niche rental markets, such as pet-friendly rentals or eco-friendly accommodations.</t>
  </si>
  <si>
    <t>What strategies can investors use to manage occupancy rates and minimize vacancies in their rental properties?</t>
  </si>
  <si>
    <t>Discuss the importance of setting clear house rules and guest expectations for Airbnb listings.</t>
  </si>
  <si>
    <t>Examine the impact of technology and automation in streamlining rental property management and Airbnb hosting.</t>
  </si>
  <si>
    <t>How can investors use effective negotiation and tenant relations to maintain stable rental income?</t>
  </si>
  <si>
    <t>Discuss the concept of rent control and its potential impact on the profitability of rental properties.</t>
  </si>
  <si>
    <t>What are the potential advantages and challenges of investing in long-term rental properties over short-term rentals?</t>
  </si>
  <si>
    <t>Examine the potential of investing in vacation rental markets and popular tourist destinations for passive income.</t>
  </si>
  <si>
    <t>How can investors handle marketing and booking management for their short-term rental properties?</t>
  </si>
  <si>
    <t>Discuss the role of property appreciation in building wealth through long-term rental property investments.</t>
  </si>
  <si>
    <t>Explore the potential of investing in rental properties through real estate crowdfunding platforms for passive income.</t>
  </si>
  <si>
    <t>What strategies can investors use to handle maintenance requests and ensure property upkeep for rental properties?</t>
  </si>
  <si>
    <t>Discuss the importance of building a strong brand and reputation for successful Airbnb hosting.</t>
  </si>
  <si>
    <t>Examine the impact of economic downturns and market fluctuations on rental property investments and occupancy rates.</t>
  </si>
  <si>
    <t>How can investors navigate property financing options and mortgage considerations for rental property investments?</t>
  </si>
  <si>
    <t>Discuss the concept of renting out a portion of your primary residence, such as a spare room, as a source of passive income.</t>
  </si>
  <si>
    <t>What role does property presentation and photography play in attracting guests to Airbnb listings?</t>
  </si>
  <si>
    <t>Examine the potential of investing in remote rental properties or properties in emerging markets for passive income.</t>
  </si>
  <si>
    <t>How can investors effectively manage guest communications, inquiries, and booking confirmations for Airbnb listings?</t>
  </si>
  <si>
    <t>Discuss the impact of property management software and tools in streamlining rental property operations.</t>
  </si>
  <si>
    <t>Explore the potential of investing in turnkey rental properties that are already managed by property management companies.</t>
  </si>
  <si>
    <t>What strategies can investors use to handle security and safety measures for both tenants and Airbnb guests?</t>
  </si>
  <si>
    <t>Discuss the importance of maintaining a competitive pricing strategy to attract guests and maintain rental property occupancy.</t>
  </si>
  <si>
    <t>Examine the impact of online platforms and booking channels in reaching a wider audience for Airbnb listings.</t>
  </si>
  <si>
    <t>How can investors use market research and demographic analysis to target the right audience for their rental properties?</t>
  </si>
  <si>
    <t>Discuss the concept of rent-to-own agreements as a way to generate passive income and potentially sell rental properties.</t>
  </si>
  <si>
    <t>What are the potential benefits of offering unique experiences or amenities to guests in Airbnb properties?</t>
  </si>
  <si>
    <t>Examine the potential of investing in student housing or co-living properties for passive income.</t>
  </si>
  <si>
    <t>How can investors optimize their property listings with compelling descriptions and attention-grabbing headlines?</t>
  </si>
  <si>
    <t>Discuss the impact of property location and accessibility on the success of both long-term and short-term rental properties.</t>
  </si>
  <si>
    <t>Explore the potential of investing in real estate syndications or joint ventures for larger rental property projects.</t>
  </si>
  <si>
    <t>What strategies can investors use to handle guest inquiries, booking modifications, and cancellations for Airbnb properties?</t>
  </si>
  <si>
    <t>Discuss the importance of effective communication and responsiveness to tenant needs in long-term rental properties.</t>
  </si>
  <si>
    <t>Examine the impact of local regulations and zoning laws on the operation of rental properties and Airbnb listings.</t>
  </si>
  <si>
    <t>How can investors effectively manage property turnovers and cleanings for Airbnb listings?</t>
  </si>
  <si>
    <t>Discuss the concept of real estate investment clubs and networks as a way to connect with fellow rental property investors.</t>
  </si>
  <si>
    <t>What role does guest engagement and personalized experiences play in achieving positive reviews for Airbnb listings?</t>
  </si>
  <si>
    <t>Examine the potential of investing in properties near universities and colleges to target student renters.</t>
  </si>
  <si>
    <t>How can investors handle guest inquiries, questions, and special requests to create a positive experience for Airbnb guests?</t>
  </si>
  <si>
    <t>Discuss the impact of property upgrades and renovations in increasing the appeal and rental value of rental properties.</t>
  </si>
  <si>
    <t>Explore the potential of investing in remote rental properties in different geographic markets for diversification.</t>
  </si>
  <si>
    <t>What strategies can investors use to handle property inspections and address maintenance issues in rental properties?</t>
  </si>
  <si>
    <t>Discuss the importance of effective communication with tenants, from lease agreements to rent collection.</t>
  </si>
  <si>
    <t>Examine the impact of property management fees and expenses on the overall profitability of rental properties.</t>
  </si>
  <si>
    <t>How can investors effectively market their Airbnb properties to attract a consistent stream of guests?</t>
  </si>
  <si>
    <t>Discuss the concept of real estate crowdfunding platforms that focus specifically on rental property investments.</t>
  </si>
  <si>
    <t>What role does guest feedback and reviews play in maintaining a high occupancy rate for Airbnb listings?</t>
  </si>
  <si>
    <t>Examine the potential of investing in vacation rental properties that cater to niche markets, such as wellness retreats.</t>
  </si>
  <si>
    <t>How can investors handle potential conflicts or disputes with tenants or guests in a professional manner?</t>
  </si>
  <si>
    <t>Discuss the impact of property upgrades and modern amenities in attracting higher-quality tenants and Airbnb guests.</t>
  </si>
  <si>
    <t>Explore the potential of investing in rental properties in markets with strong job growth and economic stability.</t>
  </si>
  <si>
    <t>What strategies can investors use to effectively market their rental properties to attract suitable tenants?</t>
  </si>
  <si>
    <t>Discuss the importance of legal compliance and adherence to rental regulations for property investors.</t>
  </si>
  <si>
    <t>Examine the impact of property taxes and ongoing expenses on the financial performance of rental properties.</t>
  </si>
  <si>
    <t>How can investors handle guest feedback, complaints, and requests for improvements in Airbnb listings?</t>
  </si>
  <si>
    <t>Discuss the concept of using a property management company to handle the day-to-day operations of rental properties.</t>
  </si>
  <si>
    <t>What role does guest engagement and responsiveness play in maintaining positive ratings and reviews for Airbnb listings?</t>
  </si>
  <si>
    <t>Examine the potential of investing in properties with unique features, such as waterfront views or historical significance.</t>
  </si>
  <si>
    <t>How can investors handle emergency situations and unexpected events in both rental properties and Airbnb listings?</t>
  </si>
  <si>
    <t>Discuss the impact of property appreciation and market appreciation on the long-term value of rental properties.</t>
  </si>
  <si>
    <t>Explore the potential of investing in international rental properties for diversification and global income sources.</t>
  </si>
  <si>
    <t>What strategies can investors use to draft effective lease agreements and rental contracts for their properties?</t>
  </si>
  <si>
    <t>Discuss the importance of regular property maintenance and preventive measures for long-term rental success.</t>
  </si>
  <si>
    <t>Examine the impact of economic indicators, such as job growth and population trends, on rental property demand.</t>
  </si>
  <si>
    <t>How can investors use data analysis and market research to make informed decisions about rental property investments?</t>
  </si>
  <si>
    <t>Discuss the concept of generating passive income through intellectual property, such as patents, copyrights, and trademarks.</t>
  </si>
  <si>
    <t>What are the potential benefits of creating and licensing intellectual property for passive income streams?</t>
  </si>
  <si>
    <t>Explore the role of patents in protecting inventions and innovations while generating revenue through licensing.</t>
  </si>
  <si>
    <t>Discuss the importance of thorough research and due diligence in identifying viable intellectual property opportunities.</t>
  </si>
  <si>
    <t>How can creators leverage copyright protection to monetize their original works, such as books, music, and artwork?</t>
  </si>
  <si>
    <t>Examine the potential of licensing trademarks and brand assets to other businesses for passive income.</t>
  </si>
  <si>
    <t>What strategies can creators use to negotiate favorable licensing agreements for their intellectual property?</t>
  </si>
  <si>
    <t>Discuss the impact of royalties and residual payments on passive income from intellectual property.</t>
  </si>
  <si>
    <t>Explore the concept of creating and selling digital products, such as stock photos, templates, and digital art.</t>
  </si>
  <si>
    <t>How can individuals monetize their expertise and knowledge through the creation of online courses and educational content?</t>
  </si>
  <si>
    <t>Discuss the potential of licensing software and technology products for passive income generation.</t>
  </si>
  <si>
    <t>What role does content distribution and syndication play in maximizing passive income from intellectual property?</t>
  </si>
  <si>
    <t>Examine the impact of exclusive versus non-exclusive licensing agreements in intellectual property monetization.</t>
  </si>
  <si>
    <t>How can creators effectively market their intellectual property to potential licensees and buyers?</t>
  </si>
  <si>
    <t>Discuss the concept of creating and selling merchandise featuring copyrighted or trademarked designs.</t>
  </si>
  <si>
    <t>Explore the potential of monetizing creative content through platforms like YouTube and podcasting.</t>
  </si>
  <si>
    <t>What strategies can creators use to protect their intellectual property rights and prevent infringement?</t>
  </si>
  <si>
    <t>Discuss the importance of continuous innovation and creating a pipeline of intellectual property for sustained passive income.</t>
  </si>
  <si>
    <t>Examine the impact of intellectual property valuation and pricing strategies in licensing and sales negotiations.</t>
  </si>
  <si>
    <t>How can authors and writers generate passive income by self-publishing and selling books?</t>
  </si>
  <si>
    <t>Discuss the concept of creating and selling digital assets, such as fonts, icons, and graphics.</t>
  </si>
  <si>
    <t>What role does audience engagement and community building play in the success of passive income from intellectual property?</t>
  </si>
  <si>
    <t>Examine the potential of sublicensing intellectual property to multiple parties for increased passive income.</t>
  </si>
  <si>
    <t>How can creators leverage crowdfunding and patronage platforms to support the creation of new intellectual property?</t>
  </si>
  <si>
    <t>Discuss the impact of global copyright and intellectual property laws on international passive income streams.</t>
  </si>
  <si>
    <t>Explore the potential of licensing content for use in advertising, marketing campaigns, and promotional materials.</t>
  </si>
  <si>
    <t>What strategies can creators use to leverage the growing demand for online courses and digital learning resources?</t>
  </si>
  <si>
    <t>Discuss the importance of monitoring and enforcing intellectual property rights to prevent unauthorized use.</t>
  </si>
  <si>
    <t>Examine the impact of cross-promotion and collaborations in reaching new audiences and increasing passive income.</t>
  </si>
  <si>
    <t>How can musicians and artists generate passive income by licensing their work for use in films, TV shows, and commercials?</t>
  </si>
  <si>
    <t>Discuss the concept of creating and licensing original software applications, plugins, and digital tools.</t>
  </si>
  <si>
    <t>What role does audience building and platform presence play in driving sales of intellectual property?</t>
  </si>
  <si>
    <t>Examine the potential of selling the rights to adaptations and derivative works based on existing intellectual property.</t>
  </si>
  <si>
    <t>How can creators effectively use social media and online marketing to promote their intellectual property?</t>
  </si>
  <si>
    <t>Discuss the impact of open-source licensing models on intellectual property monetization strategies.</t>
  </si>
  <si>
    <t>Explore the potential of generating passive income through affiliate marketing by promoting relevant products and services.</t>
  </si>
  <si>
    <t>What strategies can creators use to maximize the reach and visibility of their intellectual property?</t>
  </si>
  <si>
    <t>Discuss the importance of crafting clear and comprehensive licensing agreements to protect both parties' interests.</t>
  </si>
  <si>
    <t>Examine the impact of technological advancements, such as blockchain, on intellectual property management and sales.</t>
  </si>
  <si>
    <t>How can photographers and visual artists generate passive income through stock photography and image licensing?</t>
  </si>
  <si>
    <t>Discuss the concept of creating and selling print-on-demand merchandise featuring original designs and artwork.</t>
  </si>
  <si>
    <t>What role does search engine optimization (SEO) and online discoverability play in intellectual property monetization?</t>
  </si>
  <si>
    <t>Examine the potential of offering subscription-based access to premium intellectual property content.</t>
  </si>
  <si>
    <t>How can creators navigate the challenges of piracy and unauthorized use of their intellectual property?</t>
  </si>
  <si>
    <t>Discuss the impact of building a personal brand and establishing authority in a specific niche for intellectual property monetization.</t>
  </si>
  <si>
    <t>Explore the potential of generating passive income through the sale of e-books and digital publications.</t>
  </si>
  <si>
    <t>What strategies can creators use to leverage affiliate marketing for promoting products and services related to their intellectual property?</t>
  </si>
  <si>
    <t>Discuss the importance of maintaining accurate records and documentation for intellectual property transactions.</t>
  </si>
  <si>
    <t>Examine the impact of networking and building partnerships with other creators and brands in intellectual property monetization.</t>
  </si>
  <si>
    <t>How can designers and creatives generate passive income by licensing their designs for use in consumer products?</t>
  </si>
  <si>
    <t>Discuss the concept of generating passive income through licensing music for use in films, commercials, and multimedia projects.</t>
  </si>
  <si>
    <t>What role does content curation and aggregation play in intellectual property monetization strategies?</t>
  </si>
  <si>
    <t>Examine the potential of creating and selling pre-made templates and resources for various creative projects.</t>
  </si>
  <si>
    <t>How can creators effectively use data analytics and market insights to optimize their intellectual property monetization strategies?</t>
  </si>
  <si>
    <t>Discuss the impact of public domain works and creative commons licensing on the availability of intellectual property.</t>
  </si>
  <si>
    <t>Explore the potential of offering membership programs and exclusive access to premium intellectual property content.</t>
  </si>
  <si>
    <t>What strategies can creators use to protect their intellectual property from infringement and unauthorized use?</t>
  </si>
  <si>
    <t>Discuss the importance of staying updated on industry trends and emerging technologies in intellectual property monetization.</t>
  </si>
  <si>
    <t>Examine the impact of user-generated content and fan contributions in expanding the reach of intellectual property.</t>
  </si>
  <si>
    <t>How can educators and subject-matter experts generate passive income by creating and selling online courses?</t>
  </si>
  <si>
    <t>Discuss the concept of generating passive income through licensing software tools and solutions for business use.</t>
  </si>
  <si>
    <t>What role does networking and collaboration with other creators play in expanding intellectual property monetization opportunities?</t>
  </si>
  <si>
    <t>Examine the potential of creating and licensing digital patterns, designs, and assets for use in crafts and DIY projects.</t>
  </si>
  <si>
    <t>How can creators effectively leverage email marketing and newsletters to promote their intellectual property?</t>
  </si>
  <si>
    <t>Discuss the impact of brand partnerships and sponsorships in increasing the visibility and income potential of intellectual property.</t>
  </si>
  <si>
    <t>Explore the potential of generating passive income through the sale of digital planners, journals, and organizational tools.</t>
  </si>
  <si>
    <t>What strategies can creators use to effectively price their intellectual property products and services?</t>
  </si>
  <si>
    <t>Discuss the importance of maintaining an active online presence and engaging with your audience for intellectual property monetization.</t>
  </si>
  <si>
    <t>Examine the impact of cultural trends and societal shifts on the demand for specific types of intellectual property.</t>
  </si>
  <si>
    <t>How can software developers and tech professionals generate passive income by creating and selling software applications?</t>
  </si>
  <si>
    <t>Discuss the concept of creating and selling exclusive access or premium content through subscription-based models.</t>
  </si>
  <si>
    <t>What role does user-generated content and fan engagement play in building a community around intellectual property?</t>
  </si>
  <si>
    <t>Examine the potential of generating passive income through the licensing of data, research, and industry insights.</t>
  </si>
  <si>
    <t>How can creators effectively use webinars and online workshops to showcase their expertise and intellectual property?</t>
  </si>
  <si>
    <t>Discuss the impact of international copyright and intellectual property regulations on global passive income streams.</t>
  </si>
  <si>
    <t>Explore the potential of generating passive income through the sale of printables, worksheets, and educational resources.</t>
  </si>
  <si>
    <t>What strategies can creators use to adapt and pivot their intellectual property monetization strategies based on changing market demands?</t>
  </si>
  <si>
    <t>Discuss the importance of continuous learning and staying updated on industry best practices in intellectual property monetization.</t>
  </si>
  <si>
    <t>Examine the impact of platform selection and distribution channels on the reach and exposure of intellectual property.</t>
  </si>
  <si>
    <t>How can bloggers and content creators generate passive income through affiliate marketing and sponsored content?</t>
  </si>
  <si>
    <t>Discuss the concept of creating and licensing virtual goods and digital assets for use in online gaming and virtual environments.</t>
  </si>
  <si>
    <t>What role does niche specialization and catering to a specific target audience play in intellectual property monetization?</t>
  </si>
  <si>
    <t>Examine the potential of generating passive income through the licensing of medical and scientific research findings.</t>
  </si>
  <si>
    <t>How can creators effectively use social proof and testimonials to build trust and credibility for their intellectual property offerings?</t>
  </si>
  <si>
    <t>Discuss the impact of intellectual property marketplaces and online platforms in connecting creators with potential buyers.</t>
  </si>
  <si>
    <t>Explore the potential of generating passive income through the sale of 3D models, textures, and digital art assets.</t>
  </si>
  <si>
    <t>What strategies can creators use to manage the potential risks and challenges of intellectual property infringement?</t>
  </si>
  <si>
    <t>Discuss the importance of building a strong online presence and brand identity for successful intellectual property monetization.</t>
  </si>
  <si>
    <t>Examine the impact of emerging technologies, such as artificial intelligence and virtual reality, on intellectual property creation and sales.</t>
  </si>
  <si>
    <t>How can influencers and content creators generate passive income through brand collaborations and sponsored content?</t>
  </si>
  <si>
    <t>Discuss the concept of creating and licensing educational materials, such as study guides and curriculum resources.</t>
  </si>
  <si>
    <t>What role does continuous improvement and iteration play in optimizing intellectual property monetization strategies?</t>
  </si>
  <si>
    <t>Examine the potential of generating passive income through the licensing of scientific discoveries and breakthroughs.</t>
  </si>
  <si>
    <t>How can creators effectively use storytelling and narrative to enhance the value and appeal of their intellectual property?</t>
  </si>
  <si>
    <t>Discuss the impact of ethical considerations and responsible use of intellectual property in monetization strategies.</t>
  </si>
  <si>
    <t>Explore the potential of generating passive income through the sale of e-commerce templates, website themes, and design elements.</t>
  </si>
  <si>
    <t>What strategies can creators use to diversify their intellectual property offerings and income streams?</t>
  </si>
  <si>
    <t>Discuss the importance of maintaining a balance between creating new intellectual property and optimizing existing ones.</t>
  </si>
  <si>
    <t>Examine the impact of consumer behavior and market trends in shaping the demand for specific types of intellectual property.</t>
  </si>
  <si>
    <t>How can artists and designers generate passive income through licensing their artwork for various commercial purposes?</t>
  </si>
  <si>
    <t>Discuss the concept of affiliate marketing as a passive income strategy. What are the key principles behind it?</t>
  </si>
  <si>
    <t>What are the potential benefits of participating in affiliate marketing programs for both affiliates and merchants?</t>
  </si>
  <si>
    <t>Explore the role of niche selection in affiliate marketing and how it can impact the success of your campaigns.</t>
  </si>
  <si>
    <t>Discuss the importance of building a strong online presence and personal brand to attract an engaged audience for affiliate marketing.</t>
  </si>
  <si>
    <t>How can affiliates effectively use content marketing, such as blogging and video creation, to promote affiliate products?</t>
  </si>
  <si>
    <t>Examine the impact of affiliate disclosure and transparency in maintaining trust with your audience.</t>
  </si>
  <si>
    <t>What strategies can affiliates use to select the right affiliate programs and products to promote?</t>
  </si>
  <si>
    <t>Discuss the role of affiliate networks in connecting affiliates with a wide range of products and merchants.</t>
  </si>
  <si>
    <t>Explore the potential of utilizing email marketing to build a targeted audience and promote affiliate products.</t>
  </si>
  <si>
    <t>How can affiliates leverage social media platforms to reach a broader audience and drive affiliate sales?</t>
  </si>
  <si>
    <t>Discuss the concept of using comparison and review content to help your audience make informed purchasing decisions.</t>
  </si>
  <si>
    <t>What role does keyword research and search engine optimization (SEO) play in affiliate marketing?</t>
  </si>
  <si>
    <t>Examine the impact of product knowledge and understanding the needs of your audience in crafting effective affiliate marketing strategies.</t>
  </si>
  <si>
    <t>How can affiliates use influencer collaborations and partnerships to expand their reach and promote affiliate products?</t>
  </si>
  <si>
    <t>Discuss the importance of tracking and analyzing the performance of your affiliate marketing campaigns.</t>
  </si>
  <si>
    <t>Explore the potential of creating lead magnets and free resources to capture and nurture leads for affiliate products.</t>
  </si>
  <si>
    <t>What strategies can affiliates use to effectively integrate affiliate links and promotions into their content?</t>
  </si>
  <si>
    <t>Discuss the role of video marketing and tutorials in showcasing the value of affiliate products to your audience.</t>
  </si>
  <si>
    <t>Examine the impact of leveraging data analytics and insights to optimize your affiliate marketing strategies.</t>
  </si>
  <si>
    <t>How can affiliates create engaging and compelling call-to-actions (CTAs) to drive clicks and conversions?</t>
  </si>
  <si>
    <t>Discuss the concept of using storytelling and personal experiences to connect with your audience and promote affiliate products.</t>
  </si>
  <si>
    <t>What role does social proof, such as customer reviews and testimonials, play in building credibility for affiliate products?</t>
  </si>
  <si>
    <t>Examine the potential of utilizing webinars and live events to showcase and demonstrate affiliate products.</t>
  </si>
  <si>
    <t>How can affiliates effectively use lead nurturing and email automation to convert prospects into buyers?</t>
  </si>
  <si>
    <t>Discuss the importance of building an email list and using segmentation to tailor affiliate promotions to different audience segments.</t>
  </si>
  <si>
    <t>Explore the potential of using paid advertising, such as Google Ads or Facebook Ads, to drive traffic to affiliate offers.</t>
  </si>
  <si>
    <t>What strategies can affiliates use to optimize their affiliate links for maximum visibility and click-through rates?</t>
  </si>
  <si>
    <t>Discuss the role of evergreen content and long-term affiliate marketing strategies in generating consistent passive income.</t>
  </si>
  <si>
    <t>Examine the impact of providing value beyond affiliate products, such as educational content and resources.</t>
  </si>
  <si>
    <t>How can affiliates use social proof and endorsements from industry experts to boost the credibility of their affiliate promotions?</t>
  </si>
  <si>
    <t>Discuss the concept of creating and promoting affiliate product bundles and exclusive offers to incentivize purchases.</t>
  </si>
  <si>
    <t>What role does audience segmentation and targeting play in tailoring affiliate promotions to specific customer needs?</t>
  </si>
  <si>
    <t>Examine the potential of utilizing content upgrades and lead magnets to encourage users to sign up for your email list.</t>
  </si>
  <si>
    <t>How can affiliates effectively leverage scarcity and urgency techniques to drive conversions?</t>
  </si>
  <si>
    <t>Discuss the importance of ongoing testing and optimization in improving the performance of affiliate marketing campaigns.</t>
  </si>
  <si>
    <t>Explore the potential of using web analytics tools to track user behavior and engagement on your affiliate content.</t>
  </si>
  <si>
    <t>What strategies can affiliates use to effectively disclose their affiliate relationships while maintaining transparency?</t>
  </si>
  <si>
    <t>Discuss the role of affiliate marketing plugins and tools in managing and tracking affiliate promotions.</t>
  </si>
  <si>
    <t>Examine the impact of building a loyal and engaged audience through community engagement and interaction.</t>
  </si>
  <si>
    <t>How can affiliates use data-driven insights to identify high-performing affiliate products and optimize their strategies?</t>
  </si>
  <si>
    <t>Discuss the concept of using social media influencers as affiliates to extend the reach of your affiliate promotions.</t>
  </si>
  <si>
    <t>What role does A/B testing and split testing play in refining affiliate marketing strategies?</t>
  </si>
  <si>
    <t>Examine the potential of using retargeting and remarketing tactics to re-engage users who have shown interest in affiliate products.</t>
  </si>
  <si>
    <t>How can affiliates effectively create compelling and persuasive product reviews to drive affiliate sales?</t>
  </si>
  <si>
    <t>Discuss the importance of aligning your affiliate promotions with your audience's values and interests.</t>
  </si>
  <si>
    <t>Explore the potential of using interactive content, such as quizzes and polls, to engage users and promote affiliate products.</t>
  </si>
  <si>
    <t>What strategies can affiliates use to optimize their landing pages and conversion funnels for affiliate products?</t>
  </si>
  <si>
    <t>Discuss the role of affiliate marketing in building multiple streams of passive income from different products and niches.</t>
  </si>
  <si>
    <t>Examine the impact of building credibility and authority in your niche to enhance the effectiveness of your affiliate promotions.</t>
  </si>
  <si>
    <t>How can affiliates use email sequences and drip campaigns to nurture leads and guide them towards affiliate products?</t>
  </si>
  <si>
    <t>Discuss the concept of utilizing user-generated content, such as customer testimonials and success stories, in affiliate promotions.</t>
  </si>
  <si>
    <t>What role does content diversification play in keeping your audience engaged and interested in your affiliate offers?</t>
  </si>
  <si>
    <t>Examine the potential of using exit-intent popups and offers to capture leads and promote affiliate products.</t>
  </si>
  <si>
    <t>How can affiliates effectively use data analytics to identify trends and patterns in customer behavior for better targeting?</t>
  </si>
  <si>
    <t>Discuss the importance of understanding your audience's pain points and challenges to tailor your affiliate promotions.</t>
  </si>
  <si>
    <t>Explore the potential of using web push notifications and mobile marketing to reach users with timely affiliate offers.</t>
  </si>
  <si>
    <t>What strategies can affiliates use to leverage seasonal trends and events to drive affiliate sales?</t>
  </si>
  <si>
    <t>Discuss the role of upselling and cross-selling affiliate products to increase the average transaction value.</t>
  </si>
  <si>
    <t>Examine the impact of leveraging customer loyalty and repeat purchases in sustaining long-term affiliate income.</t>
  </si>
  <si>
    <t>How can affiliates use storytelling and relatable anecdotes to connect emotionally with their audience and promote affiliate products?</t>
  </si>
  <si>
    <t>Discuss the concept of leveraging customer support and responsive communication to build trust with your affiliate audience.</t>
  </si>
  <si>
    <t>What role does diversifying your affiliate income sources play in safeguarding your passive income streams?</t>
  </si>
  <si>
    <t>Examine the potential of using webinars and live workshops to educate and inform your audience about affiliate products.</t>
  </si>
  <si>
    <t>How can affiliates effectively use retargeting ads to re-engage users who have interacted with their affiliate content?</t>
  </si>
  <si>
    <t>Discuss the importance of ethics and authenticity in affiliate marketing to maintain a positive reputation.</t>
  </si>
  <si>
    <t>Explore the potential of using guest posting and collaborations to reach new audiences and promote affiliate offers.</t>
  </si>
  <si>
    <t>What strategies can affiliates use to overcome objections and address common concerns of potential buyers?</t>
  </si>
  <si>
    <t>Discuss the role of customer journey mapping in designing a seamless experience for users navigating your affiliate content.</t>
  </si>
  <si>
    <t>Examine the impact of building a content calendar and strategic planning in maintaining consistent affiliate promotions.</t>
  </si>
  <si>
    <t>How can affiliates use persuasive copywriting techniques to compel users to take action on affiliate offers?</t>
  </si>
  <si>
    <t>Discuss the concept of using case studies and real-life examples to demonstrate the value and benefits of affiliate products.</t>
  </si>
  <si>
    <t>What role does offering exclusive bonuses and incentives play in increasing the appeal of affiliate offers?</t>
  </si>
  <si>
    <t>Examine the potential of using exit-intent surveys to gather feedback and insights from users who didn't convert.</t>
  </si>
  <si>
    <t>How can affiliates effectively use social media engagement and interactions to drive affiliate sales?</t>
  </si>
  <si>
    <t>Discuss the importance of continuous learning and staying updated on industry trends and affiliate marketing strategies.</t>
  </si>
  <si>
    <t>Explore the potential of using interactive quizzes and assessments to recommend personalized affiliate products to users.</t>
  </si>
  <si>
    <t>What strategies can affiliates use to create a sense of urgency without compromising their credibility?</t>
  </si>
  <si>
    <t>Discuss the role of mobile optimization and responsive design in ensuring a seamless user experience for affiliate promotions.</t>
  </si>
  <si>
    <t>Examine the impact of using data-driven decisions and performance metrics to refine your affiliate marketing tactics.</t>
  </si>
  <si>
    <t>How can affiliates use influencer marketing and collaborations to amplify the reach of their affiliate promotions?</t>
  </si>
  <si>
    <t>Discuss the concept of using customer segmentation and personas to tailor affiliate offers to different audience segments.</t>
  </si>
  <si>
    <t>What role does customer testimonials and user-generated content play in building social proof for affiliate products?</t>
  </si>
  <si>
    <t>Examine the potential of using gamification and contests to engage users and promote affiliate products.</t>
  </si>
  <si>
    <t>How can affiliates effectively use social media advertising to target specific demographics and interests?</t>
  </si>
  <si>
    <t>Discuss the importance of maintaining a balance between promoting affiliate products and providing valuable content.</t>
  </si>
  <si>
    <t>Explore the potential of using chatbots and automated messaging to guide users towards relevant affiliate offers.</t>
  </si>
  <si>
    <t>What strategies can affiliates use to optimize their affiliate marketing for mobile users?</t>
  </si>
  <si>
    <t>Discuss the role of customer feedback and market research in identifying new affiliate product opportunities.</t>
  </si>
  <si>
    <t>Examine the impact of using dynamic content and personalized recommendations to enhance user engagement with affiliate offers.</t>
  </si>
  <si>
    <t>How can affiliates leverage data analytics and insights to identify trends and preferences in affiliate product consumption?</t>
  </si>
  <si>
    <t>Discuss the concept of creating resource hubs and dedicated landing pages to showcase your top affiliate products.</t>
  </si>
  <si>
    <t>What role does audience engagement and interaction play in building a community around your affiliate promotions?</t>
  </si>
  <si>
    <t>Examine the potential of using content upgrades and gated content to incentivize users to join your email list.</t>
  </si>
  <si>
    <t>How can affiliates effectively use social media engagement and comments to foster connections and drive conversions?</t>
  </si>
  <si>
    <t>Discuss the importance of staying up-to-date with changes in affiliate marketing platforms and algorithms.</t>
  </si>
  <si>
    <t>Explore the potential of using chat marketing and messenger bots to provide personalized recommendations for affiliate products.</t>
  </si>
  <si>
    <t>What strategies can affiliates use to leverage influencer relationships to promote affiliate offers?</t>
  </si>
  <si>
    <t>Discuss the role of optimizing your website's user experience and navigation to improve affiliate conversions.</t>
  </si>
  <si>
    <t>Examine the impact of using retargeting and remarketing strategies to re-engage users who haven't completed purchases.</t>
  </si>
  <si>
    <t>How can affiliates use ethical persuasion and genuine recommendations to promote affiliate products authentically?</t>
  </si>
  <si>
    <t>Discuss the concept of automated dropshipping businesses as a passive income opportunity. What are the key components?</t>
  </si>
  <si>
    <t>What are the potential benefits of starting an automated dropshipping business for entrepreneurs looking for passive income?</t>
  </si>
  <si>
    <t>Explore the role of niche selection in creating a successful automated dropshipping business.</t>
  </si>
  <si>
    <t>Discuss the importance of sourcing reliable suppliers and products for your automated dropshipping store.</t>
  </si>
  <si>
    <t>How can entrepreneurs effectively set up and configure their e-commerce platform for automated dropshipping?</t>
  </si>
  <si>
    <t>Examine the impact of using automation tools and software to manage inventory and order fulfillment.</t>
  </si>
  <si>
    <t>What strategies can entrepreneurs use to create an appealing and user-friendly online store for their automated dropshipping business?</t>
  </si>
  <si>
    <t>Discuss the role of pricing strategy and competitive analysis in the success of automated dropshipping ventures.</t>
  </si>
  <si>
    <t>Explore the potential of utilizing social media marketing and advertising to drive traffic to your dropshipping store.</t>
  </si>
  <si>
    <t>How can entrepreneurs optimize product descriptions and images to enhance conversions in their automated dropshipping store?</t>
  </si>
  <si>
    <t>Discuss the concept of using influencer collaborations and affiliate partnerships to promote your dropshipping products.</t>
  </si>
  <si>
    <t>What role does customer service and communication play in maintaining a positive reputation for your automated dropshipping business?</t>
  </si>
  <si>
    <t>Examine the impact of leveraging data analytics and insights to track sales trends and customer behavior in your store.</t>
  </si>
  <si>
    <t>How can entrepreneurs effectively use email marketing and automation to engage customers and drive repeat purchases?</t>
  </si>
  <si>
    <t>Discuss the importance of selecting a reliable and efficient order fulfillment process for your automated dropshipping business.</t>
  </si>
  <si>
    <t>Explore the potential of using retargeting ads and abandoned cart recovery strategies to recapture lost sales.</t>
  </si>
  <si>
    <t>What strategies can entrepreneurs use to differentiate their dropshipping store and offer a unique value proposition?</t>
  </si>
  <si>
    <t>Discuss the role of building a brand identity and establishing trust with customers in the dropshipping business.</t>
  </si>
  <si>
    <t>Examine the impact of customer reviews and testimonials in influencing purchasing decisions in your automated dropshipping store.</t>
  </si>
  <si>
    <t>How can entrepreneurs effectively manage customer expectations and provide timely shipping updates in their dropshipping business?</t>
  </si>
  <si>
    <t>Discuss the concept of using content marketing, such as blog posts and guides, to attract organic traffic to your dropshipping store.</t>
  </si>
  <si>
    <t>What role does product research and trend analysis play in staying competitive in the dropshipping industry?</t>
  </si>
  <si>
    <t>Examine the potential of utilizing upsells, cross-sells, and product bundles to increase the average order value in your store.</t>
  </si>
  <si>
    <t>How can entrepreneurs effectively manage returns, refunds, and customer inquiries in their automated dropshipping business?</t>
  </si>
  <si>
    <t>Discuss the importance of optimizing your store's mobile responsiveness and user experience for increased conversions.</t>
  </si>
  <si>
    <t>Explore the potential of using influencer marketing and user-generated content to showcase your dropshipping products.</t>
  </si>
  <si>
    <t>What strategies can entrepreneurs use to effectively handle customer inquiries and provide outstanding support?</t>
  </si>
  <si>
    <t>Discuss the role of social proof and customer testimonials in building credibility and trust for your dropshipping store.</t>
  </si>
  <si>
    <t>Examine the impact of using scarcity and urgency tactics to encourage prompt purchases in your automated dropshipping business.</t>
  </si>
  <si>
    <t>How can entrepreneurs leverage dynamic pricing and flash sales to boost sales and conversions in their dropshipping store?</t>
  </si>
  <si>
    <t>Discuss the concept of using retargeting and remarketing campaigns to re-engage visitors who have previously interacted with your store.</t>
  </si>
  <si>
    <t>What role does search engine optimization (SEO) play in driving organic traffic and visibility to your dropshipping website?</t>
  </si>
  <si>
    <t>Examine the potential of offering loyalty programs and rewards to incentivize repeat purchases from customers.</t>
  </si>
  <si>
    <t>How can entrepreneurs effectively manage inventory levels and prevent stockouts in their dropshipping store?</t>
  </si>
  <si>
    <t>Discuss the importance of creating compelling product descriptions and utilizing persuasive copywriting techniques.</t>
  </si>
  <si>
    <t>Explore the potential of using chatbots and AI-powered customer support to enhance the shopping experience in your dropshipping store.</t>
  </si>
  <si>
    <t>What strategies can entrepreneurs use to effectively manage and optimize their paid advertising campaigns?</t>
  </si>
  <si>
    <t>Discuss the role of customer segmentation and personalized marketing in increasing customer engagement and conversions.</t>
  </si>
  <si>
    <t>Examine the impact of leveraging user-generated content and social media influencers in your dropshipping marketing strategies.</t>
  </si>
  <si>
    <t>How can entrepreneurs use customer feedback and insights to continuously improve the products offered in their dropshipping store?</t>
  </si>
  <si>
    <t>Discuss the concept of using social media platforms and content creation to build a loyal community around your dropshipping brand.</t>
  </si>
  <si>
    <t>What role does customer education and informative content play in nurturing leads and converting them to customers?</t>
  </si>
  <si>
    <t>Examine the potential of utilizing artificial intelligence and machine learning to optimize pricing and inventory management.</t>
  </si>
  <si>
    <t>How can entrepreneurs effectively use email segmentation and personalized recommendations to drive repeat purchases?</t>
  </si>
  <si>
    <t>Discuss the importance of maintaining a strong reputation for product quality and customer satisfaction in dropshipping.</t>
  </si>
  <si>
    <t>Explore the potential of using influencer unboxing videos and user testimonials to showcase the value of your products.</t>
  </si>
  <si>
    <t>What strategies can entrepreneurs use to effectively scale their dropshipping business and handle increased order volumes?</t>
  </si>
  <si>
    <t>Discuss the role of customer retention strategies, such as loyalty programs and exclusive offers, in sustaining long-term success.</t>
  </si>
  <si>
    <t>Examine the impact of offering free shipping and competitive shipping options to enhance the customer experience.</t>
  </si>
  <si>
    <t>How can entrepreneurs leverage social media advertising and influencer partnerships to drive targeted traffic to their dropshipping store?</t>
  </si>
  <si>
    <t>Discuss the concept of using dynamic product recommendations and personalized shopping experiences in your dropshipping store.</t>
  </si>
  <si>
    <t>What role does email segmentation and automation play in delivering targeted promotions and offers to customers?</t>
  </si>
  <si>
    <t>Examine the potential of using customer segmentation and behavior analysis to tailor marketing messages and product suggestions.</t>
  </si>
  <si>
    <t>How can entrepreneurs effectively manage customer expectations and provide accurate delivery estimates in dropshipping?</t>
  </si>
  <si>
    <t>Discuss the importance of building a strong customer community and engaging with customers on social media platforms.</t>
  </si>
  <si>
    <t>Explore the potential of using user-generated content contests and giveaways to increase brand engagement.</t>
  </si>
  <si>
    <t>What strategies can entrepreneurs use to create a seamless checkout process and reduce cart abandonment rates?</t>
  </si>
  <si>
    <t>Discuss the role of customer feedback and reviews in continuously improving the product offerings in your dropshipping store.</t>
  </si>
  <si>
    <t>Examine the impact of offering customer support through multiple channels, such as live chat and social media messaging.</t>
  </si>
  <si>
    <t>How can entrepreneurs use influencer partnerships and guest blogging to generate organic backlinks and improve SEO for their dropshipping store?</t>
  </si>
  <si>
    <t>Discuss the concept of using scarcity and limited-time offers to drive urgency and conversions in your dropshipping campaigns.</t>
  </si>
  <si>
    <t>What role does customer data analysis and segmentation play in tailoring promotions and offers to different audience segments?</t>
  </si>
  <si>
    <t>Examine the potential of using exit-intent popups and lead magnets to capture email addresses and grow your subscriber list.</t>
  </si>
  <si>
    <t>How can entrepreneurs effectively use chatbots and AI-driven responses to provide instant customer support?</t>
  </si>
  <si>
    <t>Discuss the importance of optimizing your product pages for search engines and improving your store's overall SEO.</t>
  </si>
  <si>
    <t>Explore the potential of using social media advertising and retargeting to bring back users who have previously visited your store.</t>
  </si>
  <si>
    <t>What strategies can entrepreneurs use to build trust and credibility through transparency and honest communication?</t>
  </si>
  <si>
    <t>Discuss the role of leveraging user-generated content and customer testimonials to showcase the benefits of your products.</t>
  </si>
  <si>
    <t>Examine the impact of offering bundle deals and complementary products to increase the average transaction value.</t>
  </si>
  <si>
    <t>How can entrepreneurs use referral programs and incentives to encourage customers to refer others to their dropshipping store?</t>
  </si>
  <si>
    <t>Discuss the concept of using A/B testing and conversion rate optimization to refine the design and layout of your dropshipping store.</t>
  </si>
  <si>
    <t>What role does customer feedback and reviews play in adapting your product offerings and addressing customer needs?</t>
  </si>
  <si>
    <t>Examine the potential of utilizing advanced analytics and heatmaps to identify areas of improvement on your store's website.</t>
  </si>
</sst>
</file>

<file path=xl/styles.xml><?xml version="1.0" encoding="utf-8"?>
<styleSheet xmlns="http://schemas.openxmlformats.org/spreadsheetml/2006/main" xmlns:x14ac="http://schemas.microsoft.com/office/spreadsheetml/2009/9/ac" xmlns:mc="http://schemas.openxmlformats.org/markup-compatibility/2006">
  <fonts count="12">
    <font>
      <sz val="10.0"/>
      <color rgb="FF000000"/>
      <name val="Arial"/>
      <scheme val="minor"/>
    </font>
    <font>
      <color theme="1"/>
      <name val="Arial"/>
    </font>
    <font>
      <sz val="30.0"/>
      <color rgb="FFFFFFFF"/>
      <name val="Arial"/>
    </font>
    <font>
      <color rgb="FFFFFFFF"/>
      <name val="Arial"/>
    </font>
    <font>
      <b/>
      <sz val="23.0"/>
      <color rgb="FFFFFFFF"/>
      <name val="Arial"/>
    </font>
    <font>
      <sz val="13.0"/>
      <color rgb="FFFFFFFF"/>
      <name val="Roboto"/>
    </font>
    <font>
      <sz val="13.0"/>
      <color rgb="FFFFFFFF"/>
      <name val="Docs-Roboto"/>
    </font>
    <font>
      <b/>
      <sz val="18.0"/>
      <color rgb="FFFFFFFF"/>
      <name val="Arial"/>
    </font>
    <font>
      <sz val="12.0"/>
      <color theme="1"/>
      <name val="Docs-Roboto"/>
    </font>
    <font>
      <sz val="11.0"/>
      <color theme="1"/>
      <name val="Docs-Roboto"/>
    </font>
    <font>
      <sz val="11.0"/>
      <color theme="1"/>
      <name val="Arial"/>
    </font>
    <font>
      <sz val="11.0"/>
      <color rgb="FF434343"/>
      <name val="Docs-Roboto"/>
    </font>
  </fonts>
  <fills count="7">
    <fill>
      <patternFill patternType="none"/>
    </fill>
    <fill>
      <patternFill patternType="lightGray"/>
    </fill>
    <fill>
      <patternFill patternType="solid">
        <fgColor rgb="FF0B5394"/>
        <bgColor rgb="FF0B5394"/>
      </patternFill>
    </fill>
    <fill>
      <patternFill patternType="solid">
        <fgColor rgb="FF0C5394"/>
        <bgColor rgb="FF0C5394"/>
      </patternFill>
    </fill>
    <fill>
      <patternFill patternType="solid">
        <fgColor rgb="FFDADFE8"/>
        <bgColor rgb="FFDADFE8"/>
      </patternFill>
    </fill>
    <fill>
      <patternFill patternType="solid">
        <fgColor rgb="FFD9D9D9"/>
        <bgColor rgb="FFD9D9D9"/>
      </patternFill>
    </fill>
    <fill>
      <patternFill patternType="solid">
        <fgColor rgb="FFFFFFFF"/>
        <bgColor rgb="FFFFFFFF"/>
      </patternFill>
    </fill>
  </fills>
  <borders count="2">
    <border/>
    <border>
      <bottom style="hair">
        <color rgb="FFD9D9D9"/>
      </bottom>
    </border>
  </borders>
  <cellStyleXfs count="1">
    <xf borderId="0" fillId="0" fontId="0" numFmtId="0" applyAlignment="1" applyFont="1"/>
  </cellStyleXfs>
  <cellXfs count="22">
    <xf borderId="0" fillId="0" fontId="0" numFmtId="0" xfId="0" applyAlignment="1" applyFont="1">
      <alignment readingOrder="0" shrinkToFit="0" vertical="bottom" wrapText="0"/>
    </xf>
    <xf borderId="0" fillId="0" fontId="1" numFmtId="0" xfId="0" applyAlignment="1" applyFont="1">
      <alignment horizontal="center" vertical="center"/>
    </xf>
    <xf borderId="0" fillId="2" fontId="1" numFmtId="0" xfId="0" applyAlignment="1" applyFill="1" applyFont="1">
      <alignment horizontal="center" vertical="center"/>
    </xf>
    <xf borderId="0" fillId="2" fontId="2" numFmtId="0" xfId="0" applyAlignment="1" applyFont="1">
      <alignment horizontal="center" vertical="center"/>
    </xf>
    <xf borderId="0" fillId="3" fontId="3" numFmtId="0" xfId="0" applyAlignment="1" applyFill="1" applyFont="1">
      <alignment horizontal="center" vertical="center"/>
    </xf>
    <xf borderId="0" fillId="3" fontId="4" numFmtId="0" xfId="0" applyAlignment="1" applyFont="1">
      <alignment horizontal="center" readingOrder="0" vertical="center"/>
    </xf>
    <xf borderId="1" fillId="2" fontId="5" numFmtId="0" xfId="0" applyAlignment="1" applyBorder="1" applyFont="1">
      <alignment horizontal="center" vertical="center"/>
    </xf>
    <xf borderId="1" fillId="2" fontId="6" numFmtId="0" xfId="0" applyAlignment="1" applyBorder="1" applyFont="1">
      <alignment horizontal="center" vertical="center"/>
    </xf>
    <xf borderId="0" fillId="3" fontId="7" numFmtId="0" xfId="0" applyAlignment="1" applyFont="1">
      <alignment horizontal="center" vertical="center"/>
    </xf>
    <xf borderId="0" fillId="3" fontId="7" numFmtId="0" xfId="0" applyAlignment="1" applyFont="1">
      <alignment horizontal="center" readingOrder="0" vertical="center"/>
    </xf>
    <xf borderId="0" fillId="4" fontId="1" numFmtId="0" xfId="0" applyAlignment="1" applyFill="1" applyFont="1">
      <alignment horizontal="center" vertical="center"/>
    </xf>
    <xf borderId="0" fillId="5" fontId="1" numFmtId="0" xfId="0" applyAlignment="1" applyFill="1" applyFont="1">
      <alignment horizontal="center" vertical="center"/>
    </xf>
    <xf borderId="1" fillId="6" fontId="8" numFmtId="0" xfId="0" applyAlignment="1" applyBorder="1" applyFill="1" applyFont="1">
      <alignment horizontal="center" vertical="center"/>
    </xf>
    <xf borderId="1" fillId="6" fontId="9" numFmtId="0" xfId="0" applyAlignment="1" applyBorder="1" applyFont="1">
      <alignment horizontal="center" vertical="center"/>
    </xf>
    <xf borderId="1" fillId="6" fontId="9" numFmtId="0" xfId="0" applyAlignment="1" applyBorder="1" applyFont="1">
      <alignment horizontal="center" shrinkToFit="0" vertical="center" wrapText="1"/>
    </xf>
    <xf borderId="0" fillId="0" fontId="10" numFmtId="0" xfId="0" applyAlignment="1" applyFont="1">
      <alignment horizontal="center" readingOrder="0" vertical="center"/>
    </xf>
    <xf borderId="1" fillId="6" fontId="10" numFmtId="0" xfId="0" applyAlignment="1" applyBorder="1" applyFont="1">
      <alignment horizontal="center" shrinkToFit="0" vertical="center" wrapText="1"/>
    </xf>
    <xf borderId="0" fillId="6" fontId="9" numFmtId="0" xfId="0" applyAlignment="1" applyFont="1">
      <alignment horizontal="center" shrinkToFit="0" vertical="center" wrapText="1"/>
    </xf>
    <xf borderId="1" fillId="6" fontId="11" numFmtId="0" xfId="0" applyAlignment="1" applyBorder="1" applyFont="1">
      <alignment horizontal="center" shrinkToFit="0" vertical="center" wrapText="1"/>
    </xf>
    <xf borderId="0" fillId="6" fontId="10" numFmtId="0" xfId="0" applyAlignment="1" applyFont="1">
      <alignment horizontal="center" shrinkToFit="0" vertical="center" wrapText="1"/>
    </xf>
    <xf borderId="1" fillId="6" fontId="10" numFmtId="0" xfId="0" applyAlignment="1" applyBorder="1" applyFont="1">
      <alignment horizontal="center" shrinkToFit="0" vertical="center" wrapText="1"/>
    </xf>
    <xf borderId="1" fillId="6" fontId="1" numFmtId="0" xfId="0" applyAlignment="1" applyBorder="1" applyFont="1">
      <alignment horizontal="center"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2" max="2" width="39.88"/>
    <col customWidth="1" min="3" max="3" width="106.25"/>
    <col customWidth="1" min="4" max="4" width="6.38"/>
    <col customWidth="1" min="5" max="6" width="22.5"/>
    <col customWidth="1" min="7" max="7" width="167.63"/>
    <col customWidth="1" min="8" max="8" width="22.5"/>
    <col customWidth="1" min="9" max="9" width="61.13"/>
    <col customWidth="1" min="10" max="28" width="22.5"/>
  </cols>
  <sheetData>
    <row r="1" ht="15.75" customHeight="1">
      <c r="A1" s="1"/>
      <c r="B1" s="1"/>
      <c r="C1" s="1"/>
      <c r="D1" s="1"/>
      <c r="E1" s="1"/>
      <c r="F1" s="1"/>
      <c r="G1" s="1"/>
      <c r="H1" s="1"/>
      <c r="I1" s="1"/>
      <c r="J1" s="1"/>
      <c r="K1" s="1"/>
      <c r="L1" s="1"/>
      <c r="M1" s="1"/>
      <c r="N1" s="1"/>
      <c r="O1" s="1"/>
      <c r="P1" s="1"/>
      <c r="Q1" s="1"/>
      <c r="R1" s="1"/>
      <c r="S1" s="1"/>
      <c r="T1" s="1"/>
      <c r="U1" s="1"/>
      <c r="V1" s="1"/>
      <c r="W1" s="1"/>
      <c r="X1" s="1"/>
      <c r="Y1" s="1"/>
      <c r="Z1" s="1"/>
      <c r="AA1" s="1"/>
      <c r="AB1" s="1"/>
    </row>
    <row r="2" ht="50.25" customHeight="1">
      <c r="A2" s="2"/>
      <c r="B2" s="2"/>
      <c r="C2" s="3" t="s">
        <v>0</v>
      </c>
      <c r="D2" s="1"/>
      <c r="E2" s="4"/>
      <c r="F2" s="4"/>
      <c r="G2" s="5" t="s">
        <v>1</v>
      </c>
      <c r="H2" s="1"/>
      <c r="I2" s="1"/>
      <c r="J2" s="1"/>
      <c r="K2" s="1"/>
      <c r="L2" s="1"/>
      <c r="M2" s="1"/>
      <c r="N2" s="1"/>
      <c r="O2" s="1"/>
      <c r="P2" s="1"/>
      <c r="Q2" s="1"/>
      <c r="R2" s="1"/>
      <c r="S2" s="1"/>
      <c r="T2" s="1"/>
      <c r="U2" s="1"/>
      <c r="V2" s="1"/>
      <c r="W2" s="1"/>
      <c r="X2" s="1"/>
      <c r="Y2" s="1"/>
      <c r="Z2" s="1"/>
      <c r="AA2" s="1"/>
      <c r="AB2" s="1"/>
    </row>
    <row r="3" ht="50.25" customHeight="1">
      <c r="A3" s="6" t="s">
        <v>2</v>
      </c>
      <c r="B3" s="6" t="s">
        <v>3</v>
      </c>
      <c r="C3" s="7" t="s">
        <v>4</v>
      </c>
      <c r="D3" s="1"/>
      <c r="E3" s="8"/>
      <c r="F3" s="8" t="str">
        <f>IFERROR(__xludf.DUMMYFUNCTION("GOOGLETRANSLATE(B3, ""en"", ""fa"")
"),"دسته بندی سریع")</f>
        <v>دسته بندی سریع</v>
      </c>
      <c r="G3" s="9" t="s">
        <v>5</v>
      </c>
      <c r="H3" s="1"/>
      <c r="I3" s="1"/>
      <c r="J3" s="1"/>
      <c r="K3" s="1"/>
      <c r="L3" s="1"/>
      <c r="M3" s="1"/>
      <c r="N3" s="1"/>
      <c r="O3" s="1"/>
      <c r="P3" s="1"/>
      <c r="Q3" s="1"/>
      <c r="R3" s="1"/>
      <c r="S3" s="1"/>
      <c r="T3" s="1"/>
      <c r="U3" s="1"/>
      <c r="V3" s="1"/>
      <c r="W3" s="1"/>
      <c r="X3" s="1"/>
      <c r="Y3" s="1"/>
      <c r="Z3" s="1"/>
      <c r="AA3" s="1"/>
      <c r="AB3" s="1"/>
    </row>
    <row r="4" ht="50.25" customHeight="1">
      <c r="A4" s="10"/>
      <c r="B4" s="10"/>
      <c r="C4" s="10"/>
      <c r="D4" s="1"/>
      <c r="E4" s="11"/>
      <c r="F4" s="11"/>
      <c r="G4" s="11"/>
      <c r="H4" s="1"/>
      <c r="I4" s="1"/>
      <c r="J4" s="1"/>
      <c r="K4" s="1"/>
      <c r="L4" s="1"/>
      <c r="M4" s="1"/>
      <c r="N4" s="1"/>
      <c r="O4" s="1"/>
      <c r="P4" s="1"/>
      <c r="Q4" s="1"/>
      <c r="R4" s="1"/>
      <c r="S4" s="1"/>
      <c r="T4" s="1"/>
      <c r="U4" s="1"/>
      <c r="V4" s="1"/>
      <c r="W4" s="1"/>
      <c r="X4" s="1"/>
      <c r="Y4" s="1"/>
      <c r="Z4" s="1"/>
      <c r="AA4" s="1"/>
      <c r="AB4" s="1"/>
    </row>
    <row r="5" ht="50.25" customHeight="1">
      <c r="A5" s="12">
        <v>1.0</v>
      </c>
      <c r="B5" s="13" t="s">
        <v>6</v>
      </c>
      <c r="C5" s="14" t="s">
        <v>7</v>
      </c>
      <c r="D5" s="1"/>
      <c r="E5" s="15"/>
      <c r="F5" s="1" t="str">
        <f>IFERROR(__xludf.DUMMYFUNCTION("GOOGLETRANSLATE(B5, ""en"", ""fa"")
"),"بازاریابی رسانه های اجتماعی")</f>
        <v>بازاریابی رسانه های اجتماعی</v>
      </c>
      <c r="G5" s="1" t="str">
        <f>IFERROR(__xludf.DUMMYFUNCTION("GOOGLETRANSLATE(C5, ""en"", ""fa"")
"),"شما در حال راه اندازی یک محصول جدید هستید و می خواهید در رسانه های اجتماعی سر و صدا ایجاد کنید. توییتی جذاب بنویسید که توجه کاربران را جلب کند و کاربران را به یادگیری بیشتر ترغیب کند.")</f>
        <v>شما در حال راه اندازی یک محصول جدید هستید و می خواهید در رسانه های اجتماعی سر و صدا ایجاد کنید. توییتی جذاب بنویسید که توجه کاربران را جلب کند و کاربران را به یادگیری بیشتر ترغیب کند.</v>
      </c>
      <c r="H5" s="1"/>
      <c r="I5" s="1"/>
      <c r="J5" s="1"/>
      <c r="K5" s="1"/>
      <c r="L5" s="1"/>
      <c r="M5" s="1"/>
      <c r="N5" s="1"/>
      <c r="O5" s="1"/>
      <c r="P5" s="1"/>
      <c r="Q5" s="1"/>
      <c r="R5" s="1"/>
      <c r="S5" s="1"/>
      <c r="T5" s="1"/>
      <c r="U5" s="1"/>
      <c r="V5" s="1"/>
      <c r="W5" s="1"/>
      <c r="X5" s="1"/>
      <c r="Y5" s="1"/>
      <c r="Z5" s="1"/>
      <c r="AA5" s="1"/>
      <c r="AB5" s="1"/>
    </row>
    <row r="6" ht="50.25" customHeight="1">
      <c r="A6" s="12">
        <v>2.0</v>
      </c>
      <c r="B6" s="13" t="s">
        <v>6</v>
      </c>
      <c r="C6" s="14" t="s">
        <v>8</v>
      </c>
      <c r="D6" s="1"/>
      <c r="E6" s="15"/>
      <c r="F6" s="1" t="str">
        <f>IFERROR(__xludf.DUMMYFUNCTION("GOOGLETRANSLATE(B6, ""en"", ""fa"")
"),"بازاریابی رسانه های اجتماعی")</f>
        <v>بازاریابی رسانه های اجتماعی</v>
      </c>
      <c r="G6" s="1" t="str">
        <f>IFERROR(__xludf.DUMMYFUNCTION("GOOGLETRANSLATE(C6, ""en"", ""fa"")
"),"تصور کنید در حال مدیریت یک حساب رسانه اجتماعی برای یک برند مد هستید. یک کپشن جذاب برای اینستاگرام ایجاد کنید که جدیدترین مجموعه برند را به نمایش بگذارد و کاربران را تشویق کند تا با پست ارتباط برقرار کنند.")</f>
        <v>تصور کنید در حال مدیریت یک حساب رسانه اجتماعی برای یک برند مد هستید. یک کپشن جذاب برای اینستاگرام ایجاد کنید که جدیدترین مجموعه برند را به نمایش بگذارد و کاربران را تشویق کند تا با پست ارتباط برقرار کنند.</v>
      </c>
      <c r="H6" s="1"/>
      <c r="I6" s="1"/>
      <c r="J6" s="1"/>
      <c r="K6" s="1"/>
      <c r="L6" s="1"/>
      <c r="M6" s="1"/>
      <c r="N6" s="1"/>
      <c r="O6" s="1"/>
      <c r="P6" s="1"/>
      <c r="Q6" s="1"/>
      <c r="R6" s="1"/>
      <c r="S6" s="1"/>
      <c r="T6" s="1"/>
      <c r="U6" s="1"/>
      <c r="V6" s="1"/>
      <c r="W6" s="1"/>
      <c r="X6" s="1"/>
      <c r="Y6" s="1"/>
      <c r="Z6" s="1"/>
      <c r="AA6" s="1"/>
      <c r="AB6" s="1"/>
    </row>
    <row r="7" ht="50.25" customHeight="1">
      <c r="A7" s="12">
        <v>3.0</v>
      </c>
      <c r="B7" s="13" t="s">
        <v>6</v>
      </c>
      <c r="C7" s="14" t="s">
        <v>9</v>
      </c>
      <c r="D7" s="1"/>
      <c r="E7" s="15"/>
      <c r="F7" s="1" t="str">
        <f>IFERROR(__xludf.DUMMYFUNCTION("GOOGLETRANSLATE(B7, ""en"", ""fa"")
"),"بازاریابی رسانه های اجتماعی")</f>
        <v>بازاریابی رسانه های اجتماعی</v>
      </c>
      <c r="G7" s="1" t="str">
        <f>IFERROR(__xludf.DUMMYFUNCTION("GOOGLETRANSLATE(C7, ""en"", ""fa"")
"),"شما وظیفه افزایش تعامل در صفحه فیس بوک یک شرکت را بر عهده دارید. یک پست فیس بوک بنویسید که جرقه گفتگو را برانگیزد و فالوورها را تشویق کند تا دوستان خود را تگ کنند.")</f>
        <v>شما وظیفه افزایش تعامل در صفحه فیس بوک یک شرکت را بر عهده دارید. یک پست فیس بوک بنویسید که جرقه گفتگو را برانگیزد و فالوورها را تشویق کند تا دوستان خود را تگ کنند.</v>
      </c>
      <c r="H7" s="1"/>
      <c r="I7" s="1"/>
      <c r="J7" s="1"/>
      <c r="K7" s="1"/>
      <c r="L7" s="1"/>
      <c r="M7" s="1"/>
      <c r="N7" s="1"/>
      <c r="O7" s="1"/>
      <c r="P7" s="1"/>
      <c r="Q7" s="1"/>
      <c r="R7" s="1"/>
      <c r="S7" s="1"/>
      <c r="T7" s="1"/>
      <c r="U7" s="1"/>
      <c r="V7" s="1"/>
      <c r="W7" s="1"/>
      <c r="X7" s="1"/>
      <c r="Y7" s="1"/>
      <c r="Z7" s="1"/>
      <c r="AA7" s="1"/>
      <c r="AB7" s="1"/>
    </row>
    <row r="8" ht="50.25" customHeight="1">
      <c r="A8" s="12">
        <v>4.0</v>
      </c>
      <c r="B8" s="13" t="s">
        <v>6</v>
      </c>
      <c r="C8" s="14" t="s">
        <v>10</v>
      </c>
      <c r="D8" s="1"/>
      <c r="E8" s="15"/>
      <c r="F8" s="1" t="str">
        <f>IFERROR(__xludf.DUMMYFUNCTION("GOOGLETRANSLATE(B8, ""en"", ""fa"")
"),"بازاریابی رسانه های اجتماعی")</f>
        <v>بازاریابی رسانه های اجتماعی</v>
      </c>
      <c r="G8" s="1" t="str">
        <f>IFERROR(__xludf.DUMMYFUNCTION("GOOGLETRANSLATE(C8, ""en"", ""fa"")
"),"به‌عنوان مدیر رسانه‌های اجتماعی یک رستوران، یک توییت خلاقانه بنویسید که پیشنهادی با زمان محدود را تبلیغ می‌کند و دنبال‌کنندگان را تشویق می‌کند تا رزرو کنند.")</f>
        <v>به‌عنوان مدیر رسانه‌های اجتماعی یک رستوران، یک توییت خلاقانه بنویسید که پیشنهادی با زمان محدود را تبلیغ می‌کند و دنبال‌کنندگان را تشویق می‌کند تا رزرو کنند.</v>
      </c>
      <c r="H8" s="1"/>
      <c r="I8" s="1"/>
      <c r="J8" s="1"/>
      <c r="K8" s="1"/>
      <c r="L8" s="1"/>
      <c r="M8" s="1"/>
      <c r="N8" s="1"/>
      <c r="O8" s="1"/>
      <c r="P8" s="1"/>
      <c r="Q8" s="1"/>
      <c r="R8" s="1"/>
      <c r="S8" s="1"/>
      <c r="T8" s="1"/>
      <c r="U8" s="1"/>
      <c r="V8" s="1"/>
      <c r="W8" s="1"/>
      <c r="X8" s="1"/>
      <c r="Y8" s="1"/>
      <c r="Z8" s="1"/>
      <c r="AA8" s="1"/>
      <c r="AB8" s="1"/>
    </row>
    <row r="9" ht="50.25" customHeight="1">
      <c r="A9" s="12">
        <v>5.0</v>
      </c>
      <c r="B9" s="13" t="s">
        <v>6</v>
      </c>
      <c r="C9" s="14" t="s">
        <v>11</v>
      </c>
      <c r="D9" s="1"/>
      <c r="E9" s="15"/>
      <c r="F9" s="1" t="str">
        <f>IFERROR(__xludf.DUMMYFUNCTION("GOOGLETRANSLATE(B9, ""en"", ""fa"")
"),"بازاریابی رسانه های اجتماعی")</f>
        <v>بازاریابی رسانه های اجتماعی</v>
      </c>
      <c r="G9" s="1" t="str">
        <f>IFERROR(__xludf.DUMMYFUNCTION("GOOGLETRANSLATE(C9, ""en"", ""fa"")
"),"شما در حال ایجاد یک استراتژی رسانه اجتماعی برای یک تأثیرگذار تناسب اندام هستید. بیوگرافی اینستاگرامی جذابی بسازید که نشان دهنده برند منحصر به فرد اینفلوئنسر باشد و کاربران را تشویق به دنبال کردن کند.")</f>
        <v>شما در حال ایجاد یک استراتژی رسانه اجتماعی برای یک تأثیرگذار تناسب اندام هستید. بیوگرافی اینستاگرامی جذابی بسازید که نشان دهنده برند منحصر به فرد اینفلوئنسر باشد و کاربران را تشویق به دنبال کردن کند.</v>
      </c>
      <c r="H9" s="1"/>
      <c r="I9" s="1"/>
      <c r="J9" s="1"/>
      <c r="K9" s="1"/>
      <c r="L9" s="1"/>
      <c r="M9" s="1"/>
      <c r="N9" s="1"/>
      <c r="O9" s="1"/>
      <c r="P9" s="1"/>
      <c r="Q9" s="1"/>
      <c r="R9" s="1"/>
      <c r="S9" s="1"/>
      <c r="T9" s="1"/>
      <c r="U9" s="1"/>
      <c r="V9" s="1"/>
      <c r="W9" s="1"/>
      <c r="X9" s="1"/>
      <c r="Y9" s="1"/>
      <c r="Z9" s="1"/>
      <c r="AA9" s="1"/>
      <c r="AB9" s="1"/>
    </row>
    <row r="10" ht="50.25" customHeight="1">
      <c r="A10" s="12">
        <v>6.0</v>
      </c>
      <c r="B10" s="13" t="s">
        <v>6</v>
      </c>
      <c r="C10" s="14" t="s">
        <v>12</v>
      </c>
      <c r="D10" s="1"/>
      <c r="E10" s="15"/>
      <c r="F10" s="1" t="str">
        <f>IFERROR(__xludf.DUMMYFUNCTION("GOOGLETRANSLATE(B10, ""en"", ""fa"")
"),"بازاریابی رسانه های اجتماعی")</f>
        <v>بازاریابی رسانه های اجتماعی</v>
      </c>
      <c r="G10" s="1" t="str">
        <f>IFERROR(__xludf.DUMMYFUNCTION("GOOGLETRANSLATE(C10, ""en"", ""fa"")
"),"شما در حال مدیریت یک نمایه LinkedIn برای یک مشاور تجاری هستید. یک به‌روزرسانی وضعیت تأمل برانگیز بنویسید که مشاور را به‌عنوان رهبر فکری صنعت قرار می‌دهد و باعث ایجاد بحث در میان متخصصان می‌شود.")</f>
        <v>شما در حال مدیریت یک نمایه LinkedIn برای یک مشاور تجاری هستید. یک به‌روزرسانی وضعیت تأمل برانگیز بنویسید که مشاور را به‌عنوان رهبر فکری صنعت قرار می‌دهد و باعث ایجاد بحث در میان متخصصان می‌شود.</v>
      </c>
      <c r="H10" s="1"/>
      <c r="I10" s="1"/>
      <c r="J10" s="1"/>
      <c r="K10" s="1"/>
      <c r="L10" s="1"/>
      <c r="M10" s="1"/>
      <c r="N10" s="1"/>
      <c r="O10" s="1"/>
      <c r="P10" s="1"/>
      <c r="Q10" s="1"/>
      <c r="R10" s="1"/>
      <c r="S10" s="1"/>
      <c r="T10" s="1"/>
      <c r="U10" s="1"/>
      <c r="V10" s="1"/>
      <c r="W10" s="1"/>
      <c r="X10" s="1"/>
      <c r="Y10" s="1"/>
      <c r="Z10" s="1"/>
      <c r="AA10" s="1"/>
      <c r="AB10" s="1"/>
    </row>
    <row r="11" ht="50.25" customHeight="1">
      <c r="A11" s="12">
        <v>7.0</v>
      </c>
      <c r="B11" s="13" t="s">
        <v>6</v>
      </c>
      <c r="C11" s="14" t="s">
        <v>13</v>
      </c>
      <c r="D11" s="1"/>
      <c r="E11" s="15"/>
      <c r="F11" s="1" t="str">
        <f>IFERROR(__xludf.DUMMYFUNCTION("GOOGLETRANSLATE(B11, ""en"", ""fa"")
"),"بازاریابی رسانه های اجتماعی")</f>
        <v>بازاریابی رسانه های اجتماعی</v>
      </c>
      <c r="G11" s="1" t="str">
        <f>IFERROR(__xludf.DUMMYFUNCTION("GOOGLETRANSLATE(C11, ""en"", ""fa"")
"),"شما در حال اجرای یک کمپین رسانه های اجتماعی برای یک آژانس مسافرتی هستید. یک نسخه تبلیغاتی متقاعدکننده در فیس بوک بنویسید که کاربران را به رزرو تعطیلات رویایی خود ترغیب کند و پیشنهادات منحصر به فرد آژانس را برجسته کند.")</f>
        <v>شما در حال اجرای یک کمپین رسانه های اجتماعی برای یک آژانس مسافرتی هستید. یک نسخه تبلیغاتی متقاعدکننده در فیس بوک بنویسید که کاربران را به رزرو تعطیلات رویایی خود ترغیب کند و پیشنهادات منحصر به فرد آژانس را برجسته کند.</v>
      </c>
      <c r="H11" s="1"/>
      <c r="I11" s="1"/>
      <c r="J11" s="1"/>
      <c r="K11" s="1"/>
      <c r="L11" s="1"/>
      <c r="M11" s="1"/>
      <c r="N11" s="1"/>
      <c r="O11" s="1"/>
      <c r="P11" s="1"/>
      <c r="Q11" s="1"/>
      <c r="R11" s="1"/>
      <c r="S11" s="1"/>
      <c r="T11" s="1"/>
      <c r="U11" s="1"/>
      <c r="V11" s="1"/>
      <c r="W11" s="1"/>
      <c r="X11" s="1"/>
      <c r="Y11" s="1"/>
      <c r="Z11" s="1"/>
      <c r="AA11" s="1"/>
      <c r="AB11" s="1"/>
    </row>
    <row r="12" ht="50.25" customHeight="1">
      <c r="A12" s="12">
        <v>8.0</v>
      </c>
      <c r="B12" s="13" t="s">
        <v>6</v>
      </c>
      <c r="C12" s="14" t="s">
        <v>14</v>
      </c>
      <c r="D12" s="1"/>
      <c r="E12" s="15"/>
      <c r="F12" s="1" t="str">
        <f>IFERROR(__xludf.DUMMYFUNCTION("GOOGLETRANSLATE(B12, ""en"", ""fa"")
"),"بازاریابی رسانه های اجتماعی")</f>
        <v>بازاریابی رسانه های اجتماعی</v>
      </c>
      <c r="G12" s="1" t="str">
        <f>IFERROR(__xludf.DUMMYFUNCTION("GOOGLETRANSLATE(C12, ""en"", ""fa"")
"),"به عنوان یک مدیر رسانه های اجتماعی، وظیفه شما ایجاد محتوای قابل اشتراک گذاری برای یک برند لوازم خانگی است. توییتی شوخ‌آمیز و جذاب بنویسید که محصول جدیدی را به نمایش بگذارد و به عشق صاحبان حیوانات خانگی به دوستان پشمالوشان کمک کند.")</f>
        <v>به عنوان یک مدیر رسانه های اجتماعی، وظیفه شما ایجاد محتوای قابل اشتراک گذاری برای یک برند لوازم خانگی است. توییتی شوخ‌آمیز و جذاب بنویسید که محصول جدیدی را به نمایش بگذارد و به عشق صاحبان حیوانات خانگی به دوستان پشمالوشان کمک کند.</v>
      </c>
      <c r="H12" s="1"/>
      <c r="I12" s="1"/>
      <c r="J12" s="1"/>
      <c r="K12" s="1"/>
      <c r="L12" s="1"/>
      <c r="M12" s="1"/>
      <c r="N12" s="1"/>
      <c r="O12" s="1"/>
      <c r="P12" s="1"/>
      <c r="Q12" s="1"/>
      <c r="R12" s="1"/>
      <c r="S12" s="1"/>
      <c r="T12" s="1"/>
      <c r="U12" s="1"/>
      <c r="V12" s="1"/>
      <c r="W12" s="1"/>
      <c r="X12" s="1"/>
      <c r="Y12" s="1"/>
      <c r="Z12" s="1"/>
      <c r="AA12" s="1"/>
      <c r="AB12" s="1"/>
    </row>
    <row r="13" ht="50.25" customHeight="1">
      <c r="A13" s="12">
        <v>9.0</v>
      </c>
      <c r="B13" s="13" t="s">
        <v>6</v>
      </c>
      <c r="C13" s="14" t="s">
        <v>15</v>
      </c>
      <c r="D13" s="1"/>
      <c r="E13" s="15"/>
      <c r="F13" s="1" t="str">
        <f>IFERROR(__xludf.DUMMYFUNCTION("GOOGLETRANSLATE(B13, ""en"", ""fa"")
"),"بازاریابی رسانه های اجتماعی")</f>
        <v>بازاریابی رسانه های اجتماعی</v>
      </c>
      <c r="G13" s="1" t="str">
        <f>IFERROR(__xludf.DUMMYFUNCTION("GOOGLETRANSLATE(C13, ""en"", ""fa"")
"),"شما در حال مدیریت کانال YouTube یک تأثیرگذار هستید که بر زیبایی و مراقبت از پوست تمرکز دارد. عنوان و توضیحات ویدیویی جذابی بنویسید که کنجکاوی بینندگان را برانگیخته و آنها را تشویق به تماشا و اشتراک کنند.")</f>
        <v>شما در حال مدیریت کانال YouTube یک تأثیرگذار هستید که بر زیبایی و مراقبت از پوست تمرکز دارد. عنوان و توضیحات ویدیویی جذابی بنویسید که کنجکاوی بینندگان را برانگیخته و آنها را تشویق به تماشا و اشتراک کنند.</v>
      </c>
      <c r="H13" s="1"/>
      <c r="I13" s="1"/>
      <c r="J13" s="1"/>
      <c r="K13" s="1"/>
      <c r="L13" s="1"/>
      <c r="M13" s="1"/>
      <c r="N13" s="1"/>
      <c r="O13" s="1"/>
      <c r="P13" s="1"/>
      <c r="Q13" s="1"/>
      <c r="R13" s="1"/>
      <c r="S13" s="1"/>
      <c r="T13" s="1"/>
      <c r="U13" s="1"/>
      <c r="V13" s="1"/>
      <c r="W13" s="1"/>
      <c r="X13" s="1"/>
      <c r="Y13" s="1"/>
      <c r="Z13" s="1"/>
      <c r="AA13" s="1"/>
      <c r="AB13" s="1"/>
    </row>
    <row r="14" ht="50.25" customHeight="1">
      <c r="A14" s="12">
        <v>10.0</v>
      </c>
      <c r="B14" s="13" t="s">
        <v>6</v>
      </c>
      <c r="C14" s="14" t="s">
        <v>16</v>
      </c>
      <c r="D14" s="1"/>
      <c r="E14" s="15"/>
      <c r="F14" s="1" t="str">
        <f>IFERROR(__xludf.DUMMYFUNCTION("GOOGLETRANSLATE(B14, ""en"", ""fa"")
"),"بازاریابی رسانه های اجتماعی")</f>
        <v>بازاریابی رسانه های اجتماعی</v>
      </c>
      <c r="G14" s="1" t="str">
        <f>IFERROR(__xludf.DUMMYFUNCTION("GOOGLETRANSLATE(C14, ""en"", ""fa"")
"),"شما در حال مدیریت یک حساب توییتر برای یک استارت آپ فناوری هستید. توییتی بسازید که راه‌اندازی محصول آینده را برجسته کند، هشتگ‌های مرتبط را در خود جای دهد و فالوورها را تشویق به بازتوییت و انتشار آن کند.")</f>
        <v>شما در حال مدیریت یک حساب توییتر برای یک استارت آپ فناوری هستید. توییتی بسازید که راه‌اندازی محصول آینده را برجسته کند، هشتگ‌های مرتبط را در خود جای دهد و فالوورها را تشویق به بازتوییت و انتشار آن کند.</v>
      </c>
      <c r="H14" s="1"/>
      <c r="I14" s="1"/>
      <c r="J14" s="1"/>
      <c r="K14" s="1"/>
      <c r="L14" s="1"/>
      <c r="M14" s="1"/>
      <c r="N14" s="1"/>
      <c r="O14" s="1"/>
      <c r="P14" s="1"/>
      <c r="Q14" s="1"/>
      <c r="R14" s="1"/>
      <c r="S14" s="1"/>
      <c r="T14" s="1"/>
      <c r="U14" s="1"/>
      <c r="V14" s="1"/>
      <c r="W14" s="1"/>
      <c r="X14" s="1"/>
      <c r="Y14" s="1"/>
      <c r="Z14" s="1"/>
      <c r="AA14" s="1"/>
      <c r="AB14" s="1"/>
    </row>
    <row r="15" ht="50.25" customHeight="1">
      <c r="A15" s="12">
        <v>11.0</v>
      </c>
      <c r="B15" s="13" t="s">
        <v>6</v>
      </c>
      <c r="C15" s="14" t="s">
        <v>17</v>
      </c>
      <c r="D15" s="1"/>
      <c r="E15" s="15"/>
      <c r="F15" s="1" t="str">
        <f>IFERROR(__xludf.DUMMYFUNCTION("GOOGLETRANSLATE(B15, ""en"", ""fa"")
"),"بازاریابی رسانه های اجتماعی")</f>
        <v>بازاریابی رسانه های اجتماعی</v>
      </c>
      <c r="G15" s="1" t="str">
        <f>IFERROR(__xludf.DUMMYFUNCTION("GOOGLETRANSLATE(C15, ""en"", ""fa"")
"),"شما در حال مدیریت یک حساب رسانه اجتماعی برای یک سازمان غیرانتفاعی هستید. یک پست دلگرم کننده در فیس بوک بنویسید که داستانی قانع کننده در مورد تأثیر کار سازمان بیان می کند و دنبال کنندگان را تشویق می کند که کمک مالی کنند.")</f>
        <v>شما در حال مدیریت یک حساب رسانه اجتماعی برای یک سازمان غیرانتفاعی هستید. یک پست دلگرم کننده در فیس بوک بنویسید که داستانی قانع کننده در مورد تأثیر کار سازمان بیان می کند و دنبال کنندگان را تشویق می کند که کمک مالی کنند.</v>
      </c>
      <c r="H15" s="1"/>
      <c r="I15" s="1"/>
      <c r="J15" s="1"/>
      <c r="K15" s="1"/>
      <c r="L15" s="1"/>
      <c r="M15" s="1"/>
      <c r="N15" s="1"/>
      <c r="O15" s="1"/>
      <c r="P15" s="1"/>
      <c r="Q15" s="1"/>
      <c r="R15" s="1"/>
      <c r="S15" s="1"/>
      <c r="T15" s="1"/>
      <c r="U15" s="1"/>
      <c r="V15" s="1"/>
      <c r="W15" s="1"/>
      <c r="X15" s="1"/>
      <c r="Y15" s="1"/>
      <c r="Z15" s="1"/>
      <c r="AA15" s="1"/>
      <c r="AB15" s="1"/>
    </row>
    <row r="16" ht="50.25" customHeight="1">
      <c r="A16" s="12">
        <v>12.0</v>
      </c>
      <c r="B16" s="13" t="s">
        <v>6</v>
      </c>
      <c r="C16" s="14" t="s">
        <v>18</v>
      </c>
      <c r="D16" s="1"/>
      <c r="E16" s="15"/>
      <c r="F16" s="1" t="str">
        <f>IFERROR(__xludf.DUMMYFUNCTION("GOOGLETRANSLATE(B16, ""en"", ""fa"")
"),"بازاریابی رسانه های اجتماعی")</f>
        <v>بازاریابی رسانه های اجتماعی</v>
      </c>
      <c r="G16" s="1" t="str">
        <f>IFERROR(__xludf.DUMMYFUNCTION("GOOGLETRANSLATE(C16, ""en"", ""fa"")
"),"به عنوان یک مدیر رسانه های اجتماعی، یک تابلوی بصری خیره کننده Pinterest برای یک برند دکوراسیون منزل ایجاد کنید و مجموعه ای از ایده های الهام بخش طراحی داخلی را مدیریت کنید.")</f>
        <v>به عنوان یک مدیر رسانه های اجتماعی، یک تابلوی بصری خیره کننده Pinterest برای یک برند دکوراسیون منزل ایجاد کنید و مجموعه ای از ایده های الهام بخش طراحی داخلی را مدیریت کنید.</v>
      </c>
      <c r="H16" s="1"/>
      <c r="I16" s="1"/>
      <c r="J16" s="1"/>
      <c r="K16" s="1"/>
      <c r="L16" s="1"/>
      <c r="M16" s="1"/>
      <c r="N16" s="1"/>
      <c r="O16" s="1"/>
      <c r="P16" s="1"/>
      <c r="Q16" s="1"/>
      <c r="R16" s="1"/>
      <c r="S16" s="1"/>
      <c r="T16" s="1"/>
      <c r="U16" s="1"/>
      <c r="V16" s="1"/>
      <c r="W16" s="1"/>
      <c r="X16" s="1"/>
      <c r="Y16" s="1"/>
      <c r="Z16" s="1"/>
      <c r="AA16" s="1"/>
      <c r="AB16" s="1"/>
    </row>
    <row r="17" ht="50.25" customHeight="1">
      <c r="A17" s="12">
        <v>13.0</v>
      </c>
      <c r="B17" s="13" t="s">
        <v>6</v>
      </c>
      <c r="C17" s="14" t="s">
        <v>19</v>
      </c>
      <c r="D17" s="1"/>
      <c r="E17" s="15"/>
      <c r="F17" s="1" t="str">
        <f>IFERROR(__xludf.DUMMYFUNCTION("GOOGLETRANSLATE(B17, ""en"", ""fa"")
"),"بازاریابی رسانه های اجتماعی")</f>
        <v>بازاریابی رسانه های اجتماعی</v>
      </c>
      <c r="G17" s="1" t="str">
        <f>IFERROR(__xludf.DUMMYFUNCTION("GOOGLETRANSLATE(C17, ""en"", ""fa"")
"),"شما در حال اجرای یک حساب اینستاگرام برای یک تأثیرگذار تناسب اندام هستید. برای همراهی با یک عکس تمرینی، یک عنوان انگیزشی و از نظر بصری جذاب بسازید و فالوورها را تشویق کنید که اهداف سلامتی و تناسب اندام خود را در اولویت قرار دهند.")</f>
        <v>شما در حال اجرای یک حساب اینستاگرام برای یک تأثیرگذار تناسب اندام هستید. برای همراهی با یک عکس تمرینی، یک عنوان انگیزشی و از نظر بصری جذاب بسازید و فالوورها را تشویق کنید که اهداف سلامتی و تناسب اندام خود را در اولویت قرار دهند.</v>
      </c>
      <c r="H17" s="1"/>
      <c r="I17" s="1"/>
      <c r="J17" s="1"/>
      <c r="K17" s="1"/>
      <c r="L17" s="1"/>
      <c r="M17" s="1"/>
      <c r="N17" s="1"/>
      <c r="O17" s="1"/>
      <c r="P17" s="1"/>
      <c r="Q17" s="1"/>
      <c r="R17" s="1"/>
      <c r="S17" s="1"/>
      <c r="T17" s="1"/>
      <c r="U17" s="1"/>
      <c r="V17" s="1"/>
      <c r="W17" s="1"/>
      <c r="X17" s="1"/>
      <c r="Y17" s="1"/>
      <c r="Z17" s="1"/>
      <c r="AA17" s="1"/>
      <c r="AB17" s="1"/>
    </row>
    <row r="18" ht="50.25" customHeight="1">
      <c r="A18" s="12">
        <v>14.0</v>
      </c>
      <c r="B18" s="13" t="s">
        <v>6</v>
      </c>
      <c r="C18" s="14" t="s">
        <v>20</v>
      </c>
      <c r="D18" s="1"/>
      <c r="E18" s="15"/>
      <c r="F18" s="1" t="str">
        <f>IFERROR(__xludf.DUMMYFUNCTION("GOOGLETRANSLATE(B18, ""en"", ""fa"")
"),"بازاریابی رسانه های اجتماعی")</f>
        <v>بازاریابی رسانه های اجتماعی</v>
      </c>
      <c r="G18" s="1" t="str">
        <f>IFERROR(__xludf.DUMMYFUNCTION("GOOGLETRANSLATE(C18, ""en"", ""fa"")
"),"تصور کنید در حال مدیریت یک حساب توییتر برای یک شرکت نرم افزاری هستید. توییتی بنویسید که به‌روزرسانی نرم‌افزار جدید را اعلام کند و ویژگی‌ها و مزایای کلیدی آن را برای کاربران برجسته کند.")</f>
        <v>تصور کنید در حال مدیریت یک حساب توییتر برای یک شرکت نرم افزاری هستید. توییتی بنویسید که به‌روزرسانی نرم‌افزار جدید را اعلام کند و ویژگی‌ها و مزایای کلیدی آن را برای کاربران برجسته کند.</v>
      </c>
      <c r="H18" s="1"/>
      <c r="I18" s="1"/>
      <c r="J18" s="1"/>
      <c r="K18" s="1"/>
      <c r="L18" s="1"/>
      <c r="M18" s="1"/>
      <c r="N18" s="1"/>
      <c r="O18" s="1"/>
      <c r="P18" s="1"/>
      <c r="Q18" s="1"/>
      <c r="R18" s="1"/>
      <c r="S18" s="1"/>
      <c r="T18" s="1"/>
      <c r="U18" s="1"/>
      <c r="V18" s="1"/>
      <c r="W18" s="1"/>
      <c r="X18" s="1"/>
      <c r="Y18" s="1"/>
      <c r="Z18" s="1"/>
      <c r="AA18" s="1"/>
      <c r="AB18" s="1"/>
    </row>
    <row r="19" ht="50.25" customHeight="1">
      <c r="A19" s="12">
        <v>15.0</v>
      </c>
      <c r="B19" s="13" t="s">
        <v>6</v>
      </c>
      <c r="C19" s="14" t="s">
        <v>21</v>
      </c>
      <c r="D19" s="1"/>
      <c r="E19" s="15"/>
      <c r="F19" s="1" t="str">
        <f>IFERROR(__xludf.DUMMYFUNCTION("GOOGLETRANSLATE(B19, ""en"", ""fa"")
"),"بازاریابی رسانه های اجتماعی")</f>
        <v>بازاریابی رسانه های اجتماعی</v>
      </c>
      <c r="G19" s="1" t="str">
        <f>IFERROR(__xludf.DUMMYFUNCTION("GOOGLETRANSLATE(C19, ""en"", ""fa"")
"),"شما در حال ایجاد یک استراتژی رسانه اجتماعی برای یک کتابفروشی هستید. مجموعه‌ای از پست‌های جذاب فیس‌بوک را بنویسید که کتاب‌های محبوب در ژانرهای مختلف را توصیه می‌کند و دنبال‌کنندگان را مجذوب می‌کند تا کتاب‌های عالی بعدی خود را کشف کنند.")</f>
        <v>شما در حال ایجاد یک استراتژی رسانه اجتماعی برای یک کتابفروشی هستید. مجموعه‌ای از پست‌های جذاب فیس‌بوک را بنویسید که کتاب‌های محبوب در ژانرهای مختلف را توصیه می‌کند و دنبال‌کنندگان را مجذوب می‌کند تا کتاب‌های عالی بعدی خود را کشف کنند.</v>
      </c>
      <c r="H19" s="1"/>
      <c r="I19" s="1"/>
      <c r="J19" s="1"/>
      <c r="K19" s="1"/>
      <c r="L19" s="1"/>
      <c r="M19" s="1"/>
      <c r="N19" s="1"/>
      <c r="O19" s="1"/>
      <c r="P19" s="1"/>
      <c r="Q19" s="1"/>
      <c r="R19" s="1"/>
      <c r="S19" s="1"/>
      <c r="T19" s="1"/>
      <c r="U19" s="1"/>
      <c r="V19" s="1"/>
      <c r="W19" s="1"/>
      <c r="X19" s="1"/>
      <c r="Y19" s="1"/>
      <c r="Z19" s="1"/>
      <c r="AA19" s="1"/>
      <c r="AB19" s="1"/>
    </row>
    <row r="20" ht="50.25" customHeight="1">
      <c r="A20" s="12">
        <v>16.0</v>
      </c>
      <c r="B20" s="13" t="s">
        <v>6</v>
      </c>
      <c r="C20" s="14" t="s">
        <v>22</v>
      </c>
      <c r="D20" s="1"/>
      <c r="E20" s="15"/>
      <c r="F20" s="1" t="str">
        <f>IFERROR(__xludf.DUMMYFUNCTION("GOOGLETRANSLATE(B20, ""en"", ""fa"")
"),"بازاریابی رسانه های اجتماعی")</f>
        <v>بازاریابی رسانه های اجتماعی</v>
      </c>
      <c r="G20" s="1" t="str">
        <f>IFERROR(__xludf.DUMMYFUNCTION("GOOGLETRANSLATE(C20, ""en"", ""fa"")
"),"شما در حال مدیریت یک نمایه لینکدین برای یک متخصص بازاریابی هستید. مقاله ای در لینکدین بنویسید که بینش های ارزشمندی را در مورد آخرین روندهای بازاریابی به اشتراک می گذارد و افراد حرفه ای را به عنوان یک متخصص صنعت معرفی می کند.")</f>
        <v>شما در حال مدیریت یک نمایه لینکدین برای یک متخصص بازاریابی هستید. مقاله ای در لینکدین بنویسید که بینش های ارزشمندی را در مورد آخرین روندهای بازاریابی به اشتراک می گذارد و افراد حرفه ای را به عنوان یک متخصص صنعت معرفی می کند.</v>
      </c>
      <c r="H20" s="1"/>
      <c r="I20" s="1"/>
      <c r="J20" s="1"/>
      <c r="K20" s="1"/>
      <c r="L20" s="1"/>
      <c r="M20" s="1"/>
      <c r="N20" s="1"/>
      <c r="O20" s="1"/>
      <c r="P20" s="1"/>
      <c r="Q20" s="1"/>
      <c r="R20" s="1"/>
      <c r="S20" s="1"/>
      <c r="T20" s="1"/>
      <c r="U20" s="1"/>
      <c r="V20" s="1"/>
      <c r="W20" s="1"/>
      <c r="X20" s="1"/>
      <c r="Y20" s="1"/>
      <c r="Z20" s="1"/>
      <c r="AA20" s="1"/>
      <c r="AB20" s="1"/>
    </row>
    <row r="21" ht="50.25" customHeight="1">
      <c r="A21" s="12">
        <v>17.0</v>
      </c>
      <c r="B21" s="13" t="s">
        <v>6</v>
      </c>
      <c r="C21" s="14" t="s">
        <v>23</v>
      </c>
      <c r="D21" s="1"/>
      <c r="E21" s="15"/>
      <c r="F21" s="1" t="str">
        <f>IFERROR(__xludf.DUMMYFUNCTION("GOOGLETRANSLATE(B21, ""en"", ""fa"")
"),"بازاریابی رسانه های اجتماعی")</f>
        <v>بازاریابی رسانه های اجتماعی</v>
      </c>
      <c r="G21" s="1" t="str">
        <f>IFERROR(__xludf.DUMMYFUNCTION("GOOGLETRANSLATE(C21, ""en"", ""fa"")
"),"به‌عنوان مدیر رسانه‌های اجتماعی، یک ویدیوی جذاب TikTok برای یک برند مد ایجاد کنید و یک هک سبک سریع و مد روز را با استفاده از محصولات آن‌ها به نمایش بگذارید.")</f>
        <v>به‌عنوان مدیر رسانه‌های اجتماعی، یک ویدیوی جذاب TikTok برای یک برند مد ایجاد کنید و یک هک سبک سریع و مد روز را با استفاده از محصولات آن‌ها به نمایش بگذارید.</v>
      </c>
      <c r="H21" s="1"/>
      <c r="I21" s="1"/>
      <c r="J21" s="1"/>
      <c r="K21" s="1"/>
      <c r="L21" s="1"/>
      <c r="M21" s="1"/>
      <c r="N21" s="1"/>
      <c r="O21" s="1"/>
      <c r="P21" s="1"/>
      <c r="Q21" s="1"/>
      <c r="R21" s="1"/>
      <c r="S21" s="1"/>
      <c r="T21" s="1"/>
      <c r="U21" s="1"/>
      <c r="V21" s="1"/>
      <c r="W21" s="1"/>
      <c r="X21" s="1"/>
      <c r="Y21" s="1"/>
      <c r="Z21" s="1"/>
      <c r="AA21" s="1"/>
      <c r="AB21" s="1"/>
    </row>
    <row r="22" ht="50.25" customHeight="1">
      <c r="A22" s="12">
        <v>18.0</v>
      </c>
      <c r="B22" s="13" t="s">
        <v>6</v>
      </c>
      <c r="C22" s="14" t="s">
        <v>24</v>
      </c>
      <c r="D22" s="1"/>
      <c r="E22" s="15"/>
      <c r="F22" s="1" t="str">
        <f>IFERROR(__xludf.DUMMYFUNCTION("GOOGLETRANSLATE(B22, ""en"", ""fa"")
"),"بازاریابی رسانه های اجتماعی")</f>
        <v>بازاریابی رسانه های اجتماعی</v>
      </c>
      <c r="G22" s="1" t="str">
        <f>IFERROR(__xludf.DUMMYFUNCTION("GOOGLETRANSLATE(C22, ""en"", ""fa"")
"),"شما در حال اجرای یک کمپین رسانه های اجتماعی برای یک کافی شاپ هستید. یک استوری اینستاگرام بنویسید که یک پیشنهاد با زمان محدود را تبلیغ کند و کاربران را تشویق کند که از فروشگاه دیدن کنند و تجربه خود را با استفاده از یک هشتگ مارک دار به اشتراک بگذارند.")</f>
        <v>شما در حال اجرای یک کمپین رسانه های اجتماعی برای یک کافی شاپ هستید. یک استوری اینستاگرام بنویسید که یک پیشنهاد با زمان محدود را تبلیغ کند و کاربران را تشویق کند که از فروشگاه دیدن کنند و تجربه خود را با استفاده از یک هشتگ مارک دار به اشتراک بگذارند.</v>
      </c>
      <c r="H22" s="1"/>
      <c r="I22" s="1"/>
      <c r="J22" s="1"/>
      <c r="K22" s="1"/>
      <c r="L22" s="1"/>
      <c r="M22" s="1"/>
      <c r="N22" s="1"/>
      <c r="O22" s="1"/>
      <c r="P22" s="1"/>
      <c r="Q22" s="1"/>
      <c r="R22" s="1"/>
      <c r="S22" s="1"/>
      <c r="T22" s="1"/>
      <c r="U22" s="1"/>
      <c r="V22" s="1"/>
      <c r="W22" s="1"/>
      <c r="X22" s="1"/>
      <c r="Y22" s="1"/>
      <c r="Z22" s="1"/>
      <c r="AA22" s="1"/>
      <c r="AB22" s="1"/>
    </row>
    <row r="23" ht="50.25" customHeight="1">
      <c r="A23" s="12">
        <v>19.0</v>
      </c>
      <c r="B23" s="13" t="s">
        <v>6</v>
      </c>
      <c r="C23" s="14" t="s">
        <v>25</v>
      </c>
      <c r="D23" s="1"/>
      <c r="E23" s="15"/>
      <c r="F23" s="1" t="str">
        <f>IFERROR(__xludf.DUMMYFUNCTION("GOOGLETRANSLATE(B23, ""en"", ""fa"")
"),"بازاریابی رسانه های اجتماعی")</f>
        <v>بازاریابی رسانه های اجتماعی</v>
      </c>
      <c r="G23" s="1" t="str">
        <f>IFERROR(__xludf.DUMMYFUNCTION("GOOGLETRANSLATE(C23, ""en"", ""fa"")
"),"شما در حال مدیریت یک کانال YouTube برای علاقه مندان به آشپزی هستید. با تاکید بر خوشمزه بودن و سادگی غذا، عنوان و توضیحات ویدیویی جذابی را برای آموزش دستور تهیه کنید.")</f>
        <v>شما در حال مدیریت یک کانال YouTube برای علاقه مندان به آشپزی هستید. با تاکید بر خوشمزه بودن و سادگی غذا، عنوان و توضیحات ویدیویی جذابی را برای آموزش دستور تهیه کنید.</v>
      </c>
      <c r="H23" s="1"/>
      <c r="I23" s="1"/>
      <c r="J23" s="1"/>
      <c r="K23" s="1"/>
      <c r="L23" s="1"/>
      <c r="M23" s="1"/>
      <c r="N23" s="1"/>
      <c r="O23" s="1"/>
      <c r="P23" s="1"/>
      <c r="Q23" s="1"/>
      <c r="R23" s="1"/>
      <c r="S23" s="1"/>
      <c r="T23" s="1"/>
      <c r="U23" s="1"/>
      <c r="V23" s="1"/>
      <c r="W23" s="1"/>
      <c r="X23" s="1"/>
      <c r="Y23" s="1"/>
      <c r="Z23" s="1"/>
      <c r="AA23" s="1"/>
      <c r="AB23" s="1"/>
    </row>
    <row r="24" ht="50.25" customHeight="1">
      <c r="A24" s="12">
        <v>20.0</v>
      </c>
      <c r="B24" s="13" t="s">
        <v>6</v>
      </c>
      <c r="C24" s="14" t="s">
        <v>26</v>
      </c>
      <c r="D24" s="1"/>
      <c r="E24" s="15"/>
      <c r="F24" s="1" t="str">
        <f>IFERROR(__xludf.DUMMYFUNCTION("GOOGLETRANSLATE(B24, ""en"", ""fa"")
"),"بازاریابی رسانه های اجتماعی")</f>
        <v>بازاریابی رسانه های اجتماعی</v>
      </c>
      <c r="G24" s="1" t="str">
        <f>IFERROR(__xludf.DUMMYFUNCTION("GOOGLETRANSLATE(C24, ""en"", ""fa"")
"),"به‌عنوان مدیر رسانه‌های اجتماعی، پیامی قانع‌کننده در لینکدین بنویسید تا با یک کسب‌وکار مکمل شراکت ایجاد کنید و مزایای متقابل همکاری را برجسته کنید.")</f>
        <v>به‌عنوان مدیر رسانه‌های اجتماعی، پیامی قانع‌کننده در لینکدین بنویسید تا با یک کسب‌وکار مکمل شراکت ایجاد کنید و مزایای متقابل همکاری را برجسته کنید.</v>
      </c>
      <c r="H24" s="1"/>
      <c r="I24" s="1"/>
      <c r="J24" s="1"/>
      <c r="K24" s="1"/>
      <c r="L24" s="1"/>
      <c r="M24" s="1"/>
      <c r="N24" s="1"/>
      <c r="O24" s="1"/>
      <c r="P24" s="1"/>
      <c r="Q24" s="1"/>
      <c r="R24" s="1"/>
      <c r="S24" s="1"/>
      <c r="T24" s="1"/>
      <c r="U24" s="1"/>
      <c r="V24" s="1"/>
      <c r="W24" s="1"/>
      <c r="X24" s="1"/>
      <c r="Y24" s="1"/>
      <c r="Z24" s="1"/>
      <c r="AA24" s="1"/>
      <c r="AB24" s="1"/>
    </row>
    <row r="25" ht="50.25" customHeight="1">
      <c r="A25" s="12">
        <v>21.0</v>
      </c>
      <c r="B25" s="13" t="s">
        <v>6</v>
      </c>
      <c r="C25" s="14" t="s">
        <v>27</v>
      </c>
      <c r="D25" s="1"/>
      <c r="E25" s="15"/>
      <c r="F25" s="1" t="str">
        <f>IFERROR(__xludf.DUMMYFUNCTION("GOOGLETRANSLATE(B25, ""en"", ""fa"")
"),"بازاریابی رسانه های اجتماعی")</f>
        <v>بازاریابی رسانه های اجتماعی</v>
      </c>
      <c r="G25" s="1" t="str">
        <f>IFERROR(__xludf.DUMMYFUNCTION("GOOGLETRANSLATE(C25, ""en"", ""fa"")
"),"شما در حال مدیریت اکانت اینستاگرام یک اینفلوئنسر هستید که بر سفر متمرکز است. برای یک عکس سفر خیره‌کننده، یک توضیح جذاب و توصیفی بنویسید، که الهام بخش دنبال‌کنندگان برای کشف مقاصد جدید باشد.")</f>
        <v>شما در حال مدیریت اکانت اینستاگرام یک اینفلوئنسر هستید که بر سفر متمرکز است. برای یک عکس سفر خیره‌کننده، یک توضیح جذاب و توصیفی بنویسید، که الهام بخش دنبال‌کنندگان برای کشف مقاصد جدید باشد.</v>
      </c>
      <c r="H25" s="1"/>
      <c r="I25" s="1"/>
      <c r="J25" s="1"/>
      <c r="K25" s="1"/>
      <c r="L25" s="1"/>
      <c r="M25" s="1"/>
      <c r="N25" s="1"/>
      <c r="O25" s="1"/>
      <c r="P25" s="1"/>
      <c r="Q25" s="1"/>
      <c r="R25" s="1"/>
      <c r="S25" s="1"/>
      <c r="T25" s="1"/>
      <c r="U25" s="1"/>
      <c r="V25" s="1"/>
      <c r="W25" s="1"/>
      <c r="X25" s="1"/>
      <c r="Y25" s="1"/>
      <c r="Z25" s="1"/>
      <c r="AA25" s="1"/>
      <c r="AB25" s="1"/>
    </row>
    <row r="26" ht="50.25" customHeight="1">
      <c r="A26" s="12">
        <v>22.0</v>
      </c>
      <c r="B26" s="13" t="s">
        <v>6</v>
      </c>
      <c r="C26" s="14" t="s">
        <v>28</v>
      </c>
      <c r="D26" s="1"/>
      <c r="E26" s="15"/>
      <c r="F26" s="1" t="str">
        <f>IFERROR(__xludf.DUMMYFUNCTION("GOOGLETRANSLATE(B26, ""en"", ""fa"")
"),"بازاریابی رسانه های اجتماعی")</f>
        <v>بازاریابی رسانه های اجتماعی</v>
      </c>
      <c r="G26" s="1" t="str">
        <f>IFERROR(__xludf.DUMMYFUNCTION("GOOGLETRANSLATE(C26, ""en"", ""fa"")
"),"شما در حال برگزاری یک مسابقه رسانه های اجتماعی برای یک برند زیبایی هستید. یک پست فیس بوک بنویسید که مسابقه را اعلام کند، قوانین را توضیح دهد و دنبال کنندگان را تشویق کند تا برای شانس بردن جایزه شرکت کنند.")</f>
        <v>شما در حال برگزاری یک مسابقه رسانه های اجتماعی برای یک برند زیبایی هستید. یک پست فیس بوک بنویسید که مسابقه را اعلام کند، قوانین را توضیح دهد و دنبال کنندگان را تشویق کند تا برای شانس بردن جایزه شرکت کنند.</v>
      </c>
      <c r="H26" s="1"/>
      <c r="I26" s="1"/>
      <c r="J26" s="1"/>
      <c r="K26" s="1"/>
      <c r="L26" s="1"/>
      <c r="M26" s="1"/>
      <c r="N26" s="1"/>
      <c r="O26" s="1"/>
      <c r="P26" s="1"/>
      <c r="Q26" s="1"/>
      <c r="R26" s="1"/>
      <c r="S26" s="1"/>
      <c r="T26" s="1"/>
      <c r="U26" s="1"/>
      <c r="V26" s="1"/>
      <c r="W26" s="1"/>
      <c r="X26" s="1"/>
      <c r="Y26" s="1"/>
      <c r="Z26" s="1"/>
      <c r="AA26" s="1"/>
      <c r="AB26" s="1"/>
    </row>
    <row r="27" ht="50.25" customHeight="1">
      <c r="A27" s="12">
        <v>23.0</v>
      </c>
      <c r="B27" s="13" t="s">
        <v>6</v>
      </c>
      <c r="C27" s="14" t="s">
        <v>29</v>
      </c>
      <c r="D27" s="1"/>
      <c r="E27" s="15"/>
      <c r="F27" s="1" t="str">
        <f>IFERROR(__xludf.DUMMYFUNCTION("GOOGLETRANSLATE(B27, ""en"", ""fa"")
"),"بازاریابی رسانه های اجتماعی")</f>
        <v>بازاریابی رسانه های اجتماعی</v>
      </c>
      <c r="G27" s="1" t="str">
        <f>IFERROR(__xludf.DUMMYFUNCTION("GOOGLETRANSLATE(C27, ""en"", ""fa"")
"),"به‌عنوان مدیر رسانه‌های اجتماعی، مجموعه‌ای از پست‌های چرخ فلک اینستاگرام را برای یک استارت‌آپ فناوری ایجاد کنید که فرآیند گام به گام استفاده از محصول نوآورانه آن‌ها را نشان می‌دهد.")</f>
        <v>به‌عنوان مدیر رسانه‌های اجتماعی، مجموعه‌ای از پست‌های چرخ فلک اینستاگرام را برای یک استارت‌آپ فناوری ایجاد کنید که فرآیند گام به گام استفاده از محصول نوآورانه آن‌ها را نشان می‌دهد.</v>
      </c>
      <c r="H27" s="1"/>
      <c r="I27" s="1"/>
      <c r="J27" s="1"/>
      <c r="K27" s="1"/>
      <c r="L27" s="1"/>
      <c r="M27" s="1"/>
      <c r="N27" s="1"/>
      <c r="O27" s="1"/>
      <c r="P27" s="1"/>
      <c r="Q27" s="1"/>
      <c r="R27" s="1"/>
      <c r="S27" s="1"/>
      <c r="T27" s="1"/>
      <c r="U27" s="1"/>
      <c r="V27" s="1"/>
      <c r="W27" s="1"/>
      <c r="X27" s="1"/>
      <c r="Y27" s="1"/>
      <c r="Z27" s="1"/>
      <c r="AA27" s="1"/>
      <c r="AB27" s="1"/>
    </row>
    <row r="28" ht="50.25" customHeight="1">
      <c r="A28" s="12">
        <v>24.0</v>
      </c>
      <c r="B28" s="13" t="s">
        <v>6</v>
      </c>
      <c r="C28" s="14" t="s">
        <v>30</v>
      </c>
      <c r="D28" s="1"/>
      <c r="E28" s="15"/>
      <c r="F28" s="1" t="str">
        <f>IFERROR(__xludf.DUMMYFUNCTION("GOOGLETRANSLATE(B28, ""en"", ""fa"")
"),"بازاریابی رسانه های اجتماعی")</f>
        <v>بازاریابی رسانه های اجتماعی</v>
      </c>
      <c r="G28" s="1" t="str">
        <f>IFERROR(__xludf.DUMMYFUNCTION("GOOGLETRANSLATE(C28, ""en"", ""fa"")
"),"شما در حال مدیریت یک حساب توییتر برای یک هنرمند موسیقی هستید. توییتی بنویسید که انتشار آلبوم آینده را اذیت کند، انتظار ایجاد کند و دنبال‌کنندگان را تشویق به پیش‌سفارش کند.")</f>
        <v>شما در حال مدیریت یک حساب توییتر برای یک هنرمند موسیقی هستید. توییتی بنویسید که انتشار آلبوم آینده را اذیت کند، انتظار ایجاد کند و دنبال‌کنندگان را تشویق به پیش‌سفارش کند.</v>
      </c>
      <c r="H28" s="1"/>
      <c r="I28" s="1"/>
      <c r="J28" s="1"/>
      <c r="K28" s="1"/>
      <c r="L28" s="1"/>
      <c r="M28" s="1"/>
      <c r="N28" s="1"/>
      <c r="O28" s="1"/>
      <c r="P28" s="1"/>
      <c r="Q28" s="1"/>
      <c r="R28" s="1"/>
      <c r="S28" s="1"/>
      <c r="T28" s="1"/>
      <c r="U28" s="1"/>
      <c r="V28" s="1"/>
      <c r="W28" s="1"/>
      <c r="X28" s="1"/>
      <c r="Y28" s="1"/>
      <c r="Z28" s="1"/>
      <c r="AA28" s="1"/>
      <c r="AB28" s="1"/>
    </row>
    <row r="29" ht="50.25" customHeight="1">
      <c r="A29" s="12">
        <v>25.0</v>
      </c>
      <c r="B29" s="13" t="s">
        <v>6</v>
      </c>
      <c r="C29" s="14" t="s">
        <v>31</v>
      </c>
      <c r="D29" s="1"/>
      <c r="E29" s="15"/>
      <c r="F29" s="1" t="str">
        <f>IFERROR(__xludf.DUMMYFUNCTION("GOOGLETRANSLATE(B29, ""en"", ""fa"")
"),"بازاریابی رسانه های اجتماعی")</f>
        <v>بازاریابی رسانه های اجتماعی</v>
      </c>
      <c r="G29" s="1" t="str">
        <f>IFERROR(__xludf.DUMMYFUNCTION("GOOGLETRANSLATE(C29, ""en"", ""fa"")
"),"شما در حال ایجاد یک استراتژی رسانه اجتماعی برای یک مربی سلامت هستید. یک شرح رویداد فیس بوک لایو بنویسید که موضوع را مشخص کند، نکات کلیدی را برجسته کند، و دنبال کنندگان را تشویق کند که هماهنگ شوند و سؤال بپرسند.")</f>
        <v>شما در حال ایجاد یک استراتژی رسانه اجتماعی برای یک مربی سلامت هستید. یک شرح رویداد فیس بوک لایو بنویسید که موضوع را مشخص کند، نکات کلیدی را برجسته کند، و دنبال کنندگان را تشویق کند که هماهنگ شوند و سؤال بپرسند.</v>
      </c>
      <c r="H29" s="1"/>
      <c r="I29" s="1"/>
      <c r="J29" s="1"/>
      <c r="K29" s="1"/>
      <c r="L29" s="1"/>
      <c r="M29" s="1"/>
      <c r="N29" s="1"/>
      <c r="O29" s="1"/>
      <c r="P29" s="1"/>
      <c r="Q29" s="1"/>
      <c r="R29" s="1"/>
      <c r="S29" s="1"/>
      <c r="T29" s="1"/>
      <c r="U29" s="1"/>
      <c r="V29" s="1"/>
      <c r="W29" s="1"/>
      <c r="X29" s="1"/>
      <c r="Y29" s="1"/>
      <c r="Z29" s="1"/>
      <c r="AA29" s="1"/>
      <c r="AB29" s="1"/>
    </row>
    <row r="30" ht="50.25" customHeight="1">
      <c r="A30" s="12">
        <v>26.0</v>
      </c>
      <c r="B30" s="13" t="s">
        <v>6</v>
      </c>
      <c r="C30" s="14" t="s">
        <v>32</v>
      </c>
      <c r="D30" s="1"/>
      <c r="E30" s="15"/>
      <c r="F30" s="1" t="str">
        <f>IFERROR(__xludf.DUMMYFUNCTION("GOOGLETRANSLATE(B30, ""en"", ""fa"")
"),"بازاریابی رسانه های اجتماعی")</f>
        <v>بازاریابی رسانه های اجتماعی</v>
      </c>
      <c r="G30" s="1" t="str">
        <f>IFERROR(__xludf.DUMMYFUNCTION("GOOGLETRANSLATE(C30, ""en"", ""fa"")
"),"شما در حال مدیریت یک حساب Pinterest برای یک وبلاگ نویس مواد غذایی هستید. یک پین بصری جذاب برای یک دستور غذای خوشمزه و سالم ایجاد کنید، از جمله توضیحاتی جذاب و پیوندی به پست وبلاگ.")</f>
        <v>شما در حال مدیریت یک حساب Pinterest برای یک وبلاگ نویس مواد غذایی هستید. یک پین بصری جذاب برای یک دستور غذای خوشمزه و سالم ایجاد کنید، از جمله توضیحاتی جذاب و پیوندی به پست وبلاگ.</v>
      </c>
      <c r="H30" s="1"/>
      <c r="I30" s="1"/>
      <c r="J30" s="1"/>
      <c r="K30" s="1"/>
      <c r="L30" s="1"/>
      <c r="M30" s="1"/>
      <c r="N30" s="1"/>
      <c r="O30" s="1"/>
      <c r="P30" s="1"/>
      <c r="Q30" s="1"/>
      <c r="R30" s="1"/>
      <c r="S30" s="1"/>
      <c r="T30" s="1"/>
      <c r="U30" s="1"/>
      <c r="V30" s="1"/>
      <c r="W30" s="1"/>
      <c r="X30" s="1"/>
      <c r="Y30" s="1"/>
      <c r="Z30" s="1"/>
      <c r="AA30" s="1"/>
      <c r="AB30" s="1"/>
    </row>
    <row r="31" ht="50.25" customHeight="1">
      <c r="A31" s="12">
        <v>27.0</v>
      </c>
      <c r="B31" s="13" t="s">
        <v>6</v>
      </c>
      <c r="C31" s="14" t="s">
        <v>33</v>
      </c>
      <c r="D31" s="1"/>
      <c r="E31" s="15"/>
      <c r="F31" s="1" t="str">
        <f>IFERROR(__xludf.DUMMYFUNCTION("GOOGLETRANSLATE(B31, ""en"", ""fa"")
"),"بازاریابی رسانه های اجتماعی")</f>
        <v>بازاریابی رسانه های اجتماعی</v>
      </c>
      <c r="G31" s="1" t="str">
        <f>IFERROR(__xludf.DUMMYFUNCTION("GOOGLETRANSLATE(C31, ""en"", ""fa"")
"),"به‌عنوان مدیر رسانه‌های اجتماعی، یک داستان جذاب اسنپ‌چت برای یک خرده‌فروش مد بنویسید که شامل فیلم‌هایی از پشت صحنه یک عکاسی و ارائه تخفیف‌های منحصر به فرد برای مدت زمان محدود است.")</f>
        <v>به‌عنوان مدیر رسانه‌های اجتماعی، یک داستان جذاب اسنپ‌چت برای یک خرده‌فروش مد بنویسید که شامل فیلم‌هایی از پشت صحنه یک عکاسی و ارائه تخفیف‌های منحصر به فرد برای مدت زمان محدود است.</v>
      </c>
      <c r="H31" s="1"/>
      <c r="I31" s="1"/>
      <c r="J31" s="1"/>
      <c r="K31" s="1"/>
      <c r="L31" s="1"/>
      <c r="M31" s="1"/>
      <c r="N31" s="1"/>
      <c r="O31" s="1"/>
      <c r="P31" s="1"/>
      <c r="Q31" s="1"/>
      <c r="R31" s="1"/>
      <c r="S31" s="1"/>
      <c r="T31" s="1"/>
      <c r="U31" s="1"/>
      <c r="V31" s="1"/>
      <c r="W31" s="1"/>
      <c r="X31" s="1"/>
      <c r="Y31" s="1"/>
      <c r="Z31" s="1"/>
      <c r="AA31" s="1"/>
      <c r="AB31" s="1"/>
    </row>
    <row r="32" ht="50.25" customHeight="1">
      <c r="A32" s="12">
        <v>28.0</v>
      </c>
      <c r="B32" s="13" t="s">
        <v>6</v>
      </c>
      <c r="C32" s="14" t="s">
        <v>34</v>
      </c>
      <c r="D32" s="1"/>
      <c r="E32" s="15"/>
      <c r="F32" s="1" t="str">
        <f>IFERROR(__xludf.DUMMYFUNCTION("GOOGLETRANSLATE(B32, ""en"", ""fa"")
"),"بازاریابی رسانه های اجتماعی")</f>
        <v>بازاریابی رسانه های اجتماعی</v>
      </c>
      <c r="G32" s="1" t="str">
        <f>IFERROR(__xludf.DUMMYFUNCTION("GOOGLETRANSLATE(C32, ""en"", ""fa"")
"),"شما در حال اجرای یک کمپین رسانه های اجتماعی برای یک هتل مجلل هستید. کپشن اینستاگرامی بنویسید که تصویری واضح از یک تجربه تعطیلات رویایی را به تصویر می‌کشد و از دنبال‌کنندگان دعوت می‌کند اقامت خود را رزرو کنند.")</f>
        <v>شما در حال اجرای یک کمپین رسانه های اجتماعی برای یک هتل مجلل هستید. کپشن اینستاگرامی بنویسید که تصویری واضح از یک تجربه تعطیلات رویایی را به تصویر می‌کشد و از دنبال‌کنندگان دعوت می‌کند اقامت خود را رزرو کنند.</v>
      </c>
      <c r="H32" s="1"/>
      <c r="I32" s="1"/>
      <c r="J32" s="1"/>
      <c r="K32" s="1"/>
      <c r="L32" s="1"/>
      <c r="M32" s="1"/>
      <c r="N32" s="1"/>
      <c r="O32" s="1"/>
      <c r="P32" s="1"/>
      <c r="Q32" s="1"/>
      <c r="R32" s="1"/>
      <c r="S32" s="1"/>
      <c r="T32" s="1"/>
      <c r="U32" s="1"/>
      <c r="V32" s="1"/>
      <c r="W32" s="1"/>
      <c r="X32" s="1"/>
      <c r="Y32" s="1"/>
      <c r="Z32" s="1"/>
      <c r="AA32" s="1"/>
      <c r="AB32" s="1"/>
    </row>
    <row r="33" ht="50.25" customHeight="1">
      <c r="A33" s="12">
        <v>29.0</v>
      </c>
      <c r="B33" s="13" t="s">
        <v>6</v>
      </c>
      <c r="C33" s="14" t="s">
        <v>35</v>
      </c>
      <c r="D33" s="1"/>
      <c r="E33" s="15"/>
      <c r="F33" s="1" t="str">
        <f>IFERROR(__xludf.DUMMYFUNCTION("GOOGLETRANSLATE(B33, ""en"", ""fa"")
"),"بازاریابی رسانه های اجتماعی")</f>
        <v>بازاریابی رسانه های اجتماعی</v>
      </c>
      <c r="G33" s="1" t="str">
        <f>IFERROR(__xludf.DUMMYFUNCTION("GOOGLETRANSLATE(C33, ""en"", ""fa"")
"),"شما در حال مدیریت یک کانال YouTube برای یک کارشناس امور مالی شخصی هستید. یک تصویر کوچک ویدیویی و عنوان جذابی برای یک ویدیو بسازید که در مورد نکات عملی برای صرفه جویی در هزینه صحبت می کند.")</f>
        <v>شما در حال مدیریت یک کانال YouTube برای یک کارشناس امور مالی شخصی هستید. یک تصویر کوچک ویدیویی و عنوان جذابی برای یک ویدیو بسازید که در مورد نکات عملی برای صرفه جویی در هزینه صحبت می کند.</v>
      </c>
      <c r="H33" s="1"/>
      <c r="I33" s="1"/>
      <c r="J33" s="1"/>
      <c r="K33" s="1"/>
      <c r="L33" s="1"/>
      <c r="M33" s="1"/>
      <c r="N33" s="1"/>
      <c r="O33" s="1"/>
      <c r="P33" s="1"/>
      <c r="Q33" s="1"/>
      <c r="R33" s="1"/>
      <c r="S33" s="1"/>
      <c r="T33" s="1"/>
      <c r="U33" s="1"/>
      <c r="V33" s="1"/>
      <c r="W33" s="1"/>
      <c r="X33" s="1"/>
      <c r="Y33" s="1"/>
      <c r="Z33" s="1"/>
      <c r="AA33" s="1"/>
      <c r="AB33" s="1"/>
    </row>
    <row r="34" ht="50.25" customHeight="1">
      <c r="A34" s="12">
        <v>30.0</v>
      </c>
      <c r="B34" s="13" t="s">
        <v>6</v>
      </c>
      <c r="C34" s="14" t="s">
        <v>36</v>
      </c>
      <c r="D34" s="1"/>
      <c r="E34" s="15"/>
      <c r="F34" s="1" t="str">
        <f>IFERROR(__xludf.DUMMYFUNCTION("GOOGLETRANSLATE(B34, ""en"", ""fa"")
"),"بازاریابی رسانه های اجتماعی")</f>
        <v>بازاریابی رسانه های اجتماعی</v>
      </c>
      <c r="G34" s="1" t="str">
        <f>IFERROR(__xludf.DUMMYFUNCTION("GOOGLETRANSLATE(C34, ""en"", ""fa"")
"),"به عنوان یک مدیر رسانه های اجتماعی، یک اینفوگرافی آموزنده و جذاب برای یک برند سلامت و تندرستی ایجاد کنید و مزایای محصول شاخص آنها را برجسته کنید.")</f>
        <v>به عنوان یک مدیر رسانه های اجتماعی، یک اینفوگرافی آموزنده و جذاب برای یک برند سلامت و تندرستی ایجاد کنید و مزایای محصول شاخص آنها را برجسته کنید.</v>
      </c>
      <c r="H34" s="1"/>
      <c r="I34" s="1"/>
      <c r="J34" s="1"/>
      <c r="K34" s="1"/>
      <c r="L34" s="1"/>
      <c r="M34" s="1"/>
      <c r="N34" s="1"/>
      <c r="O34" s="1"/>
      <c r="P34" s="1"/>
      <c r="Q34" s="1"/>
      <c r="R34" s="1"/>
      <c r="S34" s="1"/>
      <c r="T34" s="1"/>
      <c r="U34" s="1"/>
      <c r="V34" s="1"/>
      <c r="W34" s="1"/>
      <c r="X34" s="1"/>
      <c r="Y34" s="1"/>
      <c r="Z34" s="1"/>
      <c r="AA34" s="1"/>
      <c r="AB34" s="1"/>
    </row>
    <row r="35" ht="50.25" customHeight="1">
      <c r="A35" s="12">
        <v>31.0</v>
      </c>
      <c r="B35" s="13" t="s">
        <v>6</v>
      </c>
      <c r="C35" s="14" t="s">
        <v>37</v>
      </c>
      <c r="D35" s="1"/>
      <c r="E35" s="15"/>
      <c r="F35" s="1" t="str">
        <f>IFERROR(__xludf.DUMMYFUNCTION("GOOGLETRANSLATE(B35, ""en"", ""fa"")
"),"بازاریابی رسانه های اجتماعی")</f>
        <v>بازاریابی رسانه های اجتماعی</v>
      </c>
      <c r="G35" s="1" t="str">
        <f>IFERROR(__xludf.DUMMYFUNCTION("GOOGLETRANSLATE(C35, ""en"", ""fa"")
"),"شما یک حساب اینستاگرام برای یک مرکز پذیرش حیوانات خانگی دارید. برای عکسی از یک حیوان نجات شایان ستایش، یک کپشن صمیمانه بنویسید و از فالوورها بخواهید که به فرزندخواندگی فکر کنند و پست را به اشتراک بگذارند.")</f>
        <v>شما یک حساب اینستاگرام برای یک مرکز پذیرش حیوانات خانگی دارید. برای عکسی از یک حیوان نجات شایان ستایش، یک کپشن صمیمانه بنویسید و از فالوورها بخواهید که به فرزندخواندگی فکر کنند و پست را به اشتراک بگذارند.</v>
      </c>
      <c r="H35" s="1"/>
      <c r="I35" s="1"/>
      <c r="J35" s="1"/>
      <c r="K35" s="1"/>
      <c r="L35" s="1"/>
      <c r="M35" s="1"/>
      <c r="N35" s="1"/>
      <c r="O35" s="1"/>
      <c r="P35" s="1"/>
      <c r="Q35" s="1"/>
      <c r="R35" s="1"/>
      <c r="S35" s="1"/>
      <c r="T35" s="1"/>
      <c r="U35" s="1"/>
      <c r="V35" s="1"/>
      <c r="W35" s="1"/>
      <c r="X35" s="1"/>
      <c r="Y35" s="1"/>
      <c r="Z35" s="1"/>
      <c r="AA35" s="1"/>
      <c r="AB35" s="1"/>
    </row>
    <row r="36" ht="50.25" customHeight="1">
      <c r="A36" s="12">
        <v>32.0</v>
      </c>
      <c r="B36" s="13" t="s">
        <v>6</v>
      </c>
      <c r="C36" s="14" t="s">
        <v>38</v>
      </c>
      <c r="D36" s="1"/>
      <c r="E36" s="15"/>
      <c r="F36" s="1" t="str">
        <f>IFERROR(__xludf.DUMMYFUNCTION("GOOGLETRANSLATE(B36, ""en"", ""fa"")
"),"بازاریابی رسانه های اجتماعی")</f>
        <v>بازاریابی رسانه های اجتماعی</v>
      </c>
      <c r="G36" s="1" t="str">
        <f>IFERROR(__xludf.DUMMYFUNCTION("GOOGLETRANSLATE(C36, ""en"", ""fa"")
"),"شما در حال مدیریت یک نمایه لینکدین برای یک مربی شغلی هستید. یک پست لینکدین بنویسید که توصیه های ارزشمندی را برای جویندگان کار ارائه می دهد و مربی را به عنوان یک منبع قابل اعتماد برای رشد حرفه ای قرار می دهد.")</f>
        <v>شما در حال مدیریت یک نمایه لینکدین برای یک مربی شغلی هستید. یک پست لینکدین بنویسید که توصیه های ارزشمندی را برای جویندگان کار ارائه می دهد و مربی را به عنوان یک منبع قابل اعتماد برای رشد حرفه ای قرار می دهد.</v>
      </c>
      <c r="H36" s="1"/>
      <c r="I36" s="1"/>
      <c r="J36" s="1"/>
      <c r="K36" s="1"/>
      <c r="L36" s="1"/>
      <c r="M36" s="1"/>
      <c r="N36" s="1"/>
      <c r="O36" s="1"/>
      <c r="P36" s="1"/>
      <c r="Q36" s="1"/>
      <c r="R36" s="1"/>
      <c r="S36" s="1"/>
      <c r="T36" s="1"/>
      <c r="U36" s="1"/>
      <c r="V36" s="1"/>
      <c r="W36" s="1"/>
      <c r="X36" s="1"/>
      <c r="Y36" s="1"/>
      <c r="Z36" s="1"/>
      <c r="AA36" s="1"/>
      <c r="AB36" s="1"/>
    </row>
    <row r="37" ht="50.25" customHeight="1">
      <c r="A37" s="12">
        <v>33.0</v>
      </c>
      <c r="B37" s="13" t="s">
        <v>6</v>
      </c>
      <c r="C37" s="14" t="s">
        <v>39</v>
      </c>
      <c r="D37" s="1"/>
      <c r="E37" s="15"/>
      <c r="F37" s="1" t="str">
        <f>IFERROR(__xludf.DUMMYFUNCTION("GOOGLETRANSLATE(B37, ""en"", ""fa"")
"),"بازاریابی رسانه های اجتماعی")</f>
        <v>بازاریابی رسانه های اجتماعی</v>
      </c>
      <c r="G37" s="1" t="str">
        <f>IFERROR(__xludf.DUMMYFUNCTION("GOOGLETRANSLATE(C37, ""en"", ""fa"")
"),"به‌عنوان مدیر رسانه‌های اجتماعی، مجموعه‌ای از موضوعات توییتر را برای سرویس تحویل غذا ایجاد کنید که حاوی ایده‌های دستور العمل سریع و آسان با استفاده از مواد تشکیل دهنده آنها است.")</f>
        <v>به‌عنوان مدیر رسانه‌های اجتماعی، مجموعه‌ای از موضوعات توییتر را برای سرویس تحویل غذا ایجاد کنید که حاوی ایده‌های دستور العمل سریع و آسان با استفاده از مواد تشکیل دهنده آنها است.</v>
      </c>
      <c r="H37" s="1"/>
      <c r="I37" s="1"/>
      <c r="J37" s="1"/>
      <c r="K37" s="1"/>
      <c r="L37" s="1"/>
      <c r="M37" s="1"/>
      <c r="N37" s="1"/>
      <c r="O37" s="1"/>
      <c r="P37" s="1"/>
      <c r="Q37" s="1"/>
      <c r="R37" s="1"/>
      <c r="S37" s="1"/>
      <c r="T37" s="1"/>
      <c r="U37" s="1"/>
      <c r="V37" s="1"/>
      <c r="W37" s="1"/>
      <c r="X37" s="1"/>
      <c r="Y37" s="1"/>
      <c r="Z37" s="1"/>
      <c r="AA37" s="1"/>
      <c r="AB37" s="1"/>
    </row>
    <row r="38" ht="50.25" customHeight="1">
      <c r="A38" s="12">
        <v>34.0</v>
      </c>
      <c r="B38" s="13" t="s">
        <v>6</v>
      </c>
      <c r="C38" s="14" t="s">
        <v>40</v>
      </c>
      <c r="D38" s="1"/>
      <c r="E38" s="15"/>
      <c r="F38" s="1" t="str">
        <f>IFERROR(__xludf.DUMMYFUNCTION("GOOGLETRANSLATE(B38, ""en"", ""fa"")
"),"بازاریابی رسانه های اجتماعی")</f>
        <v>بازاریابی رسانه های اجتماعی</v>
      </c>
      <c r="G38" s="1" t="str">
        <f>IFERROR(__xludf.DUMMYFUNCTION("GOOGLETRANSLATE(C38, ""en"", ""fa"")
"),"شما در حال ایجاد یک استراتژی رسانه اجتماعی برای یک آژانس مسافرتی هستید. یک اسکریپت ویدیویی متقاعدکننده در YouTube بنویسید که بسته‌های مسافرتی انحصاری آژانس را به نمایش بگذارد و تجربیات منحصر به فردی را که ارائه می‌دهند برجسته کند.")</f>
        <v>شما در حال ایجاد یک استراتژی رسانه اجتماعی برای یک آژانس مسافرتی هستید. یک اسکریپت ویدیویی متقاعدکننده در YouTube بنویسید که بسته‌های مسافرتی انحصاری آژانس را به نمایش بگذارد و تجربیات منحصر به فردی را که ارائه می‌دهند برجسته کند.</v>
      </c>
      <c r="H38" s="1"/>
      <c r="I38" s="1"/>
      <c r="J38" s="1"/>
      <c r="K38" s="1"/>
      <c r="L38" s="1"/>
      <c r="M38" s="1"/>
      <c r="N38" s="1"/>
      <c r="O38" s="1"/>
      <c r="P38" s="1"/>
      <c r="Q38" s="1"/>
      <c r="R38" s="1"/>
      <c r="S38" s="1"/>
      <c r="T38" s="1"/>
      <c r="U38" s="1"/>
      <c r="V38" s="1"/>
      <c r="W38" s="1"/>
      <c r="X38" s="1"/>
      <c r="Y38" s="1"/>
      <c r="Z38" s="1"/>
      <c r="AA38" s="1"/>
      <c r="AB38" s="1"/>
    </row>
    <row r="39" ht="50.25" customHeight="1">
      <c r="A39" s="12">
        <v>35.0</v>
      </c>
      <c r="B39" s="13" t="s">
        <v>6</v>
      </c>
      <c r="C39" s="14" t="s">
        <v>41</v>
      </c>
      <c r="D39" s="1"/>
      <c r="E39" s="15"/>
      <c r="F39" s="1" t="str">
        <f>IFERROR(__xludf.DUMMYFUNCTION("GOOGLETRANSLATE(B39, ""en"", ""fa"")
"),"بازاریابی رسانه های اجتماعی")</f>
        <v>بازاریابی رسانه های اجتماعی</v>
      </c>
      <c r="G39" s="1" t="str">
        <f>IFERROR(__xludf.DUMMYFUNCTION("GOOGLETRANSLATE(C39, ""en"", ""fa"")
"),"شما در حال مدیریت یک صفحه فیس بوک برای یک رویداد محلی هستید. پستی بنویسید که رویداد را اعلام کند، مجموعه فعالیت‌ها را به اشتراک بگذارد، و دنبال‌کنندگان را تشویق به پاسخگویی و دعوت دوستانشان کند.")</f>
        <v>شما در حال مدیریت یک صفحه فیس بوک برای یک رویداد محلی هستید. پستی بنویسید که رویداد را اعلام کند، مجموعه فعالیت‌ها را به اشتراک بگذارد، و دنبال‌کنندگان را تشویق به پاسخگویی و دعوت دوستانشان کند.</v>
      </c>
      <c r="H39" s="1"/>
      <c r="I39" s="1"/>
      <c r="J39" s="1"/>
      <c r="K39" s="1"/>
      <c r="L39" s="1"/>
      <c r="M39" s="1"/>
      <c r="N39" s="1"/>
      <c r="O39" s="1"/>
      <c r="P39" s="1"/>
      <c r="Q39" s="1"/>
      <c r="R39" s="1"/>
      <c r="S39" s="1"/>
      <c r="T39" s="1"/>
      <c r="U39" s="1"/>
      <c r="V39" s="1"/>
      <c r="W39" s="1"/>
      <c r="X39" s="1"/>
      <c r="Y39" s="1"/>
      <c r="Z39" s="1"/>
      <c r="AA39" s="1"/>
      <c r="AB39" s="1"/>
    </row>
    <row r="40" ht="50.25" customHeight="1">
      <c r="A40" s="12">
        <v>36.0</v>
      </c>
      <c r="B40" s="13" t="s">
        <v>6</v>
      </c>
      <c r="C40" s="14" t="s">
        <v>42</v>
      </c>
      <c r="D40" s="1"/>
      <c r="E40" s="15"/>
      <c r="F40" s="1" t="str">
        <f>IFERROR(__xludf.DUMMYFUNCTION("GOOGLETRANSLATE(B40, ""en"", ""fa"")
"),"بازاریابی رسانه های اجتماعی")</f>
        <v>بازاریابی رسانه های اجتماعی</v>
      </c>
      <c r="G40" s="1" t="str">
        <f>IFERROR(__xludf.DUMMYFUNCTION("GOOGLETRANSLATE(C40, ""en"", ""fa"")
"),"شما در حال اجرای یک کمپین رسانه های اجتماعی برای یک برند پوشاک تناسب اندام هستید. یک استوری جذاب در اینستاگرام بنویسید که شامل توصیفات مشتری و داستان های موفقیت می شود و کیفیت و عملکرد برند را ارتقا می دهد.")</f>
        <v>شما در حال اجرای یک کمپین رسانه های اجتماعی برای یک برند پوشاک تناسب اندام هستید. یک استوری جذاب در اینستاگرام بنویسید که شامل توصیفات مشتری و داستان های موفقیت می شود و کیفیت و عملکرد برند را ارتقا می دهد.</v>
      </c>
      <c r="H40" s="1"/>
      <c r="I40" s="1"/>
      <c r="J40" s="1"/>
      <c r="K40" s="1"/>
      <c r="L40" s="1"/>
      <c r="M40" s="1"/>
      <c r="N40" s="1"/>
      <c r="O40" s="1"/>
      <c r="P40" s="1"/>
      <c r="Q40" s="1"/>
      <c r="R40" s="1"/>
      <c r="S40" s="1"/>
      <c r="T40" s="1"/>
      <c r="U40" s="1"/>
      <c r="V40" s="1"/>
      <c r="W40" s="1"/>
      <c r="X40" s="1"/>
      <c r="Y40" s="1"/>
      <c r="Z40" s="1"/>
      <c r="AA40" s="1"/>
      <c r="AB40" s="1"/>
    </row>
    <row r="41" ht="50.25" customHeight="1">
      <c r="A41" s="12">
        <v>37.0</v>
      </c>
      <c r="B41" s="13" t="s">
        <v>6</v>
      </c>
      <c r="C41" s="14" t="s">
        <v>43</v>
      </c>
      <c r="D41" s="1"/>
      <c r="E41" s="15"/>
      <c r="F41" s="1" t="str">
        <f>IFERROR(__xludf.DUMMYFUNCTION("GOOGLETRANSLATE(B41, ""en"", ""fa"")
"),"بازاریابی رسانه های اجتماعی")</f>
        <v>بازاریابی رسانه های اجتماعی</v>
      </c>
      <c r="G41" s="1" t="str">
        <f>IFERROR(__xludf.DUMMYFUNCTION("GOOGLETRANSLATE(C41, ""en"", ""fa"")
"),"به عنوان یک مدیر رسانه های اجتماعی، یک پست وبلاگ متقاعدکننده برای یک آژانس بازاریابی دیجیتال بنویسید و مزایای برون سپاری مدیریت رسانه های اجتماعی را توضیح دهید و تخصص آژانس را به نمایش بگذارید.")</f>
        <v>به عنوان یک مدیر رسانه های اجتماعی، یک پست وبلاگ متقاعدکننده برای یک آژانس بازاریابی دیجیتال بنویسید و مزایای برون سپاری مدیریت رسانه های اجتماعی را توضیح دهید و تخصص آژانس را به نمایش بگذارید.</v>
      </c>
      <c r="H41" s="1"/>
      <c r="I41" s="1"/>
      <c r="J41" s="1"/>
      <c r="K41" s="1"/>
      <c r="L41" s="1"/>
      <c r="M41" s="1"/>
      <c r="N41" s="1"/>
      <c r="O41" s="1"/>
      <c r="P41" s="1"/>
      <c r="Q41" s="1"/>
      <c r="R41" s="1"/>
      <c r="S41" s="1"/>
      <c r="T41" s="1"/>
      <c r="U41" s="1"/>
      <c r="V41" s="1"/>
      <c r="W41" s="1"/>
      <c r="X41" s="1"/>
      <c r="Y41" s="1"/>
      <c r="Z41" s="1"/>
      <c r="AA41" s="1"/>
      <c r="AB41" s="1"/>
    </row>
    <row r="42" ht="50.25" customHeight="1">
      <c r="A42" s="12">
        <v>38.0</v>
      </c>
      <c r="B42" s="13" t="s">
        <v>6</v>
      </c>
      <c r="C42" s="14" t="s">
        <v>44</v>
      </c>
      <c r="D42" s="1"/>
      <c r="E42" s="15"/>
      <c r="F42" s="1" t="str">
        <f>IFERROR(__xludf.DUMMYFUNCTION("GOOGLETRANSLATE(B42, ""en"", ""fa"")
"),"بازاریابی رسانه های اجتماعی")</f>
        <v>بازاریابی رسانه های اجتماعی</v>
      </c>
      <c r="G42" s="1" t="str">
        <f>IFERROR(__xludf.DUMMYFUNCTION("GOOGLETRANSLATE(C42, ""en"", ""fa"")
"),"شما در حال مدیریت حساب توییتر یک تأثیرگذار هستید که بر توسعه شخصی متمرکز است. توییتی تامل برانگیز بنویسید که درس زندگی ارزشمندی را ارائه دهد و فالوورها را تشویق کند تا تجربیات خود را به اشتراک بگذارند.")</f>
        <v>شما در حال مدیریت حساب توییتر یک تأثیرگذار هستید که بر توسعه شخصی متمرکز است. توییتی تامل برانگیز بنویسید که درس زندگی ارزشمندی را ارائه دهد و فالوورها را تشویق کند تا تجربیات خود را به اشتراک بگذارند.</v>
      </c>
      <c r="H42" s="1"/>
      <c r="I42" s="1"/>
      <c r="J42" s="1"/>
      <c r="K42" s="1"/>
      <c r="L42" s="1"/>
      <c r="M42" s="1"/>
      <c r="N42" s="1"/>
      <c r="O42" s="1"/>
      <c r="P42" s="1"/>
      <c r="Q42" s="1"/>
      <c r="R42" s="1"/>
      <c r="S42" s="1"/>
      <c r="T42" s="1"/>
      <c r="U42" s="1"/>
      <c r="V42" s="1"/>
      <c r="W42" s="1"/>
      <c r="X42" s="1"/>
      <c r="Y42" s="1"/>
      <c r="Z42" s="1"/>
      <c r="AA42" s="1"/>
      <c r="AB42" s="1"/>
    </row>
    <row r="43" ht="50.25" customHeight="1">
      <c r="A43" s="12">
        <v>39.0</v>
      </c>
      <c r="B43" s="13" t="s">
        <v>6</v>
      </c>
      <c r="C43" s="14" t="s">
        <v>45</v>
      </c>
      <c r="D43" s="1"/>
      <c r="E43" s="15"/>
      <c r="F43" s="1" t="str">
        <f>IFERROR(__xludf.DUMMYFUNCTION("GOOGLETRANSLATE(B43, ""en"", ""fa"")
"),"بازاریابی رسانه های اجتماعی")</f>
        <v>بازاریابی رسانه های اجتماعی</v>
      </c>
      <c r="G43" s="1" t="str">
        <f>IFERROR(__xludf.DUMMYFUNCTION("GOOGLETRANSLATE(C43, ""en"", ""fa"")
"),"شما در حال مدیریت یک نمایه LinkedIn برای یک بنیانگذار استارتاپ فناوری هستید. مقاله‌ای در لینکدین بنویسید که بینش‌هایی را در مورد چالش‌ها در اکوسیستم استارت‌آپ به اشتراک می‌گذارد و بنیان‌گذار را به عنوان یک کارآفرین انعطاف‌پذیر و آگاه معرفی می‌کند.")</f>
        <v>شما در حال مدیریت یک نمایه LinkedIn برای یک بنیانگذار استارتاپ فناوری هستید. مقاله‌ای در لینکدین بنویسید که بینش‌هایی را در مورد چالش‌ها در اکوسیستم استارت‌آپ به اشتراک می‌گذارد و بنیان‌گذار را به عنوان یک کارآفرین انعطاف‌پذیر و آگاه معرفی می‌کند.</v>
      </c>
      <c r="H43" s="1"/>
      <c r="I43" s="1"/>
      <c r="J43" s="1"/>
      <c r="K43" s="1"/>
      <c r="L43" s="1"/>
      <c r="M43" s="1"/>
      <c r="N43" s="1"/>
      <c r="O43" s="1"/>
      <c r="P43" s="1"/>
      <c r="Q43" s="1"/>
      <c r="R43" s="1"/>
      <c r="S43" s="1"/>
      <c r="T43" s="1"/>
      <c r="U43" s="1"/>
      <c r="V43" s="1"/>
      <c r="W43" s="1"/>
      <c r="X43" s="1"/>
      <c r="Y43" s="1"/>
      <c r="Z43" s="1"/>
      <c r="AA43" s="1"/>
      <c r="AB43" s="1"/>
    </row>
    <row r="44" ht="50.25" customHeight="1">
      <c r="A44" s="12">
        <v>40.0</v>
      </c>
      <c r="B44" s="13" t="s">
        <v>6</v>
      </c>
      <c r="C44" s="14" t="s">
        <v>46</v>
      </c>
      <c r="D44" s="1"/>
      <c r="E44" s="15"/>
      <c r="F44" s="1" t="str">
        <f>IFERROR(__xludf.DUMMYFUNCTION("GOOGLETRANSLATE(B44, ""en"", ""fa"")
"),"بازاریابی رسانه های اجتماعی")</f>
        <v>بازاریابی رسانه های اجتماعی</v>
      </c>
      <c r="G44" s="1" t="str">
        <f>IFERROR(__xludf.DUMMYFUNCTION("GOOGLETRANSLATE(C44, ""en"", ""fa"")
"),"به عنوان یک مدیر رسانه های اجتماعی، یک حلقه اینستاگرام چشم نواز برای یک برند مراقبت از پوست ایجاد کنید و یک روال مراقبت از پوست سریع و موثر را با استفاده از محصولات آنها نشان دهید.")</f>
        <v>به عنوان یک مدیر رسانه های اجتماعی، یک حلقه اینستاگرام چشم نواز برای یک برند مراقبت از پوست ایجاد کنید و یک روال مراقبت از پوست سریع و موثر را با استفاده از محصولات آنها نشان دهید.</v>
      </c>
      <c r="H44" s="1"/>
      <c r="I44" s="1"/>
      <c r="J44" s="1"/>
      <c r="K44" s="1"/>
      <c r="L44" s="1"/>
      <c r="M44" s="1"/>
      <c r="N44" s="1"/>
      <c r="O44" s="1"/>
      <c r="P44" s="1"/>
      <c r="Q44" s="1"/>
      <c r="R44" s="1"/>
      <c r="S44" s="1"/>
      <c r="T44" s="1"/>
      <c r="U44" s="1"/>
      <c r="V44" s="1"/>
      <c r="W44" s="1"/>
      <c r="X44" s="1"/>
      <c r="Y44" s="1"/>
      <c r="Z44" s="1"/>
      <c r="AA44" s="1"/>
      <c r="AB44" s="1"/>
    </row>
    <row r="45" ht="50.25" customHeight="1">
      <c r="A45" s="12">
        <v>41.0</v>
      </c>
      <c r="B45" s="13" t="s">
        <v>6</v>
      </c>
      <c r="C45" s="14" t="s">
        <v>47</v>
      </c>
      <c r="D45" s="1"/>
      <c r="E45" s="15"/>
      <c r="F45" s="1" t="str">
        <f>IFERROR(__xludf.DUMMYFUNCTION("GOOGLETRANSLATE(B45, ""en"", ""fa"")
"),"بازاریابی رسانه های اجتماعی")</f>
        <v>بازاریابی رسانه های اجتماعی</v>
      </c>
      <c r="G45" s="1" t="str">
        <f>IFERROR(__xludf.DUMMYFUNCTION("GOOGLETRANSLATE(C45, ""en"", ""fa"")
"),"شما در حال اجرای یک مسابقه رسانه های اجتماعی برای یک فروشگاه لوازم خانگی هستید. یک پست فیس بوک بنویسید که دنبال کنندگان را دعوت کند تا بهترین عکس های پروژه DIY خود را با شانس برنده شدن یک کارت هدیه به اشتراک بگذارند.")</f>
        <v>شما در حال اجرای یک مسابقه رسانه های اجتماعی برای یک فروشگاه لوازم خانگی هستید. یک پست فیس بوک بنویسید که دنبال کنندگان را دعوت کند تا بهترین عکس های پروژه DIY خود را با شانس برنده شدن یک کارت هدیه به اشتراک بگذارند.</v>
      </c>
      <c r="H45" s="1"/>
      <c r="I45" s="1"/>
      <c r="J45" s="1"/>
      <c r="K45" s="1"/>
      <c r="L45" s="1"/>
      <c r="M45" s="1"/>
      <c r="N45" s="1"/>
      <c r="O45" s="1"/>
      <c r="P45" s="1"/>
      <c r="Q45" s="1"/>
      <c r="R45" s="1"/>
      <c r="S45" s="1"/>
      <c r="T45" s="1"/>
      <c r="U45" s="1"/>
      <c r="V45" s="1"/>
      <c r="W45" s="1"/>
      <c r="X45" s="1"/>
      <c r="Y45" s="1"/>
      <c r="Z45" s="1"/>
      <c r="AA45" s="1"/>
      <c r="AB45" s="1"/>
    </row>
    <row r="46" ht="50.25" customHeight="1">
      <c r="A46" s="12">
        <v>42.0</v>
      </c>
      <c r="B46" s="13" t="s">
        <v>6</v>
      </c>
      <c r="C46" s="14" t="s">
        <v>48</v>
      </c>
      <c r="D46" s="1"/>
      <c r="E46" s="15"/>
      <c r="F46" s="1" t="str">
        <f>IFERROR(__xludf.DUMMYFUNCTION("GOOGLETRANSLATE(B46, ""en"", ""fa"")
"),"بازاریابی رسانه های اجتماعی")</f>
        <v>بازاریابی رسانه های اجتماعی</v>
      </c>
      <c r="G46" s="1" t="str">
        <f>IFERROR(__xludf.DUMMYFUNCTION("GOOGLETRANSLATE(C46, ""en"", ""fa"")
"),"شما در حال مدیریت یک کانال YouTube برای یک وبلاگ نویس مسافرتی هستید. یک عنوان ویدیویی و توضیحات قانع کننده برای راهنمای سفر به یک مقصد محبوب بسازید که تجربیات منحصر به فرد و جواهرات پنهان را برجسته کنید.")</f>
        <v>شما در حال مدیریت یک کانال YouTube برای یک وبلاگ نویس مسافرتی هستید. یک عنوان ویدیویی و توضیحات قانع کننده برای راهنمای سفر به یک مقصد محبوب بسازید که تجربیات منحصر به فرد و جواهرات پنهان را برجسته کنید.</v>
      </c>
      <c r="H46" s="1"/>
      <c r="I46" s="1"/>
      <c r="J46" s="1"/>
      <c r="K46" s="1"/>
      <c r="L46" s="1"/>
      <c r="M46" s="1"/>
      <c r="N46" s="1"/>
      <c r="O46" s="1"/>
      <c r="P46" s="1"/>
      <c r="Q46" s="1"/>
      <c r="R46" s="1"/>
      <c r="S46" s="1"/>
      <c r="T46" s="1"/>
      <c r="U46" s="1"/>
      <c r="V46" s="1"/>
      <c r="W46" s="1"/>
      <c r="X46" s="1"/>
      <c r="Y46" s="1"/>
      <c r="Z46" s="1"/>
      <c r="AA46" s="1"/>
      <c r="AB46" s="1"/>
    </row>
    <row r="47" ht="50.25" customHeight="1">
      <c r="A47" s="12">
        <v>43.0</v>
      </c>
      <c r="B47" s="13" t="s">
        <v>6</v>
      </c>
      <c r="C47" s="14" t="s">
        <v>49</v>
      </c>
      <c r="D47" s="1"/>
      <c r="E47" s="15"/>
      <c r="F47" s="1" t="str">
        <f>IFERROR(__xludf.DUMMYFUNCTION("GOOGLETRANSLATE(B47, ""en"", ""fa"")
"),"بازاریابی رسانه های اجتماعی")</f>
        <v>بازاریابی رسانه های اجتماعی</v>
      </c>
      <c r="G47" s="1" t="str">
        <f>IFERROR(__xludf.DUMMYFUNCTION("GOOGLETRANSLATE(C47, ""en"", ""fa"")
"),"شما در حال ایجاد یک استراتژی رسانه اجتماعی برای یک خرده فروش مد هستید. مجموعه‌ای از کپشن‌های جذاب اینستاگرام بنویسید که با عکس‌های لباس همراه است، نکات مد را در خود گنجانده و فالوورها را تشویق کنید تا سبک شخصی خود را بیان کنند.")</f>
        <v>شما در حال ایجاد یک استراتژی رسانه اجتماعی برای یک خرده فروش مد هستید. مجموعه‌ای از کپشن‌های جذاب اینستاگرام بنویسید که با عکس‌های لباس همراه است، نکات مد را در خود گنجانده و فالوورها را تشویق کنید تا سبک شخصی خود را بیان کنند.</v>
      </c>
      <c r="H47" s="1"/>
      <c r="I47" s="1"/>
      <c r="J47" s="1"/>
      <c r="K47" s="1"/>
      <c r="L47" s="1"/>
      <c r="M47" s="1"/>
      <c r="N47" s="1"/>
      <c r="O47" s="1"/>
      <c r="P47" s="1"/>
      <c r="Q47" s="1"/>
      <c r="R47" s="1"/>
      <c r="S47" s="1"/>
      <c r="T47" s="1"/>
      <c r="U47" s="1"/>
      <c r="V47" s="1"/>
      <c r="W47" s="1"/>
      <c r="X47" s="1"/>
      <c r="Y47" s="1"/>
      <c r="Z47" s="1"/>
      <c r="AA47" s="1"/>
      <c r="AB47" s="1"/>
    </row>
    <row r="48" ht="50.25" customHeight="1">
      <c r="A48" s="12">
        <v>44.0</v>
      </c>
      <c r="B48" s="13" t="s">
        <v>6</v>
      </c>
      <c r="C48" s="14" t="s">
        <v>50</v>
      </c>
      <c r="D48" s="1"/>
      <c r="E48" s="15"/>
      <c r="F48" s="1" t="str">
        <f>IFERROR(__xludf.DUMMYFUNCTION("GOOGLETRANSLATE(B48, ""en"", ""fa"")
"),"بازاریابی رسانه های اجتماعی")</f>
        <v>بازاریابی رسانه های اجتماعی</v>
      </c>
      <c r="G48" s="1" t="str">
        <f>IFERROR(__xludf.DUMMYFUNCTION("GOOGLETRANSLATE(C48, ""en"", ""fa"")
"),"به‌عنوان مدیر رسانه‌های اجتماعی، یک داستان جذاب اسنپ‌چت برای یک شرکت بازی بنویسید که شامل نگاه‌های پنهانی از نسخه‌ی آینده بازی و محتوای انحصاری برای دنبال‌کنندگان است.")</f>
        <v>به‌عنوان مدیر رسانه‌های اجتماعی، یک داستان جذاب اسنپ‌چت برای یک شرکت بازی بنویسید که شامل نگاه‌های پنهانی از نسخه‌ی آینده بازی و محتوای انحصاری برای دنبال‌کنندگان است.</v>
      </c>
      <c r="H48" s="1"/>
      <c r="I48" s="1"/>
      <c r="J48" s="1"/>
      <c r="K48" s="1"/>
      <c r="L48" s="1"/>
      <c r="M48" s="1"/>
      <c r="N48" s="1"/>
      <c r="O48" s="1"/>
      <c r="P48" s="1"/>
      <c r="Q48" s="1"/>
      <c r="R48" s="1"/>
      <c r="S48" s="1"/>
      <c r="T48" s="1"/>
      <c r="U48" s="1"/>
      <c r="V48" s="1"/>
      <c r="W48" s="1"/>
      <c r="X48" s="1"/>
      <c r="Y48" s="1"/>
      <c r="Z48" s="1"/>
      <c r="AA48" s="1"/>
      <c r="AB48" s="1"/>
    </row>
    <row r="49" ht="50.25" customHeight="1">
      <c r="A49" s="12">
        <v>45.0</v>
      </c>
      <c r="B49" s="13" t="s">
        <v>6</v>
      </c>
      <c r="C49" s="14" t="s">
        <v>51</v>
      </c>
      <c r="D49" s="1"/>
      <c r="E49" s="15"/>
      <c r="F49" s="1" t="str">
        <f>IFERROR(__xludf.DUMMYFUNCTION("GOOGLETRANSLATE(B49, ""en"", ""fa"")
"),"بازاریابی رسانه های اجتماعی")</f>
        <v>بازاریابی رسانه های اجتماعی</v>
      </c>
      <c r="G49" s="1" t="str">
        <f>IFERROR(__xludf.DUMMYFUNCTION("GOOGLETRANSLATE(C49, ""en"", ""fa"")
"),"شما در حال مدیریت یک حساب Pinterest برای یک برنامه ریز عروسی هستید. یک تخته چوبی بصری خیره کننده ایجاد کنید که تم های مختلف عروسی را به نمایش می گذارد و ایده های خلاقانه را به زوج ها القا می کند.")</f>
        <v>شما در حال مدیریت یک حساب Pinterest برای یک برنامه ریز عروسی هستید. یک تخته چوبی بصری خیره کننده ایجاد کنید که تم های مختلف عروسی را به نمایش می گذارد و ایده های خلاقانه را به زوج ها القا می کند.</v>
      </c>
      <c r="H49" s="1"/>
      <c r="I49" s="1"/>
      <c r="J49" s="1"/>
      <c r="K49" s="1"/>
      <c r="L49" s="1"/>
      <c r="M49" s="1"/>
      <c r="N49" s="1"/>
      <c r="O49" s="1"/>
      <c r="P49" s="1"/>
      <c r="Q49" s="1"/>
      <c r="R49" s="1"/>
      <c r="S49" s="1"/>
      <c r="T49" s="1"/>
      <c r="U49" s="1"/>
      <c r="V49" s="1"/>
      <c r="W49" s="1"/>
      <c r="X49" s="1"/>
      <c r="Y49" s="1"/>
      <c r="Z49" s="1"/>
      <c r="AA49" s="1"/>
      <c r="AB49" s="1"/>
    </row>
    <row r="50" ht="50.25" customHeight="1">
      <c r="A50" s="12">
        <v>46.0</v>
      </c>
      <c r="B50" s="13" t="s">
        <v>6</v>
      </c>
      <c r="C50" s="14" t="s">
        <v>52</v>
      </c>
      <c r="D50" s="1"/>
      <c r="E50" s="15"/>
      <c r="F50" s="1" t="str">
        <f>IFERROR(__xludf.DUMMYFUNCTION("GOOGLETRANSLATE(B50, ""en"", ""fa"")
"),"بازاریابی رسانه های اجتماعی")</f>
        <v>بازاریابی رسانه های اجتماعی</v>
      </c>
      <c r="G50" s="1" t="str">
        <f>IFERROR(__xludf.DUMMYFUNCTION("GOOGLETRANSLATE(C50, ""en"", ""fa"")
"),"شما در حال اجرای یک کمپین رسانه اجتماعی برای یک برنامه سلامت و تندرستی هستید. یک کپشن اینستاگرام بنویسید که ویژگی‌ها و مزایای برنامه را برجسته می‌کند و کاربران را تشویق می‌کند تا بارگیری کنند و سلامتی خود را در اولویت قرار دهند.")</f>
        <v>شما در حال اجرای یک کمپین رسانه اجتماعی برای یک برنامه سلامت و تندرستی هستید. یک کپشن اینستاگرام بنویسید که ویژگی‌ها و مزایای برنامه را برجسته می‌کند و کاربران را تشویق می‌کند تا بارگیری کنند و سلامتی خود را در اولویت قرار دهند.</v>
      </c>
      <c r="H50" s="1"/>
      <c r="I50" s="1"/>
      <c r="J50" s="1"/>
      <c r="K50" s="1"/>
      <c r="L50" s="1"/>
      <c r="M50" s="1"/>
      <c r="N50" s="1"/>
      <c r="O50" s="1"/>
      <c r="P50" s="1"/>
      <c r="Q50" s="1"/>
      <c r="R50" s="1"/>
      <c r="S50" s="1"/>
      <c r="T50" s="1"/>
      <c r="U50" s="1"/>
      <c r="V50" s="1"/>
      <c r="W50" s="1"/>
      <c r="X50" s="1"/>
      <c r="Y50" s="1"/>
      <c r="Z50" s="1"/>
      <c r="AA50" s="1"/>
      <c r="AB50" s="1"/>
    </row>
    <row r="51" ht="50.25" customHeight="1">
      <c r="A51" s="12">
        <v>47.0</v>
      </c>
      <c r="B51" s="13" t="s">
        <v>6</v>
      </c>
      <c r="C51" s="14" t="s">
        <v>53</v>
      </c>
      <c r="D51" s="1"/>
      <c r="E51" s="15"/>
      <c r="F51" s="1" t="str">
        <f>IFERROR(__xludf.DUMMYFUNCTION("GOOGLETRANSLATE(B51, ""en"", ""fa"")
"),"بازاریابی رسانه های اجتماعی")</f>
        <v>بازاریابی رسانه های اجتماعی</v>
      </c>
      <c r="G51" s="1" t="str">
        <f>IFERROR(__xludf.DUMMYFUNCTION("GOOGLETRANSLATE(C51, ""en"", ""fa"")
"),"به عنوان یک مدیر رسانه های اجتماعی، یک چت توییتر جذاب برای یک شرکت نرم افزاری ایجاد کنید، با تمرکز بر یک موضوع صنعتی خاص و دعوت از کارشناسان برای مشارکت.")</f>
        <v>به عنوان یک مدیر رسانه های اجتماعی، یک چت توییتر جذاب برای یک شرکت نرم افزاری ایجاد کنید، با تمرکز بر یک موضوع صنعتی خاص و دعوت از کارشناسان برای مشارکت.</v>
      </c>
      <c r="H51" s="1"/>
      <c r="I51" s="1"/>
      <c r="J51" s="1"/>
      <c r="K51" s="1"/>
      <c r="L51" s="1"/>
      <c r="M51" s="1"/>
      <c r="N51" s="1"/>
      <c r="O51" s="1"/>
      <c r="P51" s="1"/>
      <c r="Q51" s="1"/>
      <c r="R51" s="1"/>
      <c r="S51" s="1"/>
      <c r="T51" s="1"/>
      <c r="U51" s="1"/>
      <c r="V51" s="1"/>
      <c r="W51" s="1"/>
      <c r="X51" s="1"/>
      <c r="Y51" s="1"/>
      <c r="Z51" s="1"/>
      <c r="AA51" s="1"/>
      <c r="AB51" s="1"/>
    </row>
    <row r="52" ht="50.25" customHeight="1">
      <c r="A52" s="12">
        <v>48.0</v>
      </c>
      <c r="B52" s="13" t="s">
        <v>6</v>
      </c>
      <c r="C52" s="14" t="s">
        <v>54</v>
      </c>
      <c r="D52" s="1"/>
      <c r="E52" s="15"/>
      <c r="F52" s="1" t="str">
        <f>IFERROR(__xludf.DUMMYFUNCTION("GOOGLETRANSLATE(B52, ""en"", ""fa"")
"),"بازاریابی رسانه های اجتماعی")</f>
        <v>بازاریابی رسانه های اجتماعی</v>
      </c>
      <c r="G52" s="1" t="str">
        <f>IFERROR(__xludf.DUMMYFUNCTION("GOOGLETRANSLATE(C52, ""en"", ""fa"")
"),"شما در حال مدیریت یک حساب اینستاگرام برای خدمات تحویل غذا هستید. برای عکسی از یک غذای لذیذ، توضیحی دلچسب بنویسید و راحتی و تنوع سرویس را برجسته کنید.")</f>
        <v>شما در حال مدیریت یک حساب اینستاگرام برای خدمات تحویل غذا هستید. برای عکسی از یک غذای لذیذ، توضیحی دلچسب بنویسید و راحتی و تنوع سرویس را برجسته کنید.</v>
      </c>
      <c r="H52" s="1"/>
      <c r="I52" s="1"/>
      <c r="J52" s="1"/>
      <c r="K52" s="1"/>
      <c r="L52" s="1"/>
      <c r="M52" s="1"/>
      <c r="N52" s="1"/>
      <c r="O52" s="1"/>
      <c r="P52" s="1"/>
      <c r="Q52" s="1"/>
      <c r="R52" s="1"/>
      <c r="S52" s="1"/>
      <c r="T52" s="1"/>
      <c r="U52" s="1"/>
      <c r="V52" s="1"/>
      <c r="W52" s="1"/>
      <c r="X52" s="1"/>
      <c r="Y52" s="1"/>
      <c r="Z52" s="1"/>
      <c r="AA52" s="1"/>
      <c r="AB52" s="1"/>
    </row>
    <row r="53" ht="50.25" customHeight="1">
      <c r="A53" s="12">
        <v>49.0</v>
      </c>
      <c r="B53" s="13" t="s">
        <v>6</v>
      </c>
      <c r="C53" s="14" t="s">
        <v>55</v>
      </c>
      <c r="D53" s="1"/>
      <c r="E53" s="15"/>
      <c r="F53" s="1" t="str">
        <f>IFERROR(__xludf.DUMMYFUNCTION("GOOGLETRANSLATE(B53, ""en"", ""fa"")
"),"بازاریابی رسانه های اجتماعی")</f>
        <v>بازاریابی رسانه های اجتماعی</v>
      </c>
      <c r="G53" s="1" t="str">
        <f>IFERROR(__xludf.DUMMYFUNCTION("GOOGLETRANSLATE(C53, ""en"", ""fa"")
"),"شما در حال ایجاد یک استراتژی رسانه اجتماعی برای یک سازمان غیرانتفاعی هستید که بر حفظ محیط زیست متمرکز است. یک پست متقاعدکننده در لینکدین بنویسید که متخصصان را در مورد مأموریت سازمان آموزش دهد و همکاری را تشویق کند.")</f>
        <v>شما در حال ایجاد یک استراتژی رسانه اجتماعی برای یک سازمان غیرانتفاعی هستید که بر حفظ محیط زیست متمرکز است. یک پست متقاعدکننده در لینکدین بنویسید که متخصصان را در مورد مأموریت سازمان آموزش دهد و همکاری را تشویق کند.</v>
      </c>
      <c r="H53" s="1"/>
      <c r="I53" s="1"/>
      <c r="J53" s="1"/>
      <c r="K53" s="1"/>
      <c r="L53" s="1"/>
      <c r="M53" s="1"/>
      <c r="N53" s="1"/>
      <c r="O53" s="1"/>
      <c r="P53" s="1"/>
      <c r="Q53" s="1"/>
      <c r="R53" s="1"/>
      <c r="S53" s="1"/>
      <c r="T53" s="1"/>
      <c r="U53" s="1"/>
      <c r="V53" s="1"/>
      <c r="W53" s="1"/>
      <c r="X53" s="1"/>
      <c r="Y53" s="1"/>
      <c r="Z53" s="1"/>
      <c r="AA53" s="1"/>
      <c r="AB53" s="1"/>
    </row>
    <row r="54" ht="50.25" customHeight="1">
      <c r="A54" s="12">
        <v>50.0</v>
      </c>
      <c r="B54" s="13" t="s">
        <v>6</v>
      </c>
      <c r="C54" s="14" t="s">
        <v>56</v>
      </c>
      <c r="D54" s="1"/>
      <c r="E54" s="15"/>
      <c r="F54" s="1" t="str">
        <f>IFERROR(__xludf.DUMMYFUNCTION("GOOGLETRANSLATE(B54, ""en"", ""fa"")
"),"بازاریابی رسانه های اجتماعی")</f>
        <v>بازاریابی رسانه های اجتماعی</v>
      </c>
      <c r="G54" s="1" t="str">
        <f>IFERROR(__xludf.DUMMYFUNCTION("GOOGLETRANSLATE(C54, ""en"", ""fa"")
"),"شما در حال مدیریت یک صفحه فیس بوک برای یک استودیوی تناسب اندام هستید. پستی بنویسید که پیشنهاد عضویت ویژه را تبلیغ کند و بر مزایای پیوستن و دستیابی به اهداف تناسب اندام با هم تأکید کند.")</f>
        <v>شما در حال مدیریت یک صفحه فیس بوک برای یک استودیوی تناسب اندام هستید. پستی بنویسید که پیشنهاد عضویت ویژه را تبلیغ کند و بر مزایای پیوستن و دستیابی به اهداف تناسب اندام با هم تأکید کند.</v>
      </c>
      <c r="H54" s="1"/>
      <c r="I54" s="1"/>
      <c r="J54" s="1"/>
      <c r="K54" s="1"/>
      <c r="L54" s="1"/>
      <c r="M54" s="1"/>
      <c r="N54" s="1"/>
      <c r="O54" s="1"/>
      <c r="P54" s="1"/>
      <c r="Q54" s="1"/>
      <c r="R54" s="1"/>
      <c r="S54" s="1"/>
      <c r="T54" s="1"/>
      <c r="U54" s="1"/>
      <c r="V54" s="1"/>
      <c r="W54" s="1"/>
      <c r="X54" s="1"/>
      <c r="Y54" s="1"/>
      <c r="Z54" s="1"/>
      <c r="AA54" s="1"/>
      <c r="AB54" s="1"/>
    </row>
    <row r="55" ht="50.25" customHeight="1">
      <c r="A55" s="12">
        <v>51.0</v>
      </c>
      <c r="B55" s="13" t="s">
        <v>6</v>
      </c>
      <c r="C55" s="14" t="s">
        <v>57</v>
      </c>
      <c r="D55" s="1"/>
      <c r="E55" s="15"/>
      <c r="F55" s="1" t="str">
        <f>IFERROR(__xludf.DUMMYFUNCTION("GOOGLETRANSLATE(B55, ""en"", ""fa"")
"),"بازاریابی رسانه های اجتماعی")</f>
        <v>بازاریابی رسانه های اجتماعی</v>
      </c>
      <c r="G55" s="1" t="str">
        <f>IFERROR(__xludf.DUMMYFUNCTION("GOOGLETRANSLATE(C55, ""en"", ""fa"")
"),"به عنوان یک مدیر رسانه های اجتماعی، یک پست وبلاگ قانع کننده برای یک استودیوی عکاسی بنویسید، نکاتی را در مورد گرفتن عکس های خیره کننده برای رسانه های اجتماعی و ترویج خدمات استودیو به اشتراک بگذارید.")</f>
        <v>به عنوان یک مدیر رسانه های اجتماعی، یک پست وبلاگ قانع کننده برای یک استودیوی عکاسی بنویسید، نکاتی را در مورد گرفتن عکس های خیره کننده برای رسانه های اجتماعی و ترویج خدمات استودیو به اشتراک بگذارید.</v>
      </c>
      <c r="H55" s="1"/>
      <c r="I55" s="1"/>
      <c r="J55" s="1"/>
      <c r="K55" s="1"/>
      <c r="L55" s="1"/>
      <c r="M55" s="1"/>
      <c r="N55" s="1"/>
      <c r="O55" s="1"/>
      <c r="P55" s="1"/>
      <c r="Q55" s="1"/>
      <c r="R55" s="1"/>
      <c r="S55" s="1"/>
      <c r="T55" s="1"/>
      <c r="U55" s="1"/>
      <c r="V55" s="1"/>
      <c r="W55" s="1"/>
      <c r="X55" s="1"/>
      <c r="Y55" s="1"/>
      <c r="Z55" s="1"/>
      <c r="AA55" s="1"/>
      <c r="AB55" s="1"/>
    </row>
    <row r="56" ht="50.25" customHeight="1">
      <c r="A56" s="12">
        <v>52.0</v>
      </c>
      <c r="B56" s="13" t="s">
        <v>6</v>
      </c>
      <c r="C56" s="14" t="s">
        <v>58</v>
      </c>
      <c r="D56" s="1"/>
      <c r="E56" s="15"/>
      <c r="F56" s="1" t="str">
        <f>IFERROR(__xludf.DUMMYFUNCTION("GOOGLETRANSLATE(B56, ""en"", ""fa"")
"),"بازاریابی رسانه های اجتماعی")</f>
        <v>بازاریابی رسانه های اجتماعی</v>
      </c>
      <c r="G56" s="1" t="str">
        <f>IFERROR(__xludf.DUMMYFUNCTION("GOOGLETRANSLATE(C56, ""en"", ""fa"")
"),"شما در حال مدیریت کانال YouTube یک تأثیرگذار هستید که بر سبک زندگی و سلامتی تمرکز دارد. یک عنوان ویدیویی و توضیحات جذاب برای ویدیویی بسازید که عادات سالم و روال‌های مراقبت از خود را بررسی می‌کند.")</f>
        <v>شما در حال مدیریت کانال YouTube یک تأثیرگذار هستید که بر سبک زندگی و سلامتی تمرکز دارد. یک عنوان ویدیویی و توضیحات جذاب برای ویدیویی بسازید که عادات سالم و روال‌های مراقبت از خود را بررسی می‌کند.</v>
      </c>
      <c r="H56" s="1"/>
      <c r="I56" s="1"/>
      <c r="J56" s="1"/>
      <c r="K56" s="1"/>
      <c r="L56" s="1"/>
      <c r="M56" s="1"/>
      <c r="N56" s="1"/>
      <c r="O56" s="1"/>
      <c r="P56" s="1"/>
      <c r="Q56" s="1"/>
      <c r="R56" s="1"/>
      <c r="S56" s="1"/>
      <c r="T56" s="1"/>
      <c r="U56" s="1"/>
      <c r="V56" s="1"/>
      <c r="W56" s="1"/>
      <c r="X56" s="1"/>
      <c r="Y56" s="1"/>
      <c r="Z56" s="1"/>
      <c r="AA56" s="1"/>
      <c r="AB56" s="1"/>
    </row>
    <row r="57" ht="50.25" customHeight="1">
      <c r="A57" s="12">
        <v>53.0</v>
      </c>
      <c r="B57" s="13" t="s">
        <v>6</v>
      </c>
      <c r="C57" s="14" t="s">
        <v>59</v>
      </c>
      <c r="D57" s="1"/>
      <c r="E57" s="15"/>
      <c r="F57" s="1" t="str">
        <f>IFERROR(__xludf.DUMMYFUNCTION("GOOGLETRANSLATE(B57, ""en"", ""fa"")
"),"بازاریابی رسانه های اجتماعی")</f>
        <v>بازاریابی رسانه های اجتماعی</v>
      </c>
      <c r="G57" s="1" t="str">
        <f>IFERROR(__xludf.DUMMYFUNCTION("GOOGLETRANSLATE(C57, ""en"", ""fa"")
"),"شما در حال برگزاری یک مسابقه رسانه های اجتماعی برای یک برند لوازم جانبی مد هستید. پستی در اینستاگرام بنویسید که فالوورها را تشویق کند تا لوازم جانبی لباس مورد علاقه خود را با استفاده از یک هشتگ مارک دار به اشتراک بگذارند و شانس برنده شدن یک جایزه را داشته"&amp;" باشند.")</f>
        <v>شما در حال برگزاری یک مسابقه رسانه های اجتماعی برای یک برند لوازم جانبی مد هستید. پستی در اینستاگرام بنویسید که فالوورها را تشویق کند تا لوازم جانبی لباس مورد علاقه خود را با استفاده از یک هشتگ مارک دار به اشتراک بگذارند و شانس برنده شدن یک جایزه را داشته باشند.</v>
      </c>
      <c r="H57" s="1"/>
      <c r="I57" s="1"/>
      <c r="J57" s="1"/>
      <c r="K57" s="1"/>
      <c r="L57" s="1"/>
      <c r="M57" s="1"/>
      <c r="N57" s="1"/>
      <c r="O57" s="1"/>
      <c r="P57" s="1"/>
      <c r="Q57" s="1"/>
      <c r="R57" s="1"/>
      <c r="S57" s="1"/>
      <c r="T57" s="1"/>
      <c r="U57" s="1"/>
      <c r="V57" s="1"/>
      <c r="W57" s="1"/>
      <c r="X57" s="1"/>
      <c r="Y57" s="1"/>
      <c r="Z57" s="1"/>
      <c r="AA57" s="1"/>
      <c r="AB57" s="1"/>
    </row>
    <row r="58" ht="50.25" customHeight="1">
      <c r="A58" s="12">
        <v>54.0</v>
      </c>
      <c r="B58" s="13" t="s">
        <v>6</v>
      </c>
      <c r="C58" s="14" t="s">
        <v>60</v>
      </c>
      <c r="D58" s="1"/>
      <c r="E58" s="15"/>
      <c r="F58" s="1" t="str">
        <f>IFERROR(__xludf.DUMMYFUNCTION("GOOGLETRANSLATE(B58, ""en"", ""fa"")
"),"بازاریابی رسانه های اجتماعی")</f>
        <v>بازاریابی رسانه های اجتماعی</v>
      </c>
      <c r="G58" s="1" t="str">
        <f>IFERROR(__xludf.DUMMYFUNCTION("GOOGLETRANSLATE(C58, ""en"", ""fa"")
"),"به‌عنوان مدیر رسانه‌های اجتماعی، مجموعه‌ای از پست‌های لینکدین را برای یک پلتفرم توسعه شغلی ایجاد کنید، که نکات ارزشمندی را برای پیشرفت در محل کار و قرار دادن پلتفرم به عنوان یک منبع قابل اعتماد ارائه می‌دهد.")</f>
        <v>به‌عنوان مدیر رسانه‌های اجتماعی، مجموعه‌ای از پست‌های لینکدین را برای یک پلتفرم توسعه شغلی ایجاد کنید، که نکات ارزشمندی را برای پیشرفت در محل کار و قرار دادن پلتفرم به عنوان یک منبع قابل اعتماد ارائه می‌دهد.</v>
      </c>
      <c r="H58" s="1"/>
      <c r="I58" s="1"/>
      <c r="J58" s="1"/>
      <c r="K58" s="1"/>
      <c r="L58" s="1"/>
      <c r="M58" s="1"/>
      <c r="N58" s="1"/>
      <c r="O58" s="1"/>
      <c r="P58" s="1"/>
      <c r="Q58" s="1"/>
      <c r="R58" s="1"/>
      <c r="S58" s="1"/>
      <c r="T58" s="1"/>
      <c r="U58" s="1"/>
      <c r="V58" s="1"/>
      <c r="W58" s="1"/>
      <c r="X58" s="1"/>
      <c r="Y58" s="1"/>
      <c r="Z58" s="1"/>
      <c r="AA58" s="1"/>
      <c r="AB58" s="1"/>
    </row>
    <row r="59" ht="50.25" customHeight="1">
      <c r="A59" s="12">
        <v>55.0</v>
      </c>
      <c r="B59" s="13" t="s">
        <v>6</v>
      </c>
      <c r="C59" s="14" t="s">
        <v>61</v>
      </c>
      <c r="D59" s="1"/>
      <c r="E59" s="15"/>
      <c r="F59" s="1" t="str">
        <f>IFERROR(__xludf.DUMMYFUNCTION("GOOGLETRANSLATE(B59, ""en"", ""fa"")
"),"بازاریابی رسانه های اجتماعی")</f>
        <v>بازاریابی رسانه های اجتماعی</v>
      </c>
      <c r="G59" s="1" t="str">
        <f>IFERROR(__xludf.DUMMYFUNCTION("GOOGLETRANSLATE(C59, ""en"", ""fa"")
"),"شما در حال مدیریت یک حساب توییتر برای یک برند دکوراسیون منزل هستید. توییتی بنویسید که نظر مثبت مشتری را به نمایش بگذارد و شامل کد تخفیف برای خرید بعدی او باشد.")</f>
        <v>شما در حال مدیریت یک حساب توییتر برای یک برند دکوراسیون منزل هستید. توییتی بنویسید که نظر مثبت مشتری را به نمایش بگذارد و شامل کد تخفیف برای خرید بعدی او باشد.</v>
      </c>
      <c r="H59" s="1"/>
      <c r="I59" s="1"/>
      <c r="J59" s="1"/>
      <c r="K59" s="1"/>
      <c r="L59" s="1"/>
      <c r="M59" s="1"/>
      <c r="N59" s="1"/>
      <c r="O59" s="1"/>
      <c r="P59" s="1"/>
      <c r="Q59" s="1"/>
      <c r="R59" s="1"/>
      <c r="S59" s="1"/>
      <c r="T59" s="1"/>
      <c r="U59" s="1"/>
      <c r="V59" s="1"/>
      <c r="W59" s="1"/>
      <c r="X59" s="1"/>
      <c r="Y59" s="1"/>
      <c r="Z59" s="1"/>
      <c r="AA59" s="1"/>
      <c r="AB59" s="1"/>
    </row>
    <row r="60" ht="50.25" customHeight="1">
      <c r="A60" s="12">
        <v>56.0</v>
      </c>
      <c r="B60" s="13" t="s">
        <v>6</v>
      </c>
      <c r="C60" s="14" t="s">
        <v>62</v>
      </c>
      <c r="D60" s="1"/>
      <c r="E60" s="15"/>
      <c r="F60" s="1" t="str">
        <f>IFERROR(__xludf.DUMMYFUNCTION("GOOGLETRANSLATE(B60, ""en"", ""fa"")
"),"بازاریابی رسانه های اجتماعی")</f>
        <v>بازاریابی رسانه های اجتماعی</v>
      </c>
      <c r="G60" s="1" t="str">
        <f>IFERROR(__xludf.DUMMYFUNCTION("GOOGLETRANSLATE(C60, ""en"", ""fa"")
"),"شما در حال ایجاد یک استراتژی رسانه اجتماعی برای یک استراحتگاه سلامتی هستید. یک نسخه تبلیغاتی جذاب فیس بوک بنویسید که کاربران را به آرامش، استراحت و تجدید قوا در خلوت دعوت کند.")</f>
        <v>شما در حال ایجاد یک استراتژی رسانه اجتماعی برای یک استراحتگاه سلامتی هستید. یک نسخه تبلیغاتی جذاب فیس بوک بنویسید که کاربران را به آرامش، استراحت و تجدید قوا در خلوت دعوت کند.</v>
      </c>
      <c r="H60" s="1"/>
      <c r="I60" s="1"/>
      <c r="J60" s="1"/>
      <c r="K60" s="1"/>
      <c r="L60" s="1"/>
      <c r="M60" s="1"/>
      <c r="N60" s="1"/>
      <c r="O60" s="1"/>
      <c r="P60" s="1"/>
      <c r="Q60" s="1"/>
      <c r="R60" s="1"/>
      <c r="S60" s="1"/>
      <c r="T60" s="1"/>
      <c r="U60" s="1"/>
      <c r="V60" s="1"/>
      <c r="W60" s="1"/>
      <c r="X60" s="1"/>
      <c r="Y60" s="1"/>
      <c r="Z60" s="1"/>
      <c r="AA60" s="1"/>
      <c r="AB60" s="1"/>
    </row>
    <row r="61" ht="50.25" customHeight="1">
      <c r="A61" s="12">
        <v>57.0</v>
      </c>
      <c r="B61" s="13" t="s">
        <v>6</v>
      </c>
      <c r="C61" s="14" t="s">
        <v>63</v>
      </c>
      <c r="D61" s="1"/>
      <c r="E61" s="15"/>
      <c r="F61" s="1" t="str">
        <f>IFERROR(__xludf.DUMMYFUNCTION("GOOGLETRANSLATE(B61, ""en"", ""fa"")
"),"بازاریابی رسانه های اجتماعی")</f>
        <v>بازاریابی رسانه های اجتماعی</v>
      </c>
      <c r="G61" s="1" t="str">
        <f>IFERROR(__xludf.DUMMYFUNCTION("GOOGLETRANSLATE(C61, ""en"", ""fa"")
"),"شما در حال مدیریت یک حساب پینترست برای مربی تناسب اندام هستید. یک سنجاق بصری جذاب ایجاد کنید که دارای یک روال تمرینی است، از جمله شرح مزایا و پیوندی به یک ویدیوی کامل.")</f>
        <v>شما در حال مدیریت یک حساب پینترست برای مربی تناسب اندام هستید. یک سنجاق بصری جذاب ایجاد کنید که دارای یک روال تمرینی است، از جمله شرح مزایا و پیوندی به یک ویدیوی کامل.</v>
      </c>
      <c r="H61" s="1"/>
      <c r="I61" s="1"/>
      <c r="J61" s="1"/>
      <c r="K61" s="1"/>
      <c r="L61" s="1"/>
      <c r="M61" s="1"/>
      <c r="N61" s="1"/>
      <c r="O61" s="1"/>
      <c r="P61" s="1"/>
      <c r="Q61" s="1"/>
      <c r="R61" s="1"/>
      <c r="S61" s="1"/>
      <c r="T61" s="1"/>
      <c r="U61" s="1"/>
      <c r="V61" s="1"/>
      <c r="W61" s="1"/>
      <c r="X61" s="1"/>
      <c r="Y61" s="1"/>
      <c r="Z61" s="1"/>
      <c r="AA61" s="1"/>
      <c r="AB61" s="1"/>
    </row>
    <row r="62" ht="50.25" customHeight="1">
      <c r="A62" s="12">
        <v>58.0</v>
      </c>
      <c r="B62" s="13" t="s">
        <v>6</v>
      </c>
      <c r="C62" s="14" t="s">
        <v>64</v>
      </c>
      <c r="D62" s="1"/>
      <c r="E62" s="15"/>
      <c r="F62" s="1" t="str">
        <f>IFERROR(__xludf.DUMMYFUNCTION("GOOGLETRANSLATE(B62, ""en"", ""fa"")
"),"بازاریابی رسانه های اجتماعی")</f>
        <v>بازاریابی رسانه های اجتماعی</v>
      </c>
      <c r="G62" s="1" t="str">
        <f>IFERROR(__xludf.DUMMYFUNCTION("GOOGLETRANSLATE(C62, ""en"", ""fa"")
"),"به عنوان یک مدیر رسانه های اجتماعی، یک پست آموزنده در لینکدین برای یک مشاور مالی بنویسید و نکات عملی را برای بودجه بندی و صرفه جویی در پول ارائه دهید.")</f>
        <v>به عنوان یک مدیر رسانه های اجتماعی، یک پست آموزنده در لینکدین برای یک مشاور مالی بنویسید و نکات عملی را برای بودجه بندی و صرفه جویی در پول ارائه دهید.</v>
      </c>
      <c r="H62" s="1"/>
      <c r="I62" s="1"/>
      <c r="J62" s="1"/>
      <c r="K62" s="1"/>
      <c r="L62" s="1"/>
      <c r="M62" s="1"/>
      <c r="N62" s="1"/>
      <c r="O62" s="1"/>
      <c r="P62" s="1"/>
      <c r="Q62" s="1"/>
      <c r="R62" s="1"/>
      <c r="S62" s="1"/>
      <c r="T62" s="1"/>
      <c r="U62" s="1"/>
      <c r="V62" s="1"/>
      <c r="W62" s="1"/>
      <c r="X62" s="1"/>
      <c r="Y62" s="1"/>
      <c r="Z62" s="1"/>
      <c r="AA62" s="1"/>
      <c r="AB62" s="1"/>
    </row>
    <row r="63" ht="50.25" customHeight="1">
      <c r="A63" s="12">
        <v>59.0</v>
      </c>
      <c r="B63" s="13" t="s">
        <v>6</v>
      </c>
      <c r="C63" s="14" t="s">
        <v>65</v>
      </c>
      <c r="D63" s="1"/>
      <c r="E63" s="15"/>
      <c r="F63" s="1" t="str">
        <f>IFERROR(__xludf.DUMMYFUNCTION("GOOGLETRANSLATE(B63, ""en"", ""fa"")
"),"بازاریابی رسانه های اجتماعی")</f>
        <v>بازاریابی رسانه های اجتماعی</v>
      </c>
      <c r="G63" s="1" t="str">
        <f>IFERROR(__xludf.DUMMYFUNCTION("GOOGLETRANSLATE(C63, ""en"", ""fa"")
"),"شما در حال اجرای یک حساب اینستاگرام برای یک سالن زیبایی هستید. یک کپشن جذاب برای یک عکس دگرگونی بنویسید، تخصص سالن را به نمایش بگذارید و از دنبال‌کنندگان دعوت کنید تا یک قرار ملاقات رزرو کنند.")</f>
        <v>شما در حال اجرای یک حساب اینستاگرام برای یک سالن زیبایی هستید. یک کپشن جذاب برای یک عکس دگرگونی بنویسید، تخصص سالن را به نمایش بگذارید و از دنبال‌کنندگان دعوت کنید تا یک قرار ملاقات رزرو کنند.</v>
      </c>
      <c r="H63" s="1"/>
      <c r="I63" s="1"/>
      <c r="J63" s="1"/>
      <c r="K63" s="1"/>
      <c r="L63" s="1"/>
      <c r="M63" s="1"/>
      <c r="N63" s="1"/>
      <c r="O63" s="1"/>
      <c r="P63" s="1"/>
      <c r="Q63" s="1"/>
      <c r="R63" s="1"/>
      <c r="S63" s="1"/>
      <c r="T63" s="1"/>
      <c r="U63" s="1"/>
      <c r="V63" s="1"/>
      <c r="W63" s="1"/>
      <c r="X63" s="1"/>
      <c r="Y63" s="1"/>
      <c r="Z63" s="1"/>
      <c r="AA63" s="1"/>
      <c r="AB63" s="1"/>
    </row>
    <row r="64" ht="50.25" customHeight="1">
      <c r="A64" s="12">
        <v>60.0</v>
      </c>
      <c r="B64" s="13" t="s">
        <v>6</v>
      </c>
      <c r="C64" s="14" t="s">
        <v>66</v>
      </c>
      <c r="D64" s="1"/>
      <c r="E64" s="15"/>
      <c r="F64" s="1" t="str">
        <f>IFERROR(__xludf.DUMMYFUNCTION("GOOGLETRANSLATE(B64, ""en"", ""fa"")
"),"بازاریابی رسانه های اجتماعی")</f>
        <v>بازاریابی رسانه های اجتماعی</v>
      </c>
      <c r="G64" s="1" t="str">
        <f>IFERROR(__xludf.DUMMYFUNCTION("GOOGLETRANSLATE(C64, ""en"", ""fa"")
"),"شما در حال مدیریت یک کانال YouTube برای مربی توسعه شخصی هستید. یک تصویر کوچک ویدیویی و عنوان جذابی برای ویدیویی ایجاد کنید که در مورد استراتژی‌های تعیین هدف موثر بحث می‌کند.")</f>
        <v>شما در حال مدیریت یک کانال YouTube برای مربی توسعه شخصی هستید. یک تصویر کوچک ویدیویی و عنوان جذابی برای ویدیویی ایجاد کنید که در مورد استراتژی‌های تعیین هدف موثر بحث می‌کند.</v>
      </c>
      <c r="H64" s="1"/>
      <c r="I64" s="1"/>
      <c r="J64" s="1"/>
      <c r="K64" s="1"/>
      <c r="L64" s="1"/>
      <c r="M64" s="1"/>
      <c r="N64" s="1"/>
      <c r="O64" s="1"/>
      <c r="P64" s="1"/>
      <c r="Q64" s="1"/>
      <c r="R64" s="1"/>
      <c r="S64" s="1"/>
      <c r="T64" s="1"/>
      <c r="U64" s="1"/>
      <c r="V64" s="1"/>
      <c r="W64" s="1"/>
      <c r="X64" s="1"/>
      <c r="Y64" s="1"/>
      <c r="Z64" s="1"/>
      <c r="AA64" s="1"/>
      <c r="AB64" s="1"/>
    </row>
    <row r="65" ht="50.25" customHeight="1">
      <c r="A65" s="12">
        <v>61.0</v>
      </c>
      <c r="B65" s="13" t="s">
        <v>6</v>
      </c>
      <c r="C65" s="14" t="s">
        <v>67</v>
      </c>
      <c r="D65" s="1"/>
      <c r="E65" s="15"/>
      <c r="F65" s="1" t="str">
        <f>IFERROR(__xludf.DUMMYFUNCTION("GOOGLETRANSLATE(B65, ""en"", ""fa"")
"),"بازاریابی رسانه های اجتماعی")</f>
        <v>بازاریابی رسانه های اجتماعی</v>
      </c>
      <c r="G65" s="1" t="str">
        <f>IFERROR(__xludf.DUMMYFUNCTION("GOOGLETRANSLATE(C65, ""en"", ""fa"")
"),"شما در حال مدیریت یک حساب رسانه اجتماعی برای آژانس مسافرتی هستید. یک پست فیس بوک بنویسید که از دنبال کنندگان بخواهد به یاد ماندنی ترین تجربیات سفر خود را به اشتراک بگذارند، محتوای تولید شده توسط کاربر و تعامل ایجاد شود.")</f>
        <v>شما در حال مدیریت یک حساب رسانه اجتماعی برای آژانس مسافرتی هستید. یک پست فیس بوک بنویسید که از دنبال کنندگان بخواهد به یاد ماندنی ترین تجربیات سفر خود را به اشتراک بگذارند، محتوای تولید شده توسط کاربر و تعامل ایجاد شود.</v>
      </c>
      <c r="H65" s="1"/>
      <c r="I65" s="1"/>
      <c r="J65" s="1"/>
      <c r="K65" s="1"/>
      <c r="L65" s="1"/>
      <c r="M65" s="1"/>
      <c r="N65" s="1"/>
      <c r="O65" s="1"/>
      <c r="P65" s="1"/>
      <c r="Q65" s="1"/>
      <c r="R65" s="1"/>
      <c r="S65" s="1"/>
      <c r="T65" s="1"/>
      <c r="U65" s="1"/>
      <c r="V65" s="1"/>
      <c r="W65" s="1"/>
      <c r="X65" s="1"/>
      <c r="Y65" s="1"/>
      <c r="Z65" s="1"/>
      <c r="AA65" s="1"/>
      <c r="AB65" s="1"/>
    </row>
    <row r="66" ht="50.25" customHeight="1">
      <c r="A66" s="12">
        <v>62.0</v>
      </c>
      <c r="B66" s="13" t="s">
        <v>6</v>
      </c>
      <c r="C66" s="14" t="s">
        <v>68</v>
      </c>
      <c r="D66" s="1"/>
      <c r="E66" s="15"/>
      <c r="F66" s="1" t="str">
        <f>IFERROR(__xludf.DUMMYFUNCTION("GOOGLETRANSLATE(B66, ""en"", ""fa"")
"),"بازاریابی رسانه های اجتماعی")</f>
        <v>بازاریابی رسانه های اجتماعی</v>
      </c>
      <c r="G66" s="1" t="str">
        <f>IFERROR(__xludf.DUMMYFUNCTION("GOOGLETRANSLATE(C66, ""en"", ""fa"")
"),"به عنوان یک مدیر رسانه های اجتماعی، یک حلقه اینستاگرام جذاب برای یک برند تناسب اندام ایجاد کنید و یک روال تمرینی سریع و شدید را با استفاده از تجهیزات آنها نشان دهید.")</f>
        <v>به عنوان یک مدیر رسانه های اجتماعی، یک حلقه اینستاگرام جذاب برای یک برند تناسب اندام ایجاد کنید و یک روال تمرینی سریع و شدید را با استفاده از تجهیزات آنها نشان دهید.</v>
      </c>
      <c r="H66" s="1"/>
      <c r="I66" s="1"/>
      <c r="J66" s="1"/>
      <c r="K66" s="1"/>
      <c r="L66" s="1"/>
      <c r="M66" s="1"/>
      <c r="N66" s="1"/>
      <c r="O66" s="1"/>
      <c r="P66" s="1"/>
      <c r="Q66" s="1"/>
      <c r="R66" s="1"/>
      <c r="S66" s="1"/>
      <c r="T66" s="1"/>
      <c r="U66" s="1"/>
      <c r="V66" s="1"/>
      <c r="W66" s="1"/>
      <c r="X66" s="1"/>
      <c r="Y66" s="1"/>
      <c r="Z66" s="1"/>
      <c r="AA66" s="1"/>
      <c r="AB66" s="1"/>
    </row>
    <row r="67" ht="50.25" customHeight="1">
      <c r="A67" s="12">
        <v>63.0</v>
      </c>
      <c r="B67" s="13" t="s">
        <v>6</v>
      </c>
      <c r="C67" s="14" t="s">
        <v>69</v>
      </c>
      <c r="D67" s="1"/>
      <c r="E67" s="15"/>
      <c r="F67" s="1" t="str">
        <f>IFERROR(__xludf.DUMMYFUNCTION("GOOGLETRANSLATE(B67, ""en"", ""fa"")
"),"بازاریابی رسانه های اجتماعی")</f>
        <v>بازاریابی رسانه های اجتماعی</v>
      </c>
      <c r="G67" s="1" t="str">
        <f>IFERROR(__xludf.DUMMYFUNCTION("GOOGLETRANSLATE(C67, ""en"", ""fa"")
"),"شما در حال اجرای یک کمپین رسانه های اجتماعی برای یک برنامه تحویل غذا هستید. توییتی بنویسید که کد تخفیف با زمان محدود را تبلیغ کند و کاربران را تشویق کند که غذاهای مورد علاقه خود را سفارش دهند.")</f>
        <v>شما در حال اجرای یک کمپین رسانه های اجتماعی برای یک برنامه تحویل غذا هستید. توییتی بنویسید که کد تخفیف با زمان محدود را تبلیغ کند و کاربران را تشویق کند که غذاهای مورد علاقه خود را سفارش دهند.</v>
      </c>
      <c r="H67" s="1"/>
      <c r="I67" s="1"/>
      <c r="J67" s="1"/>
      <c r="K67" s="1"/>
      <c r="L67" s="1"/>
      <c r="M67" s="1"/>
      <c r="N67" s="1"/>
      <c r="O67" s="1"/>
      <c r="P67" s="1"/>
      <c r="Q67" s="1"/>
      <c r="R67" s="1"/>
      <c r="S67" s="1"/>
      <c r="T67" s="1"/>
      <c r="U67" s="1"/>
      <c r="V67" s="1"/>
      <c r="W67" s="1"/>
      <c r="X67" s="1"/>
      <c r="Y67" s="1"/>
      <c r="Z67" s="1"/>
      <c r="AA67" s="1"/>
      <c r="AB67" s="1"/>
    </row>
    <row r="68" ht="50.25" customHeight="1">
      <c r="A68" s="12">
        <v>64.0</v>
      </c>
      <c r="B68" s="13" t="s">
        <v>6</v>
      </c>
      <c r="C68" s="14" t="s">
        <v>70</v>
      </c>
      <c r="D68" s="1"/>
      <c r="E68" s="15"/>
      <c r="F68" s="1" t="str">
        <f>IFERROR(__xludf.DUMMYFUNCTION("GOOGLETRANSLATE(B68, ""en"", ""fa"")
"),"بازاریابی رسانه های اجتماعی")</f>
        <v>بازاریابی رسانه های اجتماعی</v>
      </c>
      <c r="G68" s="1" t="str">
        <f>IFERROR(__xludf.DUMMYFUNCTION("GOOGLETRANSLATE(C68, ""en"", ""fa"")
"),"شما در حال مدیریت یک نمایه LinkedIn برای یک مدیر بازاریابی هستید. مقاله ای در لینکدین بنویسید که روندهای آینده در بازاریابی دیجیتال را مورد بحث قرار دهد و بینش هایی را در مورد اینکه چگونه حرفه ای ها می توانند جلوتر از منحنی ها باقی بمانند ارائه می دهد.")</f>
        <v>شما در حال مدیریت یک نمایه LinkedIn برای یک مدیر بازاریابی هستید. مقاله ای در لینکدین بنویسید که روندهای آینده در بازاریابی دیجیتال را مورد بحث قرار دهد و بینش هایی را در مورد اینکه چگونه حرفه ای ها می توانند جلوتر از منحنی ها باقی بمانند ارائه می دهد.</v>
      </c>
      <c r="H68" s="1"/>
      <c r="I68" s="1"/>
      <c r="J68" s="1"/>
      <c r="K68" s="1"/>
      <c r="L68" s="1"/>
      <c r="M68" s="1"/>
      <c r="N68" s="1"/>
      <c r="O68" s="1"/>
      <c r="P68" s="1"/>
      <c r="Q68" s="1"/>
      <c r="R68" s="1"/>
      <c r="S68" s="1"/>
      <c r="T68" s="1"/>
      <c r="U68" s="1"/>
      <c r="V68" s="1"/>
      <c r="W68" s="1"/>
      <c r="X68" s="1"/>
      <c r="Y68" s="1"/>
      <c r="Z68" s="1"/>
      <c r="AA68" s="1"/>
      <c r="AB68" s="1"/>
    </row>
    <row r="69" ht="50.25" customHeight="1">
      <c r="A69" s="12">
        <v>65.0</v>
      </c>
      <c r="B69" s="13" t="s">
        <v>6</v>
      </c>
      <c r="C69" s="14" t="s">
        <v>71</v>
      </c>
      <c r="D69" s="1"/>
      <c r="E69" s="15"/>
      <c r="F69" s="1" t="str">
        <f>IFERROR(__xludf.DUMMYFUNCTION("GOOGLETRANSLATE(B69, ""en"", ""fa"")
"),"بازاریابی رسانه های اجتماعی")</f>
        <v>بازاریابی رسانه های اجتماعی</v>
      </c>
      <c r="G69" s="1" t="str">
        <f>IFERROR(__xludf.DUMMYFUNCTION("GOOGLETRANSLATE(C69, ""en"", ""fa"")
"),"به عنوان یک مدیر رسانه های اجتماعی، یک اینفوگرافیک چشم نواز Pinterest برای یک برند زیبایی ایجاد کنید، نکات مراقبت از پوست و هک ها را برای انواع مختلف پوست به اشتراک بگذارید.")</f>
        <v>به عنوان یک مدیر رسانه های اجتماعی، یک اینفوگرافیک چشم نواز Pinterest برای یک برند زیبایی ایجاد کنید، نکات مراقبت از پوست و هک ها را برای انواع مختلف پوست به اشتراک بگذارید.</v>
      </c>
      <c r="H69" s="1"/>
      <c r="I69" s="1"/>
      <c r="J69" s="1"/>
      <c r="K69" s="1"/>
      <c r="L69" s="1"/>
      <c r="M69" s="1"/>
      <c r="N69" s="1"/>
      <c r="O69" s="1"/>
      <c r="P69" s="1"/>
      <c r="Q69" s="1"/>
      <c r="R69" s="1"/>
      <c r="S69" s="1"/>
      <c r="T69" s="1"/>
      <c r="U69" s="1"/>
      <c r="V69" s="1"/>
      <c r="W69" s="1"/>
      <c r="X69" s="1"/>
      <c r="Y69" s="1"/>
      <c r="Z69" s="1"/>
      <c r="AA69" s="1"/>
      <c r="AB69" s="1"/>
    </row>
    <row r="70" ht="50.25" customHeight="1">
      <c r="A70" s="12">
        <v>66.0</v>
      </c>
      <c r="B70" s="13" t="s">
        <v>6</v>
      </c>
      <c r="C70" s="14" t="s">
        <v>72</v>
      </c>
      <c r="D70" s="1"/>
      <c r="E70" s="15"/>
      <c r="F70" s="1" t="str">
        <f>IFERROR(__xludf.DUMMYFUNCTION("GOOGLETRANSLATE(B70, ""en"", ""fa"")
"),"بازاریابی رسانه های اجتماعی")</f>
        <v>بازاریابی رسانه های اجتماعی</v>
      </c>
      <c r="G70" s="1" t="str">
        <f>IFERROR(__xludf.DUMMYFUNCTION("GOOGLETRANSLATE(C70, ""en"", ""fa"")
"),"شما در حال ایجاد یک استراتژی رسانه اجتماعی برای یک سازمان غیرانتفاعی با تمرکز بر آموزش هستید. یک شرح رویداد متقاعدکننده فیس بوک لایو بنویسید که از دنبال کنندگان دعوت می کند تا به یک وبینار آموزشی با کارشناسان صنعت بپیوندند.")</f>
        <v>شما در حال ایجاد یک استراتژی رسانه اجتماعی برای یک سازمان غیرانتفاعی با تمرکز بر آموزش هستید. یک شرح رویداد متقاعدکننده فیس بوک لایو بنویسید که از دنبال کنندگان دعوت می کند تا به یک وبینار آموزشی با کارشناسان صنعت بپیوندند.</v>
      </c>
      <c r="H70" s="1"/>
      <c r="I70" s="1"/>
      <c r="J70" s="1"/>
      <c r="K70" s="1"/>
      <c r="L70" s="1"/>
      <c r="M70" s="1"/>
      <c r="N70" s="1"/>
      <c r="O70" s="1"/>
      <c r="P70" s="1"/>
      <c r="Q70" s="1"/>
      <c r="R70" s="1"/>
      <c r="S70" s="1"/>
      <c r="T70" s="1"/>
      <c r="U70" s="1"/>
      <c r="V70" s="1"/>
      <c r="W70" s="1"/>
      <c r="X70" s="1"/>
      <c r="Y70" s="1"/>
      <c r="Z70" s="1"/>
      <c r="AA70" s="1"/>
      <c r="AB70" s="1"/>
    </row>
    <row r="71" ht="50.25" customHeight="1">
      <c r="A71" s="12">
        <v>67.0</v>
      </c>
      <c r="B71" s="13" t="s">
        <v>6</v>
      </c>
      <c r="C71" s="14" t="s">
        <v>73</v>
      </c>
      <c r="D71" s="1"/>
      <c r="E71" s="15"/>
      <c r="F71" s="1" t="str">
        <f>IFERROR(__xludf.DUMMYFUNCTION("GOOGLETRANSLATE(B71, ""en"", ""fa"")
"),"بازاریابی رسانه های اجتماعی")</f>
        <v>بازاریابی رسانه های اجتماعی</v>
      </c>
      <c r="G71" s="1" t="str">
        <f>IFERROR(__xludf.DUMMYFUNCTION("GOOGLETRANSLATE(C71, ""en"", ""fa"")
"),"شما در حال مدیریت کانال یوتیوب یک تأثیرگذار هستید که بر روی بازی متمرکز شده است. یک عنوان ویدیویی و توضیحات قانع کننده برای یک جلسه پخش زنده ایجاد کنید، و از بینندگان دعوت کنید که در زمان واقعی بپیوندند و با هم تعامل داشته باشند.")</f>
        <v>شما در حال مدیریت کانال یوتیوب یک تأثیرگذار هستید که بر روی بازی متمرکز شده است. یک عنوان ویدیویی و توضیحات قانع کننده برای یک جلسه پخش زنده ایجاد کنید، و از بینندگان دعوت کنید که در زمان واقعی بپیوندند و با هم تعامل داشته باشند.</v>
      </c>
      <c r="H71" s="1"/>
      <c r="I71" s="1"/>
      <c r="J71" s="1"/>
      <c r="K71" s="1"/>
      <c r="L71" s="1"/>
      <c r="M71" s="1"/>
      <c r="N71" s="1"/>
      <c r="O71" s="1"/>
      <c r="P71" s="1"/>
      <c r="Q71" s="1"/>
      <c r="R71" s="1"/>
      <c r="S71" s="1"/>
      <c r="T71" s="1"/>
      <c r="U71" s="1"/>
      <c r="V71" s="1"/>
      <c r="W71" s="1"/>
      <c r="X71" s="1"/>
      <c r="Y71" s="1"/>
      <c r="Z71" s="1"/>
      <c r="AA71" s="1"/>
      <c r="AB71" s="1"/>
    </row>
    <row r="72" ht="50.25" customHeight="1">
      <c r="A72" s="12">
        <v>68.0</v>
      </c>
      <c r="B72" s="13" t="s">
        <v>6</v>
      </c>
      <c r="C72" s="14" t="s">
        <v>74</v>
      </c>
      <c r="D72" s="1"/>
      <c r="E72" s="15"/>
      <c r="F72" s="1" t="str">
        <f>IFERROR(__xludf.DUMMYFUNCTION("GOOGLETRANSLATE(B72, ""en"", ""fa"")
"),"بازاریابی رسانه های اجتماعی")</f>
        <v>بازاریابی رسانه های اجتماعی</v>
      </c>
      <c r="G72" s="1" t="str">
        <f>IFERROR(__xludf.DUMMYFUNCTION("GOOGLETRANSLATE(C72, ""en"", ""fa"")
"),"شما در حال اجرای یک مسابقه رسانه های اجتماعی برای یک برند ابزارهای فناوری هستید. پستی در اینستاگرام بنویسید که فالوورها را تشویق کند تا خلاقانه‌ترین روش‌های استفاده از محصولات برند را با شانس بردن جایزه به اشتراک بگذارند.")</f>
        <v>شما در حال اجرای یک مسابقه رسانه های اجتماعی برای یک برند ابزارهای فناوری هستید. پستی در اینستاگرام بنویسید که فالوورها را تشویق کند تا خلاقانه‌ترین روش‌های استفاده از محصولات برند را با شانس بردن جایزه به اشتراک بگذارند.</v>
      </c>
      <c r="H72" s="1"/>
      <c r="I72" s="1"/>
      <c r="J72" s="1"/>
      <c r="K72" s="1"/>
      <c r="L72" s="1"/>
      <c r="M72" s="1"/>
      <c r="N72" s="1"/>
      <c r="O72" s="1"/>
      <c r="P72" s="1"/>
      <c r="Q72" s="1"/>
      <c r="R72" s="1"/>
      <c r="S72" s="1"/>
      <c r="T72" s="1"/>
      <c r="U72" s="1"/>
      <c r="V72" s="1"/>
      <c r="W72" s="1"/>
      <c r="X72" s="1"/>
      <c r="Y72" s="1"/>
      <c r="Z72" s="1"/>
      <c r="AA72" s="1"/>
      <c r="AB72" s="1"/>
    </row>
    <row r="73" ht="50.25" customHeight="1">
      <c r="A73" s="12">
        <v>69.0</v>
      </c>
      <c r="B73" s="13" t="s">
        <v>6</v>
      </c>
      <c r="C73" s="14" t="s">
        <v>75</v>
      </c>
      <c r="D73" s="1"/>
      <c r="E73" s="15"/>
      <c r="F73" s="1" t="str">
        <f>IFERROR(__xludf.DUMMYFUNCTION("GOOGLETRANSLATE(B73, ""en"", ""fa"")
"),"بازاریابی رسانه های اجتماعی")</f>
        <v>بازاریابی رسانه های اجتماعی</v>
      </c>
      <c r="G73" s="1" t="str">
        <f>IFERROR(__xludf.DUMMYFUNCTION("GOOGLETRANSLATE(C73, ""en"", ""fa"")
"),"به عنوان یک مدیر رسانه های اجتماعی، یک موضوع جذاب توییتر برای یک نویسنده کتاب بنویسید، در مورد الهام بخش آخرین رمان او بحث کنید و از خوانندگان دعوت کنید تا به گفتگو بپیوندند.")</f>
        <v>به عنوان یک مدیر رسانه های اجتماعی، یک موضوع جذاب توییتر برای یک نویسنده کتاب بنویسید، در مورد الهام بخش آخرین رمان او بحث کنید و از خوانندگان دعوت کنید تا به گفتگو بپیوندند.</v>
      </c>
      <c r="H73" s="1"/>
      <c r="I73" s="1"/>
      <c r="J73" s="1"/>
      <c r="K73" s="1"/>
      <c r="L73" s="1"/>
      <c r="M73" s="1"/>
      <c r="N73" s="1"/>
      <c r="O73" s="1"/>
      <c r="P73" s="1"/>
      <c r="Q73" s="1"/>
      <c r="R73" s="1"/>
      <c r="S73" s="1"/>
      <c r="T73" s="1"/>
      <c r="U73" s="1"/>
      <c r="V73" s="1"/>
      <c r="W73" s="1"/>
      <c r="X73" s="1"/>
      <c r="Y73" s="1"/>
      <c r="Z73" s="1"/>
      <c r="AA73" s="1"/>
      <c r="AB73" s="1"/>
    </row>
    <row r="74" ht="50.25" customHeight="1">
      <c r="A74" s="12">
        <v>70.0</v>
      </c>
      <c r="B74" s="13" t="s">
        <v>6</v>
      </c>
      <c r="C74" s="14" t="s">
        <v>76</v>
      </c>
      <c r="D74" s="1"/>
      <c r="E74" s="15"/>
      <c r="F74" s="1" t="str">
        <f>IFERROR(__xludf.DUMMYFUNCTION("GOOGLETRANSLATE(B74, ""en"", ""fa"")
"),"بازاریابی رسانه های اجتماعی")</f>
        <v>بازاریابی رسانه های اجتماعی</v>
      </c>
      <c r="G74" s="1" t="str">
        <f>IFERROR(__xludf.DUMMYFUNCTION("GOOGLETRANSLATE(C74, ""en"", ""fa"")
"),"شما در حال مدیریت یک حساب کاربری در Pinterest برای یک عکاس عروسی هستید. یک تخته چوبی بصری خیره کننده ایجاد کنید که سبک های مختلف عکاسی عروسی را به نمایش می گذارد و زیبایی لحظات خاص را به تصویر می کشد.")</f>
        <v>شما در حال مدیریت یک حساب کاربری در Pinterest برای یک عکاس عروسی هستید. یک تخته چوبی بصری خیره کننده ایجاد کنید که سبک های مختلف عکاسی عروسی را به نمایش می گذارد و زیبایی لحظات خاص را به تصویر می کشد.</v>
      </c>
      <c r="H74" s="1"/>
      <c r="I74" s="1"/>
      <c r="J74" s="1"/>
      <c r="K74" s="1"/>
      <c r="L74" s="1"/>
      <c r="M74" s="1"/>
      <c r="N74" s="1"/>
      <c r="O74" s="1"/>
      <c r="P74" s="1"/>
      <c r="Q74" s="1"/>
      <c r="R74" s="1"/>
      <c r="S74" s="1"/>
      <c r="T74" s="1"/>
      <c r="U74" s="1"/>
      <c r="V74" s="1"/>
      <c r="W74" s="1"/>
      <c r="X74" s="1"/>
      <c r="Y74" s="1"/>
      <c r="Z74" s="1"/>
      <c r="AA74" s="1"/>
      <c r="AB74" s="1"/>
    </row>
    <row r="75" ht="50.25" customHeight="1">
      <c r="A75" s="12">
        <v>71.0</v>
      </c>
      <c r="B75" s="13" t="s">
        <v>6</v>
      </c>
      <c r="C75" s="14" t="s">
        <v>77</v>
      </c>
      <c r="D75" s="1"/>
      <c r="E75" s="15"/>
      <c r="F75" s="1" t="str">
        <f>IFERROR(__xludf.DUMMYFUNCTION("GOOGLETRANSLATE(B75, ""en"", ""fa"")
"),"بازاریابی رسانه های اجتماعی")</f>
        <v>بازاریابی رسانه های اجتماعی</v>
      </c>
      <c r="G75" s="1" t="str">
        <f>IFERROR(__xludf.DUMMYFUNCTION("GOOGLETRANSLATE(C75, ""en"", ""fa"")
"),"شما در حال ایجاد یک استراتژی رسانه اجتماعی برای یک تأثیرگذار تناسب اندام هستید. مجموعه‌ای از کپشن‌های جذاب اینستاگرام بنویسید که عکس‌های دگرگونی را همراهی می‌کند، داستان‌های شخصی غلبه بر چالش‌ها و الهام‌بخش دنبال‌کنندگان را به اشتراک می‌گذارد.")</f>
        <v>شما در حال ایجاد یک استراتژی رسانه اجتماعی برای یک تأثیرگذار تناسب اندام هستید. مجموعه‌ای از کپشن‌های جذاب اینستاگرام بنویسید که عکس‌های دگرگونی را همراهی می‌کند، داستان‌های شخصی غلبه بر چالش‌ها و الهام‌بخش دنبال‌کنندگان را به اشتراک می‌گذارد.</v>
      </c>
      <c r="H75" s="1"/>
      <c r="I75" s="1"/>
      <c r="J75" s="1"/>
      <c r="K75" s="1"/>
      <c r="L75" s="1"/>
      <c r="M75" s="1"/>
      <c r="N75" s="1"/>
      <c r="O75" s="1"/>
      <c r="P75" s="1"/>
      <c r="Q75" s="1"/>
      <c r="R75" s="1"/>
      <c r="S75" s="1"/>
      <c r="T75" s="1"/>
      <c r="U75" s="1"/>
      <c r="V75" s="1"/>
      <c r="W75" s="1"/>
      <c r="X75" s="1"/>
      <c r="Y75" s="1"/>
      <c r="Z75" s="1"/>
      <c r="AA75" s="1"/>
      <c r="AB75" s="1"/>
    </row>
    <row r="76" ht="50.25" customHeight="1">
      <c r="A76" s="12">
        <v>72.0</v>
      </c>
      <c r="B76" s="13" t="s">
        <v>6</v>
      </c>
      <c r="C76" s="14" t="s">
        <v>78</v>
      </c>
      <c r="D76" s="1"/>
      <c r="E76" s="15"/>
      <c r="F76" s="1" t="str">
        <f>IFERROR(__xludf.DUMMYFUNCTION("GOOGLETRANSLATE(B76, ""en"", ""fa"")
"),"بازاریابی رسانه های اجتماعی")</f>
        <v>بازاریابی رسانه های اجتماعی</v>
      </c>
      <c r="G76" s="1" t="str">
        <f>IFERROR(__xludf.DUMMYFUNCTION("GOOGLETRANSLATE(C76, ""en"", ""fa"")
"),"شما در حال مدیریت یک صفحه فیس بوک برای یک برند متمرکز بر پایداری هستید. پستی بنویسید که دنبال کنندگان را در مورد ابتکارات سازگار با محیط زیست برند آموزش دهد و آنها را تشویق کند که به جنبش بپیوندند.")</f>
        <v>شما در حال مدیریت یک صفحه فیس بوک برای یک برند متمرکز بر پایداری هستید. پستی بنویسید که دنبال کنندگان را در مورد ابتکارات سازگار با محیط زیست برند آموزش دهد و آنها را تشویق کند که به جنبش بپیوندند.</v>
      </c>
      <c r="H76" s="1"/>
      <c r="I76" s="1"/>
      <c r="J76" s="1"/>
      <c r="K76" s="1"/>
      <c r="L76" s="1"/>
      <c r="M76" s="1"/>
      <c r="N76" s="1"/>
      <c r="O76" s="1"/>
      <c r="P76" s="1"/>
      <c r="Q76" s="1"/>
      <c r="R76" s="1"/>
      <c r="S76" s="1"/>
      <c r="T76" s="1"/>
      <c r="U76" s="1"/>
      <c r="V76" s="1"/>
      <c r="W76" s="1"/>
      <c r="X76" s="1"/>
      <c r="Y76" s="1"/>
      <c r="Z76" s="1"/>
      <c r="AA76" s="1"/>
      <c r="AB76" s="1"/>
    </row>
    <row r="77" ht="50.25" customHeight="1">
      <c r="A77" s="12">
        <v>73.0</v>
      </c>
      <c r="B77" s="13" t="s">
        <v>6</v>
      </c>
      <c r="C77" s="14" t="s">
        <v>79</v>
      </c>
      <c r="D77" s="1"/>
      <c r="E77" s="15"/>
      <c r="F77" s="1" t="str">
        <f>IFERROR(__xludf.DUMMYFUNCTION("GOOGLETRANSLATE(B77, ""en"", ""fa"")
"),"بازاریابی رسانه های اجتماعی")</f>
        <v>بازاریابی رسانه های اجتماعی</v>
      </c>
      <c r="G77" s="1" t="str">
        <f>IFERROR(__xludf.DUMMYFUNCTION("GOOGLETRANSLATE(C77, ""en"", ""fa"")
"),"به عنوان یک مدیر رسانه های اجتماعی، یک پست لینکدین آموزنده برای آژانس املاک ایجاد کنید و نکاتی در مورد خرید یا فروش ملک در بازار فعلی ارائه دهید.")</f>
        <v>به عنوان یک مدیر رسانه های اجتماعی، یک پست لینکدین آموزنده برای آژانس املاک ایجاد کنید و نکاتی در مورد خرید یا فروش ملک در بازار فعلی ارائه دهید.</v>
      </c>
      <c r="H77" s="1"/>
      <c r="I77" s="1"/>
      <c r="J77" s="1"/>
      <c r="K77" s="1"/>
      <c r="L77" s="1"/>
      <c r="M77" s="1"/>
      <c r="N77" s="1"/>
      <c r="O77" s="1"/>
      <c r="P77" s="1"/>
      <c r="Q77" s="1"/>
      <c r="R77" s="1"/>
      <c r="S77" s="1"/>
      <c r="T77" s="1"/>
      <c r="U77" s="1"/>
      <c r="V77" s="1"/>
      <c r="W77" s="1"/>
      <c r="X77" s="1"/>
      <c r="Y77" s="1"/>
      <c r="Z77" s="1"/>
      <c r="AA77" s="1"/>
      <c r="AB77" s="1"/>
    </row>
    <row r="78" ht="50.25" customHeight="1">
      <c r="A78" s="12">
        <v>74.0</v>
      </c>
      <c r="B78" s="13" t="s">
        <v>6</v>
      </c>
      <c r="C78" s="14" t="s">
        <v>80</v>
      </c>
      <c r="D78" s="1"/>
      <c r="E78" s="15"/>
      <c r="F78" s="1" t="str">
        <f>IFERROR(__xludf.DUMMYFUNCTION("GOOGLETRANSLATE(B78, ""en"", ""fa"")
"),"بازاریابی رسانه های اجتماعی")</f>
        <v>بازاریابی رسانه های اجتماعی</v>
      </c>
      <c r="G78" s="1" t="str">
        <f>IFERROR(__xludf.DUMMYFUNCTION("GOOGLETRANSLATE(C78, ""en"", ""fa"")
"),"شما در حال مدیریت یک حساب اینستاگرام برای یک برند لوازم جانبی حیوانات خانگی هستید. برای عکسی که در آن یک حیوان خانگی زیبا که یکی از محصولات این برند را پوشیده است، توضیحی شوخی و طنز بنویسید.")</f>
        <v>شما در حال مدیریت یک حساب اینستاگرام برای یک برند لوازم جانبی حیوانات خانگی هستید. برای عکسی که در آن یک حیوان خانگی زیبا که یکی از محصولات این برند را پوشیده است، توضیحی شوخی و طنز بنویسید.</v>
      </c>
      <c r="H78" s="1"/>
      <c r="I78" s="1"/>
      <c r="J78" s="1"/>
      <c r="K78" s="1"/>
      <c r="L78" s="1"/>
      <c r="M78" s="1"/>
      <c r="N78" s="1"/>
      <c r="O78" s="1"/>
      <c r="P78" s="1"/>
      <c r="Q78" s="1"/>
      <c r="R78" s="1"/>
      <c r="S78" s="1"/>
      <c r="T78" s="1"/>
      <c r="U78" s="1"/>
      <c r="V78" s="1"/>
      <c r="W78" s="1"/>
      <c r="X78" s="1"/>
      <c r="Y78" s="1"/>
      <c r="Z78" s="1"/>
      <c r="AA78" s="1"/>
      <c r="AB78" s="1"/>
    </row>
    <row r="79" ht="50.25" customHeight="1">
      <c r="A79" s="12">
        <v>75.0</v>
      </c>
      <c r="B79" s="13" t="s">
        <v>6</v>
      </c>
      <c r="C79" s="14" t="s">
        <v>81</v>
      </c>
      <c r="D79" s="1"/>
      <c r="E79" s="15"/>
      <c r="F79" s="1" t="str">
        <f>IFERROR(__xludf.DUMMYFUNCTION("GOOGLETRANSLATE(B79, ""en"", ""fa"")
"),"بازاریابی رسانه های اجتماعی")</f>
        <v>بازاریابی رسانه های اجتماعی</v>
      </c>
      <c r="G79" s="1" t="str">
        <f>IFERROR(__xludf.DUMMYFUNCTION("GOOGLETRANSLATE(C79, ""en"", ""fa"")
"),"شما در حال اجرای یک کمپین رسانه اجتماعی برای یک پلتفرم پخش موسیقی هستید. یک نسخه تبلیغاتی فیسبوک بنویسید که کتابخانه موسیقی گسترده و توصیه‌های شخصی‌شده پلتفرم را برجسته کند.")</f>
        <v>شما در حال اجرای یک کمپین رسانه اجتماعی برای یک پلتفرم پخش موسیقی هستید. یک نسخه تبلیغاتی فیسبوک بنویسید که کتابخانه موسیقی گسترده و توصیه‌های شخصی‌شده پلتفرم را برجسته کند.</v>
      </c>
      <c r="H79" s="1"/>
      <c r="I79" s="1"/>
      <c r="J79" s="1"/>
      <c r="K79" s="1"/>
      <c r="L79" s="1"/>
      <c r="M79" s="1"/>
      <c r="N79" s="1"/>
      <c r="O79" s="1"/>
      <c r="P79" s="1"/>
      <c r="Q79" s="1"/>
      <c r="R79" s="1"/>
      <c r="S79" s="1"/>
      <c r="T79" s="1"/>
      <c r="U79" s="1"/>
      <c r="V79" s="1"/>
      <c r="W79" s="1"/>
      <c r="X79" s="1"/>
      <c r="Y79" s="1"/>
      <c r="Z79" s="1"/>
      <c r="AA79" s="1"/>
      <c r="AB79" s="1"/>
    </row>
    <row r="80" ht="50.25" customHeight="1">
      <c r="A80" s="12">
        <v>76.0</v>
      </c>
      <c r="B80" s="13" t="s">
        <v>6</v>
      </c>
      <c r="C80" s="14" t="s">
        <v>82</v>
      </c>
      <c r="D80" s="1"/>
      <c r="E80" s="15"/>
      <c r="F80" s="1" t="str">
        <f>IFERROR(__xludf.DUMMYFUNCTION("GOOGLETRANSLATE(B80, ""en"", ""fa"")
"),"بازاریابی رسانه های اجتماعی")</f>
        <v>بازاریابی رسانه های اجتماعی</v>
      </c>
      <c r="G80" s="1" t="str">
        <f>IFERROR(__xludf.DUMMYFUNCTION("GOOGLETRANSLATE(C80, ""en"", ""fa"")
"),"به عنوان یک مدیر رسانه های اجتماعی، یک پست وبلاگ متقاعد کننده برای یک شرکت تجهیزات مسافرتی بنویسید که شامل لیستی از اقلام ضروری برای یک تعطیلات پر ماجرا باشد.")</f>
        <v>به عنوان یک مدیر رسانه های اجتماعی، یک پست وبلاگ متقاعد کننده برای یک شرکت تجهیزات مسافرتی بنویسید که شامل لیستی از اقلام ضروری برای یک تعطیلات پر ماجرا باشد.</v>
      </c>
      <c r="H80" s="1"/>
      <c r="I80" s="1"/>
      <c r="J80" s="1"/>
      <c r="K80" s="1"/>
      <c r="L80" s="1"/>
      <c r="M80" s="1"/>
      <c r="N80" s="1"/>
      <c r="O80" s="1"/>
      <c r="P80" s="1"/>
      <c r="Q80" s="1"/>
      <c r="R80" s="1"/>
      <c r="S80" s="1"/>
      <c r="T80" s="1"/>
      <c r="U80" s="1"/>
      <c r="V80" s="1"/>
      <c r="W80" s="1"/>
      <c r="X80" s="1"/>
      <c r="Y80" s="1"/>
      <c r="Z80" s="1"/>
      <c r="AA80" s="1"/>
      <c r="AB80" s="1"/>
    </row>
    <row r="81" ht="50.25" customHeight="1">
      <c r="A81" s="12">
        <v>77.0</v>
      </c>
      <c r="B81" s="13" t="s">
        <v>6</v>
      </c>
      <c r="C81" s="14" t="s">
        <v>83</v>
      </c>
      <c r="D81" s="1"/>
      <c r="E81" s="15"/>
      <c r="F81" s="1" t="str">
        <f>IFERROR(__xludf.DUMMYFUNCTION("GOOGLETRANSLATE(B81, ""en"", ""fa"")
"),"بازاریابی رسانه های اجتماعی")</f>
        <v>بازاریابی رسانه های اجتماعی</v>
      </c>
      <c r="G81" s="1" t="str">
        <f>IFERROR(__xludf.DUMMYFUNCTION("GOOGLETRANSLATE(C81, ""en"", ""fa"")
"),"شما در حال مدیریت یک کانال YouTube برای یک تأثیرگذار مد هستید. یک تصویر کوچک ویدیویی و عنوان جذابی برای ویدیوی «با من آماده شو» بسازید که یک لباس شیک و مد روز را به نمایش می گذارد.")</f>
        <v>شما در حال مدیریت یک کانال YouTube برای یک تأثیرگذار مد هستید. یک تصویر کوچک ویدیویی و عنوان جذابی برای ویدیوی «با من آماده شو» بسازید که یک لباس شیک و مد روز را به نمایش می گذارد.</v>
      </c>
      <c r="H81" s="1"/>
      <c r="I81" s="1"/>
      <c r="J81" s="1"/>
      <c r="K81" s="1"/>
      <c r="L81" s="1"/>
      <c r="M81" s="1"/>
      <c r="N81" s="1"/>
      <c r="O81" s="1"/>
      <c r="P81" s="1"/>
      <c r="Q81" s="1"/>
      <c r="R81" s="1"/>
      <c r="S81" s="1"/>
      <c r="T81" s="1"/>
      <c r="U81" s="1"/>
      <c r="V81" s="1"/>
      <c r="W81" s="1"/>
      <c r="X81" s="1"/>
      <c r="Y81" s="1"/>
      <c r="Z81" s="1"/>
      <c r="AA81" s="1"/>
      <c r="AB81" s="1"/>
    </row>
    <row r="82" ht="50.25" customHeight="1">
      <c r="A82" s="12">
        <v>78.0</v>
      </c>
      <c r="B82" s="13" t="s">
        <v>6</v>
      </c>
      <c r="C82" s="14" t="s">
        <v>84</v>
      </c>
      <c r="D82" s="1"/>
      <c r="E82" s="15"/>
      <c r="F82" s="1" t="str">
        <f>IFERROR(__xludf.DUMMYFUNCTION("GOOGLETRANSLATE(B82, ""en"", ""fa"")
"),"بازاریابی رسانه های اجتماعی")</f>
        <v>بازاریابی رسانه های اجتماعی</v>
      </c>
      <c r="G82" s="1" t="str">
        <f>IFERROR(__xludf.DUMMYFUNCTION("GOOGLETRANSLATE(C82, ""en"", ""fa"")
"),"شما در حال ایجاد یک استراتژی رسانه اجتماعی برای یک مربی سلامت و تندرستی هستید. یک استوری جذاب در اینستاگرام بنویسید که یک نکته سریع سلامتی را به اشتراک بگذارد و دنبال کنندگان را تشویق کند که مراقبت از خود را در اولویت قرار دهند.")</f>
        <v>شما در حال ایجاد یک استراتژی رسانه اجتماعی برای یک مربی سلامت و تندرستی هستید. یک استوری جذاب در اینستاگرام بنویسید که یک نکته سریع سلامتی را به اشتراک بگذارد و دنبال کنندگان را تشویق کند که مراقبت از خود را در اولویت قرار دهند.</v>
      </c>
      <c r="H82" s="1"/>
      <c r="I82" s="1"/>
      <c r="J82" s="1"/>
      <c r="K82" s="1"/>
      <c r="L82" s="1"/>
      <c r="M82" s="1"/>
      <c r="N82" s="1"/>
      <c r="O82" s="1"/>
      <c r="P82" s="1"/>
      <c r="Q82" s="1"/>
      <c r="R82" s="1"/>
      <c r="S82" s="1"/>
      <c r="T82" s="1"/>
      <c r="U82" s="1"/>
      <c r="V82" s="1"/>
      <c r="W82" s="1"/>
      <c r="X82" s="1"/>
      <c r="Y82" s="1"/>
      <c r="Z82" s="1"/>
      <c r="AA82" s="1"/>
      <c r="AB82" s="1"/>
    </row>
    <row r="83" ht="50.25" customHeight="1">
      <c r="A83" s="12">
        <v>79.0</v>
      </c>
      <c r="B83" s="13" t="s">
        <v>6</v>
      </c>
      <c r="C83" s="14" t="s">
        <v>85</v>
      </c>
      <c r="D83" s="1"/>
      <c r="E83" s="15"/>
      <c r="F83" s="1" t="str">
        <f>IFERROR(__xludf.DUMMYFUNCTION("GOOGLETRANSLATE(B83, ""en"", ""fa"")
"),"بازاریابی رسانه های اجتماعی")</f>
        <v>بازاریابی رسانه های اجتماعی</v>
      </c>
      <c r="G83" s="1" t="str">
        <f>IFERROR(__xludf.DUMMYFUNCTION("GOOGLETRANSLATE(C83, ""en"", ""fa"")
"),"شما در حال مدیریت یک حساب توییتر برای یک نمایندگی خودرو هستید. توییتی بنویسید که با تاکید بر محدودیت در دسترس بودن، از تخفیف ویژه بر روی مدل‌های منتخب خبر می‌دهد.")</f>
        <v>شما در حال مدیریت یک حساب توییتر برای یک نمایندگی خودرو هستید. توییتی بنویسید که با تاکید بر محدودیت در دسترس بودن، از تخفیف ویژه بر روی مدل‌های منتخب خبر می‌دهد.</v>
      </c>
      <c r="H83" s="1"/>
      <c r="I83" s="1"/>
      <c r="J83" s="1"/>
      <c r="K83" s="1"/>
      <c r="L83" s="1"/>
      <c r="M83" s="1"/>
      <c r="N83" s="1"/>
      <c r="O83" s="1"/>
      <c r="P83" s="1"/>
      <c r="Q83" s="1"/>
      <c r="R83" s="1"/>
      <c r="S83" s="1"/>
      <c r="T83" s="1"/>
      <c r="U83" s="1"/>
      <c r="V83" s="1"/>
      <c r="W83" s="1"/>
      <c r="X83" s="1"/>
      <c r="Y83" s="1"/>
      <c r="Z83" s="1"/>
      <c r="AA83" s="1"/>
      <c r="AB83" s="1"/>
    </row>
    <row r="84" ht="50.25" customHeight="1">
      <c r="A84" s="12">
        <v>80.0</v>
      </c>
      <c r="B84" s="13" t="s">
        <v>6</v>
      </c>
      <c r="C84" s="14" t="s">
        <v>86</v>
      </c>
      <c r="D84" s="1"/>
      <c r="E84" s="15"/>
      <c r="F84" s="1" t="str">
        <f>IFERROR(__xludf.DUMMYFUNCTION("GOOGLETRANSLATE(B84, ""en"", ""fa"")
"),"بازاریابی رسانه های اجتماعی")</f>
        <v>بازاریابی رسانه های اجتماعی</v>
      </c>
      <c r="G84" s="1" t="str">
        <f>IFERROR(__xludf.DUMMYFUNCTION("GOOGLETRANSLATE(C84, ""en"", ""fa"")
"),"به‌عنوان مدیر رسانه‌های اجتماعی، مجموعه‌ای از پست‌های چرخ فلک اینستاگرام را برای یک برند سازمان خانگی ایجاد کنید، نکات کاربردی را ارائه کنید و محصولات خود را در عمل به نمایش بگذارید.")</f>
        <v>به‌عنوان مدیر رسانه‌های اجتماعی، مجموعه‌ای از پست‌های چرخ فلک اینستاگرام را برای یک برند سازمان خانگی ایجاد کنید، نکات کاربردی را ارائه کنید و محصولات خود را در عمل به نمایش بگذارید.</v>
      </c>
      <c r="H84" s="1"/>
      <c r="I84" s="1"/>
      <c r="J84" s="1"/>
      <c r="K84" s="1"/>
      <c r="L84" s="1"/>
      <c r="M84" s="1"/>
      <c r="N84" s="1"/>
      <c r="O84" s="1"/>
      <c r="P84" s="1"/>
      <c r="Q84" s="1"/>
      <c r="R84" s="1"/>
      <c r="S84" s="1"/>
      <c r="T84" s="1"/>
      <c r="U84" s="1"/>
      <c r="V84" s="1"/>
      <c r="W84" s="1"/>
      <c r="X84" s="1"/>
      <c r="Y84" s="1"/>
      <c r="Z84" s="1"/>
      <c r="AA84" s="1"/>
      <c r="AB84" s="1"/>
    </row>
    <row r="85" ht="50.25" customHeight="1">
      <c r="A85" s="12">
        <v>81.0</v>
      </c>
      <c r="B85" s="13" t="s">
        <v>6</v>
      </c>
      <c r="C85" s="14" t="s">
        <v>87</v>
      </c>
      <c r="D85" s="1"/>
      <c r="E85" s="15"/>
      <c r="F85" s="1" t="str">
        <f>IFERROR(__xludf.DUMMYFUNCTION("GOOGLETRANSLATE(B85, ""en"", ""fa"")
"),"بازاریابی رسانه های اجتماعی")</f>
        <v>بازاریابی رسانه های اجتماعی</v>
      </c>
      <c r="G85" s="1" t="str">
        <f>IFERROR(__xludf.DUMMYFUNCTION("GOOGLETRANSLATE(C85, ""en"", ""fa"")
"),"شما در حال مدیریت حساب توییتر یک تأثیرگذار هستید که بر امور مالی شخصی متمرکز است. توییتی بنویسید که نکات ارزشمندی را برای صرفه جویی در پول به اشتراک بگذارد و دنبال کنندگان را تشویق کند تا استراتژی های خود را به اشتراک بگذارند.")</f>
        <v>شما در حال مدیریت حساب توییتر یک تأثیرگذار هستید که بر امور مالی شخصی متمرکز است. توییتی بنویسید که نکات ارزشمندی را برای صرفه جویی در پول به اشتراک بگذارد و دنبال کنندگان را تشویق کند تا استراتژی های خود را به اشتراک بگذارند.</v>
      </c>
      <c r="H85" s="1"/>
      <c r="I85" s="1"/>
      <c r="J85" s="1"/>
      <c r="K85" s="1"/>
      <c r="L85" s="1"/>
      <c r="M85" s="1"/>
      <c r="N85" s="1"/>
      <c r="O85" s="1"/>
      <c r="P85" s="1"/>
      <c r="Q85" s="1"/>
      <c r="R85" s="1"/>
      <c r="S85" s="1"/>
      <c r="T85" s="1"/>
      <c r="U85" s="1"/>
      <c r="V85" s="1"/>
      <c r="W85" s="1"/>
      <c r="X85" s="1"/>
      <c r="Y85" s="1"/>
      <c r="Z85" s="1"/>
      <c r="AA85" s="1"/>
      <c r="AB85" s="1"/>
    </row>
    <row r="86" ht="50.25" customHeight="1">
      <c r="A86" s="12">
        <v>82.0</v>
      </c>
      <c r="B86" s="13" t="s">
        <v>6</v>
      </c>
      <c r="C86" s="14" t="s">
        <v>88</v>
      </c>
      <c r="D86" s="1"/>
      <c r="E86" s="15"/>
      <c r="F86" s="1" t="str">
        <f>IFERROR(__xludf.DUMMYFUNCTION("GOOGLETRANSLATE(B86, ""en"", ""fa"")
"),"بازاریابی رسانه های اجتماعی")</f>
        <v>بازاریابی رسانه های اجتماعی</v>
      </c>
      <c r="G86" s="1" t="str">
        <f>IFERROR(__xludf.DUMMYFUNCTION("GOOGLETRANSLATE(C86, ""en"", ""fa"")
"),"شما در حال برگزاری یک مسابقه رسانه های اجتماعی برای یک برند مراقبت از پوست هستید. یک پست فیس بوک بنویسید که از دنبال کنندگان دعوت می کند تا با استفاده از یک هشتگ مارک دار، روال های مراقبت از پوست خود را به اشتراک بگذارند و شانس برنده شدن یک بسته مراقبت از"&amp;" پوست را داشته باشند.")</f>
        <v>شما در حال برگزاری یک مسابقه رسانه های اجتماعی برای یک برند مراقبت از پوست هستید. یک پست فیس بوک بنویسید که از دنبال کنندگان دعوت می کند تا با استفاده از یک هشتگ مارک دار، روال های مراقبت از پوست خود را به اشتراک بگذارند و شانس برنده شدن یک بسته مراقبت از پوست را داشته باشند.</v>
      </c>
      <c r="H86" s="1"/>
      <c r="I86" s="1"/>
      <c r="J86" s="1"/>
      <c r="K86" s="1"/>
      <c r="L86" s="1"/>
      <c r="M86" s="1"/>
      <c r="N86" s="1"/>
      <c r="O86" s="1"/>
      <c r="P86" s="1"/>
      <c r="Q86" s="1"/>
      <c r="R86" s="1"/>
      <c r="S86" s="1"/>
      <c r="T86" s="1"/>
      <c r="U86" s="1"/>
      <c r="V86" s="1"/>
      <c r="W86" s="1"/>
      <c r="X86" s="1"/>
      <c r="Y86" s="1"/>
      <c r="Z86" s="1"/>
      <c r="AA86" s="1"/>
      <c r="AB86" s="1"/>
    </row>
    <row r="87" ht="50.25" customHeight="1">
      <c r="A87" s="12">
        <v>83.0</v>
      </c>
      <c r="B87" s="13" t="s">
        <v>6</v>
      </c>
      <c r="C87" s="14" t="s">
        <v>89</v>
      </c>
      <c r="D87" s="1"/>
      <c r="E87" s="15"/>
      <c r="F87" s="1" t="str">
        <f>IFERROR(__xludf.DUMMYFUNCTION("GOOGLETRANSLATE(B87, ""en"", ""fa"")
"),"بازاریابی رسانه های اجتماعی")</f>
        <v>بازاریابی رسانه های اجتماعی</v>
      </c>
      <c r="G87" s="1" t="str">
        <f>IFERROR(__xludf.DUMMYFUNCTION("GOOGLETRANSLATE(C87, ""en"", ""fa"")
"),"به‌عنوان مدیر رسانه‌های اجتماعی، یک داستان جذاب اسنپ‌چت برای یک برند سبک زندگی بنویسید که شامل نگاهی اجمالی به عرضه‌های محصولات آتی و تخفیف‌های انحصاری است.")</f>
        <v>به‌عنوان مدیر رسانه‌های اجتماعی، یک داستان جذاب اسنپ‌چت برای یک برند سبک زندگی بنویسید که شامل نگاهی اجمالی به عرضه‌های محصولات آتی و تخفیف‌های انحصاری است.</v>
      </c>
      <c r="H87" s="1"/>
      <c r="I87" s="1"/>
      <c r="J87" s="1"/>
      <c r="K87" s="1"/>
      <c r="L87" s="1"/>
      <c r="M87" s="1"/>
      <c r="N87" s="1"/>
      <c r="O87" s="1"/>
      <c r="P87" s="1"/>
      <c r="Q87" s="1"/>
      <c r="R87" s="1"/>
      <c r="S87" s="1"/>
      <c r="T87" s="1"/>
      <c r="U87" s="1"/>
      <c r="V87" s="1"/>
      <c r="W87" s="1"/>
      <c r="X87" s="1"/>
      <c r="Y87" s="1"/>
      <c r="Z87" s="1"/>
      <c r="AA87" s="1"/>
      <c r="AB87" s="1"/>
    </row>
    <row r="88" ht="50.25" customHeight="1">
      <c r="A88" s="12">
        <v>84.0</v>
      </c>
      <c r="B88" s="13" t="s">
        <v>6</v>
      </c>
      <c r="C88" s="14" t="s">
        <v>90</v>
      </c>
      <c r="D88" s="1"/>
      <c r="E88" s="15"/>
      <c r="F88" s="1" t="str">
        <f>IFERROR(__xludf.DUMMYFUNCTION("GOOGLETRANSLATE(B88, ""en"", ""fa"")
"),"بازاریابی رسانه های اجتماعی")</f>
        <v>بازاریابی رسانه های اجتماعی</v>
      </c>
      <c r="G88" s="1" t="str">
        <f>IFERROR(__xludf.DUMMYFUNCTION("GOOGLETRANSLATE(C88, ""en"", ""fa"")
"),"شما در حال مدیریت یک حساب Pinterest برای یک وبلاگ DIY هستید. یک تخته چوبی بصری جذاب بسازید که پروژه‌های مختلف بازسازی خانه را نشان می‌دهد و ایده‌های خلاقانه را به دنبال‌کنندگان القا می‌کند.")</f>
        <v>شما در حال مدیریت یک حساب Pinterest برای یک وبلاگ DIY هستید. یک تخته چوبی بصری جذاب بسازید که پروژه‌های مختلف بازسازی خانه را نشان می‌دهد و ایده‌های خلاقانه را به دنبال‌کنندگان القا می‌کند.</v>
      </c>
      <c r="H88" s="1"/>
      <c r="I88" s="1"/>
      <c r="J88" s="1"/>
      <c r="K88" s="1"/>
      <c r="L88" s="1"/>
      <c r="M88" s="1"/>
      <c r="N88" s="1"/>
      <c r="O88" s="1"/>
      <c r="P88" s="1"/>
      <c r="Q88" s="1"/>
      <c r="R88" s="1"/>
      <c r="S88" s="1"/>
      <c r="T88" s="1"/>
      <c r="U88" s="1"/>
      <c r="V88" s="1"/>
      <c r="W88" s="1"/>
      <c r="X88" s="1"/>
      <c r="Y88" s="1"/>
      <c r="Z88" s="1"/>
      <c r="AA88" s="1"/>
      <c r="AB88" s="1"/>
    </row>
    <row r="89" ht="50.25" customHeight="1">
      <c r="A89" s="12">
        <v>85.0</v>
      </c>
      <c r="B89" s="13" t="s">
        <v>6</v>
      </c>
      <c r="C89" s="14" t="s">
        <v>91</v>
      </c>
      <c r="D89" s="1"/>
      <c r="E89" s="15"/>
      <c r="F89" s="1" t="str">
        <f>IFERROR(__xludf.DUMMYFUNCTION("GOOGLETRANSLATE(B89, ""en"", ""fa"")
"),"بازاریابی رسانه های اجتماعی")</f>
        <v>بازاریابی رسانه های اجتماعی</v>
      </c>
      <c r="G89" s="1" t="str">
        <f>IFERROR(__xludf.DUMMYFUNCTION("GOOGLETRANSLATE(C89, ""en"", ""fa"")
"),"شما در حال ایجاد یک استراتژی رسانه اجتماعی برای جشنواره غذا و نوشیدنی هستید. یک اسکریپت ویدیویی متقاعدکننده در YouTube بنویسید که پیشنهادات آشپزی جشنواره را به نمایش بگذارد و رویدادهای ویژه را برجسته کند.")</f>
        <v>شما در حال ایجاد یک استراتژی رسانه اجتماعی برای جشنواره غذا و نوشیدنی هستید. یک اسکریپت ویدیویی متقاعدکننده در YouTube بنویسید که پیشنهادات آشپزی جشنواره را به نمایش بگذارد و رویدادهای ویژه را برجسته کند.</v>
      </c>
      <c r="H89" s="1"/>
      <c r="I89" s="1"/>
      <c r="J89" s="1"/>
      <c r="K89" s="1"/>
      <c r="L89" s="1"/>
      <c r="M89" s="1"/>
      <c r="N89" s="1"/>
      <c r="O89" s="1"/>
      <c r="P89" s="1"/>
      <c r="Q89" s="1"/>
      <c r="R89" s="1"/>
      <c r="S89" s="1"/>
      <c r="T89" s="1"/>
      <c r="U89" s="1"/>
      <c r="V89" s="1"/>
      <c r="W89" s="1"/>
      <c r="X89" s="1"/>
      <c r="Y89" s="1"/>
      <c r="Z89" s="1"/>
      <c r="AA89" s="1"/>
      <c r="AB89" s="1"/>
    </row>
    <row r="90" ht="50.25" customHeight="1">
      <c r="A90" s="12">
        <v>86.0</v>
      </c>
      <c r="B90" s="13" t="s">
        <v>6</v>
      </c>
      <c r="C90" s="14" t="s">
        <v>92</v>
      </c>
      <c r="D90" s="1"/>
      <c r="E90" s="15"/>
      <c r="F90" s="1" t="str">
        <f>IFERROR(__xludf.DUMMYFUNCTION("GOOGLETRANSLATE(B90, ""en"", ""fa"")
"),"بازاریابی رسانه های اجتماعی")</f>
        <v>بازاریابی رسانه های اجتماعی</v>
      </c>
      <c r="G90" s="1" t="str">
        <f>IFERROR(__xludf.DUMMYFUNCTION("GOOGLETRANSLATE(C90, ""en"", ""fa"")
"),"شما در حال مدیریت یک صفحه فیس بوک برای یک تیم ورزشی محلی هستید. پستی بنویسید که پیروزی اخیر را جشن گرفته و فالوورها را تشویق کند تا در بازی بعدی حمایت خود را نشان دهند.")</f>
        <v>شما در حال مدیریت یک صفحه فیس بوک برای یک تیم ورزشی محلی هستید. پستی بنویسید که پیروزی اخیر را جشن گرفته و فالوورها را تشویق کند تا در بازی بعدی حمایت خود را نشان دهند.</v>
      </c>
      <c r="H90" s="1"/>
      <c r="I90" s="1"/>
      <c r="J90" s="1"/>
      <c r="K90" s="1"/>
      <c r="L90" s="1"/>
      <c r="M90" s="1"/>
      <c r="N90" s="1"/>
      <c r="O90" s="1"/>
      <c r="P90" s="1"/>
      <c r="Q90" s="1"/>
      <c r="R90" s="1"/>
      <c r="S90" s="1"/>
      <c r="T90" s="1"/>
      <c r="U90" s="1"/>
      <c r="V90" s="1"/>
      <c r="W90" s="1"/>
      <c r="X90" s="1"/>
      <c r="Y90" s="1"/>
      <c r="Z90" s="1"/>
      <c r="AA90" s="1"/>
      <c r="AB90" s="1"/>
    </row>
    <row r="91" ht="50.25" customHeight="1">
      <c r="A91" s="12">
        <v>87.0</v>
      </c>
      <c r="B91" s="13" t="s">
        <v>6</v>
      </c>
      <c r="C91" s="14" t="s">
        <v>93</v>
      </c>
      <c r="D91" s="1"/>
      <c r="E91" s="15"/>
      <c r="F91" s="1" t="str">
        <f>IFERROR(__xludf.DUMMYFUNCTION("GOOGLETRANSLATE(B91, ""en"", ""fa"")
"),"بازاریابی رسانه های اجتماعی")</f>
        <v>بازاریابی رسانه های اجتماعی</v>
      </c>
      <c r="G91" s="1" t="str">
        <f>IFERROR(__xludf.DUMMYFUNCTION("GOOGLETRANSLATE(C91, ""en"", ""fa"")
"),"به عنوان یک مدیر رسانه های اجتماعی، یک پست آموزنده در لینکدین برای یک برنامه ریز مالی بنویسید و نکاتی در مورد مدیریت امور مالی شخصی و آماده شدن برای بازنشستگی ارائه دهید.")</f>
        <v>به عنوان یک مدیر رسانه های اجتماعی، یک پست آموزنده در لینکدین برای یک برنامه ریز مالی بنویسید و نکاتی در مورد مدیریت امور مالی شخصی و آماده شدن برای بازنشستگی ارائه دهید.</v>
      </c>
      <c r="H91" s="1"/>
      <c r="I91" s="1"/>
      <c r="J91" s="1"/>
      <c r="K91" s="1"/>
      <c r="L91" s="1"/>
      <c r="M91" s="1"/>
      <c r="N91" s="1"/>
      <c r="O91" s="1"/>
      <c r="P91" s="1"/>
      <c r="Q91" s="1"/>
      <c r="R91" s="1"/>
      <c r="S91" s="1"/>
      <c r="T91" s="1"/>
      <c r="U91" s="1"/>
      <c r="V91" s="1"/>
      <c r="W91" s="1"/>
      <c r="X91" s="1"/>
      <c r="Y91" s="1"/>
      <c r="Z91" s="1"/>
      <c r="AA91" s="1"/>
      <c r="AB91" s="1"/>
    </row>
    <row r="92" ht="50.25" customHeight="1">
      <c r="A92" s="12">
        <v>88.0</v>
      </c>
      <c r="B92" s="13" t="s">
        <v>6</v>
      </c>
      <c r="C92" s="14" t="s">
        <v>94</v>
      </c>
      <c r="D92" s="1"/>
      <c r="E92" s="15"/>
      <c r="F92" s="1" t="str">
        <f>IFERROR(__xludf.DUMMYFUNCTION("GOOGLETRANSLATE(B92, ""en"", ""fa"")
"),"بازاریابی رسانه های اجتماعی")</f>
        <v>بازاریابی رسانه های اجتماعی</v>
      </c>
      <c r="G92" s="1" t="str">
        <f>IFERROR(__xludf.DUMMYFUNCTION("GOOGLETRANSLATE(C92, ""en"", ""fa"")
"),"شما در حال مدیریت یک حساب اینستاگرام برای یک خرده فروش مد هستید. یک توضیح جذاب برای یک عکس لباس روز بنویسید و جدیدترین مجموعه این برند را به نمایش بگذارید.")</f>
        <v>شما در حال مدیریت یک حساب اینستاگرام برای یک خرده فروش مد هستید. یک توضیح جذاب برای یک عکس لباس روز بنویسید و جدیدترین مجموعه این برند را به نمایش بگذارید.</v>
      </c>
      <c r="H92" s="1"/>
      <c r="I92" s="1"/>
      <c r="J92" s="1"/>
      <c r="K92" s="1"/>
      <c r="L92" s="1"/>
      <c r="M92" s="1"/>
      <c r="N92" s="1"/>
      <c r="O92" s="1"/>
      <c r="P92" s="1"/>
      <c r="Q92" s="1"/>
      <c r="R92" s="1"/>
      <c r="S92" s="1"/>
      <c r="T92" s="1"/>
      <c r="U92" s="1"/>
      <c r="V92" s="1"/>
      <c r="W92" s="1"/>
      <c r="X92" s="1"/>
      <c r="Y92" s="1"/>
      <c r="Z92" s="1"/>
      <c r="AA92" s="1"/>
      <c r="AB92" s="1"/>
    </row>
    <row r="93" ht="50.25" customHeight="1">
      <c r="A93" s="12">
        <v>89.0</v>
      </c>
      <c r="B93" s="13" t="s">
        <v>6</v>
      </c>
      <c r="C93" s="14" t="s">
        <v>95</v>
      </c>
      <c r="D93" s="1"/>
      <c r="E93" s="15"/>
      <c r="F93" s="1" t="str">
        <f>IFERROR(__xludf.DUMMYFUNCTION("GOOGLETRANSLATE(B93, ""en"", ""fa"")
"),"بازاریابی رسانه های اجتماعی")</f>
        <v>بازاریابی رسانه های اجتماعی</v>
      </c>
      <c r="G93" s="1" t="str">
        <f>IFERROR(__xludf.DUMMYFUNCTION("GOOGLETRANSLATE(C93, ""en"", ""fa"")
"),"شما در حال اجرای یک کمپین رسانه های اجتماعی برای یک برند دکوراسیون منزل هستید. کپشن اینستاگرامی بنویسید که رویه‌های پایدار برند و مواد سازگار با محیط‌زیست را برجسته کند.")</f>
        <v>شما در حال اجرای یک کمپین رسانه های اجتماعی برای یک برند دکوراسیون منزل هستید. کپشن اینستاگرامی بنویسید که رویه‌های پایدار برند و مواد سازگار با محیط‌زیست را برجسته کند.</v>
      </c>
      <c r="H93" s="1"/>
      <c r="I93" s="1"/>
      <c r="J93" s="1"/>
      <c r="K93" s="1"/>
      <c r="L93" s="1"/>
      <c r="M93" s="1"/>
      <c r="N93" s="1"/>
      <c r="O93" s="1"/>
      <c r="P93" s="1"/>
      <c r="Q93" s="1"/>
      <c r="R93" s="1"/>
      <c r="S93" s="1"/>
      <c r="T93" s="1"/>
      <c r="U93" s="1"/>
      <c r="V93" s="1"/>
      <c r="W93" s="1"/>
      <c r="X93" s="1"/>
      <c r="Y93" s="1"/>
      <c r="Z93" s="1"/>
      <c r="AA93" s="1"/>
      <c r="AB93" s="1"/>
    </row>
    <row r="94" ht="50.25" customHeight="1">
      <c r="A94" s="12">
        <v>90.0</v>
      </c>
      <c r="B94" s="13" t="s">
        <v>6</v>
      </c>
      <c r="C94" s="14" t="s">
        <v>96</v>
      </c>
      <c r="D94" s="1"/>
      <c r="E94" s="15"/>
      <c r="F94" s="1" t="str">
        <f>IFERROR(__xludf.DUMMYFUNCTION("GOOGLETRANSLATE(B94, ""en"", ""fa"")
"),"بازاریابی رسانه های اجتماعی")</f>
        <v>بازاریابی رسانه های اجتماعی</v>
      </c>
      <c r="G94" s="1" t="str">
        <f>IFERROR(__xludf.DUMMYFUNCTION("GOOGLETRANSLATE(C94, ""en"", ""fa"")
"),"به عنوان یک مدیر رسانه های اجتماعی، یک چت جذاب توییتر برای یک برنامه سلامت و تندرستی ایجاد کنید و در مورد موضوعاتی مانند تناسب اندام، تغذیه و رفاه ذهنی بحث کنید.")</f>
        <v>به عنوان یک مدیر رسانه های اجتماعی، یک چت جذاب توییتر برای یک برنامه سلامت و تندرستی ایجاد کنید و در مورد موضوعاتی مانند تناسب اندام، تغذیه و رفاه ذهنی بحث کنید.</v>
      </c>
      <c r="H94" s="1"/>
      <c r="I94" s="1"/>
      <c r="J94" s="1"/>
      <c r="K94" s="1"/>
      <c r="L94" s="1"/>
      <c r="M94" s="1"/>
      <c r="N94" s="1"/>
      <c r="O94" s="1"/>
      <c r="P94" s="1"/>
      <c r="Q94" s="1"/>
      <c r="R94" s="1"/>
      <c r="S94" s="1"/>
      <c r="T94" s="1"/>
      <c r="U94" s="1"/>
      <c r="V94" s="1"/>
      <c r="W94" s="1"/>
      <c r="X94" s="1"/>
      <c r="Y94" s="1"/>
      <c r="Z94" s="1"/>
      <c r="AA94" s="1"/>
      <c r="AB94" s="1"/>
    </row>
    <row r="95" ht="50.25" customHeight="1">
      <c r="A95" s="12">
        <v>91.0</v>
      </c>
      <c r="B95" s="13" t="s">
        <v>6</v>
      </c>
      <c r="C95" s="14" t="s">
        <v>97</v>
      </c>
      <c r="D95" s="1"/>
      <c r="E95" s="15"/>
      <c r="F95" s="1" t="str">
        <f>IFERROR(__xludf.DUMMYFUNCTION("GOOGLETRANSLATE(B95, ""en"", ""fa"")
"),"بازاریابی رسانه های اجتماعی")</f>
        <v>بازاریابی رسانه های اجتماعی</v>
      </c>
      <c r="G95" s="1" t="str">
        <f>IFERROR(__xludf.DUMMYFUNCTION("GOOGLETRANSLATE(C95, ""en"", ""fa"")
"),"شما در حال مدیریت یک کانال YouTube برای یک وبلاگ نویس مسافرتی هستید. عنوان و توضیحات ویدیویی جذابی را برای یک وبلاگ که مقاصد دور از دسترس را کاوش می کند بسازید.")</f>
        <v>شما در حال مدیریت یک کانال YouTube برای یک وبلاگ نویس مسافرتی هستید. عنوان و توضیحات ویدیویی جذابی را برای یک وبلاگ که مقاصد دور از دسترس را کاوش می کند بسازید.</v>
      </c>
      <c r="H95" s="1"/>
      <c r="I95" s="1"/>
      <c r="J95" s="1"/>
      <c r="K95" s="1"/>
      <c r="L95" s="1"/>
      <c r="M95" s="1"/>
      <c r="N95" s="1"/>
      <c r="O95" s="1"/>
      <c r="P95" s="1"/>
      <c r="Q95" s="1"/>
      <c r="R95" s="1"/>
      <c r="S95" s="1"/>
      <c r="T95" s="1"/>
      <c r="U95" s="1"/>
      <c r="V95" s="1"/>
      <c r="W95" s="1"/>
      <c r="X95" s="1"/>
      <c r="Y95" s="1"/>
      <c r="Z95" s="1"/>
      <c r="AA95" s="1"/>
      <c r="AB95" s="1"/>
    </row>
    <row r="96" ht="50.25" customHeight="1">
      <c r="A96" s="12">
        <v>92.0</v>
      </c>
      <c r="B96" s="13" t="s">
        <v>6</v>
      </c>
      <c r="C96" s="14" t="s">
        <v>98</v>
      </c>
      <c r="D96" s="1"/>
      <c r="E96" s="15"/>
      <c r="F96" s="1" t="str">
        <f>IFERROR(__xludf.DUMMYFUNCTION("GOOGLETRANSLATE(B96, ""en"", ""fa"")
"),"بازاریابی رسانه های اجتماعی")</f>
        <v>بازاریابی رسانه های اجتماعی</v>
      </c>
      <c r="G96" s="1" t="str">
        <f>IFERROR(__xludf.DUMMYFUNCTION("GOOGLETRANSLATE(C96, ""en"", ""fa"")
"),"شما در حال ایجاد یک استراتژی رسانه اجتماعی برای یک سازمان غیرانتفاعی هستید که بر رفاه حیوانات متمرکز است. یک شرح رویداد متقاعدکننده فیس بوک لایو بنویسید که آگاهی را در مورد یک ابتکار خاص برای نجات حیوانات افزایش دهد.")</f>
        <v>شما در حال ایجاد یک استراتژی رسانه اجتماعی برای یک سازمان غیرانتفاعی هستید که بر رفاه حیوانات متمرکز است. یک شرح رویداد متقاعدکننده فیس بوک لایو بنویسید که آگاهی را در مورد یک ابتکار خاص برای نجات حیوانات افزایش دهد.</v>
      </c>
      <c r="H96" s="1"/>
      <c r="I96" s="1"/>
      <c r="J96" s="1"/>
      <c r="K96" s="1"/>
      <c r="L96" s="1"/>
      <c r="M96" s="1"/>
      <c r="N96" s="1"/>
      <c r="O96" s="1"/>
      <c r="P96" s="1"/>
      <c r="Q96" s="1"/>
      <c r="R96" s="1"/>
      <c r="S96" s="1"/>
      <c r="T96" s="1"/>
      <c r="U96" s="1"/>
      <c r="V96" s="1"/>
      <c r="W96" s="1"/>
      <c r="X96" s="1"/>
      <c r="Y96" s="1"/>
      <c r="Z96" s="1"/>
      <c r="AA96" s="1"/>
      <c r="AB96" s="1"/>
    </row>
    <row r="97" ht="50.25" customHeight="1">
      <c r="A97" s="12">
        <v>93.0</v>
      </c>
      <c r="B97" s="13" t="s">
        <v>6</v>
      </c>
      <c r="C97" s="14" t="s">
        <v>99</v>
      </c>
      <c r="D97" s="1"/>
      <c r="E97" s="15"/>
      <c r="F97" s="1" t="str">
        <f>IFERROR(__xludf.DUMMYFUNCTION("GOOGLETRANSLATE(B97, ""en"", ""fa"")
"),"بازاریابی رسانه های اجتماعی")</f>
        <v>بازاریابی رسانه های اجتماعی</v>
      </c>
      <c r="G97" s="1" t="str">
        <f>IFERROR(__xludf.DUMMYFUNCTION("GOOGLETRANSLATE(C97, ""en"", ""fa"")
"),"به‌عنوان مدیر رسانه‌های اجتماعی، یک پست وبلاگی جذاب برای یک برند مد بنویسید و در مورد آخرین روند مد بحث کنید و نکاتی در مورد استایل ارائه دهید.")</f>
        <v>به‌عنوان مدیر رسانه‌های اجتماعی، یک پست وبلاگی جذاب برای یک برند مد بنویسید و در مورد آخرین روند مد بحث کنید و نکاتی در مورد استایل ارائه دهید.</v>
      </c>
      <c r="H97" s="1"/>
      <c r="I97" s="1"/>
      <c r="J97" s="1"/>
      <c r="K97" s="1"/>
      <c r="L97" s="1"/>
      <c r="M97" s="1"/>
      <c r="N97" s="1"/>
      <c r="O97" s="1"/>
      <c r="P97" s="1"/>
      <c r="Q97" s="1"/>
      <c r="R97" s="1"/>
      <c r="S97" s="1"/>
      <c r="T97" s="1"/>
      <c r="U97" s="1"/>
      <c r="V97" s="1"/>
      <c r="W97" s="1"/>
      <c r="X97" s="1"/>
      <c r="Y97" s="1"/>
      <c r="Z97" s="1"/>
      <c r="AA97" s="1"/>
      <c r="AB97" s="1"/>
    </row>
    <row r="98" ht="50.25" customHeight="1">
      <c r="A98" s="12">
        <v>94.0</v>
      </c>
      <c r="B98" s="13" t="s">
        <v>6</v>
      </c>
      <c r="C98" s="14" t="s">
        <v>100</v>
      </c>
      <c r="D98" s="1"/>
      <c r="E98" s="15"/>
      <c r="F98" s="1" t="str">
        <f>IFERROR(__xludf.DUMMYFUNCTION("GOOGLETRANSLATE(B98, ""en"", ""fa"")
"),"بازاریابی رسانه های اجتماعی")</f>
        <v>بازاریابی رسانه های اجتماعی</v>
      </c>
      <c r="G98" s="1" t="str">
        <f>IFERROR(__xludf.DUMMYFUNCTION("GOOGLETRANSLATE(C98, ""en"", ""fa"")
"),"شما در حال مدیریت اکانت اینستاگرام اینفلوئنسر هستید که بر سازمان خانه متمرکز است. یک توضیح آموزنده و جذاب برای عکسی بنویسید که فضای زندگی بدون درهم و برهمی را به نمایش بگذارد.")</f>
        <v>شما در حال مدیریت اکانت اینستاگرام اینفلوئنسر هستید که بر سازمان خانه متمرکز است. یک توضیح آموزنده و جذاب برای عکسی بنویسید که فضای زندگی بدون درهم و برهمی را به نمایش بگذارد.</v>
      </c>
      <c r="H98" s="1"/>
      <c r="I98" s="1"/>
      <c r="J98" s="1"/>
      <c r="K98" s="1"/>
      <c r="L98" s="1"/>
      <c r="M98" s="1"/>
      <c r="N98" s="1"/>
      <c r="O98" s="1"/>
      <c r="P98" s="1"/>
      <c r="Q98" s="1"/>
      <c r="R98" s="1"/>
      <c r="S98" s="1"/>
      <c r="T98" s="1"/>
      <c r="U98" s="1"/>
      <c r="V98" s="1"/>
      <c r="W98" s="1"/>
      <c r="X98" s="1"/>
      <c r="Y98" s="1"/>
      <c r="Z98" s="1"/>
      <c r="AA98" s="1"/>
      <c r="AB98" s="1"/>
    </row>
    <row r="99" ht="50.25" customHeight="1">
      <c r="A99" s="12">
        <v>95.0</v>
      </c>
      <c r="B99" s="13" t="s">
        <v>6</v>
      </c>
      <c r="C99" s="14" t="s">
        <v>101</v>
      </c>
      <c r="D99" s="1"/>
      <c r="E99" s="15"/>
      <c r="F99" s="1" t="str">
        <f>IFERROR(__xludf.DUMMYFUNCTION("GOOGLETRANSLATE(B99, ""en"", ""fa"")
"),"بازاریابی رسانه های اجتماعی")</f>
        <v>بازاریابی رسانه های اجتماعی</v>
      </c>
      <c r="G99" s="1" t="str">
        <f>IFERROR(__xludf.DUMMYFUNCTION("GOOGLETRANSLATE(C99, ""en"", ""fa"")
"),"شما در حال برگزاری یک مسابقه رسانه های اجتماعی برای یک برند لوازم جانبی فنی هستید. پستی در اینستاگرام بنویسید که فالوورها را تشویق کند تا نوآورانه‌ترین راه‌اندازی‌های فناوری خود را با شانس بردن جایزه به اشتراک بگذارند.")</f>
        <v>شما در حال برگزاری یک مسابقه رسانه های اجتماعی برای یک برند لوازم جانبی فنی هستید. پستی در اینستاگرام بنویسید که فالوورها را تشویق کند تا نوآورانه‌ترین راه‌اندازی‌های فناوری خود را با شانس بردن جایزه به اشتراک بگذارند.</v>
      </c>
      <c r="H99" s="1"/>
      <c r="I99" s="1"/>
      <c r="J99" s="1"/>
      <c r="K99" s="1"/>
      <c r="L99" s="1"/>
      <c r="M99" s="1"/>
      <c r="N99" s="1"/>
      <c r="O99" s="1"/>
      <c r="P99" s="1"/>
      <c r="Q99" s="1"/>
      <c r="R99" s="1"/>
      <c r="S99" s="1"/>
      <c r="T99" s="1"/>
      <c r="U99" s="1"/>
      <c r="V99" s="1"/>
      <c r="W99" s="1"/>
      <c r="X99" s="1"/>
      <c r="Y99" s="1"/>
      <c r="Z99" s="1"/>
      <c r="AA99" s="1"/>
      <c r="AB99" s="1"/>
    </row>
    <row r="100" ht="50.25" customHeight="1">
      <c r="A100" s="12">
        <v>96.0</v>
      </c>
      <c r="B100" s="13" t="s">
        <v>6</v>
      </c>
      <c r="C100" s="14" t="s">
        <v>102</v>
      </c>
      <c r="D100" s="1"/>
      <c r="E100" s="15"/>
      <c r="F100" s="1" t="str">
        <f>IFERROR(__xludf.DUMMYFUNCTION("GOOGLETRANSLATE(B100, ""en"", ""fa"")
"),"بازاریابی رسانه های اجتماعی")</f>
        <v>بازاریابی رسانه های اجتماعی</v>
      </c>
      <c r="G100" s="1" t="str">
        <f>IFERROR(__xludf.DUMMYFUNCTION("GOOGLETRANSLATE(C100, ""en"", ""fa"")
"),"به‌عنوان مدیر رسانه‌های اجتماعی، مجموعه‌ای از پست‌های لینکدین را برای یک مربی رهبری ایجاد کنید و بینش‌های ارزشمندی را درباره رهبری مؤثر و توسعه حرفه‌ای به اشتراک بگذارید.")</f>
        <v>به‌عنوان مدیر رسانه‌های اجتماعی، مجموعه‌ای از پست‌های لینکدین را برای یک مربی رهبری ایجاد کنید و بینش‌های ارزشمندی را درباره رهبری مؤثر و توسعه حرفه‌ای به اشتراک بگذارید.</v>
      </c>
      <c r="H100" s="1"/>
      <c r="I100" s="1"/>
      <c r="J100" s="1"/>
      <c r="K100" s="1"/>
      <c r="L100" s="1"/>
      <c r="M100" s="1"/>
      <c r="N100" s="1"/>
      <c r="O100" s="1"/>
      <c r="P100" s="1"/>
      <c r="Q100" s="1"/>
      <c r="R100" s="1"/>
      <c r="S100" s="1"/>
      <c r="T100" s="1"/>
      <c r="U100" s="1"/>
      <c r="V100" s="1"/>
      <c r="W100" s="1"/>
      <c r="X100" s="1"/>
      <c r="Y100" s="1"/>
      <c r="Z100" s="1"/>
      <c r="AA100" s="1"/>
      <c r="AB100" s="1"/>
    </row>
    <row r="101" ht="50.25" customHeight="1">
      <c r="A101" s="12">
        <v>97.0</v>
      </c>
      <c r="B101" s="13" t="s">
        <v>6</v>
      </c>
      <c r="C101" s="14" t="s">
        <v>103</v>
      </c>
      <c r="D101" s="1"/>
      <c r="E101" s="15"/>
      <c r="F101" s="1" t="str">
        <f>IFERROR(__xludf.DUMMYFUNCTION("GOOGLETRANSLATE(B101, ""en"", ""fa"")
"),"بازاریابی رسانه های اجتماعی")</f>
        <v>بازاریابی رسانه های اجتماعی</v>
      </c>
      <c r="G101" s="1" t="str">
        <f>IFERROR(__xludf.DUMMYFUNCTION("GOOGLETRANSLATE(C101, ""en"", ""fa"")
"),"شما در حال مدیریت یک حساب کاربری Pinterest برای یک تأثیرگذار زیبایی هستید. یک سنجاق بصری خیره کننده ایجاد کنید که دارای آموزش آرایش، از جمله دستورالعمل های گام به گام و توصیه های محصول است.")</f>
        <v>شما در حال مدیریت یک حساب کاربری Pinterest برای یک تأثیرگذار زیبایی هستید. یک سنجاق بصری خیره کننده ایجاد کنید که دارای آموزش آرایش، از جمله دستورالعمل های گام به گام و توصیه های محصول است.</v>
      </c>
      <c r="H101" s="1"/>
      <c r="I101" s="1"/>
      <c r="J101" s="1"/>
      <c r="K101" s="1"/>
      <c r="L101" s="1"/>
      <c r="M101" s="1"/>
      <c r="N101" s="1"/>
      <c r="O101" s="1"/>
      <c r="P101" s="1"/>
      <c r="Q101" s="1"/>
      <c r="R101" s="1"/>
      <c r="S101" s="1"/>
      <c r="T101" s="1"/>
      <c r="U101" s="1"/>
      <c r="V101" s="1"/>
      <c r="W101" s="1"/>
      <c r="X101" s="1"/>
      <c r="Y101" s="1"/>
      <c r="Z101" s="1"/>
      <c r="AA101" s="1"/>
      <c r="AB101" s="1"/>
    </row>
    <row r="102" ht="50.25" customHeight="1">
      <c r="A102" s="12">
        <v>98.0</v>
      </c>
      <c r="B102" s="13" t="s">
        <v>6</v>
      </c>
      <c r="C102" s="14" t="s">
        <v>104</v>
      </c>
      <c r="D102" s="1"/>
      <c r="E102" s="15"/>
      <c r="F102" s="1" t="str">
        <f>IFERROR(__xludf.DUMMYFUNCTION("GOOGLETRANSLATE(B102, ""en"", ""fa"")
"),"بازاریابی رسانه های اجتماعی")</f>
        <v>بازاریابی رسانه های اجتماعی</v>
      </c>
      <c r="G102" s="1" t="str">
        <f>IFERROR(__xludf.DUMMYFUNCTION("GOOGLETRANSLATE(C102, ""en"", ""fa"")
"),"شما در حال ایجاد یک استراتژی رسانه اجتماعی برای یک رستوران هستید. مجموعه‌ای از کپشن‌های جذاب اینستاگرامی بنویسید که عکس‌های غذای خوشمزه را همراهی می‌کند و طعم‌های منحصربه‌فرد و تخصص آشپزی را برجسته می‌کند.")</f>
        <v>شما در حال ایجاد یک استراتژی رسانه اجتماعی برای یک رستوران هستید. مجموعه‌ای از کپشن‌های جذاب اینستاگرامی بنویسید که عکس‌های غذای خوشمزه را همراهی می‌کند و طعم‌های منحصربه‌فرد و تخصص آشپزی را برجسته می‌کند.</v>
      </c>
      <c r="H102" s="1"/>
      <c r="I102" s="1"/>
      <c r="J102" s="1"/>
      <c r="K102" s="1"/>
      <c r="L102" s="1"/>
      <c r="M102" s="1"/>
      <c r="N102" s="1"/>
      <c r="O102" s="1"/>
      <c r="P102" s="1"/>
      <c r="Q102" s="1"/>
      <c r="R102" s="1"/>
      <c r="S102" s="1"/>
      <c r="T102" s="1"/>
      <c r="U102" s="1"/>
      <c r="V102" s="1"/>
      <c r="W102" s="1"/>
      <c r="X102" s="1"/>
      <c r="Y102" s="1"/>
      <c r="Z102" s="1"/>
      <c r="AA102" s="1"/>
      <c r="AB102" s="1"/>
    </row>
    <row r="103" ht="50.25" customHeight="1">
      <c r="A103" s="12">
        <v>99.0</v>
      </c>
      <c r="B103" s="13" t="s">
        <v>6</v>
      </c>
      <c r="C103" s="14" t="s">
        <v>105</v>
      </c>
      <c r="D103" s="1"/>
      <c r="E103" s="15"/>
      <c r="F103" s="1" t="str">
        <f>IFERROR(__xludf.DUMMYFUNCTION("GOOGLETRANSLATE(B103, ""en"", ""fa"")
"),"بازاریابی رسانه های اجتماعی")</f>
        <v>بازاریابی رسانه های اجتماعی</v>
      </c>
      <c r="G103" s="1" t="str">
        <f>IFERROR(__xludf.DUMMYFUNCTION("GOOGLETRANSLATE(C103, ""en"", ""fa"")
"),"به عنوان یک مدیر رسانه های اجتماعی، یک پست متقاعد کننده در لینکدین برای یک شرکت نرم افزاری بنویسید و در مورد مزایای آخرین محصول آنها و چگونگی حل چالش های رایج تجاری بحث کنید.")</f>
        <v>به عنوان یک مدیر رسانه های اجتماعی، یک پست متقاعد کننده در لینکدین برای یک شرکت نرم افزاری بنویسید و در مورد مزایای آخرین محصول آنها و چگونگی حل چالش های رایج تجاری بحث کنید.</v>
      </c>
      <c r="H103" s="1"/>
      <c r="I103" s="1"/>
      <c r="J103" s="1"/>
      <c r="K103" s="1"/>
      <c r="L103" s="1"/>
      <c r="M103" s="1"/>
      <c r="N103" s="1"/>
      <c r="O103" s="1"/>
      <c r="P103" s="1"/>
      <c r="Q103" s="1"/>
      <c r="R103" s="1"/>
      <c r="S103" s="1"/>
      <c r="T103" s="1"/>
      <c r="U103" s="1"/>
      <c r="V103" s="1"/>
      <c r="W103" s="1"/>
      <c r="X103" s="1"/>
      <c r="Y103" s="1"/>
      <c r="Z103" s="1"/>
      <c r="AA103" s="1"/>
      <c r="AB103" s="1"/>
    </row>
    <row r="104" ht="50.25" customHeight="1">
      <c r="A104" s="12">
        <v>100.0</v>
      </c>
      <c r="B104" s="13" t="s">
        <v>6</v>
      </c>
      <c r="C104" s="14" t="s">
        <v>106</v>
      </c>
      <c r="D104" s="1"/>
      <c r="E104" s="15"/>
      <c r="F104" s="1" t="str">
        <f>IFERROR(__xludf.DUMMYFUNCTION("GOOGLETRANSLATE(B104, ""en"", ""fa"")
"),"بازاریابی رسانه های اجتماعی")</f>
        <v>بازاریابی رسانه های اجتماعی</v>
      </c>
      <c r="G104" s="1" t="str">
        <f>IFERROR(__xludf.DUMMYFUNCTION("GOOGLETRANSLATE(C104, ""en"", ""fa"")
"),"شما در حال مدیریت یک صفحه فیس بوک برای یک استراحتگاه سلامتی هستید. پستی بنویسید که فالوورها را به پیوستن به یک جلسه مدیتیشن مجازی دعوت کند تا آرامش و تمرکز حواس را ترویج کند.")</f>
        <v>شما در حال مدیریت یک صفحه فیس بوک برای یک استراحتگاه سلامتی هستید. پستی بنویسید که فالوورها را به پیوستن به یک جلسه مدیتیشن مجازی دعوت کند تا آرامش و تمرکز حواس را ترویج کند.</v>
      </c>
      <c r="H104" s="1"/>
      <c r="I104" s="1"/>
      <c r="J104" s="1"/>
      <c r="K104" s="1"/>
      <c r="L104" s="1"/>
      <c r="M104" s="1"/>
      <c r="N104" s="1"/>
      <c r="O104" s="1"/>
      <c r="P104" s="1"/>
      <c r="Q104" s="1"/>
      <c r="R104" s="1"/>
      <c r="S104" s="1"/>
      <c r="T104" s="1"/>
      <c r="U104" s="1"/>
      <c r="V104" s="1"/>
      <c r="W104" s="1"/>
      <c r="X104" s="1"/>
      <c r="Y104" s="1"/>
      <c r="Z104" s="1"/>
      <c r="AA104" s="1"/>
      <c r="AB104" s="1"/>
    </row>
    <row r="105" ht="50.25" customHeight="1">
      <c r="A105" s="12">
        <v>101.0</v>
      </c>
      <c r="B105" s="13" t="s">
        <v>6</v>
      </c>
      <c r="C105" s="14" t="s">
        <v>107</v>
      </c>
      <c r="D105" s="1"/>
      <c r="E105" s="15"/>
      <c r="F105" s="1" t="str">
        <f>IFERROR(__xludf.DUMMYFUNCTION("GOOGLETRANSLATE(B105, ""en"", ""fa"")
"),"بازاریابی رسانه های اجتماعی")</f>
        <v>بازاریابی رسانه های اجتماعی</v>
      </c>
      <c r="G105" s="1" t="str">
        <f>IFERROR(__xludf.DUMMYFUNCTION("GOOGLETRANSLATE(C105, ""en"", ""fa"")
"),"شما در حال اجرای یک حساب کاربری اینستاگرام برای یک برند قهوه هستید. برای عکسی که هنر طراحی فوم لاته را به نمایش می گذارد، توضیحی جذاب بنویسید.")</f>
        <v>شما در حال اجرای یک حساب کاربری اینستاگرام برای یک برند قهوه هستید. برای عکسی که هنر طراحی فوم لاته را به نمایش می گذارد، توضیحی جذاب بنویسید.</v>
      </c>
      <c r="H105" s="1"/>
      <c r="I105" s="1"/>
      <c r="J105" s="1"/>
      <c r="K105" s="1"/>
      <c r="L105" s="1"/>
      <c r="M105" s="1"/>
      <c r="N105" s="1"/>
      <c r="O105" s="1"/>
      <c r="P105" s="1"/>
      <c r="Q105" s="1"/>
      <c r="R105" s="1"/>
      <c r="S105" s="1"/>
      <c r="T105" s="1"/>
      <c r="U105" s="1"/>
      <c r="V105" s="1"/>
      <c r="W105" s="1"/>
      <c r="X105" s="1"/>
      <c r="Y105" s="1"/>
      <c r="Z105" s="1"/>
      <c r="AA105" s="1"/>
      <c r="AB105" s="1"/>
    </row>
    <row r="106" ht="50.25" customHeight="1">
      <c r="A106" s="12">
        <v>102.0</v>
      </c>
      <c r="B106" s="13" t="s">
        <v>6</v>
      </c>
      <c r="C106" s="14" t="s">
        <v>108</v>
      </c>
      <c r="D106" s="1"/>
      <c r="E106" s="15"/>
      <c r="F106" s="1" t="str">
        <f>IFERROR(__xludf.DUMMYFUNCTION("GOOGLETRANSLATE(B106, ""en"", ""fa"")
"),"بازاریابی رسانه های اجتماعی")</f>
        <v>بازاریابی رسانه های اجتماعی</v>
      </c>
      <c r="G106" s="1" t="str">
        <f>IFERROR(__xludf.DUMMYFUNCTION("GOOGLETRANSLATE(C106, ""en"", ""fa"")
"),"به عنوان یک مدیر رسانه های اجتماعی، یک رشته توییتر آموزنده برای یک مربی سلامت و تناسب اندام ایجاد کنید و نکات عملی را برای حفظ یک سبک زندگی متعادل ارائه دهید.")</f>
        <v>به عنوان یک مدیر رسانه های اجتماعی، یک رشته توییتر آموزنده برای یک مربی سلامت و تناسب اندام ایجاد کنید و نکات عملی را برای حفظ یک سبک زندگی متعادل ارائه دهید.</v>
      </c>
      <c r="H106" s="1"/>
      <c r="I106" s="1"/>
      <c r="J106" s="1"/>
      <c r="K106" s="1"/>
      <c r="L106" s="1"/>
      <c r="M106" s="1"/>
      <c r="N106" s="1"/>
      <c r="O106" s="1"/>
      <c r="P106" s="1"/>
      <c r="Q106" s="1"/>
      <c r="R106" s="1"/>
      <c r="S106" s="1"/>
      <c r="T106" s="1"/>
      <c r="U106" s="1"/>
      <c r="V106" s="1"/>
      <c r="W106" s="1"/>
      <c r="X106" s="1"/>
      <c r="Y106" s="1"/>
      <c r="Z106" s="1"/>
      <c r="AA106" s="1"/>
      <c r="AB106" s="1"/>
    </row>
    <row r="107" ht="50.25" customHeight="1">
      <c r="A107" s="12">
        <v>103.0</v>
      </c>
      <c r="B107" s="13" t="s">
        <v>6</v>
      </c>
      <c r="C107" s="14" t="s">
        <v>109</v>
      </c>
      <c r="D107" s="1"/>
      <c r="E107" s="15"/>
      <c r="F107" s="1" t="str">
        <f>IFERROR(__xludf.DUMMYFUNCTION("GOOGLETRANSLATE(B107, ""en"", ""fa"")
"),"بازاریابی رسانه های اجتماعی")</f>
        <v>بازاریابی رسانه های اجتماعی</v>
      </c>
      <c r="G107" s="1" t="str">
        <f>IFERROR(__xludf.DUMMYFUNCTION("GOOGLETRANSLATE(C107, ""en"", ""fa"")
"),"شما در حال مدیریت یک نمایه لینکدین برای یک طراح گرافیک آزاد هستید. مقاله ای در لینکدین بنویسید که بینش هایی در مورد اهمیت برندسازی بصری برای مشاغل به اشتراک می گذارد.")</f>
        <v>شما در حال مدیریت یک نمایه لینکدین برای یک طراح گرافیک آزاد هستید. مقاله ای در لینکدین بنویسید که بینش هایی در مورد اهمیت برندسازی بصری برای مشاغل به اشتراک می گذارد.</v>
      </c>
      <c r="H107" s="1"/>
      <c r="I107" s="1"/>
      <c r="J107" s="1"/>
      <c r="K107" s="1"/>
      <c r="L107" s="1"/>
      <c r="M107" s="1"/>
      <c r="N107" s="1"/>
      <c r="O107" s="1"/>
      <c r="P107" s="1"/>
      <c r="Q107" s="1"/>
      <c r="R107" s="1"/>
      <c r="S107" s="1"/>
      <c r="T107" s="1"/>
      <c r="U107" s="1"/>
      <c r="V107" s="1"/>
      <c r="W107" s="1"/>
      <c r="X107" s="1"/>
      <c r="Y107" s="1"/>
      <c r="Z107" s="1"/>
      <c r="AA107" s="1"/>
      <c r="AB107" s="1"/>
    </row>
    <row r="108" ht="50.25" customHeight="1">
      <c r="A108" s="12">
        <v>104.0</v>
      </c>
      <c r="B108" s="13" t="s">
        <v>6</v>
      </c>
      <c r="C108" s="14" t="s">
        <v>110</v>
      </c>
      <c r="D108" s="1"/>
      <c r="E108" s="15"/>
      <c r="F108" s="1" t="str">
        <f>IFERROR(__xludf.DUMMYFUNCTION("GOOGLETRANSLATE(B108, ""en"", ""fa"")
"),"بازاریابی رسانه های اجتماعی")</f>
        <v>بازاریابی رسانه های اجتماعی</v>
      </c>
      <c r="G108" s="1" t="str">
        <f>IFERROR(__xludf.DUMMYFUNCTION("GOOGLETRANSLATE(C108, ""en"", ""fa"")
"),"شما در حال ایجاد یک استراتژی رسانه اجتماعی برای یک سازمان غیرانتفاعی با تمرکز بر سلامت روان هستید. یک پست فیس بوک متقاعد کننده بنویسید که دنبال کنندگان را تشویق به اهدا و حمایت از ماموریت خود کند.")</f>
        <v>شما در حال ایجاد یک استراتژی رسانه اجتماعی برای یک سازمان غیرانتفاعی با تمرکز بر سلامت روان هستید. یک پست فیس بوک متقاعد کننده بنویسید که دنبال کنندگان را تشویق به اهدا و حمایت از ماموریت خود کند.</v>
      </c>
      <c r="H108" s="1"/>
      <c r="I108" s="1"/>
      <c r="J108" s="1"/>
      <c r="K108" s="1"/>
      <c r="L108" s="1"/>
      <c r="M108" s="1"/>
      <c r="N108" s="1"/>
      <c r="O108" s="1"/>
      <c r="P108" s="1"/>
      <c r="Q108" s="1"/>
      <c r="R108" s="1"/>
      <c r="S108" s="1"/>
      <c r="T108" s="1"/>
      <c r="U108" s="1"/>
      <c r="V108" s="1"/>
      <c r="W108" s="1"/>
      <c r="X108" s="1"/>
      <c r="Y108" s="1"/>
      <c r="Z108" s="1"/>
      <c r="AA108" s="1"/>
      <c r="AB108" s="1"/>
    </row>
    <row r="109" ht="50.25" customHeight="1">
      <c r="A109" s="12">
        <v>105.0</v>
      </c>
      <c r="B109" s="13" t="s">
        <v>6</v>
      </c>
      <c r="C109" s="14" t="s">
        <v>111</v>
      </c>
      <c r="D109" s="1"/>
      <c r="E109" s="15"/>
      <c r="F109" s="1" t="str">
        <f>IFERROR(__xludf.DUMMYFUNCTION("GOOGLETRANSLATE(B109, ""en"", ""fa"")
"),"بازاریابی رسانه های اجتماعی")</f>
        <v>بازاریابی رسانه های اجتماعی</v>
      </c>
      <c r="G109" s="1" t="str">
        <f>IFERROR(__xludf.DUMMYFUNCTION("GOOGLETRANSLATE(C109, ""en"", ""fa"")
"),"به عنوان یک مدیر رسانه های اجتماعی، یک پست وبلاگ جذاب برای یک پلتفرم پخش موسیقی بنویسید و در مورد تأثیر موسیقی بر رفاه ذهنی و بهره وری بحث کنید.")</f>
        <v>به عنوان یک مدیر رسانه های اجتماعی، یک پست وبلاگ جذاب برای یک پلتفرم پخش موسیقی بنویسید و در مورد تأثیر موسیقی بر رفاه ذهنی و بهره وری بحث کنید.</v>
      </c>
      <c r="H109" s="1"/>
      <c r="I109" s="1"/>
      <c r="J109" s="1"/>
      <c r="K109" s="1"/>
      <c r="L109" s="1"/>
      <c r="M109" s="1"/>
      <c r="N109" s="1"/>
      <c r="O109" s="1"/>
      <c r="P109" s="1"/>
      <c r="Q109" s="1"/>
      <c r="R109" s="1"/>
      <c r="S109" s="1"/>
      <c r="T109" s="1"/>
      <c r="U109" s="1"/>
      <c r="V109" s="1"/>
      <c r="W109" s="1"/>
      <c r="X109" s="1"/>
      <c r="Y109" s="1"/>
      <c r="Z109" s="1"/>
      <c r="AA109" s="1"/>
      <c r="AB109" s="1"/>
    </row>
    <row r="110" ht="50.25" customHeight="1">
      <c r="A110" s="12">
        <v>106.0</v>
      </c>
      <c r="B110" s="13" t="s">
        <v>6</v>
      </c>
      <c r="C110" s="14" t="s">
        <v>112</v>
      </c>
      <c r="D110" s="1"/>
      <c r="E110" s="15"/>
      <c r="F110" s="1" t="str">
        <f>IFERROR(__xludf.DUMMYFUNCTION("GOOGLETRANSLATE(B110, ""en"", ""fa"")
"),"بازاریابی رسانه های اجتماعی")</f>
        <v>بازاریابی رسانه های اجتماعی</v>
      </c>
      <c r="G110" s="1" t="str">
        <f>IFERROR(__xludf.DUMMYFUNCTION("GOOGLETRANSLATE(C110, ""en"", ""fa"")
"),"شما در حال مدیریت کانال یوتیوب اینفلوئنسرهایی هستید که بر روی کالاهای مد متمرکز است. یک تصویر کوچک ویدیویی و عنوان جذاب برای ویدیویی که آخرین روندهای مد را به نمایش می گذارد بسازید.")</f>
        <v>شما در حال مدیریت کانال یوتیوب اینفلوئنسرهایی هستید که بر روی کالاهای مد متمرکز است. یک تصویر کوچک ویدیویی و عنوان جذاب برای ویدیویی که آخرین روندهای مد را به نمایش می گذارد بسازید.</v>
      </c>
      <c r="H110" s="1"/>
      <c r="I110" s="1"/>
      <c r="J110" s="1"/>
      <c r="K110" s="1"/>
      <c r="L110" s="1"/>
      <c r="M110" s="1"/>
      <c r="N110" s="1"/>
      <c r="O110" s="1"/>
      <c r="P110" s="1"/>
      <c r="Q110" s="1"/>
      <c r="R110" s="1"/>
      <c r="S110" s="1"/>
      <c r="T110" s="1"/>
      <c r="U110" s="1"/>
      <c r="V110" s="1"/>
      <c r="W110" s="1"/>
      <c r="X110" s="1"/>
      <c r="Y110" s="1"/>
      <c r="Z110" s="1"/>
      <c r="AA110" s="1"/>
      <c r="AB110" s="1"/>
    </row>
    <row r="111" ht="50.25" customHeight="1">
      <c r="A111" s="12">
        <v>107.0</v>
      </c>
      <c r="B111" s="13" t="s">
        <v>6</v>
      </c>
      <c r="C111" s="14" t="s">
        <v>113</v>
      </c>
      <c r="D111" s="1"/>
      <c r="E111" s="15"/>
      <c r="F111" s="1" t="str">
        <f>IFERROR(__xludf.DUMMYFUNCTION("GOOGLETRANSLATE(B111, ""en"", ""fa"")
"),"بازاریابی رسانه های اجتماعی")</f>
        <v>بازاریابی رسانه های اجتماعی</v>
      </c>
      <c r="G111" s="1" t="str">
        <f>IFERROR(__xludf.DUMMYFUNCTION("GOOGLETRANSLATE(C111, ""en"", ""fa"")
"),"شما در حال اجرای یک کمپین رسانه اجتماعی برای یک برند مد پایدار هستید. کپشن اینستاگرامی بنویسید که تعهد برند به تولید اخلاقی و مواد سازگار با محیط زیست را برجسته کند.")</f>
        <v>شما در حال اجرای یک کمپین رسانه اجتماعی برای یک برند مد پایدار هستید. کپشن اینستاگرامی بنویسید که تعهد برند به تولید اخلاقی و مواد سازگار با محیط زیست را برجسته کند.</v>
      </c>
      <c r="H111" s="1"/>
      <c r="I111" s="1"/>
      <c r="J111" s="1"/>
      <c r="K111" s="1"/>
      <c r="L111" s="1"/>
      <c r="M111" s="1"/>
      <c r="N111" s="1"/>
      <c r="O111" s="1"/>
      <c r="P111" s="1"/>
      <c r="Q111" s="1"/>
      <c r="R111" s="1"/>
      <c r="S111" s="1"/>
      <c r="T111" s="1"/>
      <c r="U111" s="1"/>
      <c r="V111" s="1"/>
      <c r="W111" s="1"/>
      <c r="X111" s="1"/>
      <c r="Y111" s="1"/>
      <c r="Z111" s="1"/>
      <c r="AA111" s="1"/>
      <c r="AB111" s="1"/>
    </row>
    <row r="112" ht="50.25" customHeight="1">
      <c r="A112" s="12">
        <v>108.0</v>
      </c>
      <c r="B112" s="13" t="s">
        <v>6</v>
      </c>
      <c r="C112" s="14" t="s">
        <v>114</v>
      </c>
      <c r="D112" s="1"/>
      <c r="E112" s="15"/>
      <c r="F112" s="1" t="str">
        <f>IFERROR(__xludf.DUMMYFUNCTION("GOOGLETRANSLATE(B112, ""en"", ""fa"")
"),"بازاریابی رسانه های اجتماعی")</f>
        <v>بازاریابی رسانه های اجتماعی</v>
      </c>
      <c r="G112" s="1" t="str">
        <f>IFERROR(__xludf.DUMMYFUNCTION("GOOGLETRANSLATE(C112, ""en"", ""fa"")
"),"به‌عنوان مدیر رسانه‌های اجتماعی، مجموعه‌ای از گرافیک‌های Pinterest را برای مربی سلامتی ایجاد کنید که شامل نقل قول‌های الهام‌بخش و نکات سلامتی است.")</f>
        <v>به‌عنوان مدیر رسانه‌های اجتماعی، مجموعه‌ای از گرافیک‌های Pinterest را برای مربی سلامتی ایجاد کنید که شامل نقل قول‌های الهام‌بخش و نکات سلامتی است.</v>
      </c>
      <c r="H112" s="1"/>
      <c r="I112" s="1"/>
      <c r="J112" s="1"/>
      <c r="K112" s="1"/>
      <c r="L112" s="1"/>
      <c r="M112" s="1"/>
      <c r="N112" s="1"/>
      <c r="O112" s="1"/>
      <c r="P112" s="1"/>
      <c r="Q112" s="1"/>
      <c r="R112" s="1"/>
      <c r="S112" s="1"/>
      <c r="T112" s="1"/>
      <c r="U112" s="1"/>
      <c r="V112" s="1"/>
      <c r="W112" s="1"/>
      <c r="X112" s="1"/>
      <c r="Y112" s="1"/>
      <c r="Z112" s="1"/>
      <c r="AA112" s="1"/>
      <c r="AB112" s="1"/>
    </row>
    <row r="113" ht="50.25" customHeight="1">
      <c r="A113" s="12">
        <v>109.0</v>
      </c>
      <c r="B113" s="13" t="s">
        <v>6</v>
      </c>
      <c r="C113" s="14" t="s">
        <v>115</v>
      </c>
      <c r="D113" s="1"/>
      <c r="E113" s="15"/>
      <c r="F113" s="1" t="str">
        <f>IFERROR(__xludf.DUMMYFUNCTION("GOOGLETRANSLATE(B113, ""en"", ""fa"")
"),"بازاریابی رسانه های اجتماعی")</f>
        <v>بازاریابی رسانه های اجتماعی</v>
      </c>
      <c r="G113" s="1" t="str">
        <f>IFERROR(__xludf.DUMMYFUNCTION("GOOGLETRANSLATE(C113, ""en"", ""fa"")
"),"شما در حال مدیریت یک حساب توییتر برای یک وب سایت خبری فناوری هستید. توییتی بنویسید که آخرین به‌روزرسانی صنعت فناوری را اعلام می‌کند و دنبال‌کنندگان را تشویق می‌کند تا مقاله کامل را بخوانند.")</f>
        <v>شما در حال مدیریت یک حساب توییتر برای یک وب سایت خبری فناوری هستید. توییتی بنویسید که آخرین به‌روزرسانی صنعت فناوری را اعلام می‌کند و دنبال‌کنندگان را تشویق می‌کند تا مقاله کامل را بخوانند.</v>
      </c>
      <c r="H113" s="1"/>
      <c r="I113" s="1"/>
      <c r="J113" s="1"/>
      <c r="K113" s="1"/>
      <c r="L113" s="1"/>
      <c r="M113" s="1"/>
      <c r="N113" s="1"/>
      <c r="O113" s="1"/>
      <c r="P113" s="1"/>
      <c r="Q113" s="1"/>
      <c r="R113" s="1"/>
      <c r="S113" s="1"/>
      <c r="T113" s="1"/>
      <c r="U113" s="1"/>
      <c r="V113" s="1"/>
      <c r="W113" s="1"/>
      <c r="X113" s="1"/>
      <c r="Y113" s="1"/>
      <c r="Z113" s="1"/>
      <c r="AA113" s="1"/>
      <c r="AB113" s="1"/>
    </row>
    <row r="114" ht="50.25" customHeight="1">
      <c r="A114" s="12">
        <v>110.0</v>
      </c>
      <c r="B114" s="13" t="s">
        <v>6</v>
      </c>
      <c r="C114" s="14" t="s">
        <v>116</v>
      </c>
      <c r="D114" s="1"/>
      <c r="E114" s="15"/>
      <c r="F114" s="1" t="str">
        <f>IFERROR(__xludf.DUMMYFUNCTION("GOOGLETRANSLATE(B114, ""en"", ""fa"")
"),"بازاریابی رسانه های اجتماعی")</f>
        <v>بازاریابی رسانه های اجتماعی</v>
      </c>
      <c r="G114" s="1" t="str">
        <f>IFERROR(__xludf.DUMMYFUNCTION("GOOGLETRANSLATE(C114, ""en"", ""fa"")
"),"شما در حال ایجاد یک استراتژی رسانه اجتماعی برای یک سازمان غیرانتفاعی با تمرکز بر آموزش هستید. یک اسکریپت ویدیویی متقاعدکننده در YouTube بنویسید که داستان موفقیت دانش آموزانی که از برنامه های سازمان بهره می برند را به اشتراک بگذارد.")</f>
        <v>شما در حال ایجاد یک استراتژی رسانه اجتماعی برای یک سازمان غیرانتفاعی با تمرکز بر آموزش هستید. یک اسکریپت ویدیویی متقاعدکننده در YouTube بنویسید که داستان موفقیت دانش آموزانی که از برنامه های سازمان بهره می برند را به اشتراک بگذارد.</v>
      </c>
      <c r="H114" s="1"/>
      <c r="I114" s="1"/>
      <c r="J114" s="1"/>
      <c r="K114" s="1"/>
      <c r="L114" s="1"/>
      <c r="M114" s="1"/>
      <c r="N114" s="1"/>
      <c r="O114" s="1"/>
      <c r="P114" s="1"/>
      <c r="Q114" s="1"/>
      <c r="R114" s="1"/>
      <c r="S114" s="1"/>
      <c r="T114" s="1"/>
      <c r="U114" s="1"/>
      <c r="V114" s="1"/>
      <c r="W114" s="1"/>
      <c r="X114" s="1"/>
      <c r="Y114" s="1"/>
      <c r="Z114" s="1"/>
      <c r="AA114" s="1"/>
      <c r="AB114" s="1"/>
    </row>
    <row r="115" ht="50.25" customHeight="1">
      <c r="A115" s="12">
        <v>111.0</v>
      </c>
      <c r="B115" s="13" t="s">
        <v>6</v>
      </c>
      <c r="C115" s="14" t="s">
        <v>117</v>
      </c>
      <c r="D115" s="1"/>
      <c r="E115" s="15"/>
      <c r="F115" s="1" t="str">
        <f>IFERROR(__xludf.DUMMYFUNCTION("GOOGLETRANSLATE(B115, ""en"", ""fa"")
"),"بازاریابی رسانه های اجتماعی")</f>
        <v>بازاریابی رسانه های اجتماعی</v>
      </c>
      <c r="G115" s="1" t="str">
        <f>IFERROR(__xludf.DUMMYFUNCTION("GOOGLETRANSLATE(C115, ""en"", ""fa"")
"),"شما در حال مدیریت یک حساب رسانه اجتماعی برای یک تأثیرگذار تناسب اندام هستید. یک پست اینستاگرامی بنویسید که یک عکس قبل و بعد از تحول را به نمایش بگذارد، سفر تناسب اندام فرد را برجسته کند و دنبال کنندگان الهام بخش باشد.")</f>
        <v>شما در حال مدیریت یک حساب رسانه اجتماعی برای یک تأثیرگذار تناسب اندام هستید. یک پست اینستاگرامی بنویسید که یک عکس قبل و بعد از تحول را به نمایش بگذارد، سفر تناسب اندام فرد را برجسته کند و دنبال کنندگان الهام بخش باشد.</v>
      </c>
      <c r="H115" s="1"/>
      <c r="I115" s="1"/>
      <c r="J115" s="1"/>
      <c r="K115" s="1"/>
      <c r="L115" s="1"/>
      <c r="M115" s="1"/>
      <c r="N115" s="1"/>
      <c r="O115" s="1"/>
      <c r="P115" s="1"/>
      <c r="Q115" s="1"/>
      <c r="R115" s="1"/>
      <c r="S115" s="1"/>
      <c r="T115" s="1"/>
      <c r="U115" s="1"/>
      <c r="V115" s="1"/>
      <c r="W115" s="1"/>
      <c r="X115" s="1"/>
      <c r="Y115" s="1"/>
      <c r="Z115" s="1"/>
      <c r="AA115" s="1"/>
      <c r="AB115" s="1"/>
    </row>
    <row r="116" ht="50.25" customHeight="1">
      <c r="A116" s="12">
        <v>112.0</v>
      </c>
      <c r="B116" s="13" t="s">
        <v>6</v>
      </c>
      <c r="C116" s="14" t="s">
        <v>118</v>
      </c>
      <c r="D116" s="1"/>
      <c r="E116" s="15"/>
      <c r="F116" s="1" t="str">
        <f>IFERROR(__xludf.DUMMYFUNCTION("GOOGLETRANSLATE(B116, ""en"", ""fa"")
"),"بازاریابی رسانه های اجتماعی")</f>
        <v>بازاریابی رسانه های اجتماعی</v>
      </c>
      <c r="G116" s="1" t="str">
        <f>IFERROR(__xludf.DUMMYFUNCTION("GOOGLETRANSLATE(C116, ""en"", ""fa"")
"),"به عنوان یک مدیر رسانه های اجتماعی، یک تصویر کوچک و عنوان جذاب یوتیوب برای آموزش ویدیویی در مورد استفاده از رسانه های اجتماعی برای رشد کسب و کار ایجاد کنید.")</f>
        <v>به عنوان یک مدیر رسانه های اجتماعی، یک تصویر کوچک و عنوان جذاب یوتیوب برای آموزش ویدیویی در مورد استفاده از رسانه های اجتماعی برای رشد کسب و کار ایجاد کنید.</v>
      </c>
      <c r="H116" s="1"/>
      <c r="I116" s="1"/>
      <c r="J116" s="1"/>
      <c r="K116" s="1"/>
      <c r="L116" s="1"/>
      <c r="M116" s="1"/>
      <c r="N116" s="1"/>
      <c r="O116" s="1"/>
      <c r="P116" s="1"/>
      <c r="Q116" s="1"/>
      <c r="R116" s="1"/>
      <c r="S116" s="1"/>
      <c r="T116" s="1"/>
      <c r="U116" s="1"/>
      <c r="V116" s="1"/>
      <c r="W116" s="1"/>
      <c r="X116" s="1"/>
      <c r="Y116" s="1"/>
      <c r="Z116" s="1"/>
      <c r="AA116" s="1"/>
      <c r="AB116" s="1"/>
    </row>
    <row r="117" ht="50.25" customHeight="1">
      <c r="A117" s="12">
        <v>113.0</v>
      </c>
      <c r="B117" s="13" t="s">
        <v>6</v>
      </c>
      <c r="C117" s="14" t="s">
        <v>119</v>
      </c>
      <c r="D117" s="1"/>
      <c r="E117" s="15"/>
      <c r="F117" s="1" t="str">
        <f>IFERROR(__xludf.DUMMYFUNCTION("GOOGLETRANSLATE(B117, ""en"", ""fa"")
"),"بازاریابی رسانه های اجتماعی")</f>
        <v>بازاریابی رسانه های اجتماعی</v>
      </c>
      <c r="G117" s="1" t="str">
        <f>IFERROR(__xludf.DUMMYFUNCTION("GOOGLETRANSLATE(C117, ""en"", ""fa"")
"),"شما در حال اجرای یک کمپین رسانه های اجتماعی برای یک برند دکوراسیون منزل هستید. یک پست فیس بوک بنویسید که از دنبال کنندگان بخواهد نکات طراحی داخلی مورد علاقه خود را به اشتراک بگذارند، محتوای تولید شده توسط کاربر و تعامل ایجاد شود.")</f>
        <v>شما در حال اجرای یک کمپین رسانه های اجتماعی برای یک برند دکوراسیون منزل هستید. یک پست فیس بوک بنویسید که از دنبال کنندگان بخواهد نکات طراحی داخلی مورد علاقه خود را به اشتراک بگذارند، محتوای تولید شده توسط کاربر و تعامل ایجاد شود.</v>
      </c>
      <c r="H117" s="1"/>
      <c r="I117" s="1"/>
      <c r="J117" s="1"/>
      <c r="K117" s="1"/>
      <c r="L117" s="1"/>
      <c r="M117" s="1"/>
      <c r="N117" s="1"/>
      <c r="O117" s="1"/>
      <c r="P117" s="1"/>
      <c r="Q117" s="1"/>
      <c r="R117" s="1"/>
      <c r="S117" s="1"/>
      <c r="T117" s="1"/>
      <c r="U117" s="1"/>
      <c r="V117" s="1"/>
      <c r="W117" s="1"/>
      <c r="X117" s="1"/>
      <c r="Y117" s="1"/>
      <c r="Z117" s="1"/>
      <c r="AA117" s="1"/>
      <c r="AB117" s="1"/>
    </row>
    <row r="118" ht="50.25" customHeight="1">
      <c r="A118" s="12">
        <v>114.0</v>
      </c>
      <c r="B118" s="13" t="s">
        <v>6</v>
      </c>
      <c r="C118" s="14" t="s">
        <v>120</v>
      </c>
      <c r="D118" s="1"/>
      <c r="E118" s="15"/>
      <c r="F118" s="1" t="str">
        <f>IFERROR(__xludf.DUMMYFUNCTION("GOOGLETRANSLATE(B118, ""en"", ""fa"")
"),"بازاریابی رسانه های اجتماعی")</f>
        <v>بازاریابی رسانه های اجتماعی</v>
      </c>
      <c r="G118" s="1" t="str">
        <f>IFERROR(__xludf.DUMMYFUNCTION("GOOGLETRANSLATE(C118, ""en"", ""fa"")
"),"شما در حال مدیریت یک نمایه لینکدین برای یک عکاس حرفه ای هستید. مقاله ای در لینکدین بنویسید که بینش هایی را در مورد گرفتن عکس های خیره کننده و موقعیت عکاس به عنوان یک متخصص در زمینه خود به اشتراک می گذارد.")</f>
        <v>شما در حال مدیریت یک نمایه لینکدین برای یک عکاس حرفه ای هستید. مقاله ای در لینکدین بنویسید که بینش هایی را در مورد گرفتن عکس های خیره کننده و موقعیت عکاس به عنوان یک متخصص در زمینه خود به اشتراک می گذارد.</v>
      </c>
      <c r="H118" s="1"/>
      <c r="I118" s="1"/>
      <c r="J118" s="1"/>
      <c r="K118" s="1"/>
      <c r="L118" s="1"/>
      <c r="M118" s="1"/>
      <c r="N118" s="1"/>
      <c r="O118" s="1"/>
      <c r="P118" s="1"/>
      <c r="Q118" s="1"/>
      <c r="R118" s="1"/>
      <c r="S118" s="1"/>
      <c r="T118" s="1"/>
      <c r="U118" s="1"/>
      <c r="V118" s="1"/>
      <c r="W118" s="1"/>
      <c r="X118" s="1"/>
      <c r="Y118" s="1"/>
      <c r="Z118" s="1"/>
      <c r="AA118" s="1"/>
      <c r="AB118" s="1"/>
    </row>
    <row r="119" ht="50.25" customHeight="1">
      <c r="A119" s="12">
        <v>115.0</v>
      </c>
      <c r="B119" s="13" t="s">
        <v>6</v>
      </c>
      <c r="C119" s="14" t="s">
        <v>121</v>
      </c>
      <c r="D119" s="1"/>
      <c r="E119" s="15"/>
      <c r="F119" s="1" t="str">
        <f>IFERROR(__xludf.DUMMYFUNCTION("GOOGLETRANSLATE(B119, ""en"", ""fa"")
"),"بازاریابی رسانه های اجتماعی")</f>
        <v>بازاریابی رسانه های اجتماعی</v>
      </c>
      <c r="G119" s="1" t="str">
        <f>IFERROR(__xludf.DUMMYFUNCTION("GOOGLETRANSLATE(C119, ""en"", ""fa"")
"),"به عنوان یک مدیر رسانه های اجتماعی، یک موضوع توییتر آموزنده برای یک وبلاگ فناوری ایجاد کنید و در مورد آخرین ابزارها و تأثیر آنها بر زندگی روزمره بحث کنید.")</f>
        <v>به عنوان یک مدیر رسانه های اجتماعی، یک موضوع توییتر آموزنده برای یک وبلاگ فناوری ایجاد کنید و در مورد آخرین ابزارها و تأثیر آنها بر زندگی روزمره بحث کنید.</v>
      </c>
      <c r="H119" s="1"/>
      <c r="I119" s="1"/>
      <c r="J119" s="1"/>
      <c r="K119" s="1"/>
      <c r="L119" s="1"/>
      <c r="M119" s="1"/>
      <c r="N119" s="1"/>
      <c r="O119" s="1"/>
      <c r="P119" s="1"/>
      <c r="Q119" s="1"/>
      <c r="R119" s="1"/>
      <c r="S119" s="1"/>
      <c r="T119" s="1"/>
      <c r="U119" s="1"/>
      <c r="V119" s="1"/>
      <c r="W119" s="1"/>
      <c r="X119" s="1"/>
      <c r="Y119" s="1"/>
      <c r="Z119" s="1"/>
      <c r="AA119" s="1"/>
      <c r="AB119" s="1"/>
    </row>
    <row r="120" ht="50.25" customHeight="1">
      <c r="A120" s="12">
        <v>116.0</v>
      </c>
      <c r="B120" s="13" t="s">
        <v>6</v>
      </c>
      <c r="C120" s="14" t="s">
        <v>122</v>
      </c>
      <c r="D120" s="1"/>
      <c r="E120" s="15"/>
      <c r="F120" s="1" t="str">
        <f>IFERROR(__xludf.DUMMYFUNCTION("GOOGLETRANSLATE(B120, ""en"", ""fa"")
"),"بازاریابی رسانه های اجتماعی")</f>
        <v>بازاریابی رسانه های اجتماعی</v>
      </c>
      <c r="G120" s="1" t="str">
        <f>IFERROR(__xludf.DUMMYFUNCTION("GOOGLETRANSLATE(C120, ""en"", ""fa"")
"),"شما در حال ایجاد یک استراتژی رسانه اجتماعی برای یک سازمان غیرانتفاعی هستید که بر حفظ محیط زیست متمرکز است. یک کپشن متقاعدکننده در اینستاگرام بنویسید که آگاهی را در مورد یک گونه در معرض خطر افزایش دهد و فالوورها را تشویق به اقدام کند.")</f>
        <v>شما در حال ایجاد یک استراتژی رسانه اجتماعی برای یک سازمان غیرانتفاعی هستید که بر حفظ محیط زیست متمرکز است. یک کپشن متقاعدکننده در اینستاگرام بنویسید که آگاهی را در مورد یک گونه در معرض خطر افزایش دهد و فالوورها را تشویق به اقدام کند.</v>
      </c>
      <c r="H120" s="1"/>
      <c r="I120" s="1"/>
      <c r="J120" s="1"/>
      <c r="K120" s="1"/>
      <c r="L120" s="1"/>
      <c r="M120" s="1"/>
      <c r="N120" s="1"/>
      <c r="O120" s="1"/>
      <c r="P120" s="1"/>
      <c r="Q120" s="1"/>
      <c r="R120" s="1"/>
      <c r="S120" s="1"/>
      <c r="T120" s="1"/>
      <c r="U120" s="1"/>
      <c r="V120" s="1"/>
      <c r="W120" s="1"/>
      <c r="X120" s="1"/>
      <c r="Y120" s="1"/>
      <c r="Z120" s="1"/>
      <c r="AA120" s="1"/>
      <c r="AB120" s="1"/>
    </row>
    <row r="121" ht="50.25" customHeight="1">
      <c r="A121" s="12">
        <v>117.0</v>
      </c>
      <c r="B121" s="13" t="s">
        <v>6</v>
      </c>
      <c r="C121" s="14" t="s">
        <v>123</v>
      </c>
      <c r="D121" s="1"/>
      <c r="E121" s="15"/>
      <c r="F121" s="1" t="str">
        <f>IFERROR(__xludf.DUMMYFUNCTION("GOOGLETRANSLATE(B121, ""en"", ""fa"")
"),"بازاریابی رسانه های اجتماعی")</f>
        <v>بازاریابی رسانه های اجتماعی</v>
      </c>
      <c r="G121" s="1" t="str">
        <f>IFERROR(__xludf.DUMMYFUNCTION("GOOGLETRANSLATE(C121, ""en"", ""fa"")
"),"شما در حال مدیریت اکانت اینستاگرام اینفلوئنسرها هستید که بر روی مد متمرکز است. برای عکسی کپشن بنویسید که یک لباس مد روز را به نمایش می گذارد و نکات مد را در خود دارد و دنبال کنندگان را تشویق می کند تا سبک شخصی خود را بیان کنند.")</f>
        <v>شما در حال مدیریت اکانت اینستاگرام اینفلوئنسرها هستید که بر روی مد متمرکز است. برای عکسی کپشن بنویسید که یک لباس مد روز را به نمایش می گذارد و نکات مد را در خود دارد و دنبال کنندگان را تشویق می کند تا سبک شخصی خود را بیان کنند.</v>
      </c>
      <c r="H121" s="1"/>
      <c r="I121" s="1"/>
      <c r="J121" s="1"/>
      <c r="K121" s="1"/>
      <c r="L121" s="1"/>
      <c r="M121" s="1"/>
      <c r="N121" s="1"/>
      <c r="O121" s="1"/>
      <c r="P121" s="1"/>
      <c r="Q121" s="1"/>
      <c r="R121" s="1"/>
      <c r="S121" s="1"/>
      <c r="T121" s="1"/>
      <c r="U121" s="1"/>
      <c r="V121" s="1"/>
      <c r="W121" s="1"/>
      <c r="X121" s="1"/>
      <c r="Y121" s="1"/>
      <c r="Z121" s="1"/>
      <c r="AA121" s="1"/>
      <c r="AB121" s="1"/>
    </row>
    <row r="122" ht="50.25" customHeight="1">
      <c r="A122" s="12">
        <v>118.0</v>
      </c>
      <c r="B122" s="13" t="s">
        <v>6</v>
      </c>
      <c r="C122" s="14" t="s">
        <v>124</v>
      </c>
      <c r="D122" s="1"/>
      <c r="E122" s="15"/>
      <c r="F122" s="1" t="str">
        <f>IFERROR(__xludf.DUMMYFUNCTION("GOOGLETRANSLATE(B122, ""en"", ""fa"")
"),"بازاریابی رسانه های اجتماعی")</f>
        <v>بازاریابی رسانه های اجتماعی</v>
      </c>
      <c r="G122" s="1" t="str">
        <f>IFERROR(__xludf.DUMMYFUNCTION("GOOGLETRANSLATE(C122, ""en"", ""fa"")
"),"شما در حال اجرای یک مسابقه رسانه های اجتماعی برای یک برند سلامتی هستید. توییتی بنویسید که فالوورها را تشویق کند تا روال‌های مراقبت از خود را به اشتراک بگذارند و شانس برنده شدن یک بسته سلامتی را داشته باشند.")</f>
        <v>شما در حال اجرای یک مسابقه رسانه های اجتماعی برای یک برند سلامتی هستید. توییتی بنویسید که فالوورها را تشویق کند تا روال‌های مراقبت از خود را به اشتراک بگذارند و شانس برنده شدن یک بسته سلامتی را داشته باشند.</v>
      </c>
      <c r="H122" s="1"/>
      <c r="I122" s="1"/>
      <c r="J122" s="1"/>
      <c r="K122" s="1"/>
      <c r="L122" s="1"/>
      <c r="M122" s="1"/>
      <c r="N122" s="1"/>
      <c r="O122" s="1"/>
      <c r="P122" s="1"/>
      <c r="Q122" s="1"/>
      <c r="R122" s="1"/>
      <c r="S122" s="1"/>
      <c r="T122" s="1"/>
      <c r="U122" s="1"/>
      <c r="V122" s="1"/>
      <c r="W122" s="1"/>
      <c r="X122" s="1"/>
      <c r="Y122" s="1"/>
      <c r="Z122" s="1"/>
      <c r="AA122" s="1"/>
      <c r="AB122" s="1"/>
    </row>
    <row r="123" ht="50.25" customHeight="1">
      <c r="A123" s="12">
        <v>119.0</v>
      </c>
      <c r="B123" s="13" t="s">
        <v>6</v>
      </c>
      <c r="C123" s="14" t="s">
        <v>125</v>
      </c>
      <c r="D123" s="1"/>
      <c r="E123" s="15"/>
      <c r="F123" s="1" t="str">
        <f>IFERROR(__xludf.DUMMYFUNCTION("GOOGLETRANSLATE(B123, ""en"", ""fa"")
"),"بازاریابی رسانه های اجتماعی")</f>
        <v>بازاریابی رسانه های اجتماعی</v>
      </c>
      <c r="G123" s="1" t="str">
        <f>IFERROR(__xludf.DUMMYFUNCTION("GOOGLETRANSLATE(C123, ""en"", ""fa"")
"),"به عنوان یک مدیر رسانه های اجتماعی، یک پست وبلاگ جذاب برای یک آژانس بازاریابی دیجیتال بنویسید و در مورد تأثیر رسانه های اجتماعی بر رویت برند و تعامل با مشتری بحث کنید.")</f>
        <v>به عنوان یک مدیر رسانه های اجتماعی، یک پست وبلاگ جذاب برای یک آژانس بازاریابی دیجیتال بنویسید و در مورد تأثیر رسانه های اجتماعی بر رویت برند و تعامل با مشتری بحث کنید.</v>
      </c>
      <c r="H123" s="1"/>
      <c r="I123" s="1"/>
      <c r="J123" s="1"/>
      <c r="K123" s="1"/>
      <c r="L123" s="1"/>
      <c r="M123" s="1"/>
      <c r="N123" s="1"/>
      <c r="O123" s="1"/>
      <c r="P123" s="1"/>
      <c r="Q123" s="1"/>
      <c r="R123" s="1"/>
      <c r="S123" s="1"/>
      <c r="T123" s="1"/>
      <c r="U123" s="1"/>
      <c r="V123" s="1"/>
      <c r="W123" s="1"/>
      <c r="X123" s="1"/>
      <c r="Y123" s="1"/>
      <c r="Z123" s="1"/>
      <c r="AA123" s="1"/>
      <c r="AB123" s="1"/>
    </row>
    <row r="124" ht="50.25" customHeight="1">
      <c r="A124" s="12">
        <v>120.0</v>
      </c>
      <c r="B124" s="13" t="s">
        <v>6</v>
      </c>
      <c r="C124" s="14" t="s">
        <v>126</v>
      </c>
      <c r="D124" s="1"/>
      <c r="E124" s="15"/>
      <c r="F124" s="1" t="str">
        <f>IFERROR(__xludf.DUMMYFUNCTION("GOOGLETRANSLATE(B124, ""en"", ""fa"")
"),"بازاریابی رسانه های اجتماعی")</f>
        <v>بازاریابی رسانه های اجتماعی</v>
      </c>
      <c r="G124" s="1" t="str">
        <f>IFERROR(__xludf.DUMMYFUNCTION("GOOGLETRANSLATE(C124, ""en"", ""fa"")
"),"شما در حال مدیریت یک حساب Pinterest برای یک وبلاگ دستور غذا هستید. یک تخته چوبی بصری جذاب ایجاد کنید که دارای دستور العمل های سالم و خوشمزه است و برای دنبال کنندگان الهام می گیرد.")</f>
        <v>شما در حال مدیریت یک حساب Pinterest برای یک وبلاگ دستور غذا هستید. یک تخته چوبی بصری جذاب ایجاد کنید که دارای دستور العمل های سالم و خوشمزه است و برای دنبال کنندگان الهام می گیرد.</v>
      </c>
      <c r="H124" s="1"/>
      <c r="I124" s="1"/>
      <c r="J124" s="1"/>
      <c r="K124" s="1"/>
      <c r="L124" s="1"/>
      <c r="M124" s="1"/>
      <c r="N124" s="1"/>
      <c r="O124" s="1"/>
      <c r="P124" s="1"/>
      <c r="Q124" s="1"/>
      <c r="R124" s="1"/>
      <c r="S124" s="1"/>
      <c r="T124" s="1"/>
      <c r="U124" s="1"/>
      <c r="V124" s="1"/>
      <c r="W124" s="1"/>
      <c r="X124" s="1"/>
      <c r="Y124" s="1"/>
      <c r="Z124" s="1"/>
      <c r="AA124" s="1"/>
      <c r="AB124" s="1"/>
    </row>
    <row r="125" ht="50.25" customHeight="1">
      <c r="A125" s="12">
        <v>121.0</v>
      </c>
      <c r="B125" s="13" t="s">
        <v>6</v>
      </c>
      <c r="C125" s="14" t="s">
        <v>127</v>
      </c>
      <c r="D125" s="1"/>
      <c r="E125" s="15"/>
      <c r="F125" s="1" t="str">
        <f>IFERROR(__xludf.DUMMYFUNCTION("GOOGLETRANSLATE(B125, ""en"", ""fa"")
"),"بازاریابی رسانه های اجتماعی")</f>
        <v>بازاریابی رسانه های اجتماعی</v>
      </c>
      <c r="G125" s="1" t="str">
        <f>IFERROR(__xludf.DUMMYFUNCTION("GOOGLETRANSLATE(C125, ""en"", ""fa"")
"),"شما در حال ایجاد یک استراتژی رسانه اجتماعی برای یک تأثیرگذار در سفر هستید. یک توضیح متقاعد کننده رویداد فیس بوک لایو بنویسید که از دنبال کنندگان دعوت می کند تا به یک جلسه پرسش و پاسخ مجازی در مورد نکات و مقاصد سفر بپیوندند.")</f>
        <v>شما در حال ایجاد یک استراتژی رسانه اجتماعی برای یک تأثیرگذار در سفر هستید. یک توضیح متقاعد کننده رویداد فیس بوک لایو بنویسید که از دنبال کنندگان دعوت می کند تا به یک جلسه پرسش و پاسخ مجازی در مورد نکات و مقاصد سفر بپیوندند.</v>
      </c>
      <c r="H125" s="1"/>
      <c r="I125" s="1"/>
      <c r="J125" s="1"/>
      <c r="K125" s="1"/>
      <c r="L125" s="1"/>
      <c r="M125" s="1"/>
      <c r="N125" s="1"/>
      <c r="O125" s="1"/>
      <c r="P125" s="1"/>
      <c r="Q125" s="1"/>
      <c r="R125" s="1"/>
      <c r="S125" s="1"/>
      <c r="T125" s="1"/>
      <c r="U125" s="1"/>
      <c r="V125" s="1"/>
      <c r="W125" s="1"/>
      <c r="X125" s="1"/>
      <c r="Y125" s="1"/>
      <c r="Z125" s="1"/>
      <c r="AA125" s="1"/>
      <c r="AB125" s="1"/>
    </row>
    <row r="126" ht="50.25" customHeight="1">
      <c r="A126" s="12">
        <v>122.0</v>
      </c>
      <c r="B126" s="13" t="s">
        <v>6</v>
      </c>
      <c r="C126" s="14" t="s">
        <v>128</v>
      </c>
      <c r="D126" s="1"/>
      <c r="E126" s="15"/>
      <c r="F126" s="1" t="str">
        <f>IFERROR(__xludf.DUMMYFUNCTION("GOOGLETRANSLATE(B126, ""en"", ""fa"")
"),"بازاریابی رسانه های اجتماعی")</f>
        <v>بازاریابی رسانه های اجتماعی</v>
      </c>
      <c r="G126" s="1" t="str">
        <f>IFERROR(__xludf.DUMMYFUNCTION("GOOGLETRANSLATE(C126, ""en"", ""fa"")
"),"به‌عنوان مدیر رسانه‌های اجتماعی، یک داستان جذاب اسنپ‌چت برای یک برند مد ایجاد کنید و فیلم‌های پشت صحنه یک عکاسی یا نمایش باند را به نمایش بگذارید.")</f>
        <v>به‌عنوان مدیر رسانه‌های اجتماعی، یک داستان جذاب اسنپ‌چت برای یک برند مد ایجاد کنید و فیلم‌های پشت صحنه یک عکاسی یا نمایش باند را به نمایش بگذارید.</v>
      </c>
      <c r="H126" s="1"/>
      <c r="I126" s="1"/>
      <c r="J126" s="1"/>
      <c r="K126" s="1"/>
      <c r="L126" s="1"/>
      <c r="M126" s="1"/>
      <c r="N126" s="1"/>
      <c r="O126" s="1"/>
      <c r="P126" s="1"/>
      <c r="Q126" s="1"/>
      <c r="R126" s="1"/>
      <c r="S126" s="1"/>
      <c r="T126" s="1"/>
      <c r="U126" s="1"/>
      <c r="V126" s="1"/>
      <c r="W126" s="1"/>
      <c r="X126" s="1"/>
      <c r="Y126" s="1"/>
      <c r="Z126" s="1"/>
      <c r="AA126" s="1"/>
      <c r="AB126" s="1"/>
    </row>
    <row r="127" ht="50.25" customHeight="1">
      <c r="A127" s="12">
        <v>123.0</v>
      </c>
      <c r="B127" s="13" t="s">
        <v>6</v>
      </c>
      <c r="C127" s="14" t="s">
        <v>129</v>
      </c>
      <c r="D127" s="1"/>
      <c r="E127" s="15"/>
      <c r="F127" s="1" t="str">
        <f>IFERROR(__xludf.DUMMYFUNCTION("GOOGLETRANSLATE(B127, ""en"", ""fa"")
"),"بازاریابی رسانه های اجتماعی")</f>
        <v>بازاریابی رسانه های اجتماعی</v>
      </c>
      <c r="G127" s="1" t="str">
        <f>IFERROR(__xludf.DUMMYFUNCTION("GOOGLETRANSLATE(C127, ""en"", ""fa"")
"),"شما در حال مدیریت یک صفحه فیس بوک برای یک تجارت محلی هستید. پستی بنویسید که یک رویداد یا تبلیغ ویژه را اعلام کند و دنبال‌کنندگان را تشویق به بازدید و حمایت از کسب‌وکار کند.")</f>
        <v>شما در حال مدیریت یک صفحه فیس بوک برای یک تجارت محلی هستید. پستی بنویسید که یک رویداد یا تبلیغ ویژه را اعلام کند و دنبال‌کنندگان را تشویق به بازدید و حمایت از کسب‌وکار کند.</v>
      </c>
      <c r="H127" s="1"/>
      <c r="I127" s="1"/>
      <c r="J127" s="1"/>
      <c r="K127" s="1"/>
      <c r="L127" s="1"/>
      <c r="M127" s="1"/>
      <c r="N127" s="1"/>
      <c r="O127" s="1"/>
      <c r="P127" s="1"/>
      <c r="Q127" s="1"/>
      <c r="R127" s="1"/>
      <c r="S127" s="1"/>
      <c r="T127" s="1"/>
      <c r="U127" s="1"/>
      <c r="V127" s="1"/>
      <c r="W127" s="1"/>
      <c r="X127" s="1"/>
      <c r="Y127" s="1"/>
      <c r="Z127" s="1"/>
      <c r="AA127" s="1"/>
      <c r="AB127" s="1"/>
    </row>
    <row r="128" ht="50.25" customHeight="1">
      <c r="A128" s="12">
        <v>124.0</v>
      </c>
      <c r="B128" s="13" t="s">
        <v>6</v>
      </c>
      <c r="C128" s="14" t="s">
        <v>130</v>
      </c>
      <c r="D128" s="1"/>
      <c r="E128" s="15"/>
      <c r="F128" s="1" t="str">
        <f>IFERROR(__xludf.DUMMYFUNCTION("GOOGLETRANSLATE(B128, ""en"", ""fa"")
"),"بازاریابی رسانه های اجتماعی")</f>
        <v>بازاریابی رسانه های اجتماعی</v>
      </c>
      <c r="G128" s="1" t="str">
        <f>IFERROR(__xludf.DUMMYFUNCTION("GOOGLETRANSLATE(C128, ""en"", ""fa"")
"),"شما در حال اجرای یک کمپین رسانه های اجتماعی برای یک استارت آپ فناوری هستید. یک کپشن اینستاگرام بنویسید که ویژگی‌های نوآورانه محصول آنها را برجسته کند و دنبال کنندگان را تشویق کند آن را امتحان کنند.")</f>
        <v>شما در حال اجرای یک کمپین رسانه های اجتماعی برای یک استارت آپ فناوری هستید. یک کپشن اینستاگرام بنویسید که ویژگی‌های نوآورانه محصول آنها را برجسته کند و دنبال کنندگان را تشویق کند آن را امتحان کنند.</v>
      </c>
      <c r="H128" s="1"/>
      <c r="I128" s="1"/>
      <c r="J128" s="1"/>
      <c r="K128" s="1"/>
      <c r="L128" s="1"/>
      <c r="M128" s="1"/>
      <c r="N128" s="1"/>
      <c r="O128" s="1"/>
      <c r="P128" s="1"/>
      <c r="Q128" s="1"/>
      <c r="R128" s="1"/>
      <c r="S128" s="1"/>
      <c r="T128" s="1"/>
      <c r="U128" s="1"/>
      <c r="V128" s="1"/>
      <c r="W128" s="1"/>
      <c r="X128" s="1"/>
      <c r="Y128" s="1"/>
      <c r="Z128" s="1"/>
      <c r="AA128" s="1"/>
      <c r="AB128" s="1"/>
    </row>
    <row r="129" ht="50.25" customHeight="1">
      <c r="A129" s="12">
        <v>125.0</v>
      </c>
      <c r="B129" s="13" t="s">
        <v>6</v>
      </c>
      <c r="C129" s="14" t="s">
        <v>131</v>
      </c>
      <c r="D129" s="1"/>
      <c r="E129" s="15"/>
      <c r="F129" s="1" t="str">
        <f>IFERROR(__xludf.DUMMYFUNCTION("GOOGLETRANSLATE(B129, ""en"", ""fa"")
"),"بازاریابی رسانه های اجتماعی")</f>
        <v>بازاریابی رسانه های اجتماعی</v>
      </c>
      <c r="G129" s="1" t="str">
        <f>IFERROR(__xludf.DUMMYFUNCTION("GOOGLETRANSLATE(C129, ""en"", ""fa"")
"),"به عنوان یک مدیر رسانه های اجتماعی، یک پست آموزنده در لینکدین برای یک متخصص امور مالی شخصی بنویسید و نکات عملی در مورد بودجه بندی و صرفه جویی در پول ارائه دهید.")</f>
        <v>به عنوان یک مدیر رسانه های اجتماعی، یک پست آموزنده در لینکدین برای یک متخصص امور مالی شخصی بنویسید و نکات عملی در مورد بودجه بندی و صرفه جویی در پول ارائه دهید.</v>
      </c>
      <c r="H129" s="1"/>
      <c r="I129" s="1"/>
      <c r="J129" s="1"/>
      <c r="K129" s="1"/>
      <c r="L129" s="1"/>
      <c r="M129" s="1"/>
      <c r="N129" s="1"/>
      <c r="O129" s="1"/>
      <c r="P129" s="1"/>
      <c r="Q129" s="1"/>
      <c r="R129" s="1"/>
      <c r="S129" s="1"/>
      <c r="T129" s="1"/>
      <c r="U129" s="1"/>
      <c r="V129" s="1"/>
      <c r="W129" s="1"/>
      <c r="X129" s="1"/>
      <c r="Y129" s="1"/>
      <c r="Z129" s="1"/>
      <c r="AA129" s="1"/>
      <c r="AB129" s="1"/>
    </row>
    <row r="130" ht="50.25" customHeight="1">
      <c r="A130" s="12">
        <v>126.0</v>
      </c>
      <c r="B130" s="13" t="s">
        <v>6</v>
      </c>
      <c r="C130" s="14" t="s">
        <v>132</v>
      </c>
      <c r="D130" s="1"/>
      <c r="E130" s="15"/>
      <c r="F130" s="1" t="str">
        <f>IFERROR(__xludf.DUMMYFUNCTION("GOOGLETRANSLATE(B130, ""en"", ""fa"")
"),"بازاریابی رسانه های اجتماعی")</f>
        <v>بازاریابی رسانه های اجتماعی</v>
      </c>
      <c r="G130" s="1" t="str">
        <f>IFERROR(__xludf.DUMMYFUNCTION("GOOGLETRANSLATE(C130, ""en"", ""fa"")
"),"شما در حال مدیریت یک حساب اینستاگرام برای یک پناهگاه حیوانات خانگی هستید. برای عکسی از یک حیوان خانگی دوست داشتنی، یک شرح دلخواه بنویسید و از دنبال کنندگان دعوت کنید تا به فرزندخواندگی فکر کنند.")</f>
        <v>شما در حال مدیریت یک حساب اینستاگرام برای یک پناهگاه حیوانات خانگی هستید. برای عکسی از یک حیوان خانگی دوست داشتنی، یک شرح دلخواه بنویسید و از دنبال کنندگان دعوت کنید تا به فرزندخواندگی فکر کنند.</v>
      </c>
      <c r="H130" s="1"/>
      <c r="I130" s="1"/>
      <c r="J130" s="1"/>
      <c r="K130" s="1"/>
      <c r="L130" s="1"/>
      <c r="M130" s="1"/>
      <c r="N130" s="1"/>
      <c r="O130" s="1"/>
      <c r="P130" s="1"/>
      <c r="Q130" s="1"/>
      <c r="R130" s="1"/>
      <c r="S130" s="1"/>
      <c r="T130" s="1"/>
      <c r="U130" s="1"/>
      <c r="V130" s="1"/>
      <c r="W130" s="1"/>
      <c r="X130" s="1"/>
      <c r="Y130" s="1"/>
      <c r="Z130" s="1"/>
      <c r="AA130" s="1"/>
      <c r="AB130" s="1"/>
    </row>
    <row r="131" ht="50.25" customHeight="1">
      <c r="A131" s="12">
        <v>127.0</v>
      </c>
      <c r="B131" s="13" t="s">
        <v>6</v>
      </c>
      <c r="C131" s="14" t="s">
        <v>133</v>
      </c>
      <c r="D131" s="1"/>
      <c r="E131" s="15"/>
      <c r="F131" s="1" t="str">
        <f>IFERROR(__xludf.DUMMYFUNCTION("GOOGLETRANSLATE(B131, ""en"", ""fa"")
"),"بازاریابی رسانه های اجتماعی")</f>
        <v>بازاریابی رسانه های اجتماعی</v>
      </c>
      <c r="G131" s="1" t="str">
        <f>IFERROR(__xludf.DUMMYFUNCTION("GOOGLETRANSLATE(C131, ""en"", ""fa"")
"),"شما در حال ایجاد یک استراتژی رسانه اجتماعی برای یک سازمان غیرانتفاعی با تمرکز بر آموزش هستید. یک موضوع توئیتر متقاعدکننده بنویسید که اهمیت دسترسی برابر به آموزش را برجسته کند و کمک های مالی را تشویق کند.")</f>
        <v>شما در حال ایجاد یک استراتژی رسانه اجتماعی برای یک سازمان غیرانتفاعی با تمرکز بر آموزش هستید. یک موضوع توئیتر متقاعدکننده بنویسید که اهمیت دسترسی برابر به آموزش را برجسته کند و کمک های مالی را تشویق کند.</v>
      </c>
      <c r="H131" s="1"/>
      <c r="I131" s="1"/>
      <c r="J131" s="1"/>
      <c r="K131" s="1"/>
      <c r="L131" s="1"/>
      <c r="M131" s="1"/>
      <c r="N131" s="1"/>
      <c r="O131" s="1"/>
      <c r="P131" s="1"/>
      <c r="Q131" s="1"/>
      <c r="R131" s="1"/>
      <c r="S131" s="1"/>
      <c r="T131" s="1"/>
      <c r="U131" s="1"/>
      <c r="V131" s="1"/>
      <c r="W131" s="1"/>
      <c r="X131" s="1"/>
      <c r="Y131" s="1"/>
      <c r="Z131" s="1"/>
      <c r="AA131" s="1"/>
      <c r="AB131" s="1"/>
    </row>
    <row r="132" ht="50.25" customHeight="1">
      <c r="A132" s="12">
        <v>128.0</v>
      </c>
      <c r="B132" s="13" t="s">
        <v>6</v>
      </c>
      <c r="C132" s="14" t="s">
        <v>134</v>
      </c>
      <c r="D132" s="1"/>
      <c r="E132" s="15"/>
      <c r="F132" s="1" t="str">
        <f>IFERROR(__xludf.DUMMYFUNCTION("GOOGLETRANSLATE(B132, ""en"", ""fa"")
"),"بازاریابی رسانه های اجتماعی")</f>
        <v>بازاریابی رسانه های اجتماعی</v>
      </c>
      <c r="G132" s="1" t="str">
        <f>IFERROR(__xludf.DUMMYFUNCTION("GOOGLETRANSLATE(C132, ""en"", ""fa"")
"),"به‌عنوان مدیر رسانه‌های اجتماعی، مجموعه‌ای از گرافیک‌های Pinterest را برای یک برنامه‌ریز عروسی ایجاد کنید که شامل الهامات عروسی و نکاتی برای برنامه‌ریزی یک روز عالی است.")</f>
        <v>به‌عنوان مدیر رسانه‌های اجتماعی، مجموعه‌ای از گرافیک‌های Pinterest را برای یک برنامه‌ریز عروسی ایجاد کنید که شامل الهامات عروسی و نکاتی برای برنامه‌ریزی یک روز عالی است.</v>
      </c>
      <c r="H132" s="1"/>
      <c r="I132" s="1"/>
      <c r="J132" s="1"/>
      <c r="K132" s="1"/>
      <c r="L132" s="1"/>
      <c r="M132" s="1"/>
      <c r="N132" s="1"/>
      <c r="O132" s="1"/>
      <c r="P132" s="1"/>
      <c r="Q132" s="1"/>
      <c r="R132" s="1"/>
      <c r="S132" s="1"/>
      <c r="T132" s="1"/>
      <c r="U132" s="1"/>
      <c r="V132" s="1"/>
      <c r="W132" s="1"/>
      <c r="X132" s="1"/>
      <c r="Y132" s="1"/>
      <c r="Z132" s="1"/>
      <c r="AA132" s="1"/>
      <c r="AB132" s="1"/>
    </row>
    <row r="133" ht="50.25" customHeight="1">
      <c r="A133" s="12">
        <v>129.0</v>
      </c>
      <c r="B133" s="13" t="s">
        <v>6</v>
      </c>
      <c r="C133" s="14" t="s">
        <v>135</v>
      </c>
      <c r="D133" s="1"/>
      <c r="E133" s="15"/>
      <c r="F133" s="1" t="str">
        <f>IFERROR(__xludf.DUMMYFUNCTION("GOOGLETRANSLATE(B133, ""en"", ""fa"")
"),"بازاریابی رسانه های اجتماعی")</f>
        <v>بازاریابی رسانه های اجتماعی</v>
      </c>
      <c r="G133" s="1" t="str">
        <f>IFERROR(__xludf.DUMMYFUNCTION("GOOGLETRANSLATE(C133, ""en"", ""fa"")
"),"شما در حال مدیریت یک کانال YouTube برای تأثیرگذار زیبایی هستید. یک عنوان ویدیویی و توضیحات قانع‌کننده برای آموزش آرایش بسازید، که ظاهر آرایشی مد روز را به نمایش می‌گذارد.")</f>
        <v>شما در حال مدیریت یک کانال YouTube برای تأثیرگذار زیبایی هستید. یک عنوان ویدیویی و توضیحات قانع‌کننده برای آموزش آرایش بسازید، که ظاهر آرایشی مد روز را به نمایش می‌گذارد.</v>
      </c>
      <c r="H133" s="1"/>
      <c r="I133" s="1"/>
      <c r="J133" s="1"/>
      <c r="K133" s="1"/>
      <c r="L133" s="1"/>
      <c r="M133" s="1"/>
      <c r="N133" s="1"/>
      <c r="O133" s="1"/>
      <c r="P133" s="1"/>
      <c r="Q133" s="1"/>
      <c r="R133" s="1"/>
      <c r="S133" s="1"/>
      <c r="T133" s="1"/>
      <c r="U133" s="1"/>
      <c r="V133" s="1"/>
      <c r="W133" s="1"/>
      <c r="X133" s="1"/>
      <c r="Y133" s="1"/>
      <c r="Z133" s="1"/>
      <c r="AA133" s="1"/>
      <c r="AB133" s="1"/>
    </row>
    <row r="134" ht="50.25" customHeight="1">
      <c r="A134" s="12">
        <v>130.0</v>
      </c>
      <c r="B134" s="13" t="s">
        <v>6</v>
      </c>
      <c r="C134" s="14" t="s">
        <v>136</v>
      </c>
      <c r="D134" s="1"/>
      <c r="E134" s="15"/>
      <c r="F134" s="1" t="str">
        <f>IFERROR(__xludf.DUMMYFUNCTION("GOOGLETRANSLATE(B134, ""en"", ""fa"")
"),"بازاریابی رسانه های اجتماعی")</f>
        <v>بازاریابی رسانه های اجتماعی</v>
      </c>
      <c r="G134" s="1" t="str">
        <f>IFERROR(__xludf.DUMMYFUNCTION("GOOGLETRANSLATE(C134, ""en"", ""fa"")
"),"شما در حال برگزاری یک مسابقه رسانه های اجتماعی برای یک برند پوشاک ورزشی هستید. پستی در اینستاگرام بنویسید که فالوورها را تشویق کند تا اهداف تناسب اندام خود را به اشتراک بگذارند و شانس برنده شدن یک ست وسایل تمرینی را داشته باشند.")</f>
        <v>شما در حال برگزاری یک مسابقه رسانه های اجتماعی برای یک برند پوشاک ورزشی هستید. پستی در اینستاگرام بنویسید که فالوورها را تشویق کند تا اهداف تناسب اندام خود را به اشتراک بگذارند و شانس برنده شدن یک ست وسایل تمرینی را داشته باشند.</v>
      </c>
      <c r="H134" s="1"/>
      <c r="I134" s="1"/>
      <c r="J134" s="1"/>
      <c r="K134" s="1"/>
      <c r="L134" s="1"/>
      <c r="M134" s="1"/>
      <c r="N134" s="1"/>
      <c r="O134" s="1"/>
      <c r="P134" s="1"/>
      <c r="Q134" s="1"/>
      <c r="R134" s="1"/>
      <c r="S134" s="1"/>
      <c r="T134" s="1"/>
      <c r="U134" s="1"/>
      <c r="V134" s="1"/>
      <c r="W134" s="1"/>
      <c r="X134" s="1"/>
      <c r="Y134" s="1"/>
      <c r="Z134" s="1"/>
      <c r="AA134" s="1"/>
      <c r="AB134" s="1"/>
    </row>
    <row r="135" ht="50.25" customHeight="1">
      <c r="A135" s="12">
        <v>131.0</v>
      </c>
      <c r="B135" s="13" t="s">
        <v>6</v>
      </c>
      <c r="C135" s="14" t="s">
        <v>137</v>
      </c>
      <c r="D135" s="1"/>
      <c r="E135" s="15"/>
      <c r="F135" s="1" t="str">
        <f>IFERROR(__xludf.DUMMYFUNCTION("GOOGLETRANSLATE(B135, ""en"", ""fa"")
"),"بازاریابی رسانه های اجتماعی")</f>
        <v>بازاریابی رسانه های اجتماعی</v>
      </c>
      <c r="G135" s="1" t="str">
        <f>IFERROR(__xludf.DUMMYFUNCTION("GOOGLETRANSLATE(C135, ""en"", ""fa"")
"),"به عنوان یک مدیر رسانه های اجتماعی، یک پست وبلاگ آموزنده برای یک متخصص تغذیه بنویسید، در مورد مزایای یک رژیم غذایی متعادل بحث کنید و ایده های دستور العمل های سالم را ارائه دهید.")</f>
        <v>به عنوان یک مدیر رسانه های اجتماعی، یک پست وبلاگ آموزنده برای یک متخصص تغذیه بنویسید، در مورد مزایای یک رژیم غذایی متعادل بحث کنید و ایده های دستور العمل های سالم را ارائه دهید.</v>
      </c>
      <c r="H135" s="1"/>
      <c r="I135" s="1"/>
      <c r="J135" s="1"/>
      <c r="K135" s="1"/>
      <c r="L135" s="1"/>
      <c r="M135" s="1"/>
      <c r="N135" s="1"/>
      <c r="O135" s="1"/>
      <c r="P135" s="1"/>
      <c r="Q135" s="1"/>
      <c r="R135" s="1"/>
      <c r="S135" s="1"/>
      <c r="T135" s="1"/>
      <c r="U135" s="1"/>
      <c r="V135" s="1"/>
      <c r="W135" s="1"/>
      <c r="X135" s="1"/>
      <c r="Y135" s="1"/>
      <c r="Z135" s="1"/>
      <c r="AA135" s="1"/>
      <c r="AB135" s="1"/>
    </row>
    <row r="136" ht="50.25" customHeight="1">
      <c r="A136" s="12">
        <v>132.0</v>
      </c>
      <c r="B136" s="13" t="s">
        <v>6</v>
      </c>
      <c r="C136" s="14" t="s">
        <v>138</v>
      </c>
      <c r="D136" s="1"/>
      <c r="E136" s="15"/>
      <c r="F136" s="1" t="str">
        <f>IFERROR(__xludf.DUMMYFUNCTION("GOOGLETRANSLATE(B136, ""en"", ""fa"")
"),"بازاریابی رسانه های اجتماعی")</f>
        <v>بازاریابی رسانه های اجتماعی</v>
      </c>
      <c r="G136" s="1" t="str">
        <f>IFERROR(__xludf.DUMMYFUNCTION("GOOGLETRANSLATE(C136, ""en"", ""fa"")
"),"شما در حال مدیریت حساب توییتر یک تأثیرگذار هستید که بر توسعه شخصی متمرکز است. توییتی بنویسید که یک نقل قول انگیزشی به اشتراک بگذارد و فالوورها را تشویق کند تا اهدافی برای خودسازی تعیین کنند.")</f>
        <v>شما در حال مدیریت حساب توییتر یک تأثیرگذار هستید که بر توسعه شخصی متمرکز است. توییتی بنویسید که یک نقل قول انگیزشی به اشتراک بگذارد و فالوورها را تشویق کند تا اهدافی برای خودسازی تعیین کنند.</v>
      </c>
      <c r="H136" s="1"/>
      <c r="I136" s="1"/>
      <c r="J136" s="1"/>
      <c r="K136" s="1"/>
      <c r="L136" s="1"/>
      <c r="M136" s="1"/>
      <c r="N136" s="1"/>
      <c r="O136" s="1"/>
      <c r="P136" s="1"/>
      <c r="Q136" s="1"/>
      <c r="R136" s="1"/>
      <c r="S136" s="1"/>
      <c r="T136" s="1"/>
      <c r="U136" s="1"/>
      <c r="V136" s="1"/>
      <c r="W136" s="1"/>
      <c r="X136" s="1"/>
      <c r="Y136" s="1"/>
      <c r="Z136" s="1"/>
      <c r="AA136" s="1"/>
      <c r="AB136" s="1"/>
    </row>
    <row r="137" ht="50.25" customHeight="1">
      <c r="A137" s="12">
        <v>133.0</v>
      </c>
      <c r="B137" s="13" t="s">
        <v>6</v>
      </c>
      <c r="C137" s="14" t="s">
        <v>139</v>
      </c>
      <c r="D137" s="1"/>
      <c r="E137" s="15"/>
      <c r="F137" s="1" t="str">
        <f>IFERROR(__xludf.DUMMYFUNCTION("GOOGLETRANSLATE(B137, ""en"", ""fa"")
"),"بازاریابی رسانه های اجتماعی")</f>
        <v>بازاریابی رسانه های اجتماعی</v>
      </c>
      <c r="G137" s="1" t="str">
        <f>IFERROR(__xludf.DUMMYFUNCTION("GOOGLETRANSLATE(C137, ""en"", ""fa"")
"),"شما در حال ایجاد یک استراتژی رسانه اجتماعی برای یک رستوران هستید. یک پست متقاعدکننده در فیس بوک بنویسید که تجربه منحصر به فرد غذاخوری و گزینه های منوی خوشمزه را برجسته کند.")</f>
        <v>شما در حال ایجاد یک استراتژی رسانه اجتماعی برای یک رستوران هستید. یک پست متقاعدکننده در فیس بوک بنویسید که تجربه منحصر به فرد غذاخوری و گزینه های منوی خوشمزه را برجسته کند.</v>
      </c>
      <c r="H137" s="1"/>
      <c r="I137" s="1"/>
      <c r="J137" s="1"/>
      <c r="K137" s="1"/>
      <c r="L137" s="1"/>
      <c r="M137" s="1"/>
      <c r="N137" s="1"/>
      <c r="O137" s="1"/>
      <c r="P137" s="1"/>
      <c r="Q137" s="1"/>
      <c r="R137" s="1"/>
      <c r="S137" s="1"/>
      <c r="T137" s="1"/>
      <c r="U137" s="1"/>
      <c r="V137" s="1"/>
      <c r="W137" s="1"/>
      <c r="X137" s="1"/>
      <c r="Y137" s="1"/>
      <c r="Z137" s="1"/>
      <c r="AA137" s="1"/>
      <c r="AB137" s="1"/>
    </row>
    <row r="138" ht="50.25" customHeight="1">
      <c r="A138" s="12">
        <v>134.0</v>
      </c>
      <c r="B138" s="13" t="s">
        <v>6</v>
      </c>
      <c r="C138" s="14" t="s">
        <v>140</v>
      </c>
      <c r="D138" s="1"/>
      <c r="E138" s="15"/>
      <c r="F138" s="1" t="str">
        <f>IFERROR(__xludf.DUMMYFUNCTION("GOOGLETRANSLATE(B138, ""en"", ""fa"")
"),"بازاریابی رسانه های اجتماعی")</f>
        <v>بازاریابی رسانه های اجتماعی</v>
      </c>
      <c r="G138" s="1" t="str">
        <f>IFERROR(__xludf.DUMMYFUNCTION("GOOGLETRANSLATE(C138, ""en"", ""fa"")
"),"به عنوان یک مدیر رسانه های اجتماعی، یک پست لینکدین جذاب برای یک مربی شغلی ایجاد کنید که نکاتی در مورد جستجوی شغل و پیشرفت حرفه ای ارائه می دهد.")</f>
        <v>به عنوان یک مدیر رسانه های اجتماعی، یک پست لینکدین جذاب برای یک مربی شغلی ایجاد کنید که نکاتی در مورد جستجوی شغل و پیشرفت حرفه ای ارائه می دهد.</v>
      </c>
      <c r="H138" s="1"/>
      <c r="I138" s="1"/>
      <c r="J138" s="1"/>
      <c r="K138" s="1"/>
      <c r="L138" s="1"/>
      <c r="M138" s="1"/>
      <c r="N138" s="1"/>
      <c r="O138" s="1"/>
      <c r="P138" s="1"/>
      <c r="Q138" s="1"/>
      <c r="R138" s="1"/>
      <c r="S138" s="1"/>
      <c r="T138" s="1"/>
      <c r="U138" s="1"/>
      <c r="V138" s="1"/>
      <c r="W138" s="1"/>
      <c r="X138" s="1"/>
      <c r="Y138" s="1"/>
      <c r="Z138" s="1"/>
      <c r="AA138" s="1"/>
      <c r="AB138" s="1"/>
    </row>
    <row r="139" ht="50.25" customHeight="1">
      <c r="A139" s="12">
        <v>135.0</v>
      </c>
      <c r="B139" s="13" t="s">
        <v>6</v>
      </c>
      <c r="C139" s="14" t="s">
        <v>141</v>
      </c>
      <c r="D139" s="1"/>
      <c r="E139" s="15"/>
      <c r="F139" s="1" t="str">
        <f>IFERROR(__xludf.DUMMYFUNCTION("GOOGLETRANSLATE(B139, ""en"", ""fa"")
"),"بازاریابی رسانه های اجتماعی")</f>
        <v>بازاریابی رسانه های اجتماعی</v>
      </c>
      <c r="G139" s="1" t="str">
        <f>IFERROR(__xludf.DUMMYFUNCTION("GOOGLETRANSLATE(C139, ""en"", ""fa"")
"),"شما در حال مدیریت یک حساب پینترست برای یک آژانس مسافرتی هستید. یک تابلوی بصری خیره کننده بسازید که دارای مقاصد سفر رویایی است و هوس سرگردانی را در پیروان القا می کند.")</f>
        <v>شما در حال مدیریت یک حساب پینترست برای یک آژانس مسافرتی هستید. یک تابلوی بصری خیره کننده بسازید که دارای مقاصد سفر رویایی است و هوس سرگردانی را در پیروان القا می کند.</v>
      </c>
      <c r="H139" s="1"/>
      <c r="I139" s="1"/>
      <c r="J139" s="1"/>
      <c r="K139" s="1"/>
      <c r="L139" s="1"/>
      <c r="M139" s="1"/>
      <c r="N139" s="1"/>
      <c r="O139" s="1"/>
      <c r="P139" s="1"/>
      <c r="Q139" s="1"/>
      <c r="R139" s="1"/>
      <c r="S139" s="1"/>
      <c r="T139" s="1"/>
      <c r="U139" s="1"/>
      <c r="V139" s="1"/>
      <c r="W139" s="1"/>
      <c r="X139" s="1"/>
      <c r="Y139" s="1"/>
      <c r="Z139" s="1"/>
      <c r="AA139" s="1"/>
      <c r="AB139" s="1"/>
    </row>
    <row r="140" ht="50.25" customHeight="1">
      <c r="A140" s="12">
        <v>136.0</v>
      </c>
      <c r="B140" s="13" t="s">
        <v>6</v>
      </c>
      <c r="C140" s="14" t="s">
        <v>142</v>
      </c>
      <c r="D140" s="1"/>
      <c r="E140" s="15"/>
      <c r="F140" s="1" t="str">
        <f>IFERROR(__xludf.DUMMYFUNCTION("GOOGLETRANSLATE(B140, ""en"", ""fa"")
"),"بازاریابی رسانه های اجتماعی")</f>
        <v>بازاریابی رسانه های اجتماعی</v>
      </c>
      <c r="G140" s="1" t="str">
        <f>IFERROR(__xludf.DUMMYFUNCTION("GOOGLETRANSLATE(C140, ""en"", ""fa"")
"),"شما در حال اجرای یک کمپین رسانه های اجتماعی برای یک برند مراقبت از پوست هستید. یک کپشن اینستاگرام بنویسید که فالوورها را در مورد مزایای محصولاتشان آموزش دهد و روتین مراقبت از پوست را تشویق کند.")</f>
        <v>شما در حال اجرای یک کمپین رسانه های اجتماعی برای یک برند مراقبت از پوست هستید. یک کپشن اینستاگرام بنویسید که فالوورها را در مورد مزایای محصولاتشان آموزش دهد و روتین مراقبت از پوست را تشویق کند.</v>
      </c>
      <c r="H140" s="1"/>
      <c r="I140" s="1"/>
      <c r="J140" s="1"/>
      <c r="K140" s="1"/>
      <c r="L140" s="1"/>
      <c r="M140" s="1"/>
      <c r="N140" s="1"/>
      <c r="O140" s="1"/>
      <c r="P140" s="1"/>
      <c r="Q140" s="1"/>
      <c r="R140" s="1"/>
      <c r="S140" s="1"/>
      <c r="T140" s="1"/>
      <c r="U140" s="1"/>
      <c r="V140" s="1"/>
      <c r="W140" s="1"/>
      <c r="X140" s="1"/>
      <c r="Y140" s="1"/>
      <c r="Z140" s="1"/>
      <c r="AA140" s="1"/>
      <c r="AB140" s="1"/>
    </row>
    <row r="141" ht="50.25" customHeight="1">
      <c r="A141" s="12">
        <v>137.0</v>
      </c>
      <c r="B141" s="13" t="s">
        <v>6</v>
      </c>
      <c r="C141" s="14" t="s">
        <v>143</v>
      </c>
      <c r="D141" s="1"/>
      <c r="E141" s="15"/>
      <c r="F141" s="1" t="str">
        <f>IFERROR(__xludf.DUMMYFUNCTION("GOOGLETRANSLATE(B141, ""en"", ""fa"")
"),"بازاریابی رسانه های اجتماعی")</f>
        <v>بازاریابی رسانه های اجتماعی</v>
      </c>
      <c r="G141" s="1" t="str">
        <f>IFERROR(__xludf.DUMMYFUNCTION("GOOGLETRANSLATE(C141, ""en"", ""fa"")
"),"به‌عنوان مدیر رسانه‌های اجتماعی، یک موضوع جذاب توییتر برای یک طراح مد بنویسید و در مورد الهام‌بخش آخرین مجموعه آنها بحث کنید.")</f>
        <v>به‌عنوان مدیر رسانه‌های اجتماعی، یک موضوع جذاب توییتر برای یک طراح مد بنویسید و در مورد الهام‌بخش آخرین مجموعه آنها بحث کنید.</v>
      </c>
      <c r="H141" s="1"/>
      <c r="I141" s="1"/>
      <c r="J141" s="1"/>
      <c r="K141" s="1"/>
      <c r="L141" s="1"/>
      <c r="M141" s="1"/>
      <c r="N141" s="1"/>
      <c r="O141" s="1"/>
      <c r="P141" s="1"/>
      <c r="Q141" s="1"/>
      <c r="R141" s="1"/>
      <c r="S141" s="1"/>
      <c r="T141" s="1"/>
      <c r="U141" s="1"/>
      <c r="V141" s="1"/>
      <c r="W141" s="1"/>
      <c r="X141" s="1"/>
      <c r="Y141" s="1"/>
      <c r="Z141" s="1"/>
      <c r="AA141" s="1"/>
      <c r="AB141" s="1"/>
    </row>
    <row r="142" ht="50.25" customHeight="1">
      <c r="A142" s="12">
        <v>138.0</v>
      </c>
      <c r="B142" s="13" t="s">
        <v>6</v>
      </c>
      <c r="C142" s="14" t="s">
        <v>144</v>
      </c>
      <c r="D142" s="1"/>
      <c r="E142" s="15"/>
      <c r="F142" s="1" t="str">
        <f>IFERROR(__xludf.DUMMYFUNCTION("GOOGLETRANSLATE(B142, ""en"", ""fa"")
"),"بازاریابی رسانه های اجتماعی")</f>
        <v>بازاریابی رسانه های اجتماعی</v>
      </c>
      <c r="G142" s="1" t="str">
        <f>IFERROR(__xludf.DUMMYFUNCTION("GOOGLETRANSLATE(C142, ""en"", ""fa"")
"),"شما در حال مدیریت یک نمایه LinkedIn برای یک مشاور تجاری هستید. مقاله ای در لینکدین بنویسید که بینش هایی در مورد بهبود بهره وری و کارایی در محل کار به اشتراک بگذارد.")</f>
        <v>شما در حال مدیریت یک نمایه LinkedIn برای یک مشاور تجاری هستید. مقاله ای در لینکدین بنویسید که بینش هایی در مورد بهبود بهره وری و کارایی در محل کار به اشتراک بگذارد.</v>
      </c>
      <c r="H142" s="1"/>
      <c r="I142" s="1"/>
      <c r="J142" s="1"/>
      <c r="K142" s="1"/>
      <c r="L142" s="1"/>
      <c r="M142" s="1"/>
      <c r="N142" s="1"/>
      <c r="O142" s="1"/>
      <c r="P142" s="1"/>
      <c r="Q142" s="1"/>
      <c r="R142" s="1"/>
      <c r="S142" s="1"/>
      <c r="T142" s="1"/>
      <c r="U142" s="1"/>
      <c r="V142" s="1"/>
      <c r="W142" s="1"/>
      <c r="X142" s="1"/>
      <c r="Y142" s="1"/>
      <c r="Z142" s="1"/>
      <c r="AA142" s="1"/>
      <c r="AB142" s="1"/>
    </row>
    <row r="143" ht="50.25" customHeight="1">
      <c r="A143" s="12">
        <v>139.0</v>
      </c>
      <c r="B143" s="13" t="s">
        <v>6</v>
      </c>
      <c r="C143" s="14" t="s">
        <v>145</v>
      </c>
      <c r="D143" s="1"/>
      <c r="E143" s="15"/>
      <c r="F143" s="1" t="str">
        <f>IFERROR(__xludf.DUMMYFUNCTION("GOOGLETRANSLATE(B143, ""en"", ""fa"")
"),"بازاریابی رسانه های اجتماعی")</f>
        <v>بازاریابی رسانه های اجتماعی</v>
      </c>
      <c r="G143" s="1" t="str">
        <f>IFERROR(__xludf.DUMMYFUNCTION("GOOGLETRANSLATE(C143, ""en"", ""fa"")
"),"شما در حال ایجاد یک استراتژی رسانه اجتماعی برای یک سازمان غیرانتفاعی با تمرکز بر حقوق حیوانات هستید. یک شرح رویداد متقاعد کننده فیس بوک لایو بنویسید که از مالکیت مسئولانه حیوان خانگی حمایت می کند.")</f>
        <v>شما در حال ایجاد یک استراتژی رسانه اجتماعی برای یک سازمان غیرانتفاعی با تمرکز بر حقوق حیوانات هستید. یک شرح رویداد متقاعد کننده فیس بوک لایو بنویسید که از مالکیت مسئولانه حیوان خانگی حمایت می کند.</v>
      </c>
      <c r="H143" s="1"/>
      <c r="I143" s="1"/>
      <c r="J143" s="1"/>
      <c r="K143" s="1"/>
      <c r="L143" s="1"/>
      <c r="M143" s="1"/>
      <c r="N143" s="1"/>
      <c r="O143" s="1"/>
      <c r="P143" s="1"/>
      <c r="Q143" s="1"/>
      <c r="R143" s="1"/>
      <c r="S143" s="1"/>
      <c r="T143" s="1"/>
      <c r="U143" s="1"/>
      <c r="V143" s="1"/>
      <c r="W143" s="1"/>
      <c r="X143" s="1"/>
      <c r="Y143" s="1"/>
      <c r="Z143" s="1"/>
      <c r="AA143" s="1"/>
      <c r="AB143" s="1"/>
    </row>
    <row r="144" ht="50.25" customHeight="1">
      <c r="A144" s="12">
        <v>140.0</v>
      </c>
      <c r="B144" s="13" t="s">
        <v>6</v>
      </c>
      <c r="C144" s="14" t="s">
        <v>146</v>
      </c>
      <c r="D144" s="1"/>
      <c r="E144" s="15"/>
      <c r="F144" s="1" t="str">
        <f>IFERROR(__xludf.DUMMYFUNCTION("GOOGLETRANSLATE(B144, ""en"", ""fa"")
"),"بازاریابی رسانه های اجتماعی")</f>
        <v>بازاریابی رسانه های اجتماعی</v>
      </c>
      <c r="G144" s="1" t="str">
        <f>IFERROR(__xludf.DUMMYFUNCTION("GOOGLETRANSLATE(C144, ""en"", ""fa"")
"),"به‌عنوان مدیر رسانه‌های اجتماعی، مجموعه‌ای از پست‌های چرخ فلک اینستاگرام را برای یک مربی شخصی ایجاد کنید که روال‌های تمرینی مختلف و نکات تناسب اندام را به نمایش بگذارید.")</f>
        <v>به‌عنوان مدیر رسانه‌های اجتماعی، مجموعه‌ای از پست‌های چرخ فلک اینستاگرام را برای یک مربی شخصی ایجاد کنید که روال‌های تمرینی مختلف و نکات تناسب اندام را به نمایش بگذارید.</v>
      </c>
      <c r="H144" s="1"/>
      <c r="I144" s="1"/>
      <c r="J144" s="1"/>
      <c r="K144" s="1"/>
      <c r="L144" s="1"/>
      <c r="M144" s="1"/>
      <c r="N144" s="1"/>
      <c r="O144" s="1"/>
      <c r="P144" s="1"/>
      <c r="Q144" s="1"/>
      <c r="R144" s="1"/>
      <c r="S144" s="1"/>
      <c r="T144" s="1"/>
      <c r="U144" s="1"/>
      <c r="V144" s="1"/>
      <c r="W144" s="1"/>
      <c r="X144" s="1"/>
      <c r="Y144" s="1"/>
      <c r="Z144" s="1"/>
      <c r="AA144" s="1"/>
      <c r="AB144" s="1"/>
    </row>
    <row r="145" ht="50.25" customHeight="1">
      <c r="A145" s="12">
        <v>141.0</v>
      </c>
      <c r="B145" s="13" t="s">
        <v>6</v>
      </c>
      <c r="C145" s="14" t="s">
        <v>147</v>
      </c>
      <c r="D145" s="1"/>
      <c r="E145" s="15"/>
      <c r="F145" s="1" t="str">
        <f>IFERROR(__xludf.DUMMYFUNCTION("GOOGLETRANSLATE(B145, ""en"", ""fa"")
"),"بازاریابی رسانه های اجتماعی")</f>
        <v>بازاریابی رسانه های اجتماعی</v>
      </c>
      <c r="G145" s="1" t="str">
        <f>IFERROR(__xludf.DUMMYFUNCTION("GOOGLETRANSLATE(C145, ""en"", ""fa"")
"),"شما در حال مدیریت یک کانال YouTube برای علاقه مندان به آشپزی هستید. یک تصویر کوچک ویدیویی و عنوان جذابی برای یک ویدیوی دستور تهیه کنید که شامل یک غذای خوشمزه و آسان است.")</f>
        <v>شما در حال مدیریت یک کانال YouTube برای علاقه مندان به آشپزی هستید. یک تصویر کوچک ویدیویی و عنوان جذابی برای یک ویدیوی دستور تهیه کنید که شامل یک غذای خوشمزه و آسان است.</v>
      </c>
      <c r="H145" s="1"/>
      <c r="I145" s="1"/>
      <c r="J145" s="1"/>
      <c r="K145" s="1"/>
      <c r="L145" s="1"/>
      <c r="M145" s="1"/>
      <c r="N145" s="1"/>
      <c r="O145" s="1"/>
      <c r="P145" s="1"/>
      <c r="Q145" s="1"/>
      <c r="R145" s="1"/>
      <c r="S145" s="1"/>
      <c r="T145" s="1"/>
      <c r="U145" s="1"/>
      <c r="V145" s="1"/>
      <c r="W145" s="1"/>
      <c r="X145" s="1"/>
      <c r="Y145" s="1"/>
      <c r="Z145" s="1"/>
      <c r="AA145" s="1"/>
      <c r="AB145" s="1"/>
    </row>
    <row r="146" ht="50.25" customHeight="1">
      <c r="A146" s="12">
        <v>142.0</v>
      </c>
      <c r="B146" s="13" t="s">
        <v>6</v>
      </c>
      <c r="C146" s="14" t="s">
        <v>148</v>
      </c>
      <c r="D146" s="1"/>
      <c r="E146" s="15"/>
      <c r="F146" s="1" t="str">
        <f>IFERROR(__xludf.DUMMYFUNCTION("GOOGLETRANSLATE(B146, ""en"", ""fa"")
"),"بازاریابی رسانه های اجتماعی")</f>
        <v>بازاریابی رسانه های اجتماعی</v>
      </c>
      <c r="G146" s="1" t="str">
        <f>IFERROR(__xludf.DUMMYFUNCTION("GOOGLETRANSLATE(C146, ""en"", ""fa"")
"),"شما در حال برگزاری یک مسابقه رسانه های اجتماعی برای یک برند لوازم جانبی مد هستید. پستی در اینستاگرام بنویسید که فالوورها را ترغیب کند تا نکات استایل لوازم جانبی مورد علاقه خود را با شانس برنده شدن یک کارت هدیه به اشتراک بگذارند.")</f>
        <v>شما در حال برگزاری یک مسابقه رسانه های اجتماعی برای یک برند لوازم جانبی مد هستید. پستی در اینستاگرام بنویسید که فالوورها را ترغیب کند تا نکات استایل لوازم جانبی مورد علاقه خود را با شانس برنده شدن یک کارت هدیه به اشتراک بگذارند.</v>
      </c>
      <c r="H146" s="1"/>
      <c r="I146" s="1"/>
      <c r="J146" s="1"/>
      <c r="K146" s="1"/>
      <c r="L146" s="1"/>
      <c r="M146" s="1"/>
      <c r="N146" s="1"/>
      <c r="O146" s="1"/>
      <c r="P146" s="1"/>
      <c r="Q146" s="1"/>
      <c r="R146" s="1"/>
      <c r="S146" s="1"/>
      <c r="T146" s="1"/>
      <c r="U146" s="1"/>
      <c r="V146" s="1"/>
      <c r="W146" s="1"/>
      <c r="X146" s="1"/>
      <c r="Y146" s="1"/>
      <c r="Z146" s="1"/>
      <c r="AA146" s="1"/>
      <c r="AB146" s="1"/>
    </row>
    <row r="147" ht="50.25" customHeight="1">
      <c r="A147" s="12">
        <v>143.0</v>
      </c>
      <c r="B147" s="13" t="s">
        <v>6</v>
      </c>
      <c r="C147" s="14" t="s">
        <v>149</v>
      </c>
      <c r="D147" s="1"/>
      <c r="E147" s="15"/>
      <c r="F147" s="1" t="str">
        <f>IFERROR(__xludf.DUMMYFUNCTION("GOOGLETRANSLATE(B147, ""en"", ""fa"")
"),"بازاریابی رسانه های اجتماعی")</f>
        <v>بازاریابی رسانه های اجتماعی</v>
      </c>
      <c r="G147" s="1" t="str">
        <f>IFERROR(__xludf.DUMMYFUNCTION("GOOGLETRANSLATE(C147, ""en"", ""fa"")
"),"به عنوان یک مدیر رسانه های اجتماعی، یک پست وبلاگ جذاب برای یک مربی سلامتی بنویسید و در مورد اهمیت مراقبت از خود بحث کنید و نکات عملی برای گنجاندن آن در زندگی روزمره ارائه دهید.")</f>
        <v>به عنوان یک مدیر رسانه های اجتماعی، یک پست وبلاگ جذاب برای یک مربی سلامتی بنویسید و در مورد اهمیت مراقبت از خود بحث کنید و نکات عملی برای گنجاندن آن در زندگی روزمره ارائه دهید.</v>
      </c>
      <c r="H147" s="1"/>
      <c r="I147" s="1"/>
      <c r="J147" s="1"/>
      <c r="K147" s="1"/>
      <c r="L147" s="1"/>
      <c r="M147" s="1"/>
      <c r="N147" s="1"/>
      <c r="O147" s="1"/>
      <c r="P147" s="1"/>
      <c r="Q147" s="1"/>
      <c r="R147" s="1"/>
      <c r="S147" s="1"/>
      <c r="T147" s="1"/>
      <c r="U147" s="1"/>
      <c r="V147" s="1"/>
      <c r="W147" s="1"/>
      <c r="X147" s="1"/>
      <c r="Y147" s="1"/>
      <c r="Z147" s="1"/>
      <c r="AA147" s="1"/>
      <c r="AB147" s="1"/>
    </row>
    <row r="148" ht="50.25" customHeight="1">
      <c r="A148" s="12">
        <v>144.0</v>
      </c>
      <c r="B148" s="13" t="s">
        <v>6</v>
      </c>
      <c r="C148" s="14" t="s">
        <v>150</v>
      </c>
      <c r="D148" s="1"/>
      <c r="E148" s="15"/>
      <c r="F148" s="1" t="str">
        <f>IFERROR(__xludf.DUMMYFUNCTION("GOOGLETRANSLATE(B148, ""en"", ""fa"")
"),"بازاریابی رسانه های اجتماعی")</f>
        <v>بازاریابی رسانه های اجتماعی</v>
      </c>
      <c r="G148" s="1" t="str">
        <f>IFERROR(__xludf.DUMMYFUNCTION("GOOGLETRANSLATE(C148, ""en"", ""fa"")
"),"شما در حال مدیریت اکانت اینستاگرام یک اینفلوئنسر هستید که بر روی دکوراسیون منزل متمرکز است. برای عکسی که اتاقی با طراحی زیبا را به نمایش می‌گذارد، نکات طراحی را ارائه می‌دهد و پیروان را تشویق می‌کند تا پناهگاه خود را ایجاد کنند، شرحی بنویسید.")</f>
        <v>شما در حال مدیریت اکانت اینستاگرام یک اینفلوئنسر هستید که بر روی دکوراسیون منزل متمرکز است. برای عکسی که اتاقی با طراحی زیبا را به نمایش می‌گذارد، نکات طراحی را ارائه می‌دهد و پیروان را تشویق می‌کند تا پناهگاه خود را ایجاد کنند، شرحی بنویسید.</v>
      </c>
      <c r="H148" s="1"/>
      <c r="I148" s="1"/>
      <c r="J148" s="1"/>
      <c r="K148" s="1"/>
      <c r="L148" s="1"/>
      <c r="M148" s="1"/>
      <c r="N148" s="1"/>
      <c r="O148" s="1"/>
      <c r="P148" s="1"/>
      <c r="Q148" s="1"/>
      <c r="R148" s="1"/>
      <c r="S148" s="1"/>
      <c r="T148" s="1"/>
      <c r="U148" s="1"/>
      <c r="V148" s="1"/>
      <c r="W148" s="1"/>
      <c r="X148" s="1"/>
      <c r="Y148" s="1"/>
      <c r="Z148" s="1"/>
      <c r="AA148" s="1"/>
      <c r="AB148" s="1"/>
    </row>
    <row r="149" ht="50.25" customHeight="1">
      <c r="A149" s="12">
        <v>145.0</v>
      </c>
      <c r="B149" s="13" t="s">
        <v>6</v>
      </c>
      <c r="C149" s="14" t="s">
        <v>151</v>
      </c>
      <c r="D149" s="1"/>
      <c r="E149" s="15"/>
      <c r="F149" s="1" t="str">
        <f>IFERROR(__xludf.DUMMYFUNCTION("GOOGLETRANSLATE(B149, ""en"", ""fa"")
"),"بازاریابی رسانه های اجتماعی")</f>
        <v>بازاریابی رسانه های اجتماعی</v>
      </c>
      <c r="G149" s="1" t="str">
        <f>IFERROR(__xludf.DUMMYFUNCTION("GOOGLETRANSLATE(C149, ""en"", ""fa"")
"),"شما در حال ایجاد یک استراتژی رسانه اجتماعی برای یک سازمان غیرانتفاعی با تمرکز بر سلامت روان هستید. یک تاپیک متقاعدکننده در توییتر بنویسید که آگاهی را در مورد مسائل بهداشت روانی افزایش دهد و منابع سازمان را ارتقا دهد.")</f>
        <v>شما در حال ایجاد یک استراتژی رسانه اجتماعی برای یک سازمان غیرانتفاعی با تمرکز بر سلامت روان هستید. یک تاپیک متقاعدکننده در توییتر بنویسید که آگاهی را در مورد مسائل بهداشت روانی افزایش دهد و منابع سازمان را ارتقا دهد.</v>
      </c>
      <c r="H149" s="1"/>
      <c r="I149" s="1"/>
      <c r="J149" s="1"/>
      <c r="K149" s="1"/>
      <c r="L149" s="1"/>
      <c r="M149" s="1"/>
      <c r="N149" s="1"/>
      <c r="O149" s="1"/>
      <c r="P149" s="1"/>
      <c r="Q149" s="1"/>
      <c r="R149" s="1"/>
      <c r="S149" s="1"/>
      <c r="T149" s="1"/>
      <c r="U149" s="1"/>
      <c r="V149" s="1"/>
      <c r="W149" s="1"/>
      <c r="X149" s="1"/>
      <c r="Y149" s="1"/>
      <c r="Z149" s="1"/>
      <c r="AA149" s="1"/>
      <c r="AB149" s="1"/>
    </row>
    <row r="150" ht="50.25" customHeight="1">
      <c r="A150" s="12">
        <v>146.0</v>
      </c>
      <c r="B150" s="13" t="s">
        <v>6</v>
      </c>
      <c r="C150" s="14" t="s">
        <v>152</v>
      </c>
      <c r="D150" s="1"/>
      <c r="E150" s="15"/>
      <c r="F150" s="1" t="str">
        <f>IFERROR(__xludf.DUMMYFUNCTION("GOOGLETRANSLATE(B150, ""en"", ""fa"")
"),"بازاریابی رسانه های اجتماعی")</f>
        <v>بازاریابی رسانه های اجتماعی</v>
      </c>
      <c r="G150" s="1" t="str">
        <f>IFERROR(__xludf.DUMMYFUNCTION("GOOGLETRANSLATE(C150, ""en"", ""fa"")
"),"به عنوان یک مدیر رسانه های اجتماعی، یک پست لینکدین آموزنده برای یک شرکت نرم افزاری ایجاد کنید و در مورد مزایای آخرین محصول آنها و چگونگی بهبود بهره وری صحبت کنید.")</f>
        <v>به عنوان یک مدیر رسانه های اجتماعی، یک پست لینکدین آموزنده برای یک شرکت نرم افزاری ایجاد کنید و در مورد مزایای آخرین محصول آنها و چگونگی بهبود بهره وری صحبت کنید.</v>
      </c>
      <c r="H150" s="1"/>
      <c r="I150" s="1"/>
      <c r="J150" s="1"/>
      <c r="K150" s="1"/>
      <c r="L150" s="1"/>
      <c r="M150" s="1"/>
      <c r="N150" s="1"/>
      <c r="O150" s="1"/>
      <c r="P150" s="1"/>
      <c r="Q150" s="1"/>
      <c r="R150" s="1"/>
      <c r="S150" s="1"/>
      <c r="T150" s="1"/>
      <c r="U150" s="1"/>
      <c r="V150" s="1"/>
      <c r="W150" s="1"/>
      <c r="X150" s="1"/>
      <c r="Y150" s="1"/>
      <c r="Z150" s="1"/>
      <c r="AA150" s="1"/>
      <c r="AB150" s="1"/>
    </row>
    <row r="151" ht="50.25" customHeight="1">
      <c r="A151" s="12">
        <v>147.0</v>
      </c>
      <c r="B151" s="13" t="s">
        <v>6</v>
      </c>
      <c r="C151" s="14" t="s">
        <v>153</v>
      </c>
      <c r="D151" s="1"/>
      <c r="E151" s="15"/>
      <c r="F151" s="1" t="str">
        <f>IFERROR(__xludf.DUMMYFUNCTION("GOOGLETRANSLATE(B151, ""en"", ""fa"")
"),"بازاریابی رسانه های اجتماعی")</f>
        <v>بازاریابی رسانه های اجتماعی</v>
      </c>
      <c r="G151" s="1" t="str">
        <f>IFERROR(__xludf.DUMMYFUNCTION("GOOGLETRANSLATE(C151, ""en"", ""fa"")
"),"شما در حال مدیریت یک صفحه فیس بوک برای آژانس مسافرتی هستید. پستی بنویسید که یک مقصد سفر منحصر به فرد را برجسته کند و دنبال کنندگان را به رزرو ماجراجویی بعدی خود دعوت کند.")</f>
        <v>شما در حال مدیریت یک صفحه فیس بوک برای آژانس مسافرتی هستید. پستی بنویسید که یک مقصد سفر منحصر به فرد را برجسته کند و دنبال کنندگان را به رزرو ماجراجویی بعدی خود دعوت کند.</v>
      </c>
      <c r="H151" s="1"/>
      <c r="I151" s="1"/>
      <c r="J151" s="1"/>
      <c r="K151" s="1"/>
      <c r="L151" s="1"/>
      <c r="M151" s="1"/>
      <c r="N151" s="1"/>
      <c r="O151" s="1"/>
      <c r="P151" s="1"/>
      <c r="Q151" s="1"/>
      <c r="R151" s="1"/>
      <c r="S151" s="1"/>
      <c r="T151" s="1"/>
      <c r="U151" s="1"/>
      <c r="V151" s="1"/>
      <c r="W151" s="1"/>
      <c r="X151" s="1"/>
      <c r="Y151" s="1"/>
      <c r="Z151" s="1"/>
      <c r="AA151" s="1"/>
      <c r="AB151" s="1"/>
    </row>
    <row r="152" ht="50.25" customHeight="1">
      <c r="A152" s="12">
        <v>148.0</v>
      </c>
      <c r="B152" s="13" t="s">
        <v>6</v>
      </c>
      <c r="C152" s="14" t="s">
        <v>154</v>
      </c>
      <c r="D152" s="1"/>
      <c r="E152" s="15"/>
      <c r="F152" s="1" t="str">
        <f>IFERROR(__xludf.DUMMYFUNCTION("GOOGLETRANSLATE(B152, ""en"", ""fa"")
"),"بازاریابی رسانه های اجتماعی")</f>
        <v>بازاریابی رسانه های اجتماعی</v>
      </c>
      <c r="G152" s="1" t="str">
        <f>IFERROR(__xludf.DUMMYFUNCTION("GOOGLETRANSLATE(C152, ""en"", ""fa"")
"),"شما در حال اجرای یک کمپین رسانه های اجتماعی برای یک برند پوشاک تناسب اندام هستید. یک کپشن اینستاگرام بنویسید که دنبال کنندگان را تشویق کند تا سبک زندگی فعال را بپذیرند و محصولات برند را در عمل به نمایش بگذارد.")</f>
        <v>شما در حال اجرای یک کمپین رسانه های اجتماعی برای یک برند پوشاک تناسب اندام هستید. یک کپشن اینستاگرام بنویسید که دنبال کنندگان را تشویق کند تا سبک زندگی فعال را بپذیرند و محصولات برند را در عمل به نمایش بگذارد.</v>
      </c>
      <c r="H152" s="1"/>
      <c r="I152" s="1"/>
      <c r="J152" s="1"/>
      <c r="K152" s="1"/>
      <c r="L152" s="1"/>
      <c r="M152" s="1"/>
      <c r="N152" s="1"/>
      <c r="O152" s="1"/>
      <c r="P152" s="1"/>
      <c r="Q152" s="1"/>
      <c r="R152" s="1"/>
      <c r="S152" s="1"/>
      <c r="T152" s="1"/>
      <c r="U152" s="1"/>
      <c r="V152" s="1"/>
      <c r="W152" s="1"/>
      <c r="X152" s="1"/>
      <c r="Y152" s="1"/>
      <c r="Z152" s="1"/>
      <c r="AA152" s="1"/>
      <c r="AB152" s="1"/>
    </row>
    <row r="153" ht="50.25" customHeight="1">
      <c r="A153" s="12">
        <v>149.0</v>
      </c>
      <c r="B153" s="13" t="s">
        <v>6</v>
      </c>
      <c r="C153" s="14" t="s">
        <v>155</v>
      </c>
      <c r="D153" s="1"/>
      <c r="E153" s="15"/>
      <c r="F153" s="1" t="str">
        <f>IFERROR(__xludf.DUMMYFUNCTION("GOOGLETRANSLATE(B153, ""en"", ""fa"")
"),"بازاریابی رسانه های اجتماعی")</f>
        <v>بازاریابی رسانه های اجتماعی</v>
      </c>
      <c r="G153" s="1" t="str">
        <f>IFERROR(__xludf.DUMMYFUNCTION("GOOGLETRANSLATE(C153, ""en"", ""fa"")
"),"به عنوان یک مدیر رسانه های اجتماعی، یک پست وبلاگ متقاعدکننده برای یک خالق محصول دیجیتال بنویسید و در مورد مزایای محصول آنها و چگونگی حل یک مشکل رایج بحث کنید.")</f>
        <v>به عنوان یک مدیر رسانه های اجتماعی، یک پست وبلاگ متقاعدکننده برای یک خالق محصول دیجیتال بنویسید و در مورد مزایای محصول آنها و چگونگی حل یک مشکل رایج بحث کنید.</v>
      </c>
      <c r="H153" s="1"/>
      <c r="I153" s="1"/>
      <c r="J153" s="1"/>
      <c r="K153" s="1"/>
      <c r="L153" s="1"/>
      <c r="M153" s="1"/>
      <c r="N153" s="1"/>
      <c r="O153" s="1"/>
      <c r="P153" s="1"/>
      <c r="Q153" s="1"/>
      <c r="R153" s="1"/>
      <c r="S153" s="1"/>
      <c r="T153" s="1"/>
      <c r="U153" s="1"/>
      <c r="V153" s="1"/>
      <c r="W153" s="1"/>
      <c r="X153" s="1"/>
      <c r="Y153" s="1"/>
      <c r="Z153" s="1"/>
      <c r="AA153" s="1"/>
      <c r="AB153" s="1"/>
    </row>
    <row r="154" ht="50.25" customHeight="1">
      <c r="A154" s="12">
        <v>150.0</v>
      </c>
      <c r="B154" s="13" t="s">
        <v>6</v>
      </c>
      <c r="C154" s="14" t="s">
        <v>156</v>
      </c>
      <c r="D154" s="1"/>
      <c r="E154" s="15"/>
      <c r="F154" s="1" t="str">
        <f>IFERROR(__xludf.DUMMYFUNCTION("GOOGLETRANSLATE(B154, ""en"", ""fa"")
"),"بازاریابی رسانه های اجتماعی")</f>
        <v>بازاریابی رسانه های اجتماعی</v>
      </c>
      <c r="G154" s="1" t="str">
        <f>IFERROR(__xludf.DUMMYFUNCTION("GOOGLETRANSLATE(C154, ""en"", ""fa"")
"),"شما در حال مدیریت یک حساب کاربری Pinterest برای یک تأثیرگذار زیبایی هستید. یک سنجاق بصری خیره کننده ایجاد کنید که دارای یک آموزش آرایش است و یک تکنیک آرایش یا روند خاص را برجسته می کند.")</f>
        <v>شما در حال مدیریت یک حساب کاربری Pinterest برای یک تأثیرگذار زیبایی هستید. یک سنجاق بصری خیره کننده ایجاد کنید که دارای یک آموزش آرایش است و یک تکنیک آرایش یا روند خاص را برجسته می کند.</v>
      </c>
      <c r="H154" s="1"/>
      <c r="I154" s="1"/>
      <c r="J154" s="1"/>
      <c r="K154" s="1"/>
      <c r="L154" s="1"/>
      <c r="M154" s="1"/>
      <c r="N154" s="1"/>
      <c r="O154" s="1"/>
      <c r="P154" s="1"/>
      <c r="Q154" s="1"/>
      <c r="R154" s="1"/>
      <c r="S154" s="1"/>
      <c r="T154" s="1"/>
      <c r="U154" s="1"/>
      <c r="V154" s="1"/>
      <c r="W154" s="1"/>
      <c r="X154" s="1"/>
      <c r="Y154" s="1"/>
      <c r="Z154" s="1"/>
      <c r="AA154" s="1"/>
      <c r="AB154" s="1"/>
    </row>
    <row r="155" ht="50.25" customHeight="1">
      <c r="A155" s="12">
        <v>151.0</v>
      </c>
      <c r="B155" s="13" t="s">
        <v>6</v>
      </c>
      <c r="C155" s="14" t="s">
        <v>157</v>
      </c>
      <c r="D155" s="1"/>
      <c r="E155" s="15"/>
      <c r="F155" s="1" t="str">
        <f>IFERROR(__xludf.DUMMYFUNCTION("GOOGLETRANSLATE(B155, ""en"", ""fa"")
"),"بازاریابی رسانه های اجتماعی")</f>
        <v>بازاریابی رسانه های اجتماعی</v>
      </c>
      <c r="G155" s="1" t="str">
        <f>IFERROR(__xludf.DUMMYFUNCTION("GOOGLETRANSLATE(C155, ""en"", ""fa"")
"),"شما در حال ایجاد یک استراتژی رسانه اجتماعی برای یک سازمان غیرانتفاعی هستید که بر پایداری محیطی متمرکز است. یک پست فیسبوک متقاعدکننده بنویسید که آگاهی را در مورد اهمیت بازیافت افزایش دهد و نکات عملی را ارائه دهد.")</f>
        <v>شما در حال ایجاد یک استراتژی رسانه اجتماعی برای یک سازمان غیرانتفاعی هستید که بر پایداری محیطی متمرکز است. یک پست فیسبوک متقاعدکننده بنویسید که آگاهی را در مورد اهمیت بازیافت افزایش دهد و نکات عملی را ارائه دهد.</v>
      </c>
      <c r="H155" s="1"/>
      <c r="I155" s="1"/>
      <c r="J155" s="1"/>
      <c r="K155" s="1"/>
      <c r="L155" s="1"/>
      <c r="M155" s="1"/>
      <c r="N155" s="1"/>
      <c r="O155" s="1"/>
      <c r="P155" s="1"/>
      <c r="Q155" s="1"/>
      <c r="R155" s="1"/>
      <c r="S155" s="1"/>
      <c r="T155" s="1"/>
      <c r="U155" s="1"/>
      <c r="V155" s="1"/>
      <c r="W155" s="1"/>
      <c r="X155" s="1"/>
      <c r="Y155" s="1"/>
      <c r="Z155" s="1"/>
      <c r="AA155" s="1"/>
      <c r="AB155" s="1"/>
    </row>
    <row r="156" ht="50.25" customHeight="1">
      <c r="A156" s="12">
        <v>152.0</v>
      </c>
      <c r="B156" s="13" t="s">
        <v>6</v>
      </c>
      <c r="C156" s="14" t="s">
        <v>158</v>
      </c>
      <c r="D156" s="1"/>
      <c r="E156" s="15"/>
      <c r="F156" s="1" t="str">
        <f>IFERROR(__xludf.DUMMYFUNCTION("GOOGLETRANSLATE(B156, ""en"", ""fa"")
"),"بازاریابی رسانه های اجتماعی")</f>
        <v>بازاریابی رسانه های اجتماعی</v>
      </c>
      <c r="G156" s="1" t="str">
        <f>IFERROR(__xludf.DUMMYFUNCTION("GOOGLETRANSLATE(C156, ""en"", ""fa"")
"),"به‌عنوان مدیر رسانه‌های اجتماعی، یک تصویر کوچک و عنوان جذاب YouTube برای ویدیویی ایجاد کنید که درباره آخرین روندها و استراتژی‌های رسانه‌های اجتماعی بحث می‌کند.")</f>
        <v>به‌عنوان مدیر رسانه‌های اجتماعی، یک تصویر کوچک و عنوان جذاب YouTube برای ویدیویی ایجاد کنید که درباره آخرین روندها و استراتژی‌های رسانه‌های اجتماعی بحث می‌کند.</v>
      </c>
      <c r="H156" s="1"/>
      <c r="I156" s="1"/>
      <c r="J156" s="1"/>
      <c r="K156" s="1"/>
      <c r="L156" s="1"/>
      <c r="M156" s="1"/>
      <c r="N156" s="1"/>
      <c r="O156" s="1"/>
      <c r="P156" s="1"/>
      <c r="Q156" s="1"/>
      <c r="R156" s="1"/>
      <c r="S156" s="1"/>
      <c r="T156" s="1"/>
      <c r="U156" s="1"/>
      <c r="V156" s="1"/>
      <c r="W156" s="1"/>
      <c r="X156" s="1"/>
      <c r="Y156" s="1"/>
      <c r="Z156" s="1"/>
      <c r="AA156" s="1"/>
      <c r="AB156" s="1"/>
    </row>
    <row r="157" ht="50.25" customHeight="1">
      <c r="A157" s="12">
        <v>153.0</v>
      </c>
      <c r="B157" s="13" t="s">
        <v>6</v>
      </c>
      <c r="C157" s="14" t="s">
        <v>159</v>
      </c>
      <c r="D157" s="1"/>
      <c r="E157" s="15"/>
      <c r="F157" s="1" t="str">
        <f>IFERROR(__xludf.DUMMYFUNCTION("GOOGLETRANSLATE(B157, ""en"", ""fa"")
"),"بازاریابی رسانه های اجتماعی")</f>
        <v>بازاریابی رسانه های اجتماعی</v>
      </c>
      <c r="G157" s="1" t="str">
        <f>IFERROR(__xludf.DUMMYFUNCTION("GOOGLETRANSLATE(C157, ""en"", ""fa"")
"),"شما در حال مدیریت یک حساب اینستاگرام برای یک وبلاگ غذایی هستید. برای عکسی از یک غذای لذیذ، توضیحی جذاب بنویسید، از جمله دستور غذا و از دنبال کنندگان دعوت کنید خودشان آن را امتحان کنند.")</f>
        <v>شما در حال مدیریت یک حساب اینستاگرام برای یک وبلاگ غذایی هستید. برای عکسی از یک غذای لذیذ، توضیحی جذاب بنویسید، از جمله دستور غذا و از دنبال کنندگان دعوت کنید خودشان آن را امتحان کنند.</v>
      </c>
      <c r="H157" s="1"/>
      <c r="I157" s="1"/>
      <c r="J157" s="1"/>
      <c r="K157" s="1"/>
      <c r="L157" s="1"/>
      <c r="M157" s="1"/>
      <c r="N157" s="1"/>
      <c r="O157" s="1"/>
      <c r="P157" s="1"/>
      <c r="Q157" s="1"/>
      <c r="R157" s="1"/>
      <c r="S157" s="1"/>
      <c r="T157" s="1"/>
      <c r="U157" s="1"/>
      <c r="V157" s="1"/>
      <c r="W157" s="1"/>
      <c r="X157" s="1"/>
      <c r="Y157" s="1"/>
      <c r="Z157" s="1"/>
      <c r="AA157" s="1"/>
      <c r="AB157" s="1"/>
    </row>
    <row r="158" ht="50.25" customHeight="1">
      <c r="A158" s="12">
        <v>154.0</v>
      </c>
      <c r="B158" s="13" t="s">
        <v>6</v>
      </c>
      <c r="C158" s="14" t="s">
        <v>160</v>
      </c>
      <c r="D158" s="1"/>
      <c r="E158" s="15"/>
      <c r="F158" s="1" t="str">
        <f>IFERROR(__xludf.DUMMYFUNCTION("GOOGLETRANSLATE(B158, ""en"", ""fa"")
"),"بازاریابی رسانه های اجتماعی")</f>
        <v>بازاریابی رسانه های اجتماعی</v>
      </c>
      <c r="G158" s="1" t="str">
        <f>IFERROR(__xludf.DUMMYFUNCTION("GOOGLETRANSLATE(C158, ""en"", ""fa"")
"),"شما در حال اجرای یک مسابقه رسانه های اجتماعی برای یک برند ابزارهای فناوری هستید. توییتی بنویسید که فالوورها را تشویق کند تا ایده‌های نوآورانه خود را برای استفاده از محصولات این برند به اشتراک بگذارند و شانس برنده شدن یک ابزار جدید را داشته باشند.")</f>
        <v>شما در حال اجرای یک مسابقه رسانه های اجتماعی برای یک برند ابزارهای فناوری هستید. توییتی بنویسید که فالوورها را تشویق کند تا ایده‌های نوآورانه خود را برای استفاده از محصولات این برند به اشتراک بگذارند و شانس برنده شدن یک ابزار جدید را داشته باشند.</v>
      </c>
      <c r="H158" s="1"/>
      <c r="I158" s="1"/>
      <c r="J158" s="1"/>
      <c r="K158" s="1"/>
      <c r="L158" s="1"/>
      <c r="M158" s="1"/>
      <c r="N158" s="1"/>
      <c r="O158" s="1"/>
      <c r="P158" s="1"/>
      <c r="Q158" s="1"/>
      <c r="R158" s="1"/>
      <c r="S158" s="1"/>
      <c r="T158" s="1"/>
      <c r="U158" s="1"/>
      <c r="V158" s="1"/>
      <c r="W158" s="1"/>
      <c r="X158" s="1"/>
      <c r="Y158" s="1"/>
      <c r="Z158" s="1"/>
      <c r="AA158" s="1"/>
      <c r="AB158" s="1"/>
    </row>
    <row r="159" ht="50.25" customHeight="1">
      <c r="A159" s="12">
        <v>155.0</v>
      </c>
      <c r="B159" s="13" t="s">
        <v>6</v>
      </c>
      <c r="C159" s="14" t="s">
        <v>161</v>
      </c>
      <c r="D159" s="1"/>
      <c r="E159" s="15"/>
      <c r="F159" s="1" t="str">
        <f>IFERROR(__xludf.DUMMYFUNCTION("GOOGLETRANSLATE(B159, ""en"", ""fa"")
"),"بازاریابی رسانه های اجتماعی")</f>
        <v>بازاریابی رسانه های اجتماعی</v>
      </c>
      <c r="G159" s="1" t="str">
        <f>IFERROR(__xludf.DUMMYFUNCTION("GOOGLETRANSLATE(C159, ""en"", ""fa"")
"),"به عنوان یک مدیر رسانه های اجتماعی، یک پست آموزنده در لینکدین برای یک مربی کسب و کار بنویسید که نکاتی در مورد شبکه سازی موثر و ایجاد روابط حرفه ای ارائه می دهد.")</f>
        <v>به عنوان یک مدیر رسانه های اجتماعی، یک پست آموزنده در لینکدین برای یک مربی کسب و کار بنویسید که نکاتی در مورد شبکه سازی موثر و ایجاد روابط حرفه ای ارائه می دهد.</v>
      </c>
      <c r="H159" s="1"/>
      <c r="I159" s="1"/>
      <c r="J159" s="1"/>
      <c r="K159" s="1"/>
      <c r="L159" s="1"/>
      <c r="M159" s="1"/>
      <c r="N159" s="1"/>
      <c r="O159" s="1"/>
      <c r="P159" s="1"/>
      <c r="Q159" s="1"/>
      <c r="R159" s="1"/>
      <c r="S159" s="1"/>
      <c r="T159" s="1"/>
      <c r="U159" s="1"/>
      <c r="V159" s="1"/>
      <c r="W159" s="1"/>
      <c r="X159" s="1"/>
      <c r="Y159" s="1"/>
      <c r="Z159" s="1"/>
      <c r="AA159" s="1"/>
      <c r="AB159" s="1"/>
    </row>
    <row r="160" ht="50.25" customHeight="1">
      <c r="A160" s="12">
        <v>156.0</v>
      </c>
      <c r="B160" s="13" t="s">
        <v>6</v>
      </c>
      <c r="C160" s="14" t="s">
        <v>162</v>
      </c>
      <c r="D160" s="1"/>
      <c r="E160" s="15"/>
      <c r="F160" s="1" t="str">
        <f>IFERROR(__xludf.DUMMYFUNCTION("GOOGLETRANSLATE(B160, ""en"", ""fa"")
"),"بازاریابی رسانه های اجتماعی")</f>
        <v>بازاریابی رسانه های اجتماعی</v>
      </c>
      <c r="G160" s="1" t="str">
        <f>IFERROR(__xludf.DUMMYFUNCTION("GOOGLETRANSLATE(C160, ""en"", ""fa"")
"),"شما در حال مدیریت یک کانال YouTube برای تأثیرگذار سبک زندگی هستید. یک عنوان ویدیویی و توضیحات قانع‌کننده برای ویدیویی که در مورد خودسازی و رشد شخصی بحث می‌کند بسازید.")</f>
        <v>شما در حال مدیریت یک کانال YouTube برای تأثیرگذار سبک زندگی هستید. یک عنوان ویدیویی و توضیحات قانع‌کننده برای ویدیویی که در مورد خودسازی و رشد شخصی بحث می‌کند بسازید.</v>
      </c>
      <c r="H160" s="1"/>
      <c r="I160" s="1"/>
      <c r="J160" s="1"/>
      <c r="K160" s="1"/>
      <c r="L160" s="1"/>
      <c r="M160" s="1"/>
      <c r="N160" s="1"/>
      <c r="O160" s="1"/>
      <c r="P160" s="1"/>
      <c r="Q160" s="1"/>
      <c r="R160" s="1"/>
      <c r="S160" s="1"/>
      <c r="T160" s="1"/>
      <c r="U160" s="1"/>
      <c r="V160" s="1"/>
      <c r="W160" s="1"/>
      <c r="X160" s="1"/>
      <c r="Y160" s="1"/>
      <c r="Z160" s="1"/>
      <c r="AA160" s="1"/>
      <c r="AB160" s="1"/>
    </row>
    <row r="161" ht="50.25" customHeight="1">
      <c r="A161" s="12">
        <v>157.0</v>
      </c>
      <c r="B161" s="13" t="s">
        <v>6</v>
      </c>
      <c r="C161" s="14" t="s">
        <v>163</v>
      </c>
      <c r="D161" s="1"/>
      <c r="E161" s="15"/>
      <c r="F161" s="1" t="str">
        <f>IFERROR(__xludf.DUMMYFUNCTION("GOOGLETRANSLATE(B161, ""en"", ""fa"")
"),"بازاریابی رسانه های اجتماعی")</f>
        <v>بازاریابی رسانه های اجتماعی</v>
      </c>
      <c r="G161" s="1" t="str">
        <f>IFERROR(__xludf.DUMMYFUNCTION("GOOGLETRANSLATE(C161, ""en"", ""fa"")
"),"شما در حال ایجاد یک استراتژی رسانه اجتماعی برای یک سازمان غیرانتفاعی با تمرکز بر آموزش هستید. یک کپشن متقاعدکننده در اینستاگرام بنویسید که تأثیر آموزش بر افراد و جامعه را برجسته کند.")</f>
        <v>شما در حال ایجاد یک استراتژی رسانه اجتماعی برای یک سازمان غیرانتفاعی با تمرکز بر آموزش هستید. یک کپشن متقاعدکننده در اینستاگرام بنویسید که تأثیر آموزش بر افراد و جامعه را برجسته کند.</v>
      </c>
      <c r="H161" s="1"/>
      <c r="I161" s="1"/>
      <c r="J161" s="1"/>
      <c r="K161" s="1"/>
      <c r="L161" s="1"/>
      <c r="M161" s="1"/>
      <c r="N161" s="1"/>
      <c r="O161" s="1"/>
      <c r="P161" s="1"/>
      <c r="Q161" s="1"/>
      <c r="R161" s="1"/>
      <c r="S161" s="1"/>
      <c r="T161" s="1"/>
      <c r="U161" s="1"/>
      <c r="V161" s="1"/>
      <c r="W161" s="1"/>
      <c r="X161" s="1"/>
      <c r="Y161" s="1"/>
      <c r="Z161" s="1"/>
      <c r="AA161" s="1"/>
      <c r="AB161" s="1"/>
    </row>
    <row r="162" ht="50.25" customHeight="1">
      <c r="A162" s="12">
        <v>158.0</v>
      </c>
      <c r="B162" s="13" t="s">
        <v>6</v>
      </c>
      <c r="C162" s="14" t="s">
        <v>164</v>
      </c>
      <c r="D162" s="1"/>
      <c r="E162" s="15"/>
      <c r="F162" s="1" t="str">
        <f>IFERROR(__xludf.DUMMYFUNCTION("GOOGLETRANSLATE(B162, ""en"", ""fa"")
"),"بازاریابی رسانه های اجتماعی")</f>
        <v>بازاریابی رسانه های اجتماعی</v>
      </c>
      <c r="G162" s="1" t="str">
        <f>IFERROR(__xludf.DUMMYFUNCTION("GOOGLETRANSLATE(C162, ""en"", ""fa"")
"),"به‌عنوان مدیر رسانه‌های اجتماعی، مجموعه‌ای از پست‌های توییتر را برای یک آژانس بازاریابی ایجاد کنید، نکات بازاریابی سریع و بینش‌های صنعت را به اشتراک بگذارید.")</f>
        <v>به‌عنوان مدیر رسانه‌های اجتماعی، مجموعه‌ای از پست‌های توییتر را برای یک آژانس بازاریابی ایجاد کنید، نکات بازاریابی سریع و بینش‌های صنعت را به اشتراک بگذارید.</v>
      </c>
      <c r="H162" s="1"/>
      <c r="I162" s="1"/>
      <c r="J162" s="1"/>
      <c r="K162" s="1"/>
      <c r="L162" s="1"/>
      <c r="M162" s="1"/>
      <c r="N162" s="1"/>
      <c r="O162" s="1"/>
      <c r="P162" s="1"/>
      <c r="Q162" s="1"/>
      <c r="R162" s="1"/>
      <c r="S162" s="1"/>
      <c r="T162" s="1"/>
      <c r="U162" s="1"/>
      <c r="V162" s="1"/>
      <c r="W162" s="1"/>
      <c r="X162" s="1"/>
      <c r="Y162" s="1"/>
      <c r="Z162" s="1"/>
      <c r="AA162" s="1"/>
      <c r="AB162" s="1"/>
    </row>
    <row r="163" ht="50.25" customHeight="1">
      <c r="A163" s="12">
        <v>159.0</v>
      </c>
      <c r="B163" s="13" t="s">
        <v>6</v>
      </c>
      <c r="C163" s="14" t="s">
        <v>165</v>
      </c>
      <c r="D163" s="1"/>
      <c r="E163" s="15"/>
      <c r="F163" s="1" t="str">
        <f>IFERROR(__xludf.DUMMYFUNCTION("GOOGLETRANSLATE(B163, ""en"", ""fa"")
"),"بازاریابی رسانه های اجتماعی")</f>
        <v>بازاریابی رسانه های اجتماعی</v>
      </c>
      <c r="G163" s="1" t="str">
        <f>IFERROR(__xludf.DUMMYFUNCTION("GOOGLETRANSLATE(C163, ""en"", ""fa"")
"),"شما در حال مدیریت یک صفحه فیس بوک برای یک خرده فروش مد هستید. پستی بنویسید که یک مجموعه جدید را به نمایش بگذارد و یک کد تخفیف ویژه برای دنبال کنندگان ارائه دهد.")</f>
        <v>شما در حال مدیریت یک صفحه فیس بوک برای یک خرده فروش مد هستید. پستی بنویسید که یک مجموعه جدید را به نمایش بگذارد و یک کد تخفیف ویژه برای دنبال کنندگان ارائه دهد.</v>
      </c>
      <c r="H163" s="1"/>
      <c r="I163" s="1"/>
      <c r="J163" s="1"/>
      <c r="K163" s="1"/>
      <c r="L163" s="1"/>
      <c r="M163" s="1"/>
      <c r="N163" s="1"/>
      <c r="O163" s="1"/>
      <c r="P163" s="1"/>
      <c r="Q163" s="1"/>
      <c r="R163" s="1"/>
      <c r="S163" s="1"/>
      <c r="T163" s="1"/>
      <c r="U163" s="1"/>
      <c r="V163" s="1"/>
      <c r="W163" s="1"/>
      <c r="X163" s="1"/>
      <c r="Y163" s="1"/>
      <c r="Z163" s="1"/>
      <c r="AA163" s="1"/>
      <c r="AB163" s="1"/>
    </row>
    <row r="164" ht="50.25" customHeight="1">
      <c r="A164" s="12">
        <v>160.0</v>
      </c>
      <c r="B164" s="13" t="s">
        <v>6</v>
      </c>
      <c r="C164" s="14" t="s">
        <v>166</v>
      </c>
      <c r="D164" s="1"/>
      <c r="E164" s="15"/>
      <c r="F164" s="1" t="str">
        <f>IFERROR(__xludf.DUMMYFUNCTION("GOOGLETRANSLATE(B164, ""en"", ""fa"")
"),"بازاریابی رسانه های اجتماعی")</f>
        <v>بازاریابی رسانه های اجتماعی</v>
      </c>
      <c r="G164" s="1" t="str">
        <f>IFERROR(__xludf.DUMMYFUNCTION("GOOGLETRANSLATE(C164, ""en"", ""fa"")
"),"شما در حال اجرای یک کمپین رسانه های اجتماعی برای یک نام تجاری پایدار هستید. یک کپشن اینستاگرام بنویسید که به دنبال‌کنندگان در مورد انتخاب‌های سبک زندگی سازگار با محیط زیست آموزش دهد و عادات پایدار را تشویق کند.")</f>
        <v>شما در حال اجرای یک کمپین رسانه های اجتماعی برای یک نام تجاری پایدار هستید. یک کپشن اینستاگرام بنویسید که به دنبال‌کنندگان در مورد انتخاب‌های سبک زندگی سازگار با محیط زیست آموزش دهد و عادات پایدار را تشویق کند.</v>
      </c>
      <c r="H164" s="1"/>
      <c r="I164" s="1"/>
      <c r="J164" s="1"/>
      <c r="K164" s="1"/>
      <c r="L164" s="1"/>
      <c r="M164" s="1"/>
      <c r="N164" s="1"/>
      <c r="O164" s="1"/>
      <c r="P164" s="1"/>
      <c r="Q164" s="1"/>
      <c r="R164" s="1"/>
      <c r="S164" s="1"/>
      <c r="T164" s="1"/>
      <c r="U164" s="1"/>
      <c r="V164" s="1"/>
      <c r="W164" s="1"/>
      <c r="X164" s="1"/>
      <c r="Y164" s="1"/>
      <c r="Z164" s="1"/>
      <c r="AA164" s="1"/>
      <c r="AB164" s="1"/>
    </row>
    <row r="165" ht="50.25" customHeight="1">
      <c r="A165" s="12">
        <v>161.0</v>
      </c>
      <c r="B165" s="13" t="s">
        <v>6</v>
      </c>
      <c r="C165" s="14" t="s">
        <v>167</v>
      </c>
      <c r="D165" s="1"/>
      <c r="E165" s="15"/>
      <c r="F165" s="1" t="str">
        <f>IFERROR(__xludf.DUMMYFUNCTION("GOOGLETRANSLATE(B165, ""en"", ""fa"")
"),"بازاریابی رسانه های اجتماعی")</f>
        <v>بازاریابی رسانه های اجتماعی</v>
      </c>
      <c r="G165" s="1" t="str">
        <f>IFERROR(__xludf.DUMMYFUNCTION("GOOGLETRANSLATE(C165, ""en"", ""fa"")
"),"به عنوان یک مدیر رسانه های اجتماعی، یک پست وبلاگ جذاب برای یک آژانس مسافرتی بنویسید و جواهرات پنهان در یک مقصد مسافرتی محبوب را برجسته کنید.")</f>
        <v>به عنوان یک مدیر رسانه های اجتماعی، یک پست وبلاگ جذاب برای یک آژانس مسافرتی بنویسید و جواهرات پنهان در یک مقصد مسافرتی محبوب را برجسته کنید.</v>
      </c>
      <c r="H165" s="1"/>
      <c r="I165" s="1"/>
      <c r="J165" s="1"/>
      <c r="K165" s="1"/>
      <c r="L165" s="1"/>
      <c r="M165" s="1"/>
      <c r="N165" s="1"/>
      <c r="O165" s="1"/>
      <c r="P165" s="1"/>
      <c r="Q165" s="1"/>
      <c r="R165" s="1"/>
      <c r="S165" s="1"/>
      <c r="T165" s="1"/>
      <c r="U165" s="1"/>
      <c r="V165" s="1"/>
      <c r="W165" s="1"/>
      <c r="X165" s="1"/>
      <c r="Y165" s="1"/>
      <c r="Z165" s="1"/>
      <c r="AA165" s="1"/>
      <c r="AB165" s="1"/>
    </row>
    <row r="166" ht="50.25" customHeight="1">
      <c r="A166" s="12">
        <v>162.0</v>
      </c>
      <c r="B166" s="13" t="s">
        <v>6</v>
      </c>
      <c r="C166" s="14" t="s">
        <v>168</v>
      </c>
      <c r="D166" s="1"/>
      <c r="E166" s="15"/>
      <c r="F166" s="1" t="str">
        <f>IFERROR(__xludf.DUMMYFUNCTION("GOOGLETRANSLATE(B166, ""en"", ""fa"")
"),"بازاریابی رسانه های اجتماعی")</f>
        <v>بازاریابی رسانه های اجتماعی</v>
      </c>
      <c r="G166" s="1" t="str">
        <f>IFERROR(__xludf.DUMMYFUNCTION("GOOGLETRANSLATE(C166, ""en"", ""fa"")
"),"شما در حال مدیریت حساب توییتر یک تأثیرگذار هستید که بر امور مالی شخصی متمرکز است. توییتی بنویسید که نکاتی را برای صرفه جویی در هزینه به اشتراک بگذارد و فالوورها را تشویق کند تا کنترل مالی خود را در دست بگیرند.")</f>
        <v>شما در حال مدیریت حساب توییتر یک تأثیرگذار هستید که بر امور مالی شخصی متمرکز است. توییتی بنویسید که نکاتی را برای صرفه جویی در هزینه به اشتراک بگذارد و فالوورها را تشویق کند تا کنترل مالی خود را در دست بگیرند.</v>
      </c>
      <c r="H166" s="1"/>
      <c r="I166" s="1"/>
      <c r="J166" s="1"/>
      <c r="K166" s="1"/>
      <c r="L166" s="1"/>
      <c r="M166" s="1"/>
      <c r="N166" s="1"/>
      <c r="O166" s="1"/>
      <c r="P166" s="1"/>
      <c r="Q166" s="1"/>
      <c r="R166" s="1"/>
      <c r="S166" s="1"/>
      <c r="T166" s="1"/>
      <c r="U166" s="1"/>
      <c r="V166" s="1"/>
      <c r="W166" s="1"/>
      <c r="X166" s="1"/>
      <c r="Y166" s="1"/>
      <c r="Z166" s="1"/>
      <c r="AA166" s="1"/>
      <c r="AB166" s="1"/>
    </row>
    <row r="167" ht="50.25" customHeight="1">
      <c r="A167" s="12">
        <v>163.0</v>
      </c>
      <c r="B167" s="13" t="s">
        <v>6</v>
      </c>
      <c r="C167" s="14" t="s">
        <v>169</v>
      </c>
      <c r="D167" s="1"/>
      <c r="E167" s="15"/>
      <c r="F167" s="1" t="str">
        <f>IFERROR(__xludf.DUMMYFUNCTION("GOOGLETRANSLATE(B167, ""en"", ""fa"")
"),"بازاریابی رسانه های اجتماعی")</f>
        <v>بازاریابی رسانه های اجتماعی</v>
      </c>
      <c r="G167" s="1" t="str">
        <f>IFERROR(__xludf.DUMMYFUNCTION("GOOGLETRANSLATE(C167, ""en"", ""fa"")
"),"شما در حال ایجاد یک استراتژی رسانه اجتماعی برای یک رستوران هستید. یک پست متقاعد کننده در لینکدین بنویسید که آیتم های منوی منحصر به فرد رستوران را تبلیغ کند و نظرات مثبت مشتریان را برجسته کند.")</f>
        <v>شما در حال ایجاد یک استراتژی رسانه اجتماعی برای یک رستوران هستید. یک پست متقاعد کننده در لینکدین بنویسید که آیتم های منوی منحصر به فرد رستوران را تبلیغ کند و نظرات مثبت مشتریان را برجسته کند.</v>
      </c>
      <c r="H167" s="1"/>
      <c r="I167" s="1"/>
      <c r="J167" s="1"/>
      <c r="K167" s="1"/>
      <c r="L167" s="1"/>
      <c r="M167" s="1"/>
      <c r="N167" s="1"/>
      <c r="O167" s="1"/>
      <c r="P167" s="1"/>
      <c r="Q167" s="1"/>
      <c r="R167" s="1"/>
      <c r="S167" s="1"/>
      <c r="T167" s="1"/>
      <c r="U167" s="1"/>
      <c r="V167" s="1"/>
      <c r="W167" s="1"/>
      <c r="X167" s="1"/>
      <c r="Y167" s="1"/>
      <c r="Z167" s="1"/>
      <c r="AA167" s="1"/>
      <c r="AB167" s="1"/>
    </row>
    <row r="168" ht="50.25" customHeight="1">
      <c r="A168" s="12">
        <v>164.0</v>
      </c>
      <c r="B168" s="13" t="s">
        <v>6</v>
      </c>
      <c r="C168" s="14" t="s">
        <v>170</v>
      </c>
      <c r="D168" s="1"/>
      <c r="E168" s="15"/>
      <c r="F168" s="1" t="str">
        <f>IFERROR(__xludf.DUMMYFUNCTION("GOOGLETRANSLATE(B168, ""en"", ""fa"")
"),"بازاریابی رسانه های اجتماعی")</f>
        <v>بازاریابی رسانه های اجتماعی</v>
      </c>
      <c r="G168" s="1" t="str">
        <f>IFERROR(__xludf.DUMMYFUNCTION("GOOGLETRANSLATE(C168, ""en"", ""fa"")
"),"به عنوان یک مدیر رسانه های اجتماعی، یک رویداد آموزنده در فیس بوک لایو برای یک متخصص سلامت و تندرستی ایجاد کنید و در مورد مزایای یک رژیم غذایی متعادل بحث کنید و به سوالات بینندگان پاسخ دهید.")</f>
        <v>به عنوان یک مدیر رسانه های اجتماعی، یک رویداد آموزنده در فیس بوک لایو برای یک متخصص سلامت و تندرستی ایجاد کنید و در مورد مزایای یک رژیم غذایی متعادل بحث کنید و به سوالات بینندگان پاسخ دهید.</v>
      </c>
      <c r="H168" s="1"/>
      <c r="I168" s="1"/>
      <c r="J168" s="1"/>
      <c r="K168" s="1"/>
      <c r="L168" s="1"/>
      <c r="M168" s="1"/>
      <c r="N168" s="1"/>
      <c r="O168" s="1"/>
      <c r="P168" s="1"/>
      <c r="Q168" s="1"/>
      <c r="R168" s="1"/>
      <c r="S168" s="1"/>
      <c r="T168" s="1"/>
      <c r="U168" s="1"/>
      <c r="V168" s="1"/>
      <c r="W168" s="1"/>
      <c r="X168" s="1"/>
      <c r="Y168" s="1"/>
      <c r="Z168" s="1"/>
      <c r="AA168" s="1"/>
      <c r="AB168" s="1"/>
    </row>
    <row r="169" ht="50.25" customHeight="1">
      <c r="A169" s="12">
        <v>165.0</v>
      </c>
      <c r="B169" s="13" t="s">
        <v>6</v>
      </c>
      <c r="C169" s="14" t="s">
        <v>171</v>
      </c>
      <c r="D169" s="1"/>
      <c r="E169" s="15"/>
      <c r="F169" s="1" t="str">
        <f>IFERROR(__xludf.DUMMYFUNCTION("GOOGLETRANSLATE(B169, ""en"", ""fa"")
"),"بازاریابی رسانه های اجتماعی")</f>
        <v>بازاریابی رسانه های اجتماعی</v>
      </c>
      <c r="G169" s="1" t="str">
        <f>IFERROR(__xludf.DUMMYFUNCTION("GOOGLETRANSLATE(C169, ""en"", ""fa"")
"),"شما در حال مدیریت یک حساب Pinterest برای یک وبلاگ DIY هستید. یک تخته چوبی بصری جذاب بسازید که دارای پروژه‌های DIY آسان و خلاقانه است و الهام بخش دنبال‌کنندگان برای خلاقیت است.")</f>
        <v>شما در حال مدیریت یک حساب Pinterest برای یک وبلاگ DIY هستید. یک تخته چوبی بصری جذاب بسازید که دارای پروژه‌های DIY آسان و خلاقانه است و الهام بخش دنبال‌کنندگان برای خلاقیت است.</v>
      </c>
      <c r="H169" s="1"/>
      <c r="I169" s="1"/>
      <c r="J169" s="1"/>
      <c r="K169" s="1"/>
      <c r="L169" s="1"/>
      <c r="M169" s="1"/>
      <c r="N169" s="1"/>
      <c r="O169" s="1"/>
      <c r="P169" s="1"/>
      <c r="Q169" s="1"/>
      <c r="R169" s="1"/>
      <c r="S169" s="1"/>
      <c r="T169" s="1"/>
      <c r="U169" s="1"/>
      <c r="V169" s="1"/>
      <c r="W169" s="1"/>
      <c r="X169" s="1"/>
      <c r="Y169" s="1"/>
      <c r="Z169" s="1"/>
      <c r="AA169" s="1"/>
      <c r="AB169" s="1"/>
    </row>
    <row r="170" ht="50.25" customHeight="1">
      <c r="A170" s="12">
        <v>166.0</v>
      </c>
      <c r="B170" s="13" t="s">
        <v>6</v>
      </c>
      <c r="C170" s="14" t="s">
        <v>172</v>
      </c>
      <c r="D170" s="1"/>
      <c r="E170" s="15"/>
      <c r="F170" s="1" t="str">
        <f>IFERROR(__xludf.DUMMYFUNCTION("GOOGLETRANSLATE(B170, ""en"", ""fa"")
"),"بازاریابی رسانه های اجتماعی")</f>
        <v>بازاریابی رسانه های اجتماعی</v>
      </c>
      <c r="G170" s="1" t="str">
        <f>IFERROR(__xludf.DUMMYFUNCTION("GOOGLETRANSLATE(C170, ""en"", ""fa"")
"),"شما در حال برگزاری یک مسابقه رسانه های اجتماعی برای یک برند زیبایی هستید. پستی در اینستاگرام بنویسید که فالوورها را تشویق کند تا آرایش مورد علاقه خود را به اشتراک بگذارند و شانس برنده شدن یک بسته زیبایی را داشته باشند.")</f>
        <v>شما در حال برگزاری یک مسابقه رسانه های اجتماعی برای یک برند زیبایی هستید. پستی در اینستاگرام بنویسید که فالوورها را تشویق کند تا آرایش مورد علاقه خود را به اشتراک بگذارند و شانس برنده شدن یک بسته زیبایی را داشته باشند.</v>
      </c>
      <c r="H170" s="1"/>
      <c r="I170" s="1"/>
      <c r="J170" s="1"/>
      <c r="K170" s="1"/>
      <c r="L170" s="1"/>
      <c r="M170" s="1"/>
      <c r="N170" s="1"/>
      <c r="O170" s="1"/>
      <c r="P170" s="1"/>
      <c r="Q170" s="1"/>
      <c r="R170" s="1"/>
      <c r="S170" s="1"/>
      <c r="T170" s="1"/>
      <c r="U170" s="1"/>
      <c r="V170" s="1"/>
      <c r="W170" s="1"/>
      <c r="X170" s="1"/>
      <c r="Y170" s="1"/>
      <c r="Z170" s="1"/>
      <c r="AA170" s="1"/>
      <c r="AB170" s="1"/>
    </row>
    <row r="171" ht="50.25" customHeight="1">
      <c r="A171" s="12">
        <v>167.0</v>
      </c>
      <c r="B171" s="13" t="s">
        <v>6</v>
      </c>
      <c r="C171" s="14" t="s">
        <v>173</v>
      </c>
      <c r="D171" s="1"/>
      <c r="E171" s="15"/>
      <c r="F171" s="1" t="str">
        <f>IFERROR(__xludf.DUMMYFUNCTION("GOOGLETRANSLATE(B171, ""en"", ""fa"")
"),"بازاریابی رسانه های اجتماعی")</f>
        <v>بازاریابی رسانه های اجتماعی</v>
      </c>
      <c r="G171" s="1" t="str">
        <f>IFERROR(__xludf.DUMMYFUNCTION("GOOGLETRANSLATE(C171, ""en"", ""fa"")
"),"به عنوان یک مدیر رسانه های اجتماعی، یک پست وبلاگی جذاب برای یک مربی تناسب اندام بنویسید و در مورد اهمیت تعیین اهداف واقع بینانه و حفظ انگیزه بحث کنید.")</f>
        <v>به عنوان یک مدیر رسانه های اجتماعی، یک پست وبلاگی جذاب برای یک مربی تناسب اندام بنویسید و در مورد اهمیت تعیین اهداف واقع بینانه و حفظ انگیزه بحث کنید.</v>
      </c>
      <c r="H171" s="1"/>
      <c r="I171" s="1"/>
      <c r="J171" s="1"/>
      <c r="K171" s="1"/>
      <c r="L171" s="1"/>
      <c r="M171" s="1"/>
      <c r="N171" s="1"/>
      <c r="O171" s="1"/>
      <c r="P171" s="1"/>
      <c r="Q171" s="1"/>
      <c r="R171" s="1"/>
      <c r="S171" s="1"/>
      <c r="T171" s="1"/>
      <c r="U171" s="1"/>
      <c r="V171" s="1"/>
      <c r="W171" s="1"/>
      <c r="X171" s="1"/>
      <c r="Y171" s="1"/>
      <c r="Z171" s="1"/>
      <c r="AA171" s="1"/>
      <c r="AB171" s="1"/>
    </row>
    <row r="172" ht="50.25" customHeight="1">
      <c r="A172" s="12">
        <v>168.0</v>
      </c>
      <c r="B172" s="13" t="s">
        <v>6</v>
      </c>
      <c r="C172" s="14" t="s">
        <v>174</v>
      </c>
      <c r="D172" s="1"/>
      <c r="E172" s="15"/>
      <c r="F172" s="1" t="str">
        <f>IFERROR(__xludf.DUMMYFUNCTION("GOOGLETRANSLATE(B172, ""en"", ""fa"")
"),"بازاریابی رسانه های اجتماعی")</f>
        <v>بازاریابی رسانه های اجتماعی</v>
      </c>
      <c r="G172" s="1" t="str">
        <f>IFERROR(__xludf.DUMMYFUNCTION("GOOGLETRANSLATE(C172, ""en"", ""fa"")
"),"شما در حال مدیریت یک حساب اینستاگرام برای یک خرده فروش لوازم خانگی هستید. برای عکسی که یک حیوان خانگی زیبا را به نمایش می‌گذارد و محصول جدید یا پیشنهاد ویژه را تبلیغ می‌کند، توضیحی بنویسید.")</f>
        <v>شما در حال مدیریت یک حساب اینستاگرام برای یک خرده فروش لوازم خانگی هستید. برای عکسی که یک حیوان خانگی زیبا را به نمایش می‌گذارد و محصول جدید یا پیشنهاد ویژه را تبلیغ می‌کند، توضیحی بنویسید.</v>
      </c>
      <c r="H172" s="1"/>
      <c r="I172" s="1"/>
      <c r="J172" s="1"/>
      <c r="K172" s="1"/>
      <c r="L172" s="1"/>
      <c r="M172" s="1"/>
      <c r="N172" s="1"/>
      <c r="O172" s="1"/>
      <c r="P172" s="1"/>
      <c r="Q172" s="1"/>
      <c r="R172" s="1"/>
      <c r="S172" s="1"/>
      <c r="T172" s="1"/>
      <c r="U172" s="1"/>
      <c r="V172" s="1"/>
      <c r="W172" s="1"/>
      <c r="X172" s="1"/>
      <c r="Y172" s="1"/>
      <c r="Z172" s="1"/>
      <c r="AA172" s="1"/>
      <c r="AB172" s="1"/>
    </row>
    <row r="173" ht="50.25" customHeight="1">
      <c r="A173" s="12">
        <v>169.0</v>
      </c>
      <c r="B173" s="13" t="s">
        <v>6</v>
      </c>
      <c r="C173" s="14" t="s">
        <v>175</v>
      </c>
      <c r="D173" s="1"/>
      <c r="E173" s="15"/>
      <c r="F173" s="1" t="str">
        <f>IFERROR(__xludf.DUMMYFUNCTION("GOOGLETRANSLATE(B173, ""en"", ""fa"")
"),"بازاریابی رسانه های اجتماعی")</f>
        <v>بازاریابی رسانه های اجتماعی</v>
      </c>
      <c r="G173" s="1" t="str">
        <f>IFERROR(__xludf.DUMMYFUNCTION("GOOGLETRANSLATE(C173, ""en"", ""fa"")
"),"شما در حال ایجاد یک استراتژی رسانه اجتماعی برای یک سازمان غیرانتفاعی هستید که بر آموزش کودکان متمرکز است. یک رشته توییتر متقاعدکننده بنویسید که از دسترسی به آموزش با کیفیت برای همه کودکان حمایت می کند.")</f>
        <v>شما در حال ایجاد یک استراتژی رسانه اجتماعی برای یک سازمان غیرانتفاعی هستید که بر آموزش کودکان متمرکز است. یک رشته توییتر متقاعدکننده بنویسید که از دسترسی به آموزش با کیفیت برای همه کودکان حمایت می کند.</v>
      </c>
      <c r="H173" s="1"/>
      <c r="I173" s="1"/>
      <c r="J173" s="1"/>
      <c r="K173" s="1"/>
      <c r="L173" s="1"/>
      <c r="M173" s="1"/>
      <c r="N173" s="1"/>
      <c r="O173" s="1"/>
      <c r="P173" s="1"/>
      <c r="Q173" s="1"/>
      <c r="R173" s="1"/>
      <c r="S173" s="1"/>
      <c r="T173" s="1"/>
      <c r="U173" s="1"/>
      <c r="V173" s="1"/>
      <c r="W173" s="1"/>
      <c r="X173" s="1"/>
      <c r="Y173" s="1"/>
      <c r="Z173" s="1"/>
      <c r="AA173" s="1"/>
      <c r="AB173" s="1"/>
    </row>
    <row r="174" ht="50.25" customHeight="1">
      <c r="A174" s="12">
        <v>170.0</v>
      </c>
      <c r="B174" s="13" t="s">
        <v>6</v>
      </c>
      <c r="C174" s="14" t="s">
        <v>176</v>
      </c>
      <c r="D174" s="1"/>
      <c r="E174" s="15"/>
      <c r="F174" s="1" t="str">
        <f>IFERROR(__xludf.DUMMYFUNCTION("GOOGLETRANSLATE(B174, ""en"", ""fa"")
"),"بازاریابی رسانه های اجتماعی")</f>
        <v>بازاریابی رسانه های اجتماعی</v>
      </c>
      <c r="G174" s="1" t="str">
        <f>IFERROR(__xludf.DUMMYFUNCTION("GOOGLETRANSLATE(C174, ""en"", ""fa"")
"),"به‌عنوان مدیر رسانه‌های اجتماعی، مجموعه‌ای از استوری‌های اینستاگرام را برای اینفلوئنسر سفر ایجاد کنید، سفر اخیر او را مستند کنید و نکات و توصیه‌های سفر را به اشتراک بگذارید.")</f>
        <v>به‌عنوان مدیر رسانه‌های اجتماعی، مجموعه‌ای از استوری‌های اینستاگرام را برای اینفلوئنسر سفر ایجاد کنید، سفر اخیر او را مستند کنید و نکات و توصیه‌های سفر را به اشتراک بگذارید.</v>
      </c>
      <c r="H174" s="1"/>
      <c r="I174" s="1"/>
      <c r="J174" s="1"/>
      <c r="K174" s="1"/>
      <c r="L174" s="1"/>
      <c r="M174" s="1"/>
      <c r="N174" s="1"/>
      <c r="O174" s="1"/>
      <c r="P174" s="1"/>
      <c r="Q174" s="1"/>
      <c r="R174" s="1"/>
      <c r="S174" s="1"/>
      <c r="T174" s="1"/>
      <c r="U174" s="1"/>
      <c r="V174" s="1"/>
      <c r="W174" s="1"/>
      <c r="X174" s="1"/>
      <c r="Y174" s="1"/>
      <c r="Z174" s="1"/>
      <c r="AA174" s="1"/>
      <c r="AB174" s="1"/>
    </row>
    <row r="175" ht="50.25" customHeight="1">
      <c r="A175" s="12">
        <v>171.0</v>
      </c>
      <c r="B175" s="13" t="s">
        <v>6</v>
      </c>
      <c r="C175" s="14" t="s">
        <v>177</v>
      </c>
      <c r="D175" s="1"/>
      <c r="E175" s="15"/>
      <c r="F175" s="1" t="str">
        <f>IFERROR(__xludf.DUMMYFUNCTION("GOOGLETRANSLATE(B175, ""en"", ""fa"")
"),"بازاریابی رسانه های اجتماعی")</f>
        <v>بازاریابی رسانه های اجتماعی</v>
      </c>
      <c r="G175" s="1" t="str">
        <f>IFERROR(__xludf.DUMMYFUNCTION("GOOGLETRANSLATE(C175, ""en"", ""fa"")
"),"شما در حال مدیریت یک کانال YouTube برای یک بازبین فنی هستید. یک تصویر کوچک ویدیویی و عنوان جذاب برای ویدیویی که آخرین گوشی هوشمند را بررسی می‌کند، بسازید.")</f>
        <v>شما در حال مدیریت یک کانال YouTube برای یک بازبین فنی هستید. یک تصویر کوچک ویدیویی و عنوان جذاب برای ویدیویی که آخرین گوشی هوشمند را بررسی می‌کند، بسازید.</v>
      </c>
      <c r="H175" s="1"/>
      <c r="I175" s="1"/>
      <c r="J175" s="1"/>
      <c r="K175" s="1"/>
      <c r="L175" s="1"/>
      <c r="M175" s="1"/>
      <c r="N175" s="1"/>
      <c r="O175" s="1"/>
      <c r="P175" s="1"/>
      <c r="Q175" s="1"/>
      <c r="R175" s="1"/>
      <c r="S175" s="1"/>
      <c r="T175" s="1"/>
      <c r="U175" s="1"/>
      <c r="V175" s="1"/>
      <c r="W175" s="1"/>
      <c r="X175" s="1"/>
      <c r="Y175" s="1"/>
      <c r="Z175" s="1"/>
      <c r="AA175" s="1"/>
      <c r="AB175" s="1"/>
    </row>
    <row r="176" ht="50.25" customHeight="1">
      <c r="A176" s="12">
        <v>172.0</v>
      </c>
      <c r="B176" s="13" t="s">
        <v>6</v>
      </c>
      <c r="C176" s="14" t="s">
        <v>178</v>
      </c>
      <c r="D176" s="1"/>
      <c r="E176" s="15"/>
      <c r="F176" s="1" t="str">
        <f>IFERROR(__xludf.DUMMYFUNCTION("GOOGLETRANSLATE(B176, ""en"", ""fa"")
"),"بازاریابی رسانه های اجتماعی")</f>
        <v>بازاریابی رسانه های اجتماعی</v>
      </c>
      <c r="G176" s="1" t="str">
        <f>IFERROR(__xludf.DUMMYFUNCTION("GOOGLETRANSLATE(C176, ""en"", ""fa"")
"),"شما در حال اجرای یک کمپین رسانه اجتماعی برای یک برند مد پایدار هستید. کپشن اینستاگرامی بنویسید که مواد سازگار با محیط زیست و شیوه‌های تولید اخلاقی برند را برجسته کند.")</f>
        <v>شما در حال اجرای یک کمپین رسانه اجتماعی برای یک برند مد پایدار هستید. کپشن اینستاگرامی بنویسید که مواد سازگار با محیط زیست و شیوه‌های تولید اخلاقی برند را برجسته کند.</v>
      </c>
      <c r="H176" s="1"/>
      <c r="I176" s="1"/>
      <c r="J176" s="1"/>
      <c r="K176" s="1"/>
      <c r="L176" s="1"/>
      <c r="M176" s="1"/>
      <c r="N176" s="1"/>
      <c r="O176" s="1"/>
      <c r="P176" s="1"/>
      <c r="Q176" s="1"/>
      <c r="R176" s="1"/>
      <c r="S176" s="1"/>
      <c r="T176" s="1"/>
      <c r="U176" s="1"/>
      <c r="V176" s="1"/>
      <c r="W176" s="1"/>
      <c r="X176" s="1"/>
      <c r="Y176" s="1"/>
      <c r="Z176" s="1"/>
      <c r="AA176" s="1"/>
      <c r="AB176" s="1"/>
    </row>
    <row r="177" ht="50.25" customHeight="1">
      <c r="A177" s="12">
        <v>173.0</v>
      </c>
      <c r="B177" s="13" t="s">
        <v>6</v>
      </c>
      <c r="C177" s="14" t="s">
        <v>179</v>
      </c>
      <c r="D177" s="1"/>
      <c r="E177" s="15"/>
      <c r="F177" s="1" t="str">
        <f>IFERROR(__xludf.DUMMYFUNCTION("GOOGLETRANSLATE(B177, ""en"", ""fa"")
"),"بازاریابی رسانه های اجتماعی")</f>
        <v>بازاریابی رسانه های اجتماعی</v>
      </c>
      <c r="G177" s="1" t="str">
        <f>IFERROR(__xludf.DUMMYFUNCTION("GOOGLETRANSLATE(C177, ""en"", ""fa"")
"),"به عنوان یک مدیر رسانه های اجتماعی، یک پست آموزنده در لینکدین برای یک مشاور کسب و کار بنویسید و بینش هایی را در مورد رهبری موثر و استراتژی های سازمانی ارائه دهید.")</f>
        <v>به عنوان یک مدیر رسانه های اجتماعی، یک پست آموزنده در لینکدین برای یک مشاور کسب و کار بنویسید و بینش هایی را در مورد رهبری موثر و استراتژی های سازمانی ارائه دهید.</v>
      </c>
      <c r="H177" s="1"/>
      <c r="I177" s="1"/>
      <c r="J177" s="1"/>
      <c r="K177" s="1"/>
      <c r="L177" s="1"/>
      <c r="M177" s="1"/>
      <c r="N177" s="1"/>
      <c r="O177" s="1"/>
      <c r="P177" s="1"/>
      <c r="Q177" s="1"/>
      <c r="R177" s="1"/>
      <c r="S177" s="1"/>
      <c r="T177" s="1"/>
      <c r="U177" s="1"/>
      <c r="V177" s="1"/>
      <c r="W177" s="1"/>
      <c r="X177" s="1"/>
      <c r="Y177" s="1"/>
      <c r="Z177" s="1"/>
      <c r="AA177" s="1"/>
      <c r="AB177" s="1"/>
    </row>
    <row r="178" ht="50.25" customHeight="1">
      <c r="A178" s="12">
        <v>174.0</v>
      </c>
      <c r="B178" s="13" t="s">
        <v>6</v>
      </c>
      <c r="C178" s="14" t="s">
        <v>180</v>
      </c>
      <c r="D178" s="1"/>
      <c r="E178" s="15"/>
      <c r="F178" s="1" t="str">
        <f>IFERROR(__xludf.DUMMYFUNCTION("GOOGLETRANSLATE(B178, ""en"", ""fa"")
"),"بازاریابی رسانه های اجتماعی")</f>
        <v>بازاریابی رسانه های اجتماعی</v>
      </c>
      <c r="G178" s="1" t="str">
        <f>IFERROR(__xludf.DUMMYFUNCTION("GOOGLETRANSLATE(C178, ""en"", ""fa"")
"),"شما در حال مدیریت یک صفحه فیس بوک برای یک سازمان غیرانتفاعی هستید که بر رفاه حیوانات متمرکز است. پستی بنویسید که فالوورها را به داوطلب شدن در یک رویداد آینده به فرزندخواندگی حیوانات دعوت کند.")</f>
        <v>شما در حال مدیریت یک صفحه فیس بوک برای یک سازمان غیرانتفاعی هستید که بر رفاه حیوانات متمرکز است. پستی بنویسید که فالوورها را به داوطلب شدن در یک رویداد آینده به فرزندخواندگی حیوانات دعوت کند.</v>
      </c>
      <c r="H178" s="1"/>
      <c r="I178" s="1"/>
      <c r="J178" s="1"/>
      <c r="K178" s="1"/>
      <c r="L178" s="1"/>
      <c r="M178" s="1"/>
      <c r="N178" s="1"/>
      <c r="O178" s="1"/>
      <c r="P178" s="1"/>
      <c r="Q178" s="1"/>
      <c r="R178" s="1"/>
      <c r="S178" s="1"/>
      <c r="T178" s="1"/>
      <c r="U178" s="1"/>
      <c r="V178" s="1"/>
      <c r="W178" s="1"/>
      <c r="X178" s="1"/>
      <c r="Y178" s="1"/>
      <c r="Z178" s="1"/>
      <c r="AA178" s="1"/>
      <c r="AB178" s="1"/>
    </row>
    <row r="179" ht="50.25" customHeight="1">
      <c r="A179" s="12">
        <v>175.0</v>
      </c>
      <c r="B179" s="13" t="s">
        <v>6</v>
      </c>
      <c r="C179" s="14" t="s">
        <v>181</v>
      </c>
      <c r="D179" s="1"/>
      <c r="E179" s="15"/>
      <c r="F179" s="1" t="str">
        <f>IFERROR(__xludf.DUMMYFUNCTION("GOOGLETRANSLATE(B179, ""en"", ""fa"")
"),"بازاریابی رسانه های اجتماعی")</f>
        <v>بازاریابی رسانه های اجتماعی</v>
      </c>
      <c r="G179" s="1" t="str">
        <f>IFERROR(__xludf.DUMMYFUNCTION("GOOGLETRANSLATE(C179, ""en"", ""fa"")
"),"شما در حال ایجاد یک استراتژی رسانه اجتماعی برای یک شرکت نوپا هستید. یک پست فیس بوک متقاعد کننده بنویسید که محصول نوآورانه شرکت را معرفی می کند و از دنبال کنندگان دعوت می کند تا برای دسترسی زودهنگام ثبت نام کنند.")</f>
        <v>شما در حال ایجاد یک استراتژی رسانه اجتماعی برای یک شرکت نوپا هستید. یک پست فیس بوک متقاعد کننده بنویسید که محصول نوآورانه شرکت را معرفی می کند و از دنبال کنندگان دعوت می کند تا برای دسترسی زودهنگام ثبت نام کنند.</v>
      </c>
      <c r="H179" s="1"/>
      <c r="I179" s="1"/>
      <c r="J179" s="1"/>
      <c r="K179" s="1"/>
      <c r="L179" s="1"/>
      <c r="M179" s="1"/>
      <c r="N179" s="1"/>
      <c r="O179" s="1"/>
      <c r="P179" s="1"/>
      <c r="Q179" s="1"/>
      <c r="R179" s="1"/>
      <c r="S179" s="1"/>
      <c r="T179" s="1"/>
      <c r="U179" s="1"/>
      <c r="V179" s="1"/>
      <c r="W179" s="1"/>
      <c r="X179" s="1"/>
      <c r="Y179" s="1"/>
      <c r="Z179" s="1"/>
      <c r="AA179" s="1"/>
      <c r="AB179" s="1"/>
    </row>
    <row r="180" ht="50.25" customHeight="1">
      <c r="A180" s="12">
        <v>176.0</v>
      </c>
      <c r="B180" s="13" t="s">
        <v>6</v>
      </c>
      <c r="C180" s="14" t="s">
        <v>182</v>
      </c>
      <c r="D180" s="1"/>
      <c r="E180" s="15"/>
      <c r="F180" s="1" t="str">
        <f>IFERROR(__xludf.DUMMYFUNCTION("GOOGLETRANSLATE(B180, ""en"", ""fa"")
"),"بازاریابی رسانه های اجتماعی")</f>
        <v>بازاریابی رسانه های اجتماعی</v>
      </c>
      <c r="G180" s="1" t="str">
        <f>IFERROR(__xludf.DUMMYFUNCTION("GOOGLETRANSLATE(C180, ""en"", ""fa"")
"),"به عنوان یک مدیر رسانه های اجتماعی، یک اینفوگرافیک جذاب Pinterest برای یک مربی سلامت و تندرستی ایجاد کنید و نکاتی را برای مدیریت استرس و مراقبت از خود به اشتراک بگذارید.")</f>
        <v>به عنوان یک مدیر رسانه های اجتماعی، یک اینفوگرافیک جذاب Pinterest برای یک مربی سلامت و تندرستی ایجاد کنید و نکاتی را برای مدیریت استرس و مراقبت از خود به اشتراک بگذارید.</v>
      </c>
      <c r="H180" s="1"/>
      <c r="I180" s="1"/>
      <c r="J180" s="1"/>
      <c r="K180" s="1"/>
      <c r="L180" s="1"/>
      <c r="M180" s="1"/>
      <c r="N180" s="1"/>
      <c r="O180" s="1"/>
      <c r="P180" s="1"/>
      <c r="Q180" s="1"/>
      <c r="R180" s="1"/>
      <c r="S180" s="1"/>
      <c r="T180" s="1"/>
      <c r="U180" s="1"/>
      <c r="V180" s="1"/>
      <c r="W180" s="1"/>
      <c r="X180" s="1"/>
      <c r="Y180" s="1"/>
      <c r="Z180" s="1"/>
      <c r="AA180" s="1"/>
      <c r="AB180" s="1"/>
    </row>
    <row r="181" ht="50.25" customHeight="1">
      <c r="A181" s="12">
        <v>177.0</v>
      </c>
      <c r="B181" s="13" t="s">
        <v>6</v>
      </c>
      <c r="C181" s="14" t="s">
        <v>183</v>
      </c>
      <c r="D181" s="1"/>
      <c r="E181" s="15"/>
      <c r="F181" s="1" t="str">
        <f>IFERROR(__xludf.DUMMYFUNCTION("GOOGLETRANSLATE(B181, ""en"", ""fa"")
"),"بازاریابی رسانه های اجتماعی")</f>
        <v>بازاریابی رسانه های اجتماعی</v>
      </c>
      <c r="G181" s="1" t="str">
        <f>IFERROR(__xludf.DUMMYFUNCTION("GOOGLETRANSLATE(C181, ""en"", ""fa"")
"),"شما در حال مدیریت اکانت اینستاگرام اینفلوئنسرها هستید که بر روی مد متمرکز است. برای عکسی که یک لباس مد روز را به نمایش می گذارد، نکات استایلی ارائه می دهد و لباس های برجسته را تبلیغ می کند، شرحی بنویسید.")</f>
        <v>شما در حال مدیریت اکانت اینستاگرام اینفلوئنسرها هستید که بر روی مد متمرکز است. برای عکسی که یک لباس مد روز را به نمایش می گذارد، نکات استایلی ارائه می دهد و لباس های برجسته را تبلیغ می کند، شرحی بنویسید.</v>
      </c>
      <c r="H181" s="1"/>
      <c r="I181" s="1"/>
      <c r="J181" s="1"/>
      <c r="K181" s="1"/>
      <c r="L181" s="1"/>
      <c r="M181" s="1"/>
      <c r="N181" s="1"/>
      <c r="O181" s="1"/>
      <c r="P181" s="1"/>
      <c r="Q181" s="1"/>
      <c r="R181" s="1"/>
      <c r="S181" s="1"/>
      <c r="T181" s="1"/>
      <c r="U181" s="1"/>
      <c r="V181" s="1"/>
      <c r="W181" s="1"/>
      <c r="X181" s="1"/>
      <c r="Y181" s="1"/>
      <c r="Z181" s="1"/>
      <c r="AA181" s="1"/>
      <c r="AB181" s="1"/>
    </row>
    <row r="182" ht="50.25" customHeight="1">
      <c r="A182" s="12">
        <v>178.0</v>
      </c>
      <c r="B182" s="13" t="s">
        <v>6</v>
      </c>
      <c r="C182" s="14" t="s">
        <v>184</v>
      </c>
      <c r="D182" s="1"/>
      <c r="E182" s="15"/>
      <c r="F182" s="1" t="str">
        <f>IFERROR(__xludf.DUMMYFUNCTION("GOOGLETRANSLATE(B182, ""en"", ""fa"")
"),"بازاریابی رسانه های اجتماعی")</f>
        <v>بازاریابی رسانه های اجتماعی</v>
      </c>
      <c r="G182" s="1" t="str">
        <f>IFERROR(__xludf.DUMMYFUNCTION("GOOGLETRANSLATE(C182, ""en"", ""fa"")
"),"شما در حال برگزاری یک مسابقه رسانه های اجتماعی برای یک برند ورزشی هستید. توییتی بنویسید که فالوورها را تشویق کند تا تمرینات ورزشی مورد علاقه خود را با شانس برنده شدن یک بسته تناسب اندام به اشتراک بگذارند.")</f>
        <v>شما در حال برگزاری یک مسابقه رسانه های اجتماعی برای یک برند ورزشی هستید. توییتی بنویسید که فالوورها را تشویق کند تا تمرینات ورزشی مورد علاقه خود را با شانس برنده شدن یک بسته تناسب اندام به اشتراک بگذارند.</v>
      </c>
      <c r="H182" s="1"/>
      <c r="I182" s="1"/>
      <c r="J182" s="1"/>
      <c r="K182" s="1"/>
      <c r="L182" s="1"/>
      <c r="M182" s="1"/>
      <c r="N182" s="1"/>
      <c r="O182" s="1"/>
      <c r="P182" s="1"/>
      <c r="Q182" s="1"/>
      <c r="R182" s="1"/>
      <c r="S182" s="1"/>
      <c r="T182" s="1"/>
      <c r="U182" s="1"/>
      <c r="V182" s="1"/>
      <c r="W182" s="1"/>
      <c r="X182" s="1"/>
      <c r="Y182" s="1"/>
      <c r="Z182" s="1"/>
      <c r="AA182" s="1"/>
      <c r="AB182" s="1"/>
    </row>
    <row r="183" ht="50.25" customHeight="1">
      <c r="A183" s="12">
        <v>179.0</v>
      </c>
      <c r="B183" s="13" t="s">
        <v>6</v>
      </c>
      <c r="C183" s="14" t="s">
        <v>185</v>
      </c>
      <c r="D183" s="1"/>
      <c r="E183" s="15"/>
      <c r="F183" s="1" t="str">
        <f>IFERROR(__xludf.DUMMYFUNCTION("GOOGLETRANSLATE(B183, ""en"", ""fa"")
"),"بازاریابی رسانه های اجتماعی")</f>
        <v>بازاریابی رسانه های اجتماعی</v>
      </c>
      <c r="G183" s="1" t="str">
        <f>IFERROR(__xludf.DUMMYFUNCTION("GOOGLETRANSLATE(C183, ""en"", ""fa"")
"),"به عنوان یک مدیر رسانه های اجتماعی، یک پست وبلاگ آموزنده برای یک آژانس بازاریابی بنویسید و در مورد آخرین روند تبلیغات دیجیتال بحث کنید.")</f>
        <v>به عنوان یک مدیر رسانه های اجتماعی، یک پست وبلاگ آموزنده برای یک آژانس بازاریابی بنویسید و در مورد آخرین روند تبلیغات دیجیتال بحث کنید.</v>
      </c>
      <c r="H183" s="1"/>
      <c r="I183" s="1"/>
      <c r="J183" s="1"/>
      <c r="K183" s="1"/>
      <c r="L183" s="1"/>
      <c r="M183" s="1"/>
      <c r="N183" s="1"/>
      <c r="O183" s="1"/>
      <c r="P183" s="1"/>
      <c r="Q183" s="1"/>
      <c r="R183" s="1"/>
      <c r="S183" s="1"/>
      <c r="T183" s="1"/>
      <c r="U183" s="1"/>
      <c r="V183" s="1"/>
      <c r="W183" s="1"/>
      <c r="X183" s="1"/>
      <c r="Y183" s="1"/>
      <c r="Z183" s="1"/>
      <c r="AA183" s="1"/>
      <c r="AB183" s="1"/>
    </row>
    <row r="184" ht="50.25" customHeight="1">
      <c r="A184" s="12">
        <v>180.0</v>
      </c>
      <c r="B184" s="13" t="s">
        <v>6</v>
      </c>
      <c r="C184" s="14" t="s">
        <v>186</v>
      </c>
      <c r="D184" s="1"/>
      <c r="E184" s="15"/>
      <c r="F184" s="1" t="str">
        <f>IFERROR(__xludf.DUMMYFUNCTION("GOOGLETRANSLATE(B184, ""en"", ""fa"")
"),"بازاریابی رسانه های اجتماعی")</f>
        <v>بازاریابی رسانه های اجتماعی</v>
      </c>
      <c r="G184" s="1" t="str">
        <f>IFERROR(__xludf.DUMMYFUNCTION("GOOGLETRANSLATE(C184, ""en"", ""fa"")
"),"شما در حال مدیریت یک حساب Pinterest برای یک وبلاگ دکوراسیون منزل هستید. یک تخته چوبی بصری جذاب ایجاد کنید که دارای الهامات از طراحی داخلی برای اتاق های مختلف باشد.")</f>
        <v>شما در حال مدیریت یک حساب Pinterest برای یک وبلاگ دکوراسیون منزل هستید. یک تخته چوبی بصری جذاب ایجاد کنید که دارای الهامات از طراحی داخلی برای اتاق های مختلف باشد.</v>
      </c>
      <c r="H184" s="1"/>
      <c r="I184" s="1"/>
      <c r="J184" s="1"/>
      <c r="K184" s="1"/>
      <c r="L184" s="1"/>
      <c r="M184" s="1"/>
      <c r="N184" s="1"/>
      <c r="O184" s="1"/>
      <c r="P184" s="1"/>
      <c r="Q184" s="1"/>
      <c r="R184" s="1"/>
      <c r="S184" s="1"/>
      <c r="T184" s="1"/>
      <c r="U184" s="1"/>
      <c r="V184" s="1"/>
      <c r="W184" s="1"/>
      <c r="X184" s="1"/>
      <c r="Y184" s="1"/>
      <c r="Z184" s="1"/>
      <c r="AA184" s="1"/>
      <c r="AB184" s="1"/>
    </row>
    <row r="185" ht="50.25" customHeight="1">
      <c r="A185" s="12">
        <v>181.0</v>
      </c>
      <c r="B185" s="13" t="s">
        <v>6</v>
      </c>
      <c r="C185" s="14" t="s">
        <v>187</v>
      </c>
      <c r="D185" s="1"/>
      <c r="E185" s="15"/>
      <c r="F185" s="1" t="str">
        <f>IFERROR(__xludf.DUMMYFUNCTION("GOOGLETRANSLATE(B185, ""en"", ""fa"")
"),"بازاریابی رسانه های اجتماعی")</f>
        <v>بازاریابی رسانه های اجتماعی</v>
      </c>
      <c r="G185" s="1" t="str">
        <f>IFERROR(__xludf.DUMMYFUNCTION("GOOGLETRANSLATE(C185, ""en"", ""fa"")
"),"شما در حال ایجاد یک استراتژی رسانه اجتماعی برای یک سازمان غیرانتفاعی با تمرکز بر مراقبت های بهداشتی هستید. یک کپشن متقاعدکننده در اینستاگرام بنویسید که اهمیت دسترسی به مراقبت های بهداشتی با کیفیت را برجسته می کند و برای کمک های مالی دعوت می کند.")</f>
        <v>شما در حال ایجاد یک استراتژی رسانه اجتماعی برای یک سازمان غیرانتفاعی با تمرکز بر مراقبت های بهداشتی هستید. یک کپشن متقاعدکننده در اینستاگرام بنویسید که اهمیت دسترسی به مراقبت های بهداشتی با کیفیت را برجسته می کند و برای کمک های مالی دعوت می کند.</v>
      </c>
      <c r="H185" s="1"/>
      <c r="I185" s="1"/>
      <c r="J185" s="1"/>
      <c r="K185" s="1"/>
      <c r="L185" s="1"/>
      <c r="M185" s="1"/>
      <c r="N185" s="1"/>
      <c r="O185" s="1"/>
      <c r="P185" s="1"/>
      <c r="Q185" s="1"/>
      <c r="R185" s="1"/>
      <c r="S185" s="1"/>
      <c r="T185" s="1"/>
      <c r="U185" s="1"/>
      <c r="V185" s="1"/>
      <c r="W185" s="1"/>
      <c r="X185" s="1"/>
      <c r="Y185" s="1"/>
      <c r="Z185" s="1"/>
      <c r="AA185" s="1"/>
      <c r="AB185" s="1"/>
    </row>
    <row r="186" ht="50.25" customHeight="1">
      <c r="A186" s="12">
        <v>182.0</v>
      </c>
      <c r="B186" s="13" t="s">
        <v>6</v>
      </c>
      <c r="C186" s="14" t="s">
        <v>188</v>
      </c>
      <c r="D186" s="1"/>
      <c r="E186" s="15"/>
      <c r="F186" s="1" t="str">
        <f>IFERROR(__xludf.DUMMYFUNCTION("GOOGLETRANSLATE(B186, ""en"", ""fa"")
"),"بازاریابی رسانه های اجتماعی")</f>
        <v>بازاریابی رسانه های اجتماعی</v>
      </c>
      <c r="G186" s="1" t="str">
        <f>IFERROR(__xludf.DUMMYFUNCTION("GOOGLETRANSLATE(C186, ""en"", ""fa"")
"),"به عنوان یک مدیر رسانه های اجتماعی، یک تصویر کوچک و عنوان جذاب یوتیوب برای یک ویدیو ایجاد کنید که در مورد بهترین استراتژی ها برای ایجاد حضور آنلاین بحث می کند.")</f>
        <v>به عنوان یک مدیر رسانه های اجتماعی، یک تصویر کوچک و عنوان جذاب یوتیوب برای یک ویدیو ایجاد کنید که در مورد بهترین استراتژی ها برای ایجاد حضور آنلاین بحث می کند.</v>
      </c>
      <c r="H186" s="1"/>
      <c r="I186" s="1"/>
      <c r="J186" s="1"/>
      <c r="K186" s="1"/>
      <c r="L186" s="1"/>
      <c r="M186" s="1"/>
      <c r="N186" s="1"/>
      <c r="O186" s="1"/>
      <c r="P186" s="1"/>
      <c r="Q186" s="1"/>
      <c r="R186" s="1"/>
      <c r="S186" s="1"/>
      <c r="T186" s="1"/>
      <c r="U186" s="1"/>
      <c r="V186" s="1"/>
      <c r="W186" s="1"/>
      <c r="X186" s="1"/>
      <c r="Y186" s="1"/>
      <c r="Z186" s="1"/>
      <c r="AA186" s="1"/>
      <c r="AB186" s="1"/>
    </row>
    <row r="187" ht="50.25" customHeight="1">
      <c r="A187" s="12">
        <v>183.0</v>
      </c>
      <c r="B187" s="13" t="s">
        <v>6</v>
      </c>
      <c r="C187" s="14" t="s">
        <v>189</v>
      </c>
      <c r="D187" s="1"/>
      <c r="E187" s="15"/>
      <c r="F187" s="1" t="str">
        <f>IFERROR(__xludf.DUMMYFUNCTION("GOOGLETRANSLATE(B187, ""en"", ""fa"")
"),"بازاریابی رسانه های اجتماعی")</f>
        <v>بازاریابی رسانه های اجتماعی</v>
      </c>
      <c r="G187" s="1" t="str">
        <f>IFERROR(__xludf.DUMMYFUNCTION("GOOGLETRANSLATE(C187, ""en"", ""fa"")
"),"شما در حال مدیریت یک حساب اینستاگرام برای خدمات تحویل غذا هستید. برای عکسی که یک غذای خوشمزه را به نمایش می‌گذارد، کپشن بنویسید و دنبال‌کنندگان را به سفارش و لذت بردن از آن دعوت کنید.")</f>
        <v>شما در حال مدیریت یک حساب اینستاگرام برای خدمات تحویل غذا هستید. برای عکسی که یک غذای خوشمزه را به نمایش می‌گذارد، کپشن بنویسید و دنبال‌کنندگان را به سفارش و لذت بردن از آن دعوت کنید.</v>
      </c>
      <c r="H187" s="1"/>
      <c r="I187" s="1"/>
      <c r="J187" s="1"/>
      <c r="K187" s="1"/>
      <c r="L187" s="1"/>
      <c r="M187" s="1"/>
      <c r="N187" s="1"/>
      <c r="O187" s="1"/>
      <c r="P187" s="1"/>
      <c r="Q187" s="1"/>
      <c r="R187" s="1"/>
      <c r="S187" s="1"/>
      <c r="T187" s="1"/>
      <c r="U187" s="1"/>
      <c r="V187" s="1"/>
      <c r="W187" s="1"/>
      <c r="X187" s="1"/>
      <c r="Y187" s="1"/>
      <c r="Z187" s="1"/>
      <c r="AA187" s="1"/>
      <c r="AB187" s="1"/>
    </row>
    <row r="188" ht="50.25" customHeight="1">
      <c r="A188" s="12">
        <v>184.0</v>
      </c>
      <c r="B188" s="13" t="s">
        <v>6</v>
      </c>
      <c r="C188" s="14" t="s">
        <v>190</v>
      </c>
      <c r="D188" s="1"/>
      <c r="E188" s="15"/>
      <c r="F188" s="1" t="str">
        <f>IFERROR(__xludf.DUMMYFUNCTION("GOOGLETRANSLATE(B188, ""en"", ""fa"")
"),"بازاریابی رسانه های اجتماعی")</f>
        <v>بازاریابی رسانه های اجتماعی</v>
      </c>
      <c r="G188" s="1" t="str">
        <f>IFERROR(__xludf.DUMMYFUNCTION("GOOGLETRANSLATE(C188, ""en"", ""fa"")
"),"شما در حال اجرای یک کمپین رسانه های اجتماعی برای یک شرکت فناوری هستید. یک کپشن اینستاگرامی بنویسید که یک محصول جدید را معرفی می کند و دنبال کنندگان را تشویق به پیش خرید می کند.")</f>
        <v>شما در حال اجرای یک کمپین رسانه های اجتماعی برای یک شرکت فناوری هستید. یک کپشن اینستاگرامی بنویسید که یک محصول جدید را معرفی می کند و دنبال کنندگان را تشویق به پیش خرید می کند.</v>
      </c>
      <c r="H188" s="1"/>
      <c r="I188" s="1"/>
      <c r="J188" s="1"/>
      <c r="K188" s="1"/>
      <c r="L188" s="1"/>
      <c r="M188" s="1"/>
      <c r="N188" s="1"/>
      <c r="O188" s="1"/>
      <c r="P188" s="1"/>
      <c r="Q188" s="1"/>
      <c r="R188" s="1"/>
      <c r="S188" s="1"/>
      <c r="T188" s="1"/>
      <c r="U188" s="1"/>
      <c r="V188" s="1"/>
      <c r="W188" s="1"/>
      <c r="X188" s="1"/>
      <c r="Y188" s="1"/>
      <c r="Z188" s="1"/>
      <c r="AA188" s="1"/>
      <c r="AB188" s="1"/>
    </row>
    <row r="189" ht="50.25" customHeight="1">
      <c r="A189" s="12">
        <v>185.0</v>
      </c>
      <c r="B189" s="13" t="s">
        <v>6</v>
      </c>
      <c r="C189" s="14" t="s">
        <v>191</v>
      </c>
      <c r="D189" s="1"/>
      <c r="E189" s="15"/>
      <c r="F189" s="1" t="str">
        <f>IFERROR(__xludf.DUMMYFUNCTION("GOOGLETRANSLATE(B189, ""en"", ""fa"")
"),"بازاریابی رسانه های اجتماعی")</f>
        <v>بازاریابی رسانه های اجتماعی</v>
      </c>
      <c r="G189" s="1" t="str">
        <f>IFERROR(__xludf.DUMMYFUNCTION("GOOGLETRANSLATE(C189, ""en"", ""fa"")
"),"به عنوان یک مدیر رسانه های اجتماعی، یک پست جذاب در لینکدین برای یک مشاور شغلی بنویسید و در مورد مصاحبه های شغلی و نوشتن رزومه مشاوره ارائه دهید.")</f>
        <v>به عنوان یک مدیر رسانه های اجتماعی، یک پست جذاب در لینکدین برای یک مشاور شغلی بنویسید و در مورد مصاحبه های شغلی و نوشتن رزومه مشاوره ارائه دهید.</v>
      </c>
      <c r="H189" s="1"/>
      <c r="I189" s="1"/>
      <c r="J189" s="1"/>
      <c r="K189" s="1"/>
      <c r="L189" s="1"/>
      <c r="M189" s="1"/>
      <c r="N189" s="1"/>
      <c r="O189" s="1"/>
      <c r="P189" s="1"/>
      <c r="Q189" s="1"/>
      <c r="R189" s="1"/>
      <c r="S189" s="1"/>
      <c r="T189" s="1"/>
      <c r="U189" s="1"/>
      <c r="V189" s="1"/>
      <c r="W189" s="1"/>
      <c r="X189" s="1"/>
      <c r="Y189" s="1"/>
      <c r="Z189" s="1"/>
      <c r="AA189" s="1"/>
      <c r="AB189" s="1"/>
    </row>
    <row r="190" ht="50.25" customHeight="1">
      <c r="A190" s="12">
        <v>186.0</v>
      </c>
      <c r="B190" s="13" t="s">
        <v>6</v>
      </c>
      <c r="C190" s="14" t="s">
        <v>192</v>
      </c>
      <c r="D190" s="1"/>
      <c r="E190" s="15"/>
      <c r="F190" s="1" t="str">
        <f>IFERROR(__xludf.DUMMYFUNCTION("GOOGLETRANSLATE(B190, ""en"", ""fa"")
"),"بازاریابی رسانه های اجتماعی")</f>
        <v>بازاریابی رسانه های اجتماعی</v>
      </c>
      <c r="G190" s="1" t="str">
        <f>IFERROR(__xludf.DUMMYFUNCTION("GOOGLETRANSLATE(C190, ""en"", ""fa"")
"),"شما در حال مدیریت یک کانال YouTube برای تأثیرگذار سبک زندگی هستید. برای ویدیویی که یک روز از زندگی را به نمایش می‌گذارد و نکات بهره‌وری را ارائه می‌کند، عنوان و شرح ویدیویی جذاب بسازید.")</f>
        <v>شما در حال مدیریت یک کانال YouTube برای تأثیرگذار سبک زندگی هستید. برای ویدیویی که یک روز از زندگی را به نمایش می‌گذارد و نکات بهره‌وری را ارائه می‌کند، عنوان و شرح ویدیویی جذاب بسازید.</v>
      </c>
      <c r="H190" s="1"/>
      <c r="I190" s="1"/>
      <c r="J190" s="1"/>
      <c r="K190" s="1"/>
      <c r="L190" s="1"/>
      <c r="M190" s="1"/>
      <c r="N190" s="1"/>
      <c r="O190" s="1"/>
      <c r="P190" s="1"/>
      <c r="Q190" s="1"/>
      <c r="R190" s="1"/>
      <c r="S190" s="1"/>
      <c r="T190" s="1"/>
      <c r="U190" s="1"/>
      <c r="V190" s="1"/>
      <c r="W190" s="1"/>
      <c r="X190" s="1"/>
      <c r="Y190" s="1"/>
      <c r="Z190" s="1"/>
      <c r="AA190" s="1"/>
      <c r="AB190" s="1"/>
    </row>
    <row r="191" ht="50.25" customHeight="1">
      <c r="A191" s="12">
        <v>187.0</v>
      </c>
      <c r="B191" s="13" t="s">
        <v>6</v>
      </c>
      <c r="C191" s="14" t="s">
        <v>193</v>
      </c>
      <c r="D191" s="1"/>
      <c r="E191" s="15"/>
      <c r="F191" s="1" t="str">
        <f>IFERROR(__xludf.DUMMYFUNCTION("GOOGLETRANSLATE(B191, ""en"", ""fa"")
"),"بازاریابی رسانه های اجتماعی")</f>
        <v>بازاریابی رسانه های اجتماعی</v>
      </c>
      <c r="G191" s="1" t="str">
        <f>IFERROR(__xludf.DUMMYFUNCTION("GOOGLETRANSLATE(C191, ""en"", ""fa"")
"),"شما در حال ایجاد یک استراتژی رسانه اجتماعی برای یک سازمان غیرانتفاعی هستید که بر حفظ محیط زیست متمرکز است. یک پست فیس بوک متقاعدکننده بنویسید که آگاهی را در مورد تأثیر آلودگی پلاستیکی افزایش دهد و جایگزین های پایدار را ترویج کند.")</f>
        <v>شما در حال ایجاد یک استراتژی رسانه اجتماعی برای یک سازمان غیرانتفاعی هستید که بر حفظ محیط زیست متمرکز است. یک پست فیس بوک متقاعدکننده بنویسید که آگاهی را در مورد تأثیر آلودگی پلاستیکی افزایش دهد و جایگزین های پایدار را ترویج کند.</v>
      </c>
      <c r="H191" s="1"/>
      <c r="I191" s="1"/>
      <c r="J191" s="1"/>
      <c r="K191" s="1"/>
      <c r="L191" s="1"/>
      <c r="M191" s="1"/>
      <c r="N191" s="1"/>
      <c r="O191" s="1"/>
      <c r="P191" s="1"/>
      <c r="Q191" s="1"/>
      <c r="R191" s="1"/>
      <c r="S191" s="1"/>
      <c r="T191" s="1"/>
      <c r="U191" s="1"/>
      <c r="V191" s="1"/>
      <c r="W191" s="1"/>
      <c r="X191" s="1"/>
      <c r="Y191" s="1"/>
      <c r="Z191" s="1"/>
      <c r="AA191" s="1"/>
      <c r="AB191" s="1"/>
    </row>
    <row r="192" ht="50.25" customHeight="1">
      <c r="A192" s="12">
        <v>188.0</v>
      </c>
      <c r="B192" s="13" t="s">
        <v>6</v>
      </c>
      <c r="C192" s="14" t="s">
        <v>194</v>
      </c>
      <c r="D192" s="1"/>
      <c r="E192" s="15"/>
      <c r="F192" s="1" t="str">
        <f>IFERROR(__xludf.DUMMYFUNCTION("GOOGLETRANSLATE(B192, ""en"", ""fa"")
"),"بازاریابی رسانه های اجتماعی")</f>
        <v>بازاریابی رسانه های اجتماعی</v>
      </c>
      <c r="G192" s="1" t="str">
        <f>IFERROR(__xludf.DUMMYFUNCTION("GOOGLETRANSLATE(C192, ""en"", ""fa"")
"),"به عنوان یک مدیر رسانه های اجتماعی، مجموعه ای از پست های توییتر را برای یک متخصص تناسب اندام ایجاد کنید، نکات تمرینی سریع و نقل قول های الهام بخش را به اشتراک بگذارید.")</f>
        <v>به عنوان یک مدیر رسانه های اجتماعی، مجموعه ای از پست های توییتر را برای یک متخصص تناسب اندام ایجاد کنید، نکات تمرینی سریع و نقل قول های الهام بخش را به اشتراک بگذارید.</v>
      </c>
      <c r="H192" s="1"/>
      <c r="I192" s="1"/>
      <c r="J192" s="1"/>
      <c r="K192" s="1"/>
      <c r="L192" s="1"/>
      <c r="M192" s="1"/>
      <c r="N192" s="1"/>
      <c r="O192" s="1"/>
      <c r="P192" s="1"/>
      <c r="Q192" s="1"/>
      <c r="R192" s="1"/>
      <c r="S192" s="1"/>
      <c r="T192" s="1"/>
      <c r="U192" s="1"/>
      <c r="V192" s="1"/>
      <c r="W192" s="1"/>
      <c r="X192" s="1"/>
      <c r="Y192" s="1"/>
      <c r="Z192" s="1"/>
      <c r="AA192" s="1"/>
      <c r="AB192" s="1"/>
    </row>
    <row r="193" ht="50.25" customHeight="1">
      <c r="A193" s="12">
        <v>189.0</v>
      </c>
      <c r="B193" s="13" t="s">
        <v>6</v>
      </c>
      <c r="C193" s="14" t="s">
        <v>195</v>
      </c>
      <c r="D193" s="1"/>
      <c r="E193" s="15"/>
      <c r="F193" s="1" t="str">
        <f>IFERROR(__xludf.DUMMYFUNCTION("GOOGLETRANSLATE(B193, ""en"", ""fa"")
"),"بازاریابی رسانه های اجتماعی")</f>
        <v>بازاریابی رسانه های اجتماعی</v>
      </c>
      <c r="G193" s="1" t="str">
        <f>IFERROR(__xludf.DUMMYFUNCTION("GOOGLETRANSLATE(C193, ""en"", ""fa"")
"),"شما در حال مدیریت یک صفحه فیس بوک برای یک خرده فروش مد هستید. با استفاده از جدیدترین مجموعه فروشگاه، پستی بنویسید که روند مد را برجسته کند و پیشنهاداتی برای استایل ارائه دهد.")</f>
        <v>شما در حال مدیریت یک صفحه فیس بوک برای یک خرده فروش مد هستید. با استفاده از جدیدترین مجموعه فروشگاه، پستی بنویسید که روند مد را برجسته کند و پیشنهاداتی برای استایل ارائه دهد.</v>
      </c>
      <c r="H193" s="1"/>
      <c r="I193" s="1"/>
      <c r="J193" s="1"/>
      <c r="K193" s="1"/>
      <c r="L193" s="1"/>
      <c r="M193" s="1"/>
      <c r="N193" s="1"/>
      <c r="O193" s="1"/>
      <c r="P193" s="1"/>
      <c r="Q193" s="1"/>
      <c r="R193" s="1"/>
      <c r="S193" s="1"/>
      <c r="T193" s="1"/>
      <c r="U193" s="1"/>
      <c r="V193" s="1"/>
      <c r="W193" s="1"/>
      <c r="X193" s="1"/>
      <c r="Y193" s="1"/>
      <c r="Z193" s="1"/>
      <c r="AA193" s="1"/>
      <c r="AB193" s="1"/>
    </row>
    <row r="194" ht="50.25" customHeight="1">
      <c r="A194" s="12">
        <v>190.0</v>
      </c>
      <c r="B194" s="13" t="s">
        <v>6</v>
      </c>
      <c r="C194" s="14" t="s">
        <v>196</v>
      </c>
      <c r="D194" s="1"/>
      <c r="E194" s="15"/>
      <c r="F194" s="1" t="str">
        <f>IFERROR(__xludf.DUMMYFUNCTION("GOOGLETRANSLATE(B194, ""en"", ""fa"")
"),"بازاریابی رسانه های اجتماعی")</f>
        <v>بازاریابی رسانه های اجتماعی</v>
      </c>
      <c r="G194" s="1" t="str">
        <f>IFERROR(__xludf.DUMMYFUNCTION("GOOGLETRANSLATE(C194, ""en"", ""fa"")
"),"شما در حال اجرای یک مسابقه رسانه های اجتماعی برای یک برند ابزارهای فناوری هستید. پستی در اینستاگرام بنویسید که فالوورها را تشویق کند تا ایده‌های نوآورانه خود را برای استفاده از محصولات برند به اشتراک بگذارند و شانس برنده شدن یک بسته جایزه را داشته باشند.")</f>
        <v>شما در حال اجرای یک مسابقه رسانه های اجتماعی برای یک برند ابزارهای فناوری هستید. پستی در اینستاگرام بنویسید که فالوورها را تشویق کند تا ایده‌های نوآورانه خود را برای استفاده از محصولات برند به اشتراک بگذارند و شانس برنده شدن یک بسته جایزه را داشته باشند.</v>
      </c>
      <c r="H194" s="1"/>
      <c r="I194" s="1"/>
      <c r="J194" s="1"/>
      <c r="K194" s="1"/>
      <c r="L194" s="1"/>
      <c r="M194" s="1"/>
      <c r="N194" s="1"/>
      <c r="O194" s="1"/>
      <c r="P194" s="1"/>
      <c r="Q194" s="1"/>
      <c r="R194" s="1"/>
      <c r="S194" s="1"/>
      <c r="T194" s="1"/>
      <c r="U194" s="1"/>
      <c r="V194" s="1"/>
      <c r="W194" s="1"/>
      <c r="X194" s="1"/>
      <c r="Y194" s="1"/>
      <c r="Z194" s="1"/>
      <c r="AA194" s="1"/>
      <c r="AB194" s="1"/>
    </row>
    <row r="195" ht="50.25" customHeight="1">
      <c r="A195" s="12">
        <v>191.0</v>
      </c>
      <c r="B195" s="13" t="s">
        <v>6</v>
      </c>
      <c r="C195" s="14" t="s">
        <v>197</v>
      </c>
      <c r="D195" s="1"/>
      <c r="E195" s="15"/>
      <c r="F195" s="1" t="str">
        <f>IFERROR(__xludf.DUMMYFUNCTION("GOOGLETRANSLATE(B195, ""en"", ""fa"")
"),"بازاریابی رسانه های اجتماعی")</f>
        <v>بازاریابی رسانه های اجتماعی</v>
      </c>
      <c r="G195" s="1" t="str">
        <f>IFERROR(__xludf.DUMMYFUNCTION("GOOGLETRANSLATE(C195, ""en"", ""fa"")
"),"به عنوان یک مدیر رسانه های اجتماعی، یک پست وبلاگ آموزنده برای یک مربی سلامتی بنویسید، در مورد مزایای تمرکز حواس صحبت کنید و نکاتی را برای گنجاندن آن در زندگی روزمره ارائه دهید.")</f>
        <v>به عنوان یک مدیر رسانه های اجتماعی، یک پست وبلاگ آموزنده برای یک مربی سلامتی بنویسید، در مورد مزایای تمرکز حواس صحبت کنید و نکاتی را برای گنجاندن آن در زندگی روزمره ارائه دهید.</v>
      </c>
      <c r="H195" s="1"/>
      <c r="I195" s="1"/>
      <c r="J195" s="1"/>
      <c r="K195" s="1"/>
      <c r="L195" s="1"/>
      <c r="M195" s="1"/>
      <c r="N195" s="1"/>
      <c r="O195" s="1"/>
      <c r="P195" s="1"/>
      <c r="Q195" s="1"/>
      <c r="R195" s="1"/>
      <c r="S195" s="1"/>
      <c r="T195" s="1"/>
      <c r="U195" s="1"/>
      <c r="V195" s="1"/>
      <c r="W195" s="1"/>
      <c r="X195" s="1"/>
      <c r="Y195" s="1"/>
      <c r="Z195" s="1"/>
      <c r="AA195" s="1"/>
      <c r="AB195" s="1"/>
    </row>
    <row r="196" ht="50.25" customHeight="1">
      <c r="A196" s="12">
        <v>192.0</v>
      </c>
      <c r="B196" s="13" t="s">
        <v>6</v>
      </c>
      <c r="C196" s="14" t="s">
        <v>198</v>
      </c>
      <c r="D196" s="1"/>
      <c r="E196" s="15"/>
      <c r="F196" s="1" t="str">
        <f>IFERROR(__xludf.DUMMYFUNCTION("GOOGLETRANSLATE(B196, ""en"", ""fa"")
"),"بازاریابی رسانه های اجتماعی")</f>
        <v>بازاریابی رسانه های اجتماعی</v>
      </c>
      <c r="G196" s="1" t="str">
        <f>IFERROR(__xludf.DUMMYFUNCTION("GOOGLETRANSLATE(C196, ""en"", ""fa"")
"),"شما در حال مدیریت اکانت اینستاگرام یک اینفلوئنسر هستید که بر روی دکوراسیون منزل متمرکز است. برای عکسی که اتاقی با طراحی زیبا را به نمایش می‌گذارد، نکات طراحی را ارائه می‌کند و وسایل دکور برجسته را تبلیغ می‌کند، شرحی بنویسید.")</f>
        <v>شما در حال مدیریت اکانت اینستاگرام یک اینفلوئنسر هستید که بر روی دکوراسیون منزل متمرکز است. برای عکسی که اتاقی با طراحی زیبا را به نمایش می‌گذارد، نکات طراحی را ارائه می‌کند و وسایل دکور برجسته را تبلیغ می‌کند، شرحی بنویسید.</v>
      </c>
      <c r="H196" s="1"/>
      <c r="I196" s="1"/>
      <c r="J196" s="1"/>
      <c r="K196" s="1"/>
      <c r="L196" s="1"/>
      <c r="M196" s="1"/>
      <c r="N196" s="1"/>
      <c r="O196" s="1"/>
      <c r="P196" s="1"/>
      <c r="Q196" s="1"/>
      <c r="R196" s="1"/>
      <c r="S196" s="1"/>
      <c r="T196" s="1"/>
      <c r="U196" s="1"/>
      <c r="V196" s="1"/>
      <c r="W196" s="1"/>
      <c r="X196" s="1"/>
      <c r="Y196" s="1"/>
      <c r="Z196" s="1"/>
      <c r="AA196" s="1"/>
      <c r="AB196" s="1"/>
    </row>
    <row r="197" ht="50.25" customHeight="1">
      <c r="A197" s="12">
        <v>193.0</v>
      </c>
      <c r="B197" s="13" t="s">
        <v>6</v>
      </c>
      <c r="C197" s="14" t="s">
        <v>199</v>
      </c>
      <c r="D197" s="1"/>
      <c r="E197" s="15"/>
      <c r="F197" s="1" t="str">
        <f>IFERROR(__xludf.DUMMYFUNCTION("GOOGLETRANSLATE(B197, ""en"", ""fa"")
"),"بازاریابی رسانه های اجتماعی")</f>
        <v>بازاریابی رسانه های اجتماعی</v>
      </c>
      <c r="G197" s="1" t="str">
        <f>IFERROR(__xludf.DUMMYFUNCTION("GOOGLETRANSLATE(C197, ""en"", ""fa"")
"),"شما در حال ایجاد یک استراتژی رسانه اجتماعی برای یک سازمان غیرانتفاعی با تمرکز بر سلامت روان هستید. یک تاپیک متقاعدکننده در توییتر بنویسید که آگاهی را در مورد انگ سلامت روان افزایش دهد و منابع سازمان را ارتقا دهد.")</f>
        <v>شما در حال ایجاد یک استراتژی رسانه اجتماعی برای یک سازمان غیرانتفاعی با تمرکز بر سلامت روان هستید. یک تاپیک متقاعدکننده در توییتر بنویسید که آگاهی را در مورد انگ سلامت روان افزایش دهد و منابع سازمان را ارتقا دهد.</v>
      </c>
      <c r="H197" s="1"/>
      <c r="I197" s="1"/>
      <c r="J197" s="1"/>
      <c r="K197" s="1"/>
      <c r="L197" s="1"/>
      <c r="M197" s="1"/>
      <c r="N197" s="1"/>
      <c r="O197" s="1"/>
      <c r="P197" s="1"/>
      <c r="Q197" s="1"/>
      <c r="R197" s="1"/>
      <c r="S197" s="1"/>
      <c r="T197" s="1"/>
      <c r="U197" s="1"/>
      <c r="V197" s="1"/>
      <c r="W197" s="1"/>
      <c r="X197" s="1"/>
      <c r="Y197" s="1"/>
      <c r="Z197" s="1"/>
      <c r="AA197" s="1"/>
      <c r="AB197" s="1"/>
    </row>
    <row r="198" ht="50.25" customHeight="1">
      <c r="A198" s="12">
        <v>194.0</v>
      </c>
      <c r="B198" s="13" t="s">
        <v>6</v>
      </c>
      <c r="C198" s="14" t="s">
        <v>200</v>
      </c>
      <c r="D198" s="1"/>
      <c r="E198" s="15"/>
      <c r="F198" s="1" t="str">
        <f>IFERROR(__xludf.DUMMYFUNCTION("GOOGLETRANSLATE(B198, ""en"", ""fa"")
"),"بازاریابی رسانه های اجتماعی")</f>
        <v>بازاریابی رسانه های اجتماعی</v>
      </c>
      <c r="G198" s="1" t="str">
        <f>IFERROR(__xludf.DUMMYFUNCTION("GOOGLETRANSLATE(C198, ""en"", ""fa"")
"),"به عنوان یک مدیر رسانه های اجتماعی، یک پست لینکدین جذاب برای یک شرکت نرم افزاری ایجاد کنید و در مورد ویژگی های کلیدی انتشار نرم افزار جدید آنها بحث کنید.")</f>
        <v>به عنوان یک مدیر رسانه های اجتماعی، یک پست لینکدین جذاب برای یک شرکت نرم افزاری ایجاد کنید و در مورد ویژگی های کلیدی انتشار نرم افزار جدید آنها بحث کنید.</v>
      </c>
      <c r="H198" s="1"/>
      <c r="I198" s="1"/>
      <c r="J198" s="1"/>
      <c r="K198" s="1"/>
      <c r="L198" s="1"/>
      <c r="M198" s="1"/>
      <c r="N198" s="1"/>
      <c r="O198" s="1"/>
      <c r="P198" s="1"/>
      <c r="Q198" s="1"/>
      <c r="R198" s="1"/>
      <c r="S198" s="1"/>
      <c r="T198" s="1"/>
      <c r="U198" s="1"/>
      <c r="V198" s="1"/>
      <c r="W198" s="1"/>
      <c r="X198" s="1"/>
      <c r="Y198" s="1"/>
      <c r="Z198" s="1"/>
      <c r="AA198" s="1"/>
      <c r="AB198" s="1"/>
    </row>
    <row r="199" ht="50.25" customHeight="1">
      <c r="A199" s="12">
        <v>195.0</v>
      </c>
      <c r="B199" s="13" t="s">
        <v>6</v>
      </c>
      <c r="C199" s="14" t="s">
        <v>201</v>
      </c>
      <c r="D199" s="1"/>
      <c r="E199" s="15"/>
      <c r="F199" s="1" t="str">
        <f>IFERROR(__xludf.DUMMYFUNCTION("GOOGLETRANSLATE(B199, ""en"", ""fa"")
"),"بازاریابی رسانه های اجتماعی")</f>
        <v>بازاریابی رسانه های اجتماعی</v>
      </c>
      <c r="G199" s="1" t="str">
        <f>IFERROR(__xludf.DUMMYFUNCTION("GOOGLETRANSLATE(C199, ""en"", ""fa"")
"),"شما در حال مدیریت یک صفحه فیس بوک برای آژانس مسافرتی هستید. پستی بنویسید که یک مقصد سفر منحصر به فرد را برجسته کند و برای رزرو تخفیف برای مدت زمان محدود ارائه دهد.")</f>
        <v>شما در حال مدیریت یک صفحه فیس بوک برای آژانس مسافرتی هستید. پستی بنویسید که یک مقصد سفر منحصر به فرد را برجسته کند و برای رزرو تخفیف برای مدت زمان محدود ارائه دهد.</v>
      </c>
      <c r="H199" s="1"/>
      <c r="I199" s="1"/>
      <c r="J199" s="1"/>
      <c r="K199" s="1"/>
      <c r="L199" s="1"/>
      <c r="M199" s="1"/>
      <c r="N199" s="1"/>
      <c r="O199" s="1"/>
      <c r="P199" s="1"/>
      <c r="Q199" s="1"/>
      <c r="R199" s="1"/>
      <c r="S199" s="1"/>
      <c r="T199" s="1"/>
      <c r="U199" s="1"/>
      <c r="V199" s="1"/>
      <c r="W199" s="1"/>
      <c r="X199" s="1"/>
      <c r="Y199" s="1"/>
      <c r="Z199" s="1"/>
      <c r="AA199" s="1"/>
      <c r="AB199" s="1"/>
    </row>
    <row r="200" ht="50.25" customHeight="1">
      <c r="A200" s="12">
        <v>196.0</v>
      </c>
      <c r="B200" s="13" t="s">
        <v>6</v>
      </c>
      <c r="C200" s="14" t="s">
        <v>202</v>
      </c>
      <c r="D200" s="1"/>
      <c r="E200" s="15"/>
      <c r="F200" s="1" t="str">
        <f>IFERROR(__xludf.DUMMYFUNCTION("GOOGLETRANSLATE(B200, ""en"", ""fa"")
"),"بازاریابی رسانه های اجتماعی")</f>
        <v>بازاریابی رسانه های اجتماعی</v>
      </c>
      <c r="G200" s="1" t="str">
        <f>IFERROR(__xludf.DUMMYFUNCTION("GOOGLETRANSLATE(C200, ""en"", ""fa"")
"),"شما در حال اجرای یک کمپین رسانه های اجتماعی برای یک برند پوشاک تناسب اندام هستید. یک کپشن اینستاگرام بنویسید که به دنبال‌کنندگان انگیزه دهد تا فعال بمانند و جدیدترین مجموعه لباس‌های فعال برند را به نمایش بگذارد.")</f>
        <v>شما در حال اجرای یک کمپین رسانه های اجتماعی برای یک برند پوشاک تناسب اندام هستید. یک کپشن اینستاگرام بنویسید که به دنبال‌کنندگان انگیزه دهد تا فعال بمانند و جدیدترین مجموعه لباس‌های فعال برند را به نمایش بگذارد.</v>
      </c>
      <c r="H200" s="1"/>
      <c r="I200" s="1"/>
      <c r="J200" s="1"/>
      <c r="K200" s="1"/>
      <c r="L200" s="1"/>
      <c r="M200" s="1"/>
      <c r="N200" s="1"/>
      <c r="O200" s="1"/>
      <c r="P200" s="1"/>
      <c r="Q200" s="1"/>
      <c r="R200" s="1"/>
      <c r="S200" s="1"/>
      <c r="T200" s="1"/>
      <c r="U200" s="1"/>
      <c r="V200" s="1"/>
      <c r="W200" s="1"/>
      <c r="X200" s="1"/>
      <c r="Y200" s="1"/>
      <c r="Z200" s="1"/>
      <c r="AA200" s="1"/>
      <c r="AB200" s="1"/>
    </row>
    <row r="201" ht="50.25" customHeight="1">
      <c r="A201" s="12">
        <v>197.0</v>
      </c>
      <c r="B201" s="13" t="s">
        <v>6</v>
      </c>
      <c r="C201" s="14" t="s">
        <v>203</v>
      </c>
      <c r="D201" s="1"/>
      <c r="E201" s="15"/>
      <c r="F201" s="1" t="str">
        <f>IFERROR(__xludf.DUMMYFUNCTION("GOOGLETRANSLATE(B201, ""en"", ""fa"")
"),"بازاریابی رسانه های اجتماعی")</f>
        <v>بازاریابی رسانه های اجتماعی</v>
      </c>
      <c r="G201" s="1" t="str">
        <f>IFERROR(__xludf.DUMMYFUNCTION("GOOGLETRANSLATE(C201, ""en"", ""fa"")
"),"به عنوان یک مدیر رسانه های اجتماعی، یک پست وبلاگ متقاعدکننده برای یک متخصص تغذیه بنویسید و در مورد اهمیت عادات غذایی سالم بحث کنید و نکات عملی برای تغذیه متعادل ارائه دهید.")</f>
        <v>به عنوان یک مدیر رسانه های اجتماعی، یک پست وبلاگ متقاعدکننده برای یک متخصص تغذیه بنویسید و در مورد اهمیت عادات غذایی سالم بحث کنید و نکات عملی برای تغذیه متعادل ارائه دهید.</v>
      </c>
      <c r="H201" s="1"/>
      <c r="I201" s="1"/>
      <c r="J201" s="1"/>
      <c r="K201" s="1"/>
      <c r="L201" s="1"/>
      <c r="M201" s="1"/>
      <c r="N201" s="1"/>
      <c r="O201" s="1"/>
      <c r="P201" s="1"/>
      <c r="Q201" s="1"/>
      <c r="R201" s="1"/>
      <c r="S201" s="1"/>
      <c r="T201" s="1"/>
      <c r="U201" s="1"/>
      <c r="V201" s="1"/>
      <c r="W201" s="1"/>
      <c r="X201" s="1"/>
      <c r="Y201" s="1"/>
      <c r="Z201" s="1"/>
      <c r="AA201" s="1"/>
      <c r="AB201" s="1"/>
    </row>
    <row r="202" ht="50.25" customHeight="1">
      <c r="A202" s="12">
        <v>198.0</v>
      </c>
      <c r="B202" s="13" t="s">
        <v>6</v>
      </c>
      <c r="C202" s="14" t="s">
        <v>204</v>
      </c>
      <c r="D202" s="1"/>
      <c r="E202" s="15"/>
      <c r="F202" s="1" t="str">
        <f>IFERROR(__xludf.DUMMYFUNCTION("GOOGLETRANSLATE(B202, ""en"", ""fa"")
"),"بازاریابی رسانه های اجتماعی")</f>
        <v>بازاریابی رسانه های اجتماعی</v>
      </c>
      <c r="G202" s="1" t="str">
        <f>IFERROR(__xludf.DUMMYFUNCTION("GOOGLETRANSLATE(C202, ""en"", ""fa"")
"),"شما در حال مدیریت یک حساب اینستاگرام برای یک پناهگاه حیوانات خانگی هستید. برای عکسی از یک حیوان خانگی نجات یافته، یک شرح صمیمانه بنویسید و پیروان را تشویق کنید که به فرزندخواندگی فکر کنند و از پناهگاه حمایت کنند.")</f>
        <v>شما در حال مدیریت یک حساب اینستاگرام برای یک پناهگاه حیوانات خانگی هستید. برای عکسی از یک حیوان خانگی نجات یافته، یک شرح صمیمانه بنویسید و پیروان را تشویق کنید که به فرزندخواندگی فکر کنند و از پناهگاه حمایت کنند.</v>
      </c>
      <c r="H202" s="1"/>
      <c r="I202" s="1"/>
      <c r="J202" s="1"/>
      <c r="K202" s="1"/>
      <c r="L202" s="1"/>
      <c r="M202" s="1"/>
      <c r="N202" s="1"/>
      <c r="O202" s="1"/>
      <c r="P202" s="1"/>
      <c r="Q202" s="1"/>
      <c r="R202" s="1"/>
      <c r="S202" s="1"/>
      <c r="T202" s="1"/>
      <c r="U202" s="1"/>
      <c r="V202" s="1"/>
      <c r="W202" s="1"/>
      <c r="X202" s="1"/>
      <c r="Y202" s="1"/>
      <c r="Z202" s="1"/>
      <c r="AA202" s="1"/>
      <c r="AB202" s="1"/>
    </row>
    <row r="203" ht="50.25" customHeight="1">
      <c r="A203" s="12">
        <v>199.0</v>
      </c>
      <c r="B203" s="13" t="s">
        <v>6</v>
      </c>
      <c r="C203" s="14" t="s">
        <v>205</v>
      </c>
      <c r="D203" s="1"/>
      <c r="E203" s="15"/>
      <c r="F203" s="1" t="str">
        <f>IFERROR(__xludf.DUMMYFUNCTION("GOOGLETRANSLATE(B203, ""en"", ""fa"")
"),"بازاریابی رسانه های اجتماعی")</f>
        <v>بازاریابی رسانه های اجتماعی</v>
      </c>
      <c r="G203" s="1" t="str">
        <f>IFERROR(__xludf.DUMMYFUNCTION("GOOGLETRANSLATE(C203, ""en"", ""fa"")
"),"شما در حال ایجاد یک استراتژی رسانه اجتماعی برای یک سازمان غیرانتفاعی هستید که بر آموزش کودکان متمرکز است. یک پست متقاعدکننده در فیس بوک بنویسید که از آموزش فراگیر حمایت می کند و بر اهمیت فرصت های برابر تأکید می کند.")</f>
        <v>شما در حال ایجاد یک استراتژی رسانه اجتماعی برای یک سازمان غیرانتفاعی هستید که بر آموزش کودکان متمرکز است. یک پست متقاعدکننده در فیس بوک بنویسید که از آموزش فراگیر حمایت می کند و بر اهمیت فرصت های برابر تأکید می کند.</v>
      </c>
      <c r="H203" s="1"/>
      <c r="I203" s="1"/>
      <c r="J203" s="1"/>
      <c r="K203" s="1"/>
      <c r="L203" s="1"/>
      <c r="M203" s="1"/>
      <c r="N203" s="1"/>
      <c r="O203" s="1"/>
      <c r="P203" s="1"/>
      <c r="Q203" s="1"/>
      <c r="R203" s="1"/>
      <c r="S203" s="1"/>
      <c r="T203" s="1"/>
      <c r="U203" s="1"/>
      <c r="V203" s="1"/>
      <c r="W203" s="1"/>
      <c r="X203" s="1"/>
      <c r="Y203" s="1"/>
      <c r="Z203" s="1"/>
      <c r="AA203" s="1"/>
      <c r="AB203" s="1"/>
    </row>
    <row r="204" ht="50.25" customHeight="1">
      <c r="A204" s="12">
        <v>200.0</v>
      </c>
      <c r="B204" s="13" t="s">
        <v>6</v>
      </c>
      <c r="C204" s="14" t="s">
        <v>206</v>
      </c>
      <c r="D204" s="1"/>
      <c r="E204" s="15"/>
      <c r="F204" s="1" t="str">
        <f>IFERROR(__xludf.DUMMYFUNCTION("GOOGLETRANSLATE(B204, ""en"", ""fa"")
"),"بازاریابی رسانه های اجتماعی")</f>
        <v>بازاریابی رسانه های اجتماعی</v>
      </c>
      <c r="G204" s="1" t="str">
        <f>IFERROR(__xludf.DUMMYFUNCTION("GOOGLETRANSLATE(C204, ""en"", ""fa"")
"),"به‌عنوان مدیر رسانه‌های اجتماعی، مجموعه‌ای از استوری‌های اینستاگرام را برای اینفلوئنسرهای سفر ایجاد کنید، نکات سفر و فیلم‌های پشت صحنه آخرین ماجراجویی خود را به اشتراک بگذارید.")</f>
        <v>به‌عنوان مدیر رسانه‌های اجتماعی، مجموعه‌ای از استوری‌های اینستاگرام را برای اینفلوئنسرهای سفر ایجاد کنید، نکات سفر و فیلم‌های پشت صحنه آخرین ماجراجویی خود را به اشتراک بگذارید.</v>
      </c>
      <c r="H204" s="1"/>
      <c r="I204" s="1"/>
      <c r="J204" s="1"/>
      <c r="K204" s="1"/>
      <c r="L204" s="1"/>
      <c r="M204" s="1"/>
      <c r="N204" s="1"/>
      <c r="O204" s="1"/>
      <c r="P204" s="1"/>
      <c r="Q204" s="1"/>
      <c r="R204" s="1"/>
      <c r="S204" s="1"/>
      <c r="T204" s="1"/>
      <c r="U204" s="1"/>
      <c r="V204" s="1"/>
      <c r="W204" s="1"/>
      <c r="X204" s="1"/>
      <c r="Y204" s="1"/>
      <c r="Z204" s="1"/>
      <c r="AA204" s="1"/>
      <c r="AB204" s="1"/>
    </row>
    <row r="205" ht="50.25" customHeight="1">
      <c r="A205" s="12">
        <v>201.0</v>
      </c>
      <c r="B205" s="13" t="s">
        <v>6</v>
      </c>
      <c r="C205" s="14" t="s">
        <v>207</v>
      </c>
      <c r="D205" s="1"/>
      <c r="E205" s="15"/>
      <c r="F205" s="1" t="str">
        <f>IFERROR(__xludf.DUMMYFUNCTION("GOOGLETRANSLATE(B205, ""en"", ""fa"")
"),"بازاریابی رسانه های اجتماعی")</f>
        <v>بازاریابی رسانه های اجتماعی</v>
      </c>
      <c r="G205" s="1" t="str">
        <f>IFERROR(__xludf.DUMMYFUNCTION("GOOGLETRANSLATE(C205, ""en"", ""fa"")
"),"شما در حال مدیریت یک کانال YouTube برای علاقه مندان به آشپزی هستید. یک تصویر کوچک ویدیویی و عنوان جذابی برای یک ویدیوی دستور تهیه کنید که حاوی یک دسر خوشمزه است.")</f>
        <v>شما در حال مدیریت یک کانال YouTube برای علاقه مندان به آشپزی هستید. یک تصویر کوچک ویدیویی و عنوان جذابی برای یک ویدیوی دستور تهیه کنید که حاوی یک دسر خوشمزه است.</v>
      </c>
      <c r="H205" s="1"/>
      <c r="I205" s="1"/>
      <c r="J205" s="1"/>
      <c r="K205" s="1"/>
      <c r="L205" s="1"/>
      <c r="M205" s="1"/>
      <c r="N205" s="1"/>
      <c r="O205" s="1"/>
      <c r="P205" s="1"/>
      <c r="Q205" s="1"/>
      <c r="R205" s="1"/>
      <c r="S205" s="1"/>
      <c r="T205" s="1"/>
      <c r="U205" s="1"/>
      <c r="V205" s="1"/>
      <c r="W205" s="1"/>
      <c r="X205" s="1"/>
      <c r="Y205" s="1"/>
      <c r="Z205" s="1"/>
      <c r="AA205" s="1"/>
      <c r="AB205" s="1"/>
    </row>
    <row r="206" ht="50.25" customHeight="1">
      <c r="A206" s="12">
        <v>202.0</v>
      </c>
      <c r="B206" s="13" t="s">
        <v>6</v>
      </c>
      <c r="C206" s="14" t="s">
        <v>208</v>
      </c>
      <c r="D206" s="1"/>
      <c r="E206" s="15"/>
      <c r="F206" s="1" t="str">
        <f>IFERROR(__xludf.DUMMYFUNCTION("GOOGLETRANSLATE(B206, ""en"", ""fa"")
"),"بازاریابی رسانه های اجتماعی")</f>
        <v>بازاریابی رسانه های اجتماعی</v>
      </c>
      <c r="G206" s="1" t="str">
        <f>IFERROR(__xludf.DUMMYFUNCTION("GOOGLETRANSLATE(C206, ""en"", ""fa"")
"),"شما در حال برگزاری یک مسابقه رسانه های اجتماعی برای یک برند لوازم جانبی مد هستید. پستی در اینستاگرام بنویسید که فالوورها را ترغیب کند تا ترکیبات لوازم جانبی مورد علاقه خود را به اشتراک بگذارند و شانس برنده شدن در خرید را داشته باشند.")</f>
        <v>شما در حال برگزاری یک مسابقه رسانه های اجتماعی برای یک برند لوازم جانبی مد هستید. پستی در اینستاگرام بنویسید که فالوورها را ترغیب کند تا ترکیبات لوازم جانبی مورد علاقه خود را به اشتراک بگذارند و شانس برنده شدن در خرید را داشته باشند.</v>
      </c>
      <c r="H206" s="1"/>
      <c r="I206" s="1"/>
      <c r="J206" s="1"/>
      <c r="K206" s="1"/>
      <c r="L206" s="1"/>
      <c r="M206" s="1"/>
      <c r="N206" s="1"/>
      <c r="O206" s="1"/>
      <c r="P206" s="1"/>
      <c r="Q206" s="1"/>
      <c r="R206" s="1"/>
      <c r="S206" s="1"/>
      <c r="T206" s="1"/>
      <c r="U206" s="1"/>
      <c r="V206" s="1"/>
      <c r="W206" s="1"/>
      <c r="X206" s="1"/>
      <c r="Y206" s="1"/>
      <c r="Z206" s="1"/>
      <c r="AA206" s="1"/>
      <c r="AB206" s="1"/>
    </row>
    <row r="207" ht="50.25" customHeight="1">
      <c r="A207" s="12">
        <v>203.0</v>
      </c>
      <c r="B207" s="13" t="s">
        <v>6</v>
      </c>
      <c r="C207" s="14" t="s">
        <v>209</v>
      </c>
      <c r="D207" s="1"/>
      <c r="E207" s="15"/>
      <c r="F207" s="1" t="str">
        <f>IFERROR(__xludf.DUMMYFUNCTION("GOOGLETRANSLATE(B207, ""en"", ""fa"")
"),"بازاریابی رسانه های اجتماعی")</f>
        <v>بازاریابی رسانه های اجتماعی</v>
      </c>
      <c r="G207" s="1" t="str">
        <f>IFERROR(__xludf.DUMMYFUNCTION("GOOGLETRANSLATE(C207, ""en"", ""fa"")
"),"به عنوان یک مدیر رسانه های اجتماعی، یک پست وبلاگ جذاب برای یک مربی سلامتی بنویسید، در مورد مزایای ورزش منظم و ارائه پیشنهادات تمرینی برای سطوح مختلف تناسب اندام صحبت کنید.")</f>
        <v>به عنوان یک مدیر رسانه های اجتماعی، یک پست وبلاگ جذاب برای یک مربی سلامتی بنویسید، در مورد مزایای ورزش منظم و ارائه پیشنهادات تمرینی برای سطوح مختلف تناسب اندام صحبت کنید.</v>
      </c>
      <c r="H207" s="1"/>
      <c r="I207" s="1"/>
      <c r="J207" s="1"/>
      <c r="K207" s="1"/>
      <c r="L207" s="1"/>
      <c r="M207" s="1"/>
      <c r="N207" s="1"/>
      <c r="O207" s="1"/>
      <c r="P207" s="1"/>
      <c r="Q207" s="1"/>
      <c r="R207" s="1"/>
      <c r="S207" s="1"/>
      <c r="T207" s="1"/>
      <c r="U207" s="1"/>
      <c r="V207" s="1"/>
      <c r="W207" s="1"/>
      <c r="X207" s="1"/>
      <c r="Y207" s="1"/>
      <c r="Z207" s="1"/>
      <c r="AA207" s="1"/>
      <c r="AB207" s="1"/>
    </row>
    <row r="208" ht="50.25" customHeight="1">
      <c r="A208" s="12">
        <v>204.0</v>
      </c>
      <c r="B208" s="13" t="s">
        <v>6</v>
      </c>
      <c r="C208" s="14" t="s">
        <v>210</v>
      </c>
      <c r="D208" s="1"/>
      <c r="E208" s="15"/>
      <c r="F208" s="1" t="str">
        <f>IFERROR(__xludf.DUMMYFUNCTION("GOOGLETRANSLATE(B208, ""en"", ""fa"")
"),"بازاریابی رسانه های اجتماعی")</f>
        <v>بازاریابی رسانه های اجتماعی</v>
      </c>
      <c r="G208" s="1" t="str">
        <f>IFERROR(__xludf.DUMMYFUNCTION("GOOGLETRANSLATE(C208, ""en"", ""fa"")
"),"شما در حال مدیریت حساب توییتر یک تأثیرگذار هستید که بر توسعه شخصی متمرکز است. توییتی بنویسید که درس ارزشمند زندگی را به اشتراک بگذارد و فالوورها را تشویق کند تا در مورد رشد شخصی خود فکر کنند.")</f>
        <v>شما در حال مدیریت حساب توییتر یک تأثیرگذار هستید که بر توسعه شخصی متمرکز است. توییتی بنویسید که درس ارزشمند زندگی را به اشتراک بگذارد و فالوورها را تشویق کند تا در مورد رشد شخصی خود فکر کنند.</v>
      </c>
      <c r="H208" s="1"/>
      <c r="I208" s="1"/>
      <c r="J208" s="1"/>
      <c r="K208" s="1"/>
      <c r="L208" s="1"/>
      <c r="M208" s="1"/>
      <c r="N208" s="1"/>
      <c r="O208" s="1"/>
      <c r="P208" s="1"/>
      <c r="Q208" s="1"/>
      <c r="R208" s="1"/>
      <c r="S208" s="1"/>
      <c r="T208" s="1"/>
      <c r="U208" s="1"/>
      <c r="V208" s="1"/>
      <c r="W208" s="1"/>
      <c r="X208" s="1"/>
      <c r="Y208" s="1"/>
      <c r="Z208" s="1"/>
      <c r="AA208" s="1"/>
      <c r="AB208" s="1"/>
    </row>
    <row r="209" ht="50.25" customHeight="1">
      <c r="A209" s="12">
        <v>205.0</v>
      </c>
      <c r="B209" s="13" t="s">
        <v>6</v>
      </c>
      <c r="C209" s="14" t="s">
        <v>211</v>
      </c>
      <c r="D209" s="1"/>
      <c r="E209" s="15"/>
      <c r="F209" s="1" t="str">
        <f>IFERROR(__xludf.DUMMYFUNCTION("GOOGLETRANSLATE(B209, ""en"", ""fa"")
"),"بازاریابی رسانه های اجتماعی")</f>
        <v>بازاریابی رسانه های اجتماعی</v>
      </c>
      <c r="G209" s="1" t="str">
        <f>IFERROR(__xludf.DUMMYFUNCTION("GOOGLETRANSLATE(C209, ""en"", ""fa"")
"),"شما در حال ایجاد یک استراتژی رسانه اجتماعی برای یک سازمان غیرانتفاعی هستید که بر پایداری محیطی متمرکز است. یک کپشن متقاعدکننده در اینستاگرام بنویسید که به فالوورها درباره اهمیت انرژی های تجدیدپذیر آموزش می دهد و انتخاب های پایدار را تشویق می کند.")</f>
        <v>شما در حال ایجاد یک استراتژی رسانه اجتماعی برای یک سازمان غیرانتفاعی هستید که بر پایداری محیطی متمرکز است. یک کپشن متقاعدکننده در اینستاگرام بنویسید که به فالوورها درباره اهمیت انرژی های تجدیدپذیر آموزش می دهد و انتخاب های پایدار را تشویق می کند.</v>
      </c>
      <c r="H209" s="1"/>
      <c r="I209" s="1"/>
      <c r="J209" s="1"/>
      <c r="K209" s="1"/>
      <c r="L209" s="1"/>
      <c r="M209" s="1"/>
      <c r="N209" s="1"/>
      <c r="O209" s="1"/>
      <c r="P209" s="1"/>
      <c r="Q209" s="1"/>
      <c r="R209" s="1"/>
      <c r="S209" s="1"/>
      <c r="T209" s="1"/>
      <c r="U209" s="1"/>
      <c r="V209" s="1"/>
      <c r="W209" s="1"/>
      <c r="X209" s="1"/>
      <c r="Y209" s="1"/>
      <c r="Z209" s="1"/>
      <c r="AA209" s="1"/>
      <c r="AB209" s="1"/>
    </row>
    <row r="210" ht="50.25" customHeight="1">
      <c r="A210" s="12">
        <v>206.0</v>
      </c>
      <c r="B210" s="13" t="s">
        <v>6</v>
      </c>
      <c r="C210" s="14" t="s">
        <v>212</v>
      </c>
      <c r="D210" s="1"/>
      <c r="E210" s="15"/>
      <c r="F210" s="1" t="str">
        <f>IFERROR(__xludf.DUMMYFUNCTION("GOOGLETRANSLATE(B210, ""en"", ""fa"")
"),"بازاریابی رسانه های اجتماعی")</f>
        <v>بازاریابی رسانه های اجتماعی</v>
      </c>
      <c r="G210" s="1" t="str">
        <f>IFERROR(__xludf.DUMMYFUNCTION("GOOGLETRANSLATE(C210, ""en"", ""fa"")
"),"به عنوان یک مدیر رسانه های اجتماعی، یک پست آموزنده در لینکدین برای مشاور کسب و کار ایجاد کنید که نکاتی در مورد ارتباط موثر و ایجاد رابطه با مشتریان ارائه می دهد.")</f>
        <v>به عنوان یک مدیر رسانه های اجتماعی، یک پست آموزنده در لینکدین برای مشاور کسب و کار ایجاد کنید که نکاتی در مورد ارتباط موثر و ایجاد رابطه با مشتریان ارائه می دهد.</v>
      </c>
      <c r="H210" s="1"/>
      <c r="I210" s="1"/>
      <c r="J210" s="1"/>
      <c r="K210" s="1"/>
      <c r="L210" s="1"/>
      <c r="M210" s="1"/>
      <c r="N210" s="1"/>
      <c r="O210" s="1"/>
      <c r="P210" s="1"/>
      <c r="Q210" s="1"/>
      <c r="R210" s="1"/>
      <c r="S210" s="1"/>
      <c r="T210" s="1"/>
      <c r="U210" s="1"/>
      <c r="V210" s="1"/>
      <c r="W210" s="1"/>
      <c r="X210" s="1"/>
      <c r="Y210" s="1"/>
      <c r="Z210" s="1"/>
      <c r="AA210" s="1"/>
      <c r="AB210" s="1"/>
    </row>
    <row r="211" ht="50.25" customHeight="1">
      <c r="A211" s="12">
        <v>207.0</v>
      </c>
      <c r="B211" s="13" t="s">
        <v>6</v>
      </c>
      <c r="C211" s="14" t="s">
        <v>213</v>
      </c>
      <c r="D211" s="1"/>
      <c r="E211" s="15"/>
      <c r="F211" s="1" t="str">
        <f>IFERROR(__xludf.DUMMYFUNCTION("GOOGLETRANSLATE(B211, ""en"", ""fa"")
"),"بازاریابی رسانه های اجتماعی")</f>
        <v>بازاریابی رسانه های اجتماعی</v>
      </c>
      <c r="G211" s="1" t="str">
        <f>IFERROR(__xludf.DUMMYFUNCTION("GOOGLETRANSLATE(C211, ""en"", ""fa"")
"),"شما در حال مدیریت یک صفحه فیس بوک برای یک سازمان غیرانتفاعی هستید که بر رفاه حیوانات متمرکز است. پستی بنویسید که داستان دلگرم کننده نجات حیوانات را به نمایش بگذارد و دنبال کنندگان را به اهدا دعوت کند.")</f>
        <v>شما در حال مدیریت یک صفحه فیس بوک برای یک سازمان غیرانتفاعی هستید که بر رفاه حیوانات متمرکز است. پستی بنویسید که داستان دلگرم کننده نجات حیوانات را به نمایش بگذارد و دنبال کنندگان را به اهدا دعوت کند.</v>
      </c>
      <c r="H211" s="1"/>
      <c r="I211" s="1"/>
      <c r="J211" s="1"/>
      <c r="K211" s="1"/>
      <c r="L211" s="1"/>
      <c r="M211" s="1"/>
      <c r="N211" s="1"/>
      <c r="O211" s="1"/>
      <c r="P211" s="1"/>
      <c r="Q211" s="1"/>
      <c r="R211" s="1"/>
      <c r="S211" s="1"/>
      <c r="T211" s="1"/>
      <c r="U211" s="1"/>
      <c r="V211" s="1"/>
      <c r="W211" s="1"/>
      <c r="X211" s="1"/>
      <c r="Y211" s="1"/>
      <c r="Z211" s="1"/>
      <c r="AA211" s="1"/>
      <c r="AB211" s="1"/>
    </row>
    <row r="212" ht="50.25" customHeight="1">
      <c r="A212" s="12">
        <v>208.0</v>
      </c>
      <c r="B212" s="13" t="s">
        <v>6</v>
      </c>
      <c r="C212" s="14" t="s">
        <v>214</v>
      </c>
      <c r="D212" s="1"/>
      <c r="E212" s="15"/>
      <c r="F212" s="1" t="str">
        <f>IFERROR(__xludf.DUMMYFUNCTION("GOOGLETRANSLATE(B212, ""en"", ""fa"")
"),"بازاریابی رسانه های اجتماعی")</f>
        <v>بازاریابی رسانه های اجتماعی</v>
      </c>
      <c r="G212" s="1" t="str">
        <f>IFERROR(__xludf.DUMMYFUNCTION("GOOGLETRANSLATE(C212, ""en"", ""fa"")
"),"شما در حال اجرای یک کمپین رسانه اجتماعی برای یک برند مد پایدار هستید. کپشن اینستاگرامی بنویسید که فرآیند تولید سازگار با محیط زیست برند را برجسته کند و خرید آگاهانه را تشویق کند.")</f>
        <v>شما در حال اجرای یک کمپین رسانه اجتماعی برای یک برند مد پایدار هستید. کپشن اینستاگرامی بنویسید که فرآیند تولید سازگار با محیط زیست برند را برجسته کند و خرید آگاهانه را تشویق کند.</v>
      </c>
      <c r="H212" s="1"/>
      <c r="I212" s="1"/>
      <c r="J212" s="1"/>
      <c r="K212" s="1"/>
      <c r="L212" s="1"/>
      <c r="M212" s="1"/>
      <c r="N212" s="1"/>
      <c r="O212" s="1"/>
      <c r="P212" s="1"/>
      <c r="Q212" s="1"/>
      <c r="R212" s="1"/>
      <c r="S212" s="1"/>
      <c r="T212" s="1"/>
      <c r="U212" s="1"/>
      <c r="V212" s="1"/>
      <c r="W212" s="1"/>
      <c r="X212" s="1"/>
      <c r="Y212" s="1"/>
      <c r="Z212" s="1"/>
      <c r="AA212" s="1"/>
      <c r="AB212" s="1"/>
    </row>
    <row r="213" ht="50.25" customHeight="1">
      <c r="A213" s="12">
        <v>209.0</v>
      </c>
      <c r="B213" s="13" t="s">
        <v>6</v>
      </c>
      <c r="C213" s="14" t="s">
        <v>215</v>
      </c>
      <c r="D213" s="1"/>
      <c r="E213" s="15"/>
      <c r="F213" s="1" t="str">
        <f>IFERROR(__xludf.DUMMYFUNCTION("GOOGLETRANSLATE(B213, ""en"", ""fa"")
"),"بازاریابی رسانه های اجتماعی")</f>
        <v>بازاریابی رسانه های اجتماعی</v>
      </c>
      <c r="G213" s="1" t="str">
        <f>IFERROR(__xludf.DUMMYFUNCTION("GOOGLETRANSLATE(C213, ""en"", ""fa"")
"),"به عنوان یک مدیر رسانه های اجتماعی، یک پست وبلاگی جذاب برای یک وبلاگ فناوری بنویسید و در مورد آخرین ابزارها و تأثیر آنها بر زندگی روزمره بحث کنید.")</f>
        <v>به عنوان یک مدیر رسانه های اجتماعی، یک پست وبلاگی جذاب برای یک وبلاگ فناوری بنویسید و در مورد آخرین ابزارها و تأثیر آنها بر زندگی روزمره بحث کنید.</v>
      </c>
      <c r="H213" s="1"/>
      <c r="I213" s="1"/>
      <c r="J213" s="1"/>
      <c r="K213" s="1"/>
      <c r="L213" s="1"/>
      <c r="M213" s="1"/>
      <c r="N213" s="1"/>
      <c r="O213" s="1"/>
      <c r="P213" s="1"/>
      <c r="Q213" s="1"/>
      <c r="R213" s="1"/>
      <c r="S213" s="1"/>
      <c r="T213" s="1"/>
      <c r="U213" s="1"/>
      <c r="V213" s="1"/>
      <c r="W213" s="1"/>
      <c r="X213" s="1"/>
      <c r="Y213" s="1"/>
      <c r="Z213" s="1"/>
      <c r="AA213" s="1"/>
      <c r="AB213" s="1"/>
    </row>
    <row r="214" ht="50.25" customHeight="1">
      <c r="A214" s="12">
        <v>210.0</v>
      </c>
      <c r="B214" s="13" t="s">
        <v>6</v>
      </c>
      <c r="C214" s="14" t="s">
        <v>216</v>
      </c>
      <c r="D214" s="1"/>
      <c r="E214" s="15"/>
      <c r="F214" s="1" t="str">
        <f>IFERROR(__xludf.DUMMYFUNCTION("GOOGLETRANSLATE(B214, ""en"", ""fa"")
"),"بازاریابی رسانه های اجتماعی")</f>
        <v>بازاریابی رسانه های اجتماعی</v>
      </c>
      <c r="G214" s="1" t="str">
        <f>IFERROR(__xludf.DUMMYFUNCTION("GOOGLETRANSLATE(C214, ""en"", ""fa"")
"),"شما در حال مدیریت یک حساب اینستاگرام برای یک وبلاگ غذایی هستید. برای عکسی که دارای یک دستور غذای خوشمزه و سالم است، توضیحی بنویسید، و دنبال کنندگان را تشویق کنید آن را امتحان کنند و نتایج خود را به اشتراک بگذارند.")</f>
        <v>شما در حال مدیریت یک حساب اینستاگرام برای یک وبلاگ غذایی هستید. برای عکسی که دارای یک دستور غذای خوشمزه و سالم است، توضیحی بنویسید، و دنبال کنندگان را تشویق کنید آن را امتحان کنند و نتایج خود را به اشتراک بگذارند.</v>
      </c>
      <c r="H214" s="1"/>
      <c r="I214" s="1"/>
      <c r="J214" s="1"/>
      <c r="K214" s="1"/>
      <c r="L214" s="1"/>
      <c r="M214" s="1"/>
      <c r="N214" s="1"/>
      <c r="O214" s="1"/>
      <c r="P214" s="1"/>
      <c r="Q214" s="1"/>
      <c r="R214" s="1"/>
      <c r="S214" s="1"/>
      <c r="T214" s="1"/>
      <c r="U214" s="1"/>
      <c r="V214" s="1"/>
      <c r="W214" s="1"/>
      <c r="X214" s="1"/>
      <c r="Y214" s="1"/>
      <c r="Z214" s="1"/>
      <c r="AA214" s="1"/>
      <c r="AB214" s="1"/>
    </row>
    <row r="215" ht="50.25" customHeight="1">
      <c r="A215" s="12">
        <v>211.0</v>
      </c>
      <c r="B215" s="13" t="s">
        <v>6</v>
      </c>
      <c r="C215" s="14" t="s">
        <v>217</v>
      </c>
      <c r="D215" s="1"/>
      <c r="E215" s="15"/>
      <c r="F215" s="1" t="str">
        <f>IFERROR(__xludf.DUMMYFUNCTION("GOOGLETRANSLATE(B215, ""en"", ""fa"")
"),"بازاریابی رسانه های اجتماعی")</f>
        <v>بازاریابی رسانه های اجتماعی</v>
      </c>
      <c r="G215" s="1" t="str">
        <f>IFERROR(__xludf.DUMMYFUNCTION("GOOGLETRANSLATE(C215, ""en"", ""fa"")
"),"شما در حال مدیریت یک حساب Pinterest برای یک برنامه ریز عروسی هستید. یک تخته چوبی بصری جذاب بسازید که دارای الهامات و نکاتی برای دکوراسیون عروسی باشد.")</f>
        <v>شما در حال مدیریت یک حساب Pinterest برای یک برنامه ریز عروسی هستید. یک تخته چوبی بصری جذاب بسازید که دارای الهامات و نکاتی برای دکوراسیون عروسی باشد.</v>
      </c>
      <c r="H215" s="1"/>
      <c r="I215" s="1"/>
      <c r="J215" s="1"/>
      <c r="K215" s="1"/>
      <c r="L215" s="1"/>
      <c r="M215" s="1"/>
      <c r="N215" s="1"/>
      <c r="O215" s="1"/>
      <c r="P215" s="1"/>
      <c r="Q215" s="1"/>
      <c r="R215" s="1"/>
      <c r="S215" s="1"/>
      <c r="T215" s="1"/>
      <c r="U215" s="1"/>
      <c r="V215" s="1"/>
      <c r="W215" s="1"/>
      <c r="X215" s="1"/>
      <c r="Y215" s="1"/>
      <c r="Z215" s="1"/>
      <c r="AA215" s="1"/>
      <c r="AB215" s="1"/>
    </row>
    <row r="216" ht="50.25" customHeight="1">
      <c r="A216" s="12">
        <v>212.0</v>
      </c>
      <c r="B216" s="13" t="s">
        <v>6</v>
      </c>
      <c r="C216" s="14" t="s">
        <v>218</v>
      </c>
      <c r="D216" s="1"/>
      <c r="E216" s="15"/>
      <c r="F216" s="1" t="str">
        <f>IFERROR(__xludf.DUMMYFUNCTION("GOOGLETRANSLATE(B216, ""en"", ""fa"")
"),"بازاریابی رسانه های اجتماعی")</f>
        <v>بازاریابی رسانه های اجتماعی</v>
      </c>
      <c r="G216" s="1" t="str">
        <f>IFERROR(__xludf.DUMMYFUNCTION("GOOGLETRANSLATE(C216, ""en"", ""fa"")
"),"به عنوان یک مدیر رسانه های اجتماعی، یک پست لینکدین جذاب برای یک آژانس بازاریابی دیجیتال بنویسید و در مورد اهمیت تجزیه و تحلیل داده ها در بهینه سازی کمپین های بازاریابی بحث کنید.")</f>
        <v>به عنوان یک مدیر رسانه های اجتماعی، یک پست لینکدین جذاب برای یک آژانس بازاریابی دیجیتال بنویسید و در مورد اهمیت تجزیه و تحلیل داده ها در بهینه سازی کمپین های بازاریابی بحث کنید.</v>
      </c>
      <c r="H216" s="1"/>
      <c r="I216" s="1"/>
      <c r="J216" s="1"/>
      <c r="K216" s="1"/>
      <c r="L216" s="1"/>
      <c r="M216" s="1"/>
      <c r="N216" s="1"/>
      <c r="O216" s="1"/>
      <c r="P216" s="1"/>
      <c r="Q216" s="1"/>
      <c r="R216" s="1"/>
      <c r="S216" s="1"/>
      <c r="T216" s="1"/>
      <c r="U216" s="1"/>
      <c r="V216" s="1"/>
      <c r="W216" s="1"/>
      <c r="X216" s="1"/>
      <c r="Y216" s="1"/>
      <c r="Z216" s="1"/>
      <c r="AA216" s="1"/>
      <c r="AB216" s="1"/>
    </row>
    <row r="217" ht="50.25" customHeight="1">
      <c r="A217" s="12">
        <v>213.0</v>
      </c>
      <c r="B217" s="13" t="s">
        <v>6</v>
      </c>
      <c r="C217" s="14" t="s">
        <v>219</v>
      </c>
      <c r="D217" s="1"/>
      <c r="E217" s="15"/>
      <c r="F217" s="1" t="str">
        <f>IFERROR(__xludf.DUMMYFUNCTION("GOOGLETRANSLATE(B217, ""en"", ""fa"")
"),"بازاریابی رسانه های اجتماعی")</f>
        <v>بازاریابی رسانه های اجتماعی</v>
      </c>
      <c r="G217" s="1" t="str">
        <f>IFERROR(__xludf.DUMMYFUNCTION("GOOGLETRANSLATE(C217, ""en"", ""fa"")
"),"شما در حال برگزاری یک مسابقه رسانه های اجتماعی برای یک برند زیبایی هستید. پستی در اینستاگرام بنویسید که فالوورها را ترغیب کند تا آرایش مورد علاقه خود را به اشتراک بگذارند و شانس برنده شدن در زیبایی را داشته باشند.")</f>
        <v>شما در حال برگزاری یک مسابقه رسانه های اجتماعی برای یک برند زیبایی هستید. پستی در اینستاگرام بنویسید که فالوورها را ترغیب کند تا آرایش مورد علاقه خود را به اشتراک بگذارند و شانس برنده شدن در زیبایی را داشته باشند.</v>
      </c>
      <c r="H217" s="1"/>
      <c r="I217" s="1"/>
      <c r="J217" s="1"/>
      <c r="K217" s="1"/>
      <c r="L217" s="1"/>
      <c r="M217" s="1"/>
      <c r="N217" s="1"/>
      <c r="O217" s="1"/>
      <c r="P217" s="1"/>
      <c r="Q217" s="1"/>
      <c r="R217" s="1"/>
      <c r="S217" s="1"/>
      <c r="T217" s="1"/>
      <c r="U217" s="1"/>
      <c r="V217" s="1"/>
      <c r="W217" s="1"/>
      <c r="X217" s="1"/>
      <c r="Y217" s="1"/>
      <c r="Z217" s="1"/>
      <c r="AA217" s="1"/>
      <c r="AB217" s="1"/>
    </row>
    <row r="218" ht="50.25" customHeight="1">
      <c r="A218" s="12">
        <v>214.0</v>
      </c>
      <c r="B218" s="13" t="s">
        <v>6</v>
      </c>
      <c r="C218" s="14" t="s">
        <v>220</v>
      </c>
      <c r="D218" s="1"/>
      <c r="E218" s="15"/>
      <c r="F218" s="1" t="str">
        <f>IFERROR(__xludf.DUMMYFUNCTION("GOOGLETRANSLATE(B218, ""en"", ""fa"")
"),"بازاریابی رسانه های اجتماعی")</f>
        <v>بازاریابی رسانه های اجتماعی</v>
      </c>
      <c r="G218" s="1" t="str">
        <f>IFERROR(__xludf.DUMMYFUNCTION("GOOGLETRANSLATE(C218, ""en"", ""fa"")
"),"شما در حال ایجاد یک استراتژی رسانه اجتماعی برای یک سازمان غیرانتفاعی با تمرکز بر توانمندسازی زنان هستید. یک پست فیسبوک متقاعدکننده بنویسید که آگاهی را در مورد برابری جنسیتی افزایش دهد و داستان های موفقیت را به نمایش بگذارد.")</f>
        <v>شما در حال ایجاد یک استراتژی رسانه اجتماعی برای یک سازمان غیرانتفاعی با تمرکز بر توانمندسازی زنان هستید. یک پست فیسبوک متقاعدکننده بنویسید که آگاهی را در مورد برابری جنسیتی افزایش دهد و داستان های موفقیت را به نمایش بگذارد.</v>
      </c>
      <c r="H218" s="1"/>
      <c r="I218" s="1"/>
      <c r="J218" s="1"/>
      <c r="K218" s="1"/>
      <c r="L218" s="1"/>
      <c r="M218" s="1"/>
      <c r="N218" s="1"/>
      <c r="O218" s="1"/>
      <c r="P218" s="1"/>
      <c r="Q218" s="1"/>
      <c r="R218" s="1"/>
      <c r="S218" s="1"/>
      <c r="T218" s="1"/>
      <c r="U218" s="1"/>
      <c r="V218" s="1"/>
      <c r="W218" s="1"/>
      <c r="X218" s="1"/>
      <c r="Y218" s="1"/>
      <c r="Z218" s="1"/>
      <c r="AA218" s="1"/>
      <c r="AB218" s="1"/>
    </row>
    <row r="219" ht="50.25" customHeight="1">
      <c r="A219" s="12">
        <v>215.0</v>
      </c>
      <c r="B219" s="13" t="s">
        <v>6</v>
      </c>
      <c r="C219" s="14" t="s">
        <v>221</v>
      </c>
      <c r="D219" s="1"/>
      <c r="E219" s="15"/>
      <c r="F219" s="1" t="str">
        <f>IFERROR(__xludf.DUMMYFUNCTION("GOOGLETRANSLATE(B219, ""en"", ""fa"")
"),"بازاریابی رسانه های اجتماعی")</f>
        <v>بازاریابی رسانه های اجتماعی</v>
      </c>
      <c r="G219" s="1" t="str">
        <f>IFERROR(__xludf.DUMMYFUNCTION("GOOGLETRANSLATE(C219, ""en"", ""fa"")
"),"به عنوان یک مدیر رسانه های اجتماعی، یک ویدیوی آموزنده در یوتیوب برای یک متخصص امور مالی ایجاد کنید و در مورد تکنیک های بودجه بندی موثر و نکاتی برای پس انداز پول بحث کنید.")</f>
        <v>به عنوان یک مدیر رسانه های اجتماعی، یک ویدیوی آموزنده در یوتیوب برای یک متخصص امور مالی ایجاد کنید و در مورد تکنیک های بودجه بندی موثر و نکاتی برای پس انداز پول بحث کنید.</v>
      </c>
      <c r="H219" s="1"/>
      <c r="I219" s="1"/>
      <c r="J219" s="1"/>
      <c r="K219" s="1"/>
      <c r="L219" s="1"/>
      <c r="M219" s="1"/>
      <c r="N219" s="1"/>
      <c r="O219" s="1"/>
      <c r="P219" s="1"/>
      <c r="Q219" s="1"/>
      <c r="R219" s="1"/>
      <c r="S219" s="1"/>
      <c r="T219" s="1"/>
      <c r="U219" s="1"/>
      <c r="V219" s="1"/>
      <c r="W219" s="1"/>
      <c r="X219" s="1"/>
      <c r="Y219" s="1"/>
      <c r="Z219" s="1"/>
      <c r="AA219" s="1"/>
      <c r="AB219" s="1"/>
    </row>
    <row r="220" ht="50.25" customHeight="1">
      <c r="A220" s="12">
        <v>216.0</v>
      </c>
      <c r="B220" s="13" t="s">
        <v>6</v>
      </c>
      <c r="C220" s="14" t="s">
        <v>222</v>
      </c>
      <c r="D220" s="1"/>
      <c r="E220" s="15"/>
      <c r="F220" s="1" t="str">
        <f>IFERROR(__xludf.DUMMYFUNCTION("GOOGLETRANSLATE(B220, ""en"", ""fa"")
"),"بازاریابی رسانه های اجتماعی")</f>
        <v>بازاریابی رسانه های اجتماعی</v>
      </c>
      <c r="G220" s="1" t="str">
        <f>IFERROR(__xludf.DUMMYFUNCTION("GOOGLETRANSLATE(C220, ""en"", ""fa"")
"),"شما در حال مدیریت یک حساب اینستاگرام برای یک تأثیرگذار تناسب اندام هستید. برای یک عکس تمرینی توضیحی بنویسید که دنبال کنندگان را ترغیب می کند تا اهداف سلامتی و تناسب اندام خود را اولویت بندی کنند.")</f>
        <v>شما در حال مدیریت یک حساب اینستاگرام برای یک تأثیرگذار تناسب اندام هستید. برای یک عکس تمرینی توضیحی بنویسید که دنبال کنندگان را ترغیب می کند تا اهداف سلامتی و تناسب اندام خود را اولویت بندی کنند.</v>
      </c>
      <c r="H220" s="1"/>
      <c r="I220" s="1"/>
      <c r="J220" s="1"/>
      <c r="K220" s="1"/>
      <c r="L220" s="1"/>
      <c r="M220" s="1"/>
      <c r="N220" s="1"/>
      <c r="O220" s="1"/>
      <c r="P220" s="1"/>
      <c r="Q220" s="1"/>
      <c r="R220" s="1"/>
      <c r="S220" s="1"/>
      <c r="T220" s="1"/>
      <c r="U220" s="1"/>
      <c r="V220" s="1"/>
      <c r="W220" s="1"/>
      <c r="X220" s="1"/>
      <c r="Y220" s="1"/>
      <c r="Z220" s="1"/>
      <c r="AA220" s="1"/>
      <c r="AB220" s="1"/>
    </row>
    <row r="221" ht="50.25" customHeight="1">
      <c r="A221" s="12">
        <v>217.0</v>
      </c>
      <c r="B221" s="13" t="s">
        <v>6</v>
      </c>
      <c r="C221" s="14" t="s">
        <v>223</v>
      </c>
      <c r="D221" s="1"/>
      <c r="E221" s="15"/>
      <c r="F221" s="1" t="str">
        <f>IFERROR(__xludf.DUMMYFUNCTION("GOOGLETRANSLATE(B221, ""en"", ""fa"")
"),"بازاریابی رسانه های اجتماعی")</f>
        <v>بازاریابی رسانه های اجتماعی</v>
      </c>
      <c r="G221" s="1" t="str">
        <f>IFERROR(__xludf.DUMMYFUNCTION("GOOGLETRANSLATE(C221, ""en"", ""fa"")
"),"شما در حال اجرای یک کمپین رسانه اجتماعی برای یک برند سبک زندگی پایدار هستید. یک کپشن اینستاگرام بنویسید که شیوه‌های دوستدار محیط زیست را ترویج می‌کند و دنبال‌کنندگان را تشویق می‌کند تا انتخاب‌های آگاهانه داشته باشند.")</f>
        <v>شما در حال اجرای یک کمپین رسانه اجتماعی برای یک برند سبک زندگی پایدار هستید. یک کپشن اینستاگرام بنویسید که شیوه‌های دوستدار محیط زیست را ترویج می‌کند و دنبال‌کنندگان را تشویق می‌کند تا انتخاب‌های آگاهانه داشته باشند.</v>
      </c>
      <c r="H221" s="1"/>
      <c r="I221" s="1"/>
      <c r="J221" s="1"/>
      <c r="K221" s="1"/>
      <c r="L221" s="1"/>
      <c r="M221" s="1"/>
      <c r="N221" s="1"/>
      <c r="O221" s="1"/>
      <c r="P221" s="1"/>
      <c r="Q221" s="1"/>
      <c r="R221" s="1"/>
      <c r="S221" s="1"/>
      <c r="T221" s="1"/>
      <c r="U221" s="1"/>
      <c r="V221" s="1"/>
      <c r="W221" s="1"/>
      <c r="X221" s="1"/>
      <c r="Y221" s="1"/>
      <c r="Z221" s="1"/>
      <c r="AA221" s="1"/>
      <c r="AB221" s="1"/>
    </row>
    <row r="222" ht="50.25" customHeight="1">
      <c r="A222" s="12">
        <v>218.0</v>
      </c>
      <c r="B222" s="13" t="s">
        <v>6</v>
      </c>
      <c r="C222" s="14" t="s">
        <v>224</v>
      </c>
      <c r="D222" s="1"/>
      <c r="E222" s="15"/>
      <c r="F222" s="1" t="str">
        <f>IFERROR(__xludf.DUMMYFUNCTION("GOOGLETRANSLATE(B222, ""en"", ""fa"")
"),"بازاریابی رسانه های اجتماعی")</f>
        <v>بازاریابی رسانه های اجتماعی</v>
      </c>
      <c r="G222" s="1" t="str">
        <f>IFERROR(__xludf.DUMMYFUNCTION("GOOGLETRANSLATE(C222, ""en"", ""fa"")
"),"به‌عنوان مدیر رسانه‌های اجتماعی، یک پست وبلاگی جذاب برای آژانس مسافرتی بنویسید که شامل فهرستی از مقاصد ضروری برای علاقه‌مندان به ماجراجویی است.")</f>
        <v>به‌عنوان مدیر رسانه‌های اجتماعی، یک پست وبلاگی جذاب برای آژانس مسافرتی بنویسید که شامل فهرستی از مقاصد ضروری برای علاقه‌مندان به ماجراجویی است.</v>
      </c>
      <c r="H222" s="1"/>
      <c r="I222" s="1"/>
      <c r="J222" s="1"/>
      <c r="K222" s="1"/>
      <c r="L222" s="1"/>
      <c r="M222" s="1"/>
      <c r="N222" s="1"/>
      <c r="O222" s="1"/>
      <c r="P222" s="1"/>
      <c r="Q222" s="1"/>
      <c r="R222" s="1"/>
      <c r="S222" s="1"/>
      <c r="T222" s="1"/>
      <c r="U222" s="1"/>
      <c r="V222" s="1"/>
      <c r="W222" s="1"/>
      <c r="X222" s="1"/>
      <c r="Y222" s="1"/>
      <c r="Z222" s="1"/>
      <c r="AA222" s="1"/>
      <c r="AB222" s="1"/>
    </row>
    <row r="223" ht="50.25" customHeight="1">
      <c r="A223" s="12">
        <v>219.0</v>
      </c>
      <c r="B223" s="13" t="s">
        <v>6</v>
      </c>
      <c r="C223" s="14" t="s">
        <v>225</v>
      </c>
      <c r="D223" s="1"/>
      <c r="E223" s="15"/>
      <c r="F223" s="1" t="str">
        <f>IFERROR(__xludf.DUMMYFUNCTION("GOOGLETRANSLATE(B223, ""en"", ""fa"")
"),"بازاریابی رسانه های اجتماعی")</f>
        <v>بازاریابی رسانه های اجتماعی</v>
      </c>
      <c r="G223" s="1" t="str">
        <f>IFERROR(__xludf.DUMMYFUNCTION("GOOGLETRANSLATE(C223, ""en"", ""fa"")
"),"شما در حال مدیریت یک صفحه فیس بوک برای یک خرده فروش مد هستید. پستی بنویسید که مجموعه‌ای از لباس‌های جدید را به نمایش بگذارد و یک کد تخفیف برای فالوورها در زمان محدود ارائه دهد.")</f>
        <v>شما در حال مدیریت یک صفحه فیس بوک برای یک خرده فروش مد هستید. پستی بنویسید که مجموعه‌ای از لباس‌های جدید را به نمایش بگذارد و یک کد تخفیف برای فالوورها در زمان محدود ارائه دهد.</v>
      </c>
      <c r="H223" s="1"/>
      <c r="I223" s="1"/>
      <c r="J223" s="1"/>
      <c r="K223" s="1"/>
      <c r="L223" s="1"/>
      <c r="M223" s="1"/>
      <c r="N223" s="1"/>
      <c r="O223" s="1"/>
      <c r="P223" s="1"/>
      <c r="Q223" s="1"/>
      <c r="R223" s="1"/>
      <c r="S223" s="1"/>
      <c r="T223" s="1"/>
      <c r="U223" s="1"/>
      <c r="V223" s="1"/>
      <c r="W223" s="1"/>
      <c r="X223" s="1"/>
      <c r="Y223" s="1"/>
      <c r="Z223" s="1"/>
      <c r="AA223" s="1"/>
      <c r="AB223" s="1"/>
    </row>
    <row r="224" ht="50.25" customHeight="1">
      <c r="A224" s="12">
        <v>220.0</v>
      </c>
      <c r="B224" s="13" t="s">
        <v>6</v>
      </c>
      <c r="C224" s="14" t="s">
        <v>226</v>
      </c>
      <c r="D224" s="1"/>
      <c r="E224" s="15"/>
      <c r="F224" s="1" t="str">
        <f>IFERROR(__xludf.DUMMYFUNCTION("GOOGLETRANSLATE(B224, ""en"", ""fa"")
"),"بازاریابی رسانه های اجتماعی")</f>
        <v>بازاریابی رسانه های اجتماعی</v>
      </c>
      <c r="G224" s="1" t="str">
        <f>IFERROR(__xludf.DUMMYFUNCTION("GOOGLETRANSLATE(C224, ""en"", ""fa"")
"),"شما در حال ایجاد یک استراتژی رسانه اجتماعی برای یک سازمان غیرانتفاعی با تمرکز بر آموزش هستید. یک رشته توییتر متقاعدکننده بنویسید که از دسترسی برابر به آموزش دفاع می کند و ابتکارات سازمان را برجسته می کند.")</f>
        <v>شما در حال ایجاد یک استراتژی رسانه اجتماعی برای یک سازمان غیرانتفاعی با تمرکز بر آموزش هستید. یک رشته توییتر متقاعدکننده بنویسید که از دسترسی برابر به آموزش دفاع می کند و ابتکارات سازمان را برجسته می کند.</v>
      </c>
      <c r="H224" s="1"/>
      <c r="I224" s="1"/>
      <c r="J224" s="1"/>
      <c r="K224" s="1"/>
      <c r="L224" s="1"/>
      <c r="M224" s="1"/>
      <c r="N224" s="1"/>
      <c r="O224" s="1"/>
      <c r="P224" s="1"/>
      <c r="Q224" s="1"/>
      <c r="R224" s="1"/>
      <c r="S224" s="1"/>
      <c r="T224" s="1"/>
      <c r="U224" s="1"/>
      <c r="V224" s="1"/>
      <c r="W224" s="1"/>
      <c r="X224" s="1"/>
      <c r="Y224" s="1"/>
      <c r="Z224" s="1"/>
      <c r="AA224" s="1"/>
      <c r="AB224" s="1"/>
    </row>
    <row r="225" ht="50.25" customHeight="1">
      <c r="A225" s="12">
        <v>221.0</v>
      </c>
      <c r="B225" s="13" t="s">
        <v>6</v>
      </c>
      <c r="C225" s="14" t="s">
        <v>227</v>
      </c>
      <c r="D225" s="1"/>
      <c r="E225" s="15"/>
      <c r="F225" s="1" t="str">
        <f>IFERROR(__xludf.DUMMYFUNCTION("GOOGLETRANSLATE(B225, ""en"", ""fa"")
"),"بازاریابی رسانه های اجتماعی")</f>
        <v>بازاریابی رسانه های اجتماعی</v>
      </c>
      <c r="G225" s="1" t="str">
        <f>IFERROR(__xludf.DUMMYFUNCTION("GOOGLETRANSLATE(C225, ""en"", ""fa"")
"),"به‌عنوان مدیر رسانه‌های اجتماعی، مجموعه‌ای از استوری‌های اینستاگرام را برای یک مربی سلامتی ایجاد کنید، نکات سریع مراقبت از خود را به اشتراک بگذارید و کارگاه آتی او را تبلیغ کنید.")</f>
        <v>به‌عنوان مدیر رسانه‌های اجتماعی، مجموعه‌ای از استوری‌های اینستاگرام را برای یک مربی سلامتی ایجاد کنید، نکات سریع مراقبت از خود را به اشتراک بگذارید و کارگاه آتی او را تبلیغ کنید.</v>
      </c>
      <c r="H225" s="1"/>
      <c r="I225" s="1"/>
      <c r="J225" s="1"/>
      <c r="K225" s="1"/>
      <c r="L225" s="1"/>
      <c r="M225" s="1"/>
      <c r="N225" s="1"/>
      <c r="O225" s="1"/>
      <c r="P225" s="1"/>
      <c r="Q225" s="1"/>
      <c r="R225" s="1"/>
      <c r="S225" s="1"/>
      <c r="T225" s="1"/>
      <c r="U225" s="1"/>
      <c r="V225" s="1"/>
      <c r="W225" s="1"/>
      <c r="X225" s="1"/>
      <c r="Y225" s="1"/>
      <c r="Z225" s="1"/>
      <c r="AA225" s="1"/>
      <c r="AB225" s="1"/>
    </row>
    <row r="226" ht="50.25" customHeight="1">
      <c r="A226" s="12">
        <v>222.0</v>
      </c>
      <c r="B226" s="13" t="s">
        <v>6</v>
      </c>
      <c r="C226" s="14" t="s">
        <v>228</v>
      </c>
      <c r="D226" s="1"/>
      <c r="E226" s="15"/>
      <c r="F226" s="1" t="str">
        <f>IFERROR(__xludf.DUMMYFUNCTION("GOOGLETRANSLATE(B226, ""en"", ""fa"")
"),"بازاریابی رسانه های اجتماعی")</f>
        <v>بازاریابی رسانه های اجتماعی</v>
      </c>
      <c r="G226" s="1" t="str">
        <f>IFERROR(__xludf.DUMMYFUNCTION("GOOGLETRANSLATE(C226, ""en"", ""fa"")
"),"شما در حال مدیریت یک کانال YouTube برای یک سازنده محتوای بازی هستید. یک عنوان ویدیویی جذاب و توضیحاتی برای یک ویدیوی گیم پلی بسازید که دارای نسخه جدید مورد انتظار است.")</f>
        <v>شما در حال مدیریت یک کانال YouTube برای یک سازنده محتوای بازی هستید. یک عنوان ویدیویی جذاب و توضیحاتی برای یک ویدیوی گیم پلی بسازید که دارای نسخه جدید مورد انتظار است.</v>
      </c>
      <c r="H226" s="1"/>
      <c r="I226" s="1"/>
      <c r="J226" s="1"/>
      <c r="K226" s="1"/>
      <c r="L226" s="1"/>
      <c r="M226" s="1"/>
      <c r="N226" s="1"/>
      <c r="O226" s="1"/>
      <c r="P226" s="1"/>
      <c r="Q226" s="1"/>
      <c r="R226" s="1"/>
      <c r="S226" s="1"/>
      <c r="T226" s="1"/>
      <c r="U226" s="1"/>
      <c r="V226" s="1"/>
      <c r="W226" s="1"/>
      <c r="X226" s="1"/>
      <c r="Y226" s="1"/>
      <c r="Z226" s="1"/>
      <c r="AA226" s="1"/>
      <c r="AB226" s="1"/>
    </row>
    <row r="227" ht="50.25" customHeight="1">
      <c r="A227" s="12">
        <v>223.0</v>
      </c>
      <c r="B227" s="13" t="s">
        <v>6</v>
      </c>
      <c r="C227" s="14" t="s">
        <v>229</v>
      </c>
      <c r="D227" s="1"/>
      <c r="E227" s="15"/>
      <c r="F227" s="1" t="str">
        <f>IFERROR(__xludf.DUMMYFUNCTION("GOOGLETRANSLATE(B227, ""en"", ""fa"")
"),"بازاریابی رسانه های اجتماعی")</f>
        <v>بازاریابی رسانه های اجتماعی</v>
      </c>
      <c r="G227" s="1" t="str">
        <f>IFERROR(__xludf.DUMMYFUNCTION("GOOGLETRANSLATE(C227, ""en"", ""fa"")
"),"شما در حال اجرای یک مسابقه رسانه های اجتماعی برای یک برند ابزارهای فناوری هستید. توییتی بنویسید که دنبال کنندگان را تشویق کند تا ایده های نوآورانه خود را برای آینده فناوری به اشتراک بگذارند و شانس برنده شدن آخرین ابزار را داشته باشند.")</f>
        <v>شما در حال اجرای یک مسابقه رسانه های اجتماعی برای یک برند ابزارهای فناوری هستید. توییتی بنویسید که دنبال کنندگان را تشویق کند تا ایده های نوآورانه خود را برای آینده فناوری به اشتراک بگذارند و شانس برنده شدن آخرین ابزار را داشته باشند.</v>
      </c>
      <c r="H227" s="1"/>
      <c r="I227" s="1"/>
      <c r="J227" s="1"/>
      <c r="K227" s="1"/>
      <c r="L227" s="1"/>
      <c r="M227" s="1"/>
      <c r="N227" s="1"/>
      <c r="O227" s="1"/>
      <c r="P227" s="1"/>
      <c r="Q227" s="1"/>
      <c r="R227" s="1"/>
      <c r="S227" s="1"/>
      <c r="T227" s="1"/>
      <c r="U227" s="1"/>
      <c r="V227" s="1"/>
      <c r="W227" s="1"/>
      <c r="X227" s="1"/>
      <c r="Y227" s="1"/>
      <c r="Z227" s="1"/>
      <c r="AA227" s="1"/>
      <c r="AB227" s="1"/>
    </row>
    <row r="228" ht="50.25" customHeight="1">
      <c r="A228" s="12">
        <v>224.0</v>
      </c>
      <c r="B228" s="13" t="s">
        <v>6</v>
      </c>
      <c r="C228" s="14" t="s">
        <v>230</v>
      </c>
      <c r="D228" s="1"/>
      <c r="E228" s="15"/>
      <c r="F228" s="1" t="str">
        <f>IFERROR(__xludf.DUMMYFUNCTION("GOOGLETRANSLATE(B228, ""en"", ""fa"")
"),"بازاریابی رسانه های اجتماعی")</f>
        <v>بازاریابی رسانه های اجتماعی</v>
      </c>
      <c r="G228" s="1" t="str">
        <f>IFERROR(__xludf.DUMMYFUNCTION("GOOGLETRANSLATE(C228, ""en"", ""fa"")
"),"به عنوان یک مدیر رسانه های اجتماعی، یک پست آموزنده در لینکدین برای یک مشاور شغلی بنویسید و نکاتی در مورد برندسازی شخصی و استراتژی های جستجوی شغل ارائه دهید.")</f>
        <v>به عنوان یک مدیر رسانه های اجتماعی، یک پست آموزنده در لینکدین برای یک مشاور شغلی بنویسید و نکاتی در مورد برندسازی شخصی و استراتژی های جستجوی شغل ارائه دهید.</v>
      </c>
      <c r="H228" s="1"/>
      <c r="I228" s="1"/>
      <c r="J228" s="1"/>
      <c r="K228" s="1"/>
      <c r="L228" s="1"/>
      <c r="M228" s="1"/>
      <c r="N228" s="1"/>
      <c r="O228" s="1"/>
      <c r="P228" s="1"/>
      <c r="Q228" s="1"/>
      <c r="R228" s="1"/>
      <c r="S228" s="1"/>
      <c r="T228" s="1"/>
      <c r="U228" s="1"/>
      <c r="V228" s="1"/>
      <c r="W228" s="1"/>
      <c r="X228" s="1"/>
      <c r="Y228" s="1"/>
      <c r="Z228" s="1"/>
      <c r="AA228" s="1"/>
      <c r="AB228" s="1"/>
    </row>
    <row r="229" ht="50.25" customHeight="1">
      <c r="A229" s="12">
        <v>225.0</v>
      </c>
      <c r="B229" s="13" t="s">
        <v>6</v>
      </c>
      <c r="C229" s="14" t="s">
        <v>231</v>
      </c>
      <c r="D229" s="1"/>
      <c r="E229" s="15"/>
      <c r="F229" s="1" t="str">
        <f>IFERROR(__xludf.DUMMYFUNCTION("GOOGLETRANSLATE(B229, ""en"", ""fa"")
"),"بازاریابی رسانه های اجتماعی")</f>
        <v>بازاریابی رسانه های اجتماعی</v>
      </c>
      <c r="G229" s="1" t="str">
        <f>IFERROR(__xludf.DUMMYFUNCTION("GOOGLETRANSLATE(C229, ""en"", ""fa"")
"),"شما در حال مدیریت یک حساب اینستاگرام برای یک برند غذای حیوانات خانگی هستید. برای عکسی که نشان می‌دهد یک حیوان خانگی خوشحال از غذای مغذی خود لذت می‌برد و محصولات باکیفیت این برند را تبلیغ می‌کند، توضیحی بنویسید.")</f>
        <v>شما در حال مدیریت یک حساب اینستاگرام برای یک برند غذای حیوانات خانگی هستید. برای عکسی که نشان می‌دهد یک حیوان خانگی خوشحال از غذای مغذی خود لذت می‌برد و محصولات باکیفیت این برند را تبلیغ می‌کند، توضیحی بنویسید.</v>
      </c>
      <c r="H229" s="1"/>
      <c r="I229" s="1"/>
      <c r="J229" s="1"/>
      <c r="K229" s="1"/>
      <c r="L229" s="1"/>
      <c r="M229" s="1"/>
      <c r="N229" s="1"/>
      <c r="O229" s="1"/>
      <c r="P229" s="1"/>
      <c r="Q229" s="1"/>
      <c r="R229" s="1"/>
      <c r="S229" s="1"/>
      <c r="T229" s="1"/>
      <c r="U229" s="1"/>
      <c r="V229" s="1"/>
      <c r="W229" s="1"/>
      <c r="X229" s="1"/>
      <c r="Y229" s="1"/>
      <c r="Z229" s="1"/>
      <c r="AA229" s="1"/>
      <c r="AB229" s="1"/>
    </row>
    <row r="230" ht="50.25" customHeight="1">
      <c r="A230" s="12">
        <v>226.0</v>
      </c>
      <c r="B230" s="13" t="s">
        <v>6</v>
      </c>
      <c r="C230" s="14" t="s">
        <v>232</v>
      </c>
      <c r="D230" s="1"/>
      <c r="E230" s="15"/>
      <c r="F230" s="1" t="str">
        <f>IFERROR(__xludf.DUMMYFUNCTION("GOOGLETRANSLATE(B230, ""en"", ""fa"")
"),"بازاریابی رسانه های اجتماعی")</f>
        <v>بازاریابی رسانه های اجتماعی</v>
      </c>
      <c r="G230" s="1" t="str">
        <f>IFERROR(__xludf.DUMMYFUNCTION("GOOGLETRANSLATE(C230, ""en"", ""fa"")
"),"شما در حال ایجاد یک استراتژی رسانه اجتماعی برای یک سازمان غیرانتفاعی هستید که بر حفظ محیط زیست متمرکز است. یک پست متقاعدکننده در فیس بوک بنویسید که آگاهی را در مورد تأثیر تغییرات آب و هوایی افزایش دهد و خواستار اقدام شود.")</f>
        <v>شما در حال ایجاد یک استراتژی رسانه اجتماعی برای یک سازمان غیرانتفاعی هستید که بر حفظ محیط زیست متمرکز است. یک پست متقاعدکننده در فیس بوک بنویسید که آگاهی را در مورد تأثیر تغییرات آب و هوایی افزایش دهد و خواستار اقدام شود.</v>
      </c>
      <c r="H230" s="1"/>
      <c r="I230" s="1"/>
      <c r="J230" s="1"/>
      <c r="K230" s="1"/>
      <c r="L230" s="1"/>
      <c r="M230" s="1"/>
      <c r="N230" s="1"/>
      <c r="O230" s="1"/>
      <c r="P230" s="1"/>
      <c r="Q230" s="1"/>
      <c r="R230" s="1"/>
      <c r="S230" s="1"/>
      <c r="T230" s="1"/>
      <c r="U230" s="1"/>
      <c r="V230" s="1"/>
      <c r="W230" s="1"/>
      <c r="X230" s="1"/>
      <c r="Y230" s="1"/>
      <c r="Z230" s="1"/>
      <c r="AA230" s="1"/>
      <c r="AB230" s="1"/>
    </row>
    <row r="231" ht="50.25" customHeight="1">
      <c r="A231" s="12">
        <v>227.0</v>
      </c>
      <c r="B231" s="13" t="s">
        <v>6</v>
      </c>
      <c r="C231" s="14" t="s">
        <v>233</v>
      </c>
      <c r="D231" s="1"/>
      <c r="E231" s="15"/>
      <c r="F231" s="1" t="str">
        <f>IFERROR(__xludf.DUMMYFUNCTION("GOOGLETRANSLATE(B231, ""en"", ""fa"")
"),"بازاریابی رسانه های اجتماعی")</f>
        <v>بازاریابی رسانه های اجتماعی</v>
      </c>
      <c r="G231" s="1" t="str">
        <f>IFERROR(__xludf.DUMMYFUNCTION("GOOGLETRANSLATE(C231, ""en"", ""fa"")
"),"به عنوان یک مدیر رسانه های اجتماعی، یک اینفوگرافیک جذاب Pinterest برای یک متخصص سلامت و تندرستی ایجاد کنید و نکاتی را برای حفظ یک سبک زندگی متعادل به اشتراک بگذارید.")</f>
        <v>به عنوان یک مدیر رسانه های اجتماعی، یک اینفوگرافیک جذاب Pinterest برای یک متخصص سلامت و تندرستی ایجاد کنید و نکاتی را برای حفظ یک سبک زندگی متعادل به اشتراک بگذارید.</v>
      </c>
      <c r="H231" s="1"/>
      <c r="I231" s="1"/>
      <c r="J231" s="1"/>
      <c r="K231" s="1"/>
      <c r="L231" s="1"/>
      <c r="M231" s="1"/>
      <c r="N231" s="1"/>
      <c r="O231" s="1"/>
      <c r="P231" s="1"/>
      <c r="Q231" s="1"/>
      <c r="R231" s="1"/>
      <c r="S231" s="1"/>
      <c r="T231" s="1"/>
      <c r="U231" s="1"/>
      <c r="V231" s="1"/>
      <c r="W231" s="1"/>
      <c r="X231" s="1"/>
      <c r="Y231" s="1"/>
      <c r="Z231" s="1"/>
      <c r="AA231" s="1"/>
      <c r="AB231" s="1"/>
    </row>
    <row r="232" ht="50.25" customHeight="1">
      <c r="A232" s="12">
        <v>228.0</v>
      </c>
      <c r="B232" s="13" t="s">
        <v>6</v>
      </c>
      <c r="C232" s="14" t="s">
        <v>234</v>
      </c>
      <c r="D232" s="1"/>
      <c r="E232" s="15"/>
      <c r="F232" s="1" t="str">
        <f>IFERROR(__xludf.DUMMYFUNCTION("GOOGLETRANSLATE(B232, ""en"", ""fa"")
"),"بازاریابی رسانه های اجتماعی")</f>
        <v>بازاریابی رسانه های اجتماعی</v>
      </c>
      <c r="G232" s="1" t="str">
        <f>IFERROR(__xludf.DUMMYFUNCTION("GOOGLETRANSLATE(C232, ""en"", ""fa"")
"),"شما در حال مدیریت یک صفحه فیس بوک برای یک وب سایت خبری فناوری هستید. پستی بنویسید که آخرین روندهای فناوری را برجسته کند و دنبال کنندگان را دعوت کند تا به گفتگو بپیوندند.")</f>
        <v>شما در حال مدیریت یک صفحه فیس بوک برای یک وب سایت خبری فناوری هستید. پستی بنویسید که آخرین روندهای فناوری را برجسته کند و دنبال کنندگان را دعوت کند تا به گفتگو بپیوندند.</v>
      </c>
      <c r="H232" s="1"/>
      <c r="I232" s="1"/>
      <c r="J232" s="1"/>
      <c r="K232" s="1"/>
      <c r="L232" s="1"/>
      <c r="M232" s="1"/>
      <c r="N232" s="1"/>
      <c r="O232" s="1"/>
      <c r="P232" s="1"/>
      <c r="Q232" s="1"/>
      <c r="R232" s="1"/>
      <c r="S232" s="1"/>
      <c r="T232" s="1"/>
      <c r="U232" s="1"/>
      <c r="V232" s="1"/>
      <c r="W232" s="1"/>
      <c r="X232" s="1"/>
      <c r="Y232" s="1"/>
      <c r="Z232" s="1"/>
      <c r="AA232" s="1"/>
      <c r="AB232" s="1"/>
    </row>
    <row r="233" ht="50.25" customHeight="1">
      <c r="A233" s="12">
        <v>229.0</v>
      </c>
      <c r="B233" s="13" t="s">
        <v>6</v>
      </c>
      <c r="C233" s="14" t="s">
        <v>235</v>
      </c>
      <c r="D233" s="1"/>
      <c r="E233" s="15"/>
      <c r="F233" s="1" t="str">
        <f>IFERROR(__xludf.DUMMYFUNCTION("GOOGLETRANSLATE(B233, ""en"", ""fa"")
"),"بازاریابی رسانه های اجتماعی")</f>
        <v>بازاریابی رسانه های اجتماعی</v>
      </c>
      <c r="G233" s="1" t="str">
        <f>IFERROR(__xludf.DUMMYFUNCTION("GOOGLETRANSLATE(C233, ""en"", ""fa"")
"),"شما در حال اجرای یک کمپین رسانه های اجتماعی برای یک برند پوشاک تناسب اندام هستید. یک کپشن اینستاگرام بنویسید که به دنبال‌کنندگان این امکان را می‌دهد تا سبک زندگی فعال خود را بپذیرند و لباس‌های فعال شیک برند را به نمایش بگذارند.")</f>
        <v>شما در حال اجرای یک کمپین رسانه های اجتماعی برای یک برند پوشاک تناسب اندام هستید. یک کپشن اینستاگرام بنویسید که به دنبال‌کنندگان این امکان را می‌دهد تا سبک زندگی فعال خود را بپذیرند و لباس‌های فعال شیک برند را به نمایش بگذارند.</v>
      </c>
      <c r="H233" s="1"/>
      <c r="I233" s="1"/>
      <c r="J233" s="1"/>
      <c r="K233" s="1"/>
      <c r="L233" s="1"/>
      <c r="M233" s="1"/>
      <c r="N233" s="1"/>
      <c r="O233" s="1"/>
      <c r="P233" s="1"/>
      <c r="Q233" s="1"/>
      <c r="R233" s="1"/>
      <c r="S233" s="1"/>
      <c r="T233" s="1"/>
      <c r="U233" s="1"/>
      <c r="V233" s="1"/>
      <c r="W233" s="1"/>
      <c r="X233" s="1"/>
      <c r="Y233" s="1"/>
      <c r="Z233" s="1"/>
      <c r="AA233" s="1"/>
      <c r="AB233" s="1"/>
    </row>
    <row r="234" ht="50.25" customHeight="1">
      <c r="A234" s="12">
        <v>230.0</v>
      </c>
      <c r="B234" s="13" t="s">
        <v>6</v>
      </c>
      <c r="C234" s="14" t="s">
        <v>236</v>
      </c>
      <c r="D234" s="1"/>
      <c r="E234" s="15"/>
      <c r="F234" s="1" t="str">
        <f>IFERROR(__xludf.DUMMYFUNCTION("GOOGLETRANSLATE(B234, ""en"", ""fa"")
"),"بازاریابی رسانه های اجتماعی")</f>
        <v>بازاریابی رسانه های اجتماعی</v>
      </c>
      <c r="G234" s="1" t="str">
        <f>IFERROR(__xludf.DUMMYFUNCTION("GOOGLETRANSLATE(C234, ""en"", ""fa"")
"),"به عنوان یک مدیر رسانه های اجتماعی، یک پست وبلاگ متقاعدکننده برای یک متخصص تغذیه بنویسید و در مورد اهمیت غذا خوردن آگاهانه بحث کنید و نکات عملی برای ایجاد عادات غذایی سالم ارائه دهید.")</f>
        <v>به عنوان یک مدیر رسانه های اجتماعی، یک پست وبلاگ متقاعدکننده برای یک متخصص تغذیه بنویسید و در مورد اهمیت غذا خوردن آگاهانه بحث کنید و نکات عملی برای ایجاد عادات غذایی سالم ارائه دهید.</v>
      </c>
      <c r="H234" s="1"/>
      <c r="I234" s="1"/>
      <c r="J234" s="1"/>
      <c r="K234" s="1"/>
      <c r="L234" s="1"/>
      <c r="M234" s="1"/>
      <c r="N234" s="1"/>
      <c r="O234" s="1"/>
      <c r="P234" s="1"/>
      <c r="Q234" s="1"/>
      <c r="R234" s="1"/>
      <c r="S234" s="1"/>
      <c r="T234" s="1"/>
      <c r="U234" s="1"/>
      <c r="V234" s="1"/>
      <c r="W234" s="1"/>
      <c r="X234" s="1"/>
      <c r="Y234" s="1"/>
      <c r="Z234" s="1"/>
      <c r="AA234" s="1"/>
      <c r="AB234" s="1"/>
    </row>
    <row r="235" ht="50.25" customHeight="1">
      <c r="A235" s="12">
        <v>231.0</v>
      </c>
      <c r="B235" s="13" t="s">
        <v>6</v>
      </c>
      <c r="C235" s="14" t="s">
        <v>237</v>
      </c>
      <c r="D235" s="1"/>
      <c r="E235" s="15"/>
      <c r="F235" s="1" t="str">
        <f>IFERROR(__xludf.DUMMYFUNCTION("GOOGLETRANSLATE(B235, ""en"", ""fa"")
"),"بازاریابی رسانه های اجتماعی")</f>
        <v>بازاریابی رسانه های اجتماعی</v>
      </c>
      <c r="G235" s="1" t="str">
        <f>IFERROR(__xludf.DUMMYFUNCTION("GOOGLETRANSLATE(C235, ""en"", ""fa"")
"),"شما در حال مدیریت حساب توییتر یک تأثیرگذار هستید که بر توسعه شخصی متمرکز است. توییتی بنویسید که یک نقل قول انگیزشی به اشتراک بگذارد و فالوورها را تشویق کند تا برای دستیابی به اهدافشان گام بردارند.")</f>
        <v>شما در حال مدیریت حساب توییتر یک تأثیرگذار هستید که بر توسعه شخصی متمرکز است. توییتی بنویسید که یک نقل قول انگیزشی به اشتراک بگذارد و فالوورها را تشویق کند تا برای دستیابی به اهدافشان گام بردارند.</v>
      </c>
      <c r="H235" s="1"/>
      <c r="I235" s="1"/>
      <c r="J235" s="1"/>
      <c r="K235" s="1"/>
      <c r="L235" s="1"/>
      <c r="M235" s="1"/>
      <c r="N235" s="1"/>
      <c r="O235" s="1"/>
      <c r="P235" s="1"/>
      <c r="Q235" s="1"/>
      <c r="R235" s="1"/>
      <c r="S235" s="1"/>
      <c r="T235" s="1"/>
      <c r="U235" s="1"/>
      <c r="V235" s="1"/>
      <c r="W235" s="1"/>
      <c r="X235" s="1"/>
      <c r="Y235" s="1"/>
      <c r="Z235" s="1"/>
      <c r="AA235" s="1"/>
      <c r="AB235" s="1"/>
    </row>
    <row r="236" ht="50.25" customHeight="1">
      <c r="A236" s="12">
        <v>232.0</v>
      </c>
      <c r="B236" s="13" t="s">
        <v>6</v>
      </c>
      <c r="C236" s="14" t="s">
        <v>238</v>
      </c>
      <c r="D236" s="1"/>
      <c r="E236" s="15"/>
      <c r="F236" s="1" t="str">
        <f>IFERROR(__xludf.DUMMYFUNCTION("GOOGLETRANSLATE(B236, ""en"", ""fa"")
"),"بازاریابی رسانه های اجتماعی")</f>
        <v>بازاریابی رسانه های اجتماعی</v>
      </c>
      <c r="G236" s="1" t="str">
        <f>IFERROR(__xludf.DUMMYFUNCTION("GOOGLETRANSLATE(C236, ""en"", ""fa"")
"),"شما در حال ایجاد یک استراتژی رسانه اجتماعی برای یک سازمان غیرانتفاعی هستید که بر آموزش کودکان متمرکز است. یک کپشن متقاعدکننده در اینستاگرام بنویسید که از آموزش فراگیر و با کیفیت برای هر کودک حمایت کند.")</f>
        <v>شما در حال ایجاد یک استراتژی رسانه اجتماعی برای یک سازمان غیرانتفاعی هستید که بر آموزش کودکان متمرکز است. یک کپشن متقاعدکننده در اینستاگرام بنویسید که از آموزش فراگیر و با کیفیت برای هر کودک حمایت کند.</v>
      </c>
      <c r="H236" s="1"/>
      <c r="I236" s="1"/>
      <c r="J236" s="1"/>
      <c r="K236" s="1"/>
      <c r="L236" s="1"/>
      <c r="M236" s="1"/>
      <c r="N236" s="1"/>
      <c r="O236" s="1"/>
      <c r="P236" s="1"/>
      <c r="Q236" s="1"/>
      <c r="R236" s="1"/>
      <c r="S236" s="1"/>
      <c r="T236" s="1"/>
      <c r="U236" s="1"/>
      <c r="V236" s="1"/>
      <c r="W236" s="1"/>
      <c r="X236" s="1"/>
      <c r="Y236" s="1"/>
      <c r="Z236" s="1"/>
      <c r="AA236" s="1"/>
      <c r="AB236" s="1"/>
    </row>
    <row r="237" ht="50.25" customHeight="1">
      <c r="A237" s="12">
        <v>233.0</v>
      </c>
      <c r="B237" s="13" t="s">
        <v>6</v>
      </c>
      <c r="C237" s="14" t="s">
        <v>239</v>
      </c>
      <c r="D237" s="1"/>
      <c r="E237" s="15"/>
      <c r="F237" s="1" t="str">
        <f>IFERROR(__xludf.DUMMYFUNCTION("GOOGLETRANSLATE(B237, ""en"", ""fa"")
"),"بازاریابی رسانه های اجتماعی")</f>
        <v>بازاریابی رسانه های اجتماعی</v>
      </c>
      <c r="G237" s="1" t="str">
        <f>IFERROR(__xludf.DUMMYFUNCTION("GOOGLETRANSLATE(C237, ""en"", ""fa"")
"),"به عنوان یک مدیر رسانه های اجتماعی، یک پست لینکدین جذاب برای یک شرکت نرم افزاری ایجاد کنید و محصول جدید نوآورانه خود را معرفی کنید و ویژگی های کلیدی آن را برجسته کنید.")</f>
        <v>به عنوان یک مدیر رسانه های اجتماعی، یک پست لینکدین جذاب برای یک شرکت نرم افزاری ایجاد کنید و محصول جدید نوآورانه خود را معرفی کنید و ویژگی های کلیدی آن را برجسته کنید.</v>
      </c>
      <c r="H237" s="1"/>
      <c r="I237" s="1"/>
      <c r="J237" s="1"/>
      <c r="K237" s="1"/>
      <c r="L237" s="1"/>
      <c r="M237" s="1"/>
      <c r="N237" s="1"/>
      <c r="O237" s="1"/>
      <c r="P237" s="1"/>
      <c r="Q237" s="1"/>
      <c r="R237" s="1"/>
      <c r="S237" s="1"/>
      <c r="T237" s="1"/>
      <c r="U237" s="1"/>
      <c r="V237" s="1"/>
      <c r="W237" s="1"/>
      <c r="X237" s="1"/>
      <c r="Y237" s="1"/>
      <c r="Z237" s="1"/>
      <c r="AA237" s="1"/>
      <c r="AB237" s="1"/>
    </row>
    <row r="238" ht="50.25" customHeight="1">
      <c r="A238" s="12">
        <v>234.0</v>
      </c>
      <c r="B238" s="13" t="s">
        <v>6</v>
      </c>
      <c r="C238" s="14" t="s">
        <v>240</v>
      </c>
      <c r="D238" s="1"/>
      <c r="E238" s="15"/>
      <c r="F238" s="1" t="str">
        <f>IFERROR(__xludf.DUMMYFUNCTION("GOOGLETRANSLATE(B238, ""en"", ""fa"")
"),"بازاریابی رسانه های اجتماعی")</f>
        <v>بازاریابی رسانه های اجتماعی</v>
      </c>
      <c r="G238" s="1" t="str">
        <f>IFERROR(__xludf.DUMMYFUNCTION("GOOGLETRANSLATE(C238, ""en"", ""fa"")
"),"شما در حال مدیریت یک صفحه فیس بوک برای آژانس مسافرتی هستید. پستی بنویسید که یک مقصد سفر منحصربفرد را به نمایش بگذارد و برای رزروهایی که در یک بازه زمانی خاص انجام شده است، تخفیف ویژه ارائه دهد.")</f>
        <v>شما در حال مدیریت یک صفحه فیس بوک برای آژانس مسافرتی هستید. پستی بنویسید که یک مقصد سفر منحصربفرد را به نمایش بگذارد و برای رزروهایی که در یک بازه زمانی خاص انجام شده است، تخفیف ویژه ارائه دهد.</v>
      </c>
      <c r="H238" s="1"/>
      <c r="I238" s="1"/>
      <c r="J238" s="1"/>
      <c r="K238" s="1"/>
      <c r="L238" s="1"/>
      <c r="M238" s="1"/>
      <c r="N238" s="1"/>
      <c r="O238" s="1"/>
      <c r="P238" s="1"/>
      <c r="Q238" s="1"/>
      <c r="R238" s="1"/>
      <c r="S238" s="1"/>
      <c r="T238" s="1"/>
      <c r="U238" s="1"/>
      <c r="V238" s="1"/>
      <c r="W238" s="1"/>
      <c r="X238" s="1"/>
      <c r="Y238" s="1"/>
      <c r="Z238" s="1"/>
      <c r="AA238" s="1"/>
      <c r="AB238" s="1"/>
    </row>
    <row r="239" ht="50.25" customHeight="1">
      <c r="A239" s="12">
        <v>235.0</v>
      </c>
      <c r="B239" s="13" t="s">
        <v>6</v>
      </c>
      <c r="C239" s="14" t="s">
        <v>241</v>
      </c>
      <c r="D239" s="1"/>
      <c r="E239" s="15"/>
      <c r="F239" s="1" t="str">
        <f>IFERROR(__xludf.DUMMYFUNCTION("GOOGLETRANSLATE(B239, ""en"", ""fa"")
"),"بازاریابی رسانه های اجتماعی")</f>
        <v>بازاریابی رسانه های اجتماعی</v>
      </c>
      <c r="G239" s="1" t="str">
        <f>IFERROR(__xludf.DUMMYFUNCTION("GOOGLETRANSLATE(C239, ""en"", ""fa"")
"),"شما در حال برگزاری یک مسابقه رسانه های اجتماعی برای یک برند مد هستید. پستی در اینستاگرام بنویسید که فالوورها را ترغیب کند تا شیک ترین لباس خود را با استفاده از هشتگ برند به اشتراک بگذارند و این شانس را داشته باشید که در صفحه خود برجسته شوند.")</f>
        <v>شما در حال برگزاری یک مسابقه رسانه های اجتماعی برای یک برند مد هستید. پستی در اینستاگرام بنویسید که فالوورها را ترغیب کند تا شیک ترین لباس خود را با استفاده از هشتگ برند به اشتراک بگذارند و این شانس را داشته باشید که در صفحه خود برجسته شوند.</v>
      </c>
      <c r="H239" s="1"/>
      <c r="I239" s="1"/>
      <c r="J239" s="1"/>
      <c r="K239" s="1"/>
      <c r="L239" s="1"/>
      <c r="M239" s="1"/>
      <c r="N239" s="1"/>
      <c r="O239" s="1"/>
      <c r="P239" s="1"/>
      <c r="Q239" s="1"/>
      <c r="R239" s="1"/>
      <c r="S239" s="1"/>
      <c r="T239" s="1"/>
      <c r="U239" s="1"/>
      <c r="V239" s="1"/>
      <c r="W239" s="1"/>
      <c r="X239" s="1"/>
      <c r="Y239" s="1"/>
      <c r="Z239" s="1"/>
      <c r="AA239" s="1"/>
      <c r="AB239" s="1"/>
    </row>
    <row r="240" ht="50.25" customHeight="1">
      <c r="A240" s="12">
        <v>236.0</v>
      </c>
      <c r="B240" s="13" t="s">
        <v>6</v>
      </c>
      <c r="C240" s="14" t="s">
        <v>242</v>
      </c>
      <c r="D240" s="1"/>
      <c r="E240" s="15"/>
      <c r="F240" s="1" t="str">
        <f>IFERROR(__xludf.DUMMYFUNCTION("GOOGLETRANSLATE(B240, ""en"", ""fa"")
"),"بازاریابی رسانه های اجتماعی")</f>
        <v>بازاریابی رسانه های اجتماعی</v>
      </c>
      <c r="G240" s="1" t="str">
        <f>IFERROR(__xludf.DUMMYFUNCTION("GOOGLETRANSLATE(C240, ""en"", ""fa"")
"),"به عنوان یک مدیر رسانه های اجتماعی، یک پست وبلاگ جذاب برای یک تأثیرگذار سلامتی بنویسید، در مورد مزایای ذهن آگاهی بحث کنید و نکات عملی برای تمرین ذهن آگاهی در زندگی روزمره ارائه دهید.")</f>
        <v>به عنوان یک مدیر رسانه های اجتماعی، یک پست وبلاگ جذاب برای یک تأثیرگذار سلامتی بنویسید، در مورد مزایای ذهن آگاهی بحث کنید و نکات عملی برای تمرین ذهن آگاهی در زندگی روزمره ارائه دهید.</v>
      </c>
      <c r="H240" s="1"/>
      <c r="I240" s="1"/>
      <c r="J240" s="1"/>
      <c r="K240" s="1"/>
      <c r="L240" s="1"/>
      <c r="M240" s="1"/>
      <c r="N240" s="1"/>
      <c r="O240" s="1"/>
      <c r="P240" s="1"/>
      <c r="Q240" s="1"/>
      <c r="R240" s="1"/>
      <c r="S240" s="1"/>
      <c r="T240" s="1"/>
      <c r="U240" s="1"/>
      <c r="V240" s="1"/>
      <c r="W240" s="1"/>
      <c r="X240" s="1"/>
      <c r="Y240" s="1"/>
      <c r="Z240" s="1"/>
      <c r="AA240" s="1"/>
      <c r="AB240" s="1"/>
    </row>
    <row r="241" ht="50.25" customHeight="1">
      <c r="A241" s="12">
        <v>237.0</v>
      </c>
      <c r="B241" s="13" t="s">
        <v>6</v>
      </c>
      <c r="C241" s="14" t="s">
        <v>243</v>
      </c>
      <c r="D241" s="1"/>
      <c r="E241" s="15"/>
      <c r="F241" s="1" t="str">
        <f>IFERROR(__xludf.DUMMYFUNCTION("GOOGLETRANSLATE(B241, ""en"", ""fa"")
"),"بازاریابی رسانه های اجتماعی")</f>
        <v>بازاریابی رسانه های اجتماعی</v>
      </c>
      <c r="G241" s="1" t="str">
        <f>IFERROR(__xludf.DUMMYFUNCTION("GOOGLETRANSLATE(C241, ""en"", ""fa"")
"),"شما در حال مدیریت یک حساب اینستاگرام برای یک وبلاگ زندگی پایدار هستید. برای عکسی که محصولات دوستدار محیط زیست را به نمایش می گذارد و دنبال کنندگان را تشویق به انتخاب های پایدار می کند، شرحی بنویسید.")</f>
        <v>شما در حال مدیریت یک حساب اینستاگرام برای یک وبلاگ زندگی پایدار هستید. برای عکسی که محصولات دوستدار محیط زیست را به نمایش می گذارد و دنبال کنندگان را تشویق به انتخاب های پایدار می کند، شرحی بنویسید.</v>
      </c>
      <c r="H241" s="1"/>
      <c r="I241" s="1"/>
      <c r="J241" s="1"/>
      <c r="K241" s="1"/>
      <c r="L241" s="1"/>
      <c r="M241" s="1"/>
      <c r="N241" s="1"/>
      <c r="O241" s="1"/>
      <c r="P241" s="1"/>
      <c r="Q241" s="1"/>
      <c r="R241" s="1"/>
      <c r="S241" s="1"/>
      <c r="T241" s="1"/>
      <c r="U241" s="1"/>
      <c r="V241" s="1"/>
      <c r="W241" s="1"/>
      <c r="X241" s="1"/>
      <c r="Y241" s="1"/>
      <c r="Z241" s="1"/>
      <c r="AA241" s="1"/>
      <c r="AB241" s="1"/>
    </row>
    <row r="242" ht="50.25" customHeight="1">
      <c r="A242" s="12">
        <v>238.0</v>
      </c>
      <c r="B242" s="13" t="s">
        <v>6</v>
      </c>
      <c r="C242" s="14" t="s">
        <v>244</v>
      </c>
      <c r="D242" s="1"/>
      <c r="E242" s="15"/>
      <c r="F242" s="1" t="str">
        <f>IFERROR(__xludf.DUMMYFUNCTION("GOOGLETRANSLATE(B242, ""en"", ""fa"")
"),"بازاریابی رسانه های اجتماعی")</f>
        <v>بازاریابی رسانه های اجتماعی</v>
      </c>
      <c r="G242" s="1" t="str">
        <f>IFERROR(__xludf.DUMMYFUNCTION("GOOGLETRANSLATE(C242, ""en"", ""fa"")
"),"شما در حال ایجاد یک استراتژی رسانه اجتماعی برای یک سازمان غیرانتفاعی با تمرکز بر مراقبت های بهداشتی هستید. یک رشته توییتر متقاعدکننده بنویسید که اهمیت مراقبت های بهداشتی قابل دسترس برای همه را برجسته کند و آگاهی را در مورد ابتکارات سازمان افزایش دهد.")</f>
        <v>شما در حال ایجاد یک استراتژی رسانه اجتماعی برای یک سازمان غیرانتفاعی با تمرکز بر مراقبت های بهداشتی هستید. یک رشته توییتر متقاعدکننده بنویسید که اهمیت مراقبت های بهداشتی قابل دسترس برای همه را برجسته کند و آگاهی را در مورد ابتکارات سازمان افزایش دهد.</v>
      </c>
      <c r="H242" s="1"/>
      <c r="I242" s="1"/>
      <c r="J242" s="1"/>
      <c r="K242" s="1"/>
      <c r="L242" s="1"/>
      <c r="M242" s="1"/>
      <c r="N242" s="1"/>
      <c r="O242" s="1"/>
      <c r="P242" s="1"/>
      <c r="Q242" s="1"/>
      <c r="R242" s="1"/>
      <c r="S242" s="1"/>
      <c r="T242" s="1"/>
      <c r="U242" s="1"/>
      <c r="V242" s="1"/>
      <c r="W242" s="1"/>
      <c r="X242" s="1"/>
      <c r="Y242" s="1"/>
      <c r="Z242" s="1"/>
      <c r="AA242" s="1"/>
      <c r="AB242" s="1"/>
    </row>
    <row r="243" ht="50.25" customHeight="1">
      <c r="A243" s="12">
        <v>239.0</v>
      </c>
      <c r="B243" s="13" t="s">
        <v>6</v>
      </c>
      <c r="C243" s="14" t="s">
        <v>245</v>
      </c>
      <c r="D243" s="1"/>
      <c r="E243" s="15"/>
      <c r="F243" s="1" t="str">
        <f>IFERROR(__xludf.DUMMYFUNCTION("GOOGLETRANSLATE(B243, ""en"", ""fa"")
"),"بازاریابی رسانه های اجتماعی")</f>
        <v>بازاریابی رسانه های اجتماعی</v>
      </c>
      <c r="G243" s="1" t="str">
        <f>IFERROR(__xludf.DUMMYFUNCTION("GOOGLETRANSLATE(C243, ""en"", ""fa"")
"),"به‌عنوان مدیر رسانه‌های اجتماعی، مجموعه‌ای از استوری‌های اینستاگرام را برای یک تأثیرگذار مد ایجاد کنید، نکات مد، الهام‌گیری از لباس‌ها و فیلم‌های پشت صحنه رویدادهای مد را به اشتراک بگذارید.")</f>
        <v>به‌عنوان مدیر رسانه‌های اجتماعی، مجموعه‌ای از استوری‌های اینستاگرام را برای یک تأثیرگذار مد ایجاد کنید، نکات مد، الهام‌گیری از لباس‌ها و فیلم‌های پشت صحنه رویدادهای مد را به اشتراک بگذارید.</v>
      </c>
      <c r="H243" s="1"/>
      <c r="I243" s="1"/>
      <c r="J243" s="1"/>
      <c r="K243" s="1"/>
      <c r="L243" s="1"/>
      <c r="M243" s="1"/>
      <c r="N243" s="1"/>
      <c r="O243" s="1"/>
      <c r="P243" s="1"/>
      <c r="Q243" s="1"/>
      <c r="R243" s="1"/>
      <c r="S243" s="1"/>
      <c r="T243" s="1"/>
      <c r="U243" s="1"/>
      <c r="V243" s="1"/>
      <c r="W243" s="1"/>
      <c r="X243" s="1"/>
      <c r="Y243" s="1"/>
      <c r="Z243" s="1"/>
      <c r="AA243" s="1"/>
      <c r="AB243" s="1"/>
    </row>
    <row r="244" ht="50.25" customHeight="1">
      <c r="A244" s="12">
        <v>240.0</v>
      </c>
      <c r="B244" s="13" t="s">
        <v>6</v>
      </c>
      <c r="C244" s="14" t="s">
        <v>246</v>
      </c>
      <c r="D244" s="1"/>
      <c r="E244" s="15"/>
      <c r="F244" s="1" t="str">
        <f>IFERROR(__xludf.DUMMYFUNCTION("GOOGLETRANSLATE(B244, ""en"", ""fa"")
"),"بازاریابی رسانه های اجتماعی")</f>
        <v>بازاریابی رسانه های اجتماعی</v>
      </c>
      <c r="G244" s="1" t="str">
        <f>IFERROR(__xludf.DUMMYFUNCTION("GOOGLETRANSLATE(C244, ""en"", ""fa"")
"),"شما در حال مدیریت یک کانال YouTube برای یک کانال آشپزی هستید. یک تصویر کوچک ویدیویی و عنوان جذابی برای یک ویدیوی دستور تهیه کنید که شامل یک غذای خوشمزه و سالم است.")</f>
        <v>شما در حال مدیریت یک کانال YouTube برای یک کانال آشپزی هستید. یک تصویر کوچک ویدیویی و عنوان جذابی برای یک ویدیوی دستور تهیه کنید که شامل یک غذای خوشمزه و سالم است.</v>
      </c>
      <c r="H244" s="1"/>
      <c r="I244" s="1"/>
      <c r="J244" s="1"/>
      <c r="K244" s="1"/>
      <c r="L244" s="1"/>
      <c r="M244" s="1"/>
      <c r="N244" s="1"/>
      <c r="O244" s="1"/>
      <c r="P244" s="1"/>
      <c r="Q244" s="1"/>
      <c r="R244" s="1"/>
      <c r="S244" s="1"/>
      <c r="T244" s="1"/>
      <c r="U244" s="1"/>
      <c r="V244" s="1"/>
      <c r="W244" s="1"/>
      <c r="X244" s="1"/>
      <c r="Y244" s="1"/>
      <c r="Z244" s="1"/>
      <c r="AA244" s="1"/>
      <c r="AB244" s="1"/>
    </row>
    <row r="245" ht="50.25" customHeight="1">
      <c r="A245" s="12">
        <v>241.0</v>
      </c>
      <c r="B245" s="13" t="s">
        <v>6</v>
      </c>
      <c r="C245" s="14" t="s">
        <v>247</v>
      </c>
      <c r="D245" s="1"/>
      <c r="E245" s="15"/>
      <c r="F245" s="1" t="str">
        <f>IFERROR(__xludf.DUMMYFUNCTION("GOOGLETRANSLATE(B245, ""en"", ""fa"")
"),"بازاریابی رسانه های اجتماعی")</f>
        <v>بازاریابی رسانه های اجتماعی</v>
      </c>
      <c r="G245" s="1" t="str">
        <f>IFERROR(__xludf.DUMMYFUNCTION("GOOGLETRANSLATE(C245, ""en"", ""fa"")
"),"شما در حال اجرای یک کمپین رسانه های اجتماعی برای یک شرکت فناوری هستید. یک کپشن اینستاگرام بنویسید که آخرین نسخه محصول آنها را معرفی کند و ویژگی های نوآورانه آن را برجسته کند.")</f>
        <v>شما در حال اجرای یک کمپین رسانه های اجتماعی برای یک شرکت فناوری هستید. یک کپشن اینستاگرام بنویسید که آخرین نسخه محصول آنها را معرفی کند و ویژگی های نوآورانه آن را برجسته کند.</v>
      </c>
      <c r="H245" s="1"/>
      <c r="I245" s="1"/>
      <c r="J245" s="1"/>
      <c r="K245" s="1"/>
      <c r="L245" s="1"/>
      <c r="M245" s="1"/>
      <c r="N245" s="1"/>
      <c r="O245" s="1"/>
      <c r="P245" s="1"/>
      <c r="Q245" s="1"/>
      <c r="R245" s="1"/>
      <c r="S245" s="1"/>
      <c r="T245" s="1"/>
      <c r="U245" s="1"/>
      <c r="V245" s="1"/>
      <c r="W245" s="1"/>
      <c r="X245" s="1"/>
      <c r="Y245" s="1"/>
      <c r="Z245" s="1"/>
      <c r="AA245" s="1"/>
      <c r="AB245" s="1"/>
    </row>
    <row r="246" ht="50.25" customHeight="1">
      <c r="A246" s="12">
        <v>242.0</v>
      </c>
      <c r="B246" s="13" t="s">
        <v>6</v>
      </c>
      <c r="C246" s="14" t="s">
        <v>248</v>
      </c>
      <c r="D246" s="1"/>
      <c r="E246" s="15"/>
      <c r="F246" s="1" t="str">
        <f>IFERROR(__xludf.DUMMYFUNCTION("GOOGLETRANSLATE(B246, ""en"", ""fa"")
"),"بازاریابی رسانه های اجتماعی")</f>
        <v>بازاریابی رسانه های اجتماعی</v>
      </c>
      <c r="G246" s="1" t="str">
        <f>IFERROR(__xludf.DUMMYFUNCTION("GOOGLETRANSLATE(C246, ""en"", ""fa"")
"),"شما در حال مدیریت یک صفحه فیس بوک برای یک سازمان غیرانتفاعی هستید که بر رفاه حیوانات متمرکز است. پستی بنویسید که داستان الهام‌بخش نجات حیوانات را به اشتراک بگذارد و دنبال‌کنندگان را تشویق کند تا از این هدف حمایت کنند.")</f>
        <v>شما در حال مدیریت یک صفحه فیس بوک برای یک سازمان غیرانتفاعی هستید که بر رفاه حیوانات متمرکز است. پستی بنویسید که داستان الهام‌بخش نجات حیوانات را به اشتراک بگذارد و دنبال‌کنندگان را تشویق کند تا از این هدف حمایت کنند.</v>
      </c>
      <c r="H246" s="1"/>
      <c r="I246" s="1"/>
      <c r="J246" s="1"/>
      <c r="K246" s="1"/>
      <c r="L246" s="1"/>
      <c r="M246" s="1"/>
      <c r="N246" s="1"/>
      <c r="O246" s="1"/>
      <c r="P246" s="1"/>
      <c r="Q246" s="1"/>
      <c r="R246" s="1"/>
      <c r="S246" s="1"/>
      <c r="T246" s="1"/>
      <c r="U246" s="1"/>
      <c r="V246" s="1"/>
      <c r="W246" s="1"/>
      <c r="X246" s="1"/>
      <c r="Y246" s="1"/>
      <c r="Z246" s="1"/>
      <c r="AA246" s="1"/>
      <c r="AB246" s="1"/>
    </row>
    <row r="247" ht="50.25" customHeight="1">
      <c r="A247" s="12">
        <v>243.0</v>
      </c>
      <c r="B247" s="13" t="s">
        <v>6</v>
      </c>
      <c r="C247" s="14" t="s">
        <v>249</v>
      </c>
      <c r="D247" s="1"/>
      <c r="E247" s="15"/>
      <c r="F247" s="1" t="str">
        <f>IFERROR(__xludf.DUMMYFUNCTION("GOOGLETRANSLATE(B247, ""en"", ""fa"")
"),"بازاریابی رسانه های اجتماعی")</f>
        <v>بازاریابی رسانه های اجتماعی</v>
      </c>
      <c r="G247" s="1" t="str">
        <f>IFERROR(__xludf.DUMMYFUNCTION("GOOGLETRANSLATE(C247, ""en"", ""fa"")
"),"شما در حال ایجاد یک استراتژی رسانه اجتماعی برای یک شرکت نوپا هستید. یک پست فیس بوک متقاعد کننده بنویسید که ماموریت شرکت را معرفی می کند و از دنبال کنندگان دعوت می کند تا به سفر آنها بپیوندند.")</f>
        <v>شما در حال ایجاد یک استراتژی رسانه اجتماعی برای یک شرکت نوپا هستید. یک پست فیس بوک متقاعد کننده بنویسید که ماموریت شرکت را معرفی می کند و از دنبال کنندگان دعوت می کند تا به سفر آنها بپیوندند.</v>
      </c>
      <c r="H247" s="1"/>
      <c r="I247" s="1"/>
      <c r="J247" s="1"/>
      <c r="K247" s="1"/>
      <c r="L247" s="1"/>
      <c r="M247" s="1"/>
      <c r="N247" s="1"/>
      <c r="O247" s="1"/>
      <c r="P247" s="1"/>
      <c r="Q247" s="1"/>
      <c r="R247" s="1"/>
      <c r="S247" s="1"/>
      <c r="T247" s="1"/>
      <c r="U247" s="1"/>
      <c r="V247" s="1"/>
      <c r="W247" s="1"/>
      <c r="X247" s="1"/>
      <c r="Y247" s="1"/>
      <c r="Z247" s="1"/>
      <c r="AA247" s="1"/>
      <c r="AB247" s="1"/>
    </row>
    <row r="248" ht="50.25" customHeight="1">
      <c r="A248" s="12">
        <v>244.0</v>
      </c>
      <c r="B248" s="13" t="s">
        <v>6</v>
      </c>
      <c r="C248" s="14" t="s">
        <v>250</v>
      </c>
      <c r="D248" s="1"/>
      <c r="E248" s="15"/>
      <c r="F248" s="1" t="str">
        <f>IFERROR(__xludf.DUMMYFUNCTION("GOOGLETRANSLATE(B248, ""en"", ""fa"")
"),"بازاریابی رسانه های اجتماعی")</f>
        <v>بازاریابی رسانه های اجتماعی</v>
      </c>
      <c r="G248" s="1" t="str">
        <f>IFERROR(__xludf.DUMMYFUNCTION("GOOGLETRANSLATE(C248, ""en"", ""fa"")
"),"به عنوان یک مدیر رسانه های اجتماعی، یک اینفوگرافیک جذاب Pinterest برای یک وبلاگ فناوری ایجاد کنید و آخرین هک ها و ابزارهای فناوری را به اشتراک بگذارید.")</f>
        <v>به عنوان یک مدیر رسانه های اجتماعی، یک اینفوگرافیک جذاب Pinterest برای یک وبلاگ فناوری ایجاد کنید و آخرین هک ها و ابزارهای فناوری را به اشتراک بگذارید.</v>
      </c>
      <c r="H248" s="1"/>
      <c r="I248" s="1"/>
      <c r="J248" s="1"/>
      <c r="K248" s="1"/>
      <c r="L248" s="1"/>
      <c r="M248" s="1"/>
      <c r="N248" s="1"/>
      <c r="O248" s="1"/>
      <c r="P248" s="1"/>
      <c r="Q248" s="1"/>
      <c r="R248" s="1"/>
      <c r="S248" s="1"/>
      <c r="T248" s="1"/>
      <c r="U248" s="1"/>
      <c r="V248" s="1"/>
      <c r="W248" s="1"/>
      <c r="X248" s="1"/>
      <c r="Y248" s="1"/>
      <c r="Z248" s="1"/>
      <c r="AA248" s="1"/>
      <c r="AB248" s="1"/>
    </row>
    <row r="249" ht="50.25" customHeight="1">
      <c r="A249" s="12">
        <v>245.0</v>
      </c>
      <c r="B249" s="13" t="s">
        <v>6</v>
      </c>
      <c r="C249" s="14" t="s">
        <v>251</v>
      </c>
      <c r="D249" s="1"/>
      <c r="E249" s="15"/>
      <c r="F249" s="1" t="str">
        <f>IFERROR(__xludf.DUMMYFUNCTION("GOOGLETRANSLATE(B249, ""en"", ""fa"")
"),"بازاریابی رسانه های اجتماعی")</f>
        <v>بازاریابی رسانه های اجتماعی</v>
      </c>
      <c r="G249" s="1" t="str">
        <f>IFERROR(__xludf.DUMMYFUNCTION("GOOGLETRANSLATE(C249, ""en"", ""fa"")
"),"شما در حال مدیریت یک حساب اینستاگرام برای یک برند دکوراسیون منزل هستید. برای عکسی که اتاقی با طراحی زیبا را به نمایش می گذارد و مجموعه مبلمان برند را تبلیغ می کند، توضیحی بنویسید.")</f>
        <v>شما در حال مدیریت یک حساب اینستاگرام برای یک برند دکوراسیون منزل هستید. برای عکسی که اتاقی با طراحی زیبا را به نمایش می گذارد و مجموعه مبلمان برند را تبلیغ می کند، توضیحی بنویسید.</v>
      </c>
      <c r="H249" s="1"/>
      <c r="I249" s="1"/>
      <c r="J249" s="1"/>
      <c r="K249" s="1"/>
      <c r="L249" s="1"/>
      <c r="M249" s="1"/>
      <c r="N249" s="1"/>
      <c r="O249" s="1"/>
      <c r="P249" s="1"/>
      <c r="Q249" s="1"/>
      <c r="R249" s="1"/>
      <c r="S249" s="1"/>
      <c r="T249" s="1"/>
      <c r="U249" s="1"/>
      <c r="V249" s="1"/>
      <c r="W249" s="1"/>
      <c r="X249" s="1"/>
      <c r="Y249" s="1"/>
      <c r="Z249" s="1"/>
      <c r="AA249" s="1"/>
      <c r="AB249" s="1"/>
    </row>
    <row r="250" ht="50.25" customHeight="1">
      <c r="A250" s="12">
        <v>246.0</v>
      </c>
      <c r="B250" s="13" t="s">
        <v>6</v>
      </c>
      <c r="C250" s="14" t="s">
        <v>252</v>
      </c>
      <c r="D250" s="1"/>
      <c r="E250" s="15"/>
      <c r="F250" s="1" t="str">
        <f>IFERROR(__xludf.DUMMYFUNCTION("GOOGLETRANSLATE(B250, ""en"", ""fa"")
"),"بازاریابی رسانه های اجتماعی")</f>
        <v>بازاریابی رسانه های اجتماعی</v>
      </c>
      <c r="G250" s="1" t="str">
        <f>IFERROR(__xludf.DUMMYFUNCTION("GOOGLETRANSLATE(C250, ""en"", ""fa"")
"),"شما در حال اجرای یک مسابقه رسانه های اجتماعی برای یک برند تناسب اندام هستید. توییتی بنویسید که دنبال‌کنندگان را تشویق کند تا داستان‌های تحول تناسب اندام خود را به اشتراک بگذارند، و این شانس را داشته باشید که یک سال عرضه محصولات تناسب اندام را برنده شوید.")</f>
        <v>شما در حال اجرای یک مسابقه رسانه های اجتماعی برای یک برند تناسب اندام هستید. توییتی بنویسید که دنبال‌کنندگان را تشویق کند تا داستان‌های تحول تناسب اندام خود را به اشتراک بگذارند، و این شانس را داشته باشید که یک سال عرضه محصولات تناسب اندام را برنده شوید.</v>
      </c>
      <c r="H250" s="1"/>
      <c r="I250" s="1"/>
      <c r="J250" s="1"/>
      <c r="K250" s="1"/>
      <c r="L250" s="1"/>
      <c r="M250" s="1"/>
      <c r="N250" s="1"/>
      <c r="O250" s="1"/>
      <c r="P250" s="1"/>
      <c r="Q250" s="1"/>
      <c r="R250" s="1"/>
      <c r="S250" s="1"/>
      <c r="T250" s="1"/>
      <c r="U250" s="1"/>
      <c r="V250" s="1"/>
      <c r="W250" s="1"/>
      <c r="X250" s="1"/>
      <c r="Y250" s="1"/>
      <c r="Z250" s="1"/>
      <c r="AA250" s="1"/>
      <c r="AB250" s="1"/>
    </row>
    <row r="251" ht="50.25" customHeight="1">
      <c r="A251" s="12">
        <v>247.0</v>
      </c>
      <c r="B251" s="13" t="s">
        <v>6</v>
      </c>
      <c r="C251" s="14" t="s">
        <v>253</v>
      </c>
      <c r="D251" s="1"/>
      <c r="E251" s="15"/>
      <c r="F251" s="1" t="str">
        <f>IFERROR(__xludf.DUMMYFUNCTION("GOOGLETRANSLATE(B251, ""en"", ""fa"")
"),"بازاریابی رسانه های اجتماعی")</f>
        <v>بازاریابی رسانه های اجتماعی</v>
      </c>
      <c r="G251" s="1" t="str">
        <f>IFERROR(__xludf.DUMMYFUNCTION("GOOGLETRANSLATE(C251, ""en"", ""fa"")
"),"به عنوان یک مدیر رسانه های اجتماعی، یک پست وبلاگ جذاب برای یک آژانس بازاریابی بنویسید، در مورد قدرت اینفلوئنسر مارکتینگ و ارائه نکاتی برای همکاری های موفق صحبت کنید.")</f>
        <v>به عنوان یک مدیر رسانه های اجتماعی، یک پست وبلاگ جذاب برای یک آژانس بازاریابی بنویسید، در مورد قدرت اینفلوئنسر مارکتینگ و ارائه نکاتی برای همکاری های موفق صحبت کنید.</v>
      </c>
      <c r="H251" s="1"/>
      <c r="I251" s="1"/>
      <c r="J251" s="1"/>
      <c r="K251" s="1"/>
      <c r="L251" s="1"/>
      <c r="M251" s="1"/>
      <c r="N251" s="1"/>
      <c r="O251" s="1"/>
      <c r="P251" s="1"/>
      <c r="Q251" s="1"/>
      <c r="R251" s="1"/>
      <c r="S251" s="1"/>
      <c r="T251" s="1"/>
      <c r="U251" s="1"/>
      <c r="V251" s="1"/>
      <c r="W251" s="1"/>
      <c r="X251" s="1"/>
      <c r="Y251" s="1"/>
      <c r="Z251" s="1"/>
      <c r="AA251" s="1"/>
      <c r="AB251" s="1"/>
    </row>
    <row r="252" ht="50.25" customHeight="1">
      <c r="A252" s="12">
        <v>248.0</v>
      </c>
      <c r="B252" s="13" t="s">
        <v>6</v>
      </c>
      <c r="C252" s="14" t="s">
        <v>254</v>
      </c>
      <c r="D252" s="1"/>
      <c r="E252" s="15"/>
      <c r="F252" s="1" t="str">
        <f>IFERROR(__xludf.DUMMYFUNCTION("GOOGLETRANSLATE(B252, ""en"", ""fa"")
"),"بازاریابی رسانه های اجتماعی")</f>
        <v>بازاریابی رسانه های اجتماعی</v>
      </c>
      <c r="G252" s="1" t="str">
        <f>IFERROR(__xludf.DUMMYFUNCTION("GOOGLETRANSLATE(C252, ""en"", ""fa"")
"),"شما در حال مدیریت اکانت اینستاگرام اینفلوئنسرهای متمرکز بر زیبایی هستید. برای عکسی که ظاهر آرایش را نشان می‌دهد، محصولات استفاده‌شده را نشان می‌دهد و نکات آرایشی را ارائه می‌دهد، توضیحی بنویسید.")</f>
        <v>شما در حال مدیریت اکانت اینستاگرام اینفلوئنسرهای متمرکز بر زیبایی هستید. برای عکسی که ظاهر آرایش را نشان می‌دهد، محصولات استفاده‌شده را نشان می‌دهد و نکات آرایشی را ارائه می‌دهد، توضیحی بنویسید.</v>
      </c>
      <c r="H252" s="1"/>
      <c r="I252" s="1"/>
      <c r="J252" s="1"/>
      <c r="K252" s="1"/>
      <c r="L252" s="1"/>
      <c r="M252" s="1"/>
      <c r="N252" s="1"/>
      <c r="O252" s="1"/>
      <c r="P252" s="1"/>
      <c r="Q252" s="1"/>
      <c r="R252" s="1"/>
      <c r="S252" s="1"/>
      <c r="T252" s="1"/>
      <c r="U252" s="1"/>
      <c r="V252" s="1"/>
      <c r="W252" s="1"/>
      <c r="X252" s="1"/>
      <c r="Y252" s="1"/>
      <c r="Z252" s="1"/>
      <c r="AA252" s="1"/>
      <c r="AB252" s="1"/>
    </row>
    <row r="253" ht="50.25" customHeight="1">
      <c r="A253" s="12">
        <v>249.0</v>
      </c>
      <c r="B253" s="13" t="s">
        <v>6</v>
      </c>
      <c r="C253" s="14" t="s">
        <v>255</v>
      </c>
      <c r="D253" s="1"/>
      <c r="E253" s="15"/>
      <c r="F253" s="1" t="str">
        <f>IFERROR(__xludf.DUMMYFUNCTION("GOOGLETRANSLATE(B253, ""en"", ""fa"")
"),"بازاریابی رسانه های اجتماعی")</f>
        <v>بازاریابی رسانه های اجتماعی</v>
      </c>
      <c r="G253" s="1" t="str">
        <f>IFERROR(__xludf.DUMMYFUNCTION("GOOGLETRANSLATE(C253, ""en"", ""fa"")
"),"شما در حال ایجاد یک استراتژی رسانه اجتماعی برای یک سازمان غیرانتفاعی هستید که بر پایداری محیطی متمرکز است. یک تاپیک متقاعدکننده در توییتر بنویسید که به دنبال کنندگان اهمیت بازیافت آموزش دهد و نکات عملی برای کاهش ضایعات ارائه دهد.")</f>
        <v>شما در حال ایجاد یک استراتژی رسانه اجتماعی برای یک سازمان غیرانتفاعی هستید که بر پایداری محیطی متمرکز است. یک تاپیک متقاعدکننده در توییتر بنویسید که به دنبال کنندگان اهمیت بازیافت آموزش دهد و نکات عملی برای کاهش ضایعات ارائه دهد.</v>
      </c>
      <c r="H253" s="1"/>
      <c r="I253" s="1"/>
      <c r="J253" s="1"/>
      <c r="K253" s="1"/>
      <c r="L253" s="1"/>
      <c r="M253" s="1"/>
      <c r="N253" s="1"/>
      <c r="O253" s="1"/>
      <c r="P253" s="1"/>
      <c r="Q253" s="1"/>
      <c r="R253" s="1"/>
      <c r="S253" s="1"/>
      <c r="T253" s="1"/>
      <c r="U253" s="1"/>
      <c r="V253" s="1"/>
      <c r="W253" s="1"/>
      <c r="X253" s="1"/>
      <c r="Y253" s="1"/>
      <c r="Z253" s="1"/>
      <c r="AA253" s="1"/>
      <c r="AB253" s="1"/>
    </row>
    <row r="254" ht="50.25" customHeight="1">
      <c r="A254" s="12">
        <v>250.0</v>
      </c>
      <c r="B254" s="13" t="s">
        <v>6</v>
      </c>
      <c r="C254" s="14" t="s">
        <v>256</v>
      </c>
      <c r="D254" s="1"/>
      <c r="E254" s="15"/>
      <c r="F254" s="1" t="str">
        <f>IFERROR(__xludf.DUMMYFUNCTION("GOOGLETRANSLATE(B254, ""en"", ""fa"")
"),"بازاریابی رسانه های اجتماعی")</f>
        <v>بازاریابی رسانه های اجتماعی</v>
      </c>
      <c r="G254" s="1" t="str">
        <f>IFERROR(__xludf.DUMMYFUNCTION("GOOGLETRANSLATE(C254, ""en"", ""fa"")
"),"به‌عنوان مدیر رسانه‌های اجتماعی، مجموعه‌ای از استوری‌های اینستاگرام را برای یک تأثیرگذار در سفر ایجاد کنید، نکات سفر را به اشتراک بگذارید و توصیه‌های داخلی برای یک مقصد گردشگری محبوب را به اشتراک بگذارید.")</f>
        <v>به‌عنوان مدیر رسانه‌های اجتماعی، مجموعه‌ای از استوری‌های اینستاگرام را برای یک تأثیرگذار در سفر ایجاد کنید، نکات سفر را به اشتراک بگذارید و توصیه‌های داخلی برای یک مقصد گردشگری محبوب را به اشتراک بگذارید.</v>
      </c>
      <c r="H254" s="1"/>
      <c r="I254" s="1"/>
      <c r="J254" s="1"/>
      <c r="K254" s="1"/>
      <c r="L254" s="1"/>
      <c r="M254" s="1"/>
      <c r="N254" s="1"/>
      <c r="O254" s="1"/>
      <c r="P254" s="1"/>
      <c r="Q254" s="1"/>
      <c r="R254" s="1"/>
      <c r="S254" s="1"/>
      <c r="T254" s="1"/>
      <c r="U254" s="1"/>
      <c r="V254" s="1"/>
      <c r="W254" s="1"/>
      <c r="X254" s="1"/>
      <c r="Y254" s="1"/>
      <c r="Z254" s="1"/>
      <c r="AA254" s="1"/>
      <c r="AB254" s="1"/>
    </row>
    <row r="255" ht="50.25" customHeight="1">
      <c r="A255" s="12">
        <v>251.0</v>
      </c>
      <c r="B255" s="13" t="s">
        <v>6</v>
      </c>
      <c r="C255" s="14" t="s">
        <v>257</v>
      </c>
      <c r="D255" s="1"/>
      <c r="E255" s="15"/>
      <c r="F255" s="1" t="str">
        <f>IFERROR(__xludf.DUMMYFUNCTION("GOOGLETRANSLATE(B255, ""en"", ""fa"")
"),"بازاریابی رسانه های اجتماعی")</f>
        <v>بازاریابی رسانه های اجتماعی</v>
      </c>
      <c r="G255" s="1" t="str">
        <f>IFERROR(__xludf.DUMMYFUNCTION("GOOGLETRANSLATE(C255, ""en"", ""fa"")
"),"شما در حال مدیریت یک کانال YouTube برای یک بازبین فناوری هستید. یک عنوان ویدیویی و توضیحات قانع کننده برای یک ویدیوی مروری بسازید که جدیدترین ابزارها و مزایا و معایب آنها را نشان دهد.")</f>
        <v>شما در حال مدیریت یک کانال YouTube برای یک بازبین فناوری هستید. یک عنوان ویدیویی و توضیحات قانع کننده برای یک ویدیوی مروری بسازید که جدیدترین ابزارها و مزایا و معایب آنها را نشان دهد.</v>
      </c>
      <c r="H255" s="1"/>
      <c r="I255" s="1"/>
      <c r="J255" s="1"/>
      <c r="K255" s="1"/>
      <c r="L255" s="1"/>
      <c r="M255" s="1"/>
      <c r="N255" s="1"/>
      <c r="O255" s="1"/>
      <c r="P255" s="1"/>
      <c r="Q255" s="1"/>
      <c r="R255" s="1"/>
      <c r="S255" s="1"/>
      <c r="T255" s="1"/>
      <c r="U255" s="1"/>
      <c r="V255" s="1"/>
      <c r="W255" s="1"/>
      <c r="X255" s="1"/>
      <c r="Y255" s="1"/>
      <c r="Z255" s="1"/>
      <c r="AA255" s="1"/>
      <c r="AB255" s="1"/>
    </row>
    <row r="256" ht="50.25" customHeight="1">
      <c r="A256" s="12">
        <v>252.0</v>
      </c>
      <c r="B256" s="13" t="s">
        <v>6</v>
      </c>
      <c r="C256" s="14" t="s">
        <v>258</v>
      </c>
      <c r="D256" s="1"/>
      <c r="E256" s="15"/>
      <c r="F256" s="1" t="str">
        <f>IFERROR(__xludf.DUMMYFUNCTION("GOOGLETRANSLATE(B256, ""en"", ""fa"")
"),"بازاریابی رسانه های اجتماعی")</f>
        <v>بازاریابی رسانه های اجتماعی</v>
      </c>
      <c r="G256" s="1" t="str">
        <f>IFERROR(__xludf.DUMMYFUNCTION("GOOGLETRANSLATE(C256, ""en"", ""fa"")
"),"شما در حال اجرای یک کمپین رسانه اجتماعی برای یک برند مد پایدار هستید. کپشن اینستاگرامی بنویسید که مواد سازگار با محیط زیست و شیوه‌های تولید اخلاقی برند را برجسته کند.")</f>
        <v>شما در حال اجرای یک کمپین رسانه اجتماعی برای یک برند مد پایدار هستید. کپشن اینستاگرامی بنویسید که مواد سازگار با محیط زیست و شیوه‌های تولید اخلاقی برند را برجسته کند.</v>
      </c>
      <c r="H256" s="1"/>
      <c r="I256" s="1"/>
      <c r="J256" s="1"/>
      <c r="K256" s="1"/>
      <c r="L256" s="1"/>
      <c r="M256" s="1"/>
      <c r="N256" s="1"/>
      <c r="O256" s="1"/>
      <c r="P256" s="1"/>
      <c r="Q256" s="1"/>
      <c r="R256" s="1"/>
      <c r="S256" s="1"/>
      <c r="T256" s="1"/>
      <c r="U256" s="1"/>
      <c r="V256" s="1"/>
      <c r="W256" s="1"/>
      <c r="X256" s="1"/>
      <c r="Y256" s="1"/>
      <c r="Z256" s="1"/>
      <c r="AA256" s="1"/>
      <c r="AB256" s="1"/>
    </row>
    <row r="257" ht="50.25" customHeight="1">
      <c r="A257" s="12">
        <v>253.0</v>
      </c>
      <c r="B257" s="13" t="s">
        <v>6</v>
      </c>
      <c r="C257" s="14" t="s">
        <v>259</v>
      </c>
      <c r="D257" s="1"/>
      <c r="E257" s="15"/>
      <c r="F257" s="1" t="str">
        <f>IFERROR(__xludf.DUMMYFUNCTION("GOOGLETRANSLATE(B257, ""en"", ""fa"")
"),"بازاریابی رسانه های اجتماعی")</f>
        <v>بازاریابی رسانه های اجتماعی</v>
      </c>
      <c r="G257" s="1" t="str">
        <f>IFERROR(__xludf.DUMMYFUNCTION("GOOGLETRANSLATE(C257, ""en"", ""fa"")
"),"به عنوان یک مدیر رسانه های اجتماعی، یک پست آموزنده در لینکدین برای یک مربی شغلی بنویسید، که بینش هایی در مورد برندسازی شخصی و استراتژی های موثر جستجوی کار ارائه می دهد.")</f>
        <v>به عنوان یک مدیر رسانه های اجتماعی، یک پست آموزنده در لینکدین برای یک مربی شغلی بنویسید، که بینش هایی در مورد برندسازی شخصی و استراتژی های موثر جستجوی کار ارائه می دهد.</v>
      </c>
      <c r="H257" s="1"/>
      <c r="I257" s="1"/>
      <c r="J257" s="1"/>
      <c r="K257" s="1"/>
      <c r="L257" s="1"/>
      <c r="M257" s="1"/>
      <c r="N257" s="1"/>
      <c r="O257" s="1"/>
      <c r="P257" s="1"/>
      <c r="Q257" s="1"/>
      <c r="R257" s="1"/>
      <c r="S257" s="1"/>
      <c r="T257" s="1"/>
      <c r="U257" s="1"/>
      <c r="V257" s="1"/>
      <c r="W257" s="1"/>
      <c r="X257" s="1"/>
      <c r="Y257" s="1"/>
      <c r="Z257" s="1"/>
      <c r="AA257" s="1"/>
      <c r="AB257" s="1"/>
    </row>
    <row r="258" ht="50.25" customHeight="1">
      <c r="A258" s="12">
        <v>254.0</v>
      </c>
      <c r="B258" s="13" t="s">
        <v>6</v>
      </c>
      <c r="C258" s="14" t="s">
        <v>260</v>
      </c>
      <c r="D258" s="1"/>
      <c r="E258" s="15"/>
      <c r="F258" s="1" t="str">
        <f>IFERROR(__xludf.DUMMYFUNCTION("GOOGLETRANSLATE(B258, ""en"", ""fa"")
"),"بازاریابی رسانه های اجتماعی")</f>
        <v>بازاریابی رسانه های اجتماعی</v>
      </c>
      <c r="G258" s="1" t="str">
        <f>IFERROR(__xludf.DUMMYFUNCTION("GOOGLETRANSLATE(C258, ""en"", ""fa"")
"),"شما در حال مدیریت یک صفحه فیس بوک برای یک وبلاگ غذایی هستید. پستی بنویسید که یک دستور العمل خوشمزه را به نمایش بگذارد و دنبال کنندگان را تشویق کند آن را امتحان کنند و تجربه خود را به اشتراک بگذارند.")</f>
        <v>شما در حال مدیریت یک صفحه فیس بوک برای یک وبلاگ غذایی هستید. پستی بنویسید که یک دستور العمل خوشمزه را به نمایش بگذارد و دنبال کنندگان را تشویق کند آن را امتحان کنند و تجربه خود را به اشتراک بگذارند.</v>
      </c>
      <c r="H258" s="1"/>
      <c r="I258" s="1"/>
      <c r="J258" s="1"/>
      <c r="K258" s="1"/>
      <c r="L258" s="1"/>
      <c r="M258" s="1"/>
      <c r="N258" s="1"/>
      <c r="O258" s="1"/>
      <c r="P258" s="1"/>
      <c r="Q258" s="1"/>
      <c r="R258" s="1"/>
      <c r="S258" s="1"/>
      <c r="T258" s="1"/>
      <c r="U258" s="1"/>
      <c r="V258" s="1"/>
      <c r="W258" s="1"/>
      <c r="X258" s="1"/>
      <c r="Y258" s="1"/>
      <c r="Z258" s="1"/>
      <c r="AA258" s="1"/>
      <c r="AB258" s="1"/>
    </row>
    <row r="259" ht="50.25" customHeight="1">
      <c r="A259" s="12">
        <v>255.0</v>
      </c>
      <c r="B259" s="13" t="s">
        <v>6</v>
      </c>
      <c r="C259" s="14" t="s">
        <v>261</v>
      </c>
      <c r="D259" s="1"/>
      <c r="E259" s="15"/>
      <c r="F259" s="1" t="str">
        <f>IFERROR(__xludf.DUMMYFUNCTION("GOOGLETRANSLATE(B259, ""en"", ""fa"")
"),"بازاریابی رسانه های اجتماعی")</f>
        <v>بازاریابی رسانه های اجتماعی</v>
      </c>
      <c r="G259" s="1" t="str">
        <f>IFERROR(__xludf.DUMMYFUNCTION("GOOGLETRANSLATE(C259, ""en"", ""fa"")
"),"شما در حال ایجاد یک استراتژی رسانه اجتماعی برای یک سازمان غیرانتفاعی هستید که بر ارتقای سواد تمرکز دارد. یک پست متقاعدکننده در فیس بوک بنویسید که بر اهمیت مطالعه تاکید کند و دنبال کنندگان را تشویق به اهدای کتاب کند.")</f>
        <v>شما در حال ایجاد یک استراتژی رسانه اجتماعی برای یک سازمان غیرانتفاعی هستید که بر ارتقای سواد تمرکز دارد. یک پست متقاعدکننده در فیس بوک بنویسید که بر اهمیت مطالعه تاکید کند و دنبال کنندگان را تشویق به اهدای کتاب کند.</v>
      </c>
      <c r="H259" s="1"/>
      <c r="I259" s="1"/>
      <c r="J259" s="1"/>
      <c r="K259" s="1"/>
      <c r="L259" s="1"/>
      <c r="M259" s="1"/>
      <c r="N259" s="1"/>
      <c r="O259" s="1"/>
      <c r="P259" s="1"/>
      <c r="Q259" s="1"/>
      <c r="R259" s="1"/>
      <c r="S259" s="1"/>
      <c r="T259" s="1"/>
      <c r="U259" s="1"/>
      <c r="V259" s="1"/>
      <c r="W259" s="1"/>
      <c r="X259" s="1"/>
      <c r="Y259" s="1"/>
      <c r="Z259" s="1"/>
      <c r="AA259" s="1"/>
      <c r="AB259" s="1"/>
    </row>
    <row r="260" ht="50.25" customHeight="1">
      <c r="A260" s="12">
        <v>256.0</v>
      </c>
      <c r="B260" s="13" t="s">
        <v>6</v>
      </c>
      <c r="C260" s="14" t="s">
        <v>262</v>
      </c>
      <c r="D260" s="1"/>
      <c r="E260" s="15"/>
      <c r="F260" s="1" t="str">
        <f>IFERROR(__xludf.DUMMYFUNCTION("GOOGLETRANSLATE(B260, ""en"", ""fa"")
"),"بازاریابی رسانه های اجتماعی")</f>
        <v>بازاریابی رسانه های اجتماعی</v>
      </c>
      <c r="G260" s="1" t="str">
        <f>IFERROR(__xludf.DUMMYFUNCTION("GOOGLETRANSLATE(C260, ""en"", ""fa"")
"),"به عنوان یک مدیر رسانه های اجتماعی، یک تابلوی جذاب Pinterest برای تأثیرگذار سبک زندگی ایجاد کنید که حاوی نکاتی برای سبک زندگی سالم و متعادل، نقل قول های الهام بخش و ایده های مراقبت از خود است.")</f>
        <v>به عنوان یک مدیر رسانه های اجتماعی، یک تابلوی جذاب Pinterest برای تأثیرگذار سبک زندگی ایجاد کنید که حاوی نکاتی برای سبک زندگی سالم و متعادل، نقل قول های الهام بخش و ایده های مراقبت از خود است.</v>
      </c>
      <c r="H260" s="1"/>
      <c r="I260" s="1"/>
      <c r="J260" s="1"/>
      <c r="K260" s="1"/>
      <c r="L260" s="1"/>
      <c r="M260" s="1"/>
      <c r="N260" s="1"/>
      <c r="O260" s="1"/>
      <c r="P260" s="1"/>
      <c r="Q260" s="1"/>
      <c r="R260" s="1"/>
      <c r="S260" s="1"/>
      <c r="T260" s="1"/>
      <c r="U260" s="1"/>
      <c r="V260" s="1"/>
      <c r="W260" s="1"/>
      <c r="X260" s="1"/>
      <c r="Y260" s="1"/>
      <c r="Z260" s="1"/>
      <c r="AA260" s="1"/>
      <c r="AB260" s="1"/>
    </row>
    <row r="261" ht="50.25" customHeight="1">
      <c r="A261" s="12">
        <v>257.0</v>
      </c>
      <c r="B261" s="13" t="s">
        <v>6</v>
      </c>
      <c r="C261" s="14" t="s">
        <v>263</v>
      </c>
      <c r="D261" s="1"/>
      <c r="E261" s="15"/>
      <c r="F261" s="1" t="str">
        <f>IFERROR(__xludf.DUMMYFUNCTION("GOOGLETRANSLATE(B261, ""en"", ""fa"")
"),"بازاریابی رسانه های اجتماعی")</f>
        <v>بازاریابی رسانه های اجتماعی</v>
      </c>
      <c r="G261" s="1" t="str">
        <f>IFERROR(__xludf.DUMMYFUNCTION("GOOGLETRANSLATE(C261, ""en"", ""fa"")
"),"شما در حال مدیریت یک حساب اینستاگرام برای یک برند لوازم جانبی حیوانات خانگی هستید. برای عکسی که نشان دهنده یک حیوان خانگی بامزه است که لوازم جانبی این برند را پوشیده است، توضیحی بنویسید و یک کد تخفیف برای دنبال‌کنندگان ارائه می‌دهد.")</f>
        <v>شما در حال مدیریت یک حساب اینستاگرام برای یک برند لوازم جانبی حیوانات خانگی هستید. برای عکسی که نشان دهنده یک حیوان خانگی بامزه است که لوازم جانبی این برند را پوشیده است، توضیحی بنویسید و یک کد تخفیف برای دنبال‌کنندگان ارائه می‌دهد.</v>
      </c>
      <c r="H261" s="1"/>
      <c r="I261" s="1"/>
      <c r="J261" s="1"/>
      <c r="K261" s="1"/>
      <c r="L261" s="1"/>
      <c r="M261" s="1"/>
      <c r="N261" s="1"/>
      <c r="O261" s="1"/>
      <c r="P261" s="1"/>
      <c r="Q261" s="1"/>
      <c r="R261" s="1"/>
      <c r="S261" s="1"/>
      <c r="T261" s="1"/>
      <c r="U261" s="1"/>
      <c r="V261" s="1"/>
      <c r="W261" s="1"/>
      <c r="X261" s="1"/>
      <c r="Y261" s="1"/>
      <c r="Z261" s="1"/>
      <c r="AA261" s="1"/>
      <c r="AB261" s="1"/>
    </row>
    <row r="262" ht="50.25" customHeight="1">
      <c r="A262" s="12">
        <v>258.0</v>
      </c>
      <c r="B262" s="13" t="s">
        <v>6</v>
      </c>
      <c r="C262" s="14" t="s">
        <v>264</v>
      </c>
      <c r="D262" s="1"/>
      <c r="E262" s="15"/>
      <c r="F262" s="1" t="str">
        <f>IFERROR(__xludf.DUMMYFUNCTION("GOOGLETRANSLATE(B262, ""en"", ""fa"")
"),"بازاریابی رسانه های اجتماعی")</f>
        <v>بازاریابی رسانه های اجتماعی</v>
      </c>
      <c r="G262" s="1" t="str">
        <f>IFERROR(__xludf.DUMMYFUNCTION("GOOGLETRANSLATE(C262, ""en"", ""fa"")
"),"شما در حال برگزاری یک مسابقه رسانه های اجتماعی برای یک برند فناوری هستید. پستی در اینستاگرام بنویسید که فالوورها را تشویق کند تا ایده‌های فناوری نوآورانه خود را به اشتراک بگذارند و شانس برنده شدن یک بسته جایزه را داشته باشند.")</f>
        <v>شما در حال برگزاری یک مسابقه رسانه های اجتماعی برای یک برند فناوری هستید. پستی در اینستاگرام بنویسید که فالوورها را تشویق کند تا ایده‌های فناوری نوآورانه خود را به اشتراک بگذارند و شانس برنده شدن یک بسته جایزه را داشته باشند.</v>
      </c>
      <c r="H262" s="1"/>
      <c r="I262" s="1"/>
      <c r="J262" s="1"/>
      <c r="K262" s="1"/>
      <c r="L262" s="1"/>
      <c r="M262" s="1"/>
      <c r="N262" s="1"/>
      <c r="O262" s="1"/>
      <c r="P262" s="1"/>
      <c r="Q262" s="1"/>
      <c r="R262" s="1"/>
      <c r="S262" s="1"/>
      <c r="T262" s="1"/>
      <c r="U262" s="1"/>
      <c r="V262" s="1"/>
      <c r="W262" s="1"/>
      <c r="X262" s="1"/>
      <c r="Y262" s="1"/>
      <c r="Z262" s="1"/>
      <c r="AA262" s="1"/>
      <c r="AB262" s="1"/>
    </row>
    <row r="263" ht="50.25" customHeight="1">
      <c r="A263" s="12">
        <v>259.0</v>
      </c>
      <c r="B263" s="13" t="s">
        <v>6</v>
      </c>
      <c r="C263" s="14" t="s">
        <v>265</v>
      </c>
      <c r="D263" s="1"/>
      <c r="E263" s="15"/>
      <c r="F263" s="1" t="str">
        <f>IFERROR(__xludf.DUMMYFUNCTION("GOOGLETRANSLATE(B263, ""en"", ""fa"")
"),"بازاریابی رسانه های اجتماعی")</f>
        <v>بازاریابی رسانه های اجتماعی</v>
      </c>
      <c r="G263" s="1" t="str">
        <f>IFERROR(__xludf.DUMMYFUNCTION("GOOGLETRANSLATE(C263, ""en"", ""fa"")
"),"به عنوان یک مدیر رسانه های اجتماعی، یک پست وبلاگ جذاب برای یک وبلاگ تغذیه بنویسید، در مورد مزایای رژیم غذایی گیاهی بحث کنید و ایده هایی برای دستور پخت گیاهی ارائه دهید.")</f>
        <v>به عنوان یک مدیر رسانه های اجتماعی، یک پست وبلاگ جذاب برای یک وبلاگ تغذیه بنویسید، در مورد مزایای رژیم غذایی گیاهی بحث کنید و ایده هایی برای دستور پخت گیاهی ارائه دهید.</v>
      </c>
      <c r="H263" s="1"/>
      <c r="I263" s="1"/>
      <c r="J263" s="1"/>
      <c r="K263" s="1"/>
      <c r="L263" s="1"/>
      <c r="M263" s="1"/>
      <c r="N263" s="1"/>
      <c r="O263" s="1"/>
      <c r="P263" s="1"/>
      <c r="Q263" s="1"/>
      <c r="R263" s="1"/>
      <c r="S263" s="1"/>
      <c r="T263" s="1"/>
      <c r="U263" s="1"/>
      <c r="V263" s="1"/>
      <c r="W263" s="1"/>
      <c r="X263" s="1"/>
      <c r="Y263" s="1"/>
      <c r="Z263" s="1"/>
      <c r="AA263" s="1"/>
      <c r="AB263" s="1"/>
    </row>
    <row r="264" ht="50.25" customHeight="1">
      <c r="A264" s="12">
        <v>260.0</v>
      </c>
      <c r="B264" s="13" t="s">
        <v>266</v>
      </c>
      <c r="C264" s="14" t="s">
        <v>267</v>
      </c>
      <c r="D264" s="1"/>
      <c r="E264" s="15"/>
      <c r="F264" s="1" t="str">
        <f>IFERROR(__xludf.DUMMYFUNCTION("GOOGLETRANSLATE(B264, ""en"", ""fa"")
"),"تولید محتوا")</f>
        <v>تولید محتوا</v>
      </c>
      <c r="G264" s="1" t="str">
        <f>IFERROR(__xludf.DUMMYFUNCTION("GOOGLETRANSLATE(C264, ""en"", ""fa"")
"),"قدرت داستان سرایی و تأثیر آن بر تعامل مخاطب را بررسی کنید.")</f>
        <v>قدرت داستان سرایی و تأثیر آن بر تعامل مخاطب را بررسی کنید.</v>
      </c>
      <c r="H264" s="1"/>
      <c r="I264" s="1"/>
      <c r="J264" s="1"/>
      <c r="K264" s="1"/>
      <c r="L264" s="1"/>
      <c r="M264" s="1"/>
      <c r="N264" s="1"/>
      <c r="O264" s="1"/>
      <c r="P264" s="1"/>
      <c r="Q264" s="1"/>
      <c r="R264" s="1"/>
      <c r="S264" s="1"/>
      <c r="T264" s="1"/>
      <c r="U264" s="1"/>
      <c r="V264" s="1"/>
      <c r="W264" s="1"/>
      <c r="X264" s="1"/>
      <c r="Y264" s="1"/>
      <c r="Z264" s="1"/>
      <c r="AA264" s="1"/>
      <c r="AB264" s="1"/>
    </row>
    <row r="265" ht="50.25" customHeight="1">
      <c r="A265" s="12">
        <v>261.0</v>
      </c>
      <c r="B265" s="13" t="s">
        <v>266</v>
      </c>
      <c r="C265" s="14" t="s">
        <v>268</v>
      </c>
      <c r="D265" s="1"/>
      <c r="E265" s="15"/>
      <c r="F265" s="1" t="str">
        <f>IFERROR(__xludf.DUMMYFUNCTION("GOOGLETRANSLATE(B265, ""en"", ""fa"")
"),"تولید محتوا")</f>
        <v>تولید محتوا</v>
      </c>
      <c r="G265" s="1" t="str">
        <f>IFERROR(__xludf.DUMMYFUNCTION("GOOGLETRANSLATE(C265, ""en"", ""fa"")
"),"تکنیک های موثر برای ایجاد محتوای بصری جذاب را به اشتراک بگذارید.")</f>
        <v>تکنیک های موثر برای ایجاد محتوای بصری جذاب را به اشتراک بگذارید.</v>
      </c>
      <c r="H265" s="1"/>
      <c r="I265" s="1"/>
      <c r="J265" s="1"/>
      <c r="K265" s="1"/>
      <c r="L265" s="1"/>
      <c r="M265" s="1"/>
      <c r="N265" s="1"/>
      <c r="O265" s="1"/>
      <c r="P265" s="1"/>
      <c r="Q265" s="1"/>
      <c r="R265" s="1"/>
      <c r="S265" s="1"/>
      <c r="T265" s="1"/>
      <c r="U265" s="1"/>
      <c r="V265" s="1"/>
      <c r="W265" s="1"/>
      <c r="X265" s="1"/>
      <c r="Y265" s="1"/>
      <c r="Z265" s="1"/>
      <c r="AA265" s="1"/>
      <c r="AB265" s="1"/>
    </row>
    <row r="266" ht="50.25" customHeight="1">
      <c r="A266" s="12">
        <v>262.0</v>
      </c>
      <c r="B266" s="13" t="s">
        <v>266</v>
      </c>
      <c r="C266" s="14" t="s">
        <v>269</v>
      </c>
      <c r="D266" s="1"/>
      <c r="E266" s="15"/>
      <c r="F266" s="1" t="str">
        <f>IFERROR(__xludf.DUMMYFUNCTION("GOOGLETRANSLATE(B266, ""en"", ""fa"")
"),"تولید محتوا")</f>
        <v>تولید محتوا</v>
      </c>
      <c r="G266" s="1" t="str">
        <f>IFERROR(__xludf.DUMMYFUNCTION("GOOGLETRANSLATE(C266, ""en"", ""fa"")
"),"در مورد اهمیت ایجاد محتوای ارزشمند و آموزنده برای مخاطبان خود بحث کنید.")</f>
        <v>در مورد اهمیت ایجاد محتوای ارزشمند و آموزنده برای مخاطبان خود بحث کنید.</v>
      </c>
      <c r="H266" s="1"/>
      <c r="I266" s="1"/>
      <c r="J266" s="1"/>
      <c r="K266" s="1"/>
      <c r="L266" s="1"/>
      <c r="M266" s="1"/>
      <c r="N266" s="1"/>
      <c r="O266" s="1"/>
      <c r="P266" s="1"/>
      <c r="Q266" s="1"/>
      <c r="R266" s="1"/>
      <c r="S266" s="1"/>
      <c r="T266" s="1"/>
      <c r="U266" s="1"/>
      <c r="V266" s="1"/>
      <c r="W266" s="1"/>
      <c r="X266" s="1"/>
      <c r="Y266" s="1"/>
      <c r="Z266" s="1"/>
      <c r="AA266" s="1"/>
      <c r="AB266" s="1"/>
    </row>
    <row r="267" ht="50.25" customHeight="1">
      <c r="A267" s="12">
        <v>263.0</v>
      </c>
      <c r="B267" s="13" t="s">
        <v>266</v>
      </c>
      <c r="C267" s="14" t="s">
        <v>270</v>
      </c>
      <c r="D267" s="1"/>
      <c r="E267" s="15"/>
      <c r="F267" s="1" t="str">
        <f>IFERROR(__xludf.DUMMYFUNCTION("GOOGLETRANSLATE(B267, ""en"", ""fa"")
"),"تولید محتوا")</f>
        <v>تولید محتوا</v>
      </c>
      <c r="G267" s="1" t="str">
        <f>IFERROR(__xludf.DUMMYFUNCTION("GOOGLETRANSLATE(C267, ""en"", ""fa"")
"),"در هنر ایجاد سرفصل های قانع کننده ای که توجه را به خود جلب می کند، شیرجه بزنید.")</f>
        <v>در هنر ایجاد سرفصل های قانع کننده ای که توجه را به خود جلب می کند، شیرجه بزنید.</v>
      </c>
      <c r="H267" s="1"/>
      <c r="I267" s="1"/>
      <c r="J267" s="1"/>
      <c r="K267" s="1"/>
      <c r="L267" s="1"/>
      <c r="M267" s="1"/>
      <c r="N267" s="1"/>
      <c r="O267" s="1"/>
      <c r="P267" s="1"/>
      <c r="Q267" s="1"/>
      <c r="R267" s="1"/>
      <c r="S267" s="1"/>
      <c r="T267" s="1"/>
      <c r="U267" s="1"/>
      <c r="V267" s="1"/>
      <c r="W267" s="1"/>
      <c r="X267" s="1"/>
      <c r="Y267" s="1"/>
      <c r="Z267" s="1"/>
      <c r="AA267" s="1"/>
      <c r="AB267" s="1"/>
    </row>
    <row r="268" ht="50.25" customHeight="1">
      <c r="A268" s="12">
        <v>264.0</v>
      </c>
      <c r="B268" s="13" t="s">
        <v>266</v>
      </c>
      <c r="C268" s="14" t="s">
        <v>271</v>
      </c>
      <c r="D268" s="1"/>
      <c r="E268" s="15"/>
      <c r="F268" s="1" t="str">
        <f>IFERROR(__xludf.DUMMYFUNCTION("GOOGLETRANSLATE(B268, ""en"", ""fa"")
"),"تولید محتوا")</f>
        <v>تولید محتوا</v>
      </c>
      <c r="G268" s="1" t="str">
        <f>IFERROR(__xludf.DUMMYFUNCTION("GOOGLETRANSLATE(C268, ""en"", ""fa"")
"),"مزایای استفاده مجدد محتوا در پلتفرم های مختلف را بررسی کنید.")</f>
        <v>مزایای استفاده مجدد محتوا در پلتفرم های مختلف را بررسی کنید.</v>
      </c>
      <c r="H268" s="1"/>
      <c r="I268" s="1"/>
      <c r="J268" s="1"/>
      <c r="K268" s="1"/>
      <c r="L268" s="1"/>
      <c r="M268" s="1"/>
      <c r="N268" s="1"/>
      <c r="O268" s="1"/>
      <c r="P268" s="1"/>
      <c r="Q268" s="1"/>
      <c r="R268" s="1"/>
      <c r="S268" s="1"/>
      <c r="T268" s="1"/>
      <c r="U268" s="1"/>
      <c r="V268" s="1"/>
      <c r="W268" s="1"/>
      <c r="X268" s="1"/>
      <c r="Y268" s="1"/>
      <c r="Z268" s="1"/>
      <c r="AA268" s="1"/>
      <c r="AB268" s="1"/>
    </row>
    <row r="269" ht="50.25" customHeight="1">
      <c r="A269" s="12">
        <v>265.0</v>
      </c>
      <c r="B269" s="13" t="s">
        <v>266</v>
      </c>
      <c r="C269" s="14" t="s">
        <v>272</v>
      </c>
      <c r="D269" s="1"/>
      <c r="E269" s="15"/>
      <c r="F269" s="1" t="str">
        <f>IFERROR(__xludf.DUMMYFUNCTION("GOOGLETRANSLATE(B269, ""en"", ""fa"")
"),"تولید محتوا")</f>
        <v>تولید محتوا</v>
      </c>
      <c r="G269" s="1" t="str">
        <f>IFERROR(__xludf.DUMMYFUNCTION("GOOGLETRANSLATE(C269, ""en"", ""fa"")
"),"نکاتی را برای انجام تحقیقات کامل برای افزایش کیفیت محتوای خود به اشتراک بگذارید.")</f>
        <v>نکاتی را برای انجام تحقیقات کامل برای افزایش کیفیت محتوای خود به اشتراک بگذارید.</v>
      </c>
      <c r="H269" s="1"/>
      <c r="I269" s="1"/>
      <c r="J269" s="1"/>
      <c r="K269" s="1"/>
      <c r="L269" s="1"/>
      <c r="M269" s="1"/>
      <c r="N269" s="1"/>
      <c r="O269" s="1"/>
      <c r="P269" s="1"/>
      <c r="Q269" s="1"/>
      <c r="R269" s="1"/>
      <c r="S269" s="1"/>
      <c r="T269" s="1"/>
      <c r="U269" s="1"/>
      <c r="V269" s="1"/>
      <c r="W269" s="1"/>
      <c r="X269" s="1"/>
      <c r="Y269" s="1"/>
      <c r="Z269" s="1"/>
      <c r="AA269" s="1"/>
      <c r="AB269" s="1"/>
    </row>
    <row r="270" ht="50.25" customHeight="1">
      <c r="A270" s="12">
        <v>266.0</v>
      </c>
      <c r="B270" s="13" t="s">
        <v>266</v>
      </c>
      <c r="C270" s="14" t="s">
        <v>273</v>
      </c>
      <c r="D270" s="1"/>
      <c r="E270" s="15"/>
      <c r="F270" s="1" t="str">
        <f>IFERROR(__xludf.DUMMYFUNCTION("GOOGLETRANSLATE(B270, ""en"", ""fa"")
"),"تولید محتوا")</f>
        <v>تولید محتوا</v>
      </c>
      <c r="G270" s="1" t="str">
        <f>IFERROR(__xludf.DUMMYFUNCTION("GOOGLETRANSLATE(C270, ""en"", ""fa"")
"),"در مورد نقش احساسات در ایجاد محتوایی که با مخاطبان شما طنین انداز می شود بحث کنید.")</f>
        <v>در مورد نقش احساسات در ایجاد محتوایی که با مخاطبان شما طنین انداز می شود بحث کنید.</v>
      </c>
      <c r="H270" s="1"/>
      <c r="I270" s="1"/>
      <c r="J270" s="1"/>
      <c r="K270" s="1"/>
      <c r="L270" s="1"/>
      <c r="M270" s="1"/>
      <c r="N270" s="1"/>
      <c r="O270" s="1"/>
      <c r="P270" s="1"/>
      <c r="Q270" s="1"/>
      <c r="R270" s="1"/>
      <c r="S270" s="1"/>
      <c r="T270" s="1"/>
      <c r="U270" s="1"/>
      <c r="V270" s="1"/>
      <c r="W270" s="1"/>
      <c r="X270" s="1"/>
      <c r="Y270" s="1"/>
      <c r="Z270" s="1"/>
      <c r="AA270" s="1"/>
      <c r="AB270" s="1"/>
    </row>
    <row r="271" ht="50.25" customHeight="1">
      <c r="A271" s="12">
        <v>267.0</v>
      </c>
      <c r="B271" s="13" t="s">
        <v>266</v>
      </c>
      <c r="C271" s="14" t="s">
        <v>274</v>
      </c>
      <c r="D271" s="1"/>
      <c r="E271" s="15"/>
      <c r="F271" s="1" t="str">
        <f>IFERROR(__xludf.DUMMYFUNCTION("GOOGLETRANSLATE(B271, ""en"", ""fa"")
"),"تولید محتوا")</f>
        <v>تولید محتوا</v>
      </c>
      <c r="G271" s="1" t="str">
        <f>IFERROR(__xludf.DUMMYFUNCTION("GOOGLETRANSLATE(C271, ""en"", ""fa"")
"),"فرمت های مختلف محتوا، مانند ویدئو، اینفوگرافیک و پادکست را کاوش کنید.")</f>
        <v>فرمت های مختلف محتوا، مانند ویدئو، اینفوگرافیک و پادکست را کاوش کنید.</v>
      </c>
      <c r="H271" s="1"/>
      <c r="I271" s="1"/>
      <c r="J271" s="1"/>
      <c r="K271" s="1"/>
      <c r="L271" s="1"/>
      <c r="M271" s="1"/>
      <c r="N271" s="1"/>
      <c r="O271" s="1"/>
      <c r="P271" s="1"/>
      <c r="Q271" s="1"/>
      <c r="R271" s="1"/>
      <c r="S271" s="1"/>
      <c r="T271" s="1"/>
      <c r="U271" s="1"/>
      <c r="V271" s="1"/>
      <c r="W271" s="1"/>
      <c r="X271" s="1"/>
      <c r="Y271" s="1"/>
      <c r="Z271" s="1"/>
      <c r="AA271" s="1"/>
      <c r="AB271" s="1"/>
    </row>
    <row r="272" ht="50.25" customHeight="1">
      <c r="A272" s="12">
        <v>268.0</v>
      </c>
      <c r="B272" s="13" t="s">
        <v>266</v>
      </c>
      <c r="C272" s="14" t="s">
        <v>275</v>
      </c>
      <c r="D272" s="1"/>
      <c r="E272" s="15"/>
      <c r="F272" s="1" t="str">
        <f>IFERROR(__xludf.DUMMYFUNCTION("GOOGLETRANSLATE(B272, ""en"", ""fa"")
"),"تولید محتوا")</f>
        <v>تولید محتوا</v>
      </c>
      <c r="G272" s="1" t="str">
        <f>IFERROR(__xludf.DUMMYFUNCTION("GOOGLETRANSLATE(C272, ""en"", ""fa"")
"),"در مورد استراتژی های بهینه سازی محتوا برای موتورهای جستجو (SEO) بحث کنید.")</f>
        <v>در مورد استراتژی های بهینه سازی محتوا برای موتورهای جستجو (SEO) بحث کنید.</v>
      </c>
      <c r="H272" s="1"/>
      <c r="I272" s="1"/>
      <c r="J272" s="1"/>
      <c r="K272" s="1"/>
      <c r="L272" s="1"/>
      <c r="M272" s="1"/>
      <c r="N272" s="1"/>
      <c r="O272" s="1"/>
      <c r="P272" s="1"/>
      <c r="Q272" s="1"/>
      <c r="R272" s="1"/>
      <c r="S272" s="1"/>
      <c r="T272" s="1"/>
      <c r="U272" s="1"/>
      <c r="V272" s="1"/>
      <c r="W272" s="1"/>
      <c r="X272" s="1"/>
      <c r="Y272" s="1"/>
      <c r="Z272" s="1"/>
      <c r="AA272" s="1"/>
      <c r="AB272" s="1"/>
    </row>
    <row r="273" ht="50.25" customHeight="1">
      <c r="A273" s="12">
        <v>269.0</v>
      </c>
      <c r="B273" s="13" t="s">
        <v>266</v>
      </c>
      <c r="C273" s="14" t="s">
        <v>276</v>
      </c>
      <c r="D273" s="1"/>
      <c r="E273" s="15"/>
      <c r="F273" s="1" t="str">
        <f>IFERROR(__xludf.DUMMYFUNCTION("GOOGLETRANSLATE(B273, ""en"", ""fa"")
"),"تولید محتوا")</f>
        <v>تولید محتوا</v>
      </c>
      <c r="G273" s="1" t="str">
        <f>IFERROR(__xludf.DUMMYFUNCTION("GOOGLETRANSLATE(C273, ""en"", ""fa"")
"),"نکاتی را برای ایجاد صدای برند و لحن قوی در محتوای خود به اشتراک بگذارید.")</f>
        <v>نکاتی را برای ایجاد صدای برند و لحن قوی در محتوای خود به اشتراک بگذارید.</v>
      </c>
      <c r="H273" s="1"/>
      <c r="I273" s="1"/>
      <c r="J273" s="1"/>
      <c r="K273" s="1"/>
      <c r="L273" s="1"/>
      <c r="M273" s="1"/>
      <c r="N273" s="1"/>
      <c r="O273" s="1"/>
      <c r="P273" s="1"/>
      <c r="Q273" s="1"/>
      <c r="R273" s="1"/>
      <c r="S273" s="1"/>
      <c r="T273" s="1"/>
      <c r="U273" s="1"/>
      <c r="V273" s="1"/>
      <c r="W273" s="1"/>
      <c r="X273" s="1"/>
      <c r="Y273" s="1"/>
      <c r="Z273" s="1"/>
      <c r="AA273" s="1"/>
      <c r="AB273" s="1"/>
    </row>
    <row r="274" ht="50.25" customHeight="1">
      <c r="A274" s="12">
        <v>270.0</v>
      </c>
      <c r="B274" s="13" t="s">
        <v>266</v>
      </c>
      <c r="C274" s="14" t="s">
        <v>277</v>
      </c>
      <c r="D274" s="1"/>
      <c r="E274" s="15"/>
      <c r="F274" s="1" t="str">
        <f>IFERROR(__xludf.DUMMYFUNCTION("GOOGLETRANSLATE(B274, ""en"", ""fa"")
"),"تولید محتوا")</f>
        <v>تولید محتوا</v>
      </c>
      <c r="G274" s="1" t="str">
        <f>IFERROR(__xludf.DUMMYFUNCTION("GOOGLETRANSLATE(C274, ""en"", ""fa"")
"),"مفهوم محتوای همیشه سبز و ارزش بلندمدت آن را کاوش کنید.")</f>
        <v>مفهوم محتوای همیشه سبز و ارزش بلندمدت آن را کاوش کنید.</v>
      </c>
      <c r="H274" s="1"/>
      <c r="I274" s="1"/>
      <c r="J274" s="1"/>
      <c r="K274" s="1"/>
      <c r="L274" s="1"/>
      <c r="M274" s="1"/>
      <c r="N274" s="1"/>
      <c r="O274" s="1"/>
      <c r="P274" s="1"/>
      <c r="Q274" s="1"/>
      <c r="R274" s="1"/>
      <c r="S274" s="1"/>
      <c r="T274" s="1"/>
      <c r="U274" s="1"/>
      <c r="V274" s="1"/>
      <c r="W274" s="1"/>
      <c r="X274" s="1"/>
      <c r="Y274" s="1"/>
      <c r="Z274" s="1"/>
      <c r="AA274" s="1"/>
      <c r="AB274" s="1"/>
    </row>
    <row r="275" ht="50.25" customHeight="1">
      <c r="A275" s="12">
        <v>271.0</v>
      </c>
      <c r="B275" s="13" t="s">
        <v>266</v>
      </c>
      <c r="C275" s="14" t="s">
        <v>278</v>
      </c>
      <c r="D275" s="1"/>
      <c r="E275" s="15"/>
      <c r="F275" s="1" t="str">
        <f>IFERROR(__xludf.DUMMYFUNCTION("GOOGLETRANSLATE(B275, ""en"", ""fa"")
"),"تولید محتوا")</f>
        <v>تولید محتوا</v>
      </c>
      <c r="G275" s="1" t="str">
        <f>IFERROR(__xludf.DUMMYFUNCTION("GOOGLETRANSLATE(C275, ""en"", ""fa"")
"),"در مورد اهمیت محتوای تولید شده توسط کاربر و نحوه استفاده موثر از آن بحث کنید.")</f>
        <v>در مورد اهمیت محتوای تولید شده توسط کاربر و نحوه استفاده موثر از آن بحث کنید.</v>
      </c>
      <c r="H275" s="1"/>
      <c r="I275" s="1"/>
      <c r="J275" s="1"/>
      <c r="K275" s="1"/>
      <c r="L275" s="1"/>
      <c r="M275" s="1"/>
      <c r="N275" s="1"/>
      <c r="O275" s="1"/>
      <c r="P275" s="1"/>
      <c r="Q275" s="1"/>
      <c r="R275" s="1"/>
      <c r="S275" s="1"/>
      <c r="T275" s="1"/>
      <c r="U275" s="1"/>
      <c r="V275" s="1"/>
      <c r="W275" s="1"/>
      <c r="X275" s="1"/>
      <c r="Y275" s="1"/>
      <c r="Z275" s="1"/>
      <c r="AA275" s="1"/>
      <c r="AB275" s="1"/>
    </row>
    <row r="276" ht="50.25" customHeight="1">
      <c r="A276" s="12">
        <v>272.0</v>
      </c>
      <c r="B276" s="13" t="s">
        <v>266</v>
      </c>
      <c r="C276" s="14" t="s">
        <v>279</v>
      </c>
      <c r="D276" s="1"/>
      <c r="E276" s="15"/>
      <c r="F276" s="1" t="str">
        <f>IFERROR(__xludf.DUMMYFUNCTION("GOOGLETRANSLATE(B276, ""en"", ""fa"")
"),"تولید محتوا")</f>
        <v>تولید محتوا</v>
      </c>
      <c r="G276" s="1" t="str">
        <f>IFERROR(__xludf.DUMMYFUNCTION("GOOGLETRANSLATE(C276, ""en"", ""fa"")
"),"نکات عملی برای غلبه بر موانع نویسنده و تقویت خلاقیت را به اشتراک بگذارید.")</f>
        <v>نکات عملی برای غلبه بر موانع نویسنده و تقویت خلاقیت را به اشتراک بگذارید.</v>
      </c>
      <c r="H276" s="1"/>
      <c r="I276" s="1"/>
      <c r="J276" s="1"/>
      <c r="K276" s="1"/>
      <c r="L276" s="1"/>
      <c r="M276" s="1"/>
      <c r="N276" s="1"/>
      <c r="O276" s="1"/>
      <c r="P276" s="1"/>
      <c r="Q276" s="1"/>
      <c r="R276" s="1"/>
      <c r="S276" s="1"/>
      <c r="T276" s="1"/>
      <c r="U276" s="1"/>
      <c r="V276" s="1"/>
      <c r="W276" s="1"/>
      <c r="X276" s="1"/>
      <c r="Y276" s="1"/>
      <c r="Z276" s="1"/>
      <c r="AA276" s="1"/>
      <c r="AB276" s="1"/>
    </row>
    <row r="277" ht="50.25" customHeight="1">
      <c r="A277" s="12">
        <v>273.0</v>
      </c>
      <c r="B277" s="13" t="s">
        <v>266</v>
      </c>
      <c r="C277" s="14" t="s">
        <v>280</v>
      </c>
      <c r="D277" s="1"/>
      <c r="E277" s="15"/>
      <c r="F277" s="1" t="str">
        <f>IFERROR(__xludf.DUMMYFUNCTION("GOOGLETRANSLATE(B277, ""en"", ""fa"")
"),"تولید محتوا")</f>
        <v>تولید محتوا</v>
      </c>
      <c r="G277" s="1" t="str">
        <f>IFERROR(__xludf.DUMMYFUNCTION("GOOGLETRANSLATE(C277, ""en"", ""fa"")
"),"در مورد ملاحظات اخلاقی ایجاد محتوا، مانند سرقت ادبی و حق چاپ بحث کنید.")</f>
        <v>در مورد ملاحظات اخلاقی ایجاد محتوا، مانند سرقت ادبی و حق چاپ بحث کنید.</v>
      </c>
      <c r="H277" s="1"/>
      <c r="I277" s="1"/>
      <c r="J277" s="1"/>
      <c r="K277" s="1"/>
      <c r="L277" s="1"/>
      <c r="M277" s="1"/>
      <c r="N277" s="1"/>
      <c r="O277" s="1"/>
      <c r="P277" s="1"/>
      <c r="Q277" s="1"/>
      <c r="R277" s="1"/>
      <c r="S277" s="1"/>
      <c r="T277" s="1"/>
      <c r="U277" s="1"/>
      <c r="V277" s="1"/>
      <c r="W277" s="1"/>
      <c r="X277" s="1"/>
      <c r="Y277" s="1"/>
      <c r="Z277" s="1"/>
      <c r="AA277" s="1"/>
      <c r="AB277" s="1"/>
    </row>
    <row r="278" ht="50.25" customHeight="1">
      <c r="A278" s="12">
        <v>274.0</v>
      </c>
      <c r="B278" s="13" t="s">
        <v>266</v>
      </c>
      <c r="C278" s="14" t="s">
        <v>281</v>
      </c>
      <c r="D278" s="1"/>
      <c r="E278" s="15"/>
      <c r="F278" s="1" t="str">
        <f>IFERROR(__xludf.DUMMYFUNCTION("GOOGLETRANSLATE(B278, ""en"", ""fa"")
"),"تولید محتوا")</f>
        <v>تولید محتوا</v>
      </c>
      <c r="G278" s="1" t="str">
        <f>IFERROR(__xludf.DUMMYFUNCTION("GOOGLETRANSLATE(C278, ""en"", ""fa"")
"),"تاثیر تصاویر را در محتوا و راه های ایجاد طرح های بصری خیره کننده کاوش کنید.")</f>
        <v>تاثیر تصاویر را در محتوا و راه های ایجاد طرح های بصری خیره کننده کاوش کنید.</v>
      </c>
      <c r="H278" s="1"/>
      <c r="I278" s="1"/>
      <c r="J278" s="1"/>
      <c r="K278" s="1"/>
      <c r="L278" s="1"/>
      <c r="M278" s="1"/>
      <c r="N278" s="1"/>
      <c r="O278" s="1"/>
      <c r="P278" s="1"/>
      <c r="Q278" s="1"/>
      <c r="R278" s="1"/>
      <c r="S278" s="1"/>
      <c r="T278" s="1"/>
      <c r="U278" s="1"/>
      <c r="V278" s="1"/>
      <c r="W278" s="1"/>
      <c r="X278" s="1"/>
      <c r="Y278" s="1"/>
      <c r="Z278" s="1"/>
      <c r="AA278" s="1"/>
      <c r="AB278" s="1"/>
    </row>
    <row r="279" ht="50.25" customHeight="1">
      <c r="A279" s="12">
        <v>275.0</v>
      </c>
      <c r="B279" s="13" t="s">
        <v>266</v>
      </c>
      <c r="C279" s="14" t="s">
        <v>282</v>
      </c>
      <c r="D279" s="1"/>
      <c r="E279" s="15"/>
      <c r="F279" s="1" t="str">
        <f>IFERROR(__xludf.DUMMYFUNCTION("GOOGLETRANSLATE(B279, ""en"", ""fa"")
"),"تولید محتوا")</f>
        <v>تولید محتوا</v>
      </c>
      <c r="G279" s="1" t="str">
        <f>IFERROR(__xludf.DUMMYFUNCTION("GOOGLETRANSLATE(C279, ""en"", ""fa"")
"),"در مورد اهمیت یکنواختی در تولید محتوا و حفظ برنامه انتشار بحث کنید.")</f>
        <v>در مورد اهمیت یکنواختی در تولید محتوا و حفظ برنامه انتشار بحث کنید.</v>
      </c>
      <c r="H279" s="1"/>
      <c r="I279" s="1"/>
      <c r="J279" s="1"/>
      <c r="K279" s="1"/>
      <c r="L279" s="1"/>
      <c r="M279" s="1"/>
      <c r="N279" s="1"/>
      <c r="O279" s="1"/>
      <c r="P279" s="1"/>
      <c r="Q279" s="1"/>
      <c r="R279" s="1"/>
      <c r="S279" s="1"/>
      <c r="T279" s="1"/>
      <c r="U279" s="1"/>
      <c r="V279" s="1"/>
      <c r="W279" s="1"/>
      <c r="X279" s="1"/>
      <c r="Y279" s="1"/>
      <c r="Z279" s="1"/>
      <c r="AA279" s="1"/>
      <c r="AB279" s="1"/>
    </row>
    <row r="280" ht="50.25" customHeight="1">
      <c r="A280" s="12">
        <v>276.0</v>
      </c>
      <c r="B280" s="13" t="s">
        <v>266</v>
      </c>
      <c r="C280" s="14" t="s">
        <v>283</v>
      </c>
      <c r="D280" s="1"/>
      <c r="E280" s="15"/>
      <c r="F280" s="1" t="str">
        <f>IFERROR(__xludf.DUMMYFUNCTION("GOOGLETRANSLATE(B280, ""en"", ""fa"")
"),"تولید محتوا")</f>
        <v>تولید محتوا</v>
      </c>
      <c r="G280" s="1" t="str">
        <f>IFERROR(__xludf.DUMMYFUNCTION("GOOGLETRANSLATE(C280, ""en"", ""fa"")
"),"نکاتی را برای تبلیغ مؤثر محتوا در کانال های رسانه های اجتماعی به اشتراک بگذارید.")</f>
        <v>نکاتی را برای تبلیغ مؤثر محتوا در کانال های رسانه های اجتماعی به اشتراک بگذارید.</v>
      </c>
      <c r="H280" s="1"/>
      <c r="I280" s="1"/>
      <c r="J280" s="1"/>
      <c r="K280" s="1"/>
      <c r="L280" s="1"/>
      <c r="M280" s="1"/>
      <c r="N280" s="1"/>
      <c r="O280" s="1"/>
      <c r="P280" s="1"/>
      <c r="Q280" s="1"/>
      <c r="R280" s="1"/>
      <c r="S280" s="1"/>
      <c r="T280" s="1"/>
      <c r="U280" s="1"/>
      <c r="V280" s="1"/>
      <c r="W280" s="1"/>
      <c r="X280" s="1"/>
      <c r="Y280" s="1"/>
      <c r="Z280" s="1"/>
      <c r="AA280" s="1"/>
      <c r="AB280" s="1"/>
    </row>
    <row r="281" ht="50.25" customHeight="1">
      <c r="A281" s="12">
        <v>277.0</v>
      </c>
      <c r="B281" s="13" t="s">
        <v>266</v>
      </c>
      <c r="C281" s="14" t="s">
        <v>284</v>
      </c>
      <c r="D281" s="1"/>
      <c r="E281" s="15"/>
      <c r="F281" s="1" t="str">
        <f>IFERROR(__xludf.DUMMYFUNCTION("GOOGLETRANSLATE(B281, ""en"", ""fa"")
"),"تولید محتوا")</f>
        <v>تولید محتوا</v>
      </c>
      <c r="G281" s="1" t="str">
        <f>IFERROR(__xludf.DUMMYFUNCTION("GOOGLETRANSLATE(C281, ""en"", ""fa"")
"),"به دنیای اینفلوئنسر مارکتینگ و نقش آن در تولید محتوا شیرجه بزنید.")</f>
        <v>به دنیای اینفلوئنسر مارکتینگ و نقش آن در تولید محتوا شیرجه بزنید.</v>
      </c>
      <c r="H281" s="1"/>
      <c r="I281" s="1"/>
      <c r="J281" s="1"/>
      <c r="K281" s="1"/>
      <c r="L281" s="1"/>
      <c r="M281" s="1"/>
      <c r="N281" s="1"/>
      <c r="O281" s="1"/>
      <c r="P281" s="1"/>
      <c r="Q281" s="1"/>
      <c r="R281" s="1"/>
      <c r="S281" s="1"/>
      <c r="T281" s="1"/>
      <c r="U281" s="1"/>
      <c r="V281" s="1"/>
      <c r="W281" s="1"/>
      <c r="X281" s="1"/>
      <c r="Y281" s="1"/>
      <c r="Z281" s="1"/>
      <c r="AA281" s="1"/>
      <c r="AB281" s="1"/>
    </row>
    <row r="282" ht="50.25" customHeight="1">
      <c r="A282" s="12">
        <v>278.0</v>
      </c>
      <c r="B282" s="13" t="s">
        <v>266</v>
      </c>
      <c r="C282" s="14" t="s">
        <v>285</v>
      </c>
      <c r="D282" s="1"/>
      <c r="E282" s="15"/>
      <c r="F282" s="1" t="str">
        <f>IFERROR(__xludf.DUMMYFUNCTION("GOOGLETRANSLATE(B282, ""en"", ""fa"")
"),"تولید محتوا")</f>
        <v>تولید محتوا</v>
      </c>
      <c r="G282" s="1" t="str">
        <f>IFERROR(__xludf.DUMMYFUNCTION("GOOGLETRANSLATE(C282, ""en"", ""fa"")
"),"درباره قدرت داستان سرایی در بازاریابی برند و ایجاد وفاداری مشتری بحث کنید.")</f>
        <v>درباره قدرت داستان سرایی در بازاریابی برند و ایجاد وفاداری مشتری بحث کنید.</v>
      </c>
      <c r="H282" s="1"/>
      <c r="I282" s="1"/>
      <c r="J282" s="1"/>
      <c r="K282" s="1"/>
      <c r="L282" s="1"/>
      <c r="M282" s="1"/>
      <c r="N282" s="1"/>
      <c r="O282" s="1"/>
      <c r="P282" s="1"/>
      <c r="Q282" s="1"/>
      <c r="R282" s="1"/>
      <c r="S282" s="1"/>
      <c r="T282" s="1"/>
      <c r="U282" s="1"/>
      <c r="V282" s="1"/>
      <c r="W282" s="1"/>
      <c r="X282" s="1"/>
      <c r="Y282" s="1"/>
      <c r="Z282" s="1"/>
      <c r="AA282" s="1"/>
      <c r="AB282" s="1"/>
    </row>
    <row r="283" ht="50.25" customHeight="1">
      <c r="A283" s="12">
        <v>279.0</v>
      </c>
      <c r="B283" s="13" t="s">
        <v>266</v>
      </c>
      <c r="C283" s="14" t="s">
        <v>286</v>
      </c>
      <c r="D283" s="1"/>
      <c r="E283" s="15"/>
      <c r="F283" s="1" t="str">
        <f>IFERROR(__xludf.DUMMYFUNCTION("GOOGLETRANSLATE(B283, ""en"", ""fa"")
"),"تولید محتوا")</f>
        <v>تولید محتوا</v>
      </c>
      <c r="G283" s="1" t="str">
        <f>IFERROR(__xludf.DUMMYFUNCTION("GOOGLETRANSLATE(C283, ""en"", ""fa"")
"),"مفهوم شخصیت مخاطب و متناسب کردن محتوا با جمعیت‌شناسی خاص را بررسی کنید.")</f>
        <v>مفهوم شخصیت مخاطب و متناسب کردن محتوا با جمعیت‌شناسی خاص را بررسی کنید.</v>
      </c>
      <c r="H283" s="1"/>
      <c r="I283" s="1"/>
      <c r="J283" s="1"/>
      <c r="K283" s="1"/>
      <c r="L283" s="1"/>
      <c r="M283" s="1"/>
      <c r="N283" s="1"/>
      <c r="O283" s="1"/>
      <c r="P283" s="1"/>
      <c r="Q283" s="1"/>
      <c r="R283" s="1"/>
      <c r="S283" s="1"/>
      <c r="T283" s="1"/>
      <c r="U283" s="1"/>
      <c r="V283" s="1"/>
      <c r="W283" s="1"/>
      <c r="X283" s="1"/>
      <c r="Y283" s="1"/>
      <c r="Z283" s="1"/>
      <c r="AA283" s="1"/>
      <c r="AB283" s="1"/>
    </row>
    <row r="284" ht="50.25" customHeight="1">
      <c r="A284" s="12">
        <v>280.0</v>
      </c>
      <c r="B284" s="13" t="s">
        <v>266</v>
      </c>
      <c r="C284" s="14" t="s">
        <v>287</v>
      </c>
      <c r="D284" s="1"/>
      <c r="E284" s="15"/>
      <c r="F284" s="1" t="str">
        <f>IFERROR(__xludf.DUMMYFUNCTION("GOOGLETRANSLATE(B284, ""en"", ""fa"")
"),"تولید محتوا")</f>
        <v>تولید محتوا</v>
      </c>
      <c r="G284" s="1" t="str">
        <f>IFERROR(__xludf.DUMMYFUNCTION("GOOGLETRANSLATE(C284, ""en"", ""fa"")
"),"استراتژی های ایجاد محتوای جذاب و تعاملی را برای افزایش مشارکت مخاطبان به اشتراک بگذارید.")</f>
        <v>استراتژی های ایجاد محتوای جذاب و تعاملی را برای افزایش مشارکت مخاطبان به اشتراک بگذارید.</v>
      </c>
      <c r="H284" s="1"/>
      <c r="I284" s="1"/>
      <c r="J284" s="1"/>
      <c r="K284" s="1"/>
      <c r="L284" s="1"/>
      <c r="M284" s="1"/>
      <c r="N284" s="1"/>
      <c r="O284" s="1"/>
      <c r="P284" s="1"/>
      <c r="Q284" s="1"/>
      <c r="R284" s="1"/>
      <c r="S284" s="1"/>
      <c r="T284" s="1"/>
      <c r="U284" s="1"/>
      <c r="V284" s="1"/>
      <c r="W284" s="1"/>
      <c r="X284" s="1"/>
      <c r="Y284" s="1"/>
      <c r="Z284" s="1"/>
      <c r="AA284" s="1"/>
      <c r="AB284" s="1"/>
    </row>
    <row r="285" ht="50.25" customHeight="1">
      <c r="A285" s="12">
        <v>281.0</v>
      </c>
      <c r="B285" s="13" t="s">
        <v>266</v>
      </c>
      <c r="C285" s="14" t="s">
        <v>288</v>
      </c>
      <c r="D285" s="1"/>
      <c r="E285" s="15"/>
      <c r="F285" s="1" t="str">
        <f>IFERROR(__xludf.DUMMYFUNCTION("GOOGLETRANSLATE(B285, ""en"", ""fa"")
"),"تولید محتوا")</f>
        <v>تولید محتوا</v>
      </c>
      <c r="G285" s="1" t="str">
        <f>IFERROR(__xludf.DUMMYFUNCTION("GOOGLETRANSLATE(C285, ""en"", ""fa"")
"),"در مورد نقش تجزیه و تحلیل در اندازه گیری عملکرد محتوا و تصمیم گیری های مبتنی بر داده بحث کنید.")</f>
        <v>در مورد نقش تجزیه و تحلیل در اندازه گیری عملکرد محتوا و تصمیم گیری های مبتنی بر داده بحث کنید.</v>
      </c>
      <c r="H285" s="1"/>
      <c r="I285" s="1"/>
      <c r="J285" s="1"/>
      <c r="K285" s="1"/>
      <c r="L285" s="1"/>
      <c r="M285" s="1"/>
      <c r="N285" s="1"/>
      <c r="O285" s="1"/>
      <c r="P285" s="1"/>
      <c r="Q285" s="1"/>
      <c r="R285" s="1"/>
      <c r="S285" s="1"/>
      <c r="T285" s="1"/>
      <c r="U285" s="1"/>
      <c r="V285" s="1"/>
      <c r="W285" s="1"/>
      <c r="X285" s="1"/>
      <c r="Y285" s="1"/>
      <c r="Z285" s="1"/>
      <c r="AA285" s="1"/>
      <c r="AB285" s="1"/>
    </row>
    <row r="286" ht="50.25" customHeight="1">
      <c r="A286" s="12">
        <v>282.0</v>
      </c>
      <c r="B286" s="13" t="s">
        <v>266</v>
      </c>
      <c r="C286" s="14" t="s">
        <v>289</v>
      </c>
      <c r="D286" s="1"/>
      <c r="E286" s="15"/>
      <c r="F286" s="1" t="str">
        <f>IFERROR(__xludf.DUMMYFUNCTION("GOOGLETRANSLATE(B286, ""en"", ""fa"")
"),"تولید محتوا")</f>
        <v>تولید محتوا</v>
      </c>
      <c r="G286" s="1" t="str">
        <f>IFERROR(__xludf.DUMMYFUNCTION("GOOGLETRANSLATE(C286, ""en"", ""fa"")
"),"روانشناسی پشت تکنیک های نوشتن متقاعد کننده برای تولید محتوا را بررسی کنید.")</f>
        <v>روانشناسی پشت تکنیک های نوشتن متقاعد کننده برای تولید محتوا را بررسی کنید.</v>
      </c>
      <c r="H286" s="1"/>
      <c r="I286" s="1"/>
      <c r="J286" s="1"/>
      <c r="K286" s="1"/>
      <c r="L286" s="1"/>
      <c r="M286" s="1"/>
      <c r="N286" s="1"/>
      <c r="O286" s="1"/>
      <c r="P286" s="1"/>
      <c r="Q286" s="1"/>
      <c r="R286" s="1"/>
      <c r="S286" s="1"/>
      <c r="T286" s="1"/>
      <c r="U286" s="1"/>
      <c r="V286" s="1"/>
      <c r="W286" s="1"/>
      <c r="X286" s="1"/>
      <c r="Y286" s="1"/>
      <c r="Z286" s="1"/>
      <c r="AA286" s="1"/>
      <c r="AB286" s="1"/>
    </row>
    <row r="287" ht="50.25" customHeight="1">
      <c r="A287" s="12">
        <v>283.0</v>
      </c>
      <c r="B287" s="13" t="s">
        <v>266</v>
      </c>
      <c r="C287" s="14" t="s">
        <v>290</v>
      </c>
      <c r="D287" s="1"/>
      <c r="E287" s="15"/>
      <c r="F287" s="1" t="str">
        <f>IFERROR(__xludf.DUMMYFUNCTION("GOOGLETRANSLATE(B287, ""en"", ""fa"")
"),"تولید محتوا")</f>
        <v>تولید محتوا</v>
      </c>
      <c r="G287" s="1" t="str">
        <f>IFERROR(__xludf.DUMMYFUNCTION("GOOGLETRANSLATE(C287, ""en"", ""fa"")
"),"نکاتی را برای انجام مصاحبه و گنجاندن آنها در قطعات محتوا به اشتراک بگذارید.")</f>
        <v>نکاتی را برای انجام مصاحبه و گنجاندن آنها در قطعات محتوا به اشتراک بگذارید.</v>
      </c>
      <c r="H287" s="1"/>
      <c r="I287" s="1"/>
      <c r="J287" s="1"/>
      <c r="K287" s="1"/>
      <c r="L287" s="1"/>
      <c r="M287" s="1"/>
      <c r="N287" s="1"/>
      <c r="O287" s="1"/>
      <c r="P287" s="1"/>
      <c r="Q287" s="1"/>
      <c r="R287" s="1"/>
      <c r="S287" s="1"/>
      <c r="T287" s="1"/>
      <c r="U287" s="1"/>
      <c r="V287" s="1"/>
      <c r="W287" s="1"/>
      <c r="X287" s="1"/>
      <c r="Y287" s="1"/>
      <c r="Z287" s="1"/>
      <c r="AA287" s="1"/>
      <c r="AB287" s="1"/>
    </row>
    <row r="288" ht="50.25" customHeight="1">
      <c r="A288" s="12">
        <v>284.0</v>
      </c>
      <c r="B288" s="13" t="s">
        <v>266</v>
      </c>
      <c r="C288" s="14" t="s">
        <v>291</v>
      </c>
      <c r="D288" s="1"/>
      <c r="E288" s="15"/>
      <c r="F288" s="1" t="str">
        <f>IFERROR(__xludf.DUMMYFUNCTION("GOOGLETRANSLATE(B288, ""en"", ""fa"")
"),"تولید محتوا")</f>
        <v>تولید محتوا</v>
      </c>
      <c r="G288" s="1" t="str">
        <f>IFERROR(__xludf.DUMMYFUNCTION("GOOGLETRANSLATE(C288, ""en"", ""fa"")
"),"در مورد مزایای همکاری با دیگر سازندگان محتوا برای تبلیغات متقابل بحث کنید.")</f>
        <v>در مورد مزایای همکاری با دیگر سازندگان محتوا برای تبلیغات متقابل بحث کنید.</v>
      </c>
      <c r="H288" s="1"/>
      <c r="I288" s="1"/>
      <c r="J288" s="1"/>
      <c r="K288" s="1"/>
      <c r="L288" s="1"/>
      <c r="M288" s="1"/>
      <c r="N288" s="1"/>
      <c r="O288" s="1"/>
      <c r="P288" s="1"/>
      <c r="Q288" s="1"/>
      <c r="R288" s="1"/>
      <c r="S288" s="1"/>
      <c r="T288" s="1"/>
      <c r="U288" s="1"/>
      <c r="V288" s="1"/>
      <c r="W288" s="1"/>
      <c r="X288" s="1"/>
      <c r="Y288" s="1"/>
      <c r="Z288" s="1"/>
      <c r="AA288" s="1"/>
      <c r="AB288" s="1"/>
    </row>
    <row r="289" ht="50.25" customHeight="1">
      <c r="A289" s="12">
        <v>285.0</v>
      </c>
      <c r="B289" s="13" t="s">
        <v>266</v>
      </c>
      <c r="C289" s="14" t="s">
        <v>292</v>
      </c>
      <c r="D289" s="1"/>
      <c r="E289" s="15"/>
      <c r="F289" s="1" t="str">
        <f>IFERROR(__xludf.DUMMYFUNCTION("GOOGLETRANSLATE(B289, ""en"", ""fa"")
"),"تولید محتوا")</f>
        <v>تولید محتوا</v>
      </c>
      <c r="G289" s="1" t="str">
        <f>IFERROR(__xludf.DUMMYFUNCTION("GOOGLETRANSLATE(C289, ""en"", ""fa"")
"),"نقش اصالت و شفافیت در تولید محتوا را بررسی کنید.")</f>
        <v>نقش اصالت و شفافیت در تولید محتوا را بررسی کنید.</v>
      </c>
      <c r="H289" s="1"/>
      <c r="I289" s="1"/>
      <c r="J289" s="1"/>
      <c r="K289" s="1"/>
      <c r="L289" s="1"/>
      <c r="M289" s="1"/>
      <c r="N289" s="1"/>
      <c r="O289" s="1"/>
      <c r="P289" s="1"/>
      <c r="Q289" s="1"/>
      <c r="R289" s="1"/>
      <c r="S289" s="1"/>
      <c r="T289" s="1"/>
      <c r="U289" s="1"/>
      <c r="V289" s="1"/>
      <c r="W289" s="1"/>
      <c r="X289" s="1"/>
      <c r="Y289" s="1"/>
      <c r="Z289" s="1"/>
      <c r="AA289" s="1"/>
      <c r="AB289" s="1"/>
    </row>
    <row r="290" ht="50.25" customHeight="1">
      <c r="A290" s="12">
        <v>286.0</v>
      </c>
      <c r="B290" s="13" t="s">
        <v>266</v>
      </c>
      <c r="C290" s="14" t="s">
        <v>293</v>
      </c>
      <c r="D290" s="1"/>
      <c r="E290" s="15"/>
      <c r="F290" s="1" t="str">
        <f>IFERROR(__xludf.DUMMYFUNCTION("GOOGLETRANSLATE(B290, ""en"", ""fa"")
"),"تولید محتوا")</f>
        <v>تولید محتوا</v>
      </c>
      <c r="G290" s="1" t="str">
        <f>IFERROR(__xludf.DUMMYFUNCTION("GOOGLETRANSLATE(C290, ""en"", ""fa"")
"),"در مورد تاثیر بهینه سازی موبایل بر مصرف محتوا و تجربه کاربر بحث کنید.")</f>
        <v>در مورد تاثیر بهینه سازی موبایل بر مصرف محتوا و تجربه کاربر بحث کنید.</v>
      </c>
      <c r="H290" s="1"/>
      <c r="I290" s="1"/>
      <c r="J290" s="1"/>
      <c r="K290" s="1"/>
      <c r="L290" s="1"/>
      <c r="M290" s="1"/>
      <c r="N290" s="1"/>
      <c r="O290" s="1"/>
      <c r="P290" s="1"/>
      <c r="Q290" s="1"/>
      <c r="R290" s="1"/>
      <c r="S290" s="1"/>
      <c r="T290" s="1"/>
      <c r="U290" s="1"/>
      <c r="V290" s="1"/>
      <c r="W290" s="1"/>
      <c r="X290" s="1"/>
      <c r="Y290" s="1"/>
      <c r="Z290" s="1"/>
      <c r="AA290" s="1"/>
      <c r="AB290" s="1"/>
    </row>
    <row r="291" ht="50.25" customHeight="1">
      <c r="A291" s="12">
        <v>287.0</v>
      </c>
      <c r="B291" s="13" t="s">
        <v>266</v>
      </c>
      <c r="C291" s="14" t="s">
        <v>294</v>
      </c>
      <c r="D291" s="1"/>
      <c r="E291" s="15"/>
      <c r="F291" s="1" t="str">
        <f>IFERROR(__xludf.DUMMYFUNCTION("GOOGLETRANSLATE(B291, ""en"", ""fa"")
"),"تولید محتوا")</f>
        <v>تولید محتوا</v>
      </c>
      <c r="G291" s="1" t="str">
        <f>IFERROR(__xludf.DUMMYFUNCTION("GOOGLETRANSLATE(C291, ""en"", ""fa"")
"),"نکاتی را برای ایجاد مقدمه های قانع کننده ای که از همان ابتدا خوانندگان را مجذوب خود می کند، به اشتراک بگذارید.")</f>
        <v>نکاتی را برای ایجاد مقدمه های قانع کننده ای که از همان ابتدا خوانندگان را مجذوب خود می کند، به اشتراک بگذارید.</v>
      </c>
      <c r="H291" s="1"/>
      <c r="I291" s="1"/>
      <c r="J291" s="1"/>
      <c r="K291" s="1"/>
      <c r="L291" s="1"/>
      <c r="M291" s="1"/>
      <c r="N291" s="1"/>
      <c r="O291" s="1"/>
      <c r="P291" s="1"/>
      <c r="Q291" s="1"/>
      <c r="R291" s="1"/>
      <c r="S291" s="1"/>
      <c r="T291" s="1"/>
      <c r="U291" s="1"/>
      <c r="V291" s="1"/>
      <c r="W291" s="1"/>
      <c r="X291" s="1"/>
      <c r="Y291" s="1"/>
      <c r="Z291" s="1"/>
      <c r="AA291" s="1"/>
      <c r="AB291" s="1"/>
    </row>
    <row r="292" ht="50.25" customHeight="1">
      <c r="A292" s="12">
        <v>288.0</v>
      </c>
      <c r="B292" s="13" t="s">
        <v>266</v>
      </c>
      <c r="C292" s="14" t="s">
        <v>295</v>
      </c>
      <c r="D292" s="1"/>
      <c r="E292" s="15"/>
      <c r="F292" s="1" t="str">
        <f>IFERROR(__xludf.DUMMYFUNCTION("GOOGLETRANSLATE(B292, ""en"", ""fa"")
"),"تولید محتوا")</f>
        <v>تولید محتوا</v>
      </c>
      <c r="G292" s="1" t="str">
        <f>IFERROR(__xludf.DUMMYFUNCTION("GOOGLETRANSLATE(C292, ""en"", ""fa"")
"),"مزایای ترکیب عناصر داستان سرایی در کپی بازاریابی را بررسی کنید.")</f>
        <v>مزایای ترکیب عناصر داستان سرایی در کپی بازاریابی را بررسی کنید.</v>
      </c>
      <c r="H292" s="1"/>
      <c r="I292" s="1"/>
      <c r="J292" s="1"/>
      <c r="K292" s="1"/>
      <c r="L292" s="1"/>
      <c r="M292" s="1"/>
      <c r="N292" s="1"/>
      <c r="O292" s="1"/>
      <c r="P292" s="1"/>
      <c r="Q292" s="1"/>
      <c r="R292" s="1"/>
      <c r="S292" s="1"/>
      <c r="T292" s="1"/>
      <c r="U292" s="1"/>
      <c r="V292" s="1"/>
      <c r="W292" s="1"/>
      <c r="X292" s="1"/>
      <c r="Y292" s="1"/>
      <c r="Z292" s="1"/>
      <c r="AA292" s="1"/>
      <c r="AB292" s="1"/>
    </row>
    <row r="293" ht="50.25" customHeight="1">
      <c r="A293" s="12">
        <v>289.0</v>
      </c>
      <c r="B293" s="13" t="s">
        <v>266</v>
      </c>
      <c r="C293" s="14" t="s">
        <v>296</v>
      </c>
      <c r="D293" s="1"/>
      <c r="E293" s="15"/>
      <c r="F293" s="1" t="str">
        <f>IFERROR(__xludf.DUMMYFUNCTION("GOOGLETRANSLATE(B293, ""en"", ""fa"")
"),"تولید محتوا")</f>
        <v>تولید محتوا</v>
      </c>
      <c r="G293" s="1" t="str">
        <f>IFERROR(__xludf.DUMMYFUNCTION("GOOGLETRANSLATE(C293, ""en"", ""fa"")
"),"درباره نقش مدیریت محتوا در ارائه ارزش به مخاطبان خود بحث کنید.")</f>
        <v>درباره نقش مدیریت محتوا در ارائه ارزش به مخاطبان خود بحث کنید.</v>
      </c>
      <c r="H293" s="1"/>
      <c r="I293" s="1"/>
      <c r="J293" s="1"/>
      <c r="K293" s="1"/>
      <c r="L293" s="1"/>
      <c r="M293" s="1"/>
      <c r="N293" s="1"/>
      <c r="O293" s="1"/>
      <c r="P293" s="1"/>
      <c r="Q293" s="1"/>
      <c r="R293" s="1"/>
      <c r="S293" s="1"/>
      <c r="T293" s="1"/>
      <c r="U293" s="1"/>
      <c r="V293" s="1"/>
      <c r="W293" s="1"/>
      <c r="X293" s="1"/>
      <c r="Y293" s="1"/>
      <c r="Z293" s="1"/>
      <c r="AA293" s="1"/>
      <c r="AB293" s="1"/>
    </row>
    <row r="294" ht="50.25" customHeight="1">
      <c r="A294" s="12">
        <v>290.0</v>
      </c>
      <c r="B294" s="13" t="s">
        <v>266</v>
      </c>
      <c r="C294" s="14" t="s">
        <v>297</v>
      </c>
      <c r="D294" s="1"/>
      <c r="E294" s="15"/>
      <c r="F294" s="1" t="str">
        <f>IFERROR(__xludf.DUMMYFUNCTION("GOOGLETRANSLATE(B294, ""en"", ""fa"")
"),"تولید محتوا")</f>
        <v>تولید محتوا</v>
      </c>
      <c r="G294" s="1" t="str">
        <f>IFERROR(__xludf.DUMMYFUNCTION("GOOGLETRANSLATE(C294, ""en"", ""fa"")
"),"نکاتی را برای ایجاد محتوایی به اشتراک بگذارید که جرقه مکالمات معناداری را ایجاد کند و گفتگو را تشویق کند.")</f>
        <v>نکاتی را برای ایجاد محتوایی به اشتراک بگذارید که جرقه مکالمات معناداری را ایجاد کند و گفتگو را تشویق کند.</v>
      </c>
      <c r="H294" s="1"/>
      <c r="I294" s="1"/>
      <c r="J294" s="1"/>
      <c r="K294" s="1"/>
      <c r="L294" s="1"/>
      <c r="M294" s="1"/>
      <c r="N294" s="1"/>
      <c r="O294" s="1"/>
      <c r="P294" s="1"/>
      <c r="Q294" s="1"/>
      <c r="R294" s="1"/>
      <c r="S294" s="1"/>
      <c r="T294" s="1"/>
      <c r="U294" s="1"/>
      <c r="V294" s="1"/>
      <c r="W294" s="1"/>
      <c r="X294" s="1"/>
      <c r="Y294" s="1"/>
      <c r="Z294" s="1"/>
      <c r="AA294" s="1"/>
      <c r="AB294" s="1"/>
    </row>
    <row r="295" ht="50.25" customHeight="1">
      <c r="A295" s="12">
        <v>291.0</v>
      </c>
      <c r="B295" s="13" t="s">
        <v>266</v>
      </c>
      <c r="C295" s="14" t="s">
        <v>298</v>
      </c>
      <c r="D295" s="1"/>
      <c r="E295" s="15"/>
      <c r="F295" s="1" t="str">
        <f>IFERROR(__xludf.DUMMYFUNCTION("GOOGLETRANSLATE(B295, ""en"", ""fa"")
"),"تولید محتوا")</f>
        <v>تولید محتوا</v>
      </c>
      <c r="G295" s="1" t="str">
        <f>IFERROR(__xludf.DUMMYFUNCTION("GOOGLETRANSLATE(C295, ""en"", ""fa"")
"),"به دنیای همکاری های اینفلوئنسرها و اینکه چگونه آنها می توانند دسترسی به محتوای شما را تقویت کنند، بیایید.")</f>
        <v>به دنیای همکاری های اینفلوئنسرها و اینکه چگونه آنها می توانند دسترسی به محتوای شما را تقویت کنند، بیایید.</v>
      </c>
      <c r="H295" s="1"/>
      <c r="I295" s="1"/>
      <c r="J295" s="1"/>
      <c r="K295" s="1"/>
      <c r="L295" s="1"/>
      <c r="M295" s="1"/>
      <c r="N295" s="1"/>
      <c r="O295" s="1"/>
      <c r="P295" s="1"/>
      <c r="Q295" s="1"/>
      <c r="R295" s="1"/>
      <c r="S295" s="1"/>
      <c r="T295" s="1"/>
      <c r="U295" s="1"/>
      <c r="V295" s="1"/>
      <c r="W295" s="1"/>
      <c r="X295" s="1"/>
      <c r="Y295" s="1"/>
      <c r="Z295" s="1"/>
      <c r="AA295" s="1"/>
      <c r="AB295" s="1"/>
    </row>
    <row r="296" ht="50.25" customHeight="1">
      <c r="A296" s="12">
        <v>292.0</v>
      </c>
      <c r="B296" s="13" t="s">
        <v>266</v>
      </c>
      <c r="C296" s="14" t="s">
        <v>299</v>
      </c>
      <c r="D296" s="1"/>
      <c r="E296" s="15"/>
      <c r="F296" s="1" t="str">
        <f>IFERROR(__xludf.DUMMYFUNCTION("GOOGLETRANSLATE(B296, ""en"", ""fa"")
"),"تولید محتوا")</f>
        <v>تولید محتوا</v>
      </c>
      <c r="G296" s="1" t="str">
        <f>IFERROR(__xludf.DUMMYFUNCTION("GOOGLETRANSLATE(C296, ""en"", ""fa"")
"),"درباره استراتژی‌هایی برای بسته‌بندی مجدد محتوای قدیمی و دادن یک چرخش تازه به آن بحث کنید.")</f>
        <v>درباره استراتژی‌هایی برای بسته‌بندی مجدد محتوای قدیمی و دادن یک چرخش تازه به آن بحث کنید.</v>
      </c>
      <c r="H296" s="1"/>
      <c r="I296" s="1"/>
      <c r="J296" s="1"/>
      <c r="K296" s="1"/>
      <c r="L296" s="1"/>
      <c r="M296" s="1"/>
      <c r="N296" s="1"/>
      <c r="O296" s="1"/>
      <c r="P296" s="1"/>
      <c r="Q296" s="1"/>
      <c r="R296" s="1"/>
      <c r="S296" s="1"/>
      <c r="T296" s="1"/>
      <c r="U296" s="1"/>
      <c r="V296" s="1"/>
      <c r="W296" s="1"/>
      <c r="X296" s="1"/>
      <c r="Y296" s="1"/>
      <c r="Z296" s="1"/>
      <c r="AA296" s="1"/>
      <c r="AB296" s="1"/>
    </row>
    <row r="297" ht="50.25" customHeight="1">
      <c r="A297" s="12">
        <v>293.0</v>
      </c>
      <c r="B297" s="13" t="s">
        <v>266</v>
      </c>
      <c r="C297" s="14" t="s">
        <v>300</v>
      </c>
      <c r="D297" s="1"/>
      <c r="E297" s="15"/>
      <c r="F297" s="1" t="str">
        <f>IFERROR(__xludf.DUMMYFUNCTION("GOOGLETRANSLATE(B297, ""en"", ""fa"")
"),"تولید محتوا")</f>
        <v>تولید محتوا</v>
      </c>
      <c r="G297" s="1" t="str">
        <f>IFERROR(__xludf.DUMMYFUNCTION("GOOGLETRANSLATE(C297, ""en"", ""fa"")
"),"مفهوم ستون های محتوا و سازماندهی محتوای خود را بر اساس موضوعات کلیدی کاوش کنید.")</f>
        <v>مفهوم ستون های محتوا و سازماندهی محتوای خود را بر اساس موضوعات کلیدی کاوش کنید.</v>
      </c>
      <c r="H297" s="1"/>
      <c r="I297" s="1"/>
      <c r="J297" s="1"/>
      <c r="K297" s="1"/>
      <c r="L297" s="1"/>
      <c r="M297" s="1"/>
      <c r="N297" s="1"/>
      <c r="O297" s="1"/>
      <c r="P297" s="1"/>
      <c r="Q297" s="1"/>
      <c r="R297" s="1"/>
      <c r="S297" s="1"/>
      <c r="T297" s="1"/>
      <c r="U297" s="1"/>
      <c r="V297" s="1"/>
      <c r="W297" s="1"/>
      <c r="X297" s="1"/>
      <c r="Y297" s="1"/>
      <c r="Z297" s="1"/>
      <c r="AA297" s="1"/>
      <c r="AB297" s="1"/>
    </row>
    <row r="298" ht="50.25" customHeight="1">
      <c r="A298" s="12">
        <v>294.0</v>
      </c>
      <c r="B298" s="13" t="s">
        <v>266</v>
      </c>
      <c r="C298" s="14" t="s">
        <v>301</v>
      </c>
      <c r="D298" s="1"/>
      <c r="E298" s="15"/>
      <c r="F298" s="1" t="str">
        <f>IFERROR(__xludf.DUMMYFUNCTION("GOOGLETRANSLATE(B298, ""en"", ""fa"")
"),"تولید محتوا")</f>
        <v>تولید محتوا</v>
      </c>
      <c r="G298" s="1" t="str">
        <f>IFERROR(__xludf.DUMMYFUNCTION("GOOGLETRANSLATE(C298, ""en"", ""fa"")
"),"نکاتی را برای تصحیح و ویرایش موثر برای اطمینان از محتوای بدون خطا به اشتراک بگذارید.")</f>
        <v>نکاتی را برای تصحیح و ویرایش موثر برای اطمینان از محتوای بدون خطا به اشتراک بگذارید.</v>
      </c>
      <c r="H298" s="1"/>
      <c r="I298" s="1"/>
      <c r="J298" s="1"/>
      <c r="K298" s="1"/>
      <c r="L298" s="1"/>
      <c r="M298" s="1"/>
      <c r="N298" s="1"/>
      <c r="O298" s="1"/>
      <c r="P298" s="1"/>
      <c r="Q298" s="1"/>
      <c r="R298" s="1"/>
      <c r="S298" s="1"/>
      <c r="T298" s="1"/>
      <c r="U298" s="1"/>
      <c r="V298" s="1"/>
      <c r="W298" s="1"/>
      <c r="X298" s="1"/>
      <c r="Y298" s="1"/>
      <c r="Z298" s="1"/>
      <c r="AA298" s="1"/>
      <c r="AB298" s="1"/>
    </row>
    <row r="299" ht="50.25" customHeight="1">
      <c r="A299" s="12">
        <v>295.0</v>
      </c>
      <c r="B299" s="13" t="s">
        <v>266</v>
      </c>
      <c r="C299" s="14" t="s">
        <v>302</v>
      </c>
      <c r="D299" s="1"/>
      <c r="E299" s="15"/>
      <c r="F299" s="1" t="str">
        <f>IFERROR(__xludf.DUMMYFUNCTION("GOOGLETRANSLATE(B299, ""en"", ""fa"")
"),"تولید محتوا")</f>
        <v>تولید محتوا</v>
      </c>
      <c r="G299" s="1" t="str">
        <f>IFERROR(__xludf.DUMMYFUNCTION("GOOGLETRANSLATE(C299, ""en"", ""fa"")
"),"درباره تأثیر عناصر بصری برندسازی، مانند لوگوها و طرح‌های رنگی، بر محتوا بحث کنید.")</f>
        <v>درباره تأثیر عناصر بصری برندسازی، مانند لوگوها و طرح‌های رنگی، بر محتوا بحث کنید.</v>
      </c>
      <c r="H299" s="1"/>
      <c r="I299" s="1"/>
      <c r="J299" s="1"/>
      <c r="K299" s="1"/>
      <c r="L299" s="1"/>
      <c r="M299" s="1"/>
      <c r="N299" s="1"/>
      <c r="O299" s="1"/>
      <c r="P299" s="1"/>
      <c r="Q299" s="1"/>
      <c r="R299" s="1"/>
      <c r="S299" s="1"/>
      <c r="T299" s="1"/>
      <c r="U299" s="1"/>
      <c r="V299" s="1"/>
      <c r="W299" s="1"/>
      <c r="X299" s="1"/>
      <c r="Y299" s="1"/>
      <c r="Z299" s="1"/>
      <c r="AA299" s="1"/>
      <c r="AB299" s="1"/>
    </row>
    <row r="300" ht="50.25" customHeight="1">
      <c r="A300" s="12">
        <v>296.0</v>
      </c>
      <c r="B300" s="13" t="s">
        <v>266</v>
      </c>
      <c r="C300" s="14" t="s">
        <v>303</v>
      </c>
      <c r="D300" s="1"/>
      <c r="E300" s="15"/>
      <c r="F300" s="1" t="str">
        <f>IFERROR(__xludf.DUMMYFUNCTION("GOOGLETRANSLATE(B300, ""en"", ""fa"")
"),"تولید محتوا")</f>
        <v>تولید محتوا</v>
      </c>
      <c r="G300" s="1" t="str">
        <f>IFERROR(__xludf.DUMMYFUNCTION("GOOGLETRANSLATE(C300, ""en"", ""fa"")
"),"مزایای ایجاد خوشه های محتوا را برای ایجاد قدرت موضوعی بررسی کنید.")</f>
        <v>مزایای ایجاد خوشه های محتوا را برای ایجاد قدرت موضوعی بررسی کنید.</v>
      </c>
      <c r="H300" s="1"/>
      <c r="I300" s="1"/>
      <c r="J300" s="1"/>
      <c r="K300" s="1"/>
      <c r="L300" s="1"/>
      <c r="M300" s="1"/>
      <c r="N300" s="1"/>
      <c r="O300" s="1"/>
      <c r="P300" s="1"/>
      <c r="Q300" s="1"/>
      <c r="R300" s="1"/>
      <c r="S300" s="1"/>
      <c r="T300" s="1"/>
      <c r="U300" s="1"/>
      <c r="V300" s="1"/>
      <c r="W300" s="1"/>
      <c r="X300" s="1"/>
      <c r="Y300" s="1"/>
      <c r="Z300" s="1"/>
      <c r="AA300" s="1"/>
      <c r="AB300" s="1"/>
    </row>
    <row r="301" ht="50.25" customHeight="1">
      <c r="A301" s="12">
        <v>297.0</v>
      </c>
      <c r="B301" s="13" t="s">
        <v>266</v>
      </c>
      <c r="C301" s="14" t="s">
        <v>304</v>
      </c>
      <c r="D301" s="1"/>
      <c r="E301" s="15"/>
      <c r="F301" s="1" t="str">
        <f>IFERROR(__xludf.DUMMYFUNCTION("GOOGLETRANSLATE(B301, ""en"", ""fa"")
"),"تولید محتوا")</f>
        <v>تولید محتوا</v>
      </c>
      <c r="G301" s="1" t="str">
        <f>IFERROR(__xludf.DUMMYFUNCTION("GOOGLETRANSLATE(C301, ""en"", ""fa"")
"),"نکاتی را برای گنجاندن تکنیک های داستان سرایی در زیرنویس های رسانه های اجتماعی به اشتراک بگذارید.")</f>
        <v>نکاتی را برای گنجاندن تکنیک های داستان سرایی در زیرنویس های رسانه های اجتماعی به اشتراک بگذارید.</v>
      </c>
      <c r="H301" s="1"/>
      <c r="I301" s="1"/>
      <c r="J301" s="1"/>
      <c r="K301" s="1"/>
      <c r="L301" s="1"/>
      <c r="M301" s="1"/>
      <c r="N301" s="1"/>
      <c r="O301" s="1"/>
      <c r="P301" s="1"/>
      <c r="Q301" s="1"/>
      <c r="R301" s="1"/>
      <c r="S301" s="1"/>
      <c r="T301" s="1"/>
      <c r="U301" s="1"/>
      <c r="V301" s="1"/>
      <c r="W301" s="1"/>
      <c r="X301" s="1"/>
      <c r="Y301" s="1"/>
      <c r="Z301" s="1"/>
      <c r="AA301" s="1"/>
      <c r="AB301" s="1"/>
    </row>
    <row r="302" ht="50.25" customHeight="1">
      <c r="A302" s="12">
        <v>298.0</v>
      </c>
      <c r="B302" s="13" t="s">
        <v>266</v>
      </c>
      <c r="C302" s="14" t="s">
        <v>305</v>
      </c>
      <c r="D302" s="1"/>
      <c r="E302" s="15"/>
      <c r="F302" s="1" t="str">
        <f>IFERROR(__xludf.DUMMYFUNCTION("GOOGLETRANSLATE(B302, ""en"", ""fa"")
"),"تولید محتوا")</f>
        <v>تولید محتوا</v>
      </c>
      <c r="G302" s="1" t="str">
        <f>IFERROR(__xludf.DUMMYFUNCTION("GOOGLETRANSLATE(C302, ""en"", ""fa"")
"),"در مورد نقش احساسات در ایجاد محتوای ویروسی که با مخاطبان گسترده ای طنین انداز می شود بحث کنید.")</f>
        <v>در مورد نقش احساسات در ایجاد محتوای ویروسی که با مخاطبان گسترده ای طنین انداز می شود بحث کنید.</v>
      </c>
      <c r="H302" s="1"/>
      <c r="I302" s="1"/>
      <c r="J302" s="1"/>
      <c r="K302" s="1"/>
      <c r="L302" s="1"/>
      <c r="M302" s="1"/>
      <c r="N302" s="1"/>
      <c r="O302" s="1"/>
      <c r="P302" s="1"/>
      <c r="Q302" s="1"/>
      <c r="R302" s="1"/>
      <c r="S302" s="1"/>
      <c r="T302" s="1"/>
      <c r="U302" s="1"/>
      <c r="V302" s="1"/>
      <c r="W302" s="1"/>
      <c r="X302" s="1"/>
      <c r="Y302" s="1"/>
      <c r="Z302" s="1"/>
      <c r="AA302" s="1"/>
      <c r="AB302" s="1"/>
    </row>
    <row r="303" ht="50.25" customHeight="1">
      <c r="A303" s="12">
        <v>299.0</v>
      </c>
      <c r="B303" s="13" t="s">
        <v>266</v>
      </c>
      <c r="C303" s="14" t="s">
        <v>306</v>
      </c>
      <c r="D303" s="1"/>
      <c r="E303" s="15"/>
      <c r="F303" s="1" t="str">
        <f>IFERROR(__xludf.DUMMYFUNCTION("GOOGLETRANSLATE(B303, ""en"", ""fa"")
"),"تولید محتوا")</f>
        <v>تولید محتوا</v>
      </c>
      <c r="G303" s="1" t="str">
        <f>IFERROR(__xludf.DUMMYFUNCTION("GOOGLETRANSLATE(C303, ""en"", ""fa"")
"),"تأثیر طراحی تجربه کاربر (UX) بر مصرف محتوا و تعامل را بررسی کنید.")</f>
        <v>تأثیر طراحی تجربه کاربر (UX) بر مصرف محتوا و تعامل را بررسی کنید.</v>
      </c>
      <c r="H303" s="1"/>
      <c r="I303" s="1"/>
      <c r="J303" s="1"/>
      <c r="K303" s="1"/>
      <c r="L303" s="1"/>
      <c r="M303" s="1"/>
      <c r="N303" s="1"/>
      <c r="O303" s="1"/>
      <c r="P303" s="1"/>
      <c r="Q303" s="1"/>
      <c r="R303" s="1"/>
      <c r="S303" s="1"/>
      <c r="T303" s="1"/>
      <c r="U303" s="1"/>
      <c r="V303" s="1"/>
      <c r="W303" s="1"/>
      <c r="X303" s="1"/>
      <c r="Y303" s="1"/>
      <c r="Z303" s="1"/>
      <c r="AA303" s="1"/>
      <c r="AB303" s="1"/>
    </row>
    <row r="304" ht="50.25" customHeight="1">
      <c r="A304" s="12">
        <v>300.0</v>
      </c>
      <c r="B304" s="13" t="s">
        <v>266</v>
      </c>
      <c r="C304" s="14" t="s">
        <v>307</v>
      </c>
      <c r="D304" s="1"/>
      <c r="E304" s="15"/>
      <c r="F304" s="1" t="str">
        <f>IFERROR(__xludf.DUMMYFUNCTION("GOOGLETRANSLATE(B304, ""en"", ""fa"")
"),"تولید محتوا")</f>
        <v>تولید محتوا</v>
      </c>
      <c r="G304" s="1" t="str">
        <f>IFERROR(__xludf.DUMMYFUNCTION("GOOGLETRANSLATE(C304, ""en"", ""fa"")
"),"استراتژی‌هایی را برای استفاده مجدد از محتوای طولانی در قالب‌های کوچک برای رسانه‌های اجتماعی به اشتراک بگذارید.")</f>
        <v>استراتژی‌هایی را برای استفاده مجدد از محتوای طولانی در قالب‌های کوچک برای رسانه‌های اجتماعی به اشتراک بگذارید.</v>
      </c>
      <c r="H304" s="1"/>
      <c r="I304" s="1"/>
      <c r="J304" s="1"/>
      <c r="K304" s="1"/>
      <c r="L304" s="1"/>
      <c r="M304" s="1"/>
      <c r="N304" s="1"/>
      <c r="O304" s="1"/>
      <c r="P304" s="1"/>
      <c r="Q304" s="1"/>
      <c r="R304" s="1"/>
      <c r="S304" s="1"/>
      <c r="T304" s="1"/>
      <c r="U304" s="1"/>
      <c r="V304" s="1"/>
      <c r="W304" s="1"/>
      <c r="X304" s="1"/>
      <c r="Y304" s="1"/>
      <c r="Z304" s="1"/>
      <c r="AA304" s="1"/>
      <c r="AB304" s="1"/>
    </row>
    <row r="305" ht="50.25" customHeight="1">
      <c r="A305" s="12">
        <v>301.0</v>
      </c>
      <c r="B305" s="13" t="s">
        <v>266</v>
      </c>
      <c r="C305" s="14" t="s">
        <v>308</v>
      </c>
      <c r="D305" s="1"/>
      <c r="E305" s="15"/>
      <c r="F305" s="1" t="str">
        <f>IFERROR(__xludf.DUMMYFUNCTION("GOOGLETRANSLATE(B305, ""en"", ""fa"")
"),"تولید محتوا")</f>
        <v>تولید محتوا</v>
      </c>
      <c r="G305" s="1" t="str">
        <f>IFERROR(__xludf.DUMMYFUNCTION("GOOGLETRANSLATE(C305, ""en"", ""fa"")
"),"در مورد مزایای ترکیب داده ها و آمار برای حمایت از ادعاهای محتوای خود بحث کنید.")</f>
        <v>در مورد مزایای ترکیب داده ها و آمار برای حمایت از ادعاهای محتوای خود بحث کنید.</v>
      </c>
      <c r="H305" s="1"/>
      <c r="I305" s="1"/>
      <c r="J305" s="1"/>
      <c r="K305" s="1"/>
      <c r="L305" s="1"/>
      <c r="M305" s="1"/>
      <c r="N305" s="1"/>
      <c r="O305" s="1"/>
      <c r="P305" s="1"/>
      <c r="Q305" s="1"/>
      <c r="R305" s="1"/>
      <c r="S305" s="1"/>
      <c r="T305" s="1"/>
      <c r="U305" s="1"/>
      <c r="V305" s="1"/>
      <c r="W305" s="1"/>
      <c r="X305" s="1"/>
      <c r="Y305" s="1"/>
      <c r="Z305" s="1"/>
      <c r="AA305" s="1"/>
      <c r="AB305" s="1"/>
    </row>
    <row r="306" ht="50.25" customHeight="1">
      <c r="A306" s="12">
        <v>302.0</v>
      </c>
      <c r="B306" s="13" t="s">
        <v>266</v>
      </c>
      <c r="C306" s="14" t="s">
        <v>309</v>
      </c>
      <c r="D306" s="1"/>
      <c r="E306" s="15"/>
      <c r="F306" s="1" t="str">
        <f>IFERROR(__xludf.DUMMYFUNCTION("GOOGLETRANSLATE(B306, ""en"", ""fa"")
"),"تولید محتوا")</f>
        <v>تولید محتوا</v>
      </c>
      <c r="G306" s="1" t="str">
        <f>IFERROR(__xludf.DUMMYFUNCTION("GOOGLETRANSLATE(C306, ""en"", ""fa"")
"),"نقش مشارکت ها و همکاری های محتوا را در گسترش دامنه دسترسی خود کاوش کنید.")</f>
        <v>نقش مشارکت ها و همکاری های محتوا را در گسترش دامنه دسترسی خود کاوش کنید.</v>
      </c>
      <c r="H306" s="1"/>
      <c r="I306" s="1"/>
      <c r="J306" s="1"/>
      <c r="K306" s="1"/>
      <c r="L306" s="1"/>
      <c r="M306" s="1"/>
      <c r="N306" s="1"/>
      <c r="O306" s="1"/>
      <c r="P306" s="1"/>
      <c r="Q306" s="1"/>
      <c r="R306" s="1"/>
      <c r="S306" s="1"/>
      <c r="T306" s="1"/>
      <c r="U306" s="1"/>
      <c r="V306" s="1"/>
      <c r="W306" s="1"/>
      <c r="X306" s="1"/>
      <c r="Y306" s="1"/>
      <c r="Z306" s="1"/>
      <c r="AA306" s="1"/>
      <c r="AB306" s="1"/>
    </row>
    <row r="307" ht="50.25" customHeight="1">
      <c r="A307" s="12">
        <v>303.0</v>
      </c>
      <c r="B307" s="13" t="s">
        <v>266</v>
      </c>
      <c r="C307" s="14" t="s">
        <v>310</v>
      </c>
      <c r="D307" s="1"/>
      <c r="E307" s="15"/>
      <c r="F307" s="1" t="str">
        <f>IFERROR(__xludf.DUMMYFUNCTION("GOOGLETRANSLATE(B307, ""en"", ""fa"")
"),"تولید محتوا")</f>
        <v>تولید محتوا</v>
      </c>
      <c r="G307" s="1" t="str">
        <f>IFERROR(__xludf.DUMMYFUNCTION("GOOGLETRANSLATE(C307, ""en"", ""fa"")
"),"نکاتی را برای ایجاد محتوایی به اشتراک بگذارید که به مشکلات و چالش های مخاطبان شما می پردازد.")</f>
        <v>نکاتی را برای ایجاد محتوایی به اشتراک بگذارید که به مشکلات و چالش های مخاطبان شما می پردازد.</v>
      </c>
      <c r="H307" s="1"/>
      <c r="I307" s="1"/>
      <c r="J307" s="1"/>
      <c r="K307" s="1"/>
      <c r="L307" s="1"/>
      <c r="M307" s="1"/>
      <c r="N307" s="1"/>
      <c r="O307" s="1"/>
      <c r="P307" s="1"/>
      <c r="Q307" s="1"/>
      <c r="R307" s="1"/>
      <c r="S307" s="1"/>
      <c r="T307" s="1"/>
      <c r="U307" s="1"/>
      <c r="V307" s="1"/>
      <c r="W307" s="1"/>
      <c r="X307" s="1"/>
      <c r="Y307" s="1"/>
      <c r="Z307" s="1"/>
      <c r="AA307" s="1"/>
      <c r="AB307" s="1"/>
    </row>
    <row r="308" ht="50.25" customHeight="1">
      <c r="A308" s="12">
        <v>304.0</v>
      </c>
      <c r="B308" s="13" t="s">
        <v>266</v>
      </c>
      <c r="C308" s="14" t="s">
        <v>311</v>
      </c>
      <c r="D308" s="1"/>
      <c r="E308" s="15"/>
      <c r="F308" s="1" t="str">
        <f>IFERROR(__xludf.DUMMYFUNCTION("GOOGLETRANSLATE(B308, ""en"", ""fa"")
"),"تولید محتوا")</f>
        <v>تولید محتوا</v>
      </c>
      <c r="G308" s="1" t="str">
        <f>IFERROR(__xludf.DUMMYFUNCTION("GOOGLETRANSLATE(C308, ""en"", ""fa"")
"),"در مورد اهمیت کانال های توزیع محتوا فراتر از پلتفرم های رسانه های اجتماعی سنتی بحث کنید.")</f>
        <v>در مورد اهمیت کانال های توزیع محتوا فراتر از پلتفرم های رسانه های اجتماعی سنتی بحث کنید.</v>
      </c>
      <c r="H308" s="1"/>
      <c r="I308" s="1"/>
      <c r="J308" s="1"/>
      <c r="K308" s="1"/>
      <c r="L308" s="1"/>
      <c r="M308" s="1"/>
      <c r="N308" s="1"/>
      <c r="O308" s="1"/>
      <c r="P308" s="1"/>
      <c r="Q308" s="1"/>
      <c r="R308" s="1"/>
      <c r="S308" s="1"/>
      <c r="T308" s="1"/>
      <c r="U308" s="1"/>
      <c r="V308" s="1"/>
      <c r="W308" s="1"/>
      <c r="X308" s="1"/>
      <c r="Y308" s="1"/>
      <c r="Z308" s="1"/>
      <c r="AA308" s="1"/>
      <c r="AB308" s="1"/>
    </row>
    <row r="309" ht="50.25" customHeight="1">
      <c r="A309" s="12">
        <v>305.0</v>
      </c>
      <c r="B309" s="13" t="s">
        <v>266</v>
      </c>
      <c r="C309" s="14" t="s">
        <v>312</v>
      </c>
      <c r="D309" s="1"/>
      <c r="E309" s="15"/>
      <c r="F309" s="1" t="str">
        <f>IFERROR(__xludf.DUMMYFUNCTION("GOOGLETRANSLATE(B309, ""en"", ""fa"")
"),"تولید محتوا")</f>
        <v>تولید محتوا</v>
      </c>
      <c r="G309" s="1" t="str">
        <f>IFERROR(__xludf.DUMMYFUNCTION("GOOGLETRANSLATE(C309, ""en"", ""fa"")
"),"مزایای ترکیب عناصر چندرسانه ای، مانند ویدئوها و تصاویر، در پست های وبلاگ را بررسی کنید.")</f>
        <v>مزایای ترکیب عناصر چندرسانه ای، مانند ویدئوها و تصاویر، در پست های وبلاگ را بررسی کنید.</v>
      </c>
      <c r="H309" s="1"/>
      <c r="I309" s="1"/>
      <c r="J309" s="1"/>
      <c r="K309" s="1"/>
      <c r="L309" s="1"/>
      <c r="M309" s="1"/>
      <c r="N309" s="1"/>
      <c r="O309" s="1"/>
      <c r="P309" s="1"/>
      <c r="Q309" s="1"/>
      <c r="R309" s="1"/>
      <c r="S309" s="1"/>
      <c r="T309" s="1"/>
      <c r="U309" s="1"/>
      <c r="V309" s="1"/>
      <c r="W309" s="1"/>
      <c r="X309" s="1"/>
      <c r="Y309" s="1"/>
      <c r="Z309" s="1"/>
      <c r="AA309" s="1"/>
      <c r="AB309" s="1"/>
    </row>
    <row r="310" ht="50.25" customHeight="1">
      <c r="A310" s="12">
        <v>306.0</v>
      </c>
      <c r="B310" s="13" t="s">
        <v>266</v>
      </c>
      <c r="C310" s="14" t="s">
        <v>313</v>
      </c>
      <c r="D310" s="1"/>
      <c r="E310" s="15"/>
      <c r="F310" s="1" t="str">
        <f>IFERROR(__xludf.DUMMYFUNCTION("GOOGLETRANSLATE(B310, ""en"", ""fa"")
"),"تولید محتوا")</f>
        <v>تولید محتوا</v>
      </c>
      <c r="G310" s="1" t="str">
        <f>IFERROR(__xludf.DUMMYFUNCTION("GOOGLETRANSLATE(C310, ""en"", ""fa"")
"),"استراتژی هایی برای ایجاد محتوایی که مخاطبان شما را آموزش می دهد و توانمند می کند به اشتراک بگذارید.")</f>
        <v>استراتژی هایی برای ایجاد محتوایی که مخاطبان شما را آموزش می دهد و توانمند می کند به اشتراک بگذارید.</v>
      </c>
      <c r="H310" s="1"/>
      <c r="I310" s="1"/>
      <c r="J310" s="1"/>
      <c r="K310" s="1"/>
      <c r="L310" s="1"/>
      <c r="M310" s="1"/>
      <c r="N310" s="1"/>
      <c r="O310" s="1"/>
      <c r="P310" s="1"/>
      <c r="Q310" s="1"/>
      <c r="R310" s="1"/>
      <c r="S310" s="1"/>
      <c r="T310" s="1"/>
      <c r="U310" s="1"/>
      <c r="V310" s="1"/>
      <c r="W310" s="1"/>
      <c r="X310" s="1"/>
      <c r="Y310" s="1"/>
      <c r="Z310" s="1"/>
      <c r="AA310" s="1"/>
      <c r="AB310" s="1"/>
    </row>
    <row r="311" ht="50.25" customHeight="1">
      <c r="A311" s="12">
        <v>307.0</v>
      </c>
      <c r="B311" s="13" t="s">
        <v>266</v>
      </c>
      <c r="C311" s="14" t="s">
        <v>314</v>
      </c>
      <c r="D311" s="1"/>
      <c r="E311" s="15"/>
      <c r="F311" s="1" t="str">
        <f>IFERROR(__xludf.DUMMYFUNCTION("GOOGLETRANSLATE(B311, ""en"", ""fa"")
"),"تولید محتوا")</f>
        <v>تولید محتوا</v>
      </c>
      <c r="G311" s="1" t="str">
        <f>IFERROR(__xludf.DUMMYFUNCTION("GOOGLETRANSLATE(C311, ""en"", ""fa"")
"),"درباره تأثیر شخصی سازی در تولید محتوا و تنظیم محتوا با ترجیحات فردی بحث کنید.")</f>
        <v>درباره تأثیر شخصی سازی در تولید محتوا و تنظیم محتوا با ترجیحات فردی بحث کنید.</v>
      </c>
      <c r="H311" s="1"/>
      <c r="I311" s="1"/>
      <c r="J311" s="1"/>
      <c r="K311" s="1"/>
      <c r="L311" s="1"/>
      <c r="M311" s="1"/>
      <c r="N311" s="1"/>
      <c r="O311" s="1"/>
      <c r="P311" s="1"/>
      <c r="Q311" s="1"/>
      <c r="R311" s="1"/>
      <c r="S311" s="1"/>
      <c r="T311" s="1"/>
      <c r="U311" s="1"/>
      <c r="V311" s="1"/>
      <c r="W311" s="1"/>
      <c r="X311" s="1"/>
      <c r="Y311" s="1"/>
      <c r="Z311" s="1"/>
      <c r="AA311" s="1"/>
      <c r="AB311" s="1"/>
    </row>
    <row r="312" ht="50.25" customHeight="1">
      <c r="A312" s="12">
        <v>308.0</v>
      </c>
      <c r="B312" s="13" t="s">
        <v>266</v>
      </c>
      <c r="C312" s="14" t="s">
        <v>315</v>
      </c>
      <c r="D312" s="1"/>
      <c r="E312" s="15"/>
      <c r="F312" s="1" t="str">
        <f>IFERROR(__xludf.DUMMYFUNCTION("GOOGLETRANSLATE(B312, ""en"", ""fa"")
"),"تولید محتوا")</f>
        <v>تولید محتوا</v>
      </c>
      <c r="G312" s="1" t="str">
        <f>IFERROR(__xludf.DUMMYFUNCTION("GOOGLETRANSLATE(C312, ""en"", ""fa"")
"),"مزایای استفاده مجدد از محتوای تولید شده توسط کاربر را به عنوان گواهینامه و اثبات اجتماعی کاوش کنید.")</f>
        <v>مزایای استفاده مجدد از محتوای تولید شده توسط کاربر را به عنوان گواهینامه و اثبات اجتماعی کاوش کنید.</v>
      </c>
      <c r="H312" s="1"/>
      <c r="I312" s="1"/>
      <c r="J312" s="1"/>
      <c r="K312" s="1"/>
      <c r="L312" s="1"/>
      <c r="M312" s="1"/>
      <c r="N312" s="1"/>
      <c r="O312" s="1"/>
      <c r="P312" s="1"/>
      <c r="Q312" s="1"/>
      <c r="R312" s="1"/>
      <c r="S312" s="1"/>
      <c r="T312" s="1"/>
      <c r="U312" s="1"/>
      <c r="V312" s="1"/>
      <c r="W312" s="1"/>
      <c r="X312" s="1"/>
      <c r="Y312" s="1"/>
      <c r="Z312" s="1"/>
      <c r="AA312" s="1"/>
      <c r="AB312" s="1"/>
    </row>
    <row r="313" ht="50.25" customHeight="1">
      <c r="A313" s="12">
        <v>309.0</v>
      </c>
      <c r="B313" s="13" t="s">
        <v>266</v>
      </c>
      <c r="C313" s="14" t="s">
        <v>316</v>
      </c>
      <c r="D313" s="1"/>
      <c r="E313" s="15"/>
      <c r="F313" s="1" t="str">
        <f>IFERROR(__xludf.DUMMYFUNCTION("GOOGLETRANSLATE(B313, ""en"", ""fa"")
"),"تولید محتوا")</f>
        <v>تولید محتوا</v>
      </c>
      <c r="G313" s="1" t="str">
        <f>IFERROR(__xludf.DUMMYFUNCTION("GOOGLETRANSLATE(C313, ""en"", ""fa"")
"),"نکاتی را برای قرار دادن موثر تماس برای اقدام (CTA) به اشتراک بگذارید تا اقدامات دلخواه را از مخاطبان خود هدایت کنید.")</f>
        <v>نکاتی را برای قرار دادن موثر تماس برای اقدام (CTA) به اشتراک بگذارید تا اقدامات دلخواه را از مخاطبان خود هدایت کنید.</v>
      </c>
      <c r="H313" s="1"/>
      <c r="I313" s="1"/>
      <c r="J313" s="1"/>
      <c r="K313" s="1"/>
      <c r="L313" s="1"/>
      <c r="M313" s="1"/>
      <c r="N313" s="1"/>
      <c r="O313" s="1"/>
      <c r="P313" s="1"/>
      <c r="Q313" s="1"/>
      <c r="R313" s="1"/>
      <c r="S313" s="1"/>
      <c r="T313" s="1"/>
      <c r="U313" s="1"/>
      <c r="V313" s="1"/>
      <c r="W313" s="1"/>
      <c r="X313" s="1"/>
      <c r="Y313" s="1"/>
      <c r="Z313" s="1"/>
      <c r="AA313" s="1"/>
      <c r="AB313" s="1"/>
    </row>
    <row r="314" ht="50.25" customHeight="1">
      <c r="A314" s="12">
        <v>310.0</v>
      </c>
      <c r="B314" s="13" t="s">
        <v>266</v>
      </c>
      <c r="C314" s="14" t="s">
        <v>317</v>
      </c>
      <c r="D314" s="1"/>
      <c r="E314" s="15"/>
      <c r="F314" s="1" t="str">
        <f>IFERROR(__xludf.DUMMYFUNCTION("GOOGLETRANSLATE(B314, ""en"", ""fa"")
"),"تولید محتوا")</f>
        <v>تولید محتوا</v>
      </c>
      <c r="G314" s="1" t="str">
        <f>IFERROR(__xludf.DUMMYFUNCTION("GOOGLETRANSLATE(C314, ""en"", ""fa"")
"),"در مورد نقش همدلی در ایجاد محتوایی که با مخاطبان شما ارتباط برقرار می کند بحث کنید.")</f>
        <v>در مورد نقش همدلی در ایجاد محتوایی که با مخاطبان شما ارتباط برقرار می کند بحث کنید.</v>
      </c>
      <c r="H314" s="1"/>
      <c r="I314" s="1"/>
      <c r="J314" s="1"/>
      <c r="K314" s="1"/>
      <c r="L314" s="1"/>
      <c r="M314" s="1"/>
      <c r="N314" s="1"/>
      <c r="O314" s="1"/>
      <c r="P314" s="1"/>
      <c r="Q314" s="1"/>
      <c r="R314" s="1"/>
      <c r="S314" s="1"/>
      <c r="T314" s="1"/>
      <c r="U314" s="1"/>
      <c r="V314" s="1"/>
      <c r="W314" s="1"/>
      <c r="X314" s="1"/>
      <c r="Y314" s="1"/>
      <c r="Z314" s="1"/>
      <c r="AA314" s="1"/>
      <c r="AB314" s="1"/>
    </row>
    <row r="315" ht="50.25" customHeight="1">
      <c r="A315" s="12">
        <v>311.0</v>
      </c>
      <c r="B315" s="13" t="s">
        <v>266</v>
      </c>
      <c r="C315" s="14" t="s">
        <v>318</v>
      </c>
      <c r="D315" s="1"/>
      <c r="E315" s="15"/>
      <c r="F315" s="1" t="str">
        <f>IFERROR(__xludf.DUMMYFUNCTION("GOOGLETRANSLATE(B315, ""en"", ""fa"")
"),"تولید محتوا")</f>
        <v>تولید محتوا</v>
      </c>
      <c r="G315" s="1" t="str">
        <f>IFERROR(__xludf.DUMMYFUNCTION("GOOGLETRANSLATE(C315, ""en"", ""fa"")
"),"نکاتی را برای ایجاد داستان سرایی جذاب در داستان اصلی برند خود به اشتراک بگذارید.")</f>
        <v>نکاتی را برای ایجاد داستان سرایی جذاب در داستان اصلی برند خود به اشتراک بگذارید.</v>
      </c>
      <c r="H315" s="1"/>
      <c r="I315" s="1"/>
      <c r="J315" s="1"/>
      <c r="K315" s="1"/>
      <c r="L315" s="1"/>
      <c r="M315" s="1"/>
      <c r="N315" s="1"/>
      <c r="O315" s="1"/>
      <c r="P315" s="1"/>
      <c r="Q315" s="1"/>
      <c r="R315" s="1"/>
      <c r="S315" s="1"/>
      <c r="T315" s="1"/>
      <c r="U315" s="1"/>
      <c r="V315" s="1"/>
      <c r="W315" s="1"/>
      <c r="X315" s="1"/>
      <c r="Y315" s="1"/>
      <c r="Z315" s="1"/>
      <c r="AA315" s="1"/>
      <c r="AB315" s="1"/>
    </row>
    <row r="316" ht="50.25" customHeight="1">
      <c r="A316" s="12">
        <v>312.0</v>
      </c>
      <c r="B316" s="13" t="s">
        <v>266</v>
      </c>
      <c r="C316" s="14" t="s">
        <v>319</v>
      </c>
      <c r="D316" s="1"/>
      <c r="E316" s="15"/>
      <c r="F316" s="1" t="str">
        <f>IFERROR(__xludf.DUMMYFUNCTION("GOOGLETRANSLATE(B316, ""en"", ""fa"")
"),"تولید محتوا")</f>
        <v>تولید محتوا</v>
      </c>
      <c r="G316" s="1" t="str">
        <f>IFERROR(__xludf.DUMMYFUNCTION("GOOGLETRANSLATE(C316, ""en"", ""fa"")
"),"مفهوم بومی سازی محتوا و تطبیق پیام خود را با فرهنگ های مختلف کاوش کنید.")</f>
        <v>مفهوم بومی سازی محتوا و تطبیق پیام خود را با فرهنگ های مختلف کاوش کنید.</v>
      </c>
      <c r="H316" s="1"/>
      <c r="I316" s="1"/>
      <c r="J316" s="1"/>
      <c r="K316" s="1"/>
      <c r="L316" s="1"/>
      <c r="M316" s="1"/>
      <c r="N316" s="1"/>
      <c r="O316" s="1"/>
      <c r="P316" s="1"/>
      <c r="Q316" s="1"/>
      <c r="R316" s="1"/>
      <c r="S316" s="1"/>
      <c r="T316" s="1"/>
      <c r="U316" s="1"/>
      <c r="V316" s="1"/>
      <c r="W316" s="1"/>
      <c r="X316" s="1"/>
      <c r="Y316" s="1"/>
      <c r="Z316" s="1"/>
      <c r="AA316" s="1"/>
      <c r="AB316" s="1"/>
    </row>
    <row r="317" ht="50.25" customHeight="1">
      <c r="A317" s="12">
        <v>313.0</v>
      </c>
      <c r="B317" s="13" t="s">
        <v>266</v>
      </c>
      <c r="C317" s="14" t="s">
        <v>320</v>
      </c>
      <c r="D317" s="1"/>
      <c r="E317" s="15"/>
      <c r="F317" s="1" t="str">
        <f>IFERROR(__xludf.DUMMYFUNCTION("GOOGLETRANSLATE(B317, ""en"", ""fa"")
"),"تولید محتوا")</f>
        <v>تولید محتوا</v>
      </c>
      <c r="G317" s="1" t="str">
        <f>IFERROR(__xludf.DUMMYFUNCTION("GOOGLETRANSLATE(C317, ""en"", ""fa"")
"),"در مورد مزایای انجام نظرسنجی ها و نظرسنجی ها برای جمع آوری بینش مخاطبان برای تولید محتوا بحث کنید.")</f>
        <v>در مورد مزایای انجام نظرسنجی ها و نظرسنجی ها برای جمع آوری بینش مخاطبان برای تولید محتوا بحث کنید.</v>
      </c>
      <c r="H317" s="1"/>
      <c r="I317" s="1"/>
      <c r="J317" s="1"/>
      <c r="K317" s="1"/>
      <c r="L317" s="1"/>
      <c r="M317" s="1"/>
      <c r="N317" s="1"/>
      <c r="O317" s="1"/>
      <c r="P317" s="1"/>
      <c r="Q317" s="1"/>
      <c r="R317" s="1"/>
      <c r="S317" s="1"/>
      <c r="T317" s="1"/>
      <c r="U317" s="1"/>
      <c r="V317" s="1"/>
      <c r="W317" s="1"/>
      <c r="X317" s="1"/>
      <c r="Y317" s="1"/>
      <c r="Z317" s="1"/>
      <c r="AA317" s="1"/>
      <c r="AB317" s="1"/>
    </row>
    <row r="318" ht="50.25" customHeight="1">
      <c r="A318" s="12">
        <v>314.0</v>
      </c>
      <c r="B318" s="13" t="s">
        <v>266</v>
      </c>
      <c r="C318" s="14" t="s">
        <v>321</v>
      </c>
      <c r="D318" s="1"/>
      <c r="E318" s="15"/>
      <c r="F318" s="1" t="str">
        <f>IFERROR(__xludf.DUMMYFUNCTION("GOOGLETRANSLATE(B318, ""en"", ""fa"")
"),"تولید محتوا")</f>
        <v>تولید محتوا</v>
      </c>
      <c r="G318" s="1" t="str">
        <f>IFERROR(__xludf.DUMMYFUNCTION("GOOGLETRANSLATE(C318, ""en"", ""fa"")
"),"استراتژی هایی را برای استفاده از محتوای تولید شده توسط کاربر به عنوان اثبات اجتماعی در تلاش های بازاریابی خود به اشتراک بگذارید.")</f>
        <v>استراتژی هایی را برای استفاده از محتوای تولید شده توسط کاربر به عنوان اثبات اجتماعی در تلاش های بازاریابی خود به اشتراک بگذارید.</v>
      </c>
      <c r="H318" s="1"/>
      <c r="I318" s="1"/>
      <c r="J318" s="1"/>
      <c r="K318" s="1"/>
      <c r="L318" s="1"/>
      <c r="M318" s="1"/>
      <c r="N318" s="1"/>
      <c r="O318" s="1"/>
      <c r="P318" s="1"/>
      <c r="Q318" s="1"/>
      <c r="R318" s="1"/>
      <c r="S318" s="1"/>
      <c r="T318" s="1"/>
      <c r="U318" s="1"/>
      <c r="V318" s="1"/>
      <c r="W318" s="1"/>
      <c r="X318" s="1"/>
      <c r="Y318" s="1"/>
      <c r="Z318" s="1"/>
      <c r="AA318" s="1"/>
      <c r="AB318" s="1"/>
    </row>
    <row r="319" ht="50.25" customHeight="1">
      <c r="A319" s="12">
        <v>315.0</v>
      </c>
      <c r="B319" s="13" t="s">
        <v>266</v>
      </c>
      <c r="C319" s="14" t="s">
        <v>322</v>
      </c>
      <c r="D319" s="1"/>
      <c r="E319" s="15"/>
      <c r="F319" s="1" t="str">
        <f>IFERROR(__xludf.DUMMYFUNCTION("GOOGLETRANSLATE(B319, ""en"", ""fa"")
"),"تولید محتوا")</f>
        <v>تولید محتوا</v>
      </c>
      <c r="G319" s="1" t="str">
        <f>IFERROR(__xludf.DUMMYFUNCTION("GOOGLETRANSLATE(C319, ""en"", ""fa"")
"),"تأثیر داستان سرایی احساسی در محتوای غیرانتفاعی و مرتبط با علت را بررسی کنید.")</f>
        <v>تأثیر داستان سرایی احساسی در محتوای غیرانتفاعی و مرتبط با علت را بررسی کنید.</v>
      </c>
      <c r="H319" s="1"/>
      <c r="I319" s="1"/>
      <c r="J319" s="1"/>
      <c r="K319" s="1"/>
      <c r="L319" s="1"/>
      <c r="M319" s="1"/>
      <c r="N319" s="1"/>
      <c r="O319" s="1"/>
      <c r="P319" s="1"/>
      <c r="Q319" s="1"/>
      <c r="R319" s="1"/>
      <c r="S319" s="1"/>
      <c r="T319" s="1"/>
      <c r="U319" s="1"/>
      <c r="V319" s="1"/>
      <c r="W319" s="1"/>
      <c r="X319" s="1"/>
      <c r="Y319" s="1"/>
      <c r="Z319" s="1"/>
      <c r="AA319" s="1"/>
      <c r="AB319" s="1"/>
    </row>
    <row r="320" ht="50.25" customHeight="1">
      <c r="A320" s="12">
        <v>316.0</v>
      </c>
      <c r="B320" s="13" t="s">
        <v>266</v>
      </c>
      <c r="C320" s="14" t="s">
        <v>323</v>
      </c>
      <c r="D320" s="1"/>
      <c r="E320" s="15"/>
      <c r="F320" s="1" t="str">
        <f>IFERROR(__xludf.DUMMYFUNCTION("GOOGLETRANSLATE(B320, ""en"", ""fa"")
"),"تولید محتوا")</f>
        <v>تولید محتوا</v>
      </c>
      <c r="G320" s="1" t="str">
        <f>IFERROR(__xludf.DUMMYFUNCTION("GOOGLETRANSLATE(C320, ""en"", ""fa"")
"),"در مورد مزایای گنجاندن شوخ طبعی و سبک دلی در محتوای خود بحث کنید.")</f>
        <v>در مورد مزایای گنجاندن شوخ طبعی و سبک دلی در محتوای خود بحث کنید.</v>
      </c>
      <c r="H320" s="1"/>
      <c r="I320" s="1"/>
      <c r="J320" s="1"/>
      <c r="K320" s="1"/>
      <c r="L320" s="1"/>
      <c r="M320" s="1"/>
      <c r="N320" s="1"/>
      <c r="O320" s="1"/>
      <c r="P320" s="1"/>
      <c r="Q320" s="1"/>
      <c r="R320" s="1"/>
      <c r="S320" s="1"/>
      <c r="T320" s="1"/>
      <c r="U320" s="1"/>
      <c r="V320" s="1"/>
      <c r="W320" s="1"/>
      <c r="X320" s="1"/>
      <c r="Y320" s="1"/>
      <c r="Z320" s="1"/>
      <c r="AA320" s="1"/>
      <c r="AB320" s="1"/>
    </row>
    <row r="321" ht="50.25" customHeight="1">
      <c r="A321" s="12">
        <v>317.0</v>
      </c>
      <c r="B321" s="13" t="s">
        <v>266</v>
      </c>
      <c r="C321" s="14" t="s">
        <v>324</v>
      </c>
      <c r="D321" s="1"/>
      <c r="E321" s="15"/>
      <c r="F321" s="1" t="str">
        <f>IFERROR(__xludf.DUMMYFUNCTION("GOOGLETRANSLATE(B321, ""en"", ""fa"")
"),"تولید محتوا")</f>
        <v>تولید محتوا</v>
      </c>
      <c r="G321" s="1" t="str">
        <f>IFERROR(__xludf.DUMMYFUNCTION("GOOGLETRANSLATE(C321, ""en"", ""fa"")
"),"نکاتی را برای ایجاد محتوایی به اشتراک بگذارید که مخاطبان شما را از طریق یک فرآیند گام به گام آموزش و راهنمایی کند.")</f>
        <v>نکاتی را برای ایجاد محتوایی به اشتراک بگذارید که مخاطبان شما را از طریق یک فرآیند گام به گام آموزش و راهنمایی کند.</v>
      </c>
      <c r="H321" s="1"/>
      <c r="I321" s="1"/>
      <c r="J321" s="1"/>
      <c r="K321" s="1"/>
      <c r="L321" s="1"/>
      <c r="M321" s="1"/>
      <c r="N321" s="1"/>
      <c r="O321" s="1"/>
      <c r="P321" s="1"/>
      <c r="Q321" s="1"/>
      <c r="R321" s="1"/>
      <c r="S321" s="1"/>
      <c r="T321" s="1"/>
      <c r="U321" s="1"/>
      <c r="V321" s="1"/>
      <c r="W321" s="1"/>
      <c r="X321" s="1"/>
      <c r="Y321" s="1"/>
      <c r="Z321" s="1"/>
      <c r="AA321" s="1"/>
      <c r="AB321" s="1"/>
    </row>
    <row r="322" ht="50.25" customHeight="1">
      <c r="A322" s="12">
        <v>318.0</v>
      </c>
      <c r="B322" s="13" t="s">
        <v>266</v>
      </c>
      <c r="C322" s="14" t="s">
        <v>325</v>
      </c>
      <c r="D322" s="1"/>
      <c r="E322" s="15"/>
      <c r="F322" s="1" t="str">
        <f>IFERROR(__xludf.DUMMYFUNCTION("GOOGLETRANSLATE(B322, ""en"", ""fa"")
"),"تولید محتوا")</f>
        <v>تولید محتوا</v>
      </c>
      <c r="G322" s="1" t="str">
        <f>IFERROR(__xludf.DUMMYFUNCTION("GOOGLETRANSLATE(C322, ""en"", ""fa"")
"),"مفهوم گیمیفیکیشن در تولید محتوا و چگونگی افزایش تعامل را بررسی کنید.")</f>
        <v>مفهوم گیمیفیکیشن در تولید محتوا و چگونگی افزایش تعامل را بررسی کنید.</v>
      </c>
      <c r="H322" s="1"/>
      <c r="I322" s="1"/>
      <c r="J322" s="1"/>
      <c r="K322" s="1"/>
      <c r="L322" s="1"/>
      <c r="M322" s="1"/>
      <c r="N322" s="1"/>
      <c r="O322" s="1"/>
      <c r="P322" s="1"/>
      <c r="Q322" s="1"/>
      <c r="R322" s="1"/>
      <c r="S322" s="1"/>
      <c r="T322" s="1"/>
      <c r="U322" s="1"/>
      <c r="V322" s="1"/>
      <c r="W322" s="1"/>
      <c r="X322" s="1"/>
      <c r="Y322" s="1"/>
      <c r="Z322" s="1"/>
      <c r="AA322" s="1"/>
      <c r="AB322" s="1"/>
    </row>
    <row r="323" ht="50.25" customHeight="1">
      <c r="A323" s="12">
        <v>319.0</v>
      </c>
      <c r="B323" s="13" t="s">
        <v>266</v>
      </c>
      <c r="C323" s="14" t="s">
        <v>326</v>
      </c>
      <c r="D323" s="1"/>
      <c r="E323" s="15"/>
      <c r="F323" s="1" t="str">
        <f>IFERROR(__xludf.DUMMYFUNCTION("GOOGLETRANSLATE(B323, ""en"", ""fa"")
"),"تولید محتوا")</f>
        <v>تولید محتوا</v>
      </c>
      <c r="G323" s="1" t="str">
        <f>IFERROR(__xludf.DUMMYFUNCTION("GOOGLETRANSLATE(C323, ""en"", ""fa"")
"),"در مورد تأثیر محتوای طولانی، مانند راهنماهای جامع و کاغذهای سفید، در ایجاد رهبری فکری بحث کنید.")</f>
        <v>در مورد تأثیر محتوای طولانی، مانند راهنماهای جامع و کاغذهای سفید، در ایجاد رهبری فکری بحث کنید.</v>
      </c>
      <c r="H323" s="1"/>
      <c r="I323" s="1"/>
      <c r="J323" s="1"/>
      <c r="K323" s="1"/>
      <c r="L323" s="1"/>
      <c r="M323" s="1"/>
      <c r="N323" s="1"/>
      <c r="O323" s="1"/>
      <c r="P323" s="1"/>
      <c r="Q323" s="1"/>
      <c r="R323" s="1"/>
      <c r="S323" s="1"/>
      <c r="T323" s="1"/>
      <c r="U323" s="1"/>
      <c r="V323" s="1"/>
      <c r="W323" s="1"/>
      <c r="X323" s="1"/>
      <c r="Y323" s="1"/>
      <c r="Z323" s="1"/>
      <c r="AA323" s="1"/>
      <c r="AB323" s="1"/>
    </row>
    <row r="324" ht="50.25" customHeight="1">
      <c r="A324" s="12">
        <v>320.0</v>
      </c>
      <c r="B324" s="13" t="s">
        <v>266</v>
      </c>
      <c r="C324" s="14" t="s">
        <v>327</v>
      </c>
      <c r="D324" s="1"/>
      <c r="E324" s="15"/>
      <c r="F324" s="1" t="str">
        <f>IFERROR(__xludf.DUMMYFUNCTION("GOOGLETRANSLATE(B324, ""en"", ""fa"")
"),"تولید محتوا")</f>
        <v>تولید محتوا</v>
      </c>
      <c r="G324" s="1" t="str">
        <f>IFERROR(__xludf.DUMMYFUNCTION("GOOGLETRANSLATE(C324, ""en"", ""fa"")
"),"استراتژی هایی را برای ایجاد محتوایی به اشتراک بگذارید که به سوالات متداول و نکات دردناک مخاطبان شما پاسخ می دهد.")</f>
        <v>استراتژی هایی را برای ایجاد محتوایی به اشتراک بگذارید که به سوالات متداول و نکات دردناک مخاطبان شما پاسخ می دهد.</v>
      </c>
      <c r="H324" s="1"/>
      <c r="I324" s="1"/>
      <c r="J324" s="1"/>
      <c r="K324" s="1"/>
      <c r="L324" s="1"/>
      <c r="M324" s="1"/>
      <c r="N324" s="1"/>
      <c r="O324" s="1"/>
      <c r="P324" s="1"/>
      <c r="Q324" s="1"/>
      <c r="R324" s="1"/>
      <c r="S324" s="1"/>
      <c r="T324" s="1"/>
      <c r="U324" s="1"/>
      <c r="V324" s="1"/>
      <c r="W324" s="1"/>
      <c r="X324" s="1"/>
      <c r="Y324" s="1"/>
      <c r="Z324" s="1"/>
      <c r="AA324" s="1"/>
      <c r="AB324" s="1"/>
    </row>
    <row r="325" ht="50.25" customHeight="1">
      <c r="A325" s="12">
        <v>321.0</v>
      </c>
      <c r="B325" s="13" t="s">
        <v>266</v>
      </c>
      <c r="C325" s="14" t="s">
        <v>328</v>
      </c>
      <c r="D325" s="1"/>
      <c r="E325" s="15"/>
      <c r="F325" s="1" t="str">
        <f>IFERROR(__xludf.DUMMYFUNCTION("GOOGLETRANSLATE(B325, ""en"", ""fa"")
"),"تولید محتوا")</f>
        <v>تولید محتوا</v>
      </c>
      <c r="G325" s="1" t="str">
        <f>IFERROR(__xludf.DUMMYFUNCTION("GOOGLETRANSLATE(C325, ""en"", ""fa"")
"),"مزایای استفاده مجدد از ضبط‌های وبینار به محتوای درخواستی برای تعامل مداوم را بررسی کنید.")</f>
        <v>مزایای استفاده مجدد از ضبط‌های وبینار به محتوای درخواستی برای تعامل مداوم را بررسی کنید.</v>
      </c>
      <c r="H325" s="1"/>
      <c r="I325" s="1"/>
      <c r="J325" s="1"/>
      <c r="K325" s="1"/>
      <c r="L325" s="1"/>
      <c r="M325" s="1"/>
      <c r="N325" s="1"/>
      <c r="O325" s="1"/>
      <c r="P325" s="1"/>
      <c r="Q325" s="1"/>
      <c r="R325" s="1"/>
      <c r="S325" s="1"/>
      <c r="T325" s="1"/>
      <c r="U325" s="1"/>
      <c r="V325" s="1"/>
      <c r="W325" s="1"/>
      <c r="X325" s="1"/>
      <c r="Y325" s="1"/>
      <c r="Z325" s="1"/>
      <c r="AA325" s="1"/>
      <c r="AB325" s="1"/>
    </row>
    <row r="326" ht="50.25" customHeight="1">
      <c r="A326" s="12">
        <v>322.0</v>
      </c>
      <c r="B326" s="13" t="s">
        <v>266</v>
      </c>
      <c r="C326" s="14" t="s">
        <v>329</v>
      </c>
      <c r="D326" s="1"/>
      <c r="E326" s="15"/>
      <c r="F326" s="1" t="str">
        <f>IFERROR(__xludf.DUMMYFUNCTION("GOOGLETRANSLATE(B326, ""en"", ""fa"")
"),"تولید محتوا")</f>
        <v>تولید محتوا</v>
      </c>
      <c r="G326" s="1" t="str">
        <f>IFERROR(__xludf.DUMMYFUNCTION("GOOGLETRANSLATE(C326, ""en"", ""fa"")
"),"در مورد نقش آزمون‌ها و ارزیابی‌های تعاملی در جلب توجه مخاطب و ایجاد تعامل بحث کنید.")</f>
        <v>در مورد نقش آزمون‌ها و ارزیابی‌های تعاملی در جلب توجه مخاطب و ایجاد تعامل بحث کنید.</v>
      </c>
      <c r="H326" s="1"/>
      <c r="I326" s="1"/>
      <c r="J326" s="1"/>
      <c r="K326" s="1"/>
      <c r="L326" s="1"/>
      <c r="M326" s="1"/>
      <c r="N326" s="1"/>
      <c r="O326" s="1"/>
      <c r="P326" s="1"/>
      <c r="Q326" s="1"/>
      <c r="R326" s="1"/>
      <c r="S326" s="1"/>
      <c r="T326" s="1"/>
      <c r="U326" s="1"/>
      <c r="V326" s="1"/>
      <c r="W326" s="1"/>
      <c r="X326" s="1"/>
      <c r="Y326" s="1"/>
      <c r="Z326" s="1"/>
      <c r="AA326" s="1"/>
      <c r="AB326" s="1"/>
    </row>
    <row r="327" ht="50.25" customHeight="1">
      <c r="A327" s="12">
        <v>323.0</v>
      </c>
      <c r="B327" s="13" t="s">
        <v>266</v>
      </c>
      <c r="C327" s="14" t="s">
        <v>330</v>
      </c>
      <c r="D327" s="1"/>
      <c r="E327" s="15"/>
      <c r="F327" s="1" t="str">
        <f>IFERROR(__xludf.DUMMYFUNCTION("GOOGLETRANSLATE(B327, ""en"", ""fa"")
"),"تولید محتوا")</f>
        <v>تولید محتوا</v>
      </c>
      <c r="G327" s="1" t="str">
        <f>IFERROR(__xludf.DUMMYFUNCTION("GOOGLETRANSLATE(C327, ""en"", ""fa"")
"),"نکاتی را برای ترکیب تکنیک‌های تجسم داده‌ها، مانند نمودارها و نمودارها، برای افزایش اثربخشی محتوا به اشتراک بگذارید.")</f>
        <v>نکاتی را برای ترکیب تکنیک‌های تجسم داده‌ها، مانند نمودارها و نمودارها، برای افزایش اثربخشی محتوا به اشتراک بگذارید.</v>
      </c>
      <c r="H327" s="1"/>
      <c r="I327" s="1"/>
      <c r="J327" s="1"/>
      <c r="K327" s="1"/>
      <c r="L327" s="1"/>
      <c r="M327" s="1"/>
      <c r="N327" s="1"/>
      <c r="O327" s="1"/>
      <c r="P327" s="1"/>
      <c r="Q327" s="1"/>
      <c r="R327" s="1"/>
      <c r="S327" s="1"/>
      <c r="T327" s="1"/>
      <c r="U327" s="1"/>
      <c r="V327" s="1"/>
      <c r="W327" s="1"/>
      <c r="X327" s="1"/>
      <c r="Y327" s="1"/>
      <c r="Z327" s="1"/>
      <c r="AA327" s="1"/>
      <c r="AB327" s="1"/>
    </row>
    <row r="328" ht="50.25" customHeight="1">
      <c r="A328" s="12">
        <v>324.0</v>
      </c>
      <c r="B328" s="13" t="s">
        <v>266</v>
      </c>
      <c r="C328" s="14" t="s">
        <v>331</v>
      </c>
      <c r="D328" s="1"/>
      <c r="E328" s="15"/>
      <c r="F328" s="1" t="str">
        <f>IFERROR(__xludf.DUMMYFUNCTION("GOOGLETRANSLATE(B328, ""en"", ""fa"")
"),"تولید محتوا")</f>
        <v>تولید محتوا</v>
      </c>
      <c r="G328" s="1" t="str">
        <f>IFERROR(__xludf.DUMMYFUNCTION("GOOGLETRANSLATE(C328, ""en"", ""fa"")
"),"مفهوم مشارکت محتوا با برندهای مکمل را برای دستیابی به مخاطبان جدید بررسی کنید.")</f>
        <v>مفهوم مشارکت محتوا با برندهای مکمل را برای دستیابی به مخاطبان جدید بررسی کنید.</v>
      </c>
      <c r="H328" s="1"/>
      <c r="I328" s="1"/>
      <c r="J328" s="1"/>
      <c r="K328" s="1"/>
      <c r="L328" s="1"/>
      <c r="M328" s="1"/>
      <c r="N328" s="1"/>
      <c r="O328" s="1"/>
      <c r="P328" s="1"/>
      <c r="Q328" s="1"/>
      <c r="R328" s="1"/>
      <c r="S328" s="1"/>
      <c r="T328" s="1"/>
      <c r="U328" s="1"/>
      <c r="V328" s="1"/>
      <c r="W328" s="1"/>
      <c r="X328" s="1"/>
      <c r="Y328" s="1"/>
      <c r="Z328" s="1"/>
      <c r="AA328" s="1"/>
      <c r="AB328" s="1"/>
    </row>
    <row r="329" ht="50.25" customHeight="1">
      <c r="A329" s="12">
        <v>325.0</v>
      </c>
      <c r="B329" s="13" t="s">
        <v>266</v>
      </c>
      <c r="C329" s="14" t="s">
        <v>332</v>
      </c>
      <c r="D329" s="1"/>
      <c r="E329" s="15"/>
      <c r="F329" s="1" t="str">
        <f>IFERROR(__xludf.DUMMYFUNCTION("GOOGLETRANSLATE(B329, ""en"", ""fa"")
"),"تولید محتوا")</f>
        <v>تولید محتوا</v>
      </c>
      <c r="G329" s="1" t="str">
        <f>IFERROR(__xludf.DUMMYFUNCTION("GOOGLETRANSLATE(C329, ""en"", ""fa"")
"),"در مورد مزایای انجام مصاحبه های تخصصی و نشان دادن آنها در محتوای خود بحث کنید.")</f>
        <v>در مورد مزایای انجام مصاحبه های تخصصی و نشان دادن آنها در محتوای خود بحث کنید.</v>
      </c>
      <c r="H329" s="1"/>
      <c r="I329" s="1"/>
      <c r="J329" s="1"/>
      <c r="K329" s="1"/>
      <c r="L329" s="1"/>
      <c r="M329" s="1"/>
      <c r="N329" s="1"/>
      <c r="O329" s="1"/>
      <c r="P329" s="1"/>
      <c r="Q329" s="1"/>
      <c r="R329" s="1"/>
      <c r="S329" s="1"/>
      <c r="T329" s="1"/>
      <c r="U329" s="1"/>
      <c r="V329" s="1"/>
      <c r="W329" s="1"/>
      <c r="X329" s="1"/>
      <c r="Y329" s="1"/>
      <c r="Z329" s="1"/>
      <c r="AA329" s="1"/>
      <c r="AB329" s="1"/>
    </row>
    <row r="330" ht="50.25" customHeight="1">
      <c r="A330" s="12">
        <v>326.0</v>
      </c>
      <c r="B330" s="13" t="s">
        <v>266</v>
      </c>
      <c r="C330" s="14" t="s">
        <v>333</v>
      </c>
      <c r="D330" s="1"/>
      <c r="E330" s="15"/>
      <c r="F330" s="1" t="str">
        <f>IFERROR(__xludf.DUMMYFUNCTION("GOOGLETRANSLATE(B330, ""en"", ""fa"")
"),"تولید محتوا")</f>
        <v>تولید محتوا</v>
      </c>
      <c r="G330" s="1" t="str">
        <f>IFERROR(__xludf.DUMMYFUNCTION("GOOGLETRANSLATE(C330, ""en"", ""fa"")
"),"استراتژی‌هایی را برای استفاده از نظرات و توصیفات کاربران به عنوان اثبات اجتماعی قانع‌کننده برای محصولات یا خدمات خود به اشتراک بگذارید.")</f>
        <v>استراتژی‌هایی را برای استفاده از نظرات و توصیفات کاربران به عنوان اثبات اجتماعی قانع‌کننده برای محصولات یا خدمات خود به اشتراک بگذارید.</v>
      </c>
      <c r="H330" s="1"/>
      <c r="I330" s="1"/>
      <c r="J330" s="1"/>
      <c r="K330" s="1"/>
      <c r="L330" s="1"/>
      <c r="M330" s="1"/>
      <c r="N330" s="1"/>
      <c r="O330" s="1"/>
      <c r="P330" s="1"/>
      <c r="Q330" s="1"/>
      <c r="R330" s="1"/>
      <c r="S330" s="1"/>
      <c r="T330" s="1"/>
      <c r="U330" s="1"/>
      <c r="V330" s="1"/>
      <c r="W330" s="1"/>
      <c r="X330" s="1"/>
      <c r="Y330" s="1"/>
      <c r="Z330" s="1"/>
      <c r="AA330" s="1"/>
      <c r="AB330" s="1"/>
    </row>
    <row r="331" ht="50.25" customHeight="1">
      <c r="A331" s="12">
        <v>327.0</v>
      </c>
      <c r="B331" s="13" t="s">
        <v>266</v>
      </c>
      <c r="C331" s="14" t="s">
        <v>334</v>
      </c>
      <c r="D331" s="1"/>
      <c r="E331" s="15"/>
      <c r="F331" s="1" t="str">
        <f>IFERROR(__xludf.DUMMYFUNCTION("GOOGLETRANSLATE(B331, ""en"", ""fa"")
"),"تولید محتوا")</f>
        <v>تولید محتوا</v>
      </c>
      <c r="G331" s="1" t="str">
        <f>IFERROR(__xludf.DUMMYFUNCTION("GOOGLETRANSLATE(C331, ""en"", ""fa"")
"),"تأثیر حکایات شخصی و مثال‌های زندگی واقعی را در مرتبط کردن و جذاب کردن محتوای خود کاوش کنید.")</f>
        <v>تأثیر حکایات شخصی و مثال‌های زندگی واقعی را در مرتبط کردن و جذاب کردن محتوای خود کاوش کنید.</v>
      </c>
      <c r="H331" s="1"/>
      <c r="I331" s="1"/>
      <c r="J331" s="1"/>
      <c r="K331" s="1"/>
      <c r="L331" s="1"/>
      <c r="M331" s="1"/>
      <c r="N331" s="1"/>
      <c r="O331" s="1"/>
      <c r="P331" s="1"/>
      <c r="Q331" s="1"/>
      <c r="R331" s="1"/>
      <c r="S331" s="1"/>
      <c r="T331" s="1"/>
      <c r="U331" s="1"/>
      <c r="V331" s="1"/>
      <c r="W331" s="1"/>
      <c r="X331" s="1"/>
      <c r="Y331" s="1"/>
      <c r="Z331" s="1"/>
      <c r="AA331" s="1"/>
      <c r="AB331" s="1"/>
    </row>
    <row r="332" ht="50.25" customHeight="1">
      <c r="A332" s="12">
        <v>328.0</v>
      </c>
      <c r="B332" s="13" t="s">
        <v>266</v>
      </c>
      <c r="C332" s="14" t="s">
        <v>335</v>
      </c>
      <c r="D332" s="1"/>
      <c r="E332" s="15"/>
      <c r="F332" s="1" t="str">
        <f>IFERROR(__xludf.DUMMYFUNCTION("GOOGLETRANSLATE(B332, ""en"", ""fa"")
"),"تولید محتوا")</f>
        <v>تولید محتوا</v>
      </c>
      <c r="G332" s="1" t="str">
        <f>IFERROR(__xludf.DUMMYFUNCTION("GOOGLETRANSLATE(C332, ""en"", ""fa"")
"),"در مورد نقش توزیع محتوا و وبلاگ نویسی مهمان در گسترش دسترسی به محتوای خود بحث کنید.")</f>
        <v>در مورد نقش توزیع محتوا و وبلاگ نویسی مهمان در گسترش دسترسی به محتوای خود بحث کنید.</v>
      </c>
      <c r="H332" s="1"/>
      <c r="I332" s="1"/>
      <c r="J332" s="1"/>
      <c r="K332" s="1"/>
      <c r="L332" s="1"/>
      <c r="M332" s="1"/>
      <c r="N332" s="1"/>
      <c r="O332" s="1"/>
      <c r="P332" s="1"/>
      <c r="Q332" s="1"/>
      <c r="R332" s="1"/>
      <c r="S332" s="1"/>
      <c r="T332" s="1"/>
      <c r="U332" s="1"/>
      <c r="V332" s="1"/>
      <c r="W332" s="1"/>
      <c r="X332" s="1"/>
      <c r="Y332" s="1"/>
      <c r="Z332" s="1"/>
      <c r="AA332" s="1"/>
      <c r="AB332" s="1"/>
    </row>
    <row r="333" ht="50.25" customHeight="1">
      <c r="A333" s="12">
        <v>329.0</v>
      </c>
      <c r="B333" s="13" t="s">
        <v>266</v>
      </c>
      <c r="C333" s="14" t="s">
        <v>336</v>
      </c>
      <c r="D333" s="1"/>
      <c r="E333" s="15"/>
      <c r="F333" s="1" t="str">
        <f>IFERROR(__xludf.DUMMYFUNCTION("GOOGLETRANSLATE(B333, ""en"", ""fa"")
"),"تولید محتوا")</f>
        <v>تولید محتوا</v>
      </c>
      <c r="G333" s="1" t="str">
        <f>IFERROR(__xludf.DUMMYFUNCTION("GOOGLETRANSLATE(C333, ""en"", ""fa"")
"),"نکاتی را برای انجام تحقیقات کلمات کلیدی و گنجاندن کلمات کلیدی مرتبط در محتوای خود برای بهینه سازی سئو به اشتراک بگذارید.")</f>
        <v>نکاتی را برای انجام تحقیقات کلمات کلیدی و گنجاندن کلمات کلیدی مرتبط در محتوای خود برای بهینه سازی سئو به اشتراک بگذارید.</v>
      </c>
      <c r="H333" s="1"/>
      <c r="I333" s="1"/>
      <c r="J333" s="1"/>
      <c r="K333" s="1"/>
      <c r="L333" s="1"/>
      <c r="M333" s="1"/>
      <c r="N333" s="1"/>
      <c r="O333" s="1"/>
      <c r="P333" s="1"/>
      <c r="Q333" s="1"/>
      <c r="R333" s="1"/>
      <c r="S333" s="1"/>
      <c r="T333" s="1"/>
      <c r="U333" s="1"/>
      <c r="V333" s="1"/>
      <c r="W333" s="1"/>
      <c r="X333" s="1"/>
      <c r="Y333" s="1"/>
      <c r="Z333" s="1"/>
      <c r="AA333" s="1"/>
      <c r="AB333" s="1"/>
    </row>
    <row r="334" ht="50.25" customHeight="1">
      <c r="A334" s="12">
        <v>330.0</v>
      </c>
      <c r="B334" s="13" t="s">
        <v>266</v>
      </c>
      <c r="C334" s="14" t="s">
        <v>337</v>
      </c>
      <c r="D334" s="1"/>
      <c r="E334" s="15"/>
      <c r="F334" s="1" t="str">
        <f>IFERROR(__xludf.DUMMYFUNCTION("GOOGLETRANSLATE(B334, ""en"", ""fa"")
"),"تولید محتوا")</f>
        <v>تولید محتوا</v>
      </c>
      <c r="G334" s="1" t="str">
        <f>IFERROR(__xludf.DUMMYFUNCTION("GOOGLETRANSLATE(C334, ""en"", ""fa"")
"),"مزایای ایجاد خوشه های محتوا را برای ایجاد یک مرکز منابع جامع در مورد یک موضوع خاص بررسی کنید.")</f>
        <v>مزایای ایجاد خوشه های محتوا را برای ایجاد یک مرکز منابع جامع در مورد یک موضوع خاص بررسی کنید.</v>
      </c>
      <c r="H334" s="1"/>
      <c r="I334" s="1"/>
      <c r="J334" s="1"/>
      <c r="K334" s="1"/>
      <c r="L334" s="1"/>
      <c r="M334" s="1"/>
      <c r="N334" s="1"/>
      <c r="O334" s="1"/>
      <c r="P334" s="1"/>
      <c r="Q334" s="1"/>
      <c r="R334" s="1"/>
      <c r="S334" s="1"/>
      <c r="T334" s="1"/>
      <c r="U334" s="1"/>
      <c r="V334" s="1"/>
      <c r="W334" s="1"/>
      <c r="X334" s="1"/>
      <c r="Y334" s="1"/>
      <c r="Z334" s="1"/>
      <c r="AA334" s="1"/>
      <c r="AB334" s="1"/>
    </row>
    <row r="335" ht="50.25" customHeight="1">
      <c r="A335" s="12">
        <v>331.0</v>
      </c>
      <c r="B335" s="13" t="s">
        <v>266</v>
      </c>
      <c r="C335" s="14" t="s">
        <v>338</v>
      </c>
      <c r="D335" s="1"/>
      <c r="E335" s="15"/>
      <c r="F335" s="1" t="str">
        <f>IFERROR(__xludf.DUMMYFUNCTION("GOOGLETRANSLATE(B335, ""en"", ""fa"")
"),"تولید محتوا")</f>
        <v>تولید محتوا</v>
      </c>
      <c r="G335" s="1" t="str">
        <f>IFERROR(__xludf.DUMMYFUNCTION("GOOGLETRANSLATE(C335, ""en"", ""fa"")
"),"در مورد نقش تصاویر محرک احساسات، مانند تصاویر و تصاویر جذاب، در تولید محتوا بحث کنید.")</f>
        <v>در مورد نقش تصاویر محرک احساسات، مانند تصاویر و تصاویر جذاب، در تولید محتوا بحث کنید.</v>
      </c>
      <c r="H335" s="1"/>
      <c r="I335" s="1"/>
      <c r="J335" s="1"/>
      <c r="K335" s="1"/>
      <c r="L335" s="1"/>
      <c r="M335" s="1"/>
      <c r="N335" s="1"/>
      <c r="O335" s="1"/>
      <c r="P335" s="1"/>
      <c r="Q335" s="1"/>
      <c r="R335" s="1"/>
      <c r="S335" s="1"/>
      <c r="T335" s="1"/>
      <c r="U335" s="1"/>
      <c r="V335" s="1"/>
      <c r="W335" s="1"/>
      <c r="X335" s="1"/>
      <c r="Y335" s="1"/>
      <c r="Z335" s="1"/>
      <c r="AA335" s="1"/>
      <c r="AB335" s="1"/>
    </row>
    <row r="336" ht="50.25" customHeight="1">
      <c r="A336" s="12">
        <v>332.0</v>
      </c>
      <c r="B336" s="13" t="s">
        <v>266</v>
      </c>
      <c r="C336" s="14" t="s">
        <v>339</v>
      </c>
      <c r="D336" s="1"/>
      <c r="E336" s="15"/>
      <c r="F336" s="1" t="str">
        <f>IFERROR(__xludf.DUMMYFUNCTION("GOOGLETRANSLATE(B336, ""en"", ""fa"")
"),"تولید محتوا")</f>
        <v>تولید محتوا</v>
      </c>
      <c r="G336" s="1" t="str">
        <f>IFERROR(__xludf.DUMMYFUNCTION("GOOGLETRANSLATE(C336, ""en"", ""fa"")
"),"استراتژی هایی را برای ایجاد محتوایی به اشتراک بگذارید که از روندهای فعلی و موضوعات به موقع استفاده می کند تا ارتباط را افزایش دهد.")</f>
        <v>استراتژی هایی را برای ایجاد محتوایی به اشتراک بگذارید که از روندهای فعلی و موضوعات به موقع استفاده می کند تا ارتباط را افزایش دهد.</v>
      </c>
      <c r="H336" s="1"/>
      <c r="I336" s="1"/>
      <c r="J336" s="1"/>
      <c r="K336" s="1"/>
      <c r="L336" s="1"/>
      <c r="M336" s="1"/>
      <c r="N336" s="1"/>
      <c r="O336" s="1"/>
      <c r="P336" s="1"/>
      <c r="Q336" s="1"/>
      <c r="R336" s="1"/>
      <c r="S336" s="1"/>
      <c r="T336" s="1"/>
      <c r="U336" s="1"/>
      <c r="V336" s="1"/>
      <c r="W336" s="1"/>
      <c r="X336" s="1"/>
      <c r="Y336" s="1"/>
      <c r="Z336" s="1"/>
      <c r="AA336" s="1"/>
      <c r="AB336" s="1"/>
    </row>
    <row r="337" ht="50.25" customHeight="1">
      <c r="A337" s="12">
        <v>333.0</v>
      </c>
      <c r="B337" s="13" t="s">
        <v>266</v>
      </c>
      <c r="C337" s="14" t="s">
        <v>340</v>
      </c>
      <c r="D337" s="1"/>
      <c r="E337" s="15"/>
      <c r="F337" s="1" t="str">
        <f>IFERROR(__xludf.DUMMYFUNCTION("GOOGLETRANSLATE(B337, ""en"", ""fa"")
"),"تولید محتوا")</f>
        <v>تولید محتوا</v>
      </c>
      <c r="G337" s="1" t="str">
        <f>IFERROR(__xludf.DUMMYFUNCTION("GOOGLETRANSLATE(C337, ""en"", ""fa"")
"),"مفهوم تغییر کاربری ضبط شده رویدادهای زنده، مانند کنفرانس ها یا کارگاه ها، را به دارایی های محتوای ارزشمند کاوش کنید.")</f>
        <v>مفهوم تغییر کاربری ضبط شده رویدادهای زنده، مانند کنفرانس ها یا کارگاه ها، را به دارایی های محتوای ارزشمند کاوش کنید.</v>
      </c>
      <c r="H337" s="1"/>
      <c r="I337" s="1"/>
      <c r="J337" s="1"/>
      <c r="K337" s="1"/>
      <c r="L337" s="1"/>
      <c r="M337" s="1"/>
      <c r="N337" s="1"/>
      <c r="O337" s="1"/>
      <c r="P337" s="1"/>
      <c r="Q337" s="1"/>
      <c r="R337" s="1"/>
      <c r="S337" s="1"/>
      <c r="T337" s="1"/>
      <c r="U337" s="1"/>
      <c r="V337" s="1"/>
      <c r="W337" s="1"/>
      <c r="X337" s="1"/>
      <c r="Y337" s="1"/>
      <c r="Z337" s="1"/>
      <c r="AA337" s="1"/>
      <c r="AB337" s="1"/>
    </row>
    <row r="338" ht="50.25" customHeight="1">
      <c r="A338" s="12">
        <v>334.0</v>
      </c>
      <c r="B338" s="13" t="s">
        <v>266</v>
      </c>
      <c r="C338" s="14" t="s">
        <v>341</v>
      </c>
      <c r="D338" s="1"/>
      <c r="E338" s="15"/>
      <c r="F338" s="1" t="str">
        <f>IFERROR(__xludf.DUMMYFUNCTION("GOOGLETRANSLATE(B338, ""en"", ""fa"")
"),"تولید محتوا")</f>
        <v>تولید محتوا</v>
      </c>
      <c r="G338" s="1" t="str">
        <f>IFERROR(__xludf.DUMMYFUNCTION("GOOGLETRANSLATE(C338, ""en"", ""fa"")
"),"در مورد مزایای ترکیب مطالعات موردی و داستان های موفقیت برای نشان دادن تأثیر محصولات یا خدمات خود بحث کنید.")</f>
        <v>در مورد مزایای ترکیب مطالعات موردی و داستان های موفقیت برای نشان دادن تأثیر محصولات یا خدمات خود بحث کنید.</v>
      </c>
      <c r="H338" s="1"/>
      <c r="I338" s="1"/>
      <c r="J338" s="1"/>
      <c r="K338" s="1"/>
      <c r="L338" s="1"/>
      <c r="M338" s="1"/>
      <c r="N338" s="1"/>
      <c r="O338" s="1"/>
      <c r="P338" s="1"/>
      <c r="Q338" s="1"/>
      <c r="R338" s="1"/>
      <c r="S338" s="1"/>
      <c r="T338" s="1"/>
      <c r="U338" s="1"/>
      <c r="V338" s="1"/>
      <c r="W338" s="1"/>
      <c r="X338" s="1"/>
      <c r="Y338" s="1"/>
      <c r="Z338" s="1"/>
      <c r="AA338" s="1"/>
      <c r="AB338" s="1"/>
    </row>
    <row r="339" ht="50.25" customHeight="1">
      <c r="A339" s="12">
        <v>335.0</v>
      </c>
      <c r="B339" s="13" t="s">
        <v>266</v>
      </c>
      <c r="C339" s="14" t="s">
        <v>342</v>
      </c>
      <c r="D339" s="1"/>
      <c r="E339" s="15"/>
      <c r="F339" s="1" t="str">
        <f>IFERROR(__xludf.DUMMYFUNCTION("GOOGLETRANSLATE(B339, ""en"", ""fa"")
"),"تولید محتوا")</f>
        <v>تولید محتوا</v>
      </c>
      <c r="G339" s="1" t="str">
        <f>IFERROR(__xludf.DUMMYFUNCTION("GOOGLETRANSLATE(C339, ""en"", ""fa"")
"),"نکاتی را برای همکاری محتوای موثر با اینفلوئنسرها و کارشناسان صنعت به اشتراک بگذارید.")</f>
        <v>نکاتی را برای همکاری محتوای موثر با اینفلوئنسرها و کارشناسان صنعت به اشتراک بگذارید.</v>
      </c>
      <c r="H339" s="1"/>
      <c r="I339" s="1"/>
      <c r="J339" s="1"/>
      <c r="K339" s="1"/>
      <c r="L339" s="1"/>
      <c r="M339" s="1"/>
      <c r="N339" s="1"/>
      <c r="O339" s="1"/>
      <c r="P339" s="1"/>
      <c r="Q339" s="1"/>
      <c r="R339" s="1"/>
      <c r="S339" s="1"/>
      <c r="T339" s="1"/>
      <c r="U339" s="1"/>
      <c r="V339" s="1"/>
      <c r="W339" s="1"/>
      <c r="X339" s="1"/>
      <c r="Y339" s="1"/>
      <c r="Z339" s="1"/>
      <c r="AA339" s="1"/>
      <c r="AB339" s="1"/>
    </row>
    <row r="340" ht="50.25" customHeight="1">
      <c r="A340" s="12">
        <v>336.0</v>
      </c>
      <c r="B340" s="13" t="s">
        <v>266</v>
      </c>
      <c r="C340" s="14" t="s">
        <v>343</v>
      </c>
      <c r="D340" s="1"/>
      <c r="E340" s="15"/>
      <c r="F340" s="1" t="str">
        <f>IFERROR(__xludf.DUMMYFUNCTION("GOOGLETRANSLATE(B340, ""en"", ""fa"")
"),"تولید محتوا")</f>
        <v>تولید محتوا</v>
      </c>
      <c r="G340" s="1" t="str">
        <f>IFERROR(__xludf.DUMMYFUNCTION("GOOGLETRANSLATE(C340, ""en"", ""fa"")
"),"تأثیر فراگیری و تنوع در ایجاد و بازنمایی محتوا را بررسی کنید.")</f>
        <v>تأثیر فراگیری و تنوع در ایجاد و بازنمایی محتوا را بررسی کنید.</v>
      </c>
      <c r="H340" s="1"/>
      <c r="I340" s="1"/>
      <c r="J340" s="1"/>
      <c r="K340" s="1"/>
      <c r="L340" s="1"/>
      <c r="M340" s="1"/>
      <c r="N340" s="1"/>
      <c r="O340" s="1"/>
      <c r="P340" s="1"/>
      <c r="Q340" s="1"/>
      <c r="R340" s="1"/>
      <c r="S340" s="1"/>
      <c r="T340" s="1"/>
      <c r="U340" s="1"/>
      <c r="V340" s="1"/>
      <c r="W340" s="1"/>
      <c r="X340" s="1"/>
      <c r="Y340" s="1"/>
      <c r="Z340" s="1"/>
      <c r="AA340" s="1"/>
      <c r="AB340" s="1"/>
    </row>
    <row r="341" ht="50.25" customHeight="1">
      <c r="A341" s="12">
        <v>337.0</v>
      </c>
      <c r="B341" s="13" t="s">
        <v>266</v>
      </c>
      <c r="C341" s="14" t="s">
        <v>344</v>
      </c>
      <c r="D341" s="1"/>
      <c r="E341" s="15"/>
      <c r="F341" s="1" t="str">
        <f>IFERROR(__xludf.DUMMYFUNCTION("GOOGLETRANSLATE(B341, ""en"", ""fa"")
"),"تولید محتوا")</f>
        <v>تولید محتوا</v>
      </c>
      <c r="G341" s="1" t="str">
        <f>IFERROR(__xludf.DUMMYFUNCTION("GOOGLETRANSLATE(C341, ""en"", ""fa"")
"),"در مورد نقش ارتقاء محتوا، مانند منابع قابل دانلود یا محتوای انحصاری، در رشد لیست ایمیل خود بحث کنید.")</f>
        <v>در مورد نقش ارتقاء محتوا، مانند منابع قابل دانلود یا محتوای انحصاری، در رشد لیست ایمیل خود بحث کنید.</v>
      </c>
      <c r="H341" s="1"/>
      <c r="I341" s="1"/>
      <c r="J341" s="1"/>
      <c r="K341" s="1"/>
      <c r="L341" s="1"/>
      <c r="M341" s="1"/>
      <c r="N341" s="1"/>
      <c r="O341" s="1"/>
      <c r="P341" s="1"/>
      <c r="Q341" s="1"/>
      <c r="R341" s="1"/>
      <c r="S341" s="1"/>
      <c r="T341" s="1"/>
      <c r="U341" s="1"/>
      <c r="V341" s="1"/>
      <c r="W341" s="1"/>
      <c r="X341" s="1"/>
      <c r="Y341" s="1"/>
      <c r="Z341" s="1"/>
      <c r="AA341" s="1"/>
      <c r="AB341" s="1"/>
    </row>
    <row r="342" ht="50.25" customHeight="1">
      <c r="A342" s="12">
        <v>338.0</v>
      </c>
      <c r="B342" s="13" t="s">
        <v>266</v>
      </c>
      <c r="C342" s="14" t="s">
        <v>345</v>
      </c>
      <c r="D342" s="1"/>
      <c r="E342" s="15"/>
      <c r="F342" s="1" t="str">
        <f>IFERROR(__xludf.DUMMYFUNCTION("GOOGLETRANSLATE(B342, ""en"", ""fa"")
"),"تولید محتوا")</f>
        <v>تولید محتوا</v>
      </c>
      <c r="G342" s="1" t="str">
        <f>IFERROR(__xludf.DUMMYFUNCTION("GOOGLETRANSLATE(C342, ""en"", ""fa"")
"),"استراتژی هایی برای ایجاد محتوایی که به افسانه ها یا تصورات غلط رایج در صنعت شما می پردازد را به اشتراک بگذارید.")</f>
        <v>استراتژی هایی برای ایجاد محتوایی که به افسانه ها یا تصورات غلط رایج در صنعت شما می پردازد را به اشتراک بگذارید.</v>
      </c>
      <c r="H342" s="1"/>
      <c r="I342" s="1"/>
      <c r="J342" s="1"/>
      <c r="K342" s="1"/>
      <c r="L342" s="1"/>
      <c r="M342" s="1"/>
      <c r="N342" s="1"/>
      <c r="O342" s="1"/>
      <c r="P342" s="1"/>
      <c r="Q342" s="1"/>
      <c r="R342" s="1"/>
      <c r="S342" s="1"/>
      <c r="T342" s="1"/>
      <c r="U342" s="1"/>
      <c r="V342" s="1"/>
      <c r="W342" s="1"/>
      <c r="X342" s="1"/>
      <c r="Y342" s="1"/>
      <c r="Z342" s="1"/>
      <c r="AA342" s="1"/>
      <c r="AB342" s="1"/>
    </row>
    <row r="343" ht="50.25" customHeight="1">
      <c r="A343" s="12">
        <v>339.0</v>
      </c>
      <c r="B343" s="13" t="s">
        <v>266</v>
      </c>
      <c r="C343" s="14" t="s">
        <v>346</v>
      </c>
      <c r="D343" s="1"/>
      <c r="E343" s="15"/>
      <c r="F343" s="1" t="str">
        <f>IFERROR(__xludf.DUMMYFUNCTION("GOOGLETRANSLATE(B343, ""en"", ""fa"")
"),"تولید محتوا")</f>
        <v>تولید محتوا</v>
      </c>
      <c r="G343" s="1" t="str">
        <f>IFERROR(__xludf.DUMMYFUNCTION("GOOGLETRANSLATE(C343, ""en"", ""fa"")
"),"مزایای استفاده از چارچوب‌های داستان‌گویی، مانند سفر قهرمان یا قالب حل مشکل، برای ساختار محتوای خود را بررسی کنید.")</f>
        <v>مزایای استفاده از چارچوب‌های داستان‌گویی، مانند سفر قهرمان یا قالب حل مشکل، برای ساختار محتوای خود را بررسی کنید.</v>
      </c>
      <c r="H343" s="1"/>
      <c r="I343" s="1"/>
      <c r="J343" s="1"/>
      <c r="K343" s="1"/>
      <c r="L343" s="1"/>
      <c r="M343" s="1"/>
      <c r="N343" s="1"/>
      <c r="O343" s="1"/>
      <c r="P343" s="1"/>
      <c r="Q343" s="1"/>
      <c r="R343" s="1"/>
      <c r="S343" s="1"/>
      <c r="T343" s="1"/>
      <c r="U343" s="1"/>
      <c r="V343" s="1"/>
      <c r="W343" s="1"/>
      <c r="X343" s="1"/>
      <c r="Y343" s="1"/>
      <c r="Z343" s="1"/>
      <c r="AA343" s="1"/>
      <c r="AB343" s="1"/>
    </row>
    <row r="344" ht="50.25" customHeight="1">
      <c r="A344" s="12">
        <v>340.0</v>
      </c>
      <c r="B344" s="13" t="s">
        <v>266</v>
      </c>
      <c r="C344" s="14" t="s">
        <v>347</v>
      </c>
      <c r="D344" s="1"/>
      <c r="E344" s="15"/>
      <c r="F344" s="1" t="str">
        <f>IFERROR(__xludf.DUMMYFUNCTION("GOOGLETRANSLATE(B344, ""en"", ""fa"")
"),"تولید محتوا")</f>
        <v>تولید محتوا</v>
      </c>
      <c r="G344" s="1" t="str">
        <f>IFERROR(__xludf.DUMMYFUNCTION("GOOGLETRANSLATE(C344, ""en"", ""fa"")
"),"درباره تأثیر گوش دادن و نظارت اجتماعی بر درک نیازهای مخاطب و ایجاد محتوای مرتبط بحث کنید.")</f>
        <v>درباره تأثیر گوش دادن و نظارت اجتماعی بر درک نیازهای مخاطب و ایجاد محتوای مرتبط بحث کنید.</v>
      </c>
      <c r="H344" s="1"/>
      <c r="I344" s="1"/>
      <c r="J344" s="1"/>
      <c r="K344" s="1"/>
      <c r="L344" s="1"/>
      <c r="M344" s="1"/>
      <c r="N344" s="1"/>
      <c r="O344" s="1"/>
      <c r="P344" s="1"/>
      <c r="Q344" s="1"/>
      <c r="R344" s="1"/>
      <c r="S344" s="1"/>
      <c r="T344" s="1"/>
      <c r="U344" s="1"/>
      <c r="V344" s="1"/>
      <c r="W344" s="1"/>
      <c r="X344" s="1"/>
      <c r="Y344" s="1"/>
      <c r="Z344" s="1"/>
      <c r="AA344" s="1"/>
      <c r="AB344" s="1"/>
    </row>
    <row r="345" ht="50.25" customHeight="1">
      <c r="A345" s="12">
        <v>341.0</v>
      </c>
      <c r="B345" s="13" t="s">
        <v>266</v>
      </c>
      <c r="C345" s="14" t="s">
        <v>348</v>
      </c>
      <c r="D345" s="1"/>
      <c r="E345" s="15"/>
      <c r="F345" s="1" t="str">
        <f>IFERROR(__xludf.DUMMYFUNCTION("GOOGLETRANSLATE(B345, ""en"", ""fa"")
"),"تولید محتوا")</f>
        <v>تولید محتوا</v>
      </c>
      <c r="G345" s="1" t="str">
        <f>IFERROR(__xludf.DUMMYFUNCTION("GOOGLETRANSLATE(C345, ""en"", ""fa"")
"),"نکاتی را برای ایجاد محتوایی به اشتراک بگذارید که جرقه گفتگوها و تشویق مخاطبان را از طریق نظرات و بحث ها تشویق می کند.")</f>
        <v>نکاتی را برای ایجاد محتوایی به اشتراک بگذارید که جرقه گفتگوها و تشویق مخاطبان را از طریق نظرات و بحث ها تشویق می کند.</v>
      </c>
      <c r="H345" s="1"/>
      <c r="I345" s="1"/>
      <c r="J345" s="1"/>
      <c r="K345" s="1"/>
      <c r="L345" s="1"/>
      <c r="M345" s="1"/>
      <c r="N345" s="1"/>
      <c r="O345" s="1"/>
      <c r="P345" s="1"/>
      <c r="Q345" s="1"/>
      <c r="R345" s="1"/>
      <c r="S345" s="1"/>
      <c r="T345" s="1"/>
      <c r="U345" s="1"/>
      <c r="V345" s="1"/>
      <c r="W345" s="1"/>
      <c r="X345" s="1"/>
      <c r="Y345" s="1"/>
      <c r="Z345" s="1"/>
      <c r="AA345" s="1"/>
      <c r="AB345" s="1"/>
    </row>
    <row r="346" ht="50.25" customHeight="1">
      <c r="A346" s="12">
        <v>342.0</v>
      </c>
      <c r="B346" s="13" t="s">
        <v>266</v>
      </c>
      <c r="C346" s="14" t="s">
        <v>349</v>
      </c>
      <c r="D346" s="1"/>
      <c r="E346" s="15"/>
      <c r="F346" s="1" t="str">
        <f>IFERROR(__xludf.DUMMYFUNCTION("GOOGLETRANSLATE(B346, ""en"", ""fa"")
"),"تولید محتوا")</f>
        <v>تولید محتوا</v>
      </c>
      <c r="G346" s="1" t="str">
        <f>IFERROR(__xludf.DUMMYFUNCTION("GOOGLETRANSLATE(C346, ""en"", ""fa"")
"),"مفهوم محتوای همیشه سبز و ارزش بلندمدت آن در ایجاد ترافیک ثابت و تعامل را بررسی کنید.")</f>
        <v>مفهوم محتوای همیشه سبز و ارزش بلندمدت آن در ایجاد ترافیک ثابت و تعامل را بررسی کنید.</v>
      </c>
      <c r="H346" s="1"/>
      <c r="I346" s="1"/>
      <c r="J346" s="1"/>
      <c r="K346" s="1"/>
      <c r="L346" s="1"/>
      <c r="M346" s="1"/>
      <c r="N346" s="1"/>
      <c r="O346" s="1"/>
      <c r="P346" s="1"/>
      <c r="Q346" s="1"/>
      <c r="R346" s="1"/>
      <c r="S346" s="1"/>
      <c r="T346" s="1"/>
      <c r="U346" s="1"/>
      <c r="V346" s="1"/>
      <c r="W346" s="1"/>
      <c r="X346" s="1"/>
      <c r="Y346" s="1"/>
      <c r="Z346" s="1"/>
      <c r="AA346" s="1"/>
      <c r="AB346" s="1"/>
    </row>
    <row r="347" ht="50.25" customHeight="1">
      <c r="A347" s="12">
        <v>343.0</v>
      </c>
      <c r="B347" s="13" t="s">
        <v>266</v>
      </c>
      <c r="C347" s="14" t="s">
        <v>350</v>
      </c>
      <c r="D347" s="1"/>
      <c r="E347" s="15"/>
      <c r="F347" s="1" t="str">
        <f>IFERROR(__xludf.DUMMYFUNCTION("GOOGLETRANSLATE(B347, ""en"", ""fa"")
"),"تولید محتوا")</f>
        <v>تولید محتوا</v>
      </c>
      <c r="G347" s="1" t="str">
        <f>IFERROR(__xludf.DUMMYFUNCTION("GOOGLETRANSLATE(C347, ""en"", ""fa"")
"),"در مورد نقش پرسونای کاربر در مناسب سازی محتوای خود برای مخاطبان هدف خاص بحث کنید.")</f>
        <v>در مورد نقش پرسونای کاربر در مناسب سازی محتوای خود برای مخاطبان هدف خاص بحث کنید.</v>
      </c>
      <c r="H347" s="1"/>
      <c r="I347" s="1"/>
      <c r="J347" s="1"/>
      <c r="K347" s="1"/>
      <c r="L347" s="1"/>
      <c r="M347" s="1"/>
      <c r="N347" s="1"/>
      <c r="O347" s="1"/>
      <c r="P347" s="1"/>
      <c r="Q347" s="1"/>
      <c r="R347" s="1"/>
      <c r="S347" s="1"/>
      <c r="T347" s="1"/>
      <c r="U347" s="1"/>
      <c r="V347" s="1"/>
      <c r="W347" s="1"/>
      <c r="X347" s="1"/>
      <c r="Y347" s="1"/>
      <c r="Z347" s="1"/>
      <c r="AA347" s="1"/>
      <c r="AB347" s="1"/>
    </row>
    <row r="348" ht="50.25" customHeight="1">
      <c r="A348" s="12">
        <v>344.0</v>
      </c>
      <c r="B348" s="13" t="s">
        <v>266</v>
      </c>
      <c r="C348" s="14" t="s">
        <v>351</v>
      </c>
      <c r="D348" s="1"/>
      <c r="E348" s="15"/>
      <c r="F348" s="1" t="str">
        <f>IFERROR(__xludf.DUMMYFUNCTION("GOOGLETRANSLATE(B348, ""en"", ""fa"")
"),"تولید محتوا")</f>
        <v>تولید محتوا</v>
      </c>
      <c r="G348" s="1" t="str">
        <f>IFERROR(__xludf.DUMMYFUNCTION("GOOGLETRANSLATE(C348, ""en"", ""fa"")
"),"استراتژی‌هایی را برای تبدیل محتوای وبلاگ به پست‌های جذاب رسانه‌های اجتماعی و بالعکس به اشتراک بگذارید.")</f>
        <v>استراتژی‌هایی را برای تبدیل محتوای وبلاگ به پست‌های جذاب رسانه‌های اجتماعی و بالعکس به اشتراک بگذارید.</v>
      </c>
      <c r="H348" s="1"/>
      <c r="I348" s="1"/>
      <c r="J348" s="1"/>
      <c r="K348" s="1"/>
      <c r="L348" s="1"/>
      <c r="M348" s="1"/>
      <c r="N348" s="1"/>
      <c r="O348" s="1"/>
      <c r="P348" s="1"/>
      <c r="Q348" s="1"/>
      <c r="R348" s="1"/>
      <c r="S348" s="1"/>
      <c r="T348" s="1"/>
      <c r="U348" s="1"/>
      <c r="V348" s="1"/>
      <c r="W348" s="1"/>
      <c r="X348" s="1"/>
      <c r="Y348" s="1"/>
      <c r="Z348" s="1"/>
      <c r="AA348" s="1"/>
      <c r="AB348" s="1"/>
    </row>
    <row r="349" ht="50.25" customHeight="1">
      <c r="A349" s="12">
        <v>345.0</v>
      </c>
      <c r="B349" s="13" t="s">
        <v>266</v>
      </c>
      <c r="C349" s="14" t="s">
        <v>352</v>
      </c>
      <c r="D349" s="1"/>
      <c r="E349" s="15"/>
      <c r="F349" s="1" t="str">
        <f>IFERROR(__xludf.DUMMYFUNCTION("GOOGLETRANSLATE(B349, ""en"", ""fa"")
"),"تولید محتوا")</f>
        <v>تولید محتوا</v>
      </c>
      <c r="G349" s="1" t="str">
        <f>IFERROR(__xludf.DUMMYFUNCTION("GOOGLETRANSLATE(C349, ""en"", ""fa"")
"),"مزایای انجام تجزیه و تحلیل رقبا برای شناسایی شکاف ها و فرصت های محتوا را بررسی کنید.")</f>
        <v>مزایای انجام تجزیه و تحلیل رقبا برای شناسایی شکاف ها و فرصت های محتوا را بررسی کنید.</v>
      </c>
      <c r="H349" s="1"/>
      <c r="I349" s="1"/>
      <c r="J349" s="1"/>
      <c r="K349" s="1"/>
      <c r="L349" s="1"/>
      <c r="M349" s="1"/>
      <c r="N349" s="1"/>
      <c r="O349" s="1"/>
      <c r="P349" s="1"/>
      <c r="Q349" s="1"/>
      <c r="R349" s="1"/>
      <c r="S349" s="1"/>
      <c r="T349" s="1"/>
      <c r="U349" s="1"/>
      <c r="V349" s="1"/>
      <c r="W349" s="1"/>
      <c r="X349" s="1"/>
      <c r="Y349" s="1"/>
      <c r="Z349" s="1"/>
      <c r="AA349" s="1"/>
      <c r="AB349" s="1"/>
    </row>
    <row r="350" ht="50.25" customHeight="1">
      <c r="A350" s="12">
        <v>346.0</v>
      </c>
      <c r="B350" s="13" t="s">
        <v>266</v>
      </c>
      <c r="C350" s="14" t="s">
        <v>353</v>
      </c>
      <c r="D350" s="1"/>
      <c r="E350" s="15"/>
      <c r="F350" s="1" t="str">
        <f>IFERROR(__xludf.DUMMYFUNCTION("GOOGLETRANSLATE(B350, ""en"", ""fa"")
"),"تولید محتوا")</f>
        <v>تولید محتوا</v>
      </c>
      <c r="G350" s="1" t="str">
        <f>IFERROR(__xludf.DUMMYFUNCTION("GOOGLETRANSLATE(C350, ""en"", ""fa"")
"),"در مورد تاثیر داستان سرایی بصری از طریق پلتفرم هایی مانند استوری اینستاگرام یا اسنپ چت بحث کنید.")</f>
        <v>در مورد تاثیر داستان سرایی بصری از طریق پلتفرم هایی مانند استوری اینستاگرام یا اسنپ چت بحث کنید.</v>
      </c>
      <c r="H350" s="1"/>
      <c r="I350" s="1"/>
      <c r="J350" s="1"/>
      <c r="K350" s="1"/>
      <c r="L350" s="1"/>
      <c r="M350" s="1"/>
      <c r="N350" s="1"/>
      <c r="O350" s="1"/>
      <c r="P350" s="1"/>
      <c r="Q350" s="1"/>
      <c r="R350" s="1"/>
      <c r="S350" s="1"/>
      <c r="T350" s="1"/>
      <c r="U350" s="1"/>
      <c r="V350" s="1"/>
      <c r="W350" s="1"/>
      <c r="X350" s="1"/>
      <c r="Y350" s="1"/>
      <c r="Z350" s="1"/>
      <c r="AA350" s="1"/>
      <c r="AB350" s="1"/>
    </row>
    <row r="351" ht="50.25" customHeight="1">
      <c r="A351" s="12">
        <v>347.0</v>
      </c>
      <c r="B351" s="13" t="s">
        <v>266</v>
      </c>
      <c r="C351" s="14" t="s">
        <v>354</v>
      </c>
      <c r="D351" s="1"/>
      <c r="E351" s="15"/>
      <c r="F351" s="1" t="str">
        <f>IFERROR(__xludf.DUMMYFUNCTION("GOOGLETRANSLATE(B351, ""en"", ""fa"")
"),"تولید محتوا")</f>
        <v>تولید محتوا</v>
      </c>
      <c r="G351" s="1" t="str">
        <f>IFERROR(__xludf.DUMMYFUNCTION("GOOGLETRANSLATE(C351, ""en"", ""fa"")
"),"نکاتی را برای بهینه‌سازی محتوا برای جستجوی صوتی به اشتراک بگذارید تا محبوبیت روزافزون دستگاه‌های فعال‌کننده صوتی را تامین کند.")</f>
        <v>نکاتی را برای بهینه‌سازی محتوا برای جستجوی صوتی به اشتراک بگذارید تا محبوبیت روزافزون دستگاه‌های فعال‌کننده صوتی را تامین کند.</v>
      </c>
      <c r="H351" s="1"/>
      <c r="I351" s="1"/>
      <c r="J351" s="1"/>
      <c r="K351" s="1"/>
      <c r="L351" s="1"/>
      <c r="M351" s="1"/>
      <c r="N351" s="1"/>
      <c r="O351" s="1"/>
      <c r="P351" s="1"/>
      <c r="Q351" s="1"/>
      <c r="R351" s="1"/>
      <c r="S351" s="1"/>
      <c r="T351" s="1"/>
      <c r="U351" s="1"/>
      <c r="V351" s="1"/>
      <c r="W351" s="1"/>
      <c r="X351" s="1"/>
      <c r="Y351" s="1"/>
      <c r="Z351" s="1"/>
      <c r="AA351" s="1"/>
      <c r="AB351" s="1"/>
    </row>
    <row r="352" ht="50.25" customHeight="1">
      <c r="A352" s="12">
        <v>348.0</v>
      </c>
      <c r="B352" s="13" t="s">
        <v>266</v>
      </c>
      <c r="C352" s="14" t="s">
        <v>355</v>
      </c>
      <c r="D352" s="1"/>
      <c r="E352" s="15"/>
      <c r="F352" s="1" t="str">
        <f>IFERROR(__xludf.DUMMYFUNCTION("GOOGLETRANSLATE(B352, ""en"", ""fa"")
"),"تولید محتوا")</f>
        <v>تولید محتوا</v>
      </c>
      <c r="G352" s="1" t="str">
        <f>IFERROR(__xludf.DUMMYFUNCTION("GOOGLETRANSLATE(C352, ""en"", ""fa"")
"),"مفهوم دروازه های محتوا و ایجاد محتوای انحصاری برای مخاطبان یا مشترکین وفادار خود را بررسی کنید.")</f>
        <v>مفهوم دروازه های محتوا و ایجاد محتوای انحصاری برای مخاطبان یا مشترکین وفادار خود را بررسی کنید.</v>
      </c>
      <c r="H352" s="1"/>
      <c r="I352" s="1"/>
      <c r="J352" s="1"/>
      <c r="K352" s="1"/>
      <c r="L352" s="1"/>
      <c r="M352" s="1"/>
      <c r="N352" s="1"/>
      <c r="O352" s="1"/>
      <c r="P352" s="1"/>
      <c r="Q352" s="1"/>
      <c r="R352" s="1"/>
      <c r="S352" s="1"/>
      <c r="T352" s="1"/>
      <c r="U352" s="1"/>
      <c r="V352" s="1"/>
      <c r="W352" s="1"/>
      <c r="X352" s="1"/>
      <c r="Y352" s="1"/>
      <c r="Z352" s="1"/>
      <c r="AA352" s="1"/>
      <c r="AB352" s="1"/>
    </row>
    <row r="353" ht="50.25" customHeight="1">
      <c r="A353" s="12">
        <v>349.0</v>
      </c>
      <c r="B353" s="13" t="s">
        <v>266</v>
      </c>
      <c r="C353" s="14" t="s">
        <v>356</v>
      </c>
      <c r="D353" s="1"/>
      <c r="E353" s="15"/>
      <c r="F353" s="1" t="str">
        <f>IFERROR(__xludf.DUMMYFUNCTION("GOOGLETRANSLATE(B353, ""en"", ""fa"")
"),"تولید محتوا")</f>
        <v>تولید محتوا</v>
      </c>
      <c r="G353" s="1" t="str">
        <f>IFERROR(__xludf.DUMMYFUNCTION("GOOGLETRANSLATE(C353, ""en"", ""fa"")
"),"درباره نقش ممیزی محتوا در ارزیابی عملکرد و ارتباط محتوای موجود خود بحث کنید.")</f>
        <v>درباره نقش ممیزی محتوا در ارزیابی عملکرد و ارتباط محتوای موجود خود بحث کنید.</v>
      </c>
      <c r="H353" s="1"/>
      <c r="I353" s="1"/>
      <c r="J353" s="1"/>
      <c r="K353" s="1"/>
      <c r="L353" s="1"/>
      <c r="M353" s="1"/>
      <c r="N353" s="1"/>
      <c r="O353" s="1"/>
      <c r="P353" s="1"/>
      <c r="Q353" s="1"/>
      <c r="R353" s="1"/>
      <c r="S353" s="1"/>
      <c r="T353" s="1"/>
      <c r="U353" s="1"/>
      <c r="V353" s="1"/>
      <c r="W353" s="1"/>
      <c r="X353" s="1"/>
      <c r="Y353" s="1"/>
      <c r="Z353" s="1"/>
      <c r="AA353" s="1"/>
      <c r="AB353" s="1"/>
    </row>
    <row r="354" ht="50.25" customHeight="1">
      <c r="A354" s="12">
        <v>350.0</v>
      </c>
      <c r="B354" s="13" t="s">
        <v>266</v>
      </c>
      <c r="C354" s="14" t="s">
        <v>357</v>
      </c>
      <c r="D354" s="1"/>
      <c r="E354" s="15"/>
      <c r="F354" s="1" t="str">
        <f>IFERROR(__xludf.DUMMYFUNCTION("GOOGLETRANSLATE(B354, ""en"", ""fa"")
"),"تولید محتوا")</f>
        <v>تولید محتوا</v>
      </c>
      <c r="G354" s="1" t="str">
        <f>IFERROR(__xludf.DUMMYFUNCTION("GOOGLETRANSLATE(C354, ""en"", ""fa"")
"),"استراتژی هایی برای ایجاد محتوایی که با ارزش های برند شما همسو باشد و با مخاطبان هدف شما طنین انداز شود به اشتراک بگذارید.")</f>
        <v>استراتژی هایی برای ایجاد محتوایی که با ارزش های برند شما همسو باشد و با مخاطبان هدف شما طنین انداز شود به اشتراک بگذارید.</v>
      </c>
      <c r="H354" s="1"/>
      <c r="I354" s="1"/>
      <c r="J354" s="1"/>
      <c r="K354" s="1"/>
      <c r="L354" s="1"/>
      <c r="M354" s="1"/>
      <c r="N354" s="1"/>
      <c r="O354" s="1"/>
      <c r="P354" s="1"/>
      <c r="Q354" s="1"/>
      <c r="R354" s="1"/>
      <c r="S354" s="1"/>
      <c r="T354" s="1"/>
      <c r="U354" s="1"/>
      <c r="V354" s="1"/>
      <c r="W354" s="1"/>
      <c r="X354" s="1"/>
      <c r="Y354" s="1"/>
      <c r="Z354" s="1"/>
      <c r="AA354" s="1"/>
      <c r="AB354" s="1"/>
    </row>
    <row r="355" ht="50.25" customHeight="1">
      <c r="A355" s="12">
        <v>351.0</v>
      </c>
      <c r="B355" s="13" t="s">
        <v>266</v>
      </c>
      <c r="C355" s="14" t="s">
        <v>358</v>
      </c>
      <c r="D355" s="1"/>
      <c r="E355" s="15"/>
      <c r="F355" s="1" t="str">
        <f>IFERROR(__xludf.DUMMYFUNCTION("GOOGLETRANSLATE(B355, ""en"", ""fa"")
"),"تولید محتوا")</f>
        <v>تولید محتوا</v>
      </c>
      <c r="G355" s="1" t="str">
        <f>IFERROR(__xludf.DUMMYFUNCTION("GOOGLETRANSLATE(C355, ""en"", ""fa"")
"),"مزایای ایجاد مجموعه های محتوا یا محتوای سریالی را بررسی کنید تا مخاطبان خود را درگیر خود نگه دارید و برای اطلاعات بیشتر بازگردید.")</f>
        <v>مزایای ایجاد مجموعه های محتوا یا محتوای سریالی را بررسی کنید تا مخاطبان خود را درگیر خود نگه دارید و برای اطلاعات بیشتر بازگردید.</v>
      </c>
      <c r="H355" s="1"/>
      <c r="I355" s="1"/>
      <c r="J355" s="1"/>
      <c r="K355" s="1"/>
      <c r="L355" s="1"/>
      <c r="M355" s="1"/>
      <c r="N355" s="1"/>
      <c r="O355" s="1"/>
      <c r="P355" s="1"/>
      <c r="Q355" s="1"/>
      <c r="R355" s="1"/>
      <c r="S355" s="1"/>
      <c r="T355" s="1"/>
      <c r="U355" s="1"/>
      <c r="V355" s="1"/>
      <c r="W355" s="1"/>
      <c r="X355" s="1"/>
      <c r="Y355" s="1"/>
      <c r="Z355" s="1"/>
      <c r="AA355" s="1"/>
      <c r="AB355" s="1"/>
    </row>
    <row r="356" ht="50.25" customHeight="1">
      <c r="A356" s="12">
        <v>352.0</v>
      </c>
      <c r="B356" s="13" t="s">
        <v>266</v>
      </c>
      <c r="C356" s="14" t="s">
        <v>359</v>
      </c>
      <c r="D356" s="1"/>
      <c r="E356" s="15"/>
      <c r="F356" s="1" t="str">
        <f>IFERROR(__xludf.DUMMYFUNCTION("GOOGLETRANSLATE(B356, ""en"", ""fa"")
"),"تولید محتوا")</f>
        <v>تولید محتوا</v>
      </c>
      <c r="G356" s="1" t="str">
        <f>IFERROR(__xludf.DUMMYFUNCTION("GOOGLETRANSLATE(C356, ""en"", ""fa"")
"),"در مورد تأثیر عناصر اثبات اجتماعی، مانند توصیفات مشتری یا اشتراک گذاری رسانه های اجتماعی، در ایجاد اعتماد با مخاطبان خود بحث کنید.")</f>
        <v>در مورد تأثیر عناصر اثبات اجتماعی، مانند توصیفات مشتری یا اشتراک گذاری رسانه های اجتماعی، در ایجاد اعتماد با مخاطبان خود بحث کنید.</v>
      </c>
      <c r="H356" s="1"/>
      <c r="I356" s="1"/>
      <c r="J356" s="1"/>
      <c r="K356" s="1"/>
      <c r="L356" s="1"/>
      <c r="M356" s="1"/>
      <c r="N356" s="1"/>
      <c r="O356" s="1"/>
      <c r="P356" s="1"/>
      <c r="Q356" s="1"/>
      <c r="R356" s="1"/>
      <c r="S356" s="1"/>
      <c r="T356" s="1"/>
      <c r="U356" s="1"/>
      <c r="V356" s="1"/>
      <c r="W356" s="1"/>
      <c r="X356" s="1"/>
      <c r="Y356" s="1"/>
      <c r="Z356" s="1"/>
      <c r="AA356" s="1"/>
      <c r="AB356" s="1"/>
    </row>
    <row r="357" ht="50.25" customHeight="1">
      <c r="A357" s="12">
        <v>353.0</v>
      </c>
      <c r="B357" s="13" t="s">
        <v>266</v>
      </c>
      <c r="C357" s="14" t="s">
        <v>360</v>
      </c>
      <c r="D357" s="1"/>
      <c r="E357" s="15"/>
      <c r="F357" s="1" t="str">
        <f>IFERROR(__xludf.DUMMYFUNCTION("GOOGLETRANSLATE(B357, ""en"", ""fa"")
"),"تولید محتوا")</f>
        <v>تولید محتوا</v>
      </c>
      <c r="G357" s="1" t="str">
        <f>IFERROR(__xludf.DUMMYFUNCTION("GOOGLETRANSLATE(C357, ""en"", ""fa"")
"),"نکاتی را برای ایجاد محتوایی به اشتراک بگذارید که نکات عملی، آموزش یا راهنماهایی را برای کمک به مخاطبان شما در حل مشکلات خاص ارائه می دهد.")</f>
        <v>نکاتی را برای ایجاد محتوایی به اشتراک بگذارید که نکات عملی، آموزش یا راهنماهایی را برای کمک به مخاطبان شما در حل مشکلات خاص ارائه می دهد.</v>
      </c>
      <c r="H357" s="1"/>
      <c r="I357" s="1"/>
      <c r="J357" s="1"/>
      <c r="K357" s="1"/>
      <c r="L357" s="1"/>
      <c r="M357" s="1"/>
      <c r="N357" s="1"/>
      <c r="O357" s="1"/>
      <c r="P357" s="1"/>
      <c r="Q357" s="1"/>
      <c r="R357" s="1"/>
      <c r="S357" s="1"/>
      <c r="T357" s="1"/>
      <c r="U357" s="1"/>
      <c r="V357" s="1"/>
      <c r="W357" s="1"/>
      <c r="X357" s="1"/>
      <c r="Y357" s="1"/>
      <c r="Z357" s="1"/>
      <c r="AA357" s="1"/>
      <c r="AB357" s="1"/>
    </row>
    <row r="358" ht="50.25" customHeight="1">
      <c r="A358" s="12">
        <v>354.0</v>
      </c>
      <c r="B358" s="13" t="s">
        <v>266</v>
      </c>
      <c r="C358" s="14" t="s">
        <v>361</v>
      </c>
      <c r="D358" s="1"/>
      <c r="E358" s="15"/>
      <c r="F358" s="1" t="str">
        <f>IFERROR(__xludf.DUMMYFUNCTION("GOOGLETRANSLATE(B358, ""en"", ""fa"")
"),"تولید محتوا")</f>
        <v>تولید محتوا</v>
      </c>
      <c r="G358" s="1" t="str">
        <f>IFERROR(__xludf.DUMMYFUNCTION("GOOGLETRANSLATE(C358, ""en"", ""fa"")
"),"مفهوم تغییر کاربری محتوا برای قالب‌های مختلف، مانند تبدیل پست‌های وبلاگ به اسکریپت‌های ویدیویی یا قسمت‌های پادکست را بررسی کنید.")</f>
        <v>مفهوم تغییر کاربری محتوا برای قالب‌های مختلف، مانند تبدیل پست‌های وبلاگ به اسکریپت‌های ویدیویی یا قسمت‌های پادکست را بررسی کنید.</v>
      </c>
      <c r="H358" s="1"/>
      <c r="I358" s="1"/>
      <c r="J358" s="1"/>
      <c r="K358" s="1"/>
      <c r="L358" s="1"/>
      <c r="M358" s="1"/>
      <c r="N358" s="1"/>
      <c r="O358" s="1"/>
      <c r="P358" s="1"/>
      <c r="Q358" s="1"/>
      <c r="R358" s="1"/>
      <c r="S358" s="1"/>
      <c r="T358" s="1"/>
      <c r="U358" s="1"/>
      <c r="V358" s="1"/>
      <c r="W358" s="1"/>
      <c r="X358" s="1"/>
      <c r="Y358" s="1"/>
      <c r="Z358" s="1"/>
      <c r="AA358" s="1"/>
      <c r="AB358" s="1"/>
    </row>
    <row r="359" ht="50.25" customHeight="1">
      <c r="A359" s="12">
        <v>355.0</v>
      </c>
      <c r="B359" s="13" t="s">
        <v>266</v>
      </c>
      <c r="C359" s="14" t="s">
        <v>362</v>
      </c>
      <c r="D359" s="1"/>
      <c r="E359" s="15"/>
      <c r="F359" s="1" t="str">
        <f>IFERROR(__xludf.DUMMYFUNCTION("GOOGLETRANSLATE(B359, ""en"", ""fa"")
"),"تولید محتوا")</f>
        <v>تولید محتوا</v>
      </c>
      <c r="G359" s="1" t="str">
        <f>IFERROR(__xludf.DUMMYFUNCTION("GOOGLETRANSLATE(C359, ""en"", ""fa"")
"),"در مورد نقش تجزیه و تحلیل شکاف محتوا در شناسایی فرصت هایی برای ایجاد محتوایی که از رقبای شما بهتر عمل می کند بحث کنید.")</f>
        <v>در مورد نقش تجزیه و تحلیل شکاف محتوا در شناسایی فرصت هایی برای ایجاد محتوایی که از رقبای شما بهتر عمل می کند بحث کنید.</v>
      </c>
      <c r="H359" s="1"/>
      <c r="I359" s="1"/>
      <c r="J359" s="1"/>
      <c r="K359" s="1"/>
      <c r="L359" s="1"/>
      <c r="M359" s="1"/>
      <c r="N359" s="1"/>
      <c r="O359" s="1"/>
      <c r="P359" s="1"/>
      <c r="Q359" s="1"/>
      <c r="R359" s="1"/>
      <c r="S359" s="1"/>
      <c r="T359" s="1"/>
      <c r="U359" s="1"/>
      <c r="V359" s="1"/>
      <c r="W359" s="1"/>
      <c r="X359" s="1"/>
      <c r="Y359" s="1"/>
      <c r="Z359" s="1"/>
      <c r="AA359" s="1"/>
      <c r="AB359" s="1"/>
    </row>
    <row r="360" ht="50.25" customHeight="1">
      <c r="A360" s="12">
        <v>356.0</v>
      </c>
      <c r="B360" s="13" t="s">
        <v>266</v>
      </c>
      <c r="C360" s="14" t="s">
        <v>363</v>
      </c>
      <c r="D360" s="1"/>
      <c r="E360" s="15"/>
      <c r="F360" s="1" t="str">
        <f>IFERROR(__xludf.DUMMYFUNCTION("GOOGLETRANSLATE(B360, ""en"", ""fa"")
"),"تولید محتوا")</f>
        <v>تولید محتوا</v>
      </c>
      <c r="G360" s="1" t="str">
        <f>IFERROR(__xludf.DUMMYFUNCTION("GOOGLETRANSLATE(C360, ""en"", ""fa"")
"),"استراتژی هایی را برای استفاده از هشتگ ها و موضوعات پرطرفدار به اشتراک بگذارید تا دسترسی محتوای خود را در رسانه های اجتماعی تقویت کنید.")</f>
        <v>استراتژی هایی را برای استفاده از هشتگ ها و موضوعات پرطرفدار به اشتراک بگذارید تا دسترسی محتوای خود را در رسانه های اجتماعی تقویت کنید.</v>
      </c>
      <c r="H360" s="1"/>
      <c r="I360" s="1"/>
      <c r="J360" s="1"/>
      <c r="K360" s="1"/>
      <c r="L360" s="1"/>
      <c r="M360" s="1"/>
      <c r="N360" s="1"/>
      <c r="O360" s="1"/>
      <c r="P360" s="1"/>
      <c r="Q360" s="1"/>
      <c r="R360" s="1"/>
      <c r="S360" s="1"/>
      <c r="T360" s="1"/>
      <c r="U360" s="1"/>
      <c r="V360" s="1"/>
      <c r="W360" s="1"/>
      <c r="X360" s="1"/>
      <c r="Y360" s="1"/>
      <c r="Z360" s="1"/>
      <c r="AA360" s="1"/>
      <c r="AB360" s="1"/>
    </row>
    <row r="361" ht="50.25" customHeight="1">
      <c r="A361" s="12">
        <v>357.0</v>
      </c>
      <c r="B361" s="13" t="s">
        <v>266</v>
      </c>
      <c r="C361" s="14" t="s">
        <v>364</v>
      </c>
      <c r="D361" s="1"/>
      <c r="E361" s="15"/>
      <c r="F361" s="1" t="str">
        <f>IFERROR(__xludf.DUMMYFUNCTION("GOOGLETRANSLATE(B361, ""en"", ""fa"")
"),"تولید محتوا")</f>
        <v>تولید محتوا</v>
      </c>
      <c r="G361" s="1" t="str">
        <f>IFERROR(__xludf.DUMMYFUNCTION("GOOGLETRANSLATE(C361, ""en"", ""fa"")
"),"مزایای ایجاد محتوایی را که به چالش‌های منحصربه‌فرد و نقاط دردناک مخاطبان خاص یا تخصصی می‌پردازد، کاوش کنید.")</f>
        <v>مزایای ایجاد محتوایی را که به چالش‌های منحصربه‌فرد و نقاط دردناک مخاطبان خاص یا تخصصی می‌پردازد، کاوش کنید.</v>
      </c>
      <c r="H361" s="1"/>
      <c r="I361" s="1"/>
      <c r="J361" s="1"/>
      <c r="K361" s="1"/>
      <c r="L361" s="1"/>
      <c r="M361" s="1"/>
      <c r="N361" s="1"/>
      <c r="O361" s="1"/>
      <c r="P361" s="1"/>
      <c r="Q361" s="1"/>
      <c r="R361" s="1"/>
      <c r="S361" s="1"/>
      <c r="T361" s="1"/>
      <c r="U361" s="1"/>
      <c r="V361" s="1"/>
      <c r="W361" s="1"/>
      <c r="X361" s="1"/>
      <c r="Y361" s="1"/>
      <c r="Z361" s="1"/>
      <c r="AA361" s="1"/>
      <c r="AB361" s="1"/>
    </row>
    <row r="362" ht="50.25" customHeight="1">
      <c r="A362" s="12">
        <v>358.0</v>
      </c>
      <c r="B362" s="13" t="s">
        <v>266</v>
      </c>
      <c r="C362" s="14" t="s">
        <v>365</v>
      </c>
      <c r="D362" s="1"/>
      <c r="E362" s="15"/>
      <c r="F362" s="1" t="str">
        <f>IFERROR(__xludf.DUMMYFUNCTION("GOOGLETRANSLATE(B362, ""en"", ""fa"")
"),"تولید محتوا")</f>
        <v>تولید محتوا</v>
      </c>
      <c r="G362" s="1" t="str">
        <f>IFERROR(__xludf.DUMMYFUNCTION("GOOGLETRANSLATE(C362, ""en"", ""fa"")
"),"درباره تأثیر شخصی‌سازی محتوا و تنظیم پیام‌های خود با مراحل مختلف سفر خریدار بحث کنید.")</f>
        <v>درباره تأثیر شخصی‌سازی محتوا و تنظیم پیام‌های خود با مراحل مختلف سفر خریدار بحث کنید.</v>
      </c>
      <c r="H362" s="1"/>
      <c r="I362" s="1"/>
      <c r="J362" s="1"/>
      <c r="K362" s="1"/>
      <c r="L362" s="1"/>
      <c r="M362" s="1"/>
      <c r="N362" s="1"/>
      <c r="O362" s="1"/>
      <c r="P362" s="1"/>
      <c r="Q362" s="1"/>
      <c r="R362" s="1"/>
      <c r="S362" s="1"/>
      <c r="T362" s="1"/>
      <c r="U362" s="1"/>
      <c r="V362" s="1"/>
      <c r="W362" s="1"/>
      <c r="X362" s="1"/>
      <c r="Y362" s="1"/>
      <c r="Z362" s="1"/>
      <c r="AA362" s="1"/>
      <c r="AB362" s="1"/>
    </row>
    <row r="363" ht="50.25" customHeight="1">
      <c r="A363" s="12">
        <v>359.0</v>
      </c>
      <c r="B363" s="13" t="s">
        <v>266</v>
      </c>
      <c r="C363" s="14" t="s">
        <v>366</v>
      </c>
      <c r="D363" s="1"/>
      <c r="E363" s="15"/>
      <c r="F363" s="1" t="str">
        <f>IFERROR(__xludf.DUMMYFUNCTION("GOOGLETRANSLATE(B363, ""en"", ""fa"")
"),"تولید محتوا")</f>
        <v>تولید محتوا</v>
      </c>
      <c r="G363" s="1" t="str">
        <f>IFERROR(__xludf.DUMMYFUNCTION("GOOGLETRANSLATE(C363, ""en"", ""fa"")
"),"نکاتی را برای ایجاد محتوایی که به اشتراک گذاری اجتماعی و ویروسی بودن را تشویق می کند، مانند ایجاد گرافیک نقل قول یا اینفوگرافیک قابل اشتراک گذاری، به اشتراک بگذارید.")</f>
        <v>نکاتی را برای ایجاد محتوایی که به اشتراک گذاری اجتماعی و ویروسی بودن را تشویق می کند، مانند ایجاد گرافیک نقل قول یا اینفوگرافیک قابل اشتراک گذاری، به اشتراک بگذارید.</v>
      </c>
      <c r="H363" s="1"/>
      <c r="I363" s="1"/>
      <c r="J363" s="1"/>
      <c r="K363" s="1"/>
      <c r="L363" s="1"/>
      <c r="M363" s="1"/>
      <c r="N363" s="1"/>
      <c r="O363" s="1"/>
      <c r="P363" s="1"/>
      <c r="Q363" s="1"/>
      <c r="R363" s="1"/>
      <c r="S363" s="1"/>
      <c r="T363" s="1"/>
      <c r="U363" s="1"/>
      <c r="V363" s="1"/>
      <c r="W363" s="1"/>
      <c r="X363" s="1"/>
      <c r="Y363" s="1"/>
      <c r="Z363" s="1"/>
      <c r="AA363" s="1"/>
      <c r="AB363" s="1"/>
    </row>
    <row r="364" ht="50.25" customHeight="1">
      <c r="A364" s="12">
        <v>360.0</v>
      </c>
      <c r="B364" s="13" t="s">
        <v>266</v>
      </c>
      <c r="C364" s="14" t="s">
        <v>367</v>
      </c>
      <c r="D364" s="1"/>
      <c r="E364" s="15"/>
      <c r="F364" s="1" t="str">
        <f>IFERROR(__xludf.DUMMYFUNCTION("GOOGLETRANSLATE(B364, ""en"", ""fa"")
"),"تولید محتوا")</f>
        <v>تولید محتوا</v>
      </c>
      <c r="G364" s="1" t="str">
        <f>IFERROR(__xludf.DUMMYFUNCTION("GOOGLETRANSLATE(C364, ""en"", ""fa"")
"),"مفهوم داستان سرایی را از طریق محتوای تولید شده توسط کاربر، مانند داستان های مشتری یا توصیفات، کاوش کنید.")</f>
        <v>مفهوم داستان سرایی را از طریق محتوای تولید شده توسط کاربر، مانند داستان های مشتری یا توصیفات، کاوش کنید.</v>
      </c>
      <c r="H364" s="1"/>
      <c r="I364" s="1"/>
      <c r="J364" s="1"/>
      <c r="K364" s="1"/>
      <c r="L364" s="1"/>
      <c r="M364" s="1"/>
      <c r="N364" s="1"/>
      <c r="O364" s="1"/>
      <c r="P364" s="1"/>
      <c r="Q364" s="1"/>
      <c r="R364" s="1"/>
      <c r="S364" s="1"/>
      <c r="T364" s="1"/>
      <c r="U364" s="1"/>
      <c r="V364" s="1"/>
      <c r="W364" s="1"/>
      <c r="X364" s="1"/>
      <c r="Y364" s="1"/>
      <c r="Z364" s="1"/>
      <c r="AA364" s="1"/>
      <c r="AB364" s="1"/>
    </row>
    <row r="365" ht="50.25" customHeight="1">
      <c r="A365" s="12">
        <v>361.0</v>
      </c>
      <c r="B365" s="13" t="s">
        <v>266</v>
      </c>
      <c r="C365" s="14" t="s">
        <v>368</v>
      </c>
      <c r="D365" s="1"/>
      <c r="E365" s="15"/>
      <c r="F365" s="1" t="str">
        <f>IFERROR(__xludf.DUMMYFUNCTION("GOOGLETRANSLATE(B365, ""en"", ""fa"")
"),"تولید محتوا")</f>
        <v>تولید محتوا</v>
      </c>
      <c r="G365" s="1" t="str">
        <f>IFERROR(__xludf.DUMMYFUNCTION("GOOGLETRANSLATE(C365, ""en"", ""fa"")
"),"در مورد مزایای استفاده از تکنیک‌های داستان‌گویی بصری در محتوا، مانند استوری‌برد یا روایت‌های تصویری بحث کنید.")</f>
        <v>در مورد مزایای استفاده از تکنیک‌های داستان‌گویی بصری در محتوا، مانند استوری‌برد یا روایت‌های تصویری بحث کنید.</v>
      </c>
      <c r="H365" s="1"/>
      <c r="I365" s="1"/>
      <c r="J365" s="1"/>
      <c r="K365" s="1"/>
      <c r="L365" s="1"/>
      <c r="M365" s="1"/>
      <c r="N365" s="1"/>
      <c r="O365" s="1"/>
      <c r="P365" s="1"/>
      <c r="Q365" s="1"/>
      <c r="R365" s="1"/>
      <c r="S365" s="1"/>
      <c r="T365" s="1"/>
      <c r="U365" s="1"/>
      <c r="V365" s="1"/>
      <c r="W365" s="1"/>
      <c r="X365" s="1"/>
      <c r="Y365" s="1"/>
      <c r="Z365" s="1"/>
      <c r="AA365" s="1"/>
      <c r="AB365" s="1"/>
    </row>
    <row r="366" ht="50.25" customHeight="1">
      <c r="A366" s="12">
        <v>362.0</v>
      </c>
      <c r="B366" s="13" t="s">
        <v>266</v>
      </c>
      <c r="C366" s="14" t="s">
        <v>369</v>
      </c>
      <c r="D366" s="1"/>
      <c r="E366" s="15"/>
      <c r="F366" s="1" t="str">
        <f>IFERROR(__xludf.DUMMYFUNCTION("GOOGLETRANSLATE(B366, ""en"", ""fa"")
"),"تولید محتوا")</f>
        <v>تولید محتوا</v>
      </c>
      <c r="G366" s="1" t="str">
        <f>IFERROR(__xludf.DUMMYFUNCTION("GOOGLETRANSLATE(C366, ""en"", ""fa"")
"),"استراتژی هایی را برای ایجاد محتوایی که احساسات را برمی انگیزد و حس ارتباط با مخاطبان را تقویت می کند، به اشتراک بگذارید.")</f>
        <v>استراتژی هایی را برای ایجاد محتوایی که احساسات را برمی انگیزد و حس ارتباط با مخاطبان را تقویت می کند، به اشتراک بگذارید.</v>
      </c>
      <c r="H366" s="1"/>
      <c r="I366" s="1"/>
      <c r="J366" s="1"/>
      <c r="K366" s="1"/>
      <c r="L366" s="1"/>
      <c r="M366" s="1"/>
      <c r="N366" s="1"/>
      <c r="O366" s="1"/>
      <c r="P366" s="1"/>
      <c r="Q366" s="1"/>
      <c r="R366" s="1"/>
      <c r="S366" s="1"/>
      <c r="T366" s="1"/>
      <c r="U366" s="1"/>
      <c r="V366" s="1"/>
      <c r="W366" s="1"/>
      <c r="X366" s="1"/>
      <c r="Y366" s="1"/>
      <c r="Z366" s="1"/>
      <c r="AA366" s="1"/>
      <c r="AB366" s="1"/>
    </row>
    <row r="367" ht="50.25" customHeight="1">
      <c r="A367" s="12">
        <v>363.0</v>
      </c>
      <c r="B367" s="13" t="s">
        <v>266</v>
      </c>
      <c r="C367" s="14" t="s">
        <v>370</v>
      </c>
      <c r="D367" s="1"/>
      <c r="E367" s="15"/>
      <c r="F367" s="1" t="str">
        <f>IFERROR(__xludf.DUMMYFUNCTION("GOOGLETRANSLATE(B367, ""en"", ""fa"")
"),"تولید محتوا")</f>
        <v>تولید محتوا</v>
      </c>
      <c r="G367" s="1" t="str">
        <f>IFERROR(__xludf.DUMMYFUNCTION("GOOGLETRANSLATE(C367, ""en"", ""fa"")
"),"تأثیر محتوای خرد، مانند زیرنویس‌ها یا تکه‌های رسانه‌های اجتماعی، در جلب توجه و ایجاد تعامل را بررسی کنید.")</f>
        <v>تأثیر محتوای خرد، مانند زیرنویس‌ها یا تکه‌های رسانه‌های اجتماعی، در جلب توجه و ایجاد تعامل را بررسی کنید.</v>
      </c>
      <c r="H367" s="1"/>
      <c r="I367" s="1"/>
      <c r="J367" s="1"/>
      <c r="K367" s="1"/>
      <c r="L367" s="1"/>
      <c r="M367" s="1"/>
      <c r="N367" s="1"/>
      <c r="O367" s="1"/>
      <c r="P367" s="1"/>
      <c r="Q367" s="1"/>
      <c r="R367" s="1"/>
      <c r="S367" s="1"/>
      <c r="T367" s="1"/>
      <c r="U367" s="1"/>
      <c r="V367" s="1"/>
      <c r="W367" s="1"/>
      <c r="X367" s="1"/>
      <c r="Y367" s="1"/>
      <c r="Z367" s="1"/>
      <c r="AA367" s="1"/>
      <c r="AB367" s="1"/>
    </row>
    <row r="368" ht="50.25" customHeight="1">
      <c r="A368" s="12">
        <v>364.0</v>
      </c>
      <c r="B368" s="13" t="s">
        <v>266</v>
      </c>
      <c r="C368" s="14" t="s">
        <v>371</v>
      </c>
      <c r="D368" s="1"/>
      <c r="E368" s="15"/>
      <c r="F368" s="1" t="str">
        <f>IFERROR(__xludf.DUMMYFUNCTION("GOOGLETRANSLATE(B368, ""en"", ""fa"")
"),"تولید محتوا")</f>
        <v>تولید محتوا</v>
      </c>
      <c r="G368" s="1" t="str">
        <f>IFERROR(__xludf.DUMMYFUNCTION("GOOGLETRANSLATE(C368, ""en"", ""fa"")
"),"درباره نقش تولید مشترک محتوا با مخاطبان خود بحث کنید، مانند کمپین های تولید شده توسط کاربر یا پروژه های مشترک.")</f>
        <v>درباره نقش تولید مشترک محتوا با مخاطبان خود بحث کنید، مانند کمپین های تولید شده توسط کاربر یا پروژه های مشترک.</v>
      </c>
      <c r="H368" s="1"/>
      <c r="I368" s="1"/>
      <c r="J368" s="1"/>
      <c r="K368" s="1"/>
      <c r="L368" s="1"/>
      <c r="M368" s="1"/>
      <c r="N368" s="1"/>
      <c r="O368" s="1"/>
      <c r="P368" s="1"/>
      <c r="Q368" s="1"/>
      <c r="R368" s="1"/>
      <c r="S368" s="1"/>
      <c r="T368" s="1"/>
      <c r="U368" s="1"/>
      <c r="V368" s="1"/>
      <c r="W368" s="1"/>
      <c r="X368" s="1"/>
      <c r="Y368" s="1"/>
      <c r="Z368" s="1"/>
      <c r="AA368" s="1"/>
      <c r="AB368" s="1"/>
    </row>
    <row r="369" ht="50.25" customHeight="1">
      <c r="A369" s="12">
        <v>365.0</v>
      </c>
      <c r="B369" s="13" t="s">
        <v>266</v>
      </c>
      <c r="C369" s="14" t="s">
        <v>372</v>
      </c>
      <c r="D369" s="1"/>
      <c r="E369" s="15"/>
      <c r="F369" s="1" t="str">
        <f>IFERROR(__xludf.DUMMYFUNCTION("GOOGLETRANSLATE(B369, ""en"", ""fa"")
"),"تولید محتوا")</f>
        <v>تولید محتوا</v>
      </c>
      <c r="G369" s="1" t="str">
        <f>IFERROR(__xludf.DUMMYFUNCTION("GOOGLETRANSLATE(C369, ""en"", ""fa"")
"),"نکاتی را برای انجام مصاحبه های موثر با کارشناسان و تأثیرگذاران صنعت برای تولید محتوا به اشتراک بگذارید.")</f>
        <v>نکاتی را برای انجام مصاحبه های موثر با کارشناسان و تأثیرگذاران صنعت برای تولید محتوا به اشتراک بگذارید.</v>
      </c>
      <c r="H369" s="1"/>
      <c r="I369" s="1"/>
      <c r="J369" s="1"/>
      <c r="K369" s="1"/>
      <c r="L369" s="1"/>
      <c r="M369" s="1"/>
      <c r="N369" s="1"/>
      <c r="O369" s="1"/>
      <c r="P369" s="1"/>
      <c r="Q369" s="1"/>
      <c r="R369" s="1"/>
      <c r="S369" s="1"/>
      <c r="T369" s="1"/>
      <c r="U369" s="1"/>
      <c r="V369" s="1"/>
      <c r="W369" s="1"/>
      <c r="X369" s="1"/>
      <c r="Y369" s="1"/>
      <c r="Z369" s="1"/>
      <c r="AA369" s="1"/>
      <c r="AB369" s="1"/>
    </row>
    <row r="370" ht="50.25" customHeight="1">
      <c r="A370" s="12">
        <v>366.0</v>
      </c>
      <c r="B370" s="13" t="s">
        <v>266</v>
      </c>
      <c r="C370" s="14" t="s">
        <v>373</v>
      </c>
      <c r="D370" s="1"/>
      <c r="E370" s="15"/>
      <c r="F370" s="1" t="str">
        <f>IFERROR(__xludf.DUMMYFUNCTION("GOOGLETRANSLATE(B370, ""en"", ""fa"")
"),"تولید محتوا")</f>
        <v>تولید محتوا</v>
      </c>
      <c r="G370" s="1" t="str">
        <f>IFERROR(__xludf.DUMMYFUNCTION("GOOGLETRANSLATE(C370, ""en"", ""fa"")
"),"مفهوم تقویت محتوا را از طریق تبلیغات پولی یا مشارکت تأثیرگذار کاوش کنید.")</f>
        <v>مفهوم تقویت محتوا را از طریق تبلیغات پولی یا مشارکت تأثیرگذار کاوش کنید.</v>
      </c>
      <c r="H370" s="1"/>
      <c r="I370" s="1"/>
      <c r="J370" s="1"/>
      <c r="K370" s="1"/>
      <c r="L370" s="1"/>
      <c r="M370" s="1"/>
      <c r="N370" s="1"/>
      <c r="O370" s="1"/>
      <c r="P370" s="1"/>
      <c r="Q370" s="1"/>
      <c r="R370" s="1"/>
      <c r="S370" s="1"/>
      <c r="T370" s="1"/>
      <c r="U370" s="1"/>
      <c r="V370" s="1"/>
      <c r="W370" s="1"/>
      <c r="X370" s="1"/>
      <c r="Y370" s="1"/>
      <c r="Z370" s="1"/>
      <c r="AA370" s="1"/>
      <c r="AB370" s="1"/>
    </row>
    <row r="371" ht="50.25" customHeight="1">
      <c r="A371" s="12">
        <v>367.0</v>
      </c>
      <c r="B371" s="13" t="s">
        <v>266</v>
      </c>
      <c r="C371" s="14" t="s">
        <v>374</v>
      </c>
      <c r="D371" s="1"/>
      <c r="E371" s="15"/>
      <c r="F371" s="1" t="str">
        <f>IFERROR(__xludf.DUMMYFUNCTION("GOOGLETRANSLATE(B371, ""en"", ""fa"")
"),"تولید محتوا")</f>
        <v>تولید محتوا</v>
      </c>
      <c r="G371" s="1" t="str">
        <f>IFERROR(__xludf.DUMMYFUNCTION("GOOGLETRANSLATE(C371, ""en"", ""fa"")
"),"در مورد مزایای گنجاندن نظرات یا توصیفات تولید شده توسط کاربر در صفحات محصول یا خدمات بحث کنید.")</f>
        <v>در مورد مزایای گنجاندن نظرات یا توصیفات تولید شده توسط کاربر در صفحات محصول یا خدمات بحث کنید.</v>
      </c>
      <c r="H371" s="1"/>
      <c r="I371" s="1"/>
      <c r="J371" s="1"/>
      <c r="K371" s="1"/>
      <c r="L371" s="1"/>
      <c r="M371" s="1"/>
      <c r="N371" s="1"/>
      <c r="O371" s="1"/>
      <c r="P371" s="1"/>
      <c r="Q371" s="1"/>
      <c r="R371" s="1"/>
      <c r="S371" s="1"/>
      <c r="T371" s="1"/>
      <c r="U371" s="1"/>
      <c r="V371" s="1"/>
      <c r="W371" s="1"/>
      <c r="X371" s="1"/>
      <c r="Y371" s="1"/>
      <c r="Z371" s="1"/>
      <c r="AA371" s="1"/>
      <c r="AB371" s="1"/>
    </row>
    <row r="372" ht="50.25" customHeight="1">
      <c r="A372" s="12">
        <v>368.0</v>
      </c>
      <c r="B372" s="13" t="s">
        <v>266</v>
      </c>
      <c r="C372" s="14" t="s">
        <v>375</v>
      </c>
      <c r="D372" s="1"/>
      <c r="E372" s="15"/>
      <c r="F372" s="1" t="str">
        <f>IFERROR(__xludf.DUMMYFUNCTION("GOOGLETRANSLATE(B372, ""en"", ""fa"")
"),"تولید محتوا")</f>
        <v>تولید محتوا</v>
      </c>
      <c r="G372" s="1" t="str">
        <f>IFERROR(__xludf.DUMMYFUNCTION("GOOGLETRANSLATE(C372, ""en"", ""fa"")
"),"استراتژی هایی را برای ایجاد محتوایی به اشتراک بگذارید که اعتراضات یا نگرانی های رایج مشتریان بالقوه شما را برطرف کند.")</f>
        <v>استراتژی هایی را برای ایجاد محتوایی به اشتراک بگذارید که اعتراضات یا نگرانی های رایج مشتریان بالقوه شما را برطرف کند.</v>
      </c>
      <c r="H372" s="1"/>
      <c r="I372" s="1"/>
      <c r="J372" s="1"/>
      <c r="K372" s="1"/>
      <c r="L372" s="1"/>
      <c r="M372" s="1"/>
      <c r="N372" s="1"/>
      <c r="O372" s="1"/>
      <c r="P372" s="1"/>
      <c r="Q372" s="1"/>
      <c r="R372" s="1"/>
      <c r="S372" s="1"/>
      <c r="T372" s="1"/>
      <c r="U372" s="1"/>
      <c r="V372" s="1"/>
      <c r="W372" s="1"/>
      <c r="X372" s="1"/>
      <c r="Y372" s="1"/>
      <c r="Z372" s="1"/>
      <c r="AA372" s="1"/>
      <c r="AB372" s="1"/>
    </row>
    <row r="373" ht="50.25" customHeight="1">
      <c r="A373" s="12">
        <v>369.0</v>
      </c>
      <c r="B373" s="13" t="s">
        <v>266</v>
      </c>
      <c r="C373" s="14" t="s">
        <v>376</v>
      </c>
      <c r="D373" s="1"/>
      <c r="E373" s="15"/>
      <c r="F373" s="1" t="str">
        <f>IFERROR(__xludf.DUMMYFUNCTION("GOOGLETRANSLATE(B373, ""en"", ""fa"")
"),"تولید محتوا")</f>
        <v>تولید محتوا</v>
      </c>
      <c r="G373" s="1" t="str">
        <f>IFERROR(__xludf.DUMMYFUNCTION("GOOGLETRANSLATE(C373, ""en"", ""fa"")
"),"تأثیر قالب‌های محتوای تعاملی، مانند آزمون‌ها، نظرسنجی‌ها، یا ماشین‌حساب‌ها را در ایجاد تعامل و جمع‌آوری داده‌ها کاوش کنید.")</f>
        <v>تأثیر قالب‌های محتوای تعاملی، مانند آزمون‌ها، نظرسنجی‌ها، یا ماشین‌حساب‌ها را در ایجاد تعامل و جمع‌آوری داده‌ها کاوش کنید.</v>
      </c>
      <c r="H373" s="1"/>
      <c r="I373" s="1"/>
      <c r="J373" s="1"/>
      <c r="K373" s="1"/>
      <c r="L373" s="1"/>
      <c r="M373" s="1"/>
      <c r="N373" s="1"/>
      <c r="O373" s="1"/>
      <c r="P373" s="1"/>
      <c r="Q373" s="1"/>
      <c r="R373" s="1"/>
      <c r="S373" s="1"/>
      <c r="T373" s="1"/>
      <c r="U373" s="1"/>
      <c r="V373" s="1"/>
      <c r="W373" s="1"/>
      <c r="X373" s="1"/>
      <c r="Y373" s="1"/>
      <c r="Z373" s="1"/>
      <c r="AA373" s="1"/>
      <c r="AB373" s="1"/>
    </row>
    <row r="374" ht="50.25" customHeight="1">
      <c r="A374" s="12">
        <v>370.0</v>
      </c>
      <c r="B374" s="13" t="s">
        <v>266</v>
      </c>
      <c r="C374" s="14" t="s">
        <v>377</v>
      </c>
      <c r="D374" s="1"/>
      <c r="E374" s="15"/>
      <c r="F374" s="1" t="str">
        <f>IFERROR(__xludf.DUMMYFUNCTION("GOOGLETRANSLATE(B374, ""en"", ""fa"")
"),"تولید محتوا")</f>
        <v>تولید محتوا</v>
      </c>
      <c r="G374" s="1" t="str">
        <f>IFERROR(__xludf.DUMMYFUNCTION("GOOGLETRANSLATE(C374, ""en"", ""fa"")
"),"درباره نقش بومی‌سازی محتوا و تنظیم پیام‌های خود به گونه‌ای بحث کنید که با تفاوت‌های فرهنگی مختلف طنین‌انداز شود.")</f>
        <v>درباره نقش بومی‌سازی محتوا و تنظیم پیام‌های خود به گونه‌ای بحث کنید که با تفاوت‌های فرهنگی مختلف طنین‌انداز شود.</v>
      </c>
      <c r="H374" s="1"/>
      <c r="I374" s="1"/>
      <c r="J374" s="1"/>
      <c r="K374" s="1"/>
      <c r="L374" s="1"/>
      <c r="M374" s="1"/>
      <c r="N374" s="1"/>
      <c r="O374" s="1"/>
      <c r="P374" s="1"/>
      <c r="Q374" s="1"/>
      <c r="R374" s="1"/>
      <c r="S374" s="1"/>
      <c r="T374" s="1"/>
      <c r="U374" s="1"/>
      <c r="V374" s="1"/>
      <c r="W374" s="1"/>
      <c r="X374" s="1"/>
      <c r="Y374" s="1"/>
      <c r="Z374" s="1"/>
      <c r="AA374" s="1"/>
      <c r="AB374" s="1"/>
    </row>
    <row r="375" ht="50.25" customHeight="1">
      <c r="A375" s="12">
        <v>371.0</v>
      </c>
      <c r="B375" s="13" t="s">
        <v>266</v>
      </c>
      <c r="C375" s="14" t="s">
        <v>378</v>
      </c>
      <c r="D375" s="1"/>
      <c r="E375" s="15"/>
      <c r="F375" s="1" t="str">
        <f>IFERROR(__xludf.DUMMYFUNCTION("GOOGLETRANSLATE(B375, ""en"", ""fa"")
"),"تولید محتوا")</f>
        <v>تولید محتوا</v>
      </c>
      <c r="G375" s="1" t="str">
        <f>IFERROR(__xludf.DUMMYFUNCTION("GOOGLETRANSLATE(C375, ""en"", ""fa"")
"),"نکاتی را برای تغییر کاربری محتوای موفق در قالب‌های مختلف، مانند تبدیل یک پست وبلاگ به یک اسلاید یا قسمت پادکست به اشتراک بگذارید.")</f>
        <v>نکاتی را برای تغییر کاربری محتوای موفق در قالب‌های مختلف، مانند تبدیل یک پست وبلاگ به یک اسلاید یا قسمت پادکست به اشتراک بگذارید.</v>
      </c>
      <c r="H375" s="1"/>
      <c r="I375" s="1"/>
      <c r="J375" s="1"/>
      <c r="K375" s="1"/>
      <c r="L375" s="1"/>
      <c r="M375" s="1"/>
      <c r="N375" s="1"/>
      <c r="O375" s="1"/>
      <c r="P375" s="1"/>
      <c r="Q375" s="1"/>
      <c r="R375" s="1"/>
      <c r="S375" s="1"/>
      <c r="T375" s="1"/>
      <c r="U375" s="1"/>
      <c r="V375" s="1"/>
      <c r="W375" s="1"/>
      <c r="X375" s="1"/>
      <c r="Y375" s="1"/>
      <c r="Z375" s="1"/>
      <c r="AA375" s="1"/>
      <c r="AB375" s="1"/>
    </row>
    <row r="376" ht="50.25" customHeight="1">
      <c r="A376" s="12">
        <v>372.0</v>
      </c>
      <c r="B376" s="13" t="s">
        <v>266</v>
      </c>
      <c r="C376" s="14" t="s">
        <v>379</v>
      </c>
      <c r="D376" s="1"/>
      <c r="E376" s="15"/>
      <c r="F376" s="1" t="str">
        <f>IFERROR(__xludf.DUMMYFUNCTION("GOOGLETRANSLATE(B376, ""en"", ""fa"")
"),"تولید محتوا")</f>
        <v>تولید محتوا</v>
      </c>
      <c r="G376" s="1" t="str">
        <f>IFERROR(__xludf.DUMMYFUNCTION("GOOGLETRANSLATE(C376, ""en"", ""fa"")
"),"مفهوم انسجام محتوا و حفظ صدای برند ثابت در کانال ها و پلتفرم های مختلف را بررسی کنید.")</f>
        <v>مفهوم انسجام محتوا و حفظ صدای برند ثابت در کانال ها و پلتفرم های مختلف را بررسی کنید.</v>
      </c>
      <c r="H376" s="1"/>
      <c r="I376" s="1"/>
      <c r="J376" s="1"/>
      <c r="K376" s="1"/>
      <c r="L376" s="1"/>
      <c r="M376" s="1"/>
      <c r="N376" s="1"/>
      <c r="O376" s="1"/>
      <c r="P376" s="1"/>
      <c r="Q376" s="1"/>
      <c r="R376" s="1"/>
      <c r="S376" s="1"/>
      <c r="T376" s="1"/>
      <c r="U376" s="1"/>
      <c r="V376" s="1"/>
      <c r="W376" s="1"/>
      <c r="X376" s="1"/>
      <c r="Y376" s="1"/>
      <c r="Z376" s="1"/>
      <c r="AA376" s="1"/>
      <c r="AB376" s="1"/>
    </row>
    <row r="377" ht="50.25" customHeight="1">
      <c r="A377" s="12">
        <v>373.0</v>
      </c>
      <c r="B377" s="13" t="s">
        <v>266</v>
      </c>
      <c r="C377" s="14" t="s">
        <v>380</v>
      </c>
      <c r="D377" s="1"/>
      <c r="E377" s="15"/>
      <c r="F377" s="1" t="str">
        <f>IFERROR(__xludf.DUMMYFUNCTION("GOOGLETRANSLATE(B377, ""en"", ""fa"")
"),"تولید محتوا")</f>
        <v>تولید محتوا</v>
      </c>
      <c r="G377" s="1" t="str">
        <f>IFERROR(__xludf.DUMMYFUNCTION("GOOGLETRANSLATE(C377, ""en"", ""fa"")
"),"در مورد مزایای ترکیب عناصر داستان سرایی در کمپین های بازاریابی ایمیلی برای افزایش نرخ باز و کلیک صحبت کنید.")</f>
        <v>در مورد مزایای ترکیب عناصر داستان سرایی در کمپین های بازاریابی ایمیلی برای افزایش نرخ باز و کلیک صحبت کنید.</v>
      </c>
      <c r="H377" s="1"/>
      <c r="I377" s="1"/>
      <c r="J377" s="1"/>
      <c r="K377" s="1"/>
      <c r="L377" s="1"/>
      <c r="M377" s="1"/>
      <c r="N377" s="1"/>
      <c r="O377" s="1"/>
      <c r="P377" s="1"/>
      <c r="Q377" s="1"/>
      <c r="R377" s="1"/>
      <c r="S377" s="1"/>
      <c r="T377" s="1"/>
      <c r="U377" s="1"/>
      <c r="V377" s="1"/>
      <c r="W377" s="1"/>
      <c r="X377" s="1"/>
      <c r="Y377" s="1"/>
      <c r="Z377" s="1"/>
      <c r="AA377" s="1"/>
      <c r="AB377" s="1"/>
    </row>
    <row r="378" ht="50.25" customHeight="1">
      <c r="A378" s="12">
        <v>374.0</v>
      </c>
      <c r="B378" s="13" t="s">
        <v>266</v>
      </c>
      <c r="C378" s="14" t="s">
        <v>381</v>
      </c>
      <c r="D378" s="1"/>
      <c r="E378" s="15"/>
      <c r="F378" s="1" t="str">
        <f>IFERROR(__xludf.DUMMYFUNCTION("GOOGLETRANSLATE(B378, ""en"", ""fa"")
"),"تولید محتوا")</f>
        <v>تولید محتوا</v>
      </c>
      <c r="G378" s="1" t="str">
        <f>IFERROR(__xludf.DUMMYFUNCTION("GOOGLETRANSLATE(C378, ""en"", ""fa"")
"),"استراتژی های ایجاد محتوایی را به اشتراک بگذارید که به روندهای نوظهور می پردازد و مخاطبان شما را جلوتر از منحنی ها نگه می دارد.")</f>
        <v>استراتژی های ایجاد محتوایی را به اشتراک بگذارید که به روندهای نوظهور می پردازد و مخاطبان شما را جلوتر از منحنی ها نگه می دارد.</v>
      </c>
      <c r="H378" s="1"/>
      <c r="I378" s="1"/>
      <c r="J378" s="1"/>
      <c r="K378" s="1"/>
      <c r="L378" s="1"/>
      <c r="M378" s="1"/>
      <c r="N378" s="1"/>
      <c r="O378" s="1"/>
      <c r="P378" s="1"/>
      <c r="Q378" s="1"/>
      <c r="R378" s="1"/>
      <c r="S378" s="1"/>
      <c r="T378" s="1"/>
      <c r="U378" s="1"/>
      <c r="V378" s="1"/>
      <c r="W378" s="1"/>
      <c r="X378" s="1"/>
      <c r="Y378" s="1"/>
      <c r="Z378" s="1"/>
      <c r="AA378" s="1"/>
      <c r="AB378" s="1"/>
    </row>
    <row r="379" ht="50.25" customHeight="1">
      <c r="A379" s="12">
        <v>375.0</v>
      </c>
      <c r="B379" s="13" t="s">
        <v>266</v>
      </c>
      <c r="C379" s="14" t="s">
        <v>382</v>
      </c>
      <c r="D379" s="1"/>
      <c r="E379" s="15"/>
      <c r="F379" s="1" t="str">
        <f>IFERROR(__xludf.DUMMYFUNCTION("GOOGLETRANSLATE(B379, ""en"", ""fa"")
"),"تولید محتوا")</f>
        <v>تولید محتوا</v>
      </c>
      <c r="G379" s="1" t="str">
        <f>IFERROR(__xludf.DUMMYFUNCTION("GOOGLETRANSLATE(C379, ""en"", ""fa"")
"),"تأثیر محتوای مکالمه و ترکیب چت بات ها یا ویژگی های تعاملی در وب سایت یا برنامه خود را کاوش کنید.")</f>
        <v>تأثیر محتوای مکالمه و ترکیب چت بات ها یا ویژگی های تعاملی در وب سایت یا برنامه خود را کاوش کنید.</v>
      </c>
      <c r="H379" s="1"/>
      <c r="I379" s="1"/>
      <c r="J379" s="1"/>
      <c r="K379" s="1"/>
      <c r="L379" s="1"/>
      <c r="M379" s="1"/>
      <c r="N379" s="1"/>
      <c r="O379" s="1"/>
      <c r="P379" s="1"/>
      <c r="Q379" s="1"/>
      <c r="R379" s="1"/>
      <c r="S379" s="1"/>
      <c r="T379" s="1"/>
      <c r="U379" s="1"/>
      <c r="V379" s="1"/>
      <c r="W379" s="1"/>
      <c r="X379" s="1"/>
      <c r="Y379" s="1"/>
      <c r="Z379" s="1"/>
      <c r="AA379" s="1"/>
      <c r="AB379" s="1"/>
    </row>
    <row r="380" ht="50.25" customHeight="1">
      <c r="A380" s="12">
        <v>376.0</v>
      </c>
      <c r="B380" s="13" t="s">
        <v>266</v>
      </c>
      <c r="C380" s="14" t="s">
        <v>383</v>
      </c>
      <c r="D380" s="1"/>
      <c r="E380" s="15"/>
      <c r="F380" s="1" t="str">
        <f>IFERROR(__xludf.DUMMYFUNCTION("GOOGLETRANSLATE(B380, ""en"", ""fa"")
"),"تولید محتوا")</f>
        <v>تولید محتوا</v>
      </c>
      <c r="G380" s="1" t="str">
        <f>IFERROR(__xludf.DUMMYFUNCTION("GOOGLETRANSLATE(C380, ""en"", ""fa"")
"),"در مورد نقش مدیریت محتوا در ارائه ارزش به مخاطبان خود با سرپرستی و به اشتراک گذاری اخبار یا منابع مرتبط صنعت بحث کنید.")</f>
        <v>در مورد نقش مدیریت محتوا در ارائه ارزش به مخاطبان خود با سرپرستی و به اشتراک گذاری اخبار یا منابع مرتبط صنعت بحث کنید.</v>
      </c>
      <c r="H380" s="1"/>
      <c r="I380" s="1"/>
      <c r="J380" s="1"/>
      <c r="K380" s="1"/>
      <c r="L380" s="1"/>
      <c r="M380" s="1"/>
      <c r="N380" s="1"/>
      <c r="O380" s="1"/>
      <c r="P380" s="1"/>
      <c r="Q380" s="1"/>
      <c r="R380" s="1"/>
      <c r="S380" s="1"/>
      <c r="T380" s="1"/>
      <c r="U380" s="1"/>
      <c r="V380" s="1"/>
      <c r="W380" s="1"/>
      <c r="X380" s="1"/>
      <c r="Y380" s="1"/>
      <c r="Z380" s="1"/>
      <c r="AA380" s="1"/>
      <c r="AB380" s="1"/>
    </row>
    <row r="381" ht="50.25" customHeight="1">
      <c r="A381" s="12">
        <v>377.0</v>
      </c>
      <c r="B381" s="13" t="s">
        <v>266</v>
      </c>
      <c r="C381" s="14" t="s">
        <v>384</v>
      </c>
      <c r="D381" s="1"/>
      <c r="E381" s="15"/>
      <c r="F381" s="1" t="str">
        <f>IFERROR(__xludf.DUMMYFUNCTION("GOOGLETRANSLATE(B381, ""en"", ""fa"")
"),"تولید محتوا")</f>
        <v>تولید محتوا</v>
      </c>
      <c r="G381" s="1" t="str">
        <f>IFERROR(__xludf.DUMMYFUNCTION("GOOGLETRANSLATE(C381, ""en"", ""fa"")
"),"نکاتی را برای ایجاد محتوایی به اشتراک بگذارید که از طریق بینش‌های عملی و توصیه‌های عملی به مخاطبان شما آموزش می‌دهد و توانمند می‌سازد.")</f>
        <v>نکاتی را برای ایجاد محتوایی به اشتراک بگذارید که از طریق بینش‌های عملی و توصیه‌های عملی به مخاطبان شما آموزش می‌دهد و توانمند می‌سازد.</v>
      </c>
      <c r="H381" s="1"/>
      <c r="I381" s="1"/>
      <c r="J381" s="1"/>
      <c r="K381" s="1"/>
      <c r="L381" s="1"/>
      <c r="M381" s="1"/>
      <c r="N381" s="1"/>
      <c r="O381" s="1"/>
      <c r="P381" s="1"/>
      <c r="Q381" s="1"/>
      <c r="R381" s="1"/>
      <c r="S381" s="1"/>
      <c r="T381" s="1"/>
      <c r="U381" s="1"/>
      <c r="V381" s="1"/>
      <c r="W381" s="1"/>
      <c r="X381" s="1"/>
      <c r="Y381" s="1"/>
      <c r="Z381" s="1"/>
      <c r="AA381" s="1"/>
      <c r="AB381" s="1"/>
    </row>
    <row r="382" ht="50.25" customHeight="1">
      <c r="A382" s="12">
        <v>378.0</v>
      </c>
      <c r="B382" s="13" t="s">
        <v>266</v>
      </c>
      <c r="C382" s="14" t="s">
        <v>385</v>
      </c>
      <c r="D382" s="1"/>
      <c r="E382" s="15"/>
      <c r="F382" s="1" t="str">
        <f>IFERROR(__xludf.DUMMYFUNCTION("GOOGLETRANSLATE(B382, ""en"", ""fa"")
"),"تولید محتوا")</f>
        <v>تولید محتوا</v>
      </c>
      <c r="G382" s="1" t="str">
        <f>IFERROR(__xludf.DUMMYFUNCTION("GOOGLETRANSLATE(C382, ""en"", ""fa"")
"),"مفهوم صفحات ستون محتوا و ایجاد منابع جامع که جنبه های مختلف یک موضوع خاص را پوشش می دهد را بررسی کنید.")</f>
        <v>مفهوم صفحات ستون محتوا و ایجاد منابع جامع که جنبه های مختلف یک موضوع خاص را پوشش می دهد را بررسی کنید.</v>
      </c>
      <c r="H382" s="1"/>
      <c r="I382" s="1"/>
      <c r="J382" s="1"/>
      <c r="K382" s="1"/>
      <c r="L382" s="1"/>
      <c r="M382" s="1"/>
      <c r="N382" s="1"/>
      <c r="O382" s="1"/>
      <c r="P382" s="1"/>
      <c r="Q382" s="1"/>
      <c r="R382" s="1"/>
      <c r="S382" s="1"/>
      <c r="T382" s="1"/>
      <c r="U382" s="1"/>
      <c r="V382" s="1"/>
      <c r="W382" s="1"/>
      <c r="X382" s="1"/>
      <c r="Y382" s="1"/>
      <c r="Z382" s="1"/>
      <c r="AA382" s="1"/>
      <c r="AB382" s="1"/>
    </row>
    <row r="383" ht="50.25" customHeight="1">
      <c r="A383" s="12">
        <v>379.0</v>
      </c>
      <c r="B383" s="13" t="s">
        <v>266</v>
      </c>
      <c r="C383" s="14" t="s">
        <v>386</v>
      </c>
      <c r="D383" s="1"/>
      <c r="E383" s="15"/>
      <c r="F383" s="1" t="str">
        <f>IFERROR(__xludf.DUMMYFUNCTION("GOOGLETRANSLATE(B383, ""en"", ""fa"")
"),"تولید محتوا")</f>
        <v>تولید محتوا</v>
      </c>
      <c r="G383" s="1" t="str">
        <f>IFERROR(__xludf.DUMMYFUNCTION("GOOGLETRANSLATE(C383, ""en"", ""fa"")
"),"در مورد مزایای گنجاندن اینفلوئنسر مارکتینگ در استراتژی محتوای خود برای استفاده از مخاطبان و تخصص موجود بحث کنید.")</f>
        <v>در مورد مزایای گنجاندن اینفلوئنسر مارکتینگ در استراتژی محتوای خود برای استفاده از مخاطبان و تخصص موجود بحث کنید.</v>
      </c>
      <c r="H383" s="1"/>
      <c r="I383" s="1"/>
      <c r="J383" s="1"/>
      <c r="K383" s="1"/>
      <c r="L383" s="1"/>
      <c r="M383" s="1"/>
      <c r="N383" s="1"/>
      <c r="O383" s="1"/>
      <c r="P383" s="1"/>
      <c r="Q383" s="1"/>
      <c r="R383" s="1"/>
      <c r="S383" s="1"/>
      <c r="T383" s="1"/>
      <c r="U383" s="1"/>
      <c r="V383" s="1"/>
      <c r="W383" s="1"/>
      <c r="X383" s="1"/>
      <c r="Y383" s="1"/>
      <c r="Z383" s="1"/>
      <c r="AA383" s="1"/>
      <c r="AB383" s="1"/>
    </row>
    <row r="384" ht="50.25" customHeight="1">
      <c r="A384" s="12">
        <v>380.0</v>
      </c>
      <c r="B384" s="13" t="s">
        <v>266</v>
      </c>
      <c r="C384" s="14" t="s">
        <v>387</v>
      </c>
      <c r="D384" s="1"/>
      <c r="E384" s="15"/>
      <c r="F384" s="1" t="str">
        <f>IFERROR(__xludf.DUMMYFUNCTION("GOOGLETRANSLATE(B384, ""en"", ""fa"")
"),"تولید محتوا")</f>
        <v>تولید محتوا</v>
      </c>
      <c r="G384" s="1" t="str">
        <f>IFERROR(__xludf.DUMMYFUNCTION("GOOGLETRANSLATE(C384, ""en"", ""fa"")
"),"استراتژی های بهینه سازی محتوای خود را برای قطعه های برجسته و موقعیت صفر در صفحات نتایج موتورهای جستجو (SERP) به اشتراک بگذارید.")</f>
        <v>استراتژی های بهینه سازی محتوای خود را برای قطعه های برجسته و موقعیت صفر در صفحات نتایج موتورهای جستجو (SERP) به اشتراک بگذارید.</v>
      </c>
      <c r="H384" s="1"/>
      <c r="I384" s="1"/>
      <c r="J384" s="1"/>
      <c r="K384" s="1"/>
      <c r="L384" s="1"/>
      <c r="M384" s="1"/>
      <c r="N384" s="1"/>
      <c r="O384" s="1"/>
      <c r="P384" s="1"/>
      <c r="Q384" s="1"/>
      <c r="R384" s="1"/>
      <c r="S384" s="1"/>
      <c r="T384" s="1"/>
      <c r="U384" s="1"/>
      <c r="V384" s="1"/>
      <c r="W384" s="1"/>
      <c r="X384" s="1"/>
      <c r="Y384" s="1"/>
      <c r="Z384" s="1"/>
      <c r="AA384" s="1"/>
      <c r="AB384" s="1"/>
    </row>
    <row r="385" ht="50.25" customHeight="1">
      <c r="A385" s="12">
        <v>381.0</v>
      </c>
      <c r="B385" s="13" t="s">
        <v>266</v>
      </c>
      <c r="C385" s="14" t="s">
        <v>388</v>
      </c>
      <c r="D385" s="1"/>
      <c r="E385" s="15"/>
      <c r="F385" s="1" t="str">
        <f>IFERROR(__xludf.DUMMYFUNCTION("GOOGLETRANSLATE(B385, ""en"", ""fa"")
"),"تولید محتوا")</f>
        <v>تولید محتوا</v>
      </c>
      <c r="G385" s="1" t="str">
        <f>IFERROR(__xludf.DUMMYFUNCTION("GOOGLETRANSLATE(C385, ""en"", ""fa"")
"),"تاثیر عناصر بصری برندسازی مانند لوگوها یا پالت های رنگی را در افزایش شناخت و ثبات برند بررسی کنید.")</f>
        <v>تاثیر عناصر بصری برندسازی مانند لوگوها یا پالت های رنگی را در افزایش شناخت و ثبات برند بررسی کنید.</v>
      </c>
      <c r="H385" s="1"/>
      <c r="I385" s="1"/>
      <c r="J385" s="1"/>
      <c r="K385" s="1"/>
      <c r="L385" s="1"/>
      <c r="M385" s="1"/>
      <c r="N385" s="1"/>
      <c r="O385" s="1"/>
      <c r="P385" s="1"/>
      <c r="Q385" s="1"/>
      <c r="R385" s="1"/>
      <c r="S385" s="1"/>
      <c r="T385" s="1"/>
      <c r="U385" s="1"/>
      <c r="V385" s="1"/>
      <c r="W385" s="1"/>
      <c r="X385" s="1"/>
      <c r="Y385" s="1"/>
      <c r="Z385" s="1"/>
      <c r="AA385" s="1"/>
      <c r="AB385" s="1"/>
    </row>
    <row r="386" ht="50.25" customHeight="1">
      <c r="A386" s="12">
        <v>382.0</v>
      </c>
      <c r="B386" s="13" t="s">
        <v>266</v>
      </c>
      <c r="C386" s="14" t="s">
        <v>389</v>
      </c>
      <c r="D386" s="1"/>
      <c r="E386" s="15"/>
      <c r="F386" s="1" t="str">
        <f>IFERROR(__xludf.DUMMYFUNCTION("GOOGLETRANSLATE(B386, ""en"", ""fa"")
"),"تولید محتوا")</f>
        <v>تولید محتوا</v>
      </c>
      <c r="G386" s="1" t="str">
        <f>IFERROR(__xludf.DUMMYFUNCTION("GOOGLETRANSLATE(C386, ""en"", ""fa"")
"),"در مورد نقش ارتقاء محتوا و آهنرباهای سرب در جذب آدرس های ایمیل و رشد پایگاه مشترک خود بحث کنید.")</f>
        <v>در مورد نقش ارتقاء محتوا و آهنرباهای سرب در جذب آدرس های ایمیل و رشد پایگاه مشترک خود بحث کنید.</v>
      </c>
      <c r="H386" s="1"/>
      <c r="I386" s="1"/>
      <c r="J386" s="1"/>
      <c r="K386" s="1"/>
      <c r="L386" s="1"/>
      <c r="M386" s="1"/>
      <c r="N386" s="1"/>
      <c r="O386" s="1"/>
      <c r="P386" s="1"/>
      <c r="Q386" s="1"/>
      <c r="R386" s="1"/>
      <c r="S386" s="1"/>
      <c r="T386" s="1"/>
      <c r="U386" s="1"/>
      <c r="V386" s="1"/>
      <c r="W386" s="1"/>
      <c r="X386" s="1"/>
      <c r="Y386" s="1"/>
      <c r="Z386" s="1"/>
      <c r="AA386" s="1"/>
      <c r="AB386" s="1"/>
    </row>
    <row r="387" ht="50.25" customHeight="1">
      <c r="A387" s="12">
        <v>383.0</v>
      </c>
      <c r="B387" s="13" t="s">
        <v>266</v>
      </c>
      <c r="C387" s="14" t="s">
        <v>390</v>
      </c>
      <c r="D387" s="1"/>
      <c r="E387" s="15"/>
      <c r="F387" s="1" t="str">
        <f>IFERROR(__xludf.DUMMYFUNCTION("GOOGLETRANSLATE(B387, ""en"", ""fa"")
"),"تولید محتوا")</f>
        <v>تولید محتوا</v>
      </c>
      <c r="G387" s="1" t="str">
        <f>IFERROR(__xludf.DUMMYFUNCTION("GOOGLETRANSLATE(C387, ""en"", ""fa"")
"),"نکاتی را برای توزیع و تقویت محتوا از طریق رسانه های اجتماعی، خبرنامه های ایمیل یا مشارکت ها به اشتراک بگذارید.")</f>
        <v>نکاتی را برای توزیع و تقویت محتوا از طریق رسانه های اجتماعی، خبرنامه های ایمیل یا مشارکت ها به اشتراک بگذارید.</v>
      </c>
      <c r="H387" s="1"/>
      <c r="I387" s="1"/>
      <c r="J387" s="1"/>
      <c r="K387" s="1"/>
      <c r="L387" s="1"/>
      <c r="M387" s="1"/>
      <c r="N387" s="1"/>
      <c r="O387" s="1"/>
      <c r="P387" s="1"/>
      <c r="Q387" s="1"/>
      <c r="R387" s="1"/>
      <c r="S387" s="1"/>
      <c r="T387" s="1"/>
      <c r="U387" s="1"/>
      <c r="V387" s="1"/>
      <c r="W387" s="1"/>
      <c r="X387" s="1"/>
      <c r="Y387" s="1"/>
      <c r="Z387" s="1"/>
      <c r="AA387" s="1"/>
      <c r="AB387" s="1"/>
    </row>
    <row r="388" ht="50.25" customHeight="1">
      <c r="A388" s="12">
        <v>384.0</v>
      </c>
      <c r="B388" s="13" t="s">
        <v>266</v>
      </c>
      <c r="C388" s="14" t="s">
        <v>391</v>
      </c>
      <c r="D388" s="1"/>
      <c r="E388" s="15"/>
      <c r="F388" s="1" t="str">
        <f>IFERROR(__xludf.DUMMYFUNCTION("GOOGLETRANSLATE(B388, ""en"", ""fa"")
"),"تولید محتوا")</f>
        <v>تولید محتوا</v>
      </c>
      <c r="G388" s="1" t="str">
        <f>IFERROR(__xludf.DUMMYFUNCTION("GOOGLETRANSLATE(C388, ""en"", ""fa"")
"),"مفهوم بسته بندی مجدد محتوای قدیمی را در قالب های جدید، مانند تبدیل پست های وبلاگ به کتاب های الکترونیکی یا دوره های آنلاین، بررسی کنید.")</f>
        <v>مفهوم بسته بندی مجدد محتوای قدیمی را در قالب های جدید، مانند تبدیل پست های وبلاگ به کتاب های الکترونیکی یا دوره های آنلاین، بررسی کنید.</v>
      </c>
      <c r="H388" s="1"/>
      <c r="I388" s="1"/>
      <c r="J388" s="1"/>
      <c r="K388" s="1"/>
      <c r="L388" s="1"/>
      <c r="M388" s="1"/>
      <c r="N388" s="1"/>
      <c r="O388" s="1"/>
      <c r="P388" s="1"/>
      <c r="Q388" s="1"/>
      <c r="R388" s="1"/>
      <c r="S388" s="1"/>
      <c r="T388" s="1"/>
      <c r="U388" s="1"/>
      <c r="V388" s="1"/>
      <c r="W388" s="1"/>
      <c r="X388" s="1"/>
      <c r="Y388" s="1"/>
      <c r="Z388" s="1"/>
      <c r="AA388" s="1"/>
      <c r="AB388" s="1"/>
    </row>
    <row r="389" ht="50.25" customHeight="1">
      <c r="A389" s="12">
        <v>385.0</v>
      </c>
      <c r="B389" s="13" t="s">
        <v>266</v>
      </c>
      <c r="C389" s="14" t="s">
        <v>392</v>
      </c>
      <c r="D389" s="1"/>
      <c r="E389" s="15"/>
      <c r="F389" s="1" t="str">
        <f>IFERROR(__xludf.DUMMYFUNCTION("GOOGLETRANSLATE(B389, ""en"", ""fa"")
"),"تولید محتوا")</f>
        <v>تولید محتوا</v>
      </c>
      <c r="G389" s="1" t="str">
        <f>IFERROR(__xludf.DUMMYFUNCTION("GOOGLETRANSLATE(C389, ""en"", ""fa"")
"),"در مورد مزایای ترکیب عناصر چندرسانه ای، مانند فیلم ها یا اینفوگرافیک ها، برای افزایش جذابیت بصری محتوای خود بحث کنید.")</f>
        <v>در مورد مزایای ترکیب عناصر چندرسانه ای، مانند فیلم ها یا اینفوگرافیک ها، برای افزایش جذابیت بصری محتوای خود بحث کنید.</v>
      </c>
      <c r="H389" s="1"/>
      <c r="I389" s="1"/>
      <c r="J389" s="1"/>
      <c r="K389" s="1"/>
      <c r="L389" s="1"/>
      <c r="M389" s="1"/>
      <c r="N389" s="1"/>
      <c r="O389" s="1"/>
      <c r="P389" s="1"/>
      <c r="Q389" s="1"/>
      <c r="R389" s="1"/>
      <c r="S389" s="1"/>
      <c r="T389" s="1"/>
      <c r="U389" s="1"/>
      <c r="V389" s="1"/>
      <c r="W389" s="1"/>
      <c r="X389" s="1"/>
      <c r="Y389" s="1"/>
      <c r="Z389" s="1"/>
      <c r="AA389" s="1"/>
      <c r="AB389" s="1"/>
    </row>
    <row r="390" ht="50.25" customHeight="1">
      <c r="A390" s="12">
        <v>386.0</v>
      </c>
      <c r="B390" s="13" t="s">
        <v>266</v>
      </c>
      <c r="C390" s="14" t="s">
        <v>393</v>
      </c>
      <c r="D390" s="1"/>
      <c r="E390" s="15"/>
      <c r="F390" s="1" t="str">
        <f>IFERROR(__xludf.DUMMYFUNCTION("GOOGLETRANSLATE(B390, ""en"", ""fa"")
"),"تولید محتوا")</f>
        <v>تولید محتوا</v>
      </c>
      <c r="G390" s="1" t="str">
        <f>IFERROR(__xludf.DUMMYFUNCTION("GOOGLETRANSLATE(C390, ""en"", ""fa"")
"),"استراتژی هایی را برای ایجاد محتوایی که به مسائل اجتماعی یا فرهنگی فعلی می پردازد، به اشتراک بگذارید و برند شما را به عنوان مسئول اجتماعی معرفی کند.")</f>
        <v>استراتژی هایی را برای ایجاد محتوایی که به مسائل اجتماعی یا فرهنگی فعلی می پردازد، به اشتراک بگذارید و برند شما را به عنوان مسئول اجتماعی معرفی کند.</v>
      </c>
      <c r="H390" s="1"/>
      <c r="I390" s="1"/>
      <c r="J390" s="1"/>
      <c r="K390" s="1"/>
      <c r="L390" s="1"/>
      <c r="M390" s="1"/>
      <c r="N390" s="1"/>
      <c r="O390" s="1"/>
      <c r="P390" s="1"/>
      <c r="Q390" s="1"/>
      <c r="R390" s="1"/>
      <c r="S390" s="1"/>
      <c r="T390" s="1"/>
      <c r="U390" s="1"/>
      <c r="V390" s="1"/>
      <c r="W390" s="1"/>
      <c r="X390" s="1"/>
      <c r="Y390" s="1"/>
      <c r="Z390" s="1"/>
      <c r="AA390" s="1"/>
      <c r="AB390" s="1"/>
    </row>
    <row r="391" ht="50.25" customHeight="1">
      <c r="A391" s="12">
        <v>387.0</v>
      </c>
      <c r="B391" s="13" t="s">
        <v>266</v>
      </c>
      <c r="C391" s="14" t="s">
        <v>394</v>
      </c>
      <c r="D391" s="1"/>
      <c r="E391" s="15"/>
      <c r="F391" s="1" t="str">
        <f>IFERROR(__xludf.DUMMYFUNCTION("GOOGLETRANSLATE(B391, ""en"", ""fa"")
"),"تولید محتوا")</f>
        <v>تولید محتوا</v>
      </c>
      <c r="G391" s="1" t="str">
        <f>IFERROR(__xludf.DUMMYFUNCTION("GOOGLETRANSLATE(C391, ""en"", ""fa"")
"),"تأثیر محتوای داده‌محور را کاوش کنید و برای پشتیبانی از ادعاهای خود و افزایش اعتبار، تحقیقات یا آمارهای صنعتی را به کار ببرید.")</f>
        <v>تأثیر محتوای داده‌محور را کاوش کنید و برای پشتیبانی از ادعاهای خود و افزایش اعتبار، تحقیقات یا آمارهای صنعتی را به کار ببرید.</v>
      </c>
      <c r="H391" s="1"/>
      <c r="I391" s="1"/>
      <c r="J391" s="1"/>
      <c r="K391" s="1"/>
      <c r="L391" s="1"/>
      <c r="M391" s="1"/>
      <c r="N391" s="1"/>
      <c r="O391" s="1"/>
      <c r="P391" s="1"/>
      <c r="Q391" s="1"/>
      <c r="R391" s="1"/>
      <c r="S391" s="1"/>
      <c r="T391" s="1"/>
      <c r="U391" s="1"/>
      <c r="V391" s="1"/>
      <c r="W391" s="1"/>
      <c r="X391" s="1"/>
      <c r="Y391" s="1"/>
      <c r="Z391" s="1"/>
      <c r="AA391" s="1"/>
      <c r="AB391" s="1"/>
    </row>
    <row r="392" ht="50.25" customHeight="1">
      <c r="A392" s="12">
        <v>388.0</v>
      </c>
      <c r="B392" s="13" t="s">
        <v>266</v>
      </c>
      <c r="C392" s="14" t="s">
        <v>395</v>
      </c>
      <c r="D392" s="1"/>
      <c r="E392" s="15"/>
      <c r="F392" s="1" t="str">
        <f>IFERROR(__xludf.DUMMYFUNCTION("GOOGLETRANSLATE(B392, ""en"", ""fa"")
"),"تولید محتوا")</f>
        <v>تولید محتوا</v>
      </c>
      <c r="G392" s="1" t="str">
        <f>IFERROR(__xludf.DUMMYFUNCTION("GOOGLETRANSLATE(C392, ""en"", ""fa"")
"),"در مورد نقش محتوای همیشه سبز در ایجاد ترافیک ثابت و تعامل در طول زمان بحث کنید.")</f>
        <v>در مورد نقش محتوای همیشه سبز در ایجاد ترافیک ثابت و تعامل در طول زمان بحث کنید.</v>
      </c>
      <c r="H392" s="1"/>
      <c r="I392" s="1"/>
      <c r="J392" s="1"/>
      <c r="K392" s="1"/>
      <c r="L392" s="1"/>
      <c r="M392" s="1"/>
      <c r="N392" s="1"/>
      <c r="O392" s="1"/>
      <c r="P392" s="1"/>
      <c r="Q392" s="1"/>
      <c r="R392" s="1"/>
      <c r="S392" s="1"/>
      <c r="T392" s="1"/>
      <c r="U392" s="1"/>
      <c r="V392" s="1"/>
      <c r="W392" s="1"/>
      <c r="X392" s="1"/>
      <c r="Y392" s="1"/>
      <c r="Z392" s="1"/>
      <c r="AA392" s="1"/>
      <c r="AB392" s="1"/>
    </row>
    <row r="393" ht="50.25" customHeight="1">
      <c r="A393" s="12">
        <v>389.0</v>
      </c>
      <c r="B393" s="13" t="s">
        <v>266</v>
      </c>
      <c r="C393" s="14" t="s">
        <v>396</v>
      </c>
      <c r="D393" s="1"/>
      <c r="E393" s="15"/>
      <c r="F393" s="1" t="str">
        <f>IFERROR(__xludf.DUMMYFUNCTION("GOOGLETRANSLATE(B393, ""en"", ""fa"")
"),"تولید محتوا")</f>
        <v>تولید محتوا</v>
      </c>
      <c r="G393" s="1" t="str">
        <f>IFERROR(__xludf.DUMMYFUNCTION("GOOGLETRANSLATE(C393, ""en"", ""fa"")
"),"برای جلب توجه و ترغیب خوانندگان به کلیک کردن بر روی محتوای شما، نکاتی را برای نوشتن تیتر موثر به اشتراک بگذارید.")</f>
        <v>برای جلب توجه و ترغیب خوانندگان به کلیک کردن بر روی محتوای شما، نکاتی را برای نوشتن تیتر موثر به اشتراک بگذارید.</v>
      </c>
      <c r="H393" s="1"/>
      <c r="I393" s="1"/>
      <c r="J393" s="1"/>
      <c r="K393" s="1"/>
      <c r="L393" s="1"/>
      <c r="M393" s="1"/>
      <c r="N393" s="1"/>
      <c r="O393" s="1"/>
      <c r="P393" s="1"/>
      <c r="Q393" s="1"/>
      <c r="R393" s="1"/>
      <c r="S393" s="1"/>
      <c r="T393" s="1"/>
      <c r="U393" s="1"/>
      <c r="V393" s="1"/>
      <c r="W393" s="1"/>
      <c r="X393" s="1"/>
      <c r="Y393" s="1"/>
      <c r="Z393" s="1"/>
      <c r="AA393" s="1"/>
      <c r="AB393" s="1"/>
    </row>
    <row r="394" ht="50.25" customHeight="1">
      <c r="A394" s="12">
        <v>390.0</v>
      </c>
      <c r="B394" s="13" t="s">
        <v>266</v>
      </c>
      <c r="C394" s="14" t="s">
        <v>397</v>
      </c>
      <c r="D394" s="1"/>
      <c r="E394" s="15"/>
      <c r="F394" s="1" t="str">
        <f>IFERROR(__xludf.DUMMYFUNCTION("GOOGLETRANSLATE(B394, ""en"", ""fa"")
"),"تولید محتوا")</f>
        <v>تولید محتوا</v>
      </c>
      <c r="G394" s="1" t="str">
        <f>IFERROR(__xludf.DUMMYFUNCTION("GOOGLETRANSLATE(C394, ""en"", ""fa"")
"),"مفهوم آزمایش محتوا و تست A/B را برای بهینه سازی پیام ها و قالب های خود کاوش کنید.")</f>
        <v>مفهوم آزمایش محتوا و تست A/B را برای بهینه سازی پیام ها و قالب های خود کاوش کنید.</v>
      </c>
      <c r="H394" s="1"/>
      <c r="I394" s="1"/>
      <c r="J394" s="1"/>
      <c r="K394" s="1"/>
      <c r="L394" s="1"/>
      <c r="M394" s="1"/>
      <c r="N394" s="1"/>
      <c r="O394" s="1"/>
      <c r="P394" s="1"/>
      <c r="Q394" s="1"/>
      <c r="R394" s="1"/>
      <c r="S394" s="1"/>
      <c r="T394" s="1"/>
      <c r="U394" s="1"/>
      <c r="V394" s="1"/>
      <c r="W394" s="1"/>
      <c r="X394" s="1"/>
      <c r="Y394" s="1"/>
      <c r="Z394" s="1"/>
      <c r="AA394" s="1"/>
      <c r="AB394" s="1"/>
    </row>
    <row r="395" ht="50.25" customHeight="1">
      <c r="A395" s="12">
        <v>391.0</v>
      </c>
      <c r="B395" s="13" t="s">
        <v>266</v>
      </c>
      <c r="C395" s="14" t="s">
        <v>398</v>
      </c>
      <c r="D395" s="1"/>
      <c r="E395" s="15"/>
      <c r="F395" s="1" t="str">
        <f>IFERROR(__xludf.DUMMYFUNCTION("GOOGLETRANSLATE(B395, ""en"", ""fa"")
"),"تولید محتوا")</f>
        <v>تولید محتوا</v>
      </c>
      <c r="G395" s="1" t="str">
        <f>IFERROR(__xludf.DUMMYFUNCTION("GOOGLETRANSLATE(C395, ""en"", ""fa"")
"),"در مورد مزایای ترکیب گوش دادن و نظارت اجتماعی برای شناسایی فرصت ها و روندهای محتوا در زمان واقعی بحث کنید.")</f>
        <v>در مورد مزایای ترکیب گوش دادن و نظارت اجتماعی برای شناسایی فرصت ها و روندهای محتوا در زمان واقعی بحث کنید.</v>
      </c>
      <c r="H395" s="1"/>
      <c r="I395" s="1"/>
      <c r="J395" s="1"/>
      <c r="K395" s="1"/>
      <c r="L395" s="1"/>
      <c r="M395" s="1"/>
      <c r="N395" s="1"/>
      <c r="O395" s="1"/>
      <c r="P395" s="1"/>
      <c r="Q395" s="1"/>
      <c r="R395" s="1"/>
      <c r="S395" s="1"/>
      <c r="T395" s="1"/>
      <c r="U395" s="1"/>
      <c r="V395" s="1"/>
      <c r="W395" s="1"/>
      <c r="X395" s="1"/>
      <c r="Y395" s="1"/>
      <c r="Z395" s="1"/>
      <c r="AA395" s="1"/>
      <c r="AB395" s="1"/>
    </row>
    <row r="396" ht="50.25" customHeight="1">
      <c r="A396" s="12">
        <v>392.0</v>
      </c>
      <c r="B396" s="13" t="s">
        <v>266</v>
      </c>
      <c r="C396" s="14" t="s">
        <v>399</v>
      </c>
      <c r="D396" s="1"/>
      <c r="E396" s="15"/>
      <c r="F396" s="1" t="str">
        <f>IFERROR(__xludf.DUMMYFUNCTION("GOOGLETRANSLATE(B396, ""en"", ""fa"")
"),"تولید محتوا")</f>
        <v>تولید محتوا</v>
      </c>
      <c r="G396" s="1" t="str">
        <f>IFERROR(__xludf.DUMMYFUNCTION("GOOGLETRANSLATE(C396, ""en"", ""fa"")
"),"استراتژی هایی برای ایجاد محتوایی که ارزش ها و ویژگی های منحصر به فرد برند شما را به نمایش می گذارد، به اشتراک بگذارید.")</f>
        <v>استراتژی هایی برای ایجاد محتوایی که ارزش ها و ویژگی های منحصر به فرد برند شما را به نمایش می گذارد، به اشتراک بگذارید.</v>
      </c>
      <c r="H396" s="1"/>
      <c r="I396" s="1"/>
      <c r="J396" s="1"/>
      <c r="K396" s="1"/>
      <c r="L396" s="1"/>
      <c r="M396" s="1"/>
      <c r="N396" s="1"/>
      <c r="O396" s="1"/>
      <c r="P396" s="1"/>
      <c r="Q396" s="1"/>
      <c r="R396" s="1"/>
      <c r="S396" s="1"/>
      <c r="T396" s="1"/>
      <c r="U396" s="1"/>
      <c r="V396" s="1"/>
      <c r="W396" s="1"/>
      <c r="X396" s="1"/>
      <c r="Y396" s="1"/>
      <c r="Z396" s="1"/>
      <c r="AA396" s="1"/>
      <c r="AB396" s="1"/>
    </row>
    <row r="397" ht="50.25" customHeight="1">
      <c r="A397" s="12">
        <v>393.0</v>
      </c>
      <c r="B397" s="13" t="s">
        <v>266</v>
      </c>
      <c r="C397" s="14" t="s">
        <v>400</v>
      </c>
      <c r="D397" s="1"/>
      <c r="E397" s="15"/>
      <c r="F397" s="1" t="str">
        <f>IFERROR(__xludf.DUMMYFUNCTION("GOOGLETRANSLATE(B397, ""en"", ""fa"")
"),"تولید محتوا")</f>
        <v>تولید محتوا</v>
      </c>
      <c r="G397" s="1" t="str">
        <f>IFERROR(__xludf.DUMMYFUNCTION("GOOGLETRANSLATE(C397, ""en"", ""fa"")
"),"تأثیر گیمیفیکیشن محتوا و عناصر تعاملی در ایجاد تعامل و وفاداری را بررسی کنید.")</f>
        <v>تأثیر گیمیفیکیشن محتوا و عناصر تعاملی در ایجاد تعامل و وفاداری را بررسی کنید.</v>
      </c>
      <c r="H397" s="1"/>
      <c r="I397" s="1"/>
      <c r="J397" s="1"/>
      <c r="K397" s="1"/>
      <c r="L397" s="1"/>
      <c r="M397" s="1"/>
      <c r="N397" s="1"/>
      <c r="O397" s="1"/>
      <c r="P397" s="1"/>
      <c r="Q397" s="1"/>
      <c r="R397" s="1"/>
      <c r="S397" s="1"/>
      <c r="T397" s="1"/>
      <c r="U397" s="1"/>
      <c r="V397" s="1"/>
      <c r="W397" s="1"/>
      <c r="X397" s="1"/>
      <c r="Y397" s="1"/>
      <c r="Z397" s="1"/>
      <c r="AA397" s="1"/>
      <c r="AB397" s="1"/>
    </row>
    <row r="398" ht="50.25" customHeight="1">
      <c r="A398" s="12">
        <v>394.0</v>
      </c>
      <c r="B398" s="13" t="s">
        <v>266</v>
      </c>
      <c r="C398" s="14" t="s">
        <v>401</v>
      </c>
      <c r="D398" s="1"/>
      <c r="E398" s="15"/>
      <c r="F398" s="1" t="str">
        <f>IFERROR(__xludf.DUMMYFUNCTION("GOOGLETRANSLATE(B398, ""en"", ""fa"")
"),"تولید محتوا")</f>
        <v>تولید محتوا</v>
      </c>
      <c r="G398" s="1" t="str">
        <f>IFERROR(__xludf.DUMMYFUNCTION("GOOGLETRANSLATE(C398, ""en"", ""fa"")
"),"در مورد نقش همکاری اینفلوئنسرها در گسترش دسترسی به محتوای خود و جذب مخاطبان جدید بحث کنید.")</f>
        <v>در مورد نقش همکاری اینفلوئنسرها در گسترش دسترسی به محتوای خود و جذب مخاطبان جدید بحث کنید.</v>
      </c>
      <c r="H398" s="1"/>
      <c r="I398" s="1"/>
      <c r="J398" s="1"/>
      <c r="K398" s="1"/>
      <c r="L398" s="1"/>
      <c r="M398" s="1"/>
      <c r="N398" s="1"/>
      <c r="O398" s="1"/>
      <c r="P398" s="1"/>
      <c r="Q398" s="1"/>
      <c r="R398" s="1"/>
      <c r="S398" s="1"/>
      <c r="T398" s="1"/>
      <c r="U398" s="1"/>
      <c r="V398" s="1"/>
      <c r="W398" s="1"/>
      <c r="X398" s="1"/>
      <c r="Y398" s="1"/>
      <c r="Z398" s="1"/>
      <c r="AA398" s="1"/>
      <c r="AB398" s="1"/>
    </row>
    <row r="399" ht="50.25" customHeight="1">
      <c r="A399" s="12">
        <v>395.0</v>
      </c>
      <c r="B399" s="13" t="s">
        <v>266</v>
      </c>
      <c r="C399" s="14" t="s">
        <v>402</v>
      </c>
      <c r="D399" s="1"/>
      <c r="E399" s="15"/>
      <c r="F399" s="1" t="str">
        <f>IFERROR(__xludf.DUMMYFUNCTION("GOOGLETRANSLATE(B399, ""en"", ""fa"")
"),"تولید محتوا")</f>
        <v>تولید محتوا</v>
      </c>
      <c r="G399" s="1" t="str">
        <f>IFERROR(__xludf.DUMMYFUNCTION("GOOGLETRANSLATE(C399, ""en"", ""fa"")
"),"نکاتی را برای استفاده مجدد از محتوای تولید شده توسط کاربر، مانند توصیفات یا پست های رسانه های اجتماعی، به اشتراک بگذارید تا اعتبار برند خود را افزایش دهید.")</f>
        <v>نکاتی را برای استفاده مجدد از محتوای تولید شده توسط کاربر، مانند توصیفات یا پست های رسانه های اجتماعی، به اشتراک بگذارید تا اعتبار برند خود را افزایش دهید.</v>
      </c>
      <c r="H399" s="1"/>
      <c r="I399" s="1"/>
      <c r="J399" s="1"/>
      <c r="K399" s="1"/>
      <c r="L399" s="1"/>
      <c r="M399" s="1"/>
      <c r="N399" s="1"/>
      <c r="O399" s="1"/>
      <c r="P399" s="1"/>
      <c r="Q399" s="1"/>
      <c r="R399" s="1"/>
      <c r="S399" s="1"/>
      <c r="T399" s="1"/>
      <c r="U399" s="1"/>
      <c r="V399" s="1"/>
      <c r="W399" s="1"/>
      <c r="X399" s="1"/>
      <c r="Y399" s="1"/>
      <c r="Z399" s="1"/>
      <c r="AA399" s="1"/>
      <c r="AB399" s="1"/>
    </row>
    <row r="400" ht="50.25" customHeight="1">
      <c r="A400" s="12">
        <v>396.0</v>
      </c>
      <c r="B400" s="13" t="s">
        <v>266</v>
      </c>
      <c r="C400" s="14" t="s">
        <v>403</v>
      </c>
      <c r="D400" s="1"/>
      <c r="E400" s="15"/>
      <c r="F400" s="1" t="str">
        <f>IFERROR(__xludf.DUMMYFUNCTION("GOOGLETRANSLATE(B400, ""en"", ""fa"")
"),"تولید محتوا")</f>
        <v>تولید محتوا</v>
      </c>
      <c r="G400" s="1" t="str">
        <f>IFERROR(__xludf.DUMMYFUNCTION("GOOGLETRANSLATE(C400, ""en"", ""fa"")
"),"مفهوم اتمیزه کردن محتوا و تجزیه محتوای طولانی‌تر به قطعات کوچک‌تر و اندازه‌ی لقمه را برای مصرف آسان‌تر کاوش کنید.")</f>
        <v>مفهوم اتمیزه کردن محتوا و تجزیه محتوای طولانی‌تر به قطعات کوچک‌تر و اندازه‌ی لقمه را برای مصرف آسان‌تر کاوش کنید.</v>
      </c>
      <c r="H400" s="1"/>
      <c r="I400" s="1"/>
      <c r="J400" s="1"/>
      <c r="K400" s="1"/>
      <c r="L400" s="1"/>
      <c r="M400" s="1"/>
      <c r="N400" s="1"/>
      <c r="O400" s="1"/>
      <c r="P400" s="1"/>
      <c r="Q400" s="1"/>
      <c r="R400" s="1"/>
      <c r="S400" s="1"/>
      <c r="T400" s="1"/>
      <c r="U400" s="1"/>
      <c r="V400" s="1"/>
      <c r="W400" s="1"/>
      <c r="X400" s="1"/>
      <c r="Y400" s="1"/>
      <c r="Z400" s="1"/>
      <c r="AA400" s="1"/>
      <c r="AB400" s="1"/>
    </row>
    <row r="401" ht="50.25" customHeight="1">
      <c r="A401" s="12">
        <v>397.0</v>
      </c>
      <c r="B401" s="13" t="s">
        <v>266</v>
      </c>
      <c r="C401" s="14" t="s">
        <v>404</v>
      </c>
      <c r="D401" s="1"/>
      <c r="E401" s="15"/>
      <c r="F401" s="1" t="str">
        <f>IFERROR(__xludf.DUMMYFUNCTION("GOOGLETRANSLATE(B401, ""en"", ""fa"")
"),"تولید محتوا")</f>
        <v>تولید محتوا</v>
      </c>
      <c r="G401" s="1" t="str">
        <f>IFERROR(__xludf.DUMMYFUNCTION("GOOGLETRANSLATE(C401, ""en"", ""fa"")
"),"در مورد مزایای گنجاندن داستان سرایی احساسی در محتوای خود برای ایجاد ارتباط عمیق تر با مخاطبان خود بحث کنید.")</f>
        <v>در مورد مزایای گنجاندن داستان سرایی احساسی در محتوای خود برای ایجاد ارتباط عمیق تر با مخاطبان خود بحث کنید.</v>
      </c>
      <c r="H401" s="1"/>
      <c r="I401" s="1"/>
      <c r="J401" s="1"/>
      <c r="K401" s="1"/>
      <c r="L401" s="1"/>
      <c r="M401" s="1"/>
      <c r="N401" s="1"/>
      <c r="O401" s="1"/>
      <c r="P401" s="1"/>
      <c r="Q401" s="1"/>
      <c r="R401" s="1"/>
      <c r="S401" s="1"/>
      <c r="T401" s="1"/>
      <c r="U401" s="1"/>
      <c r="V401" s="1"/>
      <c r="W401" s="1"/>
      <c r="X401" s="1"/>
      <c r="Y401" s="1"/>
      <c r="Z401" s="1"/>
      <c r="AA401" s="1"/>
      <c r="AB401" s="1"/>
    </row>
    <row r="402" ht="50.25" customHeight="1">
      <c r="A402" s="12">
        <v>398.0</v>
      </c>
      <c r="B402" s="13" t="s">
        <v>266</v>
      </c>
      <c r="C402" s="14" t="s">
        <v>405</v>
      </c>
      <c r="D402" s="1"/>
      <c r="E402" s="15"/>
      <c r="F402" s="1" t="str">
        <f>IFERROR(__xludf.DUMMYFUNCTION("GOOGLETRANSLATE(B402, ""en"", ""fa"")
"),"تولید محتوا")</f>
        <v>تولید محتوا</v>
      </c>
      <c r="G402" s="1" t="str">
        <f>IFERROR(__xludf.DUMMYFUNCTION("GOOGLETRANSLATE(C402, ""en"", ""fa"")
"),"استراتژی هایی را برای ایجاد محتوایی که به سوالات متداول یا چالش های رایج در صنعت شما پاسخ می دهد، به اشتراک بگذارید.")</f>
        <v>استراتژی هایی را برای ایجاد محتوایی که به سوالات متداول یا چالش های رایج در صنعت شما پاسخ می دهد، به اشتراک بگذارید.</v>
      </c>
      <c r="H402" s="1"/>
      <c r="I402" s="1"/>
      <c r="J402" s="1"/>
      <c r="K402" s="1"/>
      <c r="L402" s="1"/>
      <c r="M402" s="1"/>
      <c r="N402" s="1"/>
      <c r="O402" s="1"/>
      <c r="P402" s="1"/>
      <c r="Q402" s="1"/>
      <c r="R402" s="1"/>
      <c r="S402" s="1"/>
      <c r="T402" s="1"/>
      <c r="U402" s="1"/>
      <c r="V402" s="1"/>
      <c r="W402" s="1"/>
      <c r="X402" s="1"/>
      <c r="Y402" s="1"/>
      <c r="Z402" s="1"/>
      <c r="AA402" s="1"/>
      <c r="AB402" s="1"/>
    </row>
    <row r="403" ht="50.25" customHeight="1">
      <c r="A403" s="12">
        <v>399.0</v>
      </c>
      <c r="B403" s="13" t="s">
        <v>266</v>
      </c>
      <c r="C403" s="14" t="s">
        <v>406</v>
      </c>
      <c r="D403" s="1"/>
      <c r="E403" s="15"/>
      <c r="F403" s="1" t="str">
        <f>IFERROR(__xludf.DUMMYFUNCTION("GOOGLETRANSLATE(B403, ""en"", ""fa"")
"),"تولید محتوا")</f>
        <v>تولید محتوا</v>
      </c>
      <c r="G403" s="1" t="str">
        <f>IFERROR(__xludf.DUMMYFUNCTION("GOOGLETRANSLATE(C403, ""en"", ""fa"")
"),"تأثیر ترکیب عناصر محتوای پویا، مانند توصیه‌های شخصی یا آزمون‌های تعاملی را برای بهبود تجربه کاربر بررسی کنید.")</f>
        <v>تأثیر ترکیب عناصر محتوای پویا، مانند توصیه‌های شخصی یا آزمون‌های تعاملی را برای بهبود تجربه کاربر بررسی کنید.</v>
      </c>
      <c r="H403" s="1"/>
      <c r="I403" s="1"/>
      <c r="J403" s="1"/>
      <c r="K403" s="1"/>
      <c r="L403" s="1"/>
      <c r="M403" s="1"/>
      <c r="N403" s="1"/>
      <c r="O403" s="1"/>
      <c r="P403" s="1"/>
      <c r="Q403" s="1"/>
      <c r="R403" s="1"/>
      <c r="S403" s="1"/>
      <c r="T403" s="1"/>
      <c r="U403" s="1"/>
      <c r="V403" s="1"/>
      <c r="W403" s="1"/>
      <c r="X403" s="1"/>
      <c r="Y403" s="1"/>
      <c r="Z403" s="1"/>
      <c r="AA403" s="1"/>
      <c r="AB403" s="1"/>
    </row>
    <row r="404" ht="50.25" customHeight="1">
      <c r="A404" s="12">
        <v>400.0</v>
      </c>
      <c r="B404" s="13" t="s">
        <v>266</v>
      </c>
      <c r="C404" s="14" t="s">
        <v>407</v>
      </c>
      <c r="D404" s="1"/>
      <c r="E404" s="15"/>
      <c r="F404" s="1" t="str">
        <f>IFERROR(__xludf.DUMMYFUNCTION("GOOGLETRANSLATE(B404, ""en"", ""fa"")
"),"تولید محتوا")</f>
        <v>تولید محتوا</v>
      </c>
      <c r="G404" s="1" t="str">
        <f>IFERROR(__xludf.DUMMYFUNCTION("GOOGLETRANSLATE(C404, ""en"", ""fa"")
"),"در مورد نقش مشارکت محتوا و همکاری با برندهای مکمل برای دستیابی به مخاطبان جدید و ایجاد کمپین های سودمند متقابل بحث کنید.")</f>
        <v>در مورد نقش مشارکت محتوا و همکاری با برندهای مکمل برای دستیابی به مخاطبان جدید و ایجاد کمپین های سودمند متقابل بحث کنید.</v>
      </c>
      <c r="H404" s="1"/>
      <c r="I404" s="1"/>
      <c r="J404" s="1"/>
      <c r="K404" s="1"/>
      <c r="L404" s="1"/>
      <c r="M404" s="1"/>
      <c r="N404" s="1"/>
      <c r="O404" s="1"/>
      <c r="P404" s="1"/>
      <c r="Q404" s="1"/>
      <c r="R404" s="1"/>
      <c r="S404" s="1"/>
      <c r="T404" s="1"/>
      <c r="U404" s="1"/>
      <c r="V404" s="1"/>
      <c r="W404" s="1"/>
      <c r="X404" s="1"/>
      <c r="Y404" s="1"/>
      <c r="Z404" s="1"/>
      <c r="AA404" s="1"/>
      <c r="AB404" s="1"/>
    </row>
    <row r="405" ht="50.25" customHeight="1">
      <c r="A405" s="12">
        <v>401.0</v>
      </c>
      <c r="B405" s="13" t="s">
        <v>266</v>
      </c>
      <c r="C405" s="14" t="s">
        <v>408</v>
      </c>
      <c r="D405" s="1"/>
      <c r="E405" s="15"/>
      <c r="F405" s="1" t="str">
        <f>IFERROR(__xludf.DUMMYFUNCTION("GOOGLETRANSLATE(B405, ""en"", ""fa"")
"),"تولید محتوا")</f>
        <v>تولید محتوا</v>
      </c>
      <c r="G405" s="1" t="str">
        <f>IFERROR(__xludf.DUMMYFUNCTION("GOOGLETRANSLATE(C405, ""en"", ""fa"")
"),"با توجه به افزایش تعداد کاربرانی که به محتوا در تلفن های هوشمند و تبلت ها دسترسی دارند، نکاتی را برای بهینه سازی محتوای خود برای دستگاه های تلفن همراه به اشتراک بگذارید.")</f>
        <v>با توجه به افزایش تعداد کاربرانی که به محتوا در تلفن های هوشمند و تبلت ها دسترسی دارند، نکاتی را برای بهینه سازی محتوای خود برای دستگاه های تلفن همراه به اشتراک بگذارید.</v>
      </c>
      <c r="H405" s="1"/>
      <c r="I405" s="1"/>
      <c r="J405" s="1"/>
      <c r="K405" s="1"/>
      <c r="L405" s="1"/>
      <c r="M405" s="1"/>
      <c r="N405" s="1"/>
      <c r="O405" s="1"/>
      <c r="P405" s="1"/>
      <c r="Q405" s="1"/>
      <c r="R405" s="1"/>
      <c r="S405" s="1"/>
      <c r="T405" s="1"/>
      <c r="U405" s="1"/>
      <c r="V405" s="1"/>
      <c r="W405" s="1"/>
      <c r="X405" s="1"/>
      <c r="Y405" s="1"/>
      <c r="Z405" s="1"/>
      <c r="AA405" s="1"/>
      <c r="AB405" s="1"/>
    </row>
    <row r="406" ht="50.25" customHeight="1">
      <c r="A406" s="12">
        <v>402.0</v>
      </c>
      <c r="B406" s="13" t="s">
        <v>266</v>
      </c>
      <c r="C406" s="14" t="s">
        <v>409</v>
      </c>
      <c r="D406" s="1"/>
      <c r="E406" s="15"/>
      <c r="F406" s="1" t="str">
        <f>IFERROR(__xludf.DUMMYFUNCTION("GOOGLETRANSLATE(B406, ""en"", ""fa"")
"),"تولید محتوا")</f>
        <v>تولید محتوا</v>
      </c>
      <c r="G406" s="1" t="str">
        <f>IFERROR(__xludf.DUMMYFUNCTION("GOOGLETRANSLATE(C406, ""en"", ""fa"")
"),"مفهوم توزیع محتوا را فراتر از کانال‌های سنتی، مانند حضور مهمان پادکست یا پیوند در پلتفرم‌های خاص، کاوش کنید.")</f>
        <v>مفهوم توزیع محتوا را فراتر از کانال‌های سنتی، مانند حضور مهمان پادکست یا پیوند در پلتفرم‌های خاص، کاوش کنید.</v>
      </c>
      <c r="H406" s="1"/>
      <c r="I406" s="1"/>
      <c r="J406" s="1"/>
      <c r="K406" s="1"/>
      <c r="L406" s="1"/>
      <c r="M406" s="1"/>
      <c r="N406" s="1"/>
      <c r="O406" s="1"/>
      <c r="P406" s="1"/>
      <c r="Q406" s="1"/>
      <c r="R406" s="1"/>
      <c r="S406" s="1"/>
      <c r="T406" s="1"/>
      <c r="U406" s="1"/>
      <c r="V406" s="1"/>
      <c r="W406" s="1"/>
      <c r="X406" s="1"/>
      <c r="Y406" s="1"/>
      <c r="Z406" s="1"/>
      <c r="AA406" s="1"/>
      <c r="AB406" s="1"/>
    </row>
    <row r="407" ht="50.25" customHeight="1">
      <c r="A407" s="12">
        <v>403.0</v>
      </c>
      <c r="B407" s="13" t="s">
        <v>266</v>
      </c>
      <c r="C407" s="14" t="s">
        <v>410</v>
      </c>
      <c r="D407" s="1"/>
      <c r="E407" s="15"/>
      <c r="F407" s="1" t="str">
        <f>IFERROR(__xludf.DUMMYFUNCTION("GOOGLETRANSLATE(B407, ""en"", ""fa"")
"),"تولید محتوا")</f>
        <v>تولید محتوا</v>
      </c>
      <c r="G407" s="1" t="str">
        <f>IFERROR(__xludf.DUMMYFUNCTION("GOOGLETRANSLATE(C407, ""en"", ""fa"")
"),"در مورد مزایای ایجاد محتوایی که به نوستالژی یا ارزش احساسی کمک می کند و باعث ایجاد ارتباطات عاطفی با مخاطبان می شود، بحث کنید.")</f>
        <v>در مورد مزایای ایجاد محتوایی که به نوستالژی یا ارزش احساسی کمک می کند و باعث ایجاد ارتباطات عاطفی با مخاطبان می شود، بحث کنید.</v>
      </c>
      <c r="H407" s="1"/>
      <c r="I407" s="1"/>
      <c r="J407" s="1"/>
      <c r="K407" s="1"/>
      <c r="L407" s="1"/>
      <c r="M407" s="1"/>
      <c r="N407" s="1"/>
      <c r="O407" s="1"/>
      <c r="P407" s="1"/>
      <c r="Q407" s="1"/>
      <c r="R407" s="1"/>
      <c r="S407" s="1"/>
      <c r="T407" s="1"/>
      <c r="U407" s="1"/>
      <c r="V407" s="1"/>
      <c r="W407" s="1"/>
      <c r="X407" s="1"/>
      <c r="Y407" s="1"/>
      <c r="Z407" s="1"/>
      <c r="AA407" s="1"/>
      <c r="AB407" s="1"/>
    </row>
    <row r="408" ht="50.25" customHeight="1">
      <c r="A408" s="12">
        <v>404.0</v>
      </c>
      <c r="B408" s="13" t="s">
        <v>266</v>
      </c>
      <c r="C408" s="14" t="s">
        <v>411</v>
      </c>
      <c r="D408" s="1"/>
      <c r="E408" s="15"/>
      <c r="F408" s="1" t="str">
        <f>IFERROR(__xludf.DUMMYFUNCTION("GOOGLETRANSLATE(B408, ""en"", ""fa"")
"),"تولید محتوا")</f>
        <v>تولید محتوا</v>
      </c>
      <c r="G408" s="1" t="str">
        <f>IFERROR(__xludf.DUMMYFUNCTION("GOOGLETRANSLATE(C408, ""en"", ""fa"")
"),"استراتژی هایی را برای گنجاندن محتوای تولید شده توسط اینفلوئنسرها در تلاش های بازاریابی خود به اشتراک بگذارید و از خلاقیت و دسترسی آنها استفاده کنید.")</f>
        <v>استراتژی هایی را برای گنجاندن محتوای تولید شده توسط اینفلوئنسرها در تلاش های بازاریابی خود به اشتراک بگذارید و از خلاقیت و دسترسی آنها استفاده کنید.</v>
      </c>
      <c r="H408" s="1"/>
      <c r="I408" s="1"/>
      <c r="J408" s="1"/>
      <c r="K408" s="1"/>
      <c r="L408" s="1"/>
      <c r="M408" s="1"/>
      <c r="N408" s="1"/>
      <c r="O408" s="1"/>
      <c r="P408" s="1"/>
      <c r="Q408" s="1"/>
      <c r="R408" s="1"/>
      <c r="S408" s="1"/>
      <c r="T408" s="1"/>
      <c r="U408" s="1"/>
      <c r="V408" s="1"/>
      <c r="W408" s="1"/>
      <c r="X408" s="1"/>
      <c r="Y408" s="1"/>
      <c r="Z408" s="1"/>
      <c r="AA408" s="1"/>
      <c r="AB408" s="1"/>
    </row>
    <row r="409" ht="50.25" customHeight="1">
      <c r="A409" s="12">
        <v>405.0</v>
      </c>
      <c r="B409" s="13" t="s">
        <v>266</v>
      </c>
      <c r="C409" s="14" t="s">
        <v>412</v>
      </c>
      <c r="D409" s="1"/>
      <c r="E409" s="15"/>
      <c r="F409" s="1" t="str">
        <f>IFERROR(__xludf.DUMMYFUNCTION("GOOGLETRANSLATE(B409, ""en"", ""fa"")
"),"تولید محتوا")</f>
        <v>تولید محتوا</v>
      </c>
      <c r="G409" s="1" t="str">
        <f>IFERROR(__xludf.DUMMYFUNCTION("GOOGLETRANSLATE(C409, ""en"", ""fa"")
"),"تأثیر عناصر اثبات اجتماعی، مانند اشتراک‌گذاری رسانه‌های اجتماعی یا توصیفات مشتری، در ایجاد اعتماد و اعتبار نزد مخاطبان خود را بررسی کنید.")</f>
        <v>تأثیر عناصر اثبات اجتماعی، مانند اشتراک‌گذاری رسانه‌های اجتماعی یا توصیفات مشتری، در ایجاد اعتماد و اعتبار نزد مخاطبان خود را بررسی کنید.</v>
      </c>
      <c r="H409" s="1"/>
      <c r="I409" s="1"/>
      <c r="J409" s="1"/>
      <c r="K409" s="1"/>
      <c r="L409" s="1"/>
      <c r="M409" s="1"/>
      <c r="N409" s="1"/>
      <c r="O409" s="1"/>
      <c r="P409" s="1"/>
      <c r="Q409" s="1"/>
      <c r="R409" s="1"/>
      <c r="S409" s="1"/>
      <c r="T409" s="1"/>
      <c r="U409" s="1"/>
      <c r="V409" s="1"/>
      <c r="W409" s="1"/>
      <c r="X409" s="1"/>
      <c r="Y409" s="1"/>
      <c r="Z409" s="1"/>
      <c r="AA409" s="1"/>
      <c r="AB409" s="1"/>
    </row>
    <row r="410" ht="50.25" customHeight="1">
      <c r="A410" s="12">
        <v>406.0</v>
      </c>
      <c r="B410" s="13" t="s">
        <v>266</v>
      </c>
      <c r="C410" s="14" t="s">
        <v>413</v>
      </c>
      <c r="D410" s="1"/>
      <c r="E410" s="15"/>
      <c r="F410" s="1" t="str">
        <f>IFERROR(__xludf.DUMMYFUNCTION("GOOGLETRANSLATE(B410, ""en"", ""fa"")
"),"تولید محتوا")</f>
        <v>تولید محتوا</v>
      </c>
      <c r="G410" s="1" t="str">
        <f>IFERROR(__xludf.DUMMYFUNCTION("GOOGLETRANSLATE(C410, ""en"", ""fa"")
"),"درباره نقش شخصی سازی محتوا و تنظیم پیام های خود بر اساس رفتار یا ترجیحات کاربر بحث کنید.")</f>
        <v>درباره نقش شخصی سازی محتوا و تنظیم پیام های خود بر اساس رفتار یا ترجیحات کاربر بحث کنید.</v>
      </c>
      <c r="H410" s="1"/>
      <c r="I410" s="1"/>
      <c r="J410" s="1"/>
      <c r="K410" s="1"/>
      <c r="L410" s="1"/>
      <c r="M410" s="1"/>
      <c r="N410" s="1"/>
      <c r="O410" s="1"/>
      <c r="P410" s="1"/>
      <c r="Q410" s="1"/>
      <c r="R410" s="1"/>
      <c r="S410" s="1"/>
      <c r="T410" s="1"/>
      <c r="U410" s="1"/>
      <c r="V410" s="1"/>
      <c r="W410" s="1"/>
      <c r="X410" s="1"/>
      <c r="Y410" s="1"/>
      <c r="Z410" s="1"/>
      <c r="AA410" s="1"/>
      <c r="AB410" s="1"/>
    </row>
    <row r="411" ht="50.25" customHeight="1">
      <c r="A411" s="12">
        <v>407.0</v>
      </c>
      <c r="B411" s="13" t="s">
        <v>266</v>
      </c>
      <c r="C411" s="14" t="s">
        <v>414</v>
      </c>
      <c r="D411" s="1"/>
      <c r="E411" s="15"/>
      <c r="F411" s="1" t="str">
        <f>IFERROR(__xludf.DUMMYFUNCTION("GOOGLETRANSLATE(B411, ""en"", ""fa"")
"),"تولید محتوا")</f>
        <v>تولید محتوا</v>
      </c>
      <c r="G411" s="1" t="str">
        <f>IFERROR(__xludf.DUMMYFUNCTION("GOOGLETRANSLATE(C411, ""en"", ""fa"")
"),"نکاتی را برای ایجاد محتوایی به اشتراک بگذارید که به بازارهای نوظهور یا خاص می‌پردازد و بخش‌های تخصصی مخاطب را تامین می‌کند.")</f>
        <v>نکاتی را برای ایجاد محتوایی به اشتراک بگذارید که به بازارهای نوظهور یا خاص می‌پردازد و بخش‌های تخصصی مخاطب را تامین می‌کند.</v>
      </c>
      <c r="H411" s="1"/>
      <c r="I411" s="1"/>
      <c r="J411" s="1"/>
      <c r="K411" s="1"/>
      <c r="L411" s="1"/>
      <c r="M411" s="1"/>
      <c r="N411" s="1"/>
      <c r="O411" s="1"/>
      <c r="P411" s="1"/>
      <c r="Q411" s="1"/>
      <c r="R411" s="1"/>
      <c r="S411" s="1"/>
      <c r="T411" s="1"/>
      <c r="U411" s="1"/>
      <c r="V411" s="1"/>
      <c r="W411" s="1"/>
      <c r="X411" s="1"/>
      <c r="Y411" s="1"/>
      <c r="Z411" s="1"/>
      <c r="AA411" s="1"/>
      <c r="AB411" s="1"/>
    </row>
    <row r="412" ht="50.25" customHeight="1">
      <c r="A412" s="12">
        <v>408.0</v>
      </c>
      <c r="B412" s="13" t="s">
        <v>266</v>
      </c>
      <c r="C412" s="14" t="s">
        <v>415</v>
      </c>
      <c r="D412" s="1"/>
      <c r="E412" s="15"/>
      <c r="F412" s="1" t="str">
        <f>IFERROR(__xludf.DUMMYFUNCTION("GOOGLETRANSLATE(B412, ""en"", ""fa"")
"),"تولید محتوا")</f>
        <v>تولید محتوا</v>
      </c>
      <c r="G412" s="1" t="str">
        <f>IFERROR(__xludf.DUMMYFUNCTION("GOOGLETRANSLATE(C412, ""en"", ""fa"")
"),"مفهوم طراحی محتوای کاربر محور را بررسی کنید، مطمئن شوید که محتوای شما به راحتی خوانده می شود، در دسترس است و از نظر بصری جذاب است.")</f>
        <v>مفهوم طراحی محتوای کاربر محور را بررسی کنید، مطمئن شوید که محتوای شما به راحتی خوانده می شود، در دسترس است و از نظر بصری جذاب است.</v>
      </c>
      <c r="H412" s="1"/>
      <c r="I412" s="1"/>
      <c r="J412" s="1"/>
      <c r="K412" s="1"/>
      <c r="L412" s="1"/>
      <c r="M412" s="1"/>
      <c r="N412" s="1"/>
      <c r="O412" s="1"/>
      <c r="P412" s="1"/>
      <c r="Q412" s="1"/>
      <c r="R412" s="1"/>
      <c r="S412" s="1"/>
      <c r="T412" s="1"/>
      <c r="U412" s="1"/>
      <c r="V412" s="1"/>
      <c r="W412" s="1"/>
      <c r="X412" s="1"/>
      <c r="Y412" s="1"/>
      <c r="Z412" s="1"/>
      <c r="AA412" s="1"/>
      <c r="AB412" s="1"/>
    </row>
    <row r="413" ht="50.25" customHeight="1">
      <c r="A413" s="12">
        <v>409.0</v>
      </c>
      <c r="B413" s="13" t="s">
        <v>266</v>
      </c>
      <c r="C413" s="14" t="s">
        <v>416</v>
      </c>
      <c r="D413" s="1"/>
      <c r="E413" s="15"/>
      <c r="F413" s="1" t="str">
        <f>IFERROR(__xludf.DUMMYFUNCTION("GOOGLETRANSLATE(B413, ""en"", ""fa"")
"),"تولید محتوا")</f>
        <v>تولید محتوا</v>
      </c>
      <c r="G413" s="1" t="str">
        <f>IFERROR(__xludf.DUMMYFUNCTION("GOOGLETRANSLATE(C413, ""en"", ""fa"")
"),"در مورد مزایای انجام تجزیه و تحلیل عملکرد محتوا و استفاده از داده ها برای بهینه سازی استراتژی محتوای خود برای نتایج بهتر بحث کنید.")</f>
        <v>در مورد مزایای انجام تجزیه و تحلیل عملکرد محتوا و استفاده از داده ها برای بهینه سازی استراتژی محتوای خود برای نتایج بهتر بحث کنید.</v>
      </c>
      <c r="H413" s="1"/>
      <c r="I413" s="1"/>
      <c r="J413" s="1"/>
      <c r="K413" s="1"/>
      <c r="L413" s="1"/>
      <c r="M413" s="1"/>
      <c r="N413" s="1"/>
      <c r="O413" s="1"/>
      <c r="P413" s="1"/>
      <c r="Q413" s="1"/>
      <c r="R413" s="1"/>
      <c r="S413" s="1"/>
      <c r="T413" s="1"/>
      <c r="U413" s="1"/>
      <c r="V413" s="1"/>
      <c r="W413" s="1"/>
      <c r="X413" s="1"/>
      <c r="Y413" s="1"/>
      <c r="Z413" s="1"/>
      <c r="AA413" s="1"/>
      <c r="AB413" s="1"/>
    </row>
    <row r="414" ht="50.25" customHeight="1">
      <c r="A414" s="12">
        <v>410.0</v>
      </c>
      <c r="B414" s="13" t="s">
        <v>266</v>
      </c>
      <c r="C414" s="14" t="s">
        <v>417</v>
      </c>
      <c r="D414" s="1"/>
      <c r="E414" s="15"/>
      <c r="F414" s="1" t="str">
        <f>IFERROR(__xludf.DUMMYFUNCTION("GOOGLETRANSLATE(B414, ""en"", ""fa"")
"),"تولید محتوا")</f>
        <v>تولید محتوا</v>
      </c>
      <c r="G414" s="1" t="str">
        <f>IFERROR(__xludf.DUMMYFUNCTION("GOOGLETRANSLATE(C414, ""en"", ""fa"")
"),"قدرت داستان سرایی را در ایجاد روایت های به یاد ماندنی برند کاوش کنید.")</f>
        <v>قدرت داستان سرایی را در ایجاد روایت های به یاد ماندنی برند کاوش کنید.</v>
      </c>
      <c r="H414" s="1"/>
      <c r="I414" s="1"/>
      <c r="J414" s="1"/>
      <c r="K414" s="1"/>
      <c r="L414" s="1"/>
      <c r="M414" s="1"/>
      <c r="N414" s="1"/>
      <c r="O414" s="1"/>
      <c r="P414" s="1"/>
      <c r="Q414" s="1"/>
      <c r="R414" s="1"/>
      <c r="S414" s="1"/>
      <c r="T414" s="1"/>
      <c r="U414" s="1"/>
      <c r="V414" s="1"/>
      <c r="W414" s="1"/>
      <c r="X414" s="1"/>
      <c r="Y414" s="1"/>
      <c r="Z414" s="1"/>
      <c r="AA414" s="1"/>
      <c r="AB414" s="1"/>
    </row>
    <row r="415" ht="50.25" customHeight="1">
      <c r="A415" s="12">
        <v>411.0</v>
      </c>
      <c r="B415" s="13" t="s">
        <v>266</v>
      </c>
      <c r="C415" s="14" t="s">
        <v>418</v>
      </c>
      <c r="D415" s="1"/>
      <c r="E415" s="15"/>
      <c r="F415" s="1" t="str">
        <f>IFERROR(__xludf.DUMMYFUNCTION("GOOGLETRANSLATE(B415, ""en"", ""fa"")
"),"تولید محتوا")</f>
        <v>تولید محتوا</v>
      </c>
      <c r="G415" s="1" t="str">
        <f>IFERROR(__xludf.DUMMYFUNCTION("GOOGLETRANSLATE(C415, ""en"", ""fa"")
"),"در مورد مزایای ایجاد محتوایی که حس کنجکاوی را بر می انگیزد و مخاطبان شما را رغبت به یادگیری بیشتر می کند، بحث کنید.")</f>
        <v>در مورد مزایای ایجاد محتوایی که حس کنجکاوی را بر می انگیزد و مخاطبان شما را رغبت به یادگیری بیشتر می کند، بحث کنید.</v>
      </c>
      <c r="H415" s="1"/>
      <c r="I415" s="1"/>
      <c r="J415" s="1"/>
      <c r="K415" s="1"/>
      <c r="L415" s="1"/>
      <c r="M415" s="1"/>
      <c r="N415" s="1"/>
      <c r="O415" s="1"/>
      <c r="P415" s="1"/>
      <c r="Q415" s="1"/>
      <c r="R415" s="1"/>
      <c r="S415" s="1"/>
      <c r="T415" s="1"/>
      <c r="U415" s="1"/>
      <c r="V415" s="1"/>
      <c r="W415" s="1"/>
      <c r="X415" s="1"/>
      <c r="Y415" s="1"/>
      <c r="Z415" s="1"/>
      <c r="AA415" s="1"/>
      <c r="AB415" s="1"/>
    </row>
    <row r="416" ht="50.25" customHeight="1">
      <c r="A416" s="12">
        <v>412.0</v>
      </c>
      <c r="B416" s="13" t="s">
        <v>266</v>
      </c>
      <c r="C416" s="14" t="s">
        <v>419</v>
      </c>
      <c r="D416" s="1"/>
      <c r="E416" s="15"/>
      <c r="F416" s="1" t="str">
        <f>IFERROR(__xludf.DUMMYFUNCTION("GOOGLETRANSLATE(B416, ""en"", ""fa"")
"),"تولید محتوا")</f>
        <v>تولید محتوا</v>
      </c>
      <c r="G416" s="1" t="str">
        <f>IFERROR(__xludf.DUMMYFUNCTION("GOOGLETRANSLATE(C416, ""en"", ""fa"")
"),"نکاتی را برای ایجاد محتوایی به اشتراک بگذارید که برند شما را به عنوان یک رهبر فکری صنعت تثبیت کند.")</f>
        <v>نکاتی را برای ایجاد محتوایی به اشتراک بگذارید که برند شما را به عنوان یک رهبر فکری صنعت تثبیت کند.</v>
      </c>
      <c r="H416" s="1"/>
      <c r="I416" s="1"/>
      <c r="J416" s="1"/>
      <c r="K416" s="1"/>
      <c r="L416" s="1"/>
      <c r="M416" s="1"/>
      <c r="N416" s="1"/>
      <c r="O416" s="1"/>
      <c r="P416" s="1"/>
      <c r="Q416" s="1"/>
      <c r="R416" s="1"/>
      <c r="S416" s="1"/>
      <c r="T416" s="1"/>
      <c r="U416" s="1"/>
      <c r="V416" s="1"/>
      <c r="W416" s="1"/>
      <c r="X416" s="1"/>
      <c r="Y416" s="1"/>
      <c r="Z416" s="1"/>
      <c r="AA416" s="1"/>
      <c r="AB416" s="1"/>
    </row>
    <row r="417" ht="50.25" customHeight="1">
      <c r="A417" s="12">
        <v>413.0</v>
      </c>
      <c r="B417" s="13" t="s">
        <v>266</v>
      </c>
      <c r="C417" s="14" t="s">
        <v>420</v>
      </c>
      <c r="D417" s="1"/>
      <c r="E417" s="15"/>
      <c r="F417" s="1" t="str">
        <f>IFERROR(__xludf.DUMMYFUNCTION("GOOGLETRANSLATE(B417, ""en"", ""fa"")
"),"تولید محتوا")</f>
        <v>تولید محتوا</v>
      </c>
      <c r="G417" s="1" t="str">
        <f>IFERROR(__xludf.DUMMYFUNCTION("GOOGLETRANSLATE(C417, ""en"", ""fa"")
"),"مفهوم تغییر کاربری محتوا و چگونگی افزایش طول عمر و دسترسی محتوای شما را بررسی کنید.")</f>
        <v>مفهوم تغییر کاربری محتوا و چگونگی افزایش طول عمر و دسترسی محتوای شما را بررسی کنید.</v>
      </c>
      <c r="H417" s="1"/>
      <c r="I417" s="1"/>
      <c r="J417" s="1"/>
      <c r="K417" s="1"/>
      <c r="L417" s="1"/>
      <c r="M417" s="1"/>
      <c r="N417" s="1"/>
      <c r="O417" s="1"/>
      <c r="P417" s="1"/>
      <c r="Q417" s="1"/>
      <c r="R417" s="1"/>
      <c r="S417" s="1"/>
      <c r="T417" s="1"/>
      <c r="U417" s="1"/>
      <c r="V417" s="1"/>
      <c r="W417" s="1"/>
      <c r="X417" s="1"/>
      <c r="Y417" s="1"/>
      <c r="Z417" s="1"/>
      <c r="AA417" s="1"/>
      <c r="AB417" s="1"/>
    </row>
    <row r="418" ht="50.25" customHeight="1">
      <c r="A418" s="12">
        <v>414.0</v>
      </c>
      <c r="B418" s="13" t="s">
        <v>266</v>
      </c>
      <c r="C418" s="14" t="s">
        <v>421</v>
      </c>
      <c r="D418" s="1"/>
      <c r="E418" s="15"/>
      <c r="F418" s="1" t="str">
        <f>IFERROR(__xludf.DUMMYFUNCTION("GOOGLETRANSLATE(B418, ""en"", ""fa"")
"),"تولید محتوا")</f>
        <v>تولید محتوا</v>
      </c>
      <c r="G418" s="1" t="str">
        <f>IFERROR(__xludf.DUMMYFUNCTION("GOOGLETRANSLATE(C418, ""en"", ""fa"")
"),"در مورد تأثیر محتوای بصری، مانند اینفوگرافیک یا ویدیو، در جلب و حفظ توجه مخاطب بحث کنید.")</f>
        <v>در مورد تأثیر محتوای بصری، مانند اینفوگرافیک یا ویدیو، در جلب و حفظ توجه مخاطب بحث کنید.</v>
      </c>
      <c r="H418" s="1"/>
      <c r="I418" s="1"/>
      <c r="J418" s="1"/>
      <c r="K418" s="1"/>
      <c r="L418" s="1"/>
      <c r="M418" s="1"/>
      <c r="N418" s="1"/>
      <c r="O418" s="1"/>
      <c r="P418" s="1"/>
      <c r="Q418" s="1"/>
      <c r="R418" s="1"/>
      <c r="S418" s="1"/>
      <c r="T418" s="1"/>
      <c r="U418" s="1"/>
      <c r="V418" s="1"/>
      <c r="W418" s="1"/>
      <c r="X418" s="1"/>
      <c r="Y418" s="1"/>
      <c r="Z418" s="1"/>
      <c r="AA418" s="1"/>
      <c r="AB418" s="1"/>
    </row>
    <row r="419" ht="50.25" customHeight="1">
      <c r="A419" s="12">
        <v>415.0</v>
      </c>
      <c r="B419" s="13" t="s">
        <v>266</v>
      </c>
      <c r="C419" s="14" t="s">
        <v>422</v>
      </c>
      <c r="D419" s="1"/>
      <c r="E419" s="15"/>
      <c r="F419" s="1" t="str">
        <f>IFERROR(__xludf.DUMMYFUNCTION("GOOGLETRANSLATE(B419, ""en"", ""fa"")
"),"تولید محتوا")</f>
        <v>تولید محتوا</v>
      </c>
      <c r="G419" s="1" t="str">
        <f>IFERROR(__xludf.DUMMYFUNCTION("GOOGLETRANSLATE(C419, ""en"", ""fa"")
"),"استراتژی‌هایی را برای ایجاد محتوایی به اشتراک بگذارید که به نقاط درد و چالش‌های رایجی که مخاطبان هدف شما با آن مواجه هستند، رسیدگی می‌کند.")</f>
        <v>استراتژی‌هایی را برای ایجاد محتوایی به اشتراک بگذارید که به نقاط درد و چالش‌های رایجی که مخاطبان هدف شما با آن مواجه هستند، رسیدگی می‌کند.</v>
      </c>
      <c r="H419" s="1"/>
      <c r="I419" s="1"/>
      <c r="J419" s="1"/>
      <c r="K419" s="1"/>
      <c r="L419" s="1"/>
      <c r="M419" s="1"/>
      <c r="N419" s="1"/>
      <c r="O419" s="1"/>
      <c r="P419" s="1"/>
      <c r="Q419" s="1"/>
      <c r="R419" s="1"/>
      <c r="S419" s="1"/>
      <c r="T419" s="1"/>
      <c r="U419" s="1"/>
      <c r="V419" s="1"/>
      <c r="W419" s="1"/>
      <c r="X419" s="1"/>
      <c r="Y419" s="1"/>
      <c r="Z419" s="1"/>
      <c r="AA419" s="1"/>
      <c r="AB419" s="1"/>
    </row>
    <row r="420" ht="50.25" customHeight="1">
      <c r="A420" s="12">
        <v>416.0</v>
      </c>
      <c r="B420" s="13" t="s">
        <v>266</v>
      </c>
      <c r="C420" s="14" t="s">
        <v>423</v>
      </c>
      <c r="D420" s="1"/>
      <c r="E420" s="15"/>
      <c r="F420" s="1" t="str">
        <f>IFERROR(__xludf.DUMMYFUNCTION("GOOGLETRANSLATE(B420, ""en"", ""fa"")
"),"تولید محتوا")</f>
        <v>تولید محتوا</v>
      </c>
      <c r="G420" s="1" t="str">
        <f>IFERROR(__xludf.DUMMYFUNCTION("GOOGLETRANSLATE(C420, ""en"", ""fa"")
"),"مزایای گنجاندن محتوای تولید شده توسط کاربر در استراتژی بازاریابی محتوای خود را بررسی کنید.")</f>
        <v>مزایای گنجاندن محتوای تولید شده توسط کاربر در استراتژی بازاریابی محتوای خود را بررسی کنید.</v>
      </c>
      <c r="H420" s="1"/>
      <c r="I420" s="1"/>
      <c r="J420" s="1"/>
      <c r="K420" s="1"/>
      <c r="L420" s="1"/>
      <c r="M420" s="1"/>
      <c r="N420" s="1"/>
      <c r="O420" s="1"/>
      <c r="P420" s="1"/>
      <c r="Q420" s="1"/>
      <c r="R420" s="1"/>
      <c r="S420" s="1"/>
      <c r="T420" s="1"/>
      <c r="U420" s="1"/>
      <c r="V420" s="1"/>
      <c r="W420" s="1"/>
      <c r="X420" s="1"/>
      <c r="Y420" s="1"/>
      <c r="Z420" s="1"/>
      <c r="AA420" s="1"/>
      <c r="AB420" s="1"/>
    </row>
    <row r="421" ht="50.25" customHeight="1">
      <c r="A421" s="12">
        <v>417.0</v>
      </c>
      <c r="B421" s="13" t="s">
        <v>266</v>
      </c>
      <c r="C421" s="14" t="s">
        <v>424</v>
      </c>
      <c r="D421" s="1"/>
      <c r="E421" s="15"/>
      <c r="F421" s="1" t="str">
        <f>IFERROR(__xludf.DUMMYFUNCTION("GOOGLETRANSLATE(B421, ""en"", ""fa"")
"),"تولید محتوا")</f>
        <v>تولید محتوا</v>
      </c>
      <c r="G421" s="1" t="str">
        <f>IFERROR(__xludf.DUMMYFUNCTION("GOOGLETRANSLATE(C421, ""en"", ""fa"")
"),"در مورد نقش داستان سرایی در انسانی کردن برند خود و ایجاد ارتباطات عاطفی با مخاطبان خود بحث کنید.")</f>
        <v>در مورد نقش داستان سرایی در انسانی کردن برند خود و ایجاد ارتباطات عاطفی با مخاطبان خود بحث کنید.</v>
      </c>
      <c r="H421" s="1"/>
      <c r="I421" s="1"/>
      <c r="J421" s="1"/>
      <c r="K421" s="1"/>
      <c r="L421" s="1"/>
      <c r="M421" s="1"/>
      <c r="N421" s="1"/>
      <c r="O421" s="1"/>
      <c r="P421" s="1"/>
      <c r="Q421" s="1"/>
      <c r="R421" s="1"/>
      <c r="S421" s="1"/>
      <c r="T421" s="1"/>
      <c r="U421" s="1"/>
      <c r="V421" s="1"/>
      <c r="W421" s="1"/>
      <c r="X421" s="1"/>
      <c r="Y421" s="1"/>
      <c r="Z421" s="1"/>
      <c r="AA421" s="1"/>
      <c r="AB421" s="1"/>
    </row>
    <row r="422" ht="50.25" customHeight="1">
      <c r="A422" s="12">
        <v>418.0</v>
      </c>
      <c r="B422" s="13" t="s">
        <v>266</v>
      </c>
      <c r="C422" s="14" t="s">
        <v>425</v>
      </c>
      <c r="D422" s="1"/>
      <c r="E422" s="15"/>
      <c r="F422" s="1" t="str">
        <f>IFERROR(__xludf.DUMMYFUNCTION("GOOGLETRANSLATE(B422, ""en"", ""fa"")
"),"تولید محتوا")</f>
        <v>تولید محتوا</v>
      </c>
      <c r="G422" s="1" t="str">
        <f>IFERROR(__xludf.DUMMYFUNCTION("GOOGLETRANSLATE(C422, ""en"", ""fa"")
"),"نکاتی را برای ایجاد محتوایی به اشتراک بگذارید که به مخاطبان شما آموزش می‌دهد و به آنها قدرت می‌دهد تا اقدام کنند.")</f>
        <v>نکاتی را برای ایجاد محتوایی به اشتراک بگذارید که به مخاطبان شما آموزش می‌دهد و به آنها قدرت می‌دهد تا اقدام کنند.</v>
      </c>
      <c r="H422" s="1"/>
      <c r="I422" s="1"/>
      <c r="J422" s="1"/>
      <c r="K422" s="1"/>
      <c r="L422" s="1"/>
      <c r="M422" s="1"/>
      <c r="N422" s="1"/>
      <c r="O422" s="1"/>
      <c r="P422" s="1"/>
      <c r="Q422" s="1"/>
      <c r="R422" s="1"/>
      <c r="S422" s="1"/>
      <c r="T422" s="1"/>
      <c r="U422" s="1"/>
      <c r="V422" s="1"/>
      <c r="W422" s="1"/>
      <c r="X422" s="1"/>
      <c r="Y422" s="1"/>
      <c r="Z422" s="1"/>
      <c r="AA422" s="1"/>
      <c r="AB422" s="1"/>
    </row>
    <row r="423" ht="50.25" customHeight="1">
      <c r="A423" s="12">
        <v>419.0</v>
      </c>
      <c r="B423" s="13" t="s">
        <v>266</v>
      </c>
      <c r="C423" s="14" t="s">
        <v>426</v>
      </c>
      <c r="D423" s="1"/>
      <c r="E423" s="15"/>
      <c r="F423" s="1" t="str">
        <f>IFERROR(__xludf.DUMMYFUNCTION("GOOGLETRANSLATE(B423, ""en"", ""fa"")
"),"تولید محتوا")</f>
        <v>تولید محتوا</v>
      </c>
      <c r="G423" s="1" t="str">
        <f>IFERROR(__xludf.DUMMYFUNCTION("GOOGLETRANSLATE(C423, ""en"", ""fa"")
"),"مفهوم تنوع محتوا و اهمیت ارائه قالب‌ها و رسانه‌های مختلف برای پاسخگویی به اولویت‌های مختلف را بررسی کنید.")</f>
        <v>مفهوم تنوع محتوا و اهمیت ارائه قالب‌ها و رسانه‌های مختلف برای پاسخگویی به اولویت‌های مختلف را بررسی کنید.</v>
      </c>
      <c r="H423" s="1"/>
      <c r="I423" s="1"/>
      <c r="J423" s="1"/>
      <c r="K423" s="1"/>
      <c r="L423" s="1"/>
      <c r="M423" s="1"/>
      <c r="N423" s="1"/>
      <c r="O423" s="1"/>
      <c r="P423" s="1"/>
      <c r="Q423" s="1"/>
      <c r="R423" s="1"/>
      <c r="S423" s="1"/>
      <c r="T423" s="1"/>
      <c r="U423" s="1"/>
      <c r="V423" s="1"/>
      <c r="W423" s="1"/>
      <c r="X423" s="1"/>
      <c r="Y423" s="1"/>
      <c r="Z423" s="1"/>
      <c r="AA423" s="1"/>
      <c r="AB423" s="1"/>
    </row>
    <row r="424" ht="50.25" customHeight="1">
      <c r="A424" s="12">
        <v>420.0</v>
      </c>
      <c r="B424" s="13" t="s">
        <v>266</v>
      </c>
      <c r="C424" s="14" t="s">
        <v>427</v>
      </c>
      <c r="D424" s="1"/>
      <c r="E424" s="15"/>
      <c r="F424" s="1" t="str">
        <f>IFERROR(__xludf.DUMMYFUNCTION("GOOGLETRANSLATE(B424, ""en"", ""fa"")
"),"تولید محتوا")</f>
        <v>تولید محتوا</v>
      </c>
      <c r="G424" s="1" t="str">
        <f>IFERROR(__xludf.DUMMYFUNCTION("GOOGLETRANSLATE(C424, ""en"", ""fa"")
"),"در مورد تأثیر روندها و چالش های رسانه های اجتماعی در شکل دادن به استراتژی محتوای خود بحث کنید.")</f>
        <v>در مورد تأثیر روندها و چالش های رسانه های اجتماعی در شکل دادن به استراتژی محتوای خود بحث کنید.</v>
      </c>
      <c r="H424" s="1"/>
      <c r="I424" s="1"/>
      <c r="J424" s="1"/>
      <c r="K424" s="1"/>
      <c r="L424" s="1"/>
      <c r="M424" s="1"/>
      <c r="N424" s="1"/>
      <c r="O424" s="1"/>
      <c r="P424" s="1"/>
      <c r="Q424" s="1"/>
      <c r="R424" s="1"/>
      <c r="S424" s="1"/>
      <c r="T424" s="1"/>
      <c r="U424" s="1"/>
      <c r="V424" s="1"/>
      <c r="W424" s="1"/>
      <c r="X424" s="1"/>
      <c r="Y424" s="1"/>
      <c r="Z424" s="1"/>
      <c r="AA424" s="1"/>
      <c r="AB424" s="1"/>
    </row>
    <row r="425" ht="50.25" customHeight="1">
      <c r="A425" s="12">
        <v>421.0</v>
      </c>
      <c r="B425" s="13" t="s">
        <v>266</v>
      </c>
      <c r="C425" s="14" t="s">
        <v>428</v>
      </c>
      <c r="D425" s="1"/>
      <c r="E425" s="15"/>
      <c r="F425" s="1" t="str">
        <f>IFERROR(__xludf.DUMMYFUNCTION("GOOGLETRANSLATE(B425, ""en"", ""fa"")
"),"تولید محتوا")</f>
        <v>تولید محتوا</v>
      </c>
      <c r="G425" s="1" t="str">
        <f>IFERROR(__xludf.DUMMYFUNCTION("GOOGLETRANSLATE(C425, ""en"", ""fa"")
"),"استراتژی هایی را برای ایجاد محتوایی که تعامل را تقویت می کند و تعامل مخاطب را تشویق می کند، به اشتراک بگذارید.")</f>
        <v>استراتژی هایی را برای ایجاد محتوایی که تعامل را تقویت می کند و تعامل مخاطب را تشویق می کند، به اشتراک بگذارید.</v>
      </c>
      <c r="H425" s="1"/>
      <c r="I425" s="1"/>
      <c r="J425" s="1"/>
      <c r="K425" s="1"/>
      <c r="L425" s="1"/>
      <c r="M425" s="1"/>
      <c r="N425" s="1"/>
      <c r="O425" s="1"/>
      <c r="P425" s="1"/>
      <c r="Q425" s="1"/>
      <c r="R425" s="1"/>
      <c r="S425" s="1"/>
      <c r="T425" s="1"/>
      <c r="U425" s="1"/>
      <c r="V425" s="1"/>
      <c r="W425" s="1"/>
      <c r="X425" s="1"/>
      <c r="Y425" s="1"/>
      <c r="Z425" s="1"/>
      <c r="AA425" s="1"/>
      <c r="AB425" s="1"/>
    </row>
    <row r="426" ht="50.25" customHeight="1">
      <c r="A426" s="12">
        <v>422.0</v>
      </c>
      <c r="B426" s="13" t="s">
        <v>266</v>
      </c>
      <c r="C426" s="14" t="s">
        <v>429</v>
      </c>
      <c r="D426" s="1"/>
      <c r="E426" s="15"/>
      <c r="F426" s="1" t="str">
        <f>IFERROR(__xludf.DUMMYFUNCTION("GOOGLETRANSLATE(B426, ""en"", ""fa"")
"),"تولید محتوا")</f>
        <v>تولید محتوا</v>
      </c>
      <c r="G426" s="1" t="str">
        <f>IFERROR(__xludf.DUMMYFUNCTION("GOOGLETRANSLATE(C426, ""en"", ""fa"")
"),"مزایای همکاری با اینفلوئنسرها یا متخصصان صنعت را برای تولید محتوا بررسی کنید.")</f>
        <v>مزایای همکاری با اینفلوئنسرها یا متخصصان صنعت را برای تولید محتوا بررسی کنید.</v>
      </c>
      <c r="H426" s="1"/>
      <c r="I426" s="1"/>
      <c r="J426" s="1"/>
      <c r="K426" s="1"/>
      <c r="L426" s="1"/>
      <c r="M426" s="1"/>
      <c r="N426" s="1"/>
      <c r="O426" s="1"/>
      <c r="P426" s="1"/>
      <c r="Q426" s="1"/>
      <c r="R426" s="1"/>
      <c r="S426" s="1"/>
      <c r="T426" s="1"/>
      <c r="U426" s="1"/>
      <c r="V426" s="1"/>
      <c r="W426" s="1"/>
      <c r="X426" s="1"/>
      <c r="Y426" s="1"/>
      <c r="Z426" s="1"/>
      <c r="AA426" s="1"/>
      <c r="AB426" s="1"/>
    </row>
    <row r="427" ht="50.25" customHeight="1">
      <c r="A427" s="12">
        <v>423.0</v>
      </c>
      <c r="B427" s="13" t="s">
        <v>266</v>
      </c>
      <c r="C427" s="14" t="s">
        <v>430</v>
      </c>
      <c r="D427" s="1"/>
      <c r="E427" s="15"/>
      <c r="F427" s="1" t="str">
        <f>IFERROR(__xludf.DUMMYFUNCTION("GOOGLETRANSLATE(B427, ""en"", ""fa"")
"),"تولید محتوا")</f>
        <v>تولید محتوا</v>
      </c>
      <c r="G427" s="1" t="str">
        <f>IFERROR(__xludf.DUMMYFUNCTION("GOOGLETRANSLATE(C427, ""en"", ""fa"")
"),"در مورد نقش محتوای مبتنی بر داده و اینکه چگونه می تواند بینش های ارزشمندی ارائه دهد و از پیام های کلیدی شما پشتیبانی کند، بحث کنید.")</f>
        <v>در مورد نقش محتوای مبتنی بر داده و اینکه چگونه می تواند بینش های ارزشمندی ارائه دهد و از پیام های کلیدی شما پشتیبانی کند، بحث کنید.</v>
      </c>
      <c r="H427" s="1"/>
      <c r="I427" s="1"/>
      <c r="J427" s="1"/>
      <c r="K427" s="1"/>
      <c r="L427" s="1"/>
      <c r="M427" s="1"/>
      <c r="N427" s="1"/>
      <c r="O427" s="1"/>
      <c r="P427" s="1"/>
      <c r="Q427" s="1"/>
      <c r="R427" s="1"/>
      <c r="S427" s="1"/>
      <c r="T427" s="1"/>
      <c r="U427" s="1"/>
      <c r="V427" s="1"/>
      <c r="W427" s="1"/>
      <c r="X427" s="1"/>
      <c r="Y427" s="1"/>
      <c r="Z427" s="1"/>
      <c r="AA427" s="1"/>
      <c r="AB427" s="1"/>
    </row>
    <row r="428" ht="50.25" customHeight="1">
      <c r="A428" s="12">
        <v>424.0</v>
      </c>
      <c r="B428" s="13" t="s">
        <v>266</v>
      </c>
      <c r="C428" s="14" t="s">
        <v>431</v>
      </c>
      <c r="D428" s="1"/>
      <c r="E428" s="15"/>
      <c r="F428" s="1" t="str">
        <f>IFERROR(__xludf.DUMMYFUNCTION("GOOGLETRANSLATE(B428, ""en"", ""fa"")
"),"تولید محتوا")</f>
        <v>تولید محتوا</v>
      </c>
      <c r="G428" s="1" t="str">
        <f>IFERROR(__xludf.DUMMYFUNCTION("GOOGLETRANSLATE(C428, ""en"", ""fa"")
"),"نکاتی را برای بهینه سازی محتوای خود برای موتورهای جستجو برای بهبود دید و ترافیک ارگانیک به اشتراک بگذارید.")</f>
        <v>نکاتی را برای بهینه سازی محتوای خود برای موتورهای جستجو برای بهبود دید و ترافیک ارگانیک به اشتراک بگذارید.</v>
      </c>
      <c r="H428" s="1"/>
      <c r="I428" s="1"/>
      <c r="J428" s="1"/>
      <c r="K428" s="1"/>
      <c r="L428" s="1"/>
      <c r="M428" s="1"/>
      <c r="N428" s="1"/>
      <c r="O428" s="1"/>
      <c r="P428" s="1"/>
      <c r="Q428" s="1"/>
      <c r="R428" s="1"/>
      <c r="S428" s="1"/>
      <c r="T428" s="1"/>
      <c r="U428" s="1"/>
      <c r="V428" s="1"/>
      <c r="W428" s="1"/>
      <c r="X428" s="1"/>
      <c r="Y428" s="1"/>
      <c r="Z428" s="1"/>
      <c r="AA428" s="1"/>
      <c r="AB428" s="1"/>
    </row>
    <row r="429" ht="50.25" customHeight="1">
      <c r="A429" s="12">
        <v>425.0</v>
      </c>
      <c r="B429" s="13" t="s">
        <v>266</v>
      </c>
      <c r="C429" s="14" t="s">
        <v>432</v>
      </c>
      <c r="D429" s="1"/>
      <c r="E429" s="15"/>
      <c r="F429" s="1" t="str">
        <f>IFERROR(__xludf.DUMMYFUNCTION("GOOGLETRANSLATE(B429, ""en"", ""fa"")
"),"تولید محتوا")</f>
        <v>تولید محتوا</v>
      </c>
      <c r="G429" s="1" t="str">
        <f>IFERROR(__xludf.DUMMYFUNCTION("GOOGLETRANSLATE(C429, ""en"", ""fa"")
"),"مفهوم بازاریابی احساسی و اینکه چگونه می تواند بر روند تولید محتوای شما تأثیر بگذارد را بررسی کنید.")</f>
        <v>مفهوم بازاریابی احساسی و اینکه چگونه می تواند بر روند تولید محتوای شما تأثیر بگذارد را بررسی کنید.</v>
      </c>
      <c r="H429" s="1"/>
      <c r="I429" s="1"/>
      <c r="J429" s="1"/>
      <c r="K429" s="1"/>
      <c r="L429" s="1"/>
      <c r="M429" s="1"/>
      <c r="N429" s="1"/>
      <c r="O429" s="1"/>
      <c r="P429" s="1"/>
      <c r="Q429" s="1"/>
      <c r="R429" s="1"/>
      <c r="S429" s="1"/>
      <c r="T429" s="1"/>
      <c r="U429" s="1"/>
      <c r="V429" s="1"/>
      <c r="W429" s="1"/>
      <c r="X429" s="1"/>
      <c r="Y429" s="1"/>
      <c r="Z429" s="1"/>
      <c r="AA429" s="1"/>
      <c r="AB429" s="1"/>
    </row>
    <row r="430" ht="50.25" customHeight="1">
      <c r="A430" s="12">
        <v>426.0</v>
      </c>
      <c r="B430" s="13" t="s">
        <v>266</v>
      </c>
      <c r="C430" s="14" t="s">
        <v>433</v>
      </c>
      <c r="D430" s="1"/>
      <c r="E430" s="15"/>
      <c r="F430" s="1" t="str">
        <f>IFERROR(__xludf.DUMMYFUNCTION("GOOGLETRANSLATE(B430, ""en"", ""fa"")
"),"تولید محتوا")</f>
        <v>تولید محتوا</v>
      </c>
      <c r="G430" s="1" t="str">
        <f>IFERROR(__xludf.DUMMYFUNCTION("GOOGLETRANSLATE(C430, ""en"", ""fa"")
"),"درباره تأثیر شخصی‌سازی در ارائه محتوا و اینکه چگونه می‌تواند تجربه کاربر را افزایش دهد، بحث کنید.")</f>
        <v>درباره تأثیر شخصی‌سازی در ارائه محتوا و اینکه چگونه می‌تواند تجربه کاربر را افزایش دهد، بحث کنید.</v>
      </c>
      <c r="H430" s="1"/>
      <c r="I430" s="1"/>
      <c r="J430" s="1"/>
      <c r="K430" s="1"/>
      <c r="L430" s="1"/>
      <c r="M430" s="1"/>
      <c r="N430" s="1"/>
      <c r="O430" s="1"/>
      <c r="P430" s="1"/>
      <c r="Q430" s="1"/>
      <c r="R430" s="1"/>
      <c r="S430" s="1"/>
      <c r="T430" s="1"/>
      <c r="U430" s="1"/>
      <c r="V430" s="1"/>
      <c r="W430" s="1"/>
      <c r="X430" s="1"/>
      <c r="Y430" s="1"/>
      <c r="Z430" s="1"/>
      <c r="AA430" s="1"/>
      <c r="AB430" s="1"/>
    </row>
    <row r="431" ht="50.25" customHeight="1">
      <c r="A431" s="12">
        <v>427.0</v>
      </c>
      <c r="B431" s="13" t="s">
        <v>266</v>
      </c>
      <c r="C431" s="14" t="s">
        <v>434</v>
      </c>
      <c r="D431" s="1"/>
      <c r="E431" s="15"/>
      <c r="F431" s="1" t="str">
        <f>IFERROR(__xludf.DUMMYFUNCTION("GOOGLETRANSLATE(B431, ""en"", ""fa"")
"),"تولید محتوا")</f>
        <v>تولید محتوا</v>
      </c>
      <c r="G431" s="1" t="str">
        <f>IFERROR(__xludf.DUMMYFUNCTION("GOOGLETRANSLATE(C431, ""en"", ""fa"")
"),"استراتژی های ایجاد محتوایی که با رویدادهای جاری و موضوعات پرطرفدار همسو باشد را به اشتراک بگذارید.")</f>
        <v>استراتژی های ایجاد محتوایی که با رویدادهای جاری و موضوعات پرطرفدار همسو باشد را به اشتراک بگذارید.</v>
      </c>
      <c r="H431" s="1"/>
      <c r="I431" s="1"/>
      <c r="J431" s="1"/>
      <c r="K431" s="1"/>
      <c r="L431" s="1"/>
      <c r="M431" s="1"/>
      <c r="N431" s="1"/>
      <c r="O431" s="1"/>
      <c r="P431" s="1"/>
      <c r="Q431" s="1"/>
      <c r="R431" s="1"/>
      <c r="S431" s="1"/>
      <c r="T431" s="1"/>
      <c r="U431" s="1"/>
      <c r="V431" s="1"/>
      <c r="W431" s="1"/>
      <c r="X431" s="1"/>
      <c r="Y431" s="1"/>
      <c r="Z431" s="1"/>
      <c r="AA431" s="1"/>
      <c r="AB431" s="1"/>
    </row>
    <row r="432" ht="50.25" customHeight="1">
      <c r="A432" s="12">
        <v>428.0</v>
      </c>
      <c r="B432" s="13" t="s">
        <v>266</v>
      </c>
      <c r="C432" s="14" t="s">
        <v>435</v>
      </c>
      <c r="D432" s="1"/>
      <c r="E432" s="15"/>
      <c r="F432" s="1" t="str">
        <f>IFERROR(__xludf.DUMMYFUNCTION("GOOGLETRANSLATE(B432, ""en"", ""fa"")
"),"تولید محتوا")</f>
        <v>تولید محتوا</v>
      </c>
      <c r="G432" s="1" t="str">
        <f>IFERROR(__xludf.DUMMYFUNCTION("GOOGLETRANSLATE(C432, ""en"", ""fa"")
"),"مزایای ایجاد محتوای همیشه سبز را که در طول زمان مرتبط و ارزشمند باقی می‌ماند را بررسی کنید.")</f>
        <v>مزایای ایجاد محتوای همیشه سبز را که در طول زمان مرتبط و ارزشمند باقی می‌ماند را بررسی کنید.</v>
      </c>
      <c r="H432" s="1"/>
      <c r="I432" s="1"/>
      <c r="J432" s="1"/>
      <c r="K432" s="1"/>
      <c r="L432" s="1"/>
      <c r="M432" s="1"/>
      <c r="N432" s="1"/>
      <c r="O432" s="1"/>
      <c r="P432" s="1"/>
      <c r="Q432" s="1"/>
      <c r="R432" s="1"/>
      <c r="S432" s="1"/>
      <c r="T432" s="1"/>
      <c r="U432" s="1"/>
      <c r="V432" s="1"/>
      <c r="W432" s="1"/>
      <c r="X432" s="1"/>
      <c r="Y432" s="1"/>
      <c r="Z432" s="1"/>
      <c r="AA432" s="1"/>
      <c r="AB432" s="1"/>
    </row>
    <row r="433" ht="50.25" customHeight="1">
      <c r="A433" s="12">
        <v>429.0</v>
      </c>
      <c r="B433" s="13" t="s">
        <v>266</v>
      </c>
      <c r="C433" s="14" t="s">
        <v>436</v>
      </c>
      <c r="D433" s="1"/>
      <c r="E433" s="15"/>
      <c r="F433" s="1" t="str">
        <f>IFERROR(__xludf.DUMMYFUNCTION("GOOGLETRANSLATE(B433, ""en"", ""fa"")
"),"تولید محتوا")</f>
        <v>تولید محتوا</v>
      </c>
      <c r="G433" s="1" t="str">
        <f>IFERROR(__xludf.DUMMYFUNCTION("GOOGLETRANSLATE(C433, ""en"", ""fa"")
"),"در مورد نقش ترویج و توزیع محتوا در به حداکثر رساندن دسترسی و تأثیر محتوای خود بحث کنید.")</f>
        <v>در مورد نقش ترویج و توزیع محتوا در به حداکثر رساندن دسترسی و تأثیر محتوای خود بحث کنید.</v>
      </c>
      <c r="H433" s="1"/>
      <c r="I433" s="1"/>
      <c r="J433" s="1"/>
      <c r="K433" s="1"/>
      <c r="L433" s="1"/>
      <c r="M433" s="1"/>
      <c r="N433" s="1"/>
      <c r="O433" s="1"/>
      <c r="P433" s="1"/>
      <c r="Q433" s="1"/>
      <c r="R433" s="1"/>
      <c r="S433" s="1"/>
      <c r="T433" s="1"/>
      <c r="U433" s="1"/>
      <c r="V433" s="1"/>
      <c r="W433" s="1"/>
      <c r="X433" s="1"/>
      <c r="Y433" s="1"/>
      <c r="Z433" s="1"/>
      <c r="AA433" s="1"/>
      <c r="AB433" s="1"/>
    </row>
    <row r="434" ht="50.25" customHeight="1">
      <c r="A434" s="12">
        <v>430.0</v>
      </c>
      <c r="B434" s="13" t="s">
        <v>266</v>
      </c>
      <c r="C434" s="14" t="s">
        <v>437</v>
      </c>
      <c r="D434" s="1"/>
      <c r="E434" s="15"/>
      <c r="F434" s="1" t="str">
        <f>IFERROR(__xludf.DUMMYFUNCTION("GOOGLETRANSLATE(B434, ""en"", ""fa"")
"),"تولید محتوا")</f>
        <v>تولید محتوا</v>
      </c>
      <c r="G434" s="1" t="str">
        <f>IFERROR(__xludf.DUMMYFUNCTION("GOOGLETRANSLATE(C434, ""en"", ""fa"")
"),"نکاتی را برای ایجاد سرفصل‌های متقاعدکننده که توجه خوانندگان را جلب می‌کند به اشتراک بگذارید.")</f>
        <v>نکاتی را برای ایجاد سرفصل‌های متقاعدکننده که توجه خوانندگان را جلب می‌کند به اشتراک بگذارید.</v>
      </c>
      <c r="H434" s="1"/>
      <c r="I434" s="1"/>
      <c r="J434" s="1"/>
      <c r="K434" s="1"/>
      <c r="L434" s="1"/>
      <c r="M434" s="1"/>
      <c r="N434" s="1"/>
      <c r="O434" s="1"/>
      <c r="P434" s="1"/>
      <c r="Q434" s="1"/>
      <c r="R434" s="1"/>
      <c r="S434" s="1"/>
      <c r="T434" s="1"/>
      <c r="U434" s="1"/>
      <c r="V434" s="1"/>
      <c r="W434" s="1"/>
      <c r="X434" s="1"/>
      <c r="Y434" s="1"/>
      <c r="Z434" s="1"/>
      <c r="AA434" s="1"/>
      <c r="AB434" s="1"/>
    </row>
    <row r="435" ht="50.25" customHeight="1">
      <c r="A435" s="12">
        <v>431.0</v>
      </c>
      <c r="B435" s="13" t="s">
        <v>266</v>
      </c>
      <c r="C435" s="14" t="s">
        <v>438</v>
      </c>
      <c r="D435" s="1"/>
      <c r="E435" s="15"/>
      <c r="F435" s="1" t="str">
        <f>IFERROR(__xludf.DUMMYFUNCTION("GOOGLETRANSLATE(B435, ""en"", ""fa"")
"),"تولید محتوا")</f>
        <v>تولید محتوا</v>
      </c>
      <c r="G435" s="1" t="str">
        <f>IFERROR(__xludf.DUMMYFUNCTION("GOOGLETRANSLATE(C435, ""en"", ""fa"")
"),"مفهوم ممیزی محتوا و اینکه چگونه آنها می توانند به شما در شناسایی شکاف ها و فرصت ها در استراتژی محتوای خود کمک کنند را بررسی کنید.")</f>
        <v>مفهوم ممیزی محتوا و اینکه چگونه آنها می توانند به شما در شناسایی شکاف ها و فرصت ها در استراتژی محتوای خود کمک کنند را بررسی کنید.</v>
      </c>
      <c r="H435" s="1"/>
      <c r="I435" s="1"/>
      <c r="J435" s="1"/>
      <c r="K435" s="1"/>
      <c r="L435" s="1"/>
      <c r="M435" s="1"/>
      <c r="N435" s="1"/>
      <c r="O435" s="1"/>
      <c r="P435" s="1"/>
      <c r="Q435" s="1"/>
      <c r="R435" s="1"/>
      <c r="S435" s="1"/>
      <c r="T435" s="1"/>
      <c r="U435" s="1"/>
      <c r="V435" s="1"/>
      <c r="W435" s="1"/>
      <c r="X435" s="1"/>
      <c r="Y435" s="1"/>
      <c r="Z435" s="1"/>
      <c r="AA435" s="1"/>
      <c r="AB435" s="1"/>
    </row>
    <row r="436" ht="50.25" customHeight="1">
      <c r="A436" s="12">
        <v>432.0</v>
      </c>
      <c r="B436" s="13" t="s">
        <v>266</v>
      </c>
      <c r="C436" s="14" t="s">
        <v>439</v>
      </c>
      <c r="D436" s="1"/>
      <c r="E436" s="15"/>
      <c r="F436" s="1" t="str">
        <f>IFERROR(__xludf.DUMMYFUNCTION("GOOGLETRANSLATE(B436, ""en"", ""fa"")
"),"تولید محتوا")</f>
        <v>تولید محتوا</v>
      </c>
      <c r="G436" s="1" t="str">
        <f>IFERROR(__xludf.DUMMYFUNCTION("GOOGLETRANSLATE(C436, ""en"", ""fa"")
"),"درباره تأثیر محتوای تعاملی، مانند آزمون‌ها یا نظرسنجی‌ها، در ایجاد تعامل و جمع‌آوری بینش مخاطب بحث کنید.")</f>
        <v>درباره تأثیر محتوای تعاملی، مانند آزمون‌ها یا نظرسنجی‌ها، در ایجاد تعامل و جمع‌آوری بینش مخاطب بحث کنید.</v>
      </c>
      <c r="H436" s="1"/>
      <c r="I436" s="1"/>
      <c r="J436" s="1"/>
      <c r="K436" s="1"/>
      <c r="L436" s="1"/>
      <c r="M436" s="1"/>
      <c r="N436" s="1"/>
      <c r="O436" s="1"/>
      <c r="P436" s="1"/>
      <c r="Q436" s="1"/>
      <c r="R436" s="1"/>
      <c r="S436" s="1"/>
      <c r="T436" s="1"/>
      <c r="U436" s="1"/>
      <c r="V436" s="1"/>
      <c r="W436" s="1"/>
      <c r="X436" s="1"/>
      <c r="Y436" s="1"/>
      <c r="Z436" s="1"/>
      <c r="AA436" s="1"/>
      <c r="AB436" s="1"/>
    </row>
    <row r="437" ht="50.25" customHeight="1">
      <c r="A437" s="12">
        <v>433.0</v>
      </c>
      <c r="B437" s="13" t="s">
        <v>266</v>
      </c>
      <c r="C437" s="14" t="s">
        <v>440</v>
      </c>
      <c r="D437" s="1"/>
      <c r="E437" s="15"/>
      <c r="F437" s="1" t="str">
        <f>IFERROR(__xludf.DUMMYFUNCTION("GOOGLETRANSLATE(B437, ""en"", ""fa"")
"),"تولید محتوا")</f>
        <v>تولید محتوا</v>
      </c>
      <c r="G437" s="1" t="str">
        <f>IFERROR(__xludf.DUMMYFUNCTION("GOOGLETRANSLATE(C437, ""en"", ""fa"")
"),"استراتژی هایی را برای استفاده از بازخورد و نظرات کاربران برای بهبود و تکرار محتوای خود به اشتراک بگذارید.")</f>
        <v>استراتژی هایی را برای استفاده از بازخورد و نظرات کاربران برای بهبود و تکرار محتوای خود به اشتراک بگذارید.</v>
      </c>
      <c r="H437" s="1"/>
      <c r="I437" s="1"/>
      <c r="J437" s="1"/>
      <c r="K437" s="1"/>
      <c r="L437" s="1"/>
      <c r="M437" s="1"/>
      <c r="N437" s="1"/>
      <c r="O437" s="1"/>
      <c r="P437" s="1"/>
      <c r="Q437" s="1"/>
      <c r="R437" s="1"/>
      <c r="S437" s="1"/>
      <c r="T437" s="1"/>
      <c r="U437" s="1"/>
      <c r="V437" s="1"/>
      <c r="W437" s="1"/>
      <c r="X437" s="1"/>
      <c r="Y437" s="1"/>
      <c r="Z437" s="1"/>
      <c r="AA437" s="1"/>
      <c r="AB437" s="1"/>
    </row>
    <row r="438" ht="50.25" customHeight="1">
      <c r="A438" s="12">
        <v>434.0</v>
      </c>
      <c r="B438" s="13" t="s">
        <v>266</v>
      </c>
      <c r="C438" s="14" t="s">
        <v>441</v>
      </c>
      <c r="D438" s="1"/>
      <c r="E438" s="15"/>
      <c r="F438" s="1" t="str">
        <f>IFERROR(__xludf.DUMMYFUNCTION("GOOGLETRANSLATE(B438, ""en"", ""fa"")
"),"تولید محتوا")</f>
        <v>تولید محتوا</v>
      </c>
      <c r="G438" s="1" t="str">
        <f>IFERROR(__xludf.DUMMYFUNCTION("GOOGLETRANSLATE(C438, ""en"", ""fa"")
"),"مزایای ایجاد محتوایی که به سؤالات متداول پاسخ می دهد و پاسخ های مفیدی ارائه می دهد را بررسی کنید.")</f>
        <v>مزایای ایجاد محتوایی که به سؤالات متداول پاسخ می دهد و پاسخ های مفیدی ارائه می دهد را بررسی کنید.</v>
      </c>
      <c r="H438" s="1"/>
      <c r="I438" s="1"/>
      <c r="J438" s="1"/>
      <c r="K438" s="1"/>
      <c r="L438" s="1"/>
      <c r="M438" s="1"/>
      <c r="N438" s="1"/>
      <c r="O438" s="1"/>
      <c r="P438" s="1"/>
      <c r="Q438" s="1"/>
      <c r="R438" s="1"/>
      <c r="S438" s="1"/>
      <c r="T438" s="1"/>
      <c r="U438" s="1"/>
      <c r="V438" s="1"/>
      <c r="W438" s="1"/>
      <c r="X438" s="1"/>
      <c r="Y438" s="1"/>
      <c r="Z438" s="1"/>
      <c r="AA438" s="1"/>
      <c r="AB438" s="1"/>
    </row>
    <row r="439" ht="50.25" customHeight="1">
      <c r="A439" s="12">
        <v>435.0</v>
      </c>
      <c r="B439" s="13" t="s">
        <v>266</v>
      </c>
      <c r="C439" s="14" t="s">
        <v>442</v>
      </c>
      <c r="D439" s="1"/>
      <c r="E439" s="15"/>
      <c r="F439" s="1" t="str">
        <f>IFERROR(__xludf.DUMMYFUNCTION("GOOGLETRANSLATE(B439, ""en"", ""fa"")
"),"تولید محتوا")</f>
        <v>تولید محتوا</v>
      </c>
      <c r="G439" s="1" t="str">
        <f>IFERROR(__xludf.DUMMYFUNCTION("GOOGLETRANSLATE(C439, ""en"", ""fa"")
"),"در مورد نقش تقویم های محتوا در سازماندهی و برنامه ریزی تولید و توزیع محتوای خود بحث کنید.")</f>
        <v>در مورد نقش تقویم های محتوا در سازماندهی و برنامه ریزی تولید و توزیع محتوای خود بحث کنید.</v>
      </c>
      <c r="H439" s="1"/>
      <c r="I439" s="1"/>
      <c r="J439" s="1"/>
      <c r="K439" s="1"/>
      <c r="L439" s="1"/>
      <c r="M439" s="1"/>
      <c r="N439" s="1"/>
      <c r="O439" s="1"/>
      <c r="P439" s="1"/>
      <c r="Q439" s="1"/>
      <c r="R439" s="1"/>
      <c r="S439" s="1"/>
      <c r="T439" s="1"/>
      <c r="U439" s="1"/>
      <c r="V439" s="1"/>
      <c r="W439" s="1"/>
      <c r="X439" s="1"/>
      <c r="Y439" s="1"/>
      <c r="Z439" s="1"/>
      <c r="AA439" s="1"/>
      <c r="AB439" s="1"/>
    </row>
    <row r="440" ht="50.25" customHeight="1">
      <c r="A440" s="12">
        <v>436.0</v>
      </c>
      <c r="B440" s="13" t="s">
        <v>266</v>
      </c>
      <c r="C440" s="14" t="s">
        <v>443</v>
      </c>
      <c r="D440" s="1"/>
      <c r="E440" s="15"/>
      <c r="F440" s="1" t="str">
        <f>IFERROR(__xludf.DUMMYFUNCTION("GOOGLETRANSLATE(B440, ""en"", ""fa"")
"),"تولید محتوا")</f>
        <v>تولید محتوا</v>
      </c>
      <c r="G440" s="1" t="str">
        <f>IFERROR(__xludf.DUMMYFUNCTION("GOOGLETRANSLATE(C440, ""en"", ""fa"")
"),"نکاتی را برای ایجاد محتوایی به اشتراک بگذارید که با نسل ها و جمعیت های مختلف طنین انداز شود.")</f>
        <v>نکاتی را برای ایجاد محتوایی به اشتراک بگذارید که با نسل ها و جمعیت های مختلف طنین انداز شود.</v>
      </c>
      <c r="H440" s="1"/>
      <c r="I440" s="1"/>
      <c r="J440" s="1"/>
      <c r="K440" s="1"/>
      <c r="L440" s="1"/>
      <c r="M440" s="1"/>
      <c r="N440" s="1"/>
      <c r="O440" s="1"/>
      <c r="P440" s="1"/>
      <c r="Q440" s="1"/>
      <c r="R440" s="1"/>
      <c r="S440" s="1"/>
      <c r="T440" s="1"/>
      <c r="U440" s="1"/>
      <c r="V440" s="1"/>
      <c r="W440" s="1"/>
      <c r="X440" s="1"/>
      <c r="Y440" s="1"/>
      <c r="Z440" s="1"/>
      <c r="AA440" s="1"/>
      <c r="AB440" s="1"/>
    </row>
    <row r="441" ht="50.25" customHeight="1">
      <c r="A441" s="12">
        <v>437.0</v>
      </c>
      <c r="B441" s="13" t="s">
        <v>266</v>
      </c>
      <c r="C441" s="14" t="s">
        <v>444</v>
      </c>
      <c r="D441" s="1"/>
      <c r="E441" s="15"/>
      <c r="F441" s="1" t="str">
        <f>IFERROR(__xludf.DUMMYFUNCTION("GOOGLETRANSLATE(B441, ""en"", ""fa"")
"),"تولید محتوا")</f>
        <v>تولید محتوا</v>
      </c>
      <c r="G441" s="1" t="str">
        <f>IFERROR(__xludf.DUMMYFUNCTION("GOOGLETRANSLATE(C441, ""en"", ""fa"")
"),"مفهوم محرک های عاطفی در تولید محتوا و چگونگی برانگیختن احساسات خاص از مخاطبان خود را بررسی کنید.")</f>
        <v>مفهوم محرک های عاطفی در تولید محتوا و چگونگی برانگیختن احساسات خاص از مخاطبان خود را بررسی کنید.</v>
      </c>
      <c r="H441" s="1"/>
      <c r="I441" s="1"/>
      <c r="J441" s="1"/>
      <c r="K441" s="1"/>
      <c r="L441" s="1"/>
      <c r="M441" s="1"/>
      <c r="N441" s="1"/>
      <c r="O441" s="1"/>
      <c r="P441" s="1"/>
      <c r="Q441" s="1"/>
      <c r="R441" s="1"/>
      <c r="S441" s="1"/>
      <c r="T441" s="1"/>
      <c r="U441" s="1"/>
      <c r="V441" s="1"/>
      <c r="W441" s="1"/>
      <c r="X441" s="1"/>
      <c r="Y441" s="1"/>
      <c r="Z441" s="1"/>
      <c r="AA441" s="1"/>
      <c r="AB441" s="1"/>
    </row>
    <row r="442" ht="50.25" customHeight="1">
      <c r="A442" s="12">
        <v>438.0</v>
      </c>
      <c r="B442" s="13" t="s">
        <v>266</v>
      </c>
      <c r="C442" s="14" t="s">
        <v>445</v>
      </c>
      <c r="D442" s="1"/>
      <c r="E442" s="15"/>
      <c r="F442" s="1" t="str">
        <f>IFERROR(__xludf.DUMMYFUNCTION("GOOGLETRANSLATE(B442, ""en"", ""fa"")
"),"تولید محتوا")</f>
        <v>تولید محتوا</v>
      </c>
      <c r="G442" s="1" t="str">
        <f>IFERROR(__xludf.DUMMYFUNCTION("GOOGLETRANSLATE(C442, ""en"", ""fa"")
"),"در مورد تأثیر طراحی تجربه کاربر در بهینه سازی محتوای خود برای سهولت استفاده و پیمایش بحث کنید.")</f>
        <v>در مورد تأثیر طراحی تجربه کاربر در بهینه سازی محتوای خود برای سهولت استفاده و پیمایش بحث کنید.</v>
      </c>
      <c r="H442" s="1"/>
      <c r="I442" s="1"/>
      <c r="J442" s="1"/>
      <c r="K442" s="1"/>
      <c r="L442" s="1"/>
      <c r="M442" s="1"/>
      <c r="N442" s="1"/>
      <c r="O442" s="1"/>
      <c r="P442" s="1"/>
      <c r="Q442" s="1"/>
      <c r="R442" s="1"/>
      <c r="S442" s="1"/>
      <c r="T442" s="1"/>
      <c r="U442" s="1"/>
      <c r="V442" s="1"/>
      <c r="W442" s="1"/>
      <c r="X442" s="1"/>
      <c r="Y442" s="1"/>
      <c r="Z442" s="1"/>
      <c r="AA442" s="1"/>
      <c r="AB442" s="1"/>
    </row>
    <row r="443" ht="50.25" customHeight="1">
      <c r="A443" s="12">
        <v>439.0</v>
      </c>
      <c r="B443" s="13" t="s">
        <v>266</v>
      </c>
      <c r="C443" s="14" t="s">
        <v>446</v>
      </c>
      <c r="D443" s="1"/>
      <c r="E443" s="15"/>
      <c r="F443" s="1" t="str">
        <f>IFERROR(__xludf.DUMMYFUNCTION("GOOGLETRANSLATE(B443, ""en"", ""fa"")
"),"تولید محتوا")</f>
        <v>تولید محتوا</v>
      </c>
      <c r="G443" s="1" t="str">
        <f>IFERROR(__xludf.DUMMYFUNCTION("GOOGLETRANSLATE(C443, ""en"", ""fa"")
"),"استراتژی‌هایی را برای تبدیل محتوای موفق به قالب‌های مختلف، مانند تبدیل پست‌های وبلاگ به پادکست یا ویدیو، به اشتراک بگذارید.")</f>
        <v>استراتژی‌هایی را برای تبدیل محتوای موفق به قالب‌های مختلف، مانند تبدیل پست‌های وبلاگ به پادکست یا ویدیو، به اشتراک بگذارید.</v>
      </c>
      <c r="H443" s="1"/>
      <c r="I443" s="1"/>
      <c r="J443" s="1"/>
      <c r="K443" s="1"/>
      <c r="L443" s="1"/>
      <c r="M443" s="1"/>
      <c r="N443" s="1"/>
      <c r="O443" s="1"/>
      <c r="P443" s="1"/>
      <c r="Q443" s="1"/>
      <c r="R443" s="1"/>
      <c r="S443" s="1"/>
      <c r="T443" s="1"/>
      <c r="U443" s="1"/>
      <c r="V443" s="1"/>
      <c r="W443" s="1"/>
      <c r="X443" s="1"/>
      <c r="Y443" s="1"/>
      <c r="Z443" s="1"/>
      <c r="AA443" s="1"/>
      <c r="AB443" s="1"/>
    </row>
    <row r="444" ht="50.25" customHeight="1">
      <c r="A444" s="12">
        <v>440.0</v>
      </c>
      <c r="B444" s="13" t="s">
        <v>266</v>
      </c>
      <c r="C444" s="14" t="s">
        <v>447</v>
      </c>
      <c r="D444" s="1"/>
      <c r="E444" s="15"/>
      <c r="F444" s="1" t="str">
        <f>IFERROR(__xludf.DUMMYFUNCTION("GOOGLETRANSLATE(B444, ""en"", ""fa"")
"),"تولید محتوا")</f>
        <v>تولید محتوا</v>
      </c>
      <c r="G444" s="1" t="str">
        <f>IFERROR(__xludf.DUMMYFUNCTION("GOOGLETRANSLATE(C444, ""en"", ""fa"")
"),"مزایای وبلاگ نویسی مهمان و مشارکت محتوا در نشریات خارجی را برای گسترش دسترسی خود کاوش کنید.")</f>
        <v>مزایای وبلاگ نویسی مهمان و مشارکت محتوا در نشریات خارجی را برای گسترش دسترسی خود کاوش کنید.</v>
      </c>
      <c r="H444" s="1"/>
      <c r="I444" s="1"/>
      <c r="J444" s="1"/>
      <c r="K444" s="1"/>
      <c r="L444" s="1"/>
      <c r="M444" s="1"/>
      <c r="N444" s="1"/>
      <c r="O444" s="1"/>
      <c r="P444" s="1"/>
      <c r="Q444" s="1"/>
      <c r="R444" s="1"/>
      <c r="S444" s="1"/>
      <c r="T444" s="1"/>
      <c r="U444" s="1"/>
      <c r="V444" s="1"/>
      <c r="W444" s="1"/>
      <c r="X444" s="1"/>
      <c r="Y444" s="1"/>
      <c r="Z444" s="1"/>
      <c r="AA444" s="1"/>
      <c r="AB444" s="1"/>
    </row>
    <row r="445" ht="50.25" customHeight="1">
      <c r="A445" s="12">
        <v>441.0</v>
      </c>
      <c r="B445" s="13" t="s">
        <v>266</v>
      </c>
      <c r="C445" s="14" t="s">
        <v>448</v>
      </c>
      <c r="D445" s="1"/>
      <c r="E445" s="15"/>
      <c r="F445" s="1" t="str">
        <f>IFERROR(__xludf.DUMMYFUNCTION("GOOGLETRANSLATE(B445, ""en"", ""fa"")
"),"تولید محتوا")</f>
        <v>تولید محتوا</v>
      </c>
      <c r="G445" s="1" t="str">
        <f>IFERROR(__xludf.DUMMYFUNCTION("GOOGLETRANSLATE(C445, ""en"", ""fa"")
"),"در مورد نقش مشارکت محتوا و همکاری در دستیابی به مخاطبان جدید و تقویت پیام خود بحث کنید.")</f>
        <v>در مورد نقش مشارکت محتوا و همکاری در دستیابی به مخاطبان جدید و تقویت پیام خود بحث کنید.</v>
      </c>
      <c r="H445" s="1"/>
      <c r="I445" s="1"/>
      <c r="J445" s="1"/>
      <c r="K445" s="1"/>
      <c r="L445" s="1"/>
      <c r="M445" s="1"/>
      <c r="N445" s="1"/>
      <c r="O445" s="1"/>
      <c r="P445" s="1"/>
      <c r="Q445" s="1"/>
      <c r="R445" s="1"/>
      <c r="S445" s="1"/>
      <c r="T445" s="1"/>
      <c r="U445" s="1"/>
      <c r="V445" s="1"/>
      <c r="W445" s="1"/>
      <c r="X445" s="1"/>
      <c r="Y445" s="1"/>
      <c r="Z445" s="1"/>
      <c r="AA445" s="1"/>
      <c r="AB445" s="1"/>
    </row>
    <row r="446" ht="50.25" customHeight="1">
      <c r="A446" s="12">
        <v>442.0</v>
      </c>
      <c r="B446" s="13" t="s">
        <v>266</v>
      </c>
      <c r="C446" s="14" t="s">
        <v>449</v>
      </c>
      <c r="D446" s="1"/>
      <c r="E446" s="15"/>
      <c r="F446" s="1" t="str">
        <f>IFERROR(__xludf.DUMMYFUNCTION("GOOGLETRANSLATE(B446, ""en"", ""fa"")
"),"تولید محتوا")</f>
        <v>تولید محتوا</v>
      </c>
      <c r="G446" s="1" t="str">
        <f>IFERROR(__xludf.DUMMYFUNCTION("GOOGLETRANSLATE(C446, ""en"", ""fa"")
"),"نکاتی را برای ایجاد محتوایی به اشتراک بگذارید که به اعتراضات و نگرانی‌هایی که مشتریان بالقوه ممکن است داشته باشند پاسخ می‌دهد.")</f>
        <v>نکاتی را برای ایجاد محتوایی به اشتراک بگذارید که به اعتراضات و نگرانی‌هایی که مشتریان بالقوه ممکن است داشته باشند پاسخ می‌دهد.</v>
      </c>
      <c r="H446" s="1"/>
      <c r="I446" s="1"/>
      <c r="J446" s="1"/>
      <c r="K446" s="1"/>
      <c r="L446" s="1"/>
      <c r="M446" s="1"/>
      <c r="N446" s="1"/>
      <c r="O446" s="1"/>
      <c r="P446" s="1"/>
      <c r="Q446" s="1"/>
      <c r="R446" s="1"/>
      <c r="S446" s="1"/>
      <c r="T446" s="1"/>
      <c r="U446" s="1"/>
      <c r="V446" s="1"/>
      <c r="W446" s="1"/>
      <c r="X446" s="1"/>
      <c r="Y446" s="1"/>
      <c r="Z446" s="1"/>
      <c r="AA446" s="1"/>
      <c r="AB446" s="1"/>
    </row>
    <row r="447" ht="50.25" customHeight="1">
      <c r="A447" s="12">
        <v>443.0</v>
      </c>
      <c r="B447" s="13" t="s">
        <v>266</v>
      </c>
      <c r="C447" s="14" t="s">
        <v>450</v>
      </c>
      <c r="D447" s="1"/>
      <c r="E447" s="15"/>
      <c r="F447" s="1" t="str">
        <f>IFERROR(__xludf.DUMMYFUNCTION("GOOGLETRANSLATE(B447, ""en"", ""fa"")
"),"تولید محتوا")</f>
        <v>تولید محتوا</v>
      </c>
      <c r="G447" s="1" t="str">
        <f>IFERROR(__xludf.DUMMYFUNCTION("GOOGLETRANSLATE(C447, ""en"", ""fa"")
"),"مفهوم بومی‌سازی محتوا و اینکه چگونه تطبیق محتوای شما با زبان‌ها و فرهنگ‌های مختلف می‌تواند تأثیر آن را افزایش دهد، بررسی کنید.")</f>
        <v>مفهوم بومی‌سازی محتوا و اینکه چگونه تطبیق محتوای شما با زبان‌ها و فرهنگ‌های مختلف می‌تواند تأثیر آن را افزایش دهد، بررسی کنید.</v>
      </c>
      <c r="H447" s="1"/>
      <c r="I447" s="1"/>
      <c r="J447" s="1"/>
      <c r="K447" s="1"/>
      <c r="L447" s="1"/>
      <c r="M447" s="1"/>
      <c r="N447" s="1"/>
      <c r="O447" s="1"/>
      <c r="P447" s="1"/>
      <c r="Q447" s="1"/>
      <c r="R447" s="1"/>
      <c r="S447" s="1"/>
      <c r="T447" s="1"/>
      <c r="U447" s="1"/>
      <c r="V447" s="1"/>
      <c r="W447" s="1"/>
      <c r="X447" s="1"/>
      <c r="Y447" s="1"/>
      <c r="Z447" s="1"/>
      <c r="AA447" s="1"/>
      <c r="AB447" s="1"/>
    </row>
    <row r="448" ht="50.25" customHeight="1">
      <c r="A448" s="12">
        <v>444.0</v>
      </c>
      <c r="B448" s="13" t="s">
        <v>266</v>
      </c>
      <c r="C448" s="14" t="s">
        <v>451</v>
      </c>
      <c r="D448" s="1"/>
      <c r="E448" s="15"/>
      <c r="F448" s="1" t="str">
        <f>IFERROR(__xludf.DUMMYFUNCTION("GOOGLETRANSLATE(B448, ""en"", ""fa"")
"),"تولید محتوا")</f>
        <v>تولید محتوا</v>
      </c>
      <c r="G448" s="1" t="str">
        <f>IFERROR(__xludf.DUMMYFUNCTION("GOOGLETRANSLATE(C448, ""en"", ""fa"")
"),"در مورد تأثیر توصیفات و تأییدات تأثیرگذار در ایجاد اعتماد و اعتبار با مخاطبان خود بحث کنید.")</f>
        <v>در مورد تأثیر توصیفات و تأییدات تأثیرگذار در ایجاد اعتماد و اعتبار با مخاطبان خود بحث کنید.</v>
      </c>
      <c r="H448" s="1"/>
      <c r="I448" s="1"/>
      <c r="J448" s="1"/>
      <c r="K448" s="1"/>
      <c r="L448" s="1"/>
      <c r="M448" s="1"/>
      <c r="N448" s="1"/>
      <c r="O448" s="1"/>
      <c r="P448" s="1"/>
      <c r="Q448" s="1"/>
      <c r="R448" s="1"/>
      <c r="S448" s="1"/>
      <c r="T448" s="1"/>
      <c r="U448" s="1"/>
      <c r="V448" s="1"/>
      <c r="W448" s="1"/>
      <c r="X448" s="1"/>
      <c r="Y448" s="1"/>
      <c r="Z448" s="1"/>
      <c r="AA448" s="1"/>
      <c r="AB448" s="1"/>
    </row>
    <row r="449" ht="50.25" customHeight="1">
      <c r="A449" s="12">
        <v>445.0</v>
      </c>
      <c r="B449" s="13" t="s">
        <v>266</v>
      </c>
      <c r="C449" s="14" t="s">
        <v>452</v>
      </c>
      <c r="D449" s="1"/>
      <c r="E449" s="15"/>
      <c r="F449" s="1" t="str">
        <f>IFERROR(__xludf.DUMMYFUNCTION("GOOGLETRANSLATE(B449, ""en"", ""fa"")
"),"تولید محتوا")</f>
        <v>تولید محتوا</v>
      </c>
      <c r="G449" s="1" t="str">
        <f>IFERROR(__xludf.DUMMYFUNCTION("GOOGLETRANSLATE(C449, ""en"", ""fa"")
"),"استراتژی هایی را برای ایجاد محتوایی که به اشتراک گذاری اجتماعی و ویروسی بودن را تشویق می کند، به اشتراک بگذارید.")</f>
        <v>استراتژی هایی را برای ایجاد محتوایی که به اشتراک گذاری اجتماعی و ویروسی بودن را تشویق می کند، به اشتراک بگذارید.</v>
      </c>
      <c r="H449" s="1"/>
      <c r="I449" s="1"/>
      <c r="J449" s="1"/>
      <c r="K449" s="1"/>
      <c r="L449" s="1"/>
      <c r="M449" s="1"/>
      <c r="N449" s="1"/>
      <c r="O449" s="1"/>
      <c r="P449" s="1"/>
      <c r="Q449" s="1"/>
      <c r="R449" s="1"/>
      <c r="S449" s="1"/>
      <c r="T449" s="1"/>
      <c r="U449" s="1"/>
      <c r="V449" s="1"/>
      <c r="W449" s="1"/>
      <c r="X449" s="1"/>
      <c r="Y449" s="1"/>
      <c r="Z449" s="1"/>
      <c r="AA449" s="1"/>
      <c r="AB449" s="1"/>
    </row>
    <row r="450" ht="50.25" customHeight="1">
      <c r="A450" s="12">
        <v>446.0</v>
      </c>
      <c r="B450" s="13" t="s">
        <v>266</v>
      </c>
      <c r="C450" s="14" t="s">
        <v>453</v>
      </c>
      <c r="D450" s="1"/>
      <c r="E450" s="15"/>
      <c r="F450" s="1" t="str">
        <f>IFERROR(__xludf.DUMMYFUNCTION("GOOGLETRANSLATE(B450, ""en"", ""fa"")
"),"تولید محتوا")</f>
        <v>تولید محتوا</v>
      </c>
      <c r="G450" s="1" t="str">
        <f>IFERROR(__xludf.DUMMYFUNCTION("GOOGLETRANSLATE(C450, ""en"", ""fa"")
"),"مزایای بسته بندی مجدد محتوای موجود در راهنماهای جامع یا کتاب های الکترونیکی را بررسی کنید.")</f>
        <v>مزایای بسته بندی مجدد محتوای موجود در راهنماهای جامع یا کتاب های الکترونیکی را بررسی کنید.</v>
      </c>
      <c r="H450" s="1"/>
      <c r="I450" s="1"/>
      <c r="J450" s="1"/>
      <c r="K450" s="1"/>
      <c r="L450" s="1"/>
      <c r="M450" s="1"/>
      <c r="N450" s="1"/>
      <c r="O450" s="1"/>
      <c r="P450" s="1"/>
      <c r="Q450" s="1"/>
      <c r="R450" s="1"/>
      <c r="S450" s="1"/>
      <c r="T450" s="1"/>
      <c r="U450" s="1"/>
      <c r="V450" s="1"/>
      <c r="W450" s="1"/>
      <c r="X450" s="1"/>
      <c r="Y450" s="1"/>
      <c r="Z450" s="1"/>
      <c r="AA450" s="1"/>
      <c r="AB450" s="1"/>
    </row>
    <row r="451" ht="50.25" customHeight="1">
      <c r="A451" s="12">
        <v>447.0</v>
      </c>
      <c r="B451" s="13" t="s">
        <v>266</v>
      </c>
      <c r="C451" s="14" t="s">
        <v>454</v>
      </c>
      <c r="D451" s="1"/>
      <c r="E451" s="15"/>
      <c r="F451" s="1" t="str">
        <f>IFERROR(__xludf.DUMMYFUNCTION("GOOGLETRANSLATE(B451, ""en"", ""fa"")
"),"تولید محتوا")</f>
        <v>تولید محتوا</v>
      </c>
      <c r="G451" s="1" t="str">
        <f>IFERROR(__xludf.DUMMYFUNCTION("GOOGLETRANSLATE(C451, ""en"", ""fa"")
"),"نکاتی را برای ایجاد محتوایی به اشتراک بگذارید که مراحل عملی و توصیه های عملی را برای مخاطبان شما فراهم می کند.")</f>
        <v>نکاتی را برای ایجاد محتوایی به اشتراک بگذارید که مراحل عملی و توصیه های عملی را برای مخاطبان شما فراهم می کند.</v>
      </c>
      <c r="H451" s="1"/>
      <c r="I451" s="1"/>
      <c r="J451" s="1"/>
      <c r="K451" s="1"/>
      <c r="L451" s="1"/>
      <c r="M451" s="1"/>
      <c r="N451" s="1"/>
      <c r="O451" s="1"/>
      <c r="P451" s="1"/>
      <c r="Q451" s="1"/>
      <c r="R451" s="1"/>
      <c r="S451" s="1"/>
      <c r="T451" s="1"/>
      <c r="U451" s="1"/>
      <c r="V451" s="1"/>
      <c r="W451" s="1"/>
      <c r="X451" s="1"/>
      <c r="Y451" s="1"/>
      <c r="Z451" s="1"/>
      <c r="AA451" s="1"/>
      <c r="AB451" s="1"/>
    </row>
    <row r="452" ht="50.25" customHeight="1">
      <c r="A452" s="12">
        <v>448.0</v>
      </c>
      <c r="B452" s="13" t="s">
        <v>266</v>
      </c>
      <c r="C452" s="14" t="s">
        <v>455</v>
      </c>
      <c r="D452" s="1"/>
      <c r="E452" s="15"/>
      <c r="F452" s="1" t="str">
        <f>IFERROR(__xludf.DUMMYFUNCTION("GOOGLETRANSLATE(B452, ""en"", ""fa"")
"),"تولید محتوا")</f>
        <v>تولید محتوا</v>
      </c>
      <c r="G452" s="1" t="str">
        <f>IFERROR(__xludf.DUMMYFUNCTION("GOOGLETRANSLATE(C452, ""en"", ""fa"")
"),"مفهوم تولید مشترک محتوا را با مخاطبان خود کاوش کنید، مانند مشارکت دادن آنها در ایده پردازی یا فرآیندهای تولید محتوا.")</f>
        <v>مفهوم تولید مشترک محتوا را با مخاطبان خود کاوش کنید، مانند مشارکت دادن آنها در ایده پردازی یا فرآیندهای تولید محتوا.</v>
      </c>
      <c r="H452" s="1"/>
      <c r="I452" s="1"/>
      <c r="J452" s="1"/>
      <c r="K452" s="1"/>
      <c r="L452" s="1"/>
      <c r="M452" s="1"/>
      <c r="N452" s="1"/>
      <c r="O452" s="1"/>
      <c r="P452" s="1"/>
      <c r="Q452" s="1"/>
      <c r="R452" s="1"/>
      <c r="S452" s="1"/>
      <c r="T452" s="1"/>
      <c r="U452" s="1"/>
      <c r="V452" s="1"/>
      <c r="W452" s="1"/>
      <c r="X452" s="1"/>
      <c r="Y452" s="1"/>
      <c r="Z452" s="1"/>
      <c r="AA452" s="1"/>
      <c r="AB452" s="1"/>
    </row>
    <row r="453" ht="50.25" customHeight="1">
      <c r="A453" s="12">
        <v>449.0</v>
      </c>
      <c r="B453" s="13" t="s">
        <v>266</v>
      </c>
      <c r="C453" s="14" t="s">
        <v>456</v>
      </c>
      <c r="D453" s="1"/>
      <c r="E453" s="15"/>
      <c r="F453" s="1" t="str">
        <f>IFERROR(__xludf.DUMMYFUNCTION("GOOGLETRANSLATE(B453, ""en"", ""fa"")
"),"تولید محتوا")</f>
        <v>تولید محتوا</v>
      </c>
      <c r="G453" s="1" t="str">
        <f>IFERROR(__xludf.DUMMYFUNCTION("GOOGLETRANSLATE(C453, ""en"", ""fa"")
"),"در مورد تأثیر عناصر بصری برندسازی، مانند رنگ ها و فونت ها، در ایجاد یک هویت برند ثابت و قابل تشخیص بحث کنید.")</f>
        <v>در مورد تأثیر عناصر بصری برندسازی، مانند رنگ ها و فونت ها، در ایجاد یک هویت برند ثابت و قابل تشخیص بحث کنید.</v>
      </c>
      <c r="H453" s="1"/>
      <c r="I453" s="1"/>
      <c r="J453" s="1"/>
      <c r="K453" s="1"/>
      <c r="L453" s="1"/>
      <c r="M453" s="1"/>
      <c r="N453" s="1"/>
      <c r="O453" s="1"/>
      <c r="P453" s="1"/>
      <c r="Q453" s="1"/>
      <c r="R453" s="1"/>
      <c r="S453" s="1"/>
      <c r="T453" s="1"/>
      <c r="U453" s="1"/>
      <c r="V453" s="1"/>
      <c r="W453" s="1"/>
      <c r="X453" s="1"/>
      <c r="Y453" s="1"/>
      <c r="Z453" s="1"/>
      <c r="AA453" s="1"/>
      <c r="AB453" s="1"/>
    </row>
    <row r="454" ht="50.25" customHeight="1">
      <c r="A454" s="12">
        <v>450.0</v>
      </c>
      <c r="B454" s="13" t="s">
        <v>266</v>
      </c>
      <c r="C454" s="14" t="s">
        <v>457</v>
      </c>
      <c r="D454" s="1"/>
      <c r="E454" s="15"/>
      <c r="F454" s="1" t="str">
        <f>IFERROR(__xludf.DUMMYFUNCTION("GOOGLETRANSLATE(B454, ""en"", ""fa"")
"),"تولید محتوا")</f>
        <v>تولید محتوا</v>
      </c>
      <c r="G454" s="1" t="str">
        <f>IFERROR(__xludf.DUMMYFUNCTION("GOOGLETRANSLATE(C454, ""en"", ""fa"")
"),"استراتژی هایی را برای استفاده از نظرات و توصیفات تولید شده توسط کاربر در محتوای خود به اشتراک بگذارید تا اثبات اجتماعی ایجاد کنید.")</f>
        <v>استراتژی هایی را برای استفاده از نظرات و توصیفات تولید شده توسط کاربر در محتوای خود به اشتراک بگذارید تا اثبات اجتماعی ایجاد کنید.</v>
      </c>
      <c r="H454" s="1"/>
      <c r="I454" s="1"/>
      <c r="J454" s="1"/>
      <c r="K454" s="1"/>
      <c r="L454" s="1"/>
      <c r="M454" s="1"/>
      <c r="N454" s="1"/>
      <c r="O454" s="1"/>
      <c r="P454" s="1"/>
      <c r="Q454" s="1"/>
      <c r="R454" s="1"/>
      <c r="S454" s="1"/>
      <c r="T454" s="1"/>
      <c r="U454" s="1"/>
      <c r="V454" s="1"/>
      <c r="W454" s="1"/>
      <c r="X454" s="1"/>
      <c r="Y454" s="1"/>
      <c r="Z454" s="1"/>
      <c r="AA454" s="1"/>
      <c r="AB454" s="1"/>
    </row>
    <row r="455" ht="50.25" customHeight="1">
      <c r="A455" s="12">
        <v>451.0</v>
      </c>
      <c r="B455" s="13" t="s">
        <v>266</v>
      </c>
      <c r="C455" s="14" t="s">
        <v>458</v>
      </c>
      <c r="D455" s="1"/>
      <c r="E455" s="15"/>
      <c r="F455" s="1" t="str">
        <f>IFERROR(__xludf.DUMMYFUNCTION("GOOGLETRANSLATE(B455, ""en"", ""fa"")
"),"تولید محتوا")</f>
        <v>تولید محتوا</v>
      </c>
      <c r="G455" s="1" t="str">
        <f>IFERROR(__xludf.DUMMYFUNCTION("GOOGLETRANSLATE(C455, ""en"", ""fa"")
"),"مزایای انجام نظرسنجی یا نظرسنجی برای جمع آوری بینش مخاطبان و تولید ایده های محتوا را بررسی کنید.")</f>
        <v>مزایای انجام نظرسنجی یا نظرسنجی برای جمع آوری بینش مخاطبان و تولید ایده های محتوا را بررسی کنید.</v>
      </c>
      <c r="H455" s="1"/>
      <c r="I455" s="1"/>
      <c r="J455" s="1"/>
      <c r="K455" s="1"/>
      <c r="L455" s="1"/>
      <c r="M455" s="1"/>
      <c r="N455" s="1"/>
      <c r="O455" s="1"/>
      <c r="P455" s="1"/>
      <c r="Q455" s="1"/>
      <c r="R455" s="1"/>
      <c r="S455" s="1"/>
      <c r="T455" s="1"/>
      <c r="U455" s="1"/>
      <c r="V455" s="1"/>
      <c r="W455" s="1"/>
      <c r="X455" s="1"/>
      <c r="Y455" s="1"/>
      <c r="Z455" s="1"/>
      <c r="AA455" s="1"/>
      <c r="AB455" s="1"/>
    </row>
    <row r="456" ht="50.25" customHeight="1">
      <c r="A456" s="12">
        <v>452.0</v>
      </c>
      <c r="B456" s="13" t="s">
        <v>266</v>
      </c>
      <c r="C456" s="14" t="s">
        <v>459</v>
      </c>
      <c r="D456" s="1"/>
      <c r="E456" s="15"/>
      <c r="F456" s="1" t="str">
        <f>IFERROR(__xludf.DUMMYFUNCTION("GOOGLETRANSLATE(B456, ""en"", ""fa"")
"),"تولید محتوا")</f>
        <v>تولید محتوا</v>
      </c>
      <c r="G456" s="1" t="str">
        <f>IFERROR(__xludf.DUMMYFUNCTION("GOOGLETRANSLATE(C456, ""en"", ""fa"")
"),"درباره نقش داستان سرایی محتوا در ایجاد وفاداری به برند و تقویت روابط بلندمدت با مشتری بحث کنید.")</f>
        <v>درباره نقش داستان سرایی محتوا در ایجاد وفاداری به برند و تقویت روابط بلندمدت با مشتری بحث کنید.</v>
      </c>
      <c r="H456" s="1"/>
      <c r="I456" s="1"/>
      <c r="J456" s="1"/>
      <c r="K456" s="1"/>
      <c r="L456" s="1"/>
      <c r="M456" s="1"/>
      <c r="N456" s="1"/>
      <c r="O456" s="1"/>
      <c r="P456" s="1"/>
      <c r="Q456" s="1"/>
      <c r="R456" s="1"/>
      <c r="S456" s="1"/>
      <c r="T456" s="1"/>
      <c r="U456" s="1"/>
      <c r="V456" s="1"/>
      <c r="W456" s="1"/>
      <c r="X456" s="1"/>
      <c r="Y456" s="1"/>
      <c r="Z456" s="1"/>
      <c r="AA456" s="1"/>
      <c r="AB456" s="1"/>
    </row>
    <row r="457" ht="50.25" customHeight="1">
      <c r="A457" s="12">
        <v>453.0</v>
      </c>
      <c r="B457" s="13" t="s">
        <v>266</v>
      </c>
      <c r="C457" s="14" t="s">
        <v>460</v>
      </c>
      <c r="D457" s="1"/>
      <c r="E457" s="15"/>
      <c r="F457" s="1" t="str">
        <f>IFERROR(__xludf.DUMMYFUNCTION("GOOGLETRANSLATE(B457, ""en"", ""fa"")
"),"تولید محتوا")</f>
        <v>تولید محتوا</v>
      </c>
      <c r="G457" s="1" t="str">
        <f>IFERROR(__xludf.DUMMYFUNCTION("GOOGLETRANSLATE(C457, ""en"", ""fa"")
"),"نکاتی را برای بهینه سازی محتوای خود برای دستگاه های تلفن همراه و اطمینان از تجربه یکپارچه مرور تلفن همراه به اشتراک بگذارید.")</f>
        <v>نکاتی را برای بهینه سازی محتوای خود برای دستگاه های تلفن همراه و اطمینان از تجربه یکپارچه مرور تلفن همراه به اشتراک بگذارید.</v>
      </c>
      <c r="H457" s="1"/>
      <c r="I457" s="1"/>
      <c r="J457" s="1"/>
      <c r="K457" s="1"/>
      <c r="L457" s="1"/>
      <c r="M457" s="1"/>
      <c r="N457" s="1"/>
      <c r="O457" s="1"/>
      <c r="P457" s="1"/>
      <c r="Q457" s="1"/>
      <c r="R457" s="1"/>
      <c r="S457" s="1"/>
      <c r="T457" s="1"/>
      <c r="U457" s="1"/>
      <c r="V457" s="1"/>
      <c r="W457" s="1"/>
      <c r="X457" s="1"/>
      <c r="Y457" s="1"/>
      <c r="Z457" s="1"/>
      <c r="AA457" s="1"/>
      <c r="AB457" s="1"/>
    </row>
    <row r="458" ht="50.25" customHeight="1">
      <c r="A458" s="12">
        <v>454.0</v>
      </c>
      <c r="B458" s="13" t="s">
        <v>266</v>
      </c>
      <c r="C458" s="14" t="s">
        <v>461</v>
      </c>
      <c r="D458" s="1"/>
      <c r="E458" s="15"/>
      <c r="F458" s="1" t="str">
        <f>IFERROR(__xludf.DUMMYFUNCTION("GOOGLETRANSLATE(B458, ""en"", ""fa"")
"),"تولید محتوا")</f>
        <v>تولید محتوا</v>
      </c>
      <c r="G458" s="1" t="str">
        <f>IFERROR(__xludf.DUMMYFUNCTION("GOOGLETRANSLATE(C458, ""en"", ""fa"")
"),"مفهوم تجزیه و تحلیل شکاف محتوا و اینکه چگونه می تواند به شما در شناسایی مناطقی که محتوای اضافی مورد نیاز است کمک کند را بررسی کنید.")</f>
        <v>مفهوم تجزیه و تحلیل شکاف محتوا و اینکه چگونه می تواند به شما در شناسایی مناطقی که محتوای اضافی مورد نیاز است کمک کند را بررسی کنید.</v>
      </c>
      <c r="H458" s="1"/>
      <c r="I458" s="1"/>
      <c r="J458" s="1"/>
      <c r="K458" s="1"/>
      <c r="L458" s="1"/>
      <c r="M458" s="1"/>
      <c r="N458" s="1"/>
      <c r="O458" s="1"/>
      <c r="P458" s="1"/>
      <c r="Q458" s="1"/>
      <c r="R458" s="1"/>
      <c r="S458" s="1"/>
      <c r="T458" s="1"/>
      <c r="U458" s="1"/>
      <c r="V458" s="1"/>
      <c r="W458" s="1"/>
      <c r="X458" s="1"/>
      <c r="Y458" s="1"/>
      <c r="Z458" s="1"/>
      <c r="AA458" s="1"/>
      <c r="AB458" s="1"/>
    </row>
    <row r="459" ht="50.25" customHeight="1">
      <c r="A459" s="12">
        <v>455.0</v>
      </c>
      <c r="B459" s="13" t="s">
        <v>266</v>
      </c>
      <c r="C459" s="14" t="s">
        <v>462</v>
      </c>
      <c r="D459" s="1"/>
      <c r="E459" s="15"/>
      <c r="F459" s="1" t="str">
        <f>IFERROR(__xludf.DUMMYFUNCTION("GOOGLETRANSLATE(B459, ""en"", ""fa"")
"),"تولید محتوا")</f>
        <v>تولید محتوا</v>
      </c>
      <c r="G459" s="1" t="str">
        <f>IFERROR(__xludf.DUMMYFUNCTION("GOOGLETRANSLATE(C459, ""en"", ""fa"")
"),"در مورد تأثیر پلتفرم های توزیع محتوا، مانند Medium یا LinkedIn Pulse، در گسترش دامنه دسترسی به محتوای خود بحث کنید.")</f>
        <v>در مورد تأثیر پلتفرم های توزیع محتوا، مانند Medium یا LinkedIn Pulse، در گسترش دامنه دسترسی به محتوای خود بحث کنید.</v>
      </c>
      <c r="H459" s="1"/>
      <c r="I459" s="1"/>
      <c r="J459" s="1"/>
      <c r="K459" s="1"/>
      <c r="L459" s="1"/>
      <c r="M459" s="1"/>
      <c r="N459" s="1"/>
      <c r="O459" s="1"/>
      <c r="P459" s="1"/>
      <c r="Q459" s="1"/>
      <c r="R459" s="1"/>
      <c r="S459" s="1"/>
      <c r="T459" s="1"/>
      <c r="U459" s="1"/>
      <c r="V459" s="1"/>
      <c r="W459" s="1"/>
      <c r="X459" s="1"/>
      <c r="Y459" s="1"/>
      <c r="Z459" s="1"/>
      <c r="AA459" s="1"/>
      <c r="AB459" s="1"/>
    </row>
    <row r="460" ht="50.25" customHeight="1">
      <c r="A460" s="12">
        <v>456.0</v>
      </c>
      <c r="B460" s="13" t="s">
        <v>266</v>
      </c>
      <c r="C460" s="14" t="s">
        <v>463</v>
      </c>
      <c r="D460" s="1"/>
      <c r="E460" s="15"/>
      <c r="F460" s="1" t="str">
        <f>IFERROR(__xludf.DUMMYFUNCTION("GOOGLETRANSLATE(B460, ""en"", ""fa"")
"),"تولید محتوا")</f>
        <v>تولید محتوا</v>
      </c>
      <c r="G460" s="1" t="str">
        <f>IFERROR(__xludf.DUMMYFUNCTION("GOOGLETRANSLATE(C460, ""en"", ""fa"")
"),"استراتژی های ایجاد محتوایی را به اشتراک بگذارید که به روندهای نوظهور می پردازد و مخاطبان شما را آگاه و درگیر نگه می دارد.")</f>
        <v>استراتژی های ایجاد محتوایی را به اشتراک بگذارید که به روندهای نوظهور می پردازد و مخاطبان شما را آگاه و درگیر نگه می دارد.</v>
      </c>
      <c r="H460" s="1"/>
      <c r="I460" s="1"/>
      <c r="J460" s="1"/>
      <c r="K460" s="1"/>
      <c r="L460" s="1"/>
      <c r="M460" s="1"/>
      <c r="N460" s="1"/>
      <c r="O460" s="1"/>
      <c r="P460" s="1"/>
      <c r="Q460" s="1"/>
      <c r="R460" s="1"/>
      <c r="S460" s="1"/>
      <c r="T460" s="1"/>
      <c r="U460" s="1"/>
      <c r="V460" s="1"/>
      <c r="W460" s="1"/>
      <c r="X460" s="1"/>
      <c r="Y460" s="1"/>
      <c r="Z460" s="1"/>
      <c r="AA460" s="1"/>
      <c r="AB460" s="1"/>
    </row>
    <row r="461" ht="50.25" customHeight="1">
      <c r="A461" s="12">
        <v>457.0</v>
      </c>
      <c r="B461" s="13" t="s">
        <v>266</v>
      </c>
      <c r="C461" s="14" t="s">
        <v>464</v>
      </c>
      <c r="D461" s="1"/>
      <c r="E461" s="15"/>
      <c r="F461" s="1" t="str">
        <f>IFERROR(__xludf.DUMMYFUNCTION("GOOGLETRANSLATE(B461, ""en"", ""fa"")
"),"تولید محتوا")</f>
        <v>تولید محتوا</v>
      </c>
      <c r="G461" s="1" t="str">
        <f>IFERROR(__xludf.DUMMYFUNCTION("GOOGLETRANSLATE(C461, ""en"", ""fa"")
"),"مزایای ایجاد محتوایی را که از داده های تولید شده توسط کاربر یا یافته های تحقیقاتی استفاده می کند، کاوش کنید.")</f>
        <v>مزایای ایجاد محتوایی را که از داده های تولید شده توسط کاربر یا یافته های تحقیقاتی استفاده می کند، کاوش کنید.</v>
      </c>
      <c r="H461" s="1"/>
      <c r="I461" s="1"/>
      <c r="J461" s="1"/>
      <c r="K461" s="1"/>
      <c r="L461" s="1"/>
      <c r="M461" s="1"/>
      <c r="N461" s="1"/>
      <c r="O461" s="1"/>
      <c r="P461" s="1"/>
      <c r="Q461" s="1"/>
      <c r="R461" s="1"/>
      <c r="S461" s="1"/>
      <c r="T461" s="1"/>
      <c r="U461" s="1"/>
      <c r="V461" s="1"/>
      <c r="W461" s="1"/>
      <c r="X461" s="1"/>
      <c r="Y461" s="1"/>
      <c r="Z461" s="1"/>
      <c r="AA461" s="1"/>
      <c r="AB461" s="1"/>
    </row>
    <row r="462" ht="50.25" customHeight="1">
      <c r="A462" s="12">
        <v>458.0</v>
      </c>
      <c r="B462" s="13" t="s">
        <v>266</v>
      </c>
      <c r="C462" s="14" t="s">
        <v>465</v>
      </c>
      <c r="D462" s="1"/>
      <c r="E462" s="15"/>
      <c r="F462" s="1" t="str">
        <f>IFERROR(__xludf.DUMMYFUNCTION("GOOGLETRANSLATE(B462, ""en"", ""fa"")
"),"تولید محتوا")</f>
        <v>تولید محتوا</v>
      </c>
      <c r="G462" s="1" t="str">
        <f>IFERROR(__xludf.DUMMYFUNCTION("GOOGLETRANSLATE(C462, ""en"", ""fa"")
"),"درباره نقش تجدید محتوا و به‌روزرسانی محتوای قدیمی‌تر برای اطمینان از صحت و مرتبط بودن آن بحث کنید.")</f>
        <v>درباره نقش تجدید محتوا و به‌روزرسانی محتوای قدیمی‌تر برای اطمینان از صحت و مرتبط بودن آن بحث کنید.</v>
      </c>
      <c r="H462" s="1"/>
      <c r="I462" s="1"/>
      <c r="J462" s="1"/>
      <c r="K462" s="1"/>
      <c r="L462" s="1"/>
      <c r="M462" s="1"/>
      <c r="N462" s="1"/>
      <c r="O462" s="1"/>
      <c r="P462" s="1"/>
      <c r="Q462" s="1"/>
      <c r="R462" s="1"/>
      <c r="S462" s="1"/>
      <c r="T462" s="1"/>
      <c r="U462" s="1"/>
      <c r="V462" s="1"/>
      <c r="W462" s="1"/>
      <c r="X462" s="1"/>
      <c r="Y462" s="1"/>
      <c r="Z462" s="1"/>
      <c r="AA462" s="1"/>
      <c r="AB462" s="1"/>
    </row>
    <row r="463" ht="50.25" customHeight="1">
      <c r="A463" s="12">
        <v>459.0</v>
      </c>
      <c r="B463" s="13" t="s">
        <v>266</v>
      </c>
      <c r="C463" s="14" t="s">
        <v>466</v>
      </c>
      <c r="D463" s="1"/>
      <c r="E463" s="15"/>
      <c r="F463" s="1" t="str">
        <f>IFERROR(__xludf.DUMMYFUNCTION("GOOGLETRANSLATE(B463, ""en"", ""fa"")
"),"تولید محتوا")</f>
        <v>تولید محتوا</v>
      </c>
      <c r="G463" s="1" t="str">
        <f>IFERROR(__xludf.DUMMYFUNCTION("GOOGLETRANSLATE(C463, ""en"", ""fa"")
"),"نکاتی را برای همکاری محتوایی مؤثر با تیم‌های داخلی، مانند درگیر کردن کارشناسان موضوع یا متخصصان بازاریابی، به اشتراک بگذارید.")</f>
        <v>نکاتی را برای همکاری محتوایی مؤثر با تیم‌های داخلی، مانند درگیر کردن کارشناسان موضوع یا متخصصان بازاریابی، به اشتراک بگذارید.</v>
      </c>
      <c r="H463" s="1"/>
      <c r="I463" s="1"/>
      <c r="J463" s="1"/>
      <c r="K463" s="1"/>
      <c r="L463" s="1"/>
      <c r="M463" s="1"/>
      <c r="N463" s="1"/>
      <c r="O463" s="1"/>
      <c r="P463" s="1"/>
      <c r="Q463" s="1"/>
      <c r="R463" s="1"/>
      <c r="S463" s="1"/>
      <c r="T463" s="1"/>
      <c r="U463" s="1"/>
      <c r="V463" s="1"/>
      <c r="W463" s="1"/>
      <c r="X463" s="1"/>
      <c r="Y463" s="1"/>
      <c r="Z463" s="1"/>
      <c r="AA463" s="1"/>
      <c r="AB463" s="1"/>
    </row>
    <row r="464" ht="50.25" customHeight="1">
      <c r="A464" s="12">
        <v>460.0</v>
      </c>
      <c r="B464" s="13" t="s">
        <v>266</v>
      </c>
      <c r="C464" s="14" t="s">
        <v>467</v>
      </c>
      <c r="D464" s="1"/>
      <c r="E464" s="15"/>
      <c r="F464" s="1" t="str">
        <f>IFERROR(__xludf.DUMMYFUNCTION("GOOGLETRANSLATE(B464, ""en"", ""fa"")
"),"تولید محتوا")</f>
        <v>تولید محتوا</v>
      </c>
      <c r="G464" s="1" t="str">
        <f>IFERROR(__xludf.DUMMYFUNCTION("GOOGLETRANSLATE(C464, ""en"", ""fa"")
"),"مفهوم سری محتوا یا محتوای سریالی را کاوش کنید تا مخاطبان خود را درگیر خود نگه دارید و برای اطلاعات بیشتر بازگردید.")</f>
        <v>مفهوم سری محتوا یا محتوای سریالی را کاوش کنید تا مخاطبان خود را درگیر خود نگه دارید و برای اطلاعات بیشتر بازگردید.</v>
      </c>
      <c r="H464" s="1"/>
      <c r="I464" s="1"/>
      <c r="J464" s="1"/>
      <c r="K464" s="1"/>
      <c r="L464" s="1"/>
      <c r="M464" s="1"/>
      <c r="N464" s="1"/>
      <c r="O464" s="1"/>
      <c r="P464" s="1"/>
      <c r="Q464" s="1"/>
      <c r="R464" s="1"/>
      <c r="S464" s="1"/>
      <c r="T464" s="1"/>
      <c r="U464" s="1"/>
      <c r="V464" s="1"/>
      <c r="W464" s="1"/>
      <c r="X464" s="1"/>
      <c r="Y464" s="1"/>
      <c r="Z464" s="1"/>
      <c r="AA464" s="1"/>
      <c r="AB464" s="1"/>
    </row>
    <row r="465" ht="50.25" customHeight="1">
      <c r="A465" s="12">
        <v>461.0</v>
      </c>
      <c r="B465" s="13" t="s">
        <v>266</v>
      </c>
      <c r="C465" s="14" t="s">
        <v>468</v>
      </c>
      <c r="D465" s="1"/>
      <c r="E465" s="15"/>
      <c r="F465" s="1" t="str">
        <f>IFERROR(__xludf.DUMMYFUNCTION("GOOGLETRANSLATE(B465, ""en"", ""fa"")
"),"تولید محتوا")</f>
        <v>تولید محتوا</v>
      </c>
      <c r="G465" s="1" t="str">
        <f>IFERROR(__xludf.DUMMYFUNCTION("GOOGLETRANSLATE(C465, ""en"", ""fa"")
"),"درباره تأثیر گوش دادن و نظارت اجتماعی بر درک نیازها و ترجیحات مخاطبان برای تولید محتوا بحث کنید.")</f>
        <v>درباره تأثیر گوش دادن و نظارت اجتماعی بر درک نیازها و ترجیحات مخاطبان برای تولید محتوا بحث کنید.</v>
      </c>
      <c r="H465" s="1"/>
      <c r="I465" s="1"/>
      <c r="J465" s="1"/>
      <c r="K465" s="1"/>
      <c r="L465" s="1"/>
      <c r="M465" s="1"/>
      <c r="N465" s="1"/>
      <c r="O465" s="1"/>
      <c r="P465" s="1"/>
      <c r="Q465" s="1"/>
      <c r="R465" s="1"/>
      <c r="S465" s="1"/>
      <c r="T465" s="1"/>
      <c r="U465" s="1"/>
      <c r="V465" s="1"/>
      <c r="W465" s="1"/>
      <c r="X465" s="1"/>
      <c r="Y465" s="1"/>
      <c r="Z465" s="1"/>
      <c r="AA465" s="1"/>
      <c r="AB465" s="1"/>
    </row>
    <row r="466" ht="50.25" customHeight="1">
      <c r="A466" s="12">
        <v>462.0</v>
      </c>
      <c r="B466" s="13" t="s">
        <v>266</v>
      </c>
      <c r="C466" s="14" t="s">
        <v>469</v>
      </c>
      <c r="D466" s="1"/>
      <c r="E466" s="15"/>
      <c r="F466" s="1" t="str">
        <f>IFERROR(__xludf.DUMMYFUNCTION("GOOGLETRANSLATE(B466, ""en"", ""fa"")
"),"تولید محتوا")</f>
        <v>تولید محتوا</v>
      </c>
      <c r="G466" s="1" t="str">
        <f>IFERROR(__xludf.DUMMYFUNCTION("GOOGLETRANSLATE(C466, ""en"", ""fa"")
"),"استراتژی‌هایی را برای ایجاد محتوایی به اشتراک بگذارید که ارزش پیشنهادی و متمایزکننده‌های منحصر به فرد برند شما را به نمایش بگذارد.")</f>
        <v>استراتژی‌هایی را برای ایجاد محتوایی به اشتراک بگذارید که ارزش پیشنهادی و متمایزکننده‌های منحصر به فرد برند شما را به نمایش بگذارد.</v>
      </c>
      <c r="H466" s="1"/>
      <c r="I466" s="1"/>
      <c r="J466" s="1"/>
      <c r="K466" s="1"/>
      <c r="L466" s="1"/>
      <c r="M466" s="1"/>
      <c r="N466" s="1"/>
      <c r="O466" s="1"/>
      <c r="P466" s="1"/>
      <c r="Q466" s="1"/>
      <c r="R466" s="1"/>
      <c r="S466" s="1"/>
      <c r="T466" s="1"/>
      <c r="U466" s="1"/>
      <c r="V466" s="1"/>
      <c r="W466" s="1"/>
      <c r="X466" s="1"/>
      <c r="Y466" s="1"/>
      <c r="Z466" s="1"/>
      <c r="AA466" s="1"/>
      <c r="AB466" s="1"/>
    </row>
    <row r="467" ht="50.25" customHeight="1">
      <c r="A467" s="12">
        <v>463.0</v>
      </c>
      <c r="B467" s="13" t="s">
        <v>266</v>
      </c>
      <c r="C467" s="14" t="s">
        <v>470</v>
      </c>
      <c r="D467" s="1"/>
      <c r="E467" s="15"/>
      <c r="F467" s="1" t="str">
        <f>IFERROR(__xludf.DUMMYFUNCTION("GOOGLETRANSLATE(B467, ""en"", ""fa"")
"),"تولید محتوا")</f>
        <v>تولید محتوا</v>
      </c>
      <c r="G467" s="1" t="str">
        <f>IFERROR(__xludf.DUMMYFUNCTION("GOOGLETRANSLATE(C467, ""en"", ""fa"")
"),"در تلاش‌های بازاریابی خود، مزایای استفاده مجدد از محتوای تولید شده توسط کاربر، مانند توصیفات مشتری یا پست‌های رسانه‌های اجتماعی را بررسی کنید.")</f>
        <v>در تلاش‌های بازاریابی خود، مزایای استفاده مجدد از محتوای تولید شده توسط کاربر، مانند توصیفات مشتری یا پست‌های رسانه‌های اجتماعی را بررسی کنید.</v>
      </c>
      <c r="H467" s="1"/>
      <c r="I467" s="1"/>
      <c r="J467" s="1"/>
      <c r="K467" s="1"/>
      <c r="L467" s="1"/>
      <c r="M467" s="1"/>
      <c r="N467" s="1"/>
      <c r="O467" s="1"/>
      <c r="P467" s="1"/>
      <c r="Q467" s="1"/>
      <c r="R467" s="1"/>
      <c r="S467" s="1"/>
      <c r="T467" s="1"/>
      <c r="U467" s="1"/>
      <c r="V467" s="1"/>
      <c r="W467" s="1"/>
      <c r="X467" s="1"/>
      <c r="Y467" s="1"/>
      <c r="Z467" s="1"/>
      <c r="AA467" s="1"/>
      <c r="AB467" s="1"/>
    </row>
    <row r="468" ht="50.25" customHeight="1">
      <c r="A468" s="12">
        <v>464.0</v>
      </c>
      <c r="B468" s="13" t="s">
        <v>266</v>
      </c>
      <c r="C468" s="14" t="s">
        <v>471</v>
      </c>
      <c r="D468" s="1"/>
      <c r="E468" s="15"/>
      <c r="F468" s="1" t="str">
        <f>IFERROR(__xludf.DUMMYFUNCTION("GOOGLETRANSLATE(B468, ""en"", ""fa"")
"),"تولید محتوا")</f>
        <v>تولید محتوا</v>
      </c>
      <c r="G468" s="1" t="str">
        <f>IFERROR(__xludf.DUMMYFUNCTION("GOOGLETRANSLATE(C468, ""en"", ""fa"")
"),"در مورد نقش تنوع محتوا و فراگیری در دستیابی به مخاطبان گسترده تر و تقویت حس تعلق بحث کنید.")</f>
        <v>در مورد نقش تنوع محتوا و فراگیری در دستیابی به مخاطبان گسترده تر و تقویت حس تعلق بحث کنید.</v>
      </c>
      <c r="H468" s="1"/>
      <c r="I468" s="1"/>
      <c r="J468" s="1"/>
      <c r="K468" s="1"/>
      <c r="L468" s="1"/>
      <c r="M468" s="1"/>
      <c r="N468" s="1"/>
      <c r="O468" s="1"/>
      <c r="P468" s="1"/>
      <c r="Q468" s="1"/>
      <c r="R468" s="1"/>
      <c r="S468" s="1"/>
      <c r="T468" s="1"/>
      <c r="U468" s="1"/>
      <c r="V468" s="1"/>
      <c r="W468" s="1"/>
      <c r="X468" s="1"/>
      <c r="Y468" s="1"/>
      <c r="Z468" s="1"/>
      <c r="AA468" s="1"/>
      <c r="AB468" s="1"/>
    </row>
    <row r="469" ht="50.25" customHeight="1">
      <c r="A469" s="12">
        <v>465.0</v>
      </c>
      <c r="B469" s="13" t="s">
        <v>266</v>
      </c>
      <c r="C469" s="14" t="s">
        <v>472</v>
      </c>
      <c r="D469" s="1"/>
      <c r="E469" s="15"/>
      <c r="F469" s="1" t="str">
        <f>IFERROR(__xludf.DUMMYFUNCTION("GOOGLETRANSLATE(B469, ""en"", ""fa"")
"),"تولید محتوا")</f>
        <v>تولید محتوا</v>
      </c>
      <c r="G469" s="1" t="str">
        <f>IFERROR(__xludf.DUMMYFUNCTION("GOOGLETRANSLATE(C469, ""en"", ""fa"")
"),"نکاتی را برای گنجاندن عناصر داستان سرایی در محتوای خود به اشتراک بگذارید تا روایتی ایجاد کنید که مخاطب شما را مجذوب خود کند و طنین انداز کند.")</f>
        <v>نکاتی را برای گنجاندن عناصر داستان سرایی در محتوای خود به اشتراک بگذارید تا روایتی ایجاد کنید که مخاطب شما را مجذوب خود کند و طنین انداز کند.</v>
      </c>
      <c r="H469" s="1"/>
      <c r="I469" s="1"/>
      <c r="J469" s="1"/>
      <c r="K469" s="1"/>
      <c r="L469" s="1"/>
      <c r="M469" s="1"/>
      <c r="N469" s="1"/>
      <c r="O469" s="1"/>
      <c r="P469" s="1"/>
      <c r="Q469" s="1"/>
      <c r="R469" s="1"/>
      <c r="S469" s="1"/>
      <c r="T469" s="1"/>
      <c r="U469" s="1"/>
      <c r="V469" s="1"/>
      <c r="W469" s="1"/>
      <c r="X469" s="1"/>
      <c r="Y469" s="1"/>
      <c r="Z469" s="1"/>
      <c r="AA469" s="1"/>
      <c r="AB469" s="1"/>
    </row>
    <row r="470" ht="50.25" customHeight="1">
      <c r="A470" s="12">
        <v>466.0</v>
      </c>
      <c r="B470" s="13" t="s">
        <v>266</v>
      </c>
      <c r="C470" s="14" t="s">
        <v>473</v>
      </c>
      <c r="D470" s="1"/>
      <c r="E470" s="15"/>
      <c r="F470" s="1" t="str">
        <f>IFERROR(__xludf.DUMMYFUNCTION("GOOGLETRANSLATE(B470, ""en"", ""fa"")
"),"تولید محتوا")</f>
        <v>تولید محتوا</v>
      </c>
      <c r="G470" s="1" t="str">
        <f>IFERROR(__xludf.DUMMYFUNCTION("GOOGLETRANSLATE(C470, ""en"", ""fa"")
"),"مفهوم مشارکت در توزیع محتوا و همکاری با سایر برندها یا تأثیرگذاران را برای گسترش دامنه دسترسی خود کاوش کنید.")</f>
        <v>مفهوم مشارکت در توزیع محتوا و همکاری با سایر برندها یا تأثیرگذاران را برای گسترش دامنه دسترسی خود کاوش کنید.</v>
      </c>
      <c r="H470" s="1"/>
      <c r="I470" s="1"/>
      <c r="J470" s="1"/>
      <c r="K470" s="1"/>
      <c r="L470" s="1"/>
      <c r="M470" s="1"/>
      <c r="N470" s="1"/>
      <c r="O470" s="1"/>
      <c r="P470" s="1"/>
      <c r="Q470" s="1"/>
      <c r="R470" s="1"/>
      <c r="S470" s="1"/>
      <c r="T470" s="1"/>
      <c r="U470" s="1"/>
      <c r="V470" s="1"/>
      <c r="W470" s="1"/>
      <c r="X470" s="1"/>
      <c r="Y470" s="1"/>
      <c r="Z470" s="1"/>
      <c r="AA470" s="1"/>
      <c r="AB470" s="1"/>
    </row>
    <row r="471" ht="50.25" customHeight="1">
      <c r="A471" s="12">
        <v>467.0</v>
      </c>
      <c r="B471" s="13" t="s">
        <v>266</v>
      </c>
      <c r="C471" s="14" t="s">
        <v>474</v>
      </c>
      <c r="D471" s="1"/>
      <c r="E471" s="15"/>
      <c r="F471" s="1" t="str">
        <f>IFERROR(__xludf.DUMMYFUNCTION("GOOGLETRANSLATE(B471, ""en"", ""fa"")
"),"تولید محتوا")</f>
        <v>تولید محتوا</v>
      </c>
      <c r="G471" s="1" t="str">
        <f>IFERROR(__xludf.DUMMYFUNCTION("GOOGLETRANSLATE(C471, ""en"", ""fa"")
"),"درباره تأثیر شخصی‌سازی محتوا و تنظیم پیام‌های خود با مراحل مختلف سفر مشتری بحث کنید.")</f>
        <v>درباره تأثیر شخصی‌سازی محتوا و تنظیم پیام‌های خود با مراحل مختلف سفر مشتری بحث کنید.</v>
      </c>
      <c r="H471" s="1"/>
      <c r="I471" s="1"/>
      <c r="J471" s="1"/>
      <c r="K471" s="1"/>
      <c r="L471" s="1"/>
      <c r="M471" s="1"/>
      <c r="N471" s="1"/>
      <c r="O471" s="1"/>
      <c r="P471" s="1"/>
      <c r="Q471" s="1"/>
      <c r="R471" s="1"/>
      <c r="S471" s="1"/>
      <c r="T471" s="1"/>
      <c r="U471" s="1"/>
      <c r="V471" s="1"/>
      <c r="W471" s="1"/>
      <c r="X471" s="1"/>
      <c r="Y471" s="1"/>
      <c r="Z471" s="1"/>
      <c r="AA471" s="1"/>
      <c r="AB471" s="1"/>
    </row>
    <row r="472" ht="50.25" customHeight="1">
      <c r="A472" s="12">
        <v>468.0</v>
      </c>
      <c r="B472" s="13" t="s">
        <v>266</v>
      </c>
      <c r="C472" s="14" t="s">
        <v>475</v>
      </c>
      <c r="D472" s="1"/>
      <c r="E472" s="15"/>
      <c r="F472" s="1" t="str">
        <f>IFERROR(__xludf.DUMMYFUNCTION("GOOGLETRANSLATE(B472, ""en"", ""fa"")
"),"تولید محتوا")</f>
        <v>تولید محتوا</v>
      </c>
      <c r="G472" s="1" t="str">
        <f>IFERROR(__xludf.DUMMYFUNCTION("GOOGLETRANSLATE(C472, ""en"", ""fa"")
"),"استراتژی های ایجاد محتوایی را به اشتراک بگذارید که از قدرت نوستالژی بهره می برد و احساسات مرتبط با تجربیات مشترک را برمی انگیزد.")</f>
        <v>استراتژی های ایجاد محتوایی را به اشتراک بگذارید که از قدرت نوستالژی بهره می برد و احساسات مرتبط با تجربیات مشترک را برمی انگیزد.</v>
      </c>
      <c r="H472" s="1"/>
      <c r="I472" s="1"/>
      <c r="J472" s="1"/>
      <c r="K472" s="1"/>
      <c r="L472" s="1"/>
      <c r="M472" s="1"/>
      <c r="N472" s="1"/>
      <c r="O472" s="1"/>
      <c r="P472" s="1"/>
      <c r="Q472" s="1"/>
      <c r="R472" s="1"/>
      <c r="S472" s="1"/>
      <c r="T472" s="1"/>
      <c r="U472" s="1"/>
      <c r="V472" s="1"/>
      <c r="W472" s="1"/>
      <c r="X472" s="1"/>
      <c r="Y472" s="1"/>
      <c r="Z472" s="1"/>
      <c r="AA472" s="1"/>
      <c r="AB472" s="1"/>
    </row>
    <row r="473" ht="50.25" customHeight="1">
      <c r="A473" s="12">
        <v>469.0</v>
      </c>
      <c r="B473" s="13" t="s">
        <v>476</v>
      </c>
      <c r="C473" s="16" t="s">
        <v>477</v>
      </c>
      <c r="D473" s="1"/>
      <c r="E473" s="15"/>
      <c r="F473" s="1" t="str">
        <f>IFERROR(__xludf.DUMMYFUNCTION("GOOGLETRANSLATE(B473, ""en"", ""fa"")
"),"ایجاد دوره")</f>
        <v>ایجاد دوره</v>
      </c>
      <c r="G473" s="1" t="str">
        <f>IFERROR(__xludf.DUMMYFUNCTION("GOOGLETRANSLATE(C473, ""en"", ""fa"")
"),"اهمیت برنامه ریزی صحیح دوره و توسعه برنامه درسی در ایجاد یک دوره آنلاین موفق را بررسی کنید.")</f>
        <v>اهمیت برنامه ریزی صحیح دوره و توسعه برنامه درسی در ایجاد یک دوره آنلاین موفق را بررسی کنید.</v>
      </c>
      <c r="H473" s="1"/>
      <c r="I473" s="1"/>
      <c r="J473" s="1"/>
      <c r="K473" s="1"/>
      <c r="L473" s="1"/>
      <c r="M473" s="1"/>
      <c r="N473" s="1"/>
      <c r="O473" s="1"/>
      <c r="P473" s="1"/>
      <c r="Q473" s="1"/>
      <c r="R473" s="1"/>
      <c r="S473" s="1"/>
      <c r="T473" s="1"/>
      <c r="U473" s="1"/>
      <c r="V473" s="1"/>
      <c r="W473" s="1"/>
      <c r="X473" s="1"/>
      <c r="Y473" s="1"/>
      <c r="Z473" s="1"/>
      <c r="AA473" s="1"/>
      <c r="AB473" s="1"/>
    </row>
    <row r="474" ht="50.25" customHeight="1">
      <c r="A474" s="12">
        <v>470.0</v>
      </c>
      <c r="B474" s="13" t="s">
        <v>476</v>
      </c>
      <c r="C474" s="14" t="s">
        <v>478</v>
      </c>
      <c r="D474" s="1"/>
      <c r="E474" s="15"/>
      <c r="F474" s="1" t="str">
        <f>IFERROR(__xludf.DUMMYFUNCTION("GOOGLETRANSLATE(B474, ""en"", ""fa"")
"),"ایجاد دوره")</f>
        <v>ایجاد دوره</v>
      </c>
      <c r="G474" s="1" t="str">
        <f>IFERROR(__xludf.DUMMYFUNCTION("GOOGLETRANSLATE(C474, ""en"", ""fa"")
"),"قبل از ایجاد دوره در مورد مزایای شناسایی مخاطبان هدف و نیازهای یادگیری خاص آنها بحث کنید.")</f>
        <v>قبل از ایجاد دوره در مورد مزایای شناسایی مخاطبان هدف و نیازهای یادگیری خاص آنها بحث کنید.</v>
      </c>
      <c r="H474" s="1"/>
      <c r="I474" s="1"/>
      <c r="J474" s="1"/>
      <c r="K474" s="1"/>
      <c r="L474" s="1"/>
      <c r="M474" s="1"/>
      <c r="N474" s="1"/>
      <c r="O474" s="1"/>
      <c r="P474" s="1"/>
      <c r="Q474" s="1"/>
      <c r="R474" s="1"/>
      <c r="S474" s="1"/>
      <c r="T474" s="1"/>
      <c r="U474" s="1"/>
      <c r="V474" s="1"/>
      <c r="W474" s="1"/>
      <c r="X474" s="1"/>
      <c r="Y474" s="1"/>
      <c r="Z474" s="1"/>
      <c r="AA474" s="1"/>
      <c r="AB474" s="1"/>
    </row>
    <row r="475" ht="50.25" customHeight="1">
      <c r="A475" s="12">
        <v>471.0</v>
      </c>
      <c r="B475" s="13" t="s">
        <v>476</v>
      </c>
      <c r="C475" s="14" t="s">
        <v>479</v>
      </c>
      <c r="D475" s="1"/>
      <c r="E475" s="15"/>
      <c r="F475" s="1" t="str">
        <f>IFERROR(__xludf.DUMMYFUNCTION("GOOGLETRANSLATE(B475, ""en"", ""fa"")
"),"ایجاد دوره")</f>
        <v>ایجاد دوره</v>
      </c>
      <c r="G475" s="1" t="str">
        <f>IFERROR(__xludf.DUMMYFUNCTION("GOOGLETRANSLATE(C475, ""en"", ""fa"")
"),"برای اطمینان از پیشرفت یادگیری منطقی و جذاب، نکاتی را برای ساختاردهی ماژول‌ها و دروس به اشتراک بگذارید.")</f>
        <v>برای اطمینان از پیشرفت یادگیری منطقی و جذاب، نکاتی را برای ساختاردهی ماژول‌ها و دروس به اشتراک بگذارید.</v>
      </c>
      <c r="H475" s="1"/>
      <c r="I475" s="1"/>
      <c r="J475" s="1"/>
      <c r="K475" s="1"/>
      <c r="L475" s="1"/>
      <c r="M475" s="1"/>
      <c r="N475" s="1"/>
      <c r="O475" s="1"/>
      <c r="P475" s="1"/>
      <c r="Q475" s="1"/>
      <c r="R475" s="1"/>
      <c r="S475" s="1"/>
      <c r="T475" s="1"/>
      <c r="U475" s="1"/>
      <c r="V475" s="1"/>
      <c r="W475" s="1"/>
      <c r="X475" s="1"/>
      <c r="Y475" s="1"/>
      <c r="Z475" s="1"/>
      <c r="AA475" s="1"/>
      <c r="AB475" s="1"/>
    </row>
    <row r="476" ht="50.25" customHeight="1">
      <c r="A476" s="12">
        <v>472.0</v>
      </c>
      <c r="B476" s="13" t="s">
        <v>476</v>
      </c>
      <c r="C476" s="14" t="s">
        <v>480</v>
      </c>
      <c r="D476" s="1"/>
      <c r="E476" s="15"/>
      <c r="F476" s="1" t="str">
        <f>IFERROR(__xludf.DUMMYFUNCTION("GOOGLETRANSLATE(B476, ""en"", ""fa"")
"),"ایجاد دوره")</f>
        <v>ایجاد دوره</v>
      </c>
      <c r="G476" s="1" t="str">
        <f>IFERROR(__xludf.DUMMYFUNCTION("GOOGLETRANSLATE(C476, ""en"", ""fa"")
"),"مفهوم ترکیب عناصر چندرسانه‌ای مانند ویدئوها، آزمون‌ها و فعالیت‌های تعاملی را برای افزایش تجربه یادگیری بررسی کنید.")</f>
        <v>مفهوم ترکیب عناصر چندرسانه‌ای مانند ویدئوها، آزمون‌ها و فعالیت‌های تعاملی را برای افزایش تجربه یادگیری بررسی کنید.</v>
      </c>
      <c r="H476" s="1"/>
      <c r="I476" s="1"/>
      <c r="J476" s="1"/>
      <c r="K476" s="1"/>
      <c r="L476" s="1"/>
      <c r="M476" s="1"/>
      <c r="N476" s="1"/>
      <c r="O476" s="1"/>
      <c r="P476" s="1"/>
      <c r="Q476" s="1"/>
      <c r="R476" s="1"/>
      <c r="S476" s="1"/>
      <c r="T476" s="1"/>
      <c r="U476" s="1"/>
      <c r="V476" s="1"/>
      <c r="W476" s="1"/>
      <c r="X476" s="1"/>
      <c r="Y476" s="1"/>
      <c r="Z476" s="1"/>
      <c r="AA476" s="1"/>
      <c r="AB476" s="1"/>
    </row>
    <row r="477" ht="50.25" customHeight="1">
      <c r="A477" s="12">
        <v>473.0</v>
      </c>
      <c r="B477" s="13" t="s">
        <v>476</v>
      </c>
      <c r="C477" s="14" t="s">
        <v>481</v>
      </c>
      <c r="D477" s="1"/>
      <c r="E477" s="15"/>
      <c r="F477" s="1" t="str">
        <f>IFERROR(__xludf.DUMMYFUNCTION("GOOGLETRANSLATE(B477, ""en"", ""fa"")
"),"ایجاد دوره")</f>
        <v>ایجاد دوره</v>
      </c>
      <c r="G477" s="1" t="str">
        <f>IFERROR(__xludf.DUMMYFUNCTION("GOOGLETRANSLATE(C477, ""en"", ""fa"")
"),"در مورد نقش ارزیابی ها و آزمون ها در سنجش پیشرفت دانش آموز و تقویت مفاهیم کلیدی در درس خود بحث کنید.")</f>
        <v>در مورد نقش ارزیابی ها و آزمون ها در سنجش پیشرفت دانش آموز و تقویت مفاهیم کلیدی در درس خود بحث کنید.</v>
      </c>
      <c r="H477" s="1"/>
      <c r="I477" s="1"/>
      <c r="J477" s="1"/>
      <c r="K477" s="1"/>
      <c r="L477" s="1"/>
      <c r="M477" s="1"/>
      <c r="N477" s="1"/>
      <c r="O477" s="1"/>
      <c r="P477" s="1"/>
      <c r="Q477" s="1"/>
      <c r="R477" s="1"/>
      <c r="S477" s="1"/>
      <c r="T477" s="1"/>
      <c r="U477" s="1"/>
      <c r="V477" s="1"/>
      <c r="W477" s="1"/>
      <c r="X477" s="1"/>
      <c r="Y477" s="1"/>
      <c r="Z477" s="1"/>
      <c r="AA477" s="1"/>
      <c r="AB477" s="1"/>
    </row>
    <row r="478" ht="50.25" customHeight="1">
      <c r="A478" s="12">
        <v>474.0</v>
      </c>
      <c r="B478" s="13" t="s">
        <v>476</v>
      </c>
      <c r="C478" s="14" t="s">
        <v>482</v>
      </c>
      <c r="D478" s="1"/>
      <c r="E478" s="15"/>
      <c r="F478" s="1" t="str">
        <f>IFERROR(__xludf.DUMMYFUNCTION("GOOGLETRANSLATE(B478, ""en"", ""fa"")
"),"ایجاد دوره")</f>
        <v>ایجاد دوره</v>
      </c>
      <c r="G478" s="1" t="str">
        <f>IFERROR(__xludf.DUMMYFUNCTION("GOOGLETRANSLATE(C478, ""en"", ""fa"")
"),"استراتژی هایی را برای ایجاد اهداف یادگیری واضح و مختصر که محتوای دوره و انتظارات دانش آموزان را هدایت می کند، به اشتراک بگذارید.")</f>
        <v>استراتژی هایی را برای ایجاد اهداف یادگیری واضح و مختصر که محتوای دوره و انتظارات دانش آموزان را هدایت می کند، به اشتراک بگذارید.</v>
      </c>
      <c r="H478" s="1"/>
      <c r="I478" s="1"/>
      <c r="J478" s="1"/>
      <c r="K478" s="1"/>
      <c r="L478" s="1"/>
      <c r="M478" s="1"/>
      <c r="N478" s="1"/>
      <c r="O478" s="1"/>
      <c r="P478" s="1"/>
      <c r="Q478" s="1"/>
      <c r="R478" s="1"/>
      <c r="S478" s="1"/>
      <c r="T478" s="1"/>
      <c r="U478" s="1"/>
      <c r="V478" s="1"/>
      <c r="W478" s="1"/>
      <c r="X478" s="1"/>
      <c r="Y478" s="1"/>
      <c r="Z478" s="1"/>
      <c r="AA478" s="1"/>
      <c r="AB478" s="1"/>
    </row>
    <row r="479" ht="50.25" customHeight="1">
      <c r="A479" s="12">
        <v>475.0</v>
      </c>
      <c r="B479" s="13" t="s">
        <v>476</v>
      </c>
      <c r="C479" s="14" t="s">
        <v>483</v>
      </c>
      <c r="D479" s="1"/>
      <c r="E479" s="15"/>
      <c r="F479" s="1" t="str">
        <f>IFERROR(__xludf.DUMMYFUNCTION("GOOGLETRANSLATE(B479, ""en"", ""fa"")
"),"ایجاد دوره")</f>
        <v>ایجاد دوره</v>
      </c>
      <c r="G479" s="1" t="str">
        <f>IFERROR(__xludf.DUMMYFUNCTION("GOOGLETRANSLATE(C479, ""en"", ""fa"")
"),"مزایای ترکیب مثال‌های واقعی، مطالعات موردی و تمرین‌های عملی را برای مرتبط‌تر کردن و کاربردی‌تر کردن محتوای دوره بررسی کنید.")</f>
        <v>مزایای ترکیب مثال‌های واقعی، مطالعات موردی و تمرین‌های عملی را برای مرتبط‌تر کردن و کاربردی‌تر کردن محتوای دوره بررسی کنید.</v>
      </c>
      <c r="H479" s="1"/>
      <c r="I479" s="1"/>
      <c r="J479" s="1"/>
      <c r="K479" s="1"/>
      <c r="L479" s="1"/>
      <c r="M479" s="1"/>
      <c r="N479" s="1"/>
      <c r="O479" s="1"/>
      <c r="P479" s="1"/>
      <c r="Q479" s="1"/>
      <c r="R479" s="1"/>
      <c r="S479" s="1"/>
      <c r="T479" s="1"/>
      <c r="U479" s="1"/>
      <c r="V479" s="1"/>
      <c r="W479" s="1"/>
      <c r="X479" s="1"/>
      <c r="Y479" s="1"/>
      <c r="Z479" s="1"/>
      <c r="AA479" s="1"/>
      <c r="AB479" s="1"/>
    </row>
    <row r="480" ht="50.25" customHeight="1">
      <c r="A480" s="12">
        <v>476.0</v>
      </c>
      <c r="B480" s="13" t="s">
        <v>476</v>
      </c>
      <c r="C480" s="14" t="s">
        <v>484</v>
      </c>
      <c r="D480" s="1"/>
      <c r="E480" s="15"/>
      <c r="F480" s="1" t="str">
        <f>IFERROR(__xludf.DUMMYFUNCTION("GOOGLETRANSLATE(B480, ""en"", ""fa"")
"),"ایجاد دوره")</f>
        <v>ایجاد دوره</v>
      </c>
      <c r="G480" s="1" t="str">
        <f>IFERROR(__xludf.DUMMYFUNCTION("GOOGLETRANSLATE(C480, ""en"", ""fa"")
"),"درباره تأثیر ارائه پشتیبانی مداوم و فرصت‌های تعامل، مانند تالارهای گفتگو یا جلسات پرسش و پاسخ، برای شرکت‌کنندگان دوره بحث کنید.")</f>
        <v>درباره تأثیر ارائه پشتیبانی مداوم و فرصت‌های تعامل، مانند تالارهای گفتگو یا جلسات پرسش و پاسخ، برای شرکت‌کنندگان دوره بحث کنید.</v>
      </c>
      <c r="H480" s="1"/>
      <c r="I480" s="1"/>
      <c r="J480" s="1"/>
      <c r="K480" s="1"/>
      <c r="L480" s="1"/>
      <c r="M480" s="1"/>
      <c r="N480" s="1"/>
      <c r="O480" s="1"/>
      <c r="P480" s="1"/>
      <c r="Q480" s="1"/>
      <c r="R480" s="1"/>
      <c r="S480" s="1"/>
      <c r="T480" s="1"/>
      <c r="U480" s="1"/>
      <c r="V480" s="1"/>
      <c r="W480" s="1"/>
      <c r="X480" s="1"/>
      <c r="Y480" s="1"/>
      <c r="Z480" s="1"/>
      <c r="AA480" s="1"/>
      <c r="AB480" s="1"/>
    </row>
    <row r="481" ht="50.25" customHeight="1">
      <c r="A481" s="12">
        <v>477.0</v>
      </c>
      <c r="B481" s="13" t="s">
        <v>476</v>
      </c>
      <c r="C481" s="14" t="s">
        <v>485</v>
      </c>
      <c r="D481" s="1"/>
      <c r="E481" s="15"/>
      <c r="F481" s="1" t="str">
        <f>IFERROR(__xludf.DUMMYFUNCTION("GOOGLETRANSLATE(B481, ""en"", ""fa"")
"),"ایجاد دوره")</f>
        <v>ایجاد دوره</v>
      </c>
      <c r="G481" s="1" t="str">
        <f>IFERROR(__xludf.DUMMYFUNCTION("GOOGLETRANSLATE(C481, ""en"", ""fa"")
"),"نکاتی را برای ایجاد مطالب درسی جذاب بصری، مانند ارائه اسلایدها یا جزوه ها، به اشتراک بگذارید تا تعامل یادگیرنده افزایش یابد.")</f>
        <v>نکاتی را برای ایجاد مطالب درسی جذاب بصری، مانند ارائه اسلایدها یا جزوه ها، به اشتراک بگذارید تا تعامل یادگیرنده افزایش یابد.</v>
      </c>
      <c r="H481" s="1"/>
      <c r="I481" s="1"/>
      <c r="J481" s="1"/>
      <c r="K481" s="1"/>
      <c r="L481" s="1"/>
      <c r="M481" s="1"/>
      <c r="N481" s="1"/>
      <c r="O481" s="1"/>
      <c r="P481" s="1"/>
      <c r="Q481" s="1"/>
      <c r="R481" s="1"/>
      <c r="S481" s="1"/>
      <c r="T481" s="1"/>
      <c r="U481" s="1"/>
      <c r="V481" s="1"/>
      <c r="W481" s="1"/>
      <c r="X481" s="1"/>
      <c r="Y481" s="1"/>
      <c r="Z481" s="1"/>
      <c r="AA481" s="1"/>
      <c r="AB481" s="1"/>
    </row>
    <row r="482" ht="50.25" customHeight="1">
      <c r="A482" s="12">
        <v>478.0</v>
      </c>
      <c r="B482" s="13" t="s">
        <v>476</v>
      </c>
      <c r="C482" s="14" t="s">
        <v>486</v>
      </c>
      <c r="D482" s="1"/>
      <c r="E482" s="15"/>
      <c r="F482" s="1" t="str">
        <f>IFERROR(__xludf.DUMMYFUNCTION("GOOGLETRANSLATE(B482, ""en"", ""fa"")
"),"ایجاد دوره")</f>
        <v>ایجاد دوره</v>
      </c>
      <c r="G482" s="1" t="str">
        <f>IFERROR(__xludf.DUMMYFUNCTION("GOOGLETRANSLATE(C482, ""en"", ""fa"")
"),"مفهوم گیمیفیکیشن در طراحی دوره و چگونگی افزایش انگیزه و مشارکت دانش آموزان را بررسی کنید.")</f>
        <v>مفهوم گیمیفیکیشن در طراحی دوره و چگونگی افزایش انگیزه و مشارکت دانش آموزان را بررسی کنید.</v>
      </c>
      <c r="H482" s="1"/>
      <c r="I482" s="1"/>
      <c r="J482" s="1"/>
      <c r="K482" s="1"/>
      <c r="L482" s="1"/>
      <c r="M482" s="1"/>
      <c r="N482" s="1"/>
      <c r="O482" s="1"/>
      <c r="P482" s="1"/>
      <c r="Q482" s="1"/>
      <c r="R482" s="1"/>
      <c r="S482" s="1"/>
      <c r="T482" s="1"/>
      <c r="U482" s="1"/>
      <c r="V482" s="1"/>
      <c r="W482" s="1"/>
      <c r="X482" s="1"/>
      <c r="Y482" s="1"/>
      <c r="Z482" s="1"/>
      <c r="AA482" s="1"/>
      <c r="AB482" s="1"/>
    </row>
    <row r="483" ht="50.25" customHeight="1">
      <c r="A483" s="12">
        <v>479.0</v>
      </c>
      <c r="B483" s="13" t="s">
        <v>476</v>
      </c>
      <c r="C483" s="14" t="s">
        <v>487</v>
      </c>
      <c r="D483" s="1"/>
      <c r="E483" s="15"/>
      <c r="F483" s="1" t="str">
        <f>IFERROR(__xludf.DUMMYFUNCTION("GOOGLETRANSLATE(B483, ""en"", ""fa"")
"),"ایجاد دوره")</f>
        <v>ایجاد دوره</v>
      </c>
      <c r="G483" s="1" t="str">
        <f>IFERROR(__xludf.DUMMYFUNCTION("GOOGLETRANSLATE(C483, ""en"", ""fa"")
"),"درباره نقش بازخورد و ارزیابی در ارائه بینش های ارزشمند برای بهبود دوره و یادگیری دانش آموزان بحث کنید.")</f>
        <v>درباره نقش بازخورد و ارزیابی در ارائه بینش های ارزشمند برای بهبود دوره و یادگیری دانش آموزان بحث کنید.</v>
      </c>
      <c r="H483" s="1"/>
      <c r="I483" s="1"/>
      <c r="J483" s="1"/>
      <c r="K483" s="1"/>
      <c r="L483" s="1"/>
      <c r="M483" s="1"/>
      <c r="N483" s="1"/>
      <c r="O483" s="1"/>
      <c r="P483" s="1"/>
      <c r="Q483" s="1"/>
      <c r="R483" s="1"/>
      <c r="S483" s="1"/>
      <c r="T483" s="1"/>
      <c r="U483" s="1"/>
      <c r="V483" s="1"/>
      <c r="W483" s="1"/>
      <c r="X483" s="1"/>
      <c r="Y483" s="1"/>
      <c r="Z483" s="1"/>
      <c r="AA483" s="1"/>
      <c r="AB483" s="1"/>
    </row>
    <row r="484" ht="50.25" customHeight="1">
      <c r="A484" s="12">
        <v>480.0</v>
      </c>
      <c r="B484" s="13" t="s">
        <v>476</v>
      </c>
      <c r="C484" s="14" t="s">
        <v>488</v>
      </c>
      <c r="D484" s="1"/>
      <c r="E484" s="15"/>
      <c r="F484" s="1" t="str">
        <f>IFERROR(__xludf.DUMMYFUNCTION("GOOGLETRANSLATE(B484, ""en"", ""fa"")
"),"ایجاد دوره")</f>
        <v>ایجاد دوره</v>
      </c>
      <c r="G484" s="1" t="str">
        <f>IFERROR(__xludf.DUMMYFUNCTION("GOOGLETRANSLATE(C484, ""en"", ""fa"")
"),"استراتژی‌هایی را برای ترکیب عناصر تعاملی، مانند شبیه‌سازی‌ها یا آزمایشگاه‌های مجازی، برای ارائه تجربیات یادگیری عملی به اشتراک بگذارید.")</f>
        <v>استراتژی‌هایی را برای ترکیب عناصر تعاملی، مانند شبیه‌سازی‌ها یا آزمایشگاه‌های مجازی، برای ارائه تجربیات یادگیری عملی به اشتراک بگذارید.</v>
      </c>
      <c r="H484" s="1"/>
      <c r="I484" s="1"/>
      <c r="J484" s="1"/>
      <c r="K484" s="1"/>
      <c r="L484" s="1"/>
      <c r="M484" s="1"/>
      <c r="N484" s="1"/>
      <c r="O484" s="1"/>
      <c r="P484" s="1"/>
      <c r="Q484" s="1"/>
      <c r="R484" s="1"/>
      <c r="S484" s="1"/>
      <c r="T484" s="1"/>
      <c r="U484" s="1"/>
      <c r="V484" s="1"/>
      <c r="W484" s="1"/>
      <c r="X484" s="1"/>
      <c r="Y484" s="1"/>
      <c r="Z484" s="1"/>
      <c r="AA484" s="1"/>
      <c r="AB484" s="1"/>
    </row>
    <row r="485" ht="50.25" customHeight="1">
      <c r="A485" s="12">
        <v>481.0</v>
      </c>
      <c r="B485" s="13" t="s">
        <v>476</v>
      </c>
      <c r="C485" s="14" t="s">
        <v>489</v>
      </c>
      <c r="D485" s="1"/>
      <c r="E485" s="15"/>
      <c r="F485" s="1" t="str">
        <f>IFERROR(__xludf.DUMMYFUNCTION("GOOGLETRANSLATE(B485, ""en"", ""fa"")
"),"ایجاد دوره")</f>
        <v>ایجاد دوره</v>
      </c>
      <c r="G485" s="1" t="str">
        <f>IFERROR(__xludf.DUMMYFUNCTION("GOOGLETRANSLATE(C485, ""en"", ""fa"")
"),"مزایای ترکیب مولفه های یادگیری اجتماعی، مانند پروژه های گروهی یا بررسی همتایان را برای تقویت همکاری و اشتراک دانش بررسی کنید.")</f>
        <v>مزایای ترکیب مولفه های یادگیری اجتماعی، مانند پروژه های گروهی یا بررسی همتایان را برای تقویت همکاری و اشتراک دانش بررسی کنید.</v>
      </c>
      <c r="H485" s="1"/>
      <c r="I485" s="1"/>
      <c r="J485" s="1"/>
      <c r="K485" s="1"/>
      <c r="L485" s="1"/>
      <c r="M485" s="1"/>
      <c r="N485" s="1"/>
      <c r="O485" s="1"/>
      <c r="P485" s="1"/>
      <c r="Q485" s="1"/>
      <c r="R485" s="1"/>
      <c r="S485" s="1"/>
      <c r="T485" s="1"/>
      <c r="U485" s="1"/>
      <c r="V485" s="1"/>
      <c r="W485" s="1"/>
      <c r="X485" s="1"/>
      <c r="Y485" s="1"/>
      <c r="Z485" s="1"/>
      <c r="AA485" s="1"/>
      <c r="AB485" s="1"/>
    </row>
    <row r="486" ht="50.25" customHeight="1">
      <c r="A486" s="12">
        <v>482.0</v>
      </c>
      <c r="B486" s="13" t="s">
        <v>476</v>
      </c>
      <c r="C486" s="14" t="s">
        <v>490</v>
      </c>
      <c r="D486" s="1"/>
      <c r="E486" s="15"/>
      <c r="F486" s="1" t="str">
        <f>IFERROR(__xludf.DUMMYFUNCTION("GOOGLETRANSLATE(B486, ""en"", ""fa"")
"),"ایجاد دوره")</f>
        <v>ایجاد دوره</v>
      </c>
      <c r="G486" s="1" t="str">
        <f>IFERROR(__xludf.DUMMYFUNCTION("GOOGLETRANSLATE(C486, ""en"", ""fa"")
"),"در مورد تأثیر استفاده از سیستم های مدیریت یادگیری (LMS) و پلت فرم های آنلاین برای ارائه دوره و مدیریت دانش آموز بحث کنید.")</f>
        <v>در مورد تأثیر استفاده از سیستم های مدیریت یادگیری (LMS) و پلت فرم های آنلاین برای ارائه دوره و مدیریت دانش آموز بحث کنید.</v>
      </c>
      <c r="H486" s="1"/>
      <c r="I486" s="1"/>
      <c r="J486" s="1"/>
      <c r="K486" s="1"/>
      <c r="L486" s="1"/>
      <c r="M486" s="1"/>
      <c r="N486" s="1"/>
      <c r="O486" s="1"/>
      <c r="P486" s="1"/>
      <c r="Q486" s="1"/>
      <c r="R486" s="1"/>
      <c r="S486" s="1"/>
      <c r="T486" s="1"/>
      <c r="U486" s="1"/>
      <c r="V486" s="1"/>
      <c r="W486" s="1"/>
      <c r="X486" s="1"/>
      <c r="Y486" s="1"/>
      <c r="Z486" s="1"/>
      <c r="AA486" s="1"/>
      <c r="AB486" s="1"/>
    </row>
    <row r="487" ht="50.25" customHeight="1">
      <c r="A487" s="12">
        <v>483.0</v>
      </c>
      <c r="B487" s="13" t="s">
        <v>476</v>
      </c>
      <c r="C487" s="14" t="s">
        <v>491</v>
      </c>
      <c r="D487" s="1"/>
      <c r="E487" s="15"/>
      <c r="F487" s="1" t="str">
        <f>IFERROR(__xludf.DUMMYFUNCTION("GOOGLETRANSLATE(B487, ""en"", ""fa"")
"),"ایجاد دوره")</f>
        <v>ایجاد دوره</v>
      </c>
      <c r="G487" s="1" t="str">
        <f>IFERROR(__xludf.DUMMYFUNCTION("GOOGLETRANSLATE(C487, ""en"", ""fa"")
"),"نکاتی را برای ایجاد ویدیوهای آموزشی واضح و مؤثر که محتوای دوره را درگیر می کند و به طور مؤثر ارتباط برقرار می کند، به اشتراک بگذارید.")</f>
        <v>نکاتی را برای ایجاد ویدیوهای آموزشی واضح و مؤثر که محتوای دوره را درگیر می کند و به طور مؤثر ارتباط برقرار می کند، به اشتراک بگذارید.</v>
      </c>
      <c r="H487" s="1"/>
      <c r="I487" s="1"/>
      <c r="J487" s="1"/>
      <c r="K487" s="1"/>
      <c r="L487" s="1"/>
      <c r="M487" s="1"/>
      <c r="N487" s="1"/>
      <c r="O487" s="1"/>
      <c r="P487" s="1"/>
      <c r="Q487" s="1"/>
      <c r="R487" s="1"/>
      <c r="S487" s="1"/>
      <c r="T487" s="1"/>
      <c r="U487" s="1"/>
      <c r="V487" s="1"/>
      <c r="W487" s="1"/>
      <c r="X487" s="1"/>
      <c r="Y487" s="1"/>
      <c r="Z487" s="1"/>
      <c r="AA487" s="1"/>
      <c r="AB487" s="1"/>
    </row>
    <row r="488" ht="50.25" customHeight="1">
      <c r="A488" s="12">
        <v>484.0</v>
      </c>
      <c r="B488" s="13" t="s">
        <v>476</v>
      </c>
      <c r="C488" s="14" t="s">
        <v>492</v>
      </c>
      <c r="D488" s="1"/>
      <c r="E488" s="15"/>
      <c r="F488" s="1" t="str">
        <f>IFERROR(__xludf.DUMMYFUNCTION("GOOGLETRANSLATE(B488, ""en"", ""fa"")
"),"ایجاد دوره")</f>
        <v>ایجاد دوره</v>
      </c>
      <c r="G488" s="1" t="str">
        <f>IFERROR(__xludf.DUMMYFUNCTION("GOOGLETRANSLATE(C488, ""en"", ""fa"")
"),"مفهوم ریز یادگیری و ایجاد ماژول‌ها یا درس‌هایی با اندازه کوچک برای حفظ و انعطاف‌پذیری بهتر یادگیرنده را بررسی کنید.")</f>
        <v>مفهوم ریز یادگیری و ایجاد ماژول‌ها یا درس‌هایی با اندازه کوچک برای حفظ و انعطاف‌پذیری بهتر یادگیرنده را بررسی کنید.</v>
      </c>
      <c r="H488" s="1"/>
      <c r="I488" s="1"/>
      <c r="J488" s="1"/>
      <c r="K488" s="1"/>
      <c r="L488" s="1"/>
      <c r="M488" s="1"/>
      <c r="N488" s="1"/>
      <c r="O488" s="1"/>
      <c r="P488" s="1"/>
      <c r="Q488" s="1"/>
      <c r="R488" s="1"/>
      <c r="S488" s="1"/>
      <c r="T488" s="1"/>
      <c r="U488" s="1"/>
      <c r="V488" s="1"/>
      <c r="W488" s="1"/>
      <c r="X488" s="1"/>
      <c r="Y488" s="1"/>
      <c r="Z488" s="1"/>
      <c r="AA488" s="1"/>
      <c r="AB488" s="1"/>
    </row>
    <row r="489" ht="50.25" customHeight="1">
      <c r="A489" s="12">
        <v>485.0</v>
      </c>
      <c r="B489" s="13" t="s">
        <v>476</v>
      </c>
      <c r="C489" s="14" t="s">
        <v>493</v>
      </c>
      <c r="D489" s="1"/>
      <c r="E489" s="15"/>
      <c r="F489" s="1" t="str">
        <f>IFERROR(__xludf.DUMMYFUNCTION("GOOGLETRANSLATE(B489, ""en"", ""fa"")
"),"ایجاد دوره")</f>
        <v>ایجاد دوره</v>
      </c>
      <c r="G489" s="1" t="str">
        <f>IFERROR(__xludf.DUMMYFUNCTION("GOOGLETRANSLATE(C489, ""en"", ""fa"")
"),"در مورد نقش پیش ارزیابی ها و آزمون های تشخیصی در شناسایی شکاف های دانش یادگیرنده و متناسب سازی محتوای دوره بحث کنید.")</f>
        <v>در مورد نقش پیش ارزیابی ها و آزمون های تشخیصی در شناسایی شکاف های دانش یادگیرنده و متناسب سازی محتوای دوره بحث کنید.</v>
      </c>
      <c r="H489" s="1"/>
      <c r="I489" s="1"/>
      <c r="J489" s="1"/>
      <c r="K489" s="1"/>
      <c r="L489" s="1"/>
      <c r="M489" s="1"/>
      <c r="N489" s="1"/>
      <c r="O489" s="1"/>
      <c r="P489" s="1"/>
      <c r="Q489" s="1"/>
      <c r="R489" s="1"/>
      <c r="S489" s="1"/>
      <c r="T489" s="1"/>
      <c r="U489" s="1"/>
      <c r="V489" s="1"/>
      <c r="W489" s="1"/>
      <c r="X489" s="1"/>
      <c r="Y489" s="1"/>
      <c r="Z489" s="1"/>
      <c r="AA489" s="1"/>
      <c r="AB489" s="1"/>
    </row>
    <row r="490" ht="50.25" customHeight="1">
      <c r="A490" s="12">
        <v>486.0</v>
      </c>
      <c r="B490" s="13" t="s">
        <v>476</v>
      </c>
      <c r="C490" s="14" t="s">
        <v>494</v>
      </c>
      <c r="D490" s="1"/>
      <c r="E490" s="15"/>
      <c r="F490" s="1" t="str">
        <f>IFERROR(__xludf.DUMMYFUNCTION("GOOGLETRANSLATE(B490, ""en"", ""fa"")
"),"ایجاد دوره")</f>
        <v>ایجاد دوره</v>
      </c>
      <c r="G490" s="1" t="str">
        <f>IFERROR(__xludf.DUMMYFUNCTION("GOOGLETRANSLATE(C490, ""en"", ""fa"")
"),"استراتژی های ارائه به روز رسانی های مداوم و محتوای تازه را به اشتراک بگذارید تا دوره خود را مرتبط و به روز نگه دارید.")</f>
        <v>استراتژی های ارائه به روز رسانی های مداوم و محتوای تازه را به اشتراک بگذارید تا دوره خود را مرتبط و به روز نگه دارید.</v>
      </c>
      <c r="H490" s="1"/>
      <c r="I490" s="1"/>
      <c r="J490" s="1"/>
      <c r="K490" s="1"/>
      <c r="L490" s="1"/>
      <c r="M490" s="1"/>
      <c r="N490" s="1"/>
      <c r="O490" s="1"/>
      <c r="P490" s="1"/>
      <c r="Q490" s="1"/>
      <c r="R490" s="1"/>
      <c r="S490" s="1"/>
      <c r="T490" s="1"/>
      <c r="U490" s="1"/>
      <c r="V490" s="1"/>
      <c r="W490" s="1"/>
      <c r="X490" s="1"/>
      <c r="Y490" s="1"/>
      <c r="Z490" s="1"/>
      <c r="AA490" s="1"/>
      <c r="AB490" s="1"/>
    </row>
    <row r="491" ht="50.25" customHeight="1">
      <c r="A491" s="12">
        <v>487.0</v>
      </c>
      <c r="B491" s="13" t="s">
        <v>476</v>
      </c>
      <c r="C491" s="14" t="s">
        <v>495</v>
      </c>
      <c r="D491" s="1"/>
      <c r="E491" s="15"/>
      <c r="F491" s="1" t="str">
        <f>IFERROR(__xludf.DUMMYFUNCTION("GOOGLETRANSLATE(B491, ""en"", ""fa"")
"),"ایجاد دوره")</f>
        <v>ایجاد دوره</v>
      </c>
      <c r="G491" s="1" t="str">
        <f>IFERROR(__xludf.DUMMYFUNCTION("GOOGLETRANSLATE(C491, ""en"", ""fa"")
"),"مزایای ترکیب آزمون‌ها، تکالیف و پروژه‌های عملی را برای تقویت یادگیری و ایجاد فرصت‌هایی برای کاربرد مهارت‌ها بررسی کنید.")</f>
        <v>مزایای ترکیب آزمون‌ها، تکالیف و پروژه‌های عملی را برای تقویت یادگیری و ایجاد فرصت‌هایی برای کاربرد مهارت‌ها بررسی کنید.</v>
      </c>
      <c r="H491" s="1"/>
      <c r="I491" s="1"/>
      <c r="J491" s="1"/>
      <c r="K491" s="1"/>
      <c r="L491" s="1"/>
      <c r="M491" s="1"/>
      <c r="N491" s="1"/>
      <c r="O491" s="1"/>
      <c r="P491" s="1"/>
      <c r="Q491" s="1"/>
      <c r="R491" s="1"/>
      <c r="S491" s="1"/>
      <c r="T491" s="1"/>
      <c r="U491" s="1"/>
      <c r="V491" s="1"/>
      <c r="W491" s="1"/>
      <c r="X491" s="1"/>
      <c r="Y491" s="1"/>
      <c r="Z491" s="1"/>
      <c r="AA491" s="1"/>
      <c r="AB491" s="1"/>
    </row>
    <row r="492" ht="50.25" customHeight="1">
      <c r="A492" s="12">
        <v>488.0</v>
      </c>
      <c r="B492" s="13" t="s">
        <v>476</v>
      </c>
      <c r="C492" s="14" t="s">
        <v>496</v>
      </c>
      <c r="D492" s="1"/>
      <c r="E492" s="15"/>
      <c r="F492" s="1" t="str">
        <f>IFERROR(__xludf.DUMMYFUNCTION("GOOGLETRANSLATE(B492, ""en"", ""fa"")
"),"ایجاد دوره")</f>
        <v>ایجاد دوره</v>
      </c>
      <c r="G492" s="1" t="str">
        <f>IFERROR(__xludf.DUMMYFUNCTION("GOOGLETRANSLATE(C492, ""en"", ""fa"")
"),"در مورد تأثیر استفاده از ابزارها و نرم افزارهای چند رسانه ای، مانند ضبط صفحه یا ارائه های تعاملی، در ایجاد دوره بحث کنید.")</f>
        <v>در مورد تأثیر استفاده از ابزارها و نرم افزارهای چند رسانه ای، مانند ضبط صفحه یا ارائه های تعاملی، در ایجاد دوره بحث کنید.</v>
      </c>
      <c r="H492" s="1"/>
      <c r="I492" s="1"/>
      <c r="J492" s="1"/>
      <c r="K492" s="1"/>
      <c r="L492" s="1"/>
      <c r="M492" s="1"/>
      <c r="N492" s="1"/>
      <c r="O492" s="1"/>
      <c r="P492" s="1"/>
      <c r="Q492" s="1"/>
      <c r="R492" s="1"/>
      <c r="S492" s="1"/>
      <c r="T492" s="1"/>
      <c r="U492" s="1"/>
      <c r="V492" s="1"/>
      <c r="W492" s="1"/>
      <c r="X492" s="1"/>
      <c r="Y492" s="1"/>
      <c r="Z492" s="1"/>
      <c r="AA492" s="1"/>
      <c r="AB492" s="1"/>
    </row>
    <row r="493" ht="50.25" customHeight="1">
      <c r="A493" s="12">
        <v>489.0</v>
      </c>
      <c r="B493" s="13" t="s">
        <v>476</v>
      </c>
      <c r="C493" s="14" t="s">
        <v>497</v>
      </c>
      <c r="D493" s="1"/>
      <c r="E493" s="15"/>
      <c r="F493" s="1" t="str">
        <f>IFERROR(__xludf.DUMMYFUNCTION("GOOGLETRANSLATE(B493, ""en"", ""fa"")
"),"ایجاد دوره")</f>
        <v>ایجاد دوره</v>
      </c>
      <c r="G493" s="1" t="str">
        <f>IFERROR(__xludf.DUMMYFUNCTION("GOOGLETRANSLATE(C493, ""en"", ""fa"")
"),"نکاتی را برای ایجاد بحث‌ها و فعالیت‌های جذاب و تعاملی که تعامل یادگیرنده و تبادل دانش را تقویت می‌کند، به اشتراک بگذارید.")</f>
        <v>نکاتی را برای ایجاد بحث‌ها و فعالیت‌های جذاب و تعاملی که تعامل یادگیرنده و تبادل دانش را تقویت می‌کند، به اشتراک بگذارید.</v>
      </c>
      <c r="H493" s="1"/>
      <c r="I493" s="1"/>
      <c r="J493" s="1"/>
      <c r="K493" s="1"/>
      <c r="L493" s="1"/>
      <c r="M493" s="1"/>
      <c r="N493" s="1"/>
      <c r="O493" s="1"/>
      <c r="P493" s="1"/>
      <c r="Q493" s="1"/>
      <c r="R493" s="1"/>
      <c r="S493" s="1"/>
      <c r="T493" s="1"/>
      <c r="U493" s="1"/>
      <c r="V493" s="1"/>
      <c r="W493" s="1"/>
      <c r="X493" s="1"/>
      <c r="Y493" s="1"/>
      <c r="Z493" s="1"/>
      <c r="AA493" s="1"/>
      <c r="AB493" s="1"/>
    </row>
    <row r="494" ht="50.25" customHeight="1">
      <c r="A494" s="12">
        <v>490.0</v>
      </c>
      <c r="B494" s="13" t="s">
        <v>476</v>
      </c>
      <c r="C494" s="14" t="s">
        <v>498</v>
      </c>
      <c r="D494" s="1"/>
      <c r="E494" s="15"/>
      <c r="F494" s="1" t="str">
        <f>IFERROR(__xludf.DUMMYFUNCTION("GOOGLETRANSLATE(B494, ""en"", ""fa"")
"),"ایجاد دوره")</f>
        <v>ایجاد دوره</v>
      </c>
      <c r="G494" s="1" t="str">
        <f>IFERROR(__xludf.DUMMYFUNCTION("GOOGLETRANSLATE(C494, ""en"", ""fa"")
"),"کاوش در مفهوم داربست در طراحی دوره و ارائه پشتیبانی و منابع در مراحل مختلف فرآیند یادگیری.")</f>
        <v>کاوش در مفهوم داربست در طراحی دوره و ارائه پشتیبانی و منابع در مراحل مختلف فرآیند یادگیری.</v>
      </c>
      <c r="H494" s="1"/>
      <c r="I494" s="1"/>
      <c r="J494" s="1"/>
      <c r="K494" s="1"/>
      <c r="L494" s="1"/>
      <c r="M494" s="1"/>
      <c r="N494" s="1"/>
      <c r="O494" s="1"/>
      <c r="P494" s="1"/>
      <c r="Q494" s="1"/>
      <c r="R494" s="1"/>
      <c r="S494" s="1"/>
      <c r="T494" s="1"/>
      <c r="U494" s="1"/>
      <c r="V494" s="1"/>
      <c r="W494" s="1"/>
      <c r="X494" s="1"/>
      <c r="Y494" s="1"/>
      <c r="Z494" s="1"/>
      <c r="AA494" s="1"/>
      <c r="AB494" s="1"/>
    </row>
    <row r="495" ht="50.25" customHeight="1">
      <c r="A495" s="12">
        <v>491.0</v>
      </c>
      <c r="B495" s="13" t="s">
        <v>476</v>
      </c>
      <c r="C495" s="14" t="s">
        <v>499</v>
      </c>
      <c r="D495" s="1"/>
      <c r="E495" s="15"/>
      <c r="F495" s="1" t="str">
        <f>IFERROR(__xludf.DUMMYFUNCTION("GOOGLETRANSLATE(B495, ""en"", ""fa"")
"),"ایجاد دوره")</f>
        <v>ایجاد دوره</v>
      </c>
      <c r="G495" s="1" t="str">
        <f>IFERROR(__xludf.DUMMYFUNCTION("GOOGLETRANSLATE(C495, ""en"", ""fa"")
"),"در مورد نقش داستان سرایی و عناصر روایی در محتوای درسی بحث کنید تا زبان آموزان را مجذوب خود کند و مطالب را به یاد ماندنی تر کند.")</f>
        <v>در مورد نقش داستان سرایی و عناصر روایی در محتوای درسی بحث کنید تا زبان آموزان را مجذوب خود کند و مطالب را به یاد ماندنی تر کند.</v>
      </c>
      <c r="H495" s="1"/>
      <c r="I495" s="1"/>
      <c r="J495" s="1"/>
      <c r="K495" s="1"/>
      <c r="L495" s="1"/>
      <c r="M495" s="1"/>
      <c r="N495" s="1"/>
      <c r="O495" s="1"/>
      <c r="P495" s="1"/>
      <c r="Q495" s="1"/>
      <c r="R495" s="1"/>
      <c r="S495" s="1"/>
      <c r="T495" s="1"/>
      <c r="U495" s="1"/>
      <c r="V495" s="1"/>
      <c r="W495" s="1"/>
      <c r="X495" s="1"/>
      <c r="Y495" s="1"/>
      <c r="Z495" s="1"/>
      <c r="AA495" s="1"/>
      <c r="AB495" s="1"/>
    </row>
    <row r="496" ht="50.25" customHeight="1">
      <c r="A496" s="12">
        <v>492.0</v>
      </c>
      <c r="B496" s="13" t="s">
        <v>476</v>
      </c>
      <c r="C496" s="14" t="s">
        <v>500</v>
      </c>
      <c r="D496" s="1"/>
      <c r="E496" s="15"/>
      <c r="F496" s="1" t="str">
        <f>IFERROR(__xludf.DUMMYFUNCTION("GOOGLETRANSLATE(B496, ""en"", ""fa"")
"),"ایجاد دوره")</f>
        <v>ایجاد دوره</v>
      </c>
      <c r="G496" s="1" t="str">
        <f>IFERROR(__xludf.DUMMYFUNCTION("GOOGLETRANSLATE(C496, ""en"", ""fa"")
"),"استراتژی هایی را برای ارائه دستورالعمل ها و راهنمایی های واضح برای فعالیت ها و تکالیف دوره به اشتراک بگذارید.")</f>
        <v>استراتژی هایی را برای ارائه دستورالعمل ها و راهنمایی های واضح برای فعالیت ها و تکالیف دوره به اشتراک بگذارید.</v>
      </c>
      <c r="H496" s="1"/>
      <c r="I496" s="1"/>
      <c r="J496" s="1"/>
      <c r="K496" s="1"/>
      <c r="L496" s="1"/>
      <c r="M496" s="1"/>
      <c r="N496" s="1"/>
      <c r="O496" s="1"/>
      <c r="P496" s="1"/>
      <c r="Q496" s="1"/>
      <c r="R496" s="1"/>
      <c r="S496" s="1"/>
      <c r="T496" s="1"/>
      <c r="U496" s="1"/>
      <c r="V496" s="1"/>
      <c r="W496" s="1"/>
      <c r="X496" s="1"/>
      <c r="Y496" s="1"/>
      <c r="Z496" s="1"/>
      <c r="AA496" s="1"/>
      <c r="AB496" s="1"/>
    </row>
    <row r="497" ht="50.25" customHeight="1">
      <c r="A497" s="12">
        <v>493.0</v>
      </c>
      <c r="B497" s="13" t="s">
        <v>476</v>
      </c>
      <c r="C497" s="14" t="s">
        <v>501</v>
      </c>
      <c r="D497" s="1"/>
      <c r="E497" s="15"/>
      <c r="F497" s="1" t="str">
        <f>IFERROR(__xludf.DUMMYFUNCTION("GOOGLETRANSLATE(B497, ""en"", ""fa"")
"),"ایجاد دوره")</f>
        <v>ایجاد دوره</v>
      </c>
      <c r="G497" s="1" t="str">
        <f>IFERROR(__xludf.DUMMYFUNCTION("GOOGLETRANSLATE(C497, ""en"", ""fa"")
"),"مزایای ترکیب گزینه های یادگیری خودگام و ساختارهای دوره انعطاف پذیر را برای تطبیق با سبک ها و برنامه های مختلف یادگیری کاوش کنید.")</f>
        <v>مزایای ترکیب گزینه های یادگیری خودگام و ساختارهای دوره انعطاف پذیر را برای تطبیق با سبک ها و برنامه های مختلف یادگیری کاوش کنید.</v>
      </c>
      <c r="H497" s="1"/>
      <c r="I497" s="1"/>
      <c r="J497" s="1"/>
      <c r="K497" s="1"/>
      <c r="L497" s="1"/>
      <c r="M497" s="1"/>
      <c r="N497" s="1"/>
      <c r="O497" s="1"/>
      <c r="P497" s="1"/>
      <c r="Q497" s="1"/>
      <c r="R497" s="1"/>
      <c r="S497" s="1"/>
      <c r="T497" s="1"/>
      <c r="U497" s="1"/>
      <c r="V497" s="1"/>
      <c r="W497" s="1"/>
      <c r="X497" s="1"/>
      <c r="Y497" s="1"/>
      <c r="Z497" s="1"/>
      <c r="AA497" s="1"/>
      <c r="AB497" s="1"/>
    </row>
    <row r="498" ht="50.25" customHeight="1">
      <c r="A498" s="12">
        <v>494.0</v>
      </c>
      <c r="B498" s="13" t="s">
        <v>476</v>
      </c>
      <c r="C498" s="14" t="s">
        <v>502</v>
      </c>
      <c r="D498" s="1"/>
      <c r="E498" s="15"/>
      <c r="F498" s="1" t="str">
        <f>IFERROR(__xludf.DUMMYFUNCTION("GOOGLETRANSLATE(B498, ""en"", ""fa"")
"),"ایجاد دوره")</f>
        <v>ایجاد دوره</v>
      </c>
      <c r="G498" s="1" t="str">
        <f>IFERROR(__xludf.DUMMYFUNCTION("GOOGLETRANSLATE(C498, ""en"", ""fa"")
"),"در مورد تأثیر ترکیب ارزشیابی های تکوینی و جمعی در ارزیابی پیشرفت دانش آموز و اثربخشی درس بحث کنید.")</f>
        <v>در مورد تأثیر ترکیب ارزشیابی های تکوینی و جمعی در ارزیابی پیشرفت دانش آموز و اثربخشی درس بحث کنید.</v>
      </c>
      <c r="H498" s="1"/>
      <c r="I498" s="1"/>
      <c r="J498" s="1"/>
      <c r="K498" s="1"/>
      <c r="L498" s="1"/>
      <c r="M498" s="1"/>
      <c r="N498" s="1"/>
      <c r="O498" s="1"/>
      <c r="P498" s="1"/>
      <c r="Q498" s="1"/>
      <c r="R498" s="1"/>
      <c r="S498" s="1"/>
      <c r="T498" s="1"/>
      <c r="U498" s="1"/>
      <c r="V498" s="1"/>
      <c r="W498" s="1"/>
      <c r="X498" s="1"/>
      <c r="Y498" s="1"/>
      <c r="Z498" s="1"/>
      <c r="AA498" s="1"/>
      <c r="AB498" s="1"/>
    </row>
    <row r="499" ht="50.25" customHeight="1">
      <c r="A499" s="12">
        <v>495.0</v>
      </c>
      <c r="B499" s="13" t="s">
        <v>476</v>
      </c>
      <c r="C499" s="14" t="s">
        <v>503</v>
      </c>
      <c r="D499" s="1"/>
      <c r="E499" s="15"/>
      <c r="F499" s="1" t="str">
        <f>IFERROR(__xludf.DUMMYFUNCTION("GOOGLETRANSLATE(B499, ""en"", ""fa"")
"),"ایجاد دوره")</f>
        <v>ایجاد دوره</v>
      </c>
      <c r="G499" s="1" t="str">
        <f>IFERROR(__xludf.DUMMYFUNCTION("GOOGLETRANSLATE(C499, ""en"", ""fa"")
"),"نکاتی را برای ایجاد مواد درسی در دسترس به اشتراک بگذارید تا از فراگیر بودن اطمینان حاصل شود و یادگیرندگان با توانایی های مختلف را در خود جای دهد.")</f>
        <v>نکاتی را برای ایجاد مواد درسی در دسترس به اشتراک بگذارید تا از فراگیر بودن اطمینان حاصل شود و یادگیرندگان با توانایی های مختلف را در خود جای دهد.</v>
      </c>
      <c r="H499" s="1"/>
      <c r="I499" s="1"/>
      <c r="J499" s="1"/>
      <c r="K499" s="1"/>
      <c r="L499" s="1"/>
      <c r="M499" s="1"/>
      <c r="N499" s="1"/>
      <c r="O499" s="1"/>
      <c r="P499" s="1"/>
      <c r="Q499" s="1"/>
      <c r="R499" s="1"/>
      <c r="S499" s="1"/>
      <c r="T499" s="1"/>
      <c r="U499" s="1"/>
      <c r="V499" s="1"/>
      <c r="W499" s="1"/>
      <c r="X499" s="1"/>
      <c r="Y499" s="1"/>
      <c r="Z499" s="1"/>
      <c r="AA499" s="1"/>
      <c r="AB499" s="1"/>
    </row>
    <row r="500" ht="50.25" customHeight="1">
      <c r="A500" s="12">
        <v>496.0</v>
      </c>
      <c r="B500" s="13" t="s">
        <v>476</v>
      </c>
      <c r="C500" s="14" t="s">
        <v>504</v>
      </c>
      <c r="D500" s="1"/>
      <c r="E500" s="15"/>
      <c r="F500" s="1" t="str">
        <f>IFERROR(__xludf.DUMMYFUNCTION("GOOGLETRANSLATE(B500, ""en"", ""fa"")
"),"ایجاد دوره")</f>
        <v>ایجاد دوره</v>
      </c>
      <c r="G500" s="1" t="str">
        <f>IFERROR(__xludf.DUMMYFUNCTION("GOOGLETRANSLATE(C500, ""en"", ""fa"")
"),"مفهوم برندسازی دوره و ایجاد یک هویت بصری منسجم که هدف و ارزش دوره شما را منعکس می‌کند را بررسی کنید.")</f>
        <v>مفهوم برندسازی دوره و ایجاد یک هویت بصری منسجم که هدف و ارزش دوره شما را منعکس می‌کند را بررسی کنید.</v>
      </c>
      <c r="H500" s="1"/>
      <c r="I500" s="1"/>
      <c r="J500" s="1"/>
      <c r="K500" s="1"/>
      <c r="L500" s="1"/>
      <c r="M500" s="1"/>
      <c r="N500" s="1"/>
      <c r="O500" s="1"/>
      <c r="P500" s="1"/>
      <c r="Q500" s="1"/>
      <c r="R500" s="1"/>
      <c r="S500" s="1"/>
      <c r="T500" s="1"/>
      <c r="U500" s="1"/>
      <c r="V500" s="1"/>
      <c r="W500" s="1"/>
      <c r="X500" s="1"/>
      <c r="Y500" s="1"/>
      <c r="Z500" s="1"/>
      <c r="AA500" s="1"/>
      <c r="AB500" s="1"/>
    </row>
    <row r="501" ht="50.25" customHeight="1">
      <c r="A501" s="12">
        <v>497.0</v>
      </c>
      <c r="B501" s="13" t="s">
        <v>476</v>
      </c>
      <c r="C501" s="14" t="s">
        <v>505</v>
      </c>
      <c r="D501" s="1"/>
      <c r="E501" s="15"/>
      <c r="F501" s="1" t="str">
        <f>IFERROR(__xludf.DUMMYFUNCTION("GOOGLETRANSLATE(B501, ""en"", ""fa"")
"),"ایجاد دوره")</f>
        <v>ایجاد دوره</v>
      </c>
      <c r="G501" s="1" t="str">
        <f>IFERROR(__xludf.DUMMYFUNCTION("GOOGLETRANSLATE(C501, ""en"", ""fa"")
"),"درباره نقش بازخورد و ارزشیابی یادگیرنده در بهبود مکرر محتوای و ارائه دوره خود بحث کنید.")</f>
        <v>درباره نقش بازخورد و ارزشیابی یادگیرنده در بهبود مکرر محتوای و ارائه دوره خود بحث کنید.</v>
      </c>
      <c r="H501" s="1"/>
      <c r="I501" s="1"/>
      <c r="J501" s="1"/>
      <c r="K501" s="1"/>
      <c r="L501" s="1"/>
      <c r="M501" s="1"/>
      <c r="N501" s="1"/>
      <c r="O501" s="1"/>
      <c r="P501" s="1"/>
      <c r="Q501" s="1"/>
      <c r="R501" s="1"/>
      <c r="S501" s="1"/>
      <c r="T501" s="1"/>
      <c r="U501" s="1"/>
      <c r="V501" s="1"/>
      <c r="W501" s="1"/>
      <c r="X501" s="1"/>
      <c r="Y501" s="1"/>
      <c r="Z501" s="1"/>
      <c r="AA501" s="1"/>
      <c r="AB501" s="1"/>
    </row>
    <row r="502" ht="50.25" customHeight="1">
      <c r="A502" s="12">
        <v>498.0</v>
      </c>
      <c r="B502" s="13" t="s">
        <v>476</v>
      </c>
      <c r="C502" s="14" t="s">
        <v>506</v>
      </c>
      <c r="D502" s="1"/>
      <c r="E502" s="15"/>
      <c r="F502" s="1" t="str">
        <f>IFERROR(__xludf.DUMMYFUNCTION("GOOGLETRANSLATE(B502, ""en"", ""fa"")
"),"ایجاد دوره")</f>
        <v>ایجاد دوره</v>
      </c>
      <c r="G502" s="1" t="str">
        <f>IFERROR(__xludf.DUMMYFUNCTION("GOOGLETRANSLATE(C502, ""en"", ""fa"")
"),"استراتژی های بازاریابی و ترویج دوره آنلاین خود را برای جذب و ثبت نام فراگیران به اشتراک بگذارید.")</f>
        <v>استراتژی های بازاریابی و ترویج دوره آنلاین خود را برای جذب و ثبت نام فراگیران به اشتراک بگذارید.</v>
      </c>
      <c r="H502" s="1"/>
      <c r="I502" s="1"/>
      <c r="J502" s="1"/>
      <c r="K502" s="1"/>
      <c r="L502" s="1"/>
      <c r="M502" s="1"/>
      <c r="N502" s="1"/>
      <c r="O502" s="1"/>
      <c r="P502" s="1"/>
      <c r="Q502" s="1"/>
      <c r="R502" s="1"/>
      <c r="S502" s="1"/>
      <c r="T502" s="1"/>
      <c r="U502" s="1"/>
      <c r="V502" s="1"/>
      <c r="W502" s="1"/>
      <c r="X502" s="1"/>
      <c r="Y502" s="1"/>
      <c r="Z502" s="1"/>
      <c r="AA502" s="1"/>
      <c r="AB502" s="1"/>
    </row>
    <row r="503" ht="50.25" customHeight="1">
      <c r="A503" s="12">
        <v>499.0</v>
      </c>
      <c r="B503" s="13" t="s">
        <v>476</v>
      </c>
      <c r="C503" s="14" t="s">
        <v>507</v>
      </c>
      <c r="D503" s="1"/>
      <c r="E503" s="15"/>
      <c r="F503" s="1" t="str">
        <f>IFERROR(__xludf.DUMMYFUNCTION("GOOGLETRANSLATE(B503, ""en"", ""fa"")
"),"ایجاد دوره")</f>
        <v>ایجاد دوره</v>
      </c>
      <c r="G503" s="1" t="str">
        <f>IFERROR(__xludf.DUMMYFUNCTION("GOOGLETRANSLATE(C503, ""en"", ""fa"")
"),"قبل از توسعه یک دوره جدید، اهمیت انجام یک تحقیق بازار کامل را بررسی کنید.")</f>
        <v>قبل از توسعه یک دوره جدید، اهمیت انجام یک تحقیق بازار کامل را بررسی کنید.</v>
      </c>
      <c r="H503" s="1"/>
      <c r="I503" s="1"/>
      <c r="J503" s="1"/>
      <c r="K503" s="1"/>
      <c r="L503" s="1"/>
      <c r="M503" s="1"/>
      <c r="N503" s="1"/>
      <c r="O503" s="1"/>
      <c r="P503" s="1"/>
      <c r="Q503" s="1"/>
      <c r="R503" s="1"/>
      <c r="S503" s="1"/>
      <c r="T503" s="1"/>
      <c r="U503" s="1"/>
      <c r="V503" s="1"/>
      <c r="W503" s="1"/>
      <c r="X503" s="1"/>
      <c r="Y503" s="1"/>
      <c r="Z503" s="1"/>
      <c r="AA503" s="1"/>
      <c r="AB503" s="1"/>
    </row>
    <row r="504" ht="50.25" customHeight="1">
      <c r="A504" s="12">
        <v>500.0</v>
      </c>
      <c r="B504" s="13" t="s">
        <v>476</v>
      </c>
      <c r="C504" s="14" t="s">
        <v>508</v>
      </c>
      <c r="D504" s="1"/>
      <c r="E504" s="15"/>
      <c r="F504" s="1" t="str">
        <f>IFERROR(__xludf.DUMMYFUNCTION("GOOGLETRANSLATE(B504, ""en"", ""fa"")
"),"ایجاد دوره")</f>
        <v>ایجاد دوره</v>
      </c>
      <c r="G504" s="1" t="str">
        <f>IFERROR(__xludf.DUMMYFUNCTION("GOOGLETRANSLATE(C504, ""en"", ""fa"")
"),"در مورد مزایای ترسیم نتایج و اهداف یادگیری واضح برای دوره خود بحث کنید.")</f>
        <v>در مورد مزایای ترسیم نتایج و اهداف یادگیری واضح برای دوره خود بحث کنید.</v>
      </c>
      <c r="H504" s="1"/>
      <c r="I504" s="1"/>
      <c r="J504" s="1"/>
      <c r="K504" s="1"/>
      <c r="L504" s="1"/>
      <c r="M504" s="1"/>
      <c r="N504" s="1"/>
      <c r="O504" s="1"/>
      <c r="P504" s="1"/>
      <c r="Q504" s="1"/>
      <c r="R504" s="1"/>
      <c r="S504" s="1"/>
      <c r="T504" s="1"/>
      <c r="U504" s="1"/>
      <c r="V504" s="1"/>
      <c r="W504" s="1"/>
      <c r="X504" s="1"/>
      <c r="Y504" s="1"/>
      <c r="Z504" s="1"/>
      <c r="AA504" s="1"/>
      <c r="AB504" s="1"/>
    </row>
    <row r="505" ht="50.25" customHeight="1">
      <c r="A505" s="12">
        <v>501.0</v>
      </c>
      <c r="B505" s="13" t="s">
        <v>476</v>
      </c>
      <c r="C505" s="14" t="s">
        <v>509</v>
      </c>
      <c r="D505" s="1"/>
      <c r="E505" s="15"/>
      <c r="F505" s="1" t="str">
        <f>IFERROR(__xludf.DUMMYFUNCTION("GOOGLETRANSLATE(B505, ""en"", ""fa"")
"),"ایجاد دوره")</f>
        <v>ایجاد دوره</v>
      </c>
      <c r="G505" s="1" t="str">
        <f>IFERROR(__xludf.DUMMYFUNCTION("GOOGLETRANSLATE(C505, ""en"", ""fa"")
"),"نکاتی را برای انتخاب و سازماندهی محتوای دوره به اشتراک بگذارید تا از جریان منطقی و انتقال موثر دانش اطمینان حاصل کنید.")</f>
        <v>نکاتی را برای انتخاب و سازماندهی محتوای دوره به اشتراک بگذارید تا از جریان منطقی و انتقال موثر دانش اطمینان حاصل کنید.</v>
      </c>
      <c r="H505" s="1"/>
      <c r="I505" s="1"/>
      <c r="J505" s="1"/>
      <c r="K505" s="1"/>
      <c r="L505" s="1"/>
      <c r="M505" s="1"/>
      <c r="N505" s="1"/>
      <c r="O505" s="1"/>
      <c r="P505" s="1"/>
      <c r="Q505" s="1"/>
      <c r="R505" s="1"/>
      <c r="S505" s="1"/>
      <c r="T505" s="1"/>
      <c r="U505" s="1"/>
      <c r="V505" s="1"/>
      <c r="W505" s="1"/>
      <c r="X505" s="1"/>
      <c r="Y505" s="1"/>
      <c r="Z505" s="1"/>
      <c r="AA505" s="1"/>
      <c r="AB505" s="1"/>
    </row>
    <row r="506" ht="50.25" customHeight="1">
      <c r="A506" s="12">
        <v>502.0</v>
      </c>
      <c r="B506" s="13" t="s">
        <v>476</v>
      </c>
      <c r="C506" s="14" t="s">
        <v>510</v>
      </c>
      <c r="D506" s="1"/>
      <c r="E506" s="15"/>
      <c r="F506" s="1" t="str">
        <f>IFERROR(__xludf.DUMMYFUNCTION("GOOGLETRANSLATE(B506, ""en"", ""fa"")
"),"ایجاد دوره")</f>
        <v>ایجاد دوره</v>
      </c>
      <c r="G506" s="1" t="str">
        <f>IFERROR(__xludf.DUMMYFUNCTION("GOOGLETRANSLATE(C506, ""en"", ""fa"")
"),"مفهوم ترکیب عناصر چندرسانه‌ای، مانند سخنرانی‌های صوتی یا ارائه‌های تعاملی، را برای افزایش تعامل دوره بررسی کنید.")</f>
        <v>مفهوم ترکیب عناصر چندرسانه‌ای، مانند سخنرانی‌های صوتی یا ارائه‌های تعاملی، را برای افزایش تعامل دوره بررسی کنید.</v>
      </c>
      <c r="H506" s="1"/>
      <c r="I506" s="1"/>
      <c r="J506" s="1"/>
      <c r="K506" s="1"/>
      <c r="L506" s="1"/>
      <c r="M506" s="1"/>
      <c r="N506" s="1"/>
      <c r="O506" s="1"/>
      <c r="P506" s="1"/>
      <c r="Q506" s="1"/>
      <c r="R506" s="1"/>
      <c r="S506" s="1"/>
      <c r="T506" s="1"/>
      <c r="U506" s="1"/>
      <c r="V506" s="1"/>
      <c r="W506" s="1"/>
      <c r="X506" s="1"/>
      <c r="Y506" s="1"/>
      <c r="Z506" s="1"/>
      <c r="AA506" s="1"/>
      <c r="AB506" s="1"/>
    </row>
    <row r="507" ht="50.25" customHeight="1">
      <c r="A507" s="12">
        <v>503.0</v>
      </c>
      <c r="B507" s="13" t="s">
        <v>476</v>
      </c>
      <c r="C507" s="14" t="s">
        <v>511</v>
      </c>
      <c r="D507" s="1"/>
      <c r="E507" s="15"/>
      <c r="F507" s="1" t="str">
        <f>IFERROR(__xludf.DUMMYFUNCTION("GOOGLETRANSLATE(B507, ""en"", ""fa"")
"),"ایجاد دوره")</f>
        <v>ایجاد دوره</v>
      </c>
      <c r="G507" s="1" t="str">
        <f>IFERROR(__xludf.DUMMYFUNCTION("GOOGLETRANSLATE(C507, ""en"", ""fa"")
"),"درباره نقش ترکیب تمرین‌ها و تکالیف عملی برای ترویج یادگیری فعال و کاربرد مهارت بحث کنید.")</f>
        <v>درباره نقش ترکیب تمرین‌ها و تکالیف عملی برای ترویج یادگیری فعال و کاربرد مهارت بحث کنید.</v>
      </c>
      <c r="H507" s="1"/>
      <c r="I507" s="1"/>
      <c r="J507" s="1"/>
      <c r="K507" s="1"/>
      <c r="L507" s="1"/>
      <c r="M507" s="1"/>
      <c r="N507" s="1"/>
      <c r="O507" s="1"/>
      <c r="P507" s="1"/>
      <c r="Q507" s="1"/>
      <c r="R507" s="1"/>
      <c r="S507" s="1"/>
      <c r="T507" s="1"/>
      <c r="U507" s="1"/>
      <c r="V507" s="1"/>
      <c r="W507" s="1"/>
      <c r="X507" s="1"/>
      <c r="Y507" s="1"/>
      <c r="Z507" s="1"/>
      <c r="AA507" s="1"/>
      <c r="AB507" s="1"/>
    </row>
    <row r="508" ht="50.25" customHeight="1">
      <c r="A508" s="12">
        <v>504.0</v>
      </c>
      <c r="B508" s="13" t="s">
        <v>476</v>
      </c>
      <c r="C508" s="14" t="s">
        <v>512</v>
      </c>
      <c r="D508" s="1"/>
      <c r="E508" s="15"/>
      <c r="F508" s="1" t="str">
        <f>IFERROR(__xludf.DUMMYFUNCTION("GOOGLETRANSLATE(B508, ""en"", ""fa"")
"),"ایجاد دوره")</f>
        <v>ایجاد دوره</v>
      </c>
      <c r="G508" s="1" t="str">
        <f>IFERROR(__xludf.DUMMYFUNCTION("GOOGLETRANSLATE(C508, ""en"", ""fa"")
"),"استراتژی هایی را برای ایجاد ارزیابی ها و آزمون هایی که به طور موثر درک و پیشرفت دانش آموزان را اندازه گیری می کند، به اشتراک بگذارید.")</f>
        <v>استراتژی هایی را برای ایجاد ارزیابی ها و آزمون هایی که به طور موثر درک و پیشرفت دانش آموزان را اندازه گیری می کند، به اشتراک بگذارید.</v>
      </c>
      <c r="H508" s="1"/>
      <c r="I508" s="1"/>
      <c r="J508" s="1"/>
      <c r="K508" s="1"/>
      <c r="L508" s="1"/>
      <c r="M508" s="1"/>
      <c r="N508" s="1"/>
      <c r="O508" s="1"/>
      <c r="P508" s="1"/>
      <c r="Q508" s="1"/>
      <c r="R508" s="1"/>
      <c r="S508" s="1"/>
      <c r="T508" s="1"/>
      <c r="U508" s="1"/>
      <c r="V508" s="1"/>
      <c r="W508" s="1"/>
      <c r="X508" s="1"/>
      <c r="Y508" s="1"/>
      <c r="Z508" s="1"/>
      <c r="AA508" s="1"/>
      <c r="AB508" s="1"/>
    </row>
    <row r="509" ht="50.25" customHeight="1">
      <c r="A509" s="12">
        <v>505.0</v>
      </c>
      <c r="B509" s="13" t="s">
        <v>476</v>
      </c>
      <c r="C509" s="14" t="s">
        <v>513</v>
      </c>
      <c r="D509" s="1"/>
      <c r="E509" s="15"/>
      <c r="F509" s="1" t="str">
        <f>IFERROR(__xludf.DUMMYFUNCTION("GOOGLETRANSLATE(B509, ""en"", ""fa"")
"),"ایجاد دوره")</f>
        <v>ایجاد دوره</v>
      </c>
      <c r="G509" s="1" t="str">
        <f>IFERROR(__xludf.DUMMYFUNCTION("GOOGLETRANSLATE(C509, ""en"", ""fa"")
"),"مزایای ایجاد یک برنامه درسی جامع را که ساختار و انتظارات دوره را مشخص می کند، بررسی کنید.")</f>
        <v>مزایای ایجاد یک برنامه درسی جامع را که ساختار و انتظارات دوره را مشخص می کند، بررسی کنید.</v>
      </c>
      <c r="H509" s="1"/>
      <c r="I509" s="1"/>
      <c r="J509" s="1"/>
      <c r="K509" s="1"/>
      <c r="L509" s="1"/>
      <c r="M509" s="1"/>
      <c r="N509" s="1"/>
      <c r="O509" s="1"/>
      <c r="P509" s="1"/>
      <c r="Q509" s="1"/>
      <c r="R509" s="1"/>
      <c r="S509" s="1"/>
      <c r="T509" s="1"/>
      <c r="U509" s="1"/>
      <c r="V509" s="1"/>
      <c r="W509" s="1"/>
      <c r="X509" s="1"/>
      <c r="Y509" s="1"/>
      <c r="Z509" s="1"/>
      <c r="AA509" s="1"/>
      <c r="AB509" s="1"/>
    </row>
    <row r="510" ht="50.25" customHeight="1">
      <c r="A510" s="12">
        <v>506.0</v>
      </c>
      <c r="B510" s="13" t="s">
        <v>476</v>
      </c>
      <c r="C510" s="14" t="s">
        <v>514</v>
      </c>
      <c r="D510" s="1"/>
      <c r="E510" s="15"/>
      <c r="F510" s="1" t="str">
        <f>IFERROR(__xludf.DUMMYFUNCTION("GOOGLETRANSLATE(B510, ""en"", ""fa"")
"),"ایجاد دوره")</f>
        <v>ایجاد دوره</v>
      </c>
      <c r="G510" s="1" t="str">
        <f>IFERROR(__xludf.DUMMYFUNCTION("GOOGLETRANSLATE(C510, ""en"", ""fa"")
"),"در مورد تأثیر ترکیب مطالعات موردی و مثال های دنیای واقعی در نشان دادن مفاهیم و نظریه های کلیدی بحث کنید.")</f>
        <v>در مورد تأثیر ترکیب مطالعات موردی و مثال های دنیای واقعی در نشان دادن مفاهیم و نظریه های کلیدی بحث کنید.</v>
      </c>
      <c r="H510" s="1"/>
      <c r="I510" s="1"/>
      <c r="J510" s="1"/>
      <c r="K510" s="1"/>
      <c r="L510" s="1"/>
      <c r="M510" s="1"/>
      <c r="N510" s="1"/>
      <c r="O510" s="1"/>
      <c r="P510" s="1"/>
      <c r="Q510" s="1"/>
      <c r="R510" s="1"/>
      <c r="S510" s="1"/>
      <c r="T510" s="1"/>
      <c r="U510" s="1"/>
      <c r="V510" s="1"/>
      <c r="W510" s="1"/>
      <c r="X510" s="1"/>
      <c r="Y510" s="1"/>
      <c r="Z510" s="1"/>
      <c r="AA510" s="1"/>
      <c r="AB510" s="1"/>
    </row>
    <row r="511" ht="50.25" customHeight="1">
      <c r="A511" s="12">
        <v>507.0</v>
      </c>
      <c r="B511" s="13" t="s">
        <v>476</v>
      </c>
      <c r="C511" s="14" t="s">
        <v>515</v>
      </c>
      <c r="D511" s="1"/>
      <c r="E511" s="15"/>
      <c r="F511" s="1" t="str">
        <f>IFERROR(__xludf.DUMMYFUNCTION("GOOGLETRANSLATE(B511, ""en"", ""fa"")
"),"ایجاد دوره")</f>
        <v>ایجاد دوره</v>
      </c>
      <c r="G511" s="1" t="str">
        <f>IFERROR(__xludf.DUMMYFUNCTION("GOOGLETRANSLATE(C511, ""en"", ""fa"")
"),"نکاتی را برای استفاده از ابزارها و پلتفرم‌های فناوری برای افزایش ارائه دوره و تعامل با دانش‌آموز به اشتراک بگذارید.")</f>
        <v>نکاتی را برای استفاده از ابزارها و پلتفرم‌های فناوری برای افزایش ارائه دوره و تعامل با دانش‌آموز به اشتراک بگذارید.</v>
      </c>
      <c r="H511" s="1"/>
      <c r="I511" s="1"/>
      <c r="J511" s="1"/>
      <c r="K511" s="1"/>
      <c r="L511" s="1"/>
      <c r="M511" s="1"/>
      <c r="N511" s="1"/>
      <c r="O511" s="1"/>
      <c r="P511" s="1"/>
      <c r="Q511" s="1"/>
      <c r="R511" s="1"/>
      <c r="S511" s="1"/>
      <c r="T511" s="1"/>
      <c r="U511" s="1"/>
      <c r="V511" s="1"/>
      <c r="W511" s="1"/>
      <c r="X511" s="1"/>
      <c r="Y511" s="1"/>
      <c r="Z511" s="1"/>
      <c r="AA511" s="1"/>
      <c r="AB511" s="1"/>
    </row>
    <row r="512" ht="50.25" customHeight="1">
      <c r="A512" s="12">
        <v>508.0</v>
      </c>
      <c r="B512" s="13" t="s">
        <v>476</v>
      </c>
      <c r="C512" s="14" t="s">
        <v>516</v>
      </c>
      <c r="D512" s="1"/>
      <c r="E512" s="15"/>
      <c r="F512" s="1" t="str">
        <f>IFERROR(__xludf.DUMMYFUNCTION("GOOGLETRANSLATE(B512, ""en"", ""fa"")
"),"ایجاد دوره")</f>
        <v>ایجاد دوره</v>
      </c>
      <c r="G512" s="1" t="str">
        <f>IFERROR(__xludf.DUMMYFUNCTION("GOOGLETRANSLATE(C512, ""en"", ""fa"")
"),"مفهوم ترکیب تالارهای گفتگو یا پلتفرم های جامعه را برای تقویت یادگیری و همکاری همتایان کاوش کنید.")</f>
        <v>مفهوم ترکیب تالارهای گفتگو یا پلتفرم های جامعه را برای تقویت یادگیری و همکاری همتایان کاوش کنید.</v>
      </c>
      <c r="H512" s="1"/>
      <c r="I512" s="1"/>
      <c r="J512" s="1"/>
      <c r="K512" s="1"/>
      <c r="L512" s="1"/>
      <c r="M512" s="1"/>
      <c r="N512" s="1"/>
      <c r="O512" s="1"/>
      <c r="P512" s="1"/>
      <c r="Q512" s="1"/>
      <c r="R512" s="1"/>
      <c r="S512" s="1"/>
      <c r="T512" s="1"/>
      <c r="U512" s="1"/>
      <c r="V512" s="1"/>
      <c r="W512" s="1"/>
      <c r="X512" s="1"/>
      <c r="Y512" s="1"/>
      <c r="Z512" s="1"/>
      <c r="AA512" s="1"/>
      <c r="AB512" s="1"/>
    </row>
    <row r="513" ht="50.25" customHeight="1">
      <c r="A513" s="12">
        <v>509.0</v>
      </c>
      <c r="B513" s="13" t="s">
        <v>476</v>
      </c>
      <c r="C513" s="14" t="s">
        <v>517</v>
      </c>
      <c r="D513" s="1"/>
      <c r="E513" s="15"/>
      <c r="F513" s="1" t="str">
        <f>IFERROR(__xludf.DUMMYFUNCTION("GOOGLETRANSLATE(B513, ""en"", ""fa"")
"),"ایجاد دوره")</f>
        <v>ایجاد دوره</v>
      </c>
      <c r="G513" s="1" t="str">
        <f>IFERROR(__xludf.DUMMYFUNCTION("GOOGLETRANSLATE(C513, ""en"", ""fa"")
"),"درباره نقش ارائه بازخورد به موقع و انتقاد سازنده برای حمایت از رشد و بهبود دانش آموزان بحث کنید.")</f>
        <v>درباره نقش ارائه بازخورد به موقع و انتقاد سازنده برای حمایت از رشد و بهبود دانش آموزان بحث کنید.</v>
      </c>
      <c r="H513" s="1"/>
      <c r="I513" s="1"/>
      <c r="J513" s="1"/>
      <c r="K513" s="1"/>
      <c r="L513" s="1"/>
      <c r="M513" s="1"/>
      <c r="N513" s="1"/>
      <c r="O513" s="1"/>
      <c r="P513" s="1"/>
      <c r="Q513" s="1"/>
      <c r="R513" s="1"/>
      <c r="S513" s="1"/>
      <c r="T513" s="1"/>
      <c r="U513" s="1"/>
      <c r="V513" s="1"/>
      <c r="W513" s="1"/>
      <c r="X513" s="1"/>
      <c r="Y513" s="1"/>
      <c r="Z513" s="1"/>
      <c r="AA513" s="1"/>
      <c r="AB513" s="1"/>
    </row>
    <row r="514" ht="50.25" customHeight="1">
      <c r="A514" s="12">
        <v>510.0</v>
      </c>
      <c r="B514" s="13" t="s">
        <v>476</v>
      </c>
      <c r="C514" s="14" t="s">
        <v>518</v>
      </c>
      <c r="D514" s="1"/>
      <c r="E514" s="15"/>
      <c r="F514" s="1" t="str">
        <f>IFERROR(__xludf.DUMMYFUNCTION("GOOGLETRANSLATE(B514, ""en"", ""fa"")
"),"ایجاد دوره")</f>
        <v>ایجاد دوره</v>
      </c>
      <c r="G514" s="1" t="str">
        <f>IFERROR(__xludf.DUMMYFUNCTION("GOOGLETRANSLATE(C514, ""en"", ""fa"")
"),"استراتژی هایی برای ایجاد مطالب درسی جذاب بصری، مانند اینفوگرافیک ها یا نمودارهای تعاملی، به اشتراک بگذارید تا تعامل یادگیرنده افزایش یابد.")</f>
        <v>استراتژی هایی برای ایجاد مطالب درسی جذاب بصری، مانند اینفوگرافیک ها یا نمودارهای تعاملی، به اشتراک بگذارید تا تعامل یادگیرنده افزایش یابد.</v>
      </c>
      <c r="H514" s="1"/>
      <c r="I514" s="1"/>
      <c r="J514" s="1"/>
      <c r="K514" s="1"/>
      <c r="L514" s="1"/>
      <c r="M514" s="1"/>
      <c r="N514" s="1"/>
      <c r="O514" s="1"/>
      <c r="P514" s="1"/>
      <c r="Q514" s="1"/>
      <c r="R514" s="1"/>
      <c r="S514" s="1"/>
      <c r="T514" s="1"/>
      <c r="U514" s="1"/>
      <c r="V514" s="1"/>
      <c r="W514" s="1"/>
      <c r="X514" s="1"/>
      <c r="Y514" s="1"/>
      <c r="Z514" s="1"/>
      <c r="AA514" s="1"/>
      <c r="AB514" s="1"/>
    </row>
    <row r="515" ht="50.25" customHeight="1">
      <c r="A515" s="12">
        <v>511.0</v>
      </c>
      <c r="B515" s="13" t="s">
        <v>476</v>
      </c>
      <c r="C515" s="14" t="s">
        <v>519</v>
      </c>
      <c r="D515" s="1"/>
      <c r="E515" s="15"/>
      <c r="F515" s="1" t="str">
        <f>IFERROR(__xludf.DUMMYFUNCTION("GOOGLETRANSLATE(B515, ""en"", ""fa"")
"),"ایجاد دوره")</f>
        <v>ایجاد دوره</v>
      </c>
      <c r="G515" s="1" t="str">
        <f>IFERROR(__xludf.DUMMYFUNCTION("GOOGLETRANSLATE(C515, ""en"", ""fa"")
"),"مزایای ترکیب سخنرانان مهمان یا کارشناسان موضوع را برای ارائه دیدگاه‌ها و بینش‌های بیشتر بررسی کنید.")</f>
        <v>مزایای ترکیب سخنرانان مهمان یا کارشناسان موضوع را برای ارائه دیدگاه‌ها و بینش‌های بیشتر بررسی کنید.</v>
      </c>
      <c r="H515" s="1"/>
      <c r="I515" s="1"/>
      <c r="J515" s="1"/>
      <c r="K515" s="1"/>
      <c r="L515" s="1"/>
      <c r="M515" s="1"/>
      <c r="N515" s="1"/>
      <c r="O515" s="1"/>
      <c r="P515" s="1"/>
      <c r="Q515" s="1"/>
      <c r="R515" s="1"/>
      <c r="S515" s="1"/>
      <c r="T515" s="1"/>
      <c r="U515" s="1"/>
      <c r="V515" s="1"/>
      <c r="W515" s="1"/>
      <c r="X515" s="1"/>
      <c r="Y515" s="1"/>
      <c r="Z515" s="1"/>
      <c r="AA515" s="1"/>
      <c r="AB515" s="1"/>
    </row>
    <row r="516" ht="50.25" customHeight="1">
      <c r="A516" s="12">
        <v>512.0</v>
      </c>
      <c r="B516" s="13" t="s">
        <v>476</v>
      </c>
      <c r="C516" s="14" t="s">
        <v>520</v>
      </c>
      <c r="D516" s="1"/>
      <c r="E516" s="15"/>
      <c r="F516" s="1" t="str">
        <f>IFERROR(__xludf.DUMMYFUNCTION("GOOGLETRANSLATE(B516, ""en"", ""fa"")
"),"ایجاد دوره")</f>
        <v>ایجاد دوره</v>
      </c>
      <c r="G516" s="1" t="str">
        <f>IFERROR(__xludf.DUMMYFUNCTION("GOOGLETRANSLATE(C516, ""en"", ""fa"")
"),"درباره تأثیر ترکیب ابزارهای خودارزیابی و تمرین‌های تأمل برای تشویق یادگیری خودراهبر بحث کنید.")</f>
        <v>درباره تأثیر ترکیب ابزارهای خودارزیابی و تمرین‌های تأمل برای تشویق یادگیری خودراهبر بحث کنید.</v>
      </c>
      <c r="H516" s="1"/>
      <c r="I516" s="1"/>
      <c r="J516" s="1"/>
      <c r="K516" s="1"/>
      <c r="L516" s="1"/>
      <c r="M516" s="1"/>
      <c r="N516" s="1"/>
      <c r="O516" s="1"/>
      <c r="P516" s="1"/>
      <c r="Q516" s="1"/>
      <c r="R516" s="1"/>
      <c r="S516" s="1"/>
      <c r="T516" s="1"/>
      <c r="U516" s="1"/>
      <c r="V516" s="1"/>
      <c r="W516" s="1"/>
      <c r="X516" s="1"/>
      <c r="Y516" s="1"/>
      <c r="Z516" s="1"/>
      <c r="AA516" s="1"/>
      <c r="AB516" s="1"/>
    </row>
    <row r="517" ht="50.25" customHeight="1">
      <c r="A517" s="12">
        <v>513.0</v>
      </c>
      <c r="B517" s="13" t="s">
        <v>476</v>
      </c>
      <c r="C517" s="14" t="s">
        <v>521</v>
      </c>
      <c r="D517" s="1"/>
      <c r="E517" s="15"/>
      <c r="F517" s="1" t="str">
        <f>IFERROR(__xludf.DUMMYFUNCTION("GOOGLETRANSLATE(B517, ""en"", ""fa"")
"),"ایجاد دوره")</f>
        <v>ایجاد دوره</v>
      </c>
      <c r="G517" s="1" t="str">
        <f>IFERROR(__xludf.DUMMYFUNCTION("GOOGLETRANSLATE(C517, ""en"", ""fa"")
"),"نکاتی را برای ایجاد یک مقدمه دوره قانع کننده که علاقه دانش آموزان را جلب می کند و زمینه را برای سفر یادگیری فراهم می کند، به اشتراک بگذارید.")</f>
        <v>نکاتی را برای ایجاد یک مقدمه دوره قانع کننده که علاقه دانش آموزان را جلب می کند و زمینه را برای سفر یادگیری فراهم می کند، به اشتراک بگذارید.</v>
      </c>
      <c r="H517" s="1"/>
      <c r="I517" s="1"/>
      <c r="J517" s="1"/>
      <c r="K517" s="1"/>
      <c r="L517" s="1"/>
      <c r="M517" s="1"/>
      <c r="N517" s="1"/>
      <c r="O517" s="1"/>
      <c r="P517" s="1"/>
      <c r="Q517" s="1"/>
      <c r="R517" s="1"/>
      <c r="S517" s="1"/>
      <c r="T517" s="1"/>
      <c r="U517" s="1"/>
      <c r="V517" s="1"/>
      <c r="W517" s="1"/>
      <c r="X517" s="1"/>
      <c r="Y517" s="1"/>
      <c r="Z517" s="1"/>
      <c r="AA517" s="1"/>
      <c r="AB517" s="1"/>
    </row>
    <row r="518" ht="50.25" customHeight="1">
      <c r="A518" s="12">
        <v>514.0</v>
      </c>
      <c r="B518" s="13" t="s">
        <v>476</v>
      </c>
      <c r="C518" s="14" t="s">
        <v>522</v>
      </c>
      <c r="D518" s="1"/>
      <c r="E518" s="15"/>
      <c r="F518" s="1" t="str">
        <f>IFERROR(__xludf.DUMMYFUNCTION("GOOGLETRANSLATE(B518, ""en"", ""fa"")
"),"ایجاد دوره")</f>
        <v>ایجاد دوره</v>
      </c>
      <c r="G518" s="1" t="str">
        <f>IFERROR(__xludf.DUMMYFUNCTION("GOOGLETRANSLATE(C518, ""en"", ""fa"")
"),"مفهوم تکه تکه کردن محتوا را به واحدها یا واحدهای قابل هضم برای تسهیل یادگیری و حفظ کاوش کنید.")</f>
        <v>مفهوم تکه تکه کردن محتوا را به واحدها یا واحدهای قابل هضم برای تسهیل یادگیری و حفظ کاوش کنید.</v>
      </c>
      <c r="H518" s="1"/>
      <c r="I518" s="1"/>
      <c r="J518" s="1"/>
      <c r="K518" s="1"/>
      <c r="L518" s="1"/>
      <c r="M518" s="1"/>
      <c r="N518" s="1"/>
      <c r="O518" s="1"/>
      <c r="P518" s="1"/>
      <c r="Q518" s="1"/>
      <c r="R518" s="1"/>
      <c r="S518" s="1"/>
      <c r="T518" s="1"/>
      <c r="U518" s="1"/>
      <c r="V518" s="1"/>
      <c r="W518" s="1"/>
      <c r="X518" s="1"/>
      <c r="Y518" s="1"/>
      <c r="Z518" s="1"/>
      <c r="AA518" s="1"/>
      <c r="AB518" s="1"/>
    </row>
    <row r="519" ht="50.25" customHeight="1">
      <c r="A519" s="12">
        <v>515.0</v>
      </c>
      <c r="B519" s="13" t="s">
        <v>476</v>
      </c>
      <c r="C519" s="14" t="s">
        <v>523</v>
      </c>
      <c r="D519" s="1"/>
      <c r="E519" s="15"/>
      <c r="F519" s="1" t="str">
        <f>IFERROR(__xludf.DUMMYFUNCTION("GOOGLETRANSLATE(B519, ""en"", ""fa"")
"),"ایجاد دوره")</f>
        <v>ایجاد دوره</v>
      </c>
      <c r="G519" s="1" t="str">
        <f>IFERROR(__xludf.DUMMYFUNCTION("GOOGLETRANSLATE(C519, ""en"", ""fa"")
"),"در مورد نقش ارزیابی های تکوینی و پیگیری پیشرفت در هدایت یادگیری دانش آموزان و شناسایی زمینه های بهبود بحث کنید.")</f>
        <v>در مورد نقش ارزیابی های تکوینی و پیگیری پیشرفت در هدایت یادگیری دانش آموزان و شناسایی زمینه های بهبود بحث کنید.</v>
      </c>
      <c r="H519" s="1"/>
      <c r="I519" s="1"/>
      <c r="J519" s="1"/>
      <c r="K519" s="1"/>
      <c r="L519" s="1"/>
      <c r="M519" s="1"/>
      <c r="N519" s="1"/>
      <c r="O519" s="1"/>
      <c r="P519" s="1"/>
      <c r="Q519" s="1"/>
      <c r="R519" s="1"/>
      <c r="S519" s="1"/>
      <c r="T519" s="1"/>
      <c r="U519" s="1"/>
      <c r="V519" s="1"/>
      <c r="W519" s="1"/>
      <c r="X519" s="1"/>
      <c r="Y519" s="1"/>
      <c r="Z519" s="1"/>
      <c r="AA519" s="1"/>
      <c r="AB519" s="1"/>
    </row>
    <row r="520" ht="50.25" customHeight="1">
      <c r="A520" s="12">
        <v>516.0</v>
      </c>
      <c r="B520" s="13" t="s">
        <v>476</v>
      </c>
      <c r="C520" s="14" t="s">
        <v>524</v>
      </c>
      <c r="D520" s="1"/>
      <c r="E520" s="15"/>
      <c r="F520" s="1" t="str">
        <f>IFERROR(__xludf.DUMMYFUNCTION("GOOGLETRANSLATE(B520, ""en"", ""fa"")
"),"ایجاد دوره")</f>
        <v>ایجاد دوره</v>
      </c>
      <c r="G520" s="1" t="str">
        <f>IFERROR(__xludf.DUMMYFUNCTION("GOOGLETRANSLATE(C520, ""en"", ""fa"")
"),"استراتژی های ارائه منابع تکمیلی و خواندن های توصیه شده را برای غنی سازی تجربه یادگیری به اشتراک بگذارید.")</f>
        <v>استراتژی های ارائه منابع تکمیلی و خواندن های توصیه شده را برای غنی سازی تجربه یادگیری به اشتراک بگذارید.</v>
      </c>
      <c r="H520" s="1"/>
      <c r="I520" s="1"/>
      <c r="J520" s="1"/>
      <c r="K520" s="1"/>
      <c r="L520" s="1"/>
      <c r="M520" s="1"/>
      <c r="N520" s="1"/>
      <c r="O520" s="1"/>
      <c r="P520" s="1"/>
      <c r="Q520" s="1"/>
      <c r="R520" s="1"/>
      <c r="S520" s="1"/>
      <c r="T520" s="1"/>
      <c r="U520" s="1"/>
      <c r="V520" s="1"/>
      <c r="W520" s="1"/>
      <c r="X520" s="1"/>
      <c r="Y520" s="1"/>
      <c r="Z520" s="1"/>
      <c r="AA520" s="1"/>
      <c r="AB520" s="1"/>
    </row>
    <row r="521" ht="50.25" customHeight="1">
      <c r="A521" s="12">
        <v>517.0</v>
      </c>
      <c r="B521" s="13" t="s">
        <v>476</v>
      </c>
      <c r="C521" s="14" t="s">
        <v>525</v>
      </c>
      <c r="D521" s="1"/>
      <c r="E521" s="15"/>
      <c r="F521" s="1" t="str">
        <f>IFERROR(__xludf.DUMMYFUNCTION("GOOGLETRANSLATE(B521, ""en"", ""fa"")
"),"ایجاد دوره")</f>
        <v>ایجاد دوره</v>
      </c>
      <c r="G521" s="1" t="str">
        <f>IFERROR(__xludf.DUMMYFUNCTION("GOOGLETRANSLATE(C521, ""en"", ""fa"")
"),"مزایای ترکیب شبیه‌سازی‌های تعاملی یا آزمایشگاه‌های مجازی برای ارائه فرصت‌های یادگیری عملی را بررسی کنید.")</f>
        <v>مزایای ترکیب شبیه‌سازی‌های تعاملی یا آزمایشگاه‌های مجازی برای ارائه فرصت‌های یادگیری عملی را بررسی کنید.</v>
      </c>
      <c r="H521" s="1"/>
      <c r="I521" s="1"/>
      <c r="J521" s="1"/>
      <c r="K521" s="1"/>
      <c r="L521" s="1"/>
      <c r="M521" s="1"/>
      <c r="N521" s="1"/>
      <c r="O521" s="1"/>
      <c r="P521" s="1"/>
      <c r="Q521" s="1"/>
      <c r="R521" s="1"/>
      <c r="S521" s="1"/>
      <c r="T521" s="1"/>
      <c r="U521" s="1"/>
      <c r="V521" s="1"/>
      <c r="W521" s="1"/>
      <c r="X521" s="1"/>
      <c r="Y521" s="1"/>
      <c r="Z521" s="1"/>
      <c r="AA521" s="1"/>
      <c r="AB521" s="1"/>
    </row>
    <row r="522" ht="50.25" customHeight="1">
      <c r="A522" s="12">
        <v>518.0</v>
      </c>
      <c r="B522" s="13" t="s">
        <v>476</v>
      </c>
      <c r="C522" s="14" t="s">
        <v>526</v>
      </c>
      <c r="D522" s="1"/>
      <c r="E522" s="15"/>
      <c r="F522" s="1" t="str">
        <f>IFERROR(__xludf.DUMMYFUNCTION("GOOGLETRANSLATE(B522, ""en"", ""fa"")
"),"ایجاد دوره")</f>
        <v>ایجاد دوره</v>
      </c>
      <c r="G522" s="1" t="str">
        <f>IFERROR(__xludf.DUMMYFUNCTION("GOOGLETRANSLATE(C522, ""en"", ""fa"")
"),"درباره تأثیر ترکیب مکانیسم‌های بازخورد بلادرنگ، مانند آزمون‌ها با امتیازدهی فوری، برای افزایش مشارکت دانش‌آموز بحث کنید.")</f>
        <v>درباره تأثیر ترکیب مکانیسم‌های بازخورد بلادرنگ، مانند آزمون‌ها با امتیازدهی فوری، برای افزایش مشارکت دانش‌آموز بحث کنید.</v>
      </c>
      <c r="H522" s="1"/>
      <c r="I522" s="1"/>
      <c r="J522" s="1"/>
      <c r="K522" s="1"/>
      <c r="L522" s="1"/>
      <c r="M522" s="1"/>
      <c r="N522" s="1"/>
      <c r="O522" s="1"/>
      <c r="P522" s="1"/>
      <c r="Q522" s="1"/>
      <c r="R522" s="1"/>
      <c r="S522" s="1"/>
      <c r="T522" s="1"/>
      <c r="U522" s="1"/>
      <c r="V522" s="1"/>
      <c r="W522" s="1"/>
      <c r="X522" s="1"/>
      <c r="Y522" s="1"/>
      <c r="Z522" s="1"/>
      <c r="AA522" s="1"/>
      <c r="AB522" s="1"/>
    </row>
    <row r="523" ht="50.25" customHeight="1">
      <c r="A523" s="12">
        <v>519.0</v>
      </c>
      <c r="B523" s="13" t="s">
        <v>476</v>
      </c>
      <c r="C523" s="14" t="s">
        <v>527</v>
      </c>
      <c r="D523" s="1"/>
      <c r="E523" s="15"/>
      <c r="F523" s="1" t="str">
        <f>IFERROR(__xludf.DUMMYFUNCTION("GOOGLETRANSLATE(B523, ""en"", ""fa"")
"),"ایجاد دوره")</f>
        <v>ایجاد دوره</v>
      </c>
      <c r="G523" s="1" t="str">
        <f>IFERROR(__xludf.DUMMYFUNCTION("GOOGLETRANSLATE(C523, ""en"", ""fa"")
"),"نکاتی را برای ایجاد ارائه ها یا سخنرانی های چند رسانه ای جذاب و تعاملی به اشتراک بگذارید.")</f>
        <v>نکاتی را برای ایجاد ارائه ها یا سخنرانی های چند رسانه ای جذاب و تعاملی به اشتراک بگذارید.</v>
      </c>
      <c r="H523" s="1"/>
      <c r="I523" s="1"/>
      <c r="J523" s="1"/>
      <c r="K523" s="1"/>
      <c r="L523" s="1"/>
      <c r="M523" s="1"/>
      <c r="N523" s="1"/>
      <c r="O523" s="1"/>
      <c r="P523" s="1"/>
      <c r="Q523" s="1"/>
      <c r="R523" s="1"/>
      <c r="S523" s="1"/>
      <c r="T523" s="1"/>
      <c r="U523" s="1"/>
      <c r="V523" s="1"/>
      <c r="W523" s="1"/>
      <c r="X523" s="1"/>
      <c r="Y523" s="1"/>
      <c r="Z523" s="1"/>
      <c r="AA523" s="1"/>
      <c r="AB523" s="1"/>
    </row>
    <row r="524" ht="50.25" customHeight="1">
      <c r="A524" s="12">
        <v>520.0</v>
      </c>
      <c r="B524" s="13" t="s">
        <v>476</v>
      </c>
      <c r="C524" s="14" t="s">
        <v>528</v>
      </c>
      <c r="D524" s="1"/>
      <c r="E524" s="15"/>
      <c r="F524" s="1" t="str">
        <f>IFERROR(__xludf.DUMMYFUNCTION("GOOGLETRANSLATE(B524, ""en"", ""fa"")
"),"ایجاد دوره")</f>
        <v>ایجاد دوره</v>
      </c>
      <c r="G524" s="1" t="str">
        <f>IFERROR(__xludf.DUMMYFUNCTION("GOOGLETRANSLATE(C524, ""en"", ""fa"")
"),"مفهوم آموزش متمایز و نحوه تطبیق محتوای دوره را برای برآورده کردن نیازهای متنوع یادگیرنده بررسی کنید.")</f>
        <v>مفهوم آموزش متمایز و نحوه تطبیق محتوای دوره را برای برآورده کردن نیازهای متنوع یادگیرنده بررسی کنید.</v>
      </c>
      <c r="H524" s="1"/>
      <c r="I524" s="1"/>
      <c r="J524" s="1"/>
      <c r="K524" s="1"/>
      <c r="L524" s="1"/>
      <c r="M524" s="1"/>
      <c r="N524" s="1"/>
      <c r="O524" s="1"/>
      <c r="P524" s="1"/>
      <c r="Q524" s="1"/>
      <c r="R524" s="1"/>
      <c r="S524" s="1"/>
      <c r="T524" s="1"/>
      <c r="U524" s="1"/>
      <c r="V524" s="1"/>
      <c r="W524" s="1"/>
      <c r="X524" s="1"/>
      <c r="Y524" s="1"/>
      <c r="Z524" s="1"/>
      <c r="AA524" s="1"/>
      <c r="AB524" s="1"/>
    </row>
    <row r="525" ht="50.25" customHeight="1">
      <c r="A525" s="12">
        <v>521.0</v>
      </c>
      <c r="B525" s="13" t="s">
        <v>476</v>
      </c>
      <c r="C525" s="14" t="s">
        <v>529</v>
      </c>
      <c r="D525" s="1"/>
      <c r="E525" s="15"/>
      <c r="F525" s="1" t="str">
        <f>IFERROR(__xludf.DUMMYFUNCTION("GOOGLETRANSLATE(B525, ""en"", ""fa"")
"),"ایجاد دوره")</f>
        <v>ایجاد دوره</v>
      </c>
      <c r="G525" s="1" t="str">
        <f>IFERROR(__xludf.DUMMYFUNCTION("GOOGLETRANSLATE(C525, ""en"", ""fa"")
"),"در مورد نقش ایجاد یک جامعه یادگیری آنلاین حمایتی برای تقویت پشتیبانی و شبکه سازی همتا به همتا بحث کنید.")</f>
        <v>در مورد نقش ایجاد یک جامعه یادگیری آنلاین حمایتی برای تقویت پشتیبانی و شبکه سازی همتا به همتا بحث کنید.</v>
      </c>
      <c r="H525" s="1"/>
      <c r="I525" s="1"/>
      <c r="J525" s="1"/>
      <c r="K525" s="1"/>
      <c r="L525" s="1"/>
      <c r="M525" s="1"/>
      <c r="N525" s="1"/>
      <c r="O525" s="1"/>
      <c r="P525" s="1"/>
      <c r="Q525" s="1"/>
      <c r="R525" s="1"/>
      <c r="S525" s="1"/>
      <c r="T525" s="1"/>
      <c r="U525" s="1"/>
      <c r="V525" s="1"/>
      <c r="W525" s="1"/>
      <c r="X525" s="1"/>
      <c r="Y525" s="1"/>
      <c r="Z525" s="1"/>
      <c r="AA525" s="1"/>
      <c r="AB525" s="1"/>
    </row>
    <row r="526" ht="50.25" customHeight="1">
      <c r="A526" s="12">
        <v>522.0</v>
      </c>
      <c r="B526" s="13" t="s">
        <v>476</v>
      </c>
      <c r="C526" s="14" t="s">
        <v>530</v>
      </c>
      <c r="D526" s="1"/>
      <c r="E526" s="15"/>
      <c r="F526" s="1" t="str">
        <f>IFERROR(__xludf.DUMMYFUNCTION("GOOGLETRANSLATE(B526, ""en"", ""fa"")
"),"ایجاد دوره")</f>
        <v>ایجاد دوره</v>
      </c>
      <c r="G526" s="1" t="str">
        <f>IFERROR(__xludf.DUMMYFUNCTION("GOOGLETRANSLATE(C526, ""en"", ""fa"")
"),"استراتژی هایی را برای رسیدگی به چالش ها یا موانع بالقوه یادگیرنده در محتوای دوره یا طراحی به اشتراک بگذارید.")</f>
        <v>استراتژی هایی را برای رسیدگی به چالش ها یا موانع بالقوه یادگیرنده در محتوای دوره یا طراحی به اشتراک بگذارید.</v>
      </c>
      <c r="H526" s="1"/>
      <c r="I526" s="1"/>
      <c r="J526" s="1"/>
      <c r="K526" s="1"/>
      <c r="L526" s="1"/>
      <c r="M526" s="1"/>
      <c r="N526" s="1"/>
      <c r="O526" s="1"/>
      <c r="P526" s="1"/>
      <c r="Q526" s="1"/>
      <c r="R526" s="1"/>
      <c r="S526" s="1"/>
      <c r="T526" s="1"/>
      <c r="U526" s="1"/>
      <c r="V526" s="1"/>
      <c r="W526" s="1"/>
      <c r="X526" s="1"/>
      <c r="Y526" s="1"/>
      <c r="Z526" s="1"/>
      <c r="AA526" s="1"/>
      <c r="AB526" s="1"/>
    </row>
    <row r="527" ht="50.25" customHeight="1">
      <c r="A527" s="12">
        <v>523.0</v>
      </c>
      <c r="B527" s="13" t="s">
        <v>476</v>
      </c>
      <c r="C527" s="14" t="s">
        <v>531</v>
      </c>
      <c r="D527" s="1"/>
      <c r="E527" s="15"/>
      <c r="F527" s="1" t="str">
        <f>IFERROR(__xludf.DUMMYFUNCTION("GOOGLETRANSLATE(B527, ""en"", ""fa"")
"),"ایجاد دوره")</f>
        <v>ایجاد دوره</v>
      </c>
      <c r="G527" s="1" t="str">
        <f>IFERROR(__xludf.DUMMYFUNCTION("GOOGLETRANSLATE(C527, ""en"", ""fa"")
"),"مزایای ترکیب ارزشیابی های تکوینی و نظرسنجی های دانشجویی برای جمع آوری بازخورد و بهبود دوره را بررسی کنید.")</f>
        <v>مزایای ترکیب ارزشیابی های تکوینی و نظرسنجی های دانشجویی برای جمع آوری بازخورد و بهبود دوره را بررسی کنید.</v>
      </c>
      <c r="H527" s="1"/>
      <c r="I527" s="1"/>
      <c r="J527" s="1"/>
      <c r="K527" s="1"/>
      <c r="L527" s="1"/>
      <c r="M527" s="1"/>
      <c r="N527" s="1"/>
      <c r="O527" s="1"/>
      <c r="P527" s="1"/>
      <c r="Q527" s="1"/>
      <c r="R527" s="1"/>
      <c r="S527" s="1"/>
      <c r="T527" s="1"/>
      <c r="U527" s="1"/>
      <c r="V527" s="1"/>
      <c r="W527" s="1"/>
      <c r="X527" s="1"/>
      <c r="Y527" s="1"/>
      <c r="Z527" s="1"/>
      <c r="AA527" s="1"/>
      <c r="AB527" s="1"/>
    </row>
    <row r="528" ht="50.25" customHeight="1">
      <c r="A528" s="12">
        <v>524.0</v>
      </c>
      <c r="B528" s="13" t="s">
        <v>476</v>
      </c>
      <c r="C528" s="14" t="s">
        <v>532</v>
      </c>
      <c r="D528" s="1"/>
      <c r="E528" s="15"/>
      <c r="F528" s="1" t="str">
        <f>IFERROR(__xludf.DUMMYFUNCTION("GOOGLETRANSLATE(B528, ""en"", ""fa"")
"),"ایجاد دوره")</f>
        <v>ایجاد دوره</v>
      </c>
      <c r="G528" s="1" t="str">
        <f>IFERROR(__xludf.DUMMYFUNCTION("GOOGLETRANSLATE(C528, ""en"", ""fa"")
"),"درباره تأثیر ترکیب تکنیک‌های داستان‌گویی و روایت‌ها برای مرتبط‌تر کردن و خاطره‌انگیز کردن محتوای دوره بحث کنید.")</f>
        <v>درباره تأثیر ترکیب تکنیک‌های داستان‌گویی و روایت‌ها برای مرتبط‌تر کردن و خاطره‌انگیز کردن محتوای دوره بحث کنید.</v>
      </c>
      <c r="H528" s="1"/>
      <c r="I528" s="1"/>
      <c r="J528" s="1"/>
      <c r="K528" s="1"/>
      <c r="L528" s="1"/>
      <c r="M528" s="1"/>
      <c r="N528" s="1"/>
      <c r="O528" s="1"/>
      <c r="P528" s="1"/>
      <c r="Q528" s="1"/>
      <c r="R528" s="1"/>
      <c r="S528" s="1"/>
      <c r="T528" s="1"/>
      <c r="U528" s="1"/>
      <c r="V528" s="1"/>
      <c r="W528" s="1"/>
      <c r="X528" s="1"/>
      <c r="Y528" s="1"/>
      <c r="Z528" s="1"/>
      <c r="AA528" s="1"/>
      <c r="AB528" s="1"/>
    </row>
    <row r="529" ht="50.25" customHeight="1">
      <c r="A529" s="12">
        <v>525.0</v>
      </c>
      <c r="B529" s="13" t="s">
        <v>476</v>
      </c>
      <c r="C529" s="14" t="s">
        <v>533</v>
      </c>
      <c r="D529" s="1"/>
      <c r="E529" s="15"/>
      <c r="F529" s="1" t="str">
        <f>IFERROR(__xludf.DUMMYFUNCTION("GOOGLETRANSLATE(B529, ""en"", ""fa"")
"),"ایجاد دوره")</f>
        <v>ایجاد دوره</v>
      </c>
      <c r="G529" s="1" t="str">
        <f>IFERROR(__xludf.DUMMYFUNCTION("GOOGLETRANSLATE(C529, ""en"", ""fa"")
"),"نکاتی را برای ادغام بحث‌های بی‌درنگ یا ناهمزمان به اشتراک بگذارید تا تعامل دانش‌آموز و اشتراک دانش را تسهیل کند.")</f>
        <v>نکاتی را برای ادغام بحث‌های بی‌درنگ یا ناهمزمان به اشتراک بگذارید تا تعامل دانش‌آموز و اشتراک دانش را تسهیل کند.</v>
      </c>
      <c r="H529" s="1"/>
      <c r="I529" s="1"/>
      <c r="J529" s="1"/>
      <c r="K529" s="1"/>
      <c r="L529" s="1"/>
      <c r="M529" s="1"/>
      <c r="N529" s="1"/>
      <c r="O529" s="1"/>
      <c r="P529" s="1"/>
      <c r="Q529" s="1"/>
      <c r="R529" s="1"/>
      <c r="S529" s="1"/>
      <c r="T529" s="1"/>
      <c r="U529" s="1"/>
      <c r="V529" s="1"/>
      <c r="W529" s="1"/>
      <c r="X529" s="1"/>
      <c r="Y529" s="1"/>
      <c r="Z529" s="1"/>
      <c r="AA529" s="1"/>
      <c r="AB529" s="1"/>
    </row>
    <row r="530" ht="50.25" customHeight="1">
      <c r="A530" s="12">
        <v>526.0</v>
      </c>
      <c r="B530" s="13" t="s">
        <v>476</v>
      </c>
      <c r="C530" s="14" t="s">
        <v>534</v>
      </c>
      <c r="D530" s="1"/>
      <c r="E530" s="15"/>
      <c r="F530" s="1" t="str">
        <f>IFERROR(__xludf.DUMMYFUNCTION("GOOGLETRANSLATE(B530, ""en"", ""fa"")
"),"ایجاد دوره")</f>
        <v>ایجاد دوره</v>
      </c>
      <c r="G530" s="1" t="str">
        <f>IFERROR(__xludf.DUMMYFUNCTION("GOOGLETRANSLATE(C530, ""en"", ""fa"")
"),"مفهوم ارزشیابی همتا و اینکه چگونه می تواند تفکر انتقادی و مهارت های ارزشیابی را در بین دانش آموزان ارتقا دهد را بررسی کنید.")</f>
        <v>مفهوم ارزشیابی همتا و اینکه چگونه می تواند تفکر انتقادی و مهارت های ارزشیابی را در بین دانش آموزان ارتقا دهد را بررسی کنید.</v>
      </c>
      <c r="H530" s="1"/>
      <c r="I530" s="1"/>
      <c r="J530" s="1"/>
      <c r="K530" s="1"/>
      <c r="L530" s="1"/>
      <c r="M530" s="1"/>
      <c r="N530" s="1"/>
      <c r="O530" s="1"/>
      <c r="P530" s="1"/>
      <c r="Q530" s="1"/>
      <c r="R530" s="1"/>
      <c r="S530" s="1"/>
      <c r="T530" s="1"/>
      <c r="U530" s="1"/>
      <c r="V530" s="1"/>
      <c r="W530" s="1"/>
      <c r="X530" s="1"/>
      <c r="Y530" s="1"/>
      <c r="Z530" s="1"/>
      <c r="AA530" s="1"/>
      <c r="AB530" s="1"/>
    </row>
    <row r="531" ht="50.25" customHeight="1">
      <c r="A531" s="12">
        <v>527.0</v>
      </c>
      <c r="B531" s="13" t="s">
        <v>476</v>
      </c>
      <c r="C531" s="14" t="s">
        <v>535</v>
      </c>
      <c r="D531" s="1"/>
      <c r="E531" s="15"/>
      <c r="F531" s="1" t="str">
        <f>IFERROR(__xludf.DUMMYFUNCTION("GOOGLETRANSLATE(B531, ""en"", ""fa"")
"),"ایجاد دوره")</f>
        <v>ایجاد دوره</v>
      </c>
      <c r="G531" s="1" t="str">
        <f>IFERROR(__xludf.DUMMYFUNCTION("GOOGLETRANSLATE(C531, ""en"", ""fa"")
"),"درباره نقش ارائه مواد تکمیلی، مانند برگه های تقلب یا راهنمای مطالعه، برای حمایت از یادگیری دانش آموزان بحث کنید.")</f>
        <v>درباره نقش ارائه مواد تکمیلی، مانند برگه های تقلب یا راهنمای مطالعه، برای حمایت از یادگیری دانش آموزان بحث کنید.</v>
      </c>
      <c r="H531" s="1"/>
      <c r="I531" s="1"/>
      <c r="J531" s="1"/>
      <c r="K531" s="1"/>
      <c r="L531" s="1"/>
      <c r="M531" s="1"/>
      <c r="N531" s="1"/>
      <c r="O531" s="1"/>
      <c r="P531" s="1"/>
      <c r="Q531" s="1"/>
      <c r="R531" s="1"/>
      <c r="S531" s="1"/>
      <c r="T531" s="1"/>
      <c r="U531" s="1"/>
      <c r="V531" s="1"/>
      <c r="W531" s="1"/>
      <c r="X531" s="1"/>
      <c r="Y531" s="1"/>
      <c r="Z531" s="1"/>
      <c r="AA531" s="1"/>
      <c r="AB531" s="1"/>
    </row>
    <row r="532" ht="50.25" customHeight="1">
      <c r="A532" s="12">
        <v>528.0</v>
      </c>
      <c r="B532" s="13" t="s">
        <v>476</v>
      </c>
      <c r="C532" s="14" t="s">
        <v>536</v>
      </c>
      <c r="D532" s="1"/>
      <c r="E532" s="15"/>
      <c r="F532" s="1" t="str">
        <f>IFERROR(__xludf.DUMMYFUNCTION("GOOGLETRANSLATE(B532, ""en"", ""fa"")
"),"ایجاد دوره")</f>
        <v>ایجاد دوره</v>
      </c>
      <c r="G532" s="1" t="str">
        <f>IFERROR(__xludf.DUMMYFUNCTION("GOOGLETRANSLATE(C532, ""en"", ""fa"")
"),"استراتژی هایی را برای ایجاد تکالیف جذاب و تعاملی که خلاقیت و تفکر انتقادی را تشویق می کند، به اشتراک بگذارید.")</f>
        <v>استراتژی هایی را برای ایجاد تکالیف جذاب و تعاملی که خلاقیت و تفکر انتقادی را تشویق می کند، به اشتراک بگذارید.</v>
      </c>
      <c r="H532" s="1"/>
      <c r="I532" s="1"/>
      <c r="J532" s="1"/>
      <c r="K532" s="1"/>
      <c r="L532" s="1"/>
      <c r="M532" s="1"/>
      <c r="N532" s="1"/>
      <c r="O532" s="1"/>
      <c r="P532" s="1"/>
      <c r="Q532" s="1"/>
      <c r="R532" s="1"/>
      <c r="S532" s="1"/>
      <c r="T532" s="1"/>
      <c r="U532" s="1"/>
      <c r="V532" s="1"/>
      <c r="W532" s="1"/>
      <c r="X532" s="1"/>
      <c r="Y532" s="1"/>
      <c r="Z532" s="1"/>
      <c r="AA532" s="1"/>
      <c r="AB532" s="1"/>
    </row>
    <row r="533" ht="50.25" customHeight="1">
      <c r="A533" s="12">
        <v>529.0</v>
      </c>
      <c r="B533" s="13" t="s">
        <v>476</v>
      </c>
      <c r="C533" s="14" t="s">
        <v>537</v>
      </c>
      <c r="D533" s="1"/>
      <c r="E533" s="15"/>
      <c r="F533" s="1" t="str">
        <f>IFERROR(__xludf.DUMMYFUNCTION("GOOGLETRANSLATE(B533, ""en"", ""fa"")
"),"ایجاد دوره")</f>
        <v>ایجاد دوره</v>
      </c>
      <c r="G533" s="1" t="str">
        <f>IFERROR(__xludf.DUMMYFUNCTION("GOOGLETRANSLATE(C533, ""en"", ""fa"")
"),"مزایای ترکیب عناصر بازی‌سازی شده، مانند نشان‌ها یا تابلوهای امتیازات، برای افزایش انگیزه و مشارکت دانش‌آموز را بررسی کنید.")</f>
        <v>مزایای ترکیب عناصر بازی‌سازی شده، مانند نشان‌ها یا تابلوهای امتیازات، برای افزایش انگیزه و مشارکت دانش‌آموز را بررسی کنید.</v>
      </c>
      <c r="H533" s="1"/>
      <c r="I533" s="1"/>
      <c r="J533" s="1"/>
      <c r="K533" s="1"/>
      <c r="L533" s="1"/>
      <c r="M533" s="1"/>
      <c r="N533" s="1"/>
      <c r="O533" s="1"/>
      <c r="P533" s="1"/>
      <c r="Q533" s="1"/>
      <c r="R533" s="1"/>
      <c r="S533" s="1"/>
      <c r="T533" s="1"/>
      <c r="U533" s="1"/>
      <c r="V533" s="1"/>
      <c r="W533" s="1"/>
      <c r="X533" s="1"/>
      <c r="Y533" s="1"/>
      <c r="Z533" s="1"/>
      <c r="AA533" s="1"/>
      <c r="AB533" s="1"/>
    </row>
    <row r="534" ht="50.25" customHeight="1">
      <c r="A534" s="12">
        <v>530.0</v>
      </c>
      <c r="B534" s="13" t="s">
        <v>476</v>
      </c>
      <c r="C534" s="14" t="s">
        <v>538</v>
      </c>
      <c r="D534" s="1"/>
      <c r="E534" s="15"/>
      <c r="F534" s="1" t="str">
        <f>IFERROR(__xludf.DUMMYFUNCTION("GOOGLETRANSLATE(B534, ""en"", ""fa"")
"),"ایجاد دوره")</f>
        <v>ایجاد دوره</v>
      </c>
      <c r="G534" s="1" t="str">
        <f>IFERROR(__xludf.DUMMYFUNCTION("GOOGLETRANSLATE(C534, ""en"", ""fa"")
"),"درباره تأثیر ترکیب گزینه‌های یادگیری خودگام برای تطبیق برنامه‌ها و ترجیحات مختلف یادگیرنده بحث کنید.")</f>
        <v>درباره تأثیر ترکیب گزینه‌های یادگیری خودگام برای تطبیق برنامه‌ها و ترجیحات مختلف یادگیرنده بحث کنید.</v>
      </c>
      <c r="H534" s="1"/>
      <c r="I534" s="1"/>
      <c r="J534" s="1"/>
      <c r="K534" s="1"/>
      <c r="L534" s="1"/>
      <c r="M534" s="1"/>
      <c r="N534" s="1"/>
      <c r="O534" s="1"/>
      <c r="P534" s="1"/>
      <c r="Q534" s="1"/>
      <c r="R534" s="1"/>
      <c r="S534" s="1"/>
      <c r="T534" s="1"/>
      <c r="U534" s="1"/>
      <c r="V534" s="1"/>
      <c r="W534" s="1"/>
      <c r="X534" s="1"/>
      <c r="Y534" s="1"/>
      <c r="Z534" s="1"/>
      <c r="AA534" s="1"/>
      <c r="AB534" s="1"/>
    </row>
    <row r="535" ht="50.25" customHeight="1">
      <c r="A535" s="12">
        <v>531.0</v>
      </c>
      <c r="B535" s="13" t="s">
        <v>476</v>
      </c>
      <c r="C535" s="14" t="s">
        <v>539</v>
      </c>
      <c r="D535" s="1"/>
      <c r="E535" s="15"/>
      <c r="F535" s="1" t="str">
        <f>IFERROR(__xludf.DUMMYFUNCTION("GOOGLETRANSLATE(B535, ""en"", ""fa"")
"),"ایجاد دوره")</f>
        <v>ایجاد دوره</v>
      </c>
      <c r="G535" s="1" t="str">
        <f>IFERROR(__xludf.DUMMYFUNCTION("GOOGLETRANSLATE(C535, ""en"", ""fa"")
"),"نکاتی را برای طراحی رابط‌های دوره‌های جذاب بصری و سیستم‌های ناوبری برای یک تجربه یادگیری یکپارچه به اشتراک بگذارید.")</f>
        <v>نکاتی را برای طراحی رابط‌های دوره‌های جذاب بصری و سیستم‌های ناوبری برای یک تجربه یادگیری یکپارچه به اشتراک بگذارید.</v>
      </c>
      <c r="H535" s="1"/>
      <c r="I535" s="1"/>
      <c r="J535" s="1"/>
      <c r="K535" s="1"/>
      <c r="L535" s="1"/>
      <c r="M535" s="1"/>
      <c r="N535" s="1"/>
      <c r="O535" s="1"/>
      <c r="P535" s="1"/>
      <c r="Q535" s="1"/>
      <c r="R535" s="1"/>
      <c r="S535" s="1"/>
      <c r="T535" s="1"/>
      <c r="U535" s="1"/>
      <c r="V535" s="1"/>
      <c r="W535" s="1"/>
      <c r="X535" s="1"/>
      <c r="Y535" s="1"/>
      <c r="Z535" s="1"/>
      <c r="AA535" s="1"/>
      <c r="AB535" s="1"/>
    </row>
    <row r="536" ht="50.25" customHeight="1">
      <c r="A536" s="12">
        <v>532.0</v>
      </c>
      <c r="B536" s="13" t="s">
        <v>476</v>
      </c>
      <c r="C536" s="14" t="s">
        <v>540</v>
      </c>
      <c r="D536" s="1"/>
      <c r="E536" s="15"/>
      <c r="F536" s="1" t="str">
        <f>IFERROR(__xludf.DUMMYFUNCTION("GOOGLETRANSLATE(B536, ""en"", ""fa"")
"),"ایجاد دوره")</f>
        <v>ایجاد دوره</v>
      </c>
      <c r="G536" s="1" t="str">
        <f>IFERROR(__xludf.DUMMYFUNCTION("GOOGLETRANSLATE(C536, ""en"", ""fa"")
"),"مفهوم ترکیب مطالعات موردی چندرسانه ای یا شبیه سازی ها برای ارتقای مهارت های حل مسئله و تصمیم گیری را بررسی کنید.")</f>
        <v>مفهوم ترکیب مطالعات موردی چندرسانه ای یا شبیه سازی ها برای ارتقای مهارت های حل مسئله و تصمیم گیری را بررسی کنید.</v>
      </c>
      <c r="H536" s="1"/>
      <c r="I536" s="1"/>
      <c r="J536" s="1"/>
      <c r="K536" s="1"/>
      <c r="L536" s="1"/>
      <c r="M536" s="1"/>
      <c r="N536" s="1"/>
      <c r="O536" s="1"/>
      <c r="P536" s="1"/>
      <c r="Q536" s="1"/>
      <c r="R536" s="1"/>
      <c r="S536" s="1"/>
      <c r="T536" s="1"/>
      <c r="U536" s="1"/>
      <c r="V536" s="1"/>
      <c r="W536" s="1"/>
      <c r="X536" s="1"/>
      <c r="Y536" s="1"/>
      <c r="Z536" s="1"/>
      <c r="AA536" s="1"/>
      <c r="AB536" s="1"/>
    </row>
    <row r="537" ht="50.25" customHeight="1">
      <c r="A537" s="12">
        <v>533.0</v>
      </c>
      <c r="B537" s="13" t="s">
        <v>476</v>
      </c>
      <c r="C537" s="14" t="s">
        <v>541</v>
      </c>
      <c r="D537" s="1"/>
      <c r="E537" s="15"/>
      <c r="F537" s="1" t="str">
        <f>IFERROR(__xludf.DUMMYFUNCTION("GOOGLETRANSLATE(B537, ""en"", ""fa"")
"),"ایجاد دوره")</f>
        <v>ایجاد دوره</v>
      </c>
      <c r="G537" s="1" t="str">
        <f>IFERROR(__xludf.DUMMYFUNCTION("GOOGLETRANSLATE(C537, ""en"", ""fa"")
"),"درباره نقش ارزیابی‌ها و به‌روزرسانی‌های منظم دوره بحث کنید تا مطمئن شوید که دوره مرتبط و مؤثر باقی می‌ماند.")</f>
        <v>درباره نقش ارزیابی‌ها و به‌روزرسانی‌های منظم دوره بحث کنید تا مطمئن شوید که دوره مرتبط و مؤثر باقی می‌ماند.</v>
      </c>
      <c r="H537" s="1"/>
      <c r="I537" s="1"/>
      <c r="J537" s="1"/>
      <c r="K537" s="1"/>
      <c r="L537" s="1"/>
      <c r="M537" s="1"/>
      <c r="N537" s="1"/>
      <c r="O537" s="1"/>
      <c r="P537" s="1"/>
      <c r="Q537" s="1"/>
      <c r="R537" s="1"/>
      <c r="S537" s="1"/>
      <c r="T537" s="1"/>
      <c r="U537" s="1"/>
      <c r="V537" s="1"/>
      <c r="W537" s="1"/>
      <c r="X537" s="1"/>
      <c r="Y537" s="1"/>
      <c r="Z537" s="1"/>
      <c r="AA537" s="1"/>
      <c r="AB537" s="1"/>
    </row>
    <row r="538" ht="50.25" customHeight="1">
      <c r="A538" s="12">
        <v>534.0</v>
      </c>
      <c r="B538" s="13" t="s">
        <v>476</v>
      </c>
      <c r="C538" s="14" t="s">
        <v>542</v>
      </c>
      <c r="D538" s="1"/>
      <c r="E538" s="15"/>
      <c r="F538" s="1" t="str">
        <f>IFERROR(__xludf.DUMMYFUNCTION("GOOGLETRANSLATE(B538, ""en"", ""fa"")
"),"ایجاد دوره")</f>
        <v>ایجاد دوره</v>
      </c>
      <c r="G538" s="1" t="str">
        <f>IFERROR(__xludf.DUMMYFUNCTION("GOOGLETRANSLATE(C538, ""en"", ""fa"")
"),"استراتژی های ارائه پشتیبانی و بازخورد مستمر در طول دوره را به اشتراک بگذارید.")</f>
        <v>استراتژی های ارائه پشتیبانی و بازخورد مستمر در طول دوره را به اشتراک بگذارید.</v>
      </c>
      <c r="H538" s="1"/>
      <c r="I538" s="1"/>
      <c r="J538" s="1"/>
      <c r="K538" s="1"/>
      <c r="L538" s="1"/>
      <c r="M538" s="1"/>
      <c r="N538" s="1"/>
      <c r="O538" s="1"/>
      <c r="P538" s="1"/>
      <c r="Q538" s="1"/>
      <c r="R538" s="1"/>
      <c r="S538" s="1"/>
      <c r="T538" s="1"/>
      <c r="U538" s="1"/>
      <c r="V538" s="1"/>
      <c r="W538" s="1"/>
      <c r="X538" s="1"/>
      <c r="Y538" s="1"/>
      <c r="Z538" s="1"/>
      <c r="AA538" s="1"/>
      <c r="AB538" s="1"/>
    </row>
    <row r="539" ht="50.25" customHeight="1">
      <c r="A539" s="12">
        <v>535.0</v>
      </c>
      <c r="B539" s="13" t="s">
        <v>476</v>
      </c>
      <c r="C539" s="14" t="s">
        <v>543</v>
      </c>
      <c r="D539" s="1"/>
      <c r="E539" s="15"/>
      <c r="F539" s="1" t="str">
        <f>IFERROR(__xludf.DUMMYFUNCTION("GOOGLETRANSLATE(B539, ""en"", ""fa"")
"),"ایجاد دوره")</f>
        <v>ایجاد دوره</v>
      </c>
      <c r="G539" s="1" t="str">
        <f>IFERROR(__xludf.DUMMYFUNCTION("GOOGLETRANSLATE(C539, ""en"", ""fa"")
"),"مزایای ترکیب فعالیت ها یا مجلات خود انعکاس را برای ارتقای فراشناخت و خودآگاهی بررسی کنید.")</f>
        <v>مزایای ترکیب فعالیت ها یا مجلات خود انعکاس را برای ارتقای فراشناخت و خودآگاهی بررسی کنید.</v>
      </c>
      <c r="H539" s="1"/>
      <c r="I539" s="1"/>
      <c r="J539" s="1"/>
      <c r="K539" s="1"/>
      <c r="L539" s="1"/>
      <c r="M539" s="1"/>
      <c r="N539" s="1"/>
      <c r="O539" s="1"/>
      <c r="P539" s="1"/>
      <c r="Q539" s="1"/>
      <c r="R539" s="1"/>
      <c r="S539" s="1"/>
      <c r="T539" s="1"/>
      <c r="U539" s="1"/>
      <c r="V539" s="1"/>
      <c r="W539" s="1"/>
      <c r="X539" s="1"/>
      <c r="Y539" s="1"/>
      <c r="Z539" s="1"/>
      <c r="AA539" s="1"/>
      <c r="AB539" s="1"/>
    </row>
    <row r="540" ht="50.25" customHeight="1">
      <c r="A540" s="12">
        <v>536.0</v>
      </c>
      <c r="B540" s="13" t="s">
        <v>476</v>
      </c>
      <c r="C540" s="14" t="s">
        <v>544</v>
      </c>
      <c r="D540" s="1"/>
      <c r="E540" s="15"/>
      <c r="F540" s="1" t="str">
        <f>IFERROR(__xludf.DUMMYFUNCTION("GOOGLETRANSLATE(B540, ""en"", ""fa"")
"),"ایجاد دوره")</f>
        <v>ایجاد دوره</v>
      </c>
      <c r="G540" s="1" t="str">
        <f>IFERROR(__xludf.DUMMYFUNCTION("GOOGLETRANSLATE(C540, ""en"", ""fa"")
"),"درباره تأثیر ترکیب محتوای فرهنگی پاسخگو و فراگیر برای پاسخگویی به جمعیت دانش آموزی متنوع بحث کنید.")</f>
        <v>درباره تأثیر ترکیب محتوای فرهنگی پاسخگو و فراگیر برای پاسخگویی به جمعیت دانش آموزی متنوع بحث کنید.</v>
      </c>
      <c r="H540" s="1"/>
      <c r="I540" s="1"/>
      <c r="J540" s="1"/>
      <c r="K540" s="1"/>
      <c r="L540" s="1"/>
      <c r="M540" s="1"/>
      <c r="N540" s="1"/>
      <c r="O540" s="1"/>
      <c r="P540" s="1"/>
      <c r="Q540" s="1"/>
      <c r="R540" s="1"/>
      <c r="S540" s="1"/>
      <c r="T540" s="1"/>
      <c r="U540" s="1"/>
      <c r="V540" s="1"/>
      <c r="W540" s="1"/>
      <c r="X540" s="1"/>
      <c r="Y540" s="1"/>
      <c r="Z540" s="1"/>
      <c r="AA540" s="1"/>
      <c r="AB540" s="1"/>
    </row>
    <row r="541" ht="50.25" customHeight="1">
      <c r="A541" s="12">
        <v>537.0</v>
      </c>
      <c r="B541" s="13" t="s">
        <v>476</v>
      </c>
      <c r="C541" s="14" t="s">
        <v>545</v>
      </c>
      <c r="D541" s="1"/>
      <c r="E541" s="15"/>
      <c r="F541" s="1" t="str">
        <f>IFERROR(__xludf.DUMMYFUNCTION("GOOGLETRANSLATE(B541, ""en"", ""fa"")
"),"ایجاد دوره")</f>
        <v>ایجاد دوره</v>
      </c>
      <c r="G541" s="1" t="str">
        <f>IFERROR(__xludf.DUMMYFUNCTION("GOOGLETRANSLATE(C541, ""en"", ""fa"")
"),"نکاتی را برای ترکیب آموزش های چندرسانه ای یا نمایش برای افزایش درک و توسعه مهارت به اشتراک بگذارید.")</f>
        <v>نکاتی را برای ترکیب آموزش های چندرسانه ای یا نمایش برای افزایش درک و توسعه مهارت به اشتراک بگذارید.</v>
      </c>
      <c r="H541" s="1"/>
      <c r="I541" s="1"/>
      <c r="J541" s="1"/>
      <c r="K541" s="1"/>
      <c r="L541" s="1"/>
      <c r="M541" s="1"/>
      <c r="N541" s="1"/>
      <c r="O541" s="1"/>
      <c r="P541" s="1"/>
      <c r="Q541" s="1"/>
      <c r="R541" s="1"/>
      <c r="S541" s="1"/>
      <c r="T541" s="1"/>
      <c r="U541" s="1"/>
      <c r="V541" s="1"/>
      <c r="W541" s="1"/>
      <c r="X541" s="1"/>
      <c r="Y541" s="1"/>
      <c r="Z541" s="1"/>
      <c r="AA541" s="1"/>
      <c r="AB541" s="1"/>
    </row>
    <row r="542" ht="50.25" customHeight="1">
      <c r="A542" s="12">
        <v>538.0</v>
      </c>
      <c r="B542" s="13" t="s">
        <v>476</v>
      </c>
      <c r="C542" s="14" t="s">
        <v>546</v>
      </c>
      <c r="D542" s="1"/>
      <c r="E542" s="15"/>
      <c r="F542" s="1" t="str">
        <f>IFERROR(__xludf.DUMMYFUNCTION("GOOGLETRANSLATE(B542, ""en"", ""fa"")
"),"ایجاد دوره")</f>
        <v>ایجاد دوره</v>
      </c>
      <c r="G542" s="1" t="str">
        <f>IFERROR(__xludf.DUMMYFUNCTION("GOOGLETRANSLATE(C542, ""en"", ""fa"")
"),"مفهوم ایجاد ارزیابی های قبل و بعد از دوره را برای اندازه گیری رشد دانش آموزان و نتایج یادگیری بررسی کنید.")</f>
        <v>مفهوم ایجاد ارزیابی های قبل و بعد از دوره را برای اندازه گیری رشد دانش آموزان و نتایج یادگیری بررسی کنید.</v>
      </c>
      <c r="H542" s="1"/>
      <c r="I542" s="1"/>
      <c r="J542" s="1"/>
      <c r="K542" s="1"/>
      <c r="L542" s="1"/>
      <c r="M542" s="1"/>
      <c r="N542" s="1"/>
      <c r="O542" s="1"/>
      <c r="P542" s="1"/>
      <c r="Q542" s="1"/>
      <c r="R542" s="1"/>
      <c r="S542" s="1"/>
      <c r="T542" s="1"/>
      <c r="U542" s="1"/>
      <c r="V542" s="1"/>
      <c r="W542" s="1"/>
      <c r="X542" s="1"/>
      <c r="Y542" s="1"/>
      <c r="Z542" s="1"/>
      <c r="AA542" s="1"/>
      <c r="AB542" s="1"/>
    </row>
    <row r="543" ht="50.25" customHeight="1">
      <c r="A543" s="12">
        <v>539.0</v>
      </c>
      <c r="B543" s="13" t="s">
        <v>476</v>
      </c>
      <c r="C543" s="14" t="s">
        <v>547</v>
      </c>
      <c r="D543" s="1"/>
      <c r="E543" s="15"/>
      <c r="F543" s="1" t="str">
        <f>IFERROR(__xludf.DUMMYFUNCTION("GOOGLETRANSLATE(B543, ""en"", ""fa"")
"),"ایجاد دوره")</f>
        <v>ایجاد دوره</v>
      </c>
      <c r="G543" s="1" t="str">
        <f>IFERROR(__xludf.DUMMYFUNCTION("GOOGLETRANSLATE(C543, ""en"", ""fa"")
"),"درباره نقش ایجاد یک جامعه دوره از طریق رویدادهای آنلاین، وبینارها یا جلسات پرسش و پاسخ زنده بحث کنید.")</f>
        <v>درباره نقش ایجاد یک جامعه دوره از طریق رویدادهای آنلاین، وبینارها یا جلسات پرسش و پاسخ زنده بحث کنید.</v>
      </c>
      <c r="H543" s="1"/>
      <c r="I543" s="1"/>
      <c r="J543" s="1"/>
      <c r="K543" s="1"/>
      <c r="L543" s="1"/>
      <c r="M543" s="1"/>
      <c r="N543" s="1"/>
      <c r="O543" s="1"/>
      <c r="P543" s="1"/>
      <c r="Q543" s="1"/>
      <c r="R543" s="1"/>
      <c r="S543" s="1"/>
      <c r="T543" s="1"/>
      <c r="U543" s="1"/>
      <c r="V543" s="1"/>
      <c r="W543" s="1"/>
      <c r="X543" s="1"/>
      <c r="Y543" s="1"/>
      <c r="Z543" s="1"/>
      <c r="AA543" s="1"/>
      <c r="AB543" s="1"/>
    </row>
    <row r="544" ht="50.25" customHeight="1">
      <c r="A544" s="12">
        <v>540.0</v>
      </c>
      <c r="B544" s="13" t="s">
        <v>476</v>
      </c>
      <c r="C544" s="14" t="s">
        <v>548</v>
      </c>
      <c r="D544" s="1"/>
      <c r="E544" s="15"/>
      <c r="F544" s="1" t="str">
        <f>IFERROR(__xludf.DUMMYFUNCTION("GOOGLETRANSLATE(B544, ""en"", ""fa"")
"),"ایجاد دوره")</f>
        <v>ایجاد دوره</v>
      </c>
      <c r="G544" s="1" t="str">
        <f>IFERROR(__xludf.DUMMYFUNCTION("GOOGLETRANSLATE(C544, ""en"", ""fa"")
"),"برای کمک به درک و حفظ، استراتژی‌های طراحی دوره‌های بصری مؤثر، مانند گرافیک یا نمودار را به اشتراک بگذارید.")</f>
        <v>برای کمک به درک و حفظ، استراتژی‌های طراحی دوره‌های بصری مؤثر، مانند گرافیک یا نمودار را به اشتراک بگذارید.</v>
      </c>
      <c r="H544" s="1"/>
      <c r="I544" s="1"/>
      <c r="J544" s="1"/>
      <c r="K544" s="1"/>
      <c r="L544" s="1"/>
      <c r="M544" s="1"/>
      <c r="N544" s="1"/>
      <c r="O544" s="1"/>
      <c r="P544" s="1"/>
      <c r="Q544" s="1"/>
      <c r="R544" s="1"/>
      <c r="S544" s="1"/>
      <c r="T544" s="1"/>
      <c r="U544" s="1"/>
      <c r="V544" s="1"/>
      <c r="W544" s="1"/>
      <c r="X544" s="1"/>
      <c r="Y544" s="1"/>
      <c r="Z544" s="1"/>
      <c r="AA544" s="1"/>
      <c r="AB544" s="1"/>
    </row>
    <row r="545" ht="50.25" customHeight="1">
      <c r="A545" s="12">
        <v>541.0</v>
      </c>
      <c r="B545" s="13" t="s">
        <v>476</v>
      </c>
      <c r="C545" s="14" t="s">
        <v>549</v>
      </c>
      <c r="D545" s="1"/>
      <c r="E545" s="15"/>
      <c r="F545" s="1" t="str">
        <f>IFERROR(__xludf.DUMMYFUNCTION("GOOGLETRANSLATE(B545, ""en"", ""fa"")
"),"ایجاد دوره")</f>
        <v>ایجاد دوره</v>
      </c>
      <c r="G545" s="1" t="str">
        <f>IFERROR(__xludf.DUMMYFUNCTION("GOOGLETRANSLATE(C545, ""en"", ""fa"")
"),"مزایای ارائه منابع تکمیلی، مانند کتاب های الکترونیکی یا مطالب قابل دانلود، برای حمایت از یادگیری دانش آموزان را بررسی کنید.")</f>
        <v>مزایای ارائه منابع تکمیلی، مانند کتاب های الکترونیکی یا مطالب قابل دانلود، برای حمایت از یادگیری دانش آموزان را بررسی کنید.</v>
      </c>
      <c r="H545" s="1"/>
      <c r="I545" s="1"/>
      <c r="J545" s="1"/>
      <c r="K545" s="1"/>
      <c r="L545" s="1"/>
      <c r="M545" s="1"/>
      <c r="N545" s="1"/>
      <c r="O545" s="1"/>
      <c r="P545" s="1"/>
      <c r="Q545" s="1"/>
      <c r="R545" s="1"/>
      <c r="S545" s="1"/>
      <c r="T545" s="1"/>
      <c r="U545" s="1"/>
      <c r="V545" s="1"/>
      <c r="W545" s="1"/>
      <c r="X545" s="1"/>
      <c r="Y545" s="1"/>
      <c r="Z545" s="1"/>
      <c r="AA545" s="1"/>
      <c r="AB545" s="1"/>
    </row>
    <row r="546" ht="50.25" customHeight="1">
      <c r="A546" s="12">
        <v>542.0</v>
      </c>
      <c r="B546" s="13" t="s">
        <v>476</v>
      </c>
      <c r="C546" s="14" t="s">
        <v>550</v>
      </c>
      <c r="D546" s="1"/>
      <c r="E546" s="15"/>
      <c r="F546" s="1" t="str">
        <f>IFERROR(__xludf.DUMMYFUNCTION("GOOGLETRANSLATE(B546, ""en"", ""fa"")
"),"ایجاد دوره")</f>
        <v>ایجاد دوره</v>
      </c>
      <c r="G546" s="1" t="str">
        <f>IFERROR(__xludf.DUMMYFUNCTION("GOOGLETRANSLATE(C546, ""en"", ""fa"")
"),"درباره تأثیر گنجاندن فرصت های خودارزیابی برای توانمندسازی دانش آموزان برای نظارت بر پیشرفت خود بحث کنید.")</f>
        <v>درباره تأثیر گنجاندن فرصت های خودارزیابی برای توانمندسازی دانش آموزان برای نظارت بر پیشرفت خود بحث کنید.</v>
      </c>
      <c r="H546" s="1"/>
      <c r="I546" s="1"/>
      <c r="J546" s="1"/>
      <c r="K546" s="1"/>
      <c r="L546" s="1"/>
      <c r="M546" s="1"/>
      <c r="N546" s="1"/>
      <c r="O546" s="1"/>
      <c r="P546" s="1"/>
      <c r="Q546" s="1"/>
      <c r="R546" s="1"/>
      <c r="S546" s="1"/>
      <c r="T546" s="1"/>
      <c r="U546" s="1"/>
      <c r="V546" s="1"/>
      <c r="W546" s="1"/>
      <c r="X546" s="1"/>
      <c r="Y546" s="1"/>
      <c r="Z546" s="1"/>
      <c r="AA546" s="1"/>
      <c r="AB546" s="1"/>
    </row>
    <row r="547" ht="50.25" customHeight="1">
      <c r="A547" s="12">
        <v>543.0</v>
      </c>
      <c r="B547" s="13" t="s">
        <v>476</v>
      </c>
      <c r="C547" s="14" t="s">
        <v>551</v>
      </c>
      <c r="D547" s="1"/>
      <c r="E547" s="15"/>
      <c r="F547" s="1" t="str">
        <f>IFERROR(__xludf.DUMMYFUNCTION("GOOGLETRANSLATE(B547, ""en"", ""fa"")
"),"ایجاد دوره")</f>
        <v>ایجاد دوره</v>
      </c>
      <c r="G547" s="1" t="str">
        <f>IFERROR(__xludf.DUMMYFUNCTION("GOOGLETRANSLATE(C547, ""en"", ""fa"")
"),"نکاتی را برای طراحی پروژه های مشترک یا تکالیف گروهی برای تقویت کار تیمی و مهارت های ارتباطی به اشتراک بگذارید.")</f>
        <v>نکاتی را برای طراحی پروژه های مشترک یا تکالیف گروهی برای تقویت کار تیمی و مهارت های ارتباطی به اشتراک بگذارید.</v>
      </c>
      <c r="H547" s="1"/>
      <c r="I547" s="1"/>
      <c r="J547" s="1"/>
      <c r="K547" s="1"/>
      <c r="L547" s="1"/>
      <c r="M547" s="1"/>
      <c r="N547" s="1"/>
      <c r="O547" s="1"/>
      <c r="P547" s="1"/>
      <c r="Q547" s="1"/>
      <c r="R547" s="1"/>
      <c r="S547" s="1"/>
      <c r="T547" s="1"/>
      <c r="U547" s="1"/>
      <c r="V547" s="1"/>
      <c r="W547" s="1"/>
      <c r="X547" s="1"/>
      <c r="Y547" s="1"/>
      <c r="Z547" s="1"/>
      <c r="AA547" s="1"/>
      <c r="AB547" s="1"/>
    </row>
    <row r="548" ht="50.25" customHeight="1">
      <c r="A548" s="12">
        <v>544.0</v>
      </c>
      <c r="B548" s="13" t="s">
        <v>476</v>
      </c>
      <c r="C548" s="14" t="s">
        <v>552</v>
      </c>
      <c r="D548" s="1"/>
      <c r="E548" s="15"/>
      <c r="F548" s="1" t="str">
        <f>IFERROR(__xludf.DUMMYFUNCTION("GOOGLETRANSLATE(B548, ""en"", ""fa"")
"),"ایجاد دوره")</f>
        <v>ایجاد دوره</v>
      </c>
      <c r="G548" s="1" t="str">
        <f>IFERROR(__xludf.DUMMYFUNCTION("GOOGLETRANSLATE(C548, ""en"", ""fa"")
"),"مفهوم ترکیب نقاط بازرسی یا آزمون های یادگیری را برای تقویت مفاهیم کلیدی و اطمینان از درک مطلب بررسی کنید.")</f>
        <v>مفهوم ترکیب نقاط بازرسی یا آزمون های یادگیری را برای تقویت مفاهیم کلیدی و اطمینان از درک مطلب بررسی کنید.</v>
      </c>
      <c r="H548" s="1"/>
      <c r="I548" s="1"/>
      <c r="J548" s="1"/>
      <c r="K548" s="1"/>
      <c r="L548" s="1"/>
      <c r="M548" s="1"/>
      <c r="N548" s="1"/>
      <c r="O548" s="1"/>
      <c r="P548" s="1"/>
      <c r="Q548" s="1"/>
      <c r="R548" s="1"/>
      <c r="S548" s="1"/>
      <c r="T548" s="1"/>
      <c r="U548" s="1"/>
      <c r="V548" s="1"/>
      <c r="W548" s="1"/>
      <c r="X548" s="1"/>
      <c r="Y548" s="1"/>
      <c r="Z548" s="1"/>
      <c r="AA548" s="1"/>
      <c r="AB548" s="1"/>
    </row>
    <row r="549" ht="50.25" customHeight="1">
      <c r="A549" s="12">
        <v>545.0</v>
      </c>
      <c r="B549" s="13" t="s">
        <v>476</v>
      </c>
      <c r="C549" s="14" t="s">
        <v>553</v>
      </c>
      <c r="D549" s="1"/>
      <c r="E549" s="15"/>
      <c r="F549" s="1" t="str">
        <f>IFERROR(__xludf.DUMMYFUNCTION("GOOGLETRANSLATE(B549, ""en"", ""fa"")
"),"ایجاد دوره")</f>
        <v>ایجاد دوره</v>
      </c>
      <c r="G549" s="1" t="str">
        <f>IFERROR(__xludf.DUMMYFUNCTION("GOOGLETRANSLATE(C549, ""en"", ""fa"")
"),"درباره نقش ارائه دستورالعمل‌های واضح و دقیق برای تکالیف و فعالیت‌ها برای به حداقل رساندن سردرگمی بحث کنید.")</f>
        <v>درباره نقش ارائه دستورالعمل‌های واضح و دقیق برای تکالیف و فعالیت‌ها برای به حداقل رساندن سردرگمی بحث کنید.</v>
      </c>
      <c r="H549" s="1"/>
      <c r="I549" s="1"/>
      <c r="J549" s="1"/>
      <c r="K549" s="1"/>
      <c r="L549" s="1"/>
      <c r="M549" s="1"/>
      <c r="N549" s="1"/>
      <c r="O549" s="1"/>
      <c r="P549" s="1"/>
      <c r="Q549" s="1"/>
      <c r="R549" s="1"/>
      <c r="S549" s="1"/>
      <c r="T549" s="1"/>
      <c r="U549" s="1"/>
      <c r="V549" s="1"/>
      <c r="W549" s="1"/>
      <c r="X549" s="1"/>
      <c r="Y549" s="1"/>
      <c r="Z549" s="1"/>
      <c r="AA549" s="1"/>
      <c r="AB549" s="1"/>
    </row>
    <row r="550" ht="50.25" customHeight="1">
      <c r="A550" s="12">
        <v>546.0</v>
      </c>
      <c r="B550" s="13" t="s">
        <v>476</v>
      </c>
      <c r="C550" s="14" t="s">
        <v>554</v>
      </c>
      <c r="D550" s="1"/>
      <c r="E550" s="15"/>
      <c r="F550" s="1" t="str">
        <f>IFERROR(__xludf.DUMMYFUNCTION("GOOGLETRANSLATE(B550, ""en"", ""fa"")
"),"ایجاد دوره")</f>
        <v>ایجاد دوره</v>
      </c>
      <c r="G550" s="1" t="str">
        <f>IFERROR(__xludf.DUMMYFUNCTION("GOOGLETRANSLATE(C550, ""en"", ""fa"")
"),"استراتژی‌هایی را برای ترکیب برنامه‌های کاربردی در دنیای واقعی یا مطالعات موردی به اشتراک بگذارید تا شکاف بین تئوری و عمل را پر کنید.")</f>
        <v>استراتژی‌هایی را برای ترکیب برنامه‌های کاربردی در دنیای واقعی یا مطالعات موردی به اشتراک بگذارید تا شکاف بین تئوری و عمل را پر کنید.</v>
      </c>
      <c r="H550" s="1"/>
      <c r="I550" s="1"/>
      <c r="J550" s="1"/>
      <c r="K550" s="1"/>
      <c r="L550" s="1"/>
      <c r="M550" s="1"/>
      <c r="N550" s="1"/>
      <c r="O550" s="1"/>
      <c r="P550" s="1"/>
      <c r="Q550" s="1"/>
      <c r="R550" s="1"/>
      <c r="S550" s="1"/>
      <c r="T550" s="1"/>
      <c r="U550" s="1"/>
      <c r="V550" s="1"/>
      <c r="W550" s="1"/>
      <c r="X550" s="1"/>
      <c r="Y550" s="1"/>
      <c r="Z550" s="1"/>
      <c r="AA550" s="1"/>
      <c r="AB550" s="1"/>
    </row>
    <row r="551" ht="50.25" customHeight="1">
      <c r="A551" s="12">
        <v>547.0</v>
      </c>
      <c r="B551" s="13" t="s">
        <v>476</v>
      </c>
      <c r="C551" s="14" t="s">
        <v>555</v>
      </c>
      <c r="D551" s="1"/>
      <c r="E551" s="15"/>
      <c r="F551" s="1" t="str">
        <f>IFERROR(__xludf.DUMMYFUNCTION("GOOGLETRANSLATE(B551, ""en"", ""fa"")
"),"ایجاد دوره")</f>
        <v>ایجاد دوره</v>
      </c>
      <c r="G551" s="1" t="str">
        <f>IFERROR(__xludf.DUMMYFUNCTION("GOOGLETRANSLATE(C551, ""en"", ""fa"")
"),"مزایای برقراری ارتباط منظم و به‌روزرسانی‌ها را بررسی کنید تا دانش‌آموزان را درگیر و مطلع نگه دارید.")</f>
        <v>مزایای برقراری ارتباط منظم و به‌روزرسانی‌ها را بررسی کنید تا دانش‌آموزان را درگیر و مطلع نگه دارید.</v>
      </c>
      <c r="H551" s="1"/>
      <c r="I551" s="1"/>
      <c r="J551" s="1"/>
      <c r="K551" s="1"/>
      <c r="L551" s="1"/>
      <c r="M551" s="1"/>
      <c r="N551" s="1"/>
      <c r="O551" s="1"/>
      <c r="P551" s="1"/>
      <c r="Q551" s="1"/>
      <c r="R551" s="1"/>
      <c r="S551" s="1"/>
      <c r="T551" s="1"/>
      <c r="U551" s="1"/>
      <c r="V551" s="1"/>
      <c r="W551" s="1"/>
      <c r="X551" s="1"/>
      <c r="Y551" s="1"/>
      <c r="Z551" s="1"/>
      <c r="AA551" s="1"/>
      <c r="AB551" s="1"/>
    </row>
    <row r="552" ht="50.25" customHeight="1">
      <c r="A552" s="12">
        <v>548.0</v>
      </c>
      <c r="B552" s="13" t="s">
        <v>476</v>
      </c>
      <c r="C552" s="14" t="s">
        <v>556</v>
      </c>
      <c r="D552" s="1"/>
      <c r="E552" s="15"/>
      <c r="F552" s="1" t="str">
        <f>IFERROR(__xludf.DUMMYFUNCTION("GOOGLETRANSLATE(B552, ""en"", ""fa"")
"),"ایجاد دوره")</f>
        <v>ایجاد دوره</v>
      </c>
      <c r="G552" s="1" t="str">
        <f>IFERROR(__xludf.DUMMYFUNCTION("GOOGLETRANSLATE(C552, ""en"", ""fa"")
"),"در مورد تأثیر ایجاد یک کتابخانه منبع دوره جامع برای منابع و مواد آموزشی اضافی بحث کنید.")</f>
        <v>در مورد تأثیر ایجاد یک کتابخانه منبع دوره جامع برای منابع و مواد آموزشی اضافی بحث کنید.</v>
      </c>
      <c r="H552" s="1"/>
      <c r="I552" s="1"/>
      <c r="J552" s="1"/>
      <c r="K552" s="1"/>
      <c r="L552" s="1"/>
      <c r="M552" s="1"/>
      <c r="N552" s="1"/>
      <c r="O552" s="1"/>
      <c r="P552" s="1"/>
      <c r="Q552" s="1"/>
      <c r="R552" s="1"/>
      <c r="S552" s="1"/>
      <c r="T552" s="1"/>
      <c r="U552" s="1"/>
      <c r="V552" s="1"/>
      <c r="W552" s="1"/>
      <c r="X552" s="1"/>
      <c r="Y552" s="1"/>
      <c r="Z552" s="1"/>
      <c r="AA552" s="1"/>
      <c r="AB552" s="1"/>
    </row>
    <row r="553" ht="50.25" customHeight="1">
      <c r="A553" s="12">
        <v>549.0</v>
      </c>
      <c r="B553" s="13" t="s">
        <v>476</v>
      </c>
      <c r="C553" s="14" t="s">
        <v>557</v>
      </c>
      <c r="D553" s="1"/>
      <c r="E553" s="15"/>
      <c r="F553" s="1" t="str">
        <f>IFERROR(__xludf.DUMMYFUNCTION("GOOGLETRANSLATE(B553, ""en"", ""fa"")
"),"ایجاد دوره")</f>
        <v>ایجاد دوره</v>
      </c>
      <c r="G553" s="1" t="str">
        <f>IFERROR(__xludf.DUMMYFUNCTION("GOOGLETRANSLATE(C553, ""en"", ""fa"")
"),"اهمیت انجام نیازسنجی برای شناسایی شکاف های دانش و نیازهای یادگیری مخاطبان هدف خود را بررسی کنید.")</f>
        <v>اهمیت انجام نیازسنجی برای شناسایی شکاف های دانش و نیازهای یادگیری مخاطبان هدف خود را بررسی کنید.</v>
      </c>
      <c r="H553" s="1"/>
      <c r="I553" s="1"/>
      <c r="J553" s="1"/>
      <c r="K553" s="1"/>
      <c r="L553" s="1"/>
      <c r="M553" s="1"/>
      <c r="N553" s="1"/>
      <c r="O553" s="1"/>
      <c r="P553" s="1"/>
      <c r="Q553" s="1"/>
      <c r="R553" s="1"/>
      <c r="S553" s="1"/>
      <c r="T553" s="1"/>
      <c r="U553" s="1"/>
      <c r="V553" s="1"/>
      <c r="W553" s="1"/>
      <c r="X553" s="1"/>
      <c r="Y553" s="1"/>
      <c r="Z553" s="1"/>
      <c r="AA553" s="1"/>
      <c r="AB553" s="1"/>
    </row>
    <row r="554" ht="50.25" customHeight="1">
      <c r="A554" s="12">
        <v>550.0</v>
      </c>
      <c r="B554" s="13" t="s">
        <v>476</v>
      </c>
      <c r="C554" s="14" t="s">
        <v>558</v>
      </c>
      <c r="D554" s="1"/>
      <c r="E554" s="15"/>
      <c r="F554" s="1" t="str">
        <f>IFERROR(__xludf.DUMMYFUNCTION("GOOGLETRANSLATE(B554, ""en"", ""fa"")
"),"ایجاد دوره")</f>
        <v>ایجاد دوره</v>
      </c>
      <c r="G554" s="1" t="str">
        <f>IFERROR(__xludf.DUMMYFUNCTION("GOOGLETRANSLATE(C554, ""en"", ""fa"")
"),"در مورد مزایای ترکیب آزمون‌های تعاملی و بررسی دانش در طول دوره برای تقویت یادگیری بحث کنید.")</f>
        <v>در مورد مزایای ترکیب آزمون‌های تعاملی و بررسی دانش در طول دوره برای تقویت یادگیری بحث کنید.</v>
      </c>
      <c r="H554" s="1"/>
      <c r="I554" s="1"/>
      <c r="J554" s="1"/>
      <c r="K554" s="1"/>
      <c r="L554" s="1"/>
      <c r="M554" s="1"/>
      <c r="N554" s="1"/>
      <c r="O554" s="1"/>
      <c r="P554" s="1"/>
      <c r="Q554" s="1"/>
      <c r="R554" s="1"/>
      <c r="S554" s="1"/>
      <c r="T554" s="1"/>
      <c r="U554" s="1"/>
      <c r="V554" s="1"/>
      <c r="W554" s="1"/>
      <c r="X554" s="1"/>
      <c r="Y554" s="1"/>
      <c r="Z554" s="1"/>
      <c r="AA554" s="1"/>
      <c r="AB554" s="1"/>
    </row>
    <row r="555" ht="50.25" customHeight="1">
      <c r="A555" s="12">
        <v>551.0</v>
      </c>
      <c r="B555" s="13" t="s">
        <v>476</v>
      </c>
      <c r="C555" s="14" t="s">
        <v>559</v>
      </c>
      <c r="D555" s="1"/>
      <c r="E555" s="15"/>
      <c r="F555" s="1" t="str">
        <f>IFERROR(__xludf.DUMMYFUNCTION("GOOGLETRANSLATE(B555, ""en"", ""fa"")
"),"ایجاد دوره")</f>
        <v>ایجاد دوره</v>
      </c>
      <c r="G555" s="1" t="str">
        <f>IFERROR(__xludf.DUMMYFUNCTION("GOOGLETRANSLATE(C555, ""en"", ""fa"")
"),"نکاتی را برای طراحی اهداف دوره موثر که خاص، قابل اندازه گیری، قابل دستیابی، مرتبط و محدود به زمان هستند (SMART) به اشتراک بگذارید.")</f>
        <v>نکاتی را برای طراحی اهداف دوره موثر که خاص، قابل اندازه گیری، قابل دستیابی، مرتبط و محدود به زمان هستند (SMART) به اشتراک بگذارید.</v>
      </c>
      <c r="H555" s="1"/>
      <c r="I555" s="1"/>
      <c r="J555" s="1"/>
      <c r="K555" s="1"/>
      <c r="L555" s="1"/>
      <c r="M555" s="1"/>
      <c r="N555" s="1"/>
      <c r="O555" s="1"/>
      <c r="P555" s="1"/>
      <c r="Q555" s="1"/>
      <c r="R555" s="1"/>
      <c r="S555" s="1"/>
      <c r="T555" s="1"/>
      <c r="U555" s="1"/>
      <c r="V555" s="1"/>
      <c r="W555" s="1"/>
      <c r="X555" s="1"/>
      <c r="Y555" s="1"/>
      <c r="Z555" s="1"/>
      <c r="AA555" s="1"/>
      <c r="AB555" s="1"/>
    </row>
    <row r="556" ht="50.25" customHeight="1">
      <c r="A556" s="12">
        <v>552.0</v>
      </c>
      <c r="B556" s="13" t="s">
        <v>476</v>
      </c>
      <c r="C556" s="14" t="s">
        <v>560</v>
      </c>
      <c r="D556" s="1"/>
      <c r="E556" s="15"/>
      <c r="F556" s="1" t="str">
        <f>IFERROR(__xludf.DUMMYFUNCTION("GOOGLETRANSLATE(B556, ""en"", ""fa"")
"),"ایجاد دوره")</f>
        <v>ایجاد دوره</v>
      </c>
      <c r="G556" s="1" t="str">
        <f>IFERROR(__xludf.DUMMYFUNCTION("GOOGLETRANSLATE(C556, ""en"", ""fa"")
"),"مفهوم تكه كردن محتوا را در ماژول‌ها یا درس‌های قابل مدیریت برای افزایش درك و حفظ محتوا بررسی كنید.")</f>
        <v>مفهوم تكه كردن محتوا را در ماژول‌ها یا درس‌های قابل مدیریت برای افزایش درك و حفظ محتوا بررسی كنید.</v>
      </c>
      <c r="H556" s="1"/>
      <c r="I556" s="1"/>
      <c r="J556" s="1"/>
      <c r="K556" s="1"/>
      <c r="L556" s="1"/>
      <c r="M556" s="1"/>
      <c r="N556" s="1"/>
      <c r="O556" s="1"/>
      <c r="P556" s="1"/>
      <c r="Q556" s="1"/>
      <c r="R556" s="1"/>
      <c r="S556" s="1"/>
      <c r="T556" s="1"/>
      <c r="U556" s="1"/>
      <c r="V556" s="1"/>
      <c r="W556" s="1"/>
      <c r="X556" s="1"/>
      <c r="Y556" s="1"/>
      <c r="Z556" s="1"/>
      <c r="AA556" s="1"/>
      <c r="AB556" s="1"/>
    </row>
    <row r="557" ht="50.25" customHeight="1">
      <c r="A557" s="12">
        <v>553.0</v>
      </c>
      <c r="B557" s="13" t="s">
        <v>476</v>
      </c>
      <c r="C557" s="14" t="s">
        <v>561</v>
      </c>
      <c r="D557" s="1"/>
      <c r="E557" s="15"/>
      <c r="F557" s="1" t="str">
        <f>IFERROR(__xludf.DUMMYFUNCTION("GOOGLETRANSLATE(B557, ""en"", ""fa"")
"),"ایجاد دوره")</f>
        <v>ایجاد دوره</v>
      </c>
      <c r="G557" s="1" t="str">
        <f>IFERROR(__xludf.DUMMYFUNCTION("GOOGLETRANSLATE(C557, ""en"", ""fa"")
"),"در مورد نقش ایجاد یک طرح کلی دوره یا نقشه راه که نمای کلی روشنی از موضوعات و پیشرفت ارائه می دهد بحث کنید.")</f>
        <v>در مورد نقش ایجاد یک طرح کلی دوره یا نقشه راه که نمای کلی روشنی از موضوعات و پیشرفت ارائه می دهد بحث کنید.</v>
      </c>
      <c r="H557" s="1"/>
      <c r="I557" s="1"/>
      <c r="J557" s="1"/>
      <c r="K557" s="1"/>
      <c r="L557" s="1"/>
      <c r="M557" s="1"/>
      <c r="N557" s="1"/>
      <c r="O557" s="1"/>
      <c r="P557" s="1"/>
      <c r="Q557" s="1"/>
      <c r="R557" s="1"/>
      <c r="S557" s="1"/>
      <c r="T557" s="1"/>
      <c r="U557" s="1"/>
      <c r="V557" s="1"/>
      <c r="W557" s="1"/>
      <c r="X557" s="1"/>
      <c r="Y557" s="1"/>
      <c r="Z557" s="1"/>
      <c r="AA557" s="1"/>
      <c r="AB557" s="1"/>
    </row>
    <row r="558" ht="50.25" customHeight="1">
      <c r="A558" s="12">
        <v>554.0</v>
      </c>
      <c r="B558" s="13" t="s">
        <v>476</v>
      </c>
      <c r="C558" s="14" t="s">
        <v>562</v>
      </c>
      <c r="D558" s="1"/>
      <c r="E558" s="15"/>
      <c r="F558" s="1" t="str">
        <f>IFERROR(__xludf.DUMMYFUNCTION("GOOGLETRANSLATE(B558, ""en"", ""fa"")
"),"ایجاد دوره")</f>
        <v>ایجاد دوره</v>
      </c>
      <c r="G558" s="1" t="str">
        <f>IFERROR(__xludf.DUMMYFUNCTION("GOOGLETRANSLATE(C558, ""en"", ""fa"")
"),"استراتژی‌هایی را برای ادغام نمونه‌های دنیای واقعی و مطالعات موردی برای نشان دادن کاربردهای عملی مطالب درسی به اشتراک بگذارید.")</f>
        <v>استراتژی‌هایی را برای ادغام نمونه‌های دنیای واقعی و مطالعات موردی برای نشان دادن کاربردهای عملی مطالب درسی به اشتراک بگذارید.</v>
      </c>
      <c r="H558" s="1"/>
      <c r="I558" s="1"/>
      <c r="J558" s="1"/>
      <c r="K558" s="1"/>
      <c r="L558" s="1"/>
      <c r="M558" s="1"/>
      <c r="N558" s="1"/>
      <c r="O558" s="1"/>
      <c r="P558" s="1"/>
      <c r="Q558" s="1"/>
      <c r="R558" s="1"/>
      <c r="S558" s="1"/>
      <c r="T558" s="1"/>
      <c r="U558" s="1"/>
      <c r="V558" s="1"/>
      <c r="W558" s="1"/>
      <c r="X558" s="1"/>
      <c r="Y558" s="1"/>
      <c r="Z558" s="1"/>
      <c r="AA558" s="1"/>
      <c r="AB558" s="1"/>
    </row>
    <row r="559" ht="50.25" customHeight="1">
      <c r="A559" s="12">
        <v>555.0</v>
      </c>
      <c r="B559" s="13" t="s">
        <v>476</v>
      </c>
      <c r="C559" s="14" t="s">
        <v>563</v>
      </c>
      <c r="D559" s="1"/>
      <c r="E559" s="15"/>
      <c r="F559" s="1" t="str">
        <f>IFERROR(__xludf.DUMMYFUNCTION("GOOGLETRANSLATE(B559, ""en"", ""fa"")
"),"ایجاد دوره")</f>
        <v>ایجاد دوره</v>
      </c>
      <c r="G559" s="1" t="str">
        <f>IFERROR(__xludf.DUMMYFUNCTION("GOOGLETRANSLATE(C559, ""en"", ""fa"")
"),"مزایای ترکیب عناصر چندرسانه ای، مانند صدا یا تصویر، برای افزایش تعامل و درک یادگیرنده را بررسی کنید.")</f>
        <v>مزایای ترکیب عناصر چندرسانه ای، مانند صدا یا تصویر، برای افزایش تعامل و درک یادگیرنده را بررسی کنید.</v>
      </c>
      <c r="H559" s="1"/>
      <c r="I559" s="1"/>
      <c r="J559" s="1"/>
      <c r="K559" s="1"/>
      <c r="L559" s="1"/>
      <c r="M559" s="1"/>
      <c r="N559" s="1"/>
      <c r="O559" s="1"/>
      <c r="P559" s="1"/>
      <c r="Q559" s="1"/>
      <c r="R559" s="1"/>
      <c r="S559" s="1"/>
      <c r="T559" s="1"/>
      <c r="U559" s="1"/>
      <c r="V559" s="1"/>
      <c r="W559" s="1"/>
      <c r="X559" s="1"/>
      <c r="Y559" s="1"/>
      <c r="Z559" s="1"/>
      <c r="AA559" s="1"/>
      <c r="AB559" s="1"/>
    </row>
    <row r="560" ht="50.25" customHeight="1">
      <c r="A560" s="12">
        <v>556.0</v>
      </c>
      <c r="B560" s="13" t="s">
        <v>476</v>
      </c>
      <c r="C560" s="14" t="s">
        <v>564</v>
      </c>
      <c r="D560" s="1"/>
      <c r="E560" s="15"/>
      <c r="F560" s="1" t="str">
        <f>IFERROR(__xludf.DUMMYFUNCTION("GOOGLETRANSLATE(B560, ""en"", ""fa"")
"),"ایجاد دوره")</f>
        <v>ایجاد دوره</v>
      </c>
      <c r="G560" s="1" t="str">
        <f>IFERROR(__xludf.DUMMYFUNCTION("GOOGLETRANSLATE(C560, ""en"", ""fa"")
"),"درباره تأثیر ارائه منابع قابل دانلود، مانند برگه ها یا الگوها، برای پشتیبانی از برنامه و تمرین بحث کنید.")</f>
        <v>درباره تأثیر ارائه منابع قابل دانلود، مانند برگه ها یا الگوها، برای پشتیبانی از برنامه و تمرین بحث کنید.</v>
      </c>
      <c r="H560" s="1"/>
      <c r="I560" s="1"/>
      <c r="J560" s="1"/>
      <c r="K560" s="1"/>
      <c r="L560" s="1"/>
      <c r="M560" s="1"/>
      <c r="N560" s="1"/>
      <c r="O560" s="1"/>
      <c r="P560" s="1"/>
      <c r="Q560" s="1"/>
      <c r="R560" s="1"/>
      <c r="S560" s="1"/>
      <c r="T560" s="1"/>
      <c r="U560" s="1"/>
      <c r="V560" s="1"/>
      <c r="W560" s="1"/>
      <c r="X560" s="1"/>
      <c r="Y560" s="1"/>
      <c r="Z560" s="1"/>
      <c r="AA560" s="1"/>
      <c r="AB560" s="1"/>
    </row>
    <row r="561" ht="50.25" customHeight="1">
      <c r="A561" s="12">
        <v>557.0</v>
      </c>
      <c r="B561" s="13" t="s">
        <v>476</v>
      </c>
      <c r="C561" s="14" t="s">
        <v>565</v>
      </c>
      <c r="D561" s="1"/>
      <c r="E561" s="15"/>
      <c r="F561" s="1" t="str">
        <f>IFERROR(__xludf.DUMMYFUNCTION("GOOGLETRANSLATE(B561, ""en"", ""fa"")
"),"ایجاد دوره")</f>
        <v>ایجاد دوره</v>
      </c>
      <c r="G561" s="1" t="str">
        <f>IFERROR(__xludf.DUMMYFUNCTION("GOOGLETRANSLATE(C561, ""en"", ""fa"")
"),"برای تشویق تفکر انتقادی و به اشتراک گذاری دانش، نکاتی را برای ایجاد سؤالات بحث و گفتگوی جذاب به اشتراک بگذارید.")</f>
        <v>برای تشویق تفکر انتقادی و به اشتراک گذاری دانش، نکاتی را برای ایجاد سؤالات بحث و گفتگوی جذاب به اشتراک بگذارید.</v>
      </c>
      <c r="H561" s="1"/>
      <c r="I561" s="1"/>
      <c r="J561" s="1"/>
      <c r="K561" s="1"/>
      <c r="L561" s="1"/>
      <c r="M561" s="1"/>
      <c r="N561" s="1"/>
      <c r="O561" s="1"/>
      <c r="P561" s="1"/>
      <c r="Q561" s="1"/>
      <c r="R561" s="1"/>
      <c r="S561" s="1"/>
      <c r="T561" s="1"/>
      <c r="U561" s="1"/>
      <c r="V561" s="1"/>
      <c r="W561" s="1"/>
      <c r="X561" s="1"/>
      <c r="Y561" s="1"/>
      <c r="Z561" s="1"/>
      <c r="AA561" s="1"/>
      <c r="AB561" s="1"/>
    </row>
    <row r="562" ht="50.25" customHeight="1">
      <c r="A562" s="12">
        <v>558.0</v>
      </c>
      <c r="B562" s="13" t="s">
        <v>476</v>
      </c>
      <c r="C562" s="14" t="s">
        <v>566</v>
      </c>
      <c r="D562" s="1"/>
      <c r="E562" s="15"/>
      <c r="F562" s="1" t="str">
        <f>IFERROR(__xludf.DUMMYFUNCTION("GOOGLETRANSLATE(B562, ""en"", ""fa"")
"),"ایجاد دوره")</f>
        <v>ایجاد دوره</v>
      </c>
      <c r="G562" s="1" t="str">
        <f>IFERROR(__xludf.DUMMYFUNCTION("GOOGLETRANSLATE(C562, ""en"", ""fa"")
"),"مفهوم یادگیری داربستی را با تقسیم موضوعات پیچیده به مفاهیم کوچکتر و قابل مدیریت تر بررسی کنید.")</f>
        <v>مفهوم یادگیری داربستی را با تقسیم موضوعات پیچیده به مفاهیم کوچکتر و قابل مدیریت تر بررسی کنید.</v>
      </c>
      <c r="H562" s="1"/>
      <c r="I562" s="1"/>
      <c r="J562" s="1"/>
      <c r="K562" s="1"/>
      <c r="L562" s="1"/>
      <c r="M562" s="1"/>
      <c r="N562" s="1"/>
      <c r="O562" s="1"/>
      <c r="P562" s="1"/>
      <c r="Q562" s="1"/>
      <c r="R562" s="1"/>
      <c r="S562" s="1"/>
      <c r="T562" s="1"/>
      <c r="U562" s="1"/>
      <c r="V562" s="1"/>
      <c r="W562" s="1"/>
      <c r="X562" s="1"/>
      <c r="Y562" s="1"/>
      <c r="Z562" s="1"/>
      <c r="AA562" s="1"/>
      <c r="AB562" s="1"/>
    </row>
    <row r="563" ht="50.25" customHeight="1">
      <c r="A563" s="12">
        <v>559.0</v>
      </c>
      <c r="B563" s="13" t="s">
        <v>476</v>
      </c>
      <c r="C563" s="14" t="s">
        <v>567</v>
      </c>
      <c r="D563" s="1"/>
      <c r="E563" s="15"/>
      <c r="F563" s="1" t="str">
        <f>IFERROR(__xludf.DUMMYFUNCTION("GOOGLETRANSLATE(B563, ""en"", ""fa"")
"),"ایجاد دوره")</f>
        <v>ایجاد دوره</v>
      </c>
      <c r="G563" s="1" t="str">
        <f>IFERROR(__xludf.DUMMYFUNCTION("GOOGLETRANSLATE(C563, ""en"", ""fa"")
"),"در مورد نقش ارائه بازخورد منظم و انتقاد سازنده برای هدایت پیشرفت و بهبود دانش آموزان بحث کنید.")</f>
        <v>در مورد نقش ارائه بازخورد منظم و انتقاد سازنده برای هدایت پیشرفت و بهبود دانش آموزان بحث کنید.</v>
      </c>
      <c r="H563" s="1"/>
      <c r="I563" s="1"/>
      <c r="J563" s="1"/>
      <c r="K563" s="1"/>
      <c r="L563" s="1"/>
      <c r="M563" s="1"/>
      <c r="N563" s="1"/>
      <c r="O563" s="1"/>
      <c r="P563" s="1"/>
      <c r="Q563" s="1"/>
      <c r="R563" s="1"/>
      <c r="S563" s="1"/>
      <c r="T563" s="1"/>
      <c r="U563" s="1"/>
      <c r="V563" s="1"/>
      <c r="W563" s="1"/>
      <c r="X563" s="1"/>
      <c r="Y563" s="1"/>
      <c r="Z563" s="1"/>
      <c r="AA563" s="1"/>
      <c r="AB563" s="1"/>
    </row>
    <row r="564" ht="50.25" customHeight="1">
      <c r="A564" s="12">
        <v>560.0</v>
      </c>
      <c r="B564" s="13" t="s">
        <v>476</v>
      </c>
      <c r="C564" s="14" t="s">
        <v>568</v>
      </c>
      <c r="D564" s="1"/>
      <c r="E564" s="15"/>
      <c r="F564" s="1" t="str">
        <f>IFERROR(__xludf.DUMMYFUNCTION("GOOGLETRANSLATE(B564, ""en"", ""fa"")
"),"ایجاد دوره")</f>
        <v>ایجاد دوره</v>
      </c>
      <c r="G564" s="1" t="str">
        <f>IFERROR(__xludf.DUMMYFUNCTION("GOOGLETRANSLATE(C564, ""en"", ""fa"")
"),"استراتژی‌هایی را برای ترکیب گزینه‌های یادگیری خودگام، مانند ضرب‌الاجل‌های منعطف یا ماژول‌های خودارزیابی، به اشتراک بگذارید تا سبک‌ها و ترجیحات مختلف یادگیری را در نظر بگیرید.")</f>
        <v>استراتژی‌هایی را برای ترکیب گزینه‌های یادگیری خودگام، مانند ضرب‌الاجل‌های منعطف یا ماژول‌های خودارزیابی، به اشتراک بگذارید تا سبک‌ها و ترجیحات مختلف یادگیری را در نظر بگیرید.</v>
      </c>
      <c r="H564" s="1"/>
      <c r="I564" s="1"/>
      <c r="J564" s="1"/>
      <c r="K564" s="1"/>
      <c r="L564" s="1"/>
      <c r="M564" s="1"/>
      <c r="N564" s="1"/>
      <c r="O564" s="1"/>
      <c r="P564" s="1"/>
      <c r="Q564" s="1"/>
      <c r="R564" s="1"/>
      <c r="S564" s="1"/>
      <c r="T564" s="1"/>
      <c r="U564" s="1"/>
      <c r="V564" s="1"/>
      <c r="W564" s="1"/>
      <c r="X564" s="1"/>
      <c r="Y564" s="1"/>
      <c r="Z564" s="1"/>
      <c r="AA564" s="1"/>
      <c r="AB564" s="1"/>
    </row>
    <row r="565" ht="50.25" customHeight="1">
      <c r="A565" s="12">
        <v>561.0</v>
      </c>
      <c r="B565" s="13" t="s">
        <v>476</v>
      </c>
      <c r="C565" s="14" t="s">
        <v>569</v>
      </c>
      <c r="D565" s="1"/>
      <c r="E565" s="15"/>
      <c r="F565" s="1" t="str">
        <f>IFERROR(__xludf.DUMMYFUNCTION("GOOGLETRANSLATE(B565, ""en"", ""fa"")
"),"ایجاد دوره")</f>
        <v>ایجاد دوره</v>
      </c>
      <c r="G565" s="1" t="str">
        <f>IFERROR(__xludf.DUMMYFUNCTION("GOOGLETRANSLATE(C565, ""en"", ""fa"")
"),"مزایای یکپارچه‌سازی ویژگی‌های یادگیری اجتماعی، مانند بحث‌های همتا به همتا یا پروژه‌های گروهی را برای تقویت همکاری و جامعه بررسی کنید.")</f>
        <v>مزایای یکپارچه‌سازی ویژگی‌های یادگیری اجتماعی، مانند بحث‌های همتا به همتا یا پروژه‌های گروهی را برای تقویت همکاری و جامعه بررسی کنید.</v>
      </c>
      <c r="H565" s="1"/>
      <c r="I565" s="1"/>
      <c r="J565" s="1"/>
      <c r="K565" s="1"/>
      <c r="L565" s="1"/>
      <c r="M565" s="1"/>
      <c r="N565" s="1"/>
      <c r="O565" s="1"/>
      <c r="P565" s="1"/>
      <c r="Q565" s="1"/>
      <c r="R565" s="1"/>
      <c r="S565" s="1"/>
      <c r="T565" s="1"/>
      <c r="U565" s="1"/>
      <c r="V565" s="1"/>
      <c r="W565" s="1"/>
      <c r="X565" s="1"/>
      <c r="Y565" s="1"/>
      <c r="Z565" s="1"/>
      <c r="AA565" s="1"/>
      <c r="AB565" s="1"/>
    </row>
    <row r="566" ht="50.25" customHeight="1">
      <c r="A566" s="12">
        <v>562.0</v>
      </c>
      <c r="B566" s="13" t="s">
        <v>476</v>
      </c>
      <c r="C566" s="14" t="s">
        <v>570</v>
      </c>
      <c r="D566" s="1"/>
      <c r="E566" s="15"/>
      <c r="F566" s="1" t="str">
        <f>IFERROR(__xludf.DUMMYFUNCTION("GOOGLETRANSLATE(B566, ""en"", ""fa"")
"),"ایجاد دوره")</f>
        <v>ایجاد دوره</v>
      </c>
      <c r="G566" s="1" t="str">
        <f>IFERROR(__xludf.DUMMYFUNCTION("GOOGLETRANSLATE(C566, ""en"", ""fa"")
"),"در مورد تأثیر ترکیب کلاس های درس مجازی یا وبینارهای زنده در زمان واقعی برای تسهیل تجربیات یادگیری همزمان بحث کنید.")</f>
        <v>در مورد تأثیر ترکیب کلاس های درس مجازی یا وبینارهای زنده در زمان واقعی برای تسهیل تجربیات یادگیری همزمان بحث کنید.</v>
      </c>
      <c r="H566" s="1"/>
      <c r="I566" s="1"/>
      <c r="J566" s="1"/>
      <c r="K566" s="1"/>
      <c r="L566" s="1"/>
      <c r="M566" s="1"/>
      <c r="N566" s="1"/>
      <c r="O566" s="1"/>
      <c r="P566" s="1"/>
      <c r="Q566" s="1"/>
      <c r="R566" s="1"/>
      <c r="S566" s="1"/>
      <c r="T566" s="1"/>
      <c r="U566" s="1"/>
      <c r="V566" s="1"/>
      <c r="W566" s="1"/>
      <c r="X566" s="1"/>
      <c r="Y566" s="1"/>
      <c r="Z566" s="1"/>
      <c r="AA566" s="1"/>
      <c r="AB566" s="1"/>
    </row>
    <row r="567" ht="50.25" customHeight="1">
      <c r="A567" s="12">
        <v>563.0</v>
      </c>
      <c r="B567" s="13" t="s">
        <v>476</v>
      </c>
      <c r="C567" s="14" t="s">
        <v>571</v>
      </c>
      <c r="D567" s="1"/>
      <c r="E567" s="15"/>
      <c r="F567" s="1" t="str">
        <f>IFERROR(__xludf.DUMMYFUNCTION("GOOGLETRANSLATE(B567, ""en"", ""fa"")
"),"ایجاد دوره")</f>
        <v>ایجاد دوره</v>
      </c>
      <c r="G567" s="1" t="str">
        <f>IFERROR(__xludf.DUMMYFUNCTION("GOOGLETRANSLATE(C567, ""en"", ""fa"")
"),"نکاتی را برای طراحی اسلایدهای جذاب بصری یا وسایل کمک بصری برای افزایش درک و تعامل به اشتراک بگذارید.")</f>
        <v>نکاتی را برای طراحی اسلایدهای جذاب بصری یا وسایل کمک بصری برای افزایش درک و تعامل به اشتراک بگذارید.</v>
      </c>
      <c r="H567" s="1"/>
      <c r="I567" s="1"/>
      <c r="J567" s="1"/>
      <c r="K567" s="1"/>
      <c r="L567" s="1"/>
      <c r="M567" s="1"/>
      <c r="N567" s="1"/>
      <c r="O567" s="1"/>
      <c r="P567" s="1"/>
      <c r="Q567" s="1"/>
      <c r="R567" s="1"/>
      <c r="S567" s="1"/>
      <c r="T567" s="1"/>
      <c r="U567" s="1"/>
      <c r="V567" s="1"/>
      <c r="W567" s="1"/>
      <c r="X567" s="1"/>
      <c r="Y567" s="1"/>
      <c r="Z567" s="1"/>
      <c r="AA567" s="1"/>
      <c r="AB567" s="1"/>
    </row>
    <row r="568" ht="50.25" customHeight="1">
      <c r="A568" s="12">
        <v>564.0</v>
      </c>
      <c r="B568" s="13" t="s">
        <v>476</v>
      </c>
      <c r="C568" s="14" t="s">
        <v>572</v>
      </c>
      <c r="D568" s="1"/>
      <c r="E568" s="15"/>
      <c r="F568" s="1" t="str">
        <f>IFERROR(__xludf.DUMMYFUNCTION("GOOGLETRANSLATE(B568, ""en"", ""fa"")
"),"ایجاد دوره")</f>
        <v>ایجاد دوره</v>
      </c>
      <c r="G568" s="1" t="str">
        <f>IFERROR(__xludf.DUMMYFUNCTION("GOOGLETRANSLATE(C568, ""en"", ""fa"")
"),"مفهوم ترکیب یادگیری یا شبیه‌سازی مبتنی بر سناریو را برای تشویق کاربرد عملی و حل مسئله بررسی کنید.")</f>
        <v>مفهوم ترکیب یادگیری یا شبیه‌سازی مبتنی بر سناریو را برای تشویق کاربرد عملی و حل مسئله بررسی کنید.</v>
      </c>
      <c r="H568" s="1"/>
      <c r="I568" s="1"/>
      <c r="J568" s="1"/>
      <c r="K568" s="1"/>
      <c r="L568" s="1"/>
      <c r="M568" s="1"/>
      <c r="N568" s="1"/>
      <c r="O568" s="1"/>
      <c r="P568" s="1"/>
      <c r="Q568" s="1"/>
      <c r="R568" s="1"/>
      <c r="S568" s="1"/>
      <c r="T568" s="1"/>
      <c r="U568" s="1"/>
      <c r="V568" s="1"/>
      <c r="W568" s="1"/>
      <c r="X568" s="1"/>
      <c r="Y568" s="1"/>
      <c r="Z568" s="1"/>
      <c r="AA568" s="1"/>
      <c r="AB568" s="1"/>
    </row>
    <row r="569" ht="50.25" customHeight="1">
      <c r="A569" s="12">
        <v>565.0</v>
      </c>
      <c r="B569" s="13" t="s">
        <v>476</v>
      </c>
      <c r="C569" s="14" t="s">
        <v>573</v>
      </c>
      <c r="D569" s="1"/>
      <c r="E569" s="15"/>
      <c r="F569" s="1" t="str">
        <f>IFERROR(__xludf.DUMMYFUNCTION("GOOGLETRANSLATE(B569, ""en"", ""fa"")
"),"ایجاد دوره")</f>
        <v>ایجاد دوره</v>
      </c>
      <c r="G569" s="1" t="str">
        <f>IFERROR(__xludf.DUMMYFUNCTION("GOOGLETRANSLATE(C569, ""en"", ""fa"")
"),"در مورد نقش ارائه منابع تکمیلی، مانند خوانش های توصیه شده یا مراجع خارجی، برای تعمیق درک و کاوش بحث کنید.")</f>
        <v>در مورد نقش ارائه منابع تکمیلی، مانند خوانش های توصیه شده یا مراجع خارجی، برای تعمیق درک و کاوش بحث کنید.</v>
      </c>
      <c r="H569" s="1"/>
      <c r="I569" s="1"/>
      <c r="J569" s="1"/>
      <c r="K569" s="1"/>
      <c r="L569" s="1"/>
      <c r="M569" s="1"/>
      <c r="N569" s="1"/>
      <c r="O569" s="1"/>
      <c r="P569" s="1"/>
      <c r="Q569" s="1"/>
      <c r="R569" s="1"/>
      <c r="S569" s="1"/>
      <c r="T569" s="1"/>
      <c r="U569" s="1"/>
      <c r="V569" s="1"/>
      <c r="W569" s="1"/>
      <c r="X569" s="1"/>
      <c r="Y569" s="1"/>
      <c r="Z569" s="1"/>
      <c r="AA569" s="1"/>
      <c r="AB569" s="1"/>
    </row>
    <row r="570" ht="50.25" customHeight="1">
      <c r="A570" s="12">
        <v>566.0</v>
      </c>
      <c r="B570" s="13" t="s">
        <v>476</v>
      </c>
      <c r="C570" s="14" t="s">
        <v>574</v>
      </c>
      <c r="D570" s="1"/>
      <c r="E570" s="15"/>
      <c r="F570" s="1" t="str">
        <f>IFERROR(__xludf.DUMMYFUNCTION("GOOGLETRANSLATE(B570, ""en"", ""fa"")
"),"ایجاد دوره")</f>
        <v>ایجاد دوره</v>
      </c>
      <c r="G570" s="1" t="str">
        <f>IFERROR(__xludf.DUMMYFUNCTION("GOOGLETRANSLATE(C570, ""en"", ""fa"")
"),"برای ارزیابی درک دانش‌آموز، استراتژی‌هایی را برای ایجاد ارزیابی‌های جذاب و تعاملی، مانند آزمون‌ها، تکالیف یا مطالعات موردی به اشتراک بگذارید.")</f>
        <v>برای ارزیابی درک دانش‌آموز، استراتژی‌هایی را برای ایجاد ارزیابی‌های جذاب و تعاملی، مانند آزمون‌ها، تکالیف یا مطالعات موردی به اشتراک بگذارید.</v>
      </c>
      <c r="H570" s="1"/>
      <c r="I570" s="1"/>
      <c r="J570" s="1"/>
      <c r="K570" s="1"/>
      <c r="L570" s="1"/>
      <c r="M570" s="1"/>
      <c r="N570" s="1"/>
      <c r="O570" s="1"/>
      <c r="P570" s="1"/>
      <c r="Q570" s="1"/>
      <c r="R570" s="1"/>
      <c r="S570" s="1"/>
      <c r="T570" s="1"/>
      <c r="U570" s="1"/>
      <c r="V570" s="1"/>
      <c r="W570" s="1"/>
      <c r="X570" s="1"/>
      <c r="Y570" s="1"/>
      <c r="Z570" s="1"/>
      <c r="AA570" s="1"/>
      <c r="AB570" s="1"/>
    </row>
    <row r="571" ht="50.25" customHeight="1">
      <c r="A571" s="12">
        <v>567.0</v>
      </c>
      <c r="B571" s="13" t="s">
        <v>476</v>
      </c>
      <c r="C571" s="14" t="s">
        <v>575</v>
      </c>
      <c r="D571" s="1"/>
      <c r="E571" s="15"/>
      <c r="F571" s="1" t="str">
        <f>IFERROR(__xludf.DUMMYFUNCTION("GOOGLETRANSLATE(B571, ""en"", ""fa"")
"),"ایجاد دوره")</f>
        <v>ایجاد دوره</v>
      </c>
      <c r="G571" s="1" t="str">
        <f>IFERROR(__xludf.DUMMYFUNCTION("GOOGLETRANSLATE(C571, ""en"", ""fa"")
"),"مزایای ارائه انواع فرمت‌های یادگیری، مانند درس‌های مبتنی بر متن، فیلم‌ها، یا تمرین‌های تعاملی را برای پاسخگویی به اولویت‌های یادگیری متنوع بررسی کنید.")</f>
        <v>مزایای ارائه انواع فرمت‌های یادگیری، مانند درس‌های مبتنی بر متن، فیلم‌ها، یا تمرین‌های تعاملی را برای پاسخگویی به اولویت‌های یادگیری متنوع بررسی کنید.</v>
      </c>
      <c r="H571" s="1"/>
      <c r="I571" s="1"/>
      <c r="J571" s="1"/>
      <c r="K571" s="1"/>
      <c r="L571" s="1"/>
      <c r="M571" s="1"/>
      <c r="N571" s="1"/>
      <c r="O571" s="1"/>
      <c r="P571" s="1"/>
      <c r="Q571" s="1"/>
      <c r="R571" s="1"/>
      <c r="S571" s="1"/>
      <c r="T571" s="1"/>
      <c r="U571" s="1"/>
      <c r="V571" s="1"/>
      <c r="W571" s="1"/>
      <c r="X571" s="1"/>
      <c r="Y571" s="1"/>
      <c r="Z571" s="1"/>
      <c r="AA571" s="1"/>
      <c r="AB571" s="1"/>
    </row>
    <row r="572" ht="50.25" customHeight="1">
      <c r="A572" s="12">
        <v>568.0</v>
      </c>
      <c r="B572" s="13" t="s">
        <v>476</v>
      </c>
      <c r="C572" s="14" t="s">
        <v>576</v>
      </c>
      <c r="D572" s="1"/>
      <c r="E572" s="15"/>
      <c r="F572" s="1" t="str">
        <f>IFERROR(__xludf.DUMMYFUNCTION("GOOGLETRANSLATE(B572, ""en"", ""fa"")
"),"ایجاد دوره")</f>
        <v>ایجاد دوره</v>
      </c>
      <c r="G572" s="1" t="str">
        <f>IFERROR(__xludf.DUMMYFUNCTION("GOOGLETRANSLATE(C572, ""en"", ""fa"")
"),"درباره تأثیر ایجاد یک محیط یادگیری حمایتی و فراگیر که به تنوع احترام می گذارد و حس تعلق را تقویت می کند، بحث کنید.")</f>
        <v>درباره تأثیر ایجاد یک محیط یادگیری حمایتی و فراگیر که به تنوع احترام می گذارد و حس تعلق را تقویت می کند، بحث کنید.</v>
      </c>
      <c r="H572" s="1"/>
      <c r="I572" s="1"/>
      <c r="J572" s="1"/>
      <c r="K572" s="1"/>
      <c r="L572" s="1"/>
      <c r="M572" s="1"/>
      <c r="N572" s="1"/>
      <c r="O572" s="1"/>
      <c r="P572" s="1"/>
      <c r="Q572" s="1"/>
      <c r="R572" s="1"/>
      <c r="S572" s="1"/>
      <c r="T572" s="1"/>
      <c r="U572" s="1"/>
      <c r="V572" s="1"/>
      <c r="W572" s="1"/>
      <c r="X572" s="1"/>
      <c r="Y572" s="1"/>
      <c r="Z572" s="1"/>
      <c r="AA572" s="1"/>
      <c r="AB572" s="1"/>
    </row>
    <row r="573" ht="50.25" customHeight="1">
      <c r="A573" s="12">
        <v>569.0</v>
      </c>
      <c r="B573" s="13" t="s">
        <v>476</v>
      </c>
      <c r="C573" s="14" t="s">
        <v>577</v>
      </c>
      <c r="D573" s="1"/>
      <c r="E573" s="15"/>
      <c r="F573" s="1" t="str">
        <f>IFERROR(__xludf.DUMMYFUNCTION("GOOGLETRANSLATE(B573, ""en"", ""fa"")
"),"ایجاد دوره")</f>
        <v>ایجاد دوره</v>
      </c>
      <c r="G573" s="1" t="str">
        <f>IFERROR(__xludf.DUMMYFUNCTION("GOOGLETRANSLATE(C573, ""en"", ""fa"")
"),"نکاتی را برای استفاده از تجزیه و تحلیل و داده های یادگیری برای ردیابی پیشرفت دانش آموزان و شناسایی زمینه های بهبود در طراحی دوره به اشتراک بگذارید.")</f>
        <v>نکاتی را برای استفاده از تجزیه و تحلیل و داده های یادگیری برای ردیابی پیشرفت دانش آموزان و شناسایی زمینه های بهبود در طراحی دوره به اشتراک بگذارید.</v>
      </c>
      <c r="H573" s="1"/>
      <c r="I573" s="1"/>
      <c r="J573" s="1"/>
      <c r="K573" s="1"/>
      <c r="L573" s="1"/>
      <c r="M573" s="1"/>
      <c r="N573" s="1"/>
      <c r="O573" s="1"/>
      <c r="P573" s="1"/>
      <c r="Q573" s="1"/>
      <c r="R573" s="1"/>
      <c r="S573" s="1"/>
      <c r="T573" s="1"/>
      <c r="U573" s="1"/>
      <c r="V573" s="1"/>
      <c r="W573" s="1"/>
      <c r="X573" s="1"/>
      <c r="Y573" s="1"/>
      <c r="Z573" s="1"/>
      <c r="AA573" s="1"/>
      <c r="AB573" s="1"/>
    </row>
    <row r="574" ht="50.25" customHeight="1">
      <c r="A574" s="12">
        <v>570.0</v>
      </c>
      <c r="B574" s="13" t="s">
        <v>476</v>
      </c>
      <c r="C574" s="14" t="s">
        <v>578</v>
      </c>
      <c r="D574" s="1"/>
      <c r="E574" s="15"/>
      <c r="F574" s="1" t="str">
        <f>IFERROR(__xludf.DUMMYFUNCTION("GOOGLETRANSLATE(B574, ""en"", ""fa"")
"),"ایجاد دوره")</f>
        <v>ایجاد دوره</v>
      </c>
      <c r="G574" s="1" t="str">
        <f>IFERROR(__xludf.DUMMYFUNCTION("GOOGLETRANSLATE(C574, ""en"", ""fa"")
"),"مفهوم ترکیب عناصر گیمیفیکیشن، مانند نشان‌ها یا تابلوهای امتیازات، برای افزایش انگیزه و مشارکت یادگیرنده را بررسی کنید.")</f>
        <v>مفهوم ترکیب عناصر گیمیفیکیشن، مانند نشان‌ها یا تابلوهای امتیازات، برای افزایش انگیزه و مشارکت یادگیرنده را بررسی کنید.</v>
      </c>
      <c r="H574" s="1"/>
      <c r="I574" s="1"/>
      <c r="J574" s="1"/>
      <c r="K574" s="1"/>
      <c r="L574" s="1"/>
      <c r="M574" s="1"/>
      <c r="N574" s="1"/>
      <c r="O574" s="1"/>
      <c r="P574" s="1"/>
      <c r="Q574" s="1"/>
      <c r="R574" s="1"/>
      <c r="S574" s="1"/>
      <c r="T574" s="1"/>
      <c r="U574" s="1"/>
      <c r="V574" s="1"/>
      <c r="W574" s="1"/>
      <c r="X574" s="1"/>
      <c r="Y574" s="1"/>
      <c r="Z574" s="1"/>
      <c r="AA574" s="1"/>
      <c r="AB574" s="1"/>
    </row>
    <row r="575" ht="50.25" customHeight="1">
      <c r="A575" s="12">
        <v>571.0</v>
      </c>
      <c r="B575" s="13" t="s">
        <v>476</v>
      </c>
      <c r="C575" s="14" t="s">
        <v>579</v>
      </c>
      <c r="D575" s="1"/>
      <c r="E575" s="15"/>
      <c r="F575" s="1" t="str">
        <f>IFERROR(__xludf.DUMMYFUNCTION("GOOGLETRANSLATE(B575, ""en"", ""fa"")
"),"ایجاد دوره")</f>
        <v>ایجاد دوره</v>
      </c>
      <c r="G575" s="1" t="str">
        <f>IFERROR(__xludf.DUMMYFUNCTION("GOOGLETRANSLATE(C575, ""en"", ""fa"")
"),"در مورد نقش ارائه دستورالعمل ها و انتظارات روشن برای ارزیابی ها و تکالیف برای جلوگیری از سردرگمی و ارتقای موفقیت دانش آموزان بحث کنید.")</f>
        <v>در مورد نقش ارائه دستورالعمل ها و انتظارات روشن برای ارزیابی ها و تکالیف برای جلوگیری از سردرگمی و ارتقای موفقیت دانش آموزان بحث کنید.</v>
      </c>
      <c r="H575" s="1"/>
      <c r="I575" s="1"/>
      <c r="J575" s="1"/>
      <c r="K575" s="1"/>
      <c r="L575" s="1"/>
      <c r="M575" s="1"/>
      <c r="N575" s="1"/>
      <c r="O575" s="1"/>
      <c r="P575" s="1"/>
      <c r="Q575" s="1"/>
      <c r="R575" s="1"/>
      <c r="S575" s="1"/>
      <c r="T575" s="1"/>
      <c r="U575" s="1"/>
      <c r="V575" s="1"/>
      <c r="W575" s="1"/>
      <c r="X575" s="1"/>
      <c r="Y575" s="1"/>
      <c r="Z575" s="1"/>
      <c r="AA575" s="1"/>
      <c r="AB575" s="1"/>
    </row>
    <row r="576" ht="50.25" customHeight="1">
      <c r="A576" s="12">
        <v>572.0</v>
      </c>
      <c r="B576" s="13" t="s">
        <v>476</v>
      </c>
      <c r="C576" s="14" t="s">
        <v>580</v>
      </c>
      <c r="D576" s="1"/>
      <c r="E576" s="15"/>
      <c r="F576" s="1" t="str">
        <f>IFERROR(__xludf.DUMMYFUNCTION("GOOGLETRANSLATE(B576, ""en"", ""fa"")
"),"ایجاد دوره")</f>
        <v>ایجاد دوره</v>
      </c>
      <c r="G576" s="1" t="str">
        <f>IFERROR(__xludf.DUMMYFUNCTION("GOOGLETRANSLATE(C576, ""en"", ""fa"")
"),"راهبردهایی را برای ایجاد فرصت هایی برای تأمل و خودارزیابی یادگیرنده برای تشویق فراشناخت و یادگیری خودراهبر به اشتراک بگذارید.")</f>
        <v>راهبردهایی را برای ایجاد فرصت هایی برای تأمل و خودارزیابی یادگیرنده برای تشویق فراشناخت و یادگیری خودراهبر به اشتراک بگذارید.</v>
      </c>
      <c r="H576" s="1"/>
      <c r="I576" s="1"/>
      <c r="J576" s="1"/>
      <c r="K576" s="1"/>
      <c r="L576" s="1"/>
      <c r="M576" s="1"/>
      <c r="N576" s="1"/>
      <c r="O576" s="1"/>
      <c r="P576" s="1"/>
      <c r="Q576" s="1"/>
      <c r="R576" s="1"/>
      <c r="S576" s="1"/>
      <c r="T576" s="1"/>
      <c r="U576" s="1"/>
      <c r="V576" s="1"/>
      <c r="W576" s="1"/>
      <c r="X576" s="1"/>
      <c r="Y576" s="1"/>
      <c r="Z576" s="1"/>
      <c r="AA576" s="1"/>
      <c r="AB576" s="1"/>
    </row>
    <row r="577" ht="50.25" customHeight="1">
      <c r="A577" s="12">
        <v>573.0</v>
      </c>
      <c r="B577" s="13" t="s">
        <v>476</v>
      </c>
      <c r="C577" s="14" t="s">
        <v>581</v>
      </c>
      <c r="D577" s="1"/>
      <c r="E577" s="15"/>
      <c r="F577" s="1" t="str">
        <f>IFERROR(__xludf.DUMMYFUNCTION("GOOGLETRANSLATE(B577, ""en"", ""fa"")
"),"ایجاد دوره")</f>
        <v>ایجاد دوره</v>
      </c>
      <c r="G577" s="1" t="str">
        <f>IFERROR(__xludf.DUMMYFUNCTION("GOOGLETRANSLATE(C577, ""en"", ""fa"")
"),"مزایای ترکیب کارشناسان صنعت یا سخنرانان مهمان به عنوان سخنرانان مهمان یا مربیان را برای ارائه دیدگاه ها و بینش های بیشتر بررسی کنید.")</f>
        <v>مزایای ترکیب کارشناسان صنعت یا سخنرانان مهمان به عنوان سخنرانان مهمان یا مربیان را برای ارائه دیدگاه ها و بینش های بیشتر بررسی کنید.</v>
      </c>
      <c r="H577" s="1"/>
      <c r="I577" s="1"/>
      <c r="J577" s="1"/>
      <c r="K577" s="1"/>
      <c r="L577" s="1"/>
      <c r="M577" s="1"/>
      <c r="N577" s="1"/>
      <c r="O577" s="1"/>
      <c r="P577" s="1"/>
      <c r="Q577" s="1"/>
      <c r="R577" s="1"/>
      <c r="S577" s="1"/>
      <c r="T577" s="1"/>
      <c r="U577" s="1"/>
      <c r="V577" s="1"/>
      <c r="W577" s="1"/>
      <c r="X577" s="1"/>
      <c r="Y577" s="1"/>
      <c r="Z577" s="1"/>
      <c r="AA577" s="1"/>
      <c r="AB577" s="1"/>
    </row>
    <row r="578" ht="50.25" customHeight="1">
      <c r="A578" s="12">
        <v>574.0</v>
      </c>
      <c r="B578" s="13" t="s">
        <v>476</v>
      </c>
      <c r="C578" s="14" t="s">
        <v>582</v>
      </c>
      <c r="D578" s="1"/>
      <c r="E578" s="15"/>
      <c r="F578" s="1" t="str">
        <f>IFERROR(__xludf.DUMMYFUNCTION("GOOGLETRANSLATE(B578, ""en"", ""fa"")
"),"ایجاد دوره")</f>
        <v>ایجاد دوره</v>
      </c>
      <c r="G578" s="1" t="str">
        <f>IFERROR(__xludf.DUMMYFUNCTION("GOOGLETRANSLATE(C578, ""en"", ""fa"")
"),"در مورد تأثیر پرورش حس اجتماع و تعامل در میان شرکت کنندگان دوره از طریق تالارهای گفتگو یا بسترهای اجتماعی بحث کنید.")</f>
        <v>در مورد تأثیر پرورش حس اجتماع و تعامل در میان شرکت کنندگان دوره از طریق تالارهای گفتگو یا بسترهای اجتماعی بحث کنید.</v>
      </c>
      <c r="H578" s="1"/>
      <c r="I578" s="1"/>
      <c r="J578" s="1"/>
      <c r="K578" s="1"/>
      <c r="L578" s="1"/>
      <c r="M578" s="1"/>
      <c r="N578" s="1"/>
      <c r="O578" s="1"/>
      <c r="P578" s="1"/>
      <c r="Q578" s="1"/>
      <c r="R578" s="1"/>
      <c r="S578" s="1"/>
      <c r="T578" s="1"/>
      <c r="U578" s="1"/>
      <c r="V578" s="1"/>
      <c r="W578" s="1"/>
      <c r="X578" s="1"/>
      <c r="Y578" s="1"/>
      <c r="Z578" s="1"/>
      <c r="AA578" s="1"/>
      <c r="AB578" s="1"/>
    </row>
    <row r="579" ht="50.25" customHeight="1">
      <c r="A579" s="12">
        <v>575.0</v>
      </c>
      <c r="B579" s="13" t="s">
        <v>476</v>
      </c>
      <c r="C579" s="14" t="s">
        <v>583</v>
      </c>
      <c r="D579" s="1"/>
      <c r="E579" s="15"/>
      <c r="F579" s="1" t="str">
        <f>IFERROR(__xludf.DUMMYFUNCTION("GOOGLETRANSLATE(B579, ""en"", ""fa"")
"),"ایجاد دوره")</f>
        <v>ایجاد دوره</v>
      </c>
      <c r="G579" s="1" t="str">
        <f>IFERROR(__xludf.DUMMYFUNCTION("GOOGLETRANSLATE(C579, ""en"", ""fa"")
"),"نکاتی را برای طراحی ابزارها یا داشبوردهای موثر ردیابی پیشرفت به اشتراک بگذارید تا به دانش‌آموزان کمک شود تا بر سفر یادگیری خود نظارت کنند.")</f>
        <v>نکاتی را برای طراحی ابزارها یا داشبوردهای موثر ردیابی پیشرفت به اشتراک بگذارید تا به دانش‌آموزان کمک شود تا بر سفر یادگیری خود نظارت کنند.</v>
      </c>
      <c r="H579" s="1"/>
      <c r="I579" s="1"/>
      <c r="J579" s="1"/>
      <c r="K579" s="1"/>
      <c r="L579" s="1"/>
      <c r="M579" s="1"/>
      <c r="N579" s="1"/>
      <c r="O579" s="1"/>
      <c r="P579" s="1"/>
      <c r="Q579" s="1"/>
      <c r="R579" s="1"/>
      <c r="S579" s="1"/>
      <c r="T579" s="1"/>
      <c r="U579" s="1"/>
      <c r="V579" s="1"/>
      <c r="W579" s="1"/>
      <c r="X579" s="1"/>
      <c r="Y579" s="1"/>
      <c r="Z579" s="1"/>
      <c r="AA579" s="1"/>
      <c r="AB579" s="1"/>
    </row>
    <row r="580" ht="50.25" customHeight="1">
      <c r="A580" s="12">
        <v>576.0</v>
      </c>
      <c r="B580" s="13" t="s">
        <v>476</v>
      </c>
      <c r="C580" s="14" t="s">
        <v>584</v>
      </c>
      <c r="D580" s="1"/>
      <c r="E580" s="15"/>
      <c r="F580" s="1" t="str">
        <f>IFERROR(__xludf.DUMMYFUNCTION("GOOGLETRANSLATE(B580, ""en"", ""fa"")
"),"ایجاد دوره")</f>
        <v>ایجاد دوره</v>
      </c>
      <c r="G580" s="1" t="str">
        <f>IFERROR(__xludf.DUMMYFUNCTION("GOOGLETRANSLATE(C580, ""en"", ""fa"")
"),"مفهوم ارائه مدارک خرد یا نشان برای تأیید و تشخیص دستاوردهای یادگیرنده در دوره را بررسی کنید.")</f>
        <v>مفهوم ارائه مدارک خرد یا نشان برای تأیید و تشخیص دستاوردهای یادگیرنده در دوره را بررسی کنید.</v>
      </c>
      <c r="H580" s="1"/>
      <c r="I580" s="1"/>
      <c r="J580" s="1"/>
      <c r="K580" s="1"/>
      <c r="L580" s="1"/>
      <c r="M580" s="1"/>
      <c r="N580" s="1"/>
      <c r="O580" s="1"/>
      <c r="P580" s="1"/>
      <c r="Q580" s="1"/>
      <c r="R580" s="1"/>
      <c r="S580" s="1"/>
      <c r="T580" s="1"/>
      <c r="U580" s="1"/>
      <c r="V580" s="1"/>
      <c r="W580" s="1"/>
      <c r="X580" s="1"/>
      <c r="Y580" s="1"/>
      <c r="Z580" s="1"/>
      <c r="AA580" s="1"/>
      <c r="AB580" s="1"/>
    </row>
    <row r="581" ht="50.25" customHeight="1">
      <c r="A581" s="12">
        <v>577.0</v>
      </c>
      <c r="B581" s="13" t="s">
        <v>476</v>
      </c>
      <c r="C581" s="14" t="s">
        <v>585</v>
      </c>
      <c r="D581" s="1"/>
      <c r="E581" s="15"/>
      <c r="F581" s="1" t="str">
        <f>IFERROR(__xludf.DUMMYFUNCTION("GOOGLETRANSLATE(B581, ""en"", ""fa"")
"),"ایجاد دوره")</f>
        <v>ایجاد دوره</v>
      </c>
      <c r="G581" s="1" t="str">
        <f>IFERROR(__xludf.DUMMYFUNCTION("GOOGLETRANSLATE(C581, ""en"", ""fa"")
"),"درباره نقش ارائه کانال های پشتیبانی به موقع و پاسخگو، مانند پشتیبانی ایمیل یا انجمن های اختصاصی، برای رسیدگی به سوالات و نگرانی های دانش آموزان بحث کنید.")</f>
        <v>درباره نقش ارائه کانال های پشتیبانی به موقع و پاسخگو، مانند پشتیبانی ایمیل یا انجمن های اختصاصی، برای رسیدگی به سوالات و نگرانی های دانش آموزان بحث کنید.</v>
      </c>
      <c r="H581" s="1"/>
      <c r="I581" s="1"/>
      <c r="J581" s="1"/>
      <c r="K581" s="1"/>
      <c r="L581" s="1"/>
      <c r="M581" s="1"/>
      <c r="N581" s="1"/>
      <c r="O581" s="1"/>
      <c r="P581" s="1"/>
      <c r="Q581" s="1"/>
      <c r="R581" s="1"/>
      <c r="S581" s="1"/>
      <c r="T581" s="1"/>
      <c r="U581" s="1"/>
      <c r="V581" s="1"/>
      <c r="W581" s="1"/>
      <c r="X581" s="1"/>
      <c r="Y581" s="1"/>
      <c r="Z581" s="1"/>
      <c r="AA581" s="1"/>
      <c r="AB581" s="1"/>
    </row>
    <row r="582" ht="50.25" customHeight="1">
      <c r="A582" s="12">
        <v>578.0</v>
      </c>
      <c r="B582" s="13" t="s">
        <v>476</v>
      </c>
      <c r="C582" s="14" t="s">
        <v>586</v>
      </c>
      <c r="D582" s="1"/>
      <c r="E582" s="15"/>
      <c r="F582" s="1" t="str">
        <f>IFERROR(__xludf.DUMMYFUNCTION("GOOGLETRANSLATE(B582, ""en"", ""fa"")
"),"ایجاد دوره")</f>
        <v>ایجاد دوره</v>
      </c>
      <c r="G582" s="1" t="str">
        <f>IFERROR(__xludf.DUMMYFUNCTION("GOOGLETRANSLATE(C582, ""en"", ""fa"")
"),"استراتژی‌هایی را برای ترکیب حلقه‌های بازخورد شکل‌دهنده در طول دوره به اشتراک بگذارید تا بهبود مستمر و یادگیری را ارتقا دهید.")</f>
        <v>استراتژی‌هایی را برای ترکیب حلقه‌های بازخورد شکل‌دهنده در طول دوره به اشتراک بگذارید تا بهبود مستمر و یادگیری را ارتقا دهید.</v>
      </c>
      <c r="H582" s="1"/>
      <c r="I582" s="1"/>
      <c r="J582" s="1"/>
      <c r="K582" s="1"/>
      <c r="L582" s="1"/>
      <c r="M582" s="1"/>
      <c r="N582" s="1"/>
      <c r="O582" s="1"/>
      <c r="P582" s="1"/>
      <c r="Q582" s="1"/>
      <c r="R582" s="1"/>
      <c r="S582" s="1"/>
      <c r="T582" s="1"/>
      <c r="U582" s="1"/>
      <c r="V582" s="1"/>
      <c r="W582" s="1"/>
      <c r="X582" s="1"/>
      <c r="Y582" s="1"/>
      <c r="Z582" s="1"/>
      <c r="AA582" s="1"/>
      <c r="AB582" s="1"/>
    </row>
    <row r="583" ht="50.25" customHeight="1">
      <c r="A583" s="12">
        <v>579.0</v>
      </c>
      <c r="B583" s="13" t="s">
        <v>476</v>
      </c>
      <c r="C583" s="14" t="s">
        <v>587</v>
      </c>
      <c r="D583" s="1"/>
      <c r="E583" s="15"/>
      <c r="F583" s="1" t="str">
        <f>IFERROR(__xludf.DUMMYFUNCTION("GOOGLETRANSLATE(B583, ""en"", ""fa"")
"),"ایجاد دوره")</f>
        <v>ایجاد دوره</v>
      </c>
      <c r="G583" s="1" t="str">
        <f>IFERROR(__xludf.DUMMYFUNCTION("GOOGLETRANSLATE(C583, ""en"", ""fa"")
"),"مزایای ترکیب ابزارهای همکاری بلادرنگ، مانند اسناد مشترک یا تخته‌های سفید مجازی، برای پروژه‌های گروهی یا جلسات طوفان فکری را کاوش کنید.")</f>
        <v>مزایای ترکیب ابزارهای همکاری بلادرنگ، مانند اسناد مشترک یا تخته‌های سفید مجازی، برای پروژه‌های گروهی یا جلسات طوفان فکری را کاوش کنید.</v>
      </c>
      <c r="H583" s="1"/>
      <c r="I583" s="1"/>
      <c r="J583" s="1"/>
      <c r="K583" s="1"/>
      <c r="L583" s="1"/>
      <c r="M583" s="1"/>
      <c r="N583" s="1"/>
      <c r="O583" s="1"/>
      <c r="P583" s="1"/>
      <c r="Q583" s="1"/>
      <c r="R583" s="1"/>
      <c r="S583" s="1"/>
      <c r="T583" s="1"/>
      <c r="U583" s="1"/>
      <c r="V583" s="1"/>
      <c r="W583" s="1"/>
      <c r="X583" s="1"/>
      <c r="Y583" s="1"/>
      <c r="Z583" s="1"/>
      <c r="AA583" s="1"/>
      <c r="AB583" s="1"/>
    </row>
    <row r="584" ht="50.25" customHeight="1">
      <c r="A584" s="12">
        <v>580.0</v>
      </c>
      <c r="B584" s="13" t="s">
        <v>476</v>
      </c>
      <c r="C584" s="14" t="s">
        <v>588</v>
      </c>
      <c r="D584" s="1"/>
      <c r="E584" s="15"/>
      <c r="F584" s="1" t="str">
        <f>IFERROR(__xludf.DUMMYFUNCTION("GOOGLETRANSLATE(B584, ""en"", ""fa"")
"),"ایجاد دوره")</f>
        <v>ایجاد دوره</v>
      </c>
      <c r="G584" s="1" t="str">
        <f>IFERROR(__xludf.DUMMYFUNCTION("GOOGLETRANSLATE(C584, ""en"", ""fa"")
"),"درباره تأثیر ترکیب روندهای صنعت و موضوعات در حال ظهور بحث کنید تا مطمئن شوید که دوره مرتبط و به روز باقی می ماند.")</f>
        <v>درباره تأثیر ترکیب روندهای صنعت و موضوعات در حال ظهور بحث کنید تا مطمئن شوید که دوره مرتبط و به روز باقی می ماند.</v>
      </c>
      <c r="H584" s="1"/>
      <c r="I584" s="1"/>
      <c r="J584" s="1"/>
      <c r="K584" s="1"/>
      <c r="L584" s="1"/>
      <c r="M584" s="1"/>
      <c r="N584" s="1"/>
      <c r="O584" s="1"/>
      <c r="P584" s="1"/>
      <c r="Q584" s="1"/>
      <c r="R584" s="1"/>
      <c r="S584" s="1"/>
      <c r="T584" s="1"/>
      <c r="U584" s="1"/>
      <c r="V584" s="1"/>
      <c r="W584" s="1"/>
      <c r="X584" s="1"/>
      <c r="Y584" s="1"/>
      <c r="Z584" s="1"/>
      <c r="AA584" s="1"/>
      <c r="AB584" s="1"/>
    </row>
    <row r="585" ht="50.25" customHeight="1">
      <c r="A585" s="12">
        <v>581.0</v>
      </c>
      <c r="B585" s="13" t="s">
        <v>476</v>
      </c>
      <c r="C585" s="14" t="s">
        <v>589</v>
      </c>
      <c r="D585" s="1"/>
      <c r="E585" s="15"/>
      <c r="F585" s="1" t="str">
        <f>IFERROR(__xludf.DUMMYFUNCTION("GOOGLETRANSLATE(B585, ""en"", ""fa"")
"),"ایجاد دوره")</f>
        <v>ایجاد دوره</v>
      </c>
      <c r="G585" s="1" t="str">
        <f>IFERROR(__xludf.DUMMYFUNCTION("GOOGLETRANSLATE(C585, ""en"", ""fa"")
"),"نکاتی را برای طراحی ارزیابی هایی به اشتراک بگذارید که مهارت های تفکر درجه بالاتر را ارزیابی می کنند، مانند تجزیه و تحلیل، ترکیب و ارزیابی.")</f>
        <v>نکاتی را برای طراحی ارزیابی هایی به اشتراک بگذارید که مهارت های تفکر درجه بالاتر را ارزیابی می کنند، مانند تجزیه و تحلیل، ترکیب و ارزیابی.</v>
      </c>
      <c r="H585" s="1"/>
      <c r="I585" s="1"/>
      <c r="J585" s="1"/>
      <c r="K585" s="1"/>
      <c r="L585" s="1"/>
      <c r="M585" s="1"/>
      <c r="N585" s="1"/>
      <c r="O585" s="1"/>
      <c r="P585" s="1"/>
      <c r="Q585" s="1"/>
      <c r="R585" s="1"/>
      <c r="S585" s="1"/>
      <c r="T585" s="1"/>
      <c r="U585" s="1"/>
      <c r="V585" s="1"/>
      <c r="W585" s="1"/>
      <c r="X585" s="1"/>
      <c r="Y585" s="1"/>
      <c r="Z585" s="1"/>
      <c r="AA585" s="1"/>
      <c r="AB585" s="1"/>
    </row>
    <row r="586" ht="50.25" customHeight="1">
      <c r="A586" s="12">
        <v>582.0</v>
      </c>
      <c r="B586" s="13" t="s">
        <v>476</v>
      </c>
      <c r="C586" s="14" t="s">
        <v>590</v>
      </c>
      <c r="D586" s="1"/>
      <c r="E586" s="15"/>
      <c r="F586" s="1" t="str">
        <f>IFERROR(__xludf.DUMMYFUNCTION("GOOGLETRANSLATE(B586, ""en"", ""fa"")
"),"ایجاد دوره")</f>
        <v>ایجاد دوره</v>
      </c>
      <c r="G586" s="1" t="str">
        <f>IFERROR(__xludf.DUMMYFUNCTION("GOOGLETRANSLATE(C586, ""en"", ""fa"")
"),"مفهوم یادگیری تطبیقی ​​را بررسی کنید و اینکه چگونه مسیرهای یادگیری شخصی‌شده می‌تواند نیازها و ترجیحات دانش‌آموز را برآورده کند.")</f>
        <v>مفهوم یادگیری تطبیقی ​​را بررسی کنید و اینکه چگونه مسیرهای یادگیری شخصی‌شده می‌تواند نیازها و ترجیحات دانش‌آموز را برآورده کند.</v>
      </c>
      <c r="H586" s="1"/>
      <c r="I586" s="1"/>
      <c r="J586" s="1"/>
      <c r="K586" s="1"/>
      <c r="L586" s="1"/>
      <c r="M586" s="1"/>
      <c r="N586" s="1"/>
      <c r="O586" s="1"/>
      <c r="P586" s="1"/>
      <c r="Q586" s="1"/>
      <c r="R586" s="1"/>
      <c r="S586" s="1"/>
      <c r="T586" s="1"/>
      <c r="U586" s="1"/>
      <c r="V586" s="1"/>
      <c r="W586" s="1"/>
      <c r="X586" s="1"/>
      <c r="Y586" s="1"/>
      <c r="Z586" s="1"/>
      <c r="AA586" s="1"/>
      <c r="AB586" s="1"/>
    </row>
    <row r="587" ht="50.25" customHeight="1">
      <c r="A587" s="12">
        <v>583.0</v>
      </c>
      <c r="B587" s="13" t="s">
        <v>476</v>
      </c>
      <c r="C587" s="14" t="s">
        <v>591</v>
      </c>
      <c r="D587" s="1"/>
      <c r="E587" s="15"/>
      <c r="F587" s="1" t="str">
        <f>IFERROR(__xludf.DUMMYFUNCTION("GOOGLETRANSLATE(B587, ""en"", ""fa"")
"),"ایجاد دوره")</f>
        <v>ایجاد دوره</v>
      </c>
      <c r="G587" s="1" t="str">
        <f>IFERROR(__xludf.DUMMYFUNCTION("GOOGLETRANSLATE(C587, ""en"", ""fa"")
"),"درباره نقش بازخورد و ارزیابی همتایان در ارتقای یادگیری فعال و ارائه دیدگاه‌های چندگانه در مورد کار دانش‌آموز بحث کنید.")</f>
        <v>درباره نقش بازخورد و ارزیابی همتایان در ارتقای یادگیری فعال و ارائه دیدگاه‌های چندگانه در مورد کار دانش‌آموز بحث کنید.</v>
      </c>
      <c r="H587" s="1"/>
      <c r="I587" s="1"/>
      <c r="J587" s="1"/>
      <c r="K587" s="1"/>
      <c r="L587" s="1"/>
      <c r="M587" s="1"/>
      <c r="N587" s="1"/>
      <c r="O587" s="1"/>
      <c r="P587" s="1"/>
      <c r="Q587" s="1"/>
      <c r="R587" s="1"/>
      <c r="S587" s="1"/>
      <c r="T587" s="1"/>
      <c r="U587" s="1"/>
      <c r="V587" s="1"/>
      <c r="W587" s="1"/>
      <c r="X587" s="1"/>
      <c r="Y587" s="1"/>
      <c r="Z587" s="1"/>
      <c r="AA587" s="1"/>
      <c r="AB587" s="1"/>
    </row>
    <row r="588" ht="50.25" customHeight="1">
      <c r="A588" s="12">
        <v>584.0</v>
      </c>
      <c r="B588" s="13" t="s">
        <v>476</v>
      </c>
      <c r="C588" s="14" t="s">
        <v>592</v>
      </c>
      <c r="D588" s="1"/>
      <c r="E588" s="15"/>
      <c r="F588" s="1" t="str">
        <f>IFERROR(__xludf.DUMMYFUNCTION("GOOGLETRANSLATE(B588, ""en"", ""fa"")
"),"ایجاد دوره")</f>
        <v>ایجاد دوره</v>
      </c>
      <c r="G588" s="1" t="str">
        <f>IFERROR(__xludf.DUMMYFUNCTION("GOOGLETRANSLATE(C588, ""en"", ""fa"")
"),"به اشتراک گذاشتن راهبردها برای ایجاد فرصت هایی برای خود اندیشی و خود ارزیابی برای ارتقای خودآگاهی و خودسازی.")</f>
        <v>به اشتراک گذاشتن راهبردها برای ایجاد فرصت هایی برای خود اندیشی و خود ارزیابی برای ارتقای خودآگاهی و خودسازی.</v>
      </c>
      <c r="H588" s="1"/>
      <c r="I588" s="1"/>
      <c r="J588" s="1"/>
      <c r="K588" s="1"/>
      <c r="L588" s="1"/>
      <c r="M588" s="1"/>
      <c r="N588" s="1"/>
      <c r="O588" s="1"/>
      <c r="P588" s="1"/>
      <c r="Q588" s="1"/>
      <c r="R588" s="1"/>
      <c r="S588" s="1"/>
      <c r="T588" s="1"/>
      <c r="U588" s="1"/>
      <c r="V588" s="1"/>
      <c r="W588" s="1"/>
      <c r="X588" s="1"/>
      <c r="Y588" s="1"/>
      <c r="Z588" s="1"/>
      <c r="AA588" s="1"/>
      <c r="AB588" s="1"/>
    </row>
    <row r="589" ht="50.25" customHeight="1">
      <c r="A589" s="12">
        <v>585.0</v>
      </c>
      <c r="B589" s="13" t="s">
        <v>476</v>
      </c>
      <c r="C589" s="14" t="s">
        <v>593</v>
      </c>
      <c r="D589" s="1"/>
      <c r="E589" s="15"/>
      <c r="F589" s="1" t="str">
        <f>IFERROR(__xludf.DUMMYFUNCTION("GOOGLETRANSLATE(B589, ""en"", ""fa"")
"),"ایجاد دوره")</f>
        <v>ایجاد دوره</v>
      </c>
      <c r="G589" s="1" t="str">
        <f>IFERROR(__xludf.DUMMYFUNCTION("GOOGLETRANSLATE(C589, ""en"", ""fa"")
"),"مزایای ترکیب تابلوها یا انجمن های گفتگوی ناهمزمان را برای تسهیل بحث های جاری و تبادل دانش بررسی کنید.")</f>
        <v>مزایای ترکیب تابلوها یا انجمن های گفتگوی ناهمزمان را برای تسهیل بحث های جاری و تبادل دانش بررسی کنید.</v>
      </c>
      <c r="H589" s="1"/>
      <c r="I589" s="1"/>
      <c r="J589" s="1"/>
      <c r="K589" s="1"/>
      <c r="L589" s="1"/>
      <c r="M589" s="1"/>
      <c r="N589" s="1"/>
      <c r="O589" s="1"/>
      <c r="P589" s="1"/>
      <c r="Q589" s="1"/>
      <c r="R589" s="1"/>
      <c r="S589" s="1"/>
      <c r="T589" s="1"/>
      <c r="U589" s="1"/>
      <c r="V589" s="1"/>
      <c r="W589" s="1"/>
      <c r="X589" s="1"/>
      <c r="Y589" s="1"/>
      <c r="Z589" s="1"/>
      <c r="AA589" s="1"/>
      <c r="AB589" s="1"/>
    </row>
    <row r="590" ht="50.25" customHeight="1">
      <c r="A590" s="12">
        <v>586.0</v>
      </c>
      <c r="B590" s="13" t="s">
        <v>476</v>
      </c>
      <c r="C590" s="14" t="s">
        <v>594</v>
      </c>
      <c r="D590" s="1"/>
      <c r="E590" s="15"/>
      <c r="F590" s="1" t="str">
        <f>IFERROR(__xludf.DUMMYFUNCTION("GOOGLETRANSLATE(B590, ""en"", ""fa"")
"),"ایجاد دوره")</f>
        <v>ایجاد دوره</v>
      </c>
      <c r="G590" s="1" t="str">
        <f>IFERROR(__xludf.DUMMYFUNCTION("GOOGLETRANSLATE(C590, ""en"", ""fa"")
"),"درباره تأثیر ترکیب پروژه‌های دنیای واقعی یا مطالعات موردی که به دانش‌آموزان اجازه می‌دهد تا یادگیری خود را در زمینه‌های عملی به کار ببرند، بحث کنید.")</f>
        <v>درباره تأثیر ترکیب پروژه‌های دنیای واقعی یا مطالعات موردی که به دانش‌آموزان اجازه می‌دهد تا یادگیری خود را در زمینه‌های عملی به کار ببرند، بحث کنید.</v>
      </c>
      <c r="H590" s="1"/>
      <c r="I590" s="1"/>
      <c r="J590" s="1"/>
      <c r="K590" s="1"/>
      <c r="L590" s="1"/>
      <c r="M590" s="1"/>
      <c r="N590" s="1"/>
      <c r="O590" s="1"/>
      <c r="P590" s="1"/>
      <c r="Q590" s="1"/>
      <c r="R590" s="1"/>
      <c r="S590" s="1"/>
      <c r="T590" s="1"/>
      <c r="U590" s="1"/>
      <c r="V590" s="1"/>
      <c r="W590" s="1"/>
      <c r="X590" s="1"/>
      <c r="Y590" s="1"/>
      <c r="Z590" s="1"/>
      <c r="AA590" s="1"/>
      <c r="AB590" s="1"/>
    </row>
    <row r="591" ht="50.25" customHeight="1">
      <c r="A591" s="12">
        <v>587.0</v>
      </c>
      <c r="B591" s="13" t="s">
        <v>476</v>
      </c>
      <c r="C591" s="14" t="s">
        <v>595</v>
      </c>
      <c r="D591" s="1"/>
      <c r="E591" s="15"/>
      <c r="F591" s="1" t="str">
        <f>IFERROR(__xludf.DUMMYFUNCTION("GOOGLETRANSLATE(B591, ""en"", ""fa"")
"),"ایجاد دوره")</f>
        <v>ایجاد دوره</v>
      </c>
      <c r="G591" s="1" t="str">
        <f>IFERROR(__xludf.DUMMYFUNCTION("GOOGLETRANSLATE(C591, ""en"", ""fa"")
"),"نکاتی را برای ایجاد تریلرهای جذاب و بصری جذاب یا ویدیوهای تبلیغاتی برای ایجاد علاقه و جذب زبان آموزان به اشتراک بگذارید.")</f>
        <v>نکاتی را برای ایجاد تریلرهای جذاب و بصری جذاب یا ویدیوهای تبلیغاتی برای ایجاد علاقه و جذب زبان آموزان به اشتراک بگذارید.</v>
      </c>
      <c r="H591" s="1"/>
      <c r="I591" s="1"/>
      <c r="J591" s="1"/>
      <c r="K591" s="1"/>
      <c r="L591" s="1"/>
      <c r="M591" s="1"/>
      <c r="N591" s="1"/>
      <c r="O591" s="1"/>
      <c r="P591" s="1"/>
      <c r="Q591" s="1"/>
      <c r="R591" s="1"/>
      <c r="S591" s="1"/>
      <c r="T591" s="1"/>
      <c r="U591" s="1"/>
      <c r="V591" s="1"/>
      <c r="W591" s="1"/>
      <c r="X591" s="1"/>
      <c r="Y591" s="1"/>
      <c r="Z591" s="1"/>
      <c r="AA591" s="1"/>
      <c r="AB591" s="1"/>
    </row>
    <row r="592" ht="50.25" customHeight="1">
      <c r="A592" s="12">
        <v>588.0</v>
      </c>
      <c r="B592" s="13" t="s">
        <v>476</v>
      </c>
      <c r="C592" s="14" t="s">
        <v>596</v>
      </c>
      <c r="D592" s="1"/>
      <c r="E592" s="15"/>
      <c r="F592" s="1" t="str">
        <f>IFERROR(__xludf.DUMMYFUNCTION("GOOGLETRANSLATE(B592, ""en"", ""fa"")
"),"ایجاد دوره")</f>
        <v>ایجاد دوره</v>
      </c>
      <c r="G592" s="1" t="str">
        <f>IFERROR(__xludf.DUMMYFUNCTION("GOOGLETRANSLATE(C592, ""en"", ""fa"")
"),"مفهوم فراهم کردن فرصت هایی برای فراگیران برای ارتباط با متخصصان صنعت یا فارغ التحصیلان برای شبکه سازی یا راهنمایی را بررسی کنید.")</f>
        <v>مفهوم فراهم کردن فرصت هایی برای فراگیران برای ارتباط با متخصصان صنعت یا فارغ التحصیلان برای شبکه سازی یا راهنمایی را بررسی کنید.</v>
      </c>
      <c r="H592" s="1"/>
      <c r="I592" s="1"/>
      <c r="J592" s="1"/>
      <c r="K592" s="1"/>
      <c r="L592" s="1"/>
      <c r="M592" s="1"/>
      <c r="N592" s="1"/>
      <c r="O592" s="1"/>
      <c r="P592" s="1"/>
      <c r="Q592" s="1"/>
      <c r="R592" s="1"/>
      <c r="S592" s="1"/>
      <c r="T592" s="1"/>
      <c r="U592" s="1"/>
      <c r="V592" s="1"/>
      <c r="W592" s="1"/>
      <c r="X592" s="1"/>
      <c r="Y592" s="1"/>
      <c r="Z592" s="1"/>
      <c r="AA592" s="1"/>
      <c r="AB592" s="1"/>
    </row>
    <row r="593" ht="50.25" customHeight="1">
      <c r="A593" s="12">
        <v>589.0</v>
      </c>
      <c r="B593" s="13" t="s">
        <v>476</v>
      </c>
      <c r="C593" s="14" t="s">
        <v>597</v>
      </c>
      <c r="D593" s="1"/>
      <c r="E593" s="15"/>
      <c r="F593" s="1" t="str">
        <f>IFERROR(__xludf.DUMMYFUNCTION("GOOGLETRANSLATE(B593, ""en"", ""fa"")
"),"ایجاد دوره")</f>
        <v>ایجاد دوره</v>
      </c>
      <c r="G593" s="1" t="str">
        <f>IFERROR(__xludf.DUMMYFUNCTION("GOOGLETRANSLATE(C593, ""en"", ""fa"")
"),"در مورد نقش ترکیب ارزیابی دوره های منظم و نظرسنجی های بازخورد برای جمع آوری بینش برای بهبود دوره بحث کنید.")</f>
        <v>در مورد نقش ترکیب ارزیابی دوره های منظم و نظرسنجی های بازخورد برای جمع آوری بینش برای بهبود دوره بحث کنید.</v>
      </c>
      <c r="H593" s="1"/>
      <c r="I593" s="1"/>
      <c r="J593" s="1"/>
      <c r="K593" s="1"/>
      <c r="L593" s="1"/>
      <c r="M593" s="1"/>
      <c r="N593" s="1"/>
      <c r="O593" s="1"/>
      <c r="P593" s="1"/>
      <c r="Q593" s="1"/>
      <c r="R593" s="1"/>
      <c r="S593" s="1"/>
      <c r="T593" s="1"/>
      <c r="U593" s="1"/>
      <c r="V593" s="1"/>
      <c r="W593" s="1"/>
      <c r="X593" s="1"/>
      <c r="Y593" s="1"/>
      <c r="Z593" s="1"/>
      <c r="AA593" s="1"/>
      <c r="AB593" s="1"/>
    </row>
    <row r="594" ht="50.25" customHeight="1">
      <c r="A594" s="12">
        <v>590.0</v>
      </c>
      <c r="B594" s="13" t="s">
        <v>476</v>
      </c>
      <c r="C594" s="14" t="s">
        <v>598</v>
      </c>
      <c r="D594" s="1"/>
      <c r="E594" s="15"/>
      <c r="F594" s="1" t="str">
        <f>IFERROR(__xludf.DUMMYFUNCTION("GOOGLETRANSLATE(B594, ""en"", ""fa"")
"),"ایجاد دوره")</f>
        <v>ایجاد دوره</v>
      </c>
      <c r="G594" s="1" t="str">
        <f>IFERROR(__xludf.DUMMYFUNCTION("GOOGLETRANSLATE(C594, ""en"", ""fa"")
"),"استراتژی هایی را برای طراحی ارزیابی هایی که هم کسب دانش و هم کاربرد عملی مطالب درسی را ارزیابی می کند، به اشتراک بگذارید.")</f>
        <v>استراتژی هایی را برای طراحی ارزیابی هایی که هم کسب دانش و هم کاربرد عملی مطالب درسی را ارزیابی می کند، به اشتراک بگذارید.</v>
      </c>
      <c r="H594" s="1"/>
      <c r="I594" s="1"/>
      <c r="J594" s="1"/>
      <c r="K594" s="1"/>
      <c r="L594" s="1"/>
      <c r="M594" s="1"/>
      <c r="N594" s="1"/>
      <c r="O594" s="1"/>
      <c r="P594" s="1"/>
      <c r="Q594" s="1"/>
      <c r="R594" s="1"/>
      <c r="S594" s="1"/>
      <c r="T594" s="1"/>
      <c r="U594" s="1"/>
      <c r="V594" s="1"/>
      <c r="W594" s="1"/>
      <c r="X594" s="1"/>
      <c r="Y594" s="1"/>
      <c r="Z594" s="1"/>
      <c r="AA594" s="1"/>
      <c r="AB594" s="1"/>
    </row>
    <row r="595" ht="50.25" customHeight="1">
      <c r="A595" s="12">
        <v>591.0</v>
      </c>
      <c r="B595" s="13" t="s">
        <v>476</v>
      </c>
      <c r="C595" s="14" t="s">
        <v>599</v>
      </c>
      <c r="D595" s="1"/>
      <c r="E595" s="15"/>
      <c r="F595" s="1" t="str">
        <f>IFERROR(__xludf.DUMMYFUNCTION("GOOGLETRANSLATE(B595, ""en"", ""fa"")
"),"ایجاد دوره")</f>
        <v>ایجاد دوره</v>
      </c>
      <c r="G595" s="1" t="str">
        <f>IFERROR(__xludf.DUMMYFUNCTION("GOOGLETRANSLATE(C595, ""en"", ""fa"")
"),"مزایای ترکیب آزمون‌های خودارزیابی یا بررسی دانش را برای ترویج یادگیری و مرور خودراهبر بررسی کنید.")</f>
        <v>مزایای ترکیب آزمون‌های خودارزیابی یا بررسی دانش را برای ترویج یادگیری و مرور خودراهبر بررسی کنید.</v>
      </c>
      <c r="H595" s="1"/>
      <c r="I595" s="1"/>
      <c r="J595" s="1"/>
      <c r="K595" s="1"/>
      <c r="L595" s="1"/>
      <c r="M595" s="1"/>
      <c r="N595" s="1"/>
      <c r="O595" s="1"/>
      <c r="P595" s="1"/>
      <c r="Q595" s="1"/>
      <c r="R595" s="1"/>
      <c r="S595" s="1"/>
      <c r="T595" s="1"/>
      <c r="U595" s="1"/>
      <c r="V595" s="1"/>
      <c r="W595" s="1"/>
      <c r="X595" s="1"/>
      <c r="Y595" s="1"/>
      <c r="Z595" s="1"/>
      <c r="AA595" s="1"/>
      <c r="AB595" s="1"/>
    </row>
    <row r="596" ht="50.25" customHeight="1">
      <c r="A596" s="12">
        <v>592.0</v>
      </c>
      <c r="B596" s="13" t="s">
        <v>476</v>
      </c>
      <c r="C596" s="14" t="s">
        <v>600</v>
      </c>
      <c r="D596" s="1"/>
      <c r="E596" s="15"/>
      <c r="F596" s="1" t="str">
        <f>IFERROR(__xludf.DUMMYFUNCTION("GOOGLETRANSLATE(B596, ""en"", ""fa"")
"),"ایجاد دوره")</f>
        <v>ایجاد دوره</v>
      </c>
      <c r="G596" s="1" t="str">
        <f>IFERROR(__xludf.DUMMYFUNCTION("GOOGLETRANSLATE(C596, ""en"", ""fa"")
"),"درباره تأثیر ترکیب فرصت‌ها برای یادگیری مشارکتی، مانند پروژه‌های گروهی یا بازخورد همتا به همتا، برای تقویت کار گروهی و مهارت‌های ارتباطی بحث کنید.")</f>
        <v>درباره تأثیر ترکیب فرصت‌ها برای یادگیری مشارکتی، مانند پروژه‌های گروهی یا بازخورد همتا به همتا، برای تقویت کار گروهی و مهارت‌های ارتباطی بحث کنید.</v>
      </c>
      <c r="H596" s="1"/>
      <c r="I596" s="1"/>
      <c r="J596" s="1"/>
      <c r="K596" s="1"/>
      <c r="L596" s="1"/>
      <c r="M596" s="1"/>
      <c r="N596" s="1"/>
      <c r="O596" s="1"/>
      <c r="P596" s="1"/>
      <c r="Q596" s="1"/>
      <c r="R596" s="1"/>
      <c r="S596" s="1"/>
      <c r="T596" s="1"/>
      <c r="U596" s="1"/>
      <c r="V596" s="1"/>
      <c r="W596" s="1"/>
      <c r="X596" s="1"/>
      <c r="Y596" s="1"/>
      <c r="Z596" s="1"/>
      <c r="AA596" s="1"/>
      <c r="AB596" s="1"/>
    </row>
    <row r="597" ht="50.25" customHeight="1">
      <c r="A597" s="12">
        <v>593.0</v>
      </c>
      <c r="B597" s="13" t="s">
        <v>476</v>
      </c>
      <c r="C597" s="14" t="s">
        <v>601</v>
      </c>
      <c r="D597" s="1"/>
      <c r="E597" s="15"/>
      <c r="F597" s="1" t="str">
        <f>IFERROR(__xludf.DUMMYFUNCTION("GOOGLETRANSLATE(B597, ""en"", ""fa"")
"),"ایجاد دوره")</f>
        <v>ایجاد دوره</v>
      </c>
      <c r="G597" s="1" t="str">
        <f>IFERROR(__xludf.DUMMYFUNCTION("GOOGLETRANSLATE(C597, ""en"", ""fa"")
"),"مفهوم ترکیب نمونه های دنیای واقعی و مطالعات موردی را برای پر کردن شکاف بین تئوری و عمل کاوش کنید.")</f>
        <v>مفهوم ترکیب نمونه های دنیای واقعی و مطالعات موردی را برای پر کردن شکاف بین تئوری و عمل کاوش کنید.</v>
      </c>
      <c r="H597" s="1"/>
      <c r="I597" s="1"/>
      <c r="J597" s="1"/>
      <c r="K597" s="1"/>
      <c r="L597" s="1"/>
      <c r="M597" s="1"/>
      <c r="N597" s="1"/>
      <c r="O597" s="1"/>
      <c r="P597" s="1"/>
      <c r="Q597" s="1"/>
      <c r="R597" s="1"/>
      <c r="S597" s="1"/>
      <c r="T597" s="1"/>
      <c r="U597" s="1"/>
      <c r="V597" s="1"/>
      <c r="W597" s="1"/>
      <c r="X597" s="1"/>
      <c r="Y597" s="1"/>
      <c r="Z597" s="1"/>
      <c r="AA597" s="1"/>
      <c r="AB597" s="1"/>
    </row>
    <row r="598" ht="50.25" customHeight="1">
      <c r="A598" s="12">
        <v>594.0</v>
      </c>
      <c r="B598" s="13" t="s">
        <v>476</v>
      </c>
      <c r="C598" s="14" t="s">
        <v>602</v>
      </c>
      <c r="D598" s="1"/>
      <c r="E598" s="15"/>
      <c r="F598" s="1" t="str">
        <f>IFERROR(__xludf.DUMMYFUNCTION("GOOGLETRANSLATE(B598, ""en"", ""fa"")
"),"ایجاد دوره")</f>
        <v>ایجاد دوره</v>
      </c>
      <c r="G598" s="1" t="str">
        <f>IFERROR(__xludf.DUMMYFUNCTION("GOOGLETRANSLATE(C598, ""en"", ""fa"")
"),"در مورد نقش برقراری ارتباط منظم و به روز رسانی برای درگیر نگه داشتن دانش آموزان در طول دوره بحث کنید.")</f>
        <v>در مورد نقش برقراری ارتباط منظم و به روز رسانی برای درگیر نگه داشتن دانش آموزان در طول دوره بحث کنید.</v>
      </c>
      <c r="H598" s="1"/>
      <c r="I598" s="1"/>
      <c r="J598" s="1"/>
      <c r="K598" s="1"/>
      <c r="L598" s="1"/>
      <c r="M598" s="1"/>
      <c r="N598" s="1"/>
      <c r="O598" s="1"/>
      <c r="P598" s="1"/>
      <c r="Q598" s="1"/>
      <c r="R598" s="1"/>
      <c r="S598" s="1"/>
      <c r="T598" s="1"/>
      <c r="U598" s="1"/>
      <c r="V598" s="1"/>
      <c r="W598" s="1"/>
      <c r="X598" s="1"/>
      <c r="Y598" s="1"/>
      <c r="Z598" s="1"/>
      <c r="AA598" s="1"/>
      <c r="AB598" s="1"/>
    </row>
    <row r="599" ht="50.25" customHeight="1">
      <c r="A599" s="12">
        <v>595.0</v>
      </c>
      <c r="B599" s="13" t="s">
        <v>476</v>
      </c>
      <c r="C599" s="14" t="s">
        <v>603</v>
      </c>
      <c r="D599" s="1"/>
      <c r="E599" s="15"/>
      <c r="F599" s="1" t="str">
        <f>IFERROR(__xludf.DUMMYFUNCTION("GOOGLETRANSLATE(B599, ""en"", ""fa"")
"),"ایجاد دوره")</f>
        <v>ایجاد دوره</v>
      </c>
      <c r="G599" s="1" t="str">
        <f>IFERROR(__xludf.DUMMYFUNCTION("GOOGLETRANSLATE(C599, ""en"", ""fa"")
"),"استراتژی هایی را برای ایجاد یک محیط یادگیری آنلاین مثبت و فراگیر که مشارکت و احترام را تشویق می کند، به اشتراک بگذارید.")</f>
        <v>استراتژی هایی را برای ایجاد یک محیط یادگیری آنلاین مثبت و فراگیر که مشارکت و احترام را تشویق می کند، به اشتراک بگذارید.</v>
      </c>
      <c r="H599" s="1"/>
      <c r="I599" s="1"/>
      <c r="J599" s="1"/>
      <c r="K599" s="1"/>
      <c r="L599" s="1"/>
      <c r="M599" s="1"/>
      <c r="N599" s="1"/>
      <c r="O599" s="1"/>
      <c r="P599" s="1"/>
      <c r="Q599" s="1"/>
      <c r="R599" s="1"/>
      <c r="S599" s="1"/>
      <c r="T599" s="1"/>
      <c r="U599" s="1"/>
      <c r="V599" s="1"/>
      <c r="W599" s="1"/>
      <c r="X599" s="1"/>
      <c r="Y599" s="1"/>
      <c r="Z599" s="1"/>
      <c r="AA599" s="1"/>
      <c r="AB599" s="1"/>
    </row>
    <row r="600" ht="50.25" customHeight="1">
      <c r="A600" s="12">
        <v>596.0</v>
      </c>
      <c r="B600" s="13" t="s">
        <v>476</v>
      </c>
      <c r="C600" s="14" t="s">
        <v>604</v>
      </c>
      <c r="D600" s="1"/>
      <c r="E600" s="15"/>
      <c r="F600" s="1" t="str">
        <f>IFERROR(__xludf.DUMMYFUNCTION("GOOGLETRANSLATE(B600, ""en"", ""fa"")
"),"ایجاد دوره")</f>
        <v>ایجاد دوره</v>
      </c>
      <c r="G600" s="1" t="str">
        <f>IFERROR(__xludf.DUMMYFUNCTION("GOOGLETRANSLATE(C600, ""en"", ""fa"")
"),"مزایای ترکیب مکانیسم‌های بازخورد بلادرنگ، مانند بازخورد فوری آزمون یا جلسات پرسش و پاسخ مربی، را برای افزایش مشارکت دانش‌آموز بررسی کنید.")</f>
        <v>مزایای ترکیب مکانیسم‌های بازخورد بلادرنگ، مانند بازخورد فوری آزمون یا جلسات پرسش و پاسخ مربی، را برای افزایش مشارکت دانش‌آموز بررسی کنید.</v>
      </c>
      <c r="H600" s="1"/>
      <c r="I600" s="1"/>
      <c r="J600" s="1"/>
      <c r="K600" s="1"/>
      <c r="L600" s="1"/>
      <c r="M600" s="1"/>
      <c r="N600" s="1"/>
      <c r="O600" s="1"/>
      <c r="P600" s="1"/>
      <c r="Q600" s="1"/>
      <c r="R600" s="1"/>
      <c r="S600" s="1"/>
      <c r="T600" s="1"/>
      <c r="U600" s="1"/>
      <c r="V600" s="1"/>
      <c r="W600" s="1"/>
      <c r="X600" s="1"/>
      <c r="Y600" s="1"/>
      <c r="Z600" s="1"/>
      <c r="AA600" s="1"/>
      <c r="AB600" s="1"/>
    </row>
    <row r="601" ht="50.25" customHeight="1">
      <c r="A601" s="12">
        <v>597.0</v>
      </c>
      <c r="B601" s="13" t="s">
        <v>476</v>
      </c>
      <c r="C601" s="14" t="s">
        <v>605</v>
      </c>
      <c r="D601" s="1"/>
      <c r="E601" s="15"/>
      <c r="F601" s="1" t="str">
        <f>IFERROR(__xludf.DUMMYFUNCTION("GOOGLETRANSLATE(B601, ""en"", ""fa"")
"),"ایجاد دوره")</f>
        <v>ایجاد دوره</v>
      </c>
      <c r="G601" s="1" t="str">
        <f>IFERROR(__xludf.DUMMYFUNCTION("GOOGLETRANSLATE(C601, ""en"", ""fa"")
"),"در مورد تأثیر ایجاد یک نقشه راه دوره جامع یا جدول زمانی بحث کنید تا به دانش آموزان کمک کند سفر یادگیری خود را تجسم کنند و پیشرفت خود را مدیریت کنند.")</f>
        <v>در مورد تأثیر ایجاد یک نقشه راه دوره جامع یا جدول زمانی بحث کنید تا به دانش آموزان کمک کند سفر یادگیری خود را تجسم کنند و پیشرفت خود را مدیریت کنند.</v>
      </c>
      <c r="H601" s="1"/>
      <c r="I601" s="1"/>
      <c r="J601" s="1"/>
      <c r="K601" s="1"/>
      <c r="L601" s="1"/>
      <c r="M601" s="1"/>
      <c r="N601" s="1"/>
      <c r="O601" s="1"/>
      <c r="P601" s="1"/>
      <c r="Q601" s="1"/>
      <c r="R601" s="1"/>
      <c r="S601" s="1"/>
      <c r="T601" s="1"/>
      <c r="U601" s="1"/>
      <c r="V601" s="1"/>
      <c r="W601" s="1"/>
      <c r="X601" s="1"/>
      <c r="Y601" s="1"/>
      <c r="Z601" s="1"/>
      <c r="AA601" s="1"/>
      <c r="AB601" s="1"/>
    </row>
    <row r="602" ht="50.25" customHeight="1">
      <c r="A602" s="12">
        <v>598.0</v>
      </c>
      <c r="B602" s="13" t="s">
        <v>476</v>
      </c>
      <c r="C602" s="14" t="s">
        <v>606</v>
      </c>
      <c r="D602" s="1"/>
      <c r="E602" s="15"/>
      <c r="F602" s="1" t="str">
        <f>IFERROR(__xludf.DUMMYFUNCTION("GOOGLETRANSLATE(B602, ""en"", ""fa"")
"),"ایجاد دوره")</f>
        <v>ایجاد دوره</v>
      </c>
      <c r="G602" s="1" t="str">
        <f>IFERROR(__xludf.DUMMYFUNCTION("GOOGLETRANSLATE(C602, ""en"", ""fa"")
"),"اهمیت تعیین اهداف یادگیری روشن را که با نتایج مورد نظر دوره هماهنگ باشد، بررسی کنید.")</f>
        <v>اهمیت تعیین اهداف یادگیری روشن را که با نتایج مورد نظر دوره هماهنگ باشد، بررسی کنید.</v>
      </c>
      <c r="H602" s="1"/>
      <c r="I602" s="1"/>
      <c r="J602" s="1"/>
      <c r="K602" s="1"/>
      <c r="L602" s="1"/>
      <c r="M602" s="1"/>
      <c r="N602" s="1"/>
      <c r="O602" s="1"/>
      <c r="P602" s="1"/>
      <c r="Q602" s="1"/>
      <c r="R602" s="1"/>
      <c r="S602" s="1"/>
      <c r="T602" s="1"/>
      <c r="U602" s="1"/>
      <c r="V602" s="1"/>
      <c r="W602" s="1"/>
      <c r="X602" s="1"/>
      <c r="Y602" s="1"/>
      <c r="Z602" s="1"/>
      <c r="AA602" s="1"/>
      <c r="AB602" s="1"/>
    </row>
    <row r="603" ht="50.25" customHeight="1">
      <c r="A603" s="12">
        <v>599.0</v>
      </c>
      <c r="B603" s="13" t="s">
        <v>476</v>
      </c>
      <c r="C603" s="14" t="s">
        <v>607</v>
      </c>
      <c r="D603" s="1"/>
      <c r="E603" s="15"/>
      <c r="F603" s="1" t="str">
        <f>IFERROR(__xludf.DUMMYFUNCTION("GOOGLETRANSLATE(B603, ""en"", ""fa"")
"),"ایجاد دوره")</f>
        <v>ایجاد دوره</v>
      </c>
      <c r="G603" s="1" t="str">
        <f>IFERROR(__xludf.DUMMYFUNCTION("GOOGLETRANSLATE(C603, ""en"", ""fa"")
"),"در مورد مزایای ترکیب عناصر چندرسانه ای، مانند ویدئوها، اینفوگرافیک ها، یا اسلایدهای تعاملی، برای افزایش تعامل دوره بحث کنید.")</f>
        <v>در مورد مزایای ترکیب عناصر چندرسانه ای، مانند ویدئوها، اینفوگرافیک ها، یا اسلایدهای تعاملی، برای افزایش تعامل دوره بحث کنید.</v>
      </c>
      <c r="H603" s="1"/>
      <c r="I603" s="1"/>
      <c r="J603" s="1"/>
      <c r="K603" s="1"/>
      <c r="L603" s="1"/>
      <c r="M603" s="1"/>
      <c r="N603" s="1"/>
      <c r="O603" s="1"/>
      <c r="P603" s="1"/>
      <c r="Q603" s="1"/>
      <c r="R603" s="1"/>
      <c r="S603" s="1"/>
      <c r="T603" s="1"/>
      <c r="U603" s="1"/>
      <c r="V603" s="1"/>
      <c r="W603" s="1"/>
      <c r="X603" s="1"/>
      <c r="Y603" s="1"/>
      <c r="Z603" s="1"/>
      <c r="AA603" s="1"/>
      <c r="AB603" s="1"/>
    </row>
    <row r="604" ht="50.25" customHeight="1">
      <c r="A604" s="12">
        <v>600.0</v>
      </c>
      <c r="B604" s="13" t="s">
        <v>476</v>
      </c>
      <c r="C604" s="14" t="s">
        <v>608</v>
      </c>
      <c r="D604" s="1"/>
      <c r="E604" s="15"/>
      <c r="F604" s="1" t="str">
        <f>IFERROR(__xludf.DUMMYFUNCTION("GOOGLETRANSLATE(B604, ""en"", ""fa"")
"),"ایجاد دوره")</f>
        <v>ایجاد دوره</v>
      </c>
      <c r="G604" s="1" t="str">
        <f>IFERROR(__xludf.DUMMYFUNCTION("GOOGLETRANSLATE(C604, ""en"", ""fa"")
"),"نکاتی را برای طراحی ارزیابی‌های مؤثر که درک و تسلط دانش‌آموز بر مفاهیم درسی را اندازه‌گیری می‌کند، به اشتراک بگذارید.")</f>
        <v>نکاتی را برای طراحی ارزیابی‌های مؤثر که درک و تسلط دانش‌آموز بر مفاهیم درسی را اندازه‌گیری می‌کند، به اشتراک بگذارید.</v>
      </c>
      <c r="H604" s="1"/>
      <c r="I604" s="1"/>
      <c r="J604" s="1"/>
      <c r="K604" s="1"/>
      <c r="L604" s="1"/>
      <c r="M604" s="1"/>
      <c r="N604" s="1"/>
      <c r="O604" s="1"/>
      <c r="P604" s="1"/>
      <c r="Q604" s="1"/>
      <c r="R604" s="1"/>
      <c r="S604" s="1"/>
      <c r="T604" s="1"/>
      <c r="U604" s="1"/>
      <c r="V604" s="1"/>
      <c r="W604" s="1"/>
      <c r="X604" s="1"/>
      <c r="Y604" s="1"/>
      <c r="Z604" s="1"/>
      <c r="AA604" s="1"/>
      <c r="AB604" s="1"/>
    </row>
    <row r="605" ht="50.25" customHeight="1">
      <c r="A605" s="12">
        <v>601.0</v>
      </c>
      <c r="B605" s="13" t="s">
        <v>476</v>
      </c>
      <c r="C605" s="14" t="s">
        <v>609</v>
      </c>
      <c r="D605" s="1"/>
      <c r="E605" s="15"/>
      <c r="F605" s="1" t="str">
        <f>IFERROR(__xludf.DUMMYFUNCTION("GOOGLETRANSLATE(B605, ""en"", ""fa"")
"),"ایجاد دوره")</f>
        <v>ایجاد دوره</v>
      </c>
      <c r="G605" s="1" t="str">
        <f>IFERROR(__xludf.DUMMYFUNCTION("GOOGLETRANSLATE(C605, ""en"", ""fa"")
"),"مفهوم ترکیب مطالعات موردی یا مثال های واقعی را برای نشان دادن کاربردهای عملی مطالب درسی کاوش کنید.")</f>
        <v>مفهوم ترکیب مطالعات موردی یا مثال های واقعی را برای نشان دادن کاربردهای عملی مطالب درسی کاوش کنید.</v>
      </c>
      <c r="H605" s="1"/>
      <c r="I605" s="1"/>
      <c r="J605" s="1"/>
      <c r="K605" s="1"/>
      <c r="L605" s="1"/>
      <c r="M605" s="1"/>
      <c r="N605" s="1"/>
      <c r="O605" s="1"/>
      <c r="P605" s="1"/>
      <c r="Q605" s="1"/>
      <c r="R605" s="1"/>
      <c r="S605" s="1"/>
      <c r="T605" s="1"/>
      <c r="U605" s="1"/>
      <c r="V605" s="1"/>
      <c r="W605" s="1"/>
      <c r="X605" s="1"/>
      <c r="Y605" s="1"/>
      <c r="Z605" s="1"/>
      <c r="AA605" s="1"/>
      <c r="AB605" s="1"/>
    </row>
    <row r="606" ht="50.25" customHeight="1">
      <c r="A606" s="12">
        <v>602.0</v>
      </c>
      <c r="B606" s="13" t="s">
        <v>476</v>
      </c>
      <c r="C606" s="14" t="s">
        <v>610</v>
      </c>
      <c r="D606" s="1"/>
      <c r="E606" s="15"/>
      <c r="F606" s="1" t="str">
        <f>IFERROR(__xludf.DUMMYFUNCTION("GOOGLETRANSLATE(B606, ""en"", ""fa"")
"),"ایجاد دوره")</f>
        <v>ایجاد دوره</v>
      </c>
      <c r="G606" s="1" t="str">
        <f>IFERROR(__xludf.DUMMYFUNCTION("GOOGLETRANSLATE(C606, ""en"", ""fa"")
"),"در مورد نقش ارائه پشتیبانی و راهنمایی مستمر به دانش آموزان در طول سفر یادگیری آنها بحث کنید.")</f>
        <v>در مورد نقش ارائه پشتیبانی و راهنمایی مستمر به دانش آموزان در طول سفر یادگیری آنها بحث کنید.</v>
      </c>
      <c r="H606" s="1"/>
      <c r="I606" s="1"/>
      <c r="J606" s="1"/>
      <c r="K606" s="1"/>
      <c r="L606" s="1"/>
      <c r="M606" s="1"/>
      <c r="N606" s="1"/>
      <c r="O606" s="1"/>
      <c r="P606" s="1"/>
      <c r="Q606" s="1"/>
      <c r="R606" s="1"/>
      <c r="S606" s="1"/>
      <c r="T606" s="1"/>
      <c r="U606" s="1"/>
      <c r="V606" s="1"/>
      <c r="W606" s="1"/>
      <c r="X606" s="1"/>
      <c r="Y606" s="1"/>
      <c r="Z606" s="1"/>
      <c r="AA606" s="1"/>
      <c r="AB606" s="1"/>
    </row>
    <row r="607" ht="50.25" customHeight="1">
      <c r="A607" s="12">
        <v>603.0</v>
      </c>
      <c r="B607" s="13" t="s">
        <v>476</v>
      </c>
      <c r="C607" s="14" t="s">
        <v>611</v>
      </c>
      <c r="D607" s="1"/>
      <c r="E607" s="15"/>
      <c r="F607" s="1" t="str">
        <f>IFERROR(__xludf.DUMMYFUNCTION("GOOGLETRANSLATE(B607, ""en"", ""fa"")
"),"ایجاد دوره")</f>
        <v>ایجاد دوره</v>
      </c>
      <c r="G607" s="1" t="str">
        <f>IFERROR(__xludf.DUMMYFUNCTION("GOOGLETRANSLATE(C607, ""en"", ""fa"")
"),"استراتژی‌هایی را برای تقویت یک محیط یادگیری مشارکتی و تعاملی، مانند پروژه‌های گروهی یا بحث‌های آنلاین به اشتراک بگذارید.")</f>
        <v>استراتژی‌هایی را برای تقویت یک محیط یادگیری مشارکتی و تعاملی، مانند پروژه‌های گروهی یا بحث‌های آنلاین به اشتراک بگذارید.</v>
      </c>
      <c r="H607" s="1"/>
      <c r="I607" s="1"/>
      <c r="J607" s="1"/>
      <c r="K607" s="1"/>
      <c r="L607" s="1"/>
      <c r="M607" s="1"/>
      <c r="N607" s="1"/>
      <c r="O607" s="1"/>
      <c r="P607" s="1"/>
      <c r="Q607" s="1"/>
      <c r="R607" s="1"/>
      <c r="S607" s="1"/>
      <c r="T607" s="1"/>
      <c r="U607" s="1"/>
      <c r="V607" s="1"/>
      <c r="W607" s="1"/>
      <c r="X607" s="1"/>
      <c r="Y607" s="1"/>
      <c r="Z607" s="1"/>
      <c r="AA607" s="1"/>
      <c r="AB607" s="1"/>
    </row>
    <row r="608" ht="50.25" customHeight="1">
      <c r="A608" s="12">
        <v>604.0</v>
      </c>
      <c r="B608" s="13" t="s">
        <v>476</v>
      </c>
      <c r="C608" s="14" t="s">
        <v>612</v>
      </c>
      <c r="D608" s="1"/>
      <c r="E608" s="15"/>
      <c r="F608" s="1" t="str">
        <f>IFERROR(__xludf.DUMMYFUNCTION("GOOGLETRANSLATE(B608, ""en"", ""fa"")
"),"ایجاد دوره")</f>
        <v>ایجاد دوره</v>
      </c>
      <c r="G608" s="1" t="str">
        <f>IFERROR(__xludf.DUMMYFUNCTION("GOOGLETRANSLATE(C608, ""en"", ""fa"")
"),"مزایای ترکیب گزینه های یادگیری خودگام را بررسی کنید، که به دانش آموزان اجازه می دهد با سرعت خودشان پیشرفت کنند.")</f>
        <v>مزایای ترکیب گزینه های یادگیری خودگام را بررسی کنید، که به دانش آموزان اجازه می دهد با سرعت خودشان پیشرفت کنند.</v>
      </c>
      <c r="H608" s="1"/>
      <c r="I608" s="1"/>
      <c r="J608" s="1"/>
      <c r="K608" s="1"/>
      <c r="L608" s="1"/>
      <c r="M608" s="1"/>
      <c r="N608" s="1"/>
      <c r="O608" s="1"/>
      <c r="P608" s="1"/>
      <c r="Q608" s="1"/>
      <c r="R608" s="1"/>
      <c r="S608" s="1"/>
      <c r="T608" s="1"/>
      <c r="U608" s="1"/>
      <c r="V608" s="1"/>
      <c r="W608" s="1"/>
      <c r="X608" s="1"/>
      <c r="Y608" s="1"/>
      <c r="Z608" s="1"/>
      <c r="AA608" s="1"/>
      <c r="AB608" s="1"/>
    </row>
    <row r="609" ht="50.25" customHeight="1">
      <c r="A609" s="12">
        <v>605.0</v>
      </c>
      <c r="B609" s="13" t="s">
        <v>476</v>
      </c>
      <c r="C609" s="14" t="s">
        <v>613</v>
      </c>
      <c r="D609" s="1"/>
      <c r="E609" s="15"/>
      <c r="F609" s="1" t="str">
        <f>IFERROR(__xludf.DUMMYFUNCTION("GOOGLETRANSLATE(B609, ""en"", ""fa"")
"),"ایجاد دوره")</f>
        <v>ایجاد دوره</v>
      </c>
      <c r="G609" s="1" t="str">
        <f>IFERROR(__xludf.DUMMYFUNCTION("GOOGLETRANSLATE(C609, ""en"", ""fa"")
"),"در مورد تأثیر ترکیب بازخورد سازنده برای کمک به دانش آموزان برای نظارت بر پیشرفت خود و شناسایی زمینه های بهبود بحث کنید.")</f>
        <v>در مورد تأثیر ترکیب بازخورد سازنده برای کمک به دانش آموزان برای نظارت بر پیشرفت خود و شناسایی زمینه های بهبود بحث کنید.</v>
      </c>
      <c r="H609" s="1"/>
      <c r="I609" s="1"/>
      <c r="J609" s="1"/>
      <c r="K609" s="1"/>
      <c r="L609" s="1"/>
      <c r="M609" s="1"/>
      <c r="N609" s="1"/>
      <c r="O609" s="1"/>
      <c r="P609" s="1"/>
      <c r="Q609" s="1"/>
      <c r="R609" s="1"/>
      <c r="S609" s="1"/>
      <c r="T609" s="1"/>
      <c r="U609" s="1"/>
      <c r="V609" s="1"/>
      <c r="W609" s="1"/>
      <c r="X609" s="1"/>
      <c r="Y609" s="1"/>
      <c r="Z609" s="1"/>
      <c r="AA609" s="1"/>
      <c r="AB609" s="1"/>
    </row>
    <row r="610" ht="50.25" customHeight="1">
      <c r="A610" s="12">
        <v>606.0</v>
      </c>
      <c r="B610" s="13" t="s">
        <v>476</v>
      </c>
      <c r="C610" s="14" t="s">
        <v>614</v>
      </c>
      <c r="D610" s="1"/>
      <c r="E610" s="15"/>
      <c r="F610" s="1" t="str">
        <f>IFERROR(__xludf.DUMMYFUNCTION("GOOGLETRANSLATE(B610, ""en"", ""fa"")
"),"ایجاد دوره")</f>
        <v>ایجاد دوره</v>
      </c>
      <c r="G610" s="1" t="str">
        <f>IFERROR(__xludf.DUMMYFUNCTION("GOOGLETRANSLATE(C610, ""en"", ""fa"")
"),"نکاتی را برای ایجاد فعالیت‌های یادگیری جذاب و تعاملی، مانند شبیه‌سازی، آزمون‌ها یا تمرین‌های ایفای نقش به اشتراک بگذارید.")</f>
        <v>نکاتی را برای ایجاد فعالیت‌های یادگیری جذاب و تعاملی، مانند شبیه‌سازی، آزمون‌ها یا تمرین‌های ایفای نقش به اشتراک بگذارید.</v>
      </c>
      <c r="H610" s="1"/>
      <c r="I610" s="1"/>
      <c r="J610" s="1"/>
      <c r="K610" s="1"/>
      <c r="L610" s="1"/>
      <c r="M610" s="1"/>
      <c r="N610" s="1"/>
      <c r="O610" s="1"/>
      <c r="P610" s="1"/>
      <c r="Q610" s="1"/>
      <c r="R610" s="1"/>
      <c r="S610" s="1"/>
      <c r="T610" s="1"/>
      <c r="U610" s="1"/>
      <c r="V610" s="1"/>
      <c r="W610" s="1"/>
      <c r="X610" s="1"/>
      <c r="Y610" s="1"/>
      <c r="Z610" s="1"/>
      <c r="AA610" s="1"/>
      <c r="AB610" s="1"/>
    </row>
    <row r="611" ht="50.25" customHeight="1">
      <c r="A611" s="12">
        <v>607.0</v>
      </c>
      <c r="B611" s="13" t="s">
        <v>476</v>
      </c>
      <c r="C611" s="14" t="s">
        <v>615</v>
      </c>
      <c r="D611" s="1"/>
      <c r="E611" s="15"/>
      <c r="F611" s="1" t="str">
        <f>IFERROR(__xludf.DUMMYFUNCTION("GOOGLETRANSLATE(B611, ""en"", ""fa"")
"),"ایجاد دوره")</f>
        <v>ایجاد دوره</v>
      </c>
      <c r="G611" s="1" t="str">
        <f>IFERROR(__xludf.DUMMYFUNCTION("GOOGLETRANSLATE(C611, ""en"", ""fa"")
"),"مفهوم ارائه منابع تکمیلی، مانند خواندن توصیه شده یا مواد آموزشی اضافی را برای غنی سازی تجربه دوره بررسی کنید.")</f>
        <v>مفهوم ارائه منابع تکمیلی، مانند خواندن توصیه شده یا مواد آموزشی اضافی را برای غنی سازی تجربه دوره بررسی کنید.</v>
      </c>
      <c r="H611" s="1"/>
      <c r="I611" s="1"/>
      <c r="J611" s="1"/>
      <c r="K611" s="1"/>
      <c r="L611" s="1"/>
      <c r="M611" s="1"/>
      <c r="N611" s="1"/>
      <c r="O611" s="1"/>
      <c r="P611" s="1"/>
      <c r="Q611" s="1"/>
      <c r="R611" s="1"/>
      <c r="S611" s="1"/>
      <c r="T611" s="1"/>
      <c r="U611" s="1"/>
      <c r="V611" s="1"/>
      <c r="W611" s="1"/>
      <c r="X611" s="1"/>
      <c r="Y611" s="1"/>
      <c r="Z611" s="1"/>
      <c r="AA611" s="1"/>
      <c r="AB611" s="1"/>
    </row>
    <row r="612" ht="50.25" customHeight="1">
      <c r="A612" s="12">
        <v>608.0</v>
      </c>
      <c r="B612" s="13" t="s">
        <v>476</v>
      </c>
      <c r="C612" s="14" t="s">
        <v>616</v>
      </c>
      <c r="D612" s="1"/>
      <c r="E612" s="15"/>
      <c r="F612" s="1" t="str">
        <f>IFERROR(__xludf.DUMMYFUNCTION("GOOGLETRANSLATE(B612, ""en"", ""fa"")
"),"ایجاد دوره")</f>
        <v>ایجاد دوره</v>
      </c>
      <c r="G612" s="1" t="str">
        <f>IFERROR(__xludf.DUMMYFUNCTION("GOOGLETRANSLATE(C612, ""en"", ""fa"")
"),"در مورد نقش ایجاد فرصت برای یادگیری و همکاری همتا به همتا، از جمله از طریق بررسی همتایان یا تکالیف گروهی بحث کنید.")</f>
        <v>در مورد نقش ایجاد فرصت برای یادگیری و همکاری همتا به همتا، از جمله از طریق بررسی همتایان یا تکالیف گروهی بحث کنید.</v>
      </c>
      <c r="H612" s="1"/>
      <c r="I612" s="1"/>
      <c r="J612" s="1"/>
      <c r="K612" s="1"/>
      <c r="L612" s="1"/>
      <c r="M612" s="1"/>
      <c r="N612" s="1"/>
      <c r="O612" s="1"/>
      <c r="P612" s="1"/>
      <c r="Q612" s="1"/>
      <c r="R612" s="1"/>
      <c r="S612" s="1"/>
      <c r="T612" s="1"/>
      <c r="U612" s="1"/>
      <c r="V612" s="1"/>
      <c r="W612" s="1"/>
      <c r="X612" s="1"/>
      <c r="Y612" s="1"/>
      <c r="Z612" s="1"/>
      <c r="AA612" s="1"/>
      <c r="AB612" s="1"/>
    </row>
    <row r="613" ht="50.25" customHeight="1">
      <c r="A613" s="12">
        <v>609.0</v>
      </c>
      <c r="B613" s="13" t="s">
        <v>476</v>
      </c>
      <c r="C613" s="14" t="s">
        <v>617</v>
      </c>
      <c r="D613" s="1"/>
      <c r="E613" s="15"/>
      <c r="F613" s="1" t="str">
        <f>IFERROR(__xludf.DUMMYFUNCTION("GOOGLETRANSLATE(B613, ""en"", ""fa"")
"),"ایجاد دوره")</f>
        <v>ایجاد دوره</v>
      </c>
      <c r="G613" s="1" t="str">
        <f>IFERROR(__xludf.DUMMYFUNCTION("GOOGLETRANSLATE(C613, ""en"", ""fa"")
"),"استراتژی‌هایی را برای طراحی محتوای دوره‌های واضح و سازمان‌یافته، تضمین ناوبری و درک آسان به اشتراک بگذارید.")</f>
        <v>استراتژی‌هایی را برای طراحی محتوای دوره‌های واضح و سازمان‌یافته، تضمین ناوبری و درک آسان به اشتراک بگذارید.</v>
      </c>
      <c r="H613" s="1"/>
      <c r="I613" s="1"/>
      <c r="J613" s="1"/>
      <c r="K613" s="1"/>
      <c r="L613" s="1"/>
      <c r="M613" s="1"/>
      <c r="N613" s="1"/>
      <c r="O613" s="1"/>
      <c r="P613" s="1"/>
      <c r="Q613" s="1"/>
      <c r="R613" s="1"/>
      <c r="S613" s="1"/>
      <c r="T613" s="1"/>
      <c r="U613" s="1"/>
      <c r="V613" s="1"/>
      <c r="W613" s="1"/>
      <c r="X613" s="1"/>
      <c r="Y613" s="1"/>
      <c r="Z613" s="1"/>
      <c r="AA613" s="1"/>
      <c r="AB613" s="1"/>
    </row>
    <row r="614" ht="50.25" customHeight="1">
      <c r="A614" s="12">
        <v>610.0</v>
      </c>
      <c r="B614" s="13" t="s">
        <v>476</v>
      </c>
      <c r="C614" s="14" t="s">
        <v>618</v>
      </c>
      <c r="D614" s="1"/>
      <c r="E614" s="15"/>
      <c r="F614" s="1" t="str">
        <f>IFERROR(__xludf.DUMMYFUNCTION("GOOGLETRANSLATE(B614, ""en"", ""fa"")
"),"ایجاد دوره")</f>
        <v>ایجاد دوره</v>
      </c>
      <c r="G614" s="1" t="str">
        <f>IFERROR(__xludf.DUMMYFUNCTION("GOOGLETRANSLATE(C614, ""en"", ""fa"")
"),"مزایای ترکیب جلسات مجازی یا وبینارهای بلادرنگ را برای تسهیل تعاملات زنده و جلسات پرسش و پاسخ کاوش کنید.")</f>
        <v>مزایای ترکیب جلسات مجازی یا وبینارهای بلادرنگ را برای تسهیل تعاملات زنده و جلسات پرسش و پاسخ کاوش کنید.</v>
      </c>
      <c r="H614" s="1"/>
      <c r="I614" s="1"/>
      <c r="J614" s="1"/>
      <c r="K614" s="1"/>
      <c r="L614" s="1"/>
      <c r="M614" s="1"/>
      <c r="N614" s="1"/>
      <c r="O614" s="1"/>
      <c r="P614" s="1"/>
      <c r="Q614" s="1"/>
      <c r="R614" s="1"/>
      <c r="S614" s="1"/>
      <c r="T614" s="1"/>
      <c r="U614" s="1"/>
      <c r="V614" s="1"/>
      <c r="W614" s="1"/>
      <c r="X614" s="1"/>
      <c r="Y614" s="1"/>
      <c r="Z614" s="1"/>
      <c r="AA614" s="1"/>
      <c r="AB614" s="1"/>
    </row>
    <row r="615" ht="50.25" customHeight="1">
      <c r="A615" s="12">
        <v>611.0</v>
      </c>
      <c r="B615" s="13" t="s">
        <v>476</v>
      </c>
      <c r="C615" s="14" t="s">
        <v>619</v>
      </c>
      <c r="D615" s="1"/>
      <c r="E615" s="15"/>
      <c r="F615" s="1" t="str">
        <f>IFERROR(__xludf.DUMMYFUNCTION("GOOGLETRANSLATE(B615, ""en"", ""fa"")
"),"ایجاد دوره")</f>
        <v>ایجاد دوره</v>
      </c>
      <c r="G615" s="1" t="str">
        <f>IFERROR(__xludf.DUMMYFUNCTION("GOOGLETRANSLATE(C615, ""en"", ""fa"")
"),"درباره تأثیر ایجاد یک جامعه آنلاین حمایتی که در آن دانش‌آموزان می‌توانند با هم ارتباط برقرار کنند، ایده‌ها را به اشتراک بگذارند و کمک بخواهند، بحث کنید.")</f>
        <v>درباره تأثیر ایجاد یک جامعه آنلاین حمایتی که در آن دانش‌آموزان می‌توانند با هم ارتباط برقرار کنند، ایده‌ها را به اشتراک بگذارند و کمک بخواهند، بحث کنید.</v>
      </c>
      <c r="H615" s="1"/>
      <c r="I615" s="1"/>
      <c r="J615" s="1"/>
      <c r="K615" s="1"/>
      <c r="L615" s="1"/>
      <c r="M615" s="1"/>
      <c r="N615" s="1"/>
      <c r="O615" s="1"/>
      <c r="P615" s="1"/>
      <c r="Q615" s="1"/>
      <c r="R615" s="1"/>
      <c r="S615" s="1"/>
      <c r="T615" s="1"/>
      <c r="U615" s="1"/>
      <c r="V615" s="1"/>
      <c r="W615" s="1"/>
      <c r="X615" s="1"/>
      <c r="Y615" s="1"/>
      <c r="Z615" s="1"/>
      <c r="AA615" s="1"/>
      <c r="AB615" s="1"/>
    </row>
    <row r="616" ht="50.25" customHeight="1">
      <c r="A616" s="12">
        <v>612.0</v>
      </c>
      <c r="B616" s="13" t="s">
        <v>476</v>
      </c>
      <c r="C616" s="14" t="s">
        <v>620</v>
      </c>
      <c r="D616" s="1"/>
      <c r="E616" s="15"/>
      <c r="F616" s="1" t="str">
        <f>IFERROR(__xludf.DUMMYFUNCTION("GOOGLETRANSLATE(B616, ""en"", ""fa"")
"),"ایجاد دوره")</f>
        <v>ایجاد دوره</v>
      </c>
      <c r="G616" s="1" t="str">
        <f>IFERROR(__xludf.DUMMYFUNCTION("GOOGLETRANSLATE(C616, ""en"", ""fa"")
"),"برای اطمینان از پیشرفت منطقی مفاهیم و مهارت ها، نکاتی را برای ساختاردهی و ترتیب محتوای دوره به اشتراک بگذارید.")</f>
        <v>برای اطمینان از پیشرفت منطقی مفاهیم و مهارت ها، نکاتی را برای ساختاردهی و ترتیب محتوای دوره به اشتراک بگذارید.</v>
      </c>
      <c r="H616" s="1"/>
      <c r="I616" s="1"/>
      <c r="J616" s="1"/>
      <c r="K616" s="1"/>
      <c r="L616" s="1"/>
      <c r="M616" s="1"/>
      <c r="N616" s="1"/>
      <c r="O616" s="1"/>
      <c r="P616" s="1"/>
      <c r="Q616" s="1"/>
      <c r="R616" s="1"/>
      <c r="S616" s="1"/>
      <c r="T616" s="1"/>
      <c r="U616" s="1"/>
      <c r="V616" s="1"/>
      <c r="W616" s="1"/>
      <c r="X616" s="1"/>
      <c r="Y616" s="1"/>
      <c r="Z616" s="1"/>
      <c r="AA616" s="1"/>
      <c r="AB616" s="1"/>
    </row>
    <row r="617" ht="50.25" customHeight="1">
      <c r="A617" s="12">
        <v>613.0</v>
      </c>
      <c r="B617" s="13" t="s">
        <v>476</v>
      </c>
      <c r="C617" s="14" t="s">
        <v>621</v>
      </c>
      <c r="D617" s="1"/>
      <c r="E617" s="15"/>
      <c r="F617" s="1" t="str">
        <f>IFERROR(__xludf.DUMMYFUNCTION("GOOGLETRANSLATE(B617, ""en"", ""fa"")
"),"ایجاد دوره")</f>
        <v>ایجاد دوره</v>
      </c>
      <c r="G617" s="1" t="str">
        <f>IFERROR(__xludf.DUMMYFUNCTION("GOOGLETRANSLATE(C617, ""en"", ""fa"")
"),"مفهوم ترکیب عناصر گیمیفیکیشن، مانند نشان‌ها یا تابلوهای امتیازات، برای افزایش انگیزه و مشارکت دانش‌آموز را بررسی کنید.")</f>
        <v>مفهوم ترکیب عناصر گیمیفیکیشن، مانند نشان‌ها یا تابلوهای امتیازات، برای افزایش انگیزه و مشارکت دانش‌آموز را بررسی کنید.</v>
      </c>
      <c r="H617" s="1"/>
      <c r="I617" s="1"/>
      <c r="J617" s="1"/>
      <c r="K617" s="1"/>
      <c r="L617" s="1"/>
      <c r="M617" s="1"/>
      <c r="N617" s="1"/>
      <c r="O617" s="1"/>
      <c r="P617" s="1"/>
      <c r="Q617" s="1"/>
      <c r="R617" s="1"/>
      <c r="S617" s="1"/>
      <c r="T617" s="1"/>
      <c r="U617" s="1"/>
      <c r="V617" s="1"/>
      <c r="W617" s="1"/>
      <c r="X617" s="1"/>
      <c r="Y617" s="1"/>
      <c r="Z617" s="1"/>
      <c r="AA617" s="1"/>
      <c r="AB617" s="1"/>
    </row>
    <row r="618" ht="50.25" customHeight="1">
      <c r="A618" s="12">
        <v>614.0</v>
      </c>
      <c r="B618" s="13" t="s">
        <v>476</v>
      </c>
      <c r="C618" s="14" t="s">
        <v>622</v>
      </c>
      <c r="D618" s="1"/>
      <c r="E618" s="15"/>
      <c r="F618" s="1" t="str">
        <f>IFERROR(__xludf.DUMMYFUNCTION("GOOGLETRANSLATE(B618, ""en"", ""fa"")
"),"ایجاد دوره")</f>
        <v>ایجاد دوره</v>
      </c>
      <c r="G618" s="1" t="str">
        <f>IFERROR(__xludf.DUMMYFUNCTION("GOOGLETRANSLATE(C618, ""en"", ""fa"")
"),"درباره نقش ارائه بازخورد به موقع و سازنده در مورد تکالیف و ارزیابی ها برای هدایت یادگیری دانش آموزان بحث کنید.")</f>
        <v>درباره نقش ارائه بازخورد به موقع و سازنده در مورد تکالیف و ارزیابی ها برای هدایت یادگیری دانش آموزان بحث کنید.</v>
      </c>
      <c r="H618" s="1"/>
      <c r="I618" s="1"/>
      <c r="J618" s="1"/>
      <c r="K618" s="1"/>
      <c r="L618" s="1"/>
      <c r="M618" s="1"/>
      <c r="N618" s="1"/>
      <c r="O618" s="1"/>
      <c r="P618" s="1"/>
      <c r="Q618" s="1"/>
      <c r="R618" s="1"/>
      <c r="S618" s="1"/>
      <c r="T618" s="1"/>
      <c r="U618" s="1"/>
      <c r="V618" s="1"/>
      <c r="W618" s="1"/>
      <c r="X618" s="1"/>
      <c r="Y618" s="1"/>
      <c r="Z618" s="1"/>
      <c r="AA618" s="1"/>
      <c r="AB618" s="1"/>
    </row>
    <row r="619" ht="50.25" customHeight="1">
      <c r="A619" s="12">
        <v>615.0</v>
      </c>
      <c r="B619" s="13" t="s">
        <v>476</v>
      </c>
      <c r="C619" s="14" t="s">
        <v>623</v>
      </c>
      <c r="D619" s="1"/>
      <c r="E619" s="15"/>
      <c r="F619" s="1" t="str">
        <f>IFERROR(__xludf.DUMMYFUNCTION("GOOGLETRANSLATE(B619, ""en"", ""fa"")
"),"ایجاد دوره")</f>
        <v>ایجاد دوره</v>
      </c>
      <c r="G619" s="1" t="str">
        <f>IFERROR(__xludf.DUMMYFUNCTION("GOOGLETRANSLATE(C619, ""en"", ""fa"")
"),"استراتژی‌هایی را برای ادغام پروژه‌های دنیای واقعی یا فعالیت‌های عملی برای استفاده از دانش به‌دست‌آمده در دوره به اشتراک بگذارید.")</f>
        <v>استراتژی‌هایی را برای ادغام پروژه‌های دنیای واقعی یا فعالیت‌های عملی برای استفاده از دانش به‌دست‌آمده در دوره به اشتراک بگذارید.</v>
      </c>
      <c r="H619" s="1"/>
      <c r="I619" s="1"/>
      <c r="J619" s="1"/>
      <c r="K619" s="1"/>
      <c r="L619" s="1"/>
      <c r="M619" s="1"/>
      <c r="N619" s="1"/>
      <c r="O619" s="1"/>
      <c r="P619" s="1"/>
      <c r="Q619" s="1"/>
      <c r="R619" s="1"/>
      <c r="S619" s="1"/>
      <c r="T619" s="1"/>
      <c r="U619" s="1"/>
      <c r="V619" s="1"/>
      <c r="W619" s="1"/>
      <c r="X619" s="1"/>
      <c r="Y619" s="1"/>
      <c r="Z619" s="1"/>
      <c r="AA619" s="1"/>
      <c r="AB619" s="1"/>
    </row>
    <row r="620" ht="50.25" customHeight="1">
      <c r="A620" s="12">
        <v>616.0</v>
      </c>
      <c r="B620" s="13" t="s">
        <v>476</v>
      </c>
      <c r="C620" s="14" t="s">
        <v>624</v>
      </c>
      <c r="D620" s="1"/>
      <c r="E620" s="15"/>
      <c r="F620" s="1" t="str">
        <f>IFERROR(__xludf.DUMMYFUNCTION("GOOGLETRANSLATE(B620, ""en"", ""fa"")
"),"ایجاد دوره")</f>
        <v>ایجاد دوره</v>
      </c>
      <c r="G620" s="1" t="str">
        <f>IFERROR(__xludf.DUMMYFUNCTION("GOOGLETRANSLATE(C620, ""en"", ""fa"")
"),"مزایای ترکیب ارزیابی های تکوینی، مانند آزمون ها یا تمرین های تمرینی، برای تقویت یادگیری را بررسی کنید.")</f>
        <v>مزایای ترکیب ارزیابی های تکوینی، مانند آزمون ها یا تمرین های تمرینی، برای تقویت یادگیری را بررسی کنید.</v>
      </c>
      <c r="H620" s="1"/>
      <c r="I620" s="1"/>
      <c r="J620" s="1"/>
      <c r="K620" s="1"/>
      <c r="L620" s="1"/>
      <c r="M620" s="1"/>
      <c r="N620" s="1"/>
      <c r="O620" s="1"/>
      <c r="P620" s="1"/>
      <c r="Q620" s="1"/>
      <c r="R620" s="1"/>
      <c r="S620" s="1"/>
      <c r="T620" s="1"/>
      <c r="U620" s="1"/>
      <c r="V620" s="1"/>
      <c r="W620" s="1"/>
      <c r="X620" s="1"/>
      <c r="Y620" s="1"/>
      <c r="Z620" s="1"/>
      <c r="AA620" s="1"/>
      <c r="AB620" s="1"/>
    </row>
    <row r="621" ht="50.25" customHeight="1">
      <c r="A621" s="12">
        <v>617.0</v>
      </c>
      <c r="B621" s="13" t="s">
        <v>476</v>
      </c>
      <c r="C621" s="14" t="s">
        <v>625</v>
      </c>
      <c r="D621" s="1"/>
      <c r="E621" s="15"/>
      <c r="F621" s="1" t="str">
        <f>IFERROR(__xludf.DUMMYFUNCTION("GOOGLETRANSLATE(B621, ""en"", ""fa"")
"),"ایجاد دوره")</f>
        <v>ایجاد دوره</v>
      </c>
      <c r="G621" s="1" t="str">
        <f>IFERROR(__xludf.DUMMYFUNCTION("GOOGLETRANSLATE(C621, ""en"", ""fa"")
"),"در مورد تأثیر ترکیب نمونه های واقعی و داستان های موفقیت از کارشناسان صنعت برای الهام بخشیدن و ایجاد انگیزه در دانش آموزان بحث کنید.")</f>
        <v>در مورد تأثیر ترکیب نمونه های واقعی و داستان های موفقیت از کارشناسان صنعت برای الهام بخشیدن و ایجاد انگیزه در دانش آموزان بحث کنید.</v>
      </c>
      <c r="H621" s="1"/>
      <c r="I621" s="1"/>
      <c r="J621" s="1"/>
      <c r="K621" s="1"/>
      <c r="L621" s="1"/>
      <c r="M621" s="1"/>
      <c r="N621" s="1"/>
      <c r="O621" s="1"/>
      <c r="P621" s="1"/>
      <c r="Q621" s="1"/>
      <c r="R621" s="1"/>
      <c r="S621" s="1"/>
      <c r="T621" s="1"/>
      <c r="U621" s="1"/>
      <c r="V621" s="1"/>
      <c r="W621" s="1"/>
      <c r="X621" s="1"/>
      <c r="Y621" s="1"/>
      <c r="Z621" s="1"/>
      <c r="AA621" s="1"/>
      <c r="AB621" s="1"/>
    </row>
    <row r="622" ht="50.25" customHeight="1">
      <c r="A622" s="12">
        <v>618.0</v>
      </c>
      <c r="B622" s="13" t="s">
        <v>476</v>
      </c>
      <c r="C622" s="14" t="s">
        <v>626</v>
      </c>
      <c r="D622" s="1"/>
      <c r="E622" s="15"/>
      <c r="F622" s="1" t="str">
        <f>IFERROR(__xludf.DUMMYFUNCTION("GOOGLETRANSLATE(B622, ""en"", ""fa"")
"),"ایجاد دوره")</f>
        <v>ایجاد دوره</v>
      </c>
      <c r="G622" s="1" t="str">
        <f>IFERROR(__xludf.DUMMYFUNCTION("GOOGLETRANSLATE(C622, ""en"", ""fa"")
"),"نکاتی را برای طراحی مطالب درسی از نظر بصری جذاب و زیباشناختی برای افزایش تعامل یادگیرنده به اشتراک بگذارید.")</f>
        <v>نکاتی را برای طراحی مطالب درسی از نظر بصری جذاب و زیباشناختی برای افزایش تعامل یادگیرنده به اشتراک بگذارید.</v>
      </c>
      <c r="H622" s="1"/>
      <c r="I622" s="1"/>
      <c r="J622" s="1"/>
      <c r="K622" s="1"/>
      <c r="L622" s="1"/>
      <c r="M622" s="1"/>
      <c r="N622" s="1"/>
      <c r="O622" s="1"/>
      <c r="P622" s="1"/>
      <c r="Q622" s="1"/>
      <c r="R622" s="1"/>
      <c r="S622" s="1"/>
      <c r="T622" s="1"/>
      <c r="U622" s="1"/>
      <c r="V622" s="1"/>
      <c r="W622" s="1"/>
      <c r="X622" s="1"/>
      <c r="Y622" s="1"/>
      <c r="Z622" s="1"/>
      <c r="AA622" s="1"/>
      <c r="AB622" s="1"/>
    </row>
    <row r="623" ht="50.25" customHeight="1">
      <c r="A623" s="12">
        <v>619.0</v>
      </c>
      <c r="B623" s="13" t="s">
        <v>476</v>
      </c>
      <c r="C623" s="14" t="s">
        <v>627</v>
      </c>
      <c r="D623" s="1"/>
      <c r="E623" s="15"/>
      <c r="F623" s="1" t="str">
        <f>IFERROR(__xludf.DUMMYFUNCTION("GOOGLETRANSLATE(B623, ""en"", ""fa"")
"),"ایجاد دوره")</f>
        <v>ایجاد دوره</v>
      </c>
      <c r="G623" s="1" t="str">
        <f>IFERROR(__xludf.DUMMYFUNCTION("GOOGLETRANSLATE(C623, ""en"", ""fa"")
"),"مفهوم استفاده از تکنیک های داستان گویی را برای ایجاد ارتباط بیشتر و خاطره انگیزتر کردن محتوای دوره بررسی کنید.")</f>
        <v>مفهوم استفاده از تکنیک های داستان گویی را برای ایجاد ارتباط بیشتر و خاطره انگیزتر کردن محتوای دوره بررسی کنید.</v>
      </c>
      <c r="H623" s="1"/>
      <c r="I623" s="1"/>
      <c r="J623" s="1"/>
      <c r="K623" s="1"/>
      <c r="L623" s="1"/>
      <c r="M623" s="1"/>
      <c r="N623" s="1"/>
      <c r="O623" s="1"/>
      <c r="P623" s="1"/>
      <c r="Q623" s="1"/>
      <c r="R623" s="1"/>
      <c r="S623" s="1"/>
      <c r="T623" s="1"/>
      <c r="U623" s="1"/>
      <c r="V623" s="1"/>
      <c r="W623" s="1"/>
      <c r="X623" s="1"/>
      <c r="Y623" s="1"/>
      <c r="Z623" s="1"/>
      <c r="AA623" s="1"/>
      <c r="AB623" s="1"/>
    </row>
    <row r="624" ht="50.25" customHeight="1">
      <c r="A624" s="12">
        <v>620.0</v>
      </c>
      <c r="B624" s="13" t="s">
        <v>476</v>
      </c>
      <c r="C624" s="14" t="s">
        <v>628</v>
      </c>
      <c r="D624" s="1"/>
      <c r="E624" s="15"/>
      <c r="F624" s="1" t="str">
        <f>IFERROR(__xludf.DUMMYFUNCTION("GOOGLETRANSLATE(B624, ""en"", ""fa"")
"),"ایجاد دوره")</f>
        <v>ایجاد دوره</v>
      </c>
      <c r="G624" s="1" t="str">
        <f>IFERROR(__xludf.DUMMYFUNCTION("GOOGLETRANSLATE(C624, ""en"", ""fa"")
"),"در مورد نقش فراهم کردن فرصت هایی برای خود اندیشی و خودارزیابی برای تشویق فراشناخت و یادگیری خودراهبری بحث کنید.")</f>
        <v>در مورد نقش فراهم کردن فرصت هایی برای خود اندیشی و خودارزیابی برای تشویق فراشناخت و یادگیری خودراهبری بحث کنید.</v>
      </c>
      <c r="H624" s="1"/>
      <c r="I624" s="1"/>
      <c r="J624" s="1"/>
      <c r="K624" s="1"/>
      <c r="L624" s="1"/>
      <c r="M624" s="1"/>
      <c r="N624" s="1"/>
      <c r="O624" s="1"/>
      <c r="P624" s="1"/>
      <c r="Q624" s="1"/>
      <c r="R624" s="1"/>
      <c r="S624" s="1"/>
      <c r="T624" s="1"/>
      <c r="U624" s="1"/>
      <c r="V624" s="1"/>
      <c r="W624" s="1"/>
      <c r="X624" s="1"/>
      <c r="Y624" s="1"/>
      <c r="Z624" s="1"/>
      <c r="AA624" s="1"/>
      <c r="AB624" s="1"/>
    </row>
    <row r="625" ht="50.25" customHeight="1">
      <c r="A625" s="12">
        <v>621.0</v>
      </c>
      <c r="B625" s="13" t="s">
        <v>476</v>
      </c>
      <c r="C625" s="14" t="s">
        <v>629</v>
      </c>
      <c r="D625" s="1"/>
      <c r="E625" s="15"/>
      <c r="F625" s="1" t="str">
        <f>IFERROR(__xludf.DUMMYFUNCTION("GOOGLETRANSLATE(B625, ""en"", ""fa"")
"),"ایجاد دوره")</f>
        <v>ایجاد دوره</v>
      </c>
      <c r="G625" s="1" t="str">
        <f>IFERROR(__xludf.DUMMYFUNCTION("GOOGLETRANSLATE(C625, ""en"", ""fa"")
"),"استراتژی هایی را برای ایجاد یک محیط یادگیری حمایتی و فراگیر که به تنوع ارزش می دهد و همکاری را تقویت می کند، به اشتراک بگذارید.")</f>
        <v>استراتژی هایی را برای ایجاد یک محیط یادگیری حمایتی و فراگیر که به تنوع ارزش می دهد و همکاری را تقویت می کند، به اشتراک بگذارید.</v>
      </c>
      <c r="H625" s="1"/>
      <c r="I625" s="1"/>
      <c r="J625" s="1"/>
      <c r="K625" s="1"/>
      <c r="L625" s="1"/>
      <c r="M625" s="1"/>
      <c r="N625" s="1"/>
      <c r="O625" s="1"/>
      <c r="P625" s="1"/>
      <c r="Q625" s="1"/>
      <c r="R625" s="1"/>
      <c r="S625" s="1"/>
      <c r="T625" s="1"/>
      <c r="U625" s="1"/>
      <c r="V625" s="1"/>
      <c r="W625" s="1"/>
      <c r="X625" s="1"/>
      <c r="Y625" s="1"/>
      <c r="Z625" s="1"/>
      <c r="AA625" s="1"/>
      <c r="AB625" s="1"/>
    </row>
    <row r="626" ht="50.25" customHeight="1">
      <c r="A626" s="12">
        <v>622.0</v>
      </c>
      <c r="B626" s="13" t="s">
        <v>476</v>
      </c>
      <c r="C626" s="14" t="s">
        <v>630</v>
      </c>
      <c r="D626" s="1"/>
      <c r="E626" s="15"/>
      <c r="F626" s="1" t="str">
        <f>IFERROR(__xludf.DUMMYFUNCTION("GOOGLETRANSLATE(B626, ""en"", ""fa"")
"),"ایجاد دوره")</f>
        <v>ایجاد دوره</v>
      </c>
      <c r="G626" s="1" t="str">
        <f>IFERROR(__xludf.DUMMYFUNCTION("GOOGLETRANSLATE(C626, ""en"", ""fa"")
"),"مزایای استفاده از ابزارها یا داشبوردهای ردیابی پیشرفت در زمان واقعی را برای کمک به دانش آموزان برای نظارت بر رشد خود کاوش کنید.")</f>
        <v>مزایای استفاده از ابزارها یا داشبوردهای ردیابی پیشرفت در زمان واقعی را برای کمک به دانش آموزان برای نظارت بر رشد خود کاوش کنید.</v>
      </c>
      <c r="H626" s="1"/>
      <c r="I626" s="1"/>
      <c r="J626" s="1"/>
      <c r="K626" s="1"/>
      <c r="L626" s="1"/>
      <c r="M626" s="1"/>
      <c r="N626" s="1"/>
      <c r="O626" s="1"/>
      <c r="P626" s="1"/>
      <c r="Q626" s="1"/>
      <c r="R626" s="1"/>
      <c r="S626" s="1"/>
      <c r="T626" s="1"/>
      <c r="U626" s="1"/>
      <c r="V626" s="1"/>
      <c r="W626" s="1"/>
      <c r="X626" s="1"/>
      <c r="Y626" s="1"/>
      <c r="Z626" s="1"/>
      <c r="AA626" s="1"/>
      <c r="AB626" s="1"/>
    </row>
    <row r="627" ht="50.25" customHeight="1">
      <c r="A627" s="12">
        <v>623.0</v>
      </c>
      <c r="B627" s="13" t="s">
        <v>476</v>
      </c>
      <c r="C627" s="14" t="s">
        <v>631</v>
      </c>
      <c r="D627" s="1"/>
      <c r="E627" s="15"/>
      <c r="F627" s="1" t="str">
        <f>IFERROR(__xludf.DUMMYFUNCTION("GOOGLETRANSLATE(B627, ""en"", ""fa"")
"),"ایجاد دوره")</f>
        <v>ایجاد دوره</v>
      </c>
      <c r="G627" s="1" t="str">
        <f>IFERROR(__xludf.DUMMYFUNCTION("GOOGLETRANSLATE(C627, ""en"", ""fa"")
"),"درباره تأثیر ترکیب چالش‌های دنیای واقعی یا تمرین‌های حل مسئله برای توسعه مهارت‌های تفکر انتقادی بحث کنید.")</f>
        <v>درباره تأثیر ترکیب چالش‌های دنیای واقعی یا تمرین‌های حل مسئله برای توسعه مهارت‌های تفکر انتقادی بحث کنید.</v>
      </c>
      <c r="H627" s="1"/>
      <c r="I627" s="1"/>
      <c r="J627" s="1"/>
      <c r="K627" s="1"/>
      <c r="L627" s="1"/>
      <c r="M627" s="1"/>
      <c r="N627" s="1"/>
      <c r="O627" s="1"/>
      <c r="P627" s="1"/>
      <c r="Q627" s="1"/>
      <c r="R627" s="1"/>
      <c r="S627" s="1"/>
      <c r="T627" s="1"/>
      <c r="U627" s="1"/>
      <c r="V627" s="1"/>
      <c r="W627" s="1"/>
      <c r="X627" s="1"/>
      <c r="Y627" s="1"/>
      <c r="Z627" s="1"/>
      <c r="AA627" s="1"/>
      <c r="AB627" s="1"/>
    </row>
    <row r="628" ht="50.25" customHeight="1">
      <c r="A628" s="12">
        <v>624.0</v>
      </c>
      <c r="B628" s="13" t="s">
        <v>476</v>
      </c>
      <c r="C628" s="14" t="s">
        <v>632</v>
      </c>
      <c r="D628" s="1"/>
      <c r="E628" s="15"/>
      <c r="F628" s="1" t="str">
        <f>IFERROR(__xludf.DUMMYFUNCTION("GOOGLETRANSLATE(B628, ""en"", ""fa"")
"),"ایجاد دوره")</f>
        <v>ایجاد دوره</v>
      </c>
      <c r="G628" s="1" t="str">
        <f>IFERROR(__xludf.DUMMYFUNCTION("GOOGLETRANSLATE(C628, ""en"", ""fa"")
"),"نکاتی را برای طراحی ارائه‌های چندرسانه‌ای مؤثر یا سخنرانی‌های ویدیویی که توجه دانش‌آموز را جلب و حفظ می‌کند، به اشتراک بگذارید.")</f>
        <v>نکاتی را برای طراحی ارائه‌های چندرسانه‌ای مؤثر یا سخنرانی‌های ویدیویی که توجه دانش‌آموز را جلب و حفظ می‌کند، به اشتراک بگذارید.</v>
      </c>
      <c r="H628" s="1"/>
      <c r="I628" s="1"/>
      <c r="J628" s="1"/>
      <c r="K628" s="1"/>
      <c r="L628" s="1"/>
      <c r="M628" s="1"/>
      <c r="N628" s="1"/>
      <c r="O628" s="1"/>
      <c r="P628" s="1"/>
      <c r="Q628" s="1"/>
      <c r="R628" s="1"/>
      <c r="S628" s="1"/>
      <c r="T628" s="1"/>
      <c r="U628" s="1"/>
      <c r="V628" s="1"/>
      <c r="W628" s="1"/>
      <c r="X628" s="1"/>
      <c r="Y628" s="1"/>
      <c r="Z628" s="1"/>
      <c r="AA628" s="1"/>
      <c r="AB628" s="1"/>
    </row>
    <row r="629" ht="50.25" customHeight="1">
      <c r="A629" s="12">
        <v>625.0</v>
      </c>
      <c r="B629" s="13" t="s">
        <v>476</v>
      </c>
      <c r="C629" s="14" t="s">
        <v>633</v>
      </c>
      <c r="D629" s="1"/>
      <c r="E629" s="15"/>
      <c r="F629" s="1" t="str">
        <f>IFERROR(__xludf.DUMMYFUNCTION("GOOGLETRANSLATE(B629, ""en"", ""fa"")
"),"ایجاد دوره")</f>
        <v>ایجاد دوره</v>
      </c>
      <c r="G629" s="1" t="str">
        <f>IFERROR(__xludf.DUMMYFUNCTION("GOOGLETRANSLATE(C629, ""en"", ""fa"")
"),"مفهوم ترکیب بحث‌های بی‌درنگ یا ناهمزمان را برای تسهیل تعامل دانش‌آموز و به اشتراک‌گذاری دانش بررسی کنید.")</f>
        <v>مفهوم ترکیب بحث‌های بی‌درنگ یا ناهمزمان را برای تسهیل تعامل دانش‌آموز و به اشتراک‌گذاری دانش بررسی کنید.</v>
      </c>
      <c r="H629" s="1"/>
      <c r="I629" s="1"/>
      <c r="J629" s="1"/>
      <c r="K629" s="1"/>
      <c r="L629" s="1"/>
      <c r="M629" s="1"/>
      <c r="N629" s="1"/>
      <c r="O629" s="1"/>
      <c r="P629" s="1"/>
      <c r="Q629" s="1"/>
      <c r="R629" s="1"/>
      <c r="S629" s="1"/>
      <c r="T629" s="1"/>
      <c r="U629" s="1"/>
      <c r="V629" s="1"/>
      <c r="W629" s="1"/>
      <c r="X629" s="1"/>
      <c r="Y629" s="1"/>
      <c r="Z629" s="1"/>
      <c r="AA629" s="1"/>
      <c r="AB629" s="1"/>
    </row>
    <row r="630" ht="50.25" customHeight="1">
      <c r="A630" s="12">
        <v>626.0</v>
      </c>
      <c r="B630" s="13" t="s">
        <v>476</v>
      </c>
      <c r="C630" s="14" t="s">
        <v>634</v>
      </c>
      <c r="D630" s="1"/>
      <c r="E630" s="15"/>
      <c r="F630" s="1" t="str">
        <f>IFERROR(__xludf.DUMMYFUNCTION("GOOGLETRANSLATE(B630, ""en"", ""fa"")
"),"ایجاد دوره")</f>
        <v>ایجاد دوره</v>
      </c>
      <c r="G630" s="1" t="str">
        <f>IFERROR(__xludf.DUMMYFUNCTION("GOOGLETRANSLATE(C630, ""en"", ""fa"")
"),"در مورد نقش ترکیب روندها و به روز رسانی های صنعت بحث کنید تا مطمئن شوید که محتوای دوره مرتبط و به روز باقی می ماند.")</f>
        <v>در مورد نقش ترکیب روندها و به روز رسانی های صنعت بحث کنید تا مطمئن شوید که محتوای دوره مرتبط و به روز باقی می ماند.</v>
      </c>
      <c r="H630" s="1"/>
      <c r="I630" s="1"/>
      <c r="J630" s="1"/>
      <c r="K630" s="1"/>
      <c r="L630" s="1"/>
      <c r="M630" s="1"/>
      <c r="N630" s="1"/>
      <c r="O630" s="1"/>
      <c r="P630" s="1"/>
      <c r="Q630" s="1"/>
      <c r="R630" s="1"/>
      <c r="S630" s="1"/>
      <c r="T630" s="1"/>
      <c r="U630" s="1"/>
      <c r="V630" s="1"/>
      <c r="W630" s="1"/>
      <c r="X630" s="1"/>
      <c r="Y630" s="1"/>
      <c r="Z630" s="1"/>
      <c r="AA630" s="1"/>
      <c r="AB630" s="1"/>
    </row>
    <row r="631" ht="50.25" customHeight="1">
      <c r="A631" s="12">
        <v>627.0</v>
      </c>
      <c r="B631" s="13" t="s">
        <v>476</v>
      </c>
      <c r="C631" s="14" t="s">
        <v>635</v>
      </c>
      <c r="D631" s="1"/>
      <c r="E631" s="15"/>
      <c r="F631" s="1" t="str">
        <f>IFERROR(__xludf.DUMMYFUNCTION("GOOGLETRANSLATE(B631, ""en"", ""fa"")
"),"ایجاد دوره")</f>
        <v>ایجاد دوره</v>
      </c>
      <c r="G631" s="1" t="str">
        <f>IFERROR(__xludf.DUMMYFUNCTION("GOOGLETRANSLATE(C631, ""en"", ""fa"")
"),"راهبردهای ارتقای خودانگیختگی و مسئولیت پذیری را در بین دانش آموزان به اشتراک بگذارید، از جمله از طریق تعیین هدف و نظارت بر پیشرفت.")</f>
        <v>راهبردهای ارتقای خودانگیختگی و مسئولیت پذیری را در بین دانش آموزان به اشتراک بگذارید، از جمله از طریق تعیین هدف و نظارت بر پیشرفت.</v>
      </c>
      <c r="H631" s="1"/>
      <c r="I631" s="1"/>
      <c r="J631" s="1"/>
      <c r="K631" s="1"/>
      <c r="L631" s="1"/>
      <c r="M631" s="1"/>
      <c r="N631" s="1"/>
      <c r="O631" s="1"/>
      <c r="P631" s="1"/>
      <c r="Q631" s="1"/>
      <c r="R631" s="1"/>
      <c r="S631" s="1"/>
      <c r="T631" s="1"/>
      <c r="U631" s="1"/>
      <c r="V631" s="1"/>
      <c r="W631" s="1"/>
      <c r="X631" s="1"/>
      <c r="Y631" s="1"/>
      <c r="Z631" s="1"/>
      <c r="AA631" s="1"/>
      <c r="AB631" s="1"/>
    </row>
    <row r="632" ht="50.25" customHeight="1">
      <c r="A632" s="12">
        <v>628.0</v>
      </c>
      <c r="B632" s="13" t="s">
        <v>476</v>
      </c>
      <c r="C632" s="14" t="s">
        <v>636</v>
      </c>
      <c r="D632" s="1"/>
      <c r="E632" s="15"/>
      <c r="F632" s="1" t="str">
        <f>IFERROR(__xludf.DUMMYFUNCTION("GOOGLETRANSLATE(B632, ""en"", ""fa"")
"),"ایجاد دوره")</f>
        <v>ایجاد دوره</v>
      </c>
      <c r="G632" s="1" t="str">
        <f>IFERROR(__xludf.DUMMYFUNCTION("GOOGLETRANSLATE(C632, ""en"", ""fa"")
"),"مزایای فراهم کردن فرصت‌هایی برای تأمل و توضیح برای تقویت یادگیری و تسهیل کاربرد را بررسی کنید.")</f>
        <v>مزایای فراهم کردن فرصت‌هایی برای تأمل و توضیح برای تقویت یادگیری و تسهیل کاربرد را بررسی کنید.</v>
      </c>
      <c r="H632" s="1"/>
      <c r="I632" s="1"/>
      <c r="J632" s="1"/>
      <c r="K632" s="1"/>
      <c r="L632" s="1"/>
      <c r="M632" s="1"/>
      <c r="N632" s="1"/>
      <c r="O632" s="1"/>
      <c r="P632" s="1"/>
      <c r="Q632" s="1"/>
      <c r="R632" s="1"/>
      <c r="S632" s="1"/>
      <c r="T632" s="1"/>
      <c r="U632" s="1"/>
      <c r="V632" s="1"/>
      <c r="W632" s="1"/>
      <c r="X632" s="1"/>
      <c r="Y632" s="1"/>
      <c r="Z632" s="1"/>
      <c r="AA632" s="1"/>
      <c r="AB632" s="1"/>
    </row>
    <row r="633" ht="50.25" customHeight="1">
      <c r="A633" s="12">
        <v>629.0</v>
      </c>
      <c r="B633" s="13" t="s">
        <v>476</v>
      </c>
      <c r="C633" s="14" t="s">
        <v>637</v>
      </c>
      <c r="D633" s="1"/>
      <c r="E633" s="15"/>
      <c r="F633" s="1" t="str">
        <f>IFERROR(__xludf.DUMMYFUNCTION("GOOGLETRANSLATE(B633, ""en"", ""fa"")
"),"ایجاد دوره")</f>
        <v>ایجاد دوره</v>
      </c>
      <c r="G633" s="1" t="str">
        <f>IFERROR(__xludf.DUMMYFUNCTION("GOOGLETRANSLATE(C633, ""en"", ""fa"")
"),"در مورد تأثیر ایجاد فرصت برای دانش آموزان برای به نمایش گذاشتن کار خود یا نشان دادن مهارت های خود در دوره بحث کنید.")</f>
        <v>در مورد تأثیر ایجاد فرصت برای دانش آموزان برای به نمایش گذاشتن کار خود یا نشان دادن مهارت های خود در دوره بحث کنید.</v>
      </c>
      <c r="H633" s="1"/>
      <c r="I633" s="1"/>
      <c r="J633" s="1"/>
      <c r="K633" s="1"/>
      <c r="L633" s="1"/>
      <c r="M633" s="1"/>
      <c r="N633" s="1"/>
      <c r="O633" s="1"/>
      <c r="P633" s="1"/>
      <c r="Q633" s="1"/>
      <c r="R633" s="1"/>
      <c r="S633" s="1"/>
      <c r="T633" s="1"/>
      <c r="U633" s="1"/>
      <c r="V633" s="1"/>
      <c r="W633" s="1"/>
      <c r="X633" s="1"/>
      <c r="Y633" s="1"/>
      <c r="Z633" s="1"/>
      <c r="AA633" s="1"/>
      <c r="AB633" s="1"/>
    </row>
    <row r="634" ht="50.25" customHeight="1">
      <c r="A634" s="12">
        <v>630.0</v>
      </c>
      <c r="B634" s="13" t="s">
        <v>476</v>
      </c>
      <c r="C634" s="14" t="s">
        <v>638</v>
      </c>
      <c r="D634" s="1"/>
      <c r="E634" s="15"/>
      <c r="F634" s="1" t="str">
        <f>IFERROR(__xludf.DUMMYFUNCTION("GOOGLETRANSLATE(B634, ""en"", ""fa"")
"),"ایجاد دوره")</f>
        <v>ایجاد دوره</v>
      </c>
      <c r="G634" s="1" t="str">
        <f>IFERROR(__xludf.DUMMYFUNCTION("GOOGLETRANSLATE(C634, ""en"", ""fa"")
"),"نکاتی را برای طراحی ارزیابی هایی به اشتراک بگذارید که با اهداف دوره هماهنگ باشد و نتایج یادگیری مورد نظر را اندازه گیری کند.")</f>
        <v>نکاتی را برای طراحی ارزیابی هایی به اشتراک بگذارید که با اهداف دوره هماهنگ باشد و نتایج یادگیری مورد نظر را اندازه گیری کند.</v>
      </c>
      <c r="H634" s="1"/>
      <c r="I634" s="1"/>
      <c r="J634" s="1"/>
      <c r="K634" s="1"/>
      <c r="L634" s="1"/>
      <c r="M634" s="1"/>
      <c r="N634" s="1"/>
      <c r="O634" s="1"/>
      <c r="P634" s="1"/>
      <c r="Q634" s="1"/>
      <c r="R634" s="1"/>
      <c r="S634" s="1"/>
      <c r="T634" s="1"/>
      <c r="U634" s="1"/>
      <c r="V634" s="1"/>
      <c r="W634" s="1"/>
      <c r="X634" s="1"/>
      <c r="Y634" s="1"/>
      <c r="Z634" s="1"/>
      <c r="AA634" s="1"/>
      <c r="AB634" s="1"/>
    </row>
    <row r="635" ht="50.25" customHeight="1">
      <c r="A635" s="12">
        <v>631.0</v>
      </c>
      <c r="B635" s="13" t="s">
        <v>476</v>
      </c>
      <c r="C635" s="14" t="s">
        <v>639</v>
      </c>
      <c r="D635" s="1"/>
      <c r="E635" s="15"/>
      <c r="F635" s="1" t="str">
        <f>IFERROR(__xludf.DUMMYFUNCTION("GOOGLETRANSLATE(B635, ""en"", ""fa"")
"),"ایجاد دوره")</f>
        <v>ایجاد دوره</v>
      </c>
      <c r="G635" s="1" t="str">
        <f>IFERROR(__xludf.DUMMYFUNCTION("GOOGLETRANSLATE(C635, ""en"", ""fa"")
"),"مفهوم فراهم کردن منابع برای کاوش بیشتر و خودآموزی فراتر از مطالب درسی را کاوش کنید.")</f>
        <v>مفهوم فراهم کردن منابع برای کاوش بیشتر و خودآموزی فراتر از مطالب درسی را کاوش کنید.</v>
      </c>
      <c r="H635" s="1"/>
      <c r="I635" s="1"/>
      <c r="J635" s="1"/>
      <c r="K635" s="1"/>
      <c r="L635" s="1"/>
      <c r="M635" s="1"/>
      <c r="N635" s="1"/>
      <c r="O635" s="1"/>
      <c r="P635" s="1"/>
      <c r="Q635" s="1"/>
      <c r="R635" s="1"/>
      <c r="S635" s="1"/>
      <c r="T635" s="1"/>
      <c r="U635" s="1"/>
      <c r="V635" s="1"/>
      <c r="W635" s="1"/>
      <c r="X635" s="1"/>
      <c r="Y635" s="1"/>
      <c r="Z635" s="1"/>
      <c r="AA635" s="1"/>
      <c r="AB635" s="1"/>
    </row>
    <row r="636" ht="50.25" customHeight="1">
      <c r="A636" s="12">
        <v>632.0</v>
      </c>
      <c r="B636" s="13" t="s">
        <v>476</v>
      </c>
      <c r="C636" s="14" t="s">
        <v>640</v>
      </c>
      <c r="D636" s="1"/>
      <c r="E636" s="15"/>
      <c r="F636" s="1" t="str">
        <f>IFERROR(__xludf.DUMMYFUNCTION("GOOGLETRANSLATE(B636, ""en"", ""fa"")
"),"ایجاد دوره")</f>
        <v>ایجاد دوره</v>
      </c>
      <c r="G636" s="1" t="str">
        <f>IFERROR(__xludf.DUMMYFUNCTION("GOOGLETRANSLATE(C636, ""en"", ""fa"")
"),"درباره نقش فراهم کردن فرصت‌هایی برای دانش‌آموزان برای دادن و دریافت بازخورد همسالان برای افزایش تجربه یادگیری خود بحث کنید.")</f>
        <v>درباره نقش فراهم کردن فرصت‌هایی برای دانش‌آموزان برای دادن و دریافت بازخورد همسالان برای افزایش تجربه یادگیری خود بحث کنید.</v>
      </c>
      <c r="H636" s="1"/>
      <c r="I636" s="1"/>
      <c r="J636" s="1"/>
      <c r="K636" s="1"/>
      <c r="L636" s="1"/>
      <c r="M636" s="1"/>
      <c r="N636" s="1"/>
      <c r="O636" s="1"/>
      <c r="P636" s="1"/>
      <c r="Q636" s="1"/>
      <c r="R636" s="1"/>
      <c r="S636" s="1"/>
      <c r="T636" s="1"/>
      <c r="U636" s="1"/>
      <c r="V636" s="1"/>
      <c r="W636" s="1"/>
      <c r="X636" s="1"/>
      <c r="Y636" s="1"/>
      <c r="Z636" s="1"/>
      <c r="AA636" s="1"/>
      <c r="AB636" s="1"/>
    </row>
    <row r="637" ht="50.25" customHeight="1">
      <c r="A637" s="12">
        <v>633.0</v>
      </c>
      <c r="B637" s="13" t="s">
        <v>476</v>
      </c>
      <c r="C637" s="14" t="s">
        <v>641</v>
      </c>
      <c r="D637" s="1"/>
      <c r="E637" s="15"/>
      <c r="F637" s="1" t="str">
        <f>IFERROR(__xludf.DUMMYFUNCTION("GOOGLETRANSLATE(B637, ""en"", ""fa"")
"),"ایجاد دوره")</f>
        <v>ایجاد دوره</v>
      </c>
      <c r="G637" s="1" t="str">
        <f>IFERROR(__xludf.DUMMYFUNCTION("GOOGLETRANSLATE(C637, ""en"", ""fa"")
"),"استراتژی هایی را برای ترکیب نمونه های واقعی و مطالعات موردی که ارتباط عملی محتوای دوره را برجسته می کند، به اشتراک بگذارید.")</f>
        <v>استراتژی هایی را برای ترکیب نمونه های واقعی و مطالعات موردی که ارتباط عملی محتوای دوره را برجسته می کند، به اشتراک بگذارید.</v>
      </c>
      <c r="H637" s="1"/>
      <c r="I637" s="1"/>
      <c r="J637" s="1"/>
      <c r="K637" s="1"/>
      <c r="L637" s="1"/>
      <c r="M637" s="1"/>
      <c r="N637" s="1"/>
      <c r="O637" s="1"/>
      <c r="P637" s="1"/>
      <c r="Q637" s="1"/>
      <c r="R637" s="1"/>
      <c r="S637" s="1"/>
      <c r="T637" s="1"/>
      <c r="U637" s="1"/>
      <c r="V637" s="1"/>
      <c r="W637" s="1"/>
      <c r="X637" s="1"/>
      <c r="Y637" s="1"/>
      <c r="Z637" s="1"/>
      <c r="AA637" s="1"/>
      <c r="AB637" s="1"/>
    </row>
    <row r="638" ht="50.25" customHeight="1">
      <c r="A638" s="12">
        <v>634.0</v>
      </c>
      <c r="B638" s="13" t="s">
        <v>476</v>
      </c>
      <c r="C638" s="14" t="s">
        <v>642</v>
      </c>
      <c r="D638" s="1"/>
      <c r="E638" s="15"/>
      <c r="F638" s="1" t="str">
        <f>IFERROR(__xludf.DUMMYFUNCTION("GOOGLETRANSLATE(B638, ""en"", ""fa"")
"),"ایجاد دوره")</f>
        <v>ایجاد دوره</v>
      </c>
      <c r="G638" s="1" t="str">
        <f>IFERROR(__xludf.DUMMYFUNCTION("GOOGLETRANSLATE(C638, ""en"", ""fa"")
"),"مزایای استفاده از ابزارهای خودارزیابی یا آزمون‌ها را بررسی کنید تا به دانش‌آموزان اجازه دهید درک خود را بسنجند.")</f>
        <v>مزایای استفاده از ابزارهای خودارزیابی یا آزمون‌ها را بررسی کنید تا به دانش‌آموزان اجازه دهید درک خود را بسنجند.</v>
      </c>
      <c r="H638" s="1"/>
      <c r="I638" s="1"/>
      <c r="J638" s="1"/>
      <c r="K638" s="1"/>
      <c r="L638" s="1"/>
      <c r="M638" s="1"/>
      <c r="N638" s="1"/>
      <c r="O638" s="1"/>
      <c r="P638" s="1"/>
      <c r="Q638" s="1"/>
      <c r="R638" s="1"/>
      <c r="S638" s="1"/>
      <c r="T638" s="1"/>
      <c r="U638" s="1"/>
      <c r="V638" s="1"/>
      <c r="W638" s="1"/>
      <c r="X638" s="1"/>
      <c r="Y638" s="1"/>
      <c r="Z638" s="1"/>
      <c r="AA638" s="1"/>
      <c r="AB638" s="1"/>
    </row>
    <row r="639" ht="50.25" customHeight="1">
      <c r="A639" s="12">
        <v>635.0</v>
      </c>
      <c r="B639" s="13" t="s">
        <v>476</v>
      </c>
      <c r="C639" s="14" t="s">
        <v>643</v>
      </c>
      <c r="D639" s="1"/>
      <c r="E639" s="15"/>
      <c r="F639" s="1" t="str">
        <f>IFERROR(__xludf.DUMMYFUNCTION("GOOGLETRANSLATE(B639, ""en"", ""fa"")
"),"ایجاد دوره")</f>
        <v>ایجاد دوره</v>
      </c>
      <c r="G639" s="1" t="str">
        <f>IFERROR(__xludf.DUMMYFUNCTION("GOOGLETRANSLATE(C639, ""en"", ""fa"")
"),"در مورد تأثیر ایجاد یک برنامه درسی ساختار یافته و منظم که انتظارات و ضرب الاجل ها را مشخص می کند، بحث کنید.")</f>
        <v>در مورد تأثیر ایجاد یک برنامه درسی ساختار یافته و منظم که انتظارات و ضرب الاجل ها را مشخص می کند، بحث کنید.</v>
      </c>
      <c r="H639" s="1"/>
      <c r="I639" s="1"/>
      <c r="J639" s="1"/>
      <c r="K639" s="1"/>
      <c r="L639" s="1"/>
      <c r="M639" s="1"/>
      <c r="N639" s="1"/>
      <c r="O639" s="1"/>
      <c r="P639" s="1"/>
      <c r="Q639" s="1"/>
      <c r="R639" s="1"/>
      <c r="S639" s="1"/>
      <c r="T639" s="1"/>
      <c r="U639" s="1"/>
      <c r="V639" s="1"/>
      <c r="W639" s="1"/>
      <c r="X639" s="1"/>
      <c r="Y639" s="1"/>
      <c r="Z639" s="1"/>
      <c r="AA639" s="1"/>
      <c r="AB639" s="1"/>
    </row>
    <row r="640" ht="50.25" customHeight="1">
      <c r="A640" s="12">
        <v>636.0</v>
      </c>
      <c r="B640" s="13" t="s">
        <v>476</v>
      </c>
      <c r="C640" s="14" t="s">
        <v>644</v>
      </c>
      <c r="D640" s="1"/>
      <c r="E640" s="15"/>
      <c r="F640" s="1" t="str">
        <f>IFERROR(__xludf.DUMMYFUNCTION("GOOGLETRANSLATE(B640, ""en"", ""fa"")
"),"ایجاد دوره")</f>
        <v>ایجاد دوره</v>
      </c>
      <c r="G640" s="1" t="str">
        <f>IFERROR(__xludf.DUMMYFUNCTION("GOOGLETRANSLATE(C640, ""en"", ""fa"")
"),"نکاتی را برای طراحی بحث ها یا انجمن های تعاملی و جذاب برای تسهیل مشارکت و همکاری دانش آموزان به اشتراک بگذارید.")</f>
        <v>نکاتی را برای طراحی بحث ها یا انجمن های تعاملی و جذاب برای تسهیل مشارکت و همکاری دانش آموزان به اشتراک بگذارید.</v>
      </c>
      <c r="H640" s="1"/>
      <c r="I640" s="1"/>
      <c r="J640" s="1"/>
      <c r="K640" s="1"/>
      <c r="L640" s="1"/>
      <c r="M640" s="1"/>
      <c r="N640" s="1"/>
      <c r="O640" s="1"/>
      <c r="P640" s="1"/>
      <c r="Q640" s="1"/>
      <c r="R640" s="1"/>
      <c r="S640" s="1"/>
      <c r="T640" s="1"/>
      <c r="U640" s="1"/>
      <c r="V640" s="1"/>
      <c r="W640" s="1"/>
      <c r="X640" s="1"/>
      <c r="Y640" s="1"/>
      <c r="Z640" s="1"/>
      <c r="AA640" s="1"/>
      <c r="AB640" s="1"/>
    </row>
    <row r="641" ht="50.25" customHeight="1">
      <c r="A641" s="12">
        <v>637.0</v>
      </c>
      <c r="B641" s="13" t="s">
        <v>476</v>
      </c>
      <c r="C641" s="14" t="s">
        <v>645</v>
      </c>
      <c r="D641" s="1"/>
      <c r="E641" s="15"/>
      <c r="F641" s="1" t="str">
        <f>IFERROR(__xludf.DUMMYFUNCTION("GOOGLETRANSLATE(B641, ""en"", ""fa"")
"),"ایجاد دوره")</f>
        <v>ایجاد دوره</v>
      </c>
      <c r="G641" s="1" t="str">
        <f>IFERROR(__xludf.DUMMYFUNCTION("GOOGLETRANSLATE(C641, ""en"", ""fa"")
"),"مفهوم ترکیب یادگیری مبتنی بر پروژه یا پروژه‌های برپایی را برای به کارگیری دانش و مهارت‌های کسب‌شده کاوش کنید.")</f>
        <v>مفهوم ترکیب یادگیری مبتنی بر پروژه یا پروژه‌های برپایی را برای به کارگیری دانش و مهارت‌های کسب‌شده کاوش کنید.</v>
      </c>
      <c r="H641" s="1"/>
      <c r="I641" s="1"/>
      <c r="J641" s="1"/>
      <c r="K641" s="1"/>
      <c r="L641" s="1"/>
      <c r="M641" s="1"/>
      <c r="N641" s="1"/>
      <c r="O641" s="1"/>
      <c r="P641" s="1"/>
      <c r="Q641" s="1"/>
      <c r="R641" s="1"/>
      <c r="S641" s="1"/>
      <c r="T641" s="1"/>
      <c r="U641" s="1"/>
      <c r="V641" s="1"/>
      <c r="W641" s="1"/>
      <c r="X641" s="1"/>
      <c r="Y641" s="1"/>
      <c r="Z641" s="1"/>
      <c r="AA641" s="1"/>
      <c r="AB641" s="1"/>
    </row>
    <row r="642" ht="50.25" customHeight="1">
      <c r="A642" s="12">
        <v>638.0</v>
      </c>
      <c r="B642" s="13" t="s">
        <v>476</v>
      </c>
      <c r="C642" s="14" t="s">
        <v>646</v>
      </c>
      <c r="D642" s="1"/>
      <c r="E642" s="15"/>
      <c r="F642" s="1" t="str">
        <f>IFERROR(__xludf.DUMMYFUNCTION("GOOGLETRANSLATE(B642, ""en"", ""fa"")
"),"ایجاد دوره")</f>
        <v>ایجاد دوره</v>
      </c>
      <c r="G642" s="1" t="str">
        <f>IFERROR(__xludf.DUMMYFUNCTION("GOOGLETRANSLATE(C642, ""en"", ""fa"")
"),"درباره نقش تأمین منابع و پشتیبانی برای دانش‌آموزان با سبک‌های مختلف یادگیری یا نیازهای دسترسی بحث کنید.")</f>
        <v>درباره نقش تأمین منابع و پشتیبانی برای دانش‌آموزان با سبک‌های مختلف یادگیری یا نیازهای دسترسی بحث کنید.</v>
      </c>
      <c r="H642" s="1"/>
      <c r="I642" s="1"/>
      <c r="J642" s="1"/>
      <c r="K642" s="1"/>
      <c r="L642" s="1"/>
      <c r="M642" s="1"/>
      <c r="N642" s="1"/>
      <c r="O642" s="1"/>
      <c r="P642" s="1"/>
      <c r="Q642" s="1"/>
      <c r="R642" s="1"/>
      <c r="S642" s="1"/>
      <c r="T642" s="1"/>
      <c r="U642" s="1"/>
      <c r="V642" s="1"/>
      <c r="W642" s="1"/>
      <c r="X642" s="1"/>
      <c r="Y642" s="1"/>
      <c r="Z642" s="1"/>
      <c r="AA642" s="1"/>
      <c r="AB642" s="1"/>
    </row>
    <row r="643" ht="50.25" customHeight="1">
      <c r="A643" s="12">
        <v>639.0</v>
      </c>
      <c r="B643" s="13" t="s">
        <v>476</v>
      </c>
      <c r="C643" s="14" t="s">
        <v>647</v>
      </c>
      <c r="D643" s="1"/>
      <c r="E643" s="15"/>
      <c r="F643" s="1" t="str">
        <f>IFERROR(__xludf.DUMMYFUNCTION("GOOGLETRANSLATE(B643, ""en"", ""fa"")
"),"ایجاد دوره")</f>
        <v>ایجاد دوره</v>
      </c>
      <c r="G643" s="1" t="str">
        <f>IFERROR(__xludf.DUMMYFUNCTION("GOOGLETRANSLATE(C643, ""en"", ""fa"")
"),"استراتژی‌هایی را برای ترکیب ارزیابی‌های تکوینی و آزمون‌های خودآزمایی برای کمک به دانش‌آموزان برای نظارت بر پیشرفت خود به اشتراک بگذارید.")</f>
        <v>استراتژی‌هایی را برای ترکیب ارزیابی‌های تکوینی و آزمون‌های خودآزمایی برای کمک به دانش‌آموزان برای نظارت بر پیشرفت خود به اشتراک بگذارید.</v>
      </c>
      <c r="H643" s="1"/>
      <c r="I643" s="1"/>
      <c r="J643" s="1"/>
      <c r="K643" s="1"/>
      <c r="L643" s="1"/>
      <c r="M643" s="1"/>
      <c r="N643" s="1"/>
      <c r="O643" s="1"/>
      <c r="P643" s="1"/>
      <c r="Q643" s="1"/>
      <c r="R643" s="1"/>
      <c r="S643" s="1"/>
      <c r="T643" s="1"/>
      <c r="U643" s="1"/>
      <c r="V643" s="1"/>
      <c r="W643" s="1"/>
      <c r="X643" s="1"/>
      <c r="Y643" s="1"/>
      <c r="Z643" s="1"/>
      <c r="AA643" s="1"/>
      <c r="AB643" s="1"/>
    </row>
    <row r="644" ht="50.25" customHeight="1">
      <c r="A644" s="12">
        <v>640.0</v>
      </c>
      <c r="B644" s="13" t="s">
        <v>476</v>
      </c>
      <c r="C644" s="14" t="s">
        <v>648</v>
      </c>
      <c r="D644" s="1"/>
      <c r="E644" s="15"/>
      <c r="F644" s="1" t="str">
        <f>IFERROR(__xludf.DUMMYFUNCTION("GOOGLETRANSLATE(B644, ""en"", ""fa"")
"),"ایجاد دوره")</f>
        <v>ایجاد دوره</v>
      </c>
      <c r="G644" s="1" t="str">
        <f>IFERROR(__xludf.DUMMYFUNCTION("GOOGLETRANSLATE(C644, ""en"", ""fa"")
"),"مزایای ترکیب سخنرانان مهمان یا کارشناسان صنعت را برای ارائه بینش و دیدگاه‌های بیشتر بررسی کنید.")</f>
        <v>مزایای ترکیب سخنرانان مهمان یا کارشناسان صنعت را برای ارائه بینش و دیدگاه‌های بیشتر بررسی کنید.</v>
      </c>
      <c r="H644" s="1"/>
      <c r="I644" s="1"/>
      <c r="J644" s="1"/>
      <c r="K644" s="1"/>
      <c r="L644" s="1"/>
      <c r="M644" s="1"/>
      <c r="N644" s="1"/>
      <c r="O644" s="1"/>
      <c r="P644" s="1"/>
      <c r="Q644" s="1"/>
      <c r="R644" s="1"/>
      <c r="S644" s="1"/>
      <c r="T644" s="1"/>
      <c r="U644" s="1"/>
      <c r="V644" s="1"/>
      <c r="W644" s="1"/>
      <c r="X644" s="1"/>
      <c r="Y644" s="1"/>
      <c r="Z644" s="1"/>
      <c r="AA644" s="1"/>
      <c r="AB644" s="1"/>
    </row>
    <row r="645" ht="50.25" customHeight="1">
      <c r="A645" s="12">
        <v>641.0</v>
      </c>
      <c r="B645" s="13" t="s">
        <v>476</v>
      </c>
      <c r="C645" s="14" t="s">
        <v>649</v>
      </c>
      <c r="D645" s="1"/>
      <c r="E645" s="15"/>
      <c r="F645" s="1" t="str">
        <f>IFERROR(__xludf.DUMMYFUNCTION("GOOGLETRANSLATE(B645, ""en"", ""fa"")
"),"ایجاد دوره")</f>
        <v>ایجاد دوره</v>
      </c>
      <c r="G645" s="1" t="str">
        <f>IFERROR(__xludf.DUMMYFUNCTION("GOOGLETRANSLATE(C645, ""en"", ""fa"")
"),"درباره تأثیر فراهم کردن فرصت‌هایی برای دانش‌آموزان برای تأمل در سفر یادگیری خود و تعیین اهداف شخصی بحث کنید.")</f>
        <v>درباره تأثیر فراهم کردن فرصت‌هایی برای دانش‌آموزان برای تأمل در سفر یادگیری خود و تعیین اهداف شخصی بحث کنید.</v>
      </c>
      <c r="H645" s="1"/>
      <c r="I645" s="1"/>
      <c r="J645" s="1"/>
      <c r="K645" s="1"/>
      <c r="L645" s="1"/>
      <c r="M645" s="1"/>
      <c r="N645" s="1"/>
      <c r="O645" s="1"/>
      <c r="P645" s="1"/>
      <c r="Q645" s="1"/>
      <c r="R645" s="1"/>
      <c r="S645" s="1"/>
      <c r="T645" s="1"/>
      <c r="U645" s="1"/>
      <c r="V645" s="1"/>
      <c r="W645" s="1"/>
      <c r="X645" s="1"/>
      <c r="Y645" s="1"/>
      <c r="Z645" s="1"/>
      <c r="AA645" s="1"/>
      <c r="AB645" s="1"/>
    </row>
    <row r="646" ht="50.25" customHeight="1">
      <c r="A646" s="12">
        <v>642.0</v>
      </c>
      <c r="B646" s="13" t="s">
        <v>476</v>
      </c>
      <c r="C646" s="14" t="s">
        <v>650</v>
      </c>
      <c r="D646" s="1"/>
      <c r="E646" s="15"/>
      <c r="F646" s="1" t="str">
        <f>IFERROR(__xludf.DUMMYFUNCTION("GOOGLETRANSLATE(B646, ""en"", ""fa"")
"),"ایجاد دوره")</f>
        <v>ایجاد دوره</v>
      </c>
      <c r="G646" s="1" t="str">
        <f>IFERROR(__xludf.DUMMYFUNCTION("GOOGLETRANSLATE(C646, ""en"", ""fa"")
"),"نکاتی را برای ایجاد دستورالعمل های واضح و مختصر برای تکالیف و فعالیت ها به اشتراک بگذارید تا از ابهام جلوگیری شود.")</f>
        <v>نکاتی را برای ایجاد دستورالعمل های واضح و مختصر برای تکالیف و فعالیت ها به اشتراک بگذارید تا از ابهام جلوگیری شود.</v>
      </c>
      <c r="H646" s="1"/>
      <c r="I646" s="1"/>
      <c r="J646" s="1"/>
      <c r="K646" s="1"/>
      <c r="L646" s="1"/>
      <c r="M646" s="1"/>
      <c r="N646" s="1"/>
      <c r="O646" s="1"/>
      <c r="P646" s="1"/>
      <c r="Q646" s="1"/>
      <c r="R646" s="1"/>
      <c r="S646" s="1"/>
      <c r="T646" s="1"/>
      <c r="U646" s="1"/>
      <c r="V646" s="1"/>
      <c r="W646" s="1"/>
      <c r="X646" s="1"/>
      <c r="Y646" s="1"/>
      <c r="Z646" s="1"/>
      <c r="AA646" s="1"/>
      <c r="AB646" s="1"/>
    </row>
    <row r="647" ht="50.25" customHeight="1">
      <c r="A647" s="12">
        <v>643.0</v>
      </c>
      <c r="B647" s="13" t="s">
        <v>476</v>
      </c>
      <c r="C647" s="14" t="s">
        <v>651</v>
      </c>
      <c r="D647" s="1"/>
      <c r="E647" s="15"/>
      <c r="F647" s="1" t="str">
        <f>IFERROR(__xludf.DUMMYFUNCTION("GOOGLETRANSLATE(B647, ""en"", ""fa"")
"),"ایجاد دوره")</f>
        <v>ایجاد دوره</v>
      </c>
      <c r="G647" s="1" t="str">
        <f>IFERROR(__xludf.DUMMYFUNCTION("GOOGLETRANSLATE(C647, ""en"", ""fa"")
"),"مفهوم فراهم کردن فرصت هایی برای دانش آموزان برای ارائه بازخورد و پیشنهادات برای بهبود دوره را بررسی کنید.")</f>
        <v>مفهوم فراهم کردن فرصت هایی برای دانش آموزان برای ارائه بازخورد و پیشنهادات برای بهبود دوره را بررسی کنید.</v>
      </c>
      <c r="H647" s="1"/>
      <c r="I647" s="1"/>
      <c r="J647" s="1"/>
      <c r="K647" s="1"/>
      <c r="L647" s="1"/>
      <c r="M647" s="1"/>
      <c r="N647" s="1"/>
      <c r="O647" s="1"/>
      <c r="P647" s="1"/>
      <c r="Q647" s="1"/>
      <c r="R647" s="1"/>
      <c r="S647" s="1"/>
      <c r="T647" s="1"/>
      <c r="U647" s="1"/>
      <c r="V647" s="1"/>
      <c r="W647" s="1"/>
      <c r="X647" s="1"/>
      <c r="Y647" s="1"/>
      <c r="Z647" s="1"/>
      <c r="AA647" s="1"/>
      <c r="AB647" s="1"/>
    </row>
    <row r="648" ht="50.25" customHeight="1">
      <c r="A648" s="12">
        <v>644.0</v>
      </c>
      <c r="B648" s="13" t="s">
        <v>476</v>
      </c>
      <c r="C648" s="14" t="s">
        <v>652</v>
      </c>
      <c r="D648" s="1"/>
      <c r="E648" s="15"/>
      <c r="F648" s="1" t="str">
        <f>IFERROR(__xludf.DUMMYFUNCTION("GOOGLETRANSLATE(B648, ""en"", ""fa"")
"),"ایجاد دوره")</f>
        <v>ایجاد دوره</v>
      </c>
      <c r="G648" s="1" t="str">
        <f>IFERROR(__xludf.DUMMYFUNCTION("GOOGLETRANSLATE(C648, ""en"", ""fa"")
"),"در مورد نقش ایجاد یک جامعه یادگیری حمایتی که در آن دانش آموزان می توانند در حمایت و همکاری همتا به همتا مشارکت کنند، بحث کنید.")</f>
        <v>در مورد نقش ایجاد یک جامعه یادگیری حمایتی که در آن دانش آموزان می توانند در حمایت و همکاری همتا به همتا مشارکت کنند، بحث کنید.</v>
      </c>
      <c r="H648" s="1"/>
      <c r="I648" s="1"/>
      <c r="J648" s="1"/>
      <c r="K648" s="1"/>
      <c r="L648" s="1"/>
      <c r="M648" s="1"/>
      <c r="N648" s="1"/>
      <c r="O648" s="1"/>
      <c r="P648" s="1"/>
      <c r="Q648" s="1"/>
      <c r="R648" s="1"/>
      <c r="S648" s="1"/>
      <c r="T648" s="1"/>
      <c r="U648" s="1"/>
      <c r="V648" s="1"/>
      <c r="W648" s="1"/>
      <c r="X648" s="1"/>
      <c r="Y648" s="1"/>
      <c r="Z648" s="1"/>
      <c r="AA648" s="1"/>
      <c r="AB648" s="1"/>
    </row>
    <row r="649" ht="50.25" customHeight="1">
      <c r="A649" s="12">
        <v>645.0</v>
      </c>
      <c r="B649" s="13" t="s">
        <v>476</v>
      </c>
      <c r="C649" s="14" t="s">
        <v>653</v>
      </c>
      <c r="D649" s="1"/>
      <c r="E649" s="15"/>
      <c r="F649" s="1" t="str">
        <f>IFERROR(__xludf.DUMMYFUNCTION("GOOGLETRANSLATE(B649, ""en"", ""fa"")
"),"ایجاد دوره")</f>
        <v>ایجاد دوره</v>
      </c>
      <c r="G649" s="1" t="str">
        <f>IFERROR(__xludf.DUMMYFUNCTION("GOOGLETRANSLATE(C649, ""en"", ""fa"")
"),"استراتژی‌هایی را برای ترکیب بازخورد و کانال‌های پشتیبانی بلادرنگ به اشتراک بگذارید تا به سؤالات و نگرانی‌های دانش‌آموز پاسخ داده شود.")</f>
        <v>استراتژی‌هایی را برای ترکیب بازخورد و کانال‌های پشتیبانی بلادرنگ به اشتراک بگذارید تا به سؤالات و نگرانی‌های دانش‌آموز پاسخ داده شود.</v>
      </c>
      <c r="H649" s="1"/>
      <c r="I649" s="1"/>
      <c r="J649" s="1"/>
      <c r="K649" s="1"/>
      <c r="L649" s="1"/>
      <c r="M649" s="1"/>
      <c r="N649" s="1"/>
      <c r="O649" s="1"/>
      <c r="P649" s="1"/>
      <c r="Q649" s="1"/>
      <c r="R649" s="1"/>
      <c r="S649" s="1"/>
      <c r="T649" s="1"/>
      <c r="U649" s="1"/>
      <c r="V649" s="1"/>
      <c r="W649" s="1"/>
      <c r="X649" s="1"/>
      <c r="Y649" s="1"/>
      <c r="Z649" s="1"/>
      <c r="AA649" s="1"/>
      <c r="AB649" s="1"/>
    </row>
    <row r="650" ht="50.25" customHeight="1">
      <c r="A650" s="12">
        <v>646.0</v>
      </c>
      <c r="B650" s="13" t="s">
        <v>476</v>
      </c>
      <c r="C650" s="14" t="s">
        <v>654</v>
      </c>
      <c r="D650" s="1"/>
      <c r="E650" s="15"/>
      <c r="F650" s="1" t="str">
        <f>IFERROR(__xludf.DUMMYFUNCTION("GOOGLETRANSLATE(B650, ""en"", ""fa"")
"),"ایجاد دوره")</f>
        <v>ایجاد دوره</v>
      </c>
      <c r="G650" s="1" t="str">
        <f>IFERROR(__xludf.DUMMYFUNCTION("GOOGLETRANSLATE(C650, ""en"", ""fa"")
"),"مزایای ترکیب ماژول های خود گام یا بخش های ریز یادگیری برای انعطاف پذیری و یادگیری متمرکز را بررسی کنید.")</f>
        <v>مزایای ترکیب ماژول های خود گام یا بخش های ریز یادگیری برای انعطاف پذیری و یادگیری متمرکز را بررسی کنید.</v>
      </c>
      <c r="H650" s="1"/>
      <c r="I650" s="1"/>
      <c r="J650" s="1"/>
      <c r="K650" s="1"/>
      <c r="L650" s="1"/>
      <c r="M650" s="1"/>
      <c r="N650" s="1"/>
      <c r="O650" s="1"/>
      <c r="P650" s="1"/>
      <c r="Q650" s="1"/>
      <c r="R650" s="1"/>
      <c r="S650" s="1"/>
      <c r="T650" s="1"/>
      <c r="U650" s="1"/>
      <c r="V650" s="1"/>
      <c r="W650" s="1"/>
      <c r="X650" s="1"/>
      <c r="Y650" s="1"/>
      <c r="Z650" s="1"/>
      <c r="AA650" s="1"/>
      <c r="AB650" s="1"/>
    </row>
    <row r="651" ht="50.25" customHeight="1">
      <c r="A651" s="12">
        <v>647.0</v>
      </c>
      <c r="B651" s="13" t="s">
        <v>476</v>
      </c>
      <c r="C651" s="14" t="s">
        <v>655</v>
      </c>
      <c r="D651" s="1"/>
      <c r="E651" s="15"/>
      <c r="F651" s="1" t="str">
        <f>IFERROR(__xludf.DUMMYFUNCTION("GOOGLETRANSLATE(B651, ""en"", ""fa"")
"),"ایجاد دوره")</f>
        <v>ایجاد دوره</v>
      </c>
      <c r="G651" s="1" t="str">
        <f>IFERROR(__xludf.DUMMYFUNCTION("GOOGLETRANSLATE(C651, ""en"", ""fa"")
"),"درباره تأثیر فراهم کردن فرصت‌هایی برای دانش‌آموزان برای به کارگیری یادگیری خود در تنظیمات یا شبیه‌سازی‌های دنیای واقعی بحث کنید.")</f>
        <v>درباره تأثیر فراهم کردن فرصت‌هایی برای دانش‌آموزان برای به کارگیری یادگیری خود در تنظیمات یا شبیه‌سازی‌های دنیای واقعی بحث کنید.</v>
      </c>
      <c r="H651" s="1"/>
      <c r="I651" s="1"/>
      <c r="J651" s="1"/>
      <c r="K651" s="1"/>
      <c r="L651" s="1"/>
      <c r="M651" s="1"/>
      <c r="N651" s="1"/>
      <c r="O651" s="1"/>
      <c r="P651" s="1"/>
      <c r="Q651" s="1"/>
      <c r="R651" s="1"/>
      <c r="S651" s="1"/>
      <c r="T651" s="1"/>
      <c r="U651" s="1"/>
      <c r="V651" s="1"/>
      <c r="W651" s="1"/>
      <c r="X651" s="1"/>
      <c r="Y651" s="1"/>
      <c r="Z651" s="1"/>
      <c r="AA651" s="1"/>
      <c r="AB651" s="1"/>
    </row>
    <row r="652" ht="50.25" customHeight="1">
      <c r="A652" s="12">
        <v>648.0</v>
      </c>
      <c r="B652" s="13" t="s">
        <v>476</v>
      </c>
      <c r="C652" s="14" t="s">
        <v>656</v>
      </c>
      <c r="D652" s="1"/>
      <c r="E652" s="15"/>
      <c r="F652" s="1" t="str">
        <f>IFERROR(__xludf.DUMMYFUNCTION("GOOGLETRANSLATE(B652, ""en"", ""fa"")
"),"ایجاد دوره")</f>
        <v>ایجاد دوره</v>
      </c>
      <c r="G652" s="1" t="str">
        <f>IFERROR(__xludf.DUMMYFUNCTION("GOOGLETRANSLATE(C652, ""en"", ""fa"")
"),"اهمیت انجام تجزیه و تحلیل نیازهای یادگیرنده برای درک مخاطبان هدف و تنظیم محتوای دوره بر اساس آن را بررسی کنید.")</f>
        <v>اهمیت انجام تجزیه و تحلیل نیازهای یادگیرنده برای درک مخاطبان هدف و تنظیم محتوای دوره بر اساس آن را بررسی کنید.</v>
      </c>
      <c r="H652" s="1"/>
      <c r="I652" s="1"/>
      <c r="J652" s="1"/>
      <c r="K652" s="1"/>
      <c r="L652" s="1"/>
      <c r="M652" s="1"/>
      <c r="N652" s="1"/>
      <c r="O652" s="1"/>
      <c r="P652" s="1"/>
      <c r="Q652" s="1"/>
      <c r="R652" s="1"/>
      <c r="S652" s="1"/>
      <c r="T652" s="1"/>
      <c r="U652" s="1"/>
      <c r="V652" s="1"/>
      <c r="W652" s="1"/>
      <c r="X652" s="1"/>
      <c r="Y652" s="1"/>
      <c r="Z652" s="1"/>
      <c r="AA652" s="1"/>
      <c r="AB652" s="1"/>
    </row>
    <row r="653" ht="50.25" customHeight="1">
      <c r="A653" s="12">
        <v>649.0</v>
      </c>
      <c r="B653" s="13" t="s">
        <v>476</v>
      </c>
      <c r="C653" s="14" t="s">
        <v>657</v>
      </c>
      <c r="D653" s="1"/>
      <c r="E653" s="15"/>
      <c r="F653" s="1" t="str">
        <f>IFERROR(__xludf.DUMMYFUNCTION("GOOGLETRANSLATE(B653, ""en"", ""fa"")
"),"ایجاد دوره")</f>
        <v>ایجاد دوره</v>
      </c>
      <c r="G653" s="1" t="str">
        <f>IFERROR(__xludf.DUMMYFUNCTION("GOOGLETRANSLATE(C653, ""en"", ""fa"")
"),"در مورد مزایای ترکیب عناصر چندرسانه ای، مانند صدا، ویدئو، و تصاویر تعاملی برای افزایش تعامل و درک یادگیرنده بحث کنید.")</f>
        <v>در مورد مزایای ترکیب عناصر چندرسانه ای، مانند صدا، ویدئو، و تصاویر تعاملی برای افزایش تعامل و درک یادگیرنده بحث کنید.</v>
      </c>
      <c r="H653" s="1"/>
      <c r="I653" s="1"/>
      <c r="J653" s="1"/>
      <c r="K653" s="1"/>
      <c r="L653" s="1"/>
      <c r="M653" s="1"/>
      <c r="N653" s="1"/>
      <c r="O653" s="1"/>
      <c r="P653" s="1"/>
      <c r="Q653" s="1"/>
      <c r="R653" s="1"/>
      <c r="S653" s="1"/>
      <c r="T653" s="1"/>
      <c r="U653" s="1"/>
      <c r="V653" s="1"/>
      <c r="W653" s="1"/>
      <c r="X653" s="1"/>
      <c r="Y653" s="1"/>
      <c r="Z653" s="1"/>
      <c r="AA653" s="1"/>
      <c r="AB653" s="1"/>
    </row>
    <row r="654" ht="50.25" customHeight="1">
      <c r="A654" s="12">
        <v>650.0</v>
      </c>
      <c r="B654" s="13" t="s">
        <v>476</v>
      </c>
      <c r="C654" s="14" t="s">
        <v>658</v>
      </c>
      <c r="D654" s="1"/>
      <c r="E654" s="15"/>
      <c r="F654" s="1" t="str">
        <f>IFERROR(__xludf.DUMMYFUNCTION("GOOGLETRANSLATE(B654, ""en"", ""fa"")
"),"ایجاد دوره")</f>
        <v>ایجاد دوره</v>
      </c>
      <c r="G654" s="1" t="str">
        <f>IFERROR(__xludf.DUMMYFUNCTION("GOOGLETRANSLATE(C654, ""en"", ""fa"")
"),"برای اطمینان از جریان منطقی اطلاعات و مفاهیم، ​​نکاتی را برای ساختاربندی واحدها یا واحدهای درسی به اشتراک بگذارید.")</f>
        <v>برای اطمینان از جریان منطقی اطلاعات و مفاهیم، ​​نکاتی را برای ساختاربندی واحدها یا واحدهای درسی به اشتراک بگذارید.</v>
      </c>
      <c r="H654" s="1"/>
      <c r="I654" s="1"/>
      <c r="J654" s="1"/>
      <c r="K654" s="1"/>
      <c r="L654" s="1"/>
      <c r="M654" s="1"/>
      <c r="N654" s="1"/>
      <c r="O654" s="1"/>
      <c r="P654" s="1"/>
      <c r="Q654" s="1"/>
      <c r="R654" s="1"/>
      <c r="S654" s="1"/>
      <c r="T654" s="1"/>
      <c r="U654" s="1"/>
      <c r="V654" s="1"/>
      <c r="W654" s="1"/>
      <c r="X654" s="1"/>
      <c r="Y654" s="1"/>
      <c r="Z654" s="1"/>
      <c r="AA654" s="1"/>
      <c r="AB654" s="1"/>
    </row>
    <row r="655" ht="50.25" customHeight="1">
      <c r="A655" s="12">
        <v>651.0</v>
      </c>
      <c r="B655" s="13" t="s">
        <v>476</v>
      </c>
      <c r="C655" s="14" t="s">
        <v>659</v>
      </c>
      <c r="D655" s="1"/>
      <c r="E655" s="15"/>
      <c r="F655" s="1" t="str">
        <f>IFERROR(__xludf.DUMMYFUNCTION("GOOGLETRANSLATE(B655, ""en"", ""fa"")
"),"ایجاد دوره")</f>
        <v>ایجاد دوره</v>
      </c>
      <c r="G655" s="1" t="str">
        <f>IFERROR(__xludf.DUMMYFUNCTION("GOOGLETRANSLATE(C655, ""en"", ""fa"")
"),"مفهوم ترکیب نمونه های واقعی و مطالعات موردی را برای نشان دادن کاربردهای عملی مطالب درسی کاوش کنید.")</f>
        <v>مفهوم ترکیب نمونه های واقعی و مطالعات موردی را برای نشان دادن کاربردهای عملی مطالب درسی کاوش کنید.</v>
      </c>
      <c r="H655" s="1"/>
      <c r="I655" s="1"/>
      <c r="J655" s="1"/>
      <c r="K655" s="1"/>
      <c r="L655" s="1"/>
      <c r="M655" s="1"/>
      <c r="N655" s="1"/>
      <c r="O655" s="1"/>
      <c r="P655" s="1"/>
      <c r="Q655" s="1"/>
      <c r="R655" s="1"/>
      <c r="S655" s="1"/>
      <c r="T655" s="1"/>
      <c r="U655" s="1"/>
      <c r="V655" s="1"/>
      <c r="W655" s="1"/>
      <c r="X655" s="1"/>
      <c r="Y655" s="1"/>
      <c r="Z655" s="1"/>
      <c r="AA655" s="1"/>
      <c r="AB655" s="1"/>
    </row>
    <row r="656" ht="50.25" customHeight="1">
      <c r="A656" s="12">
        <v>652.0</v>
      </c>
      <c r="B656" s="13" t="s">
        <v>476</v>
      </c>
      <c r="C656" s="14" t="s">
        <v>660</v>
      </c>
      <c r="D656" s="1"/>
      <c r="E656" s="15"/>
      <c r="F656" s="1" t="str">
        <f>IFERROR(__xludf.DUMMYFUNCTION("GOOGLETRANSLATE(B656, ""en"", ""fa"")
"),"ایجاد دوره")</f>
        <v>ایجاد دوره</v>
      </c>
      <c r="G656" s="1" t="str">
        <f>IFERROR(__xludf.DUMMYFUNCTION("GOOGLETRANSLATE(C656, ""en"", ""fa"")
"),"درباره نقش فراهم کردن فرصت‌هایی برای یادگیری فعال، مانند تمرین‌های عملی، نقش‌آفرینی، یا شبیه‌سازی بحث کنید.")</f>
        <v>درباره نقش فراهم کردن فرصت‌هایی برای یادگیری فعال، مانند تمرین‌های عملی، نقش‌آفرینی، یا شبیه‌سازی بحث کنید.</v>
      </c>
      <c r="H656" s="1"/>
      <c r="I656" s="1"/>
      <c r="J656" s="1"/>
      <c r="K656" s="1"/>
      <c r="L656" s="1"/>
      <c r="M656" s="1"/>
      <c r="N656" s="1"/>
      <c r="O656" s="1"/>
      <c r="P656" s="1"/>
      <c r="Q656" s="1"/>
      <c r="R656" s="1"/>
      <c r="S656" s="1"/>
      <c r="T656" s="1"/>
      <c r="U656" s="1"/>
      <c r="V656" s="1"/>
      <c r="W656" s="1"/>
      <c r="X656" s="1"/>
      <c r="Y656" s="1"/>
      <c r="Z656" s="1"/>
      <c r="AA656" s="1"/>
      <c r="AB656" s="1"/>
    </row>
    <row r="657" ht="50.25" customHeight="1">
      <c r="A657" s="12">
        <v>653.0</v>
      </c>
      <c r="B657" s="13" t="s">
        <v>476</v>
      </c>
      <c r="C657" s="14" t="s">
        <v>661</v>
      </c>
      <c r="D657" s="1"/>
      <c r="E657" s="15"/>
      <c r="F657" s="1" t="str">
        <f>IFERROR(__xludf.DUMMYFUNCTION("GOOGLETRANSLATE(B657, ""en"", ""fa"")
"),"ایجاد دوره")</f>
        <v>ایجاد دوره</v>
      </c>
      <c r="G657" s="1" t="str">
        <f>IFERROR(__xludf.DUMMYFUNCTION("GOOGLETRANSLATE(C657, ""en"", ""fa"")
"),"استراتژی‌هایی را برای طراحی ارزیابی‌هایی به اشتراک بگذارید که به‌طور مؤثر پیشرفت و تسلط یادگیرنده بر مطالب درسی را اندازه‌گیری می‌کنند.")</f>
        <v>استراتژی‌هایی را برای طراحی ارزیابی‌هایی به اشتراک بگذارید که به‌طور مؤثر پیشرفت و تسلط یادگیرنده بر مطالب درسی را اندازه‌گیری می‌کنند.</v>
      </c>
      <c r="H657" s="1"/>
      <c r="I657" s="1"/>
      <c r="J657" s="1"/>
      <c r="K657" s="1"/>
      <c r="L657" s="1"/>
      <c r="M657" s="1"/>
      <c r="N657" s="1"/>
      <c r="O657" s="1"/>
      <c r="P657" s="1"/>
      <c r="Q657" s="1"/>
      <c r="R657" s="1"/>
      <c r="S657" s="1"/>
      <c r="T657" s="1"/>
      <c r="U657" s="1"/>
      <c r="V657" s="1"/>
      <c r="W657" s="1"/>
      <c r="X657" s="1"/>
      <c r="Y657" s="1"/>
      <c r="Z657" s="1"/>
      <c r="AA657" s="1"/>
      <c r="AB657" s="1"/>
    </row>
    <row r="658" ht="50.25" customHeight="1">
      <c r="A658" s="12">
        <v>654.0</v>
      </c>
      <c r="B658" s="13" t="s">
        <v>476</v>
      </c>
      <c r="C658" s="14" t="s">
        <v>662</v>
      </c>
      <c r="D658" s="1"/>
      <c r="E658" s="15"/>
      <c r="F658" s="1" t="str">
        <f>IFERROR(__xludf.DUMMYFUNCTION("GOOGLETRANSLATE(B658, ""en"", ""fa"")
"),"ایجاد دوره")</f>
        <v>ایجاد دوره</v>
      </c>
      <c r="G658" s="1" t="str">
        <f>IFERROR(__xludf.DUMMYFUNCTION("GOOGLETRANSLATE(C658, ""en"", ""fa"")
"),"مزایای ترکیب ویژگی های یادگیری اجتماعی، مانند تابلوهای بحث یا همکاری با همتایان را برای تقویت اشتراک دانش و ایجاد جامعه بررسی کنید.")</f>
        <v>مزایای ترکیب ویژگی های یادگیری اجتماعی، مانند تابلوهای بحث یا همکاری با همتایان را برای تقویت اشتراک دانش و ایجاد جامعه بررسی کنید.</v>
      </c>
      <c r="H658" s="1"/>
      <c r="I658" s="1"/>
      <c r="J658" s="1"/>
      <c r="K658" s="1"/>
      <c r="L658" s="1"/>
      <c r="M658" s="1"/>
      <c r="N658" s="1"/>
      <c r="O658" s="1"/>
      <c r="P658" s="1"/>
      <c r="Q658" s="1"/>
      <c r="R658" s="1"/>
      <c r="S658" s="1"/>
      <c r="T658" s="1"/>
      <c r="U658" s="1"/>
      <c r="V658" s="1"/>
      <c r="W658" s="1"/>
      <c r="X658" s="1"/>
      <c r="Y658" s="1"/>
      <c r="Z658" s="1"/>
      <c r="AA658" s="1"/>
      <c r="AB658" s="1"/>
    </row>
    <row r="659" ht="50.25" customHeight="1">
      <c r="A659" s="12">
        <v>655.0</v>
      </c>
      <c r="B659" s="13" t="s">
        <v>476</v>
      </c>
      <c r="C659" s="14" t="s">
        <v>663</v>
      </c>
      <c r="D659" s="1"/>
      <c r="E659" s="15"/>
      <c r="F659" s="1" t="str">
        <f>IFERROR(__xludf.DUMMYFUNCTION("GOOGLETRANSLATE(B659, ""en"", ""fa"")
"),"ایجاد دوره")</f>
        <v>ایجاد دوره</v>
      </c>
      <c r="G659" s="1" t="str">
        <f>IFERROR(__xludf.DUMMYFUNCTION("GOOGLETRANSLATE(C659, ""en"", ""fa"")
"),"درباره تأثیر ارائه بازخورد به موقع و سازنده در مورد تکالیف و ارزیابی ها برای حمایت از رشد و بهبود یادگیرنده بحث کنید.")</f>
        <v>درباره تأثیر ارائه بازخورد به موقع و سازنده در مورد تکالیف و ارزیابی ها برای حمایت از رشد و بهبود یادگیرنده بحث کنید.</v>
      </c>
      <c r="H659" s="1"/>
      <c r="I659" s="1"/>
      <c r="J659" s="1"/>
      <c r="K659" s="1"/>
      <c r="L659" s="1"/>
      <c r="M659" s="1"/>
      <c r="N659" s="1"/>
      <c r="O659" s="1"/>
      <c r="P659" s="1"/>
      <c r="Q659" s="1"/>
      <c r="R659" s="1"/>
      <c r="S659" s="1"/>
      <c r="T659" s="1"/>
      <c r="U659" s="1"/>
      <c r="V659" s="1"/>
      <c r="W659" s="1"/>
      <c r="X659" s="1"/>
      <c r="Y659" s="1"/>
      <c r="Z659" s="1"/>
      <c r="AA659" s="1"/>
      <c r="AB659" s="1"/>
    </row>
    <row r="660" ht="50.25" customHeight="1">
      <c r="A660" s="12">
        <v>656.0</v>
      </c>
      <c r="B660" s="13" t="s">
        <v>476</v>
      </c>
      <c r="C660" s="14" t="s">
        <v>664</v>
      </c>
      <c r="D660" s="1"/>
      <c r="E660" s="15"/>
      <c r="F660" s="1" t="str">
        <f>IFERROR(__xludf.DUMMYFUNCTION("GOOGLETRANSLATE(B660, ""en"", ""fa"")
"),"ایجاد دوره")</f>
        <v>ایجاد دوره</v>
      </c>
      <c r="G660" s="1" t="str">
        <f>IFERROR(__xludf.DUMMYFUNCTION("GOOGLETRANSLATE(C660, ""en"", ""fa"")
"),"نکاتی را برای ایجاد ارائه‌ها یا سخنرانی‌های چند رسانه‌ای جذاب و تعاملی که سبک‌های مختلف یادگیری را برآورده می‌کنند، به اشتراک بگذارید.")</f>
        <v>نکاتی را برای ایجاد ارائه‌ها یا سخنرانی‌های چند رسانه‌ای جذاب و تعاملی که سبک‌های مختلف یادگیری را برآورده می‌کنند، به اشتراک بگذارید.</v>
      </c>
      <c r="H660" s="1"/>
      <c r="I660" s="1"/>
      <c r="J660" s="1"/>
      <c r="K660" s="1"/>
      <c r="L660" s="1"/>
      <c r="M660" s="1"/>
      <c r="N660" s="1"/>
      <c r="O660" s="1"/>
      <c r="P660" s="1"/>
      <c r="Q660" s="1"/>
      <c r="R660" s="1"/>
      <c r="S660" s="1"/>
      <c r="T660" s="1"/>
      <c r="U660" s="1"/>
      <c r="V660" s="1"/>
      <c r="W660" s="1"/>
      <c r="X660" s="1"/>
      <c r="Y660" s="1"/>
      <c r="Z660" s="1"/>
      <c r="AA660" s="1"/>
      <c r="AB660" s="1"/>
    </row>
    <row r="661" ht="50.25" customHeight="1">
      <c r="A661" s="12">
        <v>657.0</v>
      </c>
      <c r="B661" s="13" t="s">
        <v>476</v>
      </c>
      <c r="C661" s="14" t="s">
        <v>665</v>
      </c>
      <c r="D661" s="1"/>
      <c r="E661" s="15"/>
      <c r="F661" s="1" t="str">
        <f>IFERROR(__xludf.DUMMYFUNCTION("GOOGLETRANSLATE(B661, ""en"", ""fa"")
"),"ایجاد دوره")</f>
        <v>ایجاد دوره</v>
      </c>
      <c r="G661" s="1" t="str">
        <f>IFERROR(__xludf.DUMMYFUNCTION("GOOGLETRANSLATE(C661, ""en"", ""fa"")
"),"مفهوم ترکیب گزینه‌های یادگیری خودگام را بررسی کنید، که به زبان‌آموز اجازه می‌دهد با سرعت و راحتی خود پیشرفت کند.")</f>
        <v>مفهوم ترکیب گزینه‌های یادگیری خودگام را بررسی کنید، که به زبان‌آموز اجازه می‌دهد با سرعت و راحتی خود پیشرفت کند.</v>
      </c>
      <c r="H661" s="1"/>
      <c r="I661" s="1"/>
      <c r="J661" s="1"/>
      <c r="K661" s="1"/>
      <c r="L661" s="1"/>
      <c r="M661" s="1"/>
      <c r="N661" s="1"/>
      <c r="O661" s="1"/>
      <c r="P661" s="1"/>
      <c r="Q661" s="1"/>
      <c r="R661" s="1"/>
      <c r="S661" s="1"/>
      <c r="T661" s="1"/>
      <c r="U661" s="1"/>
      <c r="V661" s="1"/>
      <c r="W661" s="1"/>
      <c r="X661" s="1"/>
      <c r="Y661" s="1"/>
      <c r="Z661" s="1"/>
      <c r="AA661" s="1"/>
      <c r="AB661" s="1"/>
    </row>
    <row r="662" ht="50.25" customHeight="1">
      <c r="A662" s="12">
        <v>658.0</v>
      </c>
      <c r="B662" s="13" t="s">
        <v>476</v>
      </c>
      <c r="C662" s="14" t="s">
        <v>666</v>
      </c>
      <c r="D662" s="1"/>
      <c r="E662" s="15"/>
      <c r="F662" s="1" t="str">
        <f>IFERROR(__xludf.DUMMYFUNCTION("GOOGLETRANSLATE(B662, ""en"", ""fa"")
"),"ایجاد دوره")</f>
        <v>ایجاد دوره</v>
      </c>
      <c r="G662" s="1" t="str">
        <f>IFERROR(__xludf.DUMMYFUNCTION("GOOGLETRANSLATE(C662, ""en"", ""fa"")
"),"در مورد نقش ترکیب ارزیابی‌های تکوینی، مانند آزمون‌ها یا بررسی دانش، برای نظارت بر درک یادگیرنده و ارائه بازخورد مداوم بحث کنید.")</f>
        <v>در مورد نقش ترکیب ارزیابی‌های تکوینی، مانند آزمون‌ها یا بررسی دانش، برای نظارت بر درک یادگیرنده و ارائه بازخورد مداوم بحث کنید.</v>
      </c>
      <c r="H662" s="1"/>
      <c r="I662" s="1"/>
      <c r="J662" s="1"/>
      <c r="K662" s="1"/>
      <c r="L662" s="1"/>
      <c r="M662" s="1"/>
      <c r="N662" s="1"/>
      <c r="O662" s="1"/>
      <c r="P662" s="1"/>
      <c r="Q662" s="1"/>
      <c r="R662" s="1"/>
      <c r="S662" s="1"/>
      <c r="T662" s="1"/>
      <c r="U662" s="1"/>
      <c r="V662" s="1"/>
      <c r="W662" s="1"/>
      <c r="X662" s="1"/>
      <c r="Y662" s="1"/>
      <c r="Z662" s="1"/>
      <c r="AA662" s="1"/>
      <c r="AB662" s="1"/>
    </row>
    <row r="663" ht="50.25" customHeight="1">
      <c r="A663" s="12">
        <v>659.0</v>
      </c>
      <c r="B663" s="13" t="s">
        <v>476</v>
      </c>
      <c r="C663" s="14" t="s">
        <v>667</v>
      </c>
      <c r="D663" s="1"/>
      <c r="E663" s="15"/>
      <c r="F663" s="1" t="str">
        <f>IFERROR(__xludf.DUMMYFUNCTION("GOOGLETRANSLATE(B663, ""en"", ""fa"")
"),"ایجاد دوره")</f>
        <v>ایجاد دوره</v>
      </c>
      <c r="G663" s="1" t="str">
        <f>IFERROR(__xludf.DUMMYFUNCTION("GOOGLETRANSLATE(C663, ""en"", ""fa"")
"),"استراتژی هایی را برای طراحی اهداف یادگیری واضح و مختصر که با نتایج مورد نظر دوره همسو هستند به اشتراک بگذارید.")</f>
        <v>استراتژی هایی را برای طراحی اهداف یادگیری واضح و مختصر که با نتایج مورد نظر دوره همسو هستند به اشتراک بگذارید.</v>
      </c>
      <c r="H663" s="1"/>
      <c r="I663" s="1"/>
      <c r="J663" s="1"/>
      <c r="K663" s="1"/>
      <c r="L663" s="1"/>
      <c r="M663" s="1"/>
      <c r="N663" s="1"/>
      <c r="O663" s="1"/>
      <c r="P663" s="1"/>
      <c r="Q663" s="1"/>
      <c r="R663" s="1"/>
      <c r="S663" s="1"/>
      <c r="T663" s="1"/>
      <c r="U663" s="1"/>
      <c r="V663" s="1"/>
      <c r="W663" s="1"/>
      <c r="X663" s="1"/>
      <c r="Y663" s="1"/>
      <c r="Z663" s="1"/>
      <c r="AA663" s="1"/>
      <c r="AB663" s="1"/>
    </row>
    <row r="664" ht="50.25" customHeight="1">
      <c r="A664" s="12">
        <v>660.0</v>
      </c>
      <c r="B664" s="13" t="s">
        <v>476</v>
      </c>
      <c r="C664" s="14" t="s">
        <v>668</v>
      </c>
      <c r="D664" s="1"/>
      <c r="E664" s="15"/>
      <c r="F664" s="1" t="str">
        <f>IFERROR(__xludf.DUMMYFUNCTION("GOOGLETRANSLATE(B664, ""en"", ""fa"")
"),"ایجاد دوره")</f>
        <v>ایجاد دوره</v>
      </c>
      <c r="G664" s="1" t="str">
        <f>IFERROR(__xludf.DUMMYFUNCTION("GOOGLETRANSLATE(C664, ""en"", ""fa"")
"),"برای تعمیق درک و اکتشاف یادگیرنده، مزایای ارائه منابع تکمیلی، مانند خواندن، مقاله یا ویدیو را بررسی کنید.")</f>
        <v>برای تعمیق درک و اکتشاف یادگیرنده، مزایای ارائه منابع تکمیلی، مانند خواندن، مقاله یا ویدیو را بررسی کنید.</v>
      </c>
      <c r="H664" s="1"/>
      <c r="I664" s="1"/>
      <c r="J664" s="1"/>
      <c r="K664" s="1"/>
      <c r="L664" s="1"/>
      <c r="M664" s="1"/>
      <c r="N664" s="1"/>
      <c r="O664" s="1"/>
      <c r="P664" s="1"/>
      <c r="Q664" s="1"/>
      <c r="R664" s="1"/>
      <c r="S664" s="1"/>
      <c r="T664" s="1"/>
      <c r="U664" s="1"/>
      <c r="V664" s="1"/>
      <c r="W664" s="1"/>
      <c r="X664" s="1"/>
      <c r="Y664" s="1"/>
      <c r="Z664" s="1"/>
      <c r="AA664" s="1"/>
      <c r="AB664" s="1"/>
    </row>
    <row r="665" ht="50.25" customHeight="1">
      <c r="A665" s="12">
        <v>661.0</v>
      </c>
      <c r="B665" s="13" t="s">
        <v>476</v>
      </c>
      <c r="C665" s="14" t="s">
        <v>669</v>
      </c>
      <c r="D665" s="1"/>
      <c r="E665" s="15"/>
      <c r="F665" s="1" t="str">
        <f>IFERROR(__xludf.DUMMYFUNCTION("GOOGLETRANSLATE(B665, ""en"", ""fa"")
"),"ایجاد دوره")</f>
        <v>ایجاد دوره</v>
      </c>
      <c r="G665" s="1" t="str">
        <f>IFERROR(__xludf.DUMMYFUNCTION("GOOGLETRANSLATE(C665, ""en"", ""fa"")
"),"در مورد تأثیر ترکیب سناریوهای دنیای واقعی و فعالیت های حل مسئله برای افزایش کاربرد دانش آموزان بحث کنید.")</f>
        <v>در مورد تأثیر ترکیب سناریوهای دنیای واقعی و فعالیت های حل مسئله برای افزایش کاربرد دانش آموزان بحث کنید.</v>
      </c>
      <c r="H665" s="1"/>
      <c r="I665" s="1"/>
      <c r="J665" s="1"/>
      <c r="K665" s="1"/>
      <c r="L665" s="1"/>
      <c r="M665" s="1"/>
      <c r="N665" s="1"/>
      <c r="O665" s="1"/>
      <c r="P665" s="1"/>
      <c r="Q665" s="1"/>
      <c r="R665" s="1"/>
      <c r="S665" s="1"/>
      <c r="T665" s="1"/>
      <c r="U665" s="1"/>
      <c r="V665" s="1"/>
      <c r="W665" s="1"/>
      <c r="X665" s="1"/>
      <c r="Y665" s="1"/>
      <c r="Z665" s="1"/>
      <c r="AA665" s="1"/>
      <c r="AB665" s="1"/>
    </row>
    <row r="666" ht="50.25" customHeight="1">
      <c r="A666" s="12">
        <v>662.0</v>
      </c>
      <c r="B666" s="13" t="s">
        <v>476</v>
      </c>
      <c r="C666" s="14" t="s">
        <v>670</v>
      </c>
      <c r="D666" s="1"/>
      <c r="E666" s="15"/>
      <c r="F666" s="1" t="str">
        <f>IFERROR(__xludf.DUMMYFUNCTION("GOOGLETRANSLATE(B666, ""en"", ""fa"")
"),"ایجاد دوره")</f>
        <v>ایجاد دوره</v>
      </c>
      <c r="G666" s="1" t="str">
        <f>IFERROR(__xludf.DUMMYFUNCTION("GOOGLETRANSLATE(C666, ""en"", ""fa"")
"),"نکاتی را برای طراحی رابط های دوره بصری جذاب و بصری به اشتراک بگذارید تا ناوبری و قابلیت استفاده زبان آموز را بهبود بخشد.")</f>
        <v>نکاتی را برای طراحی رابط های دوره بصری جذاب و بصری به اشتراک بگذارید تا ناوبری و قابلیت استفاده زبان آموز را بهبود بخشد.</v>
      </c>
      <c r="H666" s="1"/>
      <c r="I666" s="1"/>
      <c r="J666" s="1"/>
      <c r="K666" s="1"/>
      <c r="L666" s="1"/>
      <c r="M666" s="1"/>
      <c r="N666" s="1"/>
      <c r="O666" s="1"/>
      <c r="P666" s="1"/>
      <c r="Q666" s="1"/>
      <c r="R666" s="1"/>
      <c r="S666" s="1"/>
      <c r="T666" s="1"/>
      <c r="U666" s="1"/>
      <c r="V666" s="1"/>
      <c r="W666" s="1"/>
      <c r="X666" s="1"/>
      <c r="Y666" s="1"/>
      <c r="Z666" s="1"/>
      <c r="AA666" s="1"/>
      <c r="AB666" s="1"/>
    </row>
    <row r="667" ht="50.25" customHeight="1">
      <c r="A667" s="12">
        <v>663.0</v>
      </c>
      <c r="B667" s="13" t="s">
        <v>476</v>
      </c>
      <c r="C667" s="14" t="s">
        <v>671</v>
      </c>
      <c r="D667" s="1"/>
      <c r="E667" s="15"/>
      <c r="F667" s="1" t="str">
        <f>IFERROR(__xludf.DUMMYFUNCTION("GOOGLETRANSLATE(B667, ""en"", ""fa"")
"),"ایجاد دوره")</f>
        <v>ایجاد دوره</v>
      </c>
      <c r="G667" s="1" t="str">
        <f>IFERROR(__xludf.DUMMYFUNCTION("GOOGLETRANSLATE(C667, ""en"", ""fa"")
"),"مفهوم ترکیب عناصر گیمیفیکیشن، مانند نشان‌ها، تابلوهای امتیازات، یا پاداش‌ها را برای افزایش انگیزه و مشارکت یادگیرنده بررسی کنید.")</f>
        <v>مفهوم ترکیب عناصر گیمیفیکیشن، مانند نشان‌ها، تابلوهای امتیازات، یا پاداش‌ها را برای افزایش انگیزه و مشارکت یادگیرنده بررسی کنید.</v>
      </c>
      <c r="H667" s="1"/>
      <c r="I667" s="1"/>
      <c r="J667" s="1"/>
      <c r="K667" s="1"/>
      <c r="L667" s="1"/>
      <c r="M667" s="1"/>
      <c r="N667" s="1"/>
      <c r="O667" s="1"/>
      <c r="P667" s="1"/>
      <c r="Q667" s="1"/>
      <c r="R667" s="1"/>
      <c r="S667" s="1"/>
      <c r="T667" s="1"/>
      <c r="U667" s="1"/>
      <c r="V667" s="1"/>
      <c r="W667" s="1"/>
      <c r="X667" s="1"/>
      <c r="Y667" s="1"/>
      <c r="Z667" s="1"/>
      <c r="AA667" s="1"/>
      <c r="AB667" s="1"/>
    </row>
    <row r="668" ht="50.25" customHeight="1">
      <c r="A668" s="12">
        <v>664.0</v>
      </c>
      <c r="B668" s="13" t="s">
        <v>476</v>
      </c>
      <c r="C668" s="14" t="s">
        <v>672</v>
      </c>
      <c r="D668" s="1"/>
      <c r="E668" s="15"/>
      <c r="F668" s="1" t="str">
        <f>IFERROR(__xludf.DUMMYFUNCTION("GOOGLETRANSLATE(B668, ""en"", ""fa"")
"),"ایجاد دوره")</f>
        <v>ایجاد دوره</v>
      </c>
      <c r="G668" s="1" t="str">
        <f>IFERROR(__xludf.DUMMYFUNCTION("GOOGLETRANSLATE(C668, ""en"", ""fa"")
"),"درباره نقش ایجاد یک محیط یادگیری حمایتی و فراگیر که به تنوع احترام می گذارد و مشارکت فعال را تشویق می کند، بحث کنید.")</f>
        <v>درباره نقش ایجاد یک محیط یادگیری حمایتی و فراگیر که به تنوع احترام می گذارد و مشارکت فعال را تشویق می کند، بحث کنید.</v>
      </c>
      <c r="H668" s="1"/>
      <c r="I668" s="1"/>
      <c r="J668" s="1"/>
      <c r="K668" s="1"/>
      <c r="L668" s="1"/>
      <c r="M668" s="1"/>
      <c r="N668" s="1"/>
      <c r="O668" s="1"/>
      <c r="P668" s="1"/>
      <c r="Q668" s="1"/>
      <c r="R668" s="1"/>
      <c r="S668" s="1"/>
      <c r="T668" s="1"/>
      <c r="U668" s="1"/>
      <c r="V668" s="1"/>
      <c r="W668" s="1"/>
      <c r="X668" s="1"/>
      <c r="Y668" s="1"/>
      <c r="Z668" s="1"/>
      <c r="AA668" s="1"/>
      <c r="AB668" s="1"/>
    </row>
    <row r="669" ht="50.25" customHeight="1">
      <c r="A669" s="12">
        <v>665.0</v>
      </c>
      <c r="B669" s="13" t="s">
        <v>476</v>
      </c>
      <c r="C669" s="14" t="s">
        <v>673</v>
      </c>
      <c r="D669" s="1"/>
      <c r="E669" s="15"/>
      <c r="F669" s="1" t="str">
        <f>IFERROR(__xludf.DUMMYFUNCTION("GOOGLETRANSLATE(B669, ""en"", ""fa"")
"),"ایجاد دوره")</f>
        <v>ایجاد دوره</v>
      </c>
      <c r="G669" s="1" t="str">
        <f>IFERROR(__xludf.DUMMYFUNCTION("GOOGLETRANSLATE(C669, ""en"", ""fa"")
"),"استراتژی‌هایی را برای ترکیب فرصت‌هایی برای تأمل و خودارزیابی به اشتراک بگذارید تا فراشناخت یادگیرنده و یادگیری خودراهبر را ارتقاء بخشد.")</f>
        <v>استراتژی‌هایی را برای ترکیب فرصت‌هایی برای تأمل و خودارزیابی به اشتراک بگذارید تا فراشناخت یادگیرنده و یادگیری خودراهبر را ارتقاء بخشد.</v>
      </c>
      <c r="H669" s="1"/>
      <c r="I669" s="1"/>
      <c r="J669" s="1"/>
      <c r="K669" s="1"/>
      <c r="L669" s="1"/>
      <c r="M669" s="1"/>
      <c r="N669" s="1"/>
      <c r="O669" s="1"/>
      <c r="P669" s="1"/>
      <c r="Q669" s="1"/>
      <c r="R669" s="1"/>
      <c r="S669" s="1"/>
      <c r="T669" s="1"/>
      <c r="U669" s="1"/>
      <c r="V669" s="1"/>
      <c r="W669" s="1"/>
      <c r="X669" s="1"/>
      <c r="Y669" s="1"/>
      <c r="Z669" s="1"/>
      <c r="AA669" s="1"/>
      <c r="AB669" s="1"/>
    </row>
    <row r="670" ht="50.25" customHeight="1">
      <c r="A670" s="12">
        <v>666.0</v>
      </c>
      <c r="B670" s="13" t="s">
        <v>476</v>
      </c>
      <c r="C670" s="14" t="s">
        <v>674</v>
      </c>
      <c r="D670" s="1"/>
      <c r="E670" s="15"/>
      <c r="F670" s="1" t="str">
        <f>IFERROR(__xludf.DUMMYFUNCTION("GOOGLETRANSLATE(B670, ""en"", ""fa"")
"),"ایجاد دوره")</f>
        <v>ایجاد دوره</v>
      </c>
      <c r="G670" s="1" t="str">
        <f>IFERROR(__xludf.DUMMYFUNCTION("GOOGLETRANSLATE(C670, ""en"", ""fa"")
"),"مزایای فراهم کردن فرصت‌هایی برای همکاری یادگیرنده و بازخورد همسالان برای تقویت تفکر انتقادی و دیدگاه‌گیری را بررسی کنید.")</f>
        <v>مزایای فراهم کردن فرصت‌هایی برای همکاری یادگیرنده و بازخورد همسالان برای تقویت تفکر انتقادی و دیدگاه‌گیری را بررسی کنید.</v>
      </c>
      <c r="H670" s="1"/>
      <c r="I670" s="1"/>
      <c r="J670" s="1"/>
      <c r="K670" s="1"/>
      <c r="L670" s="1"/>
      <c r="M670" s="1"/>
      <c r="N670" s="1"/>
      <c r="O670" s="1"/>
      <c r="P670" s="1"/>
      <c r="Q670" s="1"/>
      <c r="R670" s="1"/>
      <c r="S670" s="1"/>
      <c r="T670" s="1"/>
      <c r="U670" s="1"/>
      <c r="V670" s="1"/>
      <c r="W670" s="1"/>
      <c r="X670" s="1"/>
      <c r="Y670" s="1"/>
      <c r="Z670" s="1"/>
      <c r="AA670" s="1"/>
      <c r="AB670" s="1"/>
    </row>
    <row r="671" ht="50.25" customHeight="1">
      <c r="A671" s="12">
        <v>667.0</v>
      </c>
      <c r="B671" s="13" t="s">
        <v>476</v>
      </c>
      <c r="C671" s="14" t="s">
        <v>675</v>
      </c>
      <c r="D671" s="1"/>
      <c r="E671" s="15"/>
      <c r="F671" s="1" t="str">
        <f>IFERROR(__xludf.DUMMYFUNCTION("GOOGLETRANSLATE(B671, ""en"", ""fa"")
"),"ایجاد دوره")</f>
        <v>ایجاد دوره</v>
      </c>
      <c r="G671" s="1" t="str">
        <f>IFERROR(__xludf.DUMMYFUNCTION("GOOGLETRANSLATE(C671, ""en"", ""fa"")
"),"درباره تأثیر ترکیب جلسات مجازی یا وبینارهای بلادرنگ برای تسهیل تعاملات زنده و تجربیات یادگیری همزمان بحث کنید.")</f>
        <v>درباره تأثیر ترکیب جلسات مجازی یا وبینارهای بلادرنگ برای تسهیل تعاملات زنده و تجربیات یادگیری همزمان بحث کنید.</v>
      </c>
      <c r="H671" s="1"/>
      <c r="I671" s="1"/>
      <c r="J671" s="1"/>
      <c r="K671" s="1"/>
      <c r="L671" s="1"/>
      <c r="M671" s="1"/>
      <c r="N671" s="1"/>
      <c r="O671" s="1"/>
      <c r="P671" s="1"/>
      <c r="Q671" s="1"/>
      <c r="R671" s="1"/>
      <c r="S671" s="1"/>
      <c r="T671" s="1"/>
      <c r="U671" s="1"/>
      <c r="V671" s="1"/>
      <c r="W671" s="1"/>
      <c r="X671" s="1"/>
      <c r="Y671" s="1"/>
      <c r="Z671" s="1"/>
      <c r="AA671" s="1"/>
      <c r="AB671" s="1"/>
    </row>
    <row r="672" ht="50.25" customHeight="1">
      <c r="A672" s="12">
        <v>668.0</v>
      </c>
      <c r="B672" s="13" t="s">
        <v>476</v>
      </c>
      <c r="C672" s="14" t="s">
        <v>676</v>
      </c>
      <c r="D672" s="1"/>
      <c r="E672" s="15"/>
      <c r="F672" s="1" t="str">
        <f>IFERROR(__xludf.DUMMYFUNCTION("GOOGLETRANSLATE(B672, ""en"", ""fa"")
"),"ایجاد دوره")</f>
        <v>ایجاد دوره</v>
      </c>
      <c r="G672" s="1" t="str">
        <f>IFERROR(__xludf.DUMMYFUNCTION("GOOGLETRANSLATE(C672, ""en"", ""fa"")
"),"نکاتی را برای طراحی ارزیابی های معتبر و معنادار که چالش های دنیای واقعی را منعکس می کند و مهارت های عملی را ارزیابی می کند، به اشتراک بگذارید.")</f>
        <v>نکاتی را برای طراحی ارزیابی های معتبر و معنادار که چالش های دنیای واقعی را منعکس می کند و مهارت های عملی را ارزیابی می کند، به اشتراک بگذارید.</v>
      </c>
      <c r="H672" s="1"/>
      <c r="I672" s="1"/>
      <c r="J672" s="1"/>
      <c r="K672" s="1"/>
      <c r="L672" s="1"/>
      <c r="M672" s="1"/>
      <c r="N672" s="1"/>
      <c r="O672" s="1"/>
      <c r="P672" s="1"/>
      <c r="Q672" s="1"/>
      <c r="R672" s="1"/>
      <c r="S672" s="1"/>
      <c r="T672" s="1"/>
      <c r="U672" s="1"/>
      <c r="V672" s="1"/>
      <c r="W672" s="1"/>
      <c r="X672" s="1"/>
      <c r="Y672" s="1"/>
      <c r="Z672" s="1"/>
      <c r="AA672" s="1"/>
      <c r="AB672" s="1"/>
    </row>
    <row r="673" ht="50.25" customHeight="1">
      <c r="A673" s="12">
        <v>669.0</v>
      </c>
      <c r="B673" s="13" t="s">
        <v>476</v>
      </c>
      <c r="C673" s="14" t="s">
        <v>677</v>
      </c>
      <c r="D673" s="1"/>
      <c r="E673" s="15"/>
      <c r="F673" s="1" t="str">
        <f>IFERROR(__xludf.DUMMYFUNCTION("GOOGLETRANSLATE(B673, ""en"", ""fa"")
"),"ایجاد دوره")</f>
        <v>ایجاد دوره</v>
      </c>
      <c r="G673" s="1" t="str">
        <f>IFERROR(__xludf.DUMMYFUNCTION("GOOGLETRANSLATE(C673, ""en"", ""fa"")
"),"مفهوم ترکیب فناوری های یادگیری تطبیقی ​​را برای شخصی سازی تجربه یادگیری و رفع نیازهای فردی یادگیرنده بررسی کنید.")</f>
        <v>مفهوم ترکیب فناوری های یادگیری تطبیقی ​​را برای شخصی سازی تجربه یادگیری و رفع نیازهای فردی یادگیرنده بررسی کنید.</v>
      </c>
      <c r="H673" s="1"/>
      <c r="I673" s="1"/>
      <c r="J673" s="1"/>
      <c r="K673" s="1"/>
      <c r="L673" s="1"/>
      <c r="M673" s="1"/>
      <c r="N673" s="1"/>
      <c r="O673" s="1"/>
      <c r="P673" s="1"/>
      <c r="Q673" s="1"/>
      <c r="R673" s="1"/>
      <c r="S673" s="1"/>
      <c r="T673" s="1"/>
      <c r="U673" s="1"/>
      <c r="V673" s="1"/>
      <c r="W673" s="1"/>
      <c r="X673" s="1"/>
      <c r="Y673" s="1"/>
      <c r="Z673" s="1"/>
      <c r="AA673" s="1"/>
      <c r="AB673" s="1"/>
    </row>
    <row r="674" ht="50.25" customHeight="1">
      <c r="A674" s="12">
        <v>670.0</v>
      </c>
      <c r="B674" s="13" t="s">
        <v>476</v>
      </c>
      <c r="C674" s="14" t="s">
        <v>678</v>
      </c>
      <c r="D674" s="1"/>
      <c r="E674" s="15"/>
      <c r="F674" s="1" t="str">
        <f>IFERROR(__xludf.DUMMYFUNCTION("GOOGLETRANSLATE(B674, ""en"", ""fa"")
"),"ایجاد دوره")</f>
        <v>ایجاد دوره</v>
      </c>
      <c r="G674" s="1" t="str">
        <f>IFERROR(__xludf.DUMMYFUNCTION("GOOGLETRANSLATE(C674, ""en"", ""fa"")
"),"درباره نقش ارائه پشتیبانی و منابع مستمر، مانند یک تالار گفتگوی اختصاصی یا بخش پرسش‌های متداول، برای رسیدگی به سؤالات و نگرانی‌های یادگیرنده بحث کنید.")</f>
        <v>درباره نقش ارائه پشتیبانی و منابع مستمر، مانند یک تالار گفتگوی اختصاصی یا بخش پرسش‌های متداول، برای رسیدگی به سؤالات و نگرانی‌های یادگیرنده بحث کنید.</v>
      </c>
      <c r="H674" s="1"/>
      <c r="I674" s="1"/>
      <c r="J674" s="1"/>
      <c r="K674" s="1"/>
      <c r="L674" s="1"/>
      <c r="M674" s="1"/>
      <c r="N674" s="1"/>
      <c r="O674" s="1"/>
      <c r="P674" s="1"/>
      <c r="Q674" s="1"/>
      <c r="R674" s="1"/>
      <c r="S674" s="1"/>
      <c r="T674" s="1"/>
      <c r="U674" s="1"/>
      <c r="V674" s="1"/>
      <c r="W674" s="1"/>
      <c r="X674" s="1"/>
      <c r="Y674" s="1"/>
      <c r="Z674" s="1"/>
      <c r="AA674" s="1"/>
      <c r="AB674" s="1"/>
    </row>
    <row r="675" ht="50.25" customHeight="1">
      <c r="A675" s="12">
        <v>671.0</v>
      </c>
      <c r="B675" s="13" t="s">
        <v>476</v>
      </c>
      <c r="C675" s="14" t="s">
        <v>679</v>
      </c>
      <c r="D675" s="1"/>
      <c r="E675" s="15"/>
      <c r="F675" s="1" t="str">
        <f>IFERROR(__xludf.DUMMYFUNCTION("GOOGLETRANSLATE(B675, ""en"", ""fa"")
"),"ایجاد دوره")</f>
        <v>ایجاد دوره</v>
      </c>
      <c r="G675" s="1" t="str">
        <f>IFERROR(__xludf.DUMMYFUNCTION("GOOGLETRANSLATE(C675, ""en"", ""fa"")
"),"استراتژی‌هایی را برای ایجاد فرصت‌هایی برای یادگیرندگان به اشتراک بگذارید تا دانش خود را از طریق پروژه‌های عملی یا شبیه‌سازی‌های دنیای واقعی به کار گیرند.")</f>
        <v>استراتژی‌هایی را برای ایجاد فرصت‌هایی برای یادگیرندگان به اشتراک بگذارید تا دانش خود را از طریق پروژه‌های عملی یا شبیه‌سازی‌های دنیای واقعی به کار گیرند.</v>
      </c>
      <c r="H675" s="1"/>
      <c r="I675" s="1"/>
      <c r="J675" s="1"/>
      <c r="K675" s="1"/>
      <c r="L675" s="1"/>
      <c r="M675" s="1"/>
      <c r="N675" s="1"/>
      <c r="O675" s="1"/>
      <c r="P675" s="1"/>
      <c r="Q675" s="1"/>
      <c r="R675" s="1"/>
      <c r="S675" s="1"/>
      <c r="T675" s="1"/>
      <c r="U675" s="1"/>
      <c r="V675" s="1"/>
      <c r="W675" s="1"/>
      <c r="X675" s="1"/>
      <c r="Y675" s="1"/>
      <c r="Z675" s="1"/>
      <c r="AA675" s="1"/>
      <c r="AB675" s="1"/>
    </row>
    <row r="676" ht="50.25" customHeight="1">
      <c r="A676" s="12">
        <v>672.0</v>
      </c>
      <c r="B676" s="13" t="s">
        <v>476</v>
      </c>
      <c r="C676" s="14" t="s">
        <v>680</v>
      </c>
      <c r="D676" s="1"/>
      <c r="E676" s="15"/>
      <c r="F676" s="1" t="str">
        <f>IFERROR(__xludf.DUMMYFUNCTION("GOOGLETRANSLATE(B676, ""en"", ""fa"")
"),"ایجاد دوره")</f>
        <v>ایجاد دوره</v>
      </c>
      <c r="G676" s="1" t="str">
        <f>IFERROR(__xludf.DUMMYFUNCTION("GOOGLETRANSLATE(C676, ""en"", ""fa"")
"),"مزایای فراهم کردن فرصت هایی برای فراگیران برای نمایش کار یا نمونه کارها به عنوان نمایشی ملموس از دستاوردهای خود را بررسی کنید.")</f>
        <v>مزایای فراهم کردن فرصت هایی برای فراگیران برای نمایش کار یا نمونه کارها به عنوان نمایشی ملموس از دستاوردهای خود را بررسی کنید.</v>
      </c>
      <c r="H676" s="1"/>
      <c r="I676" s="1"/>
      <c r="J676" s="1"/>
      <c r="K676" s="1"/>
      <c r="L676" s="1"/>
      <c r="M676" s="1"/>
      <c r="N676" s="1"/>
      <c r="O676" s="1"/>
      <c r="P676" s="1"/>
      <c r="Q676" s="1"/>
      <c r="R676" s="1"/>
      <c r="S676" s="1"/>
      <c r="T676" s="1"/>
      <c r="U676" s="1"/>
      <c r="V676" s="1"/>
      <c r="W676" s="1"/>
      <c r="X676" s="1"/>
      <c r="Y676" s="1"/>
      <c r="Z676" s="1"/>
      <c r="AA676" s="1"/>
      <c r="AB676" s="1"/>
    </row>
    <row r="677" ht="50.25" customHeight="1">
      <c r="A677" s="12">
        <v>673.0</v>
      </c>
      <c r="B677" s="13" t="s">
        <v>476</v>
      </c>
      <c r="C677" s="14" t="s">
        <v>681</v>
      </c>
      <c r="D677" s="1"/>
      <c r="E677" s="15"/>
      <c r="F677" s="1" t="str">
        <f>IFERROR(__xludf.DUMMYFUNCTION("GOOGLETRANSLATE(B677, ""en"", ""fa"")
"),"ایجاد دوره")</f>
        <v>ایجاد دوره</v>
      </c>
      <c r="G677" s="1" t="str">
        <f>IFERROR(__xludf.DUMMYFUNCTION("GOOGLETRANSLATE(C677, ""en"", ""fa"")
"),"درباره تأثیر ترکیب فرصت‌ها برای خوداندیشی و هدف‌گذاری برای تقویت انگیزه و خودکارآمدی یادگیرنده بحث کنید.")</f>
        <v>درباره تأثیر ترکیب فرصت‌ها برای خوداندیشی و هدف‌گذاری برای تقویت انگیزه و خودکارآمدی یادگیرنده بحث کنید.</v>
      </c>
      <c r="H677" s="1"/>
      <c r="I677" s="1"/>
      <c r="J677" s="1"/>
      <c r="K677" s="1"/>
      <c r="L677" s="1"/>
      <c r="M677" s="1"/>
      <c r="N677" s="1"/>
      <c r="O677" s="1"/>
      <c r="P677" s="1"/>
      <c r="Q677" s="1"/>
      <c r="R677" s="1"/>
      <c r="S677" s="1"/>
      <c r="T677" s="1"/>
      <c r="U677" s="1"/>
      <c r="V677" s="1"/>
      <c r="W677" s="1"/>
      <c r="X677" s="1"/>
      <c r="Y677" s="1"/>
      <c r="Z677" s="1"/>
      <c r="AA677" s="1"/>
      <c r="AB677" s="1"/>
    </row>
    <row r="678" ht="50.25" customHeight="1">
      <c r="A678" s="12">
        <v>674.0</v>
      </c>
      <c r="B678" s="13" t="s">
        <v>476</v>
      </c>
      <c r="C678" s="14" t="s">
        <v>682</v>
      </c>
      <c r="D678" s="1"/>
      <c r="E678" s="15"/>
      <c r="F678" s="1" t="str">
        <f>IFERROR(__xludf.DUMMYFUNCTION("GOOGLETRANSLATE(B678, ""en"", ""fa"")
"),"ایجاد دوره")</f>
        <v>ایجاد دوره</v>
      </c>
      <c r="G678" s="1" t="str">
        <f>IFERROR(__xludf.DUMMYFUNCTION("GOOGLETRANSLATE(C678, ""en"", ""fa"")
"),"نکاتی را برای ترکیب تکنیک های داستان سرایی به اشتراک بگذارید تا محتوای دوره را برای فراگیران جذاب و مرتبط کند.")</f>
        <v>نکاتی را برای ترکیب تکنیک های داستان سرایی به اشتراک بگذارید تا محتوای دوره را برای فراگیران جذاب و مرتبط کند.</v>
      </c>
      <c r="H678" s="1"/>
      <c r="I678" s="1"/>
      <c r="J678" s="1"/>
      <c r="K678" s="1"/>
      <c r="L678" s="1"/>
      <c r="M678" s="1"/>
      <c r="N678" s="1"/>
      <c r="O678" s="1"/>
      <c r="P678" s="1"/>
      <c r="Q678" s="1"/>
      <c r="R678" s="1"/>
      <c r="S678" s="1"/>
      <c r="T678" s="1"/>
      <c r="U678" s="1"/>
      <c r="V678" s="1"/>
      <c r="W678" s="1"/>
      <c r="X678" s="1"/>
      <c r="Y678" s="1"/>
      <c r="Z678" s="1"/>
      <c r="AA678" s="1"/>
      <c r="AB678" s="1"/>
    </row>
    <row r="679" ht="50.25" customHeight="1">
      <c r="A679" s="12">
        <v>675.0</v>
      </c>
      <c r="B679" s="13" t="s">
        <v>476</v>
      </c>
      <c r="C679" s="14" t="s">
        <v>683</v>
      </c>
      <c r="D679" s="1"/>
      <c r="E679" s="15"/>
      <c r="F679" s="1" t="str">
        <f>IFERROR(__xludf.DUMMYFUNCTION("GOOGLETRANSLATE(B679, ""en"", ""fa"")
"),"ایجاد دوره")</f>
        <v>ایجاد دوره</v>
      </c>
      <c r="G679" s="1" t="str">
        <f>IFERROR(__xludf.DUMMYFUNCTION("GOOGLETRANSLATE(C679, ""en"", ""fa"")
"),"مفهوم ترکیب حلقه‌های بازخورد شکل‌دهنده، مانند آزمون‌های خودارزیابی یا ارزیابی همتایان را برای ارتقای بهبود مستمر بررسی کنید.")</f>
        <v>مفهوم ترکیب حلقه‌های بازخورد شکل‌دهنده، مانند آزمون‌های خودارزیابی یا ارزیابی همتایان را برای ارتقای بهبود مستمر بررسی کنید.</v>
      </c>
      <c r="H679" s="1"/>
      <c r="I679" s="1"/>
      <c r="J679" s="1"/>
      <c r="K679" s="1"/>
      <c r="L679" s="1"/>
      <c r="M679" s="1"/>
      <c r="N679" s="1"/>
      <c r="O679" s="1"/>
      <c r="P679" s="1"/>
      <c r="Q679" s="1"/>
      <c r="R679" s="1"/>
      <c r="S679" s="1"/>
      <c r="T679" s="1"/>
      <c r="U679" s="1"/>
      <c r="V679" s="1"/>
      <c r="W679" s="1"/>
      <c r="X679" s="1"/>
      <c r="Y679" s="1"/>
      <c r="Z679" s="1"/>
      <c r="AA679" s="1"/>
      <c r="AB679" s="1"/>
    </row>
    <row r="680" ht="50.25" customHeight="1">
      <c r="A680" s="12">
        <v>676.0</v>
      </c>
      <c r="B680" s="13" t="s">
        <v>476</v>
      </c>
      <c r="C680" s="14" t="s">
        <v>684</v>
      </c>
      <c r="D680" s="1"/>
      <c r="E680" s="15"/>
      <c r="F680" s="1" t="str">
        <f>IFERROR(__xludf.DUMMYFUNCTION("GOOGLETRANSLATE(B680, ""en"", ""fa"")
"),"ایجاد دوره")</f>
        <v>ایجاد دوره</v>
      </c>
      <c r="G680" s="1" t="str">
        <f>IFERROR(__xludf.DUMMYFUNCTION("GOOGLETRANSLATE(C680, ""en"", ""fa"")
"),"درباره نقش یکپارچه سازی پلتفرم های رسانه های اجتماعی یا جوامع آنلاین برای تسهیل تعامل یادگیرنده، به اشتراک گذاری دانش و شبکه سازی بحث کنید.")</f>
        <v>درباره نقش یکپارچه سازی پلتفرم های رسانه های اجتماعی یا جوامع آنلاین برای تسهیل تعامل یادگیرنده، به اشتراک گذاری دانش و شبکه سازی بحث کنید.</v>
      </c>
      <c r="H680" s="1"/>
      <c r="I680" s="1"/>
      <c r="J680" s="1"/>
      <c r="K680" s="1"/>
      <c r="L680" s="1"/>
      <c r="M680" s="1"/>
      <c r="N680" s="1"/>
      <c r="O680" s="1"/>
      <c r="P680" s="1"/>
      <c r="Q680" s="1"/>
      <c r="R680" s="1"/>
      <c r="S680" s="1"/>
      <c r="T680" s="1"/>
      <c r="U680" s="1"/>
      <c r="V680" s="1"/>
      <c r="W680" s="1"/>
      <c r="X680" s="1"/>
      <c r="Y680" s="1"/>
      <c r="Z680" s="1"/>
      <c r="AA680" s="1"/>
      <c r="AB680" s="1"/>
    </row>
    <row r="681" ht="50.25" customHeight="1">
      <c r="A681" s="12">
        <v>677.0</v>
      </c>
      <c r="B681" s="13" t="s">
        <v>476</v>
      </c>
      <c r="C681" s="14" t="s">
        <v>685</v>
      </c>
      <c r="D681" s="1"/>
      <c r="E681" s="15"/>
      <c r="F681" s="1" t="str">
        <f>IFERROR(__xludf.DUMMYFUNCTION("GOOGLETRANSLATE(B681, ""en"", ""fa"")
"),"ایجاد دوره")</f>
        <v>ایجاد دوره</v>
      </c>
      <c r="G681" s="1" t="str">
        <f>IFERROR(__xludf.DUMMYFUNCTION("GOOGLETRANSLATE(C681, ""en"", ""fa"")
"),"استراتژی‌هایی را برای طراحی دوره‌های در دسترس و فراگیر که نیازها و اولویت‌های آموزشی متنوعی را در بر می‌گیرد، به اشتراک بگذارید.")</f>
        <v>استراتژی‌هایی را برای طراحی دوره‌های در دسترس و فراگیر که نیازها و اولویت‌های آموزشی متنوعی را در بر می‌گیرد، به اشتراک بگذارید.</v>
      </c>
      <c r="H681" s="1"/>
      <c r="I681" s="1"/>
      <c r="J681" s="1"/>
      <c r="K681" s="1"/>
      <c r="L681" s="1"/>
      <c r="M681" s="1"/>
      <c r="N681" s="1"/>
      <c r="O681" s="1"/>
      <c r="P681" s="1"/>
      <c r="Q681" s="1"/>
      <c r="R681" s="1"/>
      <c r="S681" s="1"/>
      <c r="T681" s="1"/>
      <c r="U681" s="1"/>
      <c r="V681" s="1"/>
      <c r="W681" s="1"/>
      <c r="X681" s="1"/>
      <c r="Y681" s="1"/>
      <c r="Z681" s="1"/>
      <c r="AA681" s="1"/>
      <c r="AB681" s="1"/>
    </row>
    <row r="682" ht="50.25" customHeight="1">
      <c r="A682" s="12">
        <v>678.0</v>
      </c>
      <c r="B682" s="13" t="s">
        <v>476</v>
      </c>
      <c r="C682" s="14" t="s">
        <v>686</v>
      </c>
      <c r="D682" s="1"/>
      <c r="E682" s="15"/>
      <c r="F682" s="1" t="str">
        <f>IFERROR(__xludf.DUMMYFUNCTION("GOOGLETRANSLATE(B682, ""en"", ""fa"")
"),"ایجاد دوره")</f>
        <v>ایجاد دوره</v>
      </c>
      <c r="G682" s="1" t="str">
        <f>IFERROR(__xludf.DUMMYFUNCTION("GOOGLETRANSLATE(C682, ""en"", ""fa"")
"),"مزایای ترکیب ماژول‌های یادگیری خرد یا درس‌های کوچک برای یادگیری در حال حرکت و به‌موقع را کاوش کنید.")</f>
        <v>مزایای ترکیب ماژول‌های یادگیری خرد یا درس‌های کوچک برای یادگیری در حال حرکت و به‌موقع را کاوش کنید.</v>
      </c>
      <c r="H682" s="1"/>
      <c r="I682" s="1"/>
      <c r="J682" s="1"/>
      <c r="K682" s="1"/>
      <c r="L682" s="1"/>
      <c r="M682" s="1"/>
      <c r="N682" s="1"/>
      <c r="O682" s="1"/>
      <c r="P682" s="1"/>
      <c r="Q682" s="1"/>
      <c r="R682" s="1"/>
      <c r="S682" s="1"/>
      <c r="T682" s="1"/>
      <c r="U682" s="1"/>
      <c r="V682" s="1"/>
      <c r="W682" s="1"/>
      <c r="X682" s="1"/>
      <c r="Y682" s="1"/>
      <c r="Z682" s="1"/>
      <c r="AA682" s="1"/>
      <c r="AB682" s="1"/>
    </row>
    <row r="683" ht="50.25" customHeight="1">
      <c r="A683" s="12">
        <v>679.0</v>
      </c>
      <c r="B683" s="13" t="s">
        <v>476</v>
      </c>
      <c r="C683" s="14" t="s">
        <v>687</v>
      </c>
      <c r="D683" s="1"/>
      <c r="E683" s="15"/>
      <c r="F683" s="1" t="str">
        <f>IFERROR(__xludf.DUMMYFUNCTION("GOOGLETRANSLATE(B683, ""en"", ""fa"")
"),"ایجاد دوره")</f>
        <v>ایجاد دوره</v>
      </c>
      <c r="G683" s="1" t="str">
        <f>IFERROR(__xludf.DUMMYFUNCTION("GOOGLETRANSLATE(C683, ""en"", ""fa"")
"),"درباره تأثیر ترکیب ردیابی پیشرفت و تجزیه و تحلیل در زمان واقعی برای توانمندسازی یادگیرندگان برای نظارت بر رشد و توسعه خود بحث کنید.")</f>
        <v>درباره تأثیر ترکیب ردیابی پیشرفت و تجزیه و تحلیل در زمان واقعی برای توانمندسازی یادگیرندگان برای نظارت بر رشد و توسعه خود بحث کنید.</v>
      </c>
      <c r="H683" s="1"/>
      <c r="I683" s="1"/>
      <c r="J683" s="1"/>
      <c r="K683" s="1"/>
      <c r="L683" s="1"/>
      <c r="M683" s="1"/>
      <c r="N683" s="1"/>
      <c r="O683" s="1"/>
      <c r="P683" s="1"/>
      <c r="Q683" s="1"/>
      <c r="R683" s="1"/>
      <c r="S683" s="1"/>
      <c r="T683" s="1"/>
      <c r="U683" s="1"/>
      <c r="V683" s="1"/>
      <c r="W683" s="1"/>
      <c r="X683" s="1"/>
      <c r="Y683" s="1"/>
      <c r="Z683" s="1"/>
      <c r="AA683" s="1"/>
      <c r="AB683" s="1"/>
    </row>
    <row r="684" ht="50.25" customHeight="1">
      <c r="A684" s="12">
        <v>680.0</v>
      </c>
      <c r="B684" s="13" t="s">
        <v>476</v>
      </c>
      <c r="C684" s="14" t="s">
        <v>688</v>
      </c>
      <c r="D684" s="1"/>
      <c r="E684" s="15"/>
      <c r="F684" s="1" t="str">
        <f>IFERROR(__xludf.DUMMYFUNCTION("GOOGLETRANSLATE(B684, ""en"", ""fa"")
"),"ایجاد دوره")</f>
        <v>ایجاد دوره</v>
      </c>
      <c r="G684" s="1" t="str">
        <f>IFERROR(__xludf.DUMMYFUNCTION("GOOGLETRANSLATE(C684, ""en"", ""fa"")
"),"نکاتی را برای ایجاد فرصت هایی برای یادگیرندگان برای ارتباط با کارشناسان صنعت یا سخنرانان مهمان برای بینش و دیدگاه های دنیای واقعی به اشتراک بگذارید.")</f>
        <v>نکاتی را برای ایجاد فرصت هایی برای یادگیرندگان برای ارتباط با کارشناسان صنعت یا سخنرانان مهمان برای بینش و دیدگاه های دنیای واقعی به اشتراک بگذارید.</v>
      </c>
      <c r="H684" s="1"/>
      <c r="I684" s="1"/>
      <c r="J684" s="1"/>
      <c r="K684" s="1"/>
      <c r="L684" s="1"/>
      <c r="M684" s="1"/>
      <c r="N684" s="1"/>
      <c r="O684" s="1"/>
      <c r="P684" s="1"/>
      <c r="Q684" s="1"/>
      <c r="R684" s="1"/>
      <c r="S684" s="1"/>
      <c r="T684" s="1"/>
      <c r="U684" s="1"/>
      <c r="V684" s="1"/>
      <c r="W684" s="1"/>
      <c r="X684" s="1"/>
      <c r="Y684" s="1"/>
      <c r="Z684" s="1"/>
      <c r="AA684" s="1"/>
      <c r="AB684" s="1"/>
    </row>
    <row r="685" ht="50.25" customHeight="1">
      <c r="A685" s="12">
        <v>681.0</v>
      </c>
      <c r="B685" s="13" t="s">
        <v>476</v>
      </c>
      <c r="C685" s="14" t="s">
        <v>689</v>
      </c>
      <c r="D685" s="1"/>
      <c r="E685" s="15"/>
      <c r="F685" s="1" t="str">
        <f>IFERROR(__xludf.DUMMYFUNCTION("GOOGLETRANSLATE(B685, ""en"", ""fa"")
"),"ایجاد دوره")</f>
        <v>ایجاد دوره</v>
      </c>
      <c r="G685" s="1" t="str">
        <f>IFERROR(__xludf.DUMMYFUNCTION("GOOGLETRANSLATE(C685, ""en"", ""fa"")
"),"مفهوم ترکیب ارزیابی های تکوینی را در ماژول های دوره برای ارائه بازخورد و تقویت فوری بررسی کنید.")</f>
        <v>مفهوم ترکیب ارزیابی های تکوینی را در ماژول های دوره برای ارائه بازخورد و تقویت فوری بررسی کنید.</v>
      </c>
      <c r="H685" s="1"/>
      <c r="I685" s="1"/>
      <c r="J685" s="1"/>
      <c r="K685" s="1"/>
      <c r="L685" s="1"/>
      <c r="M685" s="1"/>
      <c r="N685" s="1"/>
      <c r="O685" s="1"/>
      <c r="P685" s="1"/>
      <c r="Q685" s="1"/>
      <c r="R685" s="1"/>
      <c r="S685" s="1"/>
      <c r="T685" s="1"/>
      <c r="U685" s="1"/>
      <c r="V685" s="1"/>
      <c r="W685" s="1"/>
      <c r="X685" s="1"/>
      <c r="Y685" s="1"/>
      <c r="Z685" s="1"/>
      <c r="AA685" s="1"/>
      <c r="AB685" s="1"/>
    </row>
    <row r="686" ht="50.25" customHeight="1">
      <c r="A686" s="12">
        <v>682.0</v>
      </c>
      <c r="B686" s="13" t="s">
        <v>476</v>
      </c>
      <c r="C686" s="14" t="s">
        <v>690</v>
      </c>
      <c r="D686" s="1"/>
      <c r="E686" s="15"/>
      <c r="F686" s="1" t="str">
        <f>IFERROR(__xludf.DUMMYFUNCTION("GOOGLETRANSLATE(B686, ""en"", ""fa"")
"),"ایجاد دوره")</f>
        <v>ایجاد دوره</v>
      </c>
      <c r="G686" s="1" t="str">
        <f>IFERROR(__xludf.DUMMYFUNCTION("GOOGLETRANSLATE(C686, ""en"", ""fa"")
"),"در مورد نقش پرورش ذهنیت رشد در میان یادگیرندگان بحث کنید، آنها را تشویق کنید تا چالش ها را در آغوش بگیرند و در برابر شکست ها پایداری کنند.")</f>
        <v>در مورد نقش پرورش ذهنیت رشد در میان یادگیرندگان بحث کنید، آنها را تشویق کنید تا چالش ها را در آغوش بگیرند و در برابر شکست ها پایداری کنند.</v>
      </c>
      <c r="H686" s="1"/>
      <c r="I686" s="1"/>
      <c r="J686" s="1"/>
      <c r="K686" s="1"/>
      <c r="L686" s="1"/>
      <c r="M686" s="1"/>
      <c r="N686" s="1"/>
      <c r="O686" s="1"/>
      <c r="P686" s="1"/>
      <c r="Q686" s="1"/>
      <c r="R686" s="1"/>
      <c r="S686" s="1"/>
      <c r="T686" s="1"/>
      <c r="U686" s="1"/>
      <c r="V686" s="1"/>
      <c r="W686" s="1"/>
      <c r="X686" s="1"/>
      <c r="Y686" s="1"/>
      <c r="Z686" s="1"/>
      <c r="AA686" s="1"/>
      <c r="AB686" s="1"/>
    </row>
    <row r="687" ht="50.25" customHeight="1">
      <c r="A687" s="12">
        <v>683.0</v>
      </c>
      <c r="B687" s="13" t="s">
        <v>476</v>
      </c>
      <c r="C687" s="14" t="s">
        <v>691</v>
      </c>
      <c r="D687" s="1"/>
      <c r="E687" s="15"/>
      <c r="F687" s="1" t="str">
        <f>IFERROR(__xludf.DUMMYFUNCTION("GOOGLETRANSLATE(B687, ""en"", ""fa"")
"),"ایجاد دوره")</f>
        <v>ایجاد دوره</v>
      </c>
      <c r="G687" s="1" t="str">
        <f>IFERROR(__xludf.DUMMYFUNCTION("GOOGLETRANSLATE(C687, ""en"", ""fa"")
"),"راهبردهایی را برای ادغام پیشنهادهای بحث و گفتگوی تعاملی یا سؤالات تفکر برانگیز برای تحریک مشارکت یادگیرنده و تفکر انتقادی به اشتراک بگذارید.")</f>
        <v>راهبردهایی را برای ادغام پیشنهادهای بحث و گفتگوی تعاملی یا سؤالات تفکر برانگیز برای تحریک مشارکت یادگیرنده و تفکر انتقادی به اشتراک بگذارید.</v>
      </c>
      <c r="H687" s="1"/>
      <c r="I687" s="1"/>
      <c r="J687" s="1"/>
      <c r="K687" s="1"/>
      <c r="L687" s="1"/>
      <c r="M687" s="1"/>
      <c r="N687" s="1"/>
      <c r="O687" s="1"/>
      <c r="P687" s="1"/>
      <c r="Q687" s="1"/>
      <c r="R687" s="1"/>
      <c r="S687" s="1"/>
      <c r="T687" s="1"/>
      <c r="U687" s="1"/>
      <c r="V687" s="1"/>
      <c r="W687" s="1"/>
      <c r="X687" s="1"/>
      <c r="Y687" s="1"/>
      <c r="Z687" s="1"/>
      <c r="AA687" s="1"/>
      <c r="AB687" s="1"/>
    </row>
    <row r="688" ht="50.25" customHeight="1">
      <c r="A688" s="12">
        <v>684.0</v>
      </c>
      <c r="B688" s="13" t="s">
        <v>476</v>
      </c>
      <c r="C688" s="14" t="s">
        <v>692</v>
      </c>
      <c r="D688" s="1"/>
      <c r="E688" s="15"/>
      <c r="F688" s="1" t="str">
        <f>IFERROR(__xludf.DUMMYFUNCTION("GOOGLETRANSLATE(B688, ""en"", ""fa"")
"),"ایجاد دوره")</f>
        <v>ایجاد دوره</v>
      </c>
      <c r="G688" s="1" t="str">
        <f>IFERROR(__xludf.DUMMYFUNCTION("GOOGLETRANSLATE(C688, ""en"", ""fa"")
"),"مزایای فراهم کردن فرصت هایی برای فراگیران را بررسی کنید تا تجربیات یادگیری خود را بازتاب دهند و بینش خود را با همسالان به اشتراک بگذارند.")</f>
        <v>مزایای فراهم کردن فرصت هایی برای فراگیران را بررسی کنید تا تجربیات یادگیری خود را بازتاب دهند و بینش خود را با همسالان به اشتراک بگذارند.</v>
      </c>
      <c r="H688" s="1"/>
      <c r="I688" s="1"/>
      <c r="J688" s="1"/>
      <c r="K688" s="1"/>
      <c r="L688" s="1"/>
      <c r="M688" s="1"/>
      <c r="N688" s="1"/>
      <c r="O688" s="1"/>
      <c r="P688" s="1"/>
      <c r="Q688" s="1"/>
      <c r="R688" s="1"/>
      <c r="S688" s="1"/>
      <c r="T688" s="1"/>
      <c r="U688" s="1"/>
      <c r="V688" s="1"/>
      <c r="W688" s="1"/>
      <c r="X688" s="1"/>
      <c r="Y688" s="1"/>
      <c r="Z688" s="1"/>
      <c r="AA688" s="1"/>
      <c r="AB688" s="1"/>
    </row>
    <row r="689" ht="50.25" customHeight="1">
      <c r="A689" s="12">
        <v>685.0</v>
      </c>
      <c r="B689" s="13" t="s">
        <v>476</v>
      </c>
      <c r="C689" s="14" t="s">
        <v>693</v>
      </c>
      <c r="D689" s="1"/>
      <c r="E689" s="15"/>
      <c r="F689" s="1" t="str">
        <f>IFERROR(__xludf.DUMMYFUNCTION("GOOGLETRANSLATE(B689, ""en"", ""fa"")
"),"ایجاد دوره")</f>
        <v>ایجاد دوره</v>
      </c>
      <c r="G689" s="1" t="str">
        <f>IFERROR(__xludf.DUMMYFUNCTION("GOOGLETRANSLATE(C689, ""en"", ""fa"")
"),"درباره تأثیر ترکیب شبیه‌سازی‌های بلادرنگ یا آزمایشگاه‌های مجازی برای ارائه فرصت‌های یادگیری تجربی بحث کنید.")</f>
        <v>درباره تأثیر ترکیب شبیه‌سازی‌های بلادرنگ یا آزمایشگاه‌های مجازی برای ارائه فرصت‌های یادگیری تجربی بحث کنید.</v>
      </c>
      <c r="H689" s="1"/>
      <c r="I689" s="1"/>
      <c r="J689" s="1"/>
      <c r="K689" s="1"/>
      <c r="L689" s="1"/>
      <c r="M689" s="1"/>
      <c r="N689" s="1"/>
      <c r="O689" s="1"/>
      <c r="P689" s="1"/>
      <c r="Q689" s="1"/>
      <c r="R689" s="1"/>
      <c r="S689" s="1"/>
      <c r="T689" s="1"/>
      <c r="U689" s="1"/>
      <c r="V689" s="1"/>
      <c r="W689" s="1"/>
      <c r="X689" s="1"/>
      <c r="Y689" s="1"/>
      <c r="Z689" s="1"/>
      <c r="AA689" s="1"/>
      <c r="AB689" s="1"/>
    </row>
    <row r="690" ht="50.25" customHeight="1">
      <c r="A690" s="12">
        <v>686.0</v>
      </c>
      <c r="B690" s="13" t="s">
        <v>476</v>
      </c>
      <c r="C690" s="14" t="s">
        <v>694</v>
      </c>
      <c r="D690" s="1"/>
      <c r="E690" s="15"/>
      <c r="F690" s="1" t="str">
        <f>IFERROR(__xludf.DUMMYFUNCTION("GOOGLETRANSLATE(B690, ""en"", ""fa"")
"),"ایجاد دوره")</f>
        <v>ایجاد دوره</v>
      </c>
      <c r="G690" s="1" t="str">
        <f>IFERROR(__xludf.DUMMYFUNCTION("GOOGLETRANSLATE(C690, ""en"", ""fa"")
"),"نکاتی را برای طراحی اینفوگرافیک های جذاب بصری یا خلاصه های بصری برای کمک به درک و حفظ یادگیرنده به اشتراک بگذارید.")</f>
        <v>نکاتی را برای طراحی اینفوگرافیک های جذاب بصری یا خلاصه های بصری برای کمک به درک و حفظ یادگیرنده به اشتراک بگذارید.</v>
      </c>
      <c r="H690" s="1"/>
      <c r="I690" s="1"/>
      <c r="J690" s="1"/>
      <c r="K690" s="1"/>
      <c r="L690" s="1"/>
      <c r="M690" s="1"/>
      <c r="N690" s="1"/>
      <c r="O690" s="1"/>
      <c r="P690" s="1"/>
      <c r="Q690" s="1"/>
      <c r="R690" s="1"/>
      <c r="S690" s="1"/>
      <c r="T690" s="1"/>
      <c r="U690" s="1"/>
      <c r="V690" s="1"/>
      <c r="W690" s="1"/>
      <c r="X690" s="1"/>
      <c r="Y690" s="1"/>
      <c r="Z690" s="1"/>
      <c r="AA690" s="1"/>
      <c r="AB690" s="1"/>
    </row>
    <row r="691" ht="50.25" customHeight="1">
      <c r="A691" s="12">
        <v>687.0</v>
      </c>
      <c r="B691" s="13" t="s">
        <v>476</v>
      </c>
      <c r="C691" s="14" t="s">
        <v>695</v>
      </c>
      <c r="D691" s="1"/>
      <c r="E691" s="15"/>
      <c r="F691" s="1" t="str">
        <f>IFERROR(__xludf.DUMMYFUNCTION("GOOGLETRANSLATE(B691, ""en"", ""fa"")
"),"ایجاد دوره")</f>
        <v>ایجاد دوره</v>
      </c>
      <c r="G691" s="1" t="str">
        <f>IFERROR(__xludf.DUMMYFUNCTION("GOOGLETRANSLATE(C691, ""en"", ""fa"")
"),"مفهوم ترکیب سیستم‌های راهنمایی همتا یا دوستان را برای تقویت حمایت و همکاری همتایان بررسی کنید.")</f>
        <v>مفهوم ترکیب سیستم‌های راهنمایی همتا یا دوستان را برای تقویت حمایت و همکاری همتایان بررسی کنید.</v>
      </c>
      <c r="H691" s="1"/>
      <c r="I691" s="1"/>
      <c r="J691" s="1"/>
      <c r="K691" s="1"/>
      <c r="L691" s="1"/>
      <c r="M691" s="1"/>
      <c r="N691" s="1"/>
      <c r="O691" s="1"/>
      <c r="P691" s="1"/>
      <c r="Q691" s="1"/>
      <c r="R691" s="1"/>
      <c r="S691" s="1"/>
      <c r="T691" s="1"/>
      <c r="U691" s="1"/>
      <c r="V691" s="1"/>
      <c r="W691" s="1"/>
      <c r="X691" s="1"/>
      <c r="Y691" s="1"/>
      <c r="Z691" s="1"/>
      <c r="AA691" s="1"/>
      <c r="AB691" s="1"/>
    </row>
    <row r="692" ht="50.25" customHeight="1">
      <c r="A692" s="12">
        <v>688.0</v>
      </c>
      <c r="B692" s="13" t="s">
        <v>476</v>
      </c>
      <c r="C692" s="14" t="s">
        <v>696</v>
      </c>
      <c r="D692" s="1"/>
      <c r="E692" s="15"/>
      <c r="F692" s="1" t="str">
        <f>IFERROR(__xludf.DUMMYFUNCTION("GOOGLETRANSLATE(B692, ""en"", ""fa"")
"),"ایجاد دوره")</f>
        <v>ایجاد دوره</v>
      </c>
      <c r="G692" s="1" t="str">
        <f>IFERROR(__xludf.DUMMYFUNCTION("GOOGLETRANSLATE(C692, ""en"", ""fa"")
"),"درباره نقش ترکیب ابزارهای خودارزیابی یا ردیاب‌های پیشرفت برای کمک به فراگیران برای پیگیری سفر یادگیری خود بحث کنید.")</f>
        <v>درباره نقش ترکیب ابزارهای خودارزیابی یا ردیاب‌های پیشرفت برای کمک به فراگیران برای پیگیری سفر یادگیری خود بحث کنید.</v>
      </c>
      <c r="H692" s="1"/>
      <c r="I692" s="1"/>
      <c r="J692" s="1"/>
      <c r="K692" s="1"/>
      <c r="L692" s="1"/>
      <c r="M692" s="1"/>
      <c r="N692" s="1"/>
      <c r="O692" s="1"/>
      <c r="P692" s="1"/>
      <c r="Q692" s="1"/>
      <c r="R692" s="1"/>
      <c r="S692" s="1"/>
      <c r="T692" s="1"/>
      <c r="U692" s="1"/>
      <c r="V692" s="1"/>
      <c r="W692" s="1"/>
      <c r="X692" s="1"/>
      <c r="Y692" s="1"/>
      <c r="Z692" s="1"/>
      <c r="AA692" s="1"/>
      <c r="AB692" s="1"/>
    </row>
    <row r="693" ht="50.25" customHeight="1">
      <c r="A693" s="12">
        <v>689.0</v>
      </c>
      <c r="B693" s="13" t="s">
        <v>476</v>
      </c>
      <c r="C693" s="14" t="s">
        <v>697</v>
      </c>
      <c r="D693" s="1"/>
      <c r="E693" s="15"/>
      <c r="F693" s="1" t="str">
        <f>IFERROR(__xludf.DUMMYFUNCTION("GOOGLETRANSLATE(B693, ""en"", ""fa"")
"),"ایجاد دوره")</f>
        <v>ایجاد دوره</v>
      </c>
      <c r="G693" s="1" t="str">
        <f>IFERROR(__xludf.DUMMYFUNCTION("GOOGLETRANSLATE(C693, ""en"", ""fa"")
"),"استراتژی هایی را برای ترکیب نمونه های واقعی افراد موفقی که دانش و مهارت های آموزش داده شده در دوره را به کار گرفته اند، به اشتراک بگذارید.")</f>
        <v>استراتژی هایی را برای ترکیب نمونه های واقعی افراد موفقی که دانش و مهارت های آموزش داده شده در دوره را به کار گرفته اند، به اشتراک بگذارید.</v>
      </c>
      <c r="H693" s="1"/>
      <c r="I693" s="1"/>
      <c r="J693" s="1"/>
      <c r="K693" s="1"/>
      <c r="L693" s="1"/>
      <c r="M693" s="1"/>
      <c r="N693" s="1"/>
      <c r="O693" s="1"/>
      <c r="P693" s="1"/>
      <c r="Q693" s="1"/>
      <c r="R693" s="1"/>
      <c r="S693" s="1"/>
      <c r="T693" s="1"/>
      <c r="U693" s="1"/>
      <c r="V693" s="1"/>
      <c r="W693" s="1"/>
      <c r="X693" s="1"/>
      <c r="Y693" s="1"/>
      <c r="Z693" s="1"/>
      <c r="AA693" s="1"/>
      <c r="AB693" s="1"/>
    </row>
    <row r="694" ht="50.25" customHeight="1">
      <c r="A694" s="12">
        <v>690.0</v>
      </c>
      <c r="B694" s="13" t="s">
        <v>476</v>
      </c>
      <c r="C694" s="14" t="s">
        <v>698</v>
      </c>
      <c r="D694" s="1"/>
      <c r="E694" s="15"/>
      <c r="F694" s="1" t="str">
        <f>IFERROR(__xludf.DUMMYFUNCTION("GOOGLETRANSLATE(B694, ""en"", ""fa"")
"),"ایجاد دوره")</f>
        <v>ایجاد دوره</v>
      </c>
      <c r="G694" s="1" t="str">
        <f>IFERROR(__xludf.DUMMYFUNCTION("GOOGLETRANSLATE(C694, ""en"", ""fa"")
"),"مزایای ترکیب فرصت ها برای فراگیران برای ارائه بازخورد و پیشنهادات برای بهبود دوره و تکرارهای آینده را بررسی کنید.")</f>
        <v>مزایای ترکیب فرصت ها برای فراگیران برای ارائه بازخورد و پیشنهادات برای بهبود دوره و تکرارهای آینده را بررسی کنید.</v>
      </c>
      <c r="H694" s="1"/>
      <c r="I694" s="1"/>
      <c r="J694" s="1"/>
      <c r="K694" s="1"/>
      <c r="L694" s="1"/>
      <c r="M694" s="1"/>
      <c r="N694" s="1"/>
      <c r="O694" s="1"/>
      <c r="P694" s="1"/>
      <c r="Q694" s="1"/>
      <c r="R694" s="1"/>
      <c r="S694" s="1"/>
      <c r="T694" s="1"/>
      <c r="U694" s="1"/>
      <c r="V694" s="1"/>
      <c r="W694" s="1"/>
      <c r="X694" s="1"/>
      <c r="Y694" s="1"/>
      <c r="Z694" s="1"/>
      <c r="AA694" s="1"/>
      <c r="AB694" s="1"/>
    </row>
    <row r="695" ht="50.25" customHeight="1">
      <c r="A695" s="12">
        <v>691.0</v>
      </c>
      <c r="B695" s="13" t="s">
        <v>476</v>
      </c>
      <c r="C695" s="14" t="s">
        <v>699</v>
      </c>
      <c r="D695" s="1"/>
      <c r="E695" s="15"/>
      <c r="F695" s="1" t="str">
        <f>IFERROR(__xludf.DUMMYFUNCTION("GOOGLETRANSLATE(B695, ""en"", ""fa"")
"),"ایجاد دوره")</f>
        <v>ایجاد دوره</v>
      </c>
      <c r="G695" s="1" t="str">
        <f>IFERROR(__xludf.DUMMYFUNCTION("GOOGLETRANSLATE(C695, ""en"", ""fa"")
"),"درباره تأثیر ادغام تعدیل یا تسهیل بحث در زمان واقعی برای اطمینان از تعاملات آنلاین سازنده و محترمانه بحث کنید.")</f>
        <v>درباره تأثیر ادغام تعدیل یا تسهیل بحث در زمان واقعی برای اطمینان از تعاملات آنلاین سازنده و محترمانه بحث کنید.</v>
      </c>
      <c r="H695" s="1"/>
      <c r="I695" s="1"/>
      <c r="J695" s="1"/>
      <c r="K695" s="1"/>
      <c r="L695" s="1"/>
      <c r="M695" s="1"/>
      <c r="N695" s="1"/>
      <c r="O695" s="1"/>
      <c r="P695" s="1"/>
      <c r="Q695" s="1"/>
      <c r="R695" s="1"/>
      <c r="S695" s="1"/>
      <c r="T695" s="1"/>
      <c r="U695" s="1"/>
      <c r="V695" s="1"/>
      <c r="W695" s="1"/>
      <c r="X695" s="1"/>
      <c r="Y695" s="1"/>
      <c r="Z695" s="1"/>
      <c r="AA695" s="1"/>
      <c r="AB695" s="1"/>
    </row>
    <row r="696" ht="50.25" customHeight="1">
      <c r="A696" s="12">
        <v>692.0</v>
      </c>
      <c r="B696" s="13" t="s">
        <v>476</v>
      </c>
      <c r="C696" s="14" t="s">
        <v>700</v>
      </c>
      <c r="D696" s="1"/>
      <c r="E696" s="15"/>
      <c r="F696" s="1" t="str">
        <f>IFERROR(__xludf.DUMMYFUNCTION("GOOGLETRANSLATE(B696, ""en"", ""fa"")
"),"ایجاد دوره")</f>
        <v>ایجاد دوره</v>
      </c>
      <c r="G696" s="1" t="str">
        <f>IFERROR(__xludf.DUMMYFUNCTION("GOOGLETRANSLATE(C696, ""en"", ""fa"")
"),"نکاتی را برای طراحی دوره های سازگار با موبایل به اشتراک بگذارید که زبان آموزان را قادر می سازد از دستگاه های مختلف به محتوا دسترسی داشته باشند.")</f>
        <v>نکاتی را برای طراحی دوره های سازگار با موبایل به اشتراک بگذارید که زبان آموزان را قادر می سازد از دستگاه های مختلف به محتوا دسترسی داشته باشند.</v>
      </c>
      <c r="H696" s="1"/>
      <c r="I696" s="1"/>
      <c r="J696" s="1"/>
      <c r="K696" s="1"/>
      <c r="L696" s="1"/>
      <c r="M696" s="1"/>
      <c r="N696" s="1"/>
      <c r="O696" s="1"/>
      <c r="P696" s="1"/>
      <c r="Q696" s="1"/>
      <c r="R696" s="1"/>
      <c r="S696" s="1"/>
      <c r="T696" s="1"/>
      <c r="U696" s="1"/>
      <c r="V696" s="1"/>
      <c r="W696" s="1"/>
      <c r="X696" s="1"/>
      <c r="Y696" s="1"/>
      <c r="Z696" s="1"/>
      <c r="AA696" s="1"/>
      <c r="AB696" s="1"/>
    </row>
    <row r="697" ht="50.25" customHeight="1">
      <c r="A697" s="12">
        <v>693.0</v>
      </c>
      <c r="B697" s="13" t="s">
        <v>476</v>
      </c>
      <c r="C697" s="14" t="s">
        <v>701</v>
      </c>
      <c r="D697" s="1"/>
      <c r="E697" s="15"/>
      <c r="F697" s="1" t="str">
        <f>IFERROR(__xludf.DUMMYFUNCTION("GOOGLETRANSLATE(B697, ""en"", ""fa"")
"),"ایجاد دوره")</f>
        <v>ایجاد دوره</v>
      </c>
      <c r="G697" s="1" t="str">
        <f>IFERROR(__xludf.DUMMYFUNCTION("GOOGLETRANSLATE(C697, ""en"", ""fa"")
"),"مفهوم ترکیب روندها و به روز رسانی های صنعت در زمان واقعی را برای مرتبط و به روز نگه داشتن محتوای دوره بررسی کنید.")</f>
        <v>مفهوم ترکیب روندها و به روز رسانی های صنعت در زمان واقعی را برای مرتبط و به روز نگه داشتن محتوای دوره بررسی کنید.</v>
      </c>
      <c r="H697" s="1"/>
      <c r="I697" s="1"/>
      <c r="J697" s="1"/>
      <c r="K697" s="1"/>
      <c r="L697" s="1"/>
      <c r="M697" s="1"/>
      <c r="N697" s="1"/>
      <c r="O697" s="1"/>
      <c r="P697" s="1"/>
      <c r="Q697" s="1"/>
      <c r="R697" s="1"/>
      <c r="S697" s="1"/>
      <c r="T697" s="1"/>
      <c r="U697" s="1"/>
      <c r="V697" s="1"/>
      <c r="W697" s="1"/>
      <c r="X697" s="1"/>
      <c r="Y697" s="1"/>
      <c r="Z697" s="1"/>
      <c r="AA697" s="1"/>
      <c r="AB697" s="1"/>
    </row>
    <row r="698" ht="50.25" customHeight="1">
      <c r="A698" s="12">
        <v>694.0</v>
      </c>
      <c r="B698" s="13" t="s">
        <v>476</v>
      </c>
      <c r="C698" s="14" t="s">
        <v>702</v>
      </c>
      <c r="D698" s="1"/>
      <c r="E698" s="15"/>
      <c r="F698" s="1" t="str">
        <f>IFERROR(__xludf.DUMMYFUNCTION("GOOGLETRANSLATE(B698, ""en"", ""fa"")
"),"ایجاد دوره")</f>
        <v>ایجاد دوره</v>
      </c>
      <c r="G698" s="1" t="str">
        <f>IFERROR(__xludf.DUMMYFUNCTION("GOOGLETRANSLATE(C698, ""en"", ""fa"")
"),"درباره نقش فراهم کردن فرصت‌هایی برای فراگیران برای شرکت در تحقیقات خودگردان یا مطالعه مستقل برای کشف موضوعات خاص مورد علاقه بحث کنید.")</f>
        <v>درباره نقش فراهم کردن فرصت‌هایی برای فراگیران برای شرکت در تحقیقات خودگردان یا مطالعه مستقل برای کشف موضوعات خاص مورد علاقه بحث کنید.</v>
      </c>
      <c r="H698" s="1"/>
      <c r="I698" s="1"/>
      <c r="J698" s="1"/>
      <c r="K698" s="1"/>
      <c r="L698" s="1"/>
      <c r="M698" s="1"/>
      <c r="N698" s="1"/>
      <c r="O698" s="1"/>
      <c r="P698" s="1"/>
      <c r="Q698" s="1"/>
      <c r="R698" s="1"/>
      <c r="S698" s="1"/>
      <c r="T698" s="1"/>
      <c r="U698" s="1"/>
      <c r="V698" s="1"/>
      <c r="W698" s="1"/>
      <c r="X698" s="1"/>
      <c r="Y698" s="1"/>
      <c r="Z698" s="1"/>
      <c r="AA698" s="1"/>
      <c r="AB698" s="1"/>
    </row>
    <row r="699" ht="50.25" customHeight="1">
      <c r="A699" s="12">
        <v>695.0</v>
      </c>
      <c r="B699" s="13" t="s">
        <v>476</v>
      </c>
      <c r="C699" s="14" t="s">
        <v>703</v>
      </c>
      <c r="D699" s="1"/>
      <c r="E699" s="15"/>
      <c r="F699" s="1" t="str">
        <f>IFERROR(__xludf.DUMMYFUNCTION("GOOGLETRANSLATE(B699, ""en"", ""fa"")
"),"ایجاد دوره")</f>
        <v>ایجاد دوره</v>
      </c>
      <c r="G699" s="1" t="str">
        <f>IFERROR(__xludf.DUMMYFUNCTION("GOOGLETRANSLATE(C699, ""en"", ""fa"")
"),"استراتژی‌هایی را برای ارتقای مشارکت و مشارکت یادگیرنده از طریق نظرسنجی‌های تعاملی، نظرسنجی‌ها یا فعالیت‌های اشتراک‌گذاری دانش به اشتراک بگذارید.")</f>
        <v>استراتژی‌هایی را برای ارتقای مشارکت و مشارکت یادگیرنده از طریق نظرسنجی‌های تعاملی، نظرسنجی‌ها یا فعالیت‌های اشتراک‌گذاری دانش به اشتراک بگذارید.</v>
      </c>
      <c r="H699" s="1"/>
      <c r="I699" s="1"/>
      <c r="J699" s="1"/>
      <c r="K699" s="1"/>
      <c r="L699" s="1"/>
      <c r="M699" s="1"/>
      <c r="N699" s="1"/>
      <c r="O699" s="1"/>
      <c r="P699" s="1"/>
      <c r="Q699" s="1"/>
      <c r="R699" s="1"/>
      <c r="S699" s="1"/>
      <c r="T699" s="1"/>
      <c r="U699" s="1"/>
      <c r="V699" s="1"/>
      <c r="W699" s="1"/>
      <c r="X699" s="1"/>
      <c r="Y699" s="1"/>
      <c r="Z699" s="1"/>
      <c r="AA699" s="1"/>
      <c r="AB699" s="1"/>
    </row>
    <row r="700" ht="50.25" customHeight="1">
      <c r="A700" s="12">
        <v>696.0</v>
      </c>
      <c r="B700" s="13" t="s">
        <v>476</v>
      </c>
      <c r="C700" s="14" t="s">
        <v>704</v>
      </c>
      <c r="D700" s="1"/>
      <c r="E700" s="15"/>
      <c r="F700" s="1" t="str">
        <f>IFERROR(__xludf.DUMMYFUNCTION("GOOGLETRANSLATE(B700, ""en"", ""fa"")
"),"ایجاد دوره")</f>
        <v>ایجاد دوره</v>
      </c>
      <c r="G700" s="1" t="str">
        <f>IFERROR(__xludf.DUMMYFUNCTION("GOOGLETRANSLATE(C700, ""en"", ""fa"")
"),"برای پر کردن شکاف بین تئوری و عمل، مزایای ترکیب فعالیت‌های یادگیری تجربی، مانند سفرهای میدانی یا دوره‌های کارآموزی را بررسی کنید.")</f>
        <v>برای پر کردن شکاف بین تئوری و عمل، مزایای ترکیب فعالیت‌های یادگیری تجربی، مانند سفرهای میدانی یا دوره‌های کارآموزی را بررسی کنید.</v>
      </c>
      <c r="H700" s="1"/>
      <c r="I700" s="1"/>
      <c r="J700" s="1"/>
      <c r="K700" s="1"/>
      <c r="L700" s="1"/>
      <c r="M700" s="1"/>
      <c r="N700" s="1"/>
      <c r="O700" s="1"/>
      <c r="P700" s="1"/>
      <c r="Q700" s="1"/>
      <c r="R700" s="1"/>
      <c r="S700" s="1"/>
      <c r="T700" s="1"/>
      <c r="U700" s="1"/>
      <c r="V700" s="1"/>
      <c r="W700" s="1"/>
      <c r="X700" s="1"/>
      <c r="Y700" s="1"/>
      <c r="Z700" s="1"/>
      <c r="AA700" s="1"/>
      <c r="AB700" s="1"/>
    </row>
    <row r="701" ht="50.25" customHeight="1">
      <c r="A701" s="12">
        <v>697.0</v>
      </c>
      <c r="B701" s="13" t="s">
        <v>476</v>
      </c>
      <c r="C701" s="14" t="s">
        <v>705</v>
      </c>
      <c r="D701" s="1"/>
      <c r="E701" s="15"/>
      <c r="F701" s="1" t="str">
        <f>IFERROR(__xludf.DUMMYFUNCTION("GOOGLETRANSLATE(B701, ""en"", ""fa"")
"),"ایجاد دوره")</f>
        <v>ایجاد دوره</v>
      </c>
      <c r="G701" s="1" t="str">
        <f>IFERROR(__xludf.DUMMYFUNCTION("GOOGLETRANSLATE(C701, ""en"", ""fa"")
"),"درباره تأثیر گنجاندن فرصت ها برای یادگیرندگان به منظور انعکاس رشد شخصی و توسعه مهارت های خود در طول دوره بحث کنید.")</f>
        <v>درباره تأثیر گنجاندن فرصت ها برای یادگیرندگان به منظور انعکاس رشد شخصی و توسعه مهارت های خود در طول دوره بحث کنید.</v>
      </c>
      <c r="H701" s="1"/>
      <c r="I701" s="1"/>
      <c r="J701" s="1"/>
      <c r="K701" s="1"/>
      <c r="L701" s="1"/>
      <c r="M701" s="1"/>
      <c r="N701" s="1"/>
      <c r="O701" s="1"/>
      <c r="P701" s="1"/>
      <c r="Q701" s="1"/>
      <c r="R701" s="1"/>
      <c r="S701" s="1"/>
      <c r="T701" s="1"/>
      <c r="U701" s="1"/>
      <c r="V701" s="1"/>
      <c r="W701" s="1"/>
      <c r="X701" s="1"/>
      <c r="Y701" s="1"/>
      <c r="Z701" s="1"/>
      <c r="AA701" s="1"/>
      <c r="AB701" s="1"/>
    </row>
    <row r="702" ht="50.25" customHeight="1">
      <c r="A702" s="12">
        <v>698.0</v>
      </c>
      <c r="B702" s="13" t="s">
        <v>476</v>
      </c>
      <c r="C702" s="14" t="s">
        <v>706</v>
      </c>
      <c r="D702" s="1"/>
      <c r="E702" s="15"/>
      <c r="F702" s="1" t="str">
        <f>IFERROR(__xludf.DUMMYFUNCTION("GOOGLETRANSLATE(B702, ""en"", ""fa"")
"),"ایجاد دوره")</f>
        <v>ایجاد دوره</v>
      </c>
      <c r="G702" s="1" t="str">
        <f>IFERROR(__xludf.DUMMYFUNCTION("GOOGLETRANSLATE(C702, ""en"", ""fa"")
"),"اهمیت ایجاد یک مقدمه دوره قوی که توجه فراگیران را به خود جلب می کند و زمینه را برای سفر یادگیری فراهم می کند، کاوش کنید.")</f>
        <v>اهمیت ایجاد یک مقدمه دوره قوی که توجه فراگیران را به خود جلب می کند و زمینه را برای سفر یادگیری فراهم می کند، کاوش کنید.</v>
      </c>
      <c r="H702" s="1"/>
      <c r="I702" s="1"/>
      <c r="J702" s="1"/>
      <c r="K702" s="1"/>
      <c r="L702" s="1"/>
      <c r="M702" s="1"/>
      <c r="N702" s="1"/>
      <c r="O702" s="1"/>
      <c r="P702" s="1"/>
      <c r="Q702" s="1"/>
      <c r="R702" s="1"/>
      <c r="S702" s="1"/>
      <c r="T702" s="1"/>
      <c r="U702" s="1"/>
      <c r="V702" s="1"/>
      <c r="W702" s="1"/>
      <c r="X702" s="1"/>
      <c r="Y702" s="1"/>
      <c r="Z702" s="1"/>
      <c r="AA702" s="1"/>
      <c r="AB702" s="1"/>
    </row>
    <row r="703" ht="50.25" customHeight="1">
      <c r="A703" s="12">
        <v>699.0</v>
      </c>
      <c r="B703" s="13" t="s">
        <v>476</v>
      </c>
      <c r="C703" s="14" t="s">
        <v>707</v>
      </c>
      <c r="D703" s="1"/>
      <c r="E703" s="15"/>
      <c r="F703" s="1" t="str">
        <f>IFERROR(__xludf.DUMMYFUNCTION("GOOGLETRANSLATE(B703, ""en"", ""fa"")
"),"ایجاد دوره")</f>
        <v>ایجاد دوره</v>
      </c>
      <c r="G703" s="1" t="str">
        <f>IFERROR(__xludf.DUMMYFUNCTION("GOOGLETRANSLATE(C703, ""en"", ""fa"")
"),"در مورد مزایای ترکیب مطالعات موردی در دنیای واقعی یا مثال هایی که کاربرد عملی مفاهیم دوره را نشان می دهد، بحث کنید.")</f>
        <v>در مورد مزایای ترکیب مطالعات موردی در دنیای واقعی یا مثال هایی که کاربرد عملی مفاهیم دوره را نشان می دهد، بحث کنید.</v>
      </c>
      <c r="H703" s="1"/>
      <c r="I703" s="1"/>
      <c r="J703" s="1"/>
      <c r="K703" s="1"/>
      <c r="L703" s="1"/>
      <c r="M703" s="1"/>
      <c r="N703" s="1"/>
      <c r="O703" s="1"/>
      <c r="P703" s="1"/>
      <c r="Q703" s="1"/>
      <c r="R703" s="1"/>
      <c r="S703" s="1"/>
      <c r="T703" s="1"/>
      <c r="U703" s="1"/>
      <c r="V703" s="1"/>
      <c r="W703" s="1"/>
      <c r="X703" s="1"/>
      <c r="Y703" s="1"/>
      <c r="Z703" s="1"/>
      <c r="AA703" s="1"/>
      <c r="AB703" s="1"/>
    </row>
    <row r="704" ht="50.25" customHeight="1">
      <c r="A704" s="12">
        <v>700.0</v>
      </c>
      <c r="B704" s="13" t="s">
        <v>476</v>
      </c>
      <c r="C704" s="14" t="s">
        <v>708</v>
      </c>
      <c r="D704" s="1"/>
      <c r="E704" s="15"/>
      <c r="F704" s="1" t="str">
        <f>IFERROR(__xludf.DUMMYFUNCTION("GOOGLETRANSLATE(B704, ""en"", ""fa"")
"),"ایجاد دوره")</f>
        <v>ایجاد دوره</v>
      </c>
      <c r="G704" s="1" t="str">
        <f>IFERROR(__xludf.DUMMYFUNCTION("GOOGLETRANSLATE(C704, ""en"", ""fa"")
"),"نکاتی را برای طراحی پیام‌های گفتگوی مؤثر به اشتراک بگذارید که مشارکت متفکرانه را تشویق می‌کند و تعاملات معنادار همتا به همتا را تقویت می‌کند.")</f>
        <v>نکاتی را برای طراحی پیام‌های گفتگوی مؤثر به اشتراک بگذارید که مشارکت متفکرانه را تشویق می‌کند و تعاملات معنادار همتا به همتا را تقویت می‌کند.</v>
      </c>
      <c r="H704" s="1"/>
      <c r="I704" s="1"/>
      <c r="J704" s="1"/>
      <c r="K704" s="1"/>
      <c r="L704" s="1"/>
      <c r="M704" s="1"/>
      <c r="N704" s="1"/>
      <c r="O704" s="1"/>
      <c r="P704" s="1"/>
      <c r="Q704" s="1"/>
      <c r="R704" s="1"/>
      <c r="S704" s="1"/>
      <c r="T704" s="1"/>
      <c r="U704" s="1"/>
      <c r="V704" s="1"/>
      <c r="W704" s="1"/>
      <c r="X704" s="1"/>
      <c r="Y704" s="1"/>
      <c r="Z704" s="1"/>
      <c r="AA704" s="1"/>
      <c r="AB704" s="1"/>
    </row>
    <row r="705" ht="50.25" customHeight="1">
      <c r="A705" s="12">
        <v>701.0</v>
      </c>
      <c r="B705" s="13" t="s">
        <v>476</v>
      </c>
      <c r="C705" s="14" t="s">
        <v>709</v>
      </c>
      <c r="D705" s="1"/>
      <c r="E705" s="15"/>
      <c r="F705" s="1" t="str">
        <f>IFERROR(__xludf.DUMMYFUNCTION("GOOGLETRANSLATE(B705, ""en"", ""fa"")
"),"ایجاد دوره")</f>
        <v>ایجاد دوره</v>
      </c>
      <c r="G705" s="1" t="str">
        <f>IFERROR(__xludf.DUMMYFUNCTION("GOOGLETRANSLATE(C705, ""en"", ""fa"")
"),"مفهوم ترکیب آزمون‌های تعاملی یا بررسی دانش را در طول دوره برای تقویت یادگیری و ارزیابی درک کاوش کنید.")</f>
        <v>مفهوم ترکیب آزمون‌های تعاملی یا بررسی دانش را در طول دوره برای تقویت یادگیری و ارزیابی درک کاوش کنید.</v>
      </c>
      <c r="H705" s="1"/>
      <c r="I705" s="1"/>
      <c r="J705" s="1"/>
      <c r="K705" s="1"/>
      <c r="L705" s="1"/>
      <c r="M705" s="1"/>
      <c r="N705" s="1"/>
      <c r="O705" s="1"/>
      <c r="P705" s="1"/>
      <c r="Q705" s="1"/>
      <c r="R705" s="1"/>
      <c r="S705" s="1"/>
      <c r="T705" s="1"/>
      <c r="U705" s="1"/>
      <c r="V705" s="1"/>
      <c r="W705" s="1"/>
      <c r="X705" s="1"/>
      <c r="Y705" s="1"/>
      <c r="Z705" s="1"/>
      <c r="AA705" s="1"/>
      <c r="AB705" s="1"/>
    </row>
    <row r="706" ht="50.25" customHeight="1">
      <c r="A706" s="12">
        <v>702.0</v>
      </c>
      <c r="B706" s="13" t="s">
        <v>476</v>
      </c>
      <c r="C706" s="14" t="s">
        <v>710</v>
      </c>
      <c r="D706" s="1"/>
      <c r="E706" s="15"/>
      <c r="F706" s="1" t="str">
        <f>IFERROR(__xludf.DUMMYFUNCTION("GOOGLETRANSLATE(B706, ""en"", ""fa"")
"),"ایجاد دوره")</f>
        <v>ایجاد دوره</v>
      </c>
      <c r="G706" s="1" t="str">
        <f>IFERROR(__xludf.DUMMYFUNCTION("GOOGLETRANSLATE(C706, ""en"", ""fa"")
"),"در مورد نقش ارائه بازخورد روشن و عملی به فراگیران برای حمایت از رشد و بهبود آنها بحث کنید.")</f>
        <v>در مورد نقش ارائه بازخورد روشن و عملی به فراگیران برای حمایت از رشد و بهبود آنها بحث کنید.</v>
      </c>
      <c r="H706" s="1"/>
      <c r="I706" s="1"/>
      <c r="J706" s="1"/>
      <c r="K706" s="1"/>
      <c r="L706" s="1"/>
      <c r="M706" s="1"/>
      <c r="N706" s="1"/>
      <c r="O706" s="1"/>
      <c r="P706" s="1"/>
      <c r="Q706" s="1"/>
      <c r="R706" s="1"/>
      <c r="S706" s="1"/>
      <c r="T706" s="1"/>
      <c r="U706" s="1"/>
      <c r="V706" s="1"/>
      <c r="W706" s="1"/>
      <c r="X706" s="1"/>
      <c r="Y706" s="1"/>
      <c r="Z706" s="1"/>
      <c r="AA706" s="1"/>
      <c r="AB706" s="1"/>
    </row>
    <row r="707" ht="50.25" customHeight="1">
      <c r="A707" s="12">
        <v>703.0</v>
      </c>
      <c r="B707" s="13" t="s">
        <v>476</v>
      </c>
      <c r="C707" s="14" t="s">
        <v>711</v>
      </c>
      <c r="D707" s="1"/>
      <c r="E707" s="15"/>
      <c r="F707" s="1" t="str">
        <f>IFERROR(__xludf.DUMMYFUNCTION("GOOGLETRANSLATE(B707, ""en"", ""fa"")
"),"ایجاد دوره")</f>
        <v>ایجاد دوره</v>
      </c>
      <c r="G707" s="1" t="str">
        <f>IFERROR(__xludf.DUMMYFUNCTION("GOOGLETRANSLATE(C707, ""en"", ""fa"")
"),"استراتژی‌هایی را برای ترکیب منابع آموزشی متنوع، مانند مقاله‌ها، پادکست‌ها یا ویدیوها، به اشتراک بگذارید تا اولویت‌های یادگیری متفاوت را برآورده کنید.")</f>
        <v>استراتژی‌هایی را برای ترکیب منابع آموزشی متنوع، مانند مقاله‌ها، پادکست‌ها یا ویدیوها، به اشتراک بگذارید تا اولویت‌های یادگیری متفاوت را برآورده کنید.</v>
      </c>
      <c r="H707" s="1"/>
      <c r="I707" s="1"/>
      <c r="J707" s="1"/>
      <c r="K707" s="1"/>
      <c r="L707" s="1"/>
      <c r="M707" s="1"/>
      <c r="N707" s="1"/>
      <c r="O707" s="1"/>
      <c r="P707" s="1"/>
      <c r="Q707" s="1"/>
      <c r="R707" s="1"/>
      <c r="S707" s="1"/>
      <c r="T707" s="1"/>
      <c r="U707" s="1"/>
      <c r="V707" s="1"/>
      <c r="W707" s="1"/>
      <c r="X707" s="1"/>
      <c r="Y707" s="1"/>
      <c r="Z707" s="1"/>
      <c r="AA707" s="1"/>
      <c r="AB707" s="1"/>
    </row>
    <row r="708" ht="50.25" customHeight="1">
      <c r="A708" s="12">
        <v>704.0</v>
      </c>
      <c r="B708" s="13" t="s">
        <v>476</v>
      </c>
      <c r="C708" s="14" t="s">
        <v>712</v>
      </c>
      <c r="D708" s="1"/>
      <c r="E708" s="15"/>
      <c r="F708" s="1" t="str">
        <f>IFERROR(__xludf.DUMMYFUNCTION("GOOGLETRANSLATE(B708, ""en"", ""fa"")
"),"ایجاد دوره")</f>
        <v>ایجاد دوره</v>
      </c>
      <c r="G708" s="1" t="str">
        <f>IFERROR(__xludf.DUMMYFUNCTION("GOOGLETRANSLATE(C708, ""en"", ""fa"")
"),"مزایای ترکیب ماژول های خود گام یا مسیرهای یادگیری را که به زبان آموزان اجازه می دهد با سرعت خودشان پیشرفت کنند را بررسی کنید.")</f>
        <v>مزایای ترکیب ماژول های خود گام یا مسیرهای یادگیری را که به زبان آموزان اجازه می دهد با سرعت خودشان پیشرفت کنند را بررسی کنید.</v>
      </c>
      <c r="H708" s="1"/>
      <c r="I708" s="1"/>
      <c r="J708" s="1"/>
      <c r="K708" s="1"/>
      <c r="L708" s="1"/>
      <c r="M708" s="1"/>
      <c r="N708" s="1"/>
      <c r="O708" s="1"/>
      <c r="P708" s="1"/>
      <c r="Q708" s="1"/>
      <c r="R708" s="1"/>
      <c r="S708" s="1"/>
      <c r="T708" s="1"/>
      <c r="U708" s="1"/>
      <c r="V708" s="1"/>
      <c r="W708" s="1"/>
      <c r="X708" s="1"/>
      <c r="Y708" s="1"/>
      <c r="Z708" s="1"/>
      <c r="AA708" s="1"/>
      <c r="AB708" s="1"/>
    </row>
    <row r="709" ht="50.25" customHeight="1">
      <c r="A709" s="12">
        <v>705.0</v>
      </c>
      <c r="B709" s="13" t="s">
        <v>476</v>
      </c>
      <c r="C709" s="14" t="s">
        <v>713</v>
      </c>
      <c r="D709" s="1"/>
      <c r="E709" s="15"/>
      <c r="F709" s="1" t="str">
        <f>IFERROR(__xludf.DUMMYFUNCTION("GOOGLETRANSLATE(B709, ""en"", ""fa"")
"),"ایجاد دوره")</f>
        <v>ایجاد دوره</v>
      </c>
      <c r="G709" s="1" t="str">
        <f>IFERROR(__xludf.DUMMYFUNCTION("GOOGLETRANSLATE(C709, ""en"", ""fa"")
"),"در مورد تأثیر ترکیب ساعات اداری مجازی یا بی‌درنگ برای ارائه پشتیبانی شخصی و پاسخگویی به سؤالات یادگیرنده بحث کنید.")</f>
        <v>در مورد تأثیر ترکیب ساعات اداری مجازی یا بی‌درنگ برای ارائه پشتیبانی شخصی و پاسخگویی به سؤالات یادگیرنده بحث کنید.</v>
      </c>
      <c r="H709" s="1"/>
      <c r="I709" s="1"/>
      <c r="J709" s="1"/>
      <c r="K709" s="1"/>
      <c r="L709" s="1"/>
      <c r="M709" s="1"/>
      <c r="N709" s="1"/>
      <c r="O709" s="1"/>
      <c r="P709" s="1"/>
      <c r="Q709" s="1"/>
      <c r="R709" s="1"/>
      <c r="S709" s="1"/>
      <c r="T709" s="1"/>
      <c r="U709" s="1"/>
      <c r="V709" s="1"/>
      <c r="W709" s="1"/>
      <c r="X709" s="1"/>
      <c r="Y709" s="1"/>
      <c r="Z709" s="1"/>
      <c r="AA709" s="1"/>
      <c r="AB709" s="1"/>
    </row>
    <row r="710" ht="50.25" customHeight="1">
      <c r="A710" s="12">
        <v>706.0</v>
      </c>
      <c r="B710" s="13" t="s">
        <v>476</v>
      </c>
      <c r="C710" s="14" t="s">
        <v>714</v>
      </c>
      <c r="D710" s="1"/>
      <c r="E710" s="15"/>
      <c r="F710" s="1" t="str">
        <f>IFERROR(__xludf.DUMMYFUNCTION("GOOGLETRANSLATE(B710, ""en"", ""fa"")
"),"ایجاد دوره")</f>
        <v>ایجاد دوره</v>
      </c>
      <c r="G710" s="1" t="str">
        <f>IFERROR(__xludf.DUMMYFUNCTION("GOOGLETRANSLATE(C710, ""en"", ""fa"")
"),"نکاتی را برای طراحی اسلایدهای جذاب بصری یا محتوای چندرسانه ای به اشتراک بگذارید تا درک و تعامل فراگیرنده افزایش یابد.")</f>
        <v>نکاتی را برای طراحی اسلایدهای جذاب بصری یا محتوای چندرسانه ای به اشتراک بگذارید تا درک و تعامل فراگیرنده افزایش یابد.</v>
      </c>
      <c r="H710" s="1"/>
      <c r="I710" s="1"/>
      <c r="J710" s="1"/>
      <c r="K710" s="1"/>
      <c r="L710" s="1"/>
      <c r="M710" s="1"/>
      <c r="N710" s="1"/>
      <c r="O710" s="1"/>
      <c r="P710" s="1"/>
      <c r="Q710" s="1"/>
      <c r="R710" s="1"/>
      <c r="S710" s="1"/>
      <c r="T710" s="1"/>
      <c r="U710" s="1"/>
      <c r="V710" s="1"/>
      <c r="W710" s="1"/>
      <c r="X710" s="1"/>
      <c r="Y710" s="1"/>
      <c r="Z710" s="1"/>
      <c r="AA710" s="1"/>
      <c r="AB710" s="1"/>
    </row>
    <row r="711" ht="50.25" customHeight="1">
      <c r="A711" s="12">
        <v>707.0</v>
      </c>
      <c r="B711" s="13" t="s">
        <v>476</v>
      </c>
      <c r="C711" s="14" t="s">
        <v>715</v>
      </c>
      <c r="D711" s="1"/>
      <c r="E711" s="15"/>
      <c r="F711" s="1" t="str">
        <f>IFERROR(__xludf.DUMMYFUNCTION("GOOGLETRANSLATE(B711, ""en"", ""fa"")
"),"ایجاد دوره")</f>
        <v>ایجاد دوره</v>
      </c>
      <c r="G711" s="1" t="str">
        <f>IFERROR(__xludf.DUMMYFUNCTION("GOOGLETRANSLATE(C711, ""en"", ""fa"")
"),"مفهوم ترکیب فعالیت های یادگیری مبتنی بر سناریو را که فراگیران را به چالش می کشد تا دانش خود را در موقعیت های واقع گرایانه به کار گیرند، کاوش کنید.")</f>
        <v>مفهوم ترکیب فعالیت های یادگیری مبتنی بر سناریو را که فراگیران را به چالش می کشد تا دانش خود را در موقعیت های واقع گرایانه به کار گیرند، کاوش کنید.</v>
      </c>
      <c r="H711" s="1"/>
      <c r="I711" s="1"/>
      <c r="J711" s="1"/>
      <c r="K711" s="1"/>
      <c r="L711" s="1"/>
      <c r="M711" s="1"/>
      <c r="N711" s="1"/>
      <c r="O711" s="1"/>
      <c r="P711" s="1"/>
      <c r="Q711" s="1"/>
      <c r="R711" s="1"/>
      <c r="S711" s="1"/>
      <c r="T711" s="1"/>
      <c r="U711" s="1"/>
      <c r="V711" s="1"/>
      <c r="W711" s="1"/>
      <c r="X711" s="1"/>
      <c r="Y711" s="1"/>
      <c r="Z711" s="1"/>
      <c r="AA711" s="1"/>
      <c r="AB711" s="1"/>
    </row>
    <row r="712" ht="50.25" customHeight="1">
      <c r="A712" s="12">
        <v>708.0</v>
      </c>
      <c r="B712" s="13" t="s">
        <v>476</v>
      </c>
      <c r="C712" s="14" t="s">
        <v>716</v>
      </c>
      <c r="D712" s="1"/>
      <c r="E712" s="15"/>
      <c r="F712" s="1" t="str">
        <f>IFERROR(__xludf.DUMMYFUNCTION("GOOGLETRANSLATE(B712, ""en"", ""fa"")
"),"ایجاد دوره")</f>
        <v>ایجاد دوره</v>
      </c>
      <c r="G712" s="1" t="str">
        <f>IFERROR(__xludf.DUMMYFUNCTION("GOOGLETRANSLATE(C712, ""en"", ""fa"")
"),"در مورد نقش فراهم کردن فرصت هایی برای یادگیرندگان بحث کنید تا در مورد پیشرفت یادگیری خود فکر کنند و اهداف قابل اجرا تعیین کنند.")</f>
        <v>در مورد نقش فراهم کردن فرصت هایی برای یادگیرندگان بحث کنید تا در مورد پیشرفت یادگیری خود فکر کنند و اهداف قابل اجرا تعیین کنند.</v>
      </c>
      <c r="H712" s="1"/>
      <c r="I712" s="1"/>
      <c r="J712" s="1"/>
      <c r="K712" s="1"/>
      <c r="L712" s="1"/>
      <c r="M712" s="1"/>
      <c r="N712" s="1"/>
      <c r="O712" s="1"/>
      <c r="P712" s="1"/>
      <c r="Q712" s="1"/>
      <c r="R712" s="1"/>
      <c r="S712" s="1"/>
      <c r="T712" s="1"/>
      <c r="U712" s="1"/>
      <c r="V712" s="1"/>
      <c r="W712" s="1"/>
      <c r="X712" s="1"/>
      <c r="Y712" s="1"/>
      <c r="Z712" s="1"/>
      <c r="AA712" s="1"/>
      <c r="AB712" s="1"/>
    </row>
    <row r="713" ht="50.25" customHeight="1">
      <c r="A713" s="12">
        <v>709.0</v>
      </c>
      <c r="B713" s="13" t="s">
        <v>476</v>
      </c>
      <c r="C713" s="14" t="s">
        <v>717</v>
      </c>
      <c r="D713" s="1"/>
      <c r="E713" s="15"/>
      <c r="F713" s="1" t="str">
        <f>IFERROR(__xludf.DUMMYFUNCTION("GOOGLETRANSLATE(B713, ""en"", ""fa"")
"),"ایجاد دوره")</f>
        <v>ایجاد دوره</v>
      </c>
      <c r="G713" s="1" t="str">
        <f>IFERROR(__xludf.DUMMYFUNCTION("GOOGLETRANSLATE(C713, ""en"", ""fa"")
"),"استراتژی‌هایی را برای ترکیب پروژه‌های مشترک یا فعالیت‌های گروهی که کار تیمی و یادگیری همتایان را تقویت می‌کنند، به اشتراک بگذارید.")</f>
        <v>استراتژی‌هایی را برای ترکیب پروژه‌های مشترک یا فعالیت‌های گروهی که کار تیمی و یادگیری همتایان را تقویت می‌کنند، به اشتراک بگذارید.</v>
      </c>
      <c r="H713" s="1"/>
      <c r="I713" s="1"/>
      <c r="J713" s="1"/>
      <c r="K713" s="1"/>
      <c r="L713" s="1"/>
      <c r="M713" s="1"/>
      <c r="N713" s="1"/>
      <c r="O713" s="1"/>
      <c r="P713" s="1"/>
      <c r="Q713" s="1"/>
      <c r="R713" s="1"/>
      <c r="S713" s="1"/>
      <c r="T713" s="1"/>
      <c r="U713" s="1"/>
      <c r="V713" s="1"/>
      <c r="W713" s="1"/>
      <c r="X713" s="1"/>
      <c r="Y713" s="1"/>
      <c r="Z713" s="1"/>
      <c r="AA713" s="1"/>
      <c r="AB713" s="1"/>
    </row>
    <row r="714" ht="50.25" customHeight="1">
      <c r="A714" s="12">
        <v>710.0</v>
      </c>
      <c r="B714" s="13" t="s">
        <v>476</v>
      </c>
      <c r="C714" s="14" t="s">
        <v>718</v>
      </c>
      <c r="D714" s="1"/>
      <c r="E714" s="15"/>
      <c r="F714" s="1" t="str">
        <f>IFERROR(__xludf.DUMMYFUNCTION("GOOGLETRANSLATE(B714, ""en"", ""fa"")
"),"ایجاد دوره")</f>
        <v>ایجاد دوره</v>
      </c>
      <c r="G714" s="1" t="str">
        <f>IFERROR(__xludf.DUMMYFUNCTION("GOOGLETRANSLATE(C714, ""en"", ""fa"")
"),"مزایای ترکیب ماژول‌های یادگیری خرد یا درس‌های کوچکی را که حفظ یادگیری و دسترسی آسان به اطلاعات را تسهیل می‌کنند، کاوش کنید.")</f>
        <v>مزایای ترکیب ماژول‌های یادگیری خرد یا درس‌های کوچکی را که حفظ یادگیری و دسترسی آسان به اطلاعات را تسهیل می‌کنند، کاوش کنید.</v>
      </c>
      <c r="H714" s="1"/>
      <c r="I714" s="1"/>
      <c r="J714" s="1"/>
      <c r="K714" s="1"/>
      <c r="L714" s="1"/>
      <c r="M714" s="1"/>
      <c r="N714" s="1"/>
      <c r="O714" s="1"/>
      <c r="P714" s="1"/>
      <c r="Q714" s="1"/>
      <c r="R714" s="1"/>
      <c r="S714" s="1"/>
      <c r="T714" s="1"/>
      <c r="U714" s="1"/>
      <c r="V714" s="1"/>
      <c r="W714" s="1"/>
      <c r="X714" s="1"/>
      <c r="Y714" s="1"/>
      <c r="Z714" s="1"/>
      <c r="AA714" s="1"/>
      <c r="AB714" s="1"/>
    </row>
    <row r="715" ht="50.25" customHeight="1">
      <c r="A715" s="12">
        <v>711.0</v>
      </c>
      <c r="B715" s="13" t="s">
        <v>476</v>
      </c>
      <c r="C715" s="14" t="s">
        <v>719</v>
      </c>
      <c r="D715" s="1"/>
      <c r="E715" s="15"/>
      <c r="F715" s="1" t="str">
        <f>IFERROR(__xludf.DUMMYFUNCTION("GOOGLETRANSLATE(B715, ""en"", ""fa"")
"),"ایجاد دوره")</f>
        <v>ایجاد دوره</v>
      </c>
      <c r="G715" s="1" t="str">
        <f>IFERROR(__xludf.DUMMYFUNCTION("GOOGLETRANSLATE(C715, ""en"", ""fa"")
"),"در مورد تأثیر ترکیب داده ها و تجزیه و تحلیل در زمان واقعی برای ردیابی پیشرفت یادگیرنده و شناسایی زمینه های مداخله یا بهبود بحث کنید.")</f>
        <v>در مورد تأثیر ترکیب داده ها و تجزیه و تحلیل در زمان واقعی برای ردیابی پیشرفت یادگیرنده و شناسایی زمینه های مداخله یا بهبود بحث کنید.</v>
      </c>
      <c r="H715" s="1"/>
      <c r="I715" s="1"/>
      <c r="J715" s="1"/>
      <c r="K715" s="1"/>
      <c r="L715" s="1"/>
      <c r="M715" s="1"/>
      <c r="N715" s="1"/>
      <c r="O715" s="1"/>
      <c r="P715" s="1"/>
      <c r="Q715" s="1"/>
      <c r="R715" s="1"/>
      <c r="S715" s="1"/>
      <c r="T715" s="1"/>
      <c r="U715" s="1"/>
      <c r="V715" s="1"/>
      <c r="W715" s="1"/>
      <c r="X715" s="1"/>
      <c r="Y715" s="1"/>
      <c r="Z715" s="1"/>
      <c r="AA715" s="1"/>
      <c r="AB715" s="1"/>
    </row>
    <row r="716" ht="50.25" customHeight="1">
      <c r="A716" s="12">
        <v>712.0</v>
      </c>
      <c r="B716" s="13" t="s">
        <v>476</v>
      </c>
      <c r="C716" s="14" t="s">
        <v>720</v>
      </c>
      <c r="D716" s="1"/>
      <c r="E716" s="15"/>
      <c r="F716" s="1" t="str">
        <f>IFERROR(__xludf.DUMMYFUNCTION("GOOGLETRANSLATE(B716, ""en"", ""fa"")
"),"ایجاد دوره")</f>
        <v>ایجاد دوره</v>
      </c>
      <c r="G716" s="1" t="str">
        <f>IFERROR(__xludf.DUMMYFUNCTION("GOOGLETRANSLATE(C716, ""en"", ""fa"")
"),"نکاتی را برای ایجاد ارزیابی‌های فراگیر که سبک‌های یادگیری متفاوت را در بر می‌گیرد و ارزشیابی عادلانه را ترویج می‌کند، به اشتراک بگذارید.")</f>
        <v>نکاتی را برای ایجاد ارزیابی‌های فراگیر که سبک‌های یادگیری متفاوت را در بر می‌گیرد و ارزشیابی عادلانه را ترویج می‌کند، به اشتراک بگذارید.</v>
      </c>
      <c r="H716" s="1"/>
      <c r="I716" s="1"/>
      <c r="J716" s="1"/>
      <c r="K716" s="1"/>
      <c r="L716" s="1"/>
      <c r="M716" s="1"/>
      <c r="N716" s="1"/>
      <c r="O716" s="1"/>
      <c r="P716" s="1"/>
      <c r="Q716" s="1"/>
      <c r="R716" s="1"/>
      <c r="S716" s="1"/>
      <c r="T716" s="1"/>
      <c r="U716" s="1"/>
      <c r="V716" s="1"/>
      <c r="W716" s="1"/>
      <c r="X716" s="1"/>
      <c r="Y716" s="1"/>
      <c r="Z716" s="1"/>
      <c r="AA716" s="1"/>
      <c r="AB716" s="1"/>
    </row>
    <row r="717" ht="50.25" customHeight="1">
      <c r="A717" s="12">
        <v>713.0</v>
      </c>
      <c r="B717" s="13" t="s">
        <v>476</v>
      </c>
      <c r="C717" s="14" t="s">
        <v>721</v>
      </c>
      <c r="D717" s="1"/>
      <c r="E717" s="15"/>
      <c r="F717" s="1" t="str">
        <f>IFERROR(__xludf.DUMMYFUNCTION("GOOGLETRANSLATE(B717, ""en"", ""fa"")
"),"ایجاد دوره")</f>
        <v>ایجاد دوره</v>
      </c>
      <c r="G717" s="1" t="str">
        <f>IFERROR(__xludf.DUMMYFUNCTION("GOOGLETRANSLATE(C717, ""en"", ""fa"")
"),"مفهوم ترکیب سخنرانان مهمان در دنیای واقعی یا کارشناسان موضوعی را برای ارائه بینش و دیدگاه‌های صنعت بررسی کنید.")</f>
        <v>مفهوم ترکیب سخنرانان مهمان در دنیای واقعی یا کارشناسان موضوعی را برای ارائه بینش و دیدگاه‌های صنعت بررسی کنید.</v>
      </c>
      <c r="H717" s="1"/>
      <c r="I717" s="1"/>
      <c r="J717" s="1"/>
      <c r="K717" s="1"/>
      <c r="L717" s="1"/>
      <c r="M717" s="1"/>
      <c r="N717" s="1"/>
      <c r="O717" s="1"/>
      <c r="P717" s="1"/>
      <c r="Q717" s="1"/>
      <c r="R717" s="1"/>
      <c r="S717" s="1"/>
      <c r="T717" s="1"/>
      <c r="U717" s="1"/>
      <c r="V717" s="1"/>
      <c r="W717" s="1"/>
      <c r="X717" s="1"/>
      <c r="Y717" s="1"/>
      <c r="Z717" s="1"/>
      <c r="AA717" s="1"/>
      <c r="AB717" s="1"/>
    </row>
    <row r="718" ht="50.25" customHeight="1">
      <c r="A718" s="12">
        <v>714.0</v>
      </c>
      <c r="B718" s="13" t="s">
        <v>476</v>
      </c>
      <c r="C718" s="14" t="s">
        <v>722</v>
      </c>
      <c r="D718" s="1"/>
      <c r="E718" s="15"/>
      <c r="F718" s="1" t="str">
        <f>IFERROR(__xludf.DUMMYFUNCTION("GOOGLETRANSLATE(B718, ""en"", ""fa"")
"),"ایجاد دوره")</f>
        <v>ایجاد دوره</v>
      </c>
      <c r="G718" s="1" t="str">
        <f>IFERROR(__xludf.DUMMYFUNCTION("GOOGLETRANSLATE(C718, ""en"", ""fa"")
"),"درباره نقش ترکیب عناصر بازی‌سازی شده، مانند نشان‌ها، سطوح، یا پاداش‌ها برای افزایش انگیزه و مشارکت یادگیرنده بحث کنید.")</f>
        <v>درباره نقش ترکیب عناصر بازی‌سازی شده، مانند نشان‌ها، سطوح، یا پاداش‌ها برای افزایش انگیزه و مشارکت یادگیرنده بحث کنید.</v>
      </c>
      <c r="H718" s="1"/>
      <c r="I718" s="1"/>
      <c r="J718" s="1"/>
      <c r="K718" s="1"/>
      <c r="L718" s="1"/>
      <c r="M718" s="1"/>
      <c r="N718" s="1"/>
      <c r="O718" s="1"/>
      <c r="P718" s="1"/>
      <c r="Q718" s="1"/>
      <c r="R718" s="1"/>
      <c r="S718" s="1"/>
      <c r="T718" s="1"/>
      <c r="U718" s="1"/>
      <c r="V718" s="1"/>
      <c r="W718" s="1"/>
      <c r="X718" s="1"/>
      <c r="Y718" s="1"/>
      <c r="Z718" s="1"/>
      <c r="AA718" s="1"/>
      <c r="AB718" s="1"/>
    </row>
    <row r="719" ht="50.25" customHeight="1">
      <c r="A719" s="12">
        <v>715.0</v>
      </c>
      <c r="B719" s="13" t="s">
        <v>476</v>
      </c>
      <c r="C719" s="14" t="s">
        <v>723</v>
      </c>
      <c r="D719" s="1"/>
      <c r="E719" s="15"/>
      <c r="F719" s="1" t="str">
        <f>IFERROR(__xludf.DUMMYFUNCTION("GOOGLETRANSLATE(B719, ""en"", ""fa"")
"),"ایجاد دوره")</f>
        <v>ایجاد دوره</v>
      </c>
      <c r="G719" s="1" t="str">
        <f>IFERROR(__xludf.DUMMYFUNCTION("GOOGLETRANSLATE(C719, ""en"", ""fa"")
"),"استراتژی‌هایی را برای طراحی شبیه‌سازی‌های تعاملی یا آزمایشگاه‌های مجازی به اشتراک بگذارید که به یادگیرندگان اجازه می‌دهد مهارت‌های خود را تمرین و به کار ببرند.")</f>
        <v>استراتژی‌هایی را برای طراحی شبیه‌سازی‌های تعاملی یا آزمایشگاه‌های مجازی به اشتراک بگذارید که به یادگیرندگان اجازه می‌دهد مهارت‌های خود را تمرین و به کار ببرند.</v>
      </c>
      <c r="H719" s="1"/>
      <c r="I719" s="1"/>
      <c r="J719" s="1"/>
      <c r="K719" s="1"/>
      <c r="L719" s="1"/>
      <c r="M719" s="1"/>
      <c r="N719" s="1"/>
      <c r="O719" s="1"/>
      <c r="P719" s="1"/>
      <c r="Q719" s="1"/>
      <c r="R719" s="1"/>
      <c r="S719" s="1"/>
      <c r="T719" s="1"/>
      <c r="U719" s="1"/>
      <c r="V719" s="1"/>
      <c r="W719" s="1"/>
      <c r="X719" s="1"/>
      <c r="Y719" s="1"/>
      <c r="Z719" s="1"/>
      <c r="AA719" s="1"/>
      <c r="AB719" s="1"/>
    </row>
    <row r="720" ht="50.25" customHeight="1">
      <c r="A720" s="12">
        <v>716.0</v>
      </c>
      <c r="B720" s="13" t="s">
        <v>476</v>
      </c>
      <c r="C720" s="14" t="s">
        <v>724</v>
      </c>
      <c r="D720" s="1"/>
      <c r="E720" s="15"/>
      <c r="F720" s="1" t="str">
        <f>IFERROR(__xludf.DUMMYFUNCTION("GOOGLETRANSLATE(B720, ""en"", ""fa"")
"),"ایجاد دوره")</f>
        <v>ایجاد دوره</v>
      </c>
      <c r="G720" s="1" t="str">
        <f>IFERROR(__xludf.DUMMYFUNCTION("GOOGLETRANSLATE(C720, ""en"", ""fa"")
"),"مزایای ترکیب فعالیت های بازبینی یا بازخورد همتایان را برای ترویج تفکر انتقادی و ارزیابی سازنده بررسی کنید.")</f>
        <v>مزایای ترکیب فعالیت های بازبینی یا بازخورد همتایان را برای ترویج تفکر انتقادی و ارزیابی سازنده بررسی کنید.</v>
      </c>
      <c r="H720" s="1"/>
      <c r="I720" s="1"/>
      <c r="J720" s="1"/>
      <c r="K720" s="1"/>
      <c r="L720" s="1"/>
      <c r="M720" s="1"/>
      <c r="N720" s="1"/>
      <c r="O720" s="1"/>
      <c r="P720" s="1"/>
      <c r="Q720" s="1"/>
      <c r="R720" s="1"/>
      <c r="S720" s="1"/>
      <c r="T720" s="1"/>
      <c r="U720" s="1"/>
      <c r="V720" s="1"/>
      <c r="W720" s="1"/>
      <c r="X720" s="1"/>
      <c r="Y720" s="1"/>
      <c r="Z720" s="1"/>
      <c r="AA720" s="1"/>
      <c r="AB720" s="1"/>
    </row>
    <row r="721" ht="50.25" customHeight="1">
      <c r="A721" s="12">
        <v>717.0</v>
      </c>
      <c r="B721" s="13" t="s">
        <v>476</v>
      </c>
      <c r="C721" s="14" t="s">
        <v>725</v>
      </c>
      <c r="D721" s="1"/>
      <c r="E721" s="15"/>
      <c r="F721" s="1" t="str">
        <f>IFERROR(__xludf.DUMMYFUNCTION("GOOGLETRANSLATE(B721, ""en"", ""fa"")
"),"ایجاد دوره")</f>
        <v>ایجاد دوره</v>
      </c>
      <c r="G721" s="1" t="str">
        <f>IFERROR(__xludf.DUMMYFUNCTION("GOOGLETRANSLATE(C721, ""en"", ""fa"")
"),"درباره تأثیر ترکیب فرصت‌ها برای یادگیرندگان برای نشان دادن درک خود از طریق نمونه کارها یا رویدادهای نمایشگاه بحث کنید.")</f>
        <v>درباره تأثیر ترکیب فرصت‌ها برای یادگیرندگان برای نشان دادن درک خود از طریق نمونه کارها یا رویدادهای نمایشگاه بحث کنید.</v>
      </c>
      <c r="H721" s="1"/>
      <c r="I721" s="1"/>
      <c r="J721" s="1"/>
      <c r="K721" s="1"/>
      <c r="L721" s="1"/>
      <c r="M721" s="1"/>
      <c r="N721" s="1"/>
      <c r="O721" s="1"/>
      <c r="P721" s="1"/>
      <c r="Q721" s="1"/>
      <c r="R721" s="1"/>
      <c r="S721" s="1"/>
      <c r="T721" s="1"/>
      <c r="U721" s="1"/>
      <c r="V721" s="1"/>
      <c r="W721" s="1"/>
      <c r="X721" s="1"/>
      <c r="Y721" s="1"/>
      <c r="Z721" s="1"/>
      <c r="AA721" s="1"/>
      <c r="AB721" s="1"/>
    </row>
    <row r="722" ht="50.25" customHeight="1">
      <c r="A722" s="12">
        <v>718.0</v>
      </c>
      <c r="B722" s="13" t="s">
        <v>476</v>
      </c>
      <c r="C722" s="14" t="s">
        <v>726</v>
      </c>
      <c r="D722" s="1"/>
      <c r="E722" s="15"/>
      <c r="F722" s="1" t="str">
        <f>IFERROR(__xludf.DUMMYFUNCTION("GOOGLETRANSLATE(B722, ""en"", ""fa"")
"),"ایجاد دوره")</f>
        <v>ایجاد دوره</v>
      </c>
      <c r="G722" s="1" t="str">
        <f>IFERROR(__xludf.DUMMYFUNCTION("GOOGLETRANSLATE(C722, ""en"", ""fa"")
"),"نکاتی را برای طراحی مطالب درسی در دسترس که توانایی‌های یادگیری متفاوت را در نظر می‌گیرند و فراگیر بودن را تضمین می‌کنند، به اشتراک بگذارید.")</f>
        <v>نکاتی را برای طراحی مطالب درسی در دسترس که توانایی‌های یادگیری متفاوت را در نظر می‌گیرند و فراگیر بودن را تضمین می‌کنند، به اشتراک بگذارید.</v>
      </c>
      <c r="H722" s="1"/>
      <c r="I722" s="1"/>
      <c r="J722" s="1"/>
      <c r="K722" s="1"/>
      <c r="L722" s="1"/>
      <c r="M722" s="1"/>
      <c r="N722" s="1"/>
      <c r="O722" s="1"/>
      <c r="P722" s="1"/>
      <c r="Q722" s="1"/>
      <c r="R722" s="1"/>
      <c r="S722" s="1"/>
      <c r="T722" s="1"/>
      <c r="U722" s="1"/>
      <c r="V722" s="1"/>
      <c r="W722" s="1"/>
      <c r="X722" s="1"/>
      <c r="Y722" s="1"/>
      <c r="Z722" s="1"/>
      <c r="AA722" s="1"/>
      <c r="AB722" s="1"/>
    </row>
    <row r="723" ht="50.25" customHeight="1">
      <c r="A723" s="12">
        <v>719.0</v>
      </c>
      <c r="B723" s="13" t="s">
        <v>476</v>
      </c>
      <c r="C723" s="14" t="s">
        <v>727</v>
      </c>
      <c r="D723" s="1"/>
      <c r="E723" s="15"/>
      <c r="F723" s="1" t="str">
        <f>IFERROR(__xludf.DUMMYFUNCTION("GOOGLETRANSLATE(B723, ""en"", ""fa"")
"),"ایجاد دوره")</f>
        <v>ایجاد دوره</v>
      </c>
      <c r="G723" s="1" t="str">
        <f>IFERROR(__xludf.DUMMYFUNCTION("GOOGLETRANSLATE(C723, ""en"", ""fa"")
"),"مفهوم ترکیب تکنیک های داستان گویی را برای ایجاد محتوای دوره مرتبط و به یاد ماندنی بررسی کنید.")</f>
        <v>مفهوم ترکیب تکنیک های داستان گویی را برای ایجاد محتوای دوره مرتبط و به یاد ماندنی بررسی کنید.</v>
      </c>
      <c r="H723" s="1"/>
      <c r="I723" s="1"/>
      <c r="J723" s="1"/>
      <c r="K723" s="1"/>
      <c r="L723" s="1"/>
      <c r="M723" s="1"/>
      <c r="N723" s="1"/>
      <c r="O723" s="1"/>
      <c r="P723" s="1"/>
      <c r="Q723" s="1"/>
      <c r="R723" s="1"/>
      <c r="S723" s="1"/>
      <c r="T723" s="1"/>
      <c r="U723" s="1"/>
      <c r="V723" s="1"/>
      <c r="W723" s="1"/>
      <c r="X723" s="1"/>
      <c r="Y723" s="1"/>
      <c r="Z723" s="1"/>
      <c r="AA723" s="1"/>
      <c r="AB723" s="1"/>
    </row>
    <row r="724" ht="50.25" customHeight="1">
      <c r="A724" s="12">
        <v>720.0</v>
      </c>
      <c r="B724" s="13" t="s">
        <v>476</v>
      </c>
      <c r="C724" s="14" t="s">
        <v>728</v>
      </c>
      <c r="D724" s="1"/>
      <c r="E724" s="15"/>
      <c r="F724" s="1" t="str">
        <f>IFERROR(__xludf.DUMMYFUNCTION("GOOGLETRANSLATE(B724, ""en"", ""fa"")
"),"ایجاد دوره")</f>
        <v>ایجاد دوره</v>
      </c>
      <c r="G724" s="1" t="str">
        <f>IFERROR(__xludf.DUMMYFUNCTION("GOOGLETRANSLATE(C724, ""en"", ""fa"")
"),"در مورد نقش ترکیب بحث‌های بی‌درنگ یا ناهمزمان برای تسهیل یادگیری همتا به همتا و اشتراک دانش بحث کنید.")</f>
        <v>در مورد نقش ترکیب بحث‌های بی‌درنگ یا ناهمزمان برای تسهیل یادگیری همتا به همتا و اشتراک دانش بحث کنید.</v>
      </c>
      <c r="H724" s="1"/>
      <c r="I724" s="1"/>
      <c r="J724" s="1"/>
      <c r="K724" s="1"/>
      <c r="L724" s="1"/>
      <c r="M724" s="1"/>
      <c r="N724" s="1"/>
      <c r="O724" s="1"/>
      <c r="P724" s="1"/>
      <c r="Q724" s="1"/>
      <c r="R724" s="1"/>
      <c r="S724" s="1"/>
      <c r="T724" s="1"/>
      <c r="U724" s="1"/>
      <c r="V724" s="1"/>
      <c r="W724" s="1"/>
      <c r="X724" s="1"/>
      <c r="Y724" s="1"/>
      <c r="Z724" s="1"/>
      <c r="AA724" s="1"/>
      <c r="AB724" s="1"/>
    </row>
    <row r="725" ht="50.25" customHeight="1">
      <c r="A725" s="12">
        <v>721.0</v>
      </c>
      <c r="B725" s="13" t="s">
        <v>476</v>
      </c>
      <c r="C725" s="14" t="s">
        <v>729</v>
      </c>
      <c r="D725" s="1"/>
      <c r="E725" s="15"/>
      <c r="F725" s="1" t="str">
        <f>IFERROR(__xludf.DUMMYFUNCTION("GOOGLETRANSLATE(B725, ""en"", ""fa"")
"),"ایجاد دوره")</f>
        <v>ایجاد دوره</v>
      </c>
      <c r="G725" s="1" t="str">
        <f>IFERROR(__xludf.DUMMYFUNCTION("GOOGLETRANSLATE(C725, ""en"", ""fa"")
"),"استراتژی هایی را برای ترکیب چالش های دنیای واقعی یا فعالیت های حل مسئله که تفکر انتقادی و راه حل های خلاقانه را تشویق می کند، به اشتراک بگذارید.")</f>
        <v>استراتژی هایی را برای ترکیب چالش های دنیای واقعی یا فعالیت های حل مسئله که تفکر انتقادی و راه حل های خلاقانه را تشویق می کند، به اشتراک بگذارید.</v>
      </c>
      <c r="H725" s="1"/>
      <c r="I725" s="1"/>
      <c r="J725" s="1"/>
      <c r="K725" s="1"/>
      <c r="L725" s="1"/>
      <c r="M725" s="1"/>
      <c r="N725" s="1"/>
      <c r="O725" s="1"/>
      <c r="P725" s="1"/>
      <c r="Q725" s="1"/>
      <c r="R725" s="1"/>
      <c r="S725" s="1"/>
      <c r="T725" s="1"/>
      <c r="U725" s="1"/>
      <c r="V725" s="1"/>
      <c r="W725" s="1"/>
      <c r="X725" s="1"/>
      <c r="Y725" s="1"/>
      <c r="Z725" s="1"/>
      <c r="AA725" s="1"/>
      <c r="AB725" s="1"/>
    </row>
    <row r="726" ht="50.25" customHeight="1">
      <c r="A726" s="12">
        <v>722.0</v>
      </c>
      <c r="B726" s="13" t="s">
        <v>476</v>
      </c>
      <c r="C726" s="14" t="s">
        <v>730</v>
      </c>
      <c r="D726" s="1"/>
      <c r="E726" s="15"/>
      <c r="F726" s="1" t="str">
        <f>IFERROR(__xludf.DUMMYFUNCTION("GOOGLETRANSLATE(B726, ""en"", ""fa"")
"),"ایجاد دوره")</f>
        <v>ایجاد دوره</v>
      </c>
      <c r="G726" s="1" t="str">
        <f>IFERROR(__xludf.DUMMYFUNCTION("GOOGLETRANSLATE(C726, ""en"", ""fa"")
"),"مزایای ترکیب ارزیابی های تکوینی را که بازخورد مداوم ارائه می دهد و از پیشرفت یادگیرنده حمایت می کند، کاوش کنید.")</f>
        <v>مزایای ترکیب ارزیابی های تکوینی را که بازخورد مداوم ارائه می دهد و از پیشرفت یادگیرنده حمایت می کند، کاوش کنید.</v>
      </c>
      <c r="H726" s="1"/>
      <c r="I726" s="1"/>
      <c r="J726" s="1"/>
      <c r="K726" s="1"/>
      <c r="L726" s="1"/>
      <c r="M726" s="1"/>
      <c r="N726" s="1"/>
      <c r="O726" s="1"/>
      <c r="P726" s="1"/>
      <c r="Q726" s="1"/>
      <c r="R726" s="1"/>
      <c r="S726" s="1"/>
      <c r="T726" s="1"/>
      <c r="U726" s="1"/>
      <c r="V726" s="1"/>
      <c r="W726" s="1"/>
      <c r="X726" s="1"/>
      <c r="Y726" s="1"/>
      <c r="Z726" s="1"/>
      <c r="AA726" s="1"/>
      <c r="AB726" s="1"/>
    </row>
    <row r="727" ht="50.25" customHeight="1">
      <c r="A727" s="12">
        <v>723.0</v>
      </c>
      <c r="B727" s="13" t="s">
        <v>476</v>
      </c>
      <c r="C727" s="14" t="s">
        <v>731</v>
      </c>
      <c r="D727" s="1"/>
      <c r="E727" s="15"/>
      <c r="F727" s="1" t="str">
        <f>IFERROR(__xludf.DUMMYFUNCTION("GOOGLETRANSLATE(B727, ""en"", ""fa"")
"),"ایجاد دوره")</f>
        <v>ایجاد دوره</v>
      </c>
      <c r="G727" s="1" t="str">
        <f>IFERROR(__xludf.DUMMYFUNCTION("GOOGLETRANSLATE(C727, ""en"", ""fa"")
"),"درباره تأثیر ترکیب فعالیت‌های بازتابی که فراگیران را تشویق می‌کند تا مفاهیم دوره را با تجربیات خود مرتبط کنند، بحث کنید.")</f>
        <v>درباره تأثیر ترکیب فعالیت‌های بازتابی که فراگیران را تشویق می‌کند تا مفاهیم دوره را با تجربیات خود مرتبط کنند، بحث کنید.</v>
      </c>
      <c r="H727" s="1"/>
      <c r="I727" s="1"/>
      <c r="J727" s="1"/>
      <c r="K727" s="1"/>
      <c r="L727" s="1"/>
      <c r="M727" s="1"/>
      <c r="N727" s="1"/>
      <c r="O727" s="1"/>
      <c r="P727" s="1"/>
      <c r="Q727" s="1"/>
      <c r="R727" s="1"/>
      <c r="S727" s="1"/>
      <c r="T727" s="1"/>
      <c r="U727" s="1"/>
      <c r="V727" s="1"/>
      <c r="W727" s="1"/>
      <c r="X727" s="1"/>
      <c r="Y727" s="1"/>
      <c r="Z727" s="1"/>
      <c r="AA727" s="1"/>
      <c r="AB727" s="1"/>
    </row>
    <row r="728" ht="50.25" customHeight="1">
      <c r="A728" s="12">
        <v>724.0</v>
      </c>
      <c r="B728" s="13" t="s">
        <v>476</v>
      </c>
      <c r="C728" s="14" t="s">
        <v>732</v>
      </c>
      <c r="D728" s="1"/>
      <c r="E728" s="15"/>
      <c r="F728" s="1" t="str">
        <f>IFERROR(__xludf.DUMMYFUNCTION("GOOGLETRANSLATE(B728, ""en"", ""fa"")
"),"ایجاد دوره")</f>
        <v>ایجاد دوره</v>
      </c>
      <c r="G728" s="1" t="str">
        <f>IFERROR(__xludf.DUMMYFUNCTION("GOOGLETRANSLATE(C728, ""en"", ""fa"")
"),"نکاتی را برای طراحی تکالیف جذاب و تعاملی که استقلال و خلاقیت یادگیرنده را تشویق می کند، به اشتراک بگذارید.")</f>
        <v>نکاتی را برای طراحی تکالیف جذاب و تعاملی که استقلال و خلاقیت یادگیرنده را تشویق می کند، به اشتراک بگذارید.</v>
      </c>
      <c r="H728" s="1"/>
      <c r="I728" s="1"/>
      <c r="J728" s="1"/>
      <c r="K728" s="1"/>
      <c r="L728" s="1"/>
      <c r="M728" s="1"/>
      <c r="N728" s="1"/>
      <c r="O728" s="1"/>
      <c r="P728" s="1"/>
      <c r="Q728" s="1"/>
      <c r="R728" s="1"/>
      <c r="S728" s="1"/>
      <c r="T728" s="1"/>
      <c r="U728" s="1"/>
      <c r="V728" s="1"/>
      <c r="W728" s="1"/>
      <c r="X728" s="1"/>
      <c r="Y728" s="1"/>
      <c r="Z728" s="1"/>
      <c r="AA728" s="1"/>
      <c r="AB728" s="1"/>
    </row>
    <row r="729" ht="50.25" customHeight="1">
      <c r="A729" s="12">
        <v>725.0</v>
      </c>
      <c r="B729" s="13" t="s">
        <v>476</v>
      </c>
      <c r="C729" s="14" t="s">
        <v>733</v>
      </c>
      <c r="D729" s="1"/>
      <c r="E729" s="15"/>
      <c r="F729" s="1" t="str">
        <f>IFERROR(__xludf.DUMMYFUNCTION("GOOGLETRANSLATE(B729, ""en"", ""fa"")
"),"ایجاد دوره")</f>
        <v>ایجاد دوره</v>
      </c>
      <c r="G729" s="1" t="str">
        <f>IFERROR(__xludf.DUMMYFUNCTION("GOOGLETRANSLATE(C729, ""en"", ""fa"")
"),"مفهوم ترکیب بسترها یا جوامع یادگیری اجتماعی را برای تقویت همکاری و تبادل دانش بررسی کنید.")</f>
        <v>مفهوم ترکیب بسترها یا جوامع یادگیری اجتماعی را برای تقویت همکاری و تبادل دانش بررسی کنید.</v>
      </c>
      <c r="H729" s="1"/>
      <c r="I729" s="1"/>
      <c r="J729" s="1"/>
      <c r="K729" s="1"/>
      <c r="L729" s="1"/>
      <c r="M729" s="1"/>
      <c r="N729" s="1"/>
      <c r="O729" s="1"/>
      <c r="P729" s="1"/>
      <c r="Q729" s="1"/>
      <c r="R729" s="1"/>
      <c r="S729" s="1"/>
      <c r="T729" s="1"/>
      <c r="U729" s="1"/>
      <c r="V729" s="1"/>
      <c r="W729" s="1"/>
      <c r="X729" s="1"/>
      <c r="Y729" s="1"/>
      <c r="Z729" s="1"/>
      <c r="AA729" s="1"/>
      <c r="AB729" s="1"/>
    </row>
    <row r="730" ht="50.25" customHeight="1">
      <c r="A730" s="12">
        <v>726.0</v>
      </c>
      <c r="B730" s="13" t="s">
        <v>476</v>
      </c>
      <c r="C730" s="14" t="s">
        <v>734</v>
      </c>
      <c r="D730" s="1"/>
      <c r="E730" s="15"/>
      <c r="F730" s="1" t="str">
        <f>IFERROR(__xludf.DUMMYFUNCTION("GOOGLETRANSLATE(B730, ""en"", ""fa"")
"),"ایجاد دوره")</f>
        <v>ایجاد دوره</v>
      </c>
      <c r="G730" s="1" t="str">
        <f>IFERROR(__xludf.DUMMYFUNCTION("GOOGLETRANSLATE(C730, ""en"", ""fa"")
"),"در مورد نقش فراهم کردن فرصت هایی برای فراگیران برای ارتباط با فارغ التحصیلان یا متخصصان صنعت برای شبکه سازی یا راهنمایی بحث کنید.")</f>
        <v>در مورد نقش فراهم کردن فرصت هایی برای فراگیران برای ارتباط با فارغ التحصیلان یا متخصصان صنعت برای شبکه سازی یا راهنمایی بحث کنید.</v>
      </c>
      <c r="H730" s="1"/>
      <c r="I730" s="1"/>
      <c r="J730" s="1"/>
      <c r="K730" s="1"/>
      <c r="L730" s="1"/>
      <c r="M730" s="1"/>
      <c r="N730" s="1"/>
      <c r="O730" s="1"/>
      <c r="P730" s="1"/>
      <c r="Q730" s="1"/>
      <c r="R730" s="1"/>
      <c r="S730" s="1"/>
      <c r="T730" s="1"/>
      <c r="U730" s="1"/>
      <c r="V730" s="1"/>
      <c r="W730" s="1"/>
      <c r="X730" s="1"/>
      <c r="Y730" s="1"/>
      <c r="Z730" s="1"/>
      <c r="AA730" s="1"/>
      <c r="AB730" s="1"/>
    </row>
    <row r="731" ht="50.25" customHeight="1">
      <c r="A731" s="12">
        <v>727.0</v>
      </c>
      <c r="B731" s="13" t="s">
        <v>476</v>
      </c>
      <c r="C731" s="14" t="s">
        <v>735</v>
      </c>
      <c r="D731" s="1"/>
      <c r="E731" s="15"/>
      <c r="F731" s="1" t="str">
        <f>IFERROR(__xludf.DUMMYFUNCTION("GOOGLETRANSLATE(B731, ""en"", ""fa"")
"),"ایجاد دوره")</f>
        <v>ایجاد دوره</v>
      </c>
      <c r="G731" s="1" t="str">
        <f>IFERROR(__xludf.DUMMYFUNCTION("GOOGLETRANSLATE(C731, ""en"", ""fa"")
"),"استراتژی‌هایی را برای طراحی دستورالعمل‌های بحث فراگیر که مکالمات آنلاین محترمانه و فراگیر را ترویج می‌کنند، به اشتراک بگذارید.")</f>
        <v>استراتژی‌هایی را برای طراحی دستورالعمل‌های بحث فراگیر که مکالمات آنلاین محترمانه و فراگیر را ترویج می‌کنند، به اشتراک بگذارید.</v>
      </c>
      <c r="H731" s="1"/>
      <c r="I731" s="1"/>
      <c r="J731" s="1"/>
      <c r="K731" s="1"/>
      <c r="L731" s="1"/>
      <c r="M731" s="1"/>
      <c r="N731" s="1"/>
      <c r="O731" s="1"/>
      <c r="P731" s="1"/>
      <c r="Q731" s="1"/>
      <c r="R731" s="1"/>
      <c r="S731" s="1"/>
      <c r="T731" s="1"/>
      <c r="U731" s="1"/>
      <c r="V731" s="1"/>
      <c r="W731" s="1"/>
      <c r="X731" s="1"/>
      <c r="Y731" s="1"/>
      <c r="Z731" s="1"/>
      <c r="AA731" s="1"/>
      <c r="AB731" s="1"/>
    </row>
    <row r="732" ht="50.25" customHeight="1">
      <c r="A732" s="12">
        <v>728.0</v>
      </c>
      <c r="B732" s="13" t="s">
        <v>476</v>
      </c>
      <c r="C732" s="14" t="s">
        <v>736</v>
      </c>
      <c r="D732" s="1"/>
      <c r="E732" s="15"/>
      <c r="F732" s="1" t="str">
        <f>IFERROR(__xludf.DUMMYFUNCTION("GOOGLETRANSLATE(B732, ""en"", ""fa"")
"),"ایجاد دوره")</f>
        <v>ایجاد دوره</v>
      </c>
      <c r="G732" s="1" t="str">
        <f>IFERROR(__xludf.DUMMYFUNCTION("GOOGLETRANSLATE(C732, ""en"", ""fa"")
"),"مزایای ترکیب جلسات مربیگری گروهی بی‌درنگ یا ناهمزمان را برای ارائه راهنمایی و پشتیبانی بیشتر بررسی کنید.")</f>
        <v>مزایای ترکیب جلسات مربیگری گروهی بی‌درنگ یا ناهمزمان را برای ارائه راهنمایی و پشتیبانی بیشتر بررسی کنید.</v>
      </c>
      <c r="H732" s="1"/>
      <c r="I732" s="1"/>
      <c r="J732" s="1"/>
      <c r="K732" s="1"/>
      <c r="L732" s="1"/>
      <c r="M732" s="1"/>
      <c r="N732" s="1"/>
      <c r="O732" s="1"/>
      <c r="P732" s="1"/>
      <c r="Q732" s="1"/>
      <c r="R732" s="1"/>
      <c r="S732" s="1"/>
      <c r="T732" s="1"/>
      <c r="U732" s="1"/>
      <c r="V732" s="1"/>
      <c r="W732" s="1"/>
      <c r="X732" s="1"/>
      <c r="Y732" s="1"/>
      <c r="Z732" s="1"/>
      <c r="AA732" s="1"/>
      <c r="AB732" s="1"/>
    </row>
    <row r="733" ht="50.25" customHeight="1">
      <c r="A733" s="12">
        <v>729.0</v>
      </c>
      <c r="B733" s="13" t="s">
        <v>476</v>
      </c>
      <c r="C733" s="14" t="s">
        <v>737</v>
      </c>
      <c r="D733" s="1"/>
      <c r="E733" s="15"/>
      <c r="F733" s="1" t="str">
        <f>IFERROR(__xludf.DUMMYFUNCTION("GOOGLETRANSLATE(B733, ""en"", ""fa"")
"),"ایجاد دوره")</f>
        <v>ایجاد دوره</v>
      </c>
      <c r="G733" s="1" t="str">
        <f>IFERROR(__xludf.DUMMYFUNCTION("GOOGLETRANSLATE(C733, ""en"", ""fa"")
"),"درباره تأثیر گنجاندن توصیفات زندگی واقعی یا داستان های موفقیت از زبان آموزان قبلی که از این دوره بهره برده اند، بحث کنید.")</f>
        <v>درباره تأثیر گنجاندن توصیفات زندگی واقعی یا داستان های موفقیت از زبان آموزان قبلی که از این دوره بهره برده اند، بحث کنید.</v>
      </c>
      <c r="H733" s="1"/>
      <c r="I733" s="1"/>
      <c r="J733" s="1"/>
      <c r="K733" s="1"/>
      <c r="L733" s="1"/>
      <c r="M733" s="1"/>
      <c r="N733" s="1"/>
      <c r="O733" s="1"/>
      <c r="P733" s="1"/>
      <c r="Q733" s="1"/>
      <c r="R733" s="1"/>
      <c r="S733" s="1"/>
      <c r="T733" s="1"/>
      <c r="U733" s="1"/>
      <c r="V733" s="1"/>
      <c r="W733" s="1"/>
      <c r="X733" s="1"/>
      <c r="Y733" s="1"/>
      <c r="Z733" s="1"/>
      <c r="AA733" s="1"/>
      <c r="AB733" s="1"/>
    </row>
    <row r="734" ht="50.25" customHeight="1">
      <c r="A734" s="12">
        <v>730.0</v>
      </c>
      <c r="B734" s="13" t="s">
        <v>476</v>
      </c>
      <c r="C734" s="14" t="s">
        <v>738</v>
      </c>
      <c r="D734" s="1"/>
      <c r="E734" s="15"/>
      <c r="F734" s="1" t="str">
        <f>IFERROR(__xludf.DUMMYFUNCTION("GOOGLETRANSLATE(B734, ""en"", ""fa"")
"),"ایجاد دوره")</f>
        <v>ایجاد دوره</v>
      </c>
      <c r="G734" s="1" t="str">
        <f>IFERROR(__xludf.DUMMYFUNCTION("GOOGLETRANSLATE(C734, ""en"", ""fa"")
"),"نکاتی را برای طراحی ارزیابی هایی که هم کسب دانش و هم کاربرد عملی مفاهیم دوره را می سنجد، به اشتراک بگذارید.")</f>
        <v>نکاتی را برای طراحی ارزیابی هایی که هم کسب دانش و هم کاربرد عملی مفاهیم دوره را می سنجد، به اشتراک بگذارید.</v>
      </c>
      <c r="H734" s="1"/>
      <c r="I734" s="1"/>
      <c r="J734" s="1"/>
      <c r="K734" s="1"/>
      <c r="L734" s="1"/>
      <c r="M734" s="1"/>
      <c r="N734" s="1"/>
      <c r="O734" s="1"/>
      <c r="P734" s="1"/>
      <c r="Q734" s="1"/>
      <c r="R734" s="1"/>
      <c r="S734" s="1"/>
      <c r="T734" s="1"/>
      <c r="U734" s="1"/>
      <c r="V734" s="1"/>
      <c r="W734" s="1"/>
      <c r="X734" s="1"/>
      <c r="Y734" s="1"/>
      <c r="Z734" s="1"/>
      <c r="AA734" s="1"/>
      <c r="AB734" s="1"/>
    </row>
    <row r="735" ht="50.25" customHeight="1">
      <c r="A735" s="12">
        <v>731.0</v>
      </c>
      <c r="B735" s="13" t="s">
        <v>476</v>
      </c>
      <c r="C735" s="14" t="s">
        <v>739</v>
      </c>
      <c r="D735" s="1"/>
      <c r="E735" s="15"/>
      <c r="F735" s="1" t="str">
        <f>IFERROR(__xludf.DUMMYFUNCTION("GOOGLETRANSLATE(B735, ""en"", ""fa"")
"),"ایجاد دوره")</f>
        <v>ایجاد دوره</v>
      </c>
      <c r="G735" s="1" t="str">
        <f>IFERROR(__xludf.DUMMYFUNCTION("GOOGLETRANSLATE(C735, ""en"", ""fa"")
"),"مفهوم گنجاندن قراردادهای یادگیری یا برنامه های یادگیری شخصی را برای توانمندسازی یادگیرندگان و افزایش مسئولیت پذیری بررسی کنید.")</f>
        <v>مفهوم گنجاندن قراردادهای یادگیری یا برنامه های یادگیری شخصی را برای توانمندسازی یادگیرندگان و افزایش مسئولیت پذیری بررسی کنید.</v>
      </c>
      <c r="H735" s="1"/>
      <c r="I735" s="1"/>
      <c r="J735" s="1"/>
      <c r="K735" s="1"/>
      <c r="L735" s="1"/>
      <c r="M735" s="1"/>
      <c r="N735" s="1"/>
      <c r="O735" s="1"/>
      <c r="P735" s="1"/>
      <c r="Q735" s="1"/>
      <c r="R735" s="1"/>
      <c r="S735" s="1"/>
      <c r="T735" s="1"/>
      <c r="U735" s="1"/>
      <c r="V735" s="1"/>
      <c r="W735" s="1"/>
      <c r="X735" s="1"/>
      <c r="Y735" s="1"/>
      <c r="Z735" s="1"/>
      <c r="AA735" s="1"/>
      <c r="AB735" s="1"/>
    </row>
    <row r="736" ht="50.25" customHeight="1">
      <c r="A736" s="12">
        <v>732.0</v>
      </c>
      <c r="B736" s="13" t="s">
        <v>476</v>
      </c>
      <c r="C736" s="14" t="s">
        <v>740</v>
      </c>
      <c r="D736" s="1"/>
      <c r="E736" s="15"/>
      <c r="F736" s="1" t="str">
        <f>IFERROR(__xludf.DUMMYFUNCTION("GOOGLETRANSLATE(B736, ""en"", ""fa"")
"),"ایجاد دوره")</f>
        <v>ایجاد دوره</v>
      </c>
      <c r="G736" s="1" t="str">
        <f>IFERROR(__xludf.DUMMYFUNCTION("GOOGLETRANSLATE(C736, ""en"", ""fa"")
"),"درباره نقش ترکیب بازخورد چندرسانه ای، مانند نظرات صوتی یا تصویری، برای ارائه بازخورد غنی تر و شخصی تر به فراگیران بحث کنید.")</f>
        <v>درباره نقش ترکیب بازخورد چندرسانه ای، مانند نظرات صوتی یا تصویری، برای ارائه بازخورد غنی تر و شخصی تر به فراگیران بحث کنید.</v>
      </c>
      <c r="H736" s="1"/>
      <c r="I736" s="1"/>
      <c r="J736" s="1"/>
      <c r="K736" s="1"/>
      <c r="L736" s="1"/>
      <c r="M736" s="1"/>
      <c r="N736" s="1"/>
      <c r="O736" s="1"/>
      <c r="P736" s="1"/>
      <c r="Q736" s="1"/>
      <c r="R736" s="1"/>
      <c r="S736" s="1"/>
      <c r="T736" s="1"/>
      <c r="U736" s="1"/>
      <c r="V736" s="1"/>
      <c r="W736" s="1"/>
      <c r="X736" s="1"/>
      <c r="Y736" s="1"/>
      <c r="Z736" s="1"/>
      <c r="AA736" s="1"/>
      <c r="AB736" s="1"/>
    </row>
    <row r="737" ht="50.25" customHeight="1">
      <c r="A737" s="12">
        <v>733.0</v>
      </c>
      <c r="B737" s="13" t="s">
        <v>476</v>
      </c>
      <c r="C737" s="14" t="s">
        <v>741</v>
      </c>
      <c r="D737" s="1"/>
      <c r="E737" s="15"/>
      <c r="F737" s="1" t="str">
        <f>IFERROR(__xludf.DUMMYFUNCTION("GOOGLETRANSLATE(B737, ""en"", ""fa"")
"),"ایجاد دوره")</f>
        <v>ایجاد دوره</v>
      </c>
      <c r="G737" s="1" t="str">
        <f>IFERROR(__xludf.DUMMYFUNCTION("GOOGLETRANSLATE(C737, ""en"", ""fa"")
"),"استراتژی های ایجاد تریلرهای جذاب و تعاملی دوره یا مواد تبلیغاتی را برای جذب و درگیر کردن یادگیرندگان آینده به اشتراک بگذارید.")</f>
        <v>استراتژی های ایجاد تریلرهای جذاب و تعاملی دوره یا مواد تبلیغاتی را برای جذب و درگیر کردن یادگیرندگان آینده به اشتراک بگذارید.</v>
      </c>
      <c r="H737" s="1"/>
      <c r="I737" s="1"/>
      <c r="J737" s="1"/>
      <c r="K737" s="1"/>
      <c r="L737" s="1"/>
      <c r="M737" s="1"/>
      <c r="N737" s="1"/>
      <c r="O737" s="1"/>
      <c r="P737" s="1"/>
      <c r="Q737" s="1"/>
      <c r="R737" s="1"/>
      <c r="S737" s="1"/>
      <c r="T737" s="1"/>
      <c r="U737" s="1"/>
      <c r="V737" s="1"/>
      <c r="W737" s="1"/>
      <c r="X737" s="1"/>
      <c r="Y737" s="1"/>
      <c r="Z737" s="1"/>
      <c r="AA737" s="1"/>
      <c r="AB737" s="1"/>
    </row>
    <row r="738" ht="50.25" customHeight="1">
      <c r="A738" s="12">
        <v>734.0</v>
      </c>
      <c r="B738" s="13" t="s">
        <v>476</v>
      </c>
      <c r="C738" s="14" t="s">
        <v>742</v>
      </c>
      <c r="D738" s="1"/>
      <c r="E738" s="15"/>
      <c r="F738" s="1" t="str">
        <f>IFERROR(__xludf.DUMMYFUNCTION("GOOGLETRANSLATE(B738, ""en"", ""fa"")
"),"ایجاد دوره")</f>
        <v>ایجاد دوره</v>
      </c>
      <c r="G738" s="1" t="str">
        <f>IFERROR(__xludf.DUMMYFUNCTION("GOOGLETRANSLATE(C738, ""en"", ""fa"")
"),"مزایای ترکیب فعالیت های خود انعکاسی را که فراگیران را تشویق می کند تا نقاط قوت، ضعف و ترجیحات یادگیری خود را ارزیابی کنند، بررسی کنید.")</f>
        <v>مزایای ترکیب فعالیت های خود انعکاسی را که فراگیران را تشویق می کند تا نقاط قوت، ضعف و ترجیحات یادگیری خود را ارزیابی کنند، بررسی کنید.</v>
      </c>
      <c r="H738" s="1"/>
      <c r="I738" s="1"/>
      <c r="J738" s="1"/>
      <c r="K738" s="1"/>
      <c r="L738" s="1"/>
      <c r="M738" s="1"/>
      <c r="N738" s="1"/>
      <c r="O738" s="1"/>
      <c r="P738" s="1"/>
      <c r="Q738" s="1"/>
      <c r="R738" s="1"/>
      <c r="S738" s="1"/>
      <c r="T738" s="1"/>
      <c r="U738" s="1"/>
      <c r="V738" s="1"/>
      <c r="W738" s="1"/>
      <c r="X738" s="1"/>
      <c r="Y738" s="1"/>
      <c r="Z738" s="1"/>
      <c r="AA738" s="1"/>
      <c r="AB738" s="1"/>
    </row>
    <row r="739" ht="50.25" customHeight="1">
      <c r="A739" s="12">
        <v>735.0</v>
      </c>
      <c r="B739" s="13" t="s">
        <v>476</v>
      </c>
      <c r="C739" s="14" t="s">
        <v>743</v>
      </c>
      <c r="D739" s="1"/>
      <c r="E739" s="15"/>
      <c r="F739" s="1" t="str">
        <f>IFERROR(__xludf.DUMMYFUNCTION("GOOGLETRANSLATE(B739, ""en"", ""fa"")
"),"ایجاد دوره")</f>
        <v>ایجاد دوره</v>
      </c>
      <c r="G739" s="1" t="str">
        <f>IFERROR(__xludf.DUMMYFUNCTION("GOOGLETRANSLATE(C739, ""en"", ""fa"")
"),"درباره تأثیر ترکیب پروژه‌ها یا تکالیف مرتبط با صنعت که به یادگیرندگان اجازه می‌دهد مهارت‌های خود را به کارفرمایان بالقوه نشان دهند، بحث کنید.")</f>
        <v>درباره تأثیر ترکیب پروژه‌ها یا تکالیف مرتبط با صنعت که به یادگیرندگان اجازه می‌دهد مهارت‌های خود را به کارفرمایان بالقوه نشان دهند، بحث کنید.</v>
      </c>
      <c r="H739" s="1"/>
      <c r="I739" s="1"/>
      <c r="J739" s="1"/>
      <c r="K739" s="1"/>
      <c r="L739" s="1"/>
      <c r="M739" s="1"/>
      <c r="N739" s="1"/>
      <c r="O739" s="1"/>
      <c r="P739" s="1"/>
      <c r="Q739" s="1"/>
      <c r="R739" s="1"/>
      <c r="S739" s="1"/>
      <c r="T739" s="1"/>
      <c r="U739" s="1"/>
      <c r="V739" s="1"/>
      <c r="W739" s="1"/>
      <c r="X739" s="1"/>
      <c r="Y739" s="1"/>
      <c r="Z739" s="1"/>
      <c r="AA739" s="1"/>
      <c r="AB739" s="1"/>
    </row>
    <row r="740" ht="50.25" customHeight="1">
      <c r="A740" s="12">
        <v>736.0</v>
      </c>
      <c r="B740" s="13" t="s">
        <v>476</v>
      </c>
      <c r="C740" s="14" t="s">
        <v>744</v>
      </c>
      <c r="D740" s="1"/>
      <c r="E740" s="15"/>
      <c r="F740" s="1" t="str">
        <f>IFERROR(__xludf.DUMMYFUNCTION("GOOGLETRANSLATE(B740, ""en"", ""fa"")
"),"ایجاد دوره")</f>
        <v>ایجاد دوره</v>
      </c>
      <c r="G740" s="1" t="str">
        <f>IFERROR(__xludf.DUMMYFUNCTION("GOOGLETRANSLATE(C740, ""en"", ""fa"")
"),"نکاتی را برای طراحی دوره های پاسخگو با موبایل به اشتراک بگذارید که زبان آموزان را قادر می سازد به محتوا در دستگاه های مختلف دسترسی داشته باشند.")</f>
        <v>نکاتی را برای طراحی دوره های پاسخگو با موبایل به اشتراک بگذارید که زبان آموزان را قادر می سازد به محتوا در دستگاه های مختلف دسترسی داشته باشند.</v>
      </c>
      <c r="H740" s="1"/>
      <c r="I740" s="1"/>
      <c r="J740" s="1"/>
      <c r="K740" s="1"/>
      <c r="L740" s="1"/>
      <c r="M740" s="1"/>
      <c r="N740" s="1"/>
      <c r="O740" s="1"/>
      <c r="P740" s="1"/>
      <c r="Q740" s="1"/>
      <c r="R740" s="1"/>
      <c r="S740" s="1"/>
      <c r="T740" s="1"/>
      <c r="U740" s="1"/>
      <c r="V740" s="1"/>
      <c r="W740" s="1"/>
      <c r="X740" s="1"/>
      <c r="Y740" s="1"/>
      <c r="Z740" s="1"/>
      <c r="AA740" s="1"/>
      <c r="AB740" s="1"/>
    </row>
    <row r="741" ht="50.25" customHeight="1">
      <c r="A741" s="12">
        <v>737.0</v>
      </c>
      <c r="B741" s="13" t="s">
        <v>476</v>
      </c>
      <c r="C741" s="14" t="s">
        <v>745</v>
      </c>
      <c r="D741" s="1"/>
      <c r="E741" s="15"/>
      <c r="F741" s="1" t="str">
        <f>IFERROR(__xludf.DUMMYFUNCTION("GOOGLETRANSLATE(B741, ""en"", ""fa"")
"),"ایجاد دوره")</f>
        <v>ایجاد دوره</v>
      </c>
      <c r="G741" s="1" t="str">
        <f>IFERROR(__xludf.DUMMYFUNCTION("GOOGLETRANSLATE(C741, ""en"", ""fa"")
"),"مفهوم گنجاندن ابزارهای ویرایش مشارکتی بلادرنگ یا طوفان فکری برای تسهیل کار گروهی و تولید ایده را بررسی کنید.")</f>
        <v>مفهوم گنجاندن ابزارهای ویرایش مشارکتی بلادرنگ یا طوفان فکری برای تسهیل کار گروهی و تولید ایده را بررسی کنید.</v>
      </c>
      <c r="H741" s="1"/>
      <c r="I741" s="1"/>
      <c r="J741" s="1"/>
      <c r="K741" s="1"/>
      <c r="L741" s="1"/>
      <c r="M741" s="1"/>
      <c r="N741" s="1"/>
      <c r="O741" s="1"/>
      <c r="P741" s="1"/>
      <c r="Q741" s="1"/>
      <c r="R741" s="1"/>
      <c r="S741" s="1"/>
      <c r="T741" s="1"/>
      <c r="U741" s="1"/>
      <c r="V741" s="1"/>
      <c r="W741" s="1"/>
      <c r="X741" s="1"/>
      <c r="Y741" s="1"/>
      <c r="Z741" s="1"/>
      <c r="AA741" s="1"/>
      <c r="AB741" s="1"/>
    </row>
    <row r="742" ht="50.25" customHeight="1">
      <c r="A742" s="12">
        <v>738.0</v>
      </c>
      <c r="B742" s="13" t="s">
        <v>476</v>
      </c>
      <c r="C742" s="14" t="s">
        <v>746</v>
      </c>
      <c r="D742" s="1"/>
      <c r="E742" s="15"/>
      <c r="F742" s="1" t="str">
        <f>IFERROR(__xludf.DUMMYFUNCTION("GOOGLETRANSLATE(B742, ""en"", ""fa"")
"),"ایجاد دوره")</f>
        <v>ایجاد دوره</v>
      </c>
      <c r="G742" s="1" t="str">
        <f>IFERROR(__xludf.DUMMYFUNCTION("GOOGLETRANSLATE(C742, ""en"", ""fa"")
"),"در مورد نقش ترکیب منابع آموزشی غنی از چند رسانه، مانند اینفوگرافیک ها یا کتاب های الکترونیکی تعاملی، برای افزایش تعامل یادگیرنده بحث کنید.")</f>
        <v>در مورد نقش ترکیب منابع آموزشی غنی از چند رسانه، مانند اینفوگرافیک ها یا کتاب های الکترونیکی تعاملی، برای افزایش تعامل یادگیرنده بحث کنید.</v>
      </c>
      <c r="H742" s="1"/>
      <c r="I742" s="1"/>
      <c r="J742" s="1"/>
      <c r="K742" s="1"/>
      <c r="L742" s="1"/>
      <c r="M742" s="1"/>
      <c r="N742" s="1"/>
      <c r="O742" s="1"/>
      <c r="P742" s="1"/>
      <c r="Q742" s="1"/>
      <c r="R742" s="1"/>
      <c r="S742" s="1"/>
      <c r="T742" s="1"/>
      <c r="U742" s="1"/>
      <c r="V742" s="1"/>
      <c r="W742" s="1"/>
      <c r="X742" s="1"/>
      <c r="Y742" s="1"/>
      <c r="Z742" s="1"/>
      <c r="AA742" s="1"/>
      <c r="AB742" s="1"/>
    </row>
    <row r="743" ht="50.25" customHeight="1">
      <c r="A743" s="12">
        <v>739.0</v>
      </c>
      <c r="B743" s="13" t="s">
        <v>476</v>
      </c>
      <c r="C743" s="14" t="s">
        <v>747</v>
      </c>
      <c r="D743" s="1"/>
      <c r="E743" s="15"/>
      <c r="F743" s="1" t="str">
        <f>IFERROR(__xludf.DUMMYFUNCTION("GOOGLETRANSLATE(B743, ""en"", ""fa"")
"),"ایجاد دوره")</f>
        <v>ایجاد دوره</v>
      </c>
      <c r="G743" s="1" t="str">
        <f>IFERROR(__xludf.DUMMYFUNCTION("GOOGLETRANSLATE(C743, ""en"", ""fa"")
"),"استراتژی‌هایی را برای ترکیب ابزارهای خودارزیابی یا ردیاب‌های پیشرفت به اشتراک بگذارید که به یادگیرندگان اجازه می‌دهد سفر یادگیری خود را نظارت کنند.")</f>
        <v>استراتژی‌هایی را برای ترکیب ابزارهای خودارزیابی یا ردیاب‌های پیشرفت به اشتراک بگذارید که به یادگیرندگان اجازه می‌دهد سفر یادگیری خود را نظارت کنند.</v>
      </c>
      <c r="H743" s="1"/>
      <c r="I743" s="1"/>
      <c r="J743" s="1"/>
      <c r="K743" s="1"/>
      <c r="L743" s="1"/>
      <c r="M743" s="1"/>
      <c r="N743" s="1"/>
      <c r="O743" s="1"/>
      <c r="P743" s="1"/>
      <c r="Q743" s="1"/>
      <c r="R743" s="1"/>
      <c r="S743" s="1"/>
      <c r="T743" s="1"/>
      <c r="U743" s="1"/>
      <c r="V743" s="1"/>
      <c r="W743" s="1"/>
      <c r="X743" s="1"/>
      <c r="Y743" s="1"/>
      <c r="Z743" s="1"/>
      <c r="AA743" s="1"/>
      <c r="AB743" s="1"/>
    </row>
    <row r="744" ht="50.25" customHeight="1">
      <c r="A744" s="12">
        <v>740.0</v>
      </c>
      <c r="B744" s="13" t="s">
        <v>476</v>
      </c>
      <c r="C744" s="14" t="s">
        <v>748</v>
      </c>
      <c r="D744" s="1"/>
      <c r="E744" s="15"/>
      <c r="F744" s="1" t="str">
        <f>IFERROR(__xludf.DUMMYFUNCTION("GOOGLETRANSLATE(B744, ""en"", ""fa"")
"),"ایجاد دوره")</f>
        <v>ایجاد دوره</v>
      </c>
      <c r="G744" s="1" t="str">
        <f>IFERROR(__xludf.DUMMYFUNCTION("GOOGLETRANSLATE(C744, ""en"", ""fa"")
"),"مزایای ترکیب مسیرهای یادگیری شخصی یا فن‌آوری‌های یادگیری تطبیقی ​​را برای تطبیق دادن تجربه دوره به زبان‌آموزان کاوش کنید.")</f>
        <v>مزایای ترکیب مسیرهای یادگیری شخصی یا فن‌آوری‌های یادگیری تطبیقی ​​را برای تطبیق دادن تجربه دوره به زبان‌آموزان کاوش کنید.</v>
      </c>
      <c r="H744" s="1"/>
      <c r="I744" s="1"/>
      <c r="J744" s="1"/>
      <c r="K744" s="1"/>
      <c r="L744" s="1"/>
      <c r="M744" s="1"/>
      <c r="N744" s="1"/>
      <c r="O744" s="1"/>
      <c r="P744" s="1"/>
      <c r="Q744" s="1"/>
      <c r="R744" s="1"/>
      <c r="S744" s="1"/>
      <c r="T744" s="1"/>
      <c r="U744" s="1"/>
      <c r="V744" s="1"/>
      <c r="W744" s="1"/>
      <c r="X744" s="1"/>
      <c r="Y744" s="1"/>
      <c r="Z744" s="1"/>
      <c r="AA744" s="1"/>
      <c r="AB744" s="1"/>
    </row>
    <row r="745" ht="50.25" customHeight="1">
      <c r="A745" s="12">
        <v>741.0</v>
      </c>
      <c r="B745" s="13" t="s">
        <v>476</v>
      </c>
      <c r="C745" s="14" t="s">
        <v>749</v>
      </c>
      <c r="D745" s="1"/>
      <c r="E745" s="15"/>
      <c r="F745" s="1" t="str">
        <f>IFERROR(__xludf.DUMMYFUNCTION("GOOGLETRANSLATE(B745, ""en"", ""fa"")
"),"ایجاد دوره")</f>
        <v>ایجاد دوره</v>
      </c>
      <c r="G745" s="1" t="str">
        <f>IFERROR(__xludf.DUMMYFUNCTION("GOOGLETRANSLATE(C745, ""en"", ""fa"")
"),"در مورد تأثیر ترکیب تابلوها یا انجمن‌های گفتگوی ناهمزمان که به زبان‌آموزان مناطق زمانی مختلف اجازه می‌دهد در گفتگوهای معنادار شرکت کنند، بحث کنید.")</f>
        <v>در مورد تأثیر ترکیب تابلوها یا انجمن‌های گفتگوی ناهمزمان که به زبان‌آموزان مناطق زمانی مختلف اجازه می‌دهد در گفتگوهای معنادار شرکت کنند، بحث کنید.</v>
      </c>
      <c r="H745" s="1"/>
      <c r="I745" s="1"/>
      <c r="J745" s="1"/>
      <c r="K745" s="1"/>
      <c r="L745" s="1"/>
      <c r="M745" s="1"/>
      <c r="N745" s="1"/>
      <c r="O745" s="1"/>
      <c r="P745" s="1"/>
      <c r="Q745" s="1"/>
      <c r="R745" s="1"/>
      <c r="S745" s="1"/>
      <c r="T745" s="1"/>
      <c r="U745" s="1"/>
      <c r="V745" s="1"/>
      <c r="W745" s="1"/>
      <c r="X745" s="1"/>
      <c r="Y745" s="1"/>
      <c r="Z745" s="1"/>
      <c r="AA745" s="1"/>
      <c r="AB745" s="1"/>
    </row>
    <row r="746" ht="50.25" customHeight="1">
      <c r="A746" s="12">
        <v>742.0</v>
      </c>
      <c r="B746" s="13" t="s">
        <v>476</v>
      </c>
      <c r="C746" s="14" t="s">
        <v>750</v>
      </c>
      <c r="D746" s="1"/>
      <c r="E746" s="15"/>
      <c r="F746" s="1" t="str">
        <f>IFERROR(__xludf.DUMMYFUNCTION("GOOGLETRANSLATE(B746, ""en"", ""fa"")
"),"ایجاد دوره")</f>
        <v>ایجاد دوره</v>
      </c>
      <c r="G746" s="1" t="str">
        <f>IFERROR(__xludf.DUMMYFUNCTION("GOOGLETRANSLATE(C746, ""en"", ""fa"")
"),"نکاتی را برای طراحی خلاصه‌های درس مؤثر یا مرور فعالیت‌هایی که مفاهیم کلیدی را تقویت می‌کنند و حفظ دانش را تسهیل می‌کنند، به اشتراک بگذارید.")</f>
        <v>نکاتی را برای طراحی خلاصه‌های درس مؤثر یا مرور فعالیت‌هایی که مفاهیم کلیدی را تقویت می‌کنند و حفظ دانش را تسهیل می‌کنند، به اشتراک بگذارید.</v>
      </c>
      <c r="H746" s="1"/>
      <c r="I746" s="1"/>
      <c r="J746" s="1"/>
      <c r="K746" s="1"/>
      <c r="L746" s="1"/>
      <c r="M746" s="1"/>
      <c r="N746" s="1"/>
      <c r="O746" s="1"/>
      <c r="P746" s="1"/>
      <c r="Q746" s="1"/>
      <c r="R746" s="1"/>
      <c r="S746" s="1"/>
      <c r="T746" s="1"/>
      <c r="U746" s="1"/>
      <c r="V746" s="1"/>
      <c r="W746" s="1"/>
      <c r="X746" s="1"/>
      <c r="Y746" s="1"/>
      <c r="Z746" s="1"/>
      <c r="AA746" s="1"/>
      <c r="AB746" s="1"/>
    </row>
    <row r="747" ht="50.25" customHeight="1">
      <c r="A747" s="12">
        <v>743.0</v>
      </c>
      <c r="B747" s="13" t="s">
        <v>476</v>
      </c>
      <c r="C747" s="14" t="s">
        <v>751</v>
      </c>
      <c r="D747" s="1"/>
      <c r="E747" s="15"/>
      <c r="F747" s="1" t="str">
        <f>IFERROR(__xludf.DUMMYFUNCTION("GOOGLETRANSLATE(B747, ""en"", ""fa"")
"),"ایجاد دوره")</f>
        <v>ایجاد دوره</v>
      </c>
      <c r="G747" s="1" t="str">
        <f>IFERROR(__xludf.DUMMYFUNCTION("GOOGLETRANSLATE(C747, ""en"", ""fa"")
"),"مفهوم گنجاندن گواهینامه ها یا نشان های صنعتی را به عنوان انگیزه اضافی برای فراگیران برای تکمیل دوره بررسی کنید.")</f>
        <v>مفهوم گنجاندن گواهینامه ها یا نشان های صنعتی را به عنوان انگیزه اضافی برای فراگیران برای تکمیل دوره بررسی کنید.</v>
      </c>
      <c r="H747" s="1"/>
      <c r="I747" s="1"/>
      <c r="J747" s="1"/>
      <c r="K747" s="1"/>
      <c r="L747" s="1"/>
      <c r="M747" s="1"/>
      <c r="N747" s="1"/>
      <c r="O747" s="1"/>
      <c r="P747" s="1"/>
      <c r="Q747" s="1"/>
      <c r="R747" s="1"/>
      <c r="S747" s="1"/>
      <c r="T747" s="1"/>
      <c r="U747" s="1"/>
      <c r="V747" s="1"/>
      <c r="W747" s="1"/>
      <c r="X747" s="1"/>
      <c r="Y747" s="1"/>
      <c r="Z747" s="1"/>
      <c r="AA747" s="1"/>
      <c r="AB747" s="1"/>
    </row>
    <row r="748" ht="50.25" customHeight="1">
      <c r="A748" s="12">
        <v>744.0</v>
      </c>
      <c r="B748" s="13" t="s">
        <v>476</v>
      </c>
      <c r="C748" s="14" t="s">
        <v>752</v>
      </c>
      <c r="D748" s="1"/>
      <c r="E748" s="15"/>
      <c r="F748" s="1" t="str">
        <f>IFERROR(__xludf.DUMMYFUNCTION("GOOGLETRANSLATE(B748, ""en"", ""fa"")
"),"ایجاد دوره")</f>
        <v>ایجاد دوره</v>
      </c>
      <c r="G748" s="1" t="str">
        <f>IFERROR(__xludf.DUMMYFUNCTION("GOOGLETRANSLATE(C748, ""en"", ""fa"")
"),"درباره اهمیت ایجاد یک لیست ایمیل و استراتژی های هدفمند برای تقسیم موثر مشترکین بر اساس علایق و ترجیحات آنها بحث کنید.")</f>
        <v>درباره اهمیت ایجاد یک لیست ایمیل و استراتژی های هدفمند برای تقسیم موثر مشترکین بر اساس علایق و ترجیحات آنها بحث کنید.</v>
      </c>
      <c r="H748" s="1"/>
      <c r="I748" s="1"/>
      <c r="J748" s="1"/>
      <c r="K748" s="1"/>
      <c r="L748" s="1"/>
      <c r="M748" s="1"/>
      <c r="N748" s="1"/>
      <c r="O748" s="1"/>
      <c r="P748" s="1"/>
      <c r="Q748" s="1"/>
      <c r="R748" s="1"/>
      <c r="S748" s="1"/>
      <c r="T748" s="1"/>
      <c r="U748" s="1"/>
      <c r="V748" s="1"/>
      <c r="W748" s="1"/>
      <c r="X748" s="1"/>
      <c r="Y748" s="1"/>
      <c r="Z748" s="1"/>
      <c r="AA748" s="1"/>
      <c r="AB748" s="1"/>
    </row>
    <row r="749" ht="50.25" customHeight="1">
      <c r="A749" s="12">
        <v>745.0</v>
      </c>
      <c r="B749" s="13" t="s">
        <v>753</v>
      </c>
      <c r="C749" s="14" t="s">
        <v>754</v>
      </c>
      <c r="D749" s="1"/>
      <c r="E749" s="15"/>
      <c r="F749" s="1" t="str">
        <f>IFERROR(__xludf.DUMMYFUNCTION("GOOGLETRANSLATE(B749, ""en"", ""fa"")
"),"بازاریابی ایمیلی")</f>
        <v>بازاریابی ایمیلی</v>
      </c>
      <c r="G749" s="1" t="str">
        <f>IFERROR(__xludf.DUMMYFUNCTION("GOOGLETRANSLATE(C749, ""en"", ""fa"")
"),"نکاتی را برای ایجاد خطوط موضوعی جذاب که توجه گیرندگان را به خود جلب کرده و نرخ باز را افزایش می دهد، به اشتراک بگذارید.")</f>
        <v>نکاتی را برای ایجاد خطوط موضوعی جذاب که توجه گیرندگان را به خود جلب کرده و نرخ باز را افزایش می دهد، به اشتراک بگذارید.</v>
      </c>
      <c r="H749" s="1"/>
      <c r="I749" s="1"/>
      <c r="J749" s="1"/>
      <c r="K749" s="1"/>
      <c r="L749" s="1"/>
      <c r="M749" s="1"/>
      <c r="N749" s="1"/>
      <c r="O749" s="1"/>
      <c r="P749" s="1"/>
      <c r="Q749" s="1"/>
      <c r="R749" s="1"/>
      <c r="S749" s="1"/>
      <c r="T749" s="1"/>
      <c r="U749" s="1"/>
      <c r="V749" s="1"/>
      <c r="W749" s="1"/>
      <c r="X749" s="1"/>
      <c r="Y749" s="1"/>
      <c r="Z749" s="1"/>
      <c r="AA749" s="1"/>
      <c r="AB749" s="1"/>
    </row>
    <row r="750" ht="50.25" customHeight="1">
      <c r="A750" s="12">
        <v>746.0</v>
      </c>
      <c r="B750" s="13" t="s">
        <v>753</v>
      </c>
      <c r="C750" s="14" t="s">
        <v>755</v>
      </c>
      <c r="D750" s="1"/>
      <c r="E750" s="15"/>
      <c r="F750" s="1" t="str">
        <f>IFERROR(__xludf.DUMMYFUNCTION("GOOGLETRANSLATE(B750, ""en"", ""fa"")
"),"بازاریابی ایمیلی")</f>
        <v>بازاریابی ایمیلی</v>
      </c>
      <c r="G750" s="1" t="str">
        <f>IFERROR(__xludf.DUMMYFUNCTION("GOOGLETRANSLATE(C750, ""en"", ""fa"")
"),"مفهوم ایجاد محتوای ایمیل شخصی‌سازی‌شده را که با تک تک مشترکین طنین‌انداز می‌شود و تعامل را افزایش می‌دهد، کاوش کنید.")</f>
        <v>مفهوم ایجاد محتوای ایمیل شخصی‌سازی‌شده را که با تک تک مشترکین طنین‌انداز می‌شود و تعامل را افزایش می‌دهد، کاوش کنید.</v>
      </c>
      <c r="H750" s="1"/>
      <c r="I750" s="1"/>
      <c r="J750" s="1"/>
      <c r="K750" s="1"/>
      <c r="L750" s="1"/>
      <c r="M750" s="1"/>
      <c r="N750" s="1"/>
      <c r="O750" s="1"/>
      <c r="P750" s="1"/>
      <c r="Q750" s="1"/>
      <c r="R750" s="1"/>
      <c r="S750" s="1"/>
      <c r="T750" s="1"/>
      <c r="U750" s="1"/>
      <c r="V750" s="1"/>
      <c r="W750" s="1"/>
      <c r="X750" s="1"/>
      <c r="Y750" s="1"/>
      <c r="Z750" s="1"/>
      <c r="AA750" s="1"/>
      <c r="AB750" s="1"/>
    </row>
    <row r="751" ht="50.25" customHeight="1">
      <c r="A751" s="12">
        <v>747.0</v>
      </c>
      <c r="B751" s="13" t="s">
        <v>753</v>
      </c>
      <c r="C751" s="14" t="s">
        <v>756</v>
      </c>
      <c r="D751" s="1"/>
      <c r="E751" s="15"/>
      <c r="F751" s="1" t="str">
        <f>IFERROR(__xludf.DUMMYFUNCTION("GOOGLETRANSLATE(B751, ""en"", ""fa"")
"),"بازاریابی ایمیلی")</f>
        <v>بازاریابی ایمیلی</v>
      </c>
      <c r="G751" s="1" t="str">
        <f>IFERROR(__xludf.DUMMYFUNCTION("GOOGLETRANSLATE(C751, ""en"", ""fa"")
"),"در مورد نقش استفاده از عناصر فراخوان برای اقدام متقاعد کننده (CTA) در کمپین های ایمیل برای افزایش تبدیل و دستیابی به نتایج دلخواه بحث کنید.")</f>
        <v>در مورد نقش استفاده از عناصر فراخوان برای اقدام متقاعد کننده (CTA) در کمپین های ایمیل برای افزایش تبدیل و دستیابی به نتایج دلخواه بحث کنید.</v>
      </c>
      <c r="H751" s="1"/>
      <c r="I751" s="1"/>
      <c r="J751" s="1"/>
      <c r="K751" s="1"/>
      <c r="L751" s="1"/>
      <c r="M751" s="1"/>
      <c r="N751" s="1"/>
      <c r="O751" s="1"/>
      <c r="P751" s="1"/>
      <c r="Q751" s="1"/>
      <c r="R751" s="1"/>
      <c r="S751" s="1"/>
      <c r="T751" s="1"/>
      <c r="U751" s="1"/>
      <c r="V751" s="1"/>
      <c r="W751" s="1"/>
      <c r="X751" s="1"/>
      <c r="Y751" s="1"/>
      <c r="Z751" s="1"/>
      <c r="AA751" s="1"/>
      <c r="AB751" s="1"/>
    </row>
    <row r="752" ht="50.25" customHeight="1">
      <c r="A752" s="12">
        <v>748.0</v>
      </c>
      <c r="B752" s="13" t="s">
        <v>753</v>
      </c>
      <c r="C752" s="14" t="s">
        <v>757</v>
      </c>
      <c r="D752" s="1"/>
      <c r="E752" s="15"/>
      <c r="F752" s="1" t="str">
        <f>IFERROR(__xludf.DUMMYFUNCTION("GOOGLETRANSLATE(B752, ""en"", ""fa"")
"),"بازاریابی ایمیلی")</f>
        <v>بازاریابی ایمیلی</v>
      </c>
      <c r="G752" s="1" t="str">
        <f>IFERROR(__xludf.DUMMYFUNCTION("GOOGLETRANSLATE(C752, ""en"", ""fa"")
"),"استراتژی‌هایی را برای طراحی قالب‌های ایمیل از نظر بصری جذاب و پاسخ‌گوی تلفن همراه به اشتراک بگذارید که خوانایی مطلوب را در بین دستگاه‌ها تضمین می‌کند.")</f>
        <v>استراتژی‌هایی را برای طراحی قالب‌های ایمیل از نظر بصری جذاب و پاسخ‌گوی تلفن همراه به اشتراک بگذارید که خوانایی مطلوب را در بین دستگاه‌ها تضمین می‌کند.</v>
      </c>
      <c r="H752" s="1"/>
      <c r="I752" s="1"/>
      <c r="J752" s="1"/>
      <c r="K752" s="1"/>
      <c r="L752" s="1"/>
      <c r="M752" s="1"/>
      <c r="N752" s="1"/>
      <c r="O752" s="1"/>
      <c r="P752" s="1"/>
      <c r="Q752" s="1"/>
      <c r="R752" s="1"/>
      <c r="S752" s="1"/>
      <c r="T752" s="1"/>
      <c r="U752" s="1"/>
      <c r="V752" s="1"/>
      <c r="W752" s="1"/>
      <c r="X752" s="1"/>
      <c r="Y752" s="1"/>
      <c r="Z752" s="1"/>
      <c r="AA752" s="1"/>
      <c r="AB752" s="1"/>
    </row>
    <row r="753" ht="50.25" customHeight="1">
      <c r="A753" s="12">
        <v>749.0</v>
      </c>
      <c r="B753" s="13" t="s">
        <v>753</v>
      </c>
      <c r="C753" s="14" t="s">
        <v>758</v>
      </c>
      <c r="D753" s="1"/>
      <c r="E753" s="15"/>
      <c r="F753" s="1" t="str">
        <f>IFERROR(__xludf.DUMMYFUNCTION("GOOGLETRANSLATE(B753, ""en"", ""fa"")
"),"بازاریابی ایمیلی")</f>
        <v>بازاریابی ایمیلی</v>
      </c>
      <c r="G753" s="1" t="str">
        <f>IFERROR(__xludf.DUMMYFUNCTION("GOOGLETRANSLATE(C753, ""en"", ""fa"")
"),"مزایای انجام تست A/B را بر روی عناصر مختلف کمپین های ایمیل، مانند خطوط موضوع، CTA یا تصاویر بصری، برای بهینه سازی عملکرد بررسی کنید.")</f>
        <v>مزایای انجام تست A/B را بر روی عناصر مختلف کمپین های ایمیل، مانند خطوط موضوع، CTA یا تصاویر بصری، برای بهینه سازی عملکرد بررسی کنید.</v>
      </c>
      <c r="H753" s="1"/>
      <c r="I753" s="1"/>
      <c r="J753" s="1"/>
      <c r="K753" s="1"/>
      <c r="L753" s="1"/>
      <c r="M753" s="1"/>
      <c r="N753" s="1"/>
      <c r="O753" s="1"/>
      <c r="P753" s="1"/>
      <c r="Q753" s="1"/>
      <c r="R753" s="1"/>
      <c r="S753" s="1"/>
      <c r="T753" s="1"/>
      <c r="U753" s="1"/>
      <c r="V753" s="1"/>
      <c r="W753" s="1"/>
      <c r="X753" s="1"/>
      <c r="Y753" s="1"/>
      <c r="Z753" s="1"/>
      <c r="AA753" s="1"/>
      <c r="AB753" s="1"/>
    </row>
    <row r="754" ht="50.25" customHeight="1">
      <c r="A754" s="12">
        <v>750.0</v>
      </c>
      <c r="B754" s="13" t="s">
        <v>753</v>
      </c>
      <c r="C754" s="14" t="s">
        <v>759</v>
      </c>
      <c r="D754" s="1"/>
      <c r="E754" s="15"/>
      <c r="F754" s="1" t="str">
        <f>IFERROR(__xludf.DUMMYFUNCTION("GOOGLETRANSLATE(B754, ""en"", ""fa"")
"),"بازاریابی ایمیلی")</f>
        <v>بازاریابی ایمیلی</v>
      </c>
      <c r="G754" s="1" t="str">
        <f>IFERROR(__xludf.DUMMYFUNCTION("GOOGLETRANSLATE(C754, ""en"", ""fa"")
"),"در مورد تأثیر ترکیب تکنیک‌های داستان‌گویی در نوشتن ایمیل برای ایجاد ارتباطات عاطفی با مشترکین و ایجاد کنش بحث کنید.")</f>
        <v>در مورد تأثیر ترکیب تکنیک‌های داستان‌گویی در نوشتن ایمیل برای ایجاد ارتباطات عاطفی با مشترکین و ایجاد کنش بحث کنید.</v>
      </c>
      <c r="H754" s="1"/>
      <c r="I754" s="1"/>
      <c r="J754" s="1"/>
      <c r="K754" s="1"/>
      <c r="L754" s="1"/>
      <c r="M754" s="1"/>
      <c r="N754" s="1"/>
      <c r="O754" s="1"/>
      <c r="P754" s="1"/>
      <c r="Q754" s="1"/>
      <c r="R754" s="1"/>
      <c r="S754" s="1"/>
      <c r="T754" s="1"/>
      <c r="U754" s="1"/>
      <c r="V754" s="1"/>
      <c r="W754" s="1"/>
      <c r="X754" s="1"/>
      <c r="Y754" s="1"/>
      <c r="Z754" s="1"/>
      <c r="AA754" s="1"/>
      <c r="AB754" s="1"/>
    </row>
    <row r="755" ht="50.25" customHeight="1">
      <c r="A755" s="12">
        <v>751.0</v>
      </c>
      <c r="B755" s="13" t="s">
        <v>753</v>
      </c>
      <c r="C755" s="14" t="s">
        <v>760</v>
      </c>
      <c r="D755" s="1"/>
      <c r="E755" s="15"/>
      <c r="F755" s="1" t="str">
        <f>IFERROR(__xludf.DUMMYFUNCTION("GOOGLETRANSLATE(B755, ""en"", ""fa"")
"),"بازاریابی ایمیلی")</f>
        <v>بازاریابی ایمیلی</v>
      </c>
      <c r="G755" s="1" t="str">
        <f>IFERROR(__xludf.DUMMYFUNCTION("GOOGLETRANSLATE(C755, ""en"", ""fa"")
"),"نکاتی را برای استفاده مؤثر از توالی ایمیل های خودکار و کمپین های قطره ای برای پرورش سرنخ ها و هدایت آنها در سفر مشتری به اشتراک بگذارید.")</f>
        <v>نکاتی را برای استفاده مؤثر از توالی ایمیل های خودکار و کمپین های قطره ای برای پرورش سرنخ ها و هدایت آنها در سفر مشتری به اشتراک بگذارید.</v>
      </c>
      <c r="H755" s="1"/>
      <c r="I755" s="1"/>
      <c r="J755" s="1"/>
      <c r="K755" s="1"/>
      <c r="L755" s="1"/>
      <c r="M755" s="1"/>
      <c r="N755" s="1"/>
      <c r="O755" s="1"/>
      <c r="P755" s="1"/>
      <c r="Q755" s="1"/>
      <c r="R755" s="1"/>
      <c r="S755" s="1"/>
      <c r="T755" s="1"/>
      <c r="U755" s="1"/>
      <c r="V755" s="1"/>
      <c r="W755" s="1"/>
      <c r="X755" s="1"/>
      <c r="Y755" s="1"/>
      <c r="Z755" s="1"/>
      <c r="AA755" s="1"/>
      <c r="AB755" s="1"/>
    </row>
    <row r="756" ht="50.25" customHeight="1">
      <c r="A756" s="12">
        <v>752.0</v>
      </c>
      <c r="B756" s="13" t="s">
        <v>753</v>
      </c>
      <c r="C756" s="14" t="s">
        <v>761</v>
      </c>
      <c r="D756" s="1"/>
      <c r="E756" s="15"/>
      <c r="F756" s="1" t="str">
        <f>IFERROR(__xludf.DUMMYFUNCTION("GOOGLETRANSLATE(B756, ""en"", ""fa"")
"),"بازاریابی ایمیلی")</f>
        <v>بازاریابی ایمیلی</v>
      </c>
      <c r="G756" s="1" t="str">
        <f>IFERROR(__xludf.DUMMYFUNCTION("GOOGLETRANSLATE(C756, ""en"", ""fa"")
"),"مفهوم استفاده از محتوای تولید شده توسط کاربر، مانند توصیفات یا نظرات، را در کمپین های ایمیل برای افزایش اعتبار و اعتماد بررسی کنید.")</f>
        <v>مفهوم استفاده از محتوای تولید شده توسط کاربر، مانند توصیفات یا نظرات، را در کمپین های ایمیل برای افزایش اعتبار و اعتماد بررسی کنید.</v>
      </c>
      <c r="H756" s="1"/>
      <c r="I756" s="1"/>
      <c r="J756" s="1"/>
      <c r="K756" s="1"/>
      <c r="L756" s="1"/>
      <c r="M756" s="1"/>
      <c r="N756" s="1"/>
      <c r="O756" s="1"/>
      <c r="P756" s="1"/>
      <c r="Q756" s="1"/>
      <c r="R756" s="1"/>
      <c r="S756" s="1"/>
      <c r="T756" s="1"/>
      <c r="U756" s="1"/>
      <c r="V756" s="1"/>
      <c r="W756" s="1"/>
      <c r="X756" s="1"/>
      <c r="Y756" s="1"/>
      <c r="Z756" s="1"/>
      <c r="AA756" s="1"/>
      <c r="AB756" s="1"/>
    </row>
    <row r="757" ht="50.25" customHeight="1">
      <c r="A757" s="12">
        <v>753.0</v>
      </c>
      <c r="B757" s="13" t="s">
        <v>753</v>
      </c>
      <c r="C757" s="14" t="s">
        <v>762</v>
      </c>
      <c r="D757" s="1"/>
      <c r="E757" s="15"/>
      <c r="F757" s="1" t="str">
        <f>IFERROR(__xludf.DUMMYFUNCTION("GOOGLETRANSLATE(B757, ""en"", ""fa"")
"),"بازاریابی ایمیلی")</f>
        <v>بازاریابی ایمیلی</v>
      </c>
      <c r="G757" s="1" t="str">
        <f>IFERROR(__xludf.DUMMYFUNCTION("GOOGLETRANSLATE(C757, ""en"", ""fa"")
"),"در مورد نقش ارائه محتوای ارزشمند و آموزشی در خبرنامه های ایمیل برای قرار دادن فرستنده به عنوان یک متخصص صنعت مورد اعتماد بحث کنید.")</f>
        <v>در مورد نقش ارائه محتوای ارزشمند و آموزشی در خبرنامه های ایمیل برای قرار دادن فرستنده به عنوان یک متخصص صنعت مورد اعتماد بحث کنید.</v>
      </c>
      <c r="H757" s="1"/>
      <c r="I757" s="1"/>
      <c r="J757" s="1"/>
      <c r="K757" s="1"/>
      <c r="L757" s="1"/>
      <c r="M757" s="1"/>
      <c r="N757" s="1"/>
      <c r="O757" s="1"/>
      <c r="P757" s="1"/>
      <c r="Q757" s="1"/>
      <c r="R757" s="1"/>
      <c r="S757" s="1"/>
      <c r="T757" s="1"/>
      <c r="U757" s="1"/>
      <c r="V757" s="1"/>
      <c r="W757" s="1"/>
      <c r="X757" s="1"/>
      <c r="Y757" s="1"/>
      <c r="Z757" s="1"/>
      <c r="AA757" s="1"/>
      <c r="AB757" s="1"/>
    </row>
    <row r="758" ht="50.25" customHeight="1">
      <c r="A758" s="12">
        <v>754.0</v>
      </c>
      <c r="B758" s="13" t="s">
        <v>753</v>
      </c>
      <c r="C758" s="14" t="s">
        <v>763</v>
      </c>
      <c r="D758" s="1"/>
      <c r="E758" s="15"/>
      <c r="F758" s="1" t="str">
        <f>IFERROR(__xludf.DUMMYFUNCTION("GOOGLETRANSLATE(B758, ""en"", ""fa"")
"),"بازاریابی ایمیلی")</f>
        <v>بازاریابی ایمیلی</v>
      </c>
      <c r="G758" s="1" t="str">
        <f>IFERROR(__xludf.DUMMYFUNCTION("GOOGLETRANSLATE(C758, ""en"", ""fa"")
"),"استراتژی‌های بهینه‌سازی تحویل ایمیل را با رعایت بهترین شیوه‌ها، مانند حفظ فهرست ایمیل تمیز و اجتناب از محرک‌های هرزنامه، به اشتراک بگذارید.")</f>
        <v>استراتژی‌های بهینه‌سازی تحویل ایمیل را با رعایت بهترین شیوه‌ها، مانند حفظ فهرست ایمیل تمیز و اجتناب از محرک‌های هرزنامه، به اشتراک بگذارید.</v>
      </c>
      <c r="H758" s="1"/>
      <c r="I758" s="1"/>
      <c r="J758" s="1"/>
      <c r="K758" s="1"/>
      <c r="L758" s="1"/>
      <c r="M758" s="1"/>
      <c r="N758" s="1"/>
      <c r="O758" s="1"/>
      <c r="P758" s="1"/>
      <c r="Q758" s="1"/>
      <c r="R758" s="1"/>
      <c r="S758" s="1"/>
      <c r="T758" s="1"/>
      <c r="U758" s="1"/>
      <c r="V758" s="1"/>
      <c r="W758" s="1"/>
      <c r="X758" s="1"/>
      <c r="Y758" s="1"/>
      <c r="Z758" s="1"/>
      <c r="AA758" s="1"/>
      <c r="AB758" s="1"/>
    </row>
    <row r="759" ht="50.25" customHeight="1">
      <c r="A759" s="12">
        <v>755.0</v>
      </c>
      <c r="B759" s="13" t="s">
        <v>753</v>
      </c>
      <c r="C759" s="14" t="s">
        <v>764</v>
      </c>
      <c r="D759" s="1"/>
      <c r="E759" s="15"/>
      <c r="F759" s="1" t="str">
        <f>IFERROR(__xludf.DUMMYFUNCTION("GOOGLETRANSLATE(B759, ""en"", ""fa"")
"),"بازاریابی ایمیلی")</f>
        <v>بازاریابی ایمیلی</v>
      </c>
      <c r="G759" s="1" t="str">
        <f>IFERROR(__xludf.DUMMYFUNCTION("GOOGLETRANSLATE(C759, ""en"", ""fa"")
"),"مزایای گنجاندن محتوای پویا در ایمیل‌هایی را که بر اساس ترجیحات مشترکین یا تعاملات گذشته تطبیق می‌یابد، بررسی کنید.")</f>
        <v>مزایای گنجاندن محتوای پویا در ایمیل‌هایی را که بر اساس ترجیحات مشترکین یا تعاملات گذشته تطبیق می‌یابد، بررسی کنید.</v>
      </c>
      <c r="H759" s="1"/>
      <c r="I759" s="1"/>
      <c r="J759" s="1"/>
      <c r="K759" s="1"/>
      <c r="L759" s="1"/>
      <c r="M759" s="1"/>
      <c r="N759" s="1"/>
      <c r="O759" s="1"/>
      <c r="P759" s="1"/>
      <c r="Q759" s="1"/>
      <c r="R759" s="1"/>
      <c r="S759" s="1"/>
      <c r="T759" s="1"/>
      <c r="U759" s="1"/>
      <c r="V759" s="1"/>
      <c r="W759" s="1"/>
      <c r="X759" s="1"/>
      <c r="Y759" s="1"/>
      <c r="Z759" s="1"/>
      <c r="AA759" s="1"/>
      <c r="AB759" s="1"/>
    </row>
    <row r="760" ht="50.25" customHeight="1">
      <c r="A760" s="12">
        <v>756.0</v>
      </c>
      <c r="B760" s="13" t="s">
        <v>753</v>
      </c>
      <c r="C760" s="14" t="s">
        <v>765</v>
      </c>
      <c r="D760" s="1"/>
      <c r="E760" s="15"/>
      <c r="F760" s="1" t="str">
        <f>IFERROR(__xludf.DUMMYFUNCTION("GOOGLETRANSLATE(B760, ""en"", ""fa"")
"),"بازاریابی ایمیلی")</f>
        <v>بازاریابی ایمیلی</v>
      </c>
      <c r="G760" s="1" t="str">
        <f>IFERROR(__xludf.DUMMYFUNCTION("GOOGLETRANSLATE(C760, ""en"", ""fa"")
"),"درباره تأثیر گنجاندن مدارک اجتماعی، مانند تعداد فالوورهای رسانه های اجتماعی یا داستان های موفقیت مشتری، در کمپین های ایمیل برای ایجاد اعتماد بحث کنید.")</f>
        <v>درباره تأثیر گنجاندن مدارک اجتماعی، مانند تعداد فالوورهای رسانه های اجتماعی یا داستان های موفقیت مشتری، در کمپین های ایمیل برای ایجاد اعتماد بحث کنید.</v>
      </c>
      <c r="H760" s="1"/>
      <c r="I760" s="1"/>
      <c r="J760" s="1"/>
      <c r="K760" s="1"/>
      <c r="L760" s="1"/>
      <c r="M760" s="1"/>
      <c r="N760" s="1"/>
      <c r="O760" s="1"/>
      <c r="P760" s="1"/>
      <c r="Q760" s="1"/>
      <c r="R760" s="1"/>
      <c r="S760" s="1"/>
      <c r="T760" s="1"/>
      <c r="U760" s="1"/>
      <c r="V760" s="1"/>
      <c r="W760" s="1"/>
      <c r="X760" s="1"/>
      <c r="Y760" s="1"/>
      <c r="Z760" s="1"/>
      <c r="AA760" s="1"/>
      <c r="AB760" s="1"/>
    </row>
    <row r="761" ht="50.25" customHeight="1">
      <c r="A761" s="12">
        <v>757.0</v>
      </c>
      <c r="B761" s="13" t="s">
        <v>753</v>
      </c>
      <c r="C761" s="14" t="s">
        <v>766</v>
      </c>
      <c r="D761" s="1"/>
      <c r="E761" s="15"/>
      <c r="F761" s="1" t="str">
        <f>IFERROR(__xludf.DUMMYFUNCTION("GOOGLETRANSLATE(B761, ""en"", ""fa"")
"),"بازاریابی ایمیلی")</f>
        <v>بازاریابی ایمیلی</v>
      </c>
      <c r="G761" s="1" t="str">
        <f>IFERROR(__xludf.DUMMYFUNCTION("GOOGLETRANSLATE(C761, ""en"", ""fa"")
"),"نکاتی را برای نوشتن یک کپی ایمیل مختصر و متقاعدکننده به اشتراک بگذارید که به طور موثر پیام کلیدی را منتقل می کند و گیرندگان را به اقدام وادار می کند.")</f>
        <v>نکاتی را برای نوشتن یک کپی ایمیل مختصر و متقاعدکننده به اشتراک بگذارید که به طور موثر پیام کلیدی را منتقل می کند و گیرندگان را به اقدام وادار می کند.</v>
      </c>
      <c r="H761" s="1"/>
      <c r="I761" s="1"/>
      <c r="J761" s="1"/>
      <c r="K761" s="1"/>
      <c r="L761" s="1"/>
      <c r="M761" s="1"/>
      <c r="N761" s="1"/>
      <c r="O761" s="1"/>
      <c r="P761" s="1"/>
      <c r="Q761" s="1"/>
      <c r="R761" s="1"/>
      <c r="S761" s="1"/>
      <c r="T761" s="1"/>
      <c r="U761" s="1"/>
      <c r="V761" s="1"/>
      <c r="W761" s="1"/>
      <c r="X761" s="1"/>
      <c r="Y761" s="1"/>
      <c r="Z761" s="1"/>
      <c r="AA761" s="1"/>
      <c r="AB761" s="1"/>
    </row>
    <row r="762" ht="50.25" customHeight="1">
      <c r="A762" s="12">
        <v>758.0</v>
      </c>
      <c r="B762" s="13" t="s">
        <v>753</v>
      </c>
      <c r="C762" s="14" t="s">
        <v>767</v>
      </c>
      <c r="D762" s="1"/>
      <c r="E762" s="15"/>
      <c r="F762" s="1" t="str">
        <f>IFERROR(__xludf.DUMMYFUNCTION("GOOGLETRANSLATE(B762, ""en"", ""fa"")
"),"بازاریابی ایمیلی")</f>
        <v>بازاریابی ایمیلی</v>
      </c>
      <c r="G762" s="1" t="str">
        <f>IFERROR(__xludf.DUMMYFUNCTION("GOOGLETRANSLATE(C762, ""en"", ""fa"")
"),"مفهوم استفاده از تکنیک‌های شخصی‌سازی ایمیل، مانند ادغام نام مشترکین یا ارجاع دادن به تعاملات قبلی را برای ایجاد تجربیات مناسب بررسی کنید.")</f>
        <v>مفهوم استفاده از تکنیک‌های شخصی‌سازی ایمیل، مانند ادغام نام مشترکین یا ارجاع دادن به تعاملات قبلی را برای ایجاد تجربیات مناسب بررسی کنید.</v>
      </c>
      <c r="H762" s="1"/>
      <c r="I762" s="1"/>
      <c r="J762" s="1"/>
      <c r="K762" s="1"/>
      <c r="L762" s="1"/>
      <c r="M762" s="1"/>
      <c r="N762" s="1"/>
      <c r="O762" s="1"/>
      <c r="P762" s="1"/>
      <c r="Q762" s="1"/>
      <c r="R762" s="1"/>
      <c r="S762" s="1"/>
      <c r="T762" s="1"/>
      <c r="U762" s="1"/>
      <c r="V762" s="1"/>
      <c r="W762" s="1"/>
      <c r="X762" s="1"/>
      <c r="Y762" s="1"/>
      <c r="Z762" s="1"/>
      <c r="AA762" s="1"/>
      <c r="AB762" s="1"/>
    </row>
    <row r="763" ht="50.25" customHeight="1">
      <c r="A763" s="12">
        <v>759.0</v>
      </c>
      <c r="B763" s="13" t="s">
        <v>753</v>
      </c>
      <c r="C763" s="14" t="s">
        <v>768</v>
      </c>
      <c r="D763" s="1"/>
      <c r="E763" s="15"/>
      <c r="F763" s="1" t="str">
        <f>IFERROR(__xludf.DUMMYFUNCTION("GOOGLETRANSLATE(B763, ""en"", ""fa"")
"),"بازاریابی ایمیلی")</f>
        <v>بازاریابی ایمیلی</v>
      </c>
      <c r="G763" s="1" t="str">
        <f>IFERROR(__xludf.DUMMYFUNCTION("GOOGLETRANSLATE(C763, ""en"", ""fa"")
"),"در مورد نقش ترکیب تصاویر متقاعد کننده، مانند تصاویر یا ویدیوهای با کیفیت بالا، برای جلب توجه مشترکین و افزایش تعامل بحث کنید.")</f>
        <v>در مورد نقش ترکیب تصاویر متقاعد کننده، مانند تصاویر یا ویدیوهای با کیفیت بالا، برای جلب توجه مشترکین و افزایش تعامل بحث کنید.</v>
      </c>
      <c r="H763" s="1"/>
      <c r="I763" s="1"/>
      <c r="J763" s="1"/>
      <c r="K763" s="1"/>
      <c r="L763" s="1"/>
      <c r="M763" s="1"/>
      <c r="N763" s="1"/>
      <c r="O763" s="1"/>
      <c r="P763" s="1"/>
      <c r="Q763" s="1"/>
      <c r="R763" s="1"/>
      <c r="S763" s="1"/>
      <c r="T763" s="1"/>
      <c r="U763" s="1"/>
      <c r="V763" s="1"/>
      <c r="W763" s="1"/>
      <c r="X763" s="1"/>
      <c r="Y763" s="1"/>
      <c r="Z763" s="1"/>
      <c r="AA763" s="1"/>
      <c r="AB763" s="1"/>
    </row>
    <row r="764" ht="50.25" customHeight="1">
      <c r="A764" s="12">
        <v>760.0</v>
      </c>
      <c r="B764" s="13" t="s">
        <v>753</v>
      </c>
      <c r="C764" s="14" t="s">
        <v>769</v>
      </c>
      <c r="D764" s="1"/>
      <c r="E764" s="15"/>
      <c r="F764" s="1" t="str">
        <f>IFERROR(__xludf.DUMMYFUNCTION("GOOGLETRANSLATE(B764, ""en"", ""fa"")
"),"بازاریابی ایمیلی")</f>
        <v>بازاریابی ایمیلی</v>
      </c>
      <c r="G764" s="1" t="str">
        <f>IFERROR(__xludf.DUMMYFUNCTION("GOOGLETRANSLATE(C764, ""en"", ""fa"")
"),"استراتژی‌هایی را برای بهینه‌سازی زمان و فرکانس ایمیل به اشتراک بگذارید تا مطمئن شوید پیام‌ها در مناسب‌ترین لحظات تحویل داده می‌شوند.")</f>
        <v>استراتژی‌هایی را برای بهینه‌سازی زمان و فرکانس ایمیل به اشتراک بگذارید تا مطمئن شوید پیام‌ها در مناسب‌ترین لحظات تحویل داده می‌شوند.</v>
      </c>
      <c r="H764" s="1"/>
      <c r="I764" s="1"/>
      <c r="J764" s="1"/>
      <c r="K764" s="1"/>
      <c r="L764" s="1"/>
      <c r="M764" s="1"/>
      <c r="N764" s="1"/>
      <c r="O764" s="1"/>
      <c r="P764" s="1"/>
      <c r="Q764" s="1"/>
      <c r="R764" s="1"/>
      <c r="S764" s="1"/>
      <c r="T764" s="1"/>
      <c r="U764" s="1"/>
      <c r="V764" s="1"/>
      <c r="W764" s="1"/>
      <c r="X764" s="1"/>
      <c r="Y764" s="1"/>
      <c r="Z764" s="1"/>
      <c r="AA764" s="1"/>
      <c r="AB764" s="1"/>
    </row>
    <row r="765" ht="50.25" customHeight="1">
      <c r="A765" s="12">
        <v>761.0</v>
      </c>
      <c r="B765" s="13" t="s">
        <v>753</v>
      </c>
      <c r="C765" s="14" t="s">
        <v>770</v>
      </c>
      <c r="D765" s="1"/>
      <c r="E765" s="15"/>
      <c r="F765" s="1" t="str">
        <f>IFERROR(__xludf.DUMMYFUNCTION("GOOGLETRANSLATE(B765, ""en"", ""fa"")
"),"بازاریابی ایمیلی")</f>
        <v>بازاریابی ایمیلی</v>
      </c>
      <c r="G765" s="1" t="str">
        <f>IFERROR(__xludf.DUMMYFUNCTION("GOOGLETRANSLATE(C765, ""en"", ""fa"")
"),"مزایای پیاده‌سازی استراتژی‌های رشد فهرست ایمیل، مانند آهن‌رباهای سرب یا محتوای دروازه‌دار را برای گسترش پایگاه مشترک بررسی کنید.")</f>
        <v>مزایای پیاده‌سازی استراتژی‌های رشد فهرست ایمیل، مانند آهن‌رباهای سرب یا محتوای دروازه‌دار را برای گسترش پایگاه مشترک بررسی کنید.</v>
      </c>
      <c r="H765" s="1"/>
      <c r="I765" s="1"/>
      <c r="J765" s="1"/>
      <c r="K765" s="1"/>
      <c r="L765" s="1"/>
      <c r="M765" s="1"/>
      <c r="N765" s="1"/>
      <c r="O765" s="1"/>
      <c r="P765" s="1"/>
      <c r="Q765" s="1"/>
      <c r="R765" s="1"/>
      <c r="S765" s="1"/>
      <c r="T765" s="1"/>
      <c r="U765" s="1"/>
      <c r="V765" s="1"/>
      <c r="W765" s="1"/>
      <c r="X765" s="1"/>
      <c r="Y765" s="1"/>
      <c r="Z765" s="1"/>
      <c r="AA765" s="1"/>
      <c r="AB765" s="1"/>
    </row>
    <row r="766" ht="50.25" customHeight="1">
      <c r="A766" s="12">
        <v>762.0</v>
      </c>
      <c r="B766" s="13" t="s">
        <v>753</v>
      </c>
      <c r="C766" s="14" t="s">
        <v>771</v>
      </c>
      <c r="D766" s="1"/>
      <c r="E766" s="15"/>
      <c r="F766" s="1" t="str">
        <f>IFERROR(__xludf.DUMMYFUNCTION("GOOGLETRANSLATE(B766, ""en"", ""fa"")
"),"بازاریابی ایمیلی")</f>
        <v>بازاریابی ایمیلی</v>
      </c>
      <c r="G766" s="1" t="str">
        <f>IFERROR(__xludf.DUMMYFUNCTION("GOOGLETRANSLATE(C766, ""en"", ""fa"")
"),"درباره تأثیر استفاده از ادغام رسانه های اجتماعی در کمپین های ایمیل برای تشویق اشتراک گذاری اجتماعی و گسترش دامنه پیام بحث کنید.")</f>
        <v>درباره تأثیر استفاده از ادغام رسانه های اجتماعی در کمپین های ایمیل برای تشویق اشتراک گذاری اجتماعی و گسترش دامنه پیام بحث کنید.</v>
      </c>
      <c r="H766" s="1"/>
      <c r="I766" s="1"/>
      <c r="J766" s="1"/>
      <c r="K766" s="1"/>
      <c r="L766" s="1"/>
      <c r="M766" s="1"/>
      <c r="N766" s="1"/>
      <c r="O766" s="1"/>
      <c r="P766" s="1"/>
      <c r="Q766" s="1"/>
      <c r="R766" s="1"/>
      <c r="S766" s="1"/>
      <c r="T766" s="1"/>
      <c r="U766" s="1"/>
      <c r="V766" s="1"/>
      <c r="W766" s="1"/>
      <c r="X766" s="1"/>
      <c r="Y766" s="1"/>
      <c r="Z766" s="1"/>
      <c r="AA766" s="1"/>
      <c r="AB766" s="1"/>
    </row>
    <row r="767" ht="50.25" customHeight="1">
      <c r="A767" s="12">
        <v>763.0</v>
      </c>
      <c r="B767" s="13" t="s">
        <v>753</v>
      </c>
      <c r="C767" s="14" t="s">
        <v>772</v>
      </c>
      <c r="D767" s="1"/>
      <c r="E767" s="15"/>
      <c r="F767" s="1" t="str">
        <f>IFERROR(__xludf.DUMMYFUNCTION("GOOGLETRANSLATE(B767, ""en"", ""fa"")
"),"بازاریابی ایمیلی")</f>
        <v>بازاریابی ایمیلی</v>
      </c>
      <c r="G767" s="1" t="str">
        <f>IFERROR(__xludf.DUMMYFUNCTION("GOOGLETRANSLATE(C767, ""en"", ""fa"")
"),"نکاتی را برای طراحی صفحات فرود ایمیل موثر که با محتوای ایمیل همخوانی دارند و تجربه کاربری یکپارچه ای را ارائه می دهند، به اشتراک بگذارید.")</f>
        <v>نکاتی را برای طراحی صفحات فرود ایمیل موثر که با محتوای ایمیل همخوانی دارند و تجربه کاربری یکپارچه ای را ارائه می دهند، به اشتراک بگذارید.</v>
      </c>
      <c r="H767" s="1"/>
      <c r="I767" s="1"/>
      <c r="J767" s="1"/>
      <c r="K767" s="1"/>
      <c r="L767" s="1"/>
      <c r="M767" s="1"/>
      <c r="N767" s="1"/>
      <c r="O767" s="1"/>
      <c r="P767" s="1"/>
      <c r="Q767" s="1"/>
      <c r="R767" s="1"/>
      <c r="S767" s="1"/>
      <c r="T767" s="1"/>
      <c r="U767" s="1"/>
      <c r="V767" s="1"/>
      <c r="W767" s="1"/>
      <c r="X767" s="1"/>
      <c r="Y767" s="1"/>
      <c r="Z767" s="1"/>
      <c r="AA767" s="1"/>
      <c r="AB767" s="1"/>
    </row>
    <row r="768" ht="50.25" customHeight="1">
      <c r="A768" s="12">
        <v>764.0</v>
      </c>
      <c r="B768" s="13" t="s">
        <v>753</v>
      </c>
      <c r="C768" s="14" t="s">
        <v>773</v>
      </c>
      <c r="D768" s="1"/>
      <c r="E768" s="15"/>
      <c r="F768" s="1" t="str">
        <f>IFERROR(__xludf.DUMMYFUNCTION("GOOGLETRANSLATE(B768, ""en"", ""fa"")
"),"بازاریابی ایمیلی")</f>
        <v>بازاریابی ایمیلی</v>
      </c>
      <c r="G768" s="1" t="str">
        <f>IFERROR(__xludf.DUMMYFUNCTION("GOOGLETRANSLATE(C768, ""en"", ""fa"")
"),"مفهوم استفاده از تقسیم‌بندی و شخصی‌سازی برای ارائه پیشنهادات ایمیلی و تبلیغات هدفمند بر اساس ترجیحات مشترکین را بررسی کنید.")</f>
        <v>مفهوم استفاده از تقسیم‌بندی و شخصی‌سازی برای ارائه پیشنهادات ایمیلی و تبلیغات هدفمند بر اساس ترجیحات مشترکین را بررسی کنید.</v>
      </c>
      <c r="H768" s="1"/>
      <c r="I768" s="1"/>
      <c r="J768" s="1"/>
      <c r="K768" s="1"/>
      <c r="L768" s="1"/>
      <c r="M768" s="1"/>
      <c r="N768" s="1"/>
      <c r="O768" s="1"/>
      <c r="P768" s="1"/>
      <c r="Q768" s="1"/>
      <c r="R768" s="1"/>
      <c r="S768" s="1"/>
      <c r="T768" s="1"/>
      <c r="U768" s="1"/>
      <c r="V768" s="1"/>
      <c r="W768" s="1"/>
      <c r="X768" s="1"/>
      <c r="Y768" s="1"/>
      <c r="Z768" s="1"/>
      <c r="AA768" s="1"/>
      <c r="AB768" s="1"/>
    </row>
    <row r="769" ht="50.25" customHeight="1">
      <c r="A769" s="12">
        <v>765.0</v>
      </c>
      <c r="B769" s="13" t="s">
        <v>753</v>
      </c>
      <c r="C769" s="14" t="s">
        <v>774</v>
      </c>
      <c r="D769" s="1"/>
      <c r="E769" s="15"/>
      <c r="F769" s="1" t="str">
        <f>IFERROR(__xludf.DUMMYFUNCTION("GOOGLETRANSLATE(B769, ""en"", ""fa"")
"),"بازاریابی ایمیلی")</f>
        <v>بازاریابی ایمیلی</v>
      </c>
      <c r="G769" s="1" t="str">
        <f>IFERROR(__xludf.DUMMYFUNCTION("GOOGLETRANSLATE(C769, ""en"", ""fa"")
"),"در مورد نقش نظارت و تجزیه و تحلیل معیارهای کمپین ایمیل، مانند نرخ باز، نرخ کلیک و تبدیل، برای اندازه گیری موفقیت و بهینه سازی داده محور بحث کنید.")</f>
        <v>در مورد نقش نظارت و تجزیه و تحلیل معیارهای کمپین ایمیل، مانند نرخ باز، نرخ کلیک و تبدیل، برای اندازه گیری موفقیت و بهینه سازی داده محور بحث کنید.</v>
      </c>
      <c r="H769" s="1"/>
      <c r="I769" s="1"/>
      <c r="J769" s="1"/>
      <c r="K769" s="1"/>
      <c r="L769" s="1"/>
      <c r="M769" s="1"/>
      <c r="N769" s="1"/>
      <c r="O769" s="1"/>
      <c r="P769" s="1"/>
      <c r="Q769" s="1"/>
      <c r="R769" s="1"/>
      <c r="S769" s="1"/>
      <c r="T769" s="1"/>
      <c r="U769" s="1"/>
      <c r="V769" s="1"/>
      <c r="W769" s="1"/>
      <c r="X769" s="1"/>
      <c r="Y769" s="1"/>
      <c r="Z769" s="1"/>
      <c r="AA769" s="1"/>
      <c r="AB769" s="1"/>
    </row>
    <row r="770" ht="50.25" customHeight="1">
      <c r="A770" s="12">
        <v>766.0</v>
      </c>
      <c r="B770" s="13" t="s">
        <v>753</v>
      </c>
      <c r="C770" s="14" t="s">
        <v>775</v>
      </c>
      <c r="D770" s="1"/>
      <c r="E770" s="15"/>
      <c r="F770" s="1" t="str">
        <f>IFERROR(__xludf.DUMMYFUNCTION("GOOGLETRANSLATE(B770, ""en"", ""fa"")
"),"بازاریابی ایمیلی")</f>
        <v>بازاریابی ایمیلی</v>
      </c>
      <c r="G770" s="1" t="str">
        <f>IFERROR(__xludf.DUMMYFUNCTION("GOOGLETRANSLATE(C770, ""en"", ""fa"")
"),"برای تشویق مشارکت مشترک، استراتژی‌های ایجاد محتوای ایمیل جذاب و تعاملی، مانند آزمون‌ها، نظرسنجی‌ها یا نظرسنجی‌ها را به اشتراک بگذارید.")</f>
        <v>برای تشویق مشارکت مشترک، استراتژی‌های ایجاد محتوای ایمیل جذاب و تعاملی، مانند آزمون‌ها، نظرسنجی‌ها یا نظرسنجی‌ها را به اشتراک بگذارید.</v>
      </c>
      <c r="H770" s="1"/>
      <c r="I770" s="1"/>
      <c r="J770" s="1"/>
      <c r="K770" s="1"/>
      <c r="L770" s="1"/>
      <c r="M770" s="1"/>
      <c r="N770" s="1"/>
      <c r="O770" s="1"/>
      <c r="P770" s="1"/>
      <c r="Q770" s="1"/>
      <c r="R770" s="1"/>
      <c r="S770" s="1"/>
      <c r="T770" s="1"/>
      <c r="U770" s="1"/>
      <c r="V770" s="1"/>
      <c r="W770" s="1"/>
      <c r="X770" s="1"/>
      <c r="Y770" s="1"/>
      <c r="Z770" s="1"/>
      <c r="AA770" s="1"/>
      <c r="AB770" s="1"/>
    </row>
    <row r="771" ht="50.25" customHeight="1">
      <c r="A771" s="12">
        <v>767.0</v>
      </c>
      <c r="B771" s="13" t="s">
        <v>753</v>
      </c>
      <c r="C771" s="14" t="s">
        <v>776</v>
      </c>
      <c r="D771" s="1"/>
      <c r="E771" s="15"/>
      <c r="F771" s="1" t="str">
        <f>IFERROR(__xludf.DUMMYFUNCTION("GOOGLETRANSLATE(B771, ""en"", ""fa"")
"),"بازاریابی ایمیلی")</f>
        <v>بازاریابی ایمیلی</v>
      </c>
      <c r="G771" s="1" t="str">
        <f>IFERROR(__xludf.DUMMYFUNCTION("GOOGLETRANSLATE(C771, ""en"", ""fa"")
"),"مزایای استفاده از ابزارها یا نرم افزارهای اتوماسیون ایمیل برای ساده کردن گردش کار و صرفه جویی در زمان در مدیریت کمپین را بررسی کنید.")</f>
        <v>مزایای استفاده از ابزارها یا نرم افزارهای اتوماسیون ایمیل برای ساده کردن گردش کار و صرفه جویی در زمان در مدیریت کمپین را بررسی کنید.</v>
      </c>
      <c r="H771" s="1"/>
      <c r="I771" s="1"/>
      <c r="J771" s="1"/>
      <c r="K771" s="1"/>
      <c r="L771" s="1"/>
      <c r="M771" s="1"/>
      <c r="N771" s="1"/>
      <c r="O771" s="1"/>
      <c r="P771" s="1"/>
      <c r="Q771" s="1"/>
      <c r="R771" s="1"/>
      <c r="S771" s="1"/>
      <c r="T771" s="1"/>
      <c r="U771" s="1"/>
      <c r="V771" s="1"/>
      <c r="W771" s="1"/>
      <c r="X771" s="1"/>
      <c r="Y771" s="1"/>
      <c r="Z771" s="1"/>
      <c r="AA771" s="1"/>
      <c r="AB771" s="1"/>
    </row>
    <row r="772" ht="50.25" customHeight="1">
      <c r="A772" s="12">
        <v>768.0</v>
      </c>
      <c r="B772" s="13" t="s">
        <v>753</v>
      </c>
      <c r="C772" s="14" t="s">
        <v>777</v>
      </c>
      <c r="D772" s="1"/>
      <c r="E772" s="15"/>
      <c r="F772" s="1" t="str">
        <f>IFERROR(__xludf.DUMMYFUNCTION("GOOGLETRANSLATE(B772, ""en"", ""fa"")
"),"بازاریابی ایمیلی")</f>
        <v>بازاریابی ایمیلی</v>
      </c>
      <c r="G772" s="1" t="str">
        <f>IFERROR(__xludf.DUMMYFUNCTION("GOOGLETRANSLATE(C772, ""en"", ""fa"")
"),"درباره تأثیر بهینه‌سازی طرح‌های ایمیل برای دسترسی، از جمله ملاحظات مربوط به صفحه‌خوان‌ها و کنتراست رنگ، بحث کنید.")</f>
        <v>درباره تأثیر بهینه‌سازی طرح‌های ایمیل برای دسترسی، از جمله ملاحظات مربوط به صفحه‌خوان‌ها و کنتراست رنگ، بحث کنید.</v>
      </c>
      <c r="H772" s="1"/>
      <c r="I772" s="1"/>
      <c r="J772" s="1"/>
      <c r="K772" s="1"/>
      <c r="L772" s="1"/>
      <c r="M772" s="1"/>
      <c r="N772" s="1"/>
      <c r="O772" s="1"/>
      <c r="P772" s="1"/>
      <c r="Q772" s="1"/>
      <c r="R772" s="1"/>
      <c r="S772" s="1"/>
      <c r="T772" s="1"/>
      <c r="U772" s="1"/>
      <c r="V772" s="1"/>
      <c r="W772" s="1"/>
      <c r="X772" s="1"/>
      <c r="Y772" s="1"/>
      <c r="Z772" s="1"/>
      <c r="AA772" s="1"/>
      <c r="AB772" s="1"/>
    </row>
    <row r="773" ht="50.25" customHeight="1">
      <c r="A773" s="12">
        <v>769.0</v>
      </c>
      <c r="B773" s="13" t="s">
        <v>753</v>
      </c>
      <c r="C773" s="14" t="s">
        <v>778</v>
      </c>
      <c r="D773" s="1"/>
      <c r="E773" s="15"/>
      <c r="F773" s="1" t="str">
        <f>IFERROR(__xludf.DUMMYFUNCTION("GOOGLETRANSLATE(B773, ""en"", ""fa"")
"),"بازاریابی ایمیلی")</f>
        <v>بازاریابی ایمیلی</v>
      </c>
      <c r="G773" s="1" t="str">
        <f>IFERROR(__xludf.DUMMYFUNCTION("GOOGLETRANSLATE(C773, ""en"", ""fa"")
"),"نکاتی را برای ایجاد خطوط موضوع ایمیل موثر به اشتراک بگذارید که کنجکاوی را برانگیزد و گیرندگان را ترغیب به باز کردن ایمیل کنند.")</f>
        <v>نکاتی را برای ایجاد خطوط موضوع ایمیل موثر به اشتراک بگذارید که کنجکاوی را برانگیزد و گیرندگان را ترغیب به باز کردن ایمیل کنند.</v>
      </c>
      <c r="H773" s="1"/>
      <c r="I773" s="1"/>
      <c r="J773" s="1"/>
      <c r="K773" s="1"/>
      <c r="L773" s="1"/>
      <c r="M773" s="1"/>
      <c r="N773" s="1"/>
      <c r="O773" s="1"/>
      <c r="P773" s="1"/>
      <c r="Q773" s="1"/>
      <c r="R773" s="1"/>
      <c r="S773" s="1"/>
      <c r="T773" s="1"/>
      <c r="U773" s="1"/>
      <c r="V773" s="1"/>
      <c r="W773" s="1"/>
      <c r="X773" s="1"/>
      <c r="Y773" s="1"/>
      <c r="Z773" s="1"/>
      <c r="AA773" s="1"/>
      <c r="AB773" s="1"/>
    </row>
    <row r="774" ht="50.25" customHeight="1">
      <c r="A774" s="12">
        <v>770.0</v>
      </c>
      <c r="B774" s="13" t="s">
        <v>753</v>
      </c>
      <c r="C774" s="14" t="s">
        <v>779</v>
      </c>
      <c r="D774" s="1"/>
      <c r="E774" s="15"/>
      <c r="F774" s="1" t="str">
        <f>IFERROR(__xludf.DUMMYFUNCTION("GOOGLETRANSLATE(B774, ""en"", ""fa"")
"),"بازاریابی ایمیلی")</f>
        <v>بازاریابی ایمیلی</v>
      </c>
      <c r="G774" s="1" t="str">
        <f>IFERROR(__xludf.DUMMYFUNCTION("GOOGLETRANSLATE(C774, ""en"", ""fa"")
"),"مفهوم استفاده از شخصی‌سازی ایمیل را فراتر از نام‌های مشترک، مانند استفاده از سابقه خرید یا رفتار مرور برای ارائه محتوای مرتبط، بررسی کنید.")</f>
        <v>مفهوم استفاده از شخصی‌سازی ایمیل را فراتر از نام‌های مشترک، مانند استفاده از سابقه خرید یا رفتار مرور برای ارائه محتوای مرتبط، بررسی کنید.</v>
      </c>
      <c r="H774" s="1"/>
      <c r="I774" s="1"/>
      <c r="J774" s="1"/>
      <c r="K774" s="1"/>
      <c r="L774" s="1"/>
      <c r="M774" s="1"/>
      <c r="N774" s="1"/>
      <c r="O774" s="1"/>
      <c r="P774" s="1"/>
      <c r="Q774" s="1"/>
      <c r="R774" s="1"/>
      <c r="S774" s="1"/>
      <c r="T774" s="1"/>
      <c r="U774" s="1"/>
      <c r="V774" s="1"/>
      <c r="W774" s="1"/>
      <c r="X774" s="1"/>
      <c r="Y774" s="1"/>
      <c r="Z774" s="1"/>
      <c r="AA774" s="1"/>
      <c r="AB774" s="1"/>
    </row>
    <row r="775" ht="50.25" customHeight="1">
      <c r="A775" s="12">
        <v>771.0</v>
      </c>
      <c r="B775" s="13" t="s">
        <v>753</v>
      </c>
      <c r="C775" s="14" t="s">
        <v>780</v>
      </c>
      <c r="D775" s="1"/>
      <c r="E775" s="15"/>
      <c r="F775" s="1" t="str">
        <f>IFERROR(__xludf.DUMMYFUNCTION("GOOGLETRANSLATE(B775, ""en"", ""fa"")
"),"بازاریابی ایمیلی")</f>
        <v>بازاریابی ایمیلی</v>
      </c>
      <c r="G775" s="1" t="str">
        <f>IFERROR(__xludf.DUMMYFUNCTION("GOOGLETRANSLATE(C775, ""en"", ""fa"")
"),"در مورد نقش ترکیب تبلیغات رسانه های اجتماعی یا هدف گذاری مجدد کمپین ها در ارتباط با بازاریابی ایمیلی برای افزایش دسترسی کلی و نرخ تبدیل بحث کنید.")</f>
        <v>در مورد نقش ترکیب تبلیغات رسانه های اجتماعی یا هدف گذاری مجدد کمپین ها در ارتباط با بازاریابی ایمیلی برای افزایش دسترسی کلی و نرخ تبدیل بحث کنید.</v>
      </c>
      <c r="H775" s="1"/>
      <c r="I775" s="1"/>
      <c r="J775" s="1"/>
      <c r="K775" s="1"/>
      <c r="L775" s="1"/>
      <c r="M775" s="1"/>
      <c r="N775" s="1"/>
      <c r="O775" s="1"/>
      <c r="P775" s="1"/>
      <c r="Q775" s="1"/>
      <c r="R775" s="1"/>
      <c r="S775" s="1"/>
      <c r="T775" s="1"/>
      <c r="U775" s="1"/>
      <c r="V775" s="1"/>
      <c r="W775" s="1"/>
      <c r="X775" s="1"/>
      <c r="Y775" s="1"/>
      <c r="Z775" s="1"/>
      <c r="AA775" s="1"/>
      <c r="AB775" s="1"/>
    </row>
    <row r="776" ht="50.25" customHeight="1">
      <c r="A776" s="12">
        <v>772.0</v>
      </c>
      <c r="B776" s="13" t="s">
        <v>753</v>
      </c>
      <c r="C776" s="14" t="s">
        <v>781</v>
      </c>
      <c r="D776" s="1"/>
      <c r="E776" s="15"/>
      <c r="F776" s="1" t="str">
        <f>IFERROR(__xludf.DUMMYFUNCTION("GOOGLETRANSLATE(B776, ""en"", ""fa"")
"),"بازاریابی ایمیلی")</f>
        <v>بازاریابی ایمیلی</v>
      </c>
      <c r="G776" s="1" t="str">
        <f>IFERROR(__xludf.DUMMYFUNCTION("GOOGLETRANSLATE(C776, ""en"", ""fa"")
"),"استراتژی‌هایی را برای انجام تقسیم‌بندی مشتری بر اساس عواملی مانند جمعیت‌شناسی، سابقه خرید یا سطوح تعامل به اشتراک بگذارید تا محتوای ایمیل را متناسب کنید.")</f>
        <v>استراتژی‌هایی را برای انجام تقسیم‌بندی مشتری بر اساس عواملی مانند جمعیت‌شناسی، سابقه خرید یا سطوح تعامل به اشتراک بگذارید تا محتوای ایمیل را متناسب کنید.</v>
      </c>
      <c r="H776" s="1"/>
      <c r="I776" s="1"/>
      <c r="J776" s="1"/>
      <c r="K776" s="1"/>
      <c r="L776" s="1"/>
      <c r="M776" s="1"/>
      <c r="N776" s="1"/>
      <c r="O776" s="1"/>
      <c r="P776" s="1"/>
      <c r="Q776" s="1"/>
      <c r="R776" s="1"/>
      <c r="S776" s="1"/>
      <c r="T776" s="1"/>
      <c r="U776" s="1"/>
      <c r="V776" s="1"/>
      <c r="W776" s="1"/>
      <c r="X776" s="1"/>
      <c r="Y776" s="1"/>
      <c r="Z776" s="1"/>
      <c r="AA776" s="1"/>
      <c r="AB776" s="1"/>
    </row>
    <row r="777" ht="50.25" customHeight="1">
      <c r="A777" s="12">
        <v>773.0</v>
      </c>
      <c r="B777" s="13" t="s">
        <v>753</v>
      </c>
      <c r="C777" s="14" t="s">
        <v>782</v>
      </c>
      <c r="D777" s="1"/>
      <c r="E777" s="15"/>
      <c r="F777" s="1" t="str">
        <f>IFERROR(__xludf.DUMMYFUNCTION("GOOGLETRANSLATE(B777, ""en"", ""fa"")
"),"بازاریابی ایمیلی")</f>
        <v>بازاریابی ایمیلی</v>
      </c>
      <c r="G777" s="1" t="str">
        <f>IFERROR(__xludf.DUMMYFUNCTION("GOOGLETRANSLATE(C777, ""en"", ""fa"")
"),"مزایای استفاده از تجزیه و تحلیل ایمیل برای ردیابی مشارکت مشترک، شناسایی روندها و بهینه سازی کمپین های ایمیل آینده را بررسی کنید.")</f>
        <v>مزایای استفاده از تجزیه و تحلیل ایمیل برای ردیابی مشارکت مشترک، شناسایی روندها و بهینه سازی کمپین های ایمیل آینده را بررسی کنید.</v>
      </c>
      <c r="H777" s="1"/>
      <c r="I777" s="1"/>
      <c r="J777" s="1"/>
      <c r="K777" s="1"/>
      <c r="L777" s="1"/>
      <c r="M777" s="1"/>
      <c r="N777" s="1"/>
      <c r="O777" s="1"/>
      <c r="P777" s="1"/>
      <c r="Q777" s="1"/>
      <c r="R777" s="1"/>
      <c r="S777" s="1"/>
      <c r="T777" s="1"/>
      <c r="U777" s="1"/>
      <c r="V777" s="1"/>
      <c r="W777" s="1"/>
      <c r="X777" s="1"/>
      <c r="Y777" s="1"/>
      <c r="Z777" s="1"/>
      <c r="AA777" s="1"/>
      <c r="AB777" s="1"/>
    </row>
    <row r="778" ht="50.25" customHeight="1">
      <c r="A778" s="12">
        <v>774.0</v>
      </c>
      <c r="B778" s="13" t="s">
        <v>753</v>
      </c>
      <c r="C778" s="14" t="s">
        <v>783</v>
      </c>
      <c r="D778" s="1"/>
      <c r="E778" s="15"/>
      <c r="F778" s="1" t="str">
        <f>IFERROR(__xludf.DUMMYFUNCTION("GOOGLETRANSLATE(B778, ""en"", ""fa"")
"),"بازاریابی ایمیلی")</f>
        <v>بازاریابی ایمیلی</v>
      </c>
      <c r="G778" s="1" t="str">
        <f>IFERROR(__xludf.DUMMYFUNCTION("GOOGLETRANSLATE(C778, ""en"", ""fa"")
"),"درباره تأثیر ترکیب تاکتیک‌های کمبود و فوریت در بازاریابی ایمیلی، مانند پیشنهادات با زمان محدود یا تایمرهای شمارش معکوس، برای افزایش نرخ تبدیل بحث کنید.")</f>
        <v>درباره تأثیر ترکیب تاکتیک‌های کمبود و فوریت در بازاریابی ایمیلی، مانند پیشنهادات با زمان محدود یا تایمرهای شمارش معکوس، برای افزایش نرخ تبدیل بحث کنید.</v>
      </c>
      <c r="H778" s="1"/>
      <c r="I778" s="1"/>
      <c r="J778" s="1"/>
      <c r="K778" s="1"/>
      <c r="L778" s="1"/>
      <c r="M778" s="1"/>
      <c r="N778" s="1"/>
      <c r="O778" s="1"/>
      <c r="P778" s="1"/>
      <c r="Q778" s="1"/>
      <c r="R778" s="1"/>
      <c r="S778" s="1"/>
      <c r="T778" s="1"/>
      <c r="U778" s="1"/>
      <c r="V778" s="1"/>
      <c r="W778" s="1"/>
      <c r="X778" s="1"/>
      <c r="Y778" s="1"/>
      <c r="Z778" s="1"/>
      <c r="AA778" s="1"/>
      <c r="AB778" s="1"/>
    </row>
    <row r="779" ht="50.25" customHeight="1">
      <c r="A779" s="12">
        <v>775.0</v>
      </c>
      <c r="B779" s="13" t="s">
        <v>753</v>
      </c>
      <c r="C779" s="14" t="s">
        <v>784</v>
      </c>
      <c r="D779" s="1"/>
      <c r="E779" s="15"/>
      <c r="F779" s="1" t="str">
        <f>IFERROR(__xludf.DUMMYFUNCTION("GOOGLETRANSLATE(B779, ""en"", ""fa"")
"),"بازاریابی ایمیلی")</f>
        <v>بازاریابی ایمیلی</v>
      </c>
      <c r="G779" s="1" t="str">
        <f>IFERROR(__xludf.DUMMYFUNCTION("GOOGLETRANSLATE(C779, ""en"", ""fa"")
"),"نکاتی را برای نوشتن مجموعه های خوش آمد گویی ایمیلی موثر به اشتراک بگذارید که مشترکین جدید را با نام تجاری آشنا می کند و از همان ابتدا رابطه را تقویت می کند.")</f>
        <v>نکاتی را برای نوشتن مجموعه های خوش آمد گویی ایمیلی موثر به اشتراک بگذارید که مشترکین جدید را با نام تجاری آشنا می کند و از همان ابتدا رابطه را تقویت می کند.</v>
      </c>
      <c r="H779" s="1"/>
      <c r="I779" s="1"/>
      <c r="J779" s="1"/>
      <c r="K779" s="1"/>
      <c r="L779" s="1"/>
      <c r="M779" s="1"/>
      <c r="N779" s="1"/>
      <c r="O779" s="1"/>
      <c r="P779" s="1"/>
      <c r="Q779" s="1"/>
      <c r="R779" s="1"/>
      <c r="S779" s="1"/>
      <c r="T779" s="1"/>
      <c r="U779" s="1"/>
      <c r="V779" s="1"/>
      <c r="W779" s="1"/>
      <c r="X779" s="1"/>
      <c r="Y779" s="1"/>
      <c r="Z779" s="1"/>
      <c r="AA779" s="1"/>
      <c r="AB779" s="1"/>
    </row>
    <row r="780" ht="50.25" customHeight="1">
      <c r="A780" s="12">
        <v>776.0</v>
      </c>
      <c r="B780" s="13" t="s">
        <v>753</v>
      </c>
      <c r="C780" s="14" t="s">
        <v>785</v>
      </c>
      <c r="D780" s="1"/>
      <c r="E780" s="15"/>
      <c r="F780" s="1" t="str">
        <f>IFERROR(__xludf.DUMMYFUNCTION("GOOGLETRANSLATE(B780, ""en"", ""fa"")
"),"بازاریابی ایمیلی")</f>
        <v>بازاریابی ایمیلی</v>
      </c>
      <c r="G780" s="1" t="str">
        <f>IFERROR(__xludf.DUMMYFUNCTION("GOOGLETRANSLATE(C780, ""en"", ""fa"")
"),"مفهوم استفاده از شخصی‌سازی ایمیل برای ارائه توصیه‌های محصول پویا بر اساس سابقه مرور یا خرید مشترکین را بررسی کنید.")</f>
        <v>مفهوم استفاده از شخصی‌سازی ایمیل برای ارائه توصیه‌های محصول پویا بر اساس سابقه مرور یا خرید مشترکین را بررسی کنید.</v>
      </c>
      <c r="H780" s="1"/>
      <c r="I780" s="1"/>
      <c r="J780" s="1"/>
      <c r="K780" s="1"/>
      <c r="L780" s="1"/>
      <c r="M780" s="1"/>
      <c r="N780" s="1"/>
      <c r="O780" s="1"/>
      <c r="P780" s="1"/>
      <c r="Q780" s="1"/>
      <c r="R780" s="1"/>
      <c r="S780" s="1"/>
      <c r="T780" s="1"/>
      <c r="U780" s="1"/>
      <c r="V780" s="1"/>
      <c r="W780" s="1"/>
      <c r="X780" s="1"/>
      <c r="Y780" s="1"/>
      <c r="Z780" s="1"/>
      <c r="AA780" s="1"/>
      <c r="AB780" s="1"/>
    </row>
    <row r="781" ht="50.25" customHeight="1">
      <c r="A781" s="12">
        <v>777.0</v>
      </c>
      <c r="B781" s="13" t="s">
        <v>753</v>
      </c>
      <c r="C781" s="14" t="s">
        <v>786</v>
      </c>
      <c r="D781" s="1"/>
      <c r="E781" s="15"/>
      <c r="F781" s="1" t="str">
        <f>IFERROR(__xludf.DUMMYFUNCTION("GOOGLETRANSLATE(B781, ""en"", ""fa"")
"),"بازاریابی ایمیلی")</f>
        <v>بازاریابی ایمیلی</v>
      </c>
      <c r="G781" s="1" t="str">
        <f>IFERROR(__xludf.DUMMYFUNCTION("GOOGLETRANSLATE(C781, ""en"", ""fa"")
"),"درباره نقش ایجاد متن پیش‌هدر قانع‌کننده که خط موضوع را تکمیل می‌کند و زمینه اضافی برای جذب باز کردن ایمیل‌ها فراهم می‌کند، بحث کنید.")</f>
        <v>درباره نقش ایجاد متن پیش‌هدر قانع‌کننده که خط موضوع را تکمیل می‌کند و زمینه اضافی برای جذب باز کردن ایمیل‌ها فراهم می‌کند، بحث کنید.</v>
      </c>
      <c r="H781" s="1"/>
      <c r="I781" s="1"/>
      <c r="J781" s="1"/>
      <c r="K781" s="1"/>
      <c r="L781" s="1"/>
      <c r="M781" s="1"/>
      <c r="N781" s="1"/>
      <c r="O781" s="1"/>
      <c r="P781" s="1"/>
      <c r="Q781" s="1"/>
      <c r="R781" s="1"/>
      <c r="S781" s="1"/>
      <c r="T781" s="1"/>
      <c r="U781" s="1"/>
      <c r="V781" s="1"/>
      <c r="W781" s="1"/>
      <c r="X781" s="1"/>
      <c r="Y781" s="1"/>
      <c r="Z781" s="1"/>
      <c r="AA781" s="1"/>
      <c r="AB781" s="1"/>
    </row>
    <row r="782" ht="50.25" customHeight="1">
      <c r="A782" s="12">
        <v>778.0</v>
      </c>
      <c r="B782" s="13" t="s">
        <v>753</v>
      </c>
      <c r="C782" s="14" t="s">
        <v>787</v>
      </c>
      <c r="D782" s="1"/>
      <c r="E782" s="15"/>
      <c r="F782" s="1" t="str">
        <f>IFERROR(__xludf.DUMMYFUNCTION("GOOGLETRANSLATE(B782, ""en"", ""fa"")
"),"بازاریابی ایمیلی")</f>
        <v>بازاریابی ایمیلی</v>
      </c>
      <c r="G782" s="1" t="str">
        <f>IFERROR(__xludf.DUMMYFUNCTION("GOOGLETRANSLATE(C782, ""en"", ""fa"")
"),"استراتژی‌هایی را برای بهینه‌سازی محتوای ایمیل برای دستگاه‌های تلفن همراه، از جمله طراحی واکنش‌گرا و قالب‌بندی مختصر برای نمایشگرهای کوچک‌تر، به اشتراک بگذارید.")</f>
        <v>استراتژی‌هایی را برای بهینه‌سازی محتوای ایمیل برای دستگاه‌های تلفن همراه، از جمله طراحی واکنش‌گرا و قالب‌بندی مختصر برای نمایشگرهای کوچک‌تر، به اشتراک بگذارید.</v>
      </c>
      <c r="H782" s="1"/>
      <c r="I782" s="1"/>
      <c r="J782" s="1"/>
      <c r="K782" s="1"/>
      <c r="L782" s="1"/>
      <c r="M782" s="1"/>
      <c r="N782" s="1"/>
      <c r="O782" s="1"/>
      <c r="P782" s="1"/>
      <c r="Q782" s="1"/>
      <c r="R782" s="1"/>
      <c r="S782" s="1"/>
      <c r="T782" s="1"/>
      <c r="U782" s="1"/>
      <c r="V782" s="1"/>
      <c r="W782" s="1"/>
      <c r="X782" s="1"/>
      <c r="Y782" s="1"/>
      <c r="Z782" s="1"/>
      <c r="AA782" s="1"/>
      <c r="AB782" s="1"/>
    </row>
    <row r="783" ht="50.25" customHeight="1">
      <c r="A783" s="12">
        <v>779.0</v>
      </c>
      <c r="B783" s="13" t="s">
        <v>753</v>
      </c>
      <c r="C783" s="14" t="s">
        <v>788</v>
      </c>
      <c r="D783" s="1"/>
      <c r="E783" s="15"/>
      <c r="F783" s="1" t="str">
        <f>IFERROR(__xludf.DUMMYFUNCTION("GOOGLETRANSLATE(B783, ""en"", ""fa"")
"),"بازاریابی ایمیلی")</f>
        <v>بازاریابی ایمیلی</v>
      </c>
      <c r="G783" s="1" t="str">
        <f>IFERROR(__xludf.DUMMYFUNCTION("GOOGLETRANSLATE(C783, ""en"", ""fa"")
"),"مزایای اجرای شیوه های بهداشتی فهرست ایمیل، مانند حذف منظم مشترکین غیرفعال یا مدیریت برگشت ایمیل ها را بررسی کنید.")</f>
        <v>مزایای اجرای شیوه های بهداشتی فهرست ایمیل، مانند حذف منظم مشترکین غیرفعال یا مدیریت برگشت ایمیل ها را بررسی کنید.</v>
      </c>
      <c r="H783" s="1"/>
      <c r="I783" s="1"/>
      <c r="J783" s="1"/>
      <c r="K783" s="1"/>
      <c r="L783" s="1"/>
      <c r="M783" s="1"/>
      <c r="N783" s="1"/>
      <c r="O783" s="1"/>
      <c r="P783" s="1"/>
      <c r="Q783" s="1"/>
      <c r="R783" s="1"/>
      <c r="S783" s="1"/>
      <c r="T783" s="1"/>
      <c r="U783" s="1"/>
      <c r="V783" s="1"/>
      <c r="W783" s="1"/>
      <c r="X783" s="1"/>
      <c r="Y783" s="1"/>
      <c r="Z783" s="1"/>
      <c r="AA783" s="1"/>
      <c r="AB783" s="1"/>
    </row>
    <row r="784" ht="50.25" customHeight="1">
      <c r="A784" s="12">
        <v>780.0</v>
      </c>
      <c r="B784" s="13" t="s">
        <v>753</v>
      </c>
      <c r="C784" s="14" t="s">
        <v>789</v>
      </c>
      <c r="D784" s="1"/>
      <c r="E784" s="15"/>
      <c r="F784" s="1" t="str">
        <f>IFERROR(__xludf.DUMMYFUNCTION("GOOGLETRANSLATE(B784, ""en"", ""fa"")
"),"بازاریابی ایمیلی")</f>
        <v>بازاریابی ایمیلی</v>
      </c>
      <c r="G784" s="1" t="str">
        <f>IFERROR(__xludf.DUMMYFUNCTION("GOOGLETRANSLATE(C784, ""en"", ""fa"")
"),"درباره تأثیر گنجاندن دکمه‌های اشتراک‌گذاری اجتماعی یا انگیزه‌های «ارجاع به یک دوست» در ایمیل‌ها برای تشویق مشترکان به انتشار این خبر بحث کنید.")</f>
        <v>درباره تأثیر گنجاندن دکمه‌های اشتراک‌گذاری اجتماعی یا انگیزه‌های «ارجاع به یک دوست» در ایمیل‌ها برای تشویق مشترکان به انتشار این خبر بحث کنید.</v>
      </c>
      <c r="H784" s="1"/>
      <c r="I784" s="1"/>
      <c r="J784" s="1"/>
      <c r="K784" s="1"/>
      <c r="L784" s="1"/>
      <c r="M784" s="1"/>
      <c r="N784" s="1"/>
      <c r="O784" s="1"/>
      <c r="P784" s="1"/>
      <c r="Q784" s="1"/>
      <c r="R784" s="1"/>
      <c r="S784" s="1"/>
      <c r="T784" s="1"/>
      <c r="U784" s="1"/>
      <c r="V784" s="1"/>
      <c r="W784" s="1"/>
      <c r="X784" s="1"/>
      <c r="Y784" s="1"/>
      <c r="Z784" s="1"/>
      <c r="AA784" s="1"/>
      <c r="AB784" s="1"/>
    </row>
    <row r="785" ht="50.25" customHeight="1">
      <c r="A785" s="12">
        <v>781.0</v>
      </c>
      <c r="B785" s="13" t="s">
        <v>753</v>
      </c>
      <c r="C785" s="14" t="s">
        <v>790</v>
      </c>
      <c r="D785" s="1"/>
      <c r="E785" s="15"/>
      <c r="F785" s="1" t="str">
        <f>IFERROR(__xludf.DUMMYFUNCTION("GOOGLETRANSLATE(B785, ""en"", ""fa"")
"),"بازاریابی ایمیلی")</f>
        <v>بازاریابی ایمیلی</v>
      </c>
      <c r="G785" s="1" t="str">
        <f>IFERROR(__xludf.DUMMYFUNCTION("GOOGLETRANSLATE(C785, ""en"", ""fa"")
"),"نکاتی را برای استفاده از اتوماسیون بازاریابی ایمیلی برای پرورش سرنخ ها از طریق جریان های کاری هدفمند بر اساس اقدامات یا محرک های خاص به اشتراک بگذارید.")</f>
        <v>نکاتی را برای استفاده از اتوماسیون بازاریابی ایمیلی برای پرورش سرنخ ها از طریق جریان های کاری هدفمند بر اساس اقدامات یا محرک های خاص به اشتراک بگذارید.</v>
      </c>
      <c r="H785" s="1"/>
      <c r="I785" s="1"/>
      <c r="J785" s="1"/>
      <c r="K785" s="1"/>
      <c r="L785" s="1"/>
      <c r="M785" s="1"/>
      <c r="N785" s="1"/>
      <c r="O785" s="1"/>
      <c r="P785" s="1"/>
      <c r="Q785" s="1"/>
      <c r="R785" s="1"/>
      <c r="S785" s="1"/>
      <c r="T785" s="1"/>
      <c r="U785" s="1"/>
      <c r="V785" s="1"/>
      <c r="W785" s="1"/>
      <c r="X785" s="1"/>
      <c r="Y785" s="1"/>
      <c r="Z785" s="1"/>
      <c r="AA785" s="1"/>
      <c r="AB785" s="1"/>
    </row>
    <row r="786" ht="50.25" customHeight="1">
      <c r="A786" s="12">
        <v>782.0</v>
      </c>
      <c r="B786" s="13" t="s">
        <v>753</v>
      </c>
      <c r="C786" s="14" t="s">
        <v>791</v>
      </c>
      <c r="D786" s="1"/>
      <c r="E786" s="15"/>
      <c r="F786" s="1" t="str">
        <f>IFERROR(__xludf.DUMMYFUNCTION("GOOGLETRANSLATE(B786, ""en"", ""fa"")
"),"بازاریابی ایمیلی")</f>
        <v>بازاریابی ایمیلی</v>
      </c>
      <c r="G786" s="1" t="str">
        <f>IFERROR(__xludf.DUMMYFUNCTION("GOOGLETRANSLATE(C786, ""en"", ""fa"")
"),"مفهوم استفاده از توصیه‌های ایمیل شخصی‌سازی‌شده بر اساس خریدهای قبلی مشترکین یا رفتار مرور را برای افزایش فروش تکراری بررسی کنید.")</f>
        <v>مفهوم استفاده از توصیه‌های ایمیل شخصی‌سازی‌شده بر اساس خریدهای قبلی مشترکین یا رفتار مرور را برای افزایش فروش تکراری بررسی کنید.</v>
      </c>
      <c r="H786" s="1"/>
      <c r="I786" s="1"/>
      <c r="J786" s="1"/>
      <c r="K786" s="1"/>
      <c r="L786" s="1"/>
      <c r="M786" s="1"/>
      <c r="N786" s="1"/>
      <c r="O786" s="1"/>
      <c r="P786" s="1"/>
      <c r="Q786" s="1"/>
      <c r="R786" s="1"/>
      <c r="S786" s="1"/>
      <c r="T786" s="1"/>
      <c r="U786" s="1"/>
      <c r="V786" s="1"/>
      <c r="W786" s="1"/>
      <c r="X786" s="1"/>
      <c r="Y786" s="1"/>
      <c r="Z786" s="1"/>
      <c r="AA786" s="1"/>
      <c r="AB786" s="1"/>
    </row>
    <row r="787" ht="50.25" customHeight="1">
      <c r="A787" s="12">
        <v>783.0</v>
      </c>
      <c r="B787" s="13" t="s">
        <v>753</v>
      </c>
      <c r="C787" s="14" t="s">
        <v>792</v>
      </c>
      <c r="D787" s="1"/>
      <c r="E787" s="15"/>
      <c r="F787" s="1" t="str">
        <f>IFERROR(__xludf.DUMMYFUNCTION("GOOGLETRANSLATE(B787, ""en"", ""fa"")
"),"بازاریابی ایمیلی")</f>
        <v>بازاریابی ایمیلی</v>
      </c>
      <c r="G787" s="1" t="str">
        <f>IFERROR(__xludf.DUMMYFUNCTION("GOOGLETRANSLATE(C787, ""en"", ""fa"")
"),"درباره نقش ایجاد خطوط موضوع ایمیل قانع کننده که احساس فوریت یا انحصار را برای تشویق اقدام فوری ایجاد می کند، بحث کنید.")</f>
        <v>درباره نقش ایجاد خطوط موضوع ایمیل قانع کننده که احساس فوریت یا انحصار را برای تشویق اقدام فوری ایجاد می کند، بحث کنید.</v>
      </c>
      <c r="H787" s="1"/>
      <c r="I787" s="1"/>
      <c r="J787" s="1"/>
      <c r="K787" s="1"/>
      <c r="L787" s="1"/>
      <c r="M787" s="1"/>
      <c r="N787" s="1"/>
      <c r="O787" s="1"/>
      <c r="P787" s="1"/>
      <c r="Q787" s="1"/>
      <c r="R787" s="1"/>
      <c r="S787" s="1"/>
      <c r="T787" s="1"/>
      <c r="U787" s="1"/>
      <c r="V787" s="1"/>
      <c r="W787" s="1"/>
      <c r="X787" s="1"/>
      <c r="Y787" s="1"/>
      <c r="Z787" s="1"/>
      <c r="AA787" s="1"/>
      <c r="AB787" s="1"/>
    </row>
    <row r="788" ht="50.25" customHeight="1">
      <c r="A788" s="12">
        <v>784.0</v>
      </c>
      <c r="B788" s="13" t="s">
        <v>753</v>
      </c>
      <c r="C788" s="14" t="s">
        <v>793</v>
      </c>
      <c r="D788" s="1"/>
      <c r="E788" s="15"/>
      <c r="F788" s="1" t="str">
        <f>IFERROR(__xludf.DUMMYFUNCTION("GOOGLETRANSLATE(B788, ""en"", ""fa"")
"),"بازاریابی ایمیلی")</f>
        <v>بازاریابی ایمیلی</v>
      </c>
      <c r="G788" s="1" t="str">
        <f>IFERROR(__xludf.DUMMYFUNCTION("GOOGLETRANSLATE(C788, ""en"", ""fa"")
"),"برای بهینه‌سازی عملکرد، استراتژی‌های انجام تست A/B را روی عناصر مختلف ایمیل، مانند طراحی ایمیل، قرار دادن CTA یا نام فرستنده به اشتراک بگذارید.")</f>
        <v>برای بهینه‌سازی عملکرد، استراتژی‌های انجام تست A/B را روی عناصر مختلف ایمیل، مانند طراحی ایمیل، قرار دادن CTA یا نام فرستنده به اشتراک بگذارید.</v>
      </c>
      <c r="H788" s="1"/>
      <c r="I788" s="1"/>
      <c r="J788" s="1"/>
      <c r="K788" s="1"/>
      <c r="L788" s="1"/>
      <c r="M788" s="1"/>
      <c r="N788" s="1"/>
      <c r="O788" s="1"/>
      <c r="P788" s="1"/>
      <c r="Q788" s="1"/>
      <c r="R788" s="1"/>
      <c r="S788" s="1"/>
      <c r="T788" s="1"/>
      <c r="U788" s="1"/>
      <c r="V788" s="1"/>
      <c r="W788" s="1"/>
      <c r="X788" s="1"/>
      <c r="Y788" s="1"/>
      <c r="Z788" s="1"/>
      <c r="AA788" s="1"/>
      <c r="AB788" s="1"/>
    </row>
    <row r="789" ht="50.25" customHeight="1">
      <c r="A789" s="12">
        <v>785.0</v>
      </c>
      <c r="B789" s="13" t="s">
        <v>753</v>
      </c>
      <c r="C789" s="14" t="s">
        <v>794</v>
      </c>
      <c r="D789" s="1"/>
      <c r="E789" s="15"/>
      <c r="F789" s="1" t="str">
        <f>IFERROR(__xludf.DUMMYFUNCTION("GOOGLETRANSLATE(B789, ""en"", ""fa"")
"),"بازاریابی ایمیلی")</f>
        <v>بازاریابی ایمیلی</v>
      </c>
      <c r="G789" s="1" t="str">
        <f>IFERROR(__xludf.DUMMYFUNCTION("GOOGLETRANSLATE(C789, ""en"", ""fa"")
"),"مزایای استفاده از تکنیک های داستان سرایی در بازاریابی ایمیلی را برای تعامل عاطفی مشترکین و ایجاد روابط بلندمدت بررسی کنید.")</f>
        <v>مزایای استفاده از تکنیک های داستان سرایی در بازاریابی ایمیلی را برای تعامل عاطفی مشترکین و ایجاد روابط بلندمدت بررسی کنید.</v>
      </c>
      <c r="H789" s="1"/>
      <c r="I789" s="1"/>
      <c r="J789" s="1"/>
      <c r="K789" s="1"/>
      <c r="L789" s="1"/>
      <c r="M789" s="1"/>
      <c r="N789" s="1"/>
      <c r="O789" s="1"/>
      <c r="P789" s="1"/>
      <c r="Q789" s="1"/>
      <c r="R789" s="1"/>
      <c r="S789" s="1"/>
      <c r="T789" s="1"/>
      <c r="U789" s="1"/>
      <c r="V789" s="1"/>
      <c r="W789" s="1"/>
      <c r="X789" s="1"/>
      <c r="Y789" s="1"/>
      <c r="Z789" s="1"/>
      <c r="AA789" s="1"/>
      <c r="AB789" s="1"/>
    </row>
    <row r="790" ht="50.25" customHeight="1">
      <c r="A790" s="12">
        <v>786.0</v>
      </c>
      <c r="B790" s="13" t="s">
        <v>753</v>
      </c>
      <c r="C790" s="14" t="s">
        <v>795</v>
      </c>
      <c r="D790" s="1"/>
      <c r="E790" s="15"/>
      <c r="F790" s="1" t="str">
        <f>IFERROR(__xludf.DUMMYFUNCTION("GOOGLETRANSLATE(B790, ""en"", ""fa"")
"),"بازاریابی ایمیلی")</f>
        <v>بازاریابی ایمیلی</v>
      </c>
      <c r="G790" s="1" t="str">
        <f>IFERROR(__xludf.DUMMYFUNCTION("GOOGLETRANSLATE(C790, ""en"", ""fa"")
"),"در مورد تأثیر گنجاندن مدارک اجتماعی، مانند توصیفات مشتری یا تأییدیه های تأثیرگذار، در کمپین های ایمیل برای افزایش اعتماد و اعتبار بحث کنید.")</f>
        <v>در مورد تأثیر گنجاندن مدارک اجتماعی، مانند توصیفات مشتری یا تأییدیه های تأثیرگذار، در کمپین های ایمیل برای افزایش اعتماد و اعتبار بحث کنید.</v>
      </c>
      <c r="H790" s="1"/>
      <c r="I790" s="1"/>
      <c r="J790" s="1"/>
      <c r="K790" s="1"/>
      <c r="L790" s="1"/>
      <c r="M790" s="1"/>
      <c r="N790" s="1"/>
      <c r="O790" s="1"/>
      <c r="P790" s="1"/>
      <c r="Q790" s="1"/>
      <c r="R790" s="1"/>
      <c r="S790" s="1"/>
      <c r="T790" s="1"/>
      <c r="U790" s="1"/>
      <c r="V790" s="1"/>
      <c r="W790" s="1"/>
      <c r="X790" s="1"/>
      <c r="Y790" s="1"/>
      <c r="Z790" s="1"/>
      <c r="AA790" s="1"/>
      <c r="AB790" s="1"/>
    </row>
    <row r="791" ht="50.25" customHeight="1">
      <c r="A791" s="12">
        <v>787.0</v>
      </c>
      <c r="B791" s="13" t="s">
        <v>753</v>
      </c>
      <c r="C791" s="14" t="s">
        <v>796</v>
      </c>
      <c r="D791" s="1"/>
      <c r="E791" s="15"/>
      <c r="F791" s="1" t="str">
        <f>IFERROR(__xludf.DUMMYFUNCTION("GOOGLETRANSLATE(B791, ""en"", ""fa"")
"),"بازاریابی ایمیلی")</f>
        <v>بازاریابی ایمیلی</v>
      </c>
      <c r="G791" s="1" t="str">
        <f>IFERROR(__xludf.DUMMYFUNCTION("GOOGLETRANSLATE(C791, ""en"", ""fa"")
"),"نکاتی را برای بهینه‌سازی قابلیت تحویل ایمیل با اطمینان از کدگذاری صحیح الگوهای ایمیل و اجتناب از ایجاد هرزنامه در محتوای ایمیل به اشتراک بگذارید.")</f>
        <v>نکاتی را برای بهینه‌سازی قابلیت تحویل ایمیل با اطمینان از کدگذاری صحیح الگوهای ایمیل و اجتناب از ایجاد هرزنامه در محتوای ایمیل به اشتراک بگذارید.</v>
      </c>
      <c r="H791" s="1"/>
      <c r="I791" s="1"/>
      <c r="J791" s="1"/>
      <c r="K791" s="1"/>
      <c r="L791" s="1"/>
      <c r="M791" s="1"/>
      <c r="N791" s="1"/>
      <c r="O791" s="1"/>
      <c r="P791" s="1"/>
      <c r="Q791" s="1"/>
      <c r="R791" s="1"/>
      <c r="S791" s="1"/>
      <c r="T791" s="1"/>
      <c r="U791" s="1"/>
      <c r="V791" s="1"/>
      <c r="W791" s="1"/>
      <c r="X791" s="1"/>
      <c r="Y791" s="1"/>
      <c r="Z791" s="1"/>
      <c r="AA791" s="1"/>
      <c r="AB791" s="1"/>
    </row>
    <row r="792" ht="50.25" customHeight="1">
      <c r="A792" s="12">
        <v>788.0</v>
      </c>
      <c r="B792" s="13" t="s">
        <v>753</v>
      </c>
      <c r="C792" s="14" t="s">
        <v>797</v>
      </c>
      <c r="D792" s="1"/>
      <c r="E792" s="15"/>
      <c r="F792" s="1" t="str">
        <f>IFERROR(__xludf.DUMMYFUNCTION("GOOGLETRANSLATE(B792, ""en"", ""fa"")
"),"بازاریابی ایمیلی")</f>
        <v>بازاریابی ایمیلی</v>
      </c>
      <c r="G792" s="1" t="str">
        <f>IFERROR(__xludf.DUMMYFUNCTION("GOOGLETRANSLATE(C792, ""en"", ""fa"")
"),"مفهوم استفاده از احوالپرسی یا معرفی ایمیل شخصی‌سازی شده را برای ایجاد تجربه‌ای مناسب‌تر و جذاب‌تر برای مشترکین بررسی کنید.")</f>
        <v>مفهوم استفاده از احوالپرسی یا معرفی ایمیل شخصی‌سازی شده را برای ایجاد تجربه‌ای مناسب‌تر و جذاب‌تر برای مشترکین بررسی کنید.</v>
      </c>
      <c r="H792" s="1"/>
      <c r="I792" s="1"/>
      <c r="J792" s="1"/>
      <c r="K792" s="1"/>
      <c r="L792" s="1"/>
      <c r="M792" s="1"/>
      <c r="N792" s="1"/>
      <c r="O792" s="1"/>
      <c r="P792" s="1"/>
      <c r="Q792" s="1"/>
      <c r="R792" s="1"/>
      <c r="S792" s="1"/>
      <c r="T792" s="1"/>
      <c r="U792" s="1"/>
      <c r="V792" s="1"/>
      <c r="W792" s="1"/>
      <c r="X792" s="1"/>
      <c r="Y792" s="1"/>
      <c r="Z792" s="1"/>
      <c r="AA792" s="1"/>
      <c r="AB792" s="1"/>
    </row>
    <row r="793" ht="50.25" customHeight="1">
      <c r="A793" s="12">
        <v>789.0</v>
      </c>
      <c r="B793" s="13" t="s">
        <v>753</v>
      </c>
      <c r="C793" s="14" t="s">
        <v>798</v>
      </c>
      <c r="D793" s="1"/>
      <c r="E793" s="15"/>
      <c r="F793" s="1" t="str">
        <f>IFERROR(__xludf.DUMMYFUNCTION("GOOGLETRANSLATE(B793, ""en"", ""fa"")
"),"بازاریابی ایمیلی")</f>
        <v>بازاریابی ایمیلی</v>
      </c>
      <c r="G793" s="1" t="str">
        <f>IFERROR(__xludf.DUMMYFUNCTION("GOOGLETRANSLATE(C793, ""en"", ""fa"")
"),"در مورد نقش استفاده از تجزیه و تحلیل بازاریابی ایمیلی برای ردیابی معیارهای کلیدی، مانند نرخ باز، نرخ کلیک و تبدیل، برای سنجش موفقیت کمپین بحث کنید.")</f>
        <v>در مورد نقش استفاده از تجزیه و تحلیل بازاریابی ایمیلی برای ردیابی معیارهای کلیدی، مانند نرخ باز، نرخ کلیک و تبدیل، برای سنجش موفقیت کمپین بحث کنید.</v>
      </c>
      <c r="H793" s="1"/>
      <c r="I793" s="1"/>
      <c r="J793" s="1"/>
      <c r="K793" s="1"/>
      <c r="L793" s="1"/>
      <c r="M793" s="1"/>
      <c r="N793" s="1"/>
      <c r="O793" s="1"/>
      <c r="P793" s="1"/>
      <c r="Q793" s="1"/>
      <c r="R793" s="1"/>
      <c r="S793" s="1"/>
      <c r="T793" s="1"/>
      <c r="U793" s="1"/>
      <c r="V793" s="1"/>
      <c r="W793" s="1"/>
      <c r="X793" s="1"/>
      <c r="Y793" s="1"/>
      <c r="Z793" s="1"/>
      <c r="AA793" s="1"/>
      <c r="AB793" s="1"/>
    </row>
    <row r="794" ht="50.25" customHeight="1">
      <c r="A794" s="12">
        <v>790.0</v>
      </c>
      <c r="B794" s="13" t="s">
        <v>753</v>
      </c>
      <c r="C794" s="14" t="s">
        <v>799</v>
      </c>
      <c r="D794" s="1"/>
      <c r="E794" s="15"/>
      <c r="F794" s="1" t="str">
        <f>IFERROR(__xludf.DUMMYFUNCTION("GOOGLETRANSLATE(B794, ""en"", ""fa"")
"),"بازاریابی ایمیلی")</f>
        <v>بازاریابی ایمیلی</v>
      </c>
      <c r="G794" s="1" t="str">
        <f>IFERROR(__xludf.DUMMYFUNCTION("GOOGLETRANSLATE(C794, ""en"", ""fa"")
"),"استراتژی‌هایی را برای ایجاد طرح‌های ایمیل جلب توجه که شامل تصاویری چشم‌گیر و فراخوان‌های عملی واضح است، به اشتراک بگذارید.")</f>
        <v>استراتژی‌هایی را برای ایجاد طرح‌های ایمیل جلب توجه که شامل تصاویری چشم‌گیر و فراخوان‌های عملی واضح است، به اشتراک بگذارید.</v>
      </c>
      <c r="H794" s="1"/>
      <c r="I794" s="1"/>
      <c r="J794" s="1"/>
      <c r="K794" s="1"/>
      <c r="L794" s="1"/>
      <c r="M794" s="1"/>
      <c r="N794" s="1"/>
      <c r="O794" s="1"/>
      <c r="P794" s="1"/>
      <c r="Q794" s="1"/>
      <c r="R794" s="1"/>
      <c r="S794" s="1"/>
      <c r="T794" s="1"/>
      <c r="U794" s="1"/>
      <c r="V794" s="1"/>
      <c r="W794" s="1"/>
      <c r="X794" s="1"/>
      <c r="Y794" s="1"/>
      <c r="Z794" s="1"/>
      <c r="AA794" s="1"/>
      <c r="AB794" s="1"/>
    </row>
    <row r="795" ht="50.25" customHeight="1">
      <c r="A795" s="12">
        <v>791.0</v>
      </c>
      <c r="B795" s="13" t="s">
        <v>753</v>
      </c>
      <c r="C795" s="14" t="s">
        <v>800</v>
      </c>
      <c r="D795" s="1"/>
      <c r="E795" s="15"/>
      <c r="F795" s="1" t="str">
        <f>IFERROR(__xludf.DUMMYFUNCTION("GOOGLETRANSLATE(B795, ""en"", ""fa"")
"),"بازاریابی ایمیلی")</f>
        <v>بازاریابی ایمیلی</v>
      </c>
      <c r="G795" s="1" t="str">
        <f>IFERROR(__xludf.DUMMYFUNCTION("GOOGLETRANSLATE(C795, ""en"", ""fa"")
"),"مزایای استفاده از تقسیم بندی مشتری برای ارائه محتوای ایمیل هدفمند که با بخش های خاص مخاطبان طنین انداز می شود را بررسی کنید.")</f>
        <v>مزایای استفاده از تقسیم بندی مشتری برای ارائه محتوای ایمیل هدفمند که با بخش های خاص مخاطبان طنین انداز می شود را بررسی کنید.</v>
      </c>
      <c r="H795" s="1"/>
      <c r="I795" s="1"/>
      <c r="J795" s="1"/>
      <c r="K795" s="1"/>
      <c r="L795" s="1"/>
      <c r="M795" s="1"/>
      <c r="N795" s="1"/>
      <c r="O795" s="1"/>
      <c r="P795" s="1"/>
      <c r="Q795" s="1"/>
      <c r="R795" s="1"/>
      <c r="S795" s="1"/>
      <c r="T795" s="1"/>
      <c r="U795" s="1"/>
      <c r="V795" s="1"/>
      <c r="W795" s="1"/>
      <c r="X795" s="1"/>
      <c r="Y795" s="1"/>
      <c r="Z795" s="1"/>
      <c r="AA795" s="1"/>
      <c r="AB795" s="1"/>
    </row>
    <row r="796" ht="50.25" customHeight="1">
      <c r="A796" s="12">
        <v>792.0</v>
      </c>
      <c r="B796" s="13" t="s">
        <v>753</v>
      </c>
      <c r="C796" s="14" t="s">
        <v>801</v>
      </c>
      <c r="D796" s="1"/>
      <c r="E796" s="15"/>
      <c r="F796" s="1" t="str">
        <f>IFERROR(__xludf.DUMMYFUNCTION("GOOGLETRANSLATE(B796, ""en"", ""fa"")
"),"بازاریابی ایمیلی")</f>
        <v>بازاریابی ایمیلی</v>
      </c>
      <c r="G796" s="1" t="str">
        <f>IFERROR(__xludf.DUMMYFUNCTION("GOOGLETRANSLATE(C796, ""en"", ""fa"")
"),"در مورد تأثیر ترکیب گردش‌های کاری اتوماسیون ایمیل، مانند یادآوری‌های سبد خرید یا پیگیری‌های پس از خرید، برای افزایش تبدیل و حفظ مشتری بحث کنید.")</f>
        <v>در مورد تأثیر ترکیب گردش‌های کاری اتوماسیون ایمیل، مانند یادآوری‌های سبد خرید یا پیگیری‌های پس از خرید، برای افزایش تبدیل و حفظ مشتری بحث کنید.</v>
      </c>
      <c r="H796" s="1"/>
      <c r="I796" s="1"/>
      <c r="J796" s="1"/>
      <c r="K796" s="1"/>
      <c r="L796" s="1"/>
      <c r="M796" s="1"/>
      <c r="N796" s="1"/>
      <c r="O796" s="1"/>
      <c r="P796" s="1"/>
      <c r="Q796" s="1"/>
      <c r="R796" s="1"/>
      <c r="S796" s="1"/>
      <c r="T796" s="1"/>
      <c r="U796" s="1"/>
      <c r="V796" s="1"/>
      <c r="W796" s="1"/>
      <c r="X796" s="1"/>
      <c r="Y796" s="1"/>
      <c r="Z796" s="1"/>
      <c r="AA796" s="1"/>
      <c r="AB796" s="1"/>
    </row>
    <row r="797" ht="50.25" customHeight="1">
      <c r="A797" s="12">
        <v>793.0</v>
      </c>
      <c r="B797" s="13" t="s">
        <v>753</v>
      </c>
      <c r="C797" s="14" t="s">
        <v>802</v>
      </c>
      <c r="D797" s="1"/>
      <c r="E797" s="15"/>
      <c r="F797" s="1" t="str">
        <f>IFERROR(__xludf.DUMMYFUNCTION("GOOGLETRANSLATE(B797, ""en"", ""fa"")
"),"بازاریابی ایمیلی")</f>
        <v>بازاریابی ایمیلی</v>
      </c>
      <c r="G797" s="1" t="str">
        <f>IFERROR(__xludf.DUMMYFUNCTION("GOOGLETRANSLATE(C797, ""en"", ""fa"")
"),"نکاتی را برای ایجاد یک کپی ایمیل قانع کننده به اشتراک بگذارید که به طور مؤثر ارزش پیشنهادی را به اشتراک می گذارد، به نقاط دردناک می پردازد و اقدام را تشویق می کند.")</f>
        <v>نکاتی را برای ایجاد یک کپی ایمیل قانع کننده به اشتراک بگذارید که به طور مؤثر ارزش پیشنهادی را به اشتراک می گذارد، به نقاط دردناک می پردازد و اقدام را تشویق می کند.</v>
      </c>
      <c r="H797" s="1"/>
      <c r="I797" s="1"/>
      <c r="J797" s="1"/>
      <c r="K797" s="1"/>
      <c r="L797" s="1"/>
      <c r="M797" s="1"/>
      <c r="N797" s="1"/>
      <c r="O797" s="1"/>
      <c r="P797" s="1"/>
      <c r="Q797" s="1"/>
      <c r="R797" s="1"/>
      <c r="S797" s="1"/>
      <c r="T797" s="1"/>
      <c r="U797" s="1"/>
      <c r="V797" s="1"/>
      <c r="W797" s="1"/>
      <c r="X797" s="1"/>
      <c r="Y797" s="1"/>
      <c r="Z797" s="1"/>
      <c r="AA797" s="1"/>
      <c r="AB797" s="1"/>
    </row>
    <row r="798" ht="50.25" customHeight="1">
      <c r="A798" s="12">
        <v>794.0</v>
      </c>
      <c r="B798" s="13" t="s">
        <v>753</v>
      </c>
      <c r="C798" s="14" t="s">
        <v>803</v>
      </c>
      <c r="D798" s="1"/>
      <c r="E798" s="15"/>
      <c r="F798" s="1" t="str">
        <f>IFERROR(__xludf.DUMMYFUNCTION("GOOGLETRANSLATE(B798, ""en"", ""fa"")
"),"بازاریابی ایمیلی")</f>
        <v>بازاریابی ایمیلی</v>
      </c>
      <c r="G798" s="1" t="str">
        <f>IFERROR(__xludf.DUMMYFUNCTION("GOOGLETRANSLATE(C798, ""en"", ""fa"")
"),"در مورد اهمیت بهداشت لیست ایمیل بحث کنید و بهترین شیوه ها را برای تمیز کردن منظم و حفظ لیست مشترکین به روز به اشتراک بگذارید.")</f>
        <v>در مورد اهمیت بهداشت لیست ایمیل بحث کنید و بهترین شیوه ها را برای تمیز کردن منظم و حفظ لیست مشترکین به روز به اشتراک بگذارید.</v>
      </c>
      <c r="H798" s="1"/>
      <c r="I798" s="1"/>
      <c r="J798" s="1"/>
      <c r="K798" s="1"/>
      <c r="L798" s="1"/>
      <c r="M798" s="1"/>
      <c r="N798" s="1"/>
      <c r="O798" s="1"/>
      <c r="P798" s="1"/>
      <c r="Q798" s="1"/>
      <c r="R798" s="1"/>
      <c r="S798" s="1"/>
      <c r="T798" s="1"/>
      <c r="U798" s="1"/>
      <c r="V798" s="1"/>
      <c r="W798" s="1"/>
      <c r="X798" s="1"/>
      <c r="Y798" s="1"/>
      <c r="Z798" s="1"/>
      <c r="AA798" s="1"/>
      <c r="AB798" s="1"/>
    </row>
    <row r="799" ht="50.25" customHeight="1">
      <c r="A799" s="12">
        <v>795.0</v>
      </c>
      <c r="B799" s="13" t="s">
        <v>753</v>
      </c>
      <c r="C799" s="14" t="s">
        <v>804</v>
      </c>
      <c r="D799" s="1"/>
      <c r="E799" s="15"/>
      <c r="F799" s="1" t="str">
        <f>IFERROR(__xludf.DUMMYFUNCTION("GOOGLETRANSLATE(B799, ""en"", ""fa"")
"),"بازاریابی ایمیلی")</f>
        <v>بازاریابی ایمیلی</v>
      </c>
      <c r="G799" s="1" t="str">
        <f>IFERROR(__xludf.DUMMYFUNCTION("GOOGLETRANSLATE(C799, ""en"", ""fa"")
"),"نکاتی را برای ایجاد خطوط موضوع ایمیل موثر که کنجکاوی را برمی انگیزد و گیرندگان را تشویق می کند تا ایمیل را باز کنند، به اشتراک بگذارید.")</f>
        <v>نکاتی را برای ایجاد خطوط موضوع ایمیل موثر که کنجکاوی را برمی انگیزد و گیرندگان را تشویق می کند تا ایمیل را باز کنند، به اشتراک بگذارید.</v>
      </c>
      <c r="H799" s="1"/>
      <c r="I799" s="1"/>
      <c r="J799" s="1"/>
      <c r="K799" s="1"/>
      <c r="L799" s="1"/>
      <c r="M799" s="1"/>
      <c r="N799" s="1"/>
      <c r="O799" s="1"/>
      <c r="P799" s="1"/>
      <c r="Q799" s="1"/>
      <c r="R799" s="1"/>
      <c r="S799" s="1"/>
      <c r="T799" s="1"/>
      <c r="U799" s="1"/>
      <c r="V799" s="1"/>
      <c r="W799" s="1"/>
      <c r="X799" s="1"/>
      <c r="Y799" s="1"/>
      <c r="Z799" s="1"/>
      <c r="AA799" s="1"/>
      <c r="AB799" s="1"/>
    </row>
    <row r="800" ht="50.25" customHeight="1">
      <c r="A800" s="12">
        <v>796.0</v>
      </c>
      <c r="B800" s="13" t="s">
        <v>753</v>
      </c>
      <c r="C800" s="14" t="s">
        <v>805</v>
      </c>
      <c r="D800" s="1"/>
      <c r="E800" s="15"/>
      <c r="F800" s="1" t="str">
        <f>IFERROR(__xludf.DUMMYFUNCTION("GOOGLETRANSLATE(B800, ""en"", ""fa"")
"),"بازاریابی ایمیلی")</f>
        <v>بازاریابی ایمیلی</v>
      </c>
      <c r="G800" s="1" t="str">
        <f>IFERROR(__xludf.DUMMYFUNCTION("GOOGLETRANSLATE(C800, ""en"", ""fa"")
"),"مفهوم استفاده از توصیه‌های ایمیل شخصی‌سازی شده بر اساس ترجیحات مشترکین یا خریدهای گذشته را برای افزایش تعامل و تبدیل بررسی کنید.")</f>
        <v>مفهوم استفاده از توصیه‌های ایمیل شخصی‌سازی شده بر اساس ترجیحات مشترکین یا خریدهای گذشته را برای افزایش تعامل و تبدیل بررسی کنید.</v>
      </c>
      <c r="H800" s="1"/>
      <c r="I800" s="1"/>
      <c r="J800" s="1"/>
      <c r="K800" s="1"/>
      <c r="L800" s="1"/>
      <c r="M800" s="1"/>
      <c r="N800" s="1"/>
      <c r="O800" s="1"/>
      <c r="P800" s="1"/>
      <c r="Q800" s="1"/>
      <c r="R800" s="1"/>
      <c r="S800" s="1"/>
      <c r="T800" s="1"/>
      <c r="U800" s="1"/>
      <c r="V800" s="1"/>
      <c r="W800" s="1"/>
      <c r="X800" s="1"/>
      <c r="Y800" s="1"/>
      <c r="Z800" s="1"/>
      <c r="AA800" s="1"/>
      <c r="AB800" s="1"/>
    </row>
    <row r="801" ht="50.25" customHeight="1">
      <c r="A801" s="12">
        <v>797.0</v>
      </c>
      <c r="B801" s="13" t="s">
        <v>753</v>
      </c>
      <c r="C801" s="14" t="s">
        <v>806</v>
      </c>
      <c r="D801" s="1"/>
      <c r="E801" s="15"/>
      <c r="F801" s="1" t="str">
        <f>IFERROR(__xludf.DUMMYFUNCTION("GOOGLETRANSLATE(B801, ""en"", ""fa"")
"),"بازاریابی ایمیلی")</f>
        <v>بازاریابی ایمیلی</v>
      </c>
      <c r="G801" s="1" t="str">
        <f>IFERROR(__xludf.DUMMYFUNCTION("GOOGLETRANSLATE(C801, ""en"", ""fa"")
"),"در مورد نقش ترکیب محتوای تولید شده توسط کاربر، مانند نظرات مشتریان یا توصیفات، در کمپین های ایمیل برای ایجاد اثبات اجتماعی و اعتماد بحث کنید.")</f>
        <v>در مورد نقش ترکیب محتوای تولید شده توسط کاربر، مانند نظرات مشتریان یا توصیفات، در کمپین های ایمیل برای ایجاد اثبات اجتماعی و اعتماد بحث کنید.</v>
      </c>
      <c r="H801" s="1"/>
      <c r="I801" s="1"/>
      <c r="J801" s="1"/>
      <c r="K801" s="1"/>
      <c r="L801" s="1"/>
      <c r="M801" s="1"/>
      <c r="N801" s="1"/>
      <c r="O801" s="1"/>
      <c r="P801" s="1"/>
      <c r="Q801" s="1"/>
      <c r="R801" s="1"/>
      <c r="S801" s="1"/>
      <c r="T801" s="1"/>
      <c r="U801" s="1"/>
      <c r="V801" s="1"/>
      <c r="W801" s="1"/>
      <c r="X801" s="1"/>
      <c r="Y801" s="1"/>
      <c r="Z801" s="1"/>
      <c r="AA801" s="1"/>
      <c r="AB801" s="1"/>
    </row>
    <row r="802" ht="50.25" customHeight="1">
      <c r="A802" s="12">
        <v>798.0</v>
      </c>
      <c r="B802" s="13" t="s">
        <v>753</v>
      </c>
      <c r="C802" s="14" t="s">
        <v>807</v>
      </c>
      <c r="D802" s="1"/>
      <c r="E802" s="15"/>
      <c r="F802" s="1" t="str">
        <f>IFERROR(__xludf.DUMMYFUNCTION("GOOGLETRANSLATE(B802, ""en"", ""fa"")
"),"بازاریابی ایمیلی")</f>
        <v>بازاریابی ایمیلی</v>
      </c>
      <c r="G802" s="1" t="str">
        <f>IFERROR(__xludf.DUMMYFUNCTION("GOOGLETRANSLATE(C802, ""en"", ""fa"")
"),"استراتژی های استفاده از بازاریابی ایمیلی برای جذب مجدد مشترکین غیرفعال و جلب علاقه و مشارکت آنها را به اشتراک بگذارید.")</f>
        <v>استراتژی های استفاده از بازاریابی ایمیلی برای جذب مجدد مشترکین غیرفعال و جلب علاقه و مشارکت آنها را به اشتراک بگذارید.</v>
      </c>
      <c r="H802" s="1"/>
      <c r="I802" s="1"/>
      <c r="J802" s="1"/>
      <c r="K802" s="1"/>
      <c r="L802" s="1"/>
      <c r="M802" s="1"/>
      <c r="N802" s="1"/>
      <c r="O802" s="1"/>
      <c r="P802" s="1"/>
      <c r="Q802" s="1"/>
      <c r="R802" s="1"/>
      <c r="S802" s="1"/>
      <c r="T802" s="1"/>
      <c r="U802" s="1"/>
      <c r="V802" s="1"/>
      <c r="W802" s="1"/>
      <c r="X802" s="1"/>
      <c r="Y802" s="1"/>
      <c r="Z802" s="1"/>
      <c r="AA802" s="1"/>
      <c r="AB802" s="1"/>
    </row>
    <row r="803" ht="50.25" customHeight="1">
      <c r="A803" s="12">
        <v>799.0</v>
      </c>
      <c r="B803" s="13" t="s">
        <v>753</v>
      </c>
      <c r="C803" s="14" t="s">
        <v>808</v>
      </c>
      <c r="D803" s="1"/>
      <c r="E803" s="15"/>
      <c r="F803" s="1" t="str">
        <f>IFERROR(__xludf.DUMMYFUNCTION("GOOGLETRANSLATE(B803, ""en"", ""fa"")
"),"بازاریابی ایمیلی")</f>
        <v>بازاریابی ایمیلی</v>
      </c>
      <c r="G803" s="1" t="str">
        <f>IFERROR(__xludf.DUMMYFUNCTION("GOOGLETRANSLATE(C803, ""en"", ""fa"")
"),"مزایای استفاده از گردش کار ایمیل خودکار برای پرورش سرنخ ها و راهنمایی آنها در سفر مشتری را بررسی کنید.")</f>
        <v>مزایای استفاده از گردش کار ایمیل خودکار برای پرورش سرنخ ها و راهنمایی آنها در سفر مشتری را بررسی کنید.</v>
      </c>
      <c r="H803" s="1"/>
      <c r="I803" s="1"/>
      <c r="J803" s="1"/>
      <c r="K803" s="1"/>
      <c r="L803" s="1"/>
      <c r="M803" s="1"/>
      <c r="N803" s="1"/>
      <c r="O803" s="1"/>
      <c r="P803" s="1"/>
      <c r="Q803" s="1"/>
      <c r="R803" s="1"/>
      <c r="S803" s="1"/>
      <c r="T803" s="1"/>
      <c r="U803" s="1"/>
      <c r="V803" s="1"/>
      <c r="W803" s="1"/>
      <c r="X803" s="1"/>
      <c r="Y803" s="1"/>
      <c r="Z803" s="1"/>
      <c r="AA803" s="1"/>
      <c r="AB803" s="1"/>
    </row>
    <row r="804" ht="50.25" customHeight="1">
      <c r="A804" s="12">
        <v>800.0</v>
      </c>
      <c r="B804" s="13" t="s">
        <v>753</v>
      </c>
      <c r="C804" s="14" t="s">
        <v>809</v>
      </c>
      <c r="D804" s="1"/>
      <c r="E804" s="15"/>
      <c r="F804" s="1" t="str">
        <f>IFERROR(__xludf.DUMMYFUNCTION("GOOGLETRANSLATE(B804, ""en"", ""fa"")
"),"بازاریابی ایمیلی")</f>
        <v>بازاریابی ایمیلی</v>
      </c>
      <c r="G804" s="1" t="str">
        <f>IFERROR(__xludf.DUMMYFUNCTION("GOOGLETRANSLATE(C804, ""en"", ""fa"")
"),"درباره تأثیر استفاده از تقسیم بندی برای ارائه کمپین های ایمیل هدفمند به بخش های خاص مخاطب با محتوای شخصی شده بحث کنید.")</f>
        <v>درباره تأثیر استفاده از تقسیم بندی برای ارائه کمپین های ایمیل هدفمند به بخش های خاص مخاطب با محتوای شخصی شده بحث کنید.</v>
      </c>
      <c r="H804" s="1"/>
      <c r="I804" s="1"/>
      <c r="J804" s="1"/>
      <c r="K804" s="1"/>
      <c r="L804" s="1"/>
      <c r="M804" s="1"/>
      <c r="N804" s="1"/>
      <c r="O804" s="1"/>
      <c r="P804" s="1"/>
      <c r="Q804" s="1"/>
      <c r="R804" s="1"/>
      <c r="S804" s="1"/>
      <c r="T804" s="1"/>
      <c r="U804" s="1"/>
      <c r="V804" s="1"/>
      <c r="W804" s="1"/>
      <c r="X804" s="1"/>
      <c r="Y804" s="1"/>
      <c r="Z804" s="1"/>
      <c r="AA804" s="1"/>
      <c r="AB804" s="1"/>
    </row>
    <row r="805" ht="50.25" customHeight="1">
      <c r="A805" s="12">
        <v>801.0</v>
      </c>
      <c r="B805" s="13" t="s">
        <v>753</v>
      </c>
      <c r="C805" s="14" t="s">
        <v>810</v>
      </c>
      <c r="D805" s="1"/>
      <c r="E805" s="15"/>
      <c r="F805" s="1" t="str">
        <f>IFERROR(__xludf.DUMMYFUNCTION("GOOGLETRANSLATE(B805, ""en"", ""fa"")
"),"بازاریابی ایمیلی")</f>
        <v>بازاریابی ایمیلی</v>
      </c>
      <c r="G805" s="1" t="str">
        <f>IFERROR(__xludf.DUMMYFUNCTION("GOOGLETRANSLATE(C805, ""en"", ""fa"")
"),"نکاتی را برای بهینه‌سازی طرح‌بندی و طرح‌های ایمیل برای مشتریان و دستگاه‌های مختلف ایمیل به اشتراک بگذارید تا از تجربه کاربری سازگار و جذاب اطمینان حاصل کنید.")</f>
        <v>نکاتی را برای بهینه‌سازی طرح‌بندی و طرح‌های ایمیل برای مشتریان و دستگاه‌های مختلف ایمیل به اشتراک بگذارید تا از تجربه کاربری سازگار و جذاب اطمینان حاصل کنید.</v>
      </c>
      <c r="H805" s="1"/>
      <c r="I805" s="1"/>
      <c r="J805" s="1"/>
      <c r="K805" s="1"/>
      <c r="L805" s="1"/>
      <c r="M805" s="1"/>
      <c r="N805" s="1"/>
      <c r="O805" s="1"/>
      <c r="P805" s="1"/>
      <c r="Q805" s="1"/>
      <c r="R805" s="1"/>
      <c r="S805" s="1"/>
      <c r="T805" s="1"/>
      <c r="U805" s="1"/>
      <c r="V805" s="1"/>
      <c r="W805" s="1"/>
      <c r="X805" s="1"/>
      <c r="Y805" s="1"/>
      <c r="Z805" s="1"/>
      <c r="AA805" s="1"/>
      <c r="AB805" s="1"/>
    </row>
    <row r="806" ht="50.25" customHeight="1">
      <c r="A806" s="12">
        <v>802.0</v>
      </c>
      <c r="B806" s="13" t="s">
        <v>753</v>
      </c>
      <c r="C806" s="14" t="s">
        <v>811</v>
      </c>
      <c r="D806" s="1"/>
      <c r="E806" s="15"/>
      <c r="F806" s="1" t="str">
        <f>IFERROR(__xludf.DUMMYFUNCTION("GOOGLETRANSLATE(B806, ""en"", ""fa"")
"),"بازاریابی ایمیلی")</f>
        <v>بازاریابی ایمیلی</v>
      </c>
      <c r="G806" s="1" t="str">
        <f>IFERROR(__xludf.DUMMYFUNCTION("GOOGLETRANSLATE(C806, ""en"", ""fa"")
"),"مفهوم استفاده از عناصر تعاملی، مانند نظرسنجی یا نظرسنجی، در ایمیل‌ها را برای تشویق مشارکت مشترک و جمع‌آوری بینش‌های ارزشمند بررسی کنید.")</f>
        <v>مفهوم استفاده از عناصر تعاملی، مانند نظرسنجی یا نظرسنجی، در ایمیل‌ها را برای تشویق مشارکت مشترک و جمع‌آوری بینش‌های ارزشمند بررسی کنید.</v>
      </c>
      <c r="H806" s="1"/>
      <c r="I806" s="1"/>
      <c r="J806" s="1"/>
      <c r="K806" s="1"/>
      <c r="L806" s="1"/>
      <c r="M806" s="1"/>
      <c r="N806" s="1"/>
      <c r="O806" s="1"/>
      <c r="P806" s="1"/>
      <c r="Q806" s="1"/>
      <c r="R806" s="1"/>
      <c r="S806" s="1"/>
      <c r="T806" s="1"/>
      <c r="U806" s="1"/>
      <c r="V806" s="1"/>
      <c r="W806" s="1"/>
      <c r="X806" s="1"/>
      <c r="Y806" s="1"/>
      <c r="Z806" s="1"/>
      <c r="AA806" s="1"/>
      <c r="AB806" s="1"/>
    </row>
    <row r="807" ht="50.25" customHeight="1">
      <c r="A807" s="12">
        <v>803.0</v>
      </c>
      <c r="B807" s="13" t="s">
        <v>753</v>
      </c>
      <c r="C807" s="14" t="s">
        <v>812</v>
      </c>
      <c r="D807" s="1"/>
      <c r="E807" s="15"/>
      <c r="F807" s="1" t="str">
        <f>IFERROR(__xludf.DUMMYFUNCTION("GOOGLETRANSLATE(B807, ""en"", ""fa"")
"),"بازاریابی ایمیلی")</f>
        <v>بازاریابی ایمیلی</v>
      </c>
      <c r="G807" s="1" t="str">
        <f>IFERROR(__xludf.DUMMYFUNCTION("GOOGLETRANSLATE(C807, ""en"", ""fa"")
"),"در مورد نقش ادغام رسانه های اجتماعی در کمپین های ایمیل برای تشویق مشترکین به دنبال کردن و تعامل با نام تجاری در پلتفرم های اجتماعی بحث کنید.")</f>
        <v>در مورد نقش ادغام رسانه های اجتماعی در کمپین های ایمیل برای تشویق مشترکین به دنبال کردن و تعامل با نام تجاری در پلتفرم های اجتماعی بحث کنید.</v>
      </c>
      <c r="H807" s="1"/>
      <c r="I807" s="1"/>
      <c r="J807" s="1"/>
      <c r="K807" s="1"/>
      <c r="L807" s="1"/>
      <c r="M807" s="1"/>
      <c r="N807" s="1"/>
      <c r="O807" s="1"/>
      <c r="P807" s="1"/>
      <c r="Q807" s="1"/>
      <c r="R807" s="1"/>
      <c r="S807" s="1"/>
      <c r="T807" s="1"/>
      <c r="U807" s="1"/>
      <c r="V807" s="1"/>
      <c r="W807" s="1"/>
      <c r="X807" s="1"/>
      <c r="Y807" s="1"/>
      <c r="Z807" s="1"/>
      <c r="AA807" s="1"/>
      <c r="AB807" s="1"/>
    </row>
    <row r="808" ht="50.25" customHeight="1">
      <c r="A808" s="12">
        <v>804.0</v>
      </c>
      <c r="B808" s="13" t="s">
        <v>753</v>
      </c>
      <c r="C808" s="14" t="s">
        <v>813</v>
      </c>
      <c r="D808" s="1"/>
      <c r="E808" s="15"/>
      <c r="F808" s="1" t="str">
        <f>IFERROR(__xludf.DUMMYFUNCTION("GOOGLETRANSLATE(B808, ""en"", ""fa"")
"),"بازاریابی ایمیلی")</f>
        <v>بازاریابی ایمیلی</v>
      </c>
      <c r="G808" s="1" t="str">
        <f>IFERROR(__xludf.DUMMYFUNCTION("GOOGLETRANSLATE(C808, ""en"", ""fa"")
"),"با پیروی از پروتکل‌های احراز هویت ایمیل، مانند SPF و DKIM، و مدیریت شهرت فرستنده، استراتژی‌های بهینه‌سازی تحویل ایمیل را به اشتراک بگذارید.")</f>
        <v>با پیروی از پروتکل‌های احراز هویت ایمیل، مانند SPF و DKIM، و مدیریت شهرت فرستنده، استراتژی‌های بهینه‌سازی تحویل ایمیل را به اشتراک بگذارید.</v>
      </c>
      <c r="H808" s="1"/>
      <c r="I808" s="1"/>
      <c r="J808" s="1"/>
      <c r="K808" s="1"/>
      <c r="L808" s="1"/>
      <c r="M808" s="1"/>
      <c r="N808" s="1"/>
      <c r="O808" s="1"/>
      <c r="P808" s="1"/>
      <c r="Q808" s="1"/>
      <c r="R808" s="1"/>
      <c r="S808" s="1"/>
      <c r="T808" s="1"/>
      <c r="U808" s="1"/>
      <c r="V808" s="1"/>
      <c r="W808" s="1"/>
      <c r="X808" s="1"/>
      <c r="Y808" s="1"/>
      <c r="Z808" s="1"/>
      <c r="AA808" s="1"/>
      <c r="AB808" s="1"/>
    </row>
    <row r="809" ht="50.25" customHeight="1">
      <c r="A809" s="12">
        <v>805.0</v>
      </c>
      <c r="B809" s="13" t="s">
        <v>753</v>
      </c>
      <c r="C809" s="14" t="s">
        <v>814</v>
      </c>
      <c r="D809" s="1"/>
      <c r="E809" s="15"/>
      <c r="F809" s="1" t="str">
        <f>IFERROR(__xludf.DUMMYFUNCTION("GOOGLETRANSLATE(B809, ""en"", ""fa"")
"),"بازاریابی ایمیلی")</f>
        <v>بازاریابی ایمیلی</v>
      </c>
      <c r="G809" s="1" t="str">
        <f>IFERROR(__xludf.DUMMYFUNCTION("GOOGLETRANSLATE(C809, ""en"", ""fa"")
"),"مزایای استفاده از ایمیل‌های فعال، مانند ایمیل‌های ترک سبد خرید یا پیشنهادهای تولد، برای ارسال پیام‌های به موقع و مرتبط به مشترکان را بررسی کنید.")</f>
        <v>مزایای استفاده از ایمیل‌های فعال، مانند ایمیل‌های ترک سبد خرید یا پیشنهادهای تولد، برای ارسال پیام‌های به موقع و مرتبط به مشترکان را بررسی کنید.</v>
      </c>
      <c r="H809" s="1"/>
      <c r="I809" s="1"/>
      <c r="J809" s="1"/>
      <c r="K809" s="1"/>
      <c r="L809" s="1"/>
      <c r="M809" s="1"/>
      <c r="N809" s="1"/>
      <c r="O809" s="1"/>
      <c r="P809" s="1"/>
      <c r="Q809" s="1"/>
      <c r="R809" s="1"/>
      <c r="S809" s="1"/>
      <c r="T809" s="1"/>
      <c r="U809" s="1"/>
      <c r="V809" s="1"/>
      <c r="W809" s="1"/>
      <c r="X809" s="1"/>
      <c r="Y809" s="1"/>
      <c r="Z809" s="1"/>
      <c r="AA809" s="1"/>
      <c r="AB809" s="1"/>
    </row>
    <row r="810" ht="50.25" customHeight="1">
      <c r="A810" s="12">
        <v>806.0</v>
      </c>
      <c r="B810" s="13" t="s">
        <v>753</v>
      </c>
      <c r="C810" s="14" t="s">
        <v>815</v>
      </c>
      <c r="D810" s="1"/>
      <c r="E810" s="15"/>
      <c r="F810" s="1" t="str">
        <f>IFERROR(__xludf.DUMMYFUNCTION("GOOGLETRANSLATE(B810, ""en"", ""fa"")
"),"بازاریابی ایمیلی")</f>
        <v>بازاریابی ایمیلی</v>
      </c>
      <c r="G810" s="1" t="str">
        <f>IFERROR(__xludf.DUMMYFUNCTION("GOOGLETRANSLATE(C810, ""en"", ""fa"")
"),"درباره تأثیر استفاده از تکنیک‌های داستان‌گویی در نوشتن ایمیل برای ایجاد روایتی جذاب که با مشترکین طنین‌انداز می‌کند، بحث کنید.")</f>
        <v>درباره تأثیر استفاده از تکنیک‌های داستان‌گویی در نوشتن ایمیل برای ایجاد روایتی جذاب که با مشترکین طنین‌انداز می‌کند، بحث کنید.</v>
      </c>
      <c r="H810" s="1"/>
      <c r="I810" s="1"/>
      <c r="J810" s="1"/>
      <c r="K810" s="1"/>
      <c r="L810" s="1"/>
      <c r="M810" s="1"/>
      <c r="N810" s="1"/>
      <c r="O810" s="1"/>
      <c r="P810" s="1"/>
      <c r="Q810" s="1"/>
      <c r="R810" s="1"/>
      <c r="S810" s="1"/>
      <c r="T810" s="1"/>
      <c r="U810" s="1"/>
      <c r="V810" s="1"/>
      <c r="W810" s="1"/>
      <c r="X810" s="1"/>
      <c r="Y810" s="1"/>
      <c r="Z810" s="1"/>
      <c r="AA810" s="1"/>
      <c r="AB810" s="1"/>
    </row>
    <row r="811" ht="50.25" customHeight="1">
      <c r="A811" s="12">
        <v>807.0</v>
      </c>
      <c r="B811" s="13" t="s">
        <v>753</v>
      </c>
      <c r="C811" s="14" t="s">
        <v>816</v>
      </c>
      <c r="D811" s="1"/>
      <c r="E811" s="15"/>
      <c r="F811" s="1" t="str">
        <f>IFERROR(__xludf.DUMMYFUNCTION("GOOGLETRANSLATE(B811, ""en"", ""fa"")
"),"بازاریابی ایمیلی")</f>
        <v>بازاریابی ایمیلی</v>
      </c>
      <c r="G811" s="1" t="str">
        <f>IFERROR(__xludf.DUMMYFUNCTION("GOOGLETRANSLATE(C811, ""en"", ""fa"")
"),"نکاتی را برای ایجاد الگوهای ایمیل پاسخگو برای تلفن همراه که با اندازه‌های مختلف صفحه سازگار هستند و تجربه تماشای یکپارچه در دستگاه‌های تلفن همراه را تضمین می‌کنند، به اشتراک بگذارید.")</f>
        <v>نکاتی را برای ایجاد الگوهای ایمیل پاسخگو برای تلفن همراه که با اندازه‌های مختلف صفحه سازگار هستند و تجربه تماشای یکپارچه در دستگاه‌های تلفن همراه را تضمین می‌کنند، به اشتراک بگذارید.</v>
      </c>
      <c r="H811" s="1"/>
      <c r="I811" s="1"/>
      <c r="J811" s="1"/>
      <c r="K811" s="1"/>
      <c r="L811" s="1"/>
      <c r="M811" s="1"/>
      <c r="N811" s="1"/>
      <c r="O811" s="1"/>
      <c r="P811" s="1"/>
      <c r="Q811" s="1"/>
      <c r="R811" s="1"/>
      <c r="S811" s="1"/>
      <c r="T811" s="1"/>
      <c r="U811" s="1"/>
      <c r="V811" s="1"/>
      <c r="W811" s="1"/>
      <c r="X811" s="1"/>
      <c r="Y811" s="1"/>
      <c r="Z811" s="1"/>
      <c r="AA811" s="1"/>
      <c r="AB811" s="1"/>
    </row>
    <row r="812" ht="50.25" customHeight="1">
      <c r="A812" s="12">
        <v>808.0</v>
      </c>
      <c r="B812" s="13" t="s">
        <v>753</v>
      </c>
      <c r="C812" s="14" t="s">
        <v>817</v>
      </c>
      <c r="D812" s="1"/>
      <c r="E812" s="15"/>
      <c r="F812" s="1" t="str">
        <f>IFERROR(__xludf.DUMMYFUNCTION("GOOGLETRANSLATE(B812, ""en"", ""fa"")
"),"بازاریابی ایمیلی")</f>
        <v>بازاریابی ایمیلی</v>
      </c>
      <c r="G812" s="1" t="str">
        <f>IFERROR(__xludf.DUMMYFUNCTION("GOOGLETRANSLATE(C812, ""en"", ""fa"")
"),"مفهوم استفاده از محتوای پویا در ایمیل‌ها را برای ارائه توصیه‌های محصول شخصی‌شده یا پیشنهادات سفارشی بر اساس ترجیحات مشترکین بررسی کنید.")</f>
        <v>مفهوم استفاده از محتوای پویا در ایمیل‌ها را برای ارائه توصیه‌های محصول شخصی‌شده یا پیشنهادات سفارشی بر اساس ترجیحات مشترکین بررسی کنید.</v>
      </c>
      <c r="H812" s="1"/>
      <c r="I812" s="1"/>
      <c r="J812" s="1"/>
      <c r="K812" s="1"/>
      <c r="L812" s="1"/>
      <c r="M812" s="1"/>
      <c r="N812" s="1"/>
      <c r="O812" s="1"/>
      <c r="P812" s="1"/>
      <c r="Q812" s="1"/>
      <c r="R812" s="1"/>
      <c r="S812" s="1"/>
      <c r="T812" s="1"/>
      <c r="U812" s="1"/>
      <c r="V812" s="1"/>
      <c r="W812" s="1"/>
      <c r="X812" s="1"/>
      <c r="Y812" s="1"/>
      <c r="Z812" s="1"/>
      <c r="AA812" s="1"/>
      <c r="AB812" s="1"/>
    </row>
    <row r="813" ht="50.25" customHeight="1">
      <c r="A813" s="12">
        <v>809.0</v>
      </c>
      <c r="B813" s="13" t="s">
        <v>753</v>
      </c>
      <c r="C813" s="14" t="s">
        <v>818</v>
      </c>
      <c r="D813" s="1"/>
      <c r="E813" s="15"/>
      <c r="F813" s="1" t="str">
        <f>IFERROR(__xludf.DUMMYFUNCTION("GOOGLETRANSLATE(B813, ""en"", ""fa"")
"),"بازاریابی ایمیلی")</f>
        <v>بازاریابی ایمیلی</v>
      </c>
      <c r="G813" s="1" t="str">
        <f>IFERROR(__xludf.DUMMYFUNCTION("GOOGLETRANSLATE(C813, ""en"", ""fa"")
"),"در مورد نقش گنجاندن دکمه های اشتراک گذاری اجتماعی در ایمیل ها برای تشویق مشترکین به اشتراک گذاری محتوا با شبکه های خود و گسترش دامنه برند بحث کنید.")</f>
        <v>در مورد نقش گنجاندن دکمه های اشتراک گذاری اجتماعی در ایمیل ها برای تشویق مشترکین به اشتراک گذاری محتوا با شبکه های خود و گسترش دامنه برند بحث کنید.</v>
      </c>
      <c r="H813" s="1"/>
      <c r="I813" s="1"/>
      <c r="J813" s="1"/>
      <c r="K813" s="1"/>
      <c r="L813" s="1"/>
      <c r="M813" s="1"/>
      <c r="N813" s="1"/>
      <c r="O813" s="1"/>
      <c r="P813" s="1"/>
      <c r="Q813" s="1"/>
      <c r="R813" s="1"/>
      <c r="S813" s="1"/>
      <c r="T813" s="1"/>
      <c r="U813" s="1"/>
      <c r="V813" s="1"/>
      <c r="W813" s="1"/>
      <c r="X813" s="1"/>
      <c r="Y813" s="1"/>
      <c r="Z813" s="1"/>
      <c r="AA813" s="1"/>
      <c r="AB813" s="1"/>
    </row>
    <row r="814" ht="50.25" customHeight="1">
      <c r="A814" s="12">
        <v>810.0</v>
      </c>
      <c r="B814" s="13" t="s">
        <v>753</v>
      </c>
      <c r="C814" s="14" t="s">
        <v>819</v>
      </c>
      <c r="D814" s="1"/>
      <c r="E814" s="15"/>
      <c r="F814" s="1" t="str">
        <f>IFERROR(__xludf.DUMMYFUNCTION("GOOGLETRANSLATE(B814, ""en"", ""fa"")
"),"بازاریابی ایمیلی")</f>
        <v>بازاریابی ایمیلی</v>
      </c>
      <c r="G814" s="1" t="str">
        <f>IFERROR(__xludf.DUMMYFUNCTION("GOOGLETRANSLATE(C814, ""en"", ""fa"")
"),"استراتژی‌هایی را برای بهینه‌سازی فرم‌های ثبت نام ایمیل برای افزایش نرخ تبدیل و گرفتن اطلاعات مربوط به مشترکین به اشتراک بگذارید.")</f>
        <v>استراتژی‌هایی را برای بهینه‌سازی فرم‌های ثبت نام ایمیل برای افزایش نرخ تبدیل و گرفتن اطلاعات مربوط به مشترکین به اشتراک بگذارید.</v>
      </c>
      <c r="H814" s="1"/>
      <c r="I814" s="1"/>
      <c r="J814" s="1"/>
      <c r="K814" s="1"/>
      <c r="L814" s="1"/>
      <c r="M814" s="1"/>
      <c r="N814" s="1"/>
      <c r="O814" s="1"/>
      <c r="P814" s="1"/>
      <c r="Q814" s="1"/>
      <c r="R814" s="1"/>
      <c r="S814" s="1"/>
      <c r="T814" s="1"/>
      <c r="U814" s="1"/>
      <c r="V814" s="1"/>
      <c r="W814" s="1"/>
      <c r="X814" s="1"/>
      <c r="Y814" s="1"/>
      <c r="Z814" s="1"/>
      <c r="AA814" s="1"/>
      <c r="AB814" s="1"/>
    </row>
    <row r="815" ht="50.25" customHeight="1">
      <c r="A815" s="12">
        <v>811.0</v>
      </c>
      <c r="B815" s="13" t="s">
        <v>753</v>
      </c>
      <c r="C815" s="14" t="s">
        <v>820</v>
      </c>
      <c r="D815" s="1"/>
      <c r="E815" s="15"/>
      <c r="F815" s="1" t="str">
        <f>IFERROR(__xludf.DUMMYFUNCTION("GOOGLETRANSLATE(B815, ""en"", ""fa"")
"),"بازاریابی ایمیلی")</f>
        <v>بازاریابی ایمیلی</v>
      </c>
      <c r="G815" s="1" t="str">
        <f>IFERROR(__xludf.DUMMYFUNCTION("GOOGLETRANSLATE(C815, ""en"", ""fa"")
"),"مزایای انجام نظرسنجی های ایمیلی یا درخواست های بازخورد را برای جمع آوری بینش و بهبود استراتژی کلی بازاریابی ایمیلی بررسی کنید.")</f>
        <v>مزایای انجام نظرسنجی های ایمیلی یا درخواست های بازخورد را برای جمع آوری بینش و بهبود استراتژی کلی بازاریابی ایمیلی بررسی کنید.</v>
      </c>
      <c r="H815" s="1"/>
      <c r="I815" s="1"/>
      <c r="J815" s="1"/>
      <c r="K815" s="1"/>
      <c r="L815" s="1"/>
      <c r="M815" s="1"/>
      <c r="N815" s="1"/>
      <c r="O815" s="1"/>
      <c r="P815" s="1"/>
      <c r="Q815" s="1"/>
      <c r="R815" s="1"/>
      <c r="S815" s="1"/>
      <c r="T815" s="1"/>
      <c r="U815" s="1"/>
      <c r="V815" s="1"/>
      <c r="W815" s="1"/>
      <c r="X815" s="1"/>
      <c r="Y815" s="1"/>
      <c r="Z815" s="1"/>
      <c r="AA815" s="1"/>
      <c r="AB815" s="1"/>
    </row>
    <row r="816" ht="50.25" customHeight="1">
      <c r="A816" s="12">
        <v>812.0</v>
      </c>
      <c r="B816" s="13" t="s">
        <v>753</v>
      </c>
      <c r="C816" s="14" t="s">
        <v>821</v>
      </c>
      <c r="D816" s="1"/>
      <c r="E816" s="15"/>
      <c r="F816" s="1" t="str">
        <f>IFERROR(__xludf.DUMMYFUNCTION("GOOGLETRANSLATE(B816, ""en"", ""fa"")
"),"بازاریابی ایمیلی")</f>
        <v>بازاریابی ایمیلی</v>
      </c>
      <c r="G816" s="1" t="str">
        <f>IFERROR(__xludf.DUMMYFUNCTION("GOOGLETRANSLATE(C816, ""en"", ""fa"")
"),"در مورد تأثیر استفاده از محرک های احساسی در نوشتن ایمیل برای ارتباط با مشترکین در سطح عمیق تر و انجام اقدامات مورد نظر بحث کنید.")</f>
        <v>در مورد تأثیر استفاده از محرک های احساسی در نوشتن ایمیل برای ارتباط با مشترکین در سطح عمیق تر و انجام اقدامات مورد نظر بحث کنید.</v>
      </c>
      <c r="H816" s="1"/>
      <c r="I816" s="1"/>
      <c r="J816" s="1"/>
      <c r="K816" s="1"/>
      <c r="L816" s="1"/>
      <c r="M816" s="1"/>
      <c r="N816" s="1"/>
      <c r="O816" s="1"/>
      <c r="P816" s="1"/>
      <c r="Q816" s="1"/>
      <c r="R816" s="1"/>
      <c r="S816" s="1"/>
      <c r="T816" s="1"/>
      <c r="U816" s="1"/>
      <c r="V816" s="1"/>
      <c r="W816" s="1"/>
      <c r="X816" s="1"/>
      <c r="Y816" s="1"/>
      <c r="Z816" s="1"/>
      <c r="AA816" s="1"/>
      <c r="AB816" s="1"/>
    </row>
    <row r="817" ht="50.25" customHeight="1">
      <c r="A817" s="12">
        <v>813.0</v>
      </c>
      <c r="B817" s="13" t="s">
        <v>753</v>
      </c>
      <c r="C817" s="14" t="s">
        <v>822</v>
      </c>
      <c r="D817" s="1"/>
      <c r="E817" s="15"/>
      <c r="F817" s="1" t="str">
        <f>IFERROR(__xludf.DUMMYFUNCTION("GOOGLETRANSLATE(B817, ""en"", ""fa"")
"),"بازاریابی ایمیلی")</f>
        <v>بازاریابی ایمیلی</v>
      </c>
      <c r="G817" s="1" t="str">
        <f>IFERROR(__xludf.DUMMYFUNCTION("GOOGLETRANSLATE(C817, ""en"", ""fa"")
"),"نکاتی را برای بهینه سازی فرآیند لغو اشتراک ایمیل به اشتراک بگذارید تا تجربه مثبتی برای مشترکین ایجاد کنید و بازخورد ارزشمندی را جمع آوری کنید.")</f>
        <v>نکاتی را برای بهینه سازی فرآیند لغو اشتراک ایمیل به اشتراک بگذارید تا تجربه مثبتی برای مشترکین ایجاد کنید و بازخورد ارزشمندی را جمع آوری کنید.</v>
      </c>
      <c r="H817" s="1"/>
      <c r="I817" s="1"/>
      <c r="J817" s="1"/>
      <c r="K817" s="1"/>
      <c r="L817" s="1"/>
      <c r="M817" s="1"/>
      <c r="N817" s="1"/>
      <c r="O817" s="1"/>
      <c r="P817" s="1"/>
      <c r="Q817" s="1"/>
      <c r="R817" s="1"/>
      <c r="S817" s="1"/>
      <c r="T817" s="1"/>
      <c r="U817" s="1"/>
      <c r="V817" s="1"/>
      <c r="W817" s="1"/>
      <c r="X817" s="1"/>
      <c r="Y817" s="1"/>
      <c r="Z817" s="1"/>
      <c r="AA817" s="1"/>
      <c r="AB817" s="1"/>
    </row>
    <row r="818" ht="50.25" customHeight="1">
      <c r="A818" s="12">
        <v>814.0</v>
      </c>
      <c r="B818" s="13" t="s">
        <v>753</v>
      </c>
      <c r="C818" s="14" t="s">
        <v>823</v>
      </c>
      <c r="D818" s="1"/>
      <c r="E818" s="15"/>
      <c r="F818" s="1" t="str">
        <f>IFERROR(__xludf.DUMMYFUNCTION("GOOGLETRANSLATE(B818, ""en"", ""fa"")
"),"بازاریابی ایمیلی")</f>
        <v>بازاریابی ایمیلی</v>
      </c>
      <c r="G818" s="1" t="str">
        <f>IFERROR(__xludf.DUMMYFUNCTION("GOOGLETRANSLATE(C818, ""en"", ""fa"")
"),"مفهوم استفاده از ایمیل های شخصی تولد یا سالگرد را بررسی کنید تا مشترکین احساس ارزشمندی کنند و وفاداری طولانی مدت را تقویت کنند.")</f>
        <v>مفهوم استفاده از ایمیل های شخصی تولد یا سالگرد را بررسی کنید تا مشترکین احساس ارزشمندی کنند و وفاداری طولانی مدت را تقویت کنند.</v>
      </c>
      <c r="H818" s="1"/>
      <c r="I818" s="1"/>
      <c r="J818" s="1"/>
      <c r="K818" s="1"/>
      <c r="L818" s="1"/>
      <c r="M818" s="1"/>
      <c r="N818" s="1"/>
      <c r="O818" s="1"/>
      <c r="P818" s="1"/>
      <c r="Q818" s="1"/>
      <c r="R818" s="1"/>
      <c r="S818" s="1"/>
      <c r="T818" s="1"/>
      <c r="U818" s="1"/>
      <c r="V818" s="1"/>
      <c r="W818" s="1"/>
      <c r="X818" s="1"/>
      <c r="Y818" s="1"/>
      <c r="Z818" s="1"/>
      <c r="AA818" s="1"/>
      <c r="AB818" s="1"/>
    </row>
    <row r="819" ht="50.25" customHeight="1">
      <c r="A819" s="12">
        <v>815.0</v>
      </c>
      <c r="B819" s="13" t="s">
        <v>753</v>
      </c>
      <c r="C819" s="14" t="s">
        <v>824</v>
      </c>
      <c r="D819" s="1"/>
      <c r="E819" s="15"/>
      <c r="F819" s="1" t="str">
        <f>IFERROR(__xludf.DUMMYFUNCTION("GOOGLETRANSLATE(B819, ""en"", ""fa"")
"),"بازاریابی ایمیلی")</f>
        <v>بازاریابی ایمیلی</v>
      </c>
      <c r="G819" s="1" t="str">
        <f>IFERROR(__xludf.DUMMYFUNCTION("GOOGLETRANSLATE(C819, ""en"", ""fa"")
"),"درباره نقش ترکیب عناصر اثبات اجتماعی، مانند داستان های موفقیت مشتری یا تأییدیه های تأثیرگذار، در کمپین های ایمیل برای افزایش اعتبار بحث کنید.")</f>
        <v>درباره نقش ترکیب عناصر اثبات اجتماعی، مانند داستان های موفقیت مشتری یا تأییدیه های تأثیرگذار، در کمپین های ایمیل برای افزایش اعتبار بحث کنید.</v>
      </c>
      <c r="H819" s="1"/>
      <c r="I819" s="1"/>
      <c r="J819" s="1"/>
      <c r="K819" s="1"/>
      <c r="L819" s="1"/>
      <c r="M819" s="1"/>
      <c r="N819" s="1"/>
      <c r="O819" s="1"/>
      <c r="P819" s="1"/>
      <c r="Q819" s="1"/>
      <c r="R819" s="1"/>
      <c r="S819" s="1"/>
      <c r="T819" s="1"/>
      <c r="U819" s="1"/>
      <c r="V819" s="1"/>
      <c r="W819" s="1"/>
      <c r="X819" s="1"/>
      <c r="Y819" s="1"/>
      <c r="Z819" s="1"/>
      <c r="AA819" s="1"/>
      <c r="AB819" s="1"/>
    </row>
    <row r="820" ht="50.25" customHeight="1">
      <c r="A820" s="12">
        <v>816.0</v>
      </c>
      <c r="B820" s="13" t="s">
        <v>753</v>
      </c>
      <c r="C820" s="14" t="s">
        <v>825</v>
      </c>
      <c r="D820" s="1"/>
      <c r="E820" s="15"/>
      <c r="F820" s="1" t="str">
        <f>IFERROR(__xludf.DUMMYFUNCTION("GOOGLETRANSLATE(B820, ""en"", ""fa"")
"),"بازاریابی ایمیلی")</f>
        <v>بازاریابی ایمیلی</v>
      </c>
      <c r="G820" s="1" t="str">
        <f>IFERROR(__xludf.DUMMYFUNCTION("GOOGLETRANSLATE(C820, ""en"", ""fa"")
"),"استراتژی‌هایی را برای ایجاد پیشنهادات و تبلیغات ایمیل قانع‌کننده که باعث ایجاد تبدیل و تشویق به اقدام فوری می‌شوند، به اشتراک بگذارید.")</f>
        <v>استراتژی‌هایی را برای ایجاد پیشنهادات و تبلیغات ایمیل قانع‌کننده که باعث ایجاد تبدیل و تشویق به اقدام فوری می‌شوند، به اشتراک بگذارید.</v>
      </c>
      <c r="H820" s="1"/>
      <c r="I820" s="1"/>
      <c r="J820" s="1"/>
      <c r="K820" s="1"/>
      <c r="L820" s="1"/>
      <c r="M820" s="1"/>
      <c r="N820" s="1"/>
      <c r="O820" s="1"/>
      <c r="P820" s="1"/>
      <c r="Q820" s="1"/>
      <c r="R820" s="1"/>
      <c r="S820" s="1"/>
      <c r="T820" s="1"/>
      <c r="U820" s="1"/>
      <c r="V820" s="1"/>
      <c r="W820" s="1"/>
      <c r="X820" s="1"/>
      <c r="Y820" s="1"/>
      <c r="Z820" s="1"/>
      <c r="AA820" s="1"/>
      <c r="AB820" s="1"/>
    </row>
    <row r="821" ht="50.25" customHeight="1">
      <c r="A821" s="12">
        <v>817.0</v>
      </c>
      <c r="B821" s="13" t="s">
        <v>753</v>
      </c>
      <c r="C821" s="14" t="s">
        <v>826</v>
      </c>
      <c r="D821" s="1"/>
      <c r="E821" s="15"/>
      <c r="F821" s="1" t="str">
        <f>IFERROR(__xludf.DUMMYFUNCTION("GOOGLETRANSLATE(B821, ""en"", ""fa"")
"),"بازاریابی ایمیلی")</f>
        <v>بازاریابی ایمیلی</v>
      </c>
      <c r="G821" s="1" t="str">
        <f>IFERROR(__xludf.DUMMYFUNCTION("GOOGLETRANSLATE(C821, ""en"", ""fa"")
"),"مزایای استفاده از محتوای ایمیل پویا که در زمان واقعی به‌روزرسانی می‌شوند، مانند تایمرهای شمارش معکوس یا به‌روزرسانی‌های موجودی زنده، برای ایجاد حس فوریت کاوش کنید.")</f>
        <v>مزایای استفاده از محتوای ایمیل پویا که در زمان واقعی به‌روزرسانی می‌شوند، مانند تایمرهای شمارش معکوس یا به‌روزرسانی‌های موجودی زنده، برای ایجاد حس فوریت کاوش کنید.</v>
      </c>
      <c r="H821" s="1"/>
      <c r="I821" s="1"/>
      <c r="J821" s="1"/>
      <c r="K821" s="1"/>
      <c r="L821" s="1"/>
      <c r="M821" s="1"/>
      <c r="N821" s="1"/>
      <c r="O821" s="1"/>
      <c r="P821" s="1"/>
      <c r="Q821" s="1"/>
      <c r="R821" s="1"/>
      <c r="S821" s="1"/>
      <c r="T821" s="1"/>
      <c r="U821" s="1"/>
      <c r="V821" s="1"/>
      <c r="W821" s="1"/>
      <c r="X821" s="1"/>
      <c r="Y821" s="1"/>
      <c r="Z821" s="1"/>
      <c r="AA821" s="1"/>
      <c r="AB821" s="1"/>
    </row>
    <row r="822" ht="50.25" customHeight="1">
      <c r="A822" s="12">
        <v>818.0</v>
      </c>
      <c r="B822" s="13" t="s">
        <v>753</v>
      </c>
      <c r="C822" s="14" t="s">
        <v>827</v>
      </c>
      <c r="D822" s="1"/>
      <c r="E822" s="15"/>
      <c r="F822" s="1" t="str">
        <f>IFERROR(__xludf.DUMMYFUNCTION("GOOGLETRANSLATE(B822, ""en"", ""fa"")
"),"بازاریابی ایمیلی")</f>
        <v>بازاریابی ایمیلی</v>
      </c>
      <c r="G822" s="1" t="str">
        <f>IFERROR(__xludf.DUMMYFUNCTION("GOOGLETRANSLATE(C822, ""en"", ""fa"")
"),"در مورد تأثیر استفاده از تقسیم بندی رفتاری برای ارسال ایمیل های هدفمند بر اساس اقدامات مشترکین و سطوح تعامل بحث کنید.")</f>
        <v>در مورد تأثیر استفاده از تقسیم بندی رفتاری برای ارسال ایمیل های هدفمند بر اساس اقدامات مشترکین و سطوح تعامل بحث کنید.</v>
      </c>
      <c r="H822" s="1"/>
      <c r="I822" s="1"/>
      <c r="J822" s="1"/>
      <c r="K822" s="1"/>
      <c r="L822" s="1"/>
      <c r="M822" s="1"/>
      <c r="N822" s="1"/>
      <c r="O822" s="1"/>
      <c r="P822" s="1"/>
      <c r="Q822" s="1"/>
      <c r="R822" s="1"/>
      <c r="S822" s="1"/>
      <c r="T822" s="1"/>
      <c r="U822" s="1"/>
      <c r="V822" s="1"/>
      <c r="W822" s="1"/>
      <c r="X822" s="1"/>
      <c r="Y822" s="1"/>
      <c r="Z822" s="1"/>
      <c r="AA822" s="1"/>
      <c r="AB822" s="1"/>
    </row>
    <row r="823" ht="50.25" customHeight="1">
      <c r="A823" s="12">
        <v>819.0</v>
      </c>
      <c r="B823" s="13" t="s">
        <v>753</v>
      </c>
      <c r="C823" s="14" t="s">
        <v>828</v>
      </c>
      <c r="D823" s="1"/>
      <c r="E823" s="15"/>
      <c r="F823" s="1" t="str">
        <f>IFERROR(__xludf.DUMMYFUNCTION("GOOGLETRANSLATE(B823, ""en"", ""fa"")
"),"بازاریابی ایمیلی")</f>
        <v>بازاریابی ایمیلی</v>
      </c>
      <c r="G823" s="1" t="str">
        <f>IFERROR(__xludf.DUMMYFUNCTION("GOOGLETRANSLATE(C823, ""en"", ""fa"")
"),"نکاتی را برای ایجاد CTAهای ایمیل موثر که واضح، مختصر و قانع کننده باشد، به اشتراک بگذارید و گیرندگان را به انجام اقدامات مورد نظر سوق دهد.")</f>
        <v>نکاتی را برای ایجاد CTAهای ایمیل موثر که واضح، مختصر و قانع کننده باشد، به اشتراک بگذارید و گیرندگان را به انجام اقدامات مورد نظر سوق دهد.</v>
      </c>
      <c r="H823" s="1"/>
      <c r="I823" s="1"/>
      <c r="J823" s="1"/>
      <c r="K823" s="1"/>
      <c r="L823" s="1"/>
      <c r="M823" s="1"/>
      <c r="N823" s="1"/>
      <c r="O823" s="1"/>
      <c r="P823" s="1"/>
      <c r="Q823" s="1"/>
      <c r="R823" s="1"/>
      <c r="S823" s="1"/>
      <c r="T823" s="1"/>
      <c r="U823" s="1"/>
      <c r="V823" s="1"/>
      <c r="W823" s="1"/>
      <c r="X823" s="1"/>
      <c r="Y823" s="1"/>
      <c r="Z823" s="1"/>
      <c r="AA823" s="1"/>
      <c r="AB823" s="1"/>
    </row>
    <row r="824" ht="50.25" customHeight="1">
      <c r="A824" s="12">
        <v>820.0</v>
      </c>
      <c r="B824" s="13" t="s">
        <v>753</v>
      </c>
      <c r="C824" s="14" t="s">
        <v>829</v>
      </c>
      <c r="D824" s="1"/>
      <c r="E824" s="15"/>
      <c r="F824" s="1" t="str">
        <f>IFERROR(__xludf.DUMMYFUNCTION("GOOGLETRANSLATE(B824, ""en"", ""fa"")
"),"بازاریابی ایمیلی")</f>
        <v>بازاریابی ایمیلی</v>
      </c>
      <c r="G824" s="1" t="str">
        <f>IFERROR(__xludf.DUMMYFUNCTION("GOOGLETRANSLATE(C824, ""en"", ""fa"")
"),"مفهوم استفاده از شخصیت های مشتری را برای هدایت ایجاد محتوای ایمیل و اطمینان از اینکه پیام ها با مخاطب مورد نظر طنین انداز می شوند را بررسی کنید.")</f>
        <v>مفهوم استفاده از شخصیت های مشتری را برای هدایت ایجاد محتوای ایمیل و اطمینان از اینکه پیام ها با مخاطب مورد نظر طنین انداز می شوند را بررسی کنید.</v>
      </c>
      <c r="H824" s="1"/>
      <c r="I824" s="1"/>
      <c r="J824" s="1"/>
      <c r="K824" s="1"/>
      <c r="L824" s="1"/>
      <c r="M824" s="1"/>
      <c r="N824" s="1"/>
      <c r="O824" s="1"/>
      <c r="P824" s="1"/>
      <c r="Q824" s="1"/>
      <c r="R824" s="1"/>
      <c r="S824" s="1"/>
      <c r="T824" s="1"/>
      <c r="U824" s="1"/>
      <c r="V824" s="1"/>
      <c r="W824" s="1"/>
      <c r="X824" s="1"/>
      <c r="Y824" s="1"/>
      <c r="Z824" s="1"/>
      <c r="AA824" s="1"/>
      <c r="AB824" s="1"/>
    </row>
    <row r="825" ht="50.25" customHeight="1">
      <c r="A825" s="12">
        <v>821.0</v>
      </c>
      <c r="B825" s="13" t="s">
        <v>753</v>
      </c>
      <c r="C825" s="14" t="s">
        <v>830</v>
      </c>
      <c r="D825" s="1"/>
      <c r="E825" s="15"/>
      <c r="F825" s="1" t="str">
        <f>IFERROR(__xludf.DUMMYFUNCTION("GOOGLETRANSLATE(B825, ""en"", ""fa"")
"),"بازاریابی ایمیلی")</f>
        <v>بازاریابی ایمیلی</v>
      </c>
      <c r="G825" s="1" t="str">
        <f>IFERROR(__xludf.DUMMYFUNCTION("GOOGLETRANSLATE(C825, ""en"", ""fa"")
"),"درباره نقش گنجاندن مسابقات رسانه‌های اجتماعی یا هدایا در کمپین‌های ایمیلی برای تشویق مشارکت مشترک و رشد فهرست بحث کنید.")</f>
        <v>درباره نقش گنجاندن مسابقات رسانه‌های اجتماعی یا هدایا در کمپین‌های ایمیلی برای تشویق مشارکت مشترک و رشد فهرست بحث کنید.</v>
      </c>
      <c r="H825" s="1"/>
      <c r="I825" s="1"/>
      <c r="J825" s="1"/>
      <c r="K825" s="1"/>
      <c r="L825" s="1"/>
      <c r="M825" s="1"/>
      <c r="N825" s="1"/>
      <c r="O825" s="1"/>
      <c r="P825" s="1"/>
      <c r="Q825" s="1"/>
      <c r="R825" s="1"/>
      <c r="S825" s="1"/>
      <c r="T825" s="1"/>
      <c r="U825" s="1"/>
      <c r="V825" s="1"/>
      <c r="W825" s="1"/>
      <c r="X825" s="1"/>
      <c r="Y825" s="1"/>
      <c r="Z825" s="1"/>
      <c r="AA825" s="1"/>
      <c r="AB825" s="1"/>
    </row>
    <row r="826" ht="50.25" customHeight="1">
      <c r="A826" s="12">
        <v>822.0</v>
      </c>
      <c r="B826" s="13" t="s">
        <v>753</v>
      </c>
      <c r="C826" s="14" t="s">
        <v>831</v>
      </c>
      <c r="D826" s="1"/>
      <c r="E826" s="15"/>
      <c r="F826" s="1" t="str">
        <f>IFERROR(__xludf.DUMMYFUNCTION("GOOGLETRANSLATE(B826, ""en"", ""fa"")
"),"بازاریابی ایمیلی")</f>
        <v>بازاریابی ایمیلی</v>
      </c>
      <c r="G826" s="1" t="str">
        <f>IFERROR(__xludf.DUMMYFUNCTION("GOOGLETRANSLATE(C826, ""en"", ""fa"")
"),"استراتژی های بهینه سازی متن پیش نمایش ایمیل را به اشتراک بگذارید تا پیش نمایشی از محتوای ایمیل ارائه شود و گیرندگان را ترغیب کنید تا ایمیل را باز کنند.")</f>
        <v>استراتژی های بهینه سازی متن پیش نمایش ایمیل را به اشتراک بگذارید تا پیش نمایشی از محتوای ایمیل ارائه شود و گیرندگان را ترغیب کنید تا ایمیل را باز کنند.</v>
      </c>
      <c r="H826" s="1"/>
      <c r="I826" s="1"/>
      <c r="J826" s="1"/>
      <c r="K826" s="1"/>
      <c r="L826" s="1"/>
      <c r="M826" s="1"/>
      <c r="N826" s="1"/>
      <c r="O826" s="1"/>
      <c r="P826" s="1"/>
      <c r="Q826" s="1"/>
      <c r="R826" s="1"/>
      <c r="S826" s="1"/>
      <c r="T826" s="1"/>
      <c r="U826" s="1"/>
      <c r="V826" s="1"/>
      <c r="W826" s="1"/>
      <c r="X826" s="1"/>
      <c r="Y826" s="1"/>
      <c r="Z826" s="1"/>
      <c r="AA826" s="1"/>
      <c r="AB826" s="1"/>
    </row>
    <row r="827" ht="50.25" customHeight="1">
      <c r="A827" s="12">
        <v>823.0</v>
      </c>
      <c r="B827" s="13" t="s">
        <v>753</v>
      </c>
      <c r="C827" s="14" t="s">
        <v>832</v>
      </c>
      <c r="D827" s="1"/>
      <c r="E827" s="15"/>
      <c r="F827" s="1" t="str">
        <f>IFERROR(__xludf.DUMMYFUNCTION("GOOGLETRANSLATE(B827, ""en"", ""fa"")
"),"بازاریابی ایمیلی")</f>
        <v>بازاریابی ایمیلی</v>
      </c>
      <c r="G827" s="1" t="str">
        <f>IFERROR(__xludf.DUMMYFUNCTION("GOOGLETRANSLATE(C827, ""en"", ""fa"")
"),"مزایای استفاده از شخصی‌سازی ایمیل را فراتر از نام‌های مشترک، مانند ترکیب پیشنهادات خاص مکان یا محتوای متناسب بر اساس داده‌های مشترک، کاوش کنید.")</f>
        <v>مزایای استفاده از شخصی‌سازی ایمیل را فراتر از نام‌های مشترک، مانند ترکیب پیشنهادات خاص مکان یا محتوای متناسب بر اساس داده‌های مشترک، کاوش کنید.</v>
      </c>
      <c r="H827" s="1"/>
      <c r="I827" s="1"/>
      <c r="J827" s="1"/>
      <c r="K827" s="1"/>
      <c r="L827" s="1"/>
      <c r="M827" s="1"/>
      <c r="N827" s="1"/>
      <c r="O827" s="1"/>
      <c r="P827" s="1"/>
      <c r="Q827" s="1"/>
      <c r="R827" s="1"/>
      <c r="S827" s="1"/>
      <c r="T827" s="1"/>
      <c r="U827" s="1"/>
      <c r="V827" s="1"/>
      <c r="W827" s="1"/>
      <c r="X827" s="1"/>
      <c r="Y827" s="1"/>
      <c r="Z827" s="1"/>
      <c r="AA827" s="1"/>
      <c r="AB827" s="1"/>
    </row>
    <row r="828" ht="50.25" customHeight="1">
      <c r="A828" s="12">
        <v>824.0</v>
      </c>
      <c r="B828" s="13" t="s">
        <v>753</v>
      </c>
      <c r="C828" s="14" t="s">
        <v>833</v>
      </c>
      <c r="D828" s="1"/>
      <c r="E828" s="15"/>
      <c r="F828" s="1" t="str">
        <f>IFERROR(__xludf.DUMMYFUNCTION("GOOGLETRANSLATE(B828, ""en"", ""fa"")
"),"بازاریابی ایمیلی")</f>
        <v>بازاریابی ایمیلی</v>
      </c>
      <c r="G828" s="1" t="str">
        <f>IFERROR(__xludf.DUMMYFUNCTION("GOOGLETRANSLATE(C828, ""en"", ""fa"")
"),"در مورد تأثیر استفاده از کمپین های تعامل مجدد ایمیل برای بازگرداندن مشترکین غیرفعال و برانگیختن مجدد علاقه آنها به برند بحث کنید.")</f>
        <v>در مورد تأثیر استفاده از کمپین های تعامل مجدد ایمیل برای بازگرداندن مشترکین غیرفعال و برانگیختن مجدد علاقه آنها به برند بحث کنید.</v>
      </c>
      <c r="H828" s="1"/>
      <c r="I828" s="1"/>
      <c r="J828" s="1"/>
      <c r="K828" s="1"/>
      <c r="L828" s="1"/>
      <c r="M828" s="1"/>
      <c r="N828" s="1"/>
      <c r="O828" s="1"/>
      <c r="P828" s="1"/>
      <c r="Q828" s="1"/>
      <c r="R828" s="1"/>
      <c r="S828" s="1"/>
      <c r="T828" s="1"/>
      <c r="U828" s="1"/>
      <c r="V828" s="1"/>
      <c r="W828" s="1"/>
      <c r="X828" s="1"/>
      <c r="Y828" s="1"/>
      <c r="Z828" s="1"/>
      <c r="AA828" s="1"/>
      <c r="AB828" s="1"/>
    </row>
    <row r="829" ht="50.25" customHeight="1">
      <c r="A829" s="12">
        <v>825.0</v>
      </c>
      <c r="B829" s="13" t="s">
        <v>753</v>
      </c>
      <c r="C829" s="14" t="s">
        <v>834</v>
      </c>
      <c r="D829" s="1"/>
      <c r="E829" s="15"/>
      <c r="F829" s="1" t="str">
        <f>IFERROR(__xludf.DUMMYFUNCTION("GOOGLETRANSLATE(B829, ""en"", ""fa"")
"),"بازاریابی ایمیلی")</f>
        <v>بازاریابی ایمیلی</v>
      </c>
      <c r="G829" s="1" t="str">
        <f>IFERROR(__xludf.DUMMYFUNCTION("GOOGLETRANSLATE(C829, ""en"", ""fa"")
"),"نکاتی را برای بهینه‌سازی فرکانس ایمیل به اشتراک بگذارید تا تعادل مناسب بین حفظ ذهنیت و اجتناب از خستگی مشترک را بیابید.")</f>
        <v>نکاتی را برای بهینه‌سازی فرکانس ایمیل به اشتراک بگذارید تا تعادل مناسب بین حفظ ذهنیت و اجتناب از خستگی مشترک را بیابید.</v>
      </c>
      <c r="H829" s="1"/>
      <c r="I829" s="1"/>
      <c r="J829" s="1"/>
      <c r="K829" s="1"/>
      <c r="L829" s="1"/>
      <c r="M829" s="1"/>
      <c r="N829" s="1"/>
      <c r="O829" s="1"/>
      <c r="P829" s="1"/>
      <c r="Q829" s="1"/>
      <c r="R829" s="1"/>
      <c r="S829" s="1"/>
      <c r="T829" s="1"/>
      <c r="U829" s="1"/>
      <c r="V829" s="1"/>
      <c r="W829" s="1"/>
      <c r="X829" s="1"/>
      <c r="Y829" s="1"/>
      <c r="Z829" s="1"/>
      <c r="AA829" s="1"/>
      <c r="AB829" s="1"/>
    </row>
    <row r="830" ht="50.25" customHeight="1">
      <c r="A830" s="12">
        <v>826.0</v>
      </c>
      <c r="B830" s="13" t="s">
        <v>753</v>
      </c>
      <c r="C830" s="14" t="s">
        <v>835</v>
      </c>
      <c r="D830" s="1"/>
      <c r="E830" s="15"/>
      <c r="F830" s="1" t="str">
        <f>IFERROR(__xludf.DUMMYFUNCTION("GOOGLETRANSLATE(B830, ""en"", ""fa"")
"),"بازاریابی ایمیلی")</f>
        <v>بازاریابی ایمیلی</v>
      </c>
      <c r="G830" s="1" t="str">
        <f>IFERROR(__xludf.DUMMYFUNCTION("GOOGLETRANSLATE(C830, ""en"", ""fa"")
"),"مفهوم استفاده از ایمیل های راه اندازی شده برای ارائه توصیه های شخصی بر اساس رفتار مرور یا خریدهای قبلی را بررسی کنید.")</f>
        <v>مفهوم استفاده از ایمیل های راه اندازی شده برای ارائه توصیه های شخصی بر اساس رفتار مرور یا خریدهای قبلی را بررسی کنید.</v>
      </c>
      <c r="H830" s="1"/>
      <c r="I830" s="1"/>
      <c r="J830" s="1"/>
      <c r="K830" s="1"/>
      <c r="L830" s="1"/>
      <c r="M830" s="1"/>
      <c r="N830" s="1"/>
      <c r="O830" s="1"/>
      <c r="P830" s="1"/>
      <c r="Q830" s="1"/>
      <c r="R830" s="1"/>
      <c r="S830" s="1"/>
      <c r="T830" s="1"/>
      <c r="U830" s="1"/>
      <c r="V830" s="1"/>
      <c r="W830" s="1"/>
      <c r="X830" s="1"/>
      <c r="Y830" s="1"/>
      <c r="Z830" s="1"/>
      <c r="AA830" s="1"/>
      <c r="AB830" s="1"/>
    </row>
    <row r="831" ht="50.25" customHeight="1">
      <c r="A831" s="12">
        <v>827.0</v>
      </c>
      <c r="B831" s="13" t="s">
        <v>753</v>
      </c>
      <c r="C831" s="14" t="s">
        <v>836</v>
      </c>
      <c r="D831" s="1"/>
      <c r="E831" s="15"/>
      <c r="F831" s="1" t="str">
        <f>IFERROR(__xludf.DUMMYFUNCTION("GOOGLETRANSLATE(B831, ""en"", ""fa"")
"),"بازاریابی ایمیلی")</f>
        <v>بازاریابی ایمیلی</v>
      </c>
      <c r="G831" s="1" t="str">
        <f>IFERROR(__xludf.DUMMYFUNCTION("GOOGLETRANSLATE(C831, ""en"", ""fa"")
"),"در مورد نقش ترکیب عناصر اثبات اجتماعی، مانند توصیفات مشتری یا ذکر رسانه های اجتماعی، در کمپین های ایمیل برای ایجاد اعتماد و اعتبار بحث کنید.")</f>
        <v>در مورد نقش ترکیب عناصر اثبات اجتماعی، مانند توصیفات مشتری یا ذکر رسانه های اجتماعی، در کمپین های ایمیل برای ایجاد اعتماد و اعتبار بحث کنید.</v>
      </c>
      <c r="H831" s="1"/>
      <c r="I831" s="1"/>
      <c r="J831" s="1"/>
      <c r="K831" s="1"/>
      <c r="L831" s="1"/>
      <c r="M831" s="1"/>
      <c r="N831" s="1"/>
      <c r="O831" s="1"/>
      <c r="P831" s="1"/>
      <c r="Q831" s="1"/>
      <c r="R831" s="1"/>
      <c r="S831" s="1"/>
      <c r="T831" s="1"/>
      <c r="U831" s="1"/>
      <c r="V831" s="1"/>
      <c r="W831" s="1"/>
      <c r="X831" s="1"/>
      <c r="Y831" s="1"/>
      <c r="Z831" s="1"/>
      <c r="AA831" s="1"/>
      <c r="AB831" s="1"/>
    </row>
    <row r="832" ht="50.25" customHeight="1">
      <c r="A832" s="12">
        <v>828.0</v>
      </c>
      <c r="B832" s="13" t="s">
        <v>753</v>
      </c>
      <c r="C832" s="14" t="s">
        <v>837</v>
      </c>
      <c r="D832" s="1"/>
      <c r="E832" s="15"/>
      <c r="F832" s="1" t="str">
        <f>IFERROR(__xludf.DUMMYFUNCTION("GOOGLETRANSLATE(B832, ""en"", ""fa"")
"),"بازاریابی ایمیلی")</f>
        <v>بازاریابی ایمیلی</v>
      </c>
      <c r="G832" s="1" t="str">
        <f>IFERROR(__xludf.DUMMYFUNCTION("GOOGLETRANSLATE(C832, ""en"", ""fa"")
"),"استراتژی‌های استفاده از تقسیم‌بندی ایمیل برای ارائه محتوای هدفمند بر اساس علایق، اولویت‌ها یا جمعیت‌شناسی مشترکان را به اشتراک بگذارید.")</f>
        <v>استراتژی‌های استفاده از تقسیم‌بندی ایمیل برای ارائه محتوای هدفمند بر اساس علایق، اولویت‌ها یا جمعیت‌شناسی مشترکان را به اشتراک بگذارید.</v>
      </c>
      <c r="H832" s="1"/>
      <c r="I832" s="1"/>
      <c r="J832" s="1"/>
      <c r="K832" s="1"/>
      <c r="L832" s="1"/>
      <c r="M832" s="1"/>
      <c r="N832" s="1"/>
      <c r="O832" s="1"/>
      <c r="P832" s="1"/>
      <c r="Q832" s="1"/>
      <c r="R832" s="1"/>
      <c r="S832" s="1"/>
      <c r="T832" s="1"/>
      <c r="U832" s="1"/>
      <c r="V832" s="1"/>
      <c r="W832" s="1"/>
      <c r="X832" s="1"/>
      <c r="Y832" s="1"/>
      <c r="Z832" s="1"/>
      <c r="AA832" s="1"/>
      <c r="AB832" s="1"/>
    </row>
    <row r="833" ht="50.25" customHeight="1">
      <c r="A833" s="12">
        <v>829.0</v>
      </c>
      <c r="B833" s="13" t="s">
        <v>753</v>
      </c>
      <c r="C833" s="14" t="s">
        <v>838</v>
      </c>
      <c r="D833" s="1"/>
      <c r="E833" s="15"/>
      <c r="F833" s="1" t="str">
        <f>IFERROR(__xludf.DUMMYFUNCTION("GOOGLETRANSLATE(B833, ""en"", ""fa"")
"),"بازاریابی ایمیلی")</f>
        <v>بازاریابی ایمیلی</v>
      </c>
      <c r="G833" s="1" t="str">
        <f>IFERROR(__xludf.DUMMYFUNCTION("GOOGLETRANSLATE(C833, ""en"", ""fa"")
"),"مزایای استفاده از اتوماسیون ایمیل برای ساده‌سازی کارهای تکراری، مانند ایمیل‌های خوش‌آمدگویی یا تأیید سفارش، و صرفه‌جویی در زمان را بررسی کنید.")</f>
        <v>مزایای استفاده از اتوماسیون ایمیل برای ساده‌سازی کارهای تکراری، مانند ایمیل‌های خوش‌آمدگویی یا تأیید سفارش، و صرفه‌جویی در زمان را بررسی کنید.</v>
      </c>
      <c r="H833" s="1"/>
      <c r="I833" s="1"/>
      <c r="J833" s="1"/>
      <c r="K833" s="1"/>
      <c r="L833" s="1"/>
      <c r="M833" s="1"/>
      <c r="N833" s="1"/>
      <c r="O833" s="1"/>
      <c r="P833" s="1"/>
      <c r="Q833" s="1"/>
      <c r="R833" s="1"/>
      <c r="S833" s="1"/>
      <c r="T833" s="1"/>
      <c r="U833" s="1"/>
      <c r="V833" s="1"/>
      <c r="W833" s="1"/>
      <c r="X833" s="1"/>
      <c r="Y833" s="1"/>
      <c r="Z833" s="1"/>
      <c r="AA833" s="1"/>
      <c r="AB833" s="1"/>
    </row>
    <row r="834" ht="50.25" customHeight="1">
      <c r="A834" s="12">
        <v>830.0</v>
      </c>
      <c r="B834" s="13" t="s">
        <v>753</v>
      </c>
      <c r="C834" s="14" t="s">
        <v>839</v>
      </c>
      <c r="D834" s="1"/>
      <c r="E834" s="15"/>
      <c r="F834" s="1" t="str">
        <f>IFERROR(__xludf.DUMMYFUNCTION("GOOGLETRANSLATE(B834, ""en"", ""fa"")
"),"بازاریابی ایمیلی")</f>
        <v>بازاریابی ایمیلی</v>
      </c>
      <c r="G834" s="1" t="str">
        <f>IFERROR(__xludf.DUMMYFUNCTION("GOOGLETRANSLATE(C834, ""en"", ""fa"")
"),"در مورد تأثیر استفاده از داستان سرایی متقاعدکننده در نوشتن ایمیل برای ایجاد ارتباط با مشترکین بحث کنید و آنها را وادار به اقدام کنید.")</f>
        <v>در مورد تأثیر استفاده از داستان سرایی متقاعدکننده در نوشتن ایمیل برای ایجاد ارتباط با مشترکین بحث کنید و آنها را وادار به اقدام کنید.</v>
      </c>
      <c r="H834" s="1"/>
      <c r="I834" s="1"/>
      <c r="J834" s="1"/>
      <c r="K834" s="1"/>
      <c r="L834" s="1"/>
      <c r="M834" s="1"/>
      <c r="N834" s="1"/>
      <c r="O834" s="1"/>
      <c r="P834" s="1"/>
      <c r="Q834" s="1"/>
      <c r="R834" s="1"/>
      <c r="S834" s="1"/>
      <c r="T834" s="1"/>
      <c r="U834" s="1"/>
      <c r="V834" s="1"/>
      <c r="W834" s="1"/>
      <c r="X834" s="1"/>
      <c r="Y834" s="1"/>
      <c r="Z834" s="1"/>
      <c r="AA834" s="1"/>
      <c r="AB834" s="1"/>
    </row>
    <row r="835" ht="50.25" customHeight="1">
      <c r="A835" s="12">
        <v>831.0</v>
      </c>
      <c r="B835" s="13" t="s">
        <v>753</v>
      </c>
      <c r="C835" s="14" t="s">
        <v>840</v>
      </c>
      <c r="D835" s="1"/>
      <c r="E835" s="15"/>
      <c r="F835" s="1" t="str">
        <f>IFERROR(__xludf.DUMMYFUNCTION("GOOGLETRANSLATE(B835, ""en"", ""fa"")
"),"بازاریابی ایمیلی")</f>
        <v>بازاریابی ایمیلی</v>
      </c>
      <c r="G835" s="1" t="str">
        <f>IFERROR(__xludf.DUMMYFUNCTION("GOOGLETRANSLATE(C835, ""en"", ""fa"")
"),"برای بهبود خوانایی، نکاتی را برای بهینه‌سازی طرح‌بندی ایمیل‌ها از جمله سرفصل‌های واضح، نقاط گلوله و محتوای مختصر به اشتراک بگذارید.")</f>
        <v>برای بهبود خوانایی، نکاتی را برای بهینه‌سازی طرح‌بندی ایمیل‌ها از جمله سرفصل‌های واضح، نقاط گلوله و محتوای مختصر به اشتراک بگذارید.</v>
      </c>
      <c r="H835" s="1"/>
      <c r="I835" s="1"/>
      <c r="J835" s="1"/>
      <c r="K835" s="1"/>
      <c r="L835" s="1"/>
      <c r="M835" s="1"/>
      <c r="N835" s="1"/>
      <c r="O835" s="1"/>
      <c r="P835" s="1"/>
      <c r="Q835" s="1"/>
      <c r="R835" s="1"/>
      <c r="S835" s="1"/>
      <c r="T835" s="1"/>
      <c r="U835" s="1"/>
      <c r="V835" s="1"/>
      <c r="W835" s="1"/>
      <c r="X835" s="1"/>
      <c r="Y835" s="1"/>
      <c r="Z835" s="1"/>
      <c r="AA835" s="1"/>
      <c r="AB835" s="1"/>
    </row>
    <row r="836" ht="50.25" customHeight="1">
      <c r="A836" s="12">
        <v>832.0</v>
      </c>
      <c r="B836" s="13" t="s">
        <v>753</v>
      </c>
      <c r="C836" s="14" t="s">
        <v>841</v>
      </c>
      <c r="D836" s="1"/>
      <c r="E836" s="15"/>
      <c r="F836" s="1" t="str">
        <f>IFERROR(__xludf.DUMMYFUNCTION("GOOGLETRANSLATE(B836, ""en"", ""fa"")
"),"بازاریابی ایمیلی")</f>
        <v>بازاریابی ایمیلی</v>
      </c>
      <c r="G836" s="1" t="str">
        <f>IFERROR(__xludf.DUMMYFUNCTION("GOOGLETRANSLATE(C836, ""en"", ""fa"")
"),"مفهوم استفاده از شخصی‌سازی ایمیل برای ارائه توصیه‌های محصول یا محتوای مناسب بر اساس تعاملات گذشته مشترکین را بررسی کنید.")</f>
        <v>مفهوم استفاده از شخصی‌سازی ایمیل برای ارائه توصیه‌های محصول یا محتوای مناسب بر اساس تعاملات گذشته مشترکین را بررسی کنید.</v>
      </c>
      <c r="H836" s="1"/>
      <c r="I836" s="1"/>
      <c r="J836" s="1"/>
      <c r="K836" s="1"/>
      <c r="L836" s="1"/>
      <c r="M836" s="1"/>
      <c r="N836" s="1"/>
      <c r="O836" s="1"/>
      <c r="P836" s="1"/>
      <c r="Q836" s="1"/>
      <c r="R836" s="1"/>
      <c r="S836" s="1"/>
      <c r="T836" s="1"/>
      <c r="U836" s="1"/>
      <c r="V836" s="1"/>
      <c r="W836" s="1"/>
      <c r="X836" s="1"/>
      <c r="Y836" s="1"/>
      <c r="Z836" s="1"/>
      <c r="AA836" s="1"/>
      <c r="AB836" s="1"/>
    </row>
    <row r="837" ht="50.25" customHeight="1">
      <c r="A837" s="12">
        <v>833.0</v>
      </c>
      <c r="B837" s="13" t="s">
        <v>753</v>
      </c>
      <c r="C837" s="14" t="s">
        <v>842</v>
      </c>
      <c r="D837" s="1"/>
      <c r="E837" s="15"/>
      <c r="F837" s="1" t="str">
        <f>IFERROR(__xludf.DUMMYFUNCTION("GOOGLETRANSLATE(B837, ""en"", ""fa"")
"),"بازاریابی ایمیلی")</f>
        <v>بازاریابی ایمیلی</v>
      </c>
      <c r="G837" s="1" t="str">
        <f>IFERROR(__xludf.DUMMYFUNCTION("GOOGLETRANSLATE(C837, ""en"", ""fa"")
"),"درباره نقش استفاده از تجزیه و تحلیل ایمیل برای ردیابی معیارهای کلیدی، مانند نرخ باز، نرخ کلیک و تبدیل، و بهینه سازی های مبتنی بر داده بحث کنید.")</f>
        <v>درباره نقش استفاده از تجزیه و تحلیل ایمیل برای ردیابی معیارهای کلیدی، مانند نرخ باز، نرخ کلیک و تبدیل، و بهینه سازی های مبتنی بر داده بحث کنید.</v>
      </c>
      <c r="H837" s="1"/>
      <c r="I837" s="1"/>
      <c r="J837" s="1"/>
      <c r="K837" s="1"/>
      <c r="L837" s="1"/>
      <c r="M837" s="1"/>
      <c r="N837" s="1"/>
      <c r="O837" s="1"/>
      <c r="P837" s="1"/>
      <c r="Q837" s="1"/>
      <c r="R837" s="1"/>
      <c r="S837" s="1"/>
      <c r="T837" s="1"/>
      <c r="U837" s="1"/>
      <c r="V837" s="1"/>
      <c r="W837" s="1"/>
      <c r="X837" s="1"/>
      <c r="Y837" s="1"/>
      <c r="Z837" s="1"/>
      <c r="AA837" s="1"/>
      <c r="AB837" s="1"/>
    </row>
    <row r="838" ht="50.25" customHeight="1">
      <c r="A838" s="12">
        <v>834.0</v>
      </c>
      <c r="B838" s="13" t="s">
        <v>753</v>
      </c>
      <c r="C838" s="14" t="s">
        <v>843</v>
      </c>
      <c r="D838" s="1"/>
      <c r="E838" s="15"/>
      <c r="F838" s="1" t="str">
        <f>IFERROR(__xludf.DUMMYFUNCTION("GOOGLETRANSLATE(B838, ""en"", ""fa"")
"),"بازاریابی ایمیلی")</f>
        <v>بازاریابی ایمیلی</v>
      </c>
      <c r="G838" s="1" t="str">
        <f>IFERROR(__xludf.DUMMYFUNCTION("GOOGLETRANSLATE(C838, ""en"", ""fa"")
"),"استراتژی‌هایی را برای استفاده از داده‌های مشتری برای ارسال کمپین‌های ایمیل شخصی‌شده، مانند پیشنهادهای سالگرد یا پیگیری‌های پس از خرید، به اشتراک بگذارید.")</f>
        <v>استراتژی‌هایی را برای استفاده از داده‌های مشتری برای ارسال کمپین‌های ایمیل شخصی‌شده، مانند پیشنهادهای سالگرد یا پیگیری‌های پس از خرید، به اشتراک بگذارید.</v>
      </c>
      <c r="H838" s="1"/>
      <c r="I838" s="1"/>
      <c r="J838" s="1"/>
      <c r="K838" s="1"/>
      <c r="L838" s="1"/>
      <c r="M838" s="1"/>
      <c r="N838" s="1"/>
      <c r="O838" s="1"/>
      <c r="P838" s="1"/>
      <c r="Q838" s="1"/>
      <c r="R838" s="1"/>
      <c r="S838" s="1"/>
      <c r="T838" s="1"/>
      <c r="U838" s="1"/>
      <c r="V838" s="1"/>
      <c r="W838" s="1"/>
      <c r="X838" s="1"/>
      <c r="Y838" s="1"/>
      <c r="Z838" s="1"/>
      <c r="AA838" s="1"/>
      <c r="AB838" s="1"/>
    </row>
    <row r="839" ht="50.25" customHeight="1">
      <c r="A839" s="12">
        <v>835.0</v>
      </c>
      <c r="B839" s="13" t="s">
        <v>753</v>
      </c>
      <c r="C839" s="14" t="s">
        <v>844</v>
      </c>
      <c r="D839" s="1"/>
      <c r="E839" s="15"/>
      <c r="F839" s="1" t="str">
        <f>IFERROR(__xludf.DUMMYFUNCTION("GOOGLETRANSLATE(B839, ""en"", ""fa"")
"),"بازاریابی ایمیلی")</f>
        <v>بازاریابی ایمیلی</v>
      </c>
      <c r="G839" s="1" t="str">
        <f>IFERROR(__xludf.DUMMYFUNCTION("GOOGLETRANSLATE(C839, ""en"", ""fa"")
"),"مزایای استفاده از تقسیم‌بندی ایمیل برای ارائه محتوای هدفمند به مراحل مختلف چرخه حیات مشتری، مانند دریافت ایمیل‌ها یا پاداش‌های وفاداری را بررسی کنید.")</f>
        <v>مزایای استفاده از تقسیم‌بندی ایمیل برای ارائه محتوای هدفمند به مراحل مختلف چرخه حیات مشتری، مانند دریافت ایمیل‌ها یا پاداش‌های وفاداری را بررسی کنید.</v>
      </c>
      <c r="H839" s="1"/>
      <c r="I839" s="1"/>
      <c r="J839" s="1"/>
      <c r="K839" s="1"/>
      <c r="L839" s="1"/>
      <c r="M839" s="1"/>
      <c r="N839" s="1"/>
      <c r="O839" s="1"/>
      <c r="P839" s="1"/>
      <c r="Q839" s="1"/>
      <c r="R839" s="1"/>
      <c r="S839" s="1"/>
      <c r="T839" s="1"/>
      <c r="U839" s="1"/>
      <c r="V839" s="1"/>
      <c r="W839" s="1"/>
      <c r="X839" s="1"/>
      <c r="Y839" s="1"/>
      <c r="Z839" s="1"/>
      <c r="AA839" s="1"/>
      <c r="AB839" s="1"/>
    </row>
    <row r="840" ht="50.25" customHeight="1">
      <c r="A840" s="12">
        <v>836.0</v>
      </c>
      <c r="B840" s="13" t="s">
        <v>753</v>
      </c>
      <c r="C840" s="14" t="s">
        <v>845</v>
      </c>
      <c r="D840" s="1"/>
      <c r="E840" s="15"/>
      <c r="F840" s="1" t="str">
        <f>IFERROR(__xludf.DUMMYFUNCTION("GOOGLETRANSLATE(B840, ""en"", ""fa"")
"),"بازاریابی ایمیلی")</f>
        <v>بازاریابی ایمیلی</v>
      </c>
      <c r="G840" s="1" t="str">
        <f>IFERROR(__xludf.DUMMYFUNCTION("GOOGLETRANSLATE(C840, ""en"", ""fa"")
"),"در مورد تأثیر استفاده از زبان و لحن مکالمه در نوشتن ایمیل برای ایجاد تجربه ای جذاب تر و مرتبط تر برای مشترکین بحث کنید.")</f>
        <v>در مورد تأثیر استفاده از زبان و لحن مکالمه در نوشتن ایمیل برای ایجاد تجربه ای جذاب تر و مرتبط تر برای مشترکین بحث کنید.</v>
      </c>
      <c r="H840" s="1"/>
      <c r="I840" s="1"/>
      <c r="J840" s="1"/>
      <c r="K840" s="1"/>
      <c r="L840" s="1"/>
      <c r="M840" s="1"/>
      <c r="N840" s="1"/>
      <c r="O840" s="1"/>
      <c r="P840" s="1"/>
      <c r="Q840" s="1"/>
      <c r="R840" s="1"/>
      <c r="S840" s="1"/>
      <c r="T840" s="1"/>
      <c r="U840" s="1"/>
      <c r="V840" s="1"/>
      <c r="W840" s="1"/>
      <c r="X840" s="1"/>
      <c r="Y840" s="1"/>
      <c r="Z840" s="1"/>
      <c r="AA840" s="1"/>
      <c r="AB840" s="1"/>
    </row>
    <row r="841" ht="50.25" customHeight="1">
      <c r="A841" s="12">
        <v>837.0</v>
      </c>
      <c r="B841" s="13" t="s">
        <v>753</v>
      </c>
      <c r="C841" s="14" t="s">
        <v>846</v>
      </c>
      <c r="D841" s="1"/>
      <c r="E841" s="15"/>
      <c r="F841" s="1" t="str">
        <f>IFERROR(__xludf.DUMMYFUNCTION("GOOGLETRANSLATE(B841, ""en"", ""fa"")
"),"بازاریابی ایمیلی")</f>
        <v>بازاریابی ایمیلی</v>
      </c>
      <c r="G841" s="1" t="str">
        <f>IFERROR(__xludf.DUMMYFUNCTION("GOOGLETRANSLATE(C841, ""en"", ""fa"")
"),"نکاتی را برای بهینه سازی تصاویر ایمیل، از جمله اندازه فایل مناسب و متن جایگزین، به اشتراک بگذارید تا مطمئن شوید که آنها به سرعت بارگیری می شوند و برای همه گیرندگان قابل دسترسی هستند.")</f>
        <v>نکاتی را برای بهینه سازی تصاویر ایمیل، از جمله اندازه فایل مناسب و متن جایگزین، به اشتراک بگذارید تا مطمئن شوید که آنها به سرعت بارگیری می شوند و برای همه گیرندگان قابل دسترسی هستند.</v>
      </c>
      <c r="H841" s="1"/>
      <c r="I841" s="1"/>
      <c r="J841" s="1"/>
      <c r="K841" s="1"/>
      <c r="L841" s="1"/>
      <c r="M841" s="1"/>
      <c r="N841" s="1"/>
      <c r="O841" s="1"/>
      <c r="P841" s="1"/>
      <c r="Q841" s="1"/>
      <c r="R841" s="1"/>
      <c r="S841" s="1"/>
      <c r="T841" s="1"/>
      <c r="U841" s="1"/>
      <c r="V841" s="1"/>
      <c r="W841" s="1"/>
      <c r="X841" s="1"/>
      <c r="Y841" s="1"/>
      <c r="Z841" s="1"/>
      <c r="AA841" s="1"/>
      <c r="AB841" s="1"/>
    </row>
    <row r="842" ht="50.25" customHeight="1">
      <c r="A842" s="12">
        <v>838.0</v>
      </c>
      <c r="B842" s="13" t="s">
        <v>753</v>
      </c>
      <c r="C842" s="14" t="s">
        <v>847</v>
      </c>
      <c r="D842" s="1"/>
      <c r="E842" s="15"/>
      <c r="F842" s="1" t="str">
        <f>IFERROR(__xludf.DUMMYFUNCTION("GOOGLETRANSLATE(B842, ""en"", ""fa"")
"),"بازاریابی ایمیلی")</f>
        <v>بازاریابی ایمیلی</v>
      </c>
      <c r="G842" s="1" t="str">
        <f>IFERROR(__xludf.DUMMYFUNCTION("GOOGLETRANSLATE(C842, ""en"", ""fa"")
"),"مفهوم استفاده از عناصر اثبات اجتماعی، مانند رتبه‌بندی مشتریان یا نظرات، در کمپین‌های ایمیلی را برای ایجاد اعتماد و تأثیرگذاری بر تصمیم‌گیری‌های خرید، بررسی کنید.")</f>
        <v>مفهوم استفاده از عناصر اثبات اجتماعی، مانند رتبه‌بندی مشتریان یا نظرات، در کمپین‌های ایمیلی را برای ایجاد اعتماد و تأثیرگذاری بر تصمیم‌گیری‌های خرید، بررسی کنید.</v>
      </c>
      <c r="H842" s="1"/>
      <c r="I842" s="1"/>
      <c r="J842" s="1"/>
      <c r="K842" s="1"/>
      <c r="L842" s="1"/>
      <c r="M842" s="1"/>
      <c r="N842" s="1"/>
      <c r="O842" s="1"/>
      <c r="P842" s="1"/>
      <c r="Q842" s="1"/>
      <c r="R842" s="1"/>
      <c r="S842" s="1"/>
      <c r="T842" s="1"/>
      <c r="U842" s="1"/>
      <c r="V842" s="1"/>
      <c r="W842" s="1"/>
      <c r="X842" s="1"/>
      <c r="Y842" s="1"/>
      <c r="Z842" s="1"/>
      <c r="AA842" s="1"/>
      <c r="AB842" s="1"/>
    </row>
    <row r="843" ht="50.25" customHeight="1">
      <c r="A843" s="12">
        <v>839.0</v>
      </c>
      <c r="B843" s="13" t="s">
        <v>753</v>
      </c>
      <c r="C843" s="14" t="s">
        <v>848</v>
      </c>
      <c r="D843" s="1"/>
      <c r="E843" s="15"/>
      <c r="F843" s="1" t="str">
        <f>IFERROR(__xludf.DUMMYFUNCTION("GOOGLETRANSLATE(B843, ""en"", ""fa"")
"),"بازاریابی ایمیلی")</f>
        <v>بازاریابی ایمیلی</v>
      </c>
      <c r="G843" s="1" t="str">
        <f>IFERROR(__xludf.DUMMYFUNCTION("GOOGLETRANSLATE(C843, ""en"", ""fa"")
"),"درباره نقش ترکیب تاکتیک‌های فوریت و کمیاب در بازاریابی ایمیلی، مانند پیشنهادات با زمان محدود یا تخفیف‌های انحصاری، برای اقدام فوری بحث کنید.")</f>
        <v>درباره نقش ترکیب تاکتیک‌های فوریت و کمیاب در بازاریابی ایمیلی، مانند پیشنهادات با زمان محدود یا تخفیف‌های انحصاری، برای اقدام فوری بحث کنید.</v>
      </c>
      <c r="H843" s="1"/>
      <c r="I843" s="1"/>
      <c r="J843" s="1"/>
      <c r="K843" s="1"/>
      <c r="L843" s="1"/>
      <c r="M843" s="1"/>
      <c r="N843" s="1"/>
      <c r="O843" s="1"/>
      <c r="P843" s="1"/>
      <c r="Q843" s="1"/>
      <c r="R843" s="1"/>
      <c r="S843" s="1"/>
      <c r="T843" s="1"/>
      <c r="U843" s="1"/>
      <c r="V843" s="1"/>
      <c r="W843" s="1"/>
      <c r="X843" s="1"/>
      <c r="Y843" s="1"/>
      <c r="Z843" s="1"/>
      <c r="AA843" s="1"/>
      <c r="AB843" s="1"/>
    </row>
    <row r="844" ht="50.25" customHeight="1">
      <c r="A844" s="12">
        <v>840.0</v>
      </c>
      <c r="B844" s="13" t="s">
        <v>753</v>
      </c>
      <c r="C844" s="14" t="s">
        <v>849</v>
      </c>
      <c r="D844" s="1"/>
      <c r="E844" s="15"/>
      <c r="F844" s="1" t="str">
        <f>IFERROR(__xludf.DUMMYFUNCTION("GOOGLETRANSLATE(B844, ""en"", ""fa"")
"),"بازاریابی ایمیلی")</f>
        <v>بازاریابی ایمیلی</v>
      </c>
      <c r="G844" s="1" t="str">
        <f>IFERROR(__xludf.DUMMYFUNCTION("GOOGLETRANSLATE(C844, ""en"", ""fa"")
"),"استراتژی‌هایی را برای ایجاد کمپین‌های چکه‌ای ایمیلی مؤثر که محتوای مرتبط را ارائه می‌کنند و در طول زمان منجر به رشد می‌شوند را به اشتراک بگذارید.")</f>
        <v>استراتژی‌هایی را برای ایجاد کمپین‌های چکه‌ای ایمیلی مؤثر که محتوای مرتبط را ارائه می‌کنند و در طول زمان منجر به رشد می‌شوند را به اشتراک بگذارید.</v>
      </c>
      <c r="H844" s="1"/>
      <c r="I844" s="1"/>
      <c r="J844" s="1"/>
      <c r="K844" s="1"/>
      <c r="L844" s="1"/>
      <c r="M844" s="1"/>
      <c r="N844" s="1"/>
      <c r="O844" s="1"/>
      <c r="P844" s="1"/>
      <c r="Q844" s="1"/>
      <c r="R844" s="1"/>
      <c r="S844" s="1"/>
      <c r="T844" s="1"/>
      <c r="U844" s="1"/>
      <c r="V844" s="1"/>
      <c r="W844" s="1"/>
      <c r="X844" s="1"/>
      <c r="Y844" s="1"/>
      <c r="Z844" s="1"/>
      <c r="AA844" s="1"/>
      <c r="AB844" s="1"/>
    </row>
    <row r="845" ht="50.25" customHeight="1">
      <c r="A845" s="12">
        <v>841.0</v>
      </c>
      <c r="B845" s="13" t="s">
        <v>753</v>
      </c>
      <c r="C845" s="14" t="s">
        <v>850</v>
      </c>
      <c r="D845" s="1"/>
      <c r="E845" s="15"/>
      <c r="F845" s="1" t="str">
        <f>IFERROR(__xludf.DUMMYFUNCTION("GOOGLETRANSLATE(B845, ""en"", ""fa"")
"),"بازاریابی ایمیلی")</f>
        <v>بازاریابی ایمیلی</v>
      </c>
      <c r="G845" s="1" t="str">
        <f>IFERROR(__xludf.DUMMYFUNCTION("GOOGLETRANSLATE(C845, ""en"", ""fa"")
"),"مزایای استفاده از شخصی‌سازی ایمیل برای ارائه محتوای هدفمند بر اساس ترجیحات مشترکین، مانند دسته‌های محصول خاص یا موضوعات محتوا را بررسی کنید.")</f>
        <v>مزایای استفاده از شخصی‌سازی ایمیل برای ارائه محتوای هدفمند بر اساس ترجیحات مشترکین، مانند دسته‌های محصول خاص یا موضوعات محتوا را بررسی کنید.</v>
      </c>
      <c r="H845" s="1"/>
      <c r="I845" s="1"/>
      <c r="J845" s="1"/>
      <c r="K845" s="1"/>
      <c r="L845" s="1"/>
      <c r="M845" s="1"/>
      <c r="N845" s="1"/>
      <c r="O845" s="1"/>
      <c r="P845" s="1"/>
      <c r="Q845" s="1"/>
      <c r="R845" s="1"/>
      <c r="S845" s="1"/>
      <c r="T845" s="1"/>
      <c r="U845" s="1"/>
      <c r="V845" s="1"/>
      <c r="W845" s="1"/>
      <c r="X845" s="1"/>
      <c r="Y845" s="1"/>
      <c r="Z845" s="1"/>
      <c r="AA845" s="1"/>
      <c r="AB845" s="1"/>
    </row>
    <row r="846" ht="50.25" customHeight="1">
      <c r="A846" s="12">
        <v>842.0</v>
      </c>
      <c r="B846" s="13" t="s">
        <v>753</v>
      </c>
      <c r="C846" s="14" t="s">
        <v>851</v>
      </c>
      <c r="D846" s="1"/>
      <c r="E846" s="15"/>
      <c r="F846" s="1" t="str">
        <f>IFERROR(__xludf.DUMMYFUNCTION("GOOGLETRANSLATE(B846, ""en"", ""fa"")
"),"بازاریابی ایمیلی")</f>
        <v>بازاریابی ایمیلی</v>
      </c>
      <c r="G846" s="1" t="str">
        <f>IFERROR(__xludf.DUMMYFUNCTION("GOOGLETRANSLATE(C846, ""en"", ""fa"")
"),"درباره تأثیر استفاده از اتوماسیون ایمیل برای راه اندازی ایمیل های شخصی سازی شده بر اساس اقدامات یا نقاط عطف خاص مشتری، مانند رسیدن به آستانه خرید خاص، بحث کنید.")</f>
        <v>درباره تأثیر استفاده از اتوماسیون ایمیل برای راه اندازی ایمیل های شخصی سازی شده بر اساس اقدامات یا نقاط عطف خاص مشتری، مانند رسیدن به آستانه خرید خاص، بحث کنید.</v>
      </c>
      <c r="H846" s="1"/>
      <c r="I846" s="1"/>
      <c r="J846" s="1"/>
      <c r="K846" s="1"/>
      <c r="L846" s="1"/>
      <c r="M846" s="1"/>
      <c r="N846" s="1"/>
      <c r="O846" s="1"/>
      <c r="P846" s="1"/>
      <c r="Q846" s="1"/>
      <c r="R846" s="1"/>
      <c r="S846" s="1"/>
      <c r="T846" s="1"/>
      <c r="U846" s="1"/>
      <c r="V846" s="1"/>
      <c r="W846" s="1"/>
      <c r="X846" s="1"/>
      <c r="Y846" s="1"/>
      <c r="Z846" s="1"/>
      <c r="AA846" s="1"/>
      <c r="AB846" s="1"/>
    </row>
    <row r="847" ht="50.25" customHeight="1">
      <c r="A847" s="12">
        <v>843.0</v>
      </c>
      <c r="B847" s="13" t="s">
        <v>753</v>
      </c>
      <c r="C847" s="14" t="s">
        <v>852</v>
      </c>
      <c r="D847" s="1"/>
      <c r="E847" s="15"/>
      <c r="F847" s="1" t="str">
        <f>IFERROR(__xludf.DUMMYFUNCTION("GOOGLETRANSLATE(B847, ""en"", ""fa"")
"),"بازاریابی ایمیلی")</f>
        <v>بازاریابی ایمیلی</v>
      </c>
      <c r="G847" s="1" t="str">
        <f>IFERROR(__xludf.DUMMYFUNCTION("GOOGLETRANSLATE(C847, ""en"", ""fa"")
"),"برای بهینه‌سازی عملکرد و بهبود نتایج، نکاتی را برای انجام تست A/B در عناصر مختلف کمپین‌های ایمیل، مانند خطوط موضوع، CTA یا طرح‌های ایمیل به اشتراک بگذارید.")</f>
        <v>برای بهینه‌سازی عملکرد و بهبود نتایج، نکاتی را برای انجام تست A/B در عناصر مختلف کمپین‌های ایمیل، مانند خطوط موضوع، CTA یا طرح‌های ایمیل به اشتراک بگذارید.</v>
      </c>
      <c r="H847" s="1"/>
      <c r="I847" s="1"/>
      <c r="J847" s="1"/>
      <c r="K847" s="1"/>
      <c r="L847" s="1"/>
      <c r="M847" s="1"/>
      <c r="N847" s="1"/>
      <c r="O847" s="1"/>
      <c r="P847" s="1"/>
      <c r="Q847" s="1"/>
      <c r="R847" s="1"/>
      <c r="S847" s="1"/>
      <c r="T847" s="1"/>
      <c r="U847" s="1"/>
      <c r="V847" s="1"/>
      <c r="W847" s="1"/>
      <c r="X847" s="1"/>
      <c r="Y847" s="1"/>
      <c r="Z847" s="1"/>
      <c r="AA847" s="1"/>
      <c r="AB847" s="1"/>
    </row>
    <row r="848" ht="50.25" customHeight="1">
      <c r="A848" s="12">
        <v>844.0</v>
      </c>
      <c r="B848" s="13" t="s">
        <v>753</v>
      </c>
      <c r="C848" s="14" t="s">
        <v>853</v>
      </c>
      <c r="D848" s="1"/>
      <c r="E848" s="15"/>
      <c r="F848" s="1" t="str">
        <f>IFERROR(__xludf.DUMMYFUNCTION("GOOGLETRANSLATE(B848, ""en"", ""fa"")
"),"بازاریابی ایمیلی")</f>
        <v>بازاریابی ایمیلی</v>
      </c>
      <c r="G848" s="1" t="str">
        <f>IFERROR(__xludf.DUMMYFUNCTION("GOOGLETRANSLATE(C848, ""en"", ""fa"")
"),"درباره اهمیت تقسیم‌بندی ایمیل و اینکه چگونه می‌تواند ارتباط و اثربخشی کمپین‌های ایمیل را بهبود بخشد، بحث کنید.")</f>
        <v>درباره اهمیت تقسیم‌بندی ایمیل و اینکه چگونه می‌تواند ارتباط و اثربخشی کمپین‌های ایمیل را بهبود بخشد، بحث کنید.</v>
      </c>
      <c r="H848" s="1"/>
      <c r="I848" s="1"/>
      <c r="J848" s="1"/>
      <c r="K848" s="1"/>
      <c r="L848" s="1"/>
      <c r="M848" s="1"/>
      <c r="N848" s="1"/>
      <c r="O848" s="1"/>
      <c r="P848" s="1"/>
      <c r="Q848" s="1"/>
      <c r="R848" s="1"/>
      <c r="S848" s="1"/>
      <c r="T848" s="1"/>
      <c r="U848" s="1"/>
      <c r="V848" s="1"/>
      <c r="W848" s="1"/>
      <c r="X848" s="1"/>
      <c r="Y848" s="1"/>
      <c r="Z848" s="1"/>
      <c r="AA848" s="1"/>
      <c r="AB848" s="1"/>
    </row>
    <row r="849" ht="50.25" customHeight="1">
      <c r="A849" s="12">
        <v>845.0</v>
      </c>
      <c r="B849" s="13" t="s">
        <v>753</v>
      </c>
      <c r="C849" s="14" t="s">
        <v>854</v>
      </c>
      <c r="D849" s="1"/>
      <c r="E849" s="15"/>
      <c r="F849" s="1" t="str">
        <f>IFERROR(__xludf.DUMMYFUNCTION("GOOGLETRANSLATE(B849, ""en"", ""fa"")
"),"بازاریابی ایمیلی")</f>
        <v>بازاریابی ایمیلی</v>
      </c>
      <c r="G849" s="1" t="str">
        <f>IFERROR(__xludf.DUMMYFUNCTION("GOOGLETRANSLATE(C849, ""en"", ""fa"")
"),"نکاتی را برای ایجاد ایمیل‌های خوش‌آمدگویی مؤثر به اشتراک بگذارید که تأثیر اولیه مثبتی بر جای بگذارد و لحن ارتباط مشترک با نام تجاری را تعیین کند.")</f>
        <v>نکاتی را برای ایجاد ایمیل‌های خوش‌آمدگویی مؤثر به اشتراک بگذارید که تأثیر اولیه مثبتی بر جای بگذارد و لحن ارتباط مشترک با نام تجاری را تعیین کند.</v>
      </c>
      <c r="H849" s="1"/>
      <c r="I849" s="1"/>
      <c r="J849" s="1"/>
      <c r="K849" s="1"/>
      <c r="L849" s="1"/>
      <c r="M849" s="1"/>
      <c r="N849" s="1"/>
      <c r="O849" s="1"/>
      <c r="P849" s="1"/>
      <c r="Q849" s="1"/>
      <c r="R849" s="1"/>
      <c r="S849" s="1"/>
      <c r="T849" s="1"/>
      <c r="U849" s="1"/>
      <c r="V849" s="1"/>
      <c r="W849" s="1"/>
      <c r="X849" s="1"/>
      <c r="Y849" s="1"/>
      <c r="Z849" s="1"/>
      <c r="AA849" s="1"/>
      <c r="AB849" s="1"/>
    </row>
    <row r="850" ht="50.25" customHeight="1">
      <c r="A850" s="12">
        <v>846.0</v>
      </c>
      <c r="B850" s="13" t="s">
        <v>753</v>
      </c>
      <c r="C850" s="14" t="s">
        <v>855</v>
      </c>
      <c r="D850" s="1"/>
      <c r="E850" s="15"/>
      <c r="F850" s="1" t="str">
        <f>IFERROR(__xludf.DUMMYFUNCTION("GOOGLETRANSLATE(B850, ""en"", ""fa"")
"),"بازاریابی ایمیلی")</f>
        <v>بازاریابی ایمیلی</v>
      </c>
      <c r="G850" s="1" t="str">
        <f>IFERROR(__xludf.DUMMYFUNCTION("GOOGLETRANSLATE(C850, ""en"", ""fa"")
"),"مفهوم استفاده از محرک‌های رفتاری، مانند چرخ دستی‌های رها شده یا سابقه مرور، برای ارسال ایمیل‌های پیگیری شخصی و به موقع را بررسی کنید.")</f>
        <v>مفهوم استفاده از محرک‌های رفتاری، مانند چرخ دستی‌های رها شده یا سابقه مرور، برای ارسال ایمیل‌های پیگیری شخصی و به موقع را بررسی کنید.</v>
      </c>
      <c r="H850" s="1"/>
      <c r="I850" s="1"/>
      <c r="J850" s="1"/>
      <c r="K850" s="1"/>
      <c r="L850" s="1"/>
      <c r="M850" s="1"/>
      <c r="N850" s="1"/>
      <c r="O850" s="1"/>
      <c r="P850" s="1"/>
      <c r="Q850" s="1"/>
      <c r="R850" s="1"/>
      <c r="S850" s="1"/>
      <c r="T850" s="1"/>
      <c r="U850" s="1"/>
      <c r="V850" s="1"/>
      <c r="W850" s="1"/>
      <c r="X850" s="1"/>
      <c r="Y850" s="1"/>
      <c r="Z850" s="1"/>
      <c r="AA850" s="1"/>
      <c r="AB850" s="1"/>
    </row>
    <row r="851" ht="50.25" customHeight="1">
      <c r="A851" s="12">
        <v>847.0</v>
      </c>
      <c r="B851" s="13" t="s">
        <v>753</v>
      </c>
      <c r="C851" s="14" t="s">
        <v>856</v>
      </c>
      <c r="D851" s="1"/>
      <c r="E851" s="15"/>
      <c r="F851" s="1" t="str">
        <f>IFERROR(__xludf.DUMMYFUNCTION("GOOGLETRANSLATE(B851, ""en"", ""fa"")
"),"بازاریابی ایمیلی")</f>
        <v>بازاریابی ایمیلی</v>
      </c>
      <c r="G851" s="1" t="str">
        <f>IFERROR(__xludf.DUMMYFUNCTION("GOOGLETRANSLATE(C851, ""en"", ""fa"")
"),"در مورد نقش ادغام رسانه های اجتماعی در بازاریابی ایمیلی برای تشویق مشترکین به تعامل با نام تجاری در چندین کانال بحث کنید.")</f>
        <v>در مورد نقش ادغام رسانه های اجتماعی در بازاریابی ایمیلی برای تشویق مشترکین به تعامل با نام تجاری در چندین کانال بحث کنید.</v>
      </c>
      <c r="H851" s="1"/>
      <c r="I851" s="1"/>
      <c r="J851" s="1"/>
      <c r="K851" s="1"/>
      <c r="L851" s="1"/>
      <c r="M851" s="1"/>
      <c r="N851" s="1"/>
      <c r="O851" s="1"/>
      <c r="P851" s="1"/>
      <c r="Q851" s="1"/>
      <c r="R851" s="1"/>
      <c r="S851" s="1"/>
      <c r="T851" s="1"/>
      <c r="U851" s="1"/>
      <c r="V851" s="1"/>
      <c r="W851" s="1"/>
      <c r="X851" s="1"/>
      <c r="Y851" s="1"/>
      <c r="Z851" s="1"/>
      <c r="AA851" s="1"/>
      <c r="AB851" s="1"/>
    </row>
    <row r="852" ht="50.25" customHeight="1">
      <c r="A852" s="12">
        <v>848.0</v>
      </c>
      <c r="B852" s="13" t="s">
        <v>753</v>
      </c>
      <c r="C852" s="14" t="s">
        <v>857</v>
      </c>
      <c r="D852" s="1"/>
      <c r="E852" s="15"/>
      <c r="F852" s="1" t="str">
        <f>IFERROR(__xludf.DUMMYFUNCTION("GOOGLETRANSLATE(B852, ""en"", ""fa"")
"),"بازاریابی ایمیلی")</f>
        <v>بازاریابی ایمیلی</v>
      </c>
      <c r="G852" s="1" t="str">
        <f>IFERROR(__xludf.DUMMYFUNCTION("GOOGLETRANSLATE(C852, ""en"", ""fa"")
"),"استراتژی‌هایی را برای بهینه‌سازی طرح‌بندی ایمیل برای خوانایی، از جمله انتخاب فونت، فاصله بین خطوط و استفاده مناسب از فضای سفید به اشتراک بگذارید.")</f>
        <v>استراتژی‌هایی را برای بهینه‌سازی طرح‌بندی ایمیل برای خوانایی، از جمله انتخاب فونت، فاصله بین خطوط و استفاده مناسب از فضای سفید به اشتراک بگذارید.</v>
      </c>
      <c r="H852" s="1"/>
      <c r="I852" s="1"/>
      <c r="J852" s="1"/>
      <c r="K852" s="1"/>
      <c r="L852" s="1"/>
      <c r="M852" s="1"/>
      <c r="N852" s="1"/>
      <c r="O852" s="1"/>
      <c r="P852" s="1"/>
      <c r="Q852" s="1"/>
      <c r="R852" s="1"/>
      <c r="S852" s="1"/>
      <c r="T852" s="1"/>
      <c r="U852" s="1"/>
      <c r="V852" s="1"/>
      <c r="W852" s="1"/>
      <c r="X852" s="1"/>
      <c r="Y852" s="1"/>
      <c r="Z852" s="1"/>
      <c r="AA852" s="1"/>
      <c r="AB852" s="1"/>
    </row>
    <row r="853" ht="50.25" customHeight="1">
      <c r="A853" s="12">
        <v>849.0</v>
      </c>
      <c r="B853" s="13" t="s">
        <v>753</v>
      </c>
      <c r="C853" s="14" t="s">
        <v>858</v>
      </c>
      <c r="D853" s="1"/>
      <c r="E853" s="15"/>
      <c r="F853" s="1" t="str">
        <f>IFERROR(__xludf.DUMMYFUNCTION("GOOGLETRANSLATE(B853, ""en"", ""fa"")
"),"بازاریابی ایمیلی")</f>
        <v>بازاریابی ایمیلی</v>
      </c>
      <c r="G853" s="1" t="str">
        <f>IFERROR(__xludf.DUMMYFUNCTION("GOOGLETRANSLATE(C853, ""en"", ""fa"")
"),"مزایای استفاده از داستان سرایی در بازاریابی ایمیلی برای جذب مشترکین و ایجاد ارتباط عاطفی با برند را بررسی کنید.")</f>
        <v>مزایای استفاده از داستان سرایی در بازاریابی ایمیلی برای جذب مشترکین و ایجاد ارتباط عاطفی با برند را بررسی کنید.</v>
      </c>
      <c r="H853" s="1"/>
      <c r="I853" s="1"/>
      <c r="J853" s="1"/>
      <c r="K853" s="1"/>
      <c r="L853" s="1"/>
      <c r="M853" s="1"/>
      <c r="N853" s="1"/>
      <c r="O853" s="1"/>
      <c r="P853" s="1"/>
      <c r="Q853" s="1"/>
      <c r="R853" s="1"/>
      <c r="S853" s="1"/>
      <c r="T853" s="1"/>
      <c r="U853" s="1"/>
      <c r="V853" s="1"/>
      <c r="W853" s="1"/>
      <c r="X853" s="1"/>
      <c r="Y853" s="1"/>
      <c r="Z853" s="1"/>
      <c r="AA853" s="1"/>
      <c r="AB853" s="1"/>
    </row>
    <row r="854" ht="50.25" customHeight="1">
      <c r="A854" s="12">
        <v>850.0</v>
      </c>
      <c r="B854" s="13" t="s">
        <v>753</v>
      </c>
      <c r="C854" s="14" t="s">
        <v>859</v>
      </c>
      <c r="D854" s="1"/>
      <c r="E854" s="15"/>
      <c r="F854" s="1" t="str">
        <f>IFERROR(__xludf.DUMMYFUNCTION("GOOGLETRANSLATE(B854, ""en"", ""fa"")
"),"بازاریابی ایمیلی")</f>
        <v>بازاریابی ایمیلی</v>
      </c>
      <c r="G854" s="1" t="str">
        <f>IFERROR(__xludf.DUMMYFUNCTION("GOOGLETRANSLATE(C854, ""en"", ""fa"")
"),"در مورد تأثیر استفاده از محتوای تولید شده توسط کاربر، مانند توصیفات مشتری یا نظرات کاربران، در کمپین های ایمیل برای ایجاد اعتماد و اثبات اجتماعی بحث کنید.")</f>
        <v>در مورد تأثیر استفاده از محتوای تولید شده توسط کاربر، مانند توصیفات مشتری یا نظرات کاربران، در کمپین های ایمیل برای ایجاد اعتماد و اثبات اجتماعی بحث کنید.</v>
      </c>
      <c r="H854" s="1"/>
      <c r="I854" s="1"/>
      <c r="J854" s="1"/>
      <c r="K854" s="1"/>
      <c r="L854" s="1"/>
      <c r="M854" s="1"/>
      <c r="N854" s="1"/>
      <c r="O854" s="1"/>
      <c r="P854" s="1"/>
      <c r="Q854" s="1"/>
      <c r="R854" s="1"/>
      <c r="S854" s="1"/>
      <c r="T854" s="1"/>
      <c r="U854" s="1"/>
      <c r="V854" s="1"/>
      <c r="W854" s="1"/>
      <c r="X854" s="1"/>
      <c r="Y854" s="1"/>
      <c r="Z854" s="1"/>
      <c r="AA854" s="1"/>
      <c r="AB854" s="1"/>
    </row>
    <row r="855" ht="50.25" customHeight="1">
      <c r="A855" s="12">
        <v>851.0</v>
      </c>
      <c r="B855" s="13" t="s">
        <v>753</v>
      </c>
      <c r="C855" s="14" t="s">
        <v>860</v>
      </c>
      <c r="D855" s="1"/>
      <c r="E855" s="15"/>
      <c r="F855" s="1" t="str">
        <f>IFERROR(__xludf.DUMMYFUNCTION("GOOGLETRANSLATE(B855, ""en"", ""fa"")
"),"بازاریابی ایمیلی")</f>
        <v>بازاریابی ایمیلی</v>
      </c>
      <c r="G855" s="1" t="str">
        <f>IFERROR(__xludf.DUMMYFUNCTION("GOOGLETRANSLATE(C855, ""en"", ""fa"")
"),"نکاتی را برای بهینه‌سازی دسترسی به ایمیل، از جمله استفاده از متن جایگزین برای تصاویر و اطمینان از سازگاری ایمیل‌ها با صفحه‌خوان‌ها، به اشتراک بگذارید.")</f>
        <v>نکاتی را برای بهینه‌سازی دسترسی به ایمیل، از جمله استفاده از متن جایگزین برای تصاویر و اطمینان از سازگاری ایمیل‌ها با صفحه‌خوان‌ها، به اشتراک بگذارید.</v>
      </c>
      <c r="H855" s="1"/>
      <c r="I855" s="1"/>
      <c r="J855" s="1"/>
      <c r="K855" s="1"/>
      <c r="L855" s="1"/>
      <c r="M855" s="1"/>
      <c r="N855" s="1"/>
      <c r="O855" s="1"/>
      <c r="P855" s="1"/>
      <c r="Q855" s="1"/>
      <c r="R855" s="1"/>
      <c r="S855" s="1"/>
      <c r="T855" s="1"/>
      <c r="U855" s="1"/>
      <c r="V855" s="1"/>
      <c r="W855" s="1"/>
      <c r="X855" s="1"/>
      <c r="Y855" s="1"/>
      <c r="Z855" s="1"/>
      <c r="AA855" s="1"/>
      <c r="AB855" s="1"/>
    </row>
    <row r="856" ht="50.25" customHeight="1">
      <c r="A856" s="12">
        <v>852.0</v>
      </c>
      <c r="B856" s="13" t="s">
        <v>753</v>
      </c>
      <c r="C856" s="14" t="s">
        <v>861</v>
      </c>
      <c r="D856" s="1"/>
      <c r="E856" s="15"/>
      <c r="F856" s="1" t="str">
        <f>IFERROR(__xludf.DUMMYFUNCTION("GOOGLETRANSLATE(B856, ""en"", ""fa"")
"),"بازاریابی ایمیلی")</f>
        <v>بازاریابی ایمیلی</v>
      </c>
      <c r="G856" s="1" t="str">
        <f>IFERROR(__xludf.DUMMYFUNCTION("GOOGLETRANSLATE(C856, ""en"", ""fa"")
"),"مفهوم استفاده از ایمیل‌های راه‌اندازی شده را برای ارائه پیشنهادهای شخصی‌سازی شده برای فروش یا فروش متقابل بر اساس خریدهای قبلی مشتریان بررسی کنید.")</f>
        <v>مفهوم استفاده از ایمیل‌های راه‌اندازی شده را برای ارائه پیشنهادهای شخصی‌سازی شده برای فروش یا فروش متقابل بر اساس خریدهای قبلی مشتریان بررسی کنید.</v>
      </c>
      <c r="H856" s="1"/>
      <c r="I856" s="1"/>
      <c r="J856" s="1"/>
      <c r="K856" s="1"/>
      <c r="L856" s="1"/>
      <c r="M856" s="1"/>
      <c r="N856" s="1"/>
      <c r="O856" s="1"/>
      <c r="P856" s="1"/>
      <c r="Q856" s="1"/>
      <c r="R856" s="1"/>
      <c r="S856" s="1"/>
      <c r="T856" s="1"/>
      <c r="U856" s="1"/>
      <c r="V856" s="1"/>
      <c r="W856" s="1"/>
      <c r="X856" s="1"/>
      <c r="Y856" s="1"/>
      <c r="Z856" s="1"/>
      <c r="AA856" s="1"/>
      <c r="AB856" s="1"/>
    </row>
    <row r="857" ht="50.25" customHeight="1">
      <c r="A857" s="12">
        <v>853.0</v>
      </c>
      <c r="B857" s="13" t="s">
        <v>753</v>
      </c>
      <c r="C857" s="14" t="s">
        <v>862</v>
      </c>
      <c r="D857" s="1"/>
      <c r="E857" s="15"/>
      <c r="F857" s="1" t="str">
        <f>IFERROR(__xludf.DUMMYFUNCTION("GOOGLETRANSLATE(B857, ""en"", ""fa"")
"),"بازاریابی ایمیلی")</f>
        <v>بازاریابی ایمیلی</v>
      </c>
      <c r="G857" s="1" t="str">
        <f>IFERROR(__xludf.DUMMYFUNCTION("GOOGLETRANSLATE(C857, ""en"", ""fa"")
"),"در مورد نقش استفاده از شخصی‌سازی ایمیل برای مخاطب قرار دادن مشترکین با نام آنها و تنظیم محتوا بر اساس ترجیحات و رفتارهای آنها بحث کنید.")</f>
        <v>در مورد نقش استفاده از شخصی‌سازی ایمیل برای مخاطب قرار دادن مشترکین با نام آنها و تنظیم محتوا بر اساس ترجیحات و رفتارهای آنها بحث کنید.</v>
      </c>
      <c r="H857" s="1"/>
      <c r="I857" s="1"/>
      <c r="J857" s="1"/>
      <c r="K857" s="1"/>
      <c r="L857" s="1"/>
      <c r="M857" s="1"/>
      <c r="N857" s="1"/>
      <c r="O857" s="1"/>
      <c r="P857" s="1"/>
      <c r="Q857" s="1"/>
      <c r="R857" s="1"/>
      <c r="S857" s="1"/>
      <c r="T857" s="1"/>
      <c r="U857" s="1"/>
      <c r="V857" s="1"/>
      <c r="W857" s="1"/>
      <c r="X857" s="1"/>
      <c r="Y857" s="1"/>
      <c r="Z857" s="1"/>
      <c r="AA857" s="1"/>
      <c r="AB857" s="1"/>
    </row>
    <row r="858" ht="50.25" customHeight="1">
      <c r="A858" s="12">
        <v>854.0</v>
      </c>
      <c r="B858" s="13" t="s">
        <v>753</v>
      </c>
      <c r="C858" s="14" t="s">
        <v>863</v>
      </c>
      <c r="D858" s="1"/>
      <c r="E858" s="15"/>
      <c r="F858" s="1" t="str">
        <f>IFERROR(__xludf.DUMMYFUNCTION("GOOGLETRANSLATE(B858, ""en"", ""fa"")
"),"بازاریابی ایمیلی")</f>
        <v>بازاریابی ایمیلی</v>
      </c>
      <c r="G858" s="1" t="str">
        <f>IFERROR(__xludf.DUMMYFUNCTION("GOOGLETRANSLATE(C858, ""en"", ""fa"")
"),"استراتژی‌هایی را برای ایجاد یک کپی ایمیل قانع‌کننده که توجه را جلب می‌کند، ارزش ارتباط برقرار می‌کند و گیرندگان را تشویق می‌کند تا اقدام کنند، به اشتراک بگذارید.")</f>
        <v>استراتژی‌هایی را برای ایجاد یک کپی ایمیل قانع‌کننده که توجه را جلب می‌کند، ارزش ارتباط برقرار می‌کند و گیرندگان را تشویق می‌کند تا اقدام کنند، به اشتراک بگذارید.</v>
      </c>
      <c r="H858" s="1"/>
      <c r="I858" s="1"/>
      <c r="J858" s="1"/>
      <c r="K858" s="1"/>
      <c r="L858" s="1"/>
      <c r="M858" s="1"/>
      <c r="N858" s="1"/>
      <c r="O858" s="1"/>
      <c r="P858" s="1"/>
      <c r="Q858" s="1"/>
      <c r="R858" s="1"/>
      <c r="S858" s="1"/>
      <c r="T858" s="1"/>
      <c r="U858" s="1"/>
      <c r="V858" s="1"/>
      <c r="W858" s="1"/>
      <c r="X858" s="1"/>
      <c r="Y858" s="1"/>
      <c r="Z858" s="1"/>
      <c r="AA858" s="1"/>
      <c r="AB858" s="1"/>
    </row>
    <row r="859" ht="50.25" customHeight="1">
      <c r="A859" s="12">
        <v>855.0</v>
      </c>
      <c r="B859" s="13" t="s">
        <v>753</v>
      </c>
      <c r="C859" s="14" t="s">
        <v>864</v>
      </c>
      <c r="D859" s="1"/>
      <c r="E859" s="15"/>
      <c r="F859" s="1" t="str">
        <f>IFERROR(__xludf.DUMMYFUNCTION("GOOGLETRANSLATE(B859, ""en"", ""fa"")
"),"بازاریابی ایمیلی")</f>
        <v>بازاریابی ایمیلی</v>
      </c>
      <c r="G859" s="1" t="str">
        <f>IFERROR(__xludf.DUMMYFUNCTION("GOOGLETRANSLATE(C859, ""en"", ""fa"")
"),"مزایای استفاده از محتوای پویا در ایمیل‌ها را برای ارائه اطلاعات در زمان واقعی یا توصیه‌های شخصی‌شده محصول بررسی کنید.")</f>
        <v>مزایای استفاده از محتوای پویا در ایمیل‌ها را برای ارائه اطلاعات در زمان واقعی یا توصیه‌های شخصی‌شده محصول بررسی کنید.</v>
      </c>
      <c r="H859" s="1"/>
      <c r="I859" s="1"/>
      <c r="J859" s="1"/>
      <c r="K859" s="1"/>
      <c r="L859" s="1"/>
      <c r="M859" s="1"/>
      <c r="N859" s="1"/>
      <c r="O859" s="1"/>
      <c r="P859" s="1"/>
      <c r="Q859" s="1"/>
      <c r="R859" s="1"/>
      <c r="S859" s="1"/>
      <c r="T859" s="1"/>
      <c r="U859" s="1"/>
      <c r="V859" s="1"/>
      <c r="W859" s="1"/>
      <c r="X859" s="1"/>
      <c r="Y859" s="1"/>
      <c r="Z859" s="1"/>
      <c r="AA859" s="1"/>
      <c r="AB859" s="1"/>
    </row>
    <row r="860" ht="50.25" customHeight="1">
      <c r="A860" s="12">
        <v>856.0</v>
      </c>
      <c r="B860" s="13" t="s">
        <v>753</v>
      </c>
      <c r="C860" s="14" t="s">
        <v>865</v>
      </c>
      <c r="D860" s="1"/>
      <c r="E860" s="15"/>
      <c r="F860" s="1" t="str">
        <f>IFERROR(__xludf.DUMMYFUNCTION("GOOGLETRANSLATE(B860, ""en"", ""fa"")
"),"بازاریابی ایمیلی")</f>
        <v>بازاریابی ایمیلی</v>
      </c>
      <c r="G860" s="1" t="str">
        <f>IFERROR(__xludf.DUMMYFUNCTION("GOOGLETRANSLATE(C860, ""en"", ""fa"")
"),"درباره تأثیر استفاده از دکمه های اشتراک گذاری اجتماعی در ایمیل ها برای تشویق مشترکین به اشتراک گذاری محتوا با شبکه های اجتماعی خود بحث کنید.")</f>
        <v>درباره تأثیر استفاده از دکمه های اشتراک گذاری اجتماعی در ایمیل ها برای تشویق مشترکین به اشتراک گذاری محتوا با شبکه های اجتماعی خود بحث کنید.</v>
      </c>
      <c r="H860" s="1"/>
      <c r="I860" s="1"/>
      <c r="J860" s="1"/>
      <c r="K860" s="1"/>
      <c r="L860" s="1"/>
      <c r="M860" s="1"/>
      <c r="N860" s="1"/>
      <c r="O860" s="1"/>
      <c r="P860" s="1"/>
      <c r="Q860" s="1"/>
      <c r="R860" s="1"/>
      <c r="S860" s="1"/>
      <c r="T860" s="1"/>
      <c r="U860" s="1"/>
      <c r="V860" s="1"/>
      <c r="W860" s="1"/>
      <c r="X860" s="1"/>
      <c r="Y860" s="1"/>
      <c r="Z860" s="1"/>
      <c r="AA860" s="1"/>
      <c r="AB860" s="1"/>
    </row>
    <row r="861" ht="50.25" customHeight="1">
      <c r="A861" s="12">
        <v>857.0</v>
      </c>
      <c r="B861" s="13" t="s">
        <v>753</v>
      </c>
      <c r="C861" s="14" t="s">
        <v>866</v>
      </c>
      <c r="D861" s="1"/>
      <c r="E861" s="15"/>
      <c r="F861" s="1" t="str">
        <f>IFERROR(__xludf.DUMMYFUNCTION("GOOGLETRANSLATE(B861, ""en"", ""fa"")
"),"بازاریابی ایمیلی")</f>
        <v>بازاریابی ایمیلی</v>
      </c>
      <c r="G861" s="1" t="str">
        <f>IFERROR(__xludf.DUMMYFUNCTION("GOOGLETRANSLATE(C861, ""en"", ""fa"")
"),"با پیروی از پروتکل‌های احراز هویت ایمیل و اجرای شیوه‌های مدیریت شهرت فرستنده، نکاتی را برای بهینه‌سازی تحویل ایمیل به اشتراک بگذارید.")</f>
        <v>با پیروی از پروتکل‌های احراز هویت ایمیل و اجرای شیوه‌های مدیریت شهرت فرستنده، نکاتی را برای بهینه‌سازی تحویل ایمیل به اشتراک بگذارید.</v>
      </c>
      <c r="H861" s="1"/>
      <c r="I861" s="1"/>
      <c r="J861" s="1"/>
      <c r="K861" s="1"/>
      <c r="L861" s="1"/>
      <c r="M861" s="1"/>
      <c r="N861" s="1"/>
      <c r="O861" s="1"/>
      <c r="P861" s="1"/>
      <c r="Q861" s="1"/>
      <c r="R861" s="1"/>
      <c r="S861" s="1"/>
      <c r="T861" s="1"/>
      <c r="U861" s="1"/>
      <c r="V861" s="1"/>
      <c r="W861" s="1"/>
      <c r="X861" s="1"/>
      <c r="Y861" s="1"/>
      <c r="Z861" s="1"/>
      <c r="AA861" s="1"/>
      <c r="AB861" s="1"/>
    </row>
    <row r="862" ht="50.25" customHeight="1">
      <c r="A862" s="12">
        <v>858.0</v>
      </c>
      <c r="B862" s="13" t="s">
        <v>753</v>
      </c>
      <c r="C862" s="14" t="s">
        <v>867</v>
      </c>
      <c r="D862" s="1"/>
      <c r="E862" s="15"/>
      <c r="F862" s="1" t="str">
        <f>IFERROR(__xludf.DUMMYFUNCTION("GOOGLETRANSLATE(B862, ""en"", ""fa"")
"),"بازاریابی ایمیلی")</f>
        <v>بازاریابی ایمیلی</v>
      </c>
      <c r="G862" s="1" t="str">
        <f>IFERROR(__xludf.DUMMYFUNCTION("GOOGLETRANSLATE(C862, ""en"", ""fa"")
"),"مفهوم استفاده از کمپین‌های برنده را برای جذب مجدد مشترکین غیرفعال و تشویق آنها به فعال شدن دوباره بررسی کنید.")</f>
        <v>مفهوم استفاده از کمپین‌های برنده را برای جذب مجدد مشترکین غیرفعال و تشویق آنها به فعال شدن دوباره بررسی کنید.</v>
      </c>
      <c r="H862" s="1"/>
      <c r="I862" s="1"/>
      <c r="J862" s="1"/>
      <c r="K862" s="1"/>
      <c r="L862" s="1"/>
      <c r="M862" s="1"/>
      <c r="N862" s="1"/>
      <c r="O862" s="1"/>
      <c r="P862" s="1"/>
      <c r="Q862" s="1"/>
      <c r="R862" s="1"/>
      <c r="S862" s="1"/>
      <c r="T862" s="1"/>
      <c r="U862" s="1"/>
      <c r="V862" s="1"/>
      <c r="W862" s="1"/>
      <c r="X862" s="1"/>
      <c r="Y862" s="1"/>
      <c r="Z862" s="1"/>
      <c r="AA862" s="1"/>
      <c r="AB862" s="1"/>
    </row>
    <row r="863" ht="50.25" customHeight="1">
      <c r="A863" s="12">
        <v>859.0</v>
      </c>
      <c r="B863" s="13" t="s">
        <v>753</v>
      </c>
      <c r="C863" s="14" t="s">
        <v>868</v>
      </c>
      <c r="D863" s="1"/>
      <c r="E863" s="15"/>
      <c r="F863" s="1" t="str">
        <f>IFERROR(__xludf.DUMMYFUNCTION("GOOGLETRANSLATE(B863, ""en"", ""fa"")
"),"بازاریابی ایمیلی")</f>
        <v>بازاریابی ایمیلی</v>
      </c>
      <c r="G863" s="1" t="str">
        <f>IFERROR(__xludf.DUMMYFUNCTION("GOOGLETRANSLATE(C863, ""en"", ""fa"")
"),"در مورد نقش استفاده از تقسیم بندی مشتری برای ارسال ایمیل های هدفمند بر اساس جمعیت شناسی، ترجیحات یا سابقه خرید مشتریان بحث کنید.")</f>
        <v>در مورد نقش استفاده از تقسیم بندی مشتری برای ارسال ایمیل های هدفمند بر اساس جمعیت شناسی، ترجیحات یا سابقه خرید مشتریان بحث کنید.</v>
      </c>
      <c r="H863" s="1"/>
      <c r="I863" s="1"/>
      <c r="J863" s="1"/>
      <c r="K863" s="1"/>
      <c r="L863" s="1"/>
      <c r="M863" s="1"/>
      <c r="N863" s="1"/>
      <c r="O863" s="1"/>
      <c r="P863" s="1"/>
      <c r="Q863" s="1"/>
      <c r="R863" s="1"/>
      <c r="S863" s="1"/>
      <c r="T863" s="1"/>
      <c r="U863" s="1"/>
      <c r="V863" s="1"/>
      <c r="W863" s="1"/>
      <c r="X863" s="1"/>
      <c r="Y863" s="1"/>
      <c r="Z863" s="1"/>
      <c r="AA863" s="1"/>
      <c r="AB863" s="1"/>
    </row>
    <row r="864" ht="50.25" customHeight="1">
      <c r="A864" s="12">
        <v>860.0</v>
      </c>
      <c r="B864" s="13" t="s">
        <v>753</v>
      </c>
      <c r="C864" s="14" t="s">
        <v>869</v>
      </c>
      <c r="D864" s="1"/>
      <c r="E864" s="15"/>
      <c r="F864" s="1" t="str">
        <f>IFERROR(__xludf.DUMMYFUNCTION("GOOGLETRANSLATE(B864, ""en"", ""fa"")
"),"بازاریابی ایمیلی")</f>
        <v>بازاریابی ایمیلی</v>
      </c>
      <c r="G864" s="1" t="str">
        <f>IFERROR(__xludf.DUMMYFUNCTION("GOOGLETRANSLATE(C864, ""en"", ""fa"")
"),"استراتژی های استفاده از اتوماسیون ایمیل برای پرورش سرنخ ها را از طریق قیف فروش به اشتراک بگذارید و آنها را به مشتریان پولی تبدیل کنید.")</f>
        <v>استراتژی های استفاده از اتوماسیون ایمیل برای پرورش سرنخ ها را از طریق قیف فروش به اشتراک بگذارید و آنها را به مشتریان پولی تبدیل کنید.</v>
      </c>
      <c r="H864" s="1"/>
      <c r="I864" s="1"/>
      <c r="J864" s="1"/>
      <c r="K864" s="1"/>
      <c r="L864" s="1"/>
      <c r="M864" s="1"/>
      <c r="N864" s="1"/>
      <c r="O864" s="1"/>
      <c r="P864" s="1"/>
      <c r="Q864" s="1"/>
      <c r="R864" s="1"/>
      <c r="S864" s="1"/>
      <c r="T864" s="1"/>
      <c r="U864" s="1"/>
      <c r="V864" s="1"/>
      <c r="W864" s="1"/>
      <c r="X864" s="1"/>
      <c r="Y864" s="1"/>
      <c r="Z864" s="1"/>
      <c r="AA864" s="1"/>
      <c r="AB864" s="1"/>
    </row>
    <row r="865" ht="50.25" customHeight="1">
      <c r="A865" s="12">
        <v>861.0</v>
      </c>
      <c r="B865" s="13" t="s">
        <v>753</v>
      </c>
      <c r="C865" s="14" t="s">
        <v>870</v>
      </c>
      <c r="D865" s="1"/>
      <c r="E865" s="15"/>
      <c r="F865" s="1" t="str">
        <f>IFERROR(__xludf.DUMMYFUNCTION("GOOGLETRANSLATE(B865, ""en"", ""fa"")
"),"بازاریابی ایمیلی")</f>
        <v>بازاریابی ایمیلی</v>
      </c>
      <c r="G865" s="1" t="str">
        <f>IFERROR(__xludf.DUMMYFUNCTION("GOOGLETRANSLATE(C865, ""en"", ""fa"")
"),"مزایای استفاده از نظرسنجی های بازخورد مشتری در ایمیل ها را برای جمع آوری بینش، بهبود تجربه مشتری و بهبود استراتژی های بازاریابی ایمیلی بررسی کنید.")</f>
        <v>مزایای استفاده از نظرسنجی های بازخورد مشتری در ایمیل ها را برای جمع آوری بینش، بهبود تجربه مشتری و بهبود استراتژی های بازاریابی ایمیلی بررسی کنید.</v>
      </c>
      <c r="H865" s="1"/>
      <c r="I865" s="1"/>
      <c r="J865" s="1"/>
      <c r="K865" s="1"/>
      <c r="L865" s="1"/>
      <c r="M865" s="1"/>
      <c r="N865" s="1"/>
      <c r="O865" s="1"/>
      <c r="P865" s="1"/>
      <c r="Q865" s="1"/>
      <c r="R865" s="1"/>
      <c r="S865" s="1"/>
      <c r="T865" s="1"/>
      <c r="U865" s="1"/>
      <c r="V865" s="1"/>
      <c r="W865" s="1"/>
      <c r="X865" s="1"/>
      <c r="Y865" s="1"/>
      <c r="Z865" s="1"/>
      <c r="AA865" s="1"/>
      <c r="AB865" s="1"/>
    </row>
    <row r="866" ht="50.25" customHeight="1">
      <c r="A866" s="12">
        <v>862.0</v>
      </c>
      <c r="B866" s="13" t="s">
        <v>753</v>
      </c>
      <c r="C866" s="14" t="s">
        <v>871</v>
      </c>
      <c r="D866" s="1"/>
      <c r="E866" s="15"/>
      <c r="F866" s="1" t="str">
        <f>IFERROR(__xludf.DUMMYFUNCTION("GOOGLETRANSLATE(B866, ""en"", ""fa"")
"),"بازاریابی ایمیلی")</f>
        <v>بازاریابی ایمیلی</v>
      </c>
      <c r="G866" s="1" t="str">
        <f>IFERROR(__xludf.DUMMYFUNCTION("GOOGLETRANSLATE(C866, ""en"", ""fa"")
"),"درباره تأثیر استفاده از ایموجی ها در خطوط موضوع ایمیل و کپی متن برای افزودن شخصیت و افزایش تعامل با مشترکین بحث کنید.")</f>
        <v>درباره تأثیر استفاده از ایموجی ها در خطوط موضوع ایمیل و کپی متن برای افزودن شخصیت و افزایش تعامل با مشترکین بحث کنید.</v>
      </c>
      <c r="H866" s="1"/>
      <c r="I866" s="1"/>
      <c r="J866" s="1"/>
      <c r="K866" s="1"/>
      <c r="L866" s="1"/>
      <c r="M866" s="1"/>
      <c r="N866" s="1"/>
      <c r="O866" s="1"/>
      <c r="P866" s="1"/>
      <c r="Q866" s="1"/>
      <c r="R866" s="1"/>
      <c r="S866" s="1"/>
      <c r="T866" s="1"/>
      <c r="U866" s="1"/>
      <c r="V866" s="1"/>
      <c r="W866" s="1"/>
      <c r="X866" s="1"/>
      <c r="Y866" s="1"/>
      <c r="Z866" s="1"/>
      <c r="AA866" s="1"/>
      <c r="AB866" s="1"/>
    </row>
    <row r="867" ht="50.25" customHeight="1">
      <c r="A867" s="12">
        <v>863.0</v>
      </c>
      <c r="B867" s="13" t="s">
        <v>753</v>
      </c>
      <c r="C867" s="14" t="s">
        <v>872</v>
      </c>
      <c r="D867" s="1"/>
      <c r="E867" s="15"/>
      <c r="F867" s="1" t="str">
        <f>IFERROR(__xludf.DUMMYFUNCTION("GOOGLETRANSLATE(B867, ""en"", ""fa"")
"),"بازاریابی ایمیلی")</f>
        <v>بازاریابی ایمیلی</v>
      </c>
      <c r="G867" s="1" t="str">
        <f>IFERROR(__xludf.DUMMYFUNCTION("GOOGLETRANSLATE(C867, ""en"", ""fa"")
"),"نکاتی را برای بهینه‌سازی زمان‌بندی ایمیل به اشتراک بگذارید تا مطمئن شوید که پیام‌ها در مناسب‌ترین زمان‌ها برای حداکثر تأثیر و نرخ باز ارسال می‌شوند.")</f>
        <v>نکاتی را برای بهینه‌سازی زمان‌بندی ایمیل به اشتراک بگذارید تا مطمئن شوید که پیام‌ها در مناسب‌ترین زمان‌ها برای حداکثر تأثیر و نرخ باز ارسال می‌شوند.</v>
      </c>
      <c r="H867" s="1"/>
      <c r="I867" s="1"/>
      <c r="J867" s="1"/>
      <c r="K867" s="1"/>
      <c r="L867" s="1"/>
      <c r="M867" s="1"/>
      <c r="N867" s="1"/>
      <c r="O867" s="1"/>
      <c r="P867" s="1"/>
      <c r="Q867" s="1"/>
      <c r="R867" s="1"/>
      <c r="S867" s="1"/>
      <c r="T867" s="1"/>
      <c r="U867" s="1"/>
      <c r="V867" s="1"/>
      <c r="W867" s="1"/>
      <c r="X867" s="1"/>
      <c r="Y867" s="1"/>
      <c r="Z867" s="1"/>
      <c r="AA867" s="1"/>
      <c r="AB867" s="1"/>
    </row>
    <row r="868" ht="50.25" customHeight="1">
      <c r="A868" s="12">
        <v>864.0</v>
      </c>
      <c r="B868" s="13" t="s">
        <v>753</v>
      </c>
      <c r="C868" s="14" t="s">
        <v>873</v>
      </c>
      <c r="D868" s="1"/>
      <c r="E868" s="15"/>
      <c r="F868" s="1" t="str">
        <f>IFERROR(__xludf.DUMMYFUNCTION("GOOGLETRANSLATE(B868, ""en"", ""fa"")
"),"بازاریابی ایمیلی")</f>
        <v>بازاریابی ایمیلی</v>
      </c>
      <c r="G868" s="1" t="str">
        <f>IFERROR(__xludf.DUMMYFUNCTION("GOOGLETRANSLATE(C868, ""en"", ""fa"")
"),"مفهوم استفاده از ایمیل‌های تعامل مجدد راه‌اندازی شده را برای یادآوری ارزشی که می‌توانند از ماندن در ارتباط با برند به دست آورند را بررسی کنید.")</f>
        <v>مفهوم استفاده از ایمیل‌های تعامل مجدد راه‌اندازی شده را برای یادآوری ارزشی که می‌توانند از ماندن در ارتباط با برند به دست آورند را بررسی کنید.</v>
      </c>
      <c r="H868" s="1"/>
      <c r="I868" s="1"/>
      <c r="J868" s="1"/>
      <c r="K868" s="1"/>
      <c r="L868" s="1"/>
      <c r="M868" s="1"/>
      <c r="N868" s="1"/>
      <c r="O868" s="1"/>
      <c r="P868" s="1"/>
      <c r="Q868" s="1"/>
      <c r="R868" s="1"/>
      <c r="S868" s="1"/>
      <c r="T868" s="1"/>
      <c r="U868" s="1"/>
      <c r="V868" s="1"/>
      <c r="W868" s="1"/>
      <c r="X868" s="1"/>
      <c r="Y868" s="1"/>
      <c r="Z868" s="1"/>
      <c r="AA868" s="1"/>
      <c r="AB868" s="1"/>
    </row>
    <row r="869" ht="50.25" customHeight="1">
      <c r="A869" s="12">
        <v>865.0</v>
      </c>
      <c r="B869" s="13" t="s">
        <v>753</v>
      </c>
      <c r="C869" s="14" t="s">
        <v>874</v>
      </c>
      <c r="D869" s="1"/>
      <c r="E869" s="15"/>
      <c r="F869" s="1" t="str">
        <f>IFERROR(__xludf.DUMMYFUNCTION("GOOGLETRANSLATE(B869, ""en"", ""fa"")
"),"بازاریابی ایمیلی")</f>
        <v>بازاریابی ایمیلی</v>
      </c>
      <c r="G869" s="1" t="str">
        <f>IFERROR(__xludf.DUMMYFUNCTION("GOOGLETRANSLATE(C869, ""en"", ""fa"")
"),"درباره نقش استفاده از تکنیک‌های فوریت و کمیاب در بازاریابی ایمیلی، مانند پیشنهادات با زمان محدود یا اعلان‌های سهام کم، برای افزایش نرخ تبدیل بحث کنید.")</f>
        <v>درباره نقش استفاده از تکنیک‌های فوریت و کمیاب در بازاریابی ایمیلی، مانند پیشنهادات با زمان محدود یا اعلان‌های سهام کم، برای افزایش نرخ تبدیل بحث کنید.</v>
      </c>
      <c r="H869" s="1"/>
      <c r="I869" s="1"/>
      <c r="J869" s="1"/>
      <c r="K869" s="1"/>
      <c r="L869" s="1"/>
      <c r="M869" s="1"/>
      <c r="N869" s="1"/>
      <c r="O869" s="1"/>
      <c r="P869" s="1"/>
      <c r="Q869" s="1"/>
      <c r="R869" s="1"/>
      <c r="S869" s="1"/>
      <c r="T869" s="1"/>
      <c r="U869" s="1"/>
      <c r="V869" s="1"/>
      <c r="W869" s="1"/>
      <c r="X869" s="1"/>
      <c r="Y869" s="1"/>
      <c r="Z869" s="1"/>
      <c r="AA869" s="1"/>
      <c r="AB869" s="1"/>
    </row>
    <row r="870" ht="50.25" customHeight="1">
      <c r="A870" s="12">
        <v>866.0</v>
      </c>
      <c r="B870" s="13" t="s">
        <v>753</v>
      </c>
      <c r="C870" s="14" t="s">
        <v>875</v>
      </c>
      <c r="D870" s="1"/>
      <c r="E870" s="15"/>
      <c r="F870" s="1" t="str">
        <f>IFERROR(__xludf.DUMMYFUNCTION("GOOGLETRANSLATE(B870, ""en"", ""fa"")
"),"بازاریابی ایمیلی")</f>
        <v>بازاریابی ایمیلی</v>
      </c>
      <c r="G870" s="1" t="str">
        <f>IFERROR(__xludf.DUMMYFUNCTION("GOOGLETRANSLATE(C870, ""en"", ""fa"")
"),"استراتژی‌های انجام تست A/B را بر روی عناصر مختلف کمپین‌های ایمیل، مانند طراحی، کپی، یا CTA به اشتراک بگذارید تا تشخیص دهید چه چیزی در بین مشترکین طنین‌انداز می‌شود.")</f>
        <v>استراتژی‌های انجام تست A/B را بر روی عناصر مختلف کمپین‌های ایمیل، مانند طراحی، کپی، یا CTA به اشتراک بگذارید تا تشخیص دهید چه چیزی در بین مشترکین طنین‌انداز می‌شود.</v>
      </c>
      <c r="H870" s="1"/>
      <c r="I870" s="1"/>
      <c r="J870" s="1"/>
      <c r="K870" s="1"/>
      <c r="L870" s="1"/>
      <c r="M870" s="1"/>
      <c r="N870" s="1"/>
      <c r="O870" s="1"/>
      <c r="P870" s="1"/>
      <c r="Q870" s="1"/>
      <c r="R870" s="1"/>
      <c r="S870" s="1"/>
      <c r="T870" s="1"/>
      <c r="U870" s="1"/>
      <c r="V870" s="1"/>
      <c r="W870" s="1"/>
      <c r="X870" s="1"/>
      <c r="Y870" s="1"/>
      <c r="Z870" s="1"/>
      <c r="AA870" s="1"/>
      <c r="AB870" s="1"/>
    </row>
    <row r="871" ht="50.25" customHeight="1">
      <c r="A871" s="12">
        <v>867.0</v>
      </c>
      <c r="B871" s="13" t="s">
        <v>753</v>
      </c>
      <c r="C871" s="14" t="s">
        <v>876</v>
      </c>
      <c r="D871" s="1"/>
      <c r="E871" s="15"/>
      <c r="F871" s="1" t="str">
        <f>IFERROR(__xludf.DUMMYFUNCTION("GOOGLETRANSLATE(B871, ""en"", ""fa"")
"),"بازاریابی ایمیلی")</f>
        <v>بازاریابی ایمیلی</v>
      </c>
      <c r="G871" s="1" t="str">
        <f>IFERROR(__xludf.DUMMYFUNCTION("GOOGLETRANSLATE(C871, ""en"", ""fa"")
"),"مزایای استفاده از توصیه‌های ایمیل شخصی‌شده بر اساس سابقه مرور مشتریان یا الگوهای خرید را برای افزایش تعامل و فروش بررسی کنید.")</f>
        <v>مزایای استفاده از توصیه‌های ایمیل شخصی‌شده بر اساس سابقه مرور مشتریان یا الگوهای خرید را برای افزایش تعامل و فروش بررسی کنید.</v>
      </c>
      <c r="H871" s="1"/>
      <c r="I871" s="1"/>
      <c r="J871" s="1"/>
      <c r="K871" s="1"/>
      <c r="L871" s="1"/>
      <c r="M871" s="1"/>
      <c r="N871" s="1"/>
      <c r="O871" s="1"/>
      <c r="P871" s="1"/>
      <c r="Q871" s="1"/>
      <c r="R871" s="1"/>
      <c r="S871" s="1"/>
      <c r="T871" s="1"/>
      <c r="U871" s="1"/>
      <c r="V871" s="1"/>
      <c r="W871" s="1"/>
      <c r="X871" s="1"/>
      <c r="Y871" s="1"/>
      <c r="Z871" s="1"/>
      <c r="AA871" s="1"/>
      <c r="AB871" s="1"/>
    </row>
    <row r="872" ht="50.25" customHeight="1">
      <c r="A872" s="12">
        <v>868.0</v>
      </c>
      <c r="B872" s="13" t="s">
        <v>753</v>
      </c>
      <c r="C872" s="14" t="s">
        <v>877</v>
      </c>
      <c r="D872" s="1"/>
      <c r="E872" s="15"/>
      <c r="F872" s="1" t="str">
        <f>IFERROR(__xludf.DUMMYFUNCTION("GOOGLETRANSLATE(B872, ""en"", ""fa"")
"),"بازاریابی ایمیلی")</f>
        <v>بازاریابی ایمیلی</v>
      </c>
      <c r="G872" s="1" t="str">
        <f>IFERROR(__xludf.DUMMYFUNCTION("GOOGLETRANSLATE(C872, ""en"", ""fa"")
"),"درباره تأثیر استفاده از ایمیل‌های تراکنش‌های فعال، مانند تأیید سفارش یا اعلان‌های ارسال، برای ارائه اطلاعات ارزشمند و تقویت اعتماد مشتری بحث کنید.")</f>
        <v>درباره تأثیر استفاده از ایمیل‌های تراکنش‌های فعال، مانند تأیید سفارش یا اعلان‌های ارسال، برای ارائه اطلاعات ارزشمند و تقویت اعتماد مشتری بحث کنید.</v>
      </c>
      <c r="H872" s="1"/>
      <c r="I872" s="1"/>
      <c r="J872" s="1"/>
      <c r="K872" s="1"/>
      <c r="L872" s="1"/>
      <c r="M872" s="1"/>
      <c r="N872" s="1"/>
      <c r="O872" s="1"/>
      <c r="P872" s="1"/>
      <c r="Q872" s="1"/>
      <c r="R872" s="1"/>
      <c r="S872" s="1"/>
      <c r="T872" s="1"/>
      <c r="U872" s="1"/>
      <c r="V872" s="1"/>
      <c r="W872" s="1"/>
      <c r="X872" s="1"/>
      <c r="Y872" s="1"/>
      <c r="Z872" s="1"/>
      <c r="AA872" s="1"/>
      <c r="AB872" s="1"/>
    </row>
    <row r="873" ht="50.25" customHeight="1">
      <c r="A873" s="12">
        <v>869.0</v>
      </c>
      <c r="B873" s="13" t="s">
        <v>753</v>
      </c>
      <c r="C873" s="14" t="s">
        <v>878</v>
      </c>
      <c r="D873" s="1"/>
      <c r="E873" s="15"/>
      <c r="F873" s="1" t="str">
        <f>IFERROR(__xludf.DUMMYFUNCTION("GOOGLETRANSLATE(B873, ""en"", ""fa"")
"),"بازاریابی ایمیلی")</f>
        <v>بازاریابی ایمیلی</v>
      </c>
      <c r="G873" s="1" t="str">
        <f>IFERROR(__xludf.DUMMYFUNCTION("GOOGLETRANSLATE(C873, ""en"", ""fa"")
"),"نکاتی را برای بهینه‌سازی فرآیندهای لغو اشتراک ایمیل برای حفظ مشترکین و ارائه گزینه‌های جایگزین، مانند مراکز ترجیحی یا کاهش تعداد دفعات ایمیل، به اشتراک بگذارید.")</f>
        <v>نکاتی را برای بهینه‌سازی فرآیندهای لغو اشتراک ایمیل برای حفظ مشترکین و ارائه گزینه‌های جایگزین، مانند مراکز ترجیحی یا کاهش تعداد دفعات ایمیل، به اشتراک بگذارید.</v>
      </c>
      <c r="H873" s="1"/>
      <c r="I873" s="1"/>
      <c r="J873" s="1"/>
      <c r="K873" s="1"/>
      <c r="L873" s="1"/>
      <c r="M873" s="1"/>
      <c r="N873" s="1"/>
      <c r="O873" s="1"/>
      <c r="P873" s="1"/>
      <c r="Q873" s="1"/>
      <c r="R873" s="1"/>
      <c r="S873" s="1"/>
      <c r="T873" s="1"/>
      <c r="U873" s="1"/>
      <c r="V873" s="1"/>
      <c r="W873" s="1"/>
      <c r="X873" s="1"/>
      <c r="Y873" s="1"/>
      <c r="Z873" s="1"/>
      <c r="AA873" s="1"/>
      <c r="AB873" s="1"/>
    </row>
    <row r="874" ht="50.25" customHeight="1">
      <c r="A874" s="12">
        <v>870.0</v>
      </c>
      <c r="B874" s="13" t="s">
        <v>753</v>
      </c>
      <c r="C874" s="14" t="s">
        <v>879</v>
      </c>
      <c r="D874" s="1"/>
      <c r="E874" s="15"/>
      <c r="F874" s="1" t="str">
        <f>IFERROR(__xludf.DUMMYFUNCTION("GOOGLETRANSLATE(B874, ""en"", ""fa"")
"),"بازاریابی ایمیلی")</f>
        <v>بازاریابی ایمیلی</v>
      </c>
      <c r="G874" s="1" t="str">
        <f>IFERROR(__xludf.DUMMYFUNCTION("GOOGLETRANSLATE(C874, ""en"", ""fa"")
"),"مفهوم استفاده از بخش‌بندی برای ارسال ایمیل‌های هدفمند مشارکت مجدد برای مشترکینی که در یک بازه زمانی خاص با برند تعاملی نداشته‌اند را بررسی کنید.")</f>
        <v>مفهوم استفاده از بخش‌بندی برای ارسال ایمیل‌های هدفمند مشارکت مجدد برای مشترکینی که در یک بازه زمانی خاص با برند تعاملی نداشته‌اند را بررسی کنید.</v>
      </c>
      <c r="H874" s="1"/>
      <c r="I874" s="1"/>
      <c r="J874" s="1"/>
      <c r="K874" s="1"/>
      <c r="L874" s="1"/>
      <c r="M874" s="1"/>
      <c r="N874" s="1"/>
      <c r="O874" s="1"/>
      <c r="P874" s="1"/>
      <c r="Q874" s="1"/>
      <c r="R874" s="1"/>
      <c r="S874" s="1"/>
      <c r="T874" s="1"/>
      <c r="U874" s="1"/>
      <c r="V874" s="1"/>
      <c r="W874" s="1"/>
      <c r="X874" s="1"/>
      <c r="Y874" s="1"/>
      <c r="Z874" s="1"/>
      <c r="AA874" s="1"/>
      <c r="AB874" s="1"/>
    </row>
    <row r="875" ht="50.25" customHeight="1">
      <c r="A875" s="12">
        <v>871.0</v>
      </c>
      <c r="B875" s="13" t="s">
        <v>753</v>
      </c>
      <c r="C875" s="14" t="s">
        <v>880</v>
      </c>
      <c r="D875" s="1"/>
      <c r="E875" s="15"/>
      <c r="F875" s="1" t="str">
        <f>IFERROR(__xludf.DUMMYFUNCTION("GOOGLETRANSLATE(B875, ""en"", ""fa"")
"),"بازاریابی ایمیلی")</f>
        <v>بازاریابی ایمیلی</v>
      </c>
      <c r="G875" s="1" t="str">
        <f>IFERROR(__xludf.DUMMYFUNCTION("GOOGLETRANSLATE(C875, ""en"", ""fa"")
"),"در مورد نقش استفاده از تجزیه و تحلیل داده ها برای ردیابی و اندازه گیری عملکرد کمپین ایمیل، شناسایی روندها و بهینه سازی های مبتنی بر داده بحث کنید.")</f>
        <v>در مورد نقش استفاده از تجزیه و تحلیل داده ها برای ردیابی و اندازه گیری عملکرد کمپین ایمیل، شناسایی روندها و بهینه سازی های مبتنی بر داده بحث کنید.</v>
      </c>
      <c r="H875" s="1"/>
      <c r="I875" s="1"/>
      <c r="J875" s="1"/>
      <c r="K875" s="1"/>
      <c r="L875" s="1"/>
      <c r="M875" s="1"/>
      <c r="N875" s="1"/>
      <c r="O875" s="1"/>
      <c r="P875" s="1"/>
      <c r="Q875" s="1"/>
      <c r="R875" s="1"/>
      <c r="S875" s="1"/>
      <c r="T875" s="1"/>
      <c r="U875" s="1"/>
      <c r="V875" s="1"/>
      <c r="W875" s="1"/>
      <c r="X875" s="1"/>
      <c r="Y875" s="1"/>
      <c r="Z875" s="1"/>
      <c r="AA875" s="1"/>
      <c r="AB875" s="1"/>
    </row>
    <row r="876" ht="50.25" customHeight="1">
      <c r="A876" s="12">
        <v>872.0</v>
      </c>
      <c r="B876" s="13" t="s">
        <v>753</v>
      </c>
      <c r="C876" s="14" t="s">
        <v>881</v>
      </c>
      <c r="D876" s="1"/>
      <c r="E876" s="15"/>
      <c r="F876" s="1" t="str">
        <f>IFERROR(__xludf.DUMMYFUNCTION("GOOGLETRANSLATE(B876, ""en"", ""fa"")
"),"بازاریابی ایمیلی")</f>
        <v>بازاریابی ایمیلی</v>
      </c>
      <c r="G876" s="1" t="str">
        <f>IFERROR(__xludf.DUMMYFUNCTION("GOOGLETRANSLATE(C876, ""en"", ""fa"")
"),"استراتژی‌هایی را برای ایجاد خطوط موضوع ایمیل قانع‌کننده که در صندوق‌های ورودی شلوغ برجسته هستند و گیرندگان را ترغیب می‌کنند تا ایمیل را باز کنند، به اشتراک بگذارید.")</f>
        <v>استراتژی‌هایی را برای ایجاد خطوط موضوع ایمیل قانع‌کننده که در صندوق‌های ورودی شلوغ برجسته هستند و گیرندگان را ترغیب می‌کنند تا ایمیل را باز کنند، به اشتراک بگذارید.</v>
      </c>
      <c r="H876" s="1"/>
      <c r="I876" s="1"/>
      <c r="J876" s="1"/>
      <c r="K876" s="1"/>
      <c r="L876" s="1"/>
      <c r="M876" s="1"/>
      <c r="N876" s="1"/>
      <c r="O876" s="1"/>
      <c r="P876" s="1"/>
      <c r="Q876" s="1"/>
      <c r="R876" s="1"/>
      <c r="S876" s="1"/>
      <c r="T876" s="1"/>
      <c r="U876" s="1"/>
      <c r="V876" s="1"/>
      <c r="W876" s="1"/>
      <c r="X876" s="1"/>
      <c r="Y876" s="1"/>
      <c r="Z876" s="1"/>
      <c r="AA876" s="1"/>
      <c r="AB876" s="1"/>
    </row>
    <row r="877" ht="50.25" customHeight="1">
      <c r="A877" s="12">
        <v>873.0</v>
      </c>
      <c r="B877" s="13" t="s">
        <v>753</v>
      </c>
      <c r="C877" s="14" t="s">
        <v>882</v>
      </c>
      <c r="D877" s="1"/>
      <c r="E877" s="15"/>
      <c r="F877" s="1" t="str">
        <f>IFERROR(__xludf.DUMMYFUNCTION("GOOGLETRANSLATE(B877, ""en"", ""fa"")
"),"بازاریابی ایمیلی")</f>
        <v>بازاریابی ایمیلی</v>
      </c>
      <c r="G877" s="1" t="str">
        <f>IFERROR(__xludf.DUMMYFUNCTION("GOOGLETRANSLATE(C877, ""en"", ""fa"")
"),"مزایای استفاده از شخصی‌سازی ایمیل را فراتر از نام کوچک، مانند تاریخچه خرید، اطلاعات مکان خاص، یا محتوای توصیه‌شده، کاوش کنید.")</f>
        <v>مزایای استفاده از شخصی‌سازی ایمیل را فراتر از نام کوچک، مانند تاریخچه خرید، اطلاعات مکان خاص، یا محتوای توصیه‌شده، کاوش کنید.</v>
      </c>
      <c r="H877" s="1"/>
      <c r="I877" s="1"/>
      <c r="J877" s="1"/>
      <c r="K877" s="1"/>
      <c r="L877" s="1"/>
      <c r="M877" s="1"/>
      <c r="N877" s="1"/>
      <c r="O877" s="1"/>
      <c r="P877" s="1"/>
      <c r="Q877" s="1"/>
      <c r="R877" s="1"/>
      <c r="S877" s="1"/>
      <c r="T877" s="1"/>
      <c r="U877" s="1"/>
      <c r="V877" s="1"/>
      <c r="W877" s="1"/>
      <c r="X877" s="1"/>
      <c r="Y877" s="1"/>
      <c r="Z877" s="1"/>
      <c r="AA877" s="1"/>
      <c r="AB877" s="1"/>
    </row>
    <row r="878" ht="50.25" customHeight="1">
      <c r="A878" s="12">
        <v>874.0</v>
      </c>
      <c r="B878" s="13" t="s">
        <v>753</v>
      </c>
      <c r="C878" s="14" t="s">
        <v>883</v>
      </c>
      <c r="D878" s="1"/>
      <c r="E878" s="15"/>
      <c r="F878" s="1" t="str">
        <f>IFERROR(__xludf.DUMMYFUNCTION("GOOGLETRANSLATE(B878, ""en"", ""fa"")
"),"بازاریابی ایمیلی")</f>
        <v>بازاریابی ایمیلی</v>
      </c>
      <c r="G878" s="1" t="str">
        <f>IFERROR(__xludf.DUMMYFUNCTION("GOOGLETRANSLATE(C878, ""en"", ""fa"")
"),"درباره تاثیر استفاده از برنامه های وفاداری مشتری و پیشنهادات انحصاری در بازاریابی ایمیلی برای پاداش و حفظ مشتریان ارزشمند بحث کنید.")</f>
        <v>درباره تاثیر استفاده از برنامه های وفاداری مشتری و پیشنهادات انحصاری در بازاریابی ایمیلی برای پاداش و حفظ مشتریان ارزشمند بحث کنید.</v>
      </c>
      <c r="H878" s="1"/>
      <c r="I878" s="1"/>
      <c r="J878" s="1"/>
      <c r="K878" s="1"/>
      <c r="L878" s="1"/>
      <c r="M878" s="1"/>
      <c r="N878" s="1"/>
      <c r="O878" s="1"/>
      <c r="P878" s="1"/>
      <c r="Q878" s="1"/>
      <c r="R878" s="1"/>
      <c r="S878" s="1"/>
      <c r="T878" s="1"/>
      <c r="U878" s="1"/>
      <c r="V878" s="1"/>
      <c r="W878" s="1"/>
      <c r="X878" s="1"/>
      <c r="Y878" s="1"/>
      <c r="Z878" s="1"/>
      <c r="AA878" s="1"/>
      <c r="AB878" s="1"/>
    </row>
    <row r="879" ht="50.25" customHeight="1">
      <c r="A879" s="12">
        <v>875.0</v>
      </c>
      <c r="B879" s="13" t="s">
        <v>753</v>
      </c>
      <c r="C879" s="14" t="s">
        <v>884</v>
      </c>
      <c r="D879" s="1"/>
      <c r="E879" s="15"/>
      <c r="F879" s="1" t="str">
        <f>IFERROR(__xludf.DUMMYFUNCTION("GOOGLETRANSLATE(B879, ""en"", ""fa"")
"),"بازاریابی ایمیلی")</f>
        <v>بازاریابی ایمیلی</v>
      </c>
      <c r="G879" s="1" t="str">
        <f>IFERROR(__xludf.DUMMYFUNCTION("GOOGLETRANSLATE(C879, ""en"", ""fa"")
"),"نکاتی را برای استفاده از نظرسنجی‌ها یا نظرسنجی‌های ایمیلی برای جمع‌آوری بازخورد و دیدگاه‌های مشترکین به اشتراک بگذارید و به تنظیم محتوای ایمیل و پیشنهادات آینده کمک کنید.")</f>
        <v>نکاتی را برای استفاده از نظرسنجی‌ها یا نظرسنجی‌های ایمیلی برای جمع‌آوری بازخورد و دیدگاه‌های مشترکین به اشتراک بگذارید و به تنظیم محتوای ایمیل و پیشنهادات آینده کمک کنید.</v>
      </c>
      <c r="H879" s="1"/>
      <c r="I879" s="1"/>
      <c r="J879" s="1"/>
      <c r="K879" s="1"/>
      <c r="L879" s="1"/>
      <c r="M879" s="1"/>
      <c r="N879" s="1"/>
      <c r="O879" s="1"/>
      <c r="P879" s="1"/>
      <c r="Q879" s="1"/>
      <c r="R879" s="1"/>
      <c r="S879" s="1"/>
      <c r="T879" s="1"/>
      <c r="U879" s="1"/>
      <c r="V879" s="1"/>
      <c r="W879" s="1"/>
      <c r="X879" s="1"/>
      <c r="Y879" s="1"/>
      <c r="Z879" s="1"/>
      <c r="AA879" s="1"/>
      <c r="AB879" s="1"/>
    </row>
    <row r="880" ht="50.25" customHeight="1">
      <c r="A880" s="12">
        <v>876.0</v>
      </c>
      <c r="B880" s="13" t="s">
        <v>753</v>
      </c>
      <c r="C880" s="14" t="s">
        <v>885</v>
      </c>
      <c r="D880" s="1"/>
      <c r="E880" s="15"/>
      <c r="F880" s="1" t="str">
        <f>IFERROR(__xludf.DUMMYFUNCTION("GOOGLETRANSLATE(B880, ""en"", ""fa"")
"),"بازاریابی ایمیلی")</f>
        <v>بازاریابی ایمیلی</v>
      </c>
      <c r="G880" s="1" t="str">
        <f>IFERROR(__xludf.DUMMYFUNCTION("GOOGLETRANSLATE(C880, ""en"", ""fa"")
"),"مفهوم استفاده از ایمیل‌های بازپرداخت فعال را بررسی کنید تا به مشتریان یادآوری کنید که محصولات مصرفی را بر اساس الگوهای استفاده معمولی خریداری کنند.")</f>
        <v>مفهوم استفاده از ایمیل‌های بازپرداخت فعال را بررسی کنید تا به مشتریان یادآوری کنید که محصولات مصرفی را بر اساس الگوهای استفاده معمولی خریداری کنند.</v>
      </c>
      <c r="H880" s="1"/>
      <c r="I880" s="1"/>
      <c r="J880" s="1"/>
      <c r="K880" s="1"/>
      <c r="L880" s="1"/>
      <c r="M880" s="1"/>
      <c r="N880" s="1"/>
      <c r="O880" s="1"/>
      <c r="P880" s="1"/>
      <c r="Q880" s="1"/>
      <c r="R880" s="1"/>
      <c r="S880" s="1"/>
      <c r="T880" s="1"/>
      <c r="U880" s="1"/>
      <c r="V880" s="1"/>
      <c r="W880" s="1"/>
      <c r="X880" s="1"/>
      <c r="Y880" s="1"/>
      <c r="Z880" s="1"/>
      <c r="AA880" s="1"/>
      <c r="AB880" s="1"/>
    </row>
    <row r="881" ht="50.25" customHeight="1">
      <c r="A881" s="12">
        <v>877.0</v>
      </c>
      <c r="B881" s="13" t="s">
        <v>753</v>
      </c>
      <c r="C881" s="14" t="s">
        <v>886</v>
      </c>
      <c r="D881" s="1"/>
      <c r="E881" s="15"/>
      <c r="F881" s="1" t="str">
        <f>IFERROR(__xludf.DUMMYFUNCTION("GOOGLETRANSLATE(B881, ""en"", ""fa"")
"),"بازاریابی ایمیلی")</f>
        <v>بازاریابی ایمیلی</v>
      </c>
      <c r="G881" s="1" t="str">
        <f>IFERROR(__xludf.DUMMYFUNCTION("GOOGLETRANSLATE(C881, ""en"", ""fa"")
"),"در مورد نقش استفاده از مسابقات ایمیلی یا هدایا برای تقویت تعامل، رشد پایگاه مشترکین و ایجاد سر و صدا در اطراف برند بحث کنید.")</f>
        <v>در مورد نقش استفاده از مسابقات ایمیلی یا هدایا برای تقویت تعامل، رشد پایگاه مشترکین و ایجاد سر و صدا در اطراف برند بحث کنید.</v>
      </c>
      <c r="H881" s="1"/>
      <c r="I881" s="1"/>
      <c r="J881" s="1"/>
      <c r="K881" s="1"/>
      <c r="L881" s="1"/>
      <c r="M881" s="1"/>
      <c r="N881" s="1"/>
      <c r="O881" s="1"/>
      <c r="P881" s="1"/>
      <c r="Q881" s="1"/>
      <c r="R881" s="1"/>
      <c r="S881" s="1"/>
      <c r="T881" s="1"/>
      <c r="U881" s="1"/>
      <c r="V881" s="1"/>
      <c r="W881" s="1"/>
      <c r="X881" s="1"/>
      <c r="Y881" s="1"/>
      <c r="Z881" s="1"/>
      <c r="AA881" s="1"/>
      <c r="AB881" s="1"/>
    </row>
    <row r="882" ht="50.25" customHeight="1">
      <c r="A882" s="12">
        <v>878.0</v>
      </c>
      <c r="B882" s="13" t="s">
        <v>753</v>
      </c>
      <c r="C882" s="14" t="s">
        <v>887</v>
      </c>
      <c r="D882" s="1"/>
      <c r="E882" s="15"/>
      <c r="F882" s="1" t="str">
        <f>IFERROR(__xludf.DUMMYFUNCTION("GOOGLETRANSLATE(B882, ""en"", ""fa"")
"),"بازاریابی ایمیلی")</f>
        <v>بازاریابی ایمیلی</v>
      </c>
      <c r="G882" s="1" t="str">
        <f>IFERROR(__xludf.DUMMYFUNCTION("GOOGLETRANSLATE(C882, ""en"", ""fa"")
"),"استراتژی هایی را برای ایجاد CTA های ایمیل موثر که واضح، قانع کننده هستند و گیرندگان را به انجام اقدامات مورد نظر سوق می دهند، به اشتراک بگذارید.")</f>
        <v>استراتژی هایی را برای ایجاد CTA های ایمیل موثر که واضح، قانع کننده هستند و گیرندگان را به انجام اقدامات مورد نظر سوق می دهند، به اشتراک بگذارید.</v>
      </c>
      <c r="H882" s="1"/>
      <c r="I882" s="1"/>
      <c r="J882" s="1"/>
      <c r="K882" s="1"/>
      <c r="L882" s="1"/>
      <c r="M882" s="1"/>
      <c r="N882" s="1"/>
      <c r="O882" s="1"/>
      <c r="P882" s="1"/>
      <c r="Q882" s="1"/>
      <c r="R882" s="1"/>
      <c r="S882" s="1"/>
      <c r="T882" s="1"/>
      <c r="U882" s="1"/>
      <c r="V882" s="1"/>
      <c r="W882" s="1"/>
      <c r="X882" s="1"/>
      <c r="Y882" s="1"/>
      <c r="Z882" s="1"/>
      <c r="AA882" s="1"/>
      <c r="AB882" s="1"/>
    </row>
    <row r="883" ht="50.25" customHeight="1">
      <c r="A883" s="12">
        <v>879.0</v>
      </c>
      <c r="B883" s="13" t="s">
        <v>753</v>
      </c>
      <c r="C883" s="14" t="s">
        <v>888</v>
      </c>
      <c r="D883" s="1"/>
      <c r="E883" s="15"/>
      <c r="F883" s="1" t="str">
        <f>IFERROR(__xludf.DUMMYFUNCTION("GOOGLETRANSLATE(B883, ""en"", ""fa"")
"),"بازاریابی ایمیلی")</f>
        <v>بازاریابی ایمیلی</v>
      </c>
      <c r="G883" s="1" t="str">
        <f>IFERROR(__xludf.DUMMYFUNCTION("GOOGLETRANSLATE(C883, ""en"", ""fa"")
"),"مزایای استفاده از بخش‌بندی برای ارسال ایمیل‌های هدفمند رها کردن سبد خرید را که به مشتریان خریدهای ناقص آنها را یادآوری می‌کند و مشوق‌هایی برای تکمیل تراکنش ارائه می‌دهد، کاوش کنید.")</f>
        <v>مزایای استفاده از بخش‌بندی برای ارسال ایمیل‌های هدفمند رها کردن سبد خرید را که به مشتریان خریدهای ناقص آنها را یادآوری می‌کند و مشوق‌هایی برای تکمیل تراکنش ارائه می‌دهد، کاوش کنید.</v>
      </c>
      <c r="H883" s="1"/>
      <c r="I883" s="1"/>
      <c r="J883" s="1"/>
      <c r="K883" s="1"/>
      <c r="L883" s="1"/>
      <c r="M883" s="1"/>
      <c r="N883" s="1"/>
      <c r="O883" s="1"/>
      <c r="P883" s="1"/>
      <c r="Q883" s="1"/>
      <c r="R883" s="1"/>
      <c r="S883" s="1"/>
      <c r="T883" s="1"/>
      <c r="U883" s="1"/>
      <c r="V883" s="1"/>
      <c r="W883" s="1"/>
      <c r="X883" s="1"/>
      <c r="Y883" s="1"/>
      <c r="Z883" s="1"/>
      <c r="AA883" s="1"/>
      <c r="AB883" s="1"/>
    </row>
    <row r="884" ht="50.25" customHeight="1">
      <c r="A884" s="12">
        <v>880.0</v>
      </c>
      <c r="B884" s="13" t="s">
        <v>753</v>
      </c>
      <c r="C884" s="14" t="s">
        <v>889</v>
      </c>
      <c r="D884" s="1"/>
      <c r="E884" s="15"/>
      <c r="F884" s="1" t="str">
        <f>IFERROR(__xludf.DUMMYFUNCTION("GOOGLETRANSLATE(B884, ""en"", ""fa"")
"),"بازاریابی ایمیلی")</f>
        <v>بازاریابی ایمیلی</v>
      </c>
      <c r="G884" s="1" t="str">
        <f>IFERROR(__xludf.DUMMYFUNCTION("GOOGLETRANSLATE(C884, ""en"", ""fa"")
"),"درباره تأثیر استفاده از عناصر تعاملی در ایمیل‌ها، مانند آزمون‌ها یا نمایش‌های نمایشی محصولات تعاملی، برای جلب مشارکت مشترکین و تشویق مشارکت بحث کنید.")</f>
        <v>درباره تأثیر استفاده از عناصر تعاملی در ایمیل‌ها، مانند آزمون‌ها یا نمایش‌های نمایشی محصولات تعاملی، برای جلب مشارکت مشترکین و تشویق مشارکت بحث کنید.</v>
      </c>
      <c r="H884" s="1"/>
      <c r="I884" s="1"/>
      <c r="J884" s="1"/>
      <c r="K884" s="1"/>
      <c r="L884" s="1"/>
      <c r="M884" s="1"/>
      <c r="N884" s="1"/>
      <c r="O884" s="1"/>
      <c r="P884" s="1"/>
      <c r="Q884" s="1"/>
      <c r="R884" s="1"/>
      <c r="S884" s="1"/>
      <c r="T884" s="1"/>
      <c r="U884" s="1"/>
      <c r="V884" s="1"/>
      <c r="W884" s="1"/>
      <c r="X884" s="1"/>
      <c r="Y884" s="1"/>
      <c r="Z884" s="1"/>
      <c r="AA884" s="1"/>
      <c r="AB884" s="1"/>
    </row>
    <row r="885" ht="50.25" customHeight="1">
      <c r="A885" s="12">
        <v>881.0</v>
      </c>
      <c r="B885" s="13" t="s">
        <v>753</v>
      </c>
      <c r="C885" s="14" t="s">
        <v>890</v>
      </c>
      <c r="D885" s="1"/>
      <c r="E885" s="15"/>
      <c r="F885" s="1" t="str">
        <f>IFERROR(__xludf.DUMMYFUNCTION("GOOGLETRANSLATE(B885, ""en"", ""fa"")
"),"بازاریابی ایمیلی")</f>
        <v>بازاریابی ایمیلی</v>
      </c>
      <c r="G885" s="1" t="str">
        <f>IFERROR(__xludf.DUMMYFUNCTION("GOOGLETRANSLATE(C885, ""en"", ""fa"")
"),"نکاتی را برای بهینه‌سازی قالب‌های ایمیل برای کلاینت‌ها و دستگاه‌های ایمیل مختلف به اشتراک بگذارید، و از رندر و عملکرد ثابت در پلتفرم‌های مختلف اطمینان حاصل کنید.")</f>
        <v>نکاتی را برای بهینه‌سازی قالب‌های ایمیل برای کلاینت‌ها و دستگاه‌های ایمیل مختلف به اشتراک بگذارید، و از رندر و عملکرد ثابت در پلتفرم‌های مختلف اطمینان حاصل کنید.</v>
      </c>
      <c r="H885" s="1"/>
      <c r="I885" s="1"/>
      <c r="J885" s="1"/>
      <c r="K885" s="1"/>
      <c r="L885" s="1"/>
      <c r="M885" s="1"/>
      <c r="N885" s="1"/>
      <c r="O885" s="1"/>
      <c r="P885" s="1"/>
      <c r="Q885" s="1"/>
      <c r="R885" s="1"/>
      <c r="S885" s="1"/>
      <c r="T885" s="1"/>
      <c r="U885" s="1"/>
      <c r="V885" s="1"/>
      <c r="W885" s="1"/>
      <c r="X885" s="1"/>
      <c r="Y885" s="1"/>
      <c r="Z885" s="1"/>
      <c r="AA885" s="1"/>
      <c r="AB885" s="1"/>
    </row>
    <row r="886" ht="50.25" customHeight="1">
      <c r="A886" s="12">
        <v>882.0</v>
      </c>
      <c r="B886" s="13" t="s">
        <v>753</v>
      </c>
      <c r="C886" s="14" t="s">
        <v>891</v>
      </c>
      <c r="D886" s="1"/>
      <c r="E886" s="15"/>
      <c r="F886" s="1" t="str">
        <f>IFERROR(__xludf.DUMMYFUNCTION("GOOGLETRANSLATE(B886, ""en"", ""fa"")
"),"بازاریابی ایمیلی")</f>
        <v>بازاریابی ایمیلی</v>
      </c>
      <c r="G886" s="1" t="str">
        <f>IFERROR(__xludf.DUMMYFUNCTION("GOOGLETRANSLATE(C886, ""en"", ""fa"")
"),"مفهوم استفاده از ایمیل های نقطه عطف راه اندازی شده را برای جشن گرفتن سالگرد مشتری، تولد یا نقاط عطف مهم در رابطه با مشتری بررسی کنید.")</f>
        <v>مفهوم استفاده از ایمیل های نقطه عطف راه اندازی شده را برای جشن گرفتن سالگرد مشتری، تولد یا نقاط عطف مهم در رابطه با مشتری بررسی کنید.</v>
      </c>
      <c r="H886" s="1"/>
      <c r="I886" s="1"/>
      <c r="J886" s="1"/>
      <c r="K886" s="1"/>
      <c r="L886" s="1"/>
      <c r="M886" s="1"/>
      <c r="N886" s="1"/>
      <c r="O886" s="1"/>
      <c r="P886" s="1"/>
      <c r="Q886" s="1"/>
      <c r="R886" s="1"/>
      <c r="S886" s="1"/>
      <c r="T886" s="1"/>
      <c r="U886" s="1"/>
      <c r="V886" s="1"/>
      <c r="W886" s="1"/>
      <c r="X886" s="1"/>
      <c r="Y886" s="1"/>
      <c r="Z886" s="1"/>
      <c r="AA886" s="1"/>
      <c r="AB886" s="1"/>
    </row>
    <row r="887" ht="50.25" customHeight="1">
      <c r="A887" s="12">
        <v>883.0</v>
      </c>
      <c r="B887" s="13" t="s">
        <v>753</v>
      </c>
      <c r="C887" s="14" t="s">
        <v>892</v>
      </c>
      <c r="D887" s="1"/>
      <c r="E887" s="15"/>
      <c r="F887" s="1" t="str">
        <f>IFERROR(__xludf.DUMMYFUNCTION("GOOGLETRANSLATE(B887, ""en"", ""fa"")
"),"بازاریابی ایمیلی")</f>
        <v>بازاریابی ایمیلی</v>
      </c>
      <c r="G887" s="1" t="str">
        <f>IFERROR(__xludf.DUMMYFUNCTION("GOOGLETRANSLATE(C887, ""en"", ""fa"")
"),"در مورد نقش استفاده از شخصی سازی ایمیل برای ارائه محتوای سفارشی شده بر اساس ترجیحات، علایق یا تعاملات قبلی مشترکین بحث کنید.")</f>
        <v>در مورد نقش استفاده از شخصی سازی ایمیل برای ارائه محتوای سفارشی شده بر اساس ترجیحات، علایق یا تعاملات قبلی مشترکین بحث کنید.</v>
      </c>
      <c r="H887" s="1"/>
      <c r="I887" s="1"/>
      <c r="J887" s="1"/>
      <c r="K887" s="1"/>
      <c r="L887" s="1"/>
      <c r="M887" s="1"/>
      <c r="N887" s="1"/>
      <c r="O887" s="1"/>
      <c r="P887" s="1"/>
      <c r="Q887" s="1"/>
      <c r="R887" s="1"/>
      <c r="S887" s="1"/>
      <c r="T887" s="1"/>
      <c r="U887" s="1"/>
      <c r="V887" s="1"/>
      <c r="W887" s="1"/>
      <c r="X887" s="1"/>
      <c r="Y887" s="1"/>
      <c r="Z887" s="1"/>
      <c r="AA887" s="1"/>
      <c r="AB887" s="1"/>
    </row>
    <row r="888" ht="50.25" customHeight="1">
      <c r="A888" s="12">
        <v>884.0</v>
      </c>
      <c r="B888" s="13" t="s">
        <v>753</v>
      </c>
      <c r="C888" s="14" t="s">
        <v>893</v>
      </c>
      <c r="D888" s="1"/>
      <c r="E888" s="15"/>
      <c r="F888" s="1" t="str">
        <f>IFERROR(__xludf.DUMMYFUNCTION("GOOGLETRANSLATE(B888, ""en"", ""fa"")
"),"بازاریابی ایمیلی")</f>
        <v>بازاریابی ایمیلی</v>
      </c>
      <c r="G888" s="1" t="str">
        <f>IFERROR(__xludf.DUMMYFUNCTION("GOOGLETRANSLATE(C888, ""en"", ""fa"")
"),"استراتژی‌های استفاده از بازاریابی ایمیلی برای پرورش سرنخ‌های به دست آمده از طریق کانال‌های دیگر، مانند رسانه‌های اجتماعی یا بازاریابی محتوا را به اشتراک بگذارید.")</f>
        <v>استراتژی‌های استفاده از بازاریابی ایمیلی برای پرورش سرنخ‌های به دست آمده از طریق کانال‌های دیگر، مانند رسانه‌های اجتماعی یا بازاریابی محتوا را به اشتراک بگذارید.</v>
      </c>
      <c r="H888" s="1"/>
      <c r="I888" s="1"/>
      <c r="J888" s="1"/>
      <c r="K888" s="1"/>
      <c r="L888" s="1"/>
      <c r="M888" s="1"/>
      <c r="N888" s="1"/>
      <c r="O888" s="1"/>
      <c r="P888" s="1"/>
      <c r="Q888" s="1"/>
      <c r="R888" s="1"/>
      <c r="S888" s="1"/>
      <c r="T888" s="1"/>
      <c r="U888" s="1"/>
      <c r="V888" s="1"/>
      <c r="W888" s="1"/>
      <c r="X888" s="1"/>
      <c r="Y888" s="1"/>
      <c r="Z888" s="1"/>
      <c r="AA888" s="1"/>
      <c r="AB888" s="1"/>
    </row>
    <row r="889" ht="50.25" customHeight="1">
      <c r="A889" s="12">
        <v>885.0</v>
      </c>
      <c r="B889" s="13" t="s">
        <v>753</v>
      </c>
      <c r="C889" s="14" t="s">
        <v>894</v>
      </c>
      <c r="D889" s="1"/>
      <c r="E889" s="15"/>
      <c r="F889" s="1" t="str">
        <f>IFERROR(__xludf.DUMMYFUNCTION("GOOGLETRANSLATE(B889, ""en"", ""fa"")
"),"بازاریابی ایمیلی")</f>
        <v>بازاریابی ایمیلی</v>
      </c>
      <c r="G889" s="1" t="str">
        <f>IFERROR(__xludf.DUMMYFUNCTION("GOOGLETRANSLATE(C889, ""en"", ""fa"")
"),"مزایای استفاده از نظرسنجی های ایمیلی یا درخواست های بازخورد را برای جمع آوری بینش در مورد رضایت مشتری و شناسایی زمینه های بهبود پیدا کنید.")</f>
        <v>مزایای استفاده از نظرسنجی های ایمیلی یا درخواست های بازخورد را برای جمع آوری بینش در مورد رضایت مشتری و شناسایی زمینه های بهبود پیدا کنید.</v>
      </c>
      <c r="H889" s="1"/>
      <c r="I889" s="1"/>
      <c r="J889" s="1"/>
      <c r="K889" s="1"/>
      <c r="L889" s="1"/>
      <c r="M889" s="1"/>
      <c r="N889" s="1"/>
      <c r="O889" s="1"/>
      <c r="P889" s="1"/>
      <c r="Q889" s="1"/>
      <c r="R889" s="1"/>
      <c r="S889" s="1"/>
      <c r="T889" s="1"/>
      <c r="U889" s="1"/>
      <c r="V889" s="1"/>
      <c r="W889" s="1"/>
      <c r="X889" s="1"/>
      <c r="Y889" s="1"/>
      <c r="Z889" s="1"/>
      <c r="AA889" s="1"/>
      <c r="AB889" s="1"/>
    </row>
    <row r="890" ht="50.25" customHeight="1">
      <c r="A890" s="12">
        <v>886.0</v>
      </c>
      <c r="B890" s="13" t="s">
        <v>753</v>
      </c>
      <c r="C890" s="14" t="s">
        <v>895</v>
      </c>
      <c r="D890" s="1"/>
      <c r="E890" s="15"/>
      <c r="F890" s="1" t="str">
        <f>IFERROR(__xludf.DUMMYFUNCTION("GOOGLETRANSLATE(B890, ""en"", ""fa"")
"),"بازاریابی ایمیلی")</f>
        <v>بازاریابی ایمیلی</v>
      </c>
      <c r="G890" s="1" t="str">
        <f>IFERROR(__xludf.DUMMYFUNCTION("GOOGLETRANSLATE(C890, ""en"", ""fa"")
"),"در مورد تأثیر استفاده از تقسیم بندی برای ارسال ایمیل های برگشتی هدفمند به مشتریان قبلی که در یک بازه زمانی مشخص خریدی انجام نداده اند، بحث کنید.")</f>
        <v>در مورد تأثیر استفاده از تقسیم بندی برای ارسال ایمیل های برگشتی هدفمند به مشتریان قبلی که در یک بازه زمانی مشخص خریدی انجام نداده اند، بحث کنید.</v>
      </c>
      <c r="H890" s="1"/>
      <c r="I890" s="1"/>
      <c r="J890" s="1"/>
      <c r="K890" s="1"/>
      <c r="L890" s="1"/>
      <c r="M890" s="1"/>
      <c r="N890" s="1"/>
      <c r="O890" s="1"/>
      <c r="P890" s="1"/>
      <c r="Q890" s="1"/>
      <c r="R890" s="1"/>
      <c r="S890" s="1"/>
      <c r="T890" s="1"/>
      <c r="U890" s="1"/>
      <c r="V890" s="1"/>
      <c r="W890" s="1"/>
      <c r="X890" s="1"/>
      <c r="Y890" s="1"/>
      <c r="Z890" s="1"/>
      <c r="AA890" s="1"/>
      <c r="AB890" s="1"/>
    </row>
    <row r="891" ht="50.25" customHeight="1">
      <c r="A891" s="12">
        <v>887.0</v>
      </c>
      <c r="B891" s="13" t="s">
        <v>753</v>
      </c>
      <c r="C891" s="14" t="s">
        <v>896</v>
      </c>
      <c r="D891" s="1"/>
      <c r="E891" s="15"/>
      <c r="F891" s="1" t="str">
        <f>IFERROR(__xludf.DUMMYFUNCTION("GOOGLETRANSLATE(B891, ""en"", ""fa"")
"),"بازاریابی ایمیلی")</f>
        <v>بازاریابی ایمیلی</v>
      </c>
      <c r="G891" s="1" t="str">
        <f>IFERROR(__xludf.DUMMYFUNCTION("GOOGLETRANSLATE(C891, ""en"", ""fa"")
"),"نکاتی را برای بهینه‌سازی تعامل ایمیل از طریق متن پیش‌هدر قانع‌کننده که مکمل خط موضوع است و گیرندگان را ترغیب می‌کند تا ایمیل را باز کنند، به اشتراک بگذارید.")</f>
        <v>نکاتی را برای بهینه‌سازی تعامل ایمیل از طریق متن پیش‌هدر قانع‌کننده که مکمل خط موضوع است و گیرندگان را ترغیب می‌کند تا ایمیل را باز کنند، به اشتراک بگذارید.</v>
      </c>
      <c r="H891" s="1"/>
      <c r="I891" s="1"/>
      <c r="J891" s="1"/>
      <c r="K891" s="1"/>
      <c r="L891" s="1"/>
      <c r="M891" s="1"/>
      <c r="N891" s="1"/>
      <c r="O891" s="1"/>
      <c r="P891" s="1"/>
      <c r="Q891" s="1"/>
      <c r="R891" s="1"/>
      <c r="S891" s="1"/>
      <c r="T891" s="1"/>
      <c r="U891" s="1"/>
      <c r="V891" s="1"/>
      <c r="W891" s="1"/>
      <c r="X891" s="1"/>
      <c r="Y891" s="1"/>
      <c r="Z891" s="1"/>
      <c r="AA891" s="1"/>
      <c r="AB891" s="1"/>
    </row>
    <row r="892" ht="50.25" customHeight="1">
      <c r="A892" s="12">
        <v>888.0</v>
      </c>
      <c r="B892" s="13" t="s">
        <v>753</v>
      </c>
      <c r="C892" s="14" t="s">
        <v>897</v>
      </c>
      <c r="D892" s="1"/>
      <c r="E892" s="15"/>
      <c r="F892" s="1" t="str">
        <f>IFERROR(__xludf.DUMMYFUNCTION("GOOGLETRANSLATE(B892, ""en"", ""fa"")
"),"بازاریابی ایمیلی")</f>
        <v>بازاریابی ایمیلی</v>
      </c>
      <c r="G892" s="1" t="str">
        <f>IFERROR(__xludf.DUMMYFUNCTION("GOOGLETRANSLATE(C892, ""en"", ""fa"")
"),"مفهوم استفاده از توالی‌های ارسال ایمیل خودکار برای معرفی مشتریان جدید با نام تجاری و راهنمایی آنها در اولین تعاملاتشان را بررسی کنید.")</f>
        <v>مفهوم استفاده از توالی‌های ارسال ایمیل خودکار برای معرفی مشتریان جدید با نام تجاری و راهنمایی آنها در اولین تعاملاتشان را بررسی کنید.</v>
      </c>
      <c r="H892" s="1"/>
      <c r="I892" s="1"/>
      <c r="J892" s="1"/>
      <c r="K892" s="1"/>
      <c r="L892" s="1"/>
      <c r="M892" s="1"/>
      <c r="N892" s="1"/>
      <c r="O892" s="1"/>
      <c r="P892" s="1"/>
      <c r="Q892" s="1"/>
      <c r="R892" s="1"/>
      <c r="S892" s="1"/>
      <c r="T892" s="1"/>
      <c r="U892" s="1"/>
      <c r="V892" s="1"/>
      <c r="W892" s="1"/>
      <c r="X892" s="1"/>
      <c r="Y892" s="1"/>
      <c r="Z892" s="1"/>
      <c r="AA892" s="1"/>
      <c r="AB892" s="1"/>
    </row>
    <row r="893" ht="50.25" customHeight="1">
      <c r="A893" s="12">
        <v>889.0</v>
      </c>
      <c r="B893" s="13" t="s">
        <v>753</v>
      </c>
      <c r="C893" s="14" t="s">
        <v>898</v>
      </c>
      <c r="D893" s="1"/>
      <c r="E893" s="15"/>
      <c r="F893" s="1" t="str">
        <f>IFERROR(__xludf.DUMMYFUNCTION("GOOGLETRANSLATE(B893, ""en"", ""fa"")
"),"بازاریابی ایمیلی")</f>
        <v>بازاریابی ایمیلی</v>
      </c>
      <c r="G893" s="1" t="str">
        <f>IFERROR(__xludf.DUMMYFUNCTION("GOOGLETRANSLATE(C893, ""en"", ""fa"")
"),"درباره نقش استفاده از شخصی‌سازی ایمیل برای تأیید و پاداش دادن به مشتریان وفادار، مانند تخفیف‌های انحصاری یا دسترسی VIP، بحث کنید.")</f>
        <v>درباره نقش استفاده از شخصی‌سازی ایمیل برای تأیید و پاداش دادن به مشتریان وفادار، مانند تخفیف‌های انحصاری یا دسترسی VIP، بحث کنید.</v>
      </c>
      <c r="H893" s="1"/>
      <c r="I893" s="1"/>
      <c r="J893" s="1"/>
      <c r="K893" s="1"/>
      <c r="L893" s="1"/>
      <c r="M893" s="1"/>
      <c r="N893" s="1"/>
      <c r="O893" s="1"/>
      <c r="P893" s="1"/>
      <c r="Q893" s="1"/>
      <c r="R893" s="1"/>
      <c r="S893" s="1"/>
      <c r="T893" s="1"/>
      <c r="U893" s="1"/>
      <c r="V893" s="1"/>
      <c r="W893" s="1"/>
      <c r="X893" s="1"/>
      <c r="Y893" s="1"/>
      <c r="Z893" s="1"/>
      <c r="AA893" s="1"/>
      <c r="AB893" s="1"/>
    </row>
    <row r="894" ht="50.25" customHeight="1">
      <c r="A894" s="12">
        <v>890.0</v>
      </c>
      <c r="B894" s="13" t="s">
        <v>753</v>
      </c>
      <c r="C894" s="14" t="s">
        <v>899</v>
      </c>
      <c r="D894" s="1"/>
      <c r="E894" s="15"/>
      <c r="F894" s="1" t="str">
        <f>IFERROR(__xludf.DUMMYFUNCTION("GOOGLETRANSLATE(B894, ""en"", ""fa"")
"),"بازاریابی ایمیلی")</f>
        <v>بازاریابی ایمیلی</v>
      </c>
      <c r="G894" s="1" t="str">
        <f>IFERROR(__xludf.DUMMYFUNCTION("GOOGLETRANSLATE(C894, ""en"", ""fa"")
"),"استراتژی‌هایی را برای ایجاد ایمیل‌های تعامل مجدد مؤثر به اشتراک بگذارید که مشوق‌هایی را ارائه می‌دهند، پیشنهادهای جدید را برجسته می‌کنند یا محتوای ارزشمندی را برای برانگیختن مجدد علاقه مشترک ارائه می‌دهند.")</f>
        <v>استراتژی‌هایی را برای ایجاد ایمیل‌های تعامل مجدد مؤثر به اشتراک بگذارید که مشوق‌هایی را ارائه می‌دهند، پیشنهادهای جدید را برجسته می‌کنند یا محتوای ارزشمندی را برای برانگیختن مجدد علاقه مشترک ارائه می‌دهند.</v>
      </c>
      <c r="H894" s="1"/>
      <c r="I894" s="1"/>
      <c r="J894" s="1"/>
      <c r="K894" s="1"/>
      <c r="L894" s="1"/>
      <c r="M894" s="1"/>
      <c r="N894" s="1"/>
      <c r="O894" s="1"/>
      <c r="P894" s="1"/>
      <c r="Q894" s="1"/>
      <c r="R894" s="1"/>
      <c r="S894" s="1"/>
      <c r="T894" s="1"/>
      <c r="U894" s="1"/>
      <c r="V894" s="1"/>
      <c r="W894" s="1"/>
      <c r="X894" s="1"/>
      <c r="Y894" s="1"/>
      <c r="Z894" s="1"/>
      <c r="AA894" s="1"/>
      <c r="AB894" s="1"/>
    </row>
    <row r="895" ht="50.25" customHeight="1">
      <c r="A895" s="12">
        <v>891.0</v>
      </c>
      <c r="B895" s="13" t="s">
        <v>753</v>
      </c>
      <c r="C895" s="14" t="s">
        <v>900</v>
      </c>
      <c r="D895" s="1"/>
      <c r="E895" s="15"/>
      <c r="F895" s="1" t="str">
        <f>IFERROR(__xludf.DUMMYFUNCTION("GOOGLETRANSLATE(B895, ""en"", ""fa"")
"),"بازاریابی ایمیلی")</f>
        <v>بازاریابی ایمیلی</v>
      </c>
      <c r="G895" s="1" t="str">
        <f>IFERROR(__xludf.DUMMYFUNCTION("GOOGLETRANSLATE(C895, ""en"", ""fa"")
"),"برای ایجاد اعتماد و اعتبار، مزایای استفاده از عناصر اثبات اجتماعی، مانند داستان‌های موفقیت مشتری یا تأییدیه‌های تأثیرگذار، در کمپین‌های ایمیلی را بررسی کنید.")</f>
        <v>برای ایجاد اعتماد و اعتبار، مزایای استفاده از عناصر اثبات اجتماعی، مانند داستان‌های موفقیت مشتری یا تأییدیه‌های تأثیرگذار، در کمپین‌های ایمیلی را بررسی کنید.</v>
      </c>
      <c r="H895" s="1"/>
      <c r="I895" s="1"/>
      <c r="J895" s="1"/>
      <c r="K895" s="1"/>
      <c r="L895" s="1"/>
      <c r="M895" s="1"/>
      <c r="N895" s="1"/>
      <c r="O895" s="1"/>
      <c r="P895" s="1"/>
      <c r="Q895" s="1"/>
      <c r="R895" s="1"/>
      <c r="S895" s="1"/>
      <c r="T895" s="1"/>
      <c r="U895" s="1"/>
      <c r="V895" s="1"/>
      <c r="W895" s="1"/>
      <c r="X895" s="1"/>
      <c r="Y895" s="1"/>
      <c r="Z895" s="1"/>
      <c r="AA895" s="1"/>
      <c r="AB895" s="1"/>
    </row>
    <row r="896" ht="50.25" customHeight="1">
      <c r="A896" s="12">
        <v>892.0</v>
      </c>
      <c r="B896" s="13" t="s">
        <v>753</v>
      </c>
      <c r="C896" s="14" t="s">
        <v>901</v>
      </c>
      <c r="D896" s="1"/>
      <c r="E896" s="15"/>
      <c r="F896" s="1" t="str">
        <f>IFERROR(__xludf.DUMMYFUNCTION("GOOGLETRANSLATE(B896, ""en"", ""fa"")
"),"بازاریابی ایمیلی")</f>
        <v>بازاریابی ایمیلی</v>
      </c>
      <c r="G896" s="1" t="str">
        <f>IFERROR(__xludf.DUMMYFUNCTION("GOOGLETRANSLATE(C896, ""en"", ""fa"")
"),"در مورد تأثیر استفاده از تجزیه و تحلیل ایمیل برای ردیابی و تجزیه و تحلیل معیارهای تعامل مشتری، مانند نرخ کلیک و نرخ تبدیل، برای بهینه سازی عملکرد کمپین بحث کنید.")</f>
        <v>در مورد تأثیر استفاده از تجزیه و تحلیل ایمیل برای ردیابی و تجزیه و تحلیل معیارهای تعامل مشتری، مانند نرخ کلیک و نرخ تبدیل، برای بهینه سازی عملکرد کمپین بحث کنید.</v>
      </c>
      <c r="H896" s="1"/>
      <c r="I896" s="1"/>
      <c r="J896" s="1"/>
      <c r="K896" s="1"/>
      <c r="L896" s="1"/>
      <c r="M896" s="1"/>
      <c r="N896" s="1"/>
      <c r="O896" s="1"/>
      <c r="P896" s="1"/>
      <c r="Q896" s="1"/>
      <c r="R896" s="1"/>
      <c r="S896" s="1"/>
      <c r="T896" s="1"/>
      <c r="U896" s="1"/>
      <c r="V896" s="1"/>
      <c r="W896" s="1"/>
      <c r="X896" s="1"/>
      <c r="Y896" s="1"/>
      <c r="Z896" s="1"/>
      <c r="AA896" s="1"/>
      <c r="AB896" s="1"/>
    </row>
    <row r="897" ht="50.25" customHeight="1">
      <c r="A897" s="12">
        <v>893.0</v>
      </c>
      <c r="B897" s="13" t="s">
        <v>753</v>
      </c>
      <c r="C897" s="14" t="s">
        <v>902</v>
      </c>
      <c r="D897" s="1"/>
      <c r="E897" s="15"/>
      <c r="F897" s="1" t="str">
        <f>IFERROR(__xludf.DUMMYFUNCTION("GOOGLETRANSLATE(B897, ""en"", ""fa"")
"),"بازاریابی ایمیلی")</f>
        <v>بازاریابی ایمیلی</v>
      </c>
      <c r="G897" s="1" t="str">
        <f>IFERROR(__xludf.DUMMYFUNCTION("GOOGLETRANSLATE(C897, ""en"", ""fa"")
"),"نکاتی را برای بهینه‌سازی متن پیش‌نمایش ایمیل به اشتراک بگذارید تا نگاهی پنهانی قانع‌کننده از محتوای ایمیل داشته باشید و گیرندگان را ترغیب کنید که پیام کامل را باز کرده و بخوانند.")</f>
        <v>نکاتی را برای بهینه‌سازی متن پیش‌نمایش ایمیل به اشتراک بگذارید تا نگاهی پنهانی قانع‌کننده از محتوای ایمیل داشته باشید و گیرندگان را ترغیب کنید که پیام کامل را باز کرده و بخوانند.</v>
      </c>
      <c r="H897" s="1"/>
      <c r="I897" s="1"/>
      <c r="J897" s="1"/>
      <c r="K897" s="1"/>
      <c r="L897" s="1"/>
      <c r="M897" s="1"/>
      <c r="N897" s="1"/>
      <c r="O897" s="1"/>
      <c r="P897" s="1"/>
      <c r="Q897" s="1"/>
      <c r="R897" s="1"/>
      <c r="S897" s="1"/>
      <c r="T897" s="1"/>
      <c r="U897" s="1"/>
      <c r="V897" s="1"/>
      <c r="W897" s="1"/>
      <c r="X897" s="1"/>
      <c r="Y897" s="1"/>
      <c r="Z897" s="1"/>
      <c r="AA897" s="1"/>
      <c r="AB897" s="1"/>
    </row>
    <row r="898" ht="50.25" customHeight="1">
      <c r="A898" s="12">
        <v>894.0</v>
      </c>
      <c r="B898" s="13" t="s">
        <v>753</v>
      </c>
      <c r="C898" s="14" t="s">
        <v>903</v>
      </c>
      <c r="D898" s="1"/>
      <c r="E898" s="15"/>
      <c r="F898" s="1" t="str">
        <f>IFERROR(__xludf.DUMMYFUNCTION("GOOGLETRANSLATE(B898, ""en"", ""fa"")
"),"بازاریابی ایمیلی")</f>
        <v>بازاریابی ایمیلی</v>
      </c>
      <c r="G898" s="1" t="str">
        <f>IFERROR(__xludf.DUMMYFUNCTION("GOOGLETRANSLATE(C898, ""en"", ""fa"")
"),"در مورد اهمیت ایجاد صدای برند قوی در بازاریابی ایمیلی و اینکه چگونه می تواند به شناخت و وفاداری برند کمک کند، بحث کنید.")</f>
        <v>در مورد اهمیت ایجاد صدای برند قوی در بازاریابی ایمیلی و اینکه چگونه می تواند به شناخت و وفاداری برند کمک کند، بحث کنید.</v>
      </c>
      <c r="H898" s="1"/>
      <c r="I898" s="1"/>
      <c r="J898" s="1"/>
      <c r="K898" s="1"/>
      <c r="L898" s="1"/>
      <c r="M898" s="1"/>
      <c r="N898" s="1"/>
      <c r="O898" s="1"/>
      <c r="P898" s="1"/>
      <c r="Q898" s="1"/>
      <c r="R898" s="1"/>
      <c r="S898" s="1"/>
      <c r="T898" s="1"/>
      <c r="U898" s="1"/>
      <c r="V898" s="1"/>
      <c r="W898" s="1"/>
      <c r="X898" s="1"/>
      <c r="Y898" s="1"/>
      <c r="Z898" s="1"/>
      <c r="AA898" s="1"/>
      <c r="AB898" s="1"/>
    </row>
    <row r="899" ht="50.25" customHeight="1">
      <c r="A899" s="12">
        <v>895.0</v>
      </c>
      <c r="B899" s="13" t="s">
        <v>753</v>
      </c>
      <c r="C899" s="14" t="s">
        <v>904</v>
      </c>
      <c r="D899" s="1"/>
      <c r="E899" s="15"/>
      <c r="F899" s="1" t="str">
        <f>IFERROR(__xludf.DUMMYFUNCTION("GOOGLETRANSLATE(B899, ""en"", ""fa"")
"),"بازاریابی ایمیلی")</f>
        <v>بازاریابی ایمیلی</v>
      </c>
      <c r="G899" s="1" t="str">
        <f>IFERROR(__xludf.DUMMYFUNCTION("GOOGLETRANSLATE(C899, ""en"", ""fa"")
"),"نکاتی را برای ایجاد خطوط موضوع ایمیل قانع کننده که توجه را جلب می کند و گیرندگان را ترغیب می کند تا ایمیل را باز کنند، به اشتراک بگذارید.")</f>
        <v>نکاتی را برای ایجاد خطوط موضوع ایمیل قانع کننده که توجه را جلب می کند و گیرندگان را ترغیب می کند تا ایمیل را باز کنند، به اشتراک بگذارید.</v>
      </c>
      <c r="H899" s="1"/>
      <c r="I899" s="1"/>
      <c r="J899" s="1"/>
      <c r="K899" s="1"/>
      <c r="L899" s="1"/>
      <c r="M899" s="1"/>
      <c r="N899" s="1"/>
      <c r="O899" s="1"/>
      <c r="P899" s="1"/>
      <c r="Q899" s="1"/>
      <c r="R899" s="1"/>
      <c r="S899" s="1"/>
      <c r="T899" s="1"/>
      <c r="U899" s="1"/>
      <c r="V899" s="1"/>
      <c r="W899" s="1"/>
      <c r="X899" s="1"/>
      <c r="Y899" s="1"/>
      <c r="Z899" s="1"/>
      <c r="AA899" s="1"/>
      <c r="AB899" s="1"/>
    </row>
    <row r="900" ht="50.25" customHeight="1">
      <c r="A900" s="12">
        <v>896.0</v>
      </c>
      <c r="B900" s="13" t="s">
        <v>753</v>
      </c>
      <c r="C900" s="14" t="s">
        <v>905</v>
      </c>
      <c r="D900" s="1"/>
      <c r="E900" s="15"/>
      <c r="F900" s="1" t="str">
        <f>IFERROR(__xludf.DUMMYFUNCTION("GOOGLETRANSLATE(B900, ""en"", ""fa"")
"),"بازاریابی ایمیلی")</f>
        <v>بازاریابی ایمیلی</v>
      </c>
      <c r="G900" s="1" t="str">
        <f>IFERROR(__xludf.DUMMYFUNCTION("GOOGLETRANSLATE(C900, ""en"", ""fa"")
"),"مفهوم استفاده از تکنیک های داستان سرایی در بازاریابی ایمیلی را برای جذب مشترکین و ایجاد یک تجربه برند به یاد ماندنی بررسی کنید.")</f>
        <v>مفهوم استفاده از تکنیک های داستان سرایی در بازاریابی ایمیلی را برای جذب مشترکین و ایجاد یک تجربه برند به یاد ماندنی بررسی کنید.</v>
      </c>
      <c r="H900" s="1"/>
      <c r="I900" s="1"/>
      <c r="J900" s="1"/>
      <c r="K900" s="1"/>
      <c r="L900" s="1"/>
      <c r="M900" s="1"/>
      <c r="N900" s="1"/>
      <c r="O900" s="1"/>
      <c r="P900" s="1"/>
      <c r="Q900" s="1"/>
      <c r="R900" s="1"/>
      <c r="S900" s="1"/>
      <c r="T900" s="1"/>
      <c r="U900" s="1"/>
      <c r="V900" s="1"/>
      <c r="W900" s="1"/>
      <c r="X900" s="1"/>
      <c r="Y900" s="1"/>
      <c r="Z900" s="1"/>
      <c r="AA900" s="1"/>
      <c r="AB900" s="1"/>
    </row>
    <row r="901" ht="50.25" customHeight="1">
      <c r="A901" s="12">
        <v>897.0</v>
      </c>
      <c r="B901" s="13" t="s">
        <v>753</v>
      </c>
      <c r="C901" s="14" t="s">
        <v>906</v>
      </c>
      <c r="D901" s="1"/>
      <c r="E901" s="15"/>
      <c r="F901" s="1" t="str">
        <f>IFERROR(__xludf.DUMMYFUNCTION("GOOGLETRANSLATE(B901, ""en"", ""fa"")
"),"بازاریابی ایمیلی")</f>
        <v>بازاریابی ایمیلی</v>
      </c>
      <c r="G901" s="1" t="str">
        <f>IFERROR(__xludf.DUMMYFUNCTION("GOOGLETRANSLATE(C901, ""en"", ""fa"")
"),"درباره نقش استفاده از عناصر اثبات اجتماعی، مانند توصیفات مشتری یا مطالعات موردی، در کمپین های ایمیل برای ایجاد اعتبار و اعتماد بحث کنید.")</f>
        <v>درباره نقش استفاده از عناصر اثبات اجتماعی، مانند توصیفات مشتری یا مطالعات موردی، در کمپین های ایمیل برای ایجاد اعتبار و اعتماد بحث کنید.</v>
      </c>
      <c r="H901" s="1"/>
      <c r="I901" s="1"/>
      <c r="J901" s="1"/>
      <c r="K901" s="1"/>
      <c r="L901" s="1"/>
      <c r="M901" s="1"/>
      <c r="N901" s="1"/>
      <c r="O901" s="1"/>
      <c r="P901" s="1"/>
      <c r="Q901" s="1"/>
      <c r="R901" s="1"/>
      <c r="S901" s="1"/>
      <c r="T901" s="1"/>
      <c r="U901" s="1"/>
      <c r="V901" s="1"/>
      <c r="W901" s="1"/>
      <c r="X901" s="1"/>
      <c r="Y901" s="1"/>
      <c r="Z901" s="1"/>
      <c r="AA901" s="1"/>
      <c r="AB901" s="1"/>
    </row>
    <row r="902" ht="50.25" customHeight="1">
      <c r="A902" s="12">
        <v>898.0</v>
      </c>
      <c r="B902" s="13" t="s">
        <v>753</v>
      </c>
      <c r="C902" s="14" t="s">
        <v>907</v>
      </c>
      <c r="D902" s="1"/>
      <c r="E902" s="15"/>
      <c r="F902" s="1" t="str">
        <f>IFERROR(__xludf.DUMMYFUNCTION("GOOGLETRANSLATE(B902, ""en"", ""fa"")
"),"بازاریابی ایمیلی")</f>
        <v>بازاریابی ایمیلی</v>
      </c>
      <c r="G902" s="1" t="str">
        <f>IFERROR(__xludf.DUMMYFUNCTION("GOOGLETRANSLATE(C902, ""en"", ""fa"")
"),"استراتژی های بهینه سازی محتوای ایمیل برای دستگاه های تلفن همراه را به اشتراک بگذارید تا از تجربه کاربری یکپارچه برای مشترکین تلفن های هوشمند و رایانه های لوحی اطمینان حاصل کنید.")</f>
        <v>استراتژی های بهینه سازی محتوای ایمیل برای دستگاه های تلفن همراه را به اشتراک بگذارید تا از تجربه کاربری یکپارچه برای مشترکین تلفن های هوشمند و رایانه های لوحی اطمینان حاصل کنید.</v>
      </c>
      <c r="H902" s="1"/>
      <c r="I902" s="1"/>
      <c r="J902" s="1"/>
      <c r="K902" s="1"/>
      <c r="L902" s="1"/>
      <c r="M902" s="1"/>
      <c r="N902" s="1"/>
      <c r="O902" s="1"/>
      <c r="P902" s="1"/>
      <c r="Q902" s="1"/>
      <c r="R902" s="1"/>
      <c r="S902" s="1"/>
      <c r="T902" s="1"/>
      <c r="U902" s="1"/>
      <c r="V902" s="1"/>
      <c r="W902" s="1"/>
      <c r="X902" s="1"/>
      <c r="Y902" s="1"/>
      <c r="Z902" s="1"/>
      <c r="AA902" s="1"/>
      <c r="AB902" s="1"/>
    </row>
    <row r="903" ht="50.25" customHeight="1">
      <c r="A903" s="12">
        <v>899.0</v>
      </c>
      <c r="B903" s="13" t="s">
        <v>753</v>
      </c>
      <c r="C903" s="14" t="s">
        <v>908</v>
      </c>
      <c r="D903" s="1"/>
      <c r="E903" s="15"/>
      <c r="F903" s="1" t="str">
        <f>IFERROR(__xludf.DUMMYFUNCTION("GOOGLETRANSLATE(B903, ""en"", ""fa"")
"),"بازاریابی ایمیلی")</f>
        <v>بازاریابی ایمیلی</v>
      </c>
      <c r="G903" s="1" t="str">
        <f>IFERROR(__xludf.DUMMYFUNCTION("GOOGLETRANSLATE(C903, ""en"", ""fa"")
"),"مزایای استفاده از محتوای ایمیل پویا را که بر اساس داده‌های هم‌زمان سازگار می‌شود، مانند تبلیغات مبتنی بر آب‌وهوا یا توصیه‌های شخصی‌شده، کاوش کنید.")</f>
        <v>مزایای استفاده از محتوای ایمیل پویا را که بر اساس داده‌های هم‌زمان سازگار می‌شود، مانند تبلیغات مبتنی بر آب‌وهوا یا توصیه‌های شخصی‌شده، کاوش کنید.</v>
      </c>
      <c r="H903" s="1"/>
      <c r="I903" s="1"/>
      <c r="J903" s="1"/>
      <c r="K903" s="1"/>
      <c r="L903" s="1"/>
      <c r="M903" s="1"/>
      <c r="N903" s="1"/>
      <c r="O903" s="1"/>
      <c r="P903" s="1"/>
      <c r="Q903" s="1"/>
      <c r="R903" s="1"/>
      <c r="S903" s="1"/>
      <c r="T903" s="1"/>
      <c r="U903" s="1"/>
      <c r="V903" s="1"/>
      <c r="W903" s="1"/>
      <c r="X903" s="1"/>
      <c r="Y903" s="1"/>
      <c r="Z903" s="1"/>
      <c r="AA903" s="1"/>
      <c r="AB903" s="1"/>
    </row>
    <row r="904" ht="50.25" customHeight="1">
      <c r="A904" s="12">
        <v>900.0</v>
      </c>
      <c r="B904" s="13" t="s">
        <v>753</v>
      </c>
      <c r="C904" s="14" t="s">
        <v>909</v>
      </c>
      <c r="D904" s="1"/>
      <c r="E904" s="15"/>
      <c r="F904" s="1" t="str">
        <f>IFERROR(__xludf.DUMMYFUNCTION("GOOGLETRANSLATE(B904, ""en"", ""fa"")
"),"بازاریابی ایمیلی")</f>
        <v>بازاریابی ایمیلی</v>
      </c>
      <c r="G904" s="1" t="str">
        <f>IFERROR(__xludf.DUMMYFUNCTION("GOOGLETRANSLATE(C904, ""en"", ""fa"")
"),"در مورد تأثیر استفاده از ایمیل های راه اندازی شده برای ارسال پیگیری های شخصی بر اساس اقدامات یا رفتارهای خاص مشتری بحث کنید.")</f>
        <v>در مورد تأثیر استفاده از ایمیل های راه اندازی شده برای ارسال پیگیری های شخصی بر اساس اقدامات یا رفتارهای خاص مشتری بحث کنید.</v>
      </c>
      <c r="H904" s="1"/>
      <c r="I904" s="1"/>
      <c r="J904" s="1"/>
      <c r="K904" s="1"/>
      <c r="L904" s="1"/>
      <c r="M904" s="1"/>
      <c r="N904" s="1"/>
      <c r="O904" s="1"/>
      <c r="P904" s="1"/>
      <c r="Q904" s="1"/>
      <c r="R904" s="1"/>
      <c r="S904" s="1"/>
      <c r="T904" s="1"/>
      <c r="U904" s="1"/>
      <c r="V904" s="1"/>
      <c r="W904" s="1"/>
      <c r="X904" s="1"/>
      <c r="Y904" s="1"/>
      <c r="Z904" s="1"/>
      <c r="AA904" s="1"/>
      <c r="AB904" s="1"/>
    </row>
    <row r="905" ht="50.25" customHeight="1">
      <c r="A905" s="12">
        <v>901.0</v>
      </c>
      <c r="B905" s="13" t="s">
        <v>753</v>
      </c>
      <c r="C905" s="14" t="s">
        <v>910</v>
      </c>
      <c r="D905" s="1"/>
      <c r="E905" s="15"/>
      <c r="F905" s="1" t="str">
        <f>IFERROR(__xludf.DUMMYFUNCTION("GOOGLETRANSLATE(B905, ""en"", ""fa"")
"),"بازاریابی ایمیلی")</f>
        <v>بازاریابی ایمیلی</v>
      </c>
      <c r="G905" s="1" t="str">
        <f>IFERROR(__xludf.DUMMYFUNCTION("GOOGLETRANSLATE(C905, ""en"", ""fa"")
"),"نکاتی را برای ایجاد CTAهای ایمیل موثر به اشتراک بگذارید که به وضوح عملکرد مورد نظر را به اشتراک بگذارند و گیرندگان را تشویق به کلیک بر روی آن کنند.")</f>
        <v>نکاتی را برای ایجاد CTAهای ایمیل موثر به اشتراک بگذارید که به وضوح عملکرد مورد نظر را به اشتراک بگذارند و گیرندگان را تشویق به کلیک بر روی آن کنند.</v>
      </c>
      <c r="H905" s="1"/>
      <c r="I905" s="1"/>
      <c r="J905" s="1"/>
      <c r="K905" s="1"/>
      <c r="L905" s="1"/>
      <c r="M905" s="1"/>
      <c r="N905" s="1"/>
      <c r="O905" s="1"/>
      <c r="P905" s="1"/>
      <c r="Q905" s="1"/>
      <c r="R905" s="1"/>
      <c r="S905" s="1"/>
      <c r="T905" s="1"/>
      <c r="U905" s="1"/>
      <c r="V905" s="1"/>
      <c r="W905" s="1"/>
      <c r="X905" s="1"/>
      <c r="Y905" s="1"/>
      <c r="Z905" s="1"/>
      <c r="AA905" s="1"/>
      <c r="AB905" s="1"/>
    </row>
    <row r="906" ht="50.25" customHeight="1">
      <c r="A906" s="12">
        <v>902.0</v>
      </c>
      <c r="B906" s="13" t="s">
        <v>753</v>
      </c>
      <c r="C906" s="14" t="s">
        <v>911</v>
      </c>
      <c r="D906" s="1"/>
      <c r="E906" s="15"/>
      <c r="F906" s="1" t="str">
        <f>IFERROR(__xludf.DUMMYFUNCTION("GOOGLETRANSLATE(B906, ""en"", ""fa"")
"),"بازاریابی ایمیلی")</f>
        <v>بازاریابی ایمیلی</v>
      </c>
      <c r="G906" s="1" t="str">
        <f>IFERROR(__xludf.DUMMYFUNCTION("GOOGLETRANSLATE(C906, ""en"", ""fa"")
"),"مفهوم استفاده از بخش‌بندی مشتری برای ارائه محتوای هدفمند و مرتبط به بخش‌ها یا شخصیت‌های مختلف مشتری را بررسی کنید.")</f>
        <v>مفهوم استفاده از بخش‌بندی مشتری برای ارائه محتوای هدفمند و مرتبط به بخش‌ها یا شخصیت‌های مختلف مشتری را بررسی کنید.</v>
      </c>
      <c r="H906" s="1"/>
      <c r="I906" s="1"/>
      <c r="J906" s="1"/>
      <c r="K906" s="1"/>
      <c r="L906" s="1"/>
      <c r="M906" s="1"/>
      <c r="N906" s="1"/>
      <c r="O906" s="1"/>
      <c r="P906" s="1"/>
      <c r="Q906" s="1"/>
      <c r="R906" s="1"/>
      <c r="S906" s="1"/>
      <c r="T906" s="1"/>
      <c r="U906" s="1"/>
      <c r="V906" s="1"/>
      <c r="W906" s="1"/>
      <c r="X906" s="1"/>
      <c r="Y906" s="1"/>
      <c r="Z906" s="1"/>
      <c r="AA906" s="1"/>
      <c r="AB906" s="1"/>
    </row>
    <row r="907" ht="50.25" customHeight="1">
      <c r="A907" s="12">
        <v>903.0</v>
      </c>
      <c r="B907" s="13" t="s">
        <v>753</v>
      </c>
      <c r="C907" s="14" t="s">
        <v>912</v>
      </c>
      <c r="D907" s="1"/>
      <c r="E907" s="15"/>
      <c r="F907" s="1" t="str">
        <f>IFERROR(__xludf.DUMMYFUNCTION("GOOGLETRANSLATE(B907, ""en"", ""fa"")
"),"بازاریابی ایمیلی")</f>
        <v>بازاریابی ایمیلی</v>
      </c>
      <c r="G907" s="1" t="str">
        <f>IFERROR(__xludf.DUMMYFUNCTION("GOOGLETRANSLATE(C907, ""en"", ""fa"")
"),"در مورد نقش استفاده از تجزیه و تحلیل ایمیل و معیارها برای اندازه گیری موفقیت کمپین های ایمیل و شناسایی زمینه های بهبود بحث کنید.")</f>
        <v>در مورد نقش استفاده از تجزیه و تحلیل ایمیل و معیارها برای اندازه گیری موفقیت کمپین های ایمیل و شناسایی زمینه های بهبود بحث کنید.</v>
      </c>
      <c r="H907" s="1"/>
      <c r="I907" s="1"/>
      <c r="J907" s="1"/>
      <c r="K907" s="1"/>
      <c r="L907" s="1"/>
      <c r="M907" s="1"/>
      <c r="N907" s="1"/>
      <c r="O907" s="1"/>
      <c r="P907" s="1"/>
      <c r="Q907" s="1"/>
      <c r="R907" s="1"/>
      <c r="S907" s="1"/>
      <c r="T907" s="1"/>
      <c r="U907" s="1"/>
      <c r="V907" s="1"/>
      <c r="W907" s="1"/>
      <c r="X907" s="1"/>
      <c r="Y907" s="1"/>
      <c r="Z907" s="1"/>
      <c r="AA907" s="1"/>
      <c r="AB907" s="1"/>
    </row>
    <row r="908" ht="50.25" customHeight="1">
      <c r="A908" s="12">
        <v>904.0</v>
      </c>
      <c r="B908" s="13" t="s">
        <v>753</v>
      </c>
      <c r="C908" s="14" t="s">
        <v>913</v>
      </c>
      <c r="D908" s="1"/>
      <c r="E908" s="15"/>
      <c r="F908" s="1" t="str">
        <f>IFERROR(__xludf.DUMMYFUNCTION("GOOGLETRANSLATE(B908, ""en"", ""fa"")
"),"بازاریابی ایمیلی")</f>
        <v>بازاریابی ایمیلی</v>
      </c>
      <c r="G908" s="1" t="str">
        <f>IFERROR(__xludf.DUMMYFUNCTION("GOOGLETRANSLATE(C908, ""en"", ""fa"")
"),"استراتژی‌های استفاده از شخصی‌سازی را فراتر از درج نام مشترک، مانند سفارشی‌سازی محتوا بر اساس سابقه خرید یا ترجیحات، به اشتراک بگذارید.")</f>
        <v>استراتژی‌های استفاده از شخصی‌سازی را فراتر از درج نام مشترک، مانند سفارشی‌سازی محتوا بر اساس سابقه خرید یا ترجیحات، به اشتراک بگذارید.</v>
      </c>
      <c r="H908" s="1"/>
      <c r="I908" s="1"/>
      <c r="J908" s="1"/>
      <c r="K908" s="1"/>
      <c r="L908" s="1"/>
      <c r="M908" s="1"/>
      <c r="N908" s="1"/>
      <c r="O908" s="1"/>
      <c r="P908" s="1"/>
      <c r="Q908" s="1"/>
      <c r="R908" s="1"/>
      <c r="S908" s="1"/>
      <c r="T908" s="1"/>
      <c r="U908" s="1"/>
      <c r="V908" s="1"/>
      <c r="W908" s="1"/>
      <c r="X908" s="1"/>
      <c r="Y908" s="1"/>
      <c r="Z908" s="1"/>
      <c r="AA908" s="1"/>
      <c r="AB908" s="1"/>
    </row>
    <row r="909" ht="50.25" customHeight="1">
      <c r="A909" s="12">
        <v>905.0</v>
      </c>
      <c r="B909" s="13" t="s">
        <v>753</v>
      </c>
      <c r="C909" s="14" t="s">
        <v>914</v>
      </c>
      <c r="D909" s="1"/>
      <c r="E909" s="15"/>
      <c r="F909" s="1" t="str">
        <f>IFERROR(__xludf.DUMMYFUNCTION("GOOGLETRANSLATE(B909, ""en"", ""fa"")
"),"بازاریابی ایمیلی")</f>
        <v>بازاریابی ایمیلی</v>
      </c>
      <c r="G909" s="1" t="str">
        <f>IFERROR(__xludf.DUMMYFUNCTION("GOOGLETRANSLATE(C909, ""en"", ""fa"")
"),"مزایای استفاده از اتوماسیون ایمیل برای ساده کردن وظایف تکراری و پرورش سرنخ ها در طول سفر مشتری را بررسی کنید.")</f>
        <v>مزایای استفاده از اتوماسیون ایمیل برای ساده کردن وظایف تکراری و پرورش سرنخ ها در طول سفر مشتری را بررسی کنید.</v>
      </c>
      <c r="H909" s="1"/>
      <c r="I909" s="1"/>
      <c r="J909" s="1"/>
      <c r="K909" s="1"/>
      <c r="L909" s="1"/>
      <c r="M909" s="1"/>
      <c r="N909" s="1"/>
      <c r="O909" s="1"/>
      <c r="P909" s="1"/>
      <c r="Q909" s="1"/>
      <c r="R909" s="1"/>
      <c r="S909" s="1"/>
      <c r="T909" s="1"/>
      <c r="U909" s="1"/>
      <c r="V909" s="1"/>
      <c r="W909" s="1"/>
      <c r="X909" s="1"/>
      <c r="Y909" s="1"/>
      <c r="Z909" s="1"/>
      <c r="AA909" s="1"/>
      <c r="AB909" s="1"/>
    </row>
    <row r="910" ht="50.25" customHeight="1">
      <c r="A910" s="12">
        <v>906.0</v>
      </c>
      <c r="B910" s="13" t="s">
        <v>753</v>
      </c>
      <c r="C910" s="14" t="s">
        <v>915</v>
      </c>
      <c r="D910" s="1"/>
      <c r="E910" s="15"/>
      <c r="F910" s="1" t="str">
        <f>IFERROR(__xludf.DUMMYFUNCTION("GOOGLETRANSLATE(B910, ""en"", ""fa"")
"),"بازاریابی ایمیلی")</f>
        <v>بازاریابی ایمیلی</v>
      </c>
      <c r="G910" s="1" t="str">
        <f>IFERROR(__xludf.DUMMYFUNCTION("GOOGLETRANSLATE(C910, ""en"", ""fa"")
"),"در مورد تأثیر استفاده از تست A/B برای آزمایش عناصر مختلف کمپین های ایمیل، مانند خطوط موضوع، طرح بندی، یا تصاویر بحث کنید.")</f>
        <v>در مورد تأثیر استفاده از تست A/B برای آزمایش عناصر مختلف کمپین های ایمیل، مانند خطوط موضوع، طرح بندی، یا تصاویر بحث کنید.</v>
      </c>
      <c r="H910" s="1"/>
      <c r="I910" s="1"/>
      <c r="J910" s="1"/>
      <c r="K910" s="1"/>
      <c r="L910" s="1"/>
      <c r="M910" s="1"/>
      <c r="N910" s="1"/>
      <c r="O910" s="1"/>
      <c r="P910" s="1"/>
      <c r="Q910" s="1"/>
      <c r="R910" s="1"/>
      <c r="S910" s="1"/>
      <c r="T910" s="1"/>
      <c r="U910" s="1"/>
      <c r="V910" s="1"/>
      <c r="W910" s="1"/>
      <c r="X910" s="1"/>
      <c r="Y910" s="1"/>
      <c r="Z910" s="1"/>
      <c r="AA910" s="1"/>
      <c r="AB910" s="1"/>
    </row>
    <row r="911" ht="50.25" customHeight="1">
      <c r="A911" s="12">
        <v>907.0</v>
      </c>
      <c r="B911" s="13" t="s">
        <v>753</v>
      </c>
      <c r="C911" s="14" t="s">
        <v>916</v>
      </c>
      <c r="D911" s="1"/>
      <c r="E911" s="15"/>
      <c r="F911" s="1" t="str">
        <f>IFERROR(__xludf.DUMMYFUNCTION("GOOGLETRANSLATE(B911, ""en"", ""fa"")
"),"بازاریابی ایمیلی")</f>
        <v>بازاریابی ایمیلی</v>
      </c>
      <c r="G911" s="1" t="str">
        <f>IFERROR(__xludf.DUMMYFUNCTION("GOOGLETRANSLATE(C911, ""en"", ""fa"")
"),"نکاتی را برای بهینه‌سازی تحویل ایمیل با پیروی از بهترین شیوه‌ها، مانند استفاده از یک ارائه‌دهنده خدمات ایمیل معتبر و حفظ فهرست ایمیل تمیز، به اشتراک بگذارید.")</f>
        <v>نکاتی را برای بهینه‌سازی تحویل ایمیل با پیروی از بهترین شیوه‌ها، مانند استفاده از یک ارائه‌دهنده خدمات ایمیل معتبر و حفظ فهرست ایمیل تمیز، به اشتراک بگذارید.</v>
      </c>
      <c r="H911" s="1"/>
      <c r="I911" s="1"/>
      <c r="J911" s="1"/>
      <c r="K911" s="1"/>
      <c r="L911" s="1"/>
      <c r="M911" s="1"/>
      <c r="N911" s="1"/>
      <c r="O911" s="1"/>
      <c r="P911" s="1"/>
      <c r="Q911" s="1"/>
      <c r="R911" s="1"/>
      <c r="S911" s="1"/>
      <c r="T911" s="1"/>
      <c r="U911" s="1"/>
      <c r="V911" s="1"/>
      <c r="W911" s="1"/>
      <c r="X911" s="1"/>
      <c r="Y911" s="1"/>
      <c r="Z911" s="1"/>
      <c r="AA911" s="1"/>
      <c r="AB911" s="1"/>
    </row>
    <row r="912" ht="50.25" customHeight="1">
      <c r="A912" s="12">
        <v>908.0</v>
      </c>
      <c r="B912" s="13" t="s">
        <v>753</v>
      </c>
      <c r="C912" s="14" t="s">
        <v>917</v>
      </c>
      <c r="D912" s="1"/>
      <c r="E912" s="15"/>
      <c r="F912" s="1" t="str">
        <f>IFERROR(__xludf.DUMMYFUNCTION("GOOGLETRANSLATE(B912, ""en"", ""fa"")
"),"بازاریابی ایمیلی")</f>
        <v>بازاریابی ایمیلی</v>
      </c>
      <c r="G912" s="1" t="str">
        <f>IFERROR(__xludf.DUMMYFUNCTION("GOOGLETRANSLATE(C912, ""en"", ""fa"")
"),"مفهوم استفاده از نظرسنجی‌های ایمیلی برای جمع‌آوری بازخورد و دیدگاه‌های مشترکین، کمک به بهبود محتوای ایمیل و پیشنهادات آینده را بررسی کنید.")</f>
        <v>مفهوم استفاده از نظرسنجی‌های ایمیلی برای جمع‌آوری بازخورد و دیدگاه‌های مشترکین، کمک به بهبود محتوای ایمیل و پیشنهادات آینده را بررسی کنید.</v>
      </c>
      <c r="H912" s="1"/>
      <c r="I912" s="1"/>
      <c r="J912" s="1"/>
      <c r="K912" s="1"/>
      <c r="L912" s="1"/>
      <c r="M912" s="1"/>
      <c r="N912" s="1"/>
      <c r="O912" s="1"/>
      <c r="P912" s="1"/>
      <c r="Q912" s="1"/>
      <c r="R912" s="1"/>
      <c r="S912" s="1"/>
      <c r="T912" s="1"/>
      <c r="U912" s="1"/>
      <c r="V912" s="1"/>
      <c r="W912" s="1"/>
      <c r="X912" s="1"/>
      <c r="Y912" s="1"/>
      <c r="Z912" s="1"/>
      <c r="AA912" s="1"/>
      <c r="AB912" s="1"/>
    </row>
    <row r="913" ht="50.25" customHeight="1">
      <c r="A913" s="12">
        <v>909.0</v>
      </c>
      <c r="B913" s="13" t="s">
        <v>753</v>
      </c>
      <c r="C913" s="14" t="s">
        <v>918</v>
      </c>
      <c r="D913" s="1"/>
      <c r="E913" s="15"/>
      <c r="F913" s="1" t="str">
        <f>IFERROR(__xludf.DUMMYFUNCTION("GOOGLETRANSLATE(B913, ""en"", ""fa"")
"),"بازاریابی ایمیلی")</f>
        <v>بازاریابی ایمیلی</v>
      </c>
      <c r="G913" s="1" t="str">
        <f>IFERROR(__xludf.DUMMYFUNCTION("GOOGLETRANSLATE(C913, ""en"", ""fa"")
"),"درباره نقش استفاده از شخصی سازی برای ایجاد حس انحصار یا رفتار VIP برای مشتریان وفادار بحث کنید.")</f>
        <v>درباره نقش استفاده از شخصی سازی برای ایجاد حس انحصار یا رفتار VIP برای مشتریان وفادار بحث کنید.</v>
      </c>
      <c r="H913" s="1"/>
      <c r="I913" s="1"/>
      <c r="J913" s="1"/>
      <c r="K913" s="1"/>
      <c r="L913" s="1"/>
      <c r="M913" s="1"/>
      <c r="N913" s="1"/>
      <c r="O913" s="1"/>
      <c r="P913" s="1"/>
      <c r="Q913" s="1"/>
      <c r="R913" s="1"/>
      <c r="S913" s="1"/>
      <c r="T913" s="1"/>
      <c r="U913" s="1"/>
      <c r="V913" s="1"/>
      <c r="W913" s="1"/>
      <c r="X913" s="1"/>
      <c r="Y913" s="1"/>
      <c r="Z913" s="1"/>
      <c r="AA913" s="1"/>
      <c r="AB913" s="1"/>
    </row>
    <row r="914" ht="50.25" customHeight="1">
      <c r="A914" s="12">
        <v>910.0</v>
      </c>
      <c r="B914" s="13" t="s">
        <v>753</v>
      </c>
      <c r="C914" s="14" t="s">
        <v>919</v>
      </c>
      <c r="D914" s="1"/>
      <c r="E914" s="15"/>
      <c r="F914" s="1" t="str">
        <f>IFERROR(__xludf.DUMMYFUNCTION("GOOGLETRANSLATE(B914, ""en"", ""fa"")
"),"بازاریابی ایمیلی")</f>
        <v>بازاریابی ایمیلی</v>
      </c>
      <c r="G914" s="1" t="str">
        <f>IFERROR(__xludf.DUMMYFUNCTION("GOOGLETRANSLATE(C914, ""en"", ""fa"")
"),"استراتژی هایی برای ایجاد ایمیل های بازیابی سبد خرید موثر که مشتریان را تشویق می کند تا خریدهای رها شده خود را تکمیل کنند، به اشتراک بگذارید.")</f>
        <v>استراتژی هایی برای ایجاد ایمیل های بازیابی سبد خرید موثر که مشتریان را تشویق می کند تا خریدهای رها شده خود را تکمیل کنند، به اشتراک بگذارید.</v>
      </c>
      <c r="H914" s="1"/>
      <c r="I914" s="1"/>
      <c r="J914" s="1"/>
      <c r="K914" s="1"/>
      <c r="L914" s="1"/>
      <c r="M914" s="1"/>
      <c r="N914" s="1"/>
      <c r="O914" s="1"/>
      <c r="P914" s="1"/>
      <c r="Q914" s="1"/>
      <c r="R914" s="1"/>
      <c r="S914" s="1"/>
      <c r="T914" s="1"/>
      <c r="U914" s="1"/>
      <c r="V914" s="1"/>
      <c r="W914" s="1"/>
      <c r="X914" s="1"/>
      <c r="Y914" s="1"/>
      <c r="Z914" s="1"/>
      <c r="AA914" s="1"/>
      <c r="AB914" s="1"/>
    </row>
    <row r="915" ht="50.25" customHeight="1">
      <c r="A915" s="12">
        <v>911.0</v>
      </c>
      <c r="B915" s="13" t="s">
        <v>753</v>
      </c>
      <c r="C915" s="14" t="s">
        <v>920</v>
      </c>
      <c r="D915" s="1"/>
      <c r="E915" s="15"/>
      <c r="F915" s="1" t="str">
        <f>IFERROR(__xludf.DUMMYFUNCTION("GOOGLETRANSLATE(B915, ""en"", ""fa"")
"),"بازاریابی ایمیلی")</f>
        <v>بازاریابی ایمیلی</v>
      </c>
      <c r="G915" s="1" t="str">
        <f>IFERROR(__xludf.DUMMYFUNCTION("GOOGLETRANSLATE(C915, ""en"", ""fa"")
"),"مزایای استفاده از ایمیل‌های راه‌اندازی شده برای ارسال توصیه‌های محصول شخصی‌شده بر اساس سابقه مرور یا خرید مشتریان را بررسی کنید.")</f>
        <v>مزایای استفاده از ایمیل‌های راه‌اندازی شده برای ارسال توصیه‌های محصول شخصی‌شده بر اساس سابقه مرور یا خرید مشتریان را بررسی کنید.</v>
      </c>
      <c r="H915" s="1"/>
      <c r="I915" s="1"/>
      <c r="J915" s="1"/>
      <c r="K915" s="1"/>
      <c r="L915" s="1"/>
      <c r="M915" s="1"/>
      <c r="N915" s="1"/>
      <c r="O915" s="1"/>
      <c r="P915" s="1"/>
      <c r="Q915" s="1"/>
      <c r="R915" s="1"/>
      <c r="S915" s="1"/>
      <c r="T915" s="1"/>
      <c r="U915" s="1"/>
      <c r="V915" s="1"/>
      <c r="W915" s="1"/>
      <c r="X915" s="1"/>
      <c r="Y915" s="1"/>
      <c r="Z915" s="1"/>
      <c r="AA915" s="1"/>
      <c r="AB915" s="1"/>
    </row>
    <row r="916" ht="50.25" customHeight="1">
      <c r="A916" s="12">
        <v>912.0</v>
      </c>
      <c r="B916" s="13" t="s">
        <v>753</v>
      </c>
      <c r="C916" s="14" t="s">
        <v>921</v>
      </c>
      <c r="D916" s="1"/>
      <c r="E916" s="15"/>
      <c r="F916" s="1" t="str">
        <f>IFERROR(__xludf.DUMMYFUNCTION("GOOGLETRANSLATE(B916, ""en"", ""fa"")
"),"بازاریابی ایمیلی")</f>
        <v>بازاریابی ایمیلی</v>
      </c>
      <c r="G916" s="1" t="str">
        <f>IFERROR(__xludf.DUMMYFUNCTION("GOOGLETRANSLATE(C916, ""en"", ""fa"")
"),"درباره تاثیر استفاده از یکپارچه سازی رسانه های اجتماعی در بازاریابی ایمیلی برای استفاده از محتوای تولید شده توسط کاربر و تشویق مشترکین به دنبال کردن و مشارکت در پلتفرم های اجتماعی بحث کنید.")</f>
        <v>درباره تاثیر استفاده از یکپارچه سازی رسانه های اجتماعی در بازاریابی ایمیلی برای استفاده از محتوای تولید شده توسط کاربر و تشویق مشترکین به دنبال کردن و مشارکت در پلتفرم های اجتماعی بحث کنید.</v>
      </c>
      <c r="H916" s="1"/>
      <c r="I916" s="1"/>
      <c r="J916" s="1"/>
      <c r="K916" s="1"/>
      <c r="L916" s="1"/>
      <c r="M916" s="1"/>
      <c r="N916" s="1"/>
      <c r="O916" s="1"/>
      <c r="P916" s="1"/>
      <c r="Q916" s="1"/>
      <c r="R916" s="1"/>
      <c r="S916" s="1"/>
      <c r="T916" s="1"/>
      <c r="U916" s="1"/>
      <c r="V916" s="1"/>
      <c r="W916" s="1"/>
      <c r="X916" s="1"/>
      <c r="Y916" s="1"/>
      <c r="Z916" s="1"/>
      <c r="AA916" s="1"/>
      <c r="AB916" s="1"/>
    </row>
    <row r="917" ht="50.25" customHeight="1">
      <c r="A917" s="12">
        <v>913.0</v>
      </c>
      <c r="B917" s="13" t="s">
        <v>753</v>
      </c>
      <c r="C917" s="14" t="s">
        <v>922</v>
      </c>
      <c r="D917" s="1"/>
      <c r="E917" s="15"/>
      <c r="F917" s="1" t="str">
        <f>IFERROR(__xludf.DUMMYFUNCTION("GOOGLETRANSLATE(B917, ""en"", ""fa"")
"),"بازاریابی ایمیلی")</f>
        <v>بازاریابی ایمیلی</v>
      </c>
      <c r="G917" s="1" t="str">
        <f>IFERROR(__xludf.DUMMYFUNCTION("GOOGLETRANSLATE(C917, ""en"", ""fa"")
"),"نکاتی را برای بهینه‌سازی طرح‌بندی و طرح‌های ایمیل برای ایجاد ایمیل‌های جذاب بصری که با زیبایی‌شناسی نام تجاری هماهنگ هستند، به اشتراک بگذارید.")</f>
        <v>نکاتی را برای بهینه‌سازی طرح‌بندی و طرح‌های ایمیل برای ایجاد ایمیل‌های جذاب بصری که با زیبایی‌شناسی نام تجاری هماهنگ هستند، به اشتراک بگذارید.</v>
      </c>
      <c r="H917" s="1"/>
      <c r="I917" s="1"/>
      <c r="J917" s="1"/>
      <c r="K917" s="1"/>
      <c r="L917" s="1"/>
      <c r="M917" s="1"/>
      <c r="N917" s="1"/>
      <c r="O917" s="1"/>
      <c r="P917" s="1"/>
      <c r="Q917" s="1"/>
      <c r="R917" s="1"/>
      <c r="S917" s="1"/>
      <c r="T917" s="1"/>
      <c r="U917" s="1"/>
      <c r="V917" s="1"/>
      <c r="W917" s="1"/>
      <c r="X917" s="1"/>
      <c r="Y917" s="1"/>
      <c r="Z917" s="1"/>
      <c r="AA917" s="1"/>
      <c r="AB917" s="1"/>
    </row>
    <row r="918" ht="50.25" customHeight="1">
      <c r="A918" s="12">
        <v>914.0</v>
      </c>
      <c r="B918" s="13" t="s">
        <v>753</v>
      </c>
      <c r="C918" s="14" t="s">
        <v>923</v>
      </c>
      <c r="D918" s="1"/>
      <c r="E918" s="15"/>
      <c r="F918" s="1" t="str">
        <f>IFERROR(__xludf.DUMMYFUNCTION("GOOGLETRANSLATE(B918, ""en"", ""fa"")
"),"بازاریابی ایمیلی")</f>
        <v>بازاریابی ایمیلی</v>
      </c>
      <c r="G918" s="1" t="str">
        <f>IFERROR(__xludf.DUMMYFUNCTION("GOOGLETRANSLATE(C918, ""en"", ""fa"")
"),"مفهوم استفاده از تایمرهای شمارش معکوس یا پیشنهادات با زمان محدود را در کمپین‌های ایمیل برای ایجاد حس فوریت و افزایش نرخ تبدیل بررسی کنید.")</f>
        <v>مفهوم استفاده از تایمرهای شمارش معکوس یا پیشنهادات با زمان محدود را در کمپین‌های ایمیل برای ایجاد حس فوریت و افزایش نرخ تبدیل بررسی کنید.</v>
      </c>
      <c r="H918" s="1"/>
      <c r="I918" s="1"/>
      <c r="J918" s="1"/>
      <c r="K918" s="1"/>
      <c r="L918" s="1"/>
      <c r="M918" s="1"/>
      <c r="N918" s="1"/>
      <c r="O918" s="1"/>
      <c r="P918" s="1"/>
      <c r="Q918" s="1"/>
      <c r="R918" s="1"/>
      <c r="S918" s="1"/>
      <c r="T918" s="1"/>
      <c r="U918" s="1"/>
      <c r="V918" s="1"/>
      <c r="W918" s="1"/>
      <c r="X918" s="1"/>
      <c r="Y918" s="1"/>
      <c r="Z918" s="1"/>
      <c r="AA918" s="1"/>
      <c r="AB918" s="1"/>
    </row>
    <row r="919" ht="50.25" customHeight="1">
      <c r="A919" s="12">
        <v>915.0</v>
      </c>
      <c r="B919" s="13" t="s">
        <v>753</v>
      </c>
      <c r="C919" s="14" t="s">
        <v>924</v>
      </c>
      <c r="D919" s="1"/>
      <c r="E919" s="15"/>
      <c r="F919" s="1" t="str">
        <f>IFERROR(__xludf.DUMMYFUNCTION("GOOGLETRANSLATE(B919, ""en"", ""fa"")
"),"بازاریابی ایمیلی")</f>
        <v>بازاریابی ایمیلی</v>
      </c>
      <c r="G919" s="1" t="str">
        <f>IFERROR(__xludf.DUMMYFUNCTION("GOOGLETRANSLATE(C919, ""en"", ""fa"")
"),"در مورد نقش استفاده از تقسیم بندی برای ارسال ایمیل های هدفمند مشارکت مجدد برای مشترکینی که غیرفعال یا غیرفعال شده اند بحث کنید.")</f>
        <v>در مورد نقش استفاده از تقسیم بندی برای ارسال ایمیل های هدفمند مشارکت مجدد برای مشترکینی که غیرفعال یا غیرفعال شده اند بحث کنید.</v>
      </c>
      <c r="H919" s="1"/>
      <c r="I919" s="1"/>
      <c r="J919" s="1"/>
      <c r="K919" s="1"/>
      <c r="L919" s="1"/>
      <c r="M919" s="1"/>
      <c r="N919" s="1"/>
      <c r="O919" s="1"/>
      <c r="P919" s="1"/>
      <c r="Q919" s="1"/>
      <c r="R919" s="1"/>
      <c r="S919" s="1"/>
      <c r="T919" s="1"/>
      <c r="U919" s="1"/>
      <c r="V919" s="1"/>
      <c r="W919" s="1"/>
      <c r="X919" s="1"/>
      <c r="Y919" s="1"/>
      <c r="Z919" s="1"/>
      <c r="AA919" s="1"/>
      <c r="AB919" s="1"/>
    </row>
    <row r="920" ht="50.25" customHeight="1">
      <c r="A920" s="12">
        <v>916.0</v>
      </c>
      <c r="B920" s="13" t="s">
        <v>753</v>
      </c>
      <c r="C920" s="14" t="s">
        <v>925</v>
      </c>
      <c r="D920" s="1"/>
      <c r="E920" s="15"/>
      <c r="F920" s="1" t="str">
        <f>IFERROR(__xludf.DUMMYFUNCTION("GOOGLETRANSLATE(B920, ""en"", ""fa"")
"),"بازاریابی ایمیلی")</f>
        <v>بازاریابی ایمیلی</v>
      </c>
      <c r="G920" s="1" t="str">
        <f>IFERROR(__xludf.DUMMYFUNCTION("GOOGLETRANSLATE(C920, ""en"", ""fa"")
"),"استراتژی های استفاده از ایمیل برای پرورش سرنخ های به دست آمده از طریق کانال های بازاریابی دیگر، مانند رویدادها یا بازاریابی محتوا را به اشتراک بگذارید.")</f>
        <v>استراتژی های استفاده از ایمیل برای پرورش سرنخ های به دست آمده از طریق کانال های بازاریابی دیگر، مانند رویدادها یا بازاریابی محتوا را به اشتراک بگذارید.</v>
      </c>
      <c r="H920" s="1"/>
      <c r="I920" s="1"/>
      <c r="J920" s="1"/>
      <c r="K920" s="1"/>
      <c r="L920" s="1"/>
      <c r="M920" s="1"/>
      <c r="N920" s="1"/>
      <c r="O920" s="1"/>
      <c r="P920" s="1"/>
      <c r="Q920" s="1"/>
      <c r="R920" s="1"/>
      <c r="S920" s="1"/>
      <c r="T920" s="1"/>
      <c r="U920" s="1"/>
      <c r="V920" s="1"/>
      <c r="W920" s="1"/>
      <c r="X920" s="1"/>
      <c r="Y920" s="1"/>
      <c r="Z920" s="1"/>
      <c r="AA920" s="1"/>
      <c r="AB920" s="1"/>
    </row>
    <row r="921" ht="50.25" customHeight="1">
      <c r="A921" s="12">
        <v>917.0</v>
      </c>
      <c r="B921" s="13" t="s">
        <v>753</v>
      </c>
      <c r="C921" s="14" t="s">
        <v>926</v>
      </c>
      <c r="D921" s="1"/>
      <c r="E921" s="15"/>
      <c r="F921" s="1" t="str">
        <f>IFERROR(__xludf.DUMMYFUNCTION("GOOGLETRANSLATE(B921, ""en"", ""fa"")
"),"بازاریابی ایمیلی")</f>
        <v>بازاریابی ایمیلی</v>
      </c>
      <c r="G921" s="1" t="str">
        <f>IFERROR(__xludf.DUMMYFUNCTION("GOOGLETRANSLATE(C921, ""en"", ""fa"")
"),"مزایای استفاده از توصیه‌های شخصی‌شده یا محتوای انتخاب‌شده در خبرنامه‌های ایمیل را برای ارائه ارزش و جذب مشترکین بررسی کنید.")</f>
        <v>مزایای استفاده از توصیه‌های شخصی‌شده یا محتوای انتخاب‌شده در خبرنامه‌های ایمیل را برای ارائه ارزش و جذب مشترکین بررسی کنید.</v>
      </c>
      <c r="H921" s="1"/>
      <c r="I921" s="1"/>
      <c r="J921" s="1"/>
      <c r="K921" s="1"/>
      <c r="L921" s="1"/>
      <c r="M921" s="1"/>
      <c r="N921" s="1"/>
      <c r="O921" s="1"/>
      <c r="P921" s="1"/>
      <c r="Q921" s="1"/>
      <c r="R921" s="1"/>
      <c r="S921" s="1"/>
      <c r="T921" s="1"/>
      <c r="U921" s="1"/>
      <c r="V921" s="1"/>
      <c r="W921" s="1"/>
      <c r="X921" s="1"/>
      <c r="Y921" s="1"/>
      <c r="Z921" s="1"/>
      <c r="AA921" s="1"/>
      <c r="AB921" s="1"/>
    </row>
    <row r="922" ht="50.25" customHeight="1">
      <c r="A922" s="12">
        <v>918.0</v>
      </c>
      <c r="B922" s="13" t="s">
        <v>753</v>
      </c>
      <c r="C922" s="14" t="s">
        <v>927</v>
      </c>
      <c r="D922" s="1"/>
      <c r="E922" s="15"/>
      <c r="F922" s="1" t="str">
        <f>IFERROR(__xludf.DUMMYFUNCTION("GOOGLETRANSLATE(B922, ""en"", ""fa"")
"),"بازاریابی ایمیلی")</f>
        <v>بازاریابی ایمیلی</v>
      </c>
      <c r="G922" s="1" t="str">
        <f>IFERROR(__xludf.DUMMYFUNCTION("GOOGLETRANSLATE(C922, ""en"", ""fa"")
"),"در مورد تأثیر استفاده از محرک های احساسی و داستان سرایی در نوشتن ایمیل برای برانگیختن احساسات خاص و ایجاد ارتباط با مشترکین بحث کنید.")</f>
        <v>در مورد تأثیر استفاده از محرک های احساسی و داستان سرایی در نوشتن ایمیل برای برانگیختن احساسات خاص و ایجاد ارتباط با مشترکین بحث کنید.</v>
      </c>
      <c r="H922" s="1"/>
      <c r="I922" s="1"/>
      <c r="J922" s="1"/>
      <c r="K922" s="1"/>
      <c r="L922" s="1"/>
      <c r="M922" s="1"/>
      <c r="N922" s="1"/>
      <c r="O922" s="1"/>
      <c r="P922" s="1"/>
      <c r="Q922" s="1"/>
      <c r="R922" s="1"/>
      <c r="S922" s="1"/>
      <c r="T922" s="1"/>
      <c r="U922" s="1"/>
      <c r="V922" s="1"/>
      <c r="W922" s="1"/>
      <c r="X922" s="1"/>
      <c r="Y922" s="1"/>
      <c r="Z922" s="1"/>
      <c r="AA922" s="1"/>
      <c r="AB922" s="1"/>
    </row>
    <row r="923" ht="50.25" customHeight="1">
      <c r="A923" s="12">
        <v>919.0</v>
      </c>
      <c r="B923" s="13" t="s">
        <v>753</v>
      </c>
      <c r="C923" s="14" t="s">
        <v>928</v>
      </c>
      <c r="D923" s="1"/>
      <c r="E923" s="15"/>
      <c r="F923" s="1" t="str">
        <f>IFERROR(__xludf.DUMMYFUNCTION("GOOGLETRANSLATE(B923, ""en"", ""fa"")
"),"بازاریابی ایمیلی")</f>
        <v>بازاریابی ایمیلی</v>
      </c>
      <c r="G923" s="1" t="str">
        <f>IFERROR(__xludf.DUMMYFUNCTION("GOOGLETRANSLATE(C923, ""en"", ""fa"")
"),"نکاتی را برای بهینه‌سازی فرکانس ایمیل به اشتراک بگذارید تا تعادل مناسب بین حفظ ذهنیت و اجتناب از مشترکین زیاد را پیدا کنید.")</f>
        <v>نکاتی را برای بهینه‌سازی فرکانس ایمیل به اشتراک بگذارید تا تعادل مناسب بین حفظ ذهنیت و اجتناب از مشترکین زیاد را پیدا کنید.</v>
      </c>
      <c r="H923" s="1"/>
      <c r="I923" s="1"/>
      <c r="J923" s="1"/>
      <c r="K923" s="1"/>
      <c r="L923" s="1"/>
      <c r="M923" s="1"/>
      <c r="N923" s="1"/>
      <c r="O923" s="1"/>
      <c r="P923" s="1"/>
      <c r="Q923" s="1"/>
      <c r="R923" s="1"/>
      <c r="S923" s="1"/>
      <c r="T923" s="1"/>
      <c r="U923" s="1"/>
      <c r="V923" s="1"/>
      <c r="W923" s="1"/>
      <c r="X923" s="1"/>
      <c r="Y923" s="1"/>
      <c r="Z923" s="1"/>
      <c r="AA923" s="1"/>
      <c r="AB923" s="1"/>
    </row>
    <row r="924" ht="50.25" customHeight="1">
      <c r="A924" s="12">
        <v>920.0</v>
      </c>
      <c r="B924" s="13" t="s">
        <v>753</v>
      </c>
      <c r="C924" s="14" t="s">
        <v>929</v>
      </c>
      <c r="D924" s="1"/>
      <c r="E924" s="15"/>
      <c r="F924" s="1" t="str">
        <f>IFERROR(__xludf.DUMMYFUNCTION("GOOGLETRANSLATE(B924, ""en"", ""fa"")
"),"بازاریابی ایمیلی")</f>
        <v>بازاریابی ایمیلی</v>
      </c>
      <c r="G924" s="1" t="str">
        <f>IFERROR(__xludf.DUMMYFUNCTION("GOOGLETRANSLATE(C924, ""en"", ""fa"")
"),"مفهوم استفاده از شخصی‌سازی ایمیل برای ارائه محتوای مناسب بر اساس جمعیت‌شناسی، علایق یا ترجیحات مشترکین را بررسی کنید.")</f>
        <v>مفهوم استفاده از شخصی‌سازی ایمیل برای ارائه محتوای مناسب بر اساس جمعیت‌شناسی، علایق یا ترجیحات مشترکین را بررسی کنید.</v>
      </c>
      <c r="H924" s="1"/>
      <c r="I924" s="1"/>
      <c r="J924" s="1"/>
      <c r="K924" s="1"/>
      <c r="L924" s="1"/>
      <c r="M924" s="1"/>
      <c r="N924" s="1"/>
      <c r="O924" s="1"/>
      <c r="P924" s="1"/>
      <c r="Q924" s="1"/>
      <c r="R924" s="1"/>
      <c r="S924" s="1"/>
      <c r="T924" s="1"/>
      <c r="U924" s="1"/>
      <c r="V924" s="1"/>
      <c r="W924" s="1"/>
      <c r="X924" s="1"/>
      <c r="Y924" s="1"/>
      <c r="Z924" s="1"/>
      <c r="AA924" s="1"/>
      <c r="AB924" s="1"/>
    </row>
    <row r="925" ht="50.25" customHeight="1">
      <c r="A925" s="12">
        <v>921.0</v>
      </c>
      <c r="B925" s="13" t="s">
        <v>753</v>
      </c>
      <c r="C925" s="14" t="s">
        <v>930</v>
      </c>
      <c r="D925" s="1"/>
      <c r="E925" s="15"/>
      <c r="F925" s="1" t="str">
        <f>IFERROR(__xludf.DUMMYFUNCTION("GOOGLETRANSLATE(B925, ""en"", ""fa"")
"),"بازاریابی ایمیلی")</f>
        <v>بازاریابی ایمیلی</v>
      </c>
      <c r="G925" s="1" t="str">
        <f>IFERROR(__xludf.DUMMYFUNCTION("GOOGLETRANSLATE(C925, ""en"", ""fa"")
"),"درباره نقش استفاده از محرک‌های رفتاری، مانند تاریخچه مرور یا الگوهای خرید، برای ارسال ایمیل‌های هدفمند که با علایق مشتریان هماهنگ هستند، بحث کنید.")</f>
        <v>درباره نقش استفاده از محرک‌های رفتاری، مانند تاریخچه مرور یا الگوهای خرید، برای ارسال ایمیل‌های هدفمند که با علایق مشتریان هماهنگ هستند، بحث کنید.</v>
      </c>
      <c r="H925" s="1"/>
      <c r="I925" s="1"/>
      <c r="J925" s="1"/>
      <c r="K925" s="1"/>
      <c r="L925" s="1"/>
      <c r="M925" s="1"/>
      <c r="N925" s="1"/>
      <c r="O925" s="1"/>
      <c r="P925" s="1"/>
      <c r="Q925" s="1"/>
      <c r="R925" s="1"/>
      <c r="S925" s="1"/>
      <c r="T925" s="1"/>
      <c r="U925" s="1"/>
      <c r="V925" s="1"/>
      <c r="W925" s="1"/>
      <c r="X925" s="1"/>
      <c r="Y925" s="1"/>
      <c r="Z925" s="1"/>
      <c r="AA925" s="1"/>
      <c r="AB925" s="1"/>
    </row>
    <row r="926" ht="50.25" customHeight="1">
      <c r="A926" s="12">
        <v>922.0</v>
      </c>
      <c r="B926" s="13" t="s">
        <v>753</v>
      </c>
      <c r="C926" s="14" t="s">
        <v>931</v>
      </c>
      <c r="D926" s="1"/>
      <c r="E926" s="15"/>
      <c r="F926" s="1" t="str">
        <f>IFERROR(__xludf.DUMMYFUNCTION("GOOGLETRANSLATE(B926, ""en"", ""fa"")
"),"بازاریابی ایمیلی")</f>
        <v>بازاریابی ایمیلی</v>
      </c>
      <c r="G926" s="1" t="str">
        <f>IFERROR(__xludf.DUMMYFUNCTION("GOOGLETRANSLATE(C926, ""en"", ""fa"")
"),"استراتژی‌هایی را برای ایجاد کمپین‌های تعامل مجدد مؤثر برای بازگرداندن مشترکین غیرفعال و تشویق آنها به تعامل مجدد با نام تجاری به اشتراک بگذارید.")</f>
        <v>استراتژی‌هایی را برای ایجاد کمپین‌های تعامل مجدد مؤثر برای بازگرداندن مشترکین غیرفعال و تشویق آنها به تعامل مجدد با نام تجاری به اشتراک بگذارید.</v>
      </c>
      <c r="H926" s="1"/>
      <c r="I926" s="1"/>
      <c r="J926" s="1"/>
      <c r="K926" s="1"/>
      <c r="L926" s="1"/>
      <c r="M926" s="1"/>
      <c r="N926" s="1"/>
      <c r="O926" s="1"/>
      <c r="P926" s="1"/>
      <c r="Q926" s="1"/>
      <c r="R926" s="1"/>
      <c r="S926" s="1"/>
      <c r="T926" s="1"/>
      <c r="U926" s="1"/>
      <c r="V926" s="1"/>
      <c r="W926" s="1"/>
      <c r="X926" s="1"/>
      <c r="Y926" s="1"/>
      <c r="Z926" s="1"/>
      <c r="AA926" s="1"/>
      <c r="AB926" s="1"/>
    </row>
    <row r="927" ht="50.25" customHeight="1">
      <c r="A927" s="12">
        <v>923.0</v>
      </c>
      <c r="B927" s="13" t="s">
        <v>753</v>
      </c>
      <c r="C927" s="14" t="s">
        <v>932</v>
      </c>
      <c r="D927" s="1"/>
      <c r="E927" s="15"/>
      <c r="F927" s="1" t="str">
        <f>IFERROR(__xludf.DUMMYFUNCTION("GOOGLETRANSLATE(B927, ""en"", ""fa"")
"),"بازاریابی ایمیلی")</f>
        <v>بازاریابی ایمیلی</v>
      </c>
      <c r="G927" s="1" t="str">
        <f>IFERROR(__xludf.DUMMYFUNCTION("GOOGLETRANSLATE(C927, ""en"", ""fa"")
"),"مزایای استفاده از ایمیل های تراکنشی را به عنوان فرصتی برای فروش یا فروش متقابل محصولات یا خدمات بیشتر بررسی کنید.")</f>
        <v>مزایای استفاده از ایمیل های تراکنشی را به عنوان فرصتی برای فروش یا فروش متقابل محصولات یا خدمات بیشتر بررسی کنید.</v>
      </c>
      <c r="H927" s="1"/>
      <c r="I927" s="1"/>
      <c r="J927" s="1"/>
      <c r="K927" s="1"/>
      <c r="L927" s="1"/>
      <c r="M927" s="1"/>
      <c r="N927" s="1"/>
      <c r="O927" s="1"/>
      <c r="P927" s="1"/>
      <c r="Q927" s="1"/>
      <c r="R927" s="1"/>
      <c r="S927" s="1"/>
      <c r="T927" s="1"/>
      <c r="U927" s="1"/>
      <c r="V927" s="1"/>
      <c r="W927" s="1"/>
      <c r="X927" s="1"/>
      <c r="Y927" s="1"/>
      <c r="Z927" s="1"/>
      <c r="AA927" s="1"/>
      <c r="AB927" s="1"/>
    </row>
    <row r="928" ht="50.25" customHeight="1">
      <c r="A928" s="12">
        <v>924.0</v>
      </c>
      <c r="B928" s="13" t="s">
        <v>753</v>
      </c>
      <c r="C928" s="14" t="s">
        <v>933</v>
      </c>
      <c r="D928" s="1"/>
      <c r="E928" s="15"/>
      <c r="F928" s="1" t="str">
        <f>IFERROR(__xludf.DUMMYFUNCTION("GOOGLETRANSLATE(B928, ""en"", ""fa"")
"),"بازاریابی ایمیلی")</f>
        <v>بازاریابی ایمیلی</v>
      </c>
      <c r="G928" s="1" t="str">
        <f>IFERROR(__xludf.DUMMYFUNCTION("GOOGLETRANSLATE(C928, ""en"", ""fa"")
"),"در مورد تأثیر استفاده از ایمیل های شخصی تولد یا سالگرد برای نشان دادن قدردانی و پاداش دادن به مشتریان وفادار بحث کنید.")</f>
        <v>در مورد تأثیر استفاده از ایمیل های شخصی تولد یا سالگرد برای نشان دادن قدردانی و پاداش دادن به مشتریان وفادار بحث کنید.</v>
      </c>
      <c r="H928" s="1"/>
      <c r="I928" s="1"/>
      <c r="J928" s="1"/>
      <c r="K928" s="1"/>
      <c r="L928" s="1"/>
      <c r="M928" s="1"/>
      <c r="N928" s="1"/>
      <c r="O928" s="1"/>
      <c r="P928" s="1"/>
      <c r="Q928" s="1"/>
      <c r="R928" s="1"/>
      <c r="S928" s="1"/>
      <c r="T928" s="1"/>
      <c r="U928" s="1"/>
      <c r="V928" s="1"/>
      <c r="W928" s="1"/>
      <c r="X928" s="1"/>
      <c r="Y928" s="1"/>
      <c r="Z928" s="1"/>
      <c r="AA928" s="1"/>
      <c r="AB928" s="1"/>
    </row>
    <row r="929" ht="50.25" customHeight="1">
      <c r="A929" s="12">
        <v>925.0</v>
      </c>
      <c r="B929" s="13" t="s">
        <v>753</v>
      </c>
      <c r="C929" s="14" t="s">
        <v>934</v>
      </c>
      <c r="D929" s="1"/>
      <c r="E929" s="15"/>
      <c r="F929" s="1" t="str">
        <f>IFERROR(__xludf.DUMMYFUNCTION("GOOGLETRANSLATE(B929, ""en"", ""fa"")
"),"بازاریابی ایمیلی")</f>
        <v>بازاریابی ایمیلی</v>
      </c>
      <c r="G929" s="1" t="str">
        <f>IFERROR(__xludf.DUMMYFUNCTION("GOOGLETRANSLATE(C929, ""en"", ""fa"")
"),"با اطمینان از سازگاری ایمیل‌ها با فناوری‌های کمکی و پیروی از دستورالعمل‌های دسترسی، نکاتی را برای بهینه‌سازی دسترسی به ایمیل به اشتراک بگذارید.")</f>
        <v>با اطمینان از سازگاری ایمیل‌ها با فناوری‌های کمکی و پیروی از دستورالعمل‌های دسترسی، نکاتی را برای بهینه‌سازی دسترسی به ایمیل به اشتراک بگذارید.</v>
      </c>
      <c r="H929" s="1"/>
      <c r="I929" s="1"/>
      <c r="J929" s="1"/>
      <c r="K929" s="1"/>
      <c r="L929" s="1"/>
      <c r="M929" s="1"/>
      <c r="N929" s="1"/>
      <c r="O929" s="1"/>
      <c r="P929" s="1"/>
      <c r="Q929" s="1"/>
      <c r="R929" s="1"/>
      <c r="S929" s="1"/>
      <c r="T929" s="1"/>
      <c r="U929" s="1"/>
      <c r="V929" s="1"/>
      <c r="W929" s="1"/>
      <c r="X929" s="1"/>
      <c r="Y929" s="1"/>
      <c r="Z929" s="1"/>
      <c r="AA929" s="1"/>
      <c r="AB929" s="1"/>
    </row>
    <row r="930" ht="50.25" customHeight="1">
      <c r="A930" s="12">
        <v>926.0</v>
      </c>
      <c r="B930" s="13" t="s">
        <v>753</v>
      </c>
      <c r="C930" s="14" t="s">
        <v>935</v>
      </c>
      <c r="D930" s="1"/>
      <c r="E930" s="15"/>
      <c r="F930" s="1" t="str">
        <f>IFERROR(__xludf.DUMMYFUNCTION("GOOGLETRANSLATE(B930, ""en"", ""fa"")
"),"بازاریابی ایمیلی")</f>
        <v>بازاریابی ایمیلی</v>
      </c>
      <c r="G930" s="1" t="str">
        <f>IFERROR(__xludf.DUMMYFUNCTION("GOOGLETRANSLATE(C930, ""en"", ""fa"")
"),"مفهوم استفاده از عناصر گیمیفیکیشن، مانند آزمون‌ها یا چالش‌های تعاملی را در بازاریابی ایمیلی برای تقویت تعامل و تعامل بررسی کنید.")</f>
        <v>مفهوم استفاده از عناصر گیمیفیکیشن، مانند آزمون‌ها یا چالش‌های تعاملی را در بازاریابی ایمیلی برای تقویت تعامل و تعامل بررسی کنید.</v>
      </c>
      <c r="H930" s="1"/>
      <c r="I930" s="1"/>
      <c r="J930" s="1"/>
      <c r="K930" s="1"/>
      <c r="L930" s="1"/>
      <c r="M930" s="1"/>
      <c r="N930" s="1"/>
      <c r="O930" s="1"/>
      <c r="P930" s="1"/>
      <c r="Q930" s="1"/>
      <c r="R930" s="1"/>
      <c r="S930" s="1"/>
      <c r="T930" s="1"/>
      <c r="U930" s="1"/>
      <c r="V930" s="1"/>
      <c r="W930" s="1"/>
      <c r="X930" s="1"/>
      <c r="Y930" s="1"/>
      <c r="Z930" s="1"/>
      <c r="AA930" s="1"/>
      <c r="AB930" s="1"/>
    </row>
    <row r="931" ht="50.25" customHeight="1">
      <c r="A931" s="12">
        <v>927.0</v>
      </c>
      <c r="B931" s="13" t="s">
        <v>753</v>
      </c>
      <c r="C931" s="14" t="s">
        <v>936</v>
      </c>
      <c r="D931" s="1"/>
      <c r="E931" s="15"/>
      <c r="F931" s="1" t="str">
        <f>IFERROR(__xludf.DUMMYFUNCTION("GOOGLETRANSLATE(B931, ""en"", ""fa"")
"),"بازاریابی ایمیلی")</f>
        <v>بازاریابی ایمیلی</v>
      </c>
      <c r="G931" s="1" t="str">
        <f>IFERROR(__xludf.DUMMYFUNCTION("GOOGLETRANSLATE(C931, ""en"", ""fa"")
"),"درباره نقش استفاده از تقسیم‌بندی داده‌ها برای ارائه توصیه‌ها یا محتوای شخصی‌شده بر اساس ترجیحات خاص مشتریان یا رفتارهای گذشته بحث کنید.")</f>
        <v>درباره نقش استفاده از تقسیم‌بندی داده‌ها برای ارائه توصیه‌ها یا محتوای شخصی‌شده بر اساس ترجیحات خاص مشتریان یا رفتارهای گذشته بحث کنید.</v>
      </c>
      <c r="H931" s="1"/>
      <c r="I931" s="1"/>
      <c r="J931" s="1"/>
      <c r="K931" s="1"/>
      <c r="L931" s="1"/>
      <c r="M931" s="1"/>
      <c r="N931" s="1"/>
      <c r="O931" s="1"/>
      <c r="P931" s="1"/>
      <c r="Q931" s="1"/>
      <c r="R931" s="1"/>
      <c r="S931" s="1"/>
      <c r="T931" s="1"/>
      <c r="U931" s="1"/>
      <c r="V931" s="1"/>
      <c r="W931" s="1"/>
      <c r="X931" s="1"/>
      <c r="Y931" s="1"/>
      <c r="Z931" s="1"/>
      <c r="AA931" s="1"/>
      <c r="AB931" s="1"/>
    </row>
    <row r="932" ht="50.25" customHeight="1">
      <c r="A932" s="12">
        <v>928.0</v>
      </c>
      <c r="B932" s="13" t="s">
        <v>753</v>
      </c>
      <c r="C932" s="14" t="s">
        <v>937</v>
      </c>
      <c r="D932" s="1"/>
      <c r="E932" s="15"/>
      <c r="F932" s="1" t="str">
        <f>IFERROR(__xludf.DUMMYFUNCTION("GOOGLETRANSLATE(B932, ""en"", ""fa"")
"),"بازاریابی ایمیلی")</f>
        <v>بازاریابی ایمیلی</v>
      </c>
      <c r="G932" s="1" t="str">
        <f>IFERROR(__xludf.DUMMYFUNCTION("GOOGLETRANSLATE(C932, ""en"", ""fa"")
"),"استراتژی‌هایی را برای استفاده از محتوای تولید شده توسط کاربر در کمپین‌های ایمیل، مانند نمایش عکس‌ها یا توصیفات مشتری، به اشتراک بگذارید.")</f>
        <v>استراتژی‌هایی را برای استفاده از محتوای تولید شده توسط کاربر در کمپین‌های ایمیل، مانند نمایش عکس‌ها یا توصیفات مشتری، به اشتراک بگذارید.</v>
      </c>
      <c r="H932" s="1"/>
      <c r="I932" s="1"/>
      <c r="J932" s="1"/>
      <c r="K932" s="1"/>
      <c r="L932" s="1"/>
      <c r="M932" s="1"/>
      <c r="N932" s="1"/>
      <c r="O932" s="1"/>
      <c r="P932" s="1"/>
      <c r="Q932" s="1"/>
      <c r="R932" s="1"/>
      <c r="S932" s="1"/>
      <c r="T932" s="1"/>
      <c r="U932" s="1"/>
      <c r="V932" s="1"/>
      <c r="W932" s="1"/>
      <c r="X932" s="1"/>
      <c r="Y932" s="1"/>
      <c r="Z932" s="1"/>
      <c r="AA932" s="1"/>
      <c r="AB932" s="1"/>
    </row>
    <row r="933" ht="50.25" customHeight="1">
      <c r="A933" s="12">
        <v>929.0</v>
      </c>
      <c r="B933" s="13" t="s">
        <v>753</v>
      </c>
      <c r="C933" s="14" t="s">
        <v>938</v>
      </c>
      <c r="D933" s="1"/>
      <c r="E933" s="15"/>
      <c r="F933" s="1" t="str">
        <f>IFERROR(__xludf.DUMMYFUNCTION("GOOGLETRANSLATE(B933, ""en"", ""fa"")
"),"بازاریابی ایمیلی")</f>
        <v>بازاریابی ایمیلی</v>
      </c>
      <c r="G933" s="1" t="str">
        <f>IFERROR(__xludf.DUMMYFUNCTION("GOOGLETRANSLATE(C933, ""en"", ""fa"")
"),"مزایای استفاده از ایمیل‌های بازگشتی فعال را بررسی کنید تا مشتریان قبلی را که مدتی است خریدی انجام نداده‌اند، جلب کنید تا برگردند و خرید جدیدی انجام دهند.")</f>
        <v>مزایای استفاده از ایمیل‌های بازگشتی فعال را بررسی کنید تا مشتریان قبلی را که مدتی است خریدی انجام نداده‌اند، جلب کنید تا برگردند و خرید جدیدی انجام دهند.</v>
      </c>
      <c r="H933" s="1"/>
      <c r="I933" s="1"/>
      <c r="J933" s="1"/>
      <c r="K933" s="1"/>
      <c r="L933" s="1"/>
      <c r="M933" s="1"/>
      <c r="N933" s="1"/>
      <c r="O933" s="1"/>
      <c r="P933" s="1"/>
      <c r="Q933" s="1"/>
      <c r="R933" s="1"/>
      <c r="S933" s="1"/>
      <c r="T933" s="1"/>
      <c r="U933" s="1"/>
      <c r="V933" s="1"/>
      <c r="W933" s="1"/>
      <c r="X933" s="1"/>
      <c r="Y933" s="1"/>
      <c r="Z933" s="1"/>
      <c r="AA933" s="1"/>
      <c r="AB933" s="1"/>
    </row>
    <row r="934" ht="50.25" customHeight="1">
      <c r="A934" s="12">
        <v>930.0</v>
      </c>
      <c r="B934" s="13" t="s">
        <v>753</v>
      </c>
      <c r="C934" s="14" t="s">
        <v>939</v>
      </c>
      <c r="D934" s="1"/>
      <c r="E934" s="15"/>
      <c r="F934" s="1" t="str">
        <f>IFERROR(__xludf.DUMMYFUNCTION("GOOGLETRANSLATE(B934, ""en"", ""fa"")
"),"بازاریابی ایمیلی")</f>
        <v>بازاریابی ایمیلی</v>
      </c>
      <c r="G934" s="1" t="str">
        <f>IFERROR(__xludf.DUMMYFUNCTION("GOOGLETRANSLATE(C934, ""en"", ""fa"")
"),"درباره تأثیر استفاده از دکمه های اشتراک گذاری اجتماعی در ایمیل ها برای تشویق مشترکین به اشتراک گذاری محتوا با شبکه های اجتماعی خود بحث کنید و دامنه دسترسی برند را افزایش دهید.")</f>
        <v>درباره تأثیر استفاده از دکمه های اشتراک گذاری اجتماعی در ایمیل ها برای تشویق مشترکین به اشتراک گذاری محتوا با شبکه های اجتماعی خود بحث کنید و دامنه دسترسی برند را افزایش دهید.</v>
      </c>
      <c r="H934" s="1"/>
      <c r="I934" s="1"/>
      <c r="J934" s="1"/>
      <c r="K934" s="1"/>
      <c r="L934" s="1"/>
      <c r="M934" s="1"/>
      <c r="N934" s="1"/>
      <c r="O934" s="1"/>
      <c r="P934" s="1"/>
      <c r="Q934" s="1"/>
      <c r="R934" s="1"/>
      <c r="S934" s="1"/>
      <c r="T934" s="1"/>
      <c r="U934" s="1"/>
      <c r="V934" s="1"/>
      <c r="W934" s="1"/>
      <c r="X934" s="1"/>
      <c r="Y934" s="1"/>
      <c r="Z934" s="1"/>
      <c r="AA934" s="1"/>
      <c r="AB934" s="1"/>
    </row>
    <row r="935" ht="50.25" customHeight="1">
      <c r="A935" s="12">
        <v>931.0</v>
      </c>
      <c r="B935" s="13" t="s">
        <v>753</v>
      </c>
      <c r="C935" s="14" t="s">
        <v>940</v>
      </c>
      <c r="D935" s="1"/>
      <c r="E935" s="15"/>
      <c r="F935" s="1" t="str">
        <f>IFERROR(__xludf.DUMMYFUNCTION("GOOGLETRANSLATE(B935, ""en"", ""fa"")
"),"بازاریابی ایمیلی")</f>
        <v>بازاریابی ایمیلی</v>
      </c>
      <c r="G935" s="1" t="str">
        <f>IFERROR(__xludf.DUMMYFUNCTION("GOOGLETRANSLATE(C935, ""en"", ""fa"")
"),"نکاتی را برای بهینه‌سازی فرآیندهای لغو اشتراک ایمیل برای جمع‌آوری بازخورد و ارائه گزینه‌های جایگزین برای لغو اشتراک، مانند کاهش دفعات ایمیل یا تنظیم اولویت‌ها، به اشتراک بگذارید.")</f>
        <v>نکاتی را برای بهینه‌سازی فرآیندهای لغو اشتراک ایمیل برای جمع‌آوری بازخورد و ارائه گزینه‌های جایگزین برای لغو اشتراک، مانند کاهش دفعات ایمیل یا تنظیم اولویت‌ها، به اشتراک بگذارید.</v>
      </c>
      <c r="H935" s="1"/>
      <c r="I935" s="1"/>
      <c r="J935" s="1"/>
      <c r="K935" s="1"/>
      <c r="L935" s="1"/>
      <c r="M935" s="1"/>
      <c r="N935" s="1"/>
      <c r="O935" s="1"/>
      <c r="P935" s="1"/>
      <c r="Q935" s="1"/>
      <c r="R935" s="1"/>
      <c r="S935" s="1"/>
      <c r="T935" s="1"/>
      <c r="U935" s="1"/>
      <c r="V935" s="1"/>
      <c r="W935" s="1"/>
      <c r="X935" s="1"/>
      <c r="Y935" s="1"/>
      <c r="Z935" s="1"/>
      <c r="AA935" s="1"/>
      <c r="AB935" s="1"/>
    </row>
    <row r="936" ht="50.25" customHeight="1">
      <c r="A936" s="12">
        <v>932.0</v>
      </c>
      <c r="B936" s="13" t="s">
        <v>753</v>
      </c>
      <c r="C936" s="14" t="s">
        <v>941</v>
      </c>
      <c r="D936" s="1"/>
      <c r="E936" s="15"/>
      <c r="F936" s="1" t="str">
        <f>IFERROR(__xludf.DUMMYFUNCTION("GOOGLETRANSLATE(B936, ""en"", ""fa"")
"),"بازاریابی ایمیلی")</f>
        <v>بازاریابی ایمیلی</v>
      </c>
      <c r="G936" s="1" t="str">
        <f>IFERROR(__xludf.DUMMYFUNCTION("GOOGLETRANSLATE(C936, ""en"", ""fa"")
"),"مفهوم استفاده از نقشه سفر مشتری را برای شناسایی نقاط تماس کلیدی که در آن بازاریابی ایمیلی می‌تواند به طور موثری منجر به رشد مشتریان شود و تبدیل‌ها را افزایش دهد، بررسی کنید.")</f>
        <v>مفهوم استفاده از نقشه سفر مشتری را برای شناسایی نقاط تماس کلیدی که در آن بازاریابی ایمیلی می‌تواند به طور موثری منجر به رشد مشتریان شود و تبدیل‌ها را افزایش دهد، بررسی کنید.</v>
      </c>
      <c r="H936" s="1"/>
      <c r="I936" s="1"/>
      <c r="J936" s="1"/>
      <c r="K936" s="1"/>
      <c r="L936" s="1"/>
      <c r="M936" s="1"/>
      <c r="N936" s="1"/>
      <c r="O936" s="1"/>
      <c r="P936" s="1"/>
      <c r="Q936" s="1"/>
      <c r="R936" s="1"/>
      <c r="S936" s="1"/>
      <c r="T936" s="1"/>
      <c r="U936" s="1"/>
      <c r="V936" s="1"/>
      <c r="W936" s="1"/>
      <c r="X936" s="1"/>
      <c r="Y936" s="1"/>
      <c r="Z936" s="1"/>
      <c r="AA936" s="1"/>
      <c r="AB936" s="1"/>
    </row>
    <row r="937" ht="50.25" customHeight="1">
      <c r="A937" s="12">
        <v>933.0</v>
      </c>
      <c r="B937" s="13" t="s">
        <v>753</v>
      </c>
      <c r="C937" s="14" t="s">
        <v>942</v>
      </c>
      <c r="D937" s="1"/>
      <c r="E937" s="15"/>
      <c r="F937" s="1" t="str">
        <f>IFERROR(__xludf.DUMMYFUNCTION("GOOGLETRANSLATE(B937, ""en"", ""fa"")
"),"بازاریابی ایمیلی")</f>
        <v>بازاریابی ایمیلی</v>
      </c>
      <c r="G937" s="1" t="str">
        <f>IFERROR(__xludf.DUMMYFUNCTION("GOOGLETRANSLATE(C937, ""en"", ""fa"")
"),"در مورد نقش استفاده از احوالپرسی و احوالپرسی ایمیل شخصی برای ایجاد یک تجربه انسانی تر و شخصی تر برای مشترکین بحث کنید.")</f>
        <v>در مورد نقش استفاده از احوالپرسی و احوالپرسی ایمیل شخصی برای ایجاد یک تجربه انسانی تر و شخصی تر برای مشترکین بحث کنید.</v>
      </c>
      <c r="H937" s="1"/>
      <c r="I937" s="1"/>
      <c r="J937" s="1"/>
      <c r="K937" s="1"/>
      <c r="L937" s="1"/>
      <c r="M937" s="1"/>
      <c r="N937" s="1"/>
      <c r="O937" s="1"/>
      <c r="P937" s="1"/>
      <c r="Q937" s="1"/>
      <c r="R937" s="1"/>
      <c r="S937" s="1"/>
      <c r="T937" s="1"/>
      <c r="U937" s="1"/>
      <c r="V937" s="1"/>
      <c r="W937" s="1"/>
      <c r="X937" s="1"/>
      <c r="Y937" s="1"/>
      <c r="Z937" s="1"/>
      <c r="AA937" s="1"/>
      <c r="AB937" s="1"/>
    </row>
    <row r="938" ht="50.25" customHeight="1">
      <c r="A938" s="12">
        <v>934.0</v>
      </c>
      <c r="B938" s="13" t="s">
        <v>753</v>
      </c>
      <c r="C938" s="14" t="s">
        <v>943</v>
      </c>
      <c r="D938" s="1"/>
      <c r="E938" s="15"/>
      <c r="F938" s="1" t="str">
        <f>IFERROR(__xludf.DUMMYFUNCTION("GOOGLETRANSLATE(B938, ""en"", ""fa"")
"),"بازاریابی ایمیلی")</f>
        <v>بازاریابی ایمیلی</v>
      </c>
      <c r="G938" s="1" t="str">
        <f>IFERROR(__xludf.DUMMYFUNCTION("GOOGLETRANSLATE(C938, ""en"", ""fa"")
"),"استراتژی‌های استفاده از کمپین‌های چکه‌ای ایمیل برای پرورش سرنخ‌ها را در طول زمان به اشتراک بگذارید و آنها را از طریق قیف فروش راهنمایی کنید.")</f>
        <v>استراتژی‌های استفاده از کمپین‌های چکه‌ای ایمیل برای پرورش سرنخ‌ها را در طول زمان به اشتراک بگذارید و آنها را از طریق قیف فروش راهنمایی کنید.</v>
      </c>
      <c r="H938" s="1"/>
      <c r="I938" s="1"/>
      <c r="J938" s="1"/>
      <c r="K938" s="1"/>
      <c r="L938" s="1"/>
      <c r="M938" s="1"/>
      <c r="N938" s="1"/>
      <c r="O938" s="1"/>
      <c r="P938" s="1"/>
      <c r="Q938" s="1"/>
      <c r="R938" s="1"/>
      <c r="S938" s="1"/>
      <c r="T938" s="1"/>
      <c r="U938" s="1"/>
      <c r="V938" s="1"/>
      <c r="W938" s="1"/>
      <c r="X938" s="1"/>
      <c r="Y938" s="1"/>
      <c r="Z938" s="1"/>
      <c r="AA938" s="1"/>
      <c r="AB938" s="1"/>
    </row>
    <row r="939" ht="50.25" customHeight="1">
      <c r="A939" s="12">
        <v>935.0</v>
      </c>
      <c r="B939" s="13" t="s">
        <v>753</v>
      </c>
      <c r="C939" s="14" t="s">
        <v>944</v>
      </c>
      <c r="D939" s="1"/>
      <c r="E939" s="15"/>
      <c r="F939" s="1" t="str">
        <f>IFERROR(__xludf.DUMMYFUNCTION("GOOGLETRANSLATE(B939, ""en"", ""fa"")
"),"بازاریابی ایمیلی")</f>
        <v>بازاریابی ایمیلی</v>
      </c>
      <c r="G939" s="1" t="str">
        <f>IFERROR(__xludf.DUMMYFUNCTION("GOOGLETRANSLATE(C939, ""en"", ""fa"")
"),"مزایای استفاده از بازاریابی ایمیلی برای ارائه محتوای انحصاری، مانند نگاه کردن پنهانی، دسترسی به پشت صحنه، یا نکات داخلی را بررسی کنید.")</f>
        <v>مزایای استفاده از بازاریابی ایمیلی برای ارائه محتوای انحصاری، مانند نگاه کردن پنهانی، دسترسی به پشت صحنه، یا نکات داخلی را بررسی کنید.</v>
      </c>
      <c r="H939" s="1"/>
      <c r="I939" s="1"/>
      <c r="J939" s="1"/>
      <c r="K939" s="1"/>
      <c r="L939" s="1"/>
      <c r="M939" s="1"/>
      <c r="N939" s="1"/>
      <c r="O939" s="1"/>
      <c r="P939" s="1"/>
      <c r="Q939" s="1"/>
      <c r="R939" s="1"/>
      <c r="S939" s="1"/>
      <c r="T939" s="1"/>
      <c r="U939" s="1"/>
      <c r="V939" s="1"/>
      <c r="W939" s="1"/>
      <c r="X939" s="1"/>
      <c r="Y939" s="1"/>
      <c r="Z939" s="1"/>
      <c r="AA939" s="1"/>
      <c r="AB939" s="1"/>
    </row>
    <row r="940" ht="50.25" customHeight="1">
      <c r="A940" s="12">
        <v>936.0</v>
      </c>
      <c r="B940" s="13" t="s">
        <v>753</v>
      </c>
      <c r="C940" s="14" t="s">
        <v>945</v>
      </c>
      <c r="D940" s="1"/>
      <c r="E940" s="15"/>
      <c r="F940" s="1" t="str">
        <f>IFERROR(__xludf.DUMMYFUNCTION("GOOGLETRANSLATE(B940, ""en"", ""fa"")
"),"بازاریابی ایمیلی")</f>
        <v>بازاریابی ایمیلی</v>
      </c>
      <c r="G940" s="1" t="str">
        <f>IFERROR(__xludf.DUMMYFUNCTION("GOOGLETRANSLATE(C940, ""en"", ""fa"")
"),"درباره تأثیر استفاده از تکنیک‌های کپی‌نویسی متقاعدکننده، مانند داستان سرایی، زبان متمرکز بر مزایا، یا اثبات اجتماعی، برای ایجاد تبدیل در کمپین‌های ایمیل بحث کنید.")</f>
        <v>درباره تأثیر استفاده از تکنیک‌های کپی‌نویسی متقاعدکننده، مانند داستان سرایی، زبان متمرکز بر مزایا، یا اثبات اجتماعی، برای ایجاد تبدیل در کمپین‌های ایمیل بحث کنید.</v>
      </c>
      <c r="H940" s="1"/>
      <c r="I940" s="1"/>
      <c r="J940" s="1"/>
      <c r="K940" s="1"/>
      <c r="L940" s="1"/>
      <c r="M940" s="1"/>
      <c r="N940" s="1"/>
      <c r="O940" s="1"/>
      <c r="P940" s="1"/>
      <c r="Q940" s="1"/>
      <c r="R940" s="1"/>
      <c r="S940" s="1"/>
      <c r="T940" s="1"/>
      <c r="U940" s="1"/>
      <c r="V940" s="1"/>
      <c r="W940" s="1"/>
      <c r="X940" s="1"/>
      <c r="Y940" s="1"/>
      <c r="Z940" s="1"/>
      <c r="AA940" s="1"/>
      <c r="AB940" s="1"/>
    </row>
    <row r="941" ht="50.25" customHeight="1">
      <c r="A941" s="12">
        <v>937.0</v>
      </c>
      <c r="B941" s="13" t="s">
        <v>753</v>
      </c>
      <c r="C941" s="14" t="s">
        <v>946</v>
      </c>
      <c r="D941" s="1"/>
      <c r="E941" s="15"/>
      <c r="F941" s="1" t="str">
        <f>IFERROR(__xludf.DUMMYFUNCTION("GOOGLETRANSLATE(B941, ""en"", ""fa"")
"),"بازاریابی ایمیلی")</f>
        <v>بازاریابی ایمیلی</v>
      </c>
      <c r="G941" s="1" t="str">
        <f>IFERROR(__xludf.DUMMYFUNCTION("GOOGLETRANSLATE(C941, ""en"", ""fa"")
"),"نکاتی را برای بهینه‌سازی پیش‌نمایش‌های ایمیل و متن پیش‌هدر به اشتراک بگذارید تا زمینه بیشتری فراهم شود و گیرندگان را ترغیب کنید تا ایمیل را باز کنند.")</f>
        <v>نکاتی را برای بهینه‌سازی پیش‌نمایش‌های ایمیل و متن پیش‌هدر به اشتراک بگذارید تا زمینه بیشتری فراهم شود و گیرندگان را ترغیب کنید تا ایمیل را باز کنند.</v>
      </c>
      <c r="H941" s="1"/>
      <c r="I941" s="1"/>
      <c r="J941" s="1"/>
      <c r="K941" s="1"/>
      <c r="L941" s="1"/>
      <c r="M941" s="1"/>
      <c r="N941" s="1"/>
      <c r="O941" s="1"/>
      <c r="P941" s="1"/>
      <c r="Q941" s="1"/>
      <c r="R941" s="1"/>
      <c r="S941" s="1"/>
      <c r="T941" s="1"/>
      <c r="U941" s="1"/>
      <c r="V941" s="1"/>
      <c r="W941" s="1"/>
      <c r="X941" s="1"/>
      <c r="Y941" s="1"/>
      <c r="Z941" s="1"/>
      <c r="AA941" s="1"/>
      <c r="AB941" s="1"/>
    </row>
    <row r="942" ht="50.25" customHeight="1">
      <c r="A942" s="12">
        <v>938.0</v>
      </c>
      <c r="B942" s="13" t="s">
        <v>753</v>
      </c>
      <c r="C942" s="14" t="s">
        <v>947</v>
      </c>
      <c r="D942" s="1"/>
      <c r="E942" s="15"/>
      <c r="F942" s="1" t="str">
        <f>IFERROR(__xludf.DUMMYFUNCTION("GOOGLETRANSLATE(B942, ""en"", ""fa"")
"),"بازاریابی ایمیلی")</f>
        <v>بازاریابی ایمیلی</v>
      </c>
      <c r="G942" s="1" t="str">
        <f>IFERROR(__xludf.DUMMYFUNCTION("GOOGLETRANSLATE(C942, ""en"", ""fa"")
"),"مفهوم استفاده از GIF یا ویدیوهای متحرک در ایمیل ها را برای ایجاد محتوای بصری جذاب و تعاملی بررسی کنید.")</f>
        <v>مفهوم استفاده از GIF یا ویدیوهای متحرک در ایمیل ها را برای ایجاد محتوای بصری جذاب و تعاملی بررسی کنید.</v>
      </c>
      <c r="H942" s="1"/>
      <c r="I942" s="1"/>
      <c r="J942" s="1"/>
      <c r="K942" s="1"/>
      <c r="L942" s="1"/>
      <c r="M942" s="1"/>
      <c r="N942" s="1"/>
      <c r="O942" s="1"/>
      <c r="P942" s="1"/>
      <c r="Q942" s="1"/>
      <c r="R942" s="1"/>
      <c r="S942" s="1"/>
      <c r="T942" s="1"/>
      <c r="U942" s="1"/>
      <c r="V942" s="1"/>
      <c r="W942" s="1"/>
      <c r="X942" s="1"/>
      <c r="Y942" s="1"/>
      <c r="Z942" s="1"/>
      <c r="AA942" s="1"/>
      <c r="AB942" s="1"/>
    </row>
    <row r="943" ht="50.25" customHeight="1">
      <c r="A943" s="12">
        <v>939.0</v>
      </c>
      <c r="B943" s="13" t="s">
        <v>753</v>
      </c>
      <c r="C943" s="14" t="s">
        <v>948</v>
      </c>
      <c r="D943" s="1"/>
      <c r="E943" s="15"/>
      <c r="F943" s="1" t="str">
        <f>IFERROR(__xludf.DUMMYFUNCTION("GOOGLETRANSLATE(B943, ""en"", ""fa"")
"),"بازاریابی ایمیلی")</f>
        <v>بازاریابی ایمیلی</v>
      </c>
      <c r="G943" s="1" t="str">
        <f>IFERROR(__xludf.DUMMYFUNCTION("GOOGLETRANSLATE(C943, ""en"", ""fa"")
"),"درباره نقش استفاده از بازخورد و بینش مشتری برای بهبود مستمر و اصلاح استراتژی های بازاریابی ایمیلی بحث کنید.")</f>
        <v>درباره نقش استفاده از بازخورد و بینش مشتری برای بهبود مستمر و اصلاح استراتژی های بازاریابی ایمیلی بحث کنید.</v>
      </c>
      <c r="H943" s="1"/>
      <c r="I943" s="1"/>
      <c r="J943" s="1"/>
      <c r="K943" s="1"/>
      <c r="L943" s="1"/>
      <c r="M943" s="1"/>
      <c r="N943" s="1"/>
      <c r="O943" s="1"/>
      <c r="P943" s="1"/>
      <c r="Q943" s="1"/>
      <c r="R943" s="1"/>
      <c r="S943" s="1"/>
      <c r="T943" s="1"/>
      <c r="U943" s="1"/>
      <c r="V943" s="1"/>
      <c r="W943" s="1"/>
      <c r="X943" s="1"/>
      <c r="Y943" s="1"/>
      <c r="Z943" s="1"/>
      <c r="AA943" s="1"/>
      <c r="AB943" s="1"/>
    </row>
    <row r="944" ht="50.25" customHeight="1">
      <c r="A944" s="12">
        <v>940.0</v>
      </c>
      <c r="B944" s="13" t="s">
        <v>753</v>
      </c>
      <c r="C944" s="14" t="s">
        <v>949</v>
      </c>
      <c r="D944" s="1"/>
      <c r="E944" s="15"/>
      <c r="F944" s="1" t="str">
        <f>IFERROR(__xludf.DUMMYFUNCTION("GOOGLETRANSLATE(B944, ""en"", ""fa"")
"),"بازاریابی ایمیلی")</f>
        <v>بازاریابی ایمیلی</v>
      </c>
      <c r="G944" s="1" t="str">
        <f>IFERROR(__xludf.DUMMYFUNCTION("GOOGLETRANSLATE(C944, ""en"", ""fa"")
"),"استراتژی‌های استفاده از ایمیل برای ترویج و ثبت نام برای وبینارها، کارگاه‌ها یا دوره‌های آنلاین را به اشتراک بگذارید.")</f>
        <v>استراتژی‌های استفاده از ایمیل برای ترویج و ثبت نام برای وبینارها، کارگاه‌ها یا دوره‌های آنلاین را به اشتراک بگذارید.</v>
      </c>
      <c r="H944" s="1"/>
      <c r="I944" s="1"/>
      <c r="J944" s="1"/>
      <c r="K944" s="1"/>
      <c r="L944" s="1"/>
      <c r="M944" s="1"/>
      <c r="N944" s="1"/>
      <c r="O944" s="1"/>
      <c r="P944" s="1"/>
      <c r="Q944" s="1"/>
      <c r="R944" s="1"/>
      <c r="S944" s="1"/>
      <c r="T944" s="1"/>
      <c r="U944" s="1"/>
      <c r="V944" s="1"/>
      <c r="W944" s="1"/>
      <c r="X944" s="1"/>
      <c r="Y944" s="1"/>
      <c r="Z944" s="1"/>
      <c r="AA944" s="1"/>
      <c r="AB944" s="1"/>
    </row>
    <row r="945" ht="50.25" customHeight="1">
      <c r="A945" s="12">
        <v>941.0</v>
      </c>
      <c r="B945" s="13" t="s">
        <v>753</v>
      </c>
      <c r="C945" s="14" t="s">
        <v>950</v>
      </c>
      <c r="D945" s="1"/>
      <c r="E945" s="15"/>
      <c r="F945" s="1" t="str">
        <f>IFERROR(__xludf.DUMMYFUNCTION("GOOGLETRANSLATE(B945, ""en"", ""fa"")
"),"بازاریابی ایمیلی")</f>
        <v>بازاریابی ایمیلی</v>
      </c>
      <c r="G945" s="1" t="str">
        <f>IFERROR(__xludf.DUMMYFUNCTION("GOOGLETRANSLATE(C945, ""en"", ""fa"")
"),"مزایای استفاده از ایمیل‌های شخصی‌سازی‌شده رها کردن سبد خرید را که به مشتریان اقلام رها شده‌شان را یادآوری می‌کنند و مشوق‌هایی برای تکمیل خرید ارائه می‌دهند، کاوش کنید.")</f>
        <v>مزایای استفاده از ایمیل‌های شخصی‌سازی‌شده رها کردن سبد خرید را که به مشتریان اقلام رها شده‌شان را یادآوری می‌کنند و مشوق‌هایی برای تکمیل خرید ارائه می‌دهند، کاوش کنید.</v>
      </c>
      <c r="H945" s="1"/>
      <c r="I945" s="1"/>
      <c r="J945" s="1"/>
      <c r="K945" s="1"/>
      <c r="L945" s="1"/>
      <c r="M945" s="1"/>
      <c r="N945" s="1"/>
      <c r="O945" s="1"/>
      <c r="P945" s="1"/>
      <c r="Q945" s="1"/>
      <c r="R945" s="1"/>
      <c r="S945" s="1"/>
      <c r="T945" s="1"/>
      <c r="U945" s="1"/>
      <c r="V945" s="1"/>
      <c r="W945" s="1"/>
      <c r="X945" s="1"/>
      <c r="Y945" s="1"/>
      <c r="Z945" s="1"/>
      <c r="AA945" s="1"/>
      <c r="AB945" s="1"/>
    </row>
    <row r="946" ht="50.25" customHeight="1">
      <c r="A946" s="12">
        <v>942.0</v>
      </c>
      <c r="B946" s="13" t="s">
        <v>753</v>
      </c>
      <c r="C946" s="14" t="s">
        <v>951</v>
      </c>
      <c r="D946" s="1"/>
      <c r="E946" s="15"/>
      <c r="F946" s="1" t="str">
        <f>IFERROR(__xludf.DUMMYFUNCTION("GOOGLETRANSLATE(B946, ""en"", ""fa"")
"),"بازاریابی ایمیلی")</f>
        <v>بازاریابی ایمیلی</v>
      </c>
      <c r="G946" s="1" t="str">
        <f>IFERROR(__xludf.DUMMYFUNCTION("GOOGLETRANSLATE(C946, ""en"", ""fa"")
"),"درباره تأثیر استفاده از ایمیل‌های فروش متقابل یا فروش متقابل برای توصیه محصولات تکمیلی یا ارتقا یافته بر اساس خریدهای قبلی مشتریان بحث کنید.")</f>
        <v>درباره تأثیر استفاده از ایمیل‌های فروش متقابل یا فروش متقابل برای توصیه محصولات تکمیلی یا ارتقا یافته بر اساس خریدهای قبلی مشتریان بحث کنید.</v>
      </c>
      <c r="H946" s="1"/>
      <c r="I946" s="1"/>
      <c r="J946" s="1"/>
      <c r="K946" s="1"/>
      <c r="L946" s="1"/>
      <c r="M946" s="1"/>
      <c r="N946" s="1"/>
      <c r="O946" s="1"/>
      <c r="P946" s="1"/>
      <c r="Q946" s="1"/>
      <c r="R946" s="1"/>
      <c r="S946" s="1"/>
      <c r="T946" s="1"/>
      <c r="U946" s="1"/>
      <c r="V946" s="1"/>
      <c r="W946" s="1"/>
      <c r="X946" s="1"/>
      <c r="Y946" s="1"/>
      <c r="Z946" s="1"/>
      <c r="AA946" s="1"/>
      <c r="AB946" s="1"/>
    </row>
    <row r="947" ht="50.25" customHeight="1">
      <c r="A947" s="12">
        <v>943.0</v>
      </c>
      <c r="B947" s="13" t="s">
        <v>753</v>
      </c>
      <c r="C947" s="14" t="s">
        <v>952</v>
      </c>
      <c r="D947" s="1"/>
      <c r="E947" s="15"/>
      <c r="F947" s="1" t="str">
        <f>IFERROR(__xludf.DUMMYFUNCTION("GOOGLETRANSLATE(B947, ""en"", ""fa"")
"),"بازاریابی ایمیلی")</f>
        <v>بازاریابی ایمیلی</v>
      </c>
      <c r="G947" s="1" t="str">
        <f>IFERROR(__xludf.DUMMYFUNCTION("GOOGLETRANSLATE(C947, ""en"", ""fa"")
"),"نکاتی را برای ایجاد خبرنامه‌های ایمیلی مؤثر که محتوای ارزشمند، به‌روزرسانی‌ها و پیشنهادات را برای جذب و حفظ مشترکین ارائه می‌دهند، به اشتراک بگذارید.")</f>
        <v>نکاتی را برای ایجاد خبرنامه‌های ایمیلی مؤثر که محتوای ارزشمند، به‌روزرسانی‌ها و پیشنهادات را برای جذب و حفظ مشترکین ارائه می‌دهند، به اشتراک بگذارید.</v>
      </c>
      <c r="H947" s="1"/>
      <c r="I947" s="1"/>
      <c r="J947" s="1"/>
      <c r="K947" s="1"/>
      <c r="L947" s="1"/>
      <c r="M947" s="1"/>
      <c r="N947" s="1"/>
      <c r="O947" s="1"/>
      <c r="P947" s="1"/>
      <c r="Q947" s="1"/>
      <c r="R947" s="1"/>
      <c r="S947" s="1"/>
      <c r="T947" s="1"/>
      <c r="U947" s="1"/>
      <c r="V947" s="1"/>
      <c r="W947" s="1"/>
      <c r="X947" s="1"/>
      <c r="Y947" s="1"/>
      <c r="Z947" s="1"/>
      <c r="AA947" s="1"/>
      <c r="AB947" s="1"/>
    </row>
    <row r="948" ht="50.25" customHeight="1">
      <c r="A948" s="12">
        <v>944.0</v>
      </c>
      <c r="B948" s="13" t="s">
        <v>753</v>
      </c>
      <c r="C948" s="14" t="s">
        <v>953</v>
      </c>
      <c r="D948" s="1"/>
      <c r="E948" s="15"/>
      <c r="F948" s="1" t="str">
        <f>IFERROR(__xludf.DUMMYFUNCTION("GOOGLETRANSLATE(B948, ""en"", ""fa"")
"),"بازاریابی ایمیلی")</f>
        <v>بازاریابی ایمیلی</v>
      </c>
      <c r="G948" s="1" t="str">
        <f>IFERROR(__xludf.DUMMYFUNCTION("GOOGLETRANSLATE(C948, ""en"", ""fa"")
"),"درباره اهمیت ایجاد هویت برند قوی در بازاریابی ایمیلی و اینکه چگونه می تواند به متمایز کردن یک کسب و کار از رقبای خود کمک کند، بحث کنید.")</f>
        <v>درباره اهمیت ایجاد هویت برند قوی در بازاریابی ایمیلی و اینکه چگونه می تواند به متمایز کردن یک کسب و کار از رقبای خود کمک کند، بحث کنید.</v>
      </c>
      <c r="H948" s="1"/>
      <c r="I948" s="1"/>
      <c r="J948" s="1"/>
      <c r="K948" s="1"/>
      <c r="L948" s="1"/>
      <c r="M948" s="1"/>
      <c r="N948" s="1"/>
      <c r="O948" s="1"/>
      <c r="P948" s="1"/>
      <c r="Q948" s="1"/>
      <c r="R948" s="1"/>
      <c r="S948" s="1"/>
      <c r="T948" s="1"/>
      <c r="U948" s="1"/>
      <c r="V948" s="1"/>
      <c r="W948" s="1"/>
      <c r="X948" s="1"/>
      <c r="Y948" s="1"/>
      <c r="Z948" s="1"/>
      <c r="AA948" s="1"/>
      <c r="AB948" s="1"/>
    </row>
    <row r="949" ht="50.25" customHeight="1">
      <c r="A949" s="12">
        <v>945.0</v>
      </c>
      <c r="B949" s="13" t="s">
        <v>753</v>
      </c>
      <c r="C949" s="14" t="s">
        <v>954</v>
      </c>
      <c r="D949" s="1"/>
      <c r="E949" s="15"/>
      <c r="F949" s="1" t="str">
        <f>IFERROR(__xludf.DUMMYFUNCTION("GOOGLETRANSLATE(B949, ""en"", ""fa"")
"),"بازاریابی ایمیلی")</f>
        <v>بازاریابی ایمیلی</v>
      </c>
      <c r="G949" s="1" t="str">
        <f>IFERROR(__xludf.DUMMYFUNCTION("GOOGLETRANSLATE(C949, ""en"", ""fa"")
"),"نکاتی را برای ایجاد خطوط موضوع ایمیل قانع کننده که کنجکاوی را برمی انگیزد و نرخ باز شدن را افزایش می دهد، به اشتراک بگذارید.")</f>
        <v>نکاتی را برای ایجاد خطوط موضوع ایمیل قانع کننده که کنجکاوی را برمی انگیزد و نرخ باز شدن را افزایش می دهد، به اشتراک بگذارید.</v>
      </c>
      <c r="H949" s="1"/>
      <c r="I949" s="1"/>
      <c r="J949" s="1"/>
      <c r="K949" s="1"/>
      <c r="L949" s="1"/>
      <c r="M949" s="1"/>
      <c r="N949" s="1"/>
      <c r="O949" s="1"/>
      <c r="P949" s="1"/>
      <c r="Q949" s="1"/>
      <c r="R949" s="1"/>
      <c r="S949" s="1"/>
      <c r="T949" s="1"/>
      <c r="U949" s="1"/>
      <c r="V949" s="1"/>
      <c r="W949" s="1"/>
      <c r="X949" s="1"/>
      <c r="Y949" s="1"/>
      <c r="Z949" s="1"/>
      <c r="AA949" s="1"/>
      <c r="AB949" s="1"/>
    </row>
    <row r="950" ht="50.25" customHeight="1">
      <c r="A950" s="12">
        <v>946.0</v>
      </c>
      <c r="B950" s="13" t="s">
        <v>753</v>
      </c>
      <c r="C950" s="14" t="s">
        <v>955</v>
      </c>
      <c r="D950" s="1"/>
      <c r="E950" s="15"/>
      <c r="F950" s="1" t="str">
        <f>IFERROR(__xludf.DUMMYFUNCTION("GOOGLETRANSLATE(B950, ""en"", ""fa"")
"),"بازاریابی ایمیلی")</f>
        <v>بازاریابی ایمیلی</v>
      </c>
      <c r="G950" s="1" t="str">
        <f>IFERROR(__xludf.DUMMYFUNCTION("GOOGLETRANSLATE(C950, ""en"", ""fa"")
"),"مفهوم استفاده از شخصی سازی در بازاریابی ایمیلی را برای مخاطب قرار دادن مشترکین بر اساس علایق یا ترجیحات خاص آنها بررسی کنید.")</f>
        <v>مفهوم استفاده از شخصی سازی در بازاریابی ایمیلی را برای مخاطب قرار دادن مشترکین بر اساس علایق یا ترجیحات خاص آنها بررسی کنید.</v>
      </c>
      <c r="H950" s="1"/>
      <c r="I950" s="1"/>
      <c r="J950" s="1"/>
      <c r="K950" s="1"/>
      <c r="L950" s="1"/>
      <c r="M950" s="1"/>
      <c r="N950" s="1"/>
      <c r="O950" s="1"/>
      <c r="P950" s="1"/>
      <c r="Q950" s="1"/>
      <c r="R950" s="1"/>
      <c r="S950" s="1"/>
      <c r="T950" s="1"/>
      <c r="U950" s="1"/>
      <c r="V950" s="1"/>
      <c r="W950" s="1"/>
      <c r="X950" s="1"/>
      <c r="Y950" s="1"/>
      <c r="Z950" s="1"/>
      <c r="AA950" s="1"/>
      <c r="AB950" s="1"/>
    </row>
    <row r="951" ht="50.25" customHeight="1">
      <c r="A951" s="12">
        <v>947.0</v>
      </c>
      <c r="B951" s="13" t="s">
        <v>753</v>
      </c>
      <c r="C951" s="14" t="s">
        <v>956</v>
      </c>
      <c r="D951" s="1"/>
      <c r="E951" s="15"/>
      <c r="F951" s="1" t="str">
        <f>IFERROR(__xludf.DUMMYFUNCTION("GOOGLETRANSLATE(B951, ""en"", ""fa"")
"),"بازاریابی ایمیلی")</f>
        <v>بازاریابی ایمیلی</v>
      </c>
      <c r="G951" s="1" t="str">
        <f>IFERROR(__xludf.DUMMYFUNCTION("GOOGLETRANSLATE(C951, ""en"", ""fa"")
"),"در مورد نقش استفاده از اینفلوئنسرهای رسانه های اجتماعی در کمپین های ایمیل برای گسترش دسترسی و اعتبار بحث کنید.")</f>
        <v>در مورد نقش استفاده از اینفلوئنسرهای رسانه های اجتماعی در کمپین های ایمیل برای گسترش دسترسی و اعتبار بحث کنید.</v>
      </c>
      <c r="H951" s="1"/>
      <c r="I951" s="1"/>
      <c r="J951" s="1"/>
      <c r="K951" s="1"/>
      <c r="L951" s="1"/>
      <c r="M951" s="1"/>
      <c r="N951" s="1"/>
      <c r="O951" s="1"/>
      <c r="P951" s="1"/>
      <c r="Q951" s="1"/>
      <c r="R951" s="1"/>
      <c r="S951" s="1"/>
      <c r="T951" s="1"/>
      <c r="U951" s="1"/>
      <c r="V951" s="1"/>
      <c r="W951" s="1"/>
      <c r="X951" s="1"/>
      <c r="Y951" s="1"/>
      <c r="Z951" s="1"/>
      <c r="AA951" s="1"/>
      <c r="AB951" s="1"/>
    </row>
    <row r="952" ht="50.25" customHeight="1">
      <c r="A952" s="12">
        <v>948.0</v>
      </c>
      <c r="B952" s="13" t="s">
        <v>753</v>
      </c>
      <c r="C952" s="14" t="s">
        <v>957</v>
      </c>
      <c r="D952" s="1"/>
      <c r="E952" s="15"/>
      <c r="F952" s="1" t="str">
        <f>IFERROR(__xludf.DUMMYFUNCTION("GOOGLETRANSLATE(B952, ""en"", ""fa"")
"),"بازاریابی ایمیلی")</f>
        <v>بازاریابی ایمیلی</v>
      </c>
      <c r="G952" s="1" t="str">
        <f>IFERROR(__xludf.DUMMYFUNCTION("GOOGLETRANSLATE(C952, ""en"", ""fa"")
"),"استراتژی‌هایی را برای بهینه‌سازی طرح‌بندی ایمیل برای خوانایی و قابلیت اسکن، از جمله استفاده از نقاط گلوله، عنوان‌های فرعی و قالب‌بندی واضح به اشتراک بگذارید.")</f>
        <v>استراتژی‌هایی را برای بهینه‌سازی طرح‌بندی ایمیل برای خوانایی و قابلیت اسکن، از جمله استفاده از نقاط گلوله، عنوان‌های فرعی و قالب‌بندی واضح به اشتراک بگذارید.</v>
      </c>
      <c r="H952" s="1"/>
      <c r="I952" s="1"/>
      <c r="J952" s="1"/>
      <c r="K952" s="1"/>
      <c r="L952" s="1"/>
      <c r="M952" s="1"/>
      <c r="N952" s="1"/>
      <c r="O952" s="1"/>
      <c r="P952" s="1"/>
      <c r="Q952" s="1"/>
      <c r="R952" s="1"/>
      <c r="S952" s="1"/>
      <c r="T952" s="1"/>
      <c r="U952" s="1"/>
      <c r="V952" s="1"/>
      <c r="W952" s="1"/>
      <c r="X952" s="1"/>
      <c r="Y952" s="1"/>
      <c r="Z952" s="1"/>
      <c r="AA952" s="1"/>
      <c r="AB952" s="1"/>
    </row>
    <row r="953" ht="50.25" customHeight="1">
      <c r="A953" s="12">
        <v>949.0</v>
      </c>
      <c r="B953" s="13" t="s">
        <v>753</v>
      </c>
      <c r="C953" s="14" t="s">
        <v>958</v>
      </c>
      <c r="D953" s="1"/>
      <c r="E953" s="15"/>
      <c r="F953" s="1" t="str">
        <f>IFERROR(__xludf.DUMMYFUNCTION("GOOGLETRANSLATE(B953, ""en"", ""fa"")
"),"بازاریابی ایمیلی")</f>
        <v>بازاریابی ایمیلی</v>
      </c>
      <c r="G953" s="1" t="str">
        <f>IFERROR(__xludf.DUMMYFUNCTION("GOOGLETRANSLATE(C953, ""en"", ""fa"")
"),"مزایای استفاده از مجموعه‌های ایمیل خوش‌آمدگویی خودکار برای ورود مشترکین جدید و پرورش آن‌ها به مشتریان متعهد را بررسی کنید.")</f>
        <v>مزایای استفاده از مجموعه‌های ایمیل خوش‌آمدگویی خودکار برای ورود مشترکین جدید و پرورش آن‌ها به مشتریان متعهد را بررسی کنید.</v>
      </c>
      <c r="H953" s="1"/>
      <c r="I953" s="1"/>
      <c r="J953" s="1"/>
      <c r="K953" s="1"/>
      <c r="L953" s="1"/>
      <c r="M953" s="1"/>
      <c r="N953" s="1"/>
      <c r="O953" s="1"/>
      <c r="P953" s="1"/>
      <c r="Q953" s="1"/>
      <c r="R953" s="1"/>
      <c r="S953" s="1"/>
      <c r="T953" s="1"/>
      <c r="U953" s="1"/>
      <c r="V953" s="1"/>
      <c r="W953" s="1"/>
      <c r="X953" s="1"/>
      <c r="Y953" s="1"/>
      <c r="Z953" s="1"/>
      <c r="AA953" s="1"/>
      <c r="AB953" s="1"/>
    </row>
    <row r="954" ht="50.25" customHeight="1">
      <c r="A954" s="12">
        <v>950.0</v>
      </c>
      <c r="B954" s="13" t="s">
        <v>753</v>
      </c>
      <c r="C954" s="14" t="s">
        <v>959</v>
      </c>
      <c r="D954" s="1"/>
      <c r="E954" s="15"/>
      <c r="F954" s="1" t="str">
        <f>IFERROR(__xludf.DUMMYFUNCTION("GOOGLETRANSLATE(B954, ""en"", ""fa"")
"),"بازاریابی ایمیلی")</f>
        <v>بازاریابی ایمیلی</v>
      </c>
      <c r="G954" s="1" t="str">
        <f>IFERROR(__xludf.DUMMYFUNCTION("GOOGLETRANSLATE(C954, ""en"", ""fa"")
"),"درباره تأثیر استفاده از نظرات و نظرات مشتریان در بازاریابی ایمیلی برای ایجاد اعتماد و اثبات اجتماعی بحث کنید.")</f>
        <v>درباره تأثیر استفاده از نظرات و نظرات مشتریان در بازاریابی ایمیلی برای ایجاد اعتماد و اثبات اجتماعی بحث کنید.</v>
      </c>
      <c r="H954" s="1"/>
      <c r="I954" s="1"/>
      <c r="J954" s="1"/>
      <c r="K954" s="1"/>
      <c r="L954" s="1"/>
      <c r="M954" s="1"/>
      <c r="N954" s="1"/>
      <c r="O954" s="1"/>
      <c r="P954" s="1"/>
      <c r="Q954" s="1"/>
      <c r="R954" s="1"/>
      <c r="S954" s="1"/>
      <c r="T954" s="1"/>
      <c r="U954" s="1"/>
      <c r="V954" s="1"/>
      <c r="W954" s="1"/>
      <c r="X954" s="1"/>
      <c r="Y954" s="1"/>
      <c r="Z954" s="1"/>
      <c r="AA954" s="1"/>
      <c r="AB954" s="1"/>
    </row>
    <row r="955" ht="50.25" customHeight="1">
      <c r="A955" s="12">
        <v>951.0</v>
      </c>
      <c r="B955" s="13" t="s">
        <v>753</v>
      </c>
      <c r="C955" s="14" t="s">
        <v>960</v>
      </c>
      <c r="D955" s="1"/>
      <c r="E955" s="15"/>
      <c r="F955" s="1" t="str">
        <f>IFERROR(__xludf.DUMMYFUNCTION("GOOGLETRANSLATE(B955, ""en"", ""fa"")
"),"بازاریابی ایمیلی")</f>
        <v>بازاریابی ایمیلی</v>
      </c>
      <c r="G955" s="1" t="str">
        <f>IFERROR(__xludf.DUMMYFUNCTION("GOOGLETRANSLATE(C955, ""en"", ""fa"")
"),"نکاتی را برای بهبود قابلیت تحویل ایمیل با مدیریت لیست های ایمیل، حذف مشترکین غیرفعال و اجتناب از محرک های هرزنامه به اشتراک بگذارید.")</f>
        <v>نکاتی را برای بهبود قابلیت تحویل ایمیل با مدیریت لیست های ایمیل، حذف مشترکین غیرفعال و اجتناب از محرک های هرزنامه به اشتراک بگذارید.</v>
      </c>
      <c r="H955" s="1"/>
      <c r="I955" s="1"/>
      <c r="J955" s="1"/>
      <c r="K955" s="1"/>
      <c r="L955" s="1"/>
      <c r="M955" s="1"/>
      <c r="N955" s="1"/>
      <c r="O955" s="1"/>
      <c r="P955" s="1"/>
      <c r="Q955" s="1"/>
      <c r="R955" s="1"/>
      <c r="S955" s="1"/>
      <c r="T955" s="1"/>
      <c r="U955" s="1"/>
      <c r="V955" s="1"/>
      <c r="W955" s="1"/>
      <c r="X955" s="1"/>
      <c r="Y955" s="1"/>
      <c r="Z955" s="1"/>
      <c r="AA955" s="1"/>
      <c r="AB955" s="1"/>
    </row>
    <row r="956" ht="50.25" customHeight="1">
      <c r="A956" s="12">
        <v>952.0</v>
      </c>
      <c r="B956" s="13" t="s">
        <v>753</v>
      </c>
      <c r="C956" s="14" t="s">
        <v>961</v>
      </c>
      <c r="D956" s="1"/>
      <c r="E956" s="15"/>
      <c r="F956" s="1" t="str">
        <f>IFERROR(__xludf.DUMMYFUNCTION("GOOGLETRANSLATE(B956, ""en"", ""fa"")
"),"بازاریابی ایمیلی")</f>
        <v>بازاریابی ایمیلی</v>
      </c>
      <c r="G956" s="1" t="str">
        <f>IFERROR(__xludf.DUMMYFUNCTION("GOOGLETRANSLATE(C956, ""en"", ""fa"")
"),"مفهوم استفاده از عناصر تعاملی در ایمیل‌ها، مانند نظرسنجی یا نظرسنجی، برای تشویق مشارکت مشترک را بررسی کنید.")</f>
        <v>مفهوم استفاده از عناصر تعاملی در ایمیل‌ها، مانند نظرسنجی یا نظرسنجی، برای تشویق مشارکت مشترک را بررسی کنید.</v>
      </c>
      <c r="H956" s="1"/>
      <c r="I956" s="1"/>
      <c r="J956" s="1"/>
      <c r="K956" s="1"/>
      <c r="L956" s="1"/>
      <c r="M956" s="1"/>
      <c r="N956" s="1"/>
      <c r="O956" s="1"/>
      <c r="P956" s="1"/>
      <c r="Q956" s="1"/>
      <c r="R956" s="1"/>
      <c r="S956" s="1"/>
      <c r="T956" s="1"/>
      <c r="U956" s="1"/>
      <c r="V956" s="1"/>
      <c r="W956" s="1"/>
      <c r="X956" s="1"/>
      <c r="Y956" s="1"/>
      <c r="Z956" s="1"/>
      <c r="AA956" s="1"/>
      <c r="AB956" s="1"/>
    </row>
    <row r="957" ht="50.25" customHeight="1">
      <c r="A957" s="12">
        <v>953.0</v>
      </c>
      <c r="B957" s="13" t="s">
        <v>753</v>
      </c>
      <c r="C957" s="14" t="s">
        <v>962</v>
      </c>
      <c r="D957" s="1"/>
      <c r="E957" s="15"/>
      <c r="F957" s="1" t="str">
        <f>IFERROR(__xludf.DUMMYFUNCTION("GOOGLETRANSLATE(B957, ""en"", ""fa"")
"),"بازاریابی ایمیلی")</f>
        <v>بازاریابی ایمیلی</v>
      </c>
      <c r="G957" s="1" t="str">
        <f>IFERROR(__xludf.DUMMYFUNCTION("GOOGLETRANSLATE(C957, ""en"", ""fa"")
"),"در مورد نقش استفاده از تقسیم بندی برای ارسال ایمیل های تبلیغاتی هدفمند به بخش های خاص مشتریان بر اساس رفتار خرید یا جمعیت آنها بحث کنید.")</f>
        <v>در مورد نقش استفاده از تقسیم بندی برای ارسال ایمیل های تبلیغاتی هدفمند به بخش های خاص مشتریان بر اساس رفتار خرید یا جمعیت آنها بحث کنید.</v>
      </c>
      <c r="H957" s="1"/>
      <c r="I957" s="1"/>
      <c r="J957" s="1"/>
      <c r="K957" s="1"/>
      <c r="L957" s="1"/>
      <c r="M957" s="1"/>
      <c r="N957" s="1"/>
      <c r="O957" s="1"/>
      <c r="P957" s="1"/>
      <c r="Q957" s="1"/>
      <c r="R957" s="1"/>
      <c r="S957" s="1"/>
      <c r="T957" s="1"/>
      <c r="U957" s="1"/>
      <c r="V957" s="1"/>
      <c r="W957" s="1"/>
      <c r="X957" s="1"/>
      <c r="Y957" s="1"/>
      <c r="Z957" s="1"/>
      <c r="AA957" s="1"/>
      <c r="AB957" s="1"/>
    </row>
    <row r="958" ht="50.25" customHeight="1">
      <c r="A958" s="12">
        <v>954.0</v>
      </c>
      <c r="B958" s="13" t="s">
        <v>753</v>
      </c>
      <c r="C958" s="14" t="s">
        <v>963</v>
      </c>
      <c r="D958" s="1"/>
      <c r="E958" s="15"/>
      <c r="F958" s="1" t="str">
        <f>IFERROR(__xludf.DUMMYFUNCTION("GOOGLETRANSLATE(B958, ""en"", ""fa"")
"),"بازاریابی ایمیلی")</f>
        <v>بازاریابی ایمیلی</v>
      </c>
      <c r="G958" s="1" t="str">
        <f>IFERROR(__xludf.DUMMYFUNCTION("GOOGLETRANSLATE(C958, ""en"", ""fa"")
"),"استراتژی‌های استفاده از بازاریابی ایمیلی برای هدایت ترافیک به پست‌های وبلاگ یا سایر دارایی‌های محتوا، افزایش دید و تعامل را به اشتراک بگذارید.")</f>
        <v>استراتژی‌های استفاده از بازاریابی ایمیلی برای هدایت ترافیک به پست‌های وبلاگ یا سایر دارایی‌های محتوا، افزایش دید و تعامل را به اشتراک بگذارید.</v>
      </c>
      <c r="H958" s="1"/>
      <c r="I958" s="1"/>
      <c r="J958" s="1"/>
      <c r="K958" s="1"/>
      <c r="L958" s="1"/>
      <c r="M958" s="1"/>
      <c r="N958" s="1"/>
      <c r="O958" s="1"/>
      <c r="P958" s="1"/>
      <c r="Q958" s="1"/>
      <c r="R958" s="1"/>
      <c r="S958" s="1"/>
      <c r="T958" s="1"/>
      <c r="U958" s="1"/>
      <c r="V958" s="1"/>
      <c r="W958" s="1"/>
      <c r="X958" s="1"/>
      <c r="Y958" s="1"/>
      <c r="Z958" s="1"/>
      <c r="AA958" s="1"/>
      <c r="AB958" s="1"/>
    </row>
    <row r="959" ht="50.25" customHeight="1">
      <c r="A959" s="12">
        <v>955.0</v>
      </c>
      <c r="B959" s="13" t="s">
        <v>753</v>
      </c>
      <c r="C959" s="14" t="s">
        <v>964</v>
      </c>
      <c r="D959" s="1"/>
      <c r="E959" s="15"/>
      <c r="F959" s="1" t="str">
        <f>IFERROR(__xludf.DUMMYFUNCTION("GOOGLETRANSLATE(B959, ""en"", ""fa"")
"),"بازاریابی ایمیلی")</f>
        <v>بازاریابی ایمیلی</v>
      </c>
      <c r="G959" s="1" t="str">
        <f>IFERROR(__xludf.DUMMYFUNCTION("GOOGLETRANSLATE(C959, ""en"", ""fa"")
"),"مزایای استفاده از ایمیل های راه اندازی شده برای ارسال توصیه های شخصی بر اساس سابقه مرور مشتریان یا خریدهای قبلی را بررسی کنید.")</f>
        <v>مزایای استفاده از ایمیل های راه اندازی شده برای ارسال توصیه های شخصی بر اساس سابقه مرور مشتریان یا خریدهای قبلی را بررسی کنید.</v>
      </c>
      <c r="H959" s="1"/>
      <c r="I959" s="1"/>
      <c r="J959" s="1"/>
      <c r="K959" s="1"/>
      <c r="L959" s="1"/>
      <c r="M959" s="1"/>
      <c r="N959" s="1"/>
      <c r="O959" s="1"/>
      <c r="P959" s="1"/>
      <c r="Q959" s="1"/>
      <c r="R959" s="1"/>
      <c r="S959" s="1"/>
      <c r="T959" s="1"/>
      <c r="U959" s="1"/>
      <c r="V959" s="1"/>
      <c r="W959" s="1"/>
      <c r="X959" s="1"/>
      <c r="Y959" s="1"/>
      <c r="Z959" s="1"/>
      <c r="AA959" s="1"/>
      <c r="AB959" s="1"/>
    </row>
    <row r="960" ht="50.25" customHeight="1">
      <c r="A960" s="12">
        <v>956.0</v>
      </c>
      <c r="B960" s="13" t="s">
        <v>753</v>
      </c>
      <c r="C960" s="14" t="s">
        <v>965</v>
      </c>
      <c r="D960" s="1"/>
      <c r="E960" s="15"/>
      <c r="F960" s="1" t="str">
        <f>IFERROR(__xludf.DUMMYFUNCTION("GOOGLETRANSLATE(B960, ""en"", ""fa"")
"),"بازاریابی ایمیلی")</f>
        <v>بازاریابی ایمیلی</v>
      </c>
      <c r="G960" s="1" t="str">
        <f>IFERROR(__xludf.DUMMYFUNCTION("GOOGLETRANSLATE(C960, ""en"", ""fa"")
"),"درباره تأثیر استفاده از تکنیک‌های فوریت و کمیاب در کمپین‌های ایمیل، مانند پیشنهادات با زمان محدود یا اعلان‌های سهام کم، برای افزایش نرخ تبدیل بحث کنید.")</f>
        <v>درباره تأثیر استفاده از تکنیک‌های فوریت و کمیاب در کمپین‌های ایمیل، مانند پیشنهادات با زمان محدود یا اعلان‌های سهام کم، برای افزایش نرخ تبدیل بحث کنید.</v>
      </c>
      <c r="H960" s="1"/>
      <c r="I960" s="1"/>
      <c r="J960" s="1"/>
      <c r="K960" s="1"/>
      <c r="L960" s="1"/>
      <c r="M960" s="1"/>
      <c r="N960" s="1"/>
      <c r="O960" s="1"/>
      <c r="P960" s="1"/>
      <c r="Q960" s="1"/>
      <c r="R960" s="1"/>
      <c r="S960" s="1"/>
      <c r="T960" s="1"/>
      <c r="U960" s="1"/>
      <c r="V960" s="1"/>
      <c r="W960" s="1"/>
      <c r="X960" s="1"/>
      <c r="Y960" s="1"/>
      <c r="Z960" s="1"/>
      <c r="AA960" s="1"/>
      <c r="AB960" s="1"/>
    </row>
    <row r="961" ht="50.25" customHeight="1">
      <c r="A961" s="12">
        <v>957.0</v>
      </c>
      <c r="B961" s="13" t="s">
        <v>753</v>
      </c>
      <c r="C961" s="14" t="s">
        <v>966</v>
      </c>
      <c r="D961" s="1"/>
      <c r="E961" s="15"/>
      <c r="F961" s="1" t="str">
        <f>IFERROR(__xludf.DUMMYFUNCTION("GOOGLETRANSLATE(B961, ""en"", ""fa"")
"),"بازاریابی ایمیلی")</f>
        <v>بازاریابی ایمیلی</v>
      </c>
      <c r="G961" s="1" t="str">
        <f>IFERROR(__xludf.DUMMYFUNCTION("GOOGLETRANSLATE(C961, ""en"", ""fa"")
"),"نکاتی را برای بهینه‌سازی طراحی ایمیل برای دسترسی، از جمله استفاده از متن جایگزین برای تصاویر و استفاده از ترکیب‌های رنگی با کنتراست بالا به اشتراک بگذارید.")</f>
        <v>نکاتی را برای بهینه‌سازی طراحی ایمیل برای دسترسی، از جمله استفاده از متن جایگزین برای تصاویر و استفاده از ترکیب‌های رنگی با کنتراست بالا به اشتراک بگذارید.</v>
      </c>
      <c r="H961" s="1"/>
      <c r="I961" s="1"/>
      <c r="J961" s="1"/>
      <c r="K961" s="1"/>
      <c r="L961" s="1"/>
      <c r="M961" s="1"/>
      <c r="N961" s="1"/>
      <c r="O961" s="1"/>
      <c r="P961" s="1"/>
      <c r="Q961" s="1"/>
      <c r="R961" s="1"/>
      <c r="S961" s="1"/>
      <c r="T961" s="1"/>
      <c r="U961" s="1"/>
      <c r="V961" s="1"/>
      <c r="W961" s="1"/>
      <c r="X961" s="1"/>
      <c r="Y961" s="1"/>
      <c r="Z961" s="1"/>
      <c r="AA961" s="1"/>
      <c r="AB961" s="1"/>
    </row>
    <row r="962" ht="50.25" customHeight="1">
      <c r="A962" s="12">
        <v>958.0</v>
      </c>
      <c r="B962" s="13" t="s">
        <v>753</v>
      </c>
      <c r="C962" s="14" t="s">
        <v>967</v>
      </c>
      <c r="D962" s="1"/>
      <c r="E962" s="15"/>
      <c r="F962" s="1" t="str">
        <f>IFERROR(__xludf.DUMMYFUNCTION("GOOGLETRANSLATE(B962, ""en"", ""fa"")
"),"بازاریابی ایمیلی")</f>
        <v>بازاریابی ایمیلی</v>
      </c>
      <c r="G962" s="1" t="str">
        <f>IFERROR(__xludf.DUMMYFUNCTION("GOOGLETRANSLATE(C962, ""en"", ""fa"")
"),"مفهوم استفاده از محرک‌های رفتاری برای ارسال ایمیل‌های خودکار براساس اقدامات خاص، مانند رها کردن سبد خرید یا بازدید از محصول را بررسی کنید.")</f>
        <v>مفهوم استفاده از محرک‌های رفتاری برای ارسال ایمیل‌های خودکار براساس اقدامات خاص، مانند رها کردن سبد خرید یا بازدید از محصول را بررسی کنید.</v>
      </c>
      <c r="H962" s="1"/>
      <c r="I962" s="1"/>
      <c r="J962" s="1"/>
      <c r="K962" s="1"/>
      <c r="L962" s="1"/>
      <c r="M962" s="1"/>
      <c r="N962" s="1"/>
      <c r="O962" s="1"/>
      <c r="P962" s="1"/>
      <c r="Q962" s="1"/>
      <c r="R962" s="1"/>
      <c r="S962" s="1"/>
      <c r="T962" s="1"/>
      <c r="U962" s="1"/>
      <c r="V962" s="1"/>
      <c r="W962" s="1"/>
      <c r="X962" s="1"/>
      <c r="Y962" s="1"/>
      <c r="Z962" s="1"/>
      <c r="AA962" s="1"/>
      <c r="AB962" s="1"/>
    </row>
    <row r="963" ht="50.25" customHeight="1">
      <c r="A963" s="12">
        <v>959.0</v>
      </c>
      <c r="B963" s="13" t="s">
        <v>753</v>
      </c>
      <c r="C963" s="14" t="s">
        <v>968</v>
      </c>
      <c r="D963" s="1"/>
      <c r="E963" s="15"/>
      <c r="F963" s="1" t="str">
        <f>IFERROR(__xludf.DUMMYFUNCTION("GOOGLETRANSLATE(B963, ""en"", ""fa"")
"),"بازاریابی ایمیلی")</f>
        <v>بازاریابی ایمیلی</v>
      </c>
      <c r="G963" s="1" t="str">
        <f>IFERROR(__xludf.DUMMYFUNCTION("GOOGLETRANSLATE(C963, ""en"", ""fa"")
"),"درباره نقش استفاده از داستان سرایی در بازاریابی ایمیلی برای ارتباط با مشترکین در سطح احساسی و ایجاد وفاداری به برند بحث کنید.")</f>
        <v>درباره نقش استفاده از داستان سرایی در بازاریابی ایمیلی برای ارتباط با مشترکین در سطح احساسی و ایجاد وفاداری به برند بحث کنید.</v>
      </c>
      <c r="H963" s="1"/>
      <c r="I963" s="1"/>
      <c r="J963" s="1"/>
      <c r="K963" s="1"/>
      <c r="L963" s="1"/>
      <c r="M963" s="1"/>
      <c r="N963" s="1"/>
      <c r="O963" s="1"/>
      <c r="P963" s="1"/>
      <c r="Q963" s="1"/>
      <c r="R963" s="1"/>
      <c r="S963" s="1"/>
      <c r="T963" s="1"/>
      <c r="U963" s="1"/>
      <c r="V963" s="1"/>
      <c r="W963" s="1"/>
      <c r="X963" s="1"/>
      <c r="Y963" s="1"/>
      <c r="Z963" s="1"/>
      <c r="AA963" s="1"/>
      <c r="AB963" s="1"/>
    </row>
    <row r="964" ht="50.25" customHeight="1">
      <c r="A964" s="12">
        <v>960.0</v>
      </c>
      <c r="B964" s="13" t="s">
        <v>753</v>
      </c>
      <c r="C964" s="14" t="s">
        <v>969</v>
      </c>
      <c r="D964" s="1"/>
      <c r="E964" s="15"/>
      <c r="F964" s="1" t="str">
        <f>IFERROR(__xludf.DUMMYFUNCTION("GOOGLETRANSLATE(B964, ""en"", ""fa"")
"),"بازاریابی ایمیلی")</f>
        <v>بازاریابی ایمیلی</v>
      </c>
      <c r="G964" s="1" t="str">
        <f>IFERROR(__xludf.DUMMYFUNCTION("GOOGLETRANSLATE(C964, ""en"", ""fa"")
"),"استراتژی های استفاده از ایمیل برای پرورش سرنخ ها را به اشتراک بگذارید و آنها را در سفر خریدار از آگاهی تا خرید راهنمایی کنید.")</f>
        <v>استراتژی های استفاده از ایمیل برای پرورش سرنخ ها را به اشتراک بگذارید و آنها را در سفر خریدار از آگاهی تا خرید راهنمایی کنید.</v>
      </c>
      <c r="H964" s="1"/>
      <c r="I964" s="1"/>
      <c r="J964" s="1"/>
      <c r="K964" s="1"/>
      <c r="L964" s="1"/>
      <c r="M964" s="1"/>
      <c r="N964" s="1"/>
      <c r="O964" s="1"/>
      <c r="P964" s="1"/>
      <c r="Q964" s="1"/>
      <c r="R964" s="1"/>
      <c r="S964" s="1"/>
      <c r="T964" s="1"/>
      <c r="U964" s="1"/>
      <c r="V964" s="1"/>
      <c r="W964" s="1"/>
      <c r="X964" s="1"/>
      <c r="Y964" s="1"/>
      <c r="Z964" s="1"/>
      <c r="AA964" s="1"/>
      <c r="AB964" s="1"/>
    </row>
    <row r="965" ht="50.25" customHeight="1">
      <c r="A965" s="12">
        <v>961.0</v>
      </c>
      <c r="B965" s="13" t="s">
        <v>753</v>
      </c>
      <c r="C965" s="14" t="s">
        <v>970</v>
      </c>
      <c r="D965" s="1"/>
      <c r="E965" s="15"/>
      <c r="F965" s="1" t="str">
        <f>IFERROR(__xludf.DUMMYFUNCTION("GOOGLETRANSLATE(B965, ""en"", ""fa"")
"),"بازاریابی ایمیلی")</f>
        <v>بازاریابی ایمیلی</v>
      </c>
      <c r="G965" s="1" t="str">
        <f>IFERROR(__xludf.DUMMYFUNCTION("GOOGLETRANSLATE(C965, ""en"", ""fa"")
"),"مزایای استفاده از شخصی‌سازی را در خطوط موضوع ایمیل برای جلب توجه مشترکین و افزایش نرخ باز کردن جستجو کنید.")</f>
        <v>مزایای استفاده از شخصی‌سازی را در خطوط موضوع ایمیل برای جلب توجه مشترکین و افزایش نرخ باز کردن جستجو کنید.</v>
      </c>
      <c r="H965" s="1"/>
      <c r="I965" s="1"/>
      <c r="J965" s="1"/>
      <c r="K965" s="1"/>
      <c r="L965" s="1"/>
      <c r="M965" s="1"/>
      <c r="N965" s="1"/>
      <c r="O965" s="1"/>
      <c r="P965" s="1"/>
      <c r="Q965" s="1"/>
      <c r="R965" s="1"/>
      <c r="S965" s="1"/>
      <c r="T965" s="1"/>
      <c r="U965" s="1"/>
      <c r="V965" s="1"/>
      <c r="W965" s="1"/>
      <c r="X965" s="1"/>
      <c r="Y965" s="1"/>
      <c r="Z965" s="1"/>
      <c r="AA965" s="1"/>
      <c r="AB965" s="1"/>
    </row>
    <row r="966" ht="50.25" customHeight="1">
      <c r="A966" s="12">
        <v>962.0</v>
      </c>
      <c r="B966" s="13" t="s">
        <v>753</v>
      </c>
      <c r="C966" s="14" t="s">
        <v>971</v>
      </c>
      <c r="D966" s="1"/>
      <c r="E966" s="15"/>
      <c r="F966" s="1" t="str">
        <f>IFERROR(__xludf.DUMMYFUNCTION("GOOGLETRANSLATE(B966, ""en"", ""fa"")
"),"بازاریابی ایمیلی")</f>
        <v>بازاریابی ایمیلی</v>
      </c>
      <c r="G966" s="1" t="str">
        <f>IFERROR(__xludf.DUMMYFUNCTION("GOOGLETRANSLATE(C966, ""en"", ""fa"")
"),"درباره تأثیر استفاده از بازاریابی ایمیلی برای ترویج رویدادهای خاص، مانند راه اندازی محصول یا وبینارها بحث کنید.")</f>
        <v>درباره تأثیر استفاده از بازاریابی ایمیلی برای ترویج رویدادهای خاص، مانند راه اندازی محصول یا وبینارها بحث کنید.</v>
      </c>
      <c r="H966" s="1"/>
      <c r="I966" s="1"/>
      <c r="J966" s="1"/>
      <c r="K966" s="1"/>
      <c r="L966" s="1"/>
      <c r="M966" s="1"/>
      <c r="N966" s="1"/>
      <c r="O966" s="1"/>
      <c r="P966" s="1"/>
      <c r="Q966" s="1"/>
      <c r="R966" s="1"/>
      <c r="S966" s="1"/>
      <c r="T966" s="1"/>
      <c r="U966" s="1"/>
      <c r="V966" s="1"/>
      <c r="W966" s="1"/>
      <c r="X966" s="1"/>
      <c r="Y966" s="1"/>
      <c r="Z966" s="1"/>
      <c r="AA966" s="1"/>
      <c r="AB966" s="1"/>
    </row>
    <row r="967" ht="50.25" customHeight="1">
      <c r="A967" s="12">
        <v>963.0</v>
      </c>
      <c r="B967" s="13" t="s">
        <v>753</v>
      </c>
      <c r="C967" s="14" t="s">
        <v>972</v>
      </c>
      <c r="D967" s="1"/>
      <c r="E967" s="15"/>
      <c r="F967" s="1" t="str">
        <f>IFERROR(__xludf.DUMMYFUNCTION("GOOGLETRANSLATE(B967, ""en"", ""fa"")
"),"بازاریابی ایمیلی")</f>
        <v>بازاریابی ایمیلی</v>
      </c>
      <c r="G967" s="1" t="str">
        <f>IFERROR(__xludf.DUMMYFUNCTION("GOOGLETRANSLATE(C967, ""en"", ""fa"")
"),"نکاتی را برای بهینه‌سازی محتوای ایمیل برای دستگاه‌های تلفن همراه، از جمله طراحی واکنش‌گرا و پیام‌رسانی مختصر به اشتراک بگذارید.")</f>
        <v>نکاتی را برای بهینه‌سازی محتوای ایمیل برای دستگاه‌های تلفن همراه، از جمله طراحی واکنش‌گرا و پیام‌رسانی مختصر به اشتراک بگذارید.</v>
      </c>
      <c r="H967" s="1"/>
      <c r="I967" s="1"/>
      <c r="J967" s="1"/>
      <c r="K967" s="1"/>
      <c r="L967" s="1"/>
      <c r="M967" s="1"/>
      <c r="N967" s="1"/>
      <c r="O967" s="1"/>
      <c r="P967" s="1"/>
      <c r="Q967" s="1"/>
      <c r="R967" s="1"/>
      <c r="S967" s="1"/>
      <c r="T967" s="1"/>
      <c r="U967" s="1"/>
      <c r="V967" s="1"/>
      <c r="W967" s="1"/>
      <c r="X967" s="1"/>
      <c r="Y967" s="1"/>
      <c r="Z967" s="1"/>
      <c r="AA967" s="1"/>
      <c r="AB967" s="1"/>
    </row>
    <row r="968" ht="50.25" customHeight="1">
      <c r="A968" s="12">
        <v>964.0</v>
      </c>
      <c r="B968" s="13" t="s">
        <v>753</v>
      </c>
      <c r="C968" s="14" t="s">
        <v>973</v>
      </c>
      <c r="D968" s="1"/>
      <c r="E968" s="15"/>
      <c r="F968" s="1" t="str">
        <f>IFERROR(__xludf.DUMMYFUNCTION("GOOGLETRANSLATE(B968, ""en"", ""fa"")
"),"بازاریابی ایمیلی")</f>
        <v>بازاریابی ایمیلی</v>
      </c>
      <c r="G968" s="1" t="str">
        <f>IFERROR(__xludf.DUMMYFUNCTION("GOOGLETRANSLATE(C968, ""en"", ""fa"")
"),"مفهوم استفاده از ایمیل‌های فعال‌سازی مجدد برای بازگرداندن مشترکین غیرفعال و تشویق آن‌ها برای تعامل مجدد با برند را بررسی کنید.")</f>
        <v>مفهوم استفاده از ایمیل‌های فعال‌سازی مجدد برای بازگرداندن مشترکین غیرفعال و تشویق آن‌ها برای تعامل مجدد با برند را بررسی کنید.</v>
      </c>
      <c r="H968" s="1"/>
      <c r="I968" s="1"/>
      <c r="J968" s="1"/>
      <c r="K968" s="1"/>
      <c r="L968" s="1"/>
      <c r="M968" s="1"/>
      <c r="N968" s="1"/>
      <c r="O968" s="1"/>
      <c r="P968" s="1"/>
      <c r="Q968" s="1"/>
      <c r="R968" s="1"/>
      <c r="S968" s="1"/>
      <c r="T968" s="1"/>
      <c r="U968" s="1"/>
      <c r="V968" s="1"/>
      <c r="W968" s="1"/>
      <c r="X968" s="1"/>
      <c r="Y968" s="1"/>
      <c r="Z968" s="1"/>
      <c r="AA968" s="1"/>
      <c r="AB968" s="1"/>
    </row>
    <row r="969" ht="50.25" customHeight="1">
      <c r="A969" s="12">
        <v>965.0</v>
      </c>
      <c r="B969" s="13" t="s">
        <v>753</v>
      </c>
      <c r="C969" s="14" t="s">
        <v>974</v>
      </c>
      <c r="D969" s="1"/>
      <c r="E969" s="15"/>
      <c r="F969" s="1" t="str">
        <f>IFERROR(__xludf.DUMMYFUNCTION("GOOGLETRANSLATE(B969, ""en"", ""fa"")
"),"بازاریابی ایمیلی")</f>
        <v>بازاریابی ایمیلی</v>
      </c>
      <c r="G969" s="1" t="str">
        <f>IFERROR(__xludf.DUMMYFUNCTION("GOOGLETRANSLATE(C969, ""en"", ""fa"")
"),"در مورد نقش استفاده از تقسیم بندی برای ارسال ایمیل های هدفمند فروش یا فروش متقابل به مشتریانی که قبلاً خرید کرده اند بحث کنید.")</f>
        <v>در مورد نقش استفاده از تقسیم بندی برای ارسال ایمیل های هدفمند فروش یا فروش متقابل به مشتریانی که قبلاً خرید کرده اند بحث کنید.</v>
      </c>
      <c r="H969" s="1"/>
      <c r="I969" s="1"/>
      <c r="J969" s="1"/>
      <c r="K969" s="1"/>
      <c r="L969" s="1"/>
      <c r="M969" s="1"/>
      <c r="N969" s="1"/>
      <c r="O969" s="1"/>
      <c r="P969" s="1"/>
      <c r="Q969" s="1"/>
      <c r="R969" s="1"/>
      <c r="S969" s="1"/>
      <c r="T969" s="1"/>
      <c r="U969" s="1"/>
      <c r="V969" s="1"/>
      <c r="W969" s="1"/>
      <c r="X969" s="1"/>
      <c r="Y969" s="1"/>
      <c r="Z969" s="1"/>
      <c r="AA969" s="1"/>
      <c r="AB969" s="1"/>
    </row>
    <row r="970" ht="50.25" customHeight="1">
      <c r="A970" s="12">
        <v>966.0</v>
      </c>
      <c r="B970" s="13" t="s">
        <v>753</v>
      </c>
      <c r="C970" s="14" t="s">
        <v>975</v>
      </c>
      <c r="D970" s="1"/>
      <c r="E970" s="15"/>
      <c r="F970" s="1" t="str">
        <f>IFERROR(__xludf.DUMMYFUNCTION("GOOGLETRANSLATE(B970, ""en"", ""fa"")
"),"بازاریابی ایمیلی")</f>
        <v>بازاریابی ایمیلی</v>
      </c>
      <c r="G970" s="1" t="str">
        <f>IFERROR(__xludf.DUMMYFUNCTION("GOOGLETRANSLATE(C970, ""en"", ""fa"")
"),"استراتژی‌های استفاده از ایمیل برای جمع‌آوری بازخورد و بینش مشتری، کمک به بهبود محصولات، خدمات و تجربه کلی مشتری را به اشتراک بگذارید.")</f>
        <v>استراتژی‌های استفاده از ایمیل برای جمع‌آوری بازخورد و بینش مشتری، کمک به بهبود محصولات، خدمات و تجربه کلی مشتری را به اشتراک بگذارید.</v>
      </c>
      <c r="H970" s="1"/>
      <c r="I970" s="1"/>
      <c r="J970" s="1"/>
      <c r="K970" s="1"/>
      <c r="L970" s="1"/>
      <c r="M970" s="1"/>
      <c r="N970" s="1"/>
      <c r="O970" s="1"/>
      <c r="P970" s="1"/>
      <c r="Q970" s="1"/>
      <c r="R970" s="1"/>
      <c r="S970" s="1"/>
      <c r="T970" s="1"/>
      <c r="U970" s="1"/>
      <c r="V970" s="1"/>
      <c r="W970" s="1"/>
      <c r="X970" s="1"/>
      <c r="Y970" s="1"/>
      <c r="Z970" s="1"/>
      <c r="AA970" s="1"/>
      <c r="AB970" s="1"/>
    </row>
    <row r="971" ht="50.25" customHeight="1">
      <c r="A971" s="12">
        <v>967.0</v>
      </c>
      <c r="B971" s="13" t="s">
        <v>753</v>
      </c>
      <c r="C971" s="14" t="s">
        <v>976</v>
      </c>
      <c r="D971" s="1"/>
      <c r="E971" s="15"/>
      <c r="F971" s="1" t="str">
        <f>IFERROR(__xludf.DUMMYFUNCTION("GOOGLETRANSLATE(B971, ""en"", ""fa"")
"),"بازاریابی ایمیلی")</f>
        <v>بازاریابی ایمیلی</v>
      </c>
      <c r="G971" s="1" t="str">
        <f>IFERROR(__xludf.DUMMYFUNCTION("GOOGLETRANSLATE(C971, ""en"", ""fa"")
"),"مزایای استفاده از توالی ایمیل خودکار برای پرورش سرنخ ها در طول زمان و ایجاد روابط را بررسی کنید.")</f>
        <v>مزایای استفاده از توالی ایمیل خودکار برای پرورش سرنخ ها در طول زمان و ایجاد روابط را بررسی کنید.</v>
      </c>
      <c r="H971" s="1"/>
      <c r="I971" s="1"/>
      <c r="J971" s="1"/>
      <c r="K971" s="1"/>
      <c r="L971" s="1"/>
      <c r="M971" s="1"/>
      <c r="N971" s="1"/>
      <c r="O971" s="1"/>
      <c r="P971" s="1"/>
      <c r="Q971" s="1"/>
      <c r="R971" s="1"/>
      <c r="S971" s="1"/>
      <c r="T971" s="1"/>
      <c r="U971" s="1"/>
      <c r="V971" s="1"/>
      <c r="W971" s="1"/>
      <c r="X971" s="1"/>
      <c r="Y971" s="1"/>
      <c r="Z971" s="1"/>
      <c r="AA971" s="1"/>
      <c r="AB971" s="1"/>
    </row>
    <row r="972" ht="50.25" customHeight="1">
      <c r="A972" s="12">
        <v>968.0</v>
      </c>
      <c r="B972" s="13" t="s">
        <v>753</v>
      </c>
      <c r="C972" s="14" t="s">
        <v>977</v>
      </c>
      <c r="D972" s="1"/>
      <c r="E972" s="15"/>
      <c r="F972" s="1" t="str">
        <f>IFERROR(__xludf.DUMMYFUNCTION("GOOGLETRANSLATE(B972, ""en"", ""fa"")
"),"بازاریابی ایمیلی")</f>
        <v>بازاریابی ایمیلی</v>
      </c>
      <c r="G972" s="1" t="str">
        <f>IFERROR(__xludf.DUMMYFUNCTION("GOOGLETRANSLATE(C972, ""en"", ""fa"")
"),"در مورد تأثیر استفاده از دکمه های اشتراک گذاری اجتماعی در ایمیل ها برای تشویق مشترکین به اشتراک گذاری محتوا با شبکه های اجتماعی خود بحث کنید و دامنه دسترسی برند را افزایش دهید.")</f>
        <v>در مورد تأثیر استفاده از دکمه های اشتراک گذاری اجتماعی در ایمیل ها برای تشویق مشترکین به اشتراک گذاری محتوا با شبکه های اجتماعی خود بحث کنید و دامنه دسترسی برند را افزایش دهید.</v>
      </c>
      <c r="H972" s="1"/>
      <c r="I972" s="1"/>
      <c r="J972" s="1"/>
      <c r="K972" s="1"/>
      <c r="L972" s="1"/>
      <c r="M972" s="1"/>
      <c r="N972" s="1"/>
      <c r="O972" s="1"/>
      <c r="P972" s="1"/>
      <c r="Q972" s="1"/>
      <c r="R972" s="1"/>
      <c r="S972" s="1"/>
      <c r="T972" s="1"/>
      <c r="U972" s="1"/>
      <c r="V972" s="1"/>
      <c r="W972" s="1"/>
      <c r="X972" s="1"/>
      <c r="Y972" s="1"/>
      <c r="Z972" s="1"/>
      <c r="AA972" s="1"/>
      <c r="AB972" s="1"/>
    </row>
    <row r="973" ht="50.25" customHeight="1">
      <c r="A973" s="12">
        <v>969.0</v>
      </c>
      <c r="B973" s="13" t="s">
        <v>753</v>
      </c>
      <c r="C973" s="14" t="s">
        <v>978</v>
      </c>
      <c r="D973" s="1"/>
      <c r="E973" s="15"/>
      <c r="F973" s="1" t="str">
        <f>IFERROR(__xludf.DUMMYFUNCTION("GOOGLETRANSLATE(B973, ""en"", ""fa"")
"),"بازاریابی ایمیلی")</f>
        <v>بازاریابی ایمیلی</v>
      </c>
      <c r="G973" s="1" t="str">
        <f>IFERROR(__xludf.DUMMYFUNCTION("GOOGLETRANSLATE(C973, ""en"", ""fa"")
"),"نکاتی را برای ایجاد دکمه‌های فراخوان قانع‌کننده که نرخ کلیک و تبدیل را افزایش می‌دهند، به اشتراک بگذارید.")</f>
        <v>نکاتی را برای ایجاد دکمه‌های فراخوان قانع‌کننده که نرخ کلیک و تبدیل را افزایش می‌دهند، به اشتراک بگذارید.</v>
      </c>
      <c r="H973" s="1"/>
      <c r="I973" s="1"/>
      <c r="J973" s="1"/>
      <c r="K973" s="1"/>
      <c r="L973" s="1"/>
      <c r="M973" s="1"/>
      <c r="N973" s="1"/>
      <c r="O973" s="1"/>
      <c r="P973" s="1"/>
      <c r="Q973" s="1"/>
      <c r="R973" s="1"/>
      <c r="S973" s="1"/>
      <c r="T973" s="1"/>
      <c r="U973" s="1"/>
      <c r="V973" s="1"/>
      <c r="W973" s="1"/>
      <c r="X973" s="1"/>
      <c r="Y973" s="1"/>
      <c r="Z973" s="1"/>
      <c r="AA973" s="1"/>
      <c r="AB973" s="1"/>
    </row>
    <row r="974" ht="50.25" customHeight="1">
      <c r="A974" s="12">
        <v>970.0</v>
      </c>
      <c r="B974" s="13" t="s">
        <v>753</v>
      </c>
      <c r="C974" s="14" t="s">
        <v>979</v>
      </c>
      <c r="D974" s="1"/>
      <c r="E974" s="15"/>
      <c r="F974" s="1" t="str">
        <f>IFERROR(__xludf.DUMMYFUNCTION("GOOGLETRANSLATE(B974, ""en"", ""fa"")
"),"بازاریابی ایمیلی")</f>
        <v>بازاریابی ایمیلی</v>
      </c>
      <c r="G974" s="1" t="str">
        <f>IFERROR(__xludf.DUMMYFUNCTION("GOOGLETRANSLATE(C974, ""en"", ""fa"")
"),"مفهوم استفاده از توصیه‌های شخصی‌شده در بازاریابی ایمیلی را برای ارائه پیشنهادات محصول متناسب بر اساس ترجیحات و رفتار مشتریان بررسی کنید.")</f>
        <v>مفهوم استفاده از توصیه‌های شخصی‌شده در بازاریابی ایمیلی را برای ارائه پیشنهادات محصول متناسب بر اساس ترجیحات و رفتار مشتریان بررسی کنید.</v>
      </c>
      <c r="H974" s="1"/>
      <c r="I974" s="1"/>
      <c r="J974" s="1"/>
      <c r="K974" s="1"/>
      <c r="L974" s="1"/>
      <c r="M974" s="1"/>
      <c r="N974" s="1"/>
      <c r="O974" s="1"/>
      <c r="P974" s="1"/>
      <c r="Q974" s="1"/>
      <c r="R974" s="1"/>
      <c r="S974" s="1"/>
      <c r="T974" s="1"/>
      <c r="U974" s="1"/>
      <c r="V974" s="1"/>
      <c r="W974" s="1"/>
      <c r="X974" s="1"/>
      <c r="Y974" s="1"/>
      <c r="Z974" s="1"/>
      <c r="AA974" s="1"/>
      <c r="AB974" s="1"/>
    </row>
    <row r="975" ht="50.25" customHeight="1">
      <c r="A975" s="12">
        <v>971.0</v>
      </c>
      <c r="B975" s="13" t="s">
        <v>753</v>
      </c>
      <c r="C975" s="14" t="s">
        <v>980</v>
      </c>
      <c r="D975" s="1"/>
      <c r="E975" s="15"/>
      <c r="F975" s="1" t="str">
        <f>IFERROR(__xludf.DUMMYFUNCTION("GOOGLETRANSLATE(B975, ""en"", ""fa"")
"),"بازاریابی ایمیلی")</f>
        <v>بازاریابی ایمیلی</v>
      </c>
      <c r="G975" s="1" t="str">
        <f>IFERROR(__xludf.DUMMYFUNCTION("GOOGLETRANSLATE(C975, ""en"", ""fa"")
"),"درباره نقش استفاده از ایمیل برای اعلام تبلیغات ویژه، تخفیف‌ها یا پیشنهادات انحصاری برای پاداش دادن و حفظ مشتریان وفادار بحث کنید.")</f>
        <v>درباره نقش استفاده از ایمیل برای اعلام تبلیغات ویژه، تخفیف‌ها یا پیشنهادات انحصاری برای پاداش دادن و حفظ مشتریان وفادار بحث کنید.</v>
      </c>
      <c r="H975" s="1"/>
      <c r="I975" s="1"/>
      <c r="J975" s="1"/>
      <c r="K975" s="1"/>
      <c r="L975" s="1"/>
      <c r="M975" s="1"/>
      <c r="N975" s="1"/>
      <c r="O975" s="1"/>
      <c r="P975" s="1"/>
      <c r="Q975" s="1"/>
      <c r="R975" s="1"/>
      <c r="S975" s="1"/>
      <c r="T975" s="1"/>
      <c r="U975" s="1"/>
      <c r="V975" s="1"/>
      <c r="W975" s="1"/>
      <c r="X975" s="1"/>
      <c r="Y975" s="1"/>
      <c r="Z975" s="1"/>
      <c r="AA975" s="1"/>
      <c r="AB975" s="1"/>
    </row>
    <row r="976" ht="50.25" customHeight="1">
      <c r="A976" s="12">
        <v>972.0</v>
      </c>
      <c r="B976" s="13" t="s">
        <v>753</v>
      </c>
      <c r="C976" s="14" t="s">
        <v>981</v>
      </c>
      <c r="D976" s="1"/>
      <c r="E976" s="15"/>
      <c r="F976" s="1" t="str">
        <f>IFERROR(__xludf.DUMMYFUNCTION("GOOGLETRANSLATE(B976, ""en"", ""fa"")
"),"بازاریابی ایمیلی")</f>
        <v>بازاریابی ایمیلی</v>
      </c>
      <c r="G976" s="1" t="str">
        <f>IFERROR(__xludf.DUMMYFUNCTION("GOOGLETRANSLATE(C976, ""en"", ""fa"")
"),"استراتژی های استفاده از ایمیل مارکتینگ را برای آموزش مشترکین و ارائه اطلاعات ارزشمند به اشتراک بگذارید و برند را به عنوان یک متخصص صنعت قرار دهید.")</f>
        <v>استراتژی های استفاده از ایمیل مارکتینگ را برای آموزش مشترکین و ارائه اطلاعات ارزشمند به اشتراک بگذارید و برند را به عنوان یک متخصص صنعت قرار دهید.</v>
      </c>
      <c r="H976" s="1"/>
      <c r="I976" s="1"/>
      <c r="J976" s="1"/>
      <c r="K976" s="1"/>
      <c r="L976" s="1"/>
      <c r="M976" s="1"/>
      <c r="N976" s="1"/>
      <c r="O976" s="1"/>
      <c r="P976" s="1"/>
      <c r="Q976" s="1"/>
      <c r="R976" s="1"/>
      <c r="S976" s="1"/>
      <c r="T976" s="1"/>
      <c r="U976" s="1"/>
      <c r="V976" s="1"/>
      <c r="W976" s="1"/>
      <c r="X976" s="1"/>
      <c r="Y976" s="1"/>
      <c r="Z976" s="1"/>
      <c r="AA976" s="1"/>
      <c r="AB976" s="1"/>
    </row>
    <row r="977" ht="50.25" customHeight="1">
      <c r="A977" s="12">
        <v>973.0</v>
      </c>
      <c r="B977" s="13" t="s">
        <v>753</v>
      </c>
      <c r="C977" s="14" t="s">
        <v>982</v>
      </c>
      <c r="D977" s="1"/>
      <c r="E977" s="15"/>
      <c r="F977" s="1" t="str">
        <f>IFERROR(__xludf.DUMMYFUNCTION("GOOGLETRANSLATE(B977, ""en"", ""fa"")
"),"بازاریابی ایمیلی")</f>
        <v>بازاریابی ایمیلی</v>
      </c>
      <c r="G977" s="1" t="str">
        <f>IFERROR(__xludf.DUMMYFUNCTION("GOOGLETRANSLATE(C977, ""en"", ""fa"")
"),"مزایای استفاده از ایمیل‌های تراکنشی، مانند تأیید سفارش یا اعلان‌های حمل و نقل، برای تقویت اعتماد و تعامل مشتری را بررسی کنید.")</f>
        <v>مزایای استفاده از ایمیل‌های تراکنشی، مانند تأیید سفارش یا اعلان‌های حمل و نقل، برای تقویت اعتماد و تعامل مشتری را بررسی کنید.</v>
      </c>
      <c r="H977" s="1"/>
      <c r="I977" s="1"/>
      <c r="J977" s="1"/>
      <c r="K977" s="1"/>
      <c r="L977" s="1"/>
      <c r="M977" s="1"/>
      <c r="N977" s="1"/>
      <c r="O977" s="1"/>
      <c r="P977" s="1"/>
      <c r="Q977" s="1"/>
      <c r="R977" s="1"/>
      <c r="S977" s="1"/>
      <c r="T977" s="1"/>
      <c r="U977" s="1"/>
      <c r="V977" s="1"/>
      <c r="W977" s="1"/>
      <c r="X977" s="1"/>
      <c r="Y977" s="1"/>
      <c r="Z977" s="1"/>
      <c r="AA977" s="1"/>
      <c r="AB977" s="1"/>
    </row>
    <row r="978" ht="50.25" customHeight="1">
      <c r="A978" s="12">
        <v>974.0</v>
      </c>
      <c r="B978" s="13" t="s">
        <v>753</v>
      </c>
      <c r="C978" s="14" t="s">
        <v>983</v>
      </c>
      <c r="D978" s="1"/>
      <c r="E978" s="15"/>
      <c r="F978" s="1" t="str">
        <f>IFERROR(__xludf.DUMMYFUNCTION("GOOGLETRANSLATE(B978, ""en"", ""fa"")
"),"بازاریابی ایمیلی")</f>
        <v>بازاریابی ایمیلی</v>
      </c>
      <c r="G978" s="1" t="str">
        <f>IFERROR(__xludf.DUMMYFUNCTION("GOOGLETRANSLATE(C978, ""en"", ""fa"")
"),"درباره تأثیر استفاده از ایمیل های تولد یا سالگرد خودکار برای جشن گرفتن مشتریان و ارائه مشوق ها یا تخفیف های ویژه بحث کنید.")</f>
        <v>درباره تأثیر استفاده از ایمیل های تولد یا سالگرد خودکار برای جشن گرفتن مشتریان و ارائه مشوق ها یا تخفیف های ویژه بحث کنید.</v>
      </c>
      <c r="H978" s="1"/>
      <c r="I978" s="1"/>
      <c r="J978" s="1"/>
      <c r="K978" s="1"/>
      <c r="L978" s="1"/>
      <c r="M978" s="1"/>
      <c r="N978" s="1"/>
      <c r="O978" s="1"/>
      <c r="P978" s="1"/>
      <c r="Q978" s="1"/>
      <c r="R978" s="1"/>
      <c r="S978" s="1"/>
      <c r="T978" s="1"/>
      <c r="U978" s="1"/>
      <c r="V978" s="1"/>
      <c r="W978" s="1"/>
      <c r="X978" s="1"/>
      <c r="Y978" s="1"/>
      <c r="Z978" s="1"/>
      <c r="AA978" s="1"/>
      <c r="AB978" s="1"/>
    </row>
    <row r="979" ht="50.25" customHeight="1">
      <c r="A979" s="12">
        <v>975.0</v>
      </c>
      <c r="B979" s="13" t="s">
        <v>753</v>
      </c>
      <c r="C979" s="14" t="s">
        <v>984</v>
      </c>
      <c r="D979" s="1"/>
      <c r="E979" s="15"/>
      <c r="F979" s="1" t="str">
        <f>IFERROR(__xludf.DUMMYFUNCTION("GOOGLETRANSLATE(B979, ""en"", ""fa"")
"),"بازاریابی ایمیلی")</f>
        <v>بازاریابی ایمیلی</v>
      </c>
      <c r="G979" s="1" t="str">
        <f>IFERROR(__xludf.DUMMYFUNCTION("GOOGLETRANSLATE(C979, ""en"", ""fa"")
"),"نکاتی را برای بهینه‌سازی محتوای ایمیل برای اسکیمرها به اشتراک بگذارید، از جمله استفاده از سرفصل‌های قابل اسکن، نقاط گلوله و پاراگراف‌های مختصر.")</f>
        <v>نکاتی را برای بهینه‌سازی محتوای ایمیل برای اسکیمرها به اشتراک بگذارید، از جمله استفاده از سرفصل‌های قابل اسکن، نقاط گلوله و پاراگراف‌های مختصر.</v>
      </c>
      <c r="H979" s="1"/>
      <c r="I979" s="1"/>
      <c r="J979" s="1"/>
      <c r="K979" s="1"/>
      <c r="L979" s="1"/>
      <c r="M979" s="1"/>
      <c r="N979" s="1"/>
      <c r="O979" s="1"/>
      <c r="P979" s="1"/>
      <c r="Q979" s="1"/>
      <c r="R979" s="1"/>
      <c r="S979" s="1"/>
      <c r="T979" s="1"/>
      <c r="U979" s="1"/>
      <c r="V979" s="1"/>
      <c r="W979" s="1"/>
      <c r="X979" s="1"/>
      <c r="Y979" s="1"/>
      <c r="Z979" s="1"/>
      <c r="AA979" s="1"/>
      <c r="AB979" s="1"/>
    </row>
    <row r="980" ht="50.25" customHeight="1">
      <c r="A980" s="12">
        <v>976.0</v>
      </c>
      <c r="B980" s="13" t="s">
        <v>753</v>
      </c>
      <c r="C980" s="14" t="s">
        <v>985</v>
      </c>
      <c r="D980" s="1"/>
      <c r="E980" s="15"/>
      <c r="F980" s="1" t="str">
        <f>IFERROR(__xludf.DUMMYFUNCTION("GOOGLETRANSLATE(B980, ""en"", ""fa"")
"),"بازاریابی ایمیلی")</f>
        <v>بازاریابی ایمیلی</v>
      </c>
      <c r="G980" s="1" t="str">
        <f>IFERROR(__xludf.DUMMYFUNCTION("GOOGLETRANSLATE(C980, ""en"", ""fa"")
"),"مفهوم استفاده از هدف‌گیری مجدد ایمیل را برای دستیابی به مشتریانی که به محصولات خاصی علاقه نشان داده‌اند یا از صفحات خاصی در وب‌سایت بازدید کرده‌اند، بررسی کنید.")</f>
        <v>مفهوم استفاده از هدف‌گیری مجدد ایمیل را برای دستیابی به مشتریانی که به محصولات خاصی علاقه نشان داده‌اند یا از صفحات خاصی در وب‌سایت بازدید کرده‌اند، بررسی کنید.</v>
      </c>
      <c r="H980" s="1"/>
      <c r="I980" s="1"/>
      <c r="J980" s="1"/>
      <c r="K980" s="1"/>
      <c r="L980" s="1"/>
      <c r="M980" s="1"/>
      <c r="N980" s="1"/>
      <c r="O980" s="1"/>
      <c r="P980" s="1"/>
      <c r="Q980" s="1"/>
      <c r="R980" s="1"/>
      <c r="S980" s="1"/>
      <c r="T980" s="1"/>
      <c r="U980" s="1"/>
      <c r="V980" s="1"/>
      <c r="W980" s="1"/>
      <c r="X980" s="1"/>
      <c r="Y980" s="1"/>
      <c r="Z980" s="1"/>
      <c r="AA980" s="1"/>
      <c r="AB980" s="1"/>
    </row>
    <row r="981" ht="50.25" customHeight="1">
      <c r="A981" s="12">
        <v>977.0</v>
      </c>
      <c r="B981" s="13" t="s">
        <v>753</v>
      </c>
      <c r="C981" s="14" t="s">
        <v>986</v>
      </c>
      <c r="D981" s="1"/>
      <c r="E981" s="15"/>
      <c r="F981" s="1" t="str">
        <f>IFERROR(__xludf.DUMMYFUNCTION("GOOGLETRANSLATE(B981, ""en"", ""fa"")
"),"بازاریابی ایمیلی")</f>
        <v>بازاریابی ایمیلی</v>
      </c>
      <c r="G981" s="1" t="str">
        <f>IFERROR(__xludf.DUMMYFUNCTION("GOOGLETRANSLATE(C981, ""en"", ""fa"")
"),"درباره نقش استفاده از تقسیم بندی مشتری برای ارسال محتوای شخصی سازی شده و پیشنهادهایی که با بخش های مختلف مخاطبان طنین انداز می شود، بحث کنید.")</f>
        <v>درباره نقش استفاده از تقسیم بندی مشتری برای ارسال محتوای شخصی سازی شده و پیشنهادهایی که با بخش های مختلف مخاطبان طنین انداز می شود، بحث کنید.</v>
      </c>
      <c r="H981" s="1"/>
      <c r="I981" s="1"/>
      <c r="J981" s="1"/>
      <c r="K981" s="1"/>
      <c r="L981" s="1"/>
      <c r="M981" s="1"/>
      <c r="N981" s="1"/>
      <c r="O981" s="1"/>
      <c r="P981" s="1"/>
      <c r="Q981" s="1"/>
      <c r="R981" s="1"/>
      <c r="S981" s="1"/>
      <c r="T981" s="1"/>
      <c r="U981" s="1"/>
      <c r="V981" s="1"/>
      <c r="W981" s="1"/>
      <c r="X981" s="1"/>
      <c r="Y981" s="1"/>
      <c r="Z981" s="1"/>
      <c r="AA981" s="1"/>
      <c r="AB981" s="1"/>
    </row>
    <row r="982" ht="50.25" customHeight="1">
      <c r="A982" s="12">
        <v>978.0</v>
      </c>
      <c r="B982" s="13" t="s">
        <v>753</v>
      </c>
      <c r="C982" s="14" t="s">
        <v>987</v>
      </c>
      <c r="D982" s="1"/>
      <c r="E982" s="15"/>
      <c r="F982" s="1" t="str">
        <f>IFERROR(__xludf.DUMMYFUNCTION("GOOGLETRANSLATE(B982, ""en"", ""fa"")
"),"بازاریابی ایمیلی")</f>
        <v>بازاریابی ایمیلی</v>
      </c>
      <c r="G982" s="1" t="str">
        <f>IFERROR(__xludf.DUMMYFUNCTION("GOOGLETRANSLATE(C982, ""en"", ""fa"")
"),"استراتژی‌های استفاده از ایمیل برای ترویج برنامه‌های وفاداری مشتری، تشویق خریدهای تکراری و حمایت از برند را به اشتراک بگذارید.")</f>
        <v>استراتژی‌های استفاده از ایمیل برای ترویج برنامه‌های وفاداری مشتری، تشویق خریدهای تکراری و حمایت از برند را به اشتراک بگذارید.</v>
      </c>
      <c r="H982" s="1"/>
      <c r="I982" s="1"/>
      <c r="J982" s="1"/>
      <c r="K982" s="1"/>
      <c r="L982" s="1"/>
      <c r="M982" s="1"/>
      <c r="N982" s="1"/>
      <c r="O982" s="1"/>
      <c r="P982" s="1"/>
      <c r="Q982" s="1"/>
      <c r="R982" s="1"/>
      <c r="S982" s="1"/>
      <c r="T982" s="1"/>
      <c r="U982" s="1"/>
      <c r="V982" s="1"/>
      <c r="W982" s="1"/>
      <c r="X982" s="1"/>
      <c r="Y982" s="1"/>
      <c r="Z982" s="1"/>
      <c r="AA982" s="1"/>
      <c r="AB982" s="1"/>
    </row>
    <row r="983" ht="50.25" customHeight="1">
      <c r="A983" s="12">
        <v>979.0</v>
      </c>
      <c r="B983" s="13" t="s">
        <v>753</v>
      </c>
      <c r="C983" s="14" t="s">
        <v>988</v>
      </c>
      <c r="D983" s="1"/>
      <c r="E983" s="15"/>
      <c r="F983" s="1" t="str">
        <f>IFERROR(__xludf.DUMMYFUNCTION("GOOGLETRANSLATE(B983, ""en"", ""fa"")
"),"بازاریابی ایمیلی")</f>
        <v>بازاریابی ایمیلی</v>
      </c>
      <c r="G983" s="1" t="str">
        <f>IFERROR(__xludf.DUMMYFUNCTION("GOOGLETRANSLATE(C983, ""en"", ""fa"")
"),"مزایای استفاده از ایمیل‌های بازخورد خودکار را برای جمع‌آوری نظرات و نظرات مشتریان که می‌توانند برای اثبات اجتماعی استفاده شوند، بررسی کنید.")</f>
        <v>مزایای استفاده از ایمیل‌های بازخورد خودکار را برای جمع‌آوری نظرات و نظرات مشتریان که می‌توانند برای اثبات اجتماعی استفاده شوند، بررسی کنید.</v>
      </c>
      <c r="H983" s="1"/>
      <c r="I983" s="1"/>
      <c r="J983" s="1"/>
      <c r="K983" s="1"/>
      <c r="L983" s="1"/>
      <c r="M983" s="1"/>
      <c r="N983" s="1"/>
      <c r="O983" s="1"/>
      <c r="P983" s="1"/>
      <c r="Q983" s="1"/>
      <c r="R983" s="1"/>
      <c r="S983" s="1"/>
      <c r="T983" s="1"/>
      <c r="U983" s="1"/>
      <c r="V983" s="1"/>
      <c r="W983" s="1"/>
      <c r="X983" s="1"/>
      <c r="Y983" s="1"/>
      <c r="Z983" s="1"/>
      <c r="AA983" s="1"/>
      <c r="AB983" s="1"/>
    </row>
    <row r="984" ht="50.25" customHeight="1">
      <c r="A984" s="12">
        <v>980.0</v>
      </c>
      <c r="B984" s="13" t="s">
        <v>753</v>
      </c>
      <c r="C984" s="14" t="s">
        <v>989</v>
      </c>
      <c r="D984" s="1"/>
      <c r="E984" s="15"/>
      <c r="F984" s="1" t="str">
        <f>IFERROR(__xludf.DUMMYFUNCTION("GOOGLETRANSLATE(B984, ""en"", ""fa"")
"),"بازاریابی ایمیلی")</f>
        <v>بازاریابی ایمیلی</v>
      </c>
      <c r="G984" s="1" t="str">
        <f>IFERROR(__xludf.DUMMYFUNCTION("GOOGLETRANSLATE(C984, ""en"", ""fa"")
"),"در مورد تأثیر استفاده از GIF یا ویدیو در ایمیل ها برای جلب توجه و افزایش تعامل بحث کنید.")</f>
        <v>در مورد تأثیر استفاده از GIF یا ویدیو در ایمیل ها برای جلب توجه و افزایش تعامل بحث کنید.</v>
      </c>
      <c r="H984" s="1"/>
      <c r="I984" s="1"/>
      <c r="J984" s="1"/>
      <c r="K984" s="1"/>
      <c r="L984" s="1"/>
      <c r="M984" s="1"/>
      <c r="N984" s="1"/>
      <c r="O984" s="1"/>
      <c r="P984" s="1"/>
      <c r="Q984" s="1"/>
      <c r="R984" s="1"/>
      <c r="S984" s="1"/>
      <c r="T984" s="1"/>
      <c r="U984" s="1"/>
      <c r="V984" s="1"/>
      <c r="W984" s="1"/>
      <c r="X984" s="1"/>
      <c r="Y984" s="1"/>
      <c r="Z984" s="1"/>
      <c r="AA984" s="1"/>
      <c r="AB984" s="1"/>
    </row>
    <row r="985" ht="50.25" customHeight="1">
      <c r="A985" s="12">
        <v>981.0</v>
      </c>
      <c r="B985" s="13" t="s">
        <v>753</v>
      </c>
      <c r="C985" s="14" t="s">
        <v>990</v>
      </c>
      <c r="D985" s="1"/>
      <c r="E985" s="15"/>
      <c r="F985" s="1" t="str">
        <f>IFERROR(__xludf.DUMMYFUNCTION("GOOGLETRANSLATE(B985, ""en"", ""fa"")
"),"بازاریابی ایمیلی")</f>
        <v>بازاریابی ایمیلی</v>
      </c>
      <c r="G985" s="1" t="str">
        <f>IFERROR(__xludf.DUMMYFUNCTION("GOOGLETRANSLATE(C985, ""en"", ""fa"")
"),"نکاتی را برای بهینه‌سازی فرکانس ایمیل به اشتراک بگذارید تا مشارکت مشترک را حفظ کنید بدون اینکه صندوق ورودی آن‌ها را تحت تأثیر قرار دهد.")</f>
        <v>نکاتی را برای بهینه‌سازی فرکانس ایمیل به اشتراک بگذارید تا مشارکت مشترک را حفظ کنید بدون اینکه صندوق ورودی آن‌ها را تحت تأثیر قرار دهد.</v>
      </c>
      <c r="H985" s="1"/>
      <c r="I985" s="1"/>
      <c r="J985" s="1"/>
      <c r="K985" s="1"/>
      <c r="L985" s="1"/>
      <c r="M985" s="1"/>
      <c r="N985" s="1"/>
      <c r="O985" s="1"/>
      <c r="P985" s="1"/>
      <c r="Q985" s="1"/>
      <c r="R985" s="1"/>
      <c r="S985" s="1"/>
      <c r="T985" s="1"/>
      <c r="U985" s="1"/>
      <c r="V985" s="1"/>
      <c r="W985" s="1"/>
      <c r="X985" s="1"/>
      <c r="Y985" s="1"/>
      <c r="Z985" s="1"/>
      <c r="AA985" s="1"/>
      <c r="AB985" s="1"/>
    </row>
    <row r="986" ht="50.25" customHeight="1">
      <c r="A986" s="12">
        <v>982.0</v>
      </c>
      <c r="B986" s="13" t="s">
        <v>753</v>
      </c>
      <c r="C986" s="14" t="s">
        <v>991</v>
      </c>
      <c r="D986" s="1"/>
      <c r="E986" s="15"/>
      <c r="F986" s="1" t="str">
        <f>IFERROR(__xludf.DUMMYFUNCTION("GOOGLETRANSLATE(B986, ""en"", ""fa"")
"),"بازاریابی ایمیلی")</f>
        <v>بازاریابی ایمیلی</v>
      </c>
      <c r="G986" s="1" t="str">
        <f>IFERROR(__xludf.DUMMYFUNCTION("GOOGLETRANSLATE(C986, ""en"", ""fa"")
"),"مفهوم استفاده از ایمیل های تراکنشی برای فروش یا فروش متقابل محصولات یا خدمات مرتبط بر اساس خریدهای اخیر مشتریان را بررسی کنید.")</f>
        <v>مفهوم استفاده از ایمیل های تراکنشی برای فروش یا فروش متقابل محصولات یا خدمات مرتبط بر اساس خریدهای اخیر مشتریان را بررسی کنید.</v>
      </c>
      <c r="H986" s="1"/>
      <c r="I986" s="1"/>
      <c r="J986" s="1"/>
      <c r="K986" s="1"/>
      <c r="L986" s="1"/>
      <c r="M986" s="1"/>
      <c r="N986" s="1"/>
      <c r="O986" s="1"/>
      <c r="P986" s="1"/>
      <c r="Q986" s="1"/>
      <c r="R986" s="1"/>
      <c r="S986" s="1"/>
      <c r="T986" s="1"/>
      <c r="U986" s="1"/>
      <c r="V986" s="1"/>
      <c r="W986" s="1"/>
      <c r="X986" s="1"/>
      <c r="Y986" s="1"/>
      <c r="Z986" s="1"/>
      <c r="AA986" s="1"/>
      <c r="AB986" s="1"/>
    </row>
    <row r="987" ht="50.25" customHeight="1">
      <c r="A987" s="12">
        <v>983.0</v>
      </c>
      <c r="B987" s="13" t="s">
        <v>753</v>
      </c>
      <c r="C987" s="14" t="s">
        <v>992</v>
      </c>
      <c r="D987" s="1"/>
      <c r="E987" s="15"/>
      <c r="F987" s="1" t="str">
        <f>IFERROR(__xludf.DUMMYFUNCTION("GOOGLETRANSLATE(B987, ""en"", ""fa"")
"),"بازاریابی ایمیلی")</f>
        <v>بازاریابی ایمیلی</v>
      </c>
      <c r="G987" s="1" t="str">
        <f>IFERROR(__xludf.DUMMYFUNCTION("GOOGLETRANSLATE(C987, ""en"", ""fa"")
"),"در مورد نقش استفاده از ایمیل مارکتینگ برای ایجاد پیش بینی و ترویج راه اندازی یا به روز رسانی محصول آینده بحث کنید.")</f>
        <v>در مورد نقش استفاده از ایمیل مارکتینگ برای ایجاد پیش بینی و ترویج راه اندازی یا به روز رسانی محصول آینده بحث کنید.</v>
      </c>
      <c r="H987" s="1"/>
      <c r="I987" s="1"/>
      <c r="J987" s="1"/>
      <c r="K987" s="1"/>
      <c r="L987" s="1"/>
      <c r="M987" s="1"/>
      <c r="N987" s="1"/>
      <c r="O987" s="1"/>
      <c r="P987" s="1"/>
      <c r="Q987" s="1"/>
      <c r="R987" s="1"/>
      <c r="S987" s="1"/>
      <c r="T987" s="1"/>
      <c r="U987" s="1"/>
      <c r="V987" s="1"/>
      <c r="W987" s="1"/>
      <c r="X987" s="1"/>
      <c r="Y987" s="1"/>
      <c r="Z987" s="1"/>
      <c r="AA987" s="1"/>
      <c r="AB987" s="1"/>
    </row>
    <row r="988" ht="50.25" customHeight="1">
      <c r="A988" s="12">
        <v>984.0</v>
      </c>
      <c r="B988" s="13" t="s">
        <v>753</v>
      </c>
      <c r="C988" s="14" t="s">
        <v>993</v>
      </c>
      <c r="D988" s="1"/>
      <c r="E988" s="15"/>
      <c r="F988" s="1" t="str">
        <f>IFERROR(__xludf.DUMMYFUNCTION("GOOGLETRANSLATE(B988, ""en"", ""fa"")
"),"بازاریابی ایمیلی")</f>
        <v>بازاریابی ایمیلی</v>
      </c>
      <c r="G988" s="1" t="str">
        <f>IFERROR(__xludf.DUMMYFUNCTION("GOOGLETRANSLATE(C988, ""en"", ""fa"")
"),"استراتژی‌های استفاده از ایمیل برای برقراری ارتباط به‌روزرسانی‌های مهم، مانند تغییرات خط‌مشی، ویژگی‌های جدید یا اختلالات سرویس را به اشتراک بگذارید.")</f>
        <v>استراتژی‌های استفاده از ایمیل برای برقراری ارتباط به‌روزرسانی‌های مهم، مانند تغییرات خط‌مشی، ویژگی‌های جدید یا اختلالات سرویس را به اشتراک بگذارید.</v>
      </c>
      <c r="H988" s="1"/>
      <c r="I988" s="1"/>
      <c r="J988" s="1"/>
      <c r="K988" s="1"/>
      <c r="L988" s="1"/>
      <c r="M988" s="1"/>
      <c r="N988" s="1"/>
      <c r="O988" s="1"/>
      <c r="P988" s="1"/>
      <c r="Q988" s="1"/>
      <c r="R988" s="1"/>
      <c r="S988" s="1"/>
      <c r="T988" s="1"/>
      <c r="U988" s="1"/>
      <c r="V988" s="1"/>
      <c r="W988" s="1"/>
      <c r="X988" s="1"/>
      <c r="Y988" s="1"/>
      <c r="Z988" s="1"/>
      <c r="AA988" s="1"/>
      <c r="AB988" s="1"/>
    </row>
    <row r="989" ht="50.25" customHeight="1">
      <c r="A989" s="12">
        <v>985.0</v>
      </c>
      <c r="B989" s="13" t="s">
        <v>753</v>
      </c>
      <c r="C989" s="14" t="s">
        <v>994</v>
      </c>
      <c r="D989" s="1"/>
      <c r="E989" s="15"/>
      <c r="F989" s="1" t="str">
        <f>IFERROR(__xludf.DUMMYFUNCTION("GOOGLETRANSLATE(B989, ""en"", ""fa"")
"),"بازاریابی ایمیلی")</f>
        <v>بازاریابی ایمیلی</v>
      </c>
      <c r="G989" s="1" t="str">
        <f>IFERROR(__xludf.DUMMYFUNCTION("GOOGLETRANSLATE(C989, ""en"", ""fa"")
"),"مزایای استفاده از ایمیل‌های بازگشتی خودکار را برای جذب مجدد مشتریانی که مدتی است خریدی انجام نداده‌اند، بررسی کنید.")</f>
        <v>مزایای استفاده از ایمیل‌های بازگشتی خودکار را برای جذب مجدد مشتریانی که مدتی است خریدی انجام نداده‌اند، بررسی کنید.</v>
      </c>
      <c r="H989" s="1"/>
      <c r="I989" s="1"/>
      <c r="J989" s="1"/>
      <c r="K989" s="1"/>
      <c r="L989" s="1"/>
      <c r="M989" s="1"/>
      <c r="N989" s="1"/>
      <c r="O989" s="1"/>
      <c r="P989" s="1"/>
      <c r="Q989" s="1"/>
      <c r="R989" s="1"/>
      <c r="S989" s="1"/>
      <c r="T989" s="1"/>
      <c r="U989" s="1"/>
      <c r="V989" s="1"/>
      <c r="W989" s="1"/>
      <c r="X989" s="1"/>
      <c r="Y989" s="1"/>
      <c r="Z989" s="1"/>
      <c r="AA989" s="1"/>
      <c r="AB989" s="1"/>
    </row>
    <row r="990" ht="50.25" customHeight="1">
      <c r="A990" s="12">
        <v>986.0</v>
      </c>
      <c r="B990" s="13" t="s">
        <v>753</v>
      </c>
      <c r="C990" s="14" t="s">
        <v>995</v>
      </c>
      <c r="D990" s="1"/>
      <c r="E990" s="15"/>
      <c r="F990" s="1" t="str">
        <f>IFERROR(__xludf.DUMMYFUNCTION("GOOGLETRANSLATE(B990, ""en"", ""fa"")
"),"بازاریابی ایمیلی")</f>
        <v>بازاریابی ایمیلی</v>
      </c>
      <c r="G990" s="1" t="str">
        <f>IFERROR(__xludf.DUMMYFUNCTION("GOOGLETRANSLATE(C990, ""en"", ""fa"")
"),"درباره تأثیر استفاده از تقسیم‌بندی ایمیل برای ارائه محتوای شخصی‌شده بر اساس موقعیت جغرافیایی یا منطقه زمانی مشتریان بحث کنید.")</f>
        <v>درباره تأثیر استفاده از تقسیم‌بندی ایمیل برای ارائه محتوای شخصی‌شده بر اساس موقعیت جغرافیایی یا منطقه زمانی مشتریان بحث کنید.</v>
      </c>
      <c r="H990" s="1"/>
      <c r="I990" s="1"/>
      <c r="J990" s="1"/>
      <c r="K990" s="1"/>
      <c r="L990" s="1"/>
      <c r="M990" s="1"/>
      <c r="N990" s="1"/>
      <c r="O990" s="1"/>
      <c r="P990" s="1"/>
      <c r="Q990" s="1"/>
      <c r="R990" s="1"/>
      <c r="S990" s="1"/>
      <c r="T990" s="1"/>
      <c r="U990" s="1"/>
      <c r="V990" s="1"/>
      <c r="W990" s="1"/>
      <c r="X990" s="1"/>
      <c r="Y990" s="1"/>
      <c r="Z990" s="1"/>
      <c r="AA990" s="1"/>
      <c r="AB990" s="1"/>
    </row>
    <row r="991" ht="50.25" customHeight="1">
      <c r="A991" s="12">
        <v>987.0</v>
      </c>
      <c r="B991" s="13" t="s">
        <v>753</v>
      </c>
      <c r="C991" s="14" t="s">
        <v>996</v>
      </c>
      <c r="D991" s="1"/>
      <c r="E991" s="15"/>
      <c r="F991" s="1" t="str">
        <f>IFERROR(__xludf.DUMMYFUNCTION("GOOGLETRANSLATE(B991, ""en"", ""fa"")
"),"بازاریابی ایمیلی")</f>
        <v>بازاریابی ایمیلی</v>
      </c>
      <c r="G991" s="1" t="str">
        <f>IFERROR(__xludf.DUMMYFUNCTION("GOOGLETRANSLATE(C991, ""en"", ""fa"")
"),"نکاتی را برای بهینه‌سازی قالب‌های ایمیل برای کلاینت‌ها و دستگاه‌های مختلف ایمیل به اشتراک بگذارید تا از ارائه یکپارچه و تجربه کاربر اطمینان حاصل کنید.")</f>
        <v>نکاتی را برای بهینه‌سازی قالب‌های ایمیل برای کلاینت‌ها و دستگاه‌های مختلف ایمیل به اشتراک بگذارید تا از ارائه یکپارچه و تجربه کاربر اطمینان حاصل کنید.</v>
      </c>
      <c r="H991" s="1"/>
      <c r="I991" s="1"/>
      <c r="J991" s="1"/>
      <c r="K991" s="1"/>
      <c r="L991" s="1"/>
      <c r="M991" s="1"/>
      <c r="N991" s="1"/>
      <c r="O991" s="1"/>
      <c r="P991" s="1"/>
      <c r="Q991" s="1"/>
      <c r="R991" s="1"/>
      <c r="S991" s="1"/>
      <c r="T991" s="1"/>
      <c r="U991" s="1"/>
      <c r="V991" s="1"/>
      <c r="W991" s="1"/>
      <c r="X991" s="1"/>
      <c r="Y991" s="1"/>
      <c r="Z991" s="1"/>
      <c r="AA991" s="1"/>
      <c r="AB991" s="1"/>
    </row>
    <row r="992" ht="50.25" customHeight="1">
      <c r="A992" s="12">
        <v>988.0</v>
      </c>
      <c r="B992" s="13" t="s">
        <v>753</v>
      </c>
      <c r="C992" s="14" t="s">
        <v>997</v>
      </c>
      <c r="D992" s="1"/>
      <c r="E992" s="15"/>
      <c r="F992" s="1" t="str">
        <f>IFERROR(__xludf.DUMMYFUNCTION("GOOGLETRANSLATE(B992, ""en"", ""fa"")
"),"بازاریابی ایمیلی")</f>
        <v>بازاریابی ایمیلی</v>
      </c>
      <c r="G992" s="1" t="str">
        <f>IFERROR(__xludf.DUMMYFUNCTION("GOOGLETRANSLATE(C992, ""en"", ""fa"")
"),"مفهوم استفاده از ایمیل های راه اندازی شده را برای ارائه اطلاعات به موقع و مرتبط، مانند به روز رسانی های پیگیری سفارش یا توصیه های محصول، بررسی کنید.")</f>
        <v>مفهوم استفاده از ایمیل های راه اندازی شده را برای ارائه اطلاعات به موقع و مرتبط، مانند به روز رسانی های پیگیری سفارش یا توصیه های محصول، بررسی کنید.</v>
      </c>
      <c r="H992" s="1"/>
      <c r="I992" s="1"/>
      <c r="J992" s="1"/>
      <c r="K992" s="1"/>
      <c r="L992" s="1"/>
      <c r="M992" s="1"/>
      <c r="N992" s="1"/>
      <c r="O992" s="1"/>
      <c r="P992" s="1"/>
      <c r="Q992" s="1"/>
      <c r="R992" s="1"/>
      <c r="S992" s="1"/>
      <c r="T992" s="1"/>
      <c r="U992" s="1"/>
      <c r="V992" s="1"/>
      <c r="W992" s="1"/>
      <c r="X992" s="1"/>
      <c r="Y992" s="1"/>
      <c r="Z992" s="1"/>
      <c r="AA992" s="1"/>
      <c r="AB992" s="1"/>
    </row>
    <row r="993" ht="50.25" customHeight="1">
      <c r="A993" s="12">
        <v>989.0</v>
      </c>
      <c r="B993" s="13" t="s">
        <v>753</v>
      </c>
      <c r="C993" s="14" t="s">
        <v>998</v>
      </c>
      <c r="D993" s="1"/>
      <c r="E993" s="15"/>
      <c r="F993" s="1" t="str">
        <f>IFERROR(__xludf.DUMMYFUNCTION("GOOGLETRANSLATE(B993, ""en"", ""fa"")
"),"بازاریابی ایمیلی")</f>
        <v>بازاریابی ایمیلی</v>
      </c>
      <c r="G993" s="1" t="str">
        <f>IFERROR(__xludf.DUMMYFUNCTION("GOOGLETRANSLATE(C993, ""en"", ""fa"")
"),"در مورد نقش استفاده از محرک های احساسی در بازاریابی ایمیلی برای برانگیختن احساسات مثبت و ایجاد ارتباط با مشترکین بحث کنید.")</f>
        <v>در مورد نقش استفاده از محرک های احساسی در بازاریابی ایمیلی برای برانگیختن احساسات مثبت و ایجاد ارتباط با مشترکین بحث کنید.</v>
      </c>
      <c r="H993" s="1"/>
      <c r="I993" s="1"/>
      <c r="J993" s="1"/>
      <c r="K993" s="1"/>
      <c r="L993" s="1"/>
      <c r="M993" s="1"/>
      <c r="N993" s="1"/>
      <c r="O993" s="1"/>
      <c r="P993" s="1"/>
      <c r="Q993" s="1"/>
      <c r="R993" s="1"/>
      <c r="S993" s="1"/>
      <c r="T993" s="1"/>
      <c r="U993" s="1"/>
      <c r="V993" s="1"/>
      <c r="W993" s="1"/>
      <c r="X993" s="1"/>
      <c r="Y993" s="1"/>
      <c r="Z993" s="1"/>
      <c r="AA993" s="1"/>
      <c r="AB993" s="1"/>
    </row>
    <row r="994" ht="50.25" customHeight="1">
      <c r="A994" s="12">
        <v>990.0</v>
      </c>
      <c r="B994" s="13" t="s">
        <v>753</v>
      </c>
      <c r="C994" s="14" t="s">
        <v>999</v>
      </c>
      <c r="D994" s="1"/>
      <c r="E994" s="15"/>
      <c r="F994" s="1" t="str">
        <f>IFERROR(__xludf.DUMMYFUNCTION("GOOGLETRANSLATE(B994, ""en"", ""fa"")
"),"بازاریابی ایمیلی")</f>
        <v>بازاریابی ایمیلی</v>
      </c>
      <c r="G994" s="1" t="str">
        <f>IFERROR(__xludf.DUMMYFUNCTION("GOOGLETRANSLATE(C994, ""en"", ""fa"")
"),"استراتژی‌های استفاده از ایمیل برای پرورش سرنخ‌های تولید شده از کمپین‌های رسانه‌های اجتماعی، جلب علاقه آنها و هدایت آنها به سمت تبدیل را به اشتراک بگذارید.")</f>
        <v>استراتژی‌های استفاده از ایمیل برای پرورش سرنخ‌های تولید شده از کمپین‌های رسانه‌های اجتماعی، جلب علاقه آنها و هدایت آنها به سمت تبدیل را به اشتراک بگذارید.</v>
      </c>
      <c r="H994" s="1"/>
      <c r="I994" s="1"/>
      <c r="J994" s="1"/>
      <c r="K994" s="1"/>
      <c r="L994" s="1"/>
      <c r="M994" s="1"/>
      <c r="N994" s="1"/>
      <c r="O994" s="1"/>
      <c r="P994" s="1"/>
      <c r="Q994" s="1"/>
      <c r="R994" s="1"/>
      <c r="S994" s="1"/>
      <c r="T994" s="1"/>
      <c r="U994" s="1"/>
      <c r="V994" s="1"/>
      <c r="W994" s="1"/>
      <c r="X994" s="1"/>
      <c r="Y994" s="1"/>
      <c r="Z994" s="1"/>
      <c r="AA994" s="1"/>
      <c r="AB994" s="1"/>
    </row>
    <row r="995" ht="50.25" customHeight="1">
      <c r="A995" s="12">
        <v>991.0</v>
      </c>
      <c r="B995" s="13" t="s">
        <v>753</v>
      </c>
      <c r="C995" s="14" t="s">
        <v>1000</v>
      </c>
      <c r="D995" s="1"/>
      <c r="E995" s="15"/>
      <c r="F995" s="1" t="str">
        <f>IFERROR(__xludf.DUMMYFUNCTION("GOOGLETRANSLATE(B995, ""en"", ""fa"")
"),"بازاریابی ایمیلی")</f>
        <v>بازاریابی ایمیلی</v>
      </c>
      <c r="G995" s="1" t="str">
        <f>IFERROR(__xludf.DUMMYFUNCTION("GOOGLETRANSLATE(C995, ""en"", ""fa"")
"),"مزایای استفاده از کمپین‌های ایمیل قطره‌ای را برای ارائه مجموعه‌ای از محتوای مرتبط و ارزشمند برای آموزش و جذب مشترکین بررسی کنید.")</f>
        <v>مزایای استفاده از کمپین‌های ایمیل قطره‌ای را برای ارائه مجموعه‌ای از محتوای مرتبط و ارزشمند برای آموزش و جذب مشترکین بررسی کنید.</v>
      </c>
      <c r="H995" s="1"/>
      <c r="I995" s="1"/>
      <c r="J995" s="1"/>
      <c r="K995" s="1"/>
      <c r="L995" s="1"/>
      <c r="M995" s="1"/>
      <c r="N995" s="1"/>
      <c r="O995" s="1"/>
      <c r="P995" s="1"/>
      <c r="Q995" s="1"/>
      <c r="R995" s="1"/>
      <c r="S995" s="1"/>
      <c r="T995" s="1"/>
      <c r="U995" s="1"/>
      <c r="V995" s="1"/>
      <c r="W995" s="1"/>
      <c r="X995" s="1"/>
      <c r="Y995" s="1"/>
      <c r="Z995" s="1"/>
      <c r="AA995" s="1"/>
      <c r="AB995" s="1"/>
    </row>
    <row r="996" ht="50.25" customHeight="1">
      <c r="A996" s="12">
        <v>992.0</v>
      </c>
      <c r="B996" s="13" t="s">
        <v>753</v>
      </c>
      <c r="C996" s="14" t="s">
        <v>1001</v>
      </c>
      <c r="D996" s="1"/>
      <c r="E996" s="15"/>
      <c r="F996" s="1" t="str">
        <f>IFERROR(__xludf.DUMMYFUNCTION("GOOGLETRANSLATE(B996, ""en"", ""fa"")
"),"بازاریابی ایمیلی")</f>
        <v>بازاریابی ایمیلی</v>
      </c>
      <c r="G996" s="1" t="str">
        <f>IFERROR(__xludf.DUMMYFUNCTION("GOOGLETRANSLATE(C996, ""en"", ""fa"")
"),"در مورد تأثیر استفاده از تقسیم بندی مشتری برای ارسال ایمیل های هدفمند با پیشنهادات و مشوق های مناسب بحث کنید.")</f>
        <v>در مورد تأثیر استفاده از تقسیم بندی مشتری برای ارسال ایمیل های هدفمند با پیشنهادات و مشوق های مناسب بحث کنید.</v>
      </c>
      <c r="H996" s="1"/>
      <c r="I996" s="1"/>
      <c r="J996" s="1"/>
      <c r="K996" s="1"/>
      <c r="L996" s="1"/>
      <c r="M996" s="1"/>
      <c r="N996" s="1"/>
      <c r="O996" s="1"/>
      <c r="P996" s="1"/>
      <c r="Q996" s="1"/>
      <c r="R996" s="1"/>
      <c r="S996" s="1"/>
      <c r="T996" s="1"/>
      <c r="U996" s="1"/>
      <c r="V996" s="1"/>
      <c r="W996" s="1"/>
      <c r="X996" s="1"/>
      <c r="Y996" s="1"/>
      <c r="Z996" s="1"/>
      <c r="AA996" s="1"/>
      <c r="AB996" s="1"/>
    </row>
    <row r="997" ht="50.25" customHeight="1">
      <c r="A997" s="12">
        <v>993.0</v>
      </c>
      <c r="B997" s="13" t="s">
        <v>753</v>
      </c>
      <c r="C997" s="14" t="s">
        <v>1002</v>
      </c>
      <c r="D997" s="1"/>
      <c r="E997" s="15"/>
      <c r="F997" s="1" t="str">
        <f>IFERROR(__xludf.DUMMYFUNCTION("GOOGLETRANSLATE(B997, ""en"", ""fa"")
"),"بازاریابی ایمیلی")</f>
        <v>بازاریابی ایمیلی</v>
      </c>
      <c r="G997" s="1" t="str">
        <f>IFERROR(__xludf.DUMMYFUNCTION("GOOGLETRANSLATE(C997, ""en"", ""fa"")
"),"نکاتی را برای بهینه‌سازی فرم‌های انتخاب ایمیل برای افزایش نرخ اشتراک، از جمله پیشنهادهای ارزش واضح و حداقل فیلدهای ضروری، به اشتراک بگذارید.")</f>
        <v>نکاتی را برای بهینه‌سازی فرم‌های انتخاب ایمیل برای افزایش نرخ اشتراک، از جمله پیشنهادهای ارزش واضح و حداقل فیلدهای ضروری، به اشتراک بگذارید.</v>
      </c>
      <c r="H997" s="1"/>
      <c r="I997" s="1"/>
      <c r="J997" s="1"/>
      <c r="K997" s="1"/>
      <c r="L997" s="1"/>
      <c r="M997" s="1"/>
      <c r="N997" s="1"/>
      <c r="O997" s="1"/>
      <c r="P997" s="1"/>
      <c r="Q997" s="1"/>
      <c r="R997" s="1"/>
      <c r="S997" s="1"/>
      <c r="T997" s="1"/>
      <c r="U997" s="1"/>
      <c r="V997" s="1"/>
      <c r="W997" s="1"/>
      <c r="X997" s="1"/>
      <c r="Y997" s="1"/>
      <c r="Z997" s="1"/>
      <c r="AA997" s="1"/>
      <c r="AB997" s="1"/>
    </row>
    <row r="998" ht="50.25" customHeight="1">
      <c r="A998" s="12">
        <v>994.0</v>
      </c>
      <c r="B998" s="13" t="s">
        <v>753</v>
      </c>
      <c r="C998" s="14" t="s">
        <v>1003</v>
      </c>
      <c r="D998" s="1"/>
      <c r="E998" s="15"/>
      <c r="F998" s="1" t="str">
        <f>IFERROR(__xludf.DUMMYFUNCTION("GOOGLETRANSLATE(B998, ""en"", ""fa"")
"),"بازاریابی ایمیلی")</f>
        <v>بازاریابی ایمیلی</v>
      </c>
      <c r="G998" s="1" t="str">
        <f>IFERROR(__xludf.DUMMYFUNCTION("GOOGLETRANSLATE(C998, ""en"", ""fa"")
"),"در مورد مزایای راه اندازی یک فروشگاه آنلاین در مقابل یک فروشگاه خرده فروشی فیزیکی بحث کنید، و پتانسیل دسترسی جهانی و دسترسی 24 ساعته را برجسته کنید.")</f>
        <v>در مورد مزایای راه اندازی یک فروشگاه آنلاین در مقابل یک فروشگاه خرده فروشی فیزیکی بحث کنید، و پتانسیل دسترسی جهانی و دسترسی 24 ساعته را برجسته کنید.</v>
      </c>
      <c r="H998" s="1"/>
      <c r="I998" s="1"/>
      <c r="J998" s="1"/>
      <c r="K998" s="1"/>
      <c r="L998" s="1"/>
      <c r="M998" s="1"/>
      <c r="N998" s="1"/>
      <c r="O998" s="1"/>
      <c r="P998" s="1"/>
      <c r="Q998" s="1"/>
      <c r="R998" s="1"/>
      <c r="S998" s="1"/>
      <c r="T998" s="1"/>
      <c r="U998" s="1"/>
      <c r="V998" s="1"/>
      <c r="W998" s="1"/>
      <c r="X998" s="1"/>
      <c r="Y998" s="1"/>
      <c r="Z998" s="1"/>
      <c r="AA998" s="1"/>
      <c r="AB998" s="1"/>
    </row>
    <row r="999" ht="50.25" customHeight="1">
      <c r="A999" s="12">
        <v>995.0</v>
      </c>
      <c r="B999" s="13" t="s">
        <v>1004</v>
      </c>
      <c r="C999" s="14" t="s">
        <v>1005</v>
      </c>
      <c r="D999" s="1"/>
      <c r="E999" s="15"/>
      <c r="F999" s="1" t="str">
        <f>IFERROR(__xludf.DUMMYFUNCTION("GOOGLETRANSLATE(B999, ""en"", ""fa"")
"),"تجارت الکترونیک و فروش آنلاین")</f>
        <v>تجارت الکترونیک و فروش آنلاین</v>
      </c>
      <c r="G999" s="1" t="str">
        <f>IFERROR(__xludf.DUMMYFUNCTION("GOOGLETRANSLATE(C999, ""en"", ""fa"")
"),"نکاتی را برای بهینه‌سازی صفحات محصول در وب‌سایت‌های تجارت الکترونیک برای افزایش تبدیل، از جمله تصاویر محصول با کیفیت بالا، توضیحات دقیق و نظرات مشتریان به اشتراک بگذارید.")</f>
        <v>نکاتی را برای بهینه‌سازی صفحات محصول در وب‌سایت‌های تجارت الکترونیک برای افزایش تبدیل، از جمله تصاویر محصول با کیفیت بالا، توضیحات دقیق و نظرات مشتریان به اشتراک بگذارید.</v>
      </c>
      <c r="H999" s="1"/>
      <c r="I999" s="1"/>
      <c r="J999" s="1"/>
      <c r="K999" s="1"/>
      <c r="L999" s="1"/>
      <c r="M999" s="1"/>
      <c r="N999" s="1"/>
      <c r="O999" s="1"/>
      <c r="P999" s="1"/>
      <c r="Q999" s="1"/>
      <c r="R999" s="1"/>
      <c r="S999" s="1"/>
      <c r="T999" s="1"/>
      <c r="U999" s="1"/>
      <c r="V999" s="1"/>
      <c r="W999" s="1"/>
      <c r="X999" s="1"/>
      <c r="Y999" s="1"/>
      <c r="Z999" s="1"/>
      <c r="AA999" s="1"/>
      <c r="AB999" s="1"/>
    </row>
    <row r="1000" ht="50.25" customHeight="1">
      <c r="A1000" s="12">
        <v>996.0</v>
      </c>
      <c r="B1000" s="13" t="s">
        <v>1004</v>
      </c>
      <c r="C1000" s="14" t="s">
        <v>1006</v>
      </c>
      <c r="D1000" s="1"/>
      <c r="E1000" s="15"/>
      <c r="F1000" s="1" t="str">
        <f>IFERROR(__xludf.DUMMYFUNCTION("GOOGLETRANSLATE(B1000, ""en"", ""fa"")
"),"تجارت الکترونیک و فروش آنلاین")</f>
        <v>تجارت الکترونیک و فروش آنلاین</v>
      </c>
      <c r="G1000" s="1" t="str">
        <f>IFERROR(__xludf.DUMMYFUNCTION("GOOGLETRANSLATE(C1000, ""en"", ""fa"")
"),"مفهوم استفاده از تکنیک‌های فروش و فروش متقابل را در تجارت الکترونیک برای افزایش میانگین ارزش سفارش و رضایت مشتری بررسی کنید.")</f>
        <v>مفهوم استفاده از تکنیک‌های فروش و فروش متقابل را در تجارت الکترونیک برای افزایش میانگین ارزش سفارش و رضایت مشتری بررسی کنید.</v>
      </c>
      <c r="H1000" s="1"/>
      <c r="I1000" s="1"/>
      <c r="J1000" s="1"/>
      <c r="K1000" s="1"/>
      <c r="L1000" s="1"/>
      <c r="M1000" s="1"/>
      <c r="N1000" s="1"/>
      <c r="O1000" s="1"/>
      <c r="P1000" s="1"/>
      <c r="Q1000" s="1"/>
      <c r="R1000" s="1"/>
      <c r="S1000" s="1"/>
      <c r="T1000" s="1"/>
      <c r="U1000" s="1"/>
      <c r="V1000" s="1"/>
      <c r="W1000" s="1"/>
      <c r="X1000" s="1"/>
      <c r="Y1000" s="1"/>
      <c r="Z1000" s="1"/>
      <c r="AA1000" s="1"/>
      <c r="AB1000" s="1"/>
    </row>
    <row r="1001" ht="50.25" customHeight="1">
      <c r="A1001" s="12">
        <v>997.0</v>
      </c>
      <c r="B1001" s="13" t="s">
        <v>1004</v>
      </c>
      <c r="C1001" s="14" t="s">
        <v>1007</v>
      </c>
      <c r="D1001" s="1"/>
      <c r="E1001" s="15"/>
      <c r="F1001" s="1" t="str">
        <f>IFERROR(__xludf.DUMMYFUNCTION("GOOGLETRANSLATE(B1001, ""en"", ""fa"")
"),"تجارت الکترونیک و فروش آنلاین")</f>
        <v>تجارت الکترونیک و فروش آنلاین</v>
      </c>
      <c r="G1001" s="1" t="str">
        <f>IFERROR(__xludf.DUMMYFUNCTION("GOOGLETRANSLATE(C1001, ""en"", ""fa"")
"),"در مورد نقش استفاده از عناصر اثبات اجتماعی، مانند توصیفات و رتبه بندی مشتریان، برای ایجاد اعتماد و اعتبار در فروش آنلاین بحث کنید.")</f>
        <v>در مورد نقش استفاده از عناصر اثبات اجتماعی، مانند توصیفات و رتبه بندی مشتریان، برای ایجاد اعتماد و اعتبار در فروش آنلاین بحث کنید.</v>
      </c>
      <c r="H1001" s="1"/>
      <c r="I1001" s="1"/>
      <c r="J1001" s="1"/>
      <c r="K1001" s="1"/>
      <c r="L1001" s="1"/>
      <c r="M1001" s="1"/>
      <c r="N1001" s="1"/>
      <c r="O1001" s="1"/>
      <c r="P1001" s="1"/>
      <c r="Q1001" s="1"/>
      <c r="R1001" s="1"/>
      <c r="S1001" s="1"/>
      <c r="T1001" s="1"/>
      <c r="U1001" s="1"/>
      <c r="V1001" s="1"/>
      <c r="W1001" s="1"/>
      <c r="X1001" s="1"/>
      <c r="Y1001" s="1"/>
      <c r="Z1001" s="1"/>
      <c r="AA1001" s="1"/>
      <c r="AB1001" s="1"/>
    </row>
    <row r="1002" ht="50.25" customHeight="1">
      <c r="A1002" s="12">
        <v>998.0</v>
      </c>
      <c r="B1002" s="13" t="s">
        <v>1004</v>
      </c>
      <c r="C1002" s="14" t="s">
        <v>1008</v>
      </c>
      <c r="D1002" s="1"/>
      <c r="E1002" s="15"/>
      <c r="F1002" s="1" t="str">
        <f>IFERROR(__xludf.DUMMYFUNCTION("GOOGLETRANSLATE(B1002, ""en"", ""fa"")
"),"تجارت الکترونیک و فروش آنلاین")</f>
        <v>تجارت الکترونیک و فروش آنلاین</v>
      </c>
      <c r="G1002" s="1" t="str">
        <f>IFERROR(__xludf.DUMMYFUNCTION("GOOGLETRANSLATE(C1002, ""en"", ""fa"")
"),"استراتژی‌های بهینه‌سازی فرآیند پرداخت را در وب‌سایت‌های تجارت الکترونیک به اشتراک بگذارید تا نرخ رها شدن سبد خرید و بهبود نرخ تبدیل کلی را بهبود بخشد.")</f>
        <v>استراتژی‌های بهینه‌سازی فرآیند پرداخت را در وب‌سایت‌های تجارت الکترونیک به اشتراک بگذارید تا نرخ رها شدن سبد خرید و بهبود نرخ تبدیل کلی را بهبود بخشد.</v>
      </c>
      <c r="H1002" s="1"/>
      <c r="I1002" s="1"/>
      <c r="J1002" s="1"/>
      <c r="K1002" s="1"/>
      <c r="L1002" s="1"/>
      <c r="M1002" s="1"/>
      <c r="N1002" s="1"/>
      <c r="O1002" s="1"/>
      <c r="P1002" s="1"/>
      <c r="Q1002" s="1"/>
      <c r="R1002" s="1"/>
      <c r="S1002" s="1"/>
      <c r="T1002" s="1"/>
      <c r="U1002" s="1"/>
      <c r="V1002" s="1"/>
      <c r="W1002" s="1"/>
      <c r="X1002" s="1"/>
      <c r="Y1002" s="1"/>
      <c r="Z1002" s="1"/>
      <c r="AA1002" s="1"/>
      <c r="AB1002" s="1"/>
    </row>
    <row r="1003" ht="50.25" customHeight="1">
      <c r="A1003" s="12">
        <v>999.0</v>
      </c>
      <c r="B1003" s="13" t="s">
        <v>1004</v>
      </c>
      <c r="C1003" s="14" t="s">
        <v>1009</v>
      </c>
      <c r="D1003" s="1"/>
      <c r="E1003" s="15"/>
      <c r="F1003" s="1" t="str">
        <f>IFERROR(__xludf.DUMMYFUNCTION("GOOGLETRANSLATE(B1003, ""en"", ""fa"")
"),"تجارت الکترونیک و فروش آنلاین")</f>
        <v>تجارت الکترونیک و فروش آنلاین</v>
      </c>
      <c r="G1003" s="1" t="str">
        <f>IFERROR(__xludf.DUMMYFUNCTION("GOOGLETRANSLATE(C1003, ""en"", ""fa"")
"),"مزایای پیاده‌سازی توصیه‌های محصول شخصی‌شده بر اساس مرور مشتری و سابقه خرید را برای بهبود تجربه خرید کاوش کنید.")</f>
        <v>مزایای پیاده‌سازی توصیه‌های محصول شخصی‌شده بر اساس مرور مشتری و سابقه خرید را برای بهبود تجربه خرید کاوش کنید.</v>
      </c>
      <c r="H1003" s="1"/>
      <c r="I1003" s="1"/>
      <c r="J1003" s="1"/>
      <c r="K1003" s="1"/>
      <c r="L1003" s="1"/>
      <c r="M1003" s="1"/>
      <c r="N1003" s="1"/>
      <c r="O1003" s="1"/>
      <c r="P1003" s="1"/>
      <c r="Q1003" s="1"/>
      <c r="R1003" s="1"/>
      <c r="S1003" s="1"/>
      <c r="T1003" s="1"/>
      <c r="U1003" s="1"/>
      <c r="V1003" s="1"/>
      <c r="W1003" s="1"/>
      <c r="X1003" s="1"/>
      <c r="Y1003" s="1"/>
      <c r="Z1003" s="1"/>
      <c r="AA1003" s="1"/>
      <c r="AB1003" s="1"/>
    </row>
    <row r="1004" ht="50.25" customHeight="1">
      <c r="A1004" s="12">
        <v>1000.0</v>
      </c>
      <c r="B1004" s="13" t="s">
        <v>1004</v>
      </c>
      <c r="C1004" s="14" t="s">
        <v>1010</v>
      </c>
      <c r="D1004" s="1"/>
      <c r="E1004" s="15"/>
      <c r="F1004" s="1" t="str">
        <f>IFERROR(__xludf.DUMMYFUNCTION("GOOGLETRANSLATE(B1004, ""en"", ""fa"")
"),"تجارت الکترونیک و فروش آنلاین")</f>
        <v>تجارت الکترونیک و فروش آنلاین</v>
      </c>
      <c r="G1004" s="1" t="str">
        <f>IFERROR(__xludf.DUMMYFUNCTION("GOOGLETRANSLATE(C1004, ""en"", ""fa"")
"),"در مورد تأثیر استفاده از تاکتیک‌های کمبود و فوریت، مانند پیشنهادات با زمان محدود یا اعلان‌های سهام کم، برای افزایش فروش و ایجاد حس فوریت در بین مشتریان بحث کنید.")</f>
        <v>در مورد تأثیر استفاده از تاکتیک‌های کمبود و فوریت، مانند پیشنهادات با زمان محدود یا اعلان‌های سهام کم، برای افزایش فروش و ایجاد حس فوریت در بین مشتریان بحث کنید.</v>
      </c>
      <c r="H1004" s="1"/>
      <c r="I1004" s="1"/>
      <c r="J1004" s="1"/>
      <c r="K1004" s="1"/>
      <c r="L1004" s="1"/>
      <c r="M1004" s="1"/>
      <c r="N1004" s="1"/>
      <c r="O1004" s="1"/>
      <c r="P1004" s="1"/>
      <c r="Q1004" s="1"/>
      <c r="R1004" s="1"/>
      <c r="S1004" s="1"/>
      <c r="T1004" s="1"/>
      <c r="U1004" s="1"/>
      <c r="V1004" s="1"/>
      <c r="W1004" s="1"/>
      <c r="X1004" s="1"/>
      <c r="Y1004" s="1"/>
      <c r="Z1004" s="1"/>
      <c r="AA1004" s="1"/>
      <c r="AB1004" s="1"/>
    </row>
    <row r="1005" ht="50.25" customHeight="1">
      <c r="A1005" s="12">
        <v>1001.0</v>
      </c>
      <c r="B1005" s="13" t="s">
        <v>1004</v>
      </c>
      <c r="C1005" s="14" t="s">
        <v>1011</v>
      </c>
      <c r="D1005" s="1"/>
      <c r="E1005" s="15"/>
      <c r="F1005" s="1" t="str">
        <f>IFERROR(__xludf.DUMMYFUNCTION("GOOGLETRANSLATE(B1005, ""en"", ""fa"")
"),"تجارت الکترونیک و فروش آنلاین")</f>
        <v>تجارت الکترونیک و فروش آنلاین</v>
      </c>
      <c r="G1005" s="1" t="str">
        <f>IFERROR(__xludf.DUMMYFUNCTION("GOOGLETRANSLATE(C1005, ""en"", ""fa"")
"),"نکاتی را برای ایجاد توضیحات محصول موثر که ویژگی‌ها، مزایا و ارزش پیشنهادی هر محصول را برجسته می‌کند، به اشتراک بگذارید.")</f>
        <v>نکاتی را برای ایجاد توضیحات محصول موثر که ویژگی‌ها، مزایا و ارزش پیشنهادی هر محصول را برجسته می‌کند، به اشتراک بگذارید.</v>
      </c>
      <c r="H1005" s="1"/>
      <c r="I1005" s="1"/>
      <c r="J1005" s="1"/>
      <c r="K1005" s="1"/>
      <c r="L1005" s="1"/>
      <c r="M1005" s="1"/>
      <c r="N1005" s="1"/>
      <c r="O1005" s="1"/>
      <c r="P1005" s="1"/>
      <c r="Q1005" s="1"/>
      <c r="R1005" s="1"/>
      <c r="S1005" s="1"/>
      <c r="T1005" s="1"/>
      <c r="U1005" s="1"/>
      <c r="V1005" s="1"/>
      <c r="W1005" s="1"/>
      <c r="X1005" s="1"/>
      <c r="Y1005" s="1"/>
      <c r="Z1005" s="1"/>
      <c r="AA1005" s="1"/>
      <c r="AB1005" s="1"/>
    </row>
    <row r="1006" ht="50.25" customHeight="1">
      <c r="A1006" s="12">
        <v>1002.0</v>
      </c>
      <c r="B1006" s="13" t="s">
        <v>1004</v>
      </c>
      <c r="C1006" s="14" t="s">
        <v>1012</v>
      </c>
      <c r="D1006" s="1"/>
      <c r="E1006" s="15"/>
      <c r="F1006" s="1" t="str">
        <f>IFERROR(__xludf.DUMMYFUNCTION("GOOGLETRANSLATE(B1006, ""en"", ""fa"")
"),"تجارت الکترونیک و فروش آنلاین")</f>
        <v>تجارت الکترونیک و فروش آنلاین</v>
      </c>
      <c r="G1006" s="1" t="str">
        <f>IFERROR(__xludf.DUMMYFUNCTION("GOOGLETRANSLATE(C1006, ""en"", ""fa"")
"),"مفهوم استفاده از محتوای تولید شده توسط کاربر، مانند عکس‌ها و نظرات مشتریان، برای افزایش اعتبار محصول و تشویق تصمیم‌گیری برای خرید را بررسی کنید.")</f>
        <v>مفهوم استفاده از محتوای تولید شده توسط کاربر، مانند عکس‌ها و نظرات مشتریان، برای افزایش اعتبار محصول و تشویق تصمیم‌گیری برای خرید را بررسی کنید.</v>
      </c>
      <c r="H1006" s="1"/>
      <c r="I1006" s="1"/>
      <c r="J1006" s="1"/>
      <c r="K1006" s="1"/>
      <c r="L1006" s="1"/>
      <c r="M1006" s="1"/>
      <c r="N1006" s="1"/>
      <c r="O1006" s="1"/>
      <c r="P1006" s="1"/>
      <c r="Q1006" s="1"/>
      <c r="R1006" s="1"/>
      <c r="S1006" s="1"/>
      <c r="T1006" s="1"/>
      <c r="U1006" s="1"/>
      <c r="V1006" s="1"/>
      <c r="W1006" s="1"/>
      <c r="X1006" s="1"/>
      <c r="Y1006" s="1"/>
      <c r="Z1006" s="1"/>
      <c r="AA1006" s="1"/>
      <c r="AB1006" s="1"/>
    </row>
    <row r="1007" ht="50.25" customHeight="1">
      <c r="A1007" s="12">
        <v>1003.0</v>
      </c>
      <c r="B1007" s="13" t="s">
        <v>1004</v>
      </c>
      <c r="C1007" s="14" t="s">
        <v>1013</v>
      </c>
      <c r="D1007" s="1"/>
      <c r="E1007" s="15"/>
      <c r="F1007" s="1" t="str">
        <f>IFERROR(__xludf.DUMMYFUNCTION("GOOGLETRANSLATE(B1007, ""en"", ""fa"")
"),"تجارت الکترونیک و فروش آنلاین")</f>
        <v>تجارت الکترونیک و فروش آنلاین</v>
      </c>
      <c r="G1007" s="1" t="str">
        <f>IFERROR(__xludf.DUMMYFUNCTION("GOOGLETRANSLATE(C1007, ""en"", ""fa"")
"),"درباره نقش پیاده‌سازی درگاه پرداخت یکپارچه و امن در وب‌سایت‌های تجارت الکترونیک برای القای اعتماد به مشتریان و محافظت از اطلاعات حساس آنها بحث کنید.")</f>
        <v>درباره نقش پیاده‌سازی درگاه پرداخت یکپارچه و امن در وب‌سایت‌های تجارت الکترونیک برای القای اعتماد به مشتریان و محافظت از اطلاعات حساس آنها بحث کنید.</v>
      </c>
      <c r="H1007" s="1"/>
      <c r="I1007" s="1"/>
      <c r="J1007" s="1"/>
      <c r="K1007" s="1"/>
      <c r="L1007" s="1"/>
      <c r="M1007" s="1"/>
      <c r="N1007" s="1"/>
      <c r="O1007" s="1"/>
      <c r="P1007" s="1"/>
      <c r="Q1007" s="1"/>
      <c r="R1007" s="1"/>
      <c r="S1007" s="1"/>
      <c r="T1007" s="1"/>
      <c r="U1007" s="1"/>
      <c r="V1007" s="1"/>
      <c r="W1007" s="1"/>
      <c r="X1007" s="1"/>
      <c r="Y1007" s="1"/>
      <c r="Z1007" s="1"/>
      <c r="AA1007" s="1"/>
      <c r="AB1007" s="1"/>
    </row>
    <row r="1008" ht="50.25" customHeight="1">
      <c r="A1008" s="12">
        <v>1004.0</v>
      </c>
      <c r="B1008" s="13" t="s">
        <v>1004</v>
      </c>
      <c r="C1008" s="14" t="s">
        <v>1014</v>
      </c>
      <c r="D1008" s="1"/>
      <c r="E1008" s="15"/>
      <c r="F1008" s="1" t="str">
        <f>IFERROR(__xludf.DUMMYFUNCTION("GOOGLETRANSLATE(B1008, ""en"", ""fa"")
"),"تجارت الکترونیک و فروش آنلاین")</f>
        <v>تجارت الکترونیک و فروش آنلاین</v>
      </c>
      <c r="G1008" s="1" t="str">
        <f>IFERROR(__xludf.DUMMYFUNCTION("GOOGLETRANSLATE(C1008, ""en"", ""fa"")
"),"استراتژی‌هایی را برای بهینه‌سازی وب‌سایت‌های تجارت الکترونیک برای دستگاه‌های تلفن همراه به اشتراک بگذارید، از طراحی واکنش‌گرا و تجربه کاربرپسند برای خریداران تلفن همراه اطمینان حاصل کنید.")</f>
        <v>استراتژی‌هایی را برای بهینه‌سازی وب‌سایت‌های تجارت الکترونیک برای دستگاه‌های تلفن همراه به اشتراک بگذارید، از طراحی واکنش‌گرا و تجربه کاربرپسند برای خریداران تلفن همراه اطمینان حاصل کنید.</v>
      </c>
      <c r="H1008" s="1"/>
      <c r="I1008" s="1"/>
      <c r="J1008" s="1"/>
      <c r="K1008" s="1"/>
      <c r="L1008" s="1"/>
      <c r="M1008" s="1"/>
      <c r="N1008" s="1"/>
      <c r="O1008" s="1"/>
      <c r="P1008" s="1"/>
      <c r="Q1008" s="1"/>
      <c r="R1008" s="1"/>
      <c r="S1008" s="1"/>
      <c r="T1008" s="1"/>
      <c r="U1008" s="1"/>
      <c r="V1008" s="1"/>
      <c r="W1008" s="1"/>
      <c r="X1008" s="1"/>
      <c r="Y1008" s="1"/>
      <c r="Z1008" s="1"/>
      <c r="AA1008" s="1"/>
      <c r="AB1008" s="1"/>
    </row>
    <row r="1009" ht="50.25" customHeight="1">
      <c r="A1009" s="12">
        <v>1005.0</v>
      </c>
      <c r="B1009" s="13" t="s">
        <v>1004</v>
      </c>
      <c r="C1009" s="14" t="s">
        <v>1015</v>
      </c>
      <c r="D1009" s="1"/>
      <c r="E1009" s="15"/>
      <c r="F1009" s="1" t="str">
        <f>IFERROR(__xludf.DUMMYFUNCTION("GOOGLETRANSLATE(B1009, ""en"", ""fa"")
"),"تجارت الکترونیک و فروش آنلاین")</f>
        <v>تجارت الکترونیک و فروش آنلاین</v>
      </c>
      <c r="G1009" s="1" t="str">
        <f>IFERROR(__xludf.DUMMYFUNCTION("GOOGLETRANSLATE(C1009, ""en"", ""fa"")
"),"مزایای اجرای یک سیستم مدیریت موجودی قوی در تجارت الکترونیک را برای جلوگیری از گران فروشی، ساده کردن عملیات و بهبود رضایت مشتری بررسی کنید.")</f>
        <v>مزایای اجرای یک سیستم مدیریت موجودی قوی در تجارت الکترونیک را برای جلوگیری از گران فروشی، ساده کردن عملیات و بهبود رضایت مشتری بررسی کنید.</v>
      </c>
      <c r="H1009" s="1"/>
      <c r="I1009" s="1"/>
      <c r="J1009" s="1"/>
      <c r="K1009" s="1"/>
      <c r="L1009" s="1"/>
      <c r="M1009" s="1"/>
      <c r="N1009" s="1"/>
      <c r="O1009" s="1"/>
      <c r="P1009" s="1"/>
      <c r="Q1009" s="1"/>
      <c r="R1009" s="1"/>
      <c r="S1009" s="1"/>
      <c r="T1009" s="1"/>
      <c r="U1009" s="1"/>
      <c r="V1009" s="1"/>
      <c r="W1009" s="1"/>
      <c r="X1009" s="1"/>
      <c r="Y1009" s="1"/>
      <c r="Z1009" s="1"/>
      <c r="AA1009" s="1"/>
      <c r="AB1009" s="1"/>
    </row>
    <row r="1010" ht="50.25" customHeight="1">
      <c r="A1010" s="12">
        <v>1006.0</v>
      </c>
      <c r="B1010" s="13" t="s">
        <v>1004</v>
      </c>
      <c r="C1010" s="14" t="s">
        <v>1016</v>
      </c>
      <c r="D1010" s="1"/>
      <c r="E1010" s="15"/>
      <c r="F1010" s="1" t="str">
        <f>IFERROR(__xludf.DUMMYFUNCTION("GOOGLETRANSLATE(B1010, ""en"", ""fa"")
"),"تجارت الکترونیک و فروش آنلاین")</f>
        <v>تجارت الکترونیک و فروش آنلاین</v>
      </c>
      <c r="G1010" s="1" t="str">
        <f>IFERROR(__xludf.DUMMYFUNCTION("GOOGLETRANSLATE(C1010, ""en"", ""fa"")
"),"درباره تأثیر ارائه گزینه‌های حمل و نقل انعطاف‌پذیر، مانند آستانه حمل و نقل سریع یا آستانه ارسال رایگان، برای برآورده کردن انتظارات مشتری و افزایش نرخ تبدیل، بحث کنید.")</f>
        <v>درباره تأثیر ارائه گزینه‌های حمل و نقل انعطاف‌پذیر، مانند آستانه حمل و نقل سریع یا آستانه ارسال رایگان، برای برآورده کردن انتظارات مشتری و افزایش نرخ تبدیل، بحث کنید.</v>
      </c>
      <c r="H1010" s="1"/>
      <c r="I1010" s="1"/>
      <c r="J1010" s="1"/>
      <c r="K1010" s="1"/>
      <c r="L1010" s="1"/>
      <c r="M1010" s="1"/>
      <c r="N1010" s="1"/>
      <c r="O1010" s="1"/>
      <c r="P1010" s="1"/>
      <c r="Q1010" s="1"/>
      <c r="R1010" s="1"/>
      <c r="S1010" s="1"/>
      <c r="T1010" s="1"/>
      <c r="U1010" s="1"/>
      <c r="V1010" s="1"/>
      <c r="W1010" s="1"/>
      <c r="X1010" s="1"/>
      <c r="Y1010" s="1"/>
      <c r="Z1010" s="1"/>
      <c r="AA1010" s="1"/>
      <c r="AB1010" s="1"/>
    </row>
    <row r="1011" ht="50.25" customHeight="1">
      <c r="A1011" s="12">
        <v>1007.0</v>
      </c>
      <c r="B1011" s="13" t="s">
        <v>1004</v>
      </c>
      <c r="C1011" s="14" t="s">
        <v>1017</v>
      </c>
      <c r="D1011" s="1"/>
      <c r="E1011" s="15"/>
      <c r="F1011" s="1" t="str">
        <f>IFERROR(__xludf.DUMMYFUNCTION("GOOGLETRANSLATE(B1011, ""en"", ""fa"")
"),"تجارت الکترونیک و فروش آنلاین")</f>
        <v>تجارت الکترونیک و فروش آنلاین</v>
      </c>
      <c r="G1011" s="1" t="str">
        <f>IFERROR(__xludf.DUMMYFUNCTION("GOOGLETRANSLATE(C1011, ""en"", ""fa"")
"),"نکاتی را برای استفاده از بازاریابی ایمیلی در تجارت الکترونیک برای پرورش سرنخ ها، ارسال پیشنهادات شخصی و بازیابی سبدهای رها شده به اشتراک بگذارید.")</f>
        <v>نکاتی را برای استفاده از بازاریابی ایمیلی در تجارت الکترونیک برای پرورش سرنخ ها، ارسال پیشنهادات شخصی و بازیابی سبدهای رها شده به اشتراک بگذارید.</v>
      </c>
      <c r="H1011" s="1"/>
      <c r="I1011" s="1"/>
      <c r="J1011" s="1"/>
      <c r="K1011" s="1"/>
      <c r="L1011" s="1"/>
      <c r="M1011" s="1"/>
      <c r="N1011" s="1"/>
      <c r="O1011" s="1"/>
      <c r="P1011" s="1"/>
      <c r="Q1011" s="1"/>
      <c r="R1011" s="1"/>
      <c r="S1011" s="1"/>
      <c r="T1011" s="1"/>
      <c r="U1011" s="1"/>
      <c r="V1011" s="1"/>
      <c r="W1011" s="1"/>
      <c r="X1011" s="1"/>
      <c r="Y1011" s="1"/>
      <c r="Z1011" s="1"/>
      <c r="AA1011" s="1"/>
      <c r="AB1011" s="1"/>
    </row>
    <row r="1012" ht="50.25" customHeight="1">
      <c r="A1012" s="12">
        <v>1008.0</v>
      </c>
      <c r="B1012" s="13" t="s">
        <v>1004</v>
      </c>
      <c r="C1012" s="14" t="s">
        <v>1018</v>
      </c>
      <c r="D1012" s="1"/>
      <c r="E1012" s="15"/>
      <c r="F1012" s="1" t="str">
        <f>IFERROR(__xludf.DUMMYFUNCTION("GOOGLETRANSLATE(B1012, ""en"", ""fa"")
"),"تجارت الکترونیک و فروش آنلاین")</f>
        <v>تجارت الکترونیک و فروش آنلاین</v>
      </c>
      <c r="G1012" s="1" t="str">
        <f>IFERROR(__xludf.DUMMYFUNCTION("GOOGLETRANSLATE(C1012, ""en"", ""fa"")
"),"مفهوم استفاده از تبلیغات هدف‌گیری مجدد را برای دستیابی به مشتریانی که به محصولات خاصی علاقه نشان داده‌اند یا از وب‌سایت بازدید کرده‌اند اما خریدی را انجام نداده‌اند، کاوش کنید.")</f>
        <v>مفهوم استفاده از تبلیغات هدف‌گیری مجدد را برای دستیابی به مشتریانی که به محصولات خاصی علاقه نشان داده‌اند یا از وب‌سایت بازدید کرده‌اند اما خریدی را انجام نداده‌اند، کاوش کنید.</v>
      </c>
      <c r="H1012" s="1"/>
      <c r="I1012" s="1"/>
      <c r="J1012" s="1"/>
      <c r="K1012" s="1"/>
      <c r="L1012" s="1"/>
      <c r="M1012" s="1"/>
      <c r="N1012" s="1"/>
      <c r="O1012" s="1"/>
      <c r="P1012" s="1"/>
      <c r="Q1012" s="1"/>
      <c r="R1012" s="1"/>
      <c r="S1012" s="1"/>
      <c r="T1012" s="1"/>
      <c r="U1012" s="1"/>
      <c r="V1012" s="1"/>
      <c r="W1012" s="1"/>
      <c r="X1012" s="1"/>
      <c r="Y1012" s="1"/>
      <c r="Z1012" s="1"/>
      <c r="AA1012" s="1"/>
      <c r="AB1012" s="1"/>
    </row>
    <row r="1013" ht="50.25" customHeight="1">
      <c r="A1013" s="12">
        <v>1009.0</v>
      </c>
      <c r="B1013" s="13" t="s">
        <v>1004</v>
      </c>
      <c r="C1013" s="14" t="s">
        <v>1019</v>
      </c>
      <c r="D1013" s="1"/>
      <c r="E1013" s="15"/>
      <c r="F1013" s="1" t="str">
        <f>IFERROR(__xludf.DUMMYFUNCTION("GOOGLETRANSLATE(B1013, ""en"", ""fa"")
"),"تجارت الکترونیک و فروش آنلاین")</f>
        <v>تجارت الکترونیک و فروش آنلاین</v>
      </c>
      <c r="G1013" s="1" t="str">
        <f>IFERROR(__xludf.DUMMYFUNCTION("GOOGLETRANSLATE(C1013, ""en"", ""fa"")
"),"درباره نقش استفاده از تقسیم‌بندی مشتری برای ارائه کمپین‌های بازاریابی هدفمند و پیشنهادات شخصی‌شده بر اساس ترجیحات و رفتارهای مشتریان بحث کنید.")</f>
        <v>درباره نقش استفاده از تقسیم‌بندی مشتری برای ارائه کمپین‌های بازاریابی هدفمند و پیشنهادات شخصی‌شده بر اساس ترجیحات و رفتارهای مشتریان بحث کنید.</v>
      </c>
      <c r="H1013" s="1"/>
      <c r="I1013" s="1"/>
      <c r="J1013" s="1"/>
      <c r="K1013" s="1"/>
      <c r="L1013" s="1"/>
      <c r="M1013" s="1"/>
      <c r="N1013" s="1"/>
      <c r="O1013" s="1"/>
      <c r="P1013" s="1"/>
      <c r="Q1013" s="1"/>
      <c r="R1013" s="1"/>
      <c r="S1013" s="1"/>
      <c r="T1013" s="1"/>
      <c r="U1013" s="1"/>
      <c r="V1013" s="1"/>
      <c r="W1013" s="1"/>
      <c r="X1013" s="1"/>
      <c r="Y1013" s="1"/>
      <c r="Z1013" s="1"/>
      <c r="AA1013" s="1"/>
      <c r="AB1013" s="1"/>
    </row>
    <row r="1014" ht="50.25" customHeight="1">
      <c r="A1014" s="12">
        <v>1010.0</v>
      </c>
      <c r="B1014" s="13" t="s">
        <v>1004</v>
      </c>
      <c r="C1014" s="14" t="s">
        <v>1020</v>
      </c>
      <c r="D1014" s="1"/>
      <c r="E1014" s="15"/>
      <c r="F1014" s="1" t="str">
        <f>IFERROR(__xludf.DUMMYFUNCTION("GOOGLETRANSLATE(B1014, ""en"", ""fa"")
"),"تجارت الکترونیک و فروش آنلاین")</f>
        <v>تجارت الکترونیک و فروش آنلاین</v>
      </c>
      <c r="G1014" s="1" t="str">
        <f>IFERROR(__xludf.DUMMYFUNCTION("GOOGLETRANSLATE(C1014, ""en"", ""fa"")
"),"استراتژی‌های اجرای برنامه وفاداری مشتری در تجارت الکترونیک را به اشتراک بگذارید تا انگیزه‌ای برای خریدهای تکراری ایجاد کنید، حفظ مشتری را تقویت کنید و حمایت از مشتری را افزایش دهید.")</f>
        <v>استراتژی‌های اجرای برنامه وفاداری مشتری در تجارت الکترونیک را به اشتراک بگذارید تا انگیزه‌ای برای خریدهای تکراری ایجاد کنید، حفظ مشتری را تقویت کنید و حمایت از مشتری را افزایش دهید.</v>
      </c>
      <c r="H1014" s="1"/>
      <c r="I1014" s="1"/>
      <c r="J1014" s="1"/>
      <c r="K1014" s="1"/>
      <c r="L1014" s="1"/>
      <c r="M1014" s="1"/>
      <c r="N1014" s="1"/>
      <c r="O1014" s="1"/>
      <c r="P1014" s="1"/>
      <c r="Q1014" s="1"/>
      <c r="R1014" s="1"/>
      <c r="S1014" s="1"/>
      <c r="T1014" s="1"/>
      <c r="U1014" s="1"/>
      <c r="V1014" s="1"/>
      <c r="W1014" s="1"/>
      <c r="X1014" s="1"/>
      <c r="Y1014" s="1"/>
      <c r="Z1014" s="1"/>
      <c r="AA1014" s="1"/>
      <c r="AB1014" s="1"/>
    </row>
    <row r="1015" ht="50.25" customHeight="1">
      <c r="A1015" s="12">
        <v>1011.0</v>
      </c>
      <c r="B1015" s="13" t="s">
        <v>1004</v>
      </c>
      <c r="C1015" s="14" t="s">
        <v>1021</v>
      </c>
      <c r="D1015" s="1"/>
      <c r="E1015" s="15"/>
      <c r="F1015" s="1" t="str">
        <f>IFERROR(__xludf.DUMMYFUNCTION("GOOGLETRANSLATE(B1015, ""en"", ""fa"")
"),"تجارت الکترونیک و فروش آنلاین")</f>
        <v>تجارت الکترونیک و فروش آنلاین</v>
      </c>
      <c r="G1015" s="1" t="str">
        <f>IFERROR(__xludf.DUMMYFUNCTION("GOOGLETRANSLATE(C1015, ""en"", ""fa"")
"),"مزایای استفاده از چت زنده یا پشتیبانی چت بات را در وب سایت های تجارت الکترونیک برای ارائه کمک در زمان واقعی و بهبود رضایت مشتری کاوش کنید.")</f>
        <v>مزایای استفاده از چت زنده یا پشتیبانی چت بات را در وب سایت های تجارت الکترونیک برای ارائه کمک در زمان واقعی و بهبود رضایت مشتری کاوش کنید.</v>
      </c>
      <c r="H1015" s="1"/>
      <c r="I1015" s="1"/>
      <c r="J1015" s="1"/>
      <c r="K1015" s="1"/>
      <c r="L1015" s="1"/>
      <c r="M1015" s="1"/>
      <c r="N1015" s="1"/>
      <c r="O1015" s="1"/>
      <c r="P1015" s="1"/>
      <c r="Q1015" s="1"/>
      <c r="R1015" s="1"/>
      <c r="S1015" s="1"/>
      <c r="T1015" s="1"/>
      <c r="U1015" s="1"/>
      <c r="V1015" s="1"/>
      <c r="W1015" s="1"/>
      <c r="X1015" s="1"/>
      <c r="Y1015" s="1"/>
      <c r="Z1015" s="1"/>
      <c r="AA1015" s="1"/>
      <c r="AB1015" s="1"/>
    </row>
    <row r="1016" ht="50.25" customHeight="1">
      <c r="A1016" s="12">
        <v>1012.0</v>
      </c>
      <c r="B1016" s="13" t="s">
        <v>1004</v>
      </c>
      <c r="C1016" s="14" t="s">
        <v>1022</v>
      </c>
      <c r="D1016" s="1"/>
      <c r="E1016" s="15"/>
      <c r="F1016" s="1" t="str">
        <f>IFERROR(__xludf.DUMMYFUNCTION("GOOGLETRANSLATE(B1016, ""en"", ""fa"")
"),"تجارت الکترونیک و فروش آنلاین")</f>
        <v>تجارت الکترونیک و فروش آنلاین</v>
      </c>
      <c r="G1016" s="1" t="str">
        <f>IFERROR(__xludf.DUMMYFUNCTION("GOOGLETRANSLATE(C1016, ""en"", ""fa"")
"),"در مورد تأثیر استفاده از پلتفرم های رسانه های اجتماعی مانند اینستاگرام یا فیس بوک برای نمایش محصولات، تعامل با مشتریان و هدایت ترافیک به فروشگاه آنلاین بحث کنید.")</f>
        <v>در مورد تأثیر استفاده از پلتفرم های رسانه های اجتماعی مانند اینستاگرام یا فیس بوک برای نمایش محصولات، تعامل با مشتریان و هدایت ترافیک به فروشگاه آنلاین بحث کنید.</v>
      </c>
      <c r="H1016" s="1"/>
      <c r="I1016" s="1"/>
      <c r="J1016" s="1"/>
      <c r="K1016" s="1"/>
      <c r="L1016" s="1"/>
      <c r="M1016" s="1"/>
      <c r="N1016" s="1"/>
      <c r="O1016" s="1"/>
      <c r="P1016" s="1"/>
      <c r="Q1016" s="1"/>
      <c r="R1016" s="1"/>
      <c r="S1016" s="1"/>
      <c r="T1016" s="1"/>
      <c r="U1016" s="1"/>
      <c r="V1016" s="1"/>
      <c r="W1016" s="1"/>
      <c r="X1016" s="1"/>
      <c r="Y1016" s="1"/>
      <c r="Z1016" s="1"/>
      <c r="AA1016" s="1"/>
      <c r="AB1016" s="1"/>
    </row>
    <row r="1017" ht="50.25" customHeight="1">
      <c r="A1017" s="12">
        <v>1013.0</v>
      </c>
      <c r="B1017" s="13" t="s">
        <v>1004</v>
      </c>
      <c r="C1017" s="14" t="s">
        <v>1023</v>
      </c>
      <c r="D1017" s="1"/>
      <c r="E1017" s="15"/>
      <c r="F1017" s="1" t="str">
        <f>IFERROR(__xludf.DUMMYFUNCTION("GOOGLETRANSLATE(B1017, ""en"", ""fa"")
"),"تجارت الکترونیک و فروش آنلاین")</f>
        <v>تجارت الکترونیک و فروش آنلاین</v>
      </c>
      <c r="G1017" s="1" t="str">
        <f>IFERROR(__xludf.DUMMYFUNCTION("GOOGLETRANSLATE(C1017, ""en"", ""fa"")
"),"نکاتی را برای بهینه‌سازی قابلیت‌های جستجو و ناوبری محصول در وب‌سایت‌های تجارت الکترونیک به اشتراک بگذارید تا به مشتریان کمک کنید محصولات را سریع و آسان پیدا کنند.")</f>
        <v>نکاتی را برای بهینه‌سازی قابلیت‌های جستجو و ناوبری محصول در وب‌سایت‌های تجارت الکترونیک به اشتراک بگذارید تا به مشتریان کمک کنید محصولات را سریع و آسان پیدا کنند.</v>
      </c>
      <c r="H1017" s="1"/>
      <c r="I1017" s="1"/>
      <c r="J1017" s="1"/>
      <c r="K1017" s="1"/>
      <c r="L1017" s="1"/>
      <c r="M1017" s="1"/>
      <c r="N1017" s="1"/>
      <c r="O1017" s="1"/>
      <c r="P1017" s="1"/>
      <c r="Q1017" s="1"/>
      <c r="R1017" s="1"/>
      <c r="S1017" s="1"/>
      <c r="T1017" s="1"/>
      <c r="U1017" s="1"/>
      <c r="V1017" s="1"/>
      <c r="W1017" s="1"/>
      <c r="X1017" s="1"/>
      <c r="Y1017" s="1"/>
      <c r="Z1017" s="1"/>
      <c r="AA1017" s="1"/>
      <c r="AB1017" s="1"/>
    </row>
    <row r="1018" ht="50.25" customHeight="1">
      <c r="A1018" s="12">
        <v>1014.0</v>
      </c>
      <c r="B1018" s="13" t="s">
        <v>1004</v>
      </c>
      <c r="C1018" s="14" t="s">
        <v>1024</v>
      </c>
      <c r="D1018" s="1"/>
      <c r="E1018" s="15"/>
      <c r="F1018" s="1" t="str">
        <f>IFERROR(__xludf.DUMMYFUNCTION("GOOGLETRANSLATE(B1018, ""en"", ""fa"")
"),"تجارت الکترونیک و فروش آنلاین")</f>
        <v>تجارت الکترونیک و فروش آنلاین</v>
      </c>
      <c r="G1018" s="1" t="str">
        <f>IFERROR(__xludf.DUMMYFUNCTION("GOOGLETRANSLATE(C1018, ""en"", ""fa"")
"),"مفهوم استفاده از نظرات و رتبه‌بندی‌های مشتریان را به‌عنوان اثبات اجتماعی برای تأثیرگذاری بر تصمیمات خرید و ایجاد شهرت برند بررسی کنید.")</f>
        <v>مفهوم استفاده از نظرات و رتبه‌بندی‌های مشتریان را به‌عنوان اثبات اجتماعی برای تأثیرگذاری بر تصمیمات خرید و ایجاد شهرت برند بررسی کنید.</v>
      </c>
      <c r="H1018" s="1"/>
      <c r="I1018" s="1"/>
      <c r="J1018" s="1"/>
      <c r="K1018" s="1"/>
      <c r="L1018" s="1"/>
      <c r="M1018" s="1"/>
      <c r="N1018" s="1"/>
      <c r="O1018" s="1"/>
      <c r="P1018" s="1"/>
      <c r="Q1018" s="1"/>
      <c r="R1018" s="1"/>
      <c r="S1018" s="1"/>
      <c r="T1018" s="1"/>
      <c r="U1018" s="1"/>
      <c r="V1018" s="1"/>
      <c r="W1018" s="1"/>
      <c r="X1018" s="1"/>
      <c r="Y1018" s="1"/>
      <c r="Z1018" s="1"/>
      <c r="AA1018" s="1"/>
      <c r="AB1018" s="1"/>
    </row>
    <row r="1019" ht="50.25" customHeight="1">
      <c r="A1019" s="12">
        <v>1015.0</v>
      </c>
      <c r="B1019" s="13" t="s">
        <v>1004</v>
      </c>
      <c r="C1019" s="14" t="s">
        <v>1025</v>
      </c>
      <c r="D1019" s="1"/>
      <c r="E1019" s="15"/>
      <c r="F1019" s="1" t="str">
        <f>IFERROR(__xludf.DUMMYFUNCTION("GOOGLETRANSLATE(B1019, ""en"", ""fa"")
"),"تجارت الکترونیک و فروش آنلاین")</f>
        <v>تجارت الکترونیک و فروش آنلاین</v>
      </c>
      <c r="G1019" s="1" t="str">
        <f>IFERROR(__xludf.DUMMYFUNCTION("GOOGLETRANSLATE(C1019, ""en"", ""fa"")
"),"درباره نقش استفاده از ایمیل‌های بازیابی سبد خرید رها شده شخصی‌سازی شده برای ترغیب مشتریان به بازگشت و تکمیل خرید خود بحث کنید.")</f>
        <v>درباره نقش استفاده از ایمیل‌های بازیابی سبد خرید رها شده شخصی‌سازی شده برای ترغیب مشتریان به بازگشت و تکمیل خرید خود بحث کنید.</v>
      </c>
      <c r="H1019" s="1"/>
      <c r="I1019" s="1"/>
      <c r="J1019" s="1"/>
      <c r="K1019" s="1"/>
      <c r="L1019" s="1"/>
      <c r="M1019" s="1"/>
      <c r="N1019" s="1"/>
      <c r="O1019" s="1"/>
      <c r="P1019" s="1"/>
      <c r="Q1019" s="1"/>
      <c r="R1019" s="1"/>
      <c r="S1019" s="1"/>
      <c r="T1019" s="1"/>
      <c r="U1019" s="1"/>
      <c r="V1019" s="1"/>
      <c r="W1019" s="1"/>
      <c r="X1019" s="1"/>
      <c r="Y1019" s="1"/>
      <c r="Z1019" s="1"/>
      <c r="AA1019" s="1"/>
      <c r="AB1019" s="1"/>
    </row>
    <row r="1020" ht="50.25" customHeight="1">
      <c r="A1020" s="12">
        <v>1016.0</v>
      </c>
      <c r="B1020" s="13" t="s">
        <v>1004</v>
      </c>
      <c r="C1020" s="14" t="s">
        <v>1026</v>
      </c>
      <c r="D1020" s="1"/>
      <c r="E1020" s="15"/>
      <c r="F1020" s="1" t="str">
        <f>IFERROR(__xludf.DUMMYFUNCTION("GOOGLETRANSLATE(B1020, ""en"", ""fa"")
"),"تجارت الکترونیک و فروش آنلاین")</f>
        <v>تجارت الکترونیک و فروش آنلاین</v>
      </c>
      <c r="G1020" s="1" t="str">
        <f>IFERROR(__xludf.DUMMYFUNCTION("GOOGLETRANSLATE(C1020, ""en"", ""fa"")
"),"به اشتراک گذاری استراتژی ها برای اجرای بسته بندی محصول یا معاملات بسته موثر برای افزایش فروش و ارائه ارزش افزوده به مشتریان.")</f>
        <v>به اشتراک گذاری استراتژی ها برای اجرای بسته بندی محصول یا معاملات بسته موثر برای افزایش فروش و ارائه ارزش افزوده به مشتریان.</v>
      </c>
      <c r="H1020" s="1"/>
      <c r="I1020" s="1"/>
      <c r="J1020" s="1"/>
      <c r="K1020" s="1"/>
      <c r="L1020" s="1"/>
      <c r="M1020" s="1"/>
      <c r="N1020" s="1"/>
      <c r="O1020" s="1"/>
      <c r="P1020" s="1"/>
      <c r="Q1020" s="1"/>
      <c r="R1020" s="1"/>
      <c r="S1020" s="1"/>
      <c r="T1020" s="1"/>
      <c r="U1020" s="1"/>
      <c r="V1020" s="1"/>
      <c r="W1020" s="1"/>
      <c r="X1020" s="1"/>
      <c r="Y1020" s="1"/>
      <c r="Z1020" s="1"/>
      <c r="AA1020" s="1"/>
      <c r="AB1020" s="1"/>
    </row>
    <row r="1021" ht="50.25" customHeight="1">
      <c r="A1021" s="12">
        <v>1017.0</v>
      </c>
      <c r="B1021" s="13" t="s">
        <v>1004</v>
      </c>
      <c r="C1021" s="14" t="s">
        <v>1027</v>
      </c>
      <c r="D1021" s="1"/>
      <c r="E1021" s="15"/>
      <c r="F1021" s="1" t="str">
        <f>IFERROR(__xludf.DUMMYFUNCTION("GOOGLETRANSLATE(B1021, ""en"", ""fa"")
"),"تجارت الکترونیک و فروش آنلاین")</f>
        <v>تجارت الکترونیک و فروش آنلاین</v>
      </c>
      <c r="G1021" s="1" t="str">
        <f>IFERROR(__xludf.DUMMYFUNCTION("GOOGLETRANSLATE(C1021, ""en"", ""fa"")
"),"مزایای ارائه سیاست بازگشت و بازپرداخت بدون دردسر در تجارت الکترونیک را برای ایجاد اعتماد، کاهش تردید خریدار و بهبود رضایت مشتری بررسی کنید.")</f>
        <v>مزایای ارائه سیاست بازگشت و بازپرداخت بدون دردسر در تجارت الکترونیک را برای ایجاد اعتماد، کاهش تردید خریدار و بهبود رضایت مشتری بررسی کنید.</v>
      </c>
      <c r="H1021" s="1"/>
      <c r="I1021" s="1"/>
      <c r="J1021" s="1"/>
      <c r="K1021" s="1"/>
      <c r="L1021" s="1"/>
      <c r="M1021" s="1"/>
      <c r="N1021" s="1"/>
      <c r="O1021" s="1"/>
      <c r="P1021" s="1"/>
      <c r="Q1021" s="1"/>
      <c r="R1021" s="1"/>
      <c r="S1021" s="1"/>
      <c r="T1021" s="1"/>
      <c r="U1021" s="1"/>
      <c r="V1021" s="1"/>
      <c r="W1021" s="1"/>
      <c r="X1021" s="1"/>
      <c r="Y1021" s="1"/>
      <c r="Z1021" s="1"/>
      <c r="AA1021" s="1"/>
      <c r="AB1021" s="1"/>
    </row>
    <row r="1022" ht="50.25" customHeight="1">
      <c r="A1022" s="12">
        <v>1018.0</v>
      </c>
      <c r="B1022" s="13" t="s">
        <v>1004</v>
      </c>
      <c r="C1022" s="14" t="s">
        <v>1028</v>
      </c>
      <c r="D1022" s="1"/>
      <c r="E1022" s="15"/>
      <c r="F1022" s="1" t="str">
        <f>IFERROR(__xludf.DUMMYFUNCTION("GOOGLETRANSLATE(B1022, ""en"", ""fa"")
"),"تجارت الکترونیک و فروش آنلاین")</f>
        <v>تجارت الکترونیک و فروش آنلاین</v>
      </c>
      <c r="G1022" s="1" t="str">
        <f>IFERROR(__xludf.DUMMYFUNCTION("GOOGLETRANSLATE(C1022, ""en"", ""fa"")
"),"در مورد تاثیر اعمال نفوذ اینفلوئنسر مارکتینگ در تجارت الکترونیک برای دستیابی به مخاطبان جدید، ایجاد آگاهی از برند و افزایش فروش بحث کنید.")</f>
        <v>در مورد تاثیر اعمال نفوذ اینفلوئنسر مارکتینگ در تجارت الکترونیک برای دستیابی به مخاطبان جدید، ایجاد آگاهی از برند و افزایش فروش بحث کنید.</v>
      </c>
      <c r="H1022" s="1"/>
      <c r="I1022" s="1"/>
      <c r="J1022" s="1"/>
      <c r="K1022" s="1"/>
      <c r="L1022" s="1"/>
      <c r="M1022" s="1"/>
      <c r="N1022" s="1"/>
      <c r="O1022" s="1"/>
      <c r="P1022" s="1"/>
      <c r="Q1022" s="1"/>
      <c r="R1022" s="1"/>
      <c r="S1022" s="1"/>
      <c r="T1022" s="1"/>
      <c r="U1022" s="1"/>
      <c r="V1022" s="1"/>
      <c r="W1022" s="1"/>
      <c r="X1022" s="1"/>
      <c r="Y1022" s="1"/>
      <c r="Z1022" s="1"/>
      <c r="AA1022" s="1"/>
      <c r="AB1022" s="1"/>
    </row>
    <row r="1023" ht="50.25" customHeight="1">
      <c r="A1023" s="12">
        <v>1019.0</v>
      </c>
      <c r="B1023" s="13" t="s">
        <v>1004</v>
      </c>
      <c r="C1023" s="14" t="s">
        <v>1029</v>
      </c>
      <c r="D1023" s="1"/>
      <c r="E1023" s="15"/>
      <c r="F1023" s="1" t="str">
        <f>IFERROR(__xludf.DUMMYFUNCTION("GOOGLETRANSLATE(B1023, ""en"", ""fa"")
"),"تجارت الکترونیک و فروش آنلاین")</f>
        <v>تجارت الکترونیک و فروش آنلاین</v>
      </c>
      <c r="G1023" s="1" t="str">
        <f>IFERROR(__xludf.DUMMYFUNCTION("GOOGLETRANSLATE(C1023, ""en"", ""fa"")
"),"نکاتی را برای بهینه سازی تصاویر محصول به اشتراک بگذارید تا محصولات را در بهترین نور به نمایش بگذارید، از جمله زوایای متعدد، عملکرد زوم، و عکس های سبک زندگی.")</f>
        <v>نکاتی را برای بهینه سازی تصاویر محصول به اشتراک بگذارید تا محصولات را در بهترین نور به نمایش بگذارید، از جمله زوایای متعدد، عملکرد زوم، و عکس های سبک زندگی.</v>
      </c>
      <c r="H1023" s="1"/>
      <c r="I1023" s="1"/>
      <c r="J1023" s="1"/>
      <c r="K1023" s="1"/>
      <c r="L1023" s="1"/>
      <c r="M1023" s="1"/>
      <c r="N1023" s="1"/>
      <c r="O1023" s="1"/>
      <c r="P1023" s="1"/>
      <c r="Q1023" s="1"/>
      <c r="R1023" s="1"/>
      <c r="S1023" s="1"/>
      <c r="T1023" s="1"/>
      <c r="U1023" s="1"/>
      <c r="V1023" s="1"/>
      <c r="W1023" s="1"/>
      <c r="X1023" s="1"/>
      <c r="Y1023" s="1"/>
      <c r="Z1023" s="1"/>
      <c r="AA1023" s="1"/>
      <c r="AB1023" s="1"/>
    </row>
    <row r="1024" ht="50.25" customHeight="1">
      <c r="A1024" s="12">
        <v>1020.0</v>
      </c>
      <c r="B1024" s="13" t="s">
        <v>1004</v>
      </c>
      <c r="C1024" s="14" t="s">
        <v>1030</v>
      </c>
      <c r="D1024" s="1"/>
      <c r="E1024" s="15"/>
      <c r="F1024" s="1" t="str">
        <f>IFERROR(__xludf.DUMMYFUNCTION("GOOGLETRANSLATE(B1024, ""en"", ""fa"")
"),"تجارت الکترونیک و فروش آنلاین")</f>
        <v>تجارت الکترونیک و فروش آنلاین</v>
      </c>
      <c r="G1024" s="1" t="str">
        <f>IFERROR(__xludf.DUMMYFUNCTION("GOOGLETRANSLATE(C1024, ""en"", ""fa"")
"),"مفهوم استفاده از تخفیف های شخصی یا پیشنهادات انحصاری برای مشتریان وفادار را بررسی کنید تا خریدهای تکراری را تشویق کنید و وفاداری به برند را تقویت کنید.")</f>
        <v>مفهوم استفاده از تخفیف های شخصی یا پیشنهادات انحصاری برای مشتریان وفادار را بررسی کنید تا خریدهای تکراری را تشویق کنید و وفاداری به برند را تقویت کنید.</v>
      </c>
      <c r="H1024" s="1"/>
      <c r="I1024" s="1"/>
      <c r="J1024" s="1"/>
      <c r="K1024" s="1"/>
      <c r="L1024" s="1"/>
      <c r="M1024" s="1"/>
      <c r="N1024" s="1"/>
      <c r="O1024" s="1"/>
      <c r="P1024" s="1"/>
      <c r="Q1024" s="1"/>
      <c r="R1024" s="1"/>
      <c r="S1024" s="1"/>
      <c r="T1024" s="1"/>
      <c r="U1024" s="1"/>
      <c r="V1024" s="1"/>
      <c r="W1024" s="1"/>
      <c r="X1024" s="1"/>
      <c r="Y1024" s="1"/>
      <c r="Z1024" s="1"/>
      <c r="AA1024" s="1"/>
      <c r="AB1024" s="1"/>
    </row>
    <row r="1025" ht="50.25" customHeight="1">
      <c r="A1025" s="12">
        <v>1021.0</v>
      </c>
      <c r="B1025" s="13" t="s">
        <v>1004</v>
      </c>
      <c r="C1025" s="14" t="s">
        <v>1031</v>
      </c>
      <c r="D1025" s="1"/>
      <c r="E1025" s="15"/>
      <c r="F1025" s="1" t="str">
        <f>IFERROR(__xludf.DUMMYFUNCTION("GOOGLETRANSLATE(B1025, ""en"", ""fa"")
"),"تجارت الکترونیک و فروش آنلاین")</f>
        <v>تجارت الکترونیک و فروش آنلاین</v>
      </c>
      <c r="G1025" s="1" t="str">
        <f>IFERROR(__xludf.DUMMYFUNCTION("GOOGLETRANSLATE(C1025, ""en"", ""fa"")
"),"در مورد نقش اجرای نظرات و رتبه بندی مشتریان در صفحات محصول برای ارائه اثبات اجتماعی و کمک به فرآیند تصمیم گیری خرید بحث کنید.")</f>
        <v>در مورد نقش اجرای نظرات و رتبه بندی مشتریان در صفحات محصول برای ارائه اثبات اجتماعی و کمک به فرآیند تصمیم گیری خرید بحث کنید.</v>
      </c>
      <c r="H1025" s="1"/>
      <c r="I1025" s="1"/>
      <c r="J1025" s="1"/>
      <c r="K1025" s="1"/>
      <c r="L1025" s="1"/>
      <c r="M1025" s="1"/>
      <c r="N1025" s="1"/>
      <c r="O1025" s="1"/>
      <c r="P1025" s="1"/>
      <c r="Q1025" s="1"/>
      <c r="R1025" s="1"/>
      <c r="S1025" s="1"/>
      <c r="T1025" s="1"/>
      <c r="U1025" s="1"/>
      <c r="V1025" s="1"/>
      <c r="W1025" s="1"/>
      <c r="X1025" s="1"/>
      <c r="Y1025" s="1"/>
      <c r="Z1025" s="1"/>
      <c r="AA1025" s="1"/>
      <c r="AB1025" s="1"/>
    </row>
    <row r="1026" ht="50.25" customHeight="1">
      <c r="A1026" s="12">
        <v>1022.0</v>
      </c>
      <c r="B1026" s="13" t="s">
        <v>1004</v>
      </c>
      <c r="C1026" s="14" t="s">
        <v>1032</v>
      </c>
      <c r="D1026" s="1"/>
      <c r="E1026" s="15"/>
      <c r="F1026" s="1" t="str">
        <f>IFERROR(__xludf.DUMMYFUNCTION("GOOGLETRANSLATE(B1026, ""en"", ""fa"")
"),"تجارت الکترونیک و فروش آنلاین")</f>
        <v>تجارت الکترونیک و فروش آنلاین</v>
      </c>
      <c r="G1026" s="1" t="str">
        <f>IFERROR(__xludf.DUMMYFUNCTION("GOOGLETRANSLATE(C1026, ""en"", ""fa"")
"),"استراتژی‌های بهینه‌سازی موتور توصیه محصول را در وب‌سایت‌های تجارت الکترونیک به اشتراک بگذارید تا فرصت‌های فروش متقابل و افزایش فروش را افزایش دهید.")</f>
        <v>استراتژی‌های بهینه‌سازی موتور توصیه محصول را در وب‌سایت‌های تجارت الکترونیک به اشتراک بگذارید تا فرصت‌های فروش متقابل و افزایش فروش را افزایش دهید.</v>
      </c>
      <c r="H1026" s="1"/>
      <c r="I1026" s="1"/>
      <c r="J1026" s="1"/>
      <c r="K1026" s="1"/>
      <c r="L1026" s="1"/>
      <c r="M1026" s="1"/>
      <c r="N1026" s="1"/>
      <c r="O1026" s="1"/>
      <c r="P1026" s="1"/>
      <c r="Q1026" s="1"/>
      <c r="R1026" s="1"/>
      <c r="S1026" s="1"/>
      <c r="T1026" s="1"/>
      <c r="U1026" s="1"/>
      <c r="V1026" s="1"/>
      <c r="W1026" s="1"/>
      <c r="X1026" s="1"/>
      <c r="Y1026" s="1"/>
      <c r="Z1026" s="1"/>
      <c r="AA1026" s="1"/>
      <c r="AB1026" s="1"/>
    </row>
    <row r="1027" ht="50.25" customHeight="1">
      <c r="A1027" s="12">
        <v>1023.0</v>
      </c>
      <c r="B1027" s="13" t="s">
        <v>1004</v>
      </c>
      <c r="C1027" s="14" t="s">
        <v>1033</v>
      </c>
      <c r="D1027" s="1"/>
      <c r="E1027" s="15"/>
      <c r="F1027" s="1" t="str">
        <f>IFERROR(__xludf.DUMMYFUNCTION("GOOGLETRANSLATE(B1027, ""en"", ""fa"")
"),"تجارت الکترونیک و فروش آنلاین")</f>
        <v>تجارت الکترونیک و فروش آنلاین</v>
      </c>
      <c r="G1027" s="1" t="str">
        <f>IFERROR(__xludf.DUMMYFUNCTION("GOOGLETRANSLATE(C1027, ""en"", ""fa"")
"),"مزایای استفاده از داده ها و تجزیه و تحلیل مشتری را برای به دست آوردن بینش در مورد رفتار، ترجیحات و روندهای مشتری و بهبود استراتژی های بازاریابی و فروش بررسی کنید.")</f>
        <v>مزایای استفاده از داده ها و تجزیه و تحلیل مشتری را برای به دست آوردن بینش در مورد رفتار، ترجیحات و روندهای مشتری و بهبود استراتژی های بازاریابی و فروش بررسی کنید.</v>
      </c>
      <c r="H1027" s="1"/>
      <c r="I1027" s="1"/>
      <c r="J1027" s="1"/>
      <c r="K1027" s="1"/>
      <c r="L1027" s="1"/>
      <c r="M1027" s="1"/>
      <c r="N1027" s="1"/>
      <c r="O1027" s="1"/>
      <c r="P1027" s="1"/>
      <c r="Q1027" s="1"/>
      <c r="R1027" s="1"/>
      <c r="S1027" s="1"/>
      <c r="T1027" s="1"/>
      <c r="U1027" s="1"/>
      <c r="V1027" s="1"/>
      <c r="W1027" s="1"/>
      <c r="X1027" s="1"/>
      <c r="Y1027" s="1"/>
      <c r="Z1027" s="1"/>
      <c r="AA1027" s="1"/>
      <c r="AB1027" s="1"/>
    </row>
    <row r="1028" ht="50.25" customHeight="1">
      <c r="A1028" s="12">
        <v>1024.0</v>
      </c>
      <c r="B1028" s="13" t="s">
        <v>1004</v>
      </c>
      <c r="C1028" s="14" t="s">
        <v>1034</v>
      </c>
      <c r="D1028" s="1"/>
      <c r="E1028" s="15"/>
      <c r="F1028" s="1" t="str">
        <f>IFERROR(__xludf.DUMMYFUNCTION("GOOGLETRANSLATE(B1028, ""en"", ""fa"")
"),"تجارت الکترونیک و فروش آنلاین")</f>
        <v>تجارت الکترونیک و فروش آنلاین</v>
      </c>
      <c r="G1028" s="1" t="str">
        <f>IFERROR(__xludf.DUMMYFUNCTION("GOOGLETRANSLATE(C1028, ""en"", ""fa"")
"),"درباره تأثیر ارائه یک تجربه کاربری بدون درز و شهودی در تجارت الکترونیک، از جمله ناوبری آسان، بارگذاری سریع صفحات و قابلیت جستجوی بصری بحث کنید.")</f>
        <v>درباره تأثیر ارائه یک تجربه کاربری بدون درز و شهودی در تجارت الکترونیک، از جمله ناوبری آسان، بارگذاری سریع صفحات و قابلیت جستجوی بصری بحث کنید.</v>
      </c>
      <c r="H1028" s="1"/>
      <c r="I1028" s="1"/>
      <c r="J1028" s="1"/>
      <c r="K1028" s="1"/>
      <c r="L1028" s="1"/>
      <c r="M1028" s="1"/>
      <c r="N1028" s="1"/>
      <c r="O1028" s="1"/>
      <c r="P1028" s="1"/>
      <c r="Q1028" s="1"/>
      <c r="R1028" s="1"/>
      <c r="S1028" s="1"/>
      <c r="T1028" s="1"/>
      <c r="U1028" s="1"/>
      <c r="V1028" s="1"/>
      <c r="W1028" s="1"/>
      <c r="X1028" s="1"/>
      <c r="Y1028" s="1"/>
      <c r="Z1028" s="1"/>
      <c r="AA1028" s="1"/>
      <c r="AB1028" s="1"/>
    </row>
    <row r="1029" ht="50.25" customHeight="1">
      <c r="A1029" s="12">
        <v>1025.0</v>
      </c>
      <c r="B1029" s="13" t="s">
        <v>1004</v>
      </c>
      <c r="C1029" s="14" t="s">
        <v>1035</v>
      </c>
      <c r="D1029" s="1"/>
      <c r="E1029" s="15"/>
      <c r="F1029" s="1" t="str">
        <f>IFERROR(__xludf.DUMMYFUNCTION("GOOGLETRANSLATE(B1029, ""en"", ""fa"")
"),"تجارت الکترونیک و فروش آنلاین")</f>
        <v>تجارت الکترونیک و فروش آنلاین</v>
      </c>
      <c r="G1029" s="1" t="str">
        <f>IFERROR(__xludf.DUMMYFUNCTION("GOOGLETRANSLATE(C1029, ""en"", ""fa"")
"),"نکاتی را برای پیاده‌سازی استراتژی‌های بازیابی سبد خرید رها شده موثر، مانند ارسال ایمیل‌های شخصی‌شده همراه با مشوق‌ها یا ارائه پشتیبانی چت زنده به اشتراک بگذارید.")</f>
        <v>نکاتی را برای پیاده‌سازی استراتژی‌های بازیابی سبد خرید رها شده موثر، مانند ارسال ایمیل‌های شخصی‌شده همراه با مشوق‌ها یا ارائه پشتیبانی چت زنده به اشتراک بگذارید.</v>
      </c>
      <c r="H1029" s="1"/>
      <c r="I1029" s="1"/>
      <c r="J1029" s="1"/>
      <c r="K1029" s="1"/>
      <c r="L1029" s="1"/>
      <c r="M1029" s="1"/>
      <c r="N1029" s="1"/>
      <c r="O1029" s="1"/>
      <c r="P1029" s="1"/>
      <c r="Q1029" s="1"/>
      <c r="R1029" s="1"/>
      <c r="S1029" s="1"/>
      <c r="T1029" s="1"/>
      <c r="U1029" s="1"/>
      <c r="V1029" s="1"/>
      <c r="W1029" s="1"/>
      <c r="X1029" s="1"/>
      <c r="Y1029" s="1"/>
      <c r="Z1029" s="1"/>
      <c r="AA1029" s="1"/>
      <c r="AB1029" s="1"/>
    </row>
    <row r="1030" ht="50.25" customHeight="1">
      <c r="A1030" s="12">
        <v>1026.0</v>
      </c>
      <c r="B1030" s="13" t="s">
        <v>1004</v>
      </c>
      <c r="C1030" s="14" t="s">
        <v>1036</v>
      </c>
      <c r="D1030" s="1"/>
      <c r="E1030" s="15"/>
      <c r="F1030" s="1" t="str">
        <f>IFERROR(__xludf.DUMMYFUNCTION("GOOGLETRANSLATE(B1030, ""en"", ""fa"")
"),"تجارت الکترونیک و فروش آنلاین")</f>
        <v>تجارت الکترونیک و فروش آنلاین</v>
      </c>
      <c r="G1030" s="1" t="str">
        <f>IFERROR(__xludf.DUMMYFUNCTION("GOOGLETRANSLATE(C1030, ""en"", ""fa"")
"),"مفهوم استفاده از مشارکت یا همکاری اینفلوئنسرها برای ایجاد خطوط محصول انحصاری یا نسخه های محدود را بررسی کنید، که باعث هیجان و فروش مشتری می شود.")</f>
        <v>مفهوم استفاده از مشارکت یا همکاری اینفلوئنسرها برای ایجاد خطوط محصول انحصاری یا نسخه های محدود را بررسی کنید، که باعث هیجان و فروش مشتری می شود.</v>
      </c>
      <c r="H1030" s="1"/>
      <c r="I1030" s="1"/>
      <c r="J1030" s="1"/>
      <c r="K1030" s="1"/>
      <c r="L1030" s="1"/>
      <c r="M1030" s="1"/>
      <c r="N1030" s="1"/>
      <c r="O1030" s="1"/>
      <c r="P1030" s="1"/>
      <c r="Q1030" s="1"/>
      <c r="R1030" s="1"/>
      <c r="S1030" s="1"/>
      <c r="T1030" s="1"/>
      <c r="U1030" s="1"/>
      <c r="V1030" s="1"/>
      <c r="W1030" s="1"/>
      <c r="X1030" s="1"/>
      <c r="Y1030" s="1"/>
      <c r="Z1030" s="1"/>
      <c r="AA1030" s="1"/>
      <c r="AB1030" s="1"/>
    </row>
    <row r="1031" ht="50.25" customHeight="1">
      <c r="A1031" s="12">
        <v>1027.0</v>
      </c>
      <c r="B1031" s="13" t="s">
        <v>1004</v>
      </c>
      <c r="C1031" s="14" t="s">
        <v>1037</v>
      </c>
      <c r="D1031" s="1"/>
      <c r="E1031" s="15"/>
      <c r="F1031" s="1" t="str">
        <f>IFERROR(__xludf.DUMMYFUNCTION("GOOGLETRANSLATE(B1031, ""en"", ""fa"")
"),"تجارت الکترونیک و فروش آنلاین")</f>
        <v>تجارت الکترونیک و فروش آنلاین</v>
      </c>
      <c r="G1031" s="1" t="str">
        <f>IFERROR(__xludf.DUMMYFUNCTION("GOOGLETRANSLATE(C1031, ""en"", ""fa"")
"),"در مورد نقش اجرای تقسیم بندی مشتری در کمپین های بازاریابی تجارت الکترونیک برای ارائه پیام ها و پیشنهادات هدفمند به بخش های خاص مشتری بحث کنید.")</f>
        <v>در مورد نقش اجرای تقسیم بندی مشتری در کمپین های بازاریابی تجارت الکترونیک برای ارائه پیام ها و پیشنهادات هدفمند به بخش های خاص مشتری بحث کنید.</v>
      </c>
      <c r="H1031" s="1"/>
      <c r="I1031" s="1"/>
      <c r="J1031" s="1"/>
      <c r="K1031" s="1"/>
      <c r="L1031" s="1"/>
      <c r="M1031" s="1"/>
      <c r="N1031" s="1"/>
      <c r="O1031" s="1"/>
      <c r="P1031" s="1"/>
      <c r="Q1031" s="1"/>
      <c r="R1031" s="1"/>
      <c r="S1031" s="1"/>
      <c r="T1031" s="1"/>
      <c r="U1031" s="1"/>
      <c r="V1031" s="1"/>
      <c r="W1031" s="1"/>
      <c r="X1031" s="1"/>
      <c r="Y1031" s="1"/>
      <c r="Z1031" s="1"/>
      <c r="AA1031" s="1"/>
      <c r="AB1031" s="1"/>
    </row>
    <row r="1032" ht="50.25" customHeight="1">
      <c r="A1032" s="12">
        <v>1028.0</v>
      </c>
      <c r="B1032" s="13" t="s">
        <v>1004</v>
      </c>
      <c r="C1032" s="14" t="s">
        <v>1038</v>
      </c>
      <c r="D1032" s="1"/>
      <c r="E1032" s="15"/>
      <c r="F1032" s="1" t="str">
        <f>IFERROR(__xludf.DUMMYFUNCTION("GOOGLETRANSLATE(B1032, ""en"", ""fa"")
"),"تجارت الکترونیک و فروش آنلاین")</f>
        <v>تجارت الکترونیک و فروش آنلاین</v>
      </c>
      <c r="G1032" s="1" t="str">
        <f>IFERROR(__xludf.DUMMYFUNCTION("GOOGLETRANSLATE(C1032, ""en"", ""fa"")
"),"استراتژی های بهینه سازی قیمت گذاری محصول در تجارت الکترونیک را به اشتراک بگذارید، از جمله تجزیه و تحلیل رقابتی، قیمت گذاری مبتنی بر ارزش و قیمت گذاری پویا.")</f>
        <v>استراتژی های بهینه سازی قیمت گذاری محصول در تجارت الکترونیک را به اشتراک بگذارید، از جمله تجزیه و تحلیل رقابتی، قیمت گذاری مبتنی بر ارزش و قیمت گذاری پویا.</v>
      </c>
      <c r="H1032" s="1"/>
      <c r="I1032" s="1"/>
      <c r="J1032" s="1"/>
      <c r="K1032" s="1"/>
      <c r="L1032" s="1"/>
      <c r="M1032" s="1"/>
      <c r="N1032" s="1"/>
      <c r="O1032" s="1"/>
      <c r="P1032" s="1"/>
      <c r="Q1032" s="1"/>
      <c r="R1032" s="1"/>
      <c r="S1032" s="1"/>
      <c r="T1032" s="1"/>
      <c r="U1032" s="1"/>
      <c r="V1032" s="1"/>
      <c r="W1032" s="1"/>
      <c r="X1032" s="1"/>
      <c r="Y1032" s="1"/>
      <c r="Z1032" s="1"/>
      <c r="AA1032" s="1"/>
      <c r="AB1032" s="1"/>
    </row>
    <row r="1033" ht="50.25" customHeight="1">
      <c r="A1033" s="12">
        <v>1029.0</v>
      </c>
      <c r="B1033" s="13" t="s">
        <v>1004</v>
      </c>
      <c r="C1033" s="14" t="s">
        <v>1039</v>
      </c>
      <c r="D1033" s="1"/>
      <c r="E1033" s="15"/>
      <c r="F1033" s="1" t="str">
        <f>IFERROR(__xludf.DUMMYFUNCTION("GOOGLETRANSLATE(B1033, ""en"", ""fa"")
"),"تجارت الکترونیک و فروش آنلاین")</f>
        <v>تجارت الکترونیک و فروش آنلاین</v>
      </c>
      <c r="G1033" s="1" t="str">
        <f>IFERROR(__xludf.DUMMYFUNCTION("GOOGLETRANSLATE(C1033, ""en"", ""fa"")
"),"مزایای پیاده‌سازی حلقه‌های بازخورد مشتری در تجارت الکترونیک را برای جمع‌آوری بینش، بهبود محصولات و خدمات و بهبود تجربه کلی مشتری بررسی کنید.")</f>
        <v>مزایای پیاده‌سازی حلقه‌های بازخورد مشتری در تجارت الکترونیک را برای جمع‌آوری بینش، بهبود محصولات و خدمات و بهبود تجربه کلی مشتری بررسی کنید.</v>
      </c>
      <c r="H1033" s="1"/>
      <c r="I1033" s="1"/>
      <c r="J1033" s="1"/>
      <c r="K1033" s="1"/>
      <c r="L1033" s="1"/>
      <c r="M1033" s="1"/>
      <c r="N1033" s="1"/>
      <c r="O1033" s="1"/>
      <c r="P1033" s="1"/>
      <c r="Q1033" s="1"/>
      <c r="R1033" s="1"/>
      <c r="S1033" s="1"/>
      <c r="T1033" s="1"/>
      <c r="U1033" s="1"/>
      <c r="V1033" s="1"/>
      <c r="W1033" s="1"/>
      <c r="X1033" s="1"/>
      <c r="Y1033" s="1"/>
      <c r="Z1033" s="1"/>
      <c r="AA1033" s="1"/>
      <c r="AB1033" s="1"/>
    </row>
    <row r="1034" ht="50.25" customHeight="1">
      <c r="A1034" s="12">
        <v>1030.0</v>
      </c>
      <c r="B1034" s="13" t="s">
        <v>1004</v>
      </c>
      <c r="C1034" s="14" t="s">
        <v>1040</v>
      </c>
      <c r="D1034" s="1"/>
      <c r="E1034" s="15"/>
      <c r="F1034" s="1" t="str">
        <f>IFERROR(__xludf.DUMMYFUNCTION("GOOGLETRANSLATE(B1034, ""en"", ""fa"")
"),"تجارت الکترونیک و فروش آنلاین")</f>
        <v>تجارت الکترونیک و فروش آنلاین</v>
      </c>
      <c r="G1034" s="1" t="str">
        <f>IFERROR(__xludf.DUMMYFUNCTION("GOOGLETRANSLATE(C1034, ""en"", ""fa"")
"),"درباره تأثیر ارائه گزینه‌های پرداخت انعطاف‌پذیر، مانند طرح‌های اقساطی یا خرید همین حالا، پرداخت بعدا، برای تطبیق با ترجیحات مختلف مشتریان و افزایش فروش، بحث کنید.")</f>
        <v>درباره تأثیر ارائه گزینه‌های پرداخت انعطاف‌پذیر، مانند طرح‌های اقساطی یا خرید همین حالا، پرداخت بعدا، برای تطبیق با ترجیحات مختلف مشتریان و افزایش فروش، بحث کنید.</v>
      </c>
      <c r="H1034" s="1"/>
      <c r="I1034" s="1"/>
      <c r="J1034" s="1"/>
      <c r="K1034" s="1"/>
      <c r="L1034" s="1"/>
      <c r="M1034" s="1"/>
      <c r="N1034" s="1"/>
      <c r="O1034" s="1"/>
      <c r="P1034" s="1"/>
      <c r="Q1034" s="1"/>
      <c r="R1034" s="1"/>
      <c r="S1034" s="1"/>
      <c r="T1034" s="1"/>
      <c r="U1034" s="1"/>
      <c r="V1034" s="1"/>
      <c r="W1034" s="1"/>
      <c r="X1034" s="1"/>
      <c r="Y1034" s="1"/>
      <c r="Z1034" s="1"/>
      <c r="AA1034" s="1"/>
      <c r="AB1034" s="1"/>
    </row>
    <row r="1035" ht="50.25" customHeight="1">
      <c r="A1035" s="12">
        <v>1031.0</v>
      </c>
      <c r="B1035" s="13" t="s">
        <v>1004</v>
      </c>
      <c r="C1035" s="14" t="s">
        <v>1041</v>
      </c>
      <c r="D1035" s="1"/>
      <c r="E1035" s="15"/>
      <c r="F1035" s="1" t="str">
        <f>IFERROR(__xludf.DUMMYFUNCTION("GOOGLETRANSLATE(B1035, ""en"", ""fa"")
"),"تجارت الکترونیک و فروش آنلاین")</f>
        <v>تجارت الکترونیک و فروش آنلاین</v>
      </c>
      <c r="G1035" s="1" t="str">
        <f>IFERROR(__xludf.DUMMYFUNCTION("GOOGLETRANSLATE(C1035, ""en"", ""fa"")
"),"نکاتی را برای بهینه‌سازی گزینه‌های دسته‌بندی و فیلتر کردن محصولات در وب‌سایت‌های تجارت الکترونیک به اشتراک بگذارید تا به مشتریان کمک کنید محصولات را بر اساس ویژگی‌ها یا ترجیحات خاص پیدا کنند.")</f>
        <v>نکاتی را برای بهینه‌سازی گزینه‌های دسته‌بندی و فیلتر کردن محصولات در وب‌سایت‌های تجارت الکترونیک به اشتراک بگذارید تا به مشتریان کمک کنید محصولات را بر اساس ویژگی‌ها یا ترجیحات خاص پیدا کنند.</v>
      </c>
      <c r="H1035" s="1"/>
      <c r="I1035" s="1"/>
      <c r="J1035" s="1"/>
      <c r="K1035" s="1"/>
      <c r="L1035" s="1"/>
      <c r="M1035" s="1"/>
      <c r="N1035" s="1"/>
      <c r="O1035" s="1"/>
      <c r="P1035" s="1"/>
      <c r="Q1035" s="1"/>
      <c r="R1035" s="1"/>
      <c r="S1035" s="1"/>
      <c r="T1035" s="1"/>
      <c r="U1035" s="1"/>
      <c r="V1035" s="1"/>
      <c r="W1035" s="1"/>
      <c r="X1035" s="1"/>
      <c r="Y1035" s="1"/>
      <c r="Z1035" s="1"/>
      <c r="AA1035" s="1"/>
      <c r="AB1035" s="1"/>
    </row>
    <row r="1036" ht="50.25" customHeight="1">
      <c r="A1036" s="12">
        <v>1032.0</v>
      </c>
      <c r="B1036" s="13" t="s">
        <v>1004</v>
      </c>
      <c r="C1036" s="14" t="s">
        <v>1042</v>
      </c>
      <c r="D1036" s="1"/>
      <c r="E1036" s="15"/>
      <c r="F1036" s="1" t="str">
        <f>IFERROR(__xludf.DUMMYFUNCTION("GOOGLETRANSLATE(B1036, ""en"", ""fa"")
"),"تجارت الکترونیک و فروش آنلاین")</f>
        <v>تجارت الکترونیک و فروش آنلاین</v>
      </c>
      <c r="G1036" s="1" t="str">
        <f>IFERROR(__xludf.DUMMYFUNCTION("GOOGLETRANSLATE(C1036, ""en"", ""fa"")
"),"مفهوم استفاده از تبلیغات رسانه های اجتماعی، مانند تبلیغات فیس بوک یا تبلیغات اینستاگرام، برای هدف قرار دادن بخش های خاص مشتریان و هدایت ترافیک به فروشگاه آنلاین را بررسی کنید.")</f>
        <v>مفهوم استفاده از تبلیغات رسانه های اجتماعی، مانند تبلیغات فیس بوک یا تبلیغات اینستاگرام، برای هدف قرار دادن بخش های خاص مشتریان و هدایت ترافیک به فروشگاه آنلاین را بررسی کنید.</v>
      </c>
      <c r="H1036" s="1"/>
      <c r="I1036" s="1"/>
      <c r="J1036" s="1"/>
      <c r="K1036" s="1"/>
      <c r="L1036" s="1"/>
      <c r="M1036" s="1"/>
      <c r="N1036" s="1"/>
      <c r="O1036" s="1"/>
      <c r="P1036" s="1"/>
      <c r="Q1036" s="1"/>
      <c r="R1036" s="1"/>
      <c r="S1036" s="1"/>
      <c r="T1036" s="1"/>
      <c r="U1036" s="1"/>
      <c r="V1036" s="1"/>
      <c r="W1036" s="1"/>
      <c r="X1036" s="1"/>
      <c r="Y1036" s="1"/>
      <c r="Z1036" s="1"/>
      <c r="AA1036" s="1"/>
      <c r="AB1036" s="1"/>
    </row>
    <row r="1037" ht="50.25" customHeight="1">
      <c r="A1037" s="12">
        <v>1033.0</v>
      </c>
      <c r="B1037" s="13" t="s">
        <v>1004</v>
      </c>
      <c r="C1037" s="14" t="s">
        <v>1043</v>
      </c>
      <c r="D1037" s="1"/>
      <c r="E1037" s="15"/>
      <c r="F1037" s="1" t="str">
        <f>IFERROR(__xludf.DUMMYFUNCTION("GOOGLETRANSLATE(B1037, ""en"", ""fa"")
"),"تجارت الکترونیک و فروش آنلاین")</f>
        <v>تجارت الکترونیک و فروش آنلاین</v>
      </c>
      <c r="G1037" s="1" t="str">
        <f>IFERROR(__xludf.DUMMYFUNCTION("GOOGLETRANSLATE(C1037, ""en"", ""fa"")
"),"درباره نقش اجرای کمپین‌های بازاریابی ایمیلی شخصی‌شده، مانند یادآوری‌های سبد خرید یا توصیه‌های محصول، برای پرورش سرنخ‌ها و افزایش نرخ تبدیل بحث کنید.")</f>
        <v>درباره نقش اجرای کمپین‌های بازاریابی ایمیلی شخصی‌شده، مانند یادآوری‌های سبد خرید یا توصیه‌های محصول، برای پرورش سرنخ‌ها و افزایش نرخ تبدیل بحث کنید.</v>
      </c>
      <c r="H1037" s="1"/>
      <c r="I1037" s="1"/>
      <c r="J1037" s="1"/>
      <c r="K1037" s="1"/>
      <c r="L1037" s="1"/>
      <c r="M1037" s="1"/>
      <c r="N1037" s="1"/>
      <c r="O1037" s="1"/>
      <c r="P1037" s="1"/>
      <c r="Q1037" s="1"/>
      <c r="R1037" s="1"/>
      <c r="S1037" s="1"/>
      <c r="T1037" s="1"/>
      <c r="U1037" s="1"/>
      <c r="V1037" s="1"/>
      <c r="W1037" s="1"/>
      <c r="X1037" s="1"/>
      <c r="Y1037" s="1"/>
      <c r="Z1037" s="1"/>
      <c r="AA1037" s="1"/>
      <c r="AB1037" s="1"/>
    </row>
    <row r="1038" ht="50.25" customHeight="1">
      <c r="A1038" s="12">
        <v>1034.0</v>
      </c>
      <c r="B1038" s="13" t="s">
        <v>1004</v>
      </c>
      <c r="C1038" s="14" t="s">
        <v>1044</v>
      </c>
      <c r="D1038" s="1"/>
      <c r="E1038" s="15"/>
      <c r="F1038" s="1" t="str">
        <f>IFERROR(__xludf.DUMMYFUNCTION("GOOGLETRANSLATE(B1038, ""en"", ""fa"")
"),"تجارت الکترونیک و فروش آنلاین")</f>
        <v>تجارت الکترونیک و فروش آنلاین</v>
      </c>
      <c r="G1038" s="1" t="str">
        <f>IFERROR(__xludf.DUMMYFUNCTION("GOOGLETRANSLATE(C1038, ""en"", ""fa"")
"),"استراتژی های بهینه سازی بسته بندی محصول و جعبه گشایی را به اشتراک بگذارید تا تجربه ای به یاد ماندنی و قابل اشتراک گذاری برای مشتریان ایجاد کنید.")</f>
        <v>استراتژی های بهینه سازی بسته بندی محصول و جعبه گشایی را به اشتراک بگذارید تا تجربه ای به یاد ماندنی و قابل اشتراک گذاری برای مشتریان ایجاد کنید.</v>
      </c>
      <c r="H1038" s="1"/>
      <c r="I1038" s="1"/>
      <c r="J1038" s="1"/>
      <c r="K1038" s="1"/>
      <c r="L1038" s="1"/>
      <c r="M1038" s="1"/>
      <c r="N1038" s="1"/>
      <c r="O1038" s="1"/>
      <c r="P1038" s="1"/>
      <c r="Q1038" s="1"/>
      <c r="R1038" s="1"/>
      <c r="S1038" s="1"/>
      <c r="T1038" s="1"/>
      <c r="U1038" s="1"/>
      <c r="V1038" s="1"/>
      <c r="W1038" s="1"/>
      <c r="X1038" s="1"/>
      <c r="Y1038" s="1"/>
      <c r="Z1038" s="1"/>
      <c r="AA1038" s="1"/>
      <c r="AB1038" s="1"/>
    </row>
    <row r="1039" ht="50.25" customHeight="1">
      <c r="A1039" s="12">
        <v>1035.0</v>
      </c>
      <c r="B1039" s="13" t="s">
        <v>1004</v>
      </c>
      <c r="C1039" s="14" t="s">
        <v>1045</v>
      </c>
      <c r="D1039" s="1"/>
      <c r="E1039" s="15"/>
      <c r="F1039" s="1" t="str">
        <f>IFERROR(__xludf.DUMMYFUNCTION("GOOGLETRANSLATE(B1039, ""en"", ""fa"")
"),"تجارت الکترونیک و فروش آنلاین")</f>
        <v>تجارت الکترونیک و فروش آنلاین</v>
      </c>
      <c r="G1039" s="1" t="str">
        <f>IFERROR(__xludf.DUMMYFUNCTION("GOOGLETRANSLATE(C1039, ""en"", ""fa"")
"),"مزایای اجرای فرآیند بازگشت و مبادلات مشتری محور در تجارت الکترونیک، با تمرکز بر سهولت، سرعت و رضایت مشتری را بررسی کنید.")</f>
        <v>مزایای اجرای فرآیند بازگشت و مبادلات مشتری محور در تجارت الکترونیک، با تمرکز بر سهولت، سرعت و رضایت مشتری را بررسی کنید.</v>
      </c>
      <c r="H1039" s="1"/>
      <c r="I1039" s="1"/>
      <c r="J1039" s="1"/>
      <c r="K1039" s="1"/>
      <c r="L1039" s="1"/>
      <c r="M1039" s="1"/>
      <c r="N1039" s="1"/>
      <c r="O1039" s="1"/>
      <c r="P1039" s="1"/>
      <c r="Q1039" s="1"/>
      <c r="R1039" s="1"/>
      <c r="S1039" s="1"/>
      <c r="T1039" s="1"/>
      <c r="U1039" s="1"/>
      <c r="V1039" s="1"/>
      <c r="W1039" s="1"/>
      <c r="X1039" s="1"/>
      <c r="Y1039" s="1"/>
      <c r="Z1039" s="1"/>
      <c r="AA1039" s="1"/>
      <c r="AB1039" s="1"/>
    </row>
    <row r="1040" ht="50.25" customHeight="1">
      <c r="A1040" s="12">
        <v>1036.0</v>
      </c>
      <c r="B1040" s="13" t="s">
        <v>1004</v>
      </c>
      <c r="C1040" s="14" t="s">
        <v>1046</v>
      </c>
      <c r="D1040" s="1"/>
      <c r="E1040" s="15"/>
      <c r="F1040" s="1" t="str">
        <f>IFERROR(__xludf.DUMMYFUNCTION("GOOGLETRANSLATE(B1040, ""en"", ""fa"")
"),"تجارت الکترونیک و فروش آنلاین")</f>
        <v>تجارت الکترونیک و فروش آنلاین</v>
      </c>
      <c r="G1040" s="1" t="str">
        <f>IFERROR(__xludf.DUMMYFUNCTION("GOOGLETRANSLATE(C1040, ""en"", ""fa"")
"),"درباره تأثیر استفاده از تاکتیک‌های کمبود و FOMO (ترس از دست دادن) در تجارت الکترونیک، مانند فروش با زمان محدود یا پیشنهادات انحصاری، برای هدایت خریدهای فوری بحث کنید.")</f>
        <v>درباره تأثیر استفاده از تاکتیک‌های کمبود و FOMO (ترس از دست دادن) در تجارت الکترونیک، مانند فروش با زمان محدود یا پیشنهادات انحصاری، برای هدایت خریدهای فوری بحث کنید.</v>
      </c>
      <c r="H1040" s="1"/>
      <c r="I1040" s="1"/>
      <c r="J1040" s="1"/>
      <c r="K1040" s="1"/>
      <c r="L1040" s="1"/>
      <c r="M1040" s="1"/>
      <c r="N1040" s="1"/>
      <c r="O1040" s="1"/>
      <c r="P1040" s="1"/>
      <c r="Q1040" s="1"/>
      <c r="R1040" s="1"/>
      <c r="S1040" s="1"/>
      <c r="T1040" s="1"/>
      <c r="U1040" s="1"/>
      <c r="V1040" s="1"/>
      <c r="W1040" s="1"/>
      <c r="X1040" s="1"/>
      <c r="Y1040" s="1"/>
      <c r="Z1040" s="1"/>
      <c r="AA1040" s="1"/>
      <c r="AB1040" s="1"/>
    </row>
    <row r="1041" ht="50.25" customHeight="1">
      <c r="A1041" s="12">
        <v>1037.0</v>
      </c>
      <c r="B1041" s="13" t="s">
        <v>1004</v>
      </c>
      <c r="C1041" s="14" t="s">
        <v>1047</v>
      </c>
      <c r="D1041" s="1"/>
      <c r="E1041" s="15"/>
      <c r="F1041" s="1" t="str">
        <f>IFERROR(__xludf.DUMMYFUNCTION("GOOGLETRANSLATE(B1041, ""en"", ""fa"")
"),"تجارت الکترونیک و فروش آنلاین")</f>
        <v>تجارت الکترونیک و فروش آنلاین</v>
      </c>
      <c r="G1041" s="1" t="str">
        <f>IFERROR(__xludf.DUMMYFUNCTION("GOOGLETRANSLATE(C1041, ""en"", ""fa"")
"),"نکاتی را برای بهینه‌سازی سیستم‌های بررسی و رتبه‌بندی محصول به اشتراک بگذارید تا مشتریان را تشویق به ارائه بازخورد و بهبود اعتبار و اعتماد کلی فروشگاه آنلاین کنید.")</f>
        <v>نکاتی را برای بهینه‌سازی سیستم‌های بررسی و رتبه‌بندی محصول به اشتراک بگذارید تا مشتریان را تشویق به ارائه بازخورد و بهبود اعتبار و اعتماد کلی فروشگاه آنلاین کنید.</v>
      </c>
      <c r="H1041" s="1"/>
      <c r="I1041" s="1"/>
      <c r="J1041" s="1"/>
      <c r="K1041" s="1"/>
      <c r="L1041" s="1"/>
      <c r="M1041" s="1"/>
      <c r="N1041" s="1"/>
      <c r="O1041" s="1"/>
      <c r="P1041" s="1"/>
      <c r="Q1041" s="1"/>
      <c r="R1041" s="1"/>
      <c r="S1041" s="1"/>
      <c r="T1041" s="1"/>
      <c r="U1041" s="1"/>
      <c r="V1041" s="1"/>
      <c r="W1041" s="1"/>
      <c r="X1041" s="1"/>
      <c r="Y1041" s="1"/>
      <c r="Z1041" s="1"/>
      <c r="AA1041" s="1"/>
      <c r="AB1041" s="1"/>
    </row>
    <row r="1042" ht="50.25" customHeight="1">
      <c r="A1042" s="12">
        <v>1038.0</v>
      </c>
      <c r="B1042" s="13" t="s">
        <v>1004</v>
      </c>
      <c r="C1042" s="14" t="s">
        <v>1048</v>
      </c>
      <c r="D1042" s="1"/>
      <c r="E1042" s="15"/>
      <c r="F1042" s="1" t="str">
        <f>IFERROR(__xludf.DUMMYFUNCTION("GOOGLETRANSLATE(B1042, ""en"", ""fa"")
"),"تجارت الکترونیک و فروش آنلاین")</f>
        <v>تجارت الکترونیک و فروش آنلاین</v>
      </c>
      <c r="G1042" s="1" t="str">
        <f>IFERROR(__xludf.DUMMYFUNCTION("GOOGLETRANSLATE(C1042, ""en"", ""fa"")
"),"مفهوم استفاده از توصیه‌های محصول شخصی‌شده و نمایش‌های پویا محصول را بر اساس سابقه مرور مشتریان یا خریدهای قبلی برای بهبود تجربه خرید کاوش کنید.")</f>
        <v>مفهوم استفاده از توصیه‌های محصول شخصی‌شده و نمایش‌های پویا محصول را بر اساس سابقه مرور مشتریان یا خریدهای قبلی برای بهبود تجربه خرید کاوش کنید.</v>
      </c>
      <c r="H1042" s="1"/>
      <c r="I1042" s="1"/>
      <c r="J1042" s="1"/>
      <c r="K1042" s="1"/>
      <c r="L1042" s="1"/>
      <c r="M1042" s="1"/>
      <c r="N1042" s="1"/>
      <c r="O1042" s="1"/>
      <c r="P1042" s="1"/>
      <c r="Q1042" s="1"/>
      <c r="R1042" s="1"/>
      <c r="S1042" s="1"/>
      <c r="T1042" s="1"/>
      <c r="U1042" s="1"/>
      <c r="V1042" s="1"/>
      <c r="W1042" s="1"/>
      <c r="X1042" s="1"/>
      <c r="Y1042" s="1"/>
      <c r="Z1042" s="1"/>
      <c r="AA1042" s="1"/>
      <c r="AB1042" s="1"/>
    </row>
    <row r="1043" ht="50.25" customHeight="1">
      <c r="A1043" s="12">
        <v>1039.0</v>
      </c>
      <c r="B1043" s="13" t="s">
        <v>1004</v>
      </c>
      <c r="C1043" s="14" t="s">
        <v>1049</v>
      </c>
      <c r="D1043" s="1"/>
      <c r="E1043" s="15"/>
      <c r="F1043" s="1" t="str">
        <f>IFERROR(__xludf.DUMMYFUNCTION("GOOGLETRANSLATE(B1043, ""en"", ""fa"")
"),"تجارت الکترونیک و فروش آنلاین")</f>
        <v>تجارت الکترونیک و فروش آنلاین</v>
      </c>
      <c r="G1043" s="1" t="str">
        <f>IFERROR(__xludf.DUMMYFUNCTION("GOOGLETRANSLATE(C1043, ""en"", ""fa"")
"),"درباره نقش استفاده از تقسیم بندی مشتری برای ارائه کمپین های بازاریابی ایمیلی هدفمند با پیشنهادات و توصیه های شخصی بر اساس ترجیحات و رفتارهای مشتریان بحث کنید.")</f>
        <v>درباره نقش استفاده از تقسیم بندی مشتری برای ارائه کمپین های بازاریابی ایمیلی هدفمند با پیشنهادات و توصیه های شخصی بر اساس ترجیحات و رفتارهای مشتریان بحث کنید.</v>
      </c>
      <c r="H1043" s="1"/>
      <c r="I1043" s="1"/>
      <c r="J1043" s="1"/>
      <c r="K1043" s="1"/>
      <c r="L1043" s="1"/>
      <c r="M1043" s="1"/>
      <c r="N1043" s="1"/>
      <c r="O1043" s="1"/>
      <c r="P1043" s="1"/>
      <c r="Q1043" s="1"/>
      <c r="R1043" s="1"/>
      <c r="S1043" s="1"/>
      <c r="T1043" s="1"/>
      <c r="U1043" s="1"/>
      <c r="V1043" s="1"/>
      <c r="W1043" s="1"/>
      <c r="X1043" s="1"/>
      <c r="Y1043" s="1"/>
      <c r="Z1043" s="1"/>
      <c r="AA1043" s="1"/>
      <c r="AB1043" s="1"/>
    </row>
    <row r="1044" ht="50.25" customHeight="1">
      <c r="A1044" s="12">
        <v>1040.0</v>
      </c>
      <c r="B1044" s="13" t="s">
        <v>1004</v>
      </c>
      <c r="C1044" s="14" t="s">
        <v>1050</v>
      </c>
      <c r="D1044" s="1"/>
      <c r="E1044" s="15"/>
      <c r="F1044" s="1" t="str">
        <f>IFERROR(__xludf.DUMMYFUNCTION("GOOGLETRANSLATE(B1044, ""en"", ""fa"")
"),"تجارت الکترونیک و فروش آنلاین")</f>
        <v>تجارت الکترونیک و فروش آنلاین</v>
      </c>
      <c r="G1044" s="1" t="str">
        <f>IFERROR(__xludf.DUMMYFUNCTION("GOOGLETRANSLATE(C1044, ""en"", ""fa"")
"),"برای افزایش میانگین ارزش سفارش، استراتژی‌های پیاده‌سازی تکنیک‌های موثر افزایش فروش محصول، مانند پیشنهاد محصولات تکمیلی یا ارتقا یافته در طول فرآیند پرداخت را به اشتراک بگذارید.")</f>
        <v>برای افزایش میانگین ارزش سفارش، استراتژی‌های پیاده‌سازی تکنیک‌های موثر افزایش فروش محصول، مانند پیشنهاد محصولات تکمیلی یا ارتقا یافته در طول فرآیند پرداخت را به اشتراک بگذارید.</v>
      </c>
      <c r="H1044" s="1"/>
      <c r="I1044" s="1"/>
      <c r="J1044" s="1"/>
      <c r="K1044" s="1"/>
      <c r="L1044" s="1"/>
      <c r="M1044" s="1"/>
      <c r="N1044" s="1"/>
      <c r="O1044" s="1"/>
      <c r="P1044" s="1"/>
      <c r="Q1044" s="1"/>
      <c r="R1044" s="1"/>
      <c r="S1044" s="1"/>
      <c r="T1044" s="1"/>
      <c r="U1044" s="1"/>
      <c r="V1044" s="1"/>
      <c r="W1044" s="1"/>
      <c r="X1044" s="1"/>
      <c r="Y1044" s="1"/>
      <c r="Z1044" s="1"/>
      <c r="AA1044" s="1"/>
      <c r="AB1044" s="1"/>
    </row>
    <row r="1045" ht="50.25" customHeight="1">
      <c r="A1045" s="12">
        <v>1041.0</v>
      </c>
      <c r="B1045" s="13" t="s">
        <v>1004</v>
      </c>
      <c r="C1045" s="14" t="s">
        <v>1051</v>
      </c>
      <c r="D1045" s="1"/>
      <c r="E1045" s="15"/>
      <c r="F1045" s="1" t="str">
        <f>IFERROR(__xludf.DUMMYFUNCTION("GOOGLETRANSLATE(B1045, ""en"", ""fa"")
"),"تجارت الکترونیک و فروش آنلاین")</f>
        <v>تجارت الکترونیک و فروش آنلاین</v>
      </c>
      <c r="G1045" s="1" t="str">
        <f>IFERROR(__xludf.DUMMYFUNCTION("GOOGLETRANSLATE(C1045, ""en"", ""fa"")
"),"مزایای ارائه یک تجربه خرید همه‌کانالی یکپارچه را کاوش کنید، که به مشتریان امکان می‌دهد محصولات را در چندین دستگاه و نقاط لمسی مرور و خریداری کنند.")</f>
        <v>مزایای ارائه یک تجربه خرید همه‌کانالی یکپارچه را کاوش کنید، که به مشتریان امکان می‌دهد محصولات را در چندین دستگاه و نقاط لمسی مرور و خریداری کنند.</v>
      </c>
      <c r="H1045" s="1"/>
      <c r="I1045" s="1"/>
      <c r="J1045" s="1"/>
      <c r="K1045" s="1"/>
      <c r="L1045" s="1"/>
      <c r="M1045" s="1"/>
      <c r="N1045" s="1"/>
      <c r="O1045" s="1"/>
      <c r="P1045" s="1"/>
      <c r="Q1045" s="1"/>
      <c r="R1045" s="1"/>
      <c r="S1045" s="1"/>
      <c r="T1045" s="1"/>
      <c r="U1045" s="1"/>
      <c r="V1045" s="1"/>
      <c r="W1045" s="1"/>
      <c r="X1045" s="1"/>
      <c r="Y1045" s="1"/>
      <c r="Z1045" s="1"/>
      <c r="AA1045" s="1"/>
      <c r="AB1045" s="1"/>
    </row>
    <row r="1046" ht="50.25" customHeight="1">
      <c r="A1046" s="12">
        <v>1042.0</v>
      </c>
      <c r="B1046" s="13" t="s">
        <v>1004</v>
      </c>
      <c r="C1046" s="14" t="s">
        <v>1052</v>
      </c>
      <c r="D1046" s="1"/>
      <c r="E1046" s="15"/>
      <c r="F1046" s="1" t="str">
        <f>IFERROR(__xludf.DUMMYFUNCTION("GOOGLETRANSLATE(B1046, ""en"", ""fa"")
"),"تجارت الکترونیک و فروش آنلاین")</f>
        <v>تجارت الکترونیک و فروش آنلاین</v>
      </c>
      <c r="G1046" s="1" t="str">
        <f>IFERROR(__xludf.DUMMYFUNCTION("GOOGLETRANSLATE(C1046, ""en"", ""fa"")
"),"در مورد تأثیر استفاده از محتوای تولید شده توسط کاربر، مانند عکس‌ها و توصیفات مشتری، در تجارت الکترونیک برای ایجاد اثبات اجتماعی و تقویت اعتماد در بین خریداران بالقوه بحث کنید.")</f>
        <v>در مورد تأثیر استفاده از محتوای تولید شده توسط کاربر، مانند عکس‌ها و توصیفات مشتری، در تجارت الکترونیک برای ایجاد اثبات اجتماعی و تقویت اعتماد در بین خریداران بالقوه بحث کنید.</v>
      </c>
      <c r="H1046" s="1"/>
      <c r="I1046" s="1"/>
      <c r="J1046" s="1"/>
      <c r="K1046" s="1"/>
      <c r="L1046" s="1"/>
      <c r="M1046" s="1"/>
      <c r="N1046" s="1"/>
      <c r="O1046" s="1"/>
      <c r="P1046" s="1"/>
      <c r="Q1046" s="1"/>
      <c r="R1046" s="1"/>
      <c r="S1046" s="1"/>
      <c r="T1046" s="1"/>
      <c r="U1046" s="1"/>
      <c r="V1046" s="1"/>
      <c r="W1046" s="1"/>
      <c r="X1046" s="1"/>
      <c r="Y1046" s="1"/>
      <c r="Z1046" s="1"/>
      <c r="AA1046" s="1"/>
      <c r="AB1046" s="1"/>
    </row>
    <row r="1047" ht="50.25" customHeight="1">
      <c r="A1047" s="12">
        <v>1043.0</v>
      </c>
      <c r="B1047" s="13" t="s">
        <v>1004</v>
      </c>
      <c r="C1047" s="14" t="s">
        <v>1053</v>
      </c>
      <c r="D1047" s="1"/>
      <c r="E1047" s="15"/>
      <c r="F1047" s="1" t="str">
        <f>IFERROR(__xludf.DUMMYFUNCTION("GOOGLETRANSLATE(B1047, ""en"", ""fa"")
"),"تجارت الکترونیک و فروش آنلاین")</f>
        <v>تجارت الکترونیک و فروش آنلاین</v>
      </c>
      <c r="G1047" s="1" t="str">
        <f>IFERROR(__xludf.DUMMYFUNCTION("GOOGLETRANSLATE(C1047, ""en"", ""fa"")
"),"نکاتی را برای بهینه‌سازی عملکرد جستجوی محصول در وب‌سایت‌های تجارت الکترونیک، از جمله پیاده‌سازی فیلترها، پیشنهادات تکمیل خودکار و گزینه‌های جستجوی پیشرفته به اشتراک بگذارید.")</f>
        <v>نکاتی را برای بهینه‌سازی عملکرد جستجوی محصول در وب‌سایت‌های تجارت الکترونیک، از جمله پیاده‌سازی فیلترها، پیشنهادات تکمیل خودکار و گزینه‌های جستجوی پیشرفته به اشتراک بگذارید.</v>
      </c>
      <c r="H1047" s="1"/>
      <c r="I1047" s="1"/>
      <c r="J1047" s="1"/>
      <c r="K1047" s="1"/>
      <c r="L1047" s="1"/>
      <c r="M1047" s="1"/>
      <c r="N1047" s="1"/>
      <c r="O1047" s="1"/>
      <c r="P1047" s="1"/>
      <c r="Q1047" s="1"/>
      <c r="R1047" s="1"/>
      <c r="S1047" s="1"/>
      <c r="T1047" s="1"/>
      <c r="U1047" s="1"/>
      <c r="V1047" s="1"/>
      <c r="W1047" s="1"/>
      <c r="X1047" s="1"/>
      <c r="Y1047" s="1"/>
      <c r="Z1047" s="1"/>
      <c r="AA1047" s="1"/>
      <c r="AB1047" s="1"/>
    </row>
    <row r="1048" ht="50.25" customHeight="1">
      <c r="A1048" s="12">
        <v>1044.0</v>
      </c>
      <c r="B1048" s="13" t="s">
        <v>1004</v>
      </c>
      <c r="C1048" s="14" t="s">
        <v>1054</v>
      </c>
      <c r="D1048" s="1"/>
      <c r="E1048" s="15"/>
      <c r="F1048" s="1" t="str">
        <f>IFERROR(__xludf.DUMMYFUNCTION("GOOGLETRANSLATE(B1048, ""en"", ""fa"")
"),"تجارت الکترونیک و فروش آنلاین")</f>
        <v>تجارت الکترونیک و فروش آنلاین</v>
      </c>
      <c r="G1048" s="1" t="str">
        <f>IFERROR(__xludf.DUMMYFUNCTION("GOOGLETRANSLATE(C1048, ""en"", ""fa"")
"),"در مورد مزایای اجرای برنامه ارجاع مشتری در تجارت الکترونیک برای تشویق مشتریان فعلی برای معرفی مشتریان جدید و افزایش فروش بحث کنید.")</f>
        <v>در مورد مزایای اجرای برنامه ارجاع مشتری در تجارت الکترونیک برای تشویق مشتریان فعلی برای معرفی مشتریان جدید و افزایش فروش بحث کنید.</v>
      </c>
      <c r="H1048" s="1"/>
      <c r="I1048" s="1"/>
      <c r="J1048" s="1"/>
      <c r="K1048" s="1"/>
      <c r="L1048" s="1"/>
      <c r="M1048" s="1"/>
      <c r="N1048" s="1"/>
      <c r="O1048" s="1"/>
      <c r="P1048" s="1"/>
      <c r="Q1048" s="1"/>
      <c r="R1048" s="1"/>
      <c r="S1048" s="1"/>
      <c r="T1048" s="1"/>
      <c r="U1048" s="1"/>
      <c r="V1048" s="1"/>
      <c r="W1048" s="1"/>
      <c r="X1048" s="1"/>
      <c r="Y1048" s="1"/>
      <c r="Z1048" s="1"/>
      <c r="AA1048" s="1"/>
      <c r="AB1048" s="1"/>
    </row>
    <row r="1049" ht="50.25" customHeight="1">
      <c r="A1049" s="12">
        <v>1045.0</v>
      </c>
      <c r="B1049" s="13" t="s">
        <v>1004</v>
      </c>
      <c r="C1049" s="14" t="s">
        <v>1055</v>
      </c>
      <c r="D1049" s="1"/>
      <c r="E1049" s="15"/>
      <c r="F1049" s="1" t="str">
        <f>IFERROR(__xludf.DUMMYFUNCTION("GOOGLETRANSLATE(B1049, ""en"", ""fa"")
"),"تجارت الکترونیک و فروش آنلاین")</f>
        <v>تجارت الکترونیک و فروش آنلاین</v>
      </c>
      <c r="G1049" s="1" t="str">
        <f>IFERROR(__xludf.DUMMYFUNCTION("GOOGLETRANSLATE(C1049, ""en"", ""fa"")
"),"نکاتی را برای بهینه سازی سئوی محصول (بهینه سازی موتور جستجو) در وب سایت های تجارت الکترونیک برای بهبود دید و رتبه بندی جستجوی ارگانیک به اشتراک بگذارید.")</f>
        <v>نکاتی را برای بهینه سازی سئوی محصول (بهینه سازی موتور جستجو) در وب سایت های تجارت الکترونیک برای بهبود دید و رتبه بندی جستجوی ارگانیک به اشتراک بگذارید.</v>
      </c>
      <c r="H1049" s="1"/>
      <c r="I1049" s="1"/>
      <c r="J1049" s="1"/>
      <c r="K1049" s="1"/>
      <c r="L1049" s="1"/>
      <c r="M1049" s="1"/>
      <c r="N1049" s="1"/>
      <c r="O1049" s="1"/>
      <c r="P1049" s="1"/>
      <c r="Q1049" s="1"/>
      <c r="R1049" s="1"/>
      <c r="S1049" s="1"/>
      <c r="T1049" s="1"/>
      <c r="U1049" s="1"/>
      <c r="V1049" s="1"/>
      <c r="W1049" s="1"/>
      <c r="X1049" s="1"/>
      <c r="Y1049" s="1"/>
      <c r="Z1049" s="1"/>
      <c r="AA1049" s="1"/>
      <c r="AB1049" s="1"/>
    </row>
    <row r="1050" ht="50.25" customHeight="1">
      <c r="A1050" s="12">
        <v>1046.0</v>
      </c>
      <c r="B1050" s="13" t="s">
        <v>1004</v>
      </c>
      <c r="C1050" s="14" t="s">
        <v>1056</v>
      </c>
      <c r="D1050" s="1"/>
      <c r="E1050" s="15"/>
      <c r="F1050" s="1" t="str">
        <f>IFERROR(__xludf.DUMMYFUNCTION("GOOGLETRANSLATE(B1050, ""en"", ""fa"")
"),"تجارت الکترونیک و فروش آنلاین")</f>
        <v>تجارت الکترونیک و فروش آنلاین</v>
      </c>
      <c r="G1050" s="1" t="str">
        <f>IFERROR(__xludf.DUMMYFUNCTION("GOOGLETRANSLATE(C1050, ""en"", ""fa"")
"),"مفهوم استفاده از اینفلوئنسرهای رسانه های اجتماعی به عنوان سفیران برند برای ارتقای محصولات و افزایش فروش آنلاین را بررسی کنید.")</f>
        <v>مفهوم استفاده از اینفلوئنسرهای رسانه های اجتماعی به عنوان سفیران برند برای ارتقای محصولات و افزایش فروش آنلاین را بررسی کنید.</v>
      </c>
      <c r="H1050" s="1"/>
      <c r="I1050" s="1"/>
      <c r="J1050" s="1"/>
      <c r="K1050" s="1"/>
      <c r="L1050" s="1"/>
      <c r="M1050" s="1"/>
      <c r="N1050" s="1"/>
      <c r="O1050" s="1"/>
      <c r="P1050" s="1"/>
      <c r="Q1050" s="1"/>
      <c r="R1050" s="1"/>
      <c r="S1050" s="1"/>
      <c r="T1050" s="1"/>
      <c r="U1050" s="1"/>
      <c r="V1050" s="1"/>
      <c r="W1050" s="1"/>
      <c r="X1050" s="1"/>
      <c r="Y1050" s="1"/>
      <c r="Z1050" s="1"/>
      <c r="AA1050" s="1"/>
      <c r="AB1050" s="1"/>
    </row>
    <row r="1051" ht="50.25" customHeight="1">
      <c r="A1051" s="12">
        <v>1047.0</v>
      </c>
      <c r="B1051" s="13" t="s">
        <v>1004</v>
      </c>
      <c r="C1051" s="14" t="s">
        <v>1057</v>
      </c>
      <c r="D1051" s="1"/>
      <c r="E1051" s="15"/>
      <c r="F1051" s="1" t="str">
        <f>IFERROR(__xludf.DUMMYFUNCTION("GOOGLETRANSLATE(B1051, ""en"", ""fa"")
"),"تجارت الکترونیک و فروش آنلاین")</f>
        <v>تجارت الکترونیک و فروش آنلاین</v>
      </c>
      <c r="G1051" s="1" t="str">
        <f>IFERROR(__xludf.DUMMYFUNCTION("GOOGLETRANSLATE(C1051, ""en"", ""fa"")
"),"در مورد نقش اهرم تقسیم‌بندی مشتری برای ایجاد کمپین‌های بازاریابی ایمیلی هدفمند برای بخش‌های مختلف مشتریان، مانند مشتریان جدید، خریداران مکرر یا مشتریان با ارزش بحث کنید.")</f>
        <v>در مورد نقش اهرم تقسیم‌بندی مشتری برای ایجاد کمپین‌های بازاریابی ایمیلی هدفمند برای بخش‌های مختلف مشتریان، مانند مشتریان جدید، خریداران مکرر یا مشتریان با ارزش بحث کنید.</v>
      </c>
      <c r="H1051" s="1"/>
      <c r="I1051" s="1"/>
      <c r="J1051" s="1"/>
      <c r="K1051" s="1"/>
      <c r="L1051" s="1"/>
      <c r="M1051" s="1"/>
      <c r="N1051" s="1"/>
      <c r="O1051" s="1"/>
      <c r="P1051" s="1"/>
      <c r="Q1051" s="1"/>
      <c r="R1051" s="1"/>
      <c r="S1051" s="1"/>
      <c r="T1051" s="1"/>
      <c r="U1051" s="1"/>
      <c r="V1051" s="1"/>
      <c r="W1051" s="1"/>
      <c r="X1051" s="1"/>
      <c r="Y1051" s="1"/>
      <c r="Z1051" s="1"/>
      <c r="AA1051" s="1"/>
      <c r="AB1051" s="1"/>
    </row>
    <row r="1052" ht="50.25" customHeight="1">
      <c r="A1052" s="12">
        <v>1048.0</v>
      </c>
      <c r="B1052" s="13" t="s">
        <v>1004</v>
      </c>
      <c r="C1052" s="14" t="s">
        <v>1058</v>
      </c>
      <c r="D1052" s="1"/>
      <c r="E1052" s="15"/>
      <c r="F1052" s="1" t="str">
        <f>IFERROR(__xludf.DUMMYFUNCTION("GOOGLETRANSLATE(B1052, ""en"", ""fa"")
"),"تجارت الکترونیک و فروش آنلاین")</f>
        <v>تجارت الکترونیک و فروش آنلاین</v>
      </c>
      <c r="G1052" s="1" t="str">
        <f>IFERROR(__xludf.DUMMYFUNCTION("GOOGLETRANSLATE(C1052, ""en"", ""fa"")
"),"استراتژی‌های پیاده‌سازی پشتیبانی چت زنده در وب‌سایت‌های تجارت الکترونیک را به اشتراک بگذارید تا کمک به موقع و پاسخگویی به سؤالات مشتری، منجر به افزایش تبدیل شود.")</f>
        <v>استراتژی‌های پیاده‌سازی پشتیبانی چت زنده در وب‌سایت‌های تجارت الکترونیک را به اشتراک بگذارید تا کمک به موقع و پاسخگویی به سؤالات مشتری، منجر به افزایش تبدیل شود.</v>
      </c>
      <c r="H1052" s="1"/>
      <c r="I1052" s="1"/>
      <c r="J1052" s="1"/>
      <c r="K1052" s="1"/>
      <c r="L1052" s="1"/>
      <c r="M1052" s="1"/>
      <c r="N1052" s="1"/>
      <c r="O1052" s="1"/>
      <c r="P1052" s="1"/>
      <c r="Q1052" s="1"/>
      <c r="R1052" s="1"/>
      <c r="S1052" s="1"/>
      <c r="T1052" s="1"/>
      <c r="U1052" s="1"/>
      <c r="V1052" s="1"/>
      <c r="W1052" s="1"/>
      <c r="X1052" s="1"/>
      <c r="Y1052" s="1"/>
      <c r="Z1052" s="1"/>
      <c r="AA1052" s="1"/>
      <c r="AB1052" s="1"/>
    </row>
    <row r="1053" ht="50.25" customHeight="1">
      <c r="A1053" s="12">
        <v>1049.0</v>
      </c>
      <c r="B1053" s="13" t="s">
        <v>1004</v>
      </c>
      <c r="C1053" s="14" t="s">
        <v>1059</v>
      </c>
      <c r="D1053" s="1"/>
      <c r="E1053" s="15"/>
      <c r="F1053" s="1" t="str">
        <f>IFERROR(__xludf.DUMMYFUNCTION("GOOGLETRANSLATE(B1053, ""en"", ""fa"")
"),"تجارت الکترونیک و فروش آنلاین")</f>
        <v>تجارت الکترونیک و فروش آنلاین</v>
      </c>
      <c r="G1053" s="1" t="str">
        <f>IFERROR(__xludf.DUMMYFUNCTION("GOOGLETRANSLATE(C1053, ""en"", ""fa"")
"),"مزایای ارائه گزینه‌های قیمت‌گذاری منعطف، مانند قیمت‌گذاری طبقه‌بندی شده یا مدل‌های مبتنی بر اشتراک را برای پاسخگویی به ترجیحات مختلف مشتریان و افزایش ارزش طول عمر مشتری، کاوش کنید.")</f>
        <v>مزایای ارائه گزینه‌های قیمت‌گذاری منعطف، مانند قیمت‌گذاری طبقه‌بندی شده یا مدل‌های مبتنی بر اشتراک را برای پاسخگویی به ترجیحات مختلف مشتریان و افزایش ارزش طول عمر مشتری، کاوش کنید.</v>
      </c>
      <c r="H1053" s="1"/>
      <c r="I1053" s="1"/>
      <c r="J1053" s="1"/>
      <c r="K1053" s="1"/>
      <c r="L1053" s="1"/>
      <c r="M1053" s="1"/>
      <c r="N1053" s="1"/>
      <c r="O1053" s="1"/>
      <c r="P1053" s="1"/>
      <c r="Q1053" s="1"/>
      <c r="R1053" s="1"/>
      <c r="S1053" s="1"/>
      <c r="T1053" s="1"/>
      <c r="U1053" s="1"/>
      <c r="V1053" s="1"/>
      <c r="W1053" s="1"/>
      <c r="X1053" s="1"/>
      <c r="Y1053" s="1"/>
      <c r="Z1053" s="1"/>
      <c r="AA1053" s="1"/>
      <c r="AB1053" s="1"/>
    </row>
    <row r="1054" ht="50.25" customHeight="1">
      <c r="A1054" s="12">
        <v>1050.0</v>
      </c>
      <c r="B1054" s="13" t="s">
        <v>1004</v>
      </c>
      <c r="C1054" s="14" t="s">
        <v>1060</v>
      </c>
      <c r="D1054" s="1"/>
      <c r="E1054" s="15"/>
      <c r="F1054" s="1" t="str">
        <f>IFERROR(__xludf.DUMMYFUNCTION("GOOGLETRANSLATE(B1054, ""en"", ""fa"")
"),"تجارت الکترونیک و فروش آنلاین")</f>
        <v>تجارت الکترونیک و فروش آنلاین</v>
      </c>
      <c r="G1054" s="1" t="str">
        <f>IFERROR(__xludf.DUMMYFUNCTION("GOOGLETRANSLATE(C1054, ""en"", ""fa"")
"),"درباره تأثیر پیاده‌سازی سیستم بازخورد و بررسی مشتری در تجارت الکترونیک برای جمع‌آوری بینش، بهبود محصولات و ایجاد اعتماد در بین خریداران بالقوه بحث کنید.")</f>
        <v>درباره تأثیر پیاده‌سازی سیستم بازخورد و بررسی مشتری در تجارت الکترونیک برای جمع‌آوری بینش، بهبود محصولات و ایجاد اعتماد در بین خریداران بالقوه بحث کنید.</v>
      </c>
      <c r="H1054" s="1"/>
      <c r="I1054" s="1"/>
      <c r="J1054" s="1"/>
      <c r="K1054" s="1"/>
      <c r="L1054" s="1"/>
      <c r="M1054" s="1"/>
      <c r="N1054" s="1"/>
      <c r="O1054" s="1"/>
      <c r="P1054" s="1"/>
      <c r="Q1054" s="1"/>
      <c r="R1054" s="1"/>
      <c r="S1054" s="1"/>
      <c r="T1054" s="1"/>
      <c r="U1054" s="1"/>
      <c r="V1054" s="1"/>
      <c r="W1054" s="1"/>
      <c r="X1054" s="1"/>
      <c r="Y1054" s="1"/>
      <c r="Z1054" s="1"/>
      <c r="AA1054" s="1"/>
      <c r="AB1054" s="1"/>
    </row>
    <row r="1055" ht="50.25" customHeight="1">
      <c r="A1055" s="12">
        <v>1051.0</v>
      </c>
      <c r="B1055" s="13" t="s">
        <v>1004</v>
      </c>
      <c r="C1055" s="14" t="s">
        <v>1061</v>
      </c>
      <c r="D1055" s="1"/>
      <c r="E1055" s="15"/>
      <c r="F1055" s="1" t="str">
        <f>IFERROR(__xludf.DUMMYFUNCTION("GOOGLETRANSLATE(B1055, ""en"", ""fa"")
"),"تجارت الکترونیک و فروش آنلاین")</f>
        <v>تجارت الکترونیک و فروش آنلاین</v>
      </c>
      <c r="G1055" s="1" t="str">
        <f>IFERROR(__xludf.DUMMYFUNCTION("GOOGLETRANSLATE(C1055, ""en"", ""fa"")
"),"نکاتی را برای بهینه‌سازی تجربه خرید از طریق تلفن همراه در تجارت الکترونیک، از جمله طراحی واکنش‌گرا، فرآیندهای پرداخت ساده و گزینه‌های پرداخت سازگار با موبایل به اشتراک بگذارید.")</f>
        <v>نکاتی را برای بهینه‌سازی تجربه خرید از طریق تلفن همراه در تجارت الکترونیک، از جمله طراحی واکنش‌گرا، فرآیندهای پرداخت ساده و گزینه‌های پرداخت سازگار با موبایل به اشتراک بگذارید.</v>
      </c>
      <c r="H1055" s="1"/>
      <c r="I1055" s="1"/>
      <c r="J1055" s="1"/>
      <c r="K1055" s="1"/>
      <c r="L1055" s="1"/>
      <c r="M1055" s="1"/>
      <c r="N1055" s="1"/>
      <c r="O1055" s="1"/>
      <c r="P1055" s="1"/>
      <c r="Q1055" s="1"/>
      <c r="R1055" s="1"/>
      <c r="S1055" s="1"/>
      <c r="T1055" s="1"/>
      <c r="U1055" s="1"/>
      <c r="V1055" s="1"/>
      <c r="W1055" s="1"/>
      <c r="X1055" s="1"/>
      <c r="Y1055" s="1"/>
      <c r="Z1055" s="1"/>
      <c r="AA1055" s="1"/>
      <c r="AB1055" s="1"/>
    </row>
    <row r="1056" ht="50.25" customHeight="1">
      <c r="A1056" s="12">
        <v>1052.0</v>
      </c>
      <c r="B1056" s="13" t="s">
        <v>1004</v>
      </c>
      <c r="C1056" s="14" t="s">
        <v>1062</v>
      </c>
      <c r="D1056" s="1"/>
      <c r="E1056" s="15"/>
      <c r="F1056" s="1" t="str">
        <f>IFERROR(__xludf.DUMMYFUNCTION("GOOGLETRANSLATE(B1056, ""en"", ""fa"")
"),"تجارت الکترونیک و فروش آنلاین")</f>
        <v>تجارت الکترونیک و فروش آنلاین</v>
      </c>
      <c r="G1056" s="1" t="str">
        <f>IFERROR(__xludf.DUMMYFUNCTION("GOOGLETRANSLATE(C1056, ""en"", ""fa"")
"),"مفهوم استفاده از هدف‌گیری مجدد تبلیغات رسانه‌های اجتماعی را برای دستیابی به مشتریانی که قبلاً به محصولات خاصی علاقه نشان داده‌اند یا از فروشگاه آنلاین بازدید کرده‌اند را بررسی کنید.")</f>
        <v>مفهوم استفاده از هدف‌گیری مجدد تبلیغات رسانه‌های اجتماعی را برای دستیابی به مشتریانی که قبلاً به محصولات خاصی علاقه نشان داده‌اند یا از فروشگاه آنلاین بازدید کرده‌اند را بررسی کنید.</v>
      </c>
      <c r="H1056" s="1"/>
      <c r="I1056" s="1"/>
      <c r="J1056" s="1"/>
      <c r="K1056" s="1"/>
      <c r="L1056" s="1"/>
      <c r="M1056" s="1"/>
      <c r="N1056" s="1"/>
      <c r="O1056" s="1"/>
      <c r="P1056" s="1"/>
      <c r="Q1056" s="1"/>
      <c r="R1056" s="1"/>
      <c r="S1056" s="1"/>
      <c r="T1056" s="1"/>
      <c r="U1056" s="1"/>
      <c r="V1056" s="1"/>
      <c r="W1056" s="1"/>
      <c r="X1056" s="1"/>
      <c r="Y1056" s="1"/>
      <c r="Z1056" s="1"/>
      <c r="AA1056" s="1"/>
      <c r="AB1056" s="1"/>
    </row>
    <row r="1057" ht="50.25" customHeight="1">
      <c r="A1057" s="12">
        <v>1053.0</v>
      </c>
      <c r="B1057" s="13" t="s">
        <v>1004</v>
      </c>
      <c r="C1057" s="14" t="s">
        <v>1063</v>
      </c>
      <c r="D1057" s="1"/>
      <c r="E1057" s="15"/>
      <c r="F1057" s="1" t="str">
        <f>IFERROR(__xludf.DUMMYFUNCTION("GOOGLETRANSLATE(B1057, ""en"", ""fa"")
"),"تجارت الکترونیک و فروش آنلاین")</f>
        <v>تجارت الکترونیک و فروش آنلاین</v>
      </c>
      <c r="G1057" s="1" t="str">
        <f>IFERROR(__xludf.DUMMYFUNCTION("GOOGLETRANSLATE(C1057, ""en"", ""fa"")
"),"درباره نقش اجرای استراتژی بازاریابی محتوای مشتری محور در تجارت الکترونیک برای ارائه اطلاعات ارزشمند، جذب مشتریان و هدایت ترافیک به فروشگاه آنلاین بحث کنید.")</f>
        <v>درباره نقش اجرای استراتژی بازاریابی محتوای مشتری محور در تجارت الکترونیک برای ارائه اطلاعات ارزشمند، جذب مشتریان و هدایت ترافیک به فروشگاه آنلاین بحث کنید.</v>
      </c>
      <c r="H1057" s="1"/>
      <c r="I1057" s="1"/>
      <c r="J1057" s="1"/>
      <c r="K1057" s="1"/>
      <c r="L1057" s="1"/>
      <c r="M1057" s="1"/>
      <c r="N1057" s="1"/>
      <c r="O1057" s="1"/>
      <c r="P1057" s="1"/>
      <c r="Q1057" s="1"/>
      <c r="R1057" s="1"/>
      <c r="S1057" s="1"/>
      <c r="T1057" s="1"/>
      <c r="U1057" s="1"/>
      <c r="V1057" s="1"/>
      <c r="W1057" s="1"/>
      <c r="X1057" s="1"/>
      <c r="Y1057" s="1"/>
      <c r="Z1057" s="1"/>
      <c r="AA1057" s="1"/>
      <c r="AB1057" s="1"/>
    </row>
    <row r="1058" ht="50.25" customHeight="1">
      <c r="A1058" s="12">
        <v>1054.0</v>
      </c>
      <c r="B1058" s="13" t="s">
        <v>1004</v>
      </c>
      <c r="C1058" s="14" t="s">
        <v>1064</v>
      </c>
      <c r="D1058" s="1"/>
      <c r="E1058" s="15"/>
      <c r="F1058" s="1" t="str">
        <f>IFERROR(__xludf.DUMMYFUNCTION("GOOGLETRANSLATE(B1058, ""en"", ""fa"")
"),"تجارت الکترونیک و فروش آنلاین")</f>
        <v>تجارت الکترونیک و فروش آنلاین</v>
      </c>
      <c r="G1058" s="1" t="str">
        <f>IFERROR(__xludf.DUMMYFUNCTION("GOOGLETRANSLATE(C1058, ""en"", ""fa"")
"),"استراتژی‌هایی را برای استفاده از محتوای تولید شده توسط کاربر در تجارت الکترونیک، مانند عکس‌ها و ویدیوهای مشتری، به اشتراک بگذارید تا دید و اعتبار محصول را افزایش دهید.")</f>
        <v>استراتژی‌هایی را برای استفاده از محتوای تولید شده توسط کاربر در تجارت الکترونیک، مانند عکس‌ها و ویدیوهای مشتری، به اشتراک بگذارید تا دید و اعتبار محصول را افزایش دهید.</v>
      </c>
      <c r="H1058" s="1"/>
      <c r="I1058" s="1"/>
      <c r="J1058" s="1"/>
      <c r="K1058" s="1"/>
      <c r="L1058" s="1"/>
      <c r="M1058" s="1"/>
      <c r="N1058" s="1"/>
      <c r="O1058" s="1"/>
      <c r="P1058" s="1"/>
      <c r="Q1058" s="1"/>
      <c r="R1058" s="1"/>
      <c r="S1058" s="1"/>
      <c r="T1058" s="1"/>
      <c r="U1058" s="1"/>
      <c r="V1058" s="1"/>
      <c r="W1058" s="1"/>
      <c r="X1058" s="1"/>
      <c r="Y1058" s="1"/>
      <c r="Z1058" s="1"/>
      <c r="AA1058" s="1"/>
      <c r="AB1058" s="1"/>
    </row>
    <row r="1059" ht="50.25" customHeight="1">
      <c r="A1059" s="12">
        <v>1055.0</v>
      </c>
      <c r="B1059" s="13" t="s">
        <v>1004</v>
      </c>
      <c r="C1059" s="14" t="s">
        <v>1065</v>
      </c>
      <c r="D1059" s="1"/>
      <c r="E1059" s="15"/>
      <c r="F1059" s="1" t="str">
        <f>IFERROR(__xludf.DUMMYFUNCTION("GOOGLETRANSLATE(B1059, ""en"", ""fa"")
"),"تجارت الکترونیک و فروش آنلاین")</f>
        <v>تجارت الکترونیک و فروش آنلاین</v>
      </c>
      <c r="G1059" s="1" t="str">
        <f>IFERROR(__xludf.DUMMYFUNCTION("GOOGLETRANSLATE(C1059, ""en"", ""fa"")
"),"مزایای ارائه تخفیف‌ها و تبلیغات شخصی‌شده را بر اساس ترجیحات مشتریان، سابقه خرید یا مناسبت‌های خاص بررسی کنید.")</f>
        <v>مزایای ارائه تخفیف‌ها و تبلیغات شخصی‌شده را بر اساس ترجیحات مشتریان، سابقه خرید یا مناسبت‌های خاص بررسی کنید.</v>
      </c>
      <c r="H1059" s="1"/>
      <c r="I1059" s="1"/>
      <c r="J1059" s="1"/>
      <c r="K1059" s="1"/>
      <c r="L1059" s="1"/>
      <c r="M1059" s="1"/>
      <c r="N1059" s="1"/>
      <c r="O1059" s="1"/>
      <c r="P1059" s="1"/>
      <c r="Q1059" s="1"/>
      <c r="R1059" s="1"/>
      <c r="S1059" s="1"/>
      <c r="T1059" s="1"/>
      <c r="U1059" s="1"/>
      <c r="V1059" s="1"/>
      <c r="W1059" s="1"/>
      <c r="X1059" s="1"/>
      <c r="Y1059" s="1"/>
      <c r="Z1059" s="1"/>
      <c r="AA1059" s="1"/>
      <c r="AB1059" s="1"/>
    </row>
    <row r="1060" ht="50.25" customHeight="1">
      <c r="A1060" s="12">
        <v>1056.0</v>
      </c>
      <c r="B1060" s="13" t="s">
        <v>1004</v>
      </c>
      <c r="C1060" s="14" t="s">
        <v>1066</v>
      </c>
      <c r="D1060" s="1"/>
      <c r="E1060" s="15"/>
      <c r="F1060" s="1" t="str">
        <f>IFERROR(__xludf.DUMMYFUNCTION("GOOGLETRANSLATE(B1060, ""en"", ""fa"")
"),"تجارت الکترونیک و فروش آنلاین")</f>
        <v>تجارت الکترونیک و فروش آنلاین</v>
      </c>
      <c r="G1060" s="1" t="str">
        <f>IFERROR(__xludf.DUMMYFUNCTION("GOOGLETRANSLATE(C1060, ""en"", ""fa"")
"),"درباره تأثیر پیاده‌سازی نقشه سفر مشتری در تجارت الکترونیک برای درک نقاط تماس مشتریان و بهینه‌سازی تجربه خرید بحث کنید.")</f>
        <v>درباره تأثیر پیاده‌سازی نقشه سفر مشتری در تجارت الکترونیک برای درک نقاط تماس مشتریان و بهینه‌سازی تجربه خرید بحث کنید.</v>
      </c>
      <c r="H1060" s="1"/>
      <c r="I1060" s="1"/>
      <c r="J1060" s="1"/>
      <c r="K1060" s="1"/>
      <c r="L1060" s="1"/>
      <c r="M1060" s="1"/>
      <c r="N1060" s="1"/>
      <c r="O1060" s="1"/>
      <c r="P1060" s="1"/>
      <c r="Q1060" s="1"/>
      <c r="R1060" s="1"/>
      <c r="S1060" s="1"/>
      <c r="T1060" s="1"/>
      <c r="U1060" s="1"/>
      <c r="V1060" s="1"/>
      <c r="W1060" s="1"/>
      <c r="X1060" s="1"/>
      <c r="Y1060" s="1"/>
      <c r="Z1060" s="1"/>
      <c r="AA1060" s="1"/>
      <c r="AB1060" s="1"/>
    </row>
    <row r="1061" ht="50.25" customHeight="1">
      <c r="A1061" s="12">
        <v>1057.0</v>
      </c>
      <c r="B1061" s="13" t="s">
        <v>1004</v>
      </c>
      <c r="C1061" s="14" t="s">
        <v>1067</v>
      </c>
      <c r="D1061" s="1"/>
      <c r="E1061" s="15"/>
      <c r="F1061" s="1" t="str">
        <f>IFERROR(__xludf.DUMMYFUNCTION("GOOGLETRANSLATE(B1061, ""en"", ""fa"")
"),"تجارت الکترونیک و فروش آنلاین")</f>
        <v>تجارت الکترونیک و فروش آنلاین</v>
      </c>
      <c r="G1061" s="1" t="str">
        <f>IFERROR(__xludf.DUMMYFUNCTION("GOOGLETRANSLATE(C1061, ""en"", ""fa"")
"),"برای یادآوری خریدهای ناقص به مشتریان و تشویق آنها به بازگشت و تکمیل تراکنش، نکاتی را برای اجرای توالی ایمیل سبد خرید رها شده موثر به اشتراک بگذارید.")</f>
        <v>برای یادآوری خریدهای ناقص به مشتریان و تشویق آنها به بازگشت و تکمیل تراکنش، نکاتی را برای اجرای توالی ایمیل سبد خرید رها شده موثر به اشتراک بگذارید.</v>
      </c>
      <c r="H1061" s="1"/>
      <c r="I1061" s="1"/>
      <c r="J1061" s="1"/>
      <c r="K1061" s="1"/>
      <c r="L1061" s="1"/>
      <c r="M1061" s="1"/>
      <c r="N1061" s="1"/>
      <c r="O1061" s="1"/>
      <c r="P1061" s="1"/>
      <c r="Q1061" s="1"/>
      <c r="R1061" s="1"/>
      <c r="S1061" s="1"/>
      <c r="T1061" s="1"/>
      <c r="U1061" s="1"/>
      <c r="V1061" s="1"/>
      <c r="W1061" s="1"/>
      <c r="X1061" s="1"/>
      <c r="Y1061" s="1"/>
      <c r="Z1061" s="1"/>
      <c r="AA1061" s="1"/>
      <c r="AB1061" s="1"/>
    </row>
    <row r="1062" ht="50.25" customHeight="1">
      <c r="A1062" s="12">
        <v>1058.0</v>
      </c>
      <c r="B1062" s="13" t="s">
        <v>1004</v>
      </c>
      <c r="C1062" s="14" t="s">
        <v>1068</v>
      </c>
      <c r="D1062" s="1"/>
      <c r="E1062" s="15"/>
      <c r="F1062" s="1" t="str">
        <f>IFERROR(__xludf.DUMMYFUNCTION("GOOGLETRANSLATE(B1062, ""en"", ""fa"")
"),"تجارت الکترونیک و فروش آنلاین")</f>
        <v>تجارت الکترونیک و فروش آنلاین</v>
      </c>
      <c r="G1062" s="1" t="str">
        <f>IFERROR(__xludf.DUMMYFUNCTION("GOOGLETRANSLATE(C1062, ""en"", ""fa"")
"),"مفهوم استفاده از تکنیک‌های گیمیفیکیشن، مانند سیستم‌های امتیاز وفاداری یا آزمون‌های تعاملی، برای افزایش تعامل مشتری و ایجاد انگیزه برای خریدهای تکراری را بررسی کنید.")</f>
        <v>مفهوم استفاده از تکنیک‌های گیمیفیکیشن، مانند سیستم‌های امتیاز وفاداری یا آزمون‌های تعاملی، برای افزایش تعامل مشتری و ایجاد انگیزه برای خریدهای تکراری را بررسی کنید.</v>
      </c>
      <c r="H1062" s="1"/>
      <c r="I1062" s="1"/>
      <c r="J1062" s="1"/>
      <c r="K1062" s="1"/>
      <c r="L1062" s="1"/>
      <c r="M1062" s="1"/>
      <c r="N1062" s="1"/>
      <c r="O1062" s="1"/>
      <c r="P1062" s="1"/>
      <c r="Q1062" s="1"/>
      <c r="R1062" s="1"/>
      <c r="S1062" s="1"/>
      <c r="T1062" s="1"/>
      <c r="U1062" s="1"/>
      <c r="V1062" s="1"/>
      <c r="W1062" s="1"/>
      <c r="X1062" s="1"/>
      <c r="Y1062" s="1"/>
      <c r="Z1062" s="1"/>
      <c r="AA1062" s="1"/>
      <c r="AB1062" s="1"/>
    </row>
    <row r="1063" ht="50.25" customHeight="1">
      <c r="A1063" s="12">
        <v>1059.0</v>
      </c>
      <c r="B1063" s="13" t="s">
        <v>1004</v>
      </c>
      <c r="C1063" s="14" t="s">
        <v>1069</v>
      </c>
      <c r="D1063" s="1"/>
      <c r="E1063" s="15"/>
      <c r="F1063" s="1" t="str">
        <f>IFERROR(__xludf.DUMMYFUNCTION("GOOGLETRANSLATE(B1063, ""en"", ""fa"")
"),"تجارت الکترونیک و فروش آنلاین")</f>
        <v>تجارت الکترونیک و فروش آنلاین</v>
      </c>
      <c r="G1063" s="1" t="str">
        <f>IFERROR(__xludf.DUMMYFUNCTION("GOOGLETRANSLATE(C1063, ""en"", ""fa"")
"),"درباره نقش استفاده از ابزارهای گوش دادن و نظارت بر رسانه های اجتماعی برای جمع آوری بینش در مورد ترجیحات، احساسات و گرایش های مشتری در تجارت الکترونیک بحث کنید.")</f>
        <v>درباره نقش استفاده از ابزارهای گوش دادن و نظارت بر رسانه های اجتماعی برای جمع آوری بینش در مورد ترجیحات، احساسات و گرایش های مشتری در تجارت الکترونیک بحث کنید.</v>
      </c>
      <c r="H1063" s="1"/>
      <c r="I1063" s="1"/>
      <c r="J1063" s="1"/>
      <c r="K1063" s="1"/>
      <c r="L1063" s="1"/>
      <c r="M1063" s="1"/>
      <c r="N1063" s="1"/>
      <c r="O1063" s="1"/>
      <c r="P1063" s="1"/>
      <c r="Q1063" s="1"/>
      <c r="R1063" s="1"/>
      <c r="S1063" s="1"/>
      <c r="T1063" s="1"/>
      <c r="U1063" s="1"/>
      <c r="V1063" s="1"/>
      <c r="W1063" s="1"/>
      <c r="X1063" s="1"/>
      <c r="Y1063" s="1"/>
      <c r="Z1063" s="1"/>
      <c r="AA1063" s="1"/>
      <c r="AB1063" s="1"/>
    </row>
    <row r="1064" ht="50.25" customHeight="1">
      <c r="A1064" s="12">
        <v>1060.0</v>
      </c>
      <c r="B1064" s="13" t="s">
        <v>1004</v>
      </c>
      <c r="C1064" s="14" t="s">
        <v>1070</v>
      </c>
      <c r="D1064" s="1"/>
      <c r="E1064" s="15"/>
      <c r="F1064" s="1" t="str">
        <f>IFERROR(__xludf.DUMMYFUNCTION("GOOGLETRANSLATE(B1064, ""en"", ""fa"")
"),"تجارت الکترونیک و فروش آنلاین")</f>
        <v>تجارت الکترونیک و فروش آنلاین</v>
      </c>
      <c r="G1064" s="1" t="str">
        <f>IFERROR(__xludf.DUMMYFUNCTION("GOOGLETRANSLATE(C1064, ""en"", ""fa"")
"),"استراتژی‌های پیاده‌سازی بسته‌بندی محصول یا کیت‌های محصول مؤثر را به اشتراک بگذارید تا مشتریان را تشویق به خرید چندین مورد و افزایش میانگین ارزش سفارش کنید.")</f>
        <v>استراتژی‌های پیاده‌سازی بسته‌بندی محصول یا کیت‌های محصول مؤثر را به اشتراک بگذارید تا مشتریان را تشویق به خرید چندین مورد و افزایش میانگین ارزش سفارش کنید.</v>
      </c>
      <c r="H1064" s="1"/>
      <c r="I1064" s="1"/>
      <c r="J1064" s="1"/>
      <c r="K1064" s="1"/>
      <c r="L1064" s="1"/>
      <c r="M1064" s="1"/>
      <c r="N1064" s="1"/>
      <c r="O1064" s="1"/>
      <c r="P1064" s="1"/>
      <c r="Q1064" s="1"/>
      <c r="R1064" s="1"/>
      <c r="S1064" s="1"/>
      <c r="T1064" s="1"/>
      <c r="U1064" s="1"/>
      <c r="V1064" s="1"/>
      <c r="W1064" s="1"/>
      <c r="X1064" s="1"/>
      <c r="Y1064" s="1"/>
      <c r="Z1064" s="1"/>
      <c r="AA1064" s="1"/>
      <c r="AB1064" s="1"/>
    </row>
    <row r="1065" ht="50.25" customHeight="1">
      <c r="A1065" s="12">
        <v>1061.0</v>
      </c>
      <c r="B1065" s="13" t="s">
        <v>1004</v>
      </c>
      <c r="C1065" s="14" t="s">
        <v>1071</v>
      </c>
      <c r="D1065" s="1"/>
      <c r="E1065" s="15"/>
      <c r="F1065" s="1" t="str">
        <f>IFERROR(__xludf.DUMMYFUNCTION("GOOGLETRANSLATE(B1065, ""en"", ""fa"")
"),"تجارت الکترونیک و فروش آنلاین")</f>
        <v>تجارت الکترونیک و فروش آنلاین</v>
      </c>
      <c r="G1065" s="1" t="str">
        <f>IFERROR(__xludf.DUMMYFUNCTION("GOOGLETRANSLATE(C1065, ""en"", ""fa"")
"),"مزایای پیاده‌سازی گزینه‌های ورود به سیستم اجتماعی در وب‌سایت‌های تجارت الکترونیک را برای ساده‌سازی فرآیند ثبت‌نام و پرداخت و کاهش اصطکاک برای مشتریان بررسی کنید.")</f>
        <v>مزایای پیاده‌سازی گزینه‌های ورود به سیستم اجتماعی در وب‌سایت‌های تجارت الکترونیک را برای ساده‌سازی فرآیند ثبت‌نام و پرداخت و کاهش اصطکاک برای مشتریان بررسی کنید.</v>
      </c>
      <c r="H1065" s="1"/>
      <c r="I1065" s="1"/>
      <c r="J1065" s="1"/>
      <c r="K1065" s="1"/>
      <c r="L1065" s="1"/>
      <c r="M1065" s="1"/>
      <c r="N1065" s="1"/>
      <c r="O1065" s="1"/>
      <c r="P1065" s="1"/>
      <c r="Q1065" s="1"/>
      <c r="R1065" s="1"/>
      <c r="S1065" s="1"/>
      <c r="T1065" s="1"/>
      <c r="U1065" s="1"/>
      <c r="V1065" s="1"/>
      <c r="W1065" s="1"/>
      <c r="X1065" s="1"/>
      <c r="Y1065" s="1"/>
      <c r="Z1065" s="1"/>
      <c r="AA1065" s="1"/>
      <c r="AB1065" s="1"/>
    </row>
    <row r="1066" ht="50.25" customHeight="1">
      <c r="A1066" s="12">
        <v>1062.0</v>
      </c>
      <c r="B1066" s="13" t="s">
        <v>1004</v>
      </c>
      <c r="C1066" s="14" t="s">
        <v>1072</v>
      </c>
      <c r="D1066" s="1"/>
      <c r="E1066" s="15"/>
      <c r="F1066" s="1" t="str">
        <f>IFERROR(__xludf.DUMMYFUNCTION("GOOGLETRANSLATE(B1066, ""en"", ""fa"")
"),"تجارت الکترونیک و فروش آنلاین")</f>
        <v>تجارت الکترونیک و فروش آنلاین</v>
      </c>
      <c r="G1066" s="1" t="str">
        <f>IFERROR(__xludf.DUMMYFUNCTION("GOOGLETRANSLATE(C1066, ""en"", ""fa"")
"),"درباره تأثیر استفاده از چت ربات‌های مبتنی بر هوش مصنوعی در تجارت الکترونیک برای ارائه پشتیبانی فوری مشتری، توصیه محصولات و راهنمایی مشتریان در فرآیند خرید بحث کنید.")</f>
        <v>درباره تأثیر استفاده از چت ربات‌های مبتنی بر هوش مصنوعی در تجارت الکترونیک برای ارائه پشتیبانی فوری مشتری، توصیه محصولات و راهنمایی مشتریان در فرآیند خرید بحث کنید.</v>
      </c>
      <c r="H1066" s="1"/>
      <c r="I1066" s="1"/>
      <c r="J1066" s="1"/>
      <c r="K1066" s="1"/>
      <c r="L1066" s="1"/>
      <c r="M1066" s="1"/>
      <c r="N1066" s="1"/>
      <c r="O1066" s="1"/>
      <c r="P1066" s="1"/>
      <c r="Q1066" s="1"/>
      <c r="R1066" s="1"/>
      <c r="S1066" s="1"/>
      <c r="T1066" s="1"/>
      <c r="U1066" s="1"/>
      <c r="V1066" s="1"/>
      <c r="W1066" s="1"/>
      <c r="X1066" s="1"/>
      <c r="Y1066" s="1"/>
      <c r="Z1066" s="1"/>
      <c r="AA1066" s="1"/>
      <c r="AB1066" s="1"/>
    </row>
    <row r="1067" ht="50.25" customHeight="1">
      <c r="A1067" s="12">
        <v>1063.0</v>
      </c>
      <c r="B1067" s="13" t="s">
        <v>1004</v>
      </c>
      <c r="C1067" s="14" t="s">
        <v>1073</v>
      </c>
      <c r="D1067" s="1"/>
      <c r="E1067" s="15"/>
      <c r="F1067" s="1" t="str">
        <f>IFERROR(__xludf.DUMMYFUNCTION("GOOGLETRANSLATE(B1067, ""en"", ""fa"")
"),"تجارت الکترونیک و فروش آنلاین")</f>
        <v>تجارت الکترونیک و فروش آنلاین</v>
      </c>
      <c r="G1067" s="1" t="str">
        <f>IFERROR(__xludf.DUMMYFUNCTION("GOOGLETRANSLATE(C1067, ""en"", ""fa"")
"),"نکاتی را برای بهینه‌سازی توصیه‌های محصول در صفحات محصول و صفحه سبد خرید برای افزایش فروش و فروش متقابل محصولات مرتبط به اشتراک بگذارید.")</f>
        <v>نکاتی را برای بهینه‌سازی توصیه‌های محصول در صفحات محصول و صفحه سبد خرید برای افزایش فروش و فروش متقابل محصولات مرتبط به اشتراک بگذارید.</v>
      </c>
      <c r="H1067" s="1"/>
      <c r="I1067" s="1"/>
      <c r="J1067" s="1"/>
      <c r="K1067" s="1"/>
      <c r="L1067" s="1"/>
      <c r="M1067" s="1"/>
      <c r="N1067" s="1"/>
      <c r="O1067" s="1"/>
      <c r="P1067" s="1"/>
      <c r="Q1067" s="1"/>
      <c r="R1067" s="1"/>
      <c r="S1067" s="1"/>
      <c r="T1067" s="1"/>
      <c r="U1067" s="1"/>
      <c r="V1067" s="1"/>
      <c r="W1067" s="1"/>
      <c r="X1067" s="1"/>
      <c r="Y1067" s="1"/>
      <c r="Z1067" s="1"/>
      <c r="AA1067" s="1"/>
      <c r="AB1067" s="1"/>
    </row>
    <row r="1068" ht="50.25" customHeight="1">
      <c r="A1068" s="12">
        <v>1064.0</v>
      </c>
      <c r="B1068" s="13" t="s">
        <v>1004</v>
      </c>
      <c r="C1068" s="14" t="s">
        <v>1074</v>
      </c>
      <c r="D1068" s="1"/>
      <c r="E1068" s="15"/>
      <c r="F1068" s="1" t="str">
        <f>IFERROR(__xludf.DUMMYFUNCTION("GOOGLETRANSLATE(B1068, ""en"", ""fa"")
"),"تجارت الکترونیک و فروش آنلاین")</f>
        <v>تجارت الکترونیک و فروش آنلاین</v>
      </c>
      <c r="G1068" s="1" t="str">
        <f>IFERROR(__xludf.DUMMYFUNCTION("GOOGLETRANSLATE(C1068, ""en"", ""fa"")
"),"مفهوم استفاده از اینفلوئنسرها یا محتوای حمایت شده برای نمایش محصولات، دستیابی به مخاطبان جدید و افزایش فروش آنلاین را بررسی کنید.")</f>
        <v>مفهوم استفاده از اینفلوئنسرها یا محتوای حمایت شده برای نمایش محصولات، دستیابی به مخاطبان جدید و افزایش فروش آنلاین را بررسی کنید.</v>
      </c>
      <c r="H1068" s="1"/>
      <c r="I1068" s="1"/>
      <c r="J1068" s="1"/>
      <c r="K1068" s="1"/>
      <c r="L1068" s="1"/>
      <c r="M1068" s="1"/>
      <c r="N1068" s="1"/>
      <c r="O1068" s="1"/>
      <c r="P1068" s="1"/>
      <c r="Q1068" s="1"/>
      <c r="R1068" s="1"/>
      <c r="S1068" s="1"/>
      <c r="T1068" s="1"/>
      <c r="U1068" s="1"/>
      <c r="V1068" s="1"/>
      <c r="W1068" s="1"/>
      <c r="X1068" s="1"/>
      <c r="Y1068" s="1"/>
      <c r="Z1068" s="1"/>
      <c r="AA1068" s="1"/>
      <c r="AB1068" s="1"/>
    </row>
    <row r="1069" ht="50.25" customHeight="1">
      <c r="A1069" s="12">
        <v>1065.0</v>
      </c>
      <c r="B1069" s="13" t="s">
        <v>1004</v>
      </c>
      <c r="C1069" s="14" t="s">
        <v>1075</v>
      </c>
      <c r="D1069" s="1"/>
      <c r="E1069" s="15"/>
      <c r="F1069" s="1" t="str">
        <f>IFERROR(__xludf.DUMMYFUNCTION("GOOGLETRANSLATE(B1069, ""en"", ""fa"")
"),"تجارت الکترونیک و فروش آنلاین")</f>
        <v>تجارت الکترونیک و فروش آنلاین</v>
      </c>
      <c r="G1069" s="1" t="str">
        <f>IFERROR(__xludf.DUMMYFUNCTION("GOOGLETRANSLATE(C1069, ""en"", ""fa"")
"),"درباره نقش پیاده‌سازی یک سیستم تحلیلی و گزارش‌دهی قوی در تجارت الکترونیک برای ردیابی معیارهای کلیدی، شناسایی زمینه‌های بهبود و اتخاذ تصمیم‌های مبتنی بر داده بحث کنید.")</f>
        <v>درباره نقش پیاده‌سازی یک سیستم تحلیلی و گزارش‌دهی قوی در تجارت الکترونیک برای ردیابی معیارهای کلیدی، شناسایی زمینه‌های بهبود و اتخاذ تصمیم‌های مبتنی بر داده بحث کنید.</v>
      </c>
      <c r="H1069" s="1"/>
      <c r="I1069" s="1"/>
      <c r="J1069" s="1"/>
      <c r="K1069" s="1"/>
      <c r="L1069" s="1"/>
      <c r="M1069" s="1"/>
      <c r="N1069" s="1"/>
      <c r="O1069" s="1"/>
      <c r="P1069" s="1"/>
      <c r="Q1069" s="1"/>
      <c r="R1069" s="1"/>
      <c r="S1069" s="1"/>
      <c r="T1069" s="1"/>
      <c r="U1069" s="1"/>
      <c r="V1069" s="1"/>
      <c r="W1069" s="1"/>
      <c r="X1069" s="1"/>
      <c r="Y1069" s="1"/>
      <c r="Z1069" s="1"/>
      <c r="AA1069" s="1"/>
      <c r="AB1069" s="1"/>
    </row>
    <row r="1070" ht="50.25" customHeight="1">
      <c r="A1070" s="12">
        <v>1066.0</v>
      </c>
      <c r="B1070" s="13" t="s">
        <v>1004</v>
      </c>
      <c r="C1070" s="14" t="s">
        <v>1076</v>
      </c>
      <c r="D1070" s="1"/>
      <c r="E1070" s="15"/>
      <c r="F1070" s="1" t="str">
        <f>IFERROR(__xludf.DUMMYFUNCTION("GOOGLETRANSLATE(B1070, ""en"", ""fa"")
"),"تجارت الکترونیک و فروش آنلاین")</f>
        <v>تجارت الکترونیک و فروش آنلاین</v>
      </c>
      <c r="G1070" s="1" t="str">
        <f>IFERROR(__xludf.DUMMYFUNCTION("GOOGLETRANSLATE(C1070, ""en"", ""fa"")
"),"استراتژی‌هایی را برای اجرای کمپین‌های موثر بازیابی رها کردن سبد خرید، مانند ارائه مشوق‌های شخصی یا ارائه اطلاعات اضافی محصول، به اشتراک بگذارید.")</f>
        <v>استراتژی‌هایی را برای اجرای کمپین‌های موثر بازیابی رها کردن سبد خرید، مانند ارائه مشوق‌های شخصی یا ارائه اطلاعات اضافی محصول، به اشتراک بگذارید.</v>
      </c>
      <c r="H1070" s="1"/>
      <c r="I1070" s="1"/>
      <c r="J1070" s="1"/>
      <c r="K1070" s="1"/>
      <c r="L1070" s="1"/>
      <c r="M1070" s="1"/>
      <c r="N1070" s="1"/>
      <c r="O1070" s="1"/>
      <c r="P1070" s="1"/>
      <c r="Q1070" s="1"/>
      <c r="R1070" s="1"/>
      <c r="S1070" s="1"/>
      <c r="T1070" s="1"/>
      <c r="U1070" s="1"/>
      <c r="V1070" s="1"/>
      <c r="W1070" s="1"/>
      <c r="X1070" s="1"/>
      <c r="Y1070" s="1"/>
      <c r="Z1070" s="1"/>
      <c r="AA1070" s="1"/>
      <c r="AB1070" s="1"/>
    </row>
    <row r="1071" ht="50.25" customHeight="1">
      <c r="A1071" s="12">
        <v>1067.0</v>
      </c>
      <c r="B1071" s="13" t="s">
        <v>1004</v>
      </c>
      <c r="C1071" s="14" t="s">
        <v>1077</v>
      </c>
      <c r="D1071" s="1"/>
      <c r="E1071" s="15"/>
      <c r="F1071" s="1" t="str">
        <f>IFERROR(__xludf.DUMMYFUNCTION("GOOGLETRANSLATE(B1071, ""en"", ""fa"")
"),"تجارت الکترونیک و فروش آنلاین")</f>
        <v>تجارت الکترونیک و فروش آنلاین</v>
      </c>
      <c r="G1071" s="1" t="str">
        <f>IFERROR(__xludf.DUMMYFUNCTION("GOOGLETRANSLATE(C1071, ""en"", ""fa"")
"),"مزایای ارائه تخفیف های انحصاری مشتری یا دسترسی زودهنگام به راه اندازی محصولات جدید را برای تقویت حس انحصار و وفاداری کاوش کنید.")</f>
        <v>مزایای ارائه تخفیف های انحصاری مشتری یا دسترسی زودهنگام به راه اندازی محصولات جدید را برای تقویت حس انحصار و وفاداری کاوش کنید.</v>
      </c>
      <c r="H1071" s="1"/>
      <c r="I1071" s="1"/>
      <c r="J1071" s="1"/>
      <c r="K1071" s="1"/>
      <c r="L1071" s="1"/>
      <c r="M1071" s="1"/>
      <c r="N1071" s="1"/>
      <c r="O1071" s="1"/>
      <c r="P1071" s="1"/>
      <c r="Q1071" s="1"/>
      <c r="R1071" s="1"/>
      <c r="S1071" s="1"/>
      <c r="T1071" s="1"/>
      <c r="U1071" s="1"/>
      <c r="V1071" s="1"/>
      <c r="W1071" s="1"/>
      <c r="X1071" s="1"/>
      <c r="Y1071" s="1"/>
      <c r="Z1071" s="1"/>
      <c r="AA1071" s="1"/>
      <c r="AB1071" s="1"/>
    </row>
    <row r="1072" ht="50.25" customHeight="1">
      <c r="A1072" s="12">
        <v>1068.0</v>
      </c>
      <c r="B1072" s="13" t="s">
        <v>1004</v>
      </c>
      <c r="C1072" s="14" t="s">
        <v>1078</v>
      </c>
      <c r="D1072" s="1"/>
      <c r="E1072" s="15"/>
      <c r="F1072" s="1" t="str">
        <f>IFERROR(__xludf.DUMMYFUNCTION("GOOGLETRANSLATE(B1072, ""en"", ""fa"")
"),"تجارت الکترونیک و فروش آنلاین")</f>
        <v>تجارت الکترونیک و فروش آنلاین</v>
      </c>
      <c r="G1072" s="1" t="str">
        <f>IFERROR(__xludf.DUMMYFUNCTION("GOOGLETRANSLATE(C1072, ""en"", ""fa"")
"),"در مورد تأثیر استفاده از مسابقات رسانه های اجتماعی یا هدایا برای افزایش آگاهی از برند، جذب مشتریان و هدایت ترافیک به فروشگاه آنلاین بحث کنید.")</f>
        <v>در مورد تأثیر استفاده از مسابقات رسانه های اجتماعی یا هدایا برای افزایش آگاهی از برند، جذب مشتریان و هدایت ترافیک به فروشگاه آنلاین بحث کنید.</v>
      </c>
      <c r="H1072" s="1"/>
      <c r="I1072" s="1"/>
      <c r="J1072" s="1"/>
      <c r="K1072" s="1"/>
      <c r="L1072" s="1"/>
      <c r="M1072" s="1"/>
      <c r="N1072" s="1"/>
      <c r="O1072" s="1"/>
      <c r="P1072" s="1"/>
      <c r="Q1072" s="1"/>
      <c r="R1072" s="1"/>
      <c r="S1072" s="1"/>
      <c r="T1072" s="1"/>
      <c r="U1072" s="1"/>
      <c r="V1072" s="1"/>
      <c r="W1072" s="1"/>
      <c r="X1072" s="1"/>
      <c r="Y1072" s="1"/>
      <c r="Z1072" s="1"/>
      <c r="AA1072" s="1"/>
      <c r="AB1072" s="1"/>
    </row>
    <row r="1073" ht="50.25" customHeight="1">
      <c r="A1073" s="12">
        <v>1069.0</v>
      </c>
      <c r="B1073" s="13" t="s">
        <v>1004</v>
      </c>
      <c r="C1073" s="14" t="s">
        <v>1079</v>
      </c>
      <c r="D1073" s="1"/>
      <c r="E1073" s="15"/>
      <c r="F1073" s="1" t="str">
        <f>IFERROR(__xludf.DUMMYFUNCTION("GOOGLETRANSLATE(B1073, ""en"", ""fa"")
"),"تجارت الکترونیک و فروش آنلاین")</f>
        <v>تجارت الکترونیک و فروش آنلاین</v>
      </c>
      <c r="G1073" s="1" t="str">
        <f>IFERROR(__xludf.DUMMYFUNCTION("GOOGLETRANSLATE(C1073, ""en"", ""fa"")
"),"نکاتی را برای اجرای یک سری ایمیل بازیابی سبد خرید موثر به اشتراک بگذارید تا مشتریانی را که سبد خرید خود را رها کرده‌اند بازگردانند و آنها را تشویق به تکمیل خرید کنید.")</f>
        <v>نکاتی را برای اجرای یک سری ایمیل بازیابی سبد خرید موثر به اشتراک بگذارید تا مشتریانی را که سبد خرید خود را رها کرده‌اند بازگردانند و آنها را تشویق به تکمیل خرید کنید.</v>
      </c>
      <c r="H1073" s="1"/>
      <c r="I1073" s="1"/>
      <c r="J1073" s="1"/>
      <c r="K1073" s="1"/>
      <c r="L1073" s="1"/>
      <c r="M1073" s="1"/>
      <c r="N1073" s="1"/>
      <c r="O1073" s="1"/>
      <c r="P1073" s="1"/>
      <c r="Q1073" s="1"/>
      <c r="R1073" s="1"/>
      <c r="S1073" s="1"/>
      <c r="T1073" s="1"/>
      <c r="U1073" s="1"/>
      <c r="V1073" s="1"/>
      <c r="W1073" s="1"/>
      <c r="X1073" s="1"/>
      <c r="Y1073" s="1"/>
      <c r="Z1073" s="1"/>
      <c r="AA1073" s="1"/>
      <c r="AB1073" s="1"/>
    </row>
    <row r="1074" ht="50.25" customHeight="1">
      <c r="A1074" s="12">
        <v>1070.0</v>
      </c>
      <c r="B1074" s="13" t="s">
        <v>1004</v>
      </c>
      <c r="C1074" s="14" t="s">
        <v>1080</v>
      </c>
      <c r="D1074" s="1"/>
      <c r="E1074" s="15"/>
      <c r="F1074" s="1" t="str">
        <f>IFERROR(__xludf.DUMMYFUNCTION("GOOGLETRANSLATE(B1074, ""en"", ""fa"")
"),"تجارت الکترونیک و فروش آنلاین")</f>
        <v>تجارت الکترونیک و فروش آنلاین</v>
      </c>
      <c r="G1074" s="1" t="str">
        <f>IFERROR(__xludf.DUMMYFUNCTION("GOOGLETRANSLATE(C1074, ""en"", ""fa"")
"),"مفهوم استفاده از استراتژی‌های قیمت‌گذاری پویا، مانند فروش فلش یا تخفیف‌های شخصی‌سازی شده را برای ایجاد حس فوریت و افزایش فروش، بررسی کنید.")</f>
        <v>مفهوم استفاده از استراتژی‌های قیمت‌گذاری پویا، مانند فروش فلش یا تخفیف‌های شخصی‌سازی شده را برای ایجاد حس فوریت و افزایش فروش، بررسی کنید.</v>
      </c>
      <c r="H1074" s="1"/>
      <c r="I1074" s="1"/>
      <c r="J1074" s="1"/>
      <c r="K1074" s="1"/>
      <c r="L1074" s="1"/>
      <c r="M1074" s="1"/>
      <c r="N1074" s="1"/>
      <c r="O1074" s="1"/>
      <c r="P1074" s="1"/>
      <c r="Q1074" s="1"/>
      <c r="R1074" s="1"/>
      <c r="S1074" s="1"/>
      <c r="T1074" s="1"/>
      <c r="U1074" s="1"/>
      <c r="V1074" s="1"/>
      <c r="W1074" s="1"/>
      <c r="X1074" s="1"/>
      <c r="Y1074" s="1"/>
      <c r="Z1074" s="1"/>
      <c r="AA1074" s="1"/>
      <c r="AB1074" s="1"/>
    </row>
    <row r="1075" ht="50.25" customHeight="1">
      <c r="A1075" s="12">
        <v>1071.0</v>
      </c>
      <c r="B1075" s="13" t="s">
        <v>1004</v>
      </c>
      <c r="C1075" s="14" t="s">
        <v>1081</v>
      </c>
      <c r="D1075" s="1"/>
      <c r="E1075" s="15"/>
      <c r="F1075" s="1" t="str">
        <f>IFERROR(__xludf.DUMMYFUNCTION("GOOGLETRANSLATE(B1075, ""en"", ""fa"")
"),"تجارت الکترونیک و فروش آنلاین")</f>
        <v>تجارت الکترونیک و فروش آنلاین</v>
      </c>
      <c r="G1075" s="1" t="str">
        <f>IFERROR(__xludf.DUMMYFUNCTION("GOOGLETRANSLATE(C1075, ""en"", ""fa"")
"),"در مورد نقش اجرای نظرات و رتبه بندی مشتریان در صفحات محصول برای ارائه اثبات اجتماعی و کمک به مشتریان در فرآیند تصمیم گیری خریدشان بحث کنید.")</f>
        <v>در مورد نقش اجرای نظرات و رتبه بندی مشتریان در صفحات محصول برای ارائه اثبات اجتماعی و کمک به مشتریان در فرآیند تصمیم گیری خریدشان بحث کنید.</v>
      </c>
      <c r="H1075" s="1"/>
      <c r="I1075" s="1"/>
      <c r="J1075" s="1"/>
      <c r="K1075" s="1"/>
      <c r="L1075" s="1"/>
      <c r="M1075" s="1"/>
      <c r="N1075" s="1"/>
      <c r="O1075" s="1"/>
      <c r="P1075" s="1"/>
      <c r="Q1075" s="1"/>
      <c r="R1075" s="1"/>
      <c r="S1075" s="1"/>
      <c r="T1075" s="1"/>
      <c r="U1075" s="1"/>
      <c r="V1075" s="1"/>
      <c r="W1075" s="1"/>
      <c r="X1075" s="1"/>
      <c r="Y1075" s="1"/>
      <c r="Z1075" s="1"/>
      <c r="AA1075" s="1"/>
      <c r="AB1075" s="1"/>
    </row>
    <row r="1076" ht="50.25" customHeight="1">
      <c r="A1076" s="12">
        <v>1072.0</v>
      </c>
      <c r="B1076" s="13" t="s">
        <v>1004</v>
      </c>
      <c r="C1076" s="14" t="s">
        <v>1082</v>
      </c>
      <c r="D1076" s="1"/>
      <c r="E1076" s="15"/>
      <c r="F1076" s="1" t="str">
        <f>IFERROR(__xludf.DUMMYFUNCTION("GOOGLETRANSLATE(B1076, ""en"", ""fa"")
"),"تجارت الکترونیک و فروش آنلاین")</f>
        <v>تجارت الکترونیک و فروش آنلاین</v>
      </c>
      <c r="G1076" s="1" t="str">
        <f>IFERROR(__xludf.DUMMYFUNCTION("GOOGLETRANSLATE(C1076, ""en"", ""fa"")
"),"استراتژی‌هایی را برای بهینه‌سازی تجربه بسته‌بندی محصول و جعبه‌گشایی به اشتراک بگذارید تا تجربه‌ای به یاد ماندنی و قابل اشتراک‌گذاری از برند ایجاد کنید که مشتریان را خوشحال می‌کند.")</f>
        <v>استراتژی‌هایی را برای بهینه‌سازی تجربه بسته‌بندی محصول و جعبه‌گشایی به اشتراک بگذارید تا تجربه‌ای به یاد ماندنی و قابل اشتراک‌گذاری از برند ایجاد کنید که مشتریان را خوشحال می‌کند.</v>
      </c>
      <c r="H1076" s="1"/>
      <c r="I1076" s="1"/>
      <c r="J1076" s="1"/>
      <c r="K1076" s="1"/>
      <c r="L1076" s="1"/>
      <c r="M1076" s="1"/>
      <c r="N1076" s="1"/>
      <c r="O1076" s="1"/>
      <c r="P1076" s="1"/>
      <c r="Q1076" s="1"/>
      <c r="R1076" s="1"/>
      <c r="S1076" s="1"/>
      <c r="T1076" s="1"/>
      <c r="U1076" s="1"/>
      <c r="V1076" s="1"/>
      <c r="W1076" s="1"/>
      <c r="X1076" s="1"/>
      <c r="Y1076" s="1"/>
      <c r="Z1076" s="1"/>
      <c r="AA1076" s="1"/>
      <c r="AB1076" s="1"/>
    </row>
    <row r="1077" ht="50.25" customHeight="1">
      <c r="A1077" s="12">
        <v>1073.0</v>
      </c>
      <c r="B1077" s="13" t="s">
        <v>1004</v>
      </c>
      <c r="C1077" s="14" t="s">
        <v>1083</v>
      </c>
      <c r="D1077" s="1"/>
      <c r="E1077" s="15"/>
      <c r="F1077" s="1" t="str">
        <f>IFERROR(__xludf.DUMMYFUNCTION("GOOGLETRANSLATE(B1077, ""en"", ""fa"")
"),"تجارت الکترونیک و فروش آنلاین")</f>
        <v>تجارت الکترونیک و فروش آنلاین</v>
      </c>
      <c r="G1077" s="1" t="str">
        <f>IFERROR(__xludf.DUMMYFUNCTION("GOOGLETRANSLATE(C1077, ""en"", ""fa"")
"),"مزایای ارائه پشتیبانی مشتری از طریق کانال‌های متعدد، مانند چت زنده، ایمیل، یا تلفن را بررسی کنید تا روش‌های ارتباطی ترجیحی مشتریان را برآورده کنید.")</f>
        <v>مزایای ارائه پشتیبانی مشتری از طریق کانال‌های متعدد، مانند چت زنده، ایمیل، یا تلفن را بررسی کنید تا روش‌های ارتباطی ترجیحی مشتریان را برآورده کنید.</v>
      </c>
      <c r="H1077" s="1"/>
      <c r="I1077" s="1"/>
      <c r="J1077" s="1"/>
      <c r="K1077" s="1"/>
      <c r="L1077" s="1"/>
      <c r="M1077" s="1"/>
      <c r="N1077" s="1"/>
      <c r="O1077" s="1"/>
      <c r="P1077" s="1"/>
      <c r="Q1077" s="1"/>
      <c r="R1077" s="1"/>
      <c r="S1077" s="1"/>
      <c r="T1077" s="1"/>
      <c r="U1077" s="1"/>
      <c r="V1077" s="1"/>
      <c r="W1077" s="1"/>
      <c r="X1077" s="1"/>
      <c r="Y1077" s="1"/>
      <c r="Z1077" s="1"/>
      <c r="AA1077" s="1"/>
      <c r="AB1077" s="1"/>
    </row>
    <row r="1078" ht="50.25" customHeight="1">
      <c r="A1078" s="12">
        <v>1074.0</v>
      </c>
      <c r="B1078" s="13" t="s">
        <v>1004</v>
      </c>
      <c r="C1078" s="14" t="s">
        <v>1084</v>
      </c>
      <c r="D1078" s="1"/>
      <c r="E1078" s="15"/>
      <c r="F1078" s="1" t="str">
        <f>IFERROR(__xludf.DUMMYFUNCTION("GOOGLETRANSLATE(B1078, ""en"", ""fa"")
"),"تجارت الکترونیک و فروش آنلاین")</f>
        <v>تجارت الکترونیک و فروش آنلاین</v>
      </c>
      <c r="G1078" s="1" t="str">
        <f>IFERROR(__xludf.DUMMYFUNCTION("GOOGLETRANSLATE(C1078, ""en"", ""fa"")
"),"در مورد تأثیر استفاده از محتوای تولید شده توسط کاربر در پلتفرم های رسانه های اجتماعی، مانند توصیفات مشتری یا جعبه گشایی ویدیوها، برای ایجاد اعتماد و تشویق فروش آنلاین بحث کنید.")</f>
        <v>در مورد تأثیر استفاده از محتوای تولید شده توسط کاربر در پلتفرم های رسانه های اجتماعی، مانند توصیفات مشتری یا جعبه گشایی ویدیوها، برای ایجاد اعتماد و تشویق فروش آنلاین بحث کنید.</v>
      </c>
      <c r="H1078" s="1"/>
      <c r="I1078" s="1"/>
      <c r="J1078" s="1"/>
      <c r="K1078" s="1"/>
      <c r="L1078" s="1"/>
      <c r="M1078" s="1"/>
      <c r="N1078" s="1"/>
      <c r="O1078" s="1"/>
      <c r="P1078" s="1"/>
      <c r="Q1078" s="1"/>
      <c r="R1078" s="1"/>
      <c r="S1078" s="1"/>
      <c r="T1078" s="1"/>
      <c r="U1078" s="1"/>
      <c r="V1078" s="1"/>
      <c r="W1078" s="1"/>
      <c r="X1078" s="1"/>
      <c r="Y1078" s="1"/>
      <c r="Z1078" s="1"/>
      <c r="AA1078" s="1"/>
      <c r="AB1078" s="1"/>
    </row>
    <row r="1079" ht="50.25" customHeight="1">
      <c r="A1079" s="12">
        <v>1075.0</v>
      </c>
      <c r="B1079" s="13" t="s">
        <v>1004</v>
      </c>
      <c r="C1079" s="14" t="s">
        <v>1085</v>
      </c>
      <c r="D1079" s="1"/>
      <c r="E1079" s="15"/>
      <c r="F1079" s="1" t="str">
        <f>IFERROR(__xludf.DUMMYFUNCTION("GOOGLETRANSLATE(B1079, ""en"", ""fa"")
"),"تجارت الکترونیک و فروش آنلاین")</f>
        <v>تجارت الکترونیک و فروش آنلاین</v>
      </c>
      <c r="G1079" s="1" t="str">
        <f>IFERROR(__xludf.DUMMYFUNCTION("GOOGLETRANSLATE(C1079, ""en"", ""fa"")
"),"نکاتی را برای بهینه سازی رتبه بندی صفحات دسته بندی محصولات در موتورهای جستجو در وب سایت های تجارت الکترونیک برای جذب ترافیک ارگانیک و افزایش دید به اشتراک بگذارید.")</f>
        <v>نکاتی را برای بهینه سازی رتبه بندی صفحات دسته بندی محصولات در موتورهای جستجو در وب سایت های تجارت الکترونیک برای جذب ترافیک ارگانیک و افزایش دید به اشتراک بگذارید.</v>
      </c>
      <c r="H1079" s="1"/>
      <c r="I1079" s="1"/>
      <c r="J1079" s="1"/>
      <c r="K1079" s="1"/>
      <c r="L1079" s="1"/>
      <c r="M1079" s="1"/>
      <c r="N1079" s="1"/>
      <c r="O1079" s="1"/>
      <c r="P1079" s="1"/>
      <c r="Q1079" s="1"/>
      <c r="R1079" s="1"/>
      <c r="S1079" s="1"/>
      <c r="T1079" s="1"/>
      <c r="U1079" s="1"/>
      <c r="V1079" s="1"/>
      <c r="W1079" s="1"/>
      <c r="X1079" s="1"/>
      <c r="Y1079" s="1"/>
      <c r="Z1079" s="1"/>
      <c r="AA1079" s="1"/>
      <c r="AB1079" s="1"/>
    </row>
    <row r="1080" ht="50.25" customHeight="1">
      <c r="A1080" s="12">
        <v>1076.0</v>
      </c>
      <c r="B1080" s="13" t="s">
        <v>1004</v>
      </c>
      <c r="C1080" s="14" t="s">
        <v>1086</v>
      </c>
      <c r="D1080" s="1"/>
      <c r="E1080" s="15"/>
      <c r="F1080" s="1" t="str">
        <f>IFERROR(__xludf.DUMMYFUNCTION("GOOGLETRANSLATE(B1080, ""en"", ""fa"")
"),"تجارت الکترونیک و فروش آنلاین")</f>
        <v>تجارت الکترونیک و فروش آنلاین</v>
      </c>
      <c r="G1080" s="1" t="str">
        <f>IFERROR(__xludf.DUMMYFUNCTION("GOOGLETRANSLATE(C1080, ""en"", ""fa"")
"),"مفهوم استفاده از توصیه های محصول شخصی سازی شده را در کمپین های بازاریابی ایمیلی بر اساس تاریخچه مرور مشتریان یا الگوهای خرید بررسی کنید.")</f>
        <v>مفهوم استفاده از توصیه های محصول شخصی سازی شده را در کمپین های بازاریابی ایمیلی بر اساس تاریخچه مرور مشتریان یا الگوهای خرید بررسی کنید.</v>
      </c>
      <c r="H1080" s="1"/>
      <c r="I1080" s="1"/>
      <c r="J1080" s="1"/>
      <c r="K1080" s="1"/>
      <c r="L1080" s="1"/>
      <c r="M1080" s="1"/>
      <c r="N1080" s="1"/>
      <c r="O1080" s="1"/>
      <c r="P1080" s="1"/>
      <c r="Q1080" s="1"/>
      <c r="R1080" s="1"/>
      <c r="S1080" s="1"/>
      <c r="T1080" s="1"/>
      <c r="U1080" s="1"/>
      <c r="V1080" s="1"/>
      <c r="W1080" s="1"/>
      <c r="X1080" s="1"/>
      <c r="Y1080" s="1"/>
      <c r="Z1080" s="1"/>
      <c r="AA1080" s="1"/>
      <c r="AB1080" s="1"/>
    </row>
    <row r="1081" ht="50.25" customHeight="1">
      <c r="A1081" s="12">
        <v>1077.0</v>
      </c>
      <c r="B1081" s="13" t="s">
        <v>1004</v>
      </c>
      <c r="C1081" s="14" t="s">
        <v>1087</v>
      </c>
      <c r="D1081" s="1"/>
      <c r="E1081" s="15"/>
      <c r="F1081" s="1" t="str">
        <f>IFERROR(__xludf.DUMMYFUNCTION("GOOGLETRANSLATE(B1081, ""en"", ""fa"")
"),"تجارت الکترونیک و فروش آنلاین")</f>
        <v>تجارت الکترونیک و فروش آنلاین</v>
      </c>
      <c r="G1081" s="1" t="str">
        <f>IFERROR(__xludf.DUMMYFUNCTION("GOOGLETRANSLATE(C1081, ""en"", ""fa"")
"),"درباره نقش اجرای یک برنامه وفاداری در تجارت الکترونیک برای پاداش دادن به وفاداری مشتری، افزایش حفظ مشتری و ایجاد خریدهای تکراری بحث کنید.")</f>
        <v>درباره نقش اجرای یک برنامه وفاداری در تجارت الکترونیک برای پاداش دادن به وفاداری مشتری، افزایش حفظ مشتری و ایجاد خریدهای تکراری بحث کنید.</v>
      </c>
      <c r="H1081" s="1"/>
      <c r="I1081" s="1"/>
      <c r="J1081" s="1"/>
      <c r="K1081" s="1"/>
      <c r="L1081" s="1"/>
      <c r="M1081" s="1"/>
      <c r="N1081" s="1"/>
      <c r="O1081" s="1"/>
      <c r="P1081" s="1"/>
      <c r="Q1081" s="1"/>
      <c r="R1081" s="1"/>
      <c r="S1081" s="1"/>
      <c r="T1081" s="1"/>
      <c r="U1081" s="1"/>
      <c r="V1081" s="1"/>
      <c r="W1081" s="1"/>
      <c r="X1081" s="1"/>
      <c r="Y1081" s="1"/>
      <c r="Z1081" s="1"/>
      <c r="AA1081" s="1"/>
      <c r="AB1081" s="1"/>
    </row>
    <row r="1082" ht="50.25" customHeight="1">
      <c r="A1082" s="12">
        <v>1078.0</v>
      </c>
      <c r="B1082" s="13" t="s">
        <v>1004</v>
      </c>
      <c r="C1082" s="14" t="s">
        <v>1088</v>
      </c>
      <c r="D1082" s="1"/>
      <c r="E1082" s="15"/>
      <c r="F1082" s="1" t="str">
        <f>IFERROR(__xludf.DUMMYFUNCTION("GOOGLETRANSLATE(B1082, ""en"", ""fa"")
"),"تجارت الکترونیک و فروش آنلاین")</f>
        <v>تجارت الکترونیک و فروش آنلاین</v>
      </c>
      <c r="G1082" s="1" t="str">
        <f>IFERROR(__xludf.DUMMYFUNCTION("GOOGLETRANSLATE(C1082, ""en"", ""fa"")
"),"برای افزایش اعتبار و اعتماد در فروش آنلاین، استراتژی‌هایی را برای اجرای عناصر اثبات اجتماعی مؤثر، مانند نشان‌های اعتماد یا تعداد دنبال‌کنندگان رسانه‌های اجتماعی، به اشتراک بگذارید.")</f>
        <v>برای افزایش اعتبار و اعتماد در فروش آنلاین، استراتژی‌هایی را برای اجرای عناصر اثبات اجتماعی مؤثر، مانند نشان‌های اعتماد یا تعداد دنبال‌کنندگان رسانه‌های اجتماعی، به اشتراک بگذارید.</v>
      </c>
      <c r="H1082" s="1"/>
      <c r="I1082" s="1"/>
      <c r="J1082" s="1"/>
      <c r="K1082" s="1"/>
      <c r="L1082" s="1"/>
      <c r="M1082" s="1"/>
      <c r="N1082" s="1"/>
      <c r="O1082" s="1"/>
      <c r="P1082" s="1"/>
      <c r="Q1082" s="1"/>
      <c r="R1082" s="1"/>
      <c r="S1082" s="1"/>
      <c r="T1082" s="1"/>
      <c r="U1082" s="1"/>
      <c r="V1082" s="1"/>
      <c r="W1082" s="1"/>
      <c r="X1082" s="1"/>
      <c r="Y1082" s="1"/>
      <c r="Z1082" s="1"/>
      <c r="AA1082" s="1"/>
      <c r="AB1082" s="1"/>
    </row>
    <row r="1083" ht="50.25" customHeight="1">
      <c r="A1083" s="12">
        <v>1079.0</v>
      </c>
      <c r="B1083" s="13" t="s">
        <v>1004</v>
      </c>
      <c r="C1083" s="14" t="s">
        <v>1089</v>
      </c>
      <c r="D1083" s="1"/>
      <c r="E1083" s="15"/>
      <c r="F1083" s="1" t="str">
        <f>IFERROR(__xludf.DUMMYFUNCTION("GOOGLETRANSLATE(B1083, ""en"", ""fa"")
"),"تجارت الکترونیک و فروش آنلاین")</f>
        <v>تجارت الکترونیک و فروش آنلاین</v>
      </c>
      <c r="G1083" s="1" t="str">
        <f>IFERROR(__xludf.DUMMYFUNCTION("GOOGLETRANSLATE(C1083, ""en"", ""fa"")
"),"مزایای ارائه حمل و نقل رایگان یا آستانه ارسال با تخفیف را برای کاهش نرخ رها کردن سبد خرید و افزایش تبدیل کلی بررسی کنید.")</f>
        <v>مزایای ارائه حمل و نقل رایگان یا آستانه ارسال با تخفیف را برای کاهش نرخ رها کردن سبد خرید و افزایش تبدیل کلی بررسی کنید.</v>
      </c>
      <c r="H1083" s="1"/>
      <c r="I1083" s="1"/>
      <c r="J1083" s="1"/>
      <c r="K1083" s="1"/>
      <c r="L1083" s="1"/>
      <c r="M1083" s="1"/>
      <c r="N1083" s="1"/>
      <c r="O1083" s="1"/>
      <c r="P1083" s="1"/>
      <c r="Q1083" s="1"/>
      <c r="R1083" s="1"/>
      <c r="S1083" s="1"/>
      <c r="T1083" s="1"/>
      <c r="U1083" s="1"/>
      <c r="V1083" s="1"/>
      <c r="W1083" s="1"/>
      <c r="X1083" s="1"/>
      <c r="Y1083" s="1"/>
      <c r="Z1083" s="1"/>
      <c r="AA1083" s="1"/>
      <c r="AB1083" s="1"/>
    </row>
    <row r="1084" ht="50.25" customHeight="1">
      <c r="A1084" s="12">
        <v>1080.0</v>
      </c>
      <c r="B1084" s="13" t="s">
        <v>1004</v>
      </c>
      <c r="C1084" s="14" t="s">
        <v>1090</v>
      </c>
      <c r="D1084" s="1"/>
      <c r="E1084" s="15"/>
      <c r="F1084" s="1" t="str">
        <f>IFERROR(__xludf.DUMMYFUNCTION("GOOGLETRANSLATE(B1084, ""en"", ""fa"")
"),"تجارت الکترونیک و فروش آنلاین")</f>
        <v>تجارت الکترونیک و فروش آنلاین</v>
      </c>
      <c r="G1084" s="1" t="str">
        <f>IFERROR(__xludf.DUMMYFUNCTION("GOOGLETRANSLATE(C1084, ""en"", ""fa"")
"),"درباره تأثیر پیاده‌سازی یک منوی ناوبری یکپارچه و بصری در وب‌سایت‌های تجارت الکترونیک برای کمک به مشتریان در یافتن آسان محصولات و بهبود تجربه خرید خود بحث کنید.")</f>
        <v>درباره تأثیر پیاده‌سازی یک منوی ناوبری یکپارچه و بصری در وب‌سایت‌های تجارت الکترونیک برای کمک به مشتریان در یافتن آسان محصولات و بهبود تجربه خرید خود بحث کنید.</v>
      </c>
      <c r="H1084" s="1"/>
      <c r="I1084" s="1"/>
      <c r="J1084" s="1"/>
      <c r="K1084" s="1"/>
      <c r="L1084" s="1"/>
      <c r="M1084" s="1"/>
      <c r="N1084" s="1"/>
      <c r="O1084" s="1"/>
      <c r="P1084" s="1"/>
      <c r="Q1084" s="1"/>
      <c r="R1084" s="1"/>
      <c r="S1084" s="1"/>
      <c r="T1084" s="1"/>
      <c r="U1084" s="1"/>
      <c r="V1084" s="1"/>
      <c r="W1084" s="1"/>
      <c r="X1084" s="1"/>
      <c r="Y1084" s="1"/>
      <c r="Z1084" s="1"/>
      <c r="AA1084" s="1"/>
      <c r="AB1084" s="1"/>
    </row>
    <row r="1085" ht="50.25" customHeight="1">
      <c r="A1085" s="12">
        <v>1081.0</v>
      </c>
      <c r="B1085" s="13" t="s">
        <v>1004</v>
      </c>
      <c r="C1085" s="14" t="s">
        <v>1091</v>
      </c>
      <c r="D1085" s="1"/>
      <c r="E1085" s="15"/>
      <c r="F1085" s="1" t="str">
        <f>IFERROR(__xludf.DUMMYFUNCTION("GOOGLETRANSLATE(B1085, ""en"", ""fa"")
"),"تجارت الکترونیک و فروش آنلاین")</f>
        <v>تجارت الکترونیک و فروش آنلاین</v>
      </c>
      <c r="G1085" s="1" t="str">
        <f>IFERROR(__xludf.DUMMYFUNCTION("GOOGLETRANSLATE(C1085, ""en"", ""fa"")
"),"نکاتی را برای بهینه سازی زمان بارگذاری صفحه محصول در وب سایت های تجارت الکترونیک به اشتراک بگذارید تا نرخ پرش را کاهش دهید و تجربه کلی کاربر را بهبود بخشید.")</f>
        <v>نکاتی را برای بهینه سازی زمان بارگذاری صفحه محصول در وب سایت های تجارت الکترونیک به اشتراک بگذارید تا نرخ پرش را کاهش دهید و تجربه کلی کاربر را بهبود بخشید.</v>
      </c>
      <c r="H1085" s="1"/>
      <c r="I1085" s="1"/>
      <c r="J1085" s="1"/>
      <c r="K1085" s="1"/>
      <c r="L1085" s="1"/>
      <c r="M1085" s="1"/>
      <c r="N1085" s="1"/>
      <c r="O1085" s="1"/>
      <c r="P1085" s="1"/>
      <c r="Q1085" s="1"/>
      <c r="R1085" s="1"/>
      <c r="S1085" s="1"/>
      <c r="T1085" s="1"/>
      <c r="U1085" s="1"/>
      <c r="V1085" s="1"/>
      <c r="W1085" s="1"/>
      <c r="X1085" s="1"/>
      <c r="Y1085" s="1"/>
      <c r="Z1085" s="1"/>
      <c r="AA1085" s="1"/>
      <c r="AB1085" s="1"/>
    </row>
    <row r="1086" ht="50.25" customHeight="1">
      <c r="A1086" s="12">
        <v>1082.0</v>
      </c>
      <c r="B1086" s="13" t="s">
        <v>1004</v>
      </c>
      <c r="C1086" s="14" t="s">
        <v>1092</v>
      </c>
      <c r="D1086" s="1"/>
      <c r="E1086" s="15"/>
      <c r="F1086" s="1" t="str">
        <f>IFERROR(__xludf.DUMMYFUNCTION("GOOGLETRANSLATE(B1086, ""en"", ""fa"")
"),"تجارت الکترونیک و فروش آنلاین")</f>
        <v>تجارت الکترونیک و فروش آنلاین</v>
      </c>
      <c r="G1086" s="1" t="str">
        <f>IFERROR(__xludf.DUMMYFUNCTION("GOOGLETRANSLATE(C1086, ""en"", ""fa"")
"),"مفهوم استفاده از تقسیم بندی و شخصی سازی مشتری برای ارائه توصیه ها و پیشنهادات محصول هدفمند از طریق کمپین های بازاریابی ایمیلی را بررسی کنید.")</f>
        <v>مفهوم استفاده از تقسیم بندی و شخصی سازی مشتری برای ارائه توصیه ها و پیشنهادات محصول هدفمند از طریق کمپین های بازاریابی ایمیلی را بررسی کنید.</v>
      </c>
      <c r="H1086" s="1"/>
      <c r="I1086" s="1"/>
      <c r="J1086" s="1"/>
      <c r="K1086" s="1"/>
      <c r="L1086" s="1"/>
      <c r="M1086" s="1"/>
      <c r="N1086" s="1"/>
      <c r="O1086" s="1"/>
      <c r="P1086" s="1"/>
      <c r="Q1086" s="1"/>
      <c r="R1086" s="1"/>
      <c r="S1086" s="1"/>
      <c r="T1086" s="1"/>
      <c r="U1086" s="1"/>
      <c r="V1086" s="1"/>
      <c r="W1086" s="1"/>
      <c r="X1086" s="1"/>
      <c r="Y1086" s="1"/>
      <c r="Z1086" s="1"/>
      <c r="AA1086" s="1"/>
      <c r="AB1086" s="1"/>
    </row>
    <row r="1087" ht="50.25" customHeight="1">
      <c r="A1087" s="12">
        <v>1083.0</v>
      </c>
      <c r="B1087" s="13" t="s">
        <v>1004</v>
      </c>
      <c r="C1087" s="14" t="s">
        <v>1093</v>
      </c>
      <c r="D1087" s="1"/>
      <c r="E1087" s="15"/>
      <c r="F1087" s="1" t="str">
        <f>IFERROR(__xludf.DUMMYFUNCTION("GOOGLETRANSLATE(B1087, ""en"", ""fa"")
"),"تجارت الکترونیک و فروش آنلاین")</f>
        <v>تجارت الکترونیک و فروش آنلاین</v>
      </c>
      <c r="G1087" s="1" t="str">
        <f>IFERROR(__xludf.DUMMYFUNCTION("GOOGLETRANSLATE(C1087, ""en"", ""fa"")
"),"درباره نقش پیاده‌سازی پاپ‌آپ‌های خروجی در وب‌سایت‌های تجارت الکترونیک برای جلب توجه بازدیدکنندگان و ارائه پیشنهادها یا مشوق‌های ویژه برای تشویق خرید بحث کنید.")</f>
        <v>درباره نقش پیاده‌سازی پاپ‌آپ‌های خروجی در وب‌سایت‌های تجارت الکترونیک برای جلب توجه بازدیدکنندگان و ارائه پیشنهادها یا مشوق‌های ویژه برای تشویق خرید بحث کنید.</v>
      </c>
      <c r="H1087" s="1"/>
      <c r="I1087" s="1"/>
      <c r="J1087" s="1"/>
      <c r="K1087" s="1"/>
      <c r="L1087" s="1"/>
      <c r="M1087" s="1"/>
      <c r="N1087" s="1"/>
      <c r="O1087" s="1"/>
      <c r="P1087" s="1"/>
      <c r="Q1087" s="1"/>
      <c r="R1087" s="1"/>
      <c r="S1087" s="1"/>
      <c r="T1087" s="1"/>
      <c r="U1087" s="1"/>
      <c r="V1087" s="1"/>
      <c r="W1087" s="1"/>
      <c r="X1087" s="1"/>
      <c r="Y1087" s="1"/>
      <c r="Z1087" s="1"/>
      <c r="AA1087" s="1"/>
      <c r="AB1087" s="1"/>
    </row>
    <row r="1088" ht="50.25" customHeight="1">
      <c r="A1088" s="12">
        <v>1084.0</v>
      </c>
      <c r="B1088" s="13" t="s">
        <v>1004</v>
      </c>
      <c r="C1088" s="14" t="s">
        <v>1094</v>
      </c>
      <c r="D1088" s="1"/>
      <c r="E1088" s="15"/>
      <c r="F1088" s="1" t="str">
        <f>IFERROR(__xludf.DUMMYFUNCTION("GOOGLETRANSLATE(B1088, ""en"", ""fa"")
"),"تجارت الکترونیک و فروش آنلاین")</f>
        <v>تجارت الکترونیک و فروش آنلاین</v>
      </c>
      <c r="G1088" s="1" t="str">
        <f>IFERROR(__xludf.DUMMYFUNCTION("GOOGLETRANSLATE(C1088, ""en"", ""fa"")
"),"استراتژی‌هایی را برای استفاده از توصیفات مشتری و مطالعات موردی در تجارت الکترونیک به اشتراک بگذارید تا تجربیات موفق مشتری را به نمایش بگذارد و بین خریداران بالقوه اعتماد ایجاد کند.")</f>
        <v>استراتژی‌هایی را برای استفاده از توصیفات مشتری و مطالعات موردی در تجارت الکترونیک به اشتراک بگذارید تا تجربیات موفق مشتری را به نمایش بگذارد و بین خریداران بالقوه اعتماد ایجاد کند.</v>
      </c>
      <c r="H1088" s="1"/>
      <c r="I1088" s="1"/>
      <c r="J1088" s="1"/>
      <c r="K1088" s="1"/>
      <c r="L1088" s="1"/>
      <c r="M1088" s="1"/>
      <c r="N1088" s="1"/>
      <c r="O1088" s="1"/>
      <c r="P1088" s="1"/>
      <c r="Q1088" s="1"/>
      <c r="R1088" s="1"/>
      <c r="S1088" s="1"/>
      <c r="T1088" s="1"/>
      <c r="U1088" s="1"/>
      <c r="V1088" s="1"/>
      <c r="W1088" s="1"/>
      <c r="X1088" s="1"/>
      <c r="Y1088" s="1"/>
      <c r="Z1088" s="1"/>
      <c r="AA1088" s="1"/>
      <c r="AB1088" s="1"/>
    </row>
    <row r="1089" ht="50.25" customHeight="1">
      <c r="A1089" s="12">
        <v>1085.0</v>
      </c>
      <c r="B1089" s="13" t="s">
        <v>1004</v>
      </c>
      <c r="C1089" s="14" t="s">
        <v>1095</v>
      </c>
      <c r="D1089" s="1"/>
      <c r="E1089" s="15"/>
      <c r="F1089" s="1" t="str">
        <f>IFERROR(__xludf.DUMMYFUNCTION("GOOGLETRANSLATE(B1089, ""en"", ""fa"")
"),"تجارت الکترونیک و فروش آنلاین")</f>
        <v>تجارت الکترونیک و فروش آنلاین</v>
      </c>
      <c r="G1089" s="1" t="str">
        <f>IFERROR(__xludf.DUMMYFUNCTION("GOOGLETRANSLATE(C1089, ""en"", ""fa"")
"),"مزایای ارائه یک سیاست بازگشت بدون دردسر و شفاف در تجارت الکترونیک را برای القای اعتماد به مشتریان و افزایش تمایل آنها به خرید بررسی کنید.")</f>
        <v>مزایای ارائه یک سیاست بازگشت بدون دردسر و شفاف در تجارت الکترونیک را برای القای اعتماد به مشتریان و افزایش تمایل آنها به خرید بررسی کنید.</v>
      </c>
      <c r="H1089" s="1"/>
      <c r="I1089" s="1"/>
      <c r="J1089" s="1"/>
      <c r="K1089" s="1"/>
      <c r="L1089" s="1"/>
      <c r="M1089" s="1"/>
      <c r="N1089" s="1"/>
      <c r="O1089" s="1"/>
      <c r="P1089" s="1"/>
      <c r="Q1089" s="1"/>
      <c r="R1089" s="1"/>
      <c r="S1089" s="1"/>
      <c r="T1089" s="1"/>
      <c r="U1089" s="1"/>
      <c r="V1089" s="1"/>
      <c r="W1089" s="1"/>
      <c r="X1089" s="1"/>
      <c r="Y1089" s="1"/>
      <c r="Z1089" s="1"/>
      <c r="AA1089" s="1"/>
      <c r="AB1089" s="1"/>
    </row>
    <row r="1090" ht="50.25" customHeight="1">
      <c r="A1090" s="12">
        <v>1086.0</v>
      </c>
      <c r="B1090" s="13" t="s">
        <v>1004</v>
      </c>
      <c r="C1090" s="14" t="s">
        <v>1096</v>
      </c>
      <c r="D1090" s="1"/>
      <c r="E1090" s="15"/>
      <c r="F1090" s="1" t="str">
        <f>IFERROR(__xludf.DUMMYFUNCTION("GOOGLETRANSLATE(B1090, ""en"", ""fa"")
"),"تجارت الکترونیک و فروش آنلاین")</f>
        <v>تجارت الکترونیک و فروش آنلاین</v>
      </c>
      <c r="G1090" s="1" t="str">
        <f>IFERROR(__xludf.DUMMYFUNCTION("GOOGLETRANSLATE(C1090, ""en"", ""fa"")
"),"درباره تاثیر استفاده از قیمت گذاری پویا محصول بر اساس عوامل عرضه و تقاضا یا ویژگی های مشتری شخصی برای بهینه سازی درآمد و به حداکثر رساندن فروش بحث کنید.")</f>
        <v>درباره تاثیر استفاده از قیمت گذاری پویا محصول بر اساس عوامل عرضه و تقاضا یا ویژگی های مشتری شخصی برای بهینه سازی درآمد و به حداکثر رساندن فروش بحث کنید.</v>
      </c>
      <c r="H1090" s="1"/>
      <c r="I1090" s="1"/>
      <c r="J1090" s="1"/>
      <c r="K1090" s="1"/>
      <c r="L1090" s="1"/>
      <c r="M1090" s="1"/>
      <c r="N1090" s="1"/>
      <c r="O1090" s="1"/>
      <c r="P1090" s="1"/>
      <c r="Q1090" s="1"/>
      <c r="R1090" s="1"/>
      <c r="S1090" s="1"/>
      <c r="T1090" s="1"/>
      <c r="U1090" s="1"/>
      <c r="V1090" s="1"/>
      <c r="W1090" s="1"/>
      <c r="X1090" s="1"/>
      <c r="Y1090" s="1"/>
      <c r="Z1090" s="1"/>
      <c r="AA1090" s="1"/>
      <c r="AB1090" s="1"/>
    </row>
    <row r="1091" ht="50.25" customHeight="1">
      <c r="A1091" s="12">
        <v>1087.0</v>
      </c>
      <c r="B1091" s="13" t="s">
        <v>1004</v>
      </c>
      <c r="C1091" s="14" t="s">
        <v>1097</v>
      </c>
      <c r="D1091" s="1"/>
      <c r="E1091" s="15"/>
      <c r="F1091" s="1" t="str">
        <f>IFERROR(__xludf.DUMMYFUNCTION("GOOGLETRANSLATE(B1091, ""en"", ""fa"")
"),"تجارت الکترونیک و فروش آنلاین")</f>
        <v>تجارت الکترونیک و فروش آنلاین</v>
      </c>
      <c r="G1091" s="1" t="str">
        <f>IFERROR(__xludf.DUMMYFUNCTION("GOOGLETRANSLATE(C1091, ""en"", ""fa"")
"),"نکاتی را برای بهینه‌سازی ایمیل‌های تأیید سفارش و اعلان ارسال به اشتراک بگذارید تا به‌روزرسانی‌های به‌موقع به مشتریان ارائه شود و در فرآیند خرید اعتماد ایجاد کنید.")</f>
        <v>نکاتی را برای بهینه‌سازی ایمیل‌های تأیید سفارش و اعلان ارسال به اشتراک بگذارید تا به‌روزرسانی‌های به‌موقع به مشتریان ارائه شود و در فرآیند خرید اعتماد ایجاد کنید.</v>
      </c>
      <c r="H1091" s="1"/>
      <c r="I1091" s="1"/>
      <c r="J1091" s="1"/>
      <c r="K1091" s="1"/>
      <c r="L1091" s="1"/>
      <c r="M1091" s="1"/>
      <c r="N1091" s="1"/>
      <c r="O1091" s="1"/>
      <c r="P1091" s="1"/>
      <c r="Q1091" s="1"/>
      <c r="R1091" s="1"/>
      <c r="S1091" s="1"/>
      <c r="T1091" s="1"/>
      <c r="U1091" s="1"/>
      <c r="V1091" s="1"/>
      <c r="W1091" s="1"/>
      <c r="X1091" s="1"/>
      <c r="Y1091" s="1"/>
      <c r="Z1091" s="1"/>
      <c r="AA1091" s="1"/>
      <c r="AB1091" s="1"/>
    </row>
    <row r="1092" ht="50.25" customHeight="1">
      <c r="A1092" s="12">
        <v>1088.0</v>
      </c>
      <c r="B1092" s="13" t="s">
        <v>1004</v>
      </c>
      <c r="C1092" s="14" t="s">
        <v>1098</v>
      </c>
      <c r="D1092" s="1"/>
      <c r="E1092" s="15"/>
      <c r="F1092" s="1" t="str">
        <f>IFERROR(__xludf.DUMMYFUNCTION("GOOGLETRANSLATE(B1092, ""en"", ""fa"")
"),"تجارت الکترونیک و فروش آنلاین")</f>
        <v>تجارت الکترونیک و فروش آنلاین</v>
      </c>
      <c r="G1092" s="1" t="str">
        <f>IFERROR(__xludf.DUMMYFUNCTION("GOOGLETRANSLATE(C1092, ""en"", ""fa"")
"),"مفهوم استفاده از تصاحب اینفلوئنسرها یا رویدادهای پخش زنده برای تبلیغ محصولات و ایجاد حس فوریت و هیجان در بین مشتریان را بررسی کنید.")</f>
        <v>مفهوم استفاده از تصاحب اینفلوئنسرها یا رویدادهای پخش زنده برای تبلیغ محصولات و ایجاد حس فوریت و هیجان در بین مشتریان را بررسی کنید.</v>
      </c>
      <c r="H1092" s="1"/>
      <c r="I1092" s="1"/>
      <c r="J1092" s="1"/>
      <c r="K1092" s="1"/>
      <c r="L1092" s="1"/>
      <c r="M1092" s="1"/>
      <c r="N1092" s="1"/>
      <c r="O1092" s="1"/>
      <c r="P1092" s="1"/>
      <c r="Q1092" s="1"/>
      <c r="R1092" s="1"/>
      <c r="S1092" s="1"/>
      <c r="T1092" s="1"/>
      <c r="U1092" s="1"/>
      <c r="V1092" s="1"/>
      <c r="W1092" s="1"/>
      <c r="X1092" s="1"/>
      <c r="Y1092" s="1"/>
      <c r="Z1092" s="1"/>
      <c r="AA1092" s="1"/>
      <c r="AB1092" s="1"/>
    </row>
    <row r="1093" ht="50.25" customHeight="1">
      <c r="A1093" s="12">
        <v>1089.0</v>
      </c>
      <c r="B1093" s="13" t="s">
        <v>1004</v>
      </c>
      <c r="C1093" s="14" t="s">
        <v>1099</v>
      </c>
      <c r="D1093" s="1"/>
      <c r="E1093" s="15"/>
      <c r="F1093" s="1" t="str">
        <f>IFERROR(__xludf.DUMMYFUNCTION("GOOGLETRANSLATE(B1093, ""en"", ""fa"")
"),"تجارت الکترونیک و فروش آنلاین")</f>
        <v>تجارت الکترونیک و فروش آنلاین</v>
      </c>
      <c r="G1093" s="1" t="str">
        <f>IFERROR(__xludf.DUMMYFUNCTION("GOOGLETRANSLATE(C1093, ""en"", ""fa"")
"),"در مورد نقش اهرم گوش دادن به رسانه های اجتماعی برای نظارت بر بازخورد، احساسات و روندهای مشتری برای شناسایی فرصت ها برای بهبود محصول یا توسعه محصول جدید بحث کنید.")</f>
        <v>در مورد نقش اهرم گوش دادن به رسانه های اجتماعی برای نظارت بر بازخورد، احساسات و روندهای مشتری برای شناسایی فرصت ها برای بهبود محصول یا توسعه محصول جدید بحث کنید.</v>
      </c>
      <c r="H1093" s="1"/>
      <c r="I1093" s="1"/>
      <c r="J1093" s="1"/>
      <c r="K1093" s="1"/>
      <c r="L1093" s="1"/>
      <c r="M1093" s="1"/>
      <c r="N1093" s="1"/>
      <c r="O1093" s="1"/>
      <c r="P1093" s="1"/>
      <c r="Q1093" s="1"/>
      <c r="R1093" s="1"/>
      <c r="S1093" s="1"/>
      <c r="T1093" s="1"/>
      <c r="U1093" s="1"/>
      <c r="V1093" s="1"/>
      <c r="W1093" s="1"/>
      <c r="X1093" s="1"/>
      <c r="Y1093" s="1"/>
      <c r="Z1093" s="1"/>
      <c r="AA1093" s="1"/>
      <c r="AB1093" s="1"/>
    </row>
    <row r="1094" ht="50.25" customHeight="1">
      <c r="A1094" s="12">
        <v>1090.0</v>
      </c>
      <c r="B1094" s="13" t="s">
        <v>1004</v>
      </c>
      <c r="C1094" s="14" t="s">
        <v>1100</v>
      </c>
      <c r="D1094" s="1"/>
      <c r="E1094" s="15"/>
      <c r="F1094" s="1" t="str">
        <f>IFERROR(__xludf.DUMMYFUNCTION("GOOGLETRANSLATE(B1094, ""en"", ""fa"")
"),"تجارت الکترونیک و فروش آنلاین")</f>
        <v>تجارت الکترونیک و فروش آنلاین</v>
      </c>
      <c r="G1094" s="1" t="str">
        <f>IFERROR(__xludf.DUMMYFUNCTION("GOOGLETRANSLATE(C1094, ""en"", ""fa"")
"),"استراتژی‌های بهینه‌سازی عناوین و توضیحات فهرست محصولات را با کلمات کلیدی مرتبط به اشتراک بگذارید تا دید موتورهای جستجو را بهبود بخشد و ترافیک هدفمند را جذب کنید.")</f>
        <v>استراتژی‌های بهینه‌سازی عناوین و توضیحات فهرست محصولات را با کلمات کلیدی مرتبط به اشتراک بگذارید تا دید موتورهای جستجو را بهبود بخشد و ترافیک هدفمند را جذب کنید.</v>
      </c>
      <c r="H1094" s="1"/>
      <c r="I1094" s="1"/>
      <c r="J1094" s="1"/>
      <c r="K1094" s="1"/>
      <c r="L1094" s="1"/>
      <c r="M1094" s="1"/>
      <c r="N1094" s="1"/>
      <c r="O1094" s="1"/>
      <c r="P1094" s="1"/>
      <c r="Q1094" s="1"/>
      <c r="R1094" s="1"/>
      <c r="S1094" s="1"/>
      <c r="T1094" s="1"/>
      <c r="U1094" s="1"/>
      <c r="V1094" s="1"/>
      <c r="W1094" s="1"/>
      <c r="X1094" s="1"/>
      <c r="Y1094" s="1"/>
      <c r="Z1094" s="1"/>
      <c r="AA1094" s="1"/>
      <c r="AB1094" s="1"/>
    </row>
    <row r="1095" ht="50.25" customHeight="1">
      <c r="A1095" s="12">
        <v>1091.0</v>
      </c>
      <c r="B1095" s="13" t="s">
        <v>1004</v>
      </c>
      <c r="C1095" s="14" t="s">
        <v>1101</v>
      </c>
      <c r="D1095" s="1"/>
      <c r="E1095" s="15"/>
      <c r="F1095" s="1" t="str">
        <f>IFERROR(__xludf.DUMMYFUNCTION("GOOGLETRANSLATE(B1095, ""en"", ""fa"")
"),"تجارت الکترونیک و فروش آنلاین")</f>
        <v>تجارت الکترونیک و فروش آنلاین</v>
      </c>
      <c r="G1095" s="1" t="str">
        <f>IFERROR(__xludf.DUMMYFUNCTION("GOOGLETRANSLATE(C1095, ""en"", ""fa"")
"),"مزایای اجرای فرآیند بازگشت و بازپرداخت مشتری محور در تجارت الکترونیک، با تمرکز بر سهولت، سرعت و رضایت مشتری را بررسی کنید.")</f>
        <v>مزایای اجرای فرآیند بازگشت و بازپرداخت مشتری محور در تجارت الکترونیک، با تمرکز بر سهولت، سرعت و رضایت مشتری را بررسی کنید.</v>
      </c>
      <c r="H1095" s="1"/>
      <c r="I1095" s="1"/>
      <c r="J1095" s="1"/>
      <c r="K1095" s="1"/>
      <c r="L1095" s="1"/>
      <c r="M1095" s="1"/>
      <c r="N1095" s="1"/>
      <c r="O1095" s="1"/>
      <c r="P1095" s="1"/>
      <c r="Q1095" s="1"/>
      <c r="R1095" s="1"/>
      <c r="S1095" s="1"/>
      <c r="T1095" s="1"/>
      <c r="U1095" s="1"/>
      <c r="V1095" s="1"/>
      <c r="W1095" s="1"/>
      <c r="X1095" s="1"/>
      <c r="Y1095" s="1"/>
      <c r="Z1095" s="1"/>
      <c r="AA1095" s="1"/>
      <c r="AB1095" s="1"/>
    </row>
    <row r="1096" ht="50.25" customHeight="1">
      <c r="A1096" s="12">
        <v>1092.0</v>
      </c>
      <c r="B1096" s="13" t="s">
        <v>1004</v>
      </c>
      <c r="C1096" s="14" t="s">
        <v>1102</v>
      </c>
      <c r="D1096" s="1"/>
      <c r="E1096" s="15"/>
      <c r="F1096" s="1" t="str">
        <f>IFERROR(__xludf.DUMMYFUNCTION("GOOGLETRANSLATE(B1096, ""en"", ""fa"")
"),"تجارت الکترونیک و فروش آنلاین")</f>
        <v>تجارت الکترونیک و فروش آنلاین</v>
      </c>
      <c r="G1096" s="1" t="str">
        <f>IFERROR(__xludf.DUMMYFUNCTION("GOOGLETRANSLATE(C1096, ""en"", ""fa"")
"),"درباره تأثیر ارائه توصیه‌های شخصی‌شده محصول در صفحه سبد خرید برای فروش و فروش متقابل محصولات اضافی قبل از پرداخت نهایی بحث کنید.")</f>
        <v>درباره تأثیر ارائه توصیه‌های شخصی‌شده محصول در صفحه سبد خرید برای فروش و فروش متقابل محصولات اضافی قبل از پرداخت نهایی بحث کنید.</v>
      </c>
      <c r="H1096" s="1"/>
      <c r="I1096" s="1"/>
      <c r="J1096" s="1"/>
      <c r="K1096" s="1"/>
      <c r="L1096" s="1"/>
      <c r="M1096" s="1"/>
      <c r="N1096" s="1"/>
      <c r="O1096" s="1"/>
      <c r="P1096" s="1"/>
      <c r="Q1096" s="1"/>
      <c r="R1096" s="1"/>
      <c r="S1096" s="1"/>
      <c r="T1096" s="1"/>
      <c r="U1096" s="1"/>
      <c r="V1096" s="1"/>
      <c r="W1096" s="1"/>
      <c r="X1096" s="1"/>
      <c r="Y1096" s="1"/>
      <c r="Z1096" s="1"/>
      <c r="AA1096" s="1"/>
      <c r="AB1096" s="1"/>
    </row>
    <row r="1097" ht="50.25" customHeight="1">
      <c r="A1097" s="12">
        <v>1093.0</v>
      </c>
      <c r="B1097" s="13" t="s">
        <v>1004</v>
      </c>
      <c r="C1097" s="14" t="s">
        <v>1103</v>
      </c>
      <c r="D1097" s="1"/>
      <c r="E1097" s="15"/>
      <c r="F1097" s="1" t="str">
        <f>IFERROR(__xludf.DUMMYFUNCTION("GOOGLETRANSLATE(B1097, ""en"", ""fa"")
"),"تجارت الکترونیک و فروش آنلاین")</f>
        <v>تجارت الکترونیک و فروش آنلاین</v>
      </c>
      <c r="G1097" s="1" t="str">
        <f>IFERROR(__xludf.DUMMYFUNCTION("GOOGLETRANSLATE(C1097, ""en"", ""fa"")
"),"برای ایجاد حس فوریت و افزایش فروش، نکاتی را برای اجرای تاکتیک‌های بازاریابی کمیابی مؤثر، مانند اعلان‌های سهام محدود یا تایمرهای شمارش معکوس، به اشتراک بگذارید.")</f>
        <v>برای ایجاد حس فوریت و افزایش فروش، نکاتی را برای اجرای تاکتیک‌های بازاریابی کمیابی مؤثر، مانند اعلان‌های سهام محدود یا تایمرهای شمارش معکوس، به اشتراک بگذارید.</v>
      </c>
      <c r="H1097" s="1"/>
      <c r="I1097" s="1"/>
      <c r="J1097" s="1"/>
      <c r="K1097" s="1"/>
      <c r="L1097" s="1"/>
      <c r="M1097" s="1"/>
      <c r="N1097" s="1"/>
      <c r="O1097" s="1"/>
      <c r="P1097" s="1"/>
      <c r="Q1097" s="1"/>
      <c r="R1097" s="1"/>
      <c r="S1097" s="1"/>
      <c r="T1097" s="1"/>
      <c r="U1097" s="1"/>
      <c r="V1097" s="1"/>
      <c r="W1097" s="1"/>
      <c r="X1097" s="1"/>
      <c r="Y1097" s="1"/>
      <c r="Z1097" s="1"/>
      <c r="AA1097" s="1"/>
      <c r="AB1097" s="1"/>
    </row>
    <row r="1098" ht="50.25" customHeight="1">
      <c r="A1098" s="12">
        <v>1094.0</v>
      </c>
      <c r="B1098" s="13" t="s">
        <v>1004</v>
      </c>
      <c r="C1098" s="14" t="s">
        <v>1104</v>
      </c>
      <c r="D1098" s="1"/>
      <c r="E1098" s="15"/>
      <c r="F1098" s="1" t="str">
        <f>IFERROR(__xludf.DUMMYFUNCTION("GOOGLETRANSLATE(B1098, ""en"", ""fa"")
"),"تجارت الکترونیک و فروش آنلاین")</f>
        <v>تجارت الکترونیک و فروش آنلاین</v>
      </c>
      <c r="G1098" s="1" t="str">
        <f>IFERROR(__xludf.DUMMYFUNCTION("GOOGLETRANSLATE(C1098, ""en"", ""fa"")
"),"در مورد مزایای پیاده سازی عناصر اثبات اجتماعی، مانند نظرات مشتریان و توصیفات، برای ایجاد اعتماد و اعتبار در تجارت الکترونیک بحث کنید.")</f>
        <v>در مورد مزایای پیاده سازی عناصر اثبات اجتماعی، مانند نظرات مشتریان و توصیفات، برای ایجاد اعتماد و اعتبار در تجارت الکترونیک بحث کنید.</v>
      </c>
      <c r="H1098" s="1"/>
      <c r="I1098" s="1"/>
      <c r="J1098" s="1"/>
      <c r="K1098" s="1"/>
      <c r="L1098" s="1"/>
      <c r="M1098" s="1"/>
      <c r="N1098" s="1"/>
      <c r="O1098" s="1"/>
      <c r="P1098" s="1"/>
      <c r="Q1098" s="1"/>
      <c r="R1098" s="1"/>
      <c r="S1098" s="1"/>
      <c r="T1098" s="1"/>
      <c r="U1098" s="1"/>
      <c r="V1098" s="1"/>
      <c r="W1098" s="1"/>
      <c r="X1098" s="1"/>
      <c r="Y1098" s="1"/>
      <c r="Z1098" s="1"/>
      <c r="AA1098" s="1"/>
      <c r="AB1098" s="1"/>
    </row>
    <row r="1099" ht="50.25" customHeight="1">
      <c r="A1099" s="12">
        <v>1095.0</v>
      </c>
      <c r="B1099" s="13" t="s">
        <v>1004</v>
      </c>
      <c r="C1099" s="14" t="s">
        <v>1105</v>
      </c>
      <c r="D1099" s="1"/>
      <c r="E1099" s="15"/>
      <c r="F1099" s="1" t="str">
        <f>IFERROR(__xludf.DUMMYFUNCTION("GOOGLETRANSLATE(B1099, ""en"", ""fa"")
"),"تجارت الکترونیک و فروش آنلاین")</f>
        <v>تجارت الکترونیک و فروش آنلاین</v>
      </c>
      <c r="G1099" s="1" t="str">
        <f>IFERROR(__xludf.DUMMYFUNCTION("GOOGLETRANSLATE(C1099, ""en"", ""fa"")
"),"استراتژی‌هایی را برای بهینه‌سازی تصاویر و تصاویر محصول به اشتراک بگذارید تا جذابیت محصول را افزایش دهید و تبدیل‌ها را افزایش دهید.")</f>
        <v>استراتژی‌هایی را برای بهینه‌سازی تصاویر و تصاویر محصول به اشتراک بگذارید تا جذابیت محصول را افزایش دهید و تبدیل‌ها را افزایش دهید.</v>
      </c>
      <c r="H1099" s="1"/>
      <c r="I1099" s="1"/>
      <c r="J1099" s="1"/>
      <c r="K1099" s="1"/>
      <c r="L1099" s="1"/>
      <c r="M1099" s="1"/>
      <c r="N1099" s="1"/>
      <c r="O1099" s="1"/>
      <c r="P1099" s="1"/>
      <c r="Q1099" s="1"/>
      <c r="R1099" s="1"/>
      <c r="S1099" s="1"/>
      <c r="T1099" s="1"/>
      <c r="U1099" s="1"/>
      <c r="V1099" s="1"/>
      <c r="W1099" s="1"/>
      <c r="X1099" s="1"/>
      <c r="Y1099" s="1"/>
      <c r="Z1099" s="1"/>
      <c r="AA1099" s="1"/>
      <c r="AB1099" s="1"/>
    </row>
    <row r="1100" ht="50.25" customHeight="1">
      <c r="A1100" s="12">
        <v>1096.0</v>
      </c>
      <c r="B1100" s="13" t="s">
        <v>1004</v>
      </c>
      <c r="C1100" s="14" t="s">
        <v>1106</v>
      </c>
      <c r="D1100" s="1"/>
      <c r="E1100" s="15"/>
      <c r="F1100" s="1" t="str">
        <f>IFERROR(__xludf.DUMMYFUNCTION("GOOGLETRANSLATE(B1100, ""en"", ""fa"")
"),"تجارت الکترونیک و فروش آنلاین")</f>
        <v>تجارت الکترونیک و فروش آنلاین</v>
      </c>
      <c r="G1100" s="1" t="str">
        <f>IFERROR(__xludf.DUMMYFUNCTION("GOOGLETRANSLATE(C1100, ""en"", ""fa"")
"),"مفهوم استفاده از توصیه‌های محصول شخصی‌شده را در صفحه اصلی برای نمایش محصولات مرتبط و افزایش تعامل کاوش کنید.")</f>
        <v>مفهوم استفاده از توصیه‌های محصول شخصی‌شده را در صفحه اصلی برای نمایش محصولات مرتبط و افزایش تعامل کاوش کنید.</v>
      </c>
      <c r="H1100" s="1"/>
      <c r="I1100" s="1"/>
      <c r="J1100" s="1"/>
      <c r="K1100" s="1"/>
      <c r="L1100" s="1"/>
      <c r="M1100" s="1"/>
      <c r="N1100" s="1"/>
      <c r="O1100" s="1"/>
      <c r="P1100" s="1"/>
      <c r="Q1100" s="1"/>
      <c r="R1100" s="1"/>
      <c r="S1100" s="1"/>
      <c r="T1100" s="1"/>
      <c r="U1100" s="1"/>
      <c r="V1100" s="1"/>
      <c r="W1100" s="1"/>
      <c r="X1100" s="1"/>
      <c r="Y1100" s="1"/>
      <c r="Z1100" s="1"/>
      <c r="AA1100" s="1"/>
      <c r="AB1100" s="1"/>
    </row>
    <row r="1101" ht="50.25" customHeight="1">
      <c r="A1101" s="12">
        <v>1097.0</v>
      </c>
      <c r="B1101" s="13" t="s">
        <v>1004</v>
      </c>
      <c r="C1101" s="14" t="s">
        <v>1107</v>
      </c>
      <c r="D1101" s="1"/>
      <c r="E1101" s="15"/>
      <c r="F1101" s="1" t="str">
        <f>IFERROR(__xludf.DUMMYFUNCTION("GOOGLETRANSLATE(B1101, ""en"", ""fa"")
"),"تجارت الکترونیک و فروش آنلاین")</f>
        <v>تجارت الکترونیک و فروش آنلاین</v>
      </c>
      <c r="G1101" s="1" t="str">
        <f>IFERROR(__xludf.DUMMYFUNCTION("GOOGLETRANSLATE(C1101, ""en"", ""fa"")
"),"درباره نقش اجرای فرآیند پرداخت آسان و ساده برای کاهش نرخ رها شدن سبد خرید و افزایش تبدیل ها بحث کنید.")</f>
        <v>درباره نقش اجرای فرآیند پرداخت آسان و ساده برای کاهش نرخ رها شدن سبد خرید و افزایش تبدیل ها بحث کنید.</v>
      </c>
      <c r="H1101" s="1"/>
      <c r="I1101" s="1"/>
      <c r="J1101" s="1"/>
      <c r="K1101" s="1"/>
      <c r="L1101" s="1"/>
      <c r="M1101" s="1"/>
      <c r="N1101" s="1"/>
      <c r="O1101" s="1"/>
      <c r="P1101" s="1"/>
      <c r="Q1101" s="1"/>
      <c r="R1101" s="1"/>
      <c r="S1101" s="1"/>
      <c r="T1101" s="1"/>
      <c r="U1101" s="1"/>
      <c r="V1101" s="1"/>
      <c r="W1101" s="1"/>
      <c r="X1101" s="1"/>
      <c r="Y1101" s="1"/>
      <c r="Z1101" s="1"/>
      <c r="AA1101" s="1"/>
      <c r="AB1101" s="1"/>
    </row>
    <row r="1102" ht="50.25" customHeight="1">
      <c r="A1102" s="12">
        <v>1098.0</v>
      </c>
      <c r="B1102" s="13" t="s">
        <v>1004</v>
      </c>
      <c r="C1102" s="14" t="s">
        <v>1108</v>
      </c>
      <c r="D1102" s="1"/>
      <c r="E1102" s="15"/>
      <c r="F1102" s="1" t="str">
        <f>IFERROR(__xludf.DUMMYFUNCTION("GOOGLETRANSLATE(B1102, ""en"", ""fa"")
"),"تجارت الکترونیک و فروش آنلاین")</f>
        <v>تجارت الکترونیک و فروش آنلاین</v>
      </c>
      <c r="G1102" s="1" t="str">
        <f>IFERROR(__xludf.DUMMYFUNCTION("GOOGLETRANSLATE(C1102, ""en"", ""fa"")
"),"نکاتی را برای بهینه سازی توضیحات محصول با کپی قانع کننده و متقاعد کننده که ویژگی ها و مزایای کلیدی را برجسته می کند، به اشتراک بگذارید.")</f>
        <v>نکاتی را برای بهینه سازی توضیحات محصول با کپی قانع کننده و متقاعد کننده که ویژگی ها و مزایای کلیدی را برجسته می کند، به اشتراک بگذارید.</v>
      </c>
      <c r="H1102" s="1"/>
      <c r="I1102" s="1"/>
      <c r="J1102" s="1"/>
      <c r="K1102" s="1"/>
      <c r="L1102" s="1"/>
      <c r="M1102" s="1"/>
      <c r="N1102" s="1"/>
      <c r="O1102" s="1"/>
      <c r="P1102" s="1"/>
      <c r="Q1102" s="1"/>
      <c r="R1102" s="1"/>
      <c r="S1102" s="1"/>
      <c r="T1102" s="1"/>
      <c r="U1102" s="1"/>
      <c r="V1102" s="1"/>
      <c r="W1102" s="1"/>
      <c r="X1102" s="1"/>
      <c r="Y1102" s="1"/>
      <c r="Z1102" s="1"/>
      <c r="AA1102" s="1"/>
      <c r="AB1102" s="1"/>
    </row>
    <row r="1103" ht="50.25" customHeight="1">
      <c r="A1103" s="12">
        <v>1099.0</v>
      </c>
      <c r="B1103" s="13" t="s">
        <v>1004</v>
      </c>
      <c r="C1103" s="14" t="s">
        <v>1109</v>
      </c>
      <c r="D1103" s="1"/>
      <c r="E1103" s="15"/>
      <c r="F1103" s="1" t="str">
        <f>IFERROR(__xludf.DUMMYFUNCTION("GOOGLETRANSLATE(B1103, ""en"", ""fa"")
"),"تجارت الکترونیک و فروش آنلاین")</f>
        <v>تجارت الکترونیک و فروش آنلاین</v>
      </c>
      <c r="G1103" s="1" t="str">
        <f>IFERROR(__xludf.DUMMYFUNCTION("GOOGLETRANSLATE(C1103, ""en"", ""fa"")
"),"مزایای ارائه بسته‌ها یا بسته‌های محصول را برای تشویق مشتریان به خرید چندین مورد با هم بررسی کنید.")</f>
        <v>مزایای ارائه بسته‌ها یا بسته‌های محصول را برای تشویق مشتریان به خرید چندین مورد با هم بررسی کنید.</v>
      </c>
      <c r="H1103" s="1"/>
      <c r="I1103" s="1"/>
      <c r="J1103" s="1"/>
      <c r="K1103" s="1"/>
      <c r="L1103" s="1"/>
      <c r="M1103" s="1"/>
      <c r="N1103" s="1"/>
      <c r="O1103" s="1"/>
      <c r="P1103" s="1"/>
      <c r="Q1103" s="1"/>
      <c r="R1103" s="1"/>
      <c r="S1103" s="1"/>
      <c r="T1103" s="1"/>
      <c r="U1103" s="1"/>
      <c r="V1103" s="1"/>
      <c r="W1103" s="1"/>
      <c r="X1103" s="1"/>
      <c r="Y1103" s="1"/>
      <c r="Z1103" s="1"/>
      <c r="AA1103" s="1"/>
      <c r="AB1103" s="1"/>
    </row>
    <row r="1104" ht="50.25" customHeight="1">
      <c r="A1104" s="12">
        <v>1100.0</v>
      </c>
      <c r="B1104" s="13" t="s">
        <v>1004</v>
      </c>
      <c r="C1104" s="14" t="s">
        <v>1110</v>
      </c>
      <c r="D1104" s="1"/>
      <c r="E1104" s="15"/>
      <c r="F1104" s="1" t="str">
        <f>IFERROR(__xludf.DUMMYFUNCTION("GOOGLETRANSLATE(B1104, ""en"", ""fa"")
"),"تجارت الکترونیک و فروش آنلاین")</f>
        <v>تجارت الکترونیک و فروش آنلاین</v>
      </c>
      <c r="G1104" s="1" t="str">
        <f>IFERROR(__xludf.DUMMYFUNCTION("GOOGLETRANSLATE(C1104, ""en"", ""fa"")
"),"درباره تأثیر استفاده از تکنیک‌های بازاریابی کمیابی، مانند پیشنهادات با زمان محدود یا اطلاعیه‌های سهام محدود، برای ایجاد حس فوریت و افزایش فروش بحث کنید.")</f>
        <v>درباره تأثیر استفاده از تکنیک‌های بازاریابی کمیابی، مانند پیشنهادات با زمان محدود یا اطلاعیه‌های سهام محدود، برای ایجاد حس فوریت و افزایش فروش بحث کنید.</v>
      </c>
      <c r="H1104" s="1"/>
      <c r="I1104" s="1"/>
      <c r="J1104" s="1"/>
      <c r="K1104" s="1"/>
      <c r="L1104" s="1"/>
      <c r="M1104" s="1"/>
      <c r="N1104" s="1"/>
      <c r="O1104" s="1"/>
      <c r="P1104" s="1"/>
      <c r="Q1104" s="1"/>
      <c r="R1104" s="1"/>
      <c r="S1104" s="1"/>
      <c r="T1104" s="1"/>
      <c r="U1104" s="1"/>
      <c r="V1104" s="1"/>
      <c r="W1104" s="1"/>
      <c r="X1104" s="1"/>
      <c r="Y1104" s="1"/>
      <c r="Z1104" s="1"/>
      <c r="AA1104" s="1"/>
      <c r="AB1104" s="1"/>
    </row>
    <row r="1105" ht="50.25" customHeight="1">
      <c r="A1105" s="12">
        <v>1101.0</v>
      </c>
      <c r="B1105" s="13" t="s">
        <v>1004</v>
      </c>
      <c r="C1105" s="14" t="s">
        <v>1111</v>
      </c>
      <c r="D1105" s="1"/>
      <c r="E1105" s="15"/>
      <c r="F1105" s="1" t="str">
        <f>IFERROR(__xludf.DUMMYFUNCTION("GOOGLETRANSLATE(B1105, ""en"", ""fa"")
"),"تجارت الکترونیک و فروش آنلاین")</f>
        <v>تجارت الکترونیک و فروش آنلاین</v>
      </c>
      <c r="G1105" s="1" t="str">
        <f>IFERROR(__xludf.DUMMYFUNCTION("GOOGLETRANSLATE(C1105, ""en"", ""fa"")
"),"استراتژی‌های پیاده‌سازی تقسیم‌بندی مشتری بر اساس جمعیت‌شناسی، سابقه خرید یا رفتار مرور را برای ارائه کمپین‌های بازاریابی هدفمند به اشتراک بگذارید.")</f>
        <v>استراتژی‌های پیاده‌سازی تقسیم‌بندی مشتری بر اساس جمعیت‌شناسی، سابقه خرید یا رفتار مرور را برای ارائه کمپین‌های بازاریابی هدفمند به اشتراک بگذارید.</v>
      </c>
      <c r="H1105" s="1"/>
      <c r="I1105" s="1"/>
      <c r="J1105" s="1"/>
      <c r="K1105" s="1"/>
      <c r="L1105" s="1"/>
      <c r="M1105" s="1"/>
      <c r="N1105" s="1"/>
      <c r="O1105" s="1"/>
      <c r="P1105" s="1"/>
      <c r="Q1105" s="1"/>
      <c r="R1105" s="1"/>
      <c r="S1105" s="1"/>
      <c r="T1105" s="1"/>
      <c r="U1105" s="1"/>
      <c r="V1105" s="1"/>
      <c r="W1105" s="1"/>
      <c r="X1105" s="1"/>
      <c r="Y1105" s="1"/>
      <c r="Z1105" s="1"/>
      <c r="AA1105" s="1"/>
      <c r="AB1105" s="1"/>
    </row>
    <row r="1106" ht="50.25" customHeight="1">
      <c r="A1106" s="12">
        <v>1102.0</v>
      </c>
      <c r="B1106" s="13" t="s">
        <v>1004</v>
      </c>
      <c r="C1106" s="14" t="s">
        <v>1112</v>
      </c>
      <c r="D1106" s="1"/>
      <c r="E1106" s="15"/>
      <c r="F1106" s="1" t="str">
        <f>IFERROR(__xludf.DUMMYFUNCTION("GOOGLETRANSLATE(B1106, ""en"", ""fa"")
"),"تجارت الکترونیک و فروش آنلاین")</f>
        <v>تجارت الکترونیک و فروش آنلاین</v>
      </c>
      <c r="G1106" s="1" t="str">
        <f>IFERROR(__xludf.DUMMYFUNCTION("GOOGLETRANSLATE(C1106, ""en"", ""fa"")
"),"مفهوم استفاده از پنجره‌های بازشو با قصد خروج برای جلب توجه بازدیدکنندگان و ارائه مشوق‌هایی برای تشویق آنها به ماندن و خرید را بررسی کنید.")</f>
        <v>مفهوم استفاده از پنجره‌های بازشو با قصد خروج برای جلب توجه بازدیدکنندگان و ارائه مشوق‌هایی برای تشویق آنها به ماندن و خرید را بررسی کنید.</v>
      </c>
      <c r="H1106" s="1"/>
      <c r="I1106" s="1"/>
      <c r="J1106" s="1"/>
      <c r="K1106" s="1"/>
      <c r="L1106" s="1"/>
      <c r="M1106" s="1"/>
      <c r="N1106" s="1"/>
      <c r="O1106" s="1"/>
      <c r="P1106" s="1"/>
      <c r="Q1106" s="1"/>
      <c r="R1106" s="1"/>
      <c r="S1106" s="1"/>
      <c r="T1106" s="1"/>
      <c r="U1106" s="1"/>
      <c r="V1106" s="1"/>
      <c r="W1106" s="1"/>
      <c r="X1106" s="1"/>
      <c r="Y1106" s="1"/>
      <c r="Z1106" s="1"/>
      <c r="AA1106" s="1"/>
      <c r="AB1106" s="1"/>
    </row>
    <row r="1107" ht="50.25" customHeight="1">
      <c r="A1107" s="12">
        <v>1103.0</v>
      </c>
      <c r="B1107" s="13" t="s">
        <v>1004</v>
      </c>
      <c r="C1107" s="14" t="s">
        <v>1113</v>
      </c>
      <c r="D1107" s="1"/>
      <c r="E1107" s="15"/>
      <c r="F1107" s="1" t="str">
        <f>IFERROR(__xludf.DUMMYFUNCTION("GOOGLETRANSLATE(B1107, ""en"", ""fa"")
"),"تجارت الکترونیک و فروش آنلاین")</f>
        <v>تجارت الکترونیک و فروش آنلاین</v>
      </c>
      <c r="G1107" s="1" t="str">
        <f>IFERROR(__xludf.DUMMYFUNCTION("GOOGLETRANSLATE(C1107, ""en"", ""fa"")
"),"در مورد نقش اجرای پشتیبانی چت زنده برای ارائه کمک در زمان واقعی و رفع نگرانی های مشتری در طول فرآیند خرید بحث کنید.")</f>
        <v>در مورد نقش اجرای پشتیبانی چت زنده برای ارائه کمک در زمان واقعی و رفع نگرانی های مشتری در طول فرآیند خرید بحث کنید.</v>
      </c>
      <c r="H1107" s="1"/>
      <c r="I1107" s="1"/>
      <c r="J1107" s="1"/>
      <c r="K1107" s="1"/>
      <c r="L1107" s="1"/>
      <c r="M1107" s="1"/>
      <c r="N1107" s="1"/>
      <c r="O1107" s="1"/>
      <c r="P1107" s="1"/>
      <c r="Q1107" s="1"/>
      <c r="R1107" s="1"/>
      <c r="S1107" s="1"/>
      <c r="T1107" s="1"/>
      <c r="U1107" s="1"/>
      <c r="V1107" s="1"/>
      <c r="W1107" s="1"/>
      <c r="X1107" s="1"/>
      <c r="Y1107" s="1"/>
      <c r="Z1107" s="1"/>
      <c r="AA1107" s="1"/>
      <c r="AB1107" s="1"/>
    </row>
    <row r="1108" ht="50.25" customHeight="1">
      <c r="A1108" s="12">
        <v>1104.0</v>
      </c>
      <c r="B1108" s="13" t="s">
        <v>1004</v>
      </c>
      <c r="C1108" s="14" t="s">
        <v>1114</v>
      </c>
      <c r="D1108" s="1"/>
      <c r="E1108" s="15"/>
      <c r="F1108" s="1" t="str">
        <f>IFERROR(__xludf.DUMMYFUNCTION("GOOGLETRANSLATE(B1108, ""en"", ""fa"")
"),"تجارت الکترونیک و فروش آنلاین")</f>
        <v>تجارت الکترونیک و فروش آنلاین</v>
      </c>
      <c r="G1108" s="1" t="str">
        <f>IFERROR(__xludf.DUMMYFUNCTION("GOOGLETRANSLATE(C1108, ""en"", ""fa"")
"),"نکاتی را برای بهینه‌سازی عملکرد جستجوی محصول در وب‌سایت‌های تجارت الکترونیک به اشتراک بگذارید تا به مشتریان کمک کنید محصولات را سریع و آسان پیدا کنند.")</f>
        <v>نکاتی را برای بهینه‌سازی عملکرد جستجوی محصول در وب‌سایت‌های تجارت الکترونیک به اشتراک بگذارید تا به مشتریان کمک کنید محصولات را سریع و آسان پیدا کنند.</v>
      </c>
      <c r="H1108" s="1"/>
      <c r="I1108" s="1"/>
      <c r="J1108" s="1"/>
      <c r="K1108" s="1"/>
      <c r="L1108" s="1"/>
      <c r="M1108" s="1"/>
      <c r="N1108" s="1"/>
      <c r="O1108" s="1"/>
      <c r="P1108" s="1"/>
      <c r="Q1108" s="1"/>
      <c r="R1108" s="1"/>
      <c r="S1108" s="1"/>
      <c r="T1108" s="1"/>
      <c r="U1108" s="1"/>
      <c r="V1108" s="1"/>
      <c r="W1108" s="1"/>
      <c r="X1108" s="1"/>
      <c r="Y1108" s="1"/>
      <c r="Z1108" s="1"/>
      <c r="AA1108" s="1"/>
      <c r="AB1108" s="1"/>
    </row>
    <row r="1109" ht="50.25" customHeight="1">
      <c r="A1109" s="12">
        <v>1105.0</v>
      </c>
      <c r="B1109" s="13" t="s">
        <v>1004</v>
      </c>
      <c r="C1109" s="14" t="s">
        <v>1115</v>
      </c>
      <c r="D1109" s="1"/>
      <c r="E1109" s="15"/>
      <c r="F1109" s="1" t="str">
        <f>IFERROR(__xludf.DUMMYFUNCTION("GOOGLETRANSLATE(B1109, ""en"", ""fa"")
"),"تجارت الکترونیک و فروش آنلاین")</f>
        <v>تجارت الکترونیک و فروش آنلاین</v>
      </c>
      <c r="G1109" s="1" t="str">
        <f>IFERROR(__xludf.DUMMYFUNCTION("GOOGLETRANSLATE(C1109, ""en"", ""fa"")
"),"مزایای ارائه گزینه تسویه حساب مهمان برای کاهش اصطکاک برای مشتریانی که اولین بار هستند و افزایش نرخ تبدیل را بررسی کنید.")</f>
        <v>مزایای ارائه گزینه تسویه حساب مهمان برای کاهش اصطکاک برای مشتریانی که اولین بار هستند و افزایش نرخ تبدیل را بررسی کنید.</v>
      </c>
      <c r="H1109" s="1"/>
      <c r="I1109" s="1"/>
      <c r="J1109" s="1"/>
      <c r="K1109" s="1"/>
      <c r="L1109" s="1"/>
      <c r="M1109" s="1"/>
      <c r="N1109" s="1"/>
      <c r="O1109" s="1"/>
      <c r="P1109" s="1"/>
      <c r="Q1109" s="1"/>
      <c r="R1109" s="1"/>
      <c r="S1109" s="1"/>
      <c r="T1109" s="1"/>
      <c r="U1109" s="1"/>
      <c r="V1109" s="1"/>
      <c r="W1109" s="1"/>
      <c r="X1109" s="1"/>
      <c r="Y1109" s="1"/>
      <c r="Z1109" s="1"/>
      <c r="AA1109" s="1"/>
      <c r="AB1109" s="1"/>
    </row>
    <row r="1110" ht="50.25" customHeight="1">
      <c r="A1110" s="12">
        <v>1106.0</v>
      </c>
      <c r="B1110" s="13" t="s">
        <v>1004</v>
      </c>
      <c r="C1110" s="14" t="s">
        <v>1116</v>
      </c>
      <c r="D1110" s="1"/>
      <c r="E1110" s="15"/>
      <c r="F1110" s="1" t="str">
        <f>IFERROR(__xludf.DUMMYFUNCTION("GOOGLETRANSLATE(B1110, ""en"", ""fa"")
"),"تجارت الکترونیک و فروش آنلاین")</f>
        <v>تجارت الکترونیک و فروش آنلاین</v>
      </c>
      <c r="G1110" s="1" t="str">
        <f>IFERROR(__xludf.DUMMYFUNCTION("GOOGLETRANSLATE(C1110, ""en"", ""fa"")
"),"در مورد تاثیر استفاده از اینفلوئنسرهای رسانه های اجتماعی برای ترویج محصولات و افزایش دیده شدن برند در بازار آنلاین بحث کنید.")</f>
        <v>در مورد تاثیر استفاده از اینفلوئنسرهای رسانه های اجتماعی برای ترویج محصولات و افزایش دیده شدن برند در بازار آنلاین بحث کنید.</v>
      </c>
      <c r="H1110" s="1"/>
      <c r="I1110" s="1"/>
      <c r="J1110" s="1"/>
      <c r="K1110" s="1"/>
      <c r="L1110" s="1"/>
      <c r="M1110" s="1"/>
      <c r="N1110" s="1"/>
      <c r="O1110" s="1"/>
      <c r="P1110" s="1"/>
      <c r="Q1110" s="1"/>
      <c r="R1110" s="1"/>
      <c r="S1110" s="1"/>
      <c r="T1110" s="1"/>
      <c r="U1110" s="1"/>
      <c r="V1110" s="1"/>
      <c r="W1110" s="1"/>
      <c r="X1110" s="1"/>
      <c r="Y1110" s="1"/>
      <c r="Z1110" s="1"/>
      <c r="AA1110" s="1"/>
      <c r="AB1110" s="1"/>
    </row>
    <row r="1111" ht="50.25" customHeight="1">
      <c r="A1111" s="12">
        <v>1107.0</v>
      </c>
      <c r="B1111" s="13" t="s">
        <v>1004</v>
      </c>
      <c r="C1111" s="14" t="s">
        <v>1117</v>
      </c>
      <c r="D1111" s="1"/>
      <c r="E1111" s="15"/>
      <c r="F1111" s="1" t="str">
        <f>IFERROR(__xludf.DUMMYFUNCTION("GOOGLETRANSLATE(B1111, ""en"", ""fa"")
"),"تجارت الکترونیک و فروش آنلاین")</f>
        <v>تجارت الکترونیک و فروش آنلاین</v>
      </c>
      <c r="G1111" s="1" t="str">
        <f>IFERROR(__xludf.DUMMYFUNCTION("GOOGLETRANSLATE(C1111, ""en"", ""fa"")
"),"استراتژی‌هایی را برای اجرای یک کمپین بازیابی سبد خرید رها شده موثر برای بازگرداندن فروش از دست رفته و تشویق مشتریان برای تکمیل خرید به اشتراک بگذارید.")</f>
        <v>استراتژی‌هایی را برای اجرای یک کمپین بازیابی سبد خرید رها شده موثر برای بازگرداندن فروش از دست رفته و تشویق مشتریان برای تکمیل خرید به اشتراک بگذارید.</v>
      </c>
      <c r="H1111" s="1"/>
      <c r="I1111" s="1"/>
      <c r="J1111" s="1"/>
      <c r="K1111" s="1"/>
      <c r="L1111" s="1"/>
      <c r="M1111" s="1"/>
      <c r="N1111" s="1"/>
      <c r="O1111" s="1"/>
      <c r="P1111" s="1"/>
      <c r="Q1111" s="1"/>
      <c r="R1111" s="1"/>
      <c r="S1111" s="1"/>
      <c r="T1111" s="1"/>
      <c r="U1111" s="1"/>
      <c r="V1111" s="1"/>
      <c r="W1111" s="1"/>
      <c r="X1111" s="1"/>
      <c r="Y1111" s="1"/>
      <c r="Z1111" s="1"/>
      <c r="AA1111" s="1"/>
      <c r="AB1111" s="1"/>
    </row>
    <row r="1112" ht="50.25" customHeight="1">
      <c r="A1112" s="12">
        <v>1108.0</v>
      </c>
      <c r="B1112" s="13" t="s">
        <v>1004</v>
      </c>
      <c r="C1112" s="14" t="s">
        <v>1118</v>
      </c>
      <c r="D1112" s="1"/>
      <c r="E1112" s="15"/>
      <c r="F1112" s="1" t="str">
        <f>IFERROR(__xludf.DUMMYFUNCTION("GOOGLETRANSLATE(B1112, ""en"", ""fa"")
"),"تجارت الکترونیک و فروش آنلاین")</f>
        <v>تجارت الکترونیک و فروش آنلاین</v>
      </c>
      <c r="G1112" s="1" t="str">
        <f>IFERROR(__xludf.DUMMYFUNCTION("GOOGLETRANSLATE(C1112, ""en"", ""fa"")
"),"مفهوم استفاده از تبلیغات هدف‌گیری مجدد را برای دستیابی به مشتریانی که قبلاً از وب‌سایت بازدید کرده‌اند یا به محصولات خاصی علاقه نشان داده‌اند را بررسی کنید.")</f>
        <v>مفهوم استفاده از تبلیغات هدف‌گیری مجدد را برای دستیابی به مشتریانی که قبلاً از وب‌سایت بازدید کرده‌اند یا به محصولات خاصی علاقه نشان داده‌اند را بررسی کنید.</v>
      </c>
      <c r="H1112" s="1"/>
      <c r="I1112" s="1"/>
      <c r="J1112" s="1"/>
      <c r="K1112" s="1"/>
      <c r="L1112" s="1"/>
      <c r="M1112" s="1"/>
      <c r="N1112" s="1"/>
      <c r="O1112" s="1"/>
      <c r="P1112" s="1"/>
      <c r="Q1112" s="1"/>
      <c r="R1112" s="1"/>
      <c r="S1112" s="1"/>
      <c r="T1112" s="1"/>
      <c r="U1112" s="1"/>
      <c r="V1112" s="1"/>
      <c r="W1112" s="1"/>
      <c r="X1112" s="1"/>
      <c r="Y1112" s="1"/>
      <c r="Z1112" s="1"/>
      <c r="AA1112" s="1"/>
      <c r="AB1112" s="1"/>
    </row>
    <row r="1113" ht="50.25" customHeight="1">
      <c r="A1113" s="12">
        <v>1109.0</v>
      </c>
      <c r="B1113" s="13" t="s">
        <v>1004</v>
      </c>
      <c r="C1113" s="14" t="s">
        <v>1119</v>
      </c>
      <c r="D1113" s="1"/>
      <c r="E1113" s="15"/>
      <c r="F1113" s="1" t="str">
        <f>IFERROR(__xludf.DUMMYFUNCTION("GOOGLETRANSLATE(B1113, ""en"", ""fa"")
"),"تجارت الکترونیک و فروش آنلاین")</f>
        <v>تجارت الکترونیک و فروش آنلاین</v>
      </c>
      <c r="G1113" s="1" t="str">
        <f>IFERROR(__xludf.DUMMYFUNCTION("GOOGLETRANSLATE(C1113, ""en"", ""fa"")
"),"در مورد نقش پیاده سازی کمپین های بازاریابی ایمیلی شخصی سازی شده برای پرورش سرنخ ها، ایجاد روابط و خریدهای تکراری بحث کنید.")</f>
        <v>در مورد نقش پیاده سازی کمپین های بازاریابی ایمیلی شخصی سازی شده برای پرورش سرنخ ها، ایجاد روابط و خریدهای تکراری بحث کنید.</v>
      </c>
      <c r="H1113" s="1"/>
      <c r="I1113" s="1"/>
      <c r="J1113" s="1"/>
      <c r="K1113" s="1"/>
      <c r="L1113" s="1"/>
      <c r="M1113" s="1"/>
      <c r="N1113" s="1"/>
      <c r="O1113" s="1"/>
      <c r="P1113" s="1"/>
      <c r="Q1113" s="1"/>
      <c r="R1113" s="1"/>
      <c r="S1113" s="1"/>
      <c r="T1113" s="1"/>
      <c r="U1113" s="1"/>
      <c r="V1113" s="1"/>
      <c r="W1113" s="1"/>
      <c r="X1113" s="1"/>
      <c r="Y1113" s="1"/>
      <c r="Z1113" s="1"/>
      <c r="AA1113" s="1"/>
      <c r="AB1113" s="1"/>
    </row>
    <row r="1114" ht="50.25" customHeight="1">
      <c r="A1114" s="12">
        <v>1110.0</v>
      </c>
      <c r="B1114" s="13" t="s">
        <v>1004</v>
      </c>
      <c r="C1114" s="14" t="s">
        <v>1120</v>
      </c>
      <c r="D1114" s="1"/>
      <c r="E1114" s="15"/>
      <c r="F1114" s="1" t="str">
        <f>IFERROR(__xludf.DUMMYFUNCTION("GOOGLETRANSLATE(B1114, ""en"", ""fa"")
"),"تجارت الکترونیک و فروش آنلاین")</f>
        <v>تجارت الکترونیک و فروش آنلاین</v>
      </c>
      <c r="G1114" s="1" t="str">
        <f>IFERROR(__xludf.DUMMYFUNCTION("GOOGLETRANSLATE(C1114, ""en"", ""fa"")
"),"نکاتی را برای بهینه سازی استراتژی های قیمت گذاری محصول، مانند قیمت گذاری پویا یا تست قیمت، به اشتراک بگذارید تا تعادل مناسب بین سودآوری و رقابت را پیدا کنید.")</f>
        <v>نکاتی را برای بهینه سازی استراتژی های قیمت گذاری محصول، مانند قیمت گذاری پویا یا تست قیمت، به اشتراک بگذارید تا تعادل مناسب بین سودآوری و رقابت را پیدا کنید.</v>
      </c>
      <c r="H1114" s="1"/>
      <c r="I1114" s="1"/>
      <c r="J1114" s="1"/>
      <c r="K1114" s="1"/>
      <c r="L1114" s="1"/>
      <c r="M1114" s="1"/>
      <c r="N1114" s="1"/>
      <c r="O1114" s="1"/>
      <c r="P1114" s="1"/>
      <c r="Q1114" s="1"/>
      <c r="R1114" s="1"/>
      <c r="S1114" s="1"/>
      <c r="T1114" s="1"/>
      <c r="U1114" s="1"/>
      <c r="V1114" s="1"/>
      <c r="W1114" s="1"/>
      <c r="X1114" s="1"/>
      <c r="Y1114" s="1"/>
      <c r="Z1114" s="1"/>
      <c r="AA1114" s="1"/>
      <c r="AB1114" s="1"/>
    </row>
    <row r="1115" ht="50.25" customHeight="1">
      <c r="A1115" s="12">
        <v>1111.0</v>
      </c>
      <c r="B1115" s="13" t="s">
        <v>1004</v>
      </c>
      <c r="C1115" s="14" t="s">
        <v>1121</v>
      </c>
      <c r="D1115" s="1"/>
      <c r="E1115" s="15"/>
      <c r="F1115" s="1" t="str">
        <f>IFERROR(__xludf.DUMMYFUNCTION("GOOGLETRANSLATE(B1115, ""en"", ""fa"")
"),"تجارت الکترونیک و فروش آنلاین")</f>
        <v>تجارت الکترونیک و فروش آنلاین</v>
      </c>
      <c r="G1115" s="1" t="str">
        <f>IFERROR(__xludf.DUMMYFUNCTION("GOOGLETRANSLATE(C1115, ""en"", ""fa"")
"),"مزایای ارائه رایگان یا نمونه هایی را برای تشویق مشتریان به امتحان محصولات جدید و افزایش وفاداری به برند کاوش کنید.")</f>
        <v>مزایای ارائه رایگان یا نمونه هایی را برای تشویق مشتریان به امتحان محصولات جدید و افزایش وفاداری به برند کاوش کنید.</v>
      </c>
      <c r="H1115" s="1"/>
      <c r="I1115" s="1"/>
      <c r="J1115" s="1"/>
      <c r="K1115" s="1"/>
      <c r="L1115" s="1"/>
      <c r="M1115" s="1"/>
      <c r="N1115" s="1"/>
      <c r="O1115" s="1"/>
      <c r="P1115" s="1"/>
      <c r="Q1115" s="1"/>
      <c r="R1115" s="1"/>
      <c r="S1115" s="1"/>
      <c r="T1115" s="1"/>
      <c r="U1115" s="1"/>
      <c r="V1115" s="1"/>
      <c r="W1115" s="1"/>
      <c r="X1115" s="1"/>
      <c r="Y1115" s="1"/>
      <c r="Z1115" s="1"/>
      <c r="AA1115" s="1"/>
      <c r="AB1115" s="1"/>
    </row>
    <row r="1116" ht="50.25" customHeight="1">
      <c r="A1116" s="12">
        <v>1112.0</v>
      </c>
      <c r="B1116" s="13" t="s">
        <v>1004</v>
      </c>
      <c r="C1116" s="14" t="s">
        <v>1122</v>
      </c>
      <c r="D1116" s="1"/>
      <c r="E1116" s="15"/>
      <c r="F1116" s="1" t="str">
        <f>IFERROR(__xludf.DUMMYFUNCTION("GOOGLETRANSLATE(B1116, ""en"", ""fa"")
"),"تجارت الکترونیک و فروش آنلاین")</f>
        <v>تجارت الکترونیک و فروش آنلاین</v>
      </c>
      <c r="G1116" s="1" t="str">
        <f>IFERROR(__xludf.DUMMYFUNCTION("GOOGLETRANSLATE(C1116, ""en"", ""fa"")
"),"در مورد تأثیر اجرای دکمه های اشتراک گذاری رسانه های اجتماعی در صفحات محصول برای تشویق مشتریان به اشتراک گذاری خرید خود با شبکه خود بحث کنید.")</f>
        <v>در مورد تأثیر اجرای دکمه های اشتراک گذاری رسانه های اجتماعی در صفحات محصول برای تشویق مشتریان به اشتراک گذاری خرید خود با شبکه خود بحث کنید.</v>
      </c>
      <c r="H1116" s="1"/>
      <c r="I1116" s="1"/>
      <c r="J1116" s="1"/>
      <c r="K1116" s="1"/>
      <c r="L1116" s="1"/>
      <c r="M1116" s="1"/>
      <c r="N1116" s="1"/>
      <c r="O1116" s="1"/>
      <c r="P1116" s="1"/>
      <c r="Q1116" s="1"/>
      <c r="R1116" s="1"/>
      <c r="S1116" s="1"/>
      <c r="T1116" s="1"/>
      <c r="U1116" s="1"/>
      <c r="V1116" s="1"/>
      <c r="W1116" s="1"/>
      <c r="X1116" s="1"/>
      <c r="Y1116" s="1"/>
      <c r="Z1116" s="1"/>
      <c r="AA1116" s="1"/>
      <c r="AB1116" s="1"/>
    </row>
    <row r="1117" ht="50.25" customHeight="1">
      <c r="A1117" s="12">
        <v>1113.0</v>
      </c>
      <c r="B1117" s="13" t="s">
        <v>1004</v>
      </c>
      <c r="C1117" s="14" t="s">
        <v>1123</v>
      </c>
      <c r="D1117" s="1"/>
      <c r="E1117" s="15"/>
      <c r="F1117" s="1" t="str">
        <f>IFERROR(__xludf.DUMMYFUNCTION("GOOGLETRANSLATE(B1117, ""en"", ""fa"")
"),"تجارت الکترونیک و فروش آنلاین")</f>
        <v>تجارت الکترونیک و فروش آنلاین</v>
      </c>
      <c r="G1117" s="1" t="str">
        <f>IFERROR(__xludf.DUMMYFUNCTION("GOOGLETRANSLATE(C1117, ""en"", ""fa"")
"),"استراتژی‌هایی را برای بهینه‌سازی بررسی‌ها و رتبه‌بندی‌های محصول به اشتراک بگذارید تا اثبات اجتماعی و ایجاد اعتماد در بین خریداران بالقوه ایجاد شود.")</f>
        <v>استراتژی‌هایی را برای بهینه‌سازی بررسی‌ها و رتبه‌بندی‌های محصول به اشتراک بگذارید تا اثبات اجتماعی و ایجاد اعتماد در بین خریداران بالقوه ایجاد شود.</v>
      </c>
      <c r="H1117" s="1"/>
      <c r="I1117" s="1"/>
      <c r="J1117" s="1"/>
      <c r="K1117" s="1"/>
      <c r="L1117" s="1"/>
      <c r="M1117" s="1"/>
      <c r="N1117" s="1"/>
      <c r="O1117" s="1"/>
      <c r="P1117" s="1"/>
      <c r="Q1117" s="1"/>
      <c r="R1117" s="1"/>
      <c r="S1117" s="1"/>
      <c r="T1117" s="1"/>
      <c r="U1117" s="1"/>
      <c r="V1117" s="1"/>
      <c r="W1117" s="1"/>
      <c r="X1117" s="1"/>
      <c r="Y1117" s="1"/>
      <c r="Z1117" s="1"/>
      <c r="AA1117" s="1"/>
      <c r="AB1117" s="1"/>
    </row>
    <row r="1118" ht="50.25" customHeight="1">
      <c r="A1118" s="12">
        <v>1114.0</v>
      </c>
      <c r="B1118" s="13" t="s">
        <v>1004</v>
      </c>
      <c r="C1118" s="14" t="s">
        <v>1124</v>
      </c>
      <c r="D1118" s="1"/>
      <c r="E1118" s="15"/>
      <c r="F1118" s="1" t="str">
        <f>IFERROR(__xludf.DUMMYFUNCTION("GOOGLETRANSLATE(B1118, ""en"", ""fa"")
"),"تجارت الکترونیک و فروش آنلاین")</f>
        <v>تجارت الکترونیک و فروش آنلاین</v>
      </c>
      <c r="G1118" s="1" t="str">
        <f>IFERROR(__xludf.DUMMYFUNCTION("GOOGLETRANSLATE(C1118, ""en"", ""fa"")
"),"مفهوم استفاده از همکاری یا مشارکت اینفلوئنسرها برای ایجاد خطوط محصول انحصاری یا نسخه‌های محدود را بررسی کنید، که باعث هیجان و فروش مشتری می‌شود.")</f>
        <v>مفهوم استفاده از همکاری یا مشارکت اینفلوئنسرها برای ایجاد خطوط محصول انحصاری یا نسخه‌های محدود را بررسی کنید، که باعث هیجان و فروش مشتری می‌شود.</v>
      </c>
      <c r="H1118" s="1"/>
      <c r="I1118" s="1"/>
      <c r="J1118" s="1"/>
      <c r="K1118" s="1"/>
      <c r="L1118" s="1"/>
      <c r="M1118" s="1"/>
      <c r="N1118" s="1"/>
      <c r="O1118" s="1"/>
      <c r="P1118" s="1"/>
      <c r="Q1118" s="1"/>
      <c r="R1118" s="1"/>
      <c r="S1118" s="1"/>
      <c r="T1118" s="1"/>
      <c r="U1118" s="1"/>
      <c r="V1118" s="1"/>
      <c r="W1118" s="1"/>
      <c r="X1118" s="1"/>
      <c r="Y1118" s="1"/>
      <c r="Z1118" s="1"/>
      <c r="AA1118" s="1"/>
      <c r="AB1118" s="1"/>
    </row>
    <row r="1119" ht="50.25" customHeight="1">
      <c r="A1119" s="12">
        <v>1115.0</v>
      </c>
      <c r="B1119" s="13" t="s">
        <v>1004</v>
      </c>
      <c r="C1119" s="14" t="s">
        <v>1125</v>
      </c>
      <c r="D1119" s="1"/>
      <c r="E1119" s="15"/>
      <c r="F1119" s="1" t="str">
        <f>IFERROR(__xludf.DUMMYFUNCTION("GOOGLETRANSLATE(B1119, ""en"", ""fa"")
"),"تجارت الکترونیک و فروش آنلاین")</f>
        <v>تجارت الکترونیک و فروش آنلاین</v>
      </c>
      <c r="G1119" s="1" t="str">
        <f>IFERROR(__xludf.DUMMYFUNCTION("GOOGLETRANSLATE(C1119, ""en"", ""fa"")
"),"درباره نقش اجرای تکنیک‌های فروش متقابل و فروش متقابل برای افزایش میانگین ارزش سفارش و به حداکثر رساندن درآمد بحث کنید.")</f>
        <v>درباره نقش اجرای تکنیک‌های فروش متقابل و فروش متقابل برای افزایش میانگین ارزش سفارش و به حداکثر رساندن درآمد بحث کنید.</v>
      </c>
      <c r="H1119" s="1"/>
      <c r="I1119" s="1"/>
      <c r="J1119" s="1"/>
      <c r="K1119" s="1"/>
      <c r="L1119" s="1"/>
      <c r="M1119" s="1"/>
      <c r="N1119" s="1"/>
      <c r="O1119" s="1"/>
      <c r="P1119" s="1"/>
      <c r="Q1119" s="1"/>
      <c r="R1119" s="1"/>
      <c r="S1119" s="1"/>
      <c r="T1119" s="1"/>
      <c r="U1119" s="1"/>
      <c r="V1119" s="1"/>
      <c r="W1119" s="1"/>
      <c r="X1119" s="1"/>
      <c r="Y1119" s="1"/>
      <c r="Z1119" s="1"/>
      <c r="AA1119" s="1"/>
      <c r="AB1119" s="1"/>
    </row>
    <row r="1120" ht="50.25" customHeight="1">
      <c r="A1120" s="12">
        <v>1116.0</v>
      </c>
      <c r="B1120" s="13" t="s">
        <v>1004</v>
      </c>
      <c r="C1120" s="14" t="s">
        <v>1126</v>
      </c>
      <c r="D1120" s="1"/>
      <c r="E1120" s="15"/>
      <c r="F1120" s="1" t="str">
        <f>IFERROR(__xludf.DUMMYFUNCTION("GOOGLETRANSLATE(B1120, ""en"", ""fa"")
"),"تجارت الکترونیک و فروش آنلاین")</f>
        <v>تجارت الکترونیک و فروش آنلاین</v>
      </c>
      <c r="G1120" s="1" t="str">
        <f>IFERROR(__xludf.DUMMYFUNCTION("GOOGLETRANSLATE(C1120, ""en"", ""fa"")
"),"نکاتی را برای بهینه‌سازی گزینه‌های دسته‌بندی و فیلتر کردن محصولات به اشتراک بگذارید تا به مشتریان کمک کند تا محصولات را بر اساس ترجیحات خود پیدا کنند.")</f>
        <v>نکاتی را برای بهینه‌سازی گزینه‌های دسته‌بندی و فیلتر کردن محصولات به اشتراک بگذارید تا به مشتریان کمک کند تا محصولات را بر اساس ترجیحات خود پیدا کنند.</v>
      </c>
      <c r="H1120" s="1"/>
      <c r="I1120" s="1"/>
      <c r="J1120" s="1"/>
      <c r="K1120" s="1"/>
      <c r="L1120" s="1"/>
      <c r="M1120" s="1"/>
      <c r="N1120" s="1"/>
      <c r="O1120" s="1"/>
      <c r="P1120" s="1"/>
      <c r="Q1120" s="1"/>
      <c r="R1120" s="1"/>
      <c r="S1120" s="1"/>
      <c r="T1120" s="1"/>
      <c r="U1120" s="1"/>
      <c r="V1120" s="1"/>
      <c r="W1120" s="1"/>
      <c r="X1120" s="1"/>
      <c r="Y1120" s="1"/>
      <c r="Z1120" s="1"/>
      <c r="AA1120" s="1"/>
      <c r="AB1120" s="1"/>
    </row>
    <row r="1121" ht="50.25" customHeight="1">
      <c r="A1121" s="12">
        <v>1117.0</v>
      </c>
      <c r="B1121" s="13" t="s">
        <v>1004</v>
      </c>
      <c r="C1121" s="14" t="s">
        <v>1127</v>
      </c>
      <c r="D1121" s="1"/>
      <c r="E1121" s="15"/>
      <c r="F1121" s="1" t="str">
        <f>IFERROR(__xludf.DUMMYFUNCTION("GOOGLETRANSLATE(B1121, ""en"", ""fa"")
"),"تجارت الکترونیک و فروش آنلاین")</f>
        <v>تجارت الکترونیک و فروش آنلاین</v>
      </c>
      <c r="G1121" s="1" t="str">
        <f>IFERROR(__xludf.DUMMYFUNCTION("GOOGLETRANSLATE(C1121, ""en"", ""fa"")
"),"مزایای ارائه گزینه‌های پرداخت انعطاف‌پذیر، مانند طرح‌های اقساطی یا خرید را اکنون بخرید، بعداً بپردازید، تا اولویت‌های مختلف مشتریان را برآورده کنید.")</f>
        <v>مزایای ارائه گزینه‌های پرداخت انعطاف‌پذیر، مانند طرح‌های اقساطی یا خرید را اکنون بخرید، بعداً بپردازید، تا اولویت‌های مختلف مشتریان را برآورده کنید.</v>
      </c>
      <c r="H1121" s="1"/>
      <c r="I1121" s="1"/>
      <c r="J1121" s="1"/>
      <c r="K1121" s="1"/>
      <c r="L1121" s="1"/>
      <c r="M1121" s="1"/>
      <c r="N1121" s="1"/>
      <c r="O1121" s="1"/>
      <c r="P1121" s="1"/>
      <c r="Q1121" s="1"/>
      <c r="R1121" s="1"/>
      <c r="S1121" s="1"/>
      <c r="T1121" s="1"/>
      <c r="U1121" s="1"/>
      <c r="V1121" s="1"/>
      <c r="W1121" s="1"/>
      <c r="X1121" s="1"/>
      <c r="Y1121" s="1"/>
      <c r="Z1121" s="1"/>
      <c r="AA1121" s="1"/>
      <c r="AB1121" s="1"/>
    </row>
    <row r="1122" ht="50.25" customHeight="1">
      <c r="A1122" s="12">
        <v>1118.0</v>
      </c>
      <c r="B1122" s="13" t="s">
        <v>1004</v>
      </c>
      <c r="C1122" s="14" t="s">
        <v>1128</v>
      </c>
      <c r="D1122" s="1"/>
      <c r="E1122" s="15"/>
      <c r="F1122" s="1" t="str">
        <f>IFERROR(__xludf.DUMMYFUNCTION("GOOGLETRANSLATE(B1122, ""en"", ""fa"")
"),"تجارت الکترونیک و فروش آنلاین")</f>
        <v>تجارت الکترونیک و فروش آنلاین</v>
      </c>
      <c r="G1122" s="1" t="str">
        <f>IFERROR(__xludf.DUMMYFUNCTION("GOOGLETRANSLATE(C1122, ""en"", ""fa"")
"),"درباره تأثیر اجرای برنامه وفاداری مشتری برای پاداش دادن به خریدهای تکراری، تشویق حفظ مشتری و تقویت حمایت از برند بحث کنید.")</f>
        <v>درباره تأثیر اجرای برنامه وفاداری مشتری برای پاداش دادن به خریدهای تکراری، تشویق حفظ مشتری و تقویت حمایت از برند بحث کنید.</v>
      </c>
      <c r="H1122" s="1"/>
      <c r="I1122" s="1"/>
      <c r="J1122" s="1"/>
      <c r="K1122" s="1"/>
      <c r="L1122" s="1"/>
      <c r="M1122" s="1"/>
      <c r="N1122" s="1"/>
      <c r="O1122" s="1"/>
      <c r="P1122" s="1"/>
      <c r="Q1122" s="1"/>
      <c r="R1122" s="1"/>
      <c r="S1122" s="1"/>
      <c r="T1122" s="1"/>
      <c r="U1122" s="1"/>
      <c r="V1122" s="1"/>
      <c r="W1122" s="1"/>
      <c r="X1122" s="1"/>
      <c r="Y1122" s="1"/>
      <c r="Z1122" s="1"/>
      <c r="AA1122" s="1"/>
      <c r="AB1122" s="1"/>
    </row>
    <row r="1123" ht="50.25" customHeight="1">
      <c r="A1123" s="12">
        <v>1119.0</v>
      </c>
      <c r="B1123" s="13" t="s">
        <v>1004</v>
      </c>
      <c r="C1123" s="14" t="s">
        <v>1129</v>
      </c>
      <c r="D1123" s="1"/>
      <c r="E1123" s="15"/>
      <c r="F1123" s="1" t="str">
        <f>IFERROR(__xludf.DUMMYFUNCTION("GOOGLETRANSLATE(B1123, ""en"", ""fa"")
"),"تجارت الکترونیک و فروش آنلاین")</f>
        <v>تجارت الکترونیک و فروش آنلاین</v>
      </c>
      <c r="G1123" s="1" t="str">
        <f>IFERROR(__xludf.DUMMYFUNCTION("GOOGLETRANSLATE(C1123, ""en"", ""fa"")
"),"استراتژی‌هایی را برای استفاده از محتوای تولید شده توسط کاربر، مانند عکس‌ها یا ویدیوهای مشتری، برای نمایش محصولات و تعامل با جامعه به اشتراک بگذارید.")</f>
        <v>استراتژی‌هایی را برای استفاده از محتوای تولید شده توسط کاربر، مانند عکس‌ها یا ویدیوهای مشتری، برای نمایش محصولات و تعامل با جامعه به اشتراک بگذارید.</v>
      </c>
      <c r="H1123" s="1"/>
      <c r="I1123" s="1"/>
      <c r="J1123" s="1"/>
      <c r="K1123" s="1"/>
      <c r="L1123" s="1"/>
      <c r="M1123" s="1"/>
      <c r="N1123" s="1"/>
      <c r="O1123" s="1"/>
      <c r="P1123" s="1"/>
      <c r="Q1123" s="1"/>
      <c r="R1123" s="1"/>
      <c r="S1123" s="1"/>
      <c r="T1123" s="1"/>
      <c r="U1123" s="1"/>
      <c r="V1123" s="1"/>
      <c r="W1123" s="1"/>
      <c r="X1123" s="1"/>
      <c r="Y1123" s="1"/>
      <c r="Z1123" s="1"/>
      <c r="AA1123" s="1"/>
      <c r="AB1123" s="1"/>
    </row>
    <row r="1124" ht="50.25" customHeight="1">
      <c r="A1124" s="12">
        <v>1120.0</v>
      </c>
      <c r="B1124" s="13" t="s">
        <v>1004</v>
      </c>
      <c r="C1124" s="14" t="s">
        <v>1130</v>
      </c>
      <c r="D1124" s="1"/>
      <c r="E1124" s="15"/>
      <c r="F1124" s="1" t="str">
        <f>IFERROR(__xludf.DUMMYFUNCTION("GOOGLETRANSLATE(B1124, ""en"", ""fa"")
"),"تجارت الکترونیک و فروش آنلاین")</f>
        <v>تجارت الکترونیک و فروش آنلاین</v>
      </c>
      <c r="G1124" s="1" t="str">
        <f>IFERROR(__xludf.DUMMYFUNCTION("GOOGLETRANSLATE(C1124, ""en"", ""fa"")
"),"مفهوم استفاده از کمپین های تبلیغاتی هدفمند در پلتفرم های رسانه های اجتماعی را برای دستیابی به بخش های خاص مشتریان و هدایت ترافیک به فروشگاه آنلاین بررسی کنید.")</f>
        <v>مفهوم استفاده از کمپین های تبلیغاتی هدفمند در پلتفرم های رسانه های اجتماعی را برای دستیابی به بخش های خاص مشتریان و هدایت ترافیک به فروشگاه آنلاین بررسی کنید.</v>
      </c>
      <c r="H1124" s="1"/>
      <c r="I1124" s="1"/>
      <c r="J1124" s="1"/>
      <c r="K1124" s="1"/>
      <c r="L1124" s="1"/>
      <c r="M1124" s="1"/>
      <c r="N1124" s="1"/>
      <c r="O1124" s="1"/>
      <c r="P1124" s="1"/>
      <c r="Q1124" s="1"/>
      <c r="R1124" s="1"/>
      <c r="S1124" s="1"/>
      <c r="T1124" s="1"/>
      <c r="U1124" s="1"/>
      <c r="V1124" s="1"/>
      <c r="W1124" s="1"/>
      <c r="X1124" s="1"/>
      <c r="Y1124" s="1"/>
      <c r="Z1124" s="1"/>
      <c r="AA1124" s="1"/>
      <c r="AB1124" s="1"/>
    </row>
    <row r="1125" ht="50.25" customHeight="1">
      <c r="A1125" s="12">
        <v>1121.0</v>
      </c>
      <c r="B1125" s="13" t="s">
        <v>1004</v>
      </c>
      <c r="C1125" s="14" t="s">
        <v>1131</v>
      </c>
      <c r="D1125" s="1"/>
      <c r="E1125" s="15"/>
      <c r="F1125" s="1" t="str">
        <f>IFERROR(__xludf.DUMMYFUNCTION("GOOGLETRANSLATE(B1125, ""en"", ""fa"")
"),"تجارت الکترونیک و فروش آنلاین")</f>
        <v>تجارت الکترونیک و فروش آنلاین</v>
      </c>
      <c r="G1125" s="1" t="str">
        <f>IFERROR(__xludf.DUMMYFUNCTION("GOOGLETRANSLATE(C1125, ""en"", ""fa"")
"),"درباره نقش پیاده‌سازی حلقه‌های بازخورد مشتری در تجارت الکترونیک برای جمع‌آوری بینش، بهبود محصولات و خدمات و ارتقای تجربه کلی مشتری بحث کنید.")</f>
        <v>درباره نقش پیاده‌سازی حلقه‌های بازخورد مشتری در تجارت الکترونیک برای جمع‌آوری بینش، بهبود محصولات و خدمات و ارتقای تجربه کلی مشتری بحث کنید.</v>
      </c>
      <c r="H1125" s="1"/>
      <c r="I1125" s="1"/>
      <c r="J1125" s="1"/>
      <c r="K1125" s="1"/>
      <c r="L1125" s="1"/>
      <c r="M1125" s="1"/>
      <c r="N1125" s="1"/>
      <c r="O1125" s="1"/>
      <c r="P1125" s="1"/>
      <c r="Q1125" s="1"/>
      <c r="R1125" s="1"/>
      <c r="S1125" s="1"/>
      <c r="T1125" s="1"/>
      <c r="U1125" s="1"/>
      <c r="V1125" s="1"/>
      <c r="W1125" s="1"/>
      <c r="X1125" s="1"/>
      <c r="Y1125" s="1"/>
      <c r="Z1125" s="1"/>
      <c r="AA1125" s="1"/>
      <c r="AB1125" s="1"/>
    </row>
    <row r="1126" ht="50.25" customHeight="1">
      <c r="A1126" s="12">
        <v>1122.0</v>
      </c>
      <c r="B1126" s="13" t="s">
        <v>1004</v>
      </c>
      <c r="C1126" s="14" t="s">
        <v>1132</v>
      </c>
      <c r="D1126" s="1"/>
      <c r="E1126" s="15"/>
      <c r="F1126" s="1" t="str">
        <f>IFERROR(__xludf.DUMMYFUNCTION("GOOGLETRANSLATE(B1126, ""en"", ""fa"")
"),"تجارت الکترونیک و فروش آنلاین")</f>
        <v>تجارت الکترونیک و فروش آنلاین</v>
      </c>
      <c r="G1126" s="1" t="str">
        <f>IFERROR(__xludf.DUMMYFUNCTION("GOOGLETRANSLATE(C1126, ""en"", ""fa"")
"),"نکاتی را برای بهینه‌سازی تجربه بسته‌بندی محصول و جعبه‌گشایی به اشتراک بگذارید تا تجربه‌ای به یاد ماندنی و قابل اشتراک‌گذاری برای مشتریان ایجاد کنید.")</f>
        <v>نکاتی را برای بهینه‌سازی تجربه بسته‌بندی محصول و جعبه‌گشایی به اشتراک بگذارید تا تجربه‌ای به یاد ماندنی و قابل اشتراک‌گذاری برای مشتریان ایجاد کنید.</v>
      </c>
      <c r="H1126" s="1"/>
      <c r="I1126" s="1"/>
      <c r="J1126" s="1"/>
      <c r="K1126" s="1"/>
      <c r="L1126" s="1"/>
      <c r="M1126" s="1"/>
      <c r="N1126" s="1"/>
      <c r="O1126" s="1"/>
      <c r="P1126" s="1"/>
      <c r="Q1126" s="1"/>
      <c r="R1126" s="1"/>
      <c r="S1126" s="1"/>
      <c r="T1126" s="1"/>
      <c r="U1126" s="1"/>
      <c r="V1126" s="1"/>
      <c r="W1126" s="1"/>
      <c r="X1126" s="1"/>
      <c r="Y1126" s="1"/>
      <c r="Z1126" s="1"/>
      <c r="AA1126" s="1"/>
      <c r="AB1126" s="1"/>
    </row>
    <row r="1127" ht="50.25" customHeight="1">
      <c r="A1127" s="12">
        <v>1123.0</v>
      </c>
      <c r="B1127" s="13" t="s">
        <v>1004</v>
      </c>
      <c r="C1127" s="14" t="s">
        <v>1133</v>
      </c>
      <c r="D1127" s="1"/>
      <c r="E1127" s="15"/>
      <c r="F1127" s="1" t="str">
        <f>IFERROR(__xludf.DUMMYFUNCTION("GOOGLETRANSLATE(B1127, ""en"", ""fa"")
"),"تجارت الکترونیک و فروش آنلاین")</f>
        <v>تجارت الکترونیک و فروش آنلاین</v>
      </c>
      <c r="G1127" s="1" t="str">
        <f>IFERROR(__xludf.DUMMYFUNCTION("GOOGLETRANSLATE(C1127, ""en"", ""fa"")
"),"مزایای ارائه توصیه‌های شخصی‌شده و ویژگی‌های کشف محصول را بر اساس تاریخچه مرور و اولویت‌های مشتریان کاوش کنید.")</f>
        <v>مزایای ارائه توصیه‌های شخصی‌شده و ویژگی‌های کشف محصول را بر اساس تاریخچه مرور و اولویت‌های مشتریان کاوش کنید.</v>
      </c>
      <c r="H1127" s="1"/>
      <c r="I1127" s="1"/>
      <c r="J1127" s="1"/>
      <c r="K1127" s="1"/>
      <c r="L1127" s="1"/>
      <c r="M1127" s="1"/>
      <c r="N1127" s="1"/>
      <c r="O1127" s="1"/>
      <c r="P1127" s="1"/>
      <c r="Q1127" s="1"/>
      <c r="R1127" s="1"/>
      <c r="S1127" s="1"/>
      <c r="T1127" s="1"/>
      <c r="U1127" s="1"/>
      <c r="V1127" s="1"/>
      <c r="W1127" s="1"/>
      <c r="X1127" s="1"/>
      <c r="Y1127" s="1"/>
      <c r="Z1127" s="1"/>
      <c r="AA1127" s="1"/>
      <c r="AB1127" s="1"/>
    </row>
    <row r="1128" ht="50.25" customHeight="1">
      <c r="A1128" s="12">
        <v>1124.0</v>
      </c>
      <c r="B1128" s="13" t="s">
        <v>1004</v>
      </c>
      <c r="C1128" s="14" t="s">
        <v>1134</v>
      </c>
      <c r="D1128" s="1"/>
      <c r="E1128" s="15"/>
      <c r="F1128" s="1" t="str">
        <f>IFERROR(__xludf.DUMMYFUNCTION("GOOGLETRANSLATE(B1128, ""en"", ""fa"")
"),"تجارت الکترونیک و فروش آنلاین")</f>
        <v>تجارت الکترونیک و فروش آنلاین</v>
      </c>
      <c r="G1128" s="1" t="str">
        <f>IFERROR(__xludf.DUMMYFUNCTION("GOOGLETRANSLATE(C1128, ""en"", ""fa"")
"),"درباره تأثیر اجرای ساختار قیمت‌گذاری سطحی یا تخفیف‌های مبتنی بر وفاداری برای تشویق مشتریان برای خرید مقادیر بالاتر یا تبدیل شدن به مشتریان بلندمدت بحث کنید.")</f>
        <v>درباره تأثیر اجرای ساختار قیمت‌گذاری سطحی یا تخفیف‌های مبتنی بر وفاداری برای تشویق مشتریان برای خرید مقادیر بالاتر یا تبدیل شدن به مشتریان بلندمدت بحث کنید.</v>
      </c>
      <c r="H1128" s="1"/>
      <c r="I1128" s="1"/>
      <c r="J1128" s="1"/>
      <c r="K1128" s="1"/>
      <c r="L1128" s="1"/>
      <c r="M1128" s="1"/>
      <c r="N1128" s="1"/>
      <c r="O1128" s="1"/>
      <c r="P1128" s="1"/>
      <c r="Q1128" s="1"/>
      <c r="R1128" s="1"/>
      <c r="S1128" s="1"/>
      <c r="T1128" s="1"/>
      <c r="U1128" s="1"/>
      <c r="V1128" s="1"/>
      <c r="W1128" s="1"/>
      <c r="X1128" s="1"/>
      <c r="Y1128" s="1"/>
      <c r="Z1128" s="1"/>
      <c r="AA1128" s="1"/>
      <c r="AB1128" s="1"/>
    </row>
    <row r="1129" ht="50.25" customHeight="1">
      <c r="A1129" s="12">
        <v>1125.0</v>
      </c>
      <c r="B1129" s="13" t="s">
        <v>1004</v>
      </c>
      <c r="C1129" s="14" t="s">
        <v>1135</v>
      </c>
      <c r="D1129" s="1"/>
      <c r="E1129" s="15"/>
      <c r="F1129" s="1" t="str">
        <f>IFERROR(__xludf.DUMMYFUNCTION("GOOGLETRANSLATE(B1129, ""en"", ""fa"")
"),"تجارت الکترونیک و فروش آنلاین")</f>
        <v>تجارت الکترونیک و فروش آنلاین</v>
      </c>
      <c r="G1129" s="1" t="str">
        <f>IFERROR(__xludf.DUMMYFUNCTION("GOOGLETRANSLATE(C1129, ""en"", ""fa"")
"),"استراتژی‌هایی را برای بهینه‌سازی مدیریت موجودی محصول به اشتراک بگذارید تا از هدر رفت، به حداقل رساندن سفارش‌های برگشتی و حفظ تجربه مثبت مشتری جلوگیری شود.")</f>
        <v>استراتژی‌هایی را برای بهینه‌سازی مدیریت موجودی محصول به اشتراک بگذارید تا از هدر رفت، به حداقل رساندن سفارش‌های برگشتی و حفظ تجربه مثبت مشتری جلوگیری شود.</v>
      </c>
      <c r="H1129" s="1"/>
      <c r="I1129" s="1"/>
      <c r="J1129" s="1"/>
      <c r="K1129" s="1"/>
      <c r="L1129" s="1"/>
      <c r="M1129" s="1"/>
      <c r="N1129" s="1"/>
      <c r="O1129" s="1"/>
      <c r="P1129" s="1"/>
      <c r="Q1129" s="1"/>
      <c r="R1129" s="1"/>
      <c r="S1129" s="1"/>
      <c r="T1129" s="1"/>
      <c r="U1129" s="1"/>
      <c r="V1129" s="1"/>
      <c r="W1129" s="1"/>
      <c r="X1129" s="1"/>
      <c r="Y1129" s="1"/>
      <c r="Z1129" s="1"/>
      <c r="AA1129" s="1"/>
      <c r="AB1129" s="1"/>
    </row>
    <row r="1130" ht="50.25" customHeight="1">
      <c r="A1130" s="12">
        <v>1126.0</v>
      </c>
      <c r="B1130" s="13" t="s">
        <v>1004</v>
      </c>
      <c r="C1130" s="14" t="s">
        <v>1136</v>
      </c>
      <c r="D1130" s="1"/>
      <c r="E1130" s="15"/>
      <c r="F1130" s="1" t="str">
        <f>IFERROR(__xludf.DUMMYFUNCTION("GOOGLETRANSLATE(B1130, ""en"", ""fa"")
"),"تجارت الکترونیک و فروش آنلاین")</f>
        <v>تجارت الکترونیک و فروش آنلاین</v>
      </c>
      <c r="G1130" s="1" t="str">
        <f>IFERROR(__xludf.DUMMYFUNCTION("GOOGLETRANSLATE(C1130, ""en"", ""fa"")
"),"مفهوم استفاده از اتوماسیون ایمیل برای ارائه توصیه‌های شخصی‌شده محصول، تخفیف‌ها یا یادآوری‌های سبد خرید را بررسی کنید.")</f>
        <v>مفهوم استفاده از اتوماسیون ایمیل برای ارائه توصیه‌های شخصی‌شده محصول، تخفیف‌ها یا یادآوری‌های سبد خرید را بررسی کنید.</v>
      </c>
      <c r="H1130" s="1"/>
      <c r="I1130" s="1"/>
      <c r="J1130" s="1"/>
      <c r="K1130" s="1"/>
      <c r="L1130" s="1"/>
      <c r="M1130" s="1"/>
      <c r="N1130" s="1"/>
      <c r="O1130" s="1"/>
      <c r="P1130" s="1"/>
      <c r="Q1130" s="1"/>
      <c r="R1130" s="1"/>
      <c r="S1130" s="1"/>
      <c r="T1130" s="1"/>
      <c r="U1130" s="1"/>
      <c r="V1130" s="1"/>
      <c r="W1130" s="1"/>
      <c r="X1130" s="1"/>
      <c r="Y1130" s="1"/>
      <c r="Z1130" s="1"/>
      <c r="AA1130" s="1"/>
      <c r="AB1130" s="1"/>
    </row>
    <row r="1131" ht="50.25" customHeight="1">
      <c r="A1131" s="12">
        <v>1127.0</v>
      </c>
      <c r="B1131" s="13" t="s">
        <v>1004</v>
      </c>
      <c r="C1131" s="14" t="s">
        <v>1137</v>
      </c>
      <c r="D1131" s="1"/>
      <c r="E1131" s="15"/>
      <c r="F1131" s="1" t="str">
        <f>IFERROR(__xludf.DUMMYFUNCTION("GOOGLETRANSLATE(B1131, ""en"", ""fa"")
"),"تجارت الکترونیک و فروش آنلاین")</f>
        <v>تجارت الکترونیک و فروش آنلاین</v>
      </c>
      <c r="G1131" s="1" t="str">
        <f>IFERROR(__xludf.DUMMYFUNCTION("GOOGLETRANSLATE(C1131, ""en"", ""fa"")
"),"درباره نقش پیاده‌سازی ابزارهای گوش دادن و نظارت رسانه‌های اجتماعی برای ردیابی نام‌های تجاری، بازخورد مشتریان و روند صنعت بحث کنید.")</f>
        <v>درباره نقش پیاده‌سازی ابزارهای گوش دادن و نظارت رسانه‌های اجتماعی برای ردیابی نام‌های تجاری، بازخورد مشتریان و روند صنعت بحث کنید.</v>
      </c>
      <c r="H1131" s="1"/>
      <c r="I1131" s="1"/>
      <c r="J1131" s="1"/>
      <c r="K1131" s="1"/>
      <c r="L1131" s="1"/>
      <c r="M1131" s="1"/>
      <c r="N1131" s="1"/>
      <c r="O1131" s="1"/>
      <c r="P1131" s="1"/>
      <c r="Q1131" s="1"/>
      <c r="R1131" s="1"/>
      <c r="S1131" s="1"/>
      <c r="T1131" s="1"/>
      <c r="U1131" s="1"/>
      <c r="V1131" s="1"/>
      <c r="W1131" s="1"/>
      <c r="X1131" s="1"/>
      <c r="Y1131" s="1"/>
      <c r="Z1131" s="1"/>
      <c r="AA1131" s="1"/>
      <c r="AB1131" s="1"/>
    </row>
    <row r="1132" ht="50.25" customHeight="1">
      <c r="A1132" s="12">
        <v>1128.0</v>
      </c>
      <c r="B1132" s="13" t="s">
        <v>1004</v>
      </c>
      <c r="C1132" s="17" t="s">
        <v>1138</v>
      </c>
      <c r="D1132" s="1"/>
      <c r="E1132" s="15"/>
      <c r="F1132" s="1" t="str">
        <f>IFERROR(__xludf.DUMMYFUNCTION("GOOGLETRANSLATE(B1132, ""en"", ""fa"")
"),"تجارت الکترونیک و فروش آنلاین")</f>
        <v>تجارت الکترونیک و فروش آنلاین</v>
      </c>
      <c r="G1132" s="1" t="str">
        <f>IFERROR(__xludf.DUMMYFUNCTION("GOOGLETRANSLATE(C1132, ""en"", ""fa"")
"),"نکاتی را برای بهینه‌سازی طرح‌بندی و طرح‌های صفحه محصول به اشتراک بگذارید تا تجربه کاربر را بهبود ببخشید و سفر خرید یکپارچه را تسهیل کنید.")</f>
        <v>نکاتی را برای بهینه‌سازی طرح‌بندی و طرح‌های صفحه محصول به اشتراک بگذارید تا تجربه کاربر را بهبود ببخشید و سفر خرید یکپارچه را تسهیل کنید.</v>
      </c>
      <c r="H1132" s="1"/>
      <c r="I1132" s="1"/>
      <c r="J1132" s="1"/>
      <c r="K1132" s="1"/>
      <c r="L1132" s="1"/>
      <c r="M1132" s="1"/>
      <c r="N1132" s="1"/>
      <c r="O1132" s="1"/>
      <c r="P1132" s="1"/>
      <c r="Q1132" s="1"/>
      <c r="R1132" s="1"/>
      <c r="S1132" s="1"/>
      <c r="T1132" s="1"/>
      <c r="U1132" s="1"/>
      <c r="V1132" s="1"/>
      <c r="W1132" s="1"/>
      <c r="X1132" s="1"/>
      <c r="Y1132" s="1"/>
      <c r="Z1132" s="1"/>
      <c r="AA1132" s="1"/>
      <c r="AB1132" s="1"/>
    </row>
    <row r="1133" ht="50.25" customHeight="1">
      <c r="A1133" s="12">
        <v>1129.0</v>
      </c>
      <c r="B1133" s="13" t="s">
        <v>1004</v>
      </c>
      <c r="C1133" s="14" t="s">
        <v>1139</v>
      </c>
      <c r="D1133" s="1"/>
      <c r="E1133" s="15"/>
      <c r="F1133" s="1" t="str">
        <f>IFERROR(__xludf.DUMMYFUNCTION("GOOGLETRANSLATE(B1133, ""en"", ""fa"")
"),"تجارت الکترونیک و فروش آنلاین")</f>
        <v>تجارت الکترونیک و فروش آنلاین</v>
      </c>
      <c r="G1133" s="1" t="str">
        <f>IFERROR(__xludf.DUMMYFUNCTION("GOOGLETRANSLATE(C1133, ""en"", ""fa"")
"),"مزایای ارائه سیاست بازگشت بدون دردسر و فرآیند بازپرداخت شفاف برای ایجاد اعتماد و اطمینان مشتری را بررسی کنید.")</f>
        <v>مزایای ارائه سیاست بازگشت بدون دردسر و فرآیند بازپرداخت شفاف برای ایجاد اعتماد و اطمینان مشتری را بررسی کنید.</v>
      </c>
      <c r="H1133" s="1"/>
      <c r="I1133" s="1"/>
      <c r="J1133" s="1"/>
      <c r="K1133" s="1"/>
      <c r="L1133" s="1"/>
      <c r="M1133" s="1"/>
      <c r="N1133" s="1"/>
      <c r="O1133" s="1"/>
      <c r="P1133" s="1"/>
      <c r="Q1133" s="1"/>
      <c r="R1133" s="1"/>
      <c r="S1133" s="1"/>
      <c r="T1133" s="1"/>
      <c r="U1133" s="1"/>
      <c r="V1133" s="1"/>
      <c r="W1133" s="1"/>
      <c r="X1133" s="1"/>
      <c r="Y1133" s="1"/>
      <c r="Z1133" s="1"/>
      <c r="AA1133" s="1"/>
      <c r="AB1133" s="1"/>
    </row>
    <row r="1134" ht="50.25" customHeight="1">
      <c r="A1134" s="12">
        <v>1130.0</v>
      </c>
      <c r="B1134" s="13" t="s">
        <v>1004</v>
      </c>
      <c r="C1134" s="14" t="s">
        <v>1140</v>
      </c>
      <c r="D1134" s="1"/>
      <c r="E1134" s="15"/>
      <c r="F1134" s="1" t="str">
        <f>IFERROR(__xludf.DUMMYFUNCTION("GOOGLETRANSLATE(B1134, ""en"", ""fa"")
"),"تجارت الکترونیک و فروش آنلاین")</f>
        <v>تجارت الکترونیک و فروش آنلاین</v>
      </c>
      <c r="G1134" s="1" t="str">
        <f>IFERROR(__xludf.DUMMYFUNCTION("GOOGLETRANSLATE(C1134, ""en"", ""fa"")
"),"درباره تأثیر اجرای نظرسنجی های رضایت مشتری و مکانیسم های بازخورد برای جمع آوری بینش و بهبود مستمر تجربه خرید بحث کنید.")</f>
        <v>درباره تأثیر اجرای نظرسنجی های رضایت مشتری و مکانیسم های بازخورد برای جمع آوری بینش و بهبود مستمر تجربه خرید بحث کنید.</v>
      </c>
      <c r="H1134" s="1"/>
      <c r="I1134" s="1"/>
      <c r="J1134" s="1"/>
      <c r="K1134" s="1"/>
      <c r="L1134" s="1"/>
      <c r="M1134" s="1"/>
      <c r="N1134" s="1"/>
      <c r="O1134" s="1"/>
      <c r="P1134" s="1"/>
      <c r="Q1134" s="1"/>
      <c r="R1134" s="1"/>
      <c r="S1134" s="1"/>
      <c r="T1134" s="1"/>
      <c r="U1134" s="1"/>
      <c r="V1134" s="1"/>
      <c r="W1134" s="1"/>
      <c r="X1134" s="1"/>
      <c r="Y1134" s="1"/>
      <c r="Z1134" s="1"/>
      <c r="AA1134" s="1"/>
      <c r="AB1134" s="1"/>
    </row>
    <row r="1135" ht="50.25" customHeight="1">
      <c r="A1135" s="12">
        <v>1131.0</v>
      </c>
      <c r="B1135" s="13" t="s">
        <v>1004</v>
      </c>
      <c r="C1135" s="14" t="s">
        <v>1141</v>
      </c>
      <c r="D1135" s="1"/>
      <c r="E1135" s="15"/>
      <c r="F1135" s="1" t="str">
        <f>IFERROR(__xludf.DUMMYFUNCTION("GOOGLETRANSLATE(B1135, ""en"", ""fa"")
"),"تجارت الکترونیک و فروش آنلاین")</f>
        <v>تجارت الکترونیک و فروش آنلاین</v>
      </c>
      <c r="G1135" s="1" t="str">
        <f>IFERROR(__xludf.DUMMYFUNCTION("GOOGLETRANSLATE(C1135, ""en"", ""fa"")
"),"استراتژی‌های بهینه‌سازی عناوین فهرست محصولات و توضیحات متا را با کلمات کلیدی مرتبط به اشتراک بگذارید تا دید موتور جستجو و نرخ کلیک را بهبود بخشد.")</f>
        <v>استراتژی‌های بهینه‌سازی عناوین فهرست محصولات و توضیحات متا را با کلمات کلیدی مرتبط به اشتراک بگذارید تا دید موتور جستجو و نرخ کلیک را بهبود بخشد.</v>
      </c>
      <c r="H1135" s="1"/>
      <c r="I1135" s="1"/>
      <c r="J1135" s="1"/>
      <c r="K1135" s="1"/>
      <c r="L1135" s="1"/>
      <c r="M1135" s="1"/>
      <c r="N1135" s="1"/>
      <c r="O1135" s="1"/>
      <c r="P1135" s="1"/>
      <c r="Q1135" s="1"/>
      <c r="R1135" s="1"/>
      <c r="S1135" s="1"/>
      <c r="T1135" s="1"/>
      <c r="U1135" s="1"/>
      <c r="V1135" s="1"/>
      <c r="W1135" s="1"/>
      <c r="X1135" s="1"/>
      <c r="Y1135" s="1"/>
      <c r="Z1135" s="1"/>
      <c r="AA1135" s="1"/>
      <c r="AB1135" s="1"/>
    </row>
    <row r="1136" ht="50.25" customHeight="1">
      <c r="A1136" s="12">
        <v>1132.0</v>
      </c>
      <c r="B1136" s="13" t="s">
        <v>1004</v>
      </c>
      <c r="C1136" s="14" t="s">
        <v>1142</v>
      </c>
      <c r="D1136" s="1"/>
      <c r="E1136" s="15"/>
      <c r="F1136" s="1" t="str">
        <f>IFERROR(__xludf.DUMMYFUNCTION("GOOGLETRANSLATE(B1136, ""en"", ""fa"")
"),"تجارت الکترونیک و فروش آنلاین")</f>
        <v>تجارت الکترونیک و فروش آنلاین</v>
      </c>
      <c r="G1136" s="1" t="str">
        <f>IFERROR(__xludf.DUMMYFUNCTION("GOOGLETRANSLATE(C1136, ""en"", ""fa"")
"),"مفهوم استفاده از تأییدیه‌های سفارش شخصی‌شده و اعلان‌های حمل و نقل را برای ارائه به‌روزرسانی‌های هم‌زمان به مشتریان در مورد خریدشان بررسی کنید.")</f>
        <v>مفهوم استفاده از تأییدیه‌های سفارش شخصی‌شده و اعلان‌های حمل و نقل را برای ارائه به‌روزرسانی‌های هم‌زمان به مشتریان در مورد خریدشان بررسی کنید.</v>
      </c>
      <c r="H1136" s="1"/>
      <c r="I1136" s="1"/>
      <c r="J1136" s="1"/>
      <c r="K1136" s="1"/>
      <c r="L1136" s="1"/>
      <c r="M1136" s="1"/>
      <c r="N1136" s="1"/>
      <c r="O1136" s="1"/>
      <c r="P1136" s="1"/>
      <c r="Q1136" s="1"/>
      <c r="R1136" s="1"/>
      <c r="S1136" s="1"/>
      <c r="T1136" s="1"/>
      <c r="U1136" s="1"/>
      <c r="V1136" s="1"/>
      <c r="W1136" s="1"/>
      <c r="X1136" s="1"/>
      <c r="Y1136" s="1"/>
      <c r="Z1136" s="1"/>
      <c r="AA1136" s="1"/>
      <c r="AB1136" s="1"/>
    </row>
    <row r="1137" ht="50.25" customHeight="1">
      <c r="A1137" s="12">
        <v>1133.0</v>
      </c>
      <c r="B1137" s="13" t="s">
        <v>1004</v>
      </c>
      <c r="C1137" s="14" t="s">
        <v>1143</v>
      </c>
      <c r="D1137" s="1"/>
      <c r="E1137" s="15"/>
      <c r="F1137" s="1" t="str">
        <f>IFERROR(__xludf.DUMMYFUNCTION("GOOGLETRANSLATE(B1137, ""en"", ""fa"")
"),"تجارت الکترونیک و فروش آنلاین")</f>
        <v>تجارت الکترونیک و فروش آنلاین</v>
      </c>
      <c r="G1137" s="1" t="str">
        <f>IFERROR(__xludf.DUMMYFUNCTION("GOOGLETRANSLATE(C1137, ""en"", ""fa"")
"),"در مورد نقش اجرای مسابقات رسانه های اجتماعی یا هدایا برای افزایش آگاهی از برند، جذب مشتریان و تولید محتوای تولید شده توسط کاربر بحث کنید.")</f>
        <v>در مورد نقش اجرای مسابقات رسانه های اجتماعی یا هدایا برای افزایش آگاهی از برند، جذب مشتریان و تولید محتوای تولید شده توسط کاربر بحث کنید.</v>
      </c>
      <c r="H1137" s="1"/>
      <c r="I1137" s="1"/>
      <c r="J1137" s="1"/>
      <c r="K1137" s="1"/>
      <c r="L1137" s="1"/>
      <c r="M1137" s="1"/>
      <c r="N1137" s="1"/>
      <c r="O1137" s="1"/>
      <c r="P1137" s="1"/>
      <c r="Q1137" s="1"/>
      <c r="R1137" s="1"/>
      <c r="S1137" s="1"/>
      <c r="T1137" s="1"/>
      <c r="U1137" s="1"/>
      <c r="V1137" s="1"/>
      <c r="W1137" s="1"/>
      <c r="X1137" s="1"/>
      <c r="Y1137" s="1"/>
      <c r="Z1137" s="1"/>
      <c r="AA1137" s="1"/>
      <c r="AB1137" s="1"/>
    </row>
    <row r="1138" ht="50.25" customHeight="1">
      <c r="A1138" s="12">
        <v>1134.0</v>
      </c>
      <c r="B1138" s="13" t="s">
        <v>1004</v>
      </c>
      <c r="C1138" s="14" t="s">
        <v>1144</v>
      </c>
      <c r="D1138" s="1"/>
      <c r="E1138" s="15"/>
      <c r="F1138" s="1" t="str">
        <f>IFERROR(__xludf.DUMMYFUNCTION("GOOGLETRANSLATE(B1138, ""en"", ""fa"")
"),"تجارت الکترونیک و فروش آنلاین")</f>
        <v>تجارت الکترونیک و فروش آنلاین</v>
      </c>
      <c r="G1138" s="1" t="str">
        <f>IFERROR(__xludf.DUMMYFUNCTION("GOOGLETRANSLATE(C1138, ""en"", ""fa"")
"),"نکاتی را برای بهینه سازی سرعت بارگذاری صفحه محصول برای کاهش نرخ پرش و بهبود رتبه بندی موتورهای جستجو به اشتراک بگذارید.")</f>
        <v>نکاتی را برای بهینه سازی سرعت بارگذاری صفحه محصول برای کاهش نرخ پرش و بهبود رتبه بندی موتورهای جستجو به اشتراک بگذارید.</v>
      </c>
      <c r="H1138" s="1"/>
      <c r="I1138" s="1"/>
      <c r="J1138" s="1"/>
      <c r="K1138" s="1"/>
      <c r="L1138" s="1"/>
      <c r="M1138" s="1"/>
      <c r="N1138" s="1"/>
      <c r="O1138" s="1"/>
      <c r="P1138" s="1"/>
      <c r="Q1138" s="1"/>
      <c r="R1138" s="1"/>
      <c r="S1138" s="1"/>
      <c r="T1138" s="1"/>
      <c r="U1138" s="1"/>
      <c r="V1138" s="1"/>
      <c r="W1138" s="1"/>
      <c r="X1138" s="1"/>
      <c r="Y1138" s="1"/>
      <c r="Z1138" s="1"/>
      <c r="AA1138" s="1"/>
      <c r="AB1138" s="1"/>
    </row>
    <row r="1139" ht="50.25" customHeight="1">
      <c r="A1139" s="12">
        <v>1135.0</v>
      </c>
      <c r="B1139" s="13" t="s">
        <v>1004</v>
      </c>
      <c r="C1139" s="14" t="s">
        <v>1145</v>
      </c>
      <c r="D1139" s="1"/>
      <c r="E1139" s="15"/>
      <c r="F1139" s="1" t="str">
        <f>IFERROR(__xludf.DUMMYFUNCTION("GOOGLETRANSLATE(B1139, ""en"", ""fa"")
"),"تجارت الکترونیک و فروش آنلاین")</f>
        <v>تجارت الکترونیک و فروش آنلاین</v>
      </c>
      <c r="G1139" s="1" t="str">
        <f>IFERROR(__xludf.DUMMYFUNCTION("GOOGLETRANSLATE(C1139, ""en"", ""fa"")
"),"مزایای ارائه گزینه‌های سفارشی‌سازی محصول، مانند انتخاب رنگ یا حکاکی، را برای پاسخگویی به اولویت‌های مشتری کاوش کنید.")</f>
        <v>مزایای ارائه گزینه‌های سفارشی‌سازی محصول، مانند انتخاب رنگ یا حکاکی، را برای پاسخگویی به اولویت‌های مشتری کاوش کنید.</v>
      </c>
      <c r="H1139" s="1"/>
      <c r="I1139" s="1"/>
      <c r="J1139" s="1"/>
      <c r="K1139" s="1"/>
      <c r="L1139" s="1"/>
      <c r="M1139" s="1"/>
      <c r="N1139" s="1"/>
      <c r="O1139" s="1"/>
      <c r="P1139" s="1"/>
      <c r="Q1139" s="1"/>
      <c r="R1139" s="1"/>
      <c r="S1139" s="1"/>
      <c r="T1139" s="1"/>
      <c r="U1139" s="1"/>
      <c r="V1139" s="1"/>
      <c r="W1139" s="1"/>
      <c r="X1139" s="1"/>
      <c r="Y1139" s="1"/>
      <c r="Z1139" s="1"/>
      <c r="AA1139" s="1"/>
      <c r="AB1139" s="1"/>
    </row>
    <row r="1140" ht="50.25" customHeight="1">
      <c r="A1140" s="12">
        <v>1136.0</v>
      </c>
      <c r="B1140" s="13" t="s">
        <v>1004</v>
      </c>
      <c r="C1140" s="14" t="s">
        <v>1146</v>
      </c>
      <c r="D1140" s="1"/>
      <c r="E1140" s="15"/>
      <c r="F1140" s="1" t="str">
        <f>IFERROR(__xludf.DUMMYFUNCTION("GOOGLETRANSLATE(B1140, ""en"", ""fa"")
"),"تجارت الکترونیک و فروش آنلاین")</f>
        <v>تجارت الکترونیک و فروش آنلاین</v>
      </c>
      <c r="G1140" s="1" t="str">
        <f>IFERROR(__xludf.DUMMYFUNCTION("GOOGLETRANSLATE(C1140, ""en"", ""fa"")
"),"درباره تأثیر استفاده از توصیفات مشتری یا مطالعات موردی در مواد بازاریابی برای نشان دادن تجربیات موفق مشتری و ایجاد اعتماد بحث کنید.")</f>
        <v>درباره تأثیر استفاده از توصیفات مشتری یا مطالعات موردی در مواد بازاریابی برای نشان دادن تجربیات موفق مشتری و ایجاد اعتماد بحث کنید.</v>
      </c>
      <c r="H1140" s="1"/>
      <c r="I1140" s="1"/>
      <c r="J1140" s="1"/>
      <c r="K1140" s="1"/>
      <c r="L1140" s="1"/>
      <c r="M1140" s="1"/>
      <c r="N1140" s="1"/>
      <c r="O1140" s="1"/>
      <c r="P1140" s="1"/>
      <c r="Q1140" s="1"/>
      <c r="R1140" s="1"/>
      <c r="S1140" s="1"/>
      <c r="T1140" s="1"/>
      <c r="U1140" s="1"/>
      <c r="V1140" s="1"/>
      <c r="W1140" s="1"/>
      <c r="X1140" s="1"/>
      <c r="Y1140" s="1"/>
      <c r="Z1140" s="1"/>
      <c r="AA1140" s="1"/>
      <c r="AB1140" s="1"/>
    </row>
    <row r="1141" ht="50.25" customHeight="1">
      <c r="A1141" s="12">
        <v>1137.0</v>
      </c>
      <c r="B1141" s="13" t="s">
        <v>1004</v>
      </c>
      <c r="C1141" s="14" t="s">
        <v>1147</v>
      </c>
      <c r="D1141" s="1"/>
      <c r="E1141" s="15"/>
      <c r="F1141" s="1" t="str">
        <f>IFERROR(__xludf.DUMMYFUNCTION("GOOGLETRANSLATE(B1141, ""en"", ""fa"")
"),"تجارت الکترونیک و فروش آنلاین")</f>
        <v>تجارت الکترونیک و فروش آنلاین</v>
      </c>
      <c r="G1141" s="1" t="str">
        <f>IFERROR(__xludf.DUMMYFUNCTION("GOOGLETRANSLATE(C1141, ""en"", ""fa"")
"),"استراتژی‌هایی را برای بهینه‌سازی بررسی‌ها و رتبه‌بندی‌های محصول به اشتراک بگذارید تا اعتماد مشتری را تقویت کنید و بازخورد ارزشمندی برای بهبود محصول ارائه دهید.")</f>
        <v>استراتژی‌هایی را برای بهینه‌سازی بررسی‌ها و رتبه‌بندی‌های محصول به اشتراک بگذارید تا اعتماد مشتری را تقویت کنید و بازخورد ارزشمندی برای بهبود محصول ارائه دهید.</v>
      </c>
      <c r="H1141" s="1"/>
      <c r="I1141" s="1"/>
      <c r="J1141" s="1"/>
      <c r="K1141" s="1"/>
      <c r="L1141" s="1"/>
      <c r="M1141" s="1"/>
      <c r="N1141" s="1"/>
      <c r="O1141" s="1"/>
      <c r="P1141" s="1"/>
      <c r="Q1141" s="1"/>
      <c r="R1141" s="1"/>
      <c r="S1141" s="1"/>
      <c r="T1141" s="1"/>
      <c r="U1141" s="1"/>
      <c r="V1141" s="1"/>
      <c r="W1141" s="1"/>
      <c r="X1141" s="1"/>
      <c r="Y1141" s="1"/>
      <c r="Z1141" s="1"/>
      <c r="AA1141" s="1"/>
      <c r="AB1141" s="1"/>
    </row>
    <row r="1142" ht="50.25" customHeight="1">
      <c r="A1142" s="12">
        <v>1138.0</v>
      </c>
      <c r="B1142" s="13" t="s">
        <v>1004</v>
      </c>
      <c r="C1142" s="14" t="s">
        <v>1148</v>
      </c>
      <c r="D1142" s="1"/>
      <c r="E1142" s="15"/>
      <c r="F1142" s="1" t="str">
        <f>IFERROR(__xludf.DUMMYFUNCTION("GOOGLETRANSLATE(B1142, ""en"", ""fa"")
"),"تجارت الکترونیک و فروش آنلاین")</f>
        <v>تجارت الکترونیک و فروش آنلاین</v>
      </c>
      <c r="G1142" s="1" t="str">
        <f>IFERROR(__xludf.DUMMYFUNCTION("GOOGLETRANSLATE(C1142, ""en"", ""fa"")
"),"مفهوم استفاده از محتوای تولید شده توسط اینفلوئنسرها، مانند بررسی محصول یا آموزش، برای تبلیغ محصولات و دستیابی به مخاطبان جدید را بررسی کنید.")</f>
        <v>مفهوم استفاده از محتوای تولید شده توسط اینفلوئنسرها، مانند بررسی محصول یا آموزش، برای تبلیغ محصولات و دستیابی به مخاطبان جدید را بررسی کنید.</v>
      </c>
      <c r="H1142" s="1"/>
      <c r="I1142" s="1"/>
      <c r="J1142" s="1"/>
      <c r="K1142" s="1"/>
      <c r="L1142" s="1"/>
      <c r="M1142" s="1"/>
      <c r="N1142" s="1"/>
      <c r="O1142" s="1"/>
      <c r="P1142" s="1"/>
      <c r="Q1142" s="1"/>
      <c r="R1142" s="1"/>
      <c r="S1142" s="1"/>
      <c r="T1142" s="1"/>
      <c r="U1142" s="1"/>
      <c r="V1142" s="1"/>
      <c r="W1142" s="1"/>
      <c r="X1142" s="1"/>
      <c r="Y1142" s="1"/>
      <c r="Z1142" s="1"/>
      <c r="AA1142" s="1"/>
      <c r="AB1142" s="1"/>
    </row>
    <row r="1143" ht="50.25" customHeight="1">
      <c r="A1143" s="12">
        <v>1139.0</v>
      </c>
      <c r="B1143" s="13" t="s">
        <v>1004</v>
      </c>
      <c r="C1143" s="14" t="s">
        <v>1149</v>
      </c>
      <c r="D1143" s="1"/>
      <c r="E1143" s="15"/>
      <c r="F1143" s="1" t="str">
        <f>IFERROR(__xludf.DUMMYFUNCTION("GOOGLETRANSLATE(B1143, ""en"", ""fa"")
"),"تجارت الکترونیک و فروش آنلاین")</f>
        <v>تجارت الکترونیک و فروش آنلاین</v>
      </c>
      <c r="G1143" s="1" t="str">
        <f>IFERROR(__xludf.DUMMYFUNCTION("GOOGLETRANSLATE(C1143, ""en"", ""fa"")
"),"درباره نقش اجرای کمپین های بازاریابی مجدد هدفمند برای جذب مجدد مشتریانی که به محصولات یا دسته بندی های خاص علاقه نشان داده اند، بحث کنید.")</f>
        <v>درباره نقش اجرای کمپین های بازاریابی مجدد هدفمند برای جذب مجدد مشتریانی که به محصولات یا دسته بندی های خاص علاقه نشان داده اند، بحث کنید.</v>
      </c>
      <c r="H1143" s="1"/>
      <c r="I1143" s="1"/>
      <c r="J1143" s="1"/>
      <c r="K1143" s="1"/>
      <c r="L1143" s="1"/>
      <c r="M1143" s="1"/>
      <c r="N1143" s="1"/>
      <c r="O1143" s="1"/>
      <c r="P1143" s="1"/>
      <c r="Q1143" s="1"/>
      <c r="R1143" s="1"/>
      <c r="S1143" s="1"/>
      <c r="T1143" s="1"/>
      <c r="U1143" s="1"/>
      <c r="V1143" s="1"/>
      <c r="W1143" s="1"/>
      <c r="X1143" s="1"/>
      <c r="Y1143" s="1"/>
      <c r="Z1143" s="1"/>
      <c r="AA1143" s="1"/>
      <c r="AB1143" s="1"/>
    </row>
    <row r="1144" ht="50.25" customHeight="1">
      <c r="A1144" s="12">
        <v>1140.0</v>
      </c>
      <c r="B1144" s="13" t="s">
        <v>1004</v>
      </c>
      <c r="C1144" s="14" t="s">
        <v>1150</v>
      </c>
      <c r="D1144" s="1"/>
      <c r="E1144" s="15"/>
      <c r="F1144" s="1" t="str">
        <f>IFERROR(__xludf.DUMMYFUNCTION("GOOGLETRANSLATE(B1144, ""en"", ""fa"")
"),"تجارت الکترونیک و فروش آنلاین")</f>
        <v>تجارت الکترونیک و فروش آنلاین</v>
      </c>
      <c r="G1144" s="1" t="str">
        <f>IFERROR(__xludf.DUMMYFUNCTION("GOOGLETRANSLATE(C1144, ""en"", ""fa"")
"),"نکاتی را برای بهینه‌سازی تجربه خرید از طریق تلفن همراه، از جمله طراحی واکنش‌گرا، ناوبری آسان، و گزینه‌های پرداخت سازگار با موبایل به اشتراک بگذارید.")</f>
        <v>نکاتی را برای بهینه‌سازی تجربه خرید از طریق تلفن همراه، از جمله طراحی واکنش‌گرا، ناوبری آسان، و گزینه‌های پرداخت سازگار با موبایل به اشتراک بگذارید.</v>
      </c>
      <c r="H1144" s="1"/>
      <c r="I1144" s="1"/>
      <c r="J1144" s="1"/>
      <c r="K1144" s="1"/>
      <c r="L1144" s="1"/>
      <c r="M1144" s="1"/>
      <c r="N1144" s="1"/>
      <c r="O1144" s="1"/>
      <c r="P1144" s="1"/>
      <c r="Q1144" s="1"/>
      <c r="R1144" s="1"/>
      <c r="S1144" s="1"/>
      <c r="T1144" s="1"/>
      <c r="U1144" s="1"/>
      <c r="V1144" s="1"/>
      <c r="W1144" s="1"/>
      <c r="X1144" s="1"/>
      <c r="Y1144" s="1"/>
      <c r="Z1144" s="1"/>
      <c r="AA1144" s="1"/>
      <c r="AB1144" s="1"/>
    </row>
    <row r="1145" ht="50.25" customHeight="1">
      <c r="A1145" s="12">
        <v>1141.0</v>
      </c>
      <c r="B1145" s="13" t="s">
        <v>1004</v>
      </c>
      <c r="C1145" s="14" t="s">
        <v>1151</v>
      </c>
      <c r="D1145" s="1"/>
      <c r="E1145" s="15"/>
      <c r="F1145" s="1" t="str">
        <f>IFERROR(__xludf.DUMMYFUNCTION("GOOGLETRANSLATE(B1145, ""en"", ""fa"")
"),"تجارت الکترونیک و فروش آنلاین")</f>
        <v>تجارت الکترونیک و فروش آنلاین</v>
      </c>
      <c r="G1145" s="1" t="str">
        <f>IFERROR(__xludf.DUMMYFUNCTION("GOOGLETRANSLATE(C1145, ""en"", ""fa"")
"),"مزایای ارائه تخفیف های شخصی یا تبلیغات انحصاری به مشتریان بر اساس وضعیت وفاداری یا سابقه خرید آنها را بررسی کنید.")</f>
        <v>مزایای ارائه تخفیف های شخصی یا تبلیغات انحصاری به مشتریان بر اساس وضعیت وفاداری یا سابقه خرید آنها را بررسی کنید.</v>
      </c>
      <c r="H1145" s="1"/>
      <c r="I1145" s="1"/>
      <c r="J1145" s="1"/>
      <c r="K1145" s="1"/>
      <c r="L1145" s="1"/>
      <c r="M1145" s="1"/>
      <c r="N1145" s="1"/>
      <c r="O1145" s="1"/>
      <c r="P1145" s="1"/>
      <c r="Q1145" s="1"/>
      <c r="R1145" s="1"/>
      <c r="S1145" s="1"/>
      <c r="T1145" s="1"/>
      <c r="U1145" s="1"/>
      <c r="V1145" s="1"/>
      <c r="W1145" s="1"/>
      <c r="X1145" s="1"/>
      <c r="Y1145" s="1"/>
      <c r="Z1145" s="1"/>
      <c r="AA1145" s="1"/>
      <c r="AB1145" s="1"/>
    </row>
    <row r="1146" ht="50.25" customHeight="1">
      <c r="A1146" s="12">
        <v>1142.0</v>
      </c>
      <c r="B1146" s="13" t="s">
        <v>1004</v>
      </c>
      <c r="C1146" s="14" t="s">
        <v>1152</v>
      </c>
      <c r="D1146" s="1"/>
      <c r="E1146" s="15"/>
      <c r="F1146" s="1" t="str">
        <f>IFERROR(__xludf.DUMMYFUNCTION("GOOGLETRANSLATE(B1146, ""en"", ""fa"")
"),"تجارت الکترونیک و فروش آنلاین")</f>
        <v>تجارت الکترونیک و فروش آنلاین</v>
      </c>
      <c r="G1146" s="1" t="str">
        <f>IFERROR(__xludf.DUMMYFUNCTION("GOOGLETRANSLATE(C1146, ""en"", ""fa"")
"),"درباره تأثیر پیاده‌سازی یک سیستم تحلیلی و گزارش‌دهی قوی برای ردیابی شاخص‌های عملکرد کلیدی، شناسایی روندها و تصمیم‌گیری‌های مبتنی بر داده بحث کنید.")</f>
        <v>درباره تأثیر پیاده‌سازی یک سیستم تحلیلی و گزارش‌دهی قوی برای ردیابی شاخص‌های عملکرد کلیدی، شناسایی روندها و تصمیم‌گیری‌های مبتنی بر داده بحث کنید.</v>
      </c>
      <c r="H1146" s="1"/>
      <c r="I1146" s="1"/>
      <c r="J1146" s="1"/>
      <c r="K1146" s="1"/>
      <c r="L1146" s="1"/>
      <c r="M1146" s="1"/>
      <c r="N1146" s="1"/>
      <c r="O1146" s="1"/>
      <c r="P1146" s="1"/>
      <c r="Q1146" s="1"/>
      <c r="R1146" s="1"/>
      <c r="S1146" s="1"/>
      <c r="T1146" s="1"/>
      <c r="U1146" s="1"/>
      <c r="V1146" s="1"/>
      <c r="W1146" s="1"/>
      <c r="X1146" s="1"/>
      <c r="Y1146" s="1"/>
      <c r="Z1146" s="1"/>
      <c r="AA1146" s="1"/>
      <c r="AB1146" s="1"/>
    </row>
    <row r="1147" ht="50.25" customHeight="1">
      <c r="A1147" s="12">
        <v>1143.0</v>
      </c>
      <c r="B1147" s="13" t="s">
        <v>1004</v>
      </c>
      <c r="C1147" s="14" t="s">
        <v>1153</v>
      </c>
      <c r="D1147" s="1"/>
      <c r="E1147" s="15"/>
      <c r="F1147" s="1" t="str">
        <f>IFERROR(__xludf.DUMMYFUNCTION("GOOGLETRANSLATE(B1147, ""en"", ""fa"")
"),"تجارت الکترونیک و فروش آنلاین")</f>
        <v>تجارت الکترونیک و فروش آنلاین</v>
      </c>
      <c r="G1147" s="1" t="str">
        <f>IFERROR(__xludf.DUMMYFUNCTION("GOOGLETRANSLATE(C1147, ""en"", ""fa"")
"),"استراتژی‌هایی را برای بهینه‌سازی تصاویر محصول برای پلتفرم‌های رسانه‌های اجتماعی به اشتراک بگذارید تا دید، تعامل و نرخ کلیک را افزایش دهید.")</f>
        <v>استراتژی‌هایی را برای بهینه‌سازی تصاویر محصول برای پلتفرم‌های رسانه‌های اجتماعی به اشتراک بگذارید تا دید، تعامل و نرخ کلیک را افزایش دهید.</v>
      </c>
      <c r="H1147" s="1"/>
      <c r="I1147" s="1"/>
      <c r="J1147" s="1"/>
      <c r="K1147" s="1"/>
      <c r="L1147" s="1"/>
      <c r="M1147" s="1"/>
      <c r="N1147" s="1"/>
      <c r="O1147" s="1"/>
      <c r="P1147" s="1"/>
      <c r="Q1147" s="1"/>
      <c r="R1147" s="1"/>
      <c r="S1147" s="1"/>
      <c r="T1147" s="1"/>
      <c r="U1147" s="1"/>
      <c r="V1147" s="1"/>
      <c r="W1147" s="1"/>
      <c r="X1147" s="1"/>
      <c r="Y1147" s="1"/>
      <c r="Z1147" s="1"/>
      <c r="AA1147" s="1"/>
      <c r="AB1147" s="1"/>
    </row>
    <row r="1148" ht="50.25" customHeight="1">
      <c r="A1148" s="12">
        <v>1144.0</v>
      </c>
      <c r="B1148" s="13" t="s">
        <v>1004</v>
      </c>
      <c r="C1148" s="14" t="s">
        <v>1154</v>
      </c>
      <c r="D1148" s="1"/>
      <c r="E1148" s="15"/>
      <c r="F1148" s="1" t="str">
        <f>IFERROR(__xludf.DUMMYFUNCTION("GOOGLETRANSLATE(B1148, ""en"", ""fa"")
"),"تجارت الکترونیک و فروش آنلاین")</f>
        <v>تجارت الکترونیک و فروش آنلاین</v>
      </c>
      <c r="G1148" s="1" t="str">
        <f>IFERROR(__xludf.DUMMYFUNCTION("GOOGLETRANSLATE(C1148, ""en"", ""fa"")
"),"در مورد مزایای اجرای پشتیبانی چت زنده در وب سایت های تجارت الکترونیک برای ارائه کمک در زمان واقعی و رسیدگی به سؤالات مشتری بحث کنید.")</f>
        <v>در مورد مزایای اجرای پشتیبانی چت زنده در وب سایت های تجارت الکترونیک برای ارائه کمک در زمان واقعی و رسیدگی به سؤالات مشتری بحث کنید.</v>
      </c>
      <c r="H1148" s="1"/>
      <c r="I1148" s="1"/>
      <c r="J1148" s="1"/>
      <c r="K1148" s="1"/>
      <c r="L1148" s="1"/>
      <c r="M1148" s="1"/>
      <c r="N1148" s="1"/>
      <c r="O1148" s="1"/>
      <c r="P1148" s="1"/>
      <c r="Q1148" s="1"/>
      <c r="R1148" s="1"/>
      <c r="S1148" s="1"/>
      <c r="T1148" s="1"/>
      <c r="U1148" s="1"/>
      <c r="V1148" s="1"/>
      <c r="W1148" s="1"/>
      <c r="X1148" s="1"/>
      <c r="Y1148" s="1"/>
      <c r="Z1148" s="1"/>
      <c r="AA1148" s="1"/>
      <c r="AB1148" s="1"/>
    </row>
    <row r="1149" ht="50.25" customHeight="1">
      <c r="A1149" s="12">
        <v>1145.0</v>
      </c>
      <c r="B1149" s="13" t="s">
        <v>1004</v>
      </c>
      <c r="C1149" s="14" t="s">
        <v>1155</v>
      </c>
      <c r="D1149" s="1"/>
      <c r="E1149" s="15"/>
      <c r="F1149" s="1" t="str">
        <f>IFERROR(__xludf.DUMMYFUNCTION("GOOGLETRANSLATE(B1149, ""en"", ""fa"")
"),"تجارت الکترونیک و فروش آنلاین")</f>
        <v>تجارت الکترونیک و فروش آنلاین</v>
      </c>
      <c r="G1149" s="1" t="str">
        <f>IFERROR(__xludf.DUMMYFUNCTION("GOOGLETRANSLATE(C1149, ""en"", ""fa"")
"),"استراتژی‌هایی را برای بهینه‌سازی توصیه‌های محصول بر اساس رفتار مشتری به اشتراک بگذارید، مانند مواردی که اغلب با هم خریداری می‌شوند یا مواردی که اخیراً مشاهده شده‌اند.")</f>
        <v>استراتژی‌هایی را برای بهینه‌سازی توصیه‌های محصول بر اساس رفتار مشتری به اشتراک بگذارید، مانند مواردی که اغلب با هم خریداری می‌شوند یا مواردی که اخیراً مشاهده شده‌اند.</v>
      </c>
      <c r="H1149" s="1"/>
      <c r="I1149" s="1"/>
      <c r="J1149" s="1"/>
      <c r="K1149" s="1"/>
      <c r="L1149" s="1"/>
      <c r="M1149" s="1"/>
      <c r="N1149" s="1"/>
      <c r="O1149" s="1"/>
      <c r="P1149" s="1"/>
      <c r="Q1149" s="1"/>
      <c r="R1149" s="1"/>
      <c r="S1149" s="1"/>
      <c r="T1149" s="1"/>
      <c r="U1149" s="1"/>
      <c r="V1149" s="1"/>
      <c r="W1149" s="1"/>
      <c r="X1149" s="1"/>
      <c r="Y1149" s="1"/>
      <c r="Z1149" s="1"/>
      <c r="AA1149" s="1"/>
      <c r="AB1149" s="1"/>
    </row>
    <row r="1150" ht="50.25" customHeight="1">
      <c r="A1150" s="12">
        <v>1146.0</v>
      </c>
      <c r="B1150" s="13" t="s">
        <v>1004</v>
      </c>
      <c r="C1150" s="14" t="s">
        <v>1156</v>
      </c>
      <c r="D1150" s="1"/>
      <c r="E1150" s="15"/>
      <c r="F1150" s="1" t="str">
        <f>IFERROR(__xludf.DUMMYFUNCTION("GOOGLETRANSLATE(B1150, ""en"", ""fa"")
"),"تجارت الکترونیک و فروش آنلاین")</f>
        <v>تجارت الکترونیک و فروش آنلاین</v>
      </c>
      <c r="G1150" s="1" t="str">
        <f>IFERROR(__xludf.DUMMYFUNCTION("GOOGLETRANSLATE(C1150, ""en"", ""fa"")
"),"مفهوم استفاده از تبلیغات رسانه های اجتماعی برای هدف قرار دادن بخش های خاص مشتریان و هدایت ترافیک به فروشگاه آنلاین را بررسی کنید.")</f>
        <v>مفهوم استفاده از تبلیغات رسانه های اجتماعی برای هدف قرار دادن بخش های خاص مشتریان و هدایت ترافیک به فروشگاه آنلاین را بررسی کنید.</v>
      </c>
      <c r="H1150" s="1"/>
      <c r="I1150" s="1"/>
      <c r="J1150" s="1"/>
      <c r="K1150" s="1"/>
      <c r="L1150" s="1"/>
      <c r="M1150" s="1"/>
      <c r="N1150" s="1"/>
      <c r="O1150" s="1"/>
      <c r="P1150" s="1"/>
      <c r="Q1150" s="1"/>
      <c r="R1150" s="1"/>
      <c r="S1150" s="1"/>
      <c r="T1150" s="1"/>
      <c r="U1150" s="1"/>
      <c r="V1150" s="1"/>
      <c r="W1150" s="1"/>
      <c r="X1150" s="1"/>
      <c r="Y1150" s="1"/>
      <c r="Z1150" s="1"/>
      <c r="AA1150" s="1"/>
      <c r="AB1150" s="1"/>
    </row>
    <row r="1151" ht="50.25" customHeight="1">
      <c r="A1151" s="12">
        <v>1147.0</v>
      </c>
      <c r="B1151" s="13" t="s">
        <v>1004</v>
      </c>
      <c r="C1151" s="14" t="s">
        <v>1157</v>
      </c>
      <c r="D1151" s="1"/>
      <c r="E1151" s="15"/>
      <c r="F1151" s="1" t="str">
        <f>IFERROR(__xludf.DUMMYFUNCTION("GOOGLETRANSLATE(B1151, ""en"", ""fa"")
"),"تجارت الکترونیک و فروش آنلاین")</f>
        <v>تجارت الکترونیک و فروش آنلاین</v>
      </c>
      <c r="G1151" s="1" t="str">
        <f>IFERROR(__xludf.DUMMYFUNCTION("GOOGLETRANSLATE(C1151, ""en"", ""fa"")
"),"در مورد نقش اجرای نظرات و نظرات مشتریان در صفحات محصول برای ایجاد اعتماد و افزایش تبدیل بحث کنید.")</f>
        <v>در مورد نقش اجرای نظرات و نظرات مشتریان در صفحات محصول برای ایجاد اعتماد و افزایش تبدیل بحث کنید.</v>
      </c>
      <c r="H1151" s="1"/>
      <c r="I1151" s="1"/>
      <c r="J1151" s="1"/>
      <c r="K1151" s="1"/>
      <c r="L1151" s="1"/>
      <c r="M1151" s="1"/>
      <c r="N1151" s="1"/>
      <c r="O1151" s="1"/>
      <c r="P1151" s="1"/>
      <c r="Q1151" s="1"/>
      <c r="R1151" s="1"/>
      <c r="S1151" s="1"/>
      <c r="T1151" s="1"/>
      <c r="U1151" s="1"/>
      <c r="V1151" s="1"/>
      <c r="W1151" s="1"/>
      <c r="X1151" s="1"/>
      <c r="Y1151" s="1"/>
      <c r="Z1151" s="1"/>
      <c r="AA1151" s="1"/>
      <c r="AB1151" s="1"/>
    </row>
    <row r="1152" ht="50.25" customHeight="1">
      <c r="A1152" s="12">
        <v>1148.0</v>
      </c>
      <c r="B1152" s="13" t="s">
        <v>1004</v>
      </c>
      <c r="C1152" s="14" t="s">
        <v>1158</v>
      </c>
      <c r="D1152" s="1"/>
      <c r="E1152" s="15"/>
      <c r="F1152" s="1" t="str">
        <f>IFERROR(__xludf.DUMMYFUNCTION("GOOGLETRANSLATE(B1152, ""en"", ""fa"")
"),"تجارت الکترونیک و فروش آنلاین")</f>
        <v>تجارت الکترونیک و فروش آنلاین</v>
      </c>
      <c r="G1152" s="1" t="str">
        <f>IFERROR(__xludf.DUMMYFUNCTION("GOOGLETRANSLATE(C1152, ""en"", ""fa"")
"),"نکاتی را برای بهینه‌سازی طرح‌بندی صفحه محصول به اشتراک بگذارید تا ویژگی‌های کلیدی، مزایا و دکمه‌های فراخوان متقاعدکننده را برجسته کنید.")</f>
        <v>نکاتی را برای بهینه‌سازی طرح‌بندی صفحه محصول به اشتراک بگذارید تا ویژگی‌های کلیدی، مزایا و دکمه‌های فراخوان متقاعدکننده را برجسته کنید.</v>
      </c>
      <c r="H1152" s="1"/>
      <c r="I1152" s="1"/>
      <c r="J1152" s="1"/>
      <c r="K1152" s="1"/>
      <c r="L1152" s="1"/>
      <c r="M1152" s="1"/>
      <c r="N1152" s="1"/>
      <c r="O1152" s="1"/>
      <c r="P1152" s="1"/>
      <c r="Q1152" s="1"/>
      <c r="R1152" s="1"/>
      <c r="S1152" s="1"/>
      <c r="T1152" s="1"/>
      <c r="U1152" s="1"/>
      <c r="V1152" s="1"/>
      <c r="W1152" s="1"/>
      <c r="X1152" s="1"/>
      <c r="Y1152" s="1"/>
      <c r="Z1152" s="1"/>
      <c r="AA1152" s="1"/>
      <c r="AB1152" s="1"/>
    </row>
    <row r="1153" ht="50.25" customHeight="1">
      <c r="A1153" s="12">
        <v>1149.0</v>
      </c>
      <c r="B1153" s="13" t="s">
        <v>1004</v>
      </c>
      <c r="C1153" s="14" t="s">
        <v>1159</v>
      </c>
      <c r="D1153" s="1"/>
      <c r="E1153" s="15"/>
      <c r="F1153" s="1" t="str">
        <f>IFERROR(__xludf.DUMMYFUNCTION("GOOGLETRANSLATE(B1153, ""en"", ""fa"")
"),"تجارت الکترونیک و فروش آنلاین")</f>
        <v>تجارت الکترونیک و فروش آنلاین</v>
      </c>
      <c r="G1153" s="1" t="str">
        <f>IFERROR(__xludf.DUMMYFUNCTION("GOOGLETRANSLATE(C1153, ""en"", ""fa"")
"),"مزایای ارائه یک مدل مبتنی بر اشتراک برای خریدهای مکرر محصول و افزایش ارزش طول عمر مشتری را بررسی کنید.")</f>
        <v>مزایای ارائه یک مدل مبتنی بر اشتراک برای خریدهای مکرر محصول و افزایش ارزش طول عمر مشتری را بررسی کنید.</v>
      </c>
      <c r="H1153" s="1"/>
      <c r="I1153" s="1"/>
      <c r="J1153" s="1"/>
      <c r="K1153" s="1"/>
      <c r="L1153" s="1"/>
      <c r="M1153" s="1"/>
      <c r="N1153" s="1"/>
      <c r="O1153" s="1"/>
      <c r="P1153" s="1"/>
      <c r="Q1153" s="1"/>
      <c r="R1153" s="1"/>
      <c r="S1153" s="1"/>
      <c r="T1153" s="1"/>
      <c r="U1153" s="1"/>
      <c r="V1153" s="1"/>
      <c r="W1153" s="1"/>
      <c r="X1153" s="1"/>
      <c r="Y1153" s="1"/>
      <c r="Z1153" s="1"/>
      <c r="AA1153" s="1"/>
      <c r="AB1153" s="1"/>
    </row>
    <row r="1154" ht="50.25" customHeight="1">
      <c r="A1154" s="12">
        <v>1150.0</v>
      </c>
      <c r="B1154" s="13" t="s">
        <v>1004</v>
      </c>
      <c r="C1154" s="14" t="s">
        <v>1160</v>
      </c>
      <c r="D1154" s="1"/>
      <c r="E1154" s="15"/>
      <c r="F1154" s="1" t="str">
        <f>IFERROR(__xludf.DUMMYFUNCTION("GOOGLETRANSLATE(B1154, ""en"", ""fa"")
"),"تجارت الکترونیک و فروش آنلاین")</f>
        <v>تجارت الکترونیک و فروش آنلاین</v>
      </c>
      <c r="G1154" s="1" t="str">
        <f>IFERROR(__xludf.DUMMYFUNCTION("GOOGLETRANSLATE(C1154, ""en"", ""fa"")
"),"در مورد تأثیر اجرای کمپین های ایمیل شخصی برای بازیابی سبد خرید رها شده برای تشویق مشتریان برای تکمیل خرید خود بحث کنید.")</f>
        <v>در مورد تأثیر اجرای کمپین های ایمیل شخصی برای بازیابی سبد خرید رها شده برای تشویق مشتریان برای تکمیل خرید خود بحث کنید.</v>
      </c>
      <c r="H1154" s="1"/>
      <c r="I1154" s="1"/>
      <c r="J1154" s="1"/>
      <c r="K1154" s="1"/>
      <c r="L1154" s="1"/>
      <c r="M1154" s="1"/>
      <c r="N1154" s="1"/>
      <c r="O1154" s="1"/>
      <c r="P1154" s="1"/>
      <c r="Q1154" s="1"/>
      <c r="R1154" s="1"/>
      <c r="S1154" s="1"/>
      <c r="T1154" s="1"/>
      <c r="U1154" s="1"/>
      <c r="V1154" s="1"/>
      <c r="W1154" s="1"/>
      <c r="X1154" s="1"/>
      <c r="Y1154" s="1"/>
      <c r="Z1154" s="1"/>
      <c r="AA1154" s="1"/>
      <c r="AB1154" s="1"/>
    </row>
    <row r="1155" ht="50.25" customHeight="1">
      <c r="A1155" s="12">
        <v>1151.0</v>
      </c>
      <c r="B1155" s="13" t="s">
        <v>1004</v>
      </c>
      <c r="C1155" s="14" t="s">
        <v>1161</v>
      </c>
      <c r="D1155" s="1"/>
      <c r="E1155" s="15"/>
      <c r="F1155" s="1" t="str">
        <f>IFERROR(__xludf.DUMMYFUNCTION("GOOGLETRANSLATE(B1155, ""en"", ""fa"")
"),"تجارت الکترونیک و فروش آنلاین")</f>
        <v>تجارت الکترونیک و فروش آنلاین</v>
      </c>
      <c r="G1155" s="1" t="str">
        <f>IFERROR(__xludf.DUMMYFUNCTION("GOOGLETRANSLATE(C1155, ""en"", ""fa"")
"),"استراتژی‌هایی را برای بهینه‌سازی عملکرد جستجوی محصول به اشتراک بگذارید تا نتایج جستجوی دقیق و مرتبط برای مشتریان ارائه شود.")</f>
        <v>استراتژی‌هایی را برای بهینه‌سازی عملکرد جستجوی محصول به اشتراک بگذارید تا نتایج جستجوی دقیق و مرتبط برای مشتریان ارائه شود.</v>
      </c>
      <c r="H1155" s="1"/>
      <c r="I1155" s="1"/>
      <c r="J1155" s="1"/>
      <c r="K1155" s="1"/>
      <c r="L1155" s="1"/>
      <c r="M1155" s="1"/>
      <c r="N1155" s="1"/>
      <c r="O1155" s="1"/>
      <c r="P1155" s="1"/>
      <c r="Q1155" s="1"/>
      <c r="R1155" s="1"/>
      <c r="S1155" s="1"/>
      <c r="T1155" s="1"/>
      <c r="U1155" s="1"/>
      <c r="V1155" s="1"/>
      <c r="W1155" s="1"/>
      <c r="X1155" s="1"/>
      <c r="Y1155" s="1"/>
      <c r="Z1155" s="1"/>
      <c r="AA1155" s="1"/>
      <c r="AB1155" s="1"/>
    </row>
    <row r="1156" ht="50.25" customHeight="1">
      <c r="A1156" s="12">
        <v>1152.0</v>
      </c>
      <c r="B1156" s="13" t="s">
        <v>1004</v>
      </c>
      <c r="C1156" s="14" t="s">
        <v>1162</v>
      </c>
      <c r="D1156" s="1"/>
      <c r="E1156" s="15"/>
      <c r="F1156" s="1" t="str">
        <f>IFERROR(__xludf.DUMMYFUNCTION("GOOGLETRANSLATE(B1156, ""en"", ""fa"")
"),"تجارت الکترونیک و فروش آنلاین")</f>
        <v>تجارت الکترونیک و فروش آنلاین</v>
      </c>
      <c r="G1156" s="1" t="str">
        <f>IFERROR(__xludf.DUMMYFUNCTION("GOOGLETRANSLATE(C1156, ""en"", ""fa"")
"),"مفهوم استفاده از ربات‌های چت برای پشتیبانی خودکار مشتری برای ارائه پاسخ‌های فوری و افزایش رضایت مشتری را بررسی کنید.")</f>
        <v>مفهوم استفاده از ربات‌های چت برای پشتیبانی خودکار مشتری برای ارائه پاسخ‌های فوری و افزایش رضایت مشتری را بررسی کنید.</v>
      </c>
      <c r="H1156" s="1"/>
      <c r="I1156" s="1"/>
      <c r="J1156" s="1"/>
      <c r="K1156" s="1"/>
      <c r="L1156" s="1"/>
      <c r="M1156" s="1"/>
      <c r="N1156" s="1"/>
      <c r="O1156" s="1"/>
      <c r="P1156" s="1"/>
      <c r="Q1156" s="1"/>
      <c r="R1156" s="1"/>
      <c r="S1156" s="1"/>
      <c r="T1156" s="1"/>
      <c r="U1156" s="1"/>
      <c r="V1156" s="1"/>
      <c r="W1156" s="1"/>
      <c r="X1156" s="1"/>
      <c r="Y1156" s="1"/>
      <c r="Z1156" s="1"/>
      <c r="AA1156" s="1"/>
      <c r="AB1156" s="1"/>
    </row>
    <row r="1157" ht="50.25" customHeight="1">
      <c r="A1157" s="12">
        <v>1153.0</v>
      </c>
      <c r="B1157" s="13" t="s">
        <v>1004</v>
      </c>
      <c r="C1157" s="14" t="s">
        <v>1163</v>
      </c>
      <c r="D1157" s="1"/>
      <c r="E1157" s="15"/>
      <c r="F1157" s="1" t="str">
        <f>IFERROR(__xludf.DUMMYFUNCTION("GOOGLETRANSLATE(B1157, ""en"", ""fa"")
"),"تجارت الکترونیک و فروش آنلاین")</f>
        <v>تجارت الکترونیک و فروش آنلاین</v>
      </c>
      <c r="G1157" s="1" t="str">
        <f>IFERROR(__xludf.DUMMYFUNCTION("GOOGLETRANSLATE(C1157, ""en"", ""fa"")
"),"درباره نقش پیاده‌سازی عناصر اثبات اجتماعی، مانند تعداد اشتراک‌گذاری رسانه‌های اجتماعی یا توصیفات مشتری، برای ایجاد اعتبار و افزایش فروش بحث کنید.")</f>
        <v>درباره نقش پیاده‌سازی عناصر اثبات اجتماعی، مانند تعداد اشتراک‌گذاری رسانه‌های اجتماعی یا توصیفات مشتری، برای ایجاد اعتبار و افزایش فروش بحث کنید.</v>
      </c>
      <c r="H1157" s="1"/>
      <c r="I1157" s="1"/>
      <c r="J1157" s="1"/>
      <c r="K1157" s="1"/>
      <c r="L1157" s="1"/>
      <c r="M1157" s="1"/>
      <c r="N1157" s="1"/>
      <c r="O1157" s="1"/>
      <c r="P1157" s="1"/>
      <c r="Q1157" s="1"/>
      <c r="R1157" s="1"/>
      <c r="S1157" s="1"/>
      <c r="T1157" s="1"/>
      <c r="U1157" s="1"/>
      <c r="V1157" s="1"/>
      <c r="W1157" s="1"/>
      <c r="X1157" s="1"/>
      <c r="Y1157" s="1"/>
      <c r="Z1157" s="1"/>
      <c r="AA1157" s="1"/>
      <c r="AB1157" s="1"/>
    </row>
    <row r="1158" ht="50.25" customHeight="1">
      <c r="A1158" s="12">
        <v>1154.0</v>
      </c>
      <c r="B1158" s="13" t="s">
        <v>1004</v>
      </c>
      <c r="C1158" s="14" t="s">
        <v>1164</v>
      </c>
      <c r="D1158" s="1"/>
      <c r="E1158" s="15"/>
      <c r="F1158" s="1" t="str">
        <f>IFERROR(__xludf.DUMMYFUNCTION("GOOGLETRANSLATE(B1158, ""en"", ""fa"")
"),"تجارت الکترونیک و فروش آنلاین")</f>
        <v>تجارت الکترونیک و فروش آنلاین</v>
      </c>
      <c r="G1158" s="1" t="str">
        <f>IFERROR(__xludf.DUMMYFUNCTION("GOOGLETRANSLATE(C1158, ""en"", ""fa"")
"),"نکاتی را برای بهینه سازی توضیحات محصول با کلمات کلیدی SEO برای بهبود رتبه بندی موتورهای جستجو و جذب ترافیک ارگانیک به اشتراک بگذارید.")</f>
        <v>نکاتی را برای بهینه سازی توضیحات محصول با کلمات کلیدی SEO برای بهبود رتبه بندی موتورهای جستجو و جذب ترافیک ارگانیک به اشتراک بگذارید.</v>
      </c>
      <c r="H1158" s="1"/>
      <c r="I1158" s="1"/>
      <c r="J1158" s="1"/>
      <c r="K1158" s="1"/>
      <c r="L1158" s="1"/>
      <c r="M1158" s="1"/>
      <c r="N1158" s="1"/>
      <c r="O1158" s="1"/>
      <c r="P1158" s="1"/>
      <c r="Q1158" s="1"/>
      <c r="R1158" s="1"/>
      <c r="S1158" s="1"/>
      <c r="T1158" s="1"/>
      <c r="U1158" s="1"/>
      <c r="V1158" s="1"/>
      <c r="W1158" s="1"/>
      <c r="X1158" s="1"/>
      <c r="Y1158" s="1"/>
      <c r="Z1158" s="1"/>
      <c r="AA1158" s="1"/>
      <c r="AB1158" s="1"/>
    </row>
    <row r="1159" ht="50.25" customHeight="1">
      <c r="A1159" s="12">
        <v>1155.0</v>
      </c>
      <c r="B1159" s="13" t="s">
        <v>1004</v>
      </c>
      <c r="C1159" s="14" t="s">
        <v>1165</v>
      </c>
      <c r="D1159" s="1"/>
      <c r="E1159" s="15"/>
      <c r="F1159" s="1" t="str">
        <f>IFERROR(__xludf.DUMMYFUNCTION("GOOGLETRANSLATE(B1159, ""en"", ""fa"")
"),"تجارت الکترونیک و فروش آنلاین")</f>
        <v>تجارت الکترونیک و فروش آنلاین</v>
      </c>
      <c r="G1159" s="1" t="str">
        <f>IFERROR(__xludf.DUMMYFUNCTION("GOOGLETRANSLATE(C1159, ""en"", ""fa"")
"),"مزایای ارائه محتوای دانلودی رایگان، مانند کتاب‌های الکترونیکی یا راهنماها، برای جذب سرنخ‌ها و ایجاد فهرست مشترکان ایمیل را بررسی کنید.")</f>
        <v>مزایای ارائه محتوای دانلودی رایگان، مانند کتاب‌های الکترونیکی یا راهنماها، برای جذب سرنخ‌ها و ایجاد فهرست مشترکان ایمیل را بررسی کنید.</v>
      </c>
      <c r="H1159" s="1"/>
      <c r="I1159" s="1"/>
      <c r="J1159" s="1"/>
      <c r="K1159" s="1"/>
      <c r="L1159" s="1"/>
      <c r="M1159" s="1"/>
      <c r="N1159" s="1"/>
      <c r="O1159" s="1"/>
      <c r="P1159" s="1"/>
      <c r="Q1159" s="1"/>
      <c r="R1159" s="1"/>
      <c r="S1159" s="1"/>
      <c r="T1159" s="1"/>
      <c r="U1159" s="1"/>
      <c r="V1159" s="1"/>
      <c r="W1159" s="1"/>
      <c r="X1159" s="1"/>
      <c r="Y1159" s="1"/>
      <c r="Z1159" s="1"/>
      <c r="AA1159" s="1"/>
      <c r="AB1159" s="1"/>
    </row>
    <row r="1160" ht="50.25" customHeight="1">
      <c r="A1160" s="12">
        <v>1156.0</v>
      </c>
      <c r="B1160" s="13" t="s">
        <v>1004</v>
      </c>
      <c r="C1160" s="14" t="s">
        <v>1166</v>
      </c>
      <c r="D1160" s="1"/>
      <c r="E1160" s="15"/>
      <c r="F1160" s="1" t="str">
        <f>IFERROR(__xludf.DUMMYFUNCTION("GOOGLETRANSLATE(B1160, ""en"", ""fa"")
"),"تجارت الکترونیک و فروش آنلاین")</f>
        <v>تجارت الکترونیک و فروش آنلاین</v>
      </c>
      <c r="G1160" s="1" t="str">
        <f>IFERROR(__xludf.DUMMYFUNCTION("GOOGLETRANSLATE(C1160, ""en"", ""fa"")
"),"درباره تأثیر اجرای توصیه‌های فروش متقابل و فروش متقابل شخصی برای افزایش میانگین ارزش سفارش و رضایت مشتری بحث کنید.")</f>
        <v>درباره تأثیر اجرای توصیه‌های فروش متقابل و فروش متقابل شخصی برای افزایش میانگین ارزش سفارش و رضایت مشتری بحث کنید.</v>
      </c>
      <c r="H1160" s="1"/>
      <c r="I1160" s="1"/>
      <c r="J1160" s="1"/>
      <c r="K1160" s="1"/>
      <c r="L1160" s="1"/>
      <c r="M1160" s="1"/>
      <c r="N1160" s="1"/>
      <c r="O1160" s="1"/>
      <c r="P1160" s="1"/>
      <c r="Q1160" s="1"/>
      <c r="R1160" s="1"/>
      <c r="S1160" s="1"/>
      <c r="T1160" s="1"/>
      <c r="U1160" s="1"/>
      <c r="V1160" s="1"/>
      <c r="W1160" s="1"/>
      <c r="X1160" s="1"/>
      <c r="Y1160" s="1"/>
      <c r="Z1160" s="1"/>
      <c r="AA1160" s="1"/>
      <c r="AB1160" s="1"/>
    </row>
    <row r="1161" ht="50.25" customHeight="1">
      <c r="A1161" s="12">
        <v>1157.0</v>
      </c>
      <c r="B1161" s="13" t="s">
        <v>1004</v>
      </c>
      <c r="C1161" s="14" t="s">
        <v>1167</v>
      </c>
      <c r="D1161" s="1"/>
      <c r="E1161" s="15"/>
      <c r="F1161" s="1" t="str">
        <f>IFERROR(__xludf.DUMMYFUNCTION("GOOGLETRANSLATE(B1161, ""en"", ""fa"")
"),"تجارت الکترونیک و فروش آنلاین")</f>
        <v>تجارت الکترونیک و فروش آنلاین</v>
      </c>
      <c r="G1161" s="1" t="str">
        <f>IFERROR(__xludf.DUMMYFUNCTION("GOOGLETRANSLATE(C1161, ""en"", ""fa"")
"),"استراتژی‌های بهینه‌سازی قیمت‌گذاری محصول را به اشتراک بگذارید تا رقابتی بماند و در عین حال سودآوری حفظ شود.")</f>
        <v>استراتژی‌های بهینه‌سازی قیمت‌گذاری محصول را به اشتراک بگذارید تا رقابتی بماند و در عین حال سودآوری حفظ شود.</v>
      </c>
      <c r="H1161" s="1"/>
      <c r="I1161" s="1"/>
      <c r="J1161" s="1"/>
      <c r="K1161" s="1"/>
      <c r="L1161" s="1"/>
      <c r="M1161" s="1"/>
      <c r="N1161" s="1"/>
      <c r="O1161" s="1"/>
      <c r="P1161" s="1"/>
      <c r="Q1161" s="1"/>
      <c r="R1161" s="1"/>
      <c r="S1161" s="1"/>
      <c r="T1161" s="1"/>
      <c r="U1161" s="1"/>
      <c r="V1161" s="1"/>
      <c r="W1161" s="1"/>
      <c r="X1161" s="1"/>
      <c r="Y1161" s="1"/>
      <c r="Z1161" s="1"/>
      <c r="AA1161" s="1"/>
      <c r="AB1161" s="1"/>
    </row>
    <row r="1162" ht="50.25" customHeight="1">
      <c r="A1162" s="12">
        <v>1158.0</v>
      </c>
      <c r="B1162" s="13" t="s">
        <v>1004</v>
      </c>
      <c r="C1162" s="14" t="s">
        <v>1168</v>
      </c>
      <c r="D1162" s="1"/>
      <c r="E1162" s="15"/>
      <c r="F1162" s="1" t="str">
        <f>IFERROR(__xludf.DUMMYFUNCTION("GOOGLETRANSLATE(B1162, ""en"", ""fa"")
"),"تجارت الکترونیک و فروش آنلاین")</f>
        <v>تجارت الکترونیک و فروش آنلاین</v>
      </c>
      <c r="G1162" s="1" t="str">
        <f>IFERROR(__xludf.DUMMYFUNCTION("GOOGLETRANSLATE(C1162, ""en"", ""fa"")
"),"مفهوم استفاده از تقسیم بندی مشتری برای ارائه کمپین های بازاریابی ایمیلی هدفمند بر اساس ترجیحات و رفتار مشتری را بررسی کنید.")</f>
        <v>مفهوم استفاده از تقسیم بندی مشتری برای ارائه کمپین های بازاریابی ایمیلی هدفمند بر اساس ترجیحات و رفتار مشتری را بررسی کنید.</v>
      </c>
      <c r="H1162" s="1"/>
      <c r="I1162" s="1"/>
      <c r="J1162" s="1"/>
      <c r="K1162" s="1"/>
      <c r="L1162" s="1"/>
      <c r="M1162" s="1"/>
      <c r="N1162" s="1"/>
      <c r="O1162" s="1"/>
      <c r="P1162" s="1"/>
      <c r="Q1162" s="1"/>
      <c r="R1162" s="1"/>
      <c r="S1162" s="1"/>
      <c r="T1162" s="1"/>
      <c r="U1162" s="1"/>
      <c r="V1162" s="1"/>
      <c r="W1162" s="1"/>
      <c r="X1162" s="1"/>
      <c r="Y1162" s="1"/>
      <c r="Z1162" s="1"/>
      <c r="AA1162" s="1"/>
      <c r="AB1162" s="1"/>
    </row>
    <row r="1163" ht="50.25" customHeight="1">
      <c r="A1163" s="12">
        <v>1159.0</v>
      </c>
      <c r="B1163" s="13" t="s">
        <v>1004</v>
      </c>
      <c r="C1163" s="14" t="s">
        <v>1169</v>
      </c>
      <c r="D1163" s="1"/>
      <c r="E1163" s="15"/>
      <c r="F1163" s="1" t="str">
        <f>IFERROR(__xludf.DUMMYFUNCTION("GOOGLETRANSLATE(B1163, ""en"", ""fa"")
"),"تجارت الکترونیک و فروش آنلاین")</f>
        <v>تجارت الکترونیک و فروش آنلاین</v>
      </c>
      <c r="G1163" s="1" t="str">
        <f>IFERROR(__xludf.DUMMYFUNCTION("GOOGLETRANSLATE(C1163, ""en"", ""fa"")
"),"در مورد نقش اجرای مسابقات رسانه های اجتماعی یا هدایا برای ایجاد سر و صدا، افزایش آگاهی از برند و ایجاد تعامل بحث کنید.")</f>
        <v>در مورد نقش اجرای مسابقات رسانه های اجتماعی یا هدایا برای ایجاد سر و صدا، افزایش آگاهی از برند و ایجاد تعامل بحث کنید.</v>
      </c>
      <c r="H1163" s="1"/>
      <c r="I1163" s="1"/>
      <c r="J1163" s="1"/>
      <c r="K1163" s="1"/>
      <c r="L1163" s="1"/>
      <c r="M1163" s="1"/>
      <c r="N1163" s="1"/>
      <c r="O1163" s="1"/>
      <c r="P1163" s="1"/>
      <c r="Q1163" s="1"/>
      <c r="R1163" s="1"/>
      <c r="S1163" s="1"/>
      <c r="T1163" s="1"/>
      <c r="U1163" s="1"/>
      <c r="V1163" s="1"/>
      <c r="W1163" s="1"/>
      <c r="X1163" s="1"/>
      <c r="Y1163" s="1"/>
      <c r="Z1163" s="1"/>
      <c r="AA1163" s="1"/>
      <c r="AB1163" s="1"/>
    </row>
    <row r="1164" ht="50.25" customHeight="1">
      <c r="A1164" s="12">
        <v>1160.0</v>
      </c>
      <c r="B1164" s="13" t="s">
        <v>1004</v>
      </c>
      <c r="C1164" s="14" t="s">
        <v>1170</v>
      </c>
      <c r="D1164" s="1"/>
      <c r="E1164" s="15"/>
      <c r="F1164" s="1" t="str">
        <f>IFERROR(__xludf.DUMMYFUNCTION("GOOGLETRANSLATE(B1164, ""en"", ""fa"")
"),"تجارت الکترونیک و فروش آنلاین")</f>
        <v>تجارت الکترونیک و فروش آنلاین</v>
      </c>
      <c r="G1164" s="1" t="str">
        <f>IFERROR(__xludf.DUMMYFUNCTION("GOOGLETRANSLATE(C1164, ""en"", ""fa"")
"),"نکاتی را برای بهینه سازی زمان بارگذاری صفحه محصول برای کاهش نرخ پرش و بهبود تجربه کاربر به اشتراک بگذارید.")</f>
        <v>نکاتی را برای بهینه سازی زمان بارگذاری صفحه محصول برای کاهش نرخ پرش و بهبود تجربه کاربر به اشتراک بگذارید.</v>
      </c>
      <c r="H1164" s="1"/>
      <c r="I1164" s="1"/>
      <c r="J1164" s="1"/>
      <c r="K1164" s="1"/>
      <c r="L1164" s="1"/>
      <c r="M1164" s="1"/>
      <c r="N1164" s="1"/>
      <c r="O1164" s="1"/>
      <c r="P1164" s="1"/>
      <c r="Q1164" s="1"/>
      <c r="R1164" s="1"/>
      <c r="S1164" s="1"/>
      <c r="T1164" s="1"/>
      <c r="U1164" s="1"/>
      <c r="V1164" s="1"/>
      <c r="W1164" s="1"/>
      <c r="X1164" s="1"/>
      <c r="Y1164" s="1"/>
      <c r="Z1164" s="1"/>
      <c r="AA1164" s="1"/>
      <c r="AB1164" s="1"/>
    </row>
    <row r="1165" ht="50.25" customHeight="1">
      <c r="A1165" s="12">
        <v>1161.0</v>
      </c>
      <c r="B1165" s="13" t="s">
        <v>1004</v>
      </c>
      <c r="C1165" s="14" t="s">
        <v>1171</v>
      </c>
      <c r="D1165" s="1"/>
      <c r="E1165" s="15"/>
      <c r="F1165" s="1" t="str">
        <f>IFERROR(__xludf.DUMMYFUNCTION("GOOGLETRANSLATE(B1165, ""en"", ""fa"")
"),"تجارت الکترونیک و فروش آنلاین")</f>
        <v>تجارت الکترونیک و فروش آنلاین</v>
      </c>
      <c r="G1165" s="1" t="str">
        <f>IFERROR(__xludf.DUMMYFUNCTION("GOOGLETRANSLATE(C1165, ""en"", ""fa"")
"),"مزایای ارائه گارانتی یا ضمانت محصول را برای القای اعتماد مشتری و به حداقل رساندن تردید خریدار بررسی کنید.")</f>
        <v>مزایای ارائه گارانتی یا ضمانت محصول را برای القای اعتماد مشتری و به حداقل رساندن تردید خریدار بررسی کنید.</v>
      </c>
      <c r="H1165" s="1"/>
      <c r="I1165" s="1"/>
      <c r="J1165" s="1"/>
      <c r="K1165" s="1"/>
      <c r="L1165" s="1"/>
      <c r="M1165" s="1"/>
      <c r="N1165" s="1"/>
      <c r="O1165" s="1"/>
      <c r="P1165" s="1"/>
      <c r="Q1165" s="1"/>
      <c r="R1165" s="1"/>
      <c r="S1165" s="1"/>
      <c r="T1165" s="1"/>
      <c r="U1165" s="1"/>
      <c r="V1165" s="1"/>
      <c r="W1165" s="1"/>
      <c r="X1165" s="1"/>
      <c r="Y1165" s="1"/>
      <c r="Z1165" s="1"/>
      <c r="AA1165" s="1"/>
      <c r="AB1165" s="1"/>
    </row>
    <row r="1166" ht="50.25" customHeight="1">
      <c r="A1166" s="12">
        <v>1162.0</v>
      </c>
      <c r="B1166" s="13" t="s">
        <v>1004</v>
      </c>
      <c r="C1166" s="14" t="s">
        <v>1172</v>
      </c>
      <c r="D1166" s="1"/>
      <c r="E1166" s="15"/>
      <c r="F1166" s="1" t="str">
        <f>IFERROR(__xludf.DUMMYFUNCTION("GOOGLETRANSLATE(B1166, ""en"", ""fa"")
"),"تجارت الکترونیک و فروش آنلاین")</f>
        <v>تجارت الکترونیک و فروش آنلاین</v>
      </c>
      <c r="G1166" s="1" t="str">
        <f>IFERROR(__xludf.DUMMYFUNCTION("GOOGLETRANSLATE(C1166, ""en"", ""fa"")
"),"درباره تأثیر پیاده‌سازی منوهای ناوبری کاربرپسند و معماری بصری وب‌سایت برای بهبود تجربه مرور و خرید بحث کنید.")</f>
        <v>درباره تأثیر پیاده‌سازی منوهای ناوبری کاربرپسند و معماری بصری وب‌سایت برای بهبود تجربه مرور و خرید بحث کنید.</v>
      </c>
      <c r="H1166" s="1"/>
      <c r="I1166" s="1"/>
      <c r="J1166" s="1"/>
      <c r="K1166" s="1"/>
      <c r="L1166" s="1"/>
      <c r="M1166" s="1"/>
      <c r="N1166" s="1"/>
      <c r="O1166" s="1"/>
      <c r="P1166" s="1"/>
      <c r="Q1166" s="1"/>
      <c r="R1166" s="1"/>
      <c r="S1166" s="1"/>
      <c r="T1166" s="1"/>
      <c r="U1166" s="1"/>
      <c r="V1166" s="1"/>
      <c r="W1166" s="1"/>
      <c r="X1166" s="1"/>
      <c r="Y1166" s="1"/>
      <c r="Z1166" s="1"/>
      <c r="AA1166" s="1"/>
      <c r="AB1166" s="1"/>
    </row>
    <row r="1167" ht="50.25" customHeight="1">
      <c r="A1167" s="12">
        <v>1163.0</v>
      </c>
      <c r="B1167" s="13" t="s">
        <v>1004</v>
      </c>
      <c r="C1167" s="14" t="s">
        <v>1173</v>
      </c>
      <c r="D1167" s="1"/>
      <c r="E1167" s="15"/>
      <c r="F1167" s="1" t="str">
        <f>IFERROR(__xludf.DUMMYFUNCTION("GOOGLETRANSLATE(B1167, ""en"", ""fa"")
"),"تجارت الکترونیک و فروش آنلاین")</f>
        <v>تجارت الکترونیک و فروش آنلاین</v>
      </c>
      <c r="G1167" s="1" t="str">
        <f>IFERROR(__xludf.DUMMYFUNCTION("GOOGLETRANSLATE(C1167, ""en"", ""fa"")
"),"استراتژی‌هایی را برای اجرای توصیه‌های محصول شخصی‌شده بر اساس جمعیت‌شناسی و ترجیحات مشتری به اشتراک بگذارید.")</f>
        <v>استراتژی‌هایی را برای اجرای توصیه‌های محصول شخصی‌شده بر اساس جمعیت‌شناسی و ترجیحات مشتری به اشتراک بگذارید.</v>
      </c>
      <c r="H1167" s="1"/>
      <c r="I1167" s="1"/>
      <c r="J1167" s="1"/>
      <c r="K1167" s="1"/>
      <c r="L1167" s="1"/>
      <c r="M1167" s="1"/>
      <c r="N1167" s="1"/>
      <c r="O1167" s="1"/>
      <c r="P1167" s="1"/>
      <c r="Q1167" s="1"/>
      <c r="R1167" s="1"/>
      <c r="S1167" s="1"/>
      <c r="T1167" s="1"/>
      <c r="U1167" s="1"/>
      <c r="V1167" s="1"/>
      <c r="W1167" s="1"/>
      <c r="X1167" s="1"/>
      <c r="Y1167" s="1"/>
      <c r="Z1167" s="1"/>
      <c r="AA1167" s="1"/>
      <c r="AB1167" s="1"/>
    </row>
    <row r="1168" ht="50.25" customHeight="1">
      <c r="A1168" s="12">
        <v>1164.0</v>
      </c>
      <c r="B1168" s="13" t="s">
        <v>1004</v>
      </c>
      <c r="C1168" s="14" t="s">
        <v>1174</v>
      </c>
      <c r="D1168" s="1"/>
      <c r="E1168" s="15"/>
      <c r="F1168" s="1" t="str">
        <f>IFERROR(__xludf.DUMMYFUNCTION("GOOGLETRANSLATE(B1168, ""en"", ""fa"")
"),"تجارت الکترونیک و فروش آنلاین")</f>
        <v>تجارت الکترونیک و فروش آنلاین</v>
      </c>
      <c r="G1168" s="1" t="str">
        <f>IFERROR(__xludf.DUMMYFUNCTION("GOOGLETRANSLATE(C1168, ""en"", ""fa"")
"),"مفهوم استفاده از کمپین های اینفلوئنسر مارکتینگ برای تبلیغ محصولات و دستیابی به مخاطبان جدید را بررسی کنید.")</f>
        <v>مفهوم استفاده از کمپین های اینفلوئنسر مارکتینگ برای تبلیغ محصولات و دستیابی به مخاطبان جدید را بررسی کنید.</v>
      </c>
      <c r="H1168" s="1"/>
      <c r="I1168" s="1"/>
      <c r="J1168" s="1"/>
      <c r="K1168" s="1"/>
      <c r="L1168" s="1"/>
      <c r="M1168" s="1"/>
      <c r="N1168" s="1"/>
      <c r="O1168" s="1"/>
      <c r="P1168" s="1"/>
      <c r="Q1168" s="1"/>
      <c r="R1168" s="1"/>
      <c r="S1168" s="1"/>
      <c r="T1168" s="1"/>
      <c r="U1168" s="1"/>
      <c r="V1168" s="1"/>
      <c r="W1168" s="1"/>
      <c r="X1168" s="1"/>
      <c r="Y1168" s="1"/>
      <c r="Z1168" s="1"/>
      <c r="AA1168" s="1"/>
      <c r="AB1168" s="1"/>
    </row>
    <row r="1169" ht="50.25" customHeight="1">
      <c r="A1169" s="12">
        <v>1165.0</v>
      </c>
      <c r="B1169" s="13" t="s">
        <v>1004</v>
      </c>
      <c r="C1169" s="14" t="s">
        <v>1175</v>
      </c>
      <c r="D1169" s="1"/>
      <c r="E1169" s="15"/>
      <c r="F1169" s="1" t="str">
        <f>IFERROR(__xludf.DUMMYFUNCTION("GOOGLETRANSLATE(B1169, ""en"", ""fa"")
"),"تجارت الکترونیک و فروش آنلاین")</f>
        <v>تجارت الکترونیک و فروش آنلاین</v>
      </c>
      <c r="G1169" s="1" t="str">
        <f>IFERROR(__xludf.DUMMYFUNCTION("GOOGLETRANSLATE(C1169, ""en"", ""fa"")
"),"درباره نقش اجرای برنامه های وفاداری مشتری برای پاداش دادن به خریدهای تکراری و تقویت حفظ مشتری بحث کنید.")</f>
        <v>درباره نقش اجرای برنامه های وفاداری مشتری برای پاداش دادن به خریدهای تکراری و تقویت حفظ مشتری بحث کنید.</v>
      </c>
      <c r="H1169" s="1"/>
      <c r="I1169" s="1"/>
      <c r="J1169" s="1"/>
      <c r="K1169" s="1"/>
      <c r="L1169" s="1"/>
      <c r="M1169" s="1"/>
      <c r="N1169" s="1"/>
      <c r="O1169" s="1"/>
      <c r="P1169" s="1"/>
      <c r="Q1169" s="1"/>
      <c r="R1169" s="1"/>
      <c r="S1169" s="1"/>
      <c r="T1169" s="1"/>
      <c r="U1169" s="1"/>
      <c r="V1169" s="1"/>
      <c r="W1169" s="1"/>
      <c r="X1169" s="1"/>
      <c r="Y1169" s="1"/>
      <c r="Z1169" s="1"/>
      <c r="AA1169" s="1"/>
      <c r="AB1169" s="1"/>
    </row>
    <row r="1170" ht="50.25" customHeight="1">
      <c r="A1170" s="12">
        <v>1166.0</v>
      </c>
      <c r="B1170" s="13" t="s">
        <v>1004</v>
      </c>
      <c r="C1170" s="14" t="s">
        <v>1176</v>
      </c>
      <c r="D1170" s="1"/>
      <c r="E1170" s="15"/>
      <c r="F1170" s="1" t="str">
        <f>IFERROR(__xludf.DUMMYFUNCTION("GOOGLETRANSLATE(B1170, ""en"", ""fa"")
"),"تجارت الکترونیک و فروش آنلاین")</f>
        <v>تجارت الکترونیک و فروش آنلاین</v>
      </c>
      <c r="G1170" s="1" t="str">
        <f>IFERROR(__xludf.DUMMYFUNCTION("GOOGLETRANSLATE(C1170, ""en"", ""fa"")
"),"نکاتی را برای بهینه سازی تصاویر محصول برای جذابیت بصری، از جمله وضوح با کیفیت بالا و زوایای متعدد به اشتراک بگذارید.")</f>
        <v>نکاتی را برای بهینه سازی تصاویر محصول برای جذابیت بصری، از جمله وضوح با کیفیت بالا و زوایای متعدد به اشتراک بگذارید.</v>
      </c>
      <c r="H1170" s="1"/>
      <c r="I1170" s="1"/>
      <c r="J1170" s="1"/>
      <c r="K1170" s="1"/>
      <c r="L1170" s="1"/>
      <c r="M1170" s="1"/>
      <c r="N1170" s="1"/>
      <c r="O1170" s="1"/>
      <c r="P1170" s="1"/>
      <c r="Q1170" s="1"/>
      <c r="R1170" s="1"/>
      <c r="S1170" s="1"/>
      <c r="T1170" s="1"/>
      <c r="U1170" s="1"/>
      <c r="V1170" s="1"/>
      <c r="W1170" s="1"/>
      <c r="X1170" s="1"/>
      <c r="Y1170" s="1"/>
      <c r="Z1170" s="1"/>
      <c r="AA1170" s="1"/>
      <c r="AB1170" s="1"/>
    </row>
    <row r="1171" ht="50.25" customHeight="1">
      <c r="A1171" s="12">
        <v>1167.0</v>
      </c>
      <c r="B1171" s="13" t="s">
        <v>1004</v>
      </c>
      <c r="C1171" s="14" t="s">
        <v>1177</v>
      </c>
      <c r="D1171" s="1"/>
      <c r="E1171" s="15"/>
      <c r="F1171" s="1" t="str">
        <f>IFERROR(__xludf.DUMMYFUNCTION("GOOGLETRANSLATE(B1171, ""en"", ""fa"")
"),"تجارت الکترونیک و فروش آنلاین")</f>
        <v>تجارت الکترونیک و فروش آنلاین</v>
      </c>
      <c r="G1171" s="1" t="str">
        <f>IFERROR(__xludf.DUMMYFUNCTION("GOOGLETRANSLATE(C1171, ""en"", ""fa"")
"),"مزایای ارائه گزینه‌های پرداخت منعطف، مانند طرح‌های اقساطی یا خرید را اکنون بخرید، بعداً پرداخت کنید تا نیازهای مختلف مشتریان را برآورده کنید.")</f>
        <v>مزایای ارائه گزینه‌های پرداخت منعطف، مانند طرح‌های اقساطی یا خرید را اکنون بخرید، بعداً پرداخت کنید تا نیازهای مختلف مشتریان را برآورده کنید.</v>
      </c>
      <c r="H1171" s="1"/>
      <c r="I1171" s="1"/>
      <c r="J1171" s="1"/>
      <c r="K1171" s="1"/>
      <c r="L1171" s="1"/>
      <c r="M1171" s="1"/>
      <c r="N1171" s="1"/>
      <c r="O1171" s="1"/>
      <c r="P1171" s="1"/>
      <c r="Q1171" s="1"/>
      <c r="R1171" s="1"/>
      <c r="S1171" s="1"/>
      <c r="T1171" s="1"/>
      <c r="U1171" s="1"/>
      <c r="V1171" s="1"/>
      <c r="W1171" s="1"/>
      <c r="X1171" s="1"/>
      <c r="Y1171" s="1"/>
      <c r="Z1171" s="1"/>
      <c r="AA1171" s="1"/>
      <c r="AB1171" s="1"/>
    </row>
    <row r="1172" ht="50.25" customHeight="1">
      <c r="A1172" s="12">
        <v>1168.0</v>
      </c>
      <c r="B1172" s="13" t="s">
        <v>1004</v>
      </c>
      <c r="C1172" s="14" t="s">
        <v>1178</v>
      </c>
      <c r="D1172" s="1"/>
      <c r="E1172" s="15"/>
      <c r="F1172" s="1" t="str">
        <f>IFERROR(__xludf.DUMMYFUNCTION("GOOGLETRANSLATE(B1172, ""en"", ""fa"")
"),"تجارت الکترونیک و فروش آنلاین")</f>
        <v>تجارت الکترونیک و فروش آنلاین</v>
      </c>
      <c r="G1172" s="1" t="str">
        <f>IFERROR(__xludf.DUMMYFUNCTION("GOOGLETRANSLATE(C1172, ""en"", ""fa"")
"),"در مورد تأثیر اجرای یک فرآیند پرداخت یکپارچه و ایمن برای به حداقل رساندن رها شدن سبد خرید و بهبود نرخ تبدیل بحث کنید.")</f>
        <v>در مورد تأثیر اجرای یک فرآیند پرداخت یکپارچه و ایمن برای به حداقل رساندن رها شدن سبد خرید و بهبود نرخ تبدیل بحث کنید.</v>
      </c>
      <c r="H1172" s="1"/>
      <c r="I1172" s="1"/>
      <c r="J1172" s="1"/>
      <c r="K1172" s="1"/>
      <c r="L1172" s="1"/>
      <c r="M1172" s="1"/>
      <c r="N1172" s="1"/>
      <c r="O1172" s="1"/>
      <c r="P1172" s="1"/>
      <c r="Q1172" s="1"/>
      <c r="R1172" s="1"/>
      <c r="S1172" s="1"/>
      <c r="T1172" s="1"/>
      <c r="U1172" s="1"/>
      <c r="V1172" s="1"/>
      <c r="W1172" s="1"/>
      <c r="X1172" s="1"/>
      <c r="Y1172" s="1"/>
      <c r="Z1172" s="1"/>
      <c r="AA1172" s="1"/>
      <c r="AB1172" s="1"/>
    </row>
    <row r="1173" ht="50.25" customHeight="1">
      <c r="A1173" s="12">
        <v>1169.0</v>
      </c>
      <c r="B1173" s="13" t="s">
        <v>1004</v>
      </c>
      <c r="C1173" s="14" t="s">
        <v>1179</v>
      </c>
      <c r="D1173" s="1"/>
      <c r="E1173" s="15"/>
      <c r="F1173" s="1" t="str">
        <f>IFERROR(__xludf.DUMMYFUNCTION("GOOGLETRANSLATE(B1173, ""en"", ""fa"")
"),"تجارت الکترونیک و فروش آنلاین")</f>
        <v>تجارت الکترونیک و فروش آنلاین</v>
      </c>
      <c r="G1173" s="1" t="str">
        <f>IFERROR(__xludf.DUMMYFUNCTION("GOOGLETRANSLATE(C1173, ""en"", ""fa"")
"),"استراتژی های بهینه سازی بسته بندی محصول را به اشتراک بگذارید تا تجربه ای به یاد ماندنی از جعبه گشایی ایجاد کنید و درک برند را افزایش دهید.")</f>
        <v>استراتژی های بهینه سازی بسته بندی محصول را به اشتراک بگذارید تا تجربه ای به یاد ماندنی از جعبه گشایی ایجاد کنید و درک برند را افزایش دهید.</v>
      </c>
      <c r="H1173" s="1"/>
      <c r="I1173" s="1"/>
      <c r="J1173" s="1"/>
      <c r="K1173" s="1"/>
      <c r="L1173" s="1"/>
      <c r="M1173" s="1"/>
      <c r="N1173" s="1"/>
      <c r="O1173" s="1"/>
      <c r="P1173" s="1"/>
      <c r="Q1173" s="1"/>
      <c r="R1173" s="1"/>
      <c r="S1173" s="1"/>
      <c r="T1173" s="1"/>
      <c r="U1173" s="1"/>
      <c r="V1173" s="1"/>
      <c r="W1173" s="1"/>
      <c r="X1173" s="1"/>
      <c r="Y1173" s="1"/>
      <c r="Z1173" s="1"/>
      <c r="AA1173" s="1"/>
      <c r="AB1173" s="1"/>
    </row>
    <row r="1174" ht="50.25" customHeight="1">
      <c r="A1174" s="12">
        <v>1170.0</v>
      </c>
      <c r="B1174" s="13" t="s">
        <v>1004</v>
      </c>
      <c r="C1174" s="14" t="s">
        <v>1180</v>
      </c>
      <c r="D1174" s="1"/>
      <c r="E1174" s="15"/>
      <c r="F1174" s="1" t="str">
        <f>IFERROR(__xludf.DUMMYFUNCTION("GOOGLETRANSLATE(B1174, ""en"", ""fa"")
"),"تجارت الکترونیک و فروش آنلاین")</f>
        <v>تجارت الکترونیک و فروش آنلاین</v>
      </c>
      <c r="G1174" s="1" t="str">
        <f>IFERROR(__xludf.DUMMYFUNCTION("GOOGLETRANSLATE(C1174, ""en"", ""fa"")
"),"مفهوم استفاده از توصیه‌های محصول شخصی‌سازی‌شده را بر اساس تاریخچه مرور مشتری و اولویت‌ها بررسی کنید.")</f>
        <v>مفهوم استفاده از توصیه‌های محصول شخصی‌سازی‌شده را بر اساس تاریخچه مرور مشتری و اولویت‌ها بررسی کنید.</v>
      </c>
      <c r="H1174" s="1"/>
      <c r="I1174" s="1"/>
      <c r="J1174" s="1"/>
      <c r="K1174" s="1"/>
      <c r="L1174" s="1"/>
      <c r="M1174" s="1"/>
      <c r="N1174" s="1"/>
      <c r="O1174" s="1"/>
      <c r="P1174" s="1"/>
      <c r="Q1174" s="1"/>
      <c r="R1174" s="1"/>
      <c r="S1174" s="1"/>
      <c r="T1174" s="1"/>
      <c r="U1174" s="1"/>
      <c r="V1174" s="1"/>
      <c r="W1174" s="1"/>
      <c r="X1174" s="1"/>
      <c r="Y1174" s="1"/>
      <c r="Z1174" s="1"/>
      <c r="AA1174" s="1"/>
      <c r="AB1174" s="1"/>
    </row>
    <row r="1175" ht="50.25" customHeight="1">
      <c r="A1175" s="12">
        <v>1171.0</v>
      </c>
      <c r="B1175" s="13" t="s">
        <v>1004</v>
      </c>
      <c r="C1175" s="14" t="s">
        <v>1181</v>
      </c>
      <c r="D1175" s="1"/>
      <c r="E1175" s="15"/>
      <c r="F1175" s="1" t="str">
        <f>IFERROR(__xludf.DUMMYFUNCTION("GOOGLETRANSLATE(B1175, ""en"", ""fa"")
"),"تجارت الکترونیک و فروش آنلاین")</f>
        <v>تجارت الکترونیک و فروش آنلاین</v>
      </c>
      <c r="G1175" s="1" t="str">
        <f>IFERROR(__xludf.DUMMYFUNCTION("GOOGLETRANSLATE(C1175, ""en"", ""fa"")
"),"درباره نقش اجرای گوش دادن به رسانه های اجتماعی برای نظارت بر بازخورد، احساسات و روندهای مشتری برای شناسایی فرصت های بهبود بحث کنید.")</f>
        <v>درباره نقش اجرای گوش دادن به رسانه های اجتماعی برای نظارت بر بازخورد، احساسات و روندهای مشتری برای شناسایی فرصت های بهبود بحث کنید.</v>
      </c>
      <c r="H1175" s="1"/>
      <c r="I1175" s="1"/>
      <c r="J1175" s="1"/>
      <c r="K1175" s="1"/>
      <c r="L1175" s="1"/>
      <c r="M1175" s="1"/>
      <c r="N1175" s="1"/>
      <c r="O1175" s="1"/>
      <c r="P1175" s="1"/>
      <c r="Q1175" s="1"/>
      <c r="R1175" s="1"/>
      <c r="S1175" s="1"/>
      <c r="T1175" s="1"/>
      <c r="U1175" s="1"/>
      <c r="V1175" s="1"/>
      <c r="W1175" s="1"/>
      <c r="X1175" s="1"/>
      <c r="Y1175" s="1"/>
      <c r="Z1175" s="1"/>
      <c r="AA1175" s="1"/>
      <c r="AB1175" s="1"/>
    </row>
    <row r="1176" ht="50.25" customHeight="1">
      <c r="A1176" s="12">
        <v>1172.0</v>
      </c>
      <c r="B1176" s="13" t="s">
        <v>1004</v>
      </c>
      <c r="C1176" s="14" t="s">
        <v>1182</v>
      </c>
      <c r="D1176" s="1"/>
      <c r="E1176" s="15"/>
      <c r="F1176" s="1" t="str">
        <f>IFERROR(__xludf.DUMMYFUNCTION("GOOGLETRANSLATE(B1176, ""en"", ""fa"")
"),"تجارت الکترونیک و فروش آنلاین")</f>
        <v>تجارت الکترونیک و فروش آنلاین</v>
      </c>
      <c r="G1176" s="1" t="str">
        <f>IFERROR(__xludf.DUMMYFUNCTION("GOOGLETRANSLATE(C1176, ""en"", ""fa"")
"),"نکاتی را برای بهینه سازی بررسی ها و رتبه بندی محصول برای ایجاد اعتماد و اعتبار در بین مشتریان بالقوه به اشتراک بگذارید.")</f>
        <v>نکاتی را برای بهینه سازی بررسی ها و رتبه بندی محصول برای ایجاد اعتماد و اعتبار در بین مشتریان بالقوه به اشتراک بگذارید.</v>
      </c>
      <c r="H1176" s="1"/>
      <c r="I1176" s="1"/>
      <c r="J1176" s="1"/>
      <c r="K1176" s="1"/>
      <c r="L1176" s="1"/>
      <c r="M1176" s="1"/>
      <c r="N1176" s="1"/>
      <c r="O1176" s="1"/>
      <c r="P1176" s="1"/>
      <c r="Q1176" s="1"/>
      <c r="R1176" s="1"/>
      <c r="S1176" s="1"/>
      <c r="T1176" s="1"/>
      <c r="U1176" s="1"/>
      <c r="V1176" s="1"/>
      <c r="W1176" s="1"/>
      <c r="X1176" s="1"/>
      <c r="Y1176" s="1"/>
      <c r="Z1176" s="1"/>
      <c r="AA1176" s="1"/>
      <c r="AB1176" s="1"/>
    </row>
    <row r="1177" ht="50.25" customHeight="1">
      <c r="A1177" s="12">
        <v>1173.0</v>
      </c>
      <c r="B1177" s="13" t="s">
        <v>1004</v>
      </c>
      <c r="C1177" s="14" t="s">
        <v>1183</v>
      </c>
      <c r="D1177" s="1"/>
      <c r="E1177" s="15"/>
      <c r="F1177" s="1" t="str">
        <f>IFERROR(__xludf.DUMMYFUNCTION("GOOGLETRANSLATE(B1177, ""en"", ""fa"")
"),"تجارت الکترونیک و فروش آنلاین")</f>
        <v>تجارت الکترونیک و فروش آنلاین</v>
      </c>
      <c r="G1177" s="1" t="str">
        <f>IFERROR(__xludf.DUMMYFUNCTION("GOOGLETRANSLATE(C1177, ""en"", ""fa"")
"),"مزایای ارائه تبلیغات با زمان محدود یا فروش فلش را برای ایجاد حس فوریت و خریدهای فوری کاوش کنید.")</f>
        <v>مزایای ارائه تبلیغات با زمان محدود یا فروش فلش را برای ایجاد حس فوریت و خریدهای فوری کاوش کنید.</v>
      </c>
      <c r="H1177" s="1"/>
      <c r="I1177" s="1"/>
      <c r="J1177" s="1"/>
      <c r="K1177" s="1"/>
      <c r="L1177" s="1"/>
      <c r="M1177" s="1"/>
      <c r="N1177" s="1"/>
      <c r="O1177" s="1"/>
      <c r="P1177" s="1"/>
      <c r="Q1177" s="1"/>
      <c r="R1177" s="1"/>
      <c r="S1177" s="1"/>
      <c r="T1177" s="1"/>
      <c r="U1177" s="1"/>
      <c r="V1177" s="1"/>
      <c r="W1177" s="1"/>
      <c r="X1177" s="1"/>
      <c r="Y1177" s="1"/>
      <c r="Z1177" s="1"/>
      <c r="AA1177" s="1"/>
      <c r="AB1177" s="1"/>
    </row>
    <row r="1178" ht="50.25" customHeight="1">
      <c r="A1178" s="12">
        <v>1174.0</v>
      </c>
      <c r="B1178" s="13" t="s">
        <v>1004</v>
      </c>
      <c r="C1178" s="14" t="s">
        <v>1184</v>
      </c>
      <c r="D1178" s="1"/>
      <c r="E1178" s="15"/>
      <c r="F1178" s="1" t="str">
        <f>IFERROR(__xludf.DUMMYFUNCTION("GOOGLETRANSLATE(B1178, ""en"", ""fa"")
"),"تجارت الکترونیک و فروش آنلاین")</f>
        <v>تجارت الکترونیک و فروش آنلاین</v>
      </c>
      <c r="G1178" s="1" t="str">
        <f>IFERROR(__xludf.DUMMYFUNCTION("GOOGLETRANSLATE(C1178, ""en"", ""fa"")
"),"درباره تأثیر اجرای نظرسنجی های بازخورد مشتری برای جمع آوری بینش و بهبود تجربه کلی مشتری بحث کنید.")</f>
        <v>درباره تأثیر اجرای نظرسنجی های بازخورد مشتری برای جمع آوری بینش و بهبود تجربه کلی مشتری بحث کنید.</v>
      </c>
      <c r="H1178" s="1"/>
      <c r="I1178" s="1"/>
      <c r="J1178" s="1"/>
      <c r="K1178" s="1"/>
      <c r="L1178" s="1"/>
      <c r="M1178" s="1"/>
      <c r="N1178" s="1"/>
      <c r="O1178" s="1"/>
      <c r="P1178" s="1"/>
      <c r="Q1178" s="1"/>
      <c r="R1178" s="1"/>
      <c r="S1178" s="1"/>
      <c r="T1178" s="1"/>
      <c r="U1178" s="1"/>
      <c r="V1178" s="1"/>
      <c r="W1178" s="1"/>
      <c r="X1178" s="1"/>
      <c r="Y1178" s="1"/>
      <c r="Z1178" s="1"/>
      <c r="AA1178" s="1"/>
      <c r="AB1178" s="1"/>
    </row>
    <row r="1179" ht="50.25" customHeight="1">
      <c r="A1179" s="12">
        <v>1175.0</v>
      </c>
      <c r="B1179" s="13" t="s">
        <v>1004</v>
      </c>
      <c r="C1179" s="14" t="s">
        <v>1185</v>
      </c>
      <c r="D1179" s="1"/>
      <c r="E1179" s="15"/>
      <c r="F1179" s="1" t="str">
        <f>IFERROR(__xludf.DUMMYFUNCTION("GOOGLETRANSLATE(B1179, ""en"", ""fa"")
"),"تجارت الکترونیک و فروش آنلاین")</f>
        <v>تجارت الکترونیک و فروش آنلاین</v>
      </c>
      <c r="G1179" s="1" t="str">
        <f>IFERROR(__xludf.DUMMYFUNCTION("GOOGLETRANSLATE(C1179, ""en"", ""fa"")
"),"استراتژی‌های بهینه‌سازی دسته‌بندی محصول و گزینه‌های فیلتر را برای تسهیل ناوبری و کشف محصول به اشتراک بگذارید.")</f>
        <v>استراتژی‌های بهینه‌سازی دسته‌بندی محصول و گزینه‌های فیلتر را برای تسهیل ناوبری و کشف محصول به اشتراک بگذارید.</v>
      </c>
      <c r="H1179" s="1"/>
      <c r="I1179" s="1"/>
      <c r="J1179" s="1"/>
      <c r="K1179" s="1"/>
      <c r="L1179" s="1"/>
      <c r="M1179" s="1"/>
      <c r="N1179" s="1"/>
      <c r="O1179" s="1"/>
      <c r="P1179" s="1"/>
      <c r="Q1179" s="1"/>
      <c r="R1179" s="1"/>
      <c r="S1179" s="1"/>
      <c r="T1179" s="1"/>
      <c r="U1179" s="1"/>
      <c r="V1179" s="1"/>
      <c r="W1179" s="1"/>
      <c r="X1179" s="1"/>
      <c r="Y1179" s="1"/>
      <c r="Z1179" s="1"/>
      <c r="AA1179" s="1"/>
      <c r="AB1179" s="1"/>
    </row>
    <row r="1180" ht="50.25" customHeight="1">
      <c r="A1180" s="12">
        <v>1176.0</v>
      </c>
      <c r="B1180" s="13" t="s">
        <v>1004</v>
      </c>
      <c r="C1180" s="14" t="s">
        <v>1186</v>
      </c>
      <c r="D1180" s="1"/>
      <c r="E1180" s="15"/>
      <c r="F1180" s="1" t="str">
        <f>IFERROR(__xludf.DUMMYFUNCTION("GOOGLETRANSLATE(B1180, ""en"", ""fa"")
"),"تجارت الکترونیک و فروش آنلاین")</f>
        <v>تجارت الکترونیک و فروش آنلاین</v>
      </c>
      <c r="G1180" s="1" t="str">
        <f>IFERROR(__xludf.DUMMYFUNCTION("GOOGLETRANSLATE(C1180, ""en"", ""fa"")
"),"مفهوم استفاده از اتوماسیون ایمیل برای ارائه توصیه های محصول شخصی و پیام های بعدی بر اساس اقدامات مشتری را بررسی کنید.")</f>
        <v>مفهوم استفاده از اتوماسیون ایمیل برای ارائه توصیه های محصول شخصی و پیام های بعدی بر اساس اقدامات مشتری را بررسی کنید.</v>
      </c>
      <c r="H1180" s="1"/>
      <c r="I1180" s="1"/>
      <c r="J1180" s="1"/>
      <c r="K1180" s="1"/>
      <c r="L1180" s="1"/>
      <c r="M1180" s="1"/>
      <c r="N1180" s="1"/>
      <c r="O1180" s="1"/>
      <c r="P1180" s="1"/>
      <c r="Q1180" s="1"/>
      <c r="R1180" s="1"/>
      <c r="S1180" s="1"/>
      <c r="T1180" s="1"/>
      <c r="U1180" s="1"/>
      <c r="V1180" s="1"/>
      <c r="W1180" s="1"/>
      <c r="X1180" s="1"/>
      <c r="Y1180" s="1"/>
      <c r="Z1180" s="1"/>
      <c r="AA1180" s="1"/>
      <c r="AB1180" s="1"/>
    </row>
    <row r="1181" ht="50.25" customHeight="1">
      <c r="A1181" s="12">
        <v>1177.0</v>
      </c>
      <c r="B1181" s="13" t="s">
        <v>1004</v>
      </c>
      <c r="C1181" s="14" t="s">
        <v>1187</v>
      </c>
      <c r="D1181" s="1"/>
      <c r="E1181" s="15"/>
      <c r="F1181" s="1" t="str">
        <f>IFERROR(__xludf.DUMMYFUNCTION("GOOGLETRANSLATE(B1181, ""en"", ""fa"")
"),"تجارت الکترونیک و فروش آنلاین")</f>
        <v>تجارت الکترونیک و فروش آنلاین</v>
      </c>
      <c r="G1181" s="1" t="str">
        <f>IFERROR(__xludf.DUMMYFUNCTION("GOOGLETRANSLATE(C1181, ""en"", ""fa"")
"),"در مورد نقش اجرای برنامه های ارجاع مشتری برای تشویق مشتریان فعلی برای ارجاع دوستان و خانواده به فروشگاه آنلاین بحث کنید.")</f>
        <v>در مورد نقش اجرای برنامه های ارجاع مشتری برای تشویق مشتریان فعلی برای ارجاع دوستان و خانواده به فروشگاه آنلاین بحث کنید.</v>
      </c>
      <c r="H1181" s="1"/>
      <c r="I1181" s="1"/>
      <c r="J1181" s="1"/>
      <c r="K1181" s="1"/>
      <c r="L1181" s="1"/>
      <c r="M1181" s="1"/>
      <c r="N1181" s="1"/>
      <c r="O1181" s="1"/>
      <c r="P1181" s="1"/>
      <c r="Q1181" s="1"/>
      <c r="R1181" s="1"/>
      <c r="S1181" s="1"/>
      <c r="T1181" s="1"/>
      <c r="U1181" s="1"/>
      <c r="V1181" s="1"/>
      <c r="W1181" s="1"/>
      <c r="X1181" s="1"/>
      <c r="Y1181" s="1"/>
      <c r="Z1181" s="1"/>
      <c r="AA1181" s="1"/>
      <c r="AB1181" s="1"/>
    </row>
    <row r="1182" ht="50.25" customHeight="1">
      <c r="A1182" s="12">
        <v>1178.0</v>
      </c>
      <c r="B1182" s="13" t="s">
        <v>1004</v>
      </c>
      <c r="C1182" s="14" t="s">
        <v>1188</v>
      </c>
      <c r="D1182" s="1"/>
      <c r="E1182" s="15"/>
      <c r="F1182" s="1" t="str">
        <f>IFERROR(__xludf.DUMMYFUNCTION("GOOGLETRANSLATE(B1182, ""en"", ""fa"")
"),"تجارت الکترونیک و فروش آنلاین")</f>
        <v>تجارت الکترونیک و فروش آنلاین</v>
      </c>
      <c r="G1182" s="1" t="str">
        <f>IFERROR(__xludf.DUMMYFUNCTION("GOOGLETRANSLATE(C1182, ""en"", ""fa"")
"),"نکاتی را برای بهینه سازی سئوی محصول با انجام تحقیقات کلمات کلیدی و گنجاندن کلمات کلیدی مرتبط در عنوان و توضیحات محصول به اشتراک بگذارید.")</f>
        <v>نکاتی را برای بهینه سازی سئوی محصول با انجام تحقیقات کلمات کلیدی و گنجاندن کلمات کلیدی مرتبط در عنوان و توضیحات محصول به اشتراک بگذارید.</v>
      </c>
      <c r="H1182" s="1"/>
      <c r="I1182" s="1"/>
      <c r="J1182" s="1"/>
      <c r="K1182" s="1"/>
      <c r="L1182" s="1"/>
      <c r="M1182" s="1"/>
      <c r="N1182" s="1"/>
      <c r="O1182" s="1"/>
      <c r="P1182" s="1"/>
      <c r="Q1182" s="1"/>
      <c r="R1182" s="1"/>
      <c r="S1182" s="1"/>
      <c r="T1182" s="1"/>
      <c r="U1182" s="1"/>
      <c r="V1182" s="1"/>
      <c r="W1182" s="1"/>
      <c r="X1182" s="1"/>
      <c r="Y1182" s="1"/>
      <c r="Z1182" s="1"/>
      <c r="AA1182" s="1"/>
      <c r="AB1182" s="1"/>
    </row>
    <row r="1183" ht="50.25" customHeight="1">
      <c r="A1183" s="12">
        <v>1179.0</v>
      </c>
      <c r="B1183" s="13" t="s">
        <v>1004</v>
      </c>
      <c r="C1183" s="14" t="s">
        <v>1189</v>
      </c>
      <c r="D1183" s="1"/>
      <c r="E1183" s="15"/>
      <c r="F1183" s="1" t="str">
        <f>IFERROR(__xludf.DUMMYFUNCTION("GOOGLETRANSLATE(B1183, ""en"", ""fa"")
"),"تجارت الکترونیک و فروش آنلاین")</f>
        <v>تجارت الکترونیک و فروش آنلاین</v>
      </c>
      <c r="G1183" s="1" t="str">
        <f>IFERROR(__xludf.DUMMYFUNCTION("GOOGLETRANSLATE(C1183, ""en"", ""fa"")
"),"مزایای ارائه حمل و نقل رایگان یا نرخ حمل و نقل با تخفیف را برای تشویق مشتریان به خرید کاوش کنید.")</f>
        <v>مزایای ارائه حمل و نقل رایگان یا نرخ حمل و نقل با تخفیف را برای تشویق مشتریان به خرید کاوش کنید.</v>
      </c>
      <c r="H1183" s="1"/>
      <c r="I1183" s="1"/>
      <c r="J1183" s="1"/>
      <c r="K1183" s="1"/>
      <c r="L1183" s="1"/>
      <c r="M1183" s="1"/>
      <c r="N1183" s="1"/>
      <c r="O1183" s="1"/>
      <c r="P1183" s="1"/>
      <c r="Q1183" s="1"/>
      <c r="R1183" s="1"/>
      <c r="S1183" s="1"/>
      <c r="T1183" s="1"/>
      <c r="U1183" s="1"/>
      <c r="V1183" s="1"/>
      <c r="W1183" s="1"/>
      <c r="X1183" s="1"/>
      <c r="Y1183" s="1"/>
      <c r="Z1183" s="1"/>
      <c r="AA1183" s="1"/>
      <c r="AB1183" s="1"/>
    </row>
    <row r="1184" ht="50.25" customHeight="1">
      <c r="A1184" s="12">
        <v>1180.0</v>
      </c>
      <c r="B1184" s="13" t="s">
        <v>1004</v>
      </c>
      <c r="C1184" s="14" t="s">
        <v>1190</v>
      </c>
      <c r="D1184" s="1"/>
      <c r="E1184" s="15"/>
      <c r="F1184" s="1" t="str">
        <f>IFERROR(__xludf.DUMMYFUNCTION("GOOGLETRANSLATE(B1184, ""en"", ""fa"")
"),"تجارت الکترونیک و فروش آنلاین")</f>
        <v>تجارت الکترونیک و فروش آنلاین</v>
      </c>
      <c r="G1184" s="1" t="str">
        <f>IFERROR(__xludf.DUMMYFUNCTION("GOOGLETRANSLATE(C1184, ""en"", ""fa"")
"),"درباره تأثیر پیاده‌سازی یک سیستم پاداش مبتنی بر وفاداری، مانند امتیازها یا سطوح، برای تشویق خریدهای تکراری و تقویت وفاداری مشتری بحث کنید.")</f>
        <v>درباره تأثیر پیاده‌سازی یک سیستم پاداش مبتنی بر وفاداری، مانند امتیازها یا سطوح، برای تشویق خریدهای تکراری و تقویت وفاداری مشتری بحث کنید.</v>
      </c>
      <c r="H1184" s="1"/>
      <c r="I1184" s="1"/>
      <c r="J1184" s="1"/>
      <c r="K1184" s="1"/>
      <c r="L1184" s="1"/>
      <c r="M1184" s="1"/>
      <c r="N1184" s="1"/>
      <c r="O1184" s="1"/>
      <c r="P1184" s="1"/>
      <c r="Q1184" s="1"/>
      <c r="R1184" s="1"/>
      <c r="S1184" s="1"/>
      <c r="T1184" s="1"/>
      <c r="U1184" s="1"/>
      <c r="V1184" s="1"/>
      <c r="W1184" s="1"/>
      <c r="X1184" s="1"/>
      <c r="Y1184" s="1"/>
      <c r="Z1184" s="1"/>
      <c r="AA1184" s="1"/>
      <c r="AB1184" s="1"/>
    </row>
    <row r="1185" ht="50.25" customHeight="1">
      <c r="A1185" s="12">
        <v>1181.0</v>
      </c>
      <c r="B1185" s="13" t="s">
        <v>1004</v>
      </c>
      <c r="C1185" s="14" t="s">
        <v>1191</v>
      </c>
      <c r="D1185" s="1"/>
      <c r="E1185" s="15"/>
      <c r="F1185" s="1" t="str">
        <f>IFERROR(__xludf.DUMMYFUNCTION("GOOGLETRANSLATE(B1185, ""en"", ""fa"")
"),"تجارت الکترونیک و فروش آنلاین")</f>
        <v>تجارت الکترونیک و فروش آنلاین</v>
      </c>
      <c r="G1185" s="1" t="str">
        <f>IFERROR(__xludf.DUMMYFUNCTION("GOOGLETRANSLATE(C1185, ""en"", ""fa"")
"),"استراتژی‌هایی را برای بهینه‌سازی طرح‌بندی صفحه محصول برای دستگاه‌های تلفن همراه به اشتراک بگذارید تا تجربه یکپارچه خرید تلفن همراه را ارائه دهید.")</f>
        <v>استراتژی‌هایی را برای بهینه‌سازی طرح‌بندی صفحه محصول برای دستگاه‌های تلفن همراه به اشتراک بگذارید تا تجربه یکپارچه خرید تلفن همراه را ارائه دهید.</v>
      </c>
      <c r="H1185" s="1"/>
      <c r="I1185" s="1"/>
      <c r="J1185" s="1"/>
      <c r="K1185" s="1"/>
      <c r="L1185" s="1"/>
      <c r="M1185" s="1"/>
      <c r="N1185" s="1"/>
      <c r="O1185" s="1"/>
      <c r="P1185" s="1"/>
      <c r="Q1185" s="1"/>
      <c r="R1185" s="1"/>
      <c r="S1185" s="1"/>
      <c r="T1185" s="1"/>
      <c r="U1185" s="1"/>
      <c r="V1185" s="1"/>
      <c r="W1185" s="1"/>
      <c r="X1185" s="1"/>
      <c r="Y1185" s="1"/>
      <c r="Z1185" s="1"/>
      <c r="AA1185" s="1"/>
      <c r="AB1185" s="1"/>
    </row>
    <row r="1186" ht="50.25" customHeight="1">
      <c r="A1186" s="12">
        <v>1182.0</v>
      </c>
      <c r="B1186" s="13" t="s">
        <v>1004</v>
      </c>
      <c r="C1186" s="14" t="s">
        <v>1192</v>
      </c>
      <c r="D1186" s="1"/>
      <c r="E1186" s="15"/>
      <c r="F1186" s="1" t="str">
        <f>IFERROR(__xludf.DUMMYFUNCTION("GOOGLETRANSLATE(B1186, ""en"", ""fa"")
"),"تجارت الکترونیک و فروش آنلاین")</f>
        <v>تجارت الکترونیک و فروش آنلاین</v>
      </c>
      <c r="G1186" s="1" t="str">
        <f>IFERROR(__xludf.DUMMYFUNCTION("GOOGLETRANSLATE(C1186, ""en"", ""fa"")
"),"مفهوم استفاده از اینفلوئنسرهای رسانه های اجتماعی به عنوان سفیران برند برای تبلیغ محصولات و افزایش دیده شدن برند را بررسی کنید.")</f>
        <v>مفهوم استفاده از اینفلوئنسرهای رسانه های اجتماعی به عنوان سفیران برند برای تبلیغ محصولات و افزایش دیده شدن برند را بررسی کنید.</v>
      </c>
      <c r="H1186" s="1"/>
      <c r="I1186" s="1"/>
      <c r="J1186" s="1"/>
      <c r="K1186" s="1"/>
      <c r="L1186" s="1"/>
      <c r="M1186" s="1"/>
      <c r="N1186" s="1"/>
      <c r="O1186" s="1"/>
      <c r="P1186" s="1"/>
      <c r="Q1186" s="1"/>
      <c r="R1186" s="1"/>
      <c r="S1186" s="1"/>
      <c r="T1186" s="1"/>
      <c r="U1186" s="1"/>
      <c r="V1186" s="1"/>
      <c r="W1186" s="1"/>
      <c r="X1186" s="1"/>
      <c r="Y1186" s="1"/>
      <c r="Z1186" s="1"/>
      <c r="AA1186" s="1"/>
      <c r="AB1186" s="1"/>
    </row>
    <row r="1187" ht="50.25" customHeight="1">
      <c r="A1187" s="12">
        <v>1183.0</v>
      </c>
      <c r="B1187" s="13" t="s">
        <v>1004</v>
      </c>
      <c r="C1187" s="14" t="s">
        <v>1193</v>
      </c>
      <c r="D1187" s="1"/>
      <c r="E1187" s="15"/>
      <c r="F1187" s="1" t="str">
        <f>IFERROR(__xludf.DUMMYFUNCTION("GOOGLETRANSLATE(B1187, ""en"", ""fa"")
"),"تجارت الکترونیک و فروش آنلاین")</f>
        <v>تجارت الکترونیک و فروش آنلاین</v>
      </c>
      <c r="G1187" s="1" t="str">
        <f>IFERROR(__xludf.DUMMYFUNCTION("GOOGLETRANSLATE(C1187, ""en"", ""fa"")
"),"درباره نقش پیاده سازی تبلیغات هدفمند مجدد برای دستیابی به مشتریانی که به محصولات خاصی علاقه نشان داده اند یا از وب سایت بازدید کرده اند، بحث کنید.")</f>
        <v>درباره نقش پیاده سازی تبلیغات هدفمند مجدد برای دستیابی به مشتریانی که به محصولات خاصی علاقه نشان داده اند یا از وب سایت بازدید کرده اند، بحث کنید.</v>
      </c>
      <c r="H1187" s="1"/>
      <c r="I1187" s="1"/>
      <c r="J1187" s="1"/>
      <c r="K1187" s="1"/>
      <c r="L1187" s="1"/>
      <c r="M1187" s="1"/>
      <c r="N1187" s="1"/>
      <c r="O1187" s="1"/>
      <c r="P1187" s="1"/>
      <c r="Q1187" s="1"/>
      <c r="R1187" s="1"/>
      <c r="S1187" s="1"/>
      <c r="T1187" s="1"/>
      <c r="U1187" s="1"/>
      <c r="V1187" s="1"/>
      <c r="W1187" s="1"/>
      <c r="X1187" s="1"/>
      <c r="Y1187" s="1"/>
      <c r="Z1187" s="1"/>
      <c r="AA1187" s="1"/>
      <c r="AB1187" s="1"/>
    </row>
    <row r="1188" ht="50.25" customHeight="1">
      <c r="A1188" s="12">
        <v>1184.0</v>
      </c>
      <c r="B1188" s="13" t="s">
        <v>1004</v>
      </c>
      <c r="C1188" s="14" t="s">
        <v>1194</v>
      </c>
      <c r="D1188" s="1"/>
      <c r="E1188" s="15"/>
      <c r="F1188" s="1" t="str">
        <f>IFERROR(__xludf.DUMMYFUNCTION("GOOGLETRANSLATE(B1188, ""en"", ""fa"")
"),"تجارت الکترونیک و فروش آنلاین")</f>
        <v>تجارت الکترونیک و فروش آنلاین</v>
      </c>
      <c r="G1188" s="1" t="str">
        <f>IFERROR(__xludf.DUMMYFUNCTION("GOOGLETRANSLATE(C1188, ""en"", ""fa"")
"),"نکاتی را برای بهینه‌سازی بررسی‌ها و رتبه‌بندی‌های محصول به اشتراک بگذارید تا بازخورد مشتری را تشویق کنید و تصمیم‌گیری آگاهانه خرید را تسهیل کنید.")</f>
        <v>نکاتی را برای بهینه‌سازی بررسی‌ها و رتبه‌بندی‌های محصول به اشتراک بگذارید تا بازخورد مشتری را تشویق کنید و تصمیم‌گیری آگاهانه خرید را تسهیل کنید.</v>
      </c>
      <c r="H1188" s="1"/>
      <c r="I1188" s="1"/>
      <c r="J1188" s="1"/>
      <c r="K1188" s="1"/>
      <c r="L1188" s="1"/>
      <c r="M1188" s="1"/>
      <c r="N1188" s="1"/>
      <c r="O1188" s="1"/>
      <c r="P1188" s="1"/>
      <c r="Q1188" s="1"/>
      <c r="R1188" s="1"/>
      <c r="S1188" s="1"/>
      <c r="T1188" s="1"/>
      <c r="U1188" s="1"/>
      <c r="V1188" s="1"/>
      <c r="W1188" s="1"/>
      <c r="X1188" s="1"/>
      <c r="Y1188" s="1"/>
      <c r="Z1188" s="1"/>
      <c r="AA1188" s="1"/>
      <c r="AB1188" s="1"/>
    </row>
    <row r="1189" ht="50.25" customHeight="1">
      <c r="A1189" s="12">
        <v>1185.0</v>
      </c>
      <c r="B1189" s="13" t="s">
        <v>1004</v>
      </c>
      <c r="C1189" s="14" t="s">
        <v>1195</v>
      </c>
      <c r="D1189" s="1"/>
      <c r="E1189" s="15"/>
      <c r="F1189" s="1" t="str">
        <f>IFERROR(__xludf.DUMMYFUNCTION("GOOGLETRANSLATE(B1189, ""en"", ""fa"")
"),"تجارت الکترونیک و فروش آنلاین")</f>
        <v>تجارت الکترونیک و فروش آنلاین</v>
      </c>
      <c r="G1189" s="1" t="str">
        <f>IFERROR(__xludf.DUMMYFUNCTION("GOOGLETRANSLATE(C1189, ""en"", ""fa"")
"),"مزایای ارائه سیاست بازگشت بدون دردسر برای ایجاد اعتماد و اطمینان مشتری در فرآیند خرید را بررسی کنید.")</f>
        <v>مزایای ارائه سیاست بازگشت بدون دردسر برای ایجاد اعتماد و اطمینان مشتری در فرآیند خرید را بررسی کنید.</v>
      </c>
      <c r="H1189" s="1"/>
      <c r="I1189" s="1"/>
      <c r="J1189" s="1"/>
      <c r="K1189" s="1"/>
      <c r="L1189" s="1"/>
      <c r="M1189" s="1"/>
      <c r="N1189" s="1"/>
      <c r="O1189" s="1"/>
      <c r="P1189" s="1"/>
      <c r="Q1189" s="1"/>
      <c r="R1189" s="1"/>
      <c r="S1189" s="1"/>
      <c r="T1189" s="1"/>
      <c r="U1189" s="1"/>
      <c r="V1189" s="1"/>
      <c r="W1189" s="1"/>
      <c r="X1189" s="1"/>
      <c r="Y1189" s="1"/>
      <c r="Z1189" s="1"/>
      <c r="AA1189" s="1"/>
      <c r="AB1189" s="1"/>
    </row>
    <row r="1190" ht="50.25" customHeight="1">
      <c r="A1190" s="12">
        <v>1186.0</v>
      </c>
      <c r="B1190" s="13" t="s">
        <v>1004</v>
      </c>
      <c r="C1190" s="14" t="s">
        <v>1196</v>
      </c>
      <c r="D1190" s="1"/>
      <c r="E1190" s="15"/>
      <c r="F1190" s="1" t="str">
        <f>IFERROR(__xludf.DUMMYFUNCTION("GOOGLETRANSLATE(B1190, ""en"", ""fa"")
"),"تجارت الکترونیک و فروش آنلاین")</f>
        <v>تجارت الکترونیک و فروش آنلاین</v>
      </c>
      <c r="G1190" s="1" t="str">
        <f>IFERROR(__xludf.DUMMYFUNCTION("GOOGLETRANSLATE(C1190, ""en"", ""fa"")
"),"درباره تأثیر اجرای بخش‌بندی مشتری و کمپین‌های بازاریابی هدفمند بر اساس ترجیحات مشتری و جمعیت‌شناسی بحث کنید.")</f>
        <v>درباره تأثیر اجرای بخش‌بندی مشتری و کمپین‌های بازاریابی هدفمند بر اساس ترجیحات مشتری و جمعیت‌شناسی بحث کنید.</v>
      </c>
      <c r="H1190" s="1"/>
      <c r="I1190" s="1"/>
      <c r="J1190" s="1"/>
      <c r="K1190" s="1"/>
      <c r="L1190" s="1"/>
      <c r="M1190" s="1"/>
      <c r="N1190" s="1"/>
      <c r="O1190" s="1"/>
      <c r="P1190" s="1"/>
      <c r="Q1190" s="1"/>
      <c r="R1190" s="1"/>
      <c r="S1190" s="1"/>
      <c r="T1190" s="1"/>
      <c r="U1190" s="1"/>
      <c r="V1190" s="1"/>
      <c r="W1190" s="1"/>
      <c r="X1190" s="1"/>
      <c r="Y1190" s="1"/>
      <c r="Z1190" s="1"/>
      <c r="AA1190" s="1"/>
      <c r="AB1190" s="1"/>
    </row>
    <row r="1191" ht="50.25" customHeight="1">
      <c r="A1191" s="12">
        <v>1187.0</v>
      </c>
      <c r="B1191" s="13" t="s">
        <v>1004</v>
      </c>
      <c r="C1191" s="14" t="s">
        <v>1197</v>
      </c>
      <c r="D1191" s="1"/>
      <c r="E1191" s="15"/>
      <c r="F1191" s="1" t="str">
        <f>IFERROR(__xludf.DUMMYFUNCTION("GOOGLETRANSLATE(B1191, ""en"", ""fa"")
"),"تجارت الکترونیک و فروش آنلاین")</f>
        <v>تجارت الکترونیک و فروش آنلاین</v>
      </c>
      <c r="G1191" s="1" t="str">
        <f>IFERROR(__xludf.DUMMYFUNCTION("GOOGLETRANSLATE(C1191, ""en"", ""fa"")
"),"استراتژی‌هایی را برای بهینه‌سازی عناوین فهرست محصولات به اشتراک بگذارید تا توجه را جلب کنید و ویژگی‌های کلیدی محصول را به اشتراک بگذارید.")</f>
        <v>استراتژی‌هایی را برای بهینه‌سازی عناوین فهرست محصولات به اشتراک بگذارید تا توجه را جلب کنید و ویژگی‌های کلیدی محصول را به اشتراک بگذارید.</v>
      </c>
      <c r="H1191" s="1"/>
      <c r="I1191" s="1"/>
      <c r="J1191" s="1"/>
      <c r="K1191" s="1"/>
      <c r="L1191" s="1"/>
      <c r="M1191" s="1"/>
      <c r="N1191" s="1"/>
      <c r="O1191" s="1"/>
      <c r="P1191" s="1"/>
      <c r="Q1191" s="1"/>
      <c r="R1191" s="1"/>
      <c r="S1191" s="1"/>
      <c r="T1191" s="1"/>
      <c r="U1191" s="1"/>
      <c r="V1191" s="1"/>
      <c r="W1191" s="1"/>
      <c r="X1191" s="1"/>
      <c r="Y1191" s="1"/>
      <c r="Z1191" s="1"/>
      <c r="AA1191" s="1"/>
      <c r="AB1191" s="1"/>
    </row>
    <row r="1192" ht="50.25" customHeight="1">
      <c r="A1192" s="12">
        <v>1188.0</v>
      </c>
      <c r="B1192" s="13" t="s">
        <v>1004</v>
      </c>
      <c r="C1192" s="14" t="s">
        <v>1198</v>
      </c>
      <c r="D1192" s="1"/>
      <c r="E1192" s="15"/>
      <c r="F1192" s="1" t="str">
        <f>IFERROR(__xludf.DUMMYFUNCTION("GOOGLETRANSLATE(B1192, ""en"", ""fa"")
"),"تجارت الکترونیک و فروش آنلاین")</f>
        <v>تجارت الکترونیک و فروش آنلاین</v>
      </c>
      <c r="G1192" s="1" t="str">
        <f>IFERROR(__xludf.DUMMYFUNCTION("GOOGLETRANSLATE(C1192, ""en"", ""fa"")
"),"مفهوم استفاده از محتوای تولید شده توسط مشتری، مانند عکس‌ها یا نظرات محصول، برای نمایش محصولات و افزایش اثبات اجتماعی را بررسی کنید.")</f>
        <v>مفهوم استفاده از محتوای تولید شده توسط مشتری، مانند عکس‌ها یا نظرات محصول، برای نمایش محصولات و افزایش اثبات اجتماعی را بررسی کنید.</v>
      </c>
      <c r="H1192" s="1"/>
      <c r="I1192" s="1"/>
      <c r="J1192" s="1"/>
      <c r="K1192" s="1"/>
      <c r="L1192" s="1"/>
      <c r="M1192" s="1"/>
      <c r="N1192" s="1"/>
      <c r="O1192" s="1"/>
      <c r="P1192" s="1"/>
      <c r="Q1192" s="1"/>
      <c r="R1192" s="1"/>
      <c r="S1192" s="1"/>
      <c r="T1192" s="1"/>
      <c r="U1192" s="1"/>
      <c r="V1192" s="1"/>
      <c r="W1192" s="1"/>
      <c r="X1192" s="1"/>
      <c r="Y1192" s="1"/>
      <c r="Z1192" s="1"/>
      <c r="AA1192" s="1"/>
      <c r="AB1192" s="1"/>
    </row>
    <row r="1193" ht="50.25" customHeight="1">
      <c r="A1193" s="12">
        <v>1189.0</v>
      </c>
      <c r="B1193" s="13" t="s">
        <v>1004</v>
      </c>
      <c r="C1193" s="14" t="s">
        <v>1199</v>
      </c>
      <c r="D1193" s="1"/>
      <c r="E1193" s="15"/>
      <c r="F1193" s="1" t="str">
        <f>IFERROR(__xludf.DUMMYFUNCTION("GOOGLETRANSLATE(B1193, ""en"", ""fa"")
"),"تجارت الکترونیک و فروش آنلاین")</f>
        <v>تجارت الکترونیک و فروش آنلاین</v>
      </c>
      <c r="G1193" s="1" t="str">
        <f>IFERROR(__xludf.DUMMYFUNCTION("GOOGLETRANSLATE(C1193, ""en"", ""fa"")
"),"درباره نقش پیاده‌سازی یک طراحی واکنش‌گرا برای فروشگاه آنلاین به منظور ارائه تجربه‌ای سازگار و کاربرپسند در دستگاه‌های مختلف بحث کنید.")</f>
        <v>درباره نقش پیاده‌سازی یک طراحی واکنش‌گرا برای فروشگاه آنلاین به منظور ارائه تجربه‌ای سازگار و کاربرپسند در دستگاه‌های مختلف بحث کنید.</v>
      </c>
      <c r="H1193" s="1"/>
      <c r="I1193" s="1"/>
      <c r="J1193" s="1"/>
      <c r="K1193" s="1"/>
      <c r="L1193" s="1"/>
      <c r="M1193" s="1"/>
      <c r="N1193" s="1"/>
      <c r="O1193" s="1"/>
      <c r="P1193" s="1"/>
      <c r="Q1193" s="1"/>
      <c r="R1193" s="1"/>
      <c r="S1193" s="1"/>
      <c r="T1193" s="1"/>
      <c r="U1193" s="1"/>
      <c r="V1193" s="1"/>
      <c r="W1193" s="1"/>
      <c r="X1193" s="1"/>
      <c r="Y1193" s="1"/>
      <c r="Z1193" s="1"/>
      <c r="AA1193" s="1"/>
      <c r="AB1193" s="1"/>
    </row>
    <row r="1194" ht="50.25" customHeight="1">
      <c r="A1194" s="12">
        <v>1190.0</v>
      </c>
      <c r="B1194" s="13" t="s">
        <v>1004</v>
      </c>
      <c r="C1194" s="14" t="s">
        <v>1200</v>
      </c>
      <c r="D1194" s="1"/>
      <c r="E1194" s="15"/>
      <c r="F1194" s="1" t="str">
        <f>IFERROR(__xludf.DUMMYFUNCTION("GOOGLETRANSLATE(B1194, ""en"", ""fa"")
"),"تجارت الکترونیک و فروش آنلاین")</f>
        <v>تجارت الکترونیک و فروش آنلاین</v>
      </c>
      <c r="G1194" s="1" t="str">
        <f>IFERROR(__xludf.DUMMYFUNCTION("GOOGLETRANSLATE(C1194, ""en"", ""fa"")
"),"نکاتی را برای بهینه سازی مدیریت موجودی محصول به اشتراک بگذارید تا از در دسترس بودن اطمینان حاصل کنید و از گرانی یا گران فروشی جلوگیری کنید.")</f>
        <v>نکاتی را برای بهینه سازی مدیریت موجودی محصول به اشتراک بگذارید تا از در دسترس بودن اطمینان حاصل کنید و از گرانی یا گران فروشی جلوگیری کنید.</v>
      </c>
      <c r="H1194" s="1"/>
      <c r="I1194" s="1"/>
      <c r="J1194" s="1"/>
      <c r="K1194" s="1"/>
      <c r="L1194" s="1"/>
      <c r="M1194" s="1"/>
      <c r="N1194" s="1"/>
      <c r="O1194" s="1"/>
      <c r="P1194" s="1"/>
      <c r="Q1194" s="1"/>
      <c r="R1194" s="1"/>
      <c r="S1194" s="1"/>
      <c r="T1194" s="1"/>
      <c r="U1194" s="1"/>
      <c r="V1194" s="1"/>
      <c r="W1194" s="1"/>
      <c r="X1194" s="1"/>
      <c r="Y1194" s="1"/>
      <c r="Z1194" s="1"/>
      <c r="AA1194" s="1"/>
      <c r="AB1194" s="1"/>
    </row>
    <row r="1195" ht="50.25" customHeight="1">
      <c r="A1195" s="12">
        <v>1191.0</v>
      </c>
      <c r="B1195" s="13" t="s">
        <v>1004</v>
      </c>
      <c r="C1195" s="14" t="s">
        <v>1201</v>
      </c>
      <c r="D1195" s="1"/>
      <c r="E1195" s="15"/>
      <c r="F1195" s="1" t="str">
        <f>IFERROR(__xludf.DUMMYFUNCTION("GOOGLETRANSLATE(B1195, ""en"", ""fa"")
"),"تجارت الکترونیک و فروش آنلاین")</f>
        <v>تجارت الکترونیک و فروش آنلاین</v>
      </c>
      <c r="G1195" s="1" t="str">
        <f>IFERROR(__xludf.DUMMYFUNCTION("GOOGLETRANSLATE(C1195, ""en"", ""fa"")
"),"مزایای ارائه نمایش محصول یا آموزش های ویدیویی برای نمایش ویژگی ها و کاربرد محصول را کاوش کنید.")</f>
        <v>مزایای ارائه نمایش محصول یا آموزش های ویدیویی برای نمایش ویژگی ها و کاربرد محصول را کاوش کنید.</v>
      </c>
      <c r="H1195" s="1"/>
      <c r="I1195" s="1"/>
      <c r="J1195" s="1"/>
      <c r="K1195" s="1"/>
      <c r="L1195" s="1"/>
      <c r="M1195" s="1"/>
      <c r="N1195" s="1"/>
      <c r="O1195" s="1"/>
      <c r="P1195" s="1"/>
      <c r="Q1195" s="1"/>
      <c r="R1195" s="1"/>
      <c r="S1195" s="1"/>
      <c r="T1195" s="1"/>
      <c r="U1195" s="1"/>
      <c r="V1195" s="1"/>
      <c r="W1195" s="1"/>
      <c r="X1195" s="1"/>
      <c r="Y1195" s="1"/>
      <c r="Z1195" s="1"/>
      <c r="AA1195" s="1"/>
      <c r="AB1195" s="1"/>
    </row>
    <row r="1196" ht="50.25" customHeight="1">
      <c r="A1196" s="12">
        <v>1192.0</v>
      </c>
      <c r="B1196" s="13" t="s">
        <v>1004</v>
      </c>
      <c r="C1196" s="14" t="s">
        <v>1202</v>
      </c>
      <c r="D1196" s="1"/>
      <c r="E1196" s="15"/>
      <c r="F1196" s="1" t="str">
        <f>IFERROR(__xludf.DUMMYFUNCTION("GOOGLETRANSLATE(B1196, ""en"", ""fa"")
"),"تجارت الکترونیک و فروش آنلاین")</f>
        <v>تجارت الکترونیک و فروش آنلاین</v>
      </c>
      <c r="G1196" s="1" t="str">
        <f>IFERROR(__xludf.DUMMYFUNCTION("GOOGLETRANSLATE(C1196, ""en"", ""fa"")
"),"درباره تأثیر اجرای سیاست‌های بازگشت مشتری محور، از جمله برچسب‌های بازگشت پیش‌پرداخت و فرآیندهای بازگشت آسان، بحث کنید.")</f>
        <v>درباره تأثیر اجرای سیاست‌های بازگشت مشتری محور، از جمله برچسب‌های بازگشت پیش‌پرداخت و فرآیندهای بازگشت آسان، بحث کنید.</v>
      </c>
      <c r="H1196" s="1"/>
      <c r="I1196" s="1"/>
      <c r="J1196" s="1"/>
      <c r="K1196" s="1"/>
      <c r="L1196" s="1"/>
      <c r="M1196" s="1"/>
      <c r="N1196" s="1"/>
      <c r="O1196" s="1"/>
      <c r="P1196" s="1"/>
      <c r="Q1196" s="1"/>
      <c r="R1196" s="1"/>
      <c r="S1196" s="1"/>
      <c r="T1196" s="1"/>
      <c r="U1196" s="1"/>
      <c r="V1196" s="1"/>
      <c r="W1196" s="1"/>
      <c r="X1196" s="1"/>
      <c r="Y1196" s="1"/>
      <c r="Z1196" s="1"/>
      <c r="AA1196" s="1"/>
      <c r="AB1196" s="1"/>
    </row>
    <row r="1197" ht="50.25" customHeight="1">
      <c r="A1197" s="12">
        <v>1193.0</v>
      </c>
      <c r="B1197" s="13" t="s">
        <v>1004</v>
      </c>
      <c r="C1197" s="14" t="s">
        <v>1203</v>
      </c>
      <c r="D1197" s="1"/>
      <c r="E1197" s="15"/>
      <c r="F1197" s="1" t="str">
        <f>IFERROR(__xludf.DUMMYFUNCTION("GOOGLETRANSLATE(B1197, ""en"", ""fa"")
"),"تجارت الکترونیک و فروش آنلاین")</f>
        <v>تجارت الکترونیک و فروش آنلاین</v>
      </c>
      <c r="G1197" s="1" t="str">
        <f>IFERROR(__xludf.DUMMYFUNCTION("GOOGLETRANSLATE(C1197, ""en"", ""fa"")
"),"استراتژی‌های بهینه‌سازی توصیه‌های محصول را از طریق الگوریتم‌های مبتنی بر هوش مصنوعی و یادگیری ماشین برای شخصی‌سازی پیشرفته به اشتراک بگذارید.")</f>
        <v>استراتژی‌های بهینه‌سازی توصیه‌های محصول را از طریق الگوریتم‌های مبتنی بر هوش مصنوعی و یادگیری ماشین برای شخصی‌سازی پیشرفته به اشتراک بگذارید.</v>
      </c>
      <c r="H1197" s="1"/>
      <c r="I1197" s="1"/>
      <c r="J1197" s="1"/>
      <c r="K1197" s="1"/>
      <c r="L1197" s="1"/>
      <c r="M1197" s="1"/>
      <c r="N1197" s="1"/>
      <c r="O1197" s="1"/>
      <c r="P1197" s="1"/>
      <c r="Q1197" s="1"/>
      <c r="R1197" s="1"/>
      <c r="S1197" s="1"/>
      <c r="T1197" s="1"/>
      <c r="U1197" s="1"/>
      <c r="V1197" s="1"/>
      <c r="W1197" s="1"/>
      <c r="X1197" s="1"/>
      <c r="Y1197" s="1"/>
      <c r="Z1197" s="1"/>
      <c r="AA1197" s="1"/>
      <c r="AB1197" s="1"/>
    </row>
    <row r="1198" ht="50.25" customHeight="1">
      <c r="A1198" s="12">
        <v>1194.0</v>
      </c>
      <c r="B1198" s="13" t="s">
        <v>1004</v>
      </c>
      <c r="C1198" s="14" t="s">
        <v>1204</v>
      </c>
      <c r="D1198" s="1"/>
      <c r="E1198" s="15"/>
      <c r="F1198" s="1" t="str">
        <f>IFERROR(__xludf.DUMMYFUNCTION("GOOGLETRANSLATE(B1198, ""en"", ""fa"")
"),"تجارت الکترونیک و فروش آنلاین")</f>
        <v>تجارت الکترونیک و فروش آنلاین</v>
      </c>
      <c r="G1198" s="1" t="str">
        <f>IFERROR(__xludf.DUMMYFUNCTION("GOOGLETRANSLATE(C1198, ""en"", ""fa"")
"),"در مورد مزایای اجرای برنامه وفاداری مشتری برای ایجاد انگیزه برای خریدهای تکراری و تقویت روابط بلندمدت با مشتری بحث کنید.")</f>
        <v>در مورد مزایای اجرای برنامه وفاداری مشتری برای ایجاد انگیزه برای خریدهای تکراری و تقویت روابط بلندمدت با مشتری بحث کنید.</v>
      </c>
      <c r="H1198" s="1"/>
      <c r="I1198" s="1"/>
      <c r="J1198" s="1"/>
      <c r="K1198" s="1"/>
      <c r="L1198" s="1"/>
      <c r="M1198" s="1"/>
      <c r="N1198" s="1"/>
      <c r="O1198" s="1"/>
      <c r="P1198" s="1"/>
      <c r="Q1198" s="1"/>
      <c r="R1198" s="1"/>
      <c r="S1198" s="1"/>
      <c r="T1198" s="1"/>
      <c r="U1198" s="1"/>
      <c r="V1198" s="1"/>
      <c r="W1198" s="1"/>
      <c r="X1198" s="1"/>
      <c r="Y1198" s="1"/>
      <c r="Z1198" s="1"/>
      <c r="AA1198" s="1"/>
      <c r="AB1198" s="1"/>
    </row>
    <row r="1199" ht="50.25" customHeight="1">
      <c r="A1199" s="12">
        <v>1195.0</v>
      </c>
      <c r="B1199" s="13" t="s">
        <v>1004</v>
      </c>
      <c r="C1199" s="14" t="s">
        <v>1205</v>
      </c>
      <c r="D1199" s="1"/>
      <c r="E1199" s="15"/>
      <c r="F1199" s="1" t="str">
        <f>IFERROR(__xludf.DUMMYFUNCTION("GOOGLETRANSLATE(B1199, ""en"", ""fa"")
"),"تجارت الکترونیک و فروش آنلاین")</f>
        <v>تجارت الکترونیک و فروش آنلاین</v>
      </c>
      <c r="G1199" s="1" t="str">
        <f>IFERROR(__xludf.DUMMYFUNCTION("GOOGLETRANSLATE(C1199, ""en"", ""fa"")
"),"مفهوم استفاده از محتوای تولید شده توسط کاربر، مانند توصیفات مشتری یا عکس محصول، را برای افزایش اثبات اجتماعی و ایجاد اعتماد بررسی کنید.")</f>
        <v>مفهوم استفاده از محتوای تولید شده توسط کاربر، مانند توصیفات مشتری یا عکس محصول، را برای افزایش اثبات اجتماعی و ایجاد اعتماد بررسی کنید.</v>
      </c>
      <c r="H1199" s="1"/>
      <c r="I1199" s="1"/>
      <c r="J1199" s="1"/>
      <c r="K1199" s="1"/>
      <c r="L1199" s="1"/>
      <c r="M1199" s="1"/>
      <c r="N1199" s="1"/>
      <c r="O1199" s="1"/>
      <c r="P1199" s="1"/>
      <c r="Q1199" s="1"/>
      <c r="R1199" s="1"/>
      <c r="S1199" s="1"/>
      <c r="T1199" s="1"/>
      <c r="U1199" s="1"/>
      <c r="V1199" s="1"/>
      <c r="W1199" s="1"/>
      <c r="X1199" s="1"/>
      <c r="Y1199" s="1"/>
      <c r="Z1199" s="1"/>
      <c r="AA1199" s="1"/>
      <c r="AB1199" s="1"/>
    </row>
    <row r="1200" ht="50.25" customHeight="1">
      <c r="A1200" s="12">
        <v>1196.0</v>
      </c>
      <c r="B1200" s="13" t="s">
        <v>1004</v>
      </c>
      <c r="C1200" s="14" t="s">
        <v>1206</v>
      </c>
      <c r="D1200" s="1"/>
      <c r="E1200" s="15"/>
      <c r="F1200" s="1" t="str">
        <f>IFERROR(__xludf.DUMMYFUNCTION("GOOGLETRANSLATE(B1200, ""en"", ""fa"")
"),"تجارت الکترونیک و فروش آنلاین")</f>
        <v>تجارت الکترونیک و فروش آنلاین</v>
      </c>
      <c r="G1200" s="1" t="str">
        <f>IFERROR(__xludf.DUMMYFUNCTION("GOOGLETRANSLATE(C1200, ""en"", ""fa"")
"),"در مورد نقش اجرای کمپین های بازاریابی ایمیلی هدفمند برای پرورش سرنخ ها، افزایش نرخ تبدیل و افزایش تعامل با مشتری بحث کنید.")</f>
        <v>در مورد نقش اجرای کمپین های بازاریابی ایمیلی هدفمند برای پرورش سرنخ ها، افزایش نرخ تبدیل و افزایش تعامل با مشتری بحث کنید.</v>
      </c>
      <c r="H1200" s="1"/>
      <c r="I1200" s="1"/>
      <c r="J1200" s="1"/>
      <c r="K1200" s="1"/>
      <c r="L1200" s="1"/>
      <c r="M1200" s="1"/>
      <c r="N1200" s="1"/>
      <c r="O1200" s="1"/>
      <c r="P1200" s="1"/>
      <c r="Q1200" s="1"/>
      <c r="R1200" s="1"/>
      <c r="S1200" s="1"/>
      <c r="T1200" s="1"/>
      <c r="U1200" s="1"/>
      <c r="V1200" s="1"/>
      <c r="W1200" s="1"/>
      <c r="X1200" s="1"/>
      <c r="Y1200" s="1"/>
      <c r="Z1200" s="1"/>
      <c r="AA1200" s="1"/>
      <c r="AB1200" s="1"/>
    </row>
    <row r="1201" ht="50.25" customHeight="1">
      <c r="A1201" s="12">
        <v>1197.0</v>
      </c>
      <c r="B1201" s="13" t="s">
        <v>1004</v>
      </c>
      <c r="C1201" s="14" t="s">
        <v>1207</v>
      </c>
      <c r="D1201" s="1"/>
      <c r="E1201" s="15"/>
      <c r="F1201" s="1" t="str">
        <f>IFERROR(__xludf.DUMMYFUNCTION("GOOGLETRANSLATE(B1201, ""en"", ""fa"")
"),"تجارت الکترونیک و فروش آنلاین")</f>
        <v>تجارت الکترونیک و فروش آنلاین</v>
      </c>
      <c r="G1201" s="1" t="str">
        <f>IFERROR(__xludf.DUMMYFUNCTION("GOOGLETRANSLATE(C1201, ""en"", ""fa"")
"),"نکاتی را برای بهینه سازی عناوین فهرست محصولات و توضیحات به اشتراک بگذارید تا دید موتورهای جستجو و نرخ کلیک را بهبود بخشد.")</f>
        <v>نکاتی را برای بهینه سازی عناوین فهرست محصولات و توضیحات به اشتراک بگذارید تا دید موتورهای جستجو و نرخ کلیک را بهبود بخشد.</v>
      </c>
      <c r="H1201" s="1"/>
      <c r="I1201" s="1"/>
      <c r="J1201" s="1"/>
      <c r="K1201" s="1"/>
      <c r="L1201" s="1"/>
      <c r="M1201" s="1"/>
      <c r="N1201" s="1"/>
      <c r="O1201" s="1"/>
      <c r="P1201" s="1"/>
      <c r="Q1201" s="1"/>
      <c r="R1201" s="1"/>
      <c r="S1201" s="1"/>
      <c r="T1201" s="1"/>
      <c r="U1201" s="1"/>
      <c r="V1201" s="1"/>
      <c r="W1201" s="1"/>
      <c r="X1201" s="1"/>
      <c r="Y1201" s="1"/>
      <c r="Z1201" s="1"/>
      <c r="AA1201" s="1"/>
      <c r="AB1201" s="1"/>
    </row>
    <row r="1202" ht="50.25" customHeight="1">
      <c r="A1202" s="12">
        <v>1198.0</v>
      </c>
      <c r="B1202" s="13" t="s">
        <v>1004</v>
      </c>
      <c r="C1202" s="14" t="s">
        <v>1208</v>
      </c>
      <c r="D1202" s="1"/>
      <c r="E1202" s="15"/>
      <c r="F1202" s="1" t="str">
        <f>IFERROR(__xludf.DUMMYFUNCTION("GOOGLETRANSLATE(B1202, ""en"", ""fa"")
"),"تجارت الکترونیک و فروش آنلاین")</f>
        <v>تجارت الکترونیک و فروش آنلاین</v>
      </c>
      <c r="G1202" s="1" t="str">
        <f>IFERROR(__xludf.DUMMYFUNCTION("GOOGLETRANSLATE(C1202, ""en"", ""fa"")
"),"برای افزایش میانگین ارزش سفارش و ارائه ارزش به مشتریان، مزایای ارائه بسته‌ها یا کیت‌های محصول را بررسی کنید.")</f>
        <v>برای افزایش میانگین ارزش سفارش و ارائه ارزش به مشتریان، مزایای ارائه بسته‌ها یا کیت‌های محصول را بررسی کنید.</v>
      </c>
      <c r="H1202" s="1"/>
      <c r="I1202" s="1"/>
      <c r="J1202" s="1"/>
      <c r="K1202" s="1"/>
      <c r="L1202" s="1"/>
      <c r="M1202" s="1"/>
      <c r="N1202" s="1"/>
      <c r="O1202" s="1"/>
      <c r="P1202" s="1"/>
      <c r="Q1202" s="1"/>
      <c r="R1202" s="1"/>
      <c r="S1202" s="1"/>
      <c r="T1202" s="1"/>
      <c r="U1202" s="1"/>
      <c r="V1202" s="1"/>
      <c r="W1202" s="1"/>
      <c r="X1202" s="1"/>
      <c r="Y1202" s="1"/>
      <c r="Z1202" s="1"/>
      <c r="AA1202" s="1"/>
      <c r="AB1202" s="1"/>
    </row>
    <row r="1203" ht="50.25" customHeight="1">
      <c r="A1203" s="12">
        <v>1199.0</v>
      </c>
      <c r="B1203" s="13" t="s">
        <v>1004</v>
      </c>
      <c r="C1203" s="14" t="s">
        <v>1209</v>
      </c>
      <c r="D1203" s="1"/>
      <c r="E1203" s="15"/>
      <c r="F1203" s="1" t="str">
        <f>IFERROR(__xludf.DUMMYFUNCTION("GOOGLETRANSLATE(B1203, ""en"", ""fa"")
"),"تجارت الکترونیک و فروش آنلاین")</f>
        <v>تجارت الکترونیک و فروش آنلاین</v>
      </c>
      <c r="G1203" s="1" t="str">
        <f>IFERROR(__xludf.DUMMYFUNCTION("GOOGLETRANSLATE(C1203, ""en"", ""fa"")
"),"در مورد تأثیر اجرای یک ویژگی چت زنده برای ارائه پشتیبانی فوری و رسیدگی به سؤالات مشتری در طول فرآیند خرید بحث کنید.")</f>
        <v>در مورد تأثیر اجرای یک ویژگی چت زنده برای ارائه پشتیبانی فوری و رسیدگی به سؤالات مشتری در طول فرآیند خرید بحث کنید.</v>
      </c>
      <c r="H1203" s="1"/>
      <c r="I1203" s="1"/>
      <c r="J1203" s="1"/>
      <c r="K1203" s="1"/>
      <c r="L1203" s="1"/>
      <c r="M1203" s="1"/>
      <c r="N1203" s="1"/>
      <c r="O1203" s="1"/>
      <c r="P1203" s="1"/>
      <c r="Q1203" s="1"/>
      <c r="R1203" s="1"/>
      <c r="S1203" s="1"/>
      <c r="T1203" s="1"/>
      <c r="U1203" s="1"/>
      <c r="V1203" s="1"/>
      <c r="W1203" s="1"/>
      <c r="X1203" s="1"/>
      <c r="Y1203" s="1"/>
      <c r="Z1203" s="1"/>
      <c r="AA1203" s="1"/>
      <c r="AB1203" s="1"/>
    </row>
    <row r="1204" ht="50.25" customHeight="1">
      <c r="A1204" s="12">
        <v>1200.0</v>
      </c>
      <c r="B1204" s="13" t="s">
        <v>1004</v>
      </c>
      <c r="C1204" s="14" t="s">
        <v>1210</v>
      </c>
      <c r="D1204" s="1"/>
      <c r="E1204" s="15"/>
      <c r="F1204" s="1" t="str">
        <f>IFERROR(__xludf.DUMMYFUNCTION("GOOGLETRANSLATE(B1204, ""en"", ""fa"")
"),"تجارت الکترونیک و فروش آنلاین")</f>
        <v>تجارت الکترونیک و فروش آنلاین</v>
      </c>
      <c r="G1204" s="1" t="str">
        <f>IFERROR(__xludf.DUMMYFUNCTION("GOOGLETRANSLATE(C1204, ""en"", ""fa"")
"),"استراتژی‌هایی را برای بهینه‌سازی تجربه خرید تلفن همراه، از جمله طراحی واکنش‌گرا و ناوبری آسان، به اشتراک بگذارید.")</f>
        <v>استراتژی‌هایی را برای بهینه‌سازی تجربه خرید تلفن همراه، از جمله طراحی واکنش‌گرا و ناوبری آسان، به اشتراک بگذارید.</v>
      </c>
      <c r="H1204" s="1"/>
      <c r="I1204" s="1"/>
      <c r="J1204" s="1"/>
      <c r="K1204" s="1"/>
      <c r="L1204" s="1"/>
      <c r="M1204" s="1"/>
      <c r="N1204" s="1"/>
      <c r="O1204" s="1"/>
      <c r="P1204" s="1"/>
      <c r="Q1204" s="1"/>
      <c r="R1204" s="1"/>
      <c r="S1204" s="1"/>
      <c r="T1204" s="1"/>
      <c r="U1204" s="1"/>
      <c r="V1204" s="1"/>
      <c r="W1204" s="1"/>
      <c r="X1204" s="1"/>
      <c r="Y1204" s="1"/>
      <c r="Z1204" s="1"/>
      <c r="AA1204" s="1"/>
      <c r="AB1204" s="1"/>
    </row>
    <row r="1205" ht="50.25" customHeight="1">
      <c r="A1205" s="12">
        <v>1201.0</v>
      </c>
      <c r="B1205" s="13" t="s">
        <v>1004</v>
      </c>
      <c r="C1205" s="17" t="s">
        <v>1211</v>
      </c>
      <c r="D1205" s="1"/>
      <c r="E1205" s="15"/>
      <c r="F1205" s="1" t="str">
        <f>IFERROR(__xludf.DUMMYFUNCTION("GOOGLETRANSLATE(B1205, ""en"", ""fa"")
"),"تجارت الکترونیک و فروش آنلاین")</f>
        <v>تجارت الکترونیک و فروش آنلاین</v>
      </c>
      <c r="G1205" s="1" t="str">
        <f>IFERROR(__xludf.DUMMYFUNCTION("GOOGLETRANSLATE(C1205, ""en"", ""fa"")
"),"مفهوم استفاده از تاکتیک‌های کمبود، مانند سهام محدود یا پیشنهادات با زمان محدود را برای ایجاد حس فوریت و افزایش فروش، بررسی کنید.")</f>
        <v>مفهوم استفاده از تاکتیک‌های کمبود، مانند سهام محدود یا پیشنهادات با زمان محدود را برای ایجاد حس فوریت و افزایش فروش، بررسی کنید.</v>
      </c>
      <c r="H1205" s="1"/>
      <c r="I1205" s="1"/>
      <c r="J1205" s="1"/>
      <c r="K1205" s="1"/>
      <c r="L1205" s="1"/>
      <c r="M1205" s="1"/>
      <c r="N1205" s="1"/>
      <c r="O1205" s="1"/>
      <c r="P1205" s="1"/>
      <c r="Q1205" s="1"/>
      <c r="R1205" s="1"/>
      <c r="S1205" s="1"/>
      <c r="T1205" s="1"/>
      <c r="U1205" s="1"/>
      <c r="V1205" s="1"/>
      <c r="W1205" s="1"/>
      <c r="X1205" s="1"/>
      <c r="Y1205" s="1"/>
      <c r="Z1205" s="1"/>
      <c r="AA1205" s="1"/>
      <c r="AB1205" s="1"/>
    </row>
    <row r="1206" ht="50.25" customHeight="1">
      <c r="A1206" s="12">
        <v>1202.0</v>
      </c>
      <c r="B1206" s="13" t="s">
        <v>1004</v>
      </c>
      <c r="C1206" s="14" t="s">
        <v>1212</v>
      </c>
      <c r="D1206" s="1"/>
      <c r="E1206" s="15"/>
      <c r="F1206" s="1" t="str">
        <f>IFERROR(__xludf.DUMMYFUNCTION("GOOGLETRANSLATE(B1206, ""en"", ""fa"")
"),"تجارت الکترونیک و فروش آنلاین")</f>
        <v>تجارت الکترونیک و فروش آنلاین</v>
      </c>
      <c r="G1206" s="1" t="str">
        <f>IFERROR(__xludf.DUMMYFUNCTION("GOOGLETRANSLATE(C1206, ""en"", ""fa"")
"),"درباره نقش اجرای نظرات و رتبه‌بندی‌های مشتریان در صفحات محصول برای ارائه اثبات اجتماعی و کمک به مشتریان در تصمیم‌گیری آگاهانه بحث کنید.")</f>
        <v>درباره نقش اجرای نظرات و رتبه‌بندی‌های مشتریان در صفحات محصول برای ارائه اثبات اجتماعی و کمک به مشتریان در تصمیم‌گیری آگاهانه بحث کنید.</v>
      </c>
      <c r="H1206" s="1"/>
      <c r="I1206" s="1"/>
      <c r="J1206" s="1"/>
      <c r="K1206" s="1"/>
      <c r="L1206" s="1"/>
      <c r="M1206" s="1"/>
      <c r="N1206" s="1"/>
      <c r="O1206" s="1"/>
      <c r="P1206" s="1"/>
      <c r="Q1206" s="1"/>
      <c r="R1206" s="1"/>
      <c r="S1206" s="1"/>
      <c r="T1206" s="1"/>
      <c r="U1206" s="1"/>
      <c r="V1206" s="1"/>
      <c r="W1206" s="1"/>
      <c r="X1206" s="1"/>
      <c r="Y1206" s="1"/>
      <c r="Z1206" s="1"/>
      <c r="AA1206" s="1"/>
      <c r="AB1206" s="1"/>
    </row>
    <row r="1207" ht="50.25" customHeight="1">
      <c r="A1207" s="12">
        <v>1203.0</v>
      </c>
      <c r="B1207" s="13" t="s">
        <v>1004</v>
      </c>
      <c r="C1207" s="14" t="s">
        <v>1213</v>
      </c>
      <c r="D1207" s="1"/>
      <c r="E1207" s="15"/>
      <c r="F1207" s="1" t="str">
        <f>IFERROR(__xludf.DUMMYFUNCTION("GOOGLETRANSLATE(B1207, ""en"", ""fa"")
"),"تجارت الکترونیک و فروش آنلاین")</f>
        <v>تجارت الکترونیک و فروش آنلاین</v>
      </c>
      <c r="G1207" s="1" t="str">
        <f>IFERROR(__xludf.DUMMYFUNCTION("GOOGLETRANSLATE(C1207, ""en"", ""fa"")
"),"نکاتی را برای بهینه سازی تصاویر محصول برای نمایش محصولات در بهترین نور و افزایش جذابیت بصری به اشتراک بگذارید.")</f>
        <v>نکاتی را برای بهینه سازی تصاویر محصول برای نمایش محصولات در بهترین نور و افزایش جذابیت بصری به اشتراک بگذارید.</v>
      </c>
      <c r="H1207" s="1"/>
      <c r="I1207" s="1"/>
      <c r="J1207" s="1"/>
      <c r="K1207" s="1"/>
      <c r="L1207" s="1"/>
      <c r="M1207" s="1"/>
      <c r="N1207" s="1"/>
      <c r="O1207" s="1"/>
      <c r="P1207" s="1"/>
      <c r="Q1207" s="1"/>
      <c r="R1207" s="1"/>
      <c r="S1207" s="1"/>
      <c r="T1207" s="1"/>
      <c r="U1207" s="1"/>
      <c r="V1207" s="1"/>
      <c r="W1207" s="1"/>
      <c r="X1207" s="1"/>
      <c r="Y1207" s="1"/>
      <c r="Z1207" s="1"/>
      <c r="AA1207" s="1"/>
      <c r="AB1207" s="1"/>
    </row>
    <row r="1208" ht="50.25" customHeight="1">
      <c r="A1208" s="12">
        <v>1204.0</v>
      </c>
      <c r="B1208" s="13" t="s">
        <v>1004</v>
      </c>
      <c r="C1208" s="14" t="s">
        <v>1214</v>
      </c>
      <c r="D1208" s="1"/>
      <c r="E1208" s="15"/>
      <c r="F1208" s="1" t="str">
        <f>IFERROR(__xludf.DUMMYFUNCTION("GOOGLETRANSLATE(B1208, ""en"", ""fa"")
"),"تجارت الکترونیک و فروش آنلاین")</f>
        <v>تجارت الکترونیک و فروش آنلاین</v>
      </c>
      <c r="G1208" s="1" t="str">
        <f>IFERROR(__xludf.DUMMYFUNCTION("GOOGLETRANSLATE(C1208, ""en"", ""fa"")
"),"مزایای ارائه توصیه‌های شخصی‌شده بر اساس سابقه مرور مشتری و رفتار خرید را بررسی کنید.")</f>
        <v>مزایای ارائه توصیه‌های شخصی‌شده بر اساس سابقه مرور مشتری و رفتار خرید را بررسی کنید.</v>
      </c>
      <c r="H1208" s="1"/>
      <c r="I1208" s="1"/>
      <c r="J1208" s="1"/>
      <c r="K1208" s="1"/>
      <c r="L1208" s="1"/>
      <c r="M1208" s="1"/>
      <c r="N1208" s="1"/>
      <c r="O1208" s="1"/>
      <c r="P1208" s="1"/>
      <c r="Q1208" s="1"/>
      <c r="R1208" s="1"/>
      <c r="S1208" s="1"/>
      <c r="T1208" s="1"/>
      <c r="U1208" s="1"/>
      <c r="V1208" s="1"/>
      <c r="W1208" s="1"/>
      <c r="X1208" s="1"/>
      <c r="Y1208" s="1"/>
      <c r="Z1208" s="1"/>
      <c r="AA1208" s="1"/>
      <c r="AB1208" s="1"/>
    </row>
    <row r="1209" ht="50.25" customHeight="1">
      <c r="A1209" s="12">
        <v>1205.0</v>
      </c>
      <c r="B1209" s="13" t="s">
        <v>1004</v>
      </c>
      <c r="C1209" s="14" t="s">
        <v>1215</v>
      </c>
      <c r="D1209" s="1"/>
      <c r="E1209" s="15"/>
      <c r="F1209" s="1" t="str">
        <f>IFERROR(__xludf.DUMMYFUNCTION("GOOGLETRANSLATE(B1209, ""en"", ""fa"")
"),"تجارت الکترونیک و فروش آنلاین")</f>
        <v>تجارت الکترونیک و فروش آنلاین</v>
      </c>
      <c r="G1209" s="1" t="str">
        <f>IFERROR(__xludf.DUMMYFUNCTION("GOOGLETRANSLATE(C1209, ""en"", ""fa"")
"),"درباره تأثیر اجرای یک برنامه ارجاع برای تشویق مشتریان به ارجاع دوستان و خانواده به فروشگاه آنلاین بحث کنید.")</f>
        <v>درباره تأثیر اجرای یک برنامه ارجاع برای تشویق مشتریان به ارجاع دوستان و خانواده به فروشگاه آنلاین بحث کنید.</v>
      </c>
      <c r="H1209" s="1"/>
      <c r="I1209" s="1"/>
      <c r="J1209" s="1"/>
      <c r="K1209" s="1"/>
      <c r="L1209" s="1"/>
      <c r="M1209" s="1"/>
      <c r="N1209" s="1"/>
      <c r="O1209" s="1"/>
      <c r="P1209" s="1"/>
      <c r="Q1209" s="1"/>
      <c r="R1209" s="1"/>
      <c r="S1209" s="1"/>
      <c r="T1209" s="1"/>
      <c r="U1209" s="1"/>
      <c r="V1209" s="1"/>
      <c r="W1209" s="1"/>
      <c r="X1209" s="1"/>
      <c r="Y1209" s="1"/>
      <c r="Z1209" s="1"/>
      <c r="AA1209" s="1"/>
      <c r="AB1209" s="1"/>
    </row>
    <row r="1210" ht="50.25" customHeight="1">
      <c r="A1210" s="12">
        <v>1206.0</v>
      </c>
      <c r="B1210" s="13" t="s">
        <v>1004</v>
      </c>
      <c r="C1210" s="14" t="s">
        <v>1216</v>
      </c>
      <c r="D1210" s="1"/>
      <c r="E1210" s="15"/>
      <c r="F1210" s="1" t="str">
        <f>IFERROR(__xludf.DUMMYFUNCTION("GOOGLETRANSLATE(B1210, ""en"", ""fa"")
"),"تجارت الکترونیک و فروش آنلاین")</f>
        <v>تجارت الکترونیک و فروش آنلاین</v>
      </c>
      <c r="G1210" s="1" t="str">
        <f>IFERROR(__xludf.DUMMYFUNCTION("GOOGLETRANSLATE(C1210, ""en"", ""fa"")
"),"استراتژی های بهینه سازی قیمت گذاری محصول را به اشتراک بگذارید تا تعادل مناسب بین سودآوری و رقابت پیدا کنید.")</f>
        <v>استراتژی های بهینه سازی قیمت گذاری محصول را به اشتراک بگذارید تا تعادل مناسب بین سودآوری و رقابت پیدا کنید.</v>
      </c>
      <c r="H1210" s="1"/>
      <c r="I1210" s="1"/>
      <c r="J1210" s="1"/>
      <c r="K1210" s="1"/>
      <c r="L1210" s="1"/>
      <c r="M1210" s="1"/>
      <c r="N1210" s="1"/>
      <c r="O1210" s="1"/>
      <c r="P1210" s="1"/>
      <c r="Q1210" s="1"/>
      <c r="R1210" s="1"/>
      <c r="S1210" s="1"/>
      <c r="T1210" s="1"/>
      <c r="U1210" s="1"/>
      <c r="V1210" s="1"/>
      <c r="W1210" s="1"/>
      <c r="X1210" s="1"/>
      <c r="Y1210" s="1"/>
      <c r="Z1210" s="1"/>
      <c r="AA1210" s="1"/>
      <c r="AB1210" s="1"/>
    </row>
    <row r="1211" ht="50.25" customHeight="1">
      <c r="A1211" s="12">
        <v>1207.0</v>
      </c>
      <c r="B1211" s="13" t="s">
        <v>1004</v>
      </c>
      <c r="C1211" s="14" t="s">
        <v>1217</v>
      </c>
      <c r="D1211" s="1"/>
      <c r="E1211" s="15"/>
      <c r="F1211" s="1" t="str">
        <f>IFERROR(__xludf.DUMMYFUNCTION("GOOGLETRANSLATE(B1211, ""en"", ""fa"")
"),"تجارت الکترونیک و فروش آنلاین")</f>
        <v>تجارت الکترونیک و فروش آنلاین</v>
      </c>
      <c r="G1211" s="1" t="str">
        <f>IFERROR(__xludf.DUMMYFUNCTION("GOOGLETRANSLATE(C1211, ""en"", ""fa"")
"),"مفهوم استفاده از همکاری‌های اینفلوئنسر را برای تبلیغ محصولات و دستیابی به مخاطبان جدید بررسی کنید.")</f>
        <v>مفهوم استفاده از همکاری‌های اینفلوئنسر را برای تبلیغ محصولات و دستیابی به مخاطبان جدید بررسی کنید.</v>
      </c>
      <c r="H1211" s="1"/>
      <c r="I1211" s="1"/>
      <c r="J1211" s="1"/>
      <c r="K1211" s="1"/>
      <c r="L1211" s="1"/>
      <c r="M1211" s="1"/>
      <c r="N1211" s="1"/>
      <c r="O1211" s="1"/>
      <c r="P1211" s="1"/>
      <c r="Q1211" s="1"/>
      <c r="R1211" s="1"/>
      <c r="S1211" s="1"/>
      <c r="T1211" s="1"/>
      <c r="U1211" s="1"/>
      <c r="V1211" s="1"/>
      <c r="W1211" s="1"/>
      <c r="X1211" s="1"/>
      <c r="Y1211" s="1"/>
      <c r="Z1211" s="1"/>
      <c r="AA1211" s="1"/>
      <c r="AB1211" s="1"/>
    </row>
    <row r="1212" ht="50.25" customHeight="1">
      <c r="A1212" s="12">
        <v>1208.0</v>
      </c>
      <c r="B1212" s="13" t="s">
        <v>1004</v>
      </c>
      <c r="C1212" s="14" t="s">
        <v>1218</v>
      </c>
      <c r="D1212" s="1"/>
      <c r="E1212" s="15"/>
      <c r="F1212" s="1" t="str">
        <f>IFERROR(__xludf.DUMMYFUNCTION("GOOGLETRANSLATE(B1212, ""en"", ""fa"")
"),"تجارت الکترونیک و فروش آنلاین")</f>
        <v>تجارت الکترونیک و فروش آنلاین</v>
      </c>
      <c r="G1212" s="1" t="str">
        <f>IFERROR(__xludf.DUMMYFUNCTION("GOOGLETRANSLATE(C1212, ""en"", ""fa"")
"),"در مورد نقش اجرای فرآیند پرداخت ساده برای کاهش نرخ رها شدن سبد خرید و افزایش تبدیل بحث کنید.")</f>
        <v>در مورد نقش اجرای فرآیند پرداخت ساده برای کاهش نرخ رها شدن سبد خرید و افزایش تبدیل بحث کنید.</v>
      </c>
      <c r="H1212" s="1"/>
      <c r="I1212" s="1"/>
      <c r="J1212" s="1"/>
      <c r="K1212" s="1"/>
      <c r="L1212" s="1"/>
      <c r="M1212" s="1"/>
      <c r="N1212" s="1"/>
      <c r="O1212" s="1"/>
      <c r="P1212" s="1"/>
      <c r="Q1212" s="1"/>
      <c r="R1212" s="1"/>
      <c r="S1212" s="1"/>
      <c r="T1212" s="1"/>
      <c r="U1212" s="1"/>
      <c r="V1212" s="1"/>
      <c r="W1212" s="1"/>
      <c r="X1212" s="1"/>
      <c r="Y1212" s="1"/>
      <c r="Z1212" s="1"/>
      <c r="AA1212" s="1"/>
      <c r="AB1212" s="1"/>
    </row>
    <row r="1213" ht="50.25" customHeight="1">
      <c r="A1213" s="12">
        <v>1209.0</v>
      </c>
      <c r="B1213" s="13" t="s">
        <v>1004</v>
      </c>
      <c r="C1213" s="14" t="s">
        <v>1219</v>
      </c>
      <c r="D1213" s="1"/>
      <c r="E1213" s="15"/>
      <c r="F1213" s="1" t="str">
        <f>IFERROR(__xludf.DUMMYFUNCTION("GOOGLETRANSLATE(B1213, ""en"", ""fa"")
"),"تجارت الکترونیک و فروش آنلاین")</f>
        <v>تجارت الکترونیک و فروش آنلاین</v>
      </c>
      <c r="G1213" s="1" t="str">
        <f>IFERROR(__xludf.DUMMYFUNCTION("GOOGLETRANSLATE(C1213, ""en"", ""fa"")
"),"نکاتی را برای بهینه‌سازی گزینه‌های دسته‌بندی و فیلتر کردن محصولات به اشتراک بگذارید تا به مشتریان کمک کند محصولات را سریع و آسان پیدا کنند.")</f>
        <v>نکاتی را برای بهینه‌سازی گزینه‌های دسته‌بندی و فیلتر کردن محصولات به اشتراک بگذارید تا به مشتریان کمک کند محصولات را سریع و آسان پیدا کنند.</v>
      </c>
      <c r="H1213" s="1"/>
      <c r="I1213" s="1"/>
      <c r="J1213" s="1"/>
      <c r="K1213" s="1"/>
      <c r="L1213" s="1"/>
      <c r="M1213" s="1"/>
      <c r="N1213" s="1"/>
      <c r="O1213" s="1"/>
      <c r="P1213" s="1"/>
      <c r="Q1213" s="1"/>
      <c r="R1213" s="1"/>
      <c r="S1213" s="1"/>
      <c r="T1213" s="1"/>
      <c r="U1213" s="1"/>
      <c r="V1213" s="1"/>
      <c r="W1213" s="1"/>
      <c r="X1213" s="1"/>
      <c r="Y1213" s="1"/>
      <c r="Z1213" s="1"/>
      <c r="AA1213" s="1"/>
      <c r="AB1213" s="1"/>
    </row>
    <row r="1214" ht="50.25" customHeight="1">
      <c r="A1214" s="12">
        <v>1210.0</v>
      </c>
      <c r="B1214" s="13" t="s">
        <v>1004</v>
      </c>
      <c r="C1214" s="14" t="s">
        <v>1220</v>
      </c>
      <c r="D1214" s="1"/>
      <c r="E1214" s="15"/>
      <c r="F1214" s="1" t="str">
        <f>IFERROR(__xludf.DUMMYFUNCTION("GOOGLETRANSLATE(B1214, ""en"", ""fa"")
"),"تجارت الکترونیک و فروش آنلاین")</f>
        <v>تجارت الکترونیک و فروش آنلاین</v>
      </c>
      <c r="G1214" s="1" t="str">
        <f>IFERROR(__xludf.DUMMYFUNCTION("GOOGLETRANSLATE(C1214, ""en"", ""fa"")
"),"برای رفع موانع و تشویق خرید مشتری، مزایای ارائه ارسال رایگان یا بازگشت رایگان را بررسی کنید.")</f>
        <v>برای رفع موانع و تشویق خرید مشتری، مزایای ارائه ارسال رایگان یا بازگشت رایگان را بررسی کنید.</v>
      </c>
      <c r="H1214" s="1"/>
      <c r="I1214" s="1"/>
      <c r="J1214" s="1"/>
      <c r="K1214" s="1"/>
      <c r="L1214" s="1"/>
      <c r="M1214" s="1"/>
      <c r="N1214" s="1"/>
      <c r="O1214" s="1"/>
      <c r="P1214" s="1"/>
      <c r="Q1214" s="1"/>
      <c r="R1214" s="1"/>
      <c r="S1214" s="1"/>
      <c r="T1214" s="1"/>
      <c r="U1214" s="1"/>
      <c r="V1214" s="1"/>
      <c r="W1214" s="1"/>
      <c r="X1214" s="1"/>
      <c r="Y1214" s="1"/>
      <c r="Z1214" s="1"/>
      <c r="AA1214" s="1"/>
      <c r="AB1214" s="1"/>
    </row>
    <row r="1215" ht="50.25" customHeight="1">
      <c r="A1215" s="12">
        <v>1211.0</v>
      </c>
      <c r="B1215" s="13" t="s">
        <v>1004</v>
      </c>
      <c r="C1215" s="14" t="s">
        <v>1221</v>
      </c>
      <c r="D1215" s="1"/>
      <c r="E1215" s="15"/>
      <c r="F1215" s="1" t="str">
        <f>IFERROR(__xludf.DUMMYFUNCTION("GOOGLETRANSLATE(B1215, ""en"", ""fa"")
"),"تجارت الکترونیک و فروش آنلاین")</f>
        <v>تجارت الکترونیک و فروش آنلاین</v>
      </c>
      <c r="G1215" s="1" t="str">
        <f>IFERROR(__xludf.DUMMYFUNCTION("GOOGLETRANSLATE(C1215, ""en"", ""fa"")
"),"درباره تأثیر اجرای توصیه‌های محصول شخصی‌شده بر اساس ترجیحات و رفتار مشتری بحث کنید.")</f>
        <v>درباره تأثیر اجرای توصیه‌های محصول شخصی‌شده بر اساس ترجیحات و رفتار مشتری بحث کنید.</v>
      </c>
      <c r="H1215" s="1"/>
      <c r="I1215" s="1"/>
      <c r="J1215" s="1"/>
      <c r="K1215" s="1"/>
      <c r="L1215" s="1"/>
      <c r="M1215" s="1"/>
      <c r="N1215" s="1"/>
      <c r="O1215" s="1"/>
      <c r="P1215" s="1"/>
      <c r="Q1215" s="1"/>
      <c r="R1215" s="1"/>
      <c r="S1215" s="1"/>
      <c r="T1215" s="1"/>
      <c r="U1215" s="1"/>
      <c r="V1215" s="1"/>
      <c r="W1215" s="1"/>
      <c r="X1215" s="1"/>
      <c r="Y1215" s="1"/>
      <c r="Z1215" s="1"/>
      <c r="AA1215" s="1"/>
      <c r="AB1215" s="1"/>
    </row>
    <row r="1216" ht="50.25" customHeight="1">
      <c r="A1216" s="12">
        <v>1212.0</v>
      </c>
      <c r="B1216" s="13" t="s">
        <v>1004</v>
      </c>
      <c r="C1216" s="14" t="s">
        <v>1222</v>
      </c>
      <c r="D1216" s="1"/>
      <c r="E1216" s="15"/>
      <c r="F1216" s="1" t="str">
        <f>IFERROR(__xludf.DUMMYFUNCTION("GOOGLETRANSLATE(B1216, ""en"", ""fa"")
"),"تجارت الکترونیک و فروش آنلاین")</f>
        <v>تجارت الکترونیک و فروش آنلاین</v>
      </c>
      <c r="G1216" s="1" t="str">
        <f>IFERROR(__xludf.DUMMYFUNCTION("GOOGLETRANSLATE(C1216, ""en"", ""fa"")
"),"استراتژی هایی را برای بهینه سازی توضیحات محصول به اشتراک بگذارید تا ویژگی های کلیدی، مزایا و نقاط فروش منحصر به فرد را برجسته کنید.")</f>
        <v>استراتژی هایی را برای بهینه سازی توضیحات محصول به اشتراک بگذارید تا ویژگی های کلیدی، مزایا و نقاط فروش منحصر به فرد را برجسته کنید.</v>
      </c>
      <c r="H1216" s="1"/>
      <c r="I1216" s="1"/>
      <c r="J1216" s="1"/>
      <c r="K1216" s="1"/>
      <c r="L1216" s="1"/>
      <c r="M1216" s="1"/>
      <c r="N1216" s="1"/>
      <c r="O1216" s="1"/>
      <c r="P1216" s="1"/>
      <c r="Q1216" s="1"/>
      <c r="R1216" s="1"/>
      <c r="S1216" s="1"/>
      <c r="T1216" s="1"/>
      <c r="U1216" s="1"/>
      <c r="V1216" s="1"/>
      <c r="W1216" s="1"/>
      <c r="X1216" s="1"/>
      <c r="Y1216" s="1"/>
      <c r="Z1216" s="1"/>
      <c r="AA1216" s="1"/>
      <c r="AB1216" s="1"/>
    </row>
    <row r="1217" ht="50.25" customHeight="1">
      <c r="A1217" s="12">
        <v>1213.0</v>
      </c>
      <c r="B1217" s="13" t="s">
        <v>1004</v>
      </c>
      <c r="C1217" s="14" t="s">
        <v>1223</v>
      </c>
      <c r="D1217" s="1"/>
      <c r="E1217" s="15"/>
      <c r="F1217" s="1" t="str">
        <f>IFERROR(__xludf.DUMMYFUNCTION("GOOGLETRANSLATE(B1217, ""en"", ""fa"")
"),"تجارت الکترونیک و فروش آنلاین")</f>
        <v>تجارت الکترونیک و فروش آنلاین</v>
      </c>
      <c r="G1217" s="1" t="str">
        <f>IFERROR(__xludf.DUMMYFUNCTION("GOOGLETRANSLATE(C1217, ""en"", ""fa"")
"),"در مورد نقش اجرای تقسیم بندی مشتری برای ارائه کمپین های بازاریابی هدفمند و پیشنهادات شخصی بحث کنید.")</f>
        <v>در مورد نقش اجرای تقسیم بندی مشتری برای ارائه کمپین های بازاریابی هدفمند و پیشنهادات شخصی بحث کنید.</v>
      </c>
      <c r="H1217" s="1"/>
      <c r="I1217" s="1"/>
      <c r="J1217" s="1"/>
      <c r="K1217" s="1"/>
      <c r="L1217" s="1"/>
      <c r="M1217" s="1"/>
      <c r="N1217" s="1"/>
      <c r="O1217" s="1"/>
      <c r="P1217" s="1"/>
      <c r="Q1217" s="1"/>
      <c r="R1217" s="1"/>
      <c r="S1217" s="1"/>
      <c r="T1217" s="1"/>
      <c r="U1217" s="1"/>
      <c r="V1217" s="1"/>
      <c r="W1217" s="1"/>
      <c r="X1217" s="1"/>
      <c r="Y1217" s="1"/>
      <c r="Z1217" s="1"/>
      <c r="AA1217" s="1"/>
      <c r="AB1217" s="1"/>
    </row>
    <row r="1218" ht="50.25" customHeight="1">
      <c r="A1218" s="12">
        <v>1214.0</v>
      </c>
      <c r="B1218" s="13" t="s">
        <v>1004</v>
      </c>
      <c r="C1218" s="14" t="s">
        <v>1224</v>
      </c>
      <c r="D1218" s="1"/>
      <c r="E1218" s="15"/>
      <c r="F1218" s="1" t="str">
        <f>IFERROR(__xludf.DUMMYFUNCTION("GOOGLETRANSLATE(B1218, ""en"", ""fa"")
"),"تجارت الکترونیک و فروش آنلاین")</f>
        <v>تجارت الکترونیک و فروش آنلاین</v>
      </c>
      <c r="G1218" s="1" t="str">
        <f>IFERROR(__xludf.DUMMYFUNCTION("GOOGLETRANSLATE(C1218, ""en"", ""fa"")
"),"نکاتی را برای بهینه‌سازی بررسی‌ها و رتبه‌بندی‌های محصول به اشتراک بگذارید تا بازخورد مشتری را تشویق کنید و اعتماد ایجاد کنید.")</f>
        <v>نکاتی را برای بهینه‌سازی بررسی‌ها و رتبه‌بندی‌های محصول به اشتراک بگذارید تا بازخورد مشتری را تشویق کنید و اعتماد ایجاد کنید.</v>
      </c>
      <c r="H1218" s="1"/>
      <c r="I1218" s="1"/>
      <c r="J1218" s="1"/>
      <c r="K1218" s="1"/>
      <c r="L1218" s="1"/>
      <c r="M1218" s="1"/>
      <c r="N1218" s="1"/>
      <c r="O1218" s="1"/>
      <c r="P1218" s="1"/>
      <c r="Q1218" s="1"/>
      <c r="R1218" s="1"/>
      <c r="S1218" s="1"/>
      <c r="T1218" s="1"/>
      <c r="U1218" s="1"/>
      <c r="V1218" s="1"/>
      <c r="W1218" s="1"/>
      <c r="X1218" s="1"/>
      <c r="Y1218" s="1"/>
      <c r="Z1218" s="1"/>
      <c r="AA1218" s="1"/>
      <c r="AB1218" s="1"/>
    </row>
    <row r="1219" ht="50.25" customHeight="1">
      <c r="A1219" s="12">
        <v>1215.0</v>
      </c>
      <c r="B1219" s="13" t="s">
        <v>1004</v>
      </c>
      <c r="C1219" s="14" t="s">
        <v>1225</v>
      </c>
      <c r="D1219" s="1"/>
      <c r="E1219" s="15"/>
      <c r="F1219" s="1" t="str">
        <f>IFERROR(__xludf.DUMMYFUNCTION("GOOGLETRANSLATE(B1219, ""en"", ""fa"")
"),"تجارت الکترونیک و فروش آنلاین")</f>
        <v>تجارت الکترونیک و فروش آنلاین</v>
      </c>
      <c r="G1219" s="1" t="str">
        <f>IFERROR(__xludf.DUMMYFUNCTION("GOOGLETRANSLATE(C1219, ""en"", ""fa"")
"),"برای ارائه یک تجربه مثبت به مشتری و افزایش رضایت، مزایای ارائه یک سیاست بازگشت بدون دردسر را بررسی کنید.")</f>
        <v>برای ارائه یک تجربه مثبت به مشتری و افزایش رضایت، مزایای ارائه یک سیاست بازگشت بدون دردسر را بررسی کنید.</v>
      </c>
      <c r="H1219" s="1"/>
      <c r="I1219" s="1"/>
      <c r="J1219" s="1"/>
      <c r="K1219" s="1"/>
      <c r="L1219" s="1"/>
      <c r="M1219" s="1"/>
      <c r="N1219" s="1"/>
      <c r="O1219" s="1"/>
      <c r="P1219" s="1"/>
      <c r="Q1219" s="1"/>
      <c r="R1219" s="1"/>
      <c r="S1219" s="1"/>
      <c r="T1219" s="1"/>
      <c r="U1219" s="1"/>
      <c r="V1219" s="1"/>
      <c r="W1219" s="1"/>
      <c r="X1219" s="1"/>
      <c r="Y1219" s="1"/>
      <c r="Z1219" s="1"/>
      <c r="AA1219" s="1"/>
      <c r="AB1219" s="1"/>
    </row>
    <row r="1220" ht="50.25" customHeight="1">
      <c r="A1220" s="12">
        <v>1216.0</v>
      </c>
      <c r="B1220" s="13" t="s">
        <v>1004</v>
      </c>
      <c r="C1220" s="14" t="s">
        <v>1226</v>
      </c>
      <c r="D1220" s="1"/>
      <c r="E1220" s="15"/>
      <c r="F1220" s="1" t="str">
        <f>IFERROR(__xludf.DUMMYFUNCTION("GOOGLETRANSLATE(B1220, ""en"", ""fa"")
"),"تجارت الکترونیک و فروش آنلاین")</f>
        <v>تجارت الکترونیک و فروش آنلاین</v>
      </c>
      <c r="G1220" s="1" t="str">
        <f>IFERROR(__xludf.DUMMYFUNCTION("GOOGLETRANSLATE(C1220, ""en"", ""fa"")
"),"درباره تأثیر پیاده‌سازی درگاه پرداخت امن برای اطمینان از حفاظت از داده‌های مشتری و ایجاد اعتماد بحث کنید.")</f>
        <v>درباره تأثیر پیاده‌سازی درگاه پرداخت امن برای اطمینان از حفاظت از داده‌های مشتری و ایجاد اعتماد بحث کنید.</v>
      </c>
      <c r="H1220" s="1"/>
      <c r="I1220" s="1"/>
      <c r="J1220" s="1"/>
      <c r="K1220" s="1"/>
      <c r="L1220" s="1"/>
      <c r="M1220" s="1"/>
      <c r="N1220" s="1"/>
      <c r="O1220" s="1"/>
      <c r="P1220" s="1"/>
      <c r="Q1220" s="1"/>
      <c r="R1220" s="1"/>
      <c r="S1220" s="1"/>
      <c r="T1220" s="1"/>
      <c r="U1220" s="1"/>
      <c r="V1220" s="1"/>
      <c r="W1220" s="1"/>
      <c r="X1220" s="1"/>
      <c r="Y1220" s="1"/>
      <c r="Z1220" s="1"/>
      <c r="AA1220" s="1"/>
      <c r="AB1220" s="1"/>
    </row>
    <row r="1221" ht="50.25" customHeight="1">
      <c r="A1221" s="12">
        <v>1217.0</v>
      </c>
      <c r="B1221" s="13" t="s">
        <v>1004</v>
      </c>
      <c r="C1221" s="14" t="s">
        <v>1227</v>
      </c>
      <c r="D1221" s="1"/>
      <c r="E1221" s="15"/>
      <c r="F1221" s="1" t="str">
        <f>IFERROR(__xludf.DUMMYFUNCTION("GOOGLETRANSLATE(B1221, ""en"", ""fa"")
"),"تجارت الکترونیک و فروش آنلاین")</f>
        <v>تجارت الکترونیک و فروش آنلاین</v>
      </c>
      <c r="G1221" s="1" t="str">
        <f>IFERROR(__xludf.DUMMYFUNCTION("GOOGLETRANSLATE(C1221, ""en"", ""fa"")
"),"استراتژی‌های بهینه‌سازی مدیریت موجودی محصول را به اشتراک بگذارید تا از انبارداری جلوگیری شود و در دسترس بودن دقیق محصول حفظ شود.")</f>
        <v>استراتژی‌های بهینه‌سازی مدیریت موجودی محصول را به اشتراک بگذارید تا از انبارداری جلوگیری شود و در دسترس بودن دقیق محصول حفظ شود.</v>
      </c>
      <c r="H1221" s="1"/>
      <c r="I1221" s="1"/>
      <c r="J1221" s="1"/>
      <c r="K1221" s="1"/>
      <c r="L1221" s="1"/>
      <c r="M1221" s="1"/>
      <c r="N1221" s="1"/>
      <c r="O1221" s="1"/>
      <c r="P1221" s="1"/>
      <c r="Q1221" s="1"/>
      <c r="R1221" s="1"/>
      <c r="S1221" s="1"/>
      <c r="T1221" s="1"/>
      <c r="U1221" s="1"/>
      <c r="V1221" s="1"/>
      <c r="W1221" s="1"/>
      <c r="X1221" s="1"/>
      <c r="Y1221" s="1"/>
      <c r="Z1221" s="1"/>
      <c r="AA1221" s="1"/>
      <c r="AB1221" s="1"/>
    </row>
    <row r="1222" ht="50.25" customHeight="1">
      <c r="A1222" s="12">
        <v>1218.0</v>
      </c>
      <c r="B1222" s="13" t="s">
        <v>1004</v>
      </c>
      <c r="C1222" s="14" t="s">
        <v>1228</v>
      </c>
      <c r="D1222" s="1"/>
      <c r="E1222" s="15"/>
      <c r="F1222" s="1" t="str">
        <f>IFERROR(__xludf.DUMMYFUNCTION("GOOGLETRANSLATE(B1222, ""en"", ""fa"")
"),"تجارت الکترونیک و فروش آنلاین")</f>
        <v>تجارت الکترونیک و فروش آنلاین</v>
      </c>
      <c r="G1222" s="1" t="str">
        <f>IFERROR(__xludf.DUMMYFUNCTION("GOOGLETRANSLATE(C1222, ""en"", ""fa"")
"),"مفهوم استفاده از تکنیک‌های فروش متقابل و فروش متقابل را برای افزایش میانگین ارزش سفارش و به حداکثر رساندن درآمد بررسی کنید.")</f>
        <v>مفهوم استفاده از تکنیک‌های فروش متقابل و فروش متقابل را برای افزایش میانگین ارزش سفارش و به حداکثر رساندن درآمد بررسی کنید.</v>
      </c>
      <c r="H1222" s="1"/>
      <c r="I1222" s="1"/>
      <c r="J1222" s="1"/>
      <c r="K1222" s="1"/>
      <c r="L1222" s="1"/>
      <c r="M1222" s="1"/>
      <c r="N1222" s="1"/>
      <c r="O1222" s="1"/>
      <c r="P1222" s="1"/>
      <c r="Q1222" s="1"/>
      <c r="R1222" s="1"/>
      <c r="S1222" s="1"/>
      <c r="T1222" s="1"/>
      <c r="U1222" s="1"/>
      <c r="V1222" s="1"/>
      <c r="W1222" s="1"/>
      <c r="X1222" s="1"/>
      <c r="Y1222" s="1"/>
      <c r="Z1222" s="1"/>
      <c r="AA1222" s="1"/>
      <c r="AB1222" s="1"/>
    </row>
    <row r="1223" ht="50.25" customHeight="1">
      <c r="A1223" s="12">
        <v>1219.0</v>
      </c>
      <c r="B1223" s="13" t="s">
        <v>1004</v>
      </c>
      <c r="C1223" s="14" t="s">
        <v>1229</v>
      </c>
      <c r="D1223" s="1"/>
      <c r="E1223" s="15"/>
      <c r="F1223" s="1" t="str">
        <f>IFERROR(__xludf.DUMMYFUNCTION("GOOGLETRANSLATE(B1223, ""en"", ""fa"")
"),"تجارت الکترونیک و فروش آنلاین")</f>
        <v>تجارت الکترونیک و فروش آنلاین</v>
      </c>
      <c r="G1223" s="1" t="str">
        <f>IFERROR(__xludf.DUMMYFUNCTION("GOOGLETRANSLATE(C1223, ""en"", ""fa"")
"),"درباره نقش پیاده‌سازی اتوماسیون ایمیل برای ارائه توصیه‌های شخصی‌شده محصول و یادآوری‌های سبد خرید صحبت کنید.")</f>
        <v>درباره نقش پیاده‌سازی اتوماسیون ایمیل برای ارائه توصیه‌های شخصی‌شده محصول و یادآوری‌های سبد خرید صحبت کنید.</v>
      </c>
      <c r="H1223" s="1"/>
      <c r="I1223" s="1"/>
      <c r="J1223" s="1"/>
      <c r="K1223" s="1"/>
      <c r="L1223" s="1"/>
      <c r="M1223" s="1"/>
      <c r="N1223" s="1"/>
      <c r="O1223" s="1"/>
      <c r="P1223" s="1"/>
      <c r="Q1223" s="1"/>
      <c r="R1223" s="1"/>
      <c r="S1223" s="1"/>
      <c r="T1223" s="1"/>
      <c r="U1223" s="1"/>
      <c r="V1223" s="1"/>
      <c r="W1223" s="1"/>
      <c r="X1223" s="1"/>
      <c r="Y1223" s="1"/>
      <c r="Z1223" s="1"/>
      <c r="AA1223" s="1"/>
      <c r="AB1223" s="1"/>
    </row>
    <row r="1224" ht="50.25" customHeight="1">
      <c r="A1224" s="12">
        <v>1220.0</v>
      </c>
      <c r="B1224" s="13" t="s">
        <v>1004</v>
      </c>
      <c r="C1224" s="14" t="s">
        <v>1230</v>
      </c>
      <c r="D1224" s="1"/>
      <c r="E1224" s="15"/>
      <c r="F1224" s="1" t="str">
        <f>IFERROR(__xludf.DUMMYFUNCTION("GOOGLETRANSLATE(B1224, ""en"", ""fa"")
"),"تجارت الکترونیک و فروش آنلاین")</f>
        <v>تجارت الکترونیک و فروش آنلاین</v>
      </c>
      <c r="G1224" s="1" t="str">
        <f>IFERROR(__xludf.DUMMYFUNCTION("GOOGLETRANSLATE(C1224, ""en"", ""fa"")
"),"نکاتی را برای بهینه سازی عملکرد جستجوی محصول برای ارائه نتایج جستجوی دقیق و مرتبط برای مشتریان به اشتراک بگذارید.")</f>
        <v>نکاتی را برای بهینه سازی عملکرد جستجوی محصول برای ارائه نتایج جستجوی دقیق و مرتبط برای مشتریان به اشتراک بگذارید.</v>
      </c>
      <c r="H1224" s="1"/>
      <c r="I1224" s="1"/>
      <c r="J1224" s="1"/>
      <c r="K1224" s="1"/>
      <c r="L1224" s="1"/>
      <c r="M1224" s="1"/>
      <c r="N1224" s="1"/>
      <c r="O1224" s="1"/>
      <c r="P1224" s="1"/>
      <c r="Q1224" s="1"/>
      <c r="R1224" s="1"/>
      <c r="S1224" s="1"/>
      <c r="T1224" s="1"/>
      <c r="U1224" s="1"/>
      <c r="V1224" s="1"/>
      <c r="W1224" s="1"/>
      <c r="X1224" s="1"/>
      <c r="Y1224" s="1"/>
      <c r="Z1224" s="1"/>
      <c r="AA1224" s="1"/>
      <c r="AB1224" s="1"/>
    </row>
    <row r="1225" ht="50.25" customHeight="1">
      <c r="A1225" s="12">
        <v>1221.0</v>
      </c>
      <c r="B1225" s="13" t="s">
        <v>1004</v>
      </c>
      <c r="C1225" s="14" t="s">
        <v>1231</v>
      </c>
      <c r="D1225" s="1"/>
      <c r="E1225" s="15"/>
      <c r="F1225" s="1" t="str">
        <f>IFERROR(__xludf.DUMMYFUNCTION("GOOGLETRANSLATE(B1225, ""en"", ""fa"")
"),"تجارت الکترونیک و فروش آنلاین")</f>
        <v>تجارت الکترونیک و فروش آنلاین</v>
      </c>
      <c r="G1225" s="1" t="str">
        <f>IFERROR(__xludf.DUMMYFUNCTION("GOOGLETRANSLATE(C1225, ""en"", ""fa"")
"),"مزایای ارائه تخفیف یا تبلیغات انحصاری برای مشترکین ایمیل و مشتریان وفادار را بررسی کنید.")</f>
        <v>مزایای ارائه تخفیف یا تبلیغات انحصاری برای مشترکین ایمیل و مشتریان وفادار را بررسی کنید.</v>
      </c>
      <c r="H1225" s="1"/>
      <c r="I1225" s="1"/>
      <c r="J1225" s="1"/>
      <c r="K1225" s="1"/>
      <c r="L1225" s="1"/>
      <c r="M1225" s="1"/>
      <c r="N1225" s="1"/>
      <c r="O1225" s="1"/>
      <c r="P1225" s="1"/>
      <c r="Q1225" s="1"/>
      <c r="R1225" s="1"/>
      <c r="S1225" s="1"/>
      <c r="T1225" s="1"/>
      <c r="U1225" s="1"/>
      <c r="V1225" s="1"/>
      <c r="W1225" s="1"/>
      <c r="X1225" s="1"/>
      <c r="Y1225" s="1"/>
      <c r="Z1225" s="1"/>
      <c r="AA1225" s="1"/>
      <c r="AB1225" s="1"/>
    </row>
    <row r="1226" ht="50.25" customHeight="1">
      <c r="A1226" s="12">
        <v>1222.0</v>
      </c>
      <c r="B1226" s="13" t="s">
        <v>1004</v>
      </c>
      <c r="C1226" s="14" t="s">
        <v>1232</v>
      </c>
      <c r="D1226" s="1"/>
      <c r="E1226" s="15"/>
      <c r="F1226" s="1" t="str">
        <f>IFERROR(__xludf.DUMMYFUNCTION("GOOGLETRANSLATE(B1226, ""en"", ""fa"")
"),"تجارت الکترونیک و فروش آنلاین")</f>
        <v>تجارت الکترونیک و فروش آنلاین</v>
      </c>
      <c r="G1226" s="1" t="str">
        <f>IFERROR(__xludf.DUMMYFUNCTION("GOOGLETRANSLATE(C1226, ""en"", ""fa"")
"),"در مورد تأثیر اجرای مسابقات رسانه های اجتماعی یا هدایا برای ایجاد سر و صدا، افزایش آگاهی از برند و جذب مشتریان بحث کنید.")</f>
        <v>در مورد تأثیر اجرای مسابقات رسانه های اجتماعی یا هدایا برای ایجاد سر و صدا، افزایش آگاهی از برند و جذب مشتریان بحث کنید.</v>
      </c>
      <c r="H1226" s="1"/>
      <c r="I1226" s="1"/>
      <c r="J1226" s="1"/>
      <c r="K1226" s="1"/>
      <c r="L1226" s="1"/>
      <c r="M1226" s="1"/>
      <c r="N1226" s="1"/>
      <c r="O1226" s="1"/>
      <c r="P1226" s="1"/>
      <c r="Q1226" s="1"/>
      <c r="R1226" s="1"/>
      <c r="S1226" s="1"/>
      <c r="T1226" s="1"/>
      <c r="U1226" s="1"/>
      <c r="V1226" s="1"/>
      <c r="W1226" s="1"/>
      <c r="X1226" s="1"/>
      <c r="Y1226" s="1"/>
      <c r="Z1226" s="1"/>
      <c r="AA1226" s="1"/>
      <c r="AB1226" s="1"/>
    </row>
    <row r="1227" ht="50.25" customHeight="1">
      <c r="A1227" s="12">
        <v>1223.0</v>
      </c>
      <c r="B1227" s="13" t="s">
        <v>1004</v>
      </c>
      <c r="C1227" s="14" t="s">
        <v>1233</v>
      </c>
      <c r="D1227" s="1"/>
      <c r="E1227" s="15"/>
      <c r="F1227" s="1" t="str">
        <f>IFERROR(__xludf.DUMMYFUNCTION("GOOGLETRANSLATE(B1227, ""en"", ""fa"")
"),"تجارت الکترونیک و فروش آنلاین")</f>
        <v>تجارت الکترونیک و فروش آنلاین</v>
      </c>
      <c r="G1227" s="1" t="str">
        <f>IFERROR(__xludf.DUMMYFUNCTION("GOOGLETRANSLATE(C1227, ""en"", ""fa"")
"),"استراتژی‌ها را برای بهینه‌سازی تغییرات و گزینه‌های محصول برای پاسخگویی به ترجیحات و نیازهای مختلف مشتری به اشتراک بگذارید.")</f>
        <v>استراتژی‌ها را برای بهینه‌سازی تغییرات و گزینه‌های محصول برای پاسخگویی به ترجیحات و نیازهای مختلف مشتری به اشتراک بگذارید.</v>
      </c>
      <c r="H1227" s="1"/>
      <c r="I1227" s="1"/>
      <c r="J1227" s="1"/>
      <c r="K1227" s="1"/>
      <c r="L1227" s="1"/>
      <c r="M1227" s="1"/>
      <c r="N1227" s="1"/>
      <c r="O1227" s="1"/>
      <c r="P1227" s="1"/>
      <c r="Q1227" s="1"/>
      <c r="R1227" s="1"/>
      <c r="S1227" s="1"/>
      <c r="T1227" s="1"/>
      <c r="U1227" s="1"/>
      <c r="V1227" s="1"/>
      <c r="W1227" s="1"/>
      <c r="X1227" s="1"/>
      <c r="Y1227" s="1"/>
      <c r="Z1227" s="1"/>
      <c r="AA1227" s="1"/>
      <c r="AB1227" s="1"/>
    </row>
    <row r="1228" ht="50.25" customHeight="1">
      <c r="A1228" s="12">
        <v>1224.0</v>
      </c>
      <c r="B1228" s="13" t="s">
        <v>1004</v>
      </c>
      <c r="C1228" s="14" t="s">
        <v>1234</v>
      </c>
      <c r="D1228" s="1"/>
      <c r="E1228" s="15"/>
      <c r="F1228" s="1" t="str">
        <f>IFERROR(__xludf.DUMMYFUNCTION("GOOGLETRANSLATE(B1228, ""en"", ""fa"")
"),"تجارت الکترونیک و فروش آنلاین")</f>
        <v>تجارت الکترونیک و فروش آنلاین</v>
      </c>
      <c r="G1228" s="1" t="str">
        <f>IFERROR(__xludf.DUMMYFUNCTION("GOOGLETRANSLATE(C1228, ""en"", ""fa"")
"),"درباره نقش اجرای نظرسنجی‌های بازخورد مشتری برای جمع‌آوری بینش، شناسایی زمینه‌های بهبود و ارتقای تجربه مشتری بحث کنید.")</f>
        <v>درباره نقش اجرای نظرسنجی‌های بازخورد مشتری برای جمع‌آوری بینش، شناسایی زمینه‌های بهبود و ارتقای تجربه مشتری بحث کنید.</v>
      </c>
      <c r="H1228" s="1"/>
      <c r="I1228" s="1"/>
      <c r="J1228" s="1"/>
      <c r="K1228" s="1"/>
      <c r="L1228" s="1"/>
      <c r="M1228" s="1"/>
      <c r="N1228" s="1"/>
      <c r="O1228" s="1"/>
      <c r="P1228" s="1"/>
      <c r="Q1228" s="1"/>
      <c r="R1228" s="1"/>
      <c r="S1228" s="1"/>
      <c r="T1228" s="1"/>
      <c r="U1228" s="1"/>
      <c r="V1228" s="1"/>
      <c r="W1228" s="1"/>
      <c r="X1228" s="1"/>
      <c r="Y1228" s="1"/>
      <c r="Z1228" s="1"/>
      <c r="AA1228" s="1"/>
      <c r="AB1228" s="1"/>
    </row>
    <row r="1229" ht="50.25" customHeight="1">
      <c r="A1229" s="12">
        <v>1225.0</v>
      </c>
      <c r="B1229" s="13" t="s">
        <v>1004</v>
      </c>
      <c r="C1229" s="14" t="s">
        <v>1235</v>
      </c>
      <c r="D1229" s="1"/>
      <c r="E1229" s="15"/>
      <c r="F1229" s="1" t="str">
        <f>IFERROR(__xludf.DUMMYFUNCTION("GOOGLETRANSLATE(B1229, ""en"", ""fa"")
"),"تجارت الکترونیک و فروش آنلاین")</f>
        <v>تجارت الکترونیک و فروش آنلاین</v>
      </c>
      <c r="G1229" s="1" t="str">
        <f>IFERROR(__xludf.DUMMYFUNCTION("GOOGLETRANSLATE(C1229, ""en"", ""fa"")
"),"نکاتی را برای بهینه سازی سئوی محصول برای بهبود رتبه بندی موتورهای جستجو و جذب ترافیک ارگانیک به اشتراک بگذارید.")</f>
        <v>نکاتی را برای بهینه سازی سئوی محصول برای بهبود رتبه بندی موتورهای جستجو و جذب ترافیک ارگانیک به اشتراک بگذارید.</v>
      </c>
      <c r="H1229" s="1"/>
      <c r="I1229" s="1"/>
      <c r="J1229" s="1"/>
      <c r="K1229" s="1"/>
      <c r="L1229" s="1"/>
      <c r="M1229" s="1"/>
      <c r="N1229" s="1"/>
      <c r="O1229" s="1"/>
      <c r="P1229" s="1"/>
      <c r="Q1229" s="1"/>
      <c r="R1229" s="1"/>
      <c r="S1229" s="1"/>
      <c r="T1229" s="1"/>
      <c r="U1229" s="1"/>
      <c r="V1229" s="1"/>
      <c r="W1229" s="1"/>
      <c r="X1229" s="1"/>
      <c r="Y1229" s="1"/>
      <c r="Z1229" s="1"/>
      <c r="AA1229" s="1"/>
      <c r="AB1229" s="1"/>
    </row>
    <row r="1230" ht="50.25" customHeight="1">
      <c r="A1230" s="12">
        <v>1226.0</v>
      </c>
      <c r="B1230" s="13" t="s">
        <v>1004</v>
      </c>
      <c r="C1230" s="14" t="s">
        <v>1236</v>
      </c>
      <c r="D1230" s="1"/>
      <c r="E1230" s="15"/>
      <c r="F1230" s="1" t="str">
        <f>IFERROR(__xludf.DUMMYFUNCTION("GOOGLETRANSLATE(B1230, ""en"", ""fa"")
"),"تجارت الکترونیک و فروش آنلاین")</f>
        <v>تجارت الکترونیک و فروش آنلاین</v>
      </c>
      <c r="G1230" s="1" t="str">
        <f>IFERROR(__xludf.DUMMYFUNCTION("GOOGLETRANSLATE(C1230, ""en"", ""fa"")
"),"مزایای ارائه ضمانت نامه یا ضمانت محصول را برای اطمینان خاطر و القای اطمینان در مشتریان بررسی کنید.")</f>
        <v>مزایای ارائه ضمانت نامه یا ضمانت محصول را برای اطمینان خاطر و القای اطمینان در مشتریان بررسی کنید.</v>
      </c>
      <c r="H1230" s="1"/>
      <c r="I1230" s="1"/>
      <c r="J1230" s="1"/>
      <c r="K1230" s="1"/>
      <c r="L1230" s="1"/>
      <c r="M1230" s="1"/>
      <c r="N1230" s="1"/>
      <c r="O1230" s="1"/>
      <c r="P1230" s="1"/>
      <c r="Q1230" s="1"/>
      <c r="R1230" s="1"/>
      <c r="S1230" s="1"/>
      <c r="T1230" s="1"/>
      <c r="U1230" s="1"/>
      <c r="V1230" s="1"/>
      <c r="W1230" s="1"/>
      <c r="X1230" s="1"/>
      <c r="Y1230" s="1"/>
      <c r="Z1230" s="1"/>
      <c r="AA1230" s="1"/>
      <c r="AB1230" s="1"/>
    </row>
    <row r="1231" ht="50.25" customHeight="1">
      <c r="A1231" s="12">
        <v>1227.0</v>
      </c>
      <c r="B1231" s="13" t="s">
        <v>1004</v>
      </c>
      <c r="C1231" s="14" t="s">
        <v>1237</v>
      </c>
      <c r="D1231" s="1"/>
      <c r="E1231" s="15"/>
      <c r="F1231" s="1" t="str">
        <f>IFERROR(__xludf.DUMMYFUNCTION("GOOGLETRANSLATE(B1231, ""en"", ""fa"")
"),"تجارت الکترونیک و فروش آنلاین")</f>
        <v>تجارت الکترونیک و فروش آنلاین</v>
      </c>
      <c r="G1231" s="1" t="str">
        <f>IFERROR(__xludf.DUMMYFUNCTION("GOOGLETRANSLATE(C1231, ""en"", ""fa"")
"),"درباره تأثیر پیاده‌سازی رویکرد مشتری‌محور در پشتیبانی مشتری، از جمله زمان‌های پاسخ سریع و حل مؤثر مشکل بحث کنید.")</f>
        <v>درباره تأثیر پیاده‌سازی رویکرد مشتری‌محور در پشتیبانی مشتری، از جمله زمان‌های پاسخ سریع و حل مؤثر مشکل بحث کنید.</v>
      </c>
      <c r="H1231" s="1"/>
      <c r="I1231" s="1"/>
      <c r="J1231" s="1"/>
      <c r="K1231" s="1"/>
      <c r="L1231" s="1"/>
      <c r="M1231" s="1"/>
      <c r="N1231" s="1"/>
      <c r="O1231" s="1"/>
      <c r="P1231" s="1"/>
      <c r="Q1231" s="1"/>
      <c r="R1231" s="1"/>
      <c r="S1231" s="1"/>
      <c r="T1231" s="1"/>
      <c r="U1231" s="1"/>
      <c r="V1231" s="1"/>
      <c r="W1231" s="1"/>
      <c r="X1231" s="1"/>
      <c r="Y1231" s="1"/>
      <c r="Z1231" s="1"/>
      <c r="AA1231" s="1"/>
      <c r="AB1231" s="1"/>
    </row>
    <row r="1232" ht="50.25" customHeight="1">
      <c r="A1232" s="12">
        <v>1228.0</v>
      </c>
      <c r="B1232" s="13" t="s">
        <v>1004</v>
      </c>
      <c r="C1232" s="14" t="s">
        <v>1238</v>
      </c>
      <c r="D1232" s="1"/>
      <c r="E1232" s="15"/>
      <c r="F1232" s="1" t="str">
        <f>IFERROR(__xludf.DUMMYFUNCTION("GOOGLETRANSLATE(B1232, ""en"", ""fa"")
"),"تجارت الکترونیک و فروش آنلاین")</f>
        <v>تجارت الکترونیک و فروش آنلاین</v>
      </c>
      <c r="G1232" s="1" t="str">
        <f>IFERROR(__xludf.DUMMYFUNCTION("GOOGLETRANSLATE(C1232, ""en"", ""fa"")
"),"استراتژی‌هایی را برای بهینه‌سازی فرآیند بازگشت محصول برای ساده‌سازی عملیات و ارائه یک تجربه بی‌نظیر برای مشتری به اشتراک بگذارید.")</f>
        <v>استراتژی‌هایی را برای بهینه‌سازی فرآیند بازگشت محصول برای ساده‌سازی عملیات و ارائه یک تجربه بی‌نظیر برای مشتری به اشتراک بگذارید.</v>
      </c>
      <c r="H1232" s="1"/>
      <c r="I1232" s="1"/>
      <c r="J1232" s="1"/>
      <c r="K1232" s="1"/>
      <c r="L1232" s="1"/>
      <c r="M1232" s="1"/>
      <c r="N1232" s="1"/>
      <c r="O1232" s="1"/>
      <c r="P1232" s="1"/>
      <c r="Q1232" s="1"/>
      <c r="R1232" s="1"/>
      <c r="S1232" s="1"/>
      <c r="T1232" s="1"/>
      <c r="U1232" s="1"/>
      <c r="V1232" s="1"/>
      <c r="W1232" s="1"/>
      <c r="X1232" s="1"/>
      <c r="Y1232" s="1"/>
      <c r="Z1232" s="1"/>
      <c r="AA1232" s="1"/>
      <c r="AB1232" s="1"/>
    </row>
    <row r="1233" ht="50.25" customHeight="1">
      <c r="A1233" s="12">
        <v>1229.0</v>
      </c>
      <c r="B1233" s="13" t="s">
        <v>1004</v>
      </c>
      <c r="C1233" s="14" t="s">
        <v>1239</v>
      </c>
      <c r="D1233" s="1"/>
      <c r="E1233" s="15"/>
      <c r="F1233" s="1" t="str">
        <f>IFERROR(__xludf.DUMMYFUNCTION("GOOGLETRANSLATE(B1233, ""en"", ""fa"")
"),"تجارت الکترونیک و فروش آنلاین")</f>
        <v>تجارت الکترونیک و فروش آنلاین</v>
      </c>
      <c r="G1233" s="1" t="str">
        <f>IFERROR(__xludf.DUMMYFUNCTION("GOOGLETRANSLATE(C1233, ""en"", ""fa"")
"),"مفهوم استفاده از توصیه‌های محصول شخصی‌سازی شده را در کمپین‌های بازاریابی ایمیلی برای افزایش خریدهای تکراری بررسی کنید.")</f>
        <v>مفهوم استفاده از توصیه‌های محصول شخصی‌سازی شده را در کمپین‌های بازاریابی ایمیلی برای افزایش خریدهای تکراری بررسی کنید.</v>
      </c>
      <c r="H1233" s="1"/>
      <c r="I1233" s="1"/>
      <c r="J1233" s="1"/>
      <c r="K1233" s="1"/>
      <c r="L1233" s="1"/>
      <c r="M1233" s="1"/>
      <c r="N1233" s="1"/>
      <c r="O1233" s="1"/>
      <c r="P1233" s="1"/>
      <c r="Q1233" s="1"/>
      <c r="R1233" s="1"/>
      <c r="S1233" s="1"/>
      <c r="T1233" s="1"/>
      <c r="U1233" s="1"/>
      <c r="V1233" s="1"/>
      <c r="W1233" s="1"/>
      <c r="X1233" s="1"/>
      <c r="Y1233" s="1"/>
      <c r="Z1233" s="1"/>
      <c r="AA1233" s="1"/>
      <c r="AB1233" s="1"/>
    </row>
    <row r="1234" ht="50.25" customHeight="1">
      <c r="A1234" s="12">
        <v>1230.0</v>
      </c>
      <c r="B1234" s="13" t="s">
        <v>1004</v>
      </c>
      <c r="C1234" s="14" t="s">
        <v>1240</v>
      </c>
      <c r="D1234" s="1"/>
      <c r="E1234" s="15"/>
      <c r="F1234" s="1" t="str">
        <f>IFERROR(__xludf.DUMMYFUNCTION("GOOGLETRANSLATE(B1234, ""en"", ""fa"")
"),"تجارت الکترونیک و فروش آنلاین")</f>
        <v>تجارت الکترونیک و فروش آنلاین</v>
      </c>
      <c r="G1234" s="1" t="str">
        <f>IFERROR(__xludf.DUMMYFUNCTION("GOOGLETRANSLATE(C1234, ""en"", ""fa"")
"),"درباره نقش پیاده‌سازی یک سیستم تجزیه و تحلیل جامع برای ردیابی معیارهای کلیدی عملکرد و تصمیم‌گیری مبتنی بر داده بحث کنید.")</f>
        <v>درباره نقش پیاده‌سازی یک سیستم تجزیه و تحلیل جامع برای ردیابی معیارهای کلیدی عملکرد و تصمیم‌گیری مبتنی بر داده بحث کنید.</v>
      </c>
      <c r="H1234" s="1"/>
      <c r="I1234" s="1"/>
      <c r="J1234" s="1"/>
      <c r="K1234" s="1"/>
      <c r="L1234" s="1"/>
      <c r="M1234" s="1"/>
      <c r="N1234" s="1"/>
      <c r="O1234" s="1"/>
      <c r="P1234" s="1"/>
      <c r="Q1234" s="1"/>
      <c r="R1234" s="1"/>
      <c r="S1234" s="1"/>
      <c r="T1234" s="1"/>
      <c r="U1234" s="1"/>
      <c r="V1234" s="1"/>
      <c r="W1234" s="1"/>
      <c r="X1234" s="1"/>
      <c r="Y1234" s="1"/>
      <c r="Z1234" s="1"/>
      <c r="AA1234" s="1"/>
      <c r="AB1234" s="1"/>
    </row>
    <row r="1235" ht="50.25" customHeight="1">
      <c r="A1235" s="12">
        <v>1231.0</v>
      </c>
      <c r="B1235" s="13" t="s">
        <v>1004</v>
      </c>
      <c r="C1235" s="14" t="s">
        <v>1241</v>
      </c>
      <c r="D1235" s="1"/>
      <c r="E1235" s="15"/>
      <c r="F1235" s="1" t="str">
        <f>IFERROR(__xludf.DUMMYFUNCTION("GOOGLETRANSLATE(B1235, ""en"", ""fa"")
"),"تجارت الکترونیک و فروش آنلاین")</f>
        <v>تجارت الکترونیک و فروش آنلاین</v>
      </c>
      <c r="G1235" s="1" t="str">
        <f>IFERROR(__xludf.DUMMYFUNCTION("GOOGLETRANSLATE(C1235, ""en"", ""fa"")
"),"برای اطمینان از تجربه خرید مثبت برای مشتریان دارای معلولیت، نکاتی را برای بهینه سازی صفحات محصول برای دسترسی به آنها به اشتراک بگذارید.")</f>
        <v>برای اطمینان از تجربه خرید مثبت برای مشتریان دارای معلولیت، نکاتی را برای بهینه سازی صفحات محصول برای دسترسی به آنها به اشتراک بگذارید.</v>
      </c>
      <c r="H1235" s="1"/>
      <c r="I1235" s="1"/>
      <c r="J1235" s="1"/>
      <c r="K1235" s="1"/>
      <c r="L1235" s="1"/>
      <c r="M1235" s="1"/>
      <c r="N1235" s="1"/>
      <c r="O1235" s="1"/>
      <c r="P1235" s="1"/>
      <c r="Q1235" s="1"/>
      <c r="R1235" s="1"/>
      <c r="S1235" s="1"/>
      <c r="T1235" s="1"/>
      <c r="U1235" s="1"/>
      <c r="V1235" s="1"/>
      <c r="W1235" s="1"/>
      <c r="X1235" s="1"/>
      <c r="Y1235" s="1"/>
      <c r="Z1235" s="1"/>
      <c r="AA1235" s="1"/>
      <c r="AB1235" s="1"/>
    </row>
    <row r="1236" ht="50.25" customHeight="1">
      <c r="A1236" s="12">
        <v>1232.0</v>
      </c>
      <c r="B1236" s="13" t="s">
        <v>1004</v>
      </c>
      <c r="C1236" s="14" t="s">
        <v>1242</v>
      </c>
      <c r="D1236" s="1"/>
      <c r="E1236" s="15"/>
      <c r="F1236" s="1" t="str">
        <f>IFERROR(__xludf.DUMMYFUNCTION("GOOGLETRANSLATE(B1236, ""en"", ""fa"")
"),"تجارت الکترونیک و فروش آنلاین")</f>
        <v>تجارت الکترونیک و فروش آنلاین</v>
      </c>
      <c r="G1236" s="1" t="str">
        <f>IFERROR(__xludf.DUMMYFUNCTION("GOOGLETRANSLATE(C1236, ""en"", ""fa"")
"),"مزایای ارائه پیش‌سفارش محصول یا راه‌اندازی انحصاری برای ایجاد انتظار و هیجان در بین مشتریان را بررسی کنید.")</f>
        <v>مزایای ارائه پیش‌سفارش محصول یا راه‌اندازی انحصاری برای ایجاد انتظار و هیجان در بین مشتریان را بررسی کنید.</v>
      </c>
      <c r="H1236" s="1"/>
      <c r="I1236" s="1"/>
      <c r="J1236" s="1"/>
      <c r="K1236" s="1"/>
      <c r="L1236" s="1"/>
      <c r="M1236" s="1"/>
      <c r="N1236" s="1"/>
      <c r="O1236" s="1"/>
      <c r="P1236" s="1"/>
      <c r="Q1236" s="1"/>
      <c r="R1236" s="1"/>
      <c r="S1236" s="1"/>
      <c r="T1236" s="1"/>
      <c r="U1236" s="1"/>
      <c r="V1236" s="1"/>
      <c r="W1236" s="1"/>
      <c r="X1236" s="1"/>
      <c r="Y1236" s="1"/>
      <c r="Z1236" s="1"/>
      <c r="AA1236" s="1"/>
      <c r="AB1236" s="1"/>
    </row>
    <row r="1237" ht="50.25" customHeight="1">
      <c r="A1237" s="12">
        <v>1233.0</v>
      </c>
      <c r="B1237" s="13" t="s">
        <v>1004</v>
      </c>
      <c r="C1237" s="14" t="s">
        <v>1243</v>
      </c>
      <c r="D1237" s="1"/>
      <c r="E1237" s="15"/>
      <c r="F1237" s="1" t="str">
        <f>IFERROR(__xludf.DUMMYFUNCTION("GOOGLETRANSLATE(B1237, ""en"", ""fa"")
"),"تجارت الکترونیک و فروش آنلاین")</f>
        <v>تجارت الکترونیک و فروش آنلاین</v>
      </c>
      <c r="G1237" s="1" t="str">
        <f>IFERROR(__xludf.DUMMYFUNCTION("GOOGLETRANSLATE(C1237, ""en"", ""fa"")
"),"درباره تأثیر اجرای تقسیم بندی مشتری بر اساس جمعیت شناسی، علایق یا رفتار خرید برای ارائه پیشنهادات هدفمند بحث کنید.")</f>
        <v>درباره تأثیر اجرای تقسیم بندی مشتری بر اساس جمعیت شناسی، علایق یا رفتار خرید برای ارائه پیشنهادات هدفمند بحث کنید.</v>
      </c>
      <c r="H1237" s="1"/>
      <c r="I1237" s="1"/>
      <c r="J1237" s="1"/>
      <c r="K1237" s="1"/>
      <c r="L1237" s="1"/>
      <c r="M1237" s="1"/>
      <c r="N1237" s="1"/>
      <c r="O1237" s="1"/>
      <c r="P1237" s="1"/>
      <c r="Q1237" s="1"/>
      <c r="R1237" s="1"/>
      <c r="S1237" s="1"/>
      <c r="T1237" s="1"/>
      <c r="U1237" s="1"/>
      <c r="V1237" s="1"/>
      <c r="W1237" s="1"/>
      <c r="X1237" s="1"/>
      <c r="Y1237" s="1"/>
      <c r="Z1237" s="1"/>
      <c r="AA1237" s="1"/>
      <c r="AB1237" s="1"/>
    </row>
    <row r="1238" ht="50.25" customHeight="1">
      <c r="A1238" s="12">
        <v>1234.0</v>
      </c>
      <c r="B1238" s="13" t="s">
        <v>1004</v>
      </c>
      <c r="C1238" s="14" t="s">
        <v>1244</v>
      </c>
      <c r="D1238" s="1"/>
      <c r="E1238" s="15"/>
      <c r="F1238" s="1" t="str">
        <f>IFERROR(__xludf.DUMMYFUNCTION("GOOGLETRANSLATE(B1238, ""en"", ""fa"")
"),"تجارت الکترونیک و فروش آنلاین")</f>
        <v>تجارت الکترونیک و فروش آنلاین</v>
      </c>
      <c r="G1238" s="1" t="str">
        <f>IFERROR(__xludf.DUMMYFUNCTION("GOOGLETRANSLATE(C1238, ""en"", ""fa"")
"),"استراتژی‌هایی برای بهینه‌سازی تصاویر محصول برای پلتفرم‌های رسانه‌های اجتماعی برای افزایش دید، تعامل و نرخ کلیک به اشتراک بگذارید.")</f>
        <v>استراتژی‌هایی برای بهینه‌سازی تصاویر محصول برای پلتفرم‌های رسانه‌های اجتماعی برای افزایش دید، تعامل و نرخ کلیک به اشتراک بگذارید.</v>
      </c>
      <c r="H1238" s="1"/>
      <c r="I1238" s="1"/>
      <c r="J1238" s="1"/>
      <c r="K1238" s="1"/>
      <c r="L1238" s="1"/>
      <c r="M1238" s="1"/>
      <c r="N1238" s="1"/>
      <c r="O1238" s="1"/>
      <c r="P1238" s="1"/>
      <c r="Q1238" s="1"/>
      <c r="R1238" s="1"/>
      <c r="S1238" s="1"/>
      <c r="T1238" s="1"/>
      <c r="U1238" s="1"/>
      <c r="V1238" s="1"/>
      <c r="W1238" s="1"/>
      <c r="X1238" s="1"/>
      <c r="Y1238" s="1"/>
      <c r="Z1238" s="1"/>
      <c r="AA1238" s="1"/>
      <c r="AB1238" s="1"/>
    </row>
    <row r="1239" ht="50.25" customHeight="1">
      <c r="A1239" s="12">
        <v>1235.0</v>
      </c>
      <c r="B1239" s="13" t="s">
        <v>1004</v>
      </c>
      <c r="C1239" s="14" t="s">
        <v>1245</v>
      </c>
      <c r="D1239" s="1"/>
      <c r="E1239" s="15"/>
      <c r="F1239" s="1" t="str">
        <f>IFERROR(__xludf.DUMMYFUNCTION("GOOGLETRANSLATE(B1239, ""en"", ""fa"")
"),"تجارت الکترونیک و فروش آنلاین")</f>
        <v>تجارت الکترونیک و فروش آنلاین</v>
      </c>
      <c r="G1239" s="1" t="str">
        <f>IFERROR(__xludf.DUMMYFUNCTION("GOOGLETRANSLATE(C1239, ""en"", ""fa"")
"),"مفهوم استفاده از بازاریابی محتوای مشتری محور، مانند پست های وبلاگ آموزنده یا آموزش های ویدیویی را برای آموزش و جذب مشتریان بررسی کنید.")</f>
        <v>مفهوم استفاده از بازاریابی محتوای مشتری محور، مانند پست های وبلاگ آموزنده یا آموزش های ویدیویی را برای آموزش و جذب مشتریان بررسی کنید.</v>
      </c>
      <c r="H1239" s="1"/>
      <c r="I1239" s="1"/>
      <c r="J1239" s="1"/>
      <c r="K1239" s="1"/>
      <c r="L1239" s="1"/>
      <c r="M1239" s="1"/>
      <c r="N1239" s="1"/>
      <c r="O1239" s="1"/>
      <c r="P1239" s="1"/>
      <c r="Q1239" s="1"/>
      <c r="R1239" s="1"/>
      <c r="S1239" s="1"/>
      <c r="T1239" s="1"/>
      <c r="U1239" s="1"/>
      <c r="V1239" s="1"/>
      <c r="W1239" s="1"/>
      <c r="X1239" s="1"/>
      <c r="Y1239" s="1"/>
      <c r="Z1239" s="1"/>
      <c r="AA1239" s="1"/>
      <c r="AB1239" s="1"/>
    </row>
    <row r="1240" ht="50.25" customHeight="1">
      <c r="A1240" s="12">
        <v>1236.0</v>
      </c>
      <c r="B1240" s="13" t="s">
        <v>1004</v>
      </c>
      <c r="C1240" s="14" t="s">
        <v>1246</v>
      </c>
      <c r="D1240" s="1"/>
      <c r="E1240" s="15"/>
      <c r="F1240" s="1" t="str">
        <f>IFERROR(__xludf.DUMMYFUNCTION("GOOGLETRANSLATE(B1240, ""en"", ""fa"")
"),"تجارت الکترونیک و فروش آنلاین")</f>
        <v>تجارت الکترونیک و فروش آنلاین</v>
      </c>
      <c r="G1240" s="1" t="str">
        <f>IFERROR(__xludf.DUMMYFUNCTION("GOOGLETRANSLATE(C1240, ""en"", ""fa"")
"),"درباره نقش پیاده‌سازی یک سیستم پیام‌رسانی شخصی‌شده در محل برای ارائه کمک و پشتیبانی در زمان واقعی به مشتریان بحث کنید.")</f>
        <v>درباره نقش پیاده‌سازی یک سیستم پیام‌رسانی شخصی‌شده در محل برای ارائه کمک و پشتیبانی در زمان واقعی به مشتریان بحث کنید.</v>
      </c>
      <c r="H1240" s="1"/>
      <c r="I1240" s="1"/>
      <c r="J1240" s="1"/>
      <c r="K1240" s="1"/>
      <c r="L1240" s="1"/>
      <c r="M1240" s="1"/>
      <c r="N1240" s="1"/>
      <c r="O1240" s="1"/>
      <c r="P1240" s="1"/>
      <c r="Q1240" s="1"/>
      <c r="R1240" s="1"/>
      <c r="S1240" s="1"/>
      <c r="T1240" s="1"/>
      <c r="U1240" s="1"/>
      <c r="V1240" s="1"/>
      <c r="W1240" s="1"/>
      <c r="X1240" s="1"/>
      <c r="Y1240" s="1"/>
      <c r="Z1240" s="1"/>
      <c r="AA1240" s="1"/>
      <c r="AB1240" s="1"/>
    </row>
    <row r="1241" ht="50.25" customHeight="1">
      <c r="A1241" s="12">
        <v>1237.0</v>
      </c>
      <c r="B1241" s="13" t="s">
        <v>1004</v>
      </c>
      <c r="C1241" s="14" t="s">
        <v>1247</v>
      </c>
      <c r="D1241" s="1"/>
      <c r="E1241" s="15"/>
      <c r="F1241" s="1" t="str">
        <f>IFERROR(__xludf.DUMMYFUNCTION("GOOGLETRANSLATE(B1241, ""en"", ""fa"")
"),"تجارت الکترونیک و فروش آنلاین")</f>
        <v>تجارت الکترونیک و فروش آنلاین</v>
      </c>
      <c r="G1241" s="1" t="str">
        <f>IFERROR(__xludf.DUMMYFUNCTION("GOOGLETRANSLATE(C1241, ""en"", ""fa"")
"),"نکاتی را برای بهینه‌سازی صفحات محصول با تکنیک‌های کپی‌نویسی متقاعدکننده برای انتقال مزایای محصول و وادار کردن مشتریان به خرید به اشتراک بگذارید.")</f>
        <v>نکاتی را برای بهینه‌سازی صفحات محصول با تکنیک‌های کپی‌نویسی متقاعدکننده برای انتقال مزایای محصول و وادار کردن مشتریان به خرید به اشتراک بگذارید.</v>
      </c>
      <c r="H1241" s="1"/>
      <c r="I1241" s="1"/>
      <c r="J1241" s="1"/>
      <c r="K1241" s="1"/>
      <c r="L1241" s="1"/>
      <c r="M1241" s="1"/>
      <c r="N1241" s="1"/>
      <c r="O1241" s="1"/>
      <c r="P1241" s="1"/>
      <c r="Q1241" s="1"/>
      <c r="R1241" s="1"/>
      <c r="S1241" s="1"/>
      <c r="T1241" s="1"/>
      <c r="U1241" s="1"/>
      <c r="V1241" s="1"/>
      <c r="W1241" s="1"/>
      <c r="X1241" s="1"/>
      <c r="Y1241" s="1"/>
      <c r="Z1241" s="1"/>
      <c r="AA1241" s="1"/>
      <c r="AB1241" s="1"/>
    </row>
    <row r="1242" ht="50.25" customHeight="1">
      <c r="A1242" s="12">
        <v>1238.0</v>
      </c>
      <c r="B1242" s="13" t="s">
        <v>1004</v>
      </c>
      <c r="C1242" s="14" t="s">
        <v>1248</v>
      </c>
      <c r="D1242" s="1"/>
      <c r="E1242" s="15"/>
      <c r="F1242" s="1" t="str">
        <f>IFERROR(__xludf.DUMMYFUNCTION("GOOGLETRANSLATE(B1242, ""en"", ""fa"")
"),"تجارت الکترونیک و فروش آنلاین")</f>
        <v>تجارت الکترونیک و فروش آنلاین</v>
      </c>
      <c r="G1242" s="1" t="str">
        <f>IFERROR(__xludf.DUMMYFUNCTION("GOOGLETRANSLATE(C1242, ""en"", ""fa"")
"),"مزایای ارائه گزینه تسویه حساب مهمان برای ساده کردن فرآیند خرید برای مشتریانی که اولین بار هستند را بررسی کنید.")</f>
        <v>مزایای ارائه گزینه تسویه حساب مهمان برای ساده کردن فرآیند خرید برای مشتریانی که اولین بار هستند را بررسی کنید.</v>
      </c>
      <c r="H1242" s="1"/>
      <c r="I1242" s="1"/>
      <c r="J1242" s="1"/>
      <c r="K1242" s="1"/>
      <c r="L1242" s="1"/>
      <c r="M1242" s="1"/>
      <c r="N1242" s="1"/>
      <c r="O1242" s="1"/>
      <c r="P1242" s="1"/>
      <c r="Q1242" s="1"/>
      <c r="R1242" s="1"/>
      <c r="S1242" s="1"/>
      <c r="T1242" s="1"/>
      <c r="U1242" s="1"/>
      <c r="V1242" s="1"/>
      <c r="W1242" s="1"/>
      <c r="X1242" s="1"/>
      <c r="Y1242" s="1"/>
      <c r="Z1242" s="1"/>
      <c r="AA1242" s="1"/>
      <c r="AB1242" s="1"/>
    </row>
    <row r="1243" ht="50.25" customHeight="1">
      <c r="A1243" s="12">
        <v>1239.0</v>
      </c>
      <c r="B1243" s="13" t="s">
        <v>1004</v>
      </c>
      <c r="C1243" s="14" t="s">
        <v>1249</v>
      </c>
      <c r="D1243" s="1"/>
      <c r="E1243" s="15"/>
      <c r="F1243" s="1" t="str">
        <f>IFERROR(__xludf.DUMMYFUNCTION("GOOGLETRANSLATE(B1243, ""en"", ""fa"")
"),"تجارت الکترونیک و فروش آنلاین")</f>
        <v>تجارت الکترونیک و فروش آنلاین</v>
      </c>
      <c r="G1243" s="1" t="str">
        <f>IFERROR(__xludf.DUMMYFUNCTION("GOOGLETRANSLATE(C1243, ""en"", ""fa"")
"),"درباره تأثیر اجرای تقسیم‌بندی مشتری برای کمپین‌های ایمیل هدفمند، مانند یادآوری‌های رها کردن سبد خرید یا توصیه‌های شخصی‌شده محصول، بحث کنید.")</f>
        <v>درباره تأثیر اجرای تقسیم‌بندی مشتری برای کمپین‌های ایمیل هدفمند، مانند یادآوری‌های رها کردن سبد خرید یا توصیه‌های شخصی‌شده محصول، بحث کنید.</v>
      </c>
      <c r="H1243" s="1"/>
      <c r="I1243" s="1"/>
      <c r="J1243" s="1"/>
      <c r="K1243" s="1"/>
      <c r="L1243" s="1"/>
      <c r="M1243" s="1"/>
      <c r="N1243" s="1"/>
      <c r="O1243" s="1"/>
      <c r="P1243" s="1"/>
      <c r="Q1243" s="1"/>
      <c r="R1243" s="1"/>
      <c r="S1243" s="1"/>
      <c r="T1243" s="1"/>
      <c r="U1243" s="1"/>
      <c r="V1243" s="1"/>
      <c r="W1243" s="1"/>
      <c r="X1243" s="1"/>
      <c r="Y1243" s="1"/>
      <c r="Z1243" s="1"/>
      <c r="AA1243" s="1"/>
      <c r="AB1243" s="1"/>
    </row>
    <row r="1244" ht="50.25" customHeight="1">
      <c r="A1244" s="12">
        <v>1240.0</v>
      </c>
      <c r="B1244" s="13" t="s">
        <v>1004</v>
      </c>
      <c r="C1244" s="14" t="s">
        <v>1250</v>
      </c>
      <c r="D1244" s="1"/>
      <c r="E1244" s="15"/>
      <c r="F1244" s="1" t="str">
        <f>IFERROR(__xludf.DUMMYFUNCTION("GOOGLETRANSLATE(B1244, ""en"", ""fa"")
"),"تجارت الکترونیک و فروش آنلاین")</f>
        <v>تجارت الکترونیک و فروش آنلاین</v>
      </c>
      <c r="G1244" s="1" t="str">
        <f>IFERROR(__xludf.DUMMYFUNCTION("GOOGLETRANSLATE(C1244, ""en"", ""fa"")
"),"استراتژی‌هایی را برای بهینه‌سازی فهرست‌های محصولات برای بازارهای بین‌المللی، از جمله محلی‌سازی، تبدیل ارز، و گزینه‌های ارسال به اشتراک بگذارید.")</f>
        <v>استراتژی‌هایی را برای بهینه‌سازی فهرست‌های محصولات برای بازارهای بین‌المللی، از جمله محلی‌سازی، تبدیل ارز، و گزینه‌های ارسال به اشتراک بگذارید.</v>
      </c>
      <c r="H1244" s="1"/>
      <c r="I1244" s="1"/>
      <c r="J1244" s="1"/>
      <c r="K1244" s="1"/>
      <c r="L1244" s="1"/>
      <c r="M1244" s="1"/>
      <c r="N1244" s="1"/>
      <c r="O1244" s="1"/>
      <c r="P1244" s="1"/>
      <c r="Q1244" s="1"/>
      <c r="R1244" s="1"/>
      <c r="S1244" s="1"/>
      <c r="T1244" s="1"/>
      <c r="U1244" s="1"/>
      <c r="V1244" s="1"/>
      <c r="W1244" s="1"/>
      <c r="X1244" s="1"/>
      <c r="Y1244" s="1"/>
      <c r="Z1244" s="1"/>
      <c r="AA1244" s="1"/>
      <c r="AB1244" s="1"/>
    </row>
    <row r="1245" ht="50.25" customHeight="1">
      <c r="A1245" s="12">
        <v>1241.0</v>
      </c>
      <c r="B1245" s="13" t="s">
        <v>1004</v>
      </c>
      <c r="C1245" s="14" t="s">
        <v>1251</v>
      </c>
      <c r="D1245" s="1"/>
      <c r="E1245" s="15"/>
      <c r="F1245" s="1" t="str">
        <f>IFERROR(__xludf.DUMMYFUNCTION("GOOGLETRANSLATE(B1245, ""en"", ""fa"")
"),"تجارت الکترونیک و فروش آنلاین")</f>
        <v>تجارت الکترونیک و فروش آنلاین</v>
      </c>
      <c r="G1245" s="1" t="str">
        <f>IFERROR(__xludf.DUMMYFUNCTION("GOOGLETRANSLATE(C1245, ""en"", ""fa"")
"),"در مورد مزایای اجرای یک ویژگی مقایسه محصول در وب سایت تجارت الکترونیک خود برای کمک به مشتریان در تصمیم گیری آگاهانه خرید بحث کنید.")</f>
        <v>در مورد مزایای اجرای یک ویژگی مقایسه محصول در وب سایت تجارت الکترونیک خود برای کمک به مشتریان در تصمیم گیری آگاهانه خرید بحث کنید.</v>
      </c>
      <c r="H1245" s="1"/>
      <c r="I1245" s="1"/>
      <c r="J1245" s="1"/>
      <c r="K1245" s="1"/>
      <c r="L1245" s="1"/>
      <c r="M1245" s="1"/>
      <c r="N1245" s="1"/>
      <c r="O1245" s="1"/>
      <c r="P1245" s="1"/>
      <c r="Q1245" s="1"/>
      <c r="R1245" s="1"/>
      <c r="S1245" s="1"/>
      <c r="T1245" s="1"/>
      <c r="U1245" s="1"/>
      <c r="V1245" s="1"/>
      <c r="W1245" s="1"/>
      <c r="X1245" s="1"/>
      <c r="Y1245" s="1"/>
      <c r="Z1245" s="1"/>
      <c r="AA1245" s="1"/>
      <c r="AB1245" s="1"/>
    </row>
    <row r="1246" ht="50.25" customHeight="1">
      <c r="A1246" s="12">
        <v>1242.0</v>
      </c>
      <c r="B1246" s="13" t="s">
        <v>1004</v>
      </c>
      <c r="C1246" s="14" t="s">
        <v>1252</v>
      </c>
      <c r="D1246" s="1"/>
      <c r="E1246" s="15"/>
      <c r="F1246" s="1" t="str">
        <f>IFERROR(__xludf.DUMMYFUNCTION("GOOGLETRANSLATE(B1246, ""en"", ""fa"")
"),"تجارت الکترونیک و فروش آنلاین")</f>
        <v>تجارت الکترونیک و فروش آنلاین</v>
      </c>
      <c r="G1246" s="1" t="str">
        <f>IFERROR(__xludf.DUMMYFUNCTION("GOOGLETRANSLATE(C1246, ""en"", ""fa"")
"),"استراتژی‌هایی را برای بهینه‌سازی صفحات محصول برای جستجوی صوتی به اشتراک بگذارید تا تعداد فزاینده‌ای از دستیاران خرید فعال شده با صدا را برآورده کند.")</f>
        <v>استراتژی‌هایی را برای بهینه‌سازی صفحات محصول برای جستجوی صوتی به اشتراک بگذارید تا تعداد فزاینده‌ای از دستیاران خرید فعال شده با صدا را برآورده کند.</v>
      </c>
      <c r="H1246" s="1"/>
      <c r="I1246" s="1"/>
      <c r="J1246" s="1"/>
      <c r="K1246" s="1"/>
      <c r="L1246" s="1"/>
      <c r="M1246" s="1"/>
      <c r="N1246" s="1"/>
      <c r="O1246" s="1"/>
      <c r="P1246" s="1"/>
      <c r="Q1246" s="1"/>
      <c r="R1246" s="1"/>
      <c r="S1246" s="1"/>
      <c r="T1246" s="1"/>
      <c r="U1246" s="1"/>
      <c r="V1246" s="1"/>
      <c r="W1246" s="1"/>
      <c r="X1246" s="1"/>
      <c r="Y1246" s="1"/>
      <c r="Z1246" s="1"/>
      <c r="AA1246" s="1"/>
      <c r="AB1246" s="1"/>
    </row>
    <row r="1247" ht="50.25" customHeight="1">
      <c r="A1247" s="12">
        <v>1243.0</v>
      </c>
      <c r="B1247" s="13" t="s">
        <v>1004</v>
      </c>
      <c r="C1247" s="14" t="s">
        <v>1253</v>
      </c>
      <c r="D1247" s="1"/>
      <c r="E1247" s="15"/>
      <c r="F1247" s="1" t="str">
        <f>IFERROR(__xludf.DUMMYFUNCTION("GOOGLETRANSLATE(B1247, ""en"", ""fa"")
"),"تجارت الکترونیک و فروش آنلاین")</f>
        <v>تجارت الکترونیک و فروش آنلاین</v>
      </c>
      <c r="G1247" s="1" t="str">
        <f>IFERROR(__xludf.DUMMYFUNCTION("GOOGLETRANSLATE(C1247, ""en"", ""fa"")
"),"مفهوم استفاده از اینفلوئنسرهای رسانه های اجتماعی برای ایجاد نمایش ها یا آموزش های محصول جذاب و تعاملی را بررسی کنید.")</f>
        <v>مفهوم استفاده از اینفلوئنسرهای رسانه های اجتماعی برای ایجاد نمایش ها یا آموزش های محصول جذاب و تعاملی را بررسی کنید.</v>
      </c>
      <c r="H1247" s="1"/>
      <c r="I1247" s="1"/>
      <c r="J1247" s="1"/>
      <c r="K1247" s="1"/>
      <c r="L1247" s="1"/>
      <c r="M1247" s="1"/>
      <c r="N1247" s="1"/>
      <c r="O1247" s="1"/>
      <c r="P1247" s="1"/>
      <c r="Q1247" s="1"/>
      <c r="R1247" s="1"/>
      <c r="S1247" s="1"/>
      <c r="T1247" s="1"/>
      <c r="U1247" s="1"/>
      <c r="V1247" s="1"/>
      <c r="W1247" s="1"/>
      <c r="X1247" s="1"/>
      <c r="Y1247" s="1"/>
      <c r="Z1247" s="1"/>
      <c r="AA1247" s="1"/>
      <c r="AB1247" s="1"/>
    </row>
    <row r="1248" ht="50.25" customHeight="1">
      <c r="A1248" s="12">
        <v>1244.0</v>
      </c>
      <c r="B1248" s="13" t="s">
        <v>1004</v>
      </c>
      <c r="C1248" s="14" t="s">
        <v>1254</v>
      </c>
      <c r="D1248" s="1"/>
      <c r="E1248" s="15"/>
      <c r="F1248" s="1" t="str">
        <f>IFERROR(__xludf.DUMMYFUNCTION("GOOGLETRANSLATE(B1248, ""en"", ""fa"")
"),"تجارت الکترونیک و فروش آنلاین")</f>
        <v>تجارت الکترونیک و فروش آنلاین</v>
      </c>
      <c r="G1248" s="1" t="str">
        <f>IFERROR(__xludf.DUMMYFUNCTION("GOOGLETRANSLATE(C1248, ""en"", ""fa"")
"),"درباره نقش اجرای توصیه‌های محصول شخصی‌شده بر اساس روندهای فصلی یا تعطیلات برای افزایش فروش در دوره‌های خاص بحث کنید.")</f>
        <v>درباره نقش اجرای توصیه‌های محصول شخصی‌شده بر اساس روندهای فصلی یا تعطیلات برای افزایش فروش در دوره‌های خاص بحث کنید.</v>
      </c>
      <c r="H1248" s="1"/>
      <c r="I1248" s="1"/>
      <c r="J1248" s="1"/>
      <c r="K1248" s="1"/>
      <c r="L1248" s="1"/>
      <c r="M1248" s="1"/>
      <c r="N1248" s="1"/>
      <c r="O1248" s="1"/>
      <c r="P1248" s="1"/>
      <c r="Q1248" s="1"/>
      <c r="R1248" s="1"/>
      <c r="S1248" s="1"/>
      <c r="T1248" s="1"/>
      <c r="U1248" s="1"/>
      <c r="V1248" s="1"/>
      <c r="W1248" s="1"/>
      <c r="X1248" s="1"/>
      <c r="Y1248" s="1"/>
      <c r="Z1248" s="1"/>
      <c r="AA1248" s="1"/>
      <c r="AB1248" s="1"/>
    </row>
    <row r="1249" ht="50.25" customHeight="1">
      <c r="A1249" s="12">
        <v>1245.0</v>
      </c>
      <c r="B1249" s="13" t="s">
        <v>1004</v>
      </c>
      <c r="C1249" s="14" t="s">
        <v>1255</v>
      </c>
      <c r="D1249" s="1"/>
      <c r="E1249" s="15"/>
      <c r="F1249" s="1" t="str">
        <f>IFERROR(__xludf.DUMMYFUNCTION("GOOGLETRANSLATE(B1249, ""en"", ""fa"")
"),"تجارت الکترونیک و فروش آنلاین")</f>
        <v>تجارت الکترونیک و فروش آنلاین</v>
      </c>
      <c r="G1249" s="1" t="str">
        <f>IFERROR(__xludf.DUMMYFUNCTION("GOOGLETRANSLATE(C1249, ""en"", ""fa"")
"),"نکاتی را برای بهینه سازی صفحات محصول با توصیفات مشتری و داستان های موفقیت برای ایجاد اعتماد و اعتبار به اشتراک بگذارید.")</f>
        <v>نکاتی را برای بهینه سازی صفحات محصول با توصیفات مشتری و داستان های موفقیت برای ایجاد اعتماد و اعتبار به اشتراک بگذارید.</v>
      </c>
      <c r="H1249" s="1"/>
      <c r="I1249" s="1"/>
      <c r="J1249" s="1"/>
      <c r="K1249" s="1"/>
      <c r="L1249" s="1"/>
      <c r="M1249" s="1"/>
      <c r="N1249" s="1"/>
      <c r="O1249" s="1"/>
      <c r="P1249" s="1"/>
      <c r="Q1249" s="1"/>
      <c r="R1249" s="1"/>
      <c r="S1249" s="1"/>
      <c r="T1249" s="1"/>
      <c r="U1249" s="1"/>
      <c r="V1249" s="1"/>
      <c r="W1249" s="1"/>
      <c r="X1249" s="1"/>
      <c r="Y1249" s="1"/>
      <c r="Z1249" s="1"/>
      <c r="AA1249" s="1"/>
      <c r="AB1249" s="1"/>
    </row>
    <row r="1250" ht="50.25" customHeight="1">
      <c r="A1250" s="12">
        <v>1246.0</v>
      </c>
      <c r="B1250" s="13" t="s">
        <v>1004</v>
      </c>
      <c r="C1250" s="14" t="s">
        <v>1256</v>
      </c>
      <c r="D1250" s="1"/>
      <c r="E1250" s="15"/>
      <c r="F1250" s="1" t="str">
        <f>IFERROR(__xludf.DUMMYFUNCTION("GOOGLETRANSLATE(B1250, ""en"", ""fa"")
"),"تجارت الکترونیک و فروش آنلاین")</f>
        <v>تجارت الکترونیک و فروش آنلاین</v>
      </c>
      <c r="G1250" s="1" t="str">
        <f>IFERROR(__xludf.DUMMYFUNCTION("GOOGLETRANSLATE(C1250, ""en"", ""fa"")
"),"مزایای ارائه یک تجربه همه‌کاناله یکپارچه را کاوش کنید، که به مشتریان امکان می‌دهد از چندین پلتفرم و دستگاه خرید کنند.")</f>
        <v>مزایای ارائه یک تجربه همه‌کاناله یکپارچه را کاوش کنید، که به مشتریان امکان می‌دهد از چندین پلتفرم و دستگاه خرید کنند.</v>
      </c>
      <c r="H1250" s="1"/>
      <c r="I1250" s="1"/>
      <c r="J1250" s="1"/>
      <c r="K1250" s="1"/>
      <c r="L1250" s="1"/>
      <c r="M1250" s="1"/>
      <c r="N1250" s="1"/>
      <c r="O1250" s="1"/>
      <c r="P1250" s="1"/>
      <c r="Q1250" s="1"/>
      <c r="R1250" s="1"/>
      <c r="S1250" s="1"/>
      <c r="T1250" s="1"/>
      <c r="U1250" s="1"/>
      <c r="V1250" s="1"/>
      <c r="W1250" s="1"/>
      <c r="X1250" s="1"/>
      <c r="Y1250" s="1"/>
      <c r="Z1250" s="1"/>
      <c r="AA1250" s="1"/>
      <c r="AB1250" s="1"/>
    </row>
    <row r="1251" ht="50.25" customHeight="1">
      <c r="A1251" s="12">
        <v>1247.0</v>
      </c>
      <c r="B1251" s="13" t="s">
        <v>1004</v>
      </c>
      <c r="C1251" s="14" t="s">
        <v>1257</v>
      </c>
      <c r="D1251" s="1"/>
      <c r="E1251" s="15"/>
      <c r="F1251" s="1" t="str">
        <f>IFERROR(__xludf.DUMMYFUNCTION("GOOGLETRANSLATE(B1251, ""en"", ""fa"")
"),"تجارت الکترونیک و فروش آنلاین")</f>
        <v>تجارت الکترونیک و فروش آنلاین</v>
      </c>
      <c r="G1251" s="1" t="str">
        <f>IFERROR(__xludf.DUMMYFUNCTION("GOOGLETRANSLATE(C1251, ""en"", ""fa"")
"),"در مورد تأثیر اجرای یک برنامه پاداش که برای تشویق وفاداری مشتری امتیازات و تخفیف‌های منحصر به فرد ارائه می‌کند، بحث کنید.")</f>
        <v>در مورد تأثیر اجرای یک برنامه پاداش که برای تشویق وفاداری مشتری امتیازات و تخفیف‌های منحصر به فرد ارائه می‌کند، بحث کنید.</v>
      </c>
      <c r="H1251" s="1"/>
      <c r="I1251" s="1"/>
      <c r="J1251" s="1"/>
      <c r="K1251" s="1"/>
      <c r="L1251" s="1"/>
      <c r="M1251" s="1"/>
      <c r="N1251" s="1"/>
      <c r="O1251" s="1"/>
      <c r="P1251" s="1"/>
      <c r="Q1251" s="1"/>
      <c r="R1251" s="1"/>
      <c r="S1251" s="1"/>
      <c r="T1251" s="1"/>
      <c r="U1251" s="1"/>
      <c r="V1251" s="1"/>
      <c r="W1251" s="1"/>
      <c r="X1251" s="1"/>
      <c r="Y1251" s="1"/>
      <c r="Z1251" s="1"/>
      <c r="AA1251" s="1"/>
      <c r="AB1251" s="1"/>
    </row>
    <row r="1252" ht="50.25" customHeight="1">
      <c r="A1252" s="12">
        <v>1248.0</v>
      </c>
      <c r="B1252" s="13" t="s">
        <v>1004</v>
      </c>
      <c r="C1252" s="14" t="s">
        <v>1258</v>
      </c>
      <c r="D1252" s="1"/>
      <c r="E1252" s="15"/>
      <c r="F1252" s="1" t="str">
        <f>IFERROR(__xludf.DUMMYFUNCTION("GOOGLETRANSLATE(B1252, ""en"", ""fa"")
"),"تجارت الکترونیک و فروش آنلاین")</f>
        <v>تجارت الکترونیک و فروش آنلاین</v>
      </c>
      <c r="G1252" s="1" t="str">
        <f>IFERROR(__xludf.DUMMYFUNCTION("GOOGLETRANSLATE(C1252, ""en"", ""fa"")
"),"استراتژی‌هایی برای بهینه‌سازی فهرست محصولات برای تبلیغات موتورهای جستجو برای افزایش دید و جذب ترافیک هدفمند به اشتراک بگذارید.")</f>
        <v>استراتژی‌هایی برای بهینه‌سازی فهرست محصولات برای تبلیغات موتورهای جستجو برای افزایش دید و جذب ترافیک هدفمند به اشتراک بگذارید.</v>
      </c>
      <c r="H1252" s="1"/>
      <c r="I1252" s="1"/>
      <c r="J1252" s="1"/>
      <c r="K1252" s="1"/>
      <c r="L1252" s="1"/>
      <c r="M1252" s="1"/>
      <c r="N1252" s="1"/>
      <c r="O1252" s="1"/>
      <c r="P1252" s="1"/>
      <c r="Q1252" s="1"/>
      <c r="R1252" s="1"/>
      <c r="S1252" s="1"/>
      <c r="T1252" s="1"/>
      <c r="U1252" s="1"/>
      <c r="V1252" s="1"/>
      <c r="W1252" s="1"/>
      <c r="X1252" s="1"/>
      <c r="Y1252" s="1"/>
      <c r="Z1252" s="1"/>
      <c r="AA1252" s="1"/>
      <c r="AB1252" s="1"/>
    </row>
    <row r="1253" ht="50.25" customHeight="1">
      <c r="A1253" s="12">
        <v>1249.0</v>
      </c>
      <c r="B1253" s="13" t="s">
        <v>1004</v>
      </c>
      <c r="C1253" s="14" t="s">
        <v>1259</v>
      </c>
      <c r="D1253" s="1"/>
      <c r="E1253" s="15"/>
      <c r="F1253" s="1" t="str">
        <f>IFERROR(__xludf.DUMMYFUNCTION("GOOGLETRANSLATE(B1253, ""en"", ""fa"")
"),"تجارت الکترونیک و فروش آنلاین")</f>
        <v>تجارت الکترونیک و فروش آنلاین</v>
      </c>
      <c r="G1253" s="1" t="str">
        <f>IFERROR(__xludf.DUMMYFUNCTION("GOOGLETRANSLATE(C1253, ""en"", ""fa"")
"),"مفهوم استفاده از تبلیغات هدف‌گیری مجدد با تبلیغات محصول پویا را بررسی کنید تا به مشتریان محصولاتی را که قبلاً مشاهده کرده‌اند یا به آن علاقه نشان داده‌اند یادآوری کنید.")</f>
        <v>مفهوم استفاده از تبلیغات هدف‌گیری مجدد با تبلیغات محصول پویا را بررسی کنید تا به مشتریان محصولاتی را که قبلاً مشاهده کرده‌اند یا به آن علاقه نشان داده‌اند یادآوری کنید.</v>
      </c>
      <c r="H1253" s="1"/>
      <c r="I1253" s="1"/>
      <c r="J1253" s="1"/>
      <c r="K1253" s="1"/>
      <c r="L1253" s="1"/>
      <c r="M1253" s="1"/>
      <c r="N1253" s="1"/>
      <c r="O1253" s="1"/>
      <c r="P1253" s="1"/>
      <c r="Q1253" s="1"/>
      <c r="R1253" s="1"/>
      <c r="S1253" s="1"/>
      <c r="T1253" s="1"/>
      <c r="U1253" s="1"/>
      <c r="V1253" s="1"/>
      <c r="W1253" s="1"/>
      <c r="X1253" s="1"/>
      <c r="Y1253" s="1"/>
      <c r="Z1253" s="1"/>
      <c r="AA1253" s="1"/>
      <c r="AB1253" s="1"/>
    </row>
    <row r="1254" ht="50.25" customHeight="1">
      <c r="A1254" s="12">
        <v>1250.0</v>
      </c>
      <c r="B1254" s="13" t="s">
        <v>1004</v>
      </c>
      <c r="C1254" s="14" t="s">
        <v>1260</v>
      </c>
      <c r="D1254" s="1"/>
      <c r="E1254" s="15"/>
      <c r="F1254" s="1" t="str">
        <f>IFERROR(__xludf.DUMMYFUNCTION("GOOGLETRANSLATE(B1254, ""en"", ""fa"")
"),"تجارت الکترونیک و فروش آنلاین")</f>
        <v>تجارت الکترونیک و فروش آنلاین</v>
      </c>
      <c r="G1254" s="1" t="str">
        <f>IFERROR(__xludf.DUMMYFUNCTION("GOOGLETRANSLATE(C1254, ""en"", ""fa"")
"),"در مورد نقش اجرای استراتژی خدمات مشتری رسانه های اجتماعی برای رسیدگی سریع به سوالات و نگرانی های مشتری بحث کنید.")</f>
        <v>در مورد نقش اجرای استراتژی خدمات مشتری رسانه های اجتماعی برای رسیدگی سریع به سوالات و نگرانی های مشتری بحث کنید.</v>
      </c>
      <c r="H1254" s="1"/>
      <c r="I1254" s="1"/>
      <c r="J1254" s="1"/>
      <c r="K1254" s="1"/>
      <c r="L1254" s="1"/>
      <c r="M1254" s="1"/>
      <c r="N1254" s="1"/>
      <c r="O1254" s="1"/>
      <c r="P1254" s="1"/>
      <c r="Q1254" s="1"/>
      <c r="R1254" s="1"/>
      <c r="S1254" s="1"/>
      <c r="T1254" s="1"/>
      <c r="U1254" s="1"/>
      <c r="V1254" s="1"/>
      <c r="W1254" s="1"/>
      <c r="X1254" s="1"/>
      <c r="Y1254" s="1"/>
      <c r="Z1254" s="1"/>
      <c r="AA1254" s="1"/>
      <c r="AB1254" s="1"/>
    </row>
    <row r="1255" ht="50.25" customHeight="1">
      <c r="A1255" s="12">
        <v>1251.0</v>
      </c>
      <c r="B1255" s="13" t="s">
        <v>1004</v>
      </c>
      <c r="C1255" s="14" t="s">
        <v>1261</v>
      </c>
      <c r="D1255" s="1"/>
      <c r="E1255" s="15"/>
      <c r="F1255" s="1" t="str">
        <f>IFERROR(__xludf.DUMMYFUNCTION("GOOGLETRANSLATE(B1255, ""en"", ""fa"")
"),"تجارت الکترونیک و فروش آنلاین")</f>
        <v>تجارت الکترونیک و فروش آنلاین</v>
      </c>
      <c r="G1255" s="1" t="str">
        <f>IFERROR(__xludf.DUMMYFUNCTION("GOOGLETRANSLATE(C1255, ""en"", ""fa"")
"),"نکاتی را برای بهینه سازی توضیحات محصول با تکنیک های داستان سرایی برای ایجاد ارتباطات عاطفی و ایجاد تعامل به اشتراک بگذارید.")</f>
        <v>نکاتی را برای بهینه سازی توضیحات محصول با تکنیک های داستان سرایی برای ایجاد ارتباطات عاطفی و ایجاد تعامل به اشتراک بگذارید.</v>
      </c>
      <c r="H1255" s="1"/>
      <c r="I1255" s="1"/>
      <c r="J1255" s="1"/>
      <c r="K1255" s="1"/>
      <c r="L1255" s="1"/>
      <c r="M1255" s="1"/>
      <c r="N1255" s="1"/>
      <c r="O1255" s="1"/>
      <c r="P1255" s="1"/>
      <c r="Q1255" s="1"/>
      <c r="R1255" s="1"/>
      <c r="S1255" s="1"/>
      <c r="T1255" s="1"/>
      <c r="U1255" s="1"/>
      <c r="V1255" s="1"/>
      <c r="W1255" s="1"/>
      <c r="X1255" s="1"/>
      <c r="Y1255" s="1"/>
      <c r="Z1255" s="1"/>
      <c r="AA1255" s="1"/>
      <c r="AB1255" s="1"/>
    </row>
    <row r="1256" ht="50.25" customHeight="1">
      <c r="A1256" s="12">
        <v>1252.0</v>
      </c>
      <c r="B1256" s="13" t="s">
        <v>1004</v>
      </c>
      <c r="C1256" s="14" t="s">
        <v>1262</v>
      </c>
      <c r="D1256" s="1"/>
      <c r="E1256" s="15"/>
      <c r="F1256" s="1" t="str">
        <f>IFERROR(__xludf.DUMMYFUNCTION("GOOGLETRANSLATE(B1256, ""en"", ""fa"")
"),"تجارت الکترونیک و فروش آنلاین")</f>
        <v>تجارت الکترونیک و فروش آنلاین</v>
      </c>
      <c r="G1256" s="1" t="str">
        <f>IFERROR(__xludf.DUMMYFUNCTION("GOOGLETRANSLATE(C1256, ""en"", ""fa"")
"),"مزایای ارائه توصیه‌های شخصی پس از خرید برای فروش یا فروش متقابل محصولات مرتبط را بررسی کنید.")</f>
        <v>مزایای ارائه توصیه‌های شخصی پس از خرید برای فروش یا فروش متقابل محصولات مرتبط را بررسی کنید.</v>
      </c>
      <c r="H1256" s="1"/>
      <c r="I1256" s="1"/>
      <c r="J1256" s="1"/>
      <c r="K1256" s="1"/>
      <c r="L1256" s="1"/>
      <c r="M1256" s="1"/>
      <c r="N1256" s="1"/>
      <c r="O1256" s="1"/>
      <c r="P1256" s="1"/>
      <c r="Q1256" s="1"/>
      <c r="R1256" s="1"/>
      <c r="S1256" s="1"/>
      <c r="T1256" s="1"/>
      <c r="U1256" s="1"/>
      <c r="V1256" s="1"/>
      <c r="W1256" s="1"/>
      <c r="X1256" s="1"/>
      <c r="Y1256" s="1"/>
      <c r="Z1256" s="1"/>
      <c r="AA1256" s="1"/>
      <c r="AB1256" s="1"/>
    </row>
    <row r="1257" ht="50.25" customHeight="1">
      <c r="A1257" s="12">
        <v>1253.0</v>
      </c>
      <c r="B1257" s="13" t="s">
        <v>1004</v>
      </c>
      <c r="C1257" s="14" t="s">
        <v>1263</v>
      </c>
      <c r="D1257" s="1"/>
      <c r="E1257" s="15"/>
      <c r="F1257" s="1" t="str">
        <f>IFERROR(__xludf.DUMMYFUNCTION("GOOGLETRANSLATE(B1257, ""en"", ""fa"")
"),"تجارت الکترونیک و فروش آنلاین")</f>
        <v>تجارت الکترونیک و فروش آنلاین</v>
      </c>
      <c r="G1257" s="1" t="str">
        <f>IFERROR(__xludf.DUMMYFUNCTION("GOOGLETRANSLATE(C1257, ""en"", ""fa"")
"),"در مورد تأثیر اجرای نسخه نمایشی محصول زنده یا تجربه نمایشگاه مجازی برای جذب مشتریان و نمایش ویژگی های محصول بحث کنید.")</f>
        <v>در مورد تأثیر اجرای نسخه نمایشی محصول زنده یا تجربه نمایشگاه مجازی برای جذب مشتریان و نمایش ویژگی های محصول بحث کنید.</v>
      </c>
      <c r="H1257" s="1"/>
      <c r="I1257" s="1"/>
      <c r="J1257" s="1"/>
      <c r="K1257" s="1"/>
      <c r="L1257" s="1"/>
      <c r="M1257" s="1"/>
      <c r="N1257" s="1"/>
      <c r="O1257" s="1"/>
      <c r="P1257" s="1"/>
      <c r="Q1257" s="1"/>
      <c r="R1257" s="1"/>
      <c r="S1257" s="1"/>
      <c r="T1257" s="1"/>
      <c r="U1257" s="1"/>
      <c r="V1257" s="1"/>
      <c r="W1257" s="1"/>
      <c r="X1257" s="1"/>
      <c r="Y1257" s="1"/>
      <c r="Z1257" s="1"/>
      <c r="AA1257" s="1"/>
      <c r="AB1257" s="1"/>
    </row>
    <row r="1258" ht="50.25" customHeight="1">
      <c r="A1258" s="12">
        <v>1254.0</v>
      </c>
      <c r="B1258" s="13" t="s">
        <v>1004</v>
      </c>
      <c r="C1258" s="14" t="s">
        <v>1264</v>
      </c>
      <c r="D1258" s="1"/>
      <c r="E1258" s="15"/>
      <c r="F1258" s="1" t="str">
        <f>IFERROR(__xludf.DUMMYFUNCTION("GOOGLETRANSLATE(B1258, ""en"", ""fa"")
"),"تجارت الکترونیک و فروش آنلاین")</f>
        <v>تجارت الکترونیک و فروش آنلاین</v>
      </c>
      <c r="G1258" s="1" t="str">
        <f>IFERROR(__xludf.DUMMYFUNCTION("GOOGLETRANSLATE(C1258, ""en"", ""fa"")
"),"استراتژی‌هایی را برای بهینه‌سازی فهرست‌های محصولات با نکات واضح و مختصر به اشتراک بگذارید که جزئیات و مزایای کلیدی محصول را برجسته می‌کند.")</f>
        <v>استراتژی‌هایی را برای بهینه‌سازی فهرست‌های محصولات با نکات واضح و مختصر به اشتراک بگذارید که جزئیات و مزایای کلیدی محصول را برجسته می‌کند.</v>
      </c>
      <c r="H1258" s="1"/>
      <c r="I1258" s="1"/>
      <c r="J1258" s="1"/>
      <c r="K1258" s="1"/>
      <c r="L1258" s="1"/>
      <c r="M1258" s="1"/>
      <c r="N1258" s="1"/>
      <c r="O1258" s="1"/>
      <c r="P1258" s="1"/>
      <c r="Q1258" s="1"/>
      <c r="R1258" s="1"/>
      <c r="S1258" s="1"/>
      <c r="T1258" s="1"/>
      <c r="U1258" s="1"/>
      <c r="V1258" s="1"/>
      <c r="W1258" s="1"/>
      <c r="X1258" s="1"/>
      <c r="Y1258" s="1"/>
      <c r="Z1258" s="1"/>
      <c r="AA1258" s="1"/>
      <c r="AB1258" s="1"/>
    </row>
    <row r="1259" ht="50.25" customHeight="1">
      <c r="A1259" s="12">
        <v>1255.0</v>
      </c>
      <c r="B1259" s="13" t="s">
        <v>1004</v>
      </c>
      <c r="C1259" s="14" t="s">
        <v>1265</v>
      </c>
      <c r="D1259" s="1"/>
      <c r="E1259" s="15"/>
      <c r="F1259" s="1" t="str">
        <f>IFERROR(__xludf.DUMMYFUNCTION("GOOGLETRANSLATE(B1259, ""en"", ""fa"")
"),"تجارت الکترونیک و فروش آنلاین")</f>
        <v>تجارت الکترونیک و فروش آنلاین</v>
      </c>
      <c r="G1259" s="1" t="str">
        <f>IFERROR(__xludf.DUMMYFUNCTION("GOOGLETRANSLATE(C1259, ""en"", ""fa"")
"),"مفهوم استفاده از رقابت ها یا چالش های محتوای تولید شده توسط کاربر را برای تشویق مشتریان به اشتراک گذاری تجربیات خود با محصولات خود کاوش کنید.")</f>
        <v>مفهوم استفاده از رقابت ها یا چالش های محتوای تولید شده توسط کاربر را برای تشویق مشتریان به اشتراک گذاری تجربیات خود با محصولات خود کاوش کنید.</v>
      </c>
      <c r="H1259" s="1"/>
      <c r="I1259" s="1"/>
      <c r="J1259" s="1"/>
      <c r="K1259" s="1"/>
      <c r="L1259" s="1"/>
      <c r="M1259" s="1"/>
      <c r="N1259" s="1"/>
      <c r="O1259" s="1"/>
      <c r="P1259" s="1"/>
      <c r="Q1259" s="1"/>
      <c r="R1259" s="1"/>
      <c r="S1259" s="1"/>
      <c r="T1259" s="1"/>
      <c r="U1259" s="1"/>
      <c r="V1259" s="1"/>
      <c r="W1259" s="1"/>
      <c r="X1259" s="1"/>
      <c r="Y1259" s="1"/>
      <c r="Z1259" s="1"/>
      <c r="AA1259" s="1"/>
      <c r="AB1259" s="1"/>
    </row>
    <row r="1260" ht="50.25" customHeight="1">
      <c r="A1260" s="12">
        <v>1256.0</v>
      </c>
      <c r="B1260" s="13" t="s">
        <v>1004</v>
      </c>
      <c r="C1260" s="14" t="s">
        <v>1266</v>
      </c>
      <c r="D1260" s="1"/>
      <c r="E1260" s="15"/>
      <c r="F1260" s="1" t="str">
        <f>IFERROR(__xludf.DUMMYFUNCTION("GOOGLETRANSLATE(B1260, ""en"", ""fa"")
"),"تجارت الکترونیک و فروش آنلاین")</f>
        <v>تجارت الکترونیک و فروش آنلاین</v>
      </c>
      <c r="G1260" s="1" t="str">
        <f>IFERROR(__xludf.DUMMYFUNCTION("GOOGLETRANSLATE(C1260, ""en"", ""fa"")
"),"درباره نقش اجرای یک کمپین ایمیل بازیابی سبد خرید رها شده با انگیزه های شخصی برای تشویق مشتریان برای تکمیل خرید خود بحث کنید.")</f>
        <v>درباره نقش اجرای یک کمپین ایمیل بازیابی سبد خرید رها شده با انگیزه های شخصی برای تشویق مشتریان برای تکمیل خرید خود بحث کنید.</v>
      </c>
      <c r="H1260" s="1"/>
      <c r="I1260" s="1"/>
      <c r="J1260" s="1"/>
      <c r="K1260" s="1"/>
      <c r="L1260" s="1"/>
      <c r="M1260" s="1"/>
      <c r="N1260" s="1"/>
      <c r="O1260" s="1"/>
      <c r="P1260" s="1"/>
      <c r="Q1260" s="1"/>
      <c r="R1260" s="1"/>
      <c r="S1260" s="1"/>
      <c r="T1260" s="1"/>
      <c r="U1260" s="1"/>
      <c r="V1260" s="1"/>
      <c r="W1260" s="1"/>
      <c r="X1260" s="1"/>
      <c r="Y1260" s="1"/>
      <c r="Z1260" s="1"/>
      <c r="AA1260" s="1"/>
      <c r="AB1260" s="1"/>
    </row>
    <row r="1261" ht="50.25" customHeight="1">
      <c r="A1261" s="12">
        <v>1257.0</v>
      </c>
      <c r="B1261" s="13" t="s">
        <v>1004</v>
      </c>
      <c r="C1261" s="14" t="s">
        <v>1267</v>
      </c>
      <c r="D1261" s="1"/>
      <c r="E1261" s="15"/>
      <c r="F1261" s="1" t="str">
        <f>IFERROR(__xludf.DUMMYFUNCTION("GOOGLETRANSLATE(B1261, ""en"", ""fa"")
"),"تجارت الکترونیک و فروش آنلاین")</f>
        <v>تجارت الکترونیک و فروش آنلاین</v>
      </c>
      <c r="G1261" s="1" t="str">
        <f>IFERROR(__xludf.DUMMYFUNCTION("GOOGLETRANSLATE(C1261, ""en"", ""fa"")
"),"نکاتی را برای بهینه سازی تصاویر محصول برای پلتفرم های رسانه های اجتماعی، با در نظر گرفتن ابعاد، نسبت ابعاد و جذابیت بصری به اشتراک بگذارید.")</f>
        <v>نکاتی را برای بهینه سازی تصاویر محصول برای پلتفرم های رسانه های اجتماعی، با در نظر گرفتن ابعاد، نسبت ابعاد و جذابیت بصری به اشتراک بگذارید.</v>
      </c>
      <c r="H1261" s="1"/>
      <c r="I1261" s="1"/>
      <c r="J1261" s="1"/>
      <c r="K1261" s="1"/>
      <c r="L1261" s="1"/>
      <c r="M1261" s="1"/>
      <c r="N1261" s="1"/>
      <c r="O1261" s="1"/>
      <c r="P1261" s="1"/>
      <c r="Q1261" s="1"/>
      <c r="R1261" s="1"/>
      <c r="S1261" s="1"/>
      <c r="T1261" s="1"/>
      <c r="U1261" s="1"/>
      <c r="V1261" s="1"/>
      <c r="W1261" s="1"/>
      <c r="X1261" s="1"/>
      <c r="Y1261" s="1"/>
      <c r="Z1261" s="1"/>
      <c r="AA1261" s="1"/>
      <c r="AB1261" s="1"/>
    </row>
    <row r="1262" ht="50.25" customHeight="1">
      <c r="A1262" s="12">
        <v>1258.0</v>
      </c>
      <c r="B1262" s="13" t="s">
        <v>1004</v>
      </c>
      <c r="C1262" s="14" t="s">
        <v>1268</v>
      </c>
      <c r="D1262" s="1"/>
      <c r="E1262" s="15"/>
      <c r="F1262" s="1" t="str">
        <f>IFERROR(__xludf.DUMMYFUNCTION("GOOGLETRANSLATE(B1262, ""en"", ""fa"")
"),"تجارت الکترونیک و فروش آنلاین")</f>
        <v>تجارت الکترونیک و فروش آنلاین</v>
      </c>
      <c r="G1262" s="1" t="str">
        <f>IFERROR(__xludf.DUMMYFUNCTION("GOOGLETRANSLATE(C1262, ""en"", ""fa"")
"),"مزایای ارائه گزینه‌های سفارشی‌سازی محصول را کاوش کنید، که به مشتریان امکان می‌دهد خریدهای خود را مطابق با ترجیحات خود شخصی‌سازی کنند.")</f>
        <v>مزایای ارائه گزینه‌های سفارشی‌سازی محصول را کاوش کنید، که به مشتریان امکان می‌دهد خریدهای خود را مطابق با ترجیحات خود شخصی‌سازی کنند.</v>
      </c>
      <c r="H1262" s="1"/>
      <c r="I1262" s="1"/>
      <c r="J1262" s="1"/>
      <c r="K1262" s="1"/>
      <c r="L1262" s="1"/>
      <c r="M1262" s="1"/>
      <c r="N1262" s="1"/>
      <c r="O1262" s="1"/>
      <c r="P1262" s="1"/>
      <c r="Q1262" s="1"/>
      <c r="R1262" s="1"/>
      <c r="S1262" s="1"/>
      <c r="T1262" s="1"/>
      <c r="U1262" s="1"/>
      <c r="V1262" s="1"/>
      <c r="W1262" s="1"/>
      <c r="X1262" s="1"/>
      <c r="Y1262" s="1"/>
      <c r="Z1262" s="1"/>
      <c r="AA1262" s="1"/>
      <c r="AB1262" s="1"/>
    </row>
    <row r="1263" ht="50.25" customHeight="1">
      <c r="A1263" s="12">
        <v>1259.0</v>
      </c>
      <c r="B1263" s="13" t="s">
        <v>1004</v>
      </c>
      <c r="C1263" s="14" t="s">
        <v>1269</v>
      </c>
      <c r="D1263" s="1"/>
      <c r="E1263" s="15"/>
      <c r="F1263" s="1" t="str">
        <f>IFERROR(__xludf.DUMMYFUNCTION("GOOGLETRANSLATE(B1263, ""en"", ""fa"")
"),"تجارت الکترونیک و فروش آنلاین")</f>
        <v>تجارت الکترونیک و فروش آنلاین</v>
      </c>
      <c r="G1263" s="1" t="str">
        <f>IFERROR(__xludf.DUMMYFUNCTION("GOOGLETRANSLATE(C1263, ""en"", ""fa"")
"),"درباره تأثیر پیاده‌سازی یک موتور توصیه محصول با الگوریتم‌های یادگیری ماشین برای بهبود شخصی‌سازی بحث کنید.")</f>
        <v>درباره تأثیر پیاده‌سازی یک موتور توصیه محصول با الگوریتم‌های یادگیری ماشین برای بهبود شخصی‌سازی بحث کنید.</v>
      </c>
      <c r="H1263" s="1"/>
      <c r="I1263" s="1"/>
      <c r="J1263" s="1"/>
      <c r="K1263" s="1"/>
      <c r="L1263" s="1"/>
      <c r="M1263" s="1"/>
      <c r="N1263" s="1"/>
      <c r="O1263" s="1"/>
      <c r="P1263" s="1"/>
      <c r="Q1263" s="1"/>
      <c r="R1263" s="1"/>
      <c r="S1263" s="1"/>
      <c r="T1263" s="1"/>
      <c r="U1263" s="1"/>
      <c r="V1263" s="1"/>
      <c r="W1263" s="1"/>
      <c r="X1263" s="1"/>
      <c r="Y1263" s="1"/>
      <c r="Z1263" s="1"/>
      <c r="AA1263" s="1"/>
      <c r="AB1263" s="1"/>
    </row>
    <row r="1264" ht="50.25" customHeight="1">
      <c r="A1264" s="12">
        <v>1260.0</v>
      </c>
      <c r="B1264" s="13" t="s">
        <v>1004</v>
      </c>
      <c r="C1264" s="14" t="s">
        <v>1270</v>
      </c>
      <c r="D1264" s="1"/>
      <c r="E1264" s="15"/>
      <c r="F1264" s="1" t="str">
        <f>IFERROR(__xludf.DUMMYFUNCTION("GOOGLETRANSLATE(B1264, ""en"", ""fa"")
"),"تجارت الکترونیک و فروش آنلاین")</f>
        <v>تجارت الکترونیک و فروش آنلاین</v>
      </c>
      <c r="G1264" s="1" t="str">
        <f>IFERROR(__xludf.DUMMYFUNCTION("GOOGLETRANSLATE(C1264, ""en"", ""fa"")
"),"استراتژی های بهینه سازی فرآیند پرداخت را با کاهش تعداد مراحل و ارائه شاخص های پیشرفت واضح به اشتراک بگذارید.")</f>
        <v>استراتژی های بهینه سازی فرآیند پرداخت را با کاهش تعداد مراحل و ارائه شاخص های پیشرفت واضح به اشتراک بگذارید.</v>
      </c>
      <c r="H1264" s="1"/>
      <c r="I1264" s="1"/>
      <c r="J1264" s="1"/>
      <c r="K1264" s="1"/>
      <c r="L1264" s="1"/>
      <c r="M1264" s="1"/>
      <c r="N1264" s="1"/>
      <c r="O1264" s="1"/>
      <c r="P1264" s="1"/>
      <c r="Q1264" s="1"/>
      <c r="R1264" s="1"/>
      <c r="S1264" s="1"/>
      <c r="T1264" s="1"/>
      <c r="U1264" s="1"/>
      <c r="V1264" s="1"/>
      <c r="W1264" s="1"/>
      <c r="X1264" s="1"/>
      <c r="Y1264" s="1"/>
      <c r="Z1264" s="1"/>
      <c r="AA1264" s="1"/>
      <c r="AB1264" s="1"/>
    </row>
    <row r="1265" ht="50.25" customHeight="1">
      <c r="A1265" s="12">
        <v>1261.0</v>
      </c>
      <c r="B1265" s="13" t="s">
        <v>1004</v>
      </c>
      <c r="C1265" s="14" t="s">
        <v>1271</v>
      </c>
      <c r="D1265" s="1"/>
      <c r="E1265" s="15"/>
      <c r="F1265" s="1" t="str">
        <f>IFERROR(__xludf.DUMMYFUNCTION("GOOGLETRANSLATE(B1265, ""en"", ""fa"")
"),"تجارت الکترونیک و فروش آنلاین")</f>
        <v>تجارت الکترونیک و فروش آنلاین</v>
      </c>
      <c r="G1265" s="1" t="str">
        <f>IFERROR(__xludf.DUMMYFUNCTION("GOOGLETRANSLATE(C1265, ""en"", ""fa"")
"),"در مورد مزایای گنجاندن تمرینات قدرتی در یک برنامه تناسب اندام برای بهبود تون عضلانی، قدرت و ترکیب کلی بدن بحث کنید.")</f>
        <v>در مورد مزایای گنجاندن تمرینات قدرتی در یک برنامه تناسب اندام برای بهبود تون عضلانی، قدرت و ترکیب کلی بدن بحث کنید.</v>
      </c>
      <c r="H1265" s="1"/>
      <c r="I1265" s="1"/>
      <c r="J1265" s="1"/>
      <c r="K1265" s="1"/>
      <c r="L1265" s="1"/>
      <c r="M1265" s="1"/>
      <c r="N1265" s="1"/>
      <c r="O1265" s="1"/>
      <c r="P1265" s="1"/>
      <c r="Q1265" s="1"/>
      <c r="R1265" s="1"/>
      <c r="S1265" s="1"/>
      <c r="T1265" s="1"/>
      <c r="U1265" s="1"/>
      <c r="V1265" s="1"/>
      <c r="W1265" s="1"/>
      <c r="X1265" s="1"/>
      <c r="Y1265" s="1"/>
      <c r="Z1265" s="1"/>
      <c r="AA1265" s="1"/>
      <c r="AB1265" s="1"/>
    </row>
    <row r="1266" ht="50.25" customHeight="1">
      <c r="A1266" s="12">
        <v>1262.0</v>
      </c>
      <c r="B1266" s="13" t="s">
        <v>1004</v>
      </c>
      <c r="C1266" s="14" t="s">
        <v>1272</v>
      </c>
      <c r="D1266" s="1"/>
      <c r="E1266" s="15"/>
      <c r="F1266" s="1" t="str">
        <f>IFERROR(__xludf.DUMMYFUNCTION("GOOGLETRANSLATE(B1266, ""en"", ""fa"")
"),"تجارت الکترونیک و فروش آنلاین")</f>
        <v>تجارت الکترونیک و فروش آنلاین</v>
      </c>
      <c r="G1266" s="1" t="str">
        <f>IFERROR(__xludf.DUMMYFUNCTION("GOOGLETRANSLATE(C1266, ""en"", ""fa"")
"),"نکاتی را برای طراحی یک برنامه تمرینی متعادل که شامل تمرینات قلبی عروقی، تمرینات قدرتی، و تمرینات انعطاف پذیری برای تناسب اندام کلی است، به اشتراک بگذارید.")</f>
        <v>نکاتی را برای طراحی یک برنامه تمرینی متعادل که شامل تمرینات قلبی عروقی، تمرینات قدرتی، و تمرینات انعطاف پذیری برای تناسب اندام کلی است، به اشتراک بگذارید.</v>
      </c>
      <c r="H1266" s="1"/>
      <c r="I1266" s="1"/>
      <c r="J1266" s="1"/>
      <c r="K1266" s="1"/>
      <c r="L1266" s="1"/>
      <c r="M1266" s="1"/>
      <c r="N1266" s="1"/>
      <c r="O1266" s="1"/>
      <c r="P1266" s="1"/>
      <c r="Q1266" s="1"/>
      <c r="R1266" s="1"/>
      <c r="S1266" s="1"/>
      <c r="T1266" s="1"/>
      <c r="U1266" s="1"/>
      <c r="V1266" s="1"/>
      <c r="W1266" s="1"/>
      <c r="X1266" s="1"/>
      <c r="Y1266" s="1"/>
      <c r="Z1266" s="1"/>
      <c r="AA1266" s="1"/>
      <c r="AB1266" s="1"/>
    </row>
    <row r="1267" ht="50.25" customHeight="1">
      <c r="A1267" s="12">
        <v>1263.0</v>
      </c>
      <c r="B1267" s="13" t="s">
        <v>1004</v>
      </c>
      <c r="C1267" s="14" t="s">
        <v>1273</v>
      </c>
      <c r="D1267" s="1"/>
      <c r="E1267" s="15"/>
      <c r="F1267" s="1" t="str">
        <f>IFERROR(__xludf.DUMMYFUNCTION("GOOGLETRANSLATE(B1267, ""en"", ""fa"")
"),"تجارت الکترونیک و فروش آنلاین")</f>
        <v>تجارت الکترونیک و فروش آنلاین</v>
      </c>
      <c r="G1267" s="1" t="str">
        <f>IFERROR(__xludf.DUMMYFUNCTION("GOOGLETRANSLATE(C1267, ""en"", ""fa"")
"),"مفهوم استفاده از تمرینات HIIT (تمرینات تناوبی با شدت بالا) را برای به حداکثر رساندن کالری سوزی و افزایش آمادگی قلبی عروقی بررسی کنید.")</f>
        <v>مفهوم استفاده از تمرینات HIIT (تمرینات تناوبی با شدت بالا) را برای به حداکثر رساندن کالری سوزی و افزایش آمادگی قلبی عروقی بررسی کنید.</v>
      </c>
      <c r="H1267" s="1"/>
      <c r="I1267" s="1"/>
      <c r="J1267" s="1"/>
      <c r="K1267" s="1"/>
      <c r="L1267" s="1"/>
      <c r="M1267" s="1"/>
      <c r="N1267" s="1"/>
      <c r="O1267" s="1"/>
      <c r="P1267" s="1"/>
      <c r="Q1267" s="1"/>
      <c r="R1267" s="1"/>
      <c r="S1267" s="1"/>
      <c r="T1267" s="1"/>
      <c r="U1267" s="1"/>
      <c r="V1267" s="1"/>
      <c r="W1267" s="1"/>
      <c r="X1267" s="1"/>
      <c r="Y1267" s="1"/>
      <c r="Z1267" s="1"/>
      <c r="AA1267" s="1"/>
      <c r="AB1267" s="1"/>
    </row>
    <row r="1268" ht="50.25" customHeight="1">
      <c r="A1268" s="12">
        <v>1264.0</v>
      </c>
      <c r="B1268" s="13" t="s">
        <v>1004</v>
      </c>
      <c r="C1268" s="14" t="s">
        <v>1274</v>
      </c>
      <c r="D1268" s="1"/>
      <c r="E1268" s="15"/>
      <c r="F1268" s="1" t="str">
        <f>IFERROR(__xludf.DUMMYFUNCTION("GOOGLETRANSLATE(B1268, ""en"", ""fa"")
"),"تجارت الکترونیک و فروش آنلاین")</f>
        <v>تجارت الکترونیک و فروش آنلاین</v>
      </c>
      <c r="G1268" s="1" t="str">
        <f>IFERROR(__xludf.DUMMYFUNCTION("GOOGLETRANSLATE(C1268, ""en"", ""fa"")
"),"در مورد نقش ترکیب تمرینات یوگا یا پیلاتس در یک برنامه تناسب اندام برای بهبود انعطاف پذیری، تعادل و ارتباط ذهن و بدن بحث کنید.")</f>
        <v>در مورد نقش ترکیب تمرینات یوگا یا پیلاتس در یک برنامه تناسب اندام برای بهبود انعطاف پذیری، تعادل و ارتباط ذهن و بدن بحث کنید.</v>
      </c>
      <c r="H1268" s="1"/>
      <c r="I1268" s="1"/>
      <c r="J1268" s="1"/>
      <c r="K1268" s="1"/>
      <c r="L1268" s="1"/>
      <c r="M1268" s="1"/>
      <c r="N1268" s="1"/>
      <c r="O1268" s="1"/>
      <c r="P1268" s="1"/>
      <c r="Q1268" s="1"/>
      <c r="R1268" s="1"/>
      <c r="S1268" s="1"/>
      <c r="T1268" s="1"/>
      <c r="U1268" s="1"/>
      <c r="V1268" s="1"/>
      <c r="W1268" s="1"/>
      <c r="X1268" s="1"/>
      <c r="Y1268" s="1"/>
      <c r="Z1268" s="1"/>
      <c r="AA1268" s="1"/>
      <c r="AB1268" s="1"/>
    </row>
    <row r="1269" ht="50.25" customHeight="1">
      <c r="A1269" s="12">
        <v>1265.0</v>
      </c>
      <c r="B1269" s="13" t="s">
        <v>1275</v>
      </c>
      <c r="C1269" s="14" t="s">
        <v>1276</v>
      </c>
      <c r="D1269" s="1"/>
      <c r="E1269" s="15"/>
      <c r="F1269" s="1" t="str">
        <f>IFERROR(__xludf.DUMMYFUNCTION("GOOGLETRANSLATE(B1269, ""en"", ""fa"")
"),"روتین های تناسب اندام و ورزش")</f>
        <v>روتین های تناسب اندام و ورزش</v>
      </c>
      <c r="G1269" s="1" t="str">
        <f>IFERROR(__xludf.DUMMYFUNCTION("GOOGLETRANSLATE(C1269, ""en"", ""fa"")
"),"استراتژی هایی برای تعیین اهداف تناسب اندام واقعی و ایجاد برنامه ای برای پیگیری پیشرفت و با انگیزه ماندن به اشتراک بگذارید.")</f>
        <v>استراتژی هایی برای تعیین اهداف تناسب اندام واقعی و ایجاد برنامه ای برای پیگیری پیشرفت و با انگیزه ماندن به اشتراک بگذارید.</v>
      </c>
      <c r="H1269" s="1"/>
      <c r="I1269" s="1"/>
      <c r="J1269" s="1"/>
      <c r="K1269" s="1"/>
      <c r="L1269" s="1"/>
      <c r="M1269" s="1"/>
      <c r="N1269" s="1"/>
      <c r="O1269" s="1"/>
      <c r="P1269" s="1"/>
      <c r="Q1269" s="1"/>
      <c r="R1269" s="1"/>
      <c r="S1269" s="1"/>
      <c r="T1269" s="1"/>
      <c r="U1269" s="1"/>
      <c r="V1269" s="1"/>
      <c r="W1269" s="1"/>
      <c r="X1269" s="1"/>
      <c r="Y1269" s="1"/>
      <c r="Z1269" s="1"/>
      <c r="AA1269" s="1"/>
      <c r="AB1269" s="1"/>
    </row>
    <row r="1270" ht="50.25" customHeight="1">
      <c r="A1270" s="12">
        <v>1266.0</v>
      </c>
      <c r="B1270" s="13" t="s">
        <v>1275</v>
      </c>
      <c r="C1270" s="14" t="s">
        <v>1277</v>
      </c>
      <c r="D1270" s="1"/>
      <c r="E1270" s="15"/>
      <c r="F1270" s="1" t="str">
        <f>IFERROR(__xludf.DUMMYFUNCTION("GOOGLETRANSLATE(B1270, ""en"", ""fa"")
"),"روتین های تناسب اندام و ورزش")</f>
        <v>روتین های تناسب اندام و ورزش</v>
      </c>
      <c r="G1270" s="1" t="str">
        <f>IFERROR(__xludf.DUMMYFUNCTION("GOOGLETRANSLATE(C1270, ""en"", ""fa"")
"),"مزایای ترکیب فعالیت‌های خارج از منزل مانند پیاده‌روی، دوچرخه‌سواری یا دویدن را در یک برنامه تناسب اندام برای هوای تازه و تنوع بررسی کنید.")</f>
        <v>مزایای ترکیب فعالیت‌های خارج از منزل مانند پیاده‌روی، دوچرخه‌سواری یا دویدن را در یک برنامه تناسب اندام برای هوای تازه و تنوع بررسی کنید.</v>
      </c>
      <c r="H1270" s="1"/>
      <c r="I1270" s="1"/>
      <c r="J1270" s="1"/>
      <c r="K1270" s="1"/>
      <c r="L1270" s="1"/>
      <c r="M1270" s="1"/>
      <c r="N1270" s="1"/>
      <c r="O1270" s="1"/>
      <c r="P1270" s="1"/>
      <c r="Q1270" s="1"/>
      <c r="R1270" s="1"/>
      <c r="S1270" s="1"/>
      <c r="T1270" s="1"/>
      <c r="U1270" s="1"/>
      <c r="V1270" s="1"/>
      <c r="W1270" s="1"/>
      <c r="X1270" s="1"/>
      <c r="Y1270" s="1"/>
      <c r="Z1270" s="1"/>
      <c r="AA1270" s="1"/>
      <c r="AB1270" s="1"/>
    </row>
    <row r="1271" ht="50.25" customHeight="1">
      <c r="A1271" s="12">
        <v>1267.0</v>
      </c>
      <c r="B1271" s="13" t="s">
        <v>1275</v>
      </c>
      <c r="C1271" s="14" t="s">
        <v>1278</v>
      </c>
      <c r="D1271" s="1"/>
      <c r="E1271" s="15"/>
      <c r="F1271" s="1" t="str">
        <f>IFERROR(__xludf.DUMMYFUNCTION("GOOGLETRANSLATE(B1271, ""en"", ""fa"")
"),"روتین های تناسب اندام و ورزش")</f>
        <v>روتین های تناسب اندام و ورزش</v>
      </c>
      <c r="G1271" s="1" t="str">
        <f>IFERROR(__xludf.DUMMYFUNCTION("GOOGLETRANSLATE(C1271, ""en"", ""fa"")
"),"در مورد تاثیر اجرای یک روال گرم کردن و سرد کردن مناسب برای جلوگیری از صدمات و افزایش عملکرد تمرین بحث کنید.")</f>
        <v>در مورد تاثیر اجرای یک روال گرم کردن و سرد کردن مناسب برای جلوگیری از صدمات و افزایش عملکرد تمرین بحث کنید.</v>
      </c>
      <c r="H1271" s="1"/>
      <c r="I1271" s="1"/>
      <c r="J1271" s="1"/>
      <c r="K1271" s="1"/>
      <c r="L1271" s="1"/>
      <c r="M1271" s="1"/>
      <c r="N1271" s="1"/>
      <c r="O1271" s="1"/>
      <c r="P1271" s="1"/>
      <c r="Q1271" s="1"/>
      <c r="R1271" s="1"/>
      <c r="S1271" s="1"/>
      <c r="T1271" s="1"/>
      <c r="U1271" s="1"/>
      <c r="V1271" s="1"/>
      <c r="W1271" s="1"/>
      <c r="X1271" s="1"/>
      <c r="Y1271" s="1"/>
      <c r="Z1271" s="1"/>
      <c r="AA1271" s="1"/>
      <c r="AB1271" s="1"/>
    </row>
    <row r="1272" ht="50.25" customHeight="1">
      <c r="A1272" s="12">
        <v>1268.0</v>
      </c>
      <c r="B1272" s="13" t="s">
        <v>1275</v>
      </c>
      <c r="C1272" s="14" t="s">
        <v>1279</v>
      </c>
      <c r="D1272" s="1"/>
      <c r="E1272" s="15"/>
      <c r="F1272" s="1" t="str">
        <f>IFERROR(__xludf.DUMMYFUNCTION("GOOGLETRANSLATE(B1272, ""en"", ""fa"")
"),"روتین های تناسب اندام و ورزش")</f>
        <v>روتین های تناسب اندام و ورزش</v>
      </c>
      <c r="G1272" s="1" t="str">
        <f>IFERROR(__xludf.DUMMYFUNCTION("GOOGLETRANSLATE(C1272, ""en"", ""fa"")
"),"نکاتی را برای با انگیزه ماندن و غلبه بر فلات ها در یک سفر تناسب اندام، از جمله تغییر روال های تمرینی و ایجاد چالش های جدید به اشتراک بگذارید.")</f>
        <v>نکاتی را برای با انگیزه ماندن و غلبه بر فلات ها در یک سفر تناسب اندام، از جمله تغییر روال های تمرینی و ایجاد چالش های جدید به اشتراک بگذارید.</v>
      </c>
      <c r="H1272" s="1"/>
      <c r="I1272" s="1"/>
      <c r="J1272" s="1"/>
      <c r="K1272" s="1"/>
      <c r="L1272" s="1"/>
      <c r="M1272" s="1"/>
      <c r="N1272" s="1"/>
      <c r="O1272" s="1"/>
      <c r="P1272" s="1"/>
      <c r="Q1272" s="1"/>
      <c r="R1272" s="1"/>
      <c r="S1272" s="1"/>
      <c r="T1272" s="1"/>
      <c r="U1272" s="1"/>
      <c r="V1272" s="1"/>
      <c r="W1272" s="1"/>
      <c r="X1272" s="1"/>
      <c r="Y1272" s="1"/>
      <c r="Z1272" s="1"/>
      <c r="AA1272" s="1"/>
      <c r="AB1272" s="1"/>
    </row>
    <row r="1273" ht="50.25" customHeight="1">
      <c r="A1273" s="12">
        <v>1269.0</v>
      </c>
      <c r="B1273" s="13" t="s">
        <v>1275</v>
      </c>
      <c r="C1273" s="14" t="s">
        <v>1280</v>
      </c>
      <c r="D1273" s="1"/>
      <c r="E1273" s="15"/>
      <c r="F1273" s="1" t="str">
        <f>IFERROR(__xludf.DUMMYFUNCTION("GOOGLETRANSLATE(B1273, ""en"", ""fa"")
"),"روتین های تناسب اندام و ورزش")</f>
        <v>روتین های تناسب اندام و ورزش</v>
      </c>
      <c r="G1273" s="1" t="str">
        <f>IFERROR(__xludf.DUMMYFUNCTION("GOOGLETRANSLATE(C1273, ""en"", ""fa"")
"),"مفهوم استفاده از ردیاب‌های تناسب اندام پوشیدنی یا برنامه‌های تلفن همراه را برای نظارت بر پیشرفت، پیگیری مراحل و اندازه‌گیری سطوح فعالیت کاوش کنید.")</f>
        <v>مفهوم استفاده از ردیاب‌های تناسب اندام پوشیدنی یا برنامه‌های تلفن همراه را برای نظارت بر پیشرفت، پیگیری مراحل و اندازه‌گیری سطوح فعالیت کاوش کنید.</v>
      </c>
      <c r="H1273" s="1"/>
      <c r="I1273" s="1"/>
      <c r="J1273" s="1"/>
      <c r="K1273" s="1"/>
      <c r="L1273" s="1"/>
      <c r="M1273" s="1"/>
      <c r="N1273" s="1"/>
      <c r="O1273" s="1"/>
      <c r="P1273" s="1"/>
      <c r="Q1273" s="1"/>
      <c r="R1273" s="1"/>
      <c r="S1273" s="1"/>
      <c r="T1273" s="1"/>
      <c r="U1273" s="1"/>
      <c r="V1273" s="1"/>
      <c r="W1273" s="1"/>
      <c r="X1273" s="1"/>
      <c r="Y1273" s="1"/>
      <c r="Z1273" s="1"/>
      <c r="AA1273" s="1"/>
      <c r="AB1273" s="1"/>
    </row>
    <row r="1274" ht="50.25" customHeight="1">
      <c r="A1274" s="12">
        <v>1270.0</v>
      </c>
      <c r="B1274" s="13" t="s">
        <v>1275</v>
      </c>
      <c r="C1274" s="14" t="s">
        <v>1281</v>
      </c>
      <c r="D1274" s="1"/>
      <c r="E1274" s="15"/>
      <c r="F1274" s="1" t="str">
        <f>IFERROR(__xludf.DUMMYFUNCTION("GOOGLETRANSLATE(B1274, ""en"", ""fa"")
"),"روتین های تناسب اندام و ورزش")</f>
        <v>روتین های تناسب اندام و ورزش</v>
      </c>
      <c r="G1274" s="1" t="str">
        <f>IFERROR(__xludf.DUMMYFUNCTION("GOOGLETRANSLATE(C1274, ""en"", ""fa"")
"),"در مورد نقش تغذیه مناسب و هیدراتاسیون در حمایت از اهداف تناسب اندام و افزایش عملکرد تمرینی بحث کنید.")</f>
        <v>در مورد نقش تغذیه مناسب و هیدراتاسیون در حمایت از اهداف تناسب اندام و افزایش عملکرد تمرینی بحث کنید.</v>
      </c>
      <c r="H1274" s="1"/>
      <c r="I1274" s="1"/>
      <c r="J1274" s="1"/>
      <c r="K1274" s="1"/>
      <c r="L1274" s="1"/>
      <c r="M1274" s="1"/>
      <c r="N1274" s="1"/>
      <c r="O1274" s="1"/>
      <c r="P1274" s="1"/>
      <c r="Q1274" s="1"/>
      <c r="R1274" s="1"/>
      <c r="S1274" s="1"/>
      <c r="T1274" s="1"/>
      <c r="U1274" s="1"/>
      <c r="V1274" s="1"/>
      <c r="W1274" s="1"/>
      <c r="X1274" s="1"/>
      <c r="Y1274" s="1"/>
      <c r="Z1274" s="1"/>
      <c r="AA1274" s="1"/>
      <c r="AB1274" s="1"/>
    </row>
    <row r="1275" ht="50.25" customHeight="1">
      <c r="A1275" s="12">
        <v>1271.0</v>
      </c>
      <c r="B1275" s="13" t="s">
        <v>1275</v>
      </c>
      <c r="C1275" s="14" t="s">
        <v>1282</v>
      </c>
      <c r="D1275" s="1"/>
      <c r="E1275" s="15"/>
      <c r="F1275" s="1" t="str">
        <f>IFERROR(__xludf.DUMMYFUNCTION("GOOGLETRANSLATE(B1275, ""en"", ""fa"")
"),"روتین های تناسب اندام و ورزش")</f>
        <v>روتین های تناسب اندام و ورزش</v>
      </c>
      <c r="G1275" s="1" t="str">
        <f>IFERROR(__xludf.DUMMYFUNCTION("GOOGLETRANSLATE(C1275, ""en"", ""fa"")
"),"استراتژی‌هایی را برای گنجاندن تکنیک‌های تمرکز حواس و آرامش در یک برنامه تناسب اندام، مانند مدیتیشن یا تمرینات تنفس عمیق به اشتراک بگذارید.")</f>
        <v>استراتژی‌هایی را برای گنجاندن تکنیک‌های تمرکز حواس و آرامش در یک برنامه تناسب اندام، مانند مدیتیشن یا تمرینات تنفس عمیق به اشتراک بگذارید.</v>
      </c>
      <c r="H1275" s="1"/>
      <c r="I1275" s="1"/>
      <c r="J1275" s="1"/>
      <c r="K1275" s="1"/>
      <c r="L1275" s="1"/>
      <c r="M1275" s="1"/>
      <c r="N1275" s="1"/>
      <c r="O1275" s="1"/>
      <c r="P1275" s="1"/>
      <c r="Q1275" s="1"/>
      <c r="R1275" s="1"/>
      <c r="S1275" s="1"/>
      <c r="T1275" s="1"/>
      <c r="U1275" s="1"/>
      <c r="V1275" s="1"/>
      <c r="W1275" s="1"/>
      <c r="X1275" s="1"/>
      <c r="Y1275" s="1"/>
      <c r="Z1275" s="1"/>
      <c r="AA1275" s="1"/>
      <c r="AB1275" s="1"/>
    </row>
    <row r="1276" ht="50.25" customHeight="1">
      <c r="A1276" s="12">
        <v>1272.0</v>
      </c>
      <c r="B1276" s="13" t="s">
        <v>1275</v>
      </c>
      <c r="C1276" s="14" t="s">
        <v>1283</v>
      </c>
      <c r="D1276" s="1"/>
      <c r="E1276" s="15"/>
      <c r="F1276" s="1" t="str">
        <f>IFERROR(__xludf.DUMMYFUNCTION("GOOGLETRANSLATE(B1276, ""en"", ""fa"")
"),"روتین های تناسب اندام و ورزش")</f>
        <v>روتین های تناسب اندام و ورزش</v>
      </c>
      <c r="G1276" s="1" t="str">
        <f>IFERROR(__xludf.DUMMYFUNCTION("GOOGLETRANSLATE(C1276, ""en"", ""fa"")
"),"مزایای استفاده از نوارهای مقاومتی یا تمرینات وزن بدن برای تمرینات قدرتی بدون نیاز به تجهیزات سنگین را بررسی کنید.")</f>
        <v>مزایای استفاده از نوارهای مقاومتی یا تمرینات وزن بدن برای تمرینات قدرتی بدون نیاز به تجهیزات سنگین را بررسی کنید.</v>
      </c>
      <c r="H1276" s="1"/>
      <c r="I1276" s="1"/>
      <c r="J1276" s="1"/>
      <c r="K1276" s="1"/>
      <c r="L1276" s="1"/>
      <c r="M1276" s="1"/>
      <c r="N1276" s="1"/>
      <c r="O1276" s="1"/>
      <c r="P1276" s="1"/>
      <c r="Q1276" s="1"/>
      <c r="R1276" s="1"/>
      <c r="S1276" s="1"/>
      <c r="T1276" s="1"/>
      <c r="U1276" s="1"/>
      <c r="V1276" s="1"/>
      <c r="W1276" s="1"/>
      <c r="X1276" s="1"/>
      <c r="Y1276" s="1"/>
      <c r="Z1276" s="1"/>
      <c r="AA1276" s="1"/>
      <c r="AB1276" s="1"/>
    </row>
    <row r="1277" ht="50.25" customHeight="1">
      <c r="A1277" s="12">
        <v>1273.0</v>
      </c>
      <c r="B1277" s="13" t="s">
        <v>1275</v>
      </c>
      <c r="C1277" s="14" t="s">
        <v>1284</v>
      </c>
      <c r="D1277" s="1"/>
      <c r="E1277" s="15"/>
      <c r="F1277" s="1" t="str">
        <f>IFERROR(__xludf.DUMMYFUNCTION("GOOGLETRANSLATE(B1277, ""en"", ""fa"")
"),"روتین های تناسب اندام و ورزش")</f>
        <v>روتین های تناسب اندام و ورزش</v>
      </c>
      <c r="G1277" s="1" t="str">
        <f>IFERROR(__xludf.DUMMYFUNCTION("GOOGLETRANSLATE(C1277, ""en"", ""fa"")
"),"در مورد تاثیر ترکیب تمرینات کششی برای بهبود انعطاف پذیری، جلوگیری از عدم تعادل عضلانی و کاهش خطر آسیب بحث کنید.")</f>
        <v>در مورد تاثیر ترکیب تمرینات کششی برای بهبود انعطاف پذیری، جلوگیری از عدم تعادل عضلانی و کاهش خطر آسیب بحث کنید.</v>
      </c>
      <c r="H1277" s="1"/>
      <c r="I1277" s="1"/>
      <c r="J1277" s="1"/>
      <c r="K1277" s="1"/>
      <c r="L1277" s="1"/>
      <c r="M1277" s="1"/>
      <c r="N1277" s="1"/>
      <c r="O1277" s="1"/>
      <c r="P1277" s="1"/>
      <c r="Q1277" s="1"/>
      <c r="R1277" s="1"/>
      <c r="S1277" s="1"/>
      <c r="T1277" s="1"/>
      <c r="U1277" s="1"/>
      <c r="V1277" s="1"/>
      <c r="W1277" s="1"/>
      <c r="X1277" s="1"/>
      <c r="Y1277" s="1"/>
      <c r="Z1277" s="1"/>
      <c r="AA1277" s="1"/>
      <c r="AB1277" s="1"/>
    </row>
    <row r="1278" ht="50.25" customHeight="1">
      <c r="A1278" s="12">
        <v>1274.0</v>
      </c>
      <c r="B1278" s="13" t="s">
        <v>1275</v>
      </c>
      <c r="C1278" s="14" t="s">
        <v>1285</v>
      </c>
      <c r="D1278" s="1"/>
      <c r="E1278" s="15"/>
      <c r="F1278" s="1" t="str">
        <f>IFERROR(__xludf.DUMMYFUNCTION("GOOGLETRANSLATE(B1278, ""en"", ""fa"")
"),"روتین های تناسب اندام و ورزش")</f>
        <v>روتین های تناسب اندام و ورزش</v>
      </c>
      <c r="G1278" s="1" t="str">
        <f>IFERROR(__xludf.DUMMYFUNCTION("GOOGLETRANSLATE(C1278, ""en"", ""fa"")
"),"نکاتی را برای سازگاری با یک روال تناسب اندام به اشتراک بگذارید، از جمله برنامه‌ریزی تمرینات، پیدا کردن شریک مسئولیت‌پذیر، یا پیوستن به کلاس‌های تناسب اندام گروهی.")</f>
        <v>نکاتی را برای سازگاری با یک روال تناسب اندام به اشتراک بگذارید، از جمله برنامه‌ریزی تمرینات، پیدا کردن شریک مسئولیت‌پذیر، یا پیوستن به کلاس‌های تناسب اندام گروهی.</v>
      </c>
      <c r="H1278" s="1"/>
      <c r="I1278" s="1"/>
      <c r="J1278" s="1"/>
      <c r="K1278" s="1"/>
      <c r="L1278" s="1"/>
      <c r="M1278" s="1"/>
      <c r="N1278" s="1"/>
      <c r="O1278" s="1"/>
      <c r="P1278" s="1"/>
      <c r="Q1278" s="1"/>
      <c r="R1278" s="1"/>
      <c r="S1278" s="1"/>
      <c r="T1278" s="1"/>
      <c r="U1278" s="1"/>
      <c r="V1278" s="1"/>
      <c r="W1278" s="1"/>
      <c r="X1278" s="1"/>
      <c r="Y1278" s="1"/>
      <c r="Z1278" s="1"/>
      <c r="AA1278" s="1"/>
      <c r="AB1278" s="1"/>
    </row>
    <row r="1279" ht="50.25" customHeight="1">
      <c r="A1279" s="12">
        <v>1275.0</v>
      </c>
      <c r="B1279" s="13" t="s">
        <v>1275</v>
      </c>
      <c r="C1279" s="14" t="s">
        <v>1286</v>
      </c>
      <c r="D1279" s="1"/>
      <c r="E1279" s="15"/>
      <c r="F1279" s="1" t="str">
        <f>IFERROR(__xludf.DUMMYFUNCTION("GOOGLETRANSLATE(B1279, ""en"", ""fa"")
"),"روتین های تناسب اندام و ورزش")</f>
        <v>روتین های تناسب اندام و ورزش</v>
      </c>
      <c r="G1279" s="1" t="str">
        <f>IFERROR(__xludf.DUMMYFUNCTION("GOOGLETRANSLATE(C1279, ""en"", ""fa"")
"),"مفهوم استفاده از تمرینات تناوبی برای افزایش متابولیسم، سوزاندن کالری و بهبود تناسب اندام قلبی عروقی را بررسی کنید.")</f>
        <v>مفهوم استفاده از تمرینات تناوبی برای افزایش متابولیسم، سوزاندن کالری و بهبود تناسب اندام قلبی عروقی را بررسی کنید.</v>
      </c>
      <c r="H1279" s="1"/>
      <c r="I1279" s="1"/>
      <c r="J1279" s="1"/>
      <c r="K1279" s="1"/>
      <c r="L1279" s="1"/>
      <c r="M1279" s="1"/>
      <c r="N1279" s="1"/>
      <c r="O1279" s="1"/>
      <c r="P1279" s="1"/>
      <c r="Q1279" s="1"/>
      <c r="R1279" s="1"/>
      <c r="S1279" s="1"/>
      <c r="T1279" s="1"/>
      <c r="U1279" s="1"/>
      <c r="V1279" s="1"/>
      <c r="W1279" s="1"/>
      <c r="X1279" s="1"/>
      <c r="Y1279" s="1"/>
      <c r="Z1279" s="1"/>
      <c r="AA1279" s="1"/>
      <c r="AB1279" s="1"/>
    </row>
    <row r="1280" ht="50.25" customHeight="1">
      <c r="A1280" s="12">
        <v>1276.0</v>
      </c>
      <c r="B1280" s="13" t="s">
        <v>1275</v>
      </c>
      <c r="C1280" s="14" t="s">
        <v>1287</v>
      </c>
      <c r="D1280" s="1"/>
      <c r="E1280" s="15"/>
      <c r="F1280" s="1" t="str">
        <f>IFERROR(__xludf.DUMMYFUNCTION("GOOGLETRANSLATE(B1280, ""en"", ""fa"")
"),"روتین های تناسب اندام و ورزش")</f>
        <v>روتین های تناسب اندام و ورزش</v>
      </c>
      <c r="G1280" s="1" t="str">
        <f>IFERROR(__xludf.DUMMYFUNCTION("GOOGLETRANSLATE(C1280, ""en"", ""fa"")
"),"در مورد نقش فرم و تکنیک مناسب در برنامه های ورزشی برای به حداکثر رساندن اثربخشی و جلوگیری از آسیب ها بحث کنید.")</f>
        <v>در مورد نقش فرم و تکنیک مناسب در برنامه های ورزشی برای به حداکثر رساندن اثربخشی و جلوگیری از آسیب ها بحث کنید.</v>
      </c>
      <c r="H1280" s="1"/>
      <c r="I1280" s="1"/>
      <c r="J1280" s="1"/>
      <c r="K1280" s="1"/>
      <c r="L1280" s="1"/>
      <c r="M1280" s="1"/>
      <c r="N1280" s="1"/>
      <c r="O1280" s="1"/>
      <c r="P1280" s="1"/>
      <c r="Q1280" s="1"/>
      <c r="R1280" s="1"/>
      <c r="S1280" s="1"/>
      <c r="T1280" s="1"/>
      <c r="U1280" s="1"/>
      <c r="V1280" s="1"/>
      <c r="W1280" s="1"/>
      <c r="X1280" s="1"/>
      <c r="Y1280" s="1"/>
      <c r="Z1280" s="1"/>
      <c r="AA1280" s="1"/>
      <c r="AB1280" s="1"/>
    </row>
    <row r="1281" ht="50.25" customHeight="1">
      <c r="A1281" s="12">
        <v>1277.0</v>
      </c>
      <c r="B1281" s="13" t="s">
        <v>1275</v>
      </c>
      <c r="C1281" s="14" t="s">
        <v>1288</v>
      </c>
      <c r="D1281" s="1"/>
      <c r="E1281" s="15"/>
      <c r="F1281" s="1" t="str">
        <f>IFERROR(__xludf.DUMMYFUNCTION("GOOGLETRANSLATE(B1281, ""en"", ""fa"")
"),"روتین های تناسب اندام و ورزش")</f>
        <v>روتین های تناسب اندام و ورزش</v>
      </c>
      <c r="G1281" s="1" t="str">
        <f>IFERROR(__xludf.DUMMYFUNCTION("GOOGLETRANSLATE(C1281, ""en"", ""fa"")
"),"استراتژی هایی را برای ترکیب تمرینات عملکردی که حرکات واقعی را تقلید می کند و قدرت و ثبات کلی بدن را بهبود می بخشد، به اشتراک بگذارید.")</f>
        <v>استراتژی هایی را برای ترکیب تمرینات عملکردی که حرکات واقعی را تقلید می کند و قدرت و ثبات کلی بدن را بهبود می بخشد، به اشتراک بگذارید.</v>
      </c>
      <c r="H1281" s="1"/>
      <c r="I1281" s="1"/>
      <c r="J1281" s="1"/>
      <c r="K1281" s="1"/>
      <c r="L1281" s="1"/>
      <c r="M1281" s="1"/>
      <c r="N1281" s="1"/>
      <c r="O1281" s="1"/>
      <c r="P1281" s="1"/>
      <c r="Q1281" s="1"/>
      <c r="R1281" s="1"/>
      <c r="S1281" s="1"/>
      <c r="T1281" s="1"/>
      <c r="U1281" s="1"/>
      <c r="V1281" s="1"/>
      <c r="W1281" s="1"/>
      <c r="X1281" s="1"/>
      <c r="Y1281" s="1"/>
      <c r="Z1281" s="1"/>
      <c r="AA1281" s="1"/>
      <c r="AB1281" s="1"/>
    </row>
    <row r="1282" ht="50.25" customHeight="1">
      <c r="A1282" s="12">
        <v>1278.0</v>
      </c>
      <c r="B1282" s="13" t="s">
        <v>1275</v>
      </c>
      <c r="C1282" s="14" t="s">
        <v>1289</v>
      </c>
      <c r="D1282" s="1"/>
      <c r="E1282" s="15"/>
      <c r="F1282" s="1" t="str">
        <f>IFERROR(__xludf.DUMMYFUNCTION("GOOGLETRANSLATE(B1282, ""en"", ""fa"")
"),"روتین های تناسب اندام و ورزش")</f>
        <v>روتین های تناسب اندام و ورزش</v>
      </c>
      <c r="G1282" s="1" t="str">
        <f>IFERROR(__xludf.DUMMYFUNCTION("GOOGLETRANSLATE(C1282, ""en"", ""fa"")
"),"با شرکت در انواع مختلف تمرینات، مانند شنا، دوچرخه سواری یا رقص، فواید تمرینات متقابل را بررسی کنید تا بدن را به طرق مختلف به چالش بکشید.")</f>
        <v>با شرکت در انواع مختلف تمرینات، مانند شنا، دوچرخه سواری یا رقص، فواید تمرینات متقابل را بررسی کنید تا بدن را به طرق مختلف به چالش بکشید.</v>
      </c>
      <c r="H1282" s="1"/>
      <c r="I1282" s="1"/>
      <c r="J1282" s="1"/>
      <c r="K1282" s="1"/>
      <c r="L1282" s="1"/>
      <c r="M1282" s="1"/>
      <c r="N1282" s="1"/>
      <c r="O1282" s="1"/>
      <c r="P1282" s="1"/>
      <c r="Q1282" s="1"/>
      <c r="R1282" s="1"/>
      <c r="S1282" s="1"/>
      <c r="T1282" s="1"/>
      <c r="U1282" s="1"/>
      <c r="V1282" s="1"/>
      <c r="W1282" s="1"/>
      <c r="X1282" s="1"/>
      <c r="Y1282" s="1"/>
      <c r="Z1282" s="1"/>
      <c r="AA1282" s="1"/>
      <c r="AB1282" s="1"/>
    </row>
    <row r="1283" ht="50.25" customHeight="1">
      <c r="A1283" s="12">
        <v>1279.0</v>
      </c>
      <c r="B1283" s="13" t="s">
        <v>1275</v>
      </c>
      <c r="C1283" s="14" t="s">
        <v>1290</v>
      </c>
      <c r="D1283" s="1"/>
      <c r="E1283" s="15"/>
      <c r="F1283" s="1" t="str">
        <f>IFERROR(__xludf.DUMMYFUNCTION("GOOGLETRANSLATE(B1283, ""en"", ""fa"")
"),"روتین های تناسب اندام و ورزش")</f>
        <v>روتین های تناسب اندام و ورزش</v>
      </c>
      <c r="G1283" s="1" t="str">
        <f>IFERROR(__xludf.DUMMYFUNCTION("GOOGLETRANSLATE(C1283, ""en"", ""fa"")
"),"در مورد تأثیر گنجاندن روزهای استراحت در یک برنامه تناسب اندام برای امکان ریکاوری مناسب و جلوگیری از تمرین بیش از حد بحث کنید.")</f>
        <v>در مورد تأثیر گنجاندن روزهای استراحت در یک برنامه تناسب اندام برای امکان ریکاوری مناسب و جلوگیری از تمرین بیش از حد بحث کنید.</v>
      </c>
      <c r="H1283" s="1"/>
      <c r="I1283" s="1"/>
      <c r="J1283" s="1"/>
      <c r="K1283" s="1"/>
      <c r="L1283" s="1"/>
      <c r="M1283" s="1"/>
      <c r="N1283" s="1"/>
      <c r="O1283" s="1"/>
      <c r="P1283" s="1"/>
      <c r="Q1283" s="1"/>
      <c r="R1283" s="1"/>
      <c r="S1283" s="1"/>
      <c r="T1283" s="1"/>
      <c r="U1283" s="1"/>
      <c r="V1283" s="1"/>
      <c r="W1283" s="1"/>
      <c r="X1283" s="1"/>
      <c r="Y1283" s="1"/>
      <c r="Z1283" s="1"/>
      <c r="AA1283" s="1"/>
      <c r="AB1283" s="1"/>
    </row>
    <row r="1284" ht="50.25" customHeight="1">
      <c r="A1284" s="12">
        <v>1280.0</v>
      </c>
      <c r="B1284" s="13" t="s">
        <v>1275</v>
      </c>
      <c r="C1284" s="14" t="s">
        <v>1291</v>
      </c>
      <c r="D1284" s="1"/>
      <c r="E1284" s="15"/>
      <c r="F1284" s="1" t="str">
        <f>IFERROR(__xludf.DUMMYFUNCTION("GOOGLETRANSLATE(B1284, ""en"", ""fa"")
"),"روتین های تناسب اندام و ورزش")</f>
        <v>روتین های تناسب اندام و ورزش</v>
      </c>
      <c r="G1284" s="1" t="str">
        <f>IFERROR(__xludf.DUMMYFUNCTION("GOOGLETRANSLATE(C1284, ""en"", ""fa"")
"),"نکاتی را برای غلبه بر موانع و بهانه های رایج مانند کمبود وقت یا انگیزه در حفظ یک روال تناسب اندام به اشتراک بگذارید.")</f>
        <v>نکاتی را برای غلبه بر موانع و بهانه های رایج مانند کمبود وقت یا انگیزه در حفظ یک روال تناسب اندام به اشتراک بگذارید.</v>
      </c>
      <c r="H1284" s="1"/>
      <c r="I1284" s="1"/>
      <c r="J1284" s="1"/>
      <c r="K1284" s="1"/>
      <c r="L1284" s="1"/>
      <c r="M1284" s="1"/>
      <c r="N1284" s="1"/>
      <c r="O1284" s="1"/>
      <c r="P1284" s="1"/>
      <c r="Q1284" s="1"/>
      <c r="R1284" s="1"/>
      <c r="S1284" s="1"/>
      <c r="T1284" s="1"/>
      <c r="U1284" s="1"/>
      <c r="V1284" s="1"/>
      <c r="W1284" s="1"/>
      <c r="X1284" s="1"/>
      <c r="Y1284" s="1"/>
      <c r="Z1284" s="1"/>
      <c r="AA1284" s="1"/>
      <c r="AB1284" s="1"/>
    </row>
    <row r="1285" ht="50.25" customHeight="1">
      <c r="A1285" s="12">
        <v>1281.0</v>
      </c>
      <c r="B1285" s="13" t="s">
        <v>1275</v>
      </c>
      <c r="C1285" s="14" t="s">
        <v>1292</v>
      </c>
      <c r="D1285" s="1"/>
      <c r="E1285" s="15"/>
      <c r="F1285" s="1" t="str">
        <f>IFERROR(__xludf.DUMMYFUNCTION("GOOGLETRANSLATE(B1285, ""en"", ""fa"")
"),"روتین های تناسب اندام و ورزش")</f>
        <v>روتین های تناسب اندام و ورزش</v>
      </c>
      <c r="G1285" s="1" t="str">
        <f>IFERROR(__xludf.DUMMYFUNCTION("GOOGLETRANSLATE(C1285, ""en"", ""fa"")
"),"در مورد مزایای گنجاندن تمرینات قلبی عروقی، مانند دویدن، دوچرخه سواری، یا شنا، در یک برنامه تناسب اندام برای بهبود سلامت قلب و استقامت صحبت کنید.")</f>
        <v>در مورد مزایای گنجاندن تمرینات قلبی عروقی، مانند دویدن، دوچرخه سواری، یا شنا، در یک برنامه تناسب اندام برای بهبود سلامت قلب و استقامت صحبت کنید.</v>
      </c>
      <c r="H1285" s="1"/>
      <c r="I1285" s="1"/>
      <c r="J1285" s="1"/>
      <c r="K1285" s="1"/>
      <c r="L1285" s="1"/>
      <c r="M1285" s="1"/>
      <c r="N1285" s="1"/>
      <c r="O1285" s="1"/>
      <c r="P1285" s="1"/>
      <c r="Q1285" s="1"/>
      <c r="R1285" s="1"/>
      <c r="S1285" s="1"/>
      <c r="T1285" s="1"/>
      <c r="U1285" s="1"/>
      <c r="V1285" s="1"/>
      <c r="W1285" s="1"/>
      <c r="X1285" s="1"/>
      <c r="Y1285" s="1"/>
      <c r="Z1285" s="1"/>
      <c r="AA1285" s="1"/>
      <c r="AB1285" s="1"/>
    </row>
    <row r="1286" ht="50.25" customHeight="1">
      <c r="A1286" s="12">
        <v>1282.0</v>
      </c>
      <c r="B1286" s="13" t="s">
        <v>1275</v>
      </c>
      <c r="C1286" s="14" t="s">
        <v>1293</v>
      </c>
      <c r="D1286" s="1"/>
      <c r="E1286" s="15"/>
      <c r="F1286" s="1" t="str">
        <f>IFERROR(__xludf.DUMMYFUNCTION("GOOGLETRANSLATE(B1286, ""en"", ""fa"")
"),"روتین های تناسب اندام و ورزش")</f>
        <v>روتین های تناسب اندام و ورزش</v>
      </c>
      <c r="G1286" s="1" t="str">
        <f>IFERROR(__xludf.DUMMYFUNCTION("GOOGLETRANSLATE(C1286, ""en"", ""fa"")
"),"نکاتی را برای ایجاد یک روال تمرینی در خانه با استفاده از حداقل تجهیزات، از جمله تمرینات وزن بدن و وسایل خانگی به عنوان وسایل تمرین به اشتراک بگذارید.")</f>
        <v>نکاتی را برای ایجاد یک روال تمرینی در خانه با استفاده از حداقل تجهیزات، از جمله تمرینات وزن بدن و وسایل خانگی به عنوان وسایل تمرین به اشتراک بگذارید.</v>
      </c>
      <c r="H1286" s="1"/>
      <c r="I1286" s="1"/>
      <c r="J1286" s="1"/>
      <c r="K1286" s="1"/>
      <c r="L1286" s="1"/>
      <c r="M1286" s="1"/>
      <c r="N1286" s="1"/>
      <c r="O1286" s="1"/>
      <c r="P1286" s="1"/>
      <c r="Q1286" s="1"/>
      <c r="R1286" s="1"/>
      <c r="S1286" s="1"/>
      <c r="T1286" s="1"/>
      <c r="U1286" s="1"/>
      <c r="V1286" s="1"/>
      <c r="W1286" s="1"/>
      <c r="X1286" s="1"/>
      <c r="Y1286" s="1"/>
      <c r="Z1286" s="1"/>
      <c r="AA1286" s="1"/>
      <c r="AB1286" s="1"/>
    </row>
    <row r="1287" ht="50.25" customHeight="1">
      <c r="A1287" s="12">
        <v>1283.0</v>
      </c>
      <c r="B1287" s="13" t="s">
        <v>1275</v>
      </c>
      <c r="C1287" s="14" t="s">
        <v>1294</v>
      </c>
      <c r="D1287" s="1"/>
      <c r="E1287" s="15"/>
      <c r="F1287" s="1" t="str">
        <f>IFERROR(__xludf.DUMMYFUNCTION("GOOGLETRANSLATE(B1287, ""en"", ""fa"")
"),"روتین های تناسب اندام و ورزش")</f>
        <v>روتین های تناسب اندام و ورزش</v>
      </c>
      <c r="G1287" s="1" t="str">
        <f>IFERROR(__xludf.DUMMYFUNCTION("GOOGLETRANSLATE(C1287, ""en"", ""fa"")
"),"مفهوم ترکیب تمرینات تمرینی عملکردی، مانند اسکات، لانژ، و پلانک را برای بهبود حرکات روزمره و قدرت کلی بررسی کنید.")</f>
        <v>مفهوم ترکیب تمرینات تمرینی عملکردی، مانند اسکات، لانژ، و پلانک را برای بهبود حرکات روزمره و قدرت کلی بررسی کنید.</v>
      </c>
      <c r="H1287" s="1"/>
      <c r="I1287" s="1"/>
      <c r="J1287" s="1"/>
      <c r="K1287" s="1"/>
      <c r="L1287" s="1"/>
      <c r="M1287" s="1"/>
      <c r="N1287" s="1"/>
      <c r="O1287" s="1"/>
      <c r="P1287" s="1"/>
      <c r="Q1287" s="1"/>
      <c r="R1287" s="1"/>
      <c r="S1287" s="1"/>
      <c r="T1287" s="1"/>
      <c r="U1287" s="1"/>
      <c r="V1287" s="1"/>
      <c r="W1287" s="1"/>
      <c r="X1287" s="1"/>
      <c r="Y1287" s="1"/>
      <c r="Z1287" s="1"/>
      <c r="AA1287" s="1"/>
      <c r="AB1287" s="1"/>
    </row>
    <row r="1288" ht="50.25" customHeight="1">
      <c r="A1288" s="12">
        <v>1284.0</v>
      </c>
      <c r="B1288" s="13" t="s">
        <v>1275</v>
      </c>
      <c r="C1288" s="14" t="s">
        <v>1295</v>
      </c>
      <c r="D1288" s="1"/>
      <c r="E1288" s="15"/>
      <c r="F1288" s="1" t="str">
        <f>IFERROR(__xludf.DUMMYFUNCTION("GOOGLETRANSLATE(B1288, ""en"", ""fa"")
"),"روتین های تناسب اندام و ورزش")</f>
        <v>روتین های تناسب اندام و ورزش</v>
      </c>
      <c r="G1288" s="1" t="str">
        <f>IFERROR(__xludf.DUMMYFUNCTION("GOOGLETRANSLATE(C1288, ""en"", ""fa"")
"),"در مورد نقش ترکیب تمرینات ذهن و بدن، مانند تای چی یا چیگونگ، برای تقویت آرامش، تعادل و کاهش استرس بحث کنید.")</f>
        <v>در مورد نقش ترکیب تمرینات ذهن و بدن، مانند تای چی یا چیگونگ، برای تقویت آرامش، تعادل و کاهش استرس بحث کنید.</v>
      </c>
      <c r="H1288" s="1"/>
      <c r="I1288" s="1"/>
      <c r="J1288" s="1"/>
      <c r="K1288" s="1"/>
      <c r="L1288" s="1"/>
      <c r="M1288" s="1"/>
      <c r="N1288" s="1"/>
      <c r="O1288" s="1"/>
      <c r="P1288" s="1"/>
      <c r="Q1288" s="1"/>
      <c r="R1288" s="1"/>
      <c r="S1288" s="1"/>
      <c r="T1288" s="1"/>
      <c r="U1288" s="1"/>
      <c r="V1288" s="1"/>
      <c r="W1288" s="1"/>
      <c r="X1288" s="1"/>
      <c r="Y1288" s="1"/>
      <c r="Z1288" s="1"/>
      <c r="AA1288" s="1"/>
      <c r="AB1288" s="1"/>
    </row>
    <row r="1289" ht="50.25" customHeight="1">
      <c r="A1289" s="12">
        <v>1285.0</v>
      </c>
      <c r="B1289" s="13" t="s">
        <v>1275</v>
      </c>
      <c r="C1289" s="14" t="s">
        <v>1296</v>
      </c>
      <c r="D1289" s="1"/>
      <c r="E1289" s="15"/>
      <c r="F1289" s="1" t="str">
        <f>IFERROR(__xludf.DUMMYFUNCTION("GOOGLETRANSLATE(B1289, ""en"", ""fa"")
"),"روتین های تناسب اندام و ورزش")</f>
        <v>روتین های تناسب اندام و ورزش</v>
      </c>
      <c r="G1289" s="1" t="str">
        <f>IFERROR(__xludf.DUMMYFUNCTION("GOOGLETRANSLATE(C1289, ""en"", ""fa"")
"),"استراتژی‌هایی را برای گنجاندن تمرینات تناوبی در یک روال تناسب اندام، به طور متناوب بین انفجارهای با شدت بالا و دوره‌های ریکاوری برای حداکثر کالری سوزی، به اشتراک بگذارید.")</f>
        <v>استراتژی‌هایی را برای گنجاندن تمرینات تناوبی در یک روال تناسب اندام، به طور متناوب بین انفجارهای با شدت بالا و دوره‌های ریکاوری برای حداکثر کالری سوزی، به اشتراک بگذارید.</v>
      </c>
      <c r="H1289" s="1"/>
      <c r="I1289" s="1"/>
      <c r="J1289" s="1"/>
      <c r="K1289" s="1"/>
      <c r="L1289" s="1"/>
      <c r="M1289" s="1"/>
      <c r="N1289" s="1"/>
      <c r="O1289" s="1"/>
      <c r="P1289" s="1"/>
      <c r="Q1289" s="1"/>
      <c r="R1289" s="1"/>
      <c r="S1289" s="1"/>
      <c r="T1289" s="1"/>
      <c r="U1289" s="1"/>
      <c r="V1289" s="1"/>
      <c r="W1289" s="1"/>
      <c r="X1289" s="1"/>
      <c r="Y1289" s="1"/>
      <c r="Z1289" s="1"/>
      <c r="AA1289" s="1"/>
      <c r="AB1289" s="1"/>
    </row>
    <row r="1290" ht="50.25" customHeight="1">
      <c r="A1290" s="12">
        <v>1286.0</v>
      </c>
      <c r="B1290" s="13" t="s">
        <v>1275</v>
      </c>
      <c r="C1290" s="14" t="s">
        <v>1297</v>
      </c>
      <c r="D1290" s="1"/>
      <c r="E1290" s="15"/>
      <c r="F1290" s="1" t="str">
        <f>IFERROR(__xludf.DUMMYFUNCTION("GOOGLETRANSLATE(B1290, ""en"", ""fa"")
"),"روتین های تناسب اندام و ورزش")</f>
        <v>روتین های تناسب اندام و ورزش</v>
      </c>
      <c r="G1290" s="1" t="str">
        <f>IFERROR(__xludf.DUMMYFUNCTION("GOOGLETRANSLATE(C1290, ""en"", ""fa"")
"),"مزایای شرکت در کلاس های تناسب اندام گروهی یا پیوستن به جوامع تناسب اندام را برای افزایش انگیزه و مسئولیت پذیری کاوش کنید.")</f>
        <v>مزایای شرکت در کلاس های تناسب اندام گروهی یا پیوستن به جوامع تناسب اندام را برای افزایش انگیزه و مسئولیت پذیری کاوش کنید.</v>
      </c>
      <c r="H1290" s="1"/>
      <c r="I1290" s="1"/>
      <c r="J1290" s="1"/>
      <c r="K1290" s="1"/>
      <c r="L1290" s="1"/>
      <c r="M1290" s="1"/>
      <c r="N1290" s="1"/>
      <c r="O1290" s="1"/>
      <c r="P1290" s="1"/>
      <c r="Q1290" s="1"/>
      <c r="R1290" s="1"/>
      <c r="S1290" s="1"/>
      <c r="T1290" s="1"/>
      <c r="U1290" s="1"/>
      <c r="V1290" s="1"/>
      <c r="W1290" s="1"/>
      <c r="X1290" s="1"/>
      <c r="Y1290" s="1"/>
      <c r="Z1290" s="1"/>
      <c r="AA1290" s="1"/>
      <c r="AB1290" s="1"/>
    </row>
    <row r="1291" ht="50.25" customHeight="1">
      <c r="A1291" s="12">
        <v>1287.0</v>
      </c>
      <c r="B1291" s="13" t="s">
        <v>1275</v>
      </c>
      <c r="C1291" s="14" t="s">
        <v>1298</v>
      </c>
      <c r="D1291" s="1"/>
      <c r="E1291" s="15"/>
      <c r="F1291" s="1" t="str">
        <f>IFERROR(__xludf.DUMMYFUNCTION("GOOGLETRANSLATE(B1291, ""en"", ""fa"")
"),"روتین های تناسب اندام و ورزش")</f>
        <v>روتین های تناسب اندام و ورزش</v>
      </c>
      <c r="G1291" s="1" t="str">
        <f>IFERROR(__xludf.DUMMYFUNCTION("GOOGLETRANSLATE(C1291, ""en"", ""fa"")
"),"در مورد تأثیر تعیین اهداف تناسب اندام خاص و قابل اندازه گیری، مانند دویدن ماراتن یا دستیابی به نقطه عطف وزنه برداری بحث کنید.")</f>
        <v>در مورد تأثیر تعیین اهداف تناسب اندام خاص و قابل اندازه گیری، مانند دویدن ماراتن یا دستیابی به نقطه عطف وزنه برداری بحث کنید.</v>
      </c>
      <c r="H1291" s="1"/>
      <c r="I1291" s="1"/>
      <c r="J1291" s="1"/>
      <c r="K1291" s="1"/>
      <c r="L1291" s="1"/>
      <c r="M1291" s="1"/>
      <c r="N1291" s="1"/>
      <c r="O1291" s="1"/>
      <c r="P1291" s="1"/>
      <c r="Q1291" s="1"/>
      <c r="R1291" s="1"/>
      <c r="S1291" s="1"/>
      <c r="T1291" s="1"/>
      <c r="U1291" s="1"/>
      <c r="V1291" s="1"/>
      <c r="W1291" s="1"/>
      <c r="X1291" s="1"/>
      <c r="Y1291" s="1"/>
      <c r="Z1291" s="1"/>
      <c r="AA1291" s="1"/>
      <c r="AB1291" s="1"/>
    </row>
    <row r="1292" ht="50.25" customHeight="1">
      <c r="A1292" s="12">
        <v>1288.0</v>
      </c>
      <c r="B1292" s="13" t="s">
        <v>1275</v>
      </c>
      <c r="C1292" s="14" t="s">
        <v>1299</v>
      </c>
      <c r="D1292" s="1"/>
      <c r="E1292" s="15"/>
      <c r="F1292" s="1" t="str">
        <f>IFERROR(__xludf.DUMMYFUNCTION("GOOGLETRANSLATE(B1292, ""en"", ""fa"")
"),"روتین های تناسب اندام و ورزش")</f>
        <v>روتین های تناسب اندام و ورزش</v>
      </c>
      <c r="G1292" s="1" t="str">
        <f>IFERROR(__xludf.DUMMYFUNCTION("GOOGLETRANSLATE(C1292, ""en"", ""fa"")
"),"برای بهبود انعطاف پذیری و تسکین تنش عضلانی، نکاتی را برای گنجاندن تکنیک های فوم نورد یا رهاسازی خود میوفاسیال در یک برنامه تناسب اندام به اشتراک بگذارید.")</f>
        <v>برای بهبود انعطاف پذیری و تسکین تنش عضلانی، نکاتی را برای گنجاندن تکنیک های فوم نورد یا رهاسازی خود میوفاسیال در یک برنامه تناسب اندام به اشتراک بگذارید.</v>
      </c>
      <c r="H1292" s="1"/>
      <c r="I1292" s="1"/>
      <c r="J1292" s="1"/>
      <c r="K1292" s="1"/>
      <c r="L1292" s="1"/>
      <c r="M1292" s="1"/>
      <c r="N1292" s="1"/>
      <c r="O1292" s="1"/>
      <c r="P1292" s="1"/>
      <c r="Q1292" s="1"/>
      <c r="R1292" s="1"/>
      <c r="S1292" s="1"/>
      <c r="T1292" s="1"/>
      <c r="U1292" s="1"/>
      <c r="V1292" s="1"/>
      <c r="W1292" s="1"/>
      <c r="X1292" s="1"/>
      <c r="Y1292" s="1"/>
      <c r="Z1292" s="1"/>
      <c r="AA1292" s="1"/>
      <c r="AB1292" s="1"/>
    </row>
    <row r="1293" ht="50.25" customHeight="1">
      <c r="A1293" s="12">
        <v>1289.0</v>
      </c>
      <c r="B1293" s="13" t="s">
        <v>1275</v>
      </c>
      <c r="C1293" s="14" t="s">
        <v>1300</v>
      </c>
      <c r="D1293" s="1"/>
      <c r="E1293" s="15"/>
      <c r="F1293" s="1" t="str">
        <f>IFERROR(__xludf.DUMMYFUNCTION("GOOGLETRANSLATE(B1293, ""en"", ""fa"")
"),"روتین های تناسب اندام و ورزش")</f>
        <v>روتین های تناسب اندام و ورزش</v>
      </c>
      <c r="G1293" s="1" t="str">
        <f>IFERROR(__xludf.DUMMYFUNCTION("GOOGLETRANSLATE(C1293, ""en"", ""fa"")
"),"مفهوم ترکیب تمرینات تمرینی دایره ای را که تمرینات قدرتی و انفجارهای قلبی را برای یک تمرین کارآمد و موثر با زمان ترکیب می کند، بررسی کنید.")</f>
        <v>مفهوم ترکیب تمرینات تمرینی دایره ای را که تمرینات قدرتی و انفجارهای قلبی را برای یک تمرین کارآمد و موثر با زمان ترکیب می کند، بررسی کنید.</v>
      </c>
      <c r="H1293" s="1"/>
      <c r="I1293" s="1"/>
      <c r="J1293" s="1"/>
      <c r="K1293" s="1"/>
      <c r="L1293" s="1"/>
      <c r="M1293" s="1"/>
      <c r="N1293" s="1"/>
      <c r="O1293" s="1"/>
      <c r="P1293" s="1"/>
      <c r="Q1293" s="1"/>
      <c r="R1293" s="1"/>
      <c r="S1293" s="1"/>
      <c r="T1293" s="1"/>
      <c r="U1293" s="1"/>
      <c r="V1293" s="1"/>
      <c r="W1293" s="1"/>
      <c r="X1293" s="1"/>
      <c r="Y1293" s="1"/>
      <c r="Z1293" s="1"/>
      <c r="AA1293" s="1"/>
      <c r="AB1293" s="1"/>
    </row>
    <row r="1294" ht="50.25" customHeight="1">
      <c r="A1294" s="12">
        <v>1290.0</v>
      </c>
      <c r="B1294" s="13" t="s">
        <v>1275</v>
      </c>
      <c r="C1294" s="14" t="s">
        <v>1301</v>
      </c>
      <c r="D1294" s="1"/>
      <c r="E1294" s="15"/>
      <c r="F1294" s="1" t="str">
        <f>IFERROR(__xludf.DUMMYFUNCTION("GOOGLETRANSLATE(B1294, ""en"", ""fa"")
"),"روتین های تناسب اندام و ورزش")</f>
        <v>روتین های تناسب اندام و ورزش</v>
      </c>
      <c r="G1294" s="1" t="str">
        <f>IFERROR(__xludf.DUMMYFUNCTION("GOOGLETRANSLATE(C1294, ""en"", ""fa"")
"),"در مورد نقش ترکیب تمرینات تعادل و ثبات، مانند حرکات یوگا یا تمرینات تک پا، برای بهبود وضعیت بدن و جلوگیری از صدمات بحث کنید.")</f>
        <v>در مورد نقش ترکیب تمرینات تعادل و ثبات، مانند حرکات یوگا یا تمرینات تک پا، برای بهبود وضعیت بدن و جلوگیری از صدمات بحث کنید.</v>
      </c>
      <c r="H1294" s="1"/>
      <c r="I1294" s="1"/>
      <c r="J1294" s="1"/>
      <c r="K1294" s="1"/>
      <c r="L1294" s="1"/>
      <c r="M1294" s="1"/>
      <c r="N1294" s="1"/>
      <c r="O1294" s="1"/>
      <c r="P1294" s="1"/>
      <c r="Q1294" s="1"/>
      <c r="R1294" s="1"/>
      <c r="S1294" s="1"/>
      <c r="T1294" s="1"/>
      <c r="U1294" s="1"/>
      <c r="V1294" s="1"/>
      <c r="W1294" s="1"/>
      <c r="X1294" s="1"/>
      <c r="Y1294" s="1"/>
      <c r="Z1294" s="1"/>
      <c r="AA1294" s="1"/>
      <c r="AB1294" s="1"/>
    </row>
    <row r="1295" ht="50.25" customHeight="1">
      <c r="A1295" s="12">
        <v>1291.0</v>
      </c>
      <c r="B1295" s="13" t="s">
        <v>1275</v>
      </c>
      <c r="C1295" s="14" t="s">
        <v>1302</v>
      </c>
      <c r="D1295" s="1"/>
      <c r="E1295" s="15"/>
      <c r="F1295" s="1" t="str">
        <f>IFERROR(__xludf.DUMMYFUNCTION("GOOGLETRANSLATE(B1295, ""en"", ""fa"")
"),"روتین های تناسب اندام و ورزش")</f>
        <v>روتین های تناسب اندام و ورزش</v>
      </c>
      <c r="G1295" s="1" t="str">
        <f>IFERROR(__xludf.DUMMYFUNCTION("GOOGLETRANSLATE(C1295, ""en"", ""fa"")
"),"استراتژی‌هایی را برای فعال ماندن در طول روز به اشتراک بگذارید، مانند استراحت‌های منظم برای پیاده‌روی، استفاده از میز ایستاده یا انتخاب حمل‌ونقل فعال.")</f>
        <v>استراتژی‌هایی را برای فعال ماندن در طول روز به اشتراک بگذارید، مانند استراحت‌های منظم برای پیاده‌روی، استفاده از میز ایستاده یا انتخاب حمل‌ونقل فعال.</v>
      </c>
      <c r="H1295" s="1"/>
      <c r="I1295" s="1"/>
      <c r="J1295" s="1"/>
      <c r="K1295" s="1"/>
      <c r="L1295" s="1"/>
      <c r="M1295" s="1"/>
      <c r="N1295" s="1"/>
      <c r="O1295" s="1"/>
      <c r="P1295" s="1"/>
      <c r="Q1295" s="1"/>
      <c r="R1295" s="1"/>
      <c r="S1295" s="1"/>
      <c r="T1295" s="1"/>
      <c r="U1295" s="1"/>
      <c r="V1295" s="1"/>
      <c r="W1295" s="1"/>
      <c r="X1295" s="1"/>
      <c r="Y1295" s="1"/>
      <c r="Z1295" s="1"/>
      <c r="AA1295" s="1"/>
      <c r="AB1295" s="1"/>
    </row>
    <row r="1296" ht="50.25" customHeight="1">
      <c r="A1296" s="12">
        <v>1292.0</v>
      </c>
      <c r="B1296" s="13" t="s">
        <v>1275</v>
      </c>
      <c r="C1296" s="14" t="s">
        <v>1303</v>
      </c>
      <c r="D1296" s="1"/>
      <c r="E1296" s="15"/>
      <c r="F1296" s="1" t="str">
        <f>IFERROR(__xludf.DUMMYFUNCTION("GOOGLETRANSLATE(B1296, ""en"", ""fa"")
"),"روتین های تناسب اندام و ورزش")</f>
        <v>روتین های تناسب اندام و ورزش</v>
      </c>
      <c r="G1296" s="1" t="str">
        <f>IFERROR(__xludf.DUMMYFUNCTION("GOOGLETRANSLATE(C1296, ""en"", ""fa"")
"),"مزایای ترکیب تمرینات مقاومتی، مانند وزنه برداری یا تمرینات باند مقاومتی، برای افزایش قدرت عضلانی و تراکم استخوان را بررسی کنید.")</f>
        <v>مزایای ترکیب تمرینات مقاومتی، مانند وزنه برداری یا تمرینات باند مقاومتی، برای افزایش قدرت عضلانی و تراکم استخوان را بررسی کنید.</v>
      </c>
      <c r="H1296" s="1"/>
      <c r="I1296" s="1"/>
      <c r="J1296" s="1"/>
      <c r="K1296" s="1"/>
      <c r="L1296" s="1"/>
      <c r="M1296" s="1"/>
      <c r="N1296" s="1"/>
      <c r="O1296" s="1"/>
      <c r="P1296" s="1"/>
      <c r="Q1296" s="1"/>
      <c r="R1296" s="1"/>
      <c r="S1296" s="1"/>
      <c r="T1296" s="1"/>
      <c r="U1296" s="1"/>
      <c r="V1296" s="1"/>
      <c r="W1296" s="1"/>
      <c r="X1296" s="1"/>
      <c r="Y1296" s="1"/>
      <c r="Z1296" s="1"/>
      <c r="AA1296" s="1"/>
      <c r="AB1296" s="1"/>
    </row>
    <row r="1297" ht="50.25" customHeight="1">
      <c r="A1297" s="12">
        <v>1293.0</v>
      </c>
      <c r="B1297" s="13" t="s">
        <v>1275</v>
      </c>
      <c r="C1297" s="14" t="s">
        <v>1304</v>
      </c>
      <c r="D1297" s="1"/>
      <c r="E1297" s="15"/>
      <c r="F1297" s="1" t="str">
        <f>IFERROR(__xludf.DUMMYFUNCTION("GOOGLETRANSLATE(B1297, ""en"", ""fa"")
"),"روتین های تناسب اندام و ورزش")</f>
        <v>روتین های تناسب اندام و ورزش</v>
      </c>
      <c r="G1297" s="1" t="str">
        <f>IFERROR(__xludf.DUMMYFUNCTION("GOOGLETRANSLATE(C1297, ""en"", ""fa"")
"),"در مورد تاثیر ترکیب تمرینات اصلی، مانند پلانک یا چرخش روسی، برای تقویت عضلات شکم و بهبود وضعیت بدن بحث کنید.")</f>
        <v>در مورد تاثیر ترکیب تمرینات اصلی، مانند پلانک یا چرخش روسی، برای تقویت عضلات شکم و بهبود وضعیت بدن بحث کنید.</v>
      </c>
      <c r="H1297" s="1"/>
      <c r="I1297" s="1"/>
      <c r="J1297" s="1"/>
      <c r="K1297" s="1"/>
      <c r="L1297" s="1"/>
      <c r="M1297" s="1"/>
      <c r="N1297" s="1"/>
      <c r="O1297" s="1"/>
      <c r="P1297" s="1"/>
      <c r="Q1297" s="1"/>
      <c r="R1297" s="1"/>
      <c r="S1297" s="1"/>
      <c r="T1297" s="1"/>
      <c r="U1297" s="1"/>
      <c r="V1297" s="1"/>
      <c r="W1297" s="1"/>
      <c r="X1297" s="1"/>
      <c r="Y1297" s="1"/>
      <c r="Z1297" s="1"/>
      <c r="AA1297" s="1"/>
      <c r="AB1297" s="1"/>
    </row>
    <row r="1298" ht="50.25" customHeight="1">
      <c r="A1298" s="12">
        <v>1294.0</v>
      </c>
      <c r="B1298" s="13" t="s">
        <v>1275</v>
      </c>
      <c r="C1298" s="14" t="s">
        <v>1305</v>
      </c>
      <c r="D1298" s="1"/>
      <c r="E1298" s="15"/>
      <c r="F1298" s="1" t="str">
        <f>IFERROR(__xludf.DUMMYFUNCTION("GOOGLETRANSLATE(B1298, ""en"", ""fa"")
"),"روتین های تناسب اندام و ورزش")</f>
        <v>روتین های تناسب اندام و ورزش</v>
      </c>
      <c r="G1298" s="1" t="str">
        <f>IFERROR(__xludf.DUMMYFUNCTION("GOOGLETRANSLATE(C1298, ""en"", ""fa"")
"),"نکاتی را برای غلبه بر پلاتوهای تمرینی با استفاده از تکنیک‌های اضافه بار پیشرونده، مانند افزایش وزنه یا تکرار، برای به چالش کشیدن مداوم بدن به اشتراک بگذارید.")</f>
        <v>نکاتی را برای غلبه بر پلاتوهای تمرینی با استفاده از تکنیک‌های اضافه بار پیشرونده، مانند افزایش وزنه یا تکرار، برای به چالش کشیدن مداوم بدن به اشتراک بگذارید.</v>
      </c>
      <c r="H1298" s="1"/>
      <c r="I1298" s="1"/>
      <c r="J1298" s="1"/>
      <c r="K1298" s="1"/>
      <c r="L1298" s="1"/>
      <c r="M1298" s="1"/>
      <c r="N1298" s="1"/>
      <c r="O1298" s="1"/>
      <c r="P1298" s="1"/>
      <c r="Q1298" s="1"/>
      <c r="R1298" s="1"/>
      <c r="S1298" s="1"/>
      <c r="T1298" s="1"/>
      <c r="U1298" s="1"/>
      <c r="V1298" s="1"/>
      <c r="W1298" s="1"/>
      <c r="X1298" s="1"/>
      <c r="Y1298" s="1"/>
      <c r="Z1298" s="1"/>
      <c r="AA1298" s="1"/>
      <c r="AB1298" s="1"/>
    </row>
    <row r="1299" ht="50.25" customHeight="1">
      <c r="A1299" s="12">
        <v>1295.0</v>
      </c>
      <c r="B1299" s="13" t="s">
        <v>1275</v>
      </c>
      <c r="C1299" s="14" t="s">
        <v>1306</v>
      </c>
      <c r="D1299" s="1"/>
      <c r="E1299" s="15"/>
      <c r="F1299" s="1" t="str">
        <f>IFERROR(__xludf.DUMMYFUNCTION("GOOGLETRANSLATE(B1299, ""en"", ""fa"")
"),"روتین های تناسب اندام و ورزش")</f>
        <v>روتین های تناسب اندام و ورزش</v>
      </c>
      <c r="G1299" s="1" t="str">
        <f>IFERROR(__xludf.DUMMYFUNCTION("GOOGLETRANSLATE(C1299, ""en"", ""fa"")
"),"مفهوم ترکیب تمرینات ذهن و بدن، مانند مدیتیشن یا تنفس عمیق، برای ارتقای سلامت روان و کاهش استرس را بررسی کنید.")</f>
        <v>مفهوم ترکیب تمرینات ذهن و بدن، مانند مدیتیشن یا تنفس عمیق، برای ارتقای سلامت روان و کاهش استرس را بررسی کنید.</v>
      </c>
      <c r="H1299" s="1"/>
      <c r="I1299" s="1"/>
      <c r="J1299" s="1"/>
      <c r="K1299" s="1"/>
      <c r="L1299" s="1"/>
      <c r="M1299" s="1"/>
      <c r="N1299" s="1"/>
      <c r="O1299" s="1"/>
      <c r="P1299" s="1"/>
      <c r="Q1299" s="1"/>
      <c r="R1299" s="1"/>
      <c r="S1299" s="1"/>
      <c r="T1299" s="1"/>
      <c r="U1299" s="1"/>
      <c r="V1299" s="1"/>
      <c r="W1299" s="1"/>
      <c r="X1299" s="1"/>
      <c r="Y1299" s="1"/>
      <c r="Z1299" s="1"/>
      <c r="AA1299" s="1"/>
      <c r="AB1299" s="1"/>
    </row>
    <row r="1300" ht="50.25" customHeight="1">
      <c r="A1300" s="12">
        <v>1296.0</v>
      </c>
      <c r="B1300" s="13" t="s">
        <v>1275</v>
      </c>
      <c r="C1300" s="14" t="s">
        <v>1307</v>
      </c>
      <c r="D1300" s="1"/>
      <c r="E1300" s="15"/>
      <c r="F1300" s="1" t="str">
        <f>IFERROR(__xludf.DUMMYFUNCTION("GOOGLETRANSLATE(B1300, ""en"", ""fa"")
"),"روتین های تناسب اندام و ورزش")</f>
        <v>روتین های تناسب اندام و ورزش</v>
      </c>
      <c r="G1300" s="1" t="str">
        <f>IFERROR(__xludf.DUMMYFUNCTION("GOOGLETRANSLATE(C1300, ""en"", ""fa"")
"),"در مورد نقش ترکیب تمرینات پلایومتریک، مانند پرش اسکات یا پرش با جعبه، برای بهبود قدرت و انفجار در عملکرد ورزشی بحث کنید.")</f>
        <v>در مورد نقش ترکیب تمرینات پلایومتریک، مانند پرش اسکات یا پرش با جعبه، برای بهبود قدرت و انفجار در عملکرد ورزشی بحث کنید.</v>
      </c>
      <c r="H1300" s="1"/>
      <c r="I1300" s="1"/>
      <c r="J1300" s="1"/>
      <c r="K1300" s="1"/>
      <c r="L1300" s="1"/>
      <c r="M1300" s="1"/>
      <c r="N1300" s="1"/>
      <c r="O1300" s="1"/>
      <c r="P1300" s="1"/>
      <c r="Q1300" s="1"/>
      <c r="R1300" s="1"/>
      <c r="S1300" s="1"/>
      <c r="T1300" s="1"/>
      <c r="U1300" s="1"/>
      <c r="V1300" s="1"/>
      <c r="W1300" s="1"/>
      <c r="X1300" s="1"/>
      <c r="Y1300" s="1"/>
      <c r="Z1300" s="1"/>
      <c r="AA1300" s="1"/>
      <c r="AB1300" s="1"/>
    </row>
    <row r="1301" ht="50.25" customHeight="1">
      <c r="A1301" s="12">
        <v>1297.0</v>
      </c>
      <c r="B1301" s="13" t="s">
        <v>1275</v>
      </c>
      <c r="C1301" s="14" t="s">
        <v>1308</v>
      </c>
      <c r="D1301" s="1"/>
      <c r="E1301" s="15"/>
      <c r="F1301" s="1" t="str">
        <f>IFERROR(__xludf.DUMMYFUNCTION("GOOGLETRANSLATE(B1301, ""en"", ""fa"")
"),"روتین های تناسب اندام و ورزش")</f>
        <v>روتین های تناسب اندام و ورزش</v>
      </c>
      <c r="G1301" s="1" t="str">
        <f>IFERROR(__xludf.DUMMYFUNCTION("GOOGLETRANSLATE(C1301, ""en"", ""fa"")
"),"استراتژی‌هایی را برای ترکیب تمرینات در فضای باز، مانند دویدن در مسیر یا تمرینات مداری در فضای باز، برای لذت بردن از طبیعت و هوای تازه در حین ورزش به اشتراک بگذارید.")</f>
        <v>استراتژی‌هایی را برای ترکیب تمرینات در فضای باز، مانند دویدن در مسیر یا تمرینات مداری در فضای باز، برای لذت بردن از طبیعت و هوای تازه در حین ورزش به اشتراک بگذارید.</v>
      </c>
      <c r="H1301" s="1"/>
      <c r="I1301" s="1"/>
      <c r="J1301" s="1"/>
      <c r="K1301" s="1"/>
      <c r="L1301" s="1"/>
      <c r="M1301" s="1"/>
      <c r="N1301" s="1"/>
      <c r="O1301" s="1"/>
      <c r="P1301" s="1"/>
      <c r="Q1301" s="1"/>
      <c r="R1301" s="1"/>
      <c r="S1301" s="1"/>
      <c r="T1301" s="1"/>
      <c r="U1301" s="1"/>
      <c r="V1301" s="1"/>
      <c r="W1301" s="1"/>
      <c r="X1301" s="1"/>
      <c r="Y1301" s="1"/>
      <c r="Z1301" s="1"/>
      <c r="AA1301" s="1"/>
      <c r="AB1301" s="1"/>
    </row>
    <row r="1302" ht="50.25" customHeight="1">
      <c r="A1302" s="12">
        <v>1298.0</v>
      </c>
      <c r="B1302" s="13" t="s">
        <v>1275</v>
      </c>
      <c r="C1302" s="14" t="s">
        <v>1309</v>
      </c>
      <c r="D1302" s="1"/>
      <c r="E1302" s="15"/>
      <c r="F1302" s="1" t="str">
        <f>IFERROR(__xludf.DUMMYFUNCTION("GOOGLETRANSLATE(B1302, ""en"", ""fa"")
"),"روتین های تناسب اندام و ورزش")</f>
        <v>روتین های تناسب اندام و ورزش</v>
      </c>
      <c r="G1302" s="1" t="str">
        <f>IFERROR(__xludf.DUMMYFUNCTION("GOOGLETRANSLATE(C1302, ""en"", ""fa"")
"),"برای بهبود انعطاف پذیری و جلوگیری از صدمات، مزایای استفاده از روتین های کششی، مانند کشش های پویا قبل از تمرین و کشش های ایستا بعد از تمرین را بررسی کنید.")</f>
        <v>برای بهبود انعطاف پذیری و جلوگیری از صدمات، مزایای استفاده از روتین های کششی، مانند کشش های پویا قبل از تمرین و کشش های ایستا بعد از تمرین را بررسی کنید.</v>
      </c>
      <c r="H1302" s="1"/>
      <c r="I1302" s="1"/>
      <c r="J1302" s="1"/>
      <c r="K1302" s="1"/>
      <c r="L1302" s="1"/>
      <c r="M1302" s="1"/>
      <c r="N1302" s="1"/>
      <c r="O1302" s="1"/>
      <c r="P1302" s="1"/>
      <c r="Q1302" s="1"/>
      <c r="R1302" s="1"/>
      <c r="S1302" s="1"/>
      <c r="T1302" s="1"/>
      <c r="U1302" s="1"/>
      <c r="V1302" s="1"/>
      <c r="W1302" s="1"/>
      <c r="X1302" s="1"/>
      <c r="Y1302" s="1"/>
      <c r="Z1302" s="1"/>
      <c r="AA1302" s="1"/>
      <c r="AB1302" s="1"/>
    </row>
    <row r="1303" ht="50.25" customHeight="1">
      <c r="A1303" s="12">
        <v>1299.0</v>
      </c>
      <c r="B1303" s="13" t="s">
        <v>1275</v>
      </c>
      <c r="C1303" s="14" t="s">
        <v>1310</v>
      </c>
      <c r="D1303" s="1"/>
      <c r="E1303" s="15"/>
      <c r="F1303" s="1" t="str">
        <f>IFERROR(__xludf.DUMMYFUNCTION("GOOGLETRANSLATE(B1303, ""en"", ""fa"")
"),"روتین های تناسب اندام و ورزش")</f>
        <v>روتین های تناسب اندام و ورزش</v>
      </c>
      <c r="G1303" s="1" t="str">
        <f>IFERROR(__xludf.DUMMYFUNCTION("GOOGLETRANSLATE(C1303, ""en"", ""fa"")
"),"در مورد تأثیر ترکیب خواب با کیفیت بالا و شیوه های بازیابی مناسب، مانند فوم نورد یا کشش، در بهینه سازی نتایج تناسب اندام بحث کنید.")</f>
        <v>در مورد تأثیر ترکیب خواب با کیفیت بالا و شیوه های بازیابی مناسب، مانند فوم نورد یا کشش، در بهینه سازی نتایج تناسب اندام بحث کنید.</v>
      </c>
      <c r="H1303" s="1"/>
      <c r="I1303" s="1"/>
      <c r="J1303" s="1"/>
      <c r="K1303" s="1"/>
      <c r="L1303" s="1"/>
      <c r="M1303" s="1"/>
      <c r="N1303" s="1"/>
      <c r="O1303" s="1"/>
      <c r="P1303" s="1"/>
      <c r="Q1303" s="1"/>
      <c r="R1303" s="1"/>
      <c r="S1303" s="1"/>
      <c r="T1303" s="1"/>
      <c r="U1303" s="1"/>
      <c r="V1303" s="1"/>
      <c r="W1303" s="1"/>
      <c r="X1303" s="1"/>
      <c r="Y1303" s="1"/>
      <c r="Z1303" s="1"/>
      <c r="AA1303" s="1"/>
      <c r="AB1303" s="1"/>
    </row>
    <row r="1304" ht="50.25" customHeight="1">
      <c r="A1304" s="12">
        <v>1300.0</v>
      </c>
      <c r="B1304" s="13" t="s">
        <v>1275</v>
      </c>
      <c r="C1304" s="14" t="s">
        <v>1311</v>
      </c>
      <c r="D1304" s="1"/>
      <c r="E1304" s="15"/>
      <c r="F1304" s="1" t="str">
        <f>IFERROR(__xludf.DUMMYFUNCTION("GOOGLETRANSLATE(B1304, ""en"", ""fa"")
"),"روتین های تناسب اندام و ورزش")</f>
        <v>روتین های تناسب اندام و ورزش</v>
      </c>
      <c r="G1304" s="1" t="str">
        <f>IFERROR(__xludf.DUMMYFUNCTION("GOOGLETRANSLATE(C1304, ""en"", ""fa"")
"),"نکاتی را برای حفظ انگیزه و سازگاری با یک روال تناسب اندام به اشتراک بگذارید، از جمله پیدا کردن یک دوست ورزشی، نقاط عطف پاداش، یا ردیابی پیشرفت بصری.")</f>
        <v>نکاتی را برای حفظ انگیزه و سازگاری با یک روال تناسب اندام به اشتراک بگذارید، از جمله پیدا کردن یک دوست ورزشی، نقاط عطف پاداش، یا ردیابی پیشرفت بصری.</v>
      </c>
      <c r="H1304" s="1"/>
      <c r="I1304" s="1"/>
      <c r="J1304" s="1"/>
      <c r="K1304" s="1"/>
      <c r="L1304" s="1"/>
      <c r="M1304" s="1"/>
      <c r="N1304" s="1"/>
      <c r="O1304" s="1"/>
      <c r="P1304" s="1"/>
      <c r="Q1304" s="1"/>
      <c r="R1304" s="1"/>
      <c r="S1304" s="1"/>
      <c r="T1304" s="1"/>
      <c r="U1304" s="1"/>
      <c r="V1304" s="1"/>
      <c r="W1304" s="1"/>
      <c r="X1304" s="1"/>
      <c r="Y1304" s="1"/>
      <c r="Z1304" s="1"/>
      <c r="AA1304" s="1"/>
      <c r="AB1304" s="1"/>
    </row>
    <row r="1305" ht="50.25" customHeight="1">
      <c r="A1305" s="12">
        <v>1301.0</v>
      </c>
      <c r="B1305" s="13" t="s">
        <v>1275</v>
      </c>
      <c r="C1305" s="14" t="s">
        <v>1312</v>
      </c>
      <c r="D1305" s="1"/>
      <c r="E1305" s="15"/>
      <c r="F1305" s="1" t="str">
        <f>IFERROR(__xludf.DUMMYFUNCTION("GOOGLETRANSLATE(B1305, ""en"", ""fa"")
"),"روتین های تناسب اندام و ورزش")</f>
        <v>روتین های تناسب اندام و ورزش</v>
      </c>
      <c r="G1305" s="1" t="str">
        <f>IFERROR(__xludf.DUMMYFUNCTION("GOOGLETRANSLATE(C1305, ""en"", ""fa"")
"),"مفهوم ترکیب تمرینات تمرینی مقاومتی را با هدف قرار دادن گروه‌های عضلانی خاص، مانند حلقه‌های دوسر بازویی یا فرورفتگی سه سر، برای مجسمه‌سازی و تقویت بدن بررسی کنید.")</f>
        <v>مفهوم ترکیب تمرینات تمرینی مقاومتی را با هدف قرار دادن گروه‌های عضلانی خاص، مانند حلقه‌های دوسر بازویی یا فرورفتگی سه سر، برای مجسمه‌سازی و تقویت بدن بررسی کنید.</v>
      </c>
      <c r="H1305" s="1"/>
      <c r="I1305" s="1"/>
      <c r="J1305" s="1"/>
      <c r="K1305" s="1"/>
      <c r="L1305" s="1"/>
      <c r="M1305" s="1"/>
      <c r="N1305" s="1"/>
      <c r="O1305" s="1"/>
      <c r="P1305" s="1"/>
      <c r="Q1305" s="1"/>
      <c r="R1305" s="1"/>
      <c r="S1305" s="1"/>
      <c r="T1305" s="1"/>
      <c r="U1305" s="1"/>
      <c r="V1305" s="1"/>
      <c r="W1305" s="1"/>
      <c r="X1305" s="1"/>
      <c r="Y1305" s="1"/>
      <c r="Z1305" s="1"/>
      <c r="AA1305" s="1"/>
      <c r="AB1305" s="1"/>
    </row>
    <row r="1306" ht="50.25" customHeight="1">
      <c r="A1306" s="12">
        <v>1302.0</v>
      </c>
      <c r="B1306" s="13" t="s">
        <v>1275</v>
      </c>
      <c r="C1306" s="14" t="s">
        <v>1313</v>
      </c>
      <c r="D1306" s="1"/>
      <c r="E1306" s="15"/>
      <c r="F1306" s="1" t="str">
        <f>IFERROR(__xludf.DUMMYFUNCTION("GOOGLETRANSLATE(B1306, ""en"", ""fa"")
"),"روتین های تناسب اندام و ورزش")</f>
        <v>روتین های تناسب اندام و ورزش</v>
      </c>
      <c r="G1306" s="1" t="str">
        <f>IFERROR(__xludf.DUMMYFUNCTION("GOOGLETRANSLATE(C1306, ""en"", ""fa"")
"),"در مورد نقش ترکیب تمرینات کم تاثیر، مانند شنا یا دوچرخه سواری، برای افراد دارای مشکلات مفصلی یا حرکتی بحث کنید.")</f>
        <v>در مورد نقش ترکیب تمرینات کم تاثیر، مانند شنا یا دوچرخه سواری، برای افراد دارای مشکلات مفصلی یا حرکتی بحث کنید.</v>
      </c>
      <c r="H1306" s="1"/>
      <c r="I1306" s="1"/>
      <c r="J1306" s="1"/>
      <c r="K1306" s="1"/>
      <c r="L1306" s="1"/>
      <c r="M1306" s="1"/>
      <c r="N1306" s="1"/>
      <c r="O1306" s="1"/>
      <c r="P1306" s="1"/>
      <c r="Q1306" s="1"/>
      <c r="R1306" s="1"/>
      <c r="S1306" s="1"/>
      <c r="T1306" s="1"/>
      <c r="U1306" s="1"/>
      <c r="V1306" s="1"/>
      <c r="W1306" s="1"/>
      <c r="X1306" s="1"/>
      <c r="Y1306" s="1"/>
      <c r="Z1306" s="1"/>
      <c r="AA1306" s="1"/>
      <c r="AB1306" s="1"/>
    </row>
    <row r="1307" ht="50.25" customHeight="1">
      <c r="A1307" s="12">
        <v>1303.0</v>
      </c>
      <c r="B1307" s="13" t="s">
        <v>1275</v>
      </c>
      <c r="C1307" s="14" t="s">
        <v>1314</v>
      </c>
      <c r="D1307" s="1"/>
      <c r="E1307" s="15"/>
      <c r="F1307" s="1" t="str">
        <f>IFERROR(__xludf.DUMMYFUNCTION("GOOGLETRANSLATE(B1307, ""en"", ""fa"")
"),"روتین های تناسب اندام و ورزش")</f>
        <v>روتین های تناسب اندام و ورزش</v>
      </c>
      <c r="G1307" s="1" t="str">
        <f>IFERROR(__xludf.DUMMYFUNCTION("GOOGLETRANSLATE(C1307, ""en"", ""fa"")
"),"استراتژی‌هایی را برای ترکیب تغذیه قبل از تمرین، مانند وعده‌های غذایی متعادل یا میان‌وعده‌های انرژی‌زا، به اشتراک بگذارید تا به تمرینات سوخت رسانی کنید و عملکرد را افزایش دهید.")</f>
        <v>استراتژی‌هایی را برای ترکیب تغذیه قبل از تمرین، مانند وعده‌های غذایی متعادل یا میان‌وعده‌های انرژی‌زا، به اشتراک بگذارید تا به تمرینات سوخت رسانی کنید و عملکرد را افزایش دهید.</v>
      </c>
      <c r="H1307" s="1"/>
      <c r="I1307" s="1"/>
      <c r="J1307" s="1"/>
      <c r="K1307" s="1"/>
      <c r="L1307" s="1"/>
      <c r="M1307" s="1"/>
      <c r="N1307" s="1"/>
      <c r="O1307" s="1"/>
      <c r="P1307" s="1"/>
      <c r="Q1307" s="1"/>
      <c r="R1307" s="1"/>
      <c r="S1307" s="1"/>
      <c r="T1307" s="1"/>
      <c r="U1307" s="1"/>
      <c r="V1307" s="1"/>
      <c r="W1307" s="1"/>
      <c r="X1307" s="1"/>
      <c r="Y1307" s="1"/>
      <c r="Z1307" s="1"/>
      <c r="AA1307" s="1"/>
      <c r="AB1307" s="1"/>
    </row>
    <row r="1308" ht="50.25" customHeight="1">
      <c r="A1308" s="12">
        <v>1304.0</v>
      </c>
      <c r="B1308" s="13" t="s">
        <v>1275</v>
      </c>
      <c r="C1308" s="14" t="s">
        <v>1315</v>
      </c>
      <c r="D1308" s="1"/>
      <c r="E1308" s="15"/>
      <c r="F1308" s="1" t="str">
        <f>IFERROR(__xludf.DUMMYFUNCTION("GOOGLETRANSLATE(B1308, ""en"", ""fa"")
"),"روتین های تناسب اندام و ورزش")</f>
        <v>روتین های تناسب اندام و ورزش</v>
      </c>
      <c r="G1308" s="1" t="str">
        <f>IFERROR(__xludf.DUMMYFUNCTION("GOOGLETRANSLATE(C1308, ""en"", ""fa"")
"),"مزایای ترکیب فعالیت‌های خارج از منزل، مانند پیاده‌روی یا کایاک‌سواری، به‌عنوان گزینه‌های تناسب اندام جایگزین که فواید سلامت جسمی و روانی را ارائه می‌کنند را بررسی کنید.")</f>
        <v>مزایای ترکیب فعالیت‌های خارج از منزل، مانند پیاده‌روی یا کایاک‌سواری، به‌عنوان گزینه‌های تناسب اندام جایگزین که فواید سلامت جسمی و روانی را ارائه می‌کنند را بررسی کنید.</v>
      </c>
      <c r="H1308" s="1"/>
      <c r="I1308" s="1"/>
      <c r="J1308" s="1"/>
      <c r="K1308" s="1"/>
      <c r="L1308" s="1"/>
      <c r="M1308" s="1"/>
      <c r="N1308" s="1"/>
      <c r="O1308" s="1"/>
      <c r="P1308" s="1"/>
      <c r="Q1308" s="1"/>
      <c r="R1308" s="1"/>
      <c r="S1308" s="1"/>
      <c r="T1308" s="1"/>
      <c r="U1308" s="1"/>
      <c r="V1308" s="1"/>
      <c r="W1308" s="1"/>
      <c r="X1308" s="1"/>
      <c r="Y1308" s="1"/>
      <c r="Z1308" s="1"/>
      <c r="AA1308" s="1"/>
      <c r="AB1308" s="1"/>
    </row>
    <row r="1309" ht="50.25" customHeight="1">
      <c r="A1309" s="12">
        <v>1305.0</v>
      </c>
      <c r="B1309" s="13" t="s">
        <v>1275</v>
      </c>
      <c r="C1309" s="14" t="s">
        <v>1316</v>
      </c>
      <c r="D1309" s="1"/>
      <c r="E1309" s="15"/>
      <c r="F1309" s="1" t="str">
        <f>IFERROR(__xludf.DUMMYFUNCTION("GOOGLETRANSLATE(B1309, ""en"", ""fa"")
"),"روتین های تناسب اندام و ورزش")</f>
        <v>روتین های تناسب اندام و ورزش</v>
      </c>
      <c r="G1309" s="1" t="str">
        <f>IFERROR(__xludf.DUMMYFUNCTION("GOOGLETRANSLATE(C1309, ""en"", ""fa"")
"),"در مورد تأثیر ترکیب یک روال گرم کردن پویا برای آماده کردن بدن برای ورزش، از جمله تمرینات تحرکی و حرکات قلبی سبک بحث کنید.")</f>
        <v>در مورد تأثیر ترکیب یک روال گرم کردن پویا برای آماده کردن بدن برای ورزش، از جمله تمرینات تحرکی و حرکات قلبی سبک بحث کنید.</v>
      </c>
      <c r="H1309" s="1"/>
      <c r="I1309" s="1"/>
      <c r="J1309" s="1"/>
      <c r="K1309" s="1"/>
      <c r="L1309" s="1"/>
      <c r="M1309" s="1"/>
      <c r="N1309" s="1"/>
      <c r="O1309" s="1"/>
      <c r="P1309" s="1"/>
      <c r="Q1309" s="1"/>
      <c r="R1309" s="1"/>
      <c r="S1309" s="1"/>
      <c r="T1309" s="1"/>
      <c r="U1309" s="1"/>
      <c r="V1309" s="1"/>
      <c r="W1309" s="1"/>
      <c r="X1309" s="1"/>
      <c r="Y1309" s="1"/>
      <c r="Z1309" s="1"/>
      <c r="AA1309" s="1"/>
      <c r="AB1309" s="1"/>
    </row>
    <row r="1310" ht="50.25" customHeight="1">
      <c r="A1310" s="12">
        <v>1306.0</v>
      </c>
      <c r="B1310" s="13" t="s">
        <v>1275</v>
      </c>
      <c r="C1310" s="14" t="s">
        <v>1317</v>
      </c>
      <c r="D1310" s="1"/>
      <c r="E1310" s="15"/>
      <c r="F1310" s="1" t="str">
        <f>IFERROR(__xludf.DUMMYFUNCTION("GOOGLETRANSLATE(B1310, ""en"", ""fa"")
"),"روتین های تناسب اندام و ورزش")</f>
        <v>روتین های تناسب اندام و ورزش</v>
      </c>
      <c r="G1310" s="1" t="str">
        <f>IFERROR(__xludf.DUMMYFUNCTION("GOOGLETRANSLATE(C1310, ""en"", ""fa"")
"),"نکاتی را برای ترکیب تمرینات تمرین مقاومتی که زنجیره خلفی را هدف قرار می دهند، مانند ددلیفت یا پل های باسن، برای بهبود وضعیت بدن و کاهش کمردرد به اشتراک بگذارید.")</f>
        <v>نکاتی را برای ترکیب تمرینات تمرین مقاومتی که زنجیره خلفی را هدف قرار می دهند، مانند ددلیفت یا پل های باسن، برای بهبود وضعیت بدن و کاهش کمردرد به اشتراک بگذارید.</v>
      </c>
      <c r="H1310" s="1"/>
      <c r="I1310" s="1"/>
      <c r="J1310" s="1"/>
      <c r="K1310" s="1"/>
      <c r="L1310" s="1"/>
      <c r="M1310" s="1"/>
      <c r="N1310" s="1"/>
      <c r="O1310" s="1"/>
      <c r="P1310" s="1"/>
      <c r="Q1310" s="1"/>
      <c r="R1310" s="1"/>
      <c r="S1310" s="1"/>
      <c r="T1310" s="1"/>
      <c r="U1310" s="1"/>
      <c r="V1310" s="1"/>
      <c r="W1310" s="1"/>
      <c r="X1310" s="1"/>
      <c r="Y1310" s="1"/>
      <c r="Z1310" s="1"/>
      <c r="AA1310" s="1"/>
      <c r="AB1310" s="1"/>
    </row>
    <row r="1311" ht="50.25" customHeight="1">
      <c r="A1311" s="12">
        <v>1307.0</v>
      </c>
      <c r="B1311" s="13" t="s">
        <v>1275</v>
      </c>
      <c r="C1311" s="14" t="s">
        <v>1318</v>
      </c>
      <c r="D1311" s="1"/>
      <c r="E1311" s="15"/>
      <c r="F1311" s="1" t="str">
        <f>IFERROR(__xludf.DUMMYFUNCTION("GOOGLETRANSLATE(B1311, ""en"", ""fa"")
"),"روتین های تناسب اندام و ورزش")</f>
        <v>روتین های تناسب اندام و ورزش</v>
      </c>
      <c r="G1311" s="1" t="str">
        <f>IFERROR(__xludf.DUMMYFUNCTION("GOOGLETRANSLATE(C1311, ""en"", ""fa"")
"),"مفهوم ترکیب تمرین‌های مدیتیشن یا تمرکز حواس قبل یا بعد از تمرین برای ارتقای تمرکز، آرامش و ارتباط ذهن و بدن را بررسی کنید.")</f>
        <v>مفهوم ترکیب تمرین‌های مدیتیشن یا تمرکز حواس قبل یا بعد از تمرین برای ارتقای تمرکز، آرامش و ارتباط ذهن و بدن را بررسی کنید.</v>
      </c>
      <c r="H1311" s="1"/>
      <c r="I1311" s="1"/>
      <c r="J1311" s="1"/>
      <c r="K1311" s="1"/>
      <c r="L1311" s="1"/>
      <c r="M1311" s="1"/>
      <c r="N1311" s="1"/>
      <c r="O1311" s="1"/>
      <c r="P1311" s="1"/>
      <c r="Q1311" s="1"/>
      <c r="R1311" s="1"/>
      <c r="S1311" s="1"/>
      <c r="T1311" s="1"/>
      <c r="U1311" s="1"/>
      <c r="V1311" s="1"/>
      <c r="W1311" s="1"/>
      <c r="X1311" s="1"/>
      <c r="Y1311" s="1"/>
      <c r="Z1311" s="1"/>
      <c r="AA1311" s="1"/>
      <c r="AB1311" s="1"/>
    </row>
    <row r="1312" ht="50.25" customHeight="1">
      <c r="A1312" s="12">
        <v>1308.0</v>
      </c>
      <c r="B1312" s="13" t="s">
        <v>1275</v>
      </c>
      <c r="C1312" s="14" t="s">
        <v>1319</v>
      </c>
      <c r="D1312" s="1"/>
      <c r="E1312" s="15"/>
      <c r="F1312" s="1" t="str">
        <f>IFERROR(__xludf.DUMMYFUNCTION("GOOGLETRANSLATE(B1312, ""en"", ""fa"")
"),"روتین های تناسب اندام و ورزش")</f>
        <v>روتین های تناسب اندام و ورزش</v>
      </c>
      <c r="G1312" s="1" t="str">
        <f>IFERROR(__xludf.DUMMYFUNCTION("GOOGLETRANSLATE(C1312, ""en"", ""fa"")
"),"در مورد نقش ترکیب تمرینات با وزن بدن، مانند فشار دادن یا اسکات، برای افرادی که ترجیح می دهند بدون تجهیزات ورزش کنند، بحث کنید.")</f>
        <v>در مورد نقش ترکیب تمرینات با وزن بدن، مانند فشار دادن یا اسکات، برای افرادی که ترجیح می دهند بدون تجهیزات ورزش کنند، بحث کنید.</v>
      </c>
      <c r="H1312" s="1"/>
      <c r="I1312" s="1"/>
      <c r="J1312" s="1"/>
      <c r="K1312" s="1"/>
      <c r="L1312" s="1"/>
      <c r="M1312" s="1"/>
      <c r="N1312" s="1"/>
      <c r="O1312" s="1"/>
      <c r="P1312" s="1"/>
      <c r="Q1312" s="1"/>
      <c r="R1312" s="1"/>
      <c r="S1312" s="1"/>
      <c r="T1312" s="1"/>
      <c r="U1312" s="1"/>
      <c r="V1312" s="1"/>
      <c r="W1312" s="1"/>
      <c r="X1312" s="1"/>
      <c r="Y1312" s="1"/>
      <c r="Z1312" s="1"/>
      <c r="AA1312" s="1"/>
      <c r="AB1312" s="1"/>
    </row>
    <row r="1313" ht="50.25" customHeight="1">
      <c r="A1313" s="12">
        <v>1309.0</v>
      </c>
      <c r="B1313" s="13" t="s">
        <v>1275</v>
      </c>
      <c r="C1313" s="14" t="s">
        <v>1320</v>
      </c>
      <c r="D1313" s="1"/>
      <c r="E1313" s="15"/>
      <c r="F1313" s="1" t="str">
        <f>IFERROR(__xludf.DUMMYFUNCTION("GOOGLETRANSLATE(B1313, ""en"", ""fa"")
"),"روتین های تناسب اندام و ورزش")</f>
        <v>روتین های تناسب اندام و ورزش</v>
      </c>
      <c r="G1313" s="1" t="str">
        <f>IFERROR(__xludf.DUMMYFUNCTION("GOOGLETRANSLATE(C1313, ""en"", ""fa"")
"),"استراتژی‌هایی را برای ترکیب تمرینات اینتروال در دستگاه‌های کاردیو، مانند تردمیل یا دوچرخه ثابت، برای به چالش کشیدن سیستم قلبی عروقی و سوزاندن کالری به اشتراک بگذارید.")</f>
        <v>استراتژی‌هایی را برای ترکیب تمرینات اینتروال در دستگاه‌های کاردیو، مانند تردمیل یا دوچرخه ثابت، برای به چالش کشیدن سیستم قلبی عروقی و سوزاندن کالری به اشتراک بگذارید.</v>
      </c>
      <c r="H1313" s="1"/>
      <c r="I1313" s="1"/>
      <c r="J1313" s="1"/>
      <c r="K1313" s="1"/>
      <c r="L1313" s="1"/>
      <c r="M1313" s="1"/>
      <c r="N1313" s="1"/>
      <c r="O1313" s="1"/>
      <c r="P1313" s="1"/>
      <c r="Q1313" s="1"/>
      <c r="R1313" s="1"/>
      <c r="S1313" s="1"/>
      <c r="T1313" s="1"/>
      <c r="U1313" s="1"/>
      <c r="V1313" s="1"/>
      <c r="W1313" s="1"/>
      <c r="X1313" s="1"/>
      <c r="Y1313" s="1"/>
      <c r="Z1313" s="1"/>
      <c r="AA1313" s="1"/>
      <c r="AB1313" s="1"/>
    </row>
    <row r="1314" ht="50.25" customHeight="1">
      <c r="A1314" s="12">
        <v>1310.0</v>
      </c>
      <c r="B1314" s="13" t="s">
        <v>1275</v>
      </c>
      <c r="C1314" s="14" t="s">
        <v>1321</v>
      </c>
      <c r="D1314" s="1"/>
      <c r="E1314" s="15"/>
      <c r="F1314" s="1" t="str">
        <f>IFERROR(__xludf.DUMMYFUNCTION("GOOGLETRANSLATE(B1314, ""en"", ""fa"")
"),"روتین های تناسب اندام و ورزش")</f>
        <v>روتین های تناسب اندام و ورزش</v>
      </c>
      <c r="G1314" s="1" t="str">
        <f>IFERROR(__xludf.DUMMYFUNCTION("GOOGLETRANSLATE(C1314, ""en"", ""fa"")
"),"مزایای استفاده از تمرینات کششی مخصوص کارگران میز کار یا افرادی که سبک زندگی کم تحرکی دارند، با هدف قرار دادن نواحی مستعد گرفتگی مانند گردن و باسن را بررسی کنید.")</f>
        <v>مزایای استفاده از تمرینات کششی مخصوص کارگران میز کار یا افرادی که سبک زندگی کم تحرکی دارند، با هدف قرار دادن نواحی مستعد گرفتگی مانند گردن و باسن را بررسی کنید.</v>
      </c>
      <c r="H1314" s="1"/>
      <c r="I1314" s="1"/>
      <c r="J1314" s="1"/>
      <c r="K1314" s="1"/>
      <c r="L1314" s="1"/>
      <c r="M1314" s="1"/>
      <c r="N1314" s="1"/>
      <c r="O1314" s="1"/>
      <c r="P1314" s="1"/>
      <c r="Q1314" s="1"/>
      <c r="R1314" s="1"/>
      <c r="S1314" s="1"/>
      <c r="T1314" s="1"/>
      <c r="U1314" s="1"/>
      <c r="V1314" s="1"/>
      <c r="W1314" s="1"/>
      <c r="X1314" s="1"/>
      <c r="Y1314" s="1"/>
      <c r="Z1314" s="1"/>
      <c r="AA1314" s="1"/>
      <c r="AB1314" s="1"/>
    </row>
    <row r="1315" ht="50.25" customHeight="1">
      <c r="A1315" s="12">
        <v>1311.0</v>
      </c>
      <c r="B1315" s="13" t="s">
        <v>1275</v>
      </c>
      <c r="C1315" s="14" t="s">
        <v>1322</v>
      </c>
      <c r="D1315" s="1"/>
      <c r="E1315" s="15"/>
      <c r="F1315" s="1" t="str">
        <f>IFERROR(__xludf.DUMMYFUNCTION("GOOGLETRANSLATE(B1315, ""en"", ""fa"")
"),"روتین های تناسب اندام و ورزش")</f>
        <v>روتین های تناسب اندام و ورزش</v>
      </c>
      <c r="G1315" s="1" t="str">
        <f>IFERROR(__xludf.DUMMYFUNCTION("GOOGLETRANSLATE(C1315, ""en"", ""fa"")
"),"در مورد تأثیر وقفه‌های ورزشی در طول دوره‌های طولانی نشستن یا کار روی میز برای بهبود گردش خون، وضعیت بدن و سطح انرژی کلی بحث کنید.")</f>
        <v>در مورد تأثیر وقفه‌های ورزشی در طول دوره‌های طولانی نشستن یا کار روی میز برای بهبود گردش خون، وضعیت بدن و سطح انرژی کلی بحث کنید.</v>
      </c>
      <c r="H1315" s="1"/>
      <c r="I1315" s="1"/>
      <c r="J1315" s="1"/>
      <c r="K1315" s="1"/>
      <c r="L1315" s="1"/>
      <c r="M1315" s="1"/>
      <c r="N1315" s="1"/>
      <c r="O1315" s="1"/>
      <c r="P1315" s="1"/>
      <c r="Q1315" s="1"/>
      <c r="R1315" s="1"/>
      <c r="S1315" s="1"/>
      <c r="T1315" s="1"/>
      <c r="U1315" s="1"/>
      <c r="V1315" s="1"/>
      <c r="W1315" s="1"/>
      <c r="X1315" s="1"/>
      <c r="Y1315" s="1"/>
      <c r="Z1315" s="1"/>
      <c r="AA1315" s="1"/>
      <c r="AB1315" s="1"/>
    </row>
    <row r="1316" ht="50.25" customHeight="1">
      <c r="A1316" s="12">
        <v>1312.0</v>
      </c>
      <c r="B1316" s="13" t="s">
        <v>1275</v>
      </c>
      <c r="C1316" s="14" t="s">
        <v>1323</v>
      </c>
      <c r="D1316" s="1"/>
      <c r="E1316" s="15"/>
      <c r="F1316" s="1" t="str">
        <f>IFERROR(__xludf.DUMMYFUNCTION("GOOGLETRANSLATE(B1316, ""en"", ""fa"")
"),"روتین های تناسب اندام و ورزش")</f>
        <v>روتین های تناسب اندام و ورزش</v>
      </c>
      <c r="G1316" s="1" t="str">
        <f>IFERROR(__xludf.DUMMYFUNCTION("GOOGLETRANSLATE(C1316, ""en"", ""fa"")
"),"نکاتی را برای ادغام ورزش‌ها یا فعالیت‌های تفریحی در فضای باز، مانند بسکتبال یا فوتبال، به‌عنوان راهی سرگرم‌کننده و جذاب برای فعال ماندن به اشتراک بگذارید.")</f>
        <v>نکاتی را برای ادغام ورزش‌ها یا فعالیت‌های تفریحی در فضای باز، مانند بسکتبال یا فوتبال، به‌عنوان راهی سرگرم‌کننده و جذاب برای فعال ماندن به اشتراک بگذارید.</v>
      </c>
      <c r="H1316" s="1"/>
      <c r="I1316" s="1"/>
      <c r="J1316" s="1"/>
      <c r="K1316" s="1"/>
      <c r="L1316" s="1"/>
      <c r="M1316" s="1"/>
      <c r="N1316" s="1"/>
      <c r="O1316" s="1"/>
      <c r="P1316" s="1"/>
      <c r="Q1316" s="1"/>
      <c r="R1316" s="1"/>
      <c r="S1316" s="1"/>
      <c r="T1316" s="1"/>
      <c r="U1316" s="1"/>
      <c r="V1316" s="1"/>
      <c r="W1316" s="1"/>
      <c r="X1316" s="1"/>
      <c r="Y1316" s="1"/>
      <c r="Z1316" s="1"/>
      <c r="AA1316" s="1"/>
      <c r="AB1316" s="1"/>
    </row>
    <row r="1317" ht="50.25" customHeight="1">
      <c r="A1317" s="12">
        <v>1313.0</v>
      </c>
      <c r="B1317" s="13" t="s">
        <v>1275</v>
      </c>
      <c r="C1317" s="14" t="s">
        <v>1324</v>
      </c>
      <c r="D1317" s="1"/>
      <c r="E1317" s="15"/>
      <c r="F1317" s="1" t="str">
        <f>IFERROR(__xludf.DUMMYFUNCTION("GOOGLETRANSLATE(B1317, ""en"", ""fa"")
"),"روتین های تناسب اندام و ورزش")</f>
        <v>روتین های تناسب اندام و ورزش</v>
      </c>
      <c r="G1317" s="1" t="str">
        <f>IFERROR(__xludf.DUMMYFUNCTION("GOOGLETRANSLATE(C1317, ""en"", ""fa"")
"),"مفهوم گنجاندن الگوهای حرکتی عملکردی، مانند چمباتمه زدن یا بلند کردن، را در فعالیت های روزانه برای بهبود قدرت و تحرک بررسی کنید.")</f>
        <v>مفهوم گنجاندن الگوهای حرکتی عملکردی، مانند چمباتمه زدن یا بلند کردن، را در فعالیت های روزانه برای بهبود قدرت و تحرک بررسی کنید.</v>
      </c>
      <c r="H1317" s="1"/>
      <c r="I1317" s="1"/>
      <c r="J1317" s="1"/>
      <c r="K1317" s="1"/>
      <c r="L1317" s="1"/>
      <c r="M1317" s="1"/>
      <c r="N1317" s="1"/>
      <c r="O1317" s="1"/>
      <c r="P1317" s="1"/>
      <c r="Q1317" s="1"/>
      <c r="R1317" s="1"/>
      <c r="S1317" s="1"/>
      <c r="T1317" s="1"/>
      <c r="U1317" s="1"/>
      <c r="V1317" s="1"/>
      <c r="W1317" s="1"/>
      <c r="X1317" s="1"/>
      <c r="Y1317" s="1"/>
      <c r="Z1317" s="1"/>
      <c r="AA1317" s="1"/>
      <c r="AB1317" s="1"/>
    </row>
    <row r="1318" ht="50.25" customHeight="1">
      <c r="A1318" s="12">
        <v>1314.0</v>
      </c>
      <c r="B1318" s="13" t="s">
        <v>1275</v>
      </c>
      <c r="C1318" s="14" t="s">
        <v>1325</v>
      </c>
      <c r="D1318" s="1"/>
      <c r="E1318" s="15"/>
      <c r="F1318" s="1" t="str">
        <f>IFERROR(__xludf.DUMMYFUNCTION("GOOGLETRANSLATE(B1318, ""en"", ""fa"")
"),"روتین های تناسب اندام و ورزش")</f>
        <v>روتین های تناسب اندام و ورزش</v>
      </c>
      <c r="G1318" s="1" t="str">
        <f>IFERROR(__xludf.DUMMYFUNCTION("GOOGLETRANSLATE(C1318, ""en"", ""fa"")
"),"در مورد نقش ترکیب تمرینات مبتنی بر آب، مانند شنا یا ایروبیک در آب، برای افراد مبتلا به درد مفاصل یا آسیب بحث کنید.")</f>
        <v>در مورد نقش ترکیب تمرینات مبتنی بر آب، مانند شنا یا ایروبیک در آب، برای افراد مبتلا به درد مفاصل یا آسیب بحث کنید.</v>
      </c>
      <c r="H1318" s="1"/>
      <c r="I1318" s="1"/>
      <c r="J1318" s="1"/>
      <c r="K1318" s="1"/>
      <c r="L1318" s="1"/>
      <c r="M1318" s="1"/>
      <c r="N1318" s="1"/>
      <c r="O1318" s="1"/>
      <c r="P1318" s="1"/>
      <c r="Q1318" s="1"/>
      <c r="R1318" s="1"/>
      <c r="S1318" s="1"/>
      <c r="T1318" s="1"/>
      <c r="U1318" s="1"/>
      <c r="V1318" s="1"/>
      <c r="W1318" s="1"/>
      <c r="X1318" s="1"/>
      <c r="Y1318" s="1"/>
      <c r="Z1318" s="1"/>
      <c r="AA1318" s="1"/>
      <c r="AB1318" s="1"/>
    </row>
    <row r="1319" ht="50.25" customHeight="1">
      <c r="A1319" s="12">
        <v>1315.0</v>
      </c>
      <c r="B1319" s="13" t="s">
        <v>1275</v>
      </c>
      <c r="C1319" s="14" t="s">
        <v>1326</v>
      </c>
      <c r="D1319" s="1"/>
      <c r="E1319" s="15"/>
      <c r="F1319" s="1" t="str">
        <f>IFERROR(__xludf.DUMMYFUNCTION("GOOGLETRANSLATE(B1319, ""en"", ""fa"")
"),"روتین های تناسب اندام و ورزش")</f>
        <v>روتین های تناسب اندام و ورزش</v>
      </c>
      <c r="G1319" s="1" t="str">
        <f>IFERROR(__xludf.DUMMYFUNCTION("GOOGLETRANSLATE(C1319, ""en"", ""fa"")
"),"استراتژی هایی را برای ترکیب روتین های کششی پویا قبل از تمرین برای بهبود دامنه حرکتی، فعال سازی عضلات و عملکرد کلی به اشتراک بگذارید.")</f>
        <v>استراتژی هایی را برای ترکیب روتین های کششی پویا قبل از تمرین برای بهبود دامنه حرکتی، فعال سازی عضلات و عملکرد کلی به اشتراک بگذارید.</v>
      </c>
      <c r="H1319" s="1"/>
      <c r="I1319" s="1"/>
      <c r="J1319" s="1"/>
      <c r="K1319" s="1"/>
      <c r="L1319" s="1"/>
      <c r="M1319" s="1"/>
      <c r="N1319" s="1"/>
      <c r="O1319" s="1"/>
      <c r="P1319" s="1"/>
      <c r="Q1319" s="1"/>
      <c r="R1319" s="1"/>
      <c r="S1319" s="1"/>
      <c r="T1319" s="1"/>
      <c r="U1319" s="1"/>
      <c r="V1319" s="1"/>
      <c r="W1319" s="1"/>
      <c r="X1319" s="1"/>
      <c r="Y1319" s="1"/>
      <c r="Z1319" s="1"/>
      <c r="AA1319" s="1"/>
      <c r="AB1319" s="1"/>
    </row>
    <row r="1320" ht="50.25" customHeight="1">
      <c r="A1320" s="12">
        <v>1316.0</v>
      </c>
      <c r="B1320" s="13" t="s">
        <v>1275</v>
      </c>
      <c r="C1320" s="14" t="s">
        <v>1327</v>
      </c>
      <c r="D1320" s="1"/>
      <c r="E1320" s="15"/>
      <c r="F1320" s="1" t="str">
        <f>IFERROR(__xludf.DUMMYFUNCTION("GOOGLETRANSLATE(B1320, ""en"", ""fa"")
"),"روتین های تناسب اندام و ورزش")</f>
        <v>روتین های تناسب اندام و ورزش</v>
      </c>
      <c r="G1320" s="1" t="str">
        <f>IFERROR(__xludf.DUMMYFUNCTION("GOOGLETRANSLATE(C1320, ""en"", ""fa"")
"),"مزایای استفاده از تمرینات باند مقاومتی را برای افرادی که اغلب سفر می کنند یا تجهیزات ورزشی قابل حمل را ترجیح می دهند، بررسی کنید.")</f>
        <v>مزایای استفاده از تمرینات باند مقاومتی را برای افرادی که اغلب سفر می کنند یا تجهیزات ورزشی قابل حمل را ترجیح می دهند، بررسی کنید.</v>
      </c>
      <c r="H1320" s="1"/>
      <c r="I1320" s="1"/>
      <c r="J1320" s="1"/>
      <c r="K1320" s="1"/>
      <c r="L1320" s="1"/>
      <c r="M1320" s="1"/>
      <c r="N1320" s="1"/>
      <c r="O1320" s="1"/>
      <c r="P1320" s="1"/>
      <c r="Q1320" s="1"/>
      <c r="R1320" s="1"/>
      <c r="S1320" s="1"/>
      <c r="T1320" s="1"/>
      <c r="U1320" s="1"/>
      <c r="V1320" s="1"/>
      <c r="W1320" s="1"/>
      <c r="X1320" s="1"/>
      <c r="Y1320" s="1"/>
      <c r="Z1320" s="1"/>
      <c r="AA1320" s="1"/>
      <c r="AB1320" s="1"/>
    </row>
    <row r="1321" ht="50.25" customHeight="1">
      <c r="A1321" s="12">
        <v>1317.0</v>
      </c>
      <c r="B1321" s="13" t="s">
        <v>1275</v>
      </c>
      <c r="C1321" s="14" t="s">
        <v>1328</v>
      </c>
      <c r="D1321" s="1"/>
      <c r="E1321" s="15"/>
      <c r="F1321" s="1" t="str">
        <f>IFERROR(__xludf.DUMMYFUNCTION("GOOGLETRANSLATE(B1321, ""en"", ""fa"")
"),"روتین های تناسب اندام و ورزش")</f>
        <v>روتین های تناسب اندام و ورزش</v>
      </c>
      <c r="G1321" s="1" t="str">
        <f>IFERROR(__xludf.DUMMYFUNCTION("GOOGLETRANSLATE(C1321, ""en"", ""fa"")
"),"در مورد تأثیر ترکیب تمرینات تعادلی، مانند یوگا یا تای چی، برای بهبود ثبات و کاهش خطر سقوط، به ویژه در افراد مسن بحث کنید.")</f>
        <v>در مورد تأثیر ترکیب تمرینات تعادلی، مانند یوگا یا تای چی، برای بهبود ثبات و کاهش خطر سقوط، به ویژه در افراد مسن بحث کنید.</v>
      </c>
      <c r="H1321" s="1"/>
      <c r="I1321" s="1"/>
      <c r="J1321" s="1"/>
      <c r="K1321" s="1"/>
      <c r="L1321" s="1"/>
      <c r="M1321" s="1"/>
      <c r="N1321" s="1"/>
      <c r="O1321" s="1"/>
      <c r="P1321" s="1"/>
      <c r="Q1321" s="1"/>
      <c r="R1321" s="1"/>
      <c r="S1321" s="1"/>
      <c r="T1321" s="1"/>
      <c r="U1321" s="1"/>
      <c r="V1321" s="1"/>
      <c r="W1321" s="1"/>
      <c r="X1321" s="1"/>
      <c r="Y1321" s="1"/>
      <c r="Z1321" s="1"/>
      <c r="AA1321" s="1"/>
      <c r="AB1321" s="1"/>
    </row>
    <row r="1322" ht="50.25" customHeight="1">
      <c r="A1322" s="12">
        <v>1318.0</v>
      </c>
      <c r="B1322" s="13" t="s">
        <v>1275</v>
      </c>
      <c r="C1322" s="14" t="s">
        <v>1329</v>
      </c>
      <c r="D1322" s="1"/>
      <c r="E1322" s="15"/>
      <c r="F1322" s="1" t="str">
        <f>IFERROR(__xludf.DUMMYFUNCTION("GOOGLETRANSLATE(B1322, ""en"", ""fa"")
"),"روتین های تناسب اندام و ورزش")</f>
        <v>روتین های تناسب اندام و ورزش</v>
      </c>
      <c r="G1322" s="1" t="str">
        <f>IFERROR(__xludf.DUMMYFUNCTION("GOOGLETRANSLATE(C1322, ""en"", ""fa"")
"),"نکاتی را برای ترکیب تمرینات تمام بدن که چندین گروه عضلانی را به طور همزمان درگیر می کند برای کارایی و مصرف کالری به اشتراک بگذارید.")</f>
        <v>نکاتی را برای ترکیب تمرینات تمام بدن که چندین گروه عضلانی را به طور همزمان درگیر می کند برای کارایی و مصرف کالری به اشتراک بگذارید.</v>
      </c>
      <c r="H1322" s="1"/>
      <c r="I1322" s="1"/>
      <c r="J1322" s="1"/>
      <c r="K1322" s="1"/>
      <c r="L1322" s="1"/>
      <c r="M1322" s="1"/>
      <c r="N1322" s="1"/>
      <c r="O1322" s="1"/>
      <c r="P1322" s="1"/>
      <c r="Q1322" s="1"/>
      <c r="R1322" s="1"/>
      <c r="S1322" s="1"/>
      <c r="T1322" s="1"/>
      <c r="U1322" s="1"/>
      <c r="V1322" s="1"/>
      <c r="W1322" s="1"/>
      <c r="X1322" s="1"/>
      <c r="Y1322" s="1"/>
      <c r="Z1322" s="1"/>
      <c r="AA1322" s="1"/>
      <c r="AB1322" s="1"/>
    </row>
    <row r="1323" ht="50.25" customHeight="1">
      <c r="A1323" s="12">
        <v>1319.0</v>
      </c>
      <c r="B1323" s="13" t="s">
        <v>1275</v>
      </c>
      <c r="C1323" s="14" t="s">
        <v>1330</v>
      </c>
      <c r="D1323" s="1"/>
      <c r="E1323" s="15"/>
      <c r="F1323" s="1" t="str">
        <f>IFERROR(__xludf.DUMMYFUNCTION("GOOGLETRANSLATE(B1323, ""en"", ""fa"")
"),"روتین های تناسب اندام و ورزش")</f>
        <v>روتین های تناسب اندام و ورزش</v>
      </c>
      <c r="G1323" s="1" t="str">
        <f>IFERROR(__xludf.DUMMYFUNCTION("GOOGLETRANSLATE(C1323, ""en"", ""fa"")
"),"مفهوم ترکیب تکنیک‌های فوم نورد برای خود ماساژ و رهاسازی میوفاشیال برای کاهش درد عضلانی و بهبود ریکاوری را بررسی کنید.")</f>
        <v>مفهوم ترکیب تکنیک‌های فوم نورد برای خود ماساژ و رهاسازی میوفاشیال برای کاهش درد عضلانی و بهبود ریکاوری را بررسی کنید.</v>
      </c>
      <c r="H1323" s="1"/>
      <c r="I1323" s="1"/>
      <c r="J1323" s="1"/>
      <c r="K1323" s="1"/>
      <c r="L1323" s="1"/>
      <c r="M1323" s="1"/>
      <c r="N1323" s="1"/>
      <c r="O1323" s="1"/>
      <c r="P1323" s="1"/>
      <c r="Q1323" s="1"/>
      <c r="R1323" s="1"/>
      <c r="S1323" s="1"/>
      <c r="T1323" s="1"/>
      <c r="U1323" s="1"/>
      <c r="V1323" s="1"/>
      <c r="W1323" s="1"/>
      <c r="X1323" s="1"/>
      <c r="Y1323" s="1"/>
      <c r="Z1323" s="1"/>
      <c r="AA1323" s="1"/>
      <c r="AB1323" s="1"/>
    </row>
    <row r="1324" ht="50.25" customHeight="1">
      <c r="A1324" s="12">
        <v>1320.0</v>
      </c>
      <c r="B1324" s="13" t="s">
        <v>1275</v>
      </c>
      <c r="C1324" s="14" t="s">
        <v>1331</v>
      </c>
      <c r="D1324" s="1"/>
      <c r="E1324" s="15"/>
      <c r="F1324" s="1" t="str">
        <f>IFERROR(__xludf.DUMMYFUNCTION("GOOGLETRANSLATE(B1324, ""en"", ""fa"")
"),"روتین های تناسب اندام و ورزش")</f>
        <v>روتین های تناسب اندام و ورزش</v>
      </c>
      <c r="G1324" s="1" t="str">
        <f>IFERROR(__xludf.DUMMYFUNCTION("GOOGLETRANSLATE(C1324, ""en"", ""fa"")
"),"در مورد نقش ترکیب تمرینات چابکی و سرعت، مانند تمرینات نردبانی یا تمرینات مخروطی، برای بهبود هماهنگی و عملکرد ورزشی بحث کنید.")</f>
        <v>در مورد نقش ترکیب تمرینات چابکی و سرعت، مانند تمرینات نردبانی یا تمرینات مخروطی، برای بهبود هماهنگی و عملکرد ورزشی بحث کنید.</v>
      </c>
      <c r="H1324" s="1"/>
      <c r="I1324" s="1"/>
      <c r="J1324" s="1"/>
      <c r="K1324" s="1"/>
      <c r="L1324" s="1"/>
      <c r="M1324" s="1"/>
      <c r="N1324" s="1"/>
      <c r="O1324" s="1"/>
      <c r="P1324" s="1"/>
      <c r="Q1324" s="1"/>
      <c r="R1324" s="1"/>
      <c r="S1324" s="1"/>
      <c r="T1324" s="1"/>
      <c r="U1324" s="1"/>
      <c r="V1324" s="1"/>
      <c r="W1324" s="1"/>
      <c r="X1324" s="1"/>
      <c r="Y1324" s="1"/>
      <c r="Z1324" s="1"/>
      <c r="AA1324" s="1"/>
      <c r="AB1324" s="1"/>
    </row>
    <row r="1325" ht="50.25" customHeight="1">
      <c r="A1325" s="12">
        <v>1321.0</v>
      </c>
      <c r="B1325" s="13" t="s">
        <v>1275</v>
      </c>
      <c r="C1325" s="14" t="s">
        <v>1332</v>
      </c>
      <c r="D1325" s="1"/>
      <c r="E1325" s="15"/>
      <c r="F1325" s="1" t="str">
        <f>IFERROR(__xludf.DUMMYFUNCTION("GOOGLETRANSLATE(B1325, ""en"", ""fa"")
"),"روتین های تناسب اندام و ورزش")</f>
        <v>روتین های تناسب اندام و ورزش</v>
      </c>
      <c r="G1325" s="1" t="str">
        <f>IFERROR(__xludf.DUMMYFUNCTION("GOOGLETRANSLATE(C1325, ""en"", ""fa"")
"),"استراتژی‌هایی را برای ترکیب گزینه‌های رفت و آمد فعال، مانند پیاده‌روی یا دوچرخه‌سواری تا محل کار، به‌عنوان راهی برای گنجاندن فعالیت بدنی در روال‌های روزانه به اشتراک بگذارید.")</f>
        <v>استراتژی‌هایی را برای ترکیب گزینه‌های رفت و آمد فعال، مانند پیاده‌روی یا دوچرخه‌سواری تا محل کار، به‌عنوان راهی برای گنجاندن فعالیت بدنی در روال‌های روزانه به اشتراک بگذارید.</v>
      </c>
      <c r="H1325" s="1"/>
      <c r="I1325" s="1"/>
      <c r="J1325" s="1"/>
      <c r="K1325" s="1"/>
      <c r="L1325" s="1"/>
      <c r="M1325" s="1"/>
      <c r="N1325" s="1"/>
      <c r="O1325" s="1"/>
      <c r="P1325" s="1"/>
      <c r="Q1325" s="1"/>
      <c r="R1325" s="1"/>
      <c r="S1325" s="1"/>
      <c r="T1325" s="1"/>
      <c r="U1325" s="1"/>
      <c r="V1325" s="1"/>
      <c r="W1325" s="1"/>
      <c r="X1325" s="1"/>
      <c r="Y1325" s="1"/>
      <c r="Z1325" s="1"/>
      <c r="AA1325" s="1"/>
      <c r="AB1325" s="1"/>
    </row>
    <row r="1326" ht="50.25" customHeight="1">
      <c r="A1326" s="12">
        <v>1322.0</v>
      </c>
      <c r="B1326" s="13" t="s">
        <v>1275</v>
      </c>
      <c r="C1326" s="14" t="s">
        <v>1333</v>
      </c>
      <c r="D1326" s="1"/>
      <c r="E1326" s="15"/>
      <c r="F1326" s="1" t="str">
        <f>IFERROR(__xludf.DUMMYFUNCTION("GOOGLETRANSLATE(B1326, ""en"", ""fa"")
"),"روتین های تناسب اندام و ورزش")</f>
        <v>روتین های تناسب اندام و ورزش</v>
      </c>
      <c r="G1326" s="1" t="str">
        <f>IFERROR(__xludf.DUMMYFUNCTION("GOOGLETRANSLATE(C1326, ""en"", ""fa"")
"),"مزایای ترکیب تمرینات با وزن بدن که بر روی قدرت مرکزی تمرکز دارند، مانند تخته یا کوهنوردان، برای بهبود ثبات و حرکت عملکردی را بررسی کنید.")</f>
        <v>مزایای ترکیب تمرینات با وزن بدن که بر روی قدرت مرکزی تمرکز دارند، مانند تخته یا کوهنوردان، برای بهبود ثبات و حرکت عملکردی را بررسی کنید.</v>
      </c>
      <c r="H1326" s="1"/>
      <c r="I1326" s="1"/>
      <c r="J1326" s="1"/>
      <c r="K1326" s="1"/>
      <c r="L1326" s="1"/>
      <c r="M1326" s="1"/>
      <c r="N1326" s="1"/>
      <c r="O1326" s="1"/>
      <c r="P1326" s="1"/>
      <c r="Q1326" s="1"/>
      <c r="R1326" s="1"/>
      <c r="S1326" s="1"/>
      <c r="T1326" s="1"/>
      <c r="U1326" s="1"/>
      <c r="V1326" s="1"/>
      <c r="W1326" s="1"/>
      <c r="X1326" s="1"/>
      <c r="Y1326" s="1"/>
      <c r="Z1326" s="1"/>
      <c r="AA1326" s="1"/>
      <c r="AB1326" s="1"/>
    </row>
    <row r="1327" ht="50.25" customHeight="1">
      <c r="A1327" s="12">
        <v>1323.0</v>
      </c>
      <c r="B1327" s="13" t="s">
        <v>1275</v>
      </c>
      <c r="C1327" s="14" t="s">
        <v>1334</v>
      </c>
      <c r="D1327" s="1"/>
      <c r="E1327" s="15"/>
      <c r="F1327" s="1" t="str">
        <f>IFERROR(__xludf.DUMMYFUNCTION("GOOGLETRANSLATE(B1327, ""en"", ""fa"")
"),"روتین های تناسب اندام و ورزش")</f>
        <v>روتین های تناسب اندام و ورزش</v>
      </c>
      <c r="G1327" s="1" t="str">
        <f>IFERROR(__xludf.DUMMYFUNCTION("GOOGLETRANSLATE(C1327, ""en"", ""fa"")
"),"در مورد تأثیر ترکیب تمرینات مقاومتی که گروه های عضلانی اصلی را هدف قرار می دهد، مانند اسکات یا پرس روی نیمکت، برای ایجاد قدرت کلی و توده عضلانی بحث کنید.")</f>
        <v>در مورد تأثیر ترکیب تمرینات مقاومتی که گروه های عضلانی اصلی را هدف قرار می دهد، مانند اسکات یا پرس روی نیمکت، برای ایجاد قدرت کلی و توده عضلانی بحث کنید.</v>
      </c>
      <c r="H1327" s="1"/>
      <c r="I1327" s="1"/>
      <c r="J1327" s="1"/>
      <c r="K1327" s="1"/>
      <c r="L1327" s="1"/>
      <c r="M1327" s="1"/>
      <c r="N1327" s="1"/>
      <c r="O1327" s="1"/>
      <c r="P1327" s="1"/>
      <c r="Q1327" s="1"/>
      <c r="R1327" s="1"/>
      <c r="S1327" s="1"/>
      <c r="T1327" s="1"/>
      <c r="U1327" s="1"/>
      <c r="V1327" s="1"/>
      <c r="W1327" s="1"/>
      <c r="X1327" s="1"/>
      <c r="Y1327" s="1"/>
      <c r="Z1327" s="1"/>
      <c r="AA1327" s="1"/>
      <c r="AB1327" s="1"/>
    </row>
    <row r="1328" ht="50.25" customHeight="1">
      <c r="A1328" s="12">
        <v>1324.0</v>
      </c>
      <c r="B1328" s="13" t="s">
        <v>1275</v>
      </c>
      <c r="C1328" s="14" t="s">
        <v>1335</v>
      </c>
      <c r="D1328" s="1"/>
      <c r="E1328" s="15"/>
      <c r="F1328" s="1" t="str">
        <f>IFERROR(__xludf.DUMMYFUNCTION("GOOGLETRANSLATE(B1328, ""en"", ""fa"")
"),"روتین های تناسب اندام و ورزش")</f>
        <v>روتین های تناسب اندام و ورزش</v>
      </c>
      <c r="G1328" s="1" t="str">
        <f>IFERROR(__xludf.DUMMYFUNCTION("GOOGLETRANSLATE(C1328, ""en"", ""fa"")
"),"نکاتی را برای ترکیب تمرینات قلبی کم تاثیر، مانند تمرین بیضوی یا شنا، برای افراد مبتلا به بیماری های مفصلی یا بهبودی از آسیب ها به اشتراک بگذارید.")</f>
        <v>نکاتی را برای ترکیب تمرینات قلبی کم تاثیر، مانند تمرین بیضوی یا شنا، برای افراد مبتلا به بیماری های مفصلی یا بهبودی از آسیب ها به اشتراک بگذارید.</v>
      </c>
      <c r="H1328" s="1"/>
      <c r="I1328" s="1"/>
      <c r="J1328" s="1"/>
      <c r="K1328" s="1"/>
      <c r="L1328" s="1"/>
      <c r="M1328" s="1"/>
      <c r="N1328" s="1"/>
      <c r="O1328" s="1"/>
      <c r="P1328" s="1"/>
      <c r="Q1328" s="1"/>
      <c r="R1328" s="1"/>
      <c r="S1328" s="1"/>
      <c r="T1328" s="1"/>
      <c r="U1328" s="1"/>
      <c r="V1328" s="1"/>
      <c r="W1328" s="1"/>
      <c r="X1328" s="1"/>
      <c r="Y1328" s="1"/>
      <c r="Z1328" s="1"/>
      <c r="AA1328" s="1"/>
      <c r="AB1328" s="1"/>
    </row>
    <row r="1329" ht="50.25" customHeight="1">
      <c r="A1329" s="12">
        <v>1325.0</v>
      </c>
      <c r="B1329" s="13" t="s">
        <v>1275</v>
      </c>
      <c r="C1329" s="14" t="s">
        <v>1336</v>
      </c>
      <c r="D1329" s="1"/>
      <c r="E1329" s="15"/>
      <c r="F1329" s="1" t="str">
        <f>IFERROR(__xludf.DUMMYFUNCTION("GOOGLETRANSLATE(B1329, ""en"", ""fa"")
"),"روتین های تناسب اندام و ورزش")</f>
        <v>روتین های تناسب اندام و ورزش</v>
      </c>
      <c r="G1329" s="1" t="str">
        <f>IFERROR(__xludf.DUMMYFUNCTION("GOOGLETRANSLATE(C1329, ""en"", ""fa"")
"),"مفهوم ترکیب تمرینات ذهن و بدن، مانند یوگا یا مدیتیشن را برای کاهش استرس، بهبود وضوح ذهنی و افزایش رفاه کلی بررسی کنید.")</f>
        <v>مفهوم ترکیب تمرینات ذهن و بدن، مانند یوگا یا مدیتیشن را برای کاهش استرس، بهبود وضوح ذهنی و افزایش رفاه کلی بررسی کنید.</v>
      </c>
      <c r="H1329" s="1"/>
      <c r="I1329" s="1"/>
      <c r="J1329" s="1"/>
      <c r="K1329" s="1"/>
      <c r="L1329" s="1"/>
      <c r="M1329" s="1"/>
      <c r="N1329" s="1"/>
      <c r="O1329" s="1"/>
      <c r="P1329" s="1"/>
      <c r="Q1329" s="1"/>
      <c r="R1329" s="1"/>
      <c r="S1329" s="1"/>
      <c r="T1329" s="1"/>
      <c r="U1329" s="1"/>
      <c r="V1329" s="1"/>
      <c r="W1329" s="1"/>
      <c r="X1329" s="1"/>
      <c r="Y1329" s="1"/>
      <c r="Z1329" s="1"/>
      <c r="AA1329" s="1"/>
      <c r="AB1329" s="1"/>
    </row>
    <row r="1330" ht="50.25" customHeight="1">
      <c r="A1330" s="12">
        <v>1326.0</v>
      </c>
      <c r="B1330" s="13" t="s">
        <v>1275</v>
      </c>
      <c r="C1330" s="14" t="s">
        <v>1337</v>
      </c>
      <c r="D1330" s="1"/>
      <c r="E1330" s="15"/>
      <c r="F1330" s="1" t="str">
        <f>IFERROR(__xludf.DUMMYFUNCTION("GOOGLETRANSLATE(B1330, ""en"", ""fa"")
"),"روتین های تناسب اندام و ورزش")</f>
        <v>روتین های تناسب اندام و ورزش</v>
      </c>
      <c r="G1330" s="1" t="str">
        <f>IFERROR(__xludf.DUMMYFUNCTION("GOOGLETRANSLATE(C1330, ""en"", ""fa"")
"),"در مورد نقش ترکیب تغذیه بعد از تمرین، مانند وعده های غذایی یا شیک های غنی از پروتئین، برای کمک به ریکاوری و ترمیم عضلات بحث کنید.")</f>
        <v>در مورد نقش ترکیب تغذیه بعد از تمرین، مانند وعده های غذایی یا شیک های غنی از پروتئین، برای کمک به ریکاوری و ترمیم عضلات بحث کنید.</v>
      </c>
      <c r="H1330" s="1"/>
      <c r="I1330" s="1"/>
      <c r="J1330" s="1"/>
      <c r="K1330" s="1"/>
      <c r="L1330" s="1"/>
      <c r="M1330" s="1"/>
      <c r="N1330" s="1"/>
      <c r="O1330" s="1"/>
      <c r="P1330" s="1"/>
      <c r="Q1330" s="1"/>
      <c r="R1330" s="1"/>
      <c r="S1330" s="1"/>
      <c r="T1330" s="1"/>
      <c r="U1330" s="1"/>
      <c r="V1330" s="1"/>
      <c r="W1330" s="1"/>
      <c r="X1330" s="1"/>
      <c r="Y1330" s="1"/>
      <c r="Z1330" s="1"/>
      <c r="AA1330" s="1"/>
      <c r="AB1330" s="1"/>
    </row>
    <row r="1331" ht="50.25" customHeight="1">
      <c r="A1331" s="12">
        <v>1327.0</v>
      </c>
      <c r="B1331" s="13" t="s">
        <v>1275</v>
      </c>
      <c r="C1331" s="14" t="s">
        <v>1338</v>
      </c>
      <c r="D1331" s="1"/>
      <c r="E1331" s="15"/>
      <c r="F1331" s="1" t="str">
        <f>IFERROR(__xludf.DUMMYFUNCTION("GOOGLETRANSLATE(B1331, ""en"", ""fa"")
"),"روتین های تناسب اندام و ورزش")</f>
        <v>روتین های تناسب اندام و ورزش</v>
      </c>
      <c r="G1331" s="1" t="str">
        <f>IFERROR(__xludf.DUMMYFUNCTION("GOOGLETRANSLATE(C1331, ""en"", ""fa"")
"),"استراتژی‌هایی را برای ترکیب تمرین‌هایی که انعطاف‌پذیری و تحرک را بهبود می‌بخشند، مانند یوگا یا کشش پویا، برای جلوگیری از آسیب‌ها و افزایش دامنه حرکتی به اشتراک بگذارید.")</f>
        <v>استراتژی‌هایی را برای ترکیب تمرین‌هایی که انعطاف‌پذیری و تحرک را بهبود می‌بخشند، مانند یوگا یا کشش پویا، برای جلوگیری از آسیب‌ها و افزایش دامنه حرکتی به اشتراک بگذارید.</v>
      </c>
      <c r="H1331" s="1"/>
      <c r="I1331" s="1"/>
      <c r="J1331" s="1"/>
      <c r="K1331" s="1"/>
      <c r="L1331" s="1"/>
      <c r="M1331" s="1"/>
      <c r="N1331" s="1"/>
      <c r="O1331" s="1"/>
      <c r="P1331" s="1"/>
      <c r="Q1331" s="1"/>
      <c r="R1331" s="1"/>
      <c r="S1331" s="1"/>
      <c r="T1331" s="1"/>
      <c r="U1331" s="1"/>
      <c r="V1331" s="1"/>
      <c r="W1331" s="1"/>
      <c r="X1331" s="1"/>
      <c r="Y1331" s="1"/>
      <c r="Z1331" s="1"/>
      <c r="AA1331" s="1"/>
      <c r="AB1331" s="1"/>
    </row>
    <row r="1332" ht="50.25" customHeight="1">
      <c r="A1332" s="12">
        <v>1328.0</v>
      </c>
      <c r="B1332" s="13" t="s">
        <v>1275</v>
      </c>
      <c r="C1332" s="14" t="s">
        <v>1339</v>
      </c>
      <c r="D1332" s="1"/>
      <c r="E1332" s="15"/>
      <c r="F1332" s="1" t="str">
        <f>IFERROR(__xludf.DUMMYFUNCTION("GOOGLETRANSLATE(B1332, ""en"", ""fa"")
"),"روتین های تناسب اندام و ورزش")</f>
        <v>روتین های تناسب اندام و ورزش</v>
      </c>
      <c r="G1332" s="1" t="str">
        <f>IFERROR(__xludf.DUMMYFUNCTION("GOOGLETRANSLATE(C1332, ""en"", ""fa"")
"),"مزایای ترکیب تمرینات مقاومتی با استفاده از وزنه های آزاد یا دستگاه های وزنه برداری برای رشد هدفمند عضلات و افزایش قدرت را بررسی کنید.")</f>
        <v>مزایای ترکیب تمرینات مقاومتی با استفاده از وزنه های آزاد یا دستگاه های وزنه برداری برای رشد هدفمند عضلات و افزایش قدرت را بررسی کنید.</v>
      </c>
      <c r="H1332" s="1"/>
      <c r="I1332" s="1"/>
      <c r="J1332" s="1"/>
      <c r="K1332" s="1"/>
      <c r="L1332" s="1"/>
      <c r="M1332" s="1"/>
      <c r="N1332" s="1"/>
      <c r="O1332" s="1"/>
      <c r="P1332" s="1"/>
      <c r="Q1332" s="1"/>
      <c r="R1332" s="1"/>
      <c r="S1332" s="1"/>
      <c r="T1332" s="1"/>
      <c r="U1332" s="1"/>
      <c r="V1332" s="1"/>
      <c r="W1332" s="1"/>
      <c r="X1332" s="1"/>
      <c r="Y1332" s="1"/>
      <c r="Z1332" s="1"/>
      <c r="AA1332" s="1"/>
      <c r="AB1332" s="1"/>
    </row>
    <row r="1333" ht="50.25" customHeight="1">
      <c r="A1333" s="12">
        <v>1329.0</v>
      </c>
      <c r="B1333" s="13" t="s">
        <v>1275</v>
      </c>
      <c r="C1333" s="14" t="s">
        <v>1340</v>
      </c>
      <c r="D1333" s="1"/>
      <c r="E1333" s="15"/>
      <c r="F1333" s="1" t="str">
        <f>IFERROR(__xludf.DUMMYFUNCTION("GOOGLETRANSLATE(B1333, ""en"", ""fa"")
"),"روتین های تناسب اندام و ورزش")</f>
        <v>روتین های تناسب اندام و ورزش</v>
      </c>
      <c r="G1333" s="1" t="str">
        <f>IFERROR(__xludf.DUMMYFUNCTION("GOOGLETRANSLATE(C1333, ""en"", ""fa"")
"),"در مورد تأثیر ترکیب تمرینات با شدت بالا، مانند تاباتا یا روتین های سبک کراس فیت، برای به چالش کشیدن بدن و بهبود آمادگی قلبی عروقی بحث کنید.")</f>
        <v>در مورد تأثیر ترکیب تمرینات با شدت بالا، مانند تاباتا یا روتین های سبک کراس فیت، برای به چالش کشیدن بدن و بهبود آمادگی قلبی عروقی بحث کنید.</v>
      </c>
      <c r="H1333" s="1"/>
      <c r="I1333" s="1"/>
      <c r="J1333" s="1"/>
      <c r="K1333" s="1"/>
      <c r="L1333" s="1"/>
      <c r="M1333" s="1"/>
      <c r="N1333" s="1"/>
      <c r="O1333" s="1"/>
      <c r="P1333" s="1"/>
      <c r="Q1333" s="1"/>
      <c r="R1333" s="1"/>
      <c r="S1333" s="1"/>
      <c r="T1333" s="1"/>
      <c r="U1333" s="1"/>
      <c r="V1333" s="1"/>
      <c r="W1333" s="1"/>
      <c r="X1333" s="1"/>
      <c r="Y1333" s="1"/>
      <c r="Z1333" s="1"/>
      <c r="AA1333" s="1"/>
      <c r="AB1333" s="1"/>
    </row>
    <row r="1334" ht="50.25" customHeight="1">
      <c r="A1334" s="12">
        <v>1330.0</v>
      </c>
      <c r="B1334" s="13" t="s">
        <v>1275</v>
      </c>
      <c r="C1334" s="14" t="s">
        <v>1341</v>
      </c>
      <c r="D1334" s="1"/>
      <c r="E1334" s="15"/>
      <c r="F1334" s="1" t="str">
        <f>IFERROR(__xludf.DUMMYFUNCTION("GOOGLETRANSLATE(B1334, ""en"", ""fa"")
"),"روتین های تناسب اندام و ورزش")</f>
        <v>روتین های تناسب اندام و ورزش</v>
      </c>
      <c r="G1334" s="1" t="str">
        <f>IFERROR(__xludf.DUMMYFUNCTION("GOOGLETRANSLATE(C1334, ""en"", ""fa"")
"),"نکاتی را برای ترکیب تمریناتی که وضعیت قرارگیری و تراز ستون فقرات را بهبود می بخشد، مانند اکستنشن پشت یا چرخش شانه، برای کاهش درد کمر و گردن به اشتراک بگذارید.")</f>
        <v>نکاتی را برای ترکیب تمریناتی که وضعیت قرارگیری و تراز ستون فقرات را بهبود می بخشد، مانند اکستنشن پشت یا چرخش شانه، برای کاهش درد کمر و گردن به اشتراک بگذارید.</v>
      </c>
      <c r="H1334" s="1"/>
      <c r="I1334" s="1"/>
      <c r="J1334" s="1"/>
      <c r="K1334" s="1"/>
      <c r="L1334" s="1"/>
      <c r="M1334" s="1"/>
      <c r="N1334" s="1"/>
      <c r="O1334" s="1"/>
      <c r="P1334" s="1"/>
      <c r="Q1334" s="1"/>
      <c r="R1334" s="1"/>
      <c r="S1334" s="1"/>
      <c r="T1334" s="1"/>
      <c r="U1334" s="1"/>
      <c r="V1334" s="1"/>
      <c r="W1334" s="1"/>
      <c r="X1334" s="1"/>
      <c r="Y1334" s="1"/>
      <c r="Z1334" s="1"/>
      <c r="AA1334" s="1"/>
      <c r="AB1334" s="1"/>
    </row>
    <row r="1335" ht="50.25" customHeight="1">
      <c r="A1335" s="12">
        <v>1331.0</v>
      </c>
      <c r="B1335" s="13" t="s">
        <v>1275</v>
      </c>
      <c r="C1335" s="14" t="s">
        <v>1342</v>
      </c>
      <c r="D1335" s="1"/>
      <c r="E1335" s="15"/>
      <c r="F1335" s="1" t="str">
        <f>IFERROR(__xludf.DUMMYFUNCTION("GOOGLETRANSLATE(B1335, ""en"", ""fa"")
"),"روتین های تناسب اندام و ورزش")</f>
        <v>روتین های تناسب اندام و ورزش</v>
      </c>
      <c r="G1335" s="1" t="str">
        <f>IFERROR(__xludf.DUMMYFUNCTION("GOOGLETRANSLATE(C1335, ""en"", ""fa"")
"),"در مورد مزایای ترکیب تمرینات کششی برای گروه های عضلانی خاص، مانند همسترینگ، چهارسر ران، یا شانه ها برای بهبود انعطاف پذیری و جلوگیری از عدم تعادل عضلانی بحث کنید.")</f>
        <v>در مورد مزایای ترکیب تمرینات کششی برای گروه های عضلانی خاص، مانند همسترینگ، چهارسر ران، یا شانه ها برای بهبود انعطاف پذیری و جلوگیری از عدم تعادل عضلانی بحث کنید.</v>
      </c>
      <c r="H1335" s="1"/>
      <c r="I1335" s="1"/>
      <c r="J1335" s="1"/>
      <c r="K1335" s="1"/>
      <c r="L1335" s="1"/>
      <c r="M1335" s="1"/>
      <c r="N1335" s="1"/>
      <c r="O1335" s="1"/>
      <c r="P1335" s="1"/>
      <c r="Q1335" s="1"/>
      <c r="R1335" s="1"/>
      <c r="S1335" s="1"/>
      <c r="T1335" s="1"/>
      <c r="U1335" s="1"/>
      <c r="V1335" s="1"/>
      <c r="W1335" s="1"/>
      <c r="X1335" s="1"/>
      <c r="Y1335" s="1"/>
      <c r="Z1335" s="1"/>
      <c r="AA1335" s="1"/>
      <c r="AB1335" s="1"/>
    </row>
    <row r="1336" ht="50.25" customHeight="1">
      <c r="A1336" s="12">
        <v>1332.0</v>
      </c>
      <c r="B1336" s="13" t="s">
        <v>1275</v>
      </c>
      <c r="C1336" s="14" t="s">
        <v>1343</v>
      </c>
      <c r="D1336" s="1"/>
      <c r="E1336" s="15"/>
      <c r="F1336" s="1" t="str">
        <f>IFERROR(__xludf.DUMMYFUNCTION("GOOGLETRANSLATE(B1336, ""en"", ""fa"")
"),"روتین های تناسب اندام و ورزش")</f>
        <v>روتین های تناسب اندام و ورزش</v>
      </c>
      <c r="G1336" s="1" t="str">
        <f>IFERROR(__xludf.DUMMYFUNCTION("GOOGLETRANSLATE(C1336, ""en"", ""fa"")
"),"نکاتی را برای ترکیب تمرین‌های باند مقاومتی که قسمت بالایی بدن را هدف قرار می‌دهند، مانند حلقه‌های دوسر بازو یا فشار دادن شانه، برای تقویت و تقویت بازوها، سینه و پشت به اشتراک بگذارید.")</f>
        <v>نکاتی را برای ترکیب تمرین‌های باند مقاومتی که قسمت بالایی بدن را هدف قرار می‌دهند، مانند حلقه‌های دوسر بازو یا فشار دادن شانه، برای تقویت و تقویت بازوها، سینه و پشت به اشتراک بگذارید.</v>
      </c>
      <c r="H1336" s="1"/>
      <c r="I1336" s="1"/>
      <c r="J1336" s="1"/>
      <c r="K1336" s="1"/>
      <c r="L1336" s="1"/>
      <c r="M1336" s="1"/>
      <c r="N1336" s="1"/>
      <c r="O1336" s="1"/>
      <c r="P1336" s="1"/>
      <c r="Q1336" s="1"/>
      <c r="R1336" s="1"/>
      <c r="S1336" s="1"/>
      <c r="T1336" s="1"/>
      <c r="U1336" s="1"/>
      <c r="V1336" s="1"/>
      <c r="W1336" s="1"/>
      <c r="X1336" s="1"/>
      <c r="Y1336" s="1"/>
      <c r="Z1336" s="1"/>
      <c r="AA1336" s="1"/>
      <c r="AB1336" s="1"/>
    </row>
    <row r="1337" ht="50.25" customHeight="1">
      <c r="A1337" s="12">
        <v>1333.0</v>
      </c>
      <c r="B1337" s="13" t="s">
        <v>1275</v>
      </c>
      <c r="C1337" s="14" t="s">
        <v>1344</v>
      </c>
      <c r="D1337" s="1"/>
      <c r="E1337" s="15"/>
      <c r="F1337" s="1" t="str">
        <f>IFERROR(__xludf.DUMMYFUNCTION("GOOGLETRANSLATE(B1337, ""en"", ""fa"")
"),"روتین های تناسب اندام و ورزش")</f>
        <v>روتین های تناسب اندام و ورزش</v>
      </c>
      <c r="G1337" s="1" t="str">
        <f>IFERROR(__xludf.DUMMYFUNCTION("GOOGLETRANSLATE(C1337, ""en"", ""fa"")
"),"مفهوم ترکیب تمرینات تعادلی، مانند ایستادن تک پا یا حرکات یوگا، برای بهبود ثبات و کاهش خطر سقوط را بررسی کنید.")</f>
        <v>مفهوم ترکیب تمرینات تعادلی، مانند ایستادن تک پا یا حرکات یوگا، برای بهبود ثبات و کاهش خطر سقوط را بررسی کنید.</v>
      </c>
      <c r="H1337" s="1"/>
      <c r="I1337" s="1"/>
      <c r="J1337" s="1"/>
      <c r="K1337" s="1"/>
      <c r="L1337" s="1"/>
      <c r="M1337" s="1"/>
      <c r="N1337" s="1"/>
      <c r="O1337" s="1"/>
      <c r="P1337" s="1"/>
      <c r="Q1337" s="1"/>
      <c r="R1337" s="1"/>
      <c r="S1337" s="1"/>
      <c r="T1337" s="1"/>
      <c r="U1337" s="1"/>
      <c r="V1337" s="1"/>
      <c r="W1337" s="1"/>
      <c r="X1337" s="1"/>
      <c r="Y1337" s="1"/>
      <c r="Z1337" s="1"/>
      <c r="AA1337" s="1"/>
      <c r="AB1337" s="1"/>
    </row>
    <row r="1338" ht="50.25" customHeight="1">
      <c r="A1338" s="12">
        <v>1334.0</v>
      </c>
      <c r="B1338" s="13" t="s">
        <v>1275</v>
      </c>
      <c r="C1338" s="14" t="s">
        <v>1345</v>
      </c>
      <c r="D1338" s="1"/>
      <c r="E1338" s="15"/>
      <c r="F1338" s="1" t="str">
        <f>IFERROR(__xludf.DUMMYFUNCTION("GOOGLETRANSLATE(B1338, ""en"", ""fa"")
"),"روتین های تناسب اندام و ورزش")</f>
        <v>روتین های تناسب اندام و ورزش</v>
      </c>
      <c r="G1338" s="1" t="str">
        <f>IFERROR(__xludf.DUMMYFUNCTION("GOOGLETRANSLATE(C1338, ""en"", ""fa"")
"),"در مورد نقش ترکیب تکنیک های فوم نورد برای بازیابی و رهاسازی خود میوفاسیال برای کاهش سفتی عضلات و بهبود تحرک بحث کنید.")</f>
        <v>در مورد نقش ترکیب تکنیک های فوم نورد برای بازیابی و رهاسازی خود میوفاسیال برای کاهش سفتی عضلات و بهبود تحرک بحث کنید.</v>
      </c>
      <c r="H1338" s="1"/>
      <c r="I1338" s="1"/>
      <c r="J1338" s="1"/>
      <c r="K1338" s="1"/>
      <c r="L1338" s="1"/>
      <c r="M1338" s="1"/>
      <c r="N1338" s="1"/>
      <c r="O1338" s="1"/>
      <c r="P1338" s="1"/>
      <c r="Q1338" s="1"/>
      <c r="R1338" s="1"/>
      <c r="S1338" s="1"/>
      <c r="T1338" s="1"/>
      <c r="U1338" s="1"/>
      <c r="V1338" s="1"/>
      <c r="W1338" s="1"/>
      <c r="X1338" s="1"/>
      <c r="Y1338" s="1"/>
      <c r="Z1338" s="1"/>
      <c r="AA1338" s="1"/>
      <c r="AB1338" s="1"/>
    </row>
    <row r="1339" ht="50.25" customHeight="1">
      <c r="A1339" s="12">
        <v>1335.0</v>
      </c>
      <c r="B1339" s="13" t="s">
        <v>1275</v>
      </c>
      <c r="C1339" s="14" t="s">
        <v>1346</v>
      </c>
      <c r="D1339" s="1"/>
      <c r="E1339" s="15"/>
      <c r="F1339" s="1" t="str">
        <f>IFERROR(__xludf.DUMMYFUNCTION("GOOGLETRANSLATE(B1339, ""en"", ""fa"")
"),"روتین های تناسب اندام و ورزش")</f>
        <v>روتین های تناسب اندام و ورزش</v>
      </c>
      <c r="G1339" s="1" t="str">
        <f>IFERROR(__xludf.DUMMYFUNCTION("GOOGLETRANSLATE(C1339, ""en"", ""fa"")
"),"استراتژی هایی را برای ترکیب تمرینات ترکیبی، مانند اسکوات، ددلیفت، یا لانژ، که چندین گروه عضلانی را به طور همزمان برای تمرینات کارآمد و مؤثر کار می کنند، به اشتراک بگذارید.")</f>
        <v>استراتژی هایی را برای ترکیب تمرینات ترکیبی، مانند اسکوات، ددلیفت، یا لانژ، که چندین گروه عضلانی را به طور همزمان برای تمرینات کارآمد و مؤثر کار می کنند، به اشتراک بگذارید.</v>
      </c>
      <c r="H1339" s="1"/>
      <c r="I1339" s="1"/>
      <c r="J1339" s="1"/>
      <c r="K1339" s="1"/>
      <c r="L1339" s="1"/>
      <c r="M1339" s="1"/>
      <c r="N1339" s="1"/>
      <c r="O1339" s="1"/>
      <c r="P1339" s="1"/>
      <c r="Q1339" s="1"/>
      <c r="R1339" s="1"/>
      <c r="S1339" s="1"/>
      <c r="T1339" s="1"/>
      <c r="U1339" s="1"/>
      <c r="V1339" s="1"/>
      <c r="W1339" s="1"/>
      <c r="X1339" s="1"/>
      <c r="Y1339" s="1"/>
      <c r="Z1339" s="1"/>
      <c r="AA1339" s="1"/>
      <c r="AB1339" s="1"/>
    </row>
    <row r="1340" ht="50.25" customHeight="1">
      <c r="A1340" s="12">
        <v>1336.0</v>
      </c>
      <c r="B1340" s="13" t="s">
        <v>1275</v>
      </c>
      <c r="C1340" s="14" t="s">
        <v>1347</v>
      </c>
      <c r="D1340" s="1"/>
      <c r="E1340" s="15"/>
      <c r="F1340" s="1" t="str">
        <f>IFERROR(__xludf.DUMMYFUNCTION("GOOGLETRANSLATE(B1340, ""en"", ""fa"")
"),"روتین های تناسب اندام و ورزش")</f>
        <v>روتین های تناسب اندام و ورزش</v>
      </c>
      <c r="G1340" s="1" t="str">
        <f>IFERROR(__xludf.DUMMYFUNCTION("GOOGLETRANSLATE(C1340, ""en"", ""fa"")
"),"مزایای ترکیب تمرینات تناوبی با شدت بالا (HIIT) برای افزایش متابولیسم، سوزاندن کالری و بهبود تناسب اندام قلبی عروقی را بررسی کنید.")</f>
        <v>مزایای ترکیب تمرینات تناوبی با شدت بالا (HIIT) برای افزایش متابولیسم، سوزاندن کالری و بهبود تناسب اندام قلبی عروقی را بررسی کنید.</v>
      </c>
      <c r="H1340" s="1"/>
      <c r="I1340" s="1"/>
      <c r="J1340" s="1"/>
      <c r="K1340" s="1"/>
      <c r="L1340" s="1"/>
      <c r="M1340" s="1"/>
      <c r="N1340" s="1"/>
      <c r="O1340" s="1"/>
      <c r="P1340" s="1"/>
      <c r="Q1340" s="1"/>
      <c r="R1340" s="1"/>
      <c r="S1340" s="1"/>
      <c r="T1340" s="1"/>
      <c r="U1340" s="1"/>
      <c r="V1340" s="1"/>
      <c r="W1340" s="1"/>
      <c r="X1340" s="1"/>
      <c r="Y1340" s="1"/>
      <c r="Z1340" s="1"/>
      <c r="AA1340" s="1"/>
      <c r="AB1340" s="1"/>
    </row>
    <row r="1341" ht="50.25" customHeight="1">
      <c r="A1341" s="12">
        <v>1337.0</v>
      </c>
      <c r="B1341" s="13" t="s">
        <v>1275</v>
      </c>
      <c r="C1341" s="14" t="s">
        <v>1348</v>
      </c>
      <c r="D1341" s="1"/>
      <c r="E1341" s="15"/>
      <c r="F1341" s="1" t="str">
        <f>IFERROR(__xludf.DUMMYFUNCTION("GOOGLETRANSLATE(B1341, ""en"", ""fa"")
"),"روتین های تناسب اندام و ورزش")</f>
        <v>روتین های تناسب اندام و ورزش</v>
      </c>
      <c r="G1341" s="1" t="str">
        <f>IFERROR(__xludf.DUMMYFUNCTION("GOOGLETRANSLATE(C1341, ""en"", ""fa"")
"),"در مورد تأثیر ترکیب تمرینات اصلی، مانند پلانک یا چرخش روسی، برای تقویت عضلات شکم و بهبود ثبات و وضعیت کلی صحبت کنید.")</f>
        <v>در مورد تأثیر ترکیب تمرینات اصلی، مانند پلانک یا چرخش روسی، برای تقویت عضلات شکم و بهبود ثبات و وضعیت کلی صحبت کنید.</v>
      </c>
      <c r="H1341" s="1"/>
      <c r="I1341" s="1"/>
      <c r="J1341" s="1"/>
      <c r="K1341" s="1"/>
      <c r="L1341" s="1"/>
      <c r="M1341" s="1"/>
      <c r="N1341" s="1"/>
      <c r="O1341" s="1"/>
      <c r="P1341" s="1"/>
      <c r="Q1341" s="1"/>
      <c r="R1341" s="1"/>
      <c r="S1341" s="1"/>
      <c r="T1341" s="1"/>
      <c r="U1341" s="1"/>
      <c r="V1341" s="1"/>
      <c r="W1341" s="1"/>
      <c r="X1341" s="1"/>
      <c r="Y1341" s="1"/>
      <c r="Z1341" s="1"/>
      <c r="AA1341" s="1"/>
      <c r="AB1341" s="1"/>
    </row>
    <row r="1342" ht="50.25" customHeight="1">
      <c r="A1342" s="12">
        <v>1338.0</v>
      </c>
      <c r="B1342" s="13" t="s">
        <v>1275</v>
      </c>
      <c r="C1342" s="14" t="s">
        <v>1349</v>
      </c>
      <c r="D1342" s="1"/>
      <c r="E1342" s="15"/>
      <c r="F1342" s="1" t="str">
        <f>IFERROR(__xludf.DUMMYFUNCTION("GOOGLETRANSLATE(B1342, ""en"", ""fa"")
"),"روتین های تناسب اندام و ورزش")</f>
        <v>روتین های تناسب اندام و ورزش</v>
      </c>
      <c r="G1342" s="1" t="str">
        <f>IFERROR(__xludf.DUMMYFUNCTION("GOOGLETRANSLATE(C1342, ""en"", ""fa"")
"),"نکاتی را برای ترکیب تمریناتی که عضلات باسن را هدف قرار می دهند، مانند فشارهای باسن یا پل های باسن، برای ایجاد قدرت و فرم در قسمت پایین بدن به اشتراک بگذارید.")</f>
        <v>نکاتی را برای ترکیب تمریناتی که عضلات باسن را هدف قرار می دهند، مانند فشارهای باسن یا پل های باسن، برای ایجاد قدرت و فرم در قسمت پایین بدن به اشتراک بگذارید.</v>
      </c>
      <c r="H1342" s="1"/>
      <c r="I1342" s="1"/>
      <c r="J1342" s="1"/>
      <c r="K1342" s="1"/>
      <c r="L1342" s="1"/>
      <c r="M1342" s="1"/>
      <c r="N1342" s="1"/>
      <c r="O1342" s="1"/>
      <c r="P1342" s="1"/>
      <c r="Q1342" s="1"/>
      <c r="R1342" s="1"/>
      <c r="S1342" s="1"/>
      <c r="T1342" s="1"/>
      <c r="U1342" s="1"/>
      <c r="V1342" s="1"/>
      <c r="W1342" s="1"/>
      <c r="X1342" s="1"/>
      <c r="Y1342" s="1"/>
      <c r="Z1342" s="1"/>
      <c r="AA1342" s="1"/>
      <c r="AB1342" s="1"/>
    </row>
    <row r="1343" ht="50.25" customHeight="1">
      <c r="A1343" s="12">
        <v>1339.0</v>
      </c>
      <c r="B1343" s="13" t="s">
        <v>1275</v>
      </c>
      <c r="C1343" s="14" t="s">
        <v>1350</v>
      </c>
      <c r="D1343" s="1"/>
      <c r="E1343" s="15"/>
      <c r="F1343" s="1" t="str">
        <f>IFERROR(__xludf.DUMMYFUNCTION("GOOGLETRANSLATE(B1343, ""en"", ""fa"")
"),"روتین های تناسب اندام و ورزش")</f>
        <v>روتین های تناسب اندام و ورزش</v>
      </c>
      <c r="G1343" s="1" t="str">
        <f>IFERROR(__xludf.DUMMYFUNCTION("GOOGLETRANSLATE(C1343, ""en"", ""fa"")
"),"مفهوم ترکیب تمرینات گرم کردن پویا، مانند چرخش پا یا دایره بازو، برای افزایش دمای بدن، فعال کردن عضلات و کاهش خطر آسیب را بررسی کنید.")</f>
        <v>مفهوم ترکیب تمرینات گرم کردن پویا، مانند چرخش پا یا دایره بازو، برای افزایش دمای بدن، فعال کردن عضلات و کاهش خطر آسیب را بررسی کنید.</v>
      </c>
      <c r="H1343" s="1"/>
      <c r="I1343" s="1"/>
      <c r="J1343" s="1"/>
      <c r="K1343" s="1"/>
      <c r="L1343" s="1"/>
      <c r="M1343" s="1"/>
      <c r="N1343" s="1"/>
      <c r="O1343" s="1"/>
      <c r="P1343" s="1"/>
      <c r="Q1343" s="1"/>
      <c r="R1343" s="1"/>
      <c r="S1343" s="1"/>
      <c r="T1343" s="1"/>
      <c r="U1343" s="1"/>
      <c r="V1343" s="1"/>
      <c r="W1343" s="1"/>
      <c r="X1343" s="1"/>
      <c r="Y1343" s="1"/>
      <c r="Z1343" s="1"/>
      <c r="AA1343" s="1"/>
      <c r="AB1343" s="1"/>
    </row>
    <row r="1344" ht="50.25" customHeight="1">
      <c r="A1344" s="12">
        <v>1340.0</v>
      </c>
      <c r="B1344" s="13" t="s">
        <v>1275</v>
      </c>
      <c r="C1344" s="14" t="s">
        <v>1351</v>
      </c>
      <c r="D1344" s="1"/>
      <c r="E1344" s="15"/>
      <c r="F1344" s="1" t="str">
        <f>IFERROR(__xludf.DUMMYFUNCTION("GOOGLETRANSLATE(B1344, ""en"", ""fa"")
"),"روتین های تناسب اندام و ورزش")</f>
        <v>روتین های تناسب اندام و ورزش</v>
      </c>
      <c r="G1344" s="1" t="str">
        <f>IFERROR(__xludf.DUMMYFUNCTION("GOOGLETRANSLATE(C1344, ""en"", ""fa"")
"),"در مورد نقش ترکیب تمریناتی که چابکی و هماهنگی را بهبود می بخشد، مانند تمرینات نردبانی یا تمرینات نردبان چابکی، برای افزایش عملکرد ورزشی بحث کنید.")</f>
        <v>در مورد نقش ترکیب تمریناتی که چابکی و هماهنگی را بهبود می بخشد، مانند تمرینات نردبانی یا تمرینات نردبان چابکی، برای افزایش عملکرد ورزشی بحث کنید.</v>
      </c>
      <c r="H1344" s="1"/>
      <c r="I1344" s="1"/>
      <c r="J1344" s="1"/>
      <c r="K1344" s="1"/>
      <c r="L1344" s="1"/>
      <c r="M1344" s="1"/>
      <c r="N1344" s="1"/>
      <c r="O1344" s="1"/>
      <c r="P1344" s="1"/>
      <c r="Q1344" s="1"/>
      <c r="R1344" s="1"/>
      <c r="S1344" s="1"/>
      <c r="T1344" s="1"/>
      <c r="U1344" s="1"/>
      <c r="V1344" s="1"/>
      <c r="W1344" s="1"/>
      <c r="X1344" s="1"/>
      <c r="Y1344" s="1"/>
      <c r="Z1344" s="1"/>
      <c r="AA1344" s="1"/>
      <c r="AB1344" s="1"/>
    </row>
    <row r="1345" ht="50.25" customHeight="1">
      <c r="A1345" s="12">
        <v>1341.0</v>
      </c>
      <c r="B1345" s="13" t="s">
        <v>1275</v>
      </c>
      <c r="C1345" s="14" t="s">
        <v>1352</v>
      </c>
      <c r="D1345" s="1"/>
      <c r="E1345" s="15"/>
      <c r="F1345" s="1" t="str">
        <f>IFERROR(__xludf.DUMMYFUNCTION("GOOGLETRANSLATE(B1345, ""en"", ""fa"")
"),"روتین های تناسب اندام و ورزش")</f>
        <v>روتین های تناسب اندام و ورزش</v>
      </c>
      <c r="G1345" s="1" t="str">
        <f>IFERROR(__xludf.DUMMYFUNCTION("GOOGLETRANSLATE(C1345, ""en"", ""fa"")
"),"استراتژی‌هایی را برای ترکیب ورزش‌هایی که زنجیره خلفی، از جمله پشت، باسن، و همسترینگ را هدف قرار می‌دهند، به اشتراک بگذارید تا وضعیت بدن را بهبود بخشد و درد کمر را کاهش دهد.")</f>
        <v>استراتژی‌هایی را برای ترکیب ورزش‌هایی که زنجیره خلفی، از جمله پشت، باسن، و همسترینگ را هدف قرار می‌دهند، به اشتراک بگذارید تا وضعیت بدن را بهبود بخشد و درد کمر را کاهش دهد.</v>
      </c>
      <c r="H1345" s="1"/>
      <c r="I1345" s="1"/>
      <c r="J1345" s="1"/>
      <c r="K1345" s="1"/>
      <c r="L1345" s="1"/>
      <c r="M1345" s="1"/>
      <c r="N1345" s="1"/>
      <c r="O1345" s="1"/>
      <c r="P1345" s="1"/>
      <c r="Q1345" s="1"/>
      <c r="R1345" s="1"/>
      <c r="S1345" s="1"/>
      <c r="T1345" s="1"/>
      <c r="U1345" s="1"/>
      <c r="V1345" s="1"/>
      <c r="W1345" s="1"/>
      <c r="X1345" s="1"/>
      <c r="Y1345" s="1"/>
      <c r="Z1345" s="1"/>
      <c r="AA1345" s="1"/>
      <c r="AB1345" s="1"/>
    </row>
    <row r="1346" ht="50.25" customHeight="1">
      <c r="A1346" s="12">
        <v>1342.0</v>
      </c>
      <c r="B1346" s="13" t="s">
        <v>1275</v>
      </c>
      <c r="C1346" s="14" t="s">
        <v>1353</v>
      </c>
      <c r="D1346" s="1"/>
      <c r="E1346" s="15"/>
      <c r="F1346" s="1" t="str">
        <f>IFERROR(__xludf.DUMMYFUNCTION("GOOGLETRANSLATE(B1346, ""en"", ""fa"")
"),"روتین های تناسب اندام و ورزش")</f>
        <v>روتین های تناسب اندام و ورزش</v>
      </c>
      <c r="G1346" s="1" t="str">
        <f>IFERROR(__xludf.DUMMYFUNCTION("GOOGLETRANSLATE(C1346, ""en"", ""fa"")
"),"مزایای ترکیب تمرینات با وزن بدن، مانند فشار، اسکات، یا برپی، برای قدرت عملکردی و تناسب اندام کلی را بررسی کنید.")</f>
        <v>مزایای ترکیب تمرینات با وزن بدن، مانند فشار، اسکات، یا برپی، برای قدرت عملکردی و تناسب اندام کلی را بررسی کنید.</v>
      </c>
      <c r="H1346" s="1"/>
      <c r="I1346" s="1"/>
      <c r="J1346" s="1"/>
      <c r="K1346" s="1"/>
      <c r="L1346" s="1"/>
      <c r="M1346" s="1"/>
      <c r="N1346" s="1"/>
      <c r="O1346" s="1"/>
      <c r="P1346" s="1"/>
      <c r="Q1346" s="1"/>
      <c r="R1346" s="1"/>
      <c r="S1346" s="1"/>
      <c r="T1346" s="1"/>
      <c r="U1346" s="1"/>
      <c r="V1346" s="1"/>
      <c r="W1346" s="1"/>
      <c r="X1346" s="1"/>
      <c r="Y1346" s="1"/>
      <c r="Z1346" s="1"/>
      <c r="AA1346" s="1"/>
      <c r="AB1346" s="1"/>
    </row>
    <row r="1347" ht="50.25" customHeight="1">
      <c r="A1347" s="12">
        <v>1343.0</v>
      </c>
      <c r="B1347" s="13" t="s">
        <v>1275</v>
      </c>
      <c r="C1347" s="14" t="s">
        <v>1354</v>
      </c>
      <c r="D1347" s="1"/>
      <c r="E1347" s="15"/>
      <c r="F1347" s="1" t="str">
        <f>IFERROR(__xludf.DUMMYFUNCTION("GOOGLETRANSLATE(B1347, ""en"", ""fa"")
"),"روتین های تناسب اندام و ورزش")</f>
        <v>روتین های تناسب اندام و ورزش</v>
      </c>
      <c r="G1347" s="1" t="str">
        <f>IFERROR(__xludf.DUMMYFUNCTION("GOOGLETRANSLATE(C1347, ""en"", ""fa"")
"),"در مورد تاثیر ترکیب تمریناتی که عضلات تثبیت کننده مرکزی را هدف قرار می دهند، مانند تخته یا سگ پرنده، برای بهبود تعادل و جلوگیری از آسیب های کمر بحث کنید.")</f>
        <v>در مورد تاثیر ترکیب تمریناتی که عضلات تثبیت کننده مرکزی را هدف قرار می دهند، مانند تخته یا سگ پرنده، برای بهبود تعادل و جلوگیری از آسیب های کمر بحث کنید.</v>
      </c>
      <c r="H1347" s="1"/>
      <c r="I1347" s="1"/>
      <c r="J1347" s="1"/>
      <c r="K1347" s="1"/>
      <c r="L1347" s="1"/>
      <c r="M1347" s="1"/>
      <c r="N1347" s="1"/>
      <c r="O1347" s="1"/>
      <c r="P1347" s="1"/>
      <c r="Q1347" s="1"/>
      <c r="R1347" s="1"/>
      <c r="S1347" s="1"/>
      <c r="T1347" s="1"/>
      <c r="U1347" s="1"/>
      <c r="V1347" s="1"/>
      <c r="W1347" s="1"/>
      <c r="X1347" s="1"/>
      <c r="Y1347" s="1"/>
      <c r="Z1347" s="1"/>
      <c r="AA1347" s="1"/>
      <c r="AB1347" s="1"/>
    </row>
    <row r="1348" ht="50.25" customHeight="1">
      <c r="A1348" s="12">
        <v>1344.0</v>
      </c>
      <c r="B1348" s="13" t="s">
        <v>1275</v>
      </c>
      <c r="C1348" s="14" t="s">
        <v>1355</v>
      </c>
      <c r="D1348" s="1"/>
      <c r="E1348" s="15"/>
      <c r="F1348" s="1" t="str">
        <f>IFERROR(__xludf.DUMMYFUNCTION("GOOGLETRANSLATE(B1348, ""en"", ""fa"")
"),"روتین های تناسب اندام و ورزش")</f>
        <v>روتین های تناسب اندام و ورزش</v>
      </c>
      <c r="G1348" s="1" t="str">
        <f>IFERROR(__xludf.DUMMYFUNCTION("GOOGLETRANSLATE(C1348, ""en"", ""fa"")
"),"نکاتی را برای ترکیب تمریناتی که استقامت قلبی عروقی را بهبود می بخشد، مانند دویدن، دوچرخه سواری، یا شنا، برای افزایش استقامت و تناسب اندام کلی به اشتراک بگذارید.")</f>
        <v>نکاتی را برای ترکیب تمریناتی که استقامت قلبی عروقی را بهبود می بخشد، مانند دویدن، دوچرخه سواری، یا شنا، برای افزایش استقامت و تناسب اندام کلی به اشتراک بگذارید.</v>
      </c>
      <c r="H1348" s="1"/>
      <c r="I1348" s="1"/>
      <c r="J1348" s="1"/>
      <c r="K1348" s="1"/>
      <c r="L1348" s="1"/>
      <c r="M1348" s="1"/>
      <c r="N1348" s="1"/>
      <c r="O1348" s="1"/>
      <c r="P1348" s="1"/>
      <c r="Q1348" s="1"/>
      <c r="R1348" s="1"/>
      <c r="S1348" s="1"/>
      <c r="T1348" s="1"/>
      <c r="U1348" s="1"/>
      <c r="V1348" s="1"/>
      <c r="W1348" s="1"/>
      <c r="X1348" s="1"/>
      <c r="Y1348" s="1"/>
      <c r="Z1348" s="1"/>
      <c r="AA1348" s="1"/>
      <c r="AB1348" s="1"/>
    </row>
    <row r="1349" ht="50.25" customHeight="1">
      <c r="A1349" s="12">
        <v>1345.0</v>
      </c>
      <c r="B1349" s="13" t="s">
        <v>1275</v>
      </c>
      <c r="C1349" s="14" t="s">
        <v>1356</v>
      </c>
      <c r="D1349" s="1"/>
      <c r="E1349" s="15"/>
      <c r="F1349" s="1" t="str">
        <f>IFERROR(__xludf.DUMMYFUNCTION("GOOGLETRANSLATE(B1349, ""en"", ""fa"")
"),"روتین های تناسب اندام و ورزش")</f>
        <v>روتین های تناسب اندام و ورزش</v>
      </c>
      <c r="G1349" s="1" t="str">
        <f>IFERROR(__xludf.DUMMYFUNCTION("GOOGLETRANSLATE(C1349, ""en"", ""fa"")
"),"مفهوم ترکیب تمرینات اینتروال در ماشین‌های کاردیو، مانند تردمیل یا دوچرخه ثابت، متناوب بین انفجارهای شدید و دوره‌های ریکاوری را بررسی کنید.")</f>
        <v>مفهوم ترکیب تمرینات اینتروال در ماشین‌های کاردیو، مانند تردمیل یا دوچرخه ثابت، متناوب بین انفجارهای شدید و دوره‌های ریکاوری را بررسی کنید.</v>
      </c>
      <c r="H1349" s="1"/>
      <c r="I1349" s="1"/>
      <c r="J1349" s="1"/>
      <c r="K1349" s="1"/>
      <c r="L1349" s="1"/>
      <c r="M1349" s="1"/>
      <c r="N1349" s="1"/>
      <c r="O1349" s="1"/>
      <c r="P1349" s="1"/>
      <c r="Q1349" s="1"/>
      <c r="R1349" s="1"/>
      <c r="S1349" s="1"/>
      <c r="T1349" s="1"/>
      <c r="U1349" s="1"/>
      <c r="V1349" s="1"/>
      <c r="W1349" s="1"/>
      <c r="X1349" s="1"/>
      <c r="Y1349" s="1"/>
      <c r="Z1349" s="1"/>
      <c r="AA1349" s="1"/>
      <c r="AB1349" s="1"/>
    </row>
    <row r="1350" ht="50.25" customHeight="1">
      <c r="A1350" s="12">
        <v>1346.0</v>
      </c>
      <c r="B1350" s="13" t="s">
        <v>1275</v>
      </c>
      <c r="C1350" s="14" t="s">
        <v>1357</v>
      </c>
      <c r="D1350" s="1"/>
      <c r="E1350" s="15"/>
      <c r="F1350" s="1" t="str">
        <f>IFERROR(__xludf.DUMMYFUNCTION("GOOGLETRANSLATE(B1350, ""en"", ""fa"")
"),"روتین های تناسب اندام و ورزش")</f>
        <v>روتین های تناسب اندام و ورزش</v>
      </c>
      <c r="G1350" s="1" t="str">
        <f>IFERROR(__xludf.DUMMYFUNCTION("GOOGLETRANSLATE(C1350, ""en"", ""fa"")
"),"در مورد نقش ترکیب تمریناتی که قسمت بالایی بدن را هدف قرار می دهند، مانند فشارهای فشاری، کشش یا پرس های بالای سر، برای تقویت قدرت و تقویت بازوها، شانه ها و سینه بحث کنید.")</f>
        <v>در مورد نقش ترکیب تمریناتی که قسمت بالایی بدن را هدف قرار می دهند، مانند فشارهای فشاری، کشش یا پرس های بالای سر، برای تقویت قدرت و تقویت بازوها، شانه ها و سینه بحث کنید.</v>
      </c>
      <c r="H1350" s="1"/>
      <c r="I1350" s="1"/>
      <c r="J1350" s="1"/>
      <c r="K1350" s="1"/>
      <c r="L1350" s="1"/>
      <c r="M1350" s="1"/>
      <c r="N1350" s="1"/>
      <c r="O1350" s="1"/>
      <c r="P1350" s="1"/>
      <c r="Q1350" s="1"/>
      <c r="R1350" s="1"/>
      <c r="S1350" s="1"/>
      <c r="T1350" s="1"/>
      <c r="U1350" s="1"/>
      <c r="V1350" s="1"/>
      <c r="W1350" s="1"/>
      <c r="X1350" s="1"/>
      <c r="Y1350" s="1"/>
      <c r="Z1350" s="1"/>
      <c r="AA1350" s="1"/>
      <c r="AB1350" s="1"/>
    </row>
    <row r="1351" ht="50.25" customHeight="1">
      <c r="A1351" s="12">
        <v>1347.0</v>
      </c>
      <c r="B1351" s="13" t="s">
        <v>1275</v>
      </c>
      <c r="C1351" s="14" t="s">
        <v>1358</v>
      </c>
      <c r="D1351" s="1"/>
      <c r="E1351" s="15"/>
      <c r="F1351" s="1" t="str">
        <f>IFERROR(__xludf.DUMMYFUNCTION("GOOGLETRANSLATE(B1351, ""en"", ""fa"")
"),"روتین های تناسب اندام و ورزش")</f>
        <v>روتین های تناسب اندام و ورزش</v>
      </c>
      <c r="G1351" s="1" t="str">
        <f>IFERROR(__xludf.DUMMYFUNCTION("GOOGLETRANSLATE(C1351, ""en"", ""fa"")
"),"استراتژی‌هایی را برای ترکیب تمرین‌هایی که انعطاف‌پذیری و تحرک را بهبود می‌بخشند، مانند یوگا یا کشش پویا، برای جلوگیری از آسیب‌ها و افزایش دامنه حرکتی به اشتراک بگذارید.")</f>
        <v>استراتژی‌هایی را برای ترکیب تمرین‌هایی که انعطاف‌پذیری و تحرک را بهبود می‌بخشند، مانند یوگا یا کشش پویا، برای جلوگیری از آسیب‌ها و افزایش دامنه حرکتی به اشتراک بگذارید.</v>
      </c>
      <c r="H1351" s="1"/>
      <c r="I1351" s="1"/>
      <c r="J1351" s="1"/>
      <c r="K1351" s="1"/>
      <c r="L1351" s="1"/>
      <c r="M1351" s="1"/>
      <c r="N1351" s="1"/>
      <c r="O1351" s="1"/>
      <c r="P1351" s="1"/>
      <c r="Q1351" s="1"/>
      <c r="R1351" s="1"/>
      <c r="S1351" s="1"/>
      <c r="T1351" s="1"/>
      <c r="U1351" s="1"/>
      <c r="V1351" s="1"/>
      <c r="W1351" s="1"/>
      <c r="X1351" s="1"/>
      <c r="Y1351" s="1"/>
      <c r="Z1351" s="1"/>
      <c r="AA1351" s="1"/>
      <c r="AB1351" s="1"/>
    </row>
    <row r="1352" ht="50.25" customHeight="1">
      <c r="A1352" s="12">
        <v>1348.0</v>
      </c>
      <c r="B1352" s="13" t="s">
        <v>1275</v>
      </c>
      <c r="C1352" s="14" t="s">
        <v>1359</v>
      </c>
      <c r="D1352" s="1"/>
      <c r="E1352" s="15"/>
      <c r="F1352" s="1" t="str">
        <f>IFERROR(__xludf.DUMMYFUNCTION("GOOGLETRANSLATE(B1352, ""en"", ""fa"")
"),"روتین های تناسب اندام و ورزش")</f>
        <v>روتین های تناسب اندام و ورزش</v>
      </c>
      <c r="G1352" s="1" t="str">
        <f>IFERROR(__xludf.DUMMYFUNCTION("GOOGLETRANSLATE(C1352, ""en"", ""fa"")
"),"فواید ترکیب تمریناتی را که پایین تنه را هدف قرار می دهند، مانند اسکات، لانژ، یا استپ آپ، برای تقویت و تقویت پاها و باسن بررسی کنید.")</f>
        <v>فواید ترکیب تمریناتی را که پایین تنه را هدف قرار می دهند، مانند اسکات، لانژ، یا استپ آپ، برای تقویت و تقویت پاها و باسن بررسی کنید.</v>
      </c>
      <c r="H1352" s="1"/>
      <c r="I1352" s="1"/>
      <c r="J1352" s="1"/>
      <c r="K1352" s="1"/>
      <c r="L1352" s="1"/>
      <c r="M1352" s="1"/>
      <c r="N1352" s="1"/>
      <c r="O1352" s="1"/>
      <c r="P1352" s="1"/>
      <c r="Q1352" s="1"/>
      <c r="R1352" s="1"/>
      <c r="S1352" s="1"/>
      <c r="T1352" s="1"/>
      <c r="U1352" s="1"/>
      <c r="V1352" s="1"/>
      <c r="W1352" s="1"/>
      <c r="X1352" s="1"/>
      <c r="Y1352" s="1"/>
      <c r="Z1352" s="1"/>
      <c r="AA1352" s="1"/>
      <c r="AB1352" s="1"/>
    </row>
    <row r="1353" ht="50.25" customHeight="1">
      <c r="A1353" s="12">
        <v>1349.0</v>
      </c>
      <c r="B1353" s="13" t="s">
        <v>1275</v>
      </c>
      <c r="C1353" s="14" t="s">
        <v>1360</v>
      </c>
      <c r="D1353" s="1"/>
      <c r="E1353" s="15"/>
      <c r="F1353" s="1" t="str">
        <f>IFERROR(__xludf.DUMMYFUNCTION("GOOGLETRANSLATE(B1353, ""en"", ""fa"")
"),"روتین های تناسب اندام و ورزش")</f>
        <v>روتین های تناسب اندام و ورزش</v>
      </c>
      <c r="G1353" s="1" t="str">
        <f>IFERROR(__xludf.DUMMYFUNCTION("GOOGLETRANSLATE(C1353, ""en"", ""fa"")
"),"در مورد تأثیر ترکیب تمریناتی که بر بهبود وضعیت بدنی تمرکز می کنند، مانند ردیف کردن یا جمع شدن شانه، برای کاهش عدم تعادل عضلانی و کاهش خطر آسیب بحث کنید.")</f>
        <v>در مورد تأثیر ترکیب تمریناتی که بر بهبود وضعیت بدنی تمرکز می کنند، مانند ردیف کردن یا جمع شدن شانه، برای کاهش عدم تعادل عضلانی و کاهش خطر آسیب بحث کنید.</v>
      </c>
      <c r="H1353" s="1"/>
      <c r="I1353" s="1"/>
      <c r="J1353" s="1"/>
      <c r="K1353" s="1"/>
      <c r="L1353" s="1"/>
      <c r="M1353" s="1"/>
      <c r="N1353" s="1"/>
      <c r="O1353" s="1"/>
      <c r="P1353" s="1"/>
      <c r="Q1353" s="1"/>
      <c r="R1353" s="1"/>
      <c r="S1353" s="1"/>
      <c r="T1353" s="1"/>
      <c r="U1353" s="1"/>
      <c r="V1353" s="1"/>
      <c r="W1353" s="1"/>
      <c r="X1353" s="1"/>
      <c r="Y1353" s="1"/>
      <c r="Z1353" s="1"/>
      <c r="AA1353" s="1"/>
      <c r="AB1353" s="1"/>
    </row>
    <row r="1354" ht="50.25" customHeight="1">
      <c r="A1354" s="12">
        <v>1350.0</v>
      </c>
      <c r="B1354" s="13" t="s">
        <v>1275</v>
      </c>
      <c r="C1354" s="14" t="s">
        <v>1361</v>
      </c>
      <c r="D1354" s="1"/>
      <c r="E1354" s="15"/>
      <c r="F1354" s="1" t="str">
        <f>IFERROR(__xludf.DUMMYFUNCTION("GOOGLETRANSLATE(B1354, ""en"", ""fa"")
"),"روتین های تناسب اندام و ورزش")</f>
        <v>روتین های تناسب اندام و ورزش</v>
      </c>
      <c r="G1354" s="1" t="str">
        <f>IFERROR(__xludf.DUMMYFUNCTION("GOOGLETRANSLATE(C1354, ""en"", ""fa"")
"),"نکاتی را برای ترکیب تمریناتی که عضلات مرکزی و مایل را هدف قرار می دهند، مانند کرانچ دوچرخه یا تخته های کناری، برای یک وسط قوی و مشخص به اشتراک بگذارید.")</f>
        <v>نکاتی را برای ترکیب تمریناتی که عضلات مرکزی و مایل را هدف قرار می دهند، مانند کرانچ دوچرخه یا تخته های کناری، برای یک وسط قوی و مشخص به اشتراک بگذارید.</v>
      </c>
      <c r="H1354" s="1"/>
      <c r="I1354" s="1"/>
      <c r="J1354" s="1"/>
      <c r="K1354" s="1"/>
      <c r="L1354" s="1"/>
      <c r="M1354" s="1"/>
      <c r="N1354" s="1"/>
      <c r="O1354" s="1"/>
      <c r="P1354" s="1"/>
      <c r="Q1354" s="1"/>
      <c r="R1354" s="1"/>
      <c r="S1354" s="1"/>
      <c r="T1354" s="1"/>
      <c r="U1354" s="1"/>
      <c r="V1354" s="1"/>
      <c r="W1354" s="1"/>
      <c r="X1354" s="1"/>
      <c r="Y1354" s="1"/>
      <c r="Z1354" s="1"/>
      <c r="AA1354" s="1"/>
      <c r="AB1354" s="1"/>
    </row>
    <row r="1355" ht="50.25" customHeight="1">
      <c r="A1355" s="12">
        <v>1351.0</v>
      </c>
      <c r="B1355" s="13" t="s">
        <v>1275</v>
      </c>
      <c r="C1355" s="14" t="s">
        <v>1362</v>
      </c>
      <c r="D1355" s="1"/>
      <c r="E1355" s="15"/>
      <c r="F1355" s="1" t="str">
        <f>IFERROR(__xludf.DUMMYFUNCTION("GOOGLETRANSLATE(B1355, ""en"", ""fa"")
"),"روتین های تناسب اندام و ورزش")</f>
        <v>روتین های تناسب اندام و ورزش</v>
      </c>
      <c r="G1355" s="1" t="str">
        <f>IFERROR(__xludf.DUMMYFUNCTION("GOOGLETRANSLATE(C1355, ""en"", ""fa"")
"),"مفهوم ترکیب تمرینات پلایومتریک، مانند پرش با جعبه یا پرش لانژ، برای بهبود قدرت، انفجار و عملکرد ورزشی را بررسی کنید.")</f>
        <v>مفهوم ترکیب تمرینات پلایومتریک، مانند پرش با جعبه یا پرش لانژ، برای بهبود قدرت، انفجار و عملکرد ورزشی را بررسی کنید.</v>
      </c>
      <c r="H1355" s="1"/>
      <c r="I1355" s="1"/>
      <c r="J1355" s="1"/>
      <c r="K1355" s="1"/>
      <c r="L1355" s="1"/>
      <c r="M1355" s="1"/>
      <c r="N1355" s="1"/>
      <c r="O1355" s="1"/>
      <c r="P1355" s="1"/>
      <c r="Q1355" s="1"/>
      <c r="R1355" s="1"/>
      <c r="S1355" s="1"/>
      <c r="T1355" s="1"/>
      <c r="U1355" s="1"/>
      <c r="V1355" s="1"/>
      <c r="W1355" s="1"/>
      <c r="X1355" s="1"/>
      <c r="Y1355" s="1"/>
      <c r="Z1355" s="1"/>
      <c r="AA1355" s="1"/>
      <c r="AB1355" s="1"/>
    </row>
    <row r="1356" ht="50.25" customHeight="1">
      <c r="A1356" s="12">
        <v>1352.0</v>
      </c>
      <c r="B1356" s="13" t="s">
        <v>1275</v>
      </c>
      <c r="C1356" s="14" t="s">
        <v>1363</v>
      </c>
      <c r="D1356" s="1"/>
      <c r="E1356" s="15"/>
      <c r="F1356" s="1" t="str">
        <f>IFERROR(__xludf.DUMMYFUNCTION("GOOGLETRANSLATE(B1356, ""en"", ""fa"")
"),"روتین های تناسب اندام و ورزش")</f>
        <v>روتین های تناسب اندام و ورزش</v>
      </c>
      <c r="G1356" s="1" t="str">
        <f>IFERROR(__xludf.DUMMYFUNCTION("GOOGLETRANSLATE(C1356, ""en"", ""fa"")
"),"در مورد نقش ترکیب تمرینات تقویت کننده تحرک ستون فقرات، مانند کشش های گربه-گاو یا پیچش ستون فقرات، برای حفظ ستون فقرات سالم و انعطاف پذیر بحث کنید.")</f>
        <v>در مورد نقش ترکیب تمرینات تقویت کننده تحرک ستون فقرات، مانند کشش های گربه-گاو یا پیچش ستون فقرات، برای حفظ ستون فقرات سالم و انعطاف پذیر بحث کنید.</v>
      </c>
      <c r="H1356" s="1"/>
      <c r="I1356" s="1"/>
      <c r="J1356" s="1"/>
      <c r="K1356" s="1"/>
      <c r="L1356" s="1"/>
      <c r="M1356" s="1"/>
      <c r="N1356" s="1"/>
      <c r="O1356" s="1"/>
      <c r="P1356" s="1"/>
      <c r="Q1356" s="1"/>
      <c r="R1356" s="1"/>
      <c r="S1356" s="1"/>
      <c r="T1356" s="1"/>
      <c r="U1356" s="1"/>
      <c r="V1356" s="1"/>
      <c r="W1356" s="1"/>
      <c r="X1356" s="1"/>
      <c r="Y1356" s="1"/>
      <c r="Z1356" s="1"/>
      <c r="AA1356" s="1"/>
      <c r="AB1356" s="1"/>
    </row>
    <row r="1357" ht="50.25" customHeight="1">
      <c r="A1357" s="12">
        <v>1353.0</v>
      </c>
      <c r="B1357" s="13" t="s">
        <v>1275</v>
      </c>
      <c r="C1357" s="14" t="s">
        <v>1364</v>
      </c>
      <c r="D1357" s="1"/>
      <c r="E1357" s="15"/>
      <c r="F1357" s="1" t="str">
        <f>IFERROR(__xludf.DUMMYFUNCTION("GOOGLETRANSLATE(B1357, ""en"", ""fa"")
"),"روتین های تناسب اندام و ورزش")</f>
        <v>روتین های تناسب اندام و ورزش</v>
      </c>
      <c r="G1357" s="1" t="str">
        <f>IFERROR(__xludf.DUMMYFUNCTION("GOOGLETRANSLATE(C1357, ""en"", ""fa"")
"),"استراتژی‌هایی را برای ترکیب تمرین‌هایی که عضلات سه سر را هدف قرار می‌دهند، مانند فرورفتگی عضلات سه سر یا سنگ شکن‌های جمجمه، برای تقویت و تقویت پشت بازوها به اشتراک بگذارید.")</f>
        <v>استراتژی‌هایی را برای ترکیب تمرین‌هایی که عضلات سه سر را هدف قرار می‌دهند، مانند فرورفتگی عضلات سه سر یا سنگ شکن‌های جمجمه، برای تقویت و تقویت پشت بازوها به اشتراک بگذارید.</v>
      </c>
      <c r="H1357" s="1"/>
      <c r="I1357" s="1"/>
      <c r="J1357" s="1"/>
      <c r="K1357" s="1"/>
      <c r="L1357" s="1"/>
      <c r="M1357" s="1"/>
      <c r="N1357" s="1"/>
      <c r="O1357" s="1"/>
      <c r="P1357" s="1"/>
      <c r="Q1357" s="1"/>
      <c r="R1357" s="1"/>
      <c r="S1357" s="1"/>
      <c r="T1357" s="1"/>
      <c r="U1357" s="1"/>
      <c r="V1357" s="1"/>
      <c r="W1357" s="1"/>
      <c r="X1357" s="1"/>
      <c r="Y1357" s="1"/>
      <c r="Z1357" s="1"/>
      <c r="AA1357" s="1"/>
      <c r="AB1357" s="1"/>
    </row>
    <row r="1358" ht="50.25" customHeight="1">
      <c r="A1358" s="12">
        <v>1354.0</v>
      </c>
      <c r="B1358" s="13" t="s">
        <v>1275</v>
      </c>
      <c r="C1358" s="14" t="s">
        <v>1365</v>
      </c>
      <c r="D1358" s="1"/>
      <c r="E1358" s="15"/>
      <c r="F1358" s="1" t="str">
        <f>IFERROR(__xludf.DUMMYFUNCTION("GOOGLETRANSLATE(B1358, ""en"", ""fa"")
"),"روتین های تناسب اندام و ورزش")</f>
        <v>روتین های تناسب اندام و ورزش</v>
      </c>
      <c r="G1358" s="1" t="str">
        <f>IFERROR(__xludf.DUMMYFUNCTION("GOOGLETRANSLATE(C1358, ""en"", ""fa"")
"),"برای بهبود عملکرد ورزشی و جلوگیری از صدمات، مزایای ترکیب تمریناتی را که عضلات زنجیره خلفی، از جمله پشت، باسن، و همسترینگ را هدف قرار می‌دهند، بررسی کنید.")</f>
        <v>برای بهبود عملکرد ورزشی و جلوگیری از صدمات، مزایای ترکیب تمریناتی را که عضلات زنجیره خلفی، از جمله پشت، باسن، و همسترینگ را هدف قرار می‌دهند، بررسی کنید.</v>
      </c>
      <c r="H1358" s="1"/>
      <c r="I1358" s="1"/>
      <c r="J1358" s="1"/>
      <c r="K1358" s="1"/>
      <c r="L1358" s="1"/>
      <c r="M1358" s="1"/>
      <c r="N1358" s="1"/>
      <c r="O1358" s="1"/>
      <c r="P1358" s="1"/>
      <c r="Q1358" s="1"/>
      <c r="R1358" s="1"/>
      <c r="S1358" s="1"/>
      <c r="T1358" s="1"/>
      <c r="U1358" s="1"/>
      <c r="V1358" s="1"/>
      <c r="W1358" s="1"/>
      <c r="X1358" s="1"/>
      <c r="Y1358" s="1"/>
      <c r="Z1358" s="1"/>
      <c r="AA1358" s="1"/>
      <c r="AB1358" s="1"/>
    </row>
    <row r="1359" ht="50.25" customHeight="1">
      <c r="A1359" s="12">
        <v>1355.0</v>
      </c>
      <c r="B1359" s="13" t="s">
        <v>1275</v>
      </c>
      <c r="C1359" s="14" t="s">
        <v>1366</v>
      </c>
      <c r="D1359" s="1"/>
      <c r="E1359" s="15"/>
      <c r="F1359" s="1" t="str">
        <f>IFERROR(__xludf.DUMMYFUNCTION("GOOGLETRANSLATE(B1359, ""en"", ""fa"")
"),"روتین های تناسب اندام و ورزش")</f>
        <v>روتین های تناسب اندام و ورزش</v>
      </c>
      <c r="G1359" s="1" t="str">
        <f>IFERROR(__xludf.DUMMYFUNCTION("GOOGLETRANSLATE(C1359, ""en"", ""fa"")
"),"در مورد تأثیر ترکیب تمریناتی که تعادل و ثبات را بهبود می بخشد، مانند ددلیفت تک پا یا تمرینات با توپ بوسو، برای تقویت حرکت عملکردی و کاهش خطر سقوط بحث کنید.")</f>
        <v>در مورد تأثیر ترکیب تمریناتی که تعادل و ثبات را بهبود می بخشد، مانند ددلیفت تک پا یا تمرینات با توپ بوسو، برای تقویت حرکت عملکردی و کاهش خطر سقوط بحث کنید.</v>
      </c>
      <c r="H1359" s="1"/>
      <c r="I1359" s="1"/>
      <c r="J1359" s="1"/>
      <c r="K1359" s="1"/>
      <c r="L1359" s="1"/>
      <c r="M1359" s="1"/>
      <c r="N1359" s="1"/>
      <c r="O1359" s="1"/>
      <c r="P1359" s="1"/>
      <c r="Q1359" s="1"/>
      <c r="R1359" s="1"/>
      <c r="S1359" s="1"/>
      <c r="T1359" s="1"/>
      <c r="U1359" s="1"/>
      <c r="V1359" s="1"/>
      <c r="W1359" s="1"/>
      <c r="X1359" s="1"/>
      <c r="Y1359" s="1"/>
      <c r="Z1359" s="1"/>
      <c r="AA1359" s="1"/>
      <c r="AB1359" s="1"/>
    </row>
    <row r="1360" ht="50.25" customHeight="1">
      <c r="A1360" s="12">
        <v>1356.0</v>
      </c>
      <c r="B1360" s="13" t="s">
        <v>1275</v>
      </c>
      <c r="C1360" s="14" t="s">
        <v>1367</v>
      </c>
      <c r="D1360" s="1"/>
      <c r="E1360" s="15"/>
      <c r="F1360" s="1" t="str">
        <f>IFERROR(__xludf.DUMMYFUNCTION("GOOGLETRANSLATE(B1360, ""en"", ""fa"")
"),"روتین های تناسب اندام و ورزش")</f>
        <v>روتین های تناسب اندام و ورزش</v>
      </c>
      <c r="G1360" s="1" t="str">
        <f>IFERROR(__xludf.DUMMYFUNCTION("GOOGLETRANSLATE(C1360, ""en"", ""fa"")
"),"برای بهبود وضعیت بدن و جلوگیری از گرد شدن شانه ها، نکاتی را برای ترکیب تمریناتی که عضلات قسمت بالایی پشت را هدف قرار می دهند، مانند ردیف کردن یا کشش، به اشتراک بگذارید.")</f>
        <v>برای بهبود وضعیت بدن و جلوگیری از گرد شدن شانه ها، نکاتی را برای ترکیب تمریناتی که عضلات قسمت بالایی پشت را هدف قرار می دهند، مانند ردیف کردن یا کشش، به اشتراک بگذارید.</v>
      </c>
      <c r="H1360" s="1"/>
      <c r="I1360" s="1"/>
      <c r="J1360" s="1"/>
      <c r="K1360" s="1"/>
      <c r="L1360" s="1"/>
      <c r="M1360" s="1"/>
      <c r="N1360" s="1"/>
      <c r="O1360" s="1"/>
      <c r="P1360" s="1"/>
      <c r="Q1360" s="1"/>
      <c r="R1360" s="1"/>
      <c r="S1360" s="1"/>
      <c r="T1360" s="1"/>
      <c r="U1360" s="1"/>
      <c r="V1360" s="1"/>
      <c r="W1360" s="1"/>
      <c r="X1360" s="1"/>
      <c r="Y1360" s="1"/>
      <c r="Z1360" s="1"/>
      <c r="AA1360" s="1"/>
      <c r="AB1360" s="1"/>
    </row>
    <row r="1361" ht="50.25" customHeight="1">
      <c r="A1361" s="12">
        <v>1357.0</v>
      </c>
      <c r="B1361" s="13" t="s">
        <v>1275</v>
      </c>
      <c r="C1361" s="14" t="s">
        <v>1368</v>
      </c>
      <c r="D1361" s="1"/>
      <c r="E1361" s="15"/>
      <c r="F1361" s="1" t="str">
        <f>IFERROR(__xludf.DUMMYFUNCTION("GOOGLETRANSLATE(B1361, ""en"", ""fa"")
"),"روتین های تناسب اندام و ورزش")</f>
        <v>روتین های تناسب اندام و ورزش</v>
      </c>
      <c r="G1361" s="1" t="str">
        <f>IFERROR(__xludf.DUMMYFUNCTION("GOOGLETRANSLATE(C1361, ""en"", ""fa"")
"),"مفهوم ترکیب تمرین‌هایی را که باعث تحرک و انعطاف‌پذیری در لگن می‌شوند، مانند دایره‌های باسن یا اسکات عمیق، برای بهبود کیفیت کلی حرکت کاوش کنید.")</f>
        <v>مفهوم ترکیب تمرین‌هایی را که باعث تحرک و انعطاف‌پذیری در لگن می‌شوند، مانند دایره‌های باسن یا اسکات عمیق، برای بهبود کیفیت کلی حرکت کاوش کنید.</v>
      </c>
      <c r="H1361" s="1"/>
      <c r="I1361" s="1"/>
      <c r="J1361" s="1"/>
      <c r="K1361" s="1"/>
      <c r="L1361" s="1"/>
      <c r="M1361" s="1"/>
      <c r="N1361" s="1"/>
      <c r="O1361" s="1"/>
      <c r="P1361" s="1"/>
      <c r="Q1361" s="1"/>
      <c r="R1361" s="1"/>
      <c r="S1361" s="1"/>
      <c r="T1361" s="1"/>
      <c r="U1361" s="1"/>
      <c r="V1361" s="1"/>
      <c r="W1361" s="1"/>
      <c r="X1361" s="1"/>
      <c r="Y1361" s="1"/>
      <c r="Z1361" s="1"/>
      <c r="AA1361" s="1"/>
      <c r="AB1361" s="1"/>
    </row>
    <row r="1362" ht="50.25" customHeight="1">
      <c r="A1362" s="12">
        <v>1358.0</v>
      </c>
      <c r="B1362" s="13" t="s">
        <v>1275</v>
      </c>
      <c r="C1362" s="14" t="s">
        <v>1369</v>
      </c>
      <c r="D1362" s="1"/>
      <c r="E1362" s="15"/>
      <c r="F1362" s="1" t="str">
        <f>IFERROR(__xludf.DUMMYFUNCTION("GOOGLETRANSLATE(B1362, ""en"", ""fa"")
"),"روتین های تناسب اندام و ورزش")</f>
        <v>روتین های تناسب اندام و ورزش</v>
      </c>
      <c r="G1362" s="1" t="str">
        <f>IFERROR(__xludf.DUMMYFUNCTION("GOOGLETRANSLATE(C1362, ""en"", ""fa"")
"),"در مورد نقش ترکیب تمریناتی که عضلات قفسه سینه را هدف قرار می دهند، مانند فشار دادن قفسه سینه یا فشار دادن قفسه سینه، برای ایجاد قدرت و تعریف در قسمت بالایی بدن بحث کنید.")</f>
        <v>در مورد نقش ترکیب تمریناتی که عضلات قفسه سینه را هدف قرار می دهند، مانند فشار دادن قفسه سینه یا فشار دادن قفسه سینه، برای ایجاد قدرت و تعریف در قسمت بالایی بدن بحث کنید.</v>
      </c>
      <c r="H1362" s="1"/>
      <c r="I1362" s="1"/>
      <c r="J1362" s="1"/>
      <c r="K1362" s="1"/>
      <c r="L1362" s="1"/>
      <c r="M1362" s="1"/>
      <c r="N1362" s="1"/>
      <c r="O1362" s="1"/>
      <c r="P1362" s="1"/>
      <c r="Q1362" s="1"/>
      <c r="R1362" s="1"/>
      <c r="S1362" s="1"/>
      <c r="T1362" s="1"/>
      <c r="U1362" s="1"/>
      <c r="V1362" s="1"/>
      <c r="W1362" s="1"/>
      <c r="X1362" s="1"/>
      <c r="Y1362" s="1"/>
      <c r="Z1362" s="1"/>
      <c r="AA1362" s="1"/>
      <c r="AB1362" s="1"/>
    </row>
    <row r="1363" ht="50.25" customHeight="1">
      <c r="A1363" s="12">
        <v>1359.0</v>
      </c>
      <c r="B1363" s="13" t="s">
        <v>1275</v>
      </c>
      <c r="C1363" s="14" t="s">
        <v>1370</v>
      </c>
      <c r="D1363" s="1"/>
      <c r="E1363" s="15"/>
      <c r="F1363" s="1" t="str">
        <f>IFERROR(__xludf.DUMMYFUNCTION("GOOGLETRANSLATE(B1363, ""en"", ""fa"")
"),"روتین های تناسب اندام و ورزش")</f>
        <v>روتین های تناسب اندام و ورزش</v>
      </c>
      <c r="G1363" s="1" t="str">
        <f>IFERROR(__xludf.DUMMYFUNCTION("GOOGLETRANSLATE(C1363, ""en"", ""fa"")
"),"استراتژی‌هایی را برای ترکیب تمرین‌هایی که عضلات کمر را هدف قرار می‌دهند، مانند نگه‌داشتن سوپرمن یا اکستنشن‌های پشت، برای بهبود قدرت مرکزی و جلوگیری از کمردرد به اشتراک بگذارید.")</f>
        <v>استراتژی‌هایی را برای ترکیب تمرین‌هایی که عضلات کمر را هدف قرار می‌دهند، مانند نگه‌داشتن سوپرمن یا اکستنشن‌های پشت، برای بهبود قدرت مرکزی و جلوگیری از کمردرد به اشتراک بگذارید.</v>
      </c>
      <c r="H1363" s="1"/>
      <c r="I1363" s="1"/>
      <c r="J1363" s="1"/>
      <c r="K1363" s="1"/>
      <c r="L1363" s="1"/>
      <c r="M1363" s="1"/>
      <c r="N1363" s="1"/>
      <c r="O1363" s="1"/>
      <c r="P1363" s="1"/>
      <c r="Q1363" s="1"/>
      <c r="R1363" s="1"/>
      <c r="S1363" s="1"/>
      <c r="T1363" s="1"/>
      <c r="U1363" s="1"/>
      <c r="V1363" s="1"/>
      <c r="W1363" s="1"/>
      <c r="X1363" s="1"/>
      <c r="Y1363" s="1"/>
      <c r="Z1363" s="1"/>
      <c r="AA1363" s="1"/>
      <c r="AB1363" s="1"/>
    </row>
    <row r="1364" ht="50.25" customHeight="1">
      <c r="A1364" s="12">
        <v>1360.0</v>
      </c>
      <c r="B1364" s="13" t="s">
        <v>1275</v>
      </c>
      <c r="C1364" s="14" t="s">
        <v>1371</v>
      </c>
      <c r="D1364" s="1"/>
      <c r="E1364" s="15"/>
      <c r="F1364" s="1" t="str">
        <f>IFERROR(__xludf.DUMMYFUNCTION("GOOGLETRANSLATE(B1364, ""en"", ""fa"")
"),"روتین های تناسب اندام و ورزش")</f>
        <v>روتین های تناسب اندام و ورزش</v>
      </c>
      <c r="G1364" s="1" t="str">
        <f>IFERROR(__xludf.DUMMYFUNCTION("GOOGLETRANSLATE(C1364, ""en"", ""fa"")
"),"فواید ترکیب تمریناتی را که عضلات پایین تنه را هدف قرار می دهند، مانند تراست باسن یا اسکات بلغاری، برای ایجاد قدرت و فرم در عضلات سرینی، چهارپایه و همسترینگ بررسی کنید.")</f>
        <v>فواید ترکیب تمریناتی را که عضلات پایین تنه را هدف قرار می دهند، مانند تراست باسن یا اسکات بلغاری، برای ایجاد قدرت و فرم در عضلات سرینی، چهارپایه و همسترینگ بررسی کنید.</v>
      </c>
      <c r="H1364" s="1"/>
      <c r="I1364" s="1"/>
      <c r="J1364" s="1"/>
      <c r="K1364" s="1"/>
      <c r="L1364" s="1"/>
      <c r="M1364" s="1"/>
      <c r="N1364" s="1"/>
      <c r="O1364" s="1"/>
      <c r="P1364" s="1"/>
      <c r="Q1364" s="1"/>
      <c r="R1364" s="1"/>
      <c r="S1364" s="1"/>
      <c r="T1364" s="1"/>
      <c r="U1364" s="1"/>
      <c r="V1364" s="1"/>
      <c r="W1364" s="1"/>
      <c r="X1364" s="1"/>
      <c r="Y1364" s="1"/>
      <c r="Z1364" s="1"/>
      <c r="AA1364" s="1"/>
      <c r="AB1364" s="1"/>
    </row>
    <row r="1365" ht="50.25" customHeight="1">
      <c r="A1365" s="12">
        <v>1361.0</v>
      </c>
      <c r="B1365" s="13" t="s">
        <v>1275</v>
      </c>
      <c r="C1365" s="14" t="s">
        <v>1372</v>
      </c>
      <c r="D1365" s="1"/>
      <c r="E1365" s="15"/>
      <c r="F1365" s="1" t="str">
        <f>IFERROR(__xludf.DUMMYFUNCTION("GOOGLETRANSLATE(B1365, ""en"", ""fa"")
"),"روتین های تناسب اندام و ورزش")</f>
        <v>روتین های تناسب اندام و ورزش</v>
      </c>
      <c r="G1365" s="1" t="str">
        <f>IFERROR(__xludf.DUMMYFUNCTION("GOOGLETRANSLATE(C1365, ""en"", ""fa"")
"),"در مورد تأثیر ترکیب تمریناتی که عضلات شانه را هدف قرار می دهند، مانند بالا آوردن جانبی یا پرس شانه، برای بهبود قدرت و قدرت بالاتنه بحث کنید.")</f>
        <v>در مورد تأثیر ترکیب تمریناتی که عضلات شانه را هدف قرار می دهند، مانند بالا آوردن جانبی یا پرس شانه، برای بهبود قدرت و قدرت بالاتنه بحث کنید.</v>
      </c>
      <c r="H1365" s="1"/>
      <c r="I1365" s="1"/>
      <c r="J1365" s="1"/>
      <c r="K1365" s="1"/>
      <c r="L1365" s="1"/>
      <c r="M1365" s="1"/>
      <c r="N1365" s="1"/>
      <c r="O1365" s="1"/>
      <c r="P1365" s="1"/>
      <c r="Q1365" s="1"/>
      <c r="R1365" s="1"/>
      <c r="S1365" s="1"/>
      <c r="T1365" s="1"/>
      <c r="U1365" s="1"/>
      <c r="V1365" s="1"/>
      <c r="W1365" s="1"/>
      <c r="X1365" s="1"/>
      <c r="Y1365" s="1"/>
      <c r="Z1365" s="1"/>
      <c r="AA1365" s="1"/>
      <c r="AB1365" s="1"/>
    </row>
    <row r="1366" ht="50.25" customHeight="1">
      <c r="A1366" s="12">
        <v>1362.0</v>
      </c>
      <c r="B1366" s="13" t="s">
        <v>1275</v>
      </c>
      <c r="C1366" s="14" t="s">
        <v>1373</v>
      </c>
      <c r="D1366" s="1"/>
      <c r="E1366" s="15"/>
      <c r="F1366" s="1" t="str">
        <f>IFERROR(__xludf.DUMMYFUNCTION("GOOGLETRANSLATE(B1366, ""en"", ""fa"")
"),"روتین های تناسب اندام و ورزش")</f>
        <v>روتین های تناسب اندام و ورزش</v>
      </c>
      <c r="G1366" s="1" t="str">
        <f>IFERROR(__xludf.DUMMYFUNCTION("GOOGLETRANSLATE(C1366, ""en"", ""fa"")
"),"نکاتی را برای ترکیب تمریناتی که عضلات دوسر بازو را هدف قرار می دهند، مانند حلقه های دوسر بازویی یا فرهای چکشی، برای ایجاد قدرت و فرم در بازوها به اشتراک بگذارید.")</f>
        <v>نکاتی را برای ترکیب تمریناتی که عضلات دوسر بازو را هدف قرار می دهند، مانند حلقه های دوسر بازویی یا فرهای چکشی، برای ایجاد قدرت و فرم در بازوها به اشتراک بگذارید.</v>
      </c>
      <c r="H1366" s="1"/>
      <c r="I1366" s="1"/>
      <c r="J1366" s="1"/>
      <c r="K1366" s="1"/>
      <c r="L1366" s="1"/>
      <c r="M1366" s="1"/>
      <c r="N1366" s="1"/>
      <c r="O1366" s="1"/>
      <c r="P1366" s="1"/>
      <c r="Q1366" s="1"/>
      <c r="R1366" s="1"/>
      <c r="S1366" s="1"/>
      <c r="T1366" s="1"/>
      <c r="U1366" s="1"/>
      <c r="V1366" s="1"/>
      <c r="W1366" s="1"/>
      <c r="X1366" s="1"/>
      <c r="Y1366" s="1"/>
      <c r="Z1366" s="1"/>
      <c r="AA1366" s="1"/>
      <c r="AB1366" s="1"/>
    </row>
    <row r="1367" ht="50.25" customHeight="1">
      <c r="A1367" s="12">
        <v>1363.0</v>
      </c>
      <c r="B1367" s="13" t="s">
        <v>1275</v>
      </c>
      <c r="C1367" s="14" t="s">
        <v>1374</v>
      </c>
      <c r="D1367" s="1"/>
      <c r="E1367" s="15"/>
      <c r="F1367" s="1" t="str">
        <f>IFERROR(__xludf.DUMMYFUNCTION("GOOGLETRANSLATE(B1367, ""en"", ""fa"")
"),"روتین های تناسب اندام و ورزش")</f>
        <v>روتین های تناسب اندام و ورزش</v>
      </c>
      <c r="G1367" s="1" t="str">
        <f>IFERROR(__xludf.DUMMYFUNCTION("GOOGLETRANSLATE(C1367, ""en"", ""fa"")
"),"مفهوم ترکیب تمریناتی را که ثبات و حس عمقی را بهبود می بخشد، مانند تمرینات بوسو با توپ یا تعادل تک پا، برای افزایش عملکرد ورزشی و کاهش خطر آسیب، بررسی کنید.")</f>
        <v>مفهوم ترکیب تمریناتی را که ثبات و حس عمقی را بهبود می بخشد، مانند تمرینات بوسو با توپ یا تعادل تک پا، برای افزایش عملکرد ورزشی و کاهش خطر آسیب، بررسی کنید.</v>
      </c>
      <c r="H1367" s="1"/>
      <c r="I1367" s="1"/>
      <c r="J1367" s="1"/>
      <c r="K1367" s="1"/>
      <c r="L1367" s="1"/>
      <c r="M1367" s="1"/>
      <c r="N1367" s="1"/>
      <c r="O1367" s="1"/>
      <c r="P1367" s="1"/>
      <c r="Q1367" s="1"/>
      <c r="R1367" s="1"/>
      <c r="S1367" s="1"/>
      <c r="T1367" s="1"/>
      <c r="U1367" s="1"/>
      <c r="V1367" s="1"/>
      <c r="W1367" s="1"/>
      <c r="X1367" s="1"/>
      <c r="Y1367" s="1"/>
      <c r="Z1367" s="1"/>
      <c r="AA1367" s="1"/>
      <c r="AB1367" s="1"/>
    </row>
    <row r="1368" ht="50.25" customHeight="1">
      <c r="A1368" s="12">
        <v>1364.0</v>
      </c>
      <c r="B1368" s="13" t="s">
        <v>1275</v>
      </c>
      <c r="C1368" s="14" t="s">
        <v>1375</v>
      </c>
      <c r="D1368" s="1"/>
      <c r="E1368" s="15"/>
      <c r="F1368" s="1" t="str">
        <f>IFERROR(__xludf.DUMMYFUNCTION("GOOGLETRANSLATE(B1368, ""en"", ""fa"")
"),"روتین های تناسب اندام و ورزش")</f>
        <v>روتین های تناسب اندام و ورزش</v>
      </c>
      <c r="G1368" s="1" t="str">
        <f>IFERROR(__xludf.DUMMYFUNCTION("GOOGLETRANSLATE(C1368, ""en"", ""fa"")
"),"در مورد نقش ترکیب تمریناتی که عضلات هسته را هدف قرار می دهند، مانند تخته یا کوهنوردان، برای بهبود ثبات، تعادل و وضعیت کلی صحبت کنید.")</f>
        <v>در مورد نقش ترکیب تمریناتی که عضلات هسته را هدف قرار می دهند، مانند تخته یا کوهنوردان، برای بهبود ثبات، تعادل و وضعیت کلی صحبت کنید.</v>
      </c>
      <c r="H1368" s="1"/>
      <c r="I1368" s="1"/>
      <c r="J1368" s="1"/>
      <c r="K1368" s="1"/>
      <c r="L1368" s="1"/>
      <c r="M1368" s="1"/>
      <c r="N1368" s="1"/>
      <c r="O1368" s="1"/>
      <c r="P1368" s="1"/>
      <c r="Q1368" s="1"/>
      <c r="R1368" s="1"/>
      <c r="S1368" s="1"/>
      <c r="T1368" s="1"/>
      <c r="U1368" s="1"/>
      <c r="V1368" s="1"/>
      <c r="W1368" s="1"/>
      <c r="X1368" s="1"/>
      <c r="Y1368" s="1"/>
      <c r="Z1368" s="1"/>
      <c r="AA1368" s="1"/>
      <c r="AB1368" s="1"/>
    </row>
    <row r="1369" ht="50.25" customHeight="1">
      <c r="A1369" s="12">
        <v>1365.0</v>
      </c>
      <c r="B1369" s="13" t="s">
        <v>1275</v>
      </c>
      <c r="C1369" s="14" t="s">
        <v>1376</v>
      </c>
      <c r="D1369" s="1"/>
      <c r="E1369" s="15"/>
      <c r="F1369" s="1" t="str">
        <f>IFERROR(__xludf.DUMMYFUNCTION("GOOGLETRANSLATE(B1369, ""en"", ""fa"")
"),"روتین های تناسب اندام و ورزش")</f>
        <v>روتین های تناسب اندام و ورزش</v>
      </c>
      <c r="G1369" s="1" t="str">
        <f>IFERROR(__xludf.DUMMYFUNCTION("GOOGLETRANSLATE(C1369, ""en"", ""fa"")
"),"استراتژی‌هایی را برای ترکیب تمرین‌هایی که عضلات پاها را هدف قرار می‌دهند، مانند اسکات، لانژ یا بالا بردن ساق پا، به اشتراک بگذارید تا قدرت و لحن پایین‌تنه ایجاد شود.")</f>
        <v>استراتژی‌هایی را برای ترکیب تمرین‌هایی که عضلات پاها را هدف قرار می‌دهند، مانند اسکات، لانژ یا بالا بردن ساق پا، به اشتراک بگذارید تا قدرت و لحن پایین‌تنه ایجاد شود.</v>
      </c>
      <c r="H1369" s="1"/>
      <c r="I1369" s="1"/>
      <c r="J1369" s="1"/>
      <c r="K1369" s="1"/>
      <c r="L1369" s="1"/>
      <c r="M1369" s="1"/>
      <c r="N1369" s="1"/>
      <c r="O1369" s="1"/>
      <c r="P1369" s="1"/>
      <c r="Q1369" s="1"/>
      <c r="R1369" s="1"/>
      <c r="S1369" s="1"/>
      <c r="T1369" s="1"/>
      <c r="U1369" s="1"/>
      <c r="V1369" s="1"/>
      <c r="W1369" s="1"/>
      <c r="X1369" s="1"/>
      <c r="Y1369" s="1"/>
      <c r="Z1369" s="1"/>
      <c r="AA1369" s="1"/>
      <c r="AB1369" s="1"/>
    </row>
    <row r="1370" ht="50.25" customHeight="1">
      <c r="A1370" s="12">
        <v>1366.0</v>
      </c>
      <c r="B1370" s="13" t="s">
        <v>1275</v>
      </c>
      <c r="C1370" s="14" t="s">
        <v>1377</v>
      </c>
      <c r="D1370" s="1"/>
      <c r="E1370" s="15"/>
      <c r="F1370" s="1" t="str">
        <f>IFERROR(__xludf.DUMMYFUNCTION("GOOGLETRANSLATE(B1370, ""en"", ""fa"")
"),"روتین های تناسب اندام و ورزش")</f>
        <v>روتین های تناسب اندام و ورزش</v>
      </c>
      <c r="G1370" s="1" t="str">
        <f>IFERROR(__xludf.DUMMYFUNCTION("GOOGLETRANSLATE(C1370, ""en"", ""fa"")
"),"مزایای استفاده از تمریناتی را که عضلات پشت را هدف قرار می‌دهند، مانند ردیف‌ها یا کشش‌های لت، برای بهبود وضعیت بدن و جلوگیری از درد بالای کمر بررسی کنید.")</f>
        <v>مزایای استفاده از تمریناتی را که عضلات پشت را هدف قرار می‌دهند، مانند ردیف‌ها یا کشش‌های لت، برای بهبود وضعیت بدن و جلوگیری از درد بالای کمر بررسی کنید.</v>
      </c>
      <c r="H1370" s="1"/>
      <c r="I1370" s="1"/>
      <c r="J1370" s="1"/>
      <c r="K1370" s="1"/>
      <c r="L1370" s="1"/>
      <c r="M1370" s="1"/>
      <c r="N1370" s="1"/>
      <c r="O1370" s="1"/>
      <c r="P1370" s="1"/>
      <c r="Q1370" s="1"/>
      <c r="R1370" s="1"/>
      <c r="S1370" s="1"/>
      <c r="T1370" s="1"/>
      <c r="U1370" s="1"/>
      <c r="V1370" s="1"/>
      <c r="W1370" s="1"/>
      <c r="X1370" s="1"/>
      <c r="Y1370" s="1"/>
      <c r="Z1370" s="1"/>
      <c r="AA1370" s="1"/>
      <c r="AB1370" s="1"/>
    </row>
    <row r="1371" ht="50.25" customHeight="1">
      <c r="A1371" s="12">
        <v>1367.0</v>
      </c>
      <c r="B1371" s="13" t="s">
        <v>1275</v>
      </c>
      <c r="C1371" s="14" t="s">
        <v>1378</v>
      </c>
      <c r="D1371" s="1"/>
      <c r="E1371" s="15"/>
      <c r="F1371" s="1" t="str">
        <f>IFERROR(__xludf.DUMMYFUNCTION("GOOGLETRANSLATE(B1371, ""en"", ""fa"")
"),"روتین های تناسب اندام و ورزش")</f>
        <v>روتین های تناسب اندام و ورزش</v>
      </c>
      <c r="G1371" s="1" t="str">
        <f>IFERROR(__xludf.DUMMYFUNCTION("GOOGLETRANSLATE(C1371, ""en"", ""fa"")
"),"در مورد تاثیر ترکیب تمریناتی که باعث تحرک و انعطاف پذیری در شانه ها می شود، مانند دایره بازو یا کشش شانه، برای بهبود حرکت کلی و کاهش خطر آسیب ها بحث کنید.")</f>
        <v>در مورد تاثیر ترکیب تمریناتی که باعث تحرک و انعطاف پذیری در شانه ها می شود، مانند دایره بازو یا کشش شانه، برای بهبود حرکت کلی و کاهش خطر آسیب ها بحث کنید.</v>
      </c>
      <c r="H1371" s="1"/>
      <c r="I1371" s="1"/>
      <c r="J1371" s="1"/>
      <c r="K1371" s="1"/>
      <c r="L1371" s="1"/>
      <c r="M1371" s="1"/>
      <c r="N1371" s="1"/>
      <c r="O1371" s="1"/>
      <c r="P1371" s="1"/>
      <c r="Q1371" s="1"/>
      <c r="R1371" s="1"/>
      <c r="S1371" s="1"/>
      <c r="T1371" s="1"/>
      <c r="U1371" s="1"/>
      <c r="V1371" s="1"/>
      <c r="W1371" s="1"/>
      <c r="X1371" s="1"/>
      <c r="Y1371" s="1"/>
      <c r="Z1371" s="1"/>
      <c r="AA1371" s="1"/>
      <c r="AB1371" s="1"/>
    </row>
    <row r="1372" ht="50.25" customHeight="1">
      <c r="A1372" s="12">
        <v>1368.0</v>
      </c>
      <c r="B1372" s="13" t="s">
        <v>1275</v>
      </c>
      <c r="C1372" s="14" t="s">
        <v>1379</v>
      </c>
      <c r="D1372" s="1"/>
      <c r="E1372" s="15"/>
      <c r="F1372" s="1" t="str">
        <f>IFERROR(__xludf.DUMMYFUNCTION("GOOGLETRANSLATE(B1372, ""en"", ""fa"")
"),"روتین های تناسب اندام و ورزش")</f>
        <v>روتین های تناسب اندام و ورزش</v>
      </c>
      <c r="G1372" s="1" t="str">
        <f>IFERROR(__xludf.DUMMYFUNCTION("GOOGLETRANSLATE(C1372, ""en"", ""fa"")
"),"نکاتی را برای ترکیب تمریناتی که عضلات سه سر را هدف قرار می دهند، مانند شیب سه سر بازو یا اکستنشن بالای سر، به اشتراک بگذارید تا قدرت و وضوح در پشت بازوها ایجاد شود.")</f>
        <v>نکاتی را برای ترکیب تمریناتی که عضلات سه سر را هدف قرار می دهند، مانند شیب سه سر بازو یا اکستنشن بالای سر، به اشتراک بگذارید تا قدرت و وضوح در پشت بازوها ایجاد شود.</v>
      </c>
      <c r="H1372" s="1"/>
      <c r="I1372" s="1"/>
      <c r="J1372" s="1"/>
      <c r="K1372" s="1"/>
      <c r="L1372" s="1"/>
      <c r="M1372" s="1"/>
      <c r="N1372" s="1"/>
      <c r="O1372" s="1"/>
      <c r="P1372" s="1"/>
      <c r="Q1372" s="1"/>
      <c r="R1372" s="1"/>
      <c r="S1372" s="1"/>
      <c r="T1372" s="1"/>
      <c r="U1372" s="1"/>
      <c r="V1372" s="1"/>
      <c r="W1372" s="1"/>
      <c r="X1372" s="1"/>
      <c r="Y1372" s="1"/>
      <c r="Z1372" s="1"/>
      <c r="AA1372" s="1"/>
      <c r="AB1372" s="1"/>
    </row>
    <row r="1373" ht="50.25" customHeight="1">
      <c r="A1373" s="12">
        <v>1369.0</v>
      </c>
      <c r="B1373" s="13" t="s">
        <v>1275</v>
      </c>
      <c r="C1373" s="14" t="s">
        <v>1380</v>
      </c>
      <c r="D1373" s="1"/>
      <c r="E1373" s="15"/>
      <c r="F1373" s="1" t="str">
        <f>IFERROR(__xludf.DUMMYFUNCTION("GOOGLETRANSLATE(B1373, ""en"", ""fa"")
"),"روتین های تناسب اندام و ورزش")</f>
        <v>روتین های تناسب اندام و ورزش</v>
      </c>
      <c r="G1373" s="1" t="str">
        <f>IFERROR(__xludf.DUMMYFUNCTION("GOOGLETRANSLATE(C1373, ""en"", ""fa"")
"),"مفهوم ترکیب تمریناتی را که قدرت انفجاری را بهبود می بخشد، مانند پرتاب توپ پزشکی یا فشارهای پلیومتریک، برای افزایش عملکرد ورزشی، بررسی کنید.")</f>
        <v>مفهوم ترکیب تمریناتی را که قدرت انفجاری را بهبود می بخشد، مانند پرتاب توپ پزشکی یا فشارهای پلیومتریک، برای افزایش عملکرد ورزشی، بررسی کنید.</v>
      </c>
      <c r="H1373" s="1"/>
      <c r="I1373" s="1"/>
      <c r="J1373" s="1"/>
      <c r="K1373" s="1"/>
      <c r="L1373" s="1"/>
      <c r="M1373" s="1"/>
      <c r="N1373" s="1"/>
      <c r="O1373" s="1"/>
      <c r="P1373" s="1"/>
      <c r="Q1373" s="1"/>
      <c r="R1373" s="1"/>
      <c r="S1373" s="1"/>
      <c r="T1373" s="1"/>
      <c r="U1373" s="1"/>
      <c r="V1373" s="1"/>
      <c r="W1373" s="1"/>
      <c r="X1373" s="1"/>
      <c r="Y1373" s="1"/>
      <c r="Z1373" s="1"/>
      <c r="AA1373" s="1"/>
      <c r="AB1373" s="1"/>
    </row>
    <row r="1374" ht="50.25" customHeight="1">
      <c r="A1374" s="12">
        <v>1370.0</v>
      </c>
      <c r="B1374" s="13" t="s">
        <v>1275</v>
      </c>
      <c r="C1374" s="14" t="s">
        <v>1381</v>
      </c>
      <c r="D1374" s="1"/>
      <c r="E1374" s="15"/>
      <c r="F1374" s="1" t="str">
        <f>IFERROR(__xludf.DUMMYFUNCTION("GOOGLETRANSLATE(B1374, ""en"", ""fa"")
"),"روتین های تناسب اندام و ورزش")</f>
        <v>روتین های تناسب اندام و ورزش</v>
      </c>
      <c r="G1374" s="1" t="str">
        <f>IFERROR(__xludf.DUMMYFUNCTION("GOOGLETRANSLATE(C1374, ""en"", ""fa"")
"),"در مورد نقش ترکیب تمریناتی که عضلات باسن را هدف قرار می دهند، مانند تراست باسن یا پل های باسن، برای ایجاد قدرت و شکل در باسن بحث کنید.")</f>
        <v>در مورد نقش ترکیب تمریناتی که عضلات باسن را هدف قرار می دهند، مانند تراست باسن یا پل های باسن، برای ایجاد قدرت و شکل در باسن بحث کنید.</v>
      </c>
      <c r="H1374" s="1"/>
      <c r="I1374" s="1"/>
      <c r="J1374" s="1"/>
      <c r="K1374" s="1"/>
      <c r="L1374" s="1"/>
      <c r="M1374" s="1"/>
      <c r="N1374" s="1"/>
      <c r="O1374" s="1"/>
      <c r="P1374" s="1"/>
      <c r="Q1374" s="1"/>
      <c r="R1374" s="1"/>
      <c r="S1374" s="1"/>
      <c r="T1374" s="1"/>
      <c r="U1374" s="1"/>
      <c r="V1374" s="1"/>
      <c r="W1374" s="1"/>
      <c r="X1374" s="1"/>
      <c r="Y1374" s="1"/>
      <c r="Z1374" s="1"/>
      <c r="AA1374" s="1"/>
      <c r="AB1374" s="1"/>
    </row>
    <row r="1375" ht="50.25" customHeight="1">
      <c r="A1375" s="12">
        <v>1371.0</v>
      </c>
      <c r="B1375" s="13" t="s">
        <v>1275</v>
      </c>
      <c r="C1375" s="14" t="s">
        <v>1382</v>
      </c>
      <c r="D1375" s="1"/>
      <c r="E1375" s="15"/>
      <c r="F1375" s="1" t="str">
        <f>IFERROR(__xludf.DUMMYFUNCTION("GOOGLETRANSLATE(B1375, ""en"", ""fa"")
"),"روتین های تناسب اندام و ورزش")</f>
        <v>روتین های تناسب اندام و ورزش</v>
      </c>
      <c r="G1375" s="1" t="str">
        <f>IFERROR(__xludf.DUMMYFUNCTION("GOOGLETRANSLATE(C1375, ""en"", ""fa"")
"),"استراتژی‌هایی را برای ترکیب تمرین‌هایی که عضلات هسته را هدف قرار می‌دهند، مانند چرخش روسی یا کرانچ دوچرخه، برای تقویت و تقویت عضلات شکم به اشتراک بگذارید.")</f>
        <v>استراتژی‌هایی را برای ترکیب تمرین‌هایی که عضلات هسته را هدف قرار می‌دهند، مانند چرخش روسی یا کرانچ دوچرخه، برای تقویت و تقویت عضلات شکم به اشتراک بگذارید.</v>
      </c>
      <c r="H1375" s="1"/>
      <c r="I1375" s="1"/>
      <c r="J1375" s="1"/>
      <c r="K1375" s="1"/>
      <c r="L1375" s="1"/>
      <c r="M1375" s="1"/>
      <c r="N1375" s="1"/>
      <c r="O1375" s="1"/>
      <c r="P1375" s="1"/>
      <c r="Q1375" s="1"/>
      <c r="R1375" s="1"/>
      <c r="S1375" s="1"/>
      <c r="T1375" s="1"/>
      <c r="U1375" s="1"/>
      <c r="V1375" s="1"/>
      <c r="W1375" s="1"/>
      <c r="X1375" s="1"/>
      <c r="Y1375" s="1"/>
      <c r="Z1375" s="1"/>
      <c r="AA1375" s="1"/>
      <c r="AB1375" s="1"/>
    </row>
    <row r="1376" ht="50.25" customHeight="1">
      <c r="A1376" s="12">
        <v>1372.0</v>
      </c>
      <c r="B1376" s="13" t="s">
        <v>1275</v>
      </c>
      <c r="C1376" s="14" t="s">
        <v>1383</v>
      </c>
      <c r="D1376" s="1"/>
      <c r="E1376" s="15"/>
      <c r="F1376" s="1" t="str">
        <f>IFERROR(__xludf.DUMMYFUNCTION("GOOGLETRANSLATE(B1376, ""en"", ""fa"")
"),"روتین های تناسب اندام و ورزش")</f>
        <v>روتین های تناسب اندام و ورزش</v>
      </c>
      <c r="G1376" s="1" t="str">
        <f>IFERROR(__xludf.DUMMYFUNCTION("GOOGLETRANSLATE(C1376, ""en"", ""fa"")
"),"مزایای ترکیب تمریناتی را که باعث بهبود انعطاف پذیری و تحرک در لگن می شوند، مانند کشش های خم کننده لگن یا اسکات عمیق، برای افزایش کیفیت کلی حرکت بررسی کنید.")</f>
        <v>مزایای ترکیب تمریناتی را که باعث بهبود انعطاف پذیری و تحرک در لگن می شوند، مانند کشش های خم کننده لگن یا اسکات عمیق، برای افزایش کیفیت کلی حرکت بررسی کنید.</v>
      </c>
      <c r="H1376" s="1"/>
      <c r="I1376" s="1"/>
      <c r="J1376" s="1"/>
      <c r="K1376" s="1"/>
      <c r="L1376" s="1"/>
      <c r="M1376" s="1"/>
      <c r="N1376" s="1"/>
      <c r="O1376" s="1"/>
      <c r="P1376" s="1"/>
      <c r="Q1376" s="1"/>
      <c r="R1376" s="1"/>
      <c r="S1376" s="1"/>
      <c r="T1376" s="1"/>
      <c r="U1376" s="1"/>
      <c r="V1376" s="1"/>
      <c r="W1376" s="1"/>
      <c r="X1376" s="1"/>
      <c r="Y1376" s="1"/>
      <c r="Z1376" s="1"/>
      <c r="AA1376" s="1"/>
      <c r="AB1376" s="1"/>
    </row>
    <row r="1377" ht="50.25" customHeight="1">
      <c r="A1377" s="12">
        <v>1373.0</v>
      </c>
      <c r="B1377" s="13" t="s">
        <v>1275</v>
      </c>
      <c r="C1377" s="14" t="s">
        <v>1384</v>
      </c>
      <c r="D1377" s="1"/>
      <c r="E1377" s="15"/>
      <c r="F1377" s="1" t="str">
        <f>IFERROR(__xludf.DUMMYFUNCTION("GOOGLETRANSLATE(B1377, ""en"", ""fa"")
"),"روتین های تناسب اندام و ورزش")</f>
        <v>روتین های تناسب اندام و ورزش</v>
      </c>
      <c r="G1377" s="1" t="str">
        <f>IFERROR(__xludf.DUMMYFUNCTION("GOOGLETRANSLATE(C1377, ""en"", ""fa"")
"),"در مورد تأثیر ترکیب تمریناتی که عضلات قفسه سینه را هدف قرار می دهند، مانند فشار دادن یا مگس سینه، برای ایجاد قدرت و تعریف در قسمت بالایی بدن بحث کنید.")</f>
        <v>در مورد تأثیر ترکیب تمریناتی که عضلات قفسه سینه را هدف قرار می دهند، مانند فشار دادن یا مگس سینه، برای ایجاد قدرت و تعریف در قسمت بالایی بدن بحث کنید.</v>
      </c>
      <c r="H1377" s="1"/>
      <c r="I1377" s="1"/>
      <c r="J1377" s="1"/>
      <c r="K1377" s="1"/>
      <c r="L1377" s="1"/>
      <c r="M1377" s="1"/>
      <c r="N1377" s="1"/>
      <c r="O1377" s="1"/>
      <c r="P1377" s="1"/>
      <c r="Q1377" s="1"/>
      <c r="R1377" s="1"/>
      <c r="S1377" s="1"/>
      <c r="T1377" s="1"/>
      <c r="U1377" s="1"/>
      <c r="V1377" s="1"/>
      <c r="W1377" s="1"/>
      <c r="X1377" s="1"/>
      <c r="Y1377" s="1"/>
      <c r="Z1377" s="1"/>
      <c r="AA1377" s="1"/>
      <c r="AB1377" s="1"/>
    </row>
    <row r="1378" ht="50.25" customHeight="1">
      <c r="A1378" s="12">
        <v>1374.0</v>
      </c>
      <c r="B1378" s="13" t="s">
        <v>1275</v>
      </c>
      <c r="C1378" s="14" t="s">
        <v>1385</v>
      </c>
      <c r="D1378" s="1"/>
      <c r="E1378" s="15"/>
      <c r="F1378" s="1" t="str">
        <f>IFERROR(__xludf.DUMMYFUNCTION("GOOGLETRANSLATE(B1378, ""en"", ""fa"")
"),"روتین های تناسب اندام و ورزش")</f>
        <v>روتین های تناسب اندام و ورزش</v>
      </c>
      <c r="G1378" s="1" t="str">
        <f>IFERROR(__xludf.DUMMYFUNCTION("GOOGLETRANSLATE(C1378, ""en"", ""fa"")
"),"نکاتی را برای ترکیب تمریناتی که عضلات ساعد را هدف قرار می‌دهند، مانند حلقه‌های مچ دست یا حمل‌کننده‌های کشاورز، برای بهبود قدرت گرفتن و ثبات کلی بازو به اشتراک بگذارید.")</f>
        <v>نکاتی را برای ترکیب تمریناتی که عضلات ساعد را هدف قرار می‌دهند، مانند حلقه‌های مچ دست یا حمل‌کننده‌های کشاورز، برای بهبود قدرت گرفتن و ثبات کلی بازو به اشتراک بگذارید.</v>
      </c>
      <c r="H1378" s="1"/>
      <c r="I1378" s="1"/>
      <c r="J1378" s="1"/>
      <c r="K1378" s="1"/>
      <c r="L1378" s="1"/>
      <c r="M1378" s="1"/>
      <c r="N1378" s="1"/>
      <c r="O1378" s="1"/>
      <c r="P1378" s="1"/>
      <c r="Q1378" s="1"/>
      <c r="R1378" s="1"/>
      <c r="S1378" s="1"/>
      <c r="T1378" s="1"/>
      <c r="U1378" s="1"/>
      <c r="V1378" s="1"/>
      <c r="W1378" s="1"/>
      <c r="X1378" s="1"/>
      <c r="Y1378" s="1"/>
      <c r="Z1378" s="1"/>
      <c r="AA1378" s="1"/>
      <c r="AB1378" s="1"/>
    </row>
    <row r="1379" ht="50.25" customHeight="1">
      <c r="A1379" s="12">
        <v>1375.0</v>
      </c>
      <c r="B1379" s="13" t="s">
        <v>1275</v>
      </c>
      <c r="C1379" s="14" t="s">
        <v>1386</v>
      </c>
      <c r="D1379" s="1"/>
      <c r="E1379" s="15"/>
      <c r="F1379" s="1" t="str">
        <f>IFERROR(__xludf.DUMMYFUNCTION("GOOGLETRANSLATE(B1379, ""en"", ""fa"")
"),"روتین های تناسب اندام و ورزش")</f>
        <v>روتین های تناسب اندام و ورزش</v>
      </c>
      <c r="G1379" s="1" t="str">
        <f>IFERROR(__xludf.DUMMYFUNCTION("GOOGLETRANSLATE(C1379, ""en"", ""fa"")
"),"مفهوم ترکیب تمرین‌هایی را که تعادل و ثبات را بهبود می‌بخشد، مانند ددلیفت تک پا یا تمرینات پایداری با توپ، برای تقویت حرکت عملکردی و کاهش خطر سقوط، بررسی کنید.")</f>
        <v>مفهوم ترکیب تمرین‌هایی را که تعادل و ثبات را بهبود می‌بخشد، مانند ددلیفت تک پا یا تمرینات پایداری با توپ، برای تقویت حرکت عملکردی و کاهش خطر سقوط، بررسی کنید.</v>
      </c>
      <c r="H1379" s="1"/>
      <c r="I1379" s="1"/>
      <c r="J1379" s="1"/>
      <c r="K1379" s="1"/>
      <c r="L1379" s="1"/>
      <c r="M1379" s="1"/>
      <c r="N1379" s="1"/>
      <c r="O1379" s="1"/>
      <c r="P1379" s="1"/>
      <c r="Q1379" s="1"/>
      <c r="R1379" s="1"/>
      <c r="S1379" s="1"/>
      <c r="T1379" s="1"/>
      <c r="U1379" s="1"/>
      <c r="V1379" s="1"/>
      <c r="W1379" s="1"/>
      <c r="X1379" s="1"/>
      <c r="Y1379" s="1"/>
      <c r="Z1379" s="1"/>
      <c r="AA1379" s="1"/>
      <c r="AB1379" s="1"/>
    </row>
    <row r="1380" ht="50.25" customHeight="1">
      <c r="A1380" s="12">
        <v>1376.0</v>
      </c>
      <c r="B1380" s="13" t="s">
        <v>1275</v>
      </c>
      <c r="C1380" s="14" t="s">
        <v>1387</v>
      </c>
      <c r="D1380" s="1"/>
      <c r="E1380" s="15"/>
      <c r="F1380" s="1" t="str">
        <f>IFERROR(__xludf.DUMMYFUNCTION("GOOGLETRANSLATE(B1380, ""en"", ""fa"")
"),"روتین های تناسب اندام و ورزش")</f>
        <v>روتین های تناسب اندام و ورزش</v>
      </c>
      <c r="G1380" s="1" t="str">
        <f>IFERROR(__xludf.DUMMYFUNCTION("GOOGLETRANSLATE(C1380, ""en"", ""fa"")
"),"در مورد نقش ترکیب تمریناتی که عضلات قسمت بالایی پشت را هدف قرار می دهند، مانند ردیف کردن یا کشش، برای بهبود وضعیت بدن و جلوگیری از گرد شدن شانه ها بحث کنید.")</f>
        <v>در مورد نقش ترکیب تمریناتی که عضلات قسمت بالایی پشت را هدف قرار می دهند، مانند ردیف کردن یا کشش، برای بهبود وضعیت بدن و جلوگیری از گرد شدن شانه ها بحث کنید.</v>
      </c>
      <c r="H1380" s="1"/>
      <c r="I1380" s="1"/>
      <c r="J1380" s="1"/>
      <c r="K1380" s="1"/>
      <c r="L1380" s="1"/>
      <c r="M1380" s="1"/>
      <c r="N1380" s="1"/>
      <c r="O1380" s="1"/>
      <c r="P1380" s="1"/>
      <c r="Q1380" s="1"/>
      <c r="R1380" s="1"/>
      <c r="S1380" s="1"/>
      <c r="T1380" s="1"/>
      <c r="U1380" s="1"/>
      <c r="V1380" s="1"/>
      <c r="W1380" s="1"/>
      <c r="X1380" s="1"/>
      <c r="Y1380" s="1"/>
      <c r="Z1380" s="1"/>
      <c r="AA1380" s="1"/>
      <c r="AB1380" s="1"/>
    </row>
    <row r="1381" ht="50.25" customHeight="1">
      <c r="A1381" s="12">
        <v>1377.0</v>
      </c>
      <c r="B1381" s="13" t="s">
        <v>1275</v>
      </c>
      <c r="C1381" s="14" t="s">
        <v>1388</v>
      </c>
      <c r="D1381" s="1"/>
      <c r="E1381" s="15"/>
      <c r="F1381" s="1" t="str">
        <f>IFERROR(__xludf.DUMMYFUNCTION("GOOGLETRANSLATE(B1381, ""en"", ""fa"")
"),"روتین های تناسب اندام و ورزش")</f>
        <v>روتین های تناسب اندام و ورزش</v>
      </c>
      <c r="G1381" s="1" t="str">
        <f>IFERROR(__xludf.DUMMYFUNCTION("GOOGLETRANSLATE(C1381, ""en"", ""fa"")
"),"در مورد مزایای ترکیب تمرینات تمرینی دایره ای که تمرینات قلبی عروقی، تمرینات قدرتی، و تمرینات انعطاف پذیری را برای یک روال تناسب اندام ترکیب می کند، بحث کنید.")</f>
        <v>در مورد مزایای ترکیب تمرینات تمرینی دایره ای که تمرینات قلبی عروقی، تمرینات قدرتی، و تمرینات انعطاف پذیری را برای یک روال تناسب اندام ترکیب می کند، بحث کنید.</v>
      </c>
      <c r="H1381" s="1"/>
      <c r="I1381" s="1"/>
      <c r="J1381" s="1"/>
      <c r="K1381" s="1"/>
      <c r="L1381" s="1"/>
      <c r="M1381" s="1"/>
      <c r="N1381" s="1"/>
      <c r="O1381" s="1"/>
      <c r="P1381" s="1"/>
      <c r="Q1381" s="1"/>
      <c r="R1381" s="1"/>
      <c r="S1381" s="1"/>
      <c r="T1381" s="1"/>
      <c r="U1381" s="1"/>
      <c r="V1381" s="1"/>
      <c r="W1381" s="1"/>
      <c r="X1381" s="1"/>
      <c r="Y1381" s="1"/>
      <c r="Z1381" s="1"/>
      <c r="AA1381" s="1"/>
      <c r="AB1381" s="1"/>
    </row>
    <row r="1382" ht="50.25" customHeight="1">
      <c r="A1382" s="12">
        <v>1378.0</v>
      </c>
      <c r="B1382" s="13" t="s">
        <v>1275</v>
      </c>
      <c r="C1382" s="14" t="s">
        <v>1389</v>
      </c>
      <c r="D1382" s="1"/>
      <c r="E1382" s="15"/>
      <c r="F1382" s="1" t="str">
        <f>IFERROR(__xludf.DUMMYFUNCTION("GOOGLETRANSLATE(B1382, ""en"", ""fa"")
"),"روتین های تناسب اندام و ورزش")</f>
        <v>روتین های تناسب اندام و ورزش</v>
      </c>
      <c r="G1382" s="1" t="str">
        <f>IFERROR(__xludf.DUMMYFUNCTION("GOOGLETRANSLATE(C1382, ""en"", ""fa"")
"),"نکاتی را برای ترکیب تمرینات فوم رولینگ برای کاهش تنش عضلانی و بهبود ریکاوری عضلات پس از تمرین به اشتراک بگذارید.")</f>
        <v>نکاتی را برای ترکیب تمرینات فوم رولینگ برای کاهش تنش عضلانی و بهبود ریکاوری عضلات پس از تمرین به اشتراک بگذارید.</v>
      </c>
      <c r="H1382" s="1"/>
      <c r="I1382" s="1"/>
      <c r="J1382" s="1"/>
      <c r="K1382" s="1"/>
      <c r="L1382" s="1"/>
      <c r="M1382" s="1"/>
      <c r="N1382" s="1"/>
      <c r="O1382" s="1"/>
      <c r="P1382" s="1"/>
      <c r="Q1382" s="1"/>
      <c r="R1382" s="1"/>
      <c r="S1382" s="1"/>
      <c r="T1382" s="1"/>
      <c r="U1382" s="1"/>
      <c r="V1382" s="1"/>
      <c r="W1382" s="1"/>
      <c r="X1382" s="1"/>
      <c r="Y1382" s="1"/>
      <c r="Z1382" s="1"/>
      <c r="AA1382" s="1"/>
      <c r="AB1382" s="1"/>
    </row>
    <row r="1383" ht="50.25" customHeight="1">
      <c r="A1383" s="12">
        <v>1379.0</v>
      </c>
      <c r="B1383" s="13" t="s">
        <v>1275</v>
      </c>
      <c r="C1383" s="14" t="s">
        <v>1390</v>
      </c>
      <c r="D1383" s="1"/>
      <c r="E1383" s="15"/>
      <c r="F1383" s="1" t="str">
        <f>IFERROR(__xludf.DUMMYFUNCTION("GOOGLETRANSLATE(B1383, ""en"", ""fa"")
"),"روتین های تناسب اندام و ورزش")</f>
        <v>روتین های تناسب اندام و ورزش</v>
      </c>
      <c r="G1383" s="1" t="str">
        <f>IFERROR(__xludf.DUMMYFUNCTION("GOOGLETRANSLATE(C1383, ""en"", ""fa"")
"),"مفهوم ترکیب تمرینات پلایومتریک، مانند پرش با جعبه یا برپی، برای بهبود قدرت انفجاری و عملکرد ورزشی را بررسی کنید.")</f>
        <v>مفهوم ترکیب تمرینات پلایومتریک، مانند پرش با جعبه یا برپی، برای بهبود قدرت انفجاری و عملکرد ورزشی را بررسی کنید.</v>
      </c>
      <c r="H1383" s="1"/>
      <c r="I1383" s="1"/>
      <c r="J1383" s="1"/>
      <c r="K1383" s="1"/>
      <c r="L1383" s="1"/>
      <c r="M1383" s="1"/>
      <c r="N1383" s="1"/>
      <c r="O1383" s="1"/>
      <c r="P1383" s="1"/>
      <c r="Q1383" s="1"/>
      <c r="R1383" s="1"/>
      <c r="S1383" s="1"/>
      <c r="T1383" s="1"/>
      <c r="U1383" s="1"/>
      <c r="V1383" s="1"/>
      <c r="W1383" s="1"/>
      <c r="X1383" s="1"/>
      <c r="Y1383" s="1"/>
      <c r="Z1383" s="1"/>
      <c r="AA1383" s="1"/>
      <c r="AB1383" s="1"/>
    </row>
    <row r="1384" ht="50.25" customHeight="1">
      <c r="A1384" s="12">
        <v>1380.0</v>
      </c>
      <c r="B1384" s="13" t="s">
        <v>1275</v>
      </c>
      <c r="C1384" s="14" t="s">
        <v>1391</v>
      </c>
      <c r="D1384" s="1"/>
      <c r="E1384" s="15"/>
      <c r="F1384" s="1" t="str">
        <f>IFERROR(__xludf.DUMMYFUNCTION("GOOGLETRANSLATE(B1384, ""en"", ""fa"")
"),"روتین های تناسب اندام و ورزش")</f>
        <v>روتین های تناسب اندام و ورزش</v>
      </c>
      <c r="G1384" s="1" t="str">
        <f>IFERROR(__xludf.DUMMYFUNCTION("GOOGLETRANSLATE(C1384, ""en"", ""fa"")
"),"در مورد نقش ترکیب تمرینات یوگا یا پیلاتس برای بهبود انعطاف پذیری، قدرت مرکزی و ارتباط ذهن و بدن بحث کنید.")</f>
        <v>در مورد نقش ترکیب تمرینات یوگا یا پیلاتس برای بهبود انعطاف پذیری، قدرت مرکزی و ارتباط ذهن و بدن بحث کنید.</v>
      </c>
      <c r="H1384" s="1"/>
      <c r="I1384" s="1"/>
      <c r="J1384" s="1"/>
      <c r="K1384" s="1"/>
      <c r="L1384" s="1"/>
      <c r="M1384" s="1"/>
      <c r="N1384" s="1"/>
      <c r="O1384" s="1"/>
      <c r="P1384" s="1"/>
      <c r="Q1384" s="1"/>
      <c r="R1384" s="1"/>
      <c r="S1384" s="1"/>
      <c r="T1384" s="1"/>
      <c r="U1384" s="1"/>
      <c r="V1384" s="1"/>
      <c r="W1384" s="1"/>
      <c r="X1384" s="1"/>
      <c r="Y1384" s="1"/>
      <c r="Z1384" s="1"/>
      <c r="AA1384" s="1"/>
      <c r="AB1384" s="1"/>
    </row>
    <row r="1385" ht="50.25" customHeight="1">
      <c r="A1385" s="12">
        <v>1381.0</v>
      </c>
      <c r="B1385" s="13" t="s">
        <v>1275</v>
      </c>
      <c r="C1385" s="14" t="s">
        <v>1392</v>
      </c>
      <c r="D1385" s="1"/>
      <c r="E1385" s="15"/>
      <c r="F1385" s="1" t="str">
        <f>IFERROR(__xludf.DUMMYFUNCTION("GOOGLETRANSLATE(B1385, ""en"", ""fa"")
"),"روتین های تناسب اندام و ورزش")</f>
        <v>روتین های تناسب اندام و ورزش</v>
      </c>
      <c r="G1385" s="1" t="str">
        <f>IFERROR(__xludf.DUMMYFUNCTION("GOOGLETRANSLATE(C1385, ""en"", ""fa"")
"),"استراتژی‌هایی را برای ترکیب تمرینات اینتروال در دستگاه‌های کاردیو، مانند دستگاه بیضوی یا پارویی، برای به چالش کشیدن سیستم قلبی عروقی و سوزاندن کالری به اشتراک بگذارید.")</f>
        <v>استراتژی‌هایی را برای ترکیب تمرینات اینتروال در دستگاه‌های کاردیو، مانند دستگاه بیضوی یا پارویی، برای به چالش کشیدن سیستم قلبی عروقی و سوزاندن کالری به اشتراک بگذارید.</v>
      </c>
      <c r="H1385" s="1"/>
      <c r="I1385" s="1"/>
      <c r="J1385" s="1"/>
      <c r="K1385" s="1"/>
      <c r="L1385" s="1"/>
      <c r="M1385" s="1"/>
      <c r="N1385" s="1"/>
      <c r="O1385" s="1"/>
      <c r="P1385" s="1"/>
      <c r="Q1385" s="1"/>
      <c r="R1385" s="1"/>
      <c r="S1385" s="1"/>
      <c r="T1385" s="1"/>
      <c r="U1385" s="1"/>
      <c r="V1385" s="1"/>
      <c r="W1385" s="1"/>
      <c r="X1385" s="1"/>
      <c r="Y1385" s="1"/>
      <c r="Z1385" s="1"/>
      <c r="AA1385" s="1"/>
      <c r="AB1385" s="1"/>
    </row>
    <row r="1386" ht="50.25" customHeight="1">
      <c r="A1386" s="12">
        <v>1382.0</v>
      </c>
      <c r="B1386" s="13" t="s">
        <v>1275</v>
      </c>
      <c r="C1386" s="14" t="s">
        <v>1393</v>
      </c>
      <c r="D1386" s="1"/>
      <c r="E1386" s="15"/>
      <c r="F1386" s="1" t="str">
        <f>IFERROR(__xludf.DUMMYFUNCTION("GOOGLETRANSLATE(B1386, ""en"", ""fa"")
"),"روتین های تناسب اندام و ورزش")</f>
        <v>روتین های تناسب اندام و ورزش</v>
      </c>
      <c r="G1386" s="1" t="str">
        <f>IFERROR(__xludf.DUMMYFUNCTION("GOOGLETRANSLATE(C1386, ""en"", ""fa"")
"),"مزایای ترکیب تمرینات مقاومتی با استفاده از نوارهای مقاومتی یا وزنه های آزاد برای ایجاد قدرت و تقویت عضلات را بررسی کنید.")</f>
        <v>مزایای ترکیب تمرینات مقاومتی با استفاده از نوارهای مقاومتی یا وزنه های آزاد برای ایجاد قدرت و تقویت عضلات را بررسی کنید.</v>
      </c>
      <c r="H1386" s="1"/>
      <c r="I1386" s="1"/>
      <c r="J1386" s="1"/>
      <c r="K1386" s="1"/>
      <c r="L1386" s="1"/>
      <c r="M1386" s="1"/>
      <c r="N1386" s="1"/>
      <c r="O1386" s="1"/>
      <c r="P1386" s="1"/>
      <c r="Q1386" s="1"/>
      <c r="R1386" s="1"/>
      <c r="S1386" s="1"/>
      <c r="T1386" s="1"/>
      <c r="U1386" s="1"/>
      <c r="V1386" s="1"/>
      <c r="W1386" s="1"/>
      <c r="X1386" s="1"/>
      <c r="Y1386" s="1"/>
      <c r="Z1386" s="1"/>
      <c r="AA1386" s="1"/>
      <c r="AB1386" s="1"/>
    </row>
    <row r="1387" ht="50.25" customHeight="1">
      <c r="A1387" s="12">
        <v>1383.0</v>
      </c>
      <c r="B1387" s="13" t="s">
        <v>1275</v>
      </c>
      <c r="C1387" s="14" t="s">
        <v>1394</v>
      </c>
      <c r="D1387" s="1"/>
      <c r="E1387" s="15"/>
      <c r="F1387" s="1" t="str">
        <f>IFERROR(__xludf.DUMMYFUNCTION("GOOGLETRANSLATE(B1387, ""en"", ""fa"")
"),"روتین های تناسب اندام و ورزش")</f>
        <v>روتین های تناسب اندام و ورزش</v>
      </c>
      <c r="G1387" s="1" t="str">
        <f>IFERROR(__xludf.DUMMYFUNCTION("GOOGLETRANSLATE(C1387, ""en"", ""fa"")
"),"در مورد تأثیر ترکیب تمرینات با شدت بالا، مانند تاباتا یا HIIT (تمرینات تناوبی با شدت بالا)، برای به حداکثر رساندن کالری سوزی و بهبود تناسب قلبی عروقی بحث کنید.")</f>
        <v>در مورد تأثیر ترکیب تمرینات با شدت بالا، مانند تاباتا یا HIIT (تمرینات تناوبی با شدت بالا)، برای به حداکثر رساندن کالری سوزی و بهبود تناسب قلبی عروقی بحث کنید.</v>
      </c>
      <c r="H1387" s="1"/>
      <c r="I1387" s="1"/>
      <c r="J1387" s="1"/>
      <c r="K1387" s="1"/>
      <c r="L1387" s="1"/>
      <c r="M1387" s="1"/>
      <c r="N1387" s="1"/>
      <c r="O1387" s="1"/>
      <c r="P1387" s="1"/>
      <c r="Q1387" s="1"/>
      <c r="R1387" s="1"/>
      <c r="S1387" s="1"/>
      <c r="T1387" s="1"/>
      <c r="U1387" s="1"/>
      <c r="V1387" s="1"/>
      <c r="W1387" s="1"/>
      <c r="X1387" s="1"/>
      <c r="Y1387" s="1"/>
      <c r="Z1387" s="1"/>
      <c r="AA1387" s="1"/>
      <c r="AB1387" s="1"/>
    </row>
    <row r="1388" ht="50.25" customHeight="1">
      <c r="A1388" s="12">
        <v>1384.0</v>
      </c>
      <c r="B1388" s="13" t="s">
        <v>1275</v>
      </c>
      <c r="C1388" s="14" t="s">
        <v>1395</v>
      </c>
      <c r="D1388" s="1"/>
      <c r="E1388" s="15"/>
      <c r="F1388" s="1" t="str">
        <f>IFERROR(__xludf.DUMMYFUNCTION("GOOGLETRANSLATE(B1388, ""en"", ""fa"")
"),"روتین های تناسب اندام و ورزش")</f>
        <v>روتین های تناسب اندام و ورزش</v>
      </c>
      <c r="G1388" s="1" t="str">
        <f>IFERROR(__xludf.DUMMYFUNCTION("GOOGLETRANSLATE(C1388, ""en"", ""fa"")
"),"نکاتی را برای ترکیب فعالیت‌های خارج از منزل مانند پیاده‌روی، دوچرخه‌سواری یا دویدن برای لذت بردن از طبیعت و در عین حال فعال بودن به اشتراک بگذارید.")</f>
        <v>نکاتی را برای ترکیب فعالیت‌های خارج از منزل مانند پیاده‌روی، دوچرخه‌سواری یا دویدن برای لذت بردن از طبیعت و در عین حال فعال بودن به اشتراک بگذارید.</v>
      </c>
      <c r="H1388" s="1"/>
      <c r="I1388" s="1"/>
      <c r="J1388" s="1"/>
      <c r="K1388" s="1"/>
      <c r="L1388" s="1"/>
      <c r="M1388" s="1"/>
      <c r="N1388" s="1"/>
      <c r="O1388" s="1"/>
      <c r="P1388" s="1"/>
      <c r="Q1388" s="1"/>
      <c r="R1388" s="1"/>
      <c r="S1388" s="1"/>
      <c r="T1388" s="1"/>
      <c r="U1388" s="1"/>
      <c r="V1388" s="1"/>
      <c r="W1388" s="1"/>
      <c r="X1388" s="1"/>
      <c r="Y1388" s="1"/>
      <c r="Z1388" s="1"/>
      <c r="AA1388" s="1"/>
      <c r="AB1388" s="1"/>
    </row>
    <row r="1389" ht="50.25" customHeight="1">
      <c r="A1389" s="12">
        <v>1385.0</v>
      </c>
      <c r="B1389" s="13" t="s">
        <v>1275</v>
      </c>
      <c r="C1389" s="14" t="s">
        <v>1396</v>
      </c>
      <c r="D1389" s="1"/>
      <c r="E1389" s="15"/>
      <c r="F1389" s="1" t="str">
        <f>IFERROR(__xludf.DUMMYFUNCTION("GOOGLETRANSLATE(B1389, ""en"", ""fa"")
"),"روتین های تناسب اندام و ورزش")</f>
        <v>روتین های تناسب اندام و ورزش</v>
      </c>
      <c r="G1389" s="1" t="str">
        <f>IFERROR(__xludf.DUMMYFUNCTION("GOOGLETRANSLATE(C1389, ""en"", ""fa"")
"),"مفهوم ترکیب تمرین‌های تمرکز حواس، مانند مدیتیشن یا تمرین‌های تنفس عمیق را به عنوان بخشی از یک روال تناسب اندام جامع بررسی کنید.")</f>
        <v>مفهوم ترکیب تمرین‌های تمرکز حواس، مانند مدیتیشن یا تمرین‌های تنفس عمیق را به عنوان بخشی از یک روال تناسب اندام جامع بررسی کنید.</v>
      </c>
      <c r="H1389" s="1"/>
      <c r="I1389" s="1"/>
      <c r="J1389" s="1"/>
      <c r="K1389" s="1"/>
      <c r="L1389" s="1"/>
      <c r="M1389" s="1"/>
      <c r="N1389" s="1"/>
      <c r="O1389" s="1"/>
      <c r="P1389" s="1"/>
      <c r="Q1389" s="1"/>
      <c r="R1389" s="1"/>
      <c r="S1389" s="1"/>
      <c r="T1389" s="1"/>
      <c r="U1389" s="1"/>
      <c r="V1389" s="1"/>
      <c r="W1389" s="1"/>
      <c r="X1389" s="1"/>
      <c r="Y1389" s="1"/>
      <c r="Z1389" s="1"/>
      <c r="AA1389" s="1"/>
      <c r="AB1389" s="1"/>
    </row>
    <row r="1390" ht="50.25" customHeight="1">
      <c r="A1390" s="12">
        <v>1386.0</v>
      </c>
      <c r="B1390" s="13" t="s">
        <v>1275</v>
      </c>
      <c r="C1390" s="14" t="s">
        <v>1397</v>
      </c>
      <c r="D1390" s="1"/>
      <c r="E1390" s="15"/>
      <c r="F1390" s="1" t="str">
        <f>IFERROR(__xludf.DUMMYFUNCTION("GOOGLETRANSLATE(B1390, ""en"", ""fa"")
"),"روتین های تناسب اندام و ورزش")</f>
        <v>روتین های تناسب اندام و ورزش</v>
      </c>
      <c r="G1390" s="1" t="str">
        <f>IFERROR(__xludf.DUMMYFUNCTION("GOOGLETRANSLATE(C1390, ""en"", ""fa"")
"),"در مورد نقش ترکیب تمرینات کششی برای خنک کردن پس از تمرین برای افزایش انعطاف پذیری و جلوگیری از درد عضلانی بحث کنید.")</f>
        <v>در مورد نقش ترکیب تمرینات کششی برای خنک کردن پس از تمرین برای افزایش انعطاف پذیری و جلوگیری از درد عضلانی بحث کنید.</v>
      </c>
      <c r="H1390" s="1"/>
      <c r="I1390" s="1"/>
      <c r="J1390" s="1"/>
      <c r="K1390" s="1"/>
      <c r="L1390" s="1"/>
      <c r="M1390" s="1"/>
      <c r="N1390" s="1"/>
      <c r="O1390" s="1"/>
      <c r="P1390" s="1"/>
      <c r="Q1390" s="1"/>
      <c r="R1390" s="1"/>
      <c r="S1390" s="1"/>
      <c r="T1390" s="1"/>
      <c r="U1390" s="1"/>
      <c r="V1390" s="1"/>
      <c r="W1390" s="1"/>
      <c r="X1390" s="1"/>
      <c r="Y1390" s="1"/>
      <c r="Z1390" s="1"/>
      <c r="AA1390" s="1"/>
      <c r="AB1390" s="1"/>
    </row>
    <row r="1391" ht="50.25" customHeight="1">
      <c r="A1391" s="12">
        <v>1387.0</v>
      </c>
      <c r="B1391" s="13" t="s">
        <v>1275</v>
      </c>
      <c r="C1391" s="14" t="s">
        <v>1398</v>
      </c>
      <c r="D1391" s="1"/>
      <c r="E1391" s="15"/>
      <c r="F1391" s="1" t="str">
        <f>IFERROR(__xludf.DUMMYFUNCTION("GOOGLETRANSLATE(B1391, ""en"", ""fa"")
"),"روتین های تناسب اندام و ورزش")</f>
        <v>روتین های تناسب اندام و ورزش</v>
      </c>
      <c r="G1391" s="1" t="str">
        <f>IFERROR(__xludf.DUMMYFUNCTION("GOOGLETRANSLATE(C1391, ""en"", ""fa"")
"),"استراتژی‌هایی را برای ترکیب تمرین‌های تناسب اندام عملکردی، مانند اسکات، لانژ، یا تاب خوردن کتل بل، برای بهبود قدرت و تحرک برای فعالیت‌های روزمره به اشتراک بگذارید.")</f>
        <v>استراتژی‌هایی را برای ترکیب تمرین‌های تناسب اندام عملکردی، مانند اسکات، لانژ، یا تاب خوردن کتل بل، برای بهبود قدرت و تحرک برای فعالیت‌های روزمره به اشتراک بگذارید.</v>
      </c>
      <c r="H1391" s="1"/>
      <c r="I1391" s="1"/>
      <c r="J1391" s="1"/>
      <c r="K1391" s="1"/>
      <c r="L1391" s="1"/>
      <c r="M1391" s="1"/>
      <c r="N1391" s="1"/>
      <c r="O1391" s="1"/>
      <c r="P1391" s="1"/>
      <c r="Q1391" s="1"/>
      <c r="R1391" s="1"/>
      <c r="S1391" s="1"/>
      <c r="T1391" s="1"/>
      <c r="U1391" s="1"/>
      <c r="V1391" s="1"/>
      <c r="W1391" s="1"/>
      <c r="X1391" s="1"/>
      <c r="Y1391" s="1"/>
      <c r="Z1391" s="1"/>
      <c r="AA1391" s="1"/>
      <c r="AB1391" s="1"/>
    </row>
    <row r="1392" ht="50.25" customHeight="1">
      <c r="A1392" s="12">
        <v>1388.0</v>
      </c>
      <c r="B1392" s="13" t="s">
        <v>1275</v>
      </c>
      <c r="C1392" s="14" t="s">
        <v>1399</v>
      </c>
      <c r="D1392" s="1"/>
      <c r="E1392" s="15"/>
      <c r="F1392" s="1" t="str">
        <f>IFERROR(__xludf.DUMMYFUNCTION("GOOGLETRANSLATE(B1392, ""en"", ""fa"")
"),"روتین های تناسب اندام و ورزش")</f>
        <v>روتین های تناسب اندام و ورزش</v>
      </c>
      <c r="G1392" s="1" t="str">
        <f>IFERROR(__xludf.DUMMYFUNCTION("GOOGLETRANSLATE(C1392, ""en"", ""fa"")
"),"مزایای استفاده از ورزش‌های کم‌تأثیر مانند شنا یا دوچرخه‌سواری را برای افراد مبتلا به مشکلات مفصلی یا بهبودی از آسیب‌ها بررسی کنید.")</f>
        <v>مزایای استفاده از ورزش‌های کم‌تأثیر مانند شنا یا دوچرخه‌سواری را برای افراد مبتلا به مشکلات مفصلی یا بهبودی از آسیب‌ها بررسی کنید.</v>
      </c>
      <c r="H1392" s="1"/>
      <c r="I1392" s="1"/>
      <c r="J1392" s="1"/>
      <c r="K1392" s="1"/>
      <c r="L1392" s="1"/>
      <c r="M1392" s="1"/>
      <c r="N1392" s="1"/>
      <c r="O1392" s="1"/>
      <c r="P1392" s="1"/>
      <c r="Q1392" s="1"/>
      <c r="R1392" s="1"/>
      <c r="S1392" s="1"/>
      <c r="T1392" s="1"/>
      <c r="U1392" s="1"/>
      <c r="V1392" s="1"/>
      <c r="W1392" s="1"/>
      <c r="X1392" s="1"/>
      <c r="Y1392" s="1"/>
      <c r="Z1392" s="1"/>
      <c r="AA1392" s="1"/>
      <c r="AB1392" s="1"/>
    </row>
    <row r="1393" ht="50.25" customHeight="1">
      <c r="A1393" s="12">
        <v>1389.0</v>
      </c>
      <c r="B1393" s="13" t="s">
        <v>1275</v>
      </c>
      <c r="C1393" s="14" t="s">
        <v>1400</v>
      </c>
      <c r="D1393" s="1"/>
      <c r="E1393" s="15"/>
      <c r="F1393" s="1" t="str">
        <f>IFERROR(__xludf.DUMMYFUNCTION("GOOGLETRANSLATE(B1393, ""en"", ""fa"")
"),"روتین های تناسب اندام و ورزش")</f>
        <v>روتین های تناسب اندام و ورزش</v>
      </c>
      <c r="G1393" s="1" t="str">
        <f>IFERROR(__xludf.DUMMYFUNCTION("GOOGLETRANSLATE(C1393, ""en"", ""fa"")
"),"در مورد تأثیر ترکیب تمرینات تعادلی، مانند ایستادن تک پا یا حرکات یوگا، برای بهبود ثبات و جلوگیری از سقوط بحث کنید.")</f>
        <v>در مورد تأثیر ترکیب تمرینات تعادلی، مانند ایستادن تک پا یا حرکات یوگا، برای بهبود ثبات و جلوگیری از سقوط بحث کنید.</v>
      </c>
      <c r="H1393" s="1"/>
      <c r="I1393" s="1"/>
      <c r="J1393" s="1"/>
      <c r="K1393" s="1"/>
      <c r="L1393" s="1"/>
      <c r="M1393" s="1"/>
      <c r="N1393" s="1"/>
      <c r="O1393" s="1"/>
      <c r="P1393" s="1"/>
      <c r="Q1393" s="1"/>
      <c r="R1393" s="1"/>
      <c r="S1393" s="1"/>
      <c r="T1393" s="1"/>
      <c r="U1393" s="1"/>
      <c r="V1393" s="1"/>
      <c r="W1393" s="1"/>
      <c r="X1393" s="1"/>
      <c r="Y1393" s="1"/>
      <c r="Z1393" s="1"/>
      <c r="AA1393" s="1"/>
      <c r="AB1393" s="1"/>
    </row>
    <row r="1394" ht="50.25" customHeight="1">
      <c r="A1394" s="12">
        <v>1390.0</v>
      </c>
      <c r="B1394" s="13" t="s">
        <v>1275</v>
      </c>
      <c r="C1394" s="14" t="s">
        <v>1401</v>
      </c>
      <c r="D1394" s="1"/>
      <c r="E1394" s="15"/>
      <c r="F1394" s="1" t="str">
        <f>IFERROR(__xludf.DUMMYFUNCTION("GOOGLETRANSLATE(B1394, ""en"", ""fa"")
"),"روتین های تناسب اندام و ورزش")</f>
        <v>روتین های تناسب اندام و ورزش</v>
      </c>
      <c r="G1394" s="1" t="str">
        <f>IFERROR(__xludf.DUMMYFUNCTION("GOOGLETRANSLATE(C1394, ""en"", ""fa"")
"),"نکاتی را برای ترکیب تمرینات خانگی با استفاده از حداقل تجهیزات، مانند تمرینات وزن بدن، نوارهای مقاومتی، یا دمبل به اشتراک بگذارید.")</f>
        <v>نکاتی را برای ترکیب تمرینات خانگی با استفاده از حداقل تجهیزات، مانند تمرینات وزن بدن، نوارهای مقاومتی، یا دمبل به اشتراک بگذارید.</v>
      </c>
      <c r="H1394" s="1"/>
      <c r="I1394" s="1"/>
      <c r="J1394" s="1"/>
      <c r="K1394" s="1"/>
      <c r="L1394" s="1"/>
      <c r="M1394" s="1"/>
      <c r="N1394" s="1"/>
      <c r="O1394" s="1"/>
      <c r="P1394" s="1"/>
      <c r="Q1394" s="1"/>
      <c r="R1394" s="1"/>
      <c r="S1394" s="1"/>
      <c r="T1394" s="1"/>
      <c r="U1394" s="1"/>
      <c r="V1394" s="1"/>
      <c r="W1394" s="1"/>
      <c r="X1394" s="1"/>
      <c r="Y1394" s="1"/>
      <c r="Z1394" s="1"/>
      <c r="AA1394" s="1"/>
      <c r="AB1394" s="1"/>
    </row>
    <row r="1395" ht="50.25" customHeight="1">
      <c r="A1395" s="12">
        <v>1391.0</v>
      </c>
      <c r="B1395" s="13" t="s">
        <v>1275</v>
      </c>
      <c r="C1395" s="14" t="s">
        <v>1402</v>
      </c>
      <c r="D1395" s="1"/>
      <c r="E1395" s="15"/>
      <c r="F1395" s="1" t="str">
        <f>IFERROR(__xludf.DUMMYFUNCTION("GOOGLETRANSLATE(B1395, ""en"", ""fa"")
"),"روتین های تناسب اندام و ورزش")</f>
        <v>روتین های تناسب اندام و ورزش</v>
      </c>
      <c r="G1395" s="1" t="str">
        <f>IFERROR(__xludf.DUMMYFUNCTION("GOOGLETRANSLATE(C1395, ""en"", ""fa"")
"),"مفهوم ترکیب تمرینات رقص، مانند کلاس های زومبا یا هیپ هاپ را برای ترکیب تناسب اندام با سرگرمی و خلاقیت کاوش کنید.")</f>
        <v>مفهوم ترکیب تمرینات رقص، مانند کلاس های زومبا یا هیپ هاپ را برای ترکیب تناسب اندام با سرگرمی و خلاقیت کاوش کنید.</v>
      </c>
      <c r="H1395" s="1"/>
      <c r="I1395" s="1"/>
      <c r="J1395" s="1"/>
      <c r="K1395" s="1"/>
      <c r="L1395" s="1"/>
      <c r="M1395" s="1"/>
      <c r="N1395" s="1"/>
      <c r="O1395" s="1"/>
      <c r="P1395" s="1"/>
      <c r="Q1395" s="1"/>
      <c r="R1395" s="1"/>
      <c r="S1395" s="1"/>
      <c r="T1395" s="1"/>
      <c r="U1395" s="1"/>
      <c r="V1395" s="1"/>
      <c r="W1395" s="1"/>
      <c r="X1395" s="1"/>
      <c r="Y1395" s="1"/>
      <c r="Z1395" s="1"/>
      <c r="AA1395" s="1"/>
      <c r="AB1395" s="1"/>
    </row>
    <row r="1396" ht="50.25" customHeight="1">
      <c r="A1396" s="12">
        <v>1392.0</v>
      </c>
      <c r="B1396" s="13" t="s">
        <v>1275</v>
      </c>
      <c r="C1396" s="14" t="s">
        <v>1403</v>
      </c>
      <c r="D1396" s="1"/>
      <c r="E1396" s="15"/>
      <c r="F1396" s="1" t="str">
        <f>IFERROR(__xludf.DUMMYFUNCTION("GOOGLETRANSLATE(B1396, ""en"", ""fa"")
"),"روتین های تناسب اندام و ورزش")</f>
        <v>روتین های تناسب اندام و ورزش</v>
      </c>
      <c r="G1396" s="1" t="str">
        <f>IFERROR(__xludf.DUMMYFUNCTION("GOOGLETRANSLATE(C1396, ""en"", ""fa"")
"),"در مورد نقش ترکیب روتین‌های کششی متمرکز بر گروه‌های عضلانی خاص، مانند همسترینگ، ساق پا یا شانه‌ها برای بهبود انعطاف‌پذیری و جلوگیری از آسیب‌ها بحث کنید.")</f>
        <v>در مورد نقش ترکیب روتین‌های کششی متمرکز بر گروه‌های عضلانی خاص، مانند همسترینگ، ساق پا یا شانه‌ها برای بهبود انعطاف‌پذیری و جلوگیری از آسیب‌ها بحث کنید.</v>
      </c>
      <c r="H1396" s="1"/>
      <c r="I1396" s="1"/>
      <c r="J1396" s="1"/>
      <c r="K1396" s="1"/>
      <c r="L1396" s="1"/>
      <c r="M1396" s="1"/>
      <c r="N1396" s="1"/>
      <c r="O1396" s="1"/>
      <c r="P1396" s="1"/>
      <c r="Q1396" s="1"/>
      <c r="R1396" s="1"/>
      <c r="S1396" s="1"/>
      <c r="T1396" s="1"/>
      <c r="U1396" s="1"/>
      <c r="V1396" s="1"/>
      <c r="W1396" s="1"/>
      <c r="X1396" s="1"/>
      <c r="Y1396" s="1"/>
      <c r="Z1396" s="1"/>
      <c r="AA1396" s="1"/>
      <c r="AB1396" s="1"/>
    </row>
    <row r="1397" ht="50.25" customHeight="1">
      <c r="A1397" s="12">
        <v>1393.0</v>
      </c>
      <c r="B1397" s="13" t="s">
        <v>1275</v>
      </c>
      <c r="C1397" s="14" t="s">
        <v>1404</v>
      </c>
      <c r="D1397" s="1"/>
      <c r="E1397" s="15"/>
      <c r="F1397" s="1" t="str">
        <f>IFERROR(__xludf.DUMMYFUNCTION("GOOGLETRANSLATE(B1397, ""en"", ""fa"")
"),"روتین های تناسب اندام و ورزش")</f>
        <v>روتین های تناسب اندام و ورزش</v>
      </c>
      <c r="G1397" s="1" t="str">
        <f>IFERROR(__xludf.DUMMYFUNCTION("GOOGLETRANSLATE(C1397, ""en"", ""fa"")
"),"استراتژی‌هایی را برای ترکیب کیک بوکسینگ قلبی یا تمرینات هنرهای رزمی برای بهبود استقامت قلبی عروقی و تقویت مهارت‌های دفاع شخصی به اشتراک بگذارید.")</f>
        <v>استراتژی‌هایی را برای ترکیب کیک بوکسینگ قلبی یا تمرینات هنرهای رزمی برای بهبود استقامت قلبی عروقی و تقویت مهارت‌های دفاع شخصی به اشتراک بگذارید.</v>
      </c>
      <c r="H1397" s="1"/>
      <c r="I1397" s="1"/>
      <c r="J1397" s="1"/>
      <c r="K1397" s="1"/>
      <c r="L1397" s="1"/>
      <c r="M1397" s="1"/>
      <c r="N1397" s="1"/>
      <c r="O1397" s="1"/>
      <c r="P1397" s="1"/>
      <c r="Q1397" s="1"/>
      <c r="R1397" s="1"/>
      <c r="S1397" s="1"/>
      <c r="T1397" s="1"/>
      <c r="U1397" s="1"/>
      <c r="V1397" s="1"/>
      <c r="W1397" s="1"/>
      <c r="X1397" s="1"/>
      <c r="Y1397" s="1"/>
      <c r="Z1397" s="1"/>
      <c r="AA1397" s="1"/>
      <c r="AB1397" s="1"/>
    </row>
    <row r="1398" ht="50.25" customHeight="1">
      <c r="A1398" s="12">
        <v>1394.0</v>
      </c>
      <c r="B1398" s="13" t="s">
        <v>1275</v>
      </c>
      <c r="C1398" s="14" t="s">
        <v>1405</v>
      </c>
      <c r="D1398" s="1"/>
      <c r="E1398" s="15"/>
      <c r="F1398" s="1" t="str">
        <f>IFERROR(__xludf.DUMMYFUNCTION("GOOGLETRANSLATE(B1398, ""en"", ""fa"")
"),"روتین های تناسب اندام و ورزش")</f>
        <v>روتین های تناسب اندام و ورزش</v>
      </c>
      <c r="G1398" s="1" t="str">
        <f>IFERROR(__xludf.DUMMYFUNCTION("GOOGLETRANSLATE(C1398, ""en"", ""fa"")
"),"مزایای ترکیب کلاس های تناسب اندام گروهی، مانند کلاس های اسپین یا بوت کمپ، برای ایجاد انگیزه، مسئولیت پذیری و احساس اجتماعی را بررسی کنید.")</f>
        <v>مزایای ترکیب کلاس های تناسب اندام گروهی، مانند کلاس های اسپین یا بوت کمپ، برای ایجاد انگیزه، مسئولیت پذیری و احساس اجتماعی را بررسی کنید.</v>
      </c>
      <c r="H1398" s="1"/>
      <c r="I1398" s="1"/>
      <c r="J1398" s="1"/>
      <c r="K1398" s="1"/>
      <c r="L1398" s="1"/>
      <c r="M1398" s="1"/>
      <c r="N1398" s="1"/>
      <c r="O1398" s="1"/>
      <c r="P1398" s="1"/>
      <c r="Q1398" s="1"/>
      <c r="R1398" s="1"/>
      <c r="S1398" s="1"/>
      <c r="T1398" s="1"/>
      <c r="U1398" s="1"/>
      <c r="V1398" s="1"/>
      <c r="W1398" s="1"/>
      <c r="X1398" s="1"/>
      <c r="Y1398" s="1"/>
      <c r="Z1398" s="1"/>
      <c r="AA1398" s="1"/>
      <c r="AB1398" s="1"/>
    </row>
    <row r="1399" ht="50.25" customHeight="1">
      <c r="A1399" s="12">
        <v>1395.0</v>
      </c>
      <c r="B1399" s="13" t="s">
        <v>1275</v>
      </c>
      <c r="C1399" s="14" t="s">
        <v>1406</v>
      </c>
      <c r="D1399" s="1"/>
      <c r="E1399" s="15"/>
      <c r="F1399" s="1" t="str">
        <f>IFERROR(__xludf.DUMMYFUNCTION("GOOGLETRANSLATE(B1399, ""en"", ""fa"")
"),"روتین های تناسب اندام و ورزش")</f>
        <v>روتین های تناسب اندام و ورزش</v>
      </c>
      <c r="G1399" s="1" t="str">
        <f>IFERROR(__xludf.DUMMYFUNCTION("GOOGLETRANSLATE(C1399, ""en"", ""fa"")
"),"در مورد تأثیر ترکیب تمرینات با وزن بدن، مانند فشار، اسکات، یا پلانک، برای افرادی که ترجیح می دهند بدون تجهیزات ورزش کنند، بحث کنید.")</f>
        <v>در مورد تأثیر ترکیب تمرینات با وزن بدن، مانند فشار، اسکات، یا پلانک، برای افرادی که ترجیح می دهند بدون تجهیزات ورزش کنند، بحث کنید.</v>
      </c>
      <c r="H1399" s="1"/>
      <c r="I1399" s="1"/>
      <c r="J1399" s="1"/>
      <c r="K1399" s="1"/>
      <c r="L1399" s="1"/>
      <c r="M1399" s="1"/>
      <c r="N1399" s="1"/>
      <c r="O1399" s="1"/>
      <c r="P1399" s="1"/>
      <c r="Q1399" s="1"/>
      <c r="R1399" s="1"/>
      <c r="S1399" s="1"/>
      <c r="T1399" s="1"/>
      <c r="U1399" s="1"/>
      <c r="V1399" s="1"/>
      <c r="W1399" s="1"/>
      <c r="X1399" s="1"/>
      <c r="Y1399" s="1"/>
      <c r="Z1399" s="1"/>
      <c r="AA1399" s="1"/>
      <c r="AB1399" s="1"/>
    </row>
    <row r="1400" ht="50.25" customHeight="1">
      <c r="A1400" s="12">
        <v>1396.0</v>
      </c>
      <c r="B1400" s="13" t="s">
        <v>1275</v>
      </c>
      <c r="C1400" s="14" t="s">
        <v>1407</v>
      </c>
      <c r="D1400" s="1"/>
      <c r="E1400" s="15"/>
      <c r="F1400" s="1" t="str">
        <f>IFERROR(__xludf.DUMMYFUNCTION("GOOGLETRANSLATE(B1400, ""en"", ""fa"")
"),"روتین های تناسب اندام و ورزش")</f>
        <v>روتین های تناسب اندام و ورزش</v>
      </c>
      <c r="G1400" s="1" t="str">
        <f>IFERROR(__xludf.DUMMYFUNCTION("GOOGLETRANSLATE(C1400, ""en"", ""fa"")
"),"نکاتی را برای ترکیب تمرینات تمرین مقاومتی که گروه‌های عضلانی مختلف را در روزهای مختلف هدف قرار می‌دهند، به اشتراک بگذارید تا استراحت و ریکاوری کافی داشته باشید.")</f>
        <v>نکاتی را برای ترکیب تمرینات تمرین مقاومتی که گروه‌های عضلانی مختلف را در روزهای مختلف هدف قرار می‌دهند، به اشتراک بگذارید تا استراحت و ریکاوری کافی داشته باشید.</v>
      </c>
      <c r="H1400" s="1"/>
      <c r="I1400" s="1"/>
      <c r="J1400" s="1"/>
      <c r="K1400" s="1"/>
      <c r="L1400" s="1"/>
      <c r="M1400" s="1"/>
      <c r="N1400" s="1"/>
      <c r="O1400" s="1"/>
      <c r="P1400" s="1"/>
      <c r="Q1400" s="1"/>
      <c r="R1400" s="1"/>
      <c r="S1400" s="1"/>
      <c r="T1400" s="1"/>
      <c r="U1400" s="1"/>
      <c r="V1400" s="1"/>
      <c r="W1400" s="1"/>
      <c r="X1400" s="1"/>
      <c r="Y1400" s="1"/>
      <c r="Z1400" s="1"/>
      <c r="AA1400" s="1"/>
      <c r="AB1400" s="1"/>
    </row>
    <row r="1401" ht="50.25" customHeight="1">
      <c r="A1401" s="12">
        <v>1397.0</v>
      </c>
      <c r="B1401" s="13" t="s">
        <v>1275</v>
      </c>
      <c r="C1401" s="14" t="s">
        <v>1408</v>
      </c>
      <c r="D1401" s="1"/>
      <c r="E1401" s="15"/>
      <c r="F1401" s="1" t="str">
        <f>IFERROR(__xludf.DUMMYFUNCTION("GOOGLETRANSLATE(B1401, ""en"", ""fa"")
"),"روتین های تناسب اندام و ورزش")</f>
        <v>روتین های تناسب اندام و ورزش</v>
      </c>
      <c r="G1401" s="1" t="str">
        <f>IFERROR(__xludf.DUMMYFUNCTION("GOOGLETRANSLATE(C1401, ""en"", ""fa"")
"),"مفهوم ترکیب الگوهای حرکتی عملکردی، مانند خزیدن یا بالا رفتن، برای بهبود هماهنگی کلی و آگاهی بدن را بررسی کنید.")</f>
        <v>مفهوم ترکیب الگوهای حرکتی عملکردی، مانند خزیدن یا بالا رفتن، برای بهبود هماهنگی کلی و آگاهی بدن را بررسی کنید.</v>
      </c>
      <c r="H1401" s="1"/>
      <c r="I1401" s="1"/>
      <c r="J1401" s="1"/>
      <c r="K1401" s="1"/>
      <c r="L1401" s="1"/>
      <c r="M1401" s="1"/>
      <c r="N1401" s="1"/>
      <c r="O1401" s="1"/>
      <c r="P1401" s="1"/>
      <c r="Q1401" s="1"/>
      <c r="R1401" s="1"/>
      <c r="S1401" s="1"/>
      <c r="T1401" s="1"/>
      <c r="U1401" s="1"/>
      <c r="V1401" s="1"/>
      <c r="W1401" s="1"/>
      <c r="X1401" s="1"/>
      <c r="Y1401" s="1"/>
      <c r="Z1401" s="1"/>
      <c r="AA1401" s="1"/>
      <c r="AB1401" s="1"/>
    </row>
    <row r="1402" ht="50.25" customHeight="1">
      <c r="A1402" s="12">
        <v>1398.0</v>
      </c>
      <c r="B1402" s="13" t="s">
        <v>1275</v>
      </c>
      <c r="C1402" s="14" t="s">
        <v>1409</v>
      </c>
      <c r="D1402" s="1"/>
      <c r="E1402" s="15"/>
      <c r="F1402" s="1" t="str">
        <f>IFERROR(__xludf.DUMMYFUNCTION("GOOGLETRANSLATE(B1402, ""en"", ""fa"")
"),"روتین های تناسب اندام و ورزش")</f>
        <v>روتین های تناسب اندام و ورزش</v>
      </c>
      <c r="G1402" s="1" t="str">
        <f>IFERROR(__xludf.DUMMYFUNCTION("GOOGLETRANSLATE(C1402, ""en"", ""fa"")
"),"درباره نقش ترکیب تمرینات کششی که باعث آرامش و کاهش استرس می شوند، مانند یوگای ملایم یا تای چی، برای حمایت از رفاه کلی بحث کنید.")</f>
        <v>درباره نقش ترکیب تمرینات کششی که باعث آرامش و کاهش استرس می شوند، مانند یوگای ملایم یا تای چی، برای حمایت از رفاه کلی بحث کنید.</v>
      </c>
      <c r="H1402" s="1"/>
      <c r="I1402" s="1"/>
      <c r="J1402" s="1"/>
      <c r="K1402" s="1"/>
      <c r="L1402" s="1"/>
      <c r="M1402" s="1"/>
      <c r="N1402" s="1"/>
      <c r="O1402" s="1"/>
      <c r="P1402" s="1"/>
      <c r="Q1402" s="1"/>
      <c r="R1402" s="1"/>
      <c r="S1402" s="1"/>
      <c r="T1402" s="1"/>
      <c r="U1402" s="1"/>
      <c r="V1402" s="1"/>
      <c r="W1402" s="1"/>
      <c r="X1402" s="1"/>
      <c r="Y1402" s="1"/>
      <c r="Z1402" s="1"/>
      <c r="AA1402" s="1"/>
      <c r="AB1402" s="1"/>
    </row>
    <row r="1403" ht="50.25" customHeight="1">
      <c r="A1403" s="12">
        <v>1399.0</v>
      </c>
      <c r="B1403" s="13" t="s">
        <v>1275</v>
      </c>
      <c r="C1403" s="14" t="s">
        <v>1410</v>
      </c>
      <c r="D1403" s="1"/>
      <c r="E1403" s="15"/>
      <c r="F1403" s="1" t="str">
        <f>IFERROR(__xludf.DUMMYFUNCTION("GOOGLETRANSLATE(B1403, ""en"", ""fa"")
"),"روتین های تناسب اندام و ورزش")</f>
        <v>روتین های تناسب اندام و ورزش</v>
      </c>
      <c r="G1403" s="1" t="str">
        <f>IFERROR(__xludf.DUMMYFUNCTION("GOOGLETRANSLATE(C1403, ""en"", ""fa"")
"),"استراتژی‌هایی را برای ترکیب ورزش‌های مبتنی بر آب، مانند شنا یا ایروبیک در آب، به‌عنوان یک گزینه کم‌تأثیر برای افراد مبتلا به درد مفاصل یا آسیب‌دیدگی به اشتراک بگذارید.")</f>
        <v>استراتژی‌هایی را برای ترکیب ورزش‌های مبتنی بر آب، مانند شنا یا ایروبیک در آب، به‌عنوان یک گزینه کم‌تأثیر برای افراد مبتلا به درد مفاصل یا آسیب‌دیدگی به اشتراک بگذارید.</v>
      </c>
      <c r="H1403" s="1"/>
      <c r="I1403" s="1"/>
      <c r="J1403" s="1"/>
      <c r="K1403" s="1"/>
      <c r="L1403" s="1"/>
      <c r="M1403" s="1"/>
      <c r="N1403" s="1"/>
      <c r="O1403" s="1"/>
      <c r="P1403" s="1"/>
      <c r="Q1403" s="1"/>
      <c r="R1403" s="1"/>
      <c r="S1403" s="1"/>
      <c r="T1403" s="1"/>
      <c r="U1403" s="1"/>
      <c r="V1403" s="1"/>
      <c r="W1403" s="1"/>
      <c r="X1403" s="1"/>
      <c r="Y1403" s="1"/>
      <c r="Z1403" s="1"/>
      <c r="AA1403" s="1"/>
      <c r="AB1403" s="1"/>
    </row>
    <row r="1404" ht="50.25" customHeight="1">
      <c r="A1404" s="12">
        <v>1400.0</v>
      </c>
      <c r="B1404" s="13" t="s">
        <v>1275</v>
      </c>
      <c r="C1404" s="14" t="s">
        <v>1411</v>
      </c>
      <c r="D1404" s="1"/>
      <c r="E1404" s="15"/>
      <c r="F1404" s="1" t="str">
        <f>IFERROR(__xludf.DUMMYFUNCTION("GOOGLETRANSLATE(B1404, ""en"", ""fa"")
"),"روتین های تناسب اندام و ورزش")</f>
        <v>روتین های تناسب اندام و ورزش</v>
      </c>
      <c r="G1404" s="1" t="str">
        <f>IFERROR(__xludf.DUMMYFUNCTION("GOOGLETRANSLATE(C1404, ""en"", ""fa"")
"),"برای بهبود تناسب اندام قلبی عروقی و سوزاندن کالری، مزایای ترکیب تمرینات HIIT با وزن بدن، با استفاده از تمریناتی مانند برپی، کوهنوردی، و پرش اسکات را بررسی کنید.")</f>
        <v>برای بهبود تناسب اندام قلبی عروقی و سوزاندن کالری، مزایای ترکیب تمرینات HIIT با وزن بدن، با استفاده از تمریناتی مانند برپی، کوهنوردی، و پرش اسکات را بررسی کنید.</v>
      </c>
      <c r="H1404" s="1"/>
      <c r="I1404" s="1"/>
      <c r="J1404" s="1"/>
      <c r="K1404" s="1"/>
      <c r="L1404" s="1"/>
      <c r="M1404" s="1"/>
      <c r="N1404" s="1"/>
      <c r="O1404" s="1"/>
      <c r="P1404" s="1"/>
      <c r="Q1404" s="1"/>
      <c r="R1404" s="1"/>
      <c r="S1404" s="1"/>
      <c r="T1404" s="1"/>
      <c r="U1404" s="1"/>
      <c r="V1404" s="1"/>
      <c r="W1404" s="1"/>
      <c r="X1404" s="1"/>
      <c r="Y1404" s="1"/>
      <c r="Z1404" s="1"/>
      <c r="AA1404" s="1"/>
      <c r="AB1404" s="1"/>
    </row>
    <row r="1405" ht="50.25" customHeight="1">
      <c r="A1405" s="12">
        <v>1401.0</v>
      </c>
      <c r="B1405" s="13" t="s">
        <v>1275</v>
      </c>
      <c r="C1405" s="14" t="s">
        <v>1412</v>
      </c>
      <c r="D1405" s="1"/>
      <c r="E1405" s="15"/>
      <c r="F1405" s="1" t="str">
        <f>IFERROR(__xludf.DUMMYFUNCTION("GOOGLETRANSLATE(B1405, ""en"", ""fa"")
"),"روتین های تناسب اندام و ورزش")</f>
        <v>روتین های تناسب اندام و ورزش</v>
      </c>
      <c r="G1405" s="1" t="str">
        <f>IFERROR(__xludf.DUMMYFUNCTION("GOOGLETRANSLATE(C1405, ""en"", ""fa"")
"),"در مورد تأثیر ترکیب تمرینات ترکیبی، مانند ددلیفت یا پرس روی نیمکت، برای درگیر کردن چندین گروه عضلانی و ارتقای افزایش قدرت کلی بحث کنید.")</f>
        <v>در مورد تأثیر ترکیب تمرینات ترکیبی، مانند ددلیفت یا پرس روی نیمکت، برای درگیر کردن چندین گروه عضلانی و ارتقای افزایش قدرت کلی بحث کنید.</v>
      </c>
      <c r="H1405" s="1"/>
      <c r="I1405" s="1"/>
      <c r="J1405" s="1"/>
      <c r="K1405" s="1"/>
      <c r="L1405" s="1"/>
      <c r="M1405" s="1"/>
      <c r="N1405" s="1"/>
      <c r="O1405" s="1"/>
      <c r="P1405" s="1"/>
      <c r="Q1405" s="1"/>
      <c r="R1405" s="1"/>
      <c r="S1405" s="1"/>
      <c r="T1405" s="1"/>
      <c r="U1405" s="1"/>
      <c r="V1405" s="1"/>
      <c r="W1405" s="1"/>
      <c r="X1405" s="1"/>
      <c r="Y1405" s="1"/>
      <c r="Z1405" s="1"/>
      <c r="AA1405" s="1"/>
      <c r="AB1405" s="1"/>
    </row>
    <row r="1406" ht="50.25" customHeight="1">
      <c r="A1406" s="12">
        <v>1402.0</v>
      </c>
      <c r="B1406" s="13" t="s">
        <v>1275</v>
      </c>
      <c r="C1406" s="14" t="s">
        <v>1413</v>
      </c>
      <c r="D1406" s="1"/>
      <c r="E1406" s="15"/>
      <c r="F1406" s="1" t="str">
        <f>IFERROR(__xludf.DUMMYFUNCTION("GOOGLETRANSLATE(B1406, ""en"", ""fa"")
"),"روتین های تناسب اندام و ورزش")</f>
        <v>روتین های تناسب اندام و ورزش</v>
      </c>
      <c r="G1406" s="1" t="str">
        <f>IFERROR(__xludf.DUMMYFUNCTION("GOOGLETRANSLATE(C1406, ""en"", ""fa"")
"),"نکاتی را برای ترکیب تمرینات تمرینی مقاومتی که هسته را هدف قرار می دهند، مانند تخته یا پیچ های روسی، برای بهبود قدرت و ثبات هسته به اشتراک بگذارید.")</f>
        <v>نکاتی را برای ترکیب تمرینات تمرینی مقاومتی که هسته را هدف قرار می دهند، مانند تخته یا پیچ های روسی، برای بهبود قدرت و ثبات هسته به اشتراک بگذارید.</v>
      </c>
      <c r="H1406" s="1"/>
      <c r="I1406" s="1"/>
      <c r="J1406" s="1"/>
      <c r="K1406" s="1"/>
      <c r="L1406" s="1"/>
      <c r="M1406" s="1"/>
      <c r="N1406" s="1"/>
      <c r="O1406" s="1"/>
      <c r="P1406" s="1"/>
      <c r="Q1406" s="1"/>
      <c r="R1406" s="1"/>
      <c r="S1406" s="1"/>
      <c r="T1406" s="1"/>
      <c r="U1406" s="1"/>
      <c r="V1406" s="1"/>
      <c r="W1406" s="1"/>
      <c r="X1406" s="1"/>
      <c r="Y1406" s="1"/>
      <c r="Z1406" s="1"/>
      <c r="AA1406" s="1"/>
      <c r="AB1406" s="1"/>
    </row>
    <row r="1407" ht="50.25" customHeight="1">
      <c r="A1407" s="12">
        <v>1403.0</v>
      </c>
      <c r="B1407" s="13" t="s">
        <v>1275</v>
      </c>
      <c r="C1407" s="14" t="s">
        <v>1414</v>
      </c>
      <c r="D1407" s="1"/>
      <c r="E1407" s="15"/>
      <c r="F1407" s="1" t="str">
        <f>IFERROR(__xludf.DUMMYFUNCTION("GOOGLETRANSLATE(B1407, ""en"", ""fa"")
"),"روتین های تناسب اندام و ورزش")</f>
        <v>روتین های تناسب اندام و ورزش</v>
      </c>
      <c r="G1407" s="1" t="str">
        <f>IFERROR(__xludf.DUMMYFUNCTION("GOOGLETRANSLATE(C1407, ""en"", ""fa"")
"),"مفهوم ترکیب تمرینات پایداری با توپ را برای به چالش کشیدن تعادل و درگیر کردن عضلات مرکزی در طول تمرینات قدرتی بررسی کنید.")</f>
        <v>مفهوم ترکیب تمرینات پایداری با توپ را برای به چالش کشیدن تعادل و درگیر کردن عضلات مرکزی در طول تمرینات قدرتی بررسی کنید.</v>
      </c>
      <c r="H1407" s="1"/>
      <c r="I1407" s="1"/>
      <c r="J1407" s="1"/>
      <c r="K1407" s="1"/>
      <c r="L1407" s="1"/>
      <c r="M1407" s="1"/>
      <c r="N1407" s="1"/>
      <c r="O1407" s="1"/>
      <c r="P1407" s="1"/>
      <c r="Q1407" s="1"/>
      <c r="R1407" s="1"/>
      <c r="S1407" s="1"/>
      <c r="T1407" s="1"/>
      <c r="U1407" s="1"/>
      <c r="V1407" s="1"/>
      <c r="W1407" s="1"/>
      <c r="X1407" s="1"/>
      <c r="Y1407" s="1"/>
      <c r="Z1407" s="1"/>
      <c r="AA1407" s="1"/>
      <c r="AB1407" s="1"/>
    </row>
    <row r="1408" ht="50.25" customHeight="1">
      <c r="A1408" s="12">
        <v>1404.0</v>
      </c>
      <c r="B1408" s="13" t="s">
        <v>1275</v>
      </c>
      <c r="C1408" s="14" t="s">
        <v>1415</v>
      </c>
      <c r="D1408" s="1"/>
      <c r="E1408" s="15"/>
      <c r="F1408" s="1" t="str">
        <f>IFERROR(__xludf.DUMMYFUNCTION("GOOGLETRANSLATE(B1408, ""en"", ""fa"")
"),"روتین های تناسب اندام و ورزش")</f>
        <v>روتین های تناسب اندام و ورزش</v>
      </c>
      <c r="G1408" s="1" t="str">
        <f>IFERROR(__xludf.DUMMYFUNCTION("GOOGLETRANSLATE(C1408, ""en"", ""fa"")
"),"در مورد نقش ترکیب تمرینات متمرکز بر انعطاف پذیری، مانند جریان یوگا یا حرکات کششی، برای بهبود دامنه حرکتی و جلوگیری از عدم تعادل عضلانی بحث کنید.")</f>
        <v>در مورد نقش ترکیب تمرینات متمرکز بر انعطاف پذیری، مانند جریان یوگا یا حرکات کششی، برای بهبود دامنه حرکتی و جلوگیری از عدم تعادل عضلانی بحث کنید.</v>
      </c>
      <c r="H1408" s="1"/>
      <c r="I1408" s="1"/>
      <c r="J1408" s="1"/>
      <c r="K1408" s="1"/>
      <c r="L1408" s="1"/>
      <c r="M1408" s="1"/>
      <c r="N1408" s="1"/>
      <c r="O1408" s="1"/>
      <c r="P1408" s="1"/>
      <c r="Q1408" s="1"/>
      <c r="R1408" s="1"/>
      <c r="S1408" s="1"/>
      <c r="T1408" s="1"/>
      <c r="U1408" s="1"/>
      <c r="V1408" s="1"/>
      <c r="W1408" s="1"/>
      <c r="X1408" s="1"/>
      <c r="Y1408" s="1"/>
      <c r="Z1408" s="1"/>
      <c r="AA1408" s="1"/>
      <c r="AB1408" s="1"/>
    </row>
    <row r="1409" ht="50.25" customHeight="1">
      <c r="A1409" s="12">
        <v>1405.0</v>
      </c>
      <c r="B1409" s="13" t="s">
        <v>1275</v>
      </c>
      <c r="C1409" s="14" t="s">
        <v>1416</v>
      </c>
      <c r="D1409" s="1"/>
      <c r="E1409" s="15"/>
      <c r="F1409" s="1" t="str">
        <f>IFERROR(__xludf.DUMMYFUNCTION("GOOGLETRANSLATE(B1409, ""en"", ""fa"")
"),"روتین های تناسب اندام و ورزش")</f>
        <v>روتین های تناسب اندام و ورزش</v>
      </c>
      <c r="G1409" s="1" t="str">
        <f>IFERROR(__xludf.DUMMYFUNCTION("GOOGLETRANSLATE(C1409, ""en"", ""fa"")
"),"استراتژی‌هایی برای ترکیب فعالیت‌های خارج از منزل، مانند پیاده‌روی یا دویدن در مسیر، برای لذت بردن از طبیعت و در عین حال تمرین کامل بدن را به اشتراک بگذارید.")</f>
        <v>استراتژی‌هایی برای ترکیب فعالیت‌های خارج از منزل، مانند پیاده‌روی یا دویدن در مسیر، برای لذت بردن از طبیعت و در عین حال تمرین کامل بدن را به اشتراک بگذارید.</v>
      </c>
      <c r="H1409" s="1"/>
      <c r="I1409" s="1"/>
      <c r="J1409" s="1"/>
      <c r="K1409" s="1"/>
      <c r="L1409" s="1"/>
      <c r="M1409" s="1"/>
      <c r="N1409" s="1"/>
      <c r="O1409" s="1"/>
      <c r="P1409" s="1"/>
      <c r="Q1409" s="1"/>
      <c r="R1409" s="1"/>
      <c r="S1409" s="1"/>
      <c r="T1409" s="1"/>
      <c r="U1409" s="1"/>
      <c r="V1409" s="1"/>
      <c r="W1409" s="1"/>
      <c r="X1409" s="1"/>
      <c r="Y1409" s="1"/>
      <c r="Z1409" s="1"/>
      <c r="AA1409" s="1"/>
      <c r="AB1409" s="1"/>
    </row>
    <row r="1410" ht="50.25" customHeight="1">
      <c r="A1410" s="12">
        <v>1406.0</v>
      </c>
      <c r="B1410" s="13" t="s">
        <v>1275</v>
      </c>
      <c r="C1410" s="14" t="s">
        <v>1417</v>
      </c>
      <c r="D1410" s="1"/>
      <c r="E1410" s="15"/>
      <c r="F1410" s="1" t="str">
        <f>IFERROR(__xludf.DUMMYFUNCTION("GOOGLETRANSLATE(B1410, ""en"", ""fa"")
"),"روتین های تناسب اندام و ورزش")</f>
        <v>روتین های تناسب اندام و ورزش</v>
      </c>
      <c r="G1410" s="1" t="str">
        <f>IFERROR(__xludf.DUMMYFUNCTION("GOOGLETRANSLATE(C1410, ""en"", ""fa"")
"),"مزایای ترکیب تمرینات تمرینی عملکردی، مانند چرخاندن کتل بل یا ضربات توپ پزشکی، برای بهبود قدرت و تحرک برای حرکات روزمره را بررسی کنید.")</f>
        <v>مزایای ترکیب تمرینات تمرینی عملکردی، مانند چرخاندن کتل بل یا ضربات توپ پزشکی، برای بهبود قدرت و تحرک برای حرکات روزمره را بررسی کنید.</v>
      </c>
      <c r="H1410" s="1"/>
      <c r="I1410" s="1"/>
      <c r="J1410" s="1"/>
      <c r="K1410" s="1"/>
      <c r="L1410" s="1"/>
      <c r="M1410" s="1"/>
      <c r="N1410" s="1"/>
      <c r="O1410" s="1"/>
      <c r="P1410" s="1"/>
      <c r="Q1410" s="1"/>
      <c r="R1410" s="1"/>
      <c r="S1410" s="1"/>
      <c r="T1410" s="1"/>
      <c r="U1410" s="1"/>
      <c r="V1410" s="1"/>
      <c r="W1410" s="1"/>
      <c r="X1410" s="1"/>
      <c r="Y1410" s="1"/>
      <c r="Z1410" s="1"/>
      <c r="AA1410" s="1"/>
      <c r="AB1410" s="1"/>
    </row>
    <row r="1411" ht="50.25" customHeight="1">
      <c r="A1411" s="12">
        <v>1407.0</v>
      </c>
      <c r="B1411" s="13" t="s">
        <v>1275</v>
      </c>
      <c r="C1411" s="14" t="s">
        <v>1418</v>
      </c>
      <c r="D1411" s="1"/>
      <c r="E1411" s="15"/>
      <c r="F1411" s="1" t="str">
        <f>IFERROR(__xludf.DUMMYFUNCTION("GOOGLETRANSLATE(B1411, ""en"", ""fa"")
"),"روتین های تناسب اندام و ورزش")</f>
        <v>روتین های تناسب اندام و ورزش</v>
      </c>
      <c r="G1411" s="1" t="str">
        <f>IFERROR(__xludf.DUMMYFUNCTION("GOOGLETRANSLATE(C1411, ""en"", ""fa"")
"),"در مورد تاثیر ترکیب تمرینات باند مقاومتی، هدف قرار دادن عضلات بالاتنه، مانند ردیف ها یا حلقه های دوسر بازو، برای ایجاد قدرت و تن صحبت کنید.")</f>
        <v>در مورد تاثیر ترکیب تمرینات باند مقاومتی، هدف قرار دادن عضلات بالاتنه، مانند ردیف ها یا حلقه های دوسر بازو، برای ایجاد قدرت و تن صحبت کنید.</v>
      </c>
      <c r="H1411" s="1"/>
      <c r="I1411" s="1"/>
      <c r="J1411" s="1"/>
      <c r="K1411" s="1"/>
      <c r="L1411" s="1"/>
      <c r="M1411" s="1"/>
      <c r="N1411" s="1"/>
      <c r="O1411" s="1"/>
      <c r="P1411" s="1"/>
      <c r="Q1411" s="1"/>
      <c r="R1411" s="1"/>
      <c r="S1411" s="1"/>
      <c r="T1411" s="1"/>
      <c r="U1411" s="1"/>
      <c r="V1411" s="1"/>
      <c r="W1411" s="1"/>
      <c r="X1411" s="1"/>
      <c r="Y1411" s="1"/>
      <c r="Z1411" s="1"/>
      <c r="AA1411" s="1"/>
      <c r="AB1411" s="1"/>
    </row>
    <row r="1412" ht="50.25" customHeight="1">
      <c r="A1412" s="12">
        <v>1408.0</v>
      </c>
      <c r="B1412" s="13" t="s">
        <v>1275</v>
      </c>
      <c r="C1412" s="14" t="s">
        <v>1419</v>
      </c>
      <c r="D1412" s="1"/>
      <c r="E1412" s="15"/>
      <c r="F1412" s="1" t="str">
        <f>IFERROR(__xludf.DUMMYFUNCTION("GOOGLETRANSLATE(B1412, ""en"", ""fa"")
"),"روتین های تناسب اندام و ورزش")</f>
        <v>روتین های تناسب اندام و ورزش</v>
      </c>
      <c r="G1412" s="1" t="str">
        <f>IFERROR(__xludf.DUMMYFUNCTION("GOOGLETRANSLATE(C1412, ""en"", ""fa"")
"),"برای افزایش ضربان قلب و سوزاندن کالری، نکاتی را برای ترکیب تمرینات قلبی در خانه، مانند طناب زدن، زانوهای بلند، یا کوهنوردان به اشتراک بگذارید.")</f>
        <v>برای افزایش ضربان قلب و سوزاندن کالری، نکاتی را برای ترکیب تمرینات قلبی در خانه، مانند طناب زدن، زانوهای بلند، یا کوهنوردان به اشتراک بگذارید.</v>
      </c>
      <c r="H1412" s="1"/>
      <c r="I1412" s="1"/>
      <c r="J1412" s="1"/>
      <c r="K1412" s="1"/>
      <c r="L1412" s="1"/>
      <c r="M1412" s="1"/>
      <c r="N1412" s="1"/>
      <c r="O1412" s="1"/>
      <c r="P1412" s="1"/>
      <c r="Q1412" s="1"/>
      <c r="R1412" s="1"/>
      <c r="S1412" s="1"/>
      <c r="T1412" s="1"/>
      <c r="U1412" s="1"/>
      <c r="V1412" s="1"/>
      <c r="W1412" s="1"/>
      <c r="X1412" s="1"/>
      <c r="Y1412" s="1"/>
      <c r="Z1412" s="1"/>
      <c r="AA1412" s="1"/>
      <c r="AB1412" s="1"/>
    </row>
    <row r="1413" ht="50.25" customHeight="1">
      <c r="A1413" s="12">
        <v>1409.0</v>
      </c>
      <c r="B1413" s="13" t="s">
        <v>1275</v>
      </c>
      <c r="C1413" s="14" t="s">
        <v>1420</v>
      </c>
      <c r="D1413" s="1"/>
      <c r="E1413" s="15"/>
      <c r="F1413" s="1" t="str">
        <f>IFERROR(__xludf.DUMMYFUNCTION("GOOGLETRANSLATE(B1413, ""en"", ""fa"")
"),"روتین های تناسب اندام و ورزش")</f>
        <v>روتین های تناسب اندام و ورزش</v>
      </c>
      <c r="G1413" s="1" t="str">
        <f>IFERROR(__xludf.DUMMYFUNCTION("GOOGLETRANSLATE(C1413, ""en"", ""fa"")
"),"مفهوم ترکیب تمرین‌های ذهن‌آگاهی، مانند راه رفتن آگاهانه یا مدیتیشن‌های اسکن بدن را بررسی کنید تا در حین ورزش، آگاهی و تمرکز را به لحظه حال برسانید.")</f>
        <v>مفهوم ترکیب تمرین‌های ذهن‌آگاهی، مانند راه رفتن آگاهانه یا مدیتیشن‌های اسکن بدن را بررسی کنید تا در حین ورزش، آگاهی و تمرکز را به لحظه حال برسانید.</v>
      </c>
      <c r="H1413" s="1"/>
      <c r="I1413" s="1"/>
      <c r="J1413" s="1"/>
      <c r="K1413" s="1"/>
      <c r="L1413" s="1"/>
      <c r="M1413" s="1"/>
      <c r="N1413" s="1"/>
      <c r="O1413" s="1"/>
      <c r="P1413" s="1"/>
      <c r="Q1413" s="1"/>
      <c r="R1413" s="1"/>
      <c r="S1413" s="1"/>
      <c r="T1413" s="1"/>
      <c r="U1413" s="1"/>
      <c r="V1413" s="1"/>
      <c r="W1413" s="1"/>
      <c r="X1413" s="1"/>
      <c r="Y1413" s="1"/>
      <c r="Z1413" s="1"/>
      <c r="AA1413" s="1"/>
      <c r="AB1413" s="1"/>
    </row>
    <row r="1414" ht="50.25" customHeight="1">
      <c r="A1414" s="12">
        <v>1410.0</v>
      </c>
      <c r="B1414" s="13" t="s">
        <v>1275</v>
      </c>
      <c r="C1414" s="14" t="s">
        <v>1421</v>
      </c>
      <c r="D1414" s="1"/>
      <c r="E1414" s="15"/>
      <c r="F1414" s="1" t="str">
        <f>IFERROR(__xludf.DUMMYFUNCTION("GOOGLETRANSLATE(B1414, ""en"", ""fa"")
"),"روتین های تناسب اندام و ورزش")</f>
        <v>روتین های تناسب اندام و ورزش</v>
      </c>
      <c r="G1414" s="1" t="str">
        <f>IFERROR(__xludf.DUMMYFUNCTION("GOOGLETRANSLATE(C1414, ""en"", ""fa"")
"),"در مورد نقش ترکیب تمرینات تعادل و هماهنگی، مانند تمرینات بوسو با توپ یا تمرینات نردبان چابکی، برای بهبود ثبات کلی و مهارت های حرکتی بحث کنید.")</f>
        <v>در مورد نقش ترکیب تمرینات تعادل و هماهنگی، مانند تمرینات بوسو با توپ یا تمرینات نردبان چابکی، برای بهبود ثبات کلی و مهارت های حرکتی بحث کنید.</v>
      </c>
      <c r="H1414" s="1"/>
      <c r="I1414" s="1"/>
      <c r="J1414" s="1"/>
      <c r="K1414" s="1"/>
      <c r="L1414" s="1"/>
      <c r="M1414" s="1"/>
      <c r="N1414" s="1"/>
      <c r="O1414" s="1"/>
      <c r="P1414" s="1"/>
      <c r="Q1414" s="1"/>
      <c r="R1414" s="1"/>
      <c r="S1414" s="1"/>
      <c r="T1414" s="1"/>
      <c r="U1414" s="1"/>
      <c r="V1414" s="1"/>
      <c r="W1414" s="1"/>
      <c r="X1414" s="1"/>
      <c r="Y1414" s="1"/>
      <c r="Z1414" s="1"/>
      <c r="AA1414" s="1"/>
      <c r="AB1414" s="1"/>
    </row>
    <row r="1415" ht="50.25" customHeight="1">
      <c r="A1415" s="12">
        <v>1411.0</v>
      </c>
      <c r="B1415" s="13" t="s">
        <v>1275</v>
      </c>
      <c r="C1415" s="14" t="s">
        <v>1422</v>
      </c>
      <c r="D1415" s="1"/>
      <c r="E1415" s="15"/>
      <c r="F1415" s="1" t="str">
        <f>IFERROR(__xludf.DUMMYFUNCTION("GOOGLETRANSLATE(B1415, ""en"", ""fa"")
"),"روتین های تناسب اندام و ورزش")</f>
        <v>روتین های تناسب اندام و ورزش</v>
      </c>
      <c r="G1415" s="1" t="str">
        <f>IFERROR(__xludf.DUMMYFUNCTION("GOOGLETRANSLATE(C1415, ""en"", ""fa"")
"),"استراتژی‌هایی را برای ترکیب تمرین‌های قدرتی که پایین‌تنه را هدف قرار می‌دهند، مانند اسکات، لانگز، یا استپ‌آپ، برای عضله‌سازی و بهبود قدرت پایین‌تنه به اشتراک بگذارید.")</f>
        <v>استراتژی‌هایی را برای ترکیب تمرین‌های قدرتی که پایین‌تنه را هدف قرار می‌دهند، مانند اسکات، لانگز، یا استپ‌آپ، برای عضله‌سازی و بهبود قدرت پایین‌تنه به اشتراک بگذارید.</v>
      </c>
      <c r="H1415" s="1"/>
      <c r="I1415" s="1"/>
      <c r="J1415" s="1"/>
      <c r="K1415" s="1"/>
      <c r="L1415" s="1"/>
      <c r="M1415" s="1"/>
      <c r="N1415" s="1"/>
      <c r="O1415" s="1"/>
      <c r="P1415" s="1"/>
      <c r="Q1415" s="1"/>
      <c r="R1415" s="1"/>
      <c r="S1415" s="1"/>
      <c r="T1415" s="1"/>
      <c r="U1415" s="1"/>
      <c r="V1415" s="1"/>
      <c r="W1415" s="1"/>
      <c r="X1415" s="1"/>
      <c r="Y1415" s="1"/>
      <c r="Z1415" s="1"/>
      <c r="AA1415" s="1"/>
      <c r="AB1415" s="1"/>
    </row>
    <row r="1416" ht="50.25" customHeight="1">
      <c r="A1416" s="12">
        <v>1412.0</v>
      </c>
      <c r="B1416" s="13" t="s">
        <v>1275</v>
      </c>
      <c r="C1416" s="14" t="s">
        <v>1423</v>
      </c>
      <c r="D1416" s="1"/>
      <c r="E1416" s="15"/>
      <c r="F1416" s="1" t="str">
        <f>IFERROR(__xludf.DUMMYFUNCTION("GOOGLETRANSLATE(B1416, ""en"", ""fa"")
"),"روتین های تناسب اندام و ورزش")</f>
        <v>روتین های تناسب اندام و ورزش</v>
      </c>
      <c r="G1416" s="1" t="str">
        <f>IFERROR(__xludf.DUMMYFUNCTION("GOOGLETRANSLATE(C1416, ""en"", ""fa"")
"),"مزایای استفاده از تمرینات هوازی با حالت پایدار (LISS) با شدت کم، مانند پیاده روی سریع یا دوچرخه سواری، برای چربی سوزی و بهبود سلامت قلب و عروق را بررسی کنید.")</f>
        <v>مزایای استفاده از تمرینات هوازی با حالت پایدار (LISS) با شدت کم، مانند پیاده روی سریع یا دوچرخه سواری، برای چربی سوزی و بهبود سلامت قلب و عروق را بررسی کنید.</v>
      </c>
      <c r="H1416" s="1"/>
      <c r="I1416" s="1"/>
      <c r="J1416" s="1"/>
      <c r="K1416" s="1"/>
      <c r="L1416" s="1"/>
      <c r="M1416" s="1"/>
      <c r="N1416" s="1"/>
      <c r="O1416" s="1"/>
      <c r="P1416" s="1"/>
      <c r="Q1416" s="1"/>
      <c r="R1416" s="1"/>
      <c r="S1416" s="1"/>
      <c r="T1416" s="1"/>
      <c r="U1416" s="1"/>
      <c r="V1416" s="1"/>
      <c r="W1416" s="1"/>
      <c r="X1416" s="1"/>
      <c r="Y1416" s="1"/>
      <c r="Z1416" s="1"/>
      <c r="AA1416" s="1"/>
      <c r="AB1416" s="1"/>
    </row>
    <row r="1417" ht="50.25" customHeight="1">
      <c r="A1417" s="12">
        <v>1413.0</v>
      </c>
      <c r="B1417" s="13" t="s">
        <v>1275</v>
      </c>
      <c r="C1417" s="14" t="s">
        <v>1424</v>
      </c>
      <c r="D1417" s="1"/>
      <c r="E1417" s="15"/>
      <c r="F1417" s="1" t="str">
        <f>IFERROR(__xludf.DUMMYFUNCTION("GOOGLETRANSLATE(B1417, ""en"", ""fa"")
"),"روتین های تناسب اندام و ورزش")</f>
        <v>روتین های تناسب اندام و ورزش</v>
      </c>
      <c r="G1417" s="1" t="str">
        <f>IFERROR(__xludf.DUMMYFUNCTION("GOOGLETRANSLATE(C1417, ""en"", ""fa"")
"),"در مورد تأثیر ترکیب تمریناتی که وضعیت بدن را بهبود می بخشد، مانند کشش ستون فقرات قفسه سینه یا جمع شدن شانه، برای کاهش عدم تعادل عضلانی و جلوگیری از آسیب ها بحث کنید.")</f>
        <v>در مورد تأثیر ترکیب تمریناتی که وضعیت بدن را بهبود می بخشد، مانند کشش ستون فقرات قفسه سینه یا جمع شدن شانه، برای کاهش عدم تعادل عضلانی و جلوگیری از آسیب ها بحث کنید.</v>
      </c>
      <c r="H1417" s="1"/>
      <c r="I1417" s="1"/>
      <c r="J1417" s="1"/>
      <c r="K1417" s="1"/>
      <c r="L1417" s="1"/>
      <c r="M1417" s="1"/>
      <c r="N1417" s="1"/>
      <c r="O1417" s="1"/>
      <c r="P1417" s="1"/>
      <c r="Q1417" s="1"/>
      <c r="R1417" s="1"/>
      <c r="S1417" s="1"/>
      <c r="T1417" s="1"/>
      <c r="U1417" s="1"/>
      <c r="V1417" s="1"/>
      <c r="W1417" s="1"/>
      <c r="X1417" s="1"/>
      <c r="Y1417" s="1"/>
      <c r="Z1417" s="1"/>
      <c r="AA1417" s="1"/>
      <c r="AB1417" s="1"/>
    </row>
    <row r="1418" ht="50.25" customHeight="1">
      <c r="A1418" s="12">
        <v>1414.0</v>
      </c>
      <c r="B1418" s="13" t="s">
        <v>1275</v>
      </c>
      <c r="C1418" s="14" t="s">
        <v>1425</v>
      </c>
      <c r="D1418" s="1"/>
      <c r="E1418" s="15"/>
      <c r="F1418" s="1" t="str">
        <f>IFERROR(__xludf.DUMMYFUNCTION("GOOGLETRANSLATE(B1418, ""en"", ""fa"")
"),"روتین های تناسب اندام و ورزش")</f>
        <v>روتین های تناسب اندام و ورزش</v>
      </c>
      <c r="G1418" s="1" t="str">
        <f>IFERROR(__xludf.DUMMYFUNCTION("GOOGLETRANSLATE(C1418, ""en"", ""fa"")
"),"نکاتی را برای ترکیب تمرینات تمرینی مقاومتی که عضلات پشت را هدف قرار می دهند، مانند کشش لت یا ردیف کردن، برای بهبود وضعیت و قدرت بالای بدن به اشتراک بگذارید.")</f>
        <v>نکاتی را برای ترکیب تمرینات تمرینی مقاومتی که عضلات پشت را هدف قرار می دهند، مانند کشش لت یا ردیف کردن، برای بهبود وضعیت و قدرت بالای بدن به اشتراک بگذارید.</v>
      </c>
      <c r="H1418" s="1"/>
      <c r="I1418" s="1"/>
      <c r="J1418" s="1"/>
      <c r="K1418" s="1"/>
      <c r="L1418" s="1"/>
      <c r="M1418" s="1"/>
      <c r="N1418" s="1"/>
      <c r="O1418" s="1"/>
      <c r="P1418" s="1"/>
      <c r="Q1418" s="1"/>
      <c r="R1418" s="1"/>
      <c r="S1418" s="1"/>
      <c r="T1418" s="1"/>
      <c r="U1418" s="1"/>
      <c r="V1418" s="1"/>
      <c r="W1418" s="1"/>
      <c r="X1418" s="1"/>
      <c r="Y1418" s="1"/>
      <c r="Z1418" s="1"/>
      <c r="AA1418" s="1"/>
      <c r="AB1418" s="1"/>
    </row>
    <row r="1419" ht="50.25" customHeight="1">
      <c r="A1419" s="12">
        <v>1415.0</v>
      </c>
      <c r="B1419" s="13" t="s">
        <v>1275</v>
      </c>
      <c r="C1419" s="14" t="s">
        <v>1426</v>
      </c>
      <c r="D1419" s="1"/>
      <c r="E1419" s="15"/>
      <c r="F1419" s="1" t="str">
        <f>IFERROR(__xludf.DUMMYFUNCTION("GOOGLETRANSLATE(B1419, ""en"", ""fa"")
"),"روتین های تناسب اندام و ورزش")</f>
        <v>روتین های تناسب اندام و ورزش</v>
      </c>
      <c r="G1419" s="1" t="str">
        <f>IFERROR(__xludf.DUMMYFUNCTION("GOOGLETRANSLATE(C1419, ""en"", ""fa"")
"),"مفهوم ترکیب تمرینات با وزن بدن را که با هسته بدن درگیر می شوند، مانند کوهنوردان یا تغییرات پلانک، برای تقویت عضلات شکم بررسی کنید.")</f>
        <v>مفهوم ترکیب تمرینات با وزن بدن را که با هسته بدن درگیر می شوند، مانند کوهنوردان یا تغییرات پلانک، برای تقویت عضلات شکم بررسی کنید.</v>
      </c>
      <c r="H1419" s="1"/>
      <c r="I1419" s="1"/>
      <c r="J1419" s="1"/>
      <c r="K1419" s="1"/>
      <c r="L1419" s="1"/>
      <c r="M1419" s="1"/>
      <c r="N1419" s="1"/>
      <c r="O1419" s="1"/>
      <c r="P1419" s="1"/>
      <c r="Q1419" s="1"/>
      <c r="R1419" s="1"/>
      <c r="S1419" s="1"/>
      <c r="T1419" s="1"/>
      <c r="U1419" s="1"/>
      <c r="V1419" s="1"/>
      <c r="W1419" s="1"/>
      <c r="X1419" s="1"/>
      <c r="Y1419" s="1"/>
      <c r="Z1419" s="1"/>
      <c r="AA1419" s="1"/>
      <c r="AB1419" s="1"/>
    </row>
    <row r="1420" ht="50.25" customHeight="1">
      <c r="A1420" s="12">
        <v>1416.0</v>
      </c>
      <c r="B1420" s="13" t="s">
        <v>1275</v>
      </c>
      <c r="C1420" s="14" t="s">
        <v>1427</v>
      </c>
      <c r="D1420" s="1"/>
      <c r="E1420" s="15"/>
      <c r="F1420" s="1" t="str">
        <f>IFERROR(__xludf.DUMMYFUNCTION("GOOGLETRANSLATE(B1420, ""en"", ""fa"")
"),"روتین های تناسب اندام و ورزش")</f>
        <v>روتین های تناسب اندام و ورزش</v>
      </c>
      <c r="G1420" s="1" t="str">
        <f>IFERROR(__xludf.DUMMYFUNCTION("GOOGLETRANSLATE(C1420, ""en"", ""fa"")
"),"در مورد نقش ترکیب تمرینات گرم کردن پویا، مانند جک‌های پرش یا چرخاندن پا، برای آماده‌سازی بدن برای حرکت و جلوگیری از آسیب‌ها بحث کنید.")</f>
        <v>در مورد نقش ترکیب تمرینات گرم کردن پویا، مانند جک‌های پرش یا چرخاندن پا، برای آماده‌سازی بدن برای حرکت و جلوگیری از آسیب‌ها بحث کنید.</v>
      </c>
      <c r="H1420" s="1"/>
      <c r="I1420" s="1"/>
      <c r="J1420" s="1"/>
      <c r="K1420" s="1"/>
      <c r="L1420" s="1"/>
      <c r="M1420" s="1"/>
      <c r="N1420" s="1"/>
      <c r="O1420" s="1"/>
      <c r="P1420" s="1"/>
      <c r="Q1420" s="1"/>
      <c r="R1420" s="1"/>
      <c r="S1420" s="1"/>
      <c r="T1420" s="1"/>
      <c r="U1420" s="1"/>
      <c r="V1420" s="1"/>
      <c r="W1420" s="1"/>
      <c r="X1420" s="1"/>
      <c r="Y1420" s="1"/>
      <c r="Z1420" s="1"/>
      <c r="AA1420" s="1"/>
      <c r="AB1420" s="1"/>
    </row>
    <row r="1421" ht="50.25" customHeight="1">
      <c r="A1421" s="12">
        <v>1417.0</v>
      </c>
      <c r="B1421" s="13" t="s">
        <v>1275</v>
      </c>
      <c r="C1421" s="14" t="s">
        <v>1428</v>
      </c>
      <c r="D1421" s="1"/>
      <c r="E1421" s="15"/>
      <c r="F1421" s="1" t="str">
        <f>IFERROR(__xludf.DUMMYFUNCTION("GOOGLETRANSLATE(B1421, ""en"", ""fa"")
"),"روتین های تناسب اندام و ورزش")</f>
        <v>روتین های تناسب اندام و ورزش</v>
      </c>
      <c r="G1421" s="1" t="str">
        <f>IFERROR(__xludf.DUMMYFUNCTION("GOOGLETRANSLATE(C1421, ""en"", ""fa"")
"),"استراتژی‌هایی را برای ترکیب تمرینات قدرتی که عضلات بازوها را هدف قرار می‌دهند، مانند شیب سه‌سر یا حلقه‌های دوسر بازو، برای ایجاد تعریف و قدرت به اشتراک بگذارید.")</f>
        <v>استراتژی‌هایی را برای ترکیب تمرینات قدرتی که عضلات بازوها را هدف قرار می‌دهند، مانند شیب سه‌سر یا حلقه‌های دوسر بازو، برای ایجاد تعریف و قدرت به اشتراک بگذارید.</v>
      </c>
      <c r="H1421" s="1"/>
      <c r="I1421" s="1"/>
      <c r="J1421" s="1"/>
      <c r="K1421" s="1"/>
      <c r="L1421" s="1"/>
      <c r="M1421" s="1"/>
      <c r="N1421" s="1"/>
      <c r="O1421" s="1"/>
      <c r="P1421" s="1"/>
      <c r="Q1421" s="1"/>
      <c r="R1421" s="1"/>
      <c r="S1421" s="1"/>
      <c r="T1421" s="1"/>
      <c r="U1421" s="1"/>
      <c r="V1421" s="1"/>
      <c r="W1421" s="1"/>
      <c r="X1421" s="1"/>
      <c r="Y1421" s="1"/>
      <c r="Z1421" s="1"/>
      <c r="AA1421" s="1"/>
      <c r="AB1421" s="1"/>
    </row>
    <row r="1422" ht="50.25" customHeight="1">
      <c r="A1422" s="12">
        <v>1418.0</v>
      </c>
      <c r="B1422" s="13" t="s">
        <v>1275</v>
      </c>
      <c r="C1422" s="14" t="s">
        <v>1429</v>
      </c>
      <c r="D1422" s="1"/>
      <c r="E1422" s="15"/>
      <c r="F1422" s="1" t="str">
        <f>IFERROR(__xludf.DUMMYFUNCTION("GOOGLETRANSLATE(B1422, ""en"", ""fa"")
"),"روتین های تناسب اندام و ورزش")</f>
        <v>روتین های تناسب اندام و ورزش</v>
      </c>
      <c r="G1422" s="1" t="str">
        <f>IFERROR(__xludf.DUMMYFUNCTION("GOOGLETRANSLATE(C1422, ""en"", ""fa"")
"),"مزایای ترکیب تمرینات اینتروال بر روی دستگاه های کاردیو، مانند تردمیل یا دوچرخه ثابت، متناوب بین دوی سرعت با شدت بالا و دوره های ریکاوری را بررسی کنید.")</f>
        <v>مزایای ترکیب تمرینات اینتروال بر روی دستگاه های کاردیو، مانند تردمیل یا دوچرخه ثابت، متناوب بین دوی سرعت با شدت بالا و دوره های ریکاوری را بررسی کنید.</v>
      </c>
      <c r="H1422" s="1"/>
      <c r="I1422" s="1"/>
      <c r="J1422" s="1"/>
      <c r="K1422" s="1"/>
      <c r="L1422" s="1"/>
      <c r="M1422" s="1"/>
      <c r="N1422" s="1"/>
      <c r="O1422" s="1"/>
      <c r="P1422" s="1"/>
      <c r="Q1422" s="1"/>
      <c r="R1422" s="1"/>
      <c r="S1422" s="1"/>
      <c r="T1422" s="1"/>
      <c r="U1422" s="1"/>
      <c r="V1422" s="1"/>
      <c r="W1422" s="1"/>
      <c r="X1422" s="1"/>
      <c r="Y1422" s="1"/>
      <c r="Z1422" s="1"/>
      <c r="AA1422" s="1"/>
      <c r="AB1422" s="1"/>
    </row>
    <row r="1423" ht="50.25" customHeight="1">
      <c r="A1423" s="12">
        <v>1419.0</v>
      </c>
      <c r="B1423" s="13" t="s">
        <v>1275</v>
      </c>
      <c r="C1423" s="14" t="s">
        <v>1430</v>
      </c>
      <c r="D1423" s="1"/>
      <c r="E1423" s="15"/>
      <c r="F1423" s="1" t="str">
        <f>IFERROR(__xludf.DUMMYFUNCTION("GOOGLETRANSLATE(B1423, ""en"", ""fa"")
"),"روتین های تناسب اندام و ورزش")</f>
        <v>روتین های تناسب اندام و ورزش</v>
      </c>
      <c r="G1423" s="1" t="str">
        <f>IFERROR(__xludf.DUMMYFUNCTION("GOOGLETRANSLATE(C1423, ""en"", ""fa"")
"),"در مورد تأثیر ترکیب تمریناتی که عضلات قفسه سینه را هدف قرار می دهند، مانند فشار دادن قفسه سینه یا فشار روی سینه، برای تقویت و تقویت قسمت بالایی بدن بحث کنید.")</f>
        <v>در مورد تأثیر ترکیب تمریناتی که عضلات قفسه سینه را هدف قرار می دهند، مانند فشار دادن قفسه سینه یا فشار روی سینه، برای تقویت و تقویت قسمت بالایی بدن بحث کنید.</v>
      </c>
      <c r="H1423" s="1"/>
      <c r="I1423" s="1"/>
      <c r="J1423" s="1"/>
      <c r="K1423" s="1"/>
      <c r="L1423" s="1"/>
      <c r="M1423" s="1"/>
      <c r="N1423" s="1"/>
      <c r="O1423" s="1"/>
      <c r="P1423" s="1"/>
      <c r="Q1423" s="1"/>
      <c r="R1423" s="1"/>
      <c r="S1423" s="1"/>
      <c r="T1423" s="1"/>
      <c r="U1423" s="1"/>
      <c r="V1423" s="1"/>
      <c r="W1423" s="1"/>
      <c r="X1423" s="1"/>
      <c r="Y1423" s="1"/>
      <c r="Z1423" s="1"/>
      <c r="AA1423" s="1"/>
      <c r="AB1423" s="1"/>
    </row>
    <row r="1424" ht="50.25" customHeight="1">
      <c r="A1424" s="12">
        <v>1420.0</v>
      </c>
      <c r="B1424" s="13" t="s">
        <v>1275</v>
      </c>
      <c r="C1424" s="14" t="s">
        <v>1431</v>
      </c>
      <c r="D1424" s="1"/>
      <c r="E1424" s="15"/>
      <c r="F1424" s="1" t="str">
        <f>IFERROR(__xludf.DUMMYFUNCTION("GOOGLETRANSLATE(B1424, ""en"", ""fa"")
"),"روتین های تناسب اندام و ورزش")</f>
        <v>روتین های تناسب اندام و ورزش</v>
      </c>
      <c r="G1424" s="1" t="str">
        <f>IFERROR(__xludf.DUMMYFUNCTION("GOOGLETRANSLATE(C1424, ""en"", ""fa"")
"),"نکاتی را برای ترکیب تمرینات کششی برای گردن و شانه ها برای کاهش تنش و بهبود تحرک در این مناطق معمولاً سفت به اشتراک بگذارید.")</f>
        <v>نکاتی را برای ترکیب تمرینات کششی برای گردن و شانه ها برای کاهش تنش و بهبود تحرک در این مناطق معمولاً سفت به اشتراک بگذارید.</v>
      </c>
      <c r="H1424" s="1"/>
      <c r="I1424" s="1"/>
      <c r="J1424" s="1"/>
      <c r="K1424" s="1"/>
      <c r="L1424" s="1"/>
      <c r="M1424" s="1"/>
      <c r="N1424" s="1"/>
      <c r="O1424" s="1"/>
      <c r="P1424" s="1"/>
      <c r="Q1424" s="1"/>
      <c r="R1424" s="1"/>
      <c r="S1424" s="1"/>
      <c r="T1424" s="1"/>
      <c r="U1424" s="1"/>
      <c r="V1424" s="1"/>
      <c r="W1424" s="1"/>
      <c r="X1424" s="1"/>
      <c r="Y1424" s="1"/>
      <c r="Z1424" s="1"/>
      <c r="AA1424" s="1"/>
      <c r="AB1424" s="1"/>
    </row>
    <row r="1425" ht="50.25" customHeight="1">
      <c r="A1425" s="12">
        <v>1421.0</v>
      </c>
      <c r="B1425" s="13" t="s">
        <v>1275</v>
      </c>
      <c r="C1425" s="14" t="s">
        <v>1432</v>
      </c>
      <c r="D1425" s="1"/>
      <c r="E1425" s="15"/>
      <c r="F1425" s="1" t="str">
        <f>IFERROR(__xludf.DUMMYFUNCTION("GOOGLETRANSLATE(B1425, ""en"", ""fa"")
"),"روتین های تناسب اندام و ورزش")</f>
        <v>روتین های تناسب اندام و ورزش</v>
      </c>
      <c r="G1425" s="1" t="str">
        <f>IFERROR(__xludf.DUMMYFUNCTION("GOOGLETRANSLATE(C1425, ""en"", ""fa"")
"),"مفهوم ترکیب تمرینات قلبی کم تاثیر، مانند شنا یا تمرین بیضوی، را برای افرادی که مشکلات مفصلی دارند یا در حال بهبودی پس از صدمات هستند را بررسی کنید.")</f>
        <v>مفهوم ترکیب تمرینات قلبی کم تاثیر، مانند شنا یا تمرین بیضوی، را برای افرادی که مشکلات مفصلی دارند یا در حال بهبودی پس از صدمات هستند را بررسی کنید.</v>
      </c>
      <c r="H1425" s="1"/>
      <c r="I1425" s="1"/>
      <c r="J1425" s="1"/>
      <c r="K1425" s="1"/>
      <c r="L1425" s="1"/>
      <c r="M1425" s="1"/>
      <c r="N1425" s="1"/>
      <c r="O1425" s="1"/>
      <c r="P1425" s="1"/>
      <c r="Q1425" s="1"/>
      <c r="R1425" s="1"/>
      <c r="S1425" s="1"/>
      <c r="T1425" s="1"/>
      <c r="U1425" s="1"/>
      <c r="V1425" s="1"/>
      <c r="W1425" s="1"/>
      <c r="X1425" s="1"/>
      <c r="Y1425" s="1"/>
      <c r="Z1425" s="1"/>
      <c r="AA1425" s="1"/>
      <c r="AB1425" s="1"/>
    </row>
    <row r="1426" ht="50.25" customHeight="1">
      <c r="A1426" s="12">
        <v>1422.0</v>
      </c>
      <c r="B1426" s="13" t="s">
        <v>1275</v>
      </c>
      <c r="C1426" s="14" t="s">
        <v>1433</v>
      </c>
      <c r="D1426" s="1"/>
      <c r="E1426" s="15"/>
      <c r="F1426" s="1" t="str">
        <f>IFERROR(__xludf.DUMMYFUNCTION("GOOGLETRANSLATE(B1426, ""en"", ""fa"")
"),"روتین های تناسب اندام و ورزش")</f>
        <v>روتین های تناسب اندام و ورزش</v>
      </c>
      <c r="G1426" s="1" t="str">
        <f>IFERROR(__xludf.DUMMYFUNCTION("GOOGLETRANSLATE(C1426, ""en"", ""fa"")
"),"در مورد نقش ترکیب تمریناتی که عضلات پاها را هدف قرار می دهند، مانند اسکات، لانژ یا پرس پا، برای ایجاد قدرت و تون بدن پایین تر صحبت کنید.")</f>
        <v>در مورد نقش ترکیب تمریناتی که عضلات پاها را هدف قرار می دهند، مانند اسکات، لانژ یا پرس پا، برای ایجاد قدرت و تون بدن پایین تر صحبت کنید.</v>
      </c>
      <c r="H1426" s="1"/>
      <c r="I1426" s="1"/>
      <c r="J1426" s="1"/>
      <c r="K1426" s="1"/>
      <c r="L1426" s="1"/>
      <c r="M1426" s="1"/>
      <c r="N1426" s="1"/>
      <c r="O1426" s="1"/>
      <c r="P1426" s="1"/>
      <c r="Q1426" s="1"/>
      <c r="R1426" s="1"/>
      <c r="S1426" s="1"/>
      <c r="T1426" s="1"/>
      <c r="U1426" s="1"/>
      <c r="V1426" s="1"/>
      <c r="W1426" s="1"/>
      <c r="X1426" s="1"/>
      <c r="Y1426" s="1"/>
      <c r="Z1426" s="1"/>
      <c r="AA1426" s="1"/>
      <c r="AB1426" s="1"/>
    </row>
    <row r="1427" ht="50.25" customHeight="1">
      <c r="A1427" s="12">
        <v>1423.0</v>
      </c>
      <c r="B1427" s="13" t="s">
        <v>1275</v>
      </c>
      <c r="C1427" s="14" t="s">
        <v>1434</v>
      </c>
      <c r="D1427" s="1"/>
      <c r="E1427" s="15"/>
      <c r="F1427" s="1" t="str">
        <f>IFERROR(__xludf.DUMMYFUNCTION("GOOGLETRANSLATE(B1427, ""en"", ""fa"")
"),"روتین های تناسب اندام و ورزش")</f>
        <v>روتین های تناسب اندام و ورزش</v>
      </c>
      <c r="G1427" s="1" t="str">
        <f>IFERROR(__xludf.DUMMYFUNCTION("GOOGLETRANSLATE(C1427, ""en"", ""fa"")
"),"استراتژی‌هایی را برای ترکیب تمرین‌های باند مقاومتی که عضلات پاها را هدف قرار می‌دهند، مانند راه رفتن باند جانبی یا پل‌های سرینی، برای فعال کردن و تقویت قسمت پایین تنه به اشتراک بگذارید.")</f>
        <v>استراتژی‌هایی را برای ترکیب تمرین‌های باند مقاومتی که عضلات پاها را هدف قرار می‌دهند، مانند راه رفتن باند جانبی یا پل‌های سرینی، برای فعال کردن و تقویت قسمت پایین تنه به اشتراک بگذارید.</v>
      </c>
      <c r="H1427" s="1"/>
      <c r="I1427" s="1"/>
      <c r="J1427" s="1"/>
      <c r="K1427" s="1"/>
      <c r="L1427" s="1"/>
      <c r="M1427" s="1"/>
      <c r="N1427" s="1"/>
      <c r="O1427" s="1"/>
      <c r="P1427" s="1"/>
      <c r="Q1427" s="1"/>
      <c r="R1427" s="1"/>
      <c r="S1427" s="1"/>
      <c r="T1427" s="1"/>
      <c r="U1427" s="1"/>
      <c r="V1427" s="1"/>
      <c r="W1427" s="1"/>
      <c r="X1427" s="1"/>
      <c r="Y1427" s="1"/>
      <c r="Z1427" s="1"/>
      <c r="AA1427" s="1"/>
      <c r="AB1427" s="1"/>
    </row>
    <row r="1428" ht="50.25" customHeight="1">
      <c r="A1428" s="12">
        <v>1424.0</v>
      </c>
      <c r="B1428" s="13" t="s">
        <v>1275</v>
      </c>
      <c r="C1428" s="14" t="s">
        <v>1435</v>
      </c>
      <c r="D1428" s="1"/>
      <c r="E1428" s="15"/>
      <c r="F1428" s="1" t="str">
        <f>IFERROR(__xludf.DUMMYFUNCTION("GOOGLETRANSLATE(B1428, ""en"", ""fa"")
"),"روتین های تناسب اندام و ورزش")</f>
        <v>روتین های تناسب اندام و ورزش</v>
      </c>
      <c r="G1428" s="1" t="str">
        <f>IFERROR(__xludf.DUMMYFUNCTION("GOOGLETRANSLATE(C1428, ""en"", ""fa"")
"),"مزایای ترکیب تمرینات پیلاتس، مانند صد یا رول آپ پیلاتس، برای بهبود قدرت مرکزی و هم ترازی کلی بدن را بررسی کنید.")</f>
        <v>مزایای ترکیب تمرینات پیلاتس، مانند صد یا رول آپ پیلاتس، برای بهبود قدرت مرکزی و هم ترازی کلی بدن را بررسی کنید.</v>
      </c>
      <c r="H1428" s="1"/>
      <c r="I1428" s="1"/>
      <c r="J1428" s="1"/>
      <c r="K1428" s="1"/>
      <c r="L1428" s="1"/>
      <c r="M1428" s="1"/>
      <c r="N1428" s="1"/>
      <c r="O1428" s="1"/>
      <c r="P1428" s="1"/>
      <c r="Q1428" s="1"/>
      <c r="R1428" s="1"/>
      <c r="S1428" s="1"/>
      <c r="T1428" s="1"/>
      <c r="U1428" s="1"/>
      <c r="V1428" s="1"/>
      <c r="W1428" s="1"/>
      <c r="X1428" s="1"/>
      <c r="Y1428" s="1"/>
      <c r="Z1428" s="1"/>
      <c r="AA1428" s="1"/>
      <c r="AB1428" s="1"/>
    </row>
    <row r="1429" ht="50.25" customHeight="1">
      <c r="A1429" s="12">
        <v>1425.0</v>
      </c>
      <c r="B1429" s="13" t="s">
        <v>1275</v>
      </c>
      <c r="C1429" s="14" t="s">
        <v>1436</v>
      </c>
      <c r="D1429" s="1"/>
      <c r="E1429" s="15"/>
      <c r="F1429" s="1" t="str">
        <f>IFERROR(__xludf.DUMMYFUNCTION("GOOGLETRANSLATE(B1429, ""en"", ""fa"")
"),"روتین های تناسب اندام و ورزش")</f>
        <v>روتین های تناسب اندام و ورزش</v>
      </c>
      <c r="G1429" s="1" t="str">
        <f>IFERROR(__xludf.DUMMYFUNCTION("GOOGLETRANSLATE(C1429, ""en"", ""fa"")
"),"در مورد تاثیر ترکیب تمرینات کششی که بر روی باسن و باسن تمرکز می کنند، مانند کشش های خم کننده لگن یا حالت کبوتر، برای بهبود انعطاف پذیری و کاهش درد کمر بحث کنید.")</f>
        <v>در مورد تاثیر ترکیب تمرینات کششی که بر روی باسن و باسن تمرکز می کنند، مانند کشش های خم کننده لگن یا حالت کبوتر، برای بهبود انعطاف پذیری و کاهش درد کمر بحث کنید.</v>
      </c>
      <c r="H1429" s="1"/>
      <c r="I1429" s="1"/>
      <c r="J1429" s="1"/>
      <c r="K1429" s="1"/>
      <c r="L1429" s="1"/>
      <c r="M1429" s="1"/>
      <c r="N1429" s="1"/>
      <c r="O1429" s="1"/>
      <c r="P1429" s="1"/>
      <c r="Q1429" s="1"/>
      <c r="R1429" s="1"/>
      <c r="S1429" s="1"/>
      <c r="T1429" s="1"/>
      <c r="U1429" s="1"/>
      <c r="V1429" s="1"/>
      <c r="W1429" s="1"/>
      <c r="X1429" s="1"/>
      <c r="Y1429" s="1"/>
      <c r="Z1429" s="1"/>
      <c r="AA1429" s="1"/>
      <c r="AB1429" s="1"/>
    </row>
    <row r="1430" ht="50.25" customHeight="1">
      <c r="A1430" s="12">
        <v>1426.0</v>
      </c>
      <c r="B1430" s="13" t="s">
        <v>1275</v>
      </c>
      <c r="C1430" s="14" t="s">
        <v>1437</v>
      </c>
      <c r="D1430" s="1"/>
      <c r="E1430" s="15"/>
      <c r="F1430" s="1" t="str">
        <f>IFERROR(__xludf.DUMMYFUNCTION("GOOGLETRANSLATE(B1430, ""en"", ""fa"")
"),"روتین های تناسب اندام و ورزش")</f>
        <v>روتین های تناسب اندام و ورزش</v>
      </c>
      <c r="G1430" s="1" t="str">
        <f>IFERROR(__xludf.DUMMYFUNCTION("GOOGLETRANSLATE(C1430, ""en"", ""fa"")
"),"نکاتی را برای ترکیب تمرینات قلبی عروقی که می توان در خانه انجام داد، مانند جک های پرش، کوهنوردی، یا رقصیدن، برای افزایش ضربان قلب و سوزاندن کالری به اشتراک بگذارید.")</f>
        <v>نکاتی را برای ترکیب تمرینات قلبی عروقی که می توان در خانه انجام داد، مانند جک های پرش، کوهنوردی، یا رقصیدن، برای افزایش ضربان قلب و سوزاندن کالری به اشتراک بگذارید.</v>
      </c>
      <c r="H1430" s="1"/>
      <c r="I1430" s="1"/>
      <c r="J1430" s="1"/>
      <c r="K1430" s="1"/>
      <c r="L1430" s="1"/>
      <c r="M1430" s="1"/>
      <c r="N1430" s="1"/>
      <c r="O1430" s="1"/>
      <c r="P1430" s="1"/>
      <c r="Q1430" s="1"/>
      <c r="R1430" s="1"/>
      <c r="S1430" s="1"/>
      <c r="T1430" s="1"/>
      <c r="U1430" s="1"/>
      <c r="V1430" s="1"/>
      <c r="W1430" s="1"/>
      <c r="X1430" s="1"/>
      <c r="Y1430" s="1"/>
      <c r="Z1430" s="1"/>
      <c r="AA1430" s="1"/>
      <c r="AB1430" s="1"/>
    </row>
    <row r="1431" ht="50.25" customHeight="1">
      <c r="A1431" s="12">
        <v>1427.0</v>
      </c>
      <c r="B1431" s="13" t="s">
        <v>1275</v>
      </c>
      <c r="C1431" s="14" t="s">
        <v>1438</v>
      </c>
      <c r="D1431" s="1"/>
      <c r="E1431" s="15"/>
      <c r="F1431" s="1" t="str">
        <f>IFERROR(__xludf.DUMMYFUNCTION("GOOGLETRANSLATE(B1431, ""en"", ""fa"")
"),"روتین های تناسب اندام و ورزش")</f>
        <v>روتین های تناسب اندام و ورزش</v>
      </c>
      <c r="G1431" s="1" t="str">
        <f>IFERROR(__xludf.DUMMYFUNCTION("GOOGLETRANSLATE(C1431, ""en"", ""fa"")
"),"در مورد اهمیت گوش دادن فعال در ایجاد روابط قوی و معنادار بحث کنید.")</f>
        <v>در مورد اهمیت گوش دادن فعال در ایجاد روابط قوی و معنادار بحث کنید.</v>
      </c>
      <c r="H1431" s="1"/>
      <c r="I1431" s="1"/>
      <c r="J1431" s="1"/>
      <c r="K1431" s="1"/>
      <c r="L1431" s="1"/>
      <c r="M1431" s="1"/>
      <c r="N1431" s="1"/>
      <c r="O1431" s="1"/>
      <c r="P1431" s="1"/>
      <c r="Q1431" s="1"/>
      <c r="R1431" s="1"/>
      <c r="S1431" s="1"/>
      <c r="T1431" s="1"/>
      <c r="U1431" s="1"/>
      <c r="V1431" s="1"/>
      <c r="W1431" s="1"/>
      <c r="X1431" s="1"/>
      <c r="Y1431" s="1"/>
      <c r="Z1431" s="1"/>
      <c r="AA1431" s="1"/>
      <c r="AB1431" s="1"/>
    </row>
    <row r="1432" ht="50.25" customHeight="1">
      <c r="A1432" s="12">
        <v>1428.0</v>
      </c>
      <c r="B1432" s="13" t="s">
        <v>1275</v>
      </c>
      <c r="C1432" s="14" t="s">
        <v>1439</v>
      </c>
      <c r="D1432" s="1"/>
      <c r="E1432" s="15"/>
      <c r="F1432" s="1" t="str">
        <f>IFERROR(__xludf.DUMMYFUNCTION("GOOGLETRANSLATE(B1432, ""en"", ""fa"")
"),"روتین های تناسب اندام و ورزش")</f>
        <v>روتین های تناسب اندام و ورزش</v>
      </c>
      <c r="G1432" s="1" t="str">
        <f>IFERROR(__xludf.DUMMYFUNCTION("GOOGLETRANSLATE(C1432, ""en"", ""fa"")
"),"نکاتی را برای حل موثر تعارض در روابط با تمرکز بر ارتباطات سازنده و سازش به اشتراک بگذارید.")</f>
        <v>نکاتی را برای حل موثر تعارض در روابط با تمرکز بر ارتباطات سازنده و سازش به اشتراک بگذارید.</v>
      </c>
      <c r="H1432" s="1"/>
      <c r="I1432" s="1"/>
      <c r="J1432" s="1"/>
      <c r="K1432" s="1"/>
      <c r="L1432" s="1"/>
      <c r="M1432" s="1"/>
      <c r="N1432" s="1"/>
      <c r="O1432" s="1"/>
      <c r="P1432" s="1"/>
      <c r="Q1432" s="1"/>
      <c r="R1432" s="1"/>
      <c r="S1432" s="1"/>
      <c r="T1432" s="1"/>
      <c r="U1432" s="1"/>
      <c r="V1432" s="1"/>
      <c r="W1432" s="1"/>
      <c r="X1432" s="1"/>
      <c r="Y1432" s="1"/>
      <c r="Z1432" s="1"/>
      <c r="AA1432" s="1"/>
      <c r="AB1432" s="1"/>
    </row>
    <row r="1433" ht="50.25" customHeight="1">
      <c r="A1433" s="12">
        <v>1429.0</v>
      </c>
      <c r="B1433" s="13" t="s">
        <v>1275</v>
      </c>
      <c r="C1433" s="14" t="s">
        <v>1440</v>
      </c>
      <c r="D1433" s="1"/>
      <c r="E1433" s="15"/>
      <c r="F1433" s="1" t="str">
        <f>IFERROR(__xludf.DUMMYFUNCTION("GOOGLETRANSLATE(B1433, ""en"", ""fa"")
"),"روتین های تناسب اندام و ورزش")</f>
        <v>روتین های تناسب اندام و ورزش</v>
      </c>
      <c r="G1433" s="1" t="str">
        <f>IFERROR(__xludf.DUMMYFUNCTION("GOOGLETRANSLATE(C1433, ""en"", ""fa"")
"),"مفهوم تعیین مرزهای سالم در روابط و تأثیر مثبت آن بر پویایی کلی را بررسی کنید.")</f>
        <v>مفهوم تعیین مرزهای سالم در روابط و تأثیر مثبت آن بر پویایی کلی را بررسی کنید.</v>
      </c>
      <c r="H1433" s="1"/>
      <c r="I1433" s="1"/>
      <c r="J1433" s="1"/>
      <c r="K1433" s="1"/>
      <c r="L1433" s="1"/>
      <c r="M1433" s="1"/>
      <c r="N1433" s="1"/>
      <c r="O1433" s="1"/>
      <c r="P1433" s="1"/>
      <c r="Q1433" s="1"/>
      <c r="R1433" s="1"/>
      <c r="S1433" s="1"/>
      <c r="T1433" s="1"/>
      <c r="U1433" s="1"/>
      <c r="V1433" s="1"/>
      <c r="W1433" s="1"/>
      <c r="X1433" s="1"/>
      <c r="Y1433" s="1"/>
      <c r="Z1433" s="1"/>
      <c r="AA1433" s="1"/>
      <c r="AB1433" s="1"/>
    </row>
    <row r="1434" ht="50.25" customHeight="1">
      <c r="A1434" s="12">
        <v>1430.0</v>
      </c>
      <c r="B1434" s="13" t="s">
        <v>1275</v>
      </c>
      <c r="C1434" s="14" t="s">
        <v>1441</v>
      </c>
      <c r="D1434" s="1"/>
      <c r="E1434" s="15"/>
      <c r="F1434" s="1" t="str">
        <f>IFERROR(__xludf.DUMMYFUNCTION("GOOGLETRANSLATE(B1434, ""en"", ""fa"")
"),"روتین های تناسب اندام و ورزش")</f>
        <v>روتین های تناسب اندام و ورزش</v>
      </c>
      <c r="G1434" s="1" t="str">
        <f>IFERROR(__xludf.DUMMYFUNCTION("GOOGLETRANSLATE(C1434, ""en"", ""fa"")
"),"نقش همدلی در درک و ارتباط با دیگران را در سطحی عمیق تر مورد بحث قرار دهید.")</f>
        <v>نقش همدلی در درک و ارتباط با دیگران را در سطحی عمیق تر مورد بحث قرار دهید.</v>
      </c>
      <c r="H1434" s="1"/>
      <c r="I1434" s="1"/>
      <c r="J1434" s="1"/>
      <c r="K1434" s="1"/>
      <c r="L1434" s="1"/>
      <c r="M1434" s="1"/>
      <c r="N1434" s="1"/>
      <c r="O1434" s="1"/>
      <c r="P1434" s="1"/>
      <c r="Q1434" s="1"/>
      <c r="R1434" s="1"/>
      <c r="S1434" s="1"/>
      <c r="T1434" s="1"/>
      <c r="U1434" s="1"/>
      <c r="V1434" s="1"/>
      <c r="W1434" s="1"/>
      <c r="X1434" s="1"/>
      <c r="Y1434" s="1"/>
      <c r="Z1434" s="1"/>
      <c r="AA1434" s="1"/>
      <c r="AB1434" s="1"/>
    </row>
    <row r="1435" ht="50.25" customHeight="1">
      <c r="A1435" s="12">
        <v>1431.0</v>
      </c>
      <c r="B1435" s="13" t="s">
        <v>1275</v>
      </c>
      <c r="C1435" s="14" t="s">
        <v>1442</v>
      </c>
      <c r="D1435" s="1"/>
      <c r="E1435" s="15"/>
      <c r="F1435" s="1" t="str">
        <f>IFERROR(__xludf.DUMMYFUNCTION("GOOGLETRANSLATE(B1435, ""en"", ""fa"")
"),"روتین های تناسب اندام و ورزش")</f>
        <v>روتین های تناسب اندام و ورزش</v>
      </c>
      <c r="G1435" s="1" t="str">
        <f>IFERROR(__xludf.DUMMYFUNCTION("GOOGLETRANSLATE(C1435, ""en"", ""fa"")
"),"راهبردهای ارتباط موثر در روابط عاشقانه را به اشتراک بگذارید، مانند استفاده از جملات ""من"" و تمرین ذهن باز.")</f>
        <v>راهبردهای ارتباط موثر در روابط عاشقانه را به اشتراک بگذارید، مانند استفاده از جملات "من" و تمرین ذهن باز.</v>
      </c>
      <c r="H1435" s="1"/>
      <c r="I1435" s="1"/>
      <c r="J1435" s="1"/>
      <c r="K1435" s="1"/>
      <c r="L1435" s="1"/>
      <c r="M1435" s="1"/>
      <c r="N1435" s="1"/>
      <c r="O1435" s="1"/>
      <c r="P1435" s="1"/>
      <c r="Q1435" s="1"/>
      <c r="R1435" s="1"/>
      <c r="S1435" s="1"/>
      <c r="T1435" s="1"/>
      <c r="U1435" s="1"/>
      <c r="V1435" s="1"/>
      <c r="W1435" s="1"/>
      <c r="X1435" s="1"/>
      <c r="Y1435" s="1"/>
      <c r="Z1435" s="1"/>
      <c r="AA1435" s="1"/>
      <c r="AB1435" s="1"/>
    </row>
    <row r="1436" ht="50.25" customHeight="1">
      <c r="A1436" s="12">
        <v>1432.0</v>
      </c>
      <c r="B1436" s="13" t="s">
        <v>1275</v>
      </c>
      <c r="C1436" s="14" t="s">
        <v>1443</v>
      </c>
      <c r="D1436" s="1"/>
      <c r="E1436" s="15"/>
      <c r="F1436" s="1" t="str">
        <f>IFERROR(__xludf.DUMMYFUNCTION("GOOGLETRANSLATE(B1436, ""en"", ""fa"")
"),"روتین های تناسب اندام و ورزش")</f>
        <v>روتین های تناسب اندام و ورزش</v>
      </c>
      <c r="G1436" s="1" t="str">
        <f>IFERROR(__xludf.DUMMYFUNCTION("GOOGLETRANSLATE(C1436, ""en"", ""fa"")
"),"مزایای تمرین قدردانی و قدردانی را در روابط برای ایجاد یک فضای مثبت و دوست داشتنی بررسی کنید.")</f>
        <v>مزایای تمرین قدردانی و قدردانی را در روابط برای ایجاد یک فضای مثبت و دوست داشتنی بررسی کنید.</v>
      </c>
      <c r="H1436" s="1"/>
      <c r="I1436" s="1"/>
      <c r="J1436" s="1"/>
      <c r="K1436" s="1"/>
      <c r="L1436" s="1"/>
      <c r="M1436" s="1"/>
      <c r="N1436" s="1"/>
      <c r="O1436" s="1"/>
      <c r="P1436" s="1"/>
      <c r="Q1436" s="1"/>
      <c r="R1436" s="1"/>
      <c r="S1436" s="1"/>
      <c r="T1436" s="1"/>
      <c r="U1436" s="1"/>
      <c r="V1436" s="1"/>
      <c r="W1436" s="1"/>
      <c r="X1436" s="1"/>
      <c r="Y1436" s="1"/>
      <c r="Z1436" s="1"/>
      <c r="AA1436" s="1"/>
      <c r="AB1436" s="1"/>
    </row>
    <row r="1437" ht="50.25" customHeight="1">
      <c r="A1437" s="12">
        <v>1433.0</v>
      </c>
      <c r="B1437" s="13" t="s">
        <v>1275</v>
      </c>
      <c r="C1437" s="14" t="s">
        <v>1444</v>
      </c>
      <c r="D1437" s="1"/>
      <c r="E1437" s="15"/>
      <c r="F1437" s="1" t="str">
        <f>IFERROR(__xludf.DUMMYFUNCTION("GOOGLETRANSLATE(B1437, ""en"", ""fa"")
"),"روتین های تناسب اندام و ورزش")</f>
        <v>روتین های تناسب اندام و ورزش</v>
      </c>
      <c r="G1437" s="1" t="str">
        <f>IFERROR(__xludf.DUMMYFUNCTION("GOOGLETRANSLATE(C1437, ""en"", ""fa"")
"),"در مورد تأثیر ارتباطات غیرکلامی مؤثر، از جمله زبان بدن و حالات چهره، در انتقال احساسات و ایجاد رابطه صحبت کنید.")</f>
        <v>در مورد تأثیر ارتباطات غیرکلامی مؤثر، از جمله زبان بدن و حالات چهره، در انتقال احساسات و ایجاد رابطه صحبت کنید.</v>
      </c>
      <c r="H1437" s="1"/>
      <c r="I1437" s="1"/>
      <c r="J1437" s="1"/>
      <c r="K1437" s="1"/>
      <c r="L1437" s="1"/>
      <c r="M1437" s="1"/>
      <c r="N1437" s="1"/>
      <c r="O1437" s="1"/>
      <c r="P1437" s="1"/>
      <c r="Q1437" s="1"/>
      <c r="R1437" s="1"/>
      <c r="S1437" s="1"/>
      <c r="T1437" s="1"/>
      <c r="U1437" s="1"/>
      <c r="V1437" s="1"/>
      <c r="W1437" s="1"/>
      <c r="X1437" s="1"/>
      <c r="Y1437" s="1"/>
      <c r="Z1437" s="1"/>
      <c r="AA1437" s="1"/>
      <c r="AB1437" s="1"/>
    </row>
    <row r="1438" ht="50.25" customHeight="1">
      <c r="A1438" s="12">
        <v>1434.0</v>
      </c>
      <c r="B1438" s="13" t="s">
        <v>1275</v>
      </c>
      <c r="C1438" s="14" t="s">
        <v>1445</v>
      </c>
      <c r="D1438" s="1"/>
      <c r="E1438" s="15"/>
      <c r="F1438" s="1" t="str">
        <f>IFERROR(__xludf.DUMMYFUNCTION("GOOGLETRANSLATE(B1438, ""en"", ""fa"")
"),"روتین های تناسب اندام و ورزش")</f>
        <v>روتین های تناسب اندام و ورزش</v>
      </c>
      <c r="G1438" s="1" t="str">
        <f>IFERROR(__xludf.DUMMYFUNCTION("GOOGLETRANSLATE(C1438, ""en"", ""fa"")
"),"نکاتی را برای مدیریت و بیان احساسات به روشی سالم و سازنده در روابط به اشتراک بگذارید.")</f>
        <v>نکاتی را برای مدیریت و بیان احساسات به روشی سالم و سازنده در روابط به اشتراک بگذارید.</v>
      </c>
      <c r="H1438" s="1"/>
      <c r="I1438" s="1"/>
      <c r="J1438" s="1"/>
      <c r="K1438" s="1"/>
      <c r="L1438" s="1"/>
      <c r="M1438" s="1"/>
      <c r="N1438" s="1"/>
      <c r="O1438" s="1"/>
      <c r="P1438" s="1"/>
      <c r="Q1438" s="1"/>
      <c r="R1438" s="1"/>
      <c r="S1438" s="1"/>
      <c r="T1438" s="1"/>
      <c r="U1438" s="1"/>
      <c r="V1438" s="1"/>
      <c r="W1438" s="1"/>
      <c r="X1438" s="1"/>
      <c r="Y1438" s="1"/>
      <c r="Z1438" s="1"/>
      <c r="AA1438" s="1"/>
      <c r="AB1438" s="1"/>
    </row>
    <row r="1439" ht="50.25" customHeight="1">
      <c r="A1439" s="12">
        <v>1435.0</v>
      </c>
      <c r="B1439" s="13" t="s">
        <v>1446</v>
      </c>
      <c r="C1439" s="14" t="s">
        <v>1447</v>
      </c>
      <c r="D1439" s="1"/>
      <c r="E1439" s="15"/>
      <c r="F1439" s="1" t="str">
        <f>IFERROR(__xludf.DUMMYFUNCTION("GOOGLETRANSLATE(B1439, ""en"", ""fa"")
"),"مشاوره در رابطه و مهارت های ارتباطی")</f>
        <v>مشاوره در رابطه و مهارت های ارتباطی</v>
      </c>
      <c r="G1439" s="1" t="str">
        <f>IFERROR(__xludf.DUMMYFUNCTION("GOOGLETRANSLATE(C1439, ""en"", ""fa"")
"),"مفهوم حل مسئله فعال در روابط، تمرکز بر همکاری و یافتن راه حل های سودمند متقابل را بررسی کنید.")</f>
        <v>مفهوم حل مسئله فعال در روابط، تمرکز بر همکاری و یافتن راه حل های سودمند متقابل را بررسی کنید.</v>
      </c>
      <c r="H1439" s="1"/>
      <c r="I1439" s="1"/>
      <c r="J1439" s="1"/>
      <c r="K1439" s="1"/>
      <c r="L1439" s="1"/>
      <c r="M1439" s="1"/>
      <c r="N1439" s="1"/>
      <c r="O1439" s="1"/>
      <c r="P1439" s="1"/>
      <c r="Q1439" s="1"/>
      <c r="R1439" s="1"/>
      <c r="S1439" s="1"/>
      <c r="T1439" s="1"/>
      <c r="U1439" s="1"/>
      <c r="V1439" s="1"/>
      <c r="W1439" s="1"/>
      <c r="X1439" s="1"/>
      <c r="Y1439" s="1"/>
      <c r="Z1439" s="1"/>
      <c r="AA1439" s="1"/>
      <c r="AB1439" s="1"/>
    </row>
    <row r="1440" ht="50.25" customHeight="1">
      <c r="A1440" s="12">
        <v>1436.0</v>
      </c>
      <c r="B1440" s="13" t="s">
        <v>1446</v>
      </c>
      <c r="C1440" s="14" t="s">
        <v>1448</v>
      </c>
      <c r="D1440" s="1"/>
      <c r="E1440" s="15"/>
      <c r="F1440" s="1" t="str">
        <f>IFERROR(__xludf.DUMMYFUNCTION("GOOGLETRANSLATE(B1440, ""en"", ""fa"")
"),"مشاوره در رابطه و مهارت های ارتباطی")</f>
        <v>مشاوره در رابطه و مهارت های ارتباطی</v>
      </c>
      <c r="G1440" s="1" t="str">
        <f>IFERROR(__xludf.DUMMYFUNCTION("GOOGLETRANSLATE(C1440, ""en"", ""fa"")
"),"در مورد نقش اعتماد و صداقت در پرورش روابط قوی و طولانی مدت بحث کنید.")</f>
        <v>در مورد نقش اعتماد و صداقت در پرورش روابط قوی و طولانی مدت بحث کنید.</v>
      </c>
      <c r="H1440" s="1"/>
      <c r="I1440" s="1"/>
      <c r="J1440" s="1"/>
      <c r="K1440" s="1"/>
      <c r="L1440" s="1"/>
      <c r="M1440" s="1"/>
      <c r="N1440" s="1"/>
      <c r="O1440" s="1"/>
      <c r="P1440" s="1"/>
      <c r="Q1440" s="1"/>
      <c r="R1440" s="1"/>
      <c r="S1440" s="1"/>
      <c r="T1440" s="1"/>
      <c r="U1440" s="1"/>
      <c r="V1440" s="1"/>
      <c r="W1440" s="1"/>
      <c r="X1440" s="1"/>
      <c r="Y1440" s="1"/>
      <c r="Z1440" s="1"/>
      <c r="AA1440" s="1"/>
      <c r="AB1440" s="1"/>
    </row>
    <row r="1441" ht="50.25" customHeight="1">
      <c r="A1441" s="12">
        <v>1437.0</v>
      </c>
      <c r="B1441" s="13" t="s">
        <v>1446</v>
      </c>
      <c r="C1441" s="14" t="s">
        <v>1449</v>
      </c>
      <c r="D1441" s="1"/>
      <c r="E1441" s="15"/>
      <c r="F1441" s="1" t="str">
        <f>IFERROR(__xludf.DUMMYFUNCTION("GOOGLETRANSLATE(B1441, ""en"", ""fa"")
"),"مشاوره در رابطه و مهارت های ارتباطی")</f>
        <v>مشاوره در رابطه و مهارت های ارتباطی</v>
      </c>
      <c r="G1441" s="1" t="str">
        <f>IFERROR(__xludf.DUMMYFUNCTION("GOOGLETRANSLATE(C1441, ""en"", ""fa"")
"),"با تأکید بر اهمیت حفظ آرامش و احترام، استراتژی‌های ارتباط مؤثر در هنگام درگیری یا اختلاف را به اشتراک بگذارید.")</f>
        <v>با تأکید بر اهمیت حفظ آرامش و احترام، استراتژی‌های ارتباط مؤثر در هنگام درگیری یا اختلاف را به اشتراک بگذارید.</v>
      </c>
      <c r="H1441" s="1"/>
      <c r="I1441" s="1"/>
      <c r="J1441" s="1"/>
      <c r="K1441" s="1"/>
      <c r="L1441" s="1"/>
      <c r="M1441" s="1"/>
      <c r="N1441" s="1"/>
      <c r="O1441" s="1"/>
      <c r="P1441" s="1"/>
      <c r="Q1441" s="1"/>
      <c r="R1441" s="1"/>
      <c r="S1441" s="1"/>
      <c r="T1441" s="1"/>
      <c r="U1441" s="1"/>
      <c r="V1441" s="1"/>
      <c r="W1441" s="1"/>
      <c r="X1441" s="1"/>
      <c r="Y1441" s="1"/>
      <c r="Z1441" s="1"/>
      <c r="AA1441" s="1"/>
      <c r="AB1441" s="1"/>
    </row>
    <row r="1442" ht="50.25" customHeight="1">
      <c r="A1442" s="12">
        <v>1438.0</v>
      </c>
      <c r="B1442" s="13" t="s">
        <v>1446</v>
      </c>
      <c r="C1442" s="14" t="s">
        <v>1450</v>
      </c>
      <c r="D1442" s="1"/>
      <c r="E1442" s="15"/>
      <c r="F1442" s="1" t="str">
        <f>IFERROR(__xludf.DUMMYFUNCTION("GOOGLETRANSLATE(B1442, ""en"", ""fa"")
"),"مشاوره در رابطه و مهارت های ارتباطی")</f>
        <v>مشاوره در رابطه و مهارت های ارتباطی</v>
      </c>
      <c r="G1442" s="1" t="str">
        <f>IFERROR(__xludf.DUMMYFUNCTION("GOOGLETRANSLATE(C1442, ""en"", ""fa"")
"),"مزایای تمرین ذهن آگاهی در روابط، تقویت آگاهی لحظه حال و ارتباطات عمیق تر را بررسی کنید.")</f>
        <v>مزایای تمرین ذهن آگاهی در روابط، تقویت آگاهی لحظه حال و ارتباطات عمیق تر را بررسی کنید.</v>
      </c>
      <c r="H1442" s="1"/>
      <c r="I1442" s="1"/>
      <c r="J1442" s="1"/>
      <c r="K1442" s="1"/>
      <c r="L1442" s="1"/>
      <c r="M1442" s="1"/>
      <c r="N1442" s="1"/>
      <c r="O1442" s="1"/>
      <c r="P1442" s="1"/>
      <c r="Q1442" s="1"/>
      <c r="R1442" s="1"/>
      <c r="S1442" s="1"/>
      <c r="T1442" s="1"/>
      <c r="U1442" s="1"/>
      <c r="V1442" s="1"/>
      <c r="W1442" s="1"/>
      <c r="X1442" s="1"/>
      <c r="Y1442" s="1"/>
      <c r="Z1442" s="1"/>
      <c r="AA1442" s="1"/>
      <c r="AB1442" s="1"/>
    </row>
    <row r="1443" ht="50.25" customHeight="1">
      <c r="A1443" s="12">
        <v>1439.0</v>
      </c>
      <c r="B1443" s="13" t="s">
        <v>1446</v>
      </c>
      <c r="C1443" s="14" t="s">
        <v>1451</v>
      </c>
      <c r="D1443" s="1"/>
      <c r="E1443" s="15"/>
      <c r="F1443" s="1" t="str">
        <f>IFERROR(__xludf.DUMMYFUNCTION("GOOGLETRANSLATE(B1443, ""en"", ""fa"")
"),"مشاوره در رابطه و مهارت های ارتباطی")</f>
        <v>مشاوره در رابطه و مهارت های ارتباطی</v>
      </c>
      <c r="G1443" s="1" t="str">
        <f>IFERROR(__xludf.DUMMYFUNCTION("GOOGLETRANSLATE(C1443, ""en"", ""fa"")
"),"درباره تأثیر تمرین قدردانی فعال و بیان زبان های عشق برای تقویت پیوندهای عاطفی در روابط بحث کنید.")</f>
        <v>درباره تأثیر تمرین قدردانی فعال و بیان زبان های عشق برای تقویت پیوندهای عاطفی در روابط بحث کنید.</v>
      </c>
      <c r="H1443" s="1"/>
      <c r="I1443" s="1"/>
      <c r="J1443" s="1"/>
      <c r="K1443" s="1"/>
      <c r="L1443" s="1"/>
      <c r="M1443" s="1"/>
      <c r="N1443" s="1"/>
      <c r="O1443" s="1"/>
      <c r="P1443" s="1"/>
      <c r="Q1443" s="1"/>
      <c r="R1443" s="1"/>
      <c r="S1443" s="1"/>
      <c r="T1443" s="1"/>
      <c r="U1443" s="1"/>
      <c r="V1443" s="1"/>
      <c r="W1443" s="1"/>
      <c r="X1443" s="1"/>
      <c r="Y1443" s="1"/>
      <c r="Z1443" s="1"/>
      <c r="AA1443" s="1"/>
      <c r="AB1443" s="1"/>
    </row>
    <row r="1444" ht="50.25" customHeight="1">
      <c r="A1444" s="12">
        <v>1440.0</v>
      </c>
      <c r="B1444" s="13" t="s">
        <v>1446</v>
      </c>
      <c r="C1444" s="14" t="s">
        <v>1452</v>
      </c>
      <c r="D1444" s="1"/>
      <c r="E1444" s="15"/>
      <c r="F1444" s="1" t="str">
        <f>IFERROR(__xludf.DUMMYFUNCTION("GOOGLETRANSLATE(B1444, ""en"", ""fa"")
"),"مشاوره در رابطه و مهارت های ارتباطی")</f>
        <v>مشاوره در رابطه و مهارت های ارتباطی</v>
      </c>
      <c r="G1444" s="1" t="str">
        <f>IFERROR(__xludf.DUMMYFUNCTION("GOOGLETRANSLATE(C1444, ""en"", ""fa"")
"),"نکاتی را برای ایجاد ارتباط سالم و باز با اعضای خانواده، از جمله گوش دادن فعال و تکنیک های حل تعارض به اشتراک بگذارید.")</f>
        <v>نکاتی را برای ایجاد ارتباط سالم و باز با اعضای خانواده، از جمله گوش دادن فعال و تکنیک های حل تعارض به اشتراک بگذارید.</v>
      </c>
      <c r="H1444" s="1"/>
      <c r="I1444" s="1"/>
      <c r="J1444" s="1"/>
      <c r="K1444" s="1"/>
      <c r="L1444" s="1"/>
      <c r="M1444" s="1"/>
      <c r="N1444" s="1"/>
      <c r="O1444" s="1"/>
      <c r="P1444" s="1"/>
      <c r="Q1444" s="1"/>
      <c r="R1444" s="1"/>
      <c r="S1444" s="1"/>
      <c r="T1444" s="1"/>
      <c r="U1444" s="1"/>
      <c r="V1444" s="1"/>
      <c r="W1444" s="1"/>
      <c r="X1444" s="1"/>
      <c r="Y1444" s="1"/>
      <c r="Z1444" s="1"/>
      <c r="AA1444" s="1"/>
      <c r="AB1444" s="1"/>
    </row>
    <row r="1445" ht="50.25" customHeight="1">
      <c r="A1445" s="12">
        <v>1441.0</v>
      </c>
      <c r="B1445" s="13" t="s">
        <v>1446</v>
      </c>
      <c r="C1445" s="14" t="s">
        <v>1453</v>
      </c>
      <c r="D1445" s="1"/>
      <c r="E1445" s="15"/>
      <c r="F1445" s="1" t="str">
        <f>IFERROR(__xludf.DUMMYFUNCTION("GOOGLETRANSLATE(B1445, ""en"", ""fa"")
"),"مشاوره در رابطه و مهارت های ارتباطی")</f>
        <v>مشاوره در رابطه و مهارت های ارتباطی</v>
      </c>
      <c r="G1445" s="1" t="str">
        <f>IFERROR(__xludf.DUMMYFUNCTION("GOOGLETRANSLATE(C1445, ""en"", ""fa"")
"),"مفهوم ارتباط موثر در دوستی ها را بررسی کنید و اهمیت اعتماد، وفاداری و حمایت متقابل را برجسته کنید.")</f>
        <v>مفهوم ارتباط موثر در دوستی ها را بررسی کنید و اهمیت اعتماد، وفاداری و حمایت متقابل را برجسته کنید.</v>
      </c>
      <c r="H1445" s="1"/>
      <c r="I1445" s="1"/>
      <c r="J1445" s="1"/>
      <c r="K1445" s="1"/>
      <c r="L1445" s="1"/>
      <c r="M1445" s="1"/>
      <c r="N1445" s="1"/>
      <c r="O1445" s="1"/>
      <c r="P1445" s="1"/>
      <c r="Q1445" s="1"/>
      <c r="R1445" s="1"/>
      <c r="S1445" s="1"/>
      <c r="T1445" s="1"/>
      <c r="U1445" s="1"/>
      <c r="V1445" s="1"/>
      <c r="W1445" s="1"/>
      <c r="X1445" s="1"/>
      <c r="Y1445" s="1"/>
      <c r="Z1445" s="1"/>
      <c r="AA1445" s="1"/>
      <c r="AB1445" s="1"/>
    </row>
    <row r="1446" ht="50.25" customHeight="1">
      <c r="A1446" s="12">
        <v>1442.0</v>
      </c>
      <c r="B1446" s="13" t="s">
        <v>1446</v>
      </c>
      <c r="C1446" s="14" t="s">
        <v>1454</v>
      </c>
      <c r="D1446" s="1"/>
      <c r="E1446" s="15"/>
      <c r="F1446" s="1" t="str">
        <f>IFERROR(__xludf.DUMMYFUNCTION("GOOGLETRANSLATE(B1446, ""en"", ""fa"")
"),"مشاوره در رابطه و مهارت های ارتباطی")</f>
        <v>مشاوره در رابطه و مهارت های ارتباطی</v>
      </c>
      <c r="G1446" s="1" t="str">
        <f>IFERROR(__xludf.DUMMYFUNCTION("GOOGLETRANSLATE(C1446, ""en"", ""fa"")
"),"در مورد نقش ارتباط مؤثر در روابط حرفه ای با تأکید بر گوش دادن فعال و بیان واضح ایده ها بحث کنید.")</f>
        <v>در مورد نقش ارتباط مؤثر در روابط حرفه ای با تأکید بر گوش دادن فعال و بیان واضح ایده ها بحث کنید.</v>
      </c>
      <c r="H1446" s="1"/>
      <c r="I1446" s="1"/>
      <c r="J1446" s="1"/>
      <c r="K1446" s="1"/>
      <c r="L1446" s="1"/>
      <c r="M1446" s="1"/>
      <c r="N1446" s="1"/>
      <c r="O1446" s="1"/>
      <c r="P1446" s="1"/>
      <c r="Q1446" s="1"/>
      <c r="R1446" s="1"/>
      <c r="S1446" s="1"/>
      <c r="T1446" s="1"/>
      <c r="U1446" s="1"/>
      <c r="V1446" s="1"/>
      <c r="W1446" s="1"/>
      <c r="X1446" s="1"/>
      <c r="Y1446" s="1"/>
      <c r="Z1446" s="1"/>
      <c r="AA1446" s="1"/>
      <c r="AB1446" s="1"/>
    </row>
    <row r="1447" ht="50.25" customHeight="1">
      <c r="A1447" s="12">
        <v>1443.0</v>
      </c>
      <c r="B1447" s="13" t="s">
        <v>1446</v>
      </c>
      <c r="C1447" s="14" t="s">
        <v>1455</v>
      </c>
      <c r="D1447" s="1"/>
      <c r="E1447" s="15"/>
      <c r="F1447" s="1" t="str">
        <f>IFERROR(__xludf.DUMMYFUNCTION("GOOGLETRANSLATE(B1447, ""en"", ""fa"")
"),"مشاوره در رابطه و مهارت های ارتباطی")</f>
        <v>مشاوره در رابطه و مهارت های ارتباطی</v>
      </c>
      <c r="G1447" s="1" t="str">
        <f>IFERROR(__xludf.DUMMYFUNCTION("GOOGLETRANSLATE(C1447, ""en"", ""fa"")
"),"استراتژی های ایجاد اعتماد در روابط، تمرکز بر اقدامات ثابت، ارتباطات باز و آسیب پذیری را به اشتراک بگذارید.")</f>
        <v>استراتژی های ایجاد اعتماد در روابط، تمرکز بر اقدامات ثابت، ارتباطات باز و آسیب پذیری را به اشتراک بگذارید.</v>
      </c>
      <c r="H1447" s="1"/>
      <c r="I1447" s="1"/>
      <c r="J1447" s="1"/>
      <c r="K1447" s="1"/>
      <c r="L1447" s="1"/>
      <c r="M1447" s="1"/>
      <c r="N1447" s="1"/>
      <c r="O1447" s="1"/>
      <c r="P1447" s="1"/>
      <c r="Q1447" s="1"/>
      <c r="R1447" s="1"/>
      <c r="S1447" s="1"/>
      <c r="T1447" s="1"/>
      <c r="U1447" s="1"/>
      <c r="V1447" s="1"/>
      <c r="W1447" s="1"/>
      <c r="X1447" s="1"/>
      <c r="Y1447" s="1"/>
      <c r="Z1447" s="1"/>
      <c r="AA1447" s="1"/>
      <c r="AB1447" s="1"/>
    </row>
    <row r="1448" ht="50.25" customHeight="1">
      <c r="A1448" s="12">
        <v>1444.0</v>
      </c>
      <c r="B1448" s="13" t="s">
        <v>1446</v>
      </c>
      <c r="C1448" s="14" t="s">
        <v>1456</v>
      </c>
      <c r="D1448" s="1"/>
      <c r="E1448" s="15"/>
      <c r="F1448" s="1" t="str">
        <f>IFERROR(__xludf.DUMMYFUNCTION("GOOGLETRANSLATE(B1448, ""en"", ""fa"")
"),"مشاوره در رابطه و مهارت های ارتباطی")</f>
        <v>مشاوره در رابطه و مهارت های ارتباطی</v>
      </c>
      <c r="G1448" s="1" t="str">
        <f>IFERROR(__xludf.DUMMYFUNCTION("GOOGLETRANSLATE(C1448, ""en"", ""fa"")
"),"مزایای تمرین ارتباط موثر در فرزندپروری، از جمله گوش دادن فعال و مرزهای روشن را بررسی کنید.")</f>
        <v>مزایای تمرین ارتباط موثر در فرزندپروری، از جمله گوش دادن فعال و مرزهای روشن را بررسی کنید.</v>
      </c>
      <c r="H1448" s="1"/>
      <c r="I1448" s="1"/>
      <c r="J1448" s="1"/>
      <c r="K1448" s="1"/>
      <c r="L1448" s="1"/>
      <c r="M1448" s="1"/>
      <c r="N1448" s="1"/>
      <c r="O1448" s="1"/>
      <c r="P1448" s="1"/>
      <c r="Q1448" s="1"/>
      <c r="R1448" s="1"/>
      <c r="S1448" s="1"/>
      <c r="T1448" s="1"/>
      <c r="U1448" s="1"/>
      <c r="V1448" s="1"/>
      <c r="W1448" s="1"/>
      <c r="X1448" s="1"/>
      <c r="Y1448" s="1"/>
      <c r="Z1448" s="1"/>
      <c r="AA1448" s="1"/>
      <c r="AB1448" s="1"/>
    </row>
    <row r="1449" ht="50.25" customHeight="1">
      <c r="A1449" s="12">
        <v>1445.0</v>
      </c>
      <c r="B1449" s="13" t="s">
        <v>1446</v>
      </c>
      <c r="C1449" s="14" t="s">
        <v>1457</v>
      </c>
      <c r="D1449" s="1"/>
      <c r="E1449" s="15"/>
      <c r="F1449" s="1" t="str">
        <f>IFERROR(__xludf.DUMMYFUNCTION("GOOGLETRANSLATE(B1449, ""en"", ""fa"")
"),"مشاوره در رابطه و مهارت های ارتباطی")</f>
        <v>مشاوره در رابطه و مهارت های ارتباطی</v>
      </c>
      <c r="G1449" s="1" t="str">
        <f>IFERROR(__xludf.DUMMYFUNCTION("GOOGLETRANSLATE(C1449, ""en"", ""fa"")
"),"در مورد تأثیر تمرین بخشش و رها کردن کینه ها در حفظ روابط سالم و هماهنگ بحث کنید.")</f>
        <v>در مورد تأثیر تمرین بخشش و رها کردن کینه ها در حفظ روابط سالم و هماهنگ بحث کنید.</v>
      </c>
      <c r="H1449" s="1"/>
      <c r="I1449" s="1"/>
      <c r="J1449" s="1"/>
      <c r="K1449" s="1"/>
      <c r="L1449" s="1"/>
      <c r="M1449" s="1"/>
      <c r="N1449" s="1"/>
      <c r="O1449" s="1"/>
      <c r="P1449" s="1"/>
      <c r="Q1449" s="1"/>
      <c r="R1449" s="1"/>
      <c r="S1449" s="1"/>
      <c r="T1449" s="1"/>
      <c r="U1449" s="1"/>
      <c r="V1449" s="1"/>
      <c r="W1449" s="1"/>
      <c r="X1449" s="1"/>
      <c r="Y1449" s="1"/>
      <c r="Z1449" s="1"/>
      <c r="AA1449" s="1"/>
      <c r="AB1449" s="1"/>
    </row>
    <row r="1450" ht="50.25" customHeight="1">
      <c r="A1450" s="12">
        <v>1446.0</v>
      </c>
      <c r="B1450" s="13" t="s">
        <v>1446</v>
      </c>
      <c r="C1450" s="14" t="s">
        <v>1458</v>
      </c>
      <c r="D1450" s="1"/>
      <c r="E1450" s="15"/>
      <c r="F1450" s="1" t="str">
        <f>IFERROR(__xludf.DUMMYFUNCTION("GOOGLETRANSLATE(B1450, ""en"", ""fa"")
"),"مشاوره در رابطه و مهارت های ارتباطی")</f>
        <v>مشاوره در رابطه و مهارت های ارتباطی</v>
      </c>
      <c r="G1450" s="1" t="str">
        <f>IFERROR(__xludf.DUMMYFUNCTION("GOOGLETRANSLATE(C1450, ""en"", ""fa"")
"),"نکاتی را برای پیمایش روابط از راه دور، تمرکز بر ارتباطات باز، اعتمادسازی و تجربیات مشترک به اشتراک بگذارید.")</f>
        <v>نکاتی را برای پیمایش روابط از راه دور، تمرکز بر ارتباطات باز، اعتمادسازی و تجربیات مشترک به اشتراک بگذارید.</v>
      </c>
      <c r="H1450" s="1"/>
      <c r="I1450" s="1"/>
      <c r="J1450" s="1"/>
      <c r="K1450" s="1"/>
      <c r="L1450" s="1"/>
      <c r="M1450" s="1"/>
      <c r="N1450" s="1"/>
      <c r="O1450" s="1"/>
      <c r="P1450" s="1"/>
      <c r="Q1450" s="1"/>
      <c r="R1450" s="1"/>
      <c r="S1450" s="1"/>
      <c r="T1450" s="1"/>
      <c r="U1450" s="1"/>
      <c r="V1450" s="1"/>
      <c r="W1450" s="1"/>
      <c r="X1450" s="1"/>
      <c r="Y1450" s="1"/>
      <c r="Z1450" s="1"/>
      <c r="AA1450" s="1"/>
      <c r="AB1450" s="1"/>
    </row>
    <row r="1451" ht="50.25" customHeight="1">
      <c r="A1451" s="12">
        <v>1447.0</v>
      </c>
      <c r="B1451" s="13" t="s">
        <v>1446</v>
      </c>
      <c r="C1451" s="14" t="s">
        <v>1459</v>
      </c>
      <c r="D1451" s="1"/>
      <c r="E1451" s="15"/>
      <c r="F1451" s="1" t="str">
        <f>IFERROR(__xludf.DUMMYFUNCTION("GOOGLETRANSLATE(B1451, ""en"", ""fa"")
"),"مشاوره در رابطه و مهارت های ارتباطی")</f>
        <v>مشاوره در رابطه و مهارت های ارتباطی</v>
      </c>
      <c r="G1451" s="1" t="str">
        <f>IFERROR(__xludf.DUMMYFUNCTION("GOOGLETRANSLATE(C1451, ""en"", ""fa"")
"),"مفهوم ارتباط موثر در خانواده های ترکیبی، رسیدگی به چالش ها و تقویت حس تعلق را بررسی کنید.")</f>
        <v>مفهوم ارتباط موثر در خانواده های ترکیبی، رسیدگی به چالش ها و تقویت حس تعلق را بررسی کنید.</v>
      </c>
      <c r="H1451" s="1"/>
      <c r="I1451" s="1"/>
      <c r="J1451" s="1"/>
      <c r="K1451" s="1"/>
      <c r="L1451" s="1"/>
      <c r="M1451" s="1"/>
      <c r="N1451" s="1"/>
      <c r="O1451" s="1"/>
      <c r="P1451" s="1"/>
      <c r="Q1451" s="1"/>
      <c r="R1451" s="1"/>
      <c r="S1451" s="1"/>
      <c r="T1451" s="1"/>
      <c r="U1451" s="1"/>
      <c r="V1451" s="1"/>
      <c r="W1451" s="1"/>
      <c r="X1451" s="1"/>
      <c r="Y1451" s="1"/>
      <c r="Z1451" s="1"/>
      <c r="AA1451" s="1"/>
      <c r="AB1451" s="1"/>
    </row>
    <row r="1452" ht="50.25" customHeight="1">
      <c r="A1452" s="12">
        <v>1448.0</v>
      </c>
      <c r="B1452" s="13" t="s">
        <v>1446</v>
      </c>
      <c r="C1452" s="14" t="s">
        <v>1460</v>
      </c>
      <c r="D1452" s="1"/>
      <c r="E1452" s="15"/>
      <c r="F1452" s="1" t="str">
        <f>IFERROR(__xludf.DUMMYFUNCTION("GOOGLETRANSLATE(B1452, ""en"", ""fa"")
"),"مشاوره در رابطه و مهارت های ارتباطی")</f>
        <v>مشاوره در رابطه و مهارت های ارتباطی</v>
      </c>
      <c r="G1452" s="1" t="str">
        <f>IFERROR(__xludf.DUMMYFUNCTION("GOOGLETRANSLATE(C1452, ""en"", ""fa"")
"),"در مورد نقش ارتباط مؤثر در حل تعارضات بین دوستان با تأکید بر همدلی و تفاهم بحث کنید.")</f>
        <v>در مورد نقش ارتباط مؤثر در حل تعارضات بین دوستان با تأکید بر همدلی و تفاهم بحث کنید.</v>
      </c>
      <c r="H1452" s="1"/>
      <c r="I1452" s="1"/>
      <c r="J1452" s="1"/>
      <c r="K1452" s="1"/>
      <c r="L1452" s="1"/>
      <c r="M1452" s="1"/>
      <c r="N1452" s="1"/>
      <c r="O1452" s="1"/>
      <c r="P1452" s="1"/>
      <c r="Q1452" s="1"/>
      <c r="R1452" s="1"/>
      <c r="S1452" s="1"/>
      <c r="T1452" s="1"/>
      <c r="U1452" s="1"/>
      <c r="V1452" s="1"/>
      <c r="W1452" s="1"/>
      <c r="X1452" s="1"/>
      <c r="Y1452" s="1"/>
      <c r="Z1452" s="1"/>
      <c r="AA1452" s="1"/>
      <c r="AB1452" s="1"/>
    </row>
    <row r="1453" ht="50.25" customHeight="1">
      <c r="A1453" s="12">
        <v>1449.0</v>
      </c>
      <c r="B1453" s="13" t="s">
        <v>1446</v>
      </c>
      <c r="C1453" s="14" t="s">
        <v>1461</v>
      </c>
      <c r="D1453" s="1"/>
      <c r="E1453" s="15"/>
      <c r="F1453" s="1" t="str">
        <f>IFERROR(__xludf.DUMMYFUNCTION("GOOGLETRANSLATE(B1453, ""en"", ""fa"")
"),"مشاوره در رابطه و مهارت های ارتباطی")</f>
        <v>مشاوره در رابطه و مهارت های ارتباطی</v>
      </c>
      <c r="G1453" s="1" t="str">
        <f>IFERROR(__xludf.DUMMYFUNCTION("GOOGLETRANSLATE(C1453, ""en"", ""fa"")
"),"راهبردهای ایجاد صمیمیت و ارتباط در روابط عاشقانه را از طریق ارتباطات باز و آسیب پذیر به اشتراک بگذارید.")</f>
        <v>راهبردهای ایجاد صمیمیت و ارتباط در روابط عاشقانه را از طریق ارتباطات باز و آسیب پذیر به اشتراک بگذارید.</v>
      </c>
      <c r="H1453" s="1"/>
      <c r="I1453" s="1"/>
      <c r="J1453" s="1"/>
      <c r="K1453" s="1"/>
      <c r="L1453" s="1"/>
      <c r="M1453" s="1"/>
      <c r="N1453" s="1"/>
      <c r="O1453" s="1"/>
      <c r="P1453" s="1"/>
      <c r="Q1453" s="1"/>
      <c r="R1453" s="1"/>
      <c r="S1453" s="1"/>
      <c r="T1453" s="1"/>
      <c r="U1453" s="1"/>
      <c r="V1453" s="1"/>
      <c r="W1453" s="1"/>
      <c r="X1453" s="1"/>
      <c r="Y1453" s="1"/>
      <c r="Z1453" s="1"/>
      <c r="AA1453" s="1"/>
      <c r="AB1453" s="1"/>
    </row>
    <row r="1454" ht="50.25" customHeight="1">
      <c r="A1454" s="12">
        <v>1450.0</v>
      </c>
      <c r="B1454" s="13" t="s">
        <v>1446</v>
      </c>
      <c r="C1454" s="14" t="s">
        <v>1462</v>
      </c>
      <c r="D1454" s="1"/>
      <c r="E1454" s="15"/>
      <c r="F1454" s="1" t="str">
        <f>IFERROR(__xludf.DUMMYFUNCTION("GOOGLETRANSLATE(B1454, ""en"", ""fa"")
"),"مشاوره در رابطه و مهارت های ارتباطی")</f>
        <v>مشاوره در رابطه و مهارت های ارتباطی</v>
      </c>
      <c r="G1454" s="1" t="str">
        <f>IFERROR(__xludf.DUMMYFUNCTION("GOOGLETRANSLATE(C1454, ""en"", ""fa"")
"),"مزایای تمرین اعتبارسنجی فعال و تصدیق احساسات در روابط را بررسی کنید.")</f>
        <v>مزایای تمرین اعتبارسنجی فعال و تصدیق احساسات در روابط را بررسی کنید.</v>
      </c>
      <c r="H1454" s="1"/>
      <c r="I1454" s="1"/>
      <c r="J1454" s="1"/>
      <c r="K1454" s="1"/>
      <c r="L1454" s="1"/>
      <c r="M1454" s="1"/>
      <c r="N1454" s="1"/>
      <c r="O1454" s="1"/>
      <c r="P1454" s="1"/>
      <c r="Q1454" s="1"/>
      <c r="R1454" s="1"/>
      <c r="S1454" s="1"/>
      <c r="T1454" s="1"/>
      <c r="U1454" s="1"/>
      <c r="V1454" s="1"/>
      <c r="W1454" s="1"/>
      <c r="X1454" s="1"/>
      <c r="Y1454" s="1"/>
      <c r="Z1454" s="1"/>
      <c r="AA1454" s="1"/>
      <c r="AB1454" s="1"/>
    </row>
    <row r="1455" ht="50.25" customHeight="1">
      <c r="A1455" s="12">
        <v>1451.0</v>
      </c>
      <c r="B1455" s="13" t="s">
        <v>1446</v>
      </c>
      <c r="C1455" s="14" t="s">
        <v>1463</v>
      </c>
      <c r="D1455" s="1"/>
      <c r="E1455" s="15"/>
      <c r="F1455" s="1" t="str">
        <f>IFERROR(__xludf.DUMMYFUNCTION("GOOGLETRANSLATE(B1455, ""en"", ""fa"")
"),"مشاوره در رابطه و مهارت های ارتباطی")</f>
        <v>مشاوره در رابطه و مهارت های ارتباطی</v>
      </c>
      <c r="G1455" s="1" t="str">
        <f>IFERROR(__xludf.DUMMYFUNCTION("GOOGLETRANSLATE(C1455, ""en"", ""fa"")
"),"درباره تأثیر ارتباطات مؤثر در محل کار، از جمله گوش دادن فعال، انتظارات روشن و بازخورد سازنده بحث کنید.")</f>
        <v>درباره تأثیر ارتباطات مؤثر در محل کار، از جمله گوش دادن فعال، انتظارات روشن و بازخورد سازنده بحث کنید.</v>
      </c>
      <c r="H1455" s="1"/>
      <c r="I1455" s="1"/>
      <c r="J1455" s="1"/>
      <c r="K1455" s="1"/>
      <c r="L1455" s="1"/>
      <c r="M1455" s="1"/>
      <c r="N1455" s="1"/>
      <c r="O1455" s="1"/>
      <c r="P1455" s="1"/>
      <c r="Q1455" s="1"/>
      <c r="R1455" s="1"/>
      <c r="S1455" s="1"/>
      <c r="T1455" s="1"/>
      <c r="U1455" s="1"/>
      <c r="V1455" s="1"/>
      <c r="W1455" s="1"/>
      <c r="X1455" s="1"/>
      <c r="Y1455" s="1"/>
      <c r="Z1455" s="1"/>
      <c r="AA1455" s="1"/>
      <c r="AB1455" s="1"/>
    </row>
    <row r="1456" ht="50.25" customHeight="1">
      <c r="A1456" s="12">
        <v>1452.0</v>
      </c>
      <c r="B1456" s="13" t="s">
        <v>1446</v>
      </c>
      <c r="C1456" s="14" t="s">
        <v>1464</v>
      </c>
      <c r="D1456" s="1"/>
      <c r="E1456" s="15"/>
      <c r="F1456" s="1" t="str">
        <f>IFERROR(__xludf.DUMMYFUNCTION("GOOGLETRANSLATE(B1456, ""en"", ""fa"")
"),"مشاوره در رابطه و مهارت های ارتباطی")</f>
        <v>مشاوره در رابطه و مهارت های ارتباطی</v>
      </c>
      <c r="G1456" s="1" t="str">
        <f>IFERROR(__xludf.DUMMYFUNCTION("GOOGLETRANSLATE(C1456, ""en"", ""fa"")
"),"نکاتی را برای ایجاد مرزهای سالم در دوستی ها، احترام به نیازهای فردی و حفظ احترام متقابل به اشتراک بگذارید.")</f>
        <v>نکاتی را برای ایجاد مرزهای سالم در دوستی ها، احترام به نیازهای فردی و حفظ احترام متقابل به اشتراک بگذارید.</v>
      </c>
      <c r="H1456" s="1"/>
      <c r="I1456" s="1"/>
      <c r="J1456" s="1"/>
      <c r="K1456" s="1"/>
      <c r="L1456" s="1"/>
      <c r="M1456" s="1"/>
      <c r="N1456" s="1"/>
      <c r="O1456" s="1"/>
      <c r="P1456" s="1"/>
      <c r="Q1456" s="1"/>
      <c r="R1456" s="1"/>
      <c r="S1456" s="1"/>
      <c r="T1456" s="1"/>
      <c r="U1456" s="1"/>
      <c r="V1456" s="1"/>
      <c r="W1456" s="1"/>
      <c r="X1456" s="1"/>
      <c r="Y1456" s="1"/>
      <c r="Z1456" s="1"/>
      <c r="AA1456" s="1"/>
      <c r="AB1456" s="1"/>
    </row>
    <row r="1457" ht="50.25" customHeight="1">
      <c r="A1457" s="12">
        <v>1453.0</v>
      </c>
      <c r="B1457" s="13" t="s">
        <v>1446</v>
      </c>
      <c r="C1457" s="14" t="s">
        <v>1465</v>
      </c>
      <c r="D1457" s="1"/>
      <c r="E1457" s="15"/>
      <c r="F1457" s="1" t="str">
        <f>IFERROR(__xludf.DUMMYFUNCTION("GOOGLETRANSLATE(B1457, ""en"", ""fa"")
"),"مشاوره در رابطه و مهارت های ارتباطی")</f>
        <v>مشاوره در رابطه و مهارت های ارتباطی</v>
      </c>
      <c r="G1457" s="1" t="str">
        <f>IFERROR(__xludf.DUMMYFUNCTION("GOOGLETRANSLATE(C1457, ""en"", ""fa"")
"),"مفهوم ارتباط مؤثر در روابط والد-کودک، تمرکز بر گوش دادن فعال و ایجاد یک محیط امن و حمایتی را بررسی کنید.")</f>
        <v>مفهوم ارتباط مؤثر در روابط والد-کودک، تمرکز بر گوش دادن فعال و ایجاد یک محیط امن و حمایتی را بررسی کنید.</v>
      </c>
      <c r="H1457" s="1"/>
      <c r="I1457" s="1"/>
      <c r="J1457" s="1"/>
      <c r="K1457" s="1"/>
      <c r="L1457" s="1"/>
      <c r="M1457" s="1"/>
      <c r="N1457" s="1"/>
      <c r="O1457" s="1"/>
      <c r="P1457" s="1"/>
      <c r="Q1457" s="1"/>
      <c r="R1457" s="1"/>
      <c r="S1457" s="1"/>
      <c r="T1457" s="1"/>
      <c r="U1457" s="1"/>
      <c r="V1457" s="1"/>
      <c r="W1457" s="1"/>
      <c r="X1457" s="1"/>
      <c r="Y1457" s="1"/>
      <c r="Z1457" s="1"/>
      <c r="AA1457" s="1"/>
      <c r="AB1457" s="1"/>
    </row>
    <row r="1458" ht="50.25" customHeight="1">
      <c r="A1458" s="12">
        <v>1454.0</v>
      </c>
      <c r="B1458" s="13" t="s">
        <v>1446</v>
      </c>
      <c r="C1458" s="14" t="s">
        <v>1466</v>
      </c>
      <c r="D1458" s="1"/>
      <c r="E1458" s="15"/>
      <c r="F1458" s="1" t="str">
        <f>IFERROR(__xludf.DUMMYFUNCTION("GOOGLETRANSLATE(B1458, ""en"", ""fa"")
"),"مشاوره در رابطه و مهارت های ارتباطی")</f>
        <v>مشاوره در رابطه و مهارت های ارتباطی</v>
      </c>
      <c r="G1458" s="1" t="str">
        <f>IFERROR(__xludf.DUMMYFUNCTION("GOOGLETRANSLATE(C1458, ""en"", ""fa"")
"),"درباره نقش ارتباط موثر در حفظ مرزهای سالم در روابط، جلوگیری از وابستگی مشترک و تقویت رشد فردی بحث کنید.")</f>
        <v>درباره نقش ارتباط موثر در حفظ مرزهای سالم در روابط، جلوگیری از وابستگی مشترک و تقویت رشد فردی بحث کنید.</v>
      </c>
      <c r="H1458" s="1"/>
      <c r="I1458" s="1"/>
      <c r="J1458" s="1"/>
      <c r="K1458" s="1"/>
      <c r="L1458" s="1"/>
      <c r="M1458" s="1"/>
      <c r="N1458" s="1"/>
      <c r="O1458" s="1"/>
      <c r="P1458" s="1"/>
      <c r="Q1458" s="1"/>
      <c r="R1458" s="1"/>
      <c r="S1458" s="1"/>
      <c r="T1458" s="1"/>
      <c r="U1458" s="1"/>
      <c r="V1458" s="1"/>
      <c r="W1458" s="1"/>
      <c r="X1458" s="1"/>
      <c r="Y1458" s="1"/>
      <c r="Z1458" s="1"/>
      <c r="AA1458" s="1"/>
      <c r="AB1458" s="1"/>
    </row>
    <row r="1459" ht="50.25" customHeight="1">
      <c r="A1459" s="12">
        <v>1455.0</v>
      </c>
      <c r="B1459" s="13" t="s">
        <v>1446</v>
      </c>
      <c r="C1459" s="14" t="s">
        <v>1467</v>
      </c>
      <c r="D1459" s="1"/>
      <c r="E1459" s="15"/>
      <c r="F1459" s="1" t="str">
        <f>IFERROR(__xludf.DUMMYFUNCTION("GOOGLETRANSLATE(B1459, ""en"", ""fa"")
"),"مشاوره در رابطه و مهارت های ارتباطی")</f>
        <v>مشاوره در رابطه و مهارت های ارتباطی</v>
      </c>
      <c r="G1459" s="1" t="str">
        <f>IFERROR(__xludf.DUMMYFUNCTION("GOOGLETRANSLATE(C1459, ""en"", ""fa"")
"),"راهبردهای حل تعارض در روابط را از طریق ارتباط قاطعانه و حل مسئله فعال به اشتراک بگذارید.")</f>
        <v>راهبردهای حل تعارض در روابط را از طریق ارتباط قاطعانه و حل مسئله فعال به اشتراک بگذارید.</v>
      </c>
      <c r="H1459" s="1"/>
      <c r="I1459" s="1"/>
      <c r="J1459" s="1"/>
      <c r="K1459" s="1"/>
      <c r="L1459" s="1"/>
      <c r="M1459" s="1"/>
      <c r="N1459" s="1"/>
      <c r="O1459" s="1"/>
      <c r="P1459" s="1"/>
      <c r="Q1459" s="1"/>
      <c r="R1459" s="1"/>
      <c r="S1459" s="1"/>
      <c r="T1459" s="1"/>
      <c r="U1459" s="1"/>
      <c r="V1459" s="1"/>
      <c r="W1459" s="1"/>
      <c r="X1459" s="1"/>
      <c r="Y1459" s="1"/>
      <c r="Z1459" s="1"/>
      <c r="AA1459" s="1"/>
      <c r="AB1459" s="1"/>
    </row>
    <row r="1460" ht="50.25" customHeight="1">
      <c r="A1460" s="12">
        <v>1456.0</v>
      </c>
      <c r="B1460" s="13" t="s">
        <v>1446</v>
      </c>
      <c r="C1460" s="14" t="s">
        <v>1468</v>
      </c>
      <c r="D1460" s="1"/>
      <c r="E1460" s="15"/>
      <c r="F1460" s="1" t="str">
        <f>IFERROR(__xludf.DUMMYFUNCTION("GOOGLETRANSLATE(B1460, ""en"", ""fa"")
"),"مشاوره در رابطه و مهارت های ارتباطی")</f>
        <v>مشاوره در رابطه و مهارت های ارتباطی</v>
      </c>
      <c r="G1460" s="1" t="str">
        <f>IFERROR(__xludf.DUMMYFUNCTION("GOOGLETRANSLATE(C1460, ""en"", ""fa"")
"),"مزایای تمرین ارتباط موثر در روابط عاشقانه، ارتقای درک، اعتماد و صمیمیت عاطفی را بررسی کنید.")</f>
        <v>مزایای تمرین ارتباط موثر در روابط عاشقانه، ارتقای درک، اعتماد و صمیمیت عاطفی را بررسی کنید.</v>
      </c>
      <c r="H1460" s="1"/>
      <c r="I1460" s="1"/>
      <c r="J1460" s="1"/>
      <c r="K1460" s="1"/>
      <c r="L1460" s="1"/>
      <c r="M1460" s="1"/>
      <c r="N1460" s="1"/>
      <c r="O1460" s="1"/>
      <c r="P1460" s="1"/>
      <c r="Q1460" s="1"/>
      <c r="R1460" s="1"/>
      <c r="S1460" s="1"/>
      <c r="T1460" s="1"/>
      <c r="U1460" s="1"/>
      <c r="V1460" s="1"/>
      <c r="W1460" s="1"/>
      <c r="X1460" s="1"/>
      <c r="Y1460" s="1"/>
      <c r="Z1460" s="1"/>
      <c r="AA1460" s="1"/>
      <c r="AB1460" s="1"/>
    </row>
    <row r="1461" ht="50.25" customHeight="1">
      <c r="A1461" s="12">
        <v>1457.0</v>
      </c>
      <c r="B1461" s="13" t="s">
        <v>1446</v>
      </c>
      <c r="C1461" s="14" t="s">
        <v>1469</v>
      </c>
      <c r="D1461" s="1"/>
      <c r="E1461" s="15"/>
      <c r="F1461" s="1" t="str">
        <f>IFERROR(__xludf.DUMMYFUNCTION("GOOGLETRANSLATE(B1461, ""en"", ""fa"")
"),"مشاوره در رابطه و مهارت های ارتباطی")</f>
        <v>مشاوره در رابطه و مهارت های ارتباطی</v>
      </c>
      <c r="G1461" s="1" t="str">
        <f>IFERROR(__xludf.DUMMYFUNCTION("GOOGLETRANSLATE(C1461, ""en"", ""fa"")
"),"در مورد تأثیر ارتباط مؤثر در روابط مراقب با تأکید بر همدلی، گوش دادن فعال و انتظارات روشن بحث کنید.")</f>
        <v>در مورد تأثیر ارتباط مؤثر در روابط مراقب با تأکید بر همدلی، گوش دادن فعال و انتظارات روشن بحث کنید.</v>
      </c>
      <c r="H1461" s="1"/>
      <c r="I1461" s="1"/>
      <c r="J1461" s="1"/>
      <c r="K1461" s="1"/>
      <c r="L1461" s="1"/>
      <c r="M1461" s="1"/>
      <c r="N1461" s="1"/>
      <c r="O1461" s="1"/>
      <c r="P1461" s="1"/>
      <c r="Q1461" s="1"/>
      <c r="R1461" s="1"/>
      <c r="S1461" s="1"/>
      <c r="T1461" s="1"/>
      <c r="U1461" s="1"/>
      <c r="V1461" s="1"/>
      <c r="W1461" s="1"/>
      <c r="X1461" s="1"/>
      <c r="Y1461" s="1"/>
      <c r="Z1461" s="1"/>
      <c r="AA1461" s="1"/>
      <c r="AB1461" s="1"/>
    </row>
    <row r="1462" ht="50.25" customHeight="1">
      <c r="A1462" s="12">
        <v>1458.0</v>
      </c>
      <c r="B1462" s="13" t="s">
        <v>1446</v>
      </c>
      <c r="C1462" s="14" t="s">
        <v>1470</v>
      </c>
      <c r="D1462" s="1"/>
      <c r="E1462" s="15"/>
      <c r="F1462" s="1" t="str">
        <f>IFERROR(__xludf.DUMMYFUNCTION("GOOGLETRANSLATE(B1462, ""en"", ""fa"")
"),"مشاوره در رابطه و مهارت های ارتباطی")</f>
        <v>مشاوره در رابطه و مهارت های ارتباطی</v>
      </c>
      <c r="G1462" s="1" t="str">
        <f>IFERROR(__xludf.DUMMYFUNCTION("GOOGLETRANSLATE(C1462, ""en"", ""fa"")
"),"نکاتی را برای هدایت چالش های ارتباطی در روابط بین فرهنگی، تقویت درک و احترام به دیدگاه های مختلف به اشتراک بگذارید.")</f>
        <v>نکاتی را برای هدایت چالش های ارتباطی در روابط بین فرهنگی، تقویت درک و احترام به دیدگاه های مختلف به اشتراک بگذارید.</v>
      </c>
      <c r="H1462" s="1"/>
      <c r="I1462" s="1"/>
      <c r="J1462" s="1"/>
      <c r="K1462" s="1"/>
      <c r="L1462" s="1"/>
      <c r="M1462" s="1"/>
      <c r="N1462" s="1"/>
      <c r="O1462" s="1"/>
      <c r="P1462" s="1"/>
      <c r="Q1462" s="1"/>
      <c r="R1462" s="1"/>
      <c r="S1462" s="1"/>
      <c r="T1462" s="1"/>
      <c r="U1462" s="1"/>
      <c r="V1462" s="1"/>
      <c r="W1462" s="1"/>
      <c r="X1462" s="1"/>
      <c r="Y1462" s="1"/>
      <c r="Z1462" s="1"/>
      <c r="AA1462" s="1"/>
      <c r="AB1462" s="1"/>
    </row>
    <row r="1463" ht="50.25" customHeight="1">
      <c r="A1463" s="12">
        <v>1459.0</v>
      </c>
      <c r="B1463" s="13" t="s">
        <v>1446</v>
      </c>
      <c r="C1463" s="14" t="s">
        <v>1471</v>
      </c>
      <c r="D1463" s="1"/>
      <c r="E1463" s="15"/>
      <c r="F1463" s="1" t="str">
        <f>IFERROR(__xludf.DUMMYFUNCTION("GOOGLETRANSLATE(B1463, ""en"", ""fa"")
"),"مشاوره در رابطه و مهارت های ارتباطی")</f>
        <v>مشاوره در رابطه و مهارت های ارتباطی</v>
      </c>
      <c r="G1463" s="1" t="str">
        <f>IFERROR(__xludf.DUMMYFUNCTION("GOOGLETRANSLATE(C1463, ""en"", ""fa"")
"),"مفهوم ارتباط موثر در روابط با همسالان، از جمله گوش دادن فعال، همدلی، و مهارت های حل تعارض را بررسی کنید.")</f>
        <v>مفهوم ارتباط موثر در روابط با همسالان، از جمله گوش دادن فعال، همدلی، و مهارت های حل تعارض را بررسی کنید.</v>
      </c>
      <c r="H1463" s="1"/>
      <c r="I1463" s="1"/>
      <c r="J1463" s="1"/>
      <c r="K1463" s="1"/>
      <c r="L1463" s="1"/>
      <c r="M1463" s="1"/>
      <c r="N1463" s="1"/>
      <c r="O1463" s="1"/>
      <c r="P1463" s="1"/>
      <c r="Q1463" s="1"/>
      <c r="R1463" s="1"/>
      <c r="S1463" s="1"/>
      <c r="T1463" s="1"/>
      <c r="U1463" s="1"/>
      <c r="V1463" s="1"/>
      <c r="W1463" s="1"/>
      <c r="X1463" s="1"/>
      <c r="Y1463" s="1"/>
      <c r="Z1463" s="1"/>
      <c r="AA1463" s="1"/>
      <c r="AB1463" s="1"/>
    </row>
    <row r="1464" ht="50.25" customHeight="1">
      <c r="A1464" s="12">
        <v>1460.0</v>
      </c>
      <c r="B1464" s="13" t="s">
        <v>1446</v>
      </c>
      <c r="C1464" s="14" t="s">
        <v>1472</v>
      </c>
      <c r="D1464" s="1"/>
      <c r="E1464" s="15"/>
      <c r="F1464" s="1" t="str">
        <f>IFERROR(__xludf.DUMMYFUNCTION("GOOGLETRANSLATE(B1464, ""en"", ""fa"")
"),"مشاوره در رابطه و مهارت های ارتباطی")</f>
        <v>مشاوره در رابطه و مهارت های ارتباطی</v>
      </c>
      <c r="G1464" s="1" t="str">
        <f>IFERROR(__xludf.DUMMYFUNCTION("GOOGLETRANSLATE(C1464, ""en"", ""fa"")
"),"در مورد نقش ارتباط موثر در حفظ دوستی های سالم، از جمله ارتباط شفاف از مرزها و انتظارات بحث کنید.")</f>
        <v>در مورد نقش ارتباط موثر در حفظ دوستی های سالم، از جمله ارتباط شفاف از مرزها و انتظارات بحث کنید.</v>
      </c>
      <c r="H1464" s="1"/>
      <c r="I1464" s="1"/>
      <c r="J1464" s="1"/>
      <c r="K1464" s="1"/>
      <c r="L1464" s="1"/>
      <c r="M1464" s="1"/>
      <c r="N1464" s="1"/>
      <c r="O1464" s="1"/>
      <c r="P1464" s="1"/>
      <c r="Q1464" s="1"/>
      <c r="R1464" s="1"/>
      <c r="S1464" s="1"/>
      <c r="T1464" s="1"/>
      <c r="U1464" s="1"/>
      <c r="V1464" s="1"/>
      <c r="W1464" s="1"/>
      <c r="X1464" s="1"/>
      <c r="Y1464" s="1"/>
      <c r="Z1464" s="1"/>
      <c r="AA1464" s="1"/>
      <c r="AB1464" s="1"/>
    </row>
    <row r="1465" ht="50.25" customHeight="1">
      <c r="A1465" s="12">
        <v>1461.0</v>
      </c>
      <c r="B1465" s="13" t="s">
        <v>1446</v>
      </c>
      <c r="C1465" s="14" t="s">
        <v>1473</v>
      </c>
      <c r="D1465" s="1"/>
      <c r="E1465" s="15"/>
      <c r="F1465" s="1" t="str">
        <f>IFERROR(__xludf.DUMMYFUNCTION("GOOGLETRANSLATE(B1465, ""en"", ""fa"")
"),"مشاوره در رابطه و مهارت های ارتباطی")</f>
        <v>مشاوره در رابطه و مهارت های ارتباطی</v>
      </c>
      <c r="G1465" s="1" t="str">
        <f>IFERROR(__xludf.DUMMYFUNCTION("GOOGLETRANSLATE(C1465, ""en"", ""fa"")
"),"استراتژی‌هایی را برای بازسازی اعتماد در روابط پس از نقض، با تأکید بر ارتباطات باز، مسئولیت‌پذیری و بخشش به اشتراک بگذارید.")</f>
        <v>استراتژی‌هایی را برای بازسازی اعتماد در روابط پس از نقض، با تأکید بر ارتباطات باز، مسئولیت‌پذیری و بخشش به اشتراک بگذارید.</v>
      </c>
      <c r="H1465" s="1"/>
      <c r="I1465" s="1"/>
      <c r="J1465" s="1"/>
      <c r="K1465" s="1"/>
      <c r="L1465" s="1"/>
      <c r="M1465" s="1"/>
      <c r="N1465" s="1"/>
      <c r="O1465" s="1"/>
      <c r="P1465" s="1"/>
      <c r="Q1465" s="1"/>
      <c r="R1465" s="1"/>
      <c r="S1465" s="1"/>
      <c r="T1465" s="1"/>
      <c r="U1465" s="1"/>
      <c r="V1465" s="1"/>
      <c r="W1465" s="1"/>
      <c r="X1465" s="1"/>
      <c r="Y1465" s="1"/>
      <c r="Z1465" s="1"/>
      <c r="AA1465" s="1"/>
      <c r="AB1465" s="1"/>
    </row>
    <row r="1466" ht="50.25" customHeight="1">
      <c r="A1466" s="12">
        <v>1462.0</v>
      </c>
      <c r="B1466" s="13" t="s">
        <v>1446</v>
      </c>
      <c r="C1466" s="14" t="s">
        <v>1474</v>
      </c>
      <c r="D1466" s="1"/>
      <c r="E1466" s="15"/>
      <c r="F1466" s="1" t="str">
        <f>IFERROR(__xludf.DUMMYFUNCTION("GOOGLETRANSLATE(B1466, ""en"", ""fa"")
"),"مشاوره در رابطه و مهارت های ارتباطی")</f>
        <v>مشاوره در رابطه و مهارت های ارتباطی</v>
      </c>
      <c r="G1466" s="1" t="str">
        <f>IFERROR(__xludf.DUMMYFUNCTION("GOOGLETRANSLATE(C1466, ""en"", ""fa"")
"),"مزایای تمرین ارتباط موثر در روابط خواهر و برادر، تقویت تفاهم، همکاری و حمایت را بررسی کنید.")</f>
        <v>مزایای تمرین ارتباط موثر در روابط خواهر و برادر، تقویت تفاهم، همکاری و حمایت را بررسی کنید.</v>
      </c>
      <c r="H1466" s="1"/>
      <c r="I1466" s="1"/>
      <c r="J1466" s="1"/>
      <c r="K1466" s="1"/>
      <c r="L1466" s="1"/>
      <c r="M1466" s="1"/>
      <c r="N1466" s="1"/>
      <c r="O1466" s="1"/>
      <c r="P1466" s="1"/>
      <c r="Q1466" s="1"/>
      <c r="R1466" s="1"/>
      <c r="S1466" s="1"/>
      <c r="T1466" s="1"/>
      <c r="U1466" s="1"/>
      <c r="V1466" s="1"/>
      <c r="W1466" s="1"/>
      <c r="X1466" s="1"/>
      <c r="Y1466" s="1"/>
      <c r="Z1466" s="1"/>
      <c r="AA1466" s="1"/>
      <c r="AB1466" s="1"/>
    </row>
    <row r="1467" ht="50.25" customHeight="1">
      <c r="A1467" s="12">
        <v>1463.0</v>
      </c>
      <c r="B1467" s="13" t="s">
        <v>1446</v>
      </c>
      <c r="C1467" s="14" t="s">
        <v>1475</v>
      </c>
      <c r="D1467" s="1"/>
      <c r="E1467" s="15"/>
      <c r="F1467" s="1" t="str">
        <f>IFERROR(__xludf.DUMMYFUNCTION("GOOGLETRANSLATE(B1467, ""en"", ""fa"")
"),"مشاوره در رابطه و مهارت های ارتباطی")</f>
        <v>مشاوره در رابطه و مهارت های ارتباطی</v>
      </c>
      <c r="G1467" s="1" t="str">
        <f>IFERROR(__xludf.DUMMYFUNCTION("GOOGLETRANSLATE(C1467, ""en"", ""fa"")
"),"در مورد تأثیر ارتباطات مؤثر در روابط عاشقانه، از جمله بیان نیازها، خواسته ها و مرزها بحث کنید.")</f>
        <v>در مورد تأثیر ارتباطات مؤثر در روابط عاشقانه، از جمله بیان نیازها، خواسته ها و مرزها بحث کنید.</v>
      </c>
      <c r="H1467" s="1"/>
      <c r="I1467" s="1"/>
      <c r="J1467" s="1"/>
      <c r="K1467" s="1"/>
      <c r="L1467" s="1"/>
      <c r="M1467" s="1"/>
      <c r="N1467" s="1"/>
      <c r="O1467" s="1"/>
      <c r="P1467" s="1"/>
      <c r="Q1467" s="1"/>
      <c r="R1467" s="1"/>
      <c r="S1467" s="1"/>
      <c r="T1467" s="1"/>
      <c r="U1467" s="1"/>
      <c r="V1467" s="1"/>
      <c r="W1467" s="1"/>
      <c r="X1467" s="1"/>
      <c r="Y1467" s="1"/>
      <c r="Z1467" s="1"/>
      <c r="AA1467" s="1"/>
      <c r="AB1467" s="1"/>
    </row>
    <row r="1468" ht="50.25" customHeight="1">
      <c r="A1468" s="12">
        <v>1464.0</v>
      </c>
      <c r="B1468" s="13" t="s">
        <v>1446</v>
      </c>
      <c r="C1468" s="14" t="s">
        <v>1476</v>
      </c>
      <c r="D1468" s="1"/>
      <c r="E1468" s="15"/>
      <c r="F1468" s="1" t="str">
        <f>IFERROR(__xludf.DUMMYFUNCTION("GOOGLETRANSLATE(B1468, ""en"", ""fa"")
"),"مشاوره در رابطه و مهارت های ارتباطی")</f>
        <v>مشاوره در رابطه و مهارت های ارتباطی</v>
      </c>
      <c r="G1468" s="1" t="str">
        <f>IFERROR(__xludf.DUMMYFUNCTION("GOOGLETRANSLATE(C1468, ""en"", ""fa"")
"),"نکاتی را برای پیمایش چالش های ارتباطی با والدین سالخورده، تمرکز بر همدلی، گوش دادن فعال و صبر به اشتراک بگذارید.")</f>
        <v>نکاتی را برای پیمایش چالش های ارتباطی با والدین سالخورده، تمرکز بر همدلی، گوش دادن فعال و صبر به اشتراک بگذارید.</v>
      </c>
      <c r="H1468" s="1"/>
      <c r="I1468" s="1"/>
      <c r="J1468" s="1"/>
      <c r="K1468" s="1"/>
      <c r="L1468" s="1"/>
      <c r="M1468" s="1"/>
      <c r="N1468" s="1"/>
      <c r="O1468" s="1"/>
      <c r="P1468" s="1"/>
      <c r="Q1468" s="1"/>
      <c r="R1468" s="1"/>
      <c r="S1468" s="1"/>
      <c r="T1468" s="1"/>
      <c r="U1468" s="1"/>
      <c r="V1468" s="1"/>
      <c r="W1468" s="1"/>
      <c r="X1468" s="1"/>
      <c r="Y1468" s="1"/>
      <c r="Z1468" s="1"/>
      <c r="AA1468" s="1"/>
      <c r="AB1468" s="1"/>
    </row>
    <row r="1469" ht="50.25" customHeight="1">
      <c r="A1469" s="12">
        <v>1465.0</v>
      </c>
      <c r="B1469" s="13" t="s">
        <v>1446</v>
      </c>
      <c r="C1469" s="14" t="s">
        <v>1477</v>
      </c>
      <c r="D1469" s="1"/>
      <c r="E1469" s="15"/>
      <c r="F1469" s="1" t="str">
        <f>IFERROR(__xludf.DUMMYFUNCTION("GOOGLETRANSLATE(B1469, ""en"", ""fa"")
"),"مشاوره در رابطه و مهارت های ارتباطی")</f>
        <v>مشاوره در رابطه و مهارت های ارتباطی</v>
      </c>
      <c r="G1469" s="1" t="str">
        <f>IFERROR(__xludf.DUMMYFUNCTION("GOOGLETRANSLATE(C1469, ""en"", ""fa"")
"),"مفهوم ارتباط مؤثر در روابط مربی و منتهی، از جمله گوش دادن فعال، بازخورد، و راهنمایی را بررسی کنید.")</f>
        <v>مفهوم ارتباط مؤثر در روابط مربی و منتهی، از جمله گوش دادن فعال، بازخورد، و راهنمایی را بررسی کنید.</v>
      </c>
      <c r="H1469" s="1"/>
      <c r="I1469" s="1"/>
      <c r="J1469" s="1"/>
      <c r="K1469" s="1"/>
      <c r="L1469" s="1"/>
      <c r="M1469" s="1"/>
      <c r="N1469" s="1"/>
      <c r="O1469" s="1"/>
      <c r="P1469" s="1"/>
      <c r="Q1469" s="1"/>
      <c r="R1469" s="1"/>
      <c r="S1469" s="1"/>
      <c r="T1469" s="1"/>
      <c r="U1469" s="1"/>
      <c r="V1469" s="1"/>
      <c r="W1469" s="1"/>
      <c r="X1469" s="1"/>
      <c r="Y1469" s="1"/>
      <c r="Z1469" s="1"/>
      <c r="AA1469" s="1"/>
      <c r="AB1469" s="1"/>
    </row>
    <row r="1470" ht="50.25" customHeight="1">
      <c r="A1470" s="12">
        <v>1466.0</v>
      </c>
      <c r="B1470" s="13" t="s">
        <v>1446</v>
      </c>
      <c r="C1470" s="14" t="s">
        <v>1478</v>
      </c>
      <c r="D1470" s="1"/>
      <c r="E1470" s="15"/>
      <c r="F1470" s="1" t="str">
        <f>IFERROR(__xludf.DUMMYFUNCTION("GOOGLETRANSLATE(B1470, ""en"", ""fa"")
"),"مشاوره در رابطه و مهارت های ارتباطی")</f>
        <v>مشاوره در رابطه و مهارت های ارتباطی</v>
      </c>
      <c r="G1470" s="1" t="str">
        <f>IFERROR(__xludf.DUMMYFUNCTION("GOOGLETRANSLATE(C1470, ""en"", ""fa"")
"),"در مورد نقش ارتباط مؤثر در حفظ روابط سالم با شرکای سابق، با تأکید بر احترام و همکاری مشترک والدین بحث کنید.")</f>
        <v>در مورد نقش ارتباط مؤثر در حفظ روابط سالم با شرکای سابق، با تأکید بر احترام و همکاری مشترک والدین بحث کنید.</v>
      </c>
      <c r="H1470" s="1"/>
      <c r="I1470" s="1"/>
      <c r="J1470" s="1"/>
      <c r="K1470" s="1"/>
      <c r="L1470" s="1"/>
      <c r="M1470" s="1"/>
      <c r="N1470" s="1"/>
      <c r="O1470" s="1"/>
      <c r="P1470" s="1"/>
      <c r="Q1470" s="1"/>
      <c r="R1470" s="1"/>
      <c r="S1470" s="1"/>
      <c r="T1470" s="1"/>
      <c r="U1470" s="1"/>
      <c r="V1470" s="1"/>
      <c r="W1470" s="1"/>
      <c r="X1470" s="1"/>
      <c r="Y1470" s="1"/>
      <c r="Z1470" s="1"/>
      <c r="AA1470" s="1"/>
      <c r="AB1470" s="1"/>
    </row>
    <row r="1471" ht="50.25" customHeight="1">
      <c r="A1471" s="12">
        <v>1467.0</v>
      </c>
      <c r="B1471" s="13" t="s">
        <v>1446</v>
      </c>
      <c r="C1471" s="14" t="s">
        <v>1479</v>
      </c>
      <c r="D1471" s="1"/>
      <c r="E1471" s="15"/>
      <c r="F1471" s="1" t="str">
        <f>IFERROR(__xludf.DUMMYFUNCTION("GOOGLETRANSLATE(B1471, ""en"", ""fa"")
"),"مشاوره در رابطه و مهارت های ارتباطی")</f>
        <v>مشاوره در رابطه و مهارت های ارتباطی</v>
      </c>
      <c r="G1471" s="1" t="str">
        <f>IFERROR(__xludf.DUMMYFUNCTION("GOOGLETRANSLATE(C1471, ""en"", ""fa"")
"),"استراتژی های ایجاد اعتماد و ارتباط موثر در محیط های تیمی، تقویت همکاری و اهداف مشترک را به اشتراک بگذارید.")</f>
        <v>استراتژی های ایجاد اعتماد و ارتباط موثر در محیط های تیمی، تقویت همکاری و اهداف مشترک را به اشتراک بگذارید.</v>
      </c>
      <c r="H1471" s="1"/>
      <c r="I1471" s="1"/>
      <c r="J1471" s="1"/>
      <c r="K1471" s="1"/>
      <c r="L1471" s="1"/>
      <c r="M1471" s="1"/>
      <c r="N1471" s="1"/>
      <c r="O1471" s="1"/>
      <c r="P1471" s="1"/>
      <c r="Q1471" s="1"/>
      <c r="R1471" s="1"/>
      <c r="S1471" s="1"/>
      <c r="T1471" s="1"/>
      <c r="U1471" s="1"/>
      <c r="V1471" s="1"/>
      <c r="W1471" s="1"/>
      <c r="X1471" s="1"/>
      <c r="Y1471" s="1"/>
      <c r="Z1471" s="1"/>
      <c r="AA1471" s="1"/>
      <c r="AB1471" s="1"/>
    </row>
    <row r="1472" ht="50.25" customHeight="1">
      <c r="A1472" s="12">
        <v>1468.0</v>
      </c>
      <c r="B1472" s="13" t="s">
        <v>1446</v>
      </c>
      <c r="C1472" s="14" t="s">
        <v>1480</v>
      </c>
      <c r="D1472" s="1"/>
      <c r="E1472" s="15"/>
      <c r="F1472" s="1" t="str">
        <f>IFERROR(__xludf.DUMMYFUNCTION("GOOGLETRANSLATE(B1472, ""en"", ""fa"")
"),"مشاوره در رابطه و مهارت های ارتباطی")</f>
        <v>مشاوره در رابطه و مهارت های ارتباطی</v>
      </c>
      <c r="G1472" s="1" t="str">
        <f>IFERROR(__xludf.DUMMYFUNCTION("GOOGLETRANSLATE(C1472, ""en"", ""fa"")
"),"مزایای تمرین ارتباط موثر در مراقبت از خود و عشق به خود، از جمله تعیین مرزها و بیان نیازها را بررسی کنید.")</f>
        <v>مزایای تمرین ارتباط موثر در مراقبت از خود و عشق به خود، از جمله تعیین مرزها و بیان نیازها را بررسی کنید.</v>
      </c>
      <c r="H1472" s="1"/>
      <c r="I1472" s="1"/>
      <c r="J1472" s="1"/>
      <c r="K1472" s="1"/>
      <c r="L1472" s="1"/>
      <c r="M1472" s="1"/>
      <c r="N1472" s="1"/>
      <c r="O1472" s="1"/>
      <c r="P1472" s="1"/>
      <c r="Q1472" s="1"/>
      <c r="R1472" s="1"/>
      <c r="S1472" s="1"/>
      <c r="T1472" s="1"/>
      <c r="U1472" s="1"/>
      <c r="V1472" s="1"/>
      <c r="W1472" s="1"/>
      <c r="X1472" s="1"/>
      <c r="Y1472" s="1"/>
      <c r="Z1472" s="1"/>
      <c r="AA1472" s="1"/>
      <c r="AB1472" s="1"/>
    </row>
    <row r="1473" ht="50.25" customHeight="1">
      <c r="A1473" s="12">
        <v>1469.0</v>
      </c>
      <c r="B1473" s="13" t="s">
        <v>1446</v>
      </c>
      <c r="C1473" s="14" t="s">
        <v>1481</v>
      </c>
      <c r="D1473" s="1"/>
      <c r="E1473" s="15"/>
      <c r="F1473" s="1" t="str">
        <f>IFERROR(__xludf.DUMMYFUNCTION("GOOGLETRANSLATE(B1473, ""en"", ""fa"")
"),"مشاوره در رابطه و مهارت های ارتباطی")</f>
        <v>مشاوره در رابطه و مهارت های ارتباطی</v>
      </c>
      <c r="G1473" s="1" t="str">
        <f>IFERROR(__xludf.DUMMYFUNCTION("GOOGLETRANSLATE(C1473, ""en"", ""fa"")
"),"درباره تأثیر ارتباط مؤثر در دوستی ها، از جمله گوش دادن فعال، حمایت عاطفی و حل تعارض بحث کنید.")</f>
        <v>درباره تأثیر ارتباط مؤثر در دوستی ها، از جمله گوش دادن فعال، حمایت عاطفی و حل تعارض بحث کنید.</v>
      </c>
      <c r="H1473" s="1"/>
      <c r="I1473" s="1"/>
      <c r="J1473" s="1"/>
      <c r="K1473" s="1"/>
      <c r="L1473" s="1"/>
      <c r="M1473" s="1"/>
      <c r="N1473" s="1"/>
      <c r="O1473" s="1"/>
      <c r="P1473" s="1"/>
      <c r="Q1473" s="1"/>
      <c r="R1473" s="1"/>
      <c r="S1473" s="1"/>
      <c r="T1473" s="1"/>
      <c r="U1473" s="1"/>
      <c r="V1473" s="1"/>
      <c r="W1473" s="1"/>
      <c r="X1473" s="1"/>
      <c r="Y1473" s="1"/>
      <c r="Z1473" s="1"/>
      <c r="AA1473" s="1"/>
      <c r="AB1473" s="1"/>
    </row>
    <row r="1474" ht="50.25" customHeight="1">
      <c r="A1474" s="12">
        <v>1470.0</v>
      </c>
      <c r="B1474" s="13" t="s">
        <v>1446</v>
      </c>
      <c r="C1474" s="14" t="s">
        <v>1482</v>
      </c>
      <c r="D1474" s="1"/>
      <c r="E1474" s="15"/>
      <c r="F1474" s="1" t="str">
        <f>IFERROR(__xludf.DUMMYFUNCTION("GOOGLETRANSLATE(B1474, ""en"", ""fa"")
"),"مشاوره در رابطه و مهارت های ارتباطی")</f>
        <v>مشاوره در رابطه و مهارت های ارتباطی</v>
      </c>
      <c r="G1474" s="1" t="str">
        <f>IFERROR(__xludf.DUMMYFUNCTION("GOOGLETRANSLATE(C1474, ""en"", ""fa"")
"),"نکاتی را برای پیمایش چالش های ارتباطی با نوجوانان، تمرکز بر گوش دادن فعال، همدلی و درک به اشتراک بگذارید.")</f>
        <v>نکاتی را برای پیمایش چالش های ارتباطی با نوجوانان، تمرکز بر گوش دادن فعال، همدلی و درک به اشتراک بگذارید.</v>
      </c>
      <c r="H1474" s="1"/>
      <c r="I1474" s="1"/>
      <c r="J1474" s="1"/>
      <c r="K1474" s="1"/>
      <c r="L1474" s="1"/>
      <c r="M1474" s="1"/>
      <c r="N1474" s="1"/>
      <c r="O1474" s="1"/>
      <c r="P1474" s="1"/>
      <c r="Q1474" s="1"/>
      <c r="R1474" s="1"/>
      <c r="S1474" s="1"/>
      <c r="T1474" s="1"/>
      <c r="U1474" s="1"/>
      <c r="V1474" s="1"/>
      <c r="W1474" s="1"/>
      <c r="X1474" s="1"/>
      <c r="Y1474" s="1"/>
      <c r="Z1474" s="1"/>
      <c r="AA1474" s="1"/>
      <c r="AB1474" s="1"/>
    </row>
    <row r="1475" ht="50.25" customHeight="1">
      <c r="A1475" s="12">
        <v>1471.0</v>
      </c>
      <c r="B1475" s="13" t="s">
        <v>1446</v>
      </c>
      <c r="C1475" s="14" t="s">
        <v>1483</v>
      </c>
      <c r="D1475" s="1"/>
      <c r="E1475" s="15"/>
      <c r="F1475" s="1" t="str">
        <f>IFERROR(__xludf.DUMMYFUNCTION("GOOGLETRANSLATE(B1475, ""en"", ""fa"")
"),"مشاوره در رابطه و مهارت های ارتباطی")</f>
        <v>مشاوره در رابطه و مهارت های ارتباطی</v>
      </c>
      <c r="G1475" s="1" t="str">
        <f>IFERROR(__xludf.DUMMYFUNCTION("GOOGLETRANSLATE(C1475, ""en"", ""fa"")
"),"مفهوم ارتباط موثر در روابط LGBTQ+، رسیدگی به چالش های منحصر به فرد و تقویت پذیرش و عشق را بررسی کنید.")</f>
        <v>مفهوم ارتباط موثر در روابط LGBTQ+، رسیدگی به چالش های منحصر به فرد و تقویت پذیرش و عشق را بررسی کنید.</v>
      </c>
      <c r="H1475" s="1"/>
      <c r="I1475" s="1"/>
      <c r="J1475" s="1"/>
      <c r="K1475" s="1"/>
      <c r="L1475" s="1"/>
      <c r="M1475" s="1"/>
      <c r="N1475" s="1"/>
      <c r="O1475" s="1"/>
      <c r="P1475" s="1"/>
      <c r="Q1475" s="1"/>
      <c r="R1475" s="1"/>
      <c r="S1475" s="1"/>
      <c r="T1475" s="1"/>
      <c r="U1475" s="1"/>
      <c r="V1475" s="1"/>
      <c r="W1475" s="1"/>
      <c r="X1475" s="1"/>
      <c r="Y1475" s="1"/>
      <c r="Z1475" s="1"/>
      <c r="AA1475" s="1"/>
      <c r="AB1475" s="1"/>
    </row>
    <row r="1476" ht="50.25" customHeight="1">
      <c r="A1476" s="12">
        <v>1472.0</v>
      </c>
      <c r="B1476" s="13" t="s">
        <v>1446</v>
      </c>
      <c r="C1476" s="14" t="s">
        <v>1484</v>
      </c>
      <c r="D1476" s="1"/>
      <c r="E1476" s="15"/>
      <c r="F1476" s="1" t="str">
        <f>IFERROR(__xludf.DUMMYFUNCTION("GOOGLETRANSLATE(B1476, ""en"", ""fa"")
"),"مشاوره در رابطه و مهارت های ارتباطی")</f>
        <v>مشاوره در رابطه و مهارت های ارتباطی</v>
      </c>
      <c r="G1476" s="1" t="str">
        <f>IFERROR(__xludf.DUMMYFUNCTION("GOOGLETRANSLATE(C1476, ""en"", ""fa"")
"),"در مورد نقش ارتباط موثر در مدیریت استرس و تعارض در روابط، از جمله ابراز خود و حل مسئله فعال بحث کنید.")</f>
        <v>در مورد نقش ارتباط موثر در مدیریت استرس و تعارض در روابط، از جمله ابراز خود و حل مسئله فعال بحث کنید.</v>
      </c>
      <c r="H1476" s="1"/>
      <c r="I1476" s="1"/>
      <c r="J1476" s="1"/>
      <c r="K1476" s="1"/>
      <c r="L1476" s="1"/>
      <c r="M1476" s="1"/>
      <c r="N1476" s="1"/>
      <c r="O1476" s="1"/>
      <c r="P1476" s="1"/>
      <c r="Q1476" s="1"/>
      <c r="R1476" s="1"/>
      <c r="S1476" s="1"/>
      <c r="T1476" s="1"/>
      <c r="U1476" s="1"/>
      <c r="V1476" s="1"/>
      <c r="W1476" s="1"/>
      <c r="X1476" s="1"/>
      <c r="Y1476" s="1"/>
      <c r="Z1476" s="1"/>
      <c r="AA1476" s="1"/>
      <c r="AB1476" s="1"/>
    </row>
    <row r="1477" ht="50.25" customHeight="1">
      <c r="A1477" s="12">
        <v>1473.0</v>
      </c>
      <c r="B1477" s="13" t="s">
        <v>1446</v>
      </c>
      <c r="C1477" s="14" t="s">
        <v>1485</v>
      </c>
      <c r="D1477" s="1"/>
      <c r="E1477" s="15"/>
      <c r="F1477" s="1" t="str">
        <f>IFERROR(__xludf.DUMMYFUNCTION("GOOGLETRANSLATE(B1477, ""en"", ""fa"")
"),"مشاوره در رابطه و مهارت های ارتباطی")</f>
        <v>مشاوره در رابطه و مهارت های ارتباطی</v>
      </c>
      <c r="G1477" s="1" t="str">
        <f>IFERROR(__xludf.DUMMYFUNCTION("GOOGLETRANSLATE(C1477, ""en"", ""fa"")
"),"استراتژی‌هایی را برای حفظ ارتباطات باز و اعتماد در روابط طولانی‌مدت، از جمله بررسی‌های منظم و زمان با کیفیت به اشتراک بگذارید.")</f>
        <v>استراتژی‌هایی را برای حفظ ارتباطات باز و اعتماد در روابط طولانی‌مدت، از جمله بررسی‌های منظم و زمان با کیفیت به اشتراک بگذارید.</v>
      </c>
      <c r="H1477" s="1"/>
      <c r="I1477" s="1"/>
      <c r="J1477" s="1"/>
      <c r="K1477" s="1"/>
      <c r="L1477" s="1"/>
      <c r="M1477" s="1"/>
      <c r="N1477" s="1"/>
      <c r="O1477" s="1"/>
      <c r="P1477" s="1"/>
      <c r="Q1477" s="1"/>
      <c r="R1477" s="1"/>
      <c r="S1477" s="1"/>
      <c r="T1477" s="1"/>
      <c r="U1477" s="1"/>
      <c r="V1477" s="1"/>
      <c r="W1477" s="1"/>
      <c r="X1477" s="1"/>
      <c r="Y1477" s="1"/>
      <c r="Z1477" s="1"/>
      <c r="AA1477" s="1"/>
      <c r="AB1477" s="1"/>
    </row>
    <row r="1478" ht="50.25" customHeight="1">
      <c r="A1478" s="12">
        <v>1474.0</v>
      </c>
      <c r="B1478" s="13" t="s">
        <v>1446</v>
      </c>
      <c r="C1478" s="14" t="s">
        <v>1486</v>
      </c>
      <c r="D1478" s="1"/>
      <c r="E1478" s="15"/>
      <c r="F1478" s="1" t="str">
        <f>IFERROR(__xludf.DUMMYFUNCTION("GOOGLETRANSLATE(B1478, ""en"", ""fa"")
"),"مشاوره در رابطه و مهارت های ارتباطی")</f>
        <v>مشاوره در رابطه و مهارت های ارتباطی</v>
      </c>
      <c r="G1478" s="1" t="str">
        <f>IFERROR(__xludf.DUMMYFUNCTION("GOOGLETRANSLATE(C1478, ""en"", ""fa"")
"),"مزایای تمرین ارتباط موثر در روابط آنلاین، از جمله مرزهای روشن و گفتگوی باز را بررسی کنید.")</f>
        <v>مزایای تمرین ارتباط موثر در روابط آنلاین، از جمله مرزهای روشن و گفتگوی باز را بررسی کنید.</v>
      </c>
      <c r="H1478" s="1"/>
      <c r="I1478" s="1"/>
      <c r="J1478" s="1"/>
      <c r="K1478" s="1"/>
      <c r="L1478" s="1"/>
      <c r="M1478" s="1"/>
      <c r="N1478" s="1"/>
      <c r="O1478" s="1"/>
      <c r="P1478" s="1"/>
      <c r="Q1478" s="1"/>
      <c r="R1478" s="1"/>
      <c r="S1478" s="1"/>
      <c r="T1478" s="1"/>
      <c r="U1478" s="1"/>
      <c r="V1478" s="1"/>
      <c r="W1478" s="1"/>
      <c r="X1478" s="1"/>
      <c r="Y1478" s="1"/>
      <c r="Z1478" s="1"/>
      <c r="AA1478" s="1"/>
      <c r="AB1478" s="1"/>
    </row>
    <row r="1479" ht="50.25" customHeight="1">
      <c r="A1479" s="12">
        <v>1475.0</v>
      </c>
      <c r="B1479" s="13" t="s">
        <v>1446</v>
      </c>
      <c r="C1479" s="14" t="s">
        <v>1487</v>
      </c>
      <c r="D1479" s="1"/>
      <c r="E1479" s="15"/>
      <c r="F1479" s="1" t="str">
        <f>IFERROR(__xludf.DUMMYFUNCTION("GOOGLETRANSLATE(B1479, ""en"", ""fa"")
"),"مشاوره در رابطه و مهارت های ارتباطی")</f>
        <v>مشاوره در رابطه و مهارت های ارتباطی</v>
      </c>
      <c r="G1479" s="1" t="str">
        <f>IFERROR(__xludf.DUMMYFUNCTION("GOOGLETRANSLATE(C1479, ""en"", ""fa"")
"),"در مورد تأثیر ارتباطات مؤثر در شبکه سازی حرفه ای با تأکید بر گوش دادن فعال، بیان واضح و ایجاد رابطه بحث کنید.")</f>
        <v>در مورد تأثیر ارتباطات مؤثر در شبکه سازی حرفه ای با تأکید بر گوش دادن فعال، بیان واضح و ایجاد رابطه بحث کنید.</v>
      </c>
      <c r="H1479" s="1"/>
      <c r="I1479" s="1"/>
      <c r="J1479" s="1"/>
      <c r="K1479" s="1"/>
      <c r="L1479" s="1"/>
      <c r="M1479" s="1"/>
      <c r="N1479" s="1"/>
      <c r="O1479" s="1"/>
      <c r="P1479" s="1"/>
      <c r="Q1479" s="1"/>
      <c r="R1479" s="1"/>
      <c r="S1479" s="1"/>
      <c r="T1479" s="1"/>
      <c r="U1479" s="1"/>
      <c r="V1479" s="1"/>
      <c r="W1479" s="1"/>
      <c r="X1479" s="1"/>
      <c r="Y1479" s="1"/>
      <c r="Z1479" s="1"/>
      <c r="AA1479" s="1"/>
      <c r="AB1479" s="1"/>
    </row>
    <row r="1480" ht="50.25" customHeight="1">
      <c r="A1480" s="12">
        <v>1476.0</v>
      </c>
      <c r="B1480" s="13" t="s">
        <v>1446</v>
      </c>
      <c r="C1480" s="14" t="s">
        <v>1488</v>
      </c>
      <c r="D1480" s="1"/>
      <c r="E1480" s="15"/>
      <c r="F1480" s="1" t="str">
        <f>IFERROR(__xludf.DUMMYFUNCTION("GOOGLETRANSLATE(B1480, ""en"", ""fa"")
"),"مشاوره در رابطه و مهارت های ارتباطی")</f>
        <v>مشاوره در رابطه و مهارت های ارتباطی</v>
      </c>
      <c r="G1480" s="1" t="str">
        <f>IFERROR(__xludf.DUMMYFUNCTION("GOOGLETRANSLATE(C1480, ""en"", ""fa"")
"),"نکاتی را برای تقویت ارتباط و ارتباط در ازدواج ها یا شراکت های طولانی مدت، از جمله شب های قرار منظم و صمیمیت عاطفی به اشتراک بگذارید.")</f>
        <v>نکاتی را برای تقویت ارتباط و ارتباط در ازدواج ها یا شراکت های طولانی مدت، از جمله شب های قرار منظم و صمیمیت عاطفی به اشتراک بگذارید.</v>
      </c>
      <c r="H1480" s="1"/>
      <c r="I1480" s="1"/>
      <c r="J1480" s="1"/>
      <c r="K1480" s="1"/>
      <c r="L1480" s="1"/>
      <c r="M1480" s="1"/>
      <c r="N1480" s="1"/>
      <c r="O1480" s="1"/>
      <c r="P1480" s="1"/>
      <c r="Q1480" s="1"/>
      <c r="R1480" s="1"/>
      <c r="S1480" s="1"/>
      <c r="T1480" s="1"/>
      <c r="U1480" s="1"/>
      <c r="V1480" s="1"/>
      <c r="W1480" s="1"/>
      <c r="X1480" s="1"/>
      <c r="Y1480" s="1"/>
      <c r="Z1480" s="1"/>
      <c r="AA1480" s="1"/>
      <c r="AB1480" s="1"/>
    </row>
    <row r="1481" ht="50.25" customHeight="1">
      <c r="A1481" s="12">
        <v>1477.0</v>
      </c>
      <c r="B1481" s="13" t="s">
        <v>1446</v>
      </c>
      <c r="C1481" s="14" t="s">
        <v>1489</v>
      </c>
      <c r="D1481" s="1"/>
      <c r="E1481" s="15"/>
      <c r="F1481" s="1" t="str">
        <f>IFERROR(__xludf.DUMMYFUNCTION("GOOGLETRANSLATE(B1481, ""en"", ""fa"")
"),"مشاوره در رابطه و مهارت های ارتباطی")</f>
        <v>مشاوره در رابطه و مهارت های ارتباطی</v>
      </c>
      <c r="G1481" s="1" t="str">
        <f>IFERROR(__xludf.DUMMYFUNCTION("GOOGLETRANSLATE(C1481, ""en"", ""fa"")
"),"در مورد اهمیت اعتماد در روابط عاشقانه بحث کنید و راهبردهایی را برای ایجاد و حفظ آن به اشتراک بگذارید.")</f>
        <v>در مورد اهمیت اعتماد در روابط عاشقانه بحث کنید و راهبردهایی را برای ایجاد و حفظ آن به اشتراک بگذارید.</v>
      </c>
      <c r="H1481" s="1"/>
      <c r="I1481" s="1"/>
      <c r="J1481" s="1"/>
      <c r="K1481" s="1"/>
      <c r="L1481" s="1"/>
      <c r="M1481" s="1"/>
      <c r="N1481" s="1"/>
      <c r="O1481" s="1"/>
      <c r="P1481" s="1"/>
      <c r="Q1481" s="1"/>
      <c r="R1481" s="1"/>
      <c r="S1481" s="1"/>
      <c r="T1481" s="1"/>
      <c r="U1481" s="1"/>
      <c r="V1481" s="1"/>
      <c r="W1481" s="1"/>
      <c r="X1481" s="1"/>
      <c r="Y1481" s="1"/>
      <c r="Z1481" s="1"/>
      <c r="AA1481" s="1"/>
      <c r="AB1481" s="1"/>
    </row>
    <row r="1482" ht="50.25" customHeight="1">
      <c r="A1482" s="12">
        <v>1478.0</v>
      </c>
      <c r="B1482" s="13" t="s">
        <v>1446</v>
      </c>
      <c r="C1482" s="14" t="s">
        <v>1490</v>
      </c>
      <c r="D1482" s="1"/>
      <c r="E1482" s="15"/>
      <c r="F1482" s="1" t="str">
        <f>IFERROR(__xludf.DUMMYFUNCTION("GOOGLETRANSLATE(B1482, ""en"", ""fa"")
"),"مشاوره در رابطه و مهارت های ارتباطی")</f>
        <v>مشاوره در رابطه و مهارت های ارتباطی</v>
      </c>
      <c r="G1482" s="1" t="str">
        <f>IFERROR(__xludf.DUMMYFUNCTION("GOOGLETRANSLATE(C1482, ""en"", ""fa"")
"),"مفهوم هوش هیجانی و نقش آن در ارتباط موثر در روابط را بررسی کنید.")</f>
        <v>مفهوم هوش هیجانی و نقش آن در ارتباط موثر در روابط را بررسی کنید.</v>
      </c>
      <c r="H1482" s="1"/>
      <c r="I1482" s="1"/>
      <c r="J1482" s="1"/>
      <c r="K1482" s="1"/>
      <c r="L1482" s="1"/>
      <c r="M1482" s="1"/>
      <c r="N1482" s="1"/>
      <c r="O1482" s="1"/>
      <c r="P1482" s="1"/>
      <c r="Q1482" s="1"/>
      <c r="R1482" s="1"/>
      <c r="S1482" s="1"/>
      <c r="T1482" s="1"/>
      <c r="U1482" s="1"/>
      <c r="V1482" s="1"/>
      <c r="W1482" s="1"/>
      <c r="X1482" s="1"/>
      <c r="Y1482" s="1"/>
      <c r="Z1482" s="1"/>
      <c r="AA1482" s="1"/>
      <c r="AB1482" s="1"/>
    </row>
    <row r="1483" ht="50.25" customHeight="1">
      <c r="A1483" s="12">
        <v>1479.0</v>
      </c>
      <c r="B1483" s="13" t="s">
        <v>1446</v>
      </c>
      <c r="C1483" s="14" t="s">
        <v>1491</v>
      </c>
      <c r="D1483" s="1"/>
      <c r="E1483" s="15"/>
      <c r="F1483" s="1" t="str">
        <f>IFERROR(__xludf.DUMMYFUNCTION("GOOGLETRANSLATE(B1483, ""en"", ""fa"")
"),"مشاوره در رابطه و مهارت های ارتباطی")</f>
        <v>مشاوره در رابطه و مهارت های ارتباطی</v>
      </c>
      <c r="G1483" s="1" t="str">
        <f>IFERROR(__xludf.DUMMYFUNCTION("GOOGLETRANSLATE(C1483, ""en"", ""fa"")
"),"نکاتی را برای ابراز قدردانی و قدردانی از شریک زندگی خود به اشتراک بگذارید و جو مثبت و دوست داشتنی ایجاد کنید.")</f>
        <v>نکاتی را برای ابراز قدردانی و قدردانی از شریک زندگی خود به اشتراک بگذارید و جو مثبت و دوست داشتنی ایجاد کنید.</v>
      </c>
      <c r="H1483" s="1"/>
      <c r="I1483" s="1"/>
      <c r="J1483" s="1"/>
      <c r="K1483" s="1"/>
      <c r="L1483" s="1"/>
      <c r="M1483" s="1"/>
      <c r="N1483" s="1"/>
      <c r="O1483" s="1"/>
      <c r="P1483" s="1"/>
      <c r="Q1483" s="1"/>
      <c r="R1483" s="1"/>
      <c r="S1483" s="1"/>
      <c r="T1483" s="1"/>
      <c r="U1483" s="1"/>
      <c r="V1483" s="1"/>
      <c r="W1483" s="1"/>
      <c r="X1483" s="1"/>
      <c r="Y1483" s="1"/>
      <c r="Z1483" s="1"/>
      <c r="AA1483" s="1"/>
      <c r="AB1483" s="1"/>
    </row>
    <row r="1484" ht="50.25" customHeight="1">
      <c r="A1484" s="12">
        <v>1480.0</v>
      </c>
      <c r="B1484" s="13" t="s">
        <v>1446</v>
      </c>
      <c r="C1484" s="14" t="s">
        <v>1492</v>
      </c>
      <c r="D1484" s="1"/>
      <c r="E1484" s="15"/>
      <c r="F1484" s="1" t="str">
        <f>IFERROR(__xludf.DUMMYFUNCTION("GOOGLETRANSLATE(B1484, ""en"", ""fa"")
"),"مشاوره در رابطه و مهارت های ارتباطی")</f>
        <v>مشاوره در رابطه و مهارت های ارتباطی</v>
      </c>
      <c r="G1484" s="1" t="str">
        <f>IFERROR(__xludf.DUMMYFUNCTION("GOOGLETRANSLATE(C1484, ""en"", ""fa"")
"),"در مورد تأثیر گوش دادن فعال و اعتبارسنجی در ایجاد ارتباطات عمیق تر و حل تعارض بحث کنید.")</f>
        <v>در مورد تأثیر گوش دادن فعال و اعتبارسنجی در ایجاد ارتباطات عمیق تر و حل تعارض بحث کنید.</v>
      </c>
      <c r="H1484" s="1"/>
      <c r="I1484" s="1"/>
      <c r="J1484" s="1"/>
      <c r="K1484" s="1"/>
      <c r="L1484" s="1"/>
      <c r="M1484" s="1"/>
      <c r="N1484" s="1"/>
      <c r="O1484" s="1"/>
      <c r="P1484" s="1"/>
      <c r="Q1484" s="1"/>
      <c r="R1484" s="1"/>
      <c r="S1484" s="1"/>
      <c r="T1484" s="1"/>
      <c r="U1484" s="1"/>
      <c r="V1484" s="1"/>
      <c r="W1484" s="1"/>
      <c r="X1484" s="1"/>
      <c r="Y1484" s="1"/>
      <c r="Z1484" s="1"/>
      <c r="AA1484" s="1"/>
      <c r="AB1484" s="1"/>
    </row>
    <row r="1485" ht="50.25" customHeight="1">
      <c r="A1485" s="12">
        <v>1481.0</v>
      </c>
      <c r="B1485" s="13" t="s">
        <v>1446</v>
      </c>
      <c r="C1485" s="14" t="s">
        <v>1493</v>
      </c>
      <c r="D1485" s="1"/>
      <c r="E1485" s="15"/>
      <c r="F1485" s="1" t="str">
        <f>IFERROR(__xludf.DUMMYFUNCTION("GOOGLETRANSLATE(B1485, ""en"", ""fa"")
"),"مشاوره در رابطه و مهارت های ارتباطی")</f>
        <v>مشاوره در رابطه و مهارت های ارتباطی</v>
      </c>
      <c r="G1485" s="1" t="str">
        <f>IFERROR(__xludf.DUMMYFUNCTION("GOOGLETRANSLATE(C1485, ""en"", ""fa"")
"),"مزایای تمرین همدلی در روابط، درک و ارتباط با احساسات شریک زندگی خود را بررسی کنید.")</f>
        <v>مزایای تمرین همدلی در روابط، درک و ارتباط با احساسات شریک زندگی خود را بررسی کنید.</v>
      </c>
      <c r="H1485" s="1"/>
      <c r="I1485" s="1"/>
      <c r="J1485" s="1"/>
      <c r="K1485" s="1"/>
      <c r="L1485" s="1"/>
      <c r="M1485" s="1"/>
      <c r="N1485" s="1"/>
      <c r="O1485" s="1"/>
      <c r="P1485" s="1"/>
      <c r="Q1485" s="1"/>
      <c r="R1485" s="1"/>
      <c r="S1485" s="1"/>
      <c r="T1485" s="1"/>
      <c r="U1485" s="1"/>
      <c r="V1485" s="1"/>
      <c r="W1485" s="1"/>
      <c r="X1485" s="1"/>
      <c r="Y1485" s="1"/>
      <c r="Z1485" s="1"/>
      <c r="AA1485" s="1"/>
      <c r="AB1485" s="1"/>
    </row>
    <row r="1486" ht="50.25" customHeight="1">
      <c r="A1486" s="12">
        <v>1482.0</v>
      </c>
      <c r="B1486" s="13" t="s">
        <v>1446</v>
      </c>
      <c r="C1486" s="14" t="s">
        <v>1494</v>
      </c>
      <c r="D1486" s="1"/>
      <c r="E1486" s="15"/>
      <c r="F1486" s="1" t="str">
        <f>IFERROR(__xludf.DUMMYFUNCTION("GOOGLETRANSLATE(B1486, ""en"", ""fa"")
"),"مشاوره در رابطه و مهارت های ارتباطی")</f>
        <v>مشاوره در رابطه و مهارت های ارتباطی</v>
      </c>
      <c r="G1486" s="1" t="str">
        <f>IFERROR(__xludf.DUMMYFUNCTION("GOOGLETRANSLATE(C1486, ""en"", ""fa"")
"),"استراتژی هایی برای مدیریت و رفع حسادت در روابط، ارتقای اعتماد و امنیت به اشتراک بگذارید.")</f>
        <v>استراتژی هایی برای مدیریت و رفع حسادت در روابط، ارتقای اعتماد و امنیت به اشتراک بگذارید.</v>
      </c>
      <c r="H1486" s="1"/>
      <c r="I1486" s="1"/>
      <c r="J1486" s="1"/>
      <c r="K1486" s="1"/>
      <c r="L1486" s="1"/>
      <c r="M1486" s="1"/>
      <c r="N1486" s="1"/>
      <c r="O1486" s="1"/>
      <c r="P1486" s="1"/>
      <c r="Q1486" s="1"/>
      <c r="R1486" s="1"/>
      <c r="S1486" s="1"/>
      <c r="T1486" s="1"/>
      <c r="U1486" s="1"/>
      <c r="V1486" s="1"/>
      <c r="W1486" s="1"/>
      <c r="X1486" s="1"/>
      <c r="Y1486" s="1"/>
      <c r="Z1486" s="1"/>
      <c r="AA1486" s="1"/>
      <c r="AB1486" s="1"/>
    </row>
    <row r="1487" ht="50.25" customHeight="1">
      <c r="A1487" s="12">
        <v>1483.0</v>
      </c>
      <c r="B1487" s="13" t="s">
        <v>1446</v>
      </c>
      <c r="C1487" s="14" t="s">
        <v>1495</v>
      </c>
      <c r="D1487" s="1"/>
      <c r="E1487" s="15"/>
      <c r="F1487" s="1" t="str">
        <f>IFERROR(__xludf.DUMMYFUNCTION("GOOGLETRANSLATE(B1487, ""en"", ""fa"")
"),"مشاوره در رابطه و مهارت های ارتباطی")</f>
        <v>مشاوره در رابطه و مهارت های ارتباطی</v>
      </c>
      <c r="G1487" s="1" t="str">
        <f>IFERROR(__xludf.DUMMYFUNCTION("GOOGLETRANSLATE(C1487, ""en"", ""fa"")
"),"در مورد نقش ارتباط موثر در تعیین و دستیابی به اهداف مشترک به عنوان یک زوج بحث کنید.")</f>
        <v>در مورد نقش ارتباط موثر در تعیین و دستیابی به اهداف مشترک به عنوان یک زوج بحث کنید.</v>
      </c>
      <c r="H1487" s="1"/>
      <c r="I1487" s="1"/>
      <c r="J1487" s="1"/>
      <c r="K1487" s="1"/>
      <c r="L1487" s="1"/>
      <c r="M1487" s="1"/>
      <c r="N1487" s="1"/>
      <c r="O1487" s="1"/>
      <c r="P1487" s="1"/>
      <c r="Q1487" s="1"/>
      <c r="R1487" s="1"/>
      <c r="S1487" s="1"/>
      <c r="T1487" s="1"/>
      <c r="U1487" s="1"/>
      <c r="V1487" s="1"/>
      <c r="W1487" s="1"/>
      <c r="X1487" s="1"/>
      <c r="Y1487" s="1"/>
      <c r="Z1487" s="1"/>
      <c r="AA1487" s="1"/>
      <c r="AB1487" s="1"/>
    </row>
    <row r="1488" ht="50.25" customHeight="1">
      <c r="A1488" s="12">
        <v>1484.0</v>
      </c>
      <c r="B1488" s="13" t="s">
        <v>1446</v>
      </c>
      <c r="C1488" s="14" t="s">
        <v>1496</v>
      </c>
      <c r="D1488" s="1"/>
      <c r="E1488" s="15"/>
      <c r="F1488" s="1" t="str">
        <f>IFERROR(__xludf.DUMMYFUNCTION("GOOGLETRANSLATE(B1488, ""en"", ""fa"")
"),"مشاوره در رابطه و مهارت های ارتباطی")</f>
        <v>مشاوره در رابطه و مهارت های ارتباطی</v>
      </c>
      <c r="G1488" s="1" t="str">
        <f>IFERROR(__xludf.DUMMYFUNCTION("GOOGLETRANSLATE(C1488, ""en"", ""fa"")
"),"مفهوم زبان های عشق و اینکه چگونه درک آنها می تواند ارتباط و ارتباط را افزایش دهد را بررسی کنید.")</f>
        <v>مفهوم زبان های عشق و اینکه چگونه درک آنها می تواند ارتباط و ارتباط را افزایش دهد را بررسی کنید.</v>
      </c>
      <c r="H1488" s="1"/>
      <c r="I1488" s="1"/>
      <c r="J1488" s="1"/>
      <c r="K1488" s="1"/>
      <c r="L1488" s="1"/>
      <c r="M1488" s="1"/>
      <c r="N1488" s="1"/>
      <c r="O1488" s="1"/>
      <c r="P1488" s="1"/>
      <c r="Q1488" s="1"/>
      <c r="R1488" s="1"/>
      <c r="S1488" s="1"/>
      <c r="T1488" s="1"/>
      <c r="U1488" s="1"/>
      <c r="V1488" s="1"/>
      <c r="W1488" s="1"/>
      <c r="X1488" s="1"/>
      <c r="Y1488" s="1"/>
      <c r="Z1488" s="1"/>
      <c r="AA1488" s="1"/>
      <c r="AB1488" s="1"/>
    </row>
    <row r="1489" ht="50.25" customHeight="1">
      <c r="A1489" s="12">
        <v>1485.0</v>
      </c>
      <c r="B1489" s="13" t="s">
        <v>1446</v>
      </c>
      <c r="C1489" s="14" t="s">
        <v>1497</v>
      </c>
      <c r="D1489" s="1"/>
      <c r="E1489" s="15"/>
      <c r="F1489" s="1" t="str">
        <f>IFERROR(__xludf.DUMMYFUNCTION("GOOGLETRANSLATE(B1489, ""en"", ""fa"")
"),"مشاوره در رابطه و مهارت های ارتباطی")</f>
        <v>مشاوره در رابطه و مهارت های ارتباطی</v>
      </c>
      <c r="G1489" s="1" t="str">
        <f>IFERROR(__xludf.DUMMYFUNCTION("GOOGLETRANSLATE(C1489, ""en"", ""fa"")
"),"نکاتی را برای حفظ تعادل کار و زندگی سالم در روابط به اشتراک بگذارید و زمان با کیفیت را در اولویت قرار دهید.")</f>
        <v>نکاتی را برای حفظ تعادل کار و زندگی سالم در روابط به اشتراک بگذارید و زمان با کیفیت را در اولویت قرار دهید.</v>
      </c>
      <c r="H1489" s="1"/>
      <c r="I1489" s="1"/>
      <c r="J1489" s="1"/>
      <c r="K1489" s="1"/>
      <c r="L1489" s="1"/>
      <c r="M1489" s="1"/>
      <c r="N1489" s="1"/>
      <c r="O1489" s="1"/>
      <c r="P1489" s="1"/>
      <c r="Q1489" s="1"/>
      <c r="R1489" s="1"/>
      <c r="S1489" s="1"/>
      <c r="T1489" s="1"/>
      <c r="U1489" s="1"/>
      <c r="V1489" s="1"/>
      <c r="W1489" s="1"/>
      <c r="X1489" s="1"/>
      <c r="Y1489" s="1"/>
      <c r="Z1489" s="1"/>
      <c r="AA1489" s="1"/>
      <c r="AB1489" s="1"/>
    </row>
    <row r="1490" ht="50.25" customHeight="1">
      <c r="A1490" s="12">
        <v>1486.0</v>
      </c>
      <c r="B1490" s="13" t="s">
        <v>1446</v>
      </c>
      <c r="C1490" s="14" t="s">
        <v>1498</v>
      </c>
      <c r="D1490" s="1"/>
      <c r="E1490" s="15"/>
      <c r="F1490" s="1" t="str">
        <f>IFERROR(__xludf.DUMMYFUNCTION("GOOGLETRANSLATE(B1490, ""en"", ""fa"")
"),"مشاوره در رابطه و مهارت های ارتباطی")</f>
        <v>مشاوره در رابطه و مهارت های ارتباطی</v>
      </c>
      <c r="G1490" s="1" t="str">
        <f>IFERROR(__xludf.DUMMYFUNCTION("GOOGLETRANSLATE(C1490, ""en"", ""fa"")
"),"در مورد تأثیر تمرین بخشش و رها کردن کینه ها در پرورش روابط طولانی مدت بحث کنید.")</f>
        <v>در مورد تأثیر تمرین بخشش و رها کردن کینه ها در پرورش روابط طولانی مدت بحث کنید.</v>
      </c>
      <c r="H1490" s="1"/>
      <c r="I1490" s="1"/>
      <c r="J1490" s="1"/>
      <c r="K1490" s="1"/>
      <c r="L1490" s="1"/>
      <c r="M1490" s="1"/>
      <c r="N1490" s="1"/>
      <c r="O1490" s="1"/>
      <c r="P1490" s="1"/>
      <c r="Q1490" s="1"/>
      <c r="R1490" s="1"/>
      <c r="S1490" s="1"/>
      <c r="T1490" s="1"/>
      <c r="U1490" s="1"/>
      <c r="V1490" s="1"/>
      <c r="W1490" s="1"/>
      <c r="X1490" s="1"/>
      <c r="Y1490" s="1"/>
      <c r="Z1490" s="1"/>
      <c r="AA1490" s="1"/>
      <c r="AB1490" s="1"/>
    </row>
    <row r="1491" ht="50.25" customHeight="1">
      <c r="A1491" s="12">
        <v>1487.0</v>
      </c>
      <c r="B1491" s="13" t="s">
        <v>1446</v>
      </c>
      <c r="C1491" s="14" t="s">
        <v>1499</v>
      </c>
      <c r="D1491" s="1"/>
      <c r="E1491" s="15"/>
      <c r="F1491" s="1" t="str">
        <f>IFERROR(__xludf.DUMMYFUNCTION("GOOGLETRANSLATE(B1491, ""en"", ""fa"")
"),"مشاوره در رابطه و مهارت های ارتباطی")</f>
        <v>مشاوره در رابطه و مهارت های ارتباطی</v>
      </c>
      <c r="G1491" s="1" t="str">
        <f>IFERROR(__xludf.DUMMYFUNCTION("GOOGLETRANSLATE(C1491, ""en"", ""fa"")
"),"مزایای تمرین قدردانی فعال و نشان دادن اعمال کوچک مهربانی در روابط را بررسی کنید.")</f>
        <v>مزایای تمرین قدردانی فعال و نشان دادن اعمال کوچک مهربانی در روابط را بررسی کنید.</v>
      </c>
      <c r="H1491" s="1"/>
      <c r="I1491" s="1"/>
      <c r="J1491" s="1"/>
      <c r="K1491" s="1"/>
      <c r="L1491" s="1"/>
      <c r="M1491" s="1"/>
      <c r="N1491" s="1"/>
      <c r="O1491" s="1"/>
      <c r="P1491" s="1"/>
      <c r="Q1491" s="1"/>
      <c r="R1491" s="1"/>
      <c r="S1491" s="1"/>
      <c r="T1491" s="1"/>
      <c r="U1491" s="1"/>
      <c r="V1491" s="1"/>
      <c r="W1491" s="1"/>
      <c r="X1491" s="1"/>
      <c r="Y1491" s="1"/>
      <c r="Z1491" s="1"/>
      <c r="AA1491" s="1"/>
      <c r="AB1491" s="1"/>
    </row>
    <row r="1492" ht="50.25" customHeight="1">
      <c r="A1492" s="12">
        <v>1488.0</v>
      </c>
      <c r="B1492" s="13" t="s">
        <v>1446</v>
      </c>
      <c r="C1492" s="14" t="s">
        <v>1500</v>
      </c>
      <c r="D1492" s="1"/>
      <c r="E1492" s="15"/>
      <c r="F1492" s="1" t="str">
        <f>IFERROR(__xludf.DUMMYFUNCTION("GOOGLETRANSLATE(B1492, ""en"", ""fa"")
"),"مشاوره در رابطه و مهارت های ارتباطی")</f>
        <v>مشاوره در رابطه و مهارت های ارتباطی</v>
      </c>
      <c r="G1492" s="1" t="str">
        <f>IFERROR(__xludf.DUMMYFUNCTION("GOOGLETRANSLATE(C1492, ""en"", ""fa"")
"),"استراتژی هایی را برای پیمایش تفاوت های فرهنگی و ارتقای درک در روابط بین فرهنگی به اشتراک بگذارید.")</f>
        <v>استراتژی هایی را برای پیمایش تفاوت های فرهنگی و ارتقای درک در روابط بین فرهنگی به اشتراک بگذارید.</v>
      </c>
      <c r="H1492" s="1"/>
      <c r="I1492" s="1"/>
      <c r="J1492" s="1"/>
      <c r="K1492" s="1"/>
      <c r="L1492" s="1"/>
      <c r="M1492" s="1"/>
      <c r="N1492" s="1"/>
      <c r="O1492" s="1"/>
      <c r="P1492" s="1"/>
      <c r="Q1492" s="1"/>
      <c r="R1492" s="1"/>
      <c r="S1492" s="1"/>
      <c r="T1492" s="1"/>
      <c r="U1492" s="1"/>
      <c r="V1492" s="1"/>
      <c r="W1492" s="1"/>
      <c r="X1492" s="1"/>
      <c r="Y1492" s="1"/>
      <c r="Z1492" s="1"/>
      <c r="AA1492" s="1"/>
      <c r="AB1492" s="1"/>
    </row>
    <row r="1493" ht="50.25" customHeight="1">
      <c r="A1493" s="12">
        <v>1489.0</v>
      </c>
      <c r="B1493" s="13" t="s">
        <v>1446</v>
      </c>
      <c r="C1493" s="14" t="s">
        <v>1501</v>
      </c>
      <c r="D1493" s="1"/>
      <c r="E1493" s="15"/>
      <c r="F1493" s="1" t="str">
        <f>IFERROR(__xludf.DUMMYFUNCTION("GOOGLETRANSLATE(B1493, ""en"", ""fa"")
"),"مشاوره در رابطه و مهارت های ارتباطی")</f>
        <v>مشاوره در رابطه و مهارت های ارتباطی</v>
      </c>
      <c r="G1493" s="1" t="str">
        <f>IFERROR(__xludf.DUMMYFUNCTION("GOOGLETRANSLATE(C1493, ""en"", ""fa"")
"),"در مورد نقش ارتباط مؤثر در بازسازی اعتماد پس از نقض یا خیانت بحث کنید.")</f>
        <v>در مورد نقش ارتباط مؤثر در بازسازی اعتماد پس از نقض یا خیانت بحث کنید.</v>
      </c>
      <c r="H1493" s="1"/>
      <c r="I1493" s="1"/>
      <c r="J1493" s="1"/>
      <c r="K1493" s="1"/>
      <c r="L1493" s="1"/>
      <c r="M1493" s="1"/>
      <c r="N1493" s="1"/>
      <c r="O1493" s="1"/>
      <c r="P1493" s="1"/>
      <c r="Q1493" s="1"/>
      <c r="R1493" s="1"/>
      <c r="S1493" s="1"/>
      <c r="T1493" s="1"/>
      <c r="U1493" s="1"/>
      <c r="V1493" s="1"/>
      <c r="W1493" s="1"/>
      <c r="X1493" s="1"/>
      <c r="Y1493" s="1"/>
      <c r="Z1493" s="1"/>
      <c r="AA1493" s="1"/>
      <c r="AB1493" s="1"/>
    </row>
    <row r="1494" ht="50.25" customHeight="1">
      <c r="A1494" s="12">
        <v>1490.0</v>
      </c>
      <c r="B1494" s="13" t="s">
        <v>1446</v>
      </c>
      <c r="C1494" s="14" t="s">
        <v>1502</v>
      </c>
      <c r="D1494" s="1"/>
      <c r="E1494" s="15"/>
      <c r="F1494" s="1" t="str">
        <f>IFERROR(__xludf.DUMMYFUNCTION("GOOGLETRANSLATE(B1494, ""en"", ""fa"")
"),"مشاوره در رابطه و مهارت های ارتباطی")</f>
        <v>مشاوره در رابطه و مهارت های ارتباطی</v>
      </c>
      <c r="G1494" s="1" t="str">
        <f>IFERROR(__xludf.DUMMYFUNCTION("GOOGLETRANSLATE(C1494, ""en"", ""fa"")
"),"با تأکید بر اهمیت رفاه فردی، مفهوم مراقبت از خود را در روابط کاوش کنید.")</f>
        <v>با تأکید بر اهمیت رفاه فردی، مفهوم مراقبت از خود را در روابط کاوش کنید.</v>
      </c>
      <c r="H1494" s="1"/>
      <c r="I1494" s="1"/>
      <c r="J1494" s="1"/>
      <c r="K1494" s="1"/>
      <c r="L1494" s="1"/>
      <c r="M1494" s="1"/>
      <c r="N1494" s="1"/>
      <c r="O1494" s="1"/>
      <c r="P1494" s="1"/>
      <c r="Q1494" s="1"/>
      <c r="R1494" s="1"/>
      <c r="S1494" s="1"/>
      <c r="T1494" s="1"/>
      <c r="U1494" s="1"/>
      <c r="V1494" s="1"/>
      <c r="W1494" s="1"/>
      <c r="X1494" s="1"/>
      <c r="Y1494" s="1"/>
      <c r="Z1494" s="1"/>
      <c r="AA1494" s="1"/>
      <c r="AB1494" s="1"/>
    </row>
    <row r="1495" ht="50.25" customHeight="1">
      <c r="A1495" s="12">
        <v>1491.0</v>
      </c>
      <c r="B1495" s="13" t="s">
        <v>1446</v>
      </c>
      <c r="C1495" s="14" t="s">
        <v>1503</v>
      </c>
      <c r="D1495" s="1"/>
      <c r="E1495" s="15"/>
      <c r="F1495" s="1" t="str">
        <f>IFERROR(__xludf.DUMMYFUNCTION("GOOGLETRANSLATE(B1495, ""en"", ""fa"")
"),"مشاوره در رابطه و مهارت های ارتباطی")</f>
        <v>مشاوره در رابطه و مهارت های ارتباطی</v>
      </c>
      <c r="G1495" s="1" t="str">
        <f>IFERROR(__xludf.DUMMYFUNCTION("GOOGLETRANSLATE(C1495, ""en"", ""fa"")
"),"نکاتی را برای تقویت ارتباط سالم با همسر و اعضای خانواده بزرگ به اشتراک بگذارید.")</f>
        <v>نکاتی را برای تقویت ارتباط سالم با همسر و اعضای خانواده بزرگ به اشتراک بگذارید.</v>
      </c>
      <c r="H1495" s="1"/>
      <c r="I1495" s="1"/>
      <c r="J1495" s="1"/>
      <c r="K1495" s="1"/>
      <c r="L1495" s="1"/>
      <c r="M1495" s="1"/>
      <c r="N1495" s="1"/>
      <c r="O1495" s="1"/>
      <c r="P1495" s="1"/>
      <c r="Q1495" s="1"/>
      <c r="R1495" s="1"/>
      <c r="S1495" s="1"/>
      <c r="T1495" s="1"/>
      <c r="U1495" s="1"/>
      <c r="V1495" s="1"/>
      <c r="W1495" s="1"/>
      <c r="X1495" s="1"/>
      <c r="Y1495" s="1"/>
      <c r="Z1495" s="1"/>
      <c r="AA1495" s="1"/>
      <c r="AB1495" s="1"/>
    </row>
    <row r="1496" ht="50.25" customHeight="1">
      <c r="A1496" s="12">
        <v>1492.0</v>
      </c>
      <c r="B1496" s="13" t="s">
        <v>1446</v>
      </c>
      <c r="C1496" s="14" t="s">
        <v>1504</v>
      </c>
      <c r="D1496" s="1"/>
      <c r="E1496" s="15"/>
      <c r="F1496" s="1" t="str">
        <f>IFERROR(__xludf.DUMMYFUNCTION("GOOGLETRANSLATE(B1496, ""en"", ""fa"")
"),"مشاوره در رابطه و مهارت های ارتباطی")</f>
        <v>مشاوره در رابطه و مهارت های ارتباطی</v>
      </c>
      <c r="G1496" s="1" t="str">
        <f>IFERROR(__xludf.DUMMYFUNCTION("GOOGLETRANSLATE(C1496, ""en"", ""fa"")
"),"در مورد تأثیر ارتباطات مؤثر در حفظ دوستی های سالم در کنار روابط عاشقانه بحث کنید.")</f>
        <v>در مورد تأثیر ارتباطات مؤثر در حفظ دوستی های سالم در کنار روابط عاشقانه بحث کنید.</v>
      </c>
      <c r="H1496" s="1"/>
      <c r="I1496" s="1"/>
      <c r="J1496" s="1"/>
      <c r="K1496" s="1"/>
      <c r="L1496" s="1"/>
      <c r="M1496" s="1"/>
      <c r="N1496" s="1"/>
      <c r="O1496" s="1"/>
      <c r="P1496" s="1"/>
      <c r="Q1496" s="1"/>
      <c r="R1496" s="1"/>
      <c r="S1496" s="1"/>
      <c r="T1496" s="1"/>
      <c r="U1496" s="1"/>
      <c r="V1496" s="1"/>
      <c r="W1496" s="1"/>
      <c r="X1496" s="1"/>
      <c r="Y1496" s="1"/>
      <c r="Z1496" s="1"/>
      <c r="AA1496" s="1"/>
      <c r="AB1496" s="1"/>
    </row>
    <row r="1497" ht="50.25" customHeight="1">
      <c r="A1497" s="12">
        <v>1493.0</v>
      </c>
      <c r="B1497" s="13" t="s">
        <v>1446</v>
      </c>
      <c r="C1497" s="14" t="s">
        <v>1505</v>
      </c>
      <c r="D1497" s="1"/>
      <c r="E1497" s="15"/>
      <c r="F1497" s="1" t="str">
        <f>IFERROR(__xludf.DUMMYFUNCTION("GOOGLETRANSLATE(B1497, ""en"", ""fa"")
"),"مشاوره در رابطه و مهارت های ارتباطی")</f>
        <v>مشاوره در رابطه و مهارت های ارتباطی</v>
      </c>
      <c r="G1497" s="1" t="str">
        <f>IFERROR(__xludf.DUMMYFUNCTION("GOOGLETRANSLATE(C1497, ""en"", ""fa"")
"),"مزایای زمان با کیفیت و تجربیات مشترک در زنده نگه داشتن جرقه در روابط طولانی مدت را بررسی کنید.")</f>
        <v>مزایای زمان با کیفیت و تجربیات مشترک در زنده نگه داشتن جرقه در روابط طولانی مدت را بررسی کنید.</v>
      </c>
      <c r="H1497" s="1"/>
      <c r="I1497" s="1"/>
      <c r="J1497" s="1"/>
      <c r="K1497" s="1"/>
      <c r="L1497" s="1"/>
      <c r="M1497" s="1"/>
      <c r="N1497" s="1"/>
      <c r="O1497" s="1"/>
      <c r="P1497" s="1"/>
      <c r="Q1497" s="1"/>
      <c r="R1497" s="1"/>
      <c r="S1497" s="1"/>
      <c r="T1497" s="1"/>
      <c r="U1497" s="1"/>
      <c r="V1497" s="1"/>
      <c r="W1497" s="1"/>
      <c r="X1497" s="1"/>
      <c r="Y1497" s="1"/>
      <c r="Z1497" s="1"/>
      <c r="AA1497" s="1"/>
      <c r="AB1497" s="1"/>
    </row>
    <row r="1498" ht="50.25" customHeight="1">
      <c r="A1498" s="12">
        <v>1494.0</v>
      </c>
      <c r="B1498" s="13" t="s">
        <v>1446</v>
      </c>
      <c r="C1498" s="14" t="s">
        <v>1506</v>
      </c>
      <c r="D1498" s="1"/>
      <c r="E1498" s="15"/>
      <c r="F1498" s="1" t="str">
        <f>IFERROR(__xludf.DUMMYFUNCTION("GOOGLETRANSLATE(B1498, ""en"", ""fa"")
"),"مشاوره در رابطه و مهارت های ارتباطی")</f>
        <v>مشاوره در رابطه و مهارت های ارتباطی</v>
      </c>
      <c r="G1498" s="1" t="str">
        <f>IFERROR(__xludf.DUMMYFUNCTION("GOOGLETRANSLATE(C1498, ""en"", ""fa"")
"),"راهبردهای مدیریت تعارضات مربوط به امور مالی و بودجه بندی در روابط را به اشتراک بگذارید.")</f>
        <v>راهبردهای مدیریت تعارضات مربوط به امور مالی و بودجه بندی در روابط را به اشتراک بگذارید.</v>
      </c>
      <c r="H1498" s="1"/>
      <c r="I1498" s="1"/>
      <c r="J1498" s="1"/>
      <c r="K1498" s="1"/>
      <c r="L1498" s="1"/>
      <c r="M1498" s="1"/>
      <c r="N1498" s="1"/>
      <c r="O1498" s="1"/>
      <c r="P1498" s="1"/>
      <c r="Q1498" s="1"/>
      <c r="R1498" s="1"/>
      <c r="S1498" s="1"/>
      <c r="T1498" s="1"/>
      <c r="U1498" s="1"/>
      <c r="V1498" s="1"/>
      <c r="W1498" s="1"/>
      <c r="X1498" s="1"/>
      <c r="Y1498" s="1"/>
      <c r="Z1498" s="1"/>
      <c r="AA1498" s="1"/>
      <c r="AB1498" s="1"/>
    </row>
    <row r="1499" ht="50.25" customHeight="1">
      <c r="A1499" s="12">
        <v>1495.0</v>
      </c>
      <c r="B1499" s="13" t="s">
        <v>1446</v>
      </c>
      <c r="C1499" s="14" t="s">
        <v>1507</v>
      </c>
      <c r="D1499" s="1"/>
      <c r="E1499" s="15"/>
      <c r="F1499" s="1" t="str">
        <f>IFERROR(__xludf.DUMMYFUNCTION("GOOGLETRANSLATE(B1499, ""en"", ""fa"")
"),"مشاوره در رابطه و مهارت های ارتباطی")</f>
        <v>مشاوره در رابطه و مهارت های ارتباطی</v>
      </c>
      <c r="G1499" s="1" t="str">
        <f>IFERROR(__xludf.DUMMYFUNCTION("GOOGLETRANSLATE(C1499, ""en"", ""fa"")
"),"در مورد نقش سازش و مذاکره در حل اختلافات و یافتن راه حل های برد-برد بحث کنید.")</f>
        <v>در مورد نقش سازش و مذاکره در حل اختلافات و یافتن راه حل های برد-برد بحث کنید.</v>
      </c>
      <c r="H1499" s="1"/>
      <c r="I1499" s="1"/>
      <c r="J1499" s="1"/>
      <c r="K1499" s="1"/>
      <c r="L1499" s="1"/>
      <c r="M1499" s="1"/>
      <c r="N1499" s="1"/>
      <c r="O1499" s="1"/>
      <c r="P1499" s="1"/>
      <c r="Q1499" s="1"/>
      <c r="R1499" s="1"/>
      <c r="S1499" s="1"/>
      <c r="T1499" s="1"/>
      <c r="U1499" s="1"/>
      <c r="V1499" s="1"/>
      <c r="W1499" s="1"/>
      <c r="X1499" s="1"/>
      <c r="Y1499" s="1"/>
      <c r="Z1499" s="1"/>
      <c r="AA1499" s="1"/>
      <c r="AB1499" s="1"/>
    </row>
    <row r="1500" ht="50.25" customHeight="1">
      <c r="A1500" s="12">
        <v>1496.0</v>
      </c>
      <c r="B1500" s="13" t="s">
        <v>1446</v>
      </c>
      <c r="C1500" s="14" t="s">
        <v>1508</v>
      </c>
      <c r="D1500" s="1"/>
      <c r="E1500" s="15"/>
      <c r="F1500" s="1" t="str">
        <f>IFERROR(__xludf.DUMMYFUNCTION("GOOGLETRANSLATE(B1500, ""en"", ""fa"")
"),"مشاوره در رابطه و مهارت های ارتباطی")</f>
        <v>مشاوره در رابطه و مهارت های ارتباطی</v>
      </c>
      <c r="G1500" s="1" t="str">
        <f>IFERROR(__xludf.DUMMYFUNCTION("GOOGLETRANSLATE(C1500, ""en"", ""fa"")
"),"مفهوم عشق و جاذبه را بررسی کنید و در مورد چگونگی حفظ و پرورش این جنبه ها در روابط بحث کنید.")</f>
        <v>مفهوم عشق و جاذبه را بررسی کنید و در مورد چگونگی حفظ و پرورش این جنبه ها در روابط بحث کنید.</v>
      </c>
      <c r="H1500" s="1"/>
      <c r="I1500" s="1"/>
      <c r="J1500" s="1"/>
      <c r="K1500" s="1"/>
      <c r="L1500" s="1"/>
      <c r="M1500" s="1"/>
      <c r="N1500" s="1"/>
      <c r="O1500" s="1"/>
      <c r="P1500" s="1"/>
      <c r="Q1500" s="1"/>
      <c r="R1500" s="1"/>
      <c r="S1500" s="1"/>
      <c r="T1500" s="1"/>
      <c r="U1500" s="1"/>
      <c r="V1500" s="1"/>
      <c r="W1500" s="1"/>
      <c r="X1500" s="1"/>
      <c r="Y1500" s="1"/>
      <c r="Z1500" s="1"/>
      <c r="AA1500" s="1"/>
      <c r="AB1500" s="1"/>
    </row>
    <row r="1501" ht="50.25" customHeight="1">
      <c r="A1501" s="12">
        <v>1497.0</v>
      </c>
      <c r="B1501" s="13" t="s">
        <v>1446</v>
      </c>
      <c r="C1501" s="14" t="s">
        <v>1509</v>
      </c>
      <c r="D1501" s="1"/>
      <c r="E1501" s="15"/>
      <c r="F1501" s="1" t="str">
        <f>IFERROR(__xludf.DUMMYFUNCTION("GOOGLETRANSLATE(B1501, ""en"", ""fa"")
"),"مشاوره در رابطه و مهارت های ارتباطی")</f>
        <v>مشاوره در رابطه و مهارت های ارتباطی</v>
      </c>
      <c r="G1501" s="1" t="str">
        <f>IFERROR(__xludf.DUMMYFUNCTION("GOOGLETRANSLATE(C1501, ""en"", ""fa"")
"),"نکاتی را برای تمرین ارتباط موثر در زمان استرس یا شرایط چالش برانگیز به اشتراک بگذارید.")</f>
        <v>نکاتی را برای تمرین ارتباط موثر در زمان استرس یا شرایط چالش برانگیز به اشتراک بگذارید.</v>
      </c>
      <c r="H1501" s="1"/>
      <c r="I1501" s="1"/>
      <c r="J1501" s="1"/>
      <c r="K1501" s="1"/>
      <c r="L1501" s="1"/>
      <c r="M1501" s="1"/>
      <c r="N1501" s="1"/>
      <c r="O1501" s="1"/>
      <c r="P1501" s="1"/>
      <c r="Q1501" s="1"/>
      <c r="R1501" s="1"/>
      <c r="S1501" s="1"/>
      <c r="T1501" s="1"/>
      <c r="U1501" s="1"/>
      <c r="V1501" s="1"/>
      <c r="W1501" s="1"/>
      <c r="X1501" s="1"/>
      <c r="Y1501" s="1"/>
      <c r="Z1501" s="1"/>
      <c r="AA1501" s="1"/>
      <c r="AB1501" s="1"/>
    </row>
    <row r="1502" ht="50.25" customHeight="1">
      <c r="A1502" s="12">
        <v>1498.0</v>
      </c>
      <c r="B1502" s="13" t="s">
        <v>1446</v>
      </c>
      <c r="C1502" s="14" t="s">
        <v>1510</v>
      </c>
      <c r="D1502" s="1"/>
      <c r="E1502" s="15"/>
      <c r="F1502" s="1" t="str">
        <f>IFERROR(__xludf.DUMMYFUNCTION("GOOGLETRANSLATE(B1502, ""en"", ""fa"")
"),"مشاوره در رابطه و مهارت های ارتباطی")</f>
        <v>مشاوره در رابطه و مهارت های ارتباطی</v>
      </c>
      <c r="G1502" s="1" t="str">
        <f>IFERROR(__xludf.DUMMYFUNCTION("GOOGLETRANSLATE(C1502, ""en"", ""fa"")
"),"درباره تأثیر رسانه های اجتماعی بر روابط و استراتژی های حفظ مرزهای سالم بحث کنید.")</f>
        <v>درباره تأثیر رسانه های اجتماعی بر روابط و استراتژی های حفظ مرزهای سالم بحث کنید.</v>
      </c>
      <c r="H1502" s="1"/>
      <c r="I1502" s="1"/>
      <c r="J1502" s="1"/>
      <c r="K1502" s="1"/>
      <c r="L1502" s="1"/>
      <c r="M1502" s="1"/>
      <c r="N1502" s="1"/>
      <c r="O1502" s="1"/>
      <c r="P1502" s="1"/>
      <c r="Q1502" s="1"/>
      <c r="R1502" s="1"/>
      <c r="S1502" s="1"/>
      <c r="T1502" s="1"/>
      <c r="U1502" s="1"/>
      <c r="V1502" s="1"/>
      <c r="W1502" s="1"/>
      <c r="X1502" s="1"/>
      <c r="Y1502" s="1"/>
      <c r="Z1502" s="1"/>
      <c r="AA1502" s="1"/>
      <c r="AB1502" s="1"/>
    </row>
    <row r="1503" ht="50.25" customHeight="1">
      <c r="A1503" s="12">
        <v>1499.0</v>
      </c>
      <c r="B1503" s="13" t="s">
        <v>1446</v>
      </c>
      <c r="C1503" s="14" t="s">
        <v>1511</v>
      </c>
      <c r="D1503" s="1"/>
      <c r="E1503" s="15"/>
      <c r="F1503" s="1" t="str">
        <f>IFERROR(__xludf.DUMMYFUNCTION("GOOGLETRANSLATE(B1503, ""en"", ""fa"")
"),"مشاوره در رابطه و مهارت های ارتباطی")</f>
        <v>مشاوره در رابطه و مهارت های ارتباطی</v>
      </c>
      <c r="G1503" s="1" t="str">
        <f>IFERROR(__xludf.DUMMYFUNCTION("GOOGLETRANSLATE(C1503, ""en"", ""fa"")
"),"مزایای تمرین حل مسئله فعال به عنوان یک تیم در روابط را بررسی کنید.")</f>
        <v>مزایای تمرین حل مسئله فعال به عنوان یک تیم در روابط را بررسی کنید.</v>
      </c>
      <c r="H1503" s="1"/>
      <c r="I1503" s="1"/>
      <c r="J1503" s="1"/>
      <c r="K1503" s="1"/>
      <c r="L1503" s="1"/>
      <c r="M1503" s="1"/>
      <c r="N1503" s="1"/>
      <c r="O1503" s="1"/>
      <c r="P1503" s="1"/>
      <c r="Q1503" s="1"/>
      <c r="R1503" s="1"/>
      <c r="S1503" s="1"/>
      <c r="T1503" s="1"/>
      <c r="U1503" s="1"/>
      <c r="V1503" s="1"/>
      <c r="W1503" s="1"/>
      <c r="X1503" s="1"/>
      <c r="Y1503" s="1"/>
      <c r="Z1503" s="1"/>
      <c r="AA1503" s="1"/>
      <c r="AB1503" s="1"/>
    </row>
    <row r="1504" ht="50.25" customHeight="1">
      <c r="A1504" s="12">
        <v>1500.0</v>
      </c>
      <c r="B1504" s="13" t="s">
        <v>1446</v>
      </c>
      <c r="C1504" s="14" t="s">
        <v>1512</v>
      </c>
      <c r="D1504" s="1"/>
      <c r="E1504" s="15"/>
      <c r="F1504" s="1" t="str">
        <f>IFERROR(__xludf.DUMMYFUNCTION("GOOGLETRANSLATE(B1504, ""en"", ""fa"")
"),"مشاوره در رابطه و مهارت های ارتباطی")</f>
        <v>مشاوره در رابطه و مهارت های ارتباطی</v>
      </c>
      <c r="G1504" s="1" t="str">
        <f>IFERROR(__xludf.DUMMYFUNCTION("GOOGLETRANSLATE(C1504, ""en"", ""fa"")
"),"استراتژی هایی برای تقویت صمیمیت و ارتباط در روابط از راه دور به اشتراک بگذارید.")</f>
        <v>استراتژی هایی برای تقویت صمیمیت و ارتباط در روابط از راه دور به اشتراک بگذارید.</v>
      </c>
      <c r="H1504" s="1"/>
      <c r="I1504" s="1"/>
      <c r="J1504" s="1"/>
      <c r="K1504" s="1"/>
      <c r="L1504" s="1"/>
      <c r="M1504" s="1"/>
      <c r="N1504" s="1"/>
      <c r="O1504" s="1"/>
      <c r="P1504" s="1"/>
      <c r="Q1504" s="1"/>
      <c r="R1504" s="1"/>
      <c r="S1504" s="1"/>
      <c r="T1504" s="1"/>
      <c r="U1504" s="1"/>
      <c r="V1504" s="1"/>
      <c r="W1504" s="1"/>
      <c r="X1504" s="1"/>
      <c r="Y1504" s="1"/>
      <c r="Z1504" s="1"/>
      <c r="AA1504" s="1"/>
      <c r="AB1504" s="1"/>
    </row>
    <row r="1505" ht="50.25" customHeight="1">
      <c r="A1505" s="12">
        <v>1501.0</v>
      </c>
      <c r="B1505" s="13" t="s">
        <v>1446</v>
      </c>
      <c r="C1505" s="14" t="s">
        <v>1513</v>
      </c>
      <c r="D1505" s="1"/>
      <c r="E1505" s="15"/>
      <c r="F1505" s="1" t="str">
        <f>IFERROR(__xludf.DUMMYFUNCTION("GOOGLETRANSLATE(B1505, ""en"", ""fa"")
"),"مشاوره در رابطه و مهارت های ارتباطی")</f>
        <v>مشاوره در رابطه و مهارت های ارتباطی</v>
      </c>
      <c r="G1505" s="1" t="str">
        <f>IFERROR(__xludf.DUMMYFUNCTION("GOOGLETRANSLATE(C1505, ""en"", ""fa"")
"),"در مورد نقش ارتباط موثر در حمایت از رشد شخصی و آرزوهای یکدیگر بحث کنید.")</f>
        <v>در مورد نقش ارتباط موثر در حمایت از رشد شخصی و آرزوهای یکدیگر بحث کنید.</v>
      </c>
      <c r="H1505" s="1"/>
      <c r="I1505" s="1"/>
      <c r="J1505" s="1"/>
      <c r="K1505" s="1"/>
      <c r="L1505" s="1"/>
      <c r="M1505" s="1"/>
      <c r="N1505" s="1"/>
      <c r="O1505" s="1"/>
      <c r="P1505" s="1"/>
      <c r="Q1505" s="1"/>
      <c r="R1505" s="1"/>
      <c r="S1505" s="1"/>
      <c r="T1505" s="1"/>
      <c r="U1505" s="1"/>
      <c r="V1505" s="1"/>
      <c r="W1505" s="1"/>
      <c r="X1505" s="1"/>
      <c r="Y1505" s="1"/>
      <c r="Z1505" s="1"/>
      <c r="AA1505" s="1"/>
      <c r="AB1505" s="1"/>
    </row>
    <row r="1506" ht="50.25" customHeight="1">
      <c r="A1506" s="12">
        <v>1502.0</v>
      </c>
      <c r="B1506" s="13" t="s">
        <v>1446</v>
      </c>
      <c r="C1506" s="14" t="s">
        <v>1514</v>
      </c>
      <c r="D1506" s="1"/>
      <c r="E1506" s="15"/>
      <c r="F1506" s="1" t="str">
        <f>IFERROR(__xludf.DUMMYFUNCTION("GOOGLETRANSLATE(B1506, ""en"", ""fa"")
"),"مشاوره در رابطه و مهارت های ارتباطی")</f>
        <v>مشاوره در رابطه و مهارت های ارتباطی</v>
      </c>
      <c r="G1506" s="1" t="str">
        <f>IFERROR(__xludf.DUMMYFUNCTION("GOOGLETRANSLATE(C1506, ""en"", ""fa"")
"),"مفهوم حفظ هویت فردی در روابط، ارتقای استقلال و ابراز وجود را بررسی کنید.")</f>
        <v>مفهوم حفظ هویت فردی در روابط، ارتقای استقلال و ابراز وجود را بررسی کنید.</v>
      </c>
      <c r="H1506" s="1"/>
      <c r="I1506" s="1"/>
      <c r="J1506" s="1"/>
      <c r="K1506" s="1"/>
      <c r="L1506" s="1"/>
      <c r="M1506" s="1"/>
      <c r="N1506" s="1"/>
      <c r="O1506" s="1"/>
      <c r="P1506" s="1"/>
      <c r="Q1506" s="1"/>
      <c r="R1506" s="1"/>
      <c r="S1506" s="1"/>
      <c r="T1506" s="1"/>
      <c r="U1506" s="1"/>
      <c r="V1506" s="1"/>
      <c r="W1506" s="1"/>
      <c r="X1506" s="1"/>
      <c r="Y1506" s="1"/>
      <c r="Z1506" s="1"/>
      <c r="AA1506" s="1"/>
      <c r="AB1506" s="1"/>
    </row>
    <row r="1507" ht="50.25" customHeight="1">
      <c r="A1507" s="12">
        <v>1503.0</v>
      </c>
      <c r="B1507" s="13" t="s">
        <v>1446</v>
      </c>
      <c r="C1507" s="14" t="s">
        <v>1515</v>
      </c>
      <c r="D1507" s="1"/>
      <c r="E1507" s="15"/>
      <c r="F1507" s="1" t="str">
        <f>IFERROR(__xludf.DUMMYFUNCTION("GOOGLETRANSLATE(B1507, ""en"", ""fa"")
"),"مشاوره در رابطه و مهارت های ارتباطی")</f>
        <v>مشاوره در رابطه و مهارت های ارتباطی</v>
      </c>
      <c r="G1507" s="1" t="str">
        <f>IFERROR(__xludf.DUMMYFUNCTION("GOOGLETRANSLATE(C1507, ""en"", ""fa"")
"),"نکاتی را برای پیمایش چالش های ارتباطی در طول انتقال های اصلی زندگی، مانند والدین شدن یا تغییرات شغلی، به اشتراک بگذارید.")</f>
        <v>نکاتی را برای پیمایش چالش های ارتباطی در طول انتقال های اصلی زندگی، مانند والدین شدن یا تغییرات شغلی، به اشتراک بگذارید.</v>
      </c>
      <c r="H1507" s="1"/>
      <c r="I1507" s="1"/>
      <c r="J1507" s="1"/>
      <c r="K1507" s="1"/>
      <c r="L1507" s="1"/>
      <c r="M1507" s="1"/>
      <c r="N1507" s="1"/>
      <c r="O1507" s="1"/>
      <c r="P1507" s="1"/>
      <c r="Q1507" s="1"/>
      <c r="R1507" s="1"/>
      <c r="S1507" s="1"/>
      <c r="T1507" s="1"/>
      <c r="U1507" s="1"/>
      <c r="V1507" s="1"/>
      <c r="W1507" s="1"/>
      <c r="X1507" s="1"/>
      <c r="Y1507" s="1"/>
      <c r="Z1507" s="1"/>
      <c r="AA1507" s="1"/>
      <c r="AB1507" s="1"/>
    </row>
    <row r="1508" ht="50.25" customHeight="1">
      <c r="A1508" s="12">
        <v>1504.0</v>
      </c>
      <c r="B1508" s="13" t="s">
        <v>1446</v>
      </c>
      <c r="C1508" s="14" t="s">
        <v>1516</v>
      </c>
      <c r="D1508" s="1"/>
      <c r="E1508" s="15"/>
      <c r="F1508" s="1" t="str">
        <f>IFERROR(__xludf.DUMMYFUNCTION("GOOGLETRANSLATE(B1508, ""en"", ""fa"")
"),"مشاوره در رابطه و مهارت های ارتباطی")</f>
        <v>مشاوره در رابطه و مهارت های ارتباطی</v>
      </c>
      <c r="G1508" s="1" t="str">
        <f>IFERROR(__xludf.DUMMYFUNCTION("GOOGLETRANSLATE(C1508, ""en"", ""fa"")
"),"در مورد تأثیر تمرین آسیب پذیری و ارتباط باز در تعمیق صمیمیت عاطفی بحث کنید.")</f>
        <v>در مورد تأثیر تمرین آسیب پذیری و ارتباط باز در تعمیق صمیمیت عاطفی بحث کنید.</v>
      </c>
      <c r="H1508" s="1"/>
      <c r="I1508" s="1"/>
      <c r="J1508" s="1"/>
      <c r="K1508" s="1"/>
      <c r="L1508" s="1"/>
      <c r="M1508" s="1"/>
      <c r="N1508" s="1"/>
      <c r="O1508" s="1"/>
      <c r="P1508" s="1"/>
      <c r="Q1508" s="1"/>
      <c r="R1508" s="1"/>
      <c r="S1508" s="1"/>
      <c r="T1508" s="1"/>
      <c r="U1508" s="1"/>
      <c r="V1508" s="1"/>
      <c r="W1508" s="1"/>
      <c r="X1508" s="1"/>
      <c r="Y1508" s="1"/>
      <c r="Z1508" s="1"/>
      <c r="AA1508" s="1"/>
      <c r="AB1508" s="1"/>
    </row>
    <row r="1509" ht="50.25" customHeight="1">
      <c r="A1509" s="12">
        <v>1505.0</v>
      </c>
      <c r="B1509" s="13" t="s">
        <v>1446</v>
      </c>
      <c r="C1509" s="14" t="s">
        <v>1517</v>
      </c>
      <c r="D1509" s="1"/>
      <c r="E1509" s="15"/>
      <c r="F1509" s="1" t="str">
        <f>IFERROR(__xludf.DUMMYFUNCTION("GOOGLETRANSLATE(B1509, ""en"", ""fa"")
"),"مشاوره در رابطه و مهارت های ارتباطی")</f>
        <v>مشاوره در رابطه و مهارت های ارتباطی</v>
      </c>
      <c r="G1509" s="1" t="str">
        <f>IFERROR(__xludf.DUMMYFUNCTION("GOOGLETRANSLATE(C1509, ""en"", ""fa"")
"),"مزایای تمرین خود انعکاس و خودآگاهی در بهبود پویایی روابط را بررسی کنید.")</f>
        <v>مزایای تمرین خود انعکاس و خودآگاهی در بهبود پویایی روابط را بررسی کنید.</v>
      </c>
      <c r="H1509" s="1"/>
      <c r="I1509" s="1"/>
      <c r="J1509" s="1"/>
      <c r="K1509" s="1"/>
      <c r="L1509" s="1"/>
      <c r="M1509" s="1"/>
      <c r="N1509" s="1"/>
      <c r="O1509" s="1"/>
      <c r="P1509" s="1"/>
      <c r="Q1509" s="1"/>
      <c r="R1509" s="1"/>
      <c r="S1509" s="1"/>
      <c r="T1509" s="1"/>
      <c r="U1509" s="1"/>
      <c r="V1509" s="1"/>
      <c r="W1509" s="1"/>
      <c r="X1509" s="1"/>
      <c r="Y1509" s="1"/>
      <c r="Z1509" s="1"/>
      <c r="AA1509" s="1"/>
      <c r="AB1509" s="1"/>
    </row>
    <row r="1510" ht="50.25" customHeight="1">
      <c r="A1510" s="12">
        <v>1506.0</v>
      </c>
      <c r="B1510" s="13" t="s">
        <v>1446</v>
      </c>
      <c r="C1510" s="14" t="s">
        <v>1518</v>
      </c>
      <c r="D1510" s="1"/>
      <c r="E1510" s="15"/>
      <c r="F1510" s="1" t="str">
        <f>IFERROR(__xludf.DUMMYFUNCTION("GOOGLETRANSLATE(B1510, ""en"", ""fa"")
"),"مشاوره در رابطه و مهارت های ارتباطی")</f>
        <v>مشاوره در رابطه و مهارت های ارتباطی</v>
      </c>
      <c r="G1510" s="1" t="str">
        <f>IFERROR(__xludf.DUMMYFUNCTION("GOOGLETRANSLATE(C1510, ""en"", ""fa"")
"),"راهبردهای تقویت اعتماد و ارتباط باز را با کودکان و نوجوانان به اشتراک بگذارید.")</f>
        <v>راهبردهای تقویت اعتماد و ارتباط باز را با کودکان و نوجوانان به اشتراک بگذارید.</v>
      </c>
      <c r="H1510" s="1"/>
      <c r="I1510" s="1"/>
      <c r="J1510" s="1"/>
      <c r="K1510" s="1"/>
      <c r="L1510" s="1"/>
      <c r="M1510" s="1"/>
      <c r="N1510" s="1"/>
      <c r="O1510" s="1"/>
      <c r="P1510" s="1"/>
      <c r="Q1510" s="1"/>
      <c r="R1510" s="1"/>
      <c r="S1510" s="1"/>
      <c r="T1510" s="1"/>
      <c r="U1510" s="1"/>
      <c r="V1510" s="1"/>
      <c r="W1510" s="1"/>
      <c r="X1510" s="1"/>
      <c r="Y1510" s="1"/>
      <c r="Z1510" s="1"/>
      <c r="AA1510" s="1"/>
      <c r="AB1510" s="1"/>
    </row>
    <row r="1511" ht="50.25" customHeight="1">
      <c r="A1511" s="12">
        <v>1507.0</v>
      </c>
      <c r="B1511" s="13" t="s">
        <v>1446</v>
      </c>
      <c r="C1511" s="14" t="s">
        <v>1519</v>
      </c>
      <c r="D1511" s="1"/>
      <c r="E1511" s="15"/>
      <c r="F1511" s="1" t="str">
        <f>IFERROR(__xludf.DUMMYFUNCTION("GOOGLETRANSLATE(B1511, ""en"", ""fa"")
"),"مشاوره در رابطه و مهارت های ارتباطی")</f>
        <v>مشاوره در رابطه و مهارت های ارتباطی</v>
      </c>
      <c r="G1511" s="1" t="str">
        <f>IFERROR(__xludf.DUMMYFUNCTION("GOOGLETRANSLATE(C1511, ""en"", ""fa"")
"),"در مورد نقش مرزها در حفظ روابط سالم و محافظت از رفاه فردی بحث کنید.")</f>
        <v>در مورد نقش مرزها در حفظ روابط سالم و محافظت از رفاه فردی بحث کنید.</v>
      </c>
      <c r="H1511" s="1"/>
      <c r="I1511" s="1"/>
      <c r="J1511" s="1"/>
      <c r="K1511" s="1"/>
      <c r="L1511" s="1"/>
      <c r="M1511" s="1"/>
      <c r="N1511" s="1"/>
      <c r="O1511" s="1"/>
      <c r="P1511" s="1"/>
      <c r="Q1511" s="1"/>
      <c r="R1511" s="1"/>
      <c r="S1511" s="1"/>
      <c r="T1511" s="1"/>
      <c r="U1511" s="1"/>
      <c r="V1511" s="1"/>
      <c r="W1511" s="1"/>
      <c r="X1511" s="1"/>
      <c r="Y1511" s="1"/>
      <c r="Z1511" s="1"/>
      <c r="AA1511" s="1"/>
      <c r="AB1511" s="1"/>
    </row>
    <row r="1512" ht="50.25" customHeight="1">
      <c r="A1512" s="12">
        <v>1508.0</v>
      </c>
      <c r="B1512" s="13" t="s">
        <v>1446</v>
      </c>
      <c r="C1512" s="14" t="s">
        <v>1520</v>
      </c>
      <c r="D1512" s="1"/>
      <c r="E1512" s="15"/>
      <c r="F1512" s="1" t="str">
        <f>IFERROR(__xludf.DUMMYFUNCTION("GOOGLETRANSLATE(B1512, ""en"", ""fa"")
"),"مشاوره در رابطه و مهارت های ارتباطی")</f>
        <v>مشاوره در رابطه و مهارت های ارتباطی</v>
      </c>
      <c r="G1512" s="1" t="str">
        <f>IFERROR(__xludf.DUMMYFUNCTION("GOOGLETRANSLATE(C1512, ""en"", ""fa"")
"),"مفهوم قدردانی فعال و تصدیق نقاط قوت و تلاش یکدیگر را بررسی کنید.")</f>
        <v>مفهوم قدردانی فعال و تصدیق نقاط قوت و تلاش یکدیگر را بررسی کنید.</v>
      </c>
      <c r="H1512" s="1"/>
      <c r="I1512" s="1"/>
      <c r="J1512" s="1"/>
      <c r="K1512" s="1"/>
      <c r="L1512" s="1"/>
      <c r="M1512" s="1"/>
      <c r="N1512" s="1"/>
      <c r="O1512" s="1"/>
      <c r="P1512" s="1"/>
      <c r="Q1512" s="1"/>
      <c r="R1512" s="1"/>
      <c r="S1512" s="1"/>
      <c r="T1512" s="1"/>
      <c r="U1512" s="1"/>
      <c r="V1512" s="1"/>
      <c r="W1512" s="1"/>
      <c r="X1512" s="1"/>
      <c r="Y1512" s="1"/>
      <c r="Z1512" s="1"/>
      <c r="AA1512" s="1"/>
      <c r="AB1512" s="1"/>
    </row>
    <row r="1513" ht="50.25" customHeight="1">
      <c r="A1513" s="12">
        <v>1509.0</v>
      </c>
      <c r="B1513" s="13" t="s">
        <v>1446</v>
      </c>
      <c r="C1513" s="14" t="s">
        <v>1521</v>
      </c>
      <c r="D1513" s="1"/>
      <c r="E1513" s="15"/>
      <c r="F1513" s="1" t="str">
        <f>IFERROR(__xludf.DUMMYFUNCTION("GOOGLETRANSLATE(B1513, ""en"", ""fa"")
"),"مشاوره در رابطه و مهارت های ارتباطی")</f>
        <v>مشاوره در رابطه و مهارت های ارتباطی</v>
      </c>
      <c r="G1513" s="1" t="str">
        <f>IFERROR(__xludf.DUMMYFUNCTION("GOOGLETRANSLATE(C1513, ""en"", ""fa"")
"),"نکاتی را برای پرورش عشق و اشتیاق در روابط طولانی مدت به اشتراک بگذارید.")</f>
        <v>نکاتی را برای پرورش عشق و اشتیاق در روابط طولانی مدت به اشتراک بگذارید.</v>
      </c>
      <c r="H1513" s="1"/>
      <c r="I1513" s="1"/>
      <c r="J1513" s="1"/>
      <c r="K1513" s="1"/>
      <c r="L1513" s="1"/>
      <c r="M1513" s="1"/>
      <c r="N1513" s="1"/>
      <c r="O1513" s="1"/>
      <c r="P1513" s="1"/>
      <c r="Q1513" s="1"/>
      <c r="R1513" s="1"/>
      <c r="S1513" s="1"/>
      <c r="T1513" s="1"/>
      <c r="U1513" s="1"/>
      <c r="V1513" s="1"/>
      <c r="W1513" s="1"/>
      <c r="X1513" s="1"/>
      <c r="Y1513" s="1"/>
      <c r="Z1513" s="1"/>
      <c r="AA1513" s="1"/>
      <c r="AB1513" s="1"/>
    </row>
    <row r="1514" ht="50.25" customHeight="1">
      <c r="A1514" s="12">
        <v>1510.0</v>
      </c>
      <c r="B1514" s="13" t="s">
        <v>1446</v>
      </c>
      <c r="C1514" s="14" t="s">
        <v>1522</v>
      </c>
      <c r="D1514" s="1"/>
      <c r="E1514" s="15"/>
      <c r="F1514" s="1" t="str">
        <f>IFERROR(__xludf.DUMMYFUNCTION("GOOGLETRANSLATE(B1514, ""en"", ""fa"")
"),"مشاوره در رابطه و مهارت های ارتباطی")</f>
        <v>مشاوره در رابطه و مهارت های ارتباطی</v>
      </c>
      <c r="G1514" s="1" t="str">
        <f>IFERROR(__xludf.DUMMYFUNCTION("GOOGLETRANSLATE(C1514, ""en"", ""fa"")
"),"در مورد تأثیر ارتباطات مؤثر در تعیین و احترام به مرزهای شخصی در روابط بحث کنید.")</f>
        <v>در مورد تأثیر ارتباطات مؤثر در تعیین و احترام به مرزهای شخصی در روابط بحث کنید.</v>
      </c>
      <c r="H1514" s="1"/>
      <c r="I1514" s="1"/>
      <c r="J1514" s="1"/>
      <c r="K1514" s="1"/>
      <c r="L1514" s="1"/>
      <c r="M1514" s="1"/>
      <c r="N1514" s="1"/>
      <c r="O1514" s="1"/>
      <c r="P1514" s="1"/>
      <c r="Q1514" s="1"/>
      <c r="R1514" s="1"/>
      <c r="S1514" s="1"/>
      <c r="T1514" s="1"/>
      <c r="U1514" s="1"/>
      <c r="V1514" s="1"/>
      <c r="W1514" s="1"/>
      <c r="X1514" s="1"/>
      <c r="Y1514" s="1"/>
      <c r="Z1514" s="1"/>
      <c r="AA1514" s="1"/>
      <c r="AB1514" s="1"/>
    </row>
    <row r="1515" ht="50.25" customHeight="1">
      <c r="A1515" s="12">
        <v>1511.0</v>
      </c>
      <c r="B1515" s="13" t="s">
        <v>1446</v>
      </c>
      <c r="C1515" s="14" t="s">
        <v>1523</v>
      </c>
      <c r="D1515" s="1"/>
      <c r="E1515" s="15"/>
      <c r="F1515" s="1" t="str">
        <f>IFERROR(__xludf.DUMMYFUNCTION("GOOGLETRANSLATE(B1515, ""en"", ""fa"")
"),"مشاوره در رابطه و مهارت های ارتباطی")</f>
        <v>مشاوره در رابطه و مهارت های ارتباطی</v>
      </c>
      <c r="G1515" s="1" t="str">
        <f>IFERROR(__xludf.DUMMYFUNCTION("GOOGLETRANSLATE(C1515, ""en"", ""fa"")
"),"مزایای تمرین حل مسئله فعال و حل تعارض در روابط والدین و فرزند را بررسی کنید.")</f>
        <v>مزایای تمرین حل مسئله فعال و حل تعارض در روابط والدین و فرزند را بررسی کنید.</v>
      </c>
      <c r="H1515" s="1"/>
      <c r="I1515" s="1"/>
      <c r="J1515" s="1"/>
      <c r="K1515" s="1"/>
      <c r="L1515" s="1"/>
      <c r="M1515" s="1"/>
      <c r="N1515" s="1"/>
      <c r="O1515" s="1"/>
      <c r="P1515" s="1"/>
      <c r="Q1515" s="1"/>
      <c r="R1515" s="1"/>
      <c r="S1515" s="1"/>
      <c r="T1515" s="1"/>
      <c r="U1515" s="1"/>
      <c r="V1515" s="1"/>
      <c r="W1515" s="1"/>
      <c r="X1515" s="1"/>
      <c r="Y1515" s="1"/>
      <c r="Z1515" s="1"/>
      <c r="AA1515" s="1"/>
      <c r="AB1515" s="1"/>
    </row>
    <row r="1516" ht="50.25" customHeight="1">
      <c r="A1516" s="12">
        <v>1512.0</v>
      </c>
      <c r="B1516" s="13" t="s">
        <v>1446</v>
      </c>
      <c r="C1516" s="14" t="s">
        <v>1524</v>
      </c>
      <c r="D1516" s="1"/>
      <c r="E1516" s="15"/>
      <c r="F1516" s="1" t="str">
        <f>IFERROR(__xludf.DUMMYFUNCTION("GOOGLETRANSLATE(B1516, ""en"", ""fa"")
"),"مشاوره در رابطه و مهارت های ارتباطی")</f>
        <v>مشاوره در رابطه و مهارت های ارتباطی</v>
      </c>
      <c r="G1516" s="1" t="str">
        <f>IFERROR(__xludf.DUMMYFUNCTION("GOOGLETRANSLATE(C1516, ""en"", ""fa"")
"),"استراتژی های حفظ یک زندگی جنسی سالم و رسیدگی به مسائل صمیمیت در روابط را به اشتراک بگذارید.")</f>
        <v>استراتژی های حفظ یک زندگی جنسی سالم و رسیدگی به مسائل صمیمیت در روابط را به اشتراک بگذارید.</v>
      </c>
      <c r="H1516" s="1"/>
      <c r="I1516" s="1"/>
      <c r="J1516" s="1"/>
      <c r="K1516" s="1"/>
      <c r="L1516" s="1"/>
      <c r="M1516" s="1"/>
      <c r="N1516" s="1"/>
      <c r="O1516" s="1"/>
      <c r="P1516" s="1"/>
      <c r="Q1516" s="1"/>
      <c r="R1516" s="1"/>
      <c r="S1516" s="1"/>
      <c r="T1516" s="1"/>
      <c r="U1516" s="1"/>
      <c r="V1516" s="1"/>
      <c r="W1516" s="1"/>
      <c r="X1516" s="1"/>
      <c r="Y1516" s="1"/>
      <c r="Z1516" s="1"/>
      <c r="AA1516" s="1"/>
      <c r="AB1516" s="1"/>
    </row>
    <row r="1517" ht="50.25" customHeight="1">
      <c r="A1517" s="12">
        <v>1513.0</v>
      </c>
      <c r="B1517" s="13" t="s">
        <v>1446</v>
      </c>
      <c r="C1517" s="14" t="s">
        <v>1525</v>
      </c>
      <c r="D1517" s="1"/>
      <c r="E1517" s="15"/>
      <c r="F1517" s="1" t="str">
        <f>IFERROR(__xludf.DUMMYFUNCTION("GOOGLETRANSLATE(B1517, ""en"", ""fa"")
"),"مشاوره در رابطه و مهارت های ارتباطی")</f>
        <v>مشاوره در رابطه و مهارت های ارتباطی</v>
      </c>
      <c r="G1517" s="1" t="str">
        <f>IFERROR(__xludf.DUMMYFUNCTION("GOOGLETRANSLATE(C1517, ""en"", ""fa"")
"),"در مورد نقش ارتباط مؤثر در انتقال روابط، مانند زندگی مشترک یا ازدواج، بحث کنید.")</f>
        <v>در مورد نقش ارتباط مؤثر در انتقال روابط، مانند زندگی مشترک یا ازدواج، بحث کنید.</v>
      </c>
      <c r="H1517" s="1"/>
      <c r="I1517" s="1"/>
      <c r="J1517" s="1"/>
      <c r="K1517" s="1"/>
      <c r="L1517" s="1"/>
      <c r="M1517" s="1"/>
      <c r="N1517" s="1"/>
      <c r="O1517" s="1"/>
      <c r="P1517" s="1"/>
      <c r="Q1517" s="1"/>
      <c r="R1517" s="1"/>
      <c r="S1517" s="1"/>
      <c r="T1517" s="1"/>
      <c r="U1517" s="1"/>
      <c r="V1517" s="1"/>
      <c r="W1517" s="1"/>
      <c r="X1517" s="1"/>
      <c r="Y1517" s="1"/>
      <c r="Z1517" s="1"/>
      <c r="AA1517" s="1"/>
      <c r="AB1517" s="1"/>
    </row>
    <row r="1518" ht="50.25" customHeight="1">
      <c r="A1518" s="12">
        <v>1514.0</v>
      </c>
      <c r="B1518" s="13" t="s">
        <v>1446</v>
      </c>
      <c r="C1518" s="14" t="s">
        <v>1526</v>
      </c>
      <c r="D1518" s="1"/>
      <c r="E1518" s="15"/>
      <c r="F1518" s="1" t="str">
        <f>IFERROR(__xludf.DUMMYFUNCTION("GOOGLETRANSLATE(B1518, ""en"", ""fa"")
"),"مشاوره در رابطه و مهارت های ارتباطی")</f>
        <v>مشاوره در رابطه و مهارت های ارتباطی</v>
      </c>
      <c r="G1518" s="1" t="str">
        <f>IFERROR(__xludf.DUMMYFUNCTION("GOOGLETRANSLATE(C1518, ""en"", ""fa"")
"),"مفهوم تشریفات رابطه و تأثیر مثبتی که می توانند بر ارتباط و صمیمیت داشته باشند را بررسی کنید.")</f>
        <v>مفهوم تشریفات رابطه و تأثیر مثبتی که می توانند بر ارتباط و صمیمیت داشته باشند را بررسی کنید.</v>
      </c>
      <c r="H1518" s="1"/>
      <c r="I1518" s="1"/>
      <c r="J1518" s="1"/>
      <c r="K1518" s="1"/>
      <c r="L1518" s="1"/>
      <c r="M1518" s="1"/>
      <c r="N1518" s="1"/>
      <c r="O1518" s="1"/>
      <c r="P1518" s="1"/>
      <c r="Q1518" s="1"/>
      <c r="R1518" s="1"/>
      <c r="S1518" s="1"/>
      <c r="T1518" s="1"/>
      <c r="U1518" s="1"/>
      <c r="V1518" s="1"/>
      <c r="W1518" s="1"/>
      <c r="X1518" s="1"/>
      <c r="Y1518" s="1"/>
      <c r="Z1518" s="1"/>
      <c r="AA1518" s="1"/>
      <c r="AB1518" s="1"/>
    </row>
    <row r="1519" ht="50.25" customHeight="1">
      <c r="A1519" s="12">
        <v>1515.0</v>
      </c>
      <c r="B1519" s="13" t="s">
        <v>1446</v>
      </c>
      <c r="C1519" s="14" t="s">
        <v>1527</v>
      </c>
      <c r="D1519" s="1"/>
      <c r="E1519" s="15"/>
      <c r="F1519" s="1" t="str">
        <f>IFERROR(__xludf.DUMMYFUNCTION("GOOGLETRANSLATE(B1519, ""en"", ""fa"")
"),"مشاوره در رابطه و مهارت های ارتباطی")</f>
        <v>مشاوره در رابطه و مهارت های ارتباطی</v>
      </c>
      <c r="G1519" s="1" t="str">
        <f>IFERROR(__xludf.DUMMYFUNCTION("GOOGLETRANSLATE(C1519, ""en"", ""fa"")
"),"نکاتی را برای رسیدگی به اختلاف نظرها در مورد سبک های فرزندپروری و پرورش یک رویکرد واحد به اشتراک بگذارید.")</f>
        <v>نکاتی را برای رسیدگی به اختلاف نظرها در مورد سبک های فرزندپروری و پرورش یک رویکرد واحد به اشتراک بگذارید.</v>
      </c>
      <c r="H1519" s="1"/>
      <c r="I1519" s="1"/>
      <c r="J1519" s="1"/>
      <c r="K1519" s="1"/>
      <c r="L1519" s="1"/>
      <c r="M1519" s="1"/>
      <c r="N1519" s="1"/>
      <c r="O1519" s="1"/>
      <c r="P1519" s="1"/>
      <c r="Q1519" s="1"/>
      <c r="R1519" s="1"/>
      <c r="S1519" s="1"/>
      <c r="T1519" s="1"/>
      <c r="U1519" s="1"/>
      <c r="V1519" s="1"/>
      <c r="W1519" s="1"/>
      <c r="X1519" s="1"/>
      <c r="Y1519" s="1"/>
      <c r="Z1519" s="1"/>
      <c r="AA1519" s="1"/>
      <c r="AB1519" s="1"/>
    </row>
    <row r="1520" ht="50.25" customHeight="1">
      <c r="A1520" s="12">
        <v>1516.0</v>
      </c>
      <c r="B1520" s="13" t="s">
        <v>1446</v>
      </c>
      <c r="C1520" s="14" t="s">
        <v>1528</v>
      </c>
      <c r="D1520" s="1"/>
      <c r="E1520" s="15"/>
      <c r="F1520" s="1" t="str">
        <f>IFERROR(__xludf.DUMMYFUNCTION("GOOGLETRANSLATE(B1520, ""en"", ""fa"")
"),"مشاوره در رابطه و مهارت های ارتباطی")</f>
        <v>مشاوره در رابطه و مهارت های ارتباطی</v>
      </c>
      <c r="G1520" s="1" t="str">
        <f>IFERROR(__xludf.DUMMYFUNCTION("GOOGLETRANSLATE(C1520, ""en"", ""fa"")
"),"درباره تأثیر تمرین شفقت به خود و همدلی نسبت به خود در حفظ روابط سالم بحث کنید.")</f>
        <v>درباره تأثیر تمرین شفقت به خود و همدلی نسبت به خود در حفظ روابط سالم بحث کنید.</v>
      </c>
      <c r="H1520" s="1"/>
      <c r="I1520" s="1"/>
      <c r="J1520" s="1"/>
      <c r="K1520" s="1"/>
      <c r="L1520" s="1"/>
      <c r="M1520" s="1"/>
      <c r="N1520" s="1"/>
      <c r="O1520" s="1"/>
      <c r="P1520" s="1"/>
      <c r="Q1520" s="1"/>
      <c r="R1520" s="1"/>
      <c r="S1520" s="1"/>
      <c r="T1520" s="1"/>
      <c r="U1520" s="1"/>
      <c r="V1520" s="1"/>
      <c r="W1520" s="1"/>
      <c r="X1520" s="1"/>
      <c r="Y1520" s="1"/>
      <c r="Z1520" s="1"/>
      <c r="AA1520" s="1"/>
      <c r="AB1520" s="1"/>
    </row>
    <row r="1521" ht="50.25" customHeight="1">
      <c r="A1521" s="12">
        <v>1517.0</v>
      </c>
      <c r="B1521" s="13" t="s">
        <v>1446</v>
      </c>
      <c r="C1521" s="14" t="s">
        <v>1529</v>
      </c>
      <c r="D1521" s="1"/>
      <c r="E1521" s="15"/>
      <c r="F1521" s="1" t="str">
        <f>IFERROR(__xludf.DUMMYFUNCTION("GOOGLETRANSLATE(B1521, ""en"", ""fa"")
"),"مشاوره در رابطه و مهارت های ارتباطی")</f>
        <v>مشاوره در رابطه و مهارت های ارتباطی</v>
      </c>
      <c r="G1521" s="1" t="str">
        <f>IFERROR(__xludf.DUMMYFUNCTION("GOOGLETRANSLATE(C1521, ""en"", ""fa"")
"),"مزایای تمرین قدردانی و ابراز قدردانی از مشارکت یکدیگر را بررسی کنید.")</f>
        <v>مزایای تمرین قدردانی و ابراز قدردانی از مشارکت یکدیگر را بررسی کنید.</v>
      </c>
      <c r="H1521" s="1"/>
      <c r="I1521" s="1"/>
      <c r="J1521" s="1"/>
      <c r="K1521" s="1"/>
      <c r="L1521" s="1"/>
      <c r="M1521" s="1"/>
      <c r="N1521" s="1"/>
      <c r="O1521" s="1"/>
      <c r="P1521" s="1"/>
      <c r="Q1521" s="1"/>
      <c r="R1521" s="1"/>
      <c r="S1521" s="1"/>
      <c r="T1521" s="1"/>
      <c r="U1521" s="1"/>
      <c r="V1521" s="1"/>
      <c r="W1521" s="1"/>
      <c r="X1521" s="1"/>
      <c r="Y1521" s="1"/>
      <c r="Z1521" s="1"/>
      <c r="AA1521" s="1"/>
      <c r="AB1521" s="1"/>
    </row>
    <row r="1522" ht="50.25" customHeight="1">
      <c r="A1522" s="12">
        <v>1518.0</v>
      </c>
      <c r="B1522" s="13" t="s">
        <v>1446</v>
      </c>
      <c r="C1522" s="14" t="s">
        <v>1530</v>
      </c>
      <c r="D1522" s="1"/>
      <c r="E1522" s="15"/>
      <c r="F1522" s="1" t="str">
        <f>IFERROR(__xludf.DUMMYFUNCTION("GOOGLETRANSLATE(B1522, ""en"", ""fa"")
"),"مشاوره در رابطه و مهارت های ارتباطی")</f>
        <v>مشاوره در رابطه و مهارت های ارتباطی</v>
      </c>
      <c r="G1522" s="1" t="str">
        <f>IFERROR(__xludf.DUMMYFUNCTION("GOOGLETRANSLATE(C1522, ""en"", ""fa"")
"),"استراتژی هایی برای تقویت اعتماد و ارتباطات در روابط از راه دور به اشتراک بگذارید.")</f>
        <v>استراتژی هایی برای تقویت اعتماد و ارتباطات در روابط از راه دور به اشتراک بگذارید.</v>
      </c>
      <c r="H1522" s="1"/>
      <c r="I1522" s="1"/>
      <c r="J1522" s="1"/>
      <c r="K1522" s="1"/>
      <c r="L1522" s="1"/>
      <c r="M1522" s="1"/>
      <c r="N1522" s="1"/>
      <c r="O1522" s="1"/>
      <c r="P1522" s="1"/>
      <c r="Q1522" s="1"/>
      <c r="R1522" s="1"/>
      <c r="S1522" s="1"/>
      <c r="T1522" s="1"/>
      <c r="U1522" s="1"/>
      <c r="V1522" s="1"/>
      <c r="W1522" s="1"/>
      <c r="X1522" s="1"/>
      <c r="Y1522" s="1"/>
      <c r="Z1522" s="1"/>
      <c r="AA1522" s="1"/>
      <c r="AB1522" s="1"/>
    </row>
    <row r="1523" ht="50.25" customHeight="1">
      <c r="A1523" s="12">
        <v>1519.0</v>
      </c>
      <c r="B1523" s="13" t="s">
        <v>1446</v>
      </c>
      <c r="C1523" s="14" t="s">
        <v>1531</v>
      </c>
      <c r="D1523" s="1"/>
      <c r="E1523" s="15"/>
      <c r="F1523" s="1" t="str">
        <f>IFERROR(__xludf.DUMMYFUNCTION("GOOGLETRANSLATE(B1523, ""en"", ""fa"")
"),"مشاوره در رابطه و مهارت های ارتباطی")</f>
        <v>مشاوره در رابطه و مهارت های ارتباطی</v>
      </c>
      <c r="G1523" s="1" t="str">
        <f>IFERROR(__xludf.DUMMYFUNCTION("GOOGLETRANSLATE(C1523, ""en"", ""fa"")
"),"در مورد نقش ارتباط موثر در پرداختن و حل مسائل اعتماد در روابط بحث کنید.")</f>
        <v>در مورد نقش ارتباط موثر در پرداختن و حل مسائل اعتماد در روابط بحث کنید.</v>
      </c>
      <c r="H1523" s="1"/>
      <c r="I1523" s="1"/>
      <c r="J1523" s="1"/>
      <c r="K1523" s="1"/>
      <c r="L1523" s="1"/>
      <c r="M1523" s="1"/>
      <c r="N1523" s="1"/>
      <c r="O1523" s="1"/>
      <c r="P1523" s="1"/>
      <c r="Q1523" s="1"/>
      <c r="R1523" s="1"/>
      <c r="S1523" s="1"/>
      <c r="T1523" s="1"/>
      <c r="U1523" s="1"/>
      <c r="V1523" s="1"/>
      <c r="W1523" s="1"/>
      <c r="X1523" s="1"/>
      <c r="Y1523" s="1"/>
      <c r="Z1523" s="1"/>
      <c r="AA1523" s="1"/>
      <c r="AB1523" s="1"/>
    </row>
    <row r="1524" ht="50.25" customHeight="1">
      <c r="A1524" s="12">
        <v>1520.0</v>
      </c>
      <c r="B1524" s="13" t="s">
        <v>1446</v>
      </c>
      <c r="C1524" s="14" t="s">
        <v>1532</v>
      </c>
      <c r="D1524" s="1"/>
      <c r="E1524" s="15"/>
      <c r="F1524" s="1" t="str">
        <f>IFERROR(__xludf.DUMMYFUNCTION("GOOGLETRANSLATE(B1524, ""en"", ""fa"")
"),"مشاوره در رابطه و مهارت های ارتباطی")</f>
        <v>مشاوره در رابطه و مهارت های ارتباطی</v>
      </c>
      <c r="G1524" s="1" t="str">
        <f>IFERROR(__xludf.DUMMYFUNCTION("GOOGLETRANSLATE(C1524, ""en"", ""fa"")
"),"مفهوم گوش دادن فعال و نقشی که در ایجاد اعتماد و درک دارد را بررسی کنید.")</f>
        <v>مفهوم گوش دادن فعال و نقشی که در ایجاد اعتماد و درک دارد را بررسی کنید.</v>
      </c>
      <c r="H1524" s="1"/>
      <c r="I1524" s="1"/>
      <c r="J1524" s="1"/>
      <c r="K1524" s="1"/>
      <c r="L1524" s="1"/>
      <c r="M1524" s="1"/>
      <c r="N1524" s="1"/>
      <c r="O1524" s="1"/>
      <c r="P1524" s="1"/>
      <c r="Q1524" s="1"/>
      <c r="R1524" s="1"/>
      <c r="S1524" s="1"/>
      <c r="T1524" s="1"/>
      <c r="U1524" s="1"/>
      <c r="V1524" s="1"/>
      <c r="W1524" s="1"/>
      <c r="X1524" s="1"/>
      <c r="Y1524" s="1"/>
      <c r="Z1524" s="1"/>
      <c r="AA1524" s="1"/>
      <c r="AB1524" s="1"/>
    </row>
    <row r="1525" ht="50.25" customHeight="1">
      <c r="A1525" s="12">
        <v>1521.0</v>
      </c>
      <c r="B1525" s="13" t="s">
        <v>1446</v>
      </c>
      <c r="C1525" s="14" t="s">
        <v>1533</v>
      </c>
      <c r="D1525" s="1"/>
      <c r="E1525" s="15"/>
      <c r="F1525" s="1" t="str">
        <f>IFERROR(__xludf.DUMMYFUNCTION("GOOGLETRANSLATE(B1525, ""en"", ""fa"")
"),"مشاوره در رابطه و مهارت های ارتباطی")</f>
        <v>مشاوره در رابطه و مهارت های ارتباطی</v>
      </c>
      <c r="G1525" s="1" t="str">
        <f>IFERROR(__xludf.DUMMYFUNCTION("GOOGLETRANSLATE(C1525, ""en"", ""fa"")
"),"نکاتی را برای مدیریت و متعادل کردن زمان شخصی و زوجین در روابط به اشتراک بگذارید.")</f>
        <v>نکاتی را برای مدیریت و متعادل کردن زمان شخصی و زوجین در روابط به اشتراک بگذارید.</v>
      </c>
      <c r="H1525" s="1"/>
      <c r="I1525" s="1"/>
      <c r="J1525" s="1"/>
      <c r="K1525" s="1"/>
      <c r="L1525" s="1"/>
      <c r="M1525" s="1"/>
      <c r="N1525" s="1"/>
      <c r="O1525" s="1"/>
      <c r="P1525" s="1"/>
      <c r="Q1525" s="1"/>
      <c r="R1525" s="1"/>
      <c r="S1525" s="1"/>
      <c r="T1525" s="1"/>
      <c r="U1525" s="1"/>
      <c r="V1525" s="1"/>
      <c r="W1525" s="1"/>
      <c r="X1525" s="1"/>
      <c r="Y1525" s="1"/>
      <c r="Z1525" s="1"/>
      <c r="AA1525" s="1"/>
      <c r="AB1525" s="1"/>
    </row>
    <row r="1526" ht="50.25" customHeight="1">
      <c r="A1526" s="12">
        <v>1522.0</v>
      </c>
      <c r="B1526" s="13" t="s">
        <v>1446</v>
      </c>
      <c r="C1526" s="14" t="s">
        <v>1534</v>
      </c>
      <c r="D1526" s="1"/>
      <c r="E1526" s="15"/>
      <c r="F1526" s="1" t="str">
        <f>IFERROR(__xludf.DUMMYFUNCTION("GOOGLETRANSLATE(B1526, ""en"", ""fa"")
"),"مشاوره در رابطه و مهارت های ارتباطی")</f>
        <v>مشاوره در رابطه و مهارت های ارتباطی</v>
      </c>
      <c r="G1526" s="1" t="str">
        <f>IFERROR(__xludf.DUMMYFUNCTION("GOOGLETRANSLATE(C1526, ""en"", ""fa"")
"),"در مورد تأثیر تمرین ارتباط مؤثر در جلوگیری از سوء تفاهم ها و ارتباطات نادرست بحث کنید.")</f>
        <v>در مورد تأثیر تمرین ارتباط مؤثر در جلوگیری از سوء تفاهم ها و ارتباطات نادرست بحث کنید.</v>
      </c>
      <c r="H1526" s="1"/>
      <c r="I1526" s="1"/>
      <c r="J1526" s="1"/>
      <c r="K1526" s="1"/>
      <c r="L1526" s="1"/>
      <c r="M1526" s="1"/>
      <c r="N1526" s="1"/>
      <c r="O1526" s="1"/>
      <c r="P1526" s="1"/>
      <c r="Q1526" s="1"/>
      <c r="R1526" s="1"/>
      <c r="S1526" s="1"/>
      <c r="T1526" s="1"/>
      <c r="U1526" s="1"/>
      <c r="V1526" s="1"/>
      <c r="W1526" s="1"/>
      <c r="X1526" s="1"/>
      <c r="Y1526" s="1"/>
      <c r="Z1526" s="1"/>
      <c r="AA1526" s="1"/>
      <c r="AB1526" s="1"/>
    </row>
    <row r="1527" ht="50.25" customHeight="1">
      <c r="A1527" s="12">
        <v>1523.0</v>
      </c>
      <c r="B1527" s="13" t="s">
        <v>1446</v>
      </c>
      <c r="C1527" s="14" t="s">
        <v>1535</v>
      </c>
      <c r="D1527" s="1"/>
      <c r="E1527" s="15"/>
      <c r="F1527" s="1" t="str">
        <f>IFERROR(__xludf.DUMMYFUNCTION("GOOGLETRANSLATE(B1527, ""en"", ""fa"")
"),"مشاوره در رابطه و مهارت های ارتباطی")</f>
        <v>مشاوره در رابطه و مهارت های ارتباطی</v>
      </c>
      <c r="G1527" s="1" t="str">
        <f>IFERROR(__xludf.DUMMYFUNCTION("GOOGLETRANSLATE(C1527, ""en"", ""fa"")
"),"مزایای تمرین تکنیک های حل تعارض فعال، مانند گوش دادن بازتابی و سازش را بررسی کنید.")</f>
        <v>مزایای تمرین تکنیک های حل تعارض فعال، مانند گوش دادن بازتابی و سازش را بررسی کنید.</v>
      </c>
      <c r="H1527" s="1"/>
      <c r="I1527" s="1"/>
      <c r="J1527" s="1"/>
      <c r="K1527" s="1"/>
      <c r="L1527" s="1"/>
      <c r="M1527" s="1"/>
      <c r="N1527" s="1"/>
      <c r="O1527" s="1"/>
      <c r="P1527" s="1"/>
      <c r="Q1527" s="1"/>
      <c r="R1527" s="1"/>
      <c r="S1527" s="1"/>
      <c r="T1527" s="1"/>
      <c r="U1527" s="1"/>
      <c r="V1527" s="1"/>
      <c r="W1527" s="1"/>
      <c r="X1527" s="1"/>
      <c r="Y1527" s="1"/>
      <c r="Z1527" s="1"/>
      <c r="AA1527" s="1"/>
      <c r="AB1527" s="1"/>
    </row>
    <row r="1528" ht="50.25" customHeight="1">
      <c r="A1528" s="12">
        <v>1524.0</v>
      </c>
      <c r="B1528" s="13" t="s">
        <v>1446</v>
      </c>
      <c r="C1528" s="14" t="s">
        <v>1536</v>
      </c>
      <c r="D1528" s="1"/>
      <c r="E1528" s="15"/>
      <c r="F1528" s="1" t="str">
        <f>IFERROR(__xludf.DUMMYFUNCTION("GOOGLETRANSLATE(B1528, ""en"", ""fa"")
"),"مشاوره در رابطه و مهارت های ارتباطی")</f>
        <v>مشاوره در رابطه و مهارت های ارتباطی</v>
      </c>
      <c r="G1528" s="1" t="str">
        <f>IFERROR(__xludf.DUMMYFUNCTION("GOOGLETRANSLATE(C1528, ""en"", ""fa"")
"),"راهبردهایی را برای هدایت تفاوت های فرهنگی و مذهبی در روابط به اشتراک بگذارید.")</f>
        <v>راهبردهایی را برای هدایت تفاوت های فرهنگی و مذهبی در روابط به اشتراک بگذارید.</v>
      </c>
      <c r="H1528" s="1"/>
      <c r="I1528" s="1"/>
      <c r="J1528" s="1"/>
      <c r="K1528" s="1"/>
      <c r="L1528" s="1"/>
      <c r="M1528" s="1"/>
      <c r="N1528" s="1"/>
      <c r="O1528" s="1"/>
      <c r="P1528" s="1"/>
      <c r="Q1528" s="1"/>
      <c r="R1528" s="1"/>
      <c r="S1528" s="1"/>
      <c r="T1528" s="1"/>
      <c r="U1528" s="1"/>
      <c r="V1528" s="1"/>
      <c r="W1528" s="1"/>
      <c r="X1528" s="1"/>
      <c r="Y1528" s="1"/>
      <c r="Z1528" s="1"/>
      <c r="AA1528" s="1"/>
      <c r="AB1528" s="1"/>
    </row>
    <row r="1529" ht="50.25" customHeight="1">
      <c r="A1529" s="12">
        <v>1525.0</v>
      </c>
      <c r="B1529" s="13" t="s">
        <v>1446</v>
      </c>
      <c r="C1529" s="14" t="s">
        <v>1537</v>
      </c>
      <c r="D1529" s="1"/>
      <c r="E1529" s="15"/>
      <c r="F1529" s="1" t="str">
        <f>IFERROR(__xludf.DUMMYFUNCTION("GOOGLETRANSLATE(B1529, ""en"", ""fa"")
"),"مشاوره در رابطه و مهارت های ارتباطی")</f>
        <v>مشاوره در رابطه و مهارت های ارتباطی</v>
      </c>
      <c r="G1529" s="1" t="str">
        <f>IFERROR(__xludf.DUMMYFUNCTION("GOOGLETRANSLATE(C1529, ""en"", ""fa"")
"),"در مورد نقش ارتباط موثر در حمایت از رویاها و آرزوهای یکدیگر بحث کنید.")</f>
        <v>در مورد نقش ارتباط موثر در حمایت از رویاها و آرزوهای یکدیگر بحث کنید.</v>
      </c>
      <c r="H1529" s="1"/>
      <c r="I1529" s="1"/>
      <c r="J1529" s="1"/>
      <c r="K1529" s="1"/>
      <c r="L1529" s="1"/>
      <c r="M1529" s="1"/>
      <c r="N1529" s="1"/>
      <c r="O1529" s="1"/>
      <c r="P1529" s="1"/>
      <c r="Q1529" s="1"/>
      <c r="R1529" s="1"/>
      <c r="S1529" s="1"/>
      <c r="T1529" s="1"/>
      <c r="U1529" s="1"/>
      <c r="V1529" s="1"/>
      <c r="W1529" s="1"/>
      <c r="X1529" s="1"/>
      <c r="Y1529" s="1"/>
      <c r="Z1529" s="1"/>
      <c r="AA1529" s="1"/>
      <c r="AB1529" s="1"/>
    </row>
    <row r="1530" ht="50.25" customHeight="1">
      <c r="A1530" s="12">
        <v>1526.0</v>
      </c>
      <c r="B1530" s="13" t="s">
        <v>1446</v>
      </c>
      <c r="C1530" s="14" t="s">
        <v>1538</v>
      </c>
      <c r="D1530" s="1"/>
      <c r="E1530" s="15"/>
      <c r="F1530" s="1" t="str">
        <f>IFERROR(__xludf.DUMMYFUNCTION("GOOGLETRANSLATE(B1530, ""en"", ""fa"")
"),"مشاوره در رابطه و مهارت های ارتباطی")</f>
        <v>مشاوره در رابطه و مهارت های ارتباطی</v>
      </c>
      <c r="G1530" s="1" t="str">
        <f>IFERROR(__xludf.DUMMYFUNCTION("GOOGLETRANSLATE(C1530, ""en"", ""fa"")
"),"مفهوم مرزهای سالم در دوستی ها و نحوه برقراری ارتباط موثر با آنها را بررسی کنید.")</f>
        <v>مفهوم مرزهای سالم در دوستی ها و نحوه برقراری ارتباط موثر با آنها را بررسی کنید.</v>
      </c>
      <c r="H1530" s="1"/>
      <c r="I1530" s="1"/>
      <c r="J1530" s="1"/>
      <c r="K1530" s="1"/>
      <c r="L1530" s="1"/>
      <c r="M1530" s="1"/>
      <c r="N1530" s="1"/>
      <c r="O1530" s="1"/>
      <c r="P1530" s="1"/>
      <c r="Q1530" s="1"/>
      <c r="R1530" s="1"/>
      <c r="S1530" s="1"/>
      <c r="T1530" s="1"/>
      <c r="U1530" s="1"/>
      <c r="V1530" s="1"/>
      <c r="W1530" s="1"/>
      <c r="X1530" s="1"/>
      <c r="Y1530" s="1"/>
      <c r="Z1530" s="1"/>
      <c r="AA1530" s="1"/>
      <c r="AB1530" s="1"/>
    </row>
    <row r="1531" ht="50.25" customHeight="1">
      <c r="A1531" s="12">
        <v>1527.0</v>
      </c>
      <c r="B1531" s="13" t="s">
        <v>1446</v>
      </c>
      <c r="C1531" s="14" t="s">
        <v>1539</v>
      </c>
      <c r="D1531" s="1"/>
      <c r="E1531" s="15"/>
      <c r="F1531" s="1" t="str">
        <f>IFERROR(__xludf.DUMMYFUNCTION("GOOGLETRANSLATE(B1531, ""en"", ""fa"")
"),"مشاوره در رابطه و مهارت های ارتباطی")</f>
        <v>مشاوره در رابطه و مهارت های ارتباطی</v>
      </c>
      <c r="G1531" s="1" t="str">
        <f>IFERROR(__xludf.DUMMYFUNCTION("GOOGLETRANSLATE(C1531, ""en"", ""fa"")
"),"در مورد اهمیت ایجاد اعتماد و امنیت عاطفی در روابط صمیمی بحث کنید.")</f>
        <v>در مورد اهمیت ایجاد اعتماد و امنیت عاطفی در روابط صمیمی بحث کنید.</v>
      </c>
      <c r="H1531" s="1"/>
      <c r="I1531" s="1"/>
      <c r="J1531" s="1"/>
      <c r="K1531" s="1"/>
      <c r="L1531" s="1"/>
      <c r="M1531" s="1"/>
      <c r="N1531" s="1"/>
      <c r="O1531" s="1"/>
      <c r="P1531" s="1"/>
      <c r="Q1531" s="1"/>
      <c r="R1531" s="1"/>
      <c r="S1531" s="1"/>
      <c r="T1531" s="1"/>
      <c r="U1531" s="1"/>
      <c r="V1531" s="1"/>
      <c r="W1531" s="1"/>
      <c r="X1531" s="1"/>
      <c r="Y1531" s="1"/>
      <c r="Z1531" s="1"/>
      <c r="AA1531" s="1"/>
      <c r="AB1531" s="1"/>
    </row>
    <row r="1532" ht="50.25" customHeight="1">
      <c r="A1532" s="12">
        <v>1528.0</v>
      </c>
      <c r="B1532" s="13" t="s">
        <v>1446</v>
      </c>
      <c r="C1532" s="14" t="s">
        <v>1540</v>
      </c>
      <c r="D1532" s="1"/>
      <c r="E1532" s="15"/>
      <c r="F1532" s="1" t="str">
        <f>IFERROR(__xludf.DUMMYFUNCTION("GOOGLETRANSLATE(B1532, ""en"", ""fa"")
"),"مشاوره در رابطه و مهارت های ارتباطی")</f>
        <v>مشاوره در رابطه و مهارت های ارتباطی</v>
      </c>
      <c r="G1532" s="1" t="str">
        <f>IFERROR(__xludf.DUMMYFUNCTION("GOOGLETRANSLATE(C1532, ""en"", ""fa"")
"),"نکاتی را برای حفظ ارتباط سالم در حین گذراندن زمان‌ها یا بحران‌های چالش برانگیز به اشتراک بگذارید.")</f>
        <v>نکاتی را برای حفظ ارتباط سالم در حین گذراندن زمان‌ها یا بحران‌های چالش برانگیز به اشتراک بگذارید.</v>
      </c>
      <c r="H1532" s="1"/>
      <c r="I1532" s="1"/>
      <c r="J1532" s="1"/>
      <c r="K1532" s="1"/>
      <c r="L1532" s="1"/>
      <c r="M1532" s="1"/>
      <c r="N1532" s="1"/>
      <c r="O1532" s="1"/>
      <c r="P1532" s="1"/>
      <c r="Q1532" s="1"/>
      <c r="R1532" s="1"/>
      <c r="S1532" s="1"/>
      <c r="T1532" s="1"/>
      <c r="U1532" s="1"/>
      <c r="V1532" s="1"/>
      <c r="W1532" s="1"/>
      <c r="X1532" s="1"/>
      <c r="Y1532" s="1"/>
      <c r="Z1532" s="1"/>
      <c r="AA1532" s="1"/>
      <c r="AB1532" s="1"/>
    </row>
    <row r="1533" ht="50.25" customHeight="1">
      <c r="A1533" s="12">
        <v>1529.0</v>
      </c>
      <c r="B1533" s="13" t="s">
        <v>1446</v>
      </c>
      <c r="C1533" s="14" t="s">
        <v>1541</v>
      </c>
      <c r="D1533" s="1"/>
      <c r="E1533" s="15"/>
      <c r="F1533" s="1" t="str">
        <f>IFERROR(__xludf.DUMMYFUNCTION("GOOGLETRANSLATE(B1533, ""en"", ""fa"")
"),"مشاوره در رابطه و مهارت های ارتباطی")</f>
        <v>مشاوره در رابطه و مهارت های ارتباطی</v>
      </c>
      <c r="G1533" s="1" t="str">
        <f>IFERROR(__xludf.DUMMYFUNCTION("GOOGLETRANSLATE(C1533, ""en"", ""fa"")
"),"مفهوم گوش دادن فعال و نقش آن در درک و اعتبار بخشیدن به احساسات شریک زندگی خود را بررسی کنید.")</f>
        <v>مفهوم گوش دادن فعال و نقش آن در درک و اعتبار بخشیدن به احساسات شریک زندگی خود را بررسی کنید.</v>
      </c>
      <c r="H1533" s="1"/>
      <c r="I1533" s="1"/>
      <c r="J1533" s="1"/>
      <c r="K1533" s="1"/>
      <c r="L1533" s="1"/>
      <c r="M1533" s="1"/>
      <c r="N1533" s="1"/>
      <c r="O1533" s="1"/>
      <c r="P1533" s="1"/>
      <c r="Q1533" s="1"/>
      <c r="R1533" s="1"/>
      <c r="S1533" s="1"/>
      <c r="T1533" s="1"/>
      <c r="U1533" s="1"/>
      <c r="V1533" s="1"/>
      <c r="W1533" s="1"/>
      <c r="X1533" s="1"/>
      <c r="Y1533" s="1"/>
      <c r="Z1533" s="1"/>
      <c r="AA1533" s="1"/>
      <c r="AB1533" s="1"/>
    </row>
    <row r="1534" ht="50.25" customHeight="1">
      <c r="A1534" s="12">
        <v>1530.0</v>
      </c>
      <c r="B1534" s="13" t="s">
        <v>1446</v>
      </c>
      <c r="C1534" s="14" t="s">
        <v>1542</v>
      </c>
      <c r="D1534" s="1"/>
      <c r="E1534" s="15"/>
      <c r="F1534" s="1" t="str">
        <f>IFERROR(__xludf.DUMMYFUNCTION("GOOGLETRANSLATE(B1534, ""en"", ""fa"")
"),"مشاوره در رابطه و مهارت های ارتباطی")</f>
        <v>مشاوره در رابطه و مهارت های ارتباطی</v>
      </c>
      <c r="G1534" s="1" t="str">
        <f>IFERROR(__xludf.DUMMYFUNCTION("GOOGLETRANSLATE(C1534, ""en"", ""fa"")
"),"در مورد تأثیر ارتباطات مؤثر در حل تعارضات و جلوگیری از ایجاد نارضایتی بحث کنید.")</f>
        <v>در مورد تأثیر ارتباطات مؤثر در حل تعارضات و جلوگیری از ایجاد نارضایتی بحث کنید.</v>
      </c>
      <c r="H1534" s="1"/>
      <c r="I1534" s="1"/>
      <c r="J1534" s="1"/>
      <c r="K1534" s="1"/>
      <c r="L1534" s="1"/>
      <c r="M1534" s="1"/>
      <c r="N1534" s="1"/>
      <c r="O1534" s="1"/>
      <c r="P1534" s="1"/>
      <c r="Q1534" s="1"/>
      <c r="R1534" s="1"/>
      <c r="S1534" s="1"/>
      <c r="T1534" s="1"/>
      <c r="U1534" s="1"/>
      <c r="V1534" s="1"/>
      <c r="W1534" s="1"/>
      <c r="X1534" s="1"/>
      <c r="Y1534" s="1"/>
      <c r="Z1534" s="1"/>
      <c r="AA1534" s="1"/>
      <c r="AB1534" s="1"/>
    </row>
    <row r="1535" ht="50.25" customHeight="1">
      <c r="A1535" s="12">
        <v>1531.0</v>
      </c>
      <c r="B1535" s="13" t="s">
        <v>1446</v>
      </c>
      <c r="C1535" s="14" t="s">
        <v>1543</v>
      </c>
      <c r="D1535" s="1"/>
      <c r="E1535" s="15"/>
      <c r="F1535" s="1" t="str">
        <f>IFERROR(__xludf.DUMMYFUNCTION("GOOGLETRANSLATE(B1535, ""en"", ""fa"")
"),"مشاوره در رابطه و مهارت های ارتباطی")</f>
        <v>مشاوره در رابطه و مهارت های ارتباطی</v>
      </c>
      <c r="G1535" s="1" t="str">
        <f>IFERROR(__xludf.DUMMYFUNCTION("GOOGLETRANSLATE(C1535, ""en"", ""fa"")
"),"استراتژی هایی را برای ایجاد تعادل سالم استقلال و با هم بودن در روابط به اشتراک بگذارید.")</f>
        <v>استراتژی هایی را برای ایجاد تعادل سالم استقلال و با هم بودن در روابط به اشتراک بگذارید.</v>
      </c>
      <c r="H1535" s="1"/>
      <c r="I1535" s="1"/>
      <c r="J1535" s="1"/>
      <c r="K1535" s="1"/>
      <c r="L1535" s="1"/>
      <c r="M1535" s="1"/>
      <c r="N1535" s="1"/>
      <c r="O1535" s="1"/>
      <c r="P1535" s="1"/>
      <c r="Q1535" s="1"/>
      <c r="R1535" s="1"/>
      <c r="S1535" s="1"/>
      <c r="T1535" s="1"/>
      <c r="U1535" s="1"/>
      <c r="V1535" s="1"/>
      <c r="W1535" s="1"/>
      <c r="X1535" s="1"/>
      <c r="Y1535" s="1"/>
      <c r="Z1535" s="1"/>
      <c r="AA1535" s="1"/>
      <c r="AB1535" s="1"/>
    </row>
    <row r="1536" ht="50.25" customHeight="1">
      <c r="A1536" s="12">
        <v>1532.0</v>
      </c>
      <c r="B1536" s="13" t="s">
        <v>1446</v>
      </c>
      <c r="C1536" s="14" t="s">
        <v>1544</v>
      </c>
      <c r="D1536" s="1"/>
      <c r="E1536" s="15"/>
      <c r="F1536" s="1" t="str">
        <f>IFERROR(__xludf.DUMMYFUNCTION("GOOGLETRANSLATE(B1536, ""en"", ""fa"")
"),"مشاوره در رابطه و مهارت های ارتباطی")</f>
        <v>مشاوره در رابطه و مهارت های ارتباطی</v>
      </c>
      <c r="G1536" s="1" t="str">
        <f>IFERROR(__xludf.DUMMYFUNCTION("GOOGLETRANSLATE(C1536, ""en"", ""fa"")
"),"مزایای تمرین همدلی و چشم انداز در تقویت درک و ارتباط را بررسی کنید.")</f>
        <v>مزایای تمرین همدلی و چشم انداز در تقویت درک و ارتباط را بررسی کنید.</v>
      </c>
      <c r="H1536" s="1"/>
      <c r="I1536" s="1"/>
      <c r="J1536" s="1"/>
      <c r="K1536" s="1"/>
      <c r="L1536" s="1"/>
      <c r="M1536" s="1"/>
      <c r="N1536" s="1"/>
      <c r="O1536" s="1"/>
      <c r="P1536" s="1"/>
      <c r="Q1536" s="1"/>
      <c r="R1536" s="1"/>
      <c r="S1536" s="1"/>
      <c r="T1536" s="1"/>
      <c r="U1536" s="1"/>
      <c r="V1536" s="1"/>
      <c r="W1536" s="1"/>
      <c r="X1536" s="1"/>
      <c r="Y1536" s="1"/>
      <c r="Z1536" s="1"/>
      <c r="AA1536" s="1"/>
      <c r="AB1536" s="1"/>
    </row>
    <row r="1537" ht="50.25" customHeight="1">
      <c r="A1537" s="12">
        <v>1533.0</v>
      </c>
      <c r="B1537" s="13" t="s">
        <v>1446</v>
      </c>
      <c r="C1537" s="14" t="s">
        <v>1545</v>
      </c>
      <c r="D1537" s="1"/>
      <c r="E1537" s="15"/>
      <c r="F1537" s="1" t="str">
        <f>IFERROR(__xludf.DUMMYFUNCTION("GOOGLETRANSLATE(B1537, ""en"", ""fa"")
"),"مشاوره در رابطه و مهارت های ارتباطی")</f>
        <v>مشاوره در رابطه و مهارت های ارتباطی</v>
      </c>
      <c r="G1537" s="1" t="str">
        <f>IFERROR(__xludf.DUMMYFUNCTION("GOOGLETRANSLATE(C1537, ""en"", ""fa"")
"),"نقش ارتباط موثر در پرورش صمیمیت و زنده نگه داشتن عشق را مورد بحث قرار دهید.")</f>
        <v>نقش ارتباط موثر در پرورش صمیمیت و زنده نگه داشتن عشق را مورد بحث قرار دهید.</v>
      </c>
      <c r="H1537" s="1"/>
      <c r="I1537" s="1"/>
      <c r="J1537" s="1"/>
      <c r="K1537" s="1"/>
      <c r="L1537" s="1"/>
      <c r="M1537" s="1"/>
      <c r="N1537" s="1"/>
      <c r="O1537" s="1"/>
      <c r="P1537" s="1"/>
      <c r="Q1537" s="1"/>
      <c r="R1537" s="1"/>
      <c r="S1537" s="1"/>
      <c r="T1537" s="1"/>
      <c r="U1537" s="1"/>
      <c r="V1537" s="1"/>
      <c r="W1537" s="1"/>
      <c r="X1537" s="1"/>
      <c r="Y1537" s="1"/>
      <c r="Z1537" s="1"/>
      <c r="AA1537" s="1"/>
      <c r="AB1537" s="1"/>
    </row>
    <row r="1538" ht="50.25" customHeight="1">
      <c r="A1538" s="12">
        <v>1534.0</v>
      </c>
      <c r="B1538" s="13" t="s">
        <v>1446</v>
      </c>
      <c r="C1538" s="14" t="s">
        <v>1546</v>
      </c>
      <c r="D1538" s="1"/>
      <c r="E1538" s="15"/>
      <c r="F1538" s="1" t="str">
        <f>IFERROR(__xludf.DUMMYFUNCTION("GOOGLETRANSLATE(B1538, ""en"", ""fa"")
"),"مشاوره در رابطه و مهارت های ارتباطی")</f>
        <v>مشاوره در رابطه و مهارت های ارتباطی</v>
      </c>
      <c r="G1538" s="1" t="str">
        <f>IFERROR(__xludf.DUMMYFUNCTION("GOOGLETRANSLATE(C1538, ""en"", ""fa"")
"),"نکاتی را برای ابراز عشق و محبت به روش های مختلف به اشتراک بگذارید تا به زبان عشق شریک زندگی خود پاسخ دهید.")</f>
        <v>نکاتی را برای ابراز عشق و محبت به روش های مختلف به اشتراک بگذارید تا به زبان عشق شریک زندگی خود پاسخ دهید.</v>
      </c>
      <c r="H1538" s="1"/>
      <c r="I1538" s="1"/>
      <c r="J1538" s="1"/>
      <c r="K1538" s="1"/>
      <c r="L1538" s="1"/>
      <c r="M1538" s="1"/>
      <c r="N1538" s="1"/>
      <c r="O1538" s="1"/>
      <c r="P1538" s="1"/>
      <c r="Q1538" s="1"/>
      <c r="R1538" s="1"/>
      <c r="S1538" s="1"/>
      <c r="T1538" s="1"/>
      <c r="U1538" s="1"/>
      <c r="V1538" s="1"/>
      <c r="W1538" s="1"/>
      <c r="X1538" s="1"/>
      <c r="Y1538" s="1"/>
      <c r="Z1538" s="1"/>
      <c r="AA1538" s="1"/>
      <c r="AB1538" s="1"/>
    </row>
    <row r="1539" ht="50.25" customHeight="1">
      <c r="A1539" s="12">
        <v>1535.0</v>
      </c>
      <c r="B1539" s="13" t="s">
        <v>1446</v>
      </c>
      <c r="C1539" s="14" t="s">
        <v>1547</v>
      </c>
      <c r="D1539" s="1"/>
      <c r="E1539" s="15"/>
      <c r="F1539" s="1" t="str">
        <f>IFERROR(__xludf.DUMMYFUNCTION("GOOGLETRANSLATE(B1539, ""en"", ""fa"")
"),"مشاوره در رابطه و مهارت های ارتباطی")</f>
        <v>مشاوره در رابطه و مهارت های ارتباطی</v>
      </c>
      <c r="G1539" s="1" t="str">
        <f>IFERROR(__xludf.DUMMYFUNCTION("GOOGLETRANSLATE(C1539, ""en"", ""fa"")
"),"مفهوم هوش هیجانی و اهمیت آن در ایجاد روابط قوی و هماهنگ را بررسی کنید.")</f>
        <v>مفهوم هوش هیجانی و اهمیت آن در ایجاد روابط قوی و هماهنگ را بررسی کنید.</v>
      </c>
      <c r="H1539" s="1"/>
      <c r="I1539" s="1"/>
      <c r="J1539" s="1"/>
      <c r="K1539" s="1"/>
      <c r="L1539" s="1"/>
      <c r="M1539" s="1"/>
      <c r="N1539" s="1"/>
      <c r="O1539" s="1"/>
      <c r="P1539" s="1"/>
      <c r="Q1539" s="1"/>
      <c r="R1539" s="1"/>
      <c r="S1539" s="1"/>
      <c r="T1539" s="1"/>
      <c r="U1539" s="1"/>
      <c r="V1539" s="1"/>
      <c r="W1539" s="1"/>
      <c r="X1539" s="1"/>
      <c r="Y1539" s="1"/>
      <c r="Z1539" s="1"/>
      <c r="AA1539" s="1"/>
      <c r="AB1539" s="1"/>
    </row>
    <row r="1540" ht="50.25" customHeight="1">
      <c r="A1540" s="12">
        <v>1536.0</v>
      </c>
      <c r="B1540" s="13" t="s">
        <v>1446</v>
      </c>
      <c r="C1540" s="14" t="s">
        <v>1548</v>
      </c>
      <c r="D1540" s="1"/>
      <c r="E1540" s="15"/>
      <c r="F1540" s="1" t="str">
        <f>IFERROR(__xludf.DUMMYFUNCTION("GOOGLETRANSLATE(B1540, ""en"", ""fa"")
"),"مشاوره در رابطه و مهارت های ارتباطی")</f>
        <v>مشاوره در رابطه و مهارت های ارتباطی</v>
      </c>
      <c r="G1540" s="1" t="str">
        <f>IFERROR(__xludf.DUMMYFUNCTION("GOOGLETRANSLATE(C1540, ""en"", ""fa"")
"),"در مورد تأثیر ارتباط مؤثر در رسیدگی و حل مسائل مربوط به اعتماد و حسادت بحث کنید.")</f>
        <v>در مورد تأثیر ارتباط مؤثر در رسیدگی و حل مسائل مربوط به اعتماد و حسادت بحث کنید.</v>
      </c>
      <c r="H1540" s="1"/>
      <c r="I1540" s="1"/>
      <c r="J1540" s="1"/>
      <c r="K1540" s="1"/>
      <c r="L1540" s="1"/>
      <c r="M1540" s="1"/>
      <c r="N1540" s="1"/>
      <c r="O1540" s="1"/>
      <c r="P1540" s="1"/>
      <c r="Q1540" s="1"/>
      <c r="R1540" s="1"/>
      <c r="S1540" s="1"/>
      <c r="T1540" s="1"/>
      <c r="U1540" s="1"/>
      <c r="V1540" s="1"/>
      <c r="W1540" s="1"/>
      <c r="X1540" s="1"/>
      <c r="Y1540" s="1"/>
      <c r="Z1540" s="1"/>
      <c r="AA1540" s="1"/>
      <c r="AB1540" s="1"/>
    </row>
    <row r="1541" ht="50.25" customHeight="1">
      <c r="A1541" s="12">
        <v>1537.0</v>
      </c>
      <c r="B1541" s="13" t="s">
        <v>1446</v>
      </c>
      <c r="C1541" s="14" t="s">
        <v>1549</v>
      </c>
      <c r="D1541" s="1"/>
      <c r="E1541" s="15"/>
      <c r="F1541" s="1" t="str">
        <f>IFERROR(__xludf.DUMMYFUNCTION("GOOGLETRANSLATE(B1541, ""en"", ""fa"")
"),"مشاوره در رابطه و مهارت های ارتباطی")</f>
        <v>مشاوره در رابطه و مهارت های ارتباطی</v>
      </c>
      <c r="G1541" s="1" t="str">
        <f>IFERROR(__xludf.DUMMYFUNCTION("GOOGLETRANSLATE(C1541, ""en"", ""fa"")
"),"استراتژی های حفظ ارتباط باز و صادقانه را در طول دوره های مسافت طولانی یا سفر به اشتراک بگذارید.")</f>
        <v>استراتژی های حفظ ارتباط باز و صادقانه را در طول دوره های مسافت طولانی یا سفر به اشتراک بگذارید.</v>
      </c>
      <c r="H1541" s="1"/>
      <c r="I1541" s="1"/>
      <c r="J1541" s="1"/>
      <c r="K1541" s="1"/>
      <c r="L1541" s="1"/>
      <c r="M1541" s="1"/>
      <c r="N1541" s="1"/>
      <c r="O1541" s="1"/>
      <c r="P1541" s="1"/>
      <c r="Q1541" s="1"/>
      <c r="R1541" s="1"/>
      <c r="S1541" s="1"/>
      <c r="T1541" s="1"/>
      <c r="U1541" s="1"/>
      <c r="V1541" s="1"/>
      <c r="W1541" s="1"/>
      <c r="X1541" s="1"/>
      <c r="Y1541" s="1"/>
      <c r="Z1541" s="1"/>
      <c r="AA1541" s="1"/>
      <c r="AB1541" s="1"/>
    </row>
    <row r="1542" ht="50.25" customHeight="1">
      <c r="A1542" s="12">
        <v>1538.0</v>
      </c>
      <c r="B1542" s="13" t="s">
        <v>1446</v>
      </c>
      <c r="C1542" s="14" t="s">
        <v>1550</v>
      </c>
      <c r="D1542" s="1"/>
      <c r="E1542" s="15"/>
      <c r="F1542" s="1" t="str">
        <f>IFERROR(__xludf.DUMMYFUNCTION("GOOGLETRANSLATE(B1542, ""en"", ""fa"")
"),"مشاوره در رابطه و مهارت های ارتباطی")</f>
        <v>مشاوره در رابطه و مهارت های ارتباطی</v>
      </c>
      <c r="G1542" s="1" t="str">
        <f>IFERROR(__xludf.DUMMYFUNCTION("GOOGLETRANSLATE(C1542, ""en"", ""fa"")
"),"مزایای تمرین حل مسئله فعال و سازش در حل تعارضات رابطه را بررسی کنید.")</f>
        <v>مزایای تمرین حل مسئله فعال و سازش در حل تعارضات رابطه را بررسی کنید.</v>
      </c>
      <c r="H1542" s="1"/>
      <c r="I1542" s="1"/>
      <c r="J1542" s="1"/>
      <c r="K1542" s="1"/>
      <c r="L1542" s="1"/>
      <c r="M1542" s="1"/>
      <c r="N1542" s="1"/>
      <c r="O1542" s="1"/>
      <c r="P1542" s="1"/>
      <c r="Q1542" s="1"/>
      <c r="R1542" s="1"/>
      <c r="S1542" s="1"/>
      <c r="T1542" s="1"/>
      <c r="U1542" s="1"/>
      <c r="V1542" s="1"/>
      <c r="W1542" s="1"/>
      <c r="X1542" s="1"/>
      <c r="Y1542" s="1"/>
      <c r="Z1542" s="1"/>
      <c r="AA1542" s="1"/>
      <c r="AB1542" s="1"/>
    </row>
    <row r="1543" ht="50.25" customHeight="1">
      <c r="A1543" s="12">
        <v>1539.0</v>
      </c>
      <c r="B1543" s="13" t="s">
        <v>1446</v>
      </c>
      <c r="C1543" s="14" t="s">
        <v>1551</v>
      </c>
      <c r="D1543" s="1"/>
      <c r="E1543" s="15"/>
      <c r="F1543" s="1" t="str">
        <f>IFERROR(__xludf.DUMMYFUNCTION("GOOGLETRANSLATE(B1543, ""en"", ""fa"")
"),"مشاوره در رابطه و مهارت های ارتباطی")</f>
        <v>مشاوره در رابطه و مهارت های ارتباطی</v>
      </c>
      <c r="G1543" s="1" t="str">
        <f>IFERROR(__xludf.DUMMYFUNCTION("GOOGLETRANSLATE(C1543, ""en"", ""fa"")
"),"در مورد نقش ارتباط موثر در تعیین و احترام به مرزهای شخصی در روابط بحث کنید.")</f>
        <v>در مورد نقش ارتباط موثر در تعیین و احترام به مرزهای شخصی در روابط بحث کنید.</v>
      </c>
      <c r="H1543" s="1"/>
      <c r="I1543" s="1"/>
      <c r="J1543" s="1"/>
      <c r="K1543" s="1"/>
      <c r="L1543" s="1"/>
      <c r="M1543" s="1"/>
      <c r="N1543" s="1"/>
      <c r="O1543" s="1"/>
      <c r="P1543" s="1"/>
      <c r="Q1543" s="1"/>
      <c r="R1543" s="1"/>
      <c r="S1543" s="1"/>
      <c r="T1543" s="1"/>
      <c r="U1543" s="1"/>
      <c r="V1543" s="1"/>
      <c r="W1543" s="1"/>
      <c r="X1543" s="1"/>
      <c r="Y1543" s="1"/>
      <c r="Z1543" s="1"/>
      <c r="AA1543" s="1"/>
      <c r="AB1543" s="1"/>
    </row>
    <row r="1544" ht="50.25" customHeight="1">
      <c r="A1544" s="12">
        <v>1540.0</v>
      </c>
      <c r="B1544" s="13" t="s">
        <v>1446</v>
      </c>
      <c r="C1544" s="14" t="s">
        <v>1552</v>
      </c>
      <c r="D1544" s="1"/>
      <c r="E1544" s="15"/>
      <c r="F1544" s="1" t="str">
        <f>IFERROR(__xludf.DUMMYFUNCTION("GOOGLETRANSLATE(B1544, ""en"", ""fa"")
"),"مشاوره در رابطه و مهارت های ارتباطی")</f>
        <v>مشاوره در رابطه و مهارت های ارتباطی</v>
      </c>
      <c r="G1544" s="1" t="str">
        <f>IFERROR(__xludf.DUMMYFUNCTION("GOOGLETRANSLATE(C1544, ""en"", ""fa"")
"),"نکاتی را برای پیمایش چالش های ارتباطی با خانواده های ترکیبی و پویایی فرزندخواندگی به اشتراک بگذارید.")</f>
        <v>نکاتی را برای پیمایش چالش های ارتباطی با خانواده های ترکیبی و پویایی فرزندخواندگی به اشتراک بگذارید.</v>
      </c>
      <c r="H1544" s="1"/>
      <c r="I1544" s="1"/>
      <c r="J1544" s="1"/>
      <c r="K1544" s="1"/>
      <c r="L1544" s="1"/>
      <c r="M1544" s="1"/>
      <c r="N1544" s="1"/>
      <c r="O1544" s="1"/>
      <c r="P1544" s="1"/>
      <c r="Q1544" s="1"/>
      <c r="R1544" s="1"/>
      <c r="S1544" s="1"/>
      <c r="T1544" s="1"/>
      <c r="U1544" s="1"/>
      <c r="V1544" s="1"/>
      <c r="W1544" s="1"/>
      <c r="X1544" s="1"/>
      <c r="Y1544" s="1"/>
      <c r="Z1544" s="1"/>
      <c r="AA1544" s="1"/>
      <c r="AB1544" s="1"/>
    </row>
    <row r="1545" ht="50.25" customHeight="1">
      <c r="A1545" s="12">
        <v>1541.0</v>
      </c>
      <c r="B1545" s="13" t="s">
        <v>1446</v>
      </c>
      <c r="C1545" s="14" t="s">
        <v>1553</v>
      </c>
      <c r="D1545" s="1"/>
      <c r="E1545" s="15"/>
      <c r="F1545" s="1" t="str">
        <f>IFERROR(__xludf.DUMMYFUNCTION("GOOGLETRANSLATE(B1545, ""en"", ""fa"")
"),"مشاوره در رابطه و مهارت های ارتباطی")</f>
        <v>مشاوره در رابطه و مهارت های ارتباطی</v>
      </c>
      <c r="G1545" s="1" t="str">
        <f>IFERROR(__xludf.DUMMYFUNCTION("GOOGLETRANSLATE(C1545, ""en"", ""fa"")
"),"مفهوم ارتباط موثر در رسیدگی و درمان آسیب های روابط گذشته را بررسی کنید.")</f>
        <v>مفهوم ارتباط موثر در رسیدگی و درمان آسیب های روابط گذشته را بررسی کنید.</v>
      </c>
      <c r="H1545" s="1"/>
      <c r="I1545" s="1"/>
      <c r="J1545" s="1"/>
      <c r="K1545" s="1"/>
      <c r="L1545" s="1"/>
      <c r="M1545" s="1"/>
      <c r="N1545" s="1"/>
      <c r="O1545" s="1"/>
      <c r="P1545" s="1"/>
      <c r="Q1545" s="1"/>
      <c r="R1545" s="1"/>
      <c r="S1545" s="1"/>
      <c r="T1545" s="1"/>
      <c r="U1545" s="1"/>
      <c r="V1545" s="1"/>
      <c r="W1545" s="1"/>
      <c r="X1545" s="1"/>
      <c r="Y1545" s="1"/>
      <c r="Z1545" s="1"/>
      <c r="AA1545" s="1"/>
      <c r="AB1545" s="1"/>
    </row>
    <row r="1546" ht="50.25" customHeight="1">
      <c r="A1546" s="12">
        <v>1542.0</v>
      </c>
      <c r="B1546" s="13" t="s">
        <v>1446</v>
      </c>
      <c r="C1546" s="14" t="s">
        <v>1554</v>
      </c>
      <c r="D1546" s="1"/>
      <c r="E1546" s="15"/>
      <c r="F1546" s="1" t="str">
        <f>IFERROR(__xludf.DUMMYFUNCTION("GOOGLETRANSLATE(B1546, ""en"", ""fa"")
"),"مشاوره در رابطه و مهارت های ارتباطی")</f>
        <v>مشاوره در رابطه و مهارت های ارتباطی</v>
      </c>
      <c r="G1546" s="1" t="str">
        <f>IFERROR(__xludf.DUMMYFUNCTION("GOOGLETRANSLATE(C1546, ""en"", ""fa"")
"),"در مورد تأثیر تمرین قدردانی و قدردانی از کمک ها و ویژگی های شریک زندگی خود بحث کنید.")</f>
        <v>در مورد تأثیر تمرین قدردانی و قدردانی از کمک ها و ویژگی های شریک زندگی خود بحث کنید.</v>
      </c>
      <c r="H1546" s="1"/>
      <c r="I1546" s="1"/>
      <c r="J1546" s="1"/>
      <c r="K1546" s="1"/>
      <c r="L1546" s="1"/>
      <c r="M1546" s="1"/>
      <c r="N1546" s="1"/>
      <c r="O1546" s="1"/>
      <c r="P1546" s="1"/>
      <c r="Q1546" s="1"/>
      <c r="R1546" s="1"/>
      <c r="S1546" s="1"/>
      <c r="T1546" s="1"/>
      <c r="U1546" s="1"/>
      <c r="V1546" s="1"/>
      <c r="W1546" s="1"/>
      <c r="X1546" s="1"/>
      <c r="Y1546" s="1"/>
      <c r="Z1546" s="1"/>
      <c r="AA1546" s="1"/>
      <c r="AB1546" s="1"/>
    </row>
    <row r="1547" ht="50.25" customHeight="1">
      <c r="A1547" s="12">
        <v>1543.0</v>
      </c>
      <c r="B1547" s="13" t="s">
        <v>1446</v>
      </c>
      <c r="C1547" s="14" t="s">
        <v>1555</v>
      </c>
      <c r="D1547" s="1"/>
      <c r="E1547" s="15"/>
      <c r="F1547" s="1" t="str">
        <f>IFERROR(__xludf.DUMMYFUNCTION("GOOGLETRANSLATE(B1547, ""en"", ""fa"")
"),"مشاوره در رابطه و مهارت های ارتباطی")</f>
        <v>مشاوره در رابطه و مهارت های ارتباطی</v>
      </c>
      <c r="G1547" s="1" t="str">
        <f>IFERROR(__xludf.DUMMYFUNCTION("GOOGLETRANSLATE(C1547, ""en"", ""fa"")
"),"استراتژی هایی را برای مدیریت و ایجاد تعادل بین نیازها و اولویت های فردی در یک رابطه متعهد به اشتراک بگذارید.")</f>
        <v>استراتژی هایی را برای مدیریت و ایجاد تعادل بین نیازها و اولویت های فردی در یک رابطه متعهد به اشتراک بگذارید.</v>
      </c>
      <c r="H1547" s="1"/>
      <c r="I1547" s="1"/>
      <c r="J1547" s="1"/>
      <c r="K1547" s="1"/>
      <c r="L1547" s="1"/>
      <c r="M1547" s="1"/>
      <c r="N1547" s="1"/>
      <c r="O1547" s="1"/>
      <c r="P1547" s="1"/>
      <c r="Q1547" s="1"/>
      <c r="R1547" s="1"/>
      <c r="S1547" s="1"/>
      <c r="T1547" s="1"/>
      <c r="U1547" s="1"/>
      <c r="V1547" s="1"/>
      <c r="W1547" s="1"/>
      <c r="X1547" s="1"/>
      <c r="Y1547" s="1"/>
      <c r="Z1547" s="1"/>
      <c r="AA1547" s="1"/>
      <c r="AB1547" s="1"/>
    </row>
    <row r="1548" ht="50.25" customHeight="1">
      <c r="A1548" s="12">
        <v>1544.0</v>
      </c>
      <c r="B1548" s="13" t="s">
        <v>1446</v>
      </c>
      <c r="C1548" s="14" t="s">
        <v>1556</v>
      </c>
      <c r="D1548" s="1"/>
      <c r="E1548" s="15"/>
      <c r="F1548" s="1" t="str">
        <f>IFERROR(__xludf.DUMMYFUNCTION("GOOGLETRANSLATE(B1548, ""en"", ""fa"")
"),"مشاوره در رابطه و مهارت های ارتباطی")</f>
        <v>مشاوره در رابطه و مهارت های ارتباطی</v>
      </c>
      <c r="G1548" s="1" t="str">
        <f>IFERROR(__xludf.DUMMYFUNCTION("GOOGLETRANSLATE(C1548, ""en"", ""fa"")
"),"مزایای تمرین ارتباط موثر در ایجاد دوستی های قوی در روابط را بررسی کنید.")</f>
        <v>مزایای تمرین ارتباط موثر در ایجاد دوستی های قوی در روابط را بررسی کنید.</v>
      </c>
      <c r="H1548" s="1"/>
      <c r="I1548" s="1"/>
      <c r="J1548" s="1"/>
      <c r="K1548" s="1"/>
      <c r="L1548" s="1"/>
      <c r="M1548" s="1"/>
      <c r="N1548" s="1"/>
      <c r="O1548" s="1"/>
      <c r="P1548" s="1"/>
      <c r="Q1548" s="1"/>
      <c r="R1548" s="1"/>
      <c r="S1548" s="1"/>
      <c r="T1548" s="1"/>
      <c r="U1548" s="1"/>
      <c r="V1548" s="1"/>
      <c r="W1548" s="1"/>
      <c r="X1548" s="1"/>
      <c r="Y1548" s="1"/>
      <c r="Z1548" s="1"/>
      <c r="AA1548" s="1"/>
      <c r="AB1548" s="1"/>
    </row>
    <row r="1549" ht="50.25" customHeight="1">
      <c r="A1549" s="12">
        <v>1545.0</v>
      </c>
      <c r="B1549" s="13" t="s">
        <v>1446</v>
      </c>
      <c r="C1549" s="14" t="s">
        <v>1557</v>
      </c>
      <c r="D1549" s="1"/>
      <c r="E1549" s="15"/>
      <c r="F1549" s="1" t="str">
        <f>IFERROR(__xludf.DUMMYFUNCTION("GOOGLETRANSLATE(B1549, ""en"", ""fa"")
"),"مشاوره در رابطه و مهارت های ارتباطی")</f>
        <v>مشاوره در رابطه و مهارت های ارتباطی</v>
      </c>
      <c r="G1549" s="1" t="str">
        <f>IFERROR(__xludf.DUMMYFUNCTION("GOOGLETRANSLATE(C1549, ""en"", ""fa"")
"),"در مورد نقش خودآگاهی و خود بازتابی در ارتقای پویایی روابط سالم بحث کنید.")</f>
        <v>در مورد نقش خودآگاهی و خود بازتابی در ارتقای پویایی روابط سالم بحث کنید.</v>
      </c>
      <c r="H1549" s="1"/>
      <c r="I1549" s="1"/>
      <c r="J1549" s="1"/>
      <c r="K1549" s="1"/>
      <c r="L1549" s="1"/>
      <c r="M1549" s="1"/>
      <c r="N1549" s="1"/>
      <c r="O1549" s="1"/>
      <c r="P1549" s="1"/>
      <c r="Q1549" s="1"/>
      <c r="R1549" s="1"/>
      <c r="S1549" s="1"/>
      <c r="T1549" s="1"/>
      <c r="U1549" s="1"/>
      <c r="V1549" s="1"/>
      <c r="W1549" s="1"/>
      <c r="X1549" s="1"/>
      <c r="Y1549" s="1"/>
      <c r="Z1549" s="1"/>
      <c r="AA1549" s="1"/>
      <c r="AB1549" s="1"/>
    </row>
    <row r="1550" ht="50.25" customHeight="1">
      <c r="A1550" s="12">
        <v>1546.0</v>
      </c>
      <c r="B1550" s="13" t="s">
        <v>1446</v>
      </c>
      <c r="C1550" s="14" t="s">
        <v>1558</v>
      </c>
      <c r="D1550" s="1"/>
      <c r="E1550" s="15"/>
      <c r="F1550" s="1" t="str">
        <f>IFERROR(__xludf.DUMMYFUNCTION("GOOGLETRANSLATE(B1550, ""en"", ""fa"")
"),"مشاوره در رابطه و مهارت های ارتباطی")</f>
        <v>مشاوره در رابطه و مهارت های ارتباطی</v>
      </c>
      <c r="G1550" s="1" t="str">
        <f>IFERROR(__xludf.DUMMYFUNCTION("GOOGLETRANSLATE(C1550, ""en"", ""fa"")
"),"نکاتی را برای پیمایش موضوعات و بحث های حساس با شفقت و احترام به اشتراک بگذارید.")</f>
        <v>نکاتی را برای پیمایش موضوعات و بحث های حساس با شفقت و احترام به اشتراک بگذارید.</v>
      </c>
      <c r="H1550" s="1"/>
      <c r="I1550" s="1"/>
      <c r="J1550" s="1"/>
      <c r="K1550" s="1"/>
      <c r="L1550" s="1"/>
      <c r="M1550" s="1"/>
      <c r="N1550" s="1"/>
      <c r="O1550" s="1"/>
      <c r="P1550" s="1"/>
      <c r="Q1550" s="1"/>
      <c r="R1550" s="1"/>
      <c r="S1550" s="1"/>
      <c r="T1550" s="1"/>
      <c r="U1550" s="1"/>
      <c r="V1550" s="1"/>
      <c r="W1550" s="1"/>
      <c r="X1550" s="1"/>
      <c r="Y1550" s="1"/>
      <c r="Z1550" s="1"/>
      <c r="AA1550" s="1"/>
      <c r="AB1550" s="1"/>
    </row>
    <row r="1551" ht="50.25" customHeight="1">
      <c r="A1551" s="12">
        <v>1547.0</v>
      </c>
      <c r="B1551" s="13" t="s">
        <v>1446</v>
      </c>
      <c r="C1551" s="14" t="s">
        <v>1559</v>
      </c>
      <c r="D1551" s="1"/>
      <c r="E1551" s="15"/>
      <c r="F1551" s="1" t="str">
        <f>IFERROR(__xludf.DUMMYFUNCTION("GOOGLETRANSLATE(B1551, ""en"", ""fa"")
"),"مشاوره در رابطه و مهارت های ارتباطی")</f>
        <v>مشاوره در رابطه و مهارت های ارتباطی</v>
      </c>
      <c r="G1551" s="1" t="str">
        <f>IFERROR(__xludf.DUMMYFUNCTION("GOOGLETRANSLATE(C1551, ""en"", ""fa"")
"),"مفهوم اعتبار سنجی فعال و ارتباط حمایتی در زمان استرس یا غم و اندوه را بررسی کنید.")</f>
        <v>مفهوم اعتبار سنجی فعال و ارتباط حمایتی در زمان استرس یا غم و اندوه را بررسی کنید.</v>
      </c>
      <c r="H1551" s="1"/>
      <c r="I1551" s="1"/>
      <c r="J1551" s="1"/>
      <c r="K1551" s="1"/>
      <c r="L1551" s="1"/>
      <c r="M1551" s="1"/>
      <c r="N1551" s="1"/>
      <c r="O1551" s="1"/>
      <c r="P1551" s="1"/>
      <c r="Q1551" s="1"/>
      <c r="R1551" s="1"/>
      <c r="S1551" s="1"/>
      <c r="T1551" s="1"/>
      <c r="U1551" s="1"/>
      <c r="V1551" s="1"/>
      <c r="W1551" s="1"/>
      <c r="X1551" s="1"/>
      <c r="Y1551" s="1"/>
      <c r="Z1551" s="1"/>
      <c r="AA1551" s="1"/>
      <c r="AB1551" s="1"/>
    </row>
    <row r="1552" ht="50.25" customHeight="1">
      <c r="A1552" s="12">
        <v>1548.0</v>
      </c>
      <c r="B1552" s="13" t="s">
        <v>1446</v>
      </c>
      <c r="C1552" s="14" t="s">
        <v>1560</v>
      </c>
      <c r="D1552" s="1"/>
      <c r="E1552" s="15"/>
      <c r="F1552" s="1" t="str">
        <f>IFERROR(__xludf.DUMMYFUNCTION("GOOGLETRANSLATE(B1552, ""en"", ""fa"")
"),"مشاوره در رابطه و مهارت های ارتباطی")</f>
        <v>مشاوره در رابطه و مهارت های ارتباطی</v>
      </c>
      <c r="G1552" s="1" t="str">
        <f>IFERROR(__xludf.DUMMYFUNCTION("GOOGLETRANSLATE(C1552, ""en"", ""fa"")
"),"در مورد تأثیر ارتباط مؤثر در حفظ ارتباط جنسی سالم و صمیمیت بحث کنید.")</f>
        <v>در مورد تأثیر ارتباط مؤثر در حفظ ارتباط جنسی سالم و صمیمیت بحث کنید.</v>
      </c>
      <c r="H1552" s="1"/>
      <c r="I1552" s="1"/>
      <c r="J1552" s="1"/>
      <c r="K1552" s="1"/>
      <c r="L1552" s="1"/>
      <c r="M1552" s="1"/>
      <c r="N1552" s="1"/>
      <c r="O1552" s="1"/>
      <c r="P1552" s="1"/>
      <c r="Q1552" s="1"/>
      <c r="R1552" s="1"/>
      <c r="S1552" s="1"/>
      <c r="T1552" s="1"/>
      <c r="U1552" s="1"/>
      <c r="V1552" s="1"/>
      <c r="W1552" s="1"/>
      <c r="X1552" s="1"/>
      <c r="Y1552" s="1"/>
      <c r="Z1552" s="1"/>
      <c r="AA1552" s="1"/>
      <c r="AB1552" s="1"/>
    </row>
    <row r="1553" ht="50.25" customHeight="1">
      <c r="A1553" s="12">
        <v>1549.0</v>
      </c>
      <c r="B1553" s="13" t="s">
        <v>1446</v>
      </c>
      <c r="C1553" s="14" t="s">
        <v>1561</v>
      </c>
      <c r="D1553" s="1"/>
      <c r="E1553" s="15"/>
      <c r="F1553" s="1" t="str">
        <f>IFERROR(__xludf.DUMMYFUNCTION("GOOGLETRANSLATE(B1553, ""en"", ""fa"")
"),"مشاوره در رابطه و مهارت های ارتباطی")</f>
        <v>مشاوره در رابطه و مهارت های ارتباطی</v>
      </c>
      <c r="G1553" s="1" t="str">
        <f>IFERROR(__xludf.DUMMYFUNCTION("GOOGLETRANSLATE(C1553, ""en"", ""fa"")
"),"استراتژی هایی را برای تقویت اعتماد و ارتباطات باز در روابط بلندمدت به اشتراک بگذارید.")</f>
        <v>استراتژی هایی را برای تقویت اعتماد و ارتباطات باز در روابط بلندمدت به اشتراک بگذارید.</v>
      </c>
      <c r="H1553" s="1"/>
      <c r="I1553" s="1"/>
      <c r="J1553" s="1"/>
      <c r="K1553" s="1"/>
      <c r="L1553" s="1"/>
      <c r="M1553" s="1"/>
      <c r="N1553" s="1"/>
      <c r="O1553" s="1"/>
      <c r="P1553" s="1"/>
      <c r="Q1553" s="1"/>
      <c r="R1553" s="1"/>
      <c r="S1553" s="1"/>
      <c r="T1553" s="1"/>
      <c r="U1553" s="1"/>
      <c r="V1553" s="1"/>
      <c r="W1553" s="1"/>
      <c r="X1553" s="1"/>
      <c r="Y1553" s="1"/>
      <c r="Z1553" s="1"/>
      <c r="AA1553" s="1"/>
      <c r="AB1553" s="1"/>
    </row>
    <row r="1554" ht="50.25" customHeight="1">
      <c r="A1554" s="12">
        <v>1550.0</v>
      </c>
      <c r="B1554" s="13" t="s">
        <v>1446</v>
      </c>
      <c r="C1554" s="14" t="s">
        <v>1562</v>
      </c>
      <c r="D1554" s="1"/>
      <c r="E1554" s="15"/>
      <c r="F1554" s="1" t="str">
        <f>IFERROR(__xludf.DUMMYFUNCTION("GOOGLETRANSLATE(B1554, ""en"", ""fa"")
"),"مشاوره در رابطه و مهارت های ارتباطی")</f>
        <v>مشاوره در رابطه و مهارت های ارتباطی</v>
      </c>
      <c r="G1554" s="1" t="str">
        <f>IFERROR(__xludf.DUMMYFUNCTION("GOOGLETRANSLATE(C1554, ""en"", ""fa"")
"),"مزایای تمرین گوش دادن فعال و همدلی در روابط والدین و فرزند را بررسی کنید.")</f>
        <v>مزایای تمرین گوش دادن فعال و همدلی در روابط والدین و فرزند را بررسی کنید.</v>
      </c>
      <c r="H1554" s="1"/>
      <c r="I1554" s="1"/>
      <c r="J1554" s="1"/>
      <c r="K1554" s="1"/>
      <c r="L1554" s="1"/>
      <c r="M1554" s="1"/>
      <c r="N1554" s="1"/>
      <c r="O1554" s="1"/>
      <c r="P1554" s="1"/>
      <c r="Q1554" s="1"/>
      <c r="R1554" s="1"/>
      <c r="S1554" s="1"/>
      <c r="T1554" s="1"/>
      <c r="U1554" s="1"/>
      <c r="V1554" s="1"/>
      <c r="W1554" s="1"/>
      <c r="X1554" s="1"/>
      <c r="Y1554" s="1"/>
      <c r="Z1554" s="1"/>
      <c r="AA1554" s="1"/>
      <c r="AB1554" s="1"/>
    </row>
    <row r="1555" ht="50.25" customHeight="1">
      <c r="A1555" s="12">
        <v>1551.0</v>
      </c>
      <c r="B1555" s="13" t="s">
        <v>1446</v>
      </c>
      <c r="C1555" s="14" t="s">
        <v>1563</v>
      </c>
      <c r="D1555" s="1"/>
      <c r="E1555" s="15"/>
      <c r="F1555" s="1" t="str">
        <f>IFERROR(__xludf.DUMMYFUNCTION("GOOGLETRANSLATE(B1555, ""en"", ""fa"")
"),"مشاوره در رابطه و مهارت های ارتباطی")</f>
        <v>مشاوره در رابطه و مهارت های ارتباطی</v>
      </c>
      <c r="G1555" s="1" t="str">
        <f>IFERROR(__xludf.DUMMYFUNCTION("GOOGLETRANSLATE(C1555, ""en"", ""fa"")
"),"در مورد نقش ارتباط موثر در رسیدگی و حل و فصل عدم تعادل قدرت در روابط بحث کنید.")</f>
        <v>در مورد نقش ارتباط موثر در رسیدگی و حل و فصل عدم تعادل قدرت در روابط بحث کنید.</v>
      </c>
      <c r="H1555" s="1"/>
      <c r="I1555" s="1"/>
      <c r="J1555" s="1"/>
      <c r="K1555" s="1"/>
      <c r="L1555" s="1"/>
      <c r="M1555" s="1"/>
      <c r="N1555" s="1"/>
      <c r="O1555" s="1"/>
      <c r="P1555" s="1"/>
      <c r="Q1555" s="1"/>
      <c r="R1555" s="1"/>
      <c r="S1555" s="1"/>
      <c r="T1555" s="1"/>
      <c r="U1555" s="1"/>
      <c r="V1555" s="1"/>
      <c r="W1555" s="1"/>
      <c r="X1555" s="1"/>
      <c r="Y1555" s="1"/>
      <c r="Z1555" s="1"/>
      <c r="AA1555" s="1"/>
      <c r="AB1555" s="1"/>
    </row>
    <row r="1556" ht="50.25" customHeight="1">
      <c r="A1556" s="12">
        <v>1552.0</v>
      </c>
      <c r="B1556" s="13" t="s">
        <v>1446</v>
      </c>
      <c r="C1556" s="14" t="s">
        <v>1564</v>
      </c>
      <c r="D1556" s="1"/>
      <c r="E1556" s="15"/>
      <c r="F1556" s="1" t="str">
        <f>IFERROR(__xludf.DUMMYFUNCTION("GOOGLETRANSLATE(B1556, ""en"", ""fa"")
"),"مشاوره در رابطه و مهارت های ارتباطی")</f>
        <v>مشاوره در رابطه و مهارت های ارتباطی</v>
      </c>
      <c r="G1556" s="1" t="str">
        <f>IFERROR(__xludf.DUMMYFUNCTION("GOOGLETRANSLATE(C1556, ""en"", ""fa"")
"),"نکاتی را برای مدیریت تضادهای مربوط به امور مالی و بودجه بندی در روابط به اشتراک بگذارید.")</f>
        <v>نکاتی را برای مدیریت تضادهای مربوط به امور مالی و بودجه بندی در روابط به اشتراک بگذارید.</v>
      </c>
      <c r="H1556" s="1"/>
      <c r="I1556" s="1"/>
      <c r="J1556" s="1"/>
      <c r="K1556" s="1"/>
      <c r="L1556" s="1"/>
      <c r="M1556" s="1"/>
      <c r="N1556" s="1"/>
      <c r="O1556" s="1"/>
      <c r="P1556" s="1"/>
      <c r="Q1556" s="1"/>
      <c r="R1556" s="1"/>
      <c r="S1556" s="1"/>
      <c r="T1556" s="1"/>
      <c r="U1556" s="1"/>
      <c r="V1556" s="1"/>
      <c r="W1556" s="1"/>
      <c r="X1556" s="1"/>
      <c r="Y1556" s="1"/>
      <c r="Z1556" s="1"/>
      <c r="AA1556" s="1"/>
      <c r="AB1556" s="1"/>
    </row>
    <row r="1557" ht="50.25" customHeight="1">
      <c r="A1557" s="12">
        <v>1553.0</v>
      </c>
      <c r="B1557" s="13" t="s">
        <v>1446</v>
      </c>
      <c r="C1557" s="14" t="s">
        <v>1565</v>
      </c>
      <c r="D1557" s="1"/>
      <c r="E1557" s="15"/>
      <c r="F1557" s="1" t="str">
        <f>IFERROR(__xludf.DUMMYFUNCTION("GOOGLETRANSLATE(B1557, ""en"", ""fa"")
"),"مشاوره در رابطه و مهارت های ارتباطی")</f>
        <v>مشاوره در رابطه و مهارت های ارتباطی</v>
      </c>
      <c r="G1557" s="1" t="str">
        <f>IFERROR(__xludf.DUMMYFUNCTION("GOOGLETRANSLATE(C1557, ""en"", ""fa"")
"),"مفهوم حفظ هویت و علایق فردی را در حین پرورش یک زندگی مشترک کاوش کنید.")</f>
        <v>مفهوم حفظ هویت و علایق فردی را در حین پرورش یک زندگی مشترک کاوش کنید.</v>
      </c>
      <c r="H1557" s="1"/>
      <c r="I1557" s="1"/>
      <c r="J1557" s="1"/>
      <c r="K1557" s="1"/>
      <c r="L1557" s="1"/>
      <c r="M1557" s="1"/>
      <c r="N1557" s="1"/>
      <c r="O1557" s="1"/>
      <c r="P1557" s="1"/>
      <c r="Q1557" s="1"/>
      <c r="R1557" s="1"/>
      <c r="S1557" s="1"/>
      <c r="T1557" s="1"/>
      <c r="U1557" s="1"/>
      <c r="V1557" s="1"/>
      <c r="W1557" s="1"/>
      <c r="X1557" s="1"/>
      <c r="Y1557" s="1"/>
      <c r="Z1557" s="1"/>
      <c r="AA1557" s="1"/>
      <c r="AB1557" s="1"/>
    </row>
    <row r="1558" ht="50.25" customHeight="1">
      <c r="A1558" s="12">
        <v>1554.0</v>
      </c>
      <c r="B1558" s="13" t="s">
        <v>1446</v>
      </c>
      <c r="C1558" s="14" t="s">
        <v>1566</v>
      </c>
      <c r="D1558" s="1"/>
      <c r="E1558" s="15"/>
      <c r="F1558" s="1" t="str">
        <f>IFERROR(__xludf.DUMMYFUNCTION("GOOGLETRANSLATE(B1558, ""en"", ""fa"")
"),"مشاوره در رابطه و مهارت های ارتباطی")</f>
        <v>مشاوره در رابطه و مهارت های ارتباطی</v>
      </c>
      <c r="G1558" s="1" t="str">
        <f>IFERROR(__xludf.DUMMYFUNCTION("GOOGLETRANSLATE(C1558, ""en"", ""fa"")
"),"در مورد تأثیر تمرین ارتباط مؤثر در مدیریت و حل تعارضات با همسران صحبت کنید.")</f>
        <v>در مورد تأثیر تمرین ارتباط مؤثر در مدیریت و حل تعارضات با همسران صحبت کنید.</v>
      </c>
      <c r="H1558" s="1"/>
      <c r="I1558" s="1"/>
      <c r="J1558" s="1"/>
      <c r="K1558" s="1"/>
      <c r="L1558" s="1"/>
      <c r="M1558" s="1"/>
      <c r="N1558" s="1"/>
      <c r="O1558" s="1"/>
      <c r="P1558" s="1"/>
      <c r="Q1558" s="1"/>
      <c r="R1558" s="1"/>
      <c r="S1558" s="1"/>
      <c r="T1558" s="1"/>
      <c r="U1558" s="1"/>
      <c r="V1558" s="1"/>
      <c r="W1558" s="1"/>
      <c r="X1558" s="1"/>
      <c r="Y1558" s="1"/>
      <c r="Z1558" s="1"/>
      <c r="AA1558" s="1"/>
      <c r="AB1558" s="1"/>
    </row>
    <row r="1559" ht="50.25" customHeight="1">
      <c r="A1559" s="12">
        <v>1555.0</v>
      </c>
      <c r="B1559" s="13" t="s">
        <v>1446</v>
      </c>
      <c r="C1559" s="14" t="s">
        <v>1567</v>
      </c>
      <c r="D1559" s="1"/>
      <c r="E1559" s="15"/>
      <c r="F1559" s="1" t="str">
        <f>IFERROR(__xludf.DUMMYFUNCTION("GOOGLETRANSLATE(B1559, ""en"", ""fa"")
"),"مشاوره در رابطه و مهارت های ارتباطی")</f>
        <v>مشاوره در رابطه و مهارت های ارتباطی</v>
      </c>
      <c r="G1559" s="1" t="str">
        <f>IFERROR(__xludf.DUMMYFUNCTION("GOOGLETRANSLATE(C1559, ""en"", ""fa"")
"),"استراتژی هایی برای تقویت صمیمیت عاطفی و آسیب پذیری در روابط به اشتراک بگذارید.")</f>
        <v>استراتژی هایی برای تقویت صمیمیت عاطفی و آسیب پذیری در روابط به اشتراک بگذارید.</v>
      </c>
      <c r="H1559" s="1"/>
      <c r="I1559" s="1"/>
      <c r="J1559" s="1"/>
      <c r="K1559" s="1"/>
      <c r="L1559" s="1"/>
      <c r="M1559" s="1"/>
      <c r="N1559" s="1"/>
      <c r="O1559" s="1"/>
      <c r="P1559" s="1"/>
      <c r="Q1559" s="1"/>
      <c r="R1559" s="1"/>
      <c r="S1559" s="1"/>
      <c r="T1559" s="1"/>
      <c r="U1559" s="1"/>
      <c r="V1559" s="1"/>
      <c r="W1559" s="1"/>
      <c r="X1559" s="1"/>
      <c r="Y1559" s="1"/>
      <c r="Z1559" s="1"/>
      <c r="AA1559" s="1"/>
      <c r="AB1559" s="1"/>
    </row>
    <row r="1560" ht="50.25" customHeight="1">
      <c r="A1560" s="12">
        <v>1556.0</v>
      </c>
      <c r="B1560" s="13" t="s">
        <v>1446</v>
      </c>
      <c r="C1560" s="14" t="s">
        <v>1568</v>
      </c>
      <c r="D1560" s="1"/>
      <c r="E1560" s="15"/>
      <c r="F1560" s="1" t="str">
        <f>IFERROR(__xludf.DUMMYFUNCTION("GOOGLETRANSLATE(B1560, ""en"", ""fa"")
"),"مشاوره در رابطه و مهارت های ارتباطی")</f>
        <v>مشاوره در رابطه و مهارت های ارتباطی</v>
      </c>
      <c r="G1560" s="1" t="str">
        <f>IFERROR(__xludf.DUMMYFUNCTION("GOOGLETRANSLATE(C1560, ""en"", ""fa"")
"),"مزایای تمرین بخشش و رها کردن آسیب های گذشته در روابط را بررسی کنید.")</f>
        <v>مزایای تمرین بخشش و رها کردن آسیب های گذشته در روابط را بررسی کنید.</v>
      </c>
      <c r="H1560" s="1"/>
      <c r="I1560" s="1"/>
      <c r="J1560" s="1"/>
      <c r="K1560" s="1"/>
      <c r="L1560" s="1"/>
      <c r="M1560" s="1"/>
      <c r="N1560" s="1"/>
      <c r="O1560" s="1"/>
      <c r="P1560" s="1"/>
      <c r="Q1560" s="1"/>
      <c r="R1560" s="1"/>
      <c r="S1560" s="1"/>
      <c r="T1560" s="1"/>
      <c r="U1560" s="1"/>
      <c r="V1560" s="1"/>
      <c r="W1560" s="1"/>
      <c r="X1560" s="1"/>
      <c r="Y1560" s="1"/>
      <c r="Z1560" s="1"/>
      <c r="AA1560" s="1"/>
      <c r="AB1560" s="1"/>
    </row>
    <row r="1561" ht="50.25" customHeight="1">
      <c r="A1561" s="12">
        <v>1557.0</v>
      </c>
      <c r="B1561" s="13" t="s">
        <v>1446</v>
      </c>
      <c r="C1561" s="14" t="s">
        <v>1569</v>
      </c>
      <c r="D1561" s="1"/>
      <c r="E1561" s="15"/>
      <c r="F1561" s="1" t="str">
        <f>IFERROR(__xludf.DUMMYFUNCTION("GOOGLETRANSLATE(B1561, ""en"", ""fa"")
"),"مشاوره در رابطه و مهارت های ارتباطی")</f>
        <v>مشاوره در رابطه و مهارت های ارتباطی</v>
      </c>
      <c r="G1561" s="1" t="str">
        <f>IFERROR(__xludf.DUMMYFUNCTION("GOOGLETRANSLATE(C1561, ""en"", ""fa"")
"),"در مورد نقش ارتباط مؤثر در پرداختن و حل مسائل مربوط به صمیمیت و تمایل بحث کنید.")</f>
        <v>در مورد نقش ارتباط مؤثر در پرداختن و حل مسائل مربوط به صمیمیت و تمایل بحث کنید.</v>
      </c>
      <c r="H1561" s="1"/>
      <c r="I1561" s="1"/>
      <c r="J1561" s="1"/>
      <c r="K1561" s="1"/>
      <c r="L1561" s="1"/>
      <c r="M1561" s="1"/>
      <c r="N1561" s="1"/>
      <c r="O1561" s="1"/>
      <c r="P1561" s="1"/>
      <c r="Q1561" s="1"/>
      <c r="R1561" s="1"/>
      <c r="S1561" s="1"/>
      <c r="T1561" s="1"/>
      <c r="U1561" s="1"/>
      <c r="V1561" s="1"/>
      <c r="W1561" s="1"/>
      <c r="X1561" s="1"/>
      <c r="Y1561" s="1"/>
      <c r="Z1561" s="1"/>
      <c r="AA1561" s="1"/>
      <c r="AB1561" s="1"/>
    </row>
    <row r="1562" ht="50.25" customHeight="1">
      <c r="A1562" s="12">
        <v>1558.0</v>
      </c>
      <c r="B1562" s="13" t="s">
        <v>1446</v>
      </c>
      <c r="C1562" s="14" t="s">
        <v>1570</v>
      </c>
      <c r="D1562" s="1"/>
      <c r="E1562" s="15"/>
      <c r="F1562" s="1" t="str">
        <f>IFERROR(__xludf.DUMMYFUNCTION("GOOGLETRANSLATE(B1562, ""en"", ""fa"")
"),"مشاوره در رابطه و مهارت های ارتباطی")</f>
        <v>مشاوره در رابطه و مهارت های ارتباطی</v>
      </c>
      <c r="G1562" s="1" t="str">
        <f>IFERROR(__xludf.DUMMYFUNCTION("GOOGLETRANSLATE(C1562, ""en"", ""fa"")
"),"نکاتی را برای تعیین و دستیابی به اهداف رابطه با هم به عنوان یک زوج به اشتراک بگذارید.")</f>
        <v>نکاتی را برای تعیین و دستیابی به اهداف رابطه با هم به عنوان یک زوج به اشتراک بگذارید.</v>
      </c>
      <c r="H1562" s="1"/>
      <c r="I1562" s="1"/>
      <c r="J1562" s="1"/>
      <c r="K1562" s="1"/>
      <c r="L1562" s="1"/>
      <c r="M1562" s="1"/>
      <c r="N1562" s="1"/>
      <c r="O1562" s="1"/>
      <c r="P1562" s="1"/>
      <c r="Q1562" s="1"/>
      <c r="R1562" s="1"/>
      <c r="S1562" s="1"/>
      <c r="T1562" s="1"/>
      <c r="U1562" s="1"/>
      <c r="V1562" s="1"/>
      <c r="W1562" s="1"/>
      <c r="X1562" s="1"/>
      <c r="Y1562" s="1"/>
      <c r="Z1562" s="1"/>
      <c r="AA1562" s="1"/>
      <c r="AB1562" s="1"/>
    </row>
    <row r="1563" ht="50.25" customHeight="1">
      <c r="A1563" s="12">
        <v>1559.0</v>
      </c>
      <c r="B1563" s="13" t="s">
        <v>1446</v>
      </c>
      <c r="C1563" s="14" t="s">
        <v>1571</v>
      </c>
      <c r="D1563" s="1"/>
      <c r="E1563" s="15"/>
      <c r="F1563" s="1" t="str">
        <f>IFERROR(__xludf.DUMMYFUNCTION("GOOGLETRANSLATE(B1563, ""en"", ""fa"")
"),"مشاوره در رابطه و مهارت های ارتباطی")</f>
        <v>مشاوره در رابطه و مهارت های ارتباطی</v>
      </c>
      <c r="G1563" s="1" t="str">
        <f>IFERROR(__xludf.DUMMYFUNCTION("GOOGLETRANSLATE(C1563, ""en"", ""fa"")
"),"مفهوم حل مسئله فعال در حفظ تعادل کار و زندگی سالم در روابط را بررسی کنید.")</f>
        <v>مفهوم حل مسئله فعال در حفظ تعادل کار و زندگی سالم در روابط را بررسی کنید.</v>
      </c>
      <c r="H1563" s="1"/>
      <c r="I1563" s="1"/>
      <c r="J1563" s="1"/>
      <c r="K1563" s="1"/>
      <c r="L1563" s="1"/>
      <c r="M1563" s="1"/>
      <c r="N1563" s="1"/>
      <c r="O1563" s="1"/>
      <c r="P1563" s="1"/>
      <c r="Q1563" s="1"/>
      <c r="R1563" s="1"/>
      <c r="S1563" s="1"/>
      <c r="T1563" s="1"/>
      <c r="U1563" s="1"/>
      <c r="V1563" s="1"/>
      <c r="W1563" s="1"/>
      <c r="X1563" s="1"/>
      <c r="Y1563" s="1"/>
      <c r="Z1563" s="1"/>
      <c r="AA1563" s="1"/>
      <c r="AB1563" s="1"/>
    </row>
    <row r="1564" ht="50.25" customHeight="1">
      <c r="A1564" s="12">
        <v>1560.0</v>
      </c>
      <c r="B1564" s="13" t="s">
        <v>1446</v>
      </c>
      <c r="C1564" s="14" t="s">
        <v>1572</v>
      </c>
      <c r="D1564" s="1"/>
      <c r="E1564" s="15"/>
      <c r="F1564" s="1" t="str">
        <f>IFERROR(__xludf.DUMMYFUNCTION("GOOGLETRANSLATE(B1564, ""en"", ""fa"")
"),"مشاوره در رابطه و مهارت های ارتباطی")</f>
        <v>مشاوره در رابطه و مهارت های ارتباطی</v>
      </c>
      <c r="G1564" s="1" t="str">
        <f>IFERROR(__xludf.DUMMYFUNCTION("GOOGLETRANSLATE(C1564, ""en"", ""fa"")
"),"در مورد تأثیر تمرین ارتباط قاطعانه در بیان نیازها و خواسته ها در روابط بحث کنید.")</f>
        <v>در مورد تأثیر تمرین ارتباط قاطعانه در بیان نیازها و خواسته ها در روابط بحث کنید.</v>
      </c>
      <c r="H1564" s="1"/>
      <c r="I1564" s="1"/>
      <c r="J1564" s="1"/>
      <c r="K1564" s="1"/>
      <c r="L1564" s="1"/>
      <c r="M1564" s="1"/>
      <c r="N1564" s="1"/>
      <c r="O1564" s="1"/>
      <c r="P1564" s="1"/>
      <c r="Q1564" s="1"/>
      <c r="R1564" s="1"/>
      <c r="S1564" s="1"/>
      <c r="T1564" s="1"/>
      <c r="U1564" s="1"/>
      <c r="V1564" s="1"/>
      <c r="W1564" s="1"/>
      <c r="X1564" s="1"/>
      <c r="Y1564" s="1"/>
      <c r="Z1564" s="1"/>
      <c r="AA1564" s="1"/>
      <c r="AB1564" s="1"/>
    </row>
    <row r="1565" ht="50.25" customHeight="1">
      <c r="A1565" s="12">
        <v>1561.0</v>
      </c>
      <c r="B1565" s="13" t="s">
        <v>1446</v>
      </c>
      <c r="C1565" s="14" t="s">
        <v>1573</v>
      </c>
      <c r="D1565" s="1"/>
      <c r="E1565" s="15"/>
      <c r="F1565" s="1" t="str">
        <f>IFERROR(__xludf.DUMMYFUNCTION("GOOGLETRANSLATE(B1565, ""en"", ""fa"")
"),"مشاوره در رابطه و مهارت های ارتباطی")</f>
        <v>مشاوره در رابطه و مهارت های ارتباطی</v>
      </c>
      <c r="G1565" s="1" t="str">
        <f>IFERROR(__xludf.DUMMYFUNCTION("GOOGLETRANSLATE(C1565, ""en"", ""fa"")
"),"استراتژی‌هایی را برای پیمایش چالش‌های ارتباطی با والدین سالخورده و مسئولیت‌های مراقبت از سالمند به اشتراک بگذارید.")</f>
        <v>استراتژی‌هایی را برای پیمایش چالش‌های ارتباطی با والدین سالخورده و مسئولیت‌های مراقبت از سالمند به اشتراک بگذارید.</v>
      </c>
      <c r="H1565" s="1"/>
      <c r="I1565" s="1"/>
      <c r="J1565" s="1"/>
      <c r="K1565" s="1"/>
      <c r="L1565" s="1"/>
      <c r="M1565" s="1"/>
      <c r="N1565" s="1"/>
      <c r="O1565" s="1"/>
      <c r="P1565" s="1"/>
      <c r="Q1565" s="1"/>
      <c r="R1565" s="1"/>
      <c r="S1565" s="1"/>
      <c r="T1565" s="1"/>
      <c r="U1565" s="1"/>
      <c r="V1565" s="1"/>
      <c r="W1565" s="1"/>
      <c r="X1565" s="1"/>
      <c r="Y1565" s="1"/>
      <c r="Z1565" s="1"/>
      <c r="AA1565" s="1"/>
      <c r="AB1565" s="1"/>
    </row>
    <row r="1566" ht="50.25" customHeight="1">
      <c r="A1566" s="12">
        <v>1562.0</v>
      </c>
      <c r="B1566" s="13" t="s">
        <v>1446</v>
      </c>
      <c r="C1566" s="14" t="s">
        <v>1574</v>
      </c>
      <c r="D1566" s="1"/>
      <c r="E1566" s="15"/>
      <c r="F1566" s="1" t="str">
        <f>IFERROR(__xludf.DUMMYFUNCTION("GOOGLETRANSLATE(B1566, ""en"", ""fa"")
"),"مشاوره در رابطه و مهارت های ارتباطی")</f>
        <v>مشاوره در رابطه و مهارت های ارتباطی</v>
      </c>
      <c r="G1566" s="1" t="str">
        <f>IFERROR(__xludf.DUMMYFUNCTION("GOOGLETRANSLATE(C1566, ""en"", ""fa"")
"),"مزایای تمرین قدردانی فعال و ابراز قدردانی از تلاش های شریک زندگی خود را بررسی کنید.")</f>
        <v>مزایای تمرین قدردانی فعال و ابراز قدردانی از تلاش های شریک زندگی خود را بررسی کنید.</v>
      </c>
      <c r="H1566" s="1"/>
      <c r="I1566" s="1"/>
      <c r="J1566" s="1"/>
      <c r="K1566" s="1"/>
      <c r="L1566" s="1"/>
      <c r="M1566" s="1"/>
      <c r="N1566" s="1"/>
      <c r="O1566" s="1"/>
      <c r="P1566" s="1"/>
      <c r="Q1566" s="1"/>
      <c r="R1566" s="1"/>
      <c r="S1566" s="1"/>
      <c r="T1566" s="1"/>
      <c r="U1566" s="1"/>
      <c r="V1566" s="1"/>
      <c r="W1566" s="1"/>
      <c r="X1566" s="1"/>
      <c r="Y1566" s="1"/>
      <c r="Z1566" s="1"/>
      <c r="AA1566" s="1"/>
      <c r="AB1566" s="1"/>
    </row>
    <row r="1567" ht="50.25" customHeight="1">
      <c r="A1567" s="12">
        <v>1563.0</v>
      </c>
      <c r="B1567" s="13" t="s">
        <v>1446</v>
      </c>
      <c r="C1567" s="14" t="s">
        <v>1575</v>
      </c>
      <c r="D1567" s="1"/>
      <c r="E1567" s="15"/>
      <c r="F1567" s="1" t="str">
        <f>IFERROR(__xludf.DUMMYFUNCTION("GOOGLETRANSLATE(B1567, ""en"", ""fa"")
"),"مشاوره در رابطه و مهارت های ارتباطی")</f>
        <v>مشاوره در رابطه و مهارت های ارتباطی</v>
      </c>
      <c r="G1567" s="1" t="str">
        <f>IFERROR(__xludf.DUMMYFUNCTION("GOOGLETRANSLATE(C1567, ""en"", ""fa"")
"),"در مورد نقش ارتباط موثر در پرورش اعتماد و ارتباط در روابط آنلاین بحث کنید.")</f>
        <v>در مورد نقش ارتباط موثر در پرورش اعتماد و ارتباط در روابط آنلاین بحث کنید.</v>
      </c>
      <c r="H1567" s="1"/>
      <c r="I1567" s="1"/>
      <c r="J1567" s="1"/>
      <c r="K1567" s="1"/>
      <c r="L1567" s="1"/>
      <c r="M1567" s="1"/>
      <c r="N1567" s="1"/>
      <c r="O1567" s="1"/>
      <c r="P1567" s="1"/>
      <c r="Q1567" s="1"/>
      <c r="R1567" s="1"/>
      <c r="S1567" s="1"/>
      <c r="T1567" s="1"/>
      <c r="U1567" s="1"/>
      <c r="V1567" s="1"/>
      <c r="W1567" s="1"/>
      <c r="X1567" s="1"/>
      <c r="Y1567" s="1"/>
      <c r="Z1567" s="1"/>
      <c r="AA1567" s="1"/>
      <c r="AB1567" s="1"/>
    </row>
    <row r="1568" ht="50.25" customHeight="1">
      <c r="A1568" s="12">
        <v>1564.0</v>
      </c>
      <c r="B1568" s="13" t="s">
        <v>1446</v>
      </c>
      <c r="C1568" s="14" t="s">
        <v>1576</v>
      </c>
      <c r="D1568" s="1"/>
      <c r="E1568" s="15"/>
      <c r="F1568" s="1" t="str">
        <f>IFERROR(__xludf.DUMMYFUNCTION("GOOGLETRANSLATE(B1568, ""en"", ""fa"")
"),"مشاوره در رابطه و مهارت های ارتباطی")</f>
        <v>مشاوره در رابطه و مهارت های ارتباطی</v>
      </c>
      <c r="G1568" s="1" t="str">
        <f>IFERROR(__xludf.DUMMYFUNCTION("GOOGLETRANSLATE(C1568, ""en"", ""fa"")
"),"نکاتی را برای حفظ مرزهای سالم و تقویت اعتماد در روابط از راه دور به اشتراک بگذارید.")</f>
        <v>نکاتی را برای حفظ مرزهای سالم و تقویت اعتماد در روابط از راه دور به اشتراک بگذارید.</v>
      </c>
      <c r="H1568" s="1"/>
      <c r="I1568" s="1"/>
      <c r="J1568" s="1"/>
      <c r="K1568" s="1"/>
      <c r="L1568" s="1"/>
      <c r="M1568" s="1"/>
      <c r="N1568" s="1"/>
      <c r="O1568" s="1"/>
      <c r="P1568" s="1"/>
      <c r="Q1568" s="1"/>
      <c r="R1568" s="1"/>
      <c r="S1568" s="1"/>
      <c r="T1568" s="1"/>
      <c r="U1568" s="1"/>
      <c r="V1568" s="1"/>
      <c r="W1568" s="1"/>
      <c r="X1568" s="1"/>
      <c r="Y1568" s="1"/>
      <c r="Z1568" s="1"/>
      <c r="AA1568" s="1"/>
      <c r="AB1568" s="1"/>
    </row>
    <row r="1569" ht="50.25" customHeight="1">
      <c r="A1569" s="12">
        <v>1565.0</v>
      </c>
      <c r="B1569" s="13" t="s">
        <v>1446</v>
      </c>
      <c r="C1569" s="14" t="s">
        <v>1577</v>
      </c>
      <c r="D1569" s="1"/>
      <c r="E1569" s="15"/>
      <c r="F1569" s="1" t="str">
        <f>IFERROR(__xludf.DUMMYFUNCTION("GOOGLETRANSLATE(B1569, ""en"", ""fa"")
"),"مشاوره در رابطه و مهارت های ارتباطی")</f>
        <v>مشاوره در رابطه و مهارت های ارتباطی</v>
      </c>
      <c r="G1569" s="1" t="str">
        <f>IFERROR(__xludf.DUMMYFUNCTION("GOOGLETRANSLATE(C1569, ""en"", ""fa"")
"),"مفهوم ارتباط موثر در حل تعارضات مربوط به سبک های فرزندپروری را بررسی کنید.")</f>
        <v>مفهوم ارتباط موثر در حل تعارضات مربوط به سبک های فرزندپروری را بررسی کنید.</v>
      </c>
      <c r="H1569" s="1"/>
      <c r="I1569" s="1"/>
      <c r="J1569" s="1"/>
      <c r="K1569" s="1"/>
      <c r="L1569" s="1"/>
      <c r="M1569" s="1"/>
      <c r="N1569" s="1"/>
      <c r="O1569" s="1"/>
      <c r="P1569" s="1"/>
      <c r="Q1569" s="1"/>
      <c r="R1569" s="1"/>
      <c r="S1569" s="1"/>
      <c r="T1569" s="1"/>
      <c r="U1569" s="1"/>
      <c r="V1569" s="1"/>
      <c r="W1569" s="1"/>
      <c r="X1569" s="1"/>
      <c r="Y1569" s="1"/>
      <c r="Z1569" s="1"/>
      <c r="AA1569" s="1"/>
      <c r="AB1569" s="1"/>
    </row>
    <row r="1570" ht="50.25" customHeight="1">
      <c r="A1570" s="12">
        <v>1566.0</v>
      </c>
      <c r="B1570" s="13" t="s">
        <v>1446</v>
      </c>
      <c r="C1570" s="14" t="s">
        <v>1578</v>
      </c>
      <c r="D1570" s="1"/>
      <c r="E1570" s="15"/>
      <c r="F1570" s="1" t="str">
        <f>IFERROR(__xludf.DUMMYFUNCTION("GOOGLETRANSLATE(B1570, ""en"", ""fa"")
"),"مشاوره در رابطه و مهارت های ارتباطی")</f>
        <v>مشاوره در رابطه و مهارت های ارتباطی</v>
      </c>
      <c r="G1570" s="1" t="str">
        <f>IFERROR(__xludf.DUMMYFUNCTION("GOOGLETRANSLATE(C1570, ""en"", ""fa"")
"),"در مورد تأثیر تمرین خودمراقبتی فعال و ترویج عشق به خود در روابط بحث کنید.")</f>
        <v>در مورد تأثیر تمرین خودمراقبتی فعال و ترویج عشق به خود در روابط بحث کنید.</v>
      </c>
      <c r="H1570" s="1"/>
      <c r="I1570" s="1"/>
      <c r="J1570" s="1"/>
      <c r="K1570" s="1"/>
      <c r="L1570" s="1"/>
      <c r="M1570" s="1"/>
      <c r="N1570" s="1"/>
      <c r="O1570" s="1"/>
      <c r="P1570" s="1"/>
      <c r="Q1570" s="1"/>
      <c r="R1570" s="1"/>
      <c r="S1570" s="1"/>
      <c r="T1570" s="1"/>
      <c r="U1570" s="1"/>
      <c r="V1570" s="1"/>
      <c r="W1570" s="1"/>
      <c r="X1570" s="1"/>
      <c r="Y1570" s="1"/>
      <c r="Z1570" s="1"/>
      <c r="AA1570" s="1"/>
      <c r="AB1570" s="1"/>
    </row>
    <row r="1571" ht="50.25" customHeight="1">
      <c r="A1571" s="12">
        <v>1567.0</v>
      </c>
      <c r="B1571" s="13" t="s">
        <v>1446</v>
      </c>
      <c r="C1571" s="14" t="s">
        <v>1579</v>
      </c>
      <c r="D1571" s="1"/>
      <c r="E1571" s="15"/>
      <c r="F1571" s="1" t="str">
        <f>IFERROR(__xludf.DUMMYFUNCTION("GOOGLETRANSLATE(B1571, ""en"", ""fa"")
"),"مشاوره در رابطه و مهارت های ارتباطی")</f>
        <v>مشاوره در رابطه و مهارت های ارتباطی</v>
      </c>
      <c r="G1571" s="1" t="str">
        <f>IFERROR(__xludf.DUMMYFUNCTION("GOOGLETRANSLATE(C1571, ""en"", ""fa"")
"),"استراتژی هایی را برای مدیریت و حل تعارضات مربوط به جاه طلبی های شغلی و رشد شخصی به اشتراک بگذارید.")</f>
        <v>استراتژی هایی را برای مدیریت و حل تعارضات مربوط به جاه طلبی های شغلی و رشد شخصی به اشتراک بگذارید.</v>
      </c>
      <c r="H1571" s="1"/>
      <c r="I1571" s="1"/>
      <c r="J1571" s="1"/>
      <c r="K1571" s="1"/>
      <c r="L1571" s="1"/>
      <c r="M1571" s="1"/>
      <c r="N1571" s="1"/>
      <c r="O1571" s="1"/>
      <c r="P1571" s="1"/>
      <c r="Q1571" s="1"/>
      <c r="R1571" s="1"/>
      <c r="S1571" s="1"/>
      <c r="T1571" s="1"/>
      <c r="U1571" s="1"/>
      <c r="V1571" s="1"/>
      <c r="W1571" s="1"/>
      <c r="X1571" s="1"/>
      <c r="Y1571" s="1"/>
      <c r="Z1571" s="1"/>
      <c r="AA1571" s="1"/>
      <c r="AB1571" s="1"/>
    </row>
    <row r="1572" ht="50.25" customHeight="1">
      <c r="A1572" s="12">
        <v>1568.0</v>
      </c>
      <c r="B1572" s="13" t="s">
        <v>1446</v>
      </c>
      <c r="C1572" s="14" t="s">
        <v>1580</v>
      </c>
      <c r="D1572" s="1"/>
      <c r="E1572" s="15"/>
      <c r="F1572" s="1" t="str">
        <f>IFERROR(__xludf.DUMMYFUNCTION("GOOGLETRANSLATE(B1572, ""en"", ""fa"")
"),"مشاوره در رابطه و مهارت های ارتباطی")</f>
        <v>مشاوره در رابطه و مهارت های ارتباطی</v>
      </c>
      <c r="G1572" s="1" t="str">
        <f>IFERROR(__xludf.DUMMYFUNCTION("GOOGLETRANSLATE(C1572, ""en"", ""fa"")
"),"مزایای تمرین ارتباطات باز و بدون قضاوت در حمایت از سلامت روان در روابط را بررسی کنید.")</f>
        <v>مزایای تمرین ارتباطات باز و بدون قضاوت در حمایت از سلامت روان در روابط را بررسی کنید.</v>
      </c>
      <c r="H1572" s="1"/>
      <c r="I1572" s="1"/>
      <c r="J1572" s="1"/>
      <c r="K1572" s="1"/>
      <c r="L1572" s="1"/>
      <c r="M1572" s="1"/>
      <c r="N1572" s="1"/>
      <c r="O1572" s="1"/>
      <c r="P1572" s="1"/>
      <c r="Q1572" s="1"/>
      <c r="R1572" s="1"/>
      <c r="S1572" s="1"/>
      <c r="T1572" s="1"/>
      <c r="U1572" s="1"/>
      <c r="V1572" s="1"/>
      <c r="W1572" s="1"/>
      <c r="X1572" s="1"/>
      <c r="Y1572" s="1"/>
      <c r="Z1572" s="1"/>
      <c r="AA1572" s="1"/>
      <c r="AB1572" s="1"/>
    </row>
    <row r="1573" ht="50.25" customHeight="1">
      <c r="A1573" s="12">
        <v>1569.0</v>
      </c>
      <c r="B1573" s="13" t="s">
        <v>1446</v>
      </c>
      <c r="C1573" s="14" t="s">
        <v>1581</v>
      </c>
      <c r="D1573" s="1"/>
      <c r="E1573" s="15"/>
      <c r="F1573" s="1" t="str">
        <f>IFERROR(__xludf.DUMMYFUNCTION("GOOGLETRANSLATE(B1573, ""en"", ""fa"")
"),"مشاوره در رابطه و مهارت های ارتباطی")</f>
        <v>مشاوره در رابطه و مهارت های ارتباطی</v>
      </c>
      <c r="G1573" s="1" t="str">
        <f>IFERROR(__xludf.DUMMYFUNCTION("GOOGLETRANSLATE(C1573, ""en"", ""fa"")
"),"در مورد نقش ارتباط موثر در جهت یابی و پذیرش تغییر و انتقال زندگی بحث کنید.")</f>
        <v>در مورد نقش ارتباط موثر در جهت یابی و پذیرش تغییر و انتقال زندگی بحث کنید.</v>
      </c>
      <c r="H1573" s="1"/>
      <c r="I1573" s="1"/>
      <c r="J1573" s="1"/>
      <c r="K1573" s="1"/>
      <c r="L1573" s="1"/>
      <c r="M1573" s="1"/>
      <c r="N1573" s="1"/>
      <c r="O1573" s="1"/>
      <c r="P1573" s="1"/>
      <c r="Q1573" s="1"/>
      <c r="R1573" s="1"/>
      <c r="S1573" s="1"/>
      <c r="T1573" s="1"/>
      <c r="U1573" s="1"/>
      <c r="V1573" s="1"/>
      <c r="W1573" s="1"/>
      <c r="X1573" s="1"/>
      <c r="Y1573" s="1"/>
      <c r="Z1573" s="1"/>
      <c r="AA1573" s="1"/>
      <c r="AB1573" s="1"/>
    </row>
    <row r="1574" ht="50.25" customHeight="1">
      <c r="A1574" s="12">
        <v>1570.0</v>
      </c>
      <c r="B1574" s="13" t="s">
        <v>1446</v>
      </c>
      <c r="C1574" s="14" t="s">
        <v>1582</v>
      </c>
      <c r="D1574" s="1"/>
      <c r="E1574" s="15"/>
      <c r="F1574" s="1" t="str">
        <f>IFERROR(__xludf.DUMMYFUNCTION("GOOGLETRANSLATE(B1574, ""en"", ""fa"")
"),"مشاوره در رابطه و مهارت های ارتباطی")</f>
        <v>مشاوره در رابطه و مهارت های ارتباطی</v>
      </c>
      <c r="G1574" s="1" t="str">
        <f>IFERROR(__xludf.DUMMYFUNCTION("GOOGLETRANSLATE(C1574, ""en"", ""fa"")
"),"نکاتی را برای ایجاد تعادل سالم بین زمان با کیفیت و فضای شخصی در روابط به اشتراک بگذارید.")</f>
        <v>نکاتی را برای ایجاد تعادل سالم بین زمان با کیفیت و فضای شخصی در روابط به اشتراک بگذارید.</v>
      </c>
      <c r="H1574" s="1"/>
      <c r="I1574" s="1"/>
      <c r="J1574" s="1"/>
      <c r="K1574" s="1"/>
      <c r="L1574" s="1"/>
      <c r="M1574" s="1"/>
      <c r="N1574" s="1"/>
      <c r="O1574" s="1"/>
      <c r="P1574" s="1"/>
      <c r="Q1574" s="1"/>
      <c r="R1574" s="1"/>
      <c r="S1574" s="1"/>
      <c r="T1574" s="1"/>
      <c r="U1574" s="1"/>
      <c r="V1574" s="1"/>
      <c r="W1574" s="1"/>
      <c r="X1574" s="1"/>
      <c r="Y1574" s="1"/>
      <c r="Z1574" s="1"/>
      <c r="AA1574" s="1"/>
      <c r="AB1574" s="1"/>
    </row>
    <row r="1575" ht="50.25" customHeight="1">
      <c r="A1575" s="12">
        <v>1571.0</v>
      </c>
      <c r="B1575" s="13" t="s">
        <v>1446</v>
      </c>
      <c r="C1575" s="14" t="s">
        <v>1583</v>
      </c>
      <c r="D1575" s="1"/>
      <c r="E1575" s="15"/>
      <c r="F1575" s="1" t="str">
        <f>IFERROR(__xludf.DUMMYFUNCTION("GOOGLETRANSLATE(B1575, ""en"", ""fa"")
"),"مشاوره در رابطه و مهارت های ارتباطی")</f>
        <v>مشاوره در رابطه و مهارت های ارتباطی</v>
      </c>
      <c r="G1575" s="1" t="str">
        <f>IFERROR(__xludf.DUMMYFUNCTION("GOOGLETRANSLATE(C1575, ""en"", ""fa"")
"),"مفهوم ارتباط موثر در پرداختن و حل مسائل مربوط به اعتیاد یا سوء مصرف مواد را بررسی کنید.")</f>
        <v>مفهوم ارتباط موثر در پرداختن و حل مسائل مربوط به اعتیاد یا سوء مصرف مواد را بررسی کنید.</v>
      </c>
      <c r="H1575" s="1"/>
      <c r="I1575" s="1"/>
      <c r="J1575" s="1"/>
      <c r="K1575" s="1"/>
      <c r="L1575" s="1"/>
      <c r="M1575" s="1"/>
      <c r="N1575" s="1"/>
      <c r="O1575" s="1"/>
      <c r="P1575" s="1"/>
      <c r="Q1575" s="1"/>
      <c r="R1575" s="1"/>
      <c r="S1575" s="1"/>
      <c r="T1575" s="1"/>
      <c r="U1575" s="1"/>
      <c r="V1575" s="1"/>
      <c r="W1575" s="1"/>
      <c r="X1575" s="1"/>
      <c r="Y1575" s="1"/>
      <c r="Z1575" s="1"/>
      <c r="AA1575" s="1"/>
      <c r="AB1575" s="1"/>
    </row>
    <row r="1576" ht="50.25" customHeight="1">
      <c r="A1576" s="12">
        <v>1572.0</v>
      </c>
      <c r="B1576" s="13" t="s">
        <v>1446</v>
      </c>
      <c r="C1576" s="14" t="s">
        <v>1584</v>
      </c>
      <c r="D1576" s="1"/>
      <c r="E1576" s="15"/>
      <c r="F1576" s="1" t="str">
        <f>IFERROR(__xludf.DUMMYFUNCTION("GOOGLETRANSLATE(B1576, ""en"", ""fa"")
"),"مشاوره در رابطه و مهارت های ارتباطی")</f>
        <v>مشاوره در رابطه و مهارت های ارتباطی</v>
      </c>
      <c r="G1576" s="1" t="str">
        <f>IFERROR(__xludf.DUMMYFUNCTION("GOOGLETRANSLATE(C1576, ""en"", ""fa"")
"),"درباره تأثیر تمرین قدردانی فعال و جشن گرفتن نقاط عطف در روابط بحث کنید.")</f>
        <v>درباره تأثیر تمرین قدردانی فعال و جشن گرفتن نقاط عطف در روابط بحث کنید.</v>
      </c>
      <c r="H1576" s="1"/>
      <c r="I1576" s="1"/>
      <c r="J1576" s="1"/>
      <c r="K1576" s="1"/>
      <c r="L1576" s="1"/>
      <c r="M1576" s="1"/>
      <c r="N1576" s="1"/>
      <c r="O1576" s="1"/>
      <c r="P1576" s="1"/>
      <c r="Q1576" s="1"/>
      <c r="R1576" s="1"/>
      <c r="S1576" s="1"/>
      <c r="T1576" s="1"/>
      <c r="U1576" s="1"/>
      <c r="V1576" s="1"/>
      <c r="W1576" s="1"/>
      <c r="X1576" s="1"/>
      <c r="Y1576" s="1"/>
      <c r="Z1576" s="1"/>
      <c r="AA1576" s="1"/>
      <c r="AB1576" s="1"/>
    </row>
    <row r="1577" ht="50.25" customHeight="1">
      <c r="A1577" s="12">
        <v>1573.0</v>
      </c>
      <c r="B1577" s="13" t="s">
        <v>1446</v>
      </c>
      <c r="C1577" s="14" t="s">
        <v>1585</v>
      </c>
      <c r="D1577" s="1"/>
      <c r="E1577" s="15"/>
      <c r="F1577" s="1" t="str">
        <f>IFERROR(__xludf.DUMMYFUNCTION("GOOGLETRANSLATE(B1577, ""en"", ""fa"")
"),"مشاوره در رابطه و مهارت های ارتباطی")</f>
        <v>مشاوره در رابطه و مهارت های ارتباطی</v>
      </c>
      <c r="G1577" s="1" t="str">
        <f>IFERROR(__xludf.DUMMYFUNCTION("GOOGLETRANSLATE(C1577, ""en"", ""fa"")
"),"استراتژی هایی را برای مدیریت و حل تعارضات مربوط به مسئولیت ها و کارهای خانه به اشتراک بگذارید.")</f>
        <v>استراتژی هایی را برای مدیریت و حل تعارضات مربوط به مسئولیت ها و کارهای خانه به اشتراک بگذارید.</v>
      </c>
      <c r="H1577" s="1"/>
      <c r="I1577" s="1"/>
      <c r="J1577" s="1"/>
      <c r="K1577" s="1"/>
      <c r="L1577" s="1"/>
      <c r="M1577" s="1"/>
      <c r="N1577" s="1"/>
      <c r="O1577" s="1"/>
      <c r="P1577" s="1"/>
      <c r="Q1577" s="1"/>
      <c r="R1577" s="1"/>
      <c r="S1577" s="1"/>
      <c r="T1577" s="1"/>
      <c r="U1577" s="1"/>
      <c r="V1577" s="1"/>
      <c r="W1577" s="1"/>
      <c r="X1577" s="1"/>
      <c r="Y1577" s="1"/>
      <c r="Z1577" s="1"/>
      <c r="AA1577" s="1"/>
      <c r="AB1577" s="1"/>
    </row>
    <row r="1578" ht="50.25" customHeight="1">
      <c r="A1578" s="12">
        <v>1574.0</v>
      </c>
      <c r="B1578" s="13" t="s">
        <v>1446</v>
      </c>
      <c r="C1578" s="14" t="s">
        <v>1586</v>
      </c>
      <c r="D1578" s="1"/>
      <c r="E1578" s="15"/>
      <c r="F1578" s="1" t="str">
        <f>IFERROR(__xludf.DUMMYFUNCTION("GOOGLETRANSLATE(B1578, ""en"", ""fa"")
"),"مشاوره در رابطه و مهارت های ارتباطی")</f>
        <v>مشاوره در رابطه و مهارت های ارتباطی</v>
      </c>
      <c r="G1578" s="1" t="str">
        <f>IFERROR(__xludf.DUMMYFUNCTION("GOOGLETRANSLATE(C1578, ""en"", ""fa"")
"),"مزایای تمرین ارتباط فعال و همدلی در حمایت از رویاها و آرزوهای یکدیگر را بررسی کنید.")</f>
        <v>مزایای تمرین ارتباط فعال و همدلی در حمایت از رویاها و آرزوهای یکدیگر را بررسی کنید.</v>
      </c>
      <c r="H1578" s="1"/>
      <c r="I1578" s="1"/>
      <c r="J1578" s="1"/>
      <c r="K1578" s="1"/>
      <c r="L1578" s="1"/>
      <c r="M1578" s="1"/>
      <c r="N1578" s="1"/>
      <c r="O1578" s="1"/>
      <c r="P1578" s="1"/>
      <c r="Q1578" s="1"/>
      <c r="R1578" s="1"/>
      <c r="S1578" s="1"/>
      <c r="T1578" s="1"/>
      <c r="U1578" s="1"/>
      <c r="V1578" s="1"/>
      <c r="W1578" s="1"/>
      <c r="X1578" s="1"/>
      <c r="Y1578" s="1"/>
      <c r="Z1578" s="1"/>
      <c r="AA1578" s="1"/>
      <c r="AB1578" s="1"/>
    </row>
    <row r="1579" ht="50.25" customHeight="1">
      <c r="A1579" s="12">
        <v>1575.0</v>
      </c>
      <c r="B1579" s="13" t="s">
        <v>1446</v>
      </c>
      <c r="C1579" s="14" t="s">
        <v>1587</v>
      </c>
      <c r="D1579" s="1"/>
      <c r="E1579" s="15"/>
      <c r="F1579" s="1" t="str">
        <f>IFERROR(__xludf.DUMMYFUNCTION("GOOGLETRANSLATE(B1579, ""en"", ""fa"")
"),"مشاوره در رابطه و مهارت های ارتباطی")</f>
        <v>مشاوره در رابطه و مهارت های ارتباطی</v>
      </c>
      <c r="G1579" s="1" t="str">
        <f>IFERROR(__xludf.DUMMYFUNCTION("GOOGLETRANSLATE(C1579, ""en"", ""fa"")
"),"در مورد نقش ارتباط مؤثر در هدایت تعارضات و اختلافات در باورهای مذهبی یا معنوی بحث کنید.")</f>
        <v>در مورد نقش ارتباط مؤثر در هدایت تعارضات و اختلافات در باورهای مذهبی یا معنوی بحث کنید.</v>
      </c>
      <c r="H1579" s="1"/>
      <c r="I1579" s="1"/>
      <c r="J1579" s="1"/>
      <c r="K1579" s="1"/>
      <c r="L1579" s="1"/>
      <c r="M1579" s="1"/>
      <c r="N1579" s="1"/>
      <c r="O1579" s="1"/>
      <c r="P1579" s="1"/>
      <c r="Q1579" s="1"/>
      <c r="R1579" s="1"/>
      <c r="S1579" s="1"/>
      <c r="T1579" s="1"/>
      <c r="U1579" s="1"/>
      <c r="V1579" s="1"/>
      <c r="W1579" s="1"/>
      <c r="X1579" s="1"/>
      <c r="Y1579" s="1"/>
      <c r="Z1579" s="1"/>
      <c r="AA1579" s="1"/>
      <c r="AB1579" s="1"/>
    </row>
    <row r="1580" ht="50.25" customHeight="1">
      <c r="A1580" s="12">
        <v>1576.0</v>
      </c>
      <c r="B1580" s="13" t="s">
        <v>1446</v>
      </c>
      <c r="C1580" s="14" t="s">
        <v>1588</v>
      </c>
      <c r="D1580" s="1"/>
      <c r="E1580" s="15"/>
      <c r="F1580" s="1" t="str">
        <f>IFERROR(__xludf.DUMMYFUNCTION("GOOGLETRANSLATE(B1580, ""en"", ""fa"")
"),"مشاوره در رابطه و مهارت های ارتباطی")</f>
        <v>مشاوره در رابطه و مهارت های ارتباطی</v>
      </c>
      <c r="G1580" s="1" t="str">
        <f>IFERROR(__xludf.DUMMYFUNCTION("GOOGLETRANSLATE(C1580, ""en"", ""fa"")
"),"نکاتی را برای حفظ ارتباط عاطفی قوی و زنده نگه داشتن شعله در روابط طولانی مدت به اشتراک بگذارید.")</f>
        <v>نکاتی را برای حفظ ارتباط عاطفی قوی و زنده نگه داشتن شعله در روابط طولانی مدت به اشتراک بگذارید.</v>
      </c>
      <c r="H1580" s="1"/>
      <c r="I1580" s="1"/>
      <c r="J1580" s="1"/>
      <c r="K1580" s="1"/>
      <c r="L1580" s="1"/>
      <c r="M1580" s="1"/>
      <c r="N1580" s="1"/>
      <c r="O1580" s="1"/>
      <c r="P1580" s="1"/>
      <c r="Q1580" s="1"/>
      <c r="R1580" s="1"/>
      <c r="S1580" s="1"/>
      <c r="T1580" s="1"/>
      <c r="U1580" s="1"/>
      <c r="V1580" s="1"/>
      <c r="W1580" s="1"/>
      <c r="X1580" s="1"/>
      <c r="Y1580" s="1"/>
      <c r="Z1580" s="1"/>
      <c r="AA1580" s="1"/>
      <c r="AB1580" s="1"/>
    </row>
    <row r="1581" ht="50.25" customHeight="1">
      <c r="A1581" s="12">
        <v>1577.0</v>
      </c>
      <c r="B1581" s="13" t="s">
        <v>1446</v>
      </c>
      <c r="C1581" s="14" t="s">
        <v>1589</v>
      </c>
      <c r="D1581" s="1"/>
      <c r="E1581" s="15"/>
      <c r="F1581" s="1" t="str">
        <f>IFERROR(__xludf.DUMMYFUNCTION("GOOGLETRANSLATE(B1581, ""en"", ""fa"")
"),"مشاوره در رابطه و مهارت های ارتباطی")</f>
        <v>مشاوره در رابطه و مهارت های ارتباطی</v>
      </c>
      <c r="G1581" s="1" t="str">
        <f>IFERROR(__xludf.DUMMYFUNCTION("GOOGLETRANSLATE(C1581, ""en"", ""fa"")
"),"در مورد اهمیت تمرین گوش دادن فعال و اعتبارسنجی در تقویت اعتماد و درک بحث کنید.")</f>
        <v>در مورد اهمیت تمرین گوش دادن فعال و اعتبارسنجی در تقویت اعتماد و درک بحث کنید.</v>
      </c>
      <c r="H1581" s="1"/>
      <c r="I1581" s="1"/>
      <c r="J1581" s="1"/>
      <c r="K1581" s="1"/>
      <c r="L1581" s="1"/>
      <c r="M1581" s="1"/>
      <c r="N1581" s="1"/>
      <c r="O1581" s="1"/>
      <c r="P1581" s="1"/>
      <c r="Q1581" s="1"/>
      <c r="R1581" s="1"/>
      <c r="S1581" s="1"/>
      <c r="T1581" s="1"/>
      <c r="U1581" s="1"/>
      <c r="V1581" s="1"/>
      <c r="W1581" s="1"/>
      <c r="X1581" s="1"/>
      <c r="Y1581" s="1"/>
      <c r="Z1581" s="1"/>
      <c r="AA1581" s="1"/>
      <c r="AB1581" s="1"/>
    </row>
    <row r="1582" ht="50.25" customHeight="1">
      <c r="A1582" s="12">
        <v>1578.0</v>
      </c>
      <c r="B1582" s="13" t="s">
        <v>1446</v>
      </c>
      <c r="C1582" s="14" t="s">
        <v>1590</v>
      </c>
      <c r="D1582" s="1"/>
      <c r="E1582" s="15"/>
      <c r="F1582" s="1" t="str">
        <f>IFERROR(__xludf.DUMMYFUNCTION("GOOGLETRANSLATE(B1582, ""en"", ""fa"")
"),"مشاوره در رابطه و مهارت های ارتباطی")</f>
        <v>مشاوره در رابطه و مهارت های ارتباطی</v>
      </c>
      <c r="G1582" s="1" t="str">
        <f>IFERROR(__xludf.DUMMYFUNCTION("GOOGLETRANSLATE(C1582, ""en"", ""fa"")
"),"نکاتی را برای پیمایش چالش های ارتباطی با شرکای درونگرا یا برونگرا به اشتراک بگذارید.")</f>
        <v>نکاتی را برای پیمایش چالش های ارتباطی با شرکای درونگرا یا برونگرا به اشتراک بگذارید.</v>
      </c>
      <c r="H1582" s="1"/>
      <c r="I1582" s="1"/>
      <c r="J1582" s="1"/>
      <c r="K1582" s="1"/>
      <c r="L1582" s="1"/>
      <c r="M1582" s="1"/>
      <c r="N1582" s="1"/>
      <c r="O1582" s="1"/>
      <c r="P1582" s="1"/>
      <c r="Q1582" s="1"/>
      <c r="R1582" s="1"/>
      <c r="S1582" s="1"/>
      <c r="T1582" s="1"/>
      <c r="U1582" s="1"/>
      <c r="V1582" s="1"/>
      <c r="W1582" s="1"/>
      <c r="X1582" s="1"/>
      <c r="Y1582" s="1"/>
      <c r="Z1582" s="1"/>
      <c r="AA1582" s="1"/>
      <c r="AB1582" s="1"/>
    </row>
    <row r="1583" ht="50.25" customHeight="1">
      <c r="A1583" s="12">
        <v>1579.0</v>
      </c>
      <c r="B1583" s="13" t="s">
        <v>1446</v>
      </c>
      <c r="C1583" s="14" t="s">
        <v>1591</v>
      </c>
      <c r="D1583" s="1"/>
      <c r="E1583" s="15"/>
      <c r="F1583" s="1" t="str">
        <f>IFERROR(__xludf.DUMMYFUNCTION("GOOGLETRANSLATE(B1583, ""en"", ""fa"")
"),"مشاوره در رابطه و مهارت های ارتباطی")</f>
        <v>مشاوره در رابطه و مهارت های ارتباطی</v>
      </c>
      <c r="G1583" s="1" t="str">
        <f>IFERROR(__xludf.DUMMYFUNCTION("GOOGLETRANSLATE(C1583, ""en"", ""fa"")
"),"مفهوم ارتباط موثر در مدیریت و حل تعارضات مربوط به سبک های مختلف فرزندپروری را بررسی کنید.")</f>
        <v>مفهوم ارتباط موثر در مدیریت و حل تعارضات مربوط به سبک های مختلف فرزندپروری را بررسی کنید.</v>
      </c>
      <c r="H1583" s="1"/>
      <c r="I1583" s="1"/>
      <c r="J1583" s="1"/>
      <c r="K1583" s="1"/>
      <c r="L1583" s="1"/>
      <c r="M1583" s="1"/>
      <c r="N1583" s="1"/>
      <c r="O1583" s="1"/>
      <c r="P1583" s="1"/>
      <c r="Q1583" s="1"/>
      <c r="R1583" s="1"/>
      <c r="S1583" s="1"/>
      <c r="T1583" s="1"/>
      <c r="U1583" s="1"/>
      <c r="V1583" s="1"/>
      <c r="W1583" s="1"/>
      <c r="X1583" s="1"/>
      <c r="Y1583" s="1"/>
      <c r="Z1583" s="1"/>
      <c r="AA1583" s="1"/>
      <c r="AB1583" s="1"/>
    </row>
    <row r="1584" ht="50.25" customHeight="1">
      <c r="A1584" s="12">
        <v>1580.0</v>
      </c>
      <c r="B1584" s="13" t="s">
        <v>1446</v>
      </c>
      <c r="C1584" s="14" t="s">
        <v>1592</v>
      </c>
      <c r="D1584" s="1"/>
      <c r="E1584" s="15"/>
      <c r="F1584" s="1" t="str">
        <f>IFERROR(__xludf.DUMMYFUNCTION("GOOGLETRANSLATE(B1584, ""en"", ""fa"")
"),"مشاوره در رابطه و مهارت های ارتباطی")</f>
        <v>مشاوره در رابطه و مهارت های ارتباطی</v>
      </c>
      <c r="G1584" s="1" t="str">
        <f>IFERROR(__xludf.DUMMYFUNCTION("GOOGLETRANSLATE(C1584, ""en"", ""fa"")
"),"در مورد تأثیر تمرین ارتباط مؤثر در حفظ تعادل بین کار و زندگی به عنوان یک زوج بحث کنید.")</f>
        <v>در مورد تأثیر تمرین ارتباط مؤثر در حفظ تعادل بین کار و زندگی به عنوان یک زوج بحث کنید.</v>
      </c>
      <c r="H1584" s="1"/>
      <c r="I1584" s="1"/>
      <c r="J1584" s="1"/>
      <c r="K1584" s="1"/>
      <c r="L1584" s="1"/>
      <c r="M1584" s="1"/>
      <c r="N1584" s="1"/>
      <c r="O1584" s="1"/>
      <c r="P1584" s="1"/>
      <c r="Q1584" s="1"/>
      <c r="R1584" s="1"/>
      <c r="S1584" s="1"/>
      <c r="T1584" s="1"/>
      <c r="U1584" s="1"/>
      <c r="V1584" s="1"/>
      <c r="W1584" s="1"/>
      <c r="X1584" s="1"/>
      <c r="Y1584" s="1"/>
      <c r="Z1584" s="1"/>
      <c r="AA1584" s="1"/>
      <c r="AB1584" s="1"/>
    </row>
    <row r="1585" ht="50.25" customHeight="1">
      <c r="A1585" s="12">
        <v>1581.0</v>
      </c>
      <c r="B1585" s="13" t="s">
        <v>1446</v>
      </c>
      <c r="C1585" s="14" t="s">
        <v>1593</v>
      </c>
      <c r="D1585" s="1"/>
      <c r="E1585" s="15"/>
      <c r="F1585" s="1" t="str">
        <f>IFERROR(__xludf.DUMMYFUNCTION("GOOGLETRANSLATE(B1585, ""en"", ""fa"")
"),"مشاوره در رابطه و مهارت های ارتباطی")</f>
        <v>مشاوره در رابطه و مهارت های ارتباطی</v>
      </c>
      <c r="G1585" s="1" t="str">
        <f>IFERROR(__xludf.DUMMYFUNCTION("GOOGLETRANSLATE(C1585, ""en"", ""fa"")
"),"استراتژی هایی را برای تقویت ارتباطات باز و بدون قضاوت در پرداختن به موضوعات حساس یا آسیب های گذشته به اشتراک بگذارید.")</f>
        <v>استراتژی هایی را برای تقویت ارتباطات باز و بدون قضاوت در پرداختن به موضوعات حساس یا آسیب های گذشته به اشتراک بگذارید.</v>
      </c>
      <c r="H1585" s="1"/>
      <c r="I1585" s="1"/>
      <c r="J1585" s="1"/>
      <c r="K1585" s="1"/>
      <c r="L1585" s="1"/>
      <c r="M1585" s="1"/>
      <c r="N1585" s="1"/>
      <c r="O1585" s="1"/>
      <c r="P1585" s="1"/>
      <c r="Q1585" s="1"/>
      <c r="R1585" s="1"/>
      <c r="S1585" s="1"/>
      <c r="T1585" s="1"/>
      <c r="U1585" s="1"/>
      <c r="V1585" s="1"/>
      <c r="W1585" s="1"/>
      <c r="X1585" s="1"/>
      <c r="Y1585" s="1"/>
      <c r="Z1585" s="1"/>
      <c r="AA1585" s="1"/>
      <c r="AB1585" s="1"/>
    </row>
    <row r="1586" ht="50.25" customHeight="1">
      <c r="A1586" s="12">
        <v>1582.0</v>
      </c>
      <c r="B1586" s="13" t="s">
        <v>1446</v>
      </c>
      <c r="C1586" s="14" t="s">
        <v>1594</v>
      </c>
      <c r="D1586" s="1"/>
      <c r="E1586" s="15"/>
      <c r="F1586" s="1" t="str">
        <f>IFERROR(__xludf.DUMMYFUNCTION("GOOGLETRANSLATE(B1586, ""en"", ""fa"")
"),"مشاوره در رابطه و مهارت های ارتباطی")</f>
        <v>مشاوره در رابطه و مهارت های ارتباطی</v>
      </c>
      <c r="G1586" s="1" t="str">
        <f>IFERROR(__xludf.DUMMYFUNCTION("GOOGLETRANSLATE(C1586, ""en"", ""fa"")
"),"مزایای تمرین همدلی و درک در پر کردن شکاف های ارتباطی بین نسل ها را بررسی کنید.")</f>
        <v>مزایای تمرین همدلی و درک در پر کردن شکاف های ارتباطی بین نسل ها را بررسی کنید.</v>
      </c>
      <c r="H1586" s="1"/>
      <c r="I1586" s="1"/>
      <c r="J1586" s="1"/>
      <c r="K1586" s="1"/>
      <c r="L1586" s="1"/>
      <c r="M1586" s="1"/>
      <c r="N1586" s="1"/>
      <c r="O1586" s="1"/>
      <c r="P1586" s="1"/>
      <c r="Q1586" s="1"/>
      <c r="R1586" s="1"/>
      <c r="S1586" s="1"/>
      <c r="T1586" s="1"/>
      <c r="U1586" s="1"/>
      <c r="V1586" s="1"/>
      <c r="W1586" s="1"/>
      <c r="X1586" s="1"/>
      <c r="Y1586" s="1"/>
      <c r="Z1586" s="1"/>
      <c r="AA1586" s="1"/>
      <c r="AB1586" s="1"/>
    </row>
    <row r="1587" ht="50.25" customHeight="1">
      <c r="A1587" s="12">
        <v>1583.0</v>
      </c>
      <c r="B1587" s="13" t="s">
        <v>1446</v>
      </c>
      <c r="C1587" s="14" t="s">
        <v>1595</v>
      </c>
      <c r="D1587" s="1"/>
      <c r="E1587" s="15"/>
      <c r="F1587" s="1" t="str">
        <f>IFERROR(__xludf.DUMMYFUNCTION("GOOGLETRANSLATE(B1587, ""en"", ""fa"")
"),"مشاوره در رابطه و مهارت های ارتباطی")</f>
        <v>مشاوره در رابطه و مهارت های ارتباطی</v>
      </c>
      <c r="G1587" s="1" t="str">
        <f>IFERROR(__xludf.DUMMYFUNCTION("GOOGLETRANSLATE(C1587, ""en"", ""fa"")
"),"در مورد نقش ارتباط موثر در تعیین و رعایت مرزها در روابط چندهمسری یا غیرتک همسری بحث کنید.")</f>
        <v>در مورد نقش ارتباط موثر در تعیین و رعایت مرزها در روابط چندهمسری یا غیرتک همسری بحث کنید.</v>
      </c>
      <c r="H1587" s="1"/>
      <c r="I1587" s="1"/>
      <c r="J1587" s="1"/>
      <c r="K1587" s="1"/>
      <c r="L1587" s="1"/>
      <c r="M1587" s="1"/>
      <c r="N1587" s="1"/>
      <c r="O1587" s="1"/>
      <c r="P1587" s="1"/>
      <c r="Q1587" s="1"/>
      <c r="R1587" s="1"/>
      <c r="S1587" s="1"/>
      <c r="T1587" s="1"/>
      <c r="U1587" s="1"/>
      <c r="V1587" s="1"/>
      <c r="W1587" s="1"/>
      <c r="X1587" s="1"/>
      <c r="Y1587" s="1"/>
      <c r="Z1587" s="1"/>
      <c r="AA1587" s="1"/>
      <c r="AB1587" s="1"/>
    </row>
    <row r="1588" ht="50.25" customHeight="1">
      <c r="A1588" s="12">
        <v>1584.0</v>
      </c>
      <c r="B1588" s="13" t="s">
        <v>1446</v>
      </c>
      <c r="C1588" s="14" t="s">
        <v>1596</v>
      </c>
      <c r="D1588" s="1"/>
      <c r="E1588" s="15"/>
      <c r="F1588" s="1" t="str">
        <f>IFERROR(__xludf.DUMMYFUNCTION("GOOGLETRANSLATE(B1588, ""en"", ""fa"")
"),"مشاوره در رابطه و مهارت های ارتباطی")</f>
        <v>مشاوره در رابطه و مهارت های ارتباطی</v>
      </c>
      <c r="G1588" s="1" t="str">
        <f>IFERROR(__xludf.DUMMYFUNCTION("GOOGLETRANSLATE(C1588, ""en"", ""fa"")
"),"نکاتی را برای حفظ حس فردیت و رشد شخصی در روابط متعهد به اشتراک بگذارید.")</f>
        <v>نکاتی را برای حفظ حس فردیت و رشد شخصی در روابط متعهد به اشتراک بگذارید.</v>
      </c>
      <c r="H1588" s="1"/>
      <c r="I1588" s="1"/>
      <c r="J1588" s="1"/>
      <c r="K1588" s="1"/>
      <c r="L1588" s="1"/>
      <c r="M1588" s="1"/>
      <c r="N1588" s="1"/>
      <c r="O1588" s="1"/>
      <c r="P1588" s="1"/>
      <c r="Q1588" s="1"/>
      <c r="R1588" s="1"/>
      <c r="S1588" s="1"/>
      <c r="T1588" s="1"/>
      <c r="U1588" s="1"/>
      <c r="V1588" s="1"/>
      <c r="W1588" s="1"/>
      <c r="X1588" s="1"/>
      <c r="Y1588" s="1"/>
      <c r="Z1588" s="1"/>
      <c r="AA1588" s="1"/>
      <c r="AB1588" s="1"/>
    </row>
    <row r="1589" ht="50.25" customHeight="1">
      <c r="A1589" s="12">
        <v>1585.0</v>
      </c>
      <c r="B1589" s="13" t="s">
        <v>1446</v>
      </c>
      <c r="C1589" s="14" t="s">
        <v>1597</v>
      </c>
      <c r="D1589" s="1"/>
      <c r="E1589" s="15"/>
      <c r="F1589" s="1" t="str">
        <f>IFERROR(__xludf.DUMMYFUNCTION("GOOGLETRANSLATE(B1589, ""en"", ""fa"")
"),"مشاوره در رابطه و مهارت های ارتباطی")</f>
        <v>مشاوره در رابطه و مهارت های ارتباطی</v>
      </c>
      <c r="G1589" s="1" t="str">
        <f>IFERROR(__xludf.DUMMYFUNCTION("GOOGLETRANSLATE(C1589, ""en"", ""fa"")
"),"مفهوم ارتباط موثر در پرداختن و حل مسائل مربوط به تصویر بدن و عزت نفس را بررسی کنید.")</f>
        <v>مفهوم ارتباط موثر در پرداختن و حل مسائل مربوط به تصویر بدن و عزت نفس را بررسی کنید.</v>
      </c>
      <c r="H1589" s="1"/>
      <c r="I1589" s="1"/>
      <c r="J1589" s="1"/>
      <c r="K1589" s="1"/>
      <c r="L1589" s="1"/>
      <c r="M1589" s="1"/>
      <c r="N1589" s="1"/>
      <c r="O1589" s="1"/>
      <c r="P1589" s="1"/>
      <c r="Q1589" s="1"/>
      <c r="R1589" s="1"/>
      <c r="S1589" s="1"/>
      <c r="T1589" s="1"/>
      <c r="U1589" s="1"/>
      <c r="V1589" s="1"/>
      <c r="W1589" s="1"/>
      <c r="X1589" s="1"/>
      <c r="Y1589" s="1"/>
      <c r="Z1589" s="1"/>
      <c r="AA1589" s="1"/>
      <c r="AB1589" s="1"/>
    </row>
    <row r="1590" ht="50.25" customHeight="1">
      <c r="A1590" s="12">
        <v>1586.0</v>
      </c>
      <c r="B1590" s="13" t="s">
        <v>1446</v>
      </c>
      <c r="C1590" s="14" t="s">
        <v>1598</v>
      </c>
      <c r="D1590" s="1"/>
      <c r="E1590" s="15"/>
      <c r="F1590" s="1" t="str">
        <f>IFERROR(__xludf.DUMMYFUNCTION("GOOGLETRANSLATE(B1590, ""en"", ""fa"")
"),"مشاوره در رابطه و مهارت های ارتباطی")</f>
        <v>مشاوره در رابطه و مهارت های ارتباطی</v>
      </c>
      <c r="G1590" s="1" t="str">
        <f>IFERROR(__xludf.DUMMYFUNCTION("GOOGLETRANSLATE(C1590, ""en"", ""fa"")
"),"درباره تأثیر تمرین حل مسئله فعال و سازش در حل تعارضات مربوط به امور مالی خانوار بحث کنید.")</f>
        <v>درباره تأثیر تمرین حل مسئله فعال و سازش در حل تعارضات مربوط به امور مالی خانوار بحث کنید.</v>
      </c>
      <c r="H1590" s="1"/>
      <c r="I1590" s="1"/>
      <c r="J1590" s="1"/>
      <c r="K1590" s="1"/>
      <c r="L1590" s="1"/>
      <c r="M1590" s="1"/>
      <c r="N1590" s="1"/>
      <c r="O1590" s="1"/>
      <c r="P1590" s="1"/>
      <c r="Q1590" s="1"/>
      <c r="R1590" s="1"/>
      <c r="S1590" s="1"/>
      <c r="T1590" s="1"/>
      <c r="U1590" s="1"/>
      <c r="V1590" s="1"/>
      <c r="W1590" s="1"/>
      <c r="X1590" s="1"/>
      <c r="Y1590" s="1"/>
      <c r="Z1590" s="1"/>
      <c r="AA1590" s="1"/>
      <c r="AB1590" s="1"/>
    </row>
    <row r="1591" ht="50.25" customHeight="1">
      <c r="A1591" s="12">
        <v>1587.0</v>
      </c>
      <c r="B1591" s="13" t="s">
        <v>1446</v>
      </c>
      <c r="C1591" s="14" t="s">
        <v>1599</v>
      </c>
      <c r="D1591" s="1"/>
      <c r="E1591" s="15"/>
      <c r="F1591" s="1" t="str">
        <f>IFERROR(__xludf.DUMMYFUNCTION("GOOGLETRANSLATE(B1591, ""en"", ""fa"")
"),"مشاوره در رابطه و مهارت های ارتباطی")</f>
        <v>مشاوره در رابطه و مهارت های ارتباطی</v>
      </c>
      <c r="G1591" s="1" t="str">
        <f>IFERROR(__xludf.DUMMYFUNCTION("GOOGLETRANSLATE(C1591, ""en"", ""fa"")
"),"در میان برنامه ها و مسئولیت های شلوغ، استراتژی هایی برای تقویت صمیمیت و ارتباط در روابط بلندمدت به اشتراک بگذارید.")</f>
        <v>در میان برنامه ها و مسئولیت های شلوغ، استراتژی هایی برای تقویت صمیمیت و ارتباط در روابط بلندمدت به اشتراک بگذارید.</v>
      </c>
      <c r="H1591" s="1"/>
      <c r="I1591" s="1"/>
      <c r="J1591" s="1"/>
      <c r="K1591" s="1"/>
      <c r="L1591" s="1"/>
      <c r="M1591" s="1"/>
      <c r="N1591" s="1"/>
      <c r="O1591" s="1"/>
      <c r="P1591" s="1"/>
      <c r="Q1591" s="1"/>
      <c r="R1591" s="1"/>
      <c r="S1591" s="1"/>
      <c r="T1591" s="1"/>
      <c r="U1591" s="1"/>
      <c r="V1591" s="1"/>
      <c r="W1591" s="1"/>
      <c r="X1591" s="1"/>
      <c r="Y1591" s="1"/>
      <c r="Z1591" s="1"/>
      <c r="AA1591" s="1"/>
      <c r="AB1591" s="1"/>
    </row>
    <row r="1592" ht="50.25" customHeight="1">
      <c r="A1592" s="12">
        <v>1588.0</v>
      </c>
      <c r="B1592" s="13" t="s">
        <v>1446</v>
      </c>
      <c r="C1592" s="14" t="s">
        <v>1600</v>
      </c>
      <c r="D1592" s="1"/>
      <c r="E1592" s="15"/>
      <c r="F1592" s="1" t="str">
        <f>IFERROR(__xludf.DUMMYFUNCTION("GOOGLETRANSLATE(B1592, ""en"", ""fa"")
"),"مشاوره در رابطه و مهارت های ارتباطی")</f>
        <v>مشاوره در رابطه و مهارت های ارتباطی</v>
      </c>
      <c r="G1592" s="1" t="str">
        <f>IFERROR(__xludf.DUMMYFUNCTION("GOOGLETRANSLATE(C1592, ""en"", ""fa"")
"),"مزایای تمرین بخشش و رها کردن کینه را در بهبود و بازسازی روابط بررسی کنید.")</f>
        <v>مزایای تمرین بخشش و رها کردن کینه را در بهبود و بازسازی روابط بررسی کنید.</v>
      </c>
      <c r="H1592" s="1"/>
      <c r="I1592" s="1"/>
      <c r="J1592" s="1"/>
      <c r="K1592" s="1"/>
      <c r="L1592" s="1"/>
      <c r="M1592" s="1"/>
      <c r="N1592" s="1"/>
      <c r="O1592" s="1"/>
      <c r="P1592" s="1"/>
      <c r="Q1592" s="1"/>
      <c r="R1592" s="1"/>
      <c r="S1592" s="1"/>
      <c r="T1592" s="1"/>
      <c r="U1592" s="1"/>
      <c r="V1592" s="1"/>
      <c r="W1592" s="1"/>
      <c r="X1592" s="1"/>
      <c r="Y1592" s="1"/>
      <c r="Z1592" s="1"/>
      <c r="AA1592" s="1"/>
      <c r="AB1592" s="1"/>
    </row>
    <row r="1593" ht="50.25" customHeight="1">
      <c r="A1593" s="12">
        <v>1589.0</v>
      </c>
      <c r="B1593" s="13" t="s">
        <v>1446</v>
      </c>
      <c r="C1593" s="14" t="s">
        <v>1601</v>
      </c>
      <c r="D1593" s="1"/>
      <c r="E1593" s="15"/>
      <c r="F1593" s="1" t="str">
        <f>IFERROR(__xludf.DUMMYFUNCTION("GOOGLETRANSLATE(B1593, ""en"", ""fa"")
"),"مشاوره در رابطه و مهارت های ارتباطی")</f>
        <v>مشاوره در رابطه و مهارت های ارتباطی</v>
      </c>
      <c r="G1593" s="1" t="str">
        <f>IFERROR(__xludf.DUMMYFUNCTION("GOOGLETRANSLATE(C1593, ""en"", ""fa"")
"),"در مورد نقش ارتباط مؤثر در رسیدگی و حل تعارضات مربوط به عقاید مختلف سیاسی یا اجتماعی بحث کنید.")</f>
        <v>در مورد نقش ارتباط مؤثر در رسیدگی و حل تعارضات مربوط به عقاید مختلف سیاسی یا اجتماعی بحث کنید.</v>
      </c>
      <c r="H1593" s="1"/>
      <c r="I1593" s="1"/>
      <c r="J1593" s="1"/>
      <c r="K1593" s="1"/>
      <c r="L1593" s="1"/>
      <c r="M1593" s="1"/>
      <c r="N1593" s="1"/>
      <c r="O1593" s="1"/>
      <c r="P1593" s="1"/>
      <c r="Q1593" s="1"/>
      <c r="R1593" s="1"/>
      <c r="S1593" s="1"/>
      <c r="T1593" s="1"/>
      <c r="U1593" s="1"/>
      <c r="V1593" s="1"/>
      <c r="W1593" s="1"/>
      <c r="X1593" s="1"/>
      <c r="Y1593" s="1"/>
      <c r="Z1593" s="1"/>
      <c r="AA1593" s="1"/>
      <c r="AB1593" s="1"/>
    </row>
    <row r="1594" ht="50.25" customHeight="1">
      <c r="A1594" s="12">
        <v>1590.0</v>
      </c>
      <c r="B1594" s="13" t="s">
        <v>1446</v>
      </c>
      <c r="C1594" s="14" t="s">
        <v>1602</v>
      </c>
      <c r="D1594" s="1"/>
      <c r="E1594" s="15"/>
      <c r="F1594" s="1" t="str">
        <f>IFERROR(__xludf.DUMMYFUNCTION("GOOGLETRANSLATE(B1594, ""en"", ""fa"")
"),"مشاوره در رابطه و مهارت های ارتباطی")</f>
        <v>مشاوره در رابطه و مهارت های ارتباطی</v>
      </c>
      <c r="G1594" s="1" t="str">
        <f>IFERROR(__xludf.DUMMYFUNCTION("GOOGLETRANSLATE(C1594, ""en"", ""fa"")
"),"نکاتی را برای حفظ تعادل سالم بین اتصال دیجیتال و زمان با کیفیت در روابط مدرن به اشتراک بگذارید.")</f>
        <v>نکاتی را برای حفظ تعادل سالم بین اتصال دیجیتال و زمان با کیفیت در روابط مدرن به اشتراک بگذارید.</v>
      </c>
      <c r="H1594" s="1"/>
      <c r="I1594" s="1"/>
      <c r="J1594" s="1"/>
      <c r="K1594" s="1"/>
      <c r="L1594" s="1"/>
      <c r="M1594" s="1"/>
      <c r="N1594" s="1"/>
      <c r="O1594" s="1"/>
      <c r="P1594" s="1"/>
      <c r="Q1594" s="1"/>
      <c r="R1594" s="1"/>
      <c r="S1594" s="1"/>
      <c r="T1594" s="1"/>
      <c r="U1594" s="1"/>
      <c r="V1594" s="1"/>
      <c r="W1594" s="1"/>
      <c r="X1594" s="1"/>
      <c r="Y1594" s="1"/>
      <c r="Z1594" s="1"/>
      <c r="AA1594" s="1"/>
      <c r="AB1594" s="1"/>
    </row>
    <row r="1595" ht="50.25" customHeight="1">
      <c r="A1595" s="12">
        <v>1591.0</v>
      </c>
      <c r="B1595" s="13" t="s">
        <v>1446</v>
      </c>
      <c r="C1595" s="14" t="s">
        <v>1603</v>
      </c>
      <c r="D1595" s="1"/>
      <c r="E1595" s="15"/>
      <c r="F1595" s="1" t="str">
        <f>IFERROR(__xludf.DUMMYFUNCTION("GOOGLETRANSLATE(B1595, ""en"", ""fa"")
"),"مشاوره در رابطه و مهارت های ارتباطی")</f>
        <v>مشاوره در رابطه و مهارت های ارتباطی</v>
      </c>
      <c r="G1595" s="1" t="str">
        <f>IFERROR(__xludf.DUMMYFUNCTION("GOOGLETRANSLATE(C1595, ""en"", ""fa"")
"),"مفهوم ارتباط موثر در رسیدگی و حل تعارضات مربوط به آرزوهای شغلی مختلف را بررسی کنید.")</f>
        <v>مفهوم ارتباط موثر در رسیدگی و حل تعارضات مربوط به آرزوهای شغلی مختلف را بررسی کنید.</v>
      </c>
      <c r="H1595" s="1"/>
      <c r="I1595" s="1"/>
      <c r="J1595" s="1"/>
      <c r="K1595" s="1"/>
      <c r="L1595" s="1"/>
      <c r="M1595" s="1"/>
      <c r="N1595" s="1"/>
      <c r="O1595" s="1"/>
      <c r="P1595" s="1"/>
      <c r="Q1595" s="1"/>
      <c r="R1595" s="1"/>
      <c r="S1595" s="1"/>
      <c r="T1595" s="1"/>
      <c r="U1595" s="1"/>
      <c r="V1595" s="1"/>
      <c r="W1595" s="1"/>
      <c r="X1595" s="1"/>
      <c r="Y1595" s="1"/>
      <c r="Z1595" s="1"/>
      <c r="AA1595" s="1"/>
      <c r="AB1595" s="1"/>
    </row>
    <row r="1596" ht="50.25" customHeight="1">
      <c r="A1596" s="12">
        <v>1592.0</v>
      </c>
      <c r="B1596" s="13" t="s">
        <v>1446</v>
      </c>
      <c r="C1596" s="14" t="s">
        <v>1604</v>
      </c>
      <c r="D1596" s="1"/>
      <c r="E1596" s="15"/>
      <c r="F1596" s="1" t="str">
        <f>IFERROR(__xludf.DUMMYFUNCTION("GOOGLETRANSLATE(B1596, ""en"", ""fa"")
"),"مشاوره در رابطه و مهارت های ارتباطی")</f>
        <v>مشاوره در رابطه و مهارت های ارتباطی</v>
      </c>
      <c r="G1596" s="1" t="str">
        <f>IFERROR(__xludf.DUMMYFUNCTION("GOOGLETRANSLATE(C1596, ""en"", ""fa"")
"),"در مورد تأثیر تمرین قدردانی فعال و ابراز قدردانی برای لحظات کوچک در روابط بحث کنید.")</f>
        <v>در مورد تأثیر تمرین قدردانی فعال و ابراز قدردانی برای لحظات کوچک در روابط بحث کنید.</v>
      </c>
      <c r="H1596" s="1"/>
      <c r="I1596" s="1"/>
      <c r="J1596" s="1"/>
      <c r="K1596" s="1"/>
      <c r="L1596" s="1"/>
      <c r="M1596" s="1"/>
      <c r="N1596" s="1"/>
      <c r="O1596" s="1"/>
      <c r="P1596" s="1"/>
      <c r="Q1596" s="1"/>
      <c r="R1596" s="1"/>
      <c r="S1596" s="1"/>
      <c r="T1596" s="1"/>
      <c r="U1596" s="1"/>
      <c r="V1596" s="1"/>
      <c r="W1596" s="1"/>
      <c r="X1596" s="1"/>
      <c r="Y1596" s="1"/>
      <c r="Z1596" s="1"/>
      <c r="AA1596" s="1"/>
      <c r="AB1596" s="1"/>
    </row>
    <row r="1597" ht="50.25" customHeight="1">
      <c r="A1597" s="12">
        <v>1593.0</v>
      </c>
      <c r="B1597" s="13" t="s">
        <v>1446</v>
      </c>
      <c r="C1597" s="14" t="s">
        <v>1605</v>
      </c>
      <c r="D1597" s="1"/>
      <c r="E1597" s="15"/>
      <c r="F1597" s="1" t="str">
        <f>IFERROR(__xludf.DUMMYFUNCTION("GOOGLETRANSLATE(B1597, ""en"", ""fa"")
"),"مشاوره در رابطه و مهارت های ارتباطی")</f>
        <v>مشاوره در رابطه و مهارت های ارتباطی</v>
      </c>
      <c r="G1597" s="1" t="str">
        <f>IFERROR(__xludf.DUMMYFUNCTION("GOOGLETRANSLATE(C1597, ""en"", ""fa"")
"),"استراتژی‌هایی را برای پیمایش چالش‌های ارتباطی با شرکای با پیشینه‌های فرهنگی مختلف به اشتراک بگذارید.")</f>
        <v>استراتژی‌هایی را برای پیمایش چالش‌های ارتباطی با شرکای با پیشینه‌های فرهنگی مختلف به اشتراک بگذارید.</v>
      </c>
      <c r="H1597" s="1"/>
      <c r="I1597" s="1"/>
      <c r="J1597" s="1"/>
      <c r="K1597" s="1"/>
      <c r="L1597" s="1"/>
      <c r="M1597" s="1"/>
      <c r="N1597" s="1"/>
      <c r="O1597" s="1"/>
      <c r="P1597" s="1"/>
      <c r="Q1597" s="1"/>
      <c r="R1597" s="1"/>
      <c r="S1597" s="1"/>
      <c r="T1597" s="1"/>
      <c r="U1597" s="1"/>
      <c r="V1597" s="1"/>
      <c r="W1597" s="1"/>
      <c r="X1597" s="1"/>
      <c r="Y1597" s="1"/>
      <c r="Z1597" s="1"/>
      <c r="AA1597" s="1"/>
      <c r="AB1597" s="1"/>
    </row>
    <row r="1598" ht="50.25" customHeight="1">
      <c r="A1598" s="12">
        <v>1594.0</v>
      </c>
      <c r="B1598" s="13" t="s">
        <v>1446</v>
      </c>
      <c r="C1598" s="14" t="s">
        <v>1606</v>
      </c>
      <c r="D1598" s="1"/>
      <c r="E1598" s="15"/>
      <c r="F1598" s="1" t="str">
        <f>IFERROR(__xludf.DUMMYFUNCTION("GOOGLETRANSLATE(B1598, ""en"", ""fa"")
"),"مشاوره در رابطه و مهارت های ارتباطی")</f>
        <v>مشاوره در رابطه و مهارت های ارتباطی</v>
      </c>
      <c r="G1598" s="1" t="str">
        <f>IFERROR(__xludf.DUMMYFUNCTION("GOOGLETRANSLATE(C1598, ""en"", ""fa"")
"),"مزایای تمرین ارتباط قاطعانه در بیان نیازها و خواسته ها به شیوه ای سالم و محترمانه را بررسی کنید.")</f>
        <v>مزایای تمرین ارتباط قاطعانه در بیان نیازها و خواسته ها به شیوه ای سالم و محترمانه را بررسی کنید.</v>
      </c>
      <c r="H1598" s="1"/>
      <c r="I1598" s="1"/>
      <c r="J1598" s="1"/>
      <c r="K1598" s="1"/>
      <c r="L1598" s="1"/>
      <c r="M1598" s="1"/>
      <c r="N1598" s="1"/>
      <c r="O1598" s="1"/>
      <c r="P1598" s="1"/>
      <c r="Q1598" s="1"/>
      <c r="R1598" s="1"/>
      <c r="S1598" s="1"/>
      <c r="T1598" s="1"/>
      <c r="U1598" s="1"/>
      <c r="V1598" s="1"/>
      <c r="W1598" s="1"/>
      <c r="X1598" s="1"/>
      <c r="Y1598" s="1"/>
      <c r="Z1598" s="1"/>
      <c r="AA1598" s="1"/>
      <c r="AB1598" s="1"/>
    </row>
    <row r="1599" ht="50.25" customHeight="1">
      <c r="A1599" s="12">
        <v>1595.0</v>
      </c>
      <c r="B1599" s="13" t="s">
        <v>1446</v>
      </c>
      <c r="C1599" s="14" t="s">
        <v>1607</v>
      </c>
      <c r="D1599" s="1"/>
      <c r="E1599" s="15"/>
      <c r="F1599" s="1" t="str">
        <f>IFERROR(__xludf.DUMMYFUNCTION("GOOGLETRANSLATE(B1599, ""en"", ""fa"")
"),"مشاوره در رابطه و مهارت های ارتباطی")</f>
        <v>مشاوره در رابطه و مهارت های ارتباطی</v>
      </c>
      <c r="G1599" s="1" t="str">
        <f>IFERROR(__xludf.DUMMYFUNCTION("GOOGLETRANSLATE(C1599, ""en"", ""fa"")
"),"در مورد نقش ارتباط موثر در رسیدگی و حل مسائل مربوط به اعتماد و خیانت بحث کنید.")</f>
        <v>در مورد نقش ارتباط موثر در رسیدگی و حل مسائل مربوط به اعتماد و خیانت بحث کنید.</v>
      </c>
      <c r="H1599" s="1"/>
      <c r="I1599" s="1"/>
      <c r="J1599" s="1"/>
      <c r="K1599" s="1"/>
      <c r="L1599" s="1"/>
      <c r="M1599" s="1"/>
      <c r="N1599" s="1"/>
      <c r="O1599" s="1"/>
      <c r="P1599" s="1"/>
      <c r="Q1599" s="1"/>
      <c r="R1599" s="1"/>
      <c r="S1599" s="1"/>
      <c r="T1599" s="1"/>
      <c r="U1599" s="1"/>
      <c r="V1599" s="1"/>
      <c r="W1599" s="1"/>
      <c r="X1599" s="1"/>
      <c r="Y1599" s="1"/>
      <c r="Z1599" s="1"/>
      <c r="AA1599" s="1"/>
      <c r="AB1599" s="1"/>
    </row>
    <row r="1600" ht="50.25" customHeight="1">
      <c r="A1600" s="12">
        <v>1596.0</v>
      </c>
      <c r="B1600" s="13" t="s">
        <v>1446</v>
      </c>
      <c r="C1600" s="14" t="s">
        <v>1608</v>
      </c>
      <c r="D1600" s="1"/>
      <c r="E1600" s="15"/>
      <c r="F1600" s="1" t="str">
        <f>IFERROR(__xludf.DUMMYFUNCTION("GOOGLETRANSLATE(B1600, ""en"", ""fa"")
"),"مشاوره در رابطه و مهارت های ارتباطی")</f>
        <v>مشاوره در رابطه و مهارت های ارتباطی</v>
      </c>
      <c r="G1600" s="1" t="str">
        <f>IFERROR(__xludf.DUMMYFUNCTION("GOOGLETRANSLATE(C1600, ""en"", ""fa"")
"),"نکاتی را برای تقویت ارتباط باز و صادقانه با کودکان و نوجوانان در پویایی خانواده به اشتراک بگذارید.")</f>
        <v>نکاتی را برای تقویت ارتباط باز و صادقانه با کودکان و نوجوانان در پویایی خانواده به اشتراک بگذارید.</v>
      </c>
      <c r="H1600" s="1"/>
      <c r="I1600" s="1"/>
      <c r="J1600" s="1"/>
      <c r="K1600" s="1"/>
      <c r="L1600" s="1"/>
      <c r="M1600" s="1"/>
      <c r="N1600" s="1"/>
      <c r="O1600" s="1"/>
      <c r="P1600" s="1"/>
      <c r="Q1600" s="1"/>
      <c r="R1600" s="1"/>
      <c r="S1600" s="1"/>
      <c r="T1600" s="1"/>
      <c r="U1600" s="1"/>
      <c r="V1600" s="1"/>
      <c r="W1600" s="1"/>
      <c r="X1600" s="1"/>
      <c r="Y1600" s="1"/>
      <c r="Z1600" s="1"/>
      <c r="AA1600" s="1"/>
      <c r="AB1600" s="1"/>
    </row>
    <row r="1601" ht="50.25" customHeight="1">
      <c r="A1601" s="12">
        <v>1597.0</v>
      </c>
      <c r="B1601" s="13" t="s">
        <v>1446</v>
      </c>
      <c r="C1601" s="14" t="s">
        <v>1609</v>
      </c>
      <c r="D1601" s="1"/>
      <c r="E1601" s="15"/>
      <c r="F1601" s="1" t="str">
        <f>IFERROR(__xludf.DUMMYFUNCTION("GOOGLETRANSLATE(B1601, ""en"", ""fa"")
"),"مشاوره در رابطه و مهارت های ارتباطی")</f>
        <v>مشاوره در رابطه و مهارت های ارتباطی</v>
      </c>
      <c r="G1601" s="1" t="str">
        <f>IFERROR(__xludf.DUMMYFUNCTION("GOOGLETRANSLATE(C1601, ""en"", ""fa"")
"),"مفهوم ارتباط موثر در رسیدگی و حل تعارضات مربوط به صمیمیت و تمایلات جنسی را بررسی کنید.")</f>
        <v>مفهوم ارتباط موثر در رسیدگی و حل تعارضات مربوط به صمیمیت و تمایلات جنسی را بررسی کنید.</v>
      </c>
      <c r="H1601" s="1"/>
      <c r="I1601" s="1"/>
      <c r="J1601" s="1"/>
      <c r="K1601" s="1"/>
      <c r="L1601" s="1"/>
      <c r="M1601" s="1"/>
      <c r="N1601" s="1"/>
      <c r="O1601" s="1"/>
      <c r="P1601" s="1"/>
      <c r="Q1601" s="1"/>
      <c r="R1601" s="1"/>
      <c r="S1601" s="1"/>
      <c r="T1601" s="1"/>
      <c r="U1601" s="1"/>
      <c r="V1601" s="1"/>
      <c r="W1601" s="1"/>
      <c r="X1601" s="1"/>
      <c r="Y1601" s="1"/>
      <c r="Z1601" s="1"/>
      <c r="AA1601" s="1"/>
      <c r="AB1601" s="1"/>
    </row>
    <row r="1602" ht="50.25" customHeight="1">
      <c r="A1602" s="12">
        <v>1598.0</v>
      </c>
      <c r="B1602" s="13" t="s">
        <v>1446</v>
      </c>
      <c r="C1602" s="14" t="s">
        <v>1610</v>
      </c>
      <c r="D1602" s="1"/>
      <c r="E1602" s="15"/>
      <c r="F1602" s="1" t="str">
        <f>IFERROR(__xludf.DUMMYFUNCTION("GOOGLETRANSLATE(B1602, ""en"", ""fa"")
"),"مشاوره در رابطه و مهارت های ارتباطی")</f>
        <v>مشاوره در رابطه و مهارت های ارتباطی</v>
      </c>
      <c r="G1602" s="1" t="str">
        <f>IFERROR(__xludf.DUMMYFUNCTION("GOOGLETRANSLATE(C1602, ""en"", ""fa"")
"),"در مورد تأثیر تمرین ارتباطات فعال در حفظ دوستی های سالم خارج از رابطه عاشقانه بحث کنید.")</f>
        <v>در مورد تأثیر تمرین ارتباطات فعال در حفظ دوستی های سالم خارج از رابطه عاشقانه بحث کنید.</v>
      </c>
      <c r="H1602" s="1"/>
      <c r="I1602" s="1"/>
      <c r="J1602" s="1"/>
      <c r="K1602" s="1"/>
      <c r="L1602" s="1"/>
      <c r="M1602" s="1"/>
      <c r="N1602" s="1"/>
      <c r="O1602" s="1"/>
      <c r="P1602" s="1"/>
      <c r="Q1602" s="1"/>
      <c r="R1602" s="1"/>
      <c r="S1602" s="1"/>
      <c r="T1602" s="1"/>
      <c r="U1602" s="1"/>
      <c r="V1602" s="1"/>
      <c r="W1602" s="1"/>
      <c r="X1602" s="1"/>
      <c r="Y1602" s="1"/>
      <c r="Z1602" s="1"/>
      <c r="AA1602" s="1"/>
      <c r="AB1602" s="1"/>
    </row>
    <row r="1603" ht="50.25" customHeight="1">
      <c r="A1603" s="12">
        <v>1599.0</v>
      </c>
      <c r="B1603" s="13" t="s">
        <v>1446</v>
      </c>
      <c r="C1603" s="14" t="s">
        <v>1611</v>
      </c>
      <c r="D1603" s="1"/>
      <c r="E1603" s="15"/>
      <c r="F1603" s="1" t="str">
        <f>IFERROR(__xludf.DUMMYFUNCTION("GOOGLETRANSLATE(B1603, ""en"", ""fa"")
"),"مشاوره در رابطه و مهارت های ارتباطی")</f>
        <v>مشاوره در رابطه و مهارت های ارتباطی</v>
      </c>
      <c r="G1603" s="1" t="str">
        <f>IFERROR(__xludf.DUMMYFUNCTION("GOOGLETRANSLATE(C1603, ""en"", ""fa"")
"),"در میان جدایی فیزیکی، راهبردهای تقویت اعتماد و ارتباط را در روابط از راه دور به اشتراک بگذارید.")</f>
        <v>در میان جدایی فیزیکی، راهبردهای تقویت اعتماد و ارتباط را در روابط از راه دور به اشتراک بگذارید.</v>
      </c>
      <c r="H1603" s="1"/>
      <c r="I1603" s="1"/>
      <c r="J1603" s="1"/>
      <c r="K1603" s="1"/>
      <c r="L1603" s="1"/>
      <c r="M1603" s="1"/>
      <c r="N1603" s="1"/>
      <c r="O1603" s="1"/>
      <c r="P1603" s="1"/>
      <c r="Q1603" s="1"/>
      <c r="R1603" s="1"/>
      <c r="S1603" s="1"/>
      <c r="T1603" s="1"/>
      <c r="U1603" s="1"/>
      <c r="V1603" s="1"/>
      <c r="W1603" s="1"/>
      <c r="X1603" s="1"/>
      <c r="Y1603" s="1"/>
      <c r="Z1603" s="1"/>
      <c r="AA1603" s="1"/>
      <c r="AB1603" s="1"/>
    </row>
    <row r="1604" ht="50.25" customHeight="1">
      <c r="A1604" s="12">
        <v>1600.0</v>
      </c>
      <c r="B1604" s="13" t="s">
        <v>1446</v>
      </c>
      <c r="C1604" s="14" t="s">
        <v>1612</v>
      </c>
      <c r="D1604" s="1"/>
      <c r="E1604" s="15"/>
      <c r="F1604" s="1" t="str">
        <f>IFERROR(__xludf.DUMMYFUNCTION("GOOGLETRANSLATE(B1604, ""en"", ""fa"")
"),"مشاوره در رابطه و مهارت های ارتباطی")</f>
        <v>مشاوره در رابطه و مهارت های ارتباطی</v>
      </c>
      <c r="G1604" s="1" t="str">
        <f>IFERROR(__xludf.DUMMYFUNCTION("GOOGLETRANSLATE(C1604, ""en"", ""fa"")
"),"مزایای تمرین آسیب پذیری و گشودگی عاطفی در تعمیق صمیمیت و ارتباط را بررسی کنید.")</f>
        <v>مزایای تمرین آسیب پذیری و گشودگی عاطفی در تعمیق صمیمیت و ارتباط را بررسی کنید.</v>
      </c>
      <c r="H1604" s="1"/>
      <c r="I1604" s="1"/>
      <c r="J1604" s="1"/>
      <c r="K1604" s="1"/>
      <c r="L1604" s="1"/>
      <c r="M1604" s="1"/>
      <c r="N1604" s="1"/>
      <c r="O1604" s="1"/>
      <c r="P1604" s="1"/>
      <c r="Q1604" s="1"/>
      <c r="R1604" s="1"/>
      <c r="S1604" s="1"/>
      <c r="T1604" s="1"/>
      <c r="U1604" s="1"/>
      <c r="V1604" s="1"/>
      <c r="W1604" s="1"/>
      <c r="X1604" s="1"/>
      <c r="Y1604" s="1"/>
      <c r="Z1604" s="1"/>
      <c r="AA1604" s="1"/>
      <c r="AB1604" s="1"/>
    </row>
    <row r="1605" ht="50.25" customHeight="1">
      <c r="A1605" s="12">
        <v>1601.0</v>
      </c>
      <c r="B1605" s="13" t="s">
        <v>1446</v>
      </c>
      <c r="C1605" s="14" t="s">
        <v>1613</v>
      </c>
      <c r="D1605" s="1"/>
      <c r="E1605" s="15"/>
      <c r="F1605" s="1" t="str">
        <f>IFERROR(__xludf.DUMMYFUNCTION("GOOGLETRANSLATE(B1605, ""en"", ""fa"")
"),"مشاوره در رابطه و مهارت های ارتباطی")</f>
        <v>مشاوره در رابطه و مهارت های ارتباطی</v>
      </c>
      <c r="G1605" s="1" t="str">
        <f>IFERROR(__xludf.DUMMYFUNCTION("GOOGLETRANSLATE(C1605, ""en"", ""fa"")
"),"در مورد نقش ارتباط مؤثر در رسیدگی و حل تعارضات مربوط به انتظارات و اهداف متفاوت برای آینده بحث کنید.")</f>
        <v>در مورد نقش ارتباط مؤثر در رسیدگی و حل تعارضات مربوط به انتظارات و اهداف متفاوت برای آینده بحث کنید.</v>
      </c>
      <c r="H1605" s="1"/>
      <c r="I1605" s="1"/>
      <c r="J1605" s="1"/>
      <c r="K1605" s="1"/>
      <c r="L1605" s="1"/>
      <c r="M1605" s="1"/>
      <c r="N1605" s="1"/>
      <c r="O1605" s="1"/>
      <c r="P1605" s="1"/>
      <c r="Q1605" s="1"/>
      <c r="R1605" s="1"/>
      <c r="S1605" s="1"/>
      <c r="T1605" s="1"/>
      <c r="U1605" s="1"/>
      <c r="V1605" s="1"/>
      <c r="W1605" s="1"/>
      <c r="X1605" s="1"/>
      <c r="Y1605" s="1"/>
      <c r="Z1605" s="1"/>
      <c r="AA1605" s="1"/>
      <c r="AB1605" s="1"/>
    </row>
    <row r="1606" ht="50.25" customHeight="1">
      <c r="A1606" s="12">
        <v>1602.0</v>
      </c>
      <c r="B1606" s="13" t="s">
        <v>1446</v>
      </c>
      <c r="C1606" s="14" t="s">
        <v>1614</v>
      </c>
      <c r="D1606" s="1"/>
      <c r="E1606" s="15"/>
      <c r="F1606" s="1" t="str">
        <f>IFERROR(__xludf.DUMMYFUNCTION("GOOGLETRANSLATE(B1606, ""en"", ""fa"")
"),"مشاوره در رابطه و مهارت های ارتباطی")</f>
        <v>مشاوره در رابطه و مهارت های ارتباطی</v>
      </c>
      <c r="G1606" s="1" t="str">
        <f>IFERROR(__xludf.DUMMYFUNCTION("GOOGLETRANSLATE(C1606, ""en"", ""fa"")
"),"در مورد اهمیت بهینه سازی SEO در بهبود دید وب سایت و رتبه بندی جستجوی ارگانیک بحث کنید.")</f>
        <v>در مورد اهمیت بهینه سازی SEO در بهبود دید وب سایت و رتبه بندی جستجوی ارگانیک بحث کنید.</v>
      </c>
      <c r="H1606" s="1"/>
      <c r="I1606" s="1"/>
      <c r="J1606" s="1"/>
      <c r="K1606" s="1"/>
      <c r="L1606" s="1"/>
      <c r="M1606" s="1"/>
      <c r="N1606" s="1"/>
      <c r="O1606" s="1"/>
      <c r="P1606" s="1"/>
      <c r="Q1606" s="1"/>
      <c r="R1606" s="1"/>
      <c r="S1606" s="1"/>
      <c r="T1606" s="1"/>
      <c r="U1606" s="1"/>
      <c r="V1606" s="1"/>
      <c r="W1606" s="1"/>
      <c r="X1606" s="1"/>
      <c r="Y1606" s="1"/>
      <c r="Z1606" s="1"/>
      <c r="AA1606" s="1"/>
      <c r="AB1606" s="1"/>
    </row>
    <row r="1607" ht="50.25" customHeight="1">
      <c r="A1607" s="12">
        <v>1603.0</v>
      </c>
      <c r="B1607" s="13" t="s">
        <v>1446</v>
      </c>
      <c r="C1607" s="14" t="s">
        <v>1615</v>
      </c>
      <c r="D1607" s="1"/>
      <c r="E1607" s="15"/>
      <c r="F1607" s="1" t="str">
        <f>IFERROR(__xludf.DUMMYFUNCTION("GOOGLETRANSLATE(B1607, ""en"", ""fa"")
"),"مشاوره در رابطه و مهارت های ارتباطی")</f>
        <v>مشاوره در رابطه و مهارت های ارتباطی</v>
      </c>
      <c r="G1607" s="1" t="str">
        <f>IFERROR(__xludf.DUMMYFUNCTION("GOOGLETRANSLATE(C1607, ""en"", ""fa"")
"),"نکاتی را برای انجام تحقیقات کلمات کلیدی و گنجاندن کلمات کلیدی مرتبط در محتوای وب سایت به اشتراک بگذارید.")</f>
        <v>نکاتی را برای انجام تحقیقات کلمات کلیدی و گنجاندن کلمات کلیدی مرتبط در محتوای وب سایت به اشتراک بگذارید.</v>
      </c>
      <c r="H1607" s="1"/>
      <c r="I1607" s="1"/>
      <c r="J1607" s="1"/>
      <c r="K1607" s="1"/>
      <c r="L1607" s="1"/>
      <c r="M1607" s="1"/>
      <c r="N1607" s="1"/>
      <c r="O1607" s="1"/>
      <c r="P1607" s="1"/>
      <c r="Q1607" s="1"/>
      <c r="R1607" s="1"/>
      <c r="S1607" s="1"/>
      <c r="T1607" s="1"/>
      <c r="U1607" s="1"/>
      <c r="V1607" s="1"/>
      <c r="W1607" s="1"/>
      <c r="X1607" s="1"/>
      <c r="Y1607" s="1"/>
      <c r="Z1607" s="1"/>
      <c r="AA1607" s="1"/>
      <c r="AB1607" s="1"/>
    </row>
    <row r="1608" ht="50.25" customHeight="1">
      <c r="A1608" s="12">
        <v>1604.0</v>
      </c>
      <c r="B1608" s="13" t="s">
        <v>1446</v>
      </c>
      <c r="C1608" s="14" t="s">
        <v>1616</v>
      </c>
      <c r="D1608" s="1"/>
      <c r="E1608" s="15"/>
      <c r="F1608" s="1" t="str">
        <f>IFERROR(__xludf.DUMMYFUNCTION("GOOGLETRANSLATE(B1608, ""en"", ""fa"")
"),"مشاوره در رابطه و مهارت های ارتباطی")</f>
        <v>مشاوره در رابطه و مهارت های ارتباطی</v>
      </c>
      <c r="G1608" s="1" t="str">
        <f>IFERROR(__xludf.DUMMYFUNCTION("GOOGLETRANSLATE(C1608, ""en"", ""fa"")
"),"مفهوم بهینه سازی سئوی درون صفحه و بهترین روش ها برای بهینه سازی متا تگ ها و هدرها را بررسی کنید.")</f>
        <v>مفهوم بهینه سازی سئوی درون صفحه و بهترین روش ها برای بهینه سازی متا تگ ها و هدرها را بررسی کنید.</v>
      </c>
      <c r="H1608" s="1"/>
      <c r="I1608" s="1"/>
      <c r="J1608" s="1"/>
      <c r="K1608" s="1"/>
      <c r="L1608" s="1"/>
      <c r="M1608" s="1"/>
      <c r="N1608" s="1"/>
      <c r="O1608" s="1"/>
      <c r="P1608" s="1"/>
      <c r="Q1608" s="1"/>
      <c r="R1608" s="1"/>
      <c r="S1608" s="1"/>
      <c r="T1608" s="1"/>
      <c r="U1608" s="1"/>
      <c r="V1608" s="1"/>
      <c r="W1608" s="1"/>
      <c r="X1608" s="1"/>
      <c r="Y1608" s="1"/>
      <c r="Z1608" s="1"/>
      <c r="AA1608" s="1"/>
      <c r="AB1608" s="1"/>
    </row>
    <row r="1609" ht="50.25" customHeight="1">
      <c r="A1609" s="12">
        <v>1605.0</v>
      </c>
      <c r="B1609" s="13" t="s">
        <v>1446</v>
      </c>
      <c r="C1609" s="14" t="s">
        <v>1617</v>
      </c>
      <c r="D1609" s="1"/>
      <c r="E1609" s="15"/>
      <c r="F1609" s="1" t="str">
        <f>IFERROR(__xludf.DUMMYFUNCTION("GOOGLETRANSLATE(B1609, ""en"", ""fa"")
"),"مشاوره در رابطه و مهارت های ارتباطی")</f>
        <v>مشاوره در رابطه و مهارت های ارتباطی</v>
      </c>
      <c r="G1609" s="1" t="str">
        <f>IFERROR(__xludf.DUMMYFUNCTION("GOOGLETRANSLATE(C1609, ""en"", ""fa"")
"),"در مورد تاثیر بهینه سازی موبایل بر روی رتبه بندی سئو و استراتژی های بهینه سازی وب سایت ها برای دستگاه های تلفن همراه بحث کنید.")</f>
        <v>در مورد تاثیر بهینه سازی موبایل بر روی رتبه بندی سئو و استراتژی های بهینه سازی وب سایت ها برای دستگاه های تلفن همراه بحث کنید.</v>
      </c>
      <c r="H1609" s="1"/>
      <c r="I1609" s="1"/>
      <c r="J1609" s="1"/>
      <c r="K1609" s="1"/>
      <c r="L1609" s="1"/>
      <c r="M1609" s="1"/>
      <c r="N1609" s="1"/>
      <c r="O1609" s="1"/>
      <c r="P1609" s="1"/>
      <c r="Q1609" s="1"/>
      <c r="R1609" s="1"/>
      <c r="S1609" s="1"/>
      <c r="T1609" s="1"/>
      <c r="U1609" s="1"/>
      <c r="V1609" s="1"/>
      <c r="W1609" s="1"/>
      <c r="X1609" s="1"/>
      <c r="Y1609" s="1"/>
      <c r="Z1609" s="1"/>
      <c r="AA1609" s="1"/>
      <c r="AB1609" s="1"/>
    </row>
    <row r="1610" ht="50.25" customHeight="1">
      <c r="A1610" s="12">
        <v>1606.0</v>
      </c>
      <c r="B1610" s="13" t="s">
        <v>1446</v>
      </c>
      <c r="C1610" s="14" t="s">
        <v>1618</v>
      </c>
      <c r="D1610" s="1"/>
      <c r="E1610" s="15"/>
      <c r="F1610" s="1" t="str">
        <f>IFERROR(__xludf.DUMMYFUNCTION("GOOGLETRANSLATE(B1610, ""en"", ""fa"")
"),"مشاوره در رابطه و مهارت های ارتباطی")</f>
        <v>مشاوره در رابطه و مهارت های ارتباطی</v>
      </c>
      <c r="G1610" s="1" t="str">
        <f>IFERROR(__xludf.DUMMYFUNCTION("GOOGLETRANSLATE(C1610, ""en"", ""fa"")
"),"استراتژی های بهبود سرعت بارگذاری وب سایت و تاثیر آن بر عملکرد سئو را به اشتراک بگذارید.")</f>
        <v>استراتژی های بهبود سرعت بارگذاری وب سایت و تاثیر آن بر عملکرد سئو را به اشتراک بگذارید.</v>
      </c>
      <c r="H1610" s="1"/>
      <c r="I1610" s="1"/>
      <c r="J1610" s="1"/>
      <c r="K1610" s="1"/>
      <c r="L1610" s="1"/>
      <c r="M1610" s="1"/>
      <c r="N1610" s="1"/>
      <c r="O1610" s="1"/>
      <c r="P1610" s="1"/>
      <c r="Q1610" s="1"/>
      <c r="R1610" s="1"/>
      <c r="S1610" s="1"/>
      <c r="T1610" s="1"/>
      <c r="U1610" s="1"/>
      <c r="V1610" s="1"/>
      <c r="W1610" s="1"/>
      <c r="X1610" s="1"/>
      <c r="Y1610" s="1"/>
      <c r="Z1610" s="1"/>
      <c r="AA1610" s="1"/>
      <c r="AB1610" s="1"/>
    </row>
    <row r="1611" ht="50.25" customHeight="1">
      <c r="A1611" s="12">
        <v>1607.0</v>
      </c>
      <c r="B1611" s="13" t="s">
        <v>1446</v>
      </c>
      <c r="C1611" s="14" t="s">
        <v>1619</v>
      </c>
      <c r="D1611" s="1"/>
      <c r="E1611" s="15"/>
      <c r="F1611" s="1" t="str">
        <f>IFERROR(__xludf.DUMMYFUNCTION("GOOGLETRANSLATE(B1611, ""en"", ""fa"")
"),"مشاوره در رابطه و مهارت های ارتباطی")</f>
        <v>مشاوره در رابطه و مهارت های ارتباطی</v>
      </c>
      <c r="G1611" s="1" t="str">
        <f>IFERROR(__xludf.DUMMYFUNCTION("GOOGLETRANSLATE(C1611, ""en"", ""fa"")
"),"مزایای ایجاد محتوای با کیفیت بالا و جذاب برای اهداف سئو را بررسی کنید.")</f>
        <v>مزایای ایجاد محتوای با کیفیت بالا و جذاب برای اهداف سئو را بررسی کنید.</v>
      </c>
      <c r="H1611" s="1"/>
      <c r="I1611" s="1"/>
      <c r="J1611" s="1"/>
      <c r="K1611" s="1"/>
      <c r="L1611" s="1"/>
      <c r="M1611" s="1"/>
      <c r="N1611" s="1"/>
      <c r="O1611" s="1"/>
      <c r="P1611" s="1"/>
      <c r="Q1611" s="1"/>
      <c r="R1611" s="1"/>
      <c r="S1611" s="1"/>
      <c r="T1611" s="1"/>
      <c r="U1611" s="1"/>
      <c r="V1611" s="1"/>
      <c r="W1611" s="1"/>
      <c r="X1611" s="1"/>
      <c r="Y1611" s="1"/>
      <c r="Z1611" s="1"/>
      <c r="AA1611" s="1"/>
      <c r="AB1611" s="1"/>
    </row>
    <row r="1612" ht="50.25" customHeight="1">
      <c r="A1612" s="12">
        <v>1608.0</v>
      </c>
      <c r="B1612" s="13" t="s">
        <v>1446</v>
      </c>
      <c r="C1612" s="14" t="s">
        <v>1620</v>
      </c>
      <c r="D1612" s="1"/>
      <c r="E1612" s="15"/>
      <c r="F1612" s="1" t="str">
        <f>IFERROR(__xludf.DUMMYFUNCTION("GOOGLETRANSLATE(B1612, ""en"", ""fa"")
"),"مشاوره در رابطه و مهارت های ارتباطی")</f>
        <v>مشاوره در رابطه و مهارت های ارتباطی</v>
      </c>
      <c r="G1612" s="1" t="str">
        <f>IFERROR(__xludf.DUMMYFUNCTION("GOOGLETRANSLATE(C1612, ""en"", ""fa"")
"),"در مورد نقش بک لینک ها در بهینه سازی سئو و استراتژی های بدست آوردن بک لینک های با کیفیت صحبت کنید.")</f>
        <v>در مورد نقش بک لینک ها در بهینه سازی سئو و استراتژی های بدست آوردن بک لینک های با کیفیت صحبت کنید.</v>
      </c>
      <c r="H1612" s="1"/>
      <c r="I1612" s="1"/>
      <c r="J1612" s="1"/>
      <c r="K1612" s="1"/>
      <c r="L1612" s="1"/>
      <c r="M1612" s="1"/>
      <c r="N1612" s="1"/>
      <c r="O1612" s="1"/>
      <c r="P1612" s="1"/>
      <c r="Q1612" s="1"/>
      <c r="R1612" s="1"/>
      <c r="S1612" s="1"/>
      <c r="T1612" s="1"/>
      <c r="U1612" s="1"/>
      <c r="V1612" s="1"/>
      <c r="W1612" s="1"/>
      <c r="X1612" s="1"/>
      <c r="Y1612" s="1"/>
      <c r="Z1612" s="1"/>
      <c r="AA1612" s="1"/>
      <c r="AB1612" s="1"/>
    </row>
    <row r="1613" ht="50.25" customHeight="1">
      <c r="A1613" s="12">
        <v>1609.0</v>
      </c>
      <c r="B1613" s="13" t="s">
        <v>1446</v>
      </c>
      <c r="C1613" s="14" t="s">
        <v>1621</v>
      </c>
      <c r="D1613" s="1"/>
      <c r="E1613" s="15"/>
      <c r="F1613" s="1" t="str">
        <f>IFERROR(__xludf.DUMMYFUNCTION("GOOGLETRANSLATE(B1613, ""en"", ""fa"")
"),"مشاوره در رابطه و مهارت های ارتباطی")</f>
        <v>مشاوره در رابطه و مهارت های ارتباطی</v>
      </c>
      <c r="G1613" s="1" t="str">
        <f>IFERROR(__xludf.DUMMYFUNCTION("GOOGLETRANSLATE(C1613, ""en"", ""fa"")
"),"نکاتی را برای بهینه سازی ساختار وب سایت و ناوبری برای تجربه کاربری بهتر و عملکرد سئو به اشتراک بگذارید.")</f>
        <v>نکاتی را برای بهینه سازی ساختار وب سایت و ناوبری برای تجربه کاربری بهتر و عملکرد سئو به اشتراک بگذارید.</v>
      </c>
      <c r="H1613" s="1"/>
      <c r="I1613" s="1"/>
      <c r="J1613" s="1"/>
      <c r="K1613" s="1"/>
      <c r="L1613" s="1"/>
      <c r="M1613" s="1"/>
      <c r="N1613" s="1"/>
      <c r="O1613" s="1"/>
      <c r="P1613" s="1"/>
      <c r="Q1613" s="1"/>
      <c r="R1613" s="1"/>
      <c r="S1613" s="1"/>
      <c r="T1613" s="1"/>
      <c r="U1613" s="1"/>
      <c r="V1613" s="1"/>
      <c r="W1613" s="1"/>
      <c r="X1613" s="1"/>
      <c r="Y1613" s="1"/>
      <c r="Z1613" s="1"/>
      <c r="AA1613" s="1"/>
      <c r="AB1613" s="1"/>
    </row>
    <row r="1614" ht="50.25" customHeight="1">
      <c r="A1614" s="12">
        <v>1610.0</v>
      </c>
      <c r="B1614" s="13" t="s">
        <v>1622</v>
      </c>
      <c r="C1614" s="14" t="s">
        <v>1623</v>
      </c>
      <c r="D1614" s="1"/>
      <c r="E1614" s="15"/>
      <c r="F1614" s="1" t="str">
        <f>IFERROR(__xludf.DUMMYFUNCTION("GOOGLETRANSLATE(B1614, ""en"", ""fa"")
"),"بهینه سازی سئو")</f>
        <v>بهینه سازی سئو</v>
      </c>
      <c r="G1614" s="1" t="str">
        <f>IFERROR(__xludf.DUMMYFUNCTION("GOOGLETRANSLATE(C1614, ""en"", ""fa"")
"),"مفهوم بهینه‌سازی سئوی محلی و استراتژی‌هایی برای بهبود دید در نتایج جستجوی محلی را بررسی کنید.")</f>
        <v>مفهوم بهینه‌سازی سئوی محلی و استراتژی‌هایی برای بهبود دید در نتایج جستجوی محلی را بررسی کنید.</v>
      </c>
      <c r="H1614" s="1"/>
      <c r="I1614" s="1"/>
      <c r="J1614" s="1"/>
      <c r="K1614" s="1"/>
      <c r="L1614" s="1"/>
      <c r="M1614" s="1"/>
      <c r="N1614" s="1"/>
      <c r="O1614" s="1"/>
      <c r="P1614" s="1"/>
      <c r="Q1614" s="1"/>
      <c r="R1614" s="1"/>
      <c r="S1614" s="1"/>
      <c r="T1614" s="1"/>
      <c r="U1614" s="1"/>
      <c r="V1614" s="1"/>
      <c r="W1614" s="1"/>
      <c r="X1614" s="1"/>
      <c r="Y1614" s="1"/>
      <c r="Z1614" s="1"/>
      <c r="AA1614" s="1"/>
      <c r="AB1614" s="1"/>
    </row>
    <row r="1615" ht="50.25" customHeight="1">
      <c r="A1615" s="12">
        <v>1611.0</v>
      </c>
      <c r="B1615" s="13" t="s">
        <v>1622</v>
      </c>
      <c r="C1615" s="14" t="s">
        <v>1624</v>
      </c>
      <c r="D1615" s="1"/>
      <c r="E1615" s="15"/>
      <c r="F1615" s="1" t="str">
        <f>IFERROR(__xludf.DUMMYFUNCTION("GOOGLETRANSLATE(B1615, ""en"", ""fa"")
"),"بهینه سازی سئو")</f>
        <v>بهینه سازی سئو</v>
      </c>
      <c r="G1615" s="1" t="str">
        <f>IFERROR(__xludf.DUMMYFUNCTION("GOOGLETRANSLATE(C1615, ""en"", ""fa"")
"),"در مورد تأثیر معیارهای تعامل کاربر، مانند نرخ پرش و زمان در صفحه، در رتبه بندی سئو بحث کنید.")</f>
        <v>در مورد تأثیر معیارهای تعامل کاربر، مانند نرخ پرش و زمان در صفحه، در رتبه بندی سئو بحث کنید.</v>
      </c>
      <c r="H1615" s="1"/>
      <c r="I1615" s="1"/>
      <c r="J1615" s="1"/>
      <c r="K1615" s="1"/>
      <c r="L1615" s="1"/>
      <c r="M1615" s="1"/>
      <c r="N1615" s="1"/>
      <c r="O1615" s="1"/>
      <c r="P1615" s="1"/>
      <c r="Q1615" s="1"/>
      <c r="R1615" s="1"/>
      <c r="S1615" s="1"/>
      <c r="T1615" s="1"/>
      <c r="U1615" s="1"/>
      <c r="V1615" s="1"/>
      <c r="W1615" s="1"/>
      <c r="X1615" s="1"/>
      <c r="Y1615" s="1"/>
      <c r="Z1615" s="1"/>
      <c r="AA1615" s="1"/>
      <c r="AB1615" s="1"/>
    </row>
    <row r="1616" ht="50.25" customHeight="1">
      <c r="A1616" s="12">
        <v>1612.0</v>
      </c>
      <c r="B1616" s="13" t="s">
        <v>1622</v>
      </c>
      <c r="C1616" s="14" t="s">
        <v>1625</v>
      </c>
      <c r="D1616" s="1"/>
      <c r="E1616" s="15"/>
      <c r="F1616" s="1" t="str">
        <f>IFERROR(__xludf.DUMMYFUNCTION("GOOGLETRANSLATE(B1616, ""en"", ""fa"")
"),"بهینه سازی سئو")</f>
        <v>بهینه سازی سئو</v>
      </c>
      <c r="G1616" s="1" t="str">
        <f>IFERROR(__xludf.DUMMYFUNCTION("GOOGLETRANSLATE(C1616, ""en"", ""fa"")
"),"استراتژی های بهینه سازی تصاویر و عناصر چند رسانه ای را برای عملکرد بهتر سئو به اشتراک بگذارید.")</f>
        <v>استراتژی های بهینه سازی تصاویر و عناصر چند رسانه ای را برای عملکرد بهتر سئو به اشتراک بگذارید.</v>
      </c>
      <c r="H1616" s="1"/>
      <c r="I1616" s="1"/>
      <c r="J1616" s="1"/>
      <c r="K1616" s="1"/>
      <c r="L1616" s="1"/>
      <c r="M1616" s="1"/>
      <c r="N1616" s="1"/>
      <c r="O1616" s="1"/>
      <c r="P1616" s="1"/>
      <c r="Q1616" s="1"/>
      <c r="R1616" s="1"/>
      <c r="S1616" s="1"/>
      <c r="T1616" s="1"/>
      <c r="U1616" s="1"/>
      <c r="V1616" s="1"/>
      <c r="W1616" s="1"/>
      <c r="X1616" s="1"/>
      <c r="Y1616" s="1"/>
      <c r="Z1616" s="1"/>
      <c r="AA1616" s="1"/>
      <c r="AB1616" s="1"/>
    </row>
    <row r="1617" ht="50.25" customHeight="1">
      <c r="A1617" s="12">
        <v>1613.0</v>
      </c>
      <c r="B1617" s="13" t="s">
        <v>1622</v>
      </c>
      <c r="C1617" s="14" t="s">
        <v>1626</v>
      </c>
      <c r="D1617" s="1"/>
      <c r="E1617" s="15"/>
      <c r="F1617" s="1" t="str">
        <f>IFERROR(__xludf.DUMMYFUNCTION("GOOGLETRANSLATE(B1617, ""en"", ""fa"")
"),"بهینه سازی سئو")</f>
        <v>بهینه سازی سئو</v>
      </c>
      <c r="G1617" s="1" t="str">
        <f>IFERROR(__xludf.DUMMYFUNCTION("GOOGLETRANSLATE(C1617, ""en"", ""fa"")
"),"مزایای پیاده‌سازی نشانه‌گذاری طرحواره و داده‌های ساخت‌یافته را برای افزایش دید موتور جستجو بررسی کنید.")</f>
        <v>مزایای پیاده‌سازی نشانه‌گذاری طرحواره و داده‌های ساخت‌یافته را برای افزایش دید موتور جستجو بررسی کنید.</v>
      </c>
      <c r="H1617" s="1"/>
      <c r="I1617" s="1"/>
      <c r="J1617" s="1"/>
      <c r="K1617" s="1"/>
      <c r="L1617" s="1"/>
      <c r="M1617" s="1"/>
      <c r="N1617" s="1"/>
      <c r="O1617" s="1"/>
      <c r="P1617" s="1"/>
      <c r="Q1617" s="1"/>
      <c r="R1617" s="1"/>
      <c r="S1617" s="1"/>
      <c r="T1617" s="1"/>
      <c r="U1617" s="1"/>
      <c r="V1617" s="1"/>
      <c r="W1617" s="1"/>
      <c r="X1617" s="1"/>
      <c r="Y1617" s="1"/>
      <c r="Z1617" s="1"/>
      <c r="AA1617" s="1"/>
      <c r="AB1617" s="1"/>
    </row>
    <row r="1618" ht="50.25" customHeight="1">
      <c r="A1618" s="12">
        <v>1614.0</v>
      </c>
      <c r="B1618" s="13" t="s">
        <v>1622</v>
      </c>
      <c r="C1618" s="14" t="s">
        <v>1627</v>
      </c>
      <c r="D1618" s="1"/>
      <c r="E1618" s="15"/>
      <c r="F1618" s="1" t="str">
        <f>IFERROR(__xludf.DUMMYFUNCTION("GOOGLETRANSLATE(B1618, ""en"", ""fa"")
"),"بهینه سازی سئو")</f>
        <v>بهینه سازی سئو</v>
      </c>
      <c r="G1618" s="1" t="str">
        <f>IFERROR(__xludf.DUMMYFUNCTION("GOOGLETRANSLATE(C1618, ""en"", ""fa"")
"),"در مورد نقش سیگنال های رسانه های اجتماعی در بهینه سازی سئو و استراتژی هایی برای استفاده از رسانه های اجتماعی برای رتبه بندی بهتر بحث کنید.")</f>
        <v>در مورد نقش سیگنال های رسانه های اجتماعی در بهینه سازی سئو و استراتژی هایی برای استفاده از رسانه های اجتماعی برای رتبه بندی بهتر بحث کنید.</v>
      </c>
      <c r="H1618" s="1"/>
      <c r="I1618" s="1"/>
      <c r="J1618" s="1"/>
      <c r="K1618" s="1"/>
      <c r="L1618" s="1"/>
      <c r="M1618" s="1"/>
      <c r="N1618" s="1"/>
      <c r="O1618" s="1"/>
      <c r="P1618" s="1"/>
      <c r="Q1618" s="1"/>
      <c r="R1618" s="1"/>
      <c r="S1618" s="1"/>
      <c r="T1618" s="1"/>
      <c r="U1618" s="1"/>
      <c r="V1618" s="1"/>
      <c r="W1618" s="1"/>
      <c r="X1618" s="1"/>
      <c r="Y1618" s="1"/>
      <c r="Z1618" s="1"/>
      <c r="AA1618" s="1"/>
      <c r="AB1618" s="1"/>
    </row>
    <row r="1619" ht="50.25" customHeight="1">
      <c r="A1619" s="12">
        <v>1615.0</v>
      </c>
      <c r="B1619" s="13" t="s">
        <v>1622</v>
      </c>
      <c r="C1619" s="14" t="s">
        <v>1628</v>
      </c>
      <c r="D1619" s="1"/>
      <c r="E1619" s="15"/>
      <c r="F1619" s="1" t="str">
        <f>IFERROR(__xludf.DUMMYFUNCTION("GOOGLETRANSLATE(B1619, ""en"", ""fa"")
"),"بهینه سازی سئو")</f>
        <v>بهینه سازی سئو</v>
      </c>
      <c r="G1619" s="1" t="str">
        <f>IFERROR(__xludf.DUMMYFUNCTION("GOOGLETRANSLATE(C1619, ""en"", ""fa"")
"),"نکاتی را برای بهینه سازی URL های وب سایت و ایجاد ساختارهای URL مناسب برای موتورهای جستجو به اشتراک بگذارید.")</f>
        <v>نکاتی را برای بهینه سازی URL های وب سایت و ایجاد ساختارهای URL مناسب برای موتورهای جستجو به اشتراک بگذارید.</v>
      </c>
      <c r="H1619" s="1"/>
      <c r="I1619" s="1"/>
      <c r="J1619" s="1"/>
      <c r="K1619" s="1"/>
      <c r="L1619" s="1"/>
      <c r="M1619" s="1"/>
      <c r="N1619" s="1"/>
      <c r="O1619" s="1"/>
      <c r="P1619" s="1"/>
      <c r="Q1619" s="1"/>
      <c r="R1619" s="1"/>
      <c r="S1619" s="1"/>
      <c r="T1619" s="1"/>
      <c r="U1619" s="1"/>
      <c r="V1619" s="1"/>
      <c r="W1619" s="1"/>
      <c r="X1619" s="1"/>
      <c r="Y1619" s="1"/>
      <c r="Z1619" s="1"/>
      <c r="AA1619" s="1"/>
      <c r="AB1619" s="1"/>
    </row>
    <row r="1620" ht="50.25" customHeight="1">
      <c r="A1620" s="12">
        <v>1616.0</v>
      </c>
      <c r="B1620" s="13" t="s">
        <v>1622</v>
      </c>
      <c r="C1620" s="14" t="s">
        <v>1629</v>
      </c>
      <c r="D1620" s="1"/>
      <c r="E1620" s="15"/>
      <c r="F1620" s="1" t="str">
        <f>IFERROR(__xludf.DUMMYFUNCTION("GOOGLETRANSLATE(B1620, ""en"", ""fa"")
"),"بهینه سازی سئو")</f>
        <v>بهینه سازی سئو</v>
      </c>
      <c r="G1620" s="1" t="str">
        <f>IFERROR(__xludf.DUMMYFUNCTION("GOOGLETRANSLATE(C1620, ""en"", ""fa"")
"),"مفهوم معماری سایت و تاثیر آن بر رتبه بندی سئو و قابلیت خزیدن را بررسی کنید.")</f>
        <v>مفهوم معماری سایت و تاثیر آن بر رتبه بندی سئو و قابلیت خزیدن را بررسی کنید.</v>
      </c>
      <c r="H1620" s="1"/>
      <c r="I1620" s="1"/>
      <c r="J1620" s="1"/>
      <c r="K1620" s="1"/>
      <c r="L1620" s="1"/>
      <c r="M1620" s="1"/>
      <c r="N1620" s="1"/>
      <c r="O1620" s="1"/>
      <c r="P1620" s="1"/>
      <c r="Q1620" s="1"/>
      <c r="R1620" s="1"/>
      <c r="S1620" s="1"/>
      <c r="T1620" s="1"/>
      <c r="U1620" s="1"/>
      <c r="V1620" s="1"/>
      <c r="W1620" s="1"/>
      <c r="X1620" s="1"/>
      <c r="Y1620" s="1"/>
      <c r="Z1620" s="1"/>
      <c r="AA1620" s="1"/>
      <c r="AB1620" s="1"/>
    </row>
    <row r="1621" ht="50.25" customHeight="1">
      <c r="A1621" s="12">
        <v>1617.0</v>
      </c>
      <c r="B1621" s="13" t="s">
        <v>1622</v>
      </c>
      <c r="C1621" s="14" t="s">
        <v>1630</v>
      </c>
      <c r="D1621" s="1"/>
      <c r="E1621" s="15"/>
      <c r="F1621" s="1" t="str">
        <f>IFERROR(__xludf.DUMMYFUNCTION("GOOGLETRANSLATE(B1621, ""en"", ""fa"")
"),"بهینه سازی سئو")</f>
        <v>بهینه سازی سئو</v>
      </c>
      <c r="G1621" s="1" t="str">
        <f>IFERROR(__xludf.DUMMYFUNCTION("GOOGLETRANSLATE(C1621, ""en"", ""fa"")
"),"در مورد اهمیت امنیت وب سایت و رمزگذاری HTTPS برای بهینه سازی سئو بحث کنید.")</f>
        <v>در مورد اهمیت امنیت وب سایت و رمزگذاری HTTPS برای بهینه سازی سئو بحث کنید.</v>
      </c>
      <c r="H1621" s="1"/>
      <c r="I1621" s="1"/>
      <c r="J1621" s="1"/>
      <c r="K1621" s="1"/>
      <c r="L1621" s="1"/>
      <c r="M1621" s="1"/>
      <c r="N1621" s="1"/>
      <c r="O1621" s="1"/>
      <c r="P1621" s="1"/>
      <c r="Q1621" s="1"/>
      <c r="R1621" s="1"/>
      <c r="S1621" s="1"/>
      <c r="T1621" s="1"/>
      <c r="U1621" s="1"/>
      <c r="V1621" s="1"/>
      <c r="W1621" s="1"/>
      <c r="X1621" s="1"/>
      <c r="Y1621" s="1"/>
      <c r="Z1621" s="1"/>
      <c r="AA1621" s="1"/>
      <c r="AB1621" s="1"/>
    </row>
    <row r="1622" ht="50.25" customHeight="1">
      <c r="A1622" s="12">
        <v>1618.0</v>
      </c>
      <c r="B1622" s="13" t="s">
        <v>1622</v>
      </c>
      <c r="C1622" s="14" t="s">
        <v>1631</v>
      </c>
      <c r="D1622" s="1"/>
      <c r="E1622" s="15"/>
      <c r="F1622" s="1" t="str">
        <f>IFERROR(__xludf.DUMMYFUNCTION("GOOGLETRANSLATE(B1622, ""en"", ""fa"")
"),"بهینه سازی سئو")</f>
        <v>بهینه سازی سئو</v>
      </c>
      <c r="G1622" s="1" t="str">
        <f>IFERROR(__xludf.DUMMYFUNCTION("GOOGLETRANSLATE(C1622, ""en"", ""fa"")
"),"استراتژی‌هایی را برای بهینه‌سازی محتوای وب‌سایت برای قطعه‌های برجسته و بهبود دید در صفحات نتایج موتور جستجو (SERP) به اشتراک بگذارید.")</f>
        <v>استراتژی‌هایی را برای بهینه‌سازی محتوای وب‌سایت برای قطعه‌های برجسته و بهبود دید در صفحات نتایج موتور جستجو (SERP) به اشتراک بگذارید.</v>
      </c>
      <c r="H1622" s="1"/>
      <c r="I1622" s="1"/>
      <c r="J1622" s="1"/>
      <c r="K1622" s="1"/>
      <c r="L1622" s="1"/>
      <c r="M1622" s="1"/>
      <c r="N1622" s="1"/>
      <c r="O1622" s="1"/>
      <c r="P1622" s="1"/>
      <c r="Q1622" s="1"/>
      <c r="R1622" s="1"/>
      <c r="S1622" s="1"/>
      <c r="T1622" s="1"/>
      <c r="U1622" s="1"/>
      <c r="V1622" s="1"/>
      <c r="W1622" s="1"/>
      <c r="X1622" s="1"/>
      <c r="Y1622" s="1"/>
      <c r="Z1622" s="1"/>
      <c r="AA1622" s="1"/>
      <c r="AB1622" s="1"/>
    </row>
    <row r="1623" ht="50.25" customHeight="1">
      <c r="A1623" s="12">
        <v>1619.0</v>
      </c>
      <c r="B1623" s="13" t="s">
        <v>1622</v>
      </c>
      <c r="C1623" s="14" t="s">
        <v>1632</v>
      </c>
      <c r="D1623" s="1"/>
      <c r="E1623" s="15"/>
      <c r="F1623" s="1" t="str">
        <f>IFERROR(__xludf.DUMMYFUNCTION("GOOGLETRANSLATE(B1623, ""en"", ""fa"")
"),"بهینه سازی سئو")</f>
        <v>بهینه سازی سئو</v>
      </c>
      <c r="G1623" s="1" t="str">
        <f>IFERROR(__xludf.DUMMYFUNCTION("GOOGLETRANSLATE(C1623, ""en"", ""fa"")
"),"مزایای محتوا و استراتژی‌های تولید شده توسط کاربر را برای تشویق نظرات و توصیفات کاربران برای اهداف سئو بررسی کنید.")</f>
        <v>مزایای محتوا و استراتژی‌های تولید شده توسط کاربر را برای تشویق نظرات و توصیفات کاربران برای اهداف سئو بررسی کنید.</v>
      </c>
      <c r="H1623" s="1"/>
      <c r="I1623" s="1"/>
      <c r="J1623" s="1"/>
      <c r="K1623" s="1"/>
      <c r="L1623" s="1"/>
      <c r="M1623" s="1"/>
      <c r="N1623" s="1"/>
      <c r="O1623" s="1"/>
      <c r="P1623" s="1"/>
      <c r="Q1623" s="1"/>
      <c r="R1623" s="1"/>
      <c r="S1623" s="1"/>
      <c r="T1623" s="1"/>
      <c r="U1623" s="1"/>
      <c r="V1623" s="1"/>
      <c r="W1623" s="1"/>
      <c r="X1623" s="1"/>
      <c r="Y1623" s="1"/>
      <c r="Z1623" s="1"/>
      <c r="AA1623" s="1"/>
      <c r="AB1623" s="1"/>
    </row>
    <row r="1624" ht="50.25" customHeight="1">
      <c r="A1624" s="12">
        <v>1620.0</v>
      </c>
      <c r="B1624" s="13" t="s">
        <v>1622</v>
      </c>
      <c r="C1624" s="14" t="s">
        <v>1633</v>
      </c>
      <c r="D1624" s="1"/>
      <c r="E1624" s="15"/>
      <c r="F1624" s="1" t="str">
        <f>IFERROR(__xludf.DUMMYFUNCTION("GOOGLETRANSLATE(B1624, ""en"", ""fa"")
"),"بهینه سازی سئو")</f>
        <v>بهینه سازی سئو</v>
      </c>
      <c r="G1624" s="1" t="str">
        <f>IFERROR(__xludf.DUMMYFUNCTION("GOOGLETRANSLATE(C1624, ""en"", ""fa"")
"),"در مورد نقش بهینه سازی سرعت سایت و استراتژی های کاهش زمان بارگذاری صفحه بحث کنید.")</f>
        <v>در مورد نقش بهینه سازی سرعت سایت و استراتژی های کاهش زمان بارگذاری صفحه بحث کنید.</v>
      </c>
      <c r="H1624" s="1"/>
      <c r="I1624" s="1"/>
      <c r="J1624" s="1"/>
      <c r="K1624" s="1"/>
      <c r="L1624" s="1"/>
      <c r="M1624" s="1"/>
      <c r="N1624" s="1"/>
      <c r="O1624" s="1"/>
      <c r="P1624" s="1"/>
      <c r="Q1624" s="1"/>
      <c r="R1624" s="1"/>
      <c r="S1624" s="1"/>
      <c r="T1624" s="1"/>
      <c r="U1624" s="1"/>
      <c r="V1624" s="1"/>
      <c r="W1624" s="1"/>
      <c r="X1624" s="1"/>
      <c r="Y1624" s="1"/>
      <c r="Z1624" s="1"/>
      <c r="AA1624" s="1"/>
      <c r="AB1624" s="1"/>
    </row>
    <row r="1625" ht="50.25" customHeight="1">
      <c r="A1625" s="12">
        <v>1621.0</v>
      </c>
      <c r="B1625" s="13" t="s">
        <v>1622</v>
      </c>
      <c r="C1625" s="14" t="s">
        <v>1634</v>
      </c>
      <c r="D1625" s="1"/>
      <c r="E1625" s="15"/>
      <c r="F1625" s="1" t="str">
        <f>IFERROR(__xludf.DUMMYFUNCTION("GOOGLETRANSLATE(B1625, ""en"", ""fa"")
"),"بهینه سازی سئو")</f>
        <v>بهینه سازی سئو</v>
      </c>
      <c r="G1625" s="1" t="str">
        <f>IFERROR(__xludf.DUMMYFUNCTION("GOOGLETRANSLATE(C1625, ""en"", ""fa"")
"),"نکاتی را برای بهینه سازی ابرداده وب سایت، از جمله برچسب های عنوان و توضیحات متا، برای نرخ کلیک بهتر در نتایج جستجو به اشتراک بگذارید.")</f>
        <v>نکاتی را برای بهینه سازی ابرداده وب سایت، از جمله برچسب های عنوان و توضیحات متا، برای نرخ کلیک بهتر در نتایج جستجو به اشتراک بگذارید.</v>
      </c>
      <c r="H1625" s="1"/>
      <c r="I1625" s="1"/>
      <c r="J1625" s="1"/>
      <c r="K1625" s="1"/>
      <c r="L1625" s="1"/>
      <c r="M1625" s="1"/>
      <c r="N1625" s="1"/>
      <c r="O1625" s="1"/>
      <c r="P1625" s="1"/>
      <c r="Q1625" s="1"/>
      <c r="R1625" s="1"/>
      <c r="S1625" s="1"/>
      <c r="T1625" s="1"/>
      <c r="U1625" s="1"/>
      <c r="V1625" s="1"/>
      <c r="W1625" s="1"/>
      <c r="X1625" s="1"/>
      <c r="Y1625" s="1"/>
      <c r="Z1625" s="1"/>
      <c r="AA1625" s="1"/>
      <c r="AB1625" s="1"/>
    </row>
    <row r="1626" ht="50.25" customHeight="1">
      <c r="A1626" s="12">
        <v>1622.0</v>
      </c>
      <c r="B1626" s="13" t="s">
        <v>1622</v>
      </c>
      <c r="C1626" s="14" t="s">
        <v>1635</v>
      </c>
      <c r="D1626" s="1"/>
      <c r="E1626" s="15"/>
      <c r="F1626" s="1" t="str">
        <f>IFERROR(__xludf.DUMMYFUNCTION("GOOGLETRANSLATE(B1626, ""en"", ""fa"")
"),"بهینه سازی سئو")</f>
        <v>بهینه سازی سئو</v>
      </c>
      <c r="G1626" s="1" t="str">
        <f>IFERROR(__xludf.DUMMYFUNCTION("GOOGLETRANSLATE(C1626, ""en"", ""fa"")
"),"مفهوم جستجوی معنایی و اهمیت ایجاد محتوایی که با هدف جستجوی کاربر مطابقت داشته باشد را بررسی کنید.")</f>
        <v>مفهوم جستجوی معنایی و اهمیت ایجاد محتوایی که با هدف جستجوی کاربر مطابقت داشته باشد را بررسی کنید.</v>
      </c>
      <c r="H1626" s="1"/>
      <c r="I1626" s="1"/>
      <c r="J1626" s="1"/>
      <c r="K1626" s="1"/>
      <c r="L1626" s="1"/>
      <c r="M1626" s="1"/>
      <c r="N1626" s="1"/>
      <c r="O1626" s="1"/>
      <c r="P1626" s="1"/>
      <c r="Q1626" s="1"/>
      <c r="R1626" s="1"/>
      <c r="S1626" s="1"/>
      <c r="T1626" s="1"/>
      <c r="U1626" s="1"/>
      <c r="V1626" s="1"/>
      <c r="W1626" s="1"/>
      <c r="X1626" s="1"/>
      <c r="Y1626" s="1"/>
      <c r="Z1626" s="1"/>
      <c r="AA1626" s="1"/>
      <c r="AB1626" s="1"/>
    </row>
    <row r="1627" ht="50.25" customHeight="1">
      <c r="A1627" s="12">
        <v>1623.0</v>
      </c>
      <c r="B1627" s="13" t="s">
        <v>1622</v>
      </c>
      <c r="C1627" s="14" t="s">
        <v>1636</v>
      </c>
      <c r="D1627" s="1"/>
      <c r="E1627" s="15"/>
      <c r="F1627" s="1" t="str">
        <f>IFERROR(__xludf.DUMMYFUNCTION("GOOGLETRANSLATE(B1627, ""en"", ""fa"")
"),"بهینه سازی سئو")</f>
        <v>بهینه سازی سئو</v>
      </c>
      <c r="G1627" s="1" t="str">
        <f>IFERROR(__xludf.DUMMYFUNCTION("GOOGLETRANSLATE(C1627, ""en"", ""fa"")
"),"درباره تاثیر جستجوی صوتی بر بهینه سازی سئو و استراتژی های بهینه سازی محتوا برای پرس و جوهای صوتی بحث کنید.")</f>
        <v>درباره تاثیر جستجوی صوتی بر بهینه سازی سئو و استراتژی های بهینه سازی محتوا برای پرس و جوهای صوتی بحث کنید.</v>
      </c>
      <c r="H1627" s="1"/>
      <c r="I1627" s="1"/>
      <c r="J1627" s="1"/>
      <c r="K1627" s="1"/>
      <c r="L1627" s="1"/>
      <c r="M1627" s="1"/>
      <c r="N1627" s="1"/>
      <c r="O1627" s="1"/>
      <c r="P1627" s="1"/>
      <c r="Q1627" s="1"/>
      <c r="R1627" s="1"/>
      <c r="S1627" s="1"/>
      <c r="T1627" s="1"/>
      <c r="U1627" s="1"/>
      <c r="V1627" s="1"/>
      <c r="W1627" s="1"/>
      <c r="X1627" s="1"/>
      <c r="Y1627" s="1"/>
      <c r="Z1627" s="1"/>
      <c r="AA1627" s="1"/>
      <c r="AB1627" s="1"/>
    </row>
    <row r="1628" ht="50.25" customHeight="1">
      <c r="A1628" s="12">
        <v>1624.0</v>
      </c>
      <c r="B1628" s="13" t="s">
        <v>1622</v>
      </c>
      <c r="C1628" s="14" t="s">
        <v>1637</v>
      </c>
      <c r="D1628" s="1"/>
      <c r="E1628" s="15"/>
      <c r="F1628" s="1" t="str">
        <f>IFERROR(__xludf.DUMMYFUNCTION("GOOGLETRANSLATE(B1628, ""en"", ""fa"")
"),"بهینه سازی سئو")</f>
        <v>بهینه سازی سئو</v>
      </c>
      <c r="G1628" s="1" t="str">
        <f>IFERROR(__xludf.DUMMYFUNCTION("GOOGLETRANSLATE(C1628, ""en"", ""fa"")
"),"استراتژی‌هایی را برای بهینه‌سازی فهرست‌ها و فهرست‌های کسب‌وکار محلی برای بهبود عملکرد سئوی محلی به اشتراک بگذارید.")</f>
        <v>استراتژی‌هایی را برای بهینه‌سازی فهرست‌ها و فهرست‌های کسب‌وکار محلی برای بهبود عملکرد سئوی محلی به اشتراک بگذارید.</v>
      </c>
      <c r="H1628" s="1"/>
      <c r="I1628" s="1"/>
      <c r="J1628" s="1"/>
      <c r="K1628" s="1"/>
      <c r="L1628" s="1"/>
      <c r="M1628" s="1"/>
      <c r="N1628" s="1"/>
      <c r="O1628" s="1"/>
      <c r="P1628" s="1"/>
      <c r="Q1628" s="1"/>
      <c r="R1628" s="1"/>
      <c r="S1628" s="1"/>
      <c r="T1628" s="1"/>
      <c r="U1628" s="1"/>
      <c r="V1628" s="1"/>
      <c r="W1628" s="1"/>
      <c r="X1628" s="1"/>
      <c r="Y1628" s="1"/>
      <c r="Z1628" s="1"/>
      <c r="AA1628" s="1"/>
      <c r="AB1628" s="1"/>
    </row>
    <row r="1629" ht="50.25" customHeight="1">
      <c r="A1629" s="12">
        <v>1625.0</v>
      </c>
      <c r="B1629" s="13" t="s">
        <v>1622</v>
      </c>
      <c r="C1629" s="14" t="s">
        <v>1638</v>
      </c>
      <c r="D1629" s="1"/>
      <c r="E1629" s="15"/>
      <c r="F1629" s="1" t="str">
        <f>IFERROR(__xludf.DUMMYFUNCTION("GOOGLETRANSLATE(B1629, ""en"", ""fa"")
"),"بهینه سازی سئو")</f>
        <v>بهینه سازی سئو</v>
      </c>
      <c r="G1629" s="1" t="str">
        <f>IFERROR(__xludf.DUMMYFUNCTION("GOOGLETRANSLATE(C1629, ""en"", ""fa"")
"),"مزایای اجرای یک استراتژی پیوند داخلی موثر برای خزیدن بهتر وب سایت و رتبه بندی SEO را بررسی کنید.")</f>
        <v>مزایای اجرای یک استراتژی پیوند داخلی موثر برای خزیدن بهتر وب سایت و رتبه بندی SEO را بررسی کنید.</v>
      </c>
      <c r="H1629" s="1"/>
      <c r="I1629" s="1"/>
      <c r="J1629" s="1"/>
      <c r="K1629" s="1"/>
      <c r="L1629" s="1"/>
      <c r="M1629" s="1"/>
      <c r="N1629" s="1"/>
      <c r="O1629" s="1"/>
      <c r="P1629" s="1"/>
      <c r="Q1629" s="1"/>
      <c r="R1629" s="1"/>
      <c r="S1629" s="1"/>
      <c r="T1629" s="1"/>
      <c r="U1629" s="1"/>
      <c r="V1629" s="1"/>
      <c r="W1629" s="1"/>
      <c r="X1629" s="1"/>
      <c r="Y1629" s="1"/>
      <c r="Z1629" s="1"/>
      <c r="AA1629" s="1"/>
      <c r="AB1629" s="1"/>
    </row>
    <row r="1630" ht="50.25" customHeight="1">
      <c r="A1630" s="12">
        <v>1626.0</v>
      </c>
      <c r="B1630" s="13" t="s">
        <v>1622</v>
      </c>
      <c r="C1630" s="14" t="s">
        <v>1639</v>
      </c>
      <c r="D1630" s="1"/>
      <c r="E1630" s="15"/>
      <c r="F1630" s="1" t="str">
        <f>IFERROR(__xludf.DUMMYFUNCTION("GOOGLETRANSLATE(B1630, ""en"", ""fa"")
"),"بهینه سازی سئو")</f>
        <v>بهینه سازی سئو</v>
      </c>
      <c r="G1630" s="1" t="str">
        <f>IFERROR(__xludf.DUMMYFUNCTION("GOOGLETRANSLATE(C1630, ""en"", ""fa"")
"),"در مورد نقش تجربه کاربر (UX) در بهینه سازی سئو و استراتژی هایی برای بهبود سیگنال های UX در وب سایت ها بحث کنید.")</f>
        <v>در مورد نقش تجربه کاربر (UX) در بهینه سازی سئو و استراتژی هایی برای بهبود سیگنال های UX در وب سایت ها بحث کنید.</v>
      </c>
      <c r="H1630" s="1"/>
      <c r="I1630" s="1"/>
      <c r="J1630" s="1"/>
      <c r="K1630" s="1"/>
      <c r="L1630" s="1"/>
      <c r="M1630" s="1"/>
      <c r="N1630" s="1"/>
      <c r="O1630" s="1"/>
      <c r="P1630" s="1"/>
      <c r="Q1630" s="1"/>
      <c r="R1630" s="1"/>
      <c r="S1630" s="1"/>
      <c r="T1630" s="1"/>
      <c r="U1630" s="1"/>
      <c r="V1630" s="1"/>
      <c r="W1630" s="1"/>
      <c r="X1630" s="1"/>
      <c r="Y1630" s="1"/>
      <c r="Z1630" s="1"/>
      <c r="AA1630" s="1"/>
      <c r="AB1630" s="1"/>
    </row>
    <row r="1631" ht="50.25" customHeight="1">
      <c r="A1631" s="12">
        <v>1627.0</v>
      </c>
      <c r="B1631" s="13" t="s">
        <v>1622</v>
      </c>
      <c r="C1631" s="14" t="s">
        <v>1640</v>
      </c>
      <c r="D1631" s="1"/>
      <c r="E1631" s="15"/>
      <c r="F1631" s="1" t="str">
        <f>IFERROR(__xludf.DUMMYFUNCTION("GOOGLETRANSLATE(B1631, ""en"", ""fa"")
"),"بهینه سازی سئو")</f>
        <v>بهینه سازی سئو</v>
      </c>
      <c r="G1631" s="1" t="str">
        <f>IFERROR(__xludf.DUMMYFUNCTION("GOOGLETRANSLATE(C1631, ""en"", ""fa"")
"),"نکاتی را برای بهینه‌سازی محتوای وب‌سایت برای کلمات کلیدی طولانی و جست‌وجوهای خاص به اشتراک بگذارید.")</f>
        <v>نکاتی را برای بهینه‌سازی محتوای وب‌سایت برای کلمات کلیدی طولانی و جست‌وجوهای خاص به اشتراک بگذارید.</v>
      </c>
      <c r="H1631" s="1"/>
      <c r="I1631" s="1"/>
      <c r="J1631" s="1"/>
      <c r="K1631" s="1"/>
      <c r="L1631" s="1"/>
      <c r="M1631" s="1"/>
      <c r="N1631" s="1"/>
      <c r="O1631" s="1"/>
      <c r="P1631" s="1"/>
      <c r="Q1631" s="1"/>
      <c r="R1631" s="1"/>
      <c r="S1631" s="1"/>
      <c r="T1631" s="1"/>
      <c r="U1631" s="1"/>
      <c r="V1631" s="1"/>
      <c r="W1631" s="1"/>
      <c r="X1631" s="1"/>
      <c r="Y1631" s="1"/>
      <c r="Z1631" s="1"/>
      <c r="AA1631" s="1"/>
      <c r="AB1631" s="1"/>
    </row>
    <row r="1632" ht="50.25" customHeight="1">
      <c r="A1632" s="12">
        <v>1628.0</v>
      </c>
      <c r="B1632" s="13" t="s">
        <v>1622</v>
      </c>
      <c r="C1632" s="14" t="s">
        <v>1641</v>
      </c>
      <c r="D1632" s="1"/>
      <c r="E1632" s="15"/>
      <c r="F1632" s="1" t="str">
        <f>IFERROR(__xludf.DUMMYFUNCTION("GOOGLETRANSLATE(B1632, ""en"", ""fa"")
"),"بهینه سازی سئو")</f>
        <v>بهینه سازی سئو</v>
      </c>
      <c r="G1632" s="1" t="str">
        <f>IFERROR(__xludf.DUMMYFUNCTION("GOOGLETRANSLATE(C1632, ""en"", ""fa"")
"),"مفهوم جریمه ها و استراتژی های موتورهای جستجو را برای اجتناب از دام های رایج سئو بررسی کنید.")</f>
        <v>مفهوم جریمه ها و استراتژی های موتورهای جستجو را برای اجتناب از دام های رایج سئو بررسی کنید.</v>
      </c>
      <c r="H1632" s="1"/>
      <c r="I1632" s="1"/>
      <c r="J1632" s="1"/>
      <c r="K1632" s="1"/>
      <c r="L1632" s="1"/>
      <c r="M1632" s="1"/>
      <c r="N1632" s="1"/>
      <c r="O1632" s="1"/>
      <c r="P1632" s="1"/>
      <c r="Q1632" s="1"/>
      <c r="R1632" s="1"/>
      <c r="S1632" s="1"/>
      <c r="T1632" s="1"/>
      <c r="U1632" s="1"/>
      <c r="V1632" s="1"/>
      <c r="W1632" s="1"/>
      <c r="X1632" s="1"/>
      <c r="Y1632" s="1"/>
      <c r="Z1632" s="1"/>
      <c r="AA1632" s="1"/>
      <c r="AB1632" s="1"/>
    </row>
    <row r="1633" ht="50.25" customHeight="1">
      <c r="A1633" s="12">
        <v>1629.0</v>
      </c>
      <c r="B1633" s="13" t="s">
        <v>1622</v>
      </c>
      <c r="C1633" s="14" t="s">
        <v>1642</v>
      </c>
      <c r="D1633" s="1"/>
      <c r="E1633" s="15"/>
      <c r="F1633" s="1" t="str">
        <f>IFERROR(__xludf.DUMMYFUNCTION("GOOGLETRANSLATE(B1633, ""en"", ""fa"")
"),"بهینه سازی سئو")</f>
        <v>بهینه سازی سئو</v>
      </c>
      <c r="G1633" s="1" t="str">
        <f>IFERROR(__xludf.DUMMYFUNCTION("GOOGLETRANSLATE(C1633, ""en"", ""fa"")
"),"در مورد اهمیت ممیزی منظم وب سایت و بهینه سازی برای حفظ عملکرد سئو قوی بحث کنید.")</f>
        <v>در مورد اهمیت ممیزی منظم وب سایت و بهینه سازی برای حفظ عملکرد سئو قوی بحث کنید.</v>
      </c>
      <c r="H1633" s="1"/>
      <c r="I1633" s="1"/>
      <c r="J1633" s="1"/>
      <c r="K1633" s="1"/>
      <c r="L1633" s="1"/>
      <c r="M1633" s="1"/>
      <c r="N1633" s="1"/>
      <c r="O1633" s="1"/>
      <c r="P1633" s="1"/>
      <c r="Q1633" s="1"/>
      <c r="R1633" s="1"/>
      <c r="S1633" s="1"/>
      <c r="T1633" s="1"/>
      <c r="U1633" s="1"/>
      <c r="V1633" s="1"/>
      <c r="W1633" s="1"/>
      <c r="X1633" s="1"/>
      <c r="Y1633" s="1"/>
      <c r="Z1633" s="1"/>
      <c r="AA1633" s="1"/>
      <c r="AB1633" s="1"/>
    </row>
    <row r="1634" ht="50.25" customHeight="1">
      <c r="A1634" s="12">
        <v>1630.0</v>
      </c>
      <c r="B1634" s="13" t="s">
        <v>1622</v>
      </c>
      <c r="C1634" s="14" t="s">
        <v>1643</v>
      </c>
      <c r="D1634" s="1"/>
      <c r="E1634" s="15"/>
      <c r="F1634" s="1" t="str">
        <f>IFERROR(__xludf.DUMMYFUNCTION("GOOGLETRANSLATE(B1634, ""en"", ""fa"")
"),"بهینه سازی سئو")</f>
        <v>بهینه سازی سئو</v>
      </c>
      <c r="G1634" s="1" t="str">
        <f>IFERROR(__xludf.DUMMYFUNCTION("GOOGLETRANSLATE(C1634, ""en"", ""fa"")
"),"استراتژی‌هایی را برای بهینه‌سازی محتوای وب‌سایت برای قطعه‌های غنی و افزایش دید در نتایج جستجو به اشتراک بگذارید.")</f>
        <v>استراتژی‌هایی را برای بهینه‌سازی محتوای وب‌سایت برای قطعه‌های غنی و افزایش دید در نتایج جستجو به اشتراک بگذارید.</v>
      </c>
      <c r="H1634" s="1"/>
      <c r="I1634" s="1"/>
      <c r="J1634" s="1"/>
      <c r="K1634" s="1"/>
      <c r="L1634" s="1"/>
      <c r="M1634" s="1"/>
      <c r="N1634" s="1"/>
      <c r="O1634" s="1"/>
      <c r="P1634" s="1"/>
      <c r="Q1634" s="1"/>
      <c r="R1634" s="1"/>
      <c r="S1634" s="1"/>
      <c r="T1634" s="1"/>
      <c r="U1634" s="1"/>
      <c r="V1634" s="1"/>
      <c r="W1634" s="1"/>
      <c r="X1634" s="1"/>
      <c r="Y1634" s="1"/>
      <c r="Z1634" s="1"/>
      <c r="AA1634" s="1"/>
      <c r="AB1634" s="1"/>
    </row>
    <row r="1635" ht="50.25" customHeight="1">
      <c r="A1635" s="12">
        <v>1631.0</v>
      </c>
      <c r="B1635" s="13" t="s">
        <v>1622</v>
      </c>
      <c r="C1635" s="14" t="s">
        <v>1644</v>
      </c>
      <c r="D1635" s="1"/>
      <c r="E1635" s="15"/>
      <c r="F1635" s="1" t="str">
        <f>IFERROR(__xludf.DUMMYFUNCTION("GOOGLETRANSLATE(B1635, ""en"", ""fa"")
"),"بهینه سازی سئو")</f>
        <v>بهینه سازی سئو</v>
      </c>
      <c r="G1635" s="1" t="str">
        <f>IFERROR(__xludf.DUMMYFUNCTION("GOOGLETRANSLATE(C1635, ""en"", ""fa"")
"),"مزایای ایجاد نقشه سایت XML و ارسال آن به موتورهای جستجو برای خزیدن بهتر را بررسی کنید.")</f>
        <v>مزایای ایجاد نقشه سایت XML و ارسال آن به موتورهای جستجو برای خزیدن بهتر را بررسی کنید.</v>
      </c>
      <c r="H1635" s="1"/>
      <c r="I1635" s="1"/>
      <c r="J1635" s="1"/>
      <c r="K1635" s="1"/>
      <c r="L1635" s="1"/>
      <c r="M1635" s="1"/>
      <c r="N1635" s="1"/>
      <c r="O1635" s="1"/>
      <c r="P1635" s="1"/>
      <c r="Q1635" s="1"/>
      <c r="R1635" s="1"/>
      <c r="S1635" s="1"/>
      <c r="T1635" s="1"/>
      <c r="U1635" s="1"/>
      <c r="V1635" s="1"/>
      <c r="W1635" s="1"/>
      <c r="X1635" s="1"/>
      <c r="Y1635" s="1"/>
      <c r="Z1635" s="1"/>
      <c r="AA1635" s="1"/>
      <c r="AB1635" s="1"/>
    </row>
    <row r="1636" ht="50.25" customHeight="1">
      <c r="A1636" s="12">
        <v>1632.0</v>
      </c>
      <c r="B1636" s="13" t="s">
        <v>1622</v>
      </c>
      <c r="C1636" s="14" t="s">
        <v>1645</v>
      </c>
      <c r="D1636" s="1"/>
      <c r="E1636" s="15"/>
      <c r="F1636" s="1" t="str">
        <f>IFERROR(__xludf.DUMMYFUNCTION("GOOGLETRANSLATE(B1636, ""en"", ""fa"")
"),"بهینه سازی سئو")</f>
        <v>بهینه سازی سئو</v>
      </c>
      <c r="G1636" s="1" t="str">
        <f>IFERROR(__xludf.DUMMYFUNCTION("GOOGLETRANSLATE(C1636, ""en"", ""fa"")
"),"در مورد نقش تازگی محتوا و به روز رسانی منظم در بهینه سازی سئو بحث کنید.")</f>
        <v>در مورد نقش تازگی محتوا و به روز رسانی منظم در بهینه سازی سئو بحث کنید.</v>
      </c>
      <c r="H1636" s="1"/>
      <c r="I1636" s="1"/>
      <c r="J1636" s="1"/>
      <c r="K1636" s="1"/>
      <c r="L1636" s="1"/>
      <c r="M1636" s="1"/>
      <c r="N1636" s="1"/>
      <c r="O1636" s="1"/>
      <c r="P1636" s="1"/>
      <c r="Q1636" s="1"/>
      <c r="R1636" s="1"/>
      <c r="S1636" s="1"/>
      <c r="T1636" s="1"/>
      <c r="U1636" s="1"/>
      <c r="V1636" s="1"/>
      <c r="W1636" s="1"/>
      <c r="X1636" s="1"/>
      <c r="Y1636" s="1"/>
      <c r="Z1636" s="1"/>
      <c r="AA1636" s="1"/>
      <c r="AB1636" s="1"/>
    </row>
    <row r="1637" ht="50.25" customHeight="1">
      <c r="A1637" s="12">
        <v>1633.0</v>
      </c>
      <c r="B1637" s="13" t="s">
        <v>1622</v>
      </c>
      <c r="C1637" s="14" t="s">
        <v>1646</v>
      </c>
      <c r="D1637" s="1"/>
      <c r="E1637" s="15"/>
      <c r="F1637" s="1" t="str">
        <f>IFERROR(__xludf.DUMMYFUNCTION("GOOGLETRANSLATE(B1637, ""en"", ""fa"")
"),"بهینه سازی سئو")</f>
        <v>بهینه سازی سئو</v>
      </c>
      <c r="G1637" s="1" t="str">
        <f>IFERROR(__xludf.DUMMYFUNCTION("GOOGLETRANSLATE(C1637, ""en"", ""fa"")
"),"نکاتی را برای بهینه سازی ناوبری وب سایت و ساختار سایت برای بهبود تجربه کاربر و رتبه بندی SEO به اشتراک بگذارید.")</f>
        <v>نکاتی را برای بهینه سازی ناوبری وب سایت و ساختار سایت برای بهبود تجربه کاربر و رتبه بندی SEO به اشتراک بگذارید.</v>
      </c>
      <c r="H1637" s="1"/>
      <c r="I1637" s="1"/>
      <c r="J1637" s="1"/>
      <c r="K1637" s="1"/>
      <c r="L1637" s="1"/>
      <c r="M1637" s="1"/>
      <c r="N1637" s="1"/>
      <c r="O1637" s="1"/>
      <c r="P1637" s="1"/>
      <c r="Q1637" s="1"/>
      <c r="R1637" s="1"/>
      <c r="S1637" s="1"/>
      <c r="T1637" s="1"/>
      <c r="U1637" s="1"/>
      <c r="V1637" s="1"/>
      <c r="W1637" s="1"/>
      <c r="X1637" s="1"/>
      <c r="Y1637" s="1"/>
      <c r="Z1637" s="1"/>
      <c r="AA1637" s="1"/>
      <c r="AB1637" s="1"/>
    </row>
    <row r="1638" ht="50.25" customHeight="1">
      <c r="A1638" s="12">
        <v>1634.0</v>
      </c>
      <c r="B1638" s="13" t="s">
        <v>1622</v>
      </c>
      <c r="C1638" s="14" t="s">
        <v>1647</v>
      </c>
      <c r="D1638" s="1"/>
      <c r="E1638" s="15"/>
      <c r="F1638" s="1" t="str">
        <f>IFERROR(__xludf.DUMMYFUNCTION("GOOGLETRANSLATE(B1638, ""en"", ""fa"")
"),"بهینه سازی سئو")</f>
        <v>بهینه سازی سئو</v>
      </c>
      <c r="G1638" s="1" t="str">
        <f>IFERROR(__xludf.DUMMYFUNCTION("GOOGLETRANSLATE(C1638, ""en"", ""fa"")
"),"مفهوم لینک سازی و استراتژی های به دست آوردن بک لینک های معتبر و با کیفیت بالا را بررسی کنید.")</f>
        <v>مفهوم لینک سازی و استراتژی های به دست آوردن بک لینک های معتبر و با کیفیت بالا را بررسی کنید.</v>
      </c>
      <c r="H1638" s="1"/>
      <c r="I1638" s="1"/>
      <c r="J1638" s="1"/>
      <c r="K1638" s="1"/>
      <c r="L1638" s="1"/>
      <c r="M1638" s="1"/>
      <c r="N1638" s="1"/>
      <c r="O1638" s="1"/>
      <c r="P1638" s="1"/>
      <c r="Q1638" s="1"/>
      <c r="R1638" s="1"/>
      <c r="S1638" s="1"/>
      <c r="T1638" s="1"/>
      <c r="U1638" s="1"/>
      <c r="V1638" s="1"/>
      <c r="W1638" s="1"/>
      <c r="X1638" s="1"/>
      <c r="Y1638" s="1"/>
      <c r="Z1638" s="1"/>
      <c r="AA1638" s="1"/>
      <c r="AB1638" s="1"/>
    </row>
    <row r="1639" ht="50.25" customHeight="1">
      <c r="A1639" s="12">
        <v>1635.0</v>
      </c>
      <c r="B1639" s="13" t="s">
        <v>1622</v>
      </c>
      <c r="C1639" s="14" t="s">
        <v>1648</v>
      </c>
      <c r="D1639" s="1"/>
      <c r="E1639" s="15"/>
      <c r="F1639" s="1" t="str">
        <f>IFERROR(__xludf.DUMMYFUNCTION("GOOGLETRANSLATE(B1639, ""en"", ""fa"")
"),"بهینه سازی سئو")</f>
        <v>بهینه سازی سئو</v>
      </c>
      <c r="G1639" s="1" t="str">
        <f>IFERROR(__xludf.DUMMYFUNCTION("GOOGLETRANSLATE(C1639, ""en"", ""fa"")
"),"درباره تاثیر سیگنال های اجتماعی و بازاریابی رسانه های اجتماعی بر عملکرد سئو بحث کنید.")</f>
        <v>درباره تاثیر سیگنال های اجتماعی و بازاریابی رسانه های اجتماعی بر عملکرد سئو بحث کنید.</v>
      </c>
      <c r="H1639" s="1"/>
      <c r="I1639" s="1"/>
      <c r="J1639" s="1"/>
      <c r="K1639" s="1"/>
      <c r="L1639" s="1"/>
      <c r="M1639" s="1"/>
      <c r="N1639" s="1"/>
      <c r="O1639" s="1"/>
      <c r="P1639" s="1"/>
      <c r="Q1639" s="1"/>
      <c r="R1639" s="1"/>
      <c r="S1639" s="1"/>
      <c r="T1639" s="1"/>
      <c r="U1639" s="1"/>
      <c r="V1639" s="1"/>
      <c r="W1639" s="1"/>
      <c r="X1639" s="1"/>
      <c r="Y1639" s="1"/>
      <c r="Z1639" s="1"/>
      <c r="AA1639" s="1"/>
      <c r="AB1639" s="1"/>
    </row>
    <row r="1640" ht="50.25" customHeight="1">
      <c r="A1640" s="12">
        <v>1636.0</v>
      </c>
      <c r="B1640" s="13" t="s">
        <v>1622</v>
      </c>
      <c r="C1640" s="14" t="s">
        <v>1649</v>
      </c>
      <c r="D1640" s="1"/>
      <c r="E1640" s="15"/>
      <c r="F1640" s="1" t="str">
        <f>IFERROR(__xludf.DUMMYFUNCTION("GOOGLETRANSLATE(B1640, ""en"", ""fa"")
"),"بهینه سازی سئو")</f>
        <v>بهینه سازی سئو</v>
      </c>
      <c r="G1640" s="1" t="str">
        <f>IFERROR(__xludf.DUMMYFUNCTION("GOOGLETRANSLATE(C1640, ""en"", ""fa"")
"),"استراتژی های بهینه سازی محتوای وب سایت برای کلمات کلیدی محلی و هدف گذاری جغرافیایی را به اشتراک بگذارید.")</f>
        <v>استراتژی های بهینه سازی محتوای وب سایت برای کلمات کلیدی محلی و هدف گذاری جغرافیایی را به اشتراک بگذارید.</v>
      </c>
      <c r="H1640" s="1"/>
      <c r="I1640" s="1"/>
      <c r="J1640" s="1"/>
      <c r="K1640" s="1"/>
      <c r="L1640" s="1"/>
      <c r="M1640" s="1"/>
      <c r="N1640" s="1"/>
      <c r="O1640" s="1"/>
      <c r="P1640" s="1"/>
      <c r="Q1640" s="1"/>
      <c r="R1640" s="1"/>
      <c r="S1640" s="1"/>
      <c r="T1640" s="1"/>
      <c r="U1640" s="1"/>
      <c r="V1640" s="1"/>
      <c r="W1640" s="1"/>
      <c r="X1640" s="1"/>
      <c r="Y1640" s="1"/>
      <c r="Z1640" s="1"/>
      <c r="AA1640" s="1"/>
      <c r="AB1640" s="1"/>
    </row>
    <row r="1641" ht="50.25" customHeight="1">
      <c r="A1641" s="12">
        <v>1637.0</v>
      </c>
      <c r="B1641" s="13" t="s">
        <v>1622</v>
      </c>
      <c r="C1641" s="14" t="s">
        <v>1650</v>
      </c>
      <c r="D1641" s="1"/>
      <c r="E1641" s="15"/>
      <c r="F1641" s="1" t="str">
        <f>IFERROR(__xludf.DUMMYFUNCTION("GOOGLETRANSLATE(B1641, ""en"", ""fa"")
"),"بهینه سازی سئو")</f>
        <v>بهینه سازی سئو</v>
      </c>
      <c r="G1641" s="1" t="str">
        <f>IFERROR(__xludf.DUMMYFUNCTION("GOOGLETRANSLATE(C1641, ""en"", ""fa"")
"),"مزایای ایجاد محتوای ستونی و دسته‌های موضوعی را برای دید بهتر سئو بررسی کنید.")</f>
        <v>مزایای ایجاد محتوای ستونی و دسته‌های موضوعی را برای دید بهتر سئو بررسی کنید.</v>
      </c>
      <c r="H1641" s="1"/>
      <c r="I1641" s="1"/>
      <c r="J1641" s="1"/>
      <c r="K1641" s="1"/>
      <c r="L1641" s="1"/>
      <c r="M1641" s="1"/>
      <c r="N1641" s="1"/>
      <c r="O1641" s="1"/>
      <c r="P1641" s="1"/>
      <c r="Q1641" s="1"/>
      <c r="R1641" s="1"/>
      <c r="S1641" s="1"/>
      <c r="T1641" s="1"/>
      <c r="U1641" s="1"/>
      <c r="V1641" s="1"/>
      <c r="W1641" s="1"/>
      <c r="X1641" s="1"/>
      <c r="Y1641" s="1"/>
      <c r="Z1641" s="1"/>
      <c r="AA1641" s="1"/>
      <c r="AB1641" s="1"/>
    </row>
    <row r="1642" ht="50.25" customHeight="1">
      <c r="A1642" s="12">
        <v>1638.0</v>
      </c>
      <c r="B1642" s="13" t="s">
        <v>1622</v>
      </c>
      <c r="C1642" s="14" t="s">
        <v>1651</v>
      </c>
      <c r="D1642" s="1"/>
      <c r="E1642" s="15"/>
      <c r="F1642" s="1" t="str">
        <f>IFERROR(__xludf.DUMMYFUNCTION("GOOGLETRANSLATE(B1642, ""en"", ""fa"")
"),"بهینه سازی سئو")</f>
        <v>بهینه سازی سئو</v>
      </c>
      <c r="G1642" s="1" t="str">
        <f>IFERROR(__xludf.DUMMYFUNCTION("GOOGLETRANSLATE(C1642, ""en"", ""fa"")
"),"در مورد نقش بررسی ها و رتبه بندی های تولید شده توسط کاربر در بهینه سازی سئو محلی بحث کنید.")</f>
        <v>در مورد نقش بررسی ها و رتبه بندی های تولید شده توسط کاربر در بهینه سازی سئو محلی بحث کنید.</v>
      </c>
      <c r="H1642" s="1"/>
      <c r="I1642" s="1"/>
      <c r="J1642" s="1"/>
      <c r="K1642" s="1"/>
      <c r="L1642" s="1"/>
      <c r="M1642" s="1"/>
      <c r="N1642" s="1"/>
      <c r="O1642" s="1"/>
      <c r="P1642" s="1"/>
      <c r="Q1642" s="1"/>
      <c r="R1642" s="1"/>
      <c r="S1642" s="1"/>
      <c r="T1642" s="1"/>
      <c r="U1642" s="1"/>
      <c r="V1642" s="1"/>
      <c r="W1642" s="1"/>
      <c r="X1642" s="1"/>
      <c r="Y1642" s="1"/>
      <c r="Z1642" s="1"/>
      <c r="AA1642" s="1"/>
      <c r="AB1642" s="1"/>
    </row>
    <row r="1643" ht="50.25" customHeight="1">
      <c r="A1643" s="12">
        <v>1639.0</v>
      </c>
      <c r="B1643" s="13" t="s">
        <v>1622</v>
      </c>
      <c r="C1643" s="14" t="s">
        <v>1652</v>
      </c>
      <c r="D1643" s="1"/>
      <c r="E1643" s="15"/>
      <c r="F1643" s="1" t="str">
        <f>IFERROR(__xludf.DUMMYFUNCTION("GOOGLETRANSLATE(B1643, ""en"", ""fa"")
"),"بهینه سازی سئو")</f>
        <v>بهینه سازی سئو</v>
      </c>
      <c r="G1643" s="1" t="str">
        <f>IFERROR(__xludf.DUMMYFUNCTION("GOOGLETRANSLATE(C1643, ""en"", ""fa"")
"),"نکاتی را برای بهینه‌سازی محتوای وب‌سایت برای نمایه‌سازی موبایل اول و طراحی واکنش‌گرا به اشتراک بگذارید.")</f>
        <v>نکاتی را برای بهینه‌سازی محتوای وب‌سایت برای نمایه‌سازی موبایل اول و طراحی واکنش‌گرا به اشتراک بگذارید.</v>
      </c>
      <c r="H1643" s="1"/>
      <c r="I1643" s="1"/>
      <c r="J1643" s="1"/>
      <c r="K1643" s="1"/>
      <c r="L1643" s="1"/>
      <c r="M1643" s="1"/>
      <c r="N1643" s="1"/>
      <c r="O1643" s="1"/>
      <c r="P1643" s="1"/>
      <c r="Q1643" s="1"/>
      <c r="R1643" s="1"/>
      <c r="S1643" s="1"/>
      <c r="T1643" s="1"/>
      <c r="U1643" s="1"/>
      <c r="V1643" s="1"/>
      <c r="W1643" s="1"/>
      <c r="X1643" s="1"/>
      <c r="Y1643" s="1"/>
      <c r="Z1643" s="1"/>
      <c r="AA1643" s="1"/>
      <c r="AB1643" s="1"/>
    </row>
    <row r="1644" ht="50.25" customHeight="1">
      <c r="A1644" s="12">
        <v>1640.0</v>
      </c>
      <c r="B1644" s="13" t="s">
        <v>1622</v>
      </c>
      <c r="C1644" s="14" t="s">
        <v>1653</v>
      </c>
      <c r="D1644" s="1"/>
      <c r="E1644" s="15"/>
      <c r="F1644" s="1" t="str">
        <f>IFERROR(__xludf.DUMMYFUNCTION("GOOGLETRANSLATE(B1644, ""en"", ""fa"")
"),"بهینه سازی سئو")</f>
        <v>بهینه سازی سئو</v>
      </c>
      <c r="G1644" s="1" t="str">
        <f>IFERROR(__xludf.DUMMYFUNCTION("GOOGLETRANSLATE(C1644, ""en"", ""fa"")
"),"مفهوم تجزیه و تحلیل سئو و استفاده از داده ها برای اندازه گیری و بهبود عملکرد سئو را بررسی کنید.")</f>
        <v>مفهوم تجزیه و تحلیل سئو و استفاده از داده ها برای اندازه گیری و بهبود عملکرد سئو را بررسی کنید.</v>
      </c>
      <c r="H1644" s="1"/>
      <c r="I1644" s="1"/>
      <c r="J1644" s="1"/>
      <c r="K1644" s="1"/>
      <c r="L1644" s="1"/>
      <c r="M1644" s="1"/>
      <c r="N1644" s="1"/>
      <c r="O1644" s="1"/>
      <c r="P1644" s="1"/>
      <c r="Q1644" s="1"/>
      <c r="R1644" s="1"/>
      <c r="S1644" s="1"/>
      <c r="T1644" s="1"/>
      <c r="U1644" s="1"/>
      <c r="V1644" s="1"/>
      <c r="W1644" s="1"/>
      <c r="X1644" s="1"/>
      <c r="Y1644" s="1"/>
      <c r="Z1644" s="1"/>
      <c r="AA1644" s="1"/>
      <c r="AB1644" s="1"/>
    </row>
    <row r="1645" ht="50.25" customHeight="1">
      <c r="A1645" s="12">
        <v>1641.0</v>
      </c>
      <c r="B1645" s="13" t="s">
        <v>1622</v>
      </c>
      <c r="C1645" s="14" t="s">
        <v>1654</v>
      </c>
      <c r="D1645" s="1"/>
      <c r="E1645" s="15"/>
      <c r="F1645" s="1" t="str">
        <f>IFERROR(__xludf.DUMMYFUNCTION("GOOGLETRANSLATE(B1645, ""en"", ""fa"")
"),"بهینه سازی سئو")</f>
        <v>بهینه سازی سئو</v>
      </c>
      <c r="G1645" s="1" t="str">
        <f>IFERROR(__xludf.DUMMYFUNCTION("GOOGLETRANSLATE(C1645, ""en"", ""fa"")
"),"در مورد اهمیت دسترسی به وب سایت و تأثیر آن بر رتبه بندی سئو بحث کنید.")</f>
        <v>در مورد اهمیت دسترسی به وب سایت و تأثیر آن بر رتبه بندی سئو بحث کنید.</v>
      </c>
      <c r="H1645" s="1"/>
      <c r="I1645" s="1"/>
      <c r="J1645" s="1"/>
      <c r="K1645" s="1"/>
      <c r="L1645" s="1"/>
      <c r="M1645" s="1"/>
      <c r="N1645" s="1"/>
      <c r="O1645" s="1"/>
      <c r="P1645" s="1"/>
      <c r="Q1645" s="1"/>
      <c r="R1645" s="1"/>
      <c r="S1645" s="1"/>
      <c r="T1645" s="1"/>
      <c r="U1645" s="1"/>
      <c r="V1645" s="1"/>
      <c r="W1645" s="1"/>
      <c r="X1645" s="1"/>
      <c r="Y1645" s="1"/>
      <c r="Z1645" s="1"/>
      <c r="AA1645" s="1"/>
      <c r="AB1645" s="1"/>
    </row>
    <row r="1646" ht="50.25" customHeight="1">
      <c r="A1646" s="12">
        <v>1642.0</v>
      </c>
      <c r="B1646" s="13" t="s">
        <v>1622</v>
      </c>
      <c r="C1646" s="14" t="s">
        <v>1655</v>
      </c>
      <c r="D1646" s="1"/>
      <c r="E1646" s="15"/>
      <c r="F1646" s="1" t="str">
        <f>IFERROR(__xludf.DUMMYFUNCTION("GOOGLETRANSLATE(B1646, ""en"", ""fa"")
"),"بهینه سازی سئو")</f>
        <v>بهینه سازی سئو</v>
      </c>
      <c r="G1646" s="1" t="str">
        <f>IFERROR(__xludf.DUMMYFUNCTION("GOOGLETRANSLATE(C1646, ""en"", ""fa"")
"),"استراتژی های بهینه سازی محتوای وب سایت برای مخاطبان بین المللی و سئوی چند زبانه را به اشتراک بگذارید.")</f>
        <v>استراتژی های بهینه سازی محتوای وب سایت برای مخاطبان بین المللی و سئوی چند زبانه را به اشتراک بگذارید.</v>
      </c>
      <c r="H1646" s="1"/>
      <c r="I1646" s="1"/>
      <c r="J1646" s="1"/>
      <c r="K1646" s="1"/>
      <c r="L1646" s="1"/>
      <c r="M1646" s="1"/>
      <c r="N1646" s="1"/>
      <c r="O1646" s="1"/>
      <c r="P1646" s="1"/>
      <c r="Q1646" s="1"/>
      <c r="R1646" s="1"/>
      <c r="S1646" s="1"/>
      <c r="T1646" s="1"/>
      <c r="U1646" s="1"/>
      <c r="V1646" s="1"/>
      <c r="W1646" s="1"/>
      <c r="X1646" s="1"/>
      <c r="Y1646" s="1"/>
      <c r="Z1646" s="1"/>
      <c r="AA1646" s="1"/>
      <c r="AB1646" s="1"/>
    </row>
    <row r="1647" ht="50.25" customHeight="1">
      <c r="A1647" s="12">
        <v>1643.0</v>
      </c>
      <c r="B1647" s="13" t="s">
        <v>1622</v>
      </c>
      <c r="C1647" s="14" t="s">
        <v>1656</v>
      </c>
      <c r="D1647" s="1"/>
      <c r="E1647" s="15"/>
      <c r="F1647" s="1" t="str">
        <f>IFERROR(__xludf.DUMMYFUNCTION("GOOGLETRANSLATE(B1647, ""en"", ""fa"")
"),"بهینه سازی سئو")</f>
        <v>بهینه سازی سئو</v>
      </c>
      <c r="G1647" s="1" t="str">
        <f>IFERROR(__xludf.DUMMYFUNCTION("GOOGLETRANSLATE(C1647, ""en"", ""fa"")
"),"مزایای بهینه سازی ناوبری وب سایت برای پیوند داخلی بهتر و تجربه کاربری را بررسی کنید.")</f>
        <v>مزایای بهینه سازی ناوبری وب سایت برای پیوند داخلی بهتر و تجربه کاربری را بررسی کنید.</v>
      </c>
      <c r="H1647" s="1"/>
      <c r="I1647" s="1"/>
      <c r="J1647" s="1"/>
      <c r="K1647" s="1"/>
      <c r="L1647" s="1"/>
      <c r="M1647" s="1"/>
      <c r="N1647" s="1"/>
      <c r="O1647" s="1"/>
      <c r="P1647" s="1"/>
      <c r="Q1647" s="1"/>
      <c r="R1647" s="1"/>
      <c r="S1647" s="1"/>
      <c r="T1647" s="1"/>
      <c r="U1647" s="1"/>
      <c r="V1647" s="1"/>
      <c r="W1647" s="1"/>
      <c r="X1647" s="1"/>
      <c r="Y1647" s="1"/>
      <c r="Z1647" s="1"/>
      <c r="AA1647" s="1"/>
      <c r="AB1647" s="1"/>
    </row>
    <row r="1648" ht="50.25" customHeight="1">
      <c r="A1648" s="12">
        <v>1644.0</v>
      </c>
      <c r="B1648" s="13" t="s">
        <v>1622</v>
      </c>
      <c r="C1648" s="14" t="s">
        <v>1657</v>
      </c>
      <c r="D1648" s="1"/>
      <c r="E1648" s="15"/>
      <c r="F1648" s="1" t="str">
        <f>IFERROR(__xludf.DUMMYFUNCTION("GOOGLETRANSLATE(B1648, ""en"", ""fa"")
"),"بهینه سازی سئو")</f>
        <v>بهینه سازی سئو</v>
      </c>
      <c r="G1648" s="1" t="str">
        <f>IFERROR(__xludf.DUMMYFUNCTION("GOOGLETRANSLATE(C1648, ""en"", ""fa"")
"),"در مورد نقش ارتقاء محتوا و گسترش در بهینه سازی سئو بحث کنید.")</f>
        <v>در مورد نقش ارتقاء محتوا و گسترش در بهینه سازی سئو بحث کنید.</v>
      </c>
      <c r="H1648" s="1"/>
      <c r="I1648" s="1"/>
      <c r="J1648" s="1"/>
      <c r="K1648" s="1"/>
      <c r="L1648" s="1"/>
      <c r="M1648" s="1"/>
      <c r="N1648" s="1"/>
      <c r="O1648" s="1"/>
      <c r="P1648" s="1"/>
      <c r="Q1648" s="1"/>
      <c r="R1648" s="1"/>
      <c r="S1648" s="1"/>
      <c r="T1648" s="1"/>
      <c r="U1648" s="1"/>
      <c r="V1648" s="1"/>
      <c r="W1648" s="1"/>
      <c r="X1648" s="1"/>
      <c r="Y1648" s="1"/>
      <c r="Z1648" s="1"/>
      <c r="AA1648" s="1"/>
      <c r="AB1648" s="1"/>
    </row>
    <row r="1649" ht="50.25" customHeight="1">
      <c r="A1649" s="12">
        <v>1645.0</v>
      </c>
      <c r="B1649" s="13" t="s">
        <v>1622</v>
      </c>
      <c r="C1649" s="14" t="s">
        <v>1658</v>
      </c>
      <c r="D1649" s="1"/>
      <c r="E1649" s="15"/>
      <c r="F1649" s="1" t="str">
        <f>IFERROR(__xludf.DUMMYFUNCTION("GOOGLETRANSLATE(B1649, ""en"", ""fa"")
"),"بهینه سازی سئو")</f>
        <v>بهینه سازی سئو</v>
      </c>
      <c r="G1649" s="1" t="str">
        <f>IFERROR(__xludf.DUMMYFUNCTION("GOOGLETRANSLATE(C1649, ""en"", ""fa"")
"),"نکاتی را برای بهینه سازی محتوای وب سایت برای جستجوی معنایی و پردازش زبان طبیعی به اشتراک بگذارید.")</f>
        <v>نکاتی را برای بهینه سازی محتوای وب سایت برای جستجوی معنایی و پردازش زبان طبیعی به اشتراک بگذارید.</v>
      </c>
      <c r="H1649" s="1"/>
      <c r="I1649" s="1"/>
      <c r="J1649" s="1"/>
      <c r="K1649" s="1"/>
      <c r="L1649" s="1"/>
      <c r="M1649" s="1"/>
      <c r="N1649" s="1"/>
      <c r="O1649" s="1"/>
      <c r="P1649" s="1"/>
      <c r="Q1649" s="1"/>
      <c r="R1649" s="1"/>
      <c r="S1649" s="1"/>
      <c r="T1649" s="1"/>
      <c r="U1649" s="1"/>
      <c r="V1649" s="1"/>
      <c r="W1649" s="1"/>
      <c r="X1649" s="1"/>
      <c r="Y1649" s="1"/>
      <c r="Z1649" s="1"/>
      <c r="AA1649" s="1"/>
      <c r="AB1649" s="1"/>
    </row>
    <row r="1650" ht="50.25" customHeight="1">
      <c r="A1650" s="12">
        <v>1646.0</v>
      </c>
      <c r="B1650" s="13" t="s">
        <v>1622</v>
      </c>
      <c r="C1650" s="14" t="s">
        <v>1659</v>
      </c>
      <c r="D1650" s="1"/>
      <c r="E1650" s="15"/>
      <c r="F1650" s="1" t="str">
        <f>IFERROR(__xludf.DUMMYFUNCTION("GOOGLETRANSLATE(B1650, ""en"", ""fa"")
"),"بهینه سازی سئو")</f>
        <v>بهینه سازی سئو</v>
      </c>
      <c r="G1650" s="1" t="str">
        <f>IFERROR(__xludf.DUMMYFUNCTION("GOOGLETRANSLATE(C1650, ""en"", ""fa"")
"),"مفهوم سیلوهای محتوا و استراتژی های سازماندهی محتوای وب سایت برای عملکرد بهتر سئو را بررسی کنید.")</f>
        <v>مفهوم سیلوهای محتوا و استراتژی های سازماندهی محتوای وب سایت برای عملکرد بهتر سئو را بررسی کنید.</v>
      </c>
      <c r="H1650" s="1"/>
      <c r="I1650" s="1"/>
      <c r="J1650" s="1"/>
      <c r="K1650" s="1"/>
      <c r="L1650" s="1"/>
      <c r="M1650" s="1"/>
      <c r="N1650" s="1"/>
      <c r="O1650" s="1"/>
      <c r="P1650" s="1"/>
      <c r="Q1650" s="1"/>
      <c r="R1650" s="1"/>
      <c r="S1650" s="1"/>
      <c r="T1650" s="1"/>
      <c r="U1650" s="1"/>
      <c r="V1650" s="1"/>
      <c r="W1650" s="1"/>
      <c r="X1650" s="1"/>
      <c r="Y1650" s="1"/>
      <c r="Z1650" s="1"/>
      <c r="AA1650" s="1"/>
      <c r="AB1650" s="1"/>
    </row>
    <row r="1651" ht="50.25" customHeight="1">
      <c r="A1651" s="12">
        <v>1647.0</v>
      </c>
      <c r="B1651" s="13" t="s">
        <v>1622</v>
      </c>
      <c r="C1651" s="14" t="s">
        <v>1660</v>
      </c>
      <c r="D1651" s="1"/>
      <c r="E1651" s="15"/>
      <c r="F1651" s="1" t="str">
        <f>IFERROR(__xludf.DUMMYFUNCTION("GOOGLETRANSLATE(B1651, ""en"", ""fa"")
"),"بهینه سازی سئو")</f>
        <v>بهینه سازی سئو</v>
      </c>
      <c r="G1651" s="1" t="str">
        <f>IFERROR(__xludf.DUMMYFUNCTION("GOOGLETRANSLATE(C1651, ""en"", ""fa"")
"),"درباره تأثیر نظرات و رتبه‌بندی‌های کاربران بر رتبه‌بندی سئوی محلی و مدیریت شهرت بحث کنید.")</f>
        <v>درباره تأثیر نظرات و رتبه‌بندی‌های کاربران بر رتبه‌بندی سئوی محلی و مدیریت شهرت بحث کنید.</v>
      </c>
      <c r="H1651" s="1"/>
      <c r="I1651" s="1"/>
      <c r="J1651" s="1"/>
      <c r="K1651" s="1"/>
      <c r="L1651" s="1"/>
      <c r="M1651" s="1"/>
      <c r="N1651" s="1"/>
      <c r="O1651" s="1"/>
      <c r="P1651" s="1"/>
      <c r="Q1651" s="1"/>
      <c r="R1651" s="1"/>
      <c r="S1651" s="1"/>
      <c r="T1651" s="1"/>
      <c r="U1651" s="1"/>
      <c r="V1651" s="1"/>
      <c r="W1651" s="1"/>
      <c r="X1651" s="1"/>
      <c r="Y1651" s="1"/>
      <c r="Z1651" s="1"/>
      <c r="AA1651" s="1"/>
      <c r="AB1651" s="1"/>
    </row>
    <row r="1652" ht="50.25" customHeight="1">
      <c r="A1652" s="12">
        <v>1648.0</v>
      </c>
      <c r="B1652" s="13" t="s">
        <v>1622</v>
      </c>
      <c r="C1652" s="14" t="s">
        <v>1661</v>
      </c>
      <c r="D1652" s="1"/>
      <c r="E1652" s="15"/>
      <c r="F1652" s="1" t="str">
        <f>IFERROR(__xludf.DUMMYFUNCTION("GOOGLETRANSLATE(B1652, ""en"", ""fa"")
"),"بهینه سازی سئو")</f>
        <v>بهینه سازی سئو</v>
      </c>
      <c r="G1652" s="1" t="str">
        <f>IFERROR(__xludf.DUMMYFUNCTION("GOOGLETRANSLATE(C1652, ""en"", ""fa"")
"),"استراتژی هایی برای بهینه سازی محتوای وب سایت برای کلمات کلیدی با تبدیل بالا و قصد کاربر به اشتراک بگذارید.")</f>
        <v>استراتژی هایی برای بهینه سازی محتوای وب سایت برای کلمات کلیدی با تبدیل بالا و قصد کاربر به اشتراک بگذارید.</v>
      </c>
      <c r="H1652" s="1"/>
      <c r="I1652" s="1"/>
      <c r="J1652" s="1"/>
      <c r="K1652" s="1"/>
      <c r="L1652" s="1"/>
      <c r="M1652" s="1"/>
      <c r="N1652" s="1"/>
      <c r="O1652" s="1"/>
      <c r="P1652" s="1"/>
      <c r="Q1652" s="1"/>
      <c r="R1652" s="1"/>
      <c r="S1652" s="1"/>
      <c r="T1652" s="1"/>
      <c r="U1652" s="1"/>
      <c r="V1652" s="1"/>
      <c r="W1652" s="1"/>
      <c r="X1652" s="1"/>
      <c r="Y1652" s="1"/>
      <c r="Z1652" s="1"/>
      <c r="AA1652" s="1"/>
      <c r="AB1652" s="1"/>
    </row>
    <row r="1653" ht="50.25" customHeight="1">
      <c r="A1653" s="12">
        <v>1649.0</v>
      </c>
      <c r="B1653" s="13" t="s">
        <v>1622</v>
      </c>
      <c r="C1653" s="14" t="s">
        <v>1662</v>
      </c>
      <c r="D1653" s="1"/>
      <c r="E1653" s="15"/>
      <c r="F1653" s="1" t="str">
        <f>IFERROR(__xludf.DUMMYFUNCTION("GOOGLETRANSLATE(B1653, ""en"", ""fa"")
"),"بهینه سازی سئو")</f>
        <v>بهینه سازی سئو</v>
      </c>
      <c r="G1653" s="1" t="str">
        <f>IFERROR(__xludf.DUMMYFUNCTION("GOOGLETRANSLATE(C1653, ""en"", ""fa"")
"),"مزایای اجرای نشانه گذاری داده های ساخت یافته را برای مشاهده بهتر در نتایج جستجو بررسی کنید.")</f>
        <v>مزایای اجرای نشانه گذاری داده های ساخت یافته را برای مشاهده بهتر در نتایج جستجو بررسی کنید.</v>
      </c>
      <c r="H1653" s="1"/>
      <c r="I1653" s="1"/>
      <c r="J1653" s="1"/>
      <c r="K1653" s="1"/>
      <c r="L1653" s="1"/>
      <c r="M1653" s="1"/>
      <c r="N1653" s="1"/>
      <c r="O1653" s="1"/>
      <c r="P1653" s="1"/>
      <c r="Q1653" s="1"/>
      <c r="R1653" s="1"/>
      <c r="S1653" s="1"/>
      <c r="T1653" s="1"/>
      <c r="U1653" s="1"/>
      <c r="V1653" s="1"/>
      <c r="W1653" s="1"/>
      <c r="X1653" s="1"/>
      <c r="Y1653" s="1"/>
      <c r="Z1653" s="1"/>
      <c r="AA1653" s="1"/>
      <c r="AB1653" s="1"/>
    </row>
    <row r="1654" ht="50.25" customHeight="1">
      <c r="A1654" s="12">
        <v>1650.0</v>
      </c>
      <c r="B1654" s="13" t="s">
        <v>1622</v>
      </c>
      <c r="C1654" s="14" t="s">
        <v>1663</v>
      </c>
      <c r="D1654" s="1"/>
      <c r="E1654" s="15"/>
      <c r="F1654" s="1" t="str">
        <f>IFERROR(__xludf.DUMMYFUNCTION("GOOGLETRANSLATE(B1654, ""en"", ""fa"")
"),"بهینه سازی سئو")</f>
        <v>بهینه سازی سئو</v>
      </c>
      <c r="G1654" s="1" t="str">
        <f>IFERROR(__xludf.DUMMYFUNCTION("GOOGLETRANSLATE(C1654, ""en"", ""fa"")
"),"در مورد نقش تجزیه و تحلیل رقبا در بهینه سازی سئو و استراتژی هایی برای جلوتر ماندن از رقبا بحث کنید.")</f>
        <v>در مورد نقش تجزیه و تحلیل رقبا در بهینه سازی سئو و استراتژی هایی برای جلوتر ماندن از رقبا بحث کنید.</v>
      </c>
      <c r="H1654" s="1"/>
      <c r="I1654" s="1"/>
      <c r="J1654" s="1"/>
      <c r="K1654" s="1"/>
      <c r="L1654" s="1"/>
      <c r="M1654" s="1"/>
      <c r="N1654" s="1"/>
      <c r="O1654" s="1"/>
      <c r="P1654" s="1"/>
      <c r="Q1654" s="1"/>
      <c r="R1654" s="1"/>
      <c r="S1654" s="1"/>
      <c r="T1654" s="1"/>
      <c r="U1654" s="1"/>
      <c r="V1654" s="1"/>
      <c r="W1654" s="1"/>
      <c r="X1654" s="1"/>
      <c r="Y1654" s="1"/>
      <c r="Z1654" s="1"/>
      <c r="AA1654" s="1"/>
      <c r="AB1654" s="1"/>
    </row>
    <row r="1655" ht="50.25" customHeight="1">
      <c r="A1655" s="12">
        <v>1651.0</v>
      </c>
      <c r="B1655" s="13" t="s">
        <v>1622</v>
      </c>
      <c r="C1655" s="14" t="s">
        <v>1664</v>
      </c>
      <c r="D1655" s="1"/>
      <c r="E1655" s="15"/>
      <c r="F1655" s="1" t="str">
        <f>IFERROR(__xludf.DUMMYFUNCTION("GOOGLETRANSLATE(B1655, ""en"", ""fa"")
"),"بهینه سازی سئو")</f>
        <v>بهینه سازی سئو</v>
      </c>
      <c r="G1655" s="1" t="str">
        <f>IFERROR(__xludf.DUMMYFUNCTION("GOOGLETRANSLATE(C1655, ""en"", ""fa"")
"),"نکاتی را برای بهینه‌سازی محتوای وب‌سایت برای جست‌وجوهای صوتی و دستگاه‌های دارای قابلیت صوتی به اشتراک بگذارید.")</f>
        <v>نکاتی را برای بهینه‌سازی محتوای وب‌سایت برای جست‌وجوهای صوتی و دستگاه‌های دارای قابلیت صوتی به اشتراک بگذارید.</v>
      </c>
      <c r="H1655" s="1"/>
      <c r="I1655" s="1"/>
      <c r="J1655" s="1"/>
      <c r="K1655" s="1"/>
      <c r="L1655" s="1"/>
      <c r="M1655" s="1"/>
      <c r="N1655" s="1"/>
      <c r="O1655" s="1"/>
      <c r="P1655" s="1"/>
      <c r="Q1655" s="1"/>
      <c r="R1655" s="1"/>
      <c r="S1655" s="1"/>
      <c r="T1655" s="1"/>
      <c r="U1655" s="1"/>
      <c r="V1655" s="1"/>
      <c r="W1655" s="1"/>
      <c r="X1655" s="1"/>
      <c r="Y1655" s="1"/>
      <c r="Z1655" s="1"/>
      <c r="AA1655" s="1"/>
      <c r="AB1655" s="1"/>
    </row>
    <row r="1656" ht="50.25" customHeight="1">
      <c r="A1656" s="12">
        <v>1652.0</v>
      </c>
      <c r="B1656" s="13" t="s">
        <v>1622</v>
      </c>
      <c r="C1656" s="14" t="s">
        <v>1665</v>
      </c>
      <c r="D1656" s="1"/>
      <c r="E1656" s="15"/>
      <c r="F1656" s="1" t="str">
        <f>IFERROR(__xludf.DUMMYFUNCTION("GOOGLETRANSLATE(B1656, ""en"", ""fa"")
"),"بهینه سازی سئو")</f>
        <v>بهینه سازی سئو</v>
      </c>
      <c r="G1656" s="1" t="str">
        <f>IFERROR(__xludf.DUMMYFUNCTION("GOOGLETRANSLATE(C1656, ""en"", ""fa"")
"),"درباره اهمیت ایجاد نقشه سایت XML و ارسال آن به موتورهای جستجو برای خزیدن بهتر بحث کنید.")</f>
        <v>درباره اهمیت ایجاد نقشه سایت XML و ارسال آن به موتورهای جستجو برای خزیدن بهتر بحث کنید.</v>
      </c>
      <c r="H1656" s="1"/>
      <c r="I1656" s="1"/>
      <c r="J1656" s="1"/>
      <c r="K1656" s="1"/>
      <c r="L1656" s="1"/>
      <c r="M1656" s="1"/>
      <c r="N1656" s="1"/>
      <c r="O1656" s="1"/>
      <c r="P1656" s="1"/>
      <c r="Q1656" s="1"/>
      <c r="R1656" s="1"/>
      <c r="S1656" s="1"/>
      <c r="T1656" s="1"/>
      <c r="U1656" s="1"/>
      <c r="V1656" s="1"/>
      <c r="W1656" s="1"/>
      <c r="X1656" s="1"/>
      <c r="Y1656" s="1"/>
      <c r="Z1656" s="1"/>
      <c r="AA1656" s="1"/>
      <c r="AB1656" s="1"/>
    </row>
    <row r="1657" ht="50.25" customHeight="1">
      <c r="A1657" s="12">
        <v>1653.0</v>
      </c>
      <c r="B1657" s="13" t="s">
        <v>1622</v>
      </c>
      <c r="C1657" s="14" t="s">
        <v>1666</v>
      </c>
      <c r="D1657" s="1"/>
      <c r="E1657" s="15"/>
      <c r="F1657" s="1" t="str">
        <f>IFERROR(__xludf.DUMMYFUNCTION("GOOGLETRANSLATE(B1657, ""en"", ""fa"")
"),"بهینه سازی سئو")</f>
        <v>بهینه سازی سئو</v>
      </c>
      <c r="G1657" s="1" t="str">
        <f>IFERROR(__xludf.DUMMYFUNCTION("GOOGLETRANSLATE(C1657, ""en"", ""fa"")
"),"نکاتی را برای بهینه سازی محتوای وب سایت برای کلمات کلیدی محلی و جستجوهای مبتنی بر مکان به اشتراک بگذارید.")</f>
        <v>نکاتی را برای بهینه سازی محتوای وب سایت برای کلمات کلیدی محلی و جستجوهای مبتنی بر مکان به اشتراک بگذارید.</v>
      </c>
      <c r="H1657" s="1"/>
      <c r="I1657" s="1"/>
      <c r="J1657" s="1"/>
      <c r="K1657" s="1"/>
      <c r="L1657" s="1"/>
      <c r="M1657" s="1"/>
      <c r="N1657" s="1"/>
      <c r="O1657" s="1"/>
      <c r="P1657" s="1"/>
      <c r="Q1657" s="1"/>
      <c r="R1657" s="1"/>
      <c r="S1657" s="1"/>
      <c r="T1657" s="1"/>
      <c r="U1657" s="1"/>
      <c r="V1657" s="1"/>
      <c r="W1657" s="1"/>
      <c r="X1657" s="1"/>
      <c r="Y1657" s="1"/>
      <c r="Z1657" s="1"/>
      <c r="AA1657" s="1"/>
      <c r="AB1657" s="1"/>
    </row>
    <row r="1658" ht="50.25" customHeight="1">
      <c r="A1658" s="12">
        <v>1654.0</v>
      </c>
      <c r="B1658" s="13" t="s">
        <v>1622</v>
      </c>
      <c r="C1658" s="14" t="s">
        <v>1667</v>
      </c>
      <c r="D1658" s="1"/>
      <c r="E1658" s="15"/>
      <c r="F1658" s="1" t="str">
        <f>IFERROR(__xludf.DUMMYFUNCTION("GOOGLETRANSLATE(B1658, ""en"", ""fa"")
"),"بهینه سازی سئو")</f>
        <v>بهینه سازی سئو</v>
      </c>
      <c r="G1658" s="1" t="str">
        <f>IFERROR(__xludf.DUMMYFUNCTION("GOOGLETRANSLATE(C1658, ""en"", ""fa"")
"),"مفهوم بهینه سازی URL های وب سایت را برای مشاهده بهتر موتورهای جستجو و تجربه کاربر بررسی کنید.")</f>
        <v>مفهوم بهینه سازی URL های وب سایت را برای مشاهده بهتر موتورهای جستجو و تجربه کاربر بررسی کنید.</v>
      </c>
      <c r="H1658" s="1"/>
      <c r="I1658" s="1"/>
      <c r="J1658" s="1"/>
      <c r="K1658" s="1"/>
      <c r="L1658" s="1"/>
      <c r="M1658" s="1"/>
      <c r="N1658" s="1"/>
      <c r="O1658" s="1"/>
      <c r="P1658" s="1"/>
      <c r="Q1658" s="1"/>
      <c r="R1658" s="1"/>
      <c r="S1658" s="1"/>
      <c r="T1658" s="1"/>
      <c r="U1658" s="1"/>
      <c r="V1658" s="1"/>
      <c r="W1658" s="1"/>
      <c r="X1658" s="1"/>
      <c r="Y1658" s="1"/>
      <c r="Z1658" s="1"/>
      <c r="AA1658" s="1"/>
      <c r="AB1658" s="1"/>
    </row>
    <row r="1659" ht="50.25" customHeight="1">
      <c r="A1659" s="12">
        <v>1655.0</v>
      </c>
      <c r="B1659" s="13" t="s">
        <v>1622</v>
      </c>
      <c r="C1659" s="14" t="s">
        <v>1668</v>
      </c>
      <c r="D1659" s="1"/>
      <c r="E1659" s="15"/>
      <c r="F1659" s="1" t="str">
        <f>IFERROR(__xludf.DUMMYFUNCTION("GOOGLETRANSLATE(B1659, ""en"", ""fa"")
"),"بهینه سازی سئو")</f>
        <v>بهینه سازی سئو</v>
      </c>
      <c r="G1659" s="1" t="str">
        <f>IFERROR(__xludf.DUMMYFUNCTION("GOOGLETRANSLATE(C1659, ""en"", ""fa"")
"),"در مورد تاثیر سیگنال های رسانه های اجتماعی بر رتبه بندی سئو و استراتژی های استفاده از رسانه های اجتماعی برای دید بهتر بحث کنید.")</f>
        <v>در مورد تاثیر سیگنال های رسانه های اجتماعی بر رتبه بندی سئو و استراتژی های استفاده از رسانه های اجتماعی برای دید بهتر بحث کنید.</v>
      </c>
      <c r="H1659" s="1"/>
      <c r="I1659" s="1"/>
      <c r="J1659" s="1"/>
      <c r="K1659" s="1"/>
      <c r="L1659" s="1"/>
      <c r="M1659" s="1"/>
      <c r="N1659" s="1"/>
      <c r="O1659" s="1"/>
      <c r="P1659" s="1"/>
      <c r="Q1659" s="1"/>
      <c r="R1659" s="1"/>
      <c r="S1659" s="1"/>
      <c r="T1659" s="1"/>
      <c r="U1659" s="1"/>
      <c r="V1659" s="1"/>
      <c r="W1659" s="1"/>
      <c r="X1659" s="1"/>
      <c r="Y1659" s="1"/>
      <c r="Z1659" s="1"/>
      <c r="AA1659" s="1"/>
      <c r="AB1659" s="1"/>
    </row>
    <row r="1660" ht="50.25" customHeight="1">
      <c r="A1660" s="12">
        <v>1656.0</v>
      </c>
      <c r="B1660" s="13" t="s">
        <v>1622</v>
      </c>
      <c r="C1660" s="14" t="s">
        <v>1669</v>
      </c>
      <c r="D1660" s="1"/>
      <c r="E1660" s="15"/>
      <c r="F1660" s="1" t="str">
        <f>IFERROR(__xludf.DUMMYFUNCTION("GOOGLETRANSLATE(B1660, ""en"", ""fa"")
"),"بهینه سازی سئو")</f>
        <v>بهینه سازی سئو</v>
      </c>
      <c r="G1660" s="1" t="str">
        <f>IFERROR(__xludf.DUMMYFUNCTION("GOOGLETRANSLATE(C1660, ""en"", ""fa"")
"),"استراتژی های بهینه سازی محتوای وب سایت برای جستجوی صوتی و جذب ترافیک جستجوی صوتی را به اشتراک بگذارید.")</f>
        <v>استراتژی های بهینه سازی محتوای وب سایت برای جستجوی صوتی و جذب ترافیک جستجوی صوتی را به اشتراک بگذارید.</v>
      </c>
      <c r="H1660" s="1"/>
      <c r="I1660" s="1"/>
      <c r="J1660" s="1"/>
      <c r="K1660" s="1"/>
      <c r="L1660" s="1"/>
      <c r="M1660" s="1"/>
      <c r="N1660" s="1"/>
      <c r="O1660" s="1"/>
      <c r="P1660" s="1"/>
      <c r="Q1660" s="1"/>
      <c r="R1660" s="1"/>
      <c r="S1660" s="1"/>
      <c r="T1660" s="1"/>
      <c r="U1660" s="1"/>
      <c r="V1660" s="1"/>
      <c r="W1660" s="1"/>
      <c r="X1660" s="1"/>
      <c r="Y1660" s="1"/>
      <c r="Z1660" s="1"/>
      <c r="AA1660" s="1"/>
      <c r="AB1660" s="1"/>
    </row>
    <row r="1661" ht="50.25" customHeight="1">
      <c r="A1661" s="12">
        <v>1657.0</v>
      </c>
      <c r="B1661" s="13" t="s">
        <v>1622</v>
      </c>
      <c r="C1661" s="14" t="s">
        <v>1670</v>
      </c>
      <c r="D1661" s="1"/>
      <c r="E1661" s="15"/>
      <c r="F1661" s="1" t="str">
        <f>IFERROR(__xludf.DUMMYFUNCTION("GOOGLETRANSLATE(B1661, ""en"", ""fa"")
"),"بهینه سازی سئو")</f>
        <v>بهینه سازی سئو</v>
      </c>
      <c r="G1661" s="1" t="str">
        <f>IFERROR(__xludf.DUMMYFUNCTION("GOOGLETRANSLATE(C1661, ""en"", ""fa"")
"),"مزایای بهینه سازی محتوای وب سایت برای قطعه های برجسته و افزایش دید در نتایج جستجو را بررسی کنید.")</f>
        <v>مزایای بهینه سازی محتوای وب سایت برای قطعه های برجسته و افزایش دید در نتایج جستجو را بررسی کنید.</v>
      </c>
      <c r="H1661" s="1"/>
      <c r="I1661" s="1"/>
      <c r="J1661" s="1"/>
      <c r="K1661" s="1"/>
      <c r="L1661" s="1"/>
      <c r="M1661" s="1"/>
      <c r="N1661" s="1"/>
      <c r="O1661" s="1"/>
      <c r="P1661" s="1"/>
      <c r="Q1661" s="1"/>
      <c r="R1661" s="1"/>
      <c r="S1661" s="1"/>
      <c r="T1661" s="1"/>
      <c r="U1661" s="1"/>
      <c r="V1661" s="1"/>
      <c r="W1661" s="1"/>
      <c r="X1661" s="1"/>
      <c r="Y1661" s="1"/>
      <c r="Z1661" s="1"/>
      <c r="AA1661" s="1"/>
      <c r="AB1661" s="1"/>
    </row>
    <row r="1662" ht="50.25" customHeight="1">
      <c r="A1662" s="12">
        <v>1658.0</v>
      </c>
      <c r="B1662" s="13" t="s">
        <v>1622</v>
      </c>
      <c r="C1662" s="14" t="s">
        <v>1671</v>
      </c>
      <c r="D1662" s="1"/>
      <c r="E1662" s="15"/>
      <c r="F1662" s="1" t="str">
        <f>IFERROR(__xludf.DUMMYFUNCTION("GOOGLETRANSLATE(B1662, ""en"", ""fa"")
"),"بهینه سازی سئو")</f>
        <v>بهینه سازی سئو</v>
      </c>
      <c r="G1662" s="1" t="str">
        <f>IFERROR(__xludf.DUMMYFUNCTION("GOOGLETRANSLATE(C1662, ""en"", ""fa"")
"),"در مورد نقش لینک سازی در بهینه سازی سئو و استراتژی های موثر برای به دست آوردن بک لینک های با کیفیت بالا بحث کنید.")</f>
        <v>در مورد نقش لینک سازی در بهینه سازی سئو و استراتژی های موثر برای به دست آوردن بک لینک های با کیفیت بالا بحث کنید.</v>
      </c>
      <c r="H1662" s="1"/>
      <c r="I1662" s="1"/>
      <c r="J1662" s="1"/>
      <c r="K1662" s="1"/>
      <c r="L1662" s="1"/>
      <c r="M1662" s="1"/>
      <c r="N1662" s="1"/>
      <c r="O1662" s="1"/>
      <c r="P1662" s="1"/>
      <c r="Q1662" s="1"/>
      <c r="R1662" s="1"/>
      <c r="S1662" s="1"/>
      <c r="T1662" s="1"/>
      <c r="U1662" s="1"/>
      <c r="V1662" s="1"/>
      <c r="W1662" s="1"/>
      <c r="X1662" s="1"/>
      <c r="Y1662" s="1"/>
      <c r="Z1662" s="1"/>
      <c r="AA1662" s="1"/>
      <c r="AB1662" s="1"/>
    </row>
    <row r="1663" ht="50.25" customHeight="1">
      <c r="A1663" s="12">
        <v>1659.0</v>
      </c>
      <c r="B1663" s="13" t="s">
        <v>1622</v>
      </c>
      <c r="C1663" s="14" t="s">
        <v>1672</v>
      </c>
      <c r="D1663" s="1"/>
      <c r="E1663" s="15"/>
      <c r="F1663" s="1" t="str">
        <f>IFERROR(__xludf.DUMMYFUNCTION("GOOGLETRANSLATE(B1663, ""en"", ""fa"")
"),"بهینه سازی سئو")</f>
        <v>بهینه سازی سئو</v>
      </c>
      <c r="G1663" s="1" t="str">
        <f>IFERROR(__xludf.DUMMYFUNCTION("GOOGLETRANSLATE(C1663, ""en"", ""fa"")
"),"نکاتی را برای بهینه سازی تصاویر وب سایت، از جمله نامگذاری صحیح فایل، تگ های alt و فشرده سازی تصویر به اشتراک بگذارید.")</f>
        <v>نکاتی را برای بهینه سازی تصاویر وب سایت، از جمله نامگذاری صحیح فایل، تگ های alt و فشرده سازی تصویر به اشتراک بگذارید.</v>
      </c>
      <c r="H1663" s="1"/>
      <c r="I1663" s="1"/>
      <c r="J1663" s="1"/>
      <c r="K1663" s="1"/>
      <c r="L1663" s="1"/>
      <c r="M1663" s="1"/>
      <c r="N1663" s="1"/>
      <c r="O1663" s="1"/>
      <c r="P1663" s="1"/>
      <c r="Q1663" s="1"/>
      <c r="R1663" s="1"/>
      <c r="S1663" s="1"/>
      <c r="T1663" s="1"/>
      <c r="U1663" s="1"/>
      <c r="V1663" s="1"/>
      <c r="W1663" s="1"/>
      <c r="X1663" s="1"/>
      <c r="Y1663" s="1"/>
      <c r="Z1663" s="1"/>
      <c r="AA1663" s="1"/>
      <c r="AB1663" s="1"/>
    </row>
    <row r="1664" ht="50.25" customHeight="1">
      <c r="A1664" s="12">
        <v>1660.0</v>
      </c>
      <c r="B1664" s="13" t="s">
        <v>1622</v>
      </c>
      <c r="C1664" s="14" t="s">
        <v>1673</v>
      </c>
      <c r="D1664" s="1"/>
      <c r="E1664" s="15"/>
      <c r="F1664" s="1" t="str">
        <f>IFERROR(__xludf.DUMMYFUNCTION("GOOGLETRANSLATE(B1664, ""en"", ""fa"")
"),"بهینه سازی سئو")</f>
        <v>بهینه سازی سئو</v>
      </c>
      <c r="G1664" s="1" t="str">
        <f>IFERROR(__xludf.DUMMYFUNCTION("GOOGLETRANSLATE(C1664, ""en"", ""fa"")
"),"مفهوم داده های ساختاریافته و نشانه گذاری طرحواره را در افزایش درک موتورهای جستجو از محتوای وب سایت کاوش کنید.")</f>
        <v>مفهوم داده های ساختاریافته و نشانه گذاری طرحواره را در افزایش درک موتورهای جستجو از محتوای وب سایت کاوش کنید.</v>
      </c>
      <c r="H1664" s="1"/>
      <c r="I1664" s="1"/>
      <c r="J1664" s="1"/>
      <c r="K1664" s="1"/>
      <c r="L1664" s="1"/>
      <c r="M1664" s="1"/>
      <c r="N1664" s="1"/>
      <c r="O1664" s="1"/>
      <c r="P1664" s="1"/>
      <c r="Q1664" s="1"/>
      <c r="R1664" s="1"/>
      <c r="S1664" s="1"/>
      <c r="T1664" s="1"/>
      <c r="U1664" s="1"/>
      <c r="V1664" s="1"/>
      <c r="W1664" s="1"/>
      <c r="X1664" s="1"/>
      <c r="Y1664" s="1"/>
      <c r="Z1664" s="1"/>
      <c r="AA1664" s="1"/>
      <c r="AB1664" s="1"/>
    </row>
    <row r="1665" ht="50.25" customHeight="1">
      <c r="A1665" s="12">
        <v>1661.0</v>
      </c>
      <c r="B1665" s="13" t="s">
        <v>1622</v>
      </c>
      <c r="C1665" s="14" t="s">
        <v>1674</v>
      </c>
      <c r="D1665" s="1"/>
      <c r="E1665" s="15"/>
      <c r="F1665" s="1" t="str">
        <f>IFERROR(__xludf.DUMMYFUNCTION("GOOGLETRANSLATE(B1665, ""en"", ""fa"")
"),"بهینه سازی سئو")</f>
        <v>بهینه سازی سئو</v>
      </c>
      <c r="G1665" s="1" t="str">
        <f>IFERROR(__xludf.DUMMYFUNCTION("GOOGLETRANSLATE(C1665, ""en"", ""fa"")
"),"در مورد اهمیت تجربه کاربری (UX) در بهینه سازی سئو و استراتژی هایی برای بهبود قابلیت استفاده وب سایت بحث کنید.")</f>
        <v>در مورد اهمیت تجربه کاربری (UX) در بهینه سازی سئو و استراتژی هایی برای بهبود قابلیت استفاده وب سایت بحث کنید.</v>
      </c>
      <c r="H1665" s="1"/>
      <c r="I1665" s="1"/>
      <c r="J1665" s="1"/>
      <c r="K1665" s="1"/>
      <c r="L1665" s="1"/>
      <c r="M1665" s="1"/>
      <c r="N1665" s="1"/>
      <c r="O1665" s="1"/>
      <c r="P1665" s="1"/>
      <c r="Q1665" s="1"/>
      <c r="R1665" s="1"/>
      <c r="S1665" s="1"/>
      <c r="T1665" s="1"/>
      <c r="U1665" s="1"/>
      <c r="V1665" s="1"/>
      <c r="W1665" s="1"/>
      <c r="X1665" s="1"/>
      <c r="Y1665" s="1"/>
      <c r="Z1665" s="1"/>
      <c r="AA1665" s="1"/>
      <c r="AB1665" s="1"/>
    </row>
    <row r="1666" ht="50.25" customHeight="1">
      <c r="A1666" s="12">
        <v>1662.0</v>
      </c>
      <c r="B1666" s="13" t="s">
        <v>1622</v>
      </c>
      <c r="C1666" s="14" t="s">
        <v>1675</v>
      </c>
      <c r="D1666" s="1"/>
      <c r="E1666" s="15"/>
      <c r="F1666" s="1" t="str">
        <f>IFERROR(__xludf.DUMMYFUNCTION("GOOGLETRANSLATE(B1666, ""en"", ""fa"")
"),"بهینه سازی سئو")</f>
        <v>بهینه سازی سئو</v>
      </c>
      <c r="G1666" s="1" t="str">
        <f>IFERROR(__xludf.DUMMYFUNCTION("GOOGLETRANSLATE(C1666, ""en"", ""fa"")
"),"استراتژی‌هایی را برای بهینه‌سازی محتوای وب‌سایت برای کلمات کلیدی طولانی و پرس و جوهای جستجوی خاص به اشتراک بگذارید.")</f>
        <v>استراتژی‌هایی را برای بهینه‌سازی محتوای وب‌سایت برای کلمات کلیدی طولانی و پرس و جوهای جستجوی خاص به اشتراک بگذارید.</v>
      </c>
      <c r="H1666" s="1"/>
      <c r="I1666" s="1"/>
      <c r="J1666" s="1"/>
      <c r="K1666" s="1"/>
      <c r="L1666" s="1"/>
      <c r="M1666" s="1"/>
      <c r="N1666" s="1"/>
      <c r="O1666" s="1"/>
      <c r="P1666" s="1"/>
      <c r="Q1666" s="1"/>
      <c r="R1666" s="1"/>
      <c r="S1666" s="1"/>
      <c r="T1666" s="1"/>
      <c r="U1666" s="1"/>
      <c r="V1666" s="1"/>
      <c r="W1666" s="1"/>
      <c r="X1666" s="1"/>
      <c r="Y1666" s="1"/>
      <c r="Z1666" s="1"/>
      <c r="AA1666" s="1"/>
      <c r="AB1666" s="1"/>
    </row>
    <row r="1667" ht="50.25" customHeight="1">
      <c r="A1667" s="12">
        <v>1663.0</v>
      </c>
      <c r="B1667" s="13" t="s">
        <v>1622</v>
      </c>
      <c r="C1667" s="14" t="s">
        <v>1676</v>
      </c>
      <c r="D1667" s="1"/>
      <c r="E1667" s="15"/>
      <c r="F1667" s="1" t="str">
        <f>IFERROR(__xludf.DUMMYFUNCTION("GOOGLETRANSLATE(B1667, ""en"", ""fa"")
"),"بهینه سازی سئو")</f>
        <v>بهینه سازی سئو</v>
      </c>
      <c r="G1667" s="1" t="str">
        <f>IFERROR(__xludf.DUMMYFUNCTION("GOOGLETRANSLATE(C1667, ""en"", ""fa"")
"),"مزایای ایجاد محتوای باکیفیت و آموزنده را برای ایجاد اعتبار و بهبود رتبه بندی سئو بررسی کنید.")</f>
        <v>مزایای ایجاد محتوای باکیفیت و آموزنده را برای ایجاد اعتبار و بهبود رتبه بندی سئو بررسی کنید.</v>
      </c>
      <c r="H1667" s="1"/>
      <c r="I1667" s="1"/>
      <c r="J1667" s="1"/>
      <c r="K1667" s="1"/>
      <c r="L1667" s="1"/>
      <c r="M1667" s="1"/>
      <c r="N1667" s="1"/>
      <c r="O1667" s="1"/>
      <c r="P1667" s="1"/>
      <c r="Q1667" s="1"/>
      <c r="R1667" s="1"/>
      <c r="S1667" s="1"/>
      <c r="T1667" s="1"/>
      <c r="U1667" s="1"/>
      <c r="V1667" s="1"/>
      <c r="W1667" s="1"/>
      <c r="X1667" s="1"/>
      <c r="Y1667" s="1"/>
      <c r="Z1667" s="1"/>
      <c r="AA1667" s="1"/>
      <c r="AB1667" s="1"/>
    </row>
    <row r="1668" ht="50.25" customHeight="1">
      <c r="A1668" s="12">
        <v>1664.0</v>
      </c>
      <c r="B1668" s="13" t="s">
        <v>1622</v>
      </c>
      <c r="C1668" s="14" t="s">
        <v>1677</v>
      </c>
      <c r="D1668" s="1"/>
      <c r="E1668" s="15"/>
      <c r="F1668" s="1" t="str">
        <f>IFERROR(__xludf.DUMMYFUNCTION("GOOGLETRANSLATE(B1668, ""en"", ""fa"")
"),"بهینه سازی سئو")</f>
        <v>بهینه سازی سئو</v>
      </c>
      <c r="G1668" s="1" t="str">
        <f>IFERROR(__xludf.DUMMYFUNCTION("GOOGLETRANSLATE(C1668, ""en"", ""fa"")
"),"در مورد نقش بهینه سازی متن لنگر در ساخت لینک و استراتژی های استفاده موثر از متن لنگر بحث کنید.")</f>
        <v>در مورد نقش بهینه سازی متن لنگر در ساخت لینک و استراتژی های استفاده موثر از متن لنگر بحث کنید.</v>
      </c>
      <c r="H1668" s="1"/>
      <c r="I1668" s="1"/>
      <c r="J1668" s="1"/>
      <c r="K1668" s="1"/>
      <c r="L1668" s="1"/>
      <c r="M1668" s="1"/>
      <c r="N1668" s="1"/>
      <c r="O1668" s="1"/>
      <c r="P1668" s="1"/>
      <c r="Q1668" s="1"/>
      <c r="R1668" s="1"/>
      <c r="S1668" s="1"/>
      <c r="T1668" s="1"/>
      <c r="U1668" s="1"/>
      <c r="V1668" s="1"/>
      <c r="W1668" s="1"/>
      <c r="X1668" s="1"/>
      <c r="Y1668" s="1"/>
      <c r="Z1668" s="1"/>
      <c r="AA1668" s="1"/>
      <c r="AB1668" s="1"/>
    </row>
    <row r="1669" ht="50.25" customHeight="1">
      <c r="A1669" s="12">
        <v>1665.0</v>
      </c>
      <c r="B1669" s="13" t="s">
        <v>1622</v>
      </c>
      <c r="C1669" s="14" t="s">
        <v>1678</v>
      </c>
      <c r="D1669" s="1"/>
      <c r="E1669" s="15"/>
      <c r="F1669" s="1" t="str">
        <f>IFERROR(__xludf.DUMMYFUNCTION("GOOGLETRANSLATE(B1669, ""en"", ""fa"")
"),"بهینه سازی سئو")</f>
        <v>بهینه سازی سئو</v>
      </c>
      <c r="G1669" s="1" t="str">
        <f>IFERROR(__xludf.DUMMYFUNCTION("GOOGLETRANSLATE(C1669, ""en"", ""fa"")
"),"نکاتی را برای بهینه سازی محتوای وب سایت برای دستگاه های تلفن همراه و اطمینان از طراحی واکنش گرا به اشتراک بگذارید.")</f>
        <v>نکاتی را برای بهینه سازی محتوای وب سایت برای دستگاه های تلفن همراه و اطمینان از طراحی واکنش گرا به اشتراک بگذارید.</v>
      </c>
      <c r="H1669" s="1"/>
      <c r="I1669" s="1"/>
      <c r="J1669" s="1"/>
      <c r="K1669" s="1"/>
      <c r="L1669" s="1"/>
      <c r="M1669" s="1"/>
      <c r="N1669" s="1"/>
      <c r="O1669" s="1"/>
      <c r="P1669" s="1"/>
      <c r="Q1669" s="1"/>
      <c r="R1669" s="1"/>
      <c r="S1669" s="1"/>
      <c r="T1669" s="1"/>
      <c r="U1669" s="1"/>
      <c r="V1669" s="1"/>
      <c r="W1669" s="1"/>
      <c r="X1669" s="1"/>
      <c r="Y1669" s="1"/>
      <c r="Z1669" s="1"/>
      <c r="AA1669" s="1"/>
      <c r="AB1669" s="1"/>
    </row>
    <row r="1670" ht="50.25" customHeight="1">
      <c r="A1670" s="12">
        <v>1666.0</v>
      </c>
      <c r="B1670" s="13" t="s">
        <v>1622</v>
      </c>
      <c r="C1670" s="14" t="s">
        <v>1679</v>
      </c>
      <c r="D1670" s="1"/>
      <c r="E1670" s="15"/>
      <c r="F1670" s="1" t="str">
        <f>IFERROR(__xludf.DUMMYFUNCTION("GOOGLETRANSLATE(B1670, ""en"", ""fa"")
"),"بهینه سازی سئو")</f>
        <v>بهینه سازی سئو</v>
      </c>
      <c r="G1670" s="1" t="str">
        <f>IFERROR(__xludf.DUMMYFUNCTION("GOOGLETRANSLATE(C1670, ""en"", ""fa"")
"),"مفهوم سئوی محلی و استراتژی‌هایی برای بهینه‌سازی فهرست‌ها و فهرست‌های کسب‌وکار محلی را بررسی کنید.")</f>
        <v>مفهوم سئوی محلی و استراتژی‌هایی برای بهینه‌سازی فهرست‌ها و فهرست‌های کسب‌وکار محلی را بررسی کنید.</v>
      </c>
      <c r="H1670" s="1"/>
      <c r="I1670" s="1"/>
      <c r="J1670" s="1"/>
      <c r="K1670" s="1"/>
      <c r="L1670" s="1"/>
      <c r="M1670" s="1"/>
      <c r="N1670" s="1"/>
      <c r="O1670" s="1"/>
      <c r="P1670" s="1"/>
      <c r="Q1670" s="1"/>
      <c r="R1670" s="1"/>
      <c r="S1670" s="1"/>
      <c r="T1670" s="1"/>
      <c r="U1670" s="1"/>
      <c r="V1670" s="1"/>
      <c r="W1670" s="1"/>
      <c r="X1670" s="1"/>
      <c r="Y1670" s="1"/>
      <c r="Z1670" s="1"/>
      <c r="AA1670" s="1"/>
      <c r="AB1670" s="1"/>
    </row>
    <row r="1671" ht="50.25" customHeight="1">
      <c r="A1671" s="12">
        <v>1667.0</v>
      </c>
      <c r="B1671" s="13" t="s">
        <v>1622</v>
      </c>
      <c r="C1671" s="14" t="s">
        <v>1680</v>
      </c>
      <c r="D1671" s="1"/>
      <c r="E1671" s="15"/>
      <c r="F1671" s="1" t="str">
        <f>IFERROR(__xludf.DUMMYFUNCTION("GOOGLETRANSLATE(B1671, ""en"", ""fa"")
"),"بهینه سازی سئو")</f>
        <v>بهینه سازی سئو</v>
      </c>
      <c r="G1671" s="1" t="str">
        <f>IFERROR(__xludf.DUMMYFUNCTION("GOOGLETRANSLATE(C1671, ""en"", ""fa"")
"),"در مورد تأثیر معیارهای تعامل کاربر، مانند زمان ماندن و نرخ کلیک، در رتبه بندی SEO بحث کنید.")</f>
        <v>در مورد تأثیر معیارهای تعامل کاربر، مانند زمان ماندن و نرخ کلیک، در رتبه بندی SEO بحث کنید.</v>
      </c>
      <c r="H1671" s="1"/>
      <c r="I1671" s="1"/>
      <c r="J1671" s="1"/>
      <c r="K1671" s="1"/>
      <c r="L1671" s="1"/>
      <c r="M1671" s="1"/>
      <c r="N1671" s="1"/>
      <c r="O1671" s="1"/>
      <c r="P1671" s="1"/>
      <c r="Q1671" s="1"/>
      <c r="R1671" s="1"/>
      <c r="S1671" s="1"/>
      <c r="T1671" s="1"/>
      <c r="U1671" s="1"/>
      <c r="V1671" s="1"/>
      <c r="W1671" s="1"/>
      <c r="X1671" s="1"/>
      <c r="Y1671" s="1"/>
      <c r="Z1671" s="1"/>
      <c r="AA1671" s="1"/>
      <c r="AB1671" s="1"/>
    </row>
    <row r="1672" ht="50.25" customHeight="1">
      <c r="A1672" s="12">
        <v>1668.0</v>
      </c>
      <c r="B1672" s="13" t="s">
        <v>1622</v>
      </c>
      <c r="C1672" s="14" t="s">
        <v>1681</v>
      </c>
      <c r="D1672" s="1"/>
      <c r="E1672" s="15"/>
      <c r="F1672" s="1" t="str">
        <f>IFERROR(__xludf.DUMMYFUNCTION("GOOGLETRANSLATE(B1672, ""en"", ""fa"")
"),"بهینه سازی سئو")</f>
        <v>بهینه سازی سئو</v>
      </c>
      <c r="G1672" s="1" t="str">
        <f>IFERROR(__xludf.DUMMYFUNCTION("GOOGLETRANSLATE(C1672, ""en"", ""fa"")
"),"استراتژی های بهینه سازی محتوای وب سایت برای سئوی ویدیو و افزایش دید در نتایج جستجوی ویدیو را به اشتراک بگذارید.")</f>
        <v>استراتژی های بهینه سازی محتوای وب سایت برای سئوی ویدیو و افزایش دید در نتایج جستجوی ویدیو را به اشتراک بگذارید.</v>
      </c>
      <c r="H1672" s="1"/>
      <c r="I1672" s="1"/>
      <c r="J1672" s="1"/>
      <c r="K1672" s="1"/>
      <c r="L1672" s="1"/>
      <c r="M1672" s="1"/>
      <c r="N1672" s="1"/>
      <c r="O1672" s="1"/>
      <c r="P1672" s="1"/>
      <c r="Q1672" s="1"/>
      <c r="R1672" s="1"/>
      <c r="S1672" s="1"/>
      <c r="T1672" s="1"/>
      <c r="U1672" s="1"/>
      <c r="V1672" s="1"/>
      <c r="W1672" s="1"/>
      <c r="X1672" s="1"/>
      <c r="Y1672" s="1"/>
      <c r="Z1672" s="1"/>
      <c r="AA1672" s="1"/>
      <c r="AB1672" s="1"/>
    </row>
    <row r="1673" ht="50.25" customHeight="1">
      <c r="A1673" s="12">
        <v>1669.0</v>
      </c>
      <c r="B1673" s="13" t="s">
        <v>1622</v>
      </c>
      <c r="C1673" s="14" t="s">
        <v>1682</v>
      </c>
      <c r="D1673" s="1"/>
      <c r="E1673" s="15"/>
      <c r="F1673" s="1" t="str">
        <f>IFERROR(__xludf.DUMMYFUNCTION("GOOGLETRANSLATE(B1673, ""en"", ""fa"")
"),"بهینه سازی سئو")</f>
        <v>بهینه سازی سئو</v>
      </c>
      <c r="G1673" s="1" t="str">
        <f>IFERROR(__xludf.DUMMYFUNCTION("GOOGLETRANSLATE(C1673, ""en"", ""fa"")
"),"مزایای ایجاد یک ساختار پیوند داخلی جامع برای بهبود خزیدن وب سایت را بررسی کنید.")</f>
        <v>مزایای ایجاد یک ساختار پیوند داخلی جامع برای بهبود خزیدن وب سایت را بررسی کنید.</v>
      </c>
      <c r="H1673" s="1"/>
      <c r="I1673" s="1"/>
      <c r="J1673" s="1"/>
      <c r="K1673" s="1"/>
      <c r="L1673" s="1"/>
      <c r="M1673" s="1"/>
      <c r="N1673" s="1"/>
      <c r="O1673" s="1"/>
      <c r="P1673" s="1"/>
      <c r="Q1673" s="1"/>
      <c r="R1673" s="1"/>
      <c r="S1673" s="1"/>
      <c r="T1673" s="1"/>
      <c r="U1673" s="1"/>
      <c r="V1673" s="1"/>
      <c r="W1673" s="1"/>
      <c r="X1673" s="1"/>
      <c r="Y1673" s="1"/>
      <c r="Z1673" s="1"/>
      <c r="AA1673" s="1"/>
      <c r="AB1673" s="1"/>
    </row>
    <row r="1674" ht="50.25" customHeight="1">
      <c r="A1674" s="12">
        <v>1670.0</v>
      </c>
      <c r="B1674" s="13" t="s">
        <v>1622</v>
      </c>
      <c r="C1674" s="14" t="s">
        <v>1683</v>
      </c>
      <c r="D1674" s="1"/>
      <c r="E1674" s="15"/>
      <c r="F1674" s="1" t="str">
        <f>IFERROR(__xludf.DUMMYFUNCTION("GOOGLETRANSLATE(B1674, ""en"", ""fa"")
"),"بهینه سازی سئو")</f>
        <v>بهینه سازی سئو</v>
      </c>
      <c r="G1674" s="1" t="str">
        <f>IFERROR(__xludf.DUMMYFUNCTION("GOOGLETRANSLATE(C1674, ""en"", ""fa"")
"),"در مورد نقش محتوای تولید شده توسط کاربر در بهینه سازی سئو و استراتژی هایی برای تشویق نظرات و نظرات کاربران بحث کنید.")</f>
        <v>در مورد نقش محتوای تولید شده توسط کاربر در بهینه سازی سئو و استراتژی هایی برای تشویق نظرات و نظرات کاربران بحث کنید.</v>
      </c>
      <c r="H1674" s="1"/>
      <c r="I1674" s="1"/>
      <c r="J1674" s="1"/>
      <c r="K1674" s="1"/>
      <c r="L1674" s="1"/>
      <c r="M1674" s="1"/>
      <c r="N1674" s="1"/>
      <c r="O1674" s="1"/>
      <c r="P1674" s="1"/>
      <c r="Q1674" s="1"/>
      <c r="R1674" s="1"/>
      <c r="S1674" s="1"/>
      <c r="T1674" s="1"/>
      <c r="U1674" s="1"/>
      <c r="V1674" s="1"/>
      <c r="W1674" s="1"/>
      <c r="X1674" s="1"/>
      <c r="Y1674" s="1"/>
      <c r="Z1674" s="1"/>
      <c r="AA1674" s="1"/>
      <c r="AB1674" s="1"/>
    </row>
    <row r="1675" ht="50.25" customHeight="1">
      <c r="A1675" s="12">
        <v>1671.0</v>
      </c>
      <c r="B1675" s="13" t="s">
        <v>1622</v>
      </c>
      <c r="C1675" s="14" t="s">
        <v>1684</v>
      </c>
      <c r="D1675" s="1"/>
      <c r="E1675" s="15"/>
      <c r="F1675" s="1" t="str">
        <f>IFERROR(__xludf.DUMMYFUNCTION("GOOGLETRANSLATE(B1675, ""en"", ""fa"")
"),"بهینه سازی سئو")</f>
        <v>بهینه سازی سئو</v>
      </c>
      <c r="G1675" s="1" t="str">
        <f>IFERROR(__xludf.DUMMYFUNCTION("GOOGLETRANSLATE(C1675, ""en"", ""fa"")
"),"نکاتی را برای بهینه سازی محتوای وب سایت برای پاسخ های سریع و نمایش در نمودار دانش Google به اشتراک بگذارید.")</f>
        <v>نکاتی را برای بهینه سازی محتوای وب سایت برای پاسخ های سریع و نمایش در نمودار دانش Google به اشتراک بگذارید.</v>
      </c>
      <c r="H1675" s="1"/>
      <c r="I1675" s="1"/>
      <c r="J1675" s="1"/>
      <c r="K1675" s="1"/>
      <c r="L1675" s="1"/>
      <c r="M1675" s="1"/>
      <c r="N1675" s="1"/>
      <c r="O1675" s="1"/>
      <c r="P1675" s="1"/>
      <c r="Q1675" s="1"/>
      <c r="R1675" s="1"/>
      <c r="S1675" s="1"/>
      <c r="T1675" s="1"/>
      <c r="U1675" s="1"/>
      <c r="V1675" s="1"/>
      <c r="W1675" s="1"/>
      <c r="X1675" s="1"/>
      <c r="Y1675" s="1"/>
      <c r="Z1675" s="1"/>
      <c r="AA1675" s="1"/>
      <c r="AB1675" s="1"/>
    </row>
    <row r="1676" ht="50.25" customHeight="1">
      <c r="A1676" s="12">
        <v>1672.0</v>
      </c>
      <c r="B1676" s="13" t="s">
        <v>1622</v>
      </c>
      <c r="C1676" s="14" t="s">
        <v>1685</v>
      </c>
      <c r="D1676" s="1"/>
      <c r="E1676" s="15"/>
      <c r="F1676" s="1" t="str">
        <f>IFERROR(__xludf.DUMMYFUNCTION("GOOGLETRANSLATE(B1676, ""en"", ""fa"")
"),"بهینه سازی سئو")</f>
        <v>بهینه سازی سئو</v>
      </c>
      <c r="G1676" s="1" t="str">
        <f>IFERROR(__xludf.DUMMYFUNCTION("GOOGLETRANSLATE(C1676, ""en"", ""fa"")
"),"مفهوم E-A-T (تخصص، اقتدار، اعتماد) و تأثیر آن بر رتبه بندی SEO را بررسی کنید.")</f>
        <v>مفهوم E-A-T (تخصص، اقتدار، اعتماد) و تأثیر آن بر رتبه بندی SEO را بررسی کنید.</v>
      </c>
      <c r="H1676" s="1"/>
      <c r="I1676" s="1"/>
      <c r="J1676" s="1"/>
      <c r="K1676" s="1"/>
      <c r="L1676" s="1"/>
      <c r="M1676" s="1"/>
      <c r="N1676" s="1"/>
      <c r="O1676" s="1"/>
      <c r="P1676" s="1"/>
      <c r="Q1676" s="1"/>
      <c r="R1676" s="1"/>
      <c r="S1676" s="1"/>
      <c r="T1676" s="1"/>
      <c r="U1676" s="1"/>
      <c r="V1676" s="1"/>
      <c r="W1676" s="1"/>
      <c r="X1676" s="1"/>
      <c r="Y1676" s="1"/>
      <c r="Z1676" s="1"/>
      <c r="AA1676" s="1"/>
      <c r="AB1676" s="1"/>
    </row>
    <row r="1677" ht="50.25" customHeight="1">
      <c r="A1677" s="12">
        <v>1673.0</v>
      </c>
      <c r="B1677" s="13" t="s">
        <v>1622</v>
      </c>
      <c r="C1677" s="14" t="s">
        <v>1686</v>
      </c>
      <c r="D1677" s="1"/>
      <c r="E1677" s="15"/>
      <c r="F1677" s="1" t="str">
        <f>IFERROR(__xludf.DUMMYFUNCTION("GOOGLETRANSLATE(B1677, ""en"", ""fa"")
"),"بهینه سازی سئو")</f>
        <v>بهینه سازی سئو</v>
      </c>
      <c r="G1677" s="1" t="str">
        <f>IFERROR(__xludf.DUMMYFUNCTION("GOOGLETRANSLATE(C1677, ""en"", ""fa"")
"),"در مورد اهمیت امنیت وب سایت و رمزگذاری HTTPS در بهینه سازی سئو بحث کنید.")</f>
        <v>در مورد اهمیت امنیت وب سایت و رمزگذاری HTTPS در بهینه سازی سئو بحث کنید.</v>
      </c>
      <c r="H1677" s="1"/>
      <c r="I1677" s="1"/>
      <c r="J1677" s="1"/>
      <c r="K1677" s="1"/>
      <c r="L1677" s="1"/>
      <c r="M1677" s="1"/>
      <c r="N1677" s="1"/>
      <c r="O1677" s="1"/>
      <c r="P1677" s="1"/>
      <c r="Q1677" s="1"/>
      <c r="R1677" s="1"/>
      <c r="S1677" s="1"/>
      <c r="T1677" s="1"/>
      <c r="U1677" s="1"/>
      <c r="V1677" s="1"/>
      <c r="W1677" s="1"/>
      <c r="X1677" s="1"/>
      <c r="Y1677" s="1"/>
      <c r="Z1677" s="1"/>
      <c r="AA1677" s="1"/>
      <c r="AB1677" s="1"/>
    </row>
    <row r="1678" ht="50.25" customHeight="1">
      <c r="A1678" s="12">
        <v>1674.0</v>
      </c>
      <c r="B1678" s="13" t="s">
        <v>1622</v>
      </c>
      <c r="C1678" s="14" t="s">
        <v>1687</v>
      </c>
      <c r="D1678" s="1"/>
      <c r="E1678" s="15"/>
      <c r="F1678" s="1" t="str">
        <f>IFERROR(__xludf.DUMMYFUNCTION("GOOGLETRANSLATE(B1678, ""en"", ""fa"")
"),"بهینه سازی سئو")</f>
        <v>بهینه سازی سئو</v>
      </c>
      <c r="G1678" s="1" t="str">
        <f>IFERROR(__xludf.DUMMYFUNCTION("GOOGLETRANSLATE(C1678, ""en"", ""fa"")
"),"استراتژی های بهینه سازی محتوای وب سایت برای سئوی بین المللی و دستیابی به مخاطبان جهانی را به اشتراک بگذارید.")</f>
        <v>استراتژی های بهینه سازی محتوای وب سایت برای سئوی بین المللی و دستیابی به مخاطبان جهانی را به اشتراک بگذارید.</v>
      </c>
      <c r="H1678" s="1"/>
      <c r="I1678" s="1"/>
      <c r="J1678" s="1"/>
      <c r="K1678" s="1"/>
      <c r="L1678" s="1"/>
      <c r="M1678" s="1"/>
      <c r="N1678" s="1"/>
      <c r="O1678" s="1"/>
      <c r="P1678" s="1"/>
      <c r="Q1678" s="1"/>
      <c r="R1678" s="1"/>
      <c r="S1678" s="1"/>
      <c r="T1678" s="1"/>
      <c r="U1678" s="1"/>
      <c r="V1678" s="1"/>
      <c r="W1678" s="1"/>
      <c r="X1678" s="1"/>
      <c r="Y1678" s="1"/>
      <c r="Z1678" s="1"/>
      <c r="AA1678" s="1"/>
      <c r="AB1678" s="1"/>
    </row>
    <row r="1679" ht="50.25" customHeight="1">
      <c r="A1679" s="12">
        <v>1675.0</v>
      </c>
      <c r="B1679" s="13" t="s">
        <v>1622</v>
      </c>
      <c r="C1679" s="14" t="s">
        <v>1688</v>
      </c>
      <c r="D1679" s="1"/>
      <c r="E1679" s="15"/>
      <c r="F1679" s="1" t="str">
        <f>IFERROR(__xludf.DUMMYFUNCTION("GOOGLETRANSLATE(B1679, ""en"", ""fa"")
"),"بهینه سازی سئو")</f>
        <v>بهینه سازی سئو</v>
      </c>
      <c r="G1679" s="1" t="str">
        <f>IFERROR(__xludf.DUMMYFUNCTION("GOOGLETRANSLATE(C1679, ""en"", ""fa"")
"),"مزایای بهینه سازی سرعت و عملکرد وب سایت برای تجربه کاربری بهتر و رتبه بندی SEO را بررسی کنید.")</f>
        <v>مزایای بهینه سازی سرعت و عملکرد وب سایت برای تجربه کاربری بهتر و رتبه بندی SEO را بررسی کنید.</v>
      </c>
      <c r="H1679" s="1"/>
      <c r="I1679" s="1"/>
      <c r="J1679" s="1"/>
      <c r="K1679" s="1"/>
      <c r="L1679" s="1"/>
      <c r="M1679" s="1"/>
      <c r="N1679" s="1"/>
      <c r="O1679" s="1"/>
      <c r="P1679" s="1"/>
      <c r="Q1679" s="1"/>
      <c r="R1679" s="1"/>
      <c r="S1679" s="1"/>
      <c r="T1679" s="1"/>
      <c r="U1679" s="1"/>
      <c r="V1679" s="1"/>
      <c r="W1679" s="1"/>
      <c r="X1679" s="1"/>
      <c r="Y1679" s="1"/>
      <c r="Z1679" s="1"/>
      <c r="AA1679" s="1"/>
      <c r="AB1679" s="1"/>
    </row>
    <row r="1680" ht="50.25" customHeight="1">
      <c r="A1680" s="12">
        <v>1676.0</v>
      </c>
      <c r="B1680" s="13" t="s">
        <v>1622</v>
      </c>
      <c r="C1680" s="14" t="s">
        <v>1689</v>
      </c>
      <c r="D1680" s="1"/>
      <c r="E1680" s="15"/>
      <c r="F1680" s="1" t="str">
        <f>IFERROR(__xludf.DUMMYFUNCTION("GOOGLETRANSLATE(B1680, ""en"", ""fa"")
"),"بهینه سازی سئو")</f>
        <v>بهینه سازی سئو</v>
      </c>
      <c r="G1680" s="1" t="str">
        <f>IFERROR(__xludf.DUMMYFUNCTION("GOOGLETRANSLATE(C1680, ""en"", ""fa"")
"),"در مورد نقش استفاده مجدد و بازیافت محتوا در به حداکثر رساندن تأثیر سئو و دستیابی به مخاطبان بیشتر بحث کنید.")</f>
        <v>در مورد نقش استفاده مجدد و بازیافت محتوا در به حداکثر رساندن تأثیر سئو و دستیابی به مخاطبان بیشتر بحث کنید.</v>
      </c>
      <c r="H1680" s="1"/>
      <c r="I1680" s="1"/>
      <c r="J1680" s="1"/>
      <c r="K1680" s="1"/>
      <c r="L1680" s="1"/>
      <c r="M1680" s="1"/>
      <c r="N1680" s="1"/>
      <c r="O1680" s="1"/>
      <c r="P1680" s="1"/>
      <c r="Q1680" s="1"/>
      <c r="R1680" s="1"/>
      <c r="S1680" s="1"/>
      <c r="T1680" s="1"/>
      <c r="U1680" s="1"/>
      <c r="V1680" s="1"/>
      <c r="W1680" s="1"/>
      <c r="X1680" s="1"/>
      <c r="Y1680" s="1"/>
      <c r="Z1680" s="1"/>
      <c r="AA1680" s="1"/>
      <c r="AB1680" s="1"/>
    </row>
    <row r="1681" ht="50.25" customHeight="1">
      <c r="A1681" s="12">
        <v>1677.0</v>
      </c>
      <c r="B1681" s="13" t="s">
        <v>1622</v>
      </c>
      <c r="C1681" s="14" t="s">
        <v>1690</v>
      </c>
      <c r="D1681" s="1"/>
      <c r="E1681" s="15"/>
      <c r="F1681" s="1" t="str">
        <f>IFERROR(__xludf.DUMMYFUNCTION("GOOGLETRANSLATE(B1681, ""en"", ""fa"")
"),"بهینه سازی سئو")</f>
        <v>بهینه سازی سئو</v>
      </c>
      <c r="G1681" s="1" t="str">
        <f>IFERROR(__xludf.DUMMYFUNCTION("GOOGLETRANSLATE(C1681, ""en"", ""fa"")
"),"مفهوم عمق و جامعیت محتوا در بهبود دید موتورهای جستجو را بررسی کنید.")</f>
        <v>مفهوم عمق و جامعیت محتوا در بهبود دید موتورهای جستجو را بررسی کنید.</v>
      </c>
      <c r="H1681" s="1"/>
      <c r="I1681" s="1"/>
      <c r="J1681" s="1"/>
      <c r="K1681" s="1"/>
      <c r="L1681" s="1"/>
      <c r="M1681" s="1"/>
      <c r="N1681" s="1"/>
      <c r="O1681" s="1"/>
      <c r="P1681" s="1"/>
      <c r="Q1681" s="1"/>
      <c r="R1681" s="1"/>
      <c r="S1681" s="1"/>
      <c r="T1681" s="1"/>
      <c r="U1681" s="1"/>
      <c r="V1681" s="1"/>
      <c r="W1681" s="1"/>
      <c r="X1681" s="1"/>
      <c r="Y1681" s="1"/>
      <c r="Z1681" s="1"/>
      <c r="AA1681" s="1"/>
      <c r="AB1681" s="1"/>
    </row>
    <row r="1682" ht="50.25" customHeight="1">
      <c r="A1682" s="12">
        <v>1678.0</v>
      </c>
      <c r="B1682" s="13" t="s">
        <v>1622</v>
      </c>
      <c r="C1682" s="14" t="s">
        <v>1691</v>
      </c>
      <c r="D1682" s="1"/>
      <c r="E1682" s="15"/>
      <c r="F1682" s="1" t="str">
        <f>IFERROR(__xludf.DUMMYFUNCTION("GOOGLETRANSLATE(B1682, ""en"", ""fa"")
"),"بهینه سازی سئو")</f>
        <v>بهینه سازی سئو</v>
      </c>
      <c r="G1682" s="1" t="str">
        <f>IFERROR(__xludf.DUMMYFUNCTION("GOOGLETRANSLATE(C1682, ""en"", ""fa"")
"),"در مورد تأثیر نشانک گذاری اجتماعی و اشتراک گذاری اجتماعی بر عملکرد سئو بحث کنید.")</f>
        <v>در مورد تأثیر نشانک گذاری اجتماعی و اشتراک گذاری اجتماعی بر عملکرد سئو بحث کنید.</v>
      </c>
      <c r="H1682" s="1"/>
      <c r="I1682" s="1"/>
      <c r="J1682" s="1"/>
      <c r="K1682" s="1"/>
      <c r="L1682" s="1"/>
      <c r="M1682" s="1"/>
      <c r="N1682" s="1"/>
      <c r="O1682" s="1"/>
      <c r="P1682" s="1"/>
      <c r="Q1682" s="1"/>
      <c r="R1682" s="1"/>
      <c r="S1682" s="1"/>
      <c r="T1682" s="1"/>
      <c r="U1682" s="1"/>
      <c r="V1682" s="1"/>
      <c r="W1682" s="1"/>
      <c r="X1682" s="1"/>
      <c r="Y1682" s="1"/>
      <c r="Z1682" s="1"/>
      <c r="AA1682" s="1"/>
      <c r="AB1682" s="1"/>
    </row>
    <row r="1683" ht="50.25" customHeight="1">
      <c r="A1683" s="12">
        <v>1679.0</v>
      </c>
      <c r="B1683" s="13" t="s">
        <v>1622</v>
      </c>
      <c r="C1683" s="14" t="s">
        <v>1692</v>
      </c>
      <c r="D1683" s="1"/>
      <c r="E1683" s="15"/>
      <c r="F1683" s="1" t="str">
        <f>IFERROR(__xludf.DUMMYFUNCTION("GOOGLETRANSLATE(B1683, ""en"", ""fa"")
"),"بهینه سازی سئو")</f>
        <v>بهینه سازی سئو</v>
      </c>
      <c r="G1683" s="1" t="str">
        <f>IFERROR(__xludf.DUMMYFUNCTION("GOOGLETRANSLATE(C1683, ""en"", ""fa"")
"),"استراتژی هایی برای بهینه سازی محتوای وب سایت برای قطعه های غنی و افزایش دید در قطعه های نتایج جستجو به اشتراک بگذارید.")</f>
        <v>استراتژی هایی برای بهینه سازی محتوای وب سایت برای قطعه های غنی و افزایش دید در قطعه های نتایج جستجو به اشتراک بگذارید.</v>
      </c>
      <c r="H1683" s="1"/>
      <c r="I1683" s="1"/>
      <c r="J1683" s="1"/>
      <c r="K1683" s="1"/>
      <c r="L1683" s="1"/>
      <c r="M1683" s="1"/>
      <c r="N1683" s="1"/>
      <c r="O1683" s="1"/>
      <c r="P1683" s="1"/>
      <c r="Q1683" s="1"/>
      <c r="R1683" s="1"/>
      <c r="S1683" s="1"/>
      <c r="T1683" s="1"/>
      <c r="U1683" s="1"/>
      <c r="V1683" s="1"/>
      <c r="W1683" s="1"/>
      <c r="X1683" s="1"/>
      <c r="Y1683" s="1"/>
      <c r="Z1683" s="1"/>
      <c r="AA1683" s="1"/>
      <c r="AB1683" s="1"/>
    </row>
    <row r="1684" ht="50.25" customHeight="1">
      <c r="A1684" s="12">
        <v>1680.0</v>
      </c>
      <c r="B1684" s="13" t="s">
        <v>1622</v>
      </c>
      <c r="C1684" s="14" t="s">
        <v>1693</v>
      </c>
      <c r="D1684" s="1"/>
      <c r="E1684" s="15"/>
      <c r="F1684" s="1" t="str">
        <f>IFERROR(__xludf.DUMMYFUNCTION("GOOGLETRANSLATE(B1684, ""en"", ""fa"")
"),"بهینه سازی سئو")</f>
        <v>بهینه سازی سئو</v>
      </c>
      <c r="G1684" s="1" t="str">
        <f>IFERROR(__xludf.DUMMYFUNCTION("GOOGLETRANSLATE(C1684, ""en"", ""fa"")
"),"مزایای بهینه‌سازی محتوای وب‌سایت را برای کادرهای پرسش (PAA) در نتایج جستجو نیز بررسی کنید.")</f>
        <v>مزایای بهینه‌سازی محتوای وب‌سایت را برای کادرهای پرسش (PAA) در نتایج جستجو نیز بررسی کنید.</v>
      </c>
      <c r="H1684" s="1"/>
      <c r="I1684" s="1"/>
      <c r="J1684" s="1"/>
      <c r="K1684" s="1"/>
      <c r="L1684" s="1"/>
      <c r="M1684" s="1"/>
      <c r="N1684" s="1"/>
      <c r="O1684" s="1"/>
      <c r="P1684" s="1"/>
      <c r="Q1684" s="1"/>
      <c r="R1684" s="1"/>
      <c r="S1684" s="1"/>
      <c r="T1684" s="1"/>
      <c r="U1684" s="1"/>
      <c r="V1684" s="1"/>
      <c r="W1684" s="1"/>
      <c r="X1684" s="1"/>
      <c r="Y1684" s="1"/>
      <c r="Z1684" s="1"/>
      <c r="AA1684" s="1"/>
      <c r="AB1684" s="1"/>
    </row>
    <row r="1685" ht="50.25" customHeight="1">
      <c r="A1685" s="12">
        <v>1681.0</v>
      </c>
      <c r="B1685" s="13" t="s">
        <v>1622</v>
      </c>
      <c r="C1685" s="14" t="s">
        <v>1694</v>
      </c>
      <c r="D1685" s="1"/>
      <c r="E1685" s="15"/>
      <c r="F1685" s="1" t="str">
        <f>IFERROR(__xludf.DUMMYFUNCTION("GOOGLETRANSLATE(B1685, ""en"", ""fa"")
"),"بهینه سازی سئو")</f>
        <v>بهینه سازی سئو</v>
      </c>
      <c r="G1685" s="1" t="str">
        <f>IFERROR(__xludf.DUMMYFUNCTION("GOOGLETRANSLATE(C1685, ""en"", ""fa"")
"),"در مورد نقش بررسی آنلاین و مدیریت شهرت در بهینه سازی سئو محلی بحث کنید.")</f>
        <v>در مورد نقش بررسی آنلاین و مدیریت شهرت در بهینه سازی سئو محلی بحث کنید.</v>
      </c>
      <c r="H1685" s="1"/>
      <c r="I1685" s="1"/>
      <c r="J1685" s="1"/>
      <c r="K1685" s="1"/>
      <c r="L1685" s="1"/>
      <c r="M1685" s="1"/>
      <c r="N1685" s="1"/>
      <c r="O1685" s="1"/>
      <c r="P1685" s="1"/>
      <c r="Q1685" s="1"/>
      <c r="R1685" s="1"/>
      <c r="S1685" s="1"/>
      <c r="T1685" s="1"/>
      <c r="U1685" s="1"/>
      <c r="V1685" s="1"/>
      <c r="W1685" s="1"/>
      <c r="X1685" s="1"/>
      <c r="Y1685" s="1"/>
      <c r="Z1685" s="1"/>
      <c r="AA1685" s="1"/>
      <c r="AB1685" s="1"/>
    </row>
    <row r="1686" ht="50.25" customHeight="1">
      <c r="A1686" s="12">
        <v>1682.0</v>
      </c>
      <c r="B1686" s="13" t="s">
        <v>1622</v>
      </c>
      <c r="C1686" s="14" t="s">
        <v>1695</v>
      </c>
      <c r="D1686" s="1"/>
      <c r="E1686" s="15"/>
      <c r="F1686" s="1" t="str">
        <f>IFERROR(__xludf.DUMMYFUNCTION("GOOGLETRANSLATE(B1686, ""en"", ""fa"")
"),"بهینه سازی سئو")</f>
        <v>بهینه سازی سئو</v>
      </c>
      <c r="G1686" s="1" t="str">
        <f>IFERROR(__xludf.DUMMYFUNCTION("GOOGLETRANSLATE(C1686, ""en"", ""fa"")
"),"نکاتی را برای بهینه سازی محتوای وب سایت برای جستجوی تصویر و استفاده از عناصر بصری برای سئو به اشتراک بگذارید.")</f>
        <v>نکاتی را برای بهینه سازی محتوای وب سایت برای جستجوی تصویر و استفاده از عناصر بصری برای سئو به اشتراک بگذارید.</v>
      </c>
      <c r="H1686" s="1"/>
      <c r="I1686" s="1"/>
      <c r="J1686" s="1"/>
      <c r="K1686" s="1"/>
      <c r="L1686" s="1"/>
      <c r="M1686" s="1"/>
      <c r="N1686" s="1"/>
      <c r="O1686" s="1"/>
      <c r="P1686" s="1"/>
      <c r="Q1686" s="1"/>
      <c r="R1686" s="1"/>
      <c r="S1686" s="1"/>
      <c r="T1686" s="1"/>
      <c r="U1686" s="1"/>
      <c r="V1686" s="1"/>
      <c r="W1686" s="1"/>
      <c r="X1686" s="1"/>
      <c r="Y1686" s="1"/>
      <c r="Z1686" s="1"/>
      <c r="AA1686" s="1"/>
      <c r="AB1686" s="1"/>
    </row>
    <row r="1687" ht="50.25" customHeight="1">
      <c r="A1687" s="12">
        <v>1683.0</v>
      </c>
      <c r="B1687" s="13" t="s">
        <v>1622</v>
      </c>
      <c r="C1687" s="14" t="s">
        <v>1696</v>
      </c>
      <c r="D1687" s="1"/>
      <c r="E1687" s="15"/>
      <c r="F1687" s="1" t="str">
        <f>IFERROR(__xludf.DUMMYFUNCTION("GOOGLETRANSLATE(B1687, ""en"", ""fa"")
"),"بهینه سازی سئو")</f>
        <v>بهینه سازی سئو</v>
      </c>
      <c r="G1687" s="1" t="str">
        <f>IFERROR(__xludf.DUMMYFUNCTION("GOOGLETRANSLATE(C1687, ""en"", ""fa"")
"),"مفهوم معماری سایت و سازماندهی محتوای وب سایت برای بهبود عملکرد سئو را بررسی کنید.")</f>
        <v>مفهوم معماری سایت و سازماندهی محتوای وب سایت برای بهبود عملکرد سئو را بررسی کنید.</v>
      </c>
      <c r="H1687" s="1"/>
      <c r="I1687" s="1"/>
      <c r="J1687" s="1"/>
      <c r="K1687" s="1"/>
      <c r="L1687" s="1"/>
      <c r="M1687" s="1"/>
      <c r="N1687" s="1"/>
      <c r="O1687" s="1"/>
      <c r="P1687" s="1"/>
      <c r="Q1687" s="1"/>
      <c r="R1687" s="1"/>
      <c r="S1687" s="1"/>
      <c r="T1687" s="1"/>
      <c r="U1687" s="1"/>
      <c r="V1687" s="1"/>
      <c r="W1687" s="1"/>
      <c r="X1687" s="1"/>
      <c r="Y1687" s="1"/>
      <c r="Z1687" s="1"/>
      <c r="AA1687" s="1"/>
      <c r="AB1687" s="1"/>
    </row>
    <row r="1688" ht="50.25" customHeight="1">
      <c r="A1688" s="12">
        <v>1684.0</v>
      </c>
      <c r="B1688" s="13" t="s">
        <v>1622</v>
      </c>
      <c r="C1688" s="14" t="s">
        <v>1697</v>
      </c>
      <c r="D1688" s="1"/>
      <c r="E1688" s="15"/>
      <c r="F1688" s="1" t="str">
        <f>IFERROR(__xludf.DUMMYFUNCTION("GOOGLETRANSLATE(B1688, ""en"", ""fa"")
"),"بهینه سازی سئو")</f>
        <v>بهینه سازی سئو</v>
      </c>
      <c r="G1688" s="1" t="str">
        <f>IFERROR(__xludf.DUMMYFUNCTION("GOOGLETRANSLATE(C1688, ""en"", ""fa"")
"),"در مورد تأثیر ایندکس کردن موبایل اول بر رتبه بندی سئو و استراتژی های بهینه سازی برای دستگاه های تلفن همراه بحث کنید.")</f>
        <v>در مورد تأثیر ایندکس کردن موبایل اول بر رتبه بندی سئو و استراتژی های بهینه سازی برای دستگاه های تلفن همراه بحث کنید.</v>
      </c>
      <c r="H1688" s="1"/>
      <c r="I1688" s="1"/>
      <c r="J1688" s="1"/>
      <c r="K1688" s="1"/>
      <c r="L1688" s="1"/>
      <c r="M1688" s="1"/>
      <c r="N1688" s="1"/>
      <c r="O1688" s="1"/>
      <c r="P1688" s="1"/>
      <c r="Q1688" s="1"/>
      <c r="R1688" s="1"/>
      <c r="S1688" s="1"/>
      <c r="T1688" s="1"/>
      <c r="U1688" s="1"/>
      <c r="V1688" s="1"/>
      <c r="W1688" s="1"/>
      <c r="X1688" s="1"/>
      <c r="Y1688" s="1"/>
      <c r="Z1688" s="1"/>
      <c r="AA1688" s="1"/>
      <c r="AB1688" s="1"/>
    </row>
    <row r="1689" ht="50.25" customHeight="1">
      <c r="A1689" s="12">
        <v>1685.0</v>
      </c>
      <c r="B1689" s="13" t="s">
        <v>1622</v>
      </c>
      <c r="C1689" s="14" t="s">
        <v>1698</v>
      </c>
      <c r="D1689" s="1"/>
      <c r="E1689" s="15"/>
      <c r="F1689" s="1" t="str">
        <f>IFERROR(__xludf.DUMMYFUNCTION("GOOGLETRANSLATE(B1689, ""en"", ""fa"")
"),"بهینه سازی سئو")</f>
        <v>بهینه سازی سئو</v>
      </c>
      <c r="G1689" s="1" t="str">
        <f>IFERROR(__xludf.DUMMYFUNCTION("GOOGLETRANSLATE(C1689, ""en"", ""fa"")
"),"استراتژی های بهینه سازی محتوای وب سایت را برای مقالات طولانی و راهنماهای جامع به اشتراک بگذارید.")</f>
        <v>استراتژی های بهینه سازی محتوای وب سایت را برای مقالات طولانی و راهنماهای جامع به اشتراک بگذارید.</v>
      </c>
      <c r="H1689" s="1"/>
      <c r="I1689" s="1"/>
      <c r="J1689" s="1"/>
      <c r="K1689" s="1"/>
      <c r="L1689" s="1"/>
      <c r="M1689" s="1"/>
      <c r="N1689" s="1"/>
      <c r="O1689" s="1"/>
      <c r="P1689" s="1"/>
      <c r="Q1689" s="1"/>
      <c r="R1689" s="1"/>
      <c r="S1689" s="1"/>
      <c r="T1689" s="1"/>
      <c r="U1689" s="1"/>
      <c r="V1689" s="1"/>
      <c r="W1689" s="1"/>
      <c r="X1689" s="1"/>
      <c r="Y1689" s="1"/>
      <c r="Z1689" s="1"/>
      <c r="AA1689" s="1"/>
      <c r="AB1689" s="1"/>
    </row>
    <row r="1690" ht="50.25" customHeight="1">
      <c r="A1690" s="12">
        <v>1686.0</v>
      </c>
      <c r="B1690" s="13" t="s">
        <v>1622</v>
      </c>
      <c r="C1690" s="14" t="s">
        <v>1699</v>
      </c>
      <c r="D1690" s="1"/>
      <c r="E1690" s="15"/>
      <c r="F1690" s="1" t="str">
        <f>IFERROR(__xludf.DUMMYFUNCTION("GOOGLETRANSLATE(B1690, ""en"", ""fa"")
"),"بهینه سازی سئو")</f>
        <v>بهینه سازی سئو</v>
      </c>
      <c r="G1690" s="1" t="str">
        <f>IFERROR(__xludf.DUMMYFUNCTION("GOOGLETRANSLATE(C1690, ""en"", ""fa"")
"),"مزایای اجرای استراتژی توزیع محتوا برای افزایش بک لینک و ترافیک ارجاع را بررسی کنید.")</f>
        <v>مزایای اجرای استراتژی توزیع محتوا برای افزایش بک لینک و ترافیک ارجاع را بررسی کنید.</v>
      </c>
      <c r="H1690" s="1"/>
      <c r="I1690" s="1"/>
      <c r="J1690" s="1"/>
      <c r="K1690" s="1"/>
      <c r="L1690" s="1"/>
      <c r="M1690" s="1"/>
      <c r="N1690" s="1"/>
      <c r="O1690" s="1"/>
      <c r="P1690" s="1"/>
      <c r="Q1690" s="1"/>
      <c r="R1690" s="1"/>
      <c r="S1690" s="1"/>
      <c r="T1690" s="1"/>
      <c r="U1690" s="1"/>
      <c r="V1690" s="1"/>
      <c r="W1690" s="1"/>
      <c r="X1690" s="1"/>
      <c r="Y1690" s="1"/>
      <c r="Z1690" s="1"/>
      <c r="AA1690" s="1"/>
      <c r="AB1690" s="1"/>
    </row>
    <row r="1691" ht="50.25" customHeight="1">
      <c r="A1691" s="12">
        <v>1687.0</v>
      </c>
      <c r="B1691" s="13" t="s">
        <v>1622</v>
      </c>
      <c r="C1691" s="14" t="s">
        <v>1700</v>
      </c>
      <c r="D1691" s="1"/>
      <c r="E1691" s="15"/>
      <c r="F1691" s="1" t="str">
        <f>IFERROR(__xludf.DUMMYFUNCTION("GOOGLETRANSLATE(B1691, ""en"", ""fa"")
"),"بهینه سازی سئو")</f>
        <v>بهینه سازی سئو</v>
      </c>
      <c r="G1691" s="1" t="str">
        <f>IFERROR(__xludf.DUMMYFUNCTION("GOOGLETRANSLATE(C1691, ""en"", ""fa"")
"),"در مورد اهمیت نظارت و تجزیه و تحلیل عملکرد سئو با استفاده از ابزارهای تحلیلی بحث کنید.")</f>
        <v>در مورد اهمیت نظارت و تجزیه و تحلیل عملکرد سئو با استفاده از ابزارهای تحلیلی بحث کنید.</v>
      </c>
      <c r="H1691" s="1"/>
      <c r="I1691" s="1"/>
      <c r="J1691" s="1"/>
      <c r="K1691" s="1"/>
      <c r="L1691" s="1"/>
      <c r="M1691" s="1"/>
      <c r="N1691" s="1"/>
      <c r="O1691" s="1"/>
      <c r="P1691" s="1"/>
      <c r="Q1691" s="1"/>
      <c r="R1691" s="1"/>
      <c r="S1691" s="1"/>
      <c r="T1691" s="1"/>
      <c r="U1691" s="1"/>
      <c r="V1691" s="1"/>
      <c r="W1691" s="1"/>
      <c r="X1691" s="1"/>
      <c r="Y1691" s="1"/>
      <c r="Z1691" s="1"/>
      <c r="AA1691" s="1"/>
      <c r="AB1691" s="1"/>
    </row>
    <row r="1692" ht="50.25" customHeight="1">
      <c r="A1692" s="12">
        <v>1688.0</v>
      </c>
      <c r="B1692" s="13" t="s">
        <v>1622</v>
      </c>
      <c r="C1692" s="14" t="s">
        <v>1701</v>
      </c>
      <c r="D1692" s="1"/>
      <c r="E1692" s="15"/>
      <c r="F1692" s="1" t="str">
        <f>IFERROR(__xludf.DUMMYFUNCTION("GOOGLETRANSLATE(B1692, ""en"", ""fa"")
"),"بهینه سازی سئو")</f>
        <v>بهینه سازی سئو</v>
      </c>
      <c r="G1692" s="1" t="str">
        <f>IFERROR(__xludf.DUMMYFUNCTION("GOOGLETRANSLATE(C1692, ""en"", ""fa"")
"),"نکاتی را برای بهینه سازی محتوای وب سایت برای کلمات کلیدی و رویدادهای فصلی یا حساس به زمان به اشتراک بگذارید.")</f>
        <v>نکاتی را برای بهینه سازی محتوای وب سایت برای کلمات کلیدی و رویدادهای فصلی یا حساس به زمان به اشتراک بگذارید.</v>
      </c>
      <c r="H1692" s="1"/>
      <c r="I1692" s="1"/>
      <c r="J1692" s="1"/>
      <c r="K1692" s="1"/>
      <c r="L1692" s="1"/>
      <c r="M1692" s="1"/>
      <c r="N1692" s="1"/>
      <c r="O1692" s="1"/>
      <c r="P1692" s="1"/>
      <c r="Q1692" s="1"/>
      <c r="R1692" s="1"/>
      <c r="S1692" s="1"/>
      <c r="T1692" s="1"/>
      <c r="U1692" s="1"/>
      <c r="V1692" s="1"/>
      <c r="W1692" s="1"/>
      <c r="X1692" s="1"/>
      <c r="Y1692" s="1"/>
      <c r="Z1692" s="1"/>
      <c r="AA1692" s="1"/>
      <c r="AB1692" s="1"/>
    </row>
    <row r="1693" ht="50.25" customHeight="1">
      <c r="A1693" s="12">
        <v>1689.0</v>
      </c>
      <c r="B1693" s="13" t="s">
        <v>1622</v>
      </c>
      <c r="C1693" s="14" t="s">
        <v>1702</v>
      </c>
      <c r="D1693" s="1"/>
      <c r="E1693" s="15"/>
      <c r="F1693" s="1" t="str">
        <f>IFERROR(__xludf.DUMMYFUNCTION("GOOGLETRANSLATE(B1693, ""en"", ""fa"")
"),"بهینه سازی سئو")</f>
        <v>بهینه سازی سئو</v>
      </c>
      <c r="G1693" s="1" t="str">
        <f>IFERROR(__xludf.DUMMYFUNCTION("GOOGLETRANSLATE(C1693, ""en"", ""fa"")
"),"مفهوم تازگی محتوا و تاثیر به روز رسانی منظم بر رتبه بندی سئو را بررسی کنید.")</f>
        <v>مفهوم تازگی محتوا و تاثیر به روز رسانی منظم بر رتبه بندی سئو را بررسی کنید.</v>
      </c>
      <c r="H1693" s="1"/>
      <c r="I1693" s="1"/>
      <c r="J1693" s="1"/>
      <c r="K1693" s="1"/>
      <c r="L1693" s="1"/>
      <c r="M1693" s="1"/>
      <c r="N1693" s="1"/>
      <c r="O1693" s="1"/>
      <c r="P1693" s="1"/>
      <c r="Q1693" s="1"/>
      <c r="R1693" s="1"/>
      <c r="S1693" s="1"/>
      <c r="T1693" s="1"/>
      <c r="U1693" s="1"/>
      <c r="V1693" s="1"/>
      <c r="W1693" s="1"/>
      <c r="X1693" s="1"/>
      <c r="Y1693" s="1"/>
      <c r="Z1693" s="1"/>
      <c r="AA1693" s="1"/>
      <c r="AB1693" s="1"/>
    </row>
    <row r="1694" ht="50.25" customHeight="1">
      <c r="A1694" s="12">
        <v>1690.0</v>
      </c>
      <c r="B1694" s="13" t="s">
        <v>1622</v>
      </c>
      <c r="C1694" s="14" t="s">
        <v>1703</v>
      </c>
      <c r="D1694" s="1"/>
      <c r="E1694" s="15"/>
      <c r="F1694" s="1" t="str">
        <f>IFERROR(__xludf.DUMMYFUNCTION("GOOGLETRANSLATE(B1694, ""en"", ""fa"")
"),"بهینه سازی سئو")</f>
        <v>بهینه سازی سئو</v>
      </c>
      <c r="G1694" s="1" t="str">
        <f>IFERROR(__xludf.DUMMYFUNCTION("GOOGLETRANSLATE(C1694, ""en"", ""fa"")
"),"در مورد نقش محتوای پرسش و پاسخ تولید شده توسط کاربر در بهینه سازی سئو و استراتژی هایی برای تشویق تعامل کاربر بحث کنید.")</f>
        <v>در مورد نقش محتوای پرسش و پاسخ تولید شده توسط کاربر در بهینه سازی سئو و استراتژی هایی برای تشویق تعامل کاربر بحث کنید.</v>
      </c>
      <c r="H1694" s="1"/>
      <c r="I1694" s="1"/>
      <c r="J1694" s="1"/>
      <c r="K1694" s="1"/>
      <c r="L1694" s="1"/>
      <c r="M1694" s="1"/>
      <c r="N1694" s="1"/>
      <c r="O1694" s="1"/>
      <c r="P1694" s="1"/>
      <c r="Q1694" s="1"/>
      <c r="R1694" s="1"/>
      <c r="S1694" s="1"/>
      <c r="T1694" s="1"/>
      <c r="U1694" s="1"/>
      <c r="V1694" s="1"/>
      <c r="W1694" s="1"/>
      <c r="X1694" s="1"/>
      <c r="Y1694" s="1"/>
      <c r="Z1694" s="1"/>
      <c r="AA1694" s="1"/>
      <c r="AB1694" s="1"/>
    </row>
    <row r="1695" ht="50.25" customHeight="1">
      <c r="A1695" s="12">
        <v>1691.0</v>
      </c>
      <c r="B1695" s="13" t="s">
        <v>1622</v>
      </c>
      <c r="C1695" s="14" t="s">
        <v>1704</v>
      </c>
      <c r="D1695" s="1"/>
      <c r="E1695" s="15"/>
      <c r="F1695" s="1" t="str">
        <f>IFERROR(__xludf.DUMMYFUNCTION("GOOGLETRANSLATE(B1695, ""en"", ""fa"")
"),"بهینه سازی سئو")</f>
        <v>بهینه سازی سئو</v>
      </c>
      <c r="G1695" s="1" t="str">
        <f>IFERROR(__xludf.DUMMYFUNCTION("GOOGLETRANSLATE(C1695, ""en"", ""fa"")
"),"استراتژی‌های بهینه‌سازی محتوای وب‌سایت را برای سؤالات جستجوی صوتی محلی و دستگاه‌های دارای قابلیت صوتی به اشتراک بگذارید.")</f>
        <v>استراتژی‌های بهینه‌سازی محتوای وب‌سایت را برای سؤالات جستجوی صوتی محلی و دستگاه‌های دارای قابلیت صوتی به اشتراک بگذارید.</v>
      </c>
      <c r="H1695" s="1"/>
      <c r="I1695" s="1"/>
      <c r="J1695" s="1"/>
      <c r="K1695" s="1"/>
      <c r="L1695" s="1"/>
      <c r="M1695" s="1"/>
      <c r="N1695" s="1"/>
      <c r="O1695" s="1"/>
      <c r="P1695" s="1"/>
      <c r="Q1695" s="1"/>
      <c r="R1695" s="1"/>
      <c r="S1695" s="1"/>
      <c r="T1695" s="1"/>
      <c r="U1695" s="1"/>
      <c r="V1695" s="1"/>
      <c r="W1695" s="1"/>
      <c r="X1695" s="1"/>
      <c r="Y1695" s="1"/>
      <c r="Z1695" s="1"/>
      <c r="AA1695" s="1"/>
      <c r="AB1695" s="1"/>
    </row>
    <row r="1696" ht="50.25" customHeight="1">
      <c r="A1696" s="12">
        <v>1692.0</v>
      </c>
      <c r="B1696" s="13" t="s">
        <v>1622</v>
      </c>
      <c r="C1696" s="14" t="s">
        <v>1705</v>
      </c>
      <c r="D1696" s="1"/>
      <c r="E1696" s="15"/>
      <c r="F1696" s="1" t="str">
        <f>IFERROR(__xludf.DUMMYFUNCTION("GOOGLETRANSLATE(B1696, ""en"", ""fa"")
"),"بهینه سازی سئو")</f>
        <v>بهینه سازی سئو</v>
      </c>
      <c r="G1696" s="1" t="str">
        <f>IFERROR(__xludf.DUMMYFUNCTION("GOOGLETRANSLATE(C1696, ""en"", ""fa"")
"),"مزایای بهینه سازی محتوای وب سایت برای هدف جستجو و همسویی با نیازها و اهداف کاربر را بررسی کنید.")</f>
        <v>مزایای بهینه سازی محتوای وب سایت برای هدف جستجو و همسویی با نیازها و اهداف کاربر را بررسی کنید.</v>
      </c>
      <c r="H1696" s="1"/>
      <c r="I1696" s="1"/>
      <c r="J1696" s="1"/>
      <c r="K1696" s="1"/>
      <c r="L1696" s="1"/>
      <c r="M1696" s="1"/>
      <c r="N1696" s="1"/>
      <c r="O1696" s="1"/>
      <c r="P1696" s="1"/>
      <c r="Q1696" s="1"/>
      <c r="R1696" s="1"/>
      <c r="S1696" s="1"/>
      <c r="T1696" s="1"/>
      <c r="U1696" s="1"/>
      <c r="V1696" s="1"/>
      <c r="W1696" s="1"/>
      <c r="X1696" s="1"/>
      <c r="Y1696" s="1"/>
      <c r="Z1696" s="1"/>
      <c r="AA1696" s="1"/>
      <c r="AB1696" s="1"/>
    </row>
    <row r="1697" ht="50.25" customHeight="1">
      <c r="A1697" s="12">
        <v>1693.0</v>
      </c>
      <c r="B1697" s="13" t="s">
        <v>1622</v>
      </c>
      <c r="C1697" s="14" t="s">
        <v>1706</v>
      </c>
      <c r="D1697" s="1"/>
      <c r="E1697" s="15"/>
      <c r="F1697" s="1" t="str">
        <f>IFERROR(__xludf.DUMMYFUNCTION("GOOGLETRANSLATE(B1697, ""en"", ""fa"")
"),"بهینه سازی سئو")</f>
        <v>بهینه سازی سئو</v>
      </c>
      <c r="G1697" s="1" t="str">
        <f>IFERROR(__xludf.DUMMYFUNCTION("GOOGLETRANSLATE(C1697, ""en"", ""fa"")
"),"در مورد تاثیر اعتبار وب سایت و اعتماد دامنه بر رتبه بندی سئو و استراتژی های ایجاد اعتبار بحث کنید.")</f>
        <v>در مورد تاثیر اعتبار وب سایت و اعتماد دامنه بر رتبه بندی سئو و استراتژی های ایجاد اعتبار بحث کنید.</v>
      </c>
      <c r="H1697" s="1"/>
      <c r="I1697" s="1"/>
      <c r="J1697" s="1"/>
      <c r="K1697" s="1"/>
      <c r="L1697" s="1"/>
      <c r="M1697" s="1"/>
      <c r="N1697" s="1"/>
      <c r="O1697" s="1"/>
      <c r="P1697" s="1"/>
      <c r="Q1697" s="1"/>
      <c r="R1697" s="1"/>
      <c r="S1697" s="1"/>
      <c r="T1697" s="1"/>
      <c r="U1697" s="1"/>
      <c r="V1697" s="1"/>
      <c r="W1697" s="1"/>
      <c r="X1697" s="1"/>
      <c r="Y1697" s="1"/>
      <c r="Z1697" s="1"/>
      <c r="AA1697" s="1"/>
      <c r="AB1697" s="1"/>
    </row>
    <row r="1698" ht="50.25" customHeight="1">
      <c r="A1698" s="12">
        <v>1694.0</v>
      </c>
      <c r="B1698" s="13" t="s">
        <v>1622</v>
      </c>
      <c r="C1698" s="14" t="s">
        <v>1707</v>
      </c>
      <c r="D1698" s="1"/>
      <c r="E1698" s="15"/>
      <c r="F1698" s="1" t="str">
        <f>IFERROR(__xludf.DUMMYFUNCTION("GOOGLETRANSLATE(B1698, ""en"", ""fa"")
"),"بهینه سازی سئو")</f>
        <v>بهینه سازی سئو</v>
      </c>
      <c r="G1698" s="1" t="str">
        <f>IFERROR(__xludf.DUMMYFUNCTION("GOOGLETRANSLATE(C1698, ""en"", ""fa"")
"),"نکاتی را برای بهینه سازی محتوای وب سایت برای دایرکتوری های محلی و پلت فرم های بررسی به اشتراک بگذارید.")</f>
        <v>نکاتی را برای بهینه سازی محتوای وب سایت برای دایرکتوری های محلی و پلت فرم های بررسی به اشتراک بگذارید.</v>
      </c>
      <c r="H1698" s="1"/>
      <c r="I1698" s="1"/>
      <c r="J1698" s="1"/>
      <c r="K1698" s="1"/>
      <c r="L1698" s="1"/>
      <c r="M1698" s="1"/>
      <c r="N1698" s="1"/>
      <c r="O1698" s="1"/>
      <c r="P1698" s="1"/>
      <c r="Q1698" s="1"/>
      <c r="R1698" s="1"/>
      <c r="S1698" s="1"/>
      <c r="T1698" s="1"/>
      <c r="U1698" s="1"/>
      <c r="V1698" s="1"/>
      <c r="W1698" s="1"/>
      <c r="X1698" s="1"/>
      <c r="Y1698" s="1"/>
      <c r="Z1698" s="1"/>
      <c r="AA1698" s="1"/>
      <c r="AB1698" s="1"/>
    </row>
    <row r="1699" ht="50.25" customHeight="1">
      <c r="A1699" s="12">
        <v>1695.0</v>
      </c>
      <c r="B1699" s="13" t="s">
        <v>1622</v>
      </c>
      <c r="C1699" s="14" t="s">
        <v>1708</v>
      </c>
      <c r="D1699" s="1"/>
      <c r="E1699" s="15"/>
      <c r="F1699" s="1" t="str">
        <f>IFERROR(__xludf.DUMMYFUNCTION("GOOGLETRANSLATE(B1699, ""en"", ""fa"")
"),"بهینه سازی سئو")</f>
        <v>بهینه سازی سئو</v>
      </c>
      <c r="G1699" s="1" t="str">
        <f>IFERROR(__xludf.DUMMYFUNCTION("GOOGLETRANSLATE(C1699, ""en"", ""fa"")
"),"مفهوم صفحات ستونی و خوشه های موضوعی را در سازماندهی و بهینه سازی محتوای وب سایت کاوش کنید.")</f>
        <v>مفهوم صفحات ستونی و خوشه های موضوعی را در سازماندهی و بهینه سازی محتوای وب سایت کاوش کنید.</v>
      </c>
      <c r="H1699" s="1"/>
      <c r="I1699" s="1"/>
      <c r="J1699" s="1"/>
      <c r="K1699" s="1"/>
      <c r="L1699" s="1"/>
      <c r="M1699" s="1"/>
      <c r="N1699" s="1"/>
      <c r="O1699" s="1"/>
      <c r="P1699" s="1"/>
      <c r="Q1699" s="1"/>
      <c r="R1699" s="1"/>
      <c r="S1699" s="1"/>
      <c r="T1699" s="1"/>
      <c r="U1699" s="1"/>
      <c r="V1699" s="1"/>
      <c r="W1699" s="1"/>
      <c r="X1699" s="1"/>
      <c r="Y1699" s="1"/>
      <c r="Z1699" s="1"/>
      <c r="AA1699" s="1"/>
      <c r="AB1699" s="1"/>
    </row>
    <row r="1700" ht="50.25" customHeight="1">
      <c r="A1700" s="12">
        <v>1696.0</v>
      </c>
      <c r="B1700" s="13" t="s">
        <v>1622</v>
      </c>
      <c r="C1700" s="14" t="s">
        <v>1709</v>
      </c>
      <c r="D1700" s="1"/>
      <c r="E1700" s="15"/>
      <c r="F1700" s="1" t="str">
        <f>IFERROR(__xludf.DUMMYFUNCTION("GOOGLETRANSLATE(B1700, ""en"", ""fa"")
"),"بهینه سازی سئو")</f>
        <v>بهینه سازی سئو</v>
      </c>
      <c r="G1700" s="1" t="str">
        <f>IFERROR(__xludf.DUMMYFUNCTION("GOOGLETRANSLATE(C1700, ""en"", ""fa"")
"),"در مورد اهمیت بهینه سازی متا تگ ها، از جمله تگ های عنوان و توضیحات متا، برای نرخ کلیک بهتر بحث کنید.")</f>
        <v>در مورد اهمیت بهینه سازی متا تگ ها، از جمله تگ های عنوان و توضیحات متا، برای نرخ کلیک بهتر بحث کنید.</v>
      </c>
      <c r="H1700" s="1"/>
      <c r="I1700" s="1"/>
      <c r="J1700" s="1"/>
      <c r="K1700" s="1"/>
      <c r="L1700" s="1"/>
      <c r="M1700" s="1"/>
      <c r="N1700" s="1"/>
      <c r="O1700" s="1"/>
      <c r="P1700" s="1"/>
      <c r="Q1700" s="1"/>
      <c r="R1700" s="1"/>
      <c r="S1700" s="1"/>
      <c r="T1700" s="1"/>
      <c r="U1700" s="1"/>
      <c r="V1700" s="1"/>
      <c r="W1700" s="1"/>
      <c r="X1700" s="1"/>
      <c r="Y1700" s="1"/>
      <c r="Z1700" s="1"/>
      <c r="AA1700" s="1"/>
      <c r="AB1700" s="1"/>
    </row>
    <row r="1701" ht="50.25" customHeight="1">
      <c r="A1701" s="12">
        <v>1697.0</v>
      </c>
      <c r="B1701" s="13" t="s">
        <v>1622</v>
      </c>
      <c r="C1701" s="14" t="s">
        <v>1710</v>
      </c>
      <c r="D1701" s="1"/>
      <c r="E1701" s="15"/>
      <c r="F1701" s="1" t="str">
        <f>IFERROR(__xludf.DUMMYFUNCTION("GOOGLETRANSLATE(B1701, ""en"", ""fa"")
"),"بهینه سازی سئو")</f>
        <v>بهینه سازی سئو</v>
      </c>
      <c r="G1701" s="1" t="str">
        <f>IFERROR(__xludf.DUMMYFUNCTION("GOOGLETRANSLATE(C1701, ""en"", ""fa"")
"),"استراتژی های بهینه سازی محتوای وب سایت برای بهینه سازی قطعه و افزایش دید در نتایج جستجو را به اشتراک بگذارید.")</f>
        <v>استراتژی های بهینه سازی محتوای وب سایت برای بهینه سازی قطعه و افزایش دید در نتایج جستجو را به اشتراک بگذارید.</v>
      </c>
      <c r="H1701" s="1"/>
      <c r="I1701" s="1"/>
      <c r="J1701" s="1"/>
      <c r="K1701" s="1"/>
      <c r="L1701" s="1"/>
      <c r="M1701" s="1"/>
      <c r="N1701" s="1"/>
      <c r="O1701" s="1"/>
      <c r="P1701" s="1"/>
      <c r="Q1701" s="1"/>
      <c r="R1701" s="1"/>
      <c r="S1701" s="1"/>
      <c r="T1701" s="1"/>
      <c r="U1701" s="1"/>
      <c r="V1701" s="1"/>
      <c r="W1701" s="1"/>
      <c r="X1701" s="1"/>
      <c r="Y1701" s="1"/>
      <c r="Z1701" s="1"/>
      <c r="AA1701" s="1"/>
      <c r="AB1701" s="1"/>
    </row>
    <row r="1702" ht="50.25" customHeight="1">
      <c r="A1702" s="12">
        <v>1698.0</v>
      </c>
      <c r="B1702" s="13" t="s">
        <v>1622</v>
      </c>
      <c r="C1702" s="14" t="s">
        <v>1711</v>
      </c>
      <c r="D1702" s="1"/>
      <c r="E1702" s="15"/>
      <c r="F1702" s="1" t="str">
        <f>IFERROR(__xludf.DUMMYFUNCTION("GOOGLETRANSLATE(B1702, ""en"", ""fa"")
"),"بهینه سازی سئو")</f>
        <v>بهینه سازی سئو</v>
      </c>
      <c r="G1702" s="1" t="str">
        <f>IFERROR(__xludf.DUMMYFUNCTION("GOOGLETRANSLATE(C1702, ""en"", ""fa"")
"),"مزایای بهینه سازی محتوای وب سایت برای جستجوهای زبان طبیعی و جستجوی مکالمه را بررسی کنید.")</f>
        <v>مزایای بهینه سازی محتوای وب سایت برای جستجوهای زبان طبیعی و جستجوی مکالمه را بررسی کنید.</v>
      </c>
      <c r="H1702" s="1"/>
      <c r="I1702" s="1"/>
      <c r="J1702" s="1"/>
      <c r="K1702" s="1"/>
      <c r="L1702" s="1"/>
      <c r="M1702" s="1"/>
      <c r="N1702" s="1"/>
      <c r="O1702" s="1"/>
      <c r="P1702" s="1"/>
      <c r="Q1702" s="1"/>
      <c r="R1702" s="1"/>
      <c r="S1702" s="1"/>
      <c r="T1702" s="1"/>
      <c r="U1702" s="1"/>
      <c r="V1702" s="1"/>
      <c r="W1702" s="1"/>
      <c r="X1702" s="1"/>
      <c r="Y1702" s="1"/>
      <c r="Z1702" s="1"/>
      <c r="AA1702" s="1"/>
      <c r="AB1702" s="1"/>
    </row>
    <row r="1703" ht="50.25" customHeight="1">
      <c r="A1703" s="12">
        <v>1699.0</v>
      </c>
      <c r="B1703" s="13" t="s">
        <v>1622</v>
      </c>
      <c r="C1703" s="14" t="s">
        <v>1712</v>
      </c>
      <c r="D1703" s="1"/>
      <c r="E1703" s="15"/>
      <c r="F1703" s="1" t="str">
        <f>IFERROR(__xludf.DUMMYFUNCTION("GOOGLETRANSLATE(B1703, ""en"", ""fa"")
"),"بهینه سازی سئو")</f>
        <v>بهینه سازی سئو</v>
      </c>
      <c r="G1703" s="1" t="str">
        <f>IFERROR(__xludf.DUMMYFUNCTION("GOOGLETRANSLATE(C1703, ""en"", ""fa"")
"),"در مورد نقش تست تجربه کاربر و بهینه سازی در بهبود عملکرد سئو بحث کنید.")</f>
        <v>در مورد نقش تست تجربه کاربر و بهینه سازی در بهبود عملکرد سئو بحث کنید.</v>
      </c>
      <c r="H1703" s="1"/>
      <c r="I1703" s="1"/>
      <c r="J1703" s="1"/>
      <c r="K1703" s="1"/>
      <c r="L1703" s="1"/>
      <c r="M1703" s="1"/>
      <c r="N1703" s="1"/>
      <c r="O1703" s="1"/>
      <c r="P1703" s="1"/>
      <c r="Q1703" s="1"/>
      <c r="R1703" s="1"/>
      <c r="S1703" s="1"/>
      <c r="T1703" s="1"/>
      <c r="U1703" s="1"/>
      <c r="V1703" s="1"/>
      <c r="W1703" s="1"/>
      <c r="X1703" s="1"/>
      <c r="Y1703" s="1"/>
      <c r="Z1703" s="1"/>
      <c r="AA1703" s="1"/>
      <c r="AB1703" s="1"/>
    </row>
    <row r="1704" ht="50.25" customHeight="1">
      <c r="A1704" s="12">
        <v>1700.0</v>
      </c>
      <c r="B1704" s="13" t="s">
        <v>1622</v>
      </c>
      <c r="C1704" s="14" t="s">
        <v>1713</v>
      </c>
      <c r="D1704" s="1"/>
      <c r="E1704" s="15"/>
      <c r="F1704" s="1" t="str">
        <f>IFERROR(__xludf.DUMMYFUNCTION("GOOGLETRANSLATE(B1704, ""en"", ""fa"")
"),"بهینه سازی سئو")</f>
        <v>بهینه سازی سئو</v>
      </c>
      <c r="G1704" s="1" t="str">
        <f>IFERROR(__xludf.DUMMYFUNCTION("GOOGLETRANSLATE(C1704, ""en"", ""fa"")
"),"نکاتی را برای بهینه سازی محتوای وب سایت برای جعبه پاسخ و نمایش به عنوان یک پاسخ برجسته در نتایج جستجو به اشتراک بگذارید.")</f>
        <v>نکاتی را برای بهینه سازی محتوای وب سایت برای جعبه پاسخ و نمایش به عنوان یک پاسخ برجسته در نتایج جستجو به اشتراک بگذارید.</v>
      </c>
      <c r="H1704" s="1"/>
      <c r="I1704" s="1"/>
      <c r="J1704" s="1"/>
      <c r="K1704" s="1"/>
      <c r="L1704" s="1"/>
      <c r="M1704" s="1"/>
      <c r="N1704" s="1"/>
      <c r="O1704" s="1"/>
      <c r="P1704" s="1"/>
      <c r="Q1704" s="1"/>
      <c r="R1704" s="1"/>
      <c r="S1704" s="1"/>
      <c r="T1704" s="1"/>
      <c r="U1704" s="1"/>
      <c r="V1704" s="1"/>
      <c r="W1704" s="1"/>
      <c r="X1704" s="1"/>
      <c r="Y1704" s="1"/>
      <c r="Z1704" s="1"/>
      <c r="AA1704" s="1"/>
      <c r="AB1704" s="1"/>
    </row>
    <row r="1705" ht="50.25" customHeight="1">
      <c r="A1705" s="12">
        <v>1701.0</v>
      </c>
      <c r="B1705" s="13" t="s">
        <v>1622</v>
      </c>
      <c r="C1705" s="14" t="s">
        <v>1714</v>
      </c>
      <c r="D1705" s="1"/>
      <c r="E1705" s="15"/>
      <c r="F1705" s="1" t="str">
        <f>IFERROR(__xludf.DUMMYFUNCTION("GOOGLETRANSLATE(B1705, ""en"", ""fa"")
"),"بهینه سازی سئو")</f>
        <v>بهینه سازی سئو</v>
      </c>
      <c r="G1705" s="1" t="str">
        <f>IFERROR(__xludf.DUMMYFUNCTION("GOOGLETRANSLATE(C1705, ""en"", ""fa"")
"),"مفهوم بازیابی لینک و استراتژی های بازیابی بک لینک های شکسته یا از دست رفته را بررسی کنید.")</f>
        <v>مفهوم بازیابی لینک و استراتژی های بازیابی بک لینک های شکسته یا از دست رفته را بررسی کنید.</v>
      </c>
      <c r="H1705" s="1"/>
      <c r="I1705" s="1"/>
      <c r="J1705" s="1"/>
      <c r="K1705" s="1"/>
      <c r="L1705" s="1"/>
      <c r="M1705" s="1"/>
      <c r="N1705" s="1"/>
      <c r="O1705" s="1"/>
      <c r="P1705" s="1"/>
      <c r="Q1705" s="1"/>
      <c r="R1705" s="1"/>
      <c r="S1705" s="1"/>
      <c r="T1705" s="1"/>
      <c r="U1705" s="1"/>
      <c r="V1705" s="1"/>
      <c r="W1705" s="1"/>
      <c r="X1705" s="1"/>
      <c r="Y1705" s="1"/>
      <c r="Z1705" s="1"/>
      <c r="AA1705" s="1"/>
      <c r="AB1705" s="1"/>
    </row>
    <row r="1706" ht="50.25" customHeight="1">
      <c r="A1706" s="12">
        <v>1702.0</v>
      </c>
      <c r="B1706" s="13" t="s">
        <v>1622</v>
      </c>
      <c r="C1706" s="14" t="s">
        <v>1715</v>
      </c>
      <c r="D1706" s="1"/>
      <c r="E1706" s="15"/>
      <c r="F1706" s="1" t="str">
        <f>IFERROR(__xludf.DUMMYFUNCTION("GOOGLETRANSLATE(B1706, ""en"", ""fa"")
"),"بهینه سازی سئو")</f>
        <v>بهینه سازی سئو</v>
      </c>
      <c r="G1706" s="1" t="str">
        <f>IFERROR(__xludf.DUMMYFUNCTION("GOOGLETRANSLATE(C1706, ""en"", ""fa"")
"),"در مورد تأثیر مشارکت و اشتراک گذاری رسانه های اجتماعی در رتبه بندی سئو بحث کنید.")</f>
        <v>در مورد تأثیر مشارکت و اشتراک گذاری رسانه های اجتماعی در رتبه بندی سئو بحث کنید.</v>
      </c>
      <c r="H1706" s="1"/>
      <c r="I1706" s="1"/>
      <c r="J1706" s="1"/>
      <c r="K1706" s="1"/>
      <c r="L1706" s="1"/>
      <c r="M1706" s="1"/>
      <c r="N1706" s="1"/>
      <c r="O1706" s="1"/>
      <c r="P1706" s="1"/>
      <c r="Q1706" s="1"/>
      <c r="R1706" s="1"/>
      <c r="S1706" s="1"/>
      <c r="T1706" s="1"/>
      <c r="U1706" s="1"/>
      <c r="V1706" s="1"/>
      <c r="W1706" s="1"/>
      <c r="X1706" s="1"/>
      <c r="Y1706" s="1"/>
      <c r="Z1706" s="1"/>
      <c r="AA1706" s="1"/>
      <c r="AB1706" s="1"/>
    </row>
    <row r="1707" ht="50.25" customHeight="1">
      <c r="A1707" s="12">
        <v>1703.0</v>
      </c>
      <c r="B1707" s="13" t="s">
        <v>1622</v>
      </c>
      <c r="C1707" s="14" t="s">
        <v>1716</v>
      </c>
      <c r="D1707" s="1"/>
      <c r="E1707" s="15"/>
      <c r="F1707" s="1" t="str">
        <f>IFERROR(__xludf.DUMMYFUNCTION("GOOGLETRANSLATE(B1707, ""en"", ""fa"")
"),"بهینه سازی سئو")</f>
        <v>بهینه سازی سئو</v>
      </c>
      <c r="G1707" s="1" t="str">
        <f>IFERROR(__xludf.DUMMYFUNCTION("GOOGLETRANSLATE(C1707, ""en"", ""fa"")
"),"استراتژی های بهینه سازی محتوای وب سایت برای Google News و نمایش در نتایج جستجوی اخبار را به اشتراک بگذارید.")</f>
        <v>استراتژی های بهینه سازی محتوای وب سایت برای Google News و نمایش در نتایج جستجوی اخبار را به اشتراک بگذارید.</v>
      </c>
      <c r="H1707" s="1"/>
      <c r="I1707" s="1"/>
      <c r="J1707" s="1"/>
      <c r="K1707" s="1"/>
      <c r="L1707" s="1"/>
      <c r="M1707" s="1"/>
      <c r="N1707" s="1"/>
      <c r="O1707" s="1"/>
      <c r="P1707" s="1"/>
      <c r="Q1707" s="1"/>
      <c r="R1707" s="1"/>
      <c r="S1707" s="1"/>
      <c r="T1707" s="1"/>
      <c r="U1707" s="1"/>
      <c r="V1707" s="1"/>
      <c r="W1707" s="1"/>
      <c r="X1707" s="1"/>
      <c r="Y1707" s="1"/>
      <c r="Z1707" s="1"/>
      <c r="AA1707" s="1"/>
      <c r="AB1707" s="1"/>
    </row>
    <row r="1708" ht="50.25" customHeight="1">
      <c r="A1708" s="12">
        <v>1704.0</v>
      </c>
      <c r="B1708" s="13" t="s">
        <v>1622</v>
      </c>
      <c r="C1708" s="14" t="s">
        <v>1717</v>
      </c>
      <c r="D1708" s="1"/>
      <c r="E1708" s="15"/>
      <c r="F1708" s="1" t="str">
        <f>IFERROR(__xludf.DUMMYFUNCTION("GOOGLETRANSLATE(B1708, ""en"", ""fa"")
"),"بهینه سازی سئو")</f>
        <v>بهینه سازی سئو</v>
      </c>
      <c r="G1708" s="1" t="str">
        <f>IFERROR(__xludf.DUMMYFUNCTION("GOOGLETRANSLATE(C1708, ""en"", ""fa"")
"),"مزایای ایجاد و بهینه سازی محتوا برای کلمات کلیدی خاص یا خاص صنعت را بررسی کنید.")</f>
        <v>مزایای ایجاد و بهینه سازی محتوا برای کلمات کلیدی خاص یا خاص صنعت را بررسی کنید.</v>
      </c>
      <c r="H1708" s="1"/>
      <c r="I1708" s="1"/>
      <c r="J1708" s="1"/>
      <c r="K1708" s="1"/>
      <c r="L1708" s="1"/>
      <c r="M1708" s="1"/>
      <c r="N1708" s="1"/>
      <c r="O1708" s="1"/>
      <c r="P1708" s="1"/>
      <c r="Q1708" s="1"/>
      <c r="R1708" s="1"/>
      <c r="S1708" s="1"/>
      <c r="T1708" s="1"/>
      <c r="U1708" s="1"/>
      <c r="V1708" s="1"/>
      <c r="W1708" s="1"/>
      <c r="X1708" s="1"/>
      <c r="Y1708" s="1"/>
      <c r="Z1708" s="1"/>
      <c r="AA1708" s="1"/>
      <c r="AB1708" s="1"/>
    </row>
    <row r="1709" ht="50.25" customHeight="1">
      <c r="A1709" s="12">
        <v>1705.0</v>
      </c>
      <c r="B1709" s="13" t="s">
        <v>1622</v>
      </c>
      <c r="C1709" s="14" t="s">
        <v>1718</v>
      </c>
      <c r="D1709" s="1"/>
      <c r="E1709" s="15"/>
      <c r="F1709" s="1" t="str">
        <f>IFERROR(__xludf.DUMMYFUNCTION("GOOGLETRANSLATE(B1709, ""en"", ""fa"")
"),"بهینه سازی سئو")</f>
        <v>بهینه سازی سئو</v>
      </c>
      <c r="G1709" s="1" t="str">
        <f>IFERROR(__xludf.DUMMYFUNCTION("GOOGLETRANSLATE(C1709, ""en"", ""fa"")
"),"در مورد نقش رتبه‌بندی‌ها و بررسی‌های تولید شده توسط کاربر در بهینه‌سازی SEO تجارت الکترونیک بحث کنید.")</f>
        <v>در مورد نقش رتبه‌بندی‌ها و بررسی‌های تولید شده توسط کاربر در بهینه‌سازی SEO تجارت الکترونیک بحث کنید.</v>
      </c>
      <c r="H1709" s="1"/>
      <c r="I1709" s="1"/>
      <c r="J1709" s="1"/>
      <c r="K1709" s="1"/>
      <c r="L1709" s="1"/>
      <c r="M1709" s="1"/>
      <c r="N1709" s="1"/>
      <c r="O1709" s="1"/>
      <c r="P1709" s="1"/>
      <c r="Q1709" s="1"/>
      <c r="R1709" s="1"/>
      <c r="S1709" s="1"/>
      <c r="T1709" s="1"/>
      <c r="U1709" s="1"/>
      <c r="V1709" s="1"/>
      <c r="W1709" s="1"/>
      <c r="X1709" s="1"/>
      <c r="Y1709" s="1"/>
      <c r="Z1709" s="1"/>
      <c r="AA1709" s="1"/>
      <c r="AB1709" s="1"/>
    </row>
    <row r="1710" ht="50.25" customHeight="1">
      <c r="A1710" s="12">
        <v>1706.0</v>
      </c>
      <c r="B1710" s="13" t="s">
        <v>1622</v>
      </c>
      <c r="C1710" s="14" t="s">
        <v>1719</v>
      </c>
      <c r="D1710" s="1"/>
      <c r="E1710" s="15"/>
      <c r="F1710" s="1" t="str">
        <f>IFERROR(__xludf.DUMMYFUNCTION("GOOGLETRANSLATE(B1710, ""en"", ""fa"")
"),"بهینه سازی سئو")</f>
        <v>بهینه سازی سئو</v>
      </c>
      <c r="G1710" s="1" t="str">
        <f>IFERROR(__xludf.DUMMYFUNCTION("GOOGLETRANSLATE(C1710, ""en"", ""fa"")
"),"نکاتی را برای بهینه سازی محتوای وب سایت برای دستیارهای صوتی مانند سیری، الکسا و دستیار گوگل به اشتراک بگذارید.")</f>
        <v>نکاتی را برای بهینه سازی محتوای وب سایت برای دستیارهای صوتی مانند سیری، الکسا و دستیار گوگل به اشتراک بگذارید.</v>
      </c>
      <c r="H1710" s="1"/>
      <c r="I1710" s="1"/>
      <c r="J1710" s="1"/>
      <c r="K1710" s="1"/>
      <c r="L1710" s="1"/>
      <c r="M1710" s="1"/>
      <c r="N1710" s="1"/>
      <c r="O1710" s="1"/>
      <c r="P1710" s="1"/>
      <c r="Q1710" s="1"/>
      <c r="R1710" s="1"/>
      <c r="S1710" s="1"/>
      <c r="T1710" s="1"/>
      <c r="U1710" s="1"/>
      <c r="V1710" s="1"/>
      <c r="W1710" s="1"/>
      <c r="X1710" s="1"/>
      <c r="Y1710" s="1"/>
      <c r="Z1710" s="1"/>
      <c r="AA1710" s="1"/>
      <c r="AB1710" s="1"/>
    </row>
    <row r="1711" ht="50.25" customHeight="1">
      <c r="A1711" s="12">
        <v>1707.0</v>
      </c>
      <c r="B1711" s="13" t="s">
        <v>1622</v>
      </c>
      <c r="C1711" s="14" t="s">
        <v>1720</v>
      </c>
      <c r="D1711" s="1"/>
      <c r="E1711" s="15"/>
      <c r="F1711" s="1" t="str">
        <f>IFERROR(__xludf.DUMMYFUNCTION("GOOGLETRANSLATE(B1711, ""en"", ""fa"")
"),"بهینه سازی سئو")</f>
        <v>بهینه سازی سئو</v>
      </c>
      <c r="G1711" s="1" t="str">
        <f>IFERROR(__xludf.DUMMYFUNCTION("GOOGLETRANSLATE(C1711, ""en"", ""fa"")
"),"مفهوم لینک سازی محلی و استراتژی های به دست آوردن بک لینک از منابع محلی را بررسی کنید.")</f>
        <v>مفهوم لینک سازی محلی و استراتژی های به دست آوردن بک لینک از منابع محلی را بررسی کنید.</v>
      </c>
      <c r="H1711" s="1"/>
      <c r="I1711" s="1"/>
      <c r="J1711" s="1"/>
      <c r="K1711" s="1"/>
      <c r="L1711" s="1"/>
      <c r="M1711" s="1"/>
      <c r="N1711" s="1"/>
      <c r="O1711" s="1"/>
      <c r="P1711" s="1"/>
      <c r="Q1711" s="1"/>
      <c r="R1711" s="1"/>
      <c r="S1711" s="1"/>
      <c r="T1711" s="1"/>
      <c r="U1711" s="1"/>
      <c r="V1711" s="1"/>
      <c r="W1711" s="1"/>
      <c r="X1711" s="1"/>
      <c r="Y1711" s="1"/>
      <c r="Z1711" s="1"/>
      <c r="AA1711" s="1"/>
      <c r="AB1711" s="1"/>
    </row>
    <row r="1712" ht="50.25" customHeight="1">
      <c r="A1712" s="12">
        <v>1708.0</v>
      </c>
      <c r="B1712" s="13" t="s">
        <v>1622</v>
      </c>
      <c r="C1712" s="14" t="s">
        <v>1721</v>
      </c>
      <c r="D1712" s="1"/>
      <c r="E1712" s="15"/>
      <c r="F1712" s="1" t="str">
        <f>IFERROR(__xludf.DUMMYFUNCTION("GOOGLETRANSLATE(B1712, ""en"", ""fa"")
"),"بهینه سازی سئو")</f>
        <v>بهینه سازی سئو</v>
      </c>
      <c r="G1712" s="1" t="str">
        <f>IFERROR(__xludf.DUMMYFUNCTION("GOOGLETRANSLATE(C1712, ""en"", ""fa"")
"),"استراتژی های بهینه سازی محتوای وب سایت برای موضوعات همیشه سبز و حفظ ارزش سئوی طولانی مدت را به اشتراک بگذارید.")</f>
        <v>استراتژی های بهینه سازی محتوای وب سایت برای موضوعات همیشه سبز و حفظ ارزش سئوی طولانی مدت را به اشتراک بگذارید.</v>
      </c>
      <c r="H1712" s="1"/>
      <c r="I1712" s="1"/>
      <c r="J1712" s="1"/>
      <c r="K1712" s="1"/>
      <c r="L1712" s="1"/>
      <c r="M1712" s="1"/>
      <c r="N1712" s="1"/>
      <c r="O1712" s="1"/>
      <c r="P1712" s="1"/>
      <c r="Q1712" s="1"/>
      <c r="R1712" s="1"/>
      <c r="S1712" s="1"/>
      <c r="T1712" s="1"/>
      <c r="U1712" s="1"/>
      <c r="V1712" s="1"/>
      <c r="W1712" s="1"/>
      <c r="X1712" s="1"/>
      <c r="Y1712" s="1"/>
      <c r="Z1712" s="1"/>
      <c r="AA1712" s="1"/>
      <c r="AB1712" s="1"/>
    </row>
    <row r="1713" ht="50.25" customHeight="1">
      <c r="A1713" s="12">
        <v>1709.0</v>
      </c>
      <c r="B1713" s="13" t="s">
        <v>1622</v>
      </c>
      <c r="C1713" s="14" t="s">
        <v>1722</v>
      </c>
      <c r="D1713" s="1"/>
      <c r="E1713" s="15"/>
      <c r="F1713" s="1" t="str">
        <f>IFERROR(__xludf.DUMMYFUNCTION("GOOGLETRANSLATE(B1713, ""en"", ""fa"")
"),"بهینه سازی سئو")</f>
        <v>بهینه سازی سئو</v>
      </c>
      <c r="G1713" s="1" t="str">
        <f>IFERROR(__xludf.DUMMYFUNCTION("GOOGLETRANSLATE(C1713, ""en"", ""fa"")
"),"مزایای بهینه سازی محتوای وب سایت برای رویدادهای محلی و مشارکت جامعه را بررسی کنید.")</f>
        <v>مزایای بهینه سازی محتوای وب سایت برای رویدادهای محلی و مشارکت جامعه را بررسی کنید.</v>
      </c>
      <c r="H1713" s="1"/>
      <c r="I1713" s="1"/>
      <c r="J1713" s="1"/>
      <c r="K1713" s="1"/>
      <c r="L1713" s="1"/>
      <c r="M1713" s="1"/>
      <c r="N1713" s="1"/>
      <c r="O1713" s="1"/>
      <c r="P1713" s="1"/>
      <c r="Q1713" s="1"/>
      <c r="R1713" s="1"/>
      <c r="S1713" s="1"/>
      <c r="T1713" s="1"/>
      <c r="U1713" s="1"/>
      <c r="V1713" s="1"/>
      <c r="W1713" s="1"/>
      <c r="X1713" s="1"/>
      <c r="Y1713" s="1"/>
      <c r="Z1713" s="1"/>
      <c r="AA1713" s="1"/>
      <c r="AB1713" s="1"/>
    </row>
    <row r="1714" ht="50.25" customHeight="1">
      <c r="A1714" s="12">
        <v>1710.0</v>
      </c>
      <c r="B1714" s="13" t="s">
        <v>1622</v>
      </c>
      <c r="C1714" s="14" t="s">
        <v>1723</v>
      </c>
      <c r="D1714" s="1"/>
      <c r="E1714" s="15"/>
      <c r="F1714" s="1" t="str">
        <f>IFERROR(__xludf.DUMMYFUNCTION("GOOGLETRANSLATE(B1714, ""en"", ""fa"")
"),"بهینه سازی سئو")</f>
        <v>بهینه سازی سئو</v>
      </c>
      <c r="G1714" s="1" t="str">
        <f>IFERROR(__xludf.DUMMYFUNCTION("GOOGLETRANSLATE(C1714, ""en"", ""fa"")
"),"در مورد نقش اینفلوئنسر مارکتینگ در بهینه سازی سئو و استراتژی های همکاری با اینفلوئنسرها بحث کنید.")</f>
        <v>در مورد نقش اینفلوئنسر مارکتینگ در بهینه سازی سئو و استراتژی های همکاری با اینفلوئنسرها بحث کنید.</v>
      </c>
      <c r="H1714" s="1"/>
      <c r="I1714" s="1"/>
      <c r="J1714" s="1"/>
      <c r="K1714" s="1"/>
      <c r="L1714" s="1"/>
      <c r="M1714" s="1"/>
      <c r="N1714" s="1"/>
      <c r="O1714" s="1"/>
      <c r="P1714" s="1"/>
      <c r="Q1714" s="1"/>
      <c r="R1714" s="1"/>
      <c r="S1714" s="1"/>
      <c r="T1714" s="1"/>
      <c r="U1714" s="1"/>
      <c r="V1714" s="1"/>
      <c r="W1714" s="1"/>
      <c r="X1714" s="1"/>
      <c r="Y1714" s="1"/>
      <c r="Z1714" s="1"/>
      <c r="AA1714" s="1"/>
      <c r="AB1714" s="1"/>
    </row>
    <row r="1715" ht="50.25" customHeight="1">
      <c r="A1715" s="12">
        <v>1711.0</v>
      </c>
      <c r="B1715" s="13" t="s">
        <v>1622</v>
      </c>
      <c r="C1715" s="14" t="s">
        <v>1724</v>
      </c>
      <c r="D1715" s="1"/>
      <c r="E1715" s="15"/>
      <c r="F1715" s="1" t="str">
        <f>IFERROR(__xludf.DUMMYFUNCTION("GOOGLETRANSLATE(B1715, ""en"", ""fa"")
"),"بهینه سازی سئو")</f>
        <v>بهینه سازی سئو</v>
      </c>
      <c r="G1715" s="1" t="str">
        <f>IFERROR(__xludf.DUMMYFUNCTION("GOOGLETRANSLATE(C1715, ""en"", ""fa"")
"),"نکاتی را برای بهینه سازی محتوای وب سایت برای پانل های دانش و ظاهر شدن به عنوان یک موجودیت برجسته در نتایج جستجو به اشتراک بگذارید.")</f>
        <v>نکاتی را برای بهینه سازی محتوای وب سایت برای پانل های دانش و ظاهر شدن به عنوان یک موجودیت برجسته در نتایج جستجو به اشتراک بگذارید.</v>
      </c>
      <c r="H1715" s="1"/>
      <c r="I1715" s="1"/>
      <c r="J1715" s="1"/>
      <c r="K1715" s="1"/>
      <c r="L1715" s="1"/>
      <c r="M1715" s="1"/>
      <c r="N1715" s="1"/>
      <c r="O1715" s="1"/>
      <c r="P1715" s="1"/>
      <c r="Q1715" s="1"/>
      <c r="R1715" s="1"/>
      <c r="S1715" s="1"/>
      <c r="T1715" s="1"/>
      <c r="U1715" s="1"/>
      <c r="V1715" s="1"/>
      <c r="W1715" s="1"/>
      <c r="X1715" s="1"/>
      <c r="Y1715" s="1"/>
      <c r="Z1715" s="1"/>
      <c r="AA1715" s="1"/>
      <c r="AB1715" s="1"/>
    </row>
    <row r="1716" ht="50.25" customHeight="1">
      <c r="A1716" s="12">
        <v>1712.0</v>
      </c>
      <c r="B1716" s="13" t="s">
        <v>1622</v>
      </c>
      <c r="C1716" s="14" t="s">
        <v>1725</v>
      </c>
      <c r="D1716" s="1"/>
      <c r="E1716" s="15"/>
      <c r="F1716" s="1" t="str">
        <f>IFERROR(__xludf.DUMMYFUNCTION("GOOGLETRANSLATE(B1716, ""en"", ""fa"")
"),"بهینه سازی سئو")</f>
        <v>بهینه سازی سئو</v>
      </c>
      <c r="G1716" s="1" t="str">
        <f>IFERROR(__xludf.DUMMYFUNCTION("GOOGLETRANSLATE(C1716, ""en"", ""fa"")
"),"مفهوم تجزیه و تحلیل پروفایل لینک و استراتژی های شناسایی و رد بک لینک های سمی را بررسی کنید.")</f>
        <v>مفهوم تجزیه و تحلیل پروفایل لینک و استراتژی های شناسایی و رد بک لینک های سمی را بررسی کنید.</v>
      </c>
      <c r="H1716" s="1"/>
      <c r="I1716" s="1"/>
      <c r="J1716" s="1"/>
      <c r="K1716" s="1"/>
      <c r="L1716" s="1"/>
      <c r="M1716" s="1"/>
      <c r="N1716" s="1"/>
      <c r="O1716" s="1"/>
      <c r="P1716" s="1"/>
      <c r="Q1716" s="1"/>
      <c r="R1716" s="1"/>
      <c r="S1716" s="1"/>
      <c r="T1716" s="1"/>
      <c r="U1716" s="1"/>
      <c r="V1716" s="1"/>
      <c r="W1716" s="1"/>
      <c r="X1716" s="1"/>
      <c r="Y1716" s="1"/>
      <c r="Z1716" s="1"/>
      <c r="AA1716" s="1"/>
      <c r="AB1716" s="1"/>
    </row>
    <row r="1717" ht="50.25" customHeight="1">
      <c r="A1717" s="12">
        <v>1713.0</v>
      </c>
      <c r="B1717" s="13" t="s">
        <v>1622</v>
      </c>
      <c r="C1717" s="14" t="s">
        <v>1726</v>
      </c>
      <c r="D1717" s="1"/>
      <c r="E1717" s="15"/>
      <c r="F1717" s="1" t="str">
        <f>IFERROR(__xludf.DUMMYFUNCTION("GOOGLETRANSLATE(B1717, ""en"", ""fa"")
"),"بهینه سازی سئو")</f>
        <v>بهینه سازی سئو</v>
      </c>
      <c r="G1717" s="1" t="str">
        <f>IFERROR(__xludf.DUMMYFUNCTION("GOOGLETRANSLATE(C1717, ""en"", ""fa"")
"),"در مورد تأثیر قالب بندی محتوا، مانند سرفصل ها و نقاط گلوله، بر روی دید سئو بحث کنید.")</f>
        <v>در مورد تأثیر قالب بندی محتوا، مانند سرفصل ها و نقاط گلوله، بر روی دید سئو بحث کنید.</v>
      </c>
      <c r="H1717" s="1"/>
      <c r="I1717" s="1"/>
      <c r="J1717" s="1"/>
      <c r="K1717" s="1"/>
      <c r="L1717" s="1"/>
      <c r="M1717" s="1"/>
      <c r="N1717" s="1"/>
      <c r="O1717" s="1"/>
      <c r="P1717" s="1"/>
      <c r="Q1717" s="1"/>
      <c r="R1717" s="1"/>
      <c r="S1717" s="1"/>
      <c r="T1717" s="1"/>
      <c r="U1717" s="1"/>
      <c r="V1717" s="1"/>
      <c r="W1717" s="1"/>
      <c r="X1717" s="1"/>
      <c r="Y1717" s="1"/>
      <c r="Z1717" s="1"/>
      <c r="AA1717" s="1"/>
      <c r="AB1717" s="1"/>
    </row>
    <row r="1718" ht="50.25" customHeight="1">
      <c r="A1718" s="12">
        <v>1714.0</v>
      </c>
      <c r="B1718" s="13" t="s">
        <v>1622</v>
      </c>
      <c r="C1718" s="14" t="s">
        <v>1727</v>
      </c>
      <c r="D1718" s="1"/>
      <c r="E1718" s="15"/>
      <c r="F1718" s="1" t="str">
        <f>IFERROR(__xludf.DUMMYFUNCTION("GOOGLETRANSLATE(B1718, ""en"", ""fa"")
"),"بهینه سازی سئو")</f>
        <v>بهینه سازی سئو</v>
      </c>
      <c r="G1718" s="1" t="str">
        <f>IFERROR(__xludf.DUMMYFUNCTION("GOOGLETRANSLATE(C1718, ""en"", ""fa"")
"),"استراتژی های بهینه سازی محتوای وب سایت برای کلمات کلیدی محصول و خدمات در سئوی تجارت الکترونیک را به اشتراک بگذارید.")</f>
        <v>استراتژی های بهینه سازی محتوای وب سایت برای کلمات کلیدی محصول و خدمات در سئوی تجارت الکترونیک را به اشتراک بگذارید.</v>
      </c>
      <c r="H1718" s="1"/>
      <c r="I1718" s="1"/>
      <c r="J1718" s="1"/>
      <c r="K1718" s="1"/>
      <c r="L1718" s="1"/>
      <c r="M1718" s="1"/>
      <c r="N1718" s="1"/>
      <c r="O1718" s="1"/>
      <c r="P1718" s="1"/>
      <c r="Q1718" s="1"/>
      <c r="R1718" s="1"/>
      <c r="S1718" s="1"/>
      <c r="T1718" s="1"/>
      <c r="U1718" s="1"/>
      <c r="V1718" s="1"/>
      <c r="W1718" s="1"/>
      <c r="X1718" s="1"/>
      <c r="Y1718" s="1"/>
      <c r="Z1718" s="1"/>
      <c r="AA1718" s="1"/>
      <c r="AB1718" s="1"/>
    </row>
    <row r="1719" ht="50.25" customHeight="1">
      <c r="A1719" s="12">
        <v>1715.0</v>
      </c>
      <c r="B1719" s="13" t="s">
        <v>1622</v>
      </c>
      <c r="C1719" s="14" t="s">
        <v>1728</v>
      </c>
      <c r="D1719" s="1"/>
      <c r="E1719" s="15"/>
      <c r="F1719" s="1" t="str">
        <f>IFERROR(__xludf.DUMMYFUNCTION("GOOGLETRANSLATE(B1719, ""en"", ""fa"")
"),"بهینه سازی سئو")</f>
        <v>بهینه سازی سئو</v>
      </c>
      <c r="G1719" s="1" t="str">
        <f>IFERROR(__xludf.DUMMYFUNCTION("GOOGLETRANSLATE(C1719, ""en"", ""fa"")
"),"مزایای بهینه سازی محتوای وب سایت برای دایرکتوری های خاص و پلت فرم های خاص صنعت را بررسی کنید.")</f>
        <v>مزایای بهینه سازی محتوای وب سایت برای دایرکتوری های خاص و پلت فرم های خاص صنعت را بررسی کنید.</v>
      </c>
      <c r="H1719" s="1"/>
      <c r="I1719" s="1"/>
      <c r="J1719" s="1"/>
      <c r="K1719" s="1"/>
      <c r="L1719" s="1"/>
      <c r="M1719" s="1"/>
      <c r="N1719" s="1"/>
      <c r="O1719" s="1"/>
      <c r="P1719" s="1"/>
      <c r="Q1719" s="1"/>
      <c r="R1719" s="1"/>
      <c r="S1719" s="1"/>
      <c r="T1719" s="1"/>
      <c r="U1719" s="1"/>
      <c r="V1719" s="1"/>
      <c r="W1719" s="1"/>
      <c r="X1719" s="1"/>
      <c r="Y1719" s="1"/>
      <c r="Z1719" s="1"/>
      <c r="AA1719" s="1"/>
      <c r="AB1719" s="1"/>
    </row>
    <row r="1720" ht="50.25" customHeight="1">
      <c r="A1720" s="12">
        <v>1716.0</v>
      </c>
      <c r="B1720" s="13" t="s">
        <v>1622</v>
      </c>
      <c r="C1720" s="14" t="s">
        <v>1729</v>
      </c>
      <c r="D1720" s="1"/>
      <c r="E1720" s="15"/>
      <c r="F1720" s="1" t="str">
        <f>IFERROR(__xludf.DUMMYFUNCTION("GOOGLETRANSLATE(B1720, ""en"", ""fa"")
"),"بهینه سازی سئو")</f>
        <v>بهینه سازی سئو</v>
      </c>
      <c r="G1720" s="1" t="str">
        <f>IFERROR(__xludf.DUMMYFUNCTION("GOOGLETRANSLATE(C1720, ""en"", ""fa"")
"),"در مورد نقش شنیدن و تحلیل احساسات رسانه های اجتماعی در بهینه سازی سئو بحث کنید.")</f>
        <v>در مورد نقش شنیدن و تحلیل احساسات رسانه های اجتماعی در بهینه سازی سئو بحث کنید.</v>
      </c>
      <c r="H1720" s="1"/>
      <c r="I1720" s="1"/>
      <c r="J1720" s="1"/>
      <c r="K1720" s="1"/>
      <c r="L1720" s="1"/>
      <c r="M1720" s="1"/>
      <c r="N1720" s="1"/>
      <c r="O1720" s="1"/>
      <c r="P1720" s="1"/>
      <c r="Q1720" s="1"/>
      <c r="R1720" s="1"/>
      <c r="S1720" s="1"/>
      <c r="T1720" s="1"/>
      <c r="U1720" s="1"/>
      <c r="V1720" s="1"/>
      <c r="W1720" s="1"/>
      <c r="X1720" s="1"/>
      <c r="Y1720" s="1"/>
      <c r="Z1720" s="1"/>
      <c r="AA1720" s="1"/>
      <c r="AB1720" s="1"/>
    </row>
    <row r="1721" ht="50.25" customHeight="1">
      <c r="A1721" s="12">
        <v>1717.0</v>
      </c>
      <c r="B1721" s="13" t="s">
        <v>1622</v>
      </c>
      <c r="C1721" s="14" t="s">
        <v>1730</v>
      </c>
      <c r="D1721" s="1"/>
      <c r="E1721" s="15"/>
      <c r="F1721" s="1" t="str">
        <f>IFERROR(__xludf.DUMMYFUNCTION("GOOGLETRANSLATE(B1721, ""en"", ""fa"")
"),"بهینه سازی سئو")</f>
        <v>بهینه سازی سئو</v>
      </c>
      <c r="G1721" s="1" t="str">
        <f>IFERROR(__xludf.DUMMYFUNCTION("GOOGLETRANSLATE(C1721, ""en"", ""fa"")
"),"نکاتی را برای بهینه سازی محتوای وب سایت برای نقشه های محلی و نمایش در نتایج جستجوی نقشه محلی به اشتراک بگذارید.")</f>
        <v>نکاتی را برای بهینه سازی محتوای وب سایت برای نقشه های محلی و نمایش در نتایج جستجوی نقشه محلی به اشتراک بگذارید.</v>
      </c>
      <c r="H1721" s="1"/>
      <c r="I1721" s="1"/>
      <c r="J1721" s="1"/>
      <c r="K1721" s="1"/>
      <c r="L1721" s="1"/>
      <c r="M1721" s="1"/>
      <c r="N1721" s="1"/>
      <c r="O1721" s="1"/>
      <c r="P1721" s="1"/>
      <c r="Q1721" s="1"/>
      <c r="R1721" s="1"/>
      <c r="S1721" s="1"/>
      <c r="T1721" s="1"/>
      <c r="U1721" s="1"/>
      <c r="V1721" s="1"/>
      <c r="W1721" s="1"/>
      <c r="X1721" s="1"/>
      <c r="Y1721" s="1"/>
      <c r="Z1721" s="1"/>
      <c r="AA1721" s="1"/>
      <c r="AB1721" s="1"/>
    </row>
    <row r="1722" ht="50.25" customHeight="1">
      <c r="A1722" s="12">
        <v>1718.0</v>
      </c>
      <c r="B1722" s="13" t="s">
        <v>1622</v>
      </c>
      <c r="C1722" s="14" t="s">
        <v>1731</v>
      </c>
      <c r="D1722" s="1"/>
      <c r="E1722" s="15"/>
      <c r="F1722" s="1" t="str">
        <f>IFERROR(__xludf.DUMMYFUNCTION("GOOGLETRANSLATE(B1722, ""en"", ""fa"")
"),"بهینه سازی سئو")</f>
        <v>بهینه سازی سئو</v>
      </c>
      <c r="G1722" s="1" t="str">
        <f>IFERROR(__xludf.DUMMYFUNCTION("GOOGLETRANSLATE(C1722, ""en"", ""fa"")
"),"مفهوم مدیریت محتوای تولید شده توسط کاربر و تأثیر آن بر رویت سئو را بررسی کنید.")</f>
        <v>مفهوم مدیریت محتوای تولید شده توسط کاربر و تأثیر آن بر رویت سئو را بررسی کنید.</v>
      </c>
      <c r="H1722" s="1"/>
      <c r="I1722" s="1"/>
      <c r="J1722" s="1"/>
      <c r="K1722" s="1"/>
      <c r="L1722" s="1"/>
      <c r="M1722" s="1"/>
      <c r="N1722" s="1"/>
      <c r="O1722" s="1"/>
      <c r="P1722" s="1"/>
      <c r="Q1722" s="1"/>
      <c r="R1722" s="1"/>
      <c r="S1722" s="1"/>
      <c r="T1722" s="1"/>
      <c r="U1722" s="1"/>
      <c r="V1722" s="1"/>
      <c r="W1722" s="1"/>
      <c r="X1722" s="1"/>
      <c r="Y1722" s="1"/>
      <c r="Z1722" s="1"/>
      <c r="AA1722" s="1"/>
      <c r="AB1722" s="1"/>
    </row>
    <row r="1723" ht="50.25" customHeight="1">
      <c r="A1723" s="12">
        <v>1719.0</v>
      </c>
      <c r="B1723" s="13" t="s">
        <v>1622</v>
      </c>
      <c r="C1723" s="14" t="s">
        <v>1732</v>
      </c>
      <c r="D1723" s="1"/>
      <c r="E1723" s="15"/>
      <c r="F1723" s="1" t="str">
        <f>IFERROR(__xludf.DUMMYFUNCTION("GOOGLETRANSLATE(B1723, ""en"", ""fa"")
"),"بهینه سازی سئو")</f>
        <v>بهینه سازی سئو</v>
      </c>
      <c r="G1723" s="1" t="str">
        <f>IFERROR(__xludf.DUMMYFUNCTION("GOOGLETRANSLATE(C1723, ""en"", ""fa"")
"),"در مورد اهمیت بهینه سازی تجربه کاربری برای کاربران موبایل و استراتژی های سئوی موبایل بحث کنید.")</f>
        <v>در مورد اهمیت بهینه سازی تجربه کاربری برای کاربران موبایل و استراتژی های سئوی موبایل بحث کنید.</v>
      </c>
      <c r="H1723" s="1"/>
      <c r="I1723" s="1"/>
      <c r="J1723" s="1"/>
      <c r="K1723" s="1"/>
      <c r="L1723" s="1"/>
      <c r="M1723" s="1"/>
      <c r="N1723" s="1"/>
      <c r="O1723" s="1"/>
      <c r="P1723" s="1"/>
      <c r="Q1723" s="1"/>
      <c r="R1723" s="1"/>
      <c r="S1723" s="1"/>
      <c r="T1723" s="1"/>
      <c r="U1723" s="1"/>
      <c r="V1723" s="1"/>
      <c r="W1723" s="1"/>
      <c r="X1723" s="1"/>
      <c r="Y1723" s="1"/>
      <c r="Z1723" s="1"/>
      <c r="AA1723" s="1"/>
      <c r="AB1723" s="1"/>
    </row>
    <row r="1724" ht="50.25" customHeight="1">
      <c r="A1724" s="12">
        <v>1720.0</v>
      </c>
      <c r="B1724" s="13" t="s">
        <v>1622</v>
      </c>
      <c r="C1724" s="14" t="s">
        <v>1733</v>
      </c>
      <c r="D1724" s="1"/>
      <c r="E1724" s="15"/>
      <c r="F1724" s="1" t="str">
        <f>IFERROR(__xludf.DUMMYFUNCTION("GOOGLETRANSLATE(B1724, ""en"", ""fa"")
"),"بهینه سازی سئو")</f>
        <v>بهینه سازی سئو</v>
      </c>
      <c r="G1724" s="1" t="str">
        <f>IFERROR(__xludf.DUMMYFUNCTION("GOOGLETRANSLATE(C1724, ""en"", ""fa"")
"),"استراتژی هایی برای بهینه سازی محتوای وب سایت برای موضوعات پرطرفدار و استفاده از محتوای ویروسی به اشتراک بگذارید.")</f>
        <v>استراتژی هایی برای بهینه سازی محتوای وب سایت برای موضوعات پرطرفدار و استفاده از محتوای ویروسی به اشتراک بگذارید.</v>
      </c>
      <c r="H1724" s="1"/>
      <c r="I1724" s="1"/>
      <c r="J1724" s="1"/>
      <c r="K1724" s="1"/>
      <c r="L1724" s="1"/>
      <c r="M1724" s="1"/>
      <c r="N1724" s="1"/>
      <c r="O1724" s="1"/>
      <c r="P1724" s="1"/>
      <c r="Q1724" s="1"/>
      <c r="R1724" s="1"/>
      <c r="S1724" s="1"/>
      <c r="T1724" s="1"/>
      <c r="U1724" s="1"/>
      <c r="V1724" s="1"/>
      <c r="W1724" s="1"/>
      <c r="X1724" s="1"/>
      <c r="Y1724" s="1"/>
      <c r="Z1724" s="1"/>
      <c r="AA1724" s="1"/>
      <c r="AB1724" s="1"/>
    </row>
    <row r="1725" ht="50.25" customHeight="1">
      <c r="A1725" s="12">
        <v>1721.0</v>
      </c>
      <c r="B1725" s="13" t="s">
        <v>1622</v>
      </c>
      <c r="C1725" s="14" t="s">
        <v>1734</v>
      </c>
      <c r="D1725" s="1"/>
      <c r="E1725" s="15"/>
      <c r="F1725" s="1" t="str">
        <f>IFERROR(__xludf.DUMMYFUNCTION("GOOGLETRANSLATE(B1725, ""en"", ""fa"")
"),"بهینه سازی سئو")</f>
        <v>بهینه سازی سئو</v>
      </c>
      <c r="G1725" s="1" t="str">
        <f>IFERROR(__xludf.DUMMYFUNCTION("GOOGLETRANSLATE(C1725, ""en"", ""fa"")
"),"مزایای بهینه‌سازی محتوای وب‌سایت برای تغییرات و مترادف‌های کلیدواژه طولانی را بررسی کنید.")</f>
        <v>مزایای بهینه‌سازی محتوای وب‌سایت برای تغییرات و مترادف‌های کلیدواژه طولانی را بررسی کنید.</v>
      </c>
      <c r="H1725" s="1"/>
      <c r="I1725" s="1"/>
      <c r="J1725" s="1"/>
      <c r="K1725" s="1"/>
      <c r="L1725" s="1"/>
      <c r="M1725" s="1"/>
      <c r="N1725" s="1"/>
      <c r="O1725" s="1"/>
      <c r="P1725" s="1"/>
      <c r="Q1725" s="1"/>
      <c r="R1725" s="1"/>
      <c r="S1725" s="1"/>
      <c r="T1725" s="1"/>
      <c r="U1725" s="1"/>
      <c r="V1725" s="1"/>
      <c r="W1725" s="1"/>
      <c r="X1725" s="1"/>
      <c r="Y1725" s="1"/>
      <c r="Z1725" s="1"/>
      <c r="AA1725" s="1"/>
      <c r="AB1725" s="1"/>
    </row>
    <row r="1726" ht="50.25" customHeight="1">
      <c r="A1726" s="12">
        <v>1722.0</v>
      </c>
      <c r="B1726" s="13" t="s">
        <v>1622</v>
      </c>
      <c r="C1726" s="14" t="s">
        <v>1735</v>
      </c>
      <c r="D1726" s="1"/>
      <c r="E1726" s="15"/>
      <c r="F1726" s="1" t="str">
        <f>IFERROR(__xludf.DUMMYFUNCTION("GOOGLETRANSLATE(B1726, ""en"", ""fa"")
"),"بهینه سازی سئو")</f>
        <v>بهینه سازی سئو</v>
      </c>
      <c r="G1726" s="1" t="str">
        <f>IFERROR(__xludf.DUMMYFUNCTION("GOOGLETRANSLATE(C1726, ""en"", ""fa"")
"),"در مورد نقش ارتقاء و گسترش محتوا در به دست آوردن بک لینک های با کیفیت بالا و ترافیک ارجاع بحث کنید.")</f>
        <v>در مورد نقش ارتقاء و گسترش محتوا در به دست آوردن بک لینک های با کیفیت بالا و ترافیک ارجاع بحث کنید.</v>
      </c>
      <c r="H1726" s="1"/>
      <c r="I1726" s="1"/>
      <c r="J1726" s="1"/>
      <c r="K1726" s="1"/>
      <c r="L1726" s="1"/>
      <c r="M1726" s="1"/>
      <c r="N1726" s="1"/>
      <c r="O1726" s="1"/>
      <c r="P1726" s="1"/>
      <c r="Q1726" s="1"/>
      <c r="R1726" s="1"/>
      <c r="S1726" s="1"/>
      <c r="T1726" s="1"/>
      <c r="U1726" s="1"/>
      <c r="V1726" s="1"/>
      <c r="W1726" s="1"/>
      <c r="X1726" s="1"/>
      <c r="Y1726" s="1"/>
      <c r="Z1726" s="1"/>
      <c r="AA1726" s="1"/>
      <c r="AB1726" s="1"/>
    </row>
    <row r="1727" ht="50.25" customHeight="1">
      <c r="A1727" s="12">
        <v>1723.0</v>
      </c>
      <c r="B1727" s="13" t="s">
        <v>1622</v>
      </c>
      <c r="C1727" s="14" t="s">
        <v>1736</v>
      </c>
      <c r="D1727" s="1"/>
      <c r="E1727" s="15"/>
      <c r="F1727" s="1" t="str">
        <f>IFERROR(__xludf.DUMMYFUNCTION("GOOGLETRANSLATE(B1727, ""en"", ""fa"")
"),"بهینه سازی سئو")</f>
        <v>بهینه سازی سئو</v>
      </c>
      <c r="G1727" s="1" t="str">
        <f>IFERROR(__xludf.DUMMYFUNCTION("GOOGLETRANSLATE(C1727, ""en"", ""fa"")
"),"نکاتی را برای بهینه سازی محتوای وب سایت برای بازارهای بین المللی و سئوی چند زبانه به اشتراک بگذارید.")</f>
        <v>نکاتی را برای بهینه سازی محتوای وب سایت برای بازارهای بین المللی و سئوی چند زبانه به اشتراک بگذارید.</v>
      </c>
      <c r="H1727" s="1"/>
      <c r="I1727" s="1"/>
      <c r="J1727" s="1"/>
      <c r="K1727" s="1"/>
      <c r="L1727" s="1"/>
      <c r="M1727" s="1"/>
      <c r="N1727" s="1"/>
      <c r="O1727" s="1"/>
      <c r="P1727" s="1"/>
      <c r="Q1727" s="1"/>
      <c r="R1727" s="1"/>
      <c r="S1727" s="1"/>
      <c r="T1727" s="1"/>
      <c r="U1727" s="1"/>
      <c r="V1727" s="1"/>
      <c r="W1727" s="1"/>
      <c r="X1727" s="1"/>
      <c r="Y1727" s="1"/>
      <c r="Z1727" s="1"/>
      <c r="AA1727" s="1"/>
      <c r="AB1727" s="1"/>
    </row>
    <row r="1728" ht="50.25" customHeight="1">
      <c r="A1728" s="12">
        <v>1724.0</v>
      </c>
      <c r="B1728" s="13" t="s">
        <v>1622</v>
      </c>
      <c r="C1728" s="14" t="s">
        <v>1737</v>
      </c>
      <c r="D1728" s="1"/>
      <c r="E1728" s="15"/>
      <c r="F1728" s="1" t="str">
        <f>IFERROR(__xludf.DUMMYFUNCTION("GOOGLETRANSLATE(B1728, ""en"", ""fa"")
"),"بهینه سازی سئو")</f>
        <v>بهینه سازی سئو</v>
      </c>
      <c r="G1728" s="1" t="str">
        <f>IFERROR(__xludf.DUMMYFUNCTION("GOOGLETRANSLATE(C1728, ""en"", ""fa"")
"),"مفهوم آدمخواری کلمات کلیدی و استراتژی هایی برای حل مشکلات محتوای تکراری را بررسی کنید.")</f>
        <v>مفهوم آدمخواری کلمات کلیدی و استراتژی هایی برای حل مشکلات محتوای تکراری را بررسی کنید.</v>
      </c>
      <c r="H1728" s="1"/>
      <c r="I1728" s="1"/>
      <c r="J1728" s="1"/>
      <c r="K1728" s="1"/>
      <c r="L1728" s="1"/>
      <c r="M1728" s="1"/>
      <c r="N1728" s="1"/>
      <c r="O1728" s="1"/>
      <c r="P1728" s="1"/>
      <c r="Q1728" s="1"/>
      <c r="R1728" s="1"/>
      <c r="S1728" s="1"/>
      <c r="T1728" s="1"/>
      <c r="U1728" s="1"/>
      <c r="V1728" s="1"/>
      <c r="W1728" s="1"/>
      <c r="X1728" s="1"/>
      <c r="Y1728" s="1"/>
      <c r="Z1728" s="1"/>
      <c r="AA1728" s="1"/>
      <c r="AB1728" s="1"/>
    </row>
    <row r="1729" ht="50.25" customHeight="1">
      <c r="A1729" s="12">
        <v>1725.0</v>
      </c>
      <c r="B1729" s="13" t="s">
        <v>1622</v>
      </c>
      <c r="C1729" s="14" t="s">
        <v>1738</v>
      </c>
      <c r="D1729" s="1"/>
      <c r="E1729" s="15"/>
      <c r="F1729" s="1" t="str">
        <f>IFERROR(__xludf.DUMMYFUNCTION("GOOGLETRANSLATE(B1729, ""en"", ""fa"")
"),"بهینه سازی سئو")</f>
        <v>بهینه سازی سئو</v>
      </c>
      <c r="G1729" s="1" t="str">
        <f>IFERROR(__xludf.DUMMYFUNCTION("GOOGLETRANSLATE(C1729, ""en"", ""fa"")
"),"در مورد تاثیر پروفایل های رسانه های اجتماعی و تعامل بر سئو برند شخصی بحث کنید.")</f>
        <v>در مورد تاثیر پروفایل های رسانه های اجتماعی و تعامل بر سئو برند شخصی بحث کنید.</v>
      </c>
      <c r="H1729" s="1"/>
      <c r="I1729" s="1"/>
      <c r="J1729" s="1"/>
      <c r="K1729" s="1"/>
      <c r="L1729" s="1"/>
      <c r="M1729" s="1"/>
      <c r="N1729" s="1"/>
      <c r="O1729" s="1"/>
      <c r="P1729" s="1"/>
      <c r="Q1729" s="1"/>
      <c r="R1729" s="1"/>
      <c r="S1729" s="1"/>
      <c r="T1729" s="1"/>
      <c r="U1729" s="1"/>
      <c r="V1729" s="1"/>
      <c r="W1729" s="1"/>
      <c r="X1729" s="1"/>
      <c r="Y1729" s="1"/>
      <c r="Z1729" s="1"/>
      <c r="AA1729" s="1"/>
      <c r="AB1729" s="1"/>
    </row>
    <row r="1730" ht="50.25" customHeight="1">
      <c r="A1730" s="12">
        <v>1726.0</v>
      </c>
      <c r="B1730" s="13" t="s">
        <v>1622</v>
      </c>
      <c r="C1730" s="14" t="s">
        <v>1739</v>
      </c>
      <c r="D1730" s="1"/>
      <c r="E1730" s="15"/>
      <c r="F1730" s="1" t="str">
        <f>IFERROR(__xludf.DUMMYFUNCTION("GOOGLETRANSLATE(B1730, ""en"", ""fa"")
"),"بهینه سازی سئو")</f>
        <v>بهینه سازی سئو</v>
      </c>
      <c r="G1730" s="1" t="str">
        <f>IFERROR(__xludf.DUMMYFUNCTION("GOOGLETRANSLATE(C1730, ""en"", ""fa"")
"),"استراتژی های بهینه سازی محتوای وب سایت برای توضیحات محصول و سئوی تجارت الکترونیک را به اشتراک بگذارید.")</f>
        <v>استراتژی های بهینه سازی محتوای وب سایت برای توضیحات محصول و سئوی تجارت الکترونیک را به اشتراک بگذارید.</v>
      </c>
      <c r="H1730" s="1"/>
      <c r="I1730" s="1"/>
      <c r="J1730" s="1"/>
      <c r="K1730" s="1"/>
      <c r="L1730" s="1"/>
      <c r="M1730" s="1"/>
      <c r="N1730" s="1"/>
      <c r="O1730" s="1"/>
      <c r="P1730" s="1"/>
      <c r="Q1730" s="1"/>
      <c r="R1730" s="1"/>
      <c r="S1730" s="1"/>
      <c r="T1730" s="1"/>
      <c r="U1730" s="1"/>
      <c r="V1730" s="1"/>
      <c r="W1730" s="1"/>
      <c r="X1730" s="1"/>
      <c r="Y1730" s="1"/>
      <c r="Z1730" s="1"/>
      <c r="AA1730" s="1"/>
      <c r="AB1730" s="1"/>
    </row>
    <row r="1731" ht="50.25" customHeight="1">
      <c r="A1731" s="12">
        <v>1727.0</v>
      </c>
      <c r="B1731" s="13" t="s">
        <v>1622</v>
      </c>
      <c r="C1731" s="14" t="s">
        <v>1740</v>
      </c>
      <c r="D1731" s="1"/>
      <c r="E1731" s="15"/>
      <c r="F1731" s="1" t="str">
        <f>IFERROR(__xludf.DUMMYFUNCTION("GOOGLETRANSLATE(B1731, ""en"", ""fa"")
"),"بهینه سازی سئو")</f>
        <v>بهینه سازی سئو</v>
      </c>
      <c r="G1731" s="1" t="str">
        <f>IFERROR(__xludf.DUMMYFUNCTION("GOOGLETRANSLATE(C1731, ""en"", ""fa"")
"),"مزایای بهینه سازی محتوای وب سایت برای جستجوی صوتی و جستجوهای زبان طبیعی را بررسی کنید.")</f>
        <v>مزایای بهینه سازی محتوای وب سایت برای جستجوی صوتی و جستجوهای زبان طبیعی را بررسی کنید.</v>
      </c>
      <c r="H1731" s="1"/>
      <c r="I1731" s="1"/>
      <c r="J1731" s="1"/>
      <c r="K1731" s="1"/>
      <c r="L1731" s="1"/>
      <c r="M1731" s="1"/>
      <c r="N1731" s="1"/>
      <c r="O1731" s="1"/>
      <c r="P1731" s="1"/>
      <c r="Q1731" s="1"/>
      <c r="R1731" s="1"/>
      <c r="S1731" s="1"/>
      <c r="T1731" s="1"/>
      <c r="U1731" s="1"/>
      <c r="V1731" s="1"/>
      <c r="W1731" s="1"/>
      <c r="X1731" s="1"/>
      <c r="Y1731" s="1"/>
      <c r="Z1731" s="1"/>
      <c r="AA1731" s="1"/>
      <c r="AB1731" s="1"/>
    </row>
    <row r="1732" ht="50.25" customHeight="1">
      <c r="A1732" s="12">
        <v>1728.0</v>
      </c>
      <c r="B1732" s="13" t="s">
        <v>1622</v>
      </c>
      <c r="C1732" s="14" t="s">
        <v>1741</v>
      </c>
      <c r="D1732" s="1"/>
      <c r="E1732" s="15"/>
      <c r="F1732" s="1" t="str">
        <f>IFERROR(__xludf.DUMMYFUNCTION("GOOGLETRANSLATE(B1732, ""en"", ""fa"")
"),"بهینه سازی سئو")</f>
        <v>بهینه سازی سئو</v>
      </c>
      <c r="G1732" s="1" t="str">
        <f>IFERROR(__xludf.DUMMYFUNCTION("GOOGLETRANSLATE(C1732, ""en"", ""fa"")
"),"در مورد نقش محتوای تولید شده توسط کاربر در بهینه سازی سئو محلی و مدیریت شهرت بحث کنید.")</f>
        <v>در مورد نقش محتوای تولید شده توسط کاربر در بهینه سازی سئو محلی و مدیریت شهرت بحث کنید.</v>
      </c>
      <c r="H1732" s="1"/>
      <c r="I1732" s="1"/>
      <c r="J1732" s="1"/>
      <c r="K1732" s="1"/>
      <c r="L1732" s="1"/>
      <c r="M1732" s="1"/>
      <c r="N1732" s="1"/>
      <c r="O1732" s="1"/>
      <c r="P1732" s="1"/>
      <c r="Q1732" s="1"/>
      <c r="R1732" s="1"/>
      <c r="S1732" s="1"/>
      <c r="T1732" s="1"/>
      <c r="U1732" s="1"/>
      <c r="V1732" s="1"/>
      <c r="W1732" s="1"/>
      <c r="X1732" s="1"/>
      <c r="Y1732" s="1"/>
      <c r="Z1732" s="1"/>
      <c r="AA1732" s="1"/>
      <c r="AB1732" s="1"/>
    </row>
    <row r="1733" ht="50.25" customHeight="1">
      <c r="A1733" s="12">
        <v>1729.0</v>
      </c>
      <c r="B1733" s="13" t="s">
        <v>1622</v>
      </c>
      <c r="C1733" s="14" t="s">
        <v>1742</v>
      </c>
      <c r="D1733" s="1"/>
      <c r="E1733" s="15"/>
      <c r="F1733" s="1" t="str">
        <f>IFERROR(__xludf.DUMMYFUNCTION("GOOGLETRANSLATE(B1733, ""en"", ""fa"")
"),"بهینه سازی سئو")</f>
        <v>بهینه سازی سئو</v>
      </c>
      <c r="G1733" s="1" t="str">
        <f>IFERROR(__xludf.DUMMYFUNCTION("GOOGLETRANSLATE(C1733, ""en"", ""fa"")
"),"نکاتی را برای بهینه سازی محتوای وب سایت برای ایجاد استناد محلی و بهبود دید سئوی محلی به اشتراک بگذارید.")</f>
        <v>نکاتی را برای بهینه سازی محتوای وب سایت برای ایجاد استناد محلی و بهبود دید سئوی محلی به اشتراک بگذارید.</v>
      </c>
      <c r="H1733" s="1"/>
      <c r="I1733" s="1"/>
      <c r="J1733" s="1"/>
      <c r="K1733" s="1"/>
      <c r="L1733" s="1"/>
      <c r="M1733" s="1"/>
      <c r="N1733" s="1"/>
      <c r="O1733" s="1"/>
      <c r="P1733" s="1"/>
      <c r="Q1733" s="1"/>
      <c r="R1733" s="1"/>
      <c r="S1733" s="1"/>
      <c r="T1733" s="1"/>
      <c r="U1733" s="1"/>
      <c r="V1733" s="1"/>
      <c r="W1733" s="1"/>
      <c r="X1733" s="1"/>
      <c r="Y1733" s="1"/>
      <c r="Z1733" s="1"/>
      <c r="AA1733" s="1"/>
      <c r="AB1733" s="1"/>
    </row>
    <row r="1734" ht="50.25" customHeight="1">
      <c r="A1734" s="12">
        <v>1730.0</v>
      </c>
      <c r="B1734" s="13" t="s">
        <v>1622</v>
      </c>
      <c r="C1734" s="14" t="s">
        <v>1743</v>
      </c>
      <c r="D1734" s="1"/>
      <c r="E1734" s="15"/>
      <c r="F1734" s="1" t="str">
        <f>IFERROR(__xludf.DUMMYFUNCTION("GOOGLETRANSLATE(B1734, ""en"", ""fa"")
"),"بهینه سازی سئو")</f>
        <v>بهینه سازی سئو</v>
      </c>
      <c r="G1734" s="1" t="str">
        <f>IFERROR(__xludf.DUMMYFUNCTION("GOOGLETRANSLATE(C1734, ""en"", ""fa"")
"),"مفهوم گسترش بک لینک و استراتژی های موثر برای به دست آوردن بک لینک های معتبر را بررسی کنید.")</f>
        <v>مفهوم گسترش بک لینک و استراتژی های موثر برای به دست آوردن بک لینک های معتبر را بررسی کنید.</v>
      </c>
      <c r="H1734" s="1"/>
      <c r="I1734" s="1"/>
      <c r="J1734" s="1"/>
      <c r="K1734" s="1"/>
      <c r="L1734" s="1"/>
      <c r="M1734" s="1"/>
      <c r="N1734" s="1"/>
      <c r="O1734" s="1"/>
      <c r="P1734" s="1"/>
      <c r="Q1734" s="1"/>
      <c r="R1734" s="1"/>
      <c r="S1734" s="1"/>
      <c r="T1734" s="1"/>
      <c r="U1734" s="1"/>
      <c r="V1734" s="1"/>
      <c r="W1734" s="1"/>
      <c r="X1734" s="1"/>
      <c r="Y1734" s="1"/>
      <c r="Z1734" s="1"/>
      <c r="AA1734" s="1"/>
      <c r="AB1734" s="1"/>
    </row>
    <row r="1735" ht="50.25" customHeight="1">
      <c r="A1735" s="12">
        <v>1731.0</v>
      </c>
      <c r="B1735" s="13" t="s">
        <v>1622</v>
      </c>
      <c r="C1735" s="14" t="s">
        <v>1744</v>
      </c>
      <c r="D1735" s="1"/>
      <c r="E1735" s="15"/>
      <c r="F1735" s="1" t="str">
        <f>IFERROR(__xludf.DUMMYFUNCTION("GOOGLETRANSLATE(B1735, ""en"", ""fa"")
"),"بهینه سازی سئو")</f>
        <v>بهینه سازی سئو</v>
      </c>
      <c r="G1735" s="1" t="str">
        <f>IFERROR(__xludf.DUMMYFUNCTION("GOOGLETRANSLATE(C1735, ""en"", ""fa"")
"),"درباره اهمیت رتبه‌بندی‌ها و بررسی‌های تولید شده توسط کاربر در بهینه‌سازی سئوی کسب‌وکار محلی بحث کنید.")</f>
        <v>درباره اهمیت رتبه‌بندی‌ها و بررسی‌های تولید شده توسط کاربر در بهینه‌سازی سئوی کسب‌وکار محلی بحث کنید.</v>
      </c>
      <c r="H1735" s="1"/>
      <c r="I1735" s="1"/>
      <c r="J1735" s="1"/>
      <c r="K1735" s="1"/>
      <c r="L1735" s="1"/>
      <c r="M1735" s="1"/>
      <c r="N1735" s="1"/>
      <c r="O1735" s="1"/>
      <c r="P1735" s="1"/>
      <c r="Q1735" s="1"/>
      <c r="R1735" s="1"/>
      <c r="S1735" s="1"/>
      <c r="T1735" s="1"/>
      <c r="U1735" s="1"/>
      <c r="V1735" s="1"/>
      <c r="W1735" s="1"/>
      <c r="X1735" s="1"/>
      <c r="Y1735" s="1"/>
      <c r="Z1735" s="1"/>
      <c r="AA1735" s="1"/>
      <c r="AB1735" s="1"/>
    </row>
    <row r="1736" ht="50.25" customHeight="1">
      <c r="A1736" s="12">
        <v>1732.0</v>
      </c>
      <c r="B1736" s="13" t="s">
        <v>1622</v>
      </c>
      <c r="C1736" s="14" t="s">
        <v>1745</v>
      </c>
      <c r="D1736" s="1"/>
      <c r="E1736" s="15"/>
      <c r="F1736" s="1" t="str">
        <f>IFERROR(__xludf.DUMMYFUNCTION("GOOGLETRANSLATE(B1736, ""en"", ""fa"")
"),"بهینه سازی سئو")</f>
        <v>بهینه سازی سئو</v>
      </c>
      <c r="G1736" s="1" t="str">
        <f>IFERROR(__xludf.DUMMYFUNCTION("GOOGLETRANSLATE(C1736, ""en"", ""fa"")
"),"استراتژی‌هایی را برای بهینه‌سازی محتوای وب‌سایت برای رویدادهای محلی و استفاده از ارتباطات محلی محلی به اشتراک بگذارید.")</f>
        <v>استراتژی‌هایی را برای بهینه‌سازی محتوای وب‌سایت برای رویدادهای محلی و استفاده از ارتباطات محلی محلی به اشتراک بگذارید.</v>
      </c>
      <c r="H1736" s="1"/>
      <c r="I1736" s="1"/>
      <c r="J1736" s="1"/>
      <c r="K1736" s="1"/>
      <c r="L1736" s="1"/>
      <c r="M1736" s="1"/>
      <c r="N1736" s="1"/>
      <c r="O1736" s="1"/>
      <c r="P1736" s="1"/>
      <c r="Q1736" s="1"/>
      <c r="R1736" s="1"/>
      <c r="S1736" s="1"/>
      <c r="T1736" s="1"/>
      <c r="U1736" s="1"/>
      <c r="V1736" s="1"/>
      <c r="W1736" s="1"/>
      <c r="X1736" s="1"/>
      <c r="Y1736" s="1"/>
      <c r="Z1736" s="1"/>
      <c r="AA1736" s="1"/>
      <c r="AB1736" s="1"/>
    </row>
    <row r="1737" ht="50.25" customHeight="1">
      <c r="A1737" s="12">
        <v>1733.0</v>
      </c>
      <c r="B1737" s="13" t="s">
        <v>1622</v>
      </c>
      <c r="C1737" s="14" t="s">
        <v>1746</v>
      </c>
      <c r="D1737" s="1"/>
      <c r="E1737" s="15"/>
      <c r="F1737" s="1" t="str">
        <f>IFERROR(__xludf.DUMMYFUNCTION("GOOGLETRANSLATE(B1737, ""en"", ""fa"")
"),"بهینه سازی سئو")</f>
        <v>بهینه سازی سئو</v>
      </c>
      <c r="G1737" s="1" t="str">
        <f>IFERROR(__xludf.DUMMYFUNCTION("GOOGLETRANSLATE(C1737, ""en"", ""fa"")
"),"مزایای بهینه‌سازی محتوای وب‌سایت برای کلمات کلیدی خاص صنعت و جست‌وجوهای خاص را بررسی کنید.")</f>
        <v>مزایای بهینه‌سازی محتوای وب‌سایت برای کلمات کلیدی خاص صنعت و جست‌وجوهای خاص را بررسی کنید.</v>
      </c>
      <c r="H1737" s="1"/>
      <c r="I1737" s="1"/>
      <c r="J1737" s="1"/>
      <c r="K1737" s="1"/>
      <c r="L1737" s="1"/>
      <c r="M1737" s="1"/>
      <c r="N1737" s="1"/>
      <c r="O1737" s="1"/>
      <c r="P1737" s="1"/>
      <c r="Q1737" s="1"/>
      <c r="R1737" s="1"/>
      <c r="S1737" s="1"/>
      <c r="T1737" s="1"/>
      <c r="U1737" s="1"/>
      <c r="V1737" s="1"/>
      <c r="W1737" s="1"/>
      <c r="X1737" s="1"/>
      <c r="Y1737" s="1"/>
      <c r="Z1737" s="1"/>
      <c r="AA1737" s="1"/>
      <c r="AB1737" s="1"/>
    </row>
    <row r="1738" ht="50.25" customHeight="1">
      <c r="A1738" s="12">
        <v>1734.0</v>
      </c>
      <c r="B1738" s="13" t="s">
        <v>1622</v>
      </c>
      <c r="C1738" s="14" t="s">
        <v>1747</v>
      </c>
      <c r="D1738" s="1"/>
      <c r="E1738" s="15"/>
      <c r="F1738" s="1" t="str">
        <f>IFERROR(__xludf.DUMMYFUNCTION("GOOGLETRANSLATE(B1738, ""en"", ""fa"")
"),"بهینه سازی سئو")</f>
        <v>بهینه سازی سئو</v>
      </c>
      <c r="G1738" s="1" t="str">
        <f>IFERROR(__xludf.DUMMYFUNCTION("GOOGLETRANSLATE(C1738, ""en"", ""fa"")
"),"در مورد نقش سیگنال های رسانه های اجتماعی در بهینه سازی سئو و استراتژی های تقویت تعامل اجتماعی بحث کنید.")</f>
        <v>در مورد نقش سیگنال های رسانه های اجتماعی در بهینه سازی سئو و استراتژی های تقویت تعامل اجتماعی بحث کنید.</v>
      </c>
      <c r="H1738" s="1"/>
      <c r="I1738" s="1"/>
      <c r="J1738" s="1"/>
      <c r="K1738" s="1"/>
      <c r="L1738" s="1"/>
      <c r="M1738" s="1"/>
      <c r="N1738" s="1"/>
      <c r="O1738" s="1"/>
      <c r="P1738" s="1"/>
      <c r="Q1738" s="1"/>
      <c r="R1738" s="1"/>
      <c r="S1738" s="1"/>
      <c r="T1738" s="1"/>
      <c r="U1738" s="1"/>
      <c r="V1738" s="1"/>
      <c r="W1738" s="1"/>
      <c r="X1738" s="1"/>
      <c r="Y1738" s="1"/>
      <c r="Z1738" s="1"/>
      <c r="AA1738" s="1"/>
      <c r="AB1738" s="1"/>
    </row>
    <row r="1739" ht="50.25" customHeight="1">
      <c r="A1739" s="12">
        <v>1735.0</v>
      </c>
      <c r="B1739" s="13" t="s">
        <v>1622</v>
      </c>
      <c r="C1739" s="14" t="s">
        <v>1748</v>
      </c>
      <c r="D1739" s="1"/>
      <c r="E1739" s="15"/>
      <c r="F1739" s="1" t="str">
        <f>IFERROR(__xludf.DUMMYFUNCTION("GOOGLETRANSLATE(B1739, ""en"", ""fa"")
"),"بهینه سازی سئو")</f>
        <v>بهینه سازی سئو</v>
      </c>
      <c r="G1739" s="1" t="str">
        <f>IFERROR(__xludf.DUMMYFUNCTION("GOOGLETRANSLATE(C1739, ""en"", ""fa"")
"),"نکاتی را برای بهینه سازی محتوای وب سایت برای «Google برای کسب و کار من» و مشاهده جستجوی محلی به اشتراک بگذارید.")</f>
        <v>نکاتی را برای بهینه سازی محتوای وب سایت برای «Google برای کسب و کار من» و مشاهده جستجوی محلی به اشتراک بگذارید.</v>
      </c>
      <c r="H1739" s="1"/>
      <c r="I1739" s="1"/>
      <c r="J1739" s="1"/>
      <c r="K1739" s="1"/>
      <c r="L1739" s="1"/>
      <c r="M1739" s="1"/>
      <c r="N1739" s="1"/>
      <c r="O1739" s="1"/>
      <c r="P1739" s="1"/>
      <c r="Q1739" s="1"/>
      <c r="R1739" s="1"/>
      <c r="S1739" s="1"/>
      <c r="T1739" s="1"/>
      <c r="U1739" s="1"/>
      <c r="V1739" s="1"/>
      <c r="W1739" s="1"/>
      <c r="X1739" s="1"/>
      <c r="Y1739" s="1"/>
      <c r="Z1739" s="1"/>
      <c r="AA1739" s="1"/>
      <c r="AB1739" s="1"/>
    </row>
    <row r="1740" ht="50.25" customHeight="1">
      <c r="A1740" s="12">
        <v>1736.0</v>
      </c>
      <c r="B1740" s="13" t="s">
        <v>1622</v>
      </c>
      <c r="C1740" s="14" t="s">
        <v>1749</v>
      </c>
      <c r="D1740" s="1"/>
      <c r="E1740" s="15"/>
      <c r="F1740" s="1" t="str">
        <f>IFERROR(__xludf.DUMMYFUNCTION("GOOGLETRANSLATE(B1740, ""en"", ""fa"")
"),"بهینه سازی سئو")</f>
        <v>بهینه سازی سئو</v>
      </c>
      <c r="G1740" s="1" t="str">
        <f>IFERROR(__xludf.DUMMYFUNCTION("GOOGLETRANSLATE(C1740, ""en"", ""fa"")
"),"در مورد اهمیت ساختار وب سایت و پیوندهای داخلی برای بهبود خزیدن و تجربه کاربر بحث کنید.")</f>
        <v>در مورد اهمیت ساختار وب سایت و پیوندهای داخلی برای بهبود خزیدن و تجربه کاربر بحث کنید.</v>
      </c>
      <c r="H1740" s="1"/>
      <c r="I1740" s="1"/>
      <c r="J1740" s="1"/>
      <c r="K1740" s="1"/>
      <c r="L1740" s="1"/>
      <c r="M1740" s="1"/>
      <c r="N1740" s="1"/>
      <c r="O1740" s="1"/>
      <c r="P1740" s="1"/>
      <c r="Q1740" s="1"/>
      <c r="R1740" s="1"/>
      <c r="S1740" s="1"/>
      <c r="T1740" s="1"/>
      <c r="U1740" s="1"/>
      <c r="V1740" s="1"/>
      <c r="W1740" s="1"/>
      <c r="X1740" s="1"/>
      <c r="Y1740" s="1"/>
      <c r="Z1740" s="1"/>
      <c r="AA1740" s="1"/>
      <c r="AB1740" s="1"/>
    </row>
    <row r="1741" ht="50.25" customHeight="1">
      <c r="A1741" s="12">
        <v>1737.0</v>
      </c>
      <c r="B1741" s="13" t="s">
        <v>1622</v>
      </c>
      <c r="C1741" s="14" t="s">
        <v>1750</v>
      </c>
      <c r="D1741" s="1"/>
      <c r="E1741" s="15"/>
      <c r="F1741" s="1" t="str">
        <f>IFERROR(__xludf.DUMMYFUNCTION("GOOGLETRANSLATE(B1741, ""en"", ""fa"")
"),"بهینه سازی سئو")</f>
        <v>بهینه سازی سئو</v>
      </c>
      <c r="G1741" s="1" t="str">
        <f>IFERROR(__xludf.DUMMYFUNCTION("GOOGLETRANSLATE(C1741, ""en"", ""fa"")
"),"استراتژی‌های بهینه‌سازی محتوای وب‌سایت را برای پلتفرم‌های پرسش و پاسخ تولید شده توسط کاربر و قطعه‌های برجسته به اشتراک بگذارید.")</f>
        <v>استراتژی‌های بهینه‌سازی محتوای وب‌سایت را برای پلتفرم‌های پرسش و پاسخ تولید شده توسط کاربر و قطعه‌های برجسته به اشتراک بگذارید.</v>
      </c>
      <c r="H1741" s="1"/>
      <c r="I1741" s="1"/>
      <c r="J1741" s="1"/>
      <c r="K1741" s="1"/>
      <c r="L1741" s="1"/>
      <c r="M1741" s="1"/>
      <c r="N1741" s="1"/>
      <c r="O1741" s="1"/>
      <c r="P1741" s="1"/>
      <c r="Q1741" s="1"/>
      <c r="R1741" s="1"/>
      <c r="S1741" s="1"/>
      <c r="T1741" s="1"/>
      <c r="U1741" s="1"/>
      <c r="V1741" s="1"/>
      <c r="W1741" s="1"/>
      <c r="X1741" s="1"/>
      <c r="Y1741" s="1"/>
      <c r="Z1741" s="1"/>
      <c r="AA1741" s="1"/>
      <c r="AB1741" s="1"/>
    </row>
    <row r="1742" ht="50.25" customHeight="1">
      <c r="A1742" s="12">
        <v>1738.0</v>
      </c>
      <c r="B1742" s="13" t="s">
        <v>1622</v>
      </c>
      <c r="C1742" s="14" t="s">
        <v>1751</v>
      </c>
      <c r="D1742" s="1"/>
      <c r="E1742" s="15"/>
      <c r="F1742" s="1" t="str">
        <f>IFERROR(__xludf.DUMMYFUNCTION("GOOGLETRANSLATE(B1742, ""en"", ""fa"")
"),"بهینه سازی سئو")</f>
        <v>بهینه سازی سئو</v>
      </c>
      <c r="G1742" s="1" t="str">
        <f>IFERROR(__xludf.DUMMYFUNCTION("GOOGLETRANSLATE(C1742, ""en"", ""fa"")
"),"مزایای بهینه سازی محتوای وب سایت برای هدف کاربر و همسویی با اهداف جستجوگران را بررسی کنید.")</f>
        <v>مزایای بهینه سازی محتوای وب سایت برای هدف کاربر و همسویی با اهداف جستجوگران را بررسی کنید.</v>
      </c>
      <c r="H1742" s="1"/>
      <c r="I1742" s="1"/>
      <c r="J1742" s="1"/>
      <c r="K1742" s="1"/>
      <c r="L1742" s="1"/>
      <c r="M1742" s="1"/>
      <c r="N1742" s="1"/>
      <c r="O1742" s="1"/>
      <c r="P1742" s="1"/>
      <c r="Q1742" s="1"/>
      <c r="R1742" s="1"/>
      <c r="S1742" s="1"/>
      <c r="T1742" s="1"/>
      <c r="U1742" s="1"/>
      <c r="V1742" s="1"/>
      <c r="W1742" s="1"/>
      <c r="X1742" s="1"/>
      <c r="Y1742" s="1"/>
      <c r="Z1742" s="1"/>
      <c r="AA1742" s="1"/>
      <c r="AB1742" s="1"/>
    </row>
    <row r="1743" ht="50.25" customHeight="1">
      <c r="A1743" s="12">
        <v>1739.0</v>
      </c>
      <c r="B1743" s="13" t="s">
        <v>1622</v>
      </c>
      <c r="C1743" s="14" t="s">
        <v>1752</v>
      </c>
      <c r="D1743" s="1"/>
      <c r="E1743" s="15"/>
      <c r="F1743" s="1" t="str">
        <f>IFERROR(__xludf.DUMMYFUNCTION("GOOGLETRANSLATE(B1743, ""en"", ""fa"")
"),"بهینه سازی سئو")</f>
        <v>بهینه سازی سئو</v>
      </c>
      <c r="G1743" s="1" t="str">
        <f>IFERROR(__xludf.DUMMYFUNCTION("GOOGLETRANSLATE(C1743, ""en"", ""fa"")
"),"در مورد نقش نشانه گذاری طرح واره محلی در بهینه سازی سئوی محلی و نمایان شدن قطعه غنی بحث کنید.")</f>
        <v>در مورد نقش نشانه گذاری طرح واره محلی در بهینه سازی سئوی محلی و نمایان شدن قطعه غنی بحث کنید.</v>
      </c>
      <c r="H1743" s="1"/>
      <c r="I1743" s="1"/>
      <c r="J1743" s="1"/>
      <c r="K1743" s="1"/>
      <c r="L1743" s="1"/>
      <c r="M1743" s="1"/>
      <c r="N1743" s="1"/>
      <c r="O1743" s="1"/>
      <c r="P1743" s="1"/>
      <c r="Q1743" s="1"/>
      <c r="R1743" s="1"/>
      <c r="S1743" s="1"/>
      <c r="T1743" s="1"/>
      <c r="U1743" s="1"/>
      <c r="V1743" s="1"/>
      <c r="W1743" s="1"/>
      <c r="X1743" s="1"/>
      <c r="Y1743" s="1"/>
      <c r="Z1743" s="1"/>
      <c r="AA1743" s="1"/>
      <c r="AB1743" s="1"/>
    </row>
    <row r="1744" ht="50.25" customHeight="1">
      <c r="A1744" s="12">
        <v>1740.0</v>
      </c>
      <c r="B1744" s="13" t="s">
        <v>1622</v>
      </c>
      <c r="C1744" s="14" t="s">
        <v>1753</v>
      </c>
      <c r="D1744" s="1"/>
      <c r="E1744" s="15"/>
      <c r="F1744" s="1" t="str">
        <f>IFERROR(__xludf.DUMMYFUNCTION("GOOGLETRANSLATE(B1744, ""en"", ""fa"")
"),"بهینه سازی سئو")</f>
        <v>بهینه سازی سئو</v>
      </c>
      <c r="G1744" s="1" t="str">
        <f>IFERROR(__xludf.DUMMYFUNCTION("GOOGLETRANSLATE(C1744, ""en"", ""fa"")
"),"نکاتی را برای بهینه سازی محتوای وب سایت برای جستجوی صوتی و جذب ترافیک دستیار صوتی به اشتراک بگذارید.")</f>
        <v>نکاتی را برای بهینه سازی محتوای وب سایت برای جستجوی صوتی و جذب ترافیک دستیار صوتی به اشتراک بگذارید.</v>
      </c>
      <c r="H1744" s="1"/>
      <c r="I1744" s="1"/>
      <c r="J1744" s="1"/>
      <c r="K1744" s="1"/>
      <c r="L1744" s="1"/>
      <c r="M1744" s="1"/>
      <c r="N1744" s="1"/>
      <c r="O1744" s="1"/>
      <c r="P1744" s="1"/>
      <c r="Q1744" s="1"/>
      <c r="R1744" s="1"/>
      <c r="S1744" s="1"/>
      <c r="T1744" s="1"/>
      <c r="U1744" s="1"/>
      <c r="V1744" s="1"/>
      <c r="W1744" s="1"/>
      <c r="X1744" s="1"/>
      <c r="Y1744" s="1"/>
      <c r="Z1744" s="1"/>
      <c r="AA1744" s="1"/>
      <c r="AB1744" s="1"/>
    </row>
    <row r="1745" ht="50.25" customHeight="1">
      <c r="A1745" s="12">
        <v>1741.0</v>
      </c>
      <c r="B1745" s="13" t="s">
        <v>1622</v>
      </c>
      <c r="C1745" s="14" t="s">
        <v>1754</v>
      </c>
      <c r="D1745" s="1"/>
      <c r="E1745" s="15"/>
      <c r="F1745" s="1" t="str">
        <f>IFERROR(__xludf.DUMMYFUNCTION("GOOGLETRANSLATE(B1745, ""en"", ""fa"")
"),"بهینه سازی سئو")</f>
        <v>بهینه سازی سئو</v>
      </c>
      <c r="G1745" s="1" t="str">
        <f>IFERROR(__xludf.DUMMYFUNCTION("GOOGLETRANSLATE(C1745, ""en"", ""fa"")
"),"مفهوم استفاده مجدد و بازیافت محتوا را برای حداکثر تأثیر و دسترسی به سئو بررسی کنید.")</f>
        <v>مفهوم استفاده مجدد و بازیافت محتوا را برای حداکثر تأثیر و دسترسی به سئو بررسی کنید.</v>
      </c>
      <c r="H1745" s="1"/>
      <c r="I1745" s="1"/>
      <c r="J1745" s="1"/>
      <c r="K1745" s="1"/>
      <c r="L1745" s="1"/>
      <c r="M1745" s="1"/>
      <c r="N1745" s="1"/>
      <c r="O1745" s="1"/>
      <c r="P1745" s="1"/>
      <c r="Q1745" s="1"/>
      <c r="R1745" s="1"/>
      <c r="S1745" s="1"/>
      <c r="T1745" s="1"/>
      <c r="U1745" s="1"/>
      <c r="V1745" s="1"/>
      <c r="W1745" s="1"/>
      <c r="X1745" s="1"/>
      <c r="Y1745" s="1"/>
      <c r="Z1745" s="1"/>
      <c r="AA1745" s="1"/>
      <c r="AB1745" s="1"/>
    </row>
    <row r="1746" ht="50.25" customHeight="1">
      <c r="A1746" s="12">
        <v>1742.0</v>
      </c>
      <c r="B1746" s="13" t="s">
        <v>1622</v>
      </c>
      <c r="C1746" s="14" t="s">
        <v>1755</v>
      </c>
      <c r="D1746" s="1"/>
      <c r="E1746" s="15"/>
      <c r="F1746" s="1" t="str">
        <f>IFERROR(__xludf.DUMMYFUNCTION("GOOGLETRANSLATE(B1746, ""en"", ""fa"")
"),"بهینه سازی سئو")</f>
        <v>بهینه سازی سئو</v>
      </c>
      <c r="G1746" s="1" t="str">
        <f>IFERROR(__xludf.DUMMYFUNCTION("GOOGLETRANSLATE(C1746, ""en"", ""fa"")
"),"استراتژی هایی برای بهینه سازی محتوای وب سایت برای قطعه های غنی و افزایش دید در نتایج جستجو به اشتراک بگذارید.")</f>
        <v>استراتژی هایی برای بهینه سازی محتوای وب سایت برای قطعه های غنی و افزایش دید در نتایج جستجو به اشتراک بگذارید.</v>
      </c>
      <c r="H1746" s="1"/>
      <c r="I1746" s="1"/>
      <c r="J1746" s="1"/>
      <c r="K1746" s="1"/>
      <c r="L1746" s="1"/>
      <c r="M1746" s="1"/>
      <c r="N1746" s="1"/>
      <c r="O1746" s="1"/>
      <c r="P1746" s="1"/>
      <c r="Q1746" s="1"/>
      <c r="R1746" s="1"/>
      <c r="S1746" s="1"/>
      <c r="T1746" s="1"/>
      <c r="U1746" s="1"/>
      <c r="V1746" s="1"/>
      <c r="W1746" s="1"/>
      <c r="X1746" s="1"/>
      <c r="Y1746" s="1"/>
      <c r="Z1746" s="1"/>
      <c r="AA1746" s="1"/>
      <c r="AB1746" s="1"/>
    </row>
    <row r="1747" ht="50.25" customHeight="1">
      <c r="A1747" s="12">
        <v>1743.0</v>
      </c>
      <c r="B1747" s="13" t="s">
        <v>1622</v>
      </c>
      <c r="C1747" s="14" t="s">
        <v>1756</v>
      </c>
      <c r="D1747" s="1"/>
      <c r="E1747" s="15"/>
      <c r="F1747" s="1" t="str">
        <f>IFERROR(__xludf.DUMMYFUNCTION("GOOGLETRANSLATE(B1747, ""en"", ""fa"")
"),"بهینه سازی سئو")</f>
        <v>بهینه سازی سئو</v>
      </c>
      <c r="G1747" s="1" t="str">
        <f>IFERROR(__xludf.DUMMYFUNCTION("GOOGLETRANSLATE(C1747, ""en"", ""fa"")
"),"مزایای بهینه سازی محتوای وب سایت برای پاسخ های سریع و نمایش در نمودار دانش Google را بررسی کنید.")</f>
        <v>مزایای بهینه سازی محتوای وب سایت برای پاسخ های سریع و نمایش در نمودار دانش Google را بررسی کنید.</v>
      </c>
      <c r="H1747" s="1"/>
      <c r="I1747" s="1"/>
      <c r="J1747" s="1"/>
      <c r="K1747" s="1"/>
      <c r="L1747" s="1"/>
      <c r="M1747" s="1"/>
      <c r="N1747" s="1"/>
      <c r="O1747" s="1"/>
      <c r="P1747" s="1"/>
      <c r="Q1747" s="1"/>
      <c r="R1747" s="1"/>
      <c r="S1747" s="1"/>
      <c r="T1747" s="1"/>
      <c r="U1747" s="1"/>
      <c r="V1747" s="1"/>
      <c r="W1747" s="1"/>
      <c r="X1747" s="1"/>
      <c r="Y1747" s="1"/>
      <c r="Z1747" s="1"/>
      <c r="AA1747" s="1"/>
      <c r="AB1747" s="1"/>
    </row>
    <row r="1748" ht="50.25" customHeight="1">
      <c r="A1748" s="12">
        <v>1744.0</v>
      </c>
      <c r="B1748" s="13" t="s">
        <v>1622</v>
      </c>
      <c r="C1748" s="14" t="s">
        <v>1757</v>
      </c>
      <c r="D1748" s="1"/>
      <c r="E1748" s="15"/>
      <c r="F1748" s="1" t="str">
        <f>IFERROR(__xludf.DUMMYFUNCTION("GOOGLETRANSLATE(B1748, ""en"", ""fa"")
"),"بهینه سازی سئو")</f>
        <v>بهینه سازی سئو</v>
      </c>
      <c r="G1748" s="1" t="str">
        <f>IFERROR(__xludf.DUMMYFUNCTION("GOOGLETRANSLATE(C1748, ""en"", ""fa"")
"),"در مورد نقش نشانک گذاری اجتماعی و اشتراک گذاری اجتماعی در بهینه سازی سئو بحث کنید.")</f>
        <v>در مورد نقش نشانک گذاری اجتماعی و اشتراک گذاری اجتماعی در بهینه سازی سئو بحث کنید.</v>
      </c>
      <c r="H1748" s="1"/>
      <c r="I1748" s="1"/>
      <c r="J1748" s="1"/>
      <c r="K1748" s="1"/>
      <c r="L1748" s="1"/>
      <c r="M1748" s="1"/>
      <c r="N1748" s="1"/>
      <c r="O1748" s="1"/>
      <c r="P1748" s="1"/>
      <c r="Q1748" s="1"/>
      <c r="R1748" s="1"/>
      <c r="S1748" s="1"/>
      <c r="T1748" s="1"/>
      <c r="U1748" s="1"/>
      <c r="V1748" s="1"/>
      <c r="W1748" s="1"/>
      <c r="X1748" s="1"/>
      <c r="Y1748" s="1"/>
      <c r="Z1748" s="1"/>
      <c r="AA1748" s="1"/>
      <c r="AB1748" s="1"/>
    </row>
    <row r="1749" ht="50.25" customHeight="1">
      <c r="A1749" s="12">
        <v>1745.0</v>
      </c>
      <c r="B1749" s="13" t="s">
        <v>1622</v>
      </c>
      <c r="C1749" s="14" t="s">
        <v>1758</v>
      </c>
      <c r="D1749" s="1"/>
      <c r="E1749" s="15"/>
      <c r="F1749" s="1" t="str">
        <f>IFERROR(__xludf.DUMMYFUNCTION("GOOGLETRANSLATE(B1749, ""en"", ""fa"")
"),"بهینه سازی سئو")</f>
        <v>بهینه سازی سئو</v>
      </c>
      <c r="G1749" s="1" t="str">
        <f>IFERROR(__xludf.DUMMYFUNCTION("GOOGLETRANSLATE(C1749, ""en"", ""fa"")
"),"در مورد تأثیر نظرات کاربران و مدیریت شهرت در رتبه بندی سئوی محلی بحث کنید.")</f>
        <v>در مورد تأثیر نظرات کاربران و مدیریت شهرت در رتبه بندی سئوی محلی بحث کنید.</v>
      </c>
      <c r="H1749" s="1"/>
      <c r="I1749" s="1"/>
      <c r="J1749" s="1"/>
      <c r="K1749" s="1"/>
      <c r="L1749" s="1"/>
      <c r="M1749" s="1"/>
      <c r="N1749" s="1"/>
      <c r="O1749" s="1"/>
      <c r="P1749" s="1"/>
      <c r="Q1749" s="1"/>
      <c r="R1749" s="1"/>
      <c r="S1749" s="1"/>
      <c r="T1749" s="1"/>
      <c r="U1749" s="1"/>
      <c r="V1749" s="1"/>
      <c r="W1749" s="1"/>
      <c r="X1749" s="1"/>
      <c r="Y1749" s="1"/>
      <c r="Z1749" s="1"/>
      <c r="AA1749" s="1"/>
      <c r="AB1749" s="1"/>
    </row>
    <row r="1750" ht="50.25" customHeight="1">
      <c r="A1750" s="12">
        <v>1746.0</v>
      </c>
      <c r="B1750" s="13" t="s">
        <v>1622</v>
      </c>
      <c r="C1750" s="14" t="s">
        <v>1759</v>
      </c>
      <c r="D1750" s="1"/>
      <c r="E1750" s="15"/>
      <c r="F1750" s="1" t="str">
        <f>IFERROR(__xludf.DUMMYFUNCTION("GOOGLETRANSLATE(B1750, ""en"", ""fa"")
"),"بهینه سازی سئو")</f>
        <v>بهینه سازی سئو</v>
      </c>
      <c r="G1750" s="1" t="str">
        <f>IFERROR(__xludf.DUMMYFUNCTION("GOOGLETRANSLATE(C1750, ""en"", ""fa"")
"),"در مورد اهمیت کلمات کلیدی طولانی در بهینه سازی سئو و استراتژی هایی برای هدف گیری موثر آنها بحث کنید.")</f>
        <v>در مورد اهمیت کلمات کلیدی طولانی در بهینه سازی سئو و استراتژی هایی برای هدف گیری موثر آنها بحث کنید.</v>
      </c>
      <c r="H1750" s="1"/>
      <c r="I1750" s="1"/>
      <c r="J1750" s="1"/>
      <c r="K1750" s="1"/>
      <c r="L1750" s="1"/>
      <c r="M1750" s="1"/>
      <c r="N1750" s="1"/>
      <c r="O1750" s="1"/>
      <c r="P1750" s="1"/>
      <c r="Q1750" s="1"/>
      <c r="R1750" s="1"/>
      <c r="S1750" s="1"/>
      <c r="T1750" s="1"/>
      <c r="U1750" s="1"/>
      <c r="V1750" s="1"/>
      <c r="W1750" s="1"/>
      <c r="X1750" s="1"/>
      <c r="Y1750" s="1"/>
      <c r="Z1750" s="1"/>
      <c r="AA1750" s="1"/>
      <c r="AB1750" s="1"/>
    </row>
    <row r="1751" ht="50.25" customHeight="1">
      <c r="A1751" s="12">
        <v>1747.0</v>
      </c>
      <c r="B1751" s="13" t="s">
        <v>1622</v>
      </c>
      <c r="C1751" s="14" t="s">
        <v>1760</v>
      </c>
      <c r="D1751" s="1"/>
      <c r="E1751" s="1"/>
      <c r="F1751" s="1" t="str">
        <f>IFERROR(__xludf.DUMMYFUNCTION("GOOGLETRANSLATE(B1751, ""en"", ""fa"")
"),"بهینه سازی سئو")</f>
        <v>بهینه سازی سئو</v>
      </c>
      <c r="G1751" s="1" t="str">
        <f>IFERROR(__xludf.DUMMYFUNCTION("GOOGLETRANSLATE(C1751, ""en"", ""fa"")
"),"نکاتی را برای بهینه‌سازی محتوای وب‌سایت برای نمایه‌سازی موبایل اول و اطمینان از تجربه کاربری سازگار با موبایل به اشتراک بگذارید.")</f>
        <v>نکاتی را برای بهینه‌سازی محتوای وب‌سایت برای نمایه‌سازی موبایل اول و اطمینان از تجربه کاربری سازگار با موبایل به اشتراک بگذارید.</v>
      </c>
      <c r="H1751" s="1"/>
      <c r="I1751" s="1"/>
      <c r="J1751" s="1"/>
      <c r="K1751" s="1"/>
      <c r="L1751" s="1"/>
      <c r="M1751" s="1"/>
      <c r="N1751" s="1"/>
      <c r="O1751" s="1"/>
      <c r="P1751" s="1"/>
      <c r="Q1751" s="1"/>
      <c r="R1751" s="1"/>
      <c r="S1751" s="1"/>
      <c r="T1751" s="1"/>
      <c r="U1751" s="1"/>
      <c r="V1751" s="1"/>
      <c r="W1751" s="1"/>
      <c r="X1751" s="1"/>
      <c r="Y1751" s="1"/>
      <c r="Z1751" s="1"/>
      <c r="AA1751" s="1"/>
      <c r="AB1751" s="1"/>
    </row>
    <row r="1752" ht="50.25" customHeight="1">
      <c r="A1752" s="12">
        <v>1748.0</v>
      </c>
      <c r="B1752" s="13" t="s">
        <v>1622</v>
      </c>
      <c r="C1752" s="14" t="s">
        <v>1761</v>
      </c>
      <c r="D1752" s="1"/>
      <c r="E1752" s="1"/>
      <c r="F1752" s="1" t="str">
        <f>IFERROR(__xludf.DUMMYFUNCTION("GOOGLETRANSLATE(B1752, ""en"", ""fa"")
"),"بهینه سازی سئو")</f>
        <v>بهینه سازی سئو</v>
      </c>
      <c r="G1752" s="1" t="str">
        <f>IFERROR(__xludf.DUMMYFUNCTION("GOOGLETRANSLATE(C1752, ""en"", ""fa"")
"),"مفهوم پردازش زبان طبیعی در موتورهای جستجو و پیامدهای آن برای بهینه سازی سئو را بررسی کنید.")</f>
        <v>مفهوم پردازش زبان طبیعی در موتورهای جستجو و پیامدهای آن برای بهینه سازی سئو را بررسی کنید.</v>
      </c>
      <c r="H1752" s="1"/>
      <c r="I1752" s="1"/>
      <c r="J1752" s="1"/>
      <c r="K1752" s="1"/>
      <c r="L1752" s="1"/>
      <c r="M1752" s="1"/>
      <c r="N1752" s="1"/>
      <c r="O1752" s="1"/>
      <c r="P1752" s="1"/>
      <c r="Q1752" s="1"/>
      <c r="R1752" s="1"/>
      <c r="S1752" s="1"/>
      <c r="T1752" s="1"/>
      <c r="U1752" s="1"/>
      <c r="V1752" s="1"/>
      <c r="W1752" s="1"/>
      <c r="X1752" s="1"/>
      <c r="Y1752" s="1"/>
      <c r="Z1752" s="1"/>
      <c r="AA1752" s="1"/>
      <c r="AB1752" s="1"/>
    </row>
    <row r="1753" ht="50.25" customHeight="1">
      <c r="A1753" s="12">
        <v>1749.0</v>
      </c>
      <c r="B1753" s="13" t="s">
        <v>1622</v>
      </c>
      <c r="C1753" s="14" t="s">
        <v>1762</v>
      </c>
      <c r="D1753" s="1"/>
      <c r="E1753" s="1"/>
      <c r="F1753" s="1" t="str">
        <f>IFERROR(__xludf.DUMMYFUNCTION("GOOGLETRANSLATE(B1753, ""en"", ""fa"")
"),"بهینه سازی سئو")</f>
        <v>بهینه سازی سئو</v>
      </c>
      <c r="G1753" s="1" t="str">
        <f>IFERROR(__xludf.DUMMYFUNCTION("GOOGLETRANSLATE(C1753, ""en"", ""fa"")
"),"در مورد نقش محتوای تولید شده توسط کاربر در رتبه بندی سئو و استراتژی هایی برای تشویق مشارکت کاربران بحث کنید.")</f>
        <v>در مورد نقش محتوای تولید شده توسط کاربر در رتبه بندی سئو و استراتژی هایی برای تشویق مشارکت کاربران بحث کنید.</v>
      </c>
      <c r="H1753" s="1"/>
      <c r="I1753" s="1"/>
      <c r="J1753" s="1"/>
      <c r="K1753" s="1"/>
      <c r="L1753" s="1"/>
      <c r="M1753" s="1"/>
      <c r="N1753" s="1"/>
      <c r="O1753" s="1"/>
      <c r="P1753" s="1"/>
      <c r="Q1753" s="1"/>
      <c r="R1753" s="1"/>
      <c r="S1753" s="1"/>
      <c r="T1753" s="1"/>
      <c r="U1753" s="1"/>
      <c r="V1753" s="1"/>
      <c r="W1753" s="1"/>
      <c r="X1753" s="1"/>
      <c r="Y1753" s="1"/>
      <c r="Z1753" s="1"/>
      <c r="AA1753" s="1"/>
      <c r="AB1753" s="1"/>
    </row>
    <row r="1754" ht="50.25" customHeight="1">
      <c r="A1754" s="12">
        <v>1750.0</v>
      </c>
      <c r="B1754" s="13" t="s">
        <v>1622</v>
      </c>
      <c r="C1754" s="14" t="s">
        <v>1763</v>
      </c>
      <c r="D1754" s="1"/>
      <c r="E1754" s="1"/>
      <c r="F1754" s="1" t="str">
        <f>IFERROR(__xludf.DUMMYFUNCTION("GOOGLETRANSLATE(B1754, ""en"", ""fa"")
"),"بهینه سازی سئو")</f>
        <v>بهینه سازی سئو</v>
      </c>
      <c r="G1754" s="1" t="str">
        <f>IFERROR(__xludf.DUMMYFUNCTION("GOOGLETRANSLATE(C1754, ""en"", ""fa"")
"),"استراتژی‌های بهینه‌سازی محتوای وب‌سایت را برای قطعه‌های ویژه Google و افزایش دید در نتایج جستجو به اشتراک بگذارید.")</f>
        <v>استراتژی‌های بهینه‌سازی محتوای وب‌سایت را برای قطعه‌های ویژه Google و افزایش دید در نتایج جستجو به اشتراک بگذارید.</v>
      </c>
      <c r="H1754" s="1"/>
      <c r="I1754" s="1"/>
      <c r="J1754" s="1"/>
      <c r="K1754" s="1"/>
      <c r="L1754" s="1"/>
      <c r="M1754" s="1"/>
      <c r="N1754" s="1"/>
      <c r="O1754" s="1"/>
      <c r="P1754" s="1"/>
      <c r="Q1754" s="1"/>
      <c r="R1754" s="1"/>
      <c r="S1754" s="1"/>
      <c r="T1754" s="1"/>
      <c r="U1754" s="1"/>
      <c r="V1754" s="1"/>
      <c r="W1754" s="1"/>
      <c r="X1754" s="1"/>
      <c r="Y1754" s="1"/>
      <c r="Z1754" s="1"/>
      <c r="AA1754" s="1"/>
      <c r="AB1754" s="1"/>
    </row>
    <row r="1755" ht="50.25" customHeight="1">
      <c r="A1755" s="12">
        <v>1751.0</v>
      </c>
      <c r="B1755" s="13" t="s">
        <v>1622</v>
      </c>
      <c r="C1755" s="14" t="s">
        <v>1764</v>
      </c>
      <c r="D1755" s="1"/>
      <c r="E1755" s="1"/>
      <c r="F1755" s="1" t="str">
        <f>IFERROR(__xludf.DUMMYFUNCTION("GOOGLETRANSLATE(B1755, ""en"", ""fa"")
"),"بهینه سازی سئو")</f>
        <v>بهینه سازی سئو</v>
      </c>
      <c r="G1755" s="1" t="str">
        <f>IFERROR(__xludf.DUMMYFUNCTION("GOOGLETRANSLATE(C1755, ""en"", ""fa"")
"),"مزایای بهینه سازی محتوای وب سایت برای هدف جستجوی محلی و هدف قرار دادن کلمات کلیدی محلی را بررسی کنید.")</f>
        <v>مزایای بهینه سازی محتوای وب سایت برای هدف جستجوی محلی و هدف قرار دادن کلمات کلیدی محلی را بررسی کنید.</v>
      </c>
      <c r="H1755" s="1"/>
      <c r="I1755" s="1"/>
      <c r="J1755" s="1"/>
      <c r="K1755" s="1"/>
      <c r="L1755" s="1"/>
      <c r="M1755" s="1"/>
      <c r="N1755" s="1"/>
      <c r="O1755" s="1"/>
      <c r="P1755" s="1"/>
      <c r="Q1755" s="1"/>
      <c r="R1755" s="1"/>
      <c r="S1755" s="1"/>
      <c r="T1755" s="1"/>
      <c r="U1755" s="1"/>
      <c r="V1755" s="1"/>
      <c r="W1755" s="1"/>
      <c r="X1755" s="1"/>
      <c r="Y1755" s="1"/>
      <c r="Z1755" s="1"/>
      <c r="AA1755" s="1"/>
      <c r="AB1755" s="1"/>
    </row>
    <row r="1756" ht="50.25" customHeight="1">
      <c r="A1756" s="12">
        <v>1752.0</v>
      </c>
      <c r="B1756" s="13" t="s">
        <v>1622</v>
      </c>
      <c r="C1756" s="14" t="s">
        <v>1765</v>
      </c>
      <c r="D1756" s="1"/>
      <c r="E1756" s="1"/>
      <c r="F1756" s="1" t="str">
        <f>IFERROR(__xludf.DUMMYFUNCTION("GOOGLETRANSLATE(B1756, ""en"", ""fa"")
"),"بهینه سازی سئو")</f>
        <v>بهینه سازی سئو</v>
      </c>
      <c r="G1756" s="1" t="str">
        <f>IFERROR(__xludf.DUMMYFUNCTION("GOOGLETRANSLATE(C1756, ""en"", ""fa"")
"),"درباره تأثیر طراحی تجربه کاربر (UX) بر عملکرد سئو و استراتژی‌هایی برای بهبود عوامل UX بحث کنید.")</f>
        <v>درباره تأثیر طراحی تجربه کاربر (UX) بر عملکرد سئو و استراتژی‌هایی برای بهبود عوامل UX بحث کنید.</v>
      </c>
      <c r="H1756" s="1"/>
      <c r="I1756" s="1"/>
      <c r="J1756" s="1"/>
      <c r="K1756" s="1"/>
      <c r="L1756" s="1"/>
      <c r="M1756" s="1"/>
      <c r="N1756" s="1"/>
      <c r="O1756" s="1"/>
      <c r="P1756" s="1"/>
      <c r="Q1756" s="1"/>
      <c r="R1756" s="1"/>
      <c r="S1756" s="1"/>
      <c r="T1756" s="1"/>
      <c r="U1756" s="1"/>
      <c r="V1756" s="1"/>
      <c r="W1756" s="1"/>
      <c r="X1756" s="1"/>
      <c r="Y1756" s="1"/>
      <c r="Z1756" s="1"/>
      <c r="AA1756" s="1"/>
      <c r="AB1756" s="1"/>
    </row>
    <row r="1757" ht="50.25" customHeight="1">
      <c r="A1757" s="12">
        <v>1753.0</v>
      </c>
      <c r="B1757" s="13" t="s">
        <v>1622</v>
      </c>
      <c r="C1757" s="14" t="s">
        <v>1766</v>
      </c>
      <c r="D1757" s="1"/>
      <c r="E1757" s="1"/>
      <c r="F1757" s="1" t="str">
        <f>IFERROR(__xludf.DUMMYFUNCTION("GOOGLETRANSLATE(B1757, ""en"", ""fa"")
"),"بهینه سازی سئو")</f>
        <v>بهینه سازی سئو</v>
      </c>
      <c r="G1757" s="1" t="str">
        <f>IFERROR(__xludf.DUMMYFUNCTION("GOOGLETRANSLATE(C1757, ""en"", ""fa"")
"),"مفهوم خوشه های موضوعی و محتوای ستونی در سازماندهی و بهینه سازی ساختار وب سایت را بررسی کنید.")</f>
        <v>مفهوم خوشه های موضوعی و محتوای ستونی در سازماندهی و بهینه سازی ساختار وب سایت را بررسی کنید.</v>
      </c>
      <c r="H1757" s="1"/>
      <c r="I1757" s="1"/>
      <c r="J1757" s="1"/>
      <c r="K1757" s="1"/>
      <c r="L1757" s="1"/>
      <c r="M1757" s="1"/>
      <c r="N1757" s="1"/>
      <c r="O1757" s="1"/>
      <c r="P1757" s="1"/>
      <c r="Q1757" s="1"/>
      <c r="R1757" s="1"/>
      <c r="S1757" s="1"/>
      <c r="T1757" s="1"/>
      <c r="U1757" s="1"/>
      <c r="V1757" s="1"/>
      <c r="W1757" s="1"/>
      <c r="X1757" s="1"/>
      <c r="Y1757" s="1"/>
      <c r="Z1757" s="1"/>
      <c r="AA1757" s="1"/>
      <c r="AB1757" s="1"/>
    </row>
    <row r="1758" ht="50.25" customHeight="1">
      <c r="A1758" s="12">
        <v>1754.0</v>
      </c>
      <c r="B1758" s="13" t="s">
        <v>1622</v>
      </c>
      <c r="C1758" s="14" t="s">
        <v>1767</v>
      </c>
      <c r="D1758" s="1"/>
      <c r="E1758" s="1"/>
      <c r="F1758" s="1" t="str">
        <f>IFERROR(__xludf.DUMMYFUNCTION("GOOGLETRANSLATE(B1758, ""en"", ""fa"")
"),"بهینه سازی سئو")</f>
        <v>بهینه سازی سئو</v>
      </c>
      <c r="G1758" s="1" t="str">
        <f>IFERROR(__xludf.DUMMYFUNCTION("GOOGLETRANSLATE(C1758, ""en"", ""fa"")
"),"در مورد اهمیت کیفیت بک لینک نسبت به کمیت و استراتژی های بدست آوردن بک لینک های معتبر بحث کنید.")</f>
        <v>در مورد اهمیت کیفیت بک لینک نسبت به کمیت و استراتژی های بدست آوردن بک لینک های معتبر بحث کنید.</v>
      </c>
      <c r="H1758" s="1"/>
      <c r="I1758" s="1"/>
      <c r="J1758" s="1"/>
      <c r="K1758" s="1"/>
      <c r="L1758" s="1"/>
      <c r="M1758" s="1"/>
      <c r="N1758" s="1"/>
      <c r="O1758" s="1"/>
      <c r="P1758" s="1"/>
      <c r="Q1758" s="1"/>
      <c r="R1758" s="1"/>
      <c r="S1758" s="1"/>
      <c r="T1758" s="1"/>
      <c r="U1758" s="1"/>
      <c r="V1758" s="1"/>
      <c r="W1758" s="1"/>
      <c r="X1758" s="1"/>
      <c r="Y1758" s="1"/>
      <c r="Z1758" s="1"/>
      <c r="AA1758" s="1"/>
      <c r="AB1758" s="1"/>
    </row>
    <row r="1759" ht="50.25" customHeight="1">
      <c r="A1759" s="12">
        <v>1755.0</v>
      </c>
      <c r="B1759" s="13" t="s">
        <v>1622</v>
      </c>
      <c r="C1759" s="14" t="s">
        <v>1768</v>
      </c>
      <c r="D1759" s="1"/>
      <c r="E1759" s="1"/>
      <c r="F1759" s="1" t="str">
        <f>IFERROR(__xludf.DUMMYFUNCTION("GOOGLETRANSLATE(B1759, ""en"", ""fa"")
"),"بهینه سازی سئو")</f>
        <v>بهینه سازی سئو</v>
      </c>
      <c r="G1759" s="1" t="str">
        <f>IFERROR(__xludf.DUMMYFUNCTION("GOOGLETRANSLATE(C1759, ""en"", ""fa"")
"),"مزایای بهینه سازی محتوای وب سایت برای مقالات طولانی و راهنماهای جامع را بررسی کنید.")</f>
        <v>مزایای بهینه سازی محتوای وب سایت برای مقالات طولانی و راهنماهای جامع را بررسی کنید.</v>
      </c>
      <c r="H1759" s="1"/>
      <c r="I1759" s="1"/>
      <c r="J1759" s="1"/>
      <c r="K1759" s="1"/>
      <c r="L1759" s="1"/>
      <c r="M1759" s="1"/>
      <c r="N1759" s="1"/>
      <c r="O1759" s="1"/>
      <c r="P1759" s="1"/>
      <c r="Q1759" s="1"/>
      <c r="R1759" s="1"/>
      <c r="S1759" s="1"/>
      <c r="T1759" s="1"/>
      <c r="U1759" s="1"/>
      <c r="V1759" s="1"/>
      <c r="W1759" s="1"/>
      <c r="X1759" s="1"/>
      <c r="Y1759" s="1"/>
      <c r="Z1759" s="1"/>
      <c r="AA1759" s="1"/>
      <c r="AB1759" s="1"/>
    </row>
    <row r="1760" ht="50.25" customHeight="1">
      <c r="A1760" s="12">
        <v>1756.0</v>
      </c>
      <c r="B1760" s="13" t="s">
        <v>1622</v>
      </c>
      <c r="C1760" s="14" t="s">
        <v>1769</v>
      </c>
      <c r="D1760" s="1"/>
      <c r="E1760" s="1"/>
      <c r="F1760" s="1" t="str">
        <f>IFERROR(__xludf.DUMMYFUNCTION("GOOGLETRANSLATE(B1760, ""en"", ""fa"")
"),"بهینه سازی سئو")</f>
        <v>بهینه سازی سئو</v>
      </c>
      <c r="G1760" s="1" t="str">
        <f>IFERROR(__xludf.DUMMYFUNCTION("GOOGLETRANSLATE(C1760, ""en"", ""fa"")
"),"مفهوم قصد کاربر و اهمیت آن در بهینه سازی محتوای وب سایت برای موتورهای جستجو را بررسی کنید.")</f>
        <v>مفهوم قصد کاربر و اهمیت آن در بهینه سازی محتوای وب سایت برای موتورهای جستجو را بررسی کنید.</v>
      </c>
      <c r="H1760" s="1"/>
      <c r="I1760" s="1"/>
      <c r="J1760" s="1"/>
      <c r="K1760" s="1"/>
      <c r="L1760" s="1"/>
      <c r="M1760" s="1"/>
      <c r="N1760" s="1"/>
      <c r="O1760" s="1"/>
      <c r="P1760" s="1"/>
      <c r="Q1760" s="1"/>
      <c r="R1760" s="1"/>
      <c r="S1760" s="1"/>
      <c r="T1760" s="1"/>
      <c r="U1760" s="1"/>
      <c r="V1760" s="1"/>
      <c r="W1760" s="1"/>
      <c r="X1760" s="1"/>
      <c r="Y1760" s="1"/>
      <c r="Z1760" s="1"/>
      <c r="AA1760" s="1"/>
      <c r="AB1760" s="1"/>
    </row>
    <row r="1761" ht="50.25" customHeight="1">
      <c r="A1761" s="12">
        <v>1757.0</v>
      </c>
      <c r="B1761" s="13" t="s">
        <v>1622</v>
      </c>
      <c r="C1761" s="14" t="s">
        <v>1770</v>
      </c>
      <c r="D1761" s="1"/>
      <c r="E1761" s="1"/>
      <c r="F1761" s="1" t="str">
        <f>IFERROR(__xludf.DUMMYFUNCTION("GOOGLETRANSLATE(B1761, ""en"", ""fa"")
"),"بهینه سازی سئو")</f>
        <v>بهینه سازی سئو</v>
      </c>
      <c r="G1761" s="1" t="str">
        <f>IFERROR(__xludf.DUMMYFUNCTION("GOOGLETRANSLATE(C1761, ""en"", ""fa"")
"),"در مورد تاثیر سرعت بارگذاری وب سایت بر رتبه بندی سئو و استراتژی های بهبود عملکرد سایت بحث کنید.")</f>
        <v>در مورد تاثیر سرعت بارگذاری وب سایت بر رتبه بندی سئو و استراتژی های بهبود عملکرد سایت بحث کنید.</v>
      </c>
      <c r="H1761" s="1"/>
      <c r="I1761" s="1"/>
      <c r="J1761" s="1"/>
      <c r="K1761" s="1"/>
      <c r="L1761" s="1"/>
      <c r="M1761" s="1"/>
      <c r="N1761" s="1"/>
      <c r="O1761" s="1"/>
      <c r="P1761" s="1"/>
      <c r="Q1761" s="1"/>
      <c r="R1761" s="1"/>
      <c r="S1761" s="1"/>
      <c r="T1761" s="1"/>
      <c r="U1761" s="1"/>
      <c r="V1761" s="1"/>
      <c r="W1761" s="1"/>
      <c r="X1761" s="1"/>
      <c r="Y1761" s="1"/>
      <c r="Z1761" s="1"/>
      <c r="AA1761" s="1"/>
      <c r="AB1761" s="1"/>
    </row>
    <row r="1762" ht="50.25" customHeight="1">
      <c r="A1762" s="12">
        <v>1758.0</v>
      </c>
      <c r="B1762" s="13" t="s">
        <v>1622</v>
      </c>
      <c r="C1762" s="14" t="s">
        <v>1771</v>
      </c>
      <c r="D1762" s="1"/>
      <c r="E1762" s="1"/>
      <c r="F1762" s="1" t="str">
        <f>IFERROR(__xludf.DUMMYFUNCTION("GOOGLETRANSLATE(B1762, ""en"", ""fa"")
"),"بهینه سازی سئو")</f>
        <v>بهینه سازی سئو</v>
      </c>
      <c r="G1762" s="1" t="str">
        <f>IFERROR(__xludf.DUMMYFUNCTION("GOOGLETRANSLATE(C1762, ""en"", ""fa"")
"),"استراتژی های بهینه سازی محتوای وب سایت برای جستجوی صوتی و جستارهای زبان طبیعی را به اشتراک بگذارید.")</f>
        <v>استراتژی های بهینه سازی محتوای وب سایت برای جستجوی صوتی و جستارهای زبان طبیعی را به اشتراک بگذارید.</v>
      </c>
      <c r="H1762" s="1"/>
      <c r="I1762" s="1"/>
      <c r="J1762" s="1"/>
      <c r="K1762" s="1"/>
      <c r="L1762" s="1"/>
      <c r="M1762" s="1"/>
      <c r="N1762" s="1"/>
      <c r="O1762" s="1"/>
      <c r="P1762" s="1"/>
      <c r="Q1762" s="1"/>
      <c r="R1762" s="1"/>
      <c r="S1762" s="1"/>
      <c r="T1762" s="1"/>
      <c r="U1762" s="1"/>
      <c r="V1762" s="1"/>
      <c r="W1762" s="1"/>
      <c r="X1762" s="1"/>
      <c r="Y1762" s="1"/>
      <c r="Z1762" s="1"/>
      <c r="AA1762" s="1"/>
      <c r="AB1762" s="1"/>
    </row>
    <row r="1763" ht="50.25" customHeight="1">
      <c r="A1763" s="12">
        <v>1759.0</v>
      </c>
      <c r="B1763" s="13" t="s">
        <v>1622</v>
      </c>
      <c r="C1763" s="14" t="s">
        <v>1772</v>
      </c>
      <c r="D1763" s="1"/>
      <c r="E1763" s="1"/>
      <c r="F1763" s="1" t="str">
        <f>IFERROR(__xludf.DUMMYFUNCTION("GOOGLETRANSLATE(B1763, ""en"", ""fa"")
"),"بهینه سازی سئو")</f>
        <v>بهینه سازی سئو</v>
      </c>
      <c r="G1763" s="1" t="str">
        <f>IFERROR(__xludf.DUMMYFUNCTION("GOOGLETRANSLATE(C1763, ""en"", ""fa"")
"),"مزایای بهینه سازی محتوای وب سایت برای نقشه های محلی و نمایش در نتایج جستجوی محلی را بررسی کنید.")</f>
        <v>مزایای بهینه سازی محتوای وب سایت برای نقشه های محلی و نمایش در نتایج جستجوی محلی را بررسی کنید.</v>
      </c>
      <c r="H1763" s="1"/>
      <c r="I1763" s="1"/>
      <c r="J1763" s="1"/>
      <c r="K1763" s="1"/>
      <c r="L1763" s="1"/>
      <c r="M1763" s="1"/>
      <c r="N1763" s="1"/>
      <c r="O1763" s="1"/>
      <c r="P1763" s="1"/>
      <c r="Q1763" s="1"/>
      <c r="R1763" s="1"/>
      <c r="S1763" s="1"/>
      <c r="T1763" s="1"/>
      <c r="U1763" s="1"/>
      <c r="V1763" s="1"/>
      <c r="W1763" s="1"/>
      <c r="X1763" s="1"/>
      <c r="Y1763" s="1"/>
      <c r="Z1763" s="1"/>
      <c r="AA1763" s="1"/>
      <c r="AB1763" s="1"/>
    </row>
    <row r="1764" ht="50.25" customHeight="1">
      <c r="A1764" s="12">
        <v>1760.0</v>
      </c>
      <c r="B1764" s="13" t="s">
        <v>1622</v>
      </c>
      <c r="C1764" s="14" t="s">
        <v>1773</v>
      </c>
      <c r="D1764" s="1"/>
      <c r="E1764" s="1"/>
      <c r="F1764" s="1" t="str">
        <f>IFERROR(__xludf.DUMMYFUNCTION("GOOGLETRANSLATE(B1764, ""en"", ""fa"")
"),"بهینه سازی سئو")</f>
        <v>بهینه سازی سئو</v>
      </c>
      <c r="G1764" s="1" t="str">
        <f>IFERROR(__xludf.DUMMYFUNCTION("GOOGLETRANSLATE(C1764, ""en"", ""fa"")
"),"در مورد نقش محتوای تولید شده توسط کاربر در بهینه سازی سئو و استراتژی هایی برای استفاده از نظرات و نظرات کاربران بحث کنید.")</f>
        <v>در مورد نقش محتوای تولید شده توسط کاربر در بهینه سازی سئو و استراتژی هایی برای استفاده از نظرات و نظرات کاربران بحث کنید.</v>
      </c>
      <c r="H1764" s="1"/>
      <c r="I1764" s="1"/>
      <c r="J1764" s="1"/>
      <c r="K1764" s="1"/>
      <c r="L1764" s="1"/>
      <c r="M1764" s="1"/>
      <c r="N1764" s="1"/>
      <c r="O1764" s="1"/>
      <c r="P1764" s="1"/>
      <c r="Q1764" s="1"/>
      <c r="R1764" s="1"/>
      <c r="S1764" s="1"/>
      <c r="T1764" s="1"/>
      <c r="U1764" s="1"/>
      <c r="V1764" s="1"/>
      <c r="W1764" s="1"/>
      <c r="X1764" s="1"/>
      <c r="Y1764" s="1"/>
      <c r="Z1764" s="1"/>
      <c r="AA1764" s="1"/>
      <c r="AB1764" s="1"/>
    </row>
    <row r="1765" ht="50.25" customHeight="1">
      <c r="A1765" s="12">
        <v>1761.0</v>
      </c>
      <c r="B1765" s="13" t="s">
        <v>1622</v>
      </c>
      <c r="C1765" s="14" t="s">
        <v>1774</v>
      </c>
      <c r="D1765" s="1"/>
      <c r="E1765" s="1"/>
      <c r="F1765" s="1" t="str">
        <f>IFERROR(__xludf.DUMMYFUNCTION("GOOGLETRANSLATE(B1765, ""en"", ""fa"")
"),"بهینه سازی سئو")</f>
        <v>بهینه سازی سئو</v>
      </c>
      <c r="G1765" s="1" t="str">
        <f>IFERROR(__xludf.DUMMYFUNCTION("GOOGLETRANSLATE(C1765, ""en"", ""fa"")
"),"نکاتی را برای بهینه سازی محتوای وب سایت برای جستجوی معنایی و همسویی با الگوریتم های موتورهای جستجو به اشتراک بگذارید.")</f>
        <v>نکاتی را برای بهینه سازی محتوای وب سایت برای جستجوی معنایی و همسویی با الگوریتم های موتورهای جستجو به اشتراک بگذارید.</v>
      </c>
      <c r="H1765" s="1"/>
      <c r="I1765" s="1"/>
      <c r="J1765" s="1"/>
      <c r="K1765" s="1"/>
      <c r="L1765" s="1"/>
      <c r="M1765" s="1"/>
      <c r="N1765" s="1"/>
      <c r="O1765" s="1"/>
      <c r="P1765" s="1"/>
      <c r="Q1765" s="1"/>
      <c r="R1765" s="1"/>
      <c r="S1765" s="1"/>
      <c r="T1765" s="1"/>
      <c r="U1765" s="1"/>
      <c r="V1765" s="1"/>
      <c r="W1765" s="1"/>
      <c r="X1765" s="1"/>
      <c r="Y1765" s="1"/>
      <c r="Z1765" s="1"/>
      <c r="AA1765" s="1"/>
      <c r="AB1765" s="1"/>
    </row>
    <row r="1766" ht="50.25" customHeight="1">
      <c r="A1766" s="12">
        <v>1762.0</v>
      </c>
      <c r="B1766" s="13" t="s">
        <v>1622</v>
      </c>
      <c r="C1766" s="14" t="s">
        <v>1775</v>
      </c>
      <c r="D1766" s="1"/>
      <c r="E1766" s="1"/>
      <c r="F1766" s="1" t="str">
        <f>IFERROR(__xludf.DUMMYFUNCTION("GOOGLETRANSLATE(B1766, ""en"", ""fa"")
"),"بهینه سازی سئو")</f>
        <v>بهینه سازی سئو</v>
      </c>
      <c r="G1766" s="1" t="str">
        <f>IFERROR(__xludf.DUMMYFUNCTION("GOOGLETRANSLATE(C1766, ""en"", ""fa"")
"),"مفهوم همکاری اینفلوئنسرها در بهینه سازی سئو و استراتژی های ایجاد روابط را بررسی کنید.")</f>
        <v>مفهوم همکاری اینفلوئنسرها در بهینه سازی سئو و استراتژی های ایجاد روابط را بررسی کنید.</v>
      </c>
      <c r="H1766" s="1"/>
      <c r="I1766" s="1"/>
      <c r="J1766" s="1"/>
      <c r="K1766" s="1"/>
      <c r="L1766" s="1"/>
      <c r="M1766" s="1"/>
      <c r="N1766" s="1"/>
      <c r="O1766" s="1"/>
      <c r="P1766" s="1"/>
      <c r="Q1766" s="1"/>
      <c r="R1766" s="1"/>
      <c r="S1766" s="1"/>
      <c r="T1766" s="1"/>
      <c r="U1766" s="1"/>
      <c r="V1766" s="1"/>
      <c r="W1766" s="1"/>
      <c r="X1766" s="1"/>
      <c r="Y1766" s="1"/>
      <c r="Z1766" s="1"/>
      <c r="AA1766" s="1"/>
      <c r="AB1766" s="1"/>
    </row>
    <row r="1767" ht="50.25" customHeight="1">
      <c r="A1767" s="12">
        <v>1763.0</v>
      </c>
      <c r="B1767" s="13" t="s">
        <v>1622</v>
      </c>
      <c r="C1767" s="14" t="s">
        <v>1776</v>
      </c>
      <c r="D1767" s="1"/>
      <c r="E1767" s="1"/>
      <c r="F1767" s="1" t="str">
        <f>IFERROR(__xludf.DUMMYFUNCTION("GOOGLETRANSLATE(B1767, ""en"", ""fa"")
"),"بهینه سازی سئو")</f>
        <v>بهینه سازی سئو</v>
      </c>
      <c r="G1767" s="1" t="str">
        <f>IFERROR(__xludf.DUMMYFUNCTION("GOOGLETRANSLATE(C1767, ""en"", ""fa"")
"),"در مورد اهمیت فاکتورهای سئوی درون صفحه، مانند متا تگ ها و سرفصل ها، در دیده شدن موتورهای جستجو بحث کنید.")</f>
        <v>در مورد اهمیت فاکتورهای سئوی درون صفحه، مانند متا تگ ها و سرفصل ها، در دیده شدن موتورهای جستجو بحث کنید.</v>
      </c>
      <c r="H1767" s="1"/>
      <c r="I1767" s="1"/>
      <c r="J1767" s="1"/>
      <c r="K1767" s="1"/>
      <c r="L1767" s="1"/>
      <c r="M1767" s="1"/>
      <c r="N1767" s="1"/>
      <c r="O1767" s="1"/>
      <c r="P1767" s="1"/>
      <c r="Q1767" s="1"/>
      <c r="R1767" s="1"/>
      <c r="S1767" s="1"/>
      <c r="T1767" s="1"/>
      <c r="U1767" s="1"/>
      <c r="V1767" s="1"/>
      <c r="W1767" s="1"/>
      <c r="X1767" s="1"/>
      <c r="Y1767" s="1"/>
      <c r="Z1767" s="1"/>
      <c r="AA1767" s="1"/>
      <c r="AB1767" s="1"/>
    </row>
    <row r="1768" ht="50.25" customHeight="1">
      <c r="A1768" s="12">
        <v>1764.0</v>
      </c>
      <c r="B1768" s="13" t="s">
        <v>1622</v>
      </c>
      <c r="C1768" s="14" t="s">
        <v>1777</v>
      </c>
      <c r="D1768" s="1"/>
      <c r="E1768" s="1"/>
      <c r="F1768" s="1" t="str">
        <f>IFERROR(__xludf.DUMMYFUNCTION("GOOGLETRANSLATE(B1768, ""en"", ""fa"")
"),"بهینه سازی سئو")</f>
        <v>بهینه سازی سئو</v>
      </c>
      <c r="G1768" s="1" t="str">
        <f>IFERROR(__xludf.DUMMYFUNCTION("GOOGLETRANSLATE(C1768, ""en"", ""fa"")
"),"مزایای بهینه سازی محتوای وب سایت برای قطعه های غنی و افزایش دید در نتایج جستجو را بررسی کنید.")</f>
        <v>مزایای بهینه سازی محتوای وب سایت برای قطعه های غنی و افزایش دید در نتایج جستجو را بررسی کنید.</v>
      </c>
      <c r="H1768" s="1"/>
      <c r="I1768" s="1"/>
      <c r="J1768" s="1"/>
      <c r="K1768" s="1"/>
      <c r="L1768" s="1"/>
      <c r="M1768" s="1"/>
      <c r="N1768" s="1"/>
      <c r="O1768" s="1"/>
      <c r="P1768" s="1"/>
      <c r="Q1768" s="1"/>
      <c r="R1768" s="1"/>
      <c r="S1768" s="1"/>
      <c r="T1768" s="1"/>
      <c r="U1768" s="1"/>
      <c r="V1768" s="1"/>
      <c r="W1768" s="1"/>
      <c r="X1768" s="1"/>
      <c r="Y1768" s="1"/>
      <c r="Z1768" s="1"/>
      <c r="AA1768" s="1"/>
      <c r="AB1768" s="1"/>
    </row>
    <row r="1769" ht="50.25" customHeight="1">
      <c r="A1769" s="12">
        <v>1765.0</v>
      </c>
      <c r="B1769" s="13" t="s">
        <v>1622</v>
      </c>
      <c r="C1769" s="14" t="s">
        <v>1778</v>
      </c>
      <c r="D1769" s="1"/>
      <c r="E1769" s="1"/>
      <c r="F1769" s="1" t="str">
        <f>IFERROR(__xludf.DUMMYFUNCTION("GOOGLETRANSLATE(B1769, ""en"", ""fa"")
"),"بهینه سازی سئو")</f>
        <v>بهینه سازی سئو</v>
      </c>
      <c r="G1769" s="1" t="str">
        <f>IFERROR(__xludf.DUMMYFUNCTION("GOOGLETRANSLATE(C1769, ""en"", ""fa"")
"),"در مورد نقش مشارکت و سهم رسانه های اجتماعی در رتبه بندی سئو و استراتژی ها برای به حداکثر رساندن تأثیر اجتماعی بحث کنید.")</f>
        <v>در مورد نقش مشارکت و سهم رسانه های اجتماعی در رتبه بندی سئو و استراتژی ها برای به حداکثر رساندن تأثیر اجتماعی بحث کنید.</v>
      </c>
      <c r="H1769" s="1"/>
      <c r="I1769" s="1"/>
      <c r="J1769" s="1"/>
      <c r="K1769" s="1"/>
      <c r="L1769" s="1"/>
      <c r="M1769" s="1"/>
      <c r="N1769" s="1"/>
      <c r="O1769" s="1"/>
      <c r="P1769" s="1"/>
      <c r="Q1769" s="1"/>
      <c r="R1769" s="1"/>
      <c r="S1769" s="1"/>
      <c r="T1769" s="1"/>
      <c r="U1769" s="1"/>
      <c r="V1769" s="1"/>
      <c r="W1769" s="1"/>
      <c r="X1769" s="1"/>
      <c r="Y1769" s="1"/>
      <c r="Z1769" s="1"/>
      <c r="AA1769" s="1"/>
      <c r="AB1769" s="1"/>
    </row>
    <row r="1770" ht="50.25" customHeight="1">
      <c r="A1770" s="12">
        <v>1766.0</v>
      </c>
      <c r="B1770" s="13" t="s">
        <v>1622</v>
      </c>
      <c r="C1770" s="14" t="s">
        <v>1779</v>
      </c>
      <c r="D1770" s="1"/>
      <c r="E1770" s="1"/>
      <c r="F1770" s="1" t="str">
        <f>IFERROR(__xludf.DUMMYFUNCTION("GOOGLETRANSLATE(B1770, ""en"", ""fa"")
"),"بهینه سازی سئو")</f>
        <v>بهینه سازی سئو</v>
      </c>
      <c r="G1770" s="1" t="str">
        <f>IFERROR(__xludf.DUMMYFUNCTION("GOOGLETRANSLATE(C1770, ""en"", ""fa"")
"),"درباره تاثیر معیارهای تعامل کاربر، مانند نرخ پرش و زمان در صفحه، بر عملکرد سئو بحث کنید.")</f>
        <v>درباره تاثیر معیارهای تعامل کاربر، مانند نرخ پرش و زمان در صفحه، بر عملکرد سئو بحث کنید.</v>
      </c>
      <c r="H1770" s="1"/>
      <c r="I1770" s="1"/>
      <c r="J1770" s="1"/>
      <c r="K1770" s="1"/>
      <c r="L1770" s="1"/>
      <c r="M1770" s="1"/>
      <c r="N1770" s="1"/>
      <c r="O1770" s="1"/>
      <c r="P1770" s="1"/>
      <c r="Q1770" s="1"/>
      <c r="R1770" s="1"/>
      <c r="S1770" s="1"/>
      <c r="T1770" s="1"/>
      <c r="U1770" s="1"/>
      <c r="V1770" s="1"/>
      <c r="W1770" s="1"/>
      <c r="X1770" s="1"/>
      <c r="Y1770" s="1"/>
      <c r="Z1770" s="1"/>
      <c r="AA1770" s="1"/>
      <c r="AB1770" s="1"/>
    </row>
    <row r="1771" ht="50.25" customHeight="1">
      <c r="A1771" s="12">
        <v>1767.0</v>
      </c>
      <c r="B1771" s="13" t="s">
        <v>1622</v>
      </c>
      <c r="C1771" s="14" t="s">
        <v>1780</v>
      </c>
      <c r="D1771" s="1"/>
      <c r="E1771" s="1"/>
      <c r="F1771" s="1" t="str">
        <f>IFERROR(__xludf.DUMMYFUNCTION("GOOGLETRANSLATE(B1771, ""en"", ""fa"")
"),"بهینه سازی سئو")</f>
        <v>بهینه سازی سئو</v>
      </c>
      <c r="G1771" s="1" t="str">
        <f>IFERROR(__xludf.DUMMYFUNCTION("GOOGLETRANSLATE(C1771, ""en"", ""fa"")
"),"در مورد نقش استفاده مجدد و بازیافت محتوا در به حداکثر رساندن تأثیر و دسترسی به سئو بحث کنید.")</f>
        <v>در مورد نقش استفاده مجدد و بازیافت محتوا در به حداکثر رساندن تأثیر و دسترسی به سئو بحث کنید.</v>
      </c>
      <c r="H1771" s="1"/>
      <c r="I1771" s="1"/>
      <c r="J1771" s="1"/>
      <c r="K1771" s="1"/>
      <c r="L1771" s="1"/>
      <c r="M1771" s="1"/>
      <c r="N1771" s="1"/>
      <c r="O1771" s="1"/>
      <c r="P1771" s="1"/>
      <c r="Q1771" s="1"/>
      <c r="R1771" s="1"/>
      <c r="S1771" s="1"/>
      <c r="T1771" s="1"/>
      <c r="U1771" s="1"/>
      <c r="V1771" s="1"/>
      <c r="W1771" s="1"/>
      <c r="X1771" s="1"/>
      <c r="Y1771" s="1"/>
      <c r="Z1771" s="1"/>
      <c r="AA1771" s="1"/>
      <c r="AB1771" s="1"/>
    </row>
    <row r="1772" ht="50.25" customHeight="1">
      <c r="A1772" s="12">
        <v>1768.0</v>
      </c>
      <c r="B1772" s="13" t="s">
        <v>1622</v>
      </c>
      <c r="C1772" s="14" t="s">
        <v>1781</v>
      </c>
      <c r="D1772" s="1"/>
      <c r="E1772" s="1"/>
      <c r="F1772" s="1" t="str">
        <f>IFERROR(__xludf.DUMMYFUNCTION("GOOGLETRANSLATE(B1772, ""en"", ""fa"")
"),"بهینه سازی سئو")</f>
        <v>بهینه سازی سئو</v>
      </c>
      <c r="G1772" s="1" t="str">
        <f>IFERROR(__xludf.DUMMYFUNCTION("GOOGLETRANSLATE(C1772, ""en"", ""fa"")
"),"مفهوم نشانه‌گذاری طرح‌واره محلی و تأثیر آن بر رویت جستجوی محلی و قطعه‌های غنی را بررسی کنید.")</f>
        <v>مفهوم نشانه‌گذاری طرح‌واره محلی و تأثیر آن بر رویت جستجوی محلی و قطعه‌های غنی را بررسی کنید.</v>
      </c>
      <c r="H1772" s="1"/>
      <c r="I1772" s="1"/>
      <c r="J1772" s="1"/>
      <c r="K1772" s="1"/>
      <c r="L1772" s="1"/>
      <c r="M1772" s="1"/>
      <c r="N1772" s="1"/>
      <c r="O1772" s="1"/>
      <c r="P1772" s="1"/>
      <c r="Q1772" s="1"/>
      <c r="R1772" s="1"/>
      <c r="S1772" s="1"/>
      <c r="T1772" s="1"/>
      <c r="U1772" s="1"/>
      <c r="V1772" s="1"/>
      <c r="W1772" s="1"/>
      <c r="X1772" s="1"/>
      <c r="Y1772" s="1"/>
      <c r="Z1772" s="1"/>
      <c r="AA1772" s="1"/>
      <c r="AB1772" s="1"/>
    </row>
    <row r="1773" ht="50.25" customHeight="1">
      <c r="A1773" s="12">
        <v>1769.0</v>
      </c>
      <c r="B1773" s="13" t="s">
        <v>1622</v>
      </c>
      <c r="C1773" s="14" t="s">
        <v>1782</v>
      </c>
      <c r="D1773" s="1"/>
      <c r="E1773" s="1"/>
      <c r="F1773" s="1" t="str">
        <f>IFERROR(__xludf.DUMMYFUNCTION("GOOGLETRANSLATE(B1773, ""en"", ""fa"")
"),"بهینه سازی سئو")</f>
        <v>بهینه سازی سئو</v>
      </c>
      <c r="G1773" s="1" t="str">
        <f>IFERROR(__xludf.DUMMYFUNCTION("GOOGLETRANSLATE(C1773, ""en"", ""fa"")
"),"در مورد اهمیت نظرات و رتبه بندی کاربران در بهینه سازی سئو محلی و مدیریت شهرت بحث کنید.")</f>
        <v>در مورد اهمیت نظرات و رتبه بندی کاربران در بهینه سازی سئو محلی و مدیریت شهرت بحث کنید.</v>
      </c>
      <c r="H1773" s="1"/>
      <c r="I1773" s="1"/>
      <c r="J1773" s="1"/>
      <c r="K1773" s="1"/>
      <c r="L1773" s="1"/>
      <c r="M1773" s="1"/>
      <c r="N1773" s="1"/>
      <c r="O1773" s="1"/>
      <c r="P1773" s="1"/>
      <c r="Q1773" s="1"/>
      <c r="R1773" s="1"/>
      <c r="S1773" s="1"/>
      <c r="T1773" s="1"/>
      <c r="U1773" s="1"/>
      <c r="V1773" s="1"/>
      <c r="W1773" s="1"/>
      <c r="X1773" s="1"/>
      <c r="Y1773" s="1"/>
      <c r="Z1773" s="1"/>
      <c r="AA1773" s="1"/>
      <c r="AB1773" s="1"/>
    </row>
    <row r="1774" ht="50.25" customHeight="1">
      <c r="A1774" s="12">
        <v>1770.0</v>
      </c>
      <c r="B1774" s="13" t="s">
        <v>1622</v>
      </c>
      <c r="C1774" s="14" t="s">
        <v>1783</v>
      </c>
      <c r="D1774" s="1"/>
      <c r="E1774" s="1"/>
      <c r="F1774" s="1" t="str">
        <f>IFERROR(__xludf.DUMMYFUNCTION("GOOGLETRANSLATE(B1774, ""en"", ""fa"")
"),"بهینه سازی سئو")</f>
        <v>بهینه سازی سئو</v>
      </c>
      <c r="G1774" s="1" t="str">
        <f>IFERROR(__xludf.DUMMYFUNCTION("GOOGLETRANSLATE(C1774, ""en"", ""fa"")
"),"استراتژی هایی برای بهینه سازی محتوای وب سایت برای پانل های دانش و ظاهر شدن به عنوان یک موجودیت برجسته در نتایج جستجو به اشتراک بگذارید.")</f>
        <v>استراتژی هایی برای بهینه سازی محتوای وب سایت برای پانل های دانش و ظاهر شدن به عنوان یک موجودیت برجسته در نتایج جستجو به اشتراک بگذارید.</v>
      </c>
      <c r="H1774" s="1"/>
      <c r="I1774" s="1"/>
      <c r="J1774" s="1"/>
      <c r="K1774" s="1"/>
      <c r="L1774" s="1"/>
      <c r="M1774" s="1"/>
      <c r="N1774" s="1"/>
      <c r="O1774" s="1"/>
      <c r="P1774" s="1"/>
      <c r="Q1774" s="1"/>
      <c r="R1774" s="1"/>
      <c r="S1774" s="1"/>
      <c r="T1774" s="1"/>
      <c r="U1774" s="1"/>
      <c r="V1774" s="1"/>
      <c r="W1774" s="1"/>
      <c r="X1774" s="1"/>
      <c r="Y1774" s="1"/>
      <c r="Z1774" s="1"/>
      <c r="AA1774" s="1"/>
      <c r="AB1774" s="1"/>
    </row>
    <row r="1775" ht="50.25" customHeight="1">
      <c r="A1775" s="12">
        <v>1771.0</v>
      </c>
      <c r="B1775" s="13" t="s">
        <v>1622</v>
      </c>
      <c r="C1775" s="14" t="s">
        <v>1784</v>
      </c>
      <c r="D1775" s="1"/>
      <c r="E1775" s="1"/>
      <c r="F1775" s="1" t="str">
        <f>IFERROR(__xludf.DUMMYFUNCTION("GOOGLETRANSLATE(B1775, ""en"", ""fa"")
"),"بهینه سازی سئو")</f>
        <v>بهینه سازی سئو</v>
      </c>
      <c r="G1775" s="1" t="str">
        <f>IFERROR(__xludf.DUMMYFUNCTION("GOOGLETRANSLATE(C1775, ""en"", ""fa"")
"),"در مورد نقش لینک سازی محلی در بهینه سازی سئو و استراتژی های بدست آوردن بک لینک های محلی بحث کنید.")</f>
        <v>در مورد نقش لینک سازی محلی در بهینه سازی سئو و استراتژی های بدست آوردن بک لینک های محلی بحث کنید.</v>
      </c>
      <c r="H1775" s="1"/>
      <c r="I1775" s="1"/>
      <c r="J1775" s="1"/>
      <c r="K1775" s="1"/>
      <c r="L1775" s="1"/>
      <c r="M1775" s="1"/>
      <c r="N1775" s="1"/>
      <c r="O1775" s="1"/>
      <c r="P1775" s="1"/>
      <c r="Q1775" s="1"/>
      <c r="R1775" s="1"/>
      <c r="S1775" s="1"/>
      <c r="T1775" s="1"/>
      <c r="U1775" s="1"/>
      <c r="V1775" s="1"/>
      <c r="W1775" s="1"/>
      <c r="X1775" s="1"/>
      <c r="Y1775" s="1"/>
      <c r="Z1775" s="1"/>
      <c r="AA1775" s="1"/>
      <c r="AB1775" s="1"/>
    </row>
    <row r="1776" ht="50.25" customHeight="1">
      <c r="A1776" s="12">
        <v>1772.0</v>
      </c>
      <c r="B1776" s="13" t="s">
        <v>1622</v>
      </c>
      <c r="C1776" s="14" t="s">
        <v>1785</v>
      </c>
      <c r="D1776" s="1"/>
      <c r="E1776" s="1"/>
      <c r="F1776" s="1" t="str">
        <f>IFERROR(__xludf.DUMMYFUNCTION("GOOGLETRANSLATE(B1776, ""en"", ""fa"")
"),"بهینه سازی سئو")</f>
        <v>بهینه سازی سئو</v>
      </c>
      <c r="G1776" s="1" t="str">
        <f>IFERROR(__xludf.DUMMYFUNCTION("GOOGLETRANSLATE(C1776, ""en"", ""fa"")
"),"نکاتی را برای بهینه سازی محتوای وب سایت برای کلمات کلیدی خاص صنعت و هدف قرار دادن مخاطبان خاص به اشتراک بگذارید.")</f>
        <v>نکاتی را برای بهینه سازی محتوای وب سایت برای کلمات کلیدی خاص صنعت و هدف قرار دادن مخاطبان خاص به اشتراک بگذارید.</v>
      </c>
      <c r="H1776" s="1"/>
      <c r="I1776" s="1"/>
      <c r="J1776" s="1"/>
      <c r="K1776" s="1"/>
      <c r="L1776" s="1"/>
      <c r="M1776" s="1"/>
      <c r="N1776" s="1"/>
      <c r="O1776" s="1"/>
      <c r="P1776" s="1"/>
      <c r="Q1776" s="1"/>
      <c r="R1776" s="1"/>
      <c r="S1776" s="1"/>
      <c r="T1776" s="1"/>
      <c r="U1776" s="1"/>
      <c r="V1776" s="1"/>
      <c r="W1776" s="1"/>
      <c r="X1776" s="1"/>
      <c r="Y1776" s="1"/>
      <c r="Z1776" s="1"/>
      <c r="AA1776" s="1"/>
      <c r="AB1776" s="1"/>
    </row>
    <row r="1777" ht="50.25" customHeight="1">
      <c r="A1777" s="12">
        <v>1773.0</v>
      </c>
      <c r="B1777" s="13" t="s">
        <v>1622</v>
      </c>
      <c r="C1777" s="14" t="s">
        <v>1786</v>
      </c>
      <c r="D1777" s="1"/>
      <c r="E1777" s="1"/>
      <c r="F1777" s="1" t="str">
        <f>IFERROR(__xludf.DUMMYFUNCTION("GOOGLETRANSLATE(B1777, ""en"", ""fa"")
"),"بهینه سازی سئو")</f>
        <v>بهینه سازی سئو</v>
      </c>
      <c r="G1777" s="1" t="str">
        <f>IFERROR(__xludf.DUMMYFUNCTION("GOOGLETRANSLATE(C1777, ""en"", ""fa"")
"),"مزایای بهینه سازی محتوای وب سایت برای موضوعات همیشه سبز و حفظ ارزش سئوی طولانی مدت را بررسی کنید.")</f>
        <v>مزایای بهینه سازی محتوای وب سایت برای موضوعات همیشه سبز و حفظ ارزش سئوی طولانی مدت را بررسی کنید.</v>
      </c>
      <c r="H1777" s="1"/>
      <c r="I1777" s="1"/>
      <c r="J1777" s="1"/>
      <c r="K1777" s="1"/>
      <c r="L1777" s="1"/>
      <c r="M1777" s="1"/>
      <c r="N1777" s="1"/>
      <c r="O1777" s="1"/>
      <c r="P1777" s="1"/>
      <c r="Q1777" s="1"/>
      <c r="R1777" s="1"/>
      <c r="S1777" s="1"/>
      <c r="T1777" s="1"/>
      <c r="U1777" s="1"/>
      <c r="V1777" s="1"/>
      <c r="W1777" s="1"/>
      <c r="X1777" s="1"/>
      <c r="Y1777" s="1"/>
      <c r="Z1777" s="1"/>
      <c r="AA1777" s="1"/>
      <c r="AB1777" s="1"/>
    </row>
    <row r="1778" ht="50.25" customHeight="1">
      <c r="A1778" s="12">
        <v>1774.0</v>
      </c>
      <c r="B1778" s="13" t="s">
        <v>1622</v>
      </c>
      <c r="C1778" s="14" t="s">
        <v>1787</v>
      </c>
      <c r="D1778" s="1"/>
      <c r="E1778" s="1"/>
      <c r="F1778" s="1" t="str">
        <f>IFERROR(__xludf.DUMMYFUNCTION("GOOGLETRANSLATE(B1778, ""en"", ""fa"")
"),"بهینه سازی سئو")</f>
        <v>بهینه سازی سئو</v>
      </c>
      <c r="G1778" s="1" t="str">
        <f>IFERROR(__xludf.DUMMYFUNCTION("GOOGLETRANSLATE(C1778, ""en"", ""fa"")
"),"نکاتی را برای بهینه‌سازی محتوای وب‌سایت برای رسانه‌های غنی، مانند تصاویر و ویدیوها، برای افزایش دید سئو به اشتراک بگذارید.")</f>
        <v>نکاتی را برای بهینه‌سازی محتوای وب‌سایت برای رسانه‌های غنی، مانند تصاویر و ویدیوها، برای افزایش دید سئو به اشتراک بگذارید.</v>
      </c>
      <c r="H1778" s="1"/>
      <c r="I1778" s="1"/>
      <c r="J1778" s="1"/>
      <c r="K1778" s="1"/>
      <c r="L1778" s="1"/>
      <c r="M1778" s="1"/>
      <c r="N1778" s="1"/>
      <c r="O1778" s="1"/>
      <c r="P1778" s="1"/>
      <c r="Q1778" s="1"/>
      <c r="R1778" s="1"/>
      <c r="S1778" s="1"/>
      <c r="T1778" s="1"/>
      <c r="U1778" s="1"/>
      <c r="V1778" s="1"/>
      <c r="W1778" s="1"/>
      <c r="X1778" s="1"/>
      <c r="Y1778" s="1"/>
      <c r="Z1778" s="1"/>
      <c r="AA1778" s="1"/>
      <c r="AB1778" s="1"/>
    </row>
    <row r="1779" ht="50.25" customHeight="1">
      <c r="A1779" s="12">
        <v>1775.0</v>
      </c>
      <c r="B1779" s="13" t="s">
        <v>1622</v>
      </c>
      <c r="C1779" s="14" t="s">
        <v>1788</v>
      </c>
      <c r="D1779" s="1"/>
      <c r="E1779" s="1"/>
      <c r="F1779" s="1" t="str">
        <f>IFERROR(__xludf.DUMMYFUNCTION("GOOGLETRANSLATE(B1779, ""en"", ""fa"")
"),"بهینه سازی سئو")</f>
        <v>بهینه سازی سئو</v>
      </c>
      <c r="G1779" s="1" t="str">
        <f>IFERROR(__xludf.DUMMYFUNCTION("GOOGLETRANSLATE(C1779, ""en"", ""fa"")
"),"استراتژی های بهینه سازی محتوای وب سایت برای ارتقای رویدادهای محلی و مشارکت جامعه را به اشتراک بگذارید.")</f>
        <v>استراتژی های بهینه سازی محتوای وب سایت برای ارتقای رویدادهای محلی و مشارکت جامعه را به اشتراک بگذارید.</v>
      </c>
      <c r="H1779" s="1"/>
      <c r="I1779" s="1"/>
      <c r="J1779" s="1"/>
      <c r="K1779" s="1"/>
      <c r="L1779" s="1"/>
      <c r="M1779" s="1"/>
      <c r="N1779" s="1"/>
      <c r="O1779" s="1"/>
      <c r="P1779" s="1"/>
      <c r="Q1779" s="1"/>
      <c r="R1779" s="1"/>
      <c r="S1779" s="1"/>
      <c r="T1779" s="1"/>
      <c r="U1779" s="1"/>
      <c r="V1779" s="1"/>
      <c r="W1779" s="1"/>
      <c r="X1779" s="1"/>
      <c r="Y1779" s="1"/>
      <c r="Z1779" s="1"/>
      <c r="AA1779" s="1"/>
      <c r="AB1779" s="1"/>
    </row>
    <row r="1780" ht="50.25" customHeight="1">
      <c r="A1780" s="12">
        <v>1776.0</v>
      </c>
      <c r="B1780" s="13" t="s">
        <v>1622</v>
      </c>
      <c r="C1780" s="14" t="s">
        <v>1789</v>
      </c>
      <c r="D1780" s="1"/>
      <c r="E1780" s="1"/>
      <c r="F1780" s="1" t="str">
        <f>IFERROR(__xludf.DUMMYFUNCTION("GOOGLETRANSLATE(B1780, ""en"", ""fa"")
"),"بهینه سازی سئو")</f>
        <v>بهینه سازی سئو</v>
      </c>
      <c r="G1780" s="1" t="str">
        <f>IFERROR(__xludf.DUMMYFUNCTION("GOOGLETRANSLATE(C1780, ""en"", ""fa"")
"),"نکاتی را برای بهینه سازی محتوای وب سایت برای ایجاد استناد محلی و بهبود دید جستجوی محلی به اشتراک بگذارید.")</f>
        <v>نکاتی را برای بهینه سازی محتوای وب سایت برای ایجاد استناد محلی و بهبود دید جستجوی محلی به اشتراک بگذارید.</v>
      </c>
      <c r="H1780" s="1"/>
      <c r="I1780" s="1"/>
      <c r="J1780" s="1"/>
      <c r="K1780" s="1"/>
      <c r="L1780" s="1"/>
      <c r="M1780" s="1"/>
      <c r="N1780" s="1"/>
      <c r="O1780" s="1"/>
      <c r="P1780" s="1"/>
      <c r="Q1780" s="1"/>
      <c r="R1780" s="1"/>
      <c r="S1780" s="1"/>
      <c r="T1780" s="1"/>
      <c r="U1780" s="1"/>
      <c r="V1780" s="1"/>
      <c r="W1780" s="1"/>
      <c r="X1780" s="1"/>
      <c r="Y1780" s="1"/>
      <c r="Z1780" s="1"/>
      <c r="AA1780" s="1"/>
      <c r="AB1780" s="1"/>
    </row>
    <row r="1781" ht="50.25" customHeight="1">
      <c r="A1781" s="12">
        <v>1777.0</v>
      </c>
      <c r="B1781" s="13" t="s">
        <v>1622</v>
      </c>
      <c r="C1781" s="14" t="s">
        <v>1790</v>
      </c>
      <c r="D1781" s="1"/>
      <c r="E1781" s="1"/>
      <c r="F1781" s="1" t="str">
        <f>IFERROR(__xludf.DUMMYFUNCTION("GOOGLETRANSLATE(B1781, ""en"", ""fa"")
"),"بهینه سازی سئو")</f>
        <v>بهینه سازی سئو</v>
      </c>
      <c r="G1781" s="1" t="str">
        <f>IFERROR(__xludf.DUMMYFUNCTION("GOOGLETRANSLATE(C1781, ""en"", ""fa"")
"),"درباره اهمیت رتبه‌بندی‌ها و بررسی‌های تولید شده توسط کاربر در بهینه‌سازی سئو محلی و مدیریت شهرت بحث کنید.")</f>
        <v>درباره اهمیت رتبه‌بندی‌ها و بررسی‌های تولید شده توسط کاربر در بهینه‌سازی سئو محلی و مدیریت شهرت بحث کنید.</v>
      </c>
      <c r="H1781" s="1"/>
      <c r="I1781" s="1"/>
      <c r="J1781" s="1"/>
      <c r="K1781" s="1"/>
      <c r="L1781" s="1"/>
      <c r="M1781" s="1"/>
      <c r="N1781" s="1"/>
      <c r="O1781" s="1"/>
      <c r="P1781" s="1"/>
      <c r="Q1781" s="1"/>
      <c r="R1781" s="1"/>
      <c r="S1781" s="1"/>
      <c r="T1781" s="1"/>
      <c r="U1781" s="1"/>
      <c r="V1781" s="1"/>
      <c r="W1781" s="1"/>
      <c r="X1781" s="1"/>
      <c r="Y1781" s="1"/>
      <c r="Z1781" s="1"/>
      <c r="AA1781" s="1"/>
      <c r="AB1781" s="1"/>
    </row>
    <row r="1782" ht="50.25" customHeight="1">
      <c r="A1782" s="12">
        <v>1778.0</v>
      </c>
      <c r="B1782" s="13" t="s">
        <v>1622</v>
      </c>
      <c r="C1782" s="14" t="s">
        <v>1791</v>
      </c>
      <c r="D1782" s="1"/>
      <c r="E1782" s="1"/>
      <c r="F1782" s="1" t="str">
        <f>IFERROR(__xludf.DUMMYFUNCTION("GOOGLETRANSLATE(B1782, ""en"", ""fa"")
"),"بهینه سازی سئو")</f>
        <v>بهینه سازی سئو</v>
      </c>
      <c r="G1782" s="1" t="str">
        <f>IFERROR(__xludf.DUMMYFUNCTION("GOOGLETRANSLATE(C1782, ""en"", ""fa"")
"),"استراتژی های بهینه سازی محتوای وب سایت برای صفحات فرود محلی و کلمات کلیدی مبتنی بر مکان را به اشتراک بگذارید.")</f>
        <v>استراتژی های بهینه سازی محتوای وب سایت برای صفحات فرود محلی و کلمات کلیدی مبتنی بر مکان را به اشتراک بگذارید.</v>
      </c>
      <c r="H1782" s="1"/>
      <c r="I1782" s="1"/>
      <c r="J1782" s="1"/>
      <c r="K1782" s="1"/>
      <c r="L1782" s="1"/>
      <c r="M1782" s="1"/>
      <c r="N1782" s="1"/>
      <c r="O1782" s="1"/>
      <c r="P1782" s="1"/>
      <c r="Q1782" s="1"/>
      <c r="R1782" s="1"/>
      <c r="S1782" s="1"/>
      <c r="T1782" s="1"/>
      <c r="U1782" s="1"/>
      <c r="V1782" s="1"/>
      <c r="W1782" s="1"/>
      <c r="X1782" s="1"/>
      <c r="Y1782" s="1"/>
      <c r="Z1782" s="1"/>
      <c r="AA1782" s="1"/>
      <c r="AB1782" s="1"/>
    </row>
    <row r="1783" ht="50.25" customHeight="1">
      <c r="A1783" s="12">
        <v>1779.0</v>
      </c>
      <c r="B1783" s="13" t="s">
        <v>1622</v>
      </c>
      <c r="C1783" s="14" t="s">
        <v>1792</v>
      </c>
      <c r="D1783" s="1"/>
      <c r="E1783" s="1"/>
      <c r="F1783" s="1" t="str">
        <f>IFERROR(__xludf.DUMMYFUNCTION("GOOGLETRANSLATE(B1783, ""en"", ""fa"")
"),"بهینه سازی سئو")</f>
        <v>بهینه سازی سئو</v>
      </c>
      <c r="G1783" s="1" t="str">
        <f>IFERROR(__xludf.DUMMYFUNCTION("GOOGLETRANSLATE(C1783, ""en"", ""fa"")
"),"مزایای بهینه سازی محتوای وب سایت برای پرس و جوهای مبتنی بر سؤال و سؤالات متداول را بررسی کنید.")</f>
        <v>مزایای بهینه سازی محتوای وب سایت برای پرس و جوهای مبتنی بر سؤال و سؤالات متداول را بررسی کنید.</v>
      </c>
      <c r="H1783" s="1"/>
      <c r="I1783" s="1"/>
      <c r="J1783" s="1"/>
      <c r="K1783" s="1"/>
      <c r="L1783" s="1"/>
      <c r="M1783" s="1"/>
      <c r="N1783" s="1"/>
      <c r="O1783" s="1"/>
      <c r="P1783" s="1"/>
      <c r="Q1783" s="1"/>
      <c r="R1783" s="1"/>
      <c r="S1783" s="1"/>
      <c r="T1783" s="1"/>
      <c r="U1783" s="1"/>
      <c r="V1783" s="1"/>
      <c r="W1783" s="1"/>
      <c r="X1783" s="1"/>
      <c r="Y1783" s="1"/>
      <c r="Z1783" s="1"/>
      <c r="AA1783" s="1"/>
      <c r="AB1783" s="1"/>
    </row>
    <row r="1784" ht="50.25" customHeight="1">
      <c r="A1784" s="12">
        <v>1780.0</v>
      </c>
      <c r="B1784" s="13" t="s">
        <v>1622</v>
      </c>
      <c r="C1784" s="14" t="s">
        <v>1793</v>
      </c>
      <c r="D1784" s="1"/>
      <c r="E1784" s="1"/>
      <c r="F1784" s="1" t="str">
        <f>IFERROR(__xludf.DUMMYFUNCTION("GOOGLETRANSLATE(B1784, ""en"", ""fa"")
"),"بهینه سازی سئو")</f>
        <v>بهینه سازی سئو</v>
      </c>
      <c r="G1784" s="1" t="str">
        <f>IFERROR(__xludf.DUMMYFUNCTION("GOOGLETRANSLATE(C1784, ""en"", ""fa"")
"),"در مورد نقش تبلیغات رسانه های اجتماعی در بهینه سازی سئو و استراتژی هایی برای ادغام تلاش های پولی و ارگانیک بحث کنید.")</f>
        <v>در مورد نقش تبلیغات رسانه های اجتماعی در بهینه سازی سئو و استراتژی هایی برای ادغام تلاش های پولی و ارگانیک بحث کنید.</v>
      </c>
      <c r="H1784" s="1"/>
      <c r="I1784" s="1"/>
      <c r="J1784" s="1"/>
      <c r="K1784" s="1"/>
      <c r="L1784" s="1"/>
      <c r="M1784" s="1"/>
      <c r="N1784" s="1"/>
      <c r="O1784" s="1"/>
      <c r="P1784" s="1"/>
      <c r="Q1784" s="1"/>
      <c r="R1784" s="1"/>
      <c r="S1784" s="1"/>
      <c r="T1784" s="1"/>
      <c r="U1784" s="1"/>
      <c r="V1784" s="1"/>
      <c r="W1784" s="1"/>
      <c r="X1784" s="1"/>
      <c r="Y1784" s="1"/>
      <c r="Z1784" s="1"/>
      <c r="AA1784" s="1"/>
      <c r="AB1784" s="1"/>
    </row>
    <row r="1785" ht="50.25" customHeight="1">
      <c r="A1785" s="12">
        <v>1781.0</v>
      </c>
      <c r="B1785" s="13" t="s">
        <v>1622</v>
      </c>
      <c r="C1785" s="14" t="s">
        <v>1794</v>
      </c>
      <c r="D1785" s="1"/>
      <c r="E1785" s="1"/>
      <c r="F1785" s="1" t="str">
        <f>IFERROR(__xludf.DUMMYFUNCTION("GOOGLETRANSLATE(B1785, ""en"", ""fa"")
"),"بهینه سازی سئو")</f>
        <v>بهینه سازی سئو</v>
      </c>
      <c r="G1785" s="1" t="str">
        <f>IFERROR(__xludf.DUMMYFUNCTION("GOOGLETRANSLATE(C1785, ""en"", ""fa"")
"),"نکاتی را برای بهینه سازی محتوای وب سایت برای توضیحات محصول و سئوی تجارت الکترونیک به اشتراک بگذارید.")</f>
        <v>نکاتی را برای بهینه سازی محتوای وب سایت برای توضیحات محصول و سئوی تجارت الکترونیک به اشتراک بگذارید.</v>
      </c>
      <c r="H1785" s="1"/>
      <c r="I1785" s="1"/>
      <c r="J1785" s="1"/>
      <c r="K1785" s="1"/>
      <c r="L1785" s="1"/>
      <c r="M1785" s="1"/>
      <c r="N1785" s="1"/>
      <c r="O1785" s="1"/>
      <c r="P1785" s="1"/>
      <c r="Q1785" s="1"/>
      <c r="R1785" s="1"/>
      <c r="S1785" s="1"/>
      <c r="T1785" s="1"/>
      <c r="U1785" s="1"/>
      <c r="V1785" s="1"/>
      <c r="W1785" s="1"/>
      <c r="X1785" s="1"/>
      <c r="Y1785" s="1"/>
      <c r="Z1785" s="1"/>
      <c r="AA1785" s="1"/>
      <c r="AB1785" s="1"/>
    </row>
    <row r="1786" ht="50.25" customHeight="1">
      <c r="A1786" s="12">
        <v>1782.0</v>
      </c>
      <c r="B1786" s="13" t="s">
        <v>1622</v>
      </c>
      <c r="C1786" s="14" t="s">
        <v>1795</v>
      </c>
      <c r="D1786" s="1"/>
      <c r="E1786" s="1"/>
      <c r="F1786" s="1" t="str">
        <f>IFERROR(__xludf.DUMMYFUNCTION("GOOGLETRANSLATE(B1786, ""en"", ""fa"")
"),"بهینه سازی سئو")</f>
        <v>بهینه سازی سئو</v>
      </c>
      <c r="G1786" s="1" t="str">
        <f>IFERROR(__xludf.DUMMYFUNCTION("GOOGLETRANSLATE(C1786, ""en"", ""fa"")
"),"مفهوم معیارهای تعامل کاربر در سایت و تأثیر آنها بر رتبه بندی سئو را بررسی کنید.")</f>
        <v>مفهوم معیارهای تعامل کاربر در سایت و تأثیر آنها بر رتبه بندی سئو را بررسی کنید.</v>
      </c>
      <c r="H1786" s="1"/>
      <c r="I1786" s="1"/>
      <c r="J1786" s="1"/>
      <c r="K1786" s="1"/>
      <c r="L1786" s="1"/>
      <c r="M1786" s="1"/>
      <c r="N1786" s="1"/>
      <c r="O1786" s="1"/>
      <c r="P1786" s="1"/>
      <c r="Q1786" s="1"/>
      <c r="R1786" s="1"/>
      <c r="S1786" s="1"/>
      <c r="T1786" s="1"/>
      <c r="U1786" s="1"/>
      <c r="V1786" s="1"/>
      <c r="W1786" s="1"/>
      <c r="X1786" s="1"/>
      <c r="Y1786" s="1"/>
      <c r="Z1786" s="1"/>
      <c r="AA1786" s="1"/>
      <c r="AB1786" s="1"/>
    </row>
    <row r="1787" ht="50.25" customHeight="1">
      <c r="A1787" s="12">
        <v>1783.0</v>
      </c>
      <c r="B1787" s="13" t="s">
        <v>1622</v>
      </c>
      <c r="C1787" s="14" t="s">
        <v>1796</v>
      </c>
      <c r="D1787" s="1"/>
      <c r="E1787" s="1"/>
      <c r="F1787" s="1" t="str">
        <f>IFERROR(__xludf.DUMMYFUNCTION("GOOGLETRANSLATE(B1787, ""en"", ""fa"")
"),"بهینه سازی سئو")</f>
        <v>بهینه سازی سئو</v>
      </c>
      <c r="G1787" s="1" t="str">
        <f>IFERROR(__xludf.DUMMYFUNCTION("GOOGLETRANSLATE(C1787, ""en"", ""fa"")
"),"در مورد اهمیت خزیدن وب سایت و فهرست پذیری برای مشاهده موتورهای جستجو بحث کنید.")</f>
        <v>در مورد اهمیت خزیدن وب سایت و فهرست پذیری برای مشاهده موتورهای جستجو بحث کنید.</v>
      </c>
      <c r="H1787" s="1"/>
      <c r="I1787" s="1"/>
      <c r="J1787" s="1"/>
      <c r="K1787" s="1"/>
      <c r="L1787" s="1"/>
      <c r="M1787" s="1"/>
      <c r="N1787" s="1"/>
      <c r="O1787" s="1"/>
      <c r="P1787" s="1"/>
      <c r="Q1787" s="1"/>
      <c r="R1787" s="1"/>
      <c r="S1787" s="1"/>
      <c r="T1787" s="1"/>
      <c r="U1787" s="1"/>
      <c r="V1787" s="1"/>
      <c r="W1787" s="1"/>
      <c r="X1787" s="1"/>
      <c r="Y1787" s="1"/>
      <c r="Z1787" s="1"/>
      <c r="AA1787" s="1"/>
      <c r="AB1787" s="1"/>
    </row>
    <row r="1788" ht="50.25" customHeight="1">
      <c r="A1788" s="12">
        <v>1784.0</v>
      </c>
      <c r="B1788" s="13" t="s">
        <v>1622</v>
      </c>
      <c r="C1788" s="14" t="s">
        <v>1797</v>
      </c>
      <c r="D1788" s="1"/>
      <c r="E1788" s="1"/>
      <c r="F1788" s="1" t="str">
        <f>IFERROR(__xludf.DUMMYFUNCTION("GOOGLETRANSLATE(B1788, ""en"", ""fa"")
"),"بهینه سازی سئو")</f>
        <v>بهینه سازی سئو</v>
      </c>
      <c r="G1788" s="1" t="str">
        <f>IFERROR(__xludf.DUMMYFUNCTION("GOOGLETRANSLATE(C1788, ""en"", ""fa"")
"),"استراتژی‌هایی برای بهینه‌سازی محتوای وب‌سایت برای تغییرات و مترادف‌های کلیدواژه طولانی به اشتراک بگذارید.")</f>
        <v>استراتژی‌هایی برای بهینه‌سازی محتوای وب‌سایت برای تغییرات و مترادف‌های کلیدواژه طولانی به اشتراک بگذارید.</v>
      </c>
      <c r="H1788" s="1"/>
      <c r="I1788" s="1"/>
      <c r="J1788" s="1"/>
      <c r="K1788" s="1"/>
      <c r="L1788" s="1"/>
      <c r="M1788" s="1"/>
      <c r="N1788" s="1"/>
      <c r="O1788" s="1"/>
      <c r="P1788" s="1"/>
      <c r="Q1788" s="1"/>
      <c r="R1788" s="1"/>
      <c r="S1788" s="1"/>
      <c r="T1788" s="1"/>
      <c r="U1788" s="1"/>
      <c r="V1788" s="1"/>
      <c r="W1788" s="1"/>
      <c r="X1788" s="1"/>
      <c r="Y1788" s="1"/>
      <c r="Z1788" s="1"/>
      <c r="AA1788" s="1"/>
      <c r="AB1788" s="1"/>
    </row>
    <row r="1789" ht="50.25" customHeight="1">
      <c r="A1789" s="12">
        <v>1785.0</v>
      </c>
      <c r="B1789" s="13" t="s">
        <v>1622</v>
      </c>
      <c r="C1789" s="14" t="s">
        <v>1798</v>
      </c>
      <c r="D1789" s="1"/>
      <c r="E1789" s="1"/>
      <c r="F1789" s="1" t="str">
        <f>IFERROR(__xludf.DUMMYFUNCTION("GOOGLETRANSLATE(B1789, ""en"", ""fa"")
"),"بهینه سازی سئو")</f>
        <v>بهینه سازی سئو</v>
      </c>
      <c r="G1789" s="1" t="str">
        <f>IFERROR(__xludf.DUMMYFUNCTION("GOOGLETRANSLATE(C1789, ""en"", ""fa"")
"),"مزایای بهینه سازی محتوای وب سایت برای هدف کاربر و همسویی با نیازها و انتظارات جستجوگر را بررسی کنید.")</f>
        <v>مزایای بهینه سازی محتوای وب سایت برای هدف کاربر و همسویی با نیازها و انتظارات جستجوگر را بررسی کنید.</v>
      </c>
      <c r="H1789" s="1"/>
      <c r="I1789" s="1"/>
      <c r="J1789" s="1"/>
      <c r="K1789" s="1"/>
      <c r="L1789" s="1"/>
      <c r="M1789" s="1"/>
      <c r="N1789" s="1"/>
      <c r="O1789" s="1"/>
      <c r="P1789" s="1"/>
      <c r="Q1789" s="1"/>
      <c r="R1789" s="1"/>
      <c r="S1789" s="1"/>
      <c r="T1789" s="1"/>
      <c r="U1789" s="1"/>
      <c r="V1789" s="1"/>
      <c r="W1789" s="1"/>
      <c r="X1789" s="1"/>
      <c r="Y1789" s="1"/>
      <c r="Z1789" s="1"/>
      <c r="AA1789" s="1"/>
      <c r="AB1789" s="1"/>
    </row>
    <row r="1790" ht="50.25" customHeight="1">
      <c r="A1790" s="12">
        <v>1786.0</v>
      </c>
      <c r="B1790" s="13" t="s">
        <v>1622</v>
      </c>
      <c r="C1790" s="14" t="s">
        <v>1799</v>
      </c>
      <c r="D1790" s="1"/>
      <c r="E1790" s="1"/>
      <c r="F1790" s="1" t="str">
        <f>IFERROR(__xludf.DUMMYFUNCTION("GOOGLETRANSLATE(B1790, ""en"", ""fa"")
"),"بهینه سازی سئو")</f>
        <v>بهینه سازی سئو</v>
      </c>
      <c r="G1790" s="1" t="str">
        <f>IFERROR(__xludf.DUMMYFUNCTION("GOOGLETRANSLATE(C1790, ""en"", ""fa"")
"),"در مورد نقش لینک سازی داخلی و معماری سایت در بهینه سازی سئو بحث کنید.")</f>
        <v>در مورد نقش لینک سازی داخلی و معماری سایت در بهینه سازی سئو بحث کنید.</v>
      </c>
      <c r="H1790" s="1"/>
      <c r="I1790" s="1"/>
      <c r="J1790" s="1"/>
      <c r="K1790" s="1"/>
      <c r="L1790" s="1"/>
      <c r="M1790" s="1"/>
      <c r="N1790" s="1"/>
      <c r="O1790" s="1"/>
      <c r="P1790" s="1"/>
      <c r="Q1790" s="1"/>
      <c r="R1790" s="1"/>
      <c r="S1790" s="1"/>
      <c r="T1790" s="1"/>
      <c r="U1790" s="1"/>
      <c r="V1790" s="1"/>
      <c r="W1790" s="1"/>
      <c r="X1790" s="1"/>
      <c r="Y1790" s="1"/>
      <c r="Z1790" s="1"/>
      <c r="AA1790" s="1"/>
      <c r="AB1790" s="1"/>
    </row>
    <row r="1791" ht="50.25" customHeight="1">
      <c r="A1791" s="12">
        <v>1787.0</v>
      </c>
      <c r="B1791" s="13" t="s">
        <v>1622</v>
      </c>
      <c r="C1791" s="14" t="s">
        <v>1800</v>
      </c>
      <c r="D1791" s="1"/>
      <c r="E1791" s="1"/>
      <c r="F1791" s="1" t="str">
        <f>IFERROR(__xludf.DUMMYFUNCTION("GOOGLETRANSLATE(B1791, ""en"", ""fa"")
"),"بهینه سازی سئو")</f>
        <v>بهینه سازی سئو</v>
      </c>
      <c r="G1791" s="1" t="str">
        <f>IFERROR(__xludf.DUMMYFUNCTION("GOOGLETRANSLATE(C1791, ""en"", ""fa"")
"),"نکاتی را برای بهینه سازی محتوای وب سایت برای Google News و نمایش در نتایج جستجوی اخبار به اشتراک بگذارید.")</f>
        <v>نکاتی را برای بهینه سازی محتوای وب سایت برای Google News و نمایش در نتایج جستجوی اخبار به اشتراک بگذارید.</v>
      </c>
      <c r="H1791" s="1"/>
      <c r="I1791" s="1"/>
      <c r="J1791" s="1"/>
      <c r="K1791" s="1"/>
      <c r="L1791" s="1"/>
      <c r="M1791" s="1"/>
      <c r="N1791" s="1"/>
      <c r="O1791" s="1"/>
      <c r="P1791" s="1"/>
      <c r="Q1791" s="1"/>
      <c r="R1791" s="1"/>
      <c r="S1791" s="1"/>
      <c r="T1791" s="1"/>
      <c r="U1791" s="1"/>
      <c r="V1791" s="1"/>
      <c r="W1791" s="1"/>
      <c r="X1791" s="1"/>
      <c r="Y1791" s="1"/>
      <c r="Z1791" s="1"/>
      <c r="AA1791" s="1"/>
      <c r="AB1791" s="1"/>
    </row>
    <row r="1792" ht="50.25" customHeight="1">
      <c r="A1792" s="12">
        <v>1788.0</v>
      </c>
      <c r="B1792" s="13" t="s">
        <v>1622</v>
      </c>
      <c r="C1792" s="14" t="s">
        <v>1801</v>
      </c>
      <c r="D1792" s="1"/>
      <c r="E1792" s="1"/>
      <c r="F1792" s="1" t="str">
        <f>IFERROR(__xludf.DUMMYFUNCTION("GOOGLETRANSLATE(B1792, ""en"", ""fa"")
"),"بهینه سازی سئو")</f>
        <v>بهینه سازی سئو</v>
      </c>
      <c r="G1792" s="1" t="str">
        <f>IFERROR(__xludf.DUMMYFUNCTION("GOOGLETRANSLATE(C1792, ""en"", ""fa"")
"),"مفهوم تجزیه و تحلیل رقبا در بهینه سازی سئو و استراتژی های پیشرو ماندن در SERP ها را بررسی کنید.")</f>
        <v>مفهوم تجزیه و تحلیل رقبا در بهینه سازی سئو و استراتژی های پیشرو ماندن در SERP ها را بررسی کنید.</v>
      </c>
      <c r="H1792" s="1"/>
      <c r="I1792" s="1"/>
      <c r="J1792" s="1"/>
      <c r="K1792" s="1"/>
      <c r="L1792" s="1"/>
      <c r="M1792" s="1"/>
      <c r="N1792" s="1"/>
      <c r="O1792" s="1"/>
      <c r="P1792" s="1"/>
      <c r="Q1792" s="1"/>
      <c r="R1792" s="1"/>
      <c r="S1792" s="1"/>
      <c r="T1792" s="1"/>
      <c r="U1792" s="1"/>
      <c r="V1792" s="1"/>
      <c r="W1792" s="1"/>
      <c r="X1792" s="1"/>
      <c r="Y1792" s="1"/>
      <c r="Z1792" s="1"/>
      <c r="AA1792" s="1"/>
      <c r="AB1792" s="1"/>
    </row>
    <row r="1793" ht="50.25" customHeight="1">
      <c r="A1793" s="12">
        <v>1789.0</v>
      </c>
      <c r="B1793" s="13" t="s">
        <v>1622</v>
      </c>
      <c r="C1793" s="14" t="s">
        <v>1802</v>
      </c>
      <c r="D1793" s="1"/>
      <c r="E1793" s="1"/>
      <c r="F1793" s="1" t="str">
        <f>IFERROR(__xludf.DUMMYFUNCTION("GOOGLETRANSLATE(B1793, ""en"", ""fa"")
"),"بهینه سازی سئو")</f>
        <v>بهینه سازی سئو</v>
      </c>
      <c r="G1793" s="1" t="str">
        <f>IFERROR(__xludf.DUMMYFUNCTION("GOOGLETRANSLATE(C1793, ""en"", ""fa"")
"),"در مورد اهمیت دسترسی به وب سایت و تأثیر آن بر رتبه بندی SEO و تجربه کاربر بحث کنید.")</f>
        <v>در مورد اهمیت دسترسی به وب سایت و تأثیر آن بر رتبه بندی SEO و تجربه کاربر بحث کنید.</v>
      </c>
      <c r="H1793" s="1"/>
      <c r="I1793" s="1"/>
      <c r="J1793" s="1"/>
      <c r="K1793" s="1"/>
      <c r="L1793" s="1"/>
      <c r="M1793" s="1"/>
      <c r="N1793" s="1"/>
      <c r="O1793" s="1"/>
      <c r="P1793" s="1"/>
      <c r="Q1793" s="1"/>
      <c r="R1793" s="1"/>
      <c r="S1793" s="1"/>
      <c r="T1793" s="1"/>
      <c r="U1793" s="1"/>
      <c r="V1793" s="1"/>
      <c r="W1793" s="1"/>
      <c r="X1793" s="1"/>
      <c r="Y1793" s="1"/>
      <c r="Z1793" s="1"/>
      <c r="AA1793" s="1"/>
      <c r="AB1793" s="1"/>
    </row>
    <row r="1794" ht="50.25" customHeight="1">
      <c r="A1794" s="12">
        <v>1790.0</v>
      </c>
      <c r="B1794" s="13" t="s">
        <v>1622</v>
      </c>
      <c r="C1794" s="14" t="s">
        <v>1803</v>
      </c>
      <c r="D1794" s="1"/>
      <c r="E1794" s="1"/>
      <c r="F1794" s="1" t="str">
        <f>IFERROR(__xludf.DUMMYFUNCTION("GOOGLETRANSLATE(B1794, ""en"", ""fa"")
"),"بهینه سازی سئو")</f>
        <v>بهینه سازی سئو</v>
      </c>
      <c r="G1794" s="1" t="str">
        <f>IFERROR(__xludf.DUMMYFUNCTION("GOOGLETRANSLATE(C1794, ""en"", ""fa"")
"),"استراتژی‌های بهینه‌سازی محتوای وب‌سایت را برای مشارکت‌ها و همکاری‌های تأثیرگذار محلی به اشتراک بگذارید.")</f>
        <v>استراتژی‌های بهینه‌سازی محتوای وب‌سایت را برای مشارکت‌ها و همکاری‌های تأثیرگذار محلی به اشتراک بگذارید.</v>
      </c>
      <c r="H1794" s="1"/>
      <c r="I1794" s="1"/>
      <c r="J1794" s="1"/>
      <c r="K1794" s="1"/>
      <c r="L1794" s="1"/>
      <c r="M1794" s="1"/>
      <c r="N1794" s="1"/>
      <c r="O1794" s="1"/>
      <c r="P1794" s="1"/>
      <c r="Q1794" s="1"/>
      <c r="R1794" s="1"/>
      <c r="S1794" s="1"/>
      <c r="T1794" s="1"/>
      <c r="U1794" s="1"/>
      <c r="V1794" s="1"/>
      <c r="W1794" s="1"/>
      <c r="X1794" s="1"/>
      <c r="Y1794" s="1"/>
      <c r="Z1794" s="1"/>
      <c r="AA1794" s="1"/>
      <c r="AB1794" s="1"/>
    </row>
    <row r="1795" ht="50.25" customHeight="1">
      <c r="A1795" s="12">
        <v>1791.0</v>
      </c>
      <c r="B1795" s="13" t="s">
        <v>1622</v>
      </c>
      <c r="C1795" s="14" t="s">
        <v>1804</v>
      </c>
      <c r="D1795" s="1"/>
      <c r="E1795" s="1"/>
      <c r="F1795" s="1" t="str">
        <f>IFERROR(__xludf.DUMMYFUNCTION("GOOGLETRANSLATE(B1795, ""en"", ""fa"")
"),"بهینه سازی سئو")</f>
        <v>بهینه سازی سئو</v>
      </c>
      <c r="G1795" s="1" t="str">
        <f>IFERROR(__xludf.DUMMYFUNCTION("GOOGLETRANSLATE(C1795, ""en"", ""fa"")
"),"مزایای بهینه سازی محتوای وب سایت برای توصیفات و مطالعات موردی تولید شده توسط کاربر را بررسی کنید.")</f>
        <v>مزایای بهینه سازی محتوای وب سایت برای توصیفات و مطالعات موردی تولید شده توسط کاربر را بررسی کنید.</v>
      </c>
      <c r="H1795" s="1"/>
      <c r="I1795" s="1"/>
      <c r="J1795" s="1"/>
      <c r="K1795" s="1"/>
      <c r="L1795" s="1"/>
      <c r="M1795" s="1"/>
      <c r="N1795" s="1"/>
      <c r="O1795" s="1"/>
      <c r="P1795" s="1"/>
      <c r="Q1795" s="1"/>
      <c r="R1795" s="1"/>
      <c r="S1795" s="1"/>
      <c r="T1795" s="1"/>
      <c r="U1795" s="1"/>
      <c r="V1795" s="1"/>
      <c r="W1795" s="1"/>
      <c r="X1795" s="1"/>
      <c r="Y1795" s="1"/>
      <c r="Z1795" s="1"/>
      <c r="AA1795" s="1"/>
      <c r="AB1795" s="1"/>
    </row>
    <row r="1796" ht="50.25" customHeight="1">
      <c r="A1796" s="12">
        <v>1792.0</v>
      </c>
      <c r="B1796" s="13" t="s">
        <v>1622</v>
      </c>
      <c r="C1796" s="14" t="s">
        <v>1805</v>
      </c>
      <c r="D1796" s="1"/>
      <c r="E1796" s="1"/>
      <c r="F1796" s="1" t="str">
        <f>IFERROR(__xludf.DUMMYFUNCTION("GOOGLETRANSLATE(B1796, ""en"", ""fa"")
"),"بهینه سازی سئو")</f>
        <v>بهینه سازی سئو</v>
      </c>
      <c r="G1796" s="1" t="str">
        <f>IFERROR(__xludf.DUMMYFUNCTION("GOOGLETRANSLATE(C1796, ""en"", ""fa"")
"),"مفهوم جستجوی معنایی و استراتژی‌هایی برای ادغام ارتباط متنی در محتوا را بررسی کنید.")</f>
        <v>مفهوم جستجوی معنایی و استراتژی‌هایی برای ادغام ارتباط متنی در محتوا را بررسی کنید.</v>
      </c>
      <c r="H1796" s="1"/>
      <c r="I1796" s="1"/>
      <c r="J1796" s="1"/>
      <c r="K1796" s="1"/>
      <c r="L1796" s="1"/>
      <c r="M1796" s="1"/>
      <c r="N1796" s="1"/>
      <c r="O1796" s="1"/>
      <c r="P1796" s="1"/>
      <c r="Q1796" s="1"/>
      <c r="R1796" s="1"/>
      <c r="S1796" s="1"/>
      <c r="T1796" s="1"/>
      <c r="U1796" s="1"/>
      <c r="V1796" s="1"/>
      <c r="W1796" s="1"/>
      <c r="X1796" s="1"/>
      <c r="Y1796" s="1"/>
      <c r="Z1796" s="1"/>
      <c r="AA1796" s="1"/>
      <c r="AB1796" s="1"/>
    </row>
    <row r="1797" ht="50.25" customHeight="1">
      <c r="A1797" s="12">
        <v>1793.0</v>
      </c>
      <c r="B1797" s="13" t="s">
        <v>1622</v>
      </c>
      <c r="C1797" s="14" t="s">
        <v>1806</v>
      </c>
      <c r="D1797" s="1"/>
      <c r="E1797" s="1"/>
      <c r="F1797" s="1" t="str">
        <f>IFERROR(__xludf.DUMMYFUNCTION("GOOGLETRANSLATE(B1797, ""en"", ""fa"")
"),"بهینه سازی سئو")</f>
        <v>بهینه سازی سئو</v>
      </c>
      <c r="G1797" s="1" t="str">
        <f>IFERROR(__xludf.DUMMYFUNCTION("GOOGLETRANSLATE(C1797, ""en"", ""fa"")
"),"در مورد اهمیت ساختار و سلسله مراتب سایت در بهینه سازی سئو بحث کنید.")</f>
        <v>در مورد اهمیت ساختار و سلسله مراتب سایت در بهینه سازی سئو بحث کنید.</v>
      </c>
      <c r="H1797" s="1"/>
      <c r="I1797" s="1"/>
      <c r="J1797" s="1"/>
      <c r="K1797" s="1"/>
      <c r="L1797" s="1"/>
      <c r="M1797" s="1"/>
      <c r="N1797" s="1"/>
      <c r="O1797" s="1"/>
      <c r="P1797" s="1"/>
      <c r="Q1797" s="1"/>
      <c r="R1797" s="1"/>
      <c r="S1797" s="1"/>
      <c r="T1797" s="1"/>
      <c r="U1797" s="1"/>
      <c r="V1797" s="1"/>
      <c r="W1797" s="1"/>
      <c r="X1797" s="1"/>
      <c r="Y1797" s="1"/>
      <c r="Z1797" s="1"/>
      <c r="AA1797" s="1"/>
      <c r="AB1797" s="1"/>
    </row>
    <row r="1798" ht="50.25" customHeight="1">
      <c r="A1798" s="12">
        <v>1794.0</v>
      </c>
      <c r="B1798" s="13" t="s">
        <v>1622</v>
      </c>
      <c r="C1798" s="14" t="s">
        <v>1807</v>
      </c>
      <c r="D1798" s="1"/>
      <c r="E1798" s="1"/>
      <c r="F1798" s="1" t="str">
        <f>IFERROR(__xludf.DUMMYFUNCTION("GOOGLETRANSLATE(B1798, ""en"", ""fa"")
"),"بهینه سازی سئو")</f>
        <v>بهینه سازی سئو</v>
      </c>
      <c r="G1798" s="1" t="str">
        <f>IFERROR(__xludf.DUMMYFUNCTION("GOOGLETRANSLATE(C1798, ""en"", ""fa"")
"),"مزایای بهینه سازی محتوای وب سایت برای تبلیغات جستجوی محلی و کمپین های هدفمند جغرافیایی را بررسی کنید.")</f>
        <v>مزایای بهینه سازی محتوای وب سایت برای تبلیغات جستجوی محلی و کمپین های هدفمند جغرافیایی را بررسی کنید.</v>
      </c>
      <c r="H1798" s="1"/>
      <c r="I1798" s="1"/>
      <c r="J1798" s="1"/>
      <c r="K1798" s="1"/>
      <c r="L1798" s="1"/>
      <c r="M1798" s="1"/>
      <c r="N1798" s="1"/>
      <c r="O1798" s="1"/>
      <c r="P1798" s="1"/>
      <c r="Q1798" s="1"/>
      <c r="R1798" s="1"/>
      <c r="S1798" s="1"/>
      <c r="T1798" s="1"/>
      <c r="U1798" s="1"/>
      <c r="V1798" s="1"/>
      <c r="W1798" s="1"/>
      <c r="X1798" s="1"/>
      <c r="Y1798" s="1"/>
      <c r="Z1798" s="1"/>
      <c r="AA1798" s="1"/>
      <c r="AB1798" s="1"/>
    </row>
    <row r="1799" ht="50.25" customHeight="1">
      <c r="A1799" s="12">
        <v>1795.0</v>
      </c>
      <c r="B1799" s="13" t="s">
        <v>1622</v>
      </c>
      <c r="C1799" s="14" t="s">
        <v>1808</v>
      </c>
      <c r="D1799" s="1"/>
      <c r="E1799" s="1"/>
      <c r="F1799" s="1" t="str">
        <f>IFERROR(__xludf.DUMMYFUNCTION("GOOGLETRANSLATE(B1799, ""en"", ""fa"")
"),"بهینه سازی سئو")</f>
        <v>بهینه سازی سئو</v>
      </c>
      <c r="G1799" s="1" t="str">
        <f>IFERROR(__xludf.DUMMYFUNCTION("GOOGLETRANSLATE(C1799, ""en"", ""fa"")
"),"در مورد نقش تازگی محتوا و به روز رسانی منظم در رتبه بندی سئو و تعامل کاربران بحث کنید.")</f>
        <v>در مورد نقش تازگی محتوا و به روز رسانی منظم در رتبه بندی سئو و تعامل کاربران بحث کنید.</v>
      </c>
      <c r="H1799" s="1"/>
      <c r="I1799" s="1"/>
      <c r="J1799" s="1"/>
      <c r="K1799" s="1"/>
      <c r="L1799" s="1"/>
      <c r="M1799" s="1"/>
      <c r="N1799" s="1"/>
      <c r="O1799" s="1"/>
      <c r="P1799" s="1"/>
      <c r="Q1799" s="1"/>
      <c r="R1799" s="1"/>
      <c r="S1799" s="1"/>
      <c r="T1799" s="1"/>
      <c r="U1799" s="1"/>
      <c r="V1799" s="1"/>
      <c r="W1799" s="1"/>
      <c r="X1799" s="1"/>
      <c r="Y1799" s="1"/>
      <c r="Z1799" s="1"/>
      <c r="AA1799" s="1"/>
      <c r="AB1799" s="1"/>
    </row>
    <row r="1800" ht="50.25" customHeight="1">
      <c r="A1800" s="12">
        <v>1796.0</v>
      </c>
      <c r="B1800" s="13" t="s">
        <v>1622</v>
      </c>
      <c r="C1800" s="14" t="s">
        <v>1809</v>
      </c>
      <c r="D1800" s="1"/>
      <c r="E1800" s="1"/>
      <c r="F1800" s="1" t="str">
        <f>IFERROR(__xludf.DUMMYFUNCTION("GOOGLETRANSLATE(B1800, ""en"", ""fa"")
"),"بهینه سازی سئو")</f>
        <v>بهینه سازی سئو</v>
      </c>
      <c r="G1800" s="1" t="str">
        <f>IFERROR(__xludf.DUMMYFUNCTION("GOOGLETRANSLATE(C1800, ""en"", ""fa"")
"),"نکاتی را برای بهینه سازی محتوای وب سایت برای قرارگیری و تراکم کلمات کلیدی بدون پر کردن کلمات کلیدی به اشتراک بگذارید.")</f>
        <v>نکاتی را برای بهینه سازی محتوای وب سایت برای قرارگیری و تراکم کلمات کلیدی بدون پر کردن کلمات کلیدی به اشتراک بگذارید.</v>
      </c>
      <c r="H1800" s="1"/>
      <c r="I1800" s="1"/>
      <c r="J1800" s="1"/>
      <c r="K1800" s="1"/>
      <c r="L1800" s="1"/>
      <c r="M1800" s="1"/>
      <c r="N1800" s="1"/>
      <c r="O1800" s="1"/>
      <c r="P1800" s="1"/>
      <c r="Q1800" s="1"/>
      <c r="R1800" s="1"/>
      <c r="S1800" s="1"/>
      <c r="T1800" s="1"/>
      <c r="U1800" s="1"/>
      <c r="V1800" s="1"/>
      <c r="W1800" s="1"/>
      <c r="X1800" s="1"/>
      <c r="Y1800" s="1"/>
      <c r="Z1800" s="1"/>
      <c r="AA1800" s="1"/>
      <c r="AB1800" s="1"/>
    </row>
    <row r="1801" ht="50.25" customHeight="1">
      <c r="A1801" s="12">
        <v>1797.0</v>
      </c>
      <c r="B1801" s="13" t="s">
        <v>1622</v>
      </c>
      <c r="C1801" s="14" t="s">
        <v>1810</v>
      </c>
      <c r="D1801" s="1"/>
      <c r="E1801" s="1"/>
      <c r="F1801" s="1" t="str">
        <f>IFERROR(__xludf.DUMMYFUNCTION("GOOGLETRANSLATE(B1801, ""en"", ""fa"")
"),"بهینه سازی سئو")</f>
        <v>بهینه سازی سئو</v>
      </c>
      <c r="G1801" s="1" t="str">
        <f>IFERROR(__xludf.DUMMYFUNCTION("GOOGLETRANSLATE(C1801, ""en"", ""fa"")
"),"مفهوم بهینه‌سازی تصویر و استراتژی‌هایی برای بهبود دید جستجوی تصویر را بررسی کنید.")</f>
        <v>مفهوم بهینه‌سازی تصویر و استراتژی‌هایی برای بهبود دید جستجوی تصویر را بررسی کنید.</v>
      </c>
      <c r="H1801" s="1"/>
      <c r="I1801" s="1"/>
      <c r="J1801" s="1"/>
      <c r="K1801" s="1"/>
      <c r="L1801" s="1"/>
      <c r="M1801" s="1"/>
      <c r="N1801" s="1"/>
      <c r="O1801" s="1"/>
      <c r="P1801" s="1"/>
      <c r="Q1801" s="1"/>
      <c r="R1801" s="1"/>
      <c r="S1801" s="1"/>
      <c r="T1801" s="1"/>
      <c r="U1801" s="1"/>
      <c r="V1801" s="1"/>
      <c r="W1801" s="1"/>
      <c r="X1801" s="1"/>
      <c r="Y1801" s="1"/>
      <c r="Z1801" s="1"/>
      <c r="AA1801" s="1"/>
      <c r="AB1801" s="1"/>
    </row>
    <row r="1802" ht="50.25" customHeight="1">
      <c r="A1802" s="12">
        <v>1798.0</v>
      </c>
      <c r="B1802" s="13" t="s">
        <v>1622</v>
      </c>
      <c r="C1802" s="14" t="s">
        <v>1811</v>
      </c>
      <c r="D1802" s="1"/>
      <c r="E1802" s="1"/>
      <c r="F1802" s="1" t="str">
        <f>IFERROR(__xludf.DUMMYFUNCTION("GOOGLETRANSLATE(B1802, ""en"", ""fa"")
"),"بهینه سازی سئو")</f>
        <v>بهینه سازی سئو</v>
      </c>
      <c r="G1802" s="1" t="str">
        <f>IFERROR(__xludf.DUMMYFUNCTION("GOOGLETRANSLATE(C1802, ""en"", ""fa"")
"),"در مورد اهمیت کیفیت محتوا و ارتباط در بهینه سازی سئو بحث کنید.")</f>
        <v>در مورد اهمیت کیفیت محتوا و ارتباط در بهینه سازی سئو بحث کنید.</v>
      </c>
      <c r="H1802" s="1"/>
      <c r="I1802" s="1"/>
      <c r="J1802" s="1"/>
      <c r="K1802" s="1"/>
      <c r="L1802" s="1"/>
      <c r="M1802" s="1"/>
      <c r="N1802" s="1"/>
      <c r="O1802" s="1"/>
      <c r="P1802" s="1"/>
      <c r="Q1802" s="1"/>
      <c r="R1802" s="1"/>
      <c r="S1802" s="1"/>
      <c r="T1802" s="1"/>
      <c r="U1802" s="1"/>
      <c r="V1802" s="1"/>
      <c r="W1802" s="1"/>
      <c r="X1802" s="1"/>
      <c r="Y1802" s="1"/>
      <c r="Z1802" s="1"/>
      <c r="AA1802" s="1"/>
      <c r="AB1802" s="1"/>
    </row>
    <row r="1803" ht="50.25" customHeight="1">
      <c r="A1803" s="12">
        <v>1799.0</v>
      </c>
      <c r="B1803" s="13" t="s">
        <v>1622</v>
      </c>
      <c r="C1803" s="14" t="s">
        <v>1812</v>
      </c>
      <c r="D1803" s="1"/>
      <c r="E1803" s="1"/>
      <c r="F1803" s="1" t="str">
        <f>IFERROR(__xludf.DUMMYFUNCTION("GOOGLETRANSLATE(B1803, ""en"", ""fa"")
"),"بهینه سازی سئو")</f>
        <v>بهینه سازی سئو</v>
      </c>
      <c r="G1803" s="1" t="str">
        <f>IFERROR(__xludf.DUMMYFUNCTION("GOOGLETRANSLATE(C1803, ""en"", ""fa"")
"),"استراتژی‌هایی برای بهینه‌سازی محتوای وب‌سایت برای قطعه‌های محصول غنی و سئوی تجارت الکترونیک به اشتراک بگذارید.")</f>
        <v>استراتژی‌هایی برای بهینه‌سازی محتوای وب‌سایت برای قطعه‌های محصول غنی و سئوی تجارت الکترونیک به اشتراک بگذارید.</v>
      </c>
      <c r="H1803" s="1"/>
      <c r="I1803" s="1"/>
      <c r="J1803" s="1"/>
      <c r="K1803" s="1"/>
      <c r="L1803" s="1"/>
      <c r="M1803" s="1"/>
      <c r="N1803" s="1"/>
      <c r="O1803" s="1"/>
      <c r="P1803" s="1"/>
      <c r="Q1803" s="1"/>
      <c r="R1803" s="1"/>
      <c r="S1803" s="1"/>
      <c r="T1803" s="1"/>
      <c r="U1803" s="1"/>
      <c r="V1803" s="1"/>
      <c r="W1803" s="1"/>
      <c r="X1803" s="1"/>
      <c r="Y1803" s="1"/>
      <c r="Z1803" s="1"/>
      <c r="AA1803" s="1"/>
      <c r="AB1803" s="1"/>
    </row>
    <row r="1804" ht="50.25" customHeight="1">
      <c r="A1804" s="12">
        <v>1800.0</v>
      </c>
      <c r="B1804" s="13" t="s">
        <v>1622</v>
      </c>
      <c r="C1804" s="14" t="s">
        <v>1813</v>
      </c>
      <c r="D1804" s="1"/>
      <c r="E1804" s="1"/>
      <c r="F1804" s="1" t="str">
        <f>IFERROR(__xludf.DUMMYFUNCTION("GOOGLETRANSLATE(B1804, ""en"", ""fa"")
"),"بهینه سازی سئو")</f>
        <v>بهینه سازی سئو</v>
      </c>
      <c r="G1804" s="1" t="str">
        <f>IFERROR(__xludf.DUMMYFUNCTION("GOOGLETRANSLATE(C1804, ""en"", ""fa"")
"),"مزایای بهینه سازی محتوای وب سایت برای نشانه گذاری معنایی و داده های ساخت یافته را بررسی کنید.")</f>
        <v>مزایای بهینه سازی محتوای وب سایت برای نشانه گذاری معنایی و داده های ساخت یافته را بررسی کنید.</v>
      </c>
      <c r="H1804" s="1"/>
      <c r="I1804" s="1"/>
      <c r="J1804" s="1"/>
      <c r="K1804" s="1"/>
      <c r="L1804" s="1"/>
      <c r="M1804" s="1"/>
      <c r="N1804" s="1"/>
      <c r="O1804" s="1"/>
      <c r="P1804" s="1"/>
      <c r="Q1804" s="1"/>
      <c r="R1804" s="1"/>
      <c r="S1804" s="1"/>
      <c r="T1804" s="1"/>
      <c r="U1804" s="1"/>
      <c r="V1804" s="1"/>
      <c r="W1804" s="1"/>
      <c r="X1804" s="1"/>
      <c r="Y1804" s="1"/>
      <c r="Z1804" s="1"/>
      <c r="AA1804" s="1"/>
      <c r="AB1804" s="1"/>
    </row>
    <row r="1805" ht="50.25" customHeight="1">
      <c r="A1805" s="12">
        <v>1801.0</v>
      </c>
      <c r="B1805" s="13" t="s">
        <v>1622</v>
      </c>
      <c r="C1805" s="14" t="s">
        <v>1814</v>
      </c>
      <c r="D1805" s="1"/>
      <c r="E1805" s="1"/>
      <c r="F1805" s="1" t="str">
        <f>IFERROR(__xludf.DUMMYFUNCTION("GOOGLETRANSLATE(B1805, ""en"", ""fa"")
"),"بهینه سازی سئو")</f>
        <v>بهینه سازی سئو</v>
      </c>
      <c r="G1805" s="1" t="str">
        <f>IFERROR(__xludf.DUMMYFUNCTION("GOOGLETRANSLATE(C1805, ""en"", ""fa"")
"),"در مورد نقش پروفایل های رسانه های اجتماعی و مشارکت در بهینه سازی سئو برند شخصی بحث کنید.")</f>
        <v>در مورد نقش پروفایل های رسانه های اجتماعی و مشارکت در بهینه سازی سئو برند شخصی بحث کنید.</v>
      </c>
      <c r="H1805" s="1"/>
      <c r="I1805" s="1"/>
      <c r="J1805" s="1"/>
      <c r="K1805" s="1"/>
      <c r="L1805" s="1"/>
      <c r="M1805" s="1"/>
      <c r="N1805" s="1"/>
      <c r="O1805" s="1"/>
      <c r="P1805" s="1"/>
      <c r="Q1805" s="1"/>
      <c r="R1805" s="1"/>
      <c r="S1805" s="1"/>
      <c r="T1805" s="1"/>
      <c r="U1805" s="1"/>
      <c r="V1805" s="1"/>
      <c r="W1805" s="1"/>
      <c r="X1805" s="1"/>
      <c r="Y1805" s="1"/>
      <c r="Z1805" s="1"/>
      <c r="AA1805" s="1"/>
      <c r="AB1805" s="1"/>
    </row>
    <row r="1806" ht="50.25" customHeight="1">
      <c r="A1806" s="12">
        <v>1802.0</v>
      </c>
      <c r="B1806" s="13" t="s">
        <v>1622</v>
      </c>
      <c r="C1806" s="14" t="s">
        <v>1815</v>
      </c>
      <c r="D1806" s="1"/>
      <c r="E1806" s="1"/>
      <c r="F1806" s="1" t="str">
        <f>IFERROR(__xludf.DUMMYFUNCTION("GOOGLETRANSLATE(B1806, ""en"", ""fa"")
"),"بهینه سازی سئو")</f>
        <v>بهینه سازی سئو</v>
      </c>
      <c r="G1806" s="1" t="str">
        <f>IFERROR(__xludf.DUMMYFUNCTION("GOOGLETRANSLATE(C1806, ""en"", ""fa"")
"),"نکاتی را برای بهینه سازی محتوای وب سایت برای بررسی های محلی و مدیریت شهرت به اشتراک بگذارید.")</f>
        <v>نکاتی را برای بهینه سازی محتوای وب سایت برای بررسی های محلی و مدیریت شهرت به اشتراک بگذارید.</v>
      </c>
      <c r="H1806" s="1"/>
      <c r="I1806" s="1"/>
      <c r="J1806" s="1"/>
      <c r="K1806" s="1"/>
      <c r="L1806" s="1"/>
      <c r="M1806" s="1"/>
      <c r="N1806" s="1"/>
      <c r="O1806" s="1"/>
      <c r="P1806" s="1"/>
      <c r="Q1806" s="1"/>
      <c r="R1806" s="1"/>
      <c r="S1806" s="1"/>
      <c r="T1806" s="1"/>
      <c r="U1806" s="1"/>
      <c r="V1806" s="1"/>
      <c r="W1806" s="1"/>
      <c r="X1806" s="1"/>
      <c r="Y1806" s="1"/>
      <c r="Z1806" s="1"/>
      <c r="AA1806" s="1"/>
      <c r="AB1806" s="1"/>
    </row>
    <row r="1807" ht="50.25" customHeight="1">
      <c r="A1807" s="12">
        <v>1803.0</v>
      </c>
      <c r="B1807" s="13" t="s">
        <v>1622</v>
      </c>
      <c r="C1807" s="14" t="s">
        <v>1816</v>
      </c>
      <c r="D1807" s="1"/>
      <c r="E1807" s="1"/>
      <c r="F1807" s="1" t="str">
        <f>IFERROR(__xludf.DUMMYFUNCTION("GOOGLETRANSLATE(B1807, ""en"", ""fa"")
"),"بهینه سازی سئو")</f>
        <v>بهینه سازی سئو</v>
      </c>
      <c r="G1807" s="1" t="str">
        <f>IFERROR(__xludf.DUMMYFUNCTION("GOOGLETRANSLATE(C1807, ""en"", ""fa"")
"),"مفهوم هدف و استراتژی های کاربر برای همسویی محتوا با نیازهای کاربر و پرس و جوهای جستجو را بررسی کنید.")</f>
        <v>مفهوم هدف و استراتژی های کاربر برای همسویی محتوا با نیازهای کاربر و پرس و جوهای جستجو را بررسی کنید.</v>
      </c>
      <c r="H1807" s="1"/>
      <c r="I1807" s="1"/>
      <c r="J1807" s="1"/>
      <c r="K1807" s="1"/>
      <c r="L1807" s="1"/>
      <c r="M1807" s="1"/>
      <c r="N1807" s="1"/>
      <c r="O1807" s="1"/>
      <c r="P1807" s="1"/>
      <c r="Q1807" s="1"/>
      <c r="R1807" s="1"/>
      <c r="S1807" s="1"/>
      <c r="T1807" s="1"/>
      <c r="U1807" s="1"/>
      <c r="V1807" s="1"/>
      <c r="W1807" s="1"/>
      <c r="X1807" s="1"/>
      <c r="Y1807" s="1"/>
      <c r="Z1807" s="1"/>
      <c r="AA1807" s="1"/>
      <c r="AB1807" s="1"/>
    </row>
    <row r="1808" ht="50.25" customHeight="1">
      <c r="A1808" s="12">
        <v>1804.0</v>
      </c>
      <c r="B1808" s="13" t="s">
        <v>1622</v>
      </c>
      <c r="C1808" s="14" t="s">
        <v>1817</v>
      </c>
      <c r="D1808" s="1"/>
      <c r="E1808" s="1"/>
      <c r="F1808" s="1" t="str">
        <f>IFERROR(__xludf.DUMMYFUNCTION("GOOGLETRANSLATE(B1808, ""en"", ""fa"")
"),"بهینه سازی سئو")</f>
        <v>بهینه سازی سئو</v>
      </c>
      <c r="G1808" s="1" t="str">
        <f>IFERROR(__xludf.DUMMYFUNCTION("GOOGLETRANSLATE(C1808, ""en"", ""fa"")
"),"در مورد اهمیت بازاریابی محتوای محلی در بهینه سازی سئو و مشارکت جامعه بحث کنید.")</f>
        <v>در مورد اهمیت بازاریابی محتوای محلی در بهینه سازی سئو و مشارکت جامعه بحث کنید.</v>
      </c>
      <c r="H1808" s="1"/>
      <c r="I1808" s="1"/>
      <c r="J1808" s="1"/>
      <c r="K1808" s="1"/>
      <c r="L1808" s="1"/>
      <c r="M1808" s="1"/>
      <c r="N1808" s="1"/>
      <c r="O1808" s="1"/>
      <c r="P1808" s="1"/>
      <c r="Q1808" s="1"/>
      <c r="R1808" s="1"/>
      <c r="S1808" s="1"/>
      <c r="T1808" s="1"/>
      <c r="U1808" s="1"/>
      <c r="V1808" s="1"/>
      <c r="W1808" s="1"/>
      <c r="X1808" s="1"/>
      <c r="Y1808" s="1"/>
      <c r="Z1808" s="1"/>
      <c r="AA1808" s="1"/>
      <c r="AB1808" s="1"/>
    </row>
    <row r="1809" ht="50.25" customHeight="1">
      <c r="A1809" s="12">
        <v>1805.0</v>
      </c>
      <c r="B1809" s="13" t="s">
        <v>1622</v>
      </c>
      <c r="C1809" s="14" t="s">
        <v>1818</v>
      </c>
      <c r="D1809" s="1"/>
      <c r="E1809" s="1"/>
      <c r="F1809" s="1" t="str">
        <f>IFERROR(__xludf.DUMMYFUNCTION("GOOGLETRANSLATE(B1809, ""en"", ""fa"")
"),"بهینه سازی سئو")</f>
        <v>بهینه سازی سئو</v>
      </c>
      <c r="G1809" s="1" t="str">
        <f>IFERROR(__xludf.DUMMYFUNCTION("GOOGLETRANSLATE(C1809, ""en"", ""fa"")
"),"استراتژی های بهینه سازی محتوای وب سایت را برای موتورهای جستجو و دایرکتوری های خاص صنعت به اشتراک بگذارید.")</f>
        <v>استراتژی های بهینه سازی محتوای وب سایت را برای موتورهای جستجو و دایرکتوری های خاص صنعت به اشتراک بگذارید.</v>
      </c>
      <c r="H1809" s="1"/>
      <c r="I1809" s="1"/>
      <c r="J1809" s="1"/>
      <c r="K1809" s="1"/>
      <c r="L1809" s="1"/>
      <c r="M1809" s="1"/>
      <c r="N1809" s="1"/>
      <c r="O1809" s="1"/>
      <c r="P1809" s="1"/>
      <c r="Q1809" s="1"/>
      <c r="R1809" s="1"/>
      <c r="S1809" s="1"/>
      <c r="T1809" s="1"/>
      <c r="U1809" s="1"/>
      <c r="V1809" s="1"/>
      <c r="W1809" s="1"/>
      <c r="X1809" s="1"/>
      <c r="Y1809" s="1"/>
      <c r="Z1809" s="1"/>
      <c r="AA1809" s="1"/>
      <c r="AB1809" s="1"/>
    </row>
    <row r="1810" ht="50.25" customHeight="1">
      <c r="A1810" s="12">
        <v>1806.0</v>
      </c>
      <c r="B1810" s="13" t="s">
        <v>1622</v>
      </c>
      <c r="C1810" s="14" t="s">
        <v>1819</v>
      </c>
      <c r="D1810" s="1"/>
      <c r="E1810" s="1"/>
      <c r="F1810" s="1" t="str">
        <f>IFERROR(__xludf.DUMMYFUNCTION("GOOGLETRANSLATE(B1810, ""en"", ""fa"")
"),"بهینه سازی سئو")</f>
        <v>بهینه سازی سئو</v>
      </c>
      <c r="G1810" s="1" t="str">
        <f>IFERROR(__xludf.DUMMYFUNCTION("GOOGLETRANSLATE(C1810, ""en"", ""fa"")
"),"مزایای بهینه سازی محتوای وب سایت برای جستجوی صوتی محلی و دستگاه های دستیار هوشمند را بررسی کنید.")</f>
        <v>مزایای بهینه سازی محتوای وب سایت برای جستجوی صوتی محلی و دستگاه های دستیار هوشمند را بررسی کنید.</v>
      </c>
      <c r="H1810" s="1"/>
      <c r="I1810" s="1"/>
      <c r="J1810" s="1"/>
      <c r="K1810" s="1"/>
      <c r="L1810" s="1"/>
      <c r="M1810" s="1"/>
      <c r="N1810" s="1"/>
      <c r="O1810" s="1"/>
      <c r="P1810" s="1"/>
      <c r="Q1810" s="1"/>
      <c r="R1810" s="1"/>
      <c r="S1810" s="1"/>
      <c r="T1810" s="1"/>
      <c r="U1810" s="1"/>
      <c r="V1810" s="1"/>
      <c r="W1810" s="1"/>
      <c r="X1810" s="1"/>
      <c r="Y1810" s="1"/>
      <c r="Z1810" s="1"/>
      <c r="AA1810" s="1"/>
      <c r="AB1810" s="1"/>
    </row>
    <row r="1811" ht="50.25" customHeight="1">
      <c r="A1811" s="12">
        <v>1807.0</v>
      </c>
      <c r="B1811" s="13" t="s">
        <v>1622</v>
      </c>
      <c r="C1811" s="14" t="s">
        <v>1820</v>
      </c>
      <c r="D1811" s="1"/>
      <c r="E1811" s="1"/>
      <c r="F1811" s="1" t="str">
        <f>IFERROR(__xludf.DUMMYFUNCTION("GOOGLETRANSLATE(B1811, ""en"", ""fa"")
"),"بهینه سازی سئو")</f>
        <v>بهینه سازی سئو</v>
      </c>
      <c r="G1811" s="1" t="str">
        <f>IFERROR(__xludf.DUMMYFUNCTION("GOOGLETRANSLATE(C1811, ""en"", ""fa"")
"),"در مورد نقش پیوند محتوا و وبلاگ نویسی مهمان در بهینه سازی سئو و قرار گرفتن در معرض نام تجاری بحث کنید.")</f>
        <v>در مورد نقش پیوند محتوا و وبلاگ نویسی مهمان در بهینه سازی سئو و قرار گرفتن در معرض نام تجاری بحث کنید.</v>
      </c>
      <c r="H1811" s="1"/>
      <c r="I1811" s="1"/>
      <c r="J1811" s="1"/>
      <c r="K1811" s="1"/>
      <c r="L1811" s="1"/>
      <c r="M1811" s="1"/>
      <c r="N1811" s="1"/>
      <c r="O1811" s="1"/>
      <c r="P1811" s="1"/>
      <c r="Q1811" s="1"/>
      <c r="R1811" s="1"/>
      <c r="S1811" s="1"/>
      <c r="T1811" s="1"/>
      <c r="U1811" s="1"/>
      <c r="V1811" s="1"/>
      <c r="W1811" s="1"/>
      <c r="X1811" s="1"/>
      <c r="Y1811" s="1"/>
      <c r="Z1811" s="1"/>
      <c r="AA1811" s="1"/>
      <c r="AB1811" s="1"/>
    </row>
    <row r="1812" ht="50.25" customHeight="1">
      <c r="A1812" s="12">
        <v>1808.0</v>
      </c>
      <c r="B1812" s="13" t="s">
        <v>1622</v>
      </c>
      <c r="C1812" s="14" t="s">
        <v>1821</v>
      </c>
      <c r="D1812" s="1"/>
      <c r="E1812" s="1"/>
      <c r="F1812" s="1" t="str">
        <f>IFERROR(__xludf.DUMMYFUNCTION("GOOGLETRANSLATE(B1812, ""en"", ""fa"")
"),"بهینه سازی سئو")</f>
        <v>بهینه سازی سئو</v>
      </c>
      <c r="G1812" s="1" t="str">
        <f>IFERROR(__xludf.DUMMYFUNCTION("GOOGLETRANSLATE(C1812, ""en"", ""fa"")
"),"نکاتی را برای بهینه‌سازی محتوای وب‌سایت برای قطعه‌های ویژه و نمایش به‌عنوان یک منبع دانش به اشتراک بگذارید.")</f>
        <v>نکاتی را برای بهینه‌سازی محتوای وب‌سایت برای قطعه‌های ویژه و نمایش به‌عنوان یک منبع دانش به اشتراک بگذارید.</v>
      </c>
      <c r="H1812" s="1"/>
      <c r="I1812" s="1"/>
      <c r="J1812" s="1"/>
      <c r="K1812" s="1"/>
      <c r="L1812" s="1"/>
      <c r="M1812" s="1"/>
      <c r="N1812" s="1"/>
      <c r="O1812" s="1"/>
      <c r="P1812" s="1"/>
      <c r="Q1812" s="1"/>
      <c r="R1812" s="1"/>
      <c r="S1812" s="1"/>
      <c r="T1812" s="1"/>
      <c r="U1812" s="1"/>
      <c r="V1812" s="1"/>
      <c r="W1812" s="1"/>
      <c r="X1812" s="1"/>
      <c r="Y1812" s="1"/>
      <c r="Z1812" s="1"/>
      <c r="AA1812" s="1"/>
      <c r="AB1812" s="1"/>
    </row>
    <row r="1813" ht="50.25" customHeight="1">
      <c r="A1813" s="12">
        <v>1809.0</v>
      </c>
      <c r="B1813" s="13" t="s">
        <v>1622</v>
      </c>
      <c r="C1813" s="14" t="s">
        <v>1822</v>
      </c>
      <c r="D1813" s="1"/>
      <c r="E1813" s="1"/>
      <c r="F1813" s="1" t="str">
        <f>IFERROR(__xludf.DUMMYFUNCTION("GOOGLETRANSLATE(B1813, ""en"", ""fa"")
"),"بهینه سازی سئو")</f>
        <v>بهینه سازی سئو</v>
      </c>
      <c r="G1813" s="1" t="str">
        <f>IFERROR(__xludf.DUMMYFUNCTION("GOOGLETRANSLATE(C1813, ""en"", ""fa"")
"),"مفهوم سیگنال های تعامل کاربر و تاثیر آنها بر رتبه بندی سئو را بررسی کنید.")</f>
        <v>مفهوم سیگنال های تعامل کاربر و تاثیر آنها بر رتبه بندی سئو را بررسی کنید.</v>
      </c>
      <c r="H1813" s="1"/>
      <c r="I1813" s="1"/>
      <c r="J1813" s="1"/>
      <c r="K1813" s="1"/>
      <c r="L1813" s="1"/>
      <c r="M1813" s="1"/>
      <c r="N1813" s="1"/>
      <c r="O1813" s="1"/>
      <c r="P1813" s="1"/>
      <c r="Q1813" s="1"/>
      <c r="R1813" s="1"/>
      <c r="S1813" s="1"/>
      <c r="T1813" s="1"/>
      <c r="U1813" s="1"/>
      <c r="V1813" s="1"/>
      <c r="W1813" s="1"/>
      <c r="X1813" s="1"/>
      <c r="Y1813" s="1"/>
      <c r="Z1813" s="1"/>
      <c r="AA1813" s="1"/>
      <c r="AB1813" s="1"/>
    </row>
    <row r="1814" ht="50.25" customHeight="1">
      <c r="A1814" s="12">
        <v>1810.0</v>
      </c>
      <c r="B1814" s="13" t="s">
        <v>1622</v>
      </c>
      <c r="C1814" s="14" t="s">
        <v>1823</v>
      </c>
      <c r="D1814" s="1"/>
      <c r="E1814" s="1"/>
      <c r="F1814" s="1" t="str">
        <f>IFERROR(__xludf.DUMMYFUNCTION("GOOGLETRANSLATE(B1814, ""en"", ""fa"")
"),"بهینه سازی سئو")</f>
        <v>بهینه سازی سئو</v>
      </c>
      <c r="G1814" s="1" t="str">
        <f>IFERROR(__xludf.DUMMYFUNCTION("GOOGLETRANSLATE(C1814, ""en"", ""fa"")
"),"در مورد اهمیت تحقیق رقبا در بهینه سازی سئو و استراتژی های تمایز از رقبا بحث کنید.")</f>
        <v>در مورد اهمیت تحقیق رقبا در بهینه سازی سئو و استراتژی های تمایز از رقبا بحث کنید.</v>
      </c>
      <c r="H1814" s="1"/>
      <c r="I1814" s="1"/>
      <c r="J1814" s="1"/>
      <c r="K1814" s="1"/>
      <c r="L1814" s="1"/>
      <c r="M1814" s="1"/>
      <c r="N1814" s="1"/>
      <c r="O1814" s="1"/>
      <c r="P1814" s="1"/>
      <c r="Q1814" s="1"/>
      <c r="R1814" s="1"/>
      <c r="S1814" s="1"/>
      <c r="T1814" s="1"/>
      <c r="U1814" s="1"/>
      <c r="V1814" s="1"/>
      <c r="W1814" s="1"/>
      <c r="X1814" s="1"/>
      <c r="Y1814" s="1"/>
      <c r="Z1814" s="1"/>
      <c r="AA1814" s="1"/>
      <c r="AB1814" s="1"/>
    </row>
    <row r="1815" ht="50.25" customHeight="1">
      <c r="A1815" s="12">
        <v>1811.0</v>
      </c>
      <c r="B1815" s="13" t="s">
        <v>1824</v>
      </c>
      <c r="C1815" s="14" t="s">
        <v>1825</v>
      </c>
      <c r="D1815" s="1"/>
      <c r="E1815" s="1"/>
      <c r="F1815" s="1" t="str">
        <f>IFERROR(__xludf.DUMMYFUNCTION("GOOGLETRANSLATE(B1815, ""en"", ""fa"")
"),"وبلاگ نویسی")</f>
        <v>وبلاگ نویسی</v>
      </c>
      <c r="G1815" s="1" t="str">
        <f>IFERROR(__xludf.DUMMYFUNCTION("GOOGLETRANSLATE(C1815, ""en"", ""fa"")
"),"نکاتی را برای انتخاب جایگاه مناسب برای وبلاگ خود و شناسایی مخاطبان هدف به اشتراک بگذارید.")</f>
        <v>نکاتی را برای انتخاب جایگاه مناسب برای وبلاگ خود و شناسایی مخاطبان هدف به اشتراک بگذارید.</v>
      </c>
      <c r="H1815" s="1"/>
      <c r="I1815" s="1"/>
      <c r="J1815" s="1"/>
      <c r="K1815" s="1"/>
      <c r="L1815" s="1"/>
      <c r="M1815" s="1"/>
      <c r="N1815" s="1"/>
      <c r="O1815" s="1"/>
      <c r="P1815" s="1"/>
      <c r="Q1815" s="1"/>
      <c r="R1815" s="1"/>
      <c r="S1815" s="1"/>
      <c r="T1815" s="1"/>
      <c r="U1815" s="1"/>
      <c r="V1815" s="1"/>
      <c r="W1815" s="1"/>
      <c r="X1815" s="1"/>
      <c r="Y1815" s="1"/>
      <c r="Z1815" s="1"/>
      <c r="AA1815" s="1"/>
      <c r="AB1815" s="1"/>
    </row>
    <row r="1816" ht="50.25" customHeight="1">
      <c r="A1816" s="12">
        <v>1812.0</v>
      </c>
      <c r="B1816" s="13" t="s">
        <v>1824</v>
      </c>
      <c r="C1816" s="14" t="s">
        <v>1826</v>
      </c>
      <c r="D1816" s="1"/>
      <c r="E1816" s="1"/>
      <c r="F1816" s="1" t="str">
        <f>IFERROR(__xludf.DUMMYFUNCTION("GOOGLETRANSLATE(B1816, ""en"", ""fa"")
"),"وبلاگ نویسی")</f>
        <v>وبلاگ نویسی</v>
      </c>
      <c r="G1816" s="1" t="str">
        <f>IFERROR(__xludf.DUMMYFUNCTION("GOOGLETRANSLATE(C1816, ""en"", ""fa"")
"),"در مورد اهمیت ایجاد یک تقویم سرمقاله برای وبلاگ نویسی منظم و منظم بحث کنید.")</f>
        <v>در مورد اهمیت ایجاد یک تقویم سرمقاله برای وبلاگ نویسی منظم و منظم بحث کنید.</v>
      </c>
      <c r="H1816" s="1"/>
      <c r="I1816" s="1"/>
      <c r="J1816" s="1"/>
      <c r="K1816" s="1"/>
      <c r="L1816" s="1"/>
      <c r="M1816" s="1"/>
      <c r="N1816" s="1"/>
      <c r="O1816" s="1"/>
      <c r="P1816" s="1"/>
      <c r="Q1816" s="1"/>
      <c r="R1816" s="1"/>
      <c r="S1816" s="1"/>
      <c r="T1816" s="1"/>
      <c r="U1816" s="1"/>
      <c r="V1816" s="1"/>
      <c r="W1816" s="1"/>
      <c r="X1816" s="1"/>
      <c r="Y1816" s="1"/>
      <c r="Z1816" s="1"/>
      <c r="AA1816" s="1"/>
      <c r="AB1816" s="1"/>
    </row>
    <row r="1817" ht="50.25" customHeight="1">
      <c r="A1817" s="12">
        <v>1813.0</v>
      </c>
      <c r="B1817" s="13" t="s">
        <v>1824</v>
      </c>
      <c r="C1817" s="14" t="s">
        <v>1827</v>
      </c>
      <c r="D1817" s="1"/>
      <c r="E1817" s="1"/>
      <c r="F1817" s="1" t="str">
        <f>IFERROR(__xludf.DUMMYFUNCTION("GOOGLETRANSLATE(B1817, ""en"", ""fa"")
"),"وبلاگ نویسی")</f>
        <v>وبلاگ نویسی</v>
      </c>
      <c r="G1817" s="1" t="str">
        <f>IFERROR(__xludf.DUMMYFUNCTION("GOOGLETRANSLATE(C1817, ""en"", ""fa"")
"),"انواع مختلف قالب‌های پست وبلاگ، مانند فهرست‌ها، آموزش‌ها و مصاحبه‌ها و اثربخشی آنها را بررسی کنید.")</f>
        <v>انواع مختلف قالب‌های پست وبلاگ، مانند فهرست‌ها، آموزش‌ها و مصاحبه‌ها و اثربخشی آنها را بررسی کنید.</v>
      </c>
      <c r="H1817" s="1"/>
      <c r="I1817" s="1"/>
      <c r="J1817" s="1"/>
      <c r="K1817" s="1"/>
      <c r="L1817" s="1"/>
      <c r="M1817" s="1"/>
      <c r="N1817" s="1"/>
      <c r="O1817" s="1"/>
      <c r="P1817" s="1"/>
      <c r="Q1817" s="1"/>
      <c r="R1817" s="1"/>
      <c r="S1817" s="1"/>
      <c r="T1817" s="1"/>
      <c r="U1817" s="1"/>
      <c r="V1817" s="1"/>
      <c r="W1817" s="1"/>
      <c r="X1817" s="1"/>
      <c r="Y1817" s="1"/>
      <c r="Z1817" s="1"/>
      <c r="AA1817" s="1"/>
      <c r="AB1817" s="1"/>
    </row>
    <row r="1818" ht="50.25" customHeight="1">
      <c r="A1818" s="12">
        <v>1814.0</v>
      </c>
      <c r="B1818" s="13" t="s">
        <v>1824</v>
      </c>
      <c r="C1818" s="14" t="s">
        <v>1828</v>
      </c>
      <c r="D1818" s="1"/>
      <c r="E1818" s="1"/>
      <c r="F1818" s="1" t="str">
        <f>IFERROR(__xludf.DUMMYFUNCTION("GOOGLETRANSLATE(B1818, ""en"", ""fa"")
"),"وبلاگ نویسی")</f>
        <v>وبلاگ نویسی</v>
      </c>
      <c r="G1818" s="1" t="str">
        <f>IFERROR(__xludf.DUMMYFUNCTION("GOOGLETRANSLATE(C1818, ""en"", ""fa"")
"),"استراتژی هایی برای ایده های جذاب پست وبلاگ و غلبه بر بلوک نویسنده را به اشتراک بگذارید.")</f>
        <v>استراتژی هایی برای ایده های جذاب پست وبلاگ و غلبه بر بلوک نویسنده را به اشتراک بگذارید.</v>
      </c>
      <c r="H1818" s="1"/>
      <c r="I1818" s="1"/>
      <c r="J1818" s="1"/>
      <c r="K1818" s="1"/>
      <c r="L1818" s="1"/>
      <c r="M1818" s="1"/>
      <c r="N1818" s="1"/>
      <c r="O1818" s="1"/>
      <c r="P1818" s="1"/>
      <c r="Q1818" s="1"/>
      <c r="R1818" s="1"/>
      <c r="S1818" s="1"/>
      <c r="T1818" s="1"/>
      <c r="U1818" s="1"/>
      <c r="V1818" s="1"/>
      <c r="W1818" s="1"/>
      <c r="X1818" s="1"/>
      <c r="Y1818" s="1"/>
      <c r="Z1818" s="1"/>
      <c r="AA1818" s="1"/>
      <c r="AB1818" s="1"/>
    </row>
    <row r="1819" ht="50.25" customHeight="1">
      <c r="A1819" s="12">
        <v>1815.0</v>
      </c>
      <c r="B1819" s="13" t="s">
        <v>1824</v>
      </c>
      <c r="C1819" s="14" t="s">
        <v>1829</v>
      </c>
      <c r="D1819" s="1"/>
      <c r="E1819" s="1"/>
      <c r="F1819" s="1" t="str">
        <f>IFERROR(__xludf.DUMMYFUNCTION("GOOGLETRANSLATE(B1819, ""en"", ""fa"")
"),"وبلاگ نویسی")</f>
        <v>وبلاگ نویسی</v>
      </c>
      <c r="G1819" s="1" t="str">
        <f>IFERROR(__xludf.DUMMYFUNCTION("GOOGLETRANSLATE(C1819, ""en"", ""fa"")
"),"در مورد اهمیت ایجاد عناوین پست وبلاگ قانع کننده که توجه خوانندگان را به خود جلب می کند، بحث کنید.")</f>
        <v>در مورد اهمیت ایجاد عناوین پست وبلاگ قانع کننده که توجه خوانندگان را به خود جلب می کند، بحث کنید.</v>
      </c>
      <c r="H1819" s="1"/>
      <c r="I1819" s="1"/>
      <c r="J1819" s="1"/>
      <c r="K1819" s="1"/>
      <c r="L1819" s="1"/>
      <c r="M1819" s="1"/>
      <c r="N1819" s="1"/>
      <c r="O1819" s="1"/>
      <c r="P1819" s="1"/>
      <c r="Q1819" s="1"/>
      <c r="R1819" s="1"/>
      <c r="S1819" s="1"/>
      <c r="T1819" s="1"/>
      <c r="U1819" s="1"/>
      <c r="V1819" s="1"/>
      <c r="W1819" s="1"/>
      <c r="X1819" s="1"/>
      <c r="Y1819" s="1"/>
      <c r="Z1819" s="1"/>
      <c r="AA1819" s="1"/>
      <c r="AB1819" s="1"/>
    </row>
    <row r="1820" ht="50.25" customHeight="1">
      <c r="A1820" s="12">
        <v>1816.0</v>
      </c>
      <c r="B1820" s="13" t="s">
        <v>1824</v>
      </c>
      <c r="C1820" s="14" t="s">
        <v>1830</v>
      </c>
      <c r="D1820" s="1"/>
      <c r="E1820" s="1"/>
      <c r="F1820" s="1" t="str">
        <f>IFERROR(__xludf.DUMMYFUNCTION("GOOGLETRANSLATE(B1820, ""en"", ""fa"")
"),"وبلاگ نویسی")</f>
        <v>وبلاگ نویسی</v>
      </c>
      <c r="G1820" s="1" t="str">
        <f>IFERROR(__xludf.DUMMYFUNCTION("GOOGLETRANSLATE(C1820, ""en"", ""fa"")
"),"راه های مختلف برای کسب درآمد از وبلاگ خود را کاوش کنید، مانند بازاریابی وابسته، محتوای حمایت شده و محصولات دیجیتال.")</f>
        <v>راه های مختلف برای کسب درآمد از وبلاگ خود را کاوش کنید، مانند بازاریابی وابسته، محتوای حمایت شده و محصولات دیجیتال.</v>
      </c>
      <c r="H1820" s="1"/>
      <c r="I1820" s="1"/>
      <c r="J1820" s="1"/>
      <c r="K1820" s="1"/>
      <c r="L1820" s="1"/>
      <c r="M1820" s="1"/>
      <c r="N1820" s="1"/>
      <c r="O1820" s="1"/>
      <c r="P1820" s="1"/>
      <c r="Q1820" s="1"/>
      <c r="R1820" s="1"/>
      <c r="S1820" s="1"/>
      <c r="T1820" s="1"/>
      <c r="U1820" s="1"/>
      <c r="V1820" s="1"/>
      <c r="W1820" s="1"/>
      <c r="X1820" s="1"/>
      <c r="Y1820" s="1"/>
      <c r="Z1820" s="1"/>
      <c r="AA1820" s="1"/>
      <c r="AB1820" s="1"/>
    </row>
    <row r="1821" ht="50.25" customHeight="1">
      <c r="A1821" s="12">
        <v>1817.0</v>
      </c>
      <c r="B1821" s="13" t="s">
        <v>1824</v>
      </c>
      <c r="C1821" s="14" t="s">
        <v>1831</v>
      </c>
      <c r="D1821" s="1"/>
      <c r="E1821" s="1"/>
      <c r="F1821" s="1" t="str">
        <f>IFERROR(__xludf.DUMMYFUNCTION("GOOGLETRANSLATE(B1821, ""en"", ""fa"")
"),"وبلاگ نویسی")</f>
        <v>وبلاگ نویسی</v>
      </c>
      <c r="G1821" s="1" t="str">
        <f>IFERROR(__xludf.DUMMYFUNCTION("GOOGLETRANSLATE(C1821, ""en"", ""fa"")
"),"نکاتی را برای بهینه سازی پست های وبلاگ برای موتورهای جستجو و بهبود ترافیک ارگانیک به اشتراک بگذارید.")</f>
        <v>نکاتی را برای بهینه سازی پست های وبلاگ برای موتورهای جستجو و بهبود ترافیک ارگانیک به اشتراک بگذارید.</v>
      </c>
      <c r="H1821" s="1"/>
      <c r="I1821" s="1"/>
      <c r="J1821" s="1"/>
      <c r="K1821" s="1"/>
      <c r="L1821" s="1"/>
      <c r="M1821" s="1"/>
      <c r="N1821" s="1"/>
      <c r="O1821" s="1"/>
      <c r="P1821" s="1"/>
      <c r="Q1821" s="1"/>
      <c r="R1821" s="1"/>
      <c r="S1821" s="1"/>
      <c r="T1821" s="1"/>
      <c r="U1821" s="1"/>
      <c r="V1821" s="1"/>
      <c r="W1821" s="1"/>
      <c r="X1821" s="1"/>
      <c r="Y1821" s="1"/>
      <c r="Z1821" s="1"/>
      <c r="AA1821" s="1"/>
      <c r="AB1821" s="1"/>
    </row>
    <row r="1822" ht="50.25" customHeight="1">
      <c r="A1822" s="12">
        <v>1818.0</v>
      </c>
      <c r="B1822" s="13" t="s">
        <v>1824</v>
      </c>
      <c r="C1822" s="14" t="s">
        <v>1832</v>
      </c>
      <c r="D1822" s="1"/>
      <c r="E1822" s="1"/>
      <c r="F1822" s="1" t="str">
        <f>IFERROR(__xludf.DUMMYFUNCTION("GOOGLETRANSLATE(B1822, ""en"", ""fa"")
"),"وبلاگ نویسی")</f>
        <v>وبلاگ نویسی</v>
      </c>
      <c r="G1822" s="1" t="str">
        <f>IFERROR(__xludf.DUMMYFUNCTION("GOOGLETRANSLATE(C1822, ""en"", ""fa"")
"),"در مورد نقش داستان سرایی در وبلاگ نویسی و چگونگی ایجاد روایت های جذاب بحث کنید.")</f>
        <v>در مورد نقش داستان سرایی در وبلاگ نویسی و چگونگی ایجاد روایت های جذاب بحث کنید.</v>
      </c>
      <c r="H1822" s="1"/>
      <c r="I1822" s="1"/>
      <c r="J1822" s="1"/>
      <c r="K1822" s="1"/>
      <c r="L1822" s="1"/>
      <c r="M1822" s="1"/>
      <c r="N1822" s="1"/>
      <c r="O1822" s="1"/>
      <c r="P1822" s="1"/>
      <c r="Q1822" s="1"/>
      <c r="R1822" s="1"/>
      <c r="S1822" s="1"/>
      <c r="T1822" s="1"/>
      <c r="U1822" s="1"/>
      <c r="V1822" s="1"/>
      <c r="W1822" s="1"/>
      <c r="X1822" s="1"/>
      <c r="Y1822" s="1"/>
      <c r="Z1822" s="1"/>
      <c r="AA1822" s="1"/>
      <c r="AB1822" s="1"/>
    </row>
    <row r="1823" ht="50.25" customHeight="1">
      <c r="A1823" s="12">
        <v>1819.0</v>
      </c>
      <c r="B1823" s="13" t="s">
        <v>1824</v>
      </c>
      <c r="C1823" s="14" t="s">
        <v>1833</v>
      </c>
      <c r="D1823" s="1"/>
      <c r="E1823" s="1"/>
      <c r="F1823" s="1" t="str">
        <f>IFERROR(__xludf.DUMMYFUNCTION("GOOGLETRANSLATE(B1823, ""en"", ""fa"")
"),"وبلاگ نویسی")</f>
        <v>وبلاگ نویسی</v>
      </c>
      <c r="G1823" s="1" t="str">
        <f>IFERROR(__xludf.DUMMYFUNCTION("GOOGLETRANSLATE(C1823, ""en"", ""fa"")
"),"مزایای وبلاگ نویسی مهمان و نحوه ارائه و همکاری با وبلاگ نویسان دیگر را بررسی کنید.")</f>
        <v>مزایای وبلاگ نویسی مهمان و نحوه ارائه و همکاری با وبلاگ نویسان دیگر را بررسی کنید.</v>
      </c>
      <c r="H1823" s="1"/>
      <c r="I1823" s="1"/>
      <c r="J1823" s="1"/>
      <c r="K1823" s="1"/>
      <c r="L1823" s="1"/>
      <c r="M1823" s="1"/>
      <c r="N1823" s="1"/>
      <c r="O1823" s="1"/>
      <c r="P1823" s="1"/>
      <c r="Q1823" s="1"/>
      <c r="R1823" s="1"/>
      <c r="S1823" s="1"/>
      <c r="T1823" s="1"/>
      <c r="U1823" s="1"/>
      <c r="V1823" s="1"/>
      <c r="W1823" s="1"/>
      <c r="X1823" s="1"/>
      <c r="Y1823" s="1"/>
      <c r="Z1823" s="1"/>
      <c r="AA1823" s="1"/>
      <c r="AB1823" s="1"/>
    </row>
    <row r="1824" ht="50.25" customHeight="1">
      <c r="A1824" s="12">
        <v>1820.0</v>
      </c>
      <c r="B1824" s="13" t="s">
        <v>1824</v>
      </c>
      <c r="C1824" s="14" t="s">
        <v>1834</v>
      </c>
      <c r="D1824" s="1"/>
      <c r="E1824" s="1"/>
      <c r="F1824" s="1" t="str">
        <f>IFERROR(__xludf.DUMMYFUNCTION("GOOGLETRANSLATE(B1824, ""en"", ""fa"")
"),"وبلاگ نویسی")</f>
        <v>وبلاگ نویسی</v>
      </c>
      <c r="G1824" s="1" t="str">
        <f>IFERROR(__xludf.DUMMYFUNCTION("GOOGLETRANSLATE(C1824, ""en"", ""fa"")
"),"استراتژی هایی را برای تبلیغ وبلاگ خود از طریق رسانه های اجتماعی، بازاریابی ایمیلی و شبکه به اشتراک بگذارید.")</f>
        <v>استراتژی هایی را برای تبلیغ وبلاگ خود از طریق رسانه های اجتماعی، بازاریابی ایمیلی و شبکه به اشتراک بگذارید.</v>
      </c>
      <c r="H1824" s="1"/>
      <c r="I1824" s="1"/>
      <c r="J1824" s="1"/>
      <c r="K1824" s="1"/>
      <c r="L1824" s="1"/>
      <c r="M1824" s="1"/>
      <c r="N1824" s="1"/>
      <c r="O1824" s="1"/>
      <c r="P1824" s="1"/>
      <c r="Q1824" s="1"/>
      <c r="R1824" s="1"/>
      <c r="S1824" s="1"/>
      <c r="T1824" s="1"/>
      <c r="U1824" s="1"/>
      <c r="V1824" s="1"/>
      <c r="W1824" s="1"/>
      <c r="X1824" s="1"/>
      <c r="Y1824" s="1"/>
      <c r="Z1824" s="1"/>
      <c r="AA1824" s="1"/>
      <c r="AB1824" s="1"/>
    </row>
    <row r="1825" ht="50.25" customHeight="1">
      <c r="A1825" s="12">
        <v>1821.0</v>
      </c>
      <c r="B1825" s="13" t="s">
        <v>1824</v>
      </c>
      <c r="C1825" s="14" t="s">
        <v>1835</v>
      </c>
      <c r="D1825" s="1"/>
      <c r="E1825" s="1"/>
      <c r="F1825" s="1" t="str">
        <f>IFERROR(__xludf.DUMMYFUNCTION("GOOGLETRANSLATE(B1825, ""en"", ""fa"")
"),"وبلاگ نویسی")</f>
        <v>وبلاگ نویسی</v>
      </c>
      <c r="G1825" s="1" t="str">
        <f>IFERROR(__xludf.DUMMYFUNCTION("GOOGLETRANSLATE(C1825, ""en"", ""fa"")
"),"درباره اهمیت ایجاد یک لیست ایمیل و استفاده از بازاریابی ایمیلی برای تعامل با مخاطبان وبلاگ خود بحث کنید.")</f>
        <v>درباره اهمیت ایجاد یک لیست ایمیل و استفاده از بازاریابی ایمیلی برای تعامل با مخاطبان وبلاگ خود بحث کنید.</v>
      </c>
      <c r="H1825" s="1"/>
      <c r="I1825" s="1"/>
      <c r="J1825" s="1"/>
      <c r="K1825" s="1"/>
      <c r="L1825" s="1"/>
      <c r="M1825" s="1"/>
      <c r="N1825" s="1"/>
      <c r="O1825" s="1"/>
      <c r="P1825" s="1"/>
      <c r="Q1825" s="1"/>
      <c r="R1825" s="1"/>
      <c r="S1825" s="1"/>
      <c r="T1825" s="1"/>
      <c r="U1825" s="1"/>
      <c r="V1825" s="1"/>
      <c r="W1825" s="1"/>
      <c r="X1825" s="1"/>
      <c r="Y1825" s="1"/>
      <c r="Z1825" s="1"/>
      <c r="AA1825" s="1"/>
      <c r="AB1825" s="1"/>
    </row>
    <row r="1826" ht="50.25" customHeight="1">
      <c r="A1826" s="12">
        <v>1822.0</v>
      </c>
      <c r="B1826" s="13" t="s">
        <v>1824</v>
      </c>
      <c r="C1826" s="14" t="s">
        <v>1836</v>
      </c>
      <c r="D1826" s="1"/>
      <c r="E1826" s="1"/>
      <c r="F1826" s="1" t="str">
        <f>IFERROR(__xludf.DUMMYFUNCTION("GOOGLETRANSLATE(B1826, ""en"", ""fa"")
"),"وبلاگ نویسی")</f>
        <v>وبلاگ نویسی</v>
      </c>
      <c r="G1826" s="1" t="str">
        <f>IFERROR(__xludf.DUMMYFUNCTION("GOOGLETRANSLATE(C1826, ""en"", ""fa"")
"),"عناصر و طرح‌بندی‌های مختلف طراحی وبلاگ را کاوش کنید که تجربه و خوانایی کاربر را افزایش می‌دهد.")</f>
        <v>عناصر و طرح‌بندی‌های مختلف طراحی وبلاگ را کاوش کنید که تجربه و خوانایی کاربر را افزایش می‌دهد.</v>
      </c>
      <c r="H1826" s="1"/>
      <c r="I1826" s="1"/>
      <c r="J1826" s="1"/>
      <c r="K1826" s="1"/>
      <c r="L1826" s="1"/>
      <c r="M1826" s="1"/>
      <c r="N1826" s="1"/>
      <c r="O1826" s="1"/>
      <c r="P1826" s="1"/>
      <c r="Q1826" s="1"/>
      <c r="R1826" s="1"/>
      <c r="S1826" s="1"/>
      <c r="T1826" s="1"/>
      <c r="U1826" s="1"/>
      <c r="V1826" s="1"/>
      <c r="W1826" s="1"/>
      <c r="X1826" s="1"/>
      <c r="Y1826" s="1"/>
      <c r="Z1826" s="1"/>
      <c r="AA1826" s="1"/>
      <c r="AB1826" s="1"/>
    </row>
    <row r="1827" ht="50.25" customHeight="1">
      <c r="A1827" s="12">
        <v>1823.0</v>
      </c>
      <c r="B1827" s="13" t="s">
        <v>1824</v>
      </c>
      <c r="C1827" s="14" t="s">
        <v>1837</v>
      </c>
      <c r="D1827" s="1"/>
      <c r="E1827" s="1"/>
      <c r="F1827" s="1" t="str">
        <f>IFERROR(__xludf.DUMMYFUNCTION("GOOGLETRANSLATE(B1827, ""en"", ""fa"")
"),"وبلاگ نویسی")</f>
        <v>وبلاگ نویسی</v>
      </c>
      <c r="G1827" s="1" t="str">
        <f>IFERROR(__xludf.DUMMYFUNCTION("GOOGLETRANSLATE(C1827, ""en"", ""fa"")
"),"نکاتی را برای نوشتن مقدمه و قلاب های جذاب برای جلب توجه خوانندگان به اشتراک بگذارید.")</f>
        <v>نکاتی را برای نوشتن مقدمه و قلاب های جذاب برای جلب توجه خوانندگان به اشتراک بگذارید.</v>
      </c>
      <c r="H1827" s="1"/>
      <c r="I1827" s="1"/>
      <c r="J1827" s="1"/>
      <c r="K1827" s="1"/>
      <c r="L1827" s="1"/>
      <c r="M1827" s="1"/>
      <c r="N1827" s="1"/>
      <c r="O1827" s="1"/>
      <c r="P1827" s="1"/>
      <c r="Q1827" s="1"/>
      <c r="R1827" s="1"/>
      <c r="S1827" s="1"/>
      <c r="T1827" s="1"/>
      <c r="U1827" s="1"/>
      <c r="V1827" s="1"/>
      <c r="W1827" s="1"/>
      <c r="X1827" s="1"/>
      <c r="Y1827" s="1"/>
      <c r="Z1827" s="1"/>
      <c r="AA1827" s="1"/>
      <c r="AB1827" s="1"/>
    </row>
    <row r="1828" ht="50.25" customHeight="1">
      <c r="A1828" s="12">
        <v>1824.0</v>
      </c>
      <c r="B1828" s="13" t="s">
        <v>1824</v>
      </c>
      <c r="C1828" s="14" t="s">
        <v>1838</v>
      </c>
      <c r="D1828" s="1"/>
      <c r="E1828" s="1"/>
      <c r="F1828" s="1" t="str">
        <f>IFERROR(__xludf.DUMMYFUNCTION("GOOGLETRANSLATE(B1828, ""en"", ""fa"")
"),"وبلاگ نویسی")</f>
        <v>وبلاگ نویسی</v>
      </c>
      <c r="G1828" s="1" t="str">
        <f>IFERROR(__xludf.DUMMYFUNCTION("GOOGLETRANSLATE(C1828, ""en"", ""fa"")
"),"در مورد نقش تصاویر، مانند تصاویر، اینفوگرافیک ها و ویدئوها در افزایش محتوای وبلاگ بحث کنید.")</f>
        <v>در مورد نقش تصاویر، مانند تصاویر، اینفوگرافیک ها و ویدئوها در افزایش محتوای وبلاگ بحث کنید.</v>
      </c>
      <c r="H1828" s="1"/>
      <c r="I1828" s="1"/>
      <c r="J1828" s="1"/>
      <c r="K1828" s="1"/>
      <c r="L1828" s="1"/>
      <c r="M1828" s="1"/>
      <c r="N1828" s="1"/>
      <c r="O1828" s="1"/>
      <c r="P1828" s="1"/>
      <c r="Q1828" s="1"/>
      <c r="R1828" s="1"/>
      <c r="S1828" s="1"/>
      <c r="T1828" s="1"/>
      <c r="U1828" s="1"/>
      <c r="V1828" s="1"/>
      <c r="W1828" s="1"/>
      <c r="X1828" s="1"/>
      <c r="Y1828" s="1"/>
      <c r="Z1828" s="1"/>
      <c r="AA1828" s="1"/>
      <c r="AB1828" s="1"/>
    </row>
    <row r="1829" ht="50.25" customHeight="1">
      <c r="A1829" s="12">
        <v>1825.0</v>
      </c>
      <c r="B1829" s="13" t="s">
        <v>1824</v>
      </c>
      <c r="C1829" s="14" t="s">
        <v>1839</v>
      </c>
      <c r="D1829" s="1"/>
      <c r="E1829" s="1"/>
      <c r="F1829" s="1" t="str">
        <f>IFERROR(__xludf.DUMMYFUNCTION("GOOGLETRANSLATE(B1829, ""en"", ""fa"")
"),"وبلاگ نویسی")</f>
        <v>وبلاگ نویسی</v>
      </c>
      <c r="G1829" s="1" t="str">
        <f>IFERROR(__xludf.DUMMYFUNCTION("GOOGLETRANSLATE(C1829, ""en"", ""fa"")
"),"مزایای استفاده از تکنیک های داستان سرایی را در پست های وبلاگ خود کاوش کنید.")</f>
        <v>مزایای استفاده از تکنیک های داستان سرایی را در پست های وبلاگ خود کاوش کنید.</v>
      </c>
      <c r="H1829" s="1"/>
      <c r="I1829" s="1"/>
      <c r="J1829" s="1"/>
      <c r="K1829" s="1"/>
      <c r="L1829" s="1"/>
      <c r="M1829" s="1"/>
      <c r="N1829" s="1"/>
      <c r="O1829" s="1"/>
      <c r="P1829" s="1"/>
      <c r="Q1829" s="1"/>
      <c r="R1829" s="1"/>
      <c r="S1829" s="1"/>
      <c r="T1829" s="1"/>
      <c r="U1829" s="1"/>
      <c r="V1829" s="1"/>
      <c r="W1829" s="1"/>
      <c r="X1829" s="1"/>
      <c r="Y1829" s="1"/>
      <c r="Z1829" s="1"/>
      <c r="AA1829" s="1"/>
      <c r="AB1829" s="1"/>
    </row>
    <row r="1830" ht="50.25" customHeight="1">
      <c r="A1830" s="12">
        <v>1826.0</v>
      </c>
      <c r="B1830" s="13" t="s">
        <v>1824</v>
      </c>
      <c r="C1830" s="14" t="s">
        <v>1840</v>
      </c>
      <c r="D1830" s="1"/>
      <c r="E1830" s="1"/>
      <c r="F1830" s="1" t="str">
        <f>IFERROR(__xludf.DUMMYFUNCTION("GOOGLETRANSLATE(B1830, ""en"", ""fa"")
"),"وبلاگ نویسی")</f>
        <v>وبلاگ نویسی</v>
      </c>
      <c r="G1830" s="1" t="str">
        <f>IFERROR(__xludf.DUMMYFUNCTION("GOOGLETRANSLATE(C1830, ""en"", ""fa"")
"),"استراتژی های ایجاد یک جامعه وبلاگ وفادار و تقویت تعامل خواننده را از طریق نظرات و بحث ها به اشتراک بگذارید.")</f>
        <v>استراتژی های ایجاد یک جامعه وبلاگ وفادار و تقویت تعامل خواننده را از طریق نظرات و بحث ها به اشتراک بگذارید.</v>
      </c>
      <c r="H1830" s="1"/>
      <c r="I1830" s="1"/>
      <c r="J1830" s="1"/>
      <c r="K1830" s="1"/>
      <c r="L1830" s="1"/>
      <c r="M1830" s="1"/>
      <c r="N1830" s="1"/>
      <c r="O1830" s="1"/>
      <c r="P1830" s="1"/>
      <c r="Q1830" s="1"/>
      <c r="R1830" s="1"/>
      <c r="S1830" s="1"/>
      <c r="T1830" s="1"/>
      <c r="U1830" s="1"/>
      <c r="V1830" s="1"/>
      <c r="W1830" s="1"/>
      <c r="X1830" s="1"/>
      <c r="Y1830" s="1"/>
      <c r="Z1830" s="1"/>
      <c r="AA1830" s="1"/>
      <c r="AB1830" s="1"/>
    </row>
    <row r="1831" ht="50.25" customHeight="1">
      <c r="A1831" s="12">
        <v>1827.0</v>
      </c>
      <c r="B1831" s="13" t="s">
        <v>1824</v>
      </c>
      <c r="C1831" s="14" t="s">
        <v>1841</v>
      </c>
      <c r="D1831" s="1"/>
      <c r="E1831" s="1"/>
      <c r="F1831" s="1" t="str">
        <f>IFERROR(__xludf.DUMMYFUNCTION("GOOGLETRANSLATE(B1831, ""en"", ""fa"")
"),"وبلاگ نویسی")</f>
        <v>وبلاگ نویسی</v>
      </c>
      <c r="G1831" s="1" t="str">
        <f>IFERROR(__xludf.DUMMYFUNCTION("GOOGLETRANSLATE(C1831, ""en"", ""fa"")
"),"در مورد اهمیت انجام تحقیقات کلمات کلیدی و ترکیب بهترین شیوه های سئو در نوشتن وبلاگ بحث کنید.")</f>
        <v>در مورد اهمیت انجام تحقیقات کلمات کلیدی و ترکیب بهترین شیوه های سئو در نوشتن وبلاگ بحث کنید.</v>
      </c>
      <c r="H1831" s="1"/>
      <c r="I1831" s="1"/>
      <c r="J1831" s="1"/>
      <c r="K1831" s="1"/>
      <c r="L1831" s="1"/>
      <c r="M1831" s="1"/>
      <c r="N1831" s="1"/>
      <c r="O1831" s="1"/>
      <c r="P1831" s="1"/>
      <c r="Q1831" s="1"/>
      <c r="R1831" s="1"/>
      <c r="S1831" s="1"/>
      <c r="T1831" s="1"/>
      <c r="U1831" s="1"/>
      <c r="V1831" s="1"/>
      <c r="W1831" s="1"/>
      <c r="X1831" s="1"/>
      <c r="Y1831" s="1"/>
      <c r="Z1831" s="1"/>
      <c r="AA1831" s="1"/>
      <c r="AB1831" s="1"/>
    </row>
    <row r="1832" ht="50.25" customHeight="1">
      <c r="A1832" s="12">
        <v>1828.0</v>
      </c>
      <c r="B1832" s="13" t="s">
        <v>1824</v>
      </c>
      <c r="C1832" s="14" t="s">
        <v>1842</v>
      </c>
      <c r="D1832" s="1"/>
      <c r="E1832" s="1"/>
      <c r="F1832" s="1" t="str">
        <f>IFERROR(__xludf.DUMMYFUNCTION("GOOGLETRANSLATE(B1832, ""en"", ""fa"")
"),"وبلاگ نویسی")</f>
        <v>وبلاگ نویسی</v>
      </c>
      <c r="G1832" s="1" t="str">
        <f>IFERROR(__xludf.DUMMYFUNCTION("GOOGLETRANSLATE(C1832, ""en"", ""fa"")
"),"راه‌های مختلف برای استفاده مجدد و بازیافت محتوای وبلاگ برای دستیابی به مخاطبان گسترده‌تری را کاوش کنید.")</f>
        <v>راه‌های مختلف برای استفاده مجدد و بازیافت محتوای وبلاگ برای دستیابی به مخاطبان گسترده‌تری را کاوش کنید.</v>
      </c>
      <c r="H1832" s="1"/>
      <c r="I1832" s="1"/>
      <c r="J1832" s="1"/>
      <c r="K1832" s="1"/>
      <c r="L1832" s="1"/>
      <c r="M1832" s="1"/>
      <c r="N1832" s="1"/>
      <c r="O1832" s="1"/>
      <c r="P1832" s="1"/>
      <c r="Q1832" s="1"/>
      <c r="R1832" s="1"/>
      <c r="S1832" s="1"/>
      <c r="T1832" s="1"/>
      <c r="U1832" s="1"/>
      <c r="V1832" s="1"/>
      <c r="W1832" s="1"/>
      <c r="X1832" s="1"/>
      <c r="Y1832" s="1"/>
      <c r="Z1832" s="1"/>
      <c r="AA1832" s="1"/>
      <c r="AB1832" s="1"/>
    </row>
    <row r="1833" ht="50.25" customHeight="1">
      <c r="A1833" s="12">
        <v>1829.0</v>
      </c>
      <c r="B1833" s="13" t="s">
        <v>1824</v>
      </c>
      <c r="C1833" s="14" t="s">
        <v>1843</v>
      </c>
      <c r="D1833" s="1"/>
      <c r="E1833" s="1"/>
      <c r="F1833" s="1" t="str">
        <f>IFERROR(__xludf.DUMMYFUNCTION("GOOGLETRANSLATE(B1833, ""en"", ""fa"")
"),"وبلاگ نویسی")</f>
        <v>وبلاگ نویسی</v>
      </c>
      <c r="G1833" s="1" t="str">
        <f>IFERROR(__xludf.DUMMYFUNCTION("GOOGLETRANSLATE(C1833, ""en"", ""fa"")
"),"نکاتی را برای ایجاد تماس‌ها برای اقدام مؤثر (CTA) به اشتراک بگذارید تا تعامل و تبدیل خواننده را تشویق کند.")</f>
        <v>نکاتی را برای ایجاد تماس‌ها برای اقدام مؤثر (CTA) به اشتراک بگذارید تا تعامل و تبدیل خواننده را تشویق کند.</v>
      </c>
      <c r="H1833" s="1"/>
      <c r="I1833" s="1"/>
      <c r="J1833" s="1"/>
      <c r="K1833" s="1"/>
      <c r="L1833" s="1"/>
      <c r="M1833" s="1"/>
      <c r="N1833" s="1"/>
      <c r="O1833" s="1"/>
      <c r="P1833" s="1"/>
      <c r="Q1833" s="1"/>
      <c r="R1833" s="1"/>
      <c r="S1833" s="1"/>
      <c r="T1833" s="1"/>
      <c r="U1833" s="1"/>
      <c r="V1833" s="1"/>
      <c r="W1833" s="1"/>
      <c r="X1833" s="1"/>
      <c r="Y1833" s="1"/>
      <c r="Z1833" s="1"/>
      <c r="AA1833" s="1"/>
      <c r="AB1833" s="1"/>
    </row>
    <row r="1834" ht="50.25" customHeight="1">
      <c r="A1834" s="12">
        <v>1830.0</v>
      </c>
      <c r="B1834" s="13" t="s">
        <v>1824</v>
      </c>
      <c r="C1834" s="14" t="s">
        <v>1844</v>
      </c>
      <c r="D1834" s="1"/>
      <c r="E1834" s="1"/>
      <c r="F1834" s="1" t="str">
        <f>IFERROR(__xludf.DUMMYFUNCTION("GOOGLETRANSLATE(B1834, ""en"", ""fa"")
"),"وبلاگ نویسی")</f>
        <v>وبلاگ نویسی</v>
      </c>
      <c r="G1834" s="1" t="str">
        <f>IFERROR(__xludf.DUMMYFUNCTION("GOOGLETRANSLATE(C1834, ""en"", ""fa"")
"),"در مورد نقش وبلاگ نویسی مبتنی بر داده و نحوه استفاده از تجزیه و تحلیل برای بهینه سازی استراتژی محتوای خود بحث کنید.")</f>
        <v>در مورد نقش وبلاگ نویسی مبتنی بر داده و نحوه استفاده از تجزیه و تحلیل برای بهینه سازی استراتژی محتوای خود بحث کنید.</v>
      </c>
      <c r="H1834" s="1"/>
      <c r="I1834" s="1"/>
      <c r="J1834" s="1"/>
      <c r="K1834" s="1"/>
      <c r="L1834" s="1"/>
      <c r="M1834" s="1"/>
      <c r="N1834" s="1"/>
      <c r="O1834" s="1"/>
      <c r="P1834" s="1"/>
      <c r="Q1834" s="1"/>
      <c r="R1834" s="1"/>
      <c r="S1834" s="1"/>
      <c r="T1834" s="1"/>
      <c r="U1834" s="1"/>
      <c r="V1834" s="1"/>
      <c r="W1834" s="1"/>
      <c r="X1834" s="1"/>
      <c r="Y1834" s="1"/>
      <c r="Z1834" s="1"/>
      <c r="AA1834" s="1"/>
      <c r="AB1834" s="1"/>
    </row>
    <row r="1835" ht="50.25" customHeight="1">
      <c r="A1835" s="12">
        <v>1831.0</v>
      </c>
      <c r="B1835" s="13" t="s">
        <v>1824</v>
      </c>
      <c r="C1835" s="14" t="s">
        <v>1845</v>
      </c>
      <c r="D1835" s="1"/>
      <c r="E1835" s="1"/>
      <c r="F1835" s="1" t="str">
        <f>IFERROR(__xludf.DUMMYFUNCTION("GOOGLETRANSLATE(B1835, ""en"", ""fa"")
"),"وبلاگ نویسی")</f>
        <v>وبلاگ نویسی</v>
      </c>
      <c r="G1835" s="1" t="str">
        <f>IFERROR(__xludf.DUMMYFUNCTION("GOOGLETRANSLATE(C1835, ""en"", ""fa"")
"),"مزایای همکاری با سایر وبلاگ نویسان و تأثیرگذاران در پروژه های محتوای مشترک را بررسی کنید.")</f>
        <v>مزایای همکاری با سایر وبلاگ نویسان و تأثیرگذاران در پروژه های محتوای مشترک را بررسی کنید.</v>
      </c>
      <c r="H1835" s="1"/>
      <c r="I1835" s="1"/>
      <c r="J1835" s="1"/>
      <c r="K1835" s="1"/>
      <c r="L1835" s="1"/>
      <c r="M1835" s="1"/>
      <c r="N1835" s="1"/>
      <c r="O1835" s="1"/>
      <c r="P1835" s="1"/>
      <c r="Q1835" s="1"/>
      <c r="R1835" s="1"/>
      <c r="S1835" s="1"/>
      <c r="T1835" s="1"/>
      <c r="U1835" s="1"/>
      <c r="V1835" s="1"/>
      <c r="W1835" s="1"/>
      <c r="X1835" s="1"/>
      <c r="Y1835" s="1"/>
      <c r="Z1835" s="1"/>
      <c r="AA1835" s="1"/>
      <c r="AB1835" s="1"/>
    </row>
    <row r="1836" ht="50.25" customHeight="1">
      <c r="A1836" s="12">
        <v>1832.0</v>
      </c>
      <c r="B1836" s="13" t="s">
        <v>1824</v>
      </c>
      <c r="C1836" s="14" t="s">
        <v>1846</v>
      </c>
      <c r="D1836" s="1"/>
      <c r="E1836" s="1"/>
      <c r="F1836" s="1" t="str">
        <f>IFERROR(__xludf.DUMMYFUNCTION("GOOGLETRANSLATE(B1836, ""en"", ""fa"")
"),"وبلاگ نویسی")</f>
        <v>وبلاگ نویسی</v>
      </c>
      <c r="G1836" s="1" t="str">
        <f>IFERROR(__xludf.DUMMYFUNCTION("GOOGLETRANSLATE(C1836, ""en"", ""fa"")
"),"استراتژی های ایجاد محتوای همیشه سبز را به اشتراک بگذارید که در طول زمان مرتبط و ارزشمند باقی بماند.")</f>
        <v>استراتژی های ایجاد محتوای همیشه سبز را به اشتراک بگذارید که در طول زمان مرتبط و ارزشمند باقی بماند.</v>
      </c>
      <c r="H1836" s="1"/>
      <c r="I1836" s="1"/>
      <c r="J1836" s="1"/>
      <c r="K1836" s="1"/>
      <c r="L1836" s="1"/>
      <c r="M1836" s="1"/>
      <c r="N1836" s="1"/>
      <c r="O1836" s="1"/>
      <c r="P1836" s="1"/>
      <c r="Q1836" s="1"/>
      <c r="R1836" s="1"/>
      <c r="S1836" s="1"/>
      <c r="T1836" s="1"/>
      <c r="U1836" s="1"/>
      <c r="V1836" s="1"/>
      <c r="W1836" s="1"/>
      <c r="X1836" s="1"/>
      <c r="Y1836" s="1"/>
      <c r="Z1836" s="1"/>
      <c r="AA1836" s="1"/>
      <c r="AB1836" s="1"/>
    </row>
    <row r="1837" ht="50.25" customHeight="1">
      <c r="A1837" s="12">
        <v>1833.0</v>
      </c>
      <c r="B1837" s="13" t="s">
        <v>1824</v>
      </c>
      <c r="C1837" s="14" t="s">
        <v>1847</v>
      </c>
      <c r="D1837" s="1"/>
      <c r="E1837" s="1"/>
      <c r="F1837" s="1" t="str">
        <f>IFERROR(__xludf.DUMMYFUNCTION("GOOGLETRANSLATE(B1837, ""en"", ""fa"")
"),"وبلاگ نویسی")</f>
        <v>وبلاگ نویسی</v>
      </c>
      <c r="G1837" s="1" t="str">
        <f>IFERROR(__xludf.DUMMYFUNCTION("GOOGLETRANSLATE(C1837, ""en"", ""fa"")
"),"در مورد اهمیت حفظ یک برنامه وبلاگ نویسی و استراتژی های ثابت برای حفظ انگیزه بحث کنید.")</f>
        <v>در مورد اهمیت حفظ یک برنامه وبلاگ نویسی و استراتژی های ثابت برای حفظ انگیزه بحث کنید.</v>
      </c>
      <c r="H1837" s="1"/>
      <c r="I1837" s="1"/>
      <c r="J1837" s="1"/>
      <c r="K1837" s="1"/>
      <c r="L1837" s="1"/>
      <c r="M1837" s="1"/>
      <c r="N1837" s="1"/>
      <c r="O1837" s="1"/>
      <c r="P1837" s="1"/>
      <c r="Q1837" s="1"/>
      <c r="R1837" s="1"/>
      <c r="S1837" s="1"/>
      <c r="T1837" s="1"/>
      <c r="U1837" s="1"/>
      <c r="V1837" s="1"/>
      <c r="W1837" s="1"/>
      <c r="X1837" s="1"/>
      <c r="Y1837" s="1"/>
      <c r="Z1837" s="1"/>
      <c r="AA1837" s="1"/>
      <c r="AB1837" s="1"/>
    </row>
    <row r="1838" ht="50.25" customHeight="1">
      <c r="A1838" s="12">
        <v>1834.0</v>
      </c>
      <c r="B1838" s="13" t="s">
        <v>1824</v>
      </c>
      <c r="C1838" s="14" t="s">
        <v>1848</v>
      </c>
      <c r="D1838" s="1"/>
      <c r="E1838" s="1"/>
      <c r="F1838" s="1" t="str">
        <f>IFERROR(__xludf.DUMMYFUNCTION("GOOGLETRANSLATE(B1838, ""en"", ""fa"")
"),"وبلاگ نویسی")</f>
        <v>وبلاگ نویسی</v>
      </c>
      <c r="G1838" s="1" t="str">
        <f>IFERROR(__xludf.DUMMYFUNCTION("GOOGLETRANSLATE(C1838, ""en"", ""fa"")
"),"راه های مختلف برای استفاده از پلتفرم های رسانه های اجتماعی برای افزایش ترافیک و رشد مخاطبان وبلاگ خود را بررسی کنید.")</f>
        <v>راه های مختلف برای استفاده از پلتفرم های رسانه های اجتماعی برای افزایش ترافیک و رشد مخاطبان وبلاگ خود را بررسی کنید.</v>
      </c>
      <c r="H1838" s="1"/>
      <c r="I1838" s="1"/>
      <c r="J1838" s="1"/>
      <c r="K1838" s="1"/>
      <c r="L1838" s="1"/>
      <c r="M1838" s="1"/>
      <c r="N1838" s="1"/>
      <c r="O1838" s="1"/>
      <c r="P1838" s="1"/>
      <c r="Q1838" s="1"/>
      <c r="R1838" s="1"/>
      <c r="S1838" s="1"/>
      <c r="T1838" s="1"/>
      <c r="U1838" s="1"/>
      <c r="V1838" s="1"/>
      <c r="W1838" s="1"/>
      <c r="X1838" s="1"/>
      <c r="Y1838" s="1"/>
      <c r="Z1838" s="1"/>
      <c r="AA1838" s="1"/>
      <c r="AB1838" s="1"/>
    </row>
    <row r="1839" ht="50.25" customHeight="1">
      <c r="A1839" s="12">
        <v>1835.0</v>
      </c>
      <c r="B1839" s="13" t="s">
        <v>1824</v>
      </c>
      <c r="C1839" s="14" t="s">
        <v>1849</v>
      </c>
      <c r="D1839" s="1"/>
      <c r="E1839" s="1"/>
      <c r="F1839" s="1" t="str">
        <f>IFERROR(__xludf.DUMMYFUNCTION("GOOGLETRANSLATE(B1839, ""en"", ""fa"")
"),"وبلاگ نویسی")</f>
        <v>وبلاگ نویسی</v>
      </c>
      <c r="G1839" s="1" t="str">
        <f>IFERROR(__xludf.DUMMYFUNCTION("GOOGLETRANSLATE(C1839, ""en"", ""fa"")
"),"نکاتی را برای ایجاد صدای منحصر به فرد وبلاگ نویسی و ایجاد برند شخصی خود به اشتراک بگذارید.")</f>
        <v>نکاتی را برای ایجاد صدای منحصر به فرد وبلاگ نویسی و ایجاد برند شخصی خود به اشتراک بگذارید.</v>
      </c>
      <c r="H1839" s="1"/>
      <c r="I1839" s="1"/>
      <c r="J1839" s="1"/>
      <c r="K1839" s="1"/>
      <c r="L1839" s="1"/>
      <c r="M1839" s="1"/>
      <c r="N1839" s="1"/>
      <c r="O1839" s="1"/>
      <c r="P1839" s="1"/>
      <c r="Q1839" s="1"/>
      <c r="R1839" s="1"/>
      <c r="S1839" s="1"/>
      <c r="T1839" s="1"/>
      <c r="U1839" s="1"/>
      <c r="V1839" s="1"/>
      <c r="W1839" s="1"/>
      <c r="X1839" s="1"/>
      <c r="Y1839" s="1"/>
      <c r="Z1839" s="1"/>
      <c r="AA1839" s="1"/>
      <c r="AB1839" s="1"/>
    </row>
    <row r="1840" ht="50.25" customHeight="1">
      <c r="A1840" s="12">
        <v>1836.0</v>
      </c>
      <c r="B1840" s="13" t="s">
        <v>1824</v>
      </c>
      <c r="C1840" s="14" t="s">
        <v>1850</v>
      </c>
      <c r="D1840" s="1"/>
      <c r="E1840" s="1"/>
      <c r="F1840" s="1" t="str">
        <f>IFERROR(__xludf.DUMMYFUNCTION("GOOGLETRANSLATE(B1840, ""en"", ""fa"")
"),"وبلاگ نویسی")</f>
        <v>وبلاگ نویسی</v>
      </c>
      <c r="G1840" s="1" t="str">
        <f>IFERROR(__xludf.DUMMYFUNCTION("GOOGLETRANSLATE(C1840, ""en"", ""fa"")
"),"در مورد نقش پست مهمان در وب سایت های معتبر برای افزایش دیده شدن و اعتبار وبلاگ خود بحث کنید.")</f>
        <v>در مورد نقش پست مهمان در وب سایت های معتبر برای افزایش دیده شدن و اعتبار وبلاگ خود بحث کنید.</v>
      </c>
      <c r="H1840" s="1"/>
      <c r="I1840" s="1"/>
      <c r="J1840" s="1"/>
      <c r="K1840" s="1"/>
      <c r="L1840" s="1"/>
      <c r="M1840" s="1"/>
      <c r="N1840" s="1"/>
      <c r="O1840" s="1"/>
      <c r="P1840" s="1"/>
      <c r="Q1840" s="1"/>
      <c r="R1840" s="1"/>
      <c r="S1840" s="1"/>
      <c r="T1840" s="1"/>
      <c r="U1840" s="1"/>
      <c r="V1840" s="1"/>
      <c r="W1840" s="1"/>
      <c r="X1840" s="1"/>
      <c r="Y1840" s="1"/>
      <c r="Z1840" s="1"/>
      <c r="AA1840" s="1"/>
      <c r="AB1840" s="1"/>
    </row>
    <row r="1841" ht="50.25" customHeight="1">
      <c r="A1841" s="12">
        <v>1837.0</v>
      </c>
      <c r="B1841" s="13" t="s">
        <v>1824</v>
      </c>
      <c r="C1841" s="14" t="s">
        <v>1851</v>
      </c>
      <c r="D1841" s="1"/>
      <c r="E1841" s="1"/>
      <c r="F1841" s="1" t="str">
        <f>IFERROR(__xludf.DUMMYFUNCTION("GOOGLETRANSLATE(B1841, ""en"", ""fa"")
"),"وبلاگ نویسی")</f>
        <v>وبلاگ نویسی</v>
      </c>
      <c r="G1841" s="1" t="str">
        <f>IFERROR(__xludf.DUMMYFUNCTION("GOOGLETRANSLATE(C1841, ""en"", ""fa"")
"),"مزایای گنجاندن محتوای چندرسانه ای، مانند پادکست یا وبینارها را در وبلاگ خود کاوش کنید.")</f>
        <v>مزایای گنجاندن محتوای چندرسانه ای، مانند پادکست یا وبینارها را در وبلاگ خود کاوش کنید.</v>
      </c>
      <c r="H1841" s="1"/>
      <c r="I1841" s="1"/>
      <c r="J1841" s="1"/>
      <c r="K1841" s="1"/>
      <c r="L1841" s="1"/>
      <c r="M1841" s="1"/>
      <c r="N1841" s="1"/>
      <c r="O1841" s="1"/>
      <c r="P1841" s="1"/>
      <c r="Q1841" s="1"/>
      <c r="R1841" s="1"/>
      <c r="S1841" s="1"/>
      <c r="T1841" s="1"/>
      <c r="U1841" s="1"/>
      <c r="V1841" s="1"/>
      <c r="W1841" s="1"/>
      <c r="X1841" s="1"/>
      <c r="Y1841" s="1"/>
      <c r="Z1841" s="1"/>
      <c r="AA1841" s="1"/>
      <c r="AB1841" s="1"/>
    </row>
    <row r="1842" ht="50.25" customHeight="1">
      <c r="A1842" s="12">
        <v>1838.0</v>
      </c>
      <c r="B1842" s="13" t="s">
        <v>1824</v>
      </c>
      <c r="C1842" s="14" t="s">
        <v>1852</v>
      </c>
      <c r="D1842" s="1"/>
      <c r="E1842" s="1"/>
      <c r="F1842" s="1" t="str">
        <f>IFERROR(__xludf.DUMMYFUNCTION("GOOGLETRANSLATE(B1842, ""en"", ""fa"")
"),"وبلاگ نویسی")</f>
        <v>وبلاگ نویسی</v>
      </c>
      <c r="G1842" s="1" t="str">
        <f>IFERROR(__xludf.DUMMYFUNCTION("GOOGLETRANSLATE(C1842, ""en"", ""fa"")
"),"استراتژی‌هایی را برای نوشتن سرفصل‌های پست وبلاگ جذاب و قابل اشتراک‌گذاری برای تبلیغ رسانه‌های اجتماعی به اشتراک بگذارید.")</f>
        <v>استراتژی‌هایی را برای نوشتن سرفصل‌های پست وبلاگ جذاب و قابل اشتراک‌گذاری برای تبلیغ رسانه‌های اجتماعی به اشتراک بگذارید.</v>
      </c>
      <c r="H1842" s="1"/>
      <c r="I1842" s="1"/>
      <c r="J1842" s="1"/>
      <c r="K1842" s="1"/>
      <c r="L1842" s="1"/>
      <c r="M1842" s="1"/>
      <c r="N1842" s="1"/>
      <c r="O1842" s="1"/>
      <c r="P1842" s="1"/>
      <c r="Q1842" s="1"/>
      <c r="R1842" s="1"/>
      <c r="S1842" s="1"/>
      <c r="T1842" s="1"/>
      <c r="U1842" s="1"/>
      <c r="V1842" s="1"/>
      <c r="W1842" s="1"/>
      <c r="X1842" s="1"/>
      <c r="Y1842" s="1"/>
      <c r="Z1842" s="1"/>
      <c r="AA1842" s="1"/>
      <c r="AB1842" s="1"/>
    </row>
    <row r="1843" ht="50.25" customHeight="1">
      <c r="A1843" s="12">
        <v>1839.0</v>
      </c>
      <c r="B1843" s="13" t="s">
        <v>1824</v>
      </c>
      <c r="C1843" s="14" t="s">
        <v>1853</v>
      </c>
      <c r="D1843" s="1"/>
      <c r="E1843" s="1"/>
      <c r="F1843" s="1" t="str">
        <f>IFERROR(__xludf.DUMMYFUNCTION("GOOGLETRANSLATE(B1843, ""en"", ""fa"")
"),"وبلاگ نویسی")</f>
        <v>وبلاگ نویسی</v>
      </c>
      <c r="G1843" s="1" t="str">
        <f>IFERROR(__xludf.DUMMYFUNCTION("GOOGLETRANSLATE(C1843, ""en"", ""fa"")
"),"در مورد اهمیت انجام تجزیه و تحلیل رقبا و به روز ماندن با روندهای صنعت در نوشتن وبلاگ بحث کنید.")</f>
        <v>در مورد اهمیت انجام تجزیه و تحلیل رقبا و به روز ماندن با روندهای صنعت در نوشتن وبلاگ بحث کنید.</v>
      </c>
      <c r="H1843" s="1"/>
      <c r="I1843" s="1"/>
      <c r="J1843" s="1"/>
      <c r="K1843" s="1"/>
      <c r="L1843" s="1"/>
      <c r="M1843" s="1"/>
      <c r="N1843" s="1"/>
      <c r="O1843" s="1"/>
      <c r="P1843" s="1"/>
      <c r="Q1843" s="1"/>
      <c r="R1843" s="1"/>
      <c r="S1843" s="1"/>
      <c r="T1843" s="1"/>
      <c r="U1843" s="1"/>
      <c r="V1843" s="1"/>
      <c r="W1843" s="1"/>
      <c r="X1843" s="1"/>
      <c r="Y1843" s="1"/>
      <c r="Z1843" s="1"/>
      <c r="AA1843" s="1"/>
      <c r="AB1843" s="1"/>
    </row>
    <row r="1844" ht="50.25" customHeight="1">
      <c r="A1844" s="12">
        <v>1840.0</v>
      </c>
      <c r="B1844" s="13" t="s">
        <v>1824</v>
      </c>
      <c r="C1844" s="14" t="s">
        <v>1854</v>
      </c>
      <c r="D1844" s="1"/>
      <c r="E1844" s="1"/>
      <c r="F1844" s="1" t="str">
        <f>IFERROR(__xludf.DUMMYFUNCTION("GOOGLETRANSLATE(B1844, ""en"", ""fa"")
"),"وبلاگ نویسی")</f>
        <v>وبلاگ نویسی</v>
      </c>
      <c r="G1844" s="1" t="str">
        <f>IFERROR(__xludf.DUMMYFUNCTION("GOOGLETRANSLATE(C1844, ""en"", ""fa"")
"),"راه های مختلف برای کسب درآمد از وبلاگ خود را از طریق محتوای حمایت شده و همکاری های برند کاوش کنید.")</f>
        <v>راه های مختلف برای کسب درآمد از وبلاگ خود را از طریق محتوای حمایت شده و همکاری های برند کاوش کنید.</v>
      </c>
      <c r="H1844" s="1"/>
      <c r="I1844" s="1"/>
      <c r="J1844" s="1"/>
      <c r="K1844" s="1"/>
      <c r="L1844" s="1"/>
      <c r="M1844" s="1"/>
      <c r="N1844" s="1"/>
      <c r="O1844" s="1"/>
      <c r="P1844" s="1"/>
      <c r="Q1844" s="1"/>
      <c r="R1844" s="1"/>
      <c r="S1844" s="1"/>
      <c r="T1844" s="1"/>
      <c r="U1844" s="1"/>
      <c r="V1844" s="1"/>
      <c r="W1844" s="1"/>
      <c r="X1844" s="1"/>
      <c r="Y1844" s="1"/>
      <c r="Z1844" s="1"/>
      <c r="AA1844" s="1"/>
      <c r="AB1844" s="1"/>
    </row>
    <row r="1845" ht="50.25" customHeight="1">
      <c r="A1845" s="12">
        <v>1841.0</v>
      </c>
      <c r="B1845" s="13" t="s">
        <v>1824</v>
      </c>
      <c r="C1845" s="14" t="s">
        <v>1855</v>
      </c>
      <c r="D1845" s="1"/>
      <c r="E1845" s="1"/>
      <c r="F1845" s="1" t="str">
        <f>IFERROR(__xludf.DUMMYFUNCTION("GOOGLETRANSLATE(B1845, ""en"", ""fa"")
"),"وبلاگ نویسی")</f>
        <v>وبلاگ نویسی</v>
      </c>
      <c r="G1845" s="1" t="str">
        <f>IFERROR(__xludf.DUMMYFUNCTION("GOOGLETRANSLATE(C1845, ""en"", ""fa"")
"),"نکاتی را برای ساختاربندی پست‌های وبلاگ با عناوین، زیرعنوان‌ها و نقاط گلوله واضح برای خوانایی آسان به اشتراک بگذارید.")</f>
        <v>نکاتی را برای ساختاربندی پست‌های وبلاگ با عناوین، زیرعنوان‌ها و نقاط گلوله واضح برای خوانایی آسان به اشتراک بگذارید.</v>
      </c>
      <c r="H1845" s="1"/>
      <c r="I1845" s="1"/>
      <c r="J1845" s="1"/>
      <c r="K1845" s="1"/>
      <c r="L1845" s="1"/>
      <c r="M1845" s="1"/>
      <c r="N1845" s="1"/>
      <c r="O1845" s="1"/>
      <c r="P1845" s="1"/>
      <c r="Q1845" s="1"/>
      <c r="R1845" s="1"/>
      <c r="S1845" s="1"/>
      <c r="T1845" s="1"/>
      <c r="U1845" s="1"/>
      <c r="V1845" s="1"/>
      <c r="W1845" s="1"/>
      <c r="X1845" s="1"/>
      <c r="Y1845" s="1"/>
      <c r="Z1845" s="1"/>
      <c r="AA1845" s="1"/>
      <c r="AB1845" s="1"/>
    </row>
    <row r="1846" ht="50.25" customHeight="1">
      <c r="A1846" s="12">
        <v>1842.0</v>
      </c>
      <c r="B1846" s="13" t="s">
        <v>1824</v>
      </c>
      <c r="C1846" s="14" t="s">
        <v>1856</v>
      </c>
      <c r="D1846" s="1"/>
      <c r="E1846" s="1"/>
      <c r="F1846" s="1" t="str">
        <f>IFERROR(__xludf.DUMMYFUNCTION("GOOGLETRANSLATE(B1846, ""en"", ""fa"")
"),"وبلاگ نویسی")</f>
        <v>وبلاگ نویسی</v>
      </c>
      <c r="G1846" s="1" t="str">
        <f>IFERROR(__xludf.DUMMYFUNCTION("GOOGLETRANSLATE(C1846, ""en"", ""fa"")
"),"در مورد نقش قیف های بازاریابی ایمیلی در تبدیل خوانندگان وبلاگ به مشترکین وفادار بحث کنید.")</f>
        <v>در مورد نقش قیف های بازاریابی ایمیلی در تبدیل خوانندگان وبلاگ به مشترکین وفادار بحث کنید.</v>
      </c>
      <c r="H1846" s="1"/>
      <c r="I1846" s="1"/>
      <c r="J1846" s="1"/>
      <c r="K1846" s="1"/>
      <c r="L1846" s="1"/>
      <c r="M1846" s="1"/>
      <c r="N1846" s="1"/>
      <c r="O1846" s="1"/>
      <c r="P1846" s="1"/>
      <c r="Q1846" s="1"/>
      <c r="R1846" s="1"/>
      <c r="S1846" s="1"/>
      <c r="T1846" s="1"/>
      <c r="U1846" s="1"/>
      <c r="V1846" s="1"/>
      <c r="W1846" s="1"/>
      <c r="X1846" s="1"/>
      <c r="Y1846" s="1"/>
      <c r="Z1846" s="1"/>
      <c r="AA1846" s="1"/>
      <c r="AB1846" s="1"/>
    </row>
    <row r="1847" ht="50.25" customHeight="1">
      <c r="A1847" s="12">
        <v>1843.0</v>
      </c>
      <c r="B1847" s="13" t="s">
        <v>1824</v>
      </c>
      <c r="C1847" s="14" t="s">
        <v>1857</v>
      </c>
      <c r="D1847" s="1"/>
      <c r="E1847" s="1"/>
      <c r="F1847" s="1" t="str">
        <f>IFERROR(__xludf.DUMMYFUNCTION("GOOGLETRANSLATE(B1847, ""en"", ""fa"")
"),"وبلاگ نویسی")</f>
        <v>وبلاگ نویسی</v>
      </c>
      <c r="G1847" s="1" t="str">
        <f>IFERROR(__xludf.DUMMYFUNCTION("GOOGLETRANSLATE(C1847, ""en"", ""fa"")
"),"مزایای انجام نظرسنجی از خوانندگان و استفاده از بازخورد برای بهبود محتوای وبلاگ خود را بررسی کنید.")</f>
        <v>مزایای انجام نظرسنجی از خوانندگان و استفاده از بازخورد برای بهبود محتوای وبلاگ خود را بررسی کنید.</v>
      </c>
      <c r="H1847" s="1"/>
      <c r="I1847" s="1"/>
      <c r="J1847" s="1"/>
      <c r="K1847" s="1"/>
      <c r="L1847" s="1"/>
      <c r="M1847" s="1"/>
      <c r="N1847" s="1"/>
      <c r="O1847" s="1"/>
      <c r="P1847" s="1"/>
      <c r="Q1847" s="1"/>
      <c r="R1847" s="1"/>
      <c r="S1847" s="1"/>
      <c r="T1847" s="1"/>
      <c r="U1847" s="1"/>
      <c r="V1847" s="1"/>
      <c r="W1847" s="1"/>
      <c r="X1847" s="1"/>
      <c r="Y1847" s="1"/>
      <c r="Z1847" s="1"/>
      <c r="AA1847" s="1"/>
      <c r="AB1847" s="1"/>
    </row>
    <row r="1848" ht="50.25" customHeight="1">
      <c r="A1848" s="12">
        <v>1844.0</v>
      </c>
      <c r="B1848" s="13" t="s">
        <v>1824</v>
      </c>
      <c r="C1848" s="14" t="s">
        <v>1858</v>
      </c>
      <c r="D1848" s="1"/>
      <c r="E1848" s="1"/>
      <c r="F1848" s="1" t="str">
        <f>IFERROR(__xludf.DUMMYFUNCTION("GOOGLETRANSLATE(B1848, ""en"", ""fa"")
"),"وبلاگ نویسی")</f>
        <v>وبلاگ نویسی</v>
      </c>
      <c r="G1848" s="1" t="str">
        <f>IFERROR(__xludf.DUMMYFUNCTION("GOOGLETRANSLATE(C1848, ""en"", ""fa"")
"),"استراتژی‌هایی را برای تبدیل محتوای وبلاگ به کتاب‌های الکترونیکی، دوره‌های آنلاین یا منابع قابل دانلود به اشتراک بگذارید.")</f>
        <v>استراتژی‌هایی را برای تبدیل محتوای وبلاگ به کتاب‌های الکترونیکی، دوره‌های آنلاین یا منابع قابل دانلود به اشتراک بگذارید.</v>
      </c>
      <c r="H1848" s="1"/>
      <c r="I1848" s="1"/>
      <c r="J1848" s="1"/>
      <c r="K1848" s="1"/>
      <c r="L1848" s="1"/>
      <c r="M1848" s="1"/>
      <c r="N1848" s="1"/>
      <c r="O1848" s="1"/>
      <c r="P1848" s="1"/>
      <c r="Q1848" s="1"/>
      <c r="R1848" s="1"/>
      <c r="S1848" s="1"/>
      <c r="T1848" s="1"/>
      <c r="U1848" s="1"/>
      <c r="V1848" s="1"/>
      <c r="W1848" s="1"/>
      <c r="X1848" s="1"/>
      <c r="Y1848" s="1"/>
      <c r="Z1848" s="1"/>
      <c r="AA1848" s="1"/>
      <c r="AB1848" s="1"/>
    </row>
    <row r="1849" ht="50.25" customHeight="1">
      <c r="A1849" s="12">
        <v>1845.0</v>
      </c>
      <c r="B1849" s="13" t="s">
        <v>1824</v>
      </c>
      <c r="C1849" s="14" t="s">
        <v>1859</v>
      </c>
      <c r="D1849" s="1"/>
      <c r="E1849" s="1"/>
      <c r="F1849" s="1" t="str">
        <f>IFERROR(__xludf.DUMMYFUNCTION("GOOGLETRANSLATE(B1849, ""en"", ""fa"")
"),"وبلاگ نویسی")</f>
        <v>وبلاگ نویسی</v>
      </c>
      <c r="G1849" s="1" t="str">
        <f>IFERROR(__xludf.DUMMYFUNCTION("GOOGLETRANSLATE(C1849, ""en"", ""fa"")
"),"در مورد اهمیت ایجاد توضیحات متا قانع کننده و قطعه های برجسته برای بهبود نرخ کلیک بحث کنید.")</f>
        <v>در مورد اهمیت ایجاد توضیحات متا قانع کننده و قطعه های برجسته برای بهبود نرخ کلیک بحث کنید.</v>
      </c>
      <c r="H1849" s="1"/>
      <c r="I1849" s="1"/>
      <c r="J1849" s="1"/>
      <c r="K1849" s="1"/>
      <c r="L1849" s="1"/>
      <c r="M1849" s="1"/>
      <c r="N1849" s="1"/>
      <c r="O1849" s="1"/>
      <c r="P1849" s="1"/>
      <c r="Q1849" s="1"/>
      <c r="R1849" s="1"/>
      <c r="S1849" s="1"/>
      <c r="T1849" s="1"/>
      <c r="U1849" s="1"/>
      <c r="V1849" s="1"/>
      <c r="W1849" s="1"/>
      <c r="X1849" s="1"/>
      <c r="Y1849" s="1"/>
      <c r="Z1849" s="1"/>
      <c r="AA1849" s="1"/>
      <c r="AB1849" s="1"/>
    </row>
    <row r="1850" ht="50.25" customHeight="1">
      <c r="A1850" s="12">
        <v>1846.0</v>
      </c>
      <c r="B1850" s="13" t="s">
        <v>1824</v>
      </c>
      <c r="C1850" s="14" t="s">
        <v>1860</v>
      </c>
      <c r="D1850" s="1"/>
      <c r="E1850" s="1"/>
      <c r="F1850" s="1" t="str">
        <f>IFERROR(__xludf.DUMMYFUNCTION("GOOGLETRANSLATE(B1850, ""en"", ""fa"")
"),"وبلاگ نویسی")</f>
        <v>وبلاگ نویسی</v>
      </c>
      <c r="G1850" s="1" t="str">
        <f>IFERROR(__xludf.DUMMYFUNCTION("GOOGLETRANSLATE(C1850, ""en"", ""fa"")
"),"راه های مختلف برای تبلیغ وبلاگ خود را از طریق مصاحبه با مهمان، حضور در پادکست یا نشست های مجازی کاوش کنید.")</f>
        <v>راه های مختلف برای تبلیغ وبلاگ خود را از طریق مصاحبه با مهمان، حضور در پادکست یا نشست های مجازی کاوش کنید.</v>
      </c>
      <c r="H1850" s="1"/>
      <c r="I1850" s="1"/>
      <c r="J1850" s="1"/>
      <c r="K1850" s="1"/>
      <c r="L1850" s="1"/>
      <c r="M1850" s="1"/>
      <c r="N1850" s="1"/>
      <c r="O1850" s="1"/>
      <c r="P1850" s="1"/>
      <c r="Q1850" s="1"/>
      <c r="R1850" s="1"/>
      <c r="S1850" s="1"/>
      <c r="T1850" s="1"/>
      <c r="U1850" s="1"/>
      <c r="V1850" s="1"/>
      <c r="W1850" s="1"/>
      <c r="X1850" s="1"/>
      <c r="Y1850" s="1"/>
      <c r="Z1850" s="1"/>
      <c r="AA1850" s="1"/>
      <c r="AB1850" s="1"/>
    </row>
    <row r="1851" ht="50.25" customHeight="1">
      <c r="A1851" s="12">
        <v>1847.0</v>
      </c>
      <c r="B1851" s="13" t="s">
        <v>1824</v>
      </c>
      <c r="C1851" s="14" t="s">
        <v>1861</v>
      </c>
      <c r="D1851" s="1"/>
      <c r="E1851" s="1"/>
      <c r="F1851" s="1" t="str">
        <f>IFERROR(__xludf.DUMMYFUNCTION("GOOGLETRANSLATE(B1851, ""en"", ""fa"")
"),"وبلاگ نویسی")</f>
        <v>وبلاگ نویسی</v>
      </c>
      <c r="G1851" s="1" t="str">
        <f>IFERROR(__xludf.DUMMYFUNCTION("GOOGLETRANSLATE(C1851, ""en"", ""fa"")
"),"نکاتی را برای ایجاد تصاویری با کیفیت بالا، مانند گرافیک سفارشی یا عکس های حرفه ای، برای وبلاگ خود به اشتراک بگذارید.")</f>
        <v>نکاتی را برای ایجاد تصاویری با کیفیت بالا، مانند گرافیک سفارشی یا عکس های حرفه ای، برای وبلاگ خود به اشتراک بگذارید.</v>
      </c>
      <c r="H1851" s="1"/>
      <c r="I1851" s="1"/>
      <c r="J1851" s="1"/>
      <c r="K1851" s="1"/>
      <c r="L1851" s="1"/>
      <c r="M1851" s="1"/>
      <c r="N1851" s="1"/>
      <c r="O1851" s="1"/>
      <c r="P1851" s="1"/>
      <c r="Q1851" s="1"/>
      <c r="R1851" s="1"/>
      <c r="S1851" s="1"/>
      <c r="T1851" s="1"/>
      <c r="U1851" s="1"/>
      <c r="V1851" s="1"/>
      <c r="W1851" s="1"/>
      <c r="X1851" s="1"/>
      <c r="Y1851" s="1"/>
      <c r="Z1851" s="1"/>
      <c r="AA1851" s="1"/>
      <c r="AB1851" s="1"/>
    </row>
    <row r="1852" ht="50.25" customHeight="1">
      <c r="A1852" s="12">
        <v>1848.0</v>
      </c>
      <c r="B1852" s="13" t="s">
        <v>1824</v>
      </c>
      <c r="C1852" s="14" t="s">
        <v>1862</v>
      </c>
      <c r="D1852" s="1"/>
      <c r="E1852" s="1"/>
      <c r="F1852" s="1" t="str">
        <f>IFERROR(__xludf.DUMMYFUNCTION("GOOGLETRANSLATE(B1852, ""en"", ""fa"")
"),"وبلاگ نویسی")</f>
        <v>وبلاگ نویسی</v>
      </c>
      <c r="G1852" s="1" t="str">
        <f>IFERROR(__xludf.DUMMYFUNCTION("GOOGLETRANSLATE(C1852, ""en"", ""fa"")
"),"در مورد نقش محتوای تولید شده توسط کاربر در ایجاد حس اجتماعی و ایجاد تعامل در وبلاگ خود بحث کنید.")</f>
        <v>در مورد نقش محتوای تولید شده توسط کاربر در ایجاد حس اجتماعی و ایجاد تعامل در وبلاگ خود بحث کنید.</v>
      </c>
      <c r="H1852" s="1"/>
      <c r="I1852" s="1"/>
      <c r="J1852" s="1"/>
      <c r="K1852" s="1"/>
      <c r="L1852" s="1"/>
      <c r="M1852" s="1"/>
      <c r="N1852" s="1"/>
      <c r="O1852" s="1"/>
      <c r="P1852" s="1"/>
      <c r="Q1852" s="1"/>
      <c r="R1852" s="1"/>
      <c r="S1852" s="1"/>
      <c r="T1852" s="1"/>
      <c r="U1852" s="1"/>
      <c r="V1852" s="1"/>
      <c r="W1852" s="1"/>
      <c r="X1852" s="1"/>
      <c r="Y1852" s="1"/>
      <c r="Z1852" s="1"/>
      <c r="AA1852" s="1"/>
      <c r="AB1852" s="1"/>
    </row>
    <row r="1853" ht="50.25" customHeight="1">
      <c r="A1853" s="12">
        <v>1849.0</v>
      </c>
      <c r="B1853" s="13" t="s">
        <v>1824</v>
      </c>
      <c r="C1853" s="14" t="s">
        <v>1863</v>
      </c>
      <c r="D1853" s="1"/>
      <c r="E1853" s="1"/>
      <c r="F1853" s="1" t="str">
        <f>IFERROR(__xludf.DUMMYFUNCTION("GOOGLETRANSLATE(B1853, ""en"", ""fa"")
"),"وبلاگ نویسی")</f>
        <v>وبلاگ نویسی</v>
      </c>
      <c r="G1853" s="1" t="str">
        <f>IFERROR(__xludf.DUMMYFUNCTION("GOOGLETRANSLATE(C1853, ""en"", ""fa"")
"),"مزایای گنجاندن حکایات و تجربیات شخصی در پست های وبلاگ خود را بررسی کنید.")</f>
        <v>مزایای گنجاندن حکایات و تجربیات شخصی در پست های وبلاگ خود را بررسی کنید.</v>
      </c>
      <c r="H1853" s="1"/>
      <c r="I1853" s="1"/>
      <c r="J1853" s="1"/>
      <c r="K1853" s="1"/>
      <c r="L1853" s="1"/>
      <c r="M1853" s="1"/>
      <c r="N1853" s="1"/>
      <c r="O1853" s="1"/>
      <c r="P1853" s="1"/>
      <c r="Q1853" s="1"/>
      <c r="R1853" s="1"/>
      <c r="S1853" s="1"/>
      <c r="T1853" s="1"/>
      <c r="U1853" s="1"/>
      <c r="V1853" s="1"/>
      <c r="W1853" s="1"/>
      <c r="X1853" s="1"/>
      <c r="Y1853" s="1"/>
      <c r="Z1853" s="1"/>
      <c r="AA1853" s="1"/>
      <c r="AB1853" s="1"/>
    </row>
    <row r="1854" ht="50.25" customHeight="1">
      <c r="A1854" s="12">
        <v>1850.0</v>
      </c>
      <c r="B1854" s="13" t="s">
        <v>1824</v>
      </c>
      <c r="C1854" s="14" t="s">
        <v>1864</v>
      </c>
      <c r="D1854" s="1"/>
      <c r="E1854" s="1"/>
      <c r="F1854" s="1" t="str">
        <f>IFERROR(__xludf.DUMMYFUNCTION("GOOGLETRANSLATE(B1854, ""en"", ""fa"")
"),"وبلاگ نویسی")</f>
        <v>وبلاگ نویسی</v>
      </c>
      <c r="G1854" s="1" t="str">
        <f>IFERROR(__xludf.DUMMYFUNCTION("GOOGLETRANSLATE(C1854, ""en"", ""fa"")
"),"استراتژی هایی برای توسعه یک برنامه ارتقای محتوا برای دستیابی به مخاطبان گسترده تری فراتر از وبلاگ خود به اشتراک بگذارید.")</f>
        <v>استراتژی هایی برای توسعه یک برنامه ارتقای محتوا برای دستیابی به مخاطبان گسترده تری فراتر از وبلاگ خود به اشتراک بگذارید.</v>
      </c>
      <c r="H1854" s="1"/>
      <c r="I1854" s="1"/>
      <c r="J1854" s="1"/>
      <c r="K1854" s="1"/>
      <c r="L1854" s="1"/>
      <c r="M1854" s="1"/>
      <c r="N1854" s="1"/>
      <c r="O1854" s="1"/>
      <c r="P1854" s="1"/>
      <c r="Q1854" s="1"/>
      <c r="R1854" s="1"/>
      <c r="S1854" s="1"/>
      <c r="T1854" s="1"/>
      <c r="U1854" s="1"/>
      <c r="V1854" s="1"/>
      <c r="W1854" s="1"/>
      <c r="X1854" s="1"/>
      <c r="Y1854" s="1"/>
      <c r="Z1854" s="1"/>
      <c r="AA1854" s="1"/>
      <c r="AB1854" s="1"/>
    </row>
    <row r="1855" ht="50.25" customHeight="1">
      <c r="A1855" s="12">
        <v>1851.0</v>
      </c>
      <c r="B1855" s="13" t="s">
        <v>1824</v>
      </c>
      <c r="C1855" s="14" t="s">
        <v>1865</v>
      </c>
      <c r="D1855" s="1"/>
      <c r="E1855" s="1"/>
      <c r="F1855" s="1" t="str">
        <f>IFERROR(__xludf.DUMMYFUNCTION("GOOGLETRANSLATE(B1855, ""en"", ""fa"")
"),"وبلاگ نویسی")</f>
        <v>وبلاگ نویسی</v>
      </c>
      <c r="G1855" s="1" t="str">
        <f>IFERROR(__xludf.DUMMYFUNCTION("GOOGLETRANSLATE(C1855, ""en"", ""fa"")
"),"در مورد اهمیت ایجاد بک لینک برای بهبود اعتبار دامنه وبلاگ و رتبه بندی موتورهای جستجو بحث کنید.")</f>
        <v>در مورد اهمیت ایجاد بک لینک برای بهبود اعتبار دامنه وبلاگ و رتبه بندی موتورهای جستجو بحث کنید.</v>
      </c>
      <c r="H1855" s="1"/>
      <c r="I1855" s="1"/>
      <c r="J1855" s="1"/>
      <c r="K1855" s="1"/>
      <c r="L1855" s="1"/>
      <c r="M1855" s="1"/>
      <c r="N1855" s="1"/>
      <c r="O1855" s="1"/>
      <c r="P1855" s="1"/>
      <c r="Q1855" s="1"/>
      <c r="R1855" s="1"/>
      <c r="S1855" s="1"/>
      <c r="T1855" s="1"/>
      <c r="U1855" s="1"/>
      <c r="V1855" s="1"/>
      <c r="W1855" s="1"/>
      <c r="X1855" s="1"/>
      <c r="Y1855" s="1"/>
      <c r="Z1855" s="1"/>
      <c r="AA1855" s="1"/>
      <c r="AB1855" s="1"/>
    </row>
    <row r="1856" ht="50.25" customHeight="1">
      <c r="A1856" s="12">
        <v>1852.0</v>
      </c>
      <c r="B1856" s="13" t="s">
        <v>1824</v>
      </c>
      <c r="C1856" s="14" t="s">
        <v>1866</v>
      </c>
      <c r="D1856" s="1"/>
      <c r="E1856" s="1"/>
      <c r="F1856" s="1" t="str">
        <f>IFERROR(__xludf.DUMMYFUNCTION("GOOGLETRANSLATE(B1856, ""en"", ""fa"")
"),"وبلاگ نویسی")</f>
        <v>وبلاگ نویسی</v>
      </c>
      <c r="G1856" s="1" t="str">
        <f>IFERROR(__xludf.DUMMYFUNCTION("GOOGLETRANSLATE(C1856, ""en"", ""fa"")
"),"راه های مختلف برای همکاری با وبلاگ نویسان دیگر در پست های جمع بندی، مصاحبه های متخصص یا پروژه های مشترک را بررسی کنید.")</f>
        <v>راه های مختلف برای همکاری با وبلاگ نویسان دیگر در پست های جمع بندی، مصاحبه های متخصص یا پروژه های مشترک را بررسی کنید.</v>
      </c>
      <c r="H1856" s="1"/>
      <c r="I1856" s="1"/>
      <c r="J1856" s="1"/>
      <c r="K1856" s="1"/>
      <c r="L1856" s="1"/>
      <c r="M1856" s="1"/>
      <c r="N1856" s="1"/>
      <c r="O1856" s="1"/>
      <c r="P1856" s="1"/>
      <c r="Q1856" s="1"/>
      <c r="R1856" s="1"/>
      <c r="S1856" s="1"/>
      <c r="T1856" s="1"/>
      <c r="U1856" s="1"/>
      <c r="V1856" s="1"/>
      <c r="W1856" s="1"/>
      <c r="X1856" s="1"/>
      <c r="Y1856" s="1"/>
      <c r="Z1856" s="1"/>
      <c r="AA1856" s="1"/>
      <c r="AB1856" s="1"/>
    </row>
    <row r="1857" ht="50.25" customHeight="1">
      <c r="A1857" s="12">
        <v>1853.0</v>
      </c>
      <c r="B1857" s="13" t="s">
        <v>1824</v>
      </c>
      <c r="C1857" s="14" t="s">
        <v>1867</v>
      </c>
      <c r="D1857" s="1"/>
      <c r="E1857" s="1"/>
      <c r="F1857" s="1" t="str">
        <f>IFERROR(__xludf.DUMMYFUNCTION("GOOGLETRANSLATE(B1857, ""en"", ""fa"")
"),"وبلاگ نویسی")</f>
        <v>وبلاگ نویسی</v>
      </c>
      <c r="G1857" s="1" t="str">
        <f>IFERROR(__xludf.DUMMYFUNCTION("GOOGLETRANSLATE(C1857, ""en"", ""fa"")
"),"نکاتی را برای بهینه سازی سرعت بارگذاری و عملکرد وبلاگ خود برای تجربه کاربری بهتر به اشتراک بگذارید.")</f>
        <v>نکاتی را برای بهینه سازی سرعت بارگذاری و عملکرد وبلاگ خود برای تجربه کاربری بهتر به اشتراک بگذارید.</v>
      </c>
      <c r="H1857" s="1"/>
      <c r="I1857" s="1"/>
      <c r="J1857" s="1"/>
      <c r="K1857" s="1"/>
      <c r="L1857" s="1"/>
      <c r="M1857" s="1"/>
      <c r="N1857" s="1"/>
      <c r="O1857" s="1"/>
      <c r="P1857" s="1"/>
      <c r="Q1857" s="1"/>
      <c r="R1857" s="1"/>
      <c r="S1857" s="1"/>
      <c r="T1857" s="1"/>
      <c r="U1857" s="1"/>
      <c r="V1857" s="1"/>
      <c r="W1857" s="1"/>
      <c r="X1857" s="1"/>
      <c r="Y1857" s="1"/>
      <c r="Z1857" s="1"/>
      <c r="AA1857" s="1"/>
      <c r="AB1857" s="1"/>
    </row>
    <row r="1858" ht="50.25" customHeight="1">
      <c r="A1858" s="12">
        <v>1854.0</v>
      </c>
      <c r="B1858" s="13" t="s">
        <v>1824</v>
      </c>
      <c r="C1858" s="14" t="s">
        <v>1868</v>
      </c>
      <c r="D1858" s="1"/>
      <c r="E1858" s="1"/>
      <c r="F1858" s="1" t="str">
        <f>IFERROR(__xludf.DUMMYFUNCTION("GOOGLETRANSLATE(B1858, ""en"", ""fa"")
"),"وبلاگ نویسی")</f>
        <v>وبلاگ نویسی</v>
      </c>
      <c r="G1858" s="1" t="str">
        <f>IFERROR(__xludf.DUMMYFUNCTION("GOOGLETRANSLATE(C1858, ""en"", ""fa"")
"),"در مورد نقش ارتقاء محتوا و آهنربای اصلی در رشد لیست ایمیل و مشترکین وبلاگ خود بحث کنید.")</f>
        <v>در مورد نقش ارتقاء محتوا و آهنربای اصلی در رشد لیست ایمیل و مشترکین وبلاگ خود بحث کنید.</v>
      </c>
      <c r="H1858" s="1"/>
      <c r="I1858" s="1"/>
      <c r="J1858" s="1"/>
      <c r="K1858" s="1"/>
      <c r="L1858" s="1"/>
      <c r="M1858" s="1"/>
      <c r="N1858" s="1"/>
      <c r="O1858" s="1"/>
      <c r="P1858" s="1"/>
      <c r="Q1858" s="1"/>
      <c r="R1858" s="1"/>
      <c r="S1858" s="1"/>
      <c r="T1858" s="1"/>
      <c r="U1858" s="1"/>
      <c r="V1858" s="1"/>
      <c r="W1858" s="1"/>
      <c r="X1858" s="1"/>
      <c r="Y1858" s="1"/>
      <c r="Z1858" s="1"/>
      <c r="AA1858" s="1"/>
      <c r="AB1858" s="1"/>
    </row>
    <row r="1859" ht="50.25" customHeight="1">
      <c r="A1859" s="12">
        <v>1855.0</v>
      </c>
      <c r="B1859" s="13" t="s">
        <v>1824</v>
      </c>
      <c r="C1859" s="14" t="s">
        <v>1869</v>
      </c>
      <c r="D1859" s="1"/>
      <c r="E1859" s="1"/>
      <c r="F1859" s="1" t="str">
        <f>IFERROR(__xludf.DUMMYFUNCTION("GOOGLETRANSLATE(B1859, ""en"", ""fa"")
"),"وبلاگ نویسی")</f>
        <v>وبلاگ نویسی</v>
      </c>
      <c r="G1859" s="1" t="str">
        <f>IFERROR(__xludf.DUMMYFUNCTION("GOOGLETRANSLATE(C1859, ""en"", ""fa"")
"),"مزایای انجام تحقیقات کلمات کلیدی و گنجاندن کلمات کلیدی طولانی در پست های وبلاگ خود را بررسی کنید.")</f>
        <v>مزایای انجام تحقیقات کلمات کلیدی و گنجاندن کلمات کلیدی طولانی در پست های وبلاگ خود را بررسی کنید.</v>
      </c>
      <c r="H1859" s="1"/>
      <c r="I1859" s="1"/>
      <c r="J1859" s="1"/>
      <c r="K1859" s="1"/>
      <c r="L1859" s="1"/>
      <c r="M1859" s="1"/>
      <c r="N1859" s="1"/>
      <c r="O1859" s="1"/>
      <c r="P1859" s="1"/>
      <c r="Q1859" s="1"/>
      <c r="R1859" s="1"/>
      <c r="S1859" s="1"/>
      <c r="T1859" s="1"/>
      <c r="U1859" s="1"/>
      <c r="V1859" s="1"/>
      <c r="W1859" s="1"/>
      <c r="X1859" s="1"/>
      <c r="Y1859" s="1"/>
      <c r="Z1859" s="1"/>
      <c r="AA1859" s="1"/>
      <c r="AB1859" s="1"/>
    </row>
    <row r="1860" ht="50.25" customHeight="1">
      <c r="A1860" s="12">
        <v>1856.0</v>
      </c>
      <c r="B1860" s="13" t="s">
        <v>1824</v>
      </c>
      <c r="C1860" s="14" t="s">
        <v>1870</v>
      </c>
      <c r="D1860" s="1"/>
      <c r="E1860" s="1"/>
      <c r="F1860" s="1" t="str">
        <f>IFERROR(__xludf.DUMMYFUNCTION("GOOGLETRANSLATE(B1860, ""en"", ""fa"")
"),"وبلاگ نویسی")</f>
        <v>وبلاگ نویسی</v>
      </c>
      <c r="G1860" s="1" t="str">
        <f>IFERROR(__xludf.DUMMYFUNCTION("GOOGLETRANSLATE(C1860, ""en"", ""fa"")
"),"استراتژی‌هایی را برای نتیجه‌گیری قانع‌کننده به اشتراک بگذارید که تأثیری ماندگار بر خوانندگان شما بگذارد.")</f>
        <v>استراتژی‌هایی را برای نتیجه‌گیری قانع‌کننده به اشتراک بگذارید که تأثیری ماندگار بر خوانندگان شما بگذارد.</v>
      </c>
      <c r="H1860" s="1"/>
      <c r="I1860" s="1"/>
      <c r="J1860" s="1"/>
      <c r="K1860" s="1"/>
      <c r="L1860" s="1"/>
      <c r="M1860" s="1"/>
      <c r="N1860" s="1"/>
      <c r="O1860" s="1"/>
      <c r="P1860" s="1"/>
      <c r="Q1860" s="1"/>
      <c r="R1860" s="1"/>
      <c r="S1860" s="1"/>
      <c r="T1860" s="1"/>
      <c r="U1860" s="1"/>
      <c r="V1860" s="1"/>
      <c r="W1860" s="1"/>
      <c r="X1860" s="1"/>
      <c r="Y1860" s="1"/>
      <c r="Z1860" s="1"/>
      <c r="AA1860" s="1"/>
      <c r="AB1860" s="1"/>
    </row>
    <row r="1861" ht="50.25" customHeight="1">
      <c r="A1861" s="12">
        <v>1857.0</v>
      </c>
      <c r="B1861" s="13" t="s">
        <v>1824</v>
      </c>
      <c r="C1861" s="14" t="s">
        <v>1871</v>
      </c>
      <c r="D1861" s="1"/>
      <c r="E1861" s="1"/>
      <c r="F1861" s="1" t="str">
        <f>IFERROR(__xludf.DUMMYFUNCTION("GOOGLETRANSLATE(B1861, ""en"", ""fa"")
"),"وبلاگ نویسی")</f>
        <v>وبلاگ نویسی</v>
      </c>
      <c r="G1861" s="1" t="str">
        <f>IFERROR(__xludf.DUMMYFUNCTION("GOOGLETRANSLATE(C1861, ""en"", ""fa"")
"),"در مورد اهمیت ایجاد یک دنبال کننده در رسانه های اجتماعی فعال برای افزایش دسترسی وبلاگ خود بحث کنید.")</f>
        <v>در مورد اهمیت ایجاد یک دنبال کننده در رسانه های اجتماعی فعال برای افزایش دسترسی وبلاگ خود بحث کنید.</v>
      </c>
      <c r="H1861" s="1"/>
      <c r="I1861" s="1"/>
      <c r="J1861" s="1"/>
      <c r="K1861" s="1"/>
      <c r="L1861" s="1"/>
      <c r="M1861" s="1"/>
      <c r="N1861" s="1"/>
      <c r="O1861" s="1"/>
      <c r="P1861" s="1"/>
      <c r="Q1861" s="1"/>
      <c r="R1861" s="1"/>
      <c r="S1861" s="1"/>
      <c r="T1861" s="1"/>
      <c r="U1861" s="1"/>
      <c r="V1861" s="1"/>
      <c r="W1861" s="1"/>
      <c r="X1861" s="1"/>
      <c r="Y1861" s="1"/>
      <c r="Z1861" s="1"/>
      <c r="AA1861" s="1"/>
      <c r="AB1861" s="1"/>
    </row>
    <row r="1862" ht="50.25" customHeight="1">
      <c r="A1862" s="12">
        <v>1858.0</v>
      </c>
      <c r="B1862" s="13" t="s">
        <v>1824</v>
      </c>
      <c r="C1862" s="14" t="s">
        <v>1872</v>
      </c>
      <c r="D1862" s="1"/>
      <c r="E1862" s="1"/>
      <c r="F1862" s="1" t="str">
        <f>IFERROR(__xludf.DUMMYFUNCTION("GOOGLETRANSLATE(B1862, ""en"", ""fa"")
"),"وبلاگ نویسی")</f>
        <v>وبلاگ نویسی</v>
      </c>
      <c r="G1862" s="1" t="str">
        <f>IFERROR(__xludf.DUMMYFUNCTION("GOOGLETRANSLATE(C1862, ""en"", ""fa"")
"),"راه های مختلفی را برای استفاده از اینفلوئنسر مارکتینگ برای تبلیغ وبلاگ خود و دستیابی به مخاطبان جدید بررسی کنید.")</f>
        <v>راه های مختلفی را برای استفاده از اینفلوئنسر مارکتینگ برای تبلیغ وبلاگ خود و دستیابی به مخاطبان جدید بررسی کنید.</v>
      </c>
      <c r="H1862" s="1"/>
      <c r="I1862" s="1"/>
      <c r="J1862" s="1"/>
      <c r="K1862" s="1"/>
      <c r="L1862" s="1"/>
      <c r="M1862" s="1"/>
      <c r="N1862" s="1"/>
      <c r="O1862" s="1"/>
      <c r="P1862" s="1"/>
      <c r="Q1862" s="1"/>
      <c r="R1862" s="1"/>
      <c r="S1862" s="1"/>
      <c r="T1862" s="1"/>
      <c r="U1862" s="1"/>
      <c r="V1862" s="1"/>
      <c r="W1862" s="1"/>
      <c r="X1862" s="1"/>
      <c r="Y1862" s="1"/>
      <c r="Z1862" s="1"/>
      <c r="AA1862" s="1"/>
      <c r="AB1862" s="1"/>
    </row>
    <row r="1863" ht="50.25" customHeight="1">
      <c r="A1863" s="12">
        <v>1859.0</v>
      </c>
      <c r="B1863" s="13" t="s">
        <v>1824</v>
      </c>
      <c r="C1863" s="14" t="s">
        <v>1873</v>
      </c>
      <c r="D1863" s="1"/>
      <c r="E1863" s="1"/>
      <c r="F1863" s="1" t="str">
        <f>IFERROR(__xludf.DUMMYFUNCTION("GOOGLETRANSLATE(B1863, ""en"", ""fa"")
"),"وبلاگ نویسی")</f>
        <v>وبلاگ نویسی</v>
      </c>
      <c r="G1863" s="1" t="str">
        <f>IFERROR(__xludf.DUMMYFUNCTION("GOOGLETRANSLATE(C1863, ""en"", ""fa"")
"),"نکاتی را برای نوشتن پست های وبلاگ که به نقاط درد رایج می پردازد یا راه حل های عملی برای خوانندگان ارائه می دهد به اشتراک بگذارید.")</f>
        <v>نکاتی را برای نوشتن پست های وبلاگ که به نقاط درد رایج می پردازد یا راه حل های عملی برای خوانندگان ارائه می دهد به اشتراک بگذارید.</v>
      </c>
      <c r="H1863" s="1"/>
      <c r="I1863" s="1"/>
      <c r="J1863" s="1"/>
      <c r="K1863" s="1"/>
      <c r="L1863" s="1"/>
      <c r="M1863" s="1"/>
      <c r="N1863" s="1"/>
      <c r="O1863" s="1"/>
      <c r="P1863" s="1"/>
      <c r="Q1863" s="1"/>
      <c r="R1863" s="1"/>
      <c r="S1863" s="1"/>
      <c r="T1863" s="1"/>
      <c r="U1863" s="1"/>
      <c r="V1863" s="1"/>
      <c r="W1863" s="1"/>
      <c r="X1863" s="1"/>
      <c r="Y1863" s="1"/>
      <c r="Z1863" s="1"/>
      <c r="AA1863" s="1"/>
      <c r="AB1863" s="1"/>
    </row>
    <row r="1864" ht="50.25" customHeight="1">
      <c r="A1864" s="12">
        <v>1860.0</v>
      </c>
      <c r="B1864" s="13" t="s">
        <v>1824</v>
      </c>
      <c r="C1864" s="14" t="s">
        <v>1874</v>
      </c>
      <c r="D1864" s="1"/>
      <c r="E1864" s="1"/>
      <c r="F1864" s="1" t="str">
        <f>IFERROR(__xludf.DUMMYFUNCTION("GOOGLETRANSLATE(B1864, ""en"", ""fa"")
"),"وبلاگ نویسی")</f>
        <v>وبلاگ نویسی</v>
      </c>
      <c r="G1864" s="1" t="str">
        <f>IFERROR(__xludf.DUMMYFUNCTION("GOOGLETRANSLATE(C1864, ""en"", ""fa"")
"),"درباره نقش متخصصان مهمان یا تأثیرگذاران صنعت در ارسال پست های مهمان به وبلاگ خود بحث کنید.")</f>
        <v>درباره نقش متخصصان مهمان یا تأثیرگذاران صنعت در ارسال پست های مهمان به وبلاگ خود بحث کنید.</v>
      </c>
      <c r="H1864" s="1"/>
      <c r="I1864" s="1"/>
      <c r="J1864" s="1"/>
      <c r="K1864" s="1"/>
      <c r="L1864" s="1"/>
      <c r="M1864" s="1"/>
      <c r="N1864" s="1"/>
      <c r="O1864" s="1"/>
      <c r="P1864" s="1"/>
      <c r="Q1864" s="1"/>
      <c r="R1864" s="1"/>
      <c r="S1864" s="1"/>
      <c r="T1864" s="1"/>
      <c r="U1864" s="1"/>
      <c r="V1864" s="1"/>
      <c r="W1864" s="1"/>
      <c r="X1864" s="1"/>
      <c r="Y1864" s="1"/>
      <c r="Z1864" s="1"/>
      <c r="AA1864" s="1"/>
      <c r="AB1864" s="1"/>
    </row>
    <row r="1865" ht="50.25" customHeight="1">
      <c r="A1865" s="12">
        <v>1861.0</v>
      </c>
      <c r="B1865" s="13" t="s">
        <v>1824</v>
      </c>
      <c r="C1865" s="14" t="s">
        <v>1875</v>
      </c>
      <c r="D1865" s="1"/>
      <c r="E1865" s="1"/>
      <c r="F1865" s="1" t="str">
        <f>IFERROR(__xludf.DUMMYFUNCTION("GOOGLETRANSLATE(B1865, ""en"", ""fa"")
"),"وبلاگ نویسی")</f>
        <v>وبلاگ نویسی</v>
      </c>
      <c r="G1865" s="1" t="str">
        <f>IFERROR(__xludf.DUMMYFUNCTION("GOOGLETRANSLATE(C1865, ""en"", ""fa"")
"),"استراتژی هایی برای انجام مصاحبه های موثر با کارشناسان صنعت و رهبران فکری برای محتوای وبلاگ به اشتراک بگذارید.")</f>
        <v>استراتژی هایی برای انجام مصاحبه های موثر با کارشناسان صنعت و رهبران فکری برای محتوای وبلاگ به اشتراک بگذارید.</v>
      </c>
      <c r="H1865" s="1"/>
      <c r="I1865" s="1"/>
      <c r="J1865" s="1"/>
      <c r="K1865" s="1"/>
      <c r="L1865" s="1"/>
      <c r="M1865" s="1"/>
      <c r="N1865" s="1"/>
      <c r="O1865" s="1"/>
      <c r="P1865" s="1"/>
      <c r="Q1865" s="1"/>
      <c r="R1865" s="1"/>
      <c r="S1865" s="1"/>
      <c r="T1865" s="1"/>
      <c r="U1865" s="1"/>
      <c r="V1865" s="1"/>
      <c r="W1865" s="1"/>
      <c r="X1865" s="1"/>
      <c r="Y1865" s="1"/>
      <c r="Z1865" s="1"/>
      <c r="AA1865" s="1"/>
      <c r="AB1865" s="1"/>
    </row>
    <row r="1866" ht="50.25" customHeight="1">
      <c r="A1866" s="12">
        <v>1862.0</v>
      </c>
      <c r="B1866" s="13" t="s">
        <v>1824</v>
      </c>
      <c r="C1866" s="14" t="s">
        <v>1876</v>
      </c>
      <c r="D1866" s="1"/>
      <c r="E1866" s="1"/>
      <c r="F1866" s="1" t="str">
        <f>IFERROR(__xludf.DUMMYFUNCTION("GOOGLETRANSLATE(B1866, ""en"", ""fa"")
"),"وبلاگ نویسی")</f>
        <v>وبلاگ نویسی</v>
      </c>
      <c r="G1866" s="1" t="str">
        <f>IFERROR(__xludf.DUMMYFUNCTION("GOOGLETRANSLATE(C1866, ""en"", ""fa"")
"),"در مورد اهمیت ایجاد طرح‌بندی‌های جذاب و بصری پست وبلاگ با استفاده از قالب‌بندی و تایپوگرافی بحث کنید.")</f>
        <v>در مورد اهمیت ایجاد طرح‌بندی‌های جذاب و بصری پست وبلاگ با استفاده از قالب‌بندی و تایپوگرافی بحث کنید.</v>
      </c>
      <c r="H1866" s="1"/>
      <c r="I1866" s="1"/>
      <c r="J1866" s="1"/>
      <c r="K1866" s="1"/>
      <c r="L1866" s="1"/>
      <c r="M1866" s="1"/>
      <c r="N1866" s="1"/>
      <c r="O1866" s="1"/>
      <c r="P1866" s="1"/>
      <c r="Q1866" s="1"/>
      <c r="R1866" s="1"/>
      <c r="S1866" s="1"/>
      <c r="T1866" s="1"/>
      <c r="U1866" s="1"/>
      <c r="V1866" s="1"/>
      <c r="W1866" s="1"/>
      <c r="X1866" s="1"/>
      <c r="Y1866" s="1"/>
      <c r="Z1866" s="1"/>
      <c r="AA1866" s="1"/>
      <c r="AB1866" s="1"/>
    </row>
    <row r="1867" ht="50.25" customHeight="1">
      <c r="A1867" s="12">
        <v>1863.0</v>
      </c>
      <c r="B1867" s="13" t="s">
        <v>1824</v>
      </c>
      <c r="C1867" s="14" t="s">
        <v>1877</v>
      </c>
      <c r="D1867" s="1"/>
      <c r="E1867" s="1"/>
      <c r="F1867" s="1" t="str">
        <f>IFERROR(__xludf.DUMMYFUNCTION("GOOGLETRANSLATE(B1867, ""en"", ""fa"")
"),"وبلاگ نویسی")</f>
        <v>وبلاگ نویسی</v>
      </c>
      <c r="G1867" s="1" t="str">
        <f>IFERROR(__xludf.DUMMYFUNCTION("GOOGLETRANSLATE(C1867, ""en"", ""fa"")
"),"راه های مختلف برای استفاده از محتوای تولید شده توسط کاربر، مانند توصیفات یا داستان های موفقیت، در وبلاگ خود کاوش کنید.")</f>
        <v>راه های مختلف برای استفاده از محتوای تولید شده توسط کاربر، مانند توصیفات یا داستان های موفقیت، در وبلاگ خود کاوش کنید.</v>
      </c>
      <c r="H1867" s="1"/>
      <c r="I1867" s="1"/>
      <c r="J1867" s="1"/>
      <c r="K1867" s="1"/>
      <c r="L1867" s="1"/>
      <c r="M1867" s="1"/>
      <c r="N1867" s="1"/>
      <c r="O1867" s="1"/>
      <c r="P1867" s="1"/>
      <c r="Q1867" s="1"/>
      <c r="R1867" s="1"/>
      <c r="S1867" s="1"/>
      <c r="T1867" s="1"/>
      <c r="U1867" s="1"/>
      <c r="V1867" s="1"/>
      <c r="W1867" s="1"/>
      <c r="X1867" s="1"/>
      <c r="Y1867" s="1"/>
      <c r="Z1867" s="1"/>
      <c r="AA1867" s="1"/>
      <c r="AB1867" s="1"/>
    </row>
    <row r="1868" ht="50.25" customHeight="1">
      <c r="A1868" s="12">
        <v>1864.0</v>
      </c>
      <c r="B1868" s="13" t="s">
        <v>1824</v>
      </c>
      <c r="C1868" s="14" t="s">
        <v>1878</v>
      </c>
      <c r="D1868" s="1"/>
      <c r="E1868" s="1"/>
      <c r="F1868" s="1" t="str">
        <f>IFERROR(__xludf.DUMMYFUNCTION("GOOGLETRANSLATE(B1868, ""en"", ""fa"")
"),"وبلاگ نویسی")</f>
        <v>وبلاگ نویسی</v>
      </c>
      <c r="G1868" s="1" t="str">
        <f>IFERROR(__xludf.DUMMYFUNCTION("GOOGLETRANSLATE(C1868, ""en"", ""fa"")
"),"نکاتی را برای بهینه سازی وبلاگ خود برای دستگاه های تلفن همراه به اشتراک بگذارید تا مخاطبان رو به رشد تلفن همراه را تامین کند.")</f>
        <v>نکاتی را برای بهینه سازی وبلاگ خود برای دستگاه های تلفن همراه به اشتراک بگذارید تا مخاطبان رو به رشد تلفن همراه را تامین کند.</v>
      </c>
      <c r="H1868" s="1"/>
      <c r="I1868" s="1"/>
      <c r="J1868" s="1"/>
      <c r="K1868" s="1"/>
      <c r="L1868" s="1"/>
      <c r="M1868" s="1"/>
      <c r="N1868" s="1"/>
      <c r="O1868" s="1"/>
      <c r="P1868" s="1"/>
      <c r="Q1868" s="1"/>
      <c r="R1868" s="1"/>
      <c r="S1868" s="1"/>
      <c r="T1868" s="1"/>
      <c r="U1868" s="1"/>
      <c r="V1868" s="1"/>
      <c r="W1868" s="1"/>
      <c r="X1868" s="1"/>
      <c r="Y1868" s="1"/>
      <c r="Z1868" s="1"/>
      <c r="AA1868" s="1"/>
      <c r="AB1868" s="1"/>
    </row>
    <row r="1869" ht="50.25" customHeight="1">
      <c r="A1869" s="12">
        <v>1865.0</v>
      </c>
      <c r="B1869" s="13" t="s">
        <v>1824</v>
      </c>
      <c r="C1869" s="14" t="s">
        <v>1879</v>
      </c>
      <c r="D1869" s="1"/>
      <c r="E1869" s="1"/>
      <c r="F1869" s="1" t="str">
        <f>IFERROR(__xludf.DUMMYFUNCTION("GOOGLETRANSLATE(B1869, ""en"", ""fa"")
"),"وبلاگ نویسی")</f>
        <v>وبلاگ نویسی</v>
      </c>
      <c r="G1869" s="1" t="str">
        <f>IFERROR(__xludf.DUMMYFUNCTION("GOOGLETRANSLATE(C1869, ""en"", ""fa"")
"),"درباره نقش اینفلوئنسرها و همکاری ها در گسترش دامنه و مخاطبان وبلاگ خود بحث کنید.")</f>
        <v>درباره نقش اینفلوئنسرها و همکاری ها در گسترش دامنه و مخاطبان وبلاگ خود بحث کنید.</v>
      </c>
      <c r="H1869" s="1"/>
      <c r="I1869" s="1"/>
      <c r="J1869" s="1"/>
      <c r="K1869" s="1"/>
      <c r="L1869" s="1"/>
      <c r="M1869" s="1"/>
      <c r="N1869" s="1"/>
      <c r="O1869" s="1"/>
      <c r="P1869" s="1"/>
      <c r="Q1869" s="1"/>
      <c r="R1869" s="1"/>
      <c r="S1869" s="1"/>
      <c r="T1869" s="1"/>
      <c r="U1869" s="1"/>
      <c r="V1869" s="1"/>
      <c r="W1869" s="1"/>
      <c r="X1869" s="1"/>
      <c r="Y1869" s="1"/>
      <c r="Z1869" s="1"/>
      <c r="AA1869" s="1"/>
      <c r="AB1869" s="1"/>
    </row>
    <row r="1870" ht="50.25" customHeight="1">
      <c r="A1870" s="12">
        <v>1866.0</v>
      </c>
      <c r="B1870" s="13" t="s">
        <v>1824</v>
      </c>
      <c r="C1870" s="14" t="s">
        <v>1880</v>
      </c>
      <c r="D1870" s="1"/>
      <c r="E1870" s="1"/>
      <c r="F1870" s="1" t="str">
        <f>IFERROR(__xludf.DUMMYFUNCTION("GOOGLETRANSLATE(B1870, ""en"", ""fa"")
"),"وبلاگ نویسی")</f>
        <v>وبلاگ نویسی</v>
      </c>
      <c r="G1870" s="1" t="str">
        <f>IFERROR(__xludf.DUMMYFUNCTION("GOOGLETRANSLATE(C1870, ""en"", ""fa"")
"),"مزایای انجام نظرسنجی یا نظرسنجی برای جمع آوری بینش و داده ها برای پست های وبلاگ آموزنده را بررسی کنید.")</f>
        <v>مزایای انجام نظرسنجی یا نظرسنجی برای جمع آوری بینش و داده ها برای پست های وبلاگ آموزنده را بررسی کنید.</v>
      </c>
      <c r="H1870" s="1"/>
      <c r="I1870" s="1"/>
      <c r="J1870" s="1"/>
      <c r="K1870" s="1"/>
      <c r="L1870" s="1"/>
      <c r="M1870" s="1"/>
      <c r="N1870" s="1"/>
      <c r="O1870" s="1"/>
      <c r="P1870" s="1"/>
      <c r="Q1870" s="1"/>
      <c r="R1870" s="1"/>
      <c r="S1870" s="1"/>
      <c r="T1870" s="1"/>
      <c r="U1870" s="1"/>
      <c r="V1870" s="1"/>
      <c r="W1870" s="1"/>
      <c r="X1870" s="1"/>
      <c r="Y1870" s="1"/>
      <c r="Z1870" s="1"/>
      <c r="AA1870" s="1"/>
      <c r="AB1870" s="1"/>
    </row>
    <row r="1871" ht="50.25" customHeight="1">
      <c r="A1871" s="12">
        <v>1867.0</v>
      </c>
      <c r="B1871" s="13" t="s">
        <v>1824</v>
      </c>
      <c r="C1871" s="14" t="s">
        <v>1881</v>
      </c>
      <c r="D1871" s="1"/>
      <c r="E1871" s="1"/>
      <c r="F1871" s="1" t="str">
        <f>IFERROR(__xludf.DUMMYFUNCTION("GOOGLETRANSLATE(B1871, ""en"", ""fa"")
"),"وبلاگ نویسی")</f>
        <v>وبلاگ نویسی</v>
      </c>
      <c r="G1871" s="1" t="str">
        <f>IFERROR(__xludf.DUMMYFUNCTION("GOOGLETRANSLATE(C1871, ""en"", ""fa"")
"),"استراتژی‌های ارتقاء وبلاگ خود را از طریق انجمن‌های آنلاین، انجمن‌ها یا پلتفرم‌های خاص به اشتراک بگذارید.")</f>
        <v>استراتژی‌های ارتقاء وبلاگ خود را از طریق انجمن‌های آنلاین، انجمن‌ها یا پلتفرم‌های خاص به اشتراک بگذارید.</v>
      </c>
      <c r="H1871" s="1"/>
      <c r="I1871" s="1"/>
      <c r="J1871" s="1"/>
      <c r="K1871" s="1"/>
      <c r="L1871" s="1"/>
      <c r="M1871" s="1"/>
      <c r="N1871" s="1"/>
      <c r="O1871" s="1"/>
      <c r="P1871" s="1"/>
      <c r="Q1871" s="1"/>
      <c r="R1871" s="1"/>
      <c r="S1871" s="1"/>
      <c r="T1871" s="1"/>
      <c r="U1871" s="1"/>
      <c r="V1871" s="1"/>
      <c r="W1871" s="1"/>
      <c r="X1871" s="1"/>
      <c r="Y1871" s="1"/>
      <c r="Z1871" s="1"/>
      <c r="AA1871" s="1"/>
      <c r="AB1871" s="1"/>
    </row>
    <row r="1872" ht="50.25" customHeight="1">
      <c r="A1872" s="12">
        <v>1868.0</v>
      </c>
      <c r="B1872" s="13" t="s">
        <v>1824</v>
      </c>
      <c r="C1872" s="14" t="s">
        <v>1882</v>
      </c>
      <c r="D1872" s="1"/>
      <c r="E1872" s="1"/>
      <c r="F1872" s="1" t="str">
        <f>IFERROR(__xludf.DUMMYFUNCTION("GOOGLETRANSLATE(B1872, ""en"", ""fa"")
"),"وبلاگ نویسی")</f>
        <v>وبلاگ نویسی</v>
      </c>
      <c r="G1872" s="1" t="str">
        <f>IFERROR(__xludf.DUMMYFUNCTION("GOOGLETRANSLATE(C1872, ""en"", ""fa"")
"),"در مورد اهمیت بهینه سازی متا تگ های وبلاگ خود، از جمله تگ های عنوان و توضیحات متا، برای سئو بحث کنید.")</f>
        <v>در مورد اهمیت بهینه سازی متا تگ های وبلاگ خود، از جمله تگ های عنوان و توضیحات متا، برای سئو بحث کنید.</v>
      </c>
      <c r="H1872" s="1"/>
      <c r="I1872" s="1"/>
      <c r="J1872" s="1"/>
      <c r="K1872" s="1"/>
      <c r="L1872" s="1"/>
      <c r="M1872" s="1"/>
      <c r="N1872" s="1"/>
      <c r="O1872" s="1"/>
      <c r="P1872" s="1"/>
      <c r="Q1872" s="1"/>
      <c r="R1872" s="1"/>
      <c r="S1872" s="1"/>
      <c r="T1872" s="1"/>
      <c r="U1872" s="1"/>
      <c r="V1872" s="1"/>
      <c r="W1872" s="1"/>
      <c r="X1872" s="1"/>
      <c r="Y1872" s="1"/>
      <c r="Z1872" s="1"/>
      <c r="AA1872" s="1"/>
      <c r="AB1872" s="1"/>
    </row>
    <row r="1873" ht="50.25" customHeight="1">
      <c r="A1873" s="12">
        <v>1869.0</v>
      </c>
      <c r="B1873" s="13" t="s">
        <v>1824</v>
      </c>
      <c r="C1873" s="14" t="s">
        <v>1883</v>
      </c>
      <c r="D1873" s="1"/>
      <c r="E1873" s="1"/>
      <c r="F1873" s="1" t="str">
        <f>IFERROR(__xludf.DUMMYFUNCTION("GOOGLETRANSLATE(B1873, ""en"", ""fa"")
"),"وبلاگ نویسی")</f>
        <v>وبلاگ نویسی</v>
      </c>
      <c r="G1873" s="1" t="str">
        <f>IFERROR(__xludf.DUMMYFUNCTION("GOOGLETRANSLATE(C1873, ""en"", ""fa"")
"),"راه های مختلف برای تعامل با خوانندگان وبلاگ خود را از طریق عناصر تعاملی مانند آزمون ها یا نظرسنجی ها کاوش کنید.")</f>
        <v>راه های مختلف برای تعامل با خوانندگان وبلاگ خود را از طریق عناصر تعاملی مانند آزمون ها یا نظرسنجی ها کاوش کنید.</v>
      </c>
      <c r="H1873" s="1"/>
      <c r="I1873" s="1"/>
      <c r="J1873" s="1"/>
      <c r="K1873" s="1"/>
      <c r="L1873" s="1"/>
      <c r="M1873" s="1"/>
      <c r="N1873" s="1"/>
      <c r="O1873" s="1"/>
      <c r="P1873" s="1"/>
      <c r="Q1873" s="1"/>
      <c r="R1873" s="1"/>
      <c r="S1873" s="1"/>
      <c r="T1873" s="1"/>
      <c r="U1873" s="1"/>
      <c r="V1873" s="1"/>
      <c r="W1873" s="1"/>
      <c r="X1873" s="1"/>
      <c r="Y1873" s="1"/>
      <c r="Z1873" s="1"/>
      <c r="AA1873" s="1"/>
      <c r="AB1873" s="1"/>
    </row>
    <row r="1874" ht="50.25" customHeight="1">
      <c r="A1874" s="12">
        <v>1870.0</v>
      </c>
      <c r="B1874" s="13" t="s">
        <v>1824</v>
      </c>
      <c r="C1874" s="14" t="s">
        <v>1884</v>
      </c>
      <c r="D1874" s="1"/>
      <c r="E1874" s="1"/>
      <c r="F1874" s="1" t="str">
        <f>IFERROR(__xludf.DUMMYFUNCTION("GOOGLETRANSLATE(B1874, ""en"", ""fa"")
"),"وبلاگ نویسی")</f>
        <v>وبلاگ نویسی</v>
      </c>
      <c r="G1874" s="1" t="str">
        <f>IFERROR(__xludf.DUMMYFUNCTION("GOOGLETRANSLATE(C1874, ""en"", ""fa"")
"),"نکاتی را برای تبدیل محتوای وبلاگ به اینفوگرافیک های بصری جذاب یا اسلایدها برای اشتراک گذاری بیشتر به اشتراک بگذارید.")</f>
        <v>نکاتی را برای تبدیل محتوای وبلاگ به اینفوگرافیک های بصری جذاب یا اسلایدها برای اشتراک گذاری بیشتر به اشتراک بگذارید.</v>
      </c>
      <c r="H1874" s="1"/>
      <c r="I1874" s="1"/>
      <c r="J1874" s="1"/>
      <c r="K1874" s="1"/>
      <c r="L1874" s="1"/>
      <c r="M1874" s="1"/>
      <c r="N1874" s="1"/>
      <c r="O1874" s="1"/>
      <c r="P1874" s="1"/>
      <c r="Q1874" s="1"/>
      <c r="R1874" s="1"/>
      <c r="S1874" s="1"/>
      <c r="T1874" s="1"/>
      <c r="U1874" s="1"/>
      <c r="V1874" s="1"/>
      <c r="W1874" s="1"/>
      <c r="X1874" s="1"/>
      <c r="Y1874" s="1"/>
      <c r="Z1874" s="1"/>
      <c r="AA1874" s="1"/>
      <c r="AB1874" s="1"/>
    </row>
    <row r="1875" ht="50.25" customHeight="1">
      <c r="A1875" s="12">
        <v>1871.0</v>
      </c>
      <c r="B1875" s="13" t="s">
        <v>1824</v>
      </c>
      <c r="C1875" s="14" t="s">
        <v>1885</v>
      </c>
      <c r="D1875" s="1"/>
      <c r="E1875" s="1"/>
      <c r="F1875" s="1" t="str">
        <f>IFERROR(__xludf.DUMMYFUNCTION("GOOGLETRANSLATE(B1875, ""en"", ""fa"")
"),"وبلاگ نویسی")</f>
        <v>وبلاگ نویسی</v>
      </c>
      <c r="G1875" s="1" t="str">
        <f>IFERROR(__xludf.DUMMYFUNCTION("GOOGLETRANSLATE(C1875, ""en"", ""fa"")
"),"در مورد نقش مدیریت محتوا در افزودن ارزش به وبلاگ خود با سرپرستی و به اشتراک گذاری اخبار و منابع مرتبط صنعت بحث کنید.")</f>
        <v>در مورد نقش مدیریت محتوا در افزودن ارزش به وبلاگ خود با سرپرستی و به اشتراک گذاری اخبار و منابع مرتبط صنعت بحث کنید.</v>
      </c>
      <c r="H1875" s="1"/>
      <c r="I1875" s="1"/>
      <c r="J1875" s="1"/>
      <c r="K1875" s="1"/>
      <c r="L1875" s="1"/>
      <c r="M1875" s="1"/>
      <c r="N1875" s="1"/>
      <c r="O1875" s="1"/>
      <c r="P1875" s="1"/>
      <c r="Q1875" s="1"/>
      <c r="R1875" s="1"/>
      <c r="S1875" s="1"/>
      <c r="T1875" s="1"/>
      <c r="U1875" s="1"/>
      <c r="V1875" s="1"/>
      <c r="W1875" s="1"/>
      <c r="X1875" s="1"/>
      <c r="Y1875" s="1"/>
      <c r="Z1875" s="1"/>
      <c r="AA1875" s="1"/>
      <c r="AB1875" s="1"/>
    </row>
    <row r="1876" ht="50.25" customHeight="1">
      <c r="A1876" s="12">
        <v>1872.0</v>
      </c>
      <c r="B1876" s="13" t="s">
        <v>1824</v>
      </c>
      <c r="C1876" s="14" t="s">
        <v>1886</v>
      </c>
      <c r="D1876" s="1"/>
      <c r="E1876" s="1"/>
      <c r="F1876" s="1" t="str">
        <f>IFERROR(__xludf.DUMMYFUNCTION("GOOGLETRANSLATE(B1876, ""en"", ""fa"")
"),"وبلاگ نویسی")</f>
        <v>وبلاگ نویسی</v>
      </c>
      <c r="G1876" s="1" t="str">
        <f>IFERROR(__xludf.DUMMYFUNCTION("GOOGLETRANSLATE(C1876, ""en"", ""fa"")
"),"مزایای استفاده از تکنیک های داستان سرایی، مانند حکایات شخصی یا مطالعات موردی، را در پست های وبلاگ خود کاوش کنید.")</f>
        <v>مزایای استفاده از تکنیک های داستان سرایی، مانند حکایات شخصی یا مطالعات موردی، را در پست های وبلاگ خود کاوش کنید.</v>
      </c>
      <c r="H1876" s="1"/>
      <c r="I1876" s="1"/>
      <c r="J1876" s="1"/>
      <c r="K1876" s="1"/>
      <c r="L1876" s="1"/>
      <c r="M1876" s="1"/>
      <c r="N1876" s="1"/>
      <c r="O1876" s="1"/>
      <c r="P1876" s="1"/>
      <c r="Q1876" s="1"/>
      <c r="R1876" s="1"/>
      <c r="S1876" s="1"/>
      <c r="T1876" s="1"/>
      <c r="U1876" s="1"/>
      <c r="V1876" s="1"/>
      <c r="W1876" s="1"/>
      <c r="X1876" s="1"/>
      <c r="Y1876" s="1"/>
      <c r="Z1876" s="1"/>
      <c r="AA1876" s="1"/>
      <c r="AB1876" s="1"/>
    </row>
    <row r="1877" ht="50.25" customHeight="1">
      <c r="A1877" s="12">
        <v>1873.0</v>
      </c>
      <c r="B1877" s="13" t="s">
        <v>1824</v>
      </c>
      <c r="C1877" s="14" t="s">
        <v>1887</v>
      </c>
      <c r="D1877" s="1"/>
      <c r="E1877" s="1"/>
      <c r="F1877" s="1" t="str">
        <f>IFERROR(__xludf.DUMMYFUNCTION("GOOGLETRANSLATE(B1877, ""en"", ""fa"")
"),"وبلاگ نویسی")</f>
        <v>وبلاگ نویسی</v>
      </c>
      <c r="G1877" s="1" t="str">
        <f>IFERROR(__xludf.DUMMYFUNCTION("GOOGLETRANSLATE(C1877, ""en"", ""fa"")
"),"استراتژی‌هایی را برای ایجاد معرفی پست‌های وبلاگی جذاب که خوانندگان را از همان ابتدا جلب می‌کند، به اشتراک بگذارید.")</f>
        <v>استراتژی‌هایی را برای ایجاد معرفی پست‌های وبلاگی جذاب که خوانندگان را از همان ابتدا جلب می‌کند، به اشتراک بگذارید.</v>
      </c>
      <c r="H1877" s="1"/>
      <c r="I1877" s="1"/>
      <c r="J1877" s="1"/>
      <c r="K1877" s="1"/>
      <c r="L1877" s="1"/>
      <c r="M1877" s="1"/>
      <c r="N1877" s="1"/>
      <c r="O1877" s="1"/>
      <c r="P1877" s="1"/>
      <c r="Q1877" s="1"/>
      <c r="R1877" s="1"/>
      <c r="S1877" s="1"/>
      <c r="T1877" s="1"/>
      <c r="U1877" s="1"/>
      <c r="V1877" s="1"/>
      <c r="W1877" s="1"/>
      <c r="X1877" s="1"/>
      <c r="Y1877" s="1"/>
      <c r="Z1877" s="1"/>
      <c r="AA1877" s="1"/>
      <c r="AB1877" s="1"/>
    </row>
    <row r="1878" ht="50.25" customHeight="1">
      <c r="A1878" s="12">
        <v>1874.0</v>
      </c>
      <c r="B1878" s="13" t="s">
        <v>1824</v>
      </c>
      <c r="C1878" s="14" t="s">
        <v>1888</v>
      </c>
      <c r="D1878" s="1"/>
      <c r="E1878" s="1"/>
      <c r="F1878" s="1" t="str">
        <f>IFERROR(__xludf.DUMMYFUNCTION("GOOGLETRANSLATE(B1878, ""en"", ""fa"")
"),"وبلاگ نویسی")</f>
        <v>وبلاگ نویسی</v>
      </c>
      <c r="G1878" s="1" t="str">
        <f>IFERROR(__xludf.DUMMYFUNCTION("GOOGLETRANSLATE(C1878, ""en"", ""fa"")
"),"در مورد اهمیت ناوبری کاربر پسند و ساختار سایت بصری برای قابلیت استفاده بهتر وبلاگ بحث کنید.")</f>
        <v>در مورد اهمیت ناوبری کاربر پسند و ساختار سایت بصری برای قابلیت استفاده بهتر وبلاگ بحث کنید.</v>
      </c>
      <c r="H1878" s="1"/>
      <c r="I1878" s="1"/>
      <c r="J1878" s="1"/>
      <c r="K1878" s="1"/>
      <c r="L1878" s="1"/>
      <c r="M1878" s="1"/>
      <c r="N1878" s="1"/>
      <c r="O1878" s="1"/>
      <c r="P1878" s="1"/>
      <c r="Q1878" s="1"/>
      <c r="R1878" s="1"/>
      <c r="S1878" s="1"/>
      <c r="T1878" s="1"/>
      <c r="U1878" s="1"/>
      <c r="V1878" s="1"/>
      <c r="W1878" s="1"/>
      <c r="X1878" s="1"/>
      <c r="Y1878" s="1"/>
      <c r="Z1878" s="1"/>
      <c r="AA1878" s="1"/>
      <c r="AB1878" s="1"/>
    </row>
    <row r="1879" ht="50.25" customHeight="1">
      <c r="A1879" s="12">
        <v>1875.0</v>
      </c>
      <c r="B1879" s="13" t="s">
        <v>1824</v>
      </c>
      <c r="C1879" s="14" t="s">
        <v>1889</v>
      </c>
      <c r="D1879" s="1"/>
      <c r="E1879" s="1"/>
      <c r="F1879" s="1" t="str">
        <f>IFERROR(__xludf.DUMMYFUNCTION("GOOGLETRANSLATE(B1879, ""en"", ""fa"")
"),"وبلاگ نویسی")</f>
        <v>وبلاگ نویسی</v>
      </c>
      <c r="G1879" s="1" t="str">
        <f>IFERROR(__xludf.DUMMYFUNCTION("GOOGLETRANSLATE(C1879, ""en"", ""fa"")
"),"راه‌های مختلفی را برای استفاده از بازاریابی ایمیلی برای تقویت روابط با مشترکین وبلاگ خود و افزایش ترافیک جستجو کنید.")</f>
        <v>راه‌های مختلفی را برای استفاده از بازاریابی ایمیلی برای تقویت روابط با مشترکین وبلاگ خود و افزایش ترافیک جستجو کنید.</v>
      </c>
      <c r="H1879" s="1"/>
      <c r="I1879" s="1"/>
      <c r="J1879" s="1"/>
      <c r="K1879" s="1"/>
      <c r="L1879" s="1"/>
      <c r="M1879" s="1"/>
      <c r="N1879" s="1"/>
      <c r="O1879" s="1"/>
      <c r="P1879" s="1"/>
      <c r="Q1879" s="1"/>
      <c r="R1879" s="1"/>
      <c r="S1879" s="1"/>
      <c r="T1879" s="1"/>
      <c r="U1879" s="1"/>
      <c r="V1879" s="1"/>
      <c r="W1879" s="1"/>
      <c r="X1879" s="1"/>
      <c r="Y1879" s="1"/>
      <c r="Z1879" s="1"/>
      <c r="AA1879" s="1"/>
      <c r="AB1879" s="1"/>
    </row>
    <row r="1880" ht="50.25" customHeight="1">
      <c r="A1880" s="12">
        <v>1876.0</v>
      </c>
      <c r="B1880" s="13" t="s">
        <v>1824</v>
      </c>
      <c r="C1880" s="14" t="s">
        <v>1890</v>
      </c>
      <c r="D1880" s="1"/>
      <c r="E1880" s="1"/>
      <c r="F1880" s="1" t="str">
        <f>IFERROR(__xludf.DUMMYFUNCTION("GOOGLETRANSLATE(B1880, ""en"", ""fa"")
"),"وبلاگ نویسی")</f>
        <v>وبلاگ نویسی</v>
      </c>
      <c r="G1880" s="1" t="str">
        <f>IFERROR(__xludf.DUMMYFUNCTION("GOOGLETRANSLATE(C1880, ""en"", ""fa"")
"),"نکاتی را برای انجام تحقیقات موثر کلمات کلیدی برای شناسایی موضوعات پرطرفدار و بهینه سازی محتوای وبلاگ خود به اشتراک بگذارید.")</f>
        <v>نکاتی را برای انجام تحقیقات موثر کلمات کلیدی برای شناسایی موضوعات پرطرفدار و بهینه سازی محتوای وبلاگ خود به اشتراک بگذارید.</v>
      </c>
      <c r="H1880" s="1"/>
      <c r="I1880" s="1"/>
      <c r="J1880" s="1"/>
      <c r="K1880" s="1"/>
      <c r="L1880" s="1"/>
      <c r="M1880" s="1"/>
      <c r="N1880" s="1"/>
      <c r="O1880" s="1"/>
      <c r="P1880" s="1"/>
      <c r="Q1880" s="1"/>
      <c r="R1880" s="1"/>
      <c r="S1880" s="1"/>
      <c r="T1880" s="1"/>
      <c r="U1880" s="1"/>
      <c r="V1880" s="1"/>
      <c r="W1880" s="1"/>
      <c r="X1880" s="1"/>
      <c r="Y1880" s="1"/>
      <c r="Z1880" s="1"/>
      <c r="AA1880" s="1"/>
      <c r="AB1880" s="1"/>
    </row>
    <row r="1881" ht="50.25" customHeight="1">
      <c r="A1881" s="12">
        <v>1877.0</v>
      </c>
      <c r="B1881" s="13" t="s">
        <v>1824</v>
      </c>
      <c r="C1881" s="14" t="s">
        <v>1891</v>
      </c>
      <c r="D1881" s="1"/>
      <c r="E1881" s="1"/>
      <c r="F1881" s="1" t="str">
        <f>IFERROR(__xludf.DUMMYFUNCTION("GOOGLETRANSLATE(B1881, ""en"", ""fa"")
"),"وبلاگ نویسی")</f>
        <v>وبلاگ نویسی</v>
      </c>
      <c r="G1881" s="1" t="str">
        <f>IFERROR(__xludf.DUMMYFUNCTION("GOOGLETRANSLATE(C1881, ""en"", ""fa"")
"),"در مورد نقش تجسم داده ها، مانند نمودارها یا نمودارها، در ارائه موثر اطلاعات در وبلاگ خود بحث کنید.")</f>
        <v>در مورد نقش تجسم داده ها، مانند نمودارها یا نمودارها، در ارائه موثر اطلاعات در وبلاگ خود بحث کنید.</v>
      </c>
      <c r="H1881" s="1"/>
      <c r="I1881" s="1"/>
      <c r="J1881" s="1"/>
      <c r="K1881" s="1"/>
      <c r="L1881" s="1"/>
      <c r="M1881" s="1"/>
      <c r="N1881" s="1"/>
      <c r="O1881" s="1"/>
      <c r="P1881" s="1"/>
      <c r="Q1881" s="1"/>
      <c r="R1881" s="1"/>
      <c r="S1881" s="1"/>
      <c r="T1881" s="1"/>
      <c r="U1881" s="1"/>
      <c r="V1881" s="1"/>
      <c r="W1881" s="1"/>
      <c r="X1881" s="1"/>
      <c r="Y1881" s="1"/>
      <c r="Z1881" s="1"/>
      <c r="AA1881" s="1"/>
      <c r="AB1881" s="1"/>
    </row>
    <row r="1882" ht="50.25" customHeight="1">
      <c r="A1882" s="12">
        <v>1878.0</v>
      </c>
      <c r="B1882" s="13" t="s">
        <v>1824</v>
      </c>
      <c r="C1882" s="14" t="s">
        <v>1892</v>
      </c>
      <c r="D1882" s="1"/>
      <c r="E1882" s="1"/>
      <c r="F1882" s="1" t="str">
        <f>IFERROR(__xludf.DUMMYFUNCTION("GOOGLETRANSLATE(B1882, ""en"", ""fa"")
"),"وبلاگ نویسی")</f>
        <v>وبلاگ نویسی</v>
      </c>
      <c r="G1882" s="1" t="str">
        <f>IFERROR(__xludf.DUMMYFUNCTION("GOOGLETRANSLATE(C1882, ""en"", ""fa"")
"),"مزایای انجام پست‌های جمع‌بندی تخصصی، که در آن بینش و نظرات کارشناسان صنعت را در مورد یک موضوع خاص جمع‌آوری می‌کنید، کاوش کنید.")</f>
        <v>مزایای انجام پست‌های جمع‌بندی تخصصی، که در آن بینش و نظرات کارشناسان صنعت را در مورد یک موضوع خاص جمع‌آوری می‌کنید، کاوش کنید.</v>
      </c>
      <c r="H1882" s="1"/>
      <c r="I1882" s="1"/>
      <c r="J1882" s="1"/>
      <c r="K1882" s="1"/>
      <c r="L1882" s="1"/>
      <c r="M1882" s="1"/>
      <c r="N1882" s="1"/>
      <c r="O1882" s="1"/>
      <c r="P1882" s="1"/>
      <c r="Q1882" s="1"/>
      <c r="R1882" s="1"/>
      <c r="S1882" s="1"/>
      <c r="T1882" s="1"/>
      <c r="U1882" s="1"/>
      <c r="V1882" s="1"/>
      <c r="W1882" s="1"/>
      <c r="X1882" s="1"/>
      <c r="Y1882" s="1"/>
      <c r="Z1882" s="1"/>
      <c r="AA1882" s="1"/>
      <c r="AB1882" s="1"/>
    </row>
    <row r="1883" ht="50.25" customHeight="1">
      <c r="A1883" s="12">
        <v>1879.0</v>
      </c>
      <c r="B1883" s="13" t="s">
        <v>1824</v>
      </c>
      <c r="C1883" s="14" t="s">
        <v>1893</v>
      </c>
      <c r="D1883" s="1"/>
      <c r="E1883" s="1"/>
      <c r="F1883" s="1" t="str">
        <f>IFERROR(__xludf.DUMMYFUNCTION("GOOGLETRANSLATE(B1883, ""en"", ""fa"")
"),"وبلاگ نویسی")</f>
        <v>وبلاگ نویسی</v>
      </c>
      <c r="G1883" s="1" t="str">
        <f>IFERROR(__xludf.DUMMYFUNCTION("GOOGLETRANSLATE(C1883, ""en"", ""fa"")
"),"برای ایجاد اعتبار برای وبلاگ خود، استراتژی هایی را برای استفاده از شواهد اجتماعی، مانند توصیفات کاربر یا مطالعات موردی، به اشتراک بگذارید.")</f>
        <v>برای ایجاد اعتبار برای وبلاگ خود، استراتژی هایی را برای استفاده از شواهد اجتماعی، مانند توصیفات کاربر یا مطالعات موردی، به اشتراک بگذارید.</v>
      </c>
      <c r="H1883" s="1"/>
      <c r="I1883" s="1"/>
      <c r="J1883" s="1"/>
      <c r="K1883" s="1"/>
      <c r="L1883" s="1"/>
      <c r="M1883" s="1"/>
      <c r="N1883" s="1"/>
      <c r="O1883" s="1"/>
      <c r="P1883" s="1"/>
      <c r="Q1883" s="1"/>
      <c r="R1883" s="1"/>
      <c r="S1883" s="1"/>
      <c r="T1883" s="1"/>
      <c r="U1883" s="1"/>
      <c r="V1883" s="1"/>
      <c r="W1883" s="1"/>
      <c r="X1883" s="1"/>
      <c r="Y1883" s="1"/>
      <c r="Z1883" s="1"/>
      <c r="AA1883" s="1"/>
      <c r="AB1883" s="1"/>
    </row>
    <row r="1884" ht="50.25" customHeight="1">
      <c r="A1884" s="12">
        <v>1880.0</v>
      </c>
      <c r="B1884" s="13" t="s">
        <v>1824</v>
      </c>
      <c r="C1884" s="14" t="s">
        <v>1894</v>
      </c>
      <c r="D1884" s="1"/>
      <c r="E1884" s="1"/>
      <c r="F1884" s="1" t="str">
        <f>IFERROR(__xludf.DUMMYFUNCTION("GOOGLETRANSLATE(B1884, ""en"", ""fa"")
"),"وبلاگ نویسی")</f>
        <v>وبلاگ نویسی</v>
      </c>
      <c r="G1884" s="1" t="str">
        <f>IFERROR(__xludf.DUMMYFUNCTION("GOOGLETRANSLATE(C1884, ""en"", ""fa"")
"),"در مورد اهمیت ترکیب پیوندهای داخلی در پست های وبلاگ خود برای بهبود ناوبری و تعامل کاربر بحث کنید.")</f>
        <v>در مورد اهمیت ترکیب پیوندهای داخلی در پست های وبلاگ خود برای بهبود ناوبری و تعامل کاربر بحث کنید.</v>
      </c>
      <c r="H1884" s="1"/>
      <c r="I1884" s="1"/>
      <c r="J1884" s="1"/>
      <c r="K1884" s="1"/>
      <c r="L1884" s="1"/>
      <c r="M1884" s="1"/>
      <c r="N1884" s="1"/>
      <c r="O1884" s="1"/>
      <c r="P1884" s="1"/>
      <c r="Q1884" s="1"/>
      <c r="R1884" s="1"/>
      <c r="S1884" s="1"/>
      <c r="T1884" s="1"/>
      <c r="U1884" s="1"/>
      <c r="V1884" s="1"/>
      <c r="W1884" s="1"/>
      <c r="X1884" s="1"/>
      <c r="Y1884" s="1"/>
      <c r="Z1884" s="1"/>
      <c r="AA1884" s="1"/>
      <c r="AB1884" s="1"/>
    </row>
    <row r="1885" ht="50.25" customHeight="1">
      <c r="A1885" s="12">
        <v>1881.0</v>
      </c>
      <c r="B1885" s="13" t="s">
        <v>1824</v>
      </c>
      <c r="C1885" s="14" t="s">
        <v>1895</v>
      </c>
      <c r="D1885" s="1"/>
      <c r="E1885" s="1"/>
      <c r="F1885" s="1" t="str">
        <f>IFERROR(__xludf.DUMMYFUNCTION("GOOGLETRANSLATE(B1885, ""en"", ""fa"")
"),"وبلاگ نویسی")</f>
        <v>وبلاگ نویسی</v>
      </c>
      <c r="G1885" s="1" t="str">
        <f>IFERROR(__xludf.DUMMYFUNCTION("GOOGLETRANSLATE(C1885, ""en"", ""fa"")
"),"راه‌های مختلف را برای بهینه‌سازی وبلاگ خود برای جستجوی صوتی و افزایش محبوبیت دستگاه‌های دارای قابلیت صوتی بررسی کنید.")</f>
        <v>راه‌های مختلف را برای بهینه‌سازی وبلاگ خود برای جستجوی صوتی و افزایش محبوبیت دستگاه‌های دارای قابلیت صوتی بررسی کنید.</v>
      </c>
      <c r="H1885" s="1"/>
      <c r="I1885" s="1"/>
      <c r="J1885" s="1"/>
      <c r="K1885" s="1"/>
      <c r="L1885" s="1"/>
      <c r="M1885" s="1"/>
      <c r="N1885" s="1"/>
      <c r="O1885" s="1"/>
      <c r="P1885" s="1"/>
      <c r="Q1885" s="1"/>
      <c r="R1885" s="1"/>
      <c r="S1885" s="1"/>
      <c r="T1885" s="1"/>
      <c r="U1885" s="1"/>
      <c r="V1885" s="1"/>
      <c r="W1885" s="1"/>
      <c r="X1885" s="1"/>
      <c r="Y1885" s="1"/>
      <c r="Z1885" s="1"/>
      <c r="AA1885" s="1"/>
      <c r="AB1885" s="1"/>
    </row>
    <row r="1886" ht="50.25" customHeight="1">
      <c r="A1886" s="12">
        <v>1882.0</v>
      </c>
      <c r="B1886" s="13" t="s">
        <v>1824</v>
      </c>
      <c r="C1886" s="14" t="s">
        <v>1896</v>
      </c>
      <c r="D1886" s="1"/>
      <c r="E1886" s="1"/>
      <c r="F1886" s="1" t="str">
        <f>IFERROR(__xludf.DUMMYFUNCTION("GOOGLETRANSLATE(B1886, ""en"", ""fa"")
"),"وبلاگ نویسی")</f>
        <v>وبلاگ نویسی</v>
      </c>
      <c r="G1886" s="1" t="str">
        <f>IFERROR(__xludf.DUMMYFUNCTION("GOOGLETRANSLATE(C1886, ""en"", ""fa"")
"),"نکاتی را برای نوشتن نظرات قانع کننده محصول یا توصیه هایی به اشتراک بگذارید که با مخاطبان وبلاگ شما طنین انداز شود.")</f>
        <v>نکاتی را برای نوشتن نظرات قانع کننده محصول یا توصیه هایی به اشتراک بگذارید که با مخاطبان وبلاگ شما طنین انداز شود.</v>
      </c>
      <c r="H1886" s="1"/>
      <c r="I1886" s="1"/>
      <c r="J1886" s="1"/>
      <c r="K1886" s="1"/>
      <c r="L1886" s="1"/>
      <c r="M1886" s="1"/>
      <c r="N1886" s="1"/>
      <c r="O1886" s="1"/>
      <c r="P1886" s="1"/>
      <c r="Q1886" s="1"/>
      <c r="R1886" s="1"/>
      <c r="S1886" s="1"/>
      <c r="T1886" s="1"/>
      <c r="U1886" s="1"/>
      <c r="V1886" s="1"/>
      <c r="W1886" s="1"/>
      <c r="X1886" s="1"/>
      <c r="Y1886" s="1"/>
      <c r="Z1886" s="1"/>
      <c r="AA1886" s="1"/>
      <c r="AB1886" s="1"/>
    </row>
    <row r="1887" ht="50.25" customHeight="1">
      <c r="A1887" s="12">
        <v>1883.0</v>
      </c>
      <c r="B1887" s="13" t="s">
        <v>1824</v>
      </c>
      <c r="C1887" s="14" t="s">
        <v>1897</v>
      </c>
      <c r="D1887" s="1"/>
      <c r="E1887" s="1"/>
      <c r="F1887" s="1" t="str">
        <f>IFERROR(__xludf.DUMMYFUNCTION("GOOGLETRANSLATE(B1887, ""en"", ""fa"")
"),"وبلاگ نویسی")</f>
        <v>وبلاگ نویسی</v>
      </c>
      <c r="G1887" s="1" t="str">
        <f>IFERROR(__xludf.DUMMYFUNCTION("GOOGLETRANSLATE(C1887, ""en"", ""fa"")
"),"درباره نقش پیوند محتوا و بازنشر پست های وبلاگ خود در پلتفرم های خارجی برای دستیابی به مخاطبان گسترده تر بحث کنید.")</f>
        <v>درباره نقش پیوند محتوا و بازنشر پست های وبلاگ خود در پلتفرم های خارجی برای دستیابی به مخاطبان گسترده تر بحث کنید.</v>
      </c>
      <c r="H1887" s="1"/>
      <c r="I1887" s="1"/>
      <c r="J1887" s="1"/>
      <c r="K1887" s="1"/>
      <c r="L1887" s="1"/>
      <c r="M1887" s="1"/>
      <c r="N1887" s="1"/>
      <c r="O1887" s="1"/>
      <c r="P1887" s="1"/>
      <c r="Q1887" s="1"/>
      <c r="R1887" s="1"/>
      <c r="S1887" s="1"/>
      <c r="T1887" s="1"/>
      <c r="U1887" s="1"/>
      <c r="V1887" s="1"/>
      <c r="W1887" s="1"/>
      <c r="X1887" s="1"/>
      <c r="Y1887" s="1"/>
      <c r="Z1887" s="1"/>
      <c r="AA1887" s="1"/>
      <c r="AB1887" s="1"/>
    </row>
    <row r="1888" ht="50.25" customHeight="1">
      <c r="A1888" s="12">
        <v>1884.0</v>
      </c>
      <c r="B1888" s="13" t="s">
        <v>1824</v>
      </c>
      <c r="C1888" s="14" t="s">
        <v>1898</v>
      </c>
      <c r="D1888" s="1"/>
      <c r="E1888" s="1"/>
      <c r="F1888" s="1" t="str">
        <f>IFERROR(__xludf.DUMMYFUNCTION("GOOGLETRANSLATE(B1888, ""en"", ""fa"")
"),"وبلاگ نویسی")</f>
        <v>وبلاگ نویسی</v>
      </c>
      <c r="G1888" s="1" t="str">
        <f>IFERROR(__xludf.DUMMYFUNCTION("GOOGLETRANSLATE(C1888, ""en"", ""fa"")
"),"مزایای گنجاندن محتوای ویدیویی در وبلاگ خود، مانند وبلاگ ها، آموزش ها یا مصاحبه ها را بررسی کنید.")</f>
        <v>مزایای گنجاندن محتوای ویدیویی در وبلاگ خود، مانند وبلاگ ها، آموزش ها یا مصاحبه ها را بررسی کنید.</v>
      </c>
      <c r="H1888" s="1"/>
      <c r="I1888" s="1"/>
      <c r="J1888" s="1"/>
      <c r="K1888" s="1"/>
      <c r="L1888" s="1"/>
      <c r="M1888" s="1"/>
      <c r="N1888" s="1"/>
      <c r="O1888" s="1"/>
      <c r="P1888" s="1"/>
      <c r="Q1888" s="1"/>
      <c r="R1888" s="1"/>
      <c r="S1888" s="1"/>
      <c r="T1888" s="1"/>
      <c r="U1888" s="1"/>
      <c r="V1888" s="1"/>
      <c r="W1888" s="1"/>
      <c r="X1888" s="1"/>
      <c r="Y1888" s="1"/>
      <c r="Z1888" s="1"/>
      <c r="AA1888" s="1"/>
      <c r="AB1888" s="1"/>
    </row>
    <row r="1889" ht="50.25" customHeight="1">
      <c r="A1889" s="12">
        <v>1885.0</v>
      </c>
      <c r="B1889" s="13" t="s">
        <v>1824</v>
      </c>
      <c r="C1889" s="14" t="s">
        <v>1899</v>
      </c>
      <c r="D1889" s="1"/>
      <c r="E1889" s="1"/>
      <c r="F1889" s="1" t="str">
        <f>IFERROR(__xludf.DUMMYFUNCTION("GOOGLETRANSLATE(B1889, ""en"", ""fa"")
"),"وبلاگ نویسی")</f>
        <v>وبلاگ نویسی</v>
      </c>
      <c r="G1889" s="1" t="str">
        <f>IFERROR(__xludf.DUMMYFUNCTION("GOOGLETRANSLATE(C1889, ""en"", ""fa"")
"),"استراتژی های انجام تجزیه و تحلیل کلمات کلیدی را برای شناسایی کلمات کلیدی کم رقابت برای فرصت های رتبه بندی بهتر وبلاگ به اشتراک بگذارید.")</f>
        <v>استراتژی های انجام تجزیه و تحلیل کلمات کلیدی را برای شناسایی کلمات کلیدی کم رقابت برای فرصت های رتبه بندی بهتر وبلاگ به اشتراک بگذارید.</v>
      </c>
      <c r="H1889" s="1"/>
      <c r="I1889" s="1"/>
      <c r="J1889" s="1"/>
      <c r="K1889" s="1"/>
      <c r="L1889" s="1"/>
      <c r="M1889" s="1"/>
      <c r="N1889" s="1"/>
      <c r="O1889" s="1"/>
      <c r="P1889" s="1"/>
      <c r="Q1889" s="1"/>
      <c r="R1889" s="1"/>
      <c r="S1889" s="1"/>
      <c r="T1889" s="1"/>
      <c r="U1889" s="1"/>
      <c r="V1889" s="1"/>
      <c r="W1889" s="1"/>
      <c r="X1889" s="1"/>
      <c r="Y1889" s="1"/>
      <c r="Z1889" s="1"/>
      <c r="AA1889" s="1"/>
      <c r="AB1889" s="1"/>
    </row>
    <row r="1890" ht="50.25" customHeight="1">
      <c r="A1890" s="12">
        <v>1886.0</v>
      </c>
      <c r="B1890" s="13" t="s">
        <v>1824</v>
      </c>
      <c r="C1890" s="14" t="s">
        <v>1900</v>
      </c>
      <c r="D1890" s="1"/>
      <c r="E1890" s="1"/>
      <c r="F1890" s="1" t="str">
        <f>IFERROR(__xludf.DUMMYFUNCTION("GOOGLETRANSLATE(B1890, ""en"", ""fa"")
"),"وبلاگ نویسی")</f>
        <v>وبلاگ نویسی</v>
      </c>
      <c r="G1890" s="1" t="str">
        <f>IFERROR(__xludf.DUMMYFUNCTION("GOOGLETRANSLATE(C1890, ""en"", ""fa"")
"),"در مورد اهمیت ایجاد روابط با وبلاگ نویسان دیگر از طریق شبکه سازی و فرصت های همکاری بحث کنید.")</f>
        <v>در مورد اهمیت ایجاد روابط با وبلاگ نویسان دیگر از طریق شبکه سازی و فرصت های همکاری بحث کنید.</v>
      </c>
      <c r="H1890" s="1"/>
      <c r="I1890" s="1"/>
      <c r="J1890" s="1"/>
      <c r="K1890" s="1"/>
      <c r="L1890" s="1"/>
      <c r="M1890" s="1"/>
      <c r="N1890" s="1"/>
      <c r="O1890" s="1"/>
      <c r="P1890" s="1"/>
      <c r="Q1890" s="1"/>
      <c r="R1890" s="1"/>
      <c r="S1890" s="1"/>
      <c r="T1890" s="1"/>
      <c r="U1890" s="1"/>
      <c r="V1890" s="1"/>
      <c r="W1890" s="1"/>
      <c r="X1890" s="1"/>
      <c r="Y1890" s="1"/>
      <c r="Z1890" s="1"/>
      <c r="AA1890" s="1"/>
      <c r="AB1890" s="1"/>
    </row>
    <row r="1891" ht="50.25" customHeight="1">
      <c r="A1891" s="12">
        <v>1887.0</v>
      </c>
      <c r="B1891" s="13" t="s">
        <v>1824</v>
      </c>
      <c r="C1891" s="14" t="s">
        <v>1901</v>
      </c>
      <c r="D1891" s="1"/>
      <c r="E1891" s="1"/>
      <c r="F1891" s="1" t="str">
        <f>IFERROR(__xludf.DUMMYFUNCTION("GOOGLETRANSLATE(B1891, ""en"", ""fa"")
"),"وبلاگ نویسی")</f>
        <v>وبلاگ نویسی</v>
      </c>
      <c r="G1891" s="1" t="str">
        <f>IFERROR(__xludf.DUMMYFUNCTION("GOOGLETRANSLATE(C1891, ""en"", ""fa"")
"),"راه های مختلفی را برای استفاده از تأثیرگذاران رسانه های اجتماعی برای تبلیغ وبلاگ خود و جذب خوانندگان جدید بررسی کنید.")</f>
        <v>راه های مختلفی را برای استفاده از تأثیرگذاران رسانه های اجتماعی برای تبلیغ وبلاگ خود و جذب خوانندگان جدید بررسی کنید.</v>
      </c>
      <c r="H1891" s="1"/>
      <c r="I1891" s="1"/>
      <c r="J1891" s="1"/>
      <c r="K1891" s="1"/>
      <c r="L1891" s="1"/>
      <c r="M1891" s="1"/>
      <c r="N1891" s="1"/>
      <c r="O1891" s="1"/>
      <c r="P1891" s="1"/>
      <c r="Q1891" s="1"/>
      <c r="R1891" s="1"/>
      <c r="S1891" s="1"/>
      <c r="T1891" s="1"/>
      <c r="U1891" s="1"/>
      <c r="V1891" s="1"/>
      <c r="W1891" s="1"/>
      <c r="X1891" s="1"/>
      <c r="Y1891" s="1"/>
      <c r="Z1891" s="1"/>
      <c r="AA1891" s="1"/>
      <c r="AB1891" s="1"/>
    </row>
    <row r="1892" ht="50.25" customHeight="1">
      <c r="A1892" s="12">
        <v>1888.0</v>
      </c>
      <c r="B1892" s="13" t="s">
        <v>1824</v>
      </c>
      <c r="C1892" s="14" t="s">
        <v>1902</v>
      </c>
      <c r="D1892" s="1"/>
      <c r="E1892" s="1"/>
      <c r="F1892" s="1" t="str">
        <f>IFERROR(__xludf.DUMMYFUNCTION("GOOGLETRANSLATE(B1892, ""en"", ""fa"")
"),"وبلاگ نویسی")</f>
        <v>وبلاگ نویسی</v>
      </c>
      <c r="G1892" s="1" t="str">
        <f>IFERROR(__xludf.DUMMYFUNCTION("GOOGLETRANSLATE(C1892, ""en"", ""fa"")
"),"نکاتی را برای بهینه سازی متا تگ های وبلاگ خود، از جمله تگ های عنوان و توضیحات متا، برای نرخ کلیک بهتر در نتایج جستجو به اشتراک بگذارید.")</f>
        <v>نکاتی را برای بهینه سازی متا تگ های وبلاگ خود، از جمله تگ های عنوان و توضیحات متا، برای نرخ کلیک بهتر در نتایج جستجو به اشتراک بگذارید.</v>
      </c>
      <c r="H1892" s="1"/>
      <c r="I1892" s="1"/>
      <c r="J1892" s="1"/>
      <c r="K1892" s="1"/>
      <c r="L1892" s="1"/>
      <c r="M1892" s="1"/>
      <c r="N1892" s="1"/>
      <c r="O1892" s="1"/>
      <c r="P1892" s="1"/>
      <c r="Q1892" s="1"/>
      <c r="R1892" s="1"/>
      <c r="S1892" s="1"/>
      <c r="T1892" s="1"/>
      <c r="U1892" s="1"/>
      <c r="V1892" s="1"/>
      <c r="W1892" s="1"/>
      <c r="X1892" s="1"/>
      <c r="Y1892" s="1"/>
      <c r="Z1892" s="1"/>
      <c r="AA1892" s="1"/>
      <c r="AB1892" s="1"/>
    </row>
    <row r="1893" ht="50.25" customHeight="1">
      <c r="A1893" s="12">
        <v>1889.0</v>
      </c>
      <c r="B1893" s="13" t="s">
        <v>1824</v>
      </c>
      <c r="C1893" s="14" t="s">
        <v>1903</v>
      </c>
      <c r="D1893" s="1"/>
      <c r="E1893" s="1"/>
      <c r="F1893" s="1" t="str">
        <f>IFERROR(__xludf.DUMMYFUNCTION("GOOGLETRANSLATE(B1893, ""en"", ""fa"")
"),"وبلاگ نویسی")</f>
        <v>وبلاگ نویسی</v>
      </c>
      <c r="G1893" s="1" t="str">
        <f>IFERROR(__xludf.DUMMYFUNCTION("GOOGLETRANSLATE(C1893, ""en"", ""fa"")
"),"در مورد نقش طراحی تجربه کاربری (UX) در ایجاد یک تجربه مرور یکپارچه و لذت بخش برای بازدیدکنندگان وبلاگ خود بحث کنید.")</f>
        <v>در مورد نقش طراحی تجربه کاربری (UX) در ایجاد یک تجربه مرور یکپارچه و لذت بخش برای بازدیدکنندگان وبلاگ خود بحث کنید.</v>
      </c>
      <c r="H1893" s="1"/>
      <c r="I1893" s="1"/>
      <c r="J1893" s="1"/>
      <c r="K1893" s="1"/>
      <c r="L1893" s="1"/>
      <c r="M1893" s="1"/>
      <c r="N1893" s="1"/>
      <c r="O1893" s="1"/>
      <c r="P1893" s="1"/>
      <c r="Q1893" s="1"/>
      <c r="R1893" s="1"/>
      <c r="S1893" s="1"/>
      <c r="T1893" s="1"/>
      <c r="U1893" s="1"/>
      <c r="V1893" s="1"/>
      <c r="W1893" s="1"/>
      <c r="X1893" s="1"/>
      <c r="Y1893" s="1"/>
      <c r="Z1893" s="1"/>
      <c r="AA1893" s="1"/>
      <c r="AB1893" s="1"/>
    </row>
    <row r="1894" ht="50.25" customHeight="1">
      <c r="A1894" s="12">
        <v>1890.0</v>
      </c>
      <c r="B1894" s="13" t="s">
        <v>1824</v>
      </c>
      <c r="C1894" s="14" t="s">
        <v>1904</v>
      </c>
      <c r="D1894" s="1"/>
      <c r="E1894" s="1"/>
      <c r="F1894" s="1" t="str">
        <f>IFERROR(__xludf.DUMMYFUNCTION("GOOGLETRANSLATE(B1894, ""en"", ""fa"")
"),"وبلاگ نویسی")</f>
        <v>وبلاگ نویسی</v>
      </c>
      <c r="G1894" s="1" t="str">
        <f>IFERROR(__xludf.DUMMYFUNCTION("GOOGLETRANSLATE(C1894, ""en"", ""fa"")
"),"مزایای گنجاندن محتوای داده محور، مانند مطالعات تحقیقاتی یا تجزیه و تحلیل داده ها، را در پست های وبلاگ خود کاوش کنید.")</f>
        <v>مزایای گنجاندن محتوای داده محور، مانند مطالعات تحقیقاتی یا تجزیه و تحلیل داده ها، را در پست های وبلاگ خود کاوش کنید.</v>
      </c>
      <c r="H1894" s="1"/>
      <c r="I1894" s="1"/>
      <c r="J1894" s="1"/>
      <c r="K1894" s="1"/>
      <c r="L1894" s="1"/>
      <c r="M1894" s="1"/>
      <c r="N1894" s="1"/>
      <c r="O1894" s="1"/>
      <c r="P1894" s="1"/>
      <c r="Q1894" s="1"/>
      <c r="R1894" s="1"/>
      <c r="S1894" s="1"/>
      <c r="T1894" s="1"/>
      <c r="U1894" s="1"/>
      <c r="V1894" s="1"/>
      <c r="W1894" s="1"/>
      <c r="X1894" s="1"/>
      <c r="Y1894" s="1"/>
      <c r="Z1894" s="1"/>
      <c r="AA1894" s="1"/>
      <c r="AB1894" s="1"/>
    </row>
    <row r="1895" ht="50.25" customHeight="1">
      <c r="A1895" s="12">
        <v>1891.0</v>
      </c>
      <c r="B1895" s="13" t="s">
        <v>1824</v>
      </c>
      <c r="C1895" s="14" t="s">
        <v>1905</v>
      </c>
      <c r="D1895" s="1"/>
      <c r="E1895" s="1"/>
      <c r="F1895" s="1" t="str">
        <f>IFERROR(__xludf.DUMMYFUNCTION("GOOGLETRANSLATE(B1895, ""en"", ""fa"")
"),"وبلاگ نویسی")</f>
        <v>وبلاگ نویسی</v>
      </c>
      <c r="G1895" s="1" t="str">
        <f>IFERROR(__xludf.DUMMYFUNCTION("GOOGLETRANSLATE(C1895, ""en"", ""fa"")
"),"استراتژی هایی را برای ایجاد محتوای ستونی یا راهنمای نهایی که به عنوان منابع جامع در مورد موضوعات خاص خدمت می کنند، به اشتراک بگذارید.")</f>
        <v>استراتژی هایی را برای ایجاد محتوای ستونی یا راهنمای نهایی که به عنوان منابع جامع در مورد موضوعات خاص خدمت می کنند، به اشتراک بگذارید.</v>
      </c>
      <c r="H1895" s="1"/>
      <c r="I1895" s="1"/>
      <c r="J1895" s="1"/>
      <c r="K1895" s="1"/>
      <c r="L1895" s="1"/>
      <c r="M1895" s="1"/>
      <c r="N1895" s="1"/>
      <c r="O1895" s="1"/>
      <c r="P1895" s="1"/>
      <c r="Q1895" s="1"/>
      <c r="R1895" s="1"/>
      <c r="S1895" s="1"/>
      <c r="T1895" s="1"/>
      <c r="U1895" s="1"/>
      <c r="V1895" s="1"/>
      <c r="W1895" s="1"/>
      <c r="X1895" s="1"/>
      <c r="Y1895" s="1"/>
      <c r="Z1895" s="1"/>
      <c r="AA1895" s="1"/>
      <c r="AB1895" s="1"/>
    </row>
    <row r="1896" ht="50.25" customHeight="1">
      <c r="A1896" s="12">
        <v>1892.0</v>
      </c>
      <c r="B1896" s="13" t="s">
        <v>1824</v>
      </c>
      <c r="C1896" s="14" t="s">
        <v>1906</v>
      </c>
      <c r="D1896" s="1"/>
      <c r="E1896" s="1"/>
      <c r="F1896" s="1" t="str">
        <f>IFERROR(__xludf.DUMMYFUNCTION("GOOGLETRANSLATE(B1896, ""en"", ""fa"")
"),"وبلاگ نویسی")</f>
        <v>وبلاگ نویسی</v>
      </c>
      <c r="G1896" s="1" t="str">
        <f>IFERROR(__xludf.DUMMYFUNCTION("GOOGLETRANSLATE(C1896, ""en"", ""fa"")
"),"در مورد اهمیت تبلیغ وبلاگ خود از طریق انجمن های آنلاین یا انجمن های مرتبط با جایگاه خود بحث کنید.")</f>
        <v>در مورد اهمیت تبلیغ وبلاگ خود از طریق انجمن های آنلاین یا انجمن های مرتبط با جایگاه خود بحث کنید.</v>
      </c>
      <c r="H1896" s="1"/>
      <c r="I1896" s="1"/>
      <c r="J1896" s="1"/>
      <c r="K1896" s="1"/>
      <c r="L1896" s="1"/>
      <c r="M1896" s="1"/>
      <c r="N1896" s="1"/>
      <c r="O1896" s="1"/>
      <c r="P1896" s="1"/>
      <c r="Q1896" s="1"/>
      <c r="R1896" s="1"/>
      <c r="S1896" s="1"/>
      <c r="T1896" s="1"/>
      <c r="U1896" s="1"/>
      <c r="V1896" s="1"/>
      <c r="W1896" s="1"/>
      <c r="X1896" s="1"/>
      <c r="Y1896" s="1"/>
      <c r="Z1896" s="1"/>
      <c r="AA1896" s="1"/>
      <c r="AB1896" s="1"/>
    </row>
    <row r="1897" ht="50.25" customHeight="1">
      <c r="A1897" s="12">
        <v>1893.0</v>
      </c>
      <c r="B1897" s="13" t="s">
        <v>1824</v>
      </c>
      <c r="C1897" s="14" t="s">
        <v>1907</v>
      </c>
      <c r="D1897" s="1"/>
      <c r="E1897" s="1"/>
      <c r="F1897" s="1" t="str">
        <f>IFERROR(__xludf.DUMMYFUNCTION("GOOGLETRANSLATE(B1897, ""en"", ""fa"")
"),"وبلاگ نویسی")</f>
        <v>وبلاگ نویسی</v>
      </c>
      <c r="G1897" s="1" t="str">
        <f>IFERROR(__xludf.DUMMYFUNCTION("GOOGLETRANSLATE(C1897, ""en"", ""fa"")
"),"برای جذب خوانندگان جدید و دیدگاه‌های تازه، راه‌های مختلفی را برای استفاده از تصاحب اینفلوئنسرها یا پست‌های مهمان در وبلاگ خود کاوش کنید.")</f>
        <v>برای جذب خوانندگان جدید و دیدگاه‌های تازه، راه‌های مختلفی را برای استفاده از تصاحب اینفلوئنسرها یا پست‌های مهمان در وبلاگ خود کاوش کنید.</v>
      </c>
      <c r="H1897" s="1"/>
      <c r="I1897" s="1"/>
      <c r="J1897" s="1"/>
      <c r="K1897" s="1"/>
      <c r="L1897" s="1"/>
      <c r="M1897" s="1"/>
      <c r="N1897" s="1"/>
      <c r="O1897" s="1"/>
      <c r="P1897" s="1"/>
      <c r="Q1897" s="1"/>
      <c r="R1897" s="1"/>
      <c r="S1897" s="1"/>
      <c r="T1897" s="1"/>
      <c r="U1897" s="1"/>
      <c r="V1897" s="1"/>
      <c r="W1897" s="1"/>
      <c r="X1897" s="1"/>
      <c r="Y1897" s="1"/>
      <c r="Z1897" s="1"/>
      <c r="AA1897" s="1"/>
      <c r="AB1897" s="1"/>
    </row>
    <row r="1898" ht="50.25" customHeight="1">
      <c r="A1898" s="12">
        <v>1894.0</v>
      </c>
      <c r="B1898" s="13" t="s">
        <v>1824</v>
      </c>
      <c r="C1898" s="14" t="s">
        <v>1908</v>
      </c>
      <c r="D1898" s="1"/>
      <c r="E1898" s="1"/>
      <c r="F1898" s="1" t="str">
        <f>IFERROR(__xludf.DUMMYFUNCTION("GOOGLETRANSLATE(B1898, ""en"", ""fa"")
"),"وبلاگ نویسی")</f>
        <v>وبلاگ نویسی</v>
      </c>
      <c r="G1898" s="1" t="str">
        <f>IFERROR(__xludf.DUMMYFUNCTION("GOOGLETRANSLATE(C1898, ""en"", ""fa"")
"),"نکاتی را برای بهینه سازی ساختار پیوند دائمی وبلاگ و اسلاگ های URL برای دید بهتر در موتورهای جستجو به اشتراک بگذارید.")</f>
        <v>نکاتی را برای بهینه سازی ساختار پیوند دائمی وبلاگ و اسلاگ های URL برای دید بهتر در موتورهای جستجو به اشتراک بگذارید.</v>
      </c>
      <c r="H1898" s="1"/>
      <c r="I1898" s="1"/>
      <c r="J1898" s="1"/>
      <c r="K1898" s="1"/>
      <c r="L1898" s="1"/>
      <c r="M1898" s="1"/>
      <c r="N1898" s="1"/>
      <c r="O1898" s="1"/>
      <c r="P1898" s="1"/>
      <c r="Q1898" s="1"/>
      <c r="R1898" s="1"/>
      <c r="S1898" s="1"/>
      <c r="T1898" s="1"/>
      <c r="U1898" s="1"/>
      <c r="V1898" s="1"/>
      <c r="W1898" s="1"/>
      <c r="X1898" s="1"/>
      <c r="Y1898" s="1"/>
      <c r="Z1898" s="1"/>
      <c r="AA1898" s="1"/>
      <c r="AB1898" s="1"/>
    </row>
    <row r="1899" ht="50.25" customHeight="1">
      <c r="A1899" s="12">
        <v>1895.0</v>
      </c>
      <c r="B1899" s="13" t="s">
        <v>1824</v>
      </c>
      <c r="C1899" s="14" t="s">
        <v>1909</v>
      </c>
      <c r="D1899" s="1"/>
      <c r="E1899" s="1"/>
      <c r="F1899" s="1" t="str">
        <f>IFERROR(__xludf.DUMMYFUNCTION("GOOGLETRANSLATE(B1899, ""en"", ""fa"")
"),"وبلاگ نویسی")</f>
        <v>وبلاگ نویسی</v>
      </c>
      <c r="G1899" s="1" t="str">
        <f>IFERROR(__xludf.DUMMYFUNCTION("GOOGLETRANSLATE(C1899, ""en"", ""fa"")
"),"در مورد نقش رقابت ها یا چالش های محتوای تولید شده توسط کاربر در تقویت تعامل و ایجاد سر و صدا در اطراف وبلاگ خود بحث کنید.")</f>
        <v>در مورد نقش رقابت ها یا چالش های محتوای تولید شده توسط کاربر در تقویت تعامل و ایجاد سر و صدا در اطراف وبلاگ خود بحث کنید.</v>
      </c>
      <c r="H1899" s="1"/>
      <c r="I1899" s="1"/>
      <c r="J1899" s="1"/>
      <c r="K1899" s="1"/>
      <c r="L1899" s="1"/>
      <c r="M1899" s="1"/>
      <c r="N1899" s="1"/>
      <c r="O1899" s="1"/>
      <c r="P1899" s="1"/>
      <c r="Q1899" s="1"/>
      <c r="R1899" s="1"/>
      <c r="S1899" s="1"/>
      <c r="T1899" s="1"/>
      <c r="U1899" s="1"/>
      <c r="V1899" s="1"/>
      <c r="W1899" s="1"/>
      <c r="X1899" s="1"/>
      <c r="Y1899" s="1"/>
      <c r="Z1899" s="1"/>
      <c r="AA1899" s="1"/>
      <c r="AB1899" s="1"/>
    </row>
    <row r="1900" ht="50.25" customHeight="1">
      <c r="A1900" s="12">
        <v>1896.0</v>
      </c>
      <c r="B1900" s="13" t="s">
        <v>1824</v>
      </c>
      <c r="C1900" s="14" t="s">
        <v>1910</v>
      </c>
      <c r="D1900" s="1"/>
      <c r="E1900" s="1"/>
      <c r="F1900" s="1" t="str">
        <f>IFERROR(__xludf.DUMMYFUNCTION("GOOGLETRANSLATE(B1900, ""en"", ""fa"")
"),"وبلاگ نویسی")</f>
        <v>وبلاگ نویسی</v>
      </c>
      <c r="G1900" s="1" t="str">
        <f>IFERROR(__xludf.DUMMYFUNCTION("GOOGLETRANSLATE(C1900, ""en"", ""fa"")
"),"مزایای ایجاد مجموعه‌های محتوا یا پست‌های وبلاگ سریالی را کاوش کنید تا خوانندگان را درگیر خود نگه دارید و برای اطلاعات بیشتر بازگردید.")</f>
        <v>مزایای ایجاد مجموعه‌های محتوا یا پست‌های وبلاگ سریالی را کاوش کنید تا خوانندگان را درگیر خود نگه دارید و برای اطلاعات بیشتر بازگردید.</v>
      </c>
      <c r="H1900" s="1"/>
      <c r="I1900" s="1"/>
      <c r="J1900" s="1"/>
      <c r="K1900" s="1"/>
      <c r="L1900" s="1"/>
      <c r="M1900" s="1"/>
      <c r="N1900" s="1"/>
      <c r="O1900" s="1"/>
      <c r="P1900" s="1"/>
      <c r="Q1900" s="1"/>
      <c r="R1900" s="1"/>
      <c r="S1900" s="1"/>
      <c r="T1900" s="1"/>
      <c r="U1900" s="1"/>
      <c r="V1900" s="1"/>
      <c r="W1900" s="1"/>
      <c r="X1900" s="1"/>
      <c r="Y1900" s="1"/>
      <c r="Z1900" s="1"/>
      <c r="AA1900" s="1"/>
      <c r="AB1900" s="1"/>
    </row>
    <row r="1901" ht="50.25" customHeight="1">
      <c r="A1901" s="12">
        <v>1897.0</v>
      </c>
      <c r="B1901" s="13" t="s">
        <v>1824</v>
      </c>
      <c r="C1901" s="14" t="s">
        <v>1911</v>
      </c>
      <c r="D1901" s="1"/>
      <c r="E1901" s="1"/>
      <c r="F1901" s="1" t="str">
        <f>IFERROR(__xludf.DUMMYFUNCTION("GOOGLETRANSLATE(B1901, ""en"", ""fa"")
"),"وبلاگ نویسی")</f>
        <v>وبلاگ نویسی</v>
      </c>
      <c r="G1901" s="1" t="str">
        <f>IFERROR(__xludf.DUMMYFUNCTION("GOOGLETRANSLATE(C1901, ""en"", ""fa"")
"),"استراتژی های استفاده از تجزیه و تحلیل رسانه های اجتماعی و ابزارهای ردیابی را برای اندازه گیری تأثیر تلاش های ارتقاء وبلاگ خود به اشتراک بگذارید.")</f>
        <v>استراتژی های استفاده از تجزیه و تحلیل رسانه های اجتماعی و ابزارهای ردیابی را برای اندازه گیری تأثیر تلاش های ارتقاء وبلاگ خود به اشتراک بگذارید.</v>
      </c>
      <c r="H1901" s="1"/>
      <c r="I1901" s="1"/>
      <c r="J1901" s="1"/>
      <c r="K1901" s="1"/>
      <c r="L1901" s="1"/>
      <c r="M1901" s="1"/>
      <c r="N1901" s="1"/>
      <c r="O1901" s="1"/>
      <c r="P1901" s="1"/>
      <c r="Q1901" s="1"/>
      <c r="R1901" s="1"/>
      <c r="S1901" s="1"/>
      <c r="T1901" s="1"/>
      <c r="U1901" s="1"/>
      <c r="V1901" s="1"/>
      <c r="W1901" s="1"/>
      <c r="X1901" s="1"/>
      <c r="Y1901" s="1"/>
      <c r="Z1901" s="1"/>
      <c r="AA1901" s="1"/>
      <c r="AB1901" s="1"/>
    </row>
    <row r="1902" ht="50.25" customHeight="1">
      <c r="A1902" s="12">
        <v>1898.0</v>
      </c>
      <c r="B1902" s="13" t="s">
        <v>1824</v>
      </c>
      <c r="C1902" s="14" t="s">
        <v>1912</v>
      </c>
      <c r="D1902" s="1"/>
      <c r="E1902" s="1"/>
      <c r="F1902" s="1" t="str">
        <f>IFERROR(__xludf.DUMMYFUNCTION("GOOGLETRANSLATE(B1902, ""en"", ""fa"")
"),"وبلاگ نویسی")</f>
        <v>وبلاگ نویسی</v>
      </c>
      <c r="G1902" s="1" t="str">
        <f>IFERROR(__xludf.DUMMYFUNCTION("GOOGLETRANSLATE(C1902, ""en"", ""fa"")
"),"درباره اهمیت انجام ممیزی منظم وبلاگ برای شناسایی و به روز رسانی محتوای قدیمی یا ضعیف صحبت کنید.")</f>
        <v>درباره اهمیت انجام ممیزی منظم وبلاگ برای شناسایی و به روز رسانی محتوای قدیمی یا ضعیف صحبت کنید.</v>
      </c>
      <c r="H1902" s="1"/>
      <c r="I1902" s="1"/>
      <c r="J1902" s="1"/>
      <c r="K1902" s="1"/>
      <c r="L1902" s="1"/>
      <c r="M1902" s="1"/>
      <c r="N1902" s="1"/>
      <c r="O1902" s="1"/>
      <c r="P1902" s="1"/>
      <c r="Q1902" s="1"/>
      <c r="R1902" s="1"/>
      <c r="S1902" s="1"/>
      <c r="T1902" s="1"/>
      <c r="U1902" s="1"/>
      <c r="V1902" s="1"/>
      <c r="W1902" s="1"/>
      <c r="X1902" s="1"/>
      <c r="Y1902" s="1"/>
      <c r="Z1902" s="1"/>
      <c r="AA1902" s="1"/>
      <c r="AB1902" s="1"/>
    </row>
    <row r="1903" ht="50.25" customHeight="1">
      <c r="A1903" s="12">
        <v>1899.0</v>
      </c>
      <c r="B1903" s="13" t="s">
        <v>1824</v>
      </c>
      <c r="C1903" s="14" t="s">
        <v>1913</v>
      </c>
      <c r="D1903" s="1"/>
      <c r="E1903" s="1"/>
      <c r="F1903" s="1" t="str">
        <f>IFERROR(__xludf.DUMMYFUNCTION("GOOGLETRANSLATE(B1903, ""en"", ""fa"")
"),"وبلاگ نویسی")</f>
        <v>وبلاگ نویسی</v>
      </c>
      <c r="G1903" s="1" t="str">
        <f>IFERROR(__xludf.DUMMYFUNCTION("GOOGLETRANSLATE(C1903, ""en"", ""fa"")
"),"راه‌های مختلفی را برای استفاده از پلتفرم‌های محتوای ویدیویی، مانند YouTube یا Vimeo، کاوش کنید تا دامنه دسترسی وبلاگ خود را افزایش دهید.")</f>
        <v>راه‌های مختلفی را برای استفاده از پلتفرم‌های محتوای ویدیویی، مانند YouTube یا Vimeo، کاوش کنید تا دامنه دسترسی وبلاگ خود را افزایش دهید.</v>
      </c>
      <c r="H1903" s="1"/>
      <c r="I1903" s="1"/>
      <c r="J1903" s="1"/>
      <c r="K1903" s="1"/>
      <c r="L1903" s="1"/>
      <c r="M1903" s="1"/>
      <c r="N1903" s="1"/>
      <c r="O1903" s="1"/>
      <c r="P1903" s="1"/>
      <c r="Q1903" s="1"/>
      <c r="R1903" s="1"/>
      <c r="S1903" s="1"/>
      <c r="T1903" s="1"/>
      <c r="U1903" s="1"/>
      <c r="V1903" s="1"/>
      <c r="W1903" s="1"/>
      <c r="X1903" s="1"/>
      <c r="Y1903" s="1"/>
      <c r="Z1903" s="1"/>
      <c r="AA1903" s="1"/>
      <c r="AB1903" s="1"/>
    </row>
    <row r="1904" ht="50.25" customHeight="1">
      <c r="A1904" s="12">
        <v>1900.0</v>
      </c>
      <c r="B1904" s="13" t="s">
        <v>1824</v>
      </c>
      <c r="C1904" s="14" t="s">
        <v>1914</v>
      </c>
      <c r="D1904" s="1"/>
      <c r="E1904" s="1"/>
      <c r="F1904" s="1" t="str">
        <f>IFERROR(__xludf.DUMMYFUNCTION("GOOGLETRANSLATE(B1904, ""en"", ""fa"")
"),"وبلاگ نویسی")</f>
        <v>وبلاگ نویسی</v>
      </c>
      <c r="G1904" s="1" t="str">
        <f>IFERROR(__xludf.DUMMYFUNCTION("GOOGLETRANSLATE(C1904, ""en"", ""fa"")
"),"نکاتی را برای بهینه سازی تصاویر وبلاگ خود برای بارگذاری سریعتر و تجربه کاربری بهتر به اشتراک بگذارید.")</f>
        <v>نکاتی را برای بهینه سازی تصاویر وبلاگ خود برای بارگذاری سریعتر و تجربه کاربری بهتر به اشتراک بگذارید.</v>
      </c>
      <c r="H1904" s="1"/>
      <c r="I1904" s="1"/>
      <c r="J1904" s="1"/>
      <c r="K1904" s="1"/>
      <c r="L1904" s="1"/>
      <c r="M1904" s="1"/>
      <c r="N1904" s="1"/>
      <c r="O1904" s="1"/>
      <c r="P1904" s="1"/>
      <c r="Q1904" s="1"/>
      <c r="R1904" s="1"/>
      <c r="S1904" s="1"/>
      <c r="T1904" s="1"/>
      <c r="U1904" s="1"/>
      <c r="V1904" s="1"/>
      <c r="W1904" s="1"/>
      <c r="X1904" s="1"/>
      <c r="Y1904" s="1"/>
      <c r="Z1904" s="1"/>
      <c r="AA1904" s="1"/>
      <c r="AB1904" s="1"/>
    </row>
    <row r="1905" ht="50.25" customHeight="1">
      <c r="A1905" s="12">
        <v>1901.0</v>
      </c>
      <c r="B1905" s="13" t="s">
        <v>1824</v>
      </c>
      <c r="C1905" s="14" t="s">
        <v>1915</v>
      </c>
      <c r="D1905" s="1"/>
      <c r="E1905" s="1"/>
      <c r="F1905" s="1" t="str">
        <f>IFERROR(__xludf.DUMMYFUNCTION("GOOGLETRANSLATE(B1905, ""en"", ""fa"")
"),"وبلاگ نویسی")</f>
        <v>وبلاگ نویسی</v>
      </c>
      <c r="G1905" s="1" t="str">
        <f>IFERROR(__xludf.DUMMYFUNCTION("GOOGLETRANSLATE(C1905, ""en"", ""fa"")
"),"درباره نقش تغییر کاربری محتوا در افزایش طول عمر پست های وبلاگ خود و دستیابی به مخاطبان جدید بحث کنید.")</f>
        <v>درباره نقش تغییر کاربری محتوا در افزایش طول عمر پست های وبلاگ خود و دستیابی به مخاطبان جدید بحث کنید.</v>
      </c>
      <c r="H1905" s="1"/>
      <c r="I1905" s="1"/>
      <c r="J1905" s="1"/>
      <c r="K1905" s="1"/>
      <c r="L1905" s="1"/>
      <c r="M1905" s="1"/>
      <c r="N1905" s="1"/>
      <c r="O1905" s="1"/>
      <c r="P1905" s="1"/>
      <c r="Q1905" s="1"/>
      <c r="R1905" s="1"/>
      <c r="S1905" s="1"/>
      <c r="T1905" s="1"/>
      <c r="U1905" s="1"/>
      <c r="V1905" s="1"/>
      <c r="W1905" s="1"/>
      <c r="X1905" s="1"/>
      <c r="Y1905" s="1"/>
      <c r="Z1905" s="1"/>
      <c r="AA1905" s="1"/>
      <c r="AB1905" s="1"/>
    </row>
    <row r="1906" ht="50.25" customHeight="1">
      <c r="A1906" s="12">
        <v>1902.0</v>
      </c>
      <c r="B1906" s="13" t="s">
        <v>1824</v>
      </c>
      <c r="C1906" s="14" t="s">
        <v>1916</v>
      </c>
      <c r="D1906" s="1"/>
      <c r="E1906" s="1"/>
      <c r="F1906" s="1" t="str">
        <f>IFERROR(__xludf.DUMMYFUNCTION("GOOGLETRANSLATE(B1906, ""en"", ""fa"")
"),"وبلاگ نویسی")</f>
        <v>وبلاگ نویسی</v>
      </c>
      <c r="G1906" s="1" t="str">
        <f>IFERROR(__xludf.DUMMYFUNCTION("GOOGLETRANSLATE(C1906, ""en"", ""fa"")
"),"مزایای ایجاد آموزش های عمیق یا راهنماهای گام به گام در مورد موضوعات مرتبط با جایگاه وبلاگ خود را بررسی کنید.")</f>
        <v>مزایای ایجاد آموزش های عمیق یا راهنماهای گام به گام در مورد موضوعات مرتبط با جایگاه وبلاگ خود را بررسی کنید.</v>
      </c>
      <c r="H1906" s="1"/>
      <c r="I1906" s="1"/>
      <c r="J1906" s="1"/>
      <c r="K1906" s="1"/>
      <c r="L1906" s="1"/>
      <c r="M1906" s="1"/>
      <c r="N1906" s="1"/>
      <c r="O1906" s="1"/>
      <c r="P1906" s="1"/>
      <c r="Q1906" s="1"/>
      <c r="R1906" s="1"/>
      <c r="S1906" s="1"/>
      <c r="T1906" s="1"/>
      <c r="U1906" s="1"/>
      <c r="V1906" s="1"/>
      <c r="W1906" s="1"/>
      <c r="X1906" s="1"/>
      <c r="Y1906" s="1"/>
      <c r="Z1906" s="1"/>
      <c r="AA1906" s="1"/>
      <c r="AB1906" s="1"/>
    </row>
    <row r="1907" ht="50.25" customHeight="1">
      <c r="A1907" s="12">
        <v>1903.0</v>
      </c>
      <c r="B1907" s="13" t="s">
        <v>1824</v>
      </c>
      <c r="C1907" s="14" t="s">
        <v>1917</v>
      </c>
      <c r="D1907" s="1"/>
      <c r="E1907" s="1"/>
      <c r="F1907" s="1" t="str">
        <f>IFERROR(__xludf.DUMMYFUNCTION("GOOGLETRANSLATE(B1907, ""en"", ""fa"")
"),"وبلاگ نویسی")</f>
        <v>وبلاگ نویسی</v>
      </c>
      <c r="G1907" s="1" t="str">
        <f>IFERROR(__xludf.DUMMYFUNCTION("GOOGLETRANSLATE(C1907, ""en"", ""fa"")
"),"استراتژی های استفاده از تبلیغات رسانه های اجتماعی برای هدایت ترافیک هدفمند به وبلاگ خود و افزایش آگاهی از برند را به اشتراک بگذارید.")</f>
        <v>استراتژی های استفاده از تبلیغات رسانه های اجتماعی برای هدایت ترافیک هدفمند به وبلاگ خود و افزایش آگاهی از برند را به اشتراک بگذارید.</v>
      </c>
      <c r="H1907" s="1"/>
      <c r="I1907" s="1"/>
      <c r="J1907" s="1"/>
      <c r="K1907" s="1"/>
      <c r="L1907" s="1"/>
      <c r="M1907" s="1"/>
      <c r="N1907" s="1"/>
      <c r="O1907" s="1"/>
      <c r="P1907" s="1"/>
      <c r="Q1907" s="1"/>
      <c r="R1907" s="1"/>
      <c r="S1907" s="1"/>
      <c r="T1907" s="1"/>
      <c r="U1907" s="1"/>
      <c r="V1907" s="1"/>
      <c r="W1907" s="1"/>
      <c r="X1907" s="1"/>
      <c r="Y1907" s="1"/>
      <c r="Z1907" s="1"/>
      <c r="AA1907" s="1"/>
      <c r="AB1907" s="1"/>
    </row>
    <row r="1908" ht="50.25" customHeight="1">
      <c r="A1908" s="12">
        <v>1904.0</v>
      </c>
      <c r="B1908" s="13" t="s">
        <v>1824</v>
      </c>
      <c r="C1908" s="14" t="s">
        <v>1918</v>
      </c>
      <c r="D1908" s="1"/>
      <c r="E1908" s="1"/>
      <c r="F1908" s="1" t="str">
        <f>IFERROR(__xludf.DUMMYFUNCTION("GOOGLETRANSLATE(B1908, ""en"", ""fa"")
"),"وبلاگ نویسی")</f>
        <v>وبلاگ نویسی</v>
      </c>
      <c r="G1908" s="1" t="str">
        <f>IFERROR(__xludf.DUMMYFUNCTION("GOOGLETRANSLATE(C1908, ""en"", ""fa"")
"),"درباره اهمیت ایجاد یک برند شخصی قوی به عنوان یک وبلاگ نویس و اینکه چگونه می تواند بر رشد وبلاگ شما تأثیر مثبت بگذارد، بحث کنید.")</f>
        <v>درباره اهمیت ایجاد یک برند شخصی قوی به عنوان یک وبلاگ نویس و اینکه چگونه می تواند بر رشد وبلاگ شما تأثیر مثبت بگذارد، بحث کنید.</v>
      </c>
      <c r="H1908" s="1"/>
      <c r="I1908" s="1"/>
      <c r="J1908" s="1"/>
      <c r="K1908" s="1"/>
      <c r="L1908" s="1"/>
      <c r="M1908" s="1"/>
      <c r="N1908" s="1"/>
      <c r="O1908" s="1"/>
      <c r="P1908" s="1"/>
      <c r="Q1908" s="1"/>
      <c r="R1908" s="1"/>
      <c r="S1908" s="1"/>
      <c r="T1908" s="1"/>
      <c r="U1908" s="1"/>
      <c r="V1908" s="1"/>
      <c r="W1908" s="1"/>
      <c r="X1908" s="1"/>
      <c r="Y1908" s="1"/>
      <c r="Z1908" s="1"/>
      <c r="AA1908" s="1"/>
      <c r="AB1908" s="1"/>
    </row>
    <row r="1909" ht="50.25" customHeight="1">
      <c r="A1909" s="12">
        <v>1905.0</v>
      </c>
      <c r="B1909" s="13" t="s">
        <v>1824</v>
      </c>
      <c r="C1909" s="14" t="s">
        <v>1919</v>
      </c>
      <c r="D1909" s="1"/>
      <c r="E1909" s="1"/>
      <c r="F1909" s="1" t="str">
        <f>IFERROR(__xludf.DUMMYFUNCTION("GOOGLETRANSLATE(B1909, ""en"", ""fa"")
"),"وبلاگ نویسی")</f>
        <v>وبلاگ نویسی</v>
      </c>
      <c r="G1909" s="1" t="str">
        <f>IFERROR(__xludf.DUMMYFUNCTION("GOOGLETRANSLATE(C1909, ""en"", ""fa"")
"),"راه‌های مختلف همکاری با مارک‌ها یا کسب‌وکارها را در زمینه محتوای حمایت‌شده که با جایگاه وبلاگ شما همخوانی دارد، کاوش کنید.")</f>
        <v>راه‌های مختلف همکاری با مارک‌ها یا کسب‌وکارها را در زمینه محتوای حمایت‌شده که با جایگاه وبلاگ شما همخوانی دارد، کاوش کنید.</v>
      </c>
      <c r="H1909" s="1"/>
      <c r="I1909" s="1"/>
      <c r="J1909" s="1"/>
      <c r="K1909" s="1"/>
      <c r="L1909" s="1"/>
      <c r="M1909" s="1"/>
      <c r="N1909" s="1"/>
      <c r="O1909" s="1"/>
      <c r="P1909" s="1"/>
      <c r="Q1909" s="1"/>
      <c r="R1909" s="1"/>
      <c r="S1909" s="1"/>
      <c r="T1909" s="1"/>
      <c r="U1909" s="1"/>
      <c r="V1909" s="1"/>
      <c r="W1909" s="1"/>
      <c r="X1909" s="1"/>
      <c r="Y1909" s="1"/>
      <c r="Z1909" s="1"/>
      <c r="AA1909" s="1"/>
      <c r="AB1909" s="1"/>
    </row>
    <row r="1910" ht="50.25" customHeight="1">
      <c r="A1910" s="12">
        <v>1906.0</v>
      </c>
      <c r="B1910" s="13" t="s">
        <v>1824</v>
      </c>
      <c r="C1910" s="14" t="s">
        <v>1920</v>
      </c>
      <c r="D1910" s="1"/>
      <c r="E1910" s="1"/>
      <c r="F1910" s="1" t="str">
        <f>IFERROR(__xludf.DUMMYFUNCTION("GOOGLETRANSLATE(B1910, ""en"", ""fa"")
"),"وبلاگ نویسی")</f>
        <v>وبلاگ نویسی</v>
      </c>
      <c r="G1910" s="1" t="str">
        <f>IFERROR(__xludf.DUMMYFUNCTION("GOOGLETRANSLATE(C1910, ""en"", ""fa"")
"),"نکاتی را برای انجام تحقیقات کامل و بررسی واقعیت برای اطمینان از صحت و اعتبار در پست های وبلاگ خود به اشتراک بگذارید.")</f>
        <v>نکاتی را برای انجام تحقیقات کامل و بررسی واقعیت برای اطمینان از صحت و اعتبار در پست های وبلاگ خود به اشتراک بگذارید.</v>
      </c>
      <c r="H1910" s="1"/>
      <c r="I1910" s="1"/>
      <c r="J1910" s="1"/>
      <c r="K1910" s="1"/>
      <c r="L1910" s="1"/>
      <c r="M1910" s="1"/>
      <c r="N1910" s="1"/>
      <c r="O1910" s="1"/>
      <c r="P1910" s="1"/>
      <c r="Q1910" s="1"/>
      <c r="R1910" s="1"/>
      <c r="S1910" s="1"/>
      <c r="T1910" s="1"/>
      <c r="U1910" s="1"/>
      <c r="V1910" s="1"/>
      <c r="W1910" s="1"/>
      <c r="X1910" s="1"/>
      <c r="Y1910" s="1"/>
      <c r="Z1910" s="1"/>
      <c r="AA1910" s="1"/>
      <c r="AB1910" s="1"/>
    </row>
    <row r="1911" ht="50.25" customHeight="1">
      <c r="A1911" s="12">
        <v>1907.0</v>
      </c>
      <c r="B1911" s="13" t="s">
        <v>1824</v>
      </c>
      <c r="C1911" s="14" t="s">
        <v>1921</v>
      </c>
      <c r="D1911" s="1"/>
      <c r="E1911" s="1"/>
      <c r="F1911" s="1" t="str">
        <f>IFERROR(__xludf.DUMMYFUNCTION("GOOGLETRANSLATE(B1911, ""en"", ""fa"")
"),"وبلاگ نویسی")</f>
        <v>وبلاگ نویسی</v>
      </c>
      <c r="G1911" s="1" t="str">
        <f>IFERROR(__xludf.DUMMYFUNCTION("GOOGLETRANSLATE(C1911, ""en"", ""fa"")
"),"در مورد نقش ارتقاء محتوا یا آهنربای اصلی در تبدیل خوانندگان وبلاگ به مشترکین ایمیل بحث کنید.")</f>
        <v>در مورد نقش ارتقاء محتوا یا آهنربای اصلی در تبدیل خوانندگان وبلاگ به مشترکین ایمیل بحث کنید.</v>
      </c>
      <c r="H1911" s="1"/>
      <c r="I1911" s="1"/>
      <c r="J1911" s="1"/>
      <c r="K1911" s="1"/>
      <c r="L1911" s="1"/>
      <c r="M1911" s="1"/>
      <c r="N1911" s="1"/>
      <c r="O1911" s="1"/>
      <c r="P1911" s="1"/>
      <c r="Q1911" s="1"/>
      <c r="R1911" s="1"/>
      <c r="S1911" s="1"/>
      <c r="T1911" s="1"/>
      <c r="U1911" s="1"/>
      <c r="V1911" s="1"/>
      <c r="W1911" s="1"/>
      <c r="X1911" s="1"/>
      <c r="Y1911" s="1"/>
      <c r="Z1911" s="1"/>
      <c r="AA1911" s="1"/>
      <c r="AB1911" s="1"/>
    </row>
    <row r="1912" ht="50.25" customHeight="1">
      <c r="A1912" s="12">
        <v>1908.0</v>
      </c>
      <c r="B1912" s="13" t="s">
        <v>1824</v>
      </c>
      <c r="C1912" s="14" t="s">
        <v>1922</v>
      </c>
      <c r="D1912" s="1"/>
      <c r="E1912" s="1"/>
      <c r="F1912" s="1" t="str">
        <f>IFERROR(__xludf.DUMMYFUNCTION("GOOGLETRANSLATE(B1912, ""en"", ""fa"")
"),"وبلاگ نویسی")</f>
        <v>وبلاگ نویسی</v>
      </c>
      <c r="G1912" s="1" t="str">
        <f>IFERROR(__xludf.DUMMYFUNCTION("GOOGLETRANSLATE(C1912, ""en"", ""fa"")
"),"مزایای گنجاندن محتوای تولید شده توسط کاربر، مانند توصیفات یا نظرات، در پست های وبلاگ خود را بررسی کنید.")</f>
        <v>مزایای گنجاندن محتوای تولید شده توسط کاربر، مانند توصیفات یا نظرات، در پست های وبلاگ خود را بررسی کنید.</v>
      </c>
      <c r="H1912" s="1"/>
      <c r="I1912" s="1"/>
      <c r="J1912" s="1"/>
      <c r="K1912" s="1"/>
      <c r="L1912" s="1"/>
      <c r="M1912" s="1"/>
      <c r="N1912" s="1"/>
      <c r="O1912" s="1"/>
      <c r="P1912" s="1"/>
      <c r="Q1912" s="1"/>
      <c r="R1912" s="1"/>
      <c r="S1912" s="1"/>
      <c r="T1912" s="1"/>
      <c r="U1912" s="1"/>
      <c r="V1912" s="1"/>
      <c r="W1912" s="1"/>
      <c r="X1912" s="1"/>
      <c r="Y1912" s="1"/>
      <c r="Z1912" s="1"/>
      <c r="AA1912" s="1"/>
      <c r="AB1912" s="1"/>
    </row>
    <row r="1913" ht="50.25" customHeight="1">
      <c r="A1913" s="12">
        <v>1909.0</v>
      </c>
      <c r="B1913" s="13" t="s">
        <v>1824</v>
      </c>
      <c r="C1913" s="14" t="s">
        <v>1923</v>
      </c>
      <c r="D1913" s="1"/>
      <c r="E1913" s="1"/>
      <c r="F1913" s="1" t="str">
        <f>IFERROR(__xludf.DUMMYFUNCTION("GOOGLETRANSLATE(B1913, ""en"", ""fa"")
"),"وبلاگ نویسی")</f>
        <v>وبلاگ نویسی</v>
      </c>
      <c r="G1913" s="1" t="str">
        <f>IFERROR(__xludf.DUMMYFUNCTION("GOOGLETRANSLATE(C1913, ""en"", ""fa"")
"),"استراتژی هایی برای ایجاد محتوایی که احساسات را برمی انگیزد و با خوانندگان شما در سطح عمیق تری ارتباط برقرار می کند، به اشتراک بگذارید.")</f>
        <v>استراتژی هایی برای ایجاد محتوایی که احساسات را برمی انگیزد و با خوانندگان شما در سطح عمیق تری ارتباط برقرار می کند، به اشتراک بگذارید.</v>
      </c>
      <c r="H1913" s="1"/>
      <c r="I1913" s="1"/>
      <c r="J1913" s="1"/>
      <c r="K1913" s="1"/>
      <c r="L1913" s="1"/>
      <c r="M1913" s="1"/>
      <c r="N1913" s="1"/>
      <c r="O1913" s="1"/>
      <c r="P1913" s="1"/>
      <c r="Q1913" s="1"/>
      <c r="R1913" s="1"/>
      <c r="S1913" s="1"/>
      <c r="T1913" s="1"/>
      <c r="U1913" s="1"/>
      <c r="V1913" s="1"/>
      <c r="W1913" s="1"/>
      <c r="X1913" s="1"/>
      <c r="Y1913" s="1"/>
      <c r="Z1913" s="1"/>
      <c r="AA1913" s="1"/>
      <c r="AB1913" s="1"/>
    </row>
    <row r="1914" ht="50.25" customHeight="1">
      <c r="A1914" s="12">
        <v>1910.0</v>
      </c>
      <c r="B1914" s="13" t="s">
        <v>1824</v>
      </c>
      <c r="C1914" s="14" t="s">
        <v>1924</v>
      </c>
      <c r="D1914" s="1"/>
      <c r="E1914" s="1"/>
      <c r="F1914" s="1" t="str">
        <f>IFERROR(__xludf.DUMMYFUNCTION("GOOGLETRANSLATE(B1914, ""en"", ""fa"")
"),"وبلاگ نویسی")</f>
        <v>وبلاگ نویسی</v>
      </c>
      <c r="G1914" s="1" t="str">
        <f>IFERROR(__xludf.DUMMYFUNCTION("GOOGLETRANSLATE(C1914, ""en"", ""fa"")
"),"در مورد اهمیت بهینه سازی سرعت بارگذاری و عملکرد وبلاگ خود برای رتبه بندی بهتر در موتورهای جستجو بحث کنید.")</f>
        <v>در مورد اهمیت بهینه سازی سرعت بارگذاری و عملکرد وبلاگ خود برای رتبه بندی بهتر در موتورهای جستجو بحث کنید.</v>
      </c>
      <c r="H1914" s="1"/>
      <c r="I1914" s="1"/>
      <c r="J1914" s="1"/>
      <c r="K1914" s="1"/>
      <c r="L1914" s="1"/>
      <c r="M1914" s="1"/>
      <c r="N1914" s="1"/>
      <c r="O1914" s="1"/>
      <c r="P1914" s="1"/>
      <c r="Q1914" s="1"/>
      <c r="R1914" s="1"/>
      <c r="S1914" s="1"/>
      <c r="T1914" s="1"/>
      <c r="U1914" s="1"/>
      <c r="V1914" s="1"/>
      <c r="W1914" s="1"/>
      <c r="X1914" s="1"/>
      <c r="Y1914" s="1"/>
      <c r="Z1914" s="1"/>
      <c r="AA1914" s="1"/>
      <c r="AB1914" s="1"/>
    </row>
    <row r="1915" ht="50.25" customHeight="1">
      <c r="A1915" s="12">
        <v>1911.0</v>
      </c>
      <c r="B1915" s="13" t="s">
        <v>1824</v>
      </c>
      <c r="C1915" s="14" t="s">
        <v>1925</v>
      </c>
      <c r="D1915" s="1"/>
      <c r="E1915" s="1"/>
      <c r="F1915" s="1" t="str">
        <f>IFERROR(__xludf.DUMMYFUNCTION("GOOGLETRANSLATE(B1915, ""en"", ""fa"")
"),"وبلاگ نویسی")</f>
        <v>وبلاگ نویسی</v>
      </c>
      <c r="G1915" s="1" t="str">
        <f>IFERROR(__xludf.DUMMYFUNCTION("GOOGLETRANSLATE(C1915, ""en"", ""fa"")
"),"نکاتی را برای ایجاد سرفصل های جذاب پست وبلاگ که توجه خوانندگان را جلب می کند، به اشتراک بگذارید.")</f>
        <v>نکاتی را برای ایجاد سرفصل های جذاب پست وبلاگ که توجه خوانندگان را جلب می کند، به اشتراک بگذارید.</v>
      </c>
      <c r="H1915" s="1"/>
      <c r="I1915" s="1"/>
      <c r="J1915" s="1"/>
      <c r="K1915" s="1"/>
      <c r="L1915" s="1"/>
      <c r="M1915" s="1"/>
      <c r="N1915" s="1"/>
      <c r="O1915" s="1"/>
      <c r="P1915" s="1"/>
      <c r="Q1915" s="1"/>
      <c r="R1915" s="1"/>
      <c r="S1915" s="1"/>
      <c r="T1915" s="1"/>
      <c r="U1915" s="1"/>
      <c r="V1915" s="1"/>
      <c r="W1915" s="1"/>
      <c r="X1915" s="1"/>
      <c r="Y1915" s="1"/>
      <c r="Z1915" s="1"/>
      <c r="AA1915" s="1"/>
      <c r="AB1915" s="1"/>
    </row>
    <row r="1916" ht="50.25" customHeight="1">
      <c r="A1916" s="12">
        <v>1912.0</v>
      </c>
      <c r="B1916" s="13" t="s">
        <v>1824</v>
      </c>
      <c r="C1916" s="14" t="s">
        <v>1926</v>
      </c>
      <c r="D1916" s="1"/>
      <c r="E1916" s="1"/>
      <c r="F1916" s="1" t="str">
        <f>IFERROR(__xludf.DUMMYFUNCTION("GOOGLETRANSLATE(B1916, ""en"", ""fa"")
"),"وبلاگ نویسی")</f>
        <v>وبلاگ نویسی</v>
      </c>
      <c r="G1916" s="1" t="str">
        <f>IFERROR(__xludf.DUMMYFUNCTION("GOOGLETRANSLATE(C1916, ""en"", ""fa"")
"),"در مورد اهمیت انجام تحقیقات مخاطبین برای درک نیازها و ترجیحات خوانندگان وبلاگ خود بحث کنید.")</f>
        <v>در مورد اهمیت انجام تحقیقات مخاطبین برای درک نیازها و ترجیحات خوانندگان وبلاگ خود بحث کنید.</v>
      </c>
      <c r="H1916" s="1"/>
      <c r="I1916" s="1"/>
      <c r="J1916" s="1"/>
      <c r="K1916" s="1"/>
      <c r="L1916" s="1"/>
      <c r="M1916" s="1"/>
      <c r="N1916" s="1"/>
      <c r="O1916" s="1"/>
      <c r="P1916" s="1"/>
      <c r="Q1916" s="1"/>
      <c r="R1916" s="1"/>
      <c r="S1916" s="1"/>
      <c r="T1916" s="1"/>
      <c r="U1916" s="1"/>
      <c r="V1916" s="1"/>
      <c r="W1916" s="1"/>
      <c r="X1916" s="1"/>
      <c r="Y1916" s="1"/>
      <c r="Z1916" s="1"/>
      <c r="AA1916" s="1"/>
      <c r="AB1916" s="1"/>
    </row>
    <row r="1917" ht="50.25" customHeight="1">
      <c r="A1917" s="12">
        <v>1913.0</v>
      </c>
      <c r="B1917" s="13" t="s">
        <v>1824</v>
      </c>
      <c r="C1917" s="14" t="s">
        <v>1927</v>
      </c>
      <c r="D1917" s="1"/>
      <c r="E1917" s="1"/>
      <c r="F1917" s="1" t="str">
        <f>IFERROR(__xludf.DUMMYFUNCTION("GOOGLETRANSLATE(B1917, ""en"", ""fa"")
"),"وبلاگ نویسی")</f>
        <v>وبلاگ نویسی</v>
      </c>
      <c r="G1917" s="1" t="str">
        <f>IFERROR(__xludf.DUMMYFUNCTION("GOOGLETRANSLATE(C1917, ""en"", ""fa"")
"),"راه‌های مختلفی را برای استفاده از همکاری‌های اینفلوئنسرها یا پست‌های مهمان برای گسترش دامنه وبلاگ خود کاوش کنید.")</f>
        <v>راه‌های مختلفی را برای استفاده از همکاری‌های اینفلوئنسرها یا پست‌های مهمان برای گسترش دامنه وبلاگ خود کاوش کنید.</v>
      </c>
      <c r="H1917" s="1"/>
      <c r="I1917" s="1"/>
      <c r="J1917" s="1"/>
      <c r="K1917" s="1"/>
      <c r="L1917" s="1"/>
      <c r="M1917" s="1"/>
      <c r="N1917" s="1"/>
      <c r="O1917" s="1"/>
      <c r="P1917" s="1"/>
      <c r="Q1917" s="1"/>
      <c r="R1917" s="1"/>
      <c r="S1917" s="1"/>
      <c r="T1917" s="1"/>
      <c r="U1917" s="1"/>
      <c r="V1917" s="1"/>
      <c r="W1917" s="1"/>
      <c r="X1917" s="1"/>
      <c r="Y1917" s="1"/>
      <c r="Z1917" s="1"/>
      <c r="AA1917" s="1"/>
      <c r="AB1917" s="1"/>
    </row>
    <row r="1918" ht="50.25" customHeight="1">
      <c r="A1918" s="12">
        <v>1914.0</v>
      </c>
      <c r="B1918" s="13" t="s">
        <v>1824</v>
      </c>
      <c r="C1918" s="14" t="s">
        <v>1928</v>
      </c>
      <c r="D1918" s="1"/>
      <c r="E1918" s="1"/>
      <c r="F1918" s="1" t="str">
        <f>IFERROR(__xludf.DUMMYFUNCTION("GOOGLETRANSLATE(B1918, ""en"", ""fa"")
"),"وبلاگ نویسی")</f>
        <v>وبلاگ نویسی</v>
      </c>
      <c r="G1918" s="1" t="str">
        <f>IFERROR(__xludf.DUMMYFUNCTION("GOOGLETRANSLATE(C1918, ""en"", ""fa"")
"),"استراتژی هایی را برای گنجاندن تکنیک های داستان سرایی در پست های وبلاگ خود به اشتراک بگذارید تا خوانندگان را مجذوب و جذب خود کنید.")</f>
        <v>استراتژی هایی را برای گنجاندن تکنیک های داستان سرایی در پست های وبلاگ خود به اشتراک بگذارید تا خوانندگان را مجذوب و جذب خود کنید.</v>
      </c>
      <c r="H1918" s="1"/>
      <c r="I1918" s="1"/>
      <c r="J1918" s="1"/>
      <c r="K1918" s="1"/>
      <c r="L1918" s="1"/>
      <c r="M1918" s="1"/>
      <c r="N1918" s="1"/>
      <c r="O1918" s="1"/>
      <c r="P1918" s="1"/>
      <c r="Q1918" s="1"/>
      <c r="R1918" s="1"/>
      <c r="S1918" s="1"/>
      <c r="T1918" s="1"/>
      <c r="U1918" s="1"/>
      <c r="V1918" s="1"/>
      <c r="W1918" s="1"/>
      <c r="X1918" s="1"/>
      <c r="Y1918" s="1"/>
      <c r="Z1918" s="1"/>
      <c r="AA1918" s="1"/>
      <c r="AB1918" s="1"/>
    </row>
    <row r="1919" ht="50.25" customHeight="1">
      <c r="A1919" s="12">
        <v>1915.0</v>
      </c>
      <c r="B1919" s="13" t="s">
        <v>1824</v>
      </c>
      <c r="C1919" s="14" t="s">
        <v>1929</v>
      </c>
      <c r="D1919" s="1"/>
      <c r="E1919" s="1"/>
      <c r="F1919" s="1" t="str">
        <f>IFERROR(__xludf.DUMMYFUNCTION("GOOGLETRANSLATE(B1919, ""en"", ""fa"")
"),"وبلاگ نویسی")</f>
        <v>وبلاگ نویسی</v>
      </c>
      <c r="G1919" s="1" t="str">
        <f>IFERROR(__xludf.DUMMYFUNCTION("GOOGLETRANSLATE(C1919, ""en"", ""fa"")
"),"در مورد نقش کانال های ترویج و توزیع محتوا در افزایش ترافیک به وبلاگ خود بحث کنید.")</f>
        <v>در مورد نقش کانال های ترویج و توزیع محتوا در افزایش ترافیک به وبلاگ خود بحث کنید.</v>
      </c>
      <c r="H1919" s="1"/>
      <c r="I1919" s="1"/>
      <c r="J1919" s="1"/>
      <c r="K1919" s="1"/>
      <c r="L1919" s="1"/>
      <c r="M1919" s="1"/>
      <c r="N1919" s="1"/>
      <c r="O1919" s="1"/>
      <c r="P1919" s="1"/>
      <c r="Q1919" s="1"/>
      <c r="R1919" s="1"/>
      <c r="S1919" s="1"/>
      <c r="T1919" s="1"/>
      <c r="U1919" s="1"/>
      <c r="V1919" s="1"/>
      <c r="W1919" s="1"/>
      <c r="X1919" s="1"/>
      <c r="Y1919" s="1"/>
      <c r="Z1919" s="1"/>
      <c r="AA1919" s="1"/>
      <c r="AB1919" s="1"/>
    </row>
    <row r="1920" ht="50.25" customHeight="1">
      <c r="A1920" s="12">
        <v>1916.0</v>
      </c>
      <c r="B1920" s="13" t="s">
        <v>1824</v>
      </c>
      <c r="C1920" s="14" t="s">
        <v>1930</v>
      </c>
      <c r="D1920" s="1"/>
      <c r="E1920" s="1"/>
      <c r="F1920" s="1" t="str">
        <f>IFERROR(__xludf.DUMMYFUNCTION("GOOGLETRANSLATE(B1920, ""en"", ""fa"")
"),"وبلاگ نویسی")</f>
        <v>وبلاگ نویسی</v>
      </c>
      <c r="G1920" s="1" t="str">
        <f>IFERROR(__xludf.DUMMYFUNCTION("GOOGLETRANSLATE(C1920, ""en"", ""fa"")
"),"مزایای گنجاندن محتوای چندرسانه‌ای، مانند ویدیوها یا پادکست‌ها را در پست‌های وبلاگ خود کاوش کنید.")</f>
        <v>مزایای گنجاندن محتوای چندرسانه‌ای، مانند ویدیوها یا پادکست‌ها را در پست‌های وبلاگ خود کاوش کنید.</v>
      </c>
      <c r="H1920" s="1"/>
      <c r="I1920" s="1"/>
      <c r="J1920" s="1"/>
      <c r="K1920" s="1"/>
      <c r="L1920" s="1"/>
      <c r="M1920" s="1"/>
      <c r="N1920" s="1"/>
      <c r="O1920" s="1"/>
      <c r="P1920" s="1"/>
      <c r="Q1920" s="1"/>
      <c r="R1920" s="1"/>
      <c r="S1920" s="1"/>
      <c r="T1920" s="1"/>
      <c r="U1920" s="1"/>
      <c r="V1920" s="1"/>
      <c r="W1920" s="1"/>
      <c r="X1920" s="1"/>
      <c r="Y1920" s="1"/>
      <c r="Z1920" s="1"/>
      <c r="AA1920" s="1"/>
      <c r="AB1920" s="1"/>
    </row>
    <row r="1921" ht="50.25" customHeight="1">
      <c r="A1921" s="12">
        <v>1917.0</v>
      </c>
      <c r="B1921" s="13" t="s">
        <v>1824</v>
      </c>
      <c r="C1921" s="14" t="s">
        <v>1931</v>
      </c>
      <c r="D1921" s="1"/>
      <c r="E1921" s="1"/>
      <c r="F1921" s="1" t="str">
        <f>IFERROR(__xludf.DUMMYFUNCTION("GOOGLETRANSLATE(B1921, ""en"", ""fa"")
"),"وبلاگ نویسی")</f>
        <v>وبلاگ نویسی</v>
      </c>
      <c r="G1921" s="1" t="str">
        <f>IFERROR(__xludf.DUMMYFUNCTION("GOOGLETRANSLATE(C1921, ""en"", ""fa"")
"),"نکاتی را برای بهینه سازی وبلاگ خود برای سئوی محلی برای جذب خوانندگان از مناطق جغرافیایی خاص به اشتراک بگذارید.")</f>
        <v>نکاتی را برای بهینه سازی وبلاگ خود برای سئوی محلی برای جذب خوانندگان از مناطق جغرافیایی خاص به اشتراک بگذارید.</v>
      </c>
      <c r="H1921" s="1"/>
      <c r="I1921" s="1"/>
      <c r="J1921" s="1"/>
      <c r="K1921" s="1"/>
      <c r="L1921" s="1"/>
      <c r="M1921" s="1"/>
      <c r="N1921" s="1"/>
      <c r="O1921" s="1"/>
      <c r="P1921" s="1"/>
      <c r="Q1921" s="1"/>
      <c r="R1921" s="1"/>
      <c r="S1921" s="1"/>
      <c r="T1921" s="1"/>
      <c r="U1921" s="1"/>
      <c r="V1921" s="1"/>
      <c r="W1921" s="1"/>
      <c r="X1921" s="1"/>
      <c r="Y1921" s="1"/>
      <c r="Z1921" s="1"/>
      <c r="AA1921" s="1"/>
      <c r="AB1921" s="1"/>
    </row>
    <row r="1922" ht="50.25" customHeight="1">
      <c r="A1922" s="12">
        <v>1918.0</v>
      </c>
      <c r="B1922" s="13" t="s">
        <v>1824</v>
      </c>
      <c r="C1922" s="14" t="s">
        <v>1932</v>
      </c>
      <c r="D1922" s="1"/>
      <c r="E1922" s="1"/>
      <c r="F1922" s="1" t="str">
        <f>IFERROR(__xludf.DUMMYFUNCTION("GOOGLETRANSLATE(B1922, ""en"", ""fa"")
"),"وبلاگ نویسی")</f>
        <v>وبلاگ نویسی</v>
      </c>
      <c r="G1922" s="1" t="str">
        <f>IFERROR(__xludf.DUMMYFUNCTION("GOOGLETRANSLATE(C1922, ""en"", ""fa"")
"),"در مورد اهمیت ایجاد یک لیست ایمیل و استفاده از بازاریابی ایمیلی برای تقویت روابط با مخاطبان وبلاگ خود بحث کنید.")</f>
        <v>در مورد اهمیت ایجاد یک لیست ایمیل و استفاده از بازاریابی ایمیلی برای تقویت روابط با مخاطبان وبلاگ خود بحث کنید.</v>
      </c>
      <c r="H1922" s="1"/>
      <c r="I1922" s="1"/>
      <c r="J1922" s="1"/>
      <c r="K1922" s="1"/>
      <c r="L1922" s="1"/>
      <c r="M1922" s="1"/>
      <c r="N1922" s="1"/>
      <c r="O1922" s="1"/>
      <c r="P1922" s="1"/>
      <c r="Q1922" s="1"/>
      <c r="R1922" s="1"/>
      <c r="S1922" s="1"/>
      <c r="T1922" s="1"/>
      <c r="U1922" s="1"/>
      <c r="V1922" s="1"/>
      <c r="W1922" s="1"/>
      <c r="X1922" s="1"/>
      <c r="Y1922" s="1"/>
      <c r="Z1922" s="1"/>
      <c r="AA1922" s="1"/>
      <c r="AB1922" s="1"/>
    </row>
    <row r="1923" ht="50.25" customHeight="1">
      <c r="A1923" s="12">
        <v>1919.0</v>
      </c>
      <c r="B1923" s="13" t="s">
        <v>1824</v>
      </c>
      <c r="C1923" s="14" t="s">
        <v>1933</v>
      </c>
      <c r="D1923" s="1"/>
      <c r="E1923" s="1"/>
      <c r="F1923" s="1" t="str">
        <f>IFERROR(__xludf.DUMMYFUNCTION("GOOGLETRANSLATE(B1923, ""en"", ""fa"")
"),"وبلاگ نویسی")</f>
        <v>وبلاگ نویسی</v>
      </c>
      <c r="G1923" s="1" t="str">
        <f>IFERROR(__xludf.DUMMYFUNCTION("GOOGLETRANSLATE(C1923, ""en"", ""fa"")
"),"راه های مختلف برای کسب درآمد از وبلاگ خود را از طریق محتوای حمایت شده، بازاریابی وابسته یا محصولات دیجیتال کاوش کنید.")</f>
        <v>راه های مختلف برای کسب درآمد از وبلاگ خود را از طریق محتوای حمایت شده، بازاریابی وابسته یا محصولات دیجیتال کاوش کنید.</v>
      </c>
      <c r="H1923" s="1"/>
      <c r="I1923" s="1"/>
      <c r="J1923" s="1"/>
      <c r="K1923" s="1"/>
      <c r="L1923" s="1"/>
      <c r="M1923" s="1"/>
      <c r="N1923" s="1"/>
      <c r="O1923" s="1"/>
      <c r="P1923" s="1"/>
      <c r="Q1923" s="1"/>
      <c r="R1923" s="1"/>
      <c r="S1923" s="1"/>
      <c r="T1923" s="1"/>
      <c r="U1923" s="1"/>
      <c r="V1923" s="1"/>
      <c r="W1923" s="1"/>
      <c r="X1923" s="1"/>
      <c r="Y1923" s="1"/>
      <c r="Z1923" s="1"/>
      <c r="AA1923" s="1"/>
      <c r="AB1923" s="1"/>
    </row>
    <row r="1924" ht="50.25" customHeight="1">
      <c r="A1924" s="12">
        <v>1920.0</v>
      </c>
      <c r="B1924" s="13" t="s">
        <v>1824</v>
      </c>
      <c r="C1924" s="14" t="s">
        <v>1934</v>
      </c>
      <c r="D1924" s="1"/>
      <c r="E1924" s="1"/>
      <c r="F1924" s="1" t="str">
        <f>IFERROR(__xludf.DUMMYFUNCTION("GOOGLETRANSLATE(B1924, ""en"", ""fa"")
"),"وبلاگ نویسی")</f>
        <v>وبلاگ نویسی</v>
      </c>
      <c r="G1924" s="1" t="str">
        <f>IFERROR(__xludf.DUMMYFUNCTION("GOOGLETRANSLATE(C1924, ""en"", ""fa"")
"),"استراتژی های انجام مصاحبه با کارشناسان صنعت یا رهبران فکری را به اشتراک بگذارید تا بینش های ارزشمندی را در پست های وبلاگ خود ارائه دهید.")</f>
        <v>استراتژی های انجام مصاحبه با کارشناسان صنعت یا رهبران فکری را به اشتراک بگذارید تا بینش های ارزشمندی را در پست های وبلاگ خود ارائه دهید.</v>
      </c>
      <c r="H1924" s="1"/>
      <c r="I1924" s="1"/>
      <c r="J1924" s="1"/>
      <c r="K1924" s="1"/>
      <c r="L1924" s="1"/>
      <c r="M1924" s="1"/>
      <c r="N1924" s="1"/>
      <c r="O1924" s="1"/>
      <c r="P1924" s="1"/>
      <c r="Q1924" s="1"/>
      <c r="R1924" s="1"/>
      <c r="S1924" s="1"/>
      <c r="T1924" s="1"/>
      <c r="U1924" s="1"/>
      <c r="V1924" s="1"/>
      <c r="W1924" s="1"/>
      <c r="X1924" s="1"/>
      <c r="Y1924" s="1"/>
      <c r="Z1924" s="1"/>
      <c r="AA1924" s="1"/>
      <c r="AB1924" s="1"/>
    </row>
    <row r="1925" ht="50.25" customHeight="1">
      <c r="A1925" s="12">
        <v>1921.0</v>
      </c>
      <c r="B1925" s="13" t="s">
        <v>1824</v>
      </c>
      <c r="C1925" s="14" t="s">
        <v>1935</v>
      </c>
      <c r="D1925" s="1"/>
      <c r="E1925" s="1"/>
      <c r="F1925" s="1" t="str">
        <f>IFERROR(__xludf.DUMMYFUNCTION("GOOGLETRANSLATE(B1925, ""en"", ""fa"")
"),"وبلاگ نویسی")</f>
        <v>وبلاگ نویسی</v>
      </c>
      <c r="G1925" s="1" t="str">
        <f>IFERROR(__xludf.DUMMYFUNCTION("GOOGLETRANSLATE(C1925, ""en"", ""fa"")
"),"درباره نقش مدیریت محتوا در ارائه فهرست‌ها، منابع یا توصیه‌هایی به خوانندگان وبلاگ خود بحث کنید.")</f>
        <v>درباره نقش مدیریت محتوا در ارائه فهرست‌ها، منابع یا توصیه‌هایی به خوانندگان وبلاگ خود بحث کنید.</v>
      </c>
      <c r="H1925" s="1"/>
      <c r="I1925" s="1"/>
      <c r="J1925" s="1"/>
      <c r="K1925" s="1"/>
      <c r="L1925" s="1"/>
      <c r="M1925" s="1"/>
      <c r="N1925" s="1"/>
      <c r="O1925" s="1"/>
      <c r="P1925" s="1"/>
      <c r="Q1925" s="1"/>
      <c r="R1925" s="1"/>
      <c r="S1925" s="1"/>
      <c r="T1925" s="1"/>
      <c r="U1925" s="1"/>
      <c r="V1925" s="1"/>
      <c r="W1925" s="1"/>
      <c r="X1925" s="1"/>
      <c r="Y1925" s="1"/>
      <c r="Z1925" s="1"/>
      <c r="AA1925" s="1"/>
      <c r="AB1925" s="1"/>
    </row>
    <row r="1926" ht="50.25" customHeight="1">
      <c r="A1926" s="12">
        <v>1922.0</v>
      </c>
      <c r="B1926" s="13" t="s">
        <v>1824</v>
      </c>
      <c r="C1926" s="14" t="s">
        <v>1936</v>
      </c>
      <c r="D1926" s="1"/>
      <c r="E1926" s="1"/>
      <c r="F1926" s="1" t="str">
        <f>IFERROR(__xludf.DUMMYFUNCTION("GOOGLETRANSLATE(B1926, ""en"", ""fa"")
"),"وبلاگ نویسی")</f>
        <v>وبلاگ نویسی</v>
      </c>
      <c r="G1926" s="1" t="str">
        <f>IFERROR(__xludf.DUMMYFUNCTION("GOOGLETRANSLATE(C1926, ""en"", ""fa"")
"),"نکاتی را برای نوشتن معرفی های جذاب پست وبلاگ که خوانندگان را از ابتدا جذب می کند، به اشتراک بگذارید.")</f>
        <v>نکاتی را برای نوشتن معرفی های جذاب پست وبلاگ که خوانندگان را از ابتدا جذب می کند، به اشتراک بگذارید.</v>
      </c>
      <c r="H1926" s="1"/>
      <c r="I1926" s="1"/>
      <c r="J1926" s="1"/>
      <c r="K1926" s="1"/>
      <c r="L1926" s="1"/>
      <c r="M1926" s="1"/>
      <c r="N1926" s="1"/>
      <c r="O1926" s="1"/>
      <c r="P1926" s="1"/>
      <c r="Q1926" s="1"/>
      <c r="R1926" s="1"/>
      <c r="S1926" s="1"/>
      <c r="T1926" s="1"/>
      <c r="U1926" s="1"/>
      <c r="V1926" s="1"/>
      <c r="W1926" s="1"/>
      <c r="X1926" s="1"/>
      <c r="Y1926" s="1"/>
      <c r="Z1926" s="1"/>
      <c r="AA1926" s="1"/>
      <c r="AB1926" s="1"/>
    </row>
    <row r="1927" ht="50.25" customHeight="1">
      <c r="A1927" s="12">
        <v>1923.0</v>
      </c>
      <c r="B1927" s="13" t="s">
        <v>1824</v>
      </c>
      <c r="C1927" s="14" t="s">
        <v>1937</v>
      </c>
      <c r="D1927" s="1"/>
      <c r="E1927" s="1"/>
      <c r="F1927" s="1" t="str">
        <f>IFERROR(__xludf.DUMMYFUNCTION("GOOGLETRANSLATE(B1927, ""en"", ""fa"")
"),"وبلاگ نویسی")</f>
        <v>وبلاگ نویسی</v>
      </c>
      <c r="G1927" s="1" t="str">
        <f>IFERROR(__xludf.DUMMYFUNCTION("GOOGLETRANSLATE(C1927, ""en"", ""fa"")
"),"در مورد اهمیت ایجاد تصاویر با کیفیت بالا، مانند تصاویر سفارشی یا اینفوگرافیک، برای بهبود پست های وبلاگ خود بحث کنید.")</f>
        <v>در مورد اهمیت ایجاد تصاویر با کیفیت بالا، مانند تصاویر سفارشی یا اینفوگرافیک، برای بهبود پست های وبلاگ خود بحث کنید.</v>
      </c>
      <c r="H1927" s="1"/>
      <c r="I1927" s="1"/>
      <c r="J1927" s="1"/>
      <c r="K1927" s="1"/>
      <c r="L1927" s="1"/>
      <c r="M1927" s="1"/>
      <c r="N1927" s="1"/>
      <c r="O1927" s="1"/>
      <c r="P1927" s="1"/>
      <c r="Q1927" s="1"/>
      <c r="R1927" s="1"/>
      <c r="S1927" s="1"/>
      <c r="T1927" s="1"/>
      <c r="U1927" s="1"/>
      <c r="V1927" s="1"/>
      <c r="W1927" s="1"/>
      <c r="X1927" s="1"/>
      <c r="Y1927" s="1"/>
      <c r="Z1927" s="1"/>
      <c r="AA1927" s="1"/>
      <c r="AB1927" s="1"/>
    </row>
    <row r="1928" ht="50.25" customHeight="1">
      <c r="A1928" s="12">
        <v>1924.0</v>
      </c>
      <c r="B1928" s="13" t="s">
        <v>1824</v>
      </c>
      <c r="C1928" s="14" t="s">
        <v>1938</v>
      </c>
      <c r="D1928" s="1"/>
      <c r="E1928" s="1"/>
      <c r="F1928" s="1" t="str">
        <f>IFERROR(__xludf.DUMMYFUNCTION("GOOGLETRANSLATE(B1928, ""en"", ""fa"")
"),"وبلاگ نویسی")</f>
        <v>وبلاگ نویسی</v>
      </c>
      <c r="G1928" s="1" t="str">
        <f>IFERROR(__xludf.DUMMYFUNCTION("GOOGLETRANSLATE(C1928, ""en"", ""fa"")
"),"راه های مختلف برای بهینه سازی طرح و طراحی وبلاگ خود را برای تجربه کاربری و خوانایی بهتر کاوش کنید.")</f>
        <v>راه های مختلف برای بهینه سازی طرح و طراحی وبلاگ خود را برای تجربه کاربری و خوانایی بهتر کاوش کنید.</v>
      </c>
      <c r="H1928" s="1"/>
      <c r="I1928" s="1"/>
      <c r="J1928" s="1"/>
      <c r="K1928" s="1"/>
      <c r="L1928" s="1"/>
      <c r="M1928" s="1"/>
      <c r="N1928" s="1"/>
      <c r="O1928" s="1"/>
      <c r="P1928" s="1"/>
      <c r="Q1928" s="1"/>
      <c r="R1928" s="1"/>
      <c r="S1928" s="1"/>
      <c r="T1928" s="1"/>
      <c r="U1928" s="1"/>
      <c r="V1928" s="1"/>
      <c r="W1928" s="1"/>
      <c r="X1928" s="1"/>
      <c r="Y1928" s="1"/>
      <c r="Z1928" s="1"/>
      <c r="AA1928" s="1"/>
      <c r="AB1928" s="1"/>
    </row>
    <row r="1929" ht="50.25" customHeight="1">
      <c r="A1929" s="12">
        <v>1925.0</v>
      </c>
      <c r="B1929" s="13" t="s">
        <v>1824</v>
      </c>
      <c r="C1929" s="14" t="s">
        <v>1939</v>
      </c>
      <c r="D1929" s="1"/>
      <c r="E1929" s="1"/>
      <c r="F1929" s="1" t="str">
        <f>IFERROR(__xludf.DUMMYFUNCTION("GOOGLETRANSLATE(B1929, ""en"", ""fa"")
"),"وبلاگ نویسی")</f>
        <v>وبلاگ نویسی</v>
      </c>
      <c r="G1929" s="1" t="str">
        <f>IFERROR(__xludf.DUMMYFUNCTION("GOOGLETRANSLATE(C1929, ""en"", ""fa"")
"),"استراتژی‌هایی را برای تبدیل محتوای وبلاگ به قالب‌های دیگر، مانند کتاب‌های الکترونیکی، دوره‌های آنلاین یا پست‌های رسانه‌های اجتماعی به اشتراک بگذارید.")</f>
        <v>استراتژی‌هایی را برای تبدیل محتوای وبلاگ به قالب‌های دیگر، مانند کتاب‌های الکترونیکی، دوره‌های آنلاین یا پست‌های رسانه‌های اجتماعی به اشتراک بگذارید.</v>
      </c>
      <c r="H1929" s="1"/>
      <c r="I1929" s="1"/>
      <c r="J1929" s="1"/>
      <c r="K1929" s="1"/>
      <c r="L1929" s="1"/>
      <c r="M1929" s="1"/>
      <c r="N1929" s="1"/>
      <c r="O1929" s="1"/>
      <c r="P1929" s="1"/>
      <c r="Q1929" s="1"/>
      <c r="R1929" s="1"/>
      <c r="S1929" s="1"/>
      <c r="T1929" s="1"/>
      <c r="U1929" s="1"/>
      <c r="V1929" s="1"/>
      <c r="W1929" s="1"/>
      <c r="X1929" s="1"/>
      <c r="Y1929" s="1"/>
      <c r="Z1929" s="1"/>
      <c r="AA1929" s="1"/>
      <c r="AB1929" s="1"/>
    </row>
    <row r="1930" ht="50.25" customHeight="1">
      <c r="A1930" s="12">
        <v>1926.0</v>
      </c>
      <c r="B1930" s="13" t="s">
        <v>1824</v>
      </c>
      <c r="C1930" s="14" t="s">
        <v>1940</v>
      </c>
      <c r="D1930" s="1"/>
      <c r="E1930" s="1"/>
      <c r="F1930" s="1" t="str">
        <f>IFERROR(__xludf.DUMMYFUNCTION("GOOGLETRANSLATE(B1930, ""en"", ""fa"")
"),"وبلاگ نویسی")</f>
        <v>وبلاگ نویسی</v>
      </c>
      <c r="G1930" s="1" t="str">
        <f>IFERROR(__xludf.DUMMYFUNCTION("GOOGLETRANSLATE(C1930, ""en"", ""fa"")
"),"در مورد نقش رسانه های اجتماعی در تبلیغ وبلاگ خود و ایجاد یک جامعه آنلاین پیرامون محتوای خود بحث کنید.")</f>
        <v>در مورد نقش رسانه های اجتماعی در تبلیغ وبلاگ خود و ایجاد یک جامعه آنلاین پیرامون محتوای خود بحث کنید.</v>
      </c>
      <c r="H1930" s="1"/>
      <c r="I1930" s="1"/>
      <c r="J1930" s="1"/>
      <c r="K1930" s="1"/>
      <c r="L1930" s="1"/>
      <c r="M1930" s="1"/>
      <c r="N1930" s="1"/>
      <c r="O1930" s="1"/>
      <c r="P1930" s="1"/>
      <c r="Q1930" s="1"/>
      <c r="R1930" s="1"/>
      <c r="S1930" s="1"/>
      <c r="T1930" s="1"/>
      <c r="U1930" s="1"/>
      <c r="V1930" s="1"/>
      <c r="W1930" s="1"/>
      <c r="X1930" s="1"/>
      <c r="Y1930" s="1"/>
      <c r="Z1930" s="1"/>
      <c r="AA1930" s="1"/>
      <c r="AB1930" s="1"/>
    </row>
    <row r="1931" ht="50.25" customHeight="1">
      <c r="A1931" s="12">
        <v>1927.0</v>
      </c>
      <c r="B1931" s="13" t="s">
        <v>1824</v>
      </c>
      <c r="C1931" s="14" t="s">
        <v>1941</v>
      </c>
      <c r="D1931" s="1"/>
      <c r="E1931" s="1"/>
      <c r="F1931" s="1" t="str">
        <f>IFERROR(__xludf.DUMMYFUNCTION("GOOGLETRANSLATE(B1931, ""en"", ""fa"")
"),"وبلاگ نویسی")</f>
        <v>وبلاگ نویسی</v>
      </c>
      <c r="G1931" s="1" t="str">
        <f>IFERROR(__xludf.DUMMYFUNCTION("GOOGLETRANSLATE(C1931, ""en"", ""fa"")
"),"برای جمع‌آوری بازخورد و درک بهتر مخاطبان، مزایای انجام نظرسنجی یا نظرسنجی از خوانندگان را بررسی کنید.")</f>
        <v>برای جمع‌آوری بازخورد و درک بهتر مخاطبان، مزایای انجام نظرسنجی یا نظرسنجی از خوانندگان را بررسی کنید.</v>
      </c>
      <c r="H1931" s="1"/>
      <c r="I1931" s="1"/>
      <c r="J1931" s="1"/>
      <c r="K1931" s="1"/>
      <c r="L1931" s="1"/>
      <c r="M1931" s="1"/>
      <c r="N1931" s="1"/>
      <c r="O1931" s="1"/>
      <c r="P1931" s="1"/>
      <c r="Q1931" s="1"/>
      <c r="R1931" s="1"/>
      <c r="S1931" s="1"/>
      <c r="T1931" s="1"/>
      <c r="U1931" s="1"/>
      <c r="V1931" s="1"/>
      <c r="W1931" s="1"/>
      <c r="X1931" s="1"/>
      <c r="Y1931" s="1"/>
      <c r="Z1931" s="1"/>
      <c r="AA1931" s="1"/>
      <c r="AB1931" s="1"/>
    </row>
    <row r="1932" ht="50.25" customHeight="1">
      <c r="A1932" s="12">
        <v>1928.0</v>
      </c>
      <c r="B1932" s="13" t="s">
        <v>1824</v>
      </c>
      <c r="C1932" s="14" t="s">
        <v>1942</v>
      </c>
      <c r="D1932" s="1"/>
      <c r="E1932" s="1"/>
      <c r="F1932" s="1" t="str">
        <f>IFERROR(__xludf.DUMMYFUNCTION("GOOGLETRANSLATE(B1932, ""en"", ""fa"")
"),"وبلاگ نویسی")</f>
        <v>وبلاگ نویسی</v>
      </c>
      <c r="G1932" s="1" t="str">
        <f>IFERROR(__xludf.DUMMYFUNCTION("GOOGLETRANSLATE(C1932, ""en"", ""fa"")
"),"نکاتی را برای بهینه سازی متا تگ های وبلاگ خود، از جمله برچسب های عنوان و توضیحات متا، برای مشاهده بهتر موتورهای جستجو به اشتراک بگذارید.")</f>
        <v>نکاتی را برای بهینه سازی متا تگ های وبلاگ خود، از جمله برچسب های عنوان و توضیحات متا، برای مشاهده بهتر موتورهای جستجو به اشتراک بگذارید.</v>
      </c>
      <c r="H1932" s="1"/>
      <c r="I1932" s="1"/>
      <c r="J1932" s="1"/>
      <c r="K1932" s="1"/>
      <c r="L1932" s="1"/>
      <c r="M1932" s="1"/>
      <c r="N1932" s="1"/>
      <c r="O1932" s="1"/>
      <c r="P1932" s="1"/>
      <c r="Q1932" s="1"/>
      <c r="R1932" s="1"/>
      <c r="S1932" s="1"/>
      <c r="T1932" s="1"/>
      <c r="U1932" s="1"/>
      <c r="V1932" s="1"/>
      <c r="W1932" s="1"/>
      <c r="X1932" s="1"/>
      <c r="Y1932" s="1"/>
      <c r="Z1932" s="1"/>
      <c r="AA1932" s="1"/>
      <c r="AB1932" s="1"/>
    </row>
    <row r="1933" ht="50.25" customHeight="1">
      <c r="A1933" s="12">
        <v>1929.0</v>
      </c>
      <c r="B1933" s="13" t="s">
        <v>1824</v>
      </c>
      <c r="C1933" s="14" t="s">
        <v>1943</v>
      </c>
      <c r="D1933" s="1"/>
      <c r="E1933" s="1"/>
      <c r="F1933" s="1" t="str">
        <f>IFERROR(__xludf.DUMMYFUNCTION("GOOGLETRANSLATE(B1933, ""en"", ""fa"")
"),"وبلاگ نویسی")</f>
        <v>وبلاگ نویسی</v>
      </c>
      <c r="G1933" s="1" t="str">
        <f>IFERROR(__xludf.DUMMYFUNCTION("GOOGLETRANSLATE(C1933, ""en"", ""fa"")
"),"در مورد اهمیت ایجاد صدای و لحن ثابت برند در نوشتن وبلاگ خود بحث کنید.")</f>
        <v>در مورد اهمیت ایجاد صدای و لحن ثابت برند در نوشتن وبلاگ خود بحث کنید.</v>
      </c>
      <c r="H1933" s="1"/>
      <c r="I1933" s="1"/>
      <c r="J1933" s="1"/>
      <c r="K1933" s="1"/>
      <c r="L1933" s="1"/>
      <c r="M1933" s="1"/>
      <c r="N1933" s="1"/>
      <c r="O1933" s="1"/>
      <c r="P1933" s="1"/>
      <c r="Q1933" s="1"/>
      <c r="R1933" s="1"/>
      <c r="S1933" s="1"/>
      <c r="T1933" s="1"/>
      <c r="U1933" s="1"/>
      <c r="V1933" s="1"/>
      <c r="W1933" s="1"/>
      <c r="X1933" s="1"/>
      <c r="Y1933" s="1"/>
      <c r="Z1933" s="1"/>
      <c r="AA1933" s="1"/>
      <c r="AB1933" s="1"/>
    </row>
    <row r="1934" ht="50.25" customHeight="1">
      <c r="A1934" s="12">
        <v>1930.0</v>
      </c>
      <c r="B1934" s="13" t="s">
        <v>1824</v>
      </c>
      <c r="C1934" s="14" t="s">
        <v>1944</v>
      </c>
      <c r="D1934" s="1"/>
      <c r="E1934" s="1"/>
      <c r="F1934" s="1" t="str">
        <f>IFERROR(__xludf.DUMMYFUNCTION("GOOGLETRANSLATE(B1934, ""en"", ""fa"")
"),"وبلاگ نویسی")</f>
        <v>وبلاگ نویسی</v>
      </c>
      <c r="G1934" s="1" t="str">
        <f>IFERROR(__xludf.DUMMYFUNCTION("GOOGLETRANSLATE(C1934, ""en"", ""fa"")
"),"راه های مختلف برای استفاده از محتوای تولید شده توسط کاربر، مانند توصیفات یا داستان های ارسال شده توسط کاربر، در پست های وبلاگ خود را بررسی کنید.")</f>
        <v>راه های مختلف برای استفاده از محتوای تولید شده توسط کاربر، مانند توصیفات یا داستان های ارسال شده توسط کاربر، در پست های وبلاگ خود را بررسی کنید.</v>
      </c>
      <c r="H1934" s="1"/>
      <c r="I1934" s="1"/>
      <c r="J1934" s="1"/>
      <c r="K1934" s="1"/>
      <c r="L1934" s="1"/>
      <c r="M1934" s="1"/>
      <c r="N1934" s="1"/>
      <c r="O1934" s="1"/>
      <c r="P1934" s="1"/>
      <c r="Q1934" s="1"/>
      <c r="R1934" s="1"/>
      <c r="S1934" s="1"/>
      <c r="T1934" s="1"/>
      <c r="U1934" s="1"/>
      <c r="V1934" s="1"/>
      <c r="W1934" s="1"/>
      <c r="X1934" s="1"/>
      <c r="Y1934" s="1"/>
      <c r="Z1934" s="1"/>
      <c r="AA1934" s="1"/>
      <c r="AB1934" s="1"/>
    </row>
    <row r="1935" ht="50.25" customHeight="1">
      <c r="A1935" s="12">
        <v>1931.0</v>
      </c>
      <c r="B1935" s="13" t="s">
        <v>1824</v>
      </c>
      <c r="C1935" s="14" t="s">
        <v>1945</v>
      </c>
      <c r="D1935" s="1"/>
      <c r="E1935" s="1"/>
      <c r="F1935" s="1" t="str">
        <f>IFERROR(__xludf.DUMMYFUNCTION("GOOGLETRANSLATE(B1935, ""en"", ""fa"")
"),"وبلاگ نویسی")</f>
        <v>وبلاگ نویسی</v>
      </c>
      <c r="G1935" s="1" t="str">
        <f>IFERROR(__xludf.DUMMYFUNCTION("GOOGLETRANSLATE(C1935, ""en"", ""fa"")
"),"استراتژی های سازماندهی و دسته بندی محتوای وبلاگ خود را برای بهبود ناوبری و تجربه کاربر به اشتراک بگذارید.")</f>
        <v>استراتژی های سازماندهی و دسته بندی محتوای وبلاگ خود را برای بهبود ناوبری و تجربه کاربر به اشتراک بگذارید.</v>
      </c>
      <c r="H1935" s="1"/>
      <c r="I1935" s="1"/>
      <c r="J1935" s="1"/>
      <c r="K1935" s="1"/>
      <c r="L1935" s="1"/>
      <c r="M1935" s="1"/>
      <c r="N1935" s="1"/>
      <c r="O1935" s="1"/>
      <c r="P1935" s="1"/>
      <c r="Q1935" s="1"/>
      <c r="R1935" s="1"/>
      <c r="S1935" s="1"/>
      <c r="T1935" s="1"/>
      <c r="U1935" s="1"/>
      <c r="V1935" s="1"/>
      <c r="W1935" s="1"/>
      <c r="X1935" s="1"/>
      <c r="Y1935" s="1"/>
      <c r="Z1935" s="1"/>
      <c r="AA1935" s="1"/>
      <c r="AB1935" s="1"/>
    </row>
    <row r="1936" ht="50.25" customHeight="1">
      <c r="A1936" s="12">
        <v>1932.0</v>
      </c>
      <c r="B1936" s="13" t="s">
        <v>1824</v>
      </c>
      <c r="C1936" s="14" t="s">
        <v>1946</v>
      </c>
      <c r="D1936" s="1"/>
      <c r="E1936" s="1"/>
      <c r="F1936" s="1" t="str">
        <f>IFERROR(__xludf.DUMMYFUNCTION("GOOGLETRANSLATE(B1936, ""en"", ""fa"")
"),"وبلاگ نویسی")</f>
        <v>وبلاگ نویسی</v>
      </c>
      <c r="G1936" s="1" t="str">
        <f>IFERROR(__xludf.DUMMYFUNCTION("GOOGLETRANSLATE(C1936, ""en"", ""fa"")
"),"در مورد نقش وبلاگ نویسی مهمان در سایر وب سایت های معتبر برای افزایش دیده شدن و اعتبار وبلاگ خود بحث کنید.")</f>
        <v>در مورد نقش وبلاگ نویسی مهمان در سایر وب سایت های معتبر برای افزایش دیده شدن و اعتبار وبلاگ خود بحث کنید.</v>
      </c>
      <c r="H1936" s="1"/>
      <c r="I1936" s="1"/>
      <c r="J1936" s="1"/>
      <c r="K1936" s="1"/>
      <c r="L1936" s="1"/>
      <c r="M1936" s="1"/>
      <c r="N1936" s="1"/>
      <c r="O1936" s="1"/>
      <c r="P1936" s="1"/>
      <c r="Q1936" s="1"/>
      <c r="R1936" s="1"/>
      <c r="S1936" s="1"/>
      <c r="T1936" s="1"/>
      <c r="U1936" s="1"/>
      <c r="V1936" s="1"/>
      <c r="W1936" s="1"/>
      <c r="X1936" s="1"/>
      <c r="Y1936" s="1"/>
      <c r="Z1936" s="1"/>
      <c r="AA1936" s="1"/>
      <c r="AB1936" s="1"/>
    </row>
    <row r="1937" ht="50.25" customHeight="1">
      <c r="A1937" s="12">
        <v>1933.0</v>
      </c>
      <c r="B1937" s="13" t="s">
        <v>1824</v>
      </c>
      <c r="C1937" s="14" t="s">
        <v>1947</v>
      </c>
      <c r="D1937" s="1"/>
      <c r="E1937" s="1"/>
      <c r="F1937" s="1" t="str">
        <f>IFERROR(__xludf.DUMMYFUNCTION("GOOGLETRANSLATE(B1937, ""en"", ""fa"")
"),"وبلاگ نویسی")</f>
        <v>وبلاگ نویسی</v>
      </c>
      <c r="G1937" s="1" t="str">
        <f>IFERROR(__xludf.DUMMYFUNCTION("GOOGLETRANSLATE(C1937, ""en"", ""fa"")
"),"مزایای گنجاندن داده ها و آمار در پست های وبلاگ خود را برای ارائه شواهد و پشتیبانی از استدلال های خود کاوش کنید.")</f>
        <v>مزایای گنجاندن داده ها و آمار در پست های وبلاگ خود را برای ارائه شواهد و پشتیبانی از استدلال های خود کاوش کنید.</v>
      </c>
      <c r="H1937" s="1"/>
      <c r="I1937" s="1"/>
      <c r="J1937" s="1"/>
      <c r="K1937" s="1"/>
      <c r="L1937" s="1"/>
      <c r="M1937" s="1"/>
      <c r="N1937" s="1"/>
      <c r="O1937" s="1"/>
      <c r="P1937" s="1"/>
      <c r="Q1937" s="1"/>
      <c r="R1937" s="1"/>
      <c r="S1937" s="1"/>
      <c r="T1937" s="1"/>
      <c r="U1937" s="1"/>
      <c r="V1937" s="1"/>
      <c r="W1937" s="1"/>
      <c r="X1937" s="1"/>
      <c r="Y1937" s="1"/>
      <c r="Z1937" s="1"/>
      <c r="AA1937" s="1"/>
      <c r="AB1937" s="1"/>
    </row>
    <row r="1938" ht="50.25" customHeight="1">
      <c r="A1938" s="12">
        <v>1934.0</v>
      </c>
      <c r="B1938" s="13" t="s">
        <v>1824</v>
      </c>
      <c r="C1938" s="14" t="s">
        <v>1948</v>
      </c>
      <c r="D1938" s="1"/>
      <c r="E1938" s="1"/>
      <c r="F1938" s="1" t="str">
        <f>IFERROR(__xludf.DUMMYFUNCTION("GOOGLETRANSLATE(B1938, ""en"", ""fa"")
"),"وبلاگ نویسی")</f>
        <v>وبلاگ نویسی</v>
      </c>
      <c r="G1938" s="1" t="str">
        <f>IFERROR(__xludf.DUMMYFUNCTION("GOOGLETRANSLATE(C1938, ""en"", ""fa"")
"),"نکاتی را برای نوشتن پست های وبلاگ کاربردی و کاربردی که نکات ارزشمندی را برای خوانندگان ارائه می دهد، به اشتراک بگذارید.")</f>
        <v>نکاتی را برای نوشتن پست های وبلاگ کاربردی و کاربردی که نکات ارزشمندی را برای خوانندگان ارائه می دهد، به اشتراک بگذارید.</v>
      </c>
      <c r="H1938" s="1"/>
      <c r="I1938" s="1"/>
      <c r="J1938" s="1"/>
      <c r="K1938" s="1"/>
      <c r="L1938" s="1"/>
      <c r="M1938" s="1"/>
      <c r="N1938" s="1"/>
      <c r="O1938" s="1"/>
      <c r="P1938" s="1"/>
      <c r="Q1938" s="1"/>
      <c r="R1938" s="1"/>
      <c r="S1938" s="1"/>
      <c r="T1938" s="1"/>
      <c r="U1938" s="1"/>
      <c r="V1938" s="1"/>
      <c r="W1938" s="1"/>
      <c r="X1938" s="1"/>
      <c r="Y1938" s="1"/>
      <c r="Z1938" s="1"/>
      <c r="AA1938" s="1"/>
      <c r="AB1938" s="1"/>
    </row>
    <row r="1939" ht="50.25" customHeight="1">
      <c r="A1939" s="12">
        <v>1935.0</v>
      </c>
      <c r="B1939" s="13" t="s">
        <v>1824</v>
      </c>
      <c r="C1939" s="14" t="s">
        <v>1949</v>
      </c>
      <c r="D1939" s="1"/>
      <c r="E1939" s="1"/>
      <c r="F1939" s="1" t="str">
        <f>IFERROR(__xludf.DUMMYFUNCTION("GOOGLETRANSLATE(B1939, ""en"", ""fa"")
"),"وبلاگ نویسی")</f>
        <v>وبلاگ نویسی</v>
      </c>
      <c r="G1939" s="1" t="str">
        <f>IFERROR(__xludf.DUMMYFUNCTION("GOOGLETRANSLATE(C1939, ""en"", ""fa"")
"),"در مورد اهمیت بهینه سازی وبلاگ خود برای جستجوی صوتی به منظور استفاده رو به رشد از دستگاه های دارای قابلیت صوتی بحث کنید.")</f>
        <v>در مورد اهمیت بهینه سازی وبلاگ خود برای جستجوی صوتی به منظور استفاده رو به رشد از دستگاه های دارای قابلیت صوتی بحث کنید.</v>
      </c>
      <c r="H1939" s="1"/>
      <c r="I1939" s="1"/>
      <c r="J1939" s="1"/>
      <c r="K1939" s="1"/>
      <c r="L1939" s="1"/>
      <c r="M1939" s="1"/>
      <c r="N1939" s="1"/>
      <c r="O1939" s="1"/>
      <c r="P1939" s="1"/>
      <c r="Q1939" s="1"/>
      <c r="R1939" s="1"/>
      <c r="S1939" s="1"/>
      <c r="T1939" s="1"/>
      <c r="U1939" s="1"/>
      <c r="V1939" s="1"/>
      <c r="W1939" s="1"/>
      <c r="X1939" s="1"/>
      <c r="Y1939" s="1"/>
      <c r="Z1939" s="1"/>
      <c r="AA1939" s="1"/>
      <c r="AB1939" s="1"/>
    </row>
    <row r="1940" ht="50.25" customHeight="1">
      <c r="A1940" s="12">
        <v>1936.0</v>
      </c>
      <c r="B1940" s="13" t="s">
        <v>1824</v>
      </c>
      <c r="C1940" s="14" t="s">
        <v>1950</v>
      </c>
      <c r="D1940" s="1"/>
      <c r="E1940" s="1"/>
      <c r="F1940" s="1" t="str">
        <f>IFERROR(__xludf.DUMMYFUNCTION("GOOGLETRANSLATE(B1940, ""en"", ""fa"")
"),"وبلاگ نویسی")</f>
        <v>وبلاگ نویسی</v>
      </c>
      <c r="G1940" s="1" t="str">
        <f>IFERROR(__xludf.DUMMYFUNCTION("GOOGLETRANSLATE(C1940, ""en"", ""fa"")
"),"راه های مختلف برای همکاری با وبلاگ نویسان دیگر در پروژه های مشترک، مانند پست های جمع بندی یا راهنماهای مشترک را بررسی کنید.")</f>
        <v>راه های مختلف برای همکاری با وبلاگ نویسان دیگر در پروژه های مشترک، مانند پست های جمع بندی یا راهنماهای مشترک را بررسی کنید.</v>
      </c>
      <c r="H1940" s="1"/>
      <c r="I1940" s="1"/>
      <c r="J1940" s="1"/>
      <c r="K1940" s="1"/>
      <c r="L1940" s="1"/>
      <c r="M1940" s="1"/>
      <c r="N1940" s="1"/>
      <c r="O1940" s="1"/>
      <c r="P1940" s="1"/>
      <c r="Q1940" s="1"/>
      <c r="R1940" s="1"/>
      <c r="S1940" s="1"/>
      <c r="T1940" s="1"/>
      <c r="U1940" s="1"/>
      <c r="V1940" s="1"/>
      <c r="W1940" s="1"/>
      <c r="X1940" s="1"/>
      <c r="Y1940" s="1"/>
      <c r="Z1940" s="1"/>
      <c r="AA1940" s="1"/>
      <c r="AB1940" s="1"/>
    </row>
    <row r="1941" ht="50.25" customHeight="1">
      <c r="A1941" s="12">
        <v>1937.0</v>
      </c>
      <c r="B1941" s="13" t="s">
        <v>1824</v>
      </c>
      <c r="C1941" s="14" t="s">
        <v>1951</v>
      </c>
      <c r="D1941" s="1"/>
      <c r="E1941" s="1"/>
      <c r="F1941" s="1" t="str">
        <f>IFERROR(__xludf.DUMMYFUNCTION("GOOGLETRANSLATE(B1941, ""en"", ""fa"")
"),"وبلاگ نویسی")</f>
        <v>وبلاگ نویسی</v>
      </c>
      <c r="G1941" s="1" t="str">
        <f>IFERROR(__xludf.DUMMYFUNCTION("GOOGLETRANSLATE(C1941, ""en"", ""fa"")
"),"استراتژی هایی برای ایجاد روابط با خوانندگان وبلاگ خود از طریق نظرات، مشارکت در رسانه های اجتماعی یا ارتباطات ایمیلی به اشتراک بگذارید.")</f>
        <v>استراتژی هایی برای ایجاد روابط با خوانندگان وبلاگ خود از طریق نظرات، مشارکت در رسانه های اجتماعی یا ارتباطات ایمیلی به اشتراک بگذارید.</v>
      </c>
      <c r="H1941" s="1"/>
      <c r="I1941" s="1"/>
      <c r="J1941" s="1"/>
      <c r="K1941" s="1"/>
      <c r="L1941" s="1"/>
      <c r="M1941" s="1"/>
      <c r="N1941" s="1"/>
      <c r="O1941" s="1"/>
      <c r="P1941" s="1"/>
      <c r="Q1941" s="1"/>
      <c r="R1941" s="1"/>
      <c r="S1941" s="1"/>
      <c r="T1941" s="1"/>
      <c r="U1941" s="1"/>
      <c r="V1941" s="1"/>
      <c r="W1941" s="1"/>
      <c r="X1941" s="1"/>
      <c r="Y1941" s="1"/>
      <c r="Z1941" s="1"/>
      <c r="AA1941" s="1"/>
      <c r="AB1941" s="1"/>
    </row>
    <row r="1942" ht="50.25" customHeight="1">
      <c r="A1942" s="12">
        <v>1938.0</v>
      </c>
      <c r="B1942" s="13" t="s">
        <v>1824</v>
      </c>
      <c r="C1942" s="14" t="s">
        <v>1952</v>
      </c>
      <c r="D1942" s="1"/>
      <c r="E1942" s="1"/>
      <c r="F1942" s="1" t="str">
        <f>IFERROR(__xludf.DUMMYFUNCTION("GOOGLETRANSLATE(B1942, ""en"", ""fa"")
"),"وبلاگ نویسی")</f>
        <v>وبلاگ نویسی</v>
      </c>
      <c r="G1942" s="1" t="str">
        <f>IFERROR(__xludf.DUMMYFUNCTION("GOOGLETRANSLATE(C1942, ""en"", ""fa"")
"),"در مورد نقش تحقیق کلمات کلیدی SEO در شناسایی موضوعات مرتبط و بهینه سازی پست های وبلاگ خود برای موتورهای جستجو بحث کنید.")</f>
        <v>در مورد نقش تحقیق کلمات کلیدی SEO در شناسایی موضوعات مرتبط و بهینه سازی پست های وبلاگ خود برای موتورهای جستجو بحث کنید.</v>
      </c>
      <c r="H1942" s="1"/>
      <c r="I1942" s="1"/>
      <c r="J1942" s="1"/>
      <c r="K1942" s="1"/>
      <c r="L1942" s="1"/>
      <c r="M1942" s="1"/>
      <c r="N1942" s="1"/>
      <c r="O1942" s="1"/>
      <c r="P1942" s="1"/>
      <c r="Q1942" s="1"/>
      <c r="R1942" s="1"/>
      <c r="S1942" s="1"/>
      <c r="T1942" s="1"/>
      <c r="U1942" s="1"/>
      <c r="V1942" s="1"/>
      <c r="W1942" s="1"/>
      <c r="X1942" s="1"/>
      <c r="Y1942" s="1"/>
      <c r="Z1942" s="1"/>
      <c r="AA1942" s="1"/>
      <c r="AB1942" s="1"/>
    </row>
    <row r="1943" ht="50.25" customHeight="1">
      <c r="A1943" s="12">
        <v>1939.0</v>
      </c>
      <c r="B1943" s="13" t="s">
        <v>1824</v>
      </c>
      <c r="C1943" s="14" t="s">
        <v>1953</v>
      </c>
      <c r="D1943" s="1"/>
      <c r="E1943" s="1"/>
      <c r="F1943" s="1" t="str">
        <f>IFERROR(__xludf.DUMMYFUNCTION("GOOGLETRANSLATE(B1943, ""en"", ""fa"")
"),"وبلاگ نویسی")</f>
        <v>وبلاگ نویسی</v>
      </c>
      <c r="G1943" s="1" t="str">
        <f>IFERROR(__xludf.DUMMYFUNCTION("GOOGLETRANSLATE(C1943, ""en"", ""fa"")
"),"مزایای ایجاد یک تقویم محتوا و برنامه ریزی پست های وبلاگ خود را از قبل برای انتشار مداوم بررسی کنید.")</f>
        <v>مزایای ایجاد یک تقویم محتوا و برنامه ریزی پست های وبلاگ خود را از قبل برای انتشار مداوم بررسی کنید.</v>
      </c>
      <c r="H1943" s="1"/>
      <c r="I1943" s="1"/>
      <c r="J1943" s="1"/>
      <c r="K1943" s="1"/>
      <c r="L1943" s="1"/>
      <c r="M1943" s="1"/>
      <c r="N1943" s="1"/>
      <c r="O1943" s="1"/>
      <c r="P1943" s="1"/>
      <c r="Q1943" s="1"/>
      <c r="R1943" s="1"/>
      <c r="S1943" s="1"/>
      <c r="T1943" s="1"/>
      <c r="U1943" s="1"/>
      <c r="V1943" s="1"/>
      <c r="W1943" s="1"/>
      <c r="X1943" s="1"/>
      <c r="Y1943" s="1"/>
      <c r="Z1943" s="1"/>
      <c r="AA1943" s="1"/>
      <c r="AB1943" s="1"/>
    </row>
    <row r="1944" ht="50.25" customHeight="1">
      <c r="A1944" s="12">
        <v>1940.0</v>
      </c>
      <c r="B1944" s="13" t="s">
        <v>1824</v>
      </c>
      <c r="C1944" s="14" t="s">
        <v>1954</v>
      </c>
      <c r="D1944" s="1"/>
      <c r="E1944" s="1"/>
      <c r="F1944" s="1" t="str">
        <f>IFERROR(__xludf.DUMMYFUNCTION("GOOGLETRANSLATE(B1944, ""en"", ""fa"")
"),"وبلاگ نویسی")</f>
        <v>وبلاگ نویسی</v>
      </c>
      <c r="G1944" s="1" t="str">
        <f>IFERROR(__xludf.DUMMYFUNCTION("GOOGLETRANSLATE(C1944, ""en"", ""fa"")
"),"نکاتی را برای نوشتن نتیجه گیری جذاب به اشتراک بگذارید که تأثیر ماندگاری بر خوانندگان وبلاگ شما بگذارد.")</f>
        <v>نکاتی را برای نوشتن نتیجه گیری جذاب به اشتراک بگذارید که تأثیر ماندگاری بر خوانندگان وبلاگ شما بگذارد.</v>
      </c>
      <c r="H1944" s="1"/>
      <c r="I1944" s="1"/>
      <c r="J1944" s="1"/>
      <c r="K1944" s="1"/>
      <c r="L1944" s="1"/>
      <c r="M1944" s="1"/>
      <c r="N1944" s="1"/>
      <c r="O1944" s="1"/>
      <c r="P1944" s="1"/>
      <c r="Q1944" s="1"/>
      <c r="R1944" s="1"/>
      <c r="S1944" s="1"/>
      <c r="T1944" s="1"/>
      <c r="U1944" s="1"/>
      <c r="V1944" s="1"/>
      <c r="W1944" s="1"/>
      <c r="X1944" s="1"/>
      <c r="Y1944" s="1"/>
      <c r="Z1944" s="1"/>
      <c r="AA1944" s="1"/>
      <c r="AB1944" s="1"/>
    </row>
    <row r="1945" ht="50.25" customHeight="1">
      <c r="A1945" s="12">
        <v>1941.0</v>
      </c>
      <c r="B1945" s="13" t="s">
        <v>1824</v>
      </c>
      <c r="C1945" s="14" t="s">
        <v>1955</v>
      </c>
      <c r="D1945" s="1"/>
      <c r="E1945" s="1"/>
      <c r="F1945" s="1" t="str">
        <f>IFERROR(__xludf.DUMMYFUNCTION("GOOGLETRANSLATE(B1945, ""en"", ""fa"")
"),"وبلاگ نویسی")</f>
        <v>وبلاگ نویسی</v>
      </c>
      <c r="G1945" s="1" t="str">
        <f>IFERROR(__xludf.DUMMYFUNCTION("GOOGLETRANSLATE(C1945, ""en"", ""fa"")
"),"در مورد اهمیت ترکیب پیوندهای داخلی در پست های وبلاگ خود برای بهبود ناوبری و ترویج محتوای مرتبط بحث کنید.")</f>
        <v>در مورد اهمیت ترکیب پیوندهای داخلی در پست های وبلاگ خود برای بهبود ناوبری و ترویج محتوای مرتبط بحث کنید.</v>
      </c>
      <c r="H1945" s="1"/>
      <c r="I1945" s="1"/>
      <c r="J1945" s="1"/>
      <c r="K1945" s="1"/>
      <c r="L1945" s="1"/>
      <c r="M1945" s="1"/>
      <c r="N1945" s="1"/>
      <c r="O1945" s="1"/>
      <c r="P1945" s="1"/>
      <c r="Q1945" s="1"/>
      <c r="R1945" s="1"/>
      <c r="S1945" s="1"/>
      <c r="T1945" s="1"/>
      <c r="U1945" s="1"/>
      <c r="V1945" s="1"/>
      <c r="W1945" s="1"/>
      <c r="X1945" s="1"/>
      <c r="Y1945" s="1"/>
      <c r="Z1945" s="1"/>
      <c r="AA1945" s="1"/>
      <c r="AB1945" s="1"/>
    </row>
    <row r="1946" ht="50.25" customHeight="1">
      <c r="A1946" s="12">
        <v>1942.0</v>
      </c>
      <c r="B1946" s="13" t="s">
        <v>1824</v>
      </c>
      <c r="C1946" s="14" t="s">
        <v>1956</v>
      </c>
      <c r="D1946" s="1"/>
      <c r="E1946" s="1"/>
      <c r="F1946" s="1" t="str">
        <f>IFERROR(__xludf.DUMMYFUNCTION("GOOGLETRANSLATE(B1946, ""en"", ""fa"")
"),"وبلاگ نویسی")</f>
        <v>وبلاگ نویسی</v>
      </c>
      <c r="G1946" s="1" t="str">
        <f>IFERROR(__xludf.DUMMYFUNCTION("GOOGLETRANSLATE(C1946, ""en"", ""fa"")
"),"راه‌های مختلف برای تغییر هدف محتوای وبلاگ خود را در قالب‌های بصری، مانند نمایش اسلاید، اینفوگرافیک، یا گرافیک‌های دوستدار Pinterest کاوش کنید.")</f>
        <v>راه‌های مختلف برای تغییر هدف محتوای وبلاگ خود را در قالب‌های بصری، مانند نمایش اسلاید، اینفوگرافیک، یا گرافیک‌های دوستدار Pinterest کاوش کنید.</v>
      </c>
      <c r="H1946" s="1"/>
      <c r="I1946" s="1"/>
      <c r="J1946" s="1"/>
      <c r="K1946" s="1"/>
      <c r="L1946" s="1"/>
      <c r="M1946" s="1"/>
      <c r="N1946" s="1"/>
      <c r="O1946" s="1"/>
      <c r="P1946" s="1"/>
      <c r="Q1946" s="1"/>
      <c r="R1946" s="1"/>
      <c r="S1946" s="1"/>
      <c r="T1946" s="1"/>
      <c r="U1946" s="1"/>
      <c r="V1946" s="1"/>
      <c r="W1946" s="1"/>
      <c r="X1946" s="1"/>
      <c r="Y1946" s="1"/>
      <c r="Z1946" s="1"/>
      <c r="AA1946" s="1"/>
      <c r="AB1946" s="1"/>
    </row>
    <row r="1947" ht="50.25" customHeight="1">
      <c r="A1947" s="12">
        <v>1943.0</v>
      </c>
      <c r="B1947" s="13" t="s">
        <v>1824</v>
      </c>
      <c r="C1947" s="14" t="s">
        <v>1957</v>
      </c>
      <c r="D1947" s="1"/>
      <c r="E1947" s="1"/>
      <c r="F1947" s="1" t="str">
        <f>IFERROR(__xludf.DUMMYFUNCTION("GOOGLETRANSLATE(B1947, ""en"", ""fa"")
"),"وبلاگ نویسی")</f>
        <v>وبلاگ نویسی</v>
      </c>
      <c r="G1947" s="1" t="str">
        <f>IFERROR(__xludf.DUMMYFUNCTION("GOOGLETRANSLATE(C1947, ""en"", ""fa"")
"),"استراتژی‌های تبلیغ وبلاگ خود را از طریق همکاری با اینفلوئنسرها یا سفیران برند به اشتراک بگذارید.")</f>
        <v>استراتژی‌های تبلیغ وبلاگ خود را از طریق همکاری با اینفلوئنسرها یا سفیران برند به اشتراک بگذارید.</v>
      </c>
      <c r="H1947" s="1"/>
      <c r="I1947" s="1"/>
      <c r="J1947" s="1"/>
      <c r="K1947" s="1"/>
      <c r="L1947" s="1"/>
      <c r="M1947" s="1"/>
      <c r="N1947" s="1"/>
      <c r="O1947" s="1"/>
      <c r="P1947" s="1"/>
      <c r="Q1947" s="1"/>
      <c r="R1947" s="1"/>
      <c r="S1947" s="1"/>
      <c r="T1947" s="1"/>
      <c r="U1947" s="1"/>
      <c r="V1947" s="1"/>
      <c r="W1947" s="1"/>
      <c r="X1947" s="1"/>
      <c r="Y1947" s="1"/>
      <c r="Z1947" s="1"/>
      <c r="AA1947" s="1"/>
      <c r="AB1947" s="1"/>
    </row>
    <row r="1948" ht="50.25" customHeight="1">
      <c r="A1948" s="12">
        <v>1944.0</v>
      </c>
      <c r="B1948" s="13" t="s">
        <v>1824</v>
      </c>
      <c r="C1948" s="14" t="s">
        <v>1958</v>
      </c>
      <c r="D1948" s="1"/>
      <c r="E1948" s="1"/>
      <c r="F1948" s="1" t="str">
        <f>IFERROR(__xludf.DUMMYFUNCTION("GOOGLETRANSLATE(B1948, ""en"", ""fa"")
"),"وبلاگ نویسی")</f>
        <v>وبلاگ نویسی</v>
      </c>
      <c r="G1948" s="1" t="str">
        <f>IFERROR(__xludf.DUMMYFUNCTION("GOOGLETRANSLATE(C1948, ""en"", ""fa"")
"),"در مورد نقش ابزارهای برنامه ریزی رسانه های اجتماعی در خودکارسازی تبلیغات وبلاگ و افزایش دسترسی خود بحث کنید.")</f>
        <v>در مورد نقش ابزارهای برنامه ریزی رسانه های اجتماعی در خودکارسازی تبلیغات وبلاگ و افزایش دسترسی خود بحث کنید.</v>
      </c>
      <c r="H1948" s="1"/>
      <c r="I1948" s="1"/>
      <c r="J1948" s="1"/>
      <c r="K1948" s="1"/>
      <c r="L1948" s="1"/>
      <c r="M1948" s="1"/>
      <c r="N1948" s="1"/>
      <c r="O1948" s="1"/>
      <c r="P1948" s="1"/>
      <c r="Q1948" s="1"/>
      <c r="R1948" s="1"/>
      <c r="S1948" s="1"/>
      <c r="T1948" s="1"/>
      <c r="U1948" s="1"/>
      <c r="V1948" s="1"/>
      <c r="W1948" s="1"/>
      <c r="X1948" s="1"/>
      <c r="Y1948" s="1"/>
      <c r="Z1948" s="1"/>
      <c r="AA1948" s="1"/>
      <c r="AB1948" s="1"/>
    </row>
    <row r="1949" ht="50.25" customHeight="1">
      <c r="A1949" s="12">
        <v>1945.0</v>
      </c>
      <c r="B1949" s="13" t="s">
        <v>1824</v>
      </c>
      <c r="C1949" s="14" t="s">
        <v>1959</v>
      </c>
      <c r="D1949" s="1"/>
      <c r="E1949" s="1"/>
      <c r="F1949" s="1" t="str">
        <f>IFERROR(__xludf.DUMMYFUNCTION("GOOGLETRANSLATE(B1949, ""en"", ""fa"")
"),"وبلاگ نویسی")</f>
        <v>وبلاگ نویسی</v>
      </c>
      <c r="G1949" s="1" t="str">
        <f>IFERROR(__xludf.DUMMYFUNCTION("GOOGLETRANSLATE(C1949, ""en"", ""fa"")
"),"مزایای انجام تحقیقات عمیق برای پست های وبلاگ خود را برای ارائه اطلاعات جامع و معتبر بررسی کنید.")</f>
        <v>مزایای انجام تحقیقات عمیق برای پست های وبلاگ خود را برای ارائه اطلاعات جامع و معتبر بررسی کنید.</v>
      </c>
      <c r="H1949" s="1"/>
      <c r="I1949" s="1"/>
      <c r="J1949" s="1"/>
      <c r="K1949" s="1"/>
      <c r="L1949" s="1"/>
      <c r="M1949" s="1"/>
      <c r="N1949" s="1"/>
      <c r="O1949" s="1"/>
      <c r="P1949" s="1"/>
      <c r="Q1949" s="1"/>
      <c r="R1949" s="1"/>
      <c r="S1949" s="1"/>
      <c r="T1949" s="1"/>
      <c r="U1949" s="1"/>
      <c r="V1949" s="1"/>
      <c r="W1949" s="1"/>
      <c r="X1949" s="1"/>
      <c r="Y1949" s="1"/>
      <c r="Z1949" s="1"/>
      <c r="AA1949" s="1"/>
      <c r="AB1949" s="1"/>
    </row>
    <row r="1950" ht="50.25" customHeight="1">
      <c r="A1950" s="12">
        <v>1946.0</v>
      </c>
      <c r="B1950" s="13" t="s">
        <v>1824</v>
      </c>
      <c r="C1950" s="14" t="s">
        <v>1960</v>
      </c>
      <c r="D1950" s="1"/>
      <c r="E1950" s="1"/>
      <c r="F1950" s="1" t="str">
        <f>IFERROR(__xludf.DUMMYFUNCTION("GOOGLETRANSLATE(B1950, ""en"", ""fa"")
"),"وبلاگ نویسی")</f>
        <v>وبلاگ نویسی</v>
      </c>
      <c r="G1950" s="1" t="str">
        <f>IFERROR(__xludf.DUMMYFUNCTION("GOOGLETRANSLATE(C1950, ""en"", ""fa"")
"),"نکاتی را برای بهینه سازی سرعت بارگذاری وبلاگ خود برای بهبود تجربه کاربری و کاهش نرخ پرش به اشتراک بگذارید.")</f>
        <v>نکاتی را برای بهینه سازی سرعت بارگذاری وبلاگ خود برای بهبود تجربه کاربری و کاهش نرخ پرش به اشتراک بگذارید.</v>
      </c>
      <c r="H1950" s="1"/>
      <c r="I1950" s="1"/>
      <c r="J1950" s="1"/>
      <c r="K1950" s="1"/>
      <c r="L1950" s="1"/>
      <c r="M1950" s="1"/>
      <c r="N1950" s="1"/>
      <c r="O1950" s="1"/>
      <c r="P1950" s="1"/>
      <c r="Q1950" s="1"/>
      <c r="R1950" s="1"/>
      <c r="S1950" s="1"/>
      <c r="T1950" s="1"/>
      <c r="U1950" s="1"/>
      <c r="V1950" s="1"/>
      <c r="W1950" s="1"/>
      <c r="X1950" s="1"/>
      <c r="Y1950" s="1"/>
      <c r="Z1950" s="1"/>
      <c r="AA1950" s="1"/>
      <c r="AB1950" s="1"/>
    </row>
    <row r="1951" ht="50.25" customHeight="1">
      <c r="A1951" s="12">
        <v>1947.0</v>
      </c>
      <c r="B1951" s="13" t="s">
        <v>1824</v>
      </c>
      <c r="C1951" s="14" t="s">
        <v>1961</v>
      </c>
      <c r="D1951" s="1"/>
      <c r="E1951" s="1"/>
      <c r="F1951" s="1" t="str">
        <f>IFERROR(__xludf.DUMMYFUNCTION("GOOGLETRANSLATE(B1951, ""en"", ""fa"")
"),"وبلاگ نویسی")</f>
        <v>وبلاگ نویسی</v>
      </c>
      <c r="G1951" s="1" t="str">
        <f>IFERROR(__xludf.DUMMYFUNCTION("GOOGLETRANSLATE(C1951, ""en"", ""fa"")
"),"درباره اهمیت ایجاد هویت برند قوی از طریق عناصر بصری ثابت، مانند لوگوها و طرح‌های رنگی بحث کنید.")</f>
        <v>درباره اهمیت ایجاد هویت برند قوی از طریق عناصر بصری ثابت، مانند لوگوها و طرح‌های رنگی بحث کنید.</v>
      </c>
      <c r="H1951" s="1"/>
      <c r="I1951" s="1"/>
      <c r="J1951" s="1"/>
      <c r="K1951" s="1"/>
      <c r="L1951" s="1"/>
      <c r="M1951" s="1"/>
      <c r="N1951" s="1"/>
      <c r="O1951" s="1"/>
      <c r="P1951" s="1"/>
      <c r="Q1951" s="1"/>
      <c r="R1951" s="1"/>
      <c r="S1951" s="1"/>
      <c r="T1951" s="1"/>
      <c r="U1951" s="1"/>
      <c r="V1951" s="1"/>
      <c r="W1951" s="1"/>
      <c r="X1951" s="1"/>
      <c r="Y1951" s="1"/>
      <c r="Z1951" s="1"/>
      <c r="AA1951" s="1"/>
      <c r="AB1951" s="1"/>
    </row>
    <row r="1952" ht="50.25" customHeight="1">
      <c r="A1952" s="12">
        <v>1948.0</v>
      </c>
      <c r="B1952" s="13" t="s">
        <v>1824</v>
      </c>
      <c r="C1952" s="14" t="s">
        <v>1962</v>
      </c>
      <c r="D1952" s="1"/>
      <c r="E1952" s="1"/>
      <c r="F1952" s="1" t="str">
        <f>IFERROR(__xludf.DUMMYFUNCTION("GOOGLETRANSLATE(B1952, ""en"", ""fa"")
"),"وبلاگ نویسی")</f>
        <v>وبلاگ نویسی</v>
      </c>
      <c r="G1952" s="1" t="str">
        <f>IFERROR(__xludf.DUMMYFUNCTION("GOOGLETRANSLATE(C1952, ""en"", ""fa"")
"),"راه‌های مختلف برای استفاده از محتوای تولید شده توسط کاربر، مانند توصیفات یا عکس‌های ارسالی توسط کاربر، برای بهبود وبلاگ خود کاوش کنید.")</f>
        <v>راه‌های مختلف برای استفاده از محتوای تولید شده توسط کاربر، مانند توصیفات یا عکس‌های ارسالی توسط کاربر، برای بهبود وبلاگ خود کاوش کنید.</v>
      </c>
      <c r="H1952" s="1"/>
      <c r="I1952" s="1"/>
      <c r="J1952" s="1"/>
      <c r="K1952" s="1"/>
      <c r="L1952" s="1"/>
      <c r="M1952" s="1"/>
      <c r="N1952" s="1"/>
      <c r="O1952" s="1"/>
      <c r="P1952" s="1"/>
      <c r="Q1952" s="1"/>
      <c r="R1952" s="1"/>
      <c r="S1952" s="1"/>
      <c r="T1952" s="1"/>
      <c r="U1952" s="1"/>
      <c r="V1952" s="1"/>
      <c r="W1952" s="1"/>
      <c r="X1952" s="1"/>
      <c r="Y1952" s="1"/>
      <c r="Z1952" s="1"/>
      <c r="AA1952" s="1"/>
      <c r="AB1952" s="1"/>
    </row>
    <row r="1953" ht="50.25" customHeight="1">
      <c r="A1953" s="12">
        <v>1949.0</v>
      </c>
      <c r="B1953" s="13" t="s">
        <v>1824</v>
      </c>
      <c r="C1953" s="14" t="s">
        <v>1963</v>
      </c>
      <c r="D1953" s="1"/>
      <c r="E1953" s="1"/>
      <c r="F1953" s="1" t="str">
        <f>IFERROR(__xludf.DUMMYFUNCTION("GOOGLETRANSLATE(B1953, ""en"", ""fa"")
"),"وبلاگ نویسی")</f>
        <v>وبلاگ نویسی</v>
      </c>
      <c r="G1953" s="1" t="str">
        <f>IFERROR(__xludf.DUMMYFUNCTION("GOOGLETRANSLATE(C1953, ""en"", ""fa"")
"),"استراتژی هایی برای ایجاد فراخوان برای اقدام قانع کننده در پست های وبلاگ خود به اشتراک بگذارید تا تعامل و تبدیل خواننده را تشویق کند.")</f>
        <v>استراتژی هایی برای ایجاد فراخوان برای اقدام قانع کننده در پست های وبلاگ خود به اشتراک بگذارید تا تعامل و تبدیل خواننده را تشویق کند.</v>
      </c>
      <c r="H1953" s="1"/>
      <c r="I1953" s="1"/>
      <c r="J1953" s="1"/>
      <c r="K1953" s="1"/>
      <c r="L1953" s="1"/>
      <c r="M1953" s="1"/>
      <c r="N1953" s="1"/>
      <c r="O1953" s="1"/>
      <c r="P1953" s="1"/>
      <c r="Q1953" s="1"/>
      <c r="R1953" s="1"/>
      <c r="S1953" s="1"/>
      <c r="T1953" s="1"/>
      <c r="U1953" s="1"/>
      <c r="V1953" s="1"/>
      <c r="W1953" s="1"/>
      <c r="X1953" s="1"/>
      <c r="Y1953" s="1"/>
      <c r="Z1953" s="1"/>
      <c r="AA1953" s="1"/>
      <c r="AB1953" s="1"/>
    </row>
    <row r="1954" ht="50.25" customHeight="1">
      <c r="A1954" s="12">
        <v>1950.0</v>
      </c>
      <c r="B1954" s="13" t="s">
        <v>1824</v>
      </c>
      <c r="C1954" s="14" t="s">
        <v>1964</v>
      </c>
      <c r="D1954" s="1"/>
      <c r="E1954" s="1"/>
      <c r="F1954" s="1" t="str">
        <f>IFERROR(__xludf.DUMMYFUNCTION("GOOGLETRANSLATE(B1954, ""en"", ""fa"")
"),"وبلاگ نویسی")</f>
        <v>وبلاگ نویسی</v>
      </c>
      <c r="G1954" s="1" t="str">
        <f>IFERROR(__xludf.DUMMYFUNCTION("GOOGLETRANSLATE(C1954, ""en"", ""fa"")
"),"در مورد اهمیت ایجاد یک استراتژی ارتقای محتوای موثر برای افزایش دیده شدن پست های وبلاگ خود بحث کنید.")</f>
        <v>در مورد اهمیت ایجاد یک استراتژی ارتقای محتوای موثر برای افزایش دیده شدن پست های وبلاگ خود بحث کنید.</v>
      </c>
      <c r="H1954" s="1"/>
      <c r="I1954" s="1"/>
      <c r="J1954" s="1"/>
      <c r="K1954" s="1"/>
      <c r="L1954" s="1"/>
      <c r="M1954" s="1"/>
      <c r="N1954" s="1"/>
      <c r="O1954" s="1"/>
      <c r="P1954" s="1"/>
      <c r="Q1954" s="1"/>
      <c r="R1954" s="1"/>
      <c r="S1954" s="1"/>
      <c r="T1954" s="1"/>
      <c r="U1954" s="1"/>
      <c r="V1954" s="1"/>
      <c r="W1954" s="1"/>
      <c r="X1954" s="1"/>
      <c r="Y1954" s="1"/>
      <c r="Z1954" s="1"/>
      <c r="AA1954" s="1"/>
      <c r="AB1954" s="1"/>
    </row>
    <row r="1955" ht="50.25" customHeight="1">
      <c r="A1955" s="12">
        <v>1951.0</v>
      </c>
      <c r="B1955" s="13" t="s">
        <v>1824</v>
      </c>
      <c r="C1955" s="14" t="s">
        <v>1965</v>
      </c>
      <c r="D1955" s="1"/>
      <c r="E1955" s="1"/>
      <c r="F1955" s="1" t="str">
        <f>IFERROR(__xludf.DUMMYFUNCTION("GOOGLETRANSLATE(B1955, ""en"", ""fa"")
"),"وبلاگ نویسی")</f>
        <v>وبلاگ نویسی</v>
      </c>
      <c r="G1955" s="1" t="str">
        <f>IFERROR(__xludf.DUMMYFUNCTION("GOOGLETRANSLATE(C1955, ""en"", ""fa"")
"),"نکاتی را برای بهینه سازی متا تگ های وبلاگ خود، از جمله کلمات کلیدی متا و توضیحات متا، برای بهبود رتبه بندی موتورهای جستجو به اشتراک بگذارید.")</f>
        <v>نکاتی را برای بهینه سازی متا تگ های وبلاگ خود، از جمله کلمات کلیدی متا و توضیحات متا، برای بهبود رتبه بندی موتورهای جستجو به اشتراک بگذارید.</v>
      </c>
      <c r="H1955" s="1"/>
      <c r="I1955" s="1"/>
      <c r="J1955" s="1"/>
      <c r="K1955" s="1"/>
      <c r="L1955" s="1"/>
      <c r="M1955" s="1"/>
      <c r="N1955" s="1"/>
      <c r="O1955" s="1"/>
      <c r="P1955" s="1"/>
      <c r="Q1955" s="1"/>
      <c r="R1955" s="1"/>
      <c r="S1955" s="1"/>
      <c r="T1955" s="1"/>
      <c r="U1955" s="1"/>
      <c r="V1955" s="1"/>
      <c r="W1955" s="1"/>
      <c r="X1955" s="1"/>
      <c r="Y1955" s="1"/>
      <c r="Z1955" s="1"/>
      <c r="AA1955" s="1"/>
      <c r="AB1955" s="1"/>
    </row>
    <row r="1956" ht="50.25" customHeight="1">
      <c r="A1956" s="12">
        <v>1952.0</v>
      </c>
      <c r="B1956" s="13" t="s">
        <v>1824</v>
      </c>
      <c r="C1956" s="14" t="s">
        <v>1966</v>
      </c>
      <c r="D1956" s="1"/>
      <c r="E1956" s="1"/>
      <c r="F1956" s="1" t="str">
        <f>IFERROR(__xludf.DUMMYFUNCTION("GOOGLETRANSLATE(B1956, ""en"", ""fa"")
"),"وبلاگ نویسی")</f>
        <v>وبلاگ نویسی</v>
      </c>
      <c r="G1956" s="1" t="str">
        <f>IFERROR(__xludf.DUMMYFUNCTION("GOOGLETRANSLATE(C1956, ""en"", ""fa"")
"),"راه‌های مختلف تعامل با خوانندگان وبلاگ خود را از طریق عناصر تعاملی مانند نظرسنجی، آزمون‌ها یا مسابقات کاوش کنید.")</f>
        <v>راه‌های مختلف تعامل با خوانندگان وبلاگ خود را از طریق عناصر تعاملی مانند نظرسنجی، آزمون‌ها یا مسابقات کاوش کنید.</v>
      </c>
      <c r="H1956" s="1"/>
      <c r="I1956" s="1"/>
      <c r="J1956" s="1"/>
      <c r="K1956" s="1"/>
      <c r="L1956" s="1"/>
      <c r="M1956" s="1"/>
      <c r="N1956" s="1"/>
      <c r="O1956" s="1"/>
      <c r="P1956" s="1"/>
      <c r="Q1956" s="1"/>
      <c r="R1956" s="1"/>
      <c r="S1956" s="1"/>
      <c r="T1956" s="1"/>
      <c r="U1956" s="1"/>
      <c r="V1956" s="1"/>
      <c r="W1956" s="1"/>
      <c r="X1956" s="1"/>
      <c r="Y1956" s="1"/>
      <c r="Z1956" s="1"/>
      <c r="AA1956" s="1"/>
      <c r="AB1956" s="1"/>
    </row>
    <row r="1957" ht="50.25" customHeight="1">
      <c r="A1957" s="12">
        <v>1953.0</v>
      </c>
      <c r="B1957" s="13" t="s">
        <v>1824</v>
      </c>
      <c r="C1957" s="14" t="s">
        <v>1967</v>
      </c>
      <c r="D1957" s="1"/>
      <c r="E1957" s="1"/>
      <c r="F1957" s="1" t="str">
        <f>IFERROR(__xludf.DUMMYFUNCTION("GOOGLETRANSLATE(B1957, ""en"", ""fa"")
"),"وبلاگ نویسی")</f>
        <v>وبلاگ نویسی</v>
      </c>
      <c r="G1957" s="1" t="str">
        <f>IFERROR(__xludf.DUMMYFUNCTION("GOOGLETRANSLATE(C1957, ""en"", ""fa"")
"),"درباره نقش اینفلوئنسر مارکتینگ در گسترش دامنه وبلاگ خود و ایجاد روابط با کارشناسان صنعت بحث کنید.")</f>
        <v>درباره نقش اینفلوئنسر مارکتینگ در گسترش دامنه وبلاگ خود و ایجاد روابط با کارشناسان صنعت بحث کنید.</v>
      </c>
      <c r="H1957" s="1"/>
      <c r="I1957" s="1"/>
      <c r="J1957" s="1"/>
      <c r="K1957" s="1"/>
      <c r="L1957" s="1"/>
      <c r="M1957" s="1"/>
      <c r="N1957" s="1"/>
      <c r="O1957" s="1"/>
      <c r="P1957" s="1"/>
      <c r="Q1957" s="1"/>
      <c r="R1957" s="1"/>
      <c r="S1957" s="1"/>
      <c r="T1957" s="1"/>
      <c r="U1957" s="1"/>
      <c r="V1957" s="1"/>
      <c r="W1957" s="1"/>
      <c r="X1957" s="1"/>
      <c r="Y1957" s="1"/>
      <c r="Z1957" s="1"/>
      <c r="AA1957" s="1"/>
      <c r="AB1957" s="1"/>
    </row>
    <row r="1958" ht="50.25" customHeight="1">
      <c r="A1958" s="12">
        <v>1954.0</v>
      </c>
      <c r="B1958" s="13" t="s">
        <v>1824</v>
      </c>
      <c r="C1958" s="14" t="s">
        <v>1968</v>
      </c>
      <c r="D1958" s="1"/>
      <c r="E1958" s="1"/>
      <c r="F1958" s="1" t="str">
        <f>IFERROR(__xludf.DUMMYFUNCTION("GOOGLETRANSLATE(B1958, ""en"", ""fa"")
"),"وبلاگ نویسی")</f>
        <v>وبلاگ نویسی</v>
      </c>
      <c r="G1958" s="1" t="str">
        <f>IFERROR(__xludf.DUMMYFUNCTION("GOOGLETRANSLATE(C1958, ""en"", ""fa"")
"),"استراتژی‌هایی را برای بهینه‌سازی منوی پیمایش وبلاگ خود به اشتراک بگذارید تا تجربه کاربر را بهبود ببخشید و به بازدیدکنندگان کمک کنید محتوای مرتبط را پیدا کنند.")</f>
        <v>استراتژی‌هایی را برای بهینه‌سازی منوی پیمایش وبلاگ خود به اشتراک بگذارید تا تجربه کاربر را بهبود ببخشید و به بازدیدکنندگان کمک کنید محتوای مرتبط را پیدا کنند.</v>
      </c>
      <c r="H1958" s="1"/>
      <c r="I1958" s="1"/>
      <c r="J1958" s="1"/>
      <c r="K1958" s="1"/>
      <c r="L1958" s="1"/>
      <c r="M1958" s="1"/>
      <c r="N1958" s="1"/>
      <c r="O1958" s="1"/>
      <c r="P1958" s="1"/>
      <c r="Q1958" s="1"/>
      <c r="R1958" s="1"/>
      <c r="S1958" s="1"/>
      <c r="T1958" s="1"/>
      <c r="U1958" s="1"/>
      <c r="V1958" s="1"/>
      <c r="W1958" s="1"/>
      <c r="X1958" s="1"/>
      <c r="Y1958" s="1"/>
      <c r="Z1958" s="1"/>
      <c r="AA1958" s="1"/>
      <c r="AB1958" s="1"/>
    </row>
    <row r="1959" ht="50.25" customHeight="1">
      <c r="A1959" s="12">
        <v>1955.0</v>
      </c>
      <c r="B1959" s="13" t="s">
        <v>1824</v>
      </c>
      <c r="C1959" s="14" t="s">
        <v>1969</v>
      </c>
      <c r="D1959" s="1"/>
      <c r="E1959" s="1"/>
      <c r="F1959" s="1" t="str">
        <f>IFERROR(__xludf.DUMMYFUNCTION("GOOGLETRANSLATE(B1959, ""en"", ""fa"")
"),"وبلاگ نویسی")</f>
        <v>وبلاگ نویسی</v>
      </c>
      <c r="G1959" s="1" t="str">
        <f>IFERROR(__xludf.DUMMYFUNCTION("GOOGLETRANSLATE(C1959, ""en"", ""fa"")
"),"مزایای استفاده مجدد از محتوای وبلاگ خود را به آموزش های ویدیویی، وبینارها یا دوره های آنلاین برای فرصت های بیشتر کسب درآمد کاوش کنید.")</f>
        <v>مزایای استفاده مجدد از محتوای وبلاگ خود را به آموزش های ویدیویی، وبینارها یا دوره های آنلاین برای فرصت های بیشتر کسب درآمد کاوش کنید.</v>
      </c>
      <c r="H1959" s="1"/>
      <c r="I1959" s="1"/>
      <c r="J1959" s="1"/>
      <c r="K1959" s="1"/>
      <c r="L1959" s="1"/>
      <c r="M1959" s="1"/>
      <c r="N1959" s="1"/>
      <c r="O1959" s="1"/>
      <c r="P1959" s="1"/>
      <c r="Q1959" s="1"/>
      <c r="R1959" s="1"/>
      <c r="S1959" s="1"/>
      <c r="T1959" s="1"/>
      <c r="U1959" s="1"/>
      <c r="V1959" s="1"/>
      <c r="W1959" s="1"/>
      <c r="X1959" s="1"/>
      <c r="Y1959" s="1"/>
      <c r="Z1959" s="1"/>
      <c r="AA1959" s="1"/>
      <c r="AB1959" s="1"/>
    </row>
    <row r="1960" ht="50.25" customHeight="1">
      <c r="A1960" s="12">
        <v>1956.0</v>
      </c>
      <c r="B1960" s="13" t="s">
        <v>1824</v>
      </c>
      <c r="C1960" s="14" t="s">
        <v>1970</v>
      </c>
      <c r="D1960" s="1"/>
      <c r="E1960" s="1"/>
      <c r="F1960" s="1" t="str">
        <f>IFERROR(__xludf.DUMMYFUNCTION("GOOGLETRANSLATE(B1960, ""en"", ""fa"")
"),"وبلاگ نویسی")</f>
        <v>وبلاگ نویسی</v>
      </c>
      <c r="G1960" s="1" t="str">
        <f>IFERROR(__xludf.DUMMYFUNCTION("GOOGLETRANSLATE(C1960, ""en"", ""fa"")
"),"در مورد اهمیت انجام تحقیقات رقبا برای شناسایی شکاف های محتوا و زوایای منحصر به فرد برای پست های وبلاگ خود بحث کنید.")</f>
        <v>در مورد اهمیت انجام تحقیقات رقبا برای شناسایی شکاف های محتوا و زوایای منحصر به فرد برای پست های وبلاگ خود بحث کنید.</v>
      </c>
      <c r="H1960" s="1"/>
      <c r="I1960" s="1"/>
      <c r="J1960" s="1"/>
      <c r="K1960" s="1"/>
      <c r="L1960" s="1"/>
      <c r="M1960" s="1"/>
      <c r="N1960" s="1"/>
      <c r="O1960" s="1"/>
      <c r="P1960" s="1"/>
      <c r="Q1960" s="1"/>
      <c r="R1960" s="1"/>
      <c r="S1960" s="1"/>
      <c r="T1960" s="1"/>
      <c r="U1960" s="1"/>
      <c r="V1960" s="1"/>
      <c r="W1960" s="1"/>
      <c r="X1960" s="1"/>
      <c r="Y1960" s="1"/>
      <c r="Z1960" s="1"/>
      <c r="AA1960" s="1"/>
      <c r="AB1960" s="1"/>
    </row>
    <row r="1961" ht="50.25" customHeight="1">
      <c r="A1961" s="12">
        <v>1957.0</v>
      </c>
      <c r="B1961" s="13" t="s">
        <v>1824</v>
      </c>
      <c r="C1961" s="14" t="s">
        <v>1971</v>
      </c>
      <c r="D1961" s="1"/>
      <c r="E1961" s="1"/>
      <c r="F1961" s="1" t="str">
        <f>IFERROR(__xludf.DUMMYFUNCTION("GOOGLETRANSLATE(B1961, ""en"", ""fa"")
"),"وبلاگ نویسی")</f>
        <v>وبلاگ نویسی</v>
      </c>
      <c r="G1961" s="1" t="str">
        <f>IFERROR(__xludf.DUMMYFUNCTION("GOOGLETRANSLATE(C1961, ""en"", ""fa"")
"),"نکاتی را برای ایجاد عناوین پست وبلاگ قانع کننده به اشتراک بگذارید که نه تنها توجه را به خود جلب کند، بلکه به طور دقیق محتوا را نشان دهد.")</f>
        <v>نکاتی را برای ایجاد عناوین پست وبلاگ قانع کننده به اشتراک بگذارید که نه تنها توجه را به خود جلب کند، بلکه به طور دقیق محتوا را نشان دهد.</v>
      </c>
      <c r="H1961" s="1"/>
      <c r="I1961" s="1"/>
      <c r="J1961" s="1"/>
      <c r="K1961" s="1"/>
      <c r="L1961" s="1"/>
      <c r="M1961" s="1"/>
      <c r="N1961" s="1"/>
      <c r="O1961" s="1"/>
      <c r="P1961" s="1"/>
      <c r="Q1961" s="1"/>
      <c r="R1961" s="1"/>
      <c r="S1961" s="1"/>
      <c r="T1961" s="1"/>
      <c r="U1961" s="1"/>
      <c r="V1961" s="1"/>
      <c r="W1961" s="1"/>
      <c r="X1961" s="1"/>
      <c r="Y1961" s="1"/>
      <c r="Z1961" s="1"/>
      <c r="AA1961" s="1"/>
      <c r="AB1961" s="1"/>
    </row>
    <row r="1962" ht="50.25" customHeight="1">
      <c r="A1962" s="12">
        <v>1958.0</v>
      </c>
      <c r="B1962" s="13" t="s">
        <v>1824</v>
      </c>
      <c r="C1962" s="14" t="s">
        <v>1972</v>
      </c>
      <c r="D1962" s="1"/>
      <c r="E1962" s="1"/>
      <c r="F1962" s="1" t="str">
        <f>IFERROR(__xludf.DUMMYFUNCTION("GOOGLETRANSLATE(B1962, ""en"", ""fa"")
"),"وبلاگ نویسی")</f>
        <v>وبلاگ نویسی</v>
      </c>
      <c r="G1962" s="1" t="str">
        <f>IFERROR(__xludf.DUMMYFUNCTION("GOOGLETRANSLATE(C1962, ""en"", ""fa"")
"),"راه های مختلف برای کسب درآمد از وبلاگ خود را از طریق تبلیغات نمایشی، محتوای حمایت شده یا فروش محصولات دیجیتال کاوش کنید.")</f>
        <v>راه های مختلف برای کسب درآمد از وبلاگ خود را از طریق تبلیغات نمایشی، محتوای حمایت شده یا فروش محصولات دیجیتال کاوش کنید.</v>
      </c>
      <c r="H1962" s="1"/>
      <c r="I1962" s="1"/>
      <c r="J1962" s="1"/>
      <c r="K1962" s="1"/>
      <c r="L1962" s="1"/>
      <c r="M1962" s="1"/>
      <c r="N1962" s="1"/>
      <c r="O1962" s="1"/>
      <c r="P1962" s="1"/>
      <c r="Q1962" s="1"/>
      <c r="R1962" s="1"/>
      <c r="S1962" s="1"/>
      <c r="T1962" s="1"/>
      <c r="U1962" s="1"/>
      <c r="V1962" s="1"/>
      <c r="W1962" s="1"/>
      <c r="X1962" s="1"/>
      <c r="Y1962" s="1"/>
      <c r="Z1962" s="1"/>
      <c r="AA1962" s="1"/>
      <c r="AB1962" s="1"/>
    </row>
    <row r="1963" ht="50.25" customHeight="1">
      <c r="A1963" s="12">
        <v>1959.0</v>
      </c>
      <c r="B1963" s="13" t="s">
        <v>1824</v>
      </c>
      <c r="C1963" s="14" t="s">
        <v>1973</v>
      </c>
      <c r="D1963" s="1"/>
      <c r="E1963" s="1"/>
      <c r="F1963" s="1" t="str">
        <f>IFERROR(__xludf.DUMMYFUNCTION("GOOGLETRANSLATE(B1963, ""en"", ""fa"")
"),"وبلاگ نویسی")</f>
        <v>وبلاگ نویسی</v>
      </c>
      <c r="G1963" s="1" t="str">
        <f>IFERROR(__xludf.DUMMYFUNCTION("GOOGLETRANSLATE(C1963, ""en"", ""fa"")
"),"در مورد نقش گوش دادن و نظارت رسانه های اجتماعی در درک نیازهای مخاطبان خود و متناسب سازی محتوای وبلاگ خود بحث کنید.")</f>
        <v>در مورد نقش گوش دادن و نظارت رسانه های اجتماعی در درک نیازهای مخاطبان خود و متناسب سازی محتوای وبلاگ خود بحث کنید.</v>
      </c>
      <c r="H1963" s="1"/>
      <c r="I1963" s="1"/>
      <c r="J1963" s="1"/>
      <c r="K1963" s="1"/>
      <c r="L1963" s="1"/>
      <c r="M1963" s="1"/>
      <c r="N1963" s="1"/>
      <c r="O1963" s="1"/>
      <c r="P1963" s="1"/>
      <c r="Q1963" s="1"/>
      <c r="R1963" s="1"/>
      <c r="S1963" s="1"/>
      <c r="T1963" s="1"/>
      <c r="U1963" s="1"/>
      <c r="V1963" s="1"/>
      <c r="W1963" s="1"/>
      <c r="X1963" s="1"/>
      <c r="Y1963" s="1"/>
      <c r="Z1963" s="1"/>
      <c r="AA1963" s="1"/>
      <c r="AB1963" s="1"/>
    </row>
    <row r="1964" ht="50.25" customHeight="1">
      <c r="A1964" s="12">
        <v>1960.0</v>
      </c>
      <c r="B1964" s="13" t="s">
        <v>1824</v>
      </c>
      <c r="C1964" s="14" t="s">
        <v>1974</v>
      </c>
      <c r="D1964" s="1"/>
      <c r="E1964" s="1"/>
      <c r="F1964" s="1" t="str">
        <f>IFERROR(__xludf.DUMMYFUNCTION("GOOGLETRANSLATE(B1964, ""en"", ""fa"")
"),"وبلاگ نویسی")</f>
        <v>وبلاگ نویسی</v>
      </c>
      <c r="G1964" s="1" t="str">
        <f>IFERROR(__xludf.DUMMYFUNCTION("GOOGLETRANSLATE(C1964, ""en"", ""fa"")
"),"استراتژی های ایجاد یک تقویم محتوا و برنامه ریزی پست های وبلاگ خود را از قبل برای انتشار مداوم به اشتراک بگذارید.")</f>
        <v>استراتژی های ایجاد یک تقویم محتوا و برنامه ریزی پست های وبلاگ خود را از قبل برای انتشار مداوم به اشتراک بگذارید.</v>
      </c>
      <c r="H1964" s="1"/>
      <c r="I1964" s="1"/>
      <c r="J1964" s="1"/>
      <c r="K1964" s="1"/>
      <c r="L1964" s="1"/>
      <c r="M1964" s="1"/>
      <c r="N1964" s="1"/>
      <c r="O1964" s="1"/>
      <c r="P1964" s="1"/>
      <c r="Q1964" s="1"/>
      <c r="R1964" s="1"/>
      <c r="S1964" s="1"/>
      <c r="T1964" s="1"/>
      <c r="U1964" s="1"/>
      <c r="V1964" s="1"/>
      <c r="W1964" s="1"/>
      <c r="X1964" s="1"/>
      <c r="Y1964" s="1"/>
      <c r="Z1964" s="1"/>
      <c r="AA1964" s="1"/>
      <c r="AB1964" s="1"/>
    </row>
    <row r="1965" ht="50.25" customHeight="1">
      <c r="A1965" s="12">
        <v>1961.0</v>
      </c>
      <c r="B1965" s="13" t="s">
        <v>1824</v>
      </c>
      <c r="C1965" s="14" t="s">
        <v>1975</v>
      </c>
      <c r="D1965" s="1"/>
      <c r="E1965" s="1"/>
      <c r="F1965" s="1" t="str">
        <f>IFERROR(__xludf.DUMMYFUNCTION("GOOGLETRANSLATE(B1965, ""en"", ""fa"")
"),"وبلاگ نویسی")</f>
        <v>وبلاگ نویسی</v>
      </c>
      <c r="G1965" s="1" t="str">
        <f>IFERROR(__xludf.DUMMYFUNCTION("GOOGLETRANSLATE(C1965, ""en"", ""fa"")
"),"برای ایجاد اعتماد و اعتبار، مزایای ترکیب محتوای تولید شده توسط کاربر، مانند توصیفات یا نظرات کاربران را بررسی کنید.")</f>
        <v>برای ایجاد اعتماد و اعتبار، مزایای ترکیب محتوای تولید شده توسط کاربر، مانند توصیفات یا نظرات کاربران را بررسی کنید.</v>
      </c>
      <c r="H1965" s="1"/>
      <c r="I1965" s="1"/>
      <c r="J1965" s="1"/>
      <c r="K1965" s="1"/>
      <c r="L1965" s="1"/>
      <c r="M1965" s="1"/>
      <c r="N1965" s="1"/>
      <c r="O1965" s="1"/>
      <c r="P1965" s="1"/>
      <c r="Q1965" s="1"/>
      <c r="R1965" s="1"/>
      <c r="S1965" s="1"/>
      <c r="T1965" s="1"/>
      <c r="U1965" s="1"/>
      <c r="V1965" s="1"/>
      <c r="W1965" s="1"/>
      <c r="X1965" s="1"/>
      <c r="Y1965" s="1"/>
      <c r="Z1965" s="1"/>
      <c r="AA1965" s="1"/>
      <c r="AB1965" s="1"/>
    </row>
    <row r="1966" ht="50.25" customHeight="1">
      <c r="A1966" s="12">
        <v>1962.0</v>
      </c>
      <c r="B1966" s="13" t="s">
        <v>1824</v>
      </c>
      <c r="C1966" s="14" t="s">
        <v>1976</v>
      </c>
      <c r="D1966" s="1"/>
      <c r="E1966" s="1"/>
      <c r="F1966" s="1" t="str">
        <f>IFERROR(__xludf.DUMMYFUNCTION("GOOGLETRANSLATE(B1966, ""en"", ""fa"")
"),"وبلاگ نویسی")</f>
        <v>وبلاگ نویسی</v>
      </c>
      <c r="G1966" s="1" t="str">
        <f>IFERROR(__xludf.DUMMYFUNCTION("GOOGLETRANSLATE(C1966, ""en"", ""fa"")
"),"در مورد اهمیت گنجاندن تکنیک های داستان سرایی در پست های وبلاگ خود برای جذب و طنین انداز شدن با خوانندگان خود بحث کنید.")</f>
        <v>در مورد اهمیت گنجاندن تکنیک های داستان سرایی در پست های وبلاگ خود برای جذب و طنین انداز شدن با خوانندگان خود بحث کنید.</v>
      </c>
      <c r="H1966" s="1"/>
      <c r="I1966" s="1"/>
      <c r="J1966" s="1"/>
      <c r="K1966" s="1"/>
      <c r="L1966" s="1"/>
      <c r="M1966" s="1"/>
      <c r="N1966" s="1"/>
      <c r="O1966" s="1"/>
      <c r="P1966" s="1"/>
      <c r="Q1966" s="1"/>
      <c r="R1966" s="1"/>
      <c r="S1966" s="1"/>
      <c r="T1966" s="1"/>
      <c r="U1966" s="1"/>
      <c r="V1966" s="1"/>
      <c r="W1966" s="1"/>
      <c r="X1966" s="1"/>
      <c r="Y1966" s="1"/>
      <c r="Z1966" s="1"/>
      <c r="AA1966" s="1"/>
      <c r="AB1966" s="1"/>
    </row>
    <row r="1967" ht="50.25" customHeight="1">
      <c r="A1967" s="12">
        <v>1963.0</v>
      </c>
      <c r="B1967" s="13" t="s">
        <v>1824</v>
      </c>
      <c r="C1967" s="14" t="s">
        <v>1977</v>
      </c>
      <c r="D1967" s="1"/>
      <c r="E1967" s="1"/>
      <c r="F1967" s="1" t="str">
        <f>IFERROR(__xludf.DUMMYFUNCTION("GOOGLETRANSLATE(B1967, ""en"", ""fa"")
"),"وبلاگ نویسی")</f>
        <v>وبلاگ نویسی</v>
      </c>
      <c r="G1967" s="1" t="str">
        <f>IFERROR(__xludf.DUMMYFUNCTION("GOOGLETRANSLATE(C1967, ""en"", ""fa"")
"),"نکاتی را برای بهینه سازی ساختار پیوند دائمی وبلاگ خود به اشتراک بگذارید تا آن را خواناتر و سئو دوستانه تر کنید.")</f>
        <v>نکاتی را برای بهینه سازی ساختار پیوند دائمی وبلاگ خود به اشتراک بگذارید تا آن را خواناتر و سئو دوستانه تر کنید.</v>
      </c>
      <c r="H1967" s="1"/>
      <c r="I1967" s="1"/>
      <c r="J1967" s="1"/>
      <c r="K1967" s="1"/>
      <c r="L1967" s="1"/>
      <c r="M1967" s="1"/>
      <c r="N1967" s="1"/>
      <c r="O1967" s="1"/>
      <c r="P1967" s="1"/>
      <c r="Q1967" s="1"/>
      <c r="R1967" s="1"/>
      <c r="S1967" s="1"/>
      <c r="T1967" s="1"/>
      <c r="U1967" s="1"/>
      <c r="V1967" s="1"/>
      <c r="W1967" s="1"/>
      <c r="X1967" s="1"/>
      <c r="Y1967" s="1"/>
      <c r="Z1967" s="1"/>
      <c r="AA1967" s="1"/>
      <c r="AB1967" s="1"/>
    </row>
    <row r="1968" ht="50.25" customHeight="1">
      <c r="A1968" s="12">
        <v>1964.0</v>
      </c>
      <c r="B1968" s="13" t="s">
        <v>1824</v>
      </c>
      <c r="C1968" s="14" t="s">
        <v>1978</v>
      </c>
      <c r="D1968" s="1"/>
      <c r="E1968" s="1"/>
      <c r="F1968" s="1" t="str">
        <f>IFERROR(__xludf.DUMMYFUNCTION("GOOGLETRANSLATE(B1968, ""en"", ""fa"")
"),"وبلاگ نویسی")</f>
        <v>وبلاگ نویسی</v>
      </c>
      <c r="G1968" s="1" t="str">
        <f>IFERROR(__xludf.DUMMYFUNCTION("GOOGLETRANSLATE(C1968, ""en"", ""fa"")
"),"راه‌های مختلف همکاری با سایر وبلاگ‌نویسان یا تولیدکنندگان محتوا در پروژه‌های مشترک، مانند پست‌ها یا مصاحبه‌های مشترک را بررسی کنید.")</f>
        <v>راه‌های مختلف همکاری با سایر وبلاگ‌نویسان یا تولیدکنندگان محتوا در پروژه‌های مشترک، مانند پست‌ها یا مصاحبه‌های مشترک را بررسی کنید.</v>
      </c>
      <c r="H1968" s="1"/>
      <c r="I1968" s="1"/>
      <c r="J1968" s="1"/>
      <c r="K1968" s="1"/>
      <c r="L1968" s="1"/>
      <c r="M1968" s="1"/>
      <c r="N1968" s="1"/>
      <c r="O1968" s="1"/>
      <c r="P1968" s="1"/>
      <c r="Q1968" s="1"/>
      <c r="R1968" s="1"/>
      <c r="S1968" s="1"/>
      <c r="T1968" s="1"/>
      <c r="U1968" s="1"/>
      <c r="V1968" s="1"/>
      <c r="W1968" s="1"/>
      <c r="X1968" s="1"/>
      <c r="Y1968" s="1"/>
      <c r="Z1968" s="1"/>
      <c r="AA1968" s="1"/>
      <c r="AB1968" s="1"/>
    </row>
    <row r="1969" ht="50.25" customHeight="1">
      <c r="A1969" s="12">
        <v>1965.0</v>
      </c>
      <c r="B1969" s="13" t="s">
        <v>1824</v>
      </c>
      <c r="C1969" s="14" t="s">
        <v>1979</v>
      </c>
      <c r="D1969" s="1"/>
      <c r="E1969" s="1"/>
      <c r="F1969" s="1" t="str">
        <f>IFERROR(__xludf.DUMMYFUNCTION("GOOGLETRANSLATE(B1969, ""en"", ""fa"")
"),"وبلاگ نویسی")</f>
        <v>وبلاگ نویسی</v>
      </c>
      <c r="G1969" s="1" t="str">
        <f>IFERROR(__xludf.DUMMYFUNCTION("GOOGLETRANSLATE(C1969, ""en"", ""fa"")
"),"در مورد نقش بازاریابی ایمیلی در تقویت روابط با مخاطبان وبلاگ خود و هدایت ترافیک به پست های وبلاگ جدید خود بحث کنید.")</f>
        <v>در مورد نقش بازاریابی ایمیلی در تقویت روابط با مخاطبان وبلاگ خود و هدایت ترافیک به پست های وبلاگ جدید خود بحث کنید.</v>
      </c>
      <c r="H1969" s="1"/>
      <c r="I1969" s="1"/>
      <c r="J1969" s="1"/>
      <c r="K1969" s="1"/>
      <c r="L1969" s="1"/>
      <c r="M1969" s="1"/>
      <c r="N1969" s="1"/>
      <c r="O1969" s="1"/>
      <c r="P1969" s="1"/>
      <c r="Q1969" s="1"/>
      <c r="R1969" s="1"/>
      <c r="S1969" s="1"/>
      <c r="T1969" s="1"/>
      <c r="U1969" s="1"/>
      <c r="V1969" s="1"/>
      <c r="W1969" s="1"/>
      <c r="X1969" s="1"/>
      <c r="Y1969" s="1"/>
      <c r="Z1969" s="1"/>
      <c r="AA1969" s="1"/>
      <c r="AB1969" s="1"/>
    </row>
    <row r="1970" ht="50.25" customHeight="1">
      <c r="A1970" s="12">
        <v>1966.0</v>
      </c>
      <c r="B1970" s="13" t="s">
        <v>1824</v>
      </c>
      <c r="C1970" s="14" t="s">
        <v>1980</v>
      </c>
      <c r="D1970" s="1"/>
      <c r="E1970" s="1"/>
      <c r="F1970" s="1" t="str">
        <f>IFERROR(__xludf.DUMMYFUNCTION("GOOGLETRANSLATE(B1970, ""en"", ""fa"")
"),"وبلاگ نویسی")</f>
        <v>وبلاگ نویسی</v>
      </c>
      <c r="G1970" s="1" t="str">
        <f>IFERROR(__xludf.DUMMYFUNCTION("GOOGLETRANSLATE(C1970, ""en"", ""fa"")
"),"استراتژی هایی را برای تبلیغ وبلاگ خود از طریق تبلیغات رسانه های اجتماعی، هدف قرار دادن جمعیت شناسی خاص یا گروه های علاقه مند به اشتراک بگذارید.")</f>
        <v>استراتژی هایی را برای تبلیغ وبلاگ خود از طریق تبلیغات رسانه های اجتماعی، هدف قرار دادن جمعیت شناسی خاص یا گروه های علاقه مند به اشتراک بگذارید.</v>
      </c>
      <c r="H1970" s="1"/>
      <c r="I1970" s="1"/>
      <c r="J1970" s="1"/>
      <c r="K1970" s="1"/>
      <c r="L1970" s="1"/>
      <c r="M1970" s="1"/>
      <c r="N1970" s="1"/>
      <c r="O1970" s="1"/>
      <c r="P1970" s="1"/>
      <c r="Q1970" s="1"/>
      <c r="R1970" s="1"/>
      <c r="S1970" s="1"/>
      <c r="T1970" s="1"/>
      <c r="U1970" s="1"/>
      <c r="V1970" s="1"/>
      <c r="W1970" s="1"/>
      <c r="X1970" s="1"/>
      <c r="Y1970" s="1"/>
      <c r="Z1970" s="1"/>
      <c r="AA1970" s="1"/>
      <c r="AB1970" s="1"/>
    </row>
    <row r="1971" ht="50.25" customHeight="1">
      <c r="A1971" s="12">
        <v>1967.0</v>
      </c>
      <c r="B1971" s="13" t="s">
        <v>1824</v>
      </c>
      <c r="C1971" s="14" t="s">
        <v>1981</v>
      </c>
      <c r="D1971" s="1"/>
      <c r="E1971" s="1"/>
      <c r="F1971" s="1" t="str">
        <f>IFERROR(__xludf.DUMMYFUNCTION("GOOGLETRANSLATE(B1971, ""en"", ""fa"")
"),"وبلاگ نویسی")</f>
        <v>وبلاگ نویسی</v>
      </c>
      <c r="G1971" s="1" t="str">
        <f>IFERROR(__xludf.DUMMYFUNCTION("GOOGLETRANSLATE(C1971, ""en"", ""fa"")
"),"مزایای ترکیب محتوای بصری، مانند تصاویر، اینفوگرافیک ها یا ویدیوها را برای بهبود پست های وبلاگ خود کاوش کنید.")</f>
        <v>مزایای ترکیب محتوای بصری، مانند تصاویر، اینفوگرافیک ها یا ویدیوها را برای بهبود پست های وبلاگ خود کاوش کنید.</v>
      </c>
      <c r="H1971" s="1"/>
      <c r="I1971" s="1"/>
      <c r="J1971" s="1"/>
      <c r="K1971" s="1"/>
      <c r="L1971" s="1"/>
      <c r="M1971" s="1"/>
      <c r="N1971" s="1"/>
      <c r="O1971" s="1"/>
      <c r="P1971" s="1"/>
      <c r="Q1971" s="1"/>
      <c r="R1971" s="1"/>
      <c r="S1971" s="1"/>
      <c r="T1971" s="1"/>
      <c r="U1971" s="1"/>
      <c r="V1971" s="1"/>
      <c r="W1971" s="1"/>
      <c r="X1971" s="1"/>
      <c r="Y1971" s="1"/>
      <c r="Z1971" s="1"/>
      <c r="AA1971" s="1"/>
      <c r="AB1971" s="1"/>
    </row>
    <row r="1972" ht="50.25" customHeight="1">
      <c r="A1972" s="12">
        <v>1968.0</v>
      </c>
      <c r="B1972" s="13" t="s">
        <v>1824</v>
      </c>
      <c r="C1972" s="14" t="s">
        <v>1982</v>
      </c>
      <c r="D1972" s="1"/>
      <c r="E1972" s="1"/>
      <c r="F1972" s="1" t="str">
        <f>IFERROR(__xludf.DUMMYFUNCTION("GOOGLETRANSLATE(B1972, ""en"", ""fa"")
"),"وبلاگ نویسی")</f>
        <v>وبلاگ نویسی</v>
      </c>
      <c r="G1972" s="1" t="str">
        <f>IFERROR(__xludf.DUMMYFUNCTION("GOOGLETRANSLATE(C1972, ""en"", ""fa"")
"),"در مورد اهمیت ایجاد یک جامعه درگیر در اطراف وبلاگ خود از طریق نظرات، انجمن های گفتگو یا گروه های رسانه های اجتماعی بحث کنید.")</f>
        <v>در مورد اهمیت ایجاد یک جامعه درگیر در اطراف وبلاگ خود از طریق نظرات، انجمن های گفتگو یا گروه های رسانه های اجتماعی بحث کنید.</v>
      </c>
      <c r="H1972" s="1"/>
      <c r="I1972" s="1"/>
      <c r="J1972" s="1"/>
      <c r="K1972" s="1"/>
      <c r="L1972" s="1"/>
      <c r="M1972" s="1"/>
      <c r="N1972" s="1"/>
      <c r="O1972" s="1"/>
      <c r="P1972" s="1"/>
      <c r="Q1972" s="1"/>
      <c r="R1972" s="1"/>
      <c r="S1972" s="1"/>
      <c r="T1972" s="1"/>
      <c r="U1972" s="1"/>
      <c r="V1972" s="1"/>
      <c r="W1972" s="1"/>
      <c r="X1972" s="1"/>
      <c r="Y1972" s="1"/>
      <c r="Z1972" s="1"/>
      <c r="AA1972" s="1"/>
      <c r="AB1972" s="1"/>
    </row>
    <row r="1973" ht="50.25" customHeight="1">
      <c r="A1973" s="12">
        <v>1969.0</v>
      </c>
      <c r="B1973" s="13" t="s">
        <v>1824</v>
      </c>
      <c r="C1973" s="14" t="s">
        <v>1983</v>
      </c>
      <c r="D1973" s="1"/>
      <c r="E1973" s="1"/>
      <c r="F1973" s="1" t="str">
        <f>IFERROR(__xludf.DUMMYFUNCTION("GOOGLETRANSLATE(B1973, ""en"", ""fa"")
"),"وبلاگ نویسی")</f>
        <v>وبلاگ نویسی</v>
      </c>
      <c r="G1973" s="1" t="str">
        <f>IFERROR(__xludf.DUMMYFUNCTION("GOOGLETRANSLATE(C1973, ""en"", ""fa"")
"),"راه‌های مختلفی را برای استفاده مجدد محتوای وبلاگ خود در قالب‌های مختلف، مانند کتاب‌های الکترونیکی، پادکست‌ها یا پست‌های مهمان در سایر وب‌سایت‌ها بررسی کنید.")</f>
        <v>راه‌های مختلفی را برای استفاده مجدد محتوای وبلاگ خود در قالب‌های مختلف، مانند کتاب‌های الکترونیکی، پادکست‌ها یا پست‌های مهمان در سایر وب‌سایت‌ها بررسی کنید.</v>
      </c>
      <c r="H1973" s="1"/>
      <c r="I1973" s="1"/>
      <c r="J1973" s="1"/>
      <c r="K1973" s="1"/>
      <c r="L1973" s="1"/>
      <c r="M1973" s="1"/>
      <c r="N1973" s="1"/>
      <c r="O1973" s="1"/>
      <c r="P1973" s="1"/>
      <c r="Q1973" s="1"/>
      <c r="R1973" s="1"/>
      <c r="S1973" s="1"/>
      <c r="T1973" s="1"/>
      <c r="U1973" s="1"/>
      <c r="V1973" s="1"/>
      <c r="W1973" s="1"/>
      <c r="X1973" s="1"/>
      <c r="Y1973" s="1"/>
      <c r="Z1973" s="1"/>
      <c r="AA1973" s="1"/>
      <c r="AB1973" s="1"/>
    </row>
    <row r="1974" ht="50.25" customHeight="1">
      <c r="A1974" s="12">
        <v>1970.0</v>
      </c>
      <c r="B1974" s="13" t="s">
        <v>1824</v>
      </c>
      <c r="C1974" s="14" t="s">
        <v>1984</v>
      </c>
      <c r="D1974" s="1"/>
      <c r="E1974" s="1"/>
      <c r="F1974" s="1" t="str">
        <f>IFERROR(__xludf.DUMMYFUNCTION("GOOGLETRANSLATE(B1974, ""en"", ""fa"")
"),"وبلاگ نویسی")</f>
        <v>وبلاگ نویسی</v>
      </c>
      <c r="G1974" s="1" t="str">
        <f>IFERROR(__xludf.DUMMYFUNCTION("GOOGLETRANSLATE(C1974, ""en"", ""fa"")
"),"درباره نقش وبلاگ نویسی مهمان در وب سایت های معتبر برای گسترش دامنه دسترسی خود و جذب خوانندگان جدید به وبلاگ خود بحث کنید.")</f>
        <v>درباره نقش وبلاگ نویسی مهمان در وب سایت های معتبر برای گسترش دامنه دسترسی خود و جذب خوانندگان جدید به وبلاگ خود بحث کنید.</v>
      </c>
      <c r="H1974" s="1"/>
      <c r="I1974" s="1"/>
      <c r="J1974" s="1"/>
      <c r="K1974" s="1"/>
      <c r="L1974" s="1"/>
      <c r="M1974" s="1"/>
      <c r="N1974" s="1"/>
      <c r="O1974" s="1"/>
      <c r="P1974" s="1"/>
      <c r="Q1974" s="1"/>
      <c r="R1974" s="1"/>
      <c r="S1974" s="1"/>
      <c r="T1974" s="1"/>
      <c r="U1974" s="1"/>
      <c r="V1974" s="1"/>
      <c r="W1974" s="1"/>
      <c r="X1974" s="1"/>
      <c r="Y1974" s="1"/>
      <c r="Z1974" s="1"/>
      <c r="AA1974" s="1"/>
      <c r="AB1974" s="1"/>
    </row>
    <row r="1975" ht="50.25" customHeight="1">
      <c r="A1975" s="12">
        <v>1971.0</v>
      </c>
      <c r="B1975" s="13" t="s">
        <v>1824</v>
      </c>
      <c r="C1975" s="14" t="s">
        <v>1985</v>
      </c>
      <c r="D1975" s="1"/>
      <c r="E1975" s="1"/>
      <c r="F1975" s="1" t="str">
        <f>IFERROR(__xludf.DUMMYFUNCTION("GOOGLETRANSLATE(B1975, ""en"", ""fa"")
"),"وبلاگ نویسی")</f>
        <v>وبلاگ نویسی</v>
      </c>
      <c r="G1975" s="1" t="str">
        <f>IFERROR(__xludf.DUMMYFUNCTION("GOOGLETRANSLATE(C1975, ""en"", ""fa"")
"),"استراتژی‌هایی را برای استفاده از همکاری‌های اینفلوئنسر یا مشارکت برند برای ایجاد محتوای حمایت‌شده که با جایگاه وبلاگ شما هماهنگ است، به اشتراک بگذارید.")</f>
        <v>استراتژی‌هایی را برای استفاده از همکاری‌های اینفلوئنسر یا مشارکت برند برای ایجاد محتوای حمایت‌شده که با جایگاه وبلاگ شما هماهنگ است، به اشتراک بگذارید.</v>
      </c>
      <c r="H1975" s="1"/>
      <c r="I1975" s="1"/>
      <c r="J1975" s="1"/>
      <c r="K1975" s="1"/>
      <c r="L1975" s="1"/>
      <c r="M1975" s="1"/>
      <c r="N1975" s="1"/>
      <c r="O1975" s="1"/>
      <c r="P1975" s="1"/>
      <c r="Q1975" s="1"/>
      <c r="R1975" s="1"/>
      <c r="S1975" s="1"/>
      <c r="T1975" s="1"/>
      <c r="U1975" s="1"/>
      <c r="V1975" s="1"/>
      <c r="W1975" s="1"/>
      <c r="X1975" s="1"/>
      <c r="Y1975" s="1"/>
      <c r="Z1975" s="1"/>
      <c r="AA1975" s="1"/>
      <c r="AB1975" s="1"/>
    </row>
    <row r="1976" ht="50.25" customHeight="1">
      <c r="A1976" s="12">
        <v>1972.0</v>
      </c>
      <c r="B1976" s="13" t="s">
        <v>1824</v>
      </c>
      <c r="C1976" s="14" t="s">
        <v>1986</v>
      </c>
      <c r="D1976" s="1"/>
      <c r="E1976" s="1"/>
      <c r="F1976" s="1" t="str">
        <f>IFERROR(__xludf.DUMMYFUNCTION("GOOGLETRANSLATE(B1976, ""en"", ""fa"")
"),"وبلاگ نویسی")</f>
        <v>وبلاگ نویسی</v>
      </c>
      <c r="G1976" s="1" t="str">
        <f>IFERROR(__xludf.DUMMYFUNCTION("GOOGLETRANSLATE(C1976, ""en"", ""fa"")
"),"در مورد اهمیت انجام ممیزی منظم سئو برای وبلاگ خود برای شناسایی و رفع هرگونه مشکل فنی یا بهینه سازی در صفحه بحث کنید.")</f>
        <v>در مورد اهمیت انجام ممیزی منظم سئو برای وبلاگ خود برای شناسایی و رفع هرگونه مشکل فنی یا بهینه سازی در صفحه بحث کنید.</v>
      </c>
      <c r="H1976" s="1"/>
      <c r="I1976" s="1"/>
      <c r="J1976" s="1"/>
      <c r="K1976" s="1"/>
      <c r="L1976" s="1"/>
      <c r="M1976" s="1"/>
      <c r="N1976" s="1"/>
      <c r="O1976" s="1"/>
      <c r="P1976" s="1"/>
      <c r="Q1976" s="1"/>
      <c r="R1976" s="1"/>
      <c r="S1976" s="1"/>
      <c r="T1976" s="1"/>
      <c r="U1976" s="1"/>
      <c r="V1976" s="1"/>
      <c r="W1976" s="1"/>
      <c r="X1976" s="1"/>
      <c r="Y1976" s="1"/>
      <c r="Z1976" s="1"/>
      <c r="AA1976" s="1"/>
      <c r="AB1976" s="1"/>
    </row>
    <row r="1977" ht="50.25" customHeight="1">
      <c r="A1977" s="12">
        <v>1973.0</v>
      </c>
      <c r="B1977" s="13" t="s">
        <v>1824</v>
      </c>
      <c r="C1977" s="14" t="s">
        <v>1987</v>
      </c>
      <c r="D1977" s="1"/>
      <c r="E1977" s="1"/>
      <c r="F1977" s="1" t="str">
        <f>IFERROR(__xludf.DUMMYFUNCTION("GOOGLETRANSLATE(B1977, ""en"", ""fa"")
"),"وبلاگ نویسی")</f>
        <v>وبلاگ نویسی</v>
      </c>
      <c r="G1977" s="1" t="str">
        <f>IFERROR(__xludf.DUMMYFUNCTION("GOOGLETRANSLATE(C1977, ""en"", ""fa"")
"),"مزایای ایجاد محتوای ستونی، راهنمای جامع و معتبر، که بک لینک ها را جذب می کند و وبلاگ شما را به عنوان یک مرجع در این زمینه تثبیت می کند، کاوش کنید.")</f>
        <v>مزایای ایجاد محتوای ستونی، راهنمای جامع و معتبر، که بک لینک ها را جذب می کند و وبلاگ شما را به عنوان یک مرجع در این زمینه تثبیت می کند، کاوش کنید.</v>
      </c>
      <c r="H1977" s="1"/>
      <c r="I1977" s="1"/>
      <c r="J1977" s="1"/>
      <c r="K1977" s="1"/>
      <c r="L1977" s="1"/>
      <c r="M1977" s="1"/>
      <c r="N1977" s="1"/>
      <c r="O1977" s="1"/>
      <c r="P1977" s="1"/>
      <c r="Q1977" s="1"/>
      <c r="R1977" s="1"/>
      <c r="S1977" s="1"/>
      <c r="T1977" s="1"/>
      <c r="U1977" s="1"/>
      <c r="V1977" s="1"/>
      <c r="W1977" s="1"/>
      <c r="X1977" s="1"/>
      <c r="Y1977" s="1"/>
      <c r="Z1977" s="1"/>
      <c r="AA1977" s="1"/>
      <c r="AB1977" s="1"/>
    </row>
    <row r="1978" ht="50.25" customHeight="1">
      <c r="A1978" s="12">
        <v>1974.0</v>
      </c>
      <c r="B1978" s="13" t="s">
        <v>1824</v>
      </c>
      <c r="C1978" s="14" t="s">
        <v>1988</v>
      </c>
      <c r="D1978" s="1"/>
      <c r="E1978" s="1"/>
      <c r="F1978" s="1" t="str">
        <f>IFERROR(__xludf.DUMMYFUNCTION("GOOGLETRANSLATE(B1978, ""en"", ""fa"")
"),"وبلاگ نویسی")</f>
        <v>وبلاگ نویسی</v>
      </c>
      <c r="G1978" s="1" t="str">
        <f>IFERROR(__xludf.DUMMYFUNCTION("GOOGLETRANSLATE(C1978, ""en"", ""fa"")
"),"نکاتی را برای بهینه‌سازی طراحی و طرح‌بندی وبلاگ خود برای پاسخگویی تلفن همراه به اشتراک بگذارید و تجربه یکپارچه را برای کاربران تلفن همراه تضمین کنید.")</f>
        <v>نکاتی را برای بهینه‌سازی طراحی و طرح‌بندی وبلاگ خود برای پاسخگویی تلفن همراه به اشتراک بگذارید و تجربه یکپارچه را برای کاربران تلفن همراه تضمین کنید.</v>
      </c>
      <c r="H1978" s="1"/>
      <c r="I1978" s="1"/>
      <c r="J1978" s="1"/>
      <c r="K1978" s="1"/>
      <c r="L1978" s="1"/>
      <c r="M1978" s="1"/>
      <c r="N1978" s="1"/>
      <c r="O1978" s="1"/>
      <c r="P1978" s="1"/>
      <c r="Q1978" s="1"/>
      <c r="R1978" s="1"/>
      <c r="S1978" s="1"/>
      <c r="T1978" s="1"/>
      <c r="U1978" s="1"/>
      <c r="V1978" s="1"/>
      <c r="W1978" s="1"/>
      <c r="X1978" s="1"/>
      <c r="Y1978" s="1"/>
      <c r="Z1978" s="1"/>
      <c r="AA1978" s="1"/>
      <c r="AB1978" s="1"/>
    </row>
    <row r="1979" ht="50.25" customHeight="1">
      <c r="A1979" s="12">
        <v>1975.0</v>
      </c>
      <c r="B1979" s="13" t="s">
        <v>1824</v>
      </c>
      <c r="C1979" s="14" t="s">
        <v>1989</v>
      </c>
      <c r="D1979" s="1"/>
      <c r="E1979" s="1"/>
      <c r="F1979" s="1" t="str">
        <f>IFERROR(__xludf.DUMMYFUNCTION("GOOGLETRANSLATE(B1979, ""en"", ""fa"")
"),"وبلاگ نویسی")</f>
        <v>وبلاگ نویسی</v>
      </c>
      <c r="G1979" s="1" t="str">
        <f>IFERROR(__xludf.DUMMYFUNCTION("GOOGLETRANSLATE(C1979, ""en"", ""fa"")
"),"در مورد نقش توزیع و انتشار مجدد محتوا در سیستم عامل های شخص ثالث برای افزایش دید و دسترسی به پست های وبلاگ خود بحث کنید.")</f>
        <v>در مورد نقش توزیع و انتشار مجدد محتوا در سیستم عامل های شخص ثالث برای افزایش دید و دسترسی به پست های وبلاگ خود بحث کنید.</v>
      </c>
      <c r="H1979" s="1"/>
      <c r="I1979" s="1"/>
      <c r="J1979" s="1"/>
      <c r="K1979" s="1"/>
      <c r="L1979" s="1"/>
      <c r="M1979" s="1"/>
      <c r="N1979" s="1"/>
      <c r="O1979" s="1"/>
      <c r="P1979" s="1"/>
      <c r="Q1979" s="1"/>
      <c r="R1979" s="1"/>
      <c r="S1979" s="1"/>
      <c r="T1979" s="1"/>
      <c r="U1979" s="1"/>
      <c r="V1979" s="1"/>
      <c r="W1979" s="1"/>
      <c r="X1979" s="1"/>
      <c r="Y1979" s="1"/>
      <c r="Z1979" s="1"/>
      <c r="AA1979" s="1"/>
      <c r="AB1979" s="1"/>
    </row>
    <row r="1980" ht="50.25" customHeight="1">
      <c r="A1980" s="12">
        <v>1976.0</v>
      </c>
      <c r="B1980" s="13" t="s">
        <v>1824</v>
      </c>
      <c r="C1980" s="14" t="s">
        <v>1990</v>
      </c>
      <c r="D1980" s="1"/>
      <c r="E1980" s="1"/>
      <c r="F1980" s="1" t="str">
        <f>IFERROR(__xludf.DUMMYFUNCTION("GOOGLETRANSLATE(B1980, ""en"", ""fa"")
"),"وبلاگ نویسی")</f>
        <v>وبلاگ نویسی</v>
      </c>
      <c r="G1980" s="1" t="str">
        <f>IFERROR(__xludf.DUMMYFUNCTION("GOOGLETRANSLATE(C1980, ""en"", ""fa"")
"),"راه های مختلف برای تعامل با مخاطبان وبلاگ خود را از طریق وبینارهای زنده، جلسات پرسش و پاسخ، یا فرمت های AMA (از من بپرس) کاوش کنید.")</f>
        <v>راه های مختلف برای تعامل با مخاطبان وبلاگ خود را از طریق وبینارهای زنده، جلسات پرسش و پاسخ، یا فرمت های AMA (از من بپرس) کاوش کنید.</v>
      </c>
      <c r="H1980" s="1"/>
      <c r="I1980" s="1"/>
      <c r="J1980" s="1"/>
      <c r="K1980" s="1"/>
      <c r="L1980" s="1"/>
      <c r="M1980" s="1"/>
      <c r="N1980" s="1"/>
      <c r="O1980" s="1"/>
      <c r="P1980" s="1"/>
      <c r="Q1980" s="1"/>
      <c r="R1980" s="1"/>
      <c r="S1980" s="1"/>
      <c r="T1980" s="1"/>
      <c r="U1980" s="1"/>
      <c r="V1980" s="1"/>
      <c r="W1980" s="1"/>
      <c r="X1980" s="1"/>
      <c r="Y1980" s="1"/>
      <c r="Z1980" s="1"/>
      <c r="AA1980" s="1"/>
      <c r="AB1980" s="1"/>
    </row>
    <row r="1981" ht="50.25" customHeight="1">
      <c r="A1981" s="12">
        <v>1977.0</v>
      </c>
      <c r="B1981" s="13" t="s">
        <v>1824</v>
      </c>
      <c r="C1981" s="14" t="s">
        <v>1991</v>
      </c>
      <c r="D1981" s="1"/>
      <c r="E1981" s="1"/>
      <c r="F1981" s="1" t="str">
        <f>IFERROR(__xludf.DUMMYFUNCTION("GOOGLETRANSLATE(B1981, ""en"", ""fa"")
"),"وبلاگ نویسی")</f>
        <v>وبلاگ نویسی</v>
      </c>
      <c r="G1981" s="1" t="str">
        <f>IFERROR(__xludf.DUMMYFUNCTION("GOOGLETRANSLATE(C1981, ""en"", ""fa"")
"),"استراتژی های ایجاد بک لینک به وبلاگ خود را از طریق پست مهمان، ارتباط با وبلاگ نویسان دیگر یا شرکت در انجمن های صنعتی به اشتراک بگذارید.")</f>
        <v>استراتژی های ایجاد بک لینک به وبلاگ خود را از طریق پست مهمان، ارتباط با وبلاگ نویسان دیگر یا شرکت در انجمن های صنعتی به اشتراک بگذارید.</v>
      </c>
      <c r="H1981" s="1"/>
      <c r="I1981" s="1"/>
      <c r="J1981" s="1"/>
      <c r="K1981" s="1"/>
      <c r="L1981" s="1"/>
      <c r="M1981" s="1"/>
      <c r="N1981" s="1"/>
      <c r="O1981" s="1"/>
      <c r="P1981" s="1"/>
      <c r="Q1981" s="1"/>
      <c r="R1981" s="1"/>
      <c r="S1981" s="1"/>
      <c r="T1981" s="1"/>
      <c r="U1981" s="1"/>
      <c r="V1981" s="1"/>
      <c r="W1981" s="1"/>
      <c r="X1981" s="1"/>
      <c r="Y1981" s="1"/>
      <c r="Z1981" s="1"/>
      <c r="AA1981" s="1"/>
      <c r="AB1981" s="1"/>
    </row>
    <row r="1982" ht="50.25" customHeight="1">
      <c r="A1982" s="12">
        <v>1978.0</v>
      </c>
      <c r="B1982" s="13" t="s">
        <v>1824</v>
      </c>
      <c r="C1982" s="14" t="s">
        <v>1992</v>
      </c>
      <c r="D1982" s="1"/>
      <c r="E1982" s="1"/>
      <c r="F1982" s="1" t="str">
        <f>IFERROR(__xludf.DUMMYFUNCTION("GOOGLETRANSLATE(B1982, ""en"", ""fa"")
"),"وبلاگ نویسی")</f>
        <v>وبلاگ نویسی</v>
      </c>
      <c r="G1982" s="1" t="str">
        <f>IFERROR(__xludf.DUMMYFUNCTION("GOOGLETRANSLATE(C1982, ""en"", ""fa"")
"),"در مورد اهمیت انجام تحقیقات کلمات کلیدی و گنجاندن کلمات کلیدی مرتبط در پست های وبلاگ خود برای بهبود دید موتورهای جستجو بحث کنید.")</f>
        <v>در مورد اهمیت انجام تحقیقات کلمات کلیدی و گنجاندن کلمات کلیدی مرتبط در پست های وبلاگ خود برای بهبود دید موتورهای جستجو بحث کنید.</v>
      </c>
      <c r="H1982" s="1"/>
      <c r="I1982" s="1"/>
      <c r="J1982" s="1"/>
      <c r="K1982" s="1"/>
      <c r="L1982" s="1"/>
      <c r="M1982" s="1"/>
      <c r="N1982" s="1"/>
      <c r="O1982" s="1"/>
      <c r="P1982" s="1"/>
      <c r="Q1982" s="1"/>
      <c r="R1982" s="1"/>
      <c r="S1982" s="1"/>
      <c r="T1982" s="1"/>
      <c r="U1982" s="1"/>
      <c r="V1982" s="1"/>
      <c r="W1982" s="1"/>
      <c r="X1982" s="1"/>
      <c r="Y1982" s="1"/>
      <c r="Z1982" s="1"/>
      <c r="AA1982" s="1"/>
      <c r="AB1982" s="1"/>
    </row>
    <row r="1983" ht="50.25" customHeight="1">
      <c r="A1983" s="12">
        <v>1979.0</v>
      </c>
      <c r="B1983" s="13" t="s">
        <v>1824</v>
      </c>
      <c r="C1983" s="14" t="s">
        <v>1993</v>
      </c>
      <c r="D1983" s="1"/>
      <c r="E1983" s="1"/>
      <c r="F1983" s="1" t="str">
        <f>IFERROR(__xludf.DUMMYFUNCTION("GOOGLETRANSLATE(B1983, ""en"", ""fa"")
"),"وبلاگ نویسی")</f>
        <v>وبلاگ نویسی</v>
      </c>
      <c r="G1983" s="1" t="str">
        <f>IFERROR(__xludf.DUMMYFUNCTION("GOOGLETRANSLATE(C1983, ""en"", ""fa"")
"),"مزایای ایجاد پست های جمع بندی خبره را بررسی کنید، جایی که بینش و نظرات کارشناسان صنعت را در مورد یک موضوع خاص جمع آوری می کنید.")</f>
        <v>مزایای ایجاد پست های جمع بندی خبره را بررسی کنید، جایی که بینش و نظرات کارشناسان صنعت را در مورد یک موضوع خاص جمع آوری می کنید.</v>
      </c>
      <c r="H1983" s="1"/>
      <c r="I1983" s="1"/>
      <c r="J1983" s="1"/>
      <c r="K1983" s="1"/>
      <c r="L1983" s="1"/>
      <c r="M1983" s="1"/>
      <c r="N1983" s="1"/>
      <c r="O1983" s="1"/>
      <c r="P1983" s="1"/>
      <c r="Q1983" s="1"/>
      <c r="R1983" s="1"/>
      <c r="S1983" s="1"/>
      <c r="T1983" s="1"/>
      <c r="U1983" s="1"/>
      <c r="V1983" s="1"/>
      <c r="W1983" s="1"/>
      <c r="X1983" s="1"/>
      <c r="Y1983" s="1"/>
      <c r="Z1983" s="1"/>
      <c r="AA1983" s="1"/>
      <c r="AB1983" s="1"/>
    </row>
    <row r="1984" ht="50.25" customHeight="1">
      <c r="A1984" s="12">
        <v>1980.0</v>
      </c>
      <c r="B1984" s="13" t="s">
        <v>1824</v>
      </c>
      <c r="C1984" s="14" t="s">
        <v>1994</v>
      </c>
      <c r="D1984" s="1"/>
      <c r="E1984" s="1"/>
      <c r="F1984" s="1" t="str">
        <f>IFERROR(__xludf.DUMMYFUNCTION("GOOGLETRANSLATE(B1984, ""en"", ""fa"")
"),"وبلاگ نویسی")</f>
        <v>وبلاگ نویسی</v>
      </c>
      <c r="G1984" s="1" t="str">
        <f>IFERROR(__xludf.DUMMYFUNCTION("GOOGLETRANSLATE(C1984, ""en"", ""fa"")
"),"نکاتی را برای ایجاد توضیحات متا قانع کننده که کاربران را ترغیب می کند تا از نتایج موتورهای جستجو روی پست وبلاگ شما کلیک کنند، به اشتراک بگذارید.")</f>
        <v>نکاتی را برای ایجاد توضیحات متا قانع کننده که کاربران را ترغیب می کند تا از نتایج موتورهای جستجو روی پست وبلاگ شما کلیک کنند، به اشتراک بگذارید.</v>
      </c>
      <c r="H1984" s="1"/>
      <c r="I1984" s="1"/>
      <c r="J1984" s="1"/>
      <c r="K1984" s="1"/>
      <c r="L1984" s="1"/>
      <c r="M1984" s="1"/>
      <c r="N1984" s="1"/>
      <c r="O1984" s="1"/>
      <c r="P1984" s="1"/>
      <c r="Q1984" s="1"/>
      <c r="R1984" s="1"/>
      <c r="S1984" s="1"/>
      <c r="T1984" s="1"/>
      <c r="U1984" s="1"/>
      <c r="V1984" s="1"/>
      <c r="W1984" s="1"/>
      <c r="X1984" s="1"/>
      <c r="Y1984" s="1"/>
      <c r="Z1984" s="1"/>
      <c r="AA1984" s="1"/>
      <c r="AB1984" s="1"/>
    </row>
    <row r="1985" ht="50.25" customHeight="1">
      <c r="A1985" s="12">
        <v>1981.0</v>
      </c>
      <c r="B1985" s="13" t="s">
        <v>1824</v>
      </c>
      <c r="C1985" s="14" t="s">
        <v>1995</v>
      </c>
      <c r="D1985" s="1"/>
      <c r="E1985" s="1"/>
      <c r="F1985" s="1" t="str">
        <f>IFERROR(__xludf.DUMMYFUNCTION("GOOGLETRANSLATE(B1985, ""en"", ""fa"")
"),"وبلاگ نویسی")</f>
        <v>وبلاگ نویسی</v>
      </c>
      <c r="G1985" s="1" t="str">
        <f>IFERROR(__xludf.DUMMYFUNCTION("GOOGLETRANSLATE(C1985, ""en"", ""fa"")
"),"راه های مختلف تعامل با خوانندگان وبلاگ خود را از طریق رسانه های اجتماعی، پاسخ دادن به نظرات و شرکت در بحث ها بررسی کنید.")</f>
        <v>راه های مختلف تعامل با خوانندگان وبلاگ خود را از طریق رسانه های اجتماعی، پاسخ دادن به نظرات و شرکت در بحث ها بررسی کنید.</v>
      </c>
      <c r="H1985" s="1"/>
      <c r="I1985" s="1"/>
      <c r="J1985" s="1"/>
      <c r="K1985" s="1"/>
      <c r="L1985" s="1"/>
      <c r="M1985" s="1"/>
      <c r="N1985" s="1"/>
      <c r="O1985" s="1"/>
      <c r="P1985" s="1"/>
      <c r="Q1985" s="1"/>
      <c r="R1985" s="1"/>
      <c r="S1985" s="1"/>
      <c r="T1985" s="1"/>
      <c r="U1985" s="1"/>
      <c r="V1985" s="1"/>
      <c r="W1985" s="1"/>
      <c r="X1985" s="1"/>
      <c r="Y1985" s="1"/>
      <c r="Z1985" s="1"/>
      <c r="AA1985" s="1"/>
      <c r="AB1985" s="1"/>
    </row>
    <row r="1986" ht="50.25" customHeight="1">
      <c r="A1986" s="12">
        <v>1982.0</v>
      </c>
      <c r="B1986" s="13" t="s">
        <v>1824</v>
      </c>
      <c r="C1986" s="14" t="s">
        <v>1996</v>
      </c>
      <c r="D1986" s="1"/>
      <c r="E1986" s="1"/>
      <c r="F1986" s="1" t="str">
        <f>IFERROR(__xludf.DUMMYFUNCTION("GOOGLETRANSLATE(B1986, ""en"", ""fa"")
"),"وبلاگ نویسی")</f>
        <v>وبلاگ نویسی</v>
      </c>
      <c r="G1986" s="1" t="str">
        <f>IFERROR(__xludf.DUMMYFUNCTION("GOOGLETRANSLATE(C1986, ""en"", ""fa"")
"),"برای ایجاد پست‌های وبلاگی که با مخاطبان شما طنین انداز می‌شود، استراتژی‌هایی را برای استفاده از محتوای تولید شده توسط کاربر، مانند ذکر رسانه‌های اجتماعی یا توصیه‌های مشتری به اشتراک بگذارید.")</f>
        <v>برای ایجاد پست‌های وبلاگی که با مخاطبان شما طنین انداز می‌شود، استراتژی‌هایی را برای استفاده از محتوای تولید شده توسط کاربر، مانند ذکر رسانه‌های اجتماعی یا توصیه‌های مشتری به اشتراک بگذارید.</v>
      </c>
      <c r="H1986" s="1"/>
      <c r="I1986" s="1"/>
      <c r="J1986" s="1"/>
      <c r="K1986" s="1"/>
      <c r="L1986" s="1"/>
      <c r="M1986" s="1"/>
      <c r="N1986" s="1"/>
      <c r="O1986" s="1"/>
      <c r="P1986" s="1"/>
      <c r="Q1986" s="1"/>
      <c r="R1986" s="1"/>
      <c r="S1986" s="1"/>
      <c r="T1986" s="1"/>
      <c r="U1986" s="1"/>
      <c r="V1986" s="1"/>
      <c r="W1986" s="1"/>
      <c r="X1986" s="1"/>
      <c r="Y1986" s="1"/>
      <c r="Z1986" s="1"/>
      <c r="AA1986" s="1"/>
      <c r="AB1986" s="1"/>
    </row>
    <row r="1987" ht="50.25" customHeight="1">
      <c r="A1987" s="12">
        <v>1983.0</v>
      </c>
      <c r="B1987" s="13" t="s">
        <v>1824</v>
      </c>
      <c r="C1987" s="14" t="s">
        <v>1997</v>
      </c>
      <c r="D1987" s="1"/>
      <c r="E1987" s="1"/>
      <c r="F1987" s="1" t="str">
        <f>IFERROR(__xludf.DUMMYFUNCTION("GOOGLETRANSLATE(B1987, ""en"", ""fa"")
"),"وبلاگ نویسی")</f>
        <v>وبلاگ نویسی</v>
      </c>
      <c r="G1987" s="1" t="str">
        <f>IFERROR(__xludf.DUMMYFUNCTION("GOOGLETRANSLATE(C1987, ""en"", ""fa"")
"),"در مورد اهمیت انجام تست A/B در وبلاگ خود، آزمایش طرح‌بندی‌ها، رنگ‌ها یا دکمه‌های فراخوان برای بهینه‌سازی تبدیل‌ها بحث کنید.")</f>
        <v>در مورد اهمیت انجام تست A/B در وبلاگ خود، آزمایش طرح‌بندی‌ها، رنگ‌ها یا دکمه‌های فراخوان برای بهینه‌سازی تبدیل‌ها بحث کنید.</v>
      </c>
      <c r="H1987" s="1"/>
      <c r="I1987" s="1"/>
      <c r="J1987" s="1"/>
      <c r="K1987" s="1"/>
      <c r="L1987" s="1"/>
      <c r="M1987" s="1"/>
      <c r="N1987" s="1"/>
      <c r="O1987" s="1"/>
      <c r="P1987" s="1"/>
      <c r="Q1987" s="1"/>
      <c r="R1987" s="1"/>
      <c r="S1987" s="1"/>
      <c r="T1987" s="1"/>
      <c r="U1987" s="1"/>
      <c r="V1987" s="1"/>
      <c r="W1987" s="1"/>
      <c r="X1987" s="1"/>
      <c r="Y1987" s="1"/>
      <c r="Z1987" s="1"/>
      <c r="AA1987" s="1"/>
      <c r="AB1987" s="1"/>
    </row>
    <row r="1988" ht="50.25" customHeight="1">
      <c r="A1988" s="12">
        <v>1984.0</v>
      </c>
      <c r="B1988" s="13" t="s">
        <v>1824</v>
      </c>
      <c r="C1988" s="14" t="s">
        <v>1998</v>
      </c>
      <c r="D1988" s="1"/>
      <c r="E1988" s="1"/>
      <c r="F1988" s="1" t="str">
        <f>IFERROR(__xludf.DUMMYFUNCTION("GOOGLETRANSLATE(B1988, ""en"", ""fa"")
"),"وبلاگ نویسی")</f>
        <v>وبلاگ نویسی</v>
      </c>
      <c r="G1988" s="1" t="str">
        <f>IFERROR(__xludf.DUMMYFUNCTION("GOOGLETRANSLATE(C1988, ""en"", ""fa"")
"),"مزایای ایجاد محتوای سنگ بنا، مقالات عمیق و جامع را که یک موضوع گسترده را پوشش می دهد و به عنوان پایه ای برای وبلاگ شما عمل می کند، کاوش کنید.")</f>
        <v>مزایای ایجاد محتوای سنگ بنا، مقالات عمیق و جامع را که یک موضوع گسترده را پوشش می دهد و به عنوان پایه ای برای وبلاگ شما عمل می کند، کاوش کنید.</v>
      </c>
      <c r="H1988" s="1"/>
      <c r="I1988" s="1"/>
      <c r="J1988" s="1"/>
      <c r="K1988" s="1"/>
      <c r="L1988" s="1"/>
      <c r="M1988" s="1"/>
      <c r="N1988" s="1"/>
      <c r="O1988" s="1"/>
      <c r="P1988" s="1"/>
      <c r="Q1988" s="1"/>
      <c r="R1988" s="1"/>
      <c r="S1988" s="1"/>
      <c r="T1988" s="1"/>
      <c r="U1988" s="1"/>
      <c r="V1988" s="1"/>
      <c r="W1988" s="1"/>
      <c r="X1988" s="1"/>
      <c r="Y1988" s="1"/>
      <c r="Z1988" s="1"/>
      <c r="AA1988" s="1"/>
      <c r="AB1988" s="1"/>
    </row>
    <row r="1989" ht="50.25" customHeight="1">
      <c r="A1989" s="12">
        <v>1985.0</v>
      </c>
      <c r="B1989" s="13" t="s">
        <v>1824</v>
      </c>
      <c r="C1989" s="14" t="s">
        <v>1999</v>
      </c>
      <c r="D1989" s="1"/>
      <c r="E1989" s="1"/>
      <c r="F1989" s="1" t="str">
        <f>IFERROR(__xludf.DUMMYFUNCTION("GOOGLETRANSLATE(B1989, ""en"", ""fa"")
"),"وبلاگ نویسی")</f>
        <v>وبلاگ نویسی</v>
      </c>
      <c r="G1989" s="1" t="str">
        <f>IFERROR(__xludf.DUMMYFUNCTION("GOOGLETRANSLATE(C1989, ""en"", ""fa"")
"),"نکاتی را برای ایجاد طرح‌بندی‌های پست وبلاگ از نظر بصری جذاب، استفاده از فضای سفید، سرصفحه‌ها و نقاط گلوله برای افزایش خوانایی به اشتراک بگذارید.")</f>
        <v>نکاتی را برای ایجاد طرح‌بندی‌های پست وبلاگ از نظر بصری جذاب، استفاده از فضای سفید، سرصفحه‌ها و نقاط گلوله برای افزایش خوانایی به اشتراک بگذارید.</v>
      </c>
      <c r="H1989" s="1"/>
      <c r="I1989" s="1"/>
      <c r="J1989" s="1"/>
      <c r="K1989" s="1"/>
      <c r="L1989" s="1"/>
      <c r="M1989" s="1"/>
      <c r="N1989" s="1"/>
      <c r="O1989" s="1"/>
      <c r="P1989" s="1"/>
      <c r="Q1989" s="1"/>
      <c r="R1989" s="1"/>
      <c r="S1989" s="1"/>
      <c r="T1989" s="1"/>
      <c r="U1989" s="1"/>
      <c r="V1989" s="1"/>
      <c r="W1989" s="1"/>
      <c r="X1989" s="1"/>
      <c r="Y1989" s="1"/>
      <c r="Z1989" s="1"/>
      <c r="AA1989" s="1"/>
      <c r="AB1989" s="1"/>
    </row>
    <row r="1990" ht="50.25" customHeight="1">
      <c r="A1990" s="12">
        <v>1986.0</v>
      </c>
      <c r="B1990" s="13" t="s">
        <v>1824</v>
      </c>
      <c r="C1990" s="14" t="s">
        <v>2000</v>
      </c>
      <c r="D1990" s="1"/>
      <c r="E1990" s="1"/>
      <c r="F1990" s="1" t="str">
        <f>IFERROR(__xludf.DUMMYFUNCTION("GOOGLETRANSLATE(B1990, ""en"", ""fa"")
"),"وبلاگ نویسی")</f>
        <v>وبلاگ نویسی</v>
      </c>
      <c r="G1990" s="1" t="str">
        <f>IFERROR(__xludf.DUMMYFUNCTION("GOOGLETRANSLATE(C1990, ""en"", ""fa"")
"),"در مورد نقش محتوای همیشه سبز در هدایت ترافیک ثابت به وبلاگ خود در طول زمان، با تمرکز بر موضوعات مرتبط و ارزشمند بحث کنید.")</f>
        <v>در مورد نقش محتوای همیشه سبز در هدایت ترافیک ثابت به وبلاگ خود در طول زمان، با تمرکز بر موضوعات مرتبط و ارزشمند بحث کنید.</v>
      </c>
      <c r="H1990" s="1"/>
      <c r="I1990" s="1"/>
      <c r="J1990" s="1"/>
      <c r="K1990" s="1"/>
      <c r="L1990" s="1"/>
      <c r="M1990" s="1"/>
      <c r="N1990" s="1"/>
      <c r="O1990" s="1"/>
      <c r="P1990" s="1"/>
      <c r="Q1990" s="1"/>
      <c r="R1990" s="1"/>
      <c r="S1990" s="1"/>
      <c r="T1990" s="1"/>
      <c r="U1990" s="1"/>
      <c r="V1990" s="1"/>
      <c r="W1990" s="1"/>
      <c r="X1990" s="1"/>
      <c r="Y1990" s="1"/>
      <c r="Z1990" s="1"/>
      <c r="AA1990" s="1"/>
      <c r="AB1990" s="1"/>
    </row>
    <row r="1991" ht="50.25" customHeight="1">
      <c r="A1991" s="12">
        <v>1987.0</v>
      </c>
      <c r="B1991" s="13" t="s">
        <v>1824</v>
      </c>
      <c r="C1991" s="14" t="s">
        <v>2001</v>
      </c>
      <c r="D1991" s="1"/>
      <c r="E1991" s="1"/>
      <c r="F1991" s="1" t="str">
        <f>IFERROR(__xludf.DUMMYFUNCTION("GOOGLETRANSLATE(B1991, ""en"", ""fa"")
"),"وبلاگ نویسی")</f>
        <v>وبلاگ نویسی</v>
      </c>
      <c r="G1991" s="1" t="str">
        <f>IFERROR(__xludf.DUMMYFUNCTION("GOOGLETRANSLATE(C1991, ""en"", ""fa"")
"),"راه‌های مختلف را برای بهینه‌سازی تصاویر وبلاگ خود برای موتورهای جستجو، از جمله نام فایل‌های توصیفی، تگ‌های alt و فشرده‌سازی تصویر، کاوش کنید.")</f>
        <v>راه‌های مختلف را برای بهینه‌سازی تصاویر وبلاگ خود برای موتورهای جستجو، از جمله نام فایل‌های توصیفی، تگ‌های alt و فشرده‌سازی تصویر، کاوش کنید.</v>
      </c>
      <c r="H1991" s="1"/>
      <c r="I1991" s="1"/>
      <c r="J1991" s="1"/>
      <c r="K1991" s="1"/>
      <c r="L1991" s="1"/>
      <c r="M1991" s="1"/>
      <c r="N1991" s="1"/>
      <c r="O1991" s="1"/>
      <c r="P1991" s="1"/>
      <c r="Q1991" s="1"/>
      <c r="R1991" s="1"/>
      <c r="S1991" s="1"/>
      <c r="T1991" s="1"/>
      <c r="U1991" s="1"/>
      <c r="V1991" s="1"/>
      <c r="W1991" s="1"/>
      <c r="X1991" s="1"/>
      <c r="Y1991" s="1"/>
      <c r="Z1991" s="1"/>
      <c r="AA1991" s="1"/>
      <c r="AB1991" s="1"/>
    </row>
    <row r="1992" ht="50.25" customHeight="1">
      <c r="A1992" s="12">
        <v>1988.0</v>
      </c>
      <c r="B1992" s="13" t="s">
        <v>1824</v>
      </c>
      <c r="C1992" s="14" t="s">
        <v>2002</v>
      </c>
      <c r="D1992" s="1"/>
      <c r="E1992" s="1"/>
      <c r="F1992" s="1" t="str">
        <f>IFERROR(__xludf.DUMMYFUNCTION("GOOGLETRANSLATE(B1992, ""en"", ""fa"")
"),"وبلاگ نویسی")</f>
        <v>وبلاگ نویسی</v>
      </c>
      <c r="G1992" s="1" t="str">
        <f>IFERROR(__xludf.DUMMYFUNCTION("GOOGLETRANSLATE(C1992, ""en"", ""fa"")
"),"استراتژی های انجام مصاحبه با کارشناسان صنعت، رهبران فکری یا مشتریان را به اشتراک بگذارید تا بینش ها و دیدگاه های منحصر به فردی را در پست های وبلاگ خود ارائه دهید.")</f>
        <v>استراتژی های انجام مصاحبه با کارشناسان صنعت، رهبران فکری یا مشتریان را به اشتراک بگذارید تا بینش ها و دیدگاه های منحصر به فردی را در پست های وبلاگ خود ارائه دهید.</v>
      </c>
      <c r="H1992" s="1"/>
      <c r="I1992" s="1"/>
      <c r="J1992" s="1"/>
      <c r="K1992" s="1"/>
      <c r="L1992" s="1"/>
      <c r="M1992" s="1"/>
      <c r="N1992" s="1"/>
      <c r="O1992" s="1"/>
      <c r="P1992" s="1"/>
      <c r="Q1992" s="1"/>
      <c r="R1992" s="1"/>
      <c r="S1992" s="1"/>
      <c r="T1992" s="1"/>
      <c r="U1992" s="1"/>
      <c r="V1992" s="1"/>
      <c r="W1992" s="1"/>
      <c r="X1992" s="1"/>
      <c r="Y1992" s="1"/>
      <c r="Z1992" s="1"/>
      <c r="AA1992" s="1"/>
      <c r="AB1992" s="1"/>
    </row>
    <row r="1993" ht="50.25" customHeight="1">
      <c r="A1993" s="12">
        <v>1989.0</v>
      </c>
      <c r="B1993" s="13" t="s">
        <v>1824</v>
      </c>
      <c r="C1993" s="14" t="s">
        <v>2003</v>
      </c>
      <c r="D1993" s="1"/>
      <c r="E1993" s="1"/>
      <c r="F1993" s="1" t="str">
        <f>IFERROR(__xludf.DUMMYFUNCTION("GOOGLETRANSLATE(B1993, ""en"", ""fa"")
"),"وبلاگ نویسی")</f>
        <v>وبلاگ نویسی</v>
      </c>
      <c r="G1993" s="1" t="str">
        <f>IFERROR(__xludf.DUMMYFUNCTION("GOOGLETRANSLATE(C1993, ""en"", ""fa"")
"),"درباره اهمیت ایجاد محتوای جذاب و تعاملی، مانند آزمون‌ها، نظرسنجی‌ها، یا اینفوگرافیک‌های تعاملی برای افزایش تجربه کاربر بحث کنید.")</f>
        <v>درباره اهمیت ایجاد محتوای جذاب و تعاملی، مانند آزمون‌ها، نظرسنجی‌ها، یا اینفوگرافیک‌های تعاملی برای افزایش تجربه کاربر بحث کنید.</v>
      </c>
      <c r="H1993" s="1"/>
      <c r="I1993" s="1"/>
      <c r="J1993" s="1"/>
      <c r="K1993" s="1"/>
      <c r="L1993" s="1"/>
      <c r="M1993" s="1"/>
      <c r="N1993" s="1"/>
      <c r="O1993" s="1"/>
      <c r="P1993" s="1"/>
      <c r="Q1993" s="1"/>
      <c r="R1993" s="1"/>
      <c r="S1993" s="1"/>
      <c r="T1993" s="1"/>
      <c r="U1993" s="1"/>
      <c r="V1993" s="1"/>
      <c r="W1993" s="1"/>
      <c r="X1993" s="1"/>
      <c r="Y1993" s="1"/>
      <c r="Z1993" s="1"/>
      <c r="AA1993" s="1"/>
      <c r="AB1993" s="1"/>
    </row>
    <row r="1994" ht="50.25" customHeight="1">
      <c r="A1994" s="12">
        <v>1990.0</v>
      </c>
      <c r="B1994" s="13" t="s">
        <v>1824</v>
      </c>
      <c r="C1994" s="14" t="s">
        <v>2004</v>
      </c>
      <c r="D1994" s="1"/>
      <c r="E1994" s="1"/>
      <c r="F1994" s="1" t="str">
        <f>IFERROR(__xludf.DUMMYFUNCTION("GOOGLETRANSLATE(B1994, ""en"", ""fa"")
"),"وبلاگ نویسی")</f>
        <v>وبلاگ نویسی</v>
      </c>
      <c r="G1994" s="1" t="str">
        <f>IFERROR(__xludf.DUMMYFUNCTION("GOOGLETRANSLATE(C1994, ""en"", ""fa"")
"),"مزایای گنجاندن اثبات اجتماعی در پست‌های وبلاگ خود، نمایش توصیفات، مطالعات موردی یا داستان‌های موفقیت از مشتریان راضی را بررسی کنید.")</f>
        <v>مزایای گنجاندن اثبات اجتماعی در پست‌های وبلاگ خود، نمایش توصیفات، مطالعات موردی یا داستان‌های موفقیت از مشتریان راضی را بررسی کنید.</v>
      </c>
      <c r="H1994" s="1"/>
      <c r="I1994" s="1"/>
      <c r="J1994" s="1"/>
      <c r="K1994" s="1"/>
      <c r="L1994" s="1"/>
      <c r="M1994" s="1"/>
      <c r="N1994" s="1"/>
      <c r="O1994" s="1"/>
      <c r="P1994" s="1"/>
      <c r="Q1994" s="1"/>
      <c r="R1994" s="1"/>
      <c r="S1994" s="1"/>
      <c r="T1994" s="1"/>
      <c r="U1994" s="1"/>
      <c r="V1994" s="1"/>
      <c r="W1994" s="1"/>
      <c r="X1994" s="1"/>
      <c r="Y1994" s="1"/>
      <c r="Z1994" s="1"/>
      <c r="AA1994" s="1"/>
      <c r="AB1994" s="1"/>
    </row>
    <row r="1995" ht="50.25" customHeight="1">
      <c r="A1995" s="12">
        <v>1991.0</v>
      </c>
      <c r="B1995" s="13" t="s">
        <v>1824</v>
      </c>
      <c r="C1995" s="14" t="s">
        <v>2005</v>
      </c>
      <c r="D1995" s="1"/>
      <c r="E1995" s="1"/>
      <c r="F1995" s="1" t="str">
        <f>IFERROR(__xludf.DUMMYFUNCTION("GOOGLETRANSLATE(B1995, ""en"", ""fa"")
"),"وبلاگ نویسی")</f>
        <v>وبلاگ نویسی</v>
      </c>
      <c r="G1995" s="1" t="str">
        <f>IFERROR(__xludf.DUMMYFUNCTION("GOOGLETRANSLATE(C1995, ""en"", ""fa"")
"),"نکاتی را برای نوشتن پست‌های وبلاگ که به نقاط درد یا چالش‌های رایجی که مخاطبان هدف شما با آن مواجه هستند، پاسخ می‌دهند، راه‌حل‌ها و توصیه‌های عملی ارائه می‌دهند.")</f>
        <v>نکاتی را برای نوشتن پست‌های وبلاگ که به نقاط درد یا چالش‌های رایجی که مخاطبان هدف شما با آن مواجه هستند، پاسخ می‌دهند، راه‌حل‌ها و توصیه‌های عملی ارائه می‌دهند.</v>
      </c>
      <c r="H1995" s="1"/>
      <c r="I1995" s="1"/>
      <c r="J1995" s="1"/>
      <c r="K1995" s="1"/>
      <c r="L1995" s="1"/>
      <c r="M1995" s="1"/>
      <c r="N1995" s="1"/>
      <c r="O1995" s="1"/>
      <c r="P1995" s="1"/>
      <c r="Q1995" s="1"/>
      <c r="R1995" s="1"/>
      <c r="S1995" s="1"/>
      <c r="T1995" s="1"/>
      <c r="U1995" s="1"/>
      <c r="V1995" s="1"/>
      <c r="W1995" s="1"/>
      <c r="X1995" s="1"/>
      <c r="Y1995" s="1"/>
      <c r="Z1995" s="1"/>
      <c r="AA1995" s="1"/>
      <c r="AB1995" s="1"/>
    </row>
    <row r="1996" ht="50.25" customHeight="1">
      <c r="A1996" s="12">
        <v>1992.0</v>
      </c>
      <c r="B1996" s="13" t="s">
        <v>1824</v>
      </c>
      <c r="C1996" s="14" t="s">
        <v>2006</v>
      </c>
      <c r="D1996" s="1"/>
      <c r="E1996" s="1"/>
      <c r="F1996" s="1" t="str">
        <f>IFERROR(__xludf.DUMMYFUNCTION("GOOGLETRANSLATE(B1996, ""en"", ""fa"")
"),"وبلاگ نویسی")</f>
        <v>وبلاگ نویسی</v>
      </c>
      <c r="G1996" s="1" t="str">
        <f>IFERROR(__xludf.DUMMYFUNCTION("GOOGLETRANSLATE(C1996, ""en"", ""fa"")
"),"در مورد نقش پیوند داخلی در وبلاگ خود بحث کنید و خوانندگان را به مقالات یا منابع مرتبط برای کاوش و تعامل بیشتر راهنمایی کنید.")</f>
        <v>در مورد نقش پیوند داخلی در وبلاگ خود بحث کنید و خوانندگان را به مقالات یا منابع مرتبط برای کاوش و تعامل بیشتر راهنمایی کنید.</v>
      </c>
      <c r="H1996" s="1"/>
      <c r="I1996" s="1"/>
      <c r="J1996" s="1"/>
      <c r="K1996" s="1"/>
      <c r="L1996" s="1"/>
      <c r="M1996" s="1"/>
      <c r="N1996" s="1"/>
      <c r="O1996" s="1"/>
      <c r="P1996" s="1"/>
      <c r="Q1996" s="1"/>
      <c r="R1996" s="1"/>
      <c r="S1996" s="1"/>
      <c r="T1996" s="1"/>
      <c r="U1996" s="1"/>
      <c r="V1996" s="1"/>
      <c r="W1996" s="1"/>
      <c r="X1996" s="1"/>
      <c r="Y1996" s="1"/>
      <c r="Z1996" s="1"/>
      <c r="AA1996" s="1"/>
      <c r="AB1996" s="1"/>
    </row>
    <row r="1997" ht="50.25" customHeight="1">
      <c r="A1997" s="12">
        <v>1993.0</v>
      </c>
      <c r="B1997" s="13" t="s">
        <v>1824</v>
      </c>
      <c r="C1997" s="14" t="s">
        <v>2007</v>
      </c>
      <c r="D1997" s="1"/>
      <c r="E1997" s="1"/>
      <c r="F1997" s="1" t="str">
        <f>IFERROR(__xludf.DUMMYFUNCTION("GOOGLETRANSLATE(B1997, ""en"", ""fa"")
"),"وبلاگ نویسی")</f>
        <v>وبلاگ نویسی</v>
      </c>
      <c r="G1997" s="1" t="str">
        <f>IFERROR(__xludf.DUMMYFUNCTION("GOOGLETRANSLATE(C1997, ""en"", ""fa"")
"),"راه‌های مختلف برای استفاده از پلتفرم‌های رسانه‌های اجتماعی، مانند پینترست یا اینستاگرام، برای افزایش ترافیک و تبلیغ پست‌های وبلاگ خود را بررسی کنید.")</f>
        <v>راه‌های مختلف برای استفاده از پلتفرم‌های رسانه‌های اجتماعی، مانند پینترست یا اینستاگرام، برای افزایش ترافیک و تبلیغ پست‌های وبلاگ خود را بررسی کنید.</v>
      </c>
      <c r="H1997" s="1"/>
      <c r="I1997" s="1"/>
      <c r="J1997" s="1"/>
      <c r="K1997" s="1"/>
      <c r="L1997" s="1"/>
      <c r="M1997" s="1"/>
      <c r="N1997" s="1"/>
      <c r="O1997" s="1"/>
      <c r="P1997" s="1"/>
      <c r="Q1997" s="1"/>
      <c r="R1997" s="1"/>
      <c r="S1997" s="1"/>
      <c r="T1997" s="1"/>
      <c r="U1997" s="1"/>
      <c r="V1997" s="1"/>
      <c r="W1997" s="1"/>
      <c r="X1997" s="1"/>
      <c r="Y1997" s="1"/>
      <c r="Z1997" s="1"/>
      <c r="AA1997" s="1"/>
      <c r="AB1997" s="1"/>
    </row>
    <row r="1998" ht="50.25" customHeight="1">
      <c r="A1998" s="12">
        <v>1994.0</v>
      </c>
      <c r="B1998" s="13" t="s">
        <v>1824</v>
      </c>
      <c r="C1998" s="14" t="s">
        <v>2008</v>
      </c>
      <c r="D1998" s="1"/>
      <c r="E1998" s="1"/>
      <c r="F1998" s="1" t="str">
        <f>IFERROR(__xludf.DUMMYFUNCTION("GOOGLETRANSLATE(B1998, ""en"", ""fa"")
"),"وبلاگ نویسی")</f>
        <v>وبلاگ نویسی</v>
      </c>
      <c r="G1998" s="1" t="str">
        <f>IFERROR(__xludf.DUMMYFUNCTION("GOOGLETRANSLATE(C1998, ""en"", ""fa"")
"),"استراتژی های ایجاد محتوای قابل اشتراک گذاری، از جمله سرفصل های جذاب، گرافیک های جذاب بصری و گزینه های اشتراک گذاری آسان رسانه های اجتماعی را به اشتراک بگذارید.")</f>
        <v>استراتژی های ایجاد محتوای قابل اشتراک گذاری، از جمله سرفصل های جذاب، گرافیک های جذاب بصری و گزینه های اشتراک گذاری آسان رسانه های اجتماعی را به اشتراک بگذارید.</v>
      </c>
      <c r="H1998" s="1"/>
      <c r="I1998" s="1"/>
      <c r="J1998" s="1"/>
      <c r="K1998" s="1"/>
      <c r="L1998" s="1"/>
      <c r="M1998" s="1"/>
      <c r="N1998" s="1"/>
      <c r="O1998" s="1"/>
      <c r="P1998" s="1"/>
      <c r="Q1998" s="1"/>
      <c r="R1998" s="1"/>
      <c r="S1998" s="1"/>
      <c r="T1998" s="1"/>
      <c r="U1998" s="1"/>
      <c r="V1998" s="1"/>
      <c r="W1998" s="1"/>
      <c r="X1998" s="1"/>
      <c r="Y1998" s="1"/>
      <c r="Z1998" s="1"/>
      <c r="AA1998" s="1"/>
      <c r="AB1998" s="1"/>
    </row>
    <row r="1999" ht="50.25" customHeight="1">
      <c r="A1999" s="12">
        <v>1995.0</v>
      </c>
      <c r="B1999" s="13" t="s">
        <v>1824</v>
      </c>
      <c r="C1999" s="14" t="s">
        <v>2009</v>
      </c>
      <c r="D1999" s="1"/>
      <c r="E1999" s="1"/>
      <c r="F1999" s="1" t="str">
        <f>IFERROR(__xludf.DUMMYFUNCTION("GOOGLETRANSLATE(B1999, ""en"", ""fa"")
"),"وبلاگ نویسی")</f>
        <v>وبلاگ نویسی</v>
      </c>
      <c r="G1999" s="1" t="str">
        <f>IFERROR(__xludf.DUMMYFUNCTION("GOOGLETRANSLATE(C1999, ""en"", ""fa"")
"),"در مورد اهمیت ردیابی و تجزیه و تحلیل معیارهای کلیدی، مانند بازدید از صفحه، نرخ پرش و تعامل، برای سنجش موفقیت وبلاگ خود بحث کنید.")</f>
        <v>در مورد اهمیت ردیابی و تجزیه و تحلیل معیارهای کلیدی، مانند بازدید از صفحه، نرخ پرش و تعامل، برای سنجش موفقیت وبلاگ خود بحث کنید.</v>
      </c>
      <c r="H1999" s="1"/>
      <c r="I1999" s="1"/>
      <c r="J1999" s="1"/>
      <c r="K1999" s="1"/>
      <c r="L1999" s="1"/>
      <c r="M1999" s="1"/>
      <c r="N1999" s="1"/>
      <c r="O1999" s="1"/>
      <c r="P1999" s="1"/>
      <c r="Q1999" s="1"/>
      <c r="R1999" s="1"/>
      <c r="S1999" s="1"/>
      <c r="T1999" s="1"/>
      <c r="U1999" s="1"/>
      <c r="V1999" s="1"/>
      <c r="W1999" s="1"/>
      <c r="X1999" s="1"/>
      <c r="Y1999" s="1"/>
      <c r="Z1999" s="1"/>
      <c r="AA1999" s="1"/>
      <c r="AB1999" s="1"/>
    </row>
    <row r="2000" ht="50.25" customHeight="1">
      <c r="A2000" s="12">
        <v>1996.0</v>
      </c>
      <c r="B2000" s="13" t="s">
        <v>1824</v>
      </c>
      <c r="C2000" s="14" t="s">
        <v>2010</v>
      </c>
      <c r="D2000" s="1"/>
      <c r="E2000" s="1"/>
      <c r="F2000" s="1" t="str">
        <f>IFERROR(__xludf.DUMMYFUNCTION("GOOGLETRANSLATE(B2000, ""en"", ""fa"")
"),"وبلاگ نویسی")</f>
        <v>وبلاگ نویسی</v>
      </c>
      <c r="G2000" s="1" t="str">
        <f>IFERROR(__xludf.DUMMYFUNCTION("GOOGLETRANSLATE(C2000, ""en"", ""fa"")
"),"مزایای همکاری با سایر وبلاگ نویسان یا تأثیرگذاران در مجموعه های محتوا را بررسی کنید، جایی که هر شرکت کننده یک قطعه در مورد یک موضوع خاص ارائه می دهد.")</f>
        <v>مزایای همکاری با سایر وبلاگ نویسان یا تأثیرگذاران در مجموعه های محتوا را بررسی کنید، جایی که هر شرکت کننده یک قطعه در مورد یک موضوع خاص ارائه می دهد.</v>
      </c>
      <c r="H2000" s="1"/>
      <c r="I2000" s="1"/>
      <c r="J2000" s="1"/>
      <c r="K2000" s="1"/>
      <c r="L2000" s="1"/>
      <c r="M2000" s="1"/>
      <c r="N2000" s="1"/>
      <c r="O2000" s="1"/>
      <c r="P2000" s="1"/>
      <c r="Q2000" s="1"/>
      <c r="R2000" s="1"/>
      <c r="S2000" s="1"/>
      <c r="T2000" s="1"/>
      <c r="U2000" s="1"/>
      <c r="V2000" s="1"/>
      <c r="W2000" s="1"/>
      <c r="X2000" s="1"/>
      <c r="Y2000" s="1"/>
      <c r="Z2000" s="1"/>
      <c r="AA2000" s="1"/>
      <c r="AB2000" s="1"/>
    </row>
    <row r="2001" ht="50.25" customHeight="1">
      <c r="A2001" s="12">
        <v>1997.0</v>
      </c>
      <c r="B2001" s="13" t="s">
        <v>1824</v>
      </c>
      <c r="C2001" s="14" t="s">
        <v>2011</v>
      </c>
      <c r="D2001" s="1"/>
      <c r="E2001" s="1"/>
      <c r="F2001" s="1" t="str">
        <f>IFERROR(__xludf.DUMMYFUNCTION("GOOGLETRANSLATE(B2001, ""en"", ""fa"")
"),"وبلاگ نویسی")</f>
        <v>وبلاگ نویسی</v>
      </c>
      <c r="G2001" s="1" t="str">
        <f>IFERROR(__xludf.DUMMYFUNCTION("GOOGLETRANSLATE(C2001, ""en"", ""fa"")
"),"با توجه به شیوع روزافزون دستگاه های فعال کننده صوتی و دستیارهای مجازی، نکاتی را برای بهینه سازی وبلاگ خود برای جستجوی صوتی به اشتراک بگذارید.")</f>
        <v>با توجه به شیوع روزافزون دستگاه های فعال کننده صوتی و دستیارهای مجازی، نکاتی را برای بهینه سازی وبلاگ خود برای جستجوی صوتی به اشتراک بگذارید.</v>
      </c>
      <c r="H2001" s="1"/>
      <c r="I2001" s="1"/>
      <c r="J2001" s="1"/>
      <c r="K2001" s="1"/>
      <c r="L2001" s="1"/>
      <c r="M2001" s="1"/>
      <c r="N2001" s="1"/>
      <c r="O2001" s="1"/>
      <c r="P2001" s="1"/>
      <c r="Q2001" s="1"/>
      <c r="R2001" s="1"/>
      <c r="S2001" s="1"/>
      <c r="T2001" s="1"/>
      <c r="U2001" s="1"/>
      <c r="V2001" s="1"/>
      <c r="W2001" s="1"/>
      <c r="X2001" s="1"/>
      <c r="Y2001" s="1"/>
      <c r="Z2001" s="1"/>
      <c r="AA2001" s="1"/>
      <c r="AB2001" s="1"/>
    </row>
    <row r="2002" ht="50.25" customHeight="1">
      <c r="A2002" s="12">
        <v>1998.0</v>
      </c>
      <c r="B2002" s="13" t="s">
        <v>1824</v>
      </c>
      <c r="C2002" s="14" t="s">
        <v>2012</v>
      </c>
      <c r="D2002" s="1"/>
      <c r="E2002" s="1"/>
      <c r="F2002" s="1" t="str">
        <f>IFERROR(__xludf.DUMMYFUNCTION("GOOGLETRANSLATE(B2002, ""en"", ""fa"")
"),"وبلاگ نویسی")</f>
        <v>وبلاگ نویسی</v>
      </c>
      <c r="G2002" s="1" t="str">
        <f>IFERROR(__xludf.DUMMYFUNCTION("GOOGLETRANSLATE(C2002, ""en"", ""fa"")
"),"در مورد نقش مدیریت محتوا در ارائه ارزش به خوانندگان وبلاگ خود، مدیریت و به اشتراک گذاری منابع مرتبط، مقالات یا اخبار صنعت بحث کنید.")</f>
        <v>در مورد نقش مدیریت محتوا در ارائه ارزش به خوانندگان وبلاگ خود، مدیریت و به اشتراک گذاری منابع مرتبط، مقالات یا اخبار صنعت بحث کنید.</v>
      </c>
      <c r="H2002" s="1"/>
      <c r="I2002" s="1"/>
      <c r="J2002" s="1"/>
      <c r="K2002" s="1"/>
      <c r="L2002" s="1"/>
      <c r="M2002" s="1"/>
      <c r="N2002" s="1"/>
      <c r="O2002" s="1"/>
      <c r="P2002" s="1"/>
      <c r="Q2002" s="1"/>
      <c r="R2002" s="1"/>
      <c r="S2002" s="1"/>
      <c r="T2002" s="1"/>
      <c r="U2002" s="1"/>
      <c r="V2002" s="1"/>
      <c r="W2002" s="1"/>
      <c r="X2002" s="1"/>
      <c r="Y2002" s="1"/>
      <c r="Z2002" s="1"/>
      <c r="AA2002" s="1"/>
      <c r="AB2002" s="1"/>
    </row>
    <row r="2003" ht="50.25" customHeight="1">
      <c r="A2003" s="12">
        <v>1999.0</v>
      </c>
      <c r="B2003" s="13" t="s">
        <v>1824</v>
      </c>
      <c r="C2003" s="14" t="s">
        <v>2013</v>
      </c>
      <c r="D2003" s="1"/>
      <c r="E2003" s="1"/>
      <c r="F2003" s="1" t="str">
        <f>IFERROR(__xludf.DUMMYFUNCTION("GOOGLETRANSLATE(B2003, ""en"", ""fa"")
"),"وبلاگ نویسی")</f>
        <v>وبلاگ نویسی</v>
      </c>
      <c r="G2003" s="1" t="str">
        <f>IFERROR(__xludf.DUMMYFUNCTION("GOOGLETRANSLATE(C2003, ""en"", ""fa"")
"),"راه‌های مختلف برای گنجاندن عناصر داستان‌سرایی، مانند حکایات یا روایت‌های شخصی، در پست‌های وبلاگ خود را بررسی کنید تا با خوانندگان در سطح احساسی ارتباط برقرار کنید.")</f>
        <v>راه‌های مختلف برای گنجاندن عناصر داستان‌سرایی، مانند حکایات یا روایت‌های شخصی، در پست‌های وبلاگ خود را بررسی کنید تا با خوانندگان در سطح احساسی ارتباط برقرار کنید.</v>
      </c>
      <c r="H2003" s="1"/>
      <c r="I2003" s="1"/>
      <c r="J2003" s="1"/>
      <c r="K2003" s="1"/>
      <c r="L2003" s="1"/>
      <c r="M2003" s="1"/>
      <c r="N2003" s="1"/>
      <c r="O2003" s="1"/>
      <c r="P2003" s="1"/>
      <c r="Q2003" s="1"/>
      <c r="R2003" s="1"/>
      <c r="S2003" s="1"/>
      <c r="T2003" s="1"/>
      <c r="U2003" s="1"/>
      <c r="V2003" s="1"/>
      <c r="W2003" s="1"/>
      <c r="X2003" s="1"/>
      <c r="Y2003" s="1"/>
      <c r="Z2003" s="1"/>
      <c r="AA2003" s="1"/>
      <c r="AB2003" s="1"/>
    </row>
    <row r="2004" ht="50.25" customHeight="1">
      <c r="A2004" s="12">
        <v>2000.0</v>
      </c>
      <c r="B2004" s="13" t="s">
        <v>1824</v>
      </c>
      <c r="C2004" s="14" t="s">
        <v>2014</v>
      </c>
      <c r="D2004" s="1"/>
      <c r="E2004" s="1"/>
      <c r="F2004" s="1" t="str">
        <f>IFERROR(__xludf.DUMMYFUNCTION("GOOGLETRANSLATE(B2004, ""en"", ""fa"")
"),"وبلاگ نویسی")</f>
        <v>وبلاگ نویسی</v>
      </c>
      <c r="G2004" s="1" t="str">
        <f>IFERROR(__xludf.DUMMYFUNCTION("GOOGLETRANSLATE(C2004, ""en"", ""fa"")
"),"استراتژی‌هایی را برای ایجاد فهرست ایمیل از خوانندگان وبلاگ خود به اشتراک بگذارید، از جمله مشوق‌های انتخاب، اشتراک در خبرنامه، یا ارتقاء محتوا.")</f>
        <v>استراتژی‌هایی را برای ایجاد فهرست ایمیل از خوانندگان وبلاگ خود به اشتراک بگذارید، از جمله مشوق‌های انتخاب، اشتراک در خبرنامه، یا ارتقاء محتوا.</v>
      </c>
      <c r="H2004" s="1"/>
      <c r="I2004" s="1"/>
      <c r="J2004" s="1"/>
      <c r="K2004" s="1"/>
      <c r="L2004" s="1"/>
      <c r="M2004" s="1"/>
      <c r="N2004" s="1"/>
      <c r="O2004" s="1"/>
      <c r="P2004" s="1"/>
      <c r="Q2004" s="1"/>
      <c r="R2004" s="1"/>
      <c r="S2004" s="1"/>
      <c r="T2004" s="1"/>
      <c r="U2004" s="1"/>
      <c r="V2004" s="1"/>
      <c r="W2004" s="1"/>
      <c r="X2004" s="1"/>
      <c r="Y2004" s="1"/>
      <c r="Z2004" s="1"/>
      <c r="AA2004" s="1"/>
      <c r="AB2004" s="1"/>
    </row>
    <row r="2005" ht="50.25" customHeight="1">
      <c r="A2005" s="12">
        <v>2001.0</v>
      </c>
      <c r="B2005" s="13" t="s">
        <v>1824</v>
      </c>
      <c r="C2005" s="14" t="s">
        <v>2015</v>
      </c>
      <c r="D2005" s="1"/>
      <c r="E2005" s="1"/>
      <c r="F2005" s="1" t="str">
        <f>IFERROR(__xludf.DUMMYFUNCTION("GOOGLETRANSLATE(B2005, ""en"", ""fa"")
"),"وبلاگ نویسی")</f>
        <v>وبلاگ نویسی</v>
      </c>
      <c r="G2005" s="1" t="str">
        <f>IFERROR(__xludf.DUMMYFUNCTION("GOOGLETRANSLATE(C2005, ""en"", ""fa"")
"),"در مورد اهمیت تعامل با خوانندگان وبلاگ خود از طریق نظرات و تقویت حس اجتماع و گفتگو بحث کنید.")</f>
        <v>در مورد اهمیت تعامل با خوانندگان وبلاگ خود از طریق نظرات و تقویت حس اجتماع و گفتگو بحث کنید.</v>
      </c>
      <c r="H2005" s="1"/>
      <c r="I2005" s="1"/>
      <c r="J2005" s="1"/>
      <c r="K2005" s="1"/>
      <c r="L2005" s="1"/>
      <c r="M2005" s="1"/>
      <c r="N2005" s="1"/>
      <c r="O2005" s="1"/>
      <c r="P2005" s="1"/>
      <c r="Q2005" s="1"/>
      <c r="R2005" s="1"/>
      <c r="S2005" s="1"/>
      <c r="T2005" s="1"/>
      <c r="U2005" s="1"/>
      <c r="V2005" s="1"/>
      <c r="W2005" s="1"/>
      <c r="X2005" s="1"/>
      <c r="Y2005" s="1"/>
      <c r="Z2005" s="1"/>
      <c r="AA2005" s="1"/>
      <c r="AB2005" s="1"/>
    </row>
    <row r="2006" ht="50.25" customHeight="1">
      <c r="A2006" s="12">
        <v>2002.0</v>
      </c>
      <c r="B2006" s="13" t="s">
        <v>1824</v>
      </c>
      <c r="C2006" s="14" t="s">
        <v>2016</v>
      </c>
      <c r="D2006" s="1"/>
      <c r="E2006" s="1"/>
      <c r="F2006" s="1" t="str">
        <f>IFERROR(__xludf.DUMMYFUNCTION("GOOGLETRANSLATE(B2006, ""en"", ""fa"")
"),"وبلاگ نویسی")</f>
        <v>وبلاگ نویسی</v>
      </c>
      <c r="G2006" s="1" t="str">
        <f>IFERROR(__xludf.DUMMYFUNCTION("GOOGLETRANSLATE(C2006, ""en"", ""fa"")
"),"مزایای انجام نظرسنجی یا نظرسنجی در میان خوانندگان وبلاگ خود را برای جمع آوری بازخورد، بینش و ایده برای محتوای آینده بررسی کنید.")</f>
        <v>مزایای انجام نظرسنجی یا نظرسنجی در میان خوانندگان وبلاگ خود را برای جمع آوری بازخورد، بینش و ایده برای محتوای آینده بررسی کنید.</v>
      </c>
      <c r="H2006" s="1"/>
      <c r="I2006" s="1"/>
      <c r="J2006" s="1"/>
      <c r="K2006" s="1"/>
      <c r="L2006" s="1"/>
      <c r="M2006" s="1"/>
      <c r="N2006" s="1"/>
      <c r="O2006" s="1"/>
      <c r="P2006" s="1"/>
      <c r="Q2006" s="1"/>
      <c r="R2006" s="1"/>
      <c r="S2006" s="1"/>
      <c r="T2006" s="1"/>
      <c r="U2006" s="1"/>
      <c r="V2006" s="1"/>
      <c r="W2006" s="1"/>
      <c r="X2006" s="1"/>
      <c r="Y2006" s="1"/>
      <c r="Z2006" s="1"/>
      <c r="AA2006" s="1"/>
      <c r="AB2006" s="1"/>
    </row>
    <row r="2007" ht="50.25" customHeight="1">
      <c r="A2007" s="12">
        <v>2003.0</v>
      </c>
      <c r="B2007" s="13" t="s">
        <v>1824</v>
      </c>
      <c r="C2007" s="14" t="s">
        <v>2017</v>
      </c>
      <c r="D2007" s="1"/>
      <c r="E2007" s="1"/>
      <c r="F2007" s="1" t="str">
        <f>IFERROR(__xludf.DUMMYFUNCTION("GOOGLETRANSLATE(B2007, ""en"", ""fa"")
"),"وبلاگ نویسی")</f>
        <v>وبلاگ نویسی</v>
      </c>
      <c r="G2007" s="1" t="str">
        <f>IFERROR(__xludf.DUMMYFUNCTION("GOOGLETRANSLATE(C2007, ""en"", ""fa"")
"),"نکاتی را برای تغییر کاربری محتوای وبلاگ خود در پست های رسانه های اجتماعی، ایجاد قطعات، نقل قول ها یا نکات کلیدی برای بازگرداندن ترافیک به وبلاگ خود به اشتراک بگذارید.")</f>
        <v>نکاتی را برای تغییر کاربری محتوای وبلاگ خود در پست های رسانه های اجتماعی، ایجاد قطعات، نقل قول ها یا نکات کلیدی برای بازگرداندن ترافیک به وبلاگ خود به اشتراک بگذارید.</v>
      </c>
      <c r="H2007" s="1"/>
      <c r="I2007" s="1"/>
      <c r="J2007" s="1"/>
      <c r="K2007" s="1"/>
      <c r="L2007" s="1"/>
      <c r="M2007" s="1"/>
      <c r="N2007" s="1"/>
      <c r="O2007" s="1"/>
      <c r="P2007" s="1"/>
      <c r="Q2007" s="1"/>
      <c r="R2007" s="1"/>
      <c r="S2007" s="1"/>
      <c r="T2007" s="1"/>
      <c r="U2007" s="1"/>
      <c r="V2007" s="1"/>
      <c r="W2007" s="1"/>
      <c r="X2007" s="1"/>
      <c r="Y2007" s="1"/>
      <c r="Z2007" s="1"/>
      <c r="AA2007" s="1"/>
      <c r="AB2007" s="1"/>
    </row>
    <row r="2008" ht="50.25" customHeight="1">
      <c r="A2008" s="12">
        <v>2004.0</v>
      </c>
      <c r="B2008" s="13" t="s">
        <v>1824</v>
      </c>
      <c r="C2008" s="14" t="s">
        <v>2018</v>
      </c>
      <c r="D2008" s="1"/>
      <c r="E2008" s="1"/>
      <c r="F2008" s="1" t="str">
        <f>IFERROR(__xludf.DUMMYFUNCTION("GOOGLETRANSLATE(B2008, ""en"", ""fa"")
"),"وبلاگ نویسی")</f>
        <v>وبلاگ نویسی</v>
      </c>
      <c r="G2008" s="1" t="str">
        <f>IFERROR(__xludf.DUMMYFUNCTION("GOOGLETRANSLATE(C2008, ""en"", ""fa"")
"),"در مورد نقش محتوای طولانی در استراتژی وبلاگ خود بحث کنید و مزایای مقالات یا راهنماهای عمیق را بررسی کنید که اطلاعات جامعی را در اختیار مخاطبان شما قرار می دهد.")</f>
        <v>در مورد نقش محتوای طولانی در استراتژی وبلاگ خود بحث کنید و مزایای مقالات یا راهنماهای عمیق را بررسی کنید که اطلاعات جامعی را در اختیار مخاطبان شما قرار می دهد.</v>
      </c>
      <c r="H2008" s="1"/>
      <c r="I2008" s="1"/>
      <c r="J2008" s="1"/>
      <c r="K2008" s="1"/>
      <c r="L2008" s="1"/>
      <c r="M2008" s="1"/>
      <c r="N2008" s="1"/>
      <c r="O2008" s="1"/>
      <c r="P2008" s="1"/>
      <c r="Q2008" s="1"/>
      <c r="R2008" s="1"/>
      <c r="S2008" s="1"/>
      <c r="T2008" s="1"/>
      <c r="U2008" s="1"/>
      <c r="V2008" s="1"/>
      <c r="W2008" s="1"/>
      <c r="X2008" s="1"/>
      <c r="Y2008" s="1"/>
      <c r="Z2008" s="1"/>
      <c r="AA2008" s="1"/>
      <c r="AB2008" s="1"/>
    </row>
    <row r="2009" ht="50.25" customHeight="1">
      <c r="A2009" s="12">
        <v>2005.0</v>
      </c>
      <c r="B2009" s="13" t="s">
        <v>1824</v>
      </c>
      <c r="C2009" s="14" t="s">
        <v>2019</v>
      </c>
      <c r="D2009" s="1"/>
      <c r="E2009" s="1"/>
      <c r="F2009" s="1" t="str">
        <f>IFERROR(__xludf.DUMMYFUNCTION("GOOGLETRANSLATE(B2009, ""en"", ""fa"")
"),"وبلاگ نویسی")</f>
        <v>وبلاگ نویسی</v>
      </c>
      <c r="G2009" s="1" t="str">
        <f>IFERROR(__xludf.DUMMYFUNCTION("GOOGLETRANSLATE(C2009, ""en"", ""fa"")
"),"راه های مختلفی را برای بهینه سازی وبلاگ خود برای جستجوی محلی، هدف قرار دادن کلمات کلیدی و موضوعات مرتبط با موقعیت جغرافیایی خود کاوش کنید.")</f>
        <v>راه های مختلفی را برای بهینه سازی وبلاگ خود برای جستجوی محلی، هدف قرار دادن کلمات کلیدی و موضوعات مرتبط با موقعیت جغرافیایی خود کاوش کنید.</v>
      </c>
      <c r="H2009" s="1"/>
      <c r="I2009" s="1"/>
      <c r="J2009" s="1"/>
      <c r="K2009" s="1"/>
      <c r="L2009" s="1"/>
      <c r="M2009" s="1"/>
      <c r="N2009" s="1"/>
      <c r="O2009" s="1"/>
      <c r="P2009" s="1"/>
      <c r="Q2009" s="1"/>
      <c r="R2009" s="1"/>
      <c r="S2009" s="1"/>
      <c r="T2009" s="1"/>
      <c r="U2009" s="1"/>
      <c r="V2009" s="1"/>
      <c r="W2009" s="1"/>
      <c r="X2009" s="1"/>
      <c r="Y2009" s="1"/>
      <c r="Z2009" s="1"/>
      <c r="AA2009" s="1"/>
      <c r="AB2009" s="1"/>
    </row>
    <row r="2010" ht="50.25" customHeight="1">
      <c r="A2010" s="12">
        <v>2006.0</v>
      </c>
      <c r="B2010" s="13" t="s">
        <v>1824</v>
      </c>
      <c r="C2010" s="14" t="s">
        <v>2020</v>
      </c>
      <c r="D2010" s="1"/>
      <c r="E2010" s="1"/>
      <c r="F2010" s="1" t="str">
        <f>IFERROR(__xludf.DUMMYFUNCTION("GOOGLETRANSLATE(B2010, ""en"", ""fa"")
"),"وبلاگ نویسی")</f>
        <v>وبلاگ نویسی</v>
      </c>
      <c r="G2010" s="1" t="str">
        <f>IFERROR(__xludf.DUMMYFUNCTION("GOOGLETRANSLATE(C2010, ""en"", ""fa"")
"),"استراتژی‌هایی را برای استفاده از محتوای تولید شده توسط کاربر، مانند ارسال‌های خواننده یا توصیفات، به‌عنوان الهام‌بخش پست وبلاگ یا محتوای ویژه به اشتراک بگذارید.")</f>
        <v>استراتژی‌هایی را برای استفاده از محتوای تولید شده توسط کاربر، مانند ارسال‌های خواننده یا توصیفات، به‌عنوان الهام‌بخش پست وبلاگ یا محتوای ویژه به اشتراک بگذارید.</v>
      </c>
      <c r="H2010" s="1"/>
      <c r="I2010" s="1"/>
      <c r="J2010" s="1"/>
      <c r="K2010" s="1"/>
      <c r="L2010" s="1"/>
      <c r="M2010" s="1"/>
      <c r="N2010" s="1"/>
      <c r="O2010" s="1"/>
      <c r="P2010" s="1"/>
      <c r="Q2010" s="1"/>
      <c r="R2010" s="1"/>
      <c r="S2010" s="1"/>
      <c r="T2010" s="1"/>
      <c r="U2010" s="1"/>
      <c r="V2010" s="1"/>
      <c r="W2010" s="1"/>
      <c r="X2010" s="1"/>
      <c r="Y2010" s="1"/>
      <c r="Z2010" s="1"/>
      <c r="AA2010" s="1"/>
      <c r="AB2010" s="1"/>
    </row>
    <row r="2011" ht="50.25" customHeight="1">
      <c r="A2011" s="12">
        <v>2007.0</v>
      </c>
      <c r="B2011" s="13" t="s">
        <v>1824</v>
      </c>
      <c r="C2011" s="14" t="s">
        <v>2021</v>
      </c>
      <c r="D2011" s="1"/>
      <c r="E2011" s="1"/>
      <c r="F2011" s="1" t="str">
        <f>IFERROR(__xludf.DUMMYFUNCTION("GOOGLETRANSLATE(B2011, ""en"", ""fa"")
"),"وبلاگ نویسی")</f>
        <v>وبلاگ نویسی</v>
      </c>
      <c r="G2011" s="1" t="str">
        <f>IFERROR(__xludf.DUMMYFUNCTION("GOOGLETRANSLATE(C2011, ""en"", ""fa"")
"),"در مورد اهمیت صحت و شفافیت در نوشتن وبلاگ خود، به اشتراک گذاری تجربیات شخصی، چالش ها و درس های آموخته شده با مخاطبان خود بحث کنید.")</f>
        <v>در مورد اهمیت صحت و شفافیت در نوشتن وبلاگ خود، به اشتراک گذاری تجربیات شخصی، چالش ها و درس های آموخته شده با مخاطبان خود بحث کنید.</v>
      </c>
      <c r="H2011" s="1"/>
      <c r="I2011" s="1"/>
      <c r="J2011" s="1"/>
      <c r="K2011" s="1"/>
      <c r="L2011" s="1"/>
      <c r="M2011" s="1"/>
      <c r="N2011" s="1"/>
      <c r="O2011" s="1"/>
      <c r="P2011" s="1"/>
      <c r="Q2011" s="1"/>
      <c r="R2011" s="1"/>
      <c r="S2011" s="1"/>
      <c r="T2011" s="1"/>
      <c r="U2011" s="1"/>
      <c r="V2011" s="1"/>
      <c r="W2011" s="1"/>
      <c r="X2011" s="1"/>
      <c r="Y2011" s="1"/>
      <c r="Z2011" s="1"/>
      <c r="AA2011" s="1"/>
      <c r="AB2011" s="1"/>
    </row>
    <row r="2012" ht="50.25" customHeight="1">
      <c r="A2012" s="12">
        <v>2008.0</v>
      </c>
      <c r="B2012" s="13" t="s">
        <v>1824</v>
      </c>
      <c r="C2012" s="14" t="s">
        <v>2022</v>
      </c>
      <c r="D2012" s="1"/>
      <c r="E2012" s="1"/>
      <c r="F2012" s="1" t="str">
        <f>IFERROR(__xludf.DUMMYFUNCTION("GOOGLETRANSLATE(B2012, ""en"", ""fa"")
"),"وبلاگ نویسی")</f>
        <v>وبلاگ نویسی</v>
      </c>
      <c r="G2012" s="1" t="str">
        <f>IFERROR(__xludf.DUMMYFUNCTION("GOOGLETRANSLATE(C2012, ""en"", ""fa"")
"),"استراتژی هایی را برای تعیین اهداف موثر و تجزیه آنها به مراحل عملی برای افزایش بهره وری به اشتراک بگذارید.")</f>
        <v>استراتژی هایی را برای تعیین اهداف موثر و تجزیه آنها به مراحل عملی برای افزایش بهره وری به اشتراک بگذارید.</v>
      </c>
      <c r="H2012" s="1"/>
      <c r="I2012" s="1"/>
      <c r="J2012" s="1"/>
      <c r="K2012" s="1"/>
      <c r="L2012" s="1"/>
      <c r="M2012" s="1"/>
      <c r="N2012" s="1"/>
      <c r="O2012" s="1"/>
      <c r="P2012" s="1"/>
      <c r="Q2012" s="1"/>
      <c r="R2012" s="1"/>
      <c r="S2012" s="1"/>
      <c r="T2012" s="1"/>
      <c r="U2012" s="1"/>
      <c r="V2012" s="1"/>
      <c r="W2012" s="1"/>
      <c r="X2012" s="1"/>
      <c r="Y2012" s="1"/>
      <c r="Z2012" s="1"/>
      <c r="AA2012" s="1"/>
      <c r="AB2012" s="1"/>
    </row>
    <row r="2013" ht="50.25" customHeight="1">
      <c r="A2013" s="12">
        <v>2009.0</v>
      </c>
      <c r="B2013" s="13" t="s">
        <v>1824</v>
      </c>
      <c r="C2013" s="14" t="s">
        <v>2023</v>
      </c>
      <c r="D2013" s="1"/>
      <c r="E2013" s="1"/>
      <c r="F2013" s="1" t="str">
        <f>IFERROR(__xludf.DUMMYFUNCTION("GOOGLETRANSLATE(B2013, ""en"", ""fa"")
"),"وبلاگ نویسی")</f>
        <v>وبلاگ نویسی</v>
      </c>
      <c r="G2013" s="1" t="str">
        <f>IFERROR(__xludf.DUMMYFUNCTION("GOOGLETRANSLATE(C2013, ""en"", ""fa"")
"),"در مورد اهمیت اولویت بندی وظایف بر اساس اهمیت و فوریت آنها برای بهینه سازی مدیریت زمان بحث کنید.")</f>
        <v>در مورد اهمیت اولویت بندی وظایف بر اساس اهمیت و فوریت آنها برای بهینه سازی مدیریت زمان بحث کنید.</v>
      </c>
      <c r="H2013" s="1"/>
      <c r="I2013" s="1"/>
      <c r="J2013" s="1"/>
      <c r="K2013" s="1"/>
      <c r="L2013" s="1"/>
      <c r="M2013" s="1"/>
      <c r="N2013" s="1"/>
      <c r="O2013" s="1"/>
      <c r="P2013" s="1"/>
      <c r="Q2013" s="1"/>
      <c r="R2013" s="1"/>
      <c r="S2013" s="1"/>
      <c r="T2013" s="1"/>
      <c r="U2013" s="1"/>
      <c r="V2013" s="1"/>
      <c r="W2013" s="1"/>
      <c r="X2013" s="1"/>
      <c r="Y2013" s="1"/>
      <c r="Z2013" s="1"/>
      <c r="AA2013" s="1"/>
      <c r="AB2013" s="1"/>
    </row>
    <row r="2014" ht="50.25" customHeight="1">
      <c r="A2014" s="12">
        <v>2010.0</v>
      </c>
      <c r="B2014" s="13" t="s">
        <v>1824</v>
      </c>
      <c r="C2014" s="14" t="s">
        <v>2024</v>
      </c>
      <c r="D2014" s="1"/>
      <c r="E2014" s="1"/>
      <c r="F2014" s="1" t="str">
        <f>IFERROR(__xludf.DUMMYFUNCTION("GOOGLETRANSLATE(B2014, ""en"", ""fa"")
"),"وبلاگ نویسی")</f>
        <v>وبلاگ نویسی</v>
      </c>
      <c r="G2014" s="1" t="str">
        <f>IFERROR(__xludf.DUMMYFUNCTION("GOOGLETRANSLATE(C2014, ""en"", ""fa"")
"),"تکنیک های مختلف برای مدیریت حواس پرتی و حفظ تمرکز، مانند مسدود کردن زمان یا اجرای تایمر پومودورو را کاوش کنید.")</f>
        <v>تکنیک های مختلف برای مدیریت حواس پرتی و حفظ تمرکز، مانند مسدود کردن زمان یا اجرای تایمر پومودورو را کاوش کنید.</v>
      </c>
      <c r="H2014" s="1"/>
      <c r="I2014" s="1"/>
      <c r="J2014" s="1"/>
      <c r="K2014" s="1"/>
      <c r="L2014" s="1"/>
      <c r="M2014" s="1"/>
      <c r="N2014" s="1"/>
      <c r="O2014" s="1"/>
      <c r="P2014" s="1"/>
      <c r="Q2014" s="1"/>
      <c r="R2014" s="1"/>
      <c r="S2014" s="1"/>
      <c r="T2014" s="1"/>
      <c r="U2014" s="1"/>
      <c r="V2014" s="1"/>
      <c r="W2014" s="1"/>
      <c r="X2014" s="1"/>
      <c r="Y2014" s="1"/>
      <c r="Z2014" s="1"/>
      <c r="AA2014" s="1"/>
      <c r="AB2014" s="1"/>
    </row>
    <row r="2015" ht="50.25" customHeight="1">
      <c r="A2015" s="12">
        <v>2011.0</v>
      </c>
      <c r="B2015" s="13" t="s">
        <v>2025</v>
      </c>
      <c r="C2015" s="14" t="s">
        <v>2026</v>
      </c>
      <c r="D2015" s="1"/>
      <c r="E2015" s="1"/>
      <c r="F2015" s="1" t="str">
        <f>IFERROR(__xludf.DUMMYFUNCTION("GOOGLETRANSLATE(B2015, ""en"", ""fa"")
"),"بهره وری و مدیریت زمان")</f>
        <v>بهره وری و مدیریت زمان</v>
      </c>
      <c r="G2015" s="1" t="str">
        <f>IFERROR(__xludf.DUMMYFUNCTION("GOOGLETRANSLATE(C2015, ""en"", ""fa"")
"),"نکاتی را برای ایجاد یک برنامه صبحگاهی مولد برای شروع روز با پای راست و به حداکثر رساندن کارایی به اشتراک بگذارید.")</f>
        <v>نکاتی را برای ایجاد یک برنامه صبحگاهی مولد برای شروع روز با پای راست و به حداکثر رساندن کارایی به اشتراک بگذارید.</v>
      </c>
      <c r="H2015" s="1"/>
      <c r="I2015" s="1"/>
      <c r="J2015" s="1"/>
      <c r="K2015" s="1"/>
      <c r="L2015" s="1"/>
      <c r="M2015" s="1"/>
      <c r="N2015" s="1"/>
      <c r="O2015" s="1"/>
      <c r="P2015" s="1"/>
      <c r="Q2015" s="1"/>
      <c r="R2015" s="1"/>
      <c r="S2015" s="1"/>
      <c r="T2015" s="1"/>
      <c r="U2015" s="1"/>
      <c r="V2015" s="1"/>
      <c r="W2015" s="1"/>
      <c r="X2015" s="1"/>
      <c r="Y2015" s="1"/>
      <c r="Z2015" s="1"/>
      <c r="AA2015" s="1"/>
      <c r="AB2015" s="1"/>
    </row>
    <row r="2016" ht="50.25" customHeight="1">
      <c r="A2016" s="12">
        <v>2012.0</v>
      </c>
      <c r="B2016" s="13" t="s">
        <v>2025</v>
      </c>
      <c r="C2016" s="14" t="s">
        <v>2027</v>
      </c>
      <c r="D2016" s="1"/>
      <c r="E2016" s="1"/>
      <c r="F2016" s="1" t="str">
        <f>IFERROR(__xludf.DUMMYFUNCTION("GOOGLETRANSLATE(B2016, ""en"", ""fa"")
"),"بهره وری و مدیریت زمان")</f>
        <v>بهره وری و مدیریت زمان</v>
      </c>
      <c r="G2016" s="1" t="str">
        <f>IFERROR(__xludf.DUMMYFUNCTION("GOOGLETRANSLATE(C2016, ""en"", ""fa"")
"),"در مورد مزایای استفاده از ابزارها و برنامه‌های بهره‌وری، مانند مدیران وظیفه یا نرم‌افزارهای مدیریت پروژه، برای سازماندهی و ساده‌سازی گردش‌های کاری بحث کنید.")</f>
        <v>در مورد مزایای استفاده از ابزارها و برنامه‌های بهره‌وری، مانند مدیران وظیفه یا نرم‌افزارهای مدیریت پروژه، برای سازماندهی و ساده‌سازی گردش‌های کاری بحث کنید.</v>
      </c>
      <c r="H2016" s="1"/>
      <c r="I2016" s="1"/>
      <c r="J2016" s="1"/>
      <c r="K2016" s="1"/>
      <c r="L2016" s="1"/>
      <c r="M2016" s="1"/>
      <c r="N2016" s="1"/>
      <c r="O2016" s="1"/>
      <c r="P2016" s="1"/>
      <c r="Q2016" s="1"/>
      <c r="R2016" s="1"/>
      <c r="S2016" s="1"/>
      <c r="T2016" s="1"/>
      <c r="U2016" s="1"/>
      <c r="V2016" s="1"/>
      <c r="W2016" s="1"/>
      <c r="X2016" s="1"/>
      <c r="Y2016" s="1"/>
      <c r="Z2016" s="1"/>
      <c r="AA2016" s="1"/>
      <c r="AB2016" s="1"/>
    </row>
    <row r="2017" ht="50.25" customHeight="1">
      <c r="A2017" s="12">
        <v>2013.0</v>
      </c>
      <c r="B2017" s="13" t="s">
        <v>2025</v>
      </c>
      <c r="C2017" s="14" t="s">
        <v>2028</v>
      </c>
      <c r="D2017" s="1"/>
      <c r="E2017" s="1"/>
      <c r="F2017" s="1" t="str">
        <f>IFERROR(__xludf.DUMMYFUNCTION("GOOGLETRANSLATE(B2017, ""en"", ""fa"")
"),"بهره وری و مدیریت زمان")</f>
        <v>بهره وری و مدیریت زمان</v>
      </c>
      <c r="G2017" s="1" t="str">
        <f>IFERROR(__xludf.DUMMYFUNCTION("GOOGLETRANSLATE(C2017, ""en"", ""fa"")
"),"استراتژی هایی را برای غلبه بر اهمال کاری و تقویت انگیزه برای مقابله مستقیم با وظایف کاوش کنید.")</f>
        <v>استراتژی هایی را برای غلبه بر اهمال کاری و تقویت انگیزه برای مقابله مستقیم با وظایف کاوش کنید.</v>
      </c>
      <c r="H2017" s="1"/>
      <c r="I2017" s="1"/>
      <c r="J2017" s="1"/>
      <c r="K2017" s="1"/>
      <c r="L2017" s="1"/>
      <c r="M2017" s="1"/>
      <c r="N2017" s="1"/>
      <c r="O2017" s="1"/>
      <c r="P2017" s="1"/>
      <c r="Q2017" s="1"/>
      <c r="R2017" s="1"/>
      <c r="S2017" s="1"/>
      <c r="T2017" s="1"/>
      <c r="U2017" s="1"/>
      <c r="V2017" s="1"/>
      <c r="W2017" s="1"/>
      <c r="X2017" s="1"/>
      <c r="Y2017" s="1"/>
      <c r="Z2017" s="1"/>
      <c r="AA2017" s="1"/>
      <c r="AB2017" s="1"/>
    </row>
    <row r="2018" ht="50.25" customHeight="1">
      <c r="A2018" s="12">
        <v>2014.0</v>
      </c>
      <c r="B2018" s="13" t="s">
        <v>2025</v>
      </c>
      <c r="C2018" s="14" t="s">
        <v>2029</v>
      </c>
      <c r="D2018" s="1"/>
      <c r="E2018" s="1"/>
      <c r="F2018" s="1" t="str">
        <f>IFERROR(__xludf.DUMMYFUNCTION("GOOGLETRANSLATE(B2018, ""en"", ""fa"")
"),"بهره وری و مدیریت زمان")</f>
        <v>بهره وری و مدیریت زمان</v>
      </c>
      <c r="G2018" s="1" t="str">
        <f>IFERROR(__xludf.DUMMYFUNCTION("GOOGLETRANSLATE(C2018, ""en"", ""fa"")
"),"تکنیک هایی را برای مدیریت موثر اضافه بار ایمیل و پیاده سازی سیستم های سازمان صندوق ورودی به اشتراک بگذارید.")</f>
        <v>تکنیک هایی را برای مدیریت موثر اضافه بار ایمیل و پیاده سازی سیستم های سازمان صندوق ورودی به اشتراک بگذارید.</v>
      </c>
      <c r="H2018" s="1"/>
      <c r="I2018" s="1"/>
      <c r="J2018" s="1"/>
      <c r="K2018" s="1"/>
      <c r="L2018" s="1"/>
      <c r="M2018" s="1"/>
      <c r="N2018" s="1"/>
      <c r="O2018" s="1"/>
      <c r="P2018" s="1"/>
      <c r="Q2018" s="1"/>
      <c r="R2018" s="1"/>
      <c r="S2018" s="1"/>
      <c r="T2018" s="1"/>
      <c r="U2018" s="1"/>
      <c r="V2018" s="1"/>
      <c r="W2018" s="1"/>
      <c r="X2018" s="1"/>
      <c r="Y2018" s="1"/>
      <c r="Z2018" s="1"/>
      <c r="AA2018" s="1"/>
      <c r="AB2018" s="1"/>
    </row>
    <row r="2019" ht="50.25" customHeight="1">
      <c r="A2019" s="12">
        <v>2015.0</v>
      </c>
      <c r="B2019" s="13" t="s">
        <v>2025</v>
      </c>
      <c r="C2019" s="14" t="s">
        <v>2030</v>
      </c>
      <c r="D2019" s="1"/>
      <c r="E2019" s="1"/>
      <c r="F2019" s="1" t="str">
        <f>IFERROR(__xludf.DUMMYFUNCTION("GOOGLETRANSLATE(B2019, ""en"", ""fa"")
"),"بهره وری و مدیریت زمان")</f>
        <v>بهره وری و مدیریت زمان</v>
      </c>
      <c r="G2019" s="1" t="str">
        <f>IFERROR(__xludf.DUMMYFUNCTION("GOOGLETRANSLATE(C2019, ""en"", ""fa"")
"),"در مورد اهمیت حفظ تعادل کار و زندگی سالم و اجرای مرزها برای جلوگیری از فرسودگی شغلی و افزایش بهره وری بحث کنید.")</f>
        <v>در مورد اهمیت حفظ تعادل کار و زندگی سالم و اجرای مرزها برای جلوگیری از فرسودگی شغلی و افزایش بهره وری بحث کنید.</v>
      </c>
      <c r="H2019" s="1"/>
      <c r="I2019" s="1"/>
      <c r="J2019" s="1"/>
      <c r="K2019" s="1"/>
      <c r="L2019" s="1"/>
      <c r="M2019" s="1"/>
      <c r="N2019" s="1"/>
      <c r="O2019" s="1"/>
      <c r="P2019" s="1"/>
      <c r="Q2019" s="1"/>
      <c r="R2019" s="1"/>
      <c r="S2019" s="1"/>
      <c r="T2019" s="1"/>
      <c r="U2019" s="1"/>
      <c r="V2019" s="1"/>
      <c r="W2019" s="1"/>
      <c r="X2019" s="1"/>
      <c r="Y2019" s="1"/>
      <c r="Z2019" s="1"/>
      <c r="AA2019" s="1"/>
      <c r="AB2019" s="1"/>
    </row>
    <row r="2020" ht="50.25" customHeight="1">
      <c r="A2020" s="12">
        <v>2016.0</v>
      </c>
      <c r="B2020" s="13" t="s">
        <v>2025</v>
      </c>
      <c r="C2020" s="14" t="s">
        <v>2031</v>
      </c>
      <c r="D2020" s="1"/>
      <c r="E2020" s="1"/>
      <c r="F2020" s="1" t="str">
        <f>IFERROR(__xludf.DUMMYFUNCTION("GOOGLETRANSLATE(B2020, ""en"", ""fa"")
"),"بهره وری و مدیریت زمان")</f>
        <v>بهره وری و مدیریت زمان</v>
      </c>
      <c r="G2020" s="1" t="str">
        <f>IFERROR(__xludf.DUMMYFUNCTION("GOOGLETRANSLATE(C2020, ""en"", ""fa"")
"),"روش های مختلف برای بهبود مهارت های تصمیم گیری و جلوگیری از فلج تجزیه و تحلیل را بررسی کنید.")</f>
        <v>روش های مختلف برای بهبود مهارت های تصمیم گیری و جلوگیری از فلج تجزیه و تحلیل را بررسی کنید.</v>
      </c>
      <c r="H2020" s="1"/>
      <c r="I2020" s="1"/>
      <c r="J2020" s="1"/>
      <c r="K2020" s="1"/>
      <c r="L2020" s="1"/>
      <c r="M2020" s="1"/>
      <c r="N2020" s="1"/>
      <c r="O2020" s="1"/>
      <c r="P2020" s="1"/>
      <c r="Q2020" s="1"/>
      <c r="R2020" s="1"/>
      <c r="S2020" s="1"/>
      <c r="T2020" s="1"/>
      <c r="U2020" s="1"/>
      <c r="V2020" s="1"/>
      <c r="W2020" s="1"/>
      <c r="X2020" s="1"/>
      <c r="Y2020" s="1"/>
      <c r="Z2020" s="1"/>
      <c r="AA2020" s="1"/>
      <c r="AB2020" s="1"/>
    </row>
    <row r="2021" ht="50.25" customHeight="1">
      <c r="A2021" s="12">
        <v>2017.0</v>
      </c>
      <c r="B2021" s="13" t="s">
        <v>2025</v>
      </c>
      <c r="C2021" s="14" t="s">
        <v>2032</v>
      </c>
      <c r="D2021" s="1"/>
      <c r="E2021" s="1"/>
      <c r="F2021" s="1" t="str">
        <f>IFERROR(__xludf.DUMMYFUNCTION("GOOGLETRANSLATE(B2021, ""en"", ""fa"")
"),"بهره وری و مدیریت زمان")</f>
        <v>بهره وری و مدیریت زمان</v>
      </c>
      <c r="G2021" s="1" t="str">
        <f>IFERROR(__xludf.DUMMYFUNCTION("GOOGLETRANSLATE(C2021, ""en"", ""fa"")
"),"نکاتی را برای مسدود کردن زمان و برنامه‌ریزی مؤثر به اشتراک بگذارید و از تخصیص متعادل زمان برای کارها و فعالیت‌های مختلف اطمینان حاصل کنید.")</f>
        <v>نکاتی را برای مسدود کردن زمان و برنامه‌ریزی مؤثر به اشتراک بگذارید و از تخصیص متعادل زمان برای کارها و فعالیت‌های مختلف اطمینان حاصل کنید.</v>
      </c>
      <c r="H2021" s="1"/>
      <c r="I2021" s="1"/>
      <c r="J2021" s="1"/>
      <c r="K2021" s="1"/>
      <c r="L2021" s="1"/>
      <c r="M2021" s="1"/>
      <c r="N2021" s="1"/>
      <c r="O2021" s="1"/>
      <c r="P2021" s="1"/>
      <c r="Q2021" s="1"/>
      <c r="R2021" s="1"/>
      <c r="S2021" s="1"/>
      <c r="T2021" s="1"/>
      <c r="U2021" s="1"/>
      <c r="V2021" s="1"/>
      <c r="W2021" s="1"/>
      <c r="X2021" s="1"/>
      <c r="Y2021" s="1"/>
      <c r="Z2021" s="1"/>
      <c r="AA2021" s="1"/>
      <c r="AB2021" s="1"/>
    </row>
    <row r="2022" ht="50.25" customHeight="1">
      <c r="A2022" s="12">
        <v>2018.0</v>
      </c>
      <c r="B2022" s="13" t="s">
        <v>2025</v>
      </c>
      <c r="C2022" s="14" t="s">
        <v>2033</v>
      </c>
      <c r="D2022" s="1"/>
      <c r="E2022" s="1"/>
      <c r="F2022" s="1" t="str">
        <f>IFERROR(__xludf.DUMMYFUNCTION("GOOGLETRANSLATE(B2022, ""en"", ""fa"")
"),"بهره وری و مدیریت زمان")</f>
        <v>بهره وری و مدیریت زمان</v>
      </c>
      <c r="G2022" s="1" t="str">
        <f>IFERROR(__xludf.DUMMYFUNCTION("GOOGLETRANSLATE(C2022, ""en"", ""fa"")
"),"در مورد مزایای واگذاری وظایف و استفاده از نقاط قوت دیگران برای افزایش بهره وری بحث کنید.")</f>
        <v>در مورد مزایای واگذاری وظایف و استفاده از نقاط قوت دیگران برای افزایش بهره وری بحث کنید.</v>
      </c>
      <c r="H2022" s="1"/>
      <c r="I2022" s="1"/>
      <c r="J2022" s="1"/>
      <c r="K2022" s="1"/>
      <c r="L2022" s="1"/>
      <c r="M2022" s="1"/>
      <c r="N2022" s="1"/>
      <c r="O2022" s="1"/>
      <c r="P2022" s="1"/>
      <c r="Q2022" s="1"/>
      <c r="R2022" s="1"/>
      <c r="S2022" s="1"/>
      <c r="T2022" s="1"/>
      <c r="U2022" s="1"/>
      <c r="V2022" s="1"/>
      <c r="W2022" s="1"/>
      <c r="X2022" s="1"/>
      <c r="Y2022" s="1"/>
      <c r="Z2022" s="1"/>
      <c r="AA2022" s="1"/>
      <c r="AB2022" s="1"/>
    </row>
    <row r="2023" ht="50.25" customHeight="1">
      <c r="A2023" s="12">
        <v>2019.0</v>
      </c>
      <c r="B2023" s="13" t="s">
        <v>2025</v>
      </c>
      <c r="C2023" s="14" t="s">
        <v>2034</v>
      </c>
      <c r="D2023" s="1"/>
      <c r="E2023" s="1"/>
      <c r="F2023" s="1" t="str">
        <f>IFERROR(__xludf.DUMMYFUNCTION("GOOGLETRANSLATE(B2023, ""en"", ""fa"")
"),"بهره وری و مدیریت زمان")</f>
        <v>بهره وری و مدیریت زمان</v>
      </c>
      <c r="G2023" s="1" t="str">
        <f>IFERROR(__xludf.DUMMYFUNCTION("GOOGLETRANSLATE(C2023, ""en"", ""fa"")
"),"با تأکید بر اهمیت تمرکز روی یک کار در یک زمان، تکنیک‌های مدیریت و کاهش چندوظیفه‌ای را بررسی کنید.")</f>
        <v>با تأکید بر اهمیت تمرکز روی یک کار در یک زمان، تکنیک‌های مدیریت و کاهش چندوظیفه‌ای را بررسی کنید.</v>
      </c>
      <c r="H2023" s="1"/>
      <c r="I2023" s="1"/>
      <c r="J2023" s="1"/>
      <c r="K2023" s="1"/>
      <c r="L2023" s="1"/>
      <c r="M2023" s="1"/>
      <c r="N2023" s="1"/>
      <c r="O2023" s="1"/>
      <c r="P2023" s="1"/>
      <c r="Q2023" s="1"/>
      <c r="R2023" s="1"/>
      <c r="S2023" s="1"/>
      <c r="T2023" s="1"/>
      <c r="U2023" s="1"/>
      <c r="V2023" s="1"/>
      <c r="W2023" s="1"/>
      <c r="X2023" s="1"/>
      <c r="Y2023" s="1"/>
      <c r="Z2023" s="1"/>
      <c r="AA2023" s="1"/>
      <c r="AB2023" s="1"/>
    </row>
    <row r="2024" ht="50.25" customHeight="1">
      <c r="A2024" s="12">
        <v>2020.0</v>
      </c>
      <c r="B2024" s="13" t="s">
        <v>2025</v>
      </c>
      <c r="C2024" s="14" t="s">
        <v>2035</v>
      </c>
      <c r="D2024" s="1"/>
      <c r="E2024" s="1"/>
      <c r="F2024" s="1" t="str">
        <f>IFERROR(__xludf.DUMMYFUNCTION("GOOGLETRANSLATE(B2024, ""en"", ""fa"")
"),"بهره وری و مدیریت زمان")</f>
        <v>بهره وری و مدیریت زمان</v>
      </c>
      <c r="G2024" s="1" t="str">
        <f>IFERROR(__xludf.DUMMYFUNCTION("GOOGLETRANSLATE(C2024, ""en"", ""fa"")
"),"استراتژی هایی برای بهینه سازی گردش کار و ایجاد سیستم های کارآمد برای خودکارسازی کارهای تکراری به اشتراک بگذارید.")</f>
        <v>استراتژی هایی برای بهینه سازی گردش کار و ایجاد سیستم های کارآمد برای خودکارسازی کارهای تکراری به اشتراک بگذارید.</v>
      </c>
      <c r="H2024" s="1"/>
      <c r="I2024" s="1"/>
      <c r="J2024" s="1"/>
      <c r="K2024" s="1"/>
      <c r="L2024" s="1"/>
      <c r="M2024" s="1"/>
      <c r="N2024" s="1"/>
      <c r="O2024" s="1"/>
      <c r="P2024" s="1"/>
      <c r="Q2024" s="1"/>
      <c r="R2024" s="1"/>
      <c r="S2024" s="1"/>
      <c r="T2024" s="1"/>
      <c r="U2024" s="1"/>
      <c r="V2024" s="1"/>
      <c r="W2024" s="1"/>
      <c r="X2024" s="1"/>
      <c r="Y2024" s="1"/>
      <c r="Z2024" s="1"/>
      <c r="AA2024" s="1"/>
      <c r="AB2024" s="1"/>
    </row>
    <row r="2025" ht="50.25" customHeight="1">
      <c r="A2025" s="12">
        <v>2021.0</v>
      </c>
      <c r="B2025" s="13" t="s">
        <v>2025</v>
      </c>
      <c r="C2025" s="14" t="s">
        <v>2036</v>
      </c>
      <c r="D2025" s="1"/>
      <c r="E2025" s="1"/>
      <c r="F2025" s="1" t="str">
        <f>IFERROR(__xludf.DUMMYFUNCTION("GOOGLETRANSLATE(B2025, ""en"", ""fa"")
"),"بهره وری و مدیریت زمان")</f>
        <v>بهره وری و مدیریت زمان</v>
      </c>
      <c r="G2025" s="1" t="str">
        <f>IFERROR(__xludf.DUMMYFUNCTION("GOOGLETRANSLATE(C2025, ""en"", ""fa"")
"),"در مورد نقش تمرکز حواس و مراقبه در افزایش تمرکز، کاهش استرس و بهبود بهره وری کلی بحث کنید.")</f>
        <v>در مورد نقش تمرکز حواس و مراقبه در افزایش تمرکز، کاهش استرس و بهبود بهره وری کلی بحث کنید.</v>
      </c>
      <c r="H2025" s="1"/>
      <c r="I2025" s="1"/>
      <c r="J2025" s="1"/>
      <c r="K2025" s="1"/>
      <c r="L2025" s="1"/>
      <c r="M2025" s="1"/>
      <c r="N2025" s="1"/>
      <c r="O2025" s="1"/>
      <c r="P2025" s="1"/>
      <c r="Q2025" s="1"/>
      <c r="R2025" s="1"/>
      <c r="S2025" s="1"/>
      <c r="T2025" s="1"/>
      <c r="U2025" s="1"/>
      <c r="V2025" s="1"/>
      <c r="W2025" s="1"/>
      <c r="X2025" s="1"/>
      <c r="Y2025" s="1"/>
      <c r="Z2025" s="1"/>
      <c r="AA2025" s="1"/>
      <c r="AB2025" s="1"/>
    </row>
    <row r="2026" ht="50.25" customHeight="1">
      <c r="A2026" s="12">
        <v>2022.0</v>
      </c>
      <c r="B2026" s="13" t="s">
        <v>2025</v>
      </c>
      <c r="C2026" s="14" t="s">
        <v>2037</v>
      </c>
      <c r="D2026" s="1"/>
      <c r="E2026" s="1"/>
      <c r="F2026" s="1" t="str">
        <f>IFERROR(__xludf.DUMMYFUNCTION("GOOGLETRANSLATE(B2026, ""en"", ""fa"")
"),"بهره وری و مدیریت زمان")</f>
        <v>بهره وری و مدیریت زمان</v>
      </c>
      <c r="G2026" s="1" t="str">
        <f>IFERROR(__xludf.DUMMYFUNCTION("GOOGLETRANSLATE(C2026, ""en"", ""fa"")
"),"روش های مختلف برای مدیریت و سازماندهی فایل ها، اسناد و پوشه های دیجیتال برای بازیابی و بهره وری آسان را بررسی کنید.")</f>
        <v>روش های مختلف برای مدیریت و سازماندهی فایل ها، اسناد و پوشه های دیجیتال برای بازیابی و بهره وری آسان را بررسی کنید.</v>
      </c>
      <c r="H2026" s="1"/>
      <c r="I2026" s="1"/>
      <c r="J2026" s="1"/>
      <c r="K2026" s="1"/>
      <c r="L2026" s="1"/>
      <c r="M2026" s="1"/>
      <c r="N2026" s="1"/>
      <c r="O2026" s="1"/>
      <c r="P2026" s="1"/>
      <c r="Q2026" s="1"/>
      <c r="R2026" s="1"/>
      <c r="S2026" s="1"/>
      <c r="T2026" s="1"/>
      <c r="U2026" s="1"/>
      <c r="V2026" s="1"/>
      <c r="W2026" s="1"/>
      <c r="X2026" s="1"/>
      <c r="Y2026" s="1"/>
      <c r="Z2026" s="1"/>
      <c r="AA2026" s="1"/>
      <c r="AB2026" s="1"/>
    </row>
    <row r="2027" ht="50.25" customHeight="1">
      <c r="A2027" s="12">
        <v>2023.0</v>
      </c>
      <c r="B2027" s="13" t="s">
        <v>2025</v>
      </c>
      <c r="C2027" s="14" t="s">
        <v>2038</v>
      </c>
      <c r="D2027" s="1"/>
      <c r="E2027" s="1"/>
      <c r="F2027" s="1" t="str">
        <f>IFERROR(__xludf.DUMMYFUNCTION("GOOGLETRANSLATE(B2027, ""en"", ""fa"")
"),"بهره وری و مدیریت زمان")</f>
        <v>بهره وری و مدیریت زمان</v>
      </c>
      <c r="G2027" s="1" t="str">
        <f>IFERROR(__xludf.DUMMYFUNCTION("GOOGLETRANSLATE(C2027, ""en"", ""fa"")
"),"نکاتی را برای مدیریت مؤثر پروژه، از جمله تعیین نقاط عطف، ردیابی پیشرفت، و تنظیم جدول زمانی در صورت نیاز به اشتراک بگذارید.")</f>
        <v>نکاتی را برای مدیریت مؤثر پروژه، از جمله تعیین نقاط عطف، ردیابی پیشرفت، و تنظیم جدول زمانی در صورت نیاز به اشتراک بگذارید.</v>
      </c>
      <c r="H2027" s="1"/>
      <c r="I2027" s="1"/>
      <c r="J2027" s="1"/>
      <c r="K2027" s="1"/>
      <c r="L2027" s="1"/>
      <c r="M2027" s="1"/>
      <c r="N2027" s="1"/>
      <c r="O2027" s="1"/>
      <c r="P2027" s="1"/>
      <c r="Q2027" s="1"/>
      <c r="R2027" s="1"/>
      <c r="S2027" s="1"/>
      <c r="T2027" s="1"/>
      <c r="U2027" s="1"/>
      <c r="V2027" s="1"/>
      <c r="W2027" s="1"/>
      <c r="X2027" s="1"/>
      <c r="Y2027" s="1"/>
      <c r="Z2027" s="1"/>
      <c r="AA2027" s="1"/>
      <c r="AB2027" s="1"/>
    </row>
    <row r="2028" ht="50.25" customHeight="1">
      <c r="A2028" s="12">
        <v>2024.0</v>
      </c>
      <c r="B2028" s="13" t="s">
        <v>2025</v>
      </c>
      <c r="C2028" s="14" t="s">
        <v>2039</v>
      </c>
      <c r="D2028" s="1"/>
      <c r="E2028" s="1"/>
      <c r="F2028" s="1" t="str">
        <f>IFERROR(__xludf.DUMMYFUNCTION("GOOGLETRANSLATE(B2028, ""en"", ""fa"")
"),"بهره وری و مدیریت زمان")</f>
        <v>بهره وری و مدیریت زمان</v>
      </c>
      <c r="G2028" s="1" t="str">
        <f>IFERROR(__xludf.DUMMYFUNCTION("GOOGLETRANSLATE(C2028, ""en"", ""fa"")
"),"در مورد مزایای استراحت های منظم و گنجاندن فعالیت های مراقبت از خود در روال روزانه برای حفظ بهره وری و رفاه بحث کنید.")</f>
        <v>در مورد مزایای استراحت های منظم و گنجاندن فعالیت های مراقبت از خود در روال روزانه برای حفظ بهره وری و رفاه بحث کنید.</v>
      </c>
      <c r="H2028" s="1"/>
      <c r="I2028" s="1"/>
      <c r="J2028" s="1"/>
      <c r="K2028" s="1"/>
      <c r="L2028" s="1"/>
      <c r="M2028" s="1"/>
      <c r="N2028" s="1"/>
      <c r="O2028" s="1"/>
      <c r="P2028" s="1"/>
      <c r="Q2028" s="1"/>
      <c r="R2028" s="1"/>
      <c r="S2028" s="1"/>
      <c r="T2028" s="1"/>
      <c r="U2028" s="1"/>
      <c r="V2028" s="1"/>
      <c r="W2028" s="1"/>
      <c r="X2028" s="1"/>
      <c r="Y2028" s="1"/>
      <c r="Z2028" s="1"/>
      <c r="AA2028" s="1"/>
      <c r="AB2028" s="1"/>
    </row>
    <row r="2029" ht="50.25" customHeight="1">
      <c r="A2029" s="12">
        <v>2025.0</v>
      </c>
      <c r="B2029" s="13" t="s">
        <v>2025</v>
      </c>
      <c r="C2029" s="14" t="s">
        <v>2040</v>
      </c>
      <c r="D2029" s="1"/>
      <c r="E2029" s="1"/>
      <c r="F2029" s="1" t="str">
        <f>IFERROR(__xludf.DUMMYFUNCTION("GOOGLETRANSLATE(B2029, ""en"", ""fa"")
"),"بهره وری و مدیریت زمان")</f>
        <v>بهره وری و مدیریت زمان</v>
      </c>
      <c r="G2029" s="1" t="str">
        <f>IFERROR(__xludf.DUMMYFUNCTION("GOOGLETRANSLATE(C2029, ""en"", ""fa"")
"),"تکنیک هایی را برای مدیریت بیش از حد اطلاعات و به روز ماندن بدون غرق شدن کاوش کنید.")</f>
        <v>تکنیک هایی را برای مدیریت بیش از حد اطلاعات و به روز ماندن بدون غرق شدن کاوش کنید.</v>
      </c>
      <c r="H2029" s="1"/>
      <c r="I2029" s="1"/>
      <c r="J2029" s="1"/>
      <c r="K2029" s="1"/>
      <c r="L2029" s="1"/>
      <c r="M2029" s="1"/>
      <c r="N2029" s="1"/>
      <c r="O2029" s="1"/>
      <c r="P2029" s="1"/>
      <c r="Q2029" s="1"/>
      <c r="R2029" s="1"/>
      <c r="S2029" s="1"/>
      <c r="T2029" s="1"/>
      <c r="U2029" s="1"/>
      <c r="V2029" s="1"/>
      <c r="W2029" s="1"/>
      <c r="X2029" s="1"/>
      <c r="Y2029" s="1"/>
      <c r="Z2029" s="1"/>
      <c r="AA2029" s="1"/>
      <c r="AB2029" s="1"/>
    </row>
    <row r="2030" ht="50.25" customHeight="1">
      <c r="A2030" s="12">
        <v>2026.0</v>
      </c>
      <c r="B2030" s="13" t="s">
        <v>2025</v>
      </c>
      <c r="C2030" s="14" t="s">
        <v>2041</v>
      </c>
      <c r="D2030" s="1"/>
      <c r="E2030" s="1"/>
      <c r="F2030" s="1" t="str">
        <f>IFERROR(__xludf.DUMMYFUNCTION("GOOGLETRANSLATE(B2030, ""en"", ""fa"")
"),"بهره وری و مدیریت زمان")</f>
        <v>بهره وری و مدیریت زمان</v>
      </c>
      <c r="G2030" s="1" t="str">
        <f>IFERROR(__xludf.DUMMYFUNCTION("GOOGLETRANSLATE(C2030, ""en"", ""fa"")
"),"استراتژی‌ها را برای اولویت‌بندی کارها بر اساس ماتریس آیزنهاور یا سایر چارچوب‌های اولویت‌بندی به اشتراک بگذارید.")</f>
        <v>استراتژی‌ها را برای اولویت‌بندی کارها بر اساس ماتریس آیزنهاور یا سایر چارچوب‌های اولویت‌بندی به اشتراک بگذارید.</v>
      </c>
      <c r="H2030" s="1"/>
      <c r="I2030" s="1"/>
      <c r="J2030" s="1"/>
      <c r="K2030" s="1"/>
      <c r="L2030" s="1"/>
      <c r="M2030" s="1"/>
      <c r="N2030" s="1"/>
      <c r="O2030" s="1"/>
      <c r="P2030" s="1"/>
      <c r="Q2030" s="1"/>
      <c r="R2030" s="1"/>
      <c r="S2030" s="1"/>
      <c r="T2030" s="1"/>
      <c r="U2030" s="1"/>
      <c r="V2030" s="1"/>
      <c r="W2030" s="1"/>
      <c r="X2030" s="1"/>
      <c r="Y2030" s="1"/>
      <c r="Z2030" s="1"/>
      <c r="AA2030" s="1"/>
      <c r="AB2030" s="1"/>
    </row>
    <row r="2031" ht="50.25" customHeight="1">
      <c r="A2031" s="12">
        <v>2027.0</v>
      </c>
      <c r="B2031" s="13" t="s">
        <v>2025</v>
      </c>
      <c r="C2031" s="14" t="s">
        <v>2042</v>
      </c>
      <c r="D2031" s="1"/>
      <c r="E2031" s="1"/>
      <c r="F2031" s="1" t="str">
        <f>IFERROR(__xludf.DUMMYFUNCTION("GOOGLETRANSLATE(B2031, ""en"", ""fa"")
"),"بهره وری و مدیریت زمان")</f>
        <v>بهره وری و مدیریت زمان</v>
      </c>
      <c r="G2031" s="1" t="str">
        <f>IFERROR(__xludf.DUMMYFUNCTION("GOOGLETRANSLATE(C2031, ""en"", ""fa"")
"),"در مورد اهمیت حفظ یک فضای کاری بدون درهم و برهمی و سازماندهی مواد فیزیکی برای افزایش بهره وری بحث کنید.")</f>
        <v>در مورد اهمیت حفظ یک فضای کاری بدون درهم و برهمی و سازماندهی مواد فیزیکی برای افزایش بهره وری بحث کنید.</v>
      </c>
      <c r="H2031" s="1"/>
      <c r="I2031" s="1"/>
      <c r="J2031" s="1"/>
      <c r="K2031" s="1"/>
      <c r="L2031" s="1"/>
      <c r="M2031" s="1"/>
      <c r="N2031" s="1"/>
      <c r="O2031" s="1"/>
      <c r="P2031" s="1"/>
      <c r="Q2031" s="1"/>
      <c r="R2031" s="1"/>
      <c r="S2031" s="1"/>
      <c r="T2031" s="1"/>
      <c r="U2031" s="1"/>
      <c r="V2031" s="1"/>
      <c r="W2031" s="1"/>
      <c r="X2031" s="1"/>
      <c r="Y2031" s="1"/>
      <c r="Z2031" s="1"/>
      <c r="AA2031" s="1"/>
      <c r="AB2031" s="1"/>
    </row>
    <row r="2032" ht="50.25" customHeight="1">
      <c r="A2032" s="12">
        <v>2028.0</v>
      </c>
      <c r="B2032" s="13" t="s">
        <v>2025</v>
      </c>
      <c r="C2032" s="14" t="s">
        <v>2043</v>
      </c>
      <c r="D2032" s="1"/>
      <c r="E2032" s="1"/>
      <c r="F2032" s="1" t="str">
        <f>IFERROR(__xludf.DUMMYFUNCTION("GOOGLETRANSLATE(B2032, ""en"", ""fa"")
"),"بهره وری و مدیریت زمان")</f>
        <v>بهره وری و مدیریت زمان</v>
      </c>
      <c r="G2032" s="1" t="str">
        <f>IFERROR(__xludf.DUMMYFUNCTION("GOOGLETRANSLATE(C2032, ""en"", ""fa"")
"),"روش های مختلف برای تقویت خلاقیت و نوآوری را در چارچوب بهره وری و مدیریت زمان بررسی کنید.")</f>
        <v>روش های مختلف برای تقویت خلاقیت و نوآوری را در چارچوب بهره وری و مدیریت زمان بررسی کنید.</v>
      </c>
      <c r="H2032" s="1"/>
      <c r="I2032" s="1"/>
      <c r="J2032" s="1"/>
      <c r="K2032" s="1"/>
      <c r="L2032" s="1"/>
      <c r="M2032" s="1"/>
      <c r="N2032" s="1"/>
      <c r="O2032" s="1"/>
      <c r="P2032" s="1"/>
      <c r="Q2032" s="1"/>
      <c r="R2032" s="1"/>
      <c r="S2032" s="1"/>
      <c r="T2032" s="1"/>
      <c r="U2032" s="1"/>
      <c r="V2032" s="1"/>
      <c r="W2032" s="1"/>
      <c r="X2032" s="1"/>
      <c r="Y2032" s="1"/>
      <c r="Z2032" s="1"/>
      <c r="AA2032" s="1"/>
      <c r="AB2032" s="1"/>
    </row>
    <row r="2033" ht="50.25" customHeight="1">
      <c r="A2033" s="12">
        <v>2029.0</v>
      </c>
      <c r="B2033" s="13" t="s">
        <v>2025</v>
      </c>
      <c r="C2033" s="14" t="s">
        <v>2044</v>
      </c>
      <c r="D2033" s="1"/>
      <c r="E2033" s="1"/>
      <c r="F2033" s="1" t="str">
        <f>IFERROR(__xludf.DUMMYFUNCTION("GOOGLETRANSLATE(B2033, ""en"", ""fa"")
"),"بهره وری و مدیریت زمان")</f>
        <v>بهره وری و مدیریت زمان</v>
      </c>
      <c r="G2033" s="1" t="str">
        <f>IFERROR(__xludf.DUMMYFUNCTION("GOOGLETRANSLATE(C2033, ""en"", ""fa"")
"),"با تأکید بر اهمیت انتظارات و مهلت های مشخص، نکاتی را برای ارتباط و همکاری مؤثر به اشتراک بگذارید.")</f>
        <v>با تأکید بر اهمیت انتظارات و مهلت های مشخص، نکاتی را برای ارتباط و همکاری مؤثر به اشتراک بگذارید.</v>
      </c>
      <c r="H2033" s="1"/>
      <c r="I2033" s="1"/>
      <c r="J2033" s="1"/>
      <c r="K2033" s="1"/>
      <c r="L2033" s="1"/>
      <c r="M2033" s="1"/>
      <c r="N2033" s="1"/>
      <c r="O2033" s="1"/>
      <c r="P2033" s="1"/>
      <c r="Q2033" s="1"/>
      <c r="R2033" s="1"/>
      <c r="S2033" s="1"/>
      <c r="T2033" s="1"/>
      <c r="U2033" s="1"/>
      <c r="V2033" s="1"/>
      <c r="W2033" s="1"/>
      <c r="X2033" s="1"/>
      <c r="Y2033" s="1"/>
      <c r="Z2033" s="1"/>
      <c r="AA2033" s="1"/>
      <c r="AB2033" s="1"/>
    </row>
    <row r="2034" ht="50.25" customHeight="1">
      <c r="A2034" s="12">
        <v>2030.0</v>
      </c>
      <c r="B2034" s="13" t="s">
        <v>2025</v>
      </c>
      <c r="C2034" s="14" t="s">
        <v>2045</v>
      </c>
      <c r="D2034" s="1"/>
      <c r="E2034" s="1"/>
      <c r="F2034" s="1" t="str">
        <f>IFERROR(__xludf.DUMMYFUNCTION("GOOGLETRANSLATE(B2034, ""en"", ""fa"")
"),"بهره وری و مدیریت زمان")</f>
        <v>بهره وری و مدیریت زمان</v>
      </c>
      <c r="G2034" s="1" t="str">
        <f>IFERROR(__xludf.DUMMYFUNCTION("GOOGLETRANSLATE(C2034, ""en"", ""fa"")
"),"در مورد مزایای گنجاندن تمرینات بدنی یا حرکات در روال روزانه برای افزایش بهره وری و انرژی بحث کنید.")</f>
        <v>در مورد مزایای گنجاندن تمرینات بدنی یا حرکات در روال روزانه برای افزایش بهره وری و انرژی بحث کنید.</v>
      </c>
      <c r="H2034" s="1"/>
      <c r="I2034" s="1"/>
      <c r="J2034" s="1"/>
      <c r="K2034" s="1"/>
      <c r="L2034" s="1"/>
      <c r="M2034" s="1"/>
      <c r="N2034" s="1"/>
      <c r="O2034" s="1"/>
      <c r="P2034" s="1"/>
      <c r="Q2034" s="1"/>
      <c r="R2034" s="1"/>
      <c r="S2034" s="1"/>
      <c r="T2034" s="1"/>
      <c r="U2034" s="1"/>
      <c r="V2034" s="1"/>
      <c r="W2034" s="1"/>
      <c r="X2034" s="1"/>
      <c r="Y2034" s="1"/>
      <c r="Z2034" s="1"/>
      <c r="AA2034" s="1"/>
      <c r="AB2034" s="1"/>
    </row>
    <row r="2035" ht="50.25" customHeight="1">
      <c r="A2035" s="12">
        <v>2031.0</v>
      </c>
      <c r="B2035" s="13" t="s">
        <v>2025</v>
      </c>
      <c r="C2035" s="14" t="s">
        <v>2046</v>
      </c>
      <c r="D2035" s="1"/>
      <c r="E2035" s="1"/>
      <c r="F2035" s="1" t="str">
        <f>IFERROR(__xludf.DUMMYFUNCTION("GOOGLETRANSLATE(B2035, ""en"", ""fa"")
"),"بهره وری و مدیریت زمان")</f>
        <v>بهره وری و مدیریت زمان</v>
      </c>
      <c r="G2035" s="1" t="str">
        <f>IFERROR(__xludf.DUMMYFUNCTION("GOOGLETRANSLATE(C2035, ""en"", ""fa"")
"),"تکنیک‌های مدیریت و کاهش استرس، از جمله تکنیک‌های تمدد اعصاب، تمرین‌های تمرکز حواس و استراتژی‌های مدیریت استرس را بررسی کنید.")</f>
        <v>تکنیک‌های مدیریت و کاهش استرس، از جمله تکنیک‌های تمدد اعصاب، تمرین‌های تمرکز حواس و استراتژی‌های مدیریت استرس را بررسی کنید.</v>
      </c>
      <c r="H2035" s="1"/>
      <c r="I2035" s="1"/>
      <c r="J2035" s="1"/>
      <c r="K2035" s="1"/>
      <c r="L2035" s="1"/>
      <c r="M2035" s="1"/>
      <c r="N2035" s="1"/>
      <c r="O2035" s="1"/>
      <c r="P2035" s="1"/>
      <c r="Q2035" s="1"/>
      <c r="R2035" s="1"/>
      <c r="S2035" s="1"/>
      <c r="T2035" s="1"/>
      <c r="U2035" s="1"/>
      <c r="V2035" s="1"/>
      <c r="W2035" s="1"/>
      <c r="X2035" s="1"/>
      <c r="Y2035" s="1"/>
      <c r="Z2035" s="1"/>
      <c r="AA2035" s="1"/>
      <c r="AB2035" s="1"/>
    </row>
    <row r="2036" ht="50.25" customHeight="1">
      <c r="A2036" s="12">
        <v>2032.0</v>
      </c>
      <c r="B2036" s="13" t="s">
        <v>2025</v>
      </c>
      <c r="C2036" s="14" t="s">
        <v>2047</v>
      </c>
      <c r="D2036" s="1"/>
      <c r="E2036" s="1"/>
      <c r="F2036" s="1" t="str">
        <f>IFERROR(__xludf.DUMMYFUNCTION("GOOGLETRANSLATE(B2036, ""en"", ""fa"")
"),"بهره وری و مدیریت زمان")</f>
        <v>بهره وری و مدیریت زمان</v>
      </c>
      <c r="G2036" s="1" t="str">
        <f>IFERROR(__xludf.DUMMYFUNCTION("GOOGLETRANSLATE(C2036, ""en"", ""fa"")
"),"استراتژی های غلبه بر کمال گرایی و اتخاذ طرز فکر پیشرفت بر کمال به منظور افزایش بهره وری را به اشتراک بگذارید.")</f>
        <v>استراتژی های غلبه بر کمال گرایی و اتخاذ طرز فکر پیشرفت بر کمال به منظور افزایش بهره وری را به اشتراک بگذارید.</v>
      </c>
      <c r="H2036" s="1"/>
      <c r="I2036" s="1"/>
      <c r="J2036" s="1"/>
      <c r="K2036" s="1"/>
      <c r="L2036" s="1"/>
      <c r="M2036" s="1"/>
      <c r="N2036" s="1"/>
      <c r="O2036" s="1"/>
      <c r="P2036" s="1"/>
      <c r="Q2036" s="1"/>
      <c r="R2036" s="1"/>
      <c r="S2036" s="1"/>
      <c r="T2036" s="1"/>
      <c r="U2036" s="1"/>
      <c r="V2036" s="1"/>
      <c r="W2036" s="1"/>
      <c r="X2036" s="1"/>
      <c r="Y2036" s="1"/>
      <c r="Z2036" s="1"/>
      <c r="AA2036" s="1"/>
      <c r="AB2036" s="1"/>
    </row>
    <row r="2037" ht="50.25" customHeight="1">
      <c r="A2037" s="12">
        <v>2033.0</v>
      </c>
      <c r="B2037" s="13" t="s">
        <v>2025</v>
      </c>
      <c r="C2037" s="14" t="s">
        <v>2048</v>
      </c>
      <c r="D2037" s="1"/>
      <c r="E2037" s="1"/>
      <c r="F2037" s="1" t="str">
        <f>IFERROR(__xludf.DUMMYFUNCTION("GOOGLETRANSLATE(B2037, ""en"", ""fa"")
"),"بهره وری و مدیریت زمان")</f>
        <v>بهره وری و مدیریت زمان</v>
      </c>
      <c r="G2037" s="1" t="str">
        <f>IFERROR(__xludf.DUMMYFUNCTION("GOOGLETRANSLATE(C2037, ""en"", ""fa"")
"),"در مورد اهمیت یادگیری مستمر و توسعه شخصی برای افزایش بهره وری و جلوتر ماندن در دنیایی با سرعت بالا بحث کنید.")</f>
        <v>در مورد اهمیت یادگیری مستمر و توسعه شخصی برای افزایش بهره وری و جلوتر ماندن در دنیایی با سرعت بالا بحث کنید.</v>
      </c>
      <c r="H2037" s="1"/>
      <c r="I2037" s="1"/>
      <c r="J2037" s="1"/>
      <c r="K2037" s="1"/>
      <c r="L2037" s="1"/>
      <c r="M2037" s="1"/>
      <c r="N2037" s="1"/>
      <c r="O2037" s="1"/>
      <c r="P2037" s="1"/>
      <c r="Q2037" s="1"/>
      <c r="R2037" s="1"/>
      <c r="S2037" s="1"/>
      <c r="T2037" s="1"/>
      <c r="U2037" s="1"/>
      <c r="V2037" s="1"/>
      <c r="W2037" s="1"/>
      <c r="X2037" s="1"/>
      <c r="Y2037" s="1"/>
      <c r="Z2037" s="1"/>
      <c r="AA2037" s="1"/>
      <c r="AB2037" s="1"/>
    </row>
    <row r="2038" ht="50.25" customHeight="1">
      <c r="A2038" s="12">
        <v>2034.0</v>
      </c>
      <c r="B2038" s="13" t="s">
        <v>2025</v>
      </c>
      <c r="C2038" s="14" t="s">
        <v>2049</v>
      </c>
      <c r="D2038" s="1"/>
      <c r="E2038" s="1"/>
      <c r="F2038" s="1" t="str">
        <f>IFERROR(__xludf.DUMMYFUNCTION("GOOGLETRANSLATE(B2038, ""en"", ""fa"")
"),"بهره وری و مدیریت زمان")</f>
        <v>بهره وری و مدیریت زمان</v>
      </c>
      <c r="G2038" s="1" t="str">
        <f>IFERROR(__xludf.DUMMYFUNCTION("GOOGLETRANSLATE(C2038, ""en"", ""fa"")
"),"استراتژی‌های مختلف را برای ردیابی هدف و نظارت بر پیشرفت مؤثر، مانند ژورنال‌نویسی، ردیاب‌های عادت یا داشبوردهای عملکرد، کاوش کنید.")</f>
        <v>استراتژی‌های مختلف را برای ردیابی هدف و نظارت بر پیشرفت مؤثر، مانند ژورنال‌نویسی، ردیاب‌های عادت یا داشبوردهای عملکرد، کاوش کنید.</v>
      </c>
      <c r="H2038" s="1"/>
      <c r="I2038" s="1"/>
      <c r="J2038" s="1"/>
      <c r="K2038" s="1"/>
      <c r="L2038" s="1"/>
      <c r="M2038" s="1"/>
      <c r="N2038" s="1"/>
      <c r="O2038" s="1"/>
      <c r="P2038" s="1"/>
      <c r="Q2038" s="1"/>
      <c r="R2038" s="1"/>
      <c r="S2038" s="1"/>
      <c r="T2038" s="1"/>
      <c r="U2038" s="1"/>
      <c r="V2038" s="1"/>
      <c r="W2038" s="1"/>
      <c r="X2038" s="1"/>
      <c r="Y2038" s="1"/>
      <c r="Z2038" s="1"/>
      <c r="AA2038" s="1"/>
      <c r="AB2038" s="1"/>
    </row>
    <row r="2039" ht="50.25" customHeight="1">
      <c r="A2039" s="12">
        <v>2035.0</v>
      </c>
      <c r="B2039" s="13" t="s">
        <v>2025</v>
      </c>
      <c r="C2039" s="14" t="s">
        <v>2050</v>
      </c>
      <c r="D2039" s="1"/>
      <c r="E2039" s="1"/>
      <c r="F2039" s="1" t="str">
        <f>IFERROR(__xludf.DUMMYFUNCTION("GOOGLETRANSLATE(B2039, ""en"", ""fa"")
"),"بهره وری و مدیریت زمان")</f>
        <v>بهره وری و مدیریت زمان</v>
      </c>
      <c r="G2039" s="1" t="str">
        <f>IFERROR(__xludf.DUMMYFUNCTION("GOOGLETRANSLATE(C2039, ""en"", ""fa"")
"),"نکاتی را برای تفویض اختیار موثر به اشتراک بگذارید، از جمله ارزیابی وظایف، تخصیص مسئولیت ها، و ارائه دستورالعمل های واضح به اعضای تیم.")</f>
        <v>نکاتی را برای تفویض اختیار موثر به اشتراک بگذارید، از جمله ارزیابی وظایف، تخصیص مسئولیت ها، و ارائه دستورالعمل های واضح به اعضای تیم.</v>
      </c>
      <c r="H2039" s="1"/>
      <c r="I2039" s="1"/>
      <c r="J2039" s="1"/>
      <c r="K2039" s="1"/>
      <c r="L2039" s="1"/>
      <c r="M2039" s="1"/>
      <c r="N2039" s="1"/>
      <c r="O2039" s="1"/>
      <c r="P2039" s="1"/>
      <c r="Q2039" s="1"/>
      <c r="R2039" s="1"/>
      <c r="S2039" s="1"/>
      <c r="T2039" s="1"/>
      <c r="U2039" s="1"/>
      <c r="V2039" s="1"/>
      <c r="W2039" s="1"/>
      <c r="X2039" s="1"/>
      <c r="Y2039" s="1"/>
      <c r="Z2039" s="1"/>
      <c r="AA2039" s="1"/>
      <c r="AB2039" s="1"/>
    </row>
    <row r="2040" ht="50.25" customHeight="1">
      <c r="A2040" s="12">
        <v>2036.0</v>
      </c>
      <c r="B2040" s="13" t="s">
        <v>2025</v>
      </c>
      <c r="C2040" s="14" t="s">
        <v>2051</v>
      </c>
      <c r="D2040" s="1"/>
      <c r="E2040" s="1"/>
      <c r="F2040" s="1" t="str">
        <f>IFERROR(__xludf.DUMMYFUNCTION("GOOGLETRANSLATE(B2040, ""en"", ""fa"")
"),"بهره وری و مدیریت زمان")</f>
        <v>بهره وری و مدیریت زمان</v>
      </c>
      <c r="G2040" s="1" t="str">
        <f>IFERROR(__xludf.DUMMYFUNCTION("GOOGLETRANSLATE(C2040, ""en"", ""fa"")
"),"در مورد مزایای اتخاذ روش های چابک، مانند Kanban یا Scrum، برای بهبود بهره وری و مدیریت پروژه بحث کنید.")</f>
        <v>در مورد مزایای اتخاذ روش های چابک، مانند Kanban یا Scrum، برای بهبود بهره وری و مدیریت پروژه بحث کنید.</v>
      </c>
      <c r="H2040" s="1"/>
      <c r="I2040" s="1"/>
      <c r="J2040" s="1"/>
      <c r="K2040" s="1"/>
      <c r="L2040" s="1"/>
      <c r="M2040" s="1"/>
      <c r="N2040" s="1"/>
      <c r="O2040" s="1"/>
      <c r="P2040" s="1"/>
      <c r="Q2040" s="1"/>
      <c r="R2040" s="1"/>
      <c r="S2040" s="1"/>
      <c r="T2040" s="1"/>
      <c r="U2040" s="1"/>
      <c r="V2040" s="1"/>
      <c r="W2040" s="1"/>
      <c r="X2040" s="1"/>
      <c r="Y2040" s="1"/>
      <c r="Z2040" s="1"/>
      <c r="AA2040" s="1"/>
      <c r="AB2040" s="1"/>
    </row>
    <row r="2041" ht="50.25" customHeight="1">
      <c r="A2041" s="12">
        <v>2037.0</v>
      </c>
      <c r="B2041" s="13" t="s">
        <v>2025</v>
      </c>
      <c r="C2041" s="14" t="s">
        <v>2052</v>
      </c>
      <c r="D2041" s="1"/>
      <c r="E2041" s="1"/>
      <c r="F2041" s="1" t="str">
        <f>IFERROR(__xludf.DUMMYFUNCTION("GOOGLETRANSLATE(B2041, ""en"", ""fa"")
"),"بهره وری و مدیریت زمان")</f>
        <v>بهره وری و مدیریت زمان</v>
      </c>
      <c r="G2041" s="1" t="str">
        <f>IFERROR(__xludf.DUMMYFUNCTION("GOOGLETRANSLATE(C2041, ""en"", ""fa"")
"),"تکنیک هایی را برای مدیریت و به حداقل رساندن وقفه ها، تعیین مرزها و ایجاد یک محیط کاری متمرکز بررسی کنید.")</f>
        <v>تکنیک هایی را برای مدیریت و به حداقل رساندن وقفه ها، تعیین مرزها و ایجاد یک محیط کاری متمرکز بررسی کنید.</v>
      </c>
      <c r="H2041" s="1"/>
      <c r="I2041" s="1"/>
      <c r="J2041" s="1"/>
      <c r="K2041" s="1"/>
      <c r="L2041" s="1"/>
      <c r="M2041" s="1"/>
      <c r="N2041" s="1"/>
      <c r="O2041" s="1"/>
      <c r="P2041" s="1"/>
      <c r="Q2041" s="1"/>
      <c r="R2041" s="1"/>
      <c r="S2041" s="1"/>
      <c r="T2041" s="1"/>
      <c r="U2041" s="1"/>
      <c r="V2041" s="1"/>
      <c r="W2041" s="1"/>
      <c r="X2041" s="1"/>
      <c r="Y2041" s="1"/>
      <c r="Z2041" s="1"/>
      <c r="AA2041" s="1"/>
      <c r="AB2041" s="1"/>
    </row>
    <row r="2042" ht="50.25" customHeight="1">
      <c r="A2042" s="12">
        <v>2038.0</v>
      </c>
      <c r="B2042" s="13" t="s">
        <v>2025</v>
      </c>
      <c r="C2042" s="14" t="s">
        <v>2053</v>
      </c>
      <c r="D2042" s="1"/>
      <c r="E2042" s="1"/>
      <c r="F2042" s="1" t="str">
        <f>IFERROR(__xludf.DUMMYFUNCTION("GOOGLETRANSLATE(B2042, ""en"", ""fa"")
"),"بهره وری و مدیریت زمان")</f>
        <v>بهره وری و مدیریت زمان</v>
      </c>
      <c r="G2042" s="1" t="str">
        <f>IFERROR(__xludf.DUMMYFUNCTION("GOOGLETRANSLATE(C2042, ""en"", ""fa"")
"),"تکنیک‌هایی را برای هدف‌گذاری مؤثر و همسو کردن اهداف با چشم‌انداز و ارزش‌های بلندمدت به اشتراک بگذارید.")</f>
        <v>تکنیک‌هایی را برای هدف‌گذاری مؤثر و همسو کردن اهداف با چشم‌انداز و ارزش‌های بلندمدت به اشتراک بگذارید.</v>
      </c>
      <c r="H2042" s="1"/>
      <c r="I2042" s="1"/>
      <c r="J2042" s="1"/>
      <c r="K2042" s="1"/>
      <c r="L2042" s="1"/>
      <c r="M2042" s="1"/>
      <c r="N2042" s="1"/>
      <c r="O2042" s="1"/>
      <c r="P2042" s="1"/>
      <c r="Q2042" s="1"/>
      <c r="R2042" s="1"/>
      <c r="S2042" s="1"/>
      <c r="T2042" s="1"/>
      <c r="U2042" s="1"/>
      <c r="V2042" s="1"/>
      <c r="W2042" s="1"/>
      <c r="X2042" s="1"/>
      <c r="Y2042" s="1"/>
      <c r="Z2042" s="1"/>
      <c r="AA2042" s="1"/>
      <c r="AB2042" s="1"/>
    </row>
    <row r="2043" ht="50.25" customHeight="1">
      <c r="A2043" s="12">
        <v>2039.0</v>
      </c>
      <c r="B2043" s="13" t="s">
        <v>2025</v>
      </c>
      <c r="C2043" s="14" t="s">
        <v>2054</v>
      </c>
      <c r="D2043" s="1"/>
      <c r="E2043" s="1"/>
      <c r="F2043" s="1" t="str">
        <f>IFERROR(__xludf.DUMMYFUNCTION("GOOGLETRANSLATE(B2043, ""en"", ""fa"")
"),"بهره وری و مدیریت زمان")</f>
        <v>بهره وری و مدیریت زمان</v>
      </c>
      <c r="G2043" s="1" t="str">
        <f>IFERROR(__xludf.DUMMYFUNCTION("GOOGLETRANSLATE(C2043, ""en"", ""fa"")
"),"در مورد مزایای استفاده از مجلات بهره وری یا برنامه ریزان برای ردیابی وظایف، اهداف و پیشرفت بحث کنید.")</f>
        <v>در مورد مزایای استفاده از مجلات بهره وری یا برنامه ریزان برای ردیابی وظایف، اهداف و پیشرفت بحث کنید.</v>
      </c>
      <c r="H2043" s="1"/>
      <c r="I2043" s="1"/>
      <c r="J2043" s="1"/>
      <c r="K2043" s="1"/>
      <c r="L2043" s="1"/>
      <c r="M2043" s="1"/>
      <c r="N2043" s="1"/>
      <c r="O2043" s="1"/>
      <c r="P2043" s="1"/>
      <c r="Q2043" s="1"/>
      <c r="R2043" s="1"/>
      <c r="S2043" s="1"/>
      <c r="T2043" s="1"/>
      <c r="U2043" s="1"/>
      <c r="V2043" s="1"/>
      <c r="W2043" s="1"/>
      <c r="X2043" s="1"/>
      <c r="Y2043" s="1"/>
      <c r="Z2043" s="1"/>
      <c r="AA2043" s="1"/>
      <c r="AB2043" s="1"/>
    </row>
    <row r="2044" ht="50.25" customHeight="1">
      <c r="A2044" s="12">
        <v>2040.0</v>
      </c>
      <c r="B2044" s="13" t="s">
        <v>2025</v>
      </c>
      <c r="C2044" s="14" t="s">
        <v>2055</v>
      </c>
      <c r="D2044" s="1"/>
      <c r="E2044" s="1"/>
      <c r="F2044" s="1" t="str">
        <f>IFERROR(__xludf.DUMMYFUNCTION("GOOGLETRANSLATE(B2044, ""en"", ""fa"")
"),"بهره وری و مدیریت زمان")</f>
        <v>بهره وری و مدیریت زمان</v>
      </c>
      <c r="G2044" s="1" t="str">
        <f>IFERROR(__xludf.DUMMYFUNCTION("GOOGLETRANSLATE(C2044, ""en"", ""fa"")
"),"استراتژی های مختلف برای مدیریت و کاهش جلسات برای بهینه سازی زمان و بهره وری را بررسی کنید.")</f>
        <v>استراتژی های مختلف برای مدیریت و کاهش جلسات برای بهینه سازی زمان و بهره وری را بررسی کنید.</v>
      </c>
      <c r="H2044" s="1"/>
      <c r="I2044" s="1"/>
      <c r="J2044" s="1"/>
      <c r="K2044" s="1"/>
      <c r="L2044" s="1"/>
      <c r="M2044" s="1"/>
      <c r="N2044" s="1"/>
      <c r="O2044" s="1"/>
      <c r="P2044" s="1"/>
      <c r="Q2044" s="1"/>
      <c r="R2044" s="1"/>
      <c r="S2044" s="1"/>
      <c r="T2044" s="1"/>
      <c r="U2044" s="1"/>
      <c r="V2044" s="1"/>
      <c r="W2044" s="1"/>
      <c r="X2044" s="1"/>
      <c r="Y2044" s="1"/>
      <c r="Z2044" s="1"/>
      <c r="AA2044" s="1"/>
      <c r="AB2044" s="1"/>
    </row>
    <row r="2045" ht="50.25" customHeight="1">
      <c r="A2045" s="12">
        <v>2041.0</v>
      </c>
      <c r="B2045" s="13" t="s">
        <v>2025</v>
      </c>
      <c r="C2045" s="14" t="s">
        <v>2056</v>
      </c>
      <c r="D2045" s="1"/>
      <c r="E2045" s="1"/>
      <c r="F2045" s="1" t="str">
        <f>IFERROR(__xludf.DUMMYFUNCTION("GOOGLETRANSLATE(B2045, ""en"", ""fa"")
"),"بهره وری و مدیریت زمان")</f>
        <v>بهره وری و مدیریت زمان</v>
      </c>
      <c r="G2045" s="1" t="str">
        <f>IFERROR(__xludf.DUMMYFUNCTION("GOOGLETRANSLATE(C2045, ""en"", ""fa"")
"),"نکاتی را برای مدیریت موثر زمان در حین کار از خانه یا در یک محیط راه دور به اشتراک بگذارید.")</f>
        <v>نکاتی را برای مدیریت موثر زمان در حین کار از خانه یا در یک محیط راه دور به اشتراک بگذارید.</v>
      </c>
      <c r="H2045" s="1"/>
      <c r="I2045" s="1"/>
      <c r="J2045" s="1"/>
      <c r="K2045" s="1"/>
      <c r="L2045" s="1"/>
      <c r="M2045" s="1"/>
      <c r="N2045" s="1"/>
      <c r="O2045" s="1"/>
      <c r="P2045" s="1"/>
      <c r="Q2045" s="1"/>
      <c r="R2045" s="1"/>
      <c r="S2045" s="1"/>
      <c r="T2045" s="1"/>
      <c r="U2045" s="1"/>
      <c r="V2045" s="1"/>
      <c r="W2045" s="1"/>
      <c r="X2045" s="1"/>
      <c r="Y2045" s="1"/>
      <c r="Z2045" s="1"/>
      <c r="AA2045" s="1"/>
      <c r="AB2045" s="1"/>
    </row>
    <row r="2046" ht="50.25" customHeight="1">
      <c r="A2046" s="12">
        <v>2042.0</v>
      </c>
      <c r="B2046" s="13" t="s">
        <v>2025</v>
      </c>
      <c r="C2046" s="14" t="s">
        <v>2057</v>
      </c>
      <c r="D2046" s="1"/>
      <c r="E2046" s="1"/>
      <c r="F2046" s="1" t="str">
        <f>IFERROR(__xludf.DUMMYFUNCTION("GOOGLETRANSLATE(B2046, ""en"", ""fa"")
"),"بهره وری و مدیریت زمان")</f>
        <v>بهره وری و مدیریت زمان</v>
      </c>
      <c r="G2046" s="1" t="str">
        <f>IFERROR(__xludf.DUMMYFUNCTION("GOOGLETRANSLATE(C2046, ""en"", ""fa"")
"),"در مورد اهمیت خود اندیشی و خود ارزیابی در شناسایی نقاط قوت بهره وری و زمینه های بهبود بحث کنید.")</f>
        <v>در مورد اهمیت خود اندیشی و خود ارزیابی در شناسایی نقاط قوت بهره وری و زمینه های بهبود بحث کنید.</v>
      </c>
      <c r="H2046" s="1"/>
      <c r="I2046" s="1"/>
      <c r="J2046" s="1"/>
      <c r="K2046" s="1"/>
      <c r="L2046" s="1"/>
      <c r="M2046" s="1"/>
      <c r="N2046" s="1"/>
      <c r="O2046" s="1"/>
      <c r="P2046" s="1"/>
      <c r="Q2046" s="1"/>
      <c r="R2046" s="1"/>
      <c r="S2046" s="1"/>
      <c r="T2046" s="1"/>
      <c r="U2046" s="1"/>
      <c r="V2046" s="1"/>
      <c r="W2046" s="1"/>
      <c r="X2046" s="1"/>
      <c r="Y2046" s="1"/>
      <c r="Z2046" s="1"/>
      <c r="AA2046" s="1"/>
      <c r="AB2046" s="1"/>
    </row>
    <row r="2047" ht="50.25" customHeight="1">
      <c r="A2047" s="12">
        <v>2043.0</v>
      </c>
      <c r="B2047" s="13" t="s">
        <v>2025</v>
      </c>
      <c r="C2047" s="14" t="s">
        <v>2058</v>
      </c>
      <c r="D2047" s="1"/>
      <c r="E2047" s="1"/>
      <c r="F2047" s="1" t="str">
        <f>IFERROR(__xludf.DUMMYFUNCTION("GOOGLETRANSLATE(B2047, ""en"", ""fa"")
"),"بهره وری و مدیریت زمان")</f>
        <v>بهره وری و مدیریت زمان</v>
      </c>
      <c r="G2047" s="1" t="str">
        <f>IFERROR(__xludf.DUMMYFUNCTION("GOOGLETRANSLATE(C2047, ""en"", ""fa"")
"),"تکنیک‌هایی را برای مدیریت و کاهش حواس‌پرتی‌های دیجیتال، مانند اعلان‌های رسانه‌های اجتماعی یا گوشی‌های هوشمند، کاوش کنید.")</f>
        <v>تکنیک‌هایی را برای مدیریت و کاهش حواس‌پرتی‌های دیجیتال، مانند اعلان‌های رسانه‌های اجتماعی یا گوشی‌های هوشمند، کاوش کنید.</v>
      </c>
      <c r="H2047" s="1"/>
      <c r="I2047" s="1"/>
      <c r="J2047" s="1"/>
      <c r="K2047" s="1"/>
      <c r="L2047" s="1"/>
      <c r="M2047" s="1"/>
      <c r="N2047" s="1"/>
      <c r="O2047" s="1"/>
      <c r="P2047" s="1"/>
      <c r="Q2047" s="1"/>
      <c r="R2047" s="1"/>
      <c r="S2047" s="1"/>
      <c r="T2047" s="1"/>
      <c r="U2047" s="1"/>
      <c r="V2047" s="1"/>
      <c r="W2047" s="1"/>
      <c r="X2047" s="1"/>
      <c r="Y2047" s="1"/>
      <c r="Z2047" s="1"/>
      <c r="AA2047" s="1"/>
      <c r="AB2047" s="1"/>
    </row>
    <row r="2048" ht="50.25" customHeight="1">
      <c r="A2048" s="12">
        <v>2044.0</v>
      </c>
      <c r="B2048" s="13" t="s">
        <v>2025</v>
      </c>
      <c r="C2048" s="14" t="s">
        <v>2059</v>
      </c>
      <c r="D2048" s="1"/>
      <c r="E2048" s="1"/>
      <c r="F2048" s="1" t="str">
        <f>IFERROR(__xludf.DUMMYFUNCTION("GOOGLETRANSLATE(B2048, ""en"", ""fa"")
"),"بهره وری و مدیریت زمان")</f>
        <v>بهره وری و مدیریت زمان</v>
      </c>
      <c r="G2048" s="1" t="str">
        <f>IFERROR(__xludf.DUMMYFUNCTION("GOOGLETRANSLATE(C2048, ""en"", ""fa"")
"),"استراتژی هایی را برای مدیریت اضافه بار اطلاعات، از جمله فیلتر کردن و سازماندهی موثر اطلاعات به اشتراک بگذارید.")</f>
        <v>استراتژی هایی را برای مدیریت اضافه بار اطلاعات، از جمله فیلتر کردن و سازماندهی موثر اطلاعات به اشتراک بگذارید.</v>
      </c>
      <c r="H2048" s="1"/>
      <c r="I2048" s="1"/>
      <c r="J2048" s="1"/>
      <c r="K2048" s="1"/>
      <c r="L2048" s="1"/>
      <c r="M2048" s="1"/>
      <c r="N2048" s="1"/>
      <c r="O2048" s="1"/>
      <c r="P2048" s="1"/>
      <c r="Q2048" s="1"/>
      <c r="R2048" s="1"/>
      <c r="S2048" s="1"/>
      <c r="T2048" s="1"/>
      <c r="U2048" s="1"/>
      <c r="V2048" s="1"/>
      <c r="W2048" s="1"/>
      <c r="X2048" s="1"/>
      <c r="Y2048" s="1"/>
      <c r="Z2048" s="1"/>
      <c r="AA2048" s="1"/>
      <c r="AB2048" s="1"/>
    </row>
    <row r="2049" ht="50.25" customHeight="1">
      <c r="A2049" s="12">
        <v>2045.0</v>
      </c>
      <c r="B2049" s="13" t="s">
        <v>2025</v>
      </c>
      <c r="C2049" s="14" t="s">
        <v>2060</v>
      </c>
      <c r="D2049" s="1"/>
      <c r="E2049" s="1"/>
      <c r="F2049" s="1" t="str">
        <f>IFERROR(__xludf.DUMMYFUNCTION("GOOGLETRANSLATE(B2049, ""en"", ""fa"")
"),"بهره وری و مدیریت زمان")</f>
        <v>بهره وری و مدیریت زمان</v>
      </c>
      <c r="G2049" s="1" t="str">
        <f>IFERROR(__xludf.DUMMYFUNCTION("GOOGLETRANSLATE(C2049, ""en"", ""fa"")
"),"در مورد مزایای تمرین ""قانون دو دقیقه"" برای انجام سریع کارهای سریع و جلوگیری از انباشت بحث کنید.")</f>
        <v>در مورد مزایای تمرین "قانون دو دقیقه" برای انجام سریع کارهای سریع و جلوگیری از انباشت بحث کنید.</v>
      </c>
      <c r="H2049" s="1"/>
      <c r="I2049" s="1"/>
      <c r="J2049" s="1"/>
      <c r="K2049" s="1"/>
      <c r="L2049" s="1"/>
      <c r="M2049" s="1"/>
      <c r="N2049" s="1"/>
      <c r="O2049" s="1"/>
      <c r="P2049" s="1"/>
      <c r="Q2049" s="1"/>
      <c r="R2049" s="1"/>
      <c r="S2049" s="1"/>
      <c r="T2049" s="1"/>
      <c r="U2049" s="1"/>
      <c r="V2049" s="1"/>
      <c r="W2049" s="1"/>
      <c r="X2049" s="1"/>
      <c r="Y2049" s="1"/>
      <c r="Z2049" s="1"/>
      <c r="AA2049" s="1"/>
      <c r="AB2049" s="1"/>
    </row>
    <row r="2050" ht="50.25" customHeight="1">
      <c r="A2050" s="12">
        <v>2046.0</v>
      </c>
      <c r="B2050" s="13" t="s">
        <v>2025</v>
      </c>
      <c r="C2050" s="14" t="s">
        <v>2061</v>
      </c>
      <c r="D2050" s="1"/>
      <c r="E2050" s="1"/>
      <c r="F2050" s="1" t="str">
        <f>IFERROR(__xludf.DUMMYFUNCTION("GOOGLETRANSLATE(B2050, ""en"", ""fa"")
"),"بهره وری و مدیریت زمان")</f>
        <v>بهره وری و مدیریت زمان</v>
      </c>
      <c r="G2050" s="1" t="str">
        <f>IFERROR(__xludf.DUMMYFUNCTION("GOOGLETRANSLATE(C2050, ""en"", ""fa"")
"),"روش‌های مختلف را برای ایجاد فرآیند بررسی هفتگی یا ماهانه برای ارزیابی پیشرفت و انجام تنظیمات لازم بررسی کنید.")</f>
        <v>روش‌های مختلف را برای ایجاد فرآیند بررسی هفتگی یا ماهانه برای ارزیابی پیشرفت و انجام تنظیمات لازم بررسی کنید.</v>
      </c>
      <c r="H2050" s="1"/>
      <c r="I2050" s="1"/>
      <c r="J2050" s="1"/>
      <c r="K2050" s="1"/>
      <c r="L2050" s="1"/>
      <c r="M2050" s="1"/>
      <c r="N2050" s="1"/>
      <c r="O2050" s="1"/>
      <c r="P2050" s="1"/>
      <c r="Q2050" s="1"/>
      <c r="R2050" s="1"/>
      <c r="S2050" s="1"/>
      <c r="T2050" s="1"/>
      <c r="U2050" s="1"/>
      <c r="V2050" s="1"/>
      <c r="W2050" s="1"/>
      <c r="X2050" s="1"/>
      <c r="Y2050" s="1"/>
      <c r="Z2050" s="1"/>
      <c r="AA2050" s="1"/>
      <c r="AB2050" s="1"/>
    </row>
    <row r="2051" ht="50.25" customHeight="1">
      <c r="A2051" s="12">
        <v>2047.0</v>
      </c>
      <c r="B2051" s="13" t="s">
        <v>2025</v>
      </c>
      <c r="C2051" s="14" t="s">
        <v>2062</v>
      </c>
      <c r="D2051" s="1"/>
      <c r="E2051" s="1"/>
      <c r="F2051" s="1" t="str">
        <f>IFERROR(__xludf.DUMMYFUNCTION("GOOGLETRANSLATE(B2051, ""en"", ""fa"")
"),"بهره وری و مدیریت زمان")</f>
        <v>بهره وری و مدیریت زمان</v>
      </c>
      <c r="G2051" s="1" t="str">
        <f>IFERROR(__xludf.DUMMYFUNCTION("GOOGLETRANSLATE(C2051, ""en"", ""fa"")
"),"نکاتی را برای برنامه ریزی پروژه موثر و تجزیه پروژه های پیچیده به وظایف قابل مدیریت به اشتراک بگذارید.")</f>
        <v>نکاتی را برای برنامه ریزی پروژه موثر و تجزیه پروژه های پیچیده به وظایف قابل مدیریت به اشتراک بگذارید.</v>
      </c>
      <c r="H2051" s="1"/>
      <c r="I2051" s="1"/>
      <c r="J2051" s="1"/>
      <c r="K2051" s="1"/>
      <c r="L2051" s="1"/>
      <c r="M2051" s="1"/>
      <c r="N2051" s="1"/>
      <c r="O2051" s="1"/>
      <c r="P2051" s="1"/>
      <c r="Q2051" s="1"/>
      <c r="R2051" s="1"/>
      <c r="S2051" s="1"/>
      <c r="T2051" s="1"/>
      <c r="U2051" s="1"/>
      <c r="V2051" s="1"/>
      <c r="W2051" s="1"/>
      <c r="X2051" s="1"/>
      <c r="Y2051" s="1"/>
      <c r="Z2051" s="1"/>
      <c r="AA2051" s="1"/>
      <c r="AB2051" s="1"/>
    </row>
    <row r="2052" ht="50.25" customHeight="1">
      <c r="A2052" s="12">
        <v>2048.0</v>
      </c>
      <c r="B2052" s="13" t="s">
        <v>2025</v>
      </c>
      <c r="C2052" s="14" t="s">
        <v>2063</v>
      </c>
      <c r="D2052" s="1"/>
      <c r="E2052" s="1"/>
      <c r="F2052" s="1" t="str">
        <f>IFERROR(__xludf.DUMMYFUNCTION("GOOGLETRANSLATE(B2052, ""en"", ""fa"")
"),"بهره وری و مدیریت زمان")</f>
        <v>بهره وری و مدیریت زمان</v>
      </c>
      <c r="G2052" s="1" t="str">
        <f>IFERROR(__xludf.DUMMYFUNCTION("GOOGLETRANSLATE(C2052, ""en"", ""fa"")
"),"در مورد اهمیت تعیین ضرب الاجل های واقع بینانه و مدیریت انتظارات برای جلوگیری از فشار بیش از حد و استرس بحث کنید.")</f>
        <v>در مورد اهمیت تعیین ضرب الاجل های واقع بینانه و مدیریت انتظارات برای جلوگیری از فشار بیش از حد و استرس بحث کنید.</v>
      </c>
      <c r="H2052" s="1"/>
      <c r="I2052" s="1"/>
      <c r="J2052" s="1"/>
      <c r="K2052" s="1"/>
      <c r="L2052" s="1"/>
      <c r="M2052" s="1"/>
      <c r="N2052" s="1"/>
      <c r="O2052" s="1"/>
      <c r="P2052" s="1"/>
      <c r="Q2052" s="1"/>
      <c r="R2052" s="1"/>
      <c r="S2052" s="1"/>
      <c r="T2052" s="1"/>
      <c r="U2052" s="1"/>
      <c r="V2052" s="1"/>
      <c r="W2052" s="1"/>
      <c r="X2052" s="1"/>
      <c r="Y2052" s="1"/>
      <c r="Z2052" s="1"/>
      <c r="AA2052" s="1"/>
      <c r="AB2052" s="1"/>
    </row>
    <row r="2053" ht="50.25" customHeight="1">
      <c r="A2053" s="12">
        <v>2049.0</v>
      </c>
      <c r="B2053" s="13" t="s">
        <v>2025</v>
      </c>
      <c r="C2053" s="14" t="s">
        <v>2064</v>
      </c>
      <c r="D2053" s="1"/>
      <c r="E2053" s="1"/>
      <c r="F2053" s="1" t="str">
        <f>IFERROR(__xludf.DUMMYFUNCTION("GOOGLETRANSLATE(B2053, ""en"", ""fa"")
"),"بهره وری و مدیریت زمان")</f>
        <v>بهره وری و مدیریت زمان</v>
      </c>
      <c r="G2053" s="1" t="str">
        <f>IFERROR(__xludf.DUMMYFUNCTION("GOOGLETRANSLATE(C2053, ""en"", ""fa"")
"),"تکنیک‌هایی را برای مدیریت و غلبه بر تمایلات کمال‌گرایی که مانع بهره‌وری می‌شوند را بررسی کنید.")</f>
        <v>تکنیک‌هایی را برای مدیریت و غلبه بر تمایلات کمال‌گرایی که مانع بهره‌وری می‌شوند را بررسی کنید.</v>
      </c>
      <c r="H2053" s="1"/>
      <c r="I2053" s="1"/>
      <c r="J2053" s="1"/>
      <c r="K2053" s="1"/>
      <c r="L2053" s="1"/>
      <c r="M2053" s="1"/>
      <c r="N2053" s="1"/>
      <c r="O2053" s="1"/>
      <c r="P2053" s="1"/>
      <c r="Q2053" s="1"/>
      <c r="R2053" s="1"/>
      <c r="S2053" s="1"/>
      <c r="T2053" s="1"/>
      <c r="U2053" s="1"/>
      <c r="V2053" s="1"/>
      <c r="W2053" s="1"/>
      <c r="X2053" s="1"/>
      <c r="Y2053" s="1"/>
      <c r="Z2053" s="1"/>
      <c r="AA2053" s="1"/>
      <c r="AB2053" s="1"/>
    </row>
    <row r="2054" ht="50.25" customHeight="1">
      <c r="A2054" s="12">
        <v>2050.0</v>
      </c>
      <c r="B2054" s="13" t="s">
        <v>2025</v>
      </c>
      <c r="C2054" s="14" t="s">
        <v>2065</v>
      </c>
      <c r="D2054" s="1"/>
      <c r="E2054" s="1"/>
      <c r="F2054" s="1" t="str">
        <f>IFERROR(__xludf.DUMMYFUNCTION("GOOGLETRANSLATE(B2054, ""en"", ""fa"")
"),"بهره وری و مدیریت زمان")</f>
        <v>بهره وری و مدیریت زمان</v>
      </c>
      <c r="G2054" s="1" t="str">
        <f>IFERROR(__xludf.DUMMYFUNCTION("GOOGLETRANSLATE(C2054, ""en"", ""fa"")
"),"استراتژی های ارتباط موثر و همکاری با تیم ها یا همکاران از راه دور در مناطق زمانی مختلف را به اشتراک بگذارید.")</f>
        <v>استراتژی های ارتباط موثر و همکاری با تیم ها یا همکاران از راه دور در مناطق زمانی مختلف را به اشتراک بگذارید.</v>
      </c>
      <c r="H2054" s="1"/>
      <c r="I2054" s="1"/>
      <c r="J2054" s="1"/>
      <c r="K2054" s="1"/>
      <c r="L2054" s="1"/>
      <c r="M2054" s="1"/>
      <c r="N2054" s="1"/>
      <c r="O2054" s="1"/>
      <c r="P2054" s="1"/>
      <c r="Q2054" s="1"/>
      <c r="R2054" s="1"/>
      <c r="S2054" s="1"/>
      <c r="T2054" s="1"/>
      <c r="U2054" s="1"/>
      <c r="V2054" s="1"/>
      <c r="W2054" s="1"/>
      <c r="X2054" s="1"/>
      <c r="Y2054" s="1"/>
      <c r="Z2054" s="1"/>
      <c r="AA2054" s="1"/>
      <c r="AB2054" s="1"/>
    </row>
    <row r="2055" ht="50.25" customHeight="1">
      <c r="A2055" s="12">
        <v>2051.0</v>
      </c>
      <c r="B2055" s="13" t="s">
        <v>2025</v>
      </c>
      <c r="C2055" s="14" t="s">
        <v>2066</v>
      </c>
      <c r="D2055" s="1"/>
      <c r="E2055" s="1"/>
      <c r="F2055" s="1" t="str">
        <f>IFERROR(__xludf.DUMMYFUNCTION("GOOGLETRANSLATE(B2055, ""en"", ""fa"")
"),"بهره وری و مدیریت زمان")</f>
        <v>بهره وری و مدیریت زمان</v>
      </c>
      <c r="G2055" s="1" t="str">
        <f>IFERROR(__xludf.DUMMYFUNCTION("GOOGLETRANSLATE(C2055, ""en"", ""fa"")
"),"در مورد مزایای گنجاندن تمرین‌های تمرکز حواس در برنامه‌های روزمره برای بهبود تمرکز و بهره‌وری بحث کنید.")</f>
        <v>در مورد مزایای گنجاندن تمرین‌های تمرکز حواس در برنامه‌های روزمره برای بهبود تمرکز و بهره‌وری بحث کنید.</v>
      </c>
      <c r="H2055" s="1"/>
      <c r="I2055" s="1"/>
      <c r="J2055" s="1"/>
      <c r="K2055" s="1"/>
      <c r="L2055" s="1"/>
      <c r="M2055" s="1"/>
      <c r="N2055" s="1"/>
      <c r="O2055" s="1"/>
      <c r="P2055" s="1"/>
      <c r="Q2055" s="1"/>
      <c r="R2055" s="1"/>
      <c r="S2055" s="1"/>
      <c r="T2055" s="1"/>
      <c r="U2055" s="1"/>
      <c r="V2055" s="1"/>
      <c r="W2055" s="1"/>
      <c r="X2055" s="1"/>
      <c r="Y2055" s="1"/>
      <c r="Z2055" s="1"/>
      <c r="AA2055" s="1"/>
      <c r="AB2055" s="1"/>
    </row>
    <row r="2056" ht="50.25" customHeight="1">
      <c r="A2056" s="12">
        <v>2052.0</v>
      </c>
      <c r="B2056" s="13" t="s">
        <v>2025</v>
      </c>
      <c r="C2056" s="14" t="s">
        <v>2067</v>
      </c>
      <c r="D2056" s="1"/>
      <c r="E2056" s="1"/>
      <c r="F2056" s="1" t="str">
        <f>IFERROR(__xludf.DUMMYFUNCTION("GOOGLETRANSLATE(B2056, ""en"", ""fa"")
"),"بهره وری و مدیریت زمان")</f>
        <v>بهره وری و مدیریت زمان</v>
      </c>
      <c r="G2056" s="1" t="str">
        <f>IFERROR(__xludf.DUMMYFUNCTION("GOOGLETRANSLATE(C2056, ""en"", ""fa"")
"),"روش های مختلف برای مدیریت و سازماندهی رمزهای عبور دیجیتال و اطلاعات ورود به سیستم را به صورت ایمن بررسی کنید.")</f>
        <v>روش های مختلف برای مدیریت و سازماندهی رمزهای عبور دیجیتال و اطلاعات ورود به سیستم را به صورت ایمن بررسی کنید.</v>
      </c>
      <c r="H2056" s="1"/>
      <c r="I2056" s="1"/>
      <c r="J2056" s="1"/>
      <c r="K2056" s="1"/>
      <c r="L2056" s="1"/>
      <c r="M2056" s="1"/>
      <c r="N2056" s="1"/>
      <c r="O2056" s="1"/>
      <c r="P2056" s="1"/>
      <c r="Q2056" s="1"/>
      <c r="R2056" s="1"/>
      <c r="S2056" s="1"/>
      <c r="T2056" s="1"/>
      <c r="U2056" s="1"/>
      <c r="V2056" s="1"/>
      <c r="W2056" s="1"/>
      <c r="X2056" s="1"/>
      <c r="Y2056" s="1"/>
      <c r="Z2056" s="1"/>
      <c r="AA2056" s="1"/>
      <c r="AB2056" s="1"/>
    </row>
    <row r="2057" ht="50.25" customHeight="1">
      <c r="A2057" s="12">
        <v>2053.0</v>
      </c>
      <c r="B2057" s="13" t="s">
        <v>2025</v>
      </c>
      <c r="C2057" s="14" t="s">
        <v>2068</v>
      </c>
      <c r="D2057" s="1"/>
      <c r="E2057" s="1"/>
      <c r="F2057" s="1" t="str">
        <f>IFERROR(__xludf.DUMMYFUNCTION("GOOGLETRANSLATE(B2057, ""en"", ""fa"")
"),"بهره وری و مدیریت زمان")</f>
        <v>بهره وری و مدیریت زمان</v>
      </c>
      <c r="G2057" s="1" t="str">
        <f>IFERROR(__xludf.DUMMYFUNCTION("GOOGLETRANSLATE(C2057, ""en"", ""fa"")
"),"نکاتی را برای مدیریت موثر ایمیل، از جمله تعیین بلوک های زمانی خاص برای بررسی و پاسخ به ایمیل ها، به اشتراک بگذارید.")</f>
        <v>نکاتی را برای مدیریت موثر ایمیل، از جمله تعیین بلوک های زمانی خاص برای بررسی و پاسخ به ایمیل ها، به اشتراک بگذارید.</v>
      </c>
      <c r="H2057" s="1"/>
      <c r="I2057" s="1"/>
      <c r="J2057" s="1"/>
      <c r="K2057" s="1"/>
      <c r="L2057" s="1"/>
      <c r="M2057" s="1"/>
      <c r="N2057" s="1"/>
      <c r="O2057" s="1"/>
      <c r="P2057" s="1"/>
      <c r="Q2057" s="1"/>
      <c r="R2057" s="1"/>
      <c r="S2057" s="1"/>
      <c r="T2057" s="1"/>
      <c r="U2057" s="1"/>
      <c r="V2057" s="1"/>
      <c r="W2057" s="1"/>
      <c r="X2057" s="1"/>
      <c r="Y2057" s="1"/>
      <c r="Z2057" s="1"/>
      <c r="AA2057" s="1"/>
      <c r="AB2057" s="1"/>
    </row>
    <row r="2058" ht="50.25" customHeight="1">
      <c r="A2058" s="12">
        <v>2054.0</v>
      </c>
      <c r="B2058" s="13" t="s">
        <v>2025</v>
      </c>
      <c r="C2058" s="14" t="s">
        <v>2069</v>
      </c>
      <c r="D2058" s="1"/>
      <c r="E2058" s="1"/>
      <c r="F2058" s="1" t="str">
        <f>IFERROR(__xludf.DUMMYFUNCTION("GOOGLETRANSLATE(B2058, ""en"", ""fa"")
"),"بهره وری و مدیریت زمان")</f>
        <v>بهره وری و مدیریت زمان</v>
      </c>
      <c r="G2058" s="1" t="str">
        <f>IFERROR(__xludf.DUMMYFUNCTION("GOOGLETRANSLATE(C2058, ""en"", ""fa"")
"),"در مورد اهمیت حفظ یک محیط کار سالم از جمله ارگونومی مناسب و سازماندهی فضای کاری بحث کنید.")</f>
        <v>در مورد اهمیت حفظ یک محیط کار سالم از جمله ارگونومی مناسب و سازماندهی فضای کاری بحث کنید.</v>
      </c>
      <c r="H2058" s="1"/>
      <c r="I2058" s="1"/>
      <c r="J2058" s="1"/>
      <c r="K2058" s="1"/>
      <c r="L2058" s="1"/>
      <c r="M2058" s="1"/>
      <c r="N2058" s="1"/>
      <c r="O2058" s="1"/>
      <c r="P2058" s="1"/>
      <c r="Q2058" s="1"/>
      <c r="R2058" s="1"/>
      <c r="S2058" s="1"/>
      <c r="T2058" s="1"/>
      <c r="U2058" s="1"/>
      <c r="V2058" s="1"/>
      <c r="W2058" s="1"/>
      <c r="X2058" s="1"/>
      <c r="Y2058" s="1"/>
      <c r="Z2058" s="1"/>
      <c r="AA2058" s="1"/>
      <c r="AB2058" s="1"/>
    </row>
    <row r="2059" ht="50.25" customHeight="1">
      <c r="A2059" s="12">
        <v>2055.0</v>
      </c>
      <c r="B2059" s="13" t="s">
        <v>2025</v>
      </c>
      <c r="C2059" s="14" t="s">
        <v>2070</v>
      </c>
      <c r="D2059" s="1"/>
      <c r="E2059" s="1"/>
      <c r="F2059" s="1" t="str">
        <f>IFERROR(__xludf.DUMMYFUNCTION("GOOGLETRANSLATE(B2059, ""en"", ""fa"")
"),"بهره وری و مدیریت زمان")</f>
        <v>بهره وری و مدیریت زمان</v>
      </c>
      <c r="G2059" s="1" t="str">
        <f>IFERROR(__xludf.DUMMYFUNCTION("GOOGLETRANSLATE(C2059, ""en"", ""fa"")
"),"تکنیک هایی برای مدیریت و کاهش خستگی تصمیم گیری برای انتخاب بهتر در طول روز کاوش کنید.")</f>
        <v>تکنیک هایی برای مدیریت و کاهش خستگی تصمیم گیری برای انتخاب بهتر در طول روز کاوش کنید.</v>
      </c>
      <c r="H2059" s="1"/>
      <c r="I2059" s="1"/>
      <c r="J2059" s="1"/>
      <c r="K2059" s="1"/>
      <c r="L2059" s="1"/>
      <c r="M2059" s="1"/>
      <c r="N2059" s="1"/>
      <c r="O2059" s="1"/>
      <c r="P2059" s="1"/>
      <c r="Q2059" s="1"/>
      <c r="R2059" s="1"/>
      <c r="S2059" s="1"/>
      <c r="T2059" s="1"/>
      <c r="U2059" s="1"/>
      <c r="V2059" s="1"/>
      <c r="W2059" s="1"/>
      <c r="X2059" s="1"/>
      <c r="Y2059" s="1"/>
      <c r="Z2059" s="1"/>
      <c r="AA2059" s="1"/>
      <c r="AB2059" s="1"/>
    </row>
    <row r="2060" ht="50.25" customHeight="1">
      <c r="A2060" s="12">
        <v>2056.0</v>
      </c>
      <c r="B2060" s="13" t="s">
        <v>2025</v>
      </c>
      <c r="C2060" s="14" t="s">
        <v>2071</v>
      </c>
      <c r="D2060" s="1"/>
      <c r="E2060" s="1"/>
      <c r="F2060" s="1" t="str">
        <f>IFERROR(__xludf.DUMMYFUNCTION("GOOGLETRANSLATE(B2060, ""en"", ""fa"")
"),"بهره وری و مدیریت زمان")</f>
        <v>بهره وری و مدیریت زمان</v>
      </c>
      <c r="G2060" s="1" t="str">
        <f>IFERROR(__xludf.DUMMYFUNCTION("GOOGLETRANSLATE(C2060, ""en"", ""fa"")
"),"برای افزایش کارایی، استراتژی‌هایی را برای دسته‌بندی کارها و گروه‌بندی وظایف مشابه با هم به اشتراک بگذارید.")</f>
        <v>برای افزایش کارایی، استراتژی‌هایی را برای دسته‌بندی کارها و گروه‌بندی وظایف مشابه با هم به اشتراک بگذارید.</v>
      </c>
      <c r="H2060" s="1"/>
      <c r="I2060" s="1"/>
      <c r="J2060" s="1"/>
      <c r="K2060" s="1"/>
      <c r="L2060" s="1"/>
      <c r="M2060" s="1"/>
      <c r="N2060" s="1"/>
      <c r="O2060" s="1"/>
      <c r="P2060" s="1"/>
      <c r="Q2060" s="1"/>
      <c r="R2060" s="1"/>
      <c r="S2060" s="1"/>
      <c r="T2060" s="1"/>
      <c r="U2060" s="1"/>
      <c r="V2060" s="1"/>
      <c r="W2060" s="1"/>
      <c r="X2060" s="1"/>
      <c r="Y2060" s="1"/>
      <c r="Z2060" s="1"/>
      <c r="AA2060" s="1"/>
      <c r="AB2060" s="1"/>
    </row>
    <row r="2061" ht="50.25" customHeight="1">
      <c r="A2061" s="12">
        <v>2057.0</v>
      </c>
      <c r="B2061" s="13" t="s">
        <v>2025</v>
      </c>
      <c r="C2061" s="14" t="s">
        <v>2072</v>
      </c>
      <c r="D2061" s="1"/>
      <c r="E2061" s="1"/>
      <c r="F2061" s="1" t="str">
        <f>IFERROR(__xludf.DUMMYFUNCTION("GOOGLETRANSLATE(B2061, ""en"", ""fa"")
"),"بهره وری و مدیریت زمان")</f>
        <v>بهره وری و مدیریت زمان</v>
      </c>
      <c r="G2061" s="1" t="str">
        <f>IFERROR(__xludf.DUMMYFUNCTION("GOOGLETRANSLATE(C2061, ""en"", ""fa"")
"),"در مورد مزایای استفاده از روش های مدیریت پروژه، مانند چابک یا ناب، برای افزایش بهره وری بحث کنید.")</f>
        <v>در مورد مزایای استفاده از روش های مدیریت پروژه، مانند چابک یا ناب، برای افزایش بهره وری بحث کنید.</v>
      </c>
      <c r="H2061" s="1"/>
      <c r="I2061" s="1"/>
      <c r="J2061" s="1"/>
      <c r="K2061" s="1"/>
      <c r="L2061" s="1"/>
      <c r="M2061" s="1"/>
      <c r="N2061" s="1"/>
      <c r="O2061" s="1"/>
      <c r="P2061" s="1"/>
      <c r="Q2061" s="1"/>
      <c r="R2061" s="1"/>
      <c r="S2061" s="1"/>
      <c r="T2061" s="1"/>
      <c r="U2061" s="1"/>
      <c r="V2061" s="1"/>
      <c r="W2061" s="1"/>
      <c r="X2061" s="1"/>
      <c r="Y2061" s="1"/>
      <c r="Z2061" s="1"/>
      <c r="AA2061" s="1"/>
      <c r="AB2061" s="1"/>
    </row>
    <row r="2062" ht="50.25" customHeight="1">
      <c r="A2062" s="12">
        <v>2058.0</v>
      </c>
      <c r="B2062" s="13" t="s">
        <v>2025</v>
      </c>
      <c r="C2062" s="14" t="s">
        <v>2073</v>
      </c>
      <c r="D2062" s="1"/>
      <c r="E2062" s="1"/>
      <c r="F2062" s="1" t="str">
        <f>IFERROR(__xludf.DUMMYFUNCTION("GOOGLETRANSLATE(B2062, ""en"", ""fa"")
"),"بهره وری و مدیریت زمان")</f>
        <v>بهره وری و مدیریت زمان</v>
      </c>
      <c r="G2062" s="1" t="str">
        <f>IFERROR(__xludf.DUMMYFUNCTION("GOOGLETRANSLATE(C2062, ""en"", ""fa"")
"),"روش های مختلف برای مدیریت و به حداقل رساندن وقفه ها در یک محیط کاری شلوغ را بررسی کنید.")</f>
        <v>روش های مختلف برای مدیریت و به حداقل رساندن وقفه ها در یک محیط کاری شلوغ را بررسی کنید.</v>
      </c>
      <c r="H2062" s="1"/>
      <c r="I2062" s="1"/>
      <c r="J2062" s="1"/>
      <c r="K2062" s="1"/>
      <c r="L2062" s="1"/>
      <c r="M2062" s="1"/>
      <c r="N2062" s="1"/>
      <c r="O2062" s="1"/>
      <c r="P2062" s="1"/>
      <c r="Q2062" s="1"/>
      <c r="R2062" s="1"/>
      <c r="S2062" s="1"/>
      <c r="T2062" s="1"/>
      <c r="U2062" s="1"/>
      <c r="V2062" s="1"/>
      <c r="W2062" s="1"/>
      <c r="X2062" s="1"/>
      <c r="Y2062" s="1"/>
      <c r="Z2062" s="1"/>
      <c r="AA2062" s="1"/>
      <c r="AB2062" s="1"/>
    </row>
    <row r="2063" ht="50.25" customHeight="1">
      <c r="A2063" s="12">
        <v>2059.0</v>
      </c>
      <c r="B2063" s="13" t="s">
        <v>2025</v>
      </c>
      <c r="C2063" s="14" t="s">
        <v>2074</v>
      </c>
      <c r="D2063" s="1"/>
      <c r="E2063" s="1"/>
      <c r="F2063" s="1" t="str">
        <f>IFERROR(__xludf.DUMMYFUNCTION("GOOGLETRANSLATE(B2063, ""en"", ""fa"")
"),"بهره وری و مدیریت زمان")</f>
        <v>بهره وری و مدیریت زمان</v>
      </c>
      <c r="G2063" s="1" t="str">
        <f>IFERROR(__xludf.DUMMYFUNCTION("GOOGLETRANSLATE(C2063, ""en"", ""fa"")
"),"نکاتی را برای تفویض اختیار موثر، از جمله ارزیابی وظایف، شناسایی اعضای تیم مناسب و ارائه دستورالعمل‌های واضح به اشتراک بگذارید.")</f>
        <v>نکاتی را برای تفویض اختیار موثر، از جمله ارزیابی وظایف، شناسایی اعضای تیم مناسب و ارائه دستورالعمل‌های واضح به اشتراک بگذارید.</v>
      </c>
      <c r="H2063" s="1"/>
      <c r="I2063" s="1"/>
      <c r="J2063" s="1"/>
      <c r="K2063" s="1"/>
      <c r="L2063" s="1"/>
      <c r="M2063" s="1"/>
      <c r="N2063" s="1"/>
      <c r="O2063" s="1"/>
      <c r="P2063" s="1"/>
      <c r="Q2063" s="1"/>
      <c r="R2063" s="1"/>
      <c r="S2063" s="1"/>
      <c r="T2063" s="1"/>
      <c r="U2063" s="1"/>
      <c r="V2063" s="1"/>
      <c r="W2063" s="1"/>
      <c r="X2063" s="1"/>
      <c r="Y2063" s="1"/>
      <c r="Z2063" s="1"/>
      <c r="AA2063" s="1"/>
      <c r="AB2063" s="1"/>
    </row>
    <row r="2064" ht="50.25" customHeight="1">
      <c r="A2064" s="12">
        <v>2060.0</v>
      </c>
      <c r="B2064" s="13" t="s">
        <v>2025</v>
      </c>
      <c r="C2064" s="14" t="s">
        <v>2075</v>
      </c>
      <c r="D2064" s="1"/>
      <c r="E2064" s="1"/>
      <c r="F2064" s="1" t="str">
        <f>IFERROR(__xludf.DUMMYFUNCTION("GOOGLETRANSLATE(B2064, ""en"", ""fa"")
"),"بهره وری و مدیریت زمان")</f>
        <v>بهره وری و مدیریت زمان</v>
      </c>
      <c r="G2064" s="1" t="str">
        <f>IFERROR(__xludf.DUMMYFUNCTION("GOOGLETRANSLATE(C2064, ""en"", ""fa"")
"),"در مورد اهمیت یادگیری مداوم و به روز ماندن در روندهای صنعت برای افزایش بهره وری بحث کنید.")</f>
        <v>در مورد اهمیت یادگیری مداوم و به روز ماندن در روندهای صنعت برای افزایش بهره وری بحث کنید.</v>
      </c>
      <c r="H2064" s="1"/>
      <c r="I2064" s="1"/>
      <c r="J2064" s="1"/>
      <c r="K2064" s="1"/>
      <c r="L2064" s="1"/>
      <c r="M2064" s="1"/>
      <c r="N2064" s="1"/>
      <c r="O2064" s="1"/>
      <c r="P2064" s="1"/>
      <c r="Q2064" s="1"/>
      <c r="R2064" s="1"/>
      <c r="S2064" s="1"/>
      <c r="T2064" s="1"/>
      <c r="U2064" s="1"/>
      <c r="V2064" s="1"/>
      <c r="W2064" s="1"/>
      <c r="X2064" s="1"/>
      <c r="Y2064" s="1"/>
      <c r="Z2064" s="1"/>
      <c r="AA2064" s="1"/>
      <c r="AB2064" s="1"/>
    </row>
    <row r="2065" ht="50.25" customHeight="1">
      <c r="A2065" s="12">
        <v>2061.0</v>
      </c>
      <c r="B2065" s="13" t="s">
        <v>2025</v>
      </c>
      <c r="C2065" s="14" t="s">
        <v>2076</v>
      </c>
      <c r="D2065" s="1"/>
      <c r="E2065" s="1"/>
      <c r="F2065" s="1" t="str">
        <f>IFERROR(__xludf.DUMMYFUNCTION("GOOGLETRANSLATE(B2065, ""en"", ""fa"")
"),"بهره وری و مدیریت زمان")</f>
        <v>بهره وری و مدیریت زمان</v>
      </c>
      <c r="G2065" s="1" t="str">
        <f>IFERROR(__xludf.DUMMYFUNCTION("GOOGLETRANSLATE(C2065, ""en"", ""fa"")
"),"تکنیک‌هایی را برای مدیریت و کاهش استرس ناشی از کار، مانند تمرین‌های تنفس عمیق یا استراحت‌های تمرکز حواس، بررسی کنید.")</f>
        <v>تکنیک‌هایی را برای مدیریت و کاهش استرس ناشی از کار، مانند تمرین‌های تنفس عمیق یا استراحت‌های تمرکز حواس، بررسی کنید.</v>
      </c>
      <c r="H2065" s="1"/>
      <c r="I2065" s="1"/>
      <c r="J2065" s="1"/>
      <c r="K2065" s="1"/>
      <c r="L2065" s="1"/>
      <c r="M2065" s="1"/>
      <c r="N2065" s="1"/>
      <c r="O2065" s="1"/>
      <c r="P2065" s="1"/>
      <c r="Q2065" s="1"/>
      <c r="R2065" s="1"/>
      <c r="S2065" s="1"/>
      <c r="T2065" s="1"/>
      <c r="U2065" s="1"/>
      <c r="V2065" s="1"/>
      <c r="W2065" s="1"/>
      <c r="X2065" s="1"/>
      <c r="Y2065" s="1"/>
      <c r="Z2065" s="1"/>
      <c r="AA2065" s="1"/>
      <c r="AB2065" s="1"/>
    </row>
    <row r="2066" ht="50.25" customHeight="1">
      <c r="A2066" s="12">
        <v>2062.0</v>
      </c>
      <c r="B2066" s="13" t="s">
        <v>2025</v>
      </c>
      <c r="C2066" s="14" t="s">
        <v>2077</v>
      </c>
      <c r="D2066" s="1"/>
      <c r="E2066" s="1"/>
      <c r="F2066" s="1" t="str">
        <f>IFERROR(__xludf.DUMMYFUNCTION("GOOGLETRANSLATE(B2066, ""en"", ""fa"")
"),"بهره وری و مدیریت زمان")</f>
        <v>بهره وری و مدیریت زمان</v>
      </c>
      <c r="G2066" s="1" t="str">
        <f>IFERROR(__xludf.DUMMYFUNCTION("GOOGLETRANSLATE(C2066, ""en"", ""fa"")
"),"استراتژی هایی برای خودانگیختگی موثر و غلبه بر تمایلات به تعویق انداختن را به اشتراک بگذارید.")</f>
        <v>استراتژی هایی برای خودانگیختگی موثر و غلبه بر تمایلات به تعویق انداختن را به اشتراک بگذارید.</v>
      </c>
      <c r="H2066" s="1"/>
      <c r="I2066" s="1"/>
      <c r="J2066" s="1"/>
      <c r="K2066" s="1"/>
      <c r="L2066" s="1"/>
      <c r="M2066" s="1"/>
      <c r="N2066" s="1"/>
      <c r="O2066" s="1"/>
      <c r="P2066" s="1"/>
      <c r="Q2066" s="1"/>
      <c r="R2066" s="1"/>
      <c r="S2066" s="1"/>
      <c r="T2066" s="1"/>
      <c r="U2066" s="1"/>
      <c r="V2066" s="1"/>
      <c r="W2066" s="1"/>
      <c r="X2066" s="1"/>
      <c r="Y2066" s="1"/>
      <c r="Z2066" s="1"/>
      <c r="AA2066" s="1"/>
      <c r="AB2066" s="1"/>
    </row>
    <row r="2067" ht="50.25" customHeight="1">
      <c r="A2067" s="12">
        <v>2063.0</v>
      </c>
      <c r="B2067" s="13" t="s">
        <v>2025</v>
      </c>
      <c r="C2067" s="14" t="s">
        <v>2078</v>
      </c>
      <c r="D2067" s="1"/>
      <c r="E2067" s="1"/>
      <c r="F2067" s="1" t="str">
        <f>IFERROR(__xludf.DUMMYFUNCTION("GOOGLETRANSLATE(B2067, ""en"", ""fa"")
"),"بهره وری و مدیریت زمان")</f>
        <v>بهره وری و مدیریت زمان</v>
      </c>
      <c r="G2067" s="1" t="str">
        <f>IFERROR(__xludf.DUMMYFUNCTION("GOOGLETRANSLATE(C2067, ""en"", ""fa"")
"),"در مورد مزایای حفظ یک ادغام سالم کار و زندگی، یافتن هماهنگی بین تعهدات شخصی و حرفه ای بحث کنید.")</f>
        <v>در مورد مزایای حفظ یک ادغام سالم کار و زندگی، یافتن هماهنگی بین تعهدات شخصی و حرفه ای بحث کنید.</v>
      </c>
      <c r="H2067" s="1"/>
      <c r="I2067" s="1"/>
      <c r="J2067" s="1"/>
      <c r="K2067" s="1"/>
      <c r="L2067" s="1"/>
      <c r="M2067" s="1"/>
      <c r="N2067" s="1"/>
      <c r="O2067" s="1"/>
      <c r="P2067" s="1"/>
      <c r="Q2067" s="1"/>
      <c r="R2067" s="1"/>
      <c r="S2067" s="1"/>
      <c r="T2067" s="1"/>
      <c r="U2067" s="1"/>
      <c r="V2067" s="1"/>
      <c r="W2067" s="1"/>
      <c r="X2067" s="1"/>
      <c r="Y2067" s="1"/>
      <c r="Z2067" s="1"/>
      <c r="AA2067" s="1"/>
      <c r="AB2067" s="1"/>
    </row>
    <row r="2068" ht="50.25" customHeight="1">
      <c r="A2068" s="12">
        <v>2064.0</v>
      </c>
      <c r="B2068" s="13" t="s">
        <v>2025</v>
      </c>
      <c r="C2068" s="14" t="s">
        <v>2079</v>
      </c>
      <c r="D2068" s="1"/>
      <c r="E2068" s="1"/>
      <c r="F2068" s="1" t="str">
        <f>IFERROR(__xludf.DUMMYFUNCTION("GOOGLETRANSLATE(B2068, ""en"", ""fa"")
"),"بهره وری و مدیریت زمان")</f>
        <v>بهره وری و مدیریت زمان</v>
      </c>
      <c r="G2068" s="1" t="str">
        <f>IFERROR(__xludf.DUMMYFUNCTION("GOOGLETRANSLATE(C2068, ""en"", ""fa"")
"),"روش های مختلف را برای مدیریت و سازماندهی فایل ها و اسناد دیجیتال برای بازیابی آسان کاوش کنید.")</f>
        <v>روش های مختلف را برای مدیریت و سازماندهی فایل ها و اسناد دیجیتال برای بازیابی آسان کاوش کنید.</v>
      </c>
      <c r="H2068" s="1"/>
      <c r="I2068" s="1"/>
      <c r="J2068" s="1"/>
      <c r="K2068" s="1"/>
      <c r="L2068" s="1"/>
      <c r="M2068" s="1"/>
      <c r="N2068" s="1"/>
      <c r="O2068" s="1"/>
      <c r="P2068" s="1"/>
      <c r="Q2068" s="1"/>
      <c r="R2068" s="1"/>
      <c r="S2068" s="1"/>
      <c r="T2068" s="1"/>
      <c r="U2068" s="1"/>
      <c r="V2068" s="1"/>
      <c r="W2068" s="1"/>
      <c r="X2068" s="1"/>
      <c r="Y2068" s="1"/>
      <c r="Z2068" s="1"/>
      <c r="AA2068" s="1"/>
      <c r="AB2068" s="1"/>
    </row>
    <row r="2069" ht="50.25" customHeight="1">
      <c r="A2069" s="12">
        <v>2065.0</v>
      </c>
      <c r="B2069" s="13" t="s">
        <v>2025</v>
      </c>
      <c r="C2069" s="14" t="s">
        <v>2080</v>
      </c>
      <c r="D2069" s="1"/>
      <c r="E2069" s="1"/>
      <c r="F2069" s="1" t="str">
        <f>IFERROR(__xludf.DUMMYFUNCTION("GOOGLETRANSLATE(B2069, ""en"", ""fa"")
"),"بهره وری و مدیریت زمان")</f>
        <v>بهره وری و مدیریت زمان</v>
      </c>
      <c r="G2069" s="1" t="str">
        <f>IFERROR(__xludf.DUMMYFUNCTION("GOOGLETRANSLATE(C2069, ""en"", ""fa"")
"),"نکاتی را برای مدیریت موثر جلسات، از جمله تعیین دستور کار، تعیین اهداف و تسهیل بحث های سازنده به اشتراک بگذارید.")</f>
        <v>نکاتی را برای مدیریت موثر جلسات، از جمله تعیین دستور کار، تعیین اهداف و تسهیل بحث های سازنده به اشتراک بگذارید.</v>
      </c>
      <c r="H2069" s="1"/>
      <c r="I2069" s="1"/>
      <c r="J2069" s="1"/>
      <c r="K2069" s="1"/>
      <c r="L2069" s="1"/>
      <c r="M2069" s="1"/>
      <c r="N2069" s="1"/>
      <c r="O2069" s="1"/>
      <c r="P2069" s="1"/>
      <c r="Q2069" s="1"/>
      <c r="R2069" s="1"/>
      <c r="S2069" s="1"/>
      <c r="T2069" s="1"/>
      <c r="U2069" s="1"/>
      <c r="V2069" s="1"/>
      <c r="W2069" s="1"/>
      <c r="X2069" s="1"/>
      <c r="Y2069" s="1"/>
      <c r="Z2069" s="1"/>
      <c r="AA2069" s="1"/>
      <c r="AB2069" s="1"/>
    </row>
    <row r="2070" ht="50.25" customHeight="1">
      <c r="A2070" s="12">
        <v>2066.0</v>
      </c>
      <c r="B2070" s="13" t="s">
        <v>2025</v>
      </c>
      <c r="C2070" s="14" t="s">
        <v>2081</v>
      </c>
      <c r="D2070" s="1"/>
      <c r="E2070" s="1"/>
      <c r="F2070" s="1" t="str">
        <f>IFERROR(__xludf.DUMMYFUNCTION("GOOGLETRANSLATE(B2070, ""en"", ""fa"")
"),"بهره وری و مدیریت زمان")</f>
        <v>بهره وری و مدیریت زمان</v>
      </c>
      <c r="G2070" s="1" t="str">
        <f>IFERROR(__xludf.DUMMYFUNCTION("GOOGLETRANSLATE(C2070, ""en"", ""fa"")
"),"در مورد اهمیت حفظ حجم کار متعادل و اجتناب از تعهد بیش از حد برای جلوگیری از فرسودگی صحبت کنید.")</f>
        <v>در مورد اهمیت حفظ حجم کار متعادل و اجتناب از تعهد بیش از حد برای جلوگیری از فرسودگی صحبت کنید.</v>
      </c>
      <c r="H2070" s="1"/>
      <c r="I2070" s="1"/>
      <c r="J2070" s="1"/>
      <c r="K2070" s="1"/>
      <c r="L2070" s="1"/>
      <c r="M2070" s="1"/>
      <c r="N2070" s="1"/>
      <c r="O2070" s="1"/>
      <c r="P2070" s="1"/>
      <c r="Q2070" s="1"/>
      <c r="R2070" s="1"/>
      <c r="S2070" s="1"/>
      <c r="T2070" s="1"/>
      <c r="U2070" s="1"/>
      <c r="V2070" s="1"/>
      <c r="W2070" s="1"/>
      <c r="X2070" s="1"/>
      <c r="Y2070" s="1"/>
      <c r="Z2070" s="1"/>
      <c r="AA2070" s="1"/>
      <c r="AB2070" s="1"/>
    </row>
    <row r="2071" ht="50.25" customHeight="1">
      <c r="A2071" s="12">
        <v>2067.0</v>
      </c>
      <c r="B2071" s="13" t="s">
        <v>2025</v>
      </c>
      <c r="C2071" s="14" t="s">
        <v>2082</v>
      </c>
      <c r="D2071" s="1"/>
      <c r="E2071" s="1"/>
      <c r="F2071" s="1" t="str">
        <f>IFERROR(__xludf.DUMMYFUNCTION("GOOGLETRANSLATE(B2071, ""en"", ""fa"")
"),"بهره وری و مدیریت زمان")</f>
        <v>بهره وری و مدیریت زمان</v>
      </c>
      <c r="G2071" s="1" t="str">
        <f>IFERROR(__xludf.DUMMYFUNCTION("GOOGLETRANSLATE(C2071, ""en"", ""fa"")
"),"تکنیک‌هایی را برای مدیریت و کاهش به هم ریختگی دیجیتال، از جمله سازمان‌دهی فایل‌های رایانه، نشانک‌ها و برگه‌های مرورگر، کاوش کنید.")</f>
        <v>تکنیک‌هایی را برای مدیریت و کاهش به هم ریختگی دیجیتال، از جمله سازمان‌دهی فایل‌های رایانه، نشانک‌ها و برگه‌های مرورگر، کاوش کنید.</v>
      </c>
      <c r="H2071" s="1"/>
      <c r="I2071" s="1"/>
      <c r="J2071" s="1"/>
      <c r="K2071" s="1"/>
      <c r="L2071" s="1"/>
      <c r="M2071" s="1"/>
      <c r="N2071" s="1"/>
      <c r="O2071" s="1"/>
      <c r="P2071" s="1"/>
      <c r="Q2071" s="1"/>
      <c r="R2071" s="1"/>
      <c r="S2071" s="1"/>
      <c r="T2071" s="1"/>
      <c r="U2071" s="1"/>
      <c r="V2071" s="1"/>
      <c r="W2071" s="1"/>
      <c r="X2071" s="1"/>
      <c r="Y2071" s="1"/>
      <c r="Z2071" s="1"/>
      <c r="AA2071" s="1"/>
      <c r="AB2071" s="1"/>
    </row>
    <row r="2072" ht="50.25" customHeight="1">
      <c r="A2072" s="12">
        <v>2068.0</v>
      </c>
      <c r="B2072" s="13" t="s">
        <v>2025</v>
      </c>
      <c r="C2072" s="14" t="s">
        <v>2083</v>
      </c>
      <c r="D2072" s="1"/>
      <c r="E2072" s="1"/>
      <c r="F2072" s="1" t="str">
        <f>IFERROR(__xludf.DUMMYFUNCTION("GOOGLETRANSLATE(B2072, ""en"", ""fa"")
"),"بهره وری و مدیریت زمان")</f>
        <v>بهره وری و مدیریت زمان</v>
      </c>
      <c r="G2072" s="1" t="str">
        <f>IFERROR(__xludf.DUMMYFUNCTION("GOOGLETRANSLATE(C2072, ""en"", ""fa"")
"),"استراتژی ها را برای اولویت بندی کارها به اشتراک بگذارید، از جمله استفاده از ماتریس فوری-مهم یا سایر چارچوب های اولویت بندی.")</f>
        <v>استراتژی ها را برای اولویت بندی کارها به اشتراک بگذارید، از جمله استفاده از ماتریس فوری-مهم یا سایر چارچوب های اولویت بندی.</v>
      </c>
      <c r="H2072" s="1"/>
      <c r="I2072" s="1"/>
      <c r="J2072" s="1"/>
      <c r="K2072" s="1"/>
      <c r="L2072" s="1"/>
      <c r="M2072" s="1"/>
      <c r="N2072" s="1"/>
      <c r="O2072" s="1"/>
      <c r="P2072" s="1"/>
      <c r="Q2072" s="1"/>
      <c r="R2072" s="1"/>
      <c r="S2072" s="1"/>
      <c r="T2072" s="1"/>
      <c r="U2072" s="1"/>
      <c r="V2072" s="1"/>
      <c r="W2072" s="1"/>
      <c r="X2072" s="1"/>
      <c r="Y2072" s="1"/>
      <c r="Z2072" s="1"/>
      <c r="AA2072" s="1"/>
      <c r="AB2072" s="1"/>
    </row>
    <row r="2073" ht="50.25" customHeight="1">
      <c r="A2073" s="12">
        <v>2069.0</v>
      </c>
      <c r="B2073" s="13" t="s">
        <v>2025</v>
      </c>
      <c r="C2073" s="14" t="s">
        <v>2084</v>
      </c>
      <c r="D2073" s="1"/>
      <c r="E2073" s="1"/>
      <c r="F2073" s="1" t="str">
        <f>IFERROR(__xludf.DUMMYFUNCTION("GOOGLETRANSLATE(B2073, ""en"", ""fa"")
"),"بهره وری و مدیریت زمان")</f>
        <v>بهره وری و مدیریت زمان</v>
      </c>
      <c r="G2073" s="1" t="str">
        <f>IFERROR(__xludf.DUMMYFUNCTION("GOOGLETRANSLATE(C2073, ""en"", ""fa"")
"),"در مورد مزایای گنجاندن استراحت ها و فعالیت های ترمیمی در روال روزانه برای بهبود بهره وری و تمرکز بحث کنید.")</f>
        <v>در مورد مزایای گنجاندن استراحت ها و فعالیت های ترمیمی در روال روزانه برای بهبود بهره وری و تمرکز بحث کنید.</v>
      </c>
      <c r="H2073" s="1"/>
      <c r="I2073" s="1"/>
      <c r="J2073" s="1"/>
      <c r="K2073" s="1"/>
      <c r="L2073" s="1"/>
      <c r="M2073" s="1"/>
      <c r="N2073" s="1"/>
      <c r="O2073" s="1"/>
      <c r="P2073" s="1"/>
      <c r="Q2073" s="1"/>
      <c r="R2073" s="1"/>
      <c r="S2073" s="1"/>
      <c r="T2073" s="1"/>
      <c r="U2073" s="1"/>
      <c r="V2073" s="1"/>
      <c r="W2073" s="1"/>
      <c r="X2073" s="1"/>
      <c r="Y2073" s="1"/>
      <c r="Z2073" s="1"/>
      <c r="AA2073" s="1"/>
      <c r="AB2073" s="1"/>
    </row>
    <row r="2074" ht="50.25" customHeight="1">
      <c r="A2074" s="12">
        <v>2070.0</v>
      </c>
      <c r="B2074" s="13" t="s">
        <v>2025</v>
      </c>
      <c r="C2074" s="14" t="s">
        <v>2085</v>
      </c>
      <c r="D2074" s="1"/>
      <c r="E2074" s="1"/>
      <c r="F2074" s="1" t="str">
        <f>IFERROR(__xludf.DUMMYFUNCTION("GOOGLETRANSLATE(B2074, ""en"", ""fa"")
"),"بهره وری و مدیریت زمان")</f>
        <v>بهره وری و مدیریت زمان</v>
      </c>
      <c r="G2074" s="1" t="str">
        <f>IFERROR(__xludf.DUMMYFUNCTION("GOOGLETRANSLATE(C2074, ""en"", ""fa"")
"),"روش‌های مختلف برای مدیریت و کاهش اضافه بار ایمیل، مانند اجرای فیلترهای ایمیل یا استفاده از صندوق‌های ورودی جداگانه را بررسی کنید.")</f>
        <v>روش‌های مختلف برای مدیریت و کاهش اضافه بار ایمیل، مانند اجرای فیلترهای ایمیل یا استفاده از صندوق‌های ورودی جداگانه را بررسی کنید.</v>
      </c>
      <c r="H2074" s="1"/>
      <c r="I2074" s="1"/>
      <c r="J2074" s="1"/>
      <c r="K2074" s="1"/>
      <c r="L2074" s="1"/>
      <c r="M2074" s="1"/>
      <c r="N2074" s="1"/>
      <c r="O2074" s="1"/>
      <c r="P2074" s="1"/>
      <c r="Q2074" s="1"/>
      <c r="R2074" s="1"/>
      <c r="S2074" s="1"/>
      <c r="T2074" s="1"/>
      <c r="U2074" s="1"/>
      <c r="V2074" s="1"/>
      <c r="W2074" s="1"/>
      <c r="X2074" s="1"/>
      <c r="Y2074" s="1"/>
      <c r="Z2074" s="1"/>
      <c r="AA2074" s="1"/>
      <c r="AB2074" s="1"/>
    </row>
    <row r="2075" ht="50.25" customHeight="1">
      <c r="A2075" s="12">
        <v>2071.0</v>
      </c>
      <c r="B2075" s="13" t="s">
        <v>2025</v>
      </c>
      <c r="C2075" s="14" t="s">
        <v>2086</v>
      </c>
      <c r="D2075" s="1"/>
      <c r="E2075" s="1"/>
      <c r="F2075" s="1" t="str">
        <f>IFERROR(__xludf.DUMMYFUNCTION("GOOGLETRANSLATE(B2075, ""en"", ""fa"")
"),"بهره وری و مدیریت زمان")</f>
        <v>بهره وری و مدیریت زمان</v>
      </c>
      <c r="G2075" s="1" t="str">
        <f>IFERROR(__xludf.DUMMYFUNCTION("GOOGLETRANSLATE(C2075, ""en"", ""fa"")
"),"نکاتی را برای تجسم هدف موثر و استفاده از تابلوهای دید یا یادآورهای بصری برای باانگیختگی به اشتراک بگذارید.")</f>
        <v>نکاتی را برای تجسم هدف موثر و استفاده از تابلوهای دید یا یادآورهای بصری برای باانگیختگی به اشتراک بگذارید.</v>
      </c>
      <c r="H2075" s="1"/>
      <c r="I2075" s="1"/>
      <c r="J2075" s="1"/>
      <c r="K2075" s="1"/>
      <c r="L2075" s="1"/>
      <c r="M2075" s="1"/>
      <c r="N2075" s="1"/>
      <c r="O2075" s="1"/>
      <c r="P2075" s="1"/>
      <c r="Q2075" s="1"/>
      <c r="R2075" s="1"/>
      <c r="S2075" s="1"/>
      <c r="T2075" s="1"/>
      <c r="U2075" s="1"/>
      <c r="V2075" s="1"/>
      <c r="W2075" s="1"/>
      <c r="X2075" s="1"/>
      <c r="Y2075" s="1"/>
      <c r="Z2075" s="1"/>
      <c r="AA2075" s="1"/>
      <c r="AB2075" s="1"/>
    </row>
    <row r="2076" ht="50.25" customHeight="1">
      <c r="A2076" s="12">
        <v>2072.0</v>
      </c>
      <c r="B2076" s="13" t="s">
        <v>2025</v>
      </c>
      <c r="C2076" s="14" t="s">
        <v>2087</v>
      </c>
      <c r="D2076" s="1"/>
      <c r="E2076" s="1"/>
      <c r="F2076" s="1" t="str">
        <f>IFERROR(__xludf.DUMMYFUNCTION("GOOGLETRANSLATE(B2076, ""en"", ""fa"")
"),"بهره وری و مدیریت زمان")</f>
        <v>بهره وری و مدیریت زمان</v>
      </c>
      <c r="G2076" s="1" t="str">
        <f>IFERROR(__xludf.DUMMYFUNCTION("GOOGLETRANSLATE(C2076, ""en"", ""fa"")
"),"در مورد اهمیت تعیین مرزها و یادگیری نه گفتن به وظایف یا تعهدات غیر ضروری بحث کنید.")</f>
        <v>در مورد اهمیت تعیین مرزها و یادگیری نه گفتن به وظایف یا تعهدات غیر ضروری بحث کنید.</v>
      </c>
      <c r="H2076" s="1"/>
      <c r="I2076" s="1"/>
      <c r="J2076" s="1"/>
      <c r="K2076" s="1"/>
      <c r="L2076" s="1"/>
      <c r="M2076" s="1"/>
      <c r="N2076" s="1"/>
      <c r="O2076" s="1"/>
      <c r="P2076" s="1"/>
      <c r="Q2076" s="1"/>
      <c r="R2076" s="1"/>
      <c r="S2076" s="1"/>
      <c r="T2076" s="1"/>
      <c r="U2076" s="1"/>
      <c r="V2076" s="1"/>
      <c r="W2076" s="1"/>
      <c r="X2076" s="1"/>
      <c r="Y2076" s="1"/>
      <c r="Z2076" s="1"/>
      <c r="AA2076" s="1"/>
      <c r="AB2076" s="1"/>
    </row>
    <row r="2077" ht="50.25" customHeight="1">
      <c r="A2077" s="12">
        <v>2073.0</v>
      </c>
      <c r="B2077" s="13" t="s">
        <v>2025</v>
      </c>
      <c r="C2077" s="14" t="s">
        <v>2088</v>
      </c>
      <c r="D2077" s="1"/>
      <c r="E2077" s="1"/>
      <c r="F2077" s="1" t="str">
        <f>IFERROR(__xludf.DUMMYFUNCTION("GOOGLETRANSLATE(B2077, ""en"", ""fa"")
"),"بهره وری و مدیریت زمان")</f>
        <v>بهره وری و مدیریت زمان</v>
      </c>
      <c r="G2077" s="1" t="str">
        <f>IFERROR(__xludf.DUMMYFUNCTION("GOOGLETRANSLATE(C2077, ""en"", ""fa"")
"),"تکنیک‌هایی را برای مدیریت و به حداقل رساندن تمایلات به تعویق انداختن، مانند استفاده از رویکرد «آن قورباغه را بخور» کاوش کنید.")</f>
        <v>تکنیک‌هایی را برای مدیریت و به حداقل رساندن تمایلات به تعویق انداختن، مانند استفاده از رویکرد «آن قورباغه را بخور» کاوش کنید.</v>
      </c>
      <c r="H2077" s="1"/>
      <c r="I2077" s="1"/>
      <c r="J2077" s="1"/>
      <c r="K2077" s="1"/>
      <c r="L2077" s="1"/>
      <c r="M2077" s="1"/>
      <c r="N2077" s="1"/>
      <c r="O2077" s="1"/>
      <c r="P2077" s="1"/>
      <c r="Q2077" s="1"/>
      <c r="R2077" s="1"/>
      <c r="S2077" s="1"/>
      <c r="T2077" s="1"/>
      <c r="U2077" s="1"/>
      <c r="V2077" s="1"/>
      <c r="W2077" s="1"/>
      <c r="X2077" s="1"/>
      <c r="Y2077" s="1"/>
      <c r="Z2077" s="1"/>
      <c r="AA2077" s="1"/>
      <c r="AB2077" s="1"/>
    </row>
    <row r="2078" ht="50.25" customHeight="1">
      <c r="A2078" s="12">
        <v>2074.0</v>
      </c>
      <c r="B2078" s="13" t="s">
        <v>2025</v>
      </c>
      <c r="C2078" s="14" t="s">
        <v>2089</v>
      </c>
      <c r="D2078" s="1"/>
      <c r="E2078" s="1"/>
      <c r="F2078" s="1" t="str">
        <f>IFERROR(__xludf.DUMMYFUNCTION("GOOGLETRANSLATE(B2078, ""en"", ""fa"")
"),"بهره وری و مدیریت زمان")</f>
        <v>بهره وری و مدیریت زمان</v>
      </c>
      <c r="G2078" s="1" t="str">
        <f>IFERROR(__xludf.DUMMYFUNCTION("GOOGLETRANSLATE(C2078, ""en"", ""fa"")
"),"استراتژی‌هایی را برای ردیابی زمان مؤثر و شناسایی فعالیت‌ها یا عادت‌های اتلاف وقت به اشتراک بگذارید.")</f>
        <v>استراتژی‌هایی را برای ردیابی زمان مؤثر و شناسایی فعالیت‌ها یا عادت‌های اتلاف وقت به اشتراک بگذارید.</v>
      </c>
      <c r="H2078" s="1"/>
      <c r="I2078" s="1"/>
      <c r="J2078" s="1"/>
      <c r="K2078" s="1"/>
      <c r="L2078" s="1"/>
      <c r="M2078" s="1"/>
      <c r="N2078" s="1"/>
      <c r="O2078" s="1"/>
      <c r="P2078" s="1"/>
      <c r="Q2078" s="1"/>
      <c r="R2078" s="1"/>
      <c r="S2078" s="1"/>
      <c r="T2078" s="1"/>
      <c r="U2078" s="1"/>
      <c r="V2078" s="1"/>
      <c r="W2078" s="1"/>
      <c r="X2078" s="1"/>
      <c r="Y2078" s="1"/>
      <c r="Z2078" s="1"/>
      <c r="AA2078" s="1"/>
      <c r="AB2078" s="1"/>
    </row>
    <row r="2079" ht="50.25" customHeight="1">
      <c r="A2079" s="12">
        <v>2075.0</v>
      </c>
      <c r="B2079" s="13" t="s">
        <v>2025</v>
      </c>
      <c r="C2079" s="14" t="s">
        <v>2090</v>
      </c>
      <c r="D2079" s="1"/>
      <c r="E2079" s="1"/>
      <c r="F2079" s="1" t="str">
        <f>IFERROR(__xludf.DUMMYFUNCTION("GOOGLETRANSLATE(B2079, ""en"", ""fa"")
"),"بهره وری و مدیریت زمان")</f>
        <v>بهره وری و مدیریت زمان</v>
      </c>
      <c r="G2079" s="1" t="str">
        <f>IFERROR(__xludf.DUMMYFUNCTION("GOOGLETRANSLATE(C2079, ""en"", ""fa"")
"),"در مورد مزایای تمرین مهارت های ارتباط موثر، از جمله گوش دادن فعال و بیان مختصر ایده ها بحث کنید.")</f>
        <v>در مورد مزایای تمرین مهارت های ارتباط موثر، از جمله گوش دادن فعال و بیان مختصر ایده ها بحث کنید.</v>
      </c>
      <c r="H2079" s="1"/>
      <c r="I2079" s="1"/>
      <c r="J2079" s="1"/>
      <c r="K2079" s="1"/>
      <c r="L2079" s="1"/>
      <c r="M2079" s="1"/>
      <c r="N2079" s="1"/>
      <c r="O2079" s="1"/>
      <c r="P2079" s="1"/>
      <c r="Q2079" s="1"/>
      <c r="R2079" s="1"/>
      <c r="S2079" s="1"/>
      <c r="T2079" s="1"/>
      <c r="U2079" s="1"/>
      <c r="V2079" s="1"/>
      <c r="W2079" s="1"/>
      <c r="X2079" s="1"/>
      <c r="Y2079" s="1"/>
      <c r="Z2079" s="1"/>
      <c r="AA2079" s="1"/>
      <c r="AB2079" s="1"/>
    </row>
    <row r="2080" ht="50.25" customHeight="1">
      <c r="A2080" s="12">
        <v>2076.0</v>
      </c>
      <c r="B2080" s="13" t="s">
        <v>2025</v>
      </c>
      <c r="C2080" s="14" t="s">
        <v>2091</v>
      </c>
      <c r="D2080" s="1"/>
      <c r="E2080" s="1"/>
      <c r="F2080" s="1" t="str">
        <f>IFERROR(__xludf.DUMMYFUNCTION("GOOGLETRANSLATE(B2080, ""en"", ""fa"")
"),"بهره وری و مدیریت زمان")</f>
        <v>بهره وری و مدیریت زمان</v>
      </c>
      <c r="G2080" s="1" t="str">
        <f>IFERROR(__xludf.DUMMYFUNCTION("GOOGLETRANSLATE(C2080, ""en"", ""fa"")
"),"روش های مختلف را برای مدیریت و سازماندهی اسناد فیزیکی و کاغذبازی برای افزایش کارایی کاوش کنید.")</f>
        <v>روش های مختلف را برای مدیریت و سازماندهی اسناد فیزیکی و کاغذبازی برای افزایش کارایی کاوش کنید.</v>
      </c>
      <c r="H2080" s="1"/>
      <c r="I2080" s="1"/>
      <c r="J2080" s="1"/>
      <c r="K2080" s="1"/>
      <c r="L2080" s="1"/>
      <c r="M2080" s="1"/>
      <c r="N2080" s="1"/>
      <c r="O2080" s="1"/>
      <c r="P2080" s="1"/>
      <c r="Q2080" s="1"/>
      <c r="R2080" s="1"/>
      <c r="S2080" s="1"/>
      <c r="T2080" s="1"/>
      <c r="U2080" s="1"/>
      <c r="V2080" s="1"/>
      <c r="W2080" s="1"/>
      <c r="X2080" s="1"/>
      <c r="Y2080" s="1"/>
      <c r="Z2080" s="1"/>
      <c r="AA2080" s="1"/>
      <c r="AB2080" s="1"/>
    </row>
    <row r="2081" ht="50.25" customHeight="1">
      <c r="A2081" s="12">
        <v>2077.0</v>
      </c>
      <c r="B2081" s="13" t="s">
        <v>2025</v>
      </c>
      <c r="C2081" s="14" t="s">
        <v>2092</v>
      </c>
      <c r="D2081" s="1"/>
      <c r="E2081" s="1"/>
      <c r="F2081" s="1" t="str">
        <f>IFERROR(__xludf.DUMMYFUNCTION("GOOGLETRANSLATE(B2081, ""en"", ""fa"")
"),"بهره وری و مدیریت زمان")</f>
        <v>بهره وری و مدیریت زمان</v>
      </c>
      <c r="G2081" s="1" t="str">
        <f>IFERROR(__xludf.DUMMYFUNCTION("GOOGLETRANSLATE(C2081, ""en"", ""fa"")
"),"نکاتی را برای مدیریت موثر انرژی در طول روز به اشتراک بگذارید، از جمله استفاده از ریتم های طبیعی شبانه روزی و چرت زدن با قدرت.")</f>
        <v>نکاتی را برای مدیریت موثر انرژی در طول روز به اشتراک بگذارید، از جمله استفاده از ریتم های طبیعی شبانه روزی و چرت زدن با قدرت.</v>
      </c>
      <c r="H2081" s="1"/>
      <c r="I2081" s="1"/>
      <c r="J2081" s="1"/>
      <c r="K2081" s="1"/>
      <c r="L2081" s="1"/>
      <c r="M2081" s="1"/>
      <c r="N2081" s="1"/>
      <c r="O2081" s="1"/>
      <c r="P2081" s="1"/>
      <c r="Q2081" s="1"/>
      <c r="R2081" s="1"/>
      <c r="S2081" s="1"/>
      <c r="T2081" s="1"/>
      <c r="U2081" s="1"/>
      <c r="V2081" s="1"/>
      <c r="W2081" s="1"/>
      <c r="X2081" s="1"/>
      <c r="Y2081" s="1"/>
      <c r="Z2081" s="1"/>
      <c r="AA2081" s="1"/>
      <c r="AB2081" s="1"/>
    </row>
    <row r="2082" ht="50.25" customHeight="1">
      <c r="A2082" s="12">
        <v>2078.0</v>
      </c>
      <c r="B2082" s="13" t="s">
        <v>2025</v>
      </c>
      <c r="C2082" s="14" t="s">
        <v>2093</v>
      </c>
      <c r="D2082" s="1"/>
      <c r="E2082" s="1"/>
      <c r="F2082" s="1" t="str">
        <f>IFERROR(__xludf.DUMMYFUNCTION("GOOGLETRANSLATE(B2082, ""en"", ""fa"")
"),"بهره وری و مدیریت زمان")</f>
        <v>بهره وری و مدیریت زمان</v>
      </c>
      <c r="G2082" s="1" t="str">
        <f>IFERROR(__xludf.DUMMYFUNCTION("GOOGLETRANSLATE(C2082, ""en"", ""fa"")
"),"در مورد اهمیت حفظ یک برنامه خواب سالم و داشتن خواب با کیفیت کافی برای بهره وری بهینه بحث کنید.")</f>
        <v>در مورد اهمیت حفظ یک برنامه خواب سالم و داشتن خواب با کیفیت کافی برای بهره وری بهینه بحث کنید.</v>
      </c>
      <c r="H2082" s="1"/>
      <c r="I2082" s="1"/>
      <c r="J2082" s="1"/>
      <c r="K2082" s="1"/>
      <c r="L2082" s="1"/>
      <c r="M2082" s="1"/>
      <c r="N2082" s="1"/>
      <c r="O2082" s="1"/>
      <c r="P2082" s="1"/>
      <c r="Q2082" s="1"/>
      <c r="R2082" s="1"/>
      <c r="S2082" s="1"/>
      <c r="T2082" s="1"/>
      <c r="U2082" s="1"/>
      <c r="V2082" s="1"/>
      <c r="W2082" s="1"/>
      <c r="X2082" s="1"/>
      <c r="Y2082" s="1"/>
      <c r="Z2082" s="1"/>
      <c r="AA2082" s="1"/>
      <c r="AB2082" s="1"/>
    </row>
    <row r="2083" ht="50.25" customHeight="1">
      <c r="A2083" s="12">
        <v>2079.0</v>
      </c>
      <c r="B2083" s="13" t="s">
        <v>2025</v>
      </c>
      <c r="C2083" s="14" t="s">
        <v>2094</v>
      </c>
      <c r="D2083" s="1"/>
      <c r="E2083" s="1"/>
      <c r="F2083" s="1" t="str">
        <f>IFERROR(__xludf.DUMMYFUNCTION("GOOGLETRANSLATE(B2083, ""en"", ""fa"")
"),"بهره وری و مدیریت زمان")</f>
        <v>بهره وری و مدیریت زمان</v>
      </c>
      <c r="G2083" s="1" t="str">
        <f>IFERROR(__xludf.DUMMYFUNCTION("GOOGLETRANSLATE(C2083, ""en"", ""fa"")
"),"با تقسیم کردن وظایف به مراحل کوچکتر و قابل اجرا، تکنیک هایی را برای مدیریت و کاهش فشار کاری کاوش کنید.")</f>
        <v>با تقسیم کردن وظایف به مراحل کوچکتر و قابل اجرا، تکنیک هایی را برای مدیریت و کاهش فشار کاری کاوش کنید.</v>
      </c>
      <c r="H2083" s="1"/>
      <c r="I2083" s="1"/>
      <c r="J2083" s="1"/>
      <c r="K2083" s="1"/>
      <c r="L2083" s="1"/>
      <c r="M2083" s="1"/>
      <c r="N2083" s="1"/>
      <c r="O2083" s="1"/>
      <c r="P2083" s="1"/>
      <c r="Q2083" s="1"/>
      <c r="R2083" s="1"/>
      <c r="S2083" s="1"/>
      <c r="T2083" s="1"/>
      <c r="U2083" s="1"/>
      <c r="V2083" s="1"/>
      <c r="W2083" s="1"/>
      <c r="X2083" s="1"/>
      <c r="Y2083" s="1"/>
      <c r="Z2083" s="1"/>
      <c r="AA2083" s="1"/>
      <c r="AB2083" s="1"/>
    </row>
    <row r="2084" ht="50.25" customHeight="1">
      <c r="A2084" s="12">
        <v>2080.0</v>
      </c>
      <c r="B2084" s="13" t="s">
        <v>2025</v>
      </c>
      <c r="C2084" s="14" t="s">
        <v>2095</v>
      </c>
      <c r="D2084" s="1"/>
      <c r="E2084" s="1"/>
      <c r="F2084" s="1" t="str">
        <f>IFERROR(__xludf.DUMMYFUNCTION("GOOGLETRANSLATE(B2084, ""en"", ""fa"")
"),"بهره وری و مدیریت زمان")</f>
        <v>بهره وری و مدیریت زمان</v>
      </c>
      <c r="G2084" s="1" t="str">
        <f>IFERROR(__xludf.DUMMYFUNCTION("GOOGLETRANSLATE(C2084, ""en"", ""fa"")
"),"استراتژی هایی را برای تعیین مرز موثر در محل کار برای محافظت از زمان شخصی و جلوگیری از استرس ناشی از کار به اشتراک بگذارید.")</f>
        <v>استراتژی هایی را برای تعیین مرز موثر در محل کار برای محافظت از زمان شخصی و جلوگیری از استرس ناشی از کار به اشتراک بگذارید.</v>
      </c>
      <c r="H2084" s="1"/>
      <c r="I2084" s="1"/>
      <c r="J2084" s="1"/>
      <c r="K2084" s="1"/>
      <c r="L2084" s="1"/>
      <c r="M2084" s="1"/>
      <c r="N2084" s="1"/>
      <c r="O2084" s="1"/>
      <c r="P2084" s="1"/>
      <c r="Q2084" s="1"/>
      <c r="R2084" s="1"/>
      <c r="S2084" s="1"/>
      <c r="T2084" s="1"/>
      <c r="U2084" s="1"/>
      <c r="V2084" s="1"/>
      <c r="W2084" s="1"/>
      <c r="X2084" s="1"/>
      <c r="Y2084" s="1"/>
      <c r="Z2084" s="1"/>
      <c r="AA2084" s="1"/>
      <c r="AB2084" s="1"/>
    </row>
    <row r="2085" ht="50.25" customHeight="1">
      <c r="A2085" s="12">
        <v>2081.0</v>
      </c>
      <c r="B2085" s="13" t="s">
        <v>2025</v>
      </c>
      <c r="C2085" s="14" t="s">
        <v>2096</v>
      </c>
      <c r="D2085" s="1"/>
      <c r="E2085" s="1"/>
      <c r="F2085" s="1" t="str">
        <f>IFERROR(__xludf.DUMMYFUNCTION("GOOGLETRANSLATE(B2085, ""en"", ""fa"")
"),"بهره وری و مدیریت زمان")</f>
        <v>بهره وری و مدیریت زمان</v>
      </c>
      <c r="G2085" s="1" t="str">
        <f>IFERROR(__xludf.DUMMYFUNCTION("GOOGLETRANSLATE(C2085, ""en"", ""fa"")
"),"برای افزایش تمرکز و وضوح ذهنی، در مورد مزایای ترکیب کردن استراحت‌های ذهن آگاهی یا مدیتیشن در روز کاری بحث کنید.")</f>
        <v>برای افزایش تمرکز و وضوح ذهنی، در مورد مزایای ترکیب کردن استراحت‌های ذهن آگاهی یا مدیتیشن در روز کاری بحث کنید.</v>
      </c>
      <c r="H2085" s="1"/>
      <c r="I2085" s="1"/>
      <c r="J2085" s="1"/>
      <c r="K2085" s="1"/>
      <c r="L2085" s="1"/>
      <c r="M2085" s="1"/>
      <c r="N2085" s="1"/>
      <c r="O2085" s="1"/>
      <c r="P2085" s="1"/>
      <c r="Q2085" s="1"/>
      <c r="R2085" s="1"/>
      <c r="S2085" s="1"/>
      <c r="T2085" s="1"/>
      <c r="U2085" s="1"/>
      <c r="V2085" s="1"/>
      <c r="W2085" s="1"/>
      <c r="X2085" s="1"/>
      <c r="Y2085" s="1"/>
      <c r="Z2085" s="1"/>
      <c r="AA2085" s="1"/>
      <c r="AB2085" s="1"/>
    </row>
    <row r="2086" ht="50.25" customHeight="1">
      <c r="A2086" s="12">
        <v>2082.0</v>
      </c>
      <c r="B2086" s="13" t="s">
        <v>2025</v>
      </c>
      <c r="C2086" s="14" t="s">
        <v>2097</v>
      </c>
      <c r="D2086" s="1"/>
      <c r="E2086" s="1"/>
      <c r="F2086" s="1" t="str">
        <f>IFERROR(__xludf.DUMMYFUNCTION("GOOGLETRANSLATE(B2086, ""en"", ""fa"")
"),"بهره وری و مدیریت زمان")</f>
        <v>بهره وری و مدیریت زمان</v>
      </c>
      <c r="G2086" s="1" t="str">
        <f>IFERROR(__xludf.DUMMYFUNCTION("GOOGLETRANSLATE(C2086, ""en"", ""fa"")
"),"روش‌های مختلف را برای مدیریت و به حداقل رساندن حواس‌پرتی‌های دیجیتال، مانند استفاده از مسدودکننده‌های وب‌سایت یا تایمرهای برنامه، کاوش کنید.")</f>
        <v>روش‌های مختلف را برای مدیریت و به حداقل رساندن حواس‌پرتی‌های دیجیتال، مانند استفاده از مسدودکننده‌های وب‌سایت یا تایمرهای برنامه، کاوش کنید.</v>
      </c>
      <c r="H2086" s="1"/>
      <c r="I2086" s="1"/>
      <c r="J2086" s="1"/>
      <c r="K2086" s="1"/>
      <c r="L2086" s="1"/>
      <c r="M2086" s="1"/>
      <c r="N2086" s="1"/>
      <c r="O2086" s="1"/>
      <c r="P2086" s="1"/>
      <c r="Q2086" s="1"/>
      <c r="R2086" s="1"/>
      <c r="S2086" s="1"/>
      <c r="T2086" s="1"/>
      <c r="U2086" s="1"/>
      <c r="V2086" s="1"/>
      <c r="W2086" s="1"/>
      <c r="X2086" s="1"/>
      <c r="Y2086" s="1"/>
      <c r="Z2086" s="1"/>
      <c r="AA2086" s="1"/>
      <c r="AB2086" s="1"/>
    </row>
    <row r="2087" ht="50.25" customHeight="1">
      <c r="A2087" s="12">
        <v>2083.0</v>
      </c>
      <c r="B2087" s="13" t="s">
        <v>2025</v>
      </c>
      <c r="C2087" s="14" t="s">
        <v>2098</v>
      </c>
      <c r="D2087" s="1"/>
      <c r="E2087" s="1"/>
      <c r="F2087" s="1" t="str">
        <f>IFERROR(__xludf.DUMMYFUNCTION("GOOGLETRANSLATE(B2087, ""en"", ""fa"")
"),"بهره وری و مدیریت زمان")</f>
        <v>بهره وری و مدیریت زمان</v>
      </c>
      <c r="G2087" s="1" t="str">
        <f>IFERROR(__xludf.DUMMYFUNCTION("GOOGLETRANSLATE(C2087, ""en"", ""fa"")
"),"نکاتی را برای تخمین کار موثر و تعیین جدول زمانی واقعی برای تکمیل پروژه به اشتراک بگذارید.")</f>
        <v>نکاتی را برای تخمین کار موثر و تعیین جدول زمانی واقعی برای تکمیل پروژه به اشتراک بگذارید.</v>
      </c>
      <c r="H2087" s="1"/>
      <c r="I2087" s="1"/>
      <c r="J2087" s="1"/>
      <c r="K2087" s="1"/>
      <c r="L2087" s="1"/>
      <c r="M2087" s="1"/>
      <c r="N2087" s="1"/>
      <c r="O2087" s="1"/>
      <c r="P2087" s="1"/>
      <c r="Q2087" s="1"/>
      <c r="R2087" s="1"/>
      <c r="S2087" s="1"/>
      <c r="T2087" s="1"/>
      <c r="U2087" s="1"/>
      <c r="V2087" s="1"/>
      <c r="W2087" s="1"/>
      <c r="X2087" s="1"/>
      <c r="Y2087" s="1"/>
      <c r="Z2087" s="1"/>
      <c r="AA2087" s="1"/>
      <c r="AB2087" s="1"/>
    </row>
    <row r="2088" ht="50.25" customHeight="1">
      <c r="A2088" s="12">
        <v>2084.0</v>
      </c>
      <c r="B2088" s="13" t="s">
        <v>2025</v>
      </c>
      <c r="C2088" s="14" t="s">
        <v>2099</v>
      </c>
      <c r="D2088" s="1"/>
      <c r="E2088" s="1"/>
      <c r="F2088" s="1" t="str">
        <f>IFERROR(__xludf.DUMMYFUNCTION("GOOGLETRANSLATE(B2088, ""en"", ""fa"")
"),"بهره وری و مدیریت زمان")</f>
        <v>بهره وری و مدیریت زمان</v>
      </c>
      <c r="G2088" s="1" t="str">
        <f>IFERROR(__xludf.DUMMYFUNCTION("GOOGLETRANSLATE(C2088, ""en"", ""fa"")
"),"در مورد اهمیت بهبود مستمر و جستجوی بازخورد برای افزایش بهره وری و عملکرد بحث کنید.")</f>
        <v>در مورد اهمیت بهبود مستمر و جستجوی بازخورد برای افزایش بهره وری و عملکرد بحث کنید.</v>
      </c>
      <c r="H2088" s="1"/>
      <c r="I2088" s="1"/>
      <c r="J2088" s="1"/>
      <c r="K2088" s="1"/>
      <c r="L2088" s="1"/>
      <c r="M2088" s="1"/>
      <c r="N2088" s="1"/>
      <c r="O2088" s="1"/>
      <c r="P2088" s="1"/>
      <c r="Q2088" s="1"/>
      <c r="R2088" s="1"/>
      <c r="S2088" s="1"/>
      <c r="T2088" s="1"/>
      <c r="U2088" s="1"/>
      <c r="V2088" s="1"/>
      <c r="W2088" s="1"/>
      <c r="X2088" s="1"/>
      <c r="Y2088" s="1"/>
      <c r="Z2088" s="1"/>
      <c r="AA2088" s="1"/>
      <c r="AB2088" s="1"/>
    </row>
    <row r="2089" ht="50.25" customHeight="1">
      <c r="A2089" s="12">
        <v>2085.0</v>
      </c>
      <c r="B2089" s="13" t="s">
        <v>2025</v>
      </c>
      <c r="C2089" s="14" t="s">
        <v>2100</v>
      </c>
      <c r="D2089" s="1"/>
      <c r="E2089" s="1"/>
      <c r="F2089" s="1" t="str">
        <f>IFERROR(__xludf.DUMMYFUNCTION("GOOGLETRANSLATE(B2089, ""en"", ""fa"")
"),"بهره وری و مدیریت زمان")</f>
        <v>بهره وری و مدیریت زمان</v>
      </c>
      <c r="G2089" s="1" t="str">
        <f>IFERROR(__xludf.DUMMYFUNCTION("GOOGLETRANSLATE(C2089, ""en"", ""fa"")
"),"تکنیک‌هایی را برای مدیریت و کاهش بار اطلاعاتی از منابع مختلف، مانند ایمیل‌ها، اخبار یا رسانه‌های اجتماعی بررسی کنید.")</f>
        <v>تکنیک‌هایی را برای مدیریت و کاهش بار اطلاعاتی از منابع مختلف، مانند ایمیل‌ها، اخبار یا رسانه‌های اجتماعی بررسی کنید.</v>
      </c>
      <c r="H2089" s="1"/>
      <c r="I2089" s="1"/>
      <c r="J2089" s="1"/>
      <c r="K2089" s="1"/>
      <c r="L2089" s="1"/>
      <c r="M2089" s="1"/>
      <c r="N2089" s="1"/>
      <c r="O2089" s="1"/>
      <c r="P2089" s="1"/>
      <c r="Q2089" s="1"/>
      <c r="R2089" s="1"/>
      <c r="S2089" s="1"/>
      <c r="T2089" s="1"/>
      <c r="U2089" s="1"/>
      <c r="V2089" s="1"/>
      <c r="W2089" s="1"/>
      <c r="X2089" s="1"/>
      <c r="Y2089" s="1"/>
      <c r="Z2089" s="1"/>
      <c r="AA2089" s="1"/>
      <c r="AB2089" s="1"/>
    </row>
    <row r="2090" ht="50.25" customHeight="1">
      <c r="A2090" s="12">
        <v>2086.0</v>
      </c>
      <c r="B2090" s="13" t="s">
        <v>2025</v>
      </c>
      <c r="C2090" s="14" t="s">
        <v>2101</v>
      </c>
      <c r="D2090" s="1"/>
      <c r="E2090" s="1"/>
      <c r="F2090" s="1" t="str">
        <f>IFERROR(__xludf.DUMMYFUNCTION("GOOGLETRANSLATE(B2090, ""en"", ""fa"")
"),"بهره وری و مدیریت زمان")</f>
        <v>بهره وری و مدیریت زمان</v>
      </c>
      <c r="G2090" s="1" t="str">
        <f>IFERROR(__xludf.DUMMYFUNCTION("GOOGLETRANSLATE(C2090, ""en"", ""fa"")
"),"در صورت مواجهه با ضرب الاجل های رقابتی یا پروژه های متعدد، استراتژی ها را برای اولویت بندی کارها به اشتراک بگذارید.")</f>
        <v>در صورت مواجهه با ضرب الاجل های رقابتی یا پروژه های متعدد، استراتژی ها را برای اولویت بندی کارها به اشتراک بگذارید.</v>
      </c>
      <c r="H2090" s="1"/>
      <c r="I2090" s="1"/>
      <c r="J2090" s="1"/>
      <c r="K2090" s="1"/>
      <c r="L2090" s="1"/>
      <c r="M2090" s="1"/>
      <c r="N2090" s="1"/>
      <c r="O2090" s="1"/>
      <c r="P2090" s="1"/>
      <c r="Q2090" s="1"/>
      <c r="R2090" s="1"/>
      <c r="S2090" s="1"/>
      <c r="T2090" s="1"/>
      <c r="U2090" s="1"/>
      <c r="V2090" s="1"/>
      <c r="W2090" s="1"/>
      <c r="X2090" s="1"/>
      <c r="Y2090" s="1"/>
      <c r="Z2090" s="1"/>
      <c r="AA2090" s="1"/>
      <c r="AB2090" s="1"/>
    </row>
    <row r="2091" ht="50.25" customHeight="1">
      <c r="A2091" s="12">
        <v>2087.0</v>
      </c>
      <c r="B2091" s="13" t="s">
        <v>2025</v>
      </c>
      <c r="C2091" s="14" t="s">
        <v>2102</v>
      </c>
      <c r="D2091" s="1"/>
      <c r="E2091" s="1"/>
      <c r="F2091" s="1" t="str">
        <f>IFERROR(__xludf.DUMMYFUNCTION("GOOGLETRANSLATE(B2091, ""en"", ""fa"")
"),"بهره وری و مدیریت زمان")</f>
        <v>بهره وری و مدیریت زمان</v>
      </c>
      <c r="G2091" s="1" t="str">
        <f>IFERROR(__xludf.DUMMYFUNCTION("GOOGLETRANSLATE(C2091, ""en"", ""fa"")
"),"در مورد مزایای گنجاندن استراحت های ورزشی یا حرکتی در روز کاری برای افزایش بهره وری و رفاه بحث کنید.")</f>
        <v>در مورد مزایای گنجاندن استراحت های ورزشی یا حرکتی در روز کاری برای افزایش بهره وری و رفاه بحث کنید.</v>
      </c>
      <c r="H2091" s="1"/>
      <c r="I2091" s="1"/>
      <c r="J2091" s="1"/>
      <c r="K2091" s="1"/>
      <c r="L2091" s="1"/>
      <c r="M2091" s="1"/>
      <c r="N2091" s="1"/>
      <c r="O2091" s="1"/>
      <c r="P2091" s="1"/>
      <c r="Q2091" s="1"/>
      <c r="R2091" s="1"/>
      <c r="S2091" s="1"/>
      <c r="T2091" s="1"/>
      <c r="U2091" s="1"/>
      <c r="V2091" s="1"/>
      <c r="W2091" s="1"/>
      <c r="X2091" s="1"/>
      <c r="Y2091" s="1"/>
      <c r="Z2091" s="1"/>
      <c r="AA2091" s="1"/>
      <c r="AB2091" s="1"/>
    </row>
    <row r="2092" ht="50.25" customHeight="1">
      <c r="A2092" s="12">
        <v>2088.0</v>
      </c>
      <c r="B2092" s="13" t="s">
        <v>2025</v>
      </c>
      <c r="C2092" s="14" t="s">
        <v>2103</v>
      </c>
      <c r="D2092" s="1"/>
      <c r="E2092" s="1"/>
      <c r="F2092" s="1" t="str">
        <f>IFERROR(__xludf.DUMMYFUNCTION("GOOGLETRANSLATE(B2092, ""en"", ""fa"")
"),"بهره وری و مدیریت زمان")</f>
        <v>بهره وری و مدیریت زمان</v>
      </c>
      <c r="G2092" s="1" t="str">
        <f>IFERROR(__xludf.DUMMYFUNCTION("GOOGLETRANSLATE(C2092, ""en"", ""fa"")
"),"روش های مختلف برای مدیریت و سازماندهی اسناد، منابع و مواد مرجع مرتبط با پروژه را بررسی کنید.")</f>
        <v>روش های مختلف برای مدیریت و سازماندهی اسناد، منابع و مواد مرجع مرتبط با پروژه را بررسی کنید.</v>
      </c>
      <c r="H2092" s="1"/>
      <c r="I2092" s="1"/>
      <c r="J2092" s="1"/>
      <c r="K2092" s="1"/>
      <c r="L2092" s="1"/>
      <c r="M2092" s="1"/>
      <c r="N2092" s="1"/>
      <c r="O2092" s="1"/>
      <c r="P2092" s="1"/>
      <c r="Q2092" s="1"/>
      <c r="R2092" s="1"/>
      <c r="S2092" s="1"/>
      <c r="T2092" s="1"/>
      <c r="U2092" s="1"/>
      <c r="V2092" s="1"/>
      <c r="W2092" s="1"/>
      <c r="X2092" s="1"/>
      <c r="Y2092" s="1"/>
      <c r="Z2092" s="1"/>
      <c r="AA2092" s="1"/>
      <c r="AB2092" s="1"/>
    </row>
    <row r="2093" ht="50.25" customHeight="1">
      <c r="A2093" s="12">
        <v>2089.0</v>
      </c>
      <c r="B2093" s="13" t="s">
        <v>2025</v>
      </c>
      <c r="C2093" s="14" t="s">
        <v>2104</v>
      </c>
      <c r="D2093" s="1"/>
      <c r="E2093" s="1"/>
      <c r="F2093" s="1" t="str">
        <f>IFERROR(__xludf.DUMMYFUNCTION("GOOGLETRANSLATE(B2093, ""en"", ""fa"")
"),"بهره وری و مدیریت زمان")</f>
        <v>بهره وری و مدیریت زمان</v>
      </c>
      <c r="G2093" s="1" t="str">
        <f>IFERROR(__xludf.DUMMYFUNCTION("GOOGLETRANSLATE(C2093, ""en"", ""fa"")
"),"نکاتی را برای تکنیک های موثر مدیریت استرس، مانند تنفس عمیق، مدیتیشن، یا ورزش بدنی به اشتراک بگذارید.")</f>
        <v>نکاتی را برای تکنیک های موثر مدیریت استرس، مانند تنفس عمیق، مدیتیشن، یا ورزش بدنی به اشتراک بگذارید.</v>
      </c>
      <c r="H2093" s="1"/>
      <c r="I2093" s="1"/>
      <c r="J2093" s="1"/>
      <c r="K2093" s="1"/>
      <c r="L2093" s="1"/>
      <c r="M2093" s="1"/>
      <c r="N2093" s="1"/>
      <c r="O2093" s="1"/>
      <c r="P2093" s="1"/>
      <c r="Q2093" s="1"/>
      <c r="R2093" s="1"/>
      <c r="S2093" s="1"/>
      <c r="T2093" s="1"/>
      <c r="U2093" s="1"/>
      <c r="V2093" s="1"/>
      <c r="W2093" s="1"/>
      <c r="X2093" s="1"/>
      <c r="Y2093" s="1"/>
      <c r="Z2093" s="1"/>
      <c r="AA2093" s="1"/>
      <c r="AB2093" s="1"/>
    </row>
    <row r="2094" ht="50.25" customHeight="1">
      <c r="A2094" s="12">
        <v>2090.0</v>
      </c>
      <c r="B2094" s="13" t="s">
        <v>2025</v>
      </c>
      <c r="C2094" s="14" t="s">
        <v>2105</v>
      </c>
      <c r="D2094" s="1"/>
      <c r="E2094" s="1"/>
      <c r="F2094" s="1" t="str">
        <f>IFERROR(__xludf.DUMMYFUNCTION("GOOGLETRANSLATE(B2094, ""en"", ""fa"")
"),"بهره وری و مدیریت زمان")</f>
        <v>بهره وری و مدیریت زمان</v>
      </c>
      <c r="G2094" s="1" t="str">
        <f>IFERROR(__xludf.DUMMYFUNCTION("GOOGLETRANSLATE(C2094, ""en"", ""fa"")
"),"در مورد اهمیت تعیین انتظارات واقع بینانه و مدیریت تمایلات کمال گرایی برای تقویت بهره وری بحث کنید.")</f>
        <v>در مورد اهمیت تعیین انتظارات واقع بینانه و مدیریت تمایلات کمال گرایی برای تقویت بهره وری بحث کنید.</v>
      </c>
      <c r="H2094" s="1"/>
      <c r="I2094" s="1"/>
      <c r="J2094" s="1"/>
      <c r="K2094" s="1"/>
      <c r="L2094" s="1"/>
      <c r="M2094" s="1"/>
      <c r="N2094" s="1"/>
      <c r="O2094" s="1"/>
      <c r="P2094" s="1"/>
      <c r="Q2094" s="1"/>
      <c r="R2094" s="1"/>
      <c r="S2094" s="1"/>
      <c r="T2094" s="1"/>
      <c r="U2094" s="1"/>
      <c r="V2094" s="1"/>
      <c r="W2094" s="1"/>
      <c r="X2094" s="1"/>
      <c r="Y2094" s="1"/>
      <c r="Z2094" s="1"/>
      <c r="AA2094" s="1"/>
      <c r="AB2094" s="1"/>
    </row>
    <row r="2095" ht="50.25" customHeight="1">
      <c r="A2095" s="12">
        <v>2091.0</v>
      </c>
      <c r="B2095" s="13" t="s">
        <v>2025</v>
      </c>
      <c r="C2095" s="14" t="s">
        <v>2106</v>
      </c>
      <c r="D2095" s="1"/>
      <c r="E2095" s="1"/>
      <c r="F2095" s="1" t="str">
        <f>IFERROR(__xludf.DUMMYFUNCTION("GOOGLETRANSLATE(B2095, ""en"", ""fa"")
"),"بهره وری و مدیریت زمان")</f>
        <v>بهره وری و مدیریت زمان</v>
      </c>
      <c r="G2095" s="1" t="str">
        <f>IFERROR(__xludf.DUMMYFUNCTION("GOOGLETRANSLATE(C2095, ""en"", ""fa"")
"),"تکنیک‌هایی را برای مدیریت و به حداقل رساندن وقفه‌ها در یک فضای کاری مشترک یا محیط اداری باز کاوش کنید.")</f>
        <v>تکنیک‌هایی را برای مدیریت و به حداقل رساندن وقفه‌ها در یک فضای کاری مشترک یا محیط اداری باز کاوش کنید.</v>
      </c>
      <c r="H2095" s="1"/>
      <c r="I2095" s="1"/>
      <c r="J2095" s="1"/>
      <c r="K2095" s="1"/>
      <c r="L2095" s="1"/>
      <c r="M2095" s="1"/>
      <c r="N2095" s="1"/>
      <c r="O2095" s="1"/>
      <c r="P2095" s="1"/>
      <c r="Q2095" s="1"/>
      <c r="R2095" s="1"/>
      <c r="S2095" s="1"/>
      <c r="T2095" s="1"/>
      <c r="U2095" s="1"/>
      <c r="V2095" s="1"/>
      <c r="W2095" s="1"/>
      <c r="X2095" s="1"/>
      <c r="Y2095" s="1"/>
      <c r="Z2095" s="1"/>
      <c r="AA2095" s="1"/>
      <c r="AB2095" s="1"/>
    </row>
    <row r="2096" ht="50.25" customHeight="1">
      <c r="A2096" s="12">
        <v>2092.0</v>
      </c>
      <c r="B2096" s="13" t="s">
        <v>2025</v>
      </c>
      <c r="C2096" s="14" t="s">
        <v>2107</v>
      </c>
      <c r="D2096" s="1"/>
      <c r="E2096" s="1"/>
      <c r="F2096" s="1" t="str">
        <f>IFERROR(__xludf.DUMMYFUNCTION("GOOGLETRANSLATE(B2096, ""en"", ""fa"")
"),"بهره وری و مدیریت زمان")</f>
        <v>بهره وری و مدیریت زمان</v>
      </c>
      <c r="G2096" s="1" t="str">
        <f>IFERROR(__xludf.DUMMYFUNCTION("GOOGLETRANSLATE(C2096, ""en"", ""fa"")
"),"به اشتراک گذاری استراتژی ها برای فرآیندهای تصمیم گیری موثر، از جمله جمع آوری اطلاعات، تجزیه و تحلیل گزینه ها، و در نظر گرفتن پیامدهای بلند مدت.")</f>
        <v>به اشتراک گذاری استراتژی ها برای فرآیندهای تصمیم گیری موثر، از جمله جمع آوری اطلاعات، تجزیه و تحلیل گزینه ها، و در نظر گرفتن پیامدهای بلند مدت.</v>
      </c>
      <c r="H2096" s="1"/>
      <c r="I2096" s="1"/>
      <c r="J2096" s="1"/>
      <c r="K2096" s="1"/>
      <c r="L2096" s="1"/>
      <c r="M2096" s="1"/>
      <c r="N2096" s="1"/>
      <c r="O2096" s="1"/>
      <c r="P2096" s="1"/>
      <c r="Q2096" s="1"/>
      <c r="R2096" s="1"/>
      <c r="S2096" s="1"/>
      <c r="T2096" s="1"/>
      <c r="U2096" s="1"/>
      <c r="V2096" s="1"/>
      <c r="W2096" s="1"/>
      <c r="X2096" s="1"/>
      <c r="Y2096" s="1"/>
      <c r="Z2096" s="1"/>
      <c r="AA2096" s="1"/>
      <c r="AB2096" s="1"/>
    </row>
    <row r="2097" ht="50.25" customHeight="1">
      <c r="A2097" s="12">
        <v>2093.0</v>
      </c>
      <c r="B2097" s="13" t="s">
        <v>2025</v>
      </c>
      <c r="C2097" s="14" t="s">
        <v>2108</v>
      </c>
      <c r="D2097" s="1"/>
      <c r="E2097" s="1"/>
      <c r="F2097" s="1" t="str">
        <f>IFERROR(__xludf.DUMMYFUNCTION("GOOGLETRANSLATE(B2097, ""en"", ""fa"")
"),"بهره وری و مدیریت زمان")</f>
        <v>بهره وری و مدیریت زمان</v>
      </c>
      <c r="G2097" s="1" t="str">
        <f>IFERROR(__xludf.DUMMYFUNCTION("GOOGLETRANSLATE(C2097, ""en"", ""fa"")
"),"در مورد مزایای استفاده از ابزارهای اتوماسیون و گردش کار برای ساده کردن کارهای تکراری و صرفه جویی در زمان بحث کنید.")</f>
        <v>در مورد مزایای استفاده از ابزارهای اتوماسیون و گردش کار برای ساده کردن کارهای تکراری و صرفه جویی در زمان بحث کنید.</v>
      </c>
      <c r="H2097" s="1"/>
      <c r="I2097" s="1"/>
      <c r="J2097" s="1"/>
      <c r="K2097" s="1"/>
      <c r="L2097" s="1"/>
      <c r="M2097" s="1"/>
      <c r="N2097" s="1"/>
      <c r="O2097" s="1"/>
      <c r="P2097" s="1"/>
      <c r="Q2097" s="1"/>
      <c r="R2097" s="1"/>
      <c r="S2097" s="1"/>
      <c r="T2097" s="1"/>
      <c r="U2097" s="1"/>
      <c r="V2097" s="1"/>
      <c r="W2097" s="1"/>
      <c r="X2097" s="1"/>
      <c r="Y2097" s="1"/>
      <c r="Z2097" s="1"/>
      <c r="AA2097" s="1"/>
      <c r="AB2097" s="1"/>
    </row>
    <row r="2098" ht="50.25" customHeight="1">
      <c r="A2098" s="12">
        <v>2094.0</v>
      </c>
      <c r="B2098" s="13" t="s">
        <v>2025</v>
      </c>
      <c r="C2098" s="14" t="s">
        <v>2109</v>
      </c>
      <c r="D2098" s="1"/>
      <c r="E2098" s="1"/>
      <c r="F2098" s="1" t="str">
        <f>IFERROR(__xludf.DUMMYFUNCTION("GOOGLETRANSLATE(B2098, ""en"", ""fa"")
"),"بهره وری و مدیریت زمان")</f>
        <v>بهره وری و مدیریت زمان</v>
      </c>
      <c r="G2098" s="1" t="str">
        <f>IFERROR(__xludf.DUMMYFUNCTION("GOOGLETRANSLATE(C2098, ""en"", ""fa"")
"),"روش‌های مختلف را برای مدیریت و کاهش زمان جلسات، مانند تعیین اهداف و برنامه‌های مشخص از قبل، بررسی کنید.")</f>
        <v>روش‌های مختلف را برای مدیریت و کاهش زمان جلسات، مانند تعیین اهداف و برنامه‌های مشخص از قبل، بررسی کنید.</v>
      </c>
      <c r="H2098" s="1"/>
      <c r="I2098" s="1"/>
      <c r="J2098" s="1"/>
      <c r="K2098" s="1"/>
      <c r="L2098" s="1"/>
      <c r="M2098" s="1"/>
      <c r="N2098" s="1"/>
      <c r="O2098" s="1"/>
      <c r="P2098" s="1"/>
      <c r="Q2098" s="1"/>
      <c r="R2098" s="1"/>
      <c r="S2098" s="1"/>
      <c r="T2098" s="1"/>
      <c r="U2098" s="1"/>
      <c r="V2098" s="1"/>
      <c r="W2098" s="1"/>
      <c r="X2098" s="1"/>
      <c r="Y2098" s="1"/>
      <c r="Z2098" s="1"/>
      <c r="AA2098" s="1"/>
      <c r="AB2098" s="1"/>
    </row>
    <row r="2099" ht="50.25" customHeight="1">
      <c r="A2099" s="12">
        <v>2095.0</v>
      </c>
      <c r="B2099" s="13" t="s">
        <v>2025</v>
      </c>
      <c r="C2099" s="14" t="s">
        <v>2110</v>
      </c>
      <c r="D2099" s="1"/>
      <c r="E2099" s="1"/>
      <c r="F2099" s="1" t="str">
        <f>IFERROR(__xludf.DUMMYFUNCTION("GOOGLETRANSLATE(B2099, ""en"", ""fa"")
"),"بهره وری و مدیریت زمان")</f>
        <v>بهره وری و مدیریت زمان</v>
      </c>
      <c r="G2099" s="1" t="str">
        <f>IFERROR(__xludf.DUMMYFUNCTION("GOOGLETRANSLATE(C2099, ""en"", ""fa"")
"),"نکاتی را برای مسدود کردن و برنامه‌ریزی مؤثر، تخصیص زمان‌های اختصاصی برای وظایف یا فعالیت‌های خاص به اشتراک بگذارید.")</f>
        <v>نکاتی را برای مسدود کردن و برنامه‌ریزی مؤثر، تخصیص زمان‌های اختصاصی برای وظایف یا فعالیت‌های خاص به اشتراک بگذارید.</v>
      </c>
      <c r="H2099" s="1"/>
      <c r="I2099" s="1"/>
      <c r="J2099" s="1"/>
      <c r="K2099" s="1"/>
      <c r="L2099" s="1"/>
      <c r="M2099" s="1"/>
      <c r="N2099" s="1"/>
      <c r="O2099" s="1"/>
      <c r="P2099" s="1"/>
      <c r="Q2099" s="1"/>
      <c r="R2099" s="1"/>
      <c r="S2099" s="1"/>
      <c r="T2099" s="1"/>
      <c r="U2099" s="1"/>
      <c r="V2099" s="1"/>
      <c r="W2099" s="1"/>
      <c r="X2099" s="1"/>
      <c r="Y2099" s="1"/>
      <c r="Z2099" s="1"/>
      <c r="AA2099" s="1"/>
      <c r="AB2099" s="1"/>
    </row>
    <row r="2100" ht="50.25" customHeight="1">
      <c r="A2100" s="12">
        <v>2096.0</v>
      </c>
      <c r="B2100" s="13" t="s">
        <v>2025</v>
      </c>
      <c r="C2100" s="14" t="s">
        <v>2111</v>
      </c>
      <c r="D2100" s="1"/>
      <c r="E2100" s="1"/>
      <c r="F2100" s="1" t="str">
        <f>IFERROR(__xludf.DUMMYFUNCTION("GOOGLETRANSLATE(B2100, ""en"", ""fa"")
"),"بهره وری و مدیریت زمان")</f>
        <v>بهره وری و مدیریت زمان</v>
      </c>
      <c r="G2100" s="1" t="str">
        <f>IFERROR(__xludf.DUMMYFUNCTION("GOOGLETRANSLATE(C2100, ""en"", ""fa"")
"),"در مورد اهمیت حفظ ذهنیت مثبت و پرورش ذهنیت رشد برای افزایش بهره وری بحث کنید.")</f>
        <v>در مورد اهمیت حفظ ذهنیت مثبت و پرورش ذهنیت رشد برای افزایش بهره وری بحث کنید.</v>
      </c>
      <c r="H2100" s="1"/>
      <c r="I2100" s="1"/>
      <c r="J2100" s="1"/>
      <c r="K2100" s="1"/>
      <c r="L2100" s="1"/>
      <c r="M2100" s="1"/>
      <c r="N2100" s="1"/>
      <c r="O2100" s="1"/>
      <c r="P2100" s="1"/>
      <c r="Q2100" s="1"/>
      <c r="R2100" s="1"/>
      <c r="S2100" s="1"/>
      <c r="T2100" s="1"/>
      <c r="U2100" s="1"/>
      <c r="V2100" s="1"/>
      <c r="W2100" s="1"/>
      <c r="X2100" s="1"/>
      <c r="Y2100" s="1"/>
      <c r="Z2100" s="1"/>
      <c r="AA2100" s="1"/>
      <c r="AB2100" s="1"/>
    </row>
    <row r="2101" ht="50.25" customHeight="1">
      <c r="A2101" s="12">
        <v>2097.0</v>
      </c>
      <c r="B2101" s="13" t="s">
        <v>2025</v>
      </c>
      <c r="C2101" s="14" t="s">
        <v>2112</v>
      </c>
      <c r="D2101" s="1"/>
      <c r="E2101" s="1"/>
      <c r="F2101" s="1" t="str">
        <f>IFERROR(__xludf.DUMMYFUNCTION("GOOGLETRANSLATE(B2101, ""en"", ""fa"")
"),"بهره وری و مدیریت زمان")</f>
        <v>بهره وری و مدیریت زمان</v>
      </c>
      <c r="G2101" s="1" t="str">
        <f>IFERROR(__xludf.DUMMYFUNCTION("GOOGLETRANSLATE(C2101, ""en"", ""fa"")
"),"با اجرای دوره‌های سم‌زدایی دیجیتال یا فعالیت‌های بدون صفحه نمایش، تکنیک‌های مدیریت و کاهش اضافه بار دیجیتال را بررسی کنید.")</f>
        <v>با اجرای دوره‌های سم‌زدایی دیجیتال یا فعالیت‌های بدون صفحه نمایش، تکنیک‌های مدیریت و کاهش اضافه بار دیجیتال را بررسی کنید.</v>
      </c>
      <c r="H2101" s="1"/>
      <c r="I2101" s="1"/>
      <c r="J2101" s="1"/>
      <c r="K2101" s="1"/>
      <c r="L2101" s="1"/>
      <c r="M2101" s="1"/>
      <c r="N2101" s="1"/>
      <c r="O2101" s="1"/>
      <c r="P2101" s="1"/>
      <c r="Q2101" s="1"/>
      <c r="R2101" s="1"/>
      <c r="S2101" s="1"/>
      <c r="T2101" s="1"/>
      <c r="U2101" s="1"/>
      <c r="V2101" s="1"/>
      <c r="W2101" s="1"/>
      <c r="X2101" s="1"/>
      <c r="Y2101" s="1"/>
      <c r="Z2101" s="1"/>
      <c r="AA2101" s="1"/>
      <c r="AB2101" s="1"/>
    </row>
    <row r="2102" ht="50.25" customHeight="1">
      <c r="A2102" s="12">
        <v>2098.0</v>
      </c>
      <c r="B2102" s="13" t="s">
        <v>2025</v>
      </c>
      <c r="C2102" s="14" t="s">
        <v>2113</v>
      </c>
      <c r="D2102" s="1"/>
      <c r="E2102" s="1"/>
      <c r="F2102" s="1" t="str">
        <f>IFERROR(__xludf.DUMMYFUNCTION("GOOGLETRANSLATE(B2102, ""en"", ""fa"")
"),"بهره وری و مدیریت زمان")</f>
        <v>بهره وری و مدیریت زمان</v>
      </c>
      <c r="G2102" s="1" t="str">
        <f>IFERROR(__xludf.DUMMYFUNCTION("GOOGLETRANSLATE(C2102, ""en"", ""fa"")
"),"استراتژی‌های ارتباط مؤثر را در تیم‌های مجازی یا از راه دور به اشتراک بگذارید، از جمله ارتباطات نوشتاری واضح و آداب ملاقات مجازی.")</f>
        <v>استراتژی‌های ارتباط مؤثر را در تیم‌های مجازی یا از راه دور به اشتراک بگذارید، از جمله ارتباطات نوشتاری واضح و آداب ملاقات مجازی.</v>
      </c>
      <c r="H2102" s="1"/>
      <c r="I2102" s="1"/>
      <c r="J2102" s="1"/>
      <c r="K2102" s="1"/>
      <c r="L2102" s="1"/>
      <c r="M2102" s="1"/>
      <c r="N2102" s="1"/>
      <c r="O2102" s="1"/>
      <c r="P2102" s="1"/>
      <c r="Q2102" s="1"/>
      <c r="R2102" s="1"/>
      <c r="S2102" s="1"/>
      <c r="T2102" s="1"/>
      <c r="U2102" s="1"/>
      <c r="V2102" s="1"/>
      <c r="W2102" s="1"/>
      <c r="X2102" s="1"/>
      <c r="Y2102" s="1"/>
      <c r="Z2102" s="1"/>
      <c r="AA2102" s="1"/>
      <c r="AB2102" s="1"/>
    </row>
    <row r="2103" ht="50.25" customHeight="1">
      <c r="A2103" s="12">
        <v>2099.0</v>
      </c>
      <c r="B2103" s="13" t="s">
        <v>2025</v>
      </c>
      <c r="C2103" s="14" t="s">
        <v>2114</v>
      </c>
      <c r="D2103" s="1"/>
      <c r="E2103" s="1"/>
      <c r="F2103" s="1" t="str">
        <f>IFERROR(__xludf.DUMMYFUNCTION("GOOGLETRANSLATE(B2103, ""en"", ""fa"")
"),"بهره وری و مدیریت زمان")</f>
        <v>بهره وری و مدیریت زمان</v>
      </c>
      <c r="G2103" s="1" t="str">
        <f>IFERROR(__xludf.DUMMYFUNCTION("GOOGLETRANSLATE(C2103, ""en"", ""fa"")
"),"در مورد مزایای گنجاندن استراحت ها و فعالیت های اوقات فراغت در روال روزانه برای شارژ مجدد و جلوگیری از فرسودگی صحبت کنید.")</f>
        <v>در مورد مزایای گنجاندن استراحت ها و فعالیت های اوقات فراغت در روال روزانه برای شارژ مجدد و جلوگیری از فرسودگی صحبت کنید.</v>
      </c>
      <c r="H2103" s="1"/>
      <c r="I2103" s="1"/>
      <c r="J2103" s="1"/>
      <c r="K2103" s="1"/>
      <c r="L2103" s="1"/>
      <c r="M2103" s="1"/>
      <c r="N2103" s="1"/>
      <c r="O2103" s="1"/>
      <c r="P2103" s="1"/>
      <c r="Q2103" s="1"/>
      <c r="R2103" s="1"/>
      <c r="S2103" s="1"/>
      <c r="T2103" s="1"/>
      <c r="U2103" s="1"/>
      <c r="V2103" s="1"/>
      <c r="W2103" s="1"/>
      <c r="X2103" s="1"/>
      <c r="Y2103" s="1"/>
      <c r="Z2103" s="1"/>
      <c r="AA2103" s="1"/>
      <c r="AB2103" s="1"/>
    </row>
    <row r="2104" ht="50.25" customHeight="1">
      <c r="A2104" s="12">
        <v>2100.0</v>
      </c>
      <c r="B2104" s="13" t="s">
        <v>2025</v>
      </c>
      <c r="C2104" s="14" t="s">
        <v>2115</v>
      </c>
      <c r="D2104" s="1"/>
      <c r="E2104" s="1"/>
      <c r="F2104" s="1" t="str">
        <f>IFERROR(__xludf.DUMMYFUNCTION("GOOGLETRANSLATE(B2104, ""en"", ""fa"")
"),"بهره وری و مدیریت زمان")</f>
        <v>بهره وری و مدیریت زمان</v>
      </c>
      <c r="G2104" s="1" t="str">
        <f>IFERROR(__xludf.DUMMYFUNCTION("GOOGLETRANSLATE(C2104, ""en"", ""fa"")
"),"روش‌های مختلف برای مدیریت و سازماندهی وظایف، نقاط عطف و ضرب‌الاجل‌های مربوط به پروژه را بررسی کنید.")</f>
        <v>روش‌های مختلف برای مدیریت و سازماندهی وظایف، نقاط عطف و ضرب‌الاجل‌های مربوط به پروژه را بررسی کنید.</v>
      </c>
      <c r="H2104" s="1"/>
      <c r="I2104" s="1"/>
      <c r="J2104" s="1"/>
      <c r="K2104" s="1"/>
      <c r="L2104" s="1"/>
      <c r="M2104" s="1"/>
      <c r="N2104" s="1"/>
      <c r="O2104" s="1"/>
      <c r="P2104" s="1"/>
      <c r="Q2104" s="1"/>
      <c r="R2104" s="1"/>
      <c r="S2104" s="1"/>
      <c r="T2104" s="1"/>
      <c r="U2104" s="1"/>
      <c r="V2104" s="1"/>
      <c r="W2104" s="1"/>
      <c r="X2104" s="1"/>
      <c r="Y2104" s="1"/>
      <c r="Z2104" s="1"/>
      <c r="AA2104" s="1"/>
      <c r="AB2104" s="1"/>
    </row>
    <row r="2105" ht="50.25" customHeight="1">
      <c r="A2105" s="12">
        <v>2101.0</v>
      </c>
      <c r="B2105" s="13" t="s">
        <v>2025</v>
      </c>
      <c r="C2105" s="14" t="s">
        <v>2116</v>
      </c>
      <c r="D2105" s="1"/>
      <c r="E2105" s="1"/>
      <c r="F2105" s="1" t="str">
        <f>IFERROR(__xludf.DUMMYFUNCTION("GOOGLETRANSLATE(B2105, ""en"", ""fa"")
"),"بهره وری و مدیریت زمان")</f>
        <v>بهره وری و مدیریت زمان</v>
      </c>
      <c r="G2105" s="1" t="str">
        <f>IFERROR(__xludf.DUMMYFUNCTION("GOOGLETRANSLATE(C2105, ""en"", ""fa"")
"),"نکاتی را برای شیوه های خودمراقبتی مؤثر، مانند تمرین قدردانی، استراحت منظم، یا دنبال کردن سرگرمی های خارج از محل کار به اشتراک بگذارید.")</f>
        <v>نکاتی را برای شیوه های خودمراقبتی مؤثر، مانند تمرین قدردانی، استراحت منظم، یا دنبال کردن سرگرمی های خارج از محل کار به اشتراک بگذارید.</v>
      </c>
      <c r="H2105" s="1"/>
      <c r="I2105" s="1"/>
      <c r="J2105" s="1"/>
      <c r="K2105" s="1"/>
      <c r="L2105" s="1"/>
      <c r="M2105" s="1"/>
      <c r="N2105" s="1"/>
      <c r="O2105" s="1"/>
      <c r="P2105" s="1"/>
      <c r="Q2105" s="1"/>
      <c r="R2105" s="1"/>
      <c r="S2105" s="1"/>
      <c r="T2105" s="1"/>
      <c r="U2105" s="1"/>
      <c r="V2105" s="1"/>
      <c r="W2105" s="1"/>
      <c r="X2105" s="1"/>
      <c r="Y2105" s="1"/>
      <c r="Z2105" s="1"/>
      <c r="AA2105" s="1"/>
      <c r="AB2105" s="1"/>
    </row>
    <row r="2106" ht="50.25" customHeight="1">
      <c r="A2106" s="12">
        <v>2102.0</v>
      </c>
      <c r="B2106" s="13" t="s">
        <v>2025</v>
      </c>
      <c r="C2106" s="14" t="s">
        <v>2117</v>
      </c>
      <c r="D2106" s="1"/>
      <c r="E2106" s="1"/>
      <c r="F2106" s="1" t="str">
        <f>IFERROR(__xludf.DUMMYFUNCTION("GOOGLETRANSLATE(B2106, ""en"", ""fa"")
"),"بهره وری و مدیریت زمان")</f>
        <v>بهره وری و مدیریت زمان</v>
      </c>
      <c r="G2106" s="1" t="str">
        <f>IFERROR(__xludf.DUMMYFUNCTION("GOOGLETRANSLATE(C2106, ""en"", ""fa"")
"),"در مورد اهمیت تعیین مرزها با فناوری و ایجاد دوره های سم زدایی دیجیتال برای بهبود رفاه و تمرکز بحث کنید.")</f>
        <v>در مورد اهمیت تعیین مرزها با فناوری و ایجاد دوره های سم زدایی دیجیتال برای بهبود رفاه و تمرکز بحث کنید.</v>
      </c>
      <c r="H2106" s="1"/>
      <c r="I2106" s="1"/>
      <c r="J2106" s="1"/>
      <c r="K2106" s="1"/>
      <c r="L2106" s="1"/>
      <c r="M2106" s="1"/>
      <c r="N2106" s="1"/>
      <c r="O2106" s="1"/>
      <c r="P2106" s="1"/>
      <c r="Q2106" s="1"/>
      <c r="R2106" s="1"/>
      <c r="S2106" s="1"/>
      <c r="T2106" s="1"/>
      <c r="U2106" s="1"/>
      <c r="V2106" s="1"/>
      <c r="W2106" s="1"/>
      <c r="X2106" s="1"/>
      <c r="Y2106" s="1"/>
      <c r="Z2106" s="1"/>
      <c r="AA2106" s="1"/>
      <c r="AB2106" s="1"/>
    </row>
    <row r="2107" ht="50.25" customHeight="1">
      <c r="A2107" s="12">
        <v>2103.0</v>
      </c>
      <c r="B2107" s="13" t="s">
        <v>2025</v>
      </c>
      <c r="C2107" s="14" t="s">
        <v>2118</v>
      </c>
      <c r="D2107" s="1"/>
      <c r="E2107" s="1"/>
      <c r="F2107" s="1" t="str">
        <f>IFERROR(__xludf.DUMMYFUNCTION("GOOGLETRANSLATE(B2107, ""en"", ""fa"")
"),"بهره وری و مدیریت زمان")</f>
        <v>بهره وری و مدیریت زمان</v>
      </c>
      <c r="G2107" s="1" t="str">
        <f>IFERROR(__xludf.DUMMYFUNCTION("GOOGLETRANSLATE(C2107, ""en"", ""fa"")
"),"تکنیک های مدیریت و کاهش بهم ریختگی ذهنی را با تمرین ذهن آگاهی و بی نظمی ذهن کاوش کنید.")</f>
        <v>تکنیک های مدیریت و کاهش بهم ریختگی ذهنی را با تمرین ذهن آگاهی و بی نظمی ذهن کاوش کنید.</v>
      </c>
      <c r="H2107" s="1"/>
      <c r="I2107" s="1"/>
      <c r="J2107" s="1"/>
      <c r="K2107" s="1"/>
      <c r="L2107" s="1"/>
      <c r="M2107" s="1"/>
      <c r="N2107" s="1"/>
      <c r="O2107" s="1"/>
      <c r="P2107" s="1"/>
      <c r="Q2107" s="1"/>
      <c r="R2107" s="1"/>
      <c r="S2107" s="1"/>
      <c r="T2107" s="1"/>
      <c r="U2107" s="1"/>
      <c r="V2107" s="1"/>
      <c r="W2107" s="1"/>
      <c r="X2107" s="1"/>
      <c r="Y2107" s="1"/>
      <c r="Z2107" s="1"/>
      <c r="AA2107" s="1"/>
      <c r="AB2107" s="1"/>
    </row>
    <row r="2108" ht="50.25" customHeight="1">
      <c r="A2108" s="12">
        <v>2104.0</v>
      </c>
      <c r="B2108" s="13" t="s">
        <v>2025</v>
      </c>
      <c r="C2108" s="14" t="s">
        <v>2119</v>
      </c>
      <c r="D2108" s="1"/>
      <c r="E2108" s="1"/>
      <c r="F2108" s="1" t="str">
        <f>IFERROR(__xludf.DUMMYFUNCTION("GOOGLETRANSLATE(B2108, ""en"", ""fa"")
"),"بهره وری و مدیریت زمان")</f>
        <v>بهره وری و مدیریت زمان</v>
      </c>
      <c r="G2108" s="1" t="str">
        <f>IFERROR(__xludf.DUMMYFUNCTION("GOOGLETRANSLATE(C2108, ""en"", ""fa"")
"),"استراتژی‌هایی را برای همکاری مؤثر و کار گروهی، از جمله تقویت ارتباطات باز و استفاده از نقاط قوت هر یک از اعضای تیم به اشتراک بگذارید.")</f>
        <v>استراتژی‌هایی را برای همکاری مؤثر و کار گروهی، از جمله تقویت ارتباطات باز و استفاده از نقاط قوت هر یک از اعضای تیم به اشتراک بگذارید.</v>
      </c>
      <c r="H2108" s="1"/>
      <c r="I2108" s="1"/>
      <c r="J2108" s="1"/>
      <c r="K2108" s="1"/>
      <c r="L2108" s="1"/>
      <c r="M2108" s="1"/>
      <c r="N2108" s="1"/>
      <c r="O2108" s="1"/>
      <c r="P2108" s="1"/>
      <c r="Q2108" s="1"/>
      <c r="R2108" s="1"/>
      <c r="S2108" s="1"/>
      <c r="T2108" s="1"/>
      <c r="U2108" s="1"/>
      <c r="V2108" s="1"/>
      <c r="W2108" s="1"/>
      <c r="X2108" s="1"/>
      <c r="Y2108" s="1"/>
      <c r="Z2108" s="1"/>
      <c r="AA2108" s="1"/>
      <c r="AB2108" s="1"/>
    </row>
    <row r="2109" ht="50.25" customHeight="1">
      <c r="A2109" s="12">
        <v>2105.0</v>
      </c>
      <c r="B2109" s="13" t="s">
        <v>2025</v>
      </c>
      <c r="C2109" s="14" t="s">
        <v>2120</v>
      </c>
      <c r="D2109" s="1"/>
      <c r="E2109" s="1"/>
      <c r="F2109" s="1" t="str">
        <f>IFERROR(__xludf.DUMMYFUNCTION("GOOGLETRANSLATE(B2109, ""en"", ""fa"")
"),"بهره وری و مدیریت زمان")</f>
        <v>بهره وری و مدیریت زمان</v>
      </c>
      <c r="G2109" s="1" t="str">
        <f>IFERROR(__xludf.DUMMYFUNCTION("GOOGLETRANSLATE(C2109, ""en"", ""fa"")
"),"در مورد مزایای استفاده از نرم افزار یا ابزارهای مدیریت پروژه برای پیگیری پیشرفت، تعیین وظایف و همکاری با اعضای تیم بحث کنید.")</f>
        <v>در مورد مزایای استفاده از نرم افزار یا ابزارهای مدیریت پروژه برای پیگیری پیشرفت، تعیین وظایف و همکاری با اعضای تیم بحث کنید.</v>
      </c>
      <c r="H2109" s="1"/>
      <c r="I2109" s="1"/>
      <c r="J2109" s="1"/>
      <c r="K2109" s="1"/>
      <c r="L2109" s="1"/>
      <c r="M2109" s="1"/>
      <c r="N2109" s="1"/>
      <c r="O2109" s="1"/>
      <c r="P2109" s="1"/>
      <c r="Q2109" s="1"/>
      <c r="R2109" s="1"/>
      <c r="S2109" s="1"/>
      <c r="T2109" s="1"/>
      <c r="U2109" s="1"/>
      <c r="V2109" s="1"/>
      <c r="W2109" s="1"/>
      <c r="X2109" s="1"/>
      <c r="Y2109" s="1"/>
      <c r="Z2109" s="1"/>
      <c r="AA2109" s="1"/>
      <c r="AB2109" s="1"/>
    </row>
    <row r="2110" ht="50.25" customHeight="1">
      <c r="A2110" s="12">
        <v>2106.0</v>
      </c>
      <c r="B2110" s="13" t="s">
        <v>2025</v>
      </c>
      <c r="C2110" s="14" t="s">
        <v>2121</v>
      </c>
      <c r="D2110" s="1"/>
      <c r="E2110" s="1"/>
      <c r="F2110" s="1" t="str">
        <f>IFERROR(__xludf.DUMMYFUNCTION("GOOGLETRANSLATE(B2110, ""en"", ""fa"")
"),"بهره وری و مدیریت زمان")</f>
        <v>بهره وری و مدیریت زمان</v>
      </c>
      <c r="G2110" s="1" t="str">
        <f>IFERROR(__xludf.DUMMYFUNCTION("GOOGLETRANSLATE(C2110, ""en"", ""fa"")
"),"روش‌های مختلف را برای مدیریت و کاهش استرس در هنگام مواجهه با حجم بالایی از وظایف یا پروژه‌ها بررسی کنید.")</f>
        <v>روش‌های مختلف را برای مدیریت و کاهش استرس در هنگام مواجهه با حجم بالایی از وظایف یا پروژه‌ها بررسی کنید.</v>
      </c>
      <c r="H2110" s="1"/>
      <c r="I2110" s="1"/>
      <c r="J2110" s="1"/>
      <c r="K2110" s="1"/>
      <c r="L2110" s="1"/>
      <c r="M2110" s="1"/>
      <c r="N2110" s="1"/>
      <c r="O2110" s="1"/>
      <c r="P2110" s="1"/>
      <c r="Q2110" s="1"/>
      <c r="R2110" s="1"/>
      <c r="S2110" s="1"/>
      <c r="T2110" s="1"/>
      <c r="U2110" s="1"/>
      <c r="V2110" s="1"/>
      <c r="W2110" s="1"/>
      <c r="X2110" s="1"/>
      <c r="Y2110" s="1"/>
      <c r="Z2110" s="1"/>
      <c r="AA2110" s="1"/>
      <c r="AB2110" s="1"/>
    </row>
    <row r="2111" ht="50.25" customHeight="1">
      <c r="A2111" s="12">
        <v>2107.0</v>
      </c>
      <c r="B2111" s="13" t="s">
        <v>2025</v>
      </c>
      <c r="C2111" s="14" t="s">
        <v>2122</v>
      </c>
      <c r="D2111" s="1"/>
      <c r="E2111" s="1"/>
      <c r="F2111" s="1" t="str">
        <f>IFERROR(__xludf.DUMMYFUNCTION("GOOGLETRANSLATE(B2111, ""en"", ""fa"")
"),"بهره وری و مدیریت زمان")</f>
        <v>بهره وری و مدیریت زمان</v>
      </c>
      <c r="G2111" s="1" t="str">
        <f>IFERROR(__xludf.DUMMYFUNCTION("GOOGLETRANSLATE(C2111, ""en"", ""fa"")
"),"نکاتی را برای مدیریت کارآمد به اشتراک بگذارید، از جمله تقسیم وظایف به مراحل کوچکتر و قابل مدیریت و تعیین ضرب الاجل های واضح.")</f>
        <v>نکاتی را برای مدیریت کارآمد به اشتراک بگذارید، از جمله تقسیم وظایف به مراحل کوچکتر و قابل مدیریت و تعیین ضرب الاجل های واضح.</v>
      </c>
      <c r="H2111" s="1"/>
      <c r="I2111" s="1"/>
      <c r="J2111" s="1"/>
      <c r="K2111" s="1"/>
      <c r="L2111" s="1"/>
      <c r="M2111" s="1"/>
      <c r="N2111" s="1"/>
      <c r="O2111" s="1"/>
      <c r="P2111" s="1"/>
      <c r="Q2111" s="1"/>
      <c r="R2111" s="1"/>
      <c r="S2111" s="1"/>
      <c r="T2111" s="1"/>
      <c r="U2111" s="1"/>
      <c r="V2111" s="1"/>
      <c r="W2111" s="1"/>
      <c r="X2111" s="1"/>
      <c r="Y2111" s="1"/>
      <c r="Z2111" s="1"/>
      <c r="AA2111" s="1"/>
      <c r="AB2111" s="1"/>
    </row>
    <row r="2112" ht="50.25" customHeight="1">
      <c r="A2112" s="12">
        <v>2108.0</v>
      </c>
      <c r="B2112" s="13" t="s">
        <v>2025</v>
      </c>
      <c r="C2112" s="14" t="s">
        <v>2123</v>
      </c>
      <c r="D2112" s="1"/>
      <c r="E2112" s="1"/>
      <c r="F2112" s="1" t="str">
        <f>IFERROR(__xludf.DUMMYFUNCTION("GOOGLETRANSLATE(B2112, ""en"", ""fa"")
"),"بهره وری و مدیریت زمان")</f>
        <v>بهره وری و مدیریت زمان</v>
      </c>
      <c r="G2112" s="1" t="str">
        <f>IFERROR(__xludf.DUMMYFUNCTION("GOOGLETRANSLATE(C2112, ""en"", ""fa"")
"),"تکنیک‌هایی را برای مدیریت و به حداقل رساندن عوامل حواس‌پرتی در یک محیط کاری شلوغ یا پر سر و صدا، مانند استفاده از هدفون‌های حذف نویز یا ایجاد مناطق آرام مشخص شده، کاوش کنید.")</f>
        <v>تکنیک‌هایی را برای مدیریت و به حداقل رساندن عوامل حواس‌پرتی در یک محیط کاری شلوغ یا پر سر و صدا، مانند استفاده از هدفون‌های حذف نویز یا ایجاد مناطق آرام مشخص شده، کاوش کنید.</v>
      </c>
      <c r="H2112" s="1"/>
      <c r="I2112" s="1"/>
      <c r="J2112" s="1"/>
      <c r="K2112" s="1"/>
      <c r="L2112" s="1"/>
      <c r="M2112" s="1"/>
      <c r="N2112" s="1"/>
      <c r="O2112" s="1"/>
      <c r="P2112" s="1"/>
      <c r="Q2112" s="1"/>
      <c r="R2112" s="1"/>
      <c r="S2112" s="1"/>
      <c r="T2112" s="1"/>
      <c r="U2112" s="1"/>
      <c r="V2112" s="1"/>
      <c r="W2112" s="1"/>
      <c r="X2112" s="1"/>
      <c r="Y2112" s="1"/>
      <c r="Z2112" s="1"/>
      <c r="AA2112" s="1"/>
      <c r="AB2112" s="1"/>
    </row>
    <row r="2113" ht="50.25" customHeight="1">
      <c r="A2113" s="12">
        <v>2109.0</v>
      </c>
      <c r="B2113" s="13" t="s">
        <v>2025</v>
      </c>
      <c r="C2113" s="14" t="s">
        <v>2124</v>
      </c>
      <c r="D2113" s="1"/>
      <c r="E2113" s="1"/>
      <c r="F2113" s="1" t="str">
        <f>IFERROR(__xludf.DUMMYFUNCTION("GOOGLETRANSLATE(B2113, ""en"", ""fa"")
"),"بهره وری و مدیریت زمان")</f>
        <v>بهره وری و مدیریت زمان</v>
      </c>
      <c r="G2113" s="1" t="str">
        <f>IFERROR(__xludf.DUMMYFUNCTION("GOOGLETRANSLATE(C2113, ""en"", ""fa"")
"),"نکاتی را برای مدیریت موثر انرژی در طول روز به اشتراک بگذارید، از جمله استفاده از ریتم های طبیعی شبانه روزی و استراحت های کوتاه.")</f>
        <v>نکاتی را برای مدیریت موثر انرژی در طول روز به اشتراک بگذارید، از جمله استفاده از ریتم های طبیعی شبانه روزی و استراحت های کوتاه.</v>
      </c>
      <c r="H2113" s="1"/>
      <c r="I2113" s="1"/>
      <c r="J2113" s="1"/>
      <c r="K2113" s="1"/>
      <c r="L2113" s="1"/>
      <c r="M2113" s="1"/>
      <c r="N2113" s="1"/>
      <c r="O2113" s="1"/>
      <c r="P2113" s="1"/>
      <c r="Q2113" s="1"/>
      <c r="R2113" s="1"/>
      <c r="S2113" s="1"/>
      <c r="T2113" s="1"/>
      <c r="U2113" s="1"/>
      <c r="V2113" s="1"/>
      <c r="W2113" s="1"/>
      <c r="X2113" s="1"/>
      <c r="Y2113" s="1"/>
      <c r="Z2113" s="1"/>
      <c r="AA2113" s="1"/>
      <c r="AB2113" s="1"/>
    </row>
    <row r="2114" ht="50.25" customHeight="1">
      <c r="A2114" s="12">
        <v>2110.0</v>
      </c>
      <c r="B2114" s="13" t="s">
        <v>2025</v>
      </c>
      <c r="C2114" s="14" t="s">
        <v>2125</v>
      </c>
      <c r="D2114" s="1"/>
      <c r="E2114" s="1"/>
      <c r="F2114" s="1" t="str">
        <f>IFERROR(__xludf.DUMMYFUNCTION("GOOGLETRANSLATE(B2114, ""en"", ""fa"")
"),"بهره وری و مدیریت زمان")</f>
        <v>بهره وری و مدیریت زمان</v>
      </c>
      <c r="G2114" s="1" t="str">
        <f>IFERROR(__xludf.DUMMYFUNCTION("GOOGLETRANSLATE(C2114, ""en"", ""fa"")
"),"در مورد اهمیت تعیین اهداف روشن و همسو کردن وظایف روزانه با اهداف بلند مدت برای بهبود بهره وری بحث کنید.")</f>
        <v>در مورد اهمیت تعیین اهداف روشن و همسو کردن وظایف روزانه با اهداف بلند مدت برای بهبود بهره وری بحث کنید.</v>
      </c>
      <c r="H2114" s="1"/>
      <c r="I2114" s="1"/>
      <c r="J2114" s="1"/>
      <c r="K2114" s="1"/>
      <c r="L2114" s="1"/>
      <c r="M2114" s="1"/>
      <c r="N2114" s="1"/>
      <c r="O2114" s="1"/>
      <c r="P2114" s="1"/>
      <c r="Q2114" s="1"/>
      <c r="R2114" s="1"/>
      <c r="S2114" s="1"/>
      <c r="T2114" s="1"/>
      <c r="U2114" s="1"/>
      <c r="V2114" s="1"/>
      <c r="W2114" s="1"/>
      <c r="X2114" s="1"/>
      <c r="Y2114" s="1"/>
      <c r="Z2114" s="1"/>
      <c r="AA2114" s="1"/>
      <c r="AB2114" s="1"/>
    </row>
    <row r="2115" ht="50.25" customHeight="1">
      <c r="A2115" s="12">
        <v>2111.0</v>
      </c>
      <c r="B2115" s="13" t="s">
        <v>2025</v>
      </c>
      <c r="C2115" s="14" t="s">
        <v>2126</v>
      </c>
      <c r="D2115" s="1"/>
      <c r="E2115" s="1"/>
      <c r="F2115" s="1" t="str">
        <f>IFERROR(__xludf.DUMMYFUNCTION("GOOGLETRANSLATE(B2115, ""en"", ""fa"")
"),"بهره وری و مدیریت زمان")</f>
        <v>بهره وری و مدیریت زمان</v>
      </c>
      <c r="G2115" s="1" t="str">
        <f>IFERROR(__xludf.DUMMYFUNCTION("GOOGLETRANSLATE(C2115, ""en"", ""fa"")
"),"تکنیک‌هایی را برای مدیریت و کاهش حواس‌پرتی‌های دیجیتال، مانند تعیین زمان‌های خاص برای بررسی رسانه‌های اجتماعی یا اجرای مسدودکننده‌های وب‌سایت، کاوش کنید.")</f>
        <v>تکنیک‌هایی را برای مدیریت و کاهش حواس‌پرتی‌های دیجیتال، مانند تعیین زمان‌های خاص برای بررسی رسانه‌های اجتماعی یا اجرای مسدودکننده‌های وب‌سایت، کاوش کنید.</v>
      </c>
      <c r="H2115" s="1"/>
      <c r="I2115" s="1"/>
      <c r="J2115" s="1"/>
      <c r="K2115" s="1"/>
      <c r="L2115" s="1"/>
      <c r="M2115" s="1"/>
      <c r="N2115" s="1"/>
      <c r="O2115" s="1"/>
      <c r="P2115" s="1"/>
      <c r="Q2115" s="1"/>
      <c r="R2115" s="1"/>
      <c r="S2115" s="1"/>
      <c r="T2115" s="1"/>
      <c r="U2115" s="1"/>
      <c r="V2115" s="1"/>
      <c r="W2115" s="1"/>
      <c r="X2115" s="1"/>
      <c r="Y2115" s="1"/>
      <c r="Z2115" s="1"/>
      <c r="AA2115" s="1"/>
      <c r="AB2115" s="1"/>
    </row>
    <row r="2116" ht="50.25" customHeight="1">
      <c r="A2116" s="12">
        <v>2112.0</v>
      </c>
      <c r="B2116" s="13" t="s">
        <v>2025</v>
      </c>
      <c r="C2116" s="14" t="s">
        <v>2127</v>
      </c>
      <c r="D2116" s="1"/>
      <c r="E2116" s="1"/>
      <c r="F2116" s="1" t="str">
        <f>IFERROR(__xludf.DUMMYFUNCTION("GOOGLETRANSLATE(B2116, ""en"", ""fa"")
"),"بهره وری و مدیریت زمان")</f>
        <v>بهره وری و مدیریت زمان</v>
      </c>
      <c r="G2116" s="1" t="str">
        <f>IFERROR(__xludf.DUMMYFUNCTION("GOOGLETRANSLATE(C2116, ""en"", ""fa"")
"),"استراتژی ها را برای اولویت بندی موثر، از جمله استفاده از روش ABCDE یا اصل 80/20 به اشتراک بگذارید.")</f>
        <v>استراتژی ها را برای اولویت بندی موثر، از جمله استفاده از روش ABCDE یا اصل 80/20 به اشتراک بگذارید.</v>
      </c>
      <c r="H2116" s="1"/>
      <c r="I2116" s="1"/>
      <c r="J2116" s="1"/>
      <c r="K2116" s="1"/>
      <c r="L2116" s="1"/>
      <c r="M2116" s="1"/>
      <c r="N2116" s="1"/>
      <c r="O2116" s="1"/>
      <c r="P2116" s="1"/>
      <c r="Q2116" s="1"/>
      <c r="R2116" s="1"/>
      <c r="S2116" s="1"/>
      <c r="T2116" s="1"/>
      <c r="U2116" s="1"/>
      <c r="V2116" s="1"/>
      <c r="W2116" s="1"/>
      <c r="X2116" s="1"/>
      <c r="Y2116" s="1"/>
      <c r="Z2116" s="1"/>
      <c r="AA2116" s="1"/>
      <c r="AB2116" s="1"/>
    </row>
    <row r="2117" ht="50.25" customHeight="1">
      <c r="A2117" s="12">
        <v>2113.0</v>
      </c>
      <c r="B2117" s="13" t="s">
        <v>2025</v>
      </c>
      <c r="C2117" s="14" t="s">
        <v>2128</v>
      </c>
      <c r="D2117" s="1"/>
      <c r="E2117" s="1"/>
      <c r="F2117" s="1" t="str">
        <f>IFERROR(__xludf.DUMMYFUNCTION("GOOGLETRANSLATE(B2117, ""en"", ""fa"")
"),"بهره وری و مدیریت زمان")</f>
        <v>بهره وری و مدیریت زمان</v>
      </c>
      <c r="G2117" s="1" t="str">
        <f>IFERROR(__xludf.DUMMYFUNCTION("GOOGLETRANSLATE(C2117, ""en"", ""fa"")
"),"در مورد مزایای گنجاندن استراحت ها و فعالیت های اوقات فراغت در روز کاری برای افزایش تمرکز و تجدید قوا بحث کنید.")</f>
        <v>در مورد مزایای گنجاندن استراحت ها و فعالیت های اوقات فراغت در روز کاری برای افزایش تمرکز و تجدید قوا بحث کنید.</v>
      </c>
      <c r="H2117" s="1"/>
      <c r="I2117" s="1"/>
      <c r="J2117" s="1"/>
      <c r="K2117" s="1"/>
      <c r="L2117" s="1"/>
      <c r="M2117" s="1"/>
      <c r="N2117" s="1"/>
      <c r="O2117" s="1"/>
      <c r="P2117" s="1"/>
      <c r="Q2117" s="1"/>
      <c r="R2117" s="1"/>
      <c r="S2117" s="1"/>
      <c r="T2117" s="1"/>
      <c r="U2117" s="1"/>
      <c r="V2117" s="1"/>
      <c r="W2117" s="1"/>
      <c r="X2117" s="1"/>
      <c r="Y2117" s="1"/>
      <c r="Z2117" s="1"/>
      <c r="AA2117" s="1"/>
      <c r="AB2117" s="1"/>
    </row>
    <row r="2118" ht="50.25" customHeight="1">
      <c r="A2118" s="12">
        <v>2114.0</v>
      </c>
      <c r="B2118" s="13" t="s">
        <v>2025</v>
      </c>
      <c r="C2118" s="14" t="s">
        <v>2129</v>
      </c>
      <c r="D2118" s="1"/>
      <c r="E2118" s="1"/>
      <c r="F2118" s="1" t="str">
        <f>IFERROR(__xludf.DUMMYFUNCTION("GOOGLETRANSLATE(B2118, ""en"", ""fa"")
"),"بهره وری و مدیریت زمان")</f>
        <v>بهره وری و مدیریت زمان</v>
      </c>
      <c r="G2118" s="1" t="str">
        <f>IFERROR(__xludf.DUMMYFUNCTION("GOOGLETRANSLATE(C2118, ""en"", ""fa"")
"),"روش های مختلف را برای مدیریت و سازماندهی یادداشت ها و اطلاعات دیجیتال برای بازیابی آسان کاوش کنید.")</f>
        <v>روش های مختلف را برای مدیریت و سازماندهی یادداشت ها و اطلاعات دیجیتال برای بازیابی آسان کاوش کنید.</v>
      </c>
      <c r="H2118" s="1"/>
      <c r="I2118" s="1"/>
      <c r="J2118" s="1"/>
      <c r="K2118" s="1"/>
      <c r="L2118" s="1"/>
      <c r="M2118" s="1"/>
      <c r="N2118" s="1"/>
      <c r="O2118" s="1"/>
      <c r="P2118" s="1"/>
      <c r="Q2118" s="1"/>
      <c r="R2118" s="1"/>
      <c r="S2118" s="1"/>
      <c r="T2118" s="1"/>
      <c r="U2118" s="1"/>
      <c r="V2118" s="1"/>
      <c r="W2118" s="1"/>
      <c r="X2118" s="1"/>
      <c r="Y2118" s="1"/>
      <c r="Z2118" s="1"/>
      <c r="AA2118" s="1"/>
      <c r="AB2118" s="1"/>
    </row>
    <row r="2119" ht="50.25" customHeight="1">
      <c r="A2119" s="12">
        <v>2115.0</v>
      </c>
      <c r="B2119" s="13" t="s">
        <v>2025</v>
      </c>
      <c r="C2119" s="14" t="s">
        <v>2130</v>
      </c>
      <c r="D2119" s="1"/>
      <c r="E2119" s="1"/>
      <c r="F2119" s="1" t="str">
        <f>IFERROR(__xludf.DUMMYFUNCTION("GOOGLETRANSLATE(B2119, ""en"", ""fa"")
"),"بهره وری و مدیریت زمان")</f>
        <v>بهره وری و مدیریت زمان</v>
      </c>
      <c r="G2119" s="1" t="str">
        <f>IFERROR(__xludf.DUMMYFUNCTION("GOOGLETRANSLATE(C2119, ""en"", ""fa"")
"),"نکاتی را برای مدیریت موثر پروژه، از جمله تعریف محدوده پروژه، ایجاد نقاط عطف، و پیگیری پیشرفت به اشتراک بگذارید.")</f>
        <v>نکاتی را برای مدیریت موثر پروژه، از جمله تعریف محدوده پروژه، ایجاد نقاط عطف، و پیگیری پیشرفت به اشتراک بگذارید.</v>
      </c>
      <c r="H2119" s="1"/>
      <c r="I2119" s="1"/>
      <c r="J2119" s="1"/>
      <c r="K2119" s="1"/>
      <c r="L2119" s="1"/>
      <c r="M2119" s="1"/>
      <c r="N2119" s="1"/>
      <c r="O2119" s="1"/>
      <c r="P2119" s="1"/>
      <c r="Q2119" s="1"/>
      <c r="R2119" s="1"/>
      <c r="S2119" s="1"/>
      <c r="T2119" s="1"/>
      <c r="U2119" s="1"/>
      <c r="V2119" s="1"/>
      <c r="W2119" s="1"/>
      <c r="X2119" s="1"/>
      <c r="Y2119" s="1"/>
      <c r="Z2119" s="1"/>
      <c r="AA2119" s="1"/>
      <c r="AB2119" s="1"/>
    </row>
    <row r="2120" ht="50.25" customHeight="1">
      <c r="A2120" s="12">
        <v>2116.0</v>
      </c>
      <c r="B2120" s="13" t="s">
        <v>2025</v>
      </c>
      <c r="C2120" s="14" t="s">
        <v>2131</v>
      </c>
      <c r="D2120" s="1"/>
      <c r="E2120" s="1"/>
      <c r="F2120" s="1" t="str">
        <f>IFERROR(__xludf.DUMMYFUNCTION("GOOGLETRANSLATE(B2120, ""en"", ""fa"")
"),"بهره وری و مدیریت زمان")</f>
        <v>بهره وری و مدیریت زمان</v>
      </c>
      <c r="G2120" s="1" t="str">
        <f>IFERROR(__xludf.DUMMYFUNCTION("GOOGLETRANSLATE(C2120, ""en"", ""fa"")
"),"در مورد اهمیت تعیین ضرب الاجل های واقعی و مدیریت بافرهای زمانی برای تطبیق با شرایط پیش بینی نشده بحث کنید.")</f>
        <v>در مورد اهمیت تعیین ضرب الاجل های واقعی و مدیریت بافرهای زمانی برای تطبیق با شرایط پیش بینی نشده بحث کنید.</v>
      </c>
      <c r="H2120" s="1"/>
      <c r="I2120" s="1"/>
      <c r="J2120" s="1"/>
      <c r="K2120" s="1"/>
      <c r="L2120" s="1"/>
      <c r="M2120" s="1"/>
      <c r="N2120" s="1"/>
      <c r="O2120" s="1"/>
      <c r="P2120" s="1"/>
      <c r="Q2120" s="1"/>
      <c r="R2120" s="1"/>
      <c r="S2120" s="1"/>
      <c r="T2120" s="1"/>
      <c r="U2120" s="1"/>
      <c r="V2120" s="1"/>
      <c r="W2120" s="1"/>
      <c r="X2120" s="1"/>
      <c r="Y2120" s="1"/>
      <c r="Z2120" s="1"/>
      <c r="AA2120" s="1"/>
      <c r="AB2120" s="1"/>
    </row>
    <row r="2121" ht="50.25" customHeight="1">
      <c r="A2121" s="12">
        <v>2117.0</v>
      </c>
      <c r="B2121" s="13" t="s">
        <v>2025</v>
      </c>
      <c r="C2121" s="14" t="s">
        <v>2132</v>
      </c>
      <c r="D2121" s="1"/>
      <c r="E2121" s="1"/>
      <c r="F2121" s="1" t="str">
        <f>IFERROR(__xludf.DUMMYFUNCTION("GOOGLETRANSLATE(B2121, ""en"", ""fa"")
"),"بهره وری و مدیریت زمان")</f>
        <v>بهره وری و مدیریت زمان</v>
      </c>
      <c r="G2121" s="1" t="str">
        <f>IFERROR(__xludf.DUMMYFUNCTION("GOOGLETRANSLATE(C2121, ""en"", ""fa"")
"),"تکنیک‌هایی را برای مدیریت و کاهش به هم ریختگی ذهنی، مانند تمرین مدیتیشن ذهن‌آگاهی یا ژورنال نویسی، کاوش کنید.")</f>
        <v>تکنیک‌هایی را برای مدیریت و کاهش به هم ریختگی ذهنی، مانند تمرین مدیتیشن ذهن‌آگاهی یا ژورنال نویسی، کاوش کنید.</v>
      </c>
      <c r="H2121" s="1"/>
      <c r="I2121" s="1"/>
      <c r="J2121" s="1"/>
      <c r="K2121" s="1"/>
      <c r="L2121" s="1"/>
      <c r="M2121" s="1"/>
      <c r="N2121" s="1"/>
      <c r="O2121" s="1"/>
      <c r="P2121" s="1"/>
      <c r="Q2121" s="1"/>
      <c r="R2121" s="1"/>
      <c r="S2121" s="1"/>
      <c r="T2121" s="1"/>
      <c r="U2121" s="1"/>
      <c r="V2121" s="1"/>
      <c r="W2121" s="1"/>
      <c r="X2121" s="1"/>
      <c r="Y2121" s="1"/>
      <c r="Z2121" s="1"/>
      <c r="AA2121" s="1"/>
      <c r="AB2121" s="1"/>
    </row>
    <row r="2122" ht="50.25" customHeight="1">
      <c r="A2122" s="12">
        <v>2118.0</v>
      </c>
      <c r="B2122" s="13" t="s">
        <v>2025</v>
      </c>
      <c r="C2122" s="14" t="s">
        <v>2133</v>
      </c>
      <c r="D2122" s="1"/>
      <c r="E2122" s="1"/>
      <c r="F2122" s="1" t="str">
        <f>IFERROR(__xludf.DUMMYFUNCTION("GOOGLETRANSLATE(B2122, ""en"", ""fa"")
"),"بهره وری و مدیریت زمان")</f>
        <v>بهره وری و مدیریت زمان</v>
      </c>
      <c r="G2122" s="1" t="str">
        <f>IFERROR(__xludf.DUMMYFUNCTION("GOOGLETRANSLATE(C2122, ""en"", ""fa"")
"),"استراتژی هایی را برای تفویض اختیار موثر و توانمندسازی اعضای تیم برای تصدی وظایف و پروژه ها به اشتراک بگذارید.")</f>
        <v>استراتژی هایی را برای تفویض اختیار موثر و توانمندسازی اعضای تیم برای تصدی وظایف و پروژه ها به اشتراک بگذارید.</v>
      </c>
      <c r="H2122" s="1"/>
      <c r="I2122" s="1"/>
      <c r="J2122" s="1"/>
      <c r="K2122" s="1"/>
      <c r="L2122" s="1"/>
      <c r="M2122" s="1"/>
      <c r="N2122" s="1"/>
      <c r="O2122" s="1"/>
      <c r="P2122" s="1"/>
      <c r="Q2122" s="1"/>
      <c r="R2122" s="1"/>
      <c r="S2122" s="1"/>
      <c r="T2122" s="1"/>
      <c r="U2122" s="1"/>
      <c r="V2122" s="1"/>
      <c r="W2122" s="1"/>
      <c r="X2122" s="1"/>
      <c r="Y2122" s="1"/>
      <c r="Z2122" s="1"/>
      <c r="AA2122" s="1"/>
      <c r="AB2122" s="1"/>
    </row>
    <row r="2123" ht="50.25" customHeight="1">
      <c r="A2123" s="12">
        <v>2119.0</v>
      </c>
      <c r="B2123" s="13" t="s">
        <v>2025</v>
      </c>
      <c r="C2123" s="14" t="s">
        <v>2134</v>
      </c>
      <c r="D2123" s="1"/>
      <c r="E2123" s="1"/>
      <c r="F2123" s="1" t="str">
        <f>IFERROR(__xludf.DUMMYFUNCTION("GOOGLETRANSLATE(B2123, ""en"", ""fa"")
"),"بهره وری و مدیریت زمان")</f>
        <v>بهره وری و مدیریت زمان</v>
      </c>
      <c r="G2123" s="1" t="str">
        <f>IFERROR(__xludf.DUMMYFUNCTION("GOOGLETRANSLATE(C2123, ""en"", ""fa"")
"),"در مورد مزایای حفظ یک فضای کاری تمیز و سازمان یافته برای بهبود تمرکز و بهره وری بحث کنید.")</f>
        <v>در مورد مزایای حفظ یک فضای کاری تمیز و سازمان یافته برای بهبود تمرکز و بهره وری بحث کنید.</v>
      </c>
      <c r="H2123" s="1"/>
      <c r="I2123" s="1"/>
      <c r="J2123" s="1"/>
      <c r="K2123" s="1"/>
      <c r="L2123" s="1"/>
      <c r="M2123" s="1"/>
      <c r="N2123" s="1"/>
      <c r="O2123" s="1"/>
      <c r="P2123" s="1"/>
      <c r="Q2123" s="1"/>
      <c r="R2123" s="1"/>
      <c r="S2123" s="1"/>
      <c r="T2123" s="1"/>
      <c r="U2123" s="1"/>
      <c r="V2123" s="1"/>
      <c r="W2123" s="1"/>
      <c r="X2123" s="1"/>
      <c r="Y2123" s="1"/>
      <c r="Z2123" s="1"/>
      <c r="AA2123" s="1"/>
      <c r="AB2123" s="1"/>
    </row>
    <row r="2124" ht="50.25" customHeight="1">
      <c r="A2124" s="12">
        <v>2120.0</v>
      </c>
      <c r="B2124" s="13" t="s">
        <v>2025</v>
      </c>
      <c r="C2124" s="14" t="s">
        <v>2135</v>
      </c>
      <c r="D2124" s="1"/>
      <c r="E2124" s="1"/>
      <c r="F2124" s="1" t="str">
        <f>IFERROR(__xludf.DUMMYFUNCTION("GOOGLETRANSLATE(B2124, ""en"", ""fa"")
"),"بهره وری و مدیریت زمان")</f>
        <v>بهره وری و مدیریت زمان</v>
      </c>
      <c r="G2124" s="1" t="str">
        <f>IFERROR(__xludf.DUMMYFUNCTION("GOOGLETRANSLATE(C2124, ""en"", ""fa"")
"),"روش های مختلف را برای مدیریت و به حداقل رساندن وقفه ها در حین کار در یک فضای اداری مشترک یا باز کاوش کنید.")</f>
        <v>روش های مختلف را برای مدیریت و به حداقل رساندن وقفه ها در حین کار در یک فضای اداری مشترک یا باز کاوش کنید.</v>
      </c>
      <c r="H2124" s="1"/>
      <c r="I2124" s="1"/>
      <c r="J2124" s="1"/>
      <c r="K2124" s="1"/>
      <c r="L2124" s="1"/>
      <c r="M2124" s="1"/>
      <c r="N2124" s="1"/>
      <c r="O2124" s="1"/>
      <c r="P2124" s="1"/>
      <c r="Q2124" s="1"/>
      <c r="R2124" s="1"/>
      <c r="S2124" s="1"/>
      <c r="T2124" s="1"/>
      <c r="U2124" s="1"/>
      <c r="V2124" s="1"/>
      <c r="W2124" s="1"/>
      <c r="X2124" s="1"/>
      <c r="Y2124" s="1"/>
      <c r="Z2124" s="1"/>
      <c r="AA2124" s="1"/>
      <c r="AB2124" s="1"/>
    </row>
    <row r="2125" ht="50.25" customHeight="1">
      <c r="A2125" s="12">
        <v>2121.0</v>
      </c>
      <c r="B2125" s="13" t="s">
        <v>2025</v>
      </c>
      <c r="C2125" s="14" t="s">
        <v>2136</v>
      </c>
      <c r="D2125" s="1"/>
      <c r="E2125" s="1"/>
      <c r="F2125" s="1" t="str">
        <f>IFERROR(__xludf.DUMMYFUNCTION("GOOGLETRANSLATE(B2125, ""en"", ""fa"")
"),"بهره وری و مدیریت زمان")</f>
        <v>بهره وری و مدیریت زمان</v>
      </c>
      <c r="G2125" s="1" t="str">
        <f>IFERROR(__xludf.DUMMYFUNCTION("GOOGLETRANSLATE(C2125, ""en"", ""fa"")
"),"نکاتی را برای خودانگیختگی مؤثر و تمرکز بر اهداف بلندمدت در زمان‌های چالش برانگیز به اشتراک بگذارید.")</f>
        <v>نکاتی را برای خودانگیختگی مؤثر و تمرکز بر اهداف بلندمدت در زمان‌های چالش برانگیز به اشتراک بگذارید.</v>
      </c>
      <c r="H2125" s="1"/>
      <c r="I2125" s="1"/>
      <c r="J2125" s="1"/>
      <c r="K2125" s="1"/>
      <c r="L2125" s="1"/>
      <c r="M2125" s="1"/>
      <c r="N2125" s="1"/>
      <c r="O2125" s="1"/>
      <c r="P2125" s="1"/>
      <c r="Q2125" s="1"/>
      <c r="R2125" s="1"/>
      <c r="S2125" s="1"/>
      <c r="T2125" s="1"/>
      <c r="U2125" s="1"/>
      <c r="V2125" s="1"/>
      <c r="W2125" s="1"/>
      <c r="X2125" s="1"/>
      <c r="Y2125" s="1"/>
      <c r="Z2125" s="1"/>
      <c r="AA2125" s="1"/>
      <c r="AB2125" s="1"/>
    </row>
    <row r="2126" ht="50.25" customHeight="1">
      <c r="A2126" s="12">
        <v>2122.0</v>
      </c>
      <c r="B2126" s="13" t="s">
        <v>2025</v>
      </c>
      <c r="C2126" s="14" t="s">
        <v>2137</v>
      </c>
      <c r="D2126" s="1"/>
      <c r="E2126" s="1"/>
      <c r="F2126" s="1" t="str">
        <f>IFERROR(__xludf.DUMMYFUNCTION("GOOGLETRANSLATE(B2126, ""en"", ""fa"")
"),"بهره وری و مدیریت زمان")</f>
        <v>بهره وری و مدیریت زمان</v>
      </c>
      <c r="G2126" s="1" t="str">
        <f>IFERROR(__xludf.DUMMYFUNCTION("GOOGLETRANSLATE(C2126, ""en"", ""fa"")
"),"در مورد اهمیت تعیین حد و مرز با فناوری و تعیین زمان تعیین شده برای سم زدایی دیجیتال و آرامش بحث کنید.")</f>
        <v>در مورد اهمیت تعیین حد و مرز با فناوری و تعیین زمان تعیین شده برای سم زدایی دیجیتال و آرامش بحث کنید.</v>
      </c>
      <c r="H2126" s="1"/>
      <c r="I2126" s="1"/>
      <c r="J2126" s="1"/>
      <c r="K2126" s="1"/>
      <c r="L2126" s="1"/>
      <c r="M2126" s="1"/>
      <c r="N2126" s="1"/>
      <c r="O2126" s="1"/>
      <c r="P2126" s="1"/>
      <c r="Q2126" s="1"/>
      <c r="R2126" s="1"/>
      <c r="S2126" s="1"/>
      <c r="T2126" s="1"/>
      <c r="U2126" s="1"/>
      <c r="V2126" s="1"/>
      <c r="W2126" s="1"/>
      <c r="X2126" s="1"/>
      <c r="Y2126" s="1"/>
      <c r="Z2126" s="1"/>
      <c r="AA2126" s="1"/>
      <c r="AB2126" s="1"/>
    </row>
    <row r="2127" ht="50.25" customHeight="1">
      <c r="A2127" s="12">
        <v>2123.0</v>
      </c>
      <c r="B2127" s="13" t="s">
        <v>2025</v>
      </c>
      <c r="C2127" s="14" t="s">
        <v>2138</v>
      </c>
      <c r="D2127" s="1"/>
      <c r="E2127" s="1"/>
      <c r="F2127" s="1" t="str">
        <f>IFERROR(__xludf.DUMMYFUNCTION("GOOGLETRANSLATE(B2127, ""en"", ""fa"")
"),"بهره وری و مدیریت زمان")</f>
        <v>بهره وری و مدیریت زمان</v>
      </c>
      <c r="G2127" s="1" t="str">
        <f>IFERROR(__xludf.DUMMYFUNCTION("GOOGLETRANSLATE(C2127, ""en"", ""fa"")
"),"تکنیک‌های مدیریت و کاهش خستگی تصمیم‌گیری را با خودکار کردن تصمیم‌های معمول و تفویض اختیار تصمیم‌گیری بررسی کنید.")</f>
        <v>تکنیک‌های مدیریت و کاهش خستگی تصمیم‌گیری را با خودکار کردن تصمیم‌های معمول و تفویض اختیار تصمیم‌گیری بررسی کنید.</v>
      </c>
      <c r="H2127" s="1"/>
      <c r="I2127" s="1"/>
      <c r="J2127" s="1"/>
      <c r="K2127" s="1"/>
      <c r="L2127" s="1"/>
      <c r="M2127" s="1"/>
      <c r="N2127" s="1"/>
      <c r="O2127" s="1"/>
      <c r="P2127" s="1"/>
      <c r="Q2127" s="1"/>
      <c r="R2127" s="1"/>
      <c r="S2127" s="1"/>
      <c r="T2127" s="1"/>
      <c r="U2127" s="1"/>
      <c r="V2127" s="1"/>
      <c r="W2127" s="1"/>
      <c r="X2127" s="1"/>
      <c r="Y2127" s="1"/>
      <c r="Z2127" s="1"/>
      <c r="AA2127" s="1"/>
      <c r="AB2127" s="1"/>
    </row>
    <row r="2128" ht="50.25" customHeight="1">
      <c r="A2128" s="12">
        <v>2124.0</v>
      </c>
      <c r="B2128" s="13" t="s">
        <v>2025</v>
      </c>
      <c r="C2128" s="14" t="s">
        <v>2139</v>
      </c>
      <c r="D2128" s="1"/>
      <c r="E2128" s="1"/>
      <c r="F2128" s="1" t="str">
        <f>IFERROR(__xludf.DUMMYFUNCTION("GOOGLETRANSLATE(B2128, ""en"", ""fa"")
"),"بهره وری و مدیریت زمان")</f>
        <v>بهره وری و مدیریت زمان</v>
      </c>
      <c r="G2128" s="1" t="str">
        <f>IFERROR(__xludf.DUMMYFUNCTION("GOOGLETRANSLATE(C2128, ""en"", ""fa"")
"),"به اشتراک گذاری استراتژی ها برای ارتباط موثر با ذینفعان، از جمله گزارش های واضح و مختصر و به روز رسانی پیشرفت.")</f>
        <v>به اشتراک گذاری استراتژی ها برای ارتباط موثر با ذینفعان، از جمله گزارش های واضح و مختصر و به روز رسانی پیشرفت.</v>
      </c>
      <c r="H2128" s="1"/>
      <c r="I2128" s="1"/>
      <c r="J2128" s="1"/>
      <c r="K2128" s="1"/>
      <c r="L2128" s="1"/>
      <c r="M2128" s="1"/>
      <c r="N2128" s="1"/>
      <c r="O2128" s="1"/>
      <c r="P2128" s="1"/>
      <c r="Q2128" s="1"/>
      <c r="R2128" s="1"/>
      <c r="S2128" s="1"/>
      <c r="T2128" s="1"/>
      <c r="U2128" s="1"/>
      <c r="V2128" s="1"/>
      <c r="W2128" s="1"/>
      <c r="X2128" s="1"/>
      <c r="Y2128" s="1"/>
      <c r="Z2128" s="1"/>
      <c r="AA2128" s="1"/>
      <c r="AB2128" s="1"/>
    </row>
    <row r="2129" ht="50.25" customHeight="1">
      <c r="A2129" s="12">
        <v>2125.0</v>
      </c>
      <c r="B2129" s="13" t="s">
        <v>2025</v>
      </c>
      <c r="C2129" s="14" t="s">
        <v>2140</v>
      </c>
      <c r="D2129" s="1"/>
      <c r="E2129" s="1"/>
      <c r="F2129" s="1" t="str">
        <f>IFERROR(__xludf.DUMMYFUNCTION("GOOGLETRANSLATE(B2129, ""en"", ""fa"")
"),"بهره وری و مدیریت زمان")</f>
        <v>بهره وری و مدیریت زمان</v>
      </c>
      <c r="G2129" s="1" t="str">
        <f>IFERROR(__xludf.DUMMYFUNCTION("GOOGLETRANSLATE(C2129, ""en"", ""fa"")
"),"در مورد مزایای گنجاندن تمرین های ذهن آگاهی در روال روزانه برای افزایش خودآگاهی و کاهش استرس بحث کنید.")</f>
        <v>در مورد مزایای گنجاندن تمرین های ذهن آگاهی در روال روزانه برای افزایش خودآگاهی و کاهش استرس بحث کنید.</v>
      </c>
      <c r="H2129" s="1"/>
      <c r="I2129" s="1"/>
      <c r="J2129" s="1"/>
      <c r="K2129" s="1"/>
      <c r="L2129" s="1"/>
      <c r="M2129" s="1"/>
      <c r="N2129" s="1"/>
      <c r="O2129" s="1"/>
      <c r="P2129" s="1"/>
      <c r="Q2129" s="1"/>
      <c r="R2129" s="1"/>
      <c r="S2129" s="1"/>
      <c r="T2129" s="1"/>
      <c r="U2129" s="1"/>
      <c r="V2129" s="1"/>
      <c r="W2129" s="1"/>
      <c r="X2129" s="1"/>
      <c r="Y2129" s="1"/>
      <c r="Z2129" s="1"/>
      <c r="AA2129" s="1"/>
      <c r="AB2129" s="1"/>
    </row>
    <row r="2130" ht="50.25" customHeight="1">
      <c r="A2130" s="12">
        <v>2126.0</v>
      </c>
      <c r="B2130" s="13" t="s">
        <v>2025</v>
      </c>
      <c r="C2130" s="14" t="s">
        <v>2141</v>
      </c>
      <c r="D2130" s="1"/>
      <c r="E2130" s="1"/>
      <c r="F2130" s="1" t="str">
        <f>IFERROR(__xludf.DUMMYFUNCTION("GOOGLETRANSLATE(B2130, ""en"", ""fa"")
"),"بهره وری و مدیریت زمان")</f>
        <v>بهره وری و مدیریت زمان</v>
      </c>
      <c r="G2130" s="1" t="str">
        <f>IFERROR(__xludf.DUMMYFUNCTION("GOOGLETRANSLATE(C2130, ""en"", ""fa"")
"),"روش های مختلف برای مدیریت و سازماندهی هزینه های مرتبط با پروژه و اسناد مالی را بررسی کنید.")</f>
        <v>روش های مختلف برای مدیریت و سازماندهی هزینه های مرتبط با پروژه و اسناد مالی را بررسی کنید.</v>
      </c>
      <c r="H2130" s="1"/>
      <c r="I2130" s="1"/>
      <c r="J2130" s="1"/>
      <c r="K2130" s="1"/>
      <c r="L2130" s="1"/>
      <c r="M2130" s="1"/>
      <c r="N2130" s="1"/>
      <c r="O2130" s="1"/>
      <c r="P2130" s="1"/>
      <c r="Q2130" s="1"/>
      <c r="R2130" s="1"/>
      <c r="S2130" s="1"/>
      <c r="T2130" s="1"/>
      <c r="U2130" s="1"/>
      <c r="V2130" s="1"/>
      <c r="W2130" s="1"/>
      <c r="X2130" s="1"/>
      <c r="Y2130" s="1"/>
      <c r="Z2130" s="1"/>
      <c r="AA2130" s="1"/>
      <c r="AB2130" s="1"/>
    </row>
    <row r="2131" ht="50.25" customHeight="1">
      <c r="A2131" s="12">
        <v>2127.0</v>
      </c>
      <c r="B2131" s="13" t="s">
        <v>2025</v>
      </c>
      <c r="C2131" s="14" t="s">
        <v>2142</v>
      </c>
      <c r="D2131" s="1"/>
      <c r="E2131" s="1"/>
      <c r="F2131" s="1" t="str">
        <f>IFERROR(__xludf.DUMMYFUNCTION("GOOGLETRANSLATE(B2131, ""en"", ""fa"")
"),"بهره وری و مدیریت زمان")</f>
        <v>بهره وری و مدیریت زمان</v>
      </c>
      <c r="G2131" s="1" t="str">
        <f>IFERROR(__xludf.DUMMYFUNCTION("GOOGLETRANSLATE(C2131, ""en"", ""fa"")
"),"نکاتی را برای مدیریت موثر زمان در هنگام انجام چندین پروژه یا نقش به طور همزمان به اشتراک بگذارید.")</f>
        <v>نکاتی را برای مدیریت موثر زمان در هنگام انجام چندین پروژه یا نقش به طور همزمان به اشتراک بگذارید.</v>
      </c>
      <c r="H2131" s="1"/>
      <c r="I2131" s="1"/>
      <c r="J2131" s="1"/>
      <c r="K2131" s="1"/>
      <c r="L2131" s="1"/>
      <c r="M2131" s="1"/>
      <c r="N2131" s="1"/>
      <c r="O2131" s="1"/>
      <c r="P2131" s="1"/>
      <c r="Q2131" s="1"/>
      <c r="R2131" s="1"/>
      <c r="S2131" s="1"/>
      <c r="T2131" s="1"/>
      <c r="U2131" s="1"/>
      <c r="V2131" s="1"/>
      <c r="W2131" s="1"/>
      <c r="X2131" s="1"/>
      <c r="Y2131" s="1"/>
      <c r="Z2131" s="1"/>
      <c r="AA2131" s="1"/>
      <c r="AB2131" s="1"/>
    </row>
    <row r="2132" ht="50.25" customHeight="1">
      <c r="A2132" s="12">
        <v>2128.0</v>
      </c>
      <c r="B2132" s="13" t="s">
        <v>2025</v>
      </c>
      <c r="C2132" s="14" t="s">
        <v>2143</v>
      </c>
      <c r="D2132" s="1"/>
      <c r="E2132" s="1"/>
      <c r="F2132" s="1" t="str">
        <f>IFERROR(__xludf.DUMMYFUNCTION("GOOGLETRANSLATE(B2132, ""en"", ""fa"")
"),"بهره وری و مدیریت زمان")</f>
        <v>بهره وری و مدیریت زمان</v>
      </c>
      <c r="G2132" s="1" t="str">
        <f>IFERROR(__xludf.DUMMYFUNCTION("GOOGLETRANSLATE(C2132, ""en"", ""fa"")
"),"در مورد اهمیت تعیین انتظارات واقع بینانه و اجتناب از تعهد بیش از حد برای جلوگیری از فرسودگی شغلی بحث کنید.")</f>
        <v>در مورد اهمیت تعیین انتظارات واقع بینانه و اجتناب از تعهد بیش از حد برای جلوگیری از فرسودگی شغلی بحث کنید.</v>
      </c>
      <c r="H2132" s="1"/>
      <c r="I2132" s="1"/>
      <c r="J2132" s="1"/>
      <c r="K2132" s="1"/>
      <c r="L2132" s="1"/>
      <c r="M2132" s="1"/>
      <c r="N2132" s="1"/>
      <c r="O2132" s="1"/>
      <c r="P2132" s="1"/>
      <c r="Q2132" s="1"/>
      <c r="R2132" s="1"/>
      <c r="S2132" s="1"/>
      <c r="T2132" s="1"/>
      <c r="U2132" s="1"/>
      <c r="V2132" s="1"/>
      <c r="W2132" s="1"/>
      <c r="X2132" s="1"/>
      <c r="Y2132" s="1"/>
      <c r="Z2132" s="1"/>
      <c r="AA2132" s="1"/>
      <c r="AB2132" s="1"/>
    </row>
    <row r="2133" ht="50.25" customHeight="1">
      <c r="A2133" s="12">
        <v>2129.0</v>
      </c>
      <c r="B2133" s="13" t="s">
        <v>2025</v>
      </c>
      <c r="C2133" s="14" t="s">
        <v>2144</v>
      </c>
      <c r="D2133" s="1"/>
      <c r="E2133" s="1"/>
      <c r="F2133" s="1" t="str">
        <f>IFERROR(__xludf.DUMMYFUNCTION("GOOGLETRANSLATE(B2133, ""en"", ""fa"")
"),"بهره وری و مدیریت زمان")</f>
        <v>بهره وری و مدیریت زمان</v>
      </c>
      <c r="G2133" s="1" t="str">
        <f>IFERROR(__xludf.DUMMYFUNCTION("GOOGLETRANSLATE(C2133, ""en"", ""fa"")
"),"تکنیک‌هایی را برای مدیریت و کاهش به هم ریختگی دیجیتال، از جمله سازمان‌دهی فایل‌های رایانه، پوشه‌های ایمیل، و نشانک‌های مرورگر، کاوش کنید.")</f>
        <v>تکنیک‌هایی را برای مدیریت و کاهش به هم ریختگی دیجیتال، از جمله سازمان‌دهی فایل‌های رایانه، پوشه‌های ایمیل، و نشانک‌های مرورگر، کاوش کنید.</v>
      </c>
      <c r="H2133" s="1"/>
      <c r="I2133" s="1"/>
      <c r="J2133" s="1"/>
      <c r="K2133" s="1"/>
      <c r="L2133" s="1"/>
      <c r="M2133" s="1"/>
      <c r="N2133" s="1"/>
      <c r="O2133" s="1"/>
      <c r="P2133" s="1"/>
      <c r="Q2133" s="1"/>
      <c r="R2133" s="1"/>
      <c r="S2133" s="1"/>
      <c r="T2133" s="1"/>
      <c r="U2133" s="1"/>
      <c r="V2133" s="1"/>
      <c r="W2133" s="1"/>
      <c r="X2133" s="1"/>
      <c r="Y2133" s="1"/>
      <c r="Z2133" s="1"/>
      <c r="AA2133" s="1"/>
      <c r="AB2133" s="1"/>
    </row>
    <row r="2134" ht="50.25" customHeight="1">
      <c r="A2134" s="12">
        <v>2130.0</v>
      </c>
      <c r="B2134" s="13" t="s">
        <v>2025</v>
      </c>
      <c r="C2134" s="14" t="s">
        <v>2145</v>
      </c>
      <c r="D2134" s="1"/>
      <c r="E2134" s="1"/>
      <c r="F2134" s="1" t="str">
        <f>IFERROR(__xludf.DUMMYFUNCTION("GOOGLETRANSLATE(B2134, ""en"", ""fa"")
"),"بهره وری و مدیریت زمان")</f>
        <v>بهره وری و مدیریت زمان</v>
      </c>
      <c r="G2134" s="1" t="str">
        <f>IFERROR(__xludf.DUMMYFUNCTION("GOOGLETRANSLATE(C2134, ""en"", ""fa"")
"),"استراتژی ها را برای اولویت بندی کارها بر اساس اهمیت و تأثیر هر کار به اشتراک بگذارید.")</f>
        <v>استراتژی ها را برای اولویت بندی کارها بر اساس اهمیت و تأثیر هر کار به اشتراک بگذارید.</v>
      </c>
      <c r="H2134" s="1"/>
      <c r="I2134" s="1"/>
      <c r="J2134" s="1"/>
      <c r="K2134" s="1"/>
      <c r="L2134" s="1"/>
      <c r="M2134" s="1"/>
      <c r="N2134" s="1"/>
      <c r="O2134" s="1"/>
      <c r="P2134" s="1"/>
      <c r="Q2134" s="1"/>
      <c r="R2134" s="1"/>
      <c r="S2134" s="1"/>
      <c r="T2134" s="1"/>
      <c r="U2134" s="1"/>
      <c r="V2134" s="1"/>
      <c r="W2134" s="1"/>
      <c r="X2134" s="1"/>
      <c r="Y2134" s="1"/>
      <c r="Z2134" s="1"/>
      <c r="AA2134" s="1"/>
      <c r="AB2134" s="1"/>
    </row>
    <row r="2135" ht="50.25" customHeight="1">
      <c r="A2135" s="12">
        <v>2131.0</v>
      </c>
      <c r="B2135" s="13" t="s">
        <v>2025</v>
      </c>
      <c r="C2135" s="14" t="s">
        <v>2146</v>
      </c>
      <c r="D2135" s="1"/>
      <c r="E2135" s="1"/>
      <c r="F2135" s="1" t="str">
        <f>IFERROR(__xludf.DUMMYFUNCTION("GOOGLETRANSLATE(B2135, ""en"", ""fa"")
"),"بهره وری و مدیریت زمان")</f>
        <v>بهره وری و مدیریت زمان</v>
      </c>
      <c r="G2135" s="1" t="str">
        <f>IFERROR(__xludf.DUMMYFUNCTION("GOOGLETRANSLATE(C2135, ""en"", ""fa"")
"),"در مورد مزایای گنجاندن ورزش منظم یا فعالیت بدنی در روال روزانه برای بهبود بهره وری و رفاه بحث کنید.")</f>
        <v>در مورد مزایای گنجاندن ورزش منظم یا فعالیت بدنی در روال روزانه برای بهبود بهره وری و رفاه بحث کنید.</v>
      </c>
      <c r="H2135" s="1"/>
      <c r="I2135" s="1"/>
      <c r="J2135" s="1"/>
      <c r="K2135" s="1"/>
      <c r="L2135" s="1"/>
      <c r="M2135" s="1"/>
      <c r="N2135" s="1"/>
      <c r="O2135" s="1"/>
      <c r="P2135" s="1"/>
      <c r="Q2135" s="1"/>
      <c r="R2135" s="1"/>
      <c r="S2135" s="1"/>
      <c r="T2135" s="1"/>
      <c r="U2135" s="1"/>
      <c r="V2135" s="1"/>
      <c r="W2135" s="1"/>
      <c r="X2135" s="1"/>
      <c r="Y2135" s="1"/>
      <c r="Z2135" s="1"/>
      <c r="AA2135" s="1"/>
      <c r="AB2135" s="1"/>
    </row>
    <row r="2136" ht="50.25" customHeight="1">
      <c r="A2136" s="12">
        <v>2132.0</v>
      </c>
      <c r="B2136" s="13" t="s">
        <v>2025</v>
      </c>
      <c r="C2136" s="14" t="s">
        <v>2147</v>
      </c>
      <c r="D2136" s="1"/>
      <c r="E2136" s="1"/>
      <c r="F2136" s="1" t="str">
        <f>IFERROR(__xludf.DUMMYFUNCTION("GOOGLETRANSLATE(B2136, ""en"", ""fa"")
"),"بهره وری و مدیریت زمان")</f>
        <v>بهره وری و مدیریت زمان</v>
      </c>
      <c r="G2136" s="1" t="str">
        <f>IFERROR(__xludf.DUMMYFUNCTION("GOOGLETRANSLATE(C2136, ""en"", ""fa"")
"),"روش های مختلف برای مدیریت و کاهش استرس در محل کار، مانند تمرین تمرکز حواس یا درگیر شدن در تکنیک های آرام سازی را بررسی کنید.")</f>
        <v>روش های مختلف برای مدیریت و کاهش استرس در محل کار، مانند تمرین تمرکز حواس یا درگیر شدن در تکنیک های آرام سازی را بررسی کنید.</v>
      </c>
      <c r="H2136" s="1"/>
      <c r="I2136" s="1"/>
      <c r="J2136" s="1"/>
      <c r="K2136" s="1"/>
      <c r="L2136" s="1"/>
      <c r="M2136" s="1"/>
      <c r="N2136" s="1"/>
      <c r="O2136" s="1"/>
      <c r="P2136" s="1"/>
      <c r="Q2136" s="1"/>
      <c r="R2136" s="1"/>
      <c r="S2136" s="1"/>
      <c r="T2136" s="1"/>
      <c r="U2136" s="1"/>
      <c r="V2136" s="1"/>
      <c r="W2136" s="1"/>
      <c r="X2136" s="1"/>
      <c r="Y2136" s="1"/>
      <c r="Z2136" s="1"/>
      <c r="AA2136" s="1"/>
      <c r="AB2136" s="1"/>
    </row>
    <row r="2137" ht="50.25" customHeight="1">
      <c r="A2137" s="12">
        <v>2133.0</v>
      </c>
      <c r="B2137" s="13" t="s">
        <v>2025</v>
      </c>
      <c r="C2137" s="14" t="s">
        <v>2148</v>
      </c>
      <c r="D2137" s="1"/>
      <c r="E2137" s="1"/>
      <c r="F2137" s="1" t="str">
        <f>IFERROR(__xludf.DUMMYFUNCTION("GOOGLETRANSLATE(B2137, ""en"", ""fa"")
"),"بهره وری و مدیریت زمان")</f>
        <v>بهره وری و مدیریت زمان</v>
      </c>
      <c r="G2137" s="1" t="str">
        <f>IFERROR(__xludf.DUMMYFUNCTION("GOOGLETRANSLATE(C2137, ""en"", ""fa"")
"),"نکاتی را برای بازاندیشی مؤثر و ارزیابی بهره وری و عادات مدیریت زمان به اشتراک بگذارید.")</f>
        <v>نکاتی را برای بازاندیشی مؤثر و ارزیابی بهره وری و عادات مدیریت زمان به اشتراک بگذارید.</v>
      </c>
      <c r="H2137" s="1"/>
      <c r="I2137" s="1"/>
      <c r="J2137" s="1"/>
      <c r="K2137" s="1"/>
      <c r="L2137" s="1"/>
      <c r="M2137" s="1"/>
      <c r="N2137" s="1"/>
      <c r="O2137" s="1"/>
      <c r="P2137" s="1"/>
      <c r="Q2137" s="1"/>
      <c r="R2137" s="1"/>
      <c r="S2137" s="1"/>
      <c r="T2137" s="1"/>
      <c r="U2137" s="1"/>
      <c r="V2137" s="1"/>
      <c r="W2137" s="1"/>
      <c r="X2137" s="1"/>
      <c r="Y2137" s="1"/>
      <c r="Z2137" s="1"/>
      <c r="AA2137" s="1"/>
      <c r="AB2137" s="1"/>
    </row>
    <row r="2138" ht="50.25" customHeight="1">
      <c r="A2138" s="12">
        <v>2134.0</v>
      </c>
      <c r="B2138" s="13" t="s">
        <v>2025</v>
      </c>
      <c r="C2138" s="14" t="s">
        <v>2149</v>
      </c>
      <c r="D2138" s="1"/>
      <c r="E2138" s="1"/>
      <c r="F2138" s="1" t="str">
        <f>IFERROR(__xludf.DUMMYFUNCTION("GOOGLETRANSLATE(B2138, ""en"", ""fa"")
"),"بهره وری و مدیریت زمان")</f>
        <v>بهره وری و مدیریت زمان</v>
      </c>
      <c r="G2138" s="1" t="str">
        <f>IFERROR(__xludf.DUMMYFUNCTION("GOOGLETRANSLATE(C2138, ""en"", ""fa"")
"),"استراتژی هایی را برای تعیین اهداف واقع بینانه و قابل دستیابی که با آرزوهای شخصی و حرفه ای همسو هستند را به اشتراک بگذارید.")</f>
        <v>استراتژی هایی را برای تعیین اهداف واقع بینانه و قابل دستیابی که با آرزوهای شخصی و حرفه ای همسو هستند را به اشتراک بگذارید.</v>
      </c>
      <c r="H2138" s="1"/>
      <c r="I2138" s="1"/>
      <c r="J2138" s="1"/>
      <c r="K2138" s="1"/>
      <c r="L2138" s="1"/>
      <c r="M2138" s="1"/>
      <c r="N2138" s="1"/>
      <c r="O2138" s="1"/>
      <c r="P2138" s="1"/>
      <c r="Q2138" s="1"/>
      <c r="R2138" s="1"/>
      <c r="S2138" s="1"/>
      <c r="T2138" s="1"/>
      <c r="U2138" s="1"/>
      <c r="V2138" s="1"/>
      <c r="W2138" s="1"/>
      <c r="X2138" s="1"/>
      <c r="Y2138" s="1"/>
      <c r="Z2138" s="1"/>
      <c r="AA2138" s="1"/>
      <c r="AB2138" s="1"/>
    </row>
    <row r="2139" ht="50.25" customHeight="1">
      <c r="A2139" s="12">
        <v>2135.0</v>
      </c>
      <c r="B2139" s="13" t="s">
        <v>2025</v>
      </c>
      <c r="C2139" s="14" t="s">
        <v>2150</v>
      </c>
      <c r="D2139" s="1"/>
      <c r="E2139" s="1"/>
      <c r="F2139" s="1" t="str">
        <f>IFERROR(__xludf.DUMMYFUNCTION("GOOGLETRANSLATE(B2139, ""en"", ""fa"")
"),"بهره وری و مدیریت زمان")</f>
        <v>بهره وری و مدیریت زمان</v>
      </c>
      <c r="G2139" s="1" t="str">
        <f>IFERROR(__xludf.DUMMYFUNCTION("GOOGLETRANSLATE(C2139, ""en"", ""fa"")
"),"در مورد مزایای ایجاد یک روال روزانه و پایبندی به آن برای بهبود بهره وری و مدیریت زمان بحث کنید.")</f>
        <v>در مورد مزایای ایجاد یک روال روزانه و پایبندی به آن برای بهبود بهره وری و مدیریت زمان بحث کنید.</v>
      </c>
      <c r="H2139" s="1"/>
      <c r="I2139" s="1"/>
      <c r="J2139" s="1"/>
      <c r="K2139" s="1"/>
      <c r="L2139" s="1"/>
      <c r="M2139" s="1"/>
      <c r="N2139" s="1"/>
      <c r="O2139" s="1"/>
      <c r="P2139" s="1"/>
      <c r="Q2139" s="1"/>
      <c r="R2139" s="1"/>
      <c r="S2139" s="1"/>
      <c r="T2139" s="1"/>
      <c r="U2139" s="1"/>
      <c r="V2139" s="1"/>
      <c r="W2139" s="1"/>
      <c r="X2139" s="1"/>
      <c r="Y2139" s="1"/>
      <c r="Z2139" s="1"/>
      <c r="AA2139" s="1"/>
      <c r="AB2139" s="1"/>
    </row>
    <row r="2140" ht="50.25" customHeight="1">
      <c r="A2140" s="12">
        <v>2136.0</v>
      </c>
      <c r="B2140" s="13" t="s">
        <v>2025</v>
      </c>
      <c r="C2140" s="14" t="s">
        <v>2151</v>
      </c>
      <c r="D2140" s="1"/>
      <c r="E2140" s="1"/>
      <c r="F2140" s="1" t="str">
        <f>IFERROR(__xludf.DUMMYFUNCTION("GOOGLETRANSLATE(B2140, ""en"", ""fa"")
"),"بهره وری و مدیریت زمان")</f>
        <v>بهره وری و مدیریت زمان</v>
      </c>
      <c r="G2140" s="1" t="str">
        <f>IFERROR(__xludf.DUMMYFUNCTION("GOOGLETRANSLATE(C2140, ""en"", ""fa"")
"),"تکنیک های مدیریت و سازماندهی فایل ها و اسناد دیجیتال را برای اطمینان از دسترسی و بازیابی آسان کاوش کنید.")</f>
        <v>تکنیک های مدیریت و سازماندهی فایل ها و اسناد دیجیتال را برای اطمینان از دسترسی و بازیابی آسان کاوش کنید.</v>
      </c>
      <c r="H2140" s="1"/>
      <c r="I2140" s="1"/>
      <c r="J2140" s="1"/>
      <c r="K2140" s="1"/>
      <c r="L2140" s="1"/>
      <c r="M2140" s="1"/>
      <c r="N2140" s="1"/>
      <c r="O2140" s="1"/>
      <c r="P2140" s="1"/>
      <c r="Q2140" s="1"/>
      <c r="R2140" s="1"/>
      <c r="S2140" s="1"/>
      <c r="T2140" s="1"/>
      <c r="U2140" s="1"/>
      <c r="V2140" s="1"/>
      <c r="W2140" s="1"/>
      <c r="X2140" s="1"/>
      <c r="Y2140" s="1"/>
      <c r="Z2140" s="1"/>
      <c r="AA2140" s="1"/>
      <c r="AB2140" s="1"/>
    </row>
    <row r="2141" ht="50.25" customHeight="1">
      <c r="A2141" s="12">
        <v>2137.0</v>
      </c>
      <c r="B2141" s="13" t="s">
        <v>2025</v>
      </c>
      <c r="C2141" s="14" t="s">
        <v>2152</v>
      </c>
      <c r="D2141" s="1"/>
      <c r="E2141" s="1"/>
      <c r="F2141" s="1" t="str">
        <f>IFERROR(__xludf.DUMMYFUNCTION("GOOGLETRANSLATE(B2141, ""en"", ""fa"")
"),"بهره وری و مدیریت زمان")</f>
        <v>بهره وری و مدیریت زمان</v>
      </c>
      <c r="G2141" s="1" t="str">
        <f>IFERROR(__xludf.DUMMYFUNCTION("GOOGLETRANSLATE(C2141, ""en"", ""fa"")
"),"نکاتی را برای تفویض کار مؤثر به اشتراک بگذارید، از جمله شناسایی وظایف مناسب برای تفویض اختیار و ارائه دستورالعمل های واضح.")</f>
        <v>نکاتی را برای تفویض کار مؤثر به اشتراک بگذارید، از جمله شناسایی وظایف مناسب برای تفویض اختیار و ارائه دستورالعمل های واضح.</v>
      </c>
      <c r="H2141" s="1"/>
      <c r="I2141" s="1"/>
      <c r="J2141" s="1"/>
      <c r="K2141" s="1"/>
      <c r="L2141" s="1"/>
      <c r="M2141" s="1"/>
      <c r="N2141" s="1"/>
      <c r="O2141" s="1"/>
      <c r="P2141" s="1"/>
      <c r="Q2141" s="1"/>
      <c r="R2141" s="1"/>
      <c r="S2141" s="1"/>
      <c r="T2141" s="1"/>
      <c r="U2141" s="1"/>
      <c r="V2141" s="1"/>
      <c r="W2141" s="1"/>
      <c r="X2141" s="1"/>
      <c r="Y2141" s="1"/>
      <c r="Z2141" s="1"/>
      <c r="AA2141" s="1"/>
      <c r="AB2141" s="1"/>
    </row>
    <row r="2142" ht="50.25" customHeight="1">
      <c r="A2142" s="12">
        <v>2138.0</v>
      </c>
      <c r="B2142" s="13" t="s">
        <v>2025</v>
      </c>
      <c r="C2142" s="14" t="s">
        <v>2153</v>
      </c>
      <c r="D2142" s="1"/>
      <c r="E2142" s="1"/>
      <c r="F2142" s="1" t="str">
        <f>IFERROR(__xludf.DUMMYFUNCTION("GOOGLETRANSLATE(B2142, ""en"", ""fa"")
"),"بهره وری و مدیریت زمان")</f>
        <v>بهره وری و مدیریت زمان</v>
      </c>
      <c r="G2142" s="1" t="str">
        <f>IFERROR(__xludf.DUMMYFUNCTION("GOOGLETRANSLATE(C2142, ""en"", ""fa"")
"),"در مورد اهمیت مدیریت سطوح انرژی و استفاده از ساعات اوج بهره وری برای وظایف با اولویت بالا بحث کنید.")</f>
        <v>در مورد اهمیت مدیریت سطوح انرژی و استفاده از ساعات اوج بهره وری برای وظایف با اولویت بالا بحث کنید.</v>
      </c>
      <c r="H2142" s="1"/>
      <c r="I2142" s="1"/>
      <c r="J2142" s="1"/>
      <c r="K2142" s="1"/>
      <c r="L2142" s="1"/>
      <c r="M2142" s="1"/>
      <c r="N2142" s="1"/>
      <c r="O2142" s="1"/>
      <c r="P2142" s="1"/>
      <c r="Q2142" s="1"/>
      <c r="R2142" s="1"/>
      <c r="S2142" s="1"/>
      <c r="T2142" s="1"/>
      <c r="U2142" s="1"/>
      <c r="V2142" s="1"/>
      <c r="W2142" s="1"/>
      <c r="X2142" s="1"/>
      <c r="Y2142" s="1"/>
      <c r="Z2142" s="1"/>
      <c r="AA2142" s="1"/>
      <c r="AB2142" s="1"/>
    </row>
    <row r="2143" ht="50.25" customHeight="1">
      <c r="A2143" s="12">
        <v>2139.0</v>
      </c>
      <c r="B2143" s="13" t="s">
        <v>2025</v>
      </c>
      <c r="C2143" s="14" t="s">
        <v>2154</v>
      </c>
      <c r="D2143" s="1"/>
      <c r="E2143" s="1"/>
      <c r="F2143" s="1" t="str">
        <f>IFERROR(__xludf.DUMMYFUNCTION("GOOGLETRANSLATE(B2143, ""en"", ""fa"")
"),"بهره وری و مدیریت زمان")</f>
        <v>بهره وری و مدیریت زمان</v>
      </c>
      <c r="G2143" s="1" t="str">
        <f>IFERROR(__xludf.DUMMYFUNCTION("GOOGLETRANSLATE(C2143, ""en"", ""fa"")
"),"روش‌های مختلف را برای مدیریت و به حداقل رساندن عوامل حواس‌پرتی در محل کار، مانند اجرای تکنیک‌های حذف نویز یا ایجاد یک فضای کاری اختصاصی، بررسی کنید.")</f>
        <v>روش‌های مختلف را برای مدیریت و به حداقل رساندن عوامل حواس‌پرتی در محل کار، مانند اجرای تکنیک‌های حذف نویز یا ایجاد یک فضای کاری اختصاصی، بررسی کنید.</v>
      </c>
      <c r="H2143" s="1"/>
      <c r="I2143" s="1"/>
      <c r="J2143" s="1"/>
      <c r="K2143" s="1"/>
      <c r="L2143" s="1"/>
      <c r="M2143" s="1"/>
      <c r="N2143" s="1"/>
      <c r="O2143" s="1"/>
      <c r="P2143" s="1"/>
      <c r="Q2143" s="1"/>
      <c r="R2143" s="1"/>
      <c r="S2143" s="1"/>
      <c r="T2143" s="1"/>
      <c r="U2143" s="1"/>
      <c r="V2143" s="1"/>
      <c r="W2143" s="1"/>
      <c r="X2143" s="1"/>
      <c r="Y2143" s="1"/>
      <c r="Z2143" s="1"/>
      <c r="AA2143" s="1"/>
      <c r="AB2143" s="1"/>
    </row>
    <row r="2144" ht="50.25" customHeight="1">
      <c r="A2144" s="12">
        <v>2140.0</v>
      </c>
      <c r="B2144" s="13" t="s">
        <v>2025</v>
      </c>
      <c r="C2144" s="14" t="s">
        <v>2155</v>
      </c>
      <c r="D2144" s="1"/>
      <c r="E2144" s="1"/>
      <c r="F2144" s="1" t="str">
        <f>IFERROR(__xludf.DUMMYFUNCTION("GOOGLETRANSLATE(B2144, ""en"", ""fa"")
"),"بهره وری و مدیریت زمان")</f>
        <v>بهره وری و مدیریت زمان</v>
      </c>
      <c r="G2144" s="1" t="str">
        <f>IFERROR(__xludf.DUMMYFUNCTION("GOOGLETRANSLATE(C2144, ""en"", ""fa"")
"),"استراتژی‌هایی را برای مسدود کردن و زمان‌بندی مؤثر برای تخصیص زمان‌های خاص برای فعالیت‌ها و وظایف مختلف به اشتراک بگذارید.")</f>
        <v>استراتژی‌هایی را برای مسدود کردن و زمان‌بندی مؤثر برای تخصیص زمان‌های خاص برای فعالیت‌ها و وظایف مختلف به اشتراک بگذارید.</v>
      </c>
      <c r="H2144" s="1"/>
      <c r="I2144" s="1"/>
      <c r="J2144" s="1"/>
      <c r="K2144" s="1"/>
      <c r="L2144" s="1"/>
      <c r="M2144" s="1"/>
      <c r="N2144" s="1"/>
      <c r="O2144" s="1"/>
      <c r="P2144" s="1"/>
      <c r="Q2144" s="1"/>
      <c r="R2144" s="1"/>
      <c r="S2144" s="1"/>
      <c r="T2144" s="1"/>
      <c r="U2144" s="1"/>
      <c r="V2144" s="1"/>
      <c r="W2144" s="1"/>
      <c r="X2144" s="1"/>
      <c r="Y2144" s="1"/>
      <c r="Z2144" s="1"/>
      <c r="AA2144" s="1"/>
      <c r="AB2144" s="1"/>
    </row>
    <row r="2145" ht="50.25" customHeight="1">
      <c r="A2145" s="12">
        <v>2141.0</v>
      </c>
      <c r="B2145" s="13" t="s">
        <v>2025</v>
      </c>
      <c r="C2145" s="14" t="s">
        <v>2156</v>
      </c>
      <c r="D2145" s="1"/>
      <c r="E2145" s="1"/>
      <c r="F2145" s="1" t="str">
        <f>IFERROR(__xludf.DUMMYFUNCTION("GOOGLETRANSLATE(B2145, ""en"", ""fa"")
"),"بهره وری و مدیریت زمان")</f>
        <v>بهره وری و مدیریت زمان</v>
      </c>
      <c r="G2145" s="1" t="str">
        <f>IFERROR(__xludf.DUMMYFUNCTION("GOOGLETRANSLATE(C2145, ""en"", ""fa"")
"),"در مورد مزایای استفاده از برنامه ها و ابزارهای بهره وری برای ساده کردن گردش کار و افزایش کارایی بحث کنید.")</f>
        <v>در مورد مزایای استفاده از برنامه ها و ابزارهای بهره وری برای ساده کردن گردش کار و افزایش کارایی بحث کنید.</v>
      </c>
      <c r="H2145" s="1"/>
      <c r="I2145" s="1"/>
      <c r="J2145" s="1"/>
      <c r="K2145" s="1"/>
      <c r="L2145" s="1"/>
      <c r="M2145" s="1"/>
      <c r="N2145" s="1"/>
      <c r="O2145" s="1"/>
      <c r="P2145" s="1"/>
      <c r="Q2145" s="1"/>
      <c r="R2145" s="1"/>
      <c r="S2145" s="1"/>
      <c r="T2145" s="1"/>
      <c r="U2145" s="1"/>
      <c r="V2145" s="1"/>
      <c r="W2145" s="1"/>
      <c r="X2145" s="1"/>
      <c r="Y2145" s="1"/>
      <c r="Z2145" s="1"/>
      <c r="AA2145" s="1"/>
      <c r="AB2145" s="1"/>
    </row>
    <row r="2146" ht="50.25" customHeight="1">
      <c r="A2146" s="12">
        <v>2142.0</v>
      </c>
      <c r="B2146" s="13" t="s">
        <v>2025</v>
      </c>
      <c r="C2146" s="14" t="s">
        <v>2157</v>
      </c>
      <c r="D2146" s="1"/>
      <c r="E2146" s="1"/>
      <c r="F2146" s="1" t="str">
        <f>IFERROR(__xludf.DUMMYFUNCTION("GOOGLETRANSLATE(B2146, ""en"", ""fa"")
"),"بهره وری و مدیریت زمان")</f>
        <v>بهره وری و مدیریت زمان</v>
      </c>
      <c r="G2146" s="1" t="str">
        <f>IFERROR(__xludf.DUMMYFUNCTION("GOOGLETRANSLATE(C2146, ""en"", ""fa"")
"),"تکنیک‌هایی را برای مدیریت و کاهش تمایلات به تعویق انداختن، مانند پیاده‌سازی تکنیک پومودورو یا ایجاد سیستم‌های پاسخگویی، بررسی کنید.")</f>
        <v>تکنیک‌هایی را برای مدیریت و کاهش تمایلات به تعویق انداختن، مانند پیاده‌سازی تکنیک پومودورو یا ایجاد سیستم‌های پاسخگویی، بررسی کنید.</v>
      </c>
      <c r="H2146" s="1"/>
      <c r="I2146" s="1"/>
      <c r="J2146" s="1"/>
      <c r="K2146" s="1"/>
      <c r="L2146" s="1"/>
      <c r="M2146" s="1"/>
      <c r="N2146" s="1"/>
      <c r="O2146" s="1"/>
      <c r="P2146" s="1"/>
      <c r="Q2146" s="1"/>
      <c r="R2146" s="1"/>
      <c r="S2146" s="1"/>
      <c r="T2146" s="1"/>
      <c r="U2146" s="1"/>
      <c r="V2146" s="1"/>
      <c r="W2146" s="1"/>
      <c r="X2146" s="1"/>
      <c r="Y2146" s="1"/>
      <c r="Z2146" s="1"/>
      <c r="AA2146" s="1"/>
      <c r="AB2146" s="1"/>
    </row>
    <row r="2147" ht="50.25" customHeight="1">
      <c r="A2147" s="12">
        <v>2143.0</v>
      </c>
      <c r="B2147" s="13" t="s">
        <v>2025</v>
      </c>
      <c r="C2147" s="14" t="s">
        <v>2158</v>
      </c>
      <c r="D2147" s="1"/>
      <c r="E2147" s="1"/>
      <c r="F2147" s="1" t="str">
        <f>IFERROR(__xludf.DUMMYFUNCTION("GOOGLETRANSLATE(B2147, ""en"", ""fa"")
"),"بهره وری و مدیریت زمان")</f>
        <v>بهره وری و مدیریت زمان</v>
      </c>
      <c r="G2147" s="1" t="str">
        <f>IFERROR(__xludf.DUMMYFUNCTION("GOOGLETRANSLATE(C2147, ""en"", ""fa"")
"),"نکاتی را برای مدیریت موثر ایمیل، از جمله تعیین زمان تعیین شده برای بررسی و پاسخ به ایمیل ها، به اشتراک بگذارید.")</f>
        <v>نکاتی را برای مدیریت موثر ایمیل، از جمله تعیین زمان تعیین شده برای بررسی و پاسخ به ایمیل ها، به اشتراک بگذارید.</v>
      </c>
      <c r="H2147" s="1"/>
      <c r="I2147" s="1"/>
      <c r="J2147" s="1"/>
      <c r="K2147" s="1"/>
      <c r="L2147" s="1"/>
      <c r="M2147" s="1"/>
      <c r="N2147" s="1"/>
      <c r="O2147" s="1"/>
      <c r="P2147" s="1"/>
      <c r="Q2147" s="1"/>
      <c r="R2147" s="1"/>
      <c r="S2147" s="1"/>
      <c r="T2147" s="1"/>
      <c r="U2147" s="1"/>
      <c r="V2147" s="1"/>
      <c r="W2147" s="1"/>
      <c r="X2147" s="1"/>
      <c r="Y2147" s="1"/>
      <c r="Z2147" s="1"/>
      <c r="AA2147" s="1"/>
      <c r="AB2147" s="1"/>
    </row>
    <row r="2148" ht="50.25" customHeight="1">
      <c r="A2148" s="12">
        <v>2144.0</v>
      </c>
      <c r="B2148" s="13" t="s">
        <v>2025</v>
      </c>
      <c r="C2148" s="14" t="s">
        <v>2159</v>
      </c>
      <c r="D2148" s="1"/>
      <c r="E2148" s="1"/>
      <c r="F2148" s="1" t="str">
        <f>IFERROR(__xludf.DUMMYFUNCTION("GOOGLETRANSLATE(B2148, ""en"", ""fa"")
"),"بهره وری و مدیریت زمان")</f>
        <v>بهره وری و مدیریت زمان</v>
      </c>
      <c r="G2148" s="1" t="str">
        <f>IFERROR(__xludf.DUMMYFUNCTION("GOOGLETRANSLATE(C2148, ""en"", ""fa"")
"),"در مورد اهمیت حفظ تعادل کار و زندگی سالم و ایجاد مرزها برای جلوگیری از فرسودگی صحبت کنید.")</f>
        <v>در مورد اهمیت حفظ تعادل کار و زندگی سالم و ایجاد مرزها برای جلوگیری از فرسودگی صحبت کنید.</v>
      </c>
      <c r="H2148" s="1"/>
      <c r="I2148" s="1"/>
      <c r="J2148" s="1"/>
      <c r="K2148" s="1"/>
      <c r="L2148" s="1"/>
      <c r="M2148" s="1"/>
      <c r="N2148" s="1"/>
      <c r="O2148" s="1"/>
      <c r="P2148" s="1"/>
      <c r="Q2148" s="1"/>
      <c r="R2148" s="1"/>
      <c r="S2148" s="1"/>
      <c r="T2148" s="1"/>
      <c r="U2148" s="1"/>
      <c r="V2148" s="1"/>
      <c r="W2148" s="1"/>
      <c r="X2148" s="1"/>
      <c r="Y2148" s="1"/>
      <c r="Z2148" s="1"/>
      <c r="AA2148" s="1"/>
      <c r="AB2148" s="1"/>
    </row>
    <row r="2149" ht="50.25" customHeight="1">
      <c r="A2149" s="12">
        <v>2145.0</v>
      </c>
      <c r="B2149" s="13" t="s">
        <v>2025</v>
      </c>
      <c r="C2149" s="14" t="s">
        <v>2160</v>
      </c>
      <c r="D2149" s="1"/>
      <c r="E2149" s="1"/>
      <c r="F2149" s="1" t="str">
        <f>IFERROR(__xludf.DUMMYFUNCTION("GOOGLETRANSLATE(B2149, ""en"", ""fa"")
"),"بهره وری و مدیریت زمان")</f>
        <v>بهره وری و مدیریت زمان</v>
      </c>
      <c r="G2149" s="1" t="str">
        <f>IFERROR(__xludf.DUMMYFUNCTION("GOOGLETRANSLATE(C2149, ""en"", ""fa"")
"),"روش های مختلف را برای مدیریت و سازماندهی مهلت ها و نقاط عطف مرتبط با پروژه برای بهبود مدیریت پروژه بررسی کنید.")</f>
        <v>روش های مختلف را برای مدیریت و سازماندهی مهلت ها و نقاط عطف مرتبط با پروژه برای بهبود مدیریت پروژه بررسی کنید.</v>
      </c>
      <c r="H2149" s="1"/>
      <c r="I2149" s="1"/>
      <c r="J2149" s="1"/>
      <c r="K2149" s="1"/>
      <c r="L2149" s="1"/>
      <c r="M2149" s="1"/>
      <c r="N2149" s="1"/>
      <c r="O2149" s="1"/>
      <c r="P2149" s="1"/>
      <c r="Q2149" s="1"/>
      <c r="R2149" s="1"/>
      <c r="S2149" s="1"/>
      <c r="T2149" s="1"/>
      <c r="U2149" s="1"/>
      <c r="V2149" s="1"/>
      <c r="W2149" s="1"/>
      <c r="X2149" s="1"/>
      <c r="Y2149" s="1"/>
      <c r="Z2149" s="1"/>
      <c r="AA2149" s="1"/>
      <c r="AB2149" s="1"/>
    </row>
    <row r="2150" ht="50.25" customHeight="1">
      <c r="A2150" s="12">
        <v>2146.0</v>
      </c>
      <c r="B2150" s="13" t="s">
        <v>2025</v>
      </c>
      <c r="C2150" s="14" t="s">
        <v>2161</v>
      </c>
      <c r="D2150" s="1"/>
      <c r="E2150" s="1"/>
      <c r="F2150" s="1" t="str">
        <f>IFERROR(__xludf.DUMMYFUNCTION("GOOGLETRANSLATE(B2150, ""en"", ""fa"")
"),"بهره وری و مدیریت زمان")</f>
        <v>بهره وری و مدیریت زمان</v>
      </c>
      <c r="G2150" s="1" t="str">
        <f>IFERROR(__xludf.DUMMYFUNCTION("GOOGLETRANSLATE(C2150, ""en"", ""fa"")
"),"استراتژی‌ها را برای فرآیندهای تصمیم‌گیری مؤثر، از جمله ارزیابی گزینه‌ها، در نظر گرفتن نتایج بالقوه، و انتخاب‌های آگاهانه به اشتراک بگذارید.")</f>
        <v>استراتژی‌ها را برای فرآیندهای تصمیم‌گیری مؤثر، از جمله ارزیابی گزینه‌ها، در نظر گرفتن نتایج بالقوه، و انتخاب‌های آگاهانه به اشتراک بگذارید.</v>
      </c>
      <c r="H2150" s="1"/>
      <c r="I2150" s="1"/>
      <c r="J2150" s="1"/>
      <c r="K2150" s="1"/>
      <c r="L2150" s="1"/>
      <c r="M2150" s="1"/>
      <c r="N2150" s="1"/>
      <c r="O2150" s="1"/>
      <c r="P2150" s="1"/>
      <c r="Q2150" s="1"/>
      <c r="R2150" s="1"/>
      <c r="S2150" s="1"/>
      <c r="T2150" s="1"/>
      <c r="U2150" s="1"/>
      <c r="V2150" s="1"/>
      <c r="W2150" s="1"/>
      <c r="X2150" s="1"/>
      <c r="Y2150" s="1"/>
      <c r="Z2150" s="1"/>
      <c r="AA2150" s="1"/>
      <c r="AB2150" s="1"/>
    </row>
    <row r="2151" ht="50.25" customHeight="1">
      <c r="A2151" s="12">
        <v>2147.0</v>
      </c>
      <c r="B2151" s="13" t="s">
        <v>2025</v>
      </c>
      <c r="C2151" s="14" t="s">
        <v>2162</v>
      </c>
      <c r="D2151" s="1"/>
      <c r="E2151" s="1"/>
      <c r="F2151" s="1" t="str">
        <f>IFERROR(__xludf.DUMMYFUNCTION("GOOGLETRANSLATE(B2151, ""en"", ""fa"")
"),"بهره وری و مدیریت زمان")</f>
        <v>بهره وری و مدیریت زمان</v>
      </c>
      <c r="G2151" s="1" t="str">
        <f>IFERROR(__xludf.DUMMYFUNCTION("GOOGLETRANSLATE(C2151, ""en"", ""fa"")
"),"در مورد مزایای استفاده از استراحت ها و تکنیک های تمدد اعصاب در برنامه های روزانه برای افزایش تمرکز و تجدید قوا بحث کنید.")</f>
        <v>در مورد مزایای استفاده از استراحت ها و تکنیک های تمدد اعصاب در برنامه های روزانه برای افزایش تمرکز و تجدید قوا بحث کنید.</v>
      </c>
      <c r="H2151" s="1"/>
      <c r="I2151" s="1"/>
      <c r="J2151" s="1"/>
      <c r="K2151" s="1"/>
      <c r="L2151" s="1"/>
      <c r="M2151" s="1"/>
      <c r="N2151" s="1"/>
      <c r="O2151" s="1"/>
      <c r="P2151" s="1"/>
      <c r="Q2151" s="1"/>
      <c r="R2151" s="1"/>
      <c r="S2151" s="1"/>
      <c r="T2151" s="1"/>
      <c r="U2151" s="1"/>
      <c r="V2151" s="1"/>
      <c r="W2151" s="1"/>
      <c r="X2151" s="1"/>
      <c r="Y2151" s="1"/>
      <c r="Z2151" s="1"/>
      <c r="AA2151" s="1"/>
      <c r="AB2151" s="1"/>
    </row>
    <row r="2152" ht="50.25" customHeight="1">
      <c r="A2152" s="12">
        <v>2148.0</v>
      </c>
      <c r="B2152" s="13" t="s">
        <v>2025</v>
      </c>
      <c r="C2152" s="14" t="s">
        <v>2163</v>
      </c>
      <c r="D2152" s="1"/>
      <c r="E2152" s="1"/>
      <c r="F2152" s="1" t="str">
        <f>IFERROR(__xludf.DUMMYFUNCTION("GOOGLETRANSLATE(B2152, ""en"", ""fa"")
"),"بهره وری و مدیریت زمان")</f>
        <v>بهره وری و مدیریت زمان</v>
      </c>
      <c r="G2152" s="1" t="str">
        <f>IFERROR(__xludf.DUMMYFUNCTION("GOOGLETRANSLATE(C2152, ""en"", ""fa"")
"),"روش‌هایی را برای مدیریت و کاهش اضافه بار اطلاعات، مانند استفاده از سیستم‌های یادداشت‌برداری یا پیاده‌سازی فیلترهای محتوا، کاوش کنید.")</f>
        <v>روش‌هایی را برای مدیریت و کاهش اضافه بار اطلاعات، مانند استفاده از سیستم‌های یادداشت‌برداری یا پیاده‌سازی فیلترهای محتوا، کاوش کنید.</v>
      </c>
      <c r="H2152" s="1"/>
      <c r="I2152" s="1"/>
      <c r="J2152" s="1"/>
      <c r="K2152" s="1"/>
      <c r="L2152" s="1"/>
      <c r="M2152" s="1"/>
      <c r="N2152" s="1"/>
      <c r="O2152" s="1"/>
      <c r="P2152" s="1"/>
      <c r="Q2152" s="1"/>
      <c r="R2152" s="1"/>
      <c r="S2152" s="1"/>
      <c r="T2152" s="1"/>
      <c r="U2152" s="1"/>
      <c r="V2152" s="1"/>
      <c r="W2152" s="1"/>
      <c r="X2152" s="1"/>
      <c r="Y2152" s="1"/>
      <c r="Z2152" s="1"/>
      <c r="AA2152" s="1"/>
      <c r="AB2152" s="1"/>
    </row>
    <row r="2153" ht="50.25" customHeight="1">
      <c r="A2153" s="12">
        <v>2149.0</v>
      </c>
      <c r="B2153" s="13" t="s">
        <v>2025</v>
      </c>
      <c r="C2153" s="14" t="s">
        <v>2164</v>
      </c>
      <c r="D2153" s="1"/>
      <c r="E2153" s="1"/>
      <c r="F2153" s="1" t="str">
        <f>IFERROR(__xludf.DUMMYFUNCTION("GOOGLETRANSLATE(B2153, ""en"", ""fa"")
"),"بهره وری و مدیریت زمان")</f>
        <v>بهره وری و مدیریت زمان</v>
      </c>
      <c r="G2153" s="1" t="str">
        <f>IFERROR(__xludf.DUMMYFUNCTION("GOOGLETRANSLATE(C2153, ""en"", ""fa"")
"),"نکاتی را برای اولویت بندی موثر در صورت مواجهه با وظایف و ضرب الاجل های متعدد به اشتراک بگذارید.")</f>
        <v>نکاتی را برای اولویت بندی موثر در صورت مواجهه با وظایف و ضرب الاجل های متعدد به اشتراک بگذارید.</v>
      </c>
      <c r="H2153" s="1"/>
      <c r="I2153" s="1"/>
      <c r="J2153" s="1"/>
      <c r="K2153" s="1"/>
      <c r="L2153" s="1"/>
      <c r="M2153" s="1"/>
      <c r="N2153" s="1"/>
      <c r="O2153" s="1"/>
      <c r="P2153" s="1"/>
      <c r="Q2153" s="1"/>
      <c r="R2153" s="1"/>
      <c r="S2153" s="1"/>
      <c r="T2153" s="1"/>
      <c r="U2153" s="1"/>
      <c r="V2153" s="1"/>
      <c r="W2153" s="1"/>
      <c r="X2153" s="1"/>
      <c r="Y2153" s="1"/>
      <c r="Z2153" s="1"/>
      <c r="AA2153" s="1"/>
      <c r="AB2153" s="1"/>
    </row>
    <row r="2154" ht="50.25" customHeight="1">
      <c r="A2154" s="12">
        <v>2150.0</v>
      </c>
      <c r="B2154" s="13" t="s">
        <v>2025</v>
      </c>
      <c r="C2154" s="14" t="s">
        <v>2165</v>
      </c>
      <c r="D2154" s="1"/>
      <c r="E2154" s="1"/>
      <c r="F2154" s="1" t="str">
        <f>IFERROR(__xludf.DUMMYFUNCTION("GOOGLETRANSLATE(B2154, ""en"", ""fa"")
"),"بهره وری و مدیریت زمان")</f>
        <v>بهره وری و مدیریت زمان</v>
      </c>
      <c r="G2154" s="1" t="str">
        <f>IFERROR(__xludf.DUMMYFUNCTION("GOOGLETRANSLATE(C2154, ""en"", ""fa"")
"),"در مورد اهمیت مهارت های ارتباطی موثر در مدیریت پروژه ها و همکاری با اعضای تیم بحث کنید.")</f>
        <v>در مورد اهمیت مهارت های ارتباطی موثر در مدیریت پروژه ها و همکاری با اعضای تیم بحث کنید.</v>
      </c>
      <c r="H2154" s="1"/>
      <c r="I2154" s="1"/>
      <c r="J2154" s="1"/>
      <c r="K2154" s="1"/>
      <c r="L2154" s="1"/>
      <c r="M2154" s="1"/>
      <c r="N2154" s="1"/>
      <c r="O2154" s="1"/>
      <c r="P2154" s="1"/>
      <c r="Q2154" s="1"/>
      <c r="R2154" s="1"/>
      <c r="S2154" s="1"/>
      <c r="T2154" s="1"/>
      <c r="U2154" s="1"/>
      <c r="V2154" s="1"/>
      <c r="W2154" s="1"/>
      <c r="X2154" s="1"/>
      <c r="Y2154" s="1"/>
      <c r="Z2154" s="1"/>
      <c r="AA2154" s="1"/>
      <c r="AB2154" s="1"/>
    </row>
    <row r="2155" ht="50.25" customHeight="1">
      <c r="A2155" s="12">
        <v>2151.0</v>
      </c>
      <c r="B2155" s="13" t="s">
        <v>2025</v>
      </c>
      <c r="C2155" s="14" t="s">
        <v>2166</v>
      </c>
      <c r="D2155" s="1"/>
      <c r="E2155" s="1"/>
      <c r="F2155" s="1" t="str">
        <f>IFERROR(__xludf.DUMMYFUNCTION("GOOGLETRANSLATE(B2155, ""en"", ""fa"")
"),"بهره وری و مدیریت زمان")</f>
        <v>بهره وری و مدیریت زمان</v>
      </c>
      <c r="G2155" s="1" t="str">
        <f>IFERROR(__xludf.DUMMYFUNCTION("GOOGLETRANSLATE(C2155, ""en"", ""fa"")
"),"روش‌های مختلف را برای مدیریت و به حداقل رساندن وقفه‌ها، مانند تعیین مرزها و ایجاد دوره‌های کاری تعیین‌شده، کاوش کنید.")</f>
        <v>روش‌های مختلف را برای مدیریت و به حداقل رساندن وقفه‌ها، مانند تعیین مرزها و ایجاد دوره‌های کاری تعیین‌شده، کاوش کنید.</v>
      </c>
      <c r="H2155" s="1"/>
      <c r="I2155" s="1"/>
      <c r="J2155" s="1"/>
      <c r="K2155" s="1"/>
      <c r="L2155" s="1"/>
      <c r="M2155" s="1"/>
      <c r="N2155" s="1"/>
      <c r="O2155" s="1"/>
      <c r="P2155" s="1"/>
      <c r="Q2155" s="1"/>
      <c r="R2155" s="1"/>
      <c r="S2155" s="1"/>
      <c r="T2155" s="1"/>
      <c r="U2155" s="1"/>
      <c r="V2155" s="1"/>
      <c r="W2155" s="1"/>
      <c r="X2155" s="1"/>
      <c r="Y2155" s="1"/>
      <c r="Z2155" s="1"/>
      <c r="AA2155" s="1"/>
      <c r="AB2155" s="1"/>
    </row>
    <row r="2156" ht="50.25" customHeight="1">
      <c r="A2156" s="12">
        <v>2152.0</v>
      </c>
      <c r="B2156" s="13" t="s">
        <v>2025</v>
      </c>
      <c r="C2156" s="14" t="s">
        <v>2167</v>
      </c>
      <c r="D2156" s="1"/>
      <c r="E2156" s="1"/>
      <c r="F2156" s="1" t="str">
        <f>IFERROR(__xludf.DUMMYFUNCTION("GOOGLETRANSLATE(B2156, ""en"", ""fa"")
"),"بهره وری و مدیریت زمان")</f>
        <v>بهره وری و مدیریت زمان</v>
      </c>
      <c r="G2156" s="1" t="str">
        <f>IFERROR(__xludf.DUMMYFUNCTION("GOOGLETRANSLATE(C2156, ""en"", ""fa"")
"),"استراتژی هایی برای غلبه بر تمایلات کمال گرایی و تمرکز بر پیشرفت به جای کمال را به اشتراک بگذارید.")</f>
        <v>استراتژی هایی برای غلبه بر تمایلات کمال گرایی و تمرکز بر پیشرفت به جای کمال را به اشتراک بگذارید.</v>
      </c>
      <c r="H2156" s="1"/>
      <c r="I2156" s="1"/>
      <c r="J2156" s="1"/>
      <c r="K2156" s="1"/>
      <c r="L2156" s="1"/>
      <c r="M2156" s="1"/>
      <c r="N2156" s="1"/>
      <c r="O2156" s="1"/>
      <c r="P2156" s="1"/>
      <c r="Q2156" s="1"/>
      <c r="R2156" s="1"/>
      <c r="S2156" s="1"/>
      <c r="T2156" s="1"/>
      <c r="U2156" s="1"/>
      <c r="V2156" s="1"/>
      <c r="W2156" s="1"/>
      <c r="X2156" s="1"/>
      <c r="Y2156" s="1"/>
      <c r="Z2156" s="1"/>
      <c r="AA2156" s="1"/>
      <c r="AB2156" s="1"/>
    </row>
    <row r="2157" ht="50.25" customHeight="1">
      <c r="A2157" s="12">
        <v>2153.0</v>
      </c>
      <c r="B2157" s="13" t="s">
        <v>2025</v>
      </c>
      <c r="C2157" s="14" t="s">
        <v>2168</v>
      </c>
      <c r="D2157" s="1"/>
      <c r="E2157" s="1"/>
      <c r="F2157" s="1" t="str">
        <f>IFERROR(__xludf.DUMMYFUNCTION("GOOGLETRANSLATE(B2157, ""en"", ""fa"")
"),"بهره وری و مدیریت زمان")</f>
        <v>بهره وری و مدیریت زمان</v>
      </c>
      <c r="G2157" s="1" t="str">
        <f>IFERROR(__xludf.DUMMYFUNCTION("GOOGLETRANSLATE(C2157, ""en"", ""fa"")
"),"در مورد مزایای تمرین ذهن آگاهی و مدیتیشن برای افزایش وضوح ذهنی و کاهش استرس بحث کنید.")</f>
        <v>در مورد مزایای تمرین ذهن آگاهی و مدیتیشن برای افزایش وضوح ذهنی و کاهش استرس بحث کنید.</v>
      </c>
      <c r="H2157" s="1"/>
      <c r="I2157" s="1"/>
      <c r="J2157" s="1"/>
      <c r="K2157" s="1"/>
      <c r="L2157" s="1"/>
      <c r="M2157" s="1"/>
      <c r="N2157" s="1"/>
      <c r="O2157" s="1"/>
      <c r="P2157" s="1"/>
      <c r="Q2157" s="1"/>
      <c r="R2157" s="1"/>
      <c r="S2157" s="1"/>
      <c r="T2157" s="1"/>
      <c r="U2157" s="1"/>
      <c r="V2157" s="1"/>
      <c r="W2157" s="1"/>
      <c r="X2157" s="1"/>
      <c r="Y2157" s="1"/>
      <c r="Z2157" s="1"/>
      <c r="AA2157" s="1"/>
      <c r="AB2157" s="1"/>
    </row>
    <row r="2158" ht="50.25" customHeight="1">
      <c r="A2158" s="12">
        <v>2154.0</v>
      </c>
      <c r="B2158" s="13" t="s">
        <v>2025</v>
      </c>
      <c r="C2158" s="14" t="s">
        <v>2169</v>
      </c>
      <c r="D2158" s="1"/>
      <c r="E2158" s="1"/>
      <c r="F2158" s="1" t="str">
        <f>IFERROR(__xludf.DUMMYFUNCTION("GOOGLETRANSLATE(B2158, ""en"", ""fa"")
"),"بهره وری و مدیریت زمان")</f>
        <v>بهره وری و مدیریت زمان</v>
      </c>
      <c r="G2158" s="1" t="str">
        <f>IFERROR(__xludf.DUMMYFUNCTION("GOOGLETRANSLATE(C2158, ""en"", ""fa"")
"),"تکنیک‌هایی را برای مدیریت و کاهش حواس‌پرتی‌های دیجیتال، مانند خاموش کردن اعلان‌ها یا استفاده از مسدودکننده‌های وب‌سایت، کاوش کنید.")</f>
        <v>تکنیک‌هایی را برای مدیریت و کاهش حواس‌پرتی‌های دیجیتال، مانند خاموش کردن اعلان‌ها یا استفاده از مسدودکننده‌های وب‌سایت، کاوش کنید.</v>
      </c>
      <c r="H2158" s="1"/>
      <c r="I2158" s="1"/>
      <c r="J2158" s="1"/>
      <c r="K2158" s="1"/>
      <c r="L2158" s="1"/>
      <c r="M2158" s="1"/>
      <c r="N2158" s="1"/>
      <c r="O2158" s="1"/>
      <c r="P2158" s="1"/>
      <c r="Q2158" s="1"/>
      <c r="R2158" s="1"/>
      <c r="S2158" s="1"/>
      <c r="T2158" s="1"/>
      <c r="U2158" s="1"/>
      <c r="V2158" s="1"/>
      <c r="W2158" s="1"/>
      <c r="X2158" s="1"/>
      <c r="Y2158" s="1"/>
      <c r="Z2158" s="1"/>
      <c r="AA2158" s="1"/>
      <c r="AB2158" s="1"/>
    </row>
    <row r="2159" ht="50.25" customHeight="1">
      <c r="A2159" s="12">
        <v>2155.0</v>
      </c>
      <c r="B2159" s="13" t="s">
        <v>2025</v>
      </c>
      <c r="C2159" s="14" t="s">
        <v>2170</v>
      </c>
      <c r="D2159" s="1"/>
      <c r="E2159" s="1"/>
      <c r="F2159" s="1" t="str">
        <f>IFERROR(__xludf.DUMMYFUNCTION("GOOGLETRANSLATE(B2159, ""en"", ""fa"")
"),"بهره وری و مدیریت زمان")</f>
        <v>بهره وری و مدیریت زمان</v>
      </c>
      <c r="G2159" s="1" t="str">
        <f>IFERROR(__xludf.DUMMYFUNCTION("GOOGLETRANSLATE(C2159, ""en"", ""fa"")
"),"نکاتی را برای برنامه ریزی و سازماندهی موثر پروژه به اشتراک بگذارید، از جمله ایجاد جدول زمانی پروژه و تقسیم وظایف به مراحل قابل اجرا.")</f>
        <v>نکاتی را برای برنامه ریزی و سازماندهی موثر پروژه به اشتراک بگذارید، از جمله ایجاد جدول زمانی پروژه و تقسیم وظایف به مراحل قابل اجرا.</v>
      </c>
      <c r="H2159" s="1"/>
      <c r="I2159" s="1"/>
      <c r="J2159" s="1"/>
      <c r="K2159" s="1"/>
      <c r="L2159" s="1"/>
      <c r="M2159" s="1"/>
      <c r="N2159" s="1"/>
      <c r="O2159" s="1"/>
      <c r="P2159" s="1"/>
      <c r="Q2159" s="1"/>
      <c r="R2159" s="1"/>
      <c r="S2159" s="1"/>
      <c r="T2159" s="1"/>
      <c r="U2159" s="1"/>
      <c r="V2159" s="1"/>
      <c r="W2159" s="1"/>
      <c r="X2159" s="1"/>
      <c r="Y2159" s="1"/>
      <c r="Z2159" s="1"/>
      <c r="AA2159" s="1"/>
      <c r="AB2159" s="1"/>
    </row>
    <row r="2160" ht="50.25" customHeight="1">
      <c r="A2160" s="12">
        <v>2156.0</v>
      </c>
      <c r="B2160" s="13" t="s">
        <v>2025</v>
      </c>
      <c r="C2160" s="14" t="s">
        <v>2171</v>
      </c>
      <c r="D2160" s="1"/>
      <c r="E2160" s="1"/>
      <c r="F2160" s="1" t="str">
        <f>IFERROR(__xludf.DUMMYFUNCTION("GOOGLETRANSLATE(B2160, ""en"", ""fa"")
"),"بهره وری و مدیریت زمان")</f>
        <v>بهره وری و مدیریت زمان</v>
      </c>
      <c r="G2160" s="1" t="str">
        <f>IFERROR(__xludf.DUMMYFUNCTION("GOOGLETRANSLATE(C2160, ""en"", ""fa"")
"),"در مورد اهمیت اولویت دادن به خودمراقبتی و رفاه برای بهره وری و موفقیت بلندمدت بحث کنید.")</f>
        <v>در مورد اهمیت اولویت دادن به خودمراقبتی و رفاه برای بهره وری و موفقیت بلندمدت بحث کنید.</v>
      </c>
      <c r="H2160" s="1"/>
      <c r="I2160" s="1"/>
      <c r="J2160" s="1"/>
      <c r="K2160" s="1"/>
      <c r="L2160" s="1"/>
      <c r="M2160" s="1"/>
      <c r="N2160" s="1"/>
      <c r="O2160" s="1"/>
      <c r="P2160" s="1"/>
      <c r="Q2160" s="1"/>
      <c r="R2160" s="1"/>
      <c r="S2160" s="1"/>
      <c r="T2160" s="1"/>
      <c r="U2160" s="1"/>
      <c r="V2160" s="1"/>
      <c r="W2160" s="1"/>
      <c r="X2160" s="1"/>
      <c r="Y2160" s="1"/>
      <c r="Z2160" s="1"/>
      <c r="AA2160" s="1"/>
      <c r="AB2160" s="1"/>
    </row>
    <row r="2161" ht="50.25" customHeight="1">
      <c r="A2161" s="12">
        <v>2157.0</v>
      </c>
      <c r="B2161" s="13" t="s">
        <v>2025</v>
      </c>
      <c r="C2161" s="14" t="s">
        <v>2172</v>
      </c>
      <c r="D2161" s="1"/>
      <c r="E2161" s="1"/>
      <c r="F2161" s="1" t="str">
        <f>IFERROR(__xludf.DUMMYFUNCTION("GOOGLETRANSLATE(B2161, ""en"", ""fa"")
"),"بهره وری و مدیریت زمان")</f>
        <v>بهره وری و مدیریت زمان</v>
      </c>
      <c r="G2161" s="1" t="str">
        <f>IFERROR(__xludf.DUMMYFUNCTION("GOOGLETRANSLATE(C2161, ""en"", ""fa"")
"),"روش های مختلف را برای مدیریت و سازماندهی اسناد فیزیکی و کاغذبازی برای دسترسی و بازیابی آسان کاوش کنید.")</f>
        <v>روش های مختلف را برای مدیریت و سازماندهی اسناد فیزیکی و کاغذبازی برای دسترسی و بازیابی آسان کاوش کنید.</v>
      </c>
      <c r="H2161" s="1"/>
      <c r="I2161" s="1"/>
      <c r="J2161" s="1"/>
      <c r="K2161" s="1"/>
      <c r="L2161" s="1"/>
      <c r="M2161" s="1"/>
      <c r="N2161" s="1"/>
      <c r="O2161" s="1"/>
      <c r="P2161" s="1"/>
      <c r="Q2161" s="1"/>
      <c r="R2161" s="1"/>
      <c r="S2161" s="1"/>
      <c r="T2161" s="1"/>
      <c r="U2161" s="1"/>
      <c r="V2161" s="1"/>
      <c r="W2161" s="1"/>
      <c r="X2161" s="1"/>
      <c r="Y2161" s="1"/>
      <c r="Z2161" s="1"/>
      <c r="AA2161" s="1"/>
      <c r="AB2161" s="1"/>
    </row>
    <row r="2162" ht="50.25" customHeight="1">
      <c r="A2162" s="12">
        <v>2158.0</v>
      </c>
      <c r="B2162" s="13" t="s">
        <v>2025</v>
      </c>
      <c r="C2162" s="14" t="s">
        <v>2173</v>
      </c>
      <c r="D2162" s="1"/>
      <c r="E2162" s="1"/>
      <c r="F2162" s="1" t="str">
        <f>IFERROR(__xludf.DUMMYFUNCTION("GOOGLETRANSLATE(B2162, ""en"", ""fa"")
"),"بهره وری و مدیریت زمان")</f>
        <v>بهره وری و مدیریت زمان</v>
      </c>
      <c r="G2162" s="1" t="str">
        <f>IFERROR(__xludf.DUMMYFUNCTION("GOOGLETRANSLATE(C2162, ""en"", ""fa"")
"),"استراتژی‌هایی را برای ردیابی هدف مؤثر و نظارت بر پیشرفت به اشتراک بگذارید تا با انگیزه و در مسیر باقی بمانید.")</f>
        <v>استراتژی‌هایی را برای ردیابی هدف مؤثر و نظارت بر پیشرفت به اشتراک بگذارید تا با انگیزه و در مسیر باقی بمانید.</v>
      </c>
      <c r="H2162" s="1"/>
      <c r="I2162" s="1"/>
      <c r="J2162" s="1"/>
      <c r="K2162" s="1"/>
      <c r="L2162" s="1"/>
      <c r="M2162" s="1"/>
      <c r="N2162" s="1"/>
      <c r="O2162" s="1"/>
      <c r="P2162" s="1"/>
      <c r="Q2162" s="1"/>
      <c r="R2162" s="1"/>
      <c r="S2162" s="1"/>
      <c r="T2162" s="1"/>
      <c r="U2162" s="1"/>
      <c r="V2162" s="1"/>
      <c r="W2162" s="1"/>
      <c r="X2162" s="1"/>
      <c r="Y2162" s="1"/>
      <c r="Z2162" s="1"/>
      <c r="AA2162" s="1"/>
      <c r="AB2162" s="1"/>
    </row>
    <row r="2163" ht="50.25" customHeight="1">
      <c r="A2163" s="12">
        <v>2159.0</v>
      </c>
      <c r="B2163" s="13" t="s">
        <v>2025</v>
      </c>
      <c r="C2163" s="14" t="s">
        <v>2174</v>
      </c>
      <c r="D2163" s="1"/>
      <c r="E2163" s="1"/>
      <c r="F2163" s="1" t="str">
        <f>IFERROR(__xludf.DUMMYFUNCTION("GOOGLETRANSLATE(B2163, ""en"", ""fa"")
"),"بهره وری و مدیریت زمان")</f>
        <v>بهره وری و مدیریت زمان</v>
      </c>
      <c r="G2163" s="1" t="str">
        <f>IFERROR(__xludf.DUMMYFUNCTION("GOOGLETRANSLATE(C2163, ""en"", ""fa"")
"),"در مورد مزایای حفظ ذهنیت مثبت و پرورش ذهنیت رشد در غلبه بر چالش ها و موانع بحث کنید.")</f>
        <v>در مورد مزایای حفظ ذهنیت مثبت و پرورش ذهنیت رشد در غلبه بر چالش ها و موانع بحث کنید.</v>
      </c>
      <c r="H2163" s="1"/>
      <c r="I2163" s="1"/>
      <c r="J2163" s="1"/>
      <c r="K2163" s="1"/>
      <c r="L2163" s="1"/>
      <c r="M2163" s="1"/>
      <c r="N2163" s="1"/>
      <c r="O2163" s="1"/>
      <c r="P2163" s="1"/>
      <c r="Q2163" s="1"/>
      <c r="R2163" s="1"/>
      <c r="S2163" s="1"/>
      <c r="T2163" s="1"/>
      <c r="U2163" s="1"/>
      <c r="V2163" s="1"/>
      <c r="W2163" s="1"/>
      <c r="X2163" s="1"/>
      <c r="Y2163" s="1"/>
      <c r="Z2163" s="1"/>
      <c r="AA2163" s="1"/>
      <c r="AB2163" s="1"/>
    </row>
    <row r="2164" ht="50.25" customHeight="1">
      <c r="A2164" s="12">
        <v>2160.0</v>
      </c>
      <c r="B2164" s="13" t="s">
        <v>2025</v>
      </c>
      <c r="C2164" s="14" t="s">
        <v>2175</v>
      </c>
      <c r="D2164" s="1"/>
      <c r="E2164" s="1"/>
      <c r="F2164" s="1" t="str">
        <f>IFERROR(__xludf.DUMMYFUNCTION("GOOGLETRANSLATE(B2164, ""en"", ""fa"")
"),"بهره وری و مدیریت زمان")</f>
        <v>بهره وری و مدیریت زمان</v>
      </c>
      <c r="G2164" s="1" t="str">
        <f>IFERROR(__xludf.DUMMYFUNCTION("GOOGLETRANSLATE(C2164, ""en"", ""fa"")
"),"روش‌هایی را برای مدیریت و کاهش استرس در محل کار، مانند تمرینات تنفس عمیق یا شرکت در فعالیت بدنی منظم، بررسی کنید.")</f>
        <v>روش‌هایی را برای مدیریت و کاهش استرس در محل کار، مانند تمرینات تنفس عمیق یا شرکت در فعالیت بدنی منظم، بررسی کنید.</v>
      </c>
      <c r="H2164" s="1"/>
      <c r="I2164" s="1"/>
      <c r="J2164" s="1"/>
      <c r="K2164" s="1"/>
      <c r="L2164" s="1"/>
      <c r="M2164" s="1"/>
      <c r="N2164" s="1"/>
      <c r="O2164" s="1"/>
      <c r="P2164" s="1"/>
      <c r="Q2164" s="1"/>
      <c r="R2164" s="1"/>
      <c r="S2164" s="1"/>
      <c r="T2164" s="1"/>
      <c r="U2164" s="1"/>
      <c r="V2164" s="1"/>
      <c r="W2164" s="1"/>
      <c r="X2164" s="1"/>
      <c r="Y2164" s="1"/>
      <c r="Z2164" s="1"/>
      <c r="AA2164" s="1"/>
      <c r="AB2164" s="1"/>
    </row>
    <row r="2165" ht="50.25" customHeight="1">
      <c r="A2165" s="12">
        <v>2161.0</v>
      </c>
      <c r="B2165" s="13" t="s">
        <v>2025</v>
      </c>
      <c r="C2165" s="14" t="s">
        <v>2176</v>
      </c>
      <c r="D2165" s="1"/>
      <c r="E2165" s="1"/>
      <c r="F2165" s="1" t="str">
        <f>IFERROR(__xludf.DUMMYFUNCTION("GOOGLETRANSLATE(B2165, ""en"", ""fa"")
"),"بهره وری و مدیریت زمان")</f>
        <v>بهره وری و مدیریت زمان</v>
      </c>
      <c r="G2165" s="1" t="str">
        <f>IFERROR(__xludf.DUMMYFUNCTION("GOOGLETRANSLATE(C2165, ""en"", ""fa"")
"),"نکاتی را برای انجام چندوظیفه ای مؤثر، از جمله شناسایی وظایف سازگار و مدیریت کارآمد زمان، به اشتراک بگذارید.")</f>
        <v>نکاتی را برای انجام چندوظیفه ای مؤثر، از جمله شناسایی وظایف سازگار و مدیریت کارآمد زمان، به اشتراک بگذارید.</v>
      </c>
      <c r="H2165" s="1"/>
      <c r="I2165" s="1"/>
      <c r="J2165" s="1"/>
      <c r="K2165" s="1"/>
      <c r="L2165" s="1"/>
      <c r="M2165" s="1"/>
      <c r="N2165" s="1"/>
      <c r="O2165" s="1"/>
      <c r="P2165" s="1"/>
      <c r="Q2165" s="1"/>
      <c r="R2165" s="1"/>
      <c r="S2165" s="1"/>
      <c r="T2165" s="1"/>
      <c r="U2165" s="1"/>
      <c r="V2165" s="1"/>
      <c r="W2165" s="1"/>
      <c r="X2165" s="1"/>
      <c r="Y2165" s="1"/>
      <c r="Z2165" s="1"/>
      <c r="AA2165" s="1"/>
      <c r="AB2165" s="1"/>
    </row>
    <row r="2166" ht="50.25" customHeight="1">
      <c r="A2166" s="12">
        <v>2162.0</v>
      </c>
      <c r="B2166" s="13" t="s">
        <v>2025</v>
      </c>
      <c r="C2166" s="14" t="s">
        <v>2177</v>
      </c>
      <c r="D2166" s="1"/>
      <c r="E2166" s="1"/>
      <c r="F2166" s="1" t="str">
        <f>IFERROR(__xludf.DUMMYFUNCTION("GOOGLETRANSLATE(B2166, ""en"", ""fa"")
"),"بهره وری و مدیریت زمان")</f>
        <v>بهره وری و مدیریت زمان</v>
      </c>
      <c r="G2166" s="1" t="str">
        <f>IFERROR(__xludf.DUMMYFUNCTION("GOOGLETRANSLATE(C2166, ""en"", ""fa"")
"),"در مورد اهمیت تعیین مرزهای واضح با همکاران و مشتریان برای محافظت از زمان شخصی و حفظ تعادل بین کار و زندگی بحث کنید.")</f>
        <v>در مورد اهمیت تعیین مرزهای واضح با همکاران و مشتریان برای محافظت از زمان شخصی و حفظ تعادل بین کار و زندگی بحث کنید.</v>
      </c>
      <c r="H2166" s="1"/>
      <c r="I2166" s="1"/>
      <c r="J2166" s="1"/>
      <c r="K2166" s="1"/>
      <c r="L2166" s="1"/>
      <c r="M2166" s="1"/>
      <c r="N2166" s="1"/>
      <c r="O2166" s="1"/>
      <c r="P2166" s="1"/>
      <c r="Q2166" s="1"/>
      <c r="R2166" s="1"/>
      <c r="S2166" s="1"/>
      <c r="T2166" s="1"/>
      <c r="U2166" s="1"/>
      <c r="V2166" s="1"/>
      <c r="W2166" s="1"/>
      <c r="X2166" s="1"/>
      <c r="Y2166" s="1"/>
      <c r="Z2166" s="1"/>
      <c r="AA2166" s="1"/>
      <c r="AB2166" s="1"/>
    </row>
    <row r="2167" ht="50.25" customHeight="1">
      <c r="A2167" s="12">
        <v>2163.0</v>
      </c>
      <c r="B2167" s="13" t="s">
        <v>2025</v>
      </c>
      <c r="C2167" s="14" t="s">
        <v>2178</v>
      </c>
      <c r="D2167" s="1"/>
      <c r="E2167" s="1"/>
      <c r="F2167" s="1" t="str">
        <f>IFERROR(__xludf.DUMMYFUNCTION("GOOGLETRANSLATE(B2167, ""en"", ""fa"")
"),"بهره وری و مدیریت زمان")</f>
        <v>بهره وری و مدیریت زمان</v>
      </c>
      <c r="G2167" s="1" t="str">
        <f>IFERROR(__xludf.DUMMYFUNCTION("GOOGLETRANSLATE(C2167, ""en"", ""fa"")
"),"استراتژی هایی برای طوفان فکری موثر و تفکر خلاق برای تولید ایده ها و راه حل های نوآورانه به اشتراک بگذارید.")</f>
        <v>استراتژی هایی برای طوفان فکری موثر و تفکر خلاق برای تولید ایده ها و راه حل های نوآورانه به اشتراک بگذارید.</v>
      </c>
      <c r="H2167" s="1"/>
      <c r="I2167" s="1"/>
      <c r="J2167" s="1"/>
      <c r="K2167" s="1"/>
      <c r="L2167" s="1"/>
      <c r="M2167" s="1"/>
      <c r="N2167" s="1"/>
      <c r="O2167" s="1"/>
      <c r="P2167" s="1"/>
      <c r="Q2167" s="1"/>
      <c r="R2167" s="1"/>
      <c r="S2167" s="1"/>
      <c r="T2167" s="1"/>
      <c r="U2167" s="1"/>
      <c r="V2167" s="1"/>
      <c r="W2167" s="1"/>
      <c r="X2167" s="1"/>
      <c r="Y2167" s="1"/>
      <c r="Z2167" s="1"/>
      <c r="AA2167" s="1"/>
      <c r="AB2167" s="1"/>
    </row>
    <row r="2168" ht="50.25" customHeight="1">
      <c r="A2168" s="12">
        <v>2164.0</v>
      </c>
      <c r="B2168" s="13" t="s">
        <v>2025</v>
      </c>
      <c r="C2168" s="14" t="s">
        <v>2179</v>
      </c>
      <c r="D2168" s="1"/>
      <c r="E2168" s="1"/>
      <c r="F2168" s="1" t="str">
        <f>IFERROR(__xludf.DUMMYFUNCTION("GOOGLETRANSLATE(B2168, ""en"", ""fa"")
"),"بهره وری و مدیریت زمان")</f>
        <v>بهره وری و مدیریت زمان</v>
      </c>
      <c r="G2168" s="1" t="str">
        <f>IFERROR(__xludf.DUMMYFUNCTION("GOOGLETRANSLATE(C2168, ""en"", ""fa"")
"),"در مورد مزایای ترکیب ابزارهای فناوری برای مدیریت پروژه و همکاری، مانند برنامه های مدیریت کار یا پلتفرم های مبتنی بر ابر بحث کنید.")</f>
        <v>در مورد مزایای ترکیب ابزارهای فناوری برای مدیریت پروژه و همکاری، مانند برنامه های مدیریت کار یا پلتفرم های مبتنی بر ابر بحث کنید.</v>
      </c>
      <c r="H2168" s="1"/>
      <c r="I2168" s="1"/>
      <c r="J2168" s="1"/>
      <c r="K2168" s="1"/>
      <c r="L2168" s="1"/>
      <c r="M2168" s="1"/>
      <c r="N2168" s="1"/>
      <c r="O2168" s="1"/>
      <c r="P2168" s="1"/>
      <c r="Q2168" s="1"/>
      <c r="R2168" s="1"/>
      <c r="S2168" s="1"/>
      <c r="T2168" s="1"/>
      <c r="U2168" s="1"/>
      <c r="V2168" s="1"/>
      <c r="W2168" s="1"/>
      <c r="X2168" s="1"/>
      <c r="Y2168" s="1"/>
      <c r="Z2168" s="1"/>
      <c r="AA2168" s="1"/>
      <c r="AB2168" s="1"/>
    </row>
    <row r="2169" ht="50.25" customHeight="1">
      <c r="A2169" s="12">
        <v>2165.0</v>
      </c>
      <c r="B2169" s="13" t="s">
        <v>2025</v>
      </c>
      <c r="C2169" s="14" t="s">
        <v>2180</v>
      </c>
      <c r="D2169" s="1"/>
      <c r="E2169" s="1"/>
      <c r="F2169" s="1" t="str">
        <f>IFERROR(__xludf.DUMMYFUNCTION("GOOGLETRANSLATE(B2169, ""en"", ""fa"")
"),"بهره وری و مدیریت زمان")</f>
        <v>بهره وری و مدیریت زمان</v>
      </c>
      <c r="G2169" s="1" t="str">
        <f>IFERROR(__xludf.DUMMYFUNCTION("GOOGLETRANSLATE(C2169, ""en"", ""fa"")
"),"در هنگام مواجهه با حجم بالایی از وظایف و مسئولیت‌ها، تکنیک‌هایی را برای مدیریت و کاهش استرس کاوش کنید.")</f>
        <v>در هنگام مواجهه با حجم بالایی از وظایف و مسئولیت‌ها، تکنیک‌هایی را برای مدیریت و کاهش استرس کاوش کنید.</v>
      </c>
      <c r="H2169" s="1"/>
      <c r="I2169" s="1"/>
      <c r="J2169" s="1"/>
      <c r="K2169" s="1"/>
      <c r="L2169" s="1"/>
      <c r="M2169" s="1"/>
      <c r="N2169" s="1"/>
      <c r="O2169" s="1"/>
      <c r="P2169" s="1"/>
      <c r="Q2169" s="1"/>
      <c r="R2169" s="1"/>
      <c r="S2169" s="1"/>
      <c r="T2169" s="1"/>
      <c r="U2169" s="1"/>
      <c r="V2169" s="1"/>
      <c r="W2169" s="1"/>
      <c r="X2169" s="1"/>
      <c r="Y2169" s="1"/>
      <c r="Z2169" s="1"/>
      <c r="AA2169" s="1"/>
      <c r="AB2169" s="1"/>
    </row>
    <row r="2170" ht="50.25" customHeight="1">
      <c r="A2170" s="12">
        <v>2166.0</v>
      </c>
      <c r="B2170" s="13" t="s">
        <v>2025</v>
      </c>
      <c r="C2170" s="14" t="s">
        <v>2181</v>
      </c>
      <c r="D2170" s="1"/>
      <c r="E2170" s="1"/>
      <c r="F2170" s="1" t="str">
        <f>IFERROR(__xludf.DUMMYFUNCTION("GOOGLETRANSLATE(B2170, ""en"", ""fa"")
"),"بهره وری و مدیریت زمان")</f>
        <v>بهره وری و مدیریت زمان</v>
      </c>
      <c r="G2170" s="1" t="str">
        <f>IFERROR(__xludf.DUMMYFUNCTION("GOOGLETRANSLATE(C2170, ""en"", ""fa"")
"),"نکاتی را برای ارتباط موثر با اعضای تیم و ذینفعان به اشتراک بگذارید، از جمله گوش دادن فعال و بیان واضح ایده ها.")</f>
        <v>نکاتی را برای ارتباط موثر با اعضای تیم و ذینفعان به اشتراک بگذارید، از جمله گوش دادن فعال و بیان واضح ایده ها.</v>
      </c>
      <c r="H2170" s="1"/>
      <c r="I2170" s="1"/>
      <c r="J2170" s="1"/>
      <c r="K2170" s="1"/>
      <c r="L2170" s="1"/>
      <c r="M2170" s="1"/>
      <c r="N2170" s="1"/>
      <c r="O2170" s="1"/>
      <c r="P2170" s="1"/>
      <c r="Q2170" s="1"/>
      <c r="R2170" s="1"/>
      <c r="S2170" s="1"/>
      <c r="T2170" s="1"/>
      <c r="U2170" s="1"/>
      <c r="V2170" s="1"/>
      <c r="W2170" s="1"/>
      <c r="X2170" s="1"/>
      <c r="Y2170" s="1"/>
      <c r="Z2170" s="1"/>
      <c r="AA2170" s="1"/>
      <c r="AB2170" s="1"/>
    </row>
    <row r="2171" ht="50.25" customHeight="1">
      <c r="A2171" s="12">
        <v>2167.0</v>
      </c>
      <c r="B2171" s="13" t="s">
        <v>2025</v>
      </c>
      <c r="C2171" s="14" t="s">
        <v>2182</v>
      </c>
      <c r="D2171" s="1"/>
      <c r="E2171" s="1"/>
      <c r="F2171" s="1" t="str">
        <f>IFERROR(__xludf.DUMMYFUNCTION("GOOGLETRANSLATE(B2171, ""en"", ""fa"")
"),"بهره وری و مدیریت زمان")</f>
        <v>بهره وری و مدیریت زمان</v>
      </c>
      <c r="G2171" s="1" t="str">
        <f>IFERROR(__xludf.DUMMYFUNCTION("GOOGLETRANSLATE(C2171, ""en"", ""fa"")
"),"در مورد اهمیت خود اندیشی منظم و ارزیابی عادات بهره وری برای شناسایی زمینه های بهبود بحث کنید.")</f>
        <v>در مورد اهمیت خود اندیشی منظم و ارزیابی عادات بهره وری برای شناسایی زمینه های بهبود بحث کنید.</v>
      </c>
      <c r="H2171" s="1"/>
      <c r="I2171" s="1"/>
      <c r="J2171" s="1"/>
      <c r="K2171" s="1"/>
      <c r="L2171" s="1"/>
      <c r="M2171" s="1"/>
      <c r="N2171" s="1"/>
      <c r="O2171" s="1"/>
      <c r="P2171" s="1"/>
      <c r="Q2171" s="1"/>
      <c r="R2171" s="1"/>
      <c r="S2171" s="1"/>
      <c r="T2171" s="1"/>
      <c r="U2171" s="1"/>
      <c r="V2171" s="1"/>
      <c r="W2171" s="1"/>
      <c r="X2171" s="1"/>
      <c r="Y2171" s="1"/>
      <c r="Z2171" s="1"/>
      <c r="AA2171" s="1"/>
      <c r="AB2171" s="1"/>
    </row>
    <row r="2172" ht="50.25" customHeight="1">
      <c r="A2172" s="12">
        <v>2168.0</v>
      </c>
      <c r="B2172" s="13" t="s">
        <v>2025</v>
      </c>
      <c r="C2172" s="14" t="s">
        <v>2183</v>
      </c>
      <c r="D2172" s="1"/>
      <c r="E2172" s="1"/>
      <c r="F2172" s="1" t="str">
        <f>IFERROR(__xludf.DUMMYFUNCTION("GOOGLETRANSLATE(B2172, ""en"", ""fa"")
"),"بهره وری و مدیریت زمان")</f>
        <v>بهره وری و مدیریت زمان</v>
      </c>
      <c r="G2172" s="1" t="str">
        <f>IFERROR(__xludf.DUMMYFUNCTION("GOOGLETRANSLATE(C2172, ""en"", ""fa"")
"),"روش‌های مختلف را برای مدیریت و به حداقل رساندن بهم ریختگی دیجیتال، مانند سازمان‌دهی فایل‌ها و پوشه‌ها یا شلوغ کردن صندوق‌های ورودی ایمیل، کاوش کنید.")</f>
        <v>روش‌های مختلف را برای مدیریت و به حداقل رساندن بهم ریختگی دیجیتال، مانند سازمان‌دهی فایل‌ها و پوشه‌ها یا شلوغ کردن صندوق‌های ورودی ایمیل، کاوش کنید.</v>
      </c>
      <c r="H2172" s="1"/>
      <c r="I2172" s="1"/>
      <c r="J2172" s="1"/>
      <c r="K2172" s="1"/>
      <c r="L2172" s="1"/>
      <c r="M2172" s="1"/>
      <c r="N2172" s="1"/>
      <c r="O2172" s="1"/>
      <c r="P2172" s="1"/>
      <c r="Q2172" s="1"/>
      <c r="R2172" s="1"/>
      <c r="S2172" s="1"/>
      <c r="T2172" s="1"/>
      <c r="U2172" s="1"/>
      <c r="V2172" s="1"/>
      <c r="W2172" s="1"/>
      <c r="X2172" s="1"/>
      <c r="Y2172" s="1"/>
      <c r="Z2172" s="1"/>
      <c r="AA2172" s="1"/>
      <c r="AB2172" s="1"/>
    </row>
    <row r="2173" ht="50.25" customHeight="1">
      <c r="A2173" s="12">
        <v>2169.0</v>
      </c>
      <c r="B2173" s="13" t="s">
        <v>2025</v>
      </c>
      <c r="C2173" s="14" t="s">
        <v>2184</v>
      </c>
      <c r="D2173" s="1"/>
      <c r="E2173" s="1"/>
      <c r="F2173" s="1" t="str">
        <f>IFERROR(__xludf.DUMMYFUNCTION("GOOGLETRANSLATE(B2173, ""en"", ""fa"")
"),"بهره وری و مدیریت زمان")</f>
        <v>بهره وری و مدیریت زمان</v>
      </c>
      <c r="G2173" s="1" t="str">
        <f>IFERROR(__xludf.DUMMYFUNCTION("GOOGLETRANSLATE(C2173, ""en"", ""fa"")
"),"هنگام کار از راه دور یا در یک محیط کاری انعطاف پذیر، استراتژی های مدیریت زمان موثر را به اشتراک بگذارید.")</f>
        <v>هنگام کار از راه دور یا در یک محیط کاری انعطاف پذیر، استراتژی های مدیریت زمان موثر را به اشتراک بگذارید.</v>
      </c>
      <c r="H2173" s="1"/>
      <c r="I2173" s="1"/>
      <c r="J2173" s="1"/>
      <c r="K2173" s="1"/>
      <c r="L2173" s="1"/>
      <c r="M2173" s="1"/>
      <c r="N2173" s="1"/>
      <c r="O2173" s="1"/>
      <c r="P2173" s="1"/>
      <c r="Q2173" s="1"/>
      <c r="R2173" s="1"/>
      <c r="S2173" s="1"/>
      <c r="T2173" s="1"/>
      <c r="U2173" s="1"/>
      <c r="V2173" s="1"/>
      <c r="W2173" s="1"/>
      <c r="X2173" s="1"/>
      <c r="Y2173" s="1"/>
      <c r="Z2173" s="1"/>
      <c r="AA2173" s="1"/>
      <c r="AB2173" s="1"/>
    </row>
    <row r="2174" ht="50.25" customHeight="1">
      <c r="A2174" s="12">
        <v>2170.0</v>
      </c>
      <c r="B2174" s="13" t="s">
        <v>2025</v>
      </c>
      <c r="C2174" s="14" t="s">
        <v>2185</v>
      </c>
      <c r="D2174" s="1"/>
      <c r="E2174" s="1"/>
      <c r="F2174" s="1" t="str">
        <f>IFERROR(__xludf.DUMMYFUNCTION("GOOGLETRANSLATE(B2174, ""en"", ""fa"")
"),"بهره وری و مدیریت زمان")</f>
        <v>بهره وری و مدیریت زمان</v>
      </c>
      <c r="G2174" s="1" t="str">
        <f>IFERROR(__xludf.DUMMYFUNCTION("GOOGLETRANSLATE(C2174, ""en"", ""fa"")
"),"در مورد فواید ایجاد آداب و عادات روزانه که تمرکز، خلاقیت و تندرستی را تقویت می کند، بحث کنید.")</f>
        <v>در مورد فواید ایجاد آداب و عادات روزانه که تمرکز، خلاقیت و تندرستی را تقویت می کند، بحث کنید.</v>
      </c>
      <c r="H2174" s="1"/>
      <c r="I2174" s="1"/>
      <c r="J2174" s="1"/>
      <c r="K2174" s="1"/>
      <c r="L2174" s="1"/>
      <c r="M2174" s="1"/>
      <c r="N2174" s="1"/>
      <c r="O2174" s="1"/>
      <c r="P2174" s="1"/>
      <c r="Q2174" s="1"/>
      <c r="R2174" s="1"/>
      <c r="S2174" s="1"/>
      <c r="T2174" s="1"/>
      <c r="U2174" s="1"/>
      <c r="V2174" s="1"/>
      <c r="W2174" s="1"/>
      <c r="X2174" s="1"/>
      <c r="Y2174" s="1"/>
      <c r="Z2174" s="1"/>
      <c r="AA2174" s="1"/>
      <c r="AB2174" s="1"/>
    </row>
    <row r="2175" ht="50.25" customHeight="1">
      <c r="A2175" s="12">
        <v>2171.0</v>
      </c>
      <c r="B2175" s="13" t="s">
        <v>2025</v>
      </c>
      <c r="C2175" s="14" t="s">
        <v>2186</v>
      </c>
      <c r="D2175" s="1"/>
      <c r="E2175" s="1"/>
      <c r="F2175" s="1" t="str">
        <f>IFERROR(__xludf.DUMMYFUNCTION("GOOGLETRANSLATE(B2175, ""en"", ""fa"")
"),"بهره وری و مدیریت زمان")</f>
        <v>بهره وری و مدیریت زمان</v>
      </c>
      <c r="G2175" s="1" t="str">
        <f>IFERROR(__xludf.DUMMYFUNCTION("GOOGLETRANSLATE(C2175, ""en"", ""fa"")
"),"تکنیک‌هایی را برای مدیریت و کاهش خستگی تصمیم‌گیری، مانند اجرای چارچوب‌های تصمیم‌گیری یا واگذاری تصمیم‌ها، بررسی کنید.")</f>
        <v>تکنیک‌هایی را برای مدیریت و کاهش خستگی تصمیم‌گیری، مانند اجرای چارچوب‌های تصمیم‌گیری یا واگذاری تصمیم‌ها، بررسی کنید.</v>
      </c>
      <c r="H2175" s="1"/>
      <c r="I2175" s="1"/>
      <c r="J2175" s="1"/>
      <c r="K2175" s="1"/>
      <c r="L2175" s="1"/>
      <c r="M2175" s="1"/>
      <c r="N2175" s="1"/>
      <c r="O2175" s="1"/>
      <c r="P2175" s="1"/>
      <c r="Q2175" s="1"/>
      <c r="R2175" s="1"/>
      <c r="S2175" s="1"/>
      <c r="T2175" s="1"/>
      <c r="U2175" s="1"/>
      <c r="V2175" s="1"/>
      <c r="W2175" s="1"/>
      <c r="X2175" s="1"/>
      <c r="Y2175" s="1"/>
      <c r="Z2175" s="1"/>
      <c r="AA2175" s="1"/>
      <c r="AB2175" s="1"/>
    </row>
    <row r="2176" ht="50.25" customHeight="1">
      <c r="A2176" s="12">
        <v>2172.0</v>
      </c>
      <c r="B2176" s="13" t="s">
        <v>2025</v>
      </c>
      <c r="C2176" s="14" t="s">
        <v>2187</v>
      </c>
      <c r="D2176" s="1"/>
      <c r="E2176" s="1"/>
      <c r="F2176" s="1" t="str">
        <f>IFERROR(__xludf.DUMMYFUNCTION("GOOGLETRANSLATE(B2176, ""en"", ""fa"")
"),"بهره وری و مدیریت زمان")</f>
        <v>بهره وری و مدیریت زمان</v>
      </c>
      <c r="G2176" s="1" t="str">
        <f>IFERROR(__xludf.DUMMYFUNCTION("GOOGLETRANSLATE(C2176, ""en"", ""fa"")
"),"نکاتی را برای برقراری ارتباط مؤثر در تیم‌های مجازی یا از راه دور به اشتراک بگذارید، از جمله استفاده از ابزار کنفرانس ویدیویی و حفظ کانال‌های ارتباطی منظم.")</f>
        <v>نکاتی را برای برقراری ارتباط مؤثر در تیم‌های مجازی یا از راه دور به اشتراک بگذارید، از جمله استفاده از ابزار کنفرانس ویدیویی و حفظ کانال‌های ارتباطی منظم.</v>
      </c>
      <c r="H2176" s="1"/>
      <c r="I2176" s="1"/>
      <c r="J2176" s="1"/>
      <c r="K2176" s="1"/>
      <c r="L2176" s="1"/>
      <c r="M2176" s="1"/>
      <c r="N2176" s="1"/>
      <c r="O2176" s="1"/>
      <c r="P2176" s="1"/>
      <c r="Q2176" s="1"/>
      <c r="R2176" s="1"/>
      <c r="S2176" s="1"/>
      <c r="T2176" s="1"/>
      <c r="U2176" s="1"/>
      <c r="V2176" s="1"/>
      <c r="W2176" s="1"/>
      <c r="X2176" s="1"/>
      <c r="Y2176" s="1"/>
      <c r="Z2176" s="1"/>
      <c r="AA2176" s="1"/>
      <c r="AB2176" s="1"/>
    </row>
    <row r="2177" ht="50.25" customHeight="1">
      <c r="A2177" s="12">
        <v>2173.0</v>
      </c>
      <c r="B2177" s="13" t="s">
        <v>2025</v>
      </c>
      <c r="C2177" s="14" t="s">
        <v>2188</v>
      </c>
      <c r="D2177" s="1"/>
      <c r="E2177" s="1"/>
      <c r="F2177" s="1" t="str">
        <f>IFERROR(__xludf.DUMMYFUNCTION("GOOGLETRANSLATE(B2177, ""en"", ""fa"")
"),"بهره وری و مدیریت زمان")</f>
        <v>بهره وری و مدیریت زمان</v>
      </c>
      <c r="G2177" s="1" t="str">
        <f>IFERROR(__xludf.DUMMYFUNCTION("GOOGLETRANSLATE(C2177, ""en"", ""fa"")
"),"در مورد اهمیت تعیین انتظارات واقع بینانه و اجتناب از تعهد بیش از حد برای جلوگیری از استرس و غلبه کردن صحبت کنید.")</f>
        <v>در مورد اهمیت تعیین انتظارات واقع بینانه و اجتناب از تعهد بیش از حد برای جلوگیری از استرس و غلبه کردن صحبت کنید.</v>
      </c>
      <c r="H2177" s="1"/>
      <c r="I2177" s="1"/>
      <c r="J2177" s="1"/>
      <c r="K2177" s="1"/>
      <c r="L2177" s="1"/>
      <c r="M2177" s="1"/>
      <c r="N2177" s="1"/>
      <c r="O2177" s="1"/>
      <c r="P2177" s="1"/>
      <c r="Q2177" s="1"/>
      <c r="R2177" s="1"/>
      <c r="S2177" s="1"/>
      <c r="T2177" s="1"/>
      <c r="U2177" s="1"/>
      <c r="V2177" s="1"/>
      <c r="W2177" s="1"/>
      <c r="X2177" s="1"/>
      <c r="Y2177" s="1"/>
      <c r="Z2177" s="1"/>
      <c r="AA2177" s="1"/>
      <c r="AB2177" s="1"/>
    </row>
    <row r="2178" ht="50.25" customHeight="1">
      <c r="A2178" s="12">
        <v>2174.0</v>
      </c>
      <c r="B2178" s="13" t="s">
        <v>2025</v>
      </c>
      <c r="C2178" s="14" t="s">
        <v>2189</v>
      </c>
      <c r="D2178" s="1"/>
      <c r="E2178" s="1"/>
      <c r="F2178" s="1" t="str">
        <f>IFERROR(__xludf.DUMMYFUNCTION("GOOGLETRANSLATE(B2178, ""en"", ""fa"")
"),"بهره وری و مدیریت زمان")</f>
        <v>بهره وری و مدیریت زمان</v>
      </c>
      <c r="G2178" s="1" t="str">
        <f>IFERROR(__xludf.DUMMYFUNCTION("GOOGLETRANSLATE(C2178, ""en"", ""fa"")
"),"روش های مختلف را برای مدیریت و سازماندهی منابع مرتبط با پروژه و مواد مرجع برای دسترسی و بازیابی آسان کاوش کنید.")</f>
        <v>روش های مختلف را برای مدیریت و سازماندهی منابع مرتبط با پروژه و مواد مرجع برای دسترسی و بازیابی آسان کاوش کنید.</v>
      </c>
      <c r="H2178" s="1"/>
      <c r="I2178" s="1"/>
      <c r="J2178" s="1"/>
      <c r="K2178" s="1"/>
      <c r="L2178" s="1"/>
      <c r="M2178" s="1"/>
      <c r="N2178" s="1"/>
      <c r="O2178" s="1"/>
      <c r="P2178" s="1"/>
      <c r="Q2178" s="1"/>
      <c r="R2178" s="1"/>
      <c r="S2178" s="1"/>
      <c r="T2178" s="1"/>
      <c r="U2178" s="1"/>
      <c r="V2178" s="1"/>
      <c r="W2178" s="1"/>
      <c r="X2178" s="1"/>
      <c r="Y2178" s="1"/>
      <c r="Z2178" s="1"/>
      <c r="AA2178" s="1"/>
      <c r="AB2178" s="1"/>
    </row>
    <row r="2179" ht="50.25" customHeight="1">
      <c r="A2179" s="12">
        <v>2175.0</v>
      </c>
      <c r="B2179" s="13" t="s">
        <v>2025</v>
      </c>
      <c r="C2179" s="14" t="s">
        <v>2190</v>
      </c>
      <c r="D2179" s="1"/>
      <c r="E2179" s="1"/>
      <c r="F2179" s="1" t="str">
        <f>IFERROR(__xludf.DUMMYFUNCTION("GOOGLETRANSLATE(B2179, ""en"", ""fa"")
"),"بهره وری و مدیریت زمان")</f>
        <v>بهره وری و مدیریت زمان</v>
      </c>
      <c r="G2179" s="1" t="str">
        <f>IFERROR(__xludf.DUMMYFUNCTION("GOOGLETRANSLATE(C2179, ""en"", ""fa"")
"),"استراتژی‌های تکنیک‌های مؤثر مدیریت استرس، مانند تمرین‌های تمرکز حواس، تکنیک‌های تمدد اعصاب یا درگیر شدن در سرگرمی‌ها را به اشتراک بگذارید.")</f>
        <v>استراتژی‌های تکنیک‌های مؤثر مدیریت استرس، مانند تمرین‌های تمرکز حواس، تکنیک‌های تمدد اعصاب یا درگیر شدن در سرگرمی‌ها را به اشتراک بگذارید.</v>
      </c>
      <c r="H2179" s="1"/>
      <c r="I2179" s="1"/>
      <c r="J2179" s="1"/>
      <c r="K2179" s="1"/>
      <c r="L2179" s="1"/>
      <c r="M2179" s="1"/>
      <c r="N2179" s="1"/>
      <c r="O2179" s="1"/>
      <c r="P2179" s="1"/>
      <c r="Q2179" s="1"/>
      <c r="R2179" s="1"/>
      <c r="S2179" s="1"/>
      <c r="T2179" s="1"/>
      <c r="U2179" s="1"/>
      <c r="V2179" s="1"/>
      <c r="W2179" s="1"/>
      <c r="X2179" s="1"/>
      <c r="Y2179" s="1"/>
      <c r="Z2179" s="1"/>
      <c r="AA2179" s="1"/>
      <c r="AB2179" s="1"/>
    </row>
    <row r="2180" ht="50.25" customHeight="1">
      <c r="A2180" s="12">
        <v>2176.0</v>
      </c>
      <c r="B2180" s="13" t="s">
        <v>2025</v>
      </c>
      <c r="C2180" s="14" t="s">
        <v>2191</v>
      </c>
      <c r="D2180" s="1"/>
      <c r="E2180" s="1"/>
      <c r="F2180" s="1" t="str">
        <f>IFERROR(__xludf.DUMMYFUNCTION("GOOGLETRANSLATE(B2180, ""en"", ""fa"")
"),"بهره وری و مدیریت زمان")</f>
        <v>بهره وری و مدیریت زمان</v>
      </c>
      <c r="G2180" s="1" t="str">
        <f>IFERROR(__xludf.DUMMYFUNCTION("GOOGLETRANSLATE(C2180, ""en"", ""fa"")
"),"در مورد مزایای تمرین تکنیک های مدیریت زمان موثر برای به حداکثر رساندن بهره وری و به حداقل رساندن زمان تلف شده بحث کنید.")</f>
        <v>در مورد مزایای تمرین تکنیک های مدیریت زمان موثر برای به حداکثر رساندن بهره وری و به حداقل رساندن زمان تلف شده بحث کنید.</v>
      </c>
      <c r="H2180" s="1"/>
      <c r="I2180" s="1"/>
      <c r="J2180" s="1"/>
      <c r="K2180" s="1"/>
      <c r="L2180" s="1"/>
      <c r="M2180" s="1"/>
      <c r="N2180" s="1"/>
      <c r="O2180" s="1"/>
      <c r="P2180" s="1"/>
      <c r="Q2180" s="1"/>
      <c r="R2180" s="1"/>
      <c r="S2180" s="1"/>
      <c r="T2180" s="1"/>
      <c r="U2180" s="1"/>
      <c r="V2180" s="1"/>
      <c r="W2180" s="1"/>
      <c r="X2180" s="1"/>
      <c r="Y2180" s="1"/>
      <c r="Z2180" s="1"/>
      <c r="AA2180" s="1"/>
      <c r="AB2180" s="1"/>
    </row>
    <row r="2181" ht="50.25" customHeight="1">
      <c r="A2181" s="12">
        <v>2177.0</v>
      </c>
      <c r="B2181" s="13" t="s">
        <v>2025</v>
      </c>
      <c r="C2181" s="14" t="s">
        <v>2192</v>
      </c>
      <c r="D2181" s="1"/>
      <c r="E2181" s="1"/>
      <c r="F2181" s="1" t="str">
        <f>IFERROR(__xludf.DUMMYFUNCTION("GOOGLETRANSLATE(B2181, ""en"", ""fa"")
"),"بهره وری و مدیریت زمان")</f>
        <v>بهره وری و مدیریت زمان</v>
      </c>
      <c r="G2181" s="1" t="str">
        <f>IFERROR(__xludf.DUMMYFUNCTION("GOOGLETRANSLATE(C2181, ""en"", ""fa"")
"),"تکنیک های مدیریت و به حداقل رساندن حواس پرتی ناشی از رسانه های اجتماعی و پلت فرم های آنلاین را بررسی کنید.")</f>
        <v>تکنیک های مدیریت و به حداقل رساندن حواس پرتی ناشی از رسانه های اجتماعی و پلت فرم های آنلاین را بررسی کنید.</v>
      </c>
      <c r="H2181" s="1"/>
      <c r="I2181" s="1"/>
      <c r="J2181" s="1"/>
      <c r="K2181" s="1"/>
      <c r="L2181" s="1"/>
      <c r="M2181" s="1"/>
      <c r="N2181" s="1"/>
      <c r="O2181" s="1"/>
      <c r="P2181" s="1"/>
      <c r="Q2181" s="1"/>
      <c r="R2181" s="1"/>
      <c r="S2181" s="1"/>
      <c r="T2181" s="1"/>
      <c r="U2181" s="1"/>
      <c r="V2181" s="1"/>
      <c r="W2181" s="1"/>
      <c r="X2181" s="1"/>
      <c r="Y2181" s="1"/>
      <c r="Z2181" s="1"/>
      <c r="AA2181" s="1"/>
      <c r="AB2181" s="1"/>
    </row>
    <row r="2182" ht="50.25" customHeight="1">
      <c r="A2182" s="12">
        <v>2178.0</v>
      </c>
      <c r="B2182" s="13" t="s">
        <v>2025</v>
      </c>
      <c r="C2182" s="14" t="s">
        <v>2193</v>
      </c>
      <c r="D2182" s="1"/>
      <c r="E2182" s="1"/>
      <c r="F2182" s="1" t="str">
        <f>IFERROR(__xludf.DUMMYFUNCTION("GOOGLETRANSLATE(B2182, ""en"", ""fa"")
"),"بهره وری و مدیریت زمان")</f>
        <v>بهره وری و مدیریت زمان</v>
      </c>
      <c r="G2182" s="1" t="str">
        <f>IFERROR(__xludf.DUMMYFUNCTION("GOOGLETRANSLATE(C2182, ""en"", ""fa"")
"),"نکاتی را برای هدف گذاری موثر، از جمله استفاده از چارچوب هدف SMART و تقسیم اهداف به مراحل کوچکتر و قابل اجرا به اشتراک بگذارید.")</f>
        <v>نکاتی را برای هدف گذاری موثر، از جمله استفاده از چارچوب هدف SMART و تقسیم اهداف به مراحل کوچکتر و قابل اجرا به اشتراک بگذارید.</v>
      </c>
      <c r="H2182" s="1"/>
      <c r="I2182" s="1"/>
      <c r="J2182" s="1"/>
      <c r="K2182" s="1"/>
      <c r="L2182" s="1"/>
      <c r="M2182" s="1"/>
      <c r="N2182" s="1"/>
      <c r="O2182" s="1"/>
      <c r="P2182" s="1"/>
      <c r="Q2182" s="1"/>
      <c r="R2182" s="1"/>
      <c r="S2182" s="1"/>
      <c r="T2182" s="1"/>
      <c r="U2182" s="1"/>
      <c r="V2182" s="1"/>
      <c r="W2182" s="1"/>
      <c r="X2182" s="1"/>
      <c r="Y2182" s="1"/>
      <c r="Z2182" s="1"/>
      <c r="AA2182" s="1"/>
      <c r="AB2182" s="1"/>
    </row>
    <row r="2183" ht="50.25" customHeight="1">
      <c r="A2183" s="12">
        <v>2179.0</v>
      </c>
      <c r="B2183" s="13" t="s">
        <v>2025</v>
      </c>
      <c r="C2183" s="14" t="s">
        <v>2194</v>
      </c>
      <c r="D2183" s="1"/>
      <c r="E2183" s="1"/>
      <c r="F2183" s="1" t="str">
        <f>IFERROR(__xludf.DUMMYFUNCTION("GOOGLETRANSLATE(B2183, ""en"", ""fa"")
"),"بهره وری و مدیریت زمان")</f>
        <v>بهره وری و مدیریت زمان</v>
      </c>
      <c r="G2183" s="1" t="str">
        <f>IFERROR(__xludf.DUMMYFUNCTION("GOOGLETRANSLATE(C2183, ""en"", ""fa"")
"),"در مورد اهمیت ارتباط موثر در مدیریت انتظارات و تنظیم نتایج واضح با مشتریان یا ذینفعان بحث کنید.")</f>
        <v>در مورد اهمیت ارتباط موثر در مدیریت انتظارات و تنظیم نتایج واضح با مشتریان یا ذینفعان بحث کنید.</v>
      </c>
      <c r="H2183" s="1"/>
      <c r="I2183" s="1"/>
      <c r="J2183" s="1"/>
      <c r="K2183" s="1"/>
      <c r="L2183" s="1"/>
      <c r="M2183" s="1"/>
      <c r="N2183" s="1"/>
      <c r="O2183" s="1"/>
      <c r="P2183" s="1"/>
      <c r="Q2183" s="1"/>
      <c r="R2183" s="1"/>
      <c r="S2183" s="1"/>
      <c r="T2183" s="1"/>
      <c r="U2183" s="1"/>
      <c r="V2183" s="1"/>
      <c r="W2183" s="1"/>
      <c r="X2183" s="1"/>
      <c r="Y2183" s="1"/>
      <c r="Z2183" s="1"/>
      <c r="AA2183" s="1"/>
      <c r="AB2183" s="1"/>
    </row>
    <row r="2184" ht="50.25" customHeight="1">
      <c r="A2184" s="12">
        <v>2180.0</v>
      </c>
      <c r="B2184" s="13" t="s">
        <v>2025</v>
      </c>
      <c r="C2184" s="14" t="s">
        <v>2195</v>
      </c>
      <c r="D2184" s="1"/>
      <c r="E2184" s="1"/>
      <c r="F2184" s="1" t="str">
        <f>IFERROR(__xludf.DUMMYFUNCTION("GOOGLETRANSLATE(B2184, ""en"", ""fa"")
"),"بهره وری و مدیریت زمان")</f>
        <v>بهره وری و مدیریت زمان</v>
      </c>
      <c r="G2184" s="1" t="str">
        <f>IFERROR(__xludf.DUMMYFUNCTION("GOOGLETRANSLATE(C2184, ""en"", ""fa"")
"),"روش های مختلف برای مدیریت و سازماندهی تقویم های شخصی و حرفه ای برای مدیریت زمان موثر را بررسی کنید.")</f>
        <v>روش های مختلف برای مدیریت و سازماندهی تقویم های شخصی و حرفه ای برای مدیریت زمان موثر را بررسی کنید.</v>
      </c>
      <c r="H2184" s="1"/>
      <c r="I2184" s="1"/>
      <c r="J2184" s="1"/>
      <c r="K2184" s="1"/>
      <c r="L2184" s="1"/>
      <c r="M2184" s="1"/>
      <c r="N2184" s="1"/>
      <c r="O2184" s="1"/>
      <c r="P2184" s="1"/>
      <c r="Q2184" s="1"/>
      <c r="R2184" s="1"/>
      <c r="S2184" s="1"/>
      <c r="T2184" s="1"/>
      <c r="U2184" s="1"/>
      <c r="V2184" s="1"/>
      <c r="W2184" s="1"/>
      <c r="X2184" s="1"/>
      <c r="Y2184" s="1"/>
      <c r="Z2184" s="1"/>
      <c r="AA2184" s="1"/>
      <c r="AB2184" s="1"/>
    </row>
    <row r="2185" ht="50.25" customHeight="1">
      <c r="A2185" s="12">
        <v>2181.0</v>
      </c>
      <c r="B2185" s="13" t="s">
        <v>2025</v>
      </c>
      <c r="C2185" s="14" t="s">
        <v>2196</v>
      </c>
      <c r="D2185" s="1"/>
      <c r="E2185" s="1"/>
      <c r="F2185" s="1" t="str">
        <f>IFERROR(__xludf.DUMMYFUNCTION("GOOGLETRANSLATE(B2185, ""en"", ""fa"")
"),"بهره وری و مدیریت زمان")</f>
        <v>بهره وری و مدیریت زمان</v>
      </c>
      <c r="G2185" s="1" t="str">
        <f>IFERROR(__xludf.DUMMYFUNCTION("GOOGLETRANSLATE(C2185, ""en"", ""fa"")
"),"استراتژی‌هایی را برای ردیابی مؤثر پروژه و نظارت بر پیشرفت، از جمله استفاده از ابزارهای مدیریت پروژه یا ایجاد نمایش‌های بصری به اشتراک بگذارید.")</f>
        <v>استراتژی‌هایی را برای ردیابی مؤثر پروژه و نظارت بر پیشرفت، از جمله استفاده از ابزارهای مدیریت پروژه یا ایجاد نمایش‌های بصری به اشتراک بگذارید.</v>
      </c>
      <c r="H2185" s="1"/>
      <c r="I2185" s="1"/>
      <c r="J2185" s="1"/>
      <c r="K2185" s="1"/>
      <c r="L2185" s="1"/>
      <c r="M2185" s="1"/>
      <c r="N2185" s="1"/>
      <c r="O2185" s="1"/>
      <c r="P2185" s="1"/>
      <c r="Q2185" s="1"/>
      <c r="R2185" s="1"/>
      <c r="S2185" s="1"/>
      <c r="T2185" s="1"/>
      <c r="U2185" s="1"/>
      <c r="V2185" s="1"/>
      <c r="W2185" s="1"/>
      <c r="X2185" s="1"/>
      <c r="Y2185" s="1"/>
      <c r="Z2185" s="1"/>
      <c r="AA2185" s="1"/>
      <c r="AB2185" s="1"/>
    </row>
    <row r="2186" ht="50.25" customHeight="1">
      <c r="A2186" s="12">
        <v>2182.0</v>
      </c>
      <c r="B2186" s="13" t="s">
        <v>2025</v>
      </c>
      <c r="C2186" s="14" t="s">
        <v>2197</v>
      </c>
      <c r="D2186" s="1"/>
      <c r="E2186" s="1"/>
      <c r="F2186" s="1" t="str">
        <f>IFERROR(__xludf.DUMMYFUNCTION("GOOGLETRANSLATE(B2186, ""en"", ""fa"")
"),"بهره وری و مدیریت زمان")</f>
        <v>بهره وری و مدیریت زمان</v>
      </c>
      <c r="G2186" s="1" t="str">
        <f>IFERROR(__xludf.DUMMYFUNCTION("GOOGLETRANSLATE(C2186, ""en"", ""fa"")
"),"در مورد مزایای استفاده از اتوماسیون و تفویض اختیار برای ساده‌سازی وظایف تکراری و آزاد کردن زمان برای فعالیت‌های با ارزش بحث کنید.")</f>
        <v>در مورد مزایای استفاده از اتوماسیون و تفویض اختیار برای ساده‌سازی وظایف تکراری و آزاد کردن زمان برای فعالیت‌های با ارزش بحث کنید.</v>
      </c>
      <c r="H2186" s="1"/>
      <c r="I2186" s="1"/>
      <c r="J2186" s="1"/>
      <c r="K2186" s="1"/>
      <c r="L2186" s="1"/>
      <c r="M2186" s="1"/>
      <c r="N2186" s="1"/>
      <c r="O2186" s="1"/>
      <c r="P2186" s="1"/>
      <c r="Q2186" s="1"/>
      <c r="R2186" s="1"/>
      <c r="S2186" s="1"/>
      <c r="T2186" s="1"/>
      <c r="U2186" s="1"/>
      <c r="V2186" s="1"/>
      <c r="W2186" s="1"/>
      <c r="X2186" s="1"/>
      <c r="Y2186" s="1"/>
      <c r="Z2186" s="1"/>
      <c r="AA2186" s="1"/>
      <c r="AB2186" s="1"/>
    </row>
    <row r="2187" ht="50.25" customHeight="1">
      <c r="A2187" s="12">
        <v>2183.0</v>
      </c>
      <c r="B2187" s="13" t="s">
        <v>2025</v>
      </c>
      <c r="C2187" s="14" t="s">
        <v>2198</v>
      </c>
      <c r="D2187" s="1"/>
      <c r="E2187" s="1"/>
      <c r="F2187" s="1" t="str">
        <f>IFERROR(__xludf.DUMMYFUNCTION("GOOGLETRANSLATE(B2187, ""en"", ""fa"")
"),"بهره وری و مدیریت زمان")</f>
        <v>بهره وری و مدیریت زمان</v>
      </c>
      <c r="G2187" s="1" t="str">
        <f>IFERROR(__xludf.DUMMYFUNCTION("GOOGLETRANSLATE(C2187, ""en"", ""fa"")
"),"تکنیک‌هایی را برای مدیریت و کاهش اضافه بار دیجیتال، مانند اجرای دوره‌های سم‌زدایی دیجیتال یا تعیین حد و مرز با فناوری، کاوش کنید.")</f>
        <v>تکنیک‌هایی را برای مدیریت و کاهش اضافه بار دیجیتال، مانند اجرای دوره‌های سم‌زدایی دیجیتال یا تعیین حد و مرز با فناوری، کاوش کنید.</v>
      </c>
      <c r="H2187" s="1"/>
      <c r="I2187" s="1"/>
      <c r="J2187" s="1"/>
      <c r="K2187" s="1"/>
      <c r="L2187" s="1"/>
      <c r="M2187" s="1"/>
      <c r="N2187" s="1"/>
      <c r="O2187" s="1"/>
      <c r="P2187" s="1"/>
      <c r="Q2187" s="1"/>
      <c r="R2187" s="1"/>
      <c r="S2187" s="1"/>
      <c r="T2187" s="1"/>
      <c r="U2187" s="1"/>
      <c r="V2187" s="1"/>
      <c r="W2187" s="1"/>
      <c r="X2187" s="1"/>
      <c r="Y2187" s="1"/>
      <c r="Z2187" s="1"/>
      <c r="AA2187" s="1"/>
      <c r="AB2187" s="1"/>
    </row>
    <row r="2188" ht="50.25" customHeight="1">
      <c r="A2188" s="12">
        <v>2184.0</v>
      </c>
      <c r="B2188" s="13" t="s">
        <v>2025</v>
      </c>
      <c r="C2188" s="14" t="s">
        <v>2199</v>
      </c>
      <c r="D2188" s="1"/>
      <c r="E2188" s="1"/>
      <c r="F2188" s="1" t="str">
        <f>IFERROR(__xludf.DUMMYFUNCTION("GOOGLETRANSLATE(B2188, ""en"", ""fa"")
"),"بهره وری و مدیریت زمان")</f>
        <v>بهره وری و مدیریت زمان</v>
      </c>
      <c r="G2188" s="1" t="str">
        <f>IFERROR(__xludf.DUMMYFUNCTION("GOOGLETRANSLATE(C2188, ""en"", ""fa"")
"),"نکاتی را برای خودانگیختگی مؤثر و حفظ تمرکز هنگام کار بر روی پروژه ها یا اهداف بلندمدت به اشتراک بگذارید.")</f>
        <v>نکاتی را برای خودانگیختگی مؤثر و حفظ تمرکز هنگام کار بر روی پروژه ها یا اهداف بلندمدت به اشتراک بگذارید.</v>
      </c>
      <c r="H2188" s="1"/>
      <c r="I2188" s="1"/>
      <c r="J2188" s="1"/>
      <c r="K2188" s="1"/>
      <c r="L2188" s="1"/>
      <c r="M2188" s="1"/>
      <c r="N2188" s="1"/>
      <c r="O2188" s="1"/>
      <c r="P2188" s="1"/>
      <c r="Q2188" s="1"/>
      <c r="R2188" s="1"/>
      <c r="S2188" s="1"/>
      <c r="T2188" s="1"/>
      <c r="U2188" s="1"/>
      <c r="V2188" s="1"/>
      <c r="W2188" s="1"/>
      <c r="X2188" s="1"/>
      <c r="Y2188" s="1"/>
      <c r="Z2188" s="1"/>
      <c r="AA2188" s="1"/>
      <c r="AB2188" s="1"/>
    </row>
    <row r="2189" ht="50.25" customHeight="1">
      <c r="A2189" s="12">
        <v>2185.0</v>
      </c>
      <c r="B2189" s="13" t="s">
        <v>2025</v>
      </c>
      <c r="C2189" s="14" t="s">
        <v>2200</v>
      </c>
      <c r="D2189" s="1"/>
      <c r="E2189" s="1"/>
      <c r="F2189" s="1" t="str">
        <f>IFERROR(__xludf.DUMMYFUNCTION("GOOGLETRANSLATE(B2189, ""en"", ""fa"")
"),"بهره وری و مدیریت زمان")</f>
        <v>بهره وری و مدیریت زمان</v>
      </c>
      <c r="G2189" s="1" t="str">
        <f>IFERROR(__xludf.DUMMYFUNCTION("GOOGLETRANSLATE(C2189, ""en"", ""fa"")
"),"در مورد اهمیت حفظ یک فضای کاری تمیز و سازمان یافته برای ارتقای تمرکز و کاهش حواس پرتی بحث کنید.")</f>
        <v>در مورد اهمیت حفظ یک فضای کاری تمیز و سازمان یافته برای ارتقای تمرکز و کاهش حواس پرتی بحث کنید.</v>
      </c>
      <c r="H2189" s="1"/>
      <c r="I2189" s="1"/>
      <c r="J2189" s="1"/>
      <c r="K2189" s="1"/>
      <c r="L2189" s="1"/>
      <c r="M2189" s="1"/>
      <c r="N2189" s="1"/>
      <c r="O2189" s="1"/>
      <c r="P2189" s="1"/>
      <c r="Q2189" s="1"/>
      <c r="R2189" s="1"/>
      <c r="S2189" s="1"/>
      <c r="T2189" s="1"/>
      <c r="U2189" s="1"/>
      <c r="V2189" s="1"/>
      <c r="W2189" s="1"/>
      <c r="X2189" s="1"/>
      <c r="Y2189" s="1"/>
      <c r="Z2189" s="1"/>
      <c r="AA2189" s="1"/>
      <c r="AB2189" s="1"/>
    </row>
    <row r="2190" ht="50.25" customHeight="1">
      <c r="A2190" s="12">
        <v>2186.0</v>
      </c>
      <c r="B2190" s="13" t="s">
        <v>2025</v>
      </c>
      <c r="C2190" s="14" t="s">
        <v>2201</v>
      </c>
      <c r="D2190" s="1"/>
      <c r="E2190" s="1"/>
      <c r="F2190" s="1" t="str">
        <f>IFERROR(__xludf.DUMMYFUNCTION("GOOGLETRANSLATE(B2190, ""en"", ""fa"")
"),"بهره وری و مدیریت زمان")</f>
        <v>بهره وری و مدیریت زمان</v>
      </c>
      <c r="G2190" s="1" t="str">
        <f>IFERROR(__xludf.DUMMYFUNCTION("GOOGLETRANSLATE(C2190, ""en"", ""fa"")
"),"روش های مختلف را برای مدیریت و به حداقل رساندن وقفه ها در یک فضای کاری مشترک یا محیط اداری باز کاوش کنید.")</f>
        <v>روش های مختلف را برای مدیریت و به حداقل رساندن وقفه ها در یک فضای کاری مشترک یا محیط اداری باز کاوش کنید.</v>
      </c>
      <c r="H2190" s="1"/>
      <c r="I2190" s="1"/>
      <c r="J2190" s="1"/>
      <c r="K2190" s="1"/>
      <c r="L2190" s="1"/>
      <c r="M2190" s="1"/>
      <c r="N2190" s="1"/>
      <c r="O2190" s="1"/>
      <c r="P2190" s="1"/>
      <c r="Q2190" s="1"/>
      <c r="R2190" s="1"/>
      <c r="S2190" s="1"/>
      <c r="T2190" s="1"/>
      <c r="U2190" s="1"/>
      <c r="V2190" s="1"/>
      <c r="W2190" s="1"/>
      <c r="X2190" s="1"/>
      <c r="Y2190" s="1"/>
      <c r="Z2190" s="1"/>
      <c r="AA2190" s="1"/>
      <c r="AB2190" s="1"/>
    </row>
    <row r="2191" ht="50.25" customHeight="1">
      <c r="A2191" s="12">
        <v>2187.0</v>
      </c>
      <c r="B2191" s="13" t="s">
        <v>2025</v>
      </c>
      <c r="C2191" s="14" t="s">
        <v>2202</v>
      </c>
      <c r="D2191" s="1"/>
      <c r="E2191" s="1"/>
      <c r="F2191" s="1" t="str">
        <f>IFERROR(__xludf.DUMMYFUNCTION("GOOGLETRANSLATE(B2191, ""en"", ""fa"")
"),"بهره وری و مدیریت زمان")</f>
        <v>بهره وری و مدیریت زمان</v>
      </c>
      <c r="G2191" s="1" t="str">
        <f>IFERROR(__xludf.DUMMYFUNCTION("GOOGLETRANSLATE(C2191, ""en"", ""fa"")
"),"استراتژی‌هایی را برای تخمین زمان مؤثر و برنامه‌ریزی کار به اشتراک بگذارید تا از دست کم گرفتن یا تعهد بیش از حد زمان جلوگیری شود.")</f>
        <v>استراتژی‌هایی را برای تخمین زمان مؤثر و برنامه‌ریزی کار به اشتراک بگذارید تا از دست کم گرفتن یا تعهد بیش از حد زمان جلوگیری شود.</v>
      </c>
      <c r="H2191" s="1"/>
      <c r="I2191" s="1"/>
      <c r="J2191" s="1"/>
      <c r="K2191" s="1"/>
      <c r="L2191" s="1"/>
      <c r="M2191" s="1"/>
      <c r="N2191" s="1"/>
      <c r="O2191" s="1"/>
      <c r="P2191" s="1"/>
      <c r="Q2191" s="1"/>
      <c r="R2191" s="1"/>
      <c r="S2191" s="1"/>
      <c r="T2191" s="1"/>
      <c r="U2191" s="1"/>
      <c r="V2191" s="1"/>
      <c r="W2191" s="1"/>
      <c r="X2191" s="1"/>
      <c r="Y2191" s="1"/>
      <c r="Z2191" s="1"/>
      <c r="AA2191" s="1"/>
      <c r="AB2191" s="1"/>
    </row>
    <row r="2192" ht="50.25" customHeight="1">
      <c r="A2192" s="12">
        <v>2188.0</v>
      </c>
      <c r="B2192" s="13" t="s">
        <v>2025</v>
      </c>
      <c r="C2192" s="14" t="s">
        <v>2203</v>
      </c>
      <c r="D2192" s="1"/>
      <c r="E2192" s="1"/>
      <c r="F2192" s="1" t="str">
        <f>IFERROR(__xludf.DUMMYFUNCTION("GOOGLETRANSLATE(B2192, ""en"", ""fa"")
"),"بهره وری و مدیریت زمان")</f>
        <v>بهره وری و مدیریت زمان</v>
      </c>
      <c r="G2192" s="1" t="str">
        <f>IFERROR(__xludf.DUMMYFUNCTION("GOOGLETRANSLATE(C2192, ""en"", ""fa"")
"),"در مورد مزایای گنجاندن استراحت و ورزش بدنی در روز کاری برای افزایش بهره وری و رفاه بحث کنید.")</f>
        <v>در مورد مزایای گنجاندن استراحت و ورزش بدنی در روز کاری برای افزایش بهره وری و رفاه بحث کنید.</v>
      </c>
      <c r="H2192" s="1"/>
      <c r="I2192" s="1"/>
      <c r="J2192" s="1"/>
      <c r="K2192" s="1"/>
      <c r="L2192" s="1"/>
      <c r="M2192" s="1"/>
      <c r="N2192" s="1"/>
      <c r="O2192" s="1"/>
      <c r="P2192" s="1"/>
      <c r="Q2192" s="1"/>
      <c r="R2192" s="1"/>
      <c r="S2192" s="1"/>
      <c r="T2192" s="1"/>
      <c r="U2192" s="1"/>
      <c r="V2192" s="1"/>
      <c r="W2192" s="1"/>
      <c r="X2192" s="1"/>
      <c r="Y2192" s="1"/>
      <c r="Z2192" s="1"/>
      <c r="AA2192" s="1"/>
      <c r="AB2192" s="1"/>
    </row>
    <row r="2193" ht="50.25" customHeight="1">
      <c r="A2193" s="12">
        <v>2189.0</v>
      </c>
      <c r="B2193" s="13" t="s">
        <v>2025</v>
      </c>
      <c r="C2193" s="14" t="s">
        <v>2204</v>
      </c>
      <c r="D2193" s="1"/>
      <c r="E2193" s="1"/>
      <c r="F2193" s="1" t="str">
        <f>IFERROR(__xludf.DUMMYFUNCTION("GOOGLETRANSLATE(B2193, ""en"", ""fa"")
"),"بهره وری و مدیریت زمان")</f>
        <v>بهره وری و مدیریت زمان</v>
      </c>
      <c r="G2193" s="1" t="str">
        <f>IFERROR(__xludf.DUMMYFUNCTION("GOOGLETRANSLATE(C2193, ""en"", ""fa"")
"),"در مورد اهمیت تعیین حد و مرز و نه گفتن به وظایف یا تعهدات غیر ضروری بحث کنید.")</f>
        <v>در مورد اهمیت تعیین حد و مرز و نه گفتن به وظایف یا تعهدات غیر ضروری بحث کنید.</v>
      </c>
      <c r="H2193" s="1"/>
      <c r="I2193" s="1"/>
      <c r="J2193" s="1"/>
      <c r="K2193" s="1"/>
      <c r="L2193" s="1"/>
      <c r="M2193" s="1"/>
      <c r="N2193" s="1"/>
      <c r="O2193" s="1"/>
      <c r="P2193" s="1"/>
      <c r="Q2193" s="1"/>
      <c r="R2193" s="1"/>
      <c r="S2193" s="1"/>
      <c r="T2193" s="1"/>
      <c r="U2193" s="1"/>
      <c r="V2193" s="1"/>
      <c r="W2193" s="1"/>
      <c r="X2193" s="1"/>
      <c r="Y2193" s="1"/>
      <c r="Z2193" s="1"/>
      <c r="AA2193" s="1"/>
      <c r="AB2193" s="1"/>
    </row>
    <row r="2194" ht="50.25" customHeight="1">
      <c r="A2194" s="12">
        <v>2190.0</v>
      </c>
      <c r="B2194" s="13" t="s">
        <v>2025</v>
      </c>
      <c r="C2194" s="14" t="s">
        <v>2205</v>
      </c>
      <c r="D2194" s="1"/>
      <c r="E2194" s="1"/>
      <c r="F2194" s="1" t="str">
        <f>IFERROR(__xludf.DUMMYFUNCTION("GOOGLETRANSLATE(B2194, ""en"", ""fa"")
"),"بهره وری و مدیریت زمان")</f>
        <v>بهره وری و مدیریت زمان</v>
      </c>
      <c r="G2194" s="1" t="str">
        <f>IFERROR(__xludf.DUMMYFUNCTION("GOOGLETRANSLATE(C2194, ""en"", ""fa"")
"),"در هنگام مواجهه با حجم بالایی از وظایف یا پروژه‌ها، تکنیک‌هایی را برای مدیریت و کاهش فشار کاری کاوش کنید.")</f>
        <v>در هنگام مواجهه با حجم بالایی از وظایف یا پروژه‌ها، تکنیک‌هایی را برای مدیریت و کاهش فشار کاری کاوش کنید.</v>
      </c>
      <c r="H2194" s="1"/>
      <c r="I2194" s="1"/>
      <c r="J2194" s="1"/>
      <c r="K2194" s="1"/>
      <c r="L2194" s="1"/>
      <c r="M2194" s="1"/>
      <c r="N2194" s="1"/>
      <c r="O2194" s="1"/>
      <c r="P2194" s="1"/>
      <c r="Q2194" s="1"/>
      <c r="R2194" s="1"/>
      <c r="S2194" s="1"/>
      <c r="T2194" s="1"/>
      <c r="U2194" s="1"/>
      <c r="V2194" s="1"/>
      <c r="W2194" s="1"/>
      <c r="X2194" s="1"/>
      <c r="Y2194" s="1"/>
      <c r="Z2194" s="1"/>
      <c r="AA2194" s="1"/>
      <c r="AB2194" s="1"/>
    </row>
    <row r="2195" ht="50.25" customHeight="1">
      <c r="A2195" s="12">
        <v>2191.0</v>
      </c>
      <c r="B2195" s="13" t="s">
        <v>2025</v>
      </c>
      <c r="C2195" s="14" t="s">
        <v>2206</v>
      </c>
      <c r="D2195" s="1"/>
      <c r="E2195" s="1"/>
      <c r="F2195" s="1" t="str">
        <f>IFERROR(__xludf.DUMMYFUNCTION("GOOGLETRANSLATE(B2195, ""en"", ""fa"")
"),"بهره وری و مدیریت زمان")</f>
        <v>بهره وری و مدیریت زمان</v>
      </c>
      <c r="G2195" s="1" t="str">
        <f>IFERROR(__xludf.DUMMYFUNCTION("GOOGLETRANSLATE(C2195, ""en"", ""fa"")
"),"روش‌های مختلف را برای مدیریت و به حداقل رساندن حواس‌پرتی‌ها در محیط کاری شلوغ یا پر سر و صدا، مانند استفاده از هدفون‌های کاهش‌دهنده نویز یا ایجاد مناطق آرام مشخص، کاوش کنید.")</f>
        <v>روش‌های مختلف را برای مدیریت و به حداقل رساندن حواس‌پرتی‌ها در محیط کاری شلوغ یا پر سر و صدا، مانند استفاده از هدفون‌های کاهش‌دهنده نویز یا ایجاد مناطق آرام مشخص، کاوش کنید.</v>
      </c>
      <c r="H2195" s="1"/>
      <c r="I2195" s="1"/>
      <c r="J2195" s="1"/>
      <c r="K2195" s="1"/>
      <c r="L2195" s="1"/>
      <c r="M2195" s="1"/>
      <c r="N2195" s="1"/>
      <c r="O2195" s="1"/>
      <c r="P2195" s="1"/>
      <c r="Q2195" s="1"/>
      <c r="R2195" s="1"/>
      <c r="S2195" s="1"/>
      <c r="T2195" s="1"/>
      <c r="U2195" s="1"/>
      <c r="V2195" s="1"/>
      <c r="W2195" s="1"/>
      <c r="X2195" s="1"/>
      <c r="Y2195" s="1"/>
      <c r="Z2195" s="1"/>
      <c r="AA2195" s="1"/>
      <c r="AB2195" s="1"/>
    </row>
    <row r="2196" ht="50.25" customHeight="1">
      <c r="A2196" s="12">
        <v>2192.0</v>
      </c>
      <c r="B2196" s="13" t="s">
        <v>2025</v>
      </c>
      <c r="C2196" s="14" t="s">
        <v>2207</v>
      </c>
      <c r="D2196" s="1"/>
      <c r="E2196" s="1"/>
      <c r="F2196" s="1" t="str">
        <f>IFERROR(__xludf.DUMMYFUNCTION("GOOGLETRANSLATE(B2196, ""en"", ""fa"")
"),"بهره وری و مدیریت زمان")</f>
        <v>بهره وری و مدیریت زمان</v>
      </c>
      <c r="G2196" s="1" t="str">
        <f>IFERROR(__xludf.DUMMYFUNCTION("GOOGLETRANSLATE(C2196, ""en"", ""fa"")
"),"تکنیک‌های مدیریت و سازمان‌دهی اسناد فیزیکی و کاغذبازی را برای افزایش کارایی کاوش کنید.")</f>
        <v>تکنیک‌های مدیریت و سازمان‌دهی اسناد فیزیکی و کاغذبازی را برای افزایش کارایی کاوش کنید.</v>
      </c>
      <c r="H2196" s="1"/>
      <c r="I2196" s="1"/>
      <c r="J2196" s="1"/>
      <c r="K2196" s="1"/>
      <c r="L2196" s="1"/>
      <c r="M2196" s="1"/>
      <c r="N2196" s="1"/>
      <c r="O2196" s="1"/>
      <c r="P2196" s="1"/>
      <c r="Q2196" s="1"/>
      <c r="R2196" s="1"/>
      <c r="S2196" s="1"/>
      <c r="T2196" s="1"/>
      <c r="U2196" s="1"/>
      <c r="V2196" s="1"/>
      <c r="W2196" s="1"/>
      <c r="X2196" s="1"/>
      <c r="Y2196" s="1"/>
      <c r="Z2196" s="1"/>
      <c r="AA2196" s="1"/>
      <c r="AB2196" s="1"/>
    </row>
    <row r="2197" ht="50.25" customHeight="1">
      <c r="A2197" s="12">
        <v>2193.0</v>
      </c>
      <c r="B2197" s="13" t="s">
        <v>2025</v>
      </c>
      <c r="C2197" s="14" t="s">
        <v>2208</v>
      </c>
      <c r="D2197" s="1"/>
      <c r="E2197" s="1"/>
      <c r="F2197" s="1" t="str">
        <f>IFERROR(__xludf.DUMMYFUNCTION("GOOGLETRANSLATE(B2197, ""en"", ""fa"")
"),"بهره وری و مدیریت زمان")</f>
        <v>بهره وری و مدیریت زمان</v>
      </c>
      <c r="G2197" s="1" t="str">
        <f>IFERROR(__xludf.DUMMYFUNCTION("GOOGLETRANSLATE(C2197, ""en"", ""fa"")
"),"روش‌های مختلف را برای مدیریت و کاهش فشار از طریق تقسیم وظایف به گام‌های کوچک‌تر و قابل اجرا کاوش کنید.")</f>
        <v>روش‌های مختلف را برای مدیریت و کاهش فشار از طریق تقسیم وظایف به گام‌های کوچک‌تر و قابل اجرا کاوش کنید.</v>
      </c>
      <c r="H2197" s="1"/>
      <c r="I2197" s="1"/>
      <c r="J2197" s="1"/>
      <c r="K2197" s="1"/>
      <c r="L2197" s="1"/>
      <c r="M2197" s="1"/>
      <c r="N2197" s="1"/>
      <c r="O2197" s="1"/>
      <c r="P2197" s="1"/>
      <c r="Q2197" s="1"/>
      <c r="R2197" s="1"/>
      <c r="S2197" s="1"/>
      <c r="T2197" s="1"/>
      <c r="U2197" s="1"/>
      <c r="V2197" s="1"/>
      <c r="W2197" s="1"/>
      <c r="X2197" s="1"/>
      <c r="Y2197" s="1"/>
      <c r="Z2197" s="1"/>
      <c r="AA2197" s="1"/>
      <c r="AB2197" s="1"/>
    </row>
    <row r="2198" ht="50.25" customHeight="1">
      <c r="A2198" s="12">
        <v>2194.0</v>
      </c>
      <c r="B2198" s="13" t="s">
        <v>2025</v>
      </c>
      <c r="C2198" s="14" t="s">
        <v>2209</v>
      </c>
      <c r="D2198" s="1"/>
      <c r="E2198" s="1"/>
      <c r="F2198" s="1" t="str">
        <f>IFERROR(__xludf.DUMMYFUNCTION("GOOGLETRANSLATE(B2198, ""en"", ""fa"")
"),"بهره وری و مدیریت زمان")</f>
        <v>بهره وری و مدیریت زمان</v>
      </c>
      <c r="G2198" s="1" t="str">
        <f>IFERROR(__xludf.DUMMYFUNCTION("GOOGLETRANSLATE(C2198, ""en"", ""fa"")
"),"در مورد مزایای استفاده از فناوری و اتوماسیون برای ساده کردن وظایف تکراری و افزایش کارایی بحث کنید.")</f>
        <v>در مورد مزایای استفاده از فناوری و اتوماسیون برای ساده کردن وظایف تکراری و افزایش کارایی بحث کنید.</v>
      </c>
      <c r="H2198" s="1"/>
      <c r="I2198" s="1"/>
      <c r="J2198" s="1"/>
      <c r="K2198" s="1"/>
      <c r="L2198" s="1"/>
      <c r="M2198" s="1"/>
      <c r="N2198" s="1"/>
      <c r="O2198" s="1"/>
      <c r="P2198" s="1"/>
      <c r="Q2198" s="1"/>
      <c r="R2198" s="1"/>
      <c r="S2198" s="1"/>
      <c r="T2198" s="1"/>
      <c r="U2198" s="1"/>
      <c r="V2198" s="1"/>
      <c r="W2198" s="1"/>
      <c r="X2198" s="1"/>
      <c r="Y2198" s="1"/>
      <c r="Z2198" s="1"/>
      <c r="AA2198" s="1"/>
      <c r="AB2198" s="1"/>
    </row>
    <row r="2199" ht="50.25" customHeight="1">
      <c r="A2199" s="12">
        <v>2195.0</v>
      </c>
      <c r="B2199" s="13" t="s">
        <v>2025</v>
      </c>
      <c r="C2199" s="14" t="s">
        <v>2210</v>
      </c>
      <c r="D2199" s="1"/>
      <c r="E2199" s="1"/>
      <c r="F2199" s="1" t="str">
        <f>IFERROR(__xludf.DUMMYFUNCTION("GOOGLETRANSLATE(B2199, ""en"", ""fa"")
"),"بهره وری و مدیریت زمان")</f>
        <v>بهره وری و مدیریت زمان</v>
      </c>
      <c r="G2199" s="1" t="str">
        <f>IFERROR(__xludf.DUMMYFUNCTION("GOOGLETRANSLATE(C2199, ""en"", ""fa"")
"),"تکنیک‌هایی را برای مدیریت و کاهش حواس‌پرتی‌های ناشی از ایمیل و دیگر اشکال ارتباطات دیجیتالی بررسی کنید.")</f>
        <v>تکنیک‌هایی را برای مدیریت و کاهش حواس‌پرتی‌های ناشی از ایمیل و دیگر اشکال ارتباطات دیجیتالی بررسی کنید.</v>
      </c>
      <c r="H2199" s="1"/>
      <c r="I2199" s="1"/>
      <c r="J2199" s="1"/>
      <c r="K2199" s="1"/>
      <c r="L2199" s="1"/>
      <c r="M2199" s="1"/>
      <c r="N2199" s="1"/>
      <c r="O2199" s="1"/>
      <c r="P2199" s="1"/>
      <c r="Q2199" s="1"/>
      <c r="R2199" s="1"/>
      <c r="S2199" s="1"/>
      <c r="T2199" s="1"/>
      <c r="U2199" s="1"/>
      <c r="V2199" s="1"/>
      <c r="W2199" s="1"/>
      <c r="X2199" s="1"/>
      <c r="Y2199" s="1"/>
      <c r="Z2199" s="1"/>
      <c r="AA2199" s="1"/>
      <c r="AB2199" s="1"/>
    </row>
    <row r="2200" ht="50.25" customHeight="1">
      <c r="A2200" s="12">
        <v>2196.0</v>
      </c>
      <c r="B2200" s="13" t="s">
        <v>2025</v>
      </c>
      <c r="C2200" s="14" t="s">
        <v>2211</v>
      </c>
      <c r="D2200" s="1"/>
      <c r="E2200" s="1"/>
      <c r="F2200" s="1" t="str">
        <f>IFERROR(__xludf.DUMMYFUNCTION("GOOGLETRANSLATE(B2200, ""en"", ""fa"")
"),"بهره وری و مدیریت زمان")</f>
        <v>بهره وری و مدیریت زمان</v>
      </c>
      <c r="G2200" s="1" t="str">
        <f>IFERROR(__xludf.DUMMYFUNCTION("GOOGLETRANSLATE(C2200, ""en"", ""fa"")
"),"نکاتی را برای اولویت بندی کارها، از جمله ارزیابی فوریت، اهمیت و تأثیر بر اهداف کلی، به اشتراک بگذارید.")</f>
        <v>نکاتی را برای اولویت بندی کارها، از جمله ارزیابی فوریت، اهمیت و تأثیر بر اهداف کلی، به اشتراک بگذارید.</v>
      </c>
      <c r="H2200" s="1"/>
      <c r="I2200" s="1"/>
      <c r="J2200" s="1"/>
      <c r="K2200" s="1"/>
      <c r="L2200" s="1"/>
      <c r="M2200" s="1"/>
      <c r="N2200" s="1"/>
      <c r="O2200" s="1"/>
      <c r="P2200" s="1"/>
      <c r="Q2200" s="1"/>
      <c r="R2200" s="1"/>
      <c r="S2200" s="1"/>
      <c r="T2200" s="1"/>
      <c r="U2200" s="1"/>
      <c r="V2200" s="1"/>
      <c r="W2200" s="1"/>
      <c r="X2200" s="1"/>
      <c r="Y2200" s="1"/>
      <c r="Z2200" s="1"/>
      <c r="AA2200" s="1"/>
      <c r="AB2200" s="1"/>
    </row>
    <row r="2201" ht="50.25" customHeight="1">
      <c r="A2201" s="12">
        <v>2197.0</v>
      </c>
      <c r="B2201" s="13" t="s">
        <v>2025</v>
      </c>
      <c r="C2201" s="14" t="s">
        <v>2212</v>
      </c>
      <c r="D2201" s="1"/>
      <c r="E2201" s="1"/>
      <c r="F2201" s="1" t="str">
        <f>IFERROR(__xludf.DUMMYFUNCTION("GOOGLETRANSLATE(B2201, ""en"", ""fa"")
"),"بهره وری و مدیریت زمان")</f>
        <v>بهره وری و مدیریت زمان</v>
      </c>
      <c r="G2201" s="1" t="str">
        <f>IFERROR(__xludf.DUMMYFUNCTION("GOOGLETRANSLATE(C2201, ""en"", ""fa"")
"),"در مورد اهمیت استراحت های منظم و شرکت در فعالیت هایی که بهزیستی ذهنی و جسمی را ارتقا می دهند، بحث کنید.")</f>
        <v>در مورد اهمیت استراحت های منظم و شرکت در فعالیت هایی که بهزیستی ذهنی و جسمی را ارتقا می دهند، بحث کنید.</v>
      </c>
      <c r="H2201" s="1"/>
      <c r="I2201" s="1"/>
      <c r="J2201" s="1"/>
      <c r="K2201" s="1"/>
      <c r="L2201" s="1"/>
      <c r="M2201" s="1"/>
      <c r="N2201" s="1"/>
      <c r="O2201" s="1"/>
      <c r="P2201" s="1"/>
      <c r="Q2201" s="1"/>
      <c r="R2201" s="1"/>
      <c r="S2201" s="1"/>
      <c r="T2201" s="1"/>
      <c r="U2201" s="1"/>
      <c r="V2201" s="1"/>
      <c r="W2201" s="1"/>
      <c r="X2201" s="1"/>
      <c r="Y2201" s="1"/>
      <c r="Z2201" s="1"/>
      <c r="AA2201" s="1"/>
      <c r="AB2201" s="1"/>
    </row>
    <row r="2202" ht="50.25" customHeight="1">
      <c r="A2202" s="12">
        <v>2198.0</v>
      </c>
      <c r="B2202" s="13" t="s">
        <v>2025</v>
      </c>
      <c r="C2202" s="14" t="s">
        <v>2213</v>
      </c>
      <c r="D2202" s="1"/>
      <c r="E2202" s="1"/>
      <c r="F2202" s="1" t="str">
        <f>IFERROR(__xludf.DUMMYFUNCTION("GOOGLETRANSLATE(B2202, ""en"", ""fa"")
"),"بهره وری و مدیریت زمان")</f>
        <v>بهره وری و مدیریت زمان</v>
      </c>
      <c r="G2202" s="1" t="str">
        <f>IFERROR(__xludf.DUMMYFUNCTION("GOOGLETRANSLATE(C2202, ""en"", ""fa"")
"),"روش های مختلف را برای مدیریت و سازماندهی فایل ها و پوشه های دیجیتال برای دسترسی و بازیابی آسان کاوش کنید.")</f>
        <v>روش های مختلف را برای مدیریت و سازماندهی فایل ها و پوشه های دیجیتال برای دسترسی و بازیابی آسان کاوش کنید.</v>
      </c>
      <c r="H2202" s="1"/>
      <c r="I2202" s="1"/>
      <c r="J2202" s="1"/>
      <c r="K2202" s="1"/>
      <c r="L2202" s="1"/>
      <c r="M2202" s="1"/>
      <c r="N2202" s="1"/>
      <c r="O2202" s="1"/>
      <c r="P2202" s="1"/>
      <c r="Q2202" s="1"/>
      <c r="R2202" s="1"/>
      <c r="S2202" s="1"/>
      <c r="T2202" s="1"/>
      <c r="U2202" s="1"/>
      <c r="V2202" s="1"/>
      <c r="W2202" s="1"/>
      <c r="X2202" s="1"/>
      <c r="Y2202" s="1"/>
      <c r="Z2202" s="1"/>
      <c r="AA2202" s="1"/>
      <c r="AB2202" s="1"/>
    </row>
    <row r="2203" ht="50.25" customHeight="1">
      <c r="A2203" s="12">
        <v>2199.0</v>
      </c>
      <c r="B2203" s="13" t="s">
        <v>2025</v>
      </c>
      <c r="C2203" s="14" t="s">
        <v>2214</v>
      </c>
      <c r="D2203" s="1"/>
      <c r="E2203" s="1"/>
      <c r="F2203" s="1" t="str">
        <f>IFERROR(__xludf.DUMMYFUNCTION("GOOGLETRANSLATE(B2203, ""en"", ""fa"")
"),"بهره وری و مدیریت زمان")</f>
        <v>بهره وری و مدیریت زمان</v>
      </c>
      <c r="G2203" s="1" t="str">
        <f>IFERROR(__xludf.DUMMYFUNCTION("GOOGLETRANSLATE(C2203, ""en"", ""fa"")
"),"به اشتراک گذاشتن استراتژی برای مدیریت زمان موثر در هنگام دستکاری چند پروژه یا نقش به طور همزمان.")</f>
        <v>به اشتراک گذاشتن استراتژی برای مدیریت زمان موثر در هنگام دستکاری چند پروژه یا نقش به طور همزمان.</v>
      </c>
      <c r="H2203" s="1"/>
      <c r="I2203" s="1"/>
      <c r="J2203" s="1"/>
      <c r="K2203" s="1"/>
      <c r="L2203" s="1"/>
      <c r="M2203" s="1"/>
      <c r="N2203" s="1"/>
      <c r="O2203" s="1"/>
      <c r="P2203" s="1"/>
      <c r="Q2203" s="1"/>
      <c r="R2203" s="1"/>
      <c r="S2203" s="1"/>
      <c r="T2203" s="1"/>
      <c r="U2203" s="1"/>
      <c r="V2203" s="1"/>
      <c r="W2203" s="1"/>
      <c r="X2203" s="1"/>
      <c r="Y2203" s="1"/>
      <c r="Z2203" s="1"/>
      <c r="AA2203" s="1"/>
      <c r="AB2203" s="1"/>
    </row>
    <row r="2204" ht="50.25" customHeight="1">
      <c r="A2204" s="12">
        <v>2200.0</v>
      </c>
      <c r="B2204" s="13" t="s">
        <v>2025</v>
      </c>
      <c r="C2204" s="14" t="s">
        <v>2215</v>
      </c>
      <c r="D2204" s="1"/>
      <c r="E2204" s="1"/>
      <c r="F2204" s="1" t="str">
        <f>IFERROR(__xludf.DUMMYFUNCTION("GOOGLETRANSLATE(B2204, ""en"", ""fa"")
"),"بهره وری و مدیریت زمان")</f>
        <v>بهره وری و مدیریت زمان</v>
      </c>
      <c r="G2204" s="1" t="str">
        <f>IFERROR(__xludf.DUMMYFUNCTION("GOOGLETRANSLATE(C2204, ""en"", ""fa"")
"),"در مورد مزایای گنجاندن تمرین های ذهن آگاهی در روال های روزانه برای افزایش تمرکز و کاهش استرس بحث کنید.")</f>
        <v>در مورد مزایای گنجاندن تمرین های ذهن آگاهی در روال های روزانه برای افزایش تمرکز و کاهش استرس بحث کنید.</v>
      </c>
      <c r="H2204" s="1"/>
      <c r="I2204" s="1"/>
      <c r="J2204" s="1"/>
      <c r="K2204" s="1"/>
      <c r="L2204" s="1"/>
      <c r="M2204" s="1"/>
      <c r="N2204" s="1"/>
      <c r="O2204" s="1"/>
      <c r="P2204" s="1"/>
      <c r="Q2204" s="1"/>
      <c r="R2204" s="1"/>
      <c r="S2204" s="1"/>
      <c r="T2204" s="1"/>
      <c r="U2204" s="1"/>
      <c r="V2204" s="1"/>
      <c r="W2204" s="1"/>
      <c r="X2204" s="1"/>
      <c r="Y2204" s="1"/>
      <c r="Z2204" s="1"/>
      <c r="AA2204" s="1"/>
      <c r="AB2204" s="1"/>
    </row>
    <row r="2205" ht="50.25" customHeight="1">
      <c r="A2205" s="12">
        <v>2201.0</v>
      </c>
      <c r="B2205" s="13" t="s">
        <v>2025</v>
      </c>
      <c r="C2205" s="14" t="s">
        <v>2216</v>
      </c>
      <c r="D2205" s="1"/>
      <c r="E2205" s="1"/>
      <c r="F2205" s="1" t="str">
        <f>IFERROR(__xludf.DUMMYFUNCTION("GOOGLETRANSLATE(B2205, ""en"", ""fa"")
"),"بهره وری و مدیریت زمان")</f>
        <v>بهره وری و مدیریت زمان</v>
      </c>
      <c r="G2205" s="1" t="str">
        <f>IFERROR(__xludf.DUMMYFUNCTION("GOOGLETRANSLATE(C2205, ""en"", ""fa"")
"),"تکنیک‌هایی را برای مدیریت و کاهش درهم‌ریختگی دیجیتال، مانند شلوغ کردن دسک‌تاپ، سازمان‌دهی نشانک‌ها و بایگانی کردن فایل‌های قدیمی، کاوش کنید.")</f>
        <v>تکنیک‌هایی را برای مدیریت و کاهش درهم‌ریختگی دیجیتال، مانند شلوغ کردن دسک‌تاپ، سازمان‌دهی نشانک‌ها و بایگانی کردن فایل‌های قدیمی، کاوش کنید.</v>
      </c>
      <c r="H2205" s="1"/>
      <c r="I2205" s="1"/>
      <c r="J2205" s="1"/>
      <c r="K2205" s="1"/>
      <c r="L2205" s="1"/>
      <c r="M2205" s="1"/>
      <c r="N2205" s="1"/>
      <c r="O2205" s="1"/>
      <c r="P2205" s="1"/>
      <c r="Q2205" s="1"/>
      <c r="R2205" s="1"/>
      <c r="S2205" s="1"/>
      <c r="T2205" s="1"/>
      <c r="U2205" s="1"/>
      <c r="V2205" s="1"/>
      <c r="W2205" s="1"/>
      <c r="X2205" s="1"/>
      <c r="Y2205" s="1"/>
      <c r="Z2205" s="1"/>
      <c r="AA2205" s="1"/>
      <c r="AB2205" s="1"/>
    </row>
    <row r="2206" ht="50.25" customHeight="1">
      <c r="A2206" s="12">
        <v>2202.0</v>
      </c>
      <c r="B2206" s="13" t="s">
        <v>2025</v>
      </c>
      <c r="C2206" s="14" t="s">
        <v>2217</v>
      </c>
      <c r="D2206" s="1"/>
      <c r="E2206" s="1"/>
      <c r="F2206" s="1" t="str">
        <f>IFERROR(__xludf.DUMMYFUNCTION("GOOGLETRANSLATE(B2206, ""en"", ""fa"")
"),"بهره وری و مدیریت زمان")</f>
        <v>بهره وری و مدیریت زمان</v>
      </c>
      <c r="G2206" s="1" t="str">
        <f>IFERROR(__xludf.DUMMYFUNCTION("GOOGLETRANSLATE(C2206, ""en"", ""fa"")
"),"نکاتی را برای خود انضباطی مؤثر و غلبه بر تمایلات به تعویق انداختن به اشتراک بگذارید.")</f>
        <v>نکاتی را برای خود انضباطی مؤثر و غلبه بر تمایلات به تعویق انداختن به اشتراک بگذارید.</v>
      </c>
      <c r="H2206" s="1"/>
      <c r="I2206" s="1"/>
      <c r="J2206" s="1"/>
      <c r="K2206" s="1"/>
      <c r="L2206" s="1"/>
      <c r="M2206" s="1"/>
      <c r="N2206" s="1"/>
      <c r="O2206" s="1"/>
      <c r="P2206" s="1"/>
      <c r="Q2206" s="1"/>
      <c r="R2206" s="1"/>
      <c r="S2206" s="1"/>
      <c r="T2206" s="1"/>
      <c r="U2206" s="1"/>
      <c r="V2206" s="1"/>
      <c r="W2206" s="1"/>
      <c r="X2206" s="1"/>
      <c r="Y2206" s="1"/>
      <c r="Z2206" s="1"/>
      <c r="AA2206" s="1"/>
      <c r="AB2206" s="1"/>
    </row>
    <row r="2207" ht="50.25" customHeight="1">
      <c r="A2207" s="12">
        <v>2203.0</v>
      </c>
      <c r="B2207" s="13" t="s">
        <v>2025</v>
      </c>
      <c r="C2207" s="14" t="s">
        <v>2218</v>
      </c>
      <c r="D2207" s="1"/>
      <c r="E2207" s="1"/>
      <c r="F2207" s="1" t="str">
        <f>IFERROR(__xludf.DUMMYFUNCTION("GOOGLETRANSLATE(B2207, ""en"", ""fa"")
"),"بهره وری و مدیریت زمان")</f>
        <v>بهره وری و مدیریت زمان</v>
      </c>
      <c r="G2207" s="1" t="str">
        <f>IFERROR(__xludf.DUMMYFUNCTION("GOOGLETRANSLATE(C2207, ""en"", ""fa"")
"),"در مورد اهمیت تعیین مرزهای روشن و برقراری ارتباط با انتظارات با همکاران، مشتریان یا اعضای تیم بحث کنید.")</f>
        <v>در مورد اهمیت تعیین مرزهای روشن و برقراری ارتباط با انتظارات با همکاران، مشتریان یا اعضای تیم بحث کنید.</v>
      </c>
      <c r="H2207" s="1"/>
      <c r="I2207" s="1"/>
      <c r="J2207" s="1"/>
      <c r="K2207" s="1"/>
      <c r="L2207" s="1"/>
      <c r="M2207" s="1"/>
      <c r="N2207" s="1"/>
      <c r="O2207" s="1"/>
      <c r="P2207" s="1"/>
      <c r="Q2207" s="1"/>
      <c r="R2207" s="1"/>
      <c r="S2207" s="1"/>
      <c r="T2207" s="1"/>
      <c r="U2207" s="1"/>
      <c r="V2207" s="1"/>
      <c r="W2207" s="1"/>
      <c r="X2207" s="1"/>
      <c r="Y2207" s="1"/>
      <c r="Z2207" s="1"/>
      <c r="AA2207" s="1"/>
      <c r="AB2207" s="1"/>
    </row>
    <row r="2208" ht="50.25" customHeight="1">
      <c r="A2208" s="12">
        <v>2204.0</v>
      </c>
      <c r="B2208" s="13" t="s">
        <v>2025</v>
      </c>
      <c r="C2208" s="14" t="s">
        <v>2219</v>
      </c>
      <c r="D2208" s="1"/>
      <c r="E2208" s="1"/>
      <c r="F2208" s="1" t="str">
        <f>IFERROR(__xludf.DUMMYFUNCTION("GOOGLETRANSLATE(B2208, ""en"", ""fa"")
"),"بهره وری و مدیریت زمان")</f>
        <v>بهره وری و مدیریت زمان</v>
      </c>
      <c r="G2208" s="1" t="str">
        <f>IFERROR(__xludf.DUMMYFUNCTION("GOOGLETRANSLATE(C2208, ""en"", ""fa"")
"),"روش های مختلف برای مدیریت و اولویت بندی وظایف شخصی و حرفه ای در یک سیستم واحد را بررسی کنید.")</f>
        <v>روش های مختلف برای مدیریت و اولویت بندی وظایف شخصی و حرفه ای در یک سیستم واحد را بررسی کنید.</v>
      </c>
      <c r="H2208" s="1"/>
      <c r="I2208" s="1"/>
      <c r="J2208" s="1"/>
      <c r="K2208" s="1"/>
      <c r="L2208" s="1"/>
      <c r="M2208" s="1"/>
      <c r="N2208" s="1"/>
      <c r="O2208" s="1"/>
      <c r="P2208" s="1"/>
      <c r="Q2208" s="1"/>
      <c r="R2208" s="1"/>
      <c r="S2208" s="1"/>
      <c r="T2208" s="1"/>
      <c r="U2208" s="1"/>
      <c r="V2208" s="1"/>
      <c r="W2208" s="1"/>
      <c r="X2208" s="1"/>
      <c r="Y2208" s="1"/>
      <c r="Z2208" s="1"/>
      <c r="AA2208" s="1"/>
      <c r="AB2208" s="1"/>
    </row>
    <row r="2209" ht="50.25" customHeight="1">
      <c r="A2209" s="12">
        <v>2205.0</v>
      </c>
      <c r="B2209" s="13" t="s">
        <v>2025</v>
      </c>
      <c r="C2209" s="14" t="s">
        <v>2220</v>
      </c>
      <c r="D2209" s="1"/>
      <c r="E2209" s="1"/>
      <c r="F2209" s="1" t="str">
        <f>IFERROR(__xludf.DUMMYFUNCTION("GOOGLETRANSLATE(B2209, ""en"", ""fa"")
"),"بهره وری و مدیریت زمان")</f>
        <v>بهره وری و مدیریت زمان</v>
      </c>
      <c r="G2209" s="1" t="str">
        <f>IFERROR(__xludf.DUMMYFUNCTION("GOOGLETRANSLATE(C2209, ""en"", ""fa"")
"),"استراتژی هایی را برای مدیریت موثر ایمیل، از جمله تعیین زمان های تعیین شده برای بررسی و پاسخ به ایمیل ها، به اشتراک بگذارید.")</f>
        <v>استراتژی هایی را برای مدیریت موثر ایمیل، از جمله تعیین زمان های تعیین شده برای بررسی و پاسخ به ایمیل ها، به اشتراک بگذارید.</v>
      </c>
      <c r="H2209" s="1"/>
      <c r="I2209" s="1"/>
      <c r="J2209" s="1"/>
      <c r="K2209" s="1"/>
      <c r="L2209" s="1"/>
      <c r="M2209" s="1"/>
      <c r="N2209" s="1"/>
      <c r="O2209" s="1"/>
      <c r="P2209" s="1"/>
      <c r="Q2209" s="1"/>
      <c r="R2209" s="1"/>
      <c r="S2209" s="1"/>
      <c r="T2209" s="1"/>
      <c r="U2209" s="1"/>
      <c r="V2209" s="1"/>
      <c r="W2209" s="1"/>
      <c r="X2209" s="1"/>
      <c r="Y2209" s="1"/>
      <c r="Z2209" s="1"/>
      <c r="AA2209" s="1"/>
      <c r="AB2209" s="1"/>
    </row>
    <row r="2210" ht="50.25" customHeight="1">
      <c r="A2210" s="12">
        <v>2206.0</v>
      </c>
      <c r="B2210" s="13" t="s">
        <v>2025</v>
      </c>
      <c r="C2210" s="14" t="s">
        <v>2221</v>
      </c>
      <c r="D2210" s="1"/>
      <c r="E2210" s="1"/>
      <c r="F2210" s="1" t="str">
        <f>IFERROR(__xludf.DUMMYFUNCTION("GOOGLETRANSLATE(B2210, ""en"", ""fa"")
"),"بهره وری و مدیریت زمان")</f>
        <v>بهره وری و مدیریت زمان</v>
      </c>
      <c r="G2210" s="1" t="str">
        <f>IFERROR(__xludf.DUMMYFUNCTION("GOOGLETRANSLATE(C2210, ""en"", ""fa"")
"),"در مورد مزایای تمرین تکنیک های موثر مسدود کردن زمان برای تخصیص زمان اختصاصی برای وظایف یا پروژه های خاص بحث کنید.")</f>
        <v>در مورد مزایای تمرین تکنیک های موثر مسدود کردن زمان برای تخصیص زمان اختصاصی برای وظایف یا پروژه های خاص بحث کنید.</v>
      </c>
      <c r="H2210" s="1"/>
      <c r="I2210" s="1"/>
      <c r="J2210" s="1"/>
      <c r="K2210" s="1"/>
      <c r="L2210" s="1"/>
      <c r="M2210" s="1"/>
      <c r="N2210" s="1"/>
      <c r="O2210" s="1"/>
      <c r="P2210" s="1"/>
      <c r="Q2210" s="1"/>
      <c r="R2210" s="1"/>
      <c r="S2210" s="1"/>
      <c r="T2210" s="1"/>
      <c r="U2210" s="1"/>
      <c r="V2210" s="1"/>
      <c r="W2210" s="1"/>
      <c r="X2210" s="1"/>
      <c r="Y2210" s="1"/>
      <c r="Z2210" s="1"/>
      <c r="AA2210" s="1"/>
      <c r="AB2210" s="1"/>
    </row>
    <row r="2211" ht="50.25" customHeight="1">
      <c r="A2211" s="12">
        <v>2207.0</v>
      </c>
      <c r="B2211" s="13" t="s">
        <v>2025</v>
      </c>
      <c r="C2211" s="14" t="s">
        <v>2222</v>
      </c>
      <c r="D2211" s="1"/>
      <c r="E2211" s="1"/>
      <c r="F2211" s="1" t="str">
        <f>IFERROR(__xludf.DUMMYFUNCTION("GOOGLETRANSLATE(B2211, ""en"", ""fa"")
"),"بهره وری و مدیریت زمان")</f>
        <v>بهره وری و مدیریت زمان</v>
      </c>
      <c r="G2211" s="1" t="str">
        <f>IFERROR(__xludf.DUMMYFUNCTION("GOOGLETRANSLATE(C2211, ""en"", ""fa"")
"),"تکنیک‌هایی را برای مدیریت و به حداقل رساندن وقفه‌ها در طول دوره‌های کاری متمرکز، مانند اجرای حالت‌های «مزاحم نشوید» یا استفاده از نشانه‌های بصری برای نشان دادن در دسترس بودن، کاوش کنید.")</f>
        <v>تکنیک‌هایی را برای مدیریت و به حداقل رساندن وقفه‌ها در طول دوره‌های کاری متمرکز، مانند اجرای حالت‌های «مزاحم نشوید» یا استفاده از نشانه‌های بصری برای نشان دادن در دسترس بودن، کاوش کنید.</v>
      </c>
      <c r="H2211" s="1"/>
      <c r="I2211" s="1"/>
      <c r="J2211" s="1"/>
      <c r="K2211" s="1"/>
      <c r="L2211" s="1"/>
      <c r="M2211" s="1"/>
      <c r="N2211" s="1"/>
      <c r="O2211" s="1"/>
      <c r="P2211" s="1"/>
      <c r="Q2211" s="1"/>
      <c r="R2211" s="1"/>
      <c r="S2211" s="1"/>
      <c r="T2211" s="1"/>
      <c r="U2211" s="1"/>
      <c r="V2211" s="1"/>
      <c r="W2211" s="1"/>
      <c r="X2211" s="1"/>
      <c r="Y2211" s="1"/>
      <c r="Z2211" s="1"/>
      <c r="AA2211" s="1"/>
      <c r="AB2211" s="1"/>
    </row>
    <row r="2212" ht="50.25" customHeight="1">
      <c r="A2212" s="12">
        <v>2208.0</v>
      </c>
      <c r="B2212" s="13" t="s">
        <v>2025</v>
      </c>
      <c r="C2212" s="14" t="s">
        <v>2223</v>
      </c>
      <c r="D2212" s="1"/>
      <c r="E2212" s="1"/>
      <c r="F2212" s="1" t="str">
        <f>IFERROR(__xludf.DUMMYFUNCTION("GOOGLETRANSLATE(B2212, ""en"", ""fa"")
"),"بهره وری و مدیریت زمان")</f>
        <v>بهره وری و مدیریت زمان</v>
      </c>
      <c r="G2212" s="1" t="str">
        <f>IFERROR(__xludf.DUMMYFUNCTION("GOOGLETRANSLATE(C2212, ""en"", ""fa"")
"),"نکاتی را برای تفویض اختیار موثر و توانمندسازی اعضای تیم برای تصدی وظایف و پروژه ها به اشتراک بگذارید.")</f>
        <v>نکاتی را برای تفویض اختیار موثر و توانمندسازی اعضای تیم برای تصدی وظایف و پروژه ها به اشتراک بگذارید.</v>
      </c>
      <c r="H2212" s="1"/>
      <c r="I2212" s="1"/>
      <c r="J2212" s="1"/>
      <c r="K2212" s="1"/>
      <c r="L2212" s="1"/>
      <c r="M2212" s="1"/>
      <c r="N2212" s="1"/>
      <c r="O2212" s="1"/>
      <c r="P2212" s="1"/>
      <c r="Q2212" s="1"/>
      <c r="R2212" s="1"/>
      <c r="S2212" s="1"/>
      <c r="T2212" s="1"/>
      <c r="U2212" s="1"/>
      <c r="V2212" s="1"/>
      <c r="W2212" s="1"/>
      <c r="X2212" s="1"/>
      <c r="Y2212" s="1"/>
      <c r="Z2212" s="1"/>
      <c r="AA2212" s="1"/>
      <c r="AB2212" s="1"/>
    </row>
    <row r="2213" ht="50.25" customHeight="1">
      <c r="A2213" s="12">
        <v>2209.0</v>
      </c>
      <c r="B2213" s="13" t="s">
        <v>2025</v>
      </c>
      <c r="C2213" s="14" t="s">
        <v>2224</v>
      </c>
      <c r="D2213" s="1"/>
      <c r="E2213" s="1"/>
      <c r="F2213" s="1" t="str">
        <f>IFERROR(__xludf.DUMMYFUNCTION("GOOGLETRANSLATE(B2213, ""en"", ""fa"")
"),"بهره وری و مدیریت زمان")</f>
        <v>بهره وری و مدیریت زمان</v>
      </c>
      <c r="G2213" s="1" t="str">
        <f>IFERROR(__xludf.DUMMYFUNCTION("GOOGLETRANSLATE(C2213, ""en"", ""fa"")
"),"در مورد اهمیت شیوه های منظم مراقبت از خود، مانند ورزش، مدیتیشن، یا سرگرمی ها برای شارژ مجدد و حفظ تندرستی صحبت کنید.")</f>
        <v>در مورد اهمیت شیوه های منظم مراقبت از خود، مانند ورزش، مدیتیشن، یا سرگرمی ها برای شارژ مجدد و حفظ تندرستی صحبت کنید.</v>
      </c>
      <c r="H2213" s="1"/>
      <c r="I2213" s="1"/>
      <c r="J2213" s="1"/>
      <c r="K2213" s="1"/>
      <c r="L2213" s="1"/>
      <c r="M2213" s="1"/>
      <c r="N2213" s="1"/>
      <c r="O2213" s="1"/>
      <c r="P2213" s="1"/>
      <c r="Q2213" s="1"/>
      <c r="R2213" s="1"/>
      <c r="S2213" s="1"/>
      <c r="T2213" s="1"/>
      <c r="U2213" s="1"/>
      <c r="V2213" s="1"/>
      <c r="W2213" s="1"/>
      <c r="X2213" s="1"/>
      <c r="Y2213" s="1"/>
      <c r="Z2213" s="1"/>
      <c r="AA2213" s="1"/>
      <c r="AB2213" s="1"/>
    </row>
    <row r="2214" ht="50.25" customHeight="1">
      <c r="A2214" s="12">
        <v>2210.0</v>
      </c>
      <c r="B2214" s="13" t="s">
        <v>2025</v>
      </c>
      <c r="C2214" s="14" t="s">
        <v>2225</v>
      </c>
      <c r="D2214" s="1"/>
      <c r="E2214" s="1"/>
      <c r="F2214" s="1" t="str">
        <f>IFERROR(__xludf.DUMMYFUNCTION("GOOGLETRANSLATE(B2214, ""en"", ""fa"")
"),"بهره وری و مدیریت زمان")</f>
        <v>بهره وری و مدیریت زمان</v>
      </c>
      <c r="G2214" s="1" t="str">
        <f>IFERROR(__xludf.DUMMYFUNCTION("GOOGLETRANSLATE(C2214, ""en"", ""fa"")
"),"روش های مختلف برای مدیریت و سازماندهی مهلت ها و نقاط عطف مرتبط با پروژه برای بهبود برنامه ریزی و اجرای پروژه را بررسی کنید.")</f>
        <v>روش های مختلف برای مدیریت و سازماندهی مهلت ها و نقاط عطف مرتبط با پروژه برای بهبود برنامه ریزی و اجرای پروژه را بررسی کنید.</v>
      </c>
      <c r="H2214" s="1"/>
      <c r="I2214" s="1"/>
      <c r="J2214" s="1"/>
      <c r="K2214" s="1"/>
      <c r="L2214" s="1"/>
      <c r="M2214" s="1"/>
      <c r="N2214" s="1"/>
      <c r="O2214" s="1"/>
      <c r="P2214" s="1"/>
      <c r="Q2214" s="1"/>
      <c r="R2214" s="1"/>
      <c r="S2214" s="1"/>
      <c r="T2214" s="1"/>
      <c r="U2214" s="1"/>
      <c r="V2214" s="1"/>
      <c r="W2214" s="1"/>
      <c r="X2214" s="1"/>
      <c r="Y2214" s="1"/>
      <c r="Z2214" s="1"/>
      <c r="AA2214" s="1"/>
      <c r="AB2214" s="1"/>
    </row>
    <row r="2215" ht="50.25" customHeight="1">
      <c r="A2215" s="12">
        <v>2211.0</v>
      </c>
      <c r="B2215" s="13" t="s">
        <v>2025</v>
      </c>
      <c r="C2215" s="14" t="s">
        <v>2226</v>
      </c>
      <c r="D2215" s="1"/>
      <c r="E2215" s="1"/>
      <c r="F2215" s="1" t="str">
        <f>IFERROR(__xludf.DUMMYFUNCTION("GOOGLETRANSLATE(B2215, ""en"", ""fa"")
"),"بهره وری و مدیریت زمان")</f>
        <v>بهره وری و مدیریت زمان</v>
      </c>
      <c r="G2215" s="1" t="str">
        <f>IFERROR(__xludf.DUMMYFUNCTION("GOOGLETRANSLATE(C2215, ""en"", ""fa"")
"),"در مورد مزایای گنجاندن استراحت ها و فعالیت های اوقات فراغت در روز کاری برای افزایش بهره وری و خلاقیت بحث کنید.")</f>
        <v>در مورد مزایای گنجاندن استراحت ها و فعالیت های اوقات فراغت در روز کاری برای افزایش بهره وری و خلاقیت بحث کنید.</v>
      </c>
      <c r="H2215" s="1"/>
      <c r="I2215" s="1"/>
      <c r="J2215" s="1"/>
      <c r="K2215" s="1"/>
      <c r="L2215" s="1"/>
      <c r="M2215" s="1"/>
      <c r="N2215" s="1"/>
      <c r="O2215" s="1"/>
      <c r="P2215" s="1"/>
      <c r="Q2215" s="1"/>
      <c r="R2215" s="1"/>
      <c r="S2215" s="1"/>
      <c r="T2215" s="1"/>
      <c r="U2215" s="1"/>
      <c r="V2215" s="1"/>
      <c r="W2215" s="1"/>
      <c r="X2215" s="1"/>
      <c r="Y2215" s="1"/>
      <c r="Z2215" s="1"/>
      <c r="AA2215" s="1"/>
      <c r="AB2215" s="1"/>
    </row>
    <row r="2216" ht="50.25" customHeight="1">
      <c r="A2216" s="12">
        <v>2212.0</v>
      </c>
      <c r="B2216" s="13" t="s">
        <v>2025</v>
      </c>
      <c r="C2216" s="14" t="s">
        <v>2227</v>
      </c>
      <c r="D2216" s="1"/>
      <c r="E2216" s="1"/>
      <c r="F2216" s="1" t="str">
        <f>IFERROR(__xludf.DUMMYFUNCTION("GOOGLETRANSLATE(B2216, ""en"", ""fa"")
"),"بهره وری و مدیریت زمان")</f>
        <v>بهره وری و مدیریت زمان</v>
      </c>
      <c r="G2216" s="1" t="str">
        <f>IFERROR(__xludf.DUMMYFUNCTION("GOOGLETRANSLATE(C2216, ""en"", ""fa"")
"),"کاوش تکنیک‌هایی برای مدیریت و کاهش خستگی تصمیم‌گیری با خودکار کردن تصمیم‌های معمول یا اجرای چارچوب‌های تصمیم‌گیری.")</f>
        <v>کاوش تکنیک‌هایی برای مدیریت و کاهش خستگی تصمیم‌گیری با خودکار کردن تصمیم‌های معمول یا اجرای چارچوب‌های تصمیم‌گیری.</v>
      </c>
      <c r="H2216" s="1"/>
      <c r="I2216" s="1"/>
      <c r="J2216" s="1"/>
      <c r="K2216" s="1"/>
      <c r="L2216" s="1"/>
      <c r="M2216" s="1"/>
      <c r="N2216" s="1"/>
      <c r="O2216" s="1"/>
      <c r="P2216" s="1"/>
      <c r="Q2216" s="1"/>
      <c r="R2216" s="1"/>
      <c r="S2216" s="1"/>
      <c r="T2216" s="1"/>
      <c r="U2216" s="1"/>
      <c r="V2216" s="1"/>
      <c r="W2216" s="1"/>
      <c r="X2216" s="1"/>
      <c r="Y2216" s="1"/>
      <c r="Z2216" s="1"/>
      <c r="AA2216" s="1"/>
      <c r="AB2216" s="1"/>
    </row>
    <row r="2217" ht="50.25" customHeight="1">
      <c r="A2217" s="12">
        <v>2213.0</v>
      </c>
      <c r="B2217" s="13" t="s">
        <v>2025</v>
      </c>
      <c r="C2217" s="14" t="s">
        <v>2228</v>
      </c>
      <c r="D2217" s="1"/>
      <c r="E2217" s="1"/>
      <c r="F2217" s="1" t="str">
        <f>IFERROR(__xludf.DUMMYFUNCTION("GOOGLETRANSLATE(B2217, ""en"", ""fa"")
"),"بهره وری و مدیریت زمان")</f>
        <v>بهره وری و مدیریت زمان</v>
      </c>
      <c r="G2217" s="1" t="str">
        <f>IFERROR(__xludf.DUMMYFUNCTION("GOOGLETRANSLATE(C2217, ""en"", ""fa"")
"),"نکاتی را برای خودانگیختگی مؤثر و حفظ تمرکز در طول کارهای چالش برانگیز یا خسته کننده به اشتراک بگذارید.")</f>
        <v>نکاتی را برای خودانگیختگی مؤثر و حفظ تمرکز در طول کارهای چالش برانگیز یا خسته کننده به اشتراک بگذارید.</v>
      </c>
      <c r="H2217" s="1"/>
      <c r="I2217" s="1"/>
      <c r="J2217" s="1"/>
      <c r="K2217" s="1"/>
      <c r="L2217" s="1"/>
      <c r="M2217" s="1"/>
      <c r="N2217" s="1"/>
      <c r="O2217" s="1"/>
      <c r="P2217" s="1"/>
      <c r="Q2217" s="1"/>
      <c r="R2217" s="1"/>
      <c r="S2217" s="1"/>
      <c r="T2217" s="1"/>
      <c r="U2217" s="1"/>
      <c r="V2217" s="1"/>
      <c r="W2217" s="1"/>
      <c r="X2217" s="1"/>
      <c r="Y2217" s="1"/>
      <c r="Z2217" s="1"/>
      <c r="AA2217" s="1"/>
      <c r="AB2217" s="1"/>
    </row>
    <row r="2218" ht="50.25" customHeight="1">
      <c r="A2218" s="12">
        <v>2214.0</v>
      </c>
      <c r="B2218" s="13" t="s">
        <v>2025</v>
      </c>
      <c r="C2218" s="14" t="s">
        <v>2229</v>
      </c>
      <c r="D2218" s="1"/>
      <c r="E2218" s="1"/>
      <c r="F2218" s="1" t="str">
        <f>IFERROR(__xludf.DUMMYFUNCTION("GOOGLETRANSLATE(B2218, ""en"", ""fa"")
"),"بهره وری و مدیریت زمان")</f>
        <v>بهره وری و مدیریت زمان</v>
      </c>
      <c r="G2218" s="1" t="str">
        <f>IFERROR(__xludf.DUMMYFUNCTION("GOOGLETRANSLATE(C2218, ""en"", ""fa"")
"),"روش‌های مختلف برای مدیریت و به حداقل رساندن حواس‌پرتی‌های ذهنی، مانند تمرین تمرکز حواس یا اجرای تکنیک‌های کاری متمرکز را بررسی کنید.")</f>
        <v>روش‌های مختلف برای مدیریت و به حداقل رساندن حواس‌پرتی‌های ذهنی، مانند تمرین تمرکز حواس یا اجرای تکنیک‌های کاری متمرکز را بررسی کنید.</v>
      </c>
      <c r="H2218" s="1"/>
      <c r="I2218" s="1"/>
      <c r="J2218" s="1"/>
      <c r="K2218" s="1"/>
      <c r="L2218" s="1"/>
      <c r="M2218" s="1"/>
      <c r="N2218" s="1"/>
      <c r="O2218" s="1"/>
      <c r="P2218" s="1"/>
      <c r="Q2218" s="1"/>
      <c r="R2218" s="1"/>
      <c r="S2218" s="1"/>
      <c r="T2218" s="1"/>
      <c r="U2218" s="1"/>
      <c r="V2218" s="1"/>
      <c r="W2218" s="1"/>
      <c r="X2218" s="1"/>
      <c r="Y2218" s="1"/>
      <c r="Z2218" s="1"/>
      <c r="AA2218" s="1"/>
      <c r="AB2218" s="1"/>
    </row>
    <row r="2219" ht="50.25" customHeight="1">
      <c r="A2219" s="12">
        <v>2215.0</v>
      </c>
      <c r="B2219" s="13" t="s">
        <v>2025</v>
      </c>
      <c r="C2219" s="14" t="s">
        <v>2230</v>
      </c>
      <c r="D2219" s="1"/>
      <c r="E2219" s="1"/>
      <c r="F2219" s="1" t="str">
        <f>IFERROR(__xludf.DUMMYFUNCTION("GOOGLETRANSLATE(B2219, ""en"", ""fa"")
"),"بهره وری و مدیریت زمان")</f>
        <v>بهره وری و مدیریت زمان</v>
      </c>
      <c r="G2219" s="1" t="str">
        <f>IFERROR(__xludf.DUMMYFUNCTION("GOOGLETRANSLATE(C2219, ""en"", ""fa"")
"),"استراتژی هایی را برای ردیابی موثر پروژه و نظارت بر پیشرفت، از جمله استفاده از نرم افزار مدیریت پروژه یا ایجاد نمایش های بصری به اشتراک بگذارید.")</f>
        <v>استراتژی هایی را برای ردیابی موثر پروژه و نظارت بر پیشرفت، از جمله استفاده از نرم افزار مدیریت پروژه یا ایجاد نمایش های بصری به اشتراک بگذارید.</v>
      </c>
      <c r="H2219" s="1"/>
      <c r="I2219" s="1"/>
      <c r="J2219" s="1"/>
      <c r="K2219" s="1"/>
      <c r="L2219" s="1"/>
      <c r="M2219" s="1"/>
      <c r="N2219" s="1"/>
      <c r="O2219" s="1"/>
      <c r="P2219" s="1"/>
      <c r="Q2219" s="1"/>
      <c r="R2219" s="1"/>
      <c r="S2219" s="1"/>
      <c r="T2219" s="1"/>
      <c r="U2219" s="1"/>
      <c r="V2219" s="1"/>
      <c r="W2219" s="1"/>
      <c r="X2219" s="1"/>
      <c r="Y2219" s="1"/>
      <c r="Z2219" s="1"/>
      <c r="AA2219" s="1"/>
      <c r="AB2219" s="1"/>
    </row>
    <row r="2220" ht="50.25" customHeight="1">
      <c r="A2220" s="12">
        <v>2216.0</v>
      </c>
      <c r="B2220" s="13" t="s">
        <v>2025</v>
      </c>
      <c r="C2220" s="14" t="s">
        <v>2231</v>
      </c>
      <c r="D2220" s="1"/>
      <c r="E2220" s="1"/>
      <c r="F2220" s="1" t="str">
        <f>IFERROR(__xludf.DUMMYFUNCTION("GOOGLETRANSLATE(B2220, ""en"", ""fa"")
"),"بهره وری و مدیریت زمان")</f>
        <v>بهره وری و مدیریت زمان</v>
      </c>
      <c r="G2220" s="1" t="str">
        <f>IFERROR(__xludf.DUMMYFUNCTION("GOOGLETRANSLATE(C2220, ""en"", ""fa"")
"),"در مورد مزایای حفظ یک فضای کاری تمیز و سازمان یافته برای بهبود تمرکز و کارایی بحث کنید.")</f>
        <v>در مورد مزایای حفظ یک فضای کاری تمیز و سازمان یافته برای بهبود تمرکز و کارایی بحث کنید.</v>
      </c>
      <c r="H2220" s="1"/>
      <c r="I2220" s="1"/>
      <c r="J2220" s="1"/>
      <c r="K2220" s="1"/>
      <c r="L2220" s="1"/>
      <c r="M2220" s="1"/>
      <c r="N2220" s="1"/>
      <c r="O2220" s="1"/>
      <c r="P2220" s="1"/>
      <c r="Q2220" s="1"/>
      <c r="R2220" s="1"/>
      <c r="S2220" s="1"/>
      <c r="T2220" s="1"/>
      <c r="U2220" s="1"/>
      <c r="V2220" s="1"/>
      <c r="W2220" s="1"/>
      <c r="X2220" s="1"/>
      <c r="Y2220" s="1"/>
      <c r="Z2220" s="1"/>
      <c r="AA2220" s="1"/>
      <c r="AB2220" s="1"/>
    </row>
    <row r="2221" ht="50.25" customHeight="1">
      <c r="A2221" s="12">
        <v>2217.0</v>
      </c>
      <c r="B2221" s="13" t="s">
        <v>2025</v>
      </c>
      <c r="C2221" s="14" t="s">
        <v>2232</v>
      </c>
      <c r="D2221" s="1"/>
      <c r="E2221" s="1"/>
      <c r="F2221" s="1" t="str">
        <f>IFERROR(__xludf.DUMMYFUNCTION("GOOGLETRANSLATE(B2221, ""en"", ""fa"")
"),"بهره وری و مدیریت زمان")</f>
        <v>بهره وری و مدیریت زمان</v>
      </c>
      <c r="G2221" s="1" t="str">
        <f>IFERROR(__xludf.DUMMYFUNCTION("GOOGLETRANSLATE(C2221, ""en"", ""fa"")
"),"تکنیک‌هایی را برای مدیریت و کاهش حواس‌پرتی‌های دیجیتال، مانند استفاده از مسدودکننده‌های وب‌سایت یا تنظیم مناطق بدون دستگاه، کاوش کنید.")</f>
        <v>تکنیک‌هایی را برای مدیریت و کاهش حواس‌پرتی‌های دیجیتال، مانند استفاده از مسدودکننده‌های وب‌سایت یا تنظیم مناطق بدون دستگاه، کاوش کنید.</v>
      </c>
      <c r="H2221" s="1"/>
      <c r="I2221" s="1"/>
      <c r="J2221" s="1"/>
      <c r="K2221" s="1"/>
      <c r="L2221" s="1"/>
      <c r="M2221" s="1"/>
      <c r="N2221" s="1"/>
      <c r="O2221" s="1"/>
      <c r="P2221" s="1"/>
      <c r="Q2221" s="1"/>
      <c r="R2221" s="1"/>
      <c r="S2221" s="1"/>
      <c r="T2221" s="1"/>
      <c r="U2221" s="1"/>
      <c r="V2221" s="1"/>
      <c r="W2221" s="1"/>
      <c r="X2221" s="1"/>
      <c r="Y2221" s="1"/>
      <c r="Z2221" s="1"/>
      <c r="AA2221" s="1"/>
      <c r="AB2221" s="1"/>
    </row>
    <row r="2222" ht="50.25" customHeight="1">
      <c r="A2222" s="12">
        <v>2218.0</v>
      </c>
      <c r="B2222" s="13" t="s">
        <v>2233</v>
      </c>
      <c r="C2222" s="14" t="s">
        <v>2234</v>
      </c>
      <c r="D2222" s="1"/>
      <c r="E2222" s="1"/>
      <c r="F2222" s="1" t="str">
        <f>IFERROR(__xludf.DUMMYFUNCTION("GOOGLETRANSLATE(B2222, ""en"", ""fa"")
"),"کپی رایتینگ I")</f>
        <v>کپی رایتینگ I</v>
      </c>
      <c r="G2222" s="1" t="str">
        <f>IFERROR(__xludf.DUMMYFUNCTION("GOOGLETRANSLATE(C2222, ""en"", ""fa"")
"),"در مورد اهمیت درک مخاطبان هدف و تطبیق نسخه با نیازها و ترجیحات خاص آنها بحث کنید.")</f>
        <v>در مورد اهمیت درک مخاطبان هدف و تطبیق نسخه با نیازها و ترجیحات خاص آنها بحث کنید.</v>
      </c>
      <c r="H2222" s="1"/>
      <c r="I2222" s="1"/>
      <c r="J2222" s="1"/>
      <c r="K2222" s="1"/>
      <c r="L2222" s="1"/>
      <c r="M2222" s="1"/>
      <c r="N2222" s="1"/>
      <c r="O2222" s="1"/>
      <c r="P2222" s="1"/>
      <c r="Q2222" s="1"/>
      <c r="R2222" s="1"/>
      <c r="S2222" s="1"/>
      <c r="T2222" s="1"/>
      <c r="U2222" s="1"/>
      <c r="V2222" s="1"/>
      <c r="W2222" s="1"/>
      <c r="X2222" s="1"/>
      <c r="Y2222" s="1"/>
      <c r="Z2222" s="1"/>
      <c r="AA2222" s="1"/>
      <c r="AB2222" s="1"/>
    </row>
    <row r="2223" ht="50.25" customHeight="1">
      <c r="A2223" s="12">
        <v>2219.0</v>
      </c>
      <c r="B2223" s="13" t="s">
        <v>2233</v>
      </c>
      <c r="C2223" s="14" t="s">
        <v>2235</v>
      </c>
      <c r="D2223" s="1"/>
      <c r="E2223" s="1"/>
      <c r="F2223" s="1" t="str">
        <f>IFERROR(__xludf.DUMMYFUNCTION("GOOGLETRANSLATE(B2223, ""en"", ""fa"")
"),"کپی رایتینگ I")</f>
        <v>کپی رایتینگ I</v>
      </c>
      <c r="G2223" s="1" t="str">
        <f>IFERROR(__xludf.DUMMYFUNCTION("GOOGLETRANSLATE(C2223, ""en"", ""fa"")
"),"نکاتی را برای نوشتن سرفصل های جذاب به اشتراک بگذارید که خوانندگان را مجذوب خود کرده و آنها را مجبور به ادامه خواندن کند.")</f>
        <v>نکاتی را برای نوشتن سرفصل های جذاب به اشتراک بگذارید که خوانندگان را مجذوب خود کرده و آنها را مجبور به ادامه خواندن کند.</v>
      </c>
      <c r="H2223" s="1"/>
      <c r="I2223" s="1"/>
      <c r="J2223" s="1"/>
      <c r="K2223" s="1"/>
      <c r="L2223" s="1"/>
      <c r="M2223" s="1"/>
      <c r="N2223" s="1"/>
      <c r="O2223" s="1"/>
      <c r="P2223" s="1"/>
      <c r="Q2223" s="1"/>
      <c r="R2223" s="1"/>
      <c r="S2223" s="1"/>
      <c r="T2223" s="1"/>
      <c r="U2223" s="1"/>
      <c r="V2223" s="1"/>
      <c r="W2223" s="1"/>
      <c r="X2223" s="1"/>
      <c r="Y2223" s="1"/>
      <c r="Z2223" s="1"/>
      <c r="AA2223" s="1"/>
      <c r="AB2223" s="1"/>
    </row>
    <row r="2224" ht="50.25" customHeight="1">
      <c r="A2224" s="12">
        <v>2220.0</v>
      </c>
      <c r="B2224" s="13" t="s">
        <v>2233</v>
      </c>
      <c r="C2224" s="14" t="s">
        <v>2236</v>
      </c>
      <c r="D2224" s="1"/>
      <c r="E2224" s="1"/>
      <c r="F2224" s="1" t="str">
        <f>IFERROR(__xludf.DUMMYFUNCTION("GOOGLETRANSLATE(B2224, ""en"", ""fa"")
"),"کپی رایتینگ I")</f>
        <v>کپی رایتینگ I</v>
      </c>
      <c r="G2224" s="1" t="str">
        <f>IFERROR(__xludf.DUMMYFUNCTION("GOOGLETRANSLATE(C2224, ""en"", ""fa"")
"),"تکنیک های ترکیب عناصر داستان سرایی را در کپی رایتینگ برای ایجاد یک روایت جذاب و جذب مخاطب بررسی کنید.")</f>
        <v>تکنیک های ترکیب عناصر داستان سرایی را در کپی رایتینگ برای ایجاد یک روایت جذاب و جذب مخاطب بررسی کنید.</v>
      </c>
      <c r="H2224" s="1"/>
      <c r="I2224" s="1"/>
      <c r="J2224" s="1"/>
      <c r="K2224" s="1"/>
      <c r="L2224" s="1"/>
      <c r="M2224" s="1"/>
      <c r="N2224" s="1"/>
      <c r="O2224" s="1"/>
      <c r="P2224" s="1"/>
      <c r="Q2224" s="1"/>
      <c r="R2224" s="1"/>
      <c r="S2224" s="1"/>
      <c r="T2224" s="1"/>
      <c r="U2224" s="1"/>
      <c r="V2224" s="1"/>
      <c r="W2224" s="1"/>
      <c r="X2224" s="1"/>
      <c r="Y2224" s="1"/>
      <c r="Z2224" s="1"/>
      <c r="AA2224" s="1"/>
      <c r="AB2224" s="1"/>
    </row>
    <row r="2225" ht="50.25" customHeight="1">
      <c r="A2225" s="12">
        <v>2221.0</v>
      </c>
      <c r="B2225" s="13" t="s">
        <v>2233</v>
      </c>
      <c r="C2225" s="14" t="s">
        <v>2237</v>
      </c>
      <c r="D2225" s="1"/>
      <c r="E2225" s="1"/>
      <c r="F2225" s="1" t="str">
        <f>IFERROR(__xludf.DUMMYFUNCTION("GOOGLETRANSLATE(B2225, ""en"", ""fa"")
"),"کپی رایتینگ I")</f>
        <v>کپی رایتینگ I</v>
      </c>
      <c r="G2225" s="1" t="str">
        <f>IFERROR(__xludf.DUMMYFUNCTION("GOOGLETRANSLATE(C2225, ""en"", ""fa"")
"),"در مورد مزایای استفاده از زبان متقاعد کننده و جذابیت های احساسی برای هدایت اعمال و تبدیل های دلخواه بحث کنید.")</f>
        <v>در مورد مزایای استفاده از زبان متقاعد کننده و جذابیت های احساسی برای هدایت اعمال و تبدیل های دلخواه بحث کنید.</v>
      </c>
      <c r="H2225" s="1"/>
      <c r="I2225" s="1"/>
      <c r="J2225" s="1"/>
      <c r="K2225" s="1"/>
      <c r="L2225" s="1"/>
      <c r="M2225" s="1"/>
      <c r="N2225" s="1"/>
      <c r="O2225" s="1"/>
      <c r="P2225" s="1"/>
      <c r="Q2225" s="1"/>
      <c r="R2225" s="1"/>
      <c r="S2225" s="1"/>
      <c r="T2225" s="1"/>
      <c r="U2225" s="1"/>
      <c r="V2225" s="1"/>
      <c r="W2225" s="1"/>
      <c r="X2225" s="1"/>
      <c r="Y2225" s="1"/>
      <c r="Z2225" s="1"/>
      <c r="AA2225" s="1"/>
      <c r="AB2225" s="1"/>
    </row>
    <row r="2226" ht="50.25" customHeight="1">
      <c r="A2226" s="12">
        <v>2222.0</v>
      </c>
      <c r="B2226" s="13" t="s">
        <v>2233</v>
      </c>
      <c r="C2226" s="14" t="s">
        <v>2238</v>
      </c>
      <c r="D2226" s="1"/>
      <c r="E2226" s="1"/>
      <c r="F2226" s="1" t="str">
        <f>IFERROR(__xludf.DUMMYFUNCTION("GOOGLETRANSLATE(B2226, ""en"", ""fa"")
"),"کپی رایتینگ I")</f>
        <v>کپی رایتینگ I</v>
      </c>
      <c r="G2226" s="1" t="str">
        <f>IFERROR(__xludf.DUMMYFUNCTION("GOOGLETRANSLATE(C2226, ""en"", ""fa"")
"),"استراتژی هایی برای نوشتن توضیحات محصول موثر که ویژگی های کلیدی، مزایا و نقاط فروش منحصر به فرد را برجسته می کند، به اشتراک بگذارید.")</f>
        <v>استراتژی هایی برای نوشتن توضیحات محصول موثر که ویژگی های کلیدی، مزایا و نقاط فروش منحصر به فرد را برجسته می کند، به اشتراک بگذارید.</v>
      </c>
      <c r="H2226" s="1"/>
      <c r="I2226" s="1"/>
      <c r="J2226" s="1"/>
      <c r="K2226" s="1"/>
      <c r="L2226" s="1"/>
      <c r="M2226" s="1"/>
      <c r="N2226" s="1"/>
      <c r="O2226" s="1"/>
      <c r="P2226" s="1"/>
      <c r="Q2226" s="1"/>
      <c r="R2226" s="1"/>
      <c r="S2226" s="1"/>
      <c r="T2226" s="1"/>
      <c r="U2226" s="1"/>
      <c r="V2226" s="1"/>
      <c r="W2226" s="1"/>
      <c r="X2226" s="1"/>
      <c r="Y2226" s="1"/>
      <c r="Z2226" s="1"/>
      <c r="AA2226" s="1"/>
      <c r="AB2226" s="1"/>
    </row>
    <row r="2227" ht="50.25" customHeight="1">
      <c r="A2227" s="12">
        <v>2223.0</v>
      </c>
      <c r="B2227" s="13" t="s">
        <v>2233</v>
      </c>
      <c r="C2227" s="14" t="s">
        <v>2239</v>
      </c>
      <c r="D2227" s="1"/>
      <c r="E2227" s="1"/>
      <c r="F2227" s="1" t="str">
        <f>IFERROR(__xludf.DUMMYFUNCTION("GOOGLETRANSLATE(B2227, ""en"", ""fa"")
"),"کپی رایتینگ I")</f>
        <v>کپی رایتینگ I</v>
      </c>
      <c r="G2227" s="1" t="str">
        <f>IFERROR(__xludf.DUMMYFUNCTION("GOOGLETRANSLATE(C2227, ""en"", ""fa"")
"),"برای اطمینان از وضوح و خوانایی، روش‌های مختلف را برای ساختاردهی و سازماندهی کپی کاوش کنید.")</f>
        <v>برای اطمینان از وضوح و خوانایی، روش‌های مختلف را برای ساختاردهی و سازماندهی کپی کاوش کنید.</v>
      </c>
      <c r="H2227" s="1"/>
      <c r="I2227" s="1"/>
      <c r="J2227" s="1"/>
      <c r="K2227" s="1"/>
      <c r="L2227" s="1"/>
      <c r="M2227" s="1"/>
      <c r="N2227" s="1"/>
      <c r="O2227" s="1"/>
      <c r="P2227" s="1"/>
      <c r="Q2227" s="1"/>
      <c r="R2227" s="1"/>
      <c r="S2227" s="1"/>
      <c r="T2227" s="1"/>
      <c r="U2227" s="1"/>
      <c r="V2227" s="1"/>
      <c r="W2227" s="1"/>
      <c r="X2227" s="1"/>
      <c r="Y2227" s="1"/>
      <c r="Z2227" s="1"/>
      <c r="AA2227" s="1"/>
      <c r="AB2227" s="1"/>
    </row>
    <row r="2228" ht="50.25" customHeight="1">
      <c r="A2228" s="12">
        <v>2224.0</v>
      </c>
      <c r="B2228" s="13" t="s">
        <v>2233</v>
      </c>
      <c r="C2228" s="14" t="s">
        <v>2240</v>
      </c>
      <c r="D2228" s="1"/>
      <c r="E2228" s="1"/>
      <c r="F2228" s="1" t="str">
        <f>IFERROR(__xludf.DUMMYFUNCTION("GOOGLETRANSLATE(B2228, ""en"", ""fa"")
"),"کپی رایتینگ I")</f>
        <v>کپی رایتینگ I</v>
      </c>
      <c r="G2228" s="1" t="str">
        <f>IFERROR(__xludf.DUMMYFUNCTION("GOOGLETRANSLATE(C2228, ""en"", ""fa"")
"),"درباره اهمیت انجام تحقیقات کامل برای جمع‌آوری اطلاعات و بینش‌های مرتبط برای کپی‌نویسی تاثیرگذار بحث کنید.")</f>
        <v>درباره اهمیت انجام تحقیقات کامل برای جمع‌آوری اطلاعات و بینش‌های مرتبط برای کپی‌نویسی تاثیرگذار بحث کنید.</v>
      </c>
      <c r="H2228" s="1"/>
      <c r="I2228" s="1"/>
      <c r="J2228" s="1"/>
      <c r="K2228" s="1"/>
      <c r="L2228" s="1"/>
      <c r="M2228" s="1"/>
      <c r="N2228" s="1"/>
      <c r="O2228" s="1"/>
      <c r="P2228" s="1"/>
      <c r="Q2228" s="1"/>
      <c r="R2228" s="1"/>
      <c r="S2228" s="1"/>
      <c r="T2228" s="1"/>
      <c r="U2228" s="1"/>
      <c r="V2228" s="1"/>
      <c r="W2228" s="1"/>
      <c r="X2228" s="1"/>
      <c r="Y2228" s="1"/>
      <c r="Z2228" s="1"/>
      <c r="AA2228" s="1"/>
      <c r="AB2228" s="1"/>
    </row>
    <row r="2229" ht="50.25" customHeight="1">
      <c r="A2229" s="12">
        <v>2225.0</v>
      </c>
      <c r="B2229" s="13" t="s">
        <v>2233</v>
      </c>
      <c r="C2229" s="14" t="s">
        <v>2241</v>
      </c>
      <c r="D2229" s="1"/>
      <c r="E2229" s="1"/>
      <c r="F2229" s="1" t="str">
        <f>IFERROR(__xludf.DUMMYFUNCTION("GOOGLETRANSLATE(B2229, ""en"", ""fa"")
"),"کپی رایتینگ I")</f>
        <v>کپی رایتینگ I</v>
      </c>
      <c r="G2229" s="1" t="str">
        <f>IFERROR(__xludf.DUMMYFUNCTION("GOOGLETRANSLATE(C2229, ""en"", ""fa"")
"),"نکاتی را برای ایجاد دعوت به اقدام قانع کننده که خوانندگان را برای انجام اقدام دلخواه ترغیب می کند، به اشتراک بگذارید.")</f>
        <v>نکاتی را برای ایجاد دعوت به اقدام قانع کننده که خوانندگان را برای انجام اقدام دلخواه ترغیب می کند، به اشتراک بگذارید.</v>
      </c>
      <c r="H2229" s="1"/>
      <c r="I2229" s="1"/>
      <c r="J2229" s="1"/>
      <c r="K2229" s="1"/>
      <c r="L2229" s="1"/>
      <c r="M2229" s="1"/>
      <c r="N2229" s="1"/>
      <c r="O2229" s="1"/>
      <c r="P2229" s="1"/>
      <c r="Q2229" s="1"/>
      <c r="R2229" s="1"/>
      <c r="S2229" s="1"/>
      <c r="T2229" s="1"/>
      <c r="U2229" s="1"/>
      <c r="V2229" s="1"/>
      <c r="W2229" s="1"/>
      <c r="X2229" s="1"/>
      <c r="Y2229" s="1"/>
      <c r="Z2229" s="1"/>
      <c r="AA2229" s="1"/>
      <c r="AB2229" s="1"/>
    </row>
    <row r="2230" ht="50.25" customHeight="1">
      <c r="A2230" s="12">
        <v>2226.0</v>
      </c>
      <c r="B2230" s="13" t="s">
        <v>2233</v>
      </c>
      <c r="C2230" s="14" t="s">
        <v>2242</v>
      </c>
      <c r="D2230" s="1"/>
      <c r="E2230" s="1"/>
      <c r="F2230" s="1" t="str">
        <f>IFERROR(__xludf.DUMMYFUNCTION("GOOGLETRANSLATE(B2230, ""en"", ""fa"")
"),"کپی رایتینگ I")</f>
        <v>کپی رایتینگ I</v>
      </c>
      <c r="G2230" s="1" t="str">
        <f>IFERROR(__xludf.DUMMYFUNCTION("GOOGLETRANSLATE(C2230, ""en"", ""fa"")
"),"تکنیک‌هایی را برای ایجاد پاراگراف‌های آغازین جذاب که خوانندگان را جذب می‌کند و آنها را تشویق به خواندن بیشتر می‌کند، کاوش کنید.")</f>
        <v>تکنیک‌هایی را برای ایجاد پاراگراف‌های آغازین جذاب که خوانندگان را جذب می‌کند و آنها را تشویق به خواندن بیشتر می‌کند، کاوش کنید.</v>
      </c>
      <c r="H2230" s="1"/>
      <c r="I2230" s="1"/>
      <c r="J2230" s="1"/>
      <c r="K2230" s="1"/>
      <c r="L2230" s="1"/>
      <c r="M2230" s="1"/>
      <c r="N2230" s="1"/>
      <c r="O2230" s="1"/>
      <c r="P2230" s="1"/>
      <c r="Q2230" s="1"/>
      <c r="R2230" s="1"/>
      <c r="S2230" s="1"/>
      <c r="T2230" s="1"/>
      <c r="U2230" s="1"/>
      <c r="V2230" s="1"/>
      <c r="W2230" s="1"/>
      <c r="X2230" s="1"/>
      <c r="Y2230" s="1"/>
      <c r="Z2230" s="1"/>
      <c r="AA2230" s="1"/>
      <c r="AB2230" s="1"/>
    </row>
    <row r="2231" ht="50.25" customHeight="1">
      <c r="A2231" s="12">
        <v>2227.0</v>
      </c>
      <c r="B2231" s="13" t="s">
        <v>2233</v>
      </c>
      <c r="C2231" s="14" t="s">
        <v>2243</v>
      </c>
      <c r="D2231" s="1"/>
      <c r="E2231" s="1"/>
      <c r="F2231" s="1" t="str">
        <f>IFERROR(__xludf.DUMMYFUNCTION("GOOGLETRANSLATE(B2231, ""en"", ""fa"")
"),"کپی رایتینگ I")</f>
        <v>کپی رایتینگ I</v>
      </c>
      <c r="G2231" s="1" t="str">
        <f>IFERROR(__xludf.DUMMYFUNCTION("GOOGLETRANSLATE(C2231, ""en"", ""fa"")
"),"در مورد مزایای استفاده از توصیفات مشتری و اثبات اجتماعی در کپی رایتینگ برای ایجاد اعتبار و اعتماد بحث کنید.")</f>
        <v>در مورد مزایای استفاده از توصیفات مشتری و اثبات اجتماعی در کپی رایتینگ برای ایجاد اعتبار و اعتماد بحث کنید.</v>
      </c>
      <c r="H2231" s="1"/>
      <c r="I2231" s="1"/>
      <c r="J2231" s="1"/>
      <c r="K2231" s="1"/>
      <c r="L2231" s="1"/>
      <c r="M2231" s="1"/>
      <c r="N2231" s="1"/>
      <c r="O2231" s="1"/>
      <c r="P2231" s="1"/>
      <c r="Q2231" s="1"/>
      <c r="R2231" s="1"/>
      <c r="S2231" s="1"/>
      <c r="T2231" s="1"/>
      <c r="U2231" s="1"/>
      <c r="V2231" s="1"/>
      <c r="W2231" s="1"/>
      <c r="X2231" s="1"/>
      <c r="Y2231" s="1"/>
      <c r="Z2231" s="1"/>
      <c r="AA2231" s="1"/>
      <c r="AB2231" s="1"/>
    </row>
    <row r="2232" ht="50.25" customHeight="1">
      <c r="A2232" s="12">
        <v>2228.0</v>
      </c>
      <c r="B2232" s="13" t="s">
        <v>2233</v>
      </c>
      <c r="C2232" s="14" t="s">
        <v>2244</v>
      </c>
      <c r="D2232" s="1"/>
      <c r="E2232" s="1"/>
      <c r="F2232" s="1" t="str">
        <f>IFERROR(__xludf.DUMMYFUNCTION("GOOGLETRANSLATE(B2232, ""en"", ""fa"")
"),"کپی رایتینگ I")</f>
        <v>کپی رایتینگ I</v>
      </c>
      <c r="G2232" s="1" t="str">
        <f>IFERROR(__xludf.DUMMYFUNCTION("GOOGLETRANSLATE(C2232, ""en"", ""fa"")
"),"استراتژی‌هایی را برای ترکیب کلمات کلیدی و بهینه‌سازی کپی برای مشاهده موتورهای جستجو به اشتراک بگذارید.")</f>
        <v>استراتژی‌هایی را برای ترکیب کلمات کلیدی و بهینه‌سازی کپی برای مشاهده موتورهای جستجو به اشتراک بگذارید.</v>
      </c>
      <c r="H2232" s="1"/>
      <c r="I2232" s="1"/>
      <c r="J2232" s="1"/>
      <c r="K2232" s="1"/>
      <c r="L2232" s="1"/>
      <c r="M2232" s="1"/>
      <c r="N2232" s="1"/>
      <c r="O2232" s="1"/>
      <c r="P2232" s="1"/>
      <c r="Q2232" s="1"/>
      <c r="R2232" s="1"/>
      <c r="S2232" s="1"/>
      <c r="T2232" s="1"/>
      <c r="U2232" s="1"/>
      <c r="V2232" s="1"/>
      <c r="W2232" s="1"/>
      <c r="X2232" s="1"/>
      <c r="Y2232" s="1"/>
      <c r="Z2232" s="1"/>
      <c r="AA2232" s="1"/>
      <c r="AB2232" s="1"/>
    </row>
    <row r="2233" ht="50.25" customHeight="1">
      <c r="A2233" s="12">
        <v>2229.0</v>
      </c>
      <c r="B2233" s="13" t="s">
        <v>2233</v>
      </c>
      <c r="C2233" s="14" t="s">
        <v>2245</v>
      </c>
      <c r="D2233" s="1"/>
      <c r="E2233" s="1"/>
      <c r="F2233" s="1" t="str">
        <f>IFERROR(__xludf.DUMMYFUNCTION("GOOGLETRANSLATE(B2233, ""en"", ""fa"")
"),"کپی رایتینگ I")</f>
        <v>کپی رایتینگ I</v>
      </c>
      <c r="G2233" s="1" t="str">
        <f>IFERROR(__xludf.DUMMYFUNCTION("GOOGLETRANSLATE(C2233, ""en"", ""fa"")
"),"روش‌های مختلف را برای نوشتن نامه‌های فروش متقاعدکننده و ایمیل‌هایی که باعث ایجاد تبدیل می‌شوند، کاوش کنید.")</f>
        <v>روش‌های مختلف را برای نوشتن نامه‌های فروش متقاعدکننده و ایمیل‌هایی که باعث ایجاد تبدیل می‌شوند، کاوش کنید.</v>
      </c>
      <c r="H2233" s="1"/>
      <c r="I2233" s="1"/>
      <c r="J2233" s="1"/>
      <c r="K2233" s="1"/>
      <c r="L2233" s="1"/>
      <c r="M2233" s="1"/>
      <c r="N2233" s="1"/>
      <c r="O2233" s="1"/>
      <c r="P2233" s="1"/>
      <c r="Q2233" s="1"/>
      <c r="R2233" s="1"/>
      <c r="S2233" s="1"/>
      <c r="T2233" s="1"/>
      <c r="U2233" s="1"/>
      <c r="V2233" s="1"/>
      <c r="W2233" s="1"/>
      <c r="X2233" s="1"/>
      <c r="Y2233" s="1"/>
      <c r="Z2233" s="1"/>
      <c r="AA2233" s="1"/>
      <c r="AB2233" s="1"/>
    </row>
    <row r="2234" ht="50.25" customHeight="1">
      <c r="A2234" s="12">
        <v>2230.0</v>
      </c>
      <c r="B2234" s="13" t="s">
        <v>2233</v>
      </c>
      <c r="C2234" s="14" t="s">
        <v>2246</v>
      </c>
      <c r="D2234" s="1"/>
      <c r="E2234" s="1"/>
      <c r="F2234" s="1" t="str">
        <f>IFERROR(__xludf.DUMMYFUNCTION("GOOGLETRANSLATE(B2234, ""en"", ""fa"")
"),"کپی رایتینگ I")</f>
        <v>کپی رایتینگ I</v>
      </c>
      <c r="G2234" s="1" t="str">
        <f>IFERROR(__xludf.DUMMYFUNCTION("GOOGLETRANSLATE(C2234, ""en"", ""fa"")
"),"در مورد اهمیت استفاده از زبان واضح و مختصر در کپی رایتینگ برای برقراری ارتباط موثر پیام ها بحث کنید.")</f>
        <v>در مورد اهمیت استفاده از زبان واضح و مختصر در کپی رایتینگ برای برقراری ارتباط موثر پیام ها بحث کنید.</v>
      </c>
      <c r="H2234" s="1"/>
      <c r="I2234" s="1"/>
      <c r="J2234" s="1"/>
      <c r="K2234" s="1"/>
      <c r="L2234" s="1"/>
      <c r="M2234" s="1"/>
      <c r="N2234" s="1"/>
      <c r="O2234" s="1"/>
      <c r="P2234" s="1"/>
      <c r="Q2234" s="1"/>
      <c r="R2234" s="1"/>
      <c r="S2234" s="1"/>
      <c r="T2234" s="1"/>
      <c r="U2234" s="1"/>
      <c r="V2234" s="1"/>
      <c r="W2234" s="1"/>
      <c r="X2234" s="1"/>
      <c r="Y2234" s="1"/>
      <c r="Z2234" s="1"/>
      <c r="AA2234" s="1"/>
      <c r="AB2234" s="1"/>
    </row>
    <row r="2235" ht="50.25" customHeight="1">
      <c r="A2235" s="12">
        <v>2231.0</v>
      </c>
      <c r="B2235" s="13" t="s">
        <v>2233</v>
      </c>
      <c r="C2235" s="14" t="s">
        <v>2247</v>
      </c>
      <c r="D2235" s="1"/>
      <c r="E2235" s="1"/>
      <c r="F2235" s="1" t="str">
        <f>IFERROR(__xludf.DUMMYFUNCTION("GOOGLETRANSLATE(B2235, ""en"", ""fa"")
"),"کپی رایتینگ I")</f>
        <v>کپی رایتینگ I</v>
      </c>
      <c r="G2235" s="1" t="str">
        <f>IFERROR(__xludf.DUMMYFUNCTION("GOOGLETRANSLATE(C2235, ""en"", ""fa"")
"),"نکاتی را برای نوشتن پست های وبلاگ جذاب و آموزنده که برای خوانندگان ارزش ایجاد می کند، به اشتراک بگذارید.")</f>
        <v>نکاتی را برای نوشتن پست های وبلاگ جذاب و آموزنده که برای خوانندگان ارزش ایجاد می کند، به اشتراک بگذارید.</v>
      </c>
      <c r="H2235" s="1"/>
      <c r="I2235" s="1"/>
      <c r="J2235" s="1"/>
      <c r="K2235" s="1"/>
      <c r="L2235" s="1"/>
      <c r="M2235" s="1"/>
      <c r="N2235" s="1"/>
      <c r="O2235" s="1"/>
      <c r="P2235" s="1"/>
      <c r="Q2235" s="1"/>
      <c r="R2235" s="1"/>
      <c r="S2235" s="1"/>
      <c r="T2235" s="1"/>
      <c r="U2235" s="1"/>
      <c r="V2235" s="1"/>
      <c r="W2235" s="1"/>
      <c r="X2235" s="1"/>
      <c r="Y2235" s="1"/>
      <c r="Z2235" s="1"/>
      <c r="AA2235" s="1"/>
      <c r="AB2235" s="1"/>
    </row>
    <row r="2236" ht="50.25" customHeight="1">
      <c r="A2236" s="12">
        <v>2232.0</v>
      </c>
      <c r="B2236" s="13" t="s">
        <v>2233</v>
      </c>
      <c r="C2236" s="14" t="s">
        <v>2248</v>
      </c>
      <c r="D2236" s="1"/>
      <c r="E2236" s="1"/>
      <c r="F2236" s="1" t="str">
        <f>IFERROR(__xludf.DUMMYFUNCTION("GOOGLETRANSLATE(B2236, ""en"", ""fa"")
"),"کپی رایتینگ I")</f>
        <v>کپی رایتینگ I</v>
      </c>
      <c r="G2236" s="1" t="str">
        <f>IFERROR(__xludf.DUMMYFUNCTION("GOOGLETRANSLATE(C2236, ""en"", ""fa"")
"),"تکنیک هایی را برای ایجاد صفحات فرود مؤثر که بازدیدکنندگان را تشویق به انجام یک اقدام خاص می کند، کاوش کنید.")</f>
        <v>تکنیک هایی را برای ایجاد صفحات فرود مؤثر که بازدیدکنندگان را تشویق به انجام یک اقدام خاص می کند، کاوش کنید.</v>
      </c>
      <c r="H2236" s="1"/>
      <c r="I2236" s="1"/>
      <c r="J2236" s="1"/>
      <c r="K2236" s="1"/>
      <c r="L2236" s="1"/>
      <c r="M2236" s="1"/>
      <c r="N2236" s="1"/>
      <c r="O2236" s="1"/>
      <c r="P2236" s="1"/>
      <c r="Q2236" s="1"/>
      <c r="R2236" s="1"/>
      <c r="S2236" s="1"/>
      <c r="T2236" s="1"/>
      <c r="U2236" s="1"/>
      <c r="V2236" s="1"/>
      <c r="W2236" s="1"/>
      <c r="X2236" s="1"/>
      <c r="Y2236" s="1"/>
      <c r="Z2236" s="1"/>
      <c r="AA2236" s="1"/>
      <c r="AB2236" s="1"/>
    </row>
    <row r="2237" ht="50.25" customHeight="1">
      <c r="A2237" s="12">
        <v>2233.0</v>
      </c>
      <c r="B2237" s="13" t="s">
        <v>2233</v>
      </c>
      <c r="C2237" s="14" t="s">
        <v>2249</v>
      </c>
      <c r="D2237" s="1"/>
      <c r="E2237" s="1"/>
      <c r="F2237" s="1" t="str">
        <f>IFERROR(__xludf.DUMMYFUNCTION("GOOGLETRANSLATE(B2237, ""en"", ""fa"")
"),"کپی رایتینگ I")</f>
        <v>کپی رایتینگ I</v>
      </c>
      <c r="G2237" s="1" t="str">
        <f>IFERROR(__xludf.DUMMYFUNCTION("GOOGLETRANSLATE(C2237, ""en"", ""fa"")
"),"در مورد مزایای ایجاد یک صدا و لحن منحصر به فرد برند در کپی رایتینگ برای متمایز شدن از رقبا بحث کنید.")</f>
        <v>در مورد مزایای ایجاد یک صدا و لحن منحصر به فرد برند در کپی رایتینگ برای متمایز شدن از رقبا بحث کنید.</v>
      </c>
      <c r="H2237" s="1"/>
      <c r="I2237" s="1"/>
      <c r="J2237" s="1"/>
      <c r="K2237" s="1"/>
      <c r="L2237" s="1"/>
      <c r="M2237" s="1"/>
      <c r="N2237" s="1"/>
      <c r="O2237" s="1"/>
      <c r="P2237" s="1"/>
      <c r="Q2237" s="1"/>
      <c r="R2237" s="1"/>
      <c r="S2237" s="1"/>
      <c r="T2237" s="1"/>
      <c r="U2237" s="1"/>
      <c r="V2237" s="1"/>
      <c r="W2237" s="1"/>
      <c r="X2237" s="1"/>
      <c r="Y2237" s="1"/>
      <c r="Z2237" s="1"/>
      <c r="AA2237" s="1"/>
      <c r="AB2237" s="1"/>
    </row>
    <row r="2238" ht="50.25" customHeight="1">
      <c r="A2238" s="12">
        <v>2234.0</v>
      </c>
      <c r="B2238" s="13" t="s">
        <v>2233</v>
      </c>
      <c r="C2238" s="14" t="s">
        <v>2250</v>
      </c>
      <c r="D2238" s="1"/>
      <c r="E2238" s="1"/>
      <c r="F2238" s="1" t="str">
        <f>IFERROR(__xludf.DUMMYFUNCTION("GOOGLETRANSLATE(B2238, ""en"", ""fa"")
"),"کپی رایتینگ I")</f>
        <v>کپی رایتینگ I</v>
      </c>
      <c r="G2238" s="1" t="str">
        <f>IFERROR(__xludf.DUMMYFUNCTION("GOOGLETRANSLATE(C2238, ""en"", ""fa"")
"),"استراتژی‌هایی برای نوشتن سرفصل‌ها و موضوعات قانع‌کننده که نرخ باز و نرخ کلیک را افزایش می‌دهد را به اشتراک بگذارید.")</f>
        <v>استراتژی‌هایی برای نوشتن سرفصل‌ها و موضوعات قانع‌کننده که نرخ باز و نرخ کلیک را افزایش می‌دهد را به اشتراک بگذارید.</v>
      </c>
      <c r="H2238" s="1"/>
      <c r="I2238" s="1"/>
      <c r="J2238" s="1"/>
      <c r="K2238" s="1"/>
      <c r="L2238" s="1"/>
      <c r="M2238" s="1"/>
      <c r="N2238" s="1"/>
      <c r="O2238" s="1"/>
      <c r="P2238" s="1"/>
      <c r="Q2238" s="1"/>
      <c r="R2238" s="1"/>
      <c r="S2238" s="1"/>
      <c r="T2238" s="1"/>
      <c r="U2238" s="1"/>
      <c r="V2238" s="1"/>
      <c r="W2238" s="1"/>
      <c r="X2238" s="1"/>
      <c r="Y2238" s="1"/>
      <c r="Z2238" s="1"/>
      <c r="AA2238" s="1"/>
      <c r="AB2238" s="1"/>
    </row>
    <row r="2239" ht="50.25" customHeight="1">
      <c r="A2239" s="12">
        <v>2235.0</v>
      </c>
      <c r="B2239" s="13" t="s">
        <v>2233</v>
      </c>
      <c r="C2239" s="14" t="s">
        <v>2251</v>
      </c>
      <c r="D2239" s="1"/>
      <c r="E2239" s="1"/>
      <c r="F2239" s="1" t="str">
        <f>IFERROR(__xludf.DUMMYFUNCTION("GOOGLETRANSLATE(B2239, ""en"", ""fa"")
"),"کپی رایتینگ I")</f>
        <v>کپی رایتینگ I</v>
      </c>
      <c r="G2239" s="1" t="str">
        <f>IFERROR(__xludf.DUMMYFUNCTION("GOOGLETRANSLATE(C2239, ""en"", ""fa"")
"),"روش های مختلف برای غلبه بر مخالفت ها و رسیدگی به نگرانی های رایج در کپی رایتینگ را بررسی کنید.")</f>
        <v>روش های مختلف برای غلبه بر مخالفت ها و رسیدگی به نگرانی های رایج در کپی رایتینگ را بررسی کنید.</v>
      </c>
      <c r="H2239" s="1"/>
      <c r="I2239" s="1"/>
      <c r="J2239" s="1"/>
      <c r="K2239" s="1"/>
      <c r="L2239" s="1"/>
      <c r="M2239" s="1"/>
      <c r="N2239" s="1"/>
      <c r="O2239" s="1"/>
      <c r="P2239" s="1"/>
      <c r="Q2239" s="1"/>
      <c r="R2239" s="1"/>
      <c r="S2239" s="1"/>
      <c r="T2239" s="1"/>
      <c r="U2239" s="1"/>
      <c r="V2239" s="1"/>
      <c r="W2239" s="1"/>
      <c r="X2239" s="1"/>
      <c r="Y2239" s="1"/>
      <c r="Z2239" s="1"/>
      <c r="AA2239" s="1"/>
      <c r="AB2239" s="1"/>
    </row>
    <row r="2240" ht="50.25" customHeight="1">
      <c r="A2240" s="12">
        <v>2236.0</v>
      </c>
      <c r="B2240" s="13" t="s">
        <v>2233</v>
      </c>
      <c r="C2240" s="14" t="s">
        <v>2252</v>
      </c>
      <c r="D2240" s="1"/>
      <c r="E2240" s="1"/>
      <c r="F2240" s="1" t="str">
        <f>IFERROR(__xludf.DUMMYFUNCTION("GOOGLETRANSLATE(B2240, ""en"", ""fa"")
"),"کپی رایتینگ I")</f>
        <v>کپی رایتینگ I</v>
      </c>
      <c r="G2240" s="1" t="str">
        <f>IFERROR(__xludf.DUMMYFUNCTION("GOOGLETRANSLATE(C2240, ""en"", ""fa"")
"),"در مورد اهمیت تصحیح و ویرایش نسخه برای اطمینان از دقت، وضوح و انسجام بحث کنید.")</f>
        <v>در مورد اهمیت تصحیح و ویرایش نسخه برای اطمینان از دقت، وضوح و انسجام بحث کنید.</v>
      </c>
      <c r="H2240" s="1"/>
      <c r="I2240" s="1"/>
      <c r="J2240" s="1"/>
      <c r="K2240" s="1"/>
      <c r="L2240" s="1"/>
      <c r="M2240" s="1"/>
      <c r="N2240" s="1"/>
      <c r="O2240" s="1"/>
      <c r="P2240" s="1"/>
      <c r="Q2240" s="1"/>
      <c r="R2240" s="1"/>
      <c r="S2240" s="1"/>
      <c r="T2240" s="1"/>
      <c r="U2240" s="1"/>
      <c r="V2240" s="1"/>
      <c r="W2240" s="1"/>
      <c r="X2240" s="1"/>
      <c r="Y2240" s="1"/>
      <c r="Z2240" s="1"/>
      <c r="AA2240" s="1"/>
      <c r="AB2240" s="1"/>
    </row>
    <row r="2241" ht="50.25" customHeight="1">
      <c r="A2241" s="12">
        <v>2237.0</v>
      </c>
      <c r="B2241" s="13" t="s">
        <v>2233</v>
      </c>
      <c r="C2241" s="14" t="s">
        <v>2253</v>
      </c>
      <c r="D2241" s="1"/>
      <c r="E2241" s="1"/>
      <c r="F2241" s="1" t="str">
        <f>IFERROR(__xludf.DUMMYFUNCTION("GOOGLETRANSLATE(B2241, ""en"", ""fa"")
"),"کپی رایتینگ I")</f>
        <v>کپی رایتینگ I</v>
      </c>
      <c r="G2241" s="1" t="str">
        <f>IFERROR(__xludf.DUMMYFUNCTION("GOOGLETRANSLATE(C2241, ""en"", ""fa"")
"),"نکاتی را برای نوشتن کپی رسانه های اجتماعی متقاعد کننده که باعث تعامل و تبدیل می شود به اشتراک بگذارید.")</f>
        <v>نکاتی را برای نوشتن کپی رسانه های اجتماعی متقاعد کننده که باعث تعامل و تبدیل می شود به اشتراک بگذارید.</v>
      </c>
      <c r="H2241" s="1"/>
      <c r="I2241" s="1"/>
      <c r="J2241" s="1"/>
      <c r="K2241" s="1"/>
      <c r="L2241" s="1"/>
      <c r="M2241" s="1"/>
      <c r="N2241" s="1"/>
      <c r="O2241" s="1"/>
      <c r="P2241" s="1"/>
      <c r="Q2241" s="1"/>
      <c r="R2241" s="1"/>
      <c r="S2241" s="1"/>
      <c r="T2241" s="1"/>
      <c r="U2241" s="1"/>
      <c r="V2241" s="1"/>
      <c r="W2241" s="1"/>
      <c r="X2241" s="1"/>
      <c r="Y2241" s="1"/>
      <c r="Z2241" s="1"/>
      <c r="AA2241" s="1"/>
      <c r="AB2241" s="1"/>
    </row>
    <row r="2242" ht="50.25" customHeight="1">
      <c r="A2242" s="12">
        <v>2238.0</v>
      </c>
      <c r="B2242" s="13" t="s">
        <v>2233</v>
      </c>
      <c r="C2242" s="14" t="s">
        <v>2254</v>
      </c>
      <c r="D2242" s="1"/>
      <c r="E2242" s="1"/>
      <c r="F2242" s="1" t="str">
        <f>IFERROR(__xludf.DUMMYFUNCTION("GOOGLETRANSLATE(B2242, ""en"", ""fa"")
"),"کپی رایتینگ I")</f>
        <v>کپی رایتینگ I</v>
      </c>
      <c r="G2242" s="1" t="str">
        <f>IFERROR(__xludf.DUMMYFUNCTION("GOOGLETRANSLATE(C2242, ""en"", ""fa"")
"),"تکنیک‌هایی را برای ایجاد یک کپی از وب‌سایت مؤثر که ارزش‌های برند را به اشتراک می‌گذارد و اعتماد ایجاد می‌کند، کاوش کنید.")</f>
        <v>تکنیک‌هایی را برای ایجاد یک کپی از وب‌سایت مؤثر که ارزش‌های برند را به اشتراک می‌گذارد و اعتماد ایجاد می‌کند، کاوش کنید.</v>
      </c>
      <c r="H2242" s="1"/>
      <c r="I2242" s="1"/>
      <c r="J2242" s="1"/>
      <c r="K2242" s="1"/>
      <c r="L2242" s="1"/>
      <c r="M2242" s="1"/>
      <c r="N2242" s="1"/>
      <c r="O2242" s="1"/>
      <c r="P2242" s="1"/>
      <c r="Q2242" s="1"/>
      <c r="R2242" s="1"/>
      <c r="S2242" s="1"/>
      <c r="T2242" s="1"/>
      <c r="U2242" s="1"/>
      <c r="V2242" s="1"/>
      <c r="W2242" s="1"/>
      <c r="X2242" s="1"/>
      <c r="Y2242" s="1"/>
      <c r="Z2242" s="1"/>
      <c r="AA2242" s="1"/>
      <c r="AB2242" s="1"/>
    </row>
    <row r="2243" ht="50.25" customHeight="1">
      <c r="A2243" s="12">
        <v>2239.0</v>
      </c>
      <c r="B2243" s="13" t="s">
        <v>2233</v>
      </c>
      <c r="C2243" s="14" t="s">
        <v>2255</v>
      </c>
      <c r="D2243" s="1"/>
      <c r="E2243" s="1"/>
      <c r="F2243" s="1" t="str">
        <f>IFERROR(__xludf.DUMMYFUNCTION("GOOGLETRANSLATE(B2243, ""en"", ""fa"")
"),"کپی رایتینگ I")</f>
        <v>کپی رایتینگ I</v>
      </c>
      <c r="G2243" s="1" t="str">
        <f>IFERROR(__xludf.DUMMYFUNCTION("GOOGLETRANSLATE(C2243, ""en"", ""fa"")
"),"در مورد مزایای استفاده از تکنیک های داستان سرایی در کپی رایتینگ برای ایجاد ارتباط عاطفی با مخاطب بحث کنید.")</f>
        <v>در مورد مزایای استفاده از تکنیک های داستان سرایی در کپی رایتینگ برای ایجاد ارتباط عاطفی با مخاطب بحث کنید.</v>
      </c>
      <c r="H2243" s="1"/>
      <c r="I2243" s="1"/>
      <c r="J2243" s="1"/>
      <c r="K2243" s="1"/>
      <c r="L2243" s="1"/>
      <c r="M2243" s="1"/>
      <c r="N2243" s="1"/>
      <c r="O2243" s="1"/>
      <c r="P2243" s="1"/>
      <c r="Q2243" s="1"/>
      <c r="R2243" s="1"/>
      <c r="S2243" s="1"/>
      <c r="T2243" s="1"/>
      <c r="U2243" s="1"/>
      <c r="V2243" s="1"/>
      <c r="W2243" s="1"/>
      <c r="X2243" s="1"/>
      <c r="Y2243" s="1"/>
      <c r="Z2243" s="1"/>
      <c r="AA2243" s="1"/>
      <c r="AB2243" s="1"/>
    </row>
    <row r="2244" ht="50.25" customHeight="1">
      <c r="A2244" s="12">
        <v>2240.0</v>
      </c>
      <c r="B2244" s="13" t="s">
        <v>2233</v>
      </c>
      <c r="C2244" s="14" t="s">
        <v>2256</v>
      </c>
      <c r="D2244" s="1"/>
      <c r="E2244" s="1"/>
      <c r="F2244" s="1" t="str">
        <f>IFERROR(__xludf.DUMMYFUNCTION("GOOGLETRANSLATE(B2244, ""en"", ""fa"")
"),"کپی رایتینگ I")</f>
        <v>کپی رایتینگ I</v>
      </c>
      <c r="G2244" s="1" t="str">
        <f>IFERROR(__xludf.DUMMYFUNCTION("GOOGLETRANSLATE(C2244, ""en"", ""fa"")
"),"استراتژی هایی را برای نوشتن بررسی های متقاعد کننده محصول به اشتراک بگذارید که مزایا را برجسته می کند و نگرانی های بالقوه را برطرف می کند.")</f>
        <v>استراتژی هایی را برای نوشتن بررسی های متقاعد کننده محصول به اشتراک بگذارید که مزایا را برجسته می کند و نگرانی های بالقوه را برطرف می کند.</v>
      </c>
      <c r="H2244" s="1"/>
      <c r="I2244" s="1"/>
      <c r="J2244" s="1"/>
      <c r="K2244" s="1"/>
      <c r="L2244" s="1"/>
      <c r="M2244" s="1"/>
      <c r="N2244" s="1"/>
      <c r="O2244" s="1"/>
      <c r="P2244" s="1"/>
      <c r="Q2244" s="1"/>
      <c r="R2244" s="1"/>
      <c r="S2244" s="1"/>
      <c r="T2244" s="1"/>
      <c r="U2244" s="1"/>
      <c r="V2244" s="1"/>
      <c r="W2244" s="1"/>
      <c r="X2244" s="1"/>
      <c r="Y2244" s="1"/>
      <c r="Z2244" s="1"/>
      <c r="AA2244" s="1"/>
      <c r="AB2244" s="1"/>
    </row>
    <row r="2245" ht="50.25" customHeight="1">
      <c r="A2245" s="12">
        <v>2241.0</v>
      </c>
      <c r="B2245" s="13" t="s">
        <v>2233</v>
      </c>
      <c r="C2245" s="14" t="s">
        <v>2257</v>
      </c>
      <c r="D2245" s="1"/>
      <c r="E2245" s="1"/>
      <c r="F2245" s="1" t="str">
        <f>IFERROR(__xludf.DUMMYFUNCTION("GOOGLETRANSLATE(B2245, ""en"", ""fa"")
"),"کپی رایتینگ I")</f>
        <v>کپی رایتینگ I</v>
      </c>
      <c r="G2245" s="1" t="str">
        <f>IFERROR(__xludf.DUMMYFUNCTION("GOOGLETRANSLATE(C2245, ""en"", ""fa"")
"),"روش های مختلف را برای ایجاد گزاره های ارزش قانع کننده ای که با مخاطب هدف طنین انداز می شود، کاوش کنید.")</f>
        <v>روش های مختلف را برای ایجاد گزاره های ارزش قانع کننده ای که با مخاطب هدف طنین انداز می شود، کاوش کنید.</v>
      </c>
      <c r="H2245" s="1"/>
      <c r="I2245" s="1"/>
      <c r="J2245" s="1"/>
      <c r="K2245" s="1"/>
      <c r="L2245" s="1"/>
      <c r="M2245" s="1"/>
      <c r="N2245" s="1"/>
      <c r="O2245" s="1"/>
      <c r="P2245" s="1"/>
      <c r="Q2245" s="1"/>
      <c r="R2245" s="1"/>
      <c r="S2245" s="1"/>
      <c r="T2245" s="1"/>
      <c r="U2245" s="1"/>
      <c r="V2245" s="1"/>
      <c r="W2245" s="1"/>
      <c r="X2245" s="1"/>
      <c r="Y2245" s="1"/>
      <c r="Z2245" s="1"/>
      <c r="AA2245" s="1"/>
      <c r="AB2245" s="1"/>
    </row>
    <row r="2246" ht="50.25" customHeight="1">
      <c r="A2246" s="12">
        <v>2242.0</v>
      </c>
      <c r="B2246" s="13" t="s">
        <v>2233</v>
      </c>
      <c r="C2246" s="14" t="s">
        <v>2258</v>
      </c>
      <c r="D2246" s="1"/>
      <c r="E2246" s="1"/>
      <c r="F2246" s="1" t="str">
        <f>IFERROR(__xludf.DUMMYFUNCTION("GOOGLETRANSLATE(B2246, ""en"", ""fa"")
"),"کپی رایتینگ I")</f>
        <v>کپی رایتینگ I</v>
      </c>
      <c r="G2246" s="1" t="str">
        <f>IFERROR(__xludf.DUMMYFUNCTION("GOOGLETRANSLATE(C2246, ""en"", ""fa"")
"),"در مورد اهمیت درک سفر خریدار و تطبیق کپی برای هر مرحله از سفر بحث کنید.")</f>
        <v>در مورد اهمیت درک سفر خریدار و تطبیق کپی برای هر مرحله از سفر بحث کنید.</v>
      </c>
      <c r="H2246" s="1"/>
      <c r="I2246" s="1"/>
      <c r="J2246" s="1"/>
      <c r="K2246" s="1"/>
      <c r="L2246" s="1"/>
      <c r="M2246" s="1"/>
      <c r="N2246" s="1"/>
      <c r="O2246" s="1"/>
      <c r="P2246" s="1"/>
      <c r="Q2246" s="1"/>
      <c r="R2246" s="1"/>
      <c r="S2246" s="1"/>
      <c r="T2246" s="1"/>
      <c r="U2246" s="1"/>
      <c r="V2246" s="1"/>
      <c r="W2246" s="1"/>
      <c r="X2246" s="1"/>
      <c r="Y2246" s="1"/>
      <c r="Z2246" s="1"/>
      <c r="AA2246" s="1"/>
      <c r="AB2246" s="1"/>
    </row>
    <row r="2247" ht="50.25" customHeight="1">
      <c r="A2247" s="12">
        <v>2243.0</v>
      </c>
      <c r="B2247" s="13" t="s">
        <v>2233</v>
      </c>
      <c r="C2247" s="14" t="s">
        <v>2259</v>
      </c>
      <c r="D2247" s="1"/>
      <c r="E2247" s="1"/>
      <c r="F2247" s="1" t="str">
        <f>IFERROR(__xludf.DUMMYFUNCTION("GOOGLETRANSLATE(B2247, ""en"", ""fa"")
"),"کپی رایتینگ I")</f>
        <v>کپی رایتینگ I</v>
      </c>
      <c r="G2247" s="1" t="str">
        <f>IFERROR(__xludf.DUMMYFUNCTION("GOOGLETRANSLATE(C2247, ""en"", ""fa"")
"),"نکاتی را برای نوشتن توضیحات متا موثر به اشتراک بگذارید که کاربران را به کلیک بر روی نتایج موتور جستجو ترغیب کند.")</f>
        <v>نکاتی را برای نوشتن توضیحات متا موثر به اشتراک بگذارید که کاربران را به کلیک بر روی نتایج موتور جستجو ترغیب کند.</v>
      </c>
      <c r="H2247" s="1"/>
      <c r="I2247" s="1"/>
      <c r="J2247" s="1"/>
      <c r="K2247" s="1"/>
      <c r="L2247" s="1"/>
      <c r="M2247" s="1"/>
      <c r="N2247" s="1"/>
      <c r="O2247" s="1"/>
      <c r="P2247" s="1"/>
      <c r="Q2247" s="1"/>
      <c r="R2247" s="1"/>
      <c r="S2247" s="1"/>
      <c r="T2247" s="1"/>
      <c r="U2247" s="1"/>
      <c r="V2247" s="1"/>
      <c r="W2247" s="1"/>
      <c r="X2247" s="1"/>
      <c r="Y2247" s="1"/>
      <c r="Z2247" s="1"/>
      <c r="AA2247" s="1"/>
      <c r="AB2247" s="1"/>
    </row>
    <row r="2248" ht="50.25" customHeight="1">
      <c r="A2248" s="12">
        <v>2244.0</v>
      </c>
      <c r="B2248" s="13" t="s">
        <v>2233</v>
      </c>
      <c r="C2248" s="14" t="s">
        <v>2260</v>
      </c>
      <c r="D2248" s="1"/>
      <c r="E2248" s="1"/>
      <c r="F2248" s="1" t="str">
        <f>IFERROR(__xludf.DUMMYFUNCTION("GOOGLETRANSLATE(B2248, ""en"", ""fa"")
"),"کپی رایتینگ I")</f>
        <v>کپی رایتینگ I</v>
      </c>
      <c r="G2248" s="1" t="str">
        <f>IFERROR(__xludf.DUMMYFUNCTION("GOOGLETRANSLATE(C2248, ""en"", ""fa"")
"),"تکنیک‌هایی را برای نوشتن سرفصل‌ها و زیرعنوان‌های تاثیرگذار که کپی را شکسته و خوانایی را بهبود می‌بخشد، کاوش کنید.")</f>
        <v>تکنیک‌هایی را برای نوشتن سرفصل‌ها و زیرعنوان‌های تاثیرگذار که کپی را شکسته و خوانایی را بهبود می‌بخشد، کاوش کنید.</v>
      </c>
      <c r="H2248" s="1"/>
      <c r="I2248" s="1"/>
      <c r="J2248" s="1"/>
      <c r="K2248" s="1"/>
      <c r="L2248" s="1"/>
      <c r="M2248" s="1"/>
      <c r="N2248" s="1"/>
      <c r="O2248" s="1"/>
      <c r="P2248" s="1"/>
      <c r="Q2248" s="1"/>
      <c r="R2248" s="1"/>
      <c r="S2248" s="1"/>
      <c r="T2248" s="1"/>
      <c r="U2248" s="1"/>
      <c r="V2248" s="1"/>
      <c r="W2248" s="1"/>
      <c r="X2248" s="1"/>
      <c r="Y2248" s="1"/>
      <c r="Z2248" s="1"/>
      <c r="AA2248" s="1"/>
      <c r="AB2248" s="1"/>
    </row>
    <row r="2249" ht="50.25" customHeight="1">
      <c r="A2249" s="12">
        <v>2245.0</v>
      </c>
      <c r="B2249" s="13" t="s">
        <v>2233</v>
      </c>
      <c r="C2249" s="14" t="s">
        <v>2261</v>
      </c>
      <c r="D2249" s="1"/>
      <c r="E2249" s="1"/>
      <c r="F2249" s="1" t="str">
        <f>IFERROR(__xludf.DUMMYFUNCTION("GOOGLETRANSLATE(B2249, ""en"", ""fa"")
"),"کپی رایتینگ I")</f>
        <v>کپی رایتینگ I</v>
      </c>
      <c r="G2249" s="1" t="str">
        <f>IFERROR(__xludf.DUMMYFUNCTION("GOOGLETRANSLATE(C2249, ""en"", ""fa"")
"),"در مورد مزایای ترکیب آمار و داده های مربوطه برای حمایت از ادعاها و تقویت نسخه متقاعد کننده بحث کنید.")</f>
        <v>در مورد مزایای ترکیب آمار و داده های مربوطه برای حمایت از ادعاها و تقویت نسخه متقاعد کننده بحث کنید.</v>
      </c>
      <c r="H2249" s="1"/>
      <c r="I2249" s="1"/>
      <c r="J2249" s="1"/>
      <c r="K2249" s="1"/>
      <c r="L2249" s="1"/>
      <c r="M2249" s="1"/>
      <c r="N2249" s="1"/>
      <c r="O2249" s="1"/>
      <c r="P2249" s="1"/>
      <c r="Q2249" s="1"/>
      <c r="R2249" s="1"/>
      <c r="S2249" s="1"/>
      <c r="T2249" s="1"/>
      <c r="U2249" s="1"/>
      <c r="V2249" s="1"/>
      <c r="W2249" s="1"/>
      <c r="X2249" s="1"/>
      <c r="Y2249" s="1"/>
      <c r="Z2249" s="1"/>
      <c r="AA2249" s="1"/>
      <c r="AB2249" s="1"/>
    </row>
    <row r="2250" ht="50.25" customHeight="1">
      <c r="A2250" s="12">
        <v>2246.0</v>
      </c>
      <c r="B2250" s="13" t="s">
        <v>2233</v>
      </c>
      <c r="C2250" s="14" t="s">
        <v>2262</v>
      </c>
      <c r="D2250" s="1"/>
      <c r="E2250" s="1"/>
      <c r="F2250" s="1" t="str">
        <f>IFERROR(__xludf.DUMMYFUNCTION("GOOGLETRANSLATE(B2250, ""en"", ""fa"")
"),"کپی رایتینگ I")</f>
        <v>کپی رایتینگ I</v>
      </c>
      <c r="G2250" s="1" t="str">
        <f>IFERROR(__xludf.DUMMYFUNCTION("GOOGLETRANSLATE(C2250, ""en"", ""fa"")
"),"استراتژی هایی را برای نوشتن صفحات فروش قانع کننده ای که ارزش ها را به اشتراک می گذارند و بر مخالفت ها غلبه می کنند، به اشتراک بگذارید.")</f>
        <v>استراتژی هایی را برای نوشتن صفحات فروش قانع کننده ای که ارزش ها را به اشتراک می گذارند و بر مخالفت ها غلبه می کنند، به اشتراک بگذارید.</v>
      </c>
      <c r="H2250" s="1"/>
      <c r="I2250" s="1"/>
      <c r="J2250" s="1"/>
      <c r="K2250" s="1"/>
      <c r="L2250" s="1"/>
      <c r="M2250" s="1"/>
      <c r="N2250" s="1"/>
      <c r="O2250" s="1"/>
      <c r="P2250" s="1"/>
      <c r="Q2250" s="1"/>
      <c r="R2250" s="1"/>
      <c r="S2250" s="1"/>
      <c r="T2250" s="1"/>
      <c r="U2250" s="1"/>
      <c r="V2250" s="1"/>
      <c r="W2250" s="1"/>
      <c r="X2250" s="1"/>
      <c r="Y2250" s="1"/>
      <c r="Z2250" s="1"/>
      <c r="AA2250" s="1"/>
      <c r="AB2250" s="1"/>
    </row>
    <row r="2251" ht="50.25" customHeight="1">
      <c r="A2251" s="12">
        <v>2247.0</v>
      </c>
      <c r="B2251" s="13" t="s">
        <v>2233</v>
      </c>
      <c r="C2251" s="14" t="s">
        <v>2263</v>
      </c>
      <c r="D2251" s="1"/>
      <c r="E2251" s="1"/>
      <c r="F2251" s="1" t="str">
        <f>IFERROR(__xludf.DUMMYFUNCTION("GOOGLETRANSLATE(B2251, ""en"", ""fa"")
"),"کپی رایتینگ I")</f>
        <v>کپی رایتینگ I</v>
      </c>
      <c r="G2251" s="1" t="str">
        <f>IFERROR(__xludf.DUMMYFUNCTION("GOOGLETRANSLATE(C2251, ""en"", ""fa"")
"),"روش‌های مختلف برای ایجاد فوریت و کمبود در کپی‌رایتینگ را بررسی کنید تا اقدام فوری را انجام دهید.")</f>
        <v>روش‌های مختلف برای ایجاد فوریت و کمبود در کپی‌رایتینگ را بررسی کنید تا اقدام فوری را انجام دهید.</v>
      </c>
      <c r="H2251" s="1"/>
      <c r="I2251" s="1"/>
      <c r="J2251" s="1"/>
      <c r="K2251" s="1"/>
      <c r="L2251" s="1"/>
      <c r="M2251" s="1"/>
      <c r="N2251" s="1"/>
      <c r="O2251" s="1"/>
      <c r="P2251" s="1"/>
      <c r="Q2251" s="1"/>
      <c r="R2251" s="1"/>
      <c r="S2251" s="1"/>
      <c r="T2251" s="1"/>
      <c r="U2251" s="1"/>
      <c r="V2251" s="1"/>
      <c r="W2251" s="1"/>
      <c r="X2251" s="1"/>
      <c r="Y2251" s="1"/>
      <c r="Z2251" s="1"/>
      <c r="AA2251" s="1"/>
      <c r="AB2251" s="1"/>
    </row>
    <row r="2252" ht="50.25" customHeight="1">
      <c r="A2252" s="12">
        <v>2248.0</v>
      </c>
      <c r="B2252" s="13" t="s">
        <v>2233</v>
      </c>
      <c r="C2252" s="14" t="s">
        <v>2264</v>
      </c>
      <c r="D2252" s="1"/>
      <c r="E2252" s="1"/>
      <c r="F2252" s="1" t="str">
        <f>IFERROR(__xludf.DUMMYFUNCTION("GOOGLETRANSLATE(B2252, ""en"", ""fa"")
"),"کپی رایتینگ I")</f>
        <v>کپی رایتینگ I</v>
      </c>
      <c r="G2252" s="1" t="str">
        <f>IFERROR(__xludf.DUMMYFUNCTION("GOOGLETRANSLATE(C2252, ""en"", ""fa"")
"),"درباره اهمیت ایجاد یک باز و بسته شدن قوی در کپی رایتینگ برای به جا گذاشتن یک اثر ماندگار بحث کنید.")</f>
        <v>درباره اهمیت ایجاد یک باز و بسته شدن قوی در کپی رایتینگ برای به جا گذاشتن یک اثر ماندگار بحث کنید.</v>
      </c>
      <c r="H2252" s="1"/>
      <c r="I2252" s="1"/>
      <c r="J2252" s="1"/>
      <c r="K2252" s="1"/>
      <c r="L2252" s="1"/>
      <c r="M2252" s="1"/>
      <c r="N2252" s="1"/>
      <c r="O2252" s="1"/>
      <c r="P2252" s="1"/>
      <c r="Q2252" s="1"/>
      <c r="R2252" s="1"/>
      <c r="S2252" s="1"/>
      <c r="T2252" s="1"/>
      <c r="U2252" s="1"/>
      <c r="V2252" s="1"/>
      <c r="W2252" s="1"/>
      <c r="X2252" s="1"/>
      <c r="Y2252" s="1"/>
      <c r="Z2252" s="1"/>
      <c r="AA2252" s="1"/>
      <c r="AB2252" s="1"/>
    </row>
    <row r="2253" ht="50.25" customHeight="1">
      <c r="A2253" s="12">
        <v>2249.0</v>
      </c>
      <c r="B2253" s="13" t="s">
        <v>2233</v>
      </c>
      <c r="C2253" s="14" t="s">
        <v>2265</v>
      </c>
      <c r="D2253" s="1"/>
      <c r="E2253" s="1"/>
      <c r="F2253" s="1" t="str">
        <f>IFERROR(__xludf.DUMMYFUNCTION("GOOGLETRANSLATE(B2253, ""en"", ""fa"")
"),"کپی رایتینگ I")</f>
        <v>کپی رایتینگ I</v>
      </c>
      <c r="G2253" s="1" t="str">
        <f>IFERROR(__xludf.DUMMYFUNCTION("GOOGLETRANSLATE(C2253, ""en"", ""fa"")
"),"نکاتی را برای نوشتن خطوط موضوع ایمیل جذاب که نرخ باز شدن را افزایش می دهد، به اشتراک بگذارید.")</f>
        <v>نکاتی را برای نوشتن خطوط موضوع ایمیل جذاب که نرخ باز شدن را افزایش می دهد، به اشتراک بگذارید.</v>
      </c>
      <c r="H2253" s="1"/>
      <c r="I2253" s="1"/>
      <c r="J2253" s="1"/>
      <c r="K2253" s="1"/>
      <c r="L2253" s="1"/>
      <c r="M2253" s="1"/>
      <c r="N2253" s="1"/>
      <c r="O2253" s="1"/>
      <c r="P2253" s="1"/>
      <c r="Q2253" s="1"/>
      <c r="R2253" s="1"/>
      <c r="S2253" s="1"/>
      <c r="T2253" s="1"/>
      <c r="U2253" s="1"/>
      <c r="V2253" s="1"/>
      <c r="W2253" s="1"/>
      <c r="X2253" s="1"/>
      <c r="Y2253" s="1"/>
      <c r="Z2253" s="1"/>
      <c r="AA2253" s="1"/>
      <c r="AB2253" s="1"/>
    </row>
    <row r="2254" ht="50.25" customHeight="1">
      <c r="A2254" s="12">
        <v>2250.0</v>
      </c>
      <c r="B2254" s="13" t="s">
        <v>2233</v>
      </c>
      <c r="C2254" s="14" t="s">
        <v>2266</v>
      </c>
      <c r="D2254" s="1"/>
      <c r="E2254" s="1"/>
      <c r="F2254" s="1" t="str">
        <f>IFERROR(__xludf.DUMMYFUNCTION("GOOGLETRANSLATE(B2254, ""en"", ""fa"")
"),"کپی رایتینگ I")</f>
        <v>کپی رایتینگ I</v>
      </c>
      <c r="G2254" s="1" t="str">
        <f>IFERROR(__xludf.DUMMYFUNCTION("GOOGLETRANSLATE(C2254, ""en"", ""fa"")
"),"تکنیک‌هایی را برای ایجاد تبلیغات رسانه‌های اجتماعی متقاعدکننده که توجه را به خود جلب می‌کند و باعث جذب مشتری می‌شود، کاوش کنید.")</f>
        <v>تکنیک‌هایی را برای ایجاد تبلیغات رسانه‌های اجتماعی متقاعدکننده که توجه را به خود جلب می‌کند و باعث جذب مشتری می‌شود، کاوش کنید.</v>
      </c>
      <c r="H2254" s="1"/>
      <c r="I2254" s="1"/>
      <c r="J2254" s="1"/>
      <c r="K2254" s="1"/>
      <c r="L2254" s="1"/>
      <c r="M2254" s="1"/>
      <c r="N2254" s="1"/>
      <c r="O2254" s="1"/>
      <c r="P2254" s="1"/>
      <c r="Q2254" s="1"/>
      <c r="R2254" s="1"/>
      <c r="S2254" s="1"/>
      <c r="T2254" s="1"/>
      <c r="U2254" s="1"/>
      <c r="V2254" s="1"/>
      <c r="W2254" s="1"/>
      <c r="X2254" s="1"/>
      <c r="Y2254" s="1"/>
      <c r="Z2254" s="1"/>
      <c r="AA2254" s="1"/>
      <c r="AB2254" s="1"/>
    </row>
    <row r="2255" ht="50.25" customHeight="1">
      <c r="A2255" s="12">
        <v>2251.0</v>
      </c>
      <c r="B2255" s="13" t="s">
        <v>2233</v>
      </c>
      <c r="C2255" s="14" t="s">
        <v>2267</v>
      </c>
      <c r="D2255" s="1"/>
      <c r="E2255" s="1"/>
      <c r="F2255" s="1" t="str">
        <f>IFERROR(__xludf.DUMMYFUNCTION("GOOGLETRANSLATE(B2255, ""en"", ""fa"")
"),"کپی رایتینگ I")</f>
        <v>کپی رایتینگ I</v>
      </c>
      <c r="G2255" s="1" t="str">
        <f>IFERROR(__xludf.DUMMYFUNCTION("GOOGLETRANSLATE(C2255, ""en"", ""fa"")
"),"در مورد مزایای استفاده از عناصر داستان سرایی در فیلمنامه های ویدئویی و فیلمنامه ها برای تبلیغات صوتی بحث کنید.")</f>
        <v>در مورد مزایای استفاده از عناصر داستان سرایی در فیلمنامه های ویدئویی و فیلمنامه ها برای تبلیغات صوتی بحث کنید.</v>
      </c>
      <c r="H2255" s="1"/>
      <c r="I2255" s="1"/>
      <c r="J2255" s="1"/>
      <c r="K2255" s="1"/>
      <c r="L2255" s="1"/>
      <c r="M2255" s="1"/>
      <c r="N2255" s="1"/>
      <c r="O2255" s="1"/>
      <c r="P2255" s="1"/>
      <c r="Q2255" s="1"/>
      <c r="R2255" s="1"/>
      <c r="S2255" s="1"/>
      <c r="T2255" s="1"/>
      <c r="U2255" s="1"/>
      <c r="V2255" s="1"/>
      <c r="W2255" s="1"/>
      <c r="X2255" s="1"/>
      <c r="Y2255" s="1"/>
      <c r="Z2255" s="1"/>
      <c r="AA2255" s="1"/>
      <c r="AB2255" s="1"/>
    </row>
    <row r="2256" ht="50.25" customHeight="1">
      <c r="A2256" s="12">
        <v>2252.0</v>
      </c>
      <c r="B2256" s="13" t="s">
        <v>2233</v>
      </c>
      <c r="C2256" s="14" t="s">
        <v>2268</v>
      </c>
      <c r="D2256" s="1"/>
      <c r="E2256" s="1"/>
      <c r="F2256" s="1" t="str">
        <f>IFERROR(__xludf.DUMMYFUNCTION("GOOGLETRANSLATE(B2256, ""en"", ""fa"")
"),"کپی رایتینگ I")</f>
        <v>کپی رایتینگ I</v>
      </c>
      <c r="G2256" s="1" t="str">
        <f>IFERROR(__xludf.DUMMYFUNCTION("GOOGLETRANSLATE(C2256, ""en"", ""fa"")
"),"استراتژی‌هایی را برای نوشتن سرفصل‌های صفحه فرود مؤثر که توجه را جلب می‌کند و ارزش ارتباطی ایجاد می‌کند، به اشتراک بگذارید.")</f>
        <v>استراتژی‌هایی را برای نوشتن سرفصل‌های صفحه فرود مؤثر که توجه را جلب می‌کند و ارزش ارتباطی ایجاد می‌کند، به اشتراک بگذارید.</v>
      </c>
      <c r="H2256" s="1"/>
      <c r="I2256" s="1"/>
      <c r="J2256" s="1"/>
      <c r="K2256" s="1"/>
      <c r="L2256" s="1"/>
      <c r="M2256" s="1"/>
      <c r="N2256" s="1"/>
      <c r="O2256" s="1"/>
      <c r="P2256" s="1"/>
      <c r="Q2256" s="1"/>
      <c r="R2256" s="1"/>
      <c r="S2256" s="1"/>
      <c r="T2256" s="1"/>
      <c r="U2256" s="1"/>
      <c r="V2256" s="1"/>
      <c r="W2256" s="1"/>
      <c r="X2256" s="1"/>
      <c r="Y2256" s="1"/>
      <c r="Z2256" s="1"/>
      <c r="AA2256" s="1"/>
      <c r="AB2256" s="1"/>
    </row>
    <row r="2257" ht="50.25" customHeight="1">
      <c r="A2257" s="12">
        <v>2253.0</v>
      </c>
      <c r="B2257" s="13" t="s">
        <v>2233</v>
      </c>
      <c r="C2257" s="14" t="s">
        <v>2269</v>
      </c>
      <c r="D2257" s="1"/>
      <c r="E2257" s="1"/>
      <c r="F2257" s="1" t="str">
        <f>IFERROR(__xludf.DUMMYFUNCTION("GOOGLETRANSLATE(B2257, ""en"", ""fa"")
"),"کپی رایتینگ I")</f>
        <v>کپی رایتینگ I</v>
      </c>
      <c r="G2257" s="1" t="str">
        <f>IFERROR(__xludf.DUMMYFUNCTION("GOOGLETRANSLATE(C2257, ""en"", ""fa"")
"),"برای به حداکثر رساندن اثربخشی، روش‌های مختلف را برای تطبیق کپی برای پلتفرم‌ها و کانال‌های مختلف بررسی کنید.")</f>
        <v>برای به حداکثر رساندن اثربخشی، روش‌های مختلف را برای تطبیق کپی برای پلتفرم‌ها و کانال‌های مختلف بررسی کنید.</v>
      </c>
      <c r="H2257" s="1"/>
      <c r="I2257" s="1"/>
      <c r="J2257" s="1"/>
      <c r="K2257" s="1"/>
      <c r="L2257" s="1"/>
      <c r="M2257" s="1"/>
      <c r="N2257" s="1"/>
      <c r="O2257" s="1"/>
      <c r="P2257" s="1"/>
      <c r="Q2257" s="1"/>
      <c r="R2257" s="1"/>
      <c r="S2257" s="1"/>
      <c r="T2257" s="1"/>
      <c r="U2257" s="1"/>
      <c r="V2257" s="1"/>
      <c r="W2257" s="1"/>
      <c r="X2257" s="1"/>
      <c r="Y2257" s="1"/>
      <c r="Z2257" s="1"/>
      <c r="AA2257" s="1"/>
      <c r="AB2257" s="1"/>
    </row>
    <row r="2258" ht="50.25" customHeight="1">
      <c r="A2258" s="12">
        <v>2254.0</v>
      </c>
      <c r="B2258" s="13" t="s">
        <v>2233</v>
      </c>
      <c r="C2258" s="14" t="s">
        <v>2270</v>
      </c>
      <c r="D2258" s="1"/>
      <c r="E2258" s="1"/>
      <c r="F2258" s="1" t="str">
        <f>IFERROR(__xludf.DUMMYFUNCTION("GOOGLETRANSLATE(B2258, ""en"", ""fa"")
"),"کپی رایتینگ I")</f>
        <v>کپی رایتینگ I</v>
      </c>
      <c r="G2258" s="1" t="str">
        <f>IFERROR(__xludf.DUMMYFUNCTION("GOOGLETRANSLATE(C2258, ""en"", ""fa"")
"),"در مورد اهمیت استفاده از زبان مشتری محور و پرداختن به نکات دردناک در کپی رایتینگ بحث کنید.")</f>
        <v>در مورد اهمیت استفاده از زبان مشتری محور و پرداختن به نکات دردناک در کپی رایتینگ بحث کنید.</v>
      </c>
      <c r="H2258" s="1"/>
      <c r="I2258" s="1"/>
      <c r="J2258" s="1"/>
      <c r="K2258" s="1"/>
      <c r="L2258" s="1"/>
      <c r="M2258" s="1"/>
      <c r="N2258" s="1"/>
      <c r="O2258" s="1"/>
      <c r="P2258" s="1"/>
      <c r="Q2258" s="1"/>
      <c r="R2258" s="1"/>
      <c r="S2258" s="1"/>
      <c r="T2258" s="1"/>
      <c r="U2258" s="1"/>
      <c r="V2258" s="1"/>
      <c r="W2258" s="1"/>
      <c r="X2258" s="1"/>
      <c r="Y2258" s="1"/>
      <c r="Z2258" s="1"/>
      <c r="AA2258" s="1"/>
      <c r="AB2258" s="1"/>
    </row>
    <row r="2259" ht="50.25" customHeight="1">
      <c r="A2259" s="12">
        <v>2255.0</v>
      </c>
      <c r="B2259" s="13" t="s">
        <v>2233</v>
      </c>
      <c r="C2259" s="14" t="s">
        <v>2271</v>
      </c>
      <c r="D2259" s="1"/>
      <c r="E2259" s="1"/>
      <c r="F2259" s="1" t="str">
        <f>IFERROR(__xludf.DUMMYFUNCTION("GOOGLETRANSLATE(B2259, ""en"", ""fa"")
"),"کپی رایتینگ I")</f>
        <v>کپی رایتینگ I</v>
      </c>
      <c r="G2259" s="1" t="str">
        <f>IFERROR(__xludf.DUMMYFUNCTION("GOOGLETRANSLATE(C2259, ""en"", ""fa"")
"),"نکاتی را برای نوشتن نسخه فروش متقاعدکننده برای صفحات محصولات تجارت الکترونیک به اشتراک بگذارید.")</f>
        <v>نکاتی را برای نوشتن نسخه فروش متقاعدکننده برای صفحات محصولات تجارت الکترونیک به اشتراک بگذارید.</v>
      </c>
      <c r="H2259" s="1"/>
      <c r="I2259" s="1"/>
      <c r="J2259" s="1"/>
      <c r="K2259" s="1"/>
      <c r="L2259" s="1"/>
      <c r="M2259" s="1"/>
      <c r="N2259" s="1"/>
      <c r="O2259" s="1"/>
      <c r="P2259" s="1"/>
      <c r="Q2259" s="1"/>
      <c r="R2259" s="1"/>
      <c r="S2259" s="1"/>
      <c r="T2259" s="1"/>
      <c r="U2259" s="1"/>
      <c r="V2259" s="1"/>
      <c r="W2259" s="1"/>
      <c r="X2259" s="1"/>
      <c r="Y2259" s="1"/>
      <c r="Z2259" s="1"/>
      <c r="AA2259" s="1"/>
      <c r="AB2259" s="1"/>
    </row>
    <row r="2260" ht="50.25" customHeight="1">
      <c r="A2260" s="12">
        <v>2256.0</v>
      </c>
      <c r="B2260" s="13" t="s">
        <v>2233</v>
      </c>
      <c r="C2260" s="14" t="s">
        <v>2272</v>
      </c>
      <c r="D2260" s="1"/>
      <c r="E2260" s="1"/>
      <c r="F2260" s="1" t="str">
        <f>IFERROR(__xludf.DUMMYFUNCTION("GOOGLETRANSLATE(B2260, ""en"", ""fa"")
"),"کپی رایتینگ I")</f>
        <v>کپی رایتینگ I</v>
      </c>
      <c r="G2260" s="1" t="str">
        <f>IFERROR(__xludf.DUMMYFUNCTION("GOOGLETRANSLATE(C2260, ""en"", ""fa"")
"),"تکنیک‌هایی را برای ایجاد مطالعات موردی قانع‌کننده که ارزش محصولات یا خدمات را نشان می‌دهد، کاوش کنید.")</f>
        <v>تکنیک‌هایی را برای ایجاد مطالعات موردی قانع‌کننده که ارزش محصولات یا خدمات را نشان می‌دهد، کاوش کنید.</v>
      </c>
      <c r="H2260" s="1"/>
      <c r="I2260" s="1"/>
      <c r="J2260" s="1"/>
      <c r="K2260" s="1"/>
      <c r="L2260" s="1"/>
      <c r="M2260" s="1"/>
      <c r="N2260" s="1"/>
      <c r="O2260" s="1"/>
      <c r="P2260" s="1"/>
      <c r="Q2260" s="1"/>
      <c r="R2260" s="1"/>
      <c r="S2260" s="1"/>
      <c r="T2260" s="1"/>
      <c r="U2260" s="1"/>
      <c r="V2260" s="1"/>
      <c r="W2260" s="1"/>
      <c r="X2260" s="1"/>
      <c r="Y2260" s="1"/>
      <c r="Z2260" s="1"/>
      <c r="AA2260" s="1"/>
      <c r="AB2260" s="1"/>
    </row>
    <row r="2261" ht="50.25" customHeight="1">
      <c r="A2261" s="12">
        <v>2257.0</v>
      </c>
      <c r="B2261" s="13" t="s">
        <v>2233</v>
      </c>
      <c r="C2261" s="14" t="s">
        <v>2273</v>
      </c>
      <c r="D2261" s="1"/>
      <c r="E2261" s="1"/>
      <c r="F2261" s="1" t="str">
        <f>IFERROR(__xludf.DUMMYFUNCTION("GOOGLETRANSLATE(B2261, ""en"", ""fa"")
"),"کپی رایتینگ I")</f>
        <v>کپی رایتینگ I</v>
      </c>
      <c r="G2261" s="1" t="str">
        <f>IFERROR(__xludf.DUMMYFUNCTION("GOOGLETRANSLATE(C2261, ""en"", ""fa"")
"),"در مورد مزایای استفاده از زبان حسی در کپی رایتینگ برای برانگیختن احساسات و ایجاد توضیحات واضح بحث کنید.")</f>
        <v>در مورد مزایای استفاده از زبان حسی در کپی رایتینگ برای برانگیختن احساسات و ایجاد توضیحات واضح بحث کنید.</v>
      </c>
      <c r="H2261" s="1"/>
      <c r="I2261" s="1"/>
      <c r="J2261" s="1"/>
      <c r="K2261" s="1"/>
      <c r="L2261" s="1"/>
      <c r="M2261" s="1"/>
      <c r="N2261" s="1"/>
      <c r="O2261" s="1"/>
      <c r="P2261" s="1"/>
      <c r="Q2261" s="1"/>
      <c r="R2261" s="1"/>
      <c r="S2261" s="1"/>
      <c r="T2261" s="1"/>
      <c r="U2261" s="1"/>
      <c r="V2261" s="1"/>
      <c r="W2261" s="1"/>
      <c r="X2261" s="1"/>
      <c r="Y2261" s="1"/>
      <c r="Z2261" s="1"/>
      <c r="AA2261" s="1"/>
      <c r="AB2261" s="1"/>
    </row>
    <row r="2262" ht="50.25" customHeight="1">
      <c r="A2262" s="12">
        <v>2258.0</v>
      </c>
      <c r="B2262" s="13" t="s">
        <v>2233</v>
      </c>
      <c r="C2262" s="14" t="s">
        <v>2274</v>
      </c>
      <c r="D2262" s="1"/>
      <c r="E2262" s="1"/>
      <c r="F2262" s="1" t="str">
        <f>IFERROR(__xludf.DUMMYFUNCTION("GOOGLETRANSLATE(B2262, ""en"", ""fa"")
"),"کپی رایتینگ I")</f>
        <v>کپی رایتینگ I</v>
      </c>
      <c r="G2262" s="1" t="str">
        <f>IFERROR(__xludf.DUMMYFUNCTION("GOOGLETRANSLATE(C2262, ""en"", ""fa"")
"),"استراتژی هایی را برای نوشتن صفحات تأثیرگذار درباره ما که داستان برند را منتقل می کند و اعتماد ایجاد می کند، به اشتراک بگذارید.")</f>
        <v>استراتژی هایی را برای نوشتن صفحات تأثیرگذار درباره ما که داستان برند را منتقل می کند و اعتماد ایجاد می کند، به اشتراک بگذارید.</v>
      </c>
      <c r="H2262" s="1"/>
      <c r="I2262" s="1"/>
      <c r="J2262" s="1"/>
      <c r="K2262" s="1"/>
      <c r="L2262" s="1"/>
      <c r="M2262" s="1"/>
      <c r="N2262" s="1"/>
      <c r="O2262" s="1"/>
      <c r="P2262" s="1"/>
      <c r="Q2262" s="1"/>
      <c r="R2262" s="1"/>
      <c r="S2262" s="1"/>
      <c r="T2262" s="1"/>
      <c r="U2262" s="1"/>
      <c r="V2262" s="1"/>
      <c r="W2262" s="1"/>
      <c r="X2262" s="1"/>
      <c r="Y2262" s="1"/>
      <c r="Z2262" s="1"/>
      <c r="AA2262" s="1"/>
      <c r="AB2262" s="1"/>
    </row>
    <row r="2263" ht="50.25" customHeight="1">
      <c r="A2263" s="12">
        <v>2259.0</v>
      </c>
      <c r="B2263" s="13" t="s">
        <v>2233</v>
      </c>
      <c r="C2263" s="14" t="s">
        <v>2275</v>
      </c>
      <c r="D2263" s="1"/>
      <c r="E2263" s="1"/>
      <c r="F2263" s="1" t="str">
        <f>IFERROR(__xludf.DUMMYFUNCTION("GOOGLETRANSLATE(B2263, ""en"", ""fa"")
"),"کپی رایتینگ I")</f>
        <v>کپی رایتینگ I</v>
      </c>
      <c r="G2263" s="1" t="str">
        <f>IFERROR(__xludf.DUMMYFUNCTION("GOOGLETRANSLATE(C2263, ""en"", ""fa"")
"),"روش های مختلف برای ایجاد کنجکاوی و دسیسه در کپی رایتینگ را برای برانگیختن علاقه خواننده بررسی کنید.")</f>
        <v>روش های مختلف برای ایجاد کنجکاوی و دسیسه در کپی رایتینگ را برای برانگیختن علاقه خواننده بررسی کنید.</v>
      </c>
      <c r="H2263" s="1"/>
      <c r="I2263" s="1"/>
      <c r="J2263" s="1"/>
      <c r="K2263" s="1"/>
      <c r="L2263" s="1"/>
      <c r="M2263" s="1"/>
      <c r="N2263" s="1"/>
      <c r="O2263" s="1"/>
      <c r="P2263" s="1"/>
      <c r="Q2263" s="1"/>
      <c r="R2263" s="1"/>
      <c r="S2263" s="1"/>
      <c r="T2263" s="1"/>
      <c r="U2263" s="1"/>
      <c r="V2263" s="1"/>
      <c r="W2263" s="1"/>
      <c r="X2263" s="1"/>
      <c r="Y2263" s="1"/>
      <c r="Z2263" s="1"/>
      <c r="AA2263" s="1"/>
      <c r="AB2263" s="1"/>
    </row>
    <row r="2264" ht="50.25" customHeight="1">
      <c r="A2264" s="12">
        <v>2260.0</v>
      </c>
      <c r="B2264" s="13" t="s">
        <v>2233</v>
      </c>
      <c r="C2264" s="14" t="s">
        <v>2276</v>
      </c>
      <c r="D2264" s="1"/>
      <c r="E2264" s="1"/>
      <c r="F2264" s="1" t="str">
        <f>IFERROR(__xludf.DUMMYFUNCTION("GOOGLETRANSLATE(B2264, ""en"", ""fa"")
"),"کپی رایتینگ I")</f>
        <v>کپی رایتینگ I</v>
      </c>
      <c r="G2264" s="1" t="str">
        <f>IFERROR(__xludf.DUMMYFUNCTION("GOOGLETRANSLATE(C2264, ""en"", ""fa"")
"),"در مورد اهمیت استفاده از عناوین واضح و قانع کننده در تبلیغات چاپی بحث کنید.")</f>
        <v>در مورد اهمیت استفاده از عناوین واضح و قانع کننده در تبلیغات چاپی بحث کنید.</v>
      </c>
      <c r="H2264" s="1"/>
      <c r="I2264" s="1"/>
      <c r="J2264" s="1"/>
      <c r="K2264" s="1"/>
      <c r="L2264" s="1"/>
      <c r="M2264" s="1"/>
      <c r="N2264" s="1"/>
      <c r="O2264" s="1"/>
      <c r="P2264" s="1"/>
      <c r="Q2264" s="1"/>
      <c r="R2264" s="1"/>
      <c r="S2264" s="1"/>
      <c r="T2264" s="1"/>
      <c r="U2264" s="1"/>
      <c r="V2264" s="1"/>
      <c r="W2264" s="1"/>
      <c r="X2264" s="1"/>
      <c r="Y2264" s="1"/>
      <c r="Z2264" s="1"/>
      <c r="AA2264" s="1"/>
      <c r="AB2264" s="1"/>
    </row>
    <row r="2265" ht="50.25" customHeight="1">
      <c r="A2265" s="12">
        <v>2261.0</v>
      </c>
      <c r="B2265" s="13" t="s">
        <v>2233</v>
      </c>
      <c r="C2265" s="14" t="s">
        <v>2277</v>
      </c>
      <c r="D2265" s="1"/>
      <c r="E2265" s="1"/>
      <c r="F2265" s="1" t="str">
        <f>IFERROR(__xludf.DUMMYFUNCTION("GOOGLETRANSLATE(B2265, ""en"", ""fa"")
"),"کپی رایتینگ I")</f>
        <v>کپی رایتینگ I</v>
      </c>
      <c r="G2265" s="1" t="str">
        <f>IFERROR(__xludf.DUMMYFUNCTION("GOOGLETRANSLATE(C2265, ""en"", ""fa"")
"),"نکاتی را برای نوشتن دکمه‌های فراخوان مؤثر که کلیک‌ها و تبدیل‌ها را تشویق می‌کنند، به اشتراک بگذارید.")</f>
        <v>نکاتی را برای نوشتن دکمه‌های فراخوان مؤثر که کلیک‌ها و تبدیل‌ها را تشویق می‌کنند، به اشتراک بگذارید.</v>
      </c>
      <c r="H2265" s="1"/>
      <c r="I2265" s="1"/>
      <c r="J2265" s="1"/>
      <c r="K2265" s="1"/>
      <c r="L2265" s="1"/>
      <c r="M2265" s="1"/>
      <c r="N2265" s="1"/>
      <c r="O2265" s="1"/>
      <c r="P2265" s="1"/>
      <c r="Q2265" s="1"/>
      <c r="R2265" s="1"/>
      <c r="S2265" s="1"/>
      <c r="T2265" s="1"/>
      <c r="U2265" s="1"/>
      <c r="V2265" s="1"/>
      <c r="W2265" s="1"/>
      <c r="X2265" s="1"/>
      <c r="Y2265" s="1"/>
      <c r="Z2265" s="1"/>
      <c r="AA2265" s="1"/>
      <c r="AB2265" s="1"/>
    </row>
    <row r="2266" ht="50.25" customHeight="1">
      <c r="A2266" s="12">
        <v>2262.0</v>
      </c>
      <c r="B2266" s="13" t="s">
        <v>2233</v>
      </c>
      <c r="C2266" s="14" t="s">
        <v>2278</v>
      </c>
      <c r="D2266" s="1"/>
      <c r="E2266" s="1"/>
      <c r="F2266" s="1" t="str">
        <f>IFERROR(__xludf.DUMMYFUNCTION("GOOGLETRANSLATE(B2266, ""en"", ""fa"")
"),"کپی رایتینگ I")</f>
        <v>کپی رایتینگ I</v>
      </c>
      <c r="G2266" s="1" t="str">
        <f>IFERROR(__xludf.DUMMYFUNCTION("GOOGLETRANSLATE(C2266, ""en"", ""fa"")
"),"تکنیک‌های نوشتن فیلمنامه‌های متقاعدکننده برای تبلیغات ویدیویی یا صوتی را بررسی کنید.")</f>
        <v>تکنیک‌های نوشتن فیلمنامه‌های متقاعدکننده برای تبلیغات ویدیویی یا صوتی را بررسی کنید.</v>
      </c>
      <c r="H2266" s="1"/>
      <c r="I2266" s="1"/>
      <c r="J2266" s="1"/>
      <c r="K2266" s="1"/>
      <c r="L2266" s="1"/>
      <c r="M2266" s="1"/>
      <c r="N2266" s="1"/>
      <c r="O2266" s="1"/>
      <c r="P2266" s="1"/>
      <c r="Q2266" s="1"/>
      <c r="R2266" s="1"/>
      <c r="S2266" s="1"/>
      <c r="T2266" s="1"/>
      <c r="U2266" s="1"/>
      <c r="V2266" s="1"/>
      <c r="W2266" s="1"/>
      <c r="X2266" s="1"/>
      <c r="Y2266" s="1"/>
      <c r="Z2266" s="1"/>
      <c r="AA2266" s="1"/>
      <c r="AB2266" s="1"/>
    </row>
    <row r="2267" ht="50.25" customHeight="1">
      <c r="A2267" s="12">
        <v>2263.0</v>
      </c>
      <c r="B2267" s="13" t="s">
        <v>2233</v>
      </c>
      <c r="C2267" s="14" t="s">
        <v>2279</v>
      </c>
      <c r="D2267" s="1"/>
      <c r="E2267" s="1"/>
      <c r="F2267" s="1" t="str">
        <f>IFERROR(__xludf.DUMMYFUNCTION("GOOGLETRANSLATE(B2267, ""en"", ""fa"")
"),"کپی رایتینگ I")</f>
        <v>کپی رایتینگ I</v>
      </c>
      <c r="G2267" s="1" t="str">
        <f>IFERROR(__xludf.DUMMYFUNCTION("GOOGLETRANSLATE(C2267, ""en"", ""fa"")
"),"در مورد مزایای استفاده از ابزارهای بلاغی، مانند استعاره یا تشبیه، برای تقویت کپی رایتینگ بحث کنید.")</f>
        <v>در مورد مزایای استفاده از ابزارهای بلاغی، مانند استعاره یا تشبیه، برای تقویت کپی رایتینگ بحث کنید.</v>
      </c>
      <c r="H2267" s="1"/>
      <c r="I2267" s="1"/>
      <c r="J2267" s="1"/>
      <c r="K2267" s="1"/>
      <c r="L2267" s="1"/>
      <c r="M2267" s="1"/>
      <c r="N2267" s="1"/>
      <c r="O2267" s="1"/>
      <c r="P2267" s="1"/>
      <c r="Q2267" s="1"/>
      <c r="R2267" s="1"/>
      <c r="S2267" s="1"/>
      <c r="T2267" s="1"/>
      <c r="U2267" s="1"/>
      <c r="V2267" s="1"/>
      <c r="W2267" s="1"/>
      <c r="X2267" s="1"/>
      <c r="Y2267" s="1"/>
      <c r="Z2267" s="1"/>
      <c r="AA2267" s="1"/>
      <c r="AB2267" s="1"/>
    </row>
    <row r="2268" ht="50.25" customHeight="1">
      <c r="A2268" s="12">
        <v>2264.0</v>
      </c>
      <c r="B2268" s="13" t="s">
        <v>2233</v>
      </c>
      <c r="C2268" s="14" t="s">
        <v>2280</v>
      </c>
      <c r="D2268" s="1"/>
      <c r="E2268" s="1"/>
      <c r="F2268" s="1" t="str">
        <f>IFERROR(__xludf.DUMMYFUNCTION("GOOGLETRANSLATE(B2268, ""en"", ""fa"")
"),"کپی رایتینگ I")</f>
        <v>کپی رایتینگ I</v>
      </c>
      <c r="G2268" s="1" t="str">
        <f>IFERROR(__xludf.DUMMYFUNCTION("GOOGLETRANSLATE(C2268, ""en"", ""fa"")
"),"استراتژی‌هایی را برای ترکیب تأثیرگذاران و تأییدیه‌های رسانه‌های اجتماعی در کپی‌رایتینگ به اشتراک بگذارید.")</f>
        <v>استراتژی‌هایی را برای ترکیب تأثیرگذاران و تأییدیه‌های رسانه‌های اجتماعی در کپی‌رایتینگ به اشتراک بگذارید.</v>
      </c>
      <c r="H2268" s="1"/>
      <c r="I2268" s="1"/>
      <c r="J2268" s="1"/>
      <c r="K2268" s="1"/>
      <c r="L2268" s="1"/>
      <c r="M2268" s="1"/>
      <c r="N2268" s="1"/>
      <c r="O2268" s="1"/>
      <c r="P2268" s="1"/>
      <c r="Q2268" s="1"/>
      <c r="R2268" s="1"/>
      <c r="S2268" s="1"/>
      <c r="T2268" s="1"/>
      <c r="U2268" s="1"/>
      <c r="V2268" s="1"/>
      <c r="W2268" s="1"/>
      <c r="X2268" s="1"/>
      <c r="Y2268" s="1"/>
      <c r="Z2268" s="1"/>
      <c r="AA2268" s="1"/>
      <c r="AB2268" s="1"/>
    </row>
    <row r="2269" ht="50.25" customHeight="1">
      <c r="A2269" s="12">
        <v>2265.0</v>
      </c>
      <c r="B2269" s="13" t="s">
        <v>2233</v>
      </c>
      <c r="C2269" s="14" t="s">
        <v>2281</v>
      </c>
      <c r="D2269" s="1"/>
      <c r="E2269" s="1"/>
      <c r="F2269" s="1" t="str">
        <f>IFERROR(__xludf.DUMMYFUNCTION("GOOGLETRANSLATE(B2269, ""en"", ""fa"")
"),"کپی رایتینگ I")</f>
        <v>کپی رایتینگ I</v>
      </c>
      <c r="G2269" s="1" t="str">
        <f>IFERROR(__xludf.DUMMYFUNCTION("GOOGLETRANSLATE(C2269, ""en"", ""fa"")
"),"روش های مختلف برای ایجاد شعارها و شعارهای به یاد ماندنی که با مخاطبان هدف طنین انداز می شود را بررسی کنید.")</f>
        <v>روش های مختلف برای ایجاد شعارها و شعارهای به یاد ماندنی که با مخاطبان هدف طنین انداز می شود را بررسی کنید.</v>
      </c>
      <c r="H2269" s="1"/>
      <c r="I2269" s="1"/>
      <c r="J2269" s="1"/>
      <c r="K2269" s="1"/>
      <c r="L2269" s="1"/>
      <c r="M2269" s="1"/>
      <c r="N2269" s="1"/>
      <c r="O2269" s="1"/>
      <c r="P2269" s="1"/>
      <c r="Q2269" s="1"/>
      <c r="R2269" s="1"/>
      <c r="S2269" s="1"/>
      <c r="T2269" s="1"/>
      <c r="U2269" s="1"/>
      <c r="V2269" s="1"/>
      <c r="W2269" s="1"/>
      <c r="X2269" s="1"/>
      <c r="Y2269" s="1"/>
      <c r="Z2269" s="1"/>
      <c r="AA2269" s="1"/>
      <c r="AB2269" s="1"/>
    </row>
    <row r="2270" ht="50.25" customHeight="1">
      <c r="A2270" s="12">
        <v>2266.0</v>
      </c>
      <c r="B2270" s="13" t="s">
        <v>2233</v>
      </c>
      <c r="C2270" s="14" t="s">
        <v>2282</v>
      </c>
      <c r="D2270" s="1"/>
      <c r="E2270" s="1"/>
      <c r="F2270" s="1" t="str">
        <f>IFERROR(__xludf.DUMMYFUNCTION("GOOGLETRANSLATE(B2270, ""en"", ""fa"")
"),"کپی رایتینگ I")</f>
        <v>کپی رایتینگ I</v>
      </c>
      <c r="G2270" s="1" t="str">
        <f>IFERROR(__xludf.DUMMYFUNCTION("GOOGLETRANSLATE(C2270, ""en"", ""fa"")
"),"درباره اهمیت ایجاد پرسونای خریدار و تطبیق کپی با ویژگی ها و ترجیحات خاص آنها بحث کنید.")</f>
        <v>درباره اهمیت ایجاد پرسونای خریدار و تطبیق کپی با ویژگی ها و ترجیحات خاص آنها بحث کنید.</v>
      </c>
      <c r="H2270" s="1"/>
      <c r="I2270" s="1"/>
      <c r="J2270" s="1"/>
      <c r="K2270" s="1"/>
      <c r="L2270" s="1"/>
      <c r="M2270" s="1"/>
      <c r="N2270" s="1"/>
      <c r="O2270" s="1"/>
      <c r="P2270" s="1"/>
      <c r="Q2270" s="1"/>
      <c r="R2270" s="1"/>
      <c r="S2270" s="1"/>
      <c r="T2270" s="1"/>
      <c r="U2270" s="1"/>
      <c r="V2270" s="1"/>
      <c r="W2270" s="1"/>
      <c r="X2270" s="1"/>
      <c r="Y2270" s="1"/>
      <c r="Z2270" s="1"/>
      <c r="AA2270" s="1"/>
      <c r="AB2270" s="1"/>
    </row>
    <row r="2271" ht="50.25" customHeight="1">
      <c r="A2271" s="12">
        <v>2267.0</v>
      </c>
      <c r="B2271" s="13" t="s">
        <v>2233</v>
      </c>
      <c r="C2271" s="14" t="s">
        <v>2283</v>
      </c>
      <c r="D2271" s="1"/>
      <c r="E2271" s="1"/>
      <c r="F2271" s="1" t="str">
        <f>IFERROR(__xludf.DUMMYFUNCTION("GOOGLETRANSLATE(B2271, ""en"", ""fa"")
"),"کپی رایتینگ I")</f>
        <v>کپی رایتینگ I</v>
      </c>
      <c r="G2271" s="1" t="str">
        <f>IFERROR(__xludf.DUMMYFUNCTION("GOOGLETRANSLATE(C2271, ""en"", ""fa"")
"),"نکاتی را برای ایجاد طرح‌های آسانسور متقاعدکننده که به طور خلاصه ارزش ارتباط برقرار می‌کنند و علاقه ایجاد می‌کنند، به اشتراک بگذارید.")</f>
        <v>نکاتی را برای ایجاد طرح‌های آسانسور متقاعدکننده که به طور خلاصه ارزش ارتباط برقرار می‌کنند و علاقه ایجاد می‌کنند، به اشتراک بگذارید.</v>
      </c>
      <c r="H2271" s="1"/>
      <c r="I2271" s="1"/>
      <c r="J2271" s="1"/>
      <c r="K2271" s="1"/>
      <c r="L2271" s="1"/>
      <c r="M2271" s="1"/>
      <c r="N2271" s="1"/>
      <c r="O2271" s="1"/>
      <c r="P2271" s="1"/>
      <c r="Q2271" s="1"/>
      <c r="R2271" s="1"/>
      <c r="S2271" s="1"/>
      <c r="T2271" s="1"/>
      <c r="U2271" s="1"/>
      <c r="V2271" s="1"/>
      <c r="W2271" s="1"/>
      <c r="X2271" s="1"/>
      <c r="Y2271" s="1"/>
      <c r="Z2271" s="1"/>
      <c r="AA2271" s="1"/>
      <c r="AB2271" s="1"/>
    </row>
    <row r="2272" ht="50.25" customHeight="1">
      <c r="A2272" s="12">
        <v>2268.0</v>
      </c>
      <c r="B2272" s="13" t="s">
        <v>2233</v>
      </c>
      <c r="C2272" s="14" t="s">
        <v>2284</v>
      </c>
      <c r="D2272" s="1"/>
      <c r="E2272" s="1"/>
      <c r="F2272" s="1" t="str">
        <f>IFERROR(__xludf.DUMMYFUNCTION("GOOGLETRANSLATE(B2272, ""en"", ""fa"")
"),"کپی رایتینگ I")</f>
        <v>کپی رایتینگ I</v>
      </c>
      <c r="G2272" s="1" t="str">
        <f>IFERROR(__xludf.DUMMYFUNCTION("GOOGLETRANSLATE(C2272, ""en"", ""fa"")
"),"تکنیک‌هایی را برای نوشتن مقایسه‌های جذاب محصول که به مشتریان در تصمیم‌گیری آگاهانه کمک می‌کند، کاوش کنید.")</f>
        <v>تکنیک‌هایی را برای نوشتن مقایسه‌های جذاب محصول که به مشتریان در تصمیم‌گیری آگاهانه کمک می‌کند، کاوش کنید.</v>
      </c>
      <c r="H2272" s="1"/>
      <c r="I2272" s="1"/>
      <c r="J2272" s="1"/>
      <c r="K2272" s="1"/>
      <c r="L2272" s="1"/>
      <c r="M2272" s="1"/>
      <c r="N2272" s="1"/>
      <c r="O2272" s="1"/>
      <c r="P2272" s="1"/>
      <c r="Q2272" s="1"/>
      <c r="R2272" s="1"/>
      <c r="S2272" s="1"/>
      <c r="T2272" s="1"/>
      <c r="U2272" s="1"/>
      <c r="V2272" s="1"/>
      <c r="W2272" s="1"/>
      <c r="X2272" s="1"/>
      <c r="Y2272" s="1"/>
      <c r="Z2272" s="1"/>
      <c r="AA2272" s="1"/>
      <c r="AB2272" s="1"/>
    </row>
    <row r="2273" ht="50.25" customHeight="1">
      <c r="A2273" s="12">
        <v>2269.0</v>
      </c>
      <c r="B2273" s="13" t="s">
        <v>2233</v>
      </c>
      <c r="C2273" s="14" t="s">
        <v>2285</v>
      </c>
      <c r="D2273" s="1"/>
      <c r="E2273" s="1"/>
      <c r="F2273" s="1" t="str">
        <f>IFERROR(__xludf.DUMMYFUNCTION("GOOGLETRANSLATE(B2273, ""en"", ""fa"")
"),"کپی رایتینگ I")</f>
        <v>کپی رایتینگ I</v>
      </c>
      <c r="G2273" s="1" t="str">
        <f>IFERROR(__xludf.DUMMYFUNCTION("GOOGLETRANSLATE(C2273, ""en"", ""fa"")
"),"در مورد مزایای استفاده از تکنیک های داستان سرایی در بازاریابی ایمیلی برای ایجاد ارتباط شخصی با مشترکین بحث کنید.")</f>
        <v>در مورد مزایای استفاده از تکنیک های داستان سرایی در بازاریابی ایمیلی برای ایجاد ارتباط شخصی با مشترکین بحث کنید.</v>
      </c>
      <c r="H2273" s="1"/>
      <c r="I2273" s="1"/>
      <c r="J2273" s="1"/>
      <c r="K2273" s="1"/>
      <c r="L2273" s="1"/>
      <c r="M2273" s="1"/>
      <c r="N2273" s="1"/>
      <c r="O2273" s="1"/>
      <c r="P2273" s="1"/>
      <c r="Q2273" s="1"/>
      <c r="R2273" s="1"/>
      <c r="S2273" s="1"/>
      <c r="T2273" s="1"/>
      <c r="U2273" s="1"/>
      <c r="V2273" s="1"/>
      <c r="W2273" s="1"/>
      <c r="X2273" s="1"/>
      <c r="Y2273" s="1"/>
      <c r="Z2273" s="1"/>
      <c r="AA2273" s="1"/>
      <c r="AB2273" s="1"/>
    </row>
    <row r="2274" ht="50.25" customHeight="1">
      <c r="A2274" s="12">
        <v>2270.0</v>
      </c>
      <c r="B2274" s="13" t="s">
        <v>2233</v>
      </c>
      <c r="C2274" s="14" t="s">
        <v>2286</v>
      </c>
      <c r="D2274" s="1"/>
      <c r="E2274" s="1"/>
      <c r="F2274" s="1" t="str">
        <f>IFERROR(__xludf.DUMMYFUNCTION("GOOGLETRANSLATE(B2274, ""en"", ""fa"")
"),"کپی رایتینگ I")</f>
        <v>کپی رایتینگ I</v>
      </c>
      <c r="G2274" s="1" t="str">
        <f>IFERROR(__xludf.DUMMYFUNCTION("GOOGLETRANSLATE(C2274, ""en"", ""fa"")
"),"استراتژی هایی برای نوشتن سرفصل های جذاب برای تبلیغات چاپی که برجسته و جلب توجه می کنند را به اشتراک بگذارید.")</f>
        <v>استراتژی هایی برای نوشتن سرفصل های جذاب برای تبلیغات چاپی که برجسته و جلب توجه می کنند را به اشتراک بگذارید.</v>
      </c>
      <c r="H2274" s="1"/>
      <c r="I2274" s="1"/>
      <c r="J2274" s="1"/>
      <c r="K2274" s="1"/>
      <c r="L2274" s="1"/>
      <c r="M2274" s="1"/>
      <c r="N2274" s="1"/>
      <c r="O2274" s="1"/>
      <c r="P2274" s="1"/>
      <c r="Q2274" s="1"/>
      <c r="R2274" s="1"/>
      <c r="S2274" s="1"/>
      <c r="T2274" s="1"/>
      <c r="U2274" s="1"/>
      <c r="V2274" s="1"/>
      <c r="W2274" s="1"/>
      <c r="X2274" s="1"/>
      <c r="Y2274" s="1"/>
      <c r="Z2274" s="1"/>
      <c r="AA2274" s="1"/>
      <c r="AB2274" s="1"/>
    </row>
    <row r="2275" ht="50.25" customHeight="1">
      <c r="A2275" s="12">
        <v>2271.0</v>
      </c>
      <c r="B2275" s="13" t="s">
        <v>2233</v>
      </c>
      <c r="C2275" s="14" t="s">
        <v>2287</v>
      </c>
      <c r="D2275" s="1"/>
      <c r="E2275" s="1"/>
      <c r="F2275" s="1" t="str">
        <f>IFERROR(__xludf.DUMMYFUNCTION("GOOGLETRANSLATE(B2275, ""en"", ""fa"")
"),"کپی رایتینگ I")</f>
        <v>کپی رایتینگ I</v>
      </c>
      <c r="G2275" s="1" t="str">
        <f>IFERROR(__xludf.DUMMYFUNCTION("GOOGLETRANSLATE(C2275, ""en"", ""fa"")
"),"روش های مختلف برای نوشتن فیلمنامه های متقاعد کننده برای تبلیغات رادیویی را بررسی کنید.")</f>
        <v>روش های مختلف برای نوشتن فیلمنامه های متقاعد کننده برای تبلیغات رادیویی را بررسی کنید.</v>
      </c>
      <c r="H2275" s="1"/>
      <c r="I2275" s="1"/>
      <c r="J2275" s="1"/>
      <c r="K2275" s="1"/>
      <c r="L2275" s="1"/>
      <c r="M2275" s="1"/>
      <c r="N2275" s="1"/>
      <c r="O2275" s="1"/>
      <c r="P2275" s="1"/>
      <c r="Q2275" s="1"/>
      <c r="R2275" s="1"/>
      <c r="S2275" s="1"/>
      <c r="T2275" s="1"/>
      <c r="U2275" s="1"/>
      <c r="V2275" s="1"/>
      <c r="W2275" s="1"/>
      <c r="X2275" s="1"/>
      <c r="Y2275" s="1"/>
      <c r="Z2275" s="1"/>
      <c r="AA2275" s="1"/>
      <c r="AB2275" s="1"/>
    </row>
    <row r="2276" ht="50.25" customHeight="1">
      <c r="A2276" s="12">
        <v>2272.0</v>
      </c>
      <c r="B2276" s="13" t="s">
        <v>2233</v>
      </c>
      <c r="C2276" s="14" t="s">
        <v>2288</v>
      </c>
      <c r="D2276" s="1"/>
      <c r="E2276" s="1"/>
      <c r="F2276" s="1" t="str">
        <f>IFERROR(__xludf.DUMMYFUNCTION("GOOGLETRANSLATE(B2276, ""en"", ""fa"")
"),"کپی رایتینگ I")</f>
        <v>کپی رایتینگ I</v>
      </c>
      <c r="G2276" s="1" t="str">
        <f>IFERROR(__xludf.DUMMYFUNCTION("GOOGLETRANSLATE(C2276, ""en"", ""fa"")
"),"در مورد اهمیت استفاده از گوش دادن و نظارت بر رسانه های اجتماعی برای اطلاع رسانی استراتژی های کپی رایتینگ بحث کنید.")</f>
        <v>در مورد اهمیت استفاده از گوش دادن و نظارت بر رسانه های اجتماعی برای اطلاع رسانی استراتژی های کپی رایتینگ بحث کنید.</v>
      </c>
      <c r="H2276" s="1"/>
      <c r="I2276" s="1"/>
      <c r="J2276" s="1"/>
      <c r="K2276" s="1"/>
      <c r="L2276" s="1"/>
      <c r="M2276" s="1"/>
      <c r="N2276" s="1"/>
      <c r="O2276" s="1"/>
      <c r="P2276" s="1"/>
      <c r="Q2276" s="1"/>
      <c r="R2276" s="1"/>
      <c r="S2276" s="1"/>
      <c r="T2276" s="1"/>
      <c r="U2276" s="1"/>
      <c r="V2276" s="1"/>
      <c r="W2276" s="1"/>
      <c r="X2276" s="1"/>
      <c r="Y2276" s="1"/>
      <c r="Z2276" s="1"/>
      <c r="AA2276" s="1"/>
      <c r="AB2276" s="1"/>
    </row>
    <row r="2277" ht="50.25" customHeight="1">
      <c r="A2277" s="12">
        <v>2273.0</v>
      </c>
      <c r="B2277" s="13" t="s">
        <v>2233</v>
      </c>
      <c r="C2277" s="14" t="s">
        <v>2289</v>
      </c>
      <c r="D2277" s="1"/>
      <c r="E2277" s="1"/>
      <c r="F2277" s="1" t="str">
        <f>IFERROR(__xludf.DUMMYFUNCTION("GOOGLETRANSLATE(B2277, ""en"", ""fa"")
"),"کپی رایتینگ I")</f>
        <v>کپی رایتینگ I</v>
      </c>
      <c r="G2277" s="1" t="str">
        <f>IFERROR(__xludf.DUMMYFUNCTION("GOOGLETRANSLATE(C2277, ""en"", ""fa"")
"),"نکاتی را برای نوشتن یک کپی بسته بندی موثر محصول که ارزش را بیان می کند و خرید را تشویق می کند به اشتراک بگذارید.")</f>
        <v>نکاتی را برای نوشتن یک کپی بسته بندی موثر محصول که ارزش را بیان می کند و خرید را تشویق می کند به اشتراک بگذارید.</v>
      </c>
      <c r="H2277" s="1"/>
      <c r="I2277" s="1"/>
      <c r="J2277" s="1"/>
      <c r="K2277" s="1"/>
      <c r="L2277" s="1"/>
      <c r="M2277" s="1"/>
      <c r="N2277" s="1"/>
      <c r="O2277" s="1"/>
      <c r="P2277" s="1"/>
      <c r="Q2277" s="1"/>
      <c r="R2277" s="1"/>
      <c r="S2277" s="1"/>
      <c r="T2277" s="1"/>
      <c r="U2277" s="1"/>
      <c r="V2277" s="1"/>
      <c r="W2277" s="1"/>
      <c r="X2277" s="1"/>
      <c r="Y2277" s="1"/>
      <c r="Z2277" s="1"/>
      <c r="AA2277" s="1"/>
      <c r="AB2277" s="1"/>
    </row>
    <row r="2278" ht="50.25" customHeight="1">
      <c r="A2278" s="12">
        <v>2274.0</v>
      </c>
      <c r="B2278" s="13" t="s">
        <v>2233</v>
      </c>
      <c r="C2278" s="14" t="s">
        <v>2290</v>
      </c>
      <c r="D2278" s="1"/>
      <c r="E2278" s="1"/>
      <c r="F2278" s="1" t="str">
        <f>IFERROR(__xludf.DUMMYFUNCTION("GOOGLETRANSLATE(B2278, ""en"", ""fa"")
"),"کپی رایتینگ I")</f>
        <v>کپی رایتینگ I</v>
      </c>
      <c r="G2278" s="1" t="str">
        <f>IFERROR(__xludf.DUMMYFUNCTION("GOOGLETRANSLATE(C2278, ""en"", ""fa"")
"),"تکنیک‌هایی را برای ایجاد توصیفات و بررسی‌های تاثیرگذار که باعث ایجاد اعتماد و اعتبار می‌شوند، کاوش کنید.")</f>
        <v>تکنیک‌هایی را برای ایجاد توصیفات و بررسی‌های تاثیرگذار که باعث ایجاد اعتماد و اعتبار می‌شوند، کاوش کنید.</v>
      </c>
      <c r="H2278" s="1"/>
      <c r="I2278" s="1"/>
      <c r="J2278" s="1"/>
      <c r="K2278" s="1"/>
      <c r="L2278" s="1"/>
      <c r="M2278" s="1"/>
      <c r="N2278" s="1"/>
      <c r="O2278" s="1"/>
      <c r="P2278" s="1"/>
      <c r="Q2278" s="1"/>
      <c r="R2278" s="1"/>
      <c r="S2278" s="1"/>
      <c r="T2278" s="1"/>
      <c r="U2278" s="1"/>
      <c r="V2278" s="1"/>
      <c r="W2278" s="1"/>
      <c r="X2278" s="1"/>
      <c r="Y2278" s="1"/>
      <c r="Z2278" s="1"/>
      <c r="AA2278" s="1"/>
      <c r="AB2278" s="1"/>
    </row>
    <row r="2279" ht="50.25" customHeight="1">
      <c r="A2279" s="12">
        <v>2275.0</v>
      </c>
      <c r="B2279" s="13" t="s">
        <v>2233</v>
      </c>
      <c r="C2279" s="14" t="s">
        <v>2291</v>
      </c>
      <c r="D2279" s="1"/>
      <c r="E2279" s="1"/>
      <c r="F2279" s="1" t="str">
        <f>IFERROR(__xludf.DUMMYFUNCTION("GOOGLETRANSLATE(B2279, ""en"", ""fa"")
"),"کپی رایتینگ I")</f>
        <v>کپی رایتینگ I</v>
      </c>
      <c r="G2279" s="1" t="str">
        <f>IFERROR(__xludf.DUMMYFUNCTION("GOOGLETRANSLATE(C2279, ""en"", ""fa"")
"),"در مورد مزایای ترکیب محتوای تولید شده توسط کاربر در کپی رایتینگ برای تقویت اعتبار و تعامل بحث کنید.")</f>
        <v>در مورد مزایای ترکیب محتوای تولید شده توسط کاربر در کپی رایتینگ برای تقویت اعتبار و تعامل بحث کنید.</v>
      </c>
      <c r="H2279" s="1"/>
      <c r="I2279" s="1"/>
      <c r="J2279" s="1"/>
      <c r="K2279" s="1"/>
      <c r="L2279" s="1"/>
      <c r="M2279" s="1"/>
      <c r="N2279" s="1"/>
      <c r="O2279" s="1"/>
      <c r="P2279" s="1"/>
      <c r="Q2279" s="1"/>
      <c r="R2279" s="1"/>
      <c r="S2279" s="1"/>
      <c r="T2279" s="1"/>
      <c r="U2279" s="1"/>
      <c r="V2279" s="1"/>
      <c r="W2279" s="1"/>
      <c r="X2279" s="1"/>
      <c r="Y2279" s="1"/>
      <c r="Z2279" s="1"/>
      <c r="AA2279" s="1"/>
      <c r="AB2279" s="1"/>
    </row>
    <row r="2280" ht="50.25" customHeight="1">
      <c r="A2280" s="12">
        <v>2276.0</v>
      </c>
      <c r="B2280" s="13" t="s">
        <v>2233</v>
      </c>
      <c r="C2280" s="14" t="s">
        <v>2292</v>
      </c>
      <c r="D2280" s="1"/>
      <c r="E2280" s="1"/>
      <c r="F2280" s="1" t="str">
        <f>IFERROR(__xludf.DUMMYFUNCTION("GOOGLETRANSLATE(B2280, ""en"", ""fa"")
"),"کپی رایتینگ I")</f>
        <v>کپی رایتینگ I</v>
      </c>
      <c r="G2280" s="1" t="str">
        <f>IFERROR(__xludf.DUMMYFUNCTION("GOOGLETRANSLATE(C2280, ""en"", ""fa"")
"),"استراتژی هایی را برای ایجاد مقدمه ها و قلاب های قانع کننده در کپی رایتینگ به اشتراک بگذارید.")</f>
        <v>استراتژی هایی را برای ایجاد مقدمه ها و قلاب های قانع کننده در کپی رایتینگ به اشتراک بگذارید.</v>
      </c>
      <c r="H2280" s="1"/>
      <c r="I2280" s="1"/>
      <c r="J2280" s="1"/>
      <c r="K2280" s="1"/>
      <c r="L2280" s="1"/>
      <c r="M2280" s="1"/>
      <c r="N2280" s="1"/>
      <c r="O2280" s="1"/>
      <c r="P2280" s="1"/>
      <c r="Q2280" s="1"/>
      <c r="R2280" s="1"/>
      <c r="S2280" s="1"/>
      <c r="T2280" s="1"/>
      <c r="U2280" s="1"/>
      <c r="V2280" s="1"/>
      <c r="W2280" s="1"/>
      <c r="X2280" s="1"/>
      <c r="Y2280" s="1"/>
      <c r="Z2280" s="1"/>
      <c r="AA2280" s="1"/>
      <c r="AB2280" s="1"/>
    </row>
    <row r="2281" ht="50.25" customHeight="1">
      <c r="A2281" s="12">
        <v>2277.0</v>
      </c>
      <c r="B2281" s="13" t="s">
        <v>2233</v>
      </c>
      <c r="C2281" s="14" t="s">
        <v>2293</v>
      </c>
      <c r="D2281" s="1"/>
      <c r="E2281" s="1"/>
      <c r="F2281" s="1" t="str">
        <f>IFERROR(__xludf.DUMMYFUNCTION("GOOGLETRANSLATE(B2281, ""en"", ""fa"")
"),"کپی رایتینگ I")</f>
        <v>کپی رایتینگ I</v>
      </c>
      <c r="G2281" s="1" t="str">
        <f>IFERROR(__xludf.DUMMYFUNCTION("GOOGLETRANSLATE(C2281, ""en"", ""fa"")
"),"روش‌های مختلف برای نوشتن بیانیه‌های مطبوعاتی متقاعدکننده‌ای را که باعث علاقه رسانه‌ها می‌شود، بررسی کنید.")</f>
        <v>روش‌های مختلف برای نوشتن بیانیه‌های مطبوعاتی متقاعدکننده‌ای را که باعث علاقه رسانه‌ها می‌شود، بررسی کنید.</v>
      </c>
      <c r="H2281" s="1"/>
      <c r="I2281" s="1"/>
      <c r="J2281" s="1"/>
      <c r="K2281" s="1"/>
      <c r="L2281" s="1"/>
      <c r="M2281" s="1"/>
      <c r="N2281" s="1"/>
      <c r="O2281" s="1"/>
      <c r="P2281" s="1"/>
      <c r="Q2281" s="1"/>
      <c r="R2281" s="1"/>
      <c r="S2281" s="1"/>
      <c r="T2281" s="1"/>
      <c r="U2281" s="1"/>
      <c r="V2281" s="1"/>
      <c r="W2281" s="1"/>
      <c r="X2281" s="1"/>
      <c r="Y2281" s="1"/>
      <c r="Z2281" s="1"/>
      <c r="AA2281" s="1"/>
      <c r="AB2281" s="1"/>
    </row>
    <row r="2282" ht="50.25" customHeight="1">
      <c r="A2282" s="12">
        <v>2278.0</v>
      </c>
      <c r="B2282" s="13" t="s">
        <v>2233</v>
      </c>
      <c r="C2282" s="14" t="s">
        <v>2294</v>
      </c>
      <c r="D2282" s="1"/>
      <c r="E2282" s="1"/>
      <c r="F2282" s="1" t="str">
        <f>IFERROR(__xludf.DUMMYFUNCTION("GOOGLETRANSLATE(B2282, ""en"", ""fa"")
"),"کپی رایتینگ I")</f>
        <v>کپی رایتینگ I</v>
      </c>
      <c r="G2282" s="1" t="str">
        <f>IFERROR(__xludf.DUMMYFUNCTION("GOOGLETRANSLATE(C2282, ""en"", ""fa"")
"),"در مورد اهمیت تست A/B و تجزیه و تحلیل داده ها در بهینه سازی کپی برای نتایج بهتر بحث کنید.")</f>
        <v>در مورد اهمیت تست A/B و تجزیه و تحلیل داده ها در بهینه سازی کپی برای نتایج بهتر بحث کنید.</v>
      </c>
      <c r="H2282" s="1"/>
      <c r="I2282" s="1"/>
      <c r="J2282" s="1"/>
      <c r="K2282" s="1"/>
      <c r="L2282" s="1"/>
      <c r="M2282" s="1"/>
      <c r="N2282" s="1"/>
      <c r="O2282" s="1"/>
      <c r="P2282" s="1"/>
      <c r="Q2282" s="1"/>
      <c r="R2282" s="1"/>
      <c r="S2282" s="1"/>
      <c r="T2282" s="1"/>
      <c r="U2282" s="1"/>
      <c r="V2282" s="1"/>
      <c r="W2282" s="1"/>
      <c r="X2282" s="1"/>
      <c r="Y2282" s="1"/>
      <c r="Z2282" s="1"/>
      <c r="AA2282" s="1"/>
      <c r="AB2282" s="1"/>
    </row>
    <row r="2283" ht="50.25" customHeight="1">
      <c r="A2283" s="12">
        <v>2279.0</v>
      </c>
      <c r="B2283" s="13" t="s">
        <v>2233</v>
      </c>
      <c r="C2283" s="14" t="s">
        <v>2295</v>
      </c>
      <c r="D2283" s="1"/>
      <c r="E2283" s="1"/>
      <c r="F2283" s="1" t="str">
        <f>IFERROR(__xludf.DUMMYFUNCTION("GOOGLETRANSLATE(B2283, ""en"", ""fa"")
"),"کپی رایتینگ I")</f>
        <v>کپی رایتینگ I</v>
      </c>
      <c r="G2283" s="1" t="str">
        <f>IFERROR(__xludf.DUMMYFUNCTION("GOOGLETRANSLATE(C2283, ""en"", ""fa"")
"),"نکاتی را برای نوشتن درخواست‌های متقاعدکننده برای جمع‌آوری کمک‌های مالی که کمک‌کنندگان را تشویق می‌کند به اشتراک بگذارید.")</f>
        <v>نکاتی را برای نوشتن درخواست‌های متقاعدکننده برای جمع‌آوری کمک‌های مالی که کمک‌کنندگان را تشویق می‌کند به اشتراک بگذارید.</v>
      </c>
      <c r="H2283" s="1"/>
      <c r="I2283" s="1"/>
      <c r="J2283" s="1"/>
      <c r="K2283" s="1"/>
      <c r="L2283" s="1"/>
      <c r="M2283" s="1"/>
      <c r="N2283" s="1"/>
      <c r="O2283" s="1"/>
      <c r="P2283" s="1"/>
      <c r="Q2283" s="1"/>
      <c r="R2283" s="1"/>
      <c r="S2283" s="1"/>
      <c r="T2283" s="1"/>
      <c r="U2283" s="1"/>
      <c r="V2283" s="1"/>
      <c r="W2283" s="1"/>
      <c r="X2283" s="1"/>
      <c r="Y2283" s="1"/>
      <c r="Z2283" s="1"/>
      <c r="AA2283" s="1"/>
      <c r="AB2283" s="1"/>
    </row>
    <row r="2284" ht="50.25" customHeight="1">
      <c r="A2284" s="12">
        <v>2280.0</v>
      </c>
      <c r="B2284" s="13" t="s">
        <v>2233</v>
      </c>
      <c r="C2284" s="14" t="s">
        <v>2296</v>
      </c>
      <c r="D2284" s="1"/>
      <c r="E2284" s="1"/>
      <c r="F2284" s="1" t="str">
        <f>IFERROR(__xludf.DUMMYFUNCTION("GOOGLETRANSLATE(B2284, ""en"", ""fa"")
"),"کپی رایتینگ I")</f>
        <v>کپی رایتینگ I</v>
      </c>
      <c r="G2284" s="1" t="str">
        <f>IFERROR(__xludf.DUMMYFUNCTION("GOOGLETRANSLATE(C2284, ""en"", ""fa"")
"),"تکنیک های ایجاد اسکریپت های ویدیویی جذاب و آموزنده را برای اهداف بازاریابی کاوش کنید.")</f>
        <v>تکنیک های ایجاد اسکریپت های ویدیویی جذاب و آموزنده را برای اهداف بازاریابی کاوش کنید.</v>
      </c>
      <c r="H2284" s="1"/>
      <c r="I2284" s="1"/>
      <c r="J2284" s="1"/>
      <c r="K2284" s="1"/>
      <c r="L2284" s="1"/>
      <c r="M2284" s="1"/>
      <c r="N2284" s="1"/>
      <c r="O2284" s="1"/>
      <c r="P2284" s="1"/>
      <c r="Q2284" s="1"/>
      <c r="R2284" s="1"/>
      <c r="S2284" s="1"/>
      <c r="T2284" s="1"/>
      <c r="U2284" s="1"/>
      <c r="V2284" s="1"/>
      <c r="W2284" s="1"/>
      <c r="X2284" s="1"/>
      <c r="Y2284" s="1"/>
      <c r="Z2284" s="1"/>
      <c r="AA2284" s="1"/>
      <c r="AB2284" s="1"/>
    </row>
    <row r="2285" ht="50.25" customHeight="1">
      <c r="A2285" s="12">
        <v>2281.0</v>
      </c>
      <c r="B2285" s="13" t="s">
        <v>2233</v>
      </c>
      <c r="C2285" s="14" t="s">
        <v>2297</v>
      </c>
      <c r="D2285" s="1"/>
      <c r="E2285" s="1"/>
      <c r="F2285" s="1" t="str">
        <f>IFERROR(__xludf.DUMMYFUNCTION("GOOGLETRANSLATE(B2285, ""en"", ""fa"")
"),"کپی رایتینگ I")</f>
        <v>کپی رایتینگ I</v>
      </c>
      <c r="G2285" s="1" t="str">
        <f>IFERROR(__xludf.DUMMYFUNCTION("GOOGLETRANSLATE(C2285, ""en"", ""fa"")
"),"در مورد مزایای استفاده از داستان سرایی احساسی در کپی رایتینگ غیرانتفاعی برای ایجاد همدلی و حمایت بحث کنید.")</f>
        <v>در مورد مزایای استفاده از داستان سرایی احساسی در کپی رایتینگ غیرانتفاعی برای ایجاد همدلی و حمایت بحث کنید.</v>
      </c>
      <c r="H2285" s="1"/>
      <c r="I2285" s="1"/>
      <c r="J2285" s="1"/>
      <c r="K2285" s="1"/>
      <c r="L2285" s="1"/>
      <c r="M2285" s="1"/>
      <c r="N2285" s="1"/>
      <c r="O2285" s="1"/>
      <c r="P2285" s="1"/>
      <c r="Q2285" s="1"/>
      <c r="R2285" s="1"/>
      <c r="S2285" s="1"/>
      <c r="T2285" s="1"/>
      <c r="U2285" s="1"/>
      <c r="V2285" s="1"/>
      <c r="W2285" s="1"/>
      <c r="X2285" s="1"/>
      <c r="Y2285" s="1"/>
      <c r="Z2285" s="1"/>
      <c r="AA2285" s="1"/>
      <c r="AB2285" s="1"/>
    </row>
    <row r="2286" ht="50.25" customHeight="1">
      <c r="A2286" s="12">
        <v>2282.0</v>
      </c>
      <c r="B2286" s="13" t="s">
        <v>2233</v>
      </c>
      <c r="C2286" s="14" t="s">
        <v>2298</v>
      </c>
      <c r="D2286" s="1"/>
      <c r="E2286" s="1"/>
      <c r="F2286" s="1" t="str">
        <f>IFERROR(__xludf.DUMMYFUNCTION("GOOGLETRANSLATE(B2286, ""en"", ""fa"")
"),"کپی رایتینگ I")</f>
        <v>کپی رایتینگ I</v>
      </c>
      <c r="G2286" s="1" t="str">
        <f>IFERROR(__xludf.DUMMYFUNCTION("GOOGLETRANSLATE(C2286, ""en"", ""fa"")
"),"استراتژی هایی برای نوشتن سرفصل های موثر برای پست های رسانه های اجتماعی که توجه را به خود جلب می کنند را به اشتراک بگذارید.")</f>
        <v>استراتژی هایی برای نوشتن سرفصل های موثر برای پست های رسانه های اجتماعی که توجه را به خود جلب می کنند را به اشتراک بگذارید.</v>
      </c>
      <c r="H2286" s="1"/>
      <c r="I2286" s="1"/>
      <c r="J2286" s="1"/>
      <c r="K2286" s="1"/>
      <c r="L2286" s="1"/>
      <c r="M2286" s="1"/>
      <c r="N2286" s="1"/>
      <c r="O2286" s="1"/>
      <c r="P2286" s="1"/>
      <c r="Q2286" s="1"/>
      <c r="R2286" s="1"/>
      <c r="S2286" s="1"/>
      <c r="T2286" s="1"/>
      <c r="U2286" s="1"/>
      <c r="V2286" s="1"/>
      <c r="W2286" s="1"/>
      <c r="X2286" s="1"/>
      <c r="Y2286" s="1"/>
      <c r="Z2286" s="1"/>
      <c r="AA2286" s="1"/>
      <c r="AB2286" s="1"/>
    </row>
    <row r="2287" ht="50.25" customHeight="1">
      <c r="A2287" s="12">
        <v>2283.0</v>
      </c>
      <c r="B2287" s="13" t="s">
        <v>2233</v>
      </c>
      <c r="C2287" s="14" t="s">
        <v>2299</v>
      </c>
      <c r="D2287" s="1"/>
      <c r="E2287" s="1"/>
      <c r="F2287" s="1" t="str">
        <f>IFERROR(__xludf.DUMMYFUNCTION("GOOGLETRANSLATE(B2287, ""en"", ""fa"")
"),"کپی رایتینگ I")</f>
        <v>کپی رایتینگ I</v>
      </c>
      <c r="G2287" s="1" t="str">
        <f>IFERROR(__xludf.DUMMYFUNCTION("GOOGLETRANSLATE(C2287, ""en"", ""fa"")
"),"روش های مختلف برای گنجاندن شوخ طبعی و شوخ طبعی در کپی رایتینگ برای سرگرم کردن و جذب مخاطب را بررسی کنید.")</f>
        <v>روش های مختلف برای گنجاندن شوخ طبعی و شوخ طبعی در کپی رایتینگ برای سرگرم کردن و جذب مخاطب را بررسی کنید.</v>
      </c>
      <c r="H2287" s="1"/>
      <c r="I2287" s="1"/>
      <c r="J2287" s="1"/>
      <c r="K2287" s="1"/>
      <c r="L2287" s="1"/>
      <c r="M2287" s="1"/>
      <c r="N2287" s="1"/>
      <c r="O2287" s="1"/>
      <c r="P2287" s="1"/>
      <c r="Q2287" s="1"/>
      <c r="R2287" s="1"/>
      <c r="S2287" s="1"/>
      <c r="T2287" s="1"/>
      <c r="U2287" s="1"/>
      <c r="V2287" s="1"/>
      <c r="W2287" s="1"/>
      <c r="X2287" s="1"/>
      <c r="Y2287" s="1"/>
      <c r="Z2287" s="1"/>
      <c r="AA2287" s="1"/>
      <c r="AB2287" s="1"/>
    </row>
    <row r="2288" ht="50.25" customHeight="1">
      <c r="A2288" s="12">
        <v>2284.0</v>
      </c>
      <c r="B2288" s="13" t="s">
        <v>2233</v>
      </c>
      <c r="C2288" s="14" t="s">
        <v>2300</v>
      </c>
      <c r="D2288" s="1"/>
      <c r="E2288" s="1"/>
      <c r="F2288" s="1" t="str">
        <f>IFERROR(__xludf.DUMMYFUNCTION("GOOGLETRANSLATE(B2288, ""en"", ""fa"")
"),"کپی رایتینگ I")</f>
        <v>کپی رایتینگ I</v>
      </c>
      <c r="G2288" s="1" t="str">
        <f>IFERROR(__xludf.DUMMYFUNCTION("GOOGLETRANSLATE(C2288, ""en"", ""fa"")
"),"در مورد اهمیت درک پیشنهاد فروش منحصر به فرد (USP) و ارتباط موثر آن در کپی بحث کنید.")</f>
        <v>در مورد اهمیت درک پیشنهاد فروش منحصر به فرد (USP) و ارتباط موثر آن در کپی بحث کنید.</v>
      </c>
      <c r="H2288" s="1"/>
      <c r="I2288" s="1"/>
      <c r="J2288" s="1"/>
      <c r="K2288" s="1"/>
      <c r="L2288" s="1"/>
      <c r="M2288" s="1"/>
      <c r="N2288" s="1"/>
      <c r="O2288" s="1"/>
      <c r="P2288" s="1"/>
      <c r="Q2288" s="1"/>
      <c r="R2288" s="1"/>
      <c r="S2288" s="1"/>
      <c r="T2288" s="1"/>
      <c r="U2288" s="1"/>
      <c r="V2288" s="1"/>
      <c r="W2288" s="1"/>
      <c r="X2288" s="1"/>
      <c r="Y2288" s="1"/>
      <c r="Z2288" s="1"/>
      <c r="AA2288" s="1"/>
      <c r="AB2288" s="1"/>
    </row>
    <row r="2289" ht="50.25" customHeight="1">
      <c r="A2289" s="12">
        <v>2285.0</v>
      </c>
      <c r="B2289" s="13" t="s">
        <v>2233</v>
      </c>
      <c r="C2289" s="14" t="s">
        <v>2301</v>
      </c>
      <c r="D2289" s="1"/>
      <c r="E2289" s="1"/>
      <c r="F2289" s="1" t="str">
        <f>IFERROR(__xludf.DUMMYFUNCTION("GOOGLETRANSLATE(B2289, ""en"", ""fa"")
"),"کپی رایتینگ I")</f>
        <v>کپی رایتینگ I</v>
      </c>
      <c r="G2289" s="1" t="str">
        <f>IFERROR(__xludf.DUMMYFUNCTION("GOOGLETRANSLATE(C2289, ""en"", ""fa"")
"),"نکاتی را برای نوشتن یک نسخه وب سایت متقاعدکننده برای مشاغل مبتنی بر خدمات به اشتراک بگذارید.")</f>
        <v>نکاتی را برای نوشتن یک نسخه وب سایت متقاعدکننده برای مشاغل مبتنی بر خدمات به اشتراک بگذارید.</v>
      </c>
      <c r="H2289" s="1"/>
      <c r="I2289" s="1"/>
      <c r="J2289" s="1"/>
      <c r="K2289" s="1"/>
      <c r="L2289" s="1"/>
      <c r="M2289" s="1"/>
      <c r="N2289" s="1"/>
      <c r="O2289" s="1"/>
      <c r="P2289" s="1"/>
      <c r="Q2289" s="1"/>
      <c r="R2289" s="1"/>
      <c r="S2289" s="1"/>
      <c r="T2289" s="1"/>
      <c r="U2289" s="1"/>
      <c r="V2289" s="1"/>
      <c r="W2289" s="1"/>
      <c r="X2289" s="1"/>
      <c r="Y2289" s="1"/>
      <c r="Z2289" s="1"/>
      <c r="AA2289" s="1"/>
      <c r="AB2289" s="1"/>
    </row>
    <row r="2290" ht="50.25" customHeight="1">
      <c r="A2290" s="12">
        <v>2286.0</v>
      </c>
      <c r="B2290" s="13" t="s">
        <v>2233</v>
      </c>
      <c r="C2290" s="14" t="s">
        <v>2302</v>
      </c>
      <c r="D2290" s="1"/>
      <c r="E2290" s="1"/>
      <c r="F2290" s="1" t="str">
        <f>IFERROR(__xludf.DUMMYFUNCTION("GOOGLETRANSLATE(B2290, ""en"", ""fa"")
"),"کپی رایتینگ I")</f>
        <v>کپی رایتینگ I</v>
      </c>
      <c r="G2290" s="1" t="str">
        <f>IFERROR(__xludf.DUMMYFUNCTION("GOOGLETRANSLATE(C2290, ""en"", ""fa"")
"),"تکنیک‌هایی را برای ایجاد نسخه‌های بسته‌بندی محصول قانع‌کننده که ارزش و مزایا را به اشتراک می‌گذارد، کاوش کنید.")</f>
        <v>تکنیک‌هایی را برای ایجاد نسخه‌های بسته‌بندی محصول قانع‌کننده که ارزش و مزایا را به اشتراک می‌گذارد، کاوش کنید.</v>
      </c>
      <c r="H2290" s="1"/>
      <c r="I2290" s="1"/>
      <c r="J2290" s="1"/>
      <c r="K2290" s="1"/>
      <c r="L2290" s="1"/>
      <c r="M2290" s="1"/>
      <c r="N2290" s="1"/>
      <c r="O2290" s="1"/>
      <c r="P2290" s="1"/>
      <c r="Q2290" s="1"/>
      <c r="R2290" s="1"/>
      <c r="S2290" s="1"/>
      <c r="T2290" s="1"/>
      <c r="U2290" s="1"/>
      <c r="V2290" s="1"/>
      <c r="W2290" s="1"/>
      <c r="X2290" s="1"/>
      <c r="Y2290" s="1"/>
      <c r="Z2290" s="1"/>
      <c r="AA2290" s="1"/>
      <c r="AB2290" s="1"/>
    </row>
    <row r="2291" ht="50.25" customHeight="1">
      <c r="A2291" s="12">
        <v>2287.0</v>
      </c>
      <c r="B2291" s="13" t="s">
        <v>2233</v>
      </c>
      <c r="C2291" s="14" t="s">
        <v>2303</v>
      </c>
      <c r="D2291" s="1"/>
      <c r="E2291" s="1"/>
      <c r="F2291" s="1" t="str">
        <f>IFERROR(__xludf.DUMMYFUNCTION("GOOGLETRANSLATE(B2291, ""en"", ""fa"")
"),"کپی رایتینگ I")</f>
        <v>کپی رایتینگ I</v>
      </c>
      <c r="G2291" s="1" t="str">
        <f>IFERROR(__xludf.DUMMYFUNCTION("GOOGLETRANSLATE(C2291, ""en"", ""fa"")
"),"در مورد مزایای استفاده از زبان مشتری محور و شخصی سازی در کپی بازاریابی ایمیلی بحث کنید.")</f>
        <v>در مورد مزایای استفاده از زبان مشتری محور و شخصی سازی در کپی بازاریابی ایمیلی بحث کنید.</v>
      </c>
      <c r="H2291" s="1"/>
      <c r="I2291" s="1"/>
      <c r="J2291" s="1"/>
      <c r="K2291" s="1"/>
      <c r="L2291" s="1"/>
      <c r="M2291" s="1"/>
      <c r="N2291" s="1"/>
      <c r="O2291" s="1"/>
      <c r="P2291" s="1"/>
      <c r="Q2291" s="1"/>
      <c r="R2291" s="1"/>
      <c r="S2291" s="1"/>
      <c r="T2291" s="1"/>
      <c r="U2291" s="1"/>
      <c r="V2291" s="1"/>
      <c r="W2291" s="1"/>
      <c r="X2291" s="1"/>
      <c r="Y2291" s="1"/>
      <c r="Z2291" s="1"/>
      <c r="AA2291" s="1"/>
      <c r="AB2291" s="1"/>
    </row>
    <row r="2292" ht="50.25" customHeight="1">
      <c r="A2292" s="12">
        <v>2288.0</v>
      </c>
      <c r="B2292" s="13" t="s">
        <v>2233</v>
      </c>
      <c r="C2292" s="14" t="s">
        <v>2304</v>
      </c>
      <c r="D2292" s="1"/>
      <c r="E2292" s="1"/>
      <c r="F2292" s="1" t="str">
        <f>IFERROR(__xludf.DUMMYFUNCTION("GOOGLETRANSLATE(B2292, ""en"", ""fa"")
"),"کپی رایتینگ I")</f>
        <v>کپی رایتینگ I</v>
      </c>
      <c r="G2292" s="1" t="str">
        <f>IFERROR(__xludf.DUMMYFUNCTION("GOOGLETRANSLATE(C2292, ""en"", ""fa"")
"),"استراتژی هایی را برای ایجاد سرفصل های متقاعدکننده برای تبلیغات بومی به اشتراک بگذارید.")</f>
        <v>استراتژی هایی را برای ایجاد سرفصل های متقاعدکننده برای تبلیغات بومی به اشتراک بگذارید.</v>
      </c>
      <c r="H2292" s="1"/>
      <c r="I2292" s="1"/>
      <c r="J2292" s="1"/>
      <c r="K2292" s="1"/>
      <c r="L2292" s="1"/>
      <c r="M2292" s="1"/>
      <c r="N2292" s="1"/>
      <c r="O2292" s="1"/>
      <c r="P2292" s="1"/>
      <c r="Q2292" s="1"/>
      <c r="R2292" s="1"/>
      <c r="S2292" s="1"/>
      <c r="T2292" s="1"/>
      <c r="U2292" s="1"/>
      <c r="V2292" s="1"/>
      <c r="W2292" s="1"/>
      <c r="X2292" s="1"/>
      <c r="Y2292" s="1"/>
      <c r="Z2292" s="1"/>
      <c r="AA2292" s="1"/>
      <c r="AB2292" s="1"/>
    </row>
    <row r="2293" ht="50.25" customHeight="1">
      <c r="A2293" s="12">
        <v>2289.0</v>
      </c>
      <c r="B2293" s="13" t="s">
        <v>2233</v>
      </c>
      <c r="C2293" s="14" t="s">
        <v>2305</v>
      </c>
      <c r="D2293" s="1"/>
      <c r="E2293" s="1"/>
      <c r="F2293" s="1" t="str">
        <f>IFERROR(__xludf.DUMMYFUNCTION("GOOGLETRANSLATE(B2293, ""en"", ""fa"")
"),"کپی رایتینگ I")</f>
        <v>کپی رایتینگ I</v>
      </c>
      <c r="G2293" s="1" t="str">
        <f>IFERROR(__xludf.DUMMYFUNCTION("GOOGLETRANSLATE(C2293, ""en"", ""fa"")
"),"روش های مختلف برای ایجاد اسکریپت های ویدیویی جذاب و آموزنده برای محتوای آموزشی را بررسی کنید.")</f>
        <v>روش های مختلف برای ایجاد اسکریپت های ویدیویی جذاب و آموزنده برای محتوای آموزشی را بررسی کنید.</v>
      </c>
      <c r="H2293" s="1"/>
      <c r="I2293" s="1"/>
      <c r="J2293" s="1"/>
      <c r="K2293" s="1"/>
      <c r="L2293" s="1"/>
      <c r="M2293" s="1"/>
      <c r="N2293" s="1"/>
      <c r="O2293" s="1"/>
      <c r="P2293" s="1"/>
      <c r="Q2293" s="1"/>
      <c r="R2293" s="1"/>
      <c r="S2293" s="1"/>
      <c r="T2293" s="1"/>
      <c r="U2293" s="1"/>
      <c r="V2293" s="1"/>
      <c r="W2293" s="1"/>
      <c r="X2293" s="1"/>
      <c r="Y2293" s="1"/>
      <c r="Z2293" s="1"/>
      <c r="AA2293" s="1"/>
      <c r="AB2293" s="1"/>
    </row>
    <row r="2294" ht="50.25" customHeight="1">
      <c r="A2294" s="12">
        <v>2290.0</v>
      </c>
      <c r="B2294" s="13" t="s">
        <v>2233</v>
      </c>
      <c r="C2294" s="14" t="s">
        <v>2306</v>
      </c>
      <c r="D2294" s="1"/>
      <c r="E2294" s="1"/>
      <c r="F2294" s="1" t="str">
        <f>IFERROR(__xludf.DUMMYFUNCTION("GOOGLETRANSLATE(B2294, ""en"", ""fa"")
"),"کپی رایتینگ I")</f>
        <v>کپی رایتینگ I</v>
      </c>
      <c r="G2294" s="1" t="str">
        <f>IFERROR(__xludf.DUMMYFUNCTION("GOOGLETRANSLATE(C2294, ""en"", ""fa"")
"),"در مورد اهمیت انجام تجزیه و تحلیل رقبا برای شناسایی نقاط فروش منحصر به فرد و تمایز در کپی بحث کنید.")</f>
        <v>در مورد اهمیت انجام تجزیه و تحلیل رقبا برای شناسایی نقاط فروش منحصر به فرد و تمایز در کپی بحث کنید.</v>
      </c>
      <c r="H2294" s="1"/>
      <c r="I2294" s="1"/>
      <c r="J2294" s="1"/>
      <c r="K2294" s="1"/>
      <c r="L2294" s="1"/>
      <c r="M2294" s="1"/>
      <c r="N2294" s="1"/>
      <c r="O2294" s="1"/>
      <c r="P2294" s="1"/>
      <c r="Q2294" s="1"/>
      <c r="R2294" s="1"/>
      <c r="S2294" s="1"/>
      <c r="T2294" s="1"/>
      <c r="U2294" s="1"/>
      <c r="V2294" s="1"/>
      <c r="W2294" s="1"/>
      <c r="X2294" s="1"/>
      <c r="Y2294" s="1"/>
      <c r="Z2294" s="1"/>
      <c r="AA2294" s="1"/>
      <c r="AB2294" s="1"/>
    </row>
    <row r="2295" ht="50.25" customHeight="1">
      <c r="A2295" s="12">
        <v>2291.0</v>
      </c>
      <c r="B2295" s="13" t="s">
        <v>2233</v>
      </c>
      <c r="C2295" s="14" t="s">
        <v>2307</v>
      </c>
      <c r="D2295" s="1"/>
      <c r="E2295" s="1"/>
      <c r="F2295" s="1" t="str">
        <f>IFERROR(__xludf.DUMMYFUNCTION("GOOGLETRANSLATE(B2295, ""en"", ""fa"")
"),"کپی رایتینگ I")</f>
        <v>کپی رایتینگ I</v>
      </c>
      <c r="G2295" s="1" t="str">
        <f>IFERROR(__xludf.DUMMYFUNCTION("GOOGLETRANSLATE(C2295, ""en"", ""fa"")
"),"نکاتی را برای نوشتن بیوگرافی موثر رسانه های اجتماعی که شخصیت برند و ارزش پیشنهادی را به اشتراک می گذارد، به اشتراک بگذارید.")</f>
        <v>نکاتی را برای نوشتن بیوگرافی موثر رسانه های اجتماعی که شخصیت برند و ارزش پیشنهادی را به اشتراک می گذارد، به اشتراک بگذارید.</v>
      </c>
      <c r="H2295" s="1"/>
      <c r="I2295" s="1"/>
      <c r="J2295" s="1"/>
      <c r="K2295" s="1"/>
      <c r="L2295" s="1"/>
      <c r="M2295" s="1"/>
      <c r="N2295" s="1"/>
      <c r="O2295" s="1"/>
      <c r="P2295" s="1"/>
      <c r="Q2295" s="1"/>
      <c r="R2295" s="1"/>
      <c r="S2295" s="1"/>
      <c r="T2295" s="1"/>
      <c r="U2295" s="1"/>
      <c r="V2295" s="1"/>
      <c r="W2295" s="1"/>
      <c r="X2295" s="1"/>
      <c r="Y2295" s="1"/>
      <c r="Z2295" s="1"/>
      <c r="AA2295" s="1"/>
      <c r="AB2295" s="1"/>
    </row>
    <row r="2296" ht="50.25" customHeight="1">
      <c r="A2296" s="12">
        <v>2292.0</v>
      </c>
      <c r="B2296" s="13" t="s">
        <v>2233</v>
      </c>
      <c r="C2296" s="14" t="s">
        <v>2308</v>
      </c>
      <c r="D2296" s="1"/>
      <c r="E2296" s="1"/>
      <c r="F2296" s="1" t="str">
        <f>IFERROR(__xludf.DUMMYFUNCTION("GOOGLETRANSLATE(B2296, ""en"", ""fa"")
"),"کپی رایتینگ I")</f>
        <v>کپی رایتینگ I</v>
      </c>
      <c r="G2296" s="1" t="str">
        <f>IFERROR(__xludf.DUMMYFUNCTION("GOOGLETRANSLATE(C2296, ""en"", ""fa"")
"),"تکنیک‌هایی را برای ایجاد آگهی‌های متقاعدکننده که محتوای سرمقاله را با پیام‌های تبلیغاتی ترکیب می‌کنند، کاوش کنید.")</f>
        <v>تکنیک‌هایی را برای ایجاد آگهی‌های متقاعدکننده که محتوای سرمقاله را با پیام‌های تبلیغاتی ترکیب می‌کنند، کاوش کنید.</v>
      </c>
      <c r="H2296" s="1"/>
      <c r="I2296" s="1"/>
      <c r="J2296" s="1"/>
      <c r="K2296" s="1"/>
      <c r="L2296" s="1"/>
      <c r="M2296" s="1"/>
      <c r="N2296" s="1"/>
      <c r="O2296" s="1"/>
      <c r="P2296" s="1"/>
      <c r="Q2296" s="1"/>
      <c r="R2296" s="1"/>
      <c r="S2296" s="1"/>
      <c r="T2296" s="1"/>
      <c r="U2296" s="1"/>
      <c r="V2296" s="1"/>
      <c r="W2296" s="1"/>
      <c r="X2296" s="1"/>
      <c r="Y2296" s="1"/>
      <c r="Z2296" s="1"/>
      <c r="AA2296" s="1"/>
      <c r="AB2296" s="1"/>
    </row>
    <row r="2297" ht="50.25" customHeight="1">
      <c r="A2297" s="12">
        <v>2293.0</v>
      </c>
      <c r="B2297" s="13" t="s">
        <v>2233</v>
      </c>
      <c r="C2297" s="14" t="s">
        <v>2309</v>
      </c>
      <c r="D2297" s="1"/>
      <c r="E2297" s="1"/>
      <c r="F2297" s="1" t="str">
        <f>IFERROR(__xludf.DUMMYFUNCTION("GOOGLETRANSLATE(B2297, ""en"", ""fa"")
"),"کپی رایتینگ I")</f>
        <v>کپی رایتینگ I</v>
      </c>
      <c r="G2297" s="1" t="str">
        <f>IFERROR(__xludf.DUMMYFUNCTION("GOOGLETRANSLATE(C2297, ""en"", ""fa"")
"),"در مورد مزایای استفاده از داده ها و تحقیقات برای حمایت از ادعاها و تقویت کپی رایتینگ بحث کنید.")</f>
        <v>در مورد مزایای استفاده از داده ها و تحقیقات برای حمایت از ادعاها و تقویت کپی رایتینگ بحث کنید.</v>
      </c>
      <c r="H2297" s="1"/>
      <c r="I2297" s="1"/>
      <c r="J2297" s="1"/>
      <c r="K2297" s="1"/>
      <c r="L2297" s="1"/>
      <c r="M2297" s="1"/>
      <c r="N2297" s="1"/>
      <c r="O2297" s="1"/>
      <c r="P2297" s="1"/>
      <c r="Q2297" s="1"/>
      <c r="R2297" s="1"/>
      <c r="S2297" s="1"/>
      <c r="T2297" s="1"/>
      <c r="U2297" s="1"/>
      <c r="V2297" s="1"/>
      <c r="W2297" s="1"/>
      <c r="X2297" s="1"/>
      <c r="Y2297" s="1"/>
      <c r="Z2297" s="1"/>
      <c r="AA2297" s="1"/>
      <c r="AB2297" s="1"/>
    </row>
    <row r="2298" ht="50.25" customHeight="1">
      <c r="A2298" s="12">
        <v>2294.0</v>
      </c>
      <c r="B2298" s="13" t="s">
        <v>2233</v>
      </c>
      <c r="C2298" s="14" t="s">
        <v>2310</v>
      </c>
      <c r="D2298" s="1"/>
      <c r="E2298" s="1"/>
      <c r="F2298" s="1" t="str">
        <f>IFERROR(__xludf.DUMMYFUNCTION("GOOGLETRANSLATE(B2298, ""en"", ""fa"")
"),"کپی رایتینگ I")</f>
        <v>کپی رایتینگ I</v>
      </c>
      <c r="G2298" s="1" t="str">
        <f>IFERROR(__xludf.DUMMYFUNCTION("GOOGLETRANSLATE(C2298, ""en"", ""fa"")
"),"استراتژی‌هایی را برای نوشتن خبرنامه‌های ایمیلی تأثیرگذار که مشترکان را درگیر می‌کند و اقدامات را انجام می‌دهد، به اشتراک بگذارید.")</f>
        <v>استراتژی‌هایی را برای نوشتن خبرنامه‌های ایمیلی تأثیرگذار که مشترکان را درگیر می‌کند و اقدامات را انجام می‌دهد، به اشتراک بگذارید.</v>
      </c>
      <c r="H2298" s="1"/>
      <c r="I2298" s="1"/>
      <c r="J2298" s="1"/>
      <c r="K2298" s="1"/>
      <c r="L2298" s="1"/>
      <c r="M2298" s="1"/>
      <c r="N2298" s="1"/>
      <c r="O2298" s="1"/>
      <c r="P2298" s="1"/>
      <c r="Q2298" s="1"/>
      <c r="R2298" s="1"/>
      <c r="S2298" s="1"/>
      <c r="T2298" s="1"/>
      <c r="U2298" s="1"/>
      <c r="V2298" s="1"/>
      <c r="W2298" s="1"/>
      <c r="X2298" s="1"/>
      <c r="Y2298" s="1"/>
      <c r="Z2298" s="1"/>
      <c r="AA2298" s="1"/>
      <c r="AB2298" s="1"/>
    </row>
    <row r="2299" ht="50.25" customHeight="1">
      <c r="A2299" s="12">
        <v>2295.0</v>
      </c>
      <c r="B2299" s="13" t="s">
        <v>2233</v>
      </c>
      <c r="C2299" s="14" t="s">
        <v>2311</v>
      </c>
      <c r="D2299" s="1"/>
      <c r="E2299" s="1"/>
      <c r="F2299" s="1" t="str">
        <f>IFERROR(__xludf.DUMMYFUNCTION("GOOGLETRANSLATE(B2299, ""en"", ""fa"")
"),"کپی رایتینگ I")</f>
        <v>کپی رایتینگ I</v>
      </c>
      <c r="G2299" s="1" t="str">
        <f>IFERROR(__xludf.DUMMYFUNCTION("GOOGLETRANSLATE(C2299, ""en"", ""fa"")
"),"روش های مختلف برای ایجاد محتوای جذاب برای تبلیغات بنری آنلاین را بررسی کنید.")</f>
        <v>روش های مختلف برای ایجاد محتوای جذاب برای تبلیغات بنری آنلاین را بررسی کنید.</v>
      </c>
      <c r="H2299" s="1"/>
      <c r="I2299" s="1"/>
      <c r="J2299" s="1"/>
      <c r="K2299" s="1"/>
      <c r="L2299" s="1"/>
      <c r="M2299" s="1"/>
      <c r="N2299" s="1"/>
      <c r="O2299" s="1"/>
      <c r="P2299" s="1"/>
      <c r="Q2299" s="1"/>
      <c r="R2299" s="1"/>
      <c r="S2299" s="1"/>
      <c r="T2299" s="1"/>
      <c r="U2299" s="1"/>
      <c r="V2299" s="1"/>
      <c r="W2299" s="1"/>
      <c r="X2299" s="1"/>
      <c r="Y2299" s="1"/>
      <c r="Z2299" s="1"/>
      <c r="AA2299" s="1"/>
      <c r="AB2299" s="1"/>
    </row>
    <row r="2300" ht="50.25" customHeight="1">
      <c r="A2300" s="12">
        <v>2296.0</v>
      </c>
      <c r="B2300" s="13" t="s">
        <v>2233</v>
      </c>
      <c r="C2300" s="14" t="s">
        <v>2312</v>
      </c>
      <c r="D2300" s="1"/>
      <c r="E2300" s="1"/>
      <c r="F2300" s="1" t="str">
        <f>IFERROR(__xludf.DUMMYFUNCTION("GOOGLETRANSLATE(B2300, ""en"", ""fa"")
"),"کپی رایتینگ I")</f>
        <v>کپی رایتینگ I</v>
      </c>
      <c r="G2300" s="1" t="str">
        <f>IFERROR(__xludf.DUMMYFUNCTION("GOOGLETRANSLATE(C2300, ""en"", ""fa"")
"),"در مورد اهمیت استفاده از تقسیم بندی و شخصی سازی مشتری در کپی بازاریابی ایمیلی بحث کنید.")</f>
        <v>در مورد اهمیت استفاده از تقسیم بندی و شخصی سازی مشتری در کپی بازاریابی ایمیلی بحث کنید.</v>
      </c>
      <c r="H2300" s="1"/>
      <c r="I2300" s="1"/>
      <c r="J2300" s="1"/>
      <c r="K2300" s="1"/>
      <c r="L2300" s="1"/>
      <c r="M2300" s="1"/>
      <c r="N2300" s="1"/>
      <c r="O2300" s="1"/>
      <c r="P2300" s="1"/>
      <c r="Q2300" s="1"/>
      <c r="R2300" s="1"/>
      <c r="S2300" s="1"/>
      <c r="T2300" s="1"/>
      <c r="U2300" s="1"/>
      <c r="V2300" s="1"/>
      <c r="W2300" s="1"/>
      <c r="X2300" s="1"/>
      <c r="Y2300" s="1"/>
      <c r="Z2300" s="1"/>
      <c r="AA2300" s="1"/>
      <c r="AB2300" s="1"/>
    </row>
    <row r="2301" ht="50.25" customHeight="1">
      <c r="A2301" s="12">
        <v>2297.0</v>
      </c>
      <c r="B2301" s="13" t="s">
        <v>2233</v>
      </c>
      <c r="C2301" s="14" t="s">
        <v>2313</v>
      </c>
      <c r="D2301" s="1"/>
      <c r="E2301" s="1"/>
      <c r="F2301" s="1" t="str">
        <f>IFERROR(__xludf.DUMMYFUNCTION("GOOGLETRANSLATE(B2301, ""en"", ""fa"")
"),"کپی رایتینگ I")</f>
        <v>کپی رایتینگ I</v>
      </c>
      <c r="G2301" s="1" t="str">
        <f>IFERROR(__xludf.DUMMYFUNCTION("GOOGLETRANSLATE(C2301, ""en"", ""fa"")
"),"نکاتی را برای نوشتن اسکریپت های ویدیویی متقاعدکننده برای نمایش محصول یا آموزش به اشتراک بگذارید.")</f>
        <v>نکاتی را برای نوشتن اسکریپت های ویدیویی متقاعدکننده برای نمایش محصول یا آموزش به اشتراک بگذارید.</v>
      </c>
      <c r="H2301" s="1"/>
      <c r="I2301" s="1"/>
      <c r="J2301" s="1"/>
      <c r="K2301" s="1"/>
      <c r="L2301" s="1"/>
      <c r="M2301" s="1"/>
      <c r="N2301" s="1"/>
      <c r="O2301" s="1"/>
      <c r="P2301" s="1"/>
      <c r="Q2301" s="1"/>
      <c r="R2301" s="1"/>
      <c r="S2301" s="1"/>
      <c r="T2301" s="1"/>
      <c r="U2301" s="1"/>
      <c r="V2301" s="1"/>
      <c r="W2301" s="1"/>
      <c r="X2301" s="1"/>
      <c r="Y2301" s="1"/>
      <c r="Z2301" s="1"/>
      <c r="AA2301" s="1"/>
      <c r="AB2301" s="1"/>
    </row>
    <row r="2302" ht="50.25" customHeight="1">
      <c r="A2302" s="12">
        <v>2298.0</v>
      </c>
      <c r="B2302" s="13" t="s">
        <v>2233</v>
      </c>
      <c r="C2302" s="14" t="s">
        <v>2314</v>
      </c>
      <c r="D2302" s="1"/>
      <c r="E2302" s="1"/>
      <c r="F2302" s="1" t="str">
        <f>IFERROR(__xludf.DUMMYFUNCTION("GOOGLETRANSLATE(B2302, ""en"", ""fa"")
"),"کپی رایتینگ I")</f>
        <v>کپی رایتینگ I</v>
      </c>
      <c r="G2302" s="1" t="str">
        <f>IFERROR(__xludf.DUMMYFUNCTION("GOOGLETRANSLATE(C2302, ""en"", ""fa"")
"),"تکنیک هایی را برای ایجاد برچسب های برند جذاب و به یاد ماندنی کاوش کنید.")</f>
        <v>تکنیک هایی را برای ایجاد برچسب های برند جذاب و به یاد ماندنی کاوش کنید.</v>
      </c>
      <c r="H2302" s="1"/>
      <c r="I2302" s="1"/>
      <c r="J2302" s="1"/>
      <c r="K2302" s="1"/>
      <c r="L2302" s="1"/>
      <c r="M2302" s="1"/>
      <c r="N2302" s="1"/>
      <c r="O2302" s="1"/>
      <c r="P2302" s="1"/>
      <c r="Q2302" s="1"/>
      <c r="R2302" s="1"/>
      <c r="S2302" s="1"/>
      <c r="T2302" s="1"/>
      <c r="U2302" s="1"/>
      <c r="V2302" s="1"/>
      <c r="W2302" s="1"/>
      <c r="X2302" s="1"/>
      <c r="Y2302" s="1"/>
      <c r="Z2302" s="1"/>
      <c r="AA2302" s="1"/>
      <c r="AB2302" s="1"/>
    </row>
    <row r="2303" ht="50.25" customHeight="1">
      <c r="A2303" s="12">
        <v>2299.0</v>
      </c>
      <c r="B2303" s="13" t="s">
        <v>2233</v>
      </c>
      <c r="C2303" s="14" t="s">
        <v>2315</v>
      </c>
      <c r="D2303" s="1"/>
      <c r="E2303" s="1"/>
      <c r="F2303" s="1" t="str">
        <f>IFERROR(__xludf.DUMMYFUNCTION("GOOGLETRANSLATE(B2303, ""en"", ""fa"")
"),"کپی رایتینگ I")</f>
        <v>کپی رایتینگ I</v>
      </c>
      <c r="G2303" s="1" t="str">
        <f>IFERROR(__xludf.DUMMYFUNCTION("GOOGLETRANSLATE(C2303, ""en"", ""fa"")
"),"در مورد مزایای استفاده از تکنیک های داستان سرایی در کپی رایتینگ برای سازمان های غیرانتفاعی بحث کنید.")</f>
        <v>در مورد مزایای استفاده از تکنیک های داستان سرایی در کپی رایتینگ برای سازمان های غیرانتفاعی بحث کنید.</v>
      </c>
      <c r="H2303" s="1"/>
      <c r="I2303" s="1"/>
      <c r="J2303" s="1"/>
      <c r="K2303" s="1"/>
      <c r="L2303" s="1"/>
      <c r="M2303" s="1"/>
      <c r="N2303" s="1"/>
      <c r="O2303" s="1"/>
      <c r="P2303" s="1"/>
      <c r="Q2303" s="1"/>
      <c r="R2303" s="1"/>
      <c r="S2303" s="1"/>
      <c r="T2303" s="1"/>
      <c r="U2303" s="1"/>
      <c r="V2303" s="1"/>
      <c r="W2303" s="1"/>
      <c r="X2303" s="1"/>
      <c r="Y2303" s="1"/>
      <c r="Z2303" s="1"/>
      <c r="AA2303" s="1"/>
      <c r="AB2303" s="1"/>
    </row>
    <row r="2304" ht="50.25" customHeight="1">
      <c r="A2304" s="12">
        <v>2300.0</v>
      </c>
      <c r="B2304" s="13" t="s">
        <v>2233</v>
      </c>
      <c r="C2304" s="14" t="s">
        <v>2316</v>
      </c>
      <c r="D2304" s="1"/>
      <c r="E2304" s="1"/>
      <c r="F2304" s="1" t="str">
        <f>IFERROR(__xludf.DUMMYFUNCTION("GOOGLETRANSLATE(B2304, ""en"", ""fa"")
"),"کپی رایتینگ I")</f>
        <v>کپی رایتینگ I</v>
      </c>
      <c r="G2304" s="1" t="str">
        <f>IFERROR(__xludf.DUMMYFUNCTION("GOOGLETRANSLATE(C2304, ""en"", ""fa"")
"),"استراتژی هایی برای نوشتن سرفصل های متقاعدکننده برای پست های وبلاگ که خوانندگان را تشویق می کند به اشتراک بگذارید.")</f>
        <v>استراتژی هایی برای نوشتن سرفصل های متقاعدکننده برای پست های وبلاگ که خوانندگان را تشویق می کند به اشتراک بگذارید.</v>
      </c>
      <c r="H2304" s="1"/>
      <c r="I2304" s="1"/>
      <c r="J2304" s="1"/>
      <c r="K2304" s="1"/>
      <c r="L2304" s="1"/>
      <c r="M2304" s="1"/>
      <c r="N2304" s="1"/>
      <c r="O2304" s="1"/>
      <c r="P2304" s="1"/>
      <c r="Q2304" s="1"/>
      <c r="R2304" s="1"/>
      <c r="S2304" s="1"/>
      <c r="T2304" s="1"/>
      <c r="U2304" s="1"/>
      <c r="V2304" s="1"/>
      <c r="W2304" s="1"/>
      <c r="X2304" s="1"/>
      <c r="Y2304" s="1"/>
      <c r="Z2304" s="1"/>
      <c r="AA2304" s="1"/>
      <c r="AB2304" s="1"/>
    </row>
    <row r="2305" ht="50.25" customHeight="1">
      <c r="A2305" s="12">
        <v>2301.0</v>
      </c>
      <c r="B2305" s="13" t="s">
        <v>2233</v>
      </c>
      <c r="C2305" s="14" t="s">
        <v>2317</v>
      </c>
      <c r="D2305" s="1"/>
      <c r="E2305" s="1"/>
      <c r="F2305" s="1" t="str">
        <f>IFERROR(__xludf.DUMMYFUNCTION("GOOGLETRANSLATE(B2305, ""en"", ""fa"")
"),"کپی رایتینگ I")</f>
        <v>کپی رایتینگ I</v>
      </c>
      <c r="G2305" s="1" t="str">
        <f>IFERROR(__xludf.DUMMYFUNCTION("GOOGLETRANSLATE(C2305, ""en"", ""fa"")
"),"روش های مختلف برای ترکیب کلمات کلیدی و بهترین شیوه های سئو در کپی رایتینگ را بررسی کنید.")</f>
        <v>روش های مختلف برای ترکیب کلمات کلیدی و بهترین شیوه های سئو در کپی رایتینگ را بررسی کنید.</v>
      </c>
      <c r="H2305" s="1"/>
      <c r="I2305" s="1"/>
      <c r="J2305" s="1"/>
      <c r="K2305" s="1"/>
      <c r="L2305" s="1"/>
      <c r="M2305" s="1"/>
      <c r="N2305" s="1"/>
      <c r="O2305" s="1"/>
      <c r="P2305" s="1"/>
      <c r="Q2305" s="1"/>
      <c r="R2305" s="1"/>
      <c r="S2305" s="1"/>
      <c r="T2305" s="1"/>
      <c r="U2305" s="1"/>
      <c r="V2305" s="1"/>
      <c r="W2305" s="1"/>
      <c r="X2305" s="1"/>
      <c r="Y2305" s="1"/>
      <c r="Z2305" s="1"/>
      <c r="AA2305" s="1"/>
      <c r="AB2305" s="1"/>
    </row>
    <row r="2306" ht="50.25" customHeight="1">
      <c r="A2306" s="12">
        <v>2302.0</v>
      </c>
      <c r="B2306" s="13" t="s">
        <v>2233</v>
      </c>
      <c r="C2306" s="14" t="s">
        <v>2318</v>
      </c>
      <c r="D2306" s="1"/>
      <c r="E2306" s="1"/>
      <c r="F2306" s="1" t="str">
        <f>IFERROR(__xludf.DUMMYFUNCTION("GOOGLETRANSLATE(B2306, ""en"", ""fa"")
"),"کپی رایتینگ I")</f>
        <v>کپی رایتینگ I</v>
      </c>
      <c r="G2306" s="1" t="str">
        <f>IFERROR(__xludf.DUMMYFUNCTION("GOOGLETRANSLATE(C2306, ""en"", ""fa"")
"),"در مورد اهمیت ایجاد صدای و لحن قوی برند در کپی رایتینگ برای ایجاد ثبات و شناخت بحث کنید.")</f>
        <v>در مورد اهمیت ایجاد صدای و لحن قوی برند در کپی رایتینگ برای ایجاد ثبات و شناخت بحث کنید.</v>
      </c>
      <c r="H2306" s="1"/>
      <c r="I2306" s="1"/>
      <c r="J2306" s="1"/>
      <c r="K2306" s="1"/>
      <c r="L2306" s="1"/>
      <c r="M2306" s="1"/>
      <c r="N2306" s="1"/>
      <c r="O2306" s="1"/>
      <c r="P2306" s="1"/>
      <c r="Q2306" s="1"/>
      <c r="R2306" s="1"/>
      <c r="S2306" s="1"/>
      <c r="T2306" s="1"/>
      <c r="U2306" s="1"/>
      <c r="V2306" s="1"/>
      <c r="W2306" s="1"/>
      <c r="X2306" s="1"/>
      <c r="Y2306" s="1"/>
      <c r="Z2306" s="1"/>
      <c r="AA2306" s="1"/>
      <c r="AB2306" s="1"/>
    </row>
    <row r="2307" ht="50.25" customHeight="1">
      <c r="A2307" s="12">
        <v>2303.0</v>
      </c>
      <c r="B2307" s="13" t="s">
        <v>2233</v>
      </c>
      <c r="C2307" s="14" t="s">
        <v>2319</v>
      </c>
      <c r="D2307" s="1"/>
      <c r="E2307" s="1"/>
      <c r="F2307" s="1" t="str">
        <f>IFERROR(__xludf.DUMMYFUNCTION("GOOGLETRANSLATE(B2307, ""en"", ""fa"")
"),"کپی رایتینگ I")</f>
        <v>کپی رایتینگ I</v>
      </c>
      <c r="G2307" s="1" t="str">
        <f>IFERROR(__xludf.DUMMYFUNCTION("GOOGLETRANSLATE(C2307, ""en"", ""fa"")
"),"نکاتی را برای نوشتن شرح‌های رسانه‌های اجتماعی موثر که توجه را به خود جلب می‌کند و باعث ایجاد تعامل می‌شود، به اشتراک بگذارید.")</f>
        <v>نکاتی را برای نوشتن شرح‌های رسانه‌های اجتماعی موثر که توجه را به خود جلب می‌کند و باعث ایجاد تعامل می‌شود، به اشتراک بگذارید.</v>
      </c>
      <c r="H2307" s="1"/>
      <c r="I2307" s="1"/>
      <c r="J2307" s="1"/>
      <c r="K2307" s="1"/>
      <c r="L2307" s="1"/>
      <c r="M2307" s="1"/>
      <c r="N2307" s="1"/>
      <c r="O2307" s="1"/>
      <c r="P2307" s="1"/>
      <c r="Q2307" s="1"/>
      <c r="R2307" s="1"/>
      <c r="S2307" s="1"/>
      <c r="T2307" s="1"/>
      <c r="U2307" s="1"/>
      <c r="V2307" s="1"/>
      <c r="W2307" s="1"/>
      <c r="X2307" s="1"/>
      <c r="Y2307" s="1"/>
      <c r="Z2307" s="1"/>
      <c r="AA2307" s="1"/>
      <c r="AB2307" s="1"/>
    </row>
    <row r="2308" ht="50.25" customHeight="1">
      <c r="A2308" s="12">
        <v>2304.0</v>
      </c>
      <c r="B2308" s="13" t="s">
        <v>2233</v>
      </c>
      <c r="C2308" s="14" t="s">
        <v>2320</v>
      </c>
      <c r="D2308" s="1"/>
      <c r="E2308" s="1"/>
      <c r="F2308" s="1" t="str">
        <f>IFERROR(__xludf.DUMMYFUNCTION("GOOGLETRANSLATE(B2308, ""en"", ""fa"")
"),"کپی رایتینگ I")</f>
        <v>کپی رایتینگ I</v>
      </c>
      <c r="G2308" s="1" t="str">
        <f>IFERROR(__xludf.DUMMYFUNCTION("GOOGLETRANSLATE(C2308, ""en"", ""fa"")
"),"تکنیک‌هایی را برای ایجاد اسکریپت‌های فروش متقاعدکننده برای بازاریابی تلفنی یا تماس سرد کاوش کنید.")</f>
        <v>تکنیک‌هایی را برای ایجاد اسکریپت‌های فروش متقاعدکننده برای بازاریابی تلفنی یا تماس سرد کاوش کنید.</v>
      </c>
      <c r="H2308" s="1"/>
      <c r="I2308" s="1"/>
      <c r="J2308" s="1"/>
      <c r="K2308" s="1"/>
      <c r="L2308" s="1"/>
      <c r="M2308" s="1"/>
      <c r="N2308" s="1"/>
      <c r="O2308" s="1"/>
      <c r="P2308" s="1"/>
      <c r="Q2308" s="1"/>
      <c r="R2308" s="1"/>
      <c r="S2308" s="1"/>
      <c r="T2308" s="1"/>
      <c r="U2308" s="1"/>
      <c r="V2308" s="1"/>
      <c r="W2308" s="1"/>
      <c r="X2308" s="1"/>
      <c r="Y2308" s="1"/>
      <c r="Z2308" s="1"/>
      <c r="AA2308" s="1"/>
      <c r="AB2308" s="1"/>
    </row>
    <row r="2309" ht="50.25" customHeight="1">
      <c r="A2309" s="12">
        <v>2305.0</v>
      </c>
      <c r="B2309" s="13" t="s">
        <v>2233</v>
      </c>
      <c r="C2309" s="14" t="s">
        <v>2321</v>
      </c>
      <c r="D2309" s="1"/>
      <c r="E2309" s="1"/>
      <c r="F2309" s="1" t="str">
        <f>IFERROR(__xludf.DUMMYFUNCTION("GOOGLETRANSLATE(B2309, ""en"", ""fa"")
"),"کپی رایتینگ I")</f>
        <v>کپی رایتینگ I</v>
      </c>
      <c r="G2309" s="1" t="str">
        <f>IFERROR(__xludf.DUMMYFUNCTION("GOOGLETRANSLATE(C2309, ""en"", ""fa"")
"),"در مورد مزایای استفاده از بینش های مبتنی بر داده برای بهینه سازی کپی برای عملکرد بهتر بحث کنید.")</f>
        <v>در مورد مزایای استفاده از بینش های مبتنی بر داده برای بهینه سازی کپی برای عملکرد بهتر بحث کنید.</v>
      </c>
      <c r="H2309" s="1"/>
      <c r="I2309" s="1"/>
      <c r="J2309" s="1"/>
      <c r="K2309" s="1"/>
      <c r="L2309" s="1"/>
      <c r="M2309" s="1"/>
      <c r="N2309" s="1"/>
      <c r="O2309" s="1"/>
      <c r="P2309" s="1"/>
      <c r="Q2309" s="1"/>
      <c r="R2309" s="1"/>
      <c r="S2309" s="1"/>
      <c r="T2309" s="1"/>
      <c r="U2309" s="1"/>
      <c r="V2309" s="1"/>
      <c r="W2309" s="1"/>
      <c r="X2309" s="1"/>
      <c r="Y2309" s="1"/>
      <c r="Z2309" s="1"/>
      <c r="AA2309" s="1"/>
      <c r="AB2309" s="1"/>
    </row>
    <row r="2310" ht="50.25" customHeight="1">
      <c r="A2310" s="12">
        <v>2306.0</v>
      </c>
      <c r="B2310" s="13" t="s">
        <v>2233</v>
      </c>
      <c r="C2310" s="14" t="s">
        <v>2322</v>
      </c>
      <c r="D2310" s="1"/>
      <c r="E2310" s="1"/>
      <c r="F2310" s="1" t="str">
        <f>IFERROR(__xludf.DUMMYFUNCTION("GOOGLETRANSLATE(B2310, ""en"", ""fa"")
"),"کپی رایتینگ I")</f>
        <v>کپی رایتینگ I</v>
      </c>
      <c r="G2310" s="1" t="str">
        <f>IFERROR(__xludf.DUMMYFUNCTION("GOOGLETRANSLATE(C2310, ""en"", ""fa"")
"),"استراتژی هایی را برای نوشتن مطالعات موردی تأثیرگذار که نتایج و مزایای موفق را نشان می دهد، به اشتراک بگذارید.")</f>
        <v>استراتژی هایی را برای نوشتن مطالعات موردی تأثیرگذار که نتایج و مزایای موفق را نشان می دهد، به اشتراک بگذارید.</v>
      </c>
      <c r="H2310" s="1"/>
      <c r="I2310" s="1"/>
      <c r="J2310" s="1"/>
      <c r="K2310" s="1"/>
      <c r="L2310" s="1"/>
      <c r="M2310" s="1"/>
      <c r="N2310" s="1"/>
      <c r="O2310" s="1"/>
      <c r="P2310" s="1"/>
      <c r="Q2310" s="1"/>
      <c r="R2310" s="1"/>
      <c r="S2310" s="1"/>
      <c r="T2310" s="1"/>
      <c r="U2310" s="1"/>
      <c r="V2310" s="1"/>
      <c r="W2310" s="1"/>
      <c r="X2310" s="1"/>
      <c r="Y2310" s="1"/>
      <c r="Z2310" s="1"/>
      <c r="AA2310" s="1"/>
      <c r="AB2310" s="1"/>
    </row>
    <row r="2311" ht="50.25" customHeight="1">
      <c r="A2311" s="12">
        <v>2307.0</v>
      </c>
      <c r="B2311" s="13" t="s">
        <v>2233</v>
      </c>
      <c r="C2311" s="14" t="s">
        <v>2323</v>
      </c>
      <c r="D2311" s="1"/>
      <c r="E2311" s="1"/>
      <c r="F2311" s="1" t="str">
        <f>IFERROR(__xludf.DUMMYFUNCTION("GOOGLETRANSLATE(B2311, ""en"", ""fa"")
"),"کپی رایتینگ I")</f>
        <v>کپی رایتینگ I</v>
      </c>
      <c r="G2311" s="1" t="str">
        <f>IFERROR(__xludf.DUMMYFUNCTION("GOOGLETRANSLATE(C2311, ""en"", ""fa"")
"),"روش های مختلف برای ایجاد محتوای جذاب برای تبلیغات نمایشی را بررسی کنید.")</f>
        <v>روش های مختلف برای ایجاد محتوای جذاب برای تبلیغات نمایشی را بررسی کنید.</v>
      </c>
      <c r="H2311" s="1"/>
      <c r="I2311" s="1"/>
      <c r="J2311" s="1"/>
      <c r="K2311" s="1"/>
      <c r="L2311" s="1"/>
      <c r="M2311" s="1"/>
      <c r="N2311" s="1"/>
      <c r="O2311" s="1"/>
      <c r="P2311" s="1"/>
      <c r="Q2311" s="1"/>
      <c r="R2311" s="1"/>
      <c r="S2311" s="1"/>
      <c r="T2311" s="1"/>
      <c r="U2311" s="1"/>
      <c r="V2311" s="1"/>
      <c r="W2311" s="1"/>
      <c r="X2311" s="1"/>
      <c r="Y2311" s="1"/>
      <c r="Z2311" s="1"/>
      <c r="AA2311" s="1"/>
      <c r="AB2311" s="1"/>
    </row>
    <row r="2312" ht="50.25" customHeight="1">
      <c r="A2312" s="12">
        <v>2308.0</v>
      </c>
      <c r="B2312" s="13" t="s">
        <v>2233</v>
      </c>
      <c r="C2312" s="14" t="s">
        <v>2324</v>
      </c>
      <c r="D2312" s="1"/>
      <c r="E2312" s="1"/>
      <c r="F2312" s="1" t="str">
        <f>IFERROR(__xludf.DUMMYFUNCTION("GOOGLETRANSLATE(B2312, ""en"", ""fa"")
"),"کپی رایتینگ I")</f>
        <v>کپی رایتینگ I</v>
      </c>
      <c r="G2312" s="1" t="str">
        <f>IFERROR(__xludf.DUMMYFUNCTION("GOOGLETRANSLATE(C2312, ""en"", ""fa"")
"),"در مورد اهمیت استفاده از بازخورد و نظرات مشتری برای اطلاع از استراتژی های کپی رایتینگ بحث کنید.")</f>
        <v>در مورد اهمیت استفاده از بازخورد و نظرات مشتری برای اطلاع از استراتژی های کپی رایتینگ بحث کنید.</v>
      </c>
      <c r="H2312" s="1"/>
      <c r="I2312" s="1"/>
      <c r="J2312" s="1"/>
      <c r="K2312" s="1"/>
      <c r="L2312" s="1"/>
      <c r="M2312" s="1"/>
      <c r="N2312" s="1"/>
      <c r="O2312" s="1"/>
      <c r="P2312" s="1"/>
      <c r="Q2312" s="1"/>
      <c r="R2312" s="1"/>
      <c r="S2312" s="1"/>
      <c r="T2312" s="1"/>
      <c r="U2312" s="1"/>
      <c r="V2312" s="1"/>
      <c r="W2312" s="1"/>
      <c r="X2312" s="1"/>
      <c r="Y2312" s="1"/>
      <c r="Z2312" s="1"/>
      <c r="AA2312" s="1"/>
      <c r="AB2312" s="1"/>
    </row>
    <row r="2313" ht="50.25" customHeight="1">
      <c r="A2313" s="12">
        <v>2309.0</v>
      </c>
      <c r="B2313" s="13" t="s">
        <v>2233</v>
      </c>
      <c r="C2313" s="14" t="s">
        <v>2325</v>
      </c>
      <c r="D2313" s="1"/>
      <c r="E2313" s="1"/>
      <c r="F2313" s="1" t="str">
        <f>IFERROR(__xludf.DUMMYFUNCTION("GOOGLETRANSLATE(B2313, ""en"", ""fa"")
"),"کپی رایتینگ I")</f>
        <v>کپی رایتینگ I</v>
      </c>
      <c r="G2313" s="1" t="str">
        <f>IFERROR(__xludf.DUMMYFUNCTION("GOOGLETRANSLATE(C2313, ""en"", ""fa"")
"),"نکاتی را برای نوشتن خطوط موضوع ایمیل متقاعدکننده به اشتراک بگذارید که گیرندگان را به باز کردن و خواندن ترغیب کند.")</f>
        <v>نکاتی را برای نوشتن خطوط موضوع ایمیل متقاعدکننده به اشتراک بگذارید که گیرندگان را به باز کردن و خواندن ترغیب کند.</v>
      </c>
      <c r="H2313" s="1"/>
      <c r="I2313" s="1"/>
      <c r="J2313" s="1"/>
      <c r="K2313" s="1"/>
      <c r="L2313" s="1"/>
      <c r="M2313" s="1"/>
      <c r="N2313" s="1"/>
      <c r="O2313" s="1"/>
      <c r="P2313" s="1"/>
      <c r="Q2313" s="1"/>
      <c r="R2313" s="1"/>
      <c r="S2313" s="1"/>
      <c r="T2313" s="1"/>
      <c r="U2313" s="1"/>
      <c r="V2313" s="1"/>
      <c r="W2313" s="1"/>
      <c r="X2313" s="1"/>
      <c r="Y2313" s="1"/>
      <c r="Z2313" s="1"/>
      <c r="AA2313" s="1"/>
      <c r="AB2313" s="1"/>
    </row>
    <row r="2314" ht="50.25" customHeight="1">
      <c r="A2314" s="12">
        <v>2310.0</v>
      </c>
      <c r="B2314" s="13" t="s">
        <v>2233</v>
      </c>
      <c r="C2314" s="14" t="s">
        <v>2326</v>
      </c>
      <c r="D2314" s="1"/>
      <c r="E2314" s="1"/>
      <c r="F2314" s="1" t="str">
        <f>IFERROR(__xludf.DUMMYFUNCTION("GOOGLETRANSLATE(B2314, ""en"", ""fa"")
"),"کپی رایتینگ I")</f>
        <v>کپی رایتینگ I</v>
      </c>
      <c r="G2314" s="1" t="str">
        <f>IFERROR(__xludf.DUMMYFUNCTION("GOOGLETRANSLATE(C2314, ""en"", ""fa"")
"),"تکنیک‌هایی را برای ایجاد پست‌های وبلاگی جذاب و آموزنده که برای خوانندگان ارزش ایجاد می‌کند، کاوش کنید.")</f>
        <v>تکنیک‌هایی را برای ایجاد پست‌های وبلاگی جذاب و آموزنده که برای خوانندگان ارزش ایجاد می‌کند، کاوش کنید.</v>
      </c>
      <c r="H2314" s="1"/>
      <c r="I2314" s="1"/>
      <c r="J2314" s="1"/>
      <c r="K2314" s="1"/>
      <c r="L2314" s="1"/>
      <c r="M2314" s="1"/>
      <c r="N2314" s="1"/>
      <c r="O2314" s="1"/>
      <c r="P2314" s="1"/>
      <c r="Q2314" s="1"/>
      <c r="R2314" s="1"/>
      <c r="S2314" s="1"/>
      <c r="T2314" s="1"/>
      <c r="U2314" s="1"/>
      <c r="V2314" s="1"/>
      <c r="W2314" s="1"/>
      <c r="X2314" s="1"/>
      <c r="Y2314" s="1"/>
      <c r="Z2314" s="1"/>
      <c r="AA2314" s="1"/>
      <c r="AB2314" s="1"/>
    </row>
    <row r="2315" ht="50.25" customHeight="1">
      <c r="A2315" s="12">
        <v>2311.0</v>
      </c>
      <c r="B2315" s="13" t="s">
        <v>2233</v>
      </c>
      <c r="C2315" s="14" t="s">
        <v>2327</v>
      </c>
      <c r="D2315" s="1"/>
      <c r="E2315" s="1"/>
      <c r="F2315" s="1" t="str">
        <f>IFERROR(__xludf.DUMMYFUNCTION("GOOGLETRANSLATE(B2315, ""en"", ""fa"")
"),"کپی رایتینگ I")</f>
        <v>کپی رایتینگ I</v>
      </c>
      <c r="G2315" s="1" t="str">
        <f>IFERROR(__xludf.DUMMYFUNCTION("GOOGLETRANSLATE(C2315, ""en"", ""fa"")
"),"در مورد مزایای استفاده از عناصر داستان سرایی در کپی رایتینگ برای صنعت مهمان نوازی و مسافرت بحث کنید.")</f>
        <v>در مورد مزایای استفاده از عناصر داستان سرایی در کپی رایتینگ برای صنعت مهمان نوازی و مسافرت بحث کنید.</v>
      </c>
      <c r="H2315" s="1"/>
      <c r="I2315" s="1"/>
      <c r="J2315" s="1"/>
      <c r="K2315" s="1"/>
      <c r="L2315" s="1"/>
      <c r="M2315" s="1"/>
      <c r="N2315" s="1"/>
      <c r="O2315" s="1"/>
      <c r="P2315" s="1"/>
      <c r="Q2315" s="1"/>
      <c r="R2315" s="1"/>
      <c r="S2315" s="1"/>
      <c r="T2315" s="1"/>
      <c r="U2315" s="1"/>
      <c r="V2315" s="1"/>
      <c r="W2315" s="1"/>
      <c r="X2315" s="1"/>
      <c r="Y2315" s="1"/>
      <c r="Z2315" s="1"/>
      <c r="AA2315" s="1"/>
      <c r="AB2315" s="1"/>
    </row>
    <row r="2316" ht="50.25" customHeight="1">
      <c r="A2316" s="12">
        <v>2312.0</v>
      </c>
      <c r="B2316" s="13" t="s">
        <v>2233</v>
      </c>
      <c r="C2316" s="14" t="s">
        <v>2328</v>
      </c>
      <c r="D2316" s="1"/>
      <c r="E2316" s="1"/>
      <c r="F2316" s="1" t="str">
        <f>IFERROR(__xludf.DUMMYFUNCTION("GOOGLETRANSLATE(B2316, ""en"", ""fa"")
"),"کپی رایتینگ I")</f>
        <v>کپی رایتینگ I</v>
      </c>
      <c r="G2316" s="1" t="str">
        <f>IFERROR(__xludf.DUMMYFUNCTION("GOOGLETRANSLATE(C2316, ""en"", ""fa"")
"),"استراتژی های نوشتن سرفصل های تاثیرگذار برای مقالات بازاریابی محتوا را به اشتراک بگذارید.")</f>
        <v>استراتژی های نوشتن سرفصل های تاثیرگذار برای مقالات بازاریابی محتوا را به اشتراک بگذارید.</v>
      </c>
      <c r="H2316" s="1"/>
      <c r="I2316" s="1"/>
      <c r="J2316" s="1"/>
      <c r="K2316" s="1"/>
      <c r="L2316" s="1"/>
      <c r="M2316" s="1"/>
      <c r="N2316" s="1"/>
      <c r="O2316" s="1"/>
      <c r="P2316" s="1"/>
      <c r="Q2316" s="1"/>
      <c r="R2316" s="1"/>
      <c r="S2316" s="1"/>
      <c r="T2316" s="1"/>
      <c r="U2316" s="1"/>
      <c r="V2316" s="1"/>
      <c r="W2316" s="1"/>
      <c r="X2316" s="1"/>
      <c r="Y2316" s="1"/>
      <c r="Z2316" s="1"/>
      <c r="AA2316" s="1"/>
      <c r="AB2316" s="1"/>
    </row>
    <row r="2317" ht="50.25" customHeight="1">
      <c r="A2317" s="12">
        <v>2313.0</v>
      </c>
      <c r="B2317" s="13" t="s">
        <v>2233</v>
      </c>
      <c r="C2317" s="14" t="s">
        <v>2329</v>
      </c>
      <c r="D2317" s="1"/>
      <c r="E2317" s="1"/>
      <c r="F2317" s="1" t="str">
        <f>IFERROR(__xludf.DUMMYFUNCTION("GOOGLETRANSLATE(B2317, ""en"", ""fa"")
"),"کپی رایتینگ I")</f>
        <v>کپی رایتینگ I</v>
      </c>
      <c r="G2317" s="1" t="str">
        <f>IFERROR(__xludf.DUMMYFUNCTION("GOOGLETRANSLATE(C2317, ""en"", ""fa"")
"),"روش‌های مختلف برای گنجاندن اثبات اجتماعی، مانند نظرات یا رتبه‌بندی مشتریان، در کپی‌رایتینگ را بررسی کنید.")</f>
        <v>روش‌های مختلف برای گنجاندن اثبات اجتماعی، مانند نظرات یا رتبه‌بندی مشتریان، در کپی‌رایتینگ را بررسی کنید.</v>
      </c>
      <c r="H2317" s="1"/>
      <c r="I2317" s="1"/>
      <c r="J2317" s="1"/>
      <c r="K2317" s="1"/>
      <c r="L2317" s="1"/>
      <c r="M2317" s="1"/>
      <c r="N2317" s="1"/>
      <c r="O2317" s="1"/>
      <c r="P2317" s="1"/>
      <c r="Q2317" s="1"/>
      <c r="R2317" s="1"/>
      <c r="S2317" s="1"/>
      <c r="T2317" s="1"/>
      <c r="U2317" s="1"/>
      <c r="V2317" s="1"/>
      <c r="W2317" s="1"/>
      <c r="X2317" s="1"/>
      <c r="Y2317" s="1"/>
      <c r="Z2317" s="1"/>
      <c r="AA2317" s="1"/>
      <c r="AB2317" s="1"/>
    </row>
    <row r="2318" ht="50.25" customHeight="1">
      <c r="A2318" s="12">
        <v>2314.0</v>
      </c>
      <c r="B2318" s="13" t="s">
        <v>2233</v>
      </c>
      <c r="C2318" s="14" t="s">
        <v>2330</v>
      </c>
      <c r="D2318" s="1"/>
      <c r="E2318" s="1"/>
      <c r="F2318" s="1" t="str">
        <f>IFERROR(__xludf.DUMMYFUNCTION("GOOGLETRANSLATE(B2318, ""en"", ""fa"")
"),"کپی رایتینگ I")</f>
        <v>کپی رایتینگ I</v>
      </c>
      <c r="G2318" s="1" t="str">
        <f>IFERROR(__xludf.DUMMYFUNCTION("GOOGLETRANSLATE(C2318, ""en"", ""fa"")
"),"در مورد اهمیت ایجاد هویت برند و جایگاه قوی در کپی رایتینگ بحث کنید.")</f>
        <v>در مورد اهمیت ایجاد هویت برند و جایگاه قوی در کپی رایتینگ بحث کنید.</v>
      </c>
      <c r="H2318" s="1"/>
      <c r="I2318" s="1"/>
      <c r="J2318" s="1"/>
      <c r="K2318" s="1"/>
      <c r="L2318" s="1"/>
      <c r="M2318" s="1"/>
      <c r="N2318" s="1"/>
      <c r="O2318" s="1"/>
      <c r="P2318" s="1"/>
      <c r="Q2318" s="1"/>
      <c r="R2318" s="1"/>
      <c r="S2318" s="1"/>
      <c r="T2318" s="1"/>
      <c r="U2318" s="1"/>
      <c r="V2318" s="1"/>
      <c r="W2318" s="1"/>
      <c r="X2318" s="1"/>
      <c r="Y2318" s="1"/>
      <c r="Z2318" s="1"/>
      <c r="AA2318" s="1"/>
      <c r="AB2318" s="1"/>
    </row>
    <row r="2319" ht="50.25" customHeight="1">
      <c r="A2319" s="12">
        <v>2315.0</v>
      </c>
      <c r="B2319" s="13" t="s">
        <v>2233</v>
      </c>
      <c r="C2319" s="14" t="s">
        <v>2331</v>
      </c>
      <c r="D2319" s="1"/>
      <c r="E2319" s="1"/>
      <c r="F2319" s="1" t="str">
        <f>IFERROR(__xludf.DUMMYFUNCTION("GOOGLETRANSLATE(B2319, ""en"", ""fa"")
"),"کپی رایتینگ I")</f>
        <v>کپی رایتینگ I</v>
      </c>
      <c r="G2319" s="1" t="str">
        <f>IFERROR(__xludf.DUMMYFUNCTION("GOOGLETRANSLATE(C2319, ""en"", ""fa"")
"),"نکاتی را برای نوشتن اسکریپت های فروش متقاعد کننده برای وبینارها یا ارائه های آنلاین به اشتراک بگذارید.")</f>
        <v>نکاتی را برای نوشتن اسکریپت های فروش متقاعد کننده برای وبینارها یا ارائه های آنلاین به اشتراک بگذارید.</v>
      </c>
      <c r="H2319" s="1"/>
      <c r="I2319" s="1"/>
      <c r="J2319" s="1"/>
      <c r="K2319" s="1"/>
      <c r="L2319" s="1"/>
      <c r="M2319" s="1"/>
      <c r="N2319" s="1"/>
      <c r="O2319" s="1"/>
      <c r="P2319" s="1"/>
      <c r="Q2319" s="1"/>
      <c r="R2319" s="1"/>
      <c r="S2319" s="1"/>
      <c r="T2319" s="1"/>
      <c r="U2319" s="1"/>
      <c r="V2319" s="1"/>
      <c r="W2319" s="1"/>
      <c r="X2319" s="1"/>
      <c r="Y2319" s="1"/>
      <c r="Z2319" s="1"/>
      <c r="AA2319" s="1"/>
      <c r="AB2319" s="1"/>
    </row>
    <row r="2320" ht="50.25" customHeight="1">
      <c r="A2320" s="12">
        <v>2316.0</v>
      </c>
      <c r="B2320" s="13" t="s">
        <v>2233</v>
      </c>
      <c r="C2320" s="14" t="s">
        <v>2332</v>
      </c>
      <c r="D2320" s="1"/>
      <c r="E2320" s="1"/>
      <c r="F2320" s="1" t="str">
        <f>IFERROR(__xludf.DUMMYFUNCTION("GOOGLETRANSLATE(B2320, ""en"", ""fa"")
"),"کپی رایتینگ I")</f>
        <v>کپی رایتینگ I</v>
      </c>
      <c r="G2320" s="1" t="str">
        <f>IFERROR(__xludf.DUMMYFUNCTION("GOOGLETRANSLATE(C2320, ""en"", ""fa"")
"),"تکنیک‌هایی برای ایجاد سرفصل‌های قانع‌کننده برای صفحات فرود که توجه را به خود جلب کرده و تبدیل‌ها را تشویق می‌کنند، کاوش کنید.")</f>
        <v>تکنیک‌هایی برای ایجاد سرفصل‌های قانع‌کننده برای صفحات فرود که توجه را به خود جلب کرده و تبدیل‌ها را تشویق می‌کنند، کاوش کنید.</v>
      </c>
      <c r="H2320" s="1"/>
      <c r="I2320" s="1"/>
      <c r="J2320" s="1"/>
      <c r="K2320" s="1"/>
      <c r="L2320" s="1"/>
      <c r="M2320" s="1"/>
      <c r="N2320" s="1"/>
      <c r="O2320" s="1"/>
      <c r="P2320" s="1"/>
      <c r="Q2320" s="1"/>
      <c r="R2320" s="1"/>
      <c r="S2320" s="1"/>
      <c r="T2320" s="1"/>
      <c r="U2320" s="1"/>
      <c r="V2320" s="1"/>
      <c r="W2320" s="1"/>
      <c r="X2320" s="1"/>
      <c r="Y2320" s="1"/>
      <c r="Z2320" s="1"/>
      <c r="AA2320" s="1"/>
      <c r="AB2320" s="1"/>
    </row>
    <row r="2321" ht="50.25" customHeight="1">
      <c r="A2321" s="12">
        <v>2317.0</v>
      </c>
      <c r="B2321" s="13" t="s">
        <v>2233</v>
      </c>
      <c r="C2321" s="14" t="s">
        <v>2333</v>
      </c>
      <c r="D2321" s="1"/>
      <c r="E2321" s="1"/>
      <c r="F2321" s="1" t="str">
        <f>IFERROR(__xludf.DUMMYFUNCTION("GOOGLETRANSLATE(B2321, ""en"", ""fa"")
"),"کپی رایتینگ I")</f>
        <v>کپی رایتینگ I</v>
      </c>
      <c r="G2321" s="1" t="str">
        <f>IFERROR(__xludf.DUMMYFUNCTION("GOOGLETRANSLATE(C2321, ""en"", ""fa"")
"),"در مورد مزایای استفاده از پیام های هدفمند و شخصی سازی در کپی رایتینگ برای افزایش تجربه مشتری بحث کنید.")</f>
        <v>در مورد مزایای استفاده از پیام های هدفمند و شخصی سازی در کپی رایتینگ برای افزایش تجربه مشتری بحث کنید.</v>
      </c>
      <c r="H2321" s="1"/>
      <c r="I2321" s="1"/>
      <c r="J2321" s="1"/>
      <c r="K2321" s="1"/>
      <c r="L2321" s="1"/>
      <c r="M2321" s="1"/>
      <c r="N2321" s="1"/>
      <c r="O2321" s="1"/>
      <c r="P2321" s="1"/>
      <c r="Q2321" s="1"/>
      <c r="R2321" s="1"/>
      <c r="S2321" s="1"/>
      <c r="T2321" s="1"/>
      <c r="U2321" s="1"/>
      <c r="V2321" s="1"/>
      <c r="W2321" s="1"/>
      <c r="X2321" s="1"/>
      <c r="Y2321" s="1"/>
      <c r="Z2321" s="1"/>
      <c r="AA2321" s="1"/>
      <c r="AB2321" s="1"/>
    </row>
    <row r="2322" ht="50.25" customHeight="1">
      <c r="A2322" s="12">
        <v>2318.0</v>
      </c>
      <c r="B2322" s="13" t="s">
        <v>2233</v>
      </c>
      <c r="C2322" s="14" t="s">
        <v>2334</v>
      </c>
      <c r="D2322" s="1"/>
      <c r="E2322" s="1"/>
      <c r="F2322" s="1" t="str">
        <f>IFERROR(__xludf.DUMMYFUNCTION("GOOGLETRANSLATE(B2322, ""en"", ""fa"")
"),"کپی رایتینگ I")</f>
        <v>کپی رایتینگ I</v>
      </c>
      <c r="G2322" s="1" t="str">
        <f>IFERROR(__xludf.DUMMYFUNCTION("GOOGLETRANSLATE(C2322, ""en"", ""fa"")
"),"نکاتی را برای نوشتن سرفصل های جذاب برای کمپین های تبلیغاتی رسانه های اجتماعی به اشتراک بگذارید.")</f>
        <v>نکاتی را برای نوشتن سرفصل های جذاب برای کمپین های تبلیغاتی رسانه های اجتماعی به اشتراک بگذارید.</v>
      </c>
      <c r="H2322" s="1"/>
      <c r="I2322" s="1"/>
      <c r="J2322" s="1"/>
      <c r="K2322" s="1"/>
      <c r="L2322" s="1"/>
      <c r="M2322" s="1"/>
      <c r="N2322" s="1"/>
      <c r="O2322" s="1"/>
      <c r="P2322" s="1"/>
      <c r="Q2322" s="1"/>
      <c r="R2322" s="1"/>
      <c r="S2322" s="1"/>
      <c r="T2322" s="1"/>
      <c r="U2322" s="1"/>
      <c r="V2322" s="1"/>
      <c r="W2322" s="1"/>
      <c r="X2322" s="1"/>
      <c r="Y2322" s="1"/>
      <c r="Z2322" s="1"/>
      <c r="AA2322" s="1"/>
      <c r="AB2322" s="1"/>
    </row>
    <row r="2323" ht="50.25" customHeight="1">
      <c r="A2323" s="12">
        <v>2319.0</v>
      </c>
      <c r="B2323" s="13" t="s">
        <v>2233</v>
      </c>
      <c r="C2323" s="14" t="s">
        <v>2335</v>
      </c>
      <c r="D2323" s="1"/>
      <c r="E2323" s="1"/>
      <c r="F2323" s="1" t="str">
        <f>IFERROR(__xludf.DUMMYFUNCTION("GOOGLETRANSLATE(B2323, ""en"", ""fa"")
"),"کپی رایتینگ I")</f>
        <v>کپی رایتینگ I</v>
      </c>
      <c r="G2323" s="1" t="str">
        <f>IFERROR(__xludf.DUMMYFUNCTION("GOOGLETRANSLATE(C2323, ""en"", ""fa"")
"),"تکنیک‌های ایجاد کپی متقاعدکننده برای بازاریابی پستی مستقیم را بررسی کنید.")</f>
        <v>تکنیک‌های ایجاد کپی متقاعدکننده برای بازاریابی پستی مستقیم را بررسی کنید.</v>
      </c>
      <c r="H2323" s="1"/>
      <c r="I2323" s="1"/>
      <c r="J2323" s="1"/>
      <c r="K2323" s="1"/>
      <c r="L2323" s="1"/>
      <c r="M2323" s="1"/>
      <c r="N2323" s="1"/>
      <c r="O2323" s="1"/>
      <c r="P2323" s="1"/>
      <c r="Q2323" s="1"/>
      <c r="R2323" s="1"/>
      <c r="S2323" s="1"/>
      <c r="T2323" s="1"/>
      <c r="U2323" s="1"/>
      <c r="V2323" s="1"/>
      <c r="W2323" s="1"/>
      <c r="X2323" s="1"/>
      <c r="Y2323" s="1"/>
      <c r="Z2323" s="1"/>
      <c r="AA2323" s="1"/>
      <c r="AB2323" s="1"/>
    </row>
    <row r="2324" ht="50.25" customHeight="1">
      <c r="A2324" s="12">
        <v>2320.0</v>
      </c>
      <c r="B2324" s="13" t="s">
        <v>2233</v>
      </c>
      <c r="C2324" s="14" t="s">
        <v>2336</v>
      </c>
      <c r="D2324" s="1"/>
      <c r="E2324" s="1"/>
      <c r="F2324" s="1" t="str">
        <f>IFERROR(__xludf.DUMMYFUNCTION("GOOGLETRANSLATE(B2324, ""en"", ""fa"")
"),"کپی رایتینگ I")</f>
        <v>کپی رایتینگ I</v>
      </c>
      <c r="G2324" s="1" t="str">
        <f>IFERROR(__xludf.DUMMYFUNCTION("GOOGLETRANSLATE(C2324, ""en"", ""fa"")
"),"در مورد مزایای استفاده از عناصر داستان سرایی در کپی رایتینگ برای صنعت مد و زیبایی بحث کنید.")</f>
        <v>در مورد مزایای استفاده از عناصر داستان سرایی در کپی رایتینگ برای صنعت مد و زیبایی بحث کنید.</v>
      </c>
      <c r="H2324" s="1"/>
      <c r="I2324" s="1"/>
      <c r="J2324" s="1"/>
      <c r="K2324" s="1"/>
      <c r="L2324" s="1"/>
      <c r="M2324" s="1"/>
      <c r="N2324" s="1"/>
      <c r="O2324" s="1"/>
      <c r="P2324" s="1"/>
      <c r="Q2324" s="1"/>
      <c r="R2324" s="1"/>
      <c r="S2324" s="1"/>
      <c r="T2324" s="1"/>
      <c r="U2324" s="1"/>
      <c r="V2324" s="1"/>
      <c r="W2324" s="1"/>
      <c r="X2324" s="1"/>
      <c r="Y2324" s="1"/>
      <c r="Z2324" s="1"/>
      <c r="AA2324" s="1"/>
      <c r="AB2324" s="1"/>
    </row>
    <row r="2325" ht="50.25" customHeight="1">
      <c r="A2325" s="12">
        <v>2321.0</v>
      </c>
      <c r="B2325" s="13" t="s">
        <v>2233</v>
      </c>
      <c r="C2325" s="14" t="s">
        <v>2337</v>
      </c>
      <c r="D2325" s="1"/>
      <c r="E2325" s="1"/>
      <c r="F2325" s="1" t="str">
        <f>IFERROR(__xludf.DUMMYFUNCTION("GOOGLETRANSLATE(B2325, ""en"", ""fa"")
"),"کپی رایتینگ I")</f>
        <v>کپی رایتینگ I</v>
      </c>
      <c r="G2325" s="1" t="str">
        <f>IFERROR(__xludf.DUMMYFUNCTION("GOOGLETRANSLATE(C2325, ""en"", ""fa"")
"),"استراتژی‌هایی را برای نوشتن کپی فراخوان مؤثر (CTA) که اقدام فوری را تشویق می‌کند، به اشتراک بگذارید.")</f>
        <v>استراتژی‌هایی را برای نوشتن کپی فراخوان مؤثر (CTA) که اقدام فوری را تشویق می‌کند، به اشتراک بگذارید.</v>
      </c>
      <c r="H2325" s="1"/>
      <c r="I2325" s="1"/>
      <c r="J2325" s="1"/>
      <c r="K2325" s="1"/>
      <c r="L2325" s="1"/>
      <c r="M2325" s="1"/>
      <c r="N2325" s="1"/>
      <c r="O2325" s="1"/>
      <c r="P2325" s="1"/>
      <c r="Q2325" s="1"/>
      <c r="R2325" s="1"/>
      <c r="S2325" s="1"/>
      <c r="T2325" s="1"/>
      <c r="U2325" s="1"/>
      <c r="V2325" s="1"/>
      <c r="W2325" s="1"/>
      <c r="X2325" s="1"/>
      <c r="Y2325" s="1"/>
      <c r="Z2325" s="1"/>
      <c r="AA2325" s="1"/>
      <c r="AB2325" s="1"/>
    </row>
    <row r="2326" ht="50.25" customHeight="1">
      <c r="A2326" s="12">
        <v>2322.0</v>
      </c>
      <c r="B2326" s="13" t="s">
        <v>2233</v>
      </c>
      <c r="C2326" s="14" t="s">
        <v>2338</v>
      </c>
      <c r="D2326" s="1"/>
      <c r="E2326" s="1"/>
      <c r="F2326" s="1" t="str">
        <f>IFERROR(__xludf.DUMMYFUNCTION("GOOGLETRANSLATE(B2326, ""en"", ""fa"")
"),"کپی رایتینگ I")</f>
        <v>کپی رایتینگ I</v>
      </c>
      <c r="G2326" s="1" t="str">
        <f>IFERROR(__xludf.DUMMYFUNCTION("GOOGLETRANSLATE(C2326, ""en"", ""fa"")
"),"روش های مختلف برای نوشتن فیلمنامه های متقاعد کننده برای تبلیغات تلویزیونی را بررسی کنید.")</f>
        <v>روش های مختلف برای نوشتن فیلمنامه های متقاعد کننده برای تبلیغات تلویزیونی را بررسی کنید.</v>
      </c>
      <c r="H2326" s="1"/>
      <c r="I2326" s="1"/>
      <c r="J2326" s="1"/>
      <c r="K2326" s="1"/>
      <c r="L2326" s="1"/>
      <c r="M2326" s="1"/>
      <c r="N2326" s="1"/>
      <c r="O2326" s="1"/>
      <c r="P2326" s="1"/>
      <c r="Q2326" s="1"/>
      <c r="R2326" s="1"/>
      <c r="S2326" s="1"/>
      <c r="T2326" s="1"/>
      <c r="U2326" s="1"/>
      <c r="V2326" s="1"/>
      <c r="W2326" s="1"/>
      <c r="X2326" s="1"/>
      <c r="Y2326" s="1"/>
      <c r="Z2326" s="1"/>
      <c r="AA2326" s="1"/>
      <c r="AB2326" s="1"/>
    </row>
    <row r="2327" ht="50.25" customHeight="1">
      <c r="A2327" s="12">
        <v>2323.0</v>
      </c>
      <c r="B2327" s="13" t="s">
        <v>2233</v>
      </c>
      <c r="C2327" s="14" t="s">
        <v>2339</v>
      </c>
      <c r="D2327" s="1"/>
      <c r="E2327" s="1"/>
      <c r="F2327" s="1" t="str">
        <f>IFERROR(__xludf.DUMMYFUNCTION("GOOGLETRANSLATE(B2327, ""en"", ""fa"")
"),"کپی رایتینگ I")</f>
        <v>کپی رایتینگ I</v>
      </c>
      <c r="G2327" s="1" t="str">
        <f>IFERROR(__xludf.DUMMYFUNCTION("GOOGLETRANSLATE(C2327, ""en"", ""fa"")
"),"در مورد اهمیت استفاده از بینش مشتری و تحقیقات بازار برای اطلاع رسانی استراتژی های کپی رایتینگ بحث کنید.")</f>
        <v>در مورد اهمیت استفاده از بینش مشتری و تحقیقات بازار برای اطلاع رسانی استراتژی های کپی رایتینگ بحث کنید.</v>
      </c>
      <c r="H2327" s="1"/>
      <c r="I2327" s="1"/>
      <c r="J2327" s="1"/>
      <c r="K2327" s="1"/>
      <c r="L2327" s="1"/>
      <c r="M2327" s="1"/>
      <c r="N2327" s="1"/>
      <c r="O2327" s="1"/>
      <c r="P2327" s="1"/>
      <c r="Q2327" s="1"/>
      <c r="R2327" s="1"/>
      <c r="S2327" s="1"/>
      <c r="T2327" s="1"/>
      <c r="U2327" s="1"/>
      <c r="V2327" s="1"/>
      <c r="W2327" s="1"/>
      <c r="X2327" s="1"/>
      <c r="Y2327" s="1"/>
      <c r="Z2327" s="1"/>
      <c r="AA2327" s="1"/>
      <c r="AB2327" s="1"/>
    </row>
    <row r="2328" ht="50.25" customHeight="1">
      <c r="A2328" s="12">
        <v>2324.0</v>
      </c>
      <c r="B2328" s="13" t="s">
        <v>2233</v>
      </c>
      <c r="C2328" s="14" t="s">
        <v>2340</v>
      </c>
      <c r="D2328" s="1"/>
      <c r="E2328" s="1"/>
      <c r="F2328" s="1" t="str">
        <f>IFERROR(__xludf.DUMMYFUNCTION("GOOGLETRANSLATE(B2328, ""en"", ""fa"")
"),"کپی رایتینگ I")</f>
        <v>کپی رایتینگ I</v>
      </c>
      <c r="G2328" s="1" t="str">
        <f>IFERROR(__xludf.DUMMYFUNCTION("GOOGLETRANSLATE(C2328, ""en"", ""fa"")
"),"نکاتی را برای تهیه نسخه فروش متقاعدکننده برای دوره های آنلاین یا محصولات دیجیتال به اشتراک بگذارید.")</f>
        <v>نکاتی را برای تهیه نسخه فروش متقاعدکننده برای دوره های آنلاین یا محصولات دیجیتال به اشتراک بگذارید.</v>
      </c>
      <c r="H2328" s="1"/>
      <c r="I2328" s="1"/>
      <c r="J2328" s="1"/>
      <c r="K2328" s="1"/>
      <c r="L2328" s="1"/>
      <c r="M2328" s="1"/>
      <c r="N2328" s="1"/>
      <c r="O2328" s="1"/>
      <c r="P2328" s="1"/>
      <c r="Q2328" s="1"/>
      <c r="R2328" s="1"/>
      <c r="S2328" s="1"/>
      <c r="T2328" s="1"/>
      <c r="U2328" s="1"/>
      <c r="V2328" s="1"/>
      <c r="W2328" s="1"/>
      <c r="X2328" s="1"/>
      <c r="Y2328" s="1"/>
      <c r="Z2328" s="1"/>
      <c r="AA2328" s="1"/>
      <c r="AB2328" s="1"/>
    </row>
    <row r="2329" ht="50.25" customHeight="1">
      <c r="A2329" s="12">
        <v>2325.0</v>
      </c>
      <c r="B2329" s="13" t="s">
        <v>2233</v>
      </c>
      <c r="C2329" s="14" t="s">
        <v>2341</v>
      </c>
      <c r="D2329" s="1"/>
      <c r="E2329" s="1"/>
      <c r="F2329" s="1" t="str">
        <f>IFERROR(__xludf.DUMMYFUNCTION("GOOGLETRANSLATE(B2329, ""en"", ""fa"")
"),"کپی رایتینگ I")</f>
        <v>کپی رایتینگ I</v>
      </c>
      <c r="G2329" s="1" t="str">
        <f>IFERROR(__xludf.DUMMYFUNCTION("GOOGLETRANSLATE(C2329, ""en"", ""fa"")
"),"تکنیک های ایجاد شعارهای جذاب و به یاد ماندنی برند را کاوش کنید.")</f>
        <v>تکنیک های ایجاد شعارهای جذاب و به یاد ماندنی برند را کاوش کنید.</v>
      </c>
      <c r="H2329" s="1"/>
      <c r="I2329" s="1"/>
      <c r="J2329" s="1"/>
      <c r="K2329" s="1"/>
      <c r="L2329" s="1"/>
      <c r="M2329" s="1"/>
      <c r="N2329" s="1"/>
      <c r="O2329" s="1"/>
      <c r="P2329" s="1"/>
      <c r="Q2329" s="1"/>
      <c r="R2329" s="1"/>
      <c r="S2329" s="1"/>
      <c r="T2329" s="1"/>
      <c r="U2329" s="1"/>
      <c r="V2329" s="1"/>
      <c r="W2329" s="1"/>
      <c r="X2329" s="1"/>
      <c r="Y2329" s="1"/>
      <c r="Z2329" s="1"/>
      <c r="AA2329" s="1"/>
      <c r="AB2329" s="1"/>
    </row>
    <row r="2330" ht="50.25" customHeight="1">
      <c r="A2330" s="12">
        <v>2326.0</v>
      </c>
      <c r="B2330" s="13" t="s">
        <v>2233</v>
      </c>
      <c r="C2330" s="14" t="s">
        <v>2342</v>
      </c>
      <c r="D2330" s="1"/>
      <c r="E2330" s="1"/>
      <c r="F2330" s="1" t="str">
        <f>IFERROR(__xludf.DUMMYFUNCTION("GOOGLETRANSLATE(B2330, ""en"", ""fa"")
"),"کپی رایتینگ I")</f>
        <v>کپی رایتینگ I</v>
      </c>
      <c r="G2330" s="1" t="str">
        <f>IFERROR(__xludf.DUMMYFUNCTION("GOOGLETRANSLATE(C2330, ""en"", ""fa"")
"),"در مورد مزایای استفاده از جذابیت های احساسی و همدلی در کپی رایتینگ غیرانتفاعی بحث کنید.")</f>
        <v>در مورد مزایای استفاده از جذابیت های احساسی و همدلی در کپی رایتینگ غیرانتفاعی بحث کنید.</v>
      </c>
      <c r="H2330" s="1"/>
      <c r="I2330" s="1"/>
      <c r="J2330" s="1"/>
      <c r="K2330" s="1"/>
      <c r="L2330" s="1"/>
      <c r="M2330" s="1"/>
      <c r="N2330" s="1"/>
      <c r="O2330" s="1"/>
      <c r="P2330" s="1"/>
      <c r="Q2330" s="1"/>
      <c r="R2330" s="1"/>
      <c r="S2330" s="1"/>
      <c r="T2330" s="1"/>
      <c r="U2330" s="1"/>
      <c r="V2330" s="1"/>
      <c r="W2330" s="1"/>
      <c r="X2330" s="1"/>
      <c r="Y2330" s="1"/>
      <c r="Z2330" s="1"/>
      <c r="AA2330" s="1"/>
      <c r="AB2330" s="1"/>
    </row>
    <row r="2331" ht="50.25" customHeight="1">
      <c r="A2331" s="12">
        <v>2327.0</v>
      </c>
      <c r="B2331" s="13" t="s">
        <v>2233</v>
      </c>
      <c r="C2331" s="14" t="s">
        <v>2343</v>
      </c>
      <c r="D2331" s="1"/>
      <c r="E2331" s="1"/>
      <c r="F2331" s="1" t="str">
        <f>IFERROR(__xludf.DUMMYFUNCTION("GOOGLETRANSLATE(B2331, ""en"", ""fa"")
"),"کپی رایتینگ I")</f>
        <v>کپی رایتینگ I</v>
      </c>
      <c r="G2331" s="1" t="str">
        <f>IFERROR(__xludf.DUMMYFUNCTION("GOOGLETRANSLATE(C2331, ""en"", ""fa"")
"),"استراتژی هایی برای نوشتن سرفصل های تاثیرگذار برای کمپین های بازاریابی ایمیلی به اشتراک بگذارید.")</f>
        <v>استراتژی هایی برای نوشتن سرفصل های تاثیرگذار برای کمپین های بازاریابی ایمیلی به اشتراک بگذارید.</v>
      </c>
      <c r="H2331" s="1"/>
      <c r="I2331" s="1"/>
      <c r="J2331" s="1"/>
      <c r="K2331" s="1"/>
      <c r="L2331" s="1"/>
      <c r="M2331" s="1"/>
      <c r="N2331" s="1"/>
      <c r="O2331" s="1"/>
      <c r="P2331" s="1"/>
      <c r="Q2331" s="1"/>
      <c r="R2331" s="1"/>
      <c r="S2331" s="1"/>
      <c r="T2331" s="1"/>
      <c r="U2331" s="1"/>
      <c r="V2331" s="1"/>
      <c r="W2331" s="1"/>
      <c r="X2331" s="1"/>
      <c r="Y2331" s="1"/>
      <c r="Z2331" s="1"/>
      <c r="AA2331" s="1"/>
      <c r="AB2331" s="1"/>
    </row>
    <row r="2332" ht="50.25" customHeight="1">
      <c r="A2332" s="12">
        <v>2328.0</v>
      </c>
      <c r="B2332" s="13" t="s">
        <v>2233</v>
      </c>
      <c r="C2332" s="14" t="s">
        <v>2344</v>
      </c>
      <c r="D2332" s="1"/>
      <c r="E2332" s="1"/>
      <c r="F2332" s="1" t="str">
        <f>IFERROR(__xludf.DUMMYFUNCTION("GOOGLETRANSLATE(B2332, ""en"", ""fa"")
"),"کپی رایتینگ I")</f>
        <v>کپی رایتینگ I</v>
      </c>
      <c r="G2332" s="1" t="str">
        <f>IFERROR(__xludf.DUMMYFUNCTION("GOOGLETRANSLATE(C2332, ""en"", ""fa"")
"),"روش های مختلف برای ترکیب اینفلوئنسرهای رسانه های اجتماعی در کپی رایتینگ برای کمپین های بازاریابی اینفلوئنسر را بررسی کنید.")</f>
        <v>روش های مختلف برای ترکیب اینفلوئنسرهای رسانه های اجتماعی در کپی رایتینگ برای کمپین های بازاریابی اینفلوئنسر را بررسی کنید.</v>
      </c>
      <c r="H2332" s="1"/>
      <c r="I2332" s="1"/>
      <c r="J2332" s="1"/>
      <c r="K2332" s="1"/>
      <c r="L2332" s="1"/>
      <c r="M2332" s="1"/>
      <c r="N2332" s="1"/>
      <c r="O2332" s="1"/>
      <c r="P2332" s="1"/>
      <c r="Q2332" s="1"/>
      <c r="R2332" s="1"/>
      <c r="S2332" s="1"/>
      <c r="T2332" s="1"/>
      <c r="U2332" s="1"/>
      <c r="V2332" s="1"/>
      <c r="W2332" s="1"/>
      <c r="X2332" s="1"/>
      <c r="Y2332" s="1"/>
      <c r="Z2332" s="1"/>
      <c r="AA2332" s="1"/>
      <c r="AB2332" s="1"/>
    </row>
    <row r="2333" ht="50.25" customHeight="1">
      <c r="A2333" s="12">
        <v>2329.0</v>
      </c>
      <c r="B2333" s="13" t="s">
        <v>2233</v>
      </c>
      <c r="C2333" s="14" t="s">
        <v>2345</v>
      </c>
      <c r="D2333" s="1"/>
      <c r="E2333" s="1"/>
      <c r="F2333" s="1" t="str">
        <f>IFERROR(__xludf.DUMMYFUNCTION("GOOGLETRANSLATE(B2333, ""en"", ""fa"")
"),"کپی رایتینگ I")</f>
        <v>کپی رایتینگ I</v>
      </c>
      <c r="G2333" s="1" t="str">
        <f>IFERROR(__xludf.DUMMYFUNCTION("GOOGLETRANSLATE(C2333, ""en"", ""fa"")
"),"در مورد اهمیت ایجاد صدای برند ثابت در کانال های مختلف بازاریابی بحث کنید.")</f>
        <v>در مورد اهمیت ایجاد صدای برند ثابت در کانال های مختلف بازاریابی بحث کنید.</v>
      </c>
      <c r="H2333" s="1"/>
      <c r="I2333" s="1"/>
      <c r="J2333" s="1"/>
      <c r="K2333" s="1"/>
      <c r="L2333" s="1"/>
      <c r="M2333" s="1"/>
      <c r="N2333" s="1"/>
      <c r="O2333" s="1"/>
      <c r="P2333" s="1"/>
      <c r="Q2333" s="1"/>
      <c r="R2333" s="1"/>
      <c r="S2333" s="1"/>
      <c r="T2333" s="1"/>
      <c r="U2333" s="1"/>
      <c r="V2333" s="1"/>
      <c r="W2333" s="1"/>
      <c r="X2333" s="1"/>
      <c r="Y2333" s="1"/>
      <c r="Z2333" s="1"/>
      <c r="AA2333" s="1"/>
      <c r="AB2333" s="1"/>
    </row>
    <row r="2334" ht="50.25" customHeight="1">
      <c r="A2334" s="12">
        <v>2330.0</v>
      </c>
      <c r="B2334" s="13" t="s">
        <v>2233</v>
      </c>
      <c r="C2334" s="14" t="s">
        <v>2346</v>
      </c>
      <c r="D2334" s="1"/>
      <c r="E2334" s="1"/>
      <c r="F2334" s="1" t="str">
        <f>IFERROR(__xludf.DUMMYFUNCTION("GOOGLETRANSLATE(B2334, ""en"", ""fa"")
"),"کپی رایتینگ I")</f>
        <v>کپی رایتینگ I</v>
      </c>
      <c r="G2334" s="1" t="str">
        <f>IFERROR(__xludf.DUMMYFUNCTION("GOOGLETRANSLATE(C2334, ""en"", ""fa"")
"),"نکاتی را برای نوشتن یک نسخه از وب سایت متقاعد کننده که ارزش منحصر به فرد یک تجارت مبتنی بر خدمات را نشان می دهد، به اشتراک بگذارید.")</f>
        <v>نکاتی را برای نوشتن یک نسخه از وب سایت متقاعد کننده که ارزش منحصر به فرد یک تجارت مبتنی بر خدمات را نشان می دهد، به اشتراک بگذارید.</v>
      </c>
      <c r="H2334" s="1"/>
      <c r="I2334" s="1"/>
      <c r="J2334" s="1"/>
      <c r="K2334" s="1"/>
      <c r="L2334" s="1"/>
      <c r="M2334" s="1"/>
      <c r="N2334" s="1"/>
      <c r="O2334" s="1"/>
      <c r="P2334" s="1"/>
      <c r="Q2334" s="1"/>
      <c r="R2334" s="1"/>
      <c r="S2334" s="1"/>
      <c r="T2334" s="1"/>
      <c r="U2334" s="1"/>
      <c r="V2334" s="1"/>
      <c r="W2334" s="1"/>
      <c r="X2334" s="1"/>
      <c r="Y2334" s="1"/>
      <c r="Z2334" s="1"/>
      <c r="AA2334" s="1"/>
      <c r="AB2334" s="1"/>
    </row>
    <row r="2335" ht="50.25" customHeight="1">
      <c r="A2335" s="12">
        <v>2331.0</v>
      </c>
      <c r="B2335" s="13" t="s">
        <v>2233</v>
      </c>
      <c r="C2335" s="14" t="s">
        <v>2347</v>
      </c>
      <c r="D2335" s="1"/>
      <c r="E2335" s="1"/>
      <c r="F2335" s="1" t="str">
        <f>IFERROR(__xludf.DUMMYFUNCTION("GOOGLETRANSLATE(B2335, ""en"", ""fa"")
"),"کپی رایتینگ I")</f>
        <v>کپی رایتینگ I</v>
      </c>
      <c r="G2335" s="1" t="str">
        <f>IFERROR(__xludf.DUMMYFUNCTION("GOOGLETRANSLATE(C2335, ""en"", ""fa"")
"),"تکنیک‌های ساخت اسکریپت‌های ویدیویی جذاب و آموزنده برای داستان سرایی برند را کاوش کنید.")</f>
        <v>تکنیک‌های ساخت اسکریپت‌های ویدیویی جذاب و آموزنده برای داستان سرایی برند را کاوش کنید.</v>
      </c>
      <c r="H2335" s="1"/>
      <c r="I2335" s="1"/>
      <c r="J2335" s="1"/>
      <c r="K2335" s="1"/>
      <c r="L2335" s="1"/>
      <c r="M2335" s="1"/>
      <c r="N2335" s="1"/>
      <c r="O2335" s="1"/>
      <c r="P2335" s="1"/>
      <c r="Q2335" s="1"/>
      <c r="R2335" s="1"/>
      <c r="S2335" s="1"/>
      <c r="T2335" s="1"/>
      <c r="U2335" s="1"/>
      <c r="V2335" s="1"/>
      <c r="W2335" s="1"/>
      <c r="X2335" s="1"/>
      <c r="Y2335" s="1"/>
      <c r="Z2335" s="1"/>
      <c r="AA2335" s="1"/>
      <c r="AB2335" s="1"/>
    </row>
    <row r="2336" ht="50.25" customHeight="1">
      <c r="A2336" s="12">
        <v>2332.0</v>
      </c>
      <c r="B2336" s="13" t="s">
        <v>2233</v>
      </c>
      <c r="C2336" s="14" t="s">
        <v>2348</v>
      </c>
      <c r="D2336" s="1"/>
      <c r="E2336" s="1"/>
      <c r="F2336" s="1" t="str">
        <f>IFERROR(__xludf.DUMMYFUNCTION("GOOGLETRANSLATE(B2336, ""en"", ""fa"")
"),"کپی رایتینگ I")</f>
        <v>کپی رایتینگ I</v>
      </c>
      <c r="G2336" s="1" t="str">
        <f>IFERROR(__xludf.DUMMYFUNCTION("GOOGLETRANSLATE(C2336, ""en"", ""fa"")
"),"در مورد مزایای استفاده از زبان مشتری مدار و پرداختن به نکات دردناک در کپی رایتینگ برای صنایع بهداشتی و سلامتی بحث کنید.")</f>
        <v>در مورد مزایای استفاده از زبان مشتری مدار و پرداختن به نکات دردناک در کپی رایتینگ برای صنایع بهداشتی و سلامتی بحث کنید.</v>
      </c>
      <c r="H2336" s="1"/>
      <c r="I2336" s="1"/>
      <c r="J2336" s="1"/>
      <c r="K2336" s="1"/>
      <c r="L2336" s="1"/>
      <c r="M2336" s="1"/>
      <c r="N2336" s="1"/>
      <c r="O2336" s="1"/>
      <c r="P2336" s="1"/>
      <c r="Q2336" s="1"/>
      <c r="R2336" s="1"/>
      <c r="S2336" s="1"/>
      <c r="T2336" s="1"/>
      <c r="U2336" s="1"/>
      <c r="V2336" s="1"/>
      <c r="W2336" s="1"/>
      <c r="X2336" s="1"/>
      <c r="Y2336" s="1"/>
      <c r="Z2336" s="1"/>
      <c r="AA2336" s="1"/>
      <c r="AB2336" s="1"/>
    </row>
    <row r="2337" ht="50.25" customHeight="1">
      <c r="A2337" s="12">
        <v>2333.0</v>
      </c>
      <c r="B2337" s="13" t="s">
        <v>2233</v>
      </c>
      <c r="C2337" s="14" t="s">
        <v>2349</v>
      </c>
      <c r="D2337" s="1"/>
      <c r="E2337" s="1"/>
      <c r="F2337" s="1" t="str">
        <f>IFERROR(__xludf.DUMMYFUNCTION("GOOGLETRANSLATE(B2337, ""en"", ""fa"")
"),"کپی رایتینگ I")</f>
        <v>کپی رایتینگ I</v>
      </c>
      <c r="G2337" s="1" t="str">
        <f>IFERROR(__xludf.DUMMYFUNCTION("GOOGLETRANSLATE(C2337, ""en"", ""fa"")
"),"استراتژی‌هایی برای نوشتن سرفصل‌های مؤثر برای ارتقای محتوا یا آهن‌ربای سرب به اشتراک بگذارید.")</f>
        <v>استراتژی‌هایی برای نوشتن سرفصل‌های مؤثر برای ارتقای محتوا یا آهن‌ربای سرب به اشتراک بگذارید.</v>
      </c>
      <c r="H2337" s="1"/>
      <c r="I2337" s="1"/>
      <c r="J2337" s="1"/>
      <c r="K2337" s="1"/>
      <c r="L2337" s="1"/>
      <c r="M2337" s="1"/>
      <c r="N2337" s="1"/>
      <c r="O2337" s="1"/>
      <c r="P2337" s="1"/>
      <c r="Q2337" s="1"/>
      <c r="R2337" s="1"/>
      <c r="S2337" s="1"/>
      <c r="T2337" s="1"/>
      <c r="U2337" s="1"/>
      <c r="V2337" s="1"/>
      <c r="W2337" s="1"/>
      <c r="X2337" s="1"/>
      <c r="Y2337" s="1"/>
      <c r="Z2337" s="1"/>
      <c r="AA2337" s="1"/>
      <c r="AB2337" s="1"/>
    </row>
    <row r="2338" ht="50.25" customHeight="1">
      <c r="A2338" s="12">
        <v>2334.0</v>
      </c>
      <c r="B2338" s="13" t="s">
        <v>2233</v>
      </c>
      <c r="C2338" s="14" t="s">
        <v>2350</v>
      </c>
      <c r="D2338" s="1"/>
      <c r="E2338" s="1"/>
      <c r="F2338" s="1" t="str">
        <f>IFERROR(__xludf.DUMMYFUNCTION("GOOGLETRANSLATE(B2338, ""en"", ""fa"")
"),"کپی رایتینگ I")</f>
        <v>کپی رایتینگ I</v>
      </c>
      <c r="G2338" s="1" t="str">
        <f>IFERROR(__xludf.DUMMYFUNCTION("GOOGLETRANSLATE(C2338, ""en"", ""fa"")
"),"روش‌های مختلف برای ایجاد کپی جذاب و متقاعدکننده برای قیف‌های فروش آنلاین را بررسی کنید.")</f>
        <v>روش‌های مختلف برای ایجاد کپی جذاب و متقاعدکننده برای قیف‌های فروش آنلاین را بررسی کنید.</v>
      </c>
      <c r="H2338" s="1"/>
      <c r="I2338" s="1"/>
      <c r="J2338" s="1"/>
      <c r="K2338" s="1"/>
      <c r="L2338" s="1"/>
      <c r="M2338" s="1"/>
      <c r="N2338" s="1"/>
      <c r="O2338" s="1"/>
      <c r="P2338" s="1"/>
      <c r="Q2338" s="1"/>
      <c r="R2338" s="1"/>
      <c r="S2338" s="1"/>
      <c r="T2338" s="1"/>
      <c r="U2338" s="1"/>
      <c r="V2338" s="1"/>
      <c r="W2338" s="1"/>
      <c r="X2338" s="1"/>
      <c r="Y2338" s="1"/>
      <c r="Z2338" s="1"/>
      <c r="AA2338" s="1"/>
      <c r="AB2338" s="1"/>
    </row>
    <row r="2339" ht="50.25" customHeight="1">
      <c r="A2339" s="12">
        <v>2335.0</v>
      </c>
      <c r="B2339" s="13" t="s">
        <v>2233</v>
      </c>
      <c r="C2339" s="14" t="s">
        <v>2351</v>
      </c>
      <c r="D2339" s="1"/>
      <c r="E2339" s="1"/>
      <c r="F2339" s="1" t="str">
        <f>IFERROR(__xludf.DUMMYFUNCTION("GOOGLETRANSLATE(B2339, ""en"", ""fa"")
"),"کپی رایتینگ I")</f>
        <v>کپی رایتینگ I</v>
      </c>
      <c r="G2339" s="1" t="str">
        <f>IFERROR(__xludf.DUMMYFUNCTION("GOOGLETRANSLATE(C2339, ""en"", ""fa"")
"),"درباره اهمیت استفاده از بینش های مبتنی بر داده برای بهینه سازی کپی ایمیل برای نرخ باز و کلیک بالاتر بحث کنید.")</f>
        <v>درباره اهمیت استفاده از بینش های مبتنی بر داده برای بهینه سازی کپی ایمیل برای نرخ باز و کلیک بالاتر بحث کنید.</v>
      </c>
      <c r="H2339" s="1"/>
      <c r="I2339" s="1"/>
      <c r="J2339" s="1"/>
      <c r="K2339" s="1"/>
      <c r="L2339" s="1"/>
      <c r="M2339" s="1"/>
      <c r="N2339" s="1"/>
      <c r="O2339" s="1"/>
      <c r="P2339" s="1"/>
      <c r="Q2339" s="1"/>
      <c r="R2339" s="1"/>
      <c r="S2339" s="1"/>
      <c r="T2339" s="1"/>
      <c r="U2339" s="1"/>
      <c r="V2339" s="1"/>
      <c r="W2339" s="1"/>
      <c r="X2339" s="1"/>
      <c r="Y2339" s="1"/>
      <c r="Z2339" s="1"/>
      <c r="AA2339" s="1"/>
      <c r="AB2339" s="1"/>
    </row>
    <row r="2340" ht="50.25" customHeight="1">
      <c r="A2340" s="12">
        <v>2336.0</v>
      </c>
      <c r="B2340" s="13" t="s">
        <v>2233</v>
      </c>
      <c r="C2340" s="14" t="s">
        <v>2352</v>
      </c>
      <c r="D2340" s="1"/>
      <c r="E2340" s="1"/>
      <c r="F2340" s="1" t="str">
        <f>IFERROR(__xludf.DUMMYFUNCTION("GOOGLETRANSLATE(B2340, ""en"", ""fa"")
"),"کپی رایتینگ I")</f>
        <v>کپی رایتینگ I</v>
      </c>
      <c r="G2340" s="1" t="str">
        <f>IFERROR(__xludf.DUMMYFUNCTION("GOOGLETRANSLATE(C2340, ""en"", ""fa"")
"),"نکاتی را برای نوشتن توضیحات محصول متقاعد کننده برای وب سایت های تجارت الکترونیک به اشتراک بگذارید.")</f>
        <v>نکاتی را برای نوشتن توضیحات محصول متقاعد کننده برای وب سایت های تجارت الکترونیک به اشتراک بگذارید.</v>
      </c>
      <c r="H2340" s="1"/>
      <c r="I2340" s="1"/>
      <c r="J2340" s="1"/>
      <c r="K2340" s="1"/>
      <c r="L2340" s="1"/>
      <c r="M2340" s="1"/>
      <c r="N2340" s="1"/>
      <c r="O2340" s="1"/>
      <c r="P2340" s="1"/>
      <c r="Q2340" s="1"/>
      <c r="R2340" s="1"/>
      <c r="S2340" s="1"/>
      <c r="T2340" s="1"/>
      <c r="U2340" s="1"/>
      <c r="V2340" s="1"/>
      <c r="W2340" s="1"/>
      <c r="X2340" s="1"/>
      <c r="Y2340" s="1"/>
      <c r="Z2340" s="1"/>
      <c r="AA2340" s="1"/>
      <c r="AB2340" s="1"/>
    </row>
    <row r="2341" ht="50.25" customHeight="1">
      <c r="A2341" s="12">
        <v>2337.0</v>
      </c>
      <c r="B2341" s="13" t="s">
        <v>2233</v>
      </c>
      <c r="C2341" s="14" t="s">
        <v>2353</v>
      </c>
      <c r="D2341" s="1"/>
      <c r="E2341" s="1"/>
      <c r="F2341" s="1" t="str">
        <f>IFERROR(__xludf.DUMMYFUNCTION("GOOGLETRANSLATE(B2341, ""en"", ""fa"")
"),"کپی رایتینگ I")</f>
        <v>کپی رایتینگ I</v>
      </c>
      <c r="G2341" s="1" t="str">
        <f>IFERROR(__xludf.DUMMYFUNCTION("GOOGLETRANSLATE(C2341, ""en"", ""fa"")
"),"تکنیک‌های ساخت داستان‌های تاثیرگذار برند را در کپی‌رایتینگ کاوش کنید.")</f>
        <v>تکنیک‌های ساخت داستان‌های تاثیرگذار برند را در کپی‌رایتینگ کاوش کنید.</v>
      </c>
      <c r="H2341" s="1"/>
      <c r="I2341" s="1"/>
      <c r="J2341" s="1"/>
      <c r="K2341" s="1"/>
      <c r="L2341" s="1"/>
      <c r="M2341" s="1"/>
      <c r="N2341" s="1"/>
      <c r="O2341" s="1"/>
      <c r="P2341" s="1"/>
      <c r="Q2341" s="1"/>
      <c r="R2341" s="1"/>
      <c r="S2341" s="1"/>
      <c r="T2341" s="1"/>
      <c r="U2341" s="1"/>
      <c r="V2341" s="1"/>
      <c r="W2341" s="1"/>
      <c r="X2341" s="1"/>
      <c r="Y2341" s="1"/>
      <c r="Z2341" s="1"/>
      <c r="AA2341" s="1"/>
      <c r="AB2341" s="1"/>
    </row>
    <row r="2342" ht="50.25" customHeight="1">
      <c r="A2342" s="12">
        <v>2338.0</v>
      </c>
      <c r="B2342" s="13" t="s">
        <v>2233</v>
      </c>
      <c r="C2342" s="14" t="s">
        <v>2354</v>
      </c>
      <c r="D2342" s="1"/>
      <c r="E2342" s="1"/>
      <c r="F2342" s="1" t="str">
        <f>IFERROR(__xludf.DUMMYFUNCTION("GOOGLETRANSLATE(B2342, ""en"", ""fa"")
"),"کپی رایتینگ I")</f>
        <v>کپی رایتینگ I</v>
      </c>
      <c r="G2342" s="1" t="str">
        <f>IFERROR(__xludf.DUMMYFUNCTION("GOOGLETRANSLATE(C2342, ""en"", ""fa"")
"),"در مورد مزایای استفاده از توصیفات و محتوای تولید شده توسط کاربر در کپی رایتینگ برای اثبات اجتماعی بحث کنید.")</f>
        <v>در مورد مزایای استفاده از توصیفات و محتوای تولید شده توسط کاربر در کپی رایتینگ برای اثبات اجتماعی بحث کنید.</v>
      </c>
      <c r="H2342" s="1"/>
      <c r="I2342" s="1"/>
      <c r="J2342" s="1"/>
      <c r="K2342" s="1"/>
      <c r="L2342" s="1"/>
      <c r="M2342" s="1"/>
      <c r="N2342" s="1"/>
      <c r="O2342" s="1"/>
      <c r="P2342" s="1"/>
      <c r="Q2342" s="1"/>
      <c r="R2342" s="1"/>
      <c r="S2342" s="1"/>
      <c r="T2342" s="1"/>
      <c r="U2342" s="1"/>
      <c r="V2342" s="1"/>
      <c r="W2342" s="1"/>
      <c r="X2342" s="1"/>
      <c r="Y2342" s="1"/>
      <c r="Z2342" s="1"/>
      <c r="AA2342" s="1"/>
      <c r="AB2342" s="1"/>
    </row>
    <row r="2343" ht="50.25" customHeight="1">
      <c r="A2343" s="12">
        <v>2339.0</v>
      </c>
      <c r="B2343" s="13" t="s">
        <v>2233</v>
      </c>
      <c r="C2343" s="14" t="s">
        <v>2355</v>
      </c>
      <c r="D2343" s="1"/>
      <c r="E2343" s="1"/>
      <c r="F2343" s="1" t="str">
        <f>IFERROR(__xludf.DUMMYFUNCTION("GOOGLETRANSLATE(B2343, ""en"", ""fa"")
"),"کپی رایتینگ I")</f>
        <v>کپی رایتینگ I</v>
      </c>
      <c r="G2343" s="1" t="str">
        <f>IFERROR(__xludf.DUMMYFUNCTION("GOOGLETRANSLATE(C2343, ""en"", ""fa"")
"),"استراتژی هایی برای نوشتن سرفصل های قانع کننده برای مطالعات موردی که نتایج موفقیت آمیز را برجسته می کند، به اشتراک بگذارید.")</f>
        <v>استراتژی هایی برای نوشتن سرفصل های قانع کننده برای مطالعات موردی که نتایج موفقیت آمیز را برجسته می کند، به اشتراک بگذارید.</v>
      </c>
      <c r="H2343" s="1"/>
      <c r="I2343" s="1"/>
      <c r="J2343" s="1"/>
      <c r="K2343" s="1"/>
      <c r="L2343" s="1"/>
      <c r="M2343" s="1"/>
      <c r="N2343" s="1"/>
      <c r="O2343" s="1"/>
      <c r="P2343" s="1"/>
      <c r="Q2343" s="1"/>
      <c r="R2343" s="1"/>
      <c r="S2343" s="1"/>
      <c r="T2343" s="1"/>
      <c r="U2343" s="1"/>
      <c r="V2343" s="1"/>
      <c r="W2343" s="1"/>
      <c r="X2343" s="1"/>
      <c r="Y2343" s="1"/>
      <c r="Z2343" s="1"/>
      <c r="AA2343" s="1"/>
      <c r="AB2343" s="1"/>
    </row>
    <row r="2344" ht="50.25" customHeight="1">
      <c r="A2344" s="12">
        <v>2340.0</v>
      </c>
      <c r="B2344" s="13" t="s">
        <v>2233</v>
      </c>
      <c r="C2344" s="14" t="s">
        <v>2356</v>
      </c>
      <c r="D2344" s="1"/>
      <c r="E2344" s="1"/>
      <c r="F2344" s="1" t="str">
        <f>IFERROR(__xludf.DUMMYFUNCTION("GOOGLETRANSLATE(B2344, ""en"", ""fa"")
"),"کپی رایتینگ I")</f>
        <v>کپی رایتینگ I</v>
      </c>
      <c r="G2344" s="1" t="str">
        <f>IFERROR(__xludf.DUMMYFUNCTION("GOOGLETRANSLATE(C2344, ""en"", ""fa"")
"),"روش‌های مختلف را برای ترکیب فوریت و کمبود در کپی‌رایتینگ کاوش کنید تا اقدام فوری را انجام دهید.")</f>
        <v>روش‌های مختلف را برای ترکیب فوریت و کمبود در کپی‌رایتینگ کاوش کنید تا اقدام فوری را انجام دهید.</v>
      </c>
      <c r="H2344" s="1"/>
      <c r="I2344" s="1"/>
      <c r="J2344" s="1"/>
      <c r="K2344" s="1"/>
      <c r="L2344" s="1"/>
      <c r="M2344" s="1"/>
      <c r="N2344" s="1"/>
      <c r="O2344" s="1"/>
      <c r="P2344" s="1"/>
      <c r="Q2344" s="1"/>
      <c r="R2344" s="1"/>
      <c r="S2344" s="1"/>
      <c r="T2344" s="1"/>
      <c r="U2344" s="1"/>
      <c r="V2344" s="1"/>
      <c r="W2344" s="1"/>
      <c r="X2344" s="1"/>
      <c r="Y2344" s="1"/>
      <c r="Z2344" s="1"/>
      <c r="AA2344" s="1"/>
      <c r="AB2344" s="1"/>
    </row>
    <row r="2345" ht="50.25" customHeight="1">
      <c r="A2345" s="12">
        <v>2341.0</v>
      </c>
      <c r="B2345" s="13" t="s">
        <v>2233</v>
      </c>
      <c r="C2345" s="14" t="s">
        <v>2357</v>
      </c>
      <c r="D2345" s="1"/>
      <c r="E2345" s="1"/>
      <c r="F2345" s="1" t="str">
        <f>IFERROR(__xludf.DUMMYFUNCTION("GOOGLETRANSLATE(B2345, ""en"", ""fa"")
"),"کپی رایتینگ I")</f>
        <v>کپی رایتینگ I</v>
      </c>
      <c r="G2345" s="1" t="str">
        <f>IFERROR(__xludf.DUMMYFUNCTION("GOOGLETRANSLATE(C2345, ""en"", ""fa"")
"),"در مورد اهمیت درک نکات و خواسته های مخاطب هدف در کپی رایتینگ بحث کنید.")</f>
        <v>در مورد اهمیت درک نکات و خواسته های مخاطب هدف در کپی رایتینگ بحث کنید.</v>
      </c>
      <c r="H2345" s="1"/>
      <c r="I2345" s="1"/>
      <c r="J2345" s="1"/>
      <c r="K2345" s="1"/>
      <c r="L2345" s="1"/>
      <c r="M2345" s="1"/>
      <c r="N2345" s="1"/>
      <c r="O2345" s="1"/>
      <c r="P2345" s="1"/>
      <c r="Q2345" s="1"/>
      <c r="R2345" s="1"/>
      <c r="S2345" s="1"/>
      <c r="T2345" s="1"/>
      <c r="U2345" s="1"/>
      <c r="V2345" s="1"/>
      <c r="W2345" s="1"/>
      <c r="X2345" s="1"/>
      <c r="Y2345" s="1"/>
      <c r="Z2345" s="1"/>
      <c r="AA2345" s="1"/>
      <c r="AB2345" s="1"/>
    </row>
    <row r="2346" ht="50.25" customHeight="1">
      <c r="A2346" s="12">
        <v>2342.0</v>
      </c>
      <c r="B2346" s="13" t="s">
        <v>2233</v>
      </c>
      <c r="C2346" s="14" t="s">
        <v>2358</v>
      </c>
      <c r="D2346" s="1"/>
      <c r="E2346" s="1"/>
      <c r="F2346" s="1" t="str">
        <f>IFERROR(__xludf.DUMMYFUNCTION("GOOGLETRANSLATE(B2346, ""en"", ""fa"")
"),"کپی رایتینگ I")</f>
        <v>کپی رایتینگ I</v>
      </c>
      <c r="G2346" s="1" t="str">
        <f>IFERROR(__xludf.DUMMYFUNCTION("GOOGLETRANSLATE(C2346, ""en"", ""fa"")
"),"نکاتی را برای نوشتن کپی متقاعدکننده برای صفحات فرود به اشتراک بگذارید که نرخ تبدیل را افزایش می دهد.")</f>
        <v>نکاتی را برای نوشتن کپی متقاعدکننده برای صفحات فرود به اشتراک بگذارید که نرخ تبدیل را افزایش می دهد.</v>
      </c>
      <c r="H2346" s="1"/>
      <c r="I2346" s="1"/>
      <c r="J2346" s="1"/>
      <c r="K2346" s="1"/>
      <c r="L2346" s="1"/>
      <c r="M2346" s="1"/>
      <c r="N2346" s="1"/>
      <c r="O2346" s="1"/>
      <c r="P2346" s="1"/>
      <c r="Q2346" s="1"/>
      <c r="R2346" s="1"/>
      <c r="S2346" s="1"/>
      <c r="T2346" s="1"/>
      <c r="U2346" s="1"/>
      <c r="V2346" s="1"/>
      <c r="W2346" s="1"/>
      <c r="X2346" s="1"/>
      <c r="Y2346" s="1"/>
      <c r="Z2346" s="1"/>
      <c r="AA2346" s="1"/>
      <c r="AB2346" s="1"/>
    </row>
    <row r="2347" ht="50.25" customHeight="1">
      <c r="A2347" s="12">
        <v>2343.0</v>
      </c>
      <c r="B2347" s="13" t="s">
        <v>2233</v>
      </c>
      <c r="C2347" s="14" t="s">
        <v>2359</v>
      </c>
      <c r="D2347" s="1"/>
      <c r="E2347" s="1"/>
      <c r="F2347" s="1" t="str">
        <f>IFERROR(__xludf.DUMMYFUNCTION("GOOGLETRANSLATE(B2347, ""en"", ""fa"")
"),"کپی رایتینگ I")</f>
        <v>کپی رایتینگ I</v>
      </c>
      <c r="G2347" s="1" t="str">
        <f>IFERROR(__xludf.DUMMYFUNCTION("GOOGLETRANSLATE(C2347, ""en"", ""fa"")
"),"تکنیک های ایجاد اسکریپت های ویدیویی جذاب و آموزنده برای دوره های آموزشی را کاوش کنید.")</f>
        <v>تکنیک های ایجاد اسکریپت های ویدیویی جذاب و آموزنده برای دوره های آموزشی را کاوش کنید.</v>
      </c>
      <c r="H2347" s="1"/>
      <c r="I2347" s="1"/>
      <c r="J2347" s="1"/>
      <c r="K2347" s="1"/>
      <c r="L2347" s="1"/>
      <c r="M2347" s="1"/>
      <c r="N2347" s="1"/>
      <c r="O2347" s="1"/>
      <c r="P2347" s="1"/>
      <c r="Q2347" s="1"/>
      <c r="R2347" s="1"/>
      <c r="S2347" s="1"/>
      <c r="T2347" s="1"/>
      <c r="U2347" s="1"/>
      <c r="V2347" s="1"/>
      <c r="W2347" s="1"/>
      <c r="X2347" s="1"/>
      <c r="Y2347" s="1"/>
      <c r="Z2347" s="1"/>
      <c r="AA2347" s="1"/>
      <c r="AB2347" s="1"/>
    </row>
    <row r="2348" ht="50.25" customHeight="1">
      <c r="A2348" s="12">
        <v>2344.0</v>
      </c>
      <c r="B2348" s="13" t="s">
        <v>2233</v>
      </c>
      <c r="C2348" s="14" t="s">
        <v>2360</v>
      </c>
      <c r="D2348" s="1"/>
      <c r="E2348" s="1"/>
      <c r="F2348" s="1" t="str">
        <f>IFERROR(__xludf.DUMMYFUNCTION("GOOGLETRANSLATE(B2348, ""en"", ""fa"")
"),"کپی رایتینگ I")</f>
        <v>کپی رایتینگ I</v>
      </c>
      <c r="G2348" s="1" t="str">
        <f>IFERROR(__xludf.DUMMYFUNCTION("GOOGLETRANSLATE(C2348, ""en"", ""fa"")
"),"در مورد فواید استفاده از طنز و شوخ طبعی در کپی رایتینگ برای سرگرم کردن و جذب مخاطب بحث کنید.")</f>
        <v>در مورد فواید استفاده از طنز و شوخ طبعی در کپی رایتینگ برای سرگرم کردن و جذب مخاطب بحث کنید.</v>
      </c>
      <c r="H2348" s="1"/>
      <c r="I2348" s="1"/>
      <c r="J2348" s="1"/>
      <c r="K2348" s="1"/>
      <c r="L2348" s="1"/>
      <c r="M2348" s="1"/>
      <c r="N2348" s="1"/>
      <c r="O2348" s="1"/>
      <c r="P2348" s="1"/>
      <c r="Q2348" s="1"/>
      <c r="R2348" s="1"/>
      <c r="S2348" s="1"/>
      <c r="T2348" s="1"/>
      <c r="U2348" s="1"/>
      <c r="V2348" s="1"/>
      <c r="W2348" s="1"/>
      <c r="X2348" s="1"/>
      <c r="Y2348" s="1"/>
      <c r="Z2348" s="1"/>
      <c r="AA2348" s="1"/>
      <c r="AB2348" s="1"/>
    </row>
    <row r="2349" ht="50.25" customHeight="1">
      <c r="A2349" s="12">
        <v>2345.0</v>
      </c>
      <c r="B2349" s="13" t="s">
        <v>2233</v>
      </c>
      <c r="C2349" s="14" t="s">
        <v>2361</v>
      </c>
      <c r="D2349" s="1"/>
      <c r="E2349" s="1"/>
      <c r="F2349" s="1" t="str">
        <f>IFERROR(__xludf.DUMMYFUNCTION("GOOGLETRANSLATE(B2349, ""en"", ""fa"")
"),"کپی رایتینگ I")</f>
        <v>کپی رایتینگ I</v>
      </c>
      <c r="G2349" s="1" t="str">
        <f>IFERROR(__xludf.DUMMYFUNCTION("GOOGLETRANSLATE(C2349, ""en"", ""fa"")
"),"استراتژی‌هایی را برای نوشتن سرفصل‌های تاثیرگذار برای بیانیه‌های مطبوعاتی که توجه رسانه‌ها را جلب می‌کنند، به اشتراک بگذارید.")</f>
        <v>استراتژی‌هایی را برای نوشتن سرفصل‌های تاثیرگذار برای بیانیه‌های مطبوعاتی که توجه رسانه‌ها را جلب می‌کنند، به اشتراک بگذارید.</v>
      </c>
      <c r="H2349" s="1"/>
      <c r="I2349" s="1"/>
      <c r="J2349" s="1"/>
      <c r="K2349" s="1"/>
      <c r="L2349" s="1"/>
      <c r="M2349" s="1"/>
      <c r="N2349" s="1"/>
      <c r="O2349" s="1"/>
      <c r="P2349" s="1"/>
      <c r="Q2349" s="1"/>
      <c r="R2349" s="1"/>
      <c r="S2349" s="1"/>
      <c r="T2349" s="1"/>
      <c r="U2349" s="1"/>
      <c r="V2349" s="1"/>
      <c r="W2349" s="1"/>
      <c r="X2349" s="1"/>
      <c r="Y2349" s="1"/>
      <c r="Z2349" s="1"/>
      <c r="AA2349" s="1"/>
      <c r="AB2349" s="1"/>
    </row>
    <row r="2350" ht="50.25" customHeight="1">
      <c r="A2350" s="12">
        <v>2346.0</v>
      </c>
      <c r="B2350" s="13" t="s">
        <v>2233</v>
      </c>
      <c r="C2350" s="14" t="s">
        <v>2362</v>
      </c>
      <c r="D2350" s="1"/>
      <c r="E2350" s="1"/>
      <c r="F2350" s="1" t="str">
        <f>IFERROR(__xludf.DUMMYFUNCTION("GOOGLETRANSLATE(B2350, ""en"", ""fa"")
"),"کپی رایتینگ I")</f>
        <v>کپی رایتینگ I</v>
      </c>
      <c r="G2350" s="1" t="str">
        <f>IFERROR(__xludf.DUMMYFUNCTION("GOOGLETRANSLATE(C2350, ""en"", ""fa"")
"),"روش های مختلف برای ایجاد نسخه متقاعد کننده برای کمپین های تامین مالی جمعی را بررسی کنید.")</f>
        <v>روش های مختلف برای ایجاد نسخه متقاعد کننده برای کمپین های تامین مالی جمعی را بررسی کنید.</v>
      </c>
      <c r="H2350" s="1"/>
      <c r="I2350" s="1"/>
      <c r="J2350" s="1"/>
      <c r="K2350" s="1"/>
      <c r="L2350" s="1"/>
      <c r="M2350" s="1"/>
      <c r="N2350" s="1"/>
      <c r="O2350" s="1"/>
      <c r="P2350" s="1"/>
      <c r="Q2350" s="1"/>
      <c r="R2350" s="1"/>
      <c r="S2350" s="1"/>
      <c r="T2350" s="1"/>
      <c r="U2350" s="1"/>
      <c r="V2350" s="1"/>
      <c r="W2350" s="1"/>
      <c r="X2350" s="1"/>
      <c r="Y2350" s="1"/>
      <c r="Z2350" s="1"/>
      <c r="AA2350" s="1"/>
      <c r="AB2350" s="1"/>
    </row>
    <row r="2351" ht="50.25" customHeight="1">
      <c r="A2351" s="12">
        <v>2347.0</v>
      </c>
      <c r="B2351" s="13" t="s">
        <v>2233</v>
      </c>
      <c r="C2351" s="14" t="s">
        <v>2363</v>
      </c>
      <c r="D2351" s="1"/>
      <c r="E2351" s="1"/>
      <c r="F2351" s="1" t="str">
        <f>IFERROR(__xludf.DUMMYFUNCTION("GOOGLETRANSLATE(B2351, ""en"", ""fa"")
"),"کپی رایتینگ I")</f>
        <v>کپی رایتینگ I</v>
      </c>
      <c r="G2351" s="1" t="str">
        <f>IFERROR(__xludf.DUMMYFUNCTION("GOOGLETRANSLATE(C2351, ""en"", ""fa"")
"),"در مورد اهمیت انجام تجزیه و تحلیل رقابتی برای تمایز و موقعیت کپی موثر بحث کنید.")</f>
        <v>در مورد اهمیت انجام تجزیه و تحلیل رقابتی برای تمایز و موقعیت کپی موثر بحث کنید.</v>
      </c>
      <c r="H2351" s="1"/>
      <c r="I2351" s="1"/>
      <c r="J2351" s="1"/>
      <c r="K2351" s="1"/>
      <c r="L2351" s="1"/>
      <c r="M2351" s="1"/>
      <c r="N2351" s="1"/>
      <c r="O2351" s="1"/>
      <c r="P2351" s="1"/>
      <c r="Q2351" s="1"/>
      <c r="R2351" s="1"/>
      <c r="S2351" s="1"/>
      <c r="T2351" s="1"/>
      <c r="U2351" s="1"/>
      <c r="V2351" s="1"/>
      <c r="W2351" s="1"/>
      <c r="X2351" s="1"/>
      <c r="Y2351" s="1"/>
      <c r="Z2351" s="1"/>
      <c r="AA2351" s="1"/>
      <c r="AB2351" s="1"/>
    </row>
    <row r="2352" ht="50.25" customHeight="1">
      <c r="A2352" s="12">
        <v>2348.0</v>
      </c>
      <c r="B2352" s="13" t="s">
        <v>2233</v>
      </c>
      <c r="C2352" s="14" t="s">
        <v>2364</v>
      </c>
      <c r="D2352" s="1"/>
      <c r="E2352" s="1"/>
      <c r="F2352" s="1" t="str">
        <f>IFERROR(__xludf.DUMMYFUNCTION("GOOGLETRANSLATE(B2352, ""en"", ""fa"")
"),"کپی رایتینگ I")</f>
        <v>کپی رایتینگ I</v>
      </c>
      <c r="G2352" s="1" t="str">
        <f>IFERROR(__xludf.DUMMYFUNCTION("GOOGLETRANSLATE(C2352, ""en"", ""fa"")
"),"نکاتی را برای نوشتن کپی موثر برای تبلیغات فیس بوک که باعث تعامل و تبدیل می شود را به اشتراک بگذارید.")</f>
        <v>نکاتی را برای نوشتن کپی موثر برای تبلیغات فیس بوک که باعث تعامل و تبدیل می شود را به اشتراک بگذارید.</v>
      </c>
      <c r="H2352" s="1"/>
      <c r="I2352" s="1"/>
      <c r="J2352" s="1"/>
      <c r="K2352" s="1"/>
      <c r="L2352" s="1"/>
      <c r="M2352" s="1"/>
      <c r="N2352" s="1"/>
      <c r="O2352" s="1"/>
      <c r="P2352" s="1"/>
      <c r="Q2352" s="1"/>
      <c r="R2352" s="1"/>
      <c r="S2352" s="1"/>
      <c r="T2352" s="1"/>
      <c r="U2352" s="1"/>
      <c r="V2352" s="1"/>
      <c r="W2352" s="1"/>
      <c r="X2352" s="1"/>
      <c r="Y2352" s="1"/>
      <c r="Z2352" s="1"/>
      <c r="AA2352" s="1"/>
      <c r="AB2352" s="1"/>
    </row>
    <row r="2353" ht="50.25" customHeight="1">
      <c r="A2353" s="12">
        <v>2349.0</v>
      </c>
      <c r="B2353" s="13" t="s">
        <v>2233</v>
      </c>
      <c r="C2353" s="14" t="s">
        <v>2365</v>
      </c>
      <c r="D2353" s="1"/>
      <c r="E2353" s="1"/>
      <c r="F2353" s="1" t="str">
        <f>IFERROR(__xludf.DUMMYFUNCTION("GOOGLETRANSLATE(B2353, ""en"", ""fa"")
"),"کپی رایتینگ I")</f>
        <v>کپی رایتینگ I</v>
      </c>
      <c r="G2353" s="1" t="str">
        <f>IFERROR(__xludf.DUMMYFUNCTION("GOOGLETRANSLATE(C2353, ""en"", ""fa"")
"),"تکنیک‌هایی را برای ایجاد نسخه‌های متقاعدکننده و متقاعدکننده برای صفحات فروش کاوش کنید.")</f>
        <v>تکنیک‌هایی را برای ایجاد نسخه‌های متقاعدکننده و متقاعدکننده برای صفحات فروش کاوش کنید.</v>
      </c>
      <c r="H2353" s="1"/>
      <c r="I2353" s="1"/>
      <c r="J2353" s="1"/>
      <c r="K2353" s="1"/>
      <c r="L2353" s="1"/>
      <c r="M2353" s="1"/>
      <c r="N2353" s="1"/>
      <c r="O2353" s="1"/>
      <c r="P2353" s="1"/>
      <c r="Q2353" s="1"/>
      <c r="R2353" s="1"/>
      <c r="S2353" s="1"/>
      <c r="T2353" s="1"/>
      <c r="U2353" s="1"/>
      <c r="V2353" s="1"/>
      <c r="W2353" s="1"/>
      <c r="X2353" s="1"/>
      <c r="Y2353" s="1"/>
      <c r="Z2353" s="1"/>
      <c r="AA2353" s="1"/>
      <c r="AB2353" s="1"/>
    </row>
    <row r="2354" ht="50.25" customHeight="1">
      <c r="A2354" s="12">
        <v>2350.0</v>
      </c>
      <c r="B2354" s="13" t="s">
        <v>2233</v>
      </c>
      <c r="C2354" s="14" t="s">
        <v>2366</v>
      </c>
      <c r="D2354" s="1"/>
      <c r="E2354" s="1"/>
      <c r="F2354" s="1" t="str">
        <f>IFERROR(__xludf.DUMMYFUNCTION("GOOGLETRANSLATE(B2354, ""en"", ""fa"")
"),"کپی رایتینگ I")</f>
        <v>کپی رایتینگ I</v>
      </c>
      <c r="G2354" s="1" t="str">
        <f>IFERROR(__xludf.DUMMYFUNCTION("GOOGLETRANSLATE(C2354, ""en"", ""fa"")
"),"در مورد مزایای استفاده از داستان ها و تجربیات شخصی در کپی رایتینگ برای ارتباط با مخاطب بحث کنید.")</f>
        <v>در مورد مزایای استفاده از داستان ها و تجربیات شخصی در کپی رایتینگ برای ارتباط با مخاطب بحث کنید.</v>
      </c>
      <c r="H2354" s="1"/>
      <c r="I2354" s="1"/>
      <c r="J2354" s="1"/>
      <c r="K2354" s="1"/>
      <c r="L2354" s="1"/>
      <c r="M2354" s="1"/>
      <c r="N2354" s="1"/>
      <c r="O2354" s="1"/>
      <c r="P2354" s="1"/>
      <c r="Q2354" s="1"/>
      <c r="R2354" s="1"/>
      <c r="S2354" s="1"/>
      <c r="T2354" s="1"/>
      <c r="U2354" s="1"/>
      <c r="V2354" s="1"/>
      <c r="W2354" s="1"/>
      <c r="X2354" s="1"/>
      <c r="Y2354" s="1"/>
      <c r="Z2354" s="1"/>
      <c r="AA2354" s="1"/>
      <c r="AB2354" s="1"/>
    </row>
    <row r="2355" ht="50.25" customHeight="1">
      <c r="A2355" s="12">
        <v>2351.0</v>
      </c>
      <c r="B2355" s="13" t="s">
        <v>2233</v>
      </c>
      <c r="C2355" s="14" t="s">
        <v>2367</v>
      </c>
      <c r="D2355" s="1"/>
      <c r="E2355" s="1"/>
      <c r="F2355" s="1" t="str">
        <f>IFERROR(__xludf.DUMMYFUNCTION("GOOGLETRANSLATE(B2355, ""en"", ""fa"")
"),"کپی رایتینگ I")</f>
        <v>کپی رایتینگ I</v>
      </c>
      <c r="G2355" s="1" t="str">
        <f>IFERROR(__xludf.DUMMYFUNCTION("GOOGLETRANSLATE(C2355, ""en"", ""fa"")
"),"استراتژی هایی برای نوشتن سرفصل های تاثیرگذار برای قسمت های پادکست یا محتوای صوتی به اشتراک بگذارید.")</f>
        <v>استراتژی هایی برای نوشتن سرفصل های تاثیرگذار برای قسمت های پادکست یا محتوای صوتی به اشتراک بگذارید.</v>
      </c>
      <c r="H2355" s="1"/>
      <c r="I2355" s="1"/>
      <c r="J2355" s="1"/>
      <c r="K2355" s="1"/>
      <c r="L2355" s="1"/>
      <c r="M2355" s="1"/>
      <c r="N2355" s="1"/>
      <c r="O2355" s="1"/>
      <c r="P2355" s="1"/>
      <c r="Q2355" s="1"/>
      <c r="R2355" s="1"/>
      <c r="S2355" s="1"/>
      <c r="T2355" s="1"/>
      <c r="U2355" s="1"/>
      <c r="V2355" s="1"/>
      <c r="W2355" s="1"/>
      <c r="X2355" s="1"/>
      <c r="Y2355" s="1"/>
      <c r="Z2355" s="1"/>
      <c r="AA2355" s="1"/>
      <c r="AB2355" s="1"/>
    </row>
    <row r="2356" ht="50.25" customHeight="1">
      <c r="A2356" s="12">
        <v>2352.0</v>
      </c>
      <c r="B2356" s="13" t="s">
        <v>2233</v>
      </c>
      <c r="C2356" s="14" t="s">
        <v>2368</v>
      </c>
      <c r="D2356" s="1"/>
      <c r="E2356" s="1"/>
      <c r="F2356" s="1" t="str">
        <f>IFERROR(__xludf.DUMMYFUNCTION("GOOGLETRANSLATE(B2356, ""en"", ""fa"")
"),"کپی رایتینگ I")</f>
        <v>کپی رایتینگ I</v>
      </c>
      <c r="G2356" s="1" t="str">
        <f>IFERROR(__xludf.DUMMYFUNCTION("GOOGLETRANSLATE(C2356, ""en"", ""fa"")
"),"روش‌های مختلف برای گنجاندن گوش دادن و نظارت رسانه‌های اجتماعی در استراتژی‌های کپی‌نویسی را بررسی کنید.")</f>
        <v>روش‌های مختلف برای گنجاندن گوش دادن و نظارت رسانه‌های اجتماعی در استراتژی‌های کپی‌نویسی را بررسی کنید.</v>
      </c>
      <c r="H2356" s="1"/>
      <c r="I2356" s="1"/>
      <c r="J2356" s="1"/>
      <c r="K2356" s="1"/>
      <c r="L2356" s="1"/>
      <c r="M2356" s="1"/>
      <c r="N2356" s="1"/>
      <c r="O2356" s="1"/>
      <c r="P2356" s="1"/>
      <c r="Q2356" s="1"/>
      <c r="R2356" s="1"/>
      <c r="S2356" s="1"/>
      <c r="T2356" s="1"/>
      <c r="U2356" s="1"/>
      <c r="V2356" s="1"/>
      <c r="W2356" s="1"/>
      <c r="X2356" s="1"/>
      <c r="Y2356" s="1"/>
      <c r="Z2356" s="1"/>
      <c r="AA2356" s="1"/>
      <c r="AB2356" s="1"/>
    </row>
    <row r="2357" ht="50.25" customHeight="1">
      <c r="A2357" s="12">
        <v>2353.0</v>
      </c>
      <c r="B2357" s="13" t="s">
        <v>2233</v>
      </c>
      <c r="C2357" s="14" t="s">
        <v>2369</v>
      </c>
      <c r="D2357" s="1"/>
      <c r="E2357" s="1"/>
      <c r="F2357" s="1" t="str">
        <f>IFERROR(__xludf.DUMMYFUNCTION("GOOGLETRANSLATE(B2357, ""en"", ""fa"")
"),"کپی رایتینگ I")</f>
        <v>کپی رایتینگ I</v>
      </c>
      <c r="G2357" s="1" t="str">
        <f>IFERROR(__xludf.DUMMYFUNCTION("GOOGLETRANSLATE(C2357, ""en"", ""fa"")
"),"در مورد اهمیت درک مسیر خرید مخاطب هدف در کپی رایتینگ بحث کنید.")</f>
        <v>در مورد اهمیت درک مسیر خرید مخاطب هدف در کپی رایتینگ بحث کنید.</v>
      </c>
      <c r="H2357" s="1"/>
      <c r="I2357" s="1"/>
      <c r="J2357" s="1"/>
      <c r="K2357" s="1"/>
      <c r="L2357" s="1"/>
      <c r="M2357" s="1"/>
      <c r="N2357" s="1"/>
      <c r="O2357" s="1"/>
      <c r="P2357" s="1"/>
      <c r="Q2357" s="1"/>
      <c r="R2357" s="1"/>
      <c r="S2357" s="1"/>
      <c r="T2357" s="1"/>
      <c r="U2357" s="1"/>
      <c r="V2357" s="1"/>
      <c r="W2357" s="1"/>
      <c r="X2357" s="1"/>
      <c r="Y2357" s="1"/>
      <c r="Z2357" s="1"/>
      <c r="AA2357" s="1"/>
      <c r="AB2357" s="1"/>
    </row>
    <row r="2358" ht="50.25" customHeight="1">
      <c r="A2358" s="12">
        <v>2354.0</v>
      </c>
      <c r="B2358" s="13" t="s">
        <v>2233</v>
      </c>
      <c r="C2358" s="14" t="s">
        <v>2370</v>
      </c>
      <c r="D2358" s="1"/>
      <c r="E2358" s="1"/>
      <c r="F2358" s="1" t="str">
        <f>IFERROR(__xludf.DUMMYFUNCTION("GOOGLETRANSLATE(B2358, ""en"", ""fa"")
"),"کپی رایتینگ I")</f>
        <v>کپی رایتینگ I</v>
      </c>
      <c r="G2358" s="1" t="str">
        <f>IFERROR(__xludf.DUMMYFUNCTION("GOOGLETRANSLATE(C2358, ""en"", ""fa"")
"),"نکاتی را برای نوشتن کپی متقاعدکننده برای صفحات ثبت نام وبینار که باعث افزایش ثبت نام می شود، به اشتراک بگذارید.")</f>
        <v>نکاتی را برای نوشتن کپی متقاعدکننده برای صفحات ثبت نام وبینار که باعث افزایش ثبت نام می شود، به اشتراک بگذارید.</v>
      </c>
      <c r="H2358" s="1"/>
      <c r="I2358" s="1"/>
      <c r="J2358" s="1"/>
      <c r="K2358" s="1"/>
      <c r="L2358" s="1"/>
      <c r="M2358" s="1"/>
      <c r="N2358" s="1"/>
      <c r="O2358" s="1"/>
      <c r="P2358" s="1"/>
      <c r="Q2358" s="1"/>
      <c r="R2358" s="1"/>
      <c r="S2358" s="1"/>
      <c r="T2358" s="1"/>
      <c r="U2358" s="1"/>
      <c r="V2358" s="1"/>
      <c r="W2358" s="1"/>
      <c r="X2358" s="1"/>
      <c r="Y2358" s="1"/>
      <c r="Z2358" s="1"/>
      <c r="AA2358" s="1"/>
      <c r="AB2358" s="1"/>
    </row>
    <row r="2359" ht="50.25" customHeight="1">
      <c r="A2359" s="12">
        <v>2355.0</v>
      </c>
      <c r="B2359" s="13" t="s">
        <v>2233</v>
      </c>
      <c r="C2359" s="14" t="s">
        <v>2371</v>
      </c>
      <c r="D2359" s="1"/>
      <c r="E2359" s="1"/>
      <c r="F2359" s="1" t="str">
        <f>IFERROR(__xludf.DUMMYFUNCTION("GOOGLETRANSLATE(B2359, ""en"", ""fa"")
"),"کپی رایتینگ I")</f>
        <v>کپی رایتینگ I</v>
      </c>
      <c r="G2359" s="1" t="str">
        <f>IFERROR(__xludf.DUMMYFUNCTION("GOOGLETRANSLATE(C2359, ""en"", ""fa"")
"),"تکنیک‌های ایجاد کپی جذاب و متقاعدکننده برای تبلیغات بازاریابی وابسته را بررسی کنید.")</f>
        <v>تکنیک‌های ایجاد کپی جذاب و متقاعدکننده برای تبلیغات بازاریابی وابسته را بررسی کنید.</v>
      </c>
      <c r="H2359" s="1"/>
      <c r="I2359" s="1"/>
      <c r="J2359" s="1"/>
      <c r="K2359" s="1"/>
      <c r="L2359" s="1"/>
      <c r="M2359" s="1"/>
      <c r="N2359" s="1"/>
      <c r="O2359" s="1"/>
      <c r="P2359" s="1"/>
      <c r="Q2359" s="1"/>
      <c r="R2359" s="1"/>
      <c r="S2359" s="1"/>
      <c r="T2359" s="1"/>
      <c r="U2359" s="1"/>
      <c r="V2359" s="1"/>
      <c r="W2359" s="1"/>
      <c r="X2359" s="1"/>
      <c r="Y2359" s="1"/>
      <c r="Z2359" s="1"/>
      <c r="AA2359" s="1"/>
      <c r="AB2359" s="1"/>
    </row>
    <row r="2360" ht="50.25" customHeight="1">
      <c r="A2360" s="12">
        <v>2356.0</v>
      </c>
      <c r="B2360" s="13" t="s">
        <v>2233</v>
      </c>
      <c r="C2360" s="14" t="s">
        <v>2372</v>
      </c>
      <c r="D2360" s="1"/>
      <c r="E2360" s="1"/>
      <c r="F2360" s="1" t="str">
        <f>IFERROR(__xludf.DUMMYFUNCTION("GOOGLETRANSLATE(B2360, ""en"", ""fa"")
"),"کپی رایتینگ I")</f>
        <v>کپی رایتینگ I</v>
      </c>
      <c r="G2360" s="1" t="str">
        <f>IFERROR(__xludf.DUMMYFUNCTION("GOOGLETRANSLATE(C2360, ""en"", ""fa"")
"),"در مورد مزایای استفاده از بینش های مبتنی بر داده برای ایجاد نسخه شخصی برای کمپین های بازاریابی ایمیلی بحث کنید.")</f>
        <v>در مورد مزایای استفاده از بینش های مبتنی بر داده برای ایجاد نسخه شخصی برای کمپین های بازاریابی ایمیلی بحث کنید.</v>
      </c>
      <c r="H2360" s="1"/>
      <c r="I2360" s="1"/>
      <c r="J2360" s="1"/>
      <c r="K2360" s="1"/>
      <c r="L2360" s="1"/>
      <c r="M2360" s="1"/>
      <c r="N2360" s="1"/>
      <c r="O2360" s="1"/>
      <c r="P2360" s="1"/>
      <c r="Q2360" s="1"/>
      <c r="R2360" s="1"/>
      <c r="S2360" s="1"/>
      <c r="T2360" s="1"/>
      <c r="U2360" s="1"/>
      <c r="V2360" s="1"/>
      <c r="W2360" s="1"/>
      <c r="X2360" s="1"/>
      <c r="Y2360" s="1"/>
      <c r="Z2360" s="1"/>
      <c r="AA2360" s="1"/>
      <c r="AB2360" s="1"/>
    </row>
    <row r="2361" ht="50.25" customHeight="1">
      <c r="A2361" s="12">
        <v>2357.0</v>
      </c>
      <c r="B2361" s="13" t="s">
        <v>2233</v>
      </c>
      <c r="C2361" s="14" t="s">
        <v>2373</v>
      </c>
      <c r="D2361" s="1"/>
      <c r="E2361" s="1"/>
      <c r="F2361" s="1" t="str">
        <f>IFERROR(__xludf.DUMMYFUNCTION("GOOGLETRANSLATE(B2361, ""en"", ""fa"")
"),"کپی رایتینگ I")</f>
        <v>کپی رایتینگ I</v>
      </c>
      <c r="G2361" s="1" t="str">
        <f>IFERROR(__xludf.DUMMYFUNCTION("GOOGLETRANSLATE(C2361, ""en"", ""fa"")
"),"استراتژی هایی برای نوشتن سرفصل های تاثیرگذار برای پست های لینکدین که باعث ایجاد تعامل می شود را به اشتراک بگذارید.")</f>
        <v>استراتژی هایی برای نوشتن سرفصل های تاثیرگذار برای پست های لینکدین که باعث ایجاد تعامل می شود را به اشتراک بگذارید.</v>
      </c>
      <c r="H2361" s="1"/>
      <c r="I2361" s="1"/>
      <c r="J2361" s="1"/>
      <c r="K2361" s="1"/>
      <c r="L2361" s="1"/>
      <c r="M2361" s="1"/>
      <c r="N2361" s="1"/>
      <c r="O2361" s="1"/>
      <c r="P2361" s="1"/>
      <c r="Q2361" s="1"/>
      <c r="R2361" s="1"/>
      <c r="S2361" s="1"/>
      <c r="T2361" s="1"/>
      <c r="U2361" s="1"/>
      <c r="V2361" s="1"/>
      <c r="W2361" s="1"/>
      <c r="X2361" s="1"/>
      <c r="Y2361" s="1"/>
      <c r="Z2361" s="1"/>
      <c r="AA2361" s="1"/>
      <c r="AB2361" s="1"/>
    </row>
    <row r="2362" ht="50.25" customHeight="1">
      <c r="A2362" s="12">
        <v>2358.0</v>
      </c>
      <c r="B2362" s="13" t="s">
        <v>2233</v>
      </c>
      <c r="C2362" s="14" t="s">
        <v>2374</v>
      </c>
      <c r="D2362" s="1"/>
      <c r="E2362" s="1"/>
      <c r="F2362" s="1" t="str">
        <f>IFERROR(__xludf.DUMMYFUNCTION("GOOGLETRANSLATE(B2362, ""en"", ""fa"")
"),"کپی رایتینگ I")</f>
        <v>کپی رایتینگ I</v>
      </c>
      <c r="G2362" s="1" t="str">
        <f>IFERROR(__xludf.DUMMYFUNCTION("GOOGLETRANSLATE(C2362, ""en"", ""fa"")
"),"روش های مختلف برای ترکیب عناصر داستان سرایی در کپی رایتینگ برای محصولات یا خدمات فناوری را بررسی کنید.")</f>
        <v>روش های مختلف برای ترکیب عناصر داستان سرایی در کپی رایتینگ برای محصولات یا خدمات فناوری را بررسی کنید.</v>
      </c>
      <c r="H2362" s="1"/>
      <c r="I2362" s="1"/>
      <c r="J2362" s="1"/>
      <c r="K2362" s="1"/>
      <c r="L2362" s="1"/>
      <c r="M2362" s="1"/>
      <c r="N2362" s="1"/>
      <c r="O2362" s="1"/>
      <c r="P2362" s="1"/>
      <c r="Q2362" s="1"/>
      <c r="R2362" s="1"/>
      <c r="S2362" s="1"/>
      <c r="T2362" s="1"/>
      <c r="U2362" s="1"/>
      <c r="V2362" s="1"/>
      <c r="W2362" s="1"/>
      <c r="X2362" s="1"/>
      <c r="Y2362" s="1"/>
      <c r="Z2362" s="1"/>
      <c r="AA2362" s="1"/>
      <c r="AB2362" s="1"/>
    </row>
    <row r="2363" ht="50.25" customHeight="1">
      <c r="A2363" s="12">
        <v>2359.0</v>
      </c>
      <c r="B2363" s="13" t="s">
        <v>2233</v>
      </c>
      <c r="C2363" s="14" t="s">
        <v>2375</v>
      </c>
      <c r="D2363" s="1"/>
      <c r="E2363" s="1"/>
      <c r="F2363" s="1" t="str">
        <f>IFERROR(__xludf.DUMMYFUNCTION("GOOGLETRANSLATE(B2363, ""en"", ""fa"")
"),"کپی رایتینگ I")</f>
        <v>کپی رایتینگ I</v>
      </c>
      <c r="G2363" s="1" t="str">
        <f>IFERROR(__xludf.DUMMYFUNCTION("GOOGLETRANSLATE(C2363, ""en"", ""fa"")
"),"در مورد اهمیت استفاده از زبان مشتری محور و کپی مبتنی بر منافع در کپی رایتینگ B2B بحث کنید.")</f>
        <v>در مورد اهمیت استفاده از زبان مشتری محور و کپی مبتنی بر منافع در کپی رایتینگ B2B بحث کنید.</v>
      </c>
      <c r="H2363" s="1"/>
      <c r="I2363" s="1"/>
      <c r="J2363" s="1"/>
      <c r="K2363" s="1"/>
      <c r="L2363" s="1"/>
      <c r="M2363" s="1"/>
      <c r="N2363" s="1"/>
      <c r="O2363" s="1"/>
      <c r="P2363" s="1"/>
      <c r="Q2363" s="1"/>
      <c r="R2363" s="1"/>
      <c r="S2363" s="1"/>
      <c r="T2363" s="1"/>
      <c r="U2363" s="1"/>
      <c r="V2363" s="1"/>
      <c r="W2363" s="1"/>
      <c r="X2363" s="1"/>
      <c r="Y2363" s="1"/>
      <c r="Z2363" s="1"/>
      <c r="AA2363" s="1"/>
      <c r="AB2363" s="1"/>
    </row>
    <row r="2364" ht="50.25" customHeight="1">
      <c r="A2364" s="12">
        <v>2360.0</v>
      </c>
      <c r="B2364" s="13" t="s">
        <v>2233</v>
      </c>
      <c r="C2364" s="14" t="s">
        <v>2376</v>
      </c>
      <c r="D2364" s="1"/>
      <c r="E2364" s="1"/>
      <c r="F2364" s="1" t="str">
        <f>IFERROR(__xludf.DUMMYFUNCTION("GOOGLETRANSLATE(B2364, ""en"", ""fa"")
"),"کپی رایتینگ I")</f>
        <v>کپی رایتینگ I</v>
      </c>
      <c r="G2364" s="1" t="str">
        <f>IFERROR(__xludf.DUMMYFUNCTION("GOOGLETRANSLATE(C2364, ""en"", ""fa"")
"),"نکاتی را برای نوشتن نسخه متقاعدکننده برای صفحات فروش کتاب الکترونیکی که دانلود را تشویق می کند، به اشتراک بگذارید.")</f>
        <v>نکاتی را برای نوشتن نسخه متقاعدکننده برای صفحات فروش کتاب الکترونیکی که دانلود را تشویق می کند، به اشتراک بگذارید.</v>
      </c>
      <c r="H2364" s="1"/>
      <c r="I2364" s="1"/>
      <c r="J2364" s="1"/>
      <c r="K2364" s="1"/>
      <c r="L2364" s="1"/>
      <c r="M2364" s="1"/>
      <c r="N2364" s="1"/>
      <c r="O2364" s="1"/>
      <c r="P2364" s="1"/>
      <c r="Q2364" s="1"/>
      <c r="R2364" s="1"/>
      <c r="S2364" s="1"/>
      <c r="T2364" s="1"/>
      <c r="U2364" s="1"/>
      <c r="V2364" s="1"/>
      <c r="W2364" s="1"/>
      <c r="X2364" s="1"/>
      <c r="Y2364" s="1"/>
      <c r="Z2364" s="1"/>
      <c r="AA2364" s="1"/>
      <c r="AB2364" s="1"/>
    </row>
    <row r="2365" ht="50.25" customHeight="1">
      <c r="A2365" s="12">
        <v>2361.0</v>
      </c>
      <c r="B2365" s="13" t="s">
        <v>2233</v>
      </c>
      <c r="C2365" s="14" t="s">
        <v>2377</v>
      </c>
      <c r="D2365" s="1"/>
      <c r="E2365" s="1"/>
      <c r="F2365" s="1" t="str">
        <f>IFERROR(__xludf.DUMMYFUNCTION("GOOGLETRANSLATE(B2365, ""en"", ""fa"")
"),"کپی رایتینگ I")</f>
        <v>کپی رایتینگ I</v>
      </c>
      <c r="G2365" s="1" t="str">
        <f>IFERROR(__xludf.DUMMYFUNCTION("GOOGLETRANSLATE(C2365, ""en"", ""fa"")
"),"تکنیک‌هایی را برای ایجاد نسخه‌های متقاعدکننده و متقاعدکننده برای همکاری‌های تأثیرگذار کاوش کنید.")</f>
        <v>تکنیک‌هایی را برای ایجاد نسخه‌های متقاعدکننده و متقاعدکننده برای همکاری‌های تأثیرگذار کاوش کنید.</v>
      </c>
      <c r="H2365" s="1"/>
      <c r="I2365" s="1"/>
      <c r="J2365" s="1"/>
      <c r="K2365" s="1"/>
      <c r="L2365" s="1"/>
      <c r="M2365" s="1"/>
      <c r="N2365" s="1"/>
      <c r="O2365" s="1"/>
      <c r="P2365" s="1"/>
      <c r="Q2365" s="1"/>
      <c r="R2365" s="1"/>
      <c r="S2365" s="1"/>
      <c r="T2365" s="1"/>
      <c r="U2365" s="1"/>
      <c r="V2365" s="1"/>
      <c r="W2365" s="1"/>
      <c r="X2365" s="1"/>
      <c r="Y2365" s="1"/>
      <c r="Z2365" s="1"/>
      <c r="AA2365" s="1"/>
      <c r="AB2365" s="1"/>
    </row>
    <row r="2366" ht="50.25" customHeight="1">
      <c r="A2366" s="12">
        <v>2362.0</v>
      </c>
      <c r="B2366" s="13" t="s">
        <v>2233</v>
      </c>
      <c r="C2366" s="14" t="s">
        <v>2378</v>
      </c>
      <c r="D2366" s="1"/>
      <c r="E2366" s="1"/>
      <c r="F2366" s="1" t="str">
        <f>IFERROR(__xludf.DUMMYFUNCTION("GOOGLETRANSLATE(B2366, ""en"", ""fa"")
"),"کپی رایتینگ I")</f>
        <v>کپی رایتینگ I</v>
      </c>
      <c r="G2366" s="1" t="str">
        <f>IFERROR(__xludf.DUMMYFUNCTION("GOOGLETRANSLATE(C2366, ""en"", ""fa"")
"),"در مورد مزایای استفاده از کلمات قدرتمند و محرک های احساسی در کپی رایتینگ برای جذب مخاطب بحث کنید.")</f>
        <v>در مورد مزایای استفاده از کلمات قدرتمند و محرک های احساسی در کپی رایتینگ برای جذب مخاطب بحث کنید.</v>
      </c>
      <c r="H2366" s="1"/>
      <c r="I2366" s="1"/>
      <c r="J2366" s="1"/>
      <c r="K2366" s="1"/>
      <c r="L2366" s="1"/>
      <c r="M2366" s="1"/>
      <c r="N2366" s="1"/>
      <c r="O2366" s="1"/>
      <c r="P2366" s="1"/>
      <c r="Q2366" s="1"/>
      <c r="R2366" s="1"/>
      <c r="S2366" s="1"/>
      <c r="T2366" s="1"/>
      <c r="U2366" s="1"/>
      <c r="V2366" s="1"/>
      <c r="W2366" s="1"/>
      <c r="X2366" s="1"/>
      <c r="Y2366" s="1"/>
      <c r="Z2366" s="1"/>
      <c r="AA2366" s="1"/>
      <c r="AB2366" s="1"/>
    </row>
    <row r="2367" ht="50.25" customHeight="1">
      <c r="A2367" s="12">
        <v>2363.0</v>
      </c>
      <c r="B2367" s="13" t="s">
        <v>2233</v>
      </c>
      <c r="C2367" s="14" t="s">
        <v>2379</v>
      </c>
      <c r="D2367" s="1"/>
      <c r="E2367" s="1"/>
      <c r="F2367" s="1" t="str">
        <f>IFERROR(__xludf.DUMMYFUNCTION("GOOGLETRANSLATE(B2367, ""en"", ""fa"")
"),"کپی رایتینگ I")</f>
        <v>کپی رایتینگ I</v>
      </c>
      <c r="G2367" s="1" t="str">
        <f>IFERROR(__xludf.DUMMYFUNCTION("GOOGLETRANSLATE(C2367, ""en"", ""fa"")
"),"استراتژی هایی برای نوشتن سرفصل های تاثیرگذار برای آگهی های شغلی که نامزدهای واجد شرایط را جذب می کند را به اشتراک بگذارید.")</f>
        <v>استراتژی هایی برای نوشتن سرفصل های تاثیرگذار برای آگهی های شغلی که نامزدهای واجد شرایط را جذب می کند را به اشتراک بگذارید.</v>
      </c>
      <c r="H2367" s="1"/>
      <c r="I2367" s="1"/>
      <c r="J2367" s="1"/>
      <c r="K2367" s="1"/>
      <c r="L2367" s="1"/>
      <c r="M2367" s="1"/>
      <c r="N2367" s="1"/>
      <c r="O2367" s="1"/>
      <c r="P2367" s="1"/>
      <c r="Q2367" s="1"/>
      <c r="R2367" s="1"/>
      <c r="S2367" s="1"/>
      <c r="T2367" s="1"/>
      <c r="U2367" s="1"/>
      <c r="V2367" s="1"/>
      <c r="W2367" s="1"/>
      <c r="X2367" s="1"/>
      <c r="Y2367" s="1"/>
      <c r="Z2367" s="1"/>
      <c r="AA2367" s="1"/>
      <c r="AB2367" s="1"/>
    </row>
    <row r="2368" ht="50.25" customHeight="1">
      <c r="A2368" s="12">
        <v>2364.0</v>
      </c>
      <c r="B2368" s="13" t="s">
        <v>2233</v>
      </c>
      <c r="C2368" s="14" t="s">
        <v>2380</v>
      </c>
      <c r="D2368" s="1"/>
      <c r="E2368" s="1"/>
      <c r="F2368" s="1" t="str">
        <f>IFERROR(__xludf.DUMMYFUNCTION("GOOGLETRANSLATE(B2368, ""en"", ""fa"")
"),"کپی رایتینگ I")</f>
        <v>کپی رایتینگ I</v>
      </c>
      <c r="G2368" s="1" t="str">
        <f>IFERROR(__xludf.DUMMYFUNCTION("GOOGLETRANSLATE(C2368, ""en"", ""fa"")
"),"روش‌های مختلف را برای گنجاندن مسابقات رسانه‌های اجتماعی و هدایا در کپی‌رایتینگ برای افزایش تعامل کاوش کنید.")</f>
        <v>روش‌های مختلف را برای گنجاندن مسابقات رسانه‌های اجتماعی و هدایا در کپی‌رایتینگ برای افزایش تعامل کاوش کنید.</v>
      </c>
      <c r="H2368" s="1"/>
      <c r="I2368" s="1"/>
      <c r="J2368" s="1"/>
      <c r="K2368" s="1"/>
      <c r="L2368" s="1"/>
      <c r="M2368" s="1"/>
      <c r="N2368" s="1"/>
      <c r="O2368" s="1"/>
      <c r="P2368" s="1"/>
      <c r="Q2368" s="1"/>
      <c r="R2368" s="1"/>
      <c r="S2368" s="1"/>
      <c r="T2368" s="1"/>
      <c r="U2368" s="1"/>
      <c r="V2368" s="1"/>
      <c r="W2368" s="1"/>
      <c r="X2368" s="1"/>
      <c r="Y2368" s="1"/>
      <c r="Z2368" s="1"/>
      <c r="AA2368" s="1"/>
      <c r="AB2368" s="1"/>
    </row>
    <row r="2369" ht="50.25" customHeight="1">
      <c r="A2369" s="12">
        <v>2365.0</v>
      </c>
      <c r="B2369" s="13" t="s">
        <v>2233</v>
      </c>
      <c r="C2369" s="14" t="s">
        <v>2381</v>
      </c>
      <c r="D2369" s="1"/>
      <c r="E2369" s="1"/>
      <c r="F2369" s="1" t="str">
        <f>IFERROR(__xludf.DUMMYFUNCTION("GOOGLETRANSLATE(B2369, ""en"", ""fa"")
"),"کپی رایتینگ I")</f>
        <v>کپی رایتینگ I</v>
      </c>
      <c r="G2369" s="1" t="str">
        <f>IFERROR(__xludf.DUMMYFUNCTION("GOOGLETRANSLATE(C2369, ""en"", ""fa"")
"),"در مورد اهمیت استفاده از زبان مختصر و واضح در کپی رایتینگ برای خوانایی بهتر بحث کنید.")</f>
        <v>در مورد اهمیت استفاده از زبان مختصر و واضح در کپی رایتینگ برای خوانایی بهتر بحث کنید.</v>
      </c>
      <c r="H2369" s="1"/>
      <c r="I2369" s="1"/>
      <c r="J2369" s="1"/>
      <c r="K2369" s="1"/>
      <c r="L2369" s="1"/>
      <c r="M2369" s="1"/>
      <c r="N2369" s="1"/>
      <c r="O2369" s="1"/>
      <c r="P2369" s="1"/>
      <c r="Q2369" s="1"/>
      <c r="R2369" s="1"/>
      <c r="S2369" s="1"/>
      <c r="T2369" s="1"/>
      <c r="U2369" s="1"/>
      <c r="V2369" s="1"/>
      <c r="W2369" s="1"/>
      <c r="X2369" s="1"/>
      <c r="Y2369" s="1"/>
      <c r="Z2369" s="1"/>
      <c r="AA2369" s="1"/>
      <c r="AB2369" s="1"/>
    </row>
    <row r="2370" ht="50.25" customHeight="1">
      <c r="A2370" s="12">
        <v>2366.0</v>
      </c>
      <c r="B2370" s="13" t="s">
        <v>2233</v>
      </c>
      <c r="C2370" s="14" t="s">
        <v>2382</v>
      </c>
      <c r="D2370" s="1"/>
      <c r="E2370" s="1"/>
      <c r="F2370" s="1" t="str">
        <f>IFERROR(__xludf.DUMMYFUNCTION("GOOGLETRANSLATE(B2370, ""en"", ""fa"")
"),"کپی رایتینگ I")</f>
        <v>کپی رایتینگ I</v>
      </c>
      <c r="G2370" s="1" t="str">
        <f>IFERROR(__xludf.DUMMYFUNCTION("GOOGLETRANSLATE(C2370, ""en"", ""fa"")
"),"نکاتی را برای نوشتن کپی متقاعدکننده برای ایمیل‌های فروش که باعث ایجاد تبدیل می‌شوند، به اشتراک بگذارید.")</f>
        <v>نکاتی را برای نوشتن کپی متقاعدکننده برای ایمیل‌های فروش که باعث ایجاد تبدیل می‌شوند، به اشتراک بگذارید.</v>
      </c>
      <c r="H2370" s="1"/>
      <c r="I2370" s="1"/>
      <c r="J2370" s="1"/>
      <c r="K2370" s="1"/>
      <c r="L2370" s="1"/>
      <c r="M2370" s="1"/>
      <c r="N2370" s="1"/>
      <c r="O2370" s="1"/>
      <c r="P2370" s="1"/>
      <c r="Q2370" s="1"/>
      <c r="R2370" s="1"/>
      <c r="S2370" s="1"/>
      <c r="T2370" s="1"/>
      <c r="U2370" s="1"/>
      <c r="V2370" s="1"/>
      <c r="W2370" s="1"/>
      <c r="X2370" s="1"/>
      <c r="Y2370" s="1"/>
      <c r="Z2370" s="1"/>
      <c r="AA2370" s="1"/>
      <c r="AB2370" s="1"/>
    </row>
    <row r="2371" ht="50.25" customHeight="1">
      <c r="A2371" s="12">
        <v>2367.0</v>
      </c>
      <c r="B2371" s="13" t="s">
        <v>2233</v>
      </c>
      <c r="C2371" s="14" t="s">
        <v>2383</v>
      </c>
      <c r="D2371" s="1"/>
      <c r="E2371" s="1"/>
      <c r="F2371" s="1" t="str">
        <f>IFERROR(__xludf.DUMMYFUNCTION("GOOGLETRANSLATE(B2371, ""en"", ""fa"")
"),"کپی رایتینگ I")</f>
        <v>کپی رایتینگ I</v>
      </c>
      <c r="G2371" s="1" t="str">
        <f>IFERROR(__xludf.DUMMYFUNCTION("GOOGLETRANSLATE(C2371, ""en"", ""fa"")
"),"تکنیک‌هایی را برای ایجاد اسکریپت‌های ویدیویی جذاب و آموزنده برای توصیفات مشتریان کاوش کنید.")</f>
        <v>تکنیک‌هایی را برای ایجاد اسکریپت‌های ویدیویی جذاب و آموزنده برای توصیفات مشتریان کاوش کنید.</v>
      </c>
      <c r="H2371" s="1"/>
      <c r="I2371" s="1"/>
      <c r="J2371" s="1"/>
      <c r="K2371" s="1"/>
      <c r="L2371" s="1"/>
      <c r="M2371" s="1"/>
      <c r="N2371" s="1"/>
      <c r="O2371" s="1"/>
      <c r="P2371" s="1"/>
      <c r="Q2371" s="1"/>
      <c r="R2371" s="1"/>
      <c r="S2371" s="1"/>
      <c r="T2371" s="1"/>
      <c r="U2371" s="1"/>
      <c r="V2371" s="1"/>
      <c r="W2371" s="1"/>
      <c r="X2371" s="1"/>
      <c r="Y2371" s="1"/>
      <c r="Z2371" s="1"/>
      <c r="AA2371" s="1"/>
      <c r="AB2371" s="1"/>
    </row>
    <row r="2372" ht="50.25" customHeight="1">
      <c r="A2372" s="12">
        <v>2368.0</v>
      </c>
      <c r="B2372" s="13" t="s">
        <v>2233</v>
      </c>
      <c r="C2372" s="14" t="s">
        <v>2384</v>
      </c>
      <c r="D2372" s="1"/>
      <c r="E2372" s="1"/>
      <c r="F2372" s="1" t="str">
        <f>IFERROR(__xludf.DUMMYFUNCTION("GOOGLETRANSLATE(B2372, ""en"", ""fa"")
"),"کپی رایتینگ I")</f>
        <v>کپی رایتینگ I</v>
      </c>
      <c r="G2372" s="1" t="str">
        <f>IFERROR(__xludf.DUMMYFUNCTION("GOOGLETRANSLATE(C2372, ""en"", ""fa"")
"),"استراتژی هایی برای نوشتن نسخه متقاعدکننده برای خدمات مبتنی بر اشتراک که ثبت نام را تشویق می کند، به اشتراک بگذارید.")</f>
        <v>استراتژی هایی برای نوشتن نسخه متقاعدکننده برای خدمات مبتنی بر اشتراک که ثبت نام را تشویق می کند، به اشتراک بگذارید.</v>
      </c>
      <c r="H2372" s="1"/>
      <c r="I2372" s="1"/>
      <c r="J2372" s="1"/>
      <c r="K2372" s="1"/>
      <c r="L2372" s="1"/>
      <c r="M2372" s="1"/>
      <c r="N2372" s="1"/>
      <c r="O2372" s="1"/>
      <c r="P2372" s="1"/>
      <c r="Q2372" s="1"/>
      <c r="R2372" s="1"/>
      <c r="S2372" s="1"/>
      <c r="T2372" s="1"/>
      <c r="U2372" s="1"/>
      <c r="V2372" s="1"/>
      <c r="W2372" s="1"/>
      <c r="X2372" s="1"/>
      <c r="Y2372" s="1"/>
      <c r="Z2372" s="1"/>
      <c r="AA2372" s="1"/>
      <c r="AB2372" s="1"/>
    </row>
    <row r="2373" ht="50.25" customHeight="1">
      <c r="A2373" s="12">
        <v>2369.0</v>
      </c>
      <c r="B2373" s="13" t="s">
        <v>2233</v>
      </c>
      <c r="C2373" s="14" t="s">
        <v>2385</v>
      </c>
      <c r="D2373" s="1"/>
      <c r="E2373" s="1"/>
      <c r="F2373" s="1" t="str">
        <f>IFERROR(__xludf.DUMMYFUNCTION("GOOGLETRANSLATE(B2373, ""en"", ""fa"")
"),"کپی رایتینگ I")</f>
        <v>کپی رایتینگ I</v>
      </c>
      <c r="G2373" s="1" t="str">
        <f>IFERROR(__xludf.DUMMYFUNCTION("GOOGLETRANSLATE(C2373, ""en"", ""fa"")
"),"تکنیک های ترکیب عناصر داستان سرایی در کپی رایتینگ برای برندها و محصولات لوکس را کاوش کنید.")</f>
        <v>تکنیک های ترکیب عناصر داستان سرایی در کپی رایتینگ برای برندها و محصولات لوکس را کاوش کنید.</v>
      </c>
      <c r="H2373" s="1"/>
      <c r="I2373" s="1"/>
      <c r="J2373" s="1"/>
      <c r="K2373" s="1"/>
      <c r="L2373" s="1"/>
      <c r="M2373" s="1"/>
      <c r="N2373" s="1"/>
      <c r="O2373" s="1"/>
      <c r="P2373" s="1"/>
      <c r="Q2373" s="1"/>
      <c r="R2373" s="1"/>
      <c r="S2373" s="1"/>
      <c r="T2373" s="1"/>
      <c r="U2373" s="1"/>
      <c r="V2373" s="1"/>
      <c r="W2373" s="1"/>
      <c r="X2373" s="1"/>
      <c r="Y2373" s="1"/>
      <c r="Z2373" s="1"/>
      <c r="AA2373" s="1"/>
      <c r="AB2373" s="1"/>
    </row>
    <row r="2374" ht="50.25" customHeight="1">
      <c r="A2374" s="12">
        <v>2370.0</v>
      </c>
      <c r="B2374" s="13" t="s">
        <v>2233</v>
      </c>
      <c r="C2374" s="14" t="s">
        <v>2386</v>
      </c>
      <c r="D2374" s="1"/>
      <c r="E2374" s="1"/>
      <c r="F2374" s="1" t="str">
        <f>IFERROR(__xludf.DUMMYFUNCTION("GOOGLETRANSLATE(B2374, ""en"", ""fa"")
"),"کپی رایتینگ I")</f>
        <v>کپی رایتینگ I</v>
      </c>
      <c r="G2374" s="1" t="str">
        <f>IFERROR(__xludf.DUMMYFUNCTION("GOOGLETRANSLATE(C2374, ""en"", ""fa"")
"),"در مورد مزایای استفاده از اثبات اجتماعی و گواهینامه ها در کپی رایتینگ برای لیست املاک و مستغلات بحث کنید.")</f>
        <v>در مورد مزایای استفاده از اثبات اجتماعی و گواهینامه ها در کپی رایتینگ برای لیست املاک و مستغلات بحث کنید.</v>
      </c>
      <c r="H2374" s="1"/>
      <c r="I2374" s="1"/>
      <c r="J2374" s="1"/>
      <c r="K2374" s="1"/>
      <c r="L2374" s="1"/>
      <c r="M2374" s="1"/>
      <c r="N2374" s="1"/>
      <c r="O2374" s="1"/>
      <c r="P2374" s="1"/>
      <c r="Q2374" s="1"/>
      <c r="R2374" s="1"/>
      <c r="S2374" s="1"/>
      <c r="T2374" s="1"/>
      <c r="U2374" s="1"/>
      <c r="V2374" s="1"/>
      <c r="W2374" s="1"/>
      <c r="X2374" s="1"/>
      <c r="Y2374" s="1"/>
      <c r="Z2374" s="1"/>
      <c r="AA2374" s="1"/>
      <c r="AB2374" s="1"/>
    </row>
    <row r="2375" ht="50.25" customHeight="1">
      <c r="A2375" s="12">
        <v>2371.0</v>
      </c>
      <c r="B2375" s="13" t="s">
        <v>2233</v>
      </c>
      <c r="C2375" s="14" t="s">
        <v>2387</v>
      </c>
      <c r="D2375" s="1"/>
      <c r="E2375" s="1"/>
      <c r="F2375" s="1" t="str">
        <f>IFERROR(__xludf.DUMMYFUNCTION("GOOGLETRANSLATE(B2375, ""en"", ""fa"")
"),"کپی رایتینگ I")</f>
        <v>کپی رایتینگ I</v>
      </c>
      <c r="G2375" s="1" t="str">
        <f>IFERROR(__xludf.DUMMYFUNCTION("GOOGLETRANSLATE(C2375, ""en"", ""fa"")
"),"نکاتی را برای ایجاد سرفصل های قانع کننده برای پست های وبلاگ که باعث ایجاد علاقه و کلیک می شود، به اشتراک بگذارید.")</f>
        <v>نکاتی را برای ایجاد سرفصل های قانع کننده برای پست های وبلاگ که باعث ایجاد علاقه و کلیک می شود، به اشتراک بگذارید.</v>
      </c>
      <c r="H2375" s="1"/>
      <c r="I2375" s="1"/>
      <c r="J2375" s="1"/>
      <c r="K2375" s="1"/>
      <c r="L2375" s="1"/>
      <c r="M2375" s="1"/>
      <c r="N2375" s="1"/>
      <c r="O2375" s="1"/>
      <c r="P2375" s="1"/>
      <c r="Q2375" s="1"/>
      <c r="R2375" s="1"/>
      <c r="S2375" s="1"/>
      <c r="T2375" s="1"/>
      <c r="U2375" s="1"/>
      <c r="V2375" s="1"/>
      <c r="W2375" s="1"/>
      <c r="X2375" s="1"/>
      <c r="Y2375" s="1"/>
      <c r="Z2375" s="1"/>
      <c r="AA2375" s="1"/>
      <c r="AB2375" s="1"/>
    </row>
    <row r="2376" ht="50.25" customHeight="1">
      <c r="A2376" s="12">
        <v>2372.0</v>
      </c>
      <c r="B2376" s="13" t="s">
        <v>2233</v>
      </c>
      <c r="C2376" s="14" t="s">
        <v>2388</v>
      </c>
      <c r="D2376" s="1"/>
      <c r="E2376" s="1"/>
      <c r="F2376" s="1" t="str">
        <f>IFERROR(__xludf.DUMMYFUNCTION("GOOGLETRANSLATE(B2376, ""en"", ""fa"")
"),"کپی رایتینگ I")</f>
        <v>کپی رایتینگ I</v>
      </c>
      <c r="G2376" s="1" t="str">
        <f>IFERROR(__xludf.DUMMYFUNCTION("GOOGLETRANSLATE(C2376, ""en"", ""fa"")
"),"روش‌های مختلف برای ایجاد کپی متقاعدکننده برای کمپین‌ها و درخواست‌های جذب سرمایه را بررسی کنید.")</f>
        <v>روش‌های مختلف برای ایجاد کپی متقاعدکننده برای کمپین‌ها و درخواست‌های جذب سرمایه را بررسی کنید.</v>
      </c>
      <c r="H2376" s="1"/>
      <c r="I2376" s="1"/>
      <c r="J2376" s="1"/>
      <c r="K2376" s="1"/>
      <c r="L2376" s="1"/>
      <c r="M2376" s="1"/>
      <c r="N2376" s="1"/>
      <c r="O2376" s="1"/>
      <c r="P2376" s="1"/>
      <c r="Q2376" s="1"/>
      <c r="R2376" s="1"/>
      <c r="S2376" s="1"/>
      <c r="T2376" s="1"/>
      <c r="U2376" s="1"/>
      <c r="V2376" s="1"/>
      <c r="W2376" s="1"/>
      <c r="X2376" s="1"/>
      <c r="Y2376" s="1"/>
      <c r="Z2376" s="1"/>
      <c r="AA2376" s="1"/>
      <c r="AB2376" s="1"/>
    </row>
    <row r="2377" ht="50.25" customHeight="1">
      <c r="A2377" s="12">
        <v>2373.0</v>
      </c>
      <c r="B2377" s="13" t="s">
        <v>2233</v>
      </c>
      <c r="C2377" s="14" t="s">
        <v>2389</v>
      </c>
      <c r="D2377" s="1"/>
      <c r="E2377" s="1"/>
      <c r="F2377" s="1" t="str">
        <f>IFERROR(__xludf.DUMMYFUNCTION("GOOGLETRANSLATE(B2377, ""en"", ""fa"")
"),"کپی رایتینگ I")</f>
        <v>کپی رایتینگ I</v>
      </c>
      <c r="G2377" s="1" t="str">
        <f>IFERROR(__xludf.DUMMYFUNCTION("GOOGLETRANSLATE(C2377, ""en"", ""fa"")
"),"در مورد اهمیت استفاده از زبان حسی و تصاویر زنده در کپی رایتینگ برای برانگیختن احساسات بحث کنید.")</f>
        <v>در مورد اهمیت استفاده از زبان حسی و تصاویر زنده در کپی رایتینگ برای برانگیختن احساسات بحث کنید.</v>
      </c>
      <c r="H2377" s="1"/>
      <c r="I2377" s="1"/>
      <c r="J2377" s="1"/>
      <c r="K2377" s="1"/>
      <c r="L2377" s="1"/>
      <c r="M2377" s="1"/>
      <c r="N2377" s="1"/>
      <c r="O2377" s="1"/>
      <c r="P2377" s="1"/>
      <c r="Q2377" s="1"/>
      <c r="R2377" s="1"/>
      <c r="S2377" s="1"/>
      <c r="T2377" s="1"/>
      <c r="U2377" s="1"/>
      <c r="V2377" s="1"/>
      <c r="W2377" s="1"/>
      <c r="X2377" s="1"/>
      <c r="Y2377" s="1"/>
      <c r="Z2377" s="1"/>
      <c r="AA2377" s="1"/>
      <c r="AB2377" s="1"/>
    </row>
    <row r="2378" ht="50.25" customHeight="1">
      <c r="A2378" s="12">
        <v>2374.0</v>
      </c>
      <c r="B2378" s="13" t="s">
        <v>2233</v>
      </c>
      <c r="C2378" s="14" t="s">
        <v>2390</v>
      </c>
      <c r="D2378" s="1"/>
      <c r="E2378" s="1"/>
      <c r="F2378" s="1" t="str">
        <f>IFERROR(__xludf.DUMMYFUNCTION("GOOGLETRANSLATE(B2378, ""en"", ""fa"")
"),"کپی رایتینگ I")</f>
        <v>کپی رایتینگ I</v>
      </c>
      <c r="G2378" s="1" t="str">
        <f>IFERROR(__xludf.DUMMYFUNCTION("GOOGLETRANSLATE(C2378, ""en"", ""fa"")
"),"استراتژی‌هایی را برای نوشتن نسخه‌های تاثیرگذار برای راه‌اندازی محصول به اشتراک بگذارید که انتظار و هیجان ایجاد می‌کند.")</f>
        <v>استراتژی‌هایی را برای نوشتن نسخه‌های تاثیرگذار برای راه‌اندازی محصول به اشتراک بگذارید که انتظار و هیجان ایجاد می‌کند.</v>
      </c>
      <c r="H2378" s="1"/>
      <c r="I2378" s="1"/>
      <c r="J2378" s="1"/>
      <c r="K2378" s="1"/>
      <c r="L2378" s="1"/>
      <c r="M2378" s="1"/>
      <c r="N2378" s="1"/>
      <c r="O2378" s="1"/>
      <c r="P2378" s="1"/>
      <c r="Q2378" s="1"/>
      <c r="R2378" s="1"/>
      <c r="S2378" s="1"/>
      <c r="T2378" s="1"/>
      <c r="U2378" s="1"/>
      <c r="V2378" s="1"/>
      <c r="W2378" s="1"/>
      <c r="X2378" s="1"/>
      <c r="Y2378" s="1"/>
      <c r="Z2378" s="1"/>
      <c r="AA2378" s="1"/>
      <c r="AB2378" s="1"/>
    </row>
    <row r="2379" ht="50.25" customHeight="1">
      <c r="A2379" s="12">
        <v>2375.0</v>
      </c>
      <c r="B2379" s="13" t="s">
        <v>2233</v>
      </c>
      <c r="C2379" s="14" t="s">
        <v>2391</v>
      </c>
      <c r="D2379" s="1"/>
      <c r="E2379" s="1"/>
      <c r="F2379" s="1" t="str">
        <f>IFERROR(__xludf.DUMMYFUNCTION("GOOGLETRANSLATE(B2379, ""en"", ""fa"")
"),"کپی رایتینگ I")</f>
        <v>کپی رایتینگ I</v>
      </c>
      <c r="G2379" s="1" t="str">
        <f>IFERROR(__xludf.DUMMYFUNCTION("GOOGLETRANSLATE(C2379, ""en"", ""fa"")
"),"تکنیک هایی را برای ترکیب شخصی سازی و محتوای پویا در کپی بازاریابی ایمیلی کاوش کنید.")</f>
        <v>تکنیک هایی را برای ترکیب شخصی سازی و محتوای پویا در کپی بازاریابی ایمیلی کاوش کنید.</v>
      </c>
      <c r="H2379" s="1"/>
      <c r="I2379" s="1"/>
      <c r="J2379" s="1"/>
      <c r="K2379" s="1"/>
      <c r="L2379" s="1"/>
      <c r="M2379" s="1"/>
      <c r="N2379" s="1"/>
      <c r="O2379" s="1"/>
      <c r="P2379" s="1"/>
      <c r="Q2379" s="1"/>
      <c r="R2379" s="1"/>
      <c r="S2379" s="1"/>
      <c r="T2379" s="1"/>
      <c r="U2379" s="1"/>
      <c r="V2379" s="1"/>
      <c r="W2379" s="1"/>
      <c r="X2379" s="1"/>
      <c r="Y2379" s="1"/>
      <c r="Z2379" s="1"/>
      <c r="AA2379" s="1"/>
      <c r="AB2379" s="1"/>
    </row>
    <row r="2380" ht="50.25" customHeight="1">
      <c r="A2380" s="12">
        <v>2376.0</v>
      </c>
      <c r="B2380" s="13" t="s">
        <v>2233</v>
      </c>
      <c r="C2380" s="14" t="s">
        <v>2392</v>
      </c>
      <c r="D2380" s="1"/>
      <c r="E2380" s="1"/>
      <c r="F2380" s="1" t="str">
        <f>IFERROR(__xludf.DUMMYFUNCTION("GOOGLETRANSLATE(B2380, ""en"", ""fa"")
"),"کپی رایتینگ I")</f>
        <v>کپی رایتینگ I</v>
      </c>
      <c r="G2380" s="1" t="str">
        <f>IFERROR(__xludf.DUMMYFUNCTION("GOOGLETRANSLATE(C2380, ""en"", ""fa"")
"),"در مورد مزایای استفاده از بینش های مبتنی بر داده برای بهینه سازی کپی برای نرخ تبدیل بالاتر بحث کنید.")</f>
        <v>در مورد مزایای استفاده از بینش های مبتنی بر داده برای بهینه سازی کپی برای نرخ تبدیل بالاتر بحث کنید.</v>
      </c>
      <c r="H2380" s="1"/>
      <c r="I2380" s="1"/>
      <c r="J2380" s="1"/>
      <c r="K2380" s="1"/>
      <c r="L2380" s="1"/>
      <c r="M2380" s="1"/>
      <c r="N2380" s="1"/>
      <c r="O2380" s="1"/>
      <c r="P2380" s="1"/>
      <c r="Q2380" s="1"/>
      <c r="R2380" s="1"/>
      <c r="S2380" s="1"/>
      <c r="T2380" s="1"/>
      <c r="U2380" s="1"/>
      <c r="V2380" s="1"/>
      <c r="W2380" s="1"/>
      <c r="X2380" s="1"/>
      <c r="Y2380" s="1"/>
      <c r="Z2380" s="1"/>
      <c r="AA2380" s="1"/>
      <c r="AB2380" s="1"/>
    </row>
    <row r="2381" ht="50.25" customHeight="1">
      <c r="A2381" s="12">
        <v>2377.0</v>
      </c>
      <c r="B2381" s="13" t="s">
        <v>2233</v>
      </c>
      <c r="C2381" s="14" t="s">
        <v>2393</v>
      </c>
      <c r="D2381" s="1"/>
      <c r="E2381" s="1"/>
      <c r="F2381" s="1" t="str">
        <f>IFERROR(__xludf.DUMMYFUNCTION("GOOGLETRANSLATE(B2381, ""en"", ""fa"")
"),"کپی رایتینگ I")</f>
        <v>کپی رایتینگ I</v>
      </c>
      <c r="G2381" s="1" t="str">
        <f>IFERROR(__xludf.DUMMYFUNCTION("GOOGLETRANSLATE(C2381, ""en"", ""fa"")
"),"نکاتی را برای نوشتن نسخه متقاعدکننده برای صفحات فروش دوره آنلاین به اشتراک بگذارید که مزایای یادگیری را برجسته می کند.")</f>
        <v>نکاتی را برای نوشتن نسخه متقاعدکننده برای صفحات فروش دوره آنلاین به اشتراک بگذارید که مزایای یادگیری را برجسته می کند.</v>
      </c>
      <c r="H2381" s="1"/>
      <c r="I2381" s="1"/>
      <c r="J2381" s="1"/>
      <c r="K2381" s="1"/>
      <c r="L2381" s="1"/>
      <c r="M2381" s="1"/>
      <c r="N2381" s="1"/>
      <c r="O2381" s="1"/>
      <c r="P2381" s="1"/>
      <c r="Q2381" s="1"/>
      <c r="R2381" s="1"/>
      <c r="S2381" s="1"/>
      <c r="T2381" s="1"/>
      <c r="U2381" s="1"/>
      <c r="V2381" s="1"/>
      <c r="W2381" s="1"/>
      <c r="X2381" s="1"/>
      <c r="Y2381" s="1"/>
      <c r="Z2381" s="1"/>
      <c r="AA2381" s="1"/>
      <c r="AB2381" s="1"/>
    </row>
    <row r="2382" ht="50.25" customHeight="1">
      <c r="A2382" s="12">
        <v>2378.0</v>
      </c>
      <c r="B2382" s="13" t="s">
        <v>2233</v>
      </c>
      <c r="C2382" s="14" t="s">
        <v>2394</v>
      </c>
      <c r="D2382" s="1"/>
      <c r="E2382" s="1"/>
      <c r="F2382" s="1" t="str">
        <f>IFERROR(__xludf.DUMMYFUNCTION("GOOGLETRANSLATE(B2382, ""en"", ""fa"")
"),"کپی رایتینگ I")</f>
        <v>کپی رایتینگ I</v>
      </c>
      <c r="G2382" s="1" t="str">
        <f>IFERROR(__xludf.DUMMYFUNCTION("GOOGLETRANSLATE(C2382, ""en"", ""fa"")
"),"روش های مختلف برای ایجاد کپی جذاب و متقاعد کننده برای تبلیغات رسانه های اجتماعی را بررسی کنید.")</f>
        <v>روش های مختلف برای ایجاد کپی جذاب و متقاعد کننده برای تبلیغات رسانه های اجتماعی را بررسی کنید.</v>
      </c>
      <c r="H2382" s="1"/>
      <c r="I2382" s="1"/>
      <c r="J2382" s="1"/>
      <c r="K2382" s="1"/>
      <c r="L2382" s="1"/>
      <c r="M2382" s="1"/>
      <c r="N2382" s="1"/>
      <c r="O2382" s="1"/>
      <c r="P2382" s="1"/>
      <c r="Q2382" s="1"/>
      <c r="R2382" s="1"/>
      <c r="S2382" s="1"/>
      <c r="T2382" s="1"/>
      <c r="U2382" s="1"/>
      <c r="V2382" s="1"/>
      <c r="W2382" s="1"/>
      <c r="X2382" s="1"/>
      <c r="Y2382" s="1"/>
      <c r="Z2382" s="1"/>
      <c r="AA2382" s="1"/>
      <c r="AB2382" s="1"/>
    </row>
    <row r="2383" ht="50.25" customHeight="1">
      <c r="A2383" s="12">
        <v>2379.0</v>
      </c>
      <c r="B2383" s="13" t="s">
        <v>2233</v>
      </c>
      <c r="C2383" s="14" t="s">
        <v>2395</v>
      </c>
      <c r="D2383" s="1"/>
      <c r="E2383" s="1"/>
      <c r="F2383" s="1" t="str">
        <f>IFERROR(__xludf.DUMMYFUNCTION("GOOGLETRANSLATE(B2383, ""en"", ""fa"")
"),"کپی رایتینگ I")</f>
        <v>کپی رایتینگ I</v>
      </c>
      <c r="G2383" s="1" t="str">
        <f>IFERROR(__xludf.DUMMYFUNCTION("GOOGLETRANSLATE(C2383, ""en"", ""fa"")
"),"در مورد اهمیت استفاده از تکنیک های داستان سرایی در کپی رایتینگ برای سازمان های غیرانتفاعی بحث کنید.")</f>
        <v>در مورد اهمیت استفاده از تکنیک های داستان سرایی در کپی رایتینگ برای سازمان های غیرانتفاعی بحث کنید.</v>
      </c>
      <c r="H2383" s="1"/>
      <c r="I2383" s="1"/>
      <c r="J2383" s="1"/>
      <c r="K2383" s="1"/>
      <c r="L2383" s="1"/>
      <c r="M2383" s="1"/>
      <c r="N2383" s="1"/>
      <c r="O2383" s="1"/>
      <c r="P2383" s="1"/>
      <c r="Q2383" s="1"/>
      <c r="R2383" s="1"/>
      <c r="S2383" s="1"/>
      <c r="T2383" s="1"/>
      <c r="U2383" s="1"/>
      <c r="V2383" s="1"/>
      <c r="W2383" s="1"/>
      <c r="X2383" s="1"/>
      <c r="Y2383" s="1"/>
      <c r="Z2383" s="1"/>
      <c r="AA2383" s="1"/>
      <c r="AB2383" s="1"/>
    </row>
    <row r="2384" ht="50.25" customHeight="1">
      <c r="A2384" s="12">
        <v>2380.0</v>
      </c>
      <c r="B2384" s="13" t="s">
        <v>2233</v>
      </c>
      <c r="C2384" s="14" t="s">
        <v>2396</v>
      </c>
      <c r="D2384" s="1"/>
      <c r="E2384" s="1"/>
      <c r="F2384" s="1" t="str">
        <f>IFERROR(__xludf.DUMMYFUNCTION("GOOGLETRANSLATE(B2384, ""en"", ""fa"")
"),"کپی رایتینگ I")</f>
        <v>کپی رایتینگ I</v>
      </c>
      <c r="G2384" s="1" t="str">
        <f>IFERROR(__xludf.DUMMYFUNCTION("GOOGLETRANSLATE(C2384, ""en"", ""fa"")
"),"استراتژی هایی را برای ایجاد سرفصل های قانع کننده برای توضیحات محصول تجارت الکترونیک به اشتراک بگذارید.")</f>
        <v>استراتژی هایی را برای ایجاد سرفصل های قانع کننده برای توضیحات محصول تجارت الکترونیک به اشتراک بگذارید.</v>
      </c>
      <c r="H2384" s="1"/>
      <c r="I2384" s="1"/>
      <c r="J2384" s="1"/>
      <c r="K2384" s="1"/>
      <c r="L2384" s="1"/>
      <c r="M2384" s="1"/>
      <c r="N2384" s="1"/>
      <c r="O2384" s="1"/>
      <c r="P2384" s="1"/>
      <c r="Q2384" s="1"/>
      <c r="R2384" s="1"/>
      <c r="S2384" s="1"/>
      <c r="T2384" s="1"/>
      <c r="U2384" s="1"/>
      <c r="V2384" s="1"/>
      <c r="W2384" s="1"/>
      <c r="X2384" s="1"/>
      <c r="Y2384" s="1"/>
      <c r="Z2384" s="1"/>
      <c r="AA2384" s="1"/>
      <c r="AB2384" s="1"/>
    </row>
    <row r="2385" ht="50.25" customHeight="1">
      <c r="A2385" s="12">
        <v>2381.0</v>
      </c>
      <c r="B2385" s="13" t="s">
        <v>2233</v>
      </c>
      <c r="C2385" s="14" t="s">
        <v>2397</v>
      </c>
      <c r="D2385" s="1"/>
      <c r="E2385" s="1"/>
      <c r="F2385" s="1" t="str">
        <f>IFERROR(__xludf.DUMMYFUNCTION("GOOGLETRANSLATE(B2385, ""en"", ""fa"")
"),"کپی رایتینگ I")</f>
        <v>کپی رایتینگ I</v>
      </c>
      <c r="G2385" s="1" t="str">
        <f>IFERROR(__xludf.DUMMYFUNCTION("GOOGLETRANSLATE(C2385, ""en"", ""fa"")
"),"کاوش تکنیک‌هایی برای ترکیب کپی متقاعدکننده در طراحی بسته‌بندی برای افزایش درک برند.")</f>
        <v>کاوش تکنیک‌هایی برای ترکیب کپی متقاعدکننده در طراحی بسته‌بندی برای افزایش درک برند.</v>
      </c>
      <c r="H2385" s="1"/>
      <c r="I2385" s="1"/>
      <c r="J2385" s="1"/>
      <c r="K2385" s="1"/>
      <c r="L2385" s="1"/>
      <c r="M2385" s="1"/>
      <c r="N2385" s="1"/>
      <c r="O2385" s="1"/>
      <c r="P2385" s="1"/>
      <c r="Q2385" s="1"/>
      <c r="R2385" s="1"/>
      <c r="S2385" s="1"/>
      <c r="T2385" s="1"/>
      <c r="U2385" s="1"/>
      <c r="V2385" s="1"/>
      <c r="W2385" s="1"/>
      <c r="X2385" s="1"/>
      <c r="Y2385" s="1"/>
      <c r="Z2385" s="1"/>
      <c r="AA2385" s="1"/>
      <c r="AB2385" s="1"/>
    </row>
    <row r="2386" ht="50.25" customHeight="1">
      <c r="A2386" s="12">
        <v>2382.0</v>
      </c>
      <c r="B2386" s="13" t="s">
        <v>2233</v>
      </c>
      <c r="C2386" s="14" t="s">
        <v>2398</v>
      </c>
      <c r="D2386" s="1"/>
      <c r="E2386" s="1"/>
      <c r="F2386" s="1" t="str">
        <f>IFERROR(__xludf.DUMMYFUNCTION("GOOGLETRANSLATE(B2386, ""en"", ""fa"")
"),"کپی رایتینگ I")</f>
        <v>کپی رایتینگ I</v>
      </c>
      <c r="G2386" s="1" t="str">
        <f>IFERROR(__xludf.DUMMYFUNCTION("GOOGLETRANSLATE(C2386, ""en"", ""fa"")
"),"در مورد مزایای استفاده از محرک های عاطفی و داستان سرایی در کپی رایتینگ برای والدین و محصولات مرتبط با خانواده بحث کنید.")</f>
        <v>در مورد مزایای استفاده از محرک های عاطفی و داستان سرایی در کپی رایتینگ برای والدین و محصولات مرتبط با خانواده بحث کنید.</v>
      </c>
      <c r="H2386" s="1"/>
      <c r="I2386" s="1"/>
      <c r="J2386" s="1"/>
      <c r="K2386" s="1"/>
      <c r="L2386" s="1"/>
      <c r="M2386" s="1"/>
      <c r="N2386" s="1"/>
      <c r="O2386" s="1"/>
      <c r="P2386" s="1"/>
      <c r="Q2386" s="1"/>
      <c r="R2386" s="1"/>
      <c r="S2386" s="1"/>
      <c r="T2386" s="1"/>
      <c r="U2386" s="1"/>
      <c r="V2386" s="1"/>
      <c r="W2386" s="1"/>
      <c r="X2386" s="1"/>
      <c r="Y2386" s="1"/>
      <c r="Z2386" s="1"/>
      <c r="AA2386" s="1"/>
      <c r="AB2386" s="1"/>
    </row>
    <row r="2387" ht="50.25" customHeight="1">
      <c r="A2387" s="12">
        <v>2383.0</v>
      </c>
      <c r="B2387" s="13" t="s">
        <v>2233</v>
      </c>
      <c r="C2387" s="14" t="s">
        <v>2399</v>
      </c>
      <c r="D2387" s="1"/>
      <c r="E2387" s="1"/>
      <c r="F2387" s="1" t="str">
        <f>IFERROR(__xludf.DUMMYFUNCTION("GOOGLETRANSLATE(B2387, ""en"", ""fa"")
"),"کپی رایتینگ I")</f>
        <v>کپی رایتینگ I</v>
      </c>
      <c r="G2387" s="1" t="str">
        <f>IFERROR(__xludf.DUMMYFUNCTION("GOOGLETRANSLATE(C2387, ""en"", ""fa"")
"),"نکاتی را برای نوشتن نسخه متقاعدکننده برای راه حل های نرم افزاری و فناوری به اشتراک بگذارید.")</f>
        <v>نکاتی را برای نوشتن نسخه متقاعدکننده برای راه حل های نرم افزاری و فناوری به اشتراک بگذارید.</v>
      </c>
      <c r="H2387" s="1"/>
      <c r="I2387" s="1"/>
      <c r="J2387" s="1"/>
      <c r="K2387" s="1"/>
      <c r="L2387" s="1"/>
      <c r="M2387" s="1"/>
      <c r="N2387" s="1"/>
      <c r="O2387" s="1"/>
      <c r="P2387" s="1"/>
      <c r="Q2387" s="1"/>
      <c r="R2387" s="1"/>
      <c r="S2387" s="1"/>
      <c r="T2387" s="1"/>
      <c r="U2387" s="1"/>
      <c r="V2387" s="1"/>
      <c r="W2387" s="1"/>
      <c r="X2387" s="1"/>
      <c r="Y2387" s="1"/>
      <c r="Z2387" s="1"/>
      <c r="AA2387" s="1"/>
      <c r="AB2387" s="1"/>
    </row>
    <row r="2388" ht="50.25" customHeight="1">
      <c r="A2388" s="12">
        <v>2384.0</v>
      </c>
      <c r="B2388" s="13" t="s">
        <v>2233</v>
      </c>
      <c r="C2388" s="14" t="s">
        <v>2400</v>
      </c>
      <c r="D2388" s="1"/>
      <c r="E2388" s="1"/>
      <c r="F2388" s="1" t="str">
        <f>IFERROR(__xludf.DUMMYFUNCTION("GOOGLETRANSLATE(B2388, ""en"", ""fa"")
"),"کپی رایتینگ I")</f>
        <v>کپی رایتینگ I</v>
      </c>
      <c r="G2388" s="1" t="str">
        <f>IFERROR(__xludf.DUMMYFUNCTION("GOOGLETRANSLATE(C2388, ""en"", ""fa"")
"),"روش‌های مختلف برای ایجاد اسکریپت‌های ویدیویی جذاب و آموزنده برای آموزش برند را بررسی کنید.")</f>
        <v>روش‌های مختلف برای ایجاد اسکریپت‌های ویدیویی جذاب و آموزنده برای آموزش برند را بررسی کنید.</v>
      </c>
      <c r="H2388" s="1"/>
      <c r="I2388" s="1"/>
      <c r="J2388" s="1"/>
      <c r="K2388" s="1"/>
      <c r="L2388" s="1"/>
      <c r="M2388" s="1"/>
      <c r="N2388" s="1"/>
      <c r="O2388" s="1"/>
      <c r="P2388" s="1"/>
      <c r="Q2388" s="1"/>
      <c r="R2388" s="1"/>
      <c r="S2388" s="1"/>
      <c r="T2388" s="1"/>
      <c r="U2388" s="1"/>
      <c r="V2388" s="1"/>
      <c r="W2388" s="1"/>
      <c r="X2388" s="1"/>
      <c r="Y2388" s="1"/>
      <c r="Z2388" s="1"/>
      <c r="AA2388" s="1"/>
      <c r="AB2388" s="1"/>
    </row>
    <row r="2389" ht="50.25" customHeight="1">
      <c r="A2389" s="12">
        <v>2385.0</v>
      </c>
      <c r="B2389" s="13" t="s">
        <v>2233</v>
      </c>
      <c r="C2389" s="14" t="s">
        <v>2401</v>
      </c>
      <c r="D2389" s="1"/>
      <c r="E2389" s="1"/>
      <c r="F2389" s="1" t="str">
        <f>IFERROR(__xludf.DUMMYFUNCTION("GOOGLETRANSLATE(B2389, ""en"", ""fa"")
"),"کپی رایتینگ I")</f>
        <v>کپی رایتینگ I</v>
      </c>
      <c r="G2389" s="1" t="str">
        <f>IFERROR(__xludf.DUMMYFUNCTION("GOOGLETRANSLATE(C2389, ""en"", ""fa"")
"),"درباره اهمیت درک نکات و خواسته های مخاطب هدف در کپی رایتینگ برای خدمات مالی بحث کنید.")</f>
        <v>درباره اهمیت درک نکات و خواسته های مخاطب هدف در کپی رایتینگ برای خدمات مالی بحث کنید.</v>
      </c>
      <c r="H2389" s="1"/>
      <c r="I2389" s="1"/>
      <c r="J2389" s="1"/>
      <c r="K2389" s="1"/>
      <c r="L2389" s="1"/>
      <c r="M2389" s="1"/>
      <c r="N2389" s="1"/>
      <c r="O2389" s="1"/>
      <c r="P2389" s="1"/>
      <c r="Q2389" s="1"/>
      <c r="R2389" s="1"/>
      <c r="S2389" s="1"/>
      <c r="T2389" s="1"/>
      <c r="U2389" s="1"/>
      <c r="V2389" s="1"/>
      <c r="W2389" s="1"/>
      <c r="X2389" s="1"/>
      <c r="Y2389" s="1"/>
      <c r="Z2389" s="1"/>
      <c r="AA2389" s="1"/>
      <c r="AB2389" s="1"/>
    </row>
    <row r="2390" ht="50.25" customHeight="1">
      <c r="A2390" s="12">
        <v>2386.0</v>
      </c>
      <c r="B2390" s="13" t="s">
        <v>2233</v>
      </c>
      <c r="C2390" s="14" t="s">
        <v>2402</v>
      </c>
      <c r="D2390" s="1"/>
      <c r="E2390" s="1"/>
      <c r="F2390" s="1" t="str">
        <f>IFERROR(__xludf.DUMMYFUNCTION("GOOGLETRANSLATE(B2390, ""en"", ""fa"")
"),"کپی رایتینگ I")</f>
        <v>کپی رایتینگ I</v>
      </c>
      <c r="G2390" s="1" t="str">
        <f>IFERROR(__xludf.DUMMYFUNCTION("GOOGLETRANSLATE(C2390, ""en"", ""fa"")
"),"استراتژی هایی برای نوشتن سرفصل های تاثیرگذار برای راهنماها و برنامه های سفر مقصد به اشتراک بگذارید.")</f>
        <v>استراتژی هایی برای نوشتن سرفصل های تاثیرگذار برای راهنماها و برنامه های سفر مقصد به اشتراک بگذارید.</v>
      </c>
      <c r="H2390" s="1"/>
      <c r="I2390" s="1"/>
      <c r="J2390" s="1"/>
      <c r="K2390" s="1"/>
      <c r="L2390" s="1"/>
      <c r="M2390" s="1"/>
      <c r="N2390" s="1"/>
      <c r="O2390" s="1"/>
      <c r="P2390" s="1"/>
      <c r="Q2390" s="1"/>
      <c r="R2390" s="1"/>
      <c r="S2390" s="1"/>
      <c r="T2390" s="1"/>
      <c r="U2390" s="1"/>
      <c r="V2390" s="1"/>
      <c r="W2390" s="1"/>
      <c r="X2390" s="1"/>
      <c r="Y2390" s="1"/>
      <c r="Z2390" s="1"/>
      <c r="AA2390" s="1"/>
      <c r="AB2390" s="1"/>
    </row>
    <row r="2391" ht="50.25" customHeight="1">
      <c r="A2391" s="12">
        <v>2387.0</v>
      </c>
      <c r="B2391" s="13" t="s">
        <v>2233</v>
      </c>
      <c r="C2391" s="14" t="s">
        <v>2403</v>
      </c>
      <c r="D2391" s="1"/>
      <c r="E2391" s="1"/>
      <c r="F2391" s="1" t="str">
        <f>IFERROR(__xludf.DUMMYFUNCTION("GOOGLETRANSLATE(B2391, ""en"", ""fa"")
"),"کپی رایتینگ I")</f>
        <v>کپی رایتینگ I</v>
      </c>
      <c r="G2391" s="1" t="str">
        <f>IFERROR(__xludf.DUMMYFUNCTION("GOOGLETRANSLATE(C2391, ""en"", ""fa"")
"),"تکنیک‌هایی را برای ایجاد نسخه‌های متقاعدکننده و متقاعدکننده برای نامه‌های فروش کاوش کنید.")</f>
        <v>تکنیک‌هایی را برای ایجاد نسخه‌های متقاعدکننده و متقاعدکننده برای نامه‌های فروش کاوش کنید.</v>
      </c>
      <c r="H2391" s="1"/>
      <c r="I2391" s="1"/>
      <c r="J2391" s="1"/>
      <c r="K2391" s="1"/>
      <c r="L2391" s="1"/>
      <c r="M2391" s="1"/>
      <c r="N2391" s="1"/>
      <c r="O2391" s="1"/>
      <c r="P2391" s="1"/>
      <c r="Q2391" s="1"/>
      <c r="R2391" s="1"/>
      <c r="S2391" s="1"/>
      <c r="T2391" s="1"/>
      <c r="U2391" s="1"/>
      <c r="V2391" s="1"/>
      <c r="W2391" s="1"/>
      <c r="X2391" s="1"/>
      <c r="Y2391" s="1"/>
      <c r="Z2391" s="1"/>
      <c r="AA2391" s="1"/>
      <c r="AB2391" s="1"/>
    </row>
    <row r="2392" ht="50.25" customHeight="1">
      <c r="A2392" s="12">
        <v>2388.0</v>
      </c>
      <c r="B2392" s="13" t="s">
        <v>2233</v>
      </c>
      <c r="C2392" s="14" t="s">
        <v>2404</v>
      </c>
      <c r="D2392" s="1"/>
      <c r="E2392" s="1"/>
      <c r="F2392" s="1" t="str">
        <f>IFERROR(__xludf.DUMMYFUNCTION("GOOGLETRANSLATE(B2392, ""en"", ""fa"")
"),"کپی رایتینگ I")</f>
        <v>کپی رایتینگ I</v>
      </c>
      <c r="G2392" s="1" t="str">
        <f>IFERROR(__xludf.DUMMYFUNCTION("GOOGLETRANSLATE(C2392, ""en"", ""fa"")
"),"در مورد مزایای استفاده از گوش دادن به رسانه های اجتماعی و تجزیه و تحلیل احساسات برای اطلاع از استراتژی های کپی رایتینگ بحث کنید.")</f>
        <v>در مورد مزایای استفاده از گوش دادن به رسانه های اجتماعی و تجزیه و تحلیل احساسات برای اطلاع از استراتژی های کپی رایتینگ بحث کنید.</v>
      </c>
      <c r="H2392" s="1"/>
      <c r="I2392" s="1"/>
      <c r="J2392" s="1"/>
      <c r="K2392" s="1"/>
      <c r="L2392" s="1"/>
      <c r="M2392" s="1"/>
      <c r="N2392" s="1"/>
      <c r="O2392" s="1"/>
      <c r="P2392" s="1"/>
      <c r="Q2392" s="1"/>
      <c r="R2392" s="1"/>
      <c r="S2392" s="1"/>
      <c r="T2392" s="1"/>
      <c r="U2392" s="1"/>
      <c r="V2392" s="1"/>
      <c r="W2392" s="1"/>
      <c r="X2392" s="1"/>
      <c r="Y2392" s="1"/>
      <c r="Z2392" s="1"/>
      <c r="AA2392" s="1"/>
      <c r="AB2392" s="1"/>
    </row>
    <row r="2393" ht="50.25" customHeight="1">
      <c r="A2393" s="12">
        <v>2389.0</v>
      </c>
      <c r="B2393" s="13" t="s">
        <v>2233</v>
      </c>
      <c r="C2393" s="14" t="s">
        <v>2405</v>
      </c>
      <c r="D2393" s="1"/>
      <c r="E2393" s="1"/>
      <c r="F2393" s="1" t="str">
        <f>IFERROR(__xludf.DUMMYFUNCTION("GOOGLETRANSLATE(B2393, ""en"", ""fa"")
"),"کپی رایتینگ I")</f>
        <v>کپی رایتینگ I</v>
      </c>
      <c r="G2393" s="1" t="str">
        <f>IFERROR(__xludf.DUMMYFUNCTION("GOOGLETRANSLATE(C2393, ""en"", ""fa"")
"),"نکاتی را برای نوشتن یک نسخه متقاعدکننده برای کمپین های تامین مالی جمعی که الهام بخش مشارکت هستند، به اشتراک بگذارید.")</f>
        <v>نکاتی را برای نوشتن یک نسخه متقاعدکننده برای کمپین های تامین مالی جمعی که الهام بخش مشارکت هستند، به اشتراک بگذارید.</v>
      </c>
      <c r="H2393" s="1"/>
      <c r="I2393" s="1"/>
      <c r="J2393" s="1"/>
      <c r="K2393" s="1"/>
      <c r="L2393" s="1"/>
      <c r="M2393" s="1"/>
      <c r="N2393" s="1"/>
      <c r="O2393" s="1"/>
      <c r="P2393" s="1"/>
      <c r="Q2393" s="1"/>
      <c r="R2393" s="1"/>
      <c r="S2393" s="1"/>
      <c r="T2393" s="1"/>
      <c r="U2393" s="1"/>
      <c r="V2393" s="1"/>
      <c r="W2393" s="1"/>
      <c r="X2393" s="1"/>
      <c r="Y2393" s="1"/>
      <c r="Z2393" s="1"/>
      <c r="AA2393" s="1"/>
      <c r="AB2393" s="1"/>
    </row>
    <row r="2394" ht="50.25" customHeight="1">
      <c r="A2394" s="12">
        <v>2390.0</v>
      </c>
      <c r="B2394" s="13" t="s">
        <v>2233</v>
      </c>
      <c r="C2394" s="14" t="s">
        <v>2406</v>
      </c>
      <c r="D2394" s="1"/>
      <c r="E2394" s="1"/>
      <c r="F2394" s="1" t="str">
        <f>IFERROR(__xludf.DUMMYFUNCTION("GOOGLETRANSLATE(B2394, ""en"", ""fa"")
"),"کپی رایتینگ I")</f>
        <v>کپی رایتینگ I</v>
      </c>
      <c r="G2394" s="1" t="str">
        <f>IFERROR(__xludf.DUMMYFUNCTION("GOOGLETRANSLATE(C2394, ""en"", ""fa"")
"),"روش های مختلف برای ترکیب محتوای تولید شده توسط کاربر و توصیفات مشتری در کپی رایتینگ برای افزایش اعتبار کاوش کنید.")</f>
        <v>روش های مختلف برای ترکیب محتوای تولید شده توسط کاربر و توصیفات مشتری در کپی رایتینگ برای افزایش اعتبار کاوش کنید.</v>
      </c>
      <c r="H2394" s="1"/>
      <c r="I2394" s="1"/>
      <c r="J2394" s="1"/>
      <c r="K2394" s="1"/>
      <c r="L2394" s="1"/>
      <c r="M2394" s="1"/>
      <c r="N2394" s="1"/>
      <c r="O2394" s="1"/>
      <c r="P2394" s="1"/>
      <c r="Q2394" s="1"/>
      <c r="R2394" s="1"/>
      <c r="S2394" s="1"/>
      <c r="T2394" s="1"/>
      <c r="U2394" s="1"/>
      <c r="V2394" s="1"/>
      <c r="W2394" s="1"/>
      <c r="X2394" s="1"/>
      <c r="Y2394" s="1"/>
      <c r="Z2394" s="1"/>
      <c r="AA2394" s="1"/>
      <c r="AB2394" s="1"/>
    </row>
    <row r="2395" ht="50.25" customHeight="1">
      <c r="A2395" s="12">
        <v>2391.0</v>
      </c>
      <c r="B2395" s="13" t="s">
        <v>2233</v>
      </c>
      <c r="C2395" s="14" t="s">
        <v>2407</v>
      </c>
      <c r="D2395" s="1"/>
      <c r="E2395" s="1"/>
      <c r="F2395" s="1" t="str">
        <f>IFERROR(__xludf.DUMMYFUNCTION("GOOGLETRANSLATE(B2395, ""en"", ""fa"")
"),"کپی رایتینگ I")</f>
        <v>کپی رایتینگ I</v>
      </c>
      <c r="G2395" s="1" t="str">
        <f>IFERROR(__xludf.DUMMYFUNCTION("GOOGLETRANSLATE(C2395, ""en"", ""fa"")
"),"در مورد اهمیت استفاده از کلمات قدرتمند و زبان متقاعد کننده در کپی رایتینگ برای محصولات بهداشتی و سلامتی بحث کنید.")</f>
        <v>در مورد اهمیت استفاده از کلمات قدرتمند و زبان متقاعد کننده در کپی رایتینگ برای محصولات بهداشتی و سلامتی بحث کنید.</v>
      </c>
      <c r="H2395" s="1"/>
      <c r="I2395" s="1"/>
      <c r="J2395" s="1"/>
      <c r="K2395" s="1"/>
      <c r="L2395" s="1"/>
      <c r="M2395" s="1"/>
      <c r="N2395" s="1"/>
      <c r="O2395" s="1"/>
      <c r="P2395" s="1"/>
      <c r="Q2395" s="1"/>
      <c r="R2395" s="1"/>
      <c r="S2395" s="1"/>
      <c r="T2395" s="1"/>
      <c r="U2395" s="1"/>
      <c r="V2395" s="1"/>
      <c r="W2395" s="1"/>
      <c r="X2395" s="1"/>
      <c r="Y2395" s="1"/>
      <c r="Z2395" s="1"/>
      <c r="AA2395" s="1"/>
      <c r="AB2395" s="1"/>
    </row>
    <row r="2396" ht="50.25" customHeight="1">
      <c r="A2396" s="12">
        <v>2392.0</v>
      </c>
      <c r="B2396" s="13" t="s">
        <v>2233</v>
      </c>
      <c r="C2396" s="14" t="s">
        <v>2408</v>
      </c>
      <c r="D2396" s="1"/>
      <c r="E2396" s="1"/>
      <c r="F2396" s="1" t="str">
        <f>IFERROR(__xludf.DUMMYFUNCTION("GOOGLETRANSLATE(B2396, ""en"", ""fa"")
"),"کپی رایتینگ I")</f>
        <v>کپی رایتینگ I</v>
      </c>
      <c r="G2396" s="1" t="str">
        <f>IFERROR(__xludf.DUMMYFUNCTION("GOOGLETRANSLATE(C2396, ""en"", ""fa"")
"),"استراتژی هایی برای ایجاد سرفصل های تاثیرگذار برای بررسی ها و توصیفات آنلاین به اشتراک بگذارید.")</f>
        <v>استراتژی هایی برای ایجاد سرفصل های تاثیرگذار برای بررسی ها و توصیفات آنلاین به اشتراک بگذارید.</v>
      </c>
      <c r="H2396" s="1"/>
      <c r="I2396" s="1"/>
      <c r="J2396" s="1"/>
      <c r="K2396" s="1"/>
      <c r="L2396" s="1"/>
      <c r="M2396" s="1"/>
      <c r="N2396" s="1"/>
      <c r="O2396" s="1"/>
      <c r="P2396" s="1"/>
      <c r="Q2396" s="1"/>
      <c r="R2396" s="1"/>
      <c r="S2396" s="1"/>
      <c r="T2396" s="1"/>
      <c r="U2396" s="1"/>
      <c r="V2396" s="1"/>
      <c r="W2396" s="1"/>
      <c r="X2396" s="1"/>
      <c r="Y2396" s="1"/>
      <c r="Z2396" s="1"/>
      <c r="AA2396" s="1"/>
      <c r="AB2396" s="1"/>
    </row>
    <row r="2397" ht="50.25" customHeight="1">
      <c r="A2397" s="12">
        <v>2393.0</v>
      </c>
      <c r="B2397" s="13" t="s">
        <v>2233</v>
      </c>
      <c r="C2397" s="14" t="s">
        <v>2409</v>
      </c>
      <c r="D2397" s="1"/>
      <c r="E2397" s="1"/>
      <c r="F2397" s="1" t="str">
        <f>IFERROR(__xludf.DUMMYFUNCTION("GOOGLETRANSLATE(B2397, ""en"", ""fa"")
"),"کپی رایتینگ I")</f>
        <v>کپی رایتینگ I</v>
      </c>
      <c r="G2397" s="1" t="str">
        <f>IFERROR(__xludf.DUMMYFUNCTION("GOOGLETRANSLATE(C2397, ""en"", ""fa"")
"),"تکنیک‌هایی را برای ایجاد کپی متقاعدکننده برای توضیحات برنامه تلفن همراه و فهرست‌های فروشگاه کاوش کنید.")</f>
        <v>تکنیک‌هایی را برای ایجاد کپی متقاعدکننده برای توضیحات برنامه تلفن همراه و فهرست‌های فروشگاه کاوش کنید.</v>
      </c>
      <c r="H2397" s="1"/>
      <c r="I2397" s="1"/>
      <c r="J2397" s="1"/>
      <c r="K2397" s="1"/>
      <c r="L2397" s="1"/>
      <c r="M2397" s="1"/>
      <c r="N2397" s="1"/>
      <c r="O2397" s="1"/>
      <c r="P2397" s="1"/>
      <c r="Q2397" s="1"/>
      <c r="R2397" s="1"/>
      <c r="S2397" s="1"/>
      <c r="T2397" s="1"/>
      <c r="U2397" s="1"/>
      <c r="V2397" s="1"/>
      <c r="W2397" s="1"/>
      <c r="X2397" s="1"/>
      <c r="Y2397" s="1"/>
      <c r="Z2397" s="1"/>
      <c r="AA2397" s="1"/>
      <c r="AB2397" s="1"/>
    </row>
    <row r="2398" ht="50.25" customHeight="1">
      <c r="A2398" s="12">
        <v>2394.0</v>
      </c>
      <c r="B2398" s="13" t="s">
        <v>2233</v>
      </c>
      <c r="C2398" s="14" t="s">
        <v>2410</v>
      </c>
      <c r="D2398" s="1"/>
      <c r="E2398" s="1"/>
      <c r="F2398" s="1" t="str">
        <f>IFERROR(__xludf.DUMMYFUNCTION("GOOGLETRANSLATE(B2398, ""en"", ""fa"")
"),"کپی رایتینگ I")</f>
        <v>کپی رایتینگ I</v>
      </c>
      <c r="G2398" s="1" t="str">
        <f>IFERROR(__xludf.DUMMYFUNCTION("GOOGLETRANSLATE(C2398, ""en"", ""fa"")
"),"در مورد مزایای استفاده از بینش های مبتنی بر داده برای شخصی سازی کپی برای تعامل بهتر بحث کنید.")</f>
        <v>در مورد مزایای استفاده از بینش های مبتنی بر داده برای شخصی سازی کپی برای تعامل بهتر بحث کنید.</v>
      </c>
      <c r="H2398" s="1"/>
      <c r="I2398" s="1"/>
      <c r="J2398" s="1"/>
      <c r="K2398" s="1"/>
      <c r="L2398" s="1"/>
      <c r="M2398" s="1"/>
      <c r="N2398" s="1"/>
      <c r="O2398" s="1"/>
      <c r="P2398" s="1"/>
      <c r="Q2398" s="1"/>
      <c r="R2398" s="1"/>
      <c r="S2398" s="1"/>
      <c r="T2398" s="1"/>
      <c r="U2398" s="1"/>
      <c r="V2398" s="1"/>
      <c r="W2398" s="1"/>
      <c r="X2398" s="1"/>
      <c r="Y2398" s="1"/>
      <c r="Z2398" s="1"/>
      <c r="AA2398" s="1"/>
      <c r="AB2398" s="1"/>
    </row>
    <row r="2399" ht="50.25" customHeight="1">
      <c r="A2399" s="12">
        <v>2395.0</v>
      </c>
      <c r="B2399" s="13" t="s">
        <v>2233</v>
      </c>
      <c r="C2399" s="14" t="s">
        <v>2411</v>
      </c>
      <c r="D2399" s="1"/>
      <c r="E2399" s="1"/>
      <c r="F2399" s="1" t="str">
        <f>IFERROR(__xludf.DUMMYFUNCTION("GOOGLETRANSLATE(B2399, ""en"", ""fa"")
"),"کپی رایتینگ I")</f>
        <v>کپی رایتینگ I</v>
      </c>
      <c r="G2399" s="1" t="str">
        <f>IFERROR(__xludf.DUMMYFUNCTION("GOOGLETRANSLATE(C2399, ""en"", ""fa"")
"),"نکاتی را برای نوشتن کپی متقاعد کننده برای دعوت نامه ها و ثبت نام رویداد به اشتراک بگذارید.")</f>
        <v>نکاتی را برای نوشتن کپی متقاعد کننده برای دعوت نامه ها و ثبت نام رویداد به اشتراک بگذارید.</v>
      </c>
      <c r="H2399" s="1"/>
      <c r="I2399" s="1"/>
      <c r="J2399" s="1"/>
      <c r="K2399" s="1"/>
      <c r="L2399" s="1"/>
      <c r="M2399" s="1"/>
      <c r="N2399" s="1"/>
      <c r="O2399" s="1"/>
      <c r="P2399" s="1"/>
      <c r="Q2399" s="1"/>
      <c r="R2399" s="1"/>
      <c r="S2399" s="1"/>
      <c r="T2399" s="1"/>
      <c r="U2399" s="1"/>
      <c r="V2399" s="1"/>
      <c r="W2399" s="1"/>
      <c r="X2399" s="1"/>
      <c r="Y2399" s="1"/>
      <c r="Z2399" s="1"/>
      <c r="AA2399" s="1"/>
      <c r="AB2399" s="1"/>
    </row>
    <row r="2400" ht="50.25" customHeight="1">
      <c r="A2400" s="12">
        <v>2396.0</v>
      </c>
      <c r="B2400" s="13" t="s">
        <v>2233</v>
      </c>
      <c r="C2400" s="14" t="s">
        <v>2412</v>
      </c>
      <c r="D2400" s="1"/>
      <c r="E2400" s="1"/>
      <c r="F2400" s="1" t="str">
        <f>IFERROR(__xludf.DUMMYFUNCTION("GOOGLETRANSLATE(B2400, ""en"", ""fa"")
"),"کپی رایتینگ I")</f>
        <v>کپی رایتینگ I</v>
      </c>
      <c r="G2400" s="1" t="str">
        <f>IFERROR(__xludf.DUMMYFUNCTION("GOOGLETRANSLATE(C2400, ""en"", ""fa"")
"),"روش‌های مختلف برای ایجاد نسخه‌های جذاب و متقاعدکننده برای آزمون‌ها و ارزیابی‌های آنلاین را بررسی کنید.")</f>
        <v>روش‌های مختلف برای ایجاد نسخه‌های جذاب و متقاعدکننده برای آزمون‌ها و ارزیابی‌های آنلاین را بررسی کنید.</v>
      </c>
      <c r="H2400" s="1"/>
      <c r="I2400" s="1"/>
      <c r="J2400" s="1"/>
      <c r="K2400" s="1"/>
      <c r="L2400" s="1"/>
      <c r="M2400" s="1"/>
      <c r="N2400" s="1"/>
      <c r="O2400" s="1"/>
      <c r="P2400" s="1"/>
      <c r="Q2400" s="1"/>
      <c r="R2400" s="1"/>
      <c r="S2400" s="1"/>
      <c r="T2400" s="1"/>
      <c r="U2400" s="1"/>
      <c r="V2400" s="1"/>
      <c r="W2400" s="1"/>
      <c r="X2400" s="1"/>
      <c r="Y2400" s="1"/>
      <c r="Z2400" s="1"/>
      <c r="AA2400" s="1"/>
      <c r="AB2400" s="1"/>
    </row>
    <row r="2401" ht="50.25" customHeight="1">
      <c r="A2401" s="12">
        <v>2397.0</v>
      </c>
      <c r="B2401" s="13" t="s">
        <v>2233</v>
      </c>
      <c r="C2401" s="14" t="s">
        <v>2413</v>
      </c>
      <c r="D2401" s="1"/>
      <c r="E2401" s="1"/>
      <c r="F2401" s="1" t="str">
        <f>IFERROR(__xludf.DUMMYFUNCTION("GOOGLETRANSLATE(B2401, ""en"", ""fa"")
"),"کپی رایتینگ I")</f>
        <v>کپی رایتینگ I</v>
      </c>
      <c r="G2401" s="1" t="str">
        <f>IFERROR(__xludf.DUMMYFUNCTION("GOOGLETRANSLATE(C2401, ""en"", ""fa"")
"),"در مورد اهمیت ایجاد صدای و لحن قوی برند در کپی‌رایتینگ برای صنایع مهمان‌نوازی و گردشگری بحث کنید.")</f>
        <v>در مورد اهمیت ایجاد صدای و لحن قوی برند در کپی‌رایتینگ برای صنایع مهمان‌نوازی و گردشگری بحث کنید.</v>
      </c>
      <c r="H2401" s="1"/>
      <c r="I2401" s="1"/>
      <c r="J2401" s="1"/>
      <c r="K2401" s="1"/>
      <c r="L2401" s="1"/>
      <c r="M2401" s="1"/>
      <c r="N2401" s="1"/>
      <c r="O2401" s="1"/>
      <c r="P2401" s="1"/>
      <c r="Q2401" s="1"/>
      <c r="R2401" s="1"/>
      <c r="S2401" s="1"/>
      <c r="T2401" s="1"/>
      <c r="U2401" s="1"/>
      <c r="V2401" s="1"/>
      <c r="W2401" s="1"/>
      <c r="X2401" s="1"/>
      <c r="Y2401" s="1"/>
      <c r="Z2401" s="1"/>
      <c r="AA2401" s="1"/>
      <c r="AB2401" s="1"/>
    </row>
    <row r="2402" ht="50.25" customHeight="1">
      <c r="A2402" s="12">
        <v>2398.0</v>
      </c>
      <c r="B2402" s="13" t="s">
        <v>2233</v>
      </c>
      <c r="C2402" s="14" t="s">
        <v>2414</v>
      </c>
      <c r="D2402" s="1"/>
      <c r="E2402" s="1"/>
      <c r="F2402" s="1" t="str">
        <f>IFERROR(__xludf.DUMMYFUNCTION("GOOGLETRANSLATE(B2402, ""en"", ""fa"")
"),"کپی رایتینگ I")</f>
        <v>کپی رایتینگ I</v>
      </c>
      <c r="G2402" s="1" t="str">
        <f>IFERROR(__xludf.DUMMYFUNCTION("GOOGLETRANSLATE(C2402, ""en"", ""fa"")
"),"استراتژی هایی برای نوشتن سرفصل های تاثیرگذار برای رزومه و الگوهای CV به اشتراک بگذارید.")</f>
        <v>استراتژی هایی برای نوشتن سرفصل های تاثیرگذار برای رزومه و الگوهای CV به اشتراک بگذارید.</v>
      </c>
      <c r="H2402" s="1"/>
      <c r="I2402" s="1"/>
      <c r="J2402" s="1"/>
      <c r="K2402" s="1"/>
      <c r="L2402" s="1"/>
      <c r="M2402" s="1"/>
      <c r="N2402" s="1"/>
      <c r="O2402" s="1"/>
      <c r="P2402" s="1"/>
      <c r="Q2402" s="1"/>
      <c r="R2402" s="1"/>
      <c r="S2402" s="1"/>
      <c r="T2402" s="1"/>
      <c r="U2402" s="1"/>
      <c r="V2402" s="1"/>
      <c r="W2402" s="1"/>
      <c r="X2402" s="1"/>
      <c r="Y2402" s="1"/>
      <c r="Z2402" s="1"/>
      <c r="AA2402" s="1"/>
      <c r="AB2402" s="1"/>
    </row>
    <row r="2403" ht="50.25" customHeight="1">
      <c r="A2403" s="12">
        <v>2399.0</v>
      </c>
      <c r="B2403" s="13" t="s">
        <v>2233</v>
      </c>
      <c r="C2403" s="14" t="s">
        <v>2415</v>
      </c>
      <c r="D2403" s="1"/>
      <c r="E2403" s="1"/>
      <c r="F2403" s="1" t="str">
        <f>IFERROR(__xludf.DUMMYFUNCTION("GOOGLETRANSLATE(B2403, ""en"", ""fa"")
"),"کپی رایتینگ I")</f>
        <v>کپی رایتینگ I</v>
      </c>
      <c r="G2403" s="1" t="str">
        <f>IFERROR(__xludf.DUMMYFUNCTION("GOOGLETRANSLATE(C2403, ""en"", ""fa"")
"),"تکنیک‌هایی را برای ترکیب عناصر داستان‌گویی در کپی‌نویسی برای محصولات غذا و نوشیدنی کاوش کنید.")</f>
        <v>تکنیک‌هایی را برای ترکیب عناصر داستان‌گویی در کپی‌نویسی برای محصولات غذا و نوشیدنی کاوش کنید.</v>
      </c>
      <c r="H2403" s="1"/>
      <c r="I2403" s="1"/>
      <c r="J2403" s="1"/>
      <c r="K2403" s="1"/>
      <c r="L2403" s="1"/>
      <c r="M2403" s="1"/>
      <c r="N2403" s="1"/>
      <c r="O2403" s="1"/>
      <c r="P2403" s="1"/>
      <c r="Q2403" s="1"/>
      <c r="R2403" s="1"/>
      <c r="S2403" s="1"/>
      <c r="T2403" s="1"/>
      <c r="U2403" s="1"/>
      <c r="V2403" s="1"/>
      <c r="W2403" s="1"/>
      <c r="X2403" s="1"/>
      <c r="Y2403" s="1"/>
      <c r="Z2403" s="1"/>
      <c r="AA2403" s="1"/>
      <c r="AB2403" s="1"/>
    </row>
    <row r="2404" ht="50.25" customHeight="1">
      <c r="A2404" s="12">
        <v>2400.0</v>
      </c>
      <c r="B2404" s="13" t="s">
        <v>2233</v>
      </c>
      <c r="C2404" s="14" t="s">
        <v>2416</v>
      </c>
      <c r="D2404" s="1"/>
      <c r="E2404" s="1"/>
      <c r="F2404" s="1" t="str">
        <f>IFERROR(__xludf.DUMMYFUNCTION("GOOGLETRANSLATE(B2404, ""en"", ""fa"")
"),"کپی رایتینگ I")</f>
        <v>کپی رایتینگ I</v>
      </c>
      <c r="G2404" s="1" t="str">
        <f>IFERROR(__xludf.DUMMYFUNCTION("GOOGLETRANSLATE(C2404, ""en"", ""fa"")
"),"در مورد مزایای استفاده از اینفلوئنسرها و مشارکت در رسانه های اجتماعی در کپی رایتینگ برای همکاری اینفلوئنسرها بحث کنید.")</f>
        <v>در مورد مزایای استفاده از اینفلوئنسرها و مشارکت در رسانه های اجتماعی در کپی رایتینگ برای همکاری اینفلوئنسرها بحث کنید.</v>
      </c>
      <c r="H2404" s="1"/>
      <c r="I2404" s="1"/>
      <c r="J2404" s="1"/>
      <c r="K2404" s="1"/>
      <c r="L2404" s="1"/>
      <c r="M2404" s="1"/>
      <c r="N2404" s="1"/>
      <c r="O2404" s="1"/>
      <c r="P2404" s="1"/>
      <c r="Q2404" s="1"/>
      <c r="R2404" s="1"/>
      <c r="S2404" s="1"/>
      <c r="T2404" s="1"/>
      <c r="U2404" s="1"/>
      <c r="V2404" s="1"/>
      <c r="W2404" s="1"/>
      <c r="X2404" s="1"/>
      <c r="Y2404" s="1"/>
      <c r="Z2404" s="1"/>
      <c r="AA2404" s="1"/>
      <c r="AB2404" s="1"/>
    </row>
    <row r="2405" ht="50.25" customHeight="1">
      <c r="A2405" s="12">
        <v>2401.0</v>
      </c>
      <c r="B2405" s="13" t="s">
        <v>2233</v>
      </c>
      <c r="C2405" s="14" t="s">
        <v>2417</v>
      </c>
      <c r="D2405" s="1"/>
      <c r="E2405" s="1"/>
      <c r="F2405" s="1" t="str">
        <f>IFERROR(__xludf.DUMMYFUNCTION("GOOGLETRANSLATE(B2405, ""en"", ""fa"")
"),"کپی رایتینگ I")</f>
        <v>کپی رایتینگ I</v>
      </c>
      <c r="G2405" s="1" t="str">
        <f>IFERROR(__xludf.DUMMYFUNCTION("GOOGLETRANSLATE(C2405, ""en"", ""fa"")
"),"نکاتی را برای ایجاد نسخه متقاعد کننده برای فرصت های سرمایه گذاری مالی به اشتراک بگذارید.")</f>
        <v>نکاتی را برای ایجاد نسخه متقاعد کننده برای فرصت های سرمایه گذاری مالی به اشتراک بگذارید.</v>
      </c>
      <c r="H2405" s="1"/>
      <c r="I2405" s="1"/>
      <c r="J2405" s="1"/>
      <c r="K2405" s="1"/>
      <c r="L2405" s="1"/>
      <c r="M2405" s="1"/>
      <c r="N2405" s="1"/>
      <c r="O2405" s="1"/>
      <c r="P2405" s="1"/>
      <c r="Q2405" s="1"/>
      <c r="R2405" s="1"/>
      <c r="S2405" s="1"/>
      <c r="T2405" s="1"/>
      <c r="U2405" s="1"/>
      <c r="V2405" s="1"/>
      <c r="W2405" s="1"/>
      <c r="X2405" s="1"/>
      <c r="Y2405" s="1"/>
      <c r="Z2405" s="1"/>
      <c r="AA2405" s="1"/>
      <c r="AB2405" s="1"/>
    </row>
    <row r="2406" ht="50.25" customHeight="1">
      <c r="A2406" s="12">
        <v>2402.0</v>
      </c>
      <c r="B2406" s="13" t="s">
        <v>2233</v>
      </c>
      <c r="C2406" s="14" t="s">
        <v>2418</v>
      </c>
      <c r="D2406" s="1"/>
      <c r="E2406" s="1"/>
      <c r="F2406" s="1" t="str">
        <f>IFERROR(__xludf.DUMMYFUNCTION("GOOGLETRANSLATE(B2406, ""en"", ""fa"")
"),"کپی رایتینگ I")</f>
        <v>کپی رایتینگ I</v>
      </c>
      <c r="G2406" s="1" t="str">
        <f>IFERROR(__xludf.DUMMYFUNCTION("GOOGLETRANSLATE(C2406, ""en"", ""fa"")
"),"روش های مختلف برای ایجاد نسخه متقاعد کننده برای پلتفرم ها و خدمات رزرو آنلاین را بررسی کنید.")</f>
        <v>روش های مختلف برای ایجاد نسخه متقاعد کننده برای پلتفرم ها و خدمات رزرو آنلاین را بررسی کنید.</v>
      </c>
      <c r="H2406" s="1"/>
      <c r="I2406" s="1"/>
      <c r="J2406" s="1"/>
      <c r="K2406" s="1"/>
      <c r="L2406" s="1"/>
      <c r="M2406" s="1"/>
      <c r="N2406" s="1"/>
      <c r="O2406" s="1"/>
      <c r="P2406" s="1"/>
      <c r="Q2406" s="1"/>
      <c r="R2406" s="1"/>
      <c r="S2406" s="1"/>
      <c r="T2406" s="1"/>
      <c r="U2406" s="1"/>
      <c r="V2406" s="1"/>
      <c r="W2406" s="1"/>
      <c r="X2406" s="1"/>
      <c r="Y2406" s="1"/>
      <c r="Z2406" s="1"/>
      <c r="AA2406" s="1"/>
      <c r="AB2406" s="1"/>
    </row>
    <row r="2407" ht="50.25" customHeight="1">
      <c r="A2407" s="12">
        <v>2403.0</v>
      </c>
      <c r="B2407" s="13" t="s">
        <v>2233</v>
      </c>
      <c r="C2407" s="14" t="s">
        <v>2419</v>
      </c>
      <c r="D2407" s="1"/>
      <c r="E2407" s="1"/>
      <c r="F2407" s="1" t="str">
        <f>IFERROR(__xludf.DUMMYFUNCTION("GOOGLETRANSLATE(B2407, ""en"", ""fa"")
"),"کپی رایتینگ I")</f>
        <v>کپی رایتینگ I</v>
      </c>
      <c r="G2407" s="1" t="str">
        <f>IFERROR(__xludf.DUMMYFUNCTION("GOOGLETRANSLATE(C2407, ""en"", ""fa"")
"),"در مورد اهمیت استفاده از زبان محاوره ای و پرداختن به نکات دردناک مشتری در کپی رایتینگ برای خدمات پشتیبانی مشتری بحث کنید.")</f>
        <v>در مورد اهمیت استفاده از زبان محاوره ای و پرداختن به نکات دردناک مشتری در کپی رایتینگ برای خدمات پشتیبانی مشتری بحث کنید.</v>
      </c>
      <c r="H2407" s="1"/>
      <c r="I2407" s="1"/>
      <c r="J2407" s="1"/>
      <c r="K2407" s="1"/>
      <c r="L2407" s="1"/>
      <c r="M2407" s="1"/>
      <c r="N2407" s="1"/>
      <c r="O2407" s="1"/>
      <c r="P2407" s="1"/>
      <c r="Q2407" s="1"/>
      <c r="R2407" s="1"/>
      <c r="S2407" s="1"/>
      <c r="T2407" s="1"/>
      <c r="U2407" s="1"/>
      <c r="V2407" s="1"/>
      <c r="W2407" s="1"/>
      <c r="X2407" s="1"/>
      <c r="Y2407" s="1"/>
      <c r="Z2407" s="1"/>
      <c r="AA2407" s="1"/>
      <c r="AB2407" s="1"/>
    </row>
    <row r="2408" ht="50.25" customHeight="1">
      <c r="A2408" s="12">
        <v>2404.0</v>
      </c>
      <c r="B2408" s="13" t="s">
        <v>2233</v>
      </c>
      <c r="C2408" s="14" t="s">
        <v>2420</v>
      </c>
      <c r="D2408" s="1"/>
      <c r="E2408" s="1"/>
      <c r="F2408" s="1" t="str">
        <f>IFERROR(__xludf.DUMMYFUNCTION("GOOGLETRANSLATE(B2408, ""en"", ""fa"")
"),"کپی رایتینگ I")</f>
        <v>کپی رایتینگ I</v>
      </c>
      <c r="G2408" s="1" t="str">
        <f>IFERROR(__xludf.DUMMYFUNCTION("GOOGLETRANSLATE(C2408, ""en"", ""fa"")
"),"استراتژی های نوشتن سرفصل های تاثیرگذار برای دوره ها و برنامه های آموزشی را به اشتراک بگذارید.")</f>
        <v>استراتژی های نوشتن سرفصل های تاثیرگذار برای دوره ها و برنامه های آموزشی را به اشتراک بگذارید.</v>
      </c>
      <c r="H2408" s="1"/>
      <c r="I2408" s="1"/>
      <c r="J2408" s="1"/>
      <c r="K2408" s="1"/>
      <c r="L2408" s="1"/>
      <c r="M2408" s="1"/>
      <c r="N2408" s="1"/>
      <c r="O2408" s="1"/>
      <c r="P2408" s="1"/>
      <c r="Q2408" s="1"/>
      <c r="R2408" s="1"/>
      <c r="S2408" s="1"/>
      <c r="T2408" s="1"/>
      <c r="U2408" s="1"/>
      <c r="V2408" s="1"/>
      <c r="W2408" s="1"/>
      <c r="X2408" s="1"/>
      <c r="Y2408" s="1"/>
      <c r="Z2408" s="1"/>
      <c r="AA2408" s="1"/>
      <c r="AB2408" s="1"/>
    </row>
    <row r="2409" ht="50.25" customHeight="1">
      <c r="A2409" s="12">
        <v>2405.0</v>
      </c>
      <c r="B2409" s="13" t="s">
        <v>2233</v>
      </c>
      <c r="C2409" s="14" t="s">
        <v>2421</v>
      </c>
      <c r="D2409" s="1"/>
      <c r="E2409" s="1"/>
      <c r="F2409" s="1" t="str">
        <f>IFERROR(__xludf.DUMMYFUNCTION("GOOGLETRANSLATE(B2409, ""en"", ""fa"")
"),"کپی رایتینگ I")</f>
        <v>کپی رایتینگ I</v>
      </c>
      <c r="G2409" s="1" t="str">
        <f>IFERROR(__xludf.DUMMYFUNCTION("GOOGLETRANSLATE(C2409, ""en"", ""fa"")
"),"تکنیک های ترکیب شوخ طبعی و شوخ طبعی را در کپی رایتینگ برای محصولات سرگرمی و اوقات فراغت کاوش کنید.")</f>
        <v>تکنیک های ترکیب شوخ طبعی و شوخ طبعی را در کپی رایتینگ برای محصولات سرگرمی و اوقات فراغت کاوش کنید.</v>
      </c>
      <c r="H2409" s="1"/>
      <c r="I2409" s="1"/>
      <c r="J2409" s="1"/>
      <c r="K2409" s="1"/>
      <c r="L2409" s="1"/>
      <c r="M2409" s="1"/>
      <c r="N2409" s="1"/>
      <c r="O2409" s="1"/>
      <c r="P2409" s="1"/>
      <c r="Q2409" s="1"/>
      <c r="R2409" s="1"/>
      <c r="S2409" s="1"/>
      <c r="T2409" s="1"/>
      <c r="U2409" s="1"/>
      <c r="V2409" s="1"/>
      <c r="W2409" s="1"/>
      <c r="X2409" s="1"/>
      <c r="Y2409" s="1"/>
      <c r="Z2409" s="1"/>
      <c r="AA2409" s="1"/>
      <c r="AB2409" s="1"/>
    </row>
    <row r="2410" ht="50.25" customHeight="1">
      <c r="A2410" s="12">
        <v>2406.0</v>
      </c>
      <c r="B2410" s="13" t="s">
        <v>2233</v>
      </c>
      <c r="C2410" s="14" t="s">
        <v>2422</v>
      </c>
      <c r="D2410" s="1"/>
      <c r="E2410" s="1"/>
      <c r="F2410" s="1" t="str">
        <f>IFERROR(__xludf.DUMMYFUNCTION("GOOGLETRANSLATE(B2410, ""en"", ""fa"")
"),"کپی رایتینگ I")</f>
        <v>کپی رایتینگ I</v>
      </c>
      <c r="G2410" s="1" t="str">
        <f>IFERROR(__xludf.DUMMYFUNCTION("GOOGLETRANSLATE(C2410, ""en"", ""fa"")
"),"در مورد مزایای استفاده از هشتگ های رسانه های اجتماعی و گرایش ها در کپی رایتینگ برای افزایش دید و تعامل بحث کنید.")</f>
        <v>در مورد مزایای استفاده از هشتگ های رسانه های اجتماعی و گرایش ها در کپی رایتینگ برای افزایش دید و تعامل بحث کنید.</v>
      </c>
      <c r="H2410" s="1"/>
      <c r="I2410" s="1"/>
      <c r="J2410" s="1"/>
      <c r="K2410" s="1"/>
      <c r="L2410" s="1"/>
      <c r="M2410" s="1"/>
      <c r="N2410" s="1"/>
      <c r="O2410" s="1"/>
      <c r="P2410" s="1"/>
      <c r="Q2410" s="1"/>
      <c r="R2410" s="1"/>
      <c r="S2410" s="1"/>
      <c r="T2410" s="1"/>
      <c r="U2410" s="1"/>
      <c r="V2410" s="1"/>
      <c r="W2410" s="1"/>
      <c r="X2410" s="1"/>
      <c r="Y2410" s="1"/>
      <c r="Z2410" s="1"/>
      <c r="AA2410" s="1"/>
      <c r="AB2410" s="1"/>
    </row>
    <row r="2411" ht="50.25" customHeight="1">
      <c r="A2411" s="12">
        <v>2407.0</v>
      </c>
      <c r="B2411" s="13" t="s">
        <v>2233</v>
      </c>
      <c r="C2411" s="14" t="s">
        <v>2423</v>
      </c>
      <c r="D2411" s="1"/>
      <c r="E2411" s="1"/>
      <c r="F2411" s="1" t="str">
        <f>IFERROR(__xludf.DUMMYFUNCTION("GOOGLETRANSLATE(B2411, ""en"", ""fa"")
"),"کپی رایتینگ I")</f>
        <v>کپی رایتینگ I</v>
      </c>
      <c r="G2411" s="1" t="str">
        <f>IFERROR(__xludf.DUMMYFUNCTION("GOOGLETRANSLATE(C2411, ""en"", ""fa"")
"),"نکاتی را برای نوشتن نسخه متقاعدکننده برای کمپین های فروش و فروش متقابل تجارت الکترونیک به اشتراک بگذارید.")</f>
        <v>نکاتی را برای نوشتن نسخه متقاعدکننده برای کمپین های فروش و فروش متقابل تجارت الکترونیک به اشتراک بگذارید.</v>
      </c>
      <c r="H2411" s="1"/>
      <c r="I2411" s="1"/>
      <c r="J2411" s="1"/>
      <c r="K2411" s="1"/>
      <c r="L2411" s="1"/>
      <c r="M2411" s="1"/>
      <c r="N2411" s="1"/>
      <c r="O2411" s="1"/>
      <c r="P2411" s="1"/>
      <c r="Q2411" s="1"/>
      <c r="R2411" s="1"/>
      <c r="S2411" s="1"/>
      <c r="T2411" s="1"/>
      <c r="U2411" s="1"/>
      <c r="V2411" s="1"/>
      <c r="W2411" s="1"/>
      <c r="X2411" s="1"/>
      <c r="Y2411" s="1"/>
      <c r="Z2411" s="1"/>
      <c r="AA2411" s="1"/>
      <c r="AB2411" s="1"/>
    </row>
    <row r="2412" ht="50.25" customHeight="1">
      <c r="A2412" s="12">
        <v>2408.0</v>
      </c>
      <c r="B2412" s="13" t="s">
        <v>2233</v>
      </c>
      <c r="C2412" s="14" t="s">
        <v>2424</v>
      </c>
      <c r="D2412" s="1"/>
      <c r="E2412" s="1"/>
      <c r="F2412" s="1" t="str">
        <f>IFERROR(__xludf.DUMMYFUNCTION("GOOGLETRANSLATE(B2412, ""en"", ""fa"")
"),"کپی رایتینگ I")</f>
        <v>کپی رایتینگ I</v>
      </c>
      <c r="G2412" s="1" t="str">
        <f>IFERROR(__xludf.DUMMYFUNCTION("GOOGLETRANSLATE(C2412, ""en"", ""fa"")
"),"روش های مختلف برای ایجاد اسکریپت های ویدیویی جذاب و آموزنده برای توصیفات برند را بررسی کنید.")</f>
        <v>روش های مختلف برای ایجاد اسکریپت های ویدیویی جذاب و آموزنده برای توصیفات برند را بررسی کنید.</v>
      </c>
      <c r="H2412" s="1"/>
      <c r="I2412" s="1"/>
      <c r="J2412" s="1"/>
      <c r="K2412" s="1"/>
      <c r="L2412" s="1"/>
      <c r="M2412" s="1"/>
      <c r="N2412" s="1"/>
      <c r="O2412" s="1"/>
      <c r="P2412" s="1"/>
      <c r="Q2412" s="1"/>
      <c r="R2412" s="1"/>
      <c r="S2412" s="1"/>
      <c r="T2412" s="1"/>
      <c r="U2412" s="1"/>
      <c r="V2412" s="1"/>
      <c r="W2412" s="1"/>
      <c r="X2412" s="1"/>
      <c r="Y2412" s="1"/>
      <c r="Z2412" s="1"/>
      <c r="AA2412" s="1"/>
      <c r="AB2412" s="1"/>
    </row>
    <row r="2413" ht="50.25" customHeight="1">
      <c r="A2413" s="12">
        <v>2409.0</v>
      </c>
      <c r="B2413" s="13" t="s">
        <v>2233</v>
      </c>
      <c r="C2413" s="14" t="s">
        <v>2425</v>
      </c>
      <c r="D2413" s="1"/>
      <c r="E2413" s="1"/>
      <c r="F2413" s="1" t="str">
        <f>IFERROR(__xludf.DUMMYFUNCTION("GOOGLETRANSLATE(B2413, ""en"", ""fa"")
"),"کپی رایتینگ I")</f>
        <v>کپی رایتینگ I</v>
      </c>
      <c r="G2413" s="1" t="str">
        <f>IFERROR(__xludf.DUMMYFUNCTION("GOOGLETRANSLATE(C2413, ""en"", ""fa"")
"),"در مورد اهمیت استفاده از بینش های مبتنی بر داده برای بهینه سازی نسخه برای بهینه سازی موتور جستجو (SEO) بحث کنید.")</f>
        <v>در مورد اهمیت استفاده از بینش های مبتنی بر داده برای بهینه سازی نسخه برای بهینه سازی موتور جستجو (SEO) بحث کنید.</v>
      </c>
      <c r="H2413" s="1"/>
      <c r="I2413" s="1"/>
      <c r="J2413" s="1"/>
      <c r="K2413" s="1"/>
      <c r="L2413" s="1"/>
      <c r="M2413" s="1"/>
      <c r="N2413" s="1"/>
      <c r="O2413" s="1"/>
      <c r="P2413" s="1"/>
      <c r="Q2413" s="1"/>
      <c r="R2413" s="1"/>
      <c r="S2413" s="1"/>
      <c r="T2413" s="1"/>
      <c r="U2413" s="1"/>
      <c r="V2413" s="1"/>
      <c r="W2413" s="1"/>
      <c r="X2413" s="1"/>
      <c r="Y2413" s="1"/>
      <c r="Z2413" s="1"/>
      <c r="AA2413" s="1"/>
      <c r="AB2413" s="1"/>
    </row>
    <row r="2414" ht="50.25" customHeight="1">
      <c r="A2414" s="12">
        <v>2410.0</v>
      </c>
      <c r="B2414" s="13" t="s">
        <v>2233</v>
      </c>
      <c r="C2414" s="14" t="s">
        <v>2426</v>
      </c>
      <c r="D2414" s="1"/>
      <c r="E2414" s="1"/>
      <c r="F2414" s="1" t="str">
        <f>IFERROR(__xludf.DUMMYFUNCTION("GOOGLETRANSLATE(B2414, ""en"", ""fa"")
"),"کپی رایتینگ I")</f>
        <v>کپی رایتینگ I</v>
      </c>
      <c r="G2414" s="1" t="str">
        <f>IFERROR(__xludf.DUMMYFUNCTION("GOOGLETRANSLATE(C2414, ""en"", ""fa"")
"),"استراتژی‌هایی برای ایجاد سرفصل‌های قانع‌کننده برای نامه‌های پوششی درخواست شغلی را به اشتراک بگذارید.")</f>
        <v>استراتژی‌هایی برای ایجاد سرفصل‌های قانع‌کننده برای نامه‌های پوششی درخواست شغلی را به اشتراک بگذارید.</v>
      </c>
      <c r="H2414" s="1"/>
      <c r="I2414" s="1"/>
      <c r="J2414" s="1"/>
      <c r="K2414" s="1"/>
      <c r="L2414" s="1"/>
      <c r="M2414" s="1"/>
      <c r="N2414" s="1"/>
      <c r="O2414" s="1"/>
      <c r="P2414" s="1"/>
      <c r="Q2414" s="1"/>
      <c r="R2414" s="1"/>
      <c r="S2414" s="1"/>
      <c r="T2414" s="1"/>
      <c r="U2414" s="1"/>
      <c r="V2414" s="1"/>
      <c r="W2414" s="1"/>
      <c r="X2414" s="1"/>
      <c r="Y2414" s="1"/>
      <c r="Z2414" s="1"/>
      <c r="AA2414" s="1"/>
      <c r="AB2414" s="1"/>
    </row>
    <row r="2415" ht="50.25" customHeight="1">
      <c r="A2415" s="12">
        <v>2411.0</v>
      </c>
      <c r="B2415" s="13" t="s">
        <v>2233</v>
      </c>
      <c r="C2415" s="14" t="s">
        <v>2427</v>
      </c>
      <c r="D2415" s="1"/>
      <c r="E2415" s="1"/>
      <c r="F2415" s="1" t="str">
        <f>IFERROR(__xludf.DUMMYFUNCTION("GOOGLETRANSLATE(B2415, ""en"", ""fa"")
"),"کپی رایتینگ I")</f>
        <v>کپی رایتینگ I</v>
      </c>
      <c r="G2415" s="1" t="str">
        <f>IFERROR(__xludf.DUMMYFUNCTION("GOOGLETRANSLATE(C2415, ""en"", ""fa"")
"),"تکنیک های ترکیب عناصر داستان سرایی در کپی رایتینگ برای برندهای پایدار و دوستدار محیط زیست را کاوش کنید.")</f>
        <v>تکنیک های ترکیب عناصر داستان سرایی در کپی رایتینگ برای برندهای پایدار و دوستدار محیط زیست را کاوش کنید.</v>
      </c>
      <c r="H2415" s="1"/>
      <c r="I2415" s="1"/>
      <c r="J2415" s="1"/>
      <c r="K2415" s="1"/>
      <c r="L2415" s="1"/>
      <c r="M2415" s="1"/>
      <c r="N2415" s="1"/>
      <c r="O2415" s="1"/>
      <c r="P2415" s="1"/>
      <c r="Q2415" s="1"/>
      <c r="R2415" s="1"/>
      <c r="S2415" s="1"/>
      <c r="T2415" s="1"/>
      <c r="U2415" s="1"/>
      <c r="V2415" s="1"/>
      <c r="W2415" s="1"/>
      <c r="X2415" s="1"/>
      <c r="Y2415" s="1"/>
      <c r="Z2415" s="1"/>
      <c r="AA2415" s="1"/>
      <c r="AB2415" s="1"/>
    </row>
    <row r="2416" ht="50.25" customHeight="1">
      <c r="A2416" s="12">
        <v>2412.0</v>
      </c>
      <c r="B2416" s="13" t="s">
        <v>2233</v>
      </c>
      <c r="C2416" s="14" t="s">
        <v>2428</v>
      </c>
      <c r="D2416" s="1"/>
      <c r="E2416" s="1"/>
      <c r="F2416" s="1" t="str">
        <f>IFERROR(__xludf.DUMMYFUNCTION("GOOGLETRANSLATE(B2416, ""en"", ""fa"")
"),"کپی رایتینگ I")</f>
        <v>کپی رایتینگ I</v>
      </c>
      <c r="G2416" s="1" t="str">
        <f>IFERROR(__xludf.DUMMYFUNCTION("GOOGLETRANSLATE(C2416, ""en"", ""fa"")
"),"در مورد مزایای استفاده از جذابیت های احساسی و داستان سرایی در کپی رایتینگ برای محصولات و خدمات مرتبط با حیوانات خانگی بحث کنید.")</f>
        <v>در مورد مزایای استفاده از جذابیت های احساسی و داستان سرایی در کپی رایتینگ برای محصولات و خدمات مرتبط با حیوانات خانگی بحث کنید.</v>
      </c>
      <c r="H2416" s="1"/>
      <c r="I2416" s="1"/>
      <c r="J2416" s="1"/>
      <c r="K2416" s="1"/>
      <c r="L2416" s="1"/>
      <c r="M2416" s="1"/>
      <c r="N2416" s="1"/>
      <c r="O2416" s="1"/>
      <c r="P2416" s="1"/>
      <c r="Q2416" s="1"/>
      <c r="R2416" s="1"/>
      <c r="S2416" s="1"/>
      <c r="T2416" s="1"/>
      <c r="U2416" s="1"/>
      <c r="V2416" s="1"/>
      <c r="W2416" s="1"/>
      <c r="X2416" s="1"/>
      <c r="Y2416" s="1"/>
      <c r="Z2416" s="1"/>
      <c r="AA2416" s="1"/>
      <c r="AB2416" s="1"/>
    </row>
    <row r="2417" ht="50.25" customHeight="1">
      <c r="A2417" s="12">
        <v>2413.0</v>
      </c>
      <c r="B2417" s="13" t="s">
        <v>2233</v>
      </c>
      <c r="C2417" s="14" t="s">
        <v>2429</v>
      </c>
      <c r="D2417" s="1"/>
      <c r="E2417" s="1"/>
      <c r="F2417" s="1" t="str">
        <f>IFERROR(__xludf.DUMMYFUNCTION("GOOGLETRANSLATE(B2417, ""en"", ""fa"")
"),"کپی رایتینگ I")</f>
        <v>کپی رایتینگ I</v>
      </c>
      <c r="G2417" s="1" t="str">
        <f>IFERROR(__xludf.DUMMYFUNCTION("GOOGLETRANSLATE(C2417, ""en"", ""fa"")
"),"نکاتی را برای نوشتن نسخه متقاعدکننده برای برنامه ریزی مالی و خدمات بازنشستگی به اشتراک بگذارید.")</f>
        <v>نکاتی را برای نوشتن نسخه متقاعدکننده برای برنامه ریزی مالی و خدمات بازنشستگی به اشتراک بگذارید.</v>
      </c>
      <c r="H2417" s="1"/>
      <c r="I2417" s="1"/>
      <c r="J2417" s="1"/>
      <c r="K2417" s="1"/>
      <c r="L2417" s="1"/>
      <c r="M2417" s="1"/>
      <c r="N2417" s="1"/>
      <c r="O2417" s="1"/>
      <c r="P2417" s="1"/>
      <c r="Q2417" s="1"/>
      <c r="R2417" s="1"/>
      <c r="S2417" s="1"/>
      <c r="T2417" s="1"/>
      <c r="U2417" s="1"/>
      <c r="V2417" s="1"/>
      <c r="W2417" s="1"/>
      <c r="X2417" s="1"/>
      <c r="Y2417" s="1"/>
      <c r="Z2417" s="1"/>
      <c r="AA2417" s="1"/>
      <c r="AB2417" s="1"/>
    </row>
    <row r="2418" ht="50.25" customHeight="1">
      <c r="A2418" s="12">
        <v>2414.0</v>
      </c>
      <c r="B2418" s="13" t="s">
        <v>2233</v>
      </c>
      <c r="C2418" s="14" t="s">
        <v>2430</v>
      </c>
      <c r="D2418" s="1"/>
      <c r="E2418" s="1"/>
      <c r="F2418" s="1" t="str">
        <f>IFERROR(__xludf.DUMMYFUNCTION("GOOGLETRANSLATE(B2418, ""en"", ""fa"")
"),"کپی رایتینگ I")</f>
        <v>کپی رایتینگ I</v>
      </c>
      <c r="G2418" s="1" t="str">
        <f>IFERROR(__xludf.DUMMYFUNCTION("GOOGLETRANSLATE(C2418, ""en"", ""fa"")
"),"روش‌های مختلف برای ایجاد کپی جذاب و متقاعدکننده برای محصولات زیبایی و مراقبت از پوست را بررسی کنید.")</f>
        <v>روش‌های مختلف برای ایجاد کپی جذاب و متقاعدکننده برای محصولات زیبایی و مراقبت از پوست را بررسی کنید.</v>
      </c>
      <c r="H2418" s="1"/>
      <c r="I2418" s="1"/>
      <c r="J2418" s="1"/>
      <c r="K2418" s="1"/>
      <c r="L2418" s="1"/>
      <c r="M2418" s="1"/>
      <c r="N2418" s="1"/>
      <c r="O2418" s="1"/>
      <c r="P2418" s="1"/>
      <c r="Q2418" s="1"/>
      <c r="R2418" s="1"/>
      <c r="S2418" s="1"/>
      <c r="T2418" s="1"/>
      <c r="U2418" s="1"/>
      <c r="V2418" s="1"/>
      <c r="W2418" s="1"/>
      <c r="X2418" s="1"/>
      <c r="Y2418" s="1"/>
      <c r="Z2418" s="1"/>
      <c r="AA2418" s="1"/>
      <c r="AB2418" s="1"/>
    </row>
    <row r="2419" ht="50.25" customHeight="1">
      <c r="A2419" s="12">
        <v>2415.0</v>
      </c>
      <c r="B2419" s="13" t="s">
        <v>2233</v>
      </c>
      <c r="C2419" s="14" t="s">
        <v>2431</v>
      </c>
      <c r="D2419" s="1"/>
      <c r="E2419" s="1"/>
      <c r="F2419" s="1" t="str">
        <f>IFERROR(__xludf.DUMMYFUNCTION("GOOGLETRANSLATE(B2419, ""en"", ""fa"")
"),"کپی رایتینگ I")</f>
        <v>کپی رایتینگ I</v>
      </c>
      <c r="G2419" s="1" t="str">
        <f>IFERROR(__xludf.DUMMYFUNCTION("GOOGLETRANSLATE(C2419, ""en"", ""fa"")
"),"در مورد اهمیت استفاده از زیرنویس رسانه های اجتماعی و ریز کپی برای تقویت شخصیت برند بحث کنید.")</f>
        <v>در مورد اهمیت استفاده از زیرنویس رسانه های اجتماعی و ریز کپی برای تقویت شخصیت برند بحث کنید.</v>
      </c>
      <c r="H2419" s="1"/>
      <c r="I2419" s="1"/>
      <c r="J2419" s="1"/>
      <c r="K2419" s="1"/>
      <c r="L2419" s="1"/>
      <c r="M2419" s="1"/>
      <c r="N2419" s="1"/>
      <c r="O2419" s="1"/>
      <c r="P2419" s="1"/>
      <c r="Q2419" s="1"/>
      <c r="R2419" s="1"/>
      <c r="S2419" s="1"/>
      <c r="T2419" s="1"/>
      <c r="U2419" s="1"/>
      <c r="V2419" s="1"/>
      <c r="W2419" s="1"/>
      <c r="X2419" s="1"/>
      <c r="Y2419" s="1"/>
      <c r="Z2419" s="1"/>
      <c r="AA2419" s="1"/>
      <c r="AB2419" s="1"/>
    </row>
    <row r="2420" ht="50.25" customHeight="1">
      <c r="A2420" s="12">
        <v>2416.0</v>
      </c>
      <c r="B2420" s="13" t="s">
        <v>2233</v>
      </c>
      <c r="C2420" s="14" t="s">
        <v>2432</v>
      </c>
      <c r="D2420" s="1"/>
      <c r="E2420" s="1"/>
      <c r="F2420" s="1" t="str">
        <f>IFERROR(__xludf.DUMMYFUNCTION("GOOGLETRANSLATE(B2420, ""en"", ""fa"")
"),"کپی رایتینگ I")</f>
        <v>کپی رایتینگ I</v>
      </c>
      <c r="G2420" s="1" t="str">
        <f>IFERROR(__xludf.DUMMYFUNCTION("GOOGLETRANSLATE(C2420, ""en"", ""fa"")
"),"استراتژی هایی برای نوشتن سرفصل های تاثیرگذار برای خلاصه و نقد کتاب به اشتراک بگذارید.")</f>
        <v>استراتژی هایی برای نوشتن سرفصل های تاثیرگذار برای خلاصه و نقد کتاب به اشتراک بگذارید.</v>
      </c>
      <c r="H2420" s="1"/>
      <c r="I2420" s="1"/>
      <c r="J2420" s="1"/>
      <c r="K2420" s="1"/>
      <c r="L2420" s="1"/>
      <c r="M2420" s="1"/>
      <c r="N2420" s="1"/>
      <c r="O2420" s="1"/>
      <c r="P2420" s="1"/>
      <c r="Q2420" s="1"/>
      <c r="R2420" s="1"/>
      <c r="S2420" s="1"/>
      <c r="T2420" s="1"/>
      <c r="U2420" s="1"/>
      <c r="V2420" s="1"/>
      <c r="W2420" s="1"/>
      <c r="X2420" s="1"/>
      <c r="Y2420" s="1"/>
      <c r="Z2420" s="1"/>
      <c r="AA2420" s="1"/>
      <c r="AB2420" s="1"/>
    </row>
    <row r="2421" ht="50.25" customHeight="1">
      <c r="A2421" s="12">
        <v>2417.0</v>
      </c>
      <c r="B2421" s="13" t="s">
        <v>2233</v>
      </c>
      <c r="C2421" s="14" t="s">
        <v>2433</v>
      </c>
      <c r="D2421" s="1"/>
      <c r="E2421" s="1"/>
      <c r="F2421" s="1" t="str">
        <f>IFERROR(__xludf.DUMMYFUNCTION("GOOGLETRANSLATE(B2421, ""en"", ""fa"")
"),"کپی رایتینگ I")</f>
        <v>کپی رایتینگ I</v>
      </c>
      <c r="G2421" s="1" t="str">
        <f>IFERROR(__xludf.DUMMYFUNCTION("GOOGLETRANSLATE(C2421, ""en"", ""fa"")
"),"تکنیک هایی را برای ترکیب داستان ها و تجربیات شخصی در کپی رایتینگ برای محصولات توسعه شخصی کاوش کنید.")</f>
        <v>تکنیک هایی را برای ترکیب داستان ها و تجربیات شخصی در کپی رایتینگ برای محصولات توسعه شخصی کاوش کنید.</v>
      </c>
      <c r="H2421" s="1"/>
      <c r="I2421" s="1"/>
      <c r="J2421" s="1"/>
      <c r="K2421" s="1"/>
      <c r="L2421" s="1"/>
      <c r="M2421" s="1"/>
      <c r="N2421" s="1"/>
      <c r="O2421" s="1"/>
      <c r="P2421" s="1"/>
      <c r="Q2421" s="1"/>
      <c r="R2421" s="1"/>
      <c r="S2421" s="1"/>
      <c r="T2421" s="1"/>
      <c r="U2421" s="1"/>
      <c r="V2421" s="1"/>
      <c r="W2421" s="1"/>
      <c r="X2421" s="1"/>
      <c r="Y2421" s="1"/>
      <c r="Z2421" s="1"/>
      <c r="AA2421" s="1"/>
      <c r="AB2421" s="1"/>
    </row>
    <row r="2422" ht="50.25" customHeight="1">
      <c r="A2422" s="12">
        <v>2418.0</v>
      </c>
      <c r="B2422" s="13" t="s">
        <v>2434</v>
      </c>
      <c r="C2422" s="14" t="s">
        <v>2435</v>
      </c>
      <c r="D2422" s="1"/>
      <c r="E2422" s="1"/>
      <c r="F2422" s="1" t="str">
        <f>IFERROR(__xludf.DUMMYFUNCTION("GOOGLETRANSLATE(B2422, ""en"", ""fa"")
"),"تبلیغات")</f>
        <v>تبلیغات</v>
      </c>
      <c r="G2422" s="1" t="str">
        <f>IFERROR(__xludf.DUMMYFUNCTION("GOOGLETRANSLATE(C2422, ""en"", ""fa"")
"),"در مورد مزایای استفاده از اینفلوئنسرهای رسانه های اجتماعی در تبلیغات برای دستیابی به مخاطبان خاص و افزایش آگاهی از برند بحث کنید.")</f>
        <v>در مورد مزایای استفاده از اینفلوئنسرهای رسانه های اجتماعی در تبلیغات برای دستیابی به مخاطبان خاص و افزایش آگاهی از برند بحث کنید.</v>
      </c>
      <c r="H2422" s="1"/>
      <c r="I2422" s="1"/>
      <c r="J2422" s="1"/>
      <c r="K2422" s="1"/>
      <c r="L2422" s="1"/>
      <c r="M2422" s="1"/>
      <c r="N2422" s="1"/>
      <c r="O2422" s="1"/>
      <c r="P2422" s="1"/>
      <c r="Q2422" s="1"/>
      <c r="R2422" s="1"/>
      <c r="S2422" s="1"/>
      <c r="T2422" s="1"/>
      <c r="U2422" s="1"/>
      <c r="V2422" s="1"/>
      <c r="W2422" s="1"/>
      <c r="X2422" s="1"/>
      <c r="Y2422" s="1"/>
      <c r="Z2422" s="1"/>
      <c r="AA2422" s="1"/>
      <c r="AB2422" s="1"/>
    </row>
    <row r="2423" ht="50.25" customHeight="1">
      <c r="A2423" s="12">
        <v>2419.0</v>
      </c>
      <c r="B2423" s="13" t="s">
        <v>2434</v>
      </c>
      <c r="C2423" s="14" t="s">
        <v>2436</v>
      </c>
      <c r="D2423" s="1"/>
      <c r="E2423" s="1"/>
      <c r="F2423" s="1" t="str">
        <f>IFERROR(__xludf.DUMMYFUNCTION("GOOGLETRANSLATE(B2423, ""en"", ""fa"")
"),"تبلیغات")</f>
        <v>تبلیغات</v>
      </c>
      <c r="G2423" s="1" t="str">
        <f>IFERROR(__xludf.DUMMYFUNCTION("GOOGLETRANSLATE(C2423, ""en"", ""fa"")
"),"استراتژی هایی برای ایجاد تبلیغات بیلبورد تاثیرگذار که توجه را جلب می کند و پیامی به یاد ماندنی ارائه می دهد را به اشتراک بگذارید.")</f>
        <v>استراتژی هایی برای ایجاد تبلیغات بیلبورد تاثیرگذار که توجه را جلب می کند و پیامی به یاد ماندنی ارائه می دهد را به اشتراک بگذارید.</v>
      </c>
      <c r="H2423" s="1"/>
      <c r="I2423" s="1"/>
      <c r="J2423" s="1"/>
      <c r="K2423" s="1"/>
      <c r="L2423" s="1"/>
      <c r="M2423" s="1"/>
      <c r="N2423" s="1"/>
      <c r="O2423" s="1"/>
      <c r="P2423" s="1"/>
      <c r="Q2423" s="1"/>
      <c r="R2423" s="1"/>
      <c r="S2423" s="1"/>
      <c r="T2423" s="1"/>
      <c r="U2423" s="1"/>
      <c r="V2423" s="1"/>
      <c r="W2423" s="1"/>
      <c r="X2423" s="1"/>
      <c r="Y2423" s="1"/>
      <c r="Z2423" s="1"/>
      <c r="AA2423" s="1"/>
      <c r="AB2423" s="1"/>
    </row>
    <row r="2424" ht="50.25" customHeight="1">
      <c r="A2424" s="12">
        <v>2420.0</v>
      </c>
      <c r="B2424" s="13" t="s">
        <v>2434</v>
      </c>
      <c r="C2424" s="14" t="s">
        <v>2437</v>
      </c>
      <c r="D2424" s="1"/>
      <c r="E2424" s="1"/>
      <c r="F2424" s="1" t="str">
        <f>IFERROR(__xludf.DUMMYFUNCTION("GOOGLETRANSLATE(B2424, ""en"", ""fa"")
"),"تبلیغات")</f>
        <v>تبلیغات</v>
      </c>
      <c r="G2424" s="1" t="str">
        <f>IFERROR(__xludf.DUMMYFUNCTION("GOOGLETRANSLATE(C2424, ""en"", ""fa"")
"),"برای نتایج بهتر کمپین، تکنیک‌های استفاده از هدف‌گذاری و تقسیم‌بندی مبتنی بر داده در تبلیغات دیجیتال را بررسی کنید.")</f>
        <v>برای نتایج بهتر کمپین، تکنیک‌های استفاده از هدف‌گذاری و تقسیم‌بندی مبتنی بر داده در تبلیغات دیجیتال را بررسی کنید.</v>
      </c>
      <c r="H2424" s="1"/>
      <c r="I2424" s="1"/>
      <c r="J2424" s="1"/>
      <c r="K2424" s="1"/>
      <c r="L2424" s="1"/>
      <c r="M2424" s="1"/>
      <c r="N2424" s="1"/>
      <c r="O2424" s="1"/>
      <c r="P2424" s="1"/>
      <c r="Q2424" s="1"/>
      <c r="R2424" s="1"/>
      <c r="S2424" s="1"/>
      <c r="T2424" s="1"/>
      <c r="U2424" s="1"/>
      <c r="V2424" s="1"/>
      <c r="W2424" s="1"/>
      <c r="X2424" s="1"/>
      <c r="Y2424" s="1"/>
      <c r="Z2424" s="1"/>
      <c r="AA2424" s="1"/>
      <c r="AB2424" s="1"/>
    </row>
    <row r="2425" ht="50.25" customHeight="1">
      <c r="A2425" s="12">
        <v>2421.0</v>
      </c>
      <c r="B2425" s="13" t="s">
        <v>2434</v>
      </c>
      <c r="C2425" s="14" t="s">
        <v>2438</v>
      </c>
      <c r="D2425" s="1"/>
      <c r="E2425" s="1"/>
      <c r="F2425" s="1" t="str">
        <f>IFERROR(__xludf.DUMMYFUNCTION("GOOGLETRANSLATE(B2425, ""en"", ""fa"")
"),"تبلیغات")</f>
        <v>تبلیغات</v>
      </c>
      <c r="G2425" s="1" t="str">
        <f>IFERROR(__xludf.DUMMYFUNCTION("GOOGLETRANSLATE(C2425, ""en"", ""fa"")
"),"در مورد اهمیت گنجاندن داستان سرایی و جذابیت های احساسی در تبلیغات برای سازمان های غیرانتفاعی بحث کنید.")</f>
        <v>در مورد اهمیت گنجاندن داستان سرایی و جذابیت های احساسی در تبلیغات برای سازمان های غیرانتفاعی بحث کنید.</v>
      </c>
      <c r="H2425" s="1"/>
      <c r="I2425" s="1"/>
      <c r="J2425" s="1"/>
      <c r="K2425" s="1"/>
      <c r="L2425" s="1"/>
      <c r="M2425" s="1"/>
      <c r="N2425" s="1"/>
      <c r="O2425" s="1"/>
      <c r="P2425" s="1"/>
      <c r="Q2425" s="1"/>
      <c r="R2425" s="1"/>
      <c r="S2425" s="1"/>
      <c r="T2425" s="1"/>
      <c r="U2425" s="1"/>
      <c r="V2425" s="1"/>
      <c r="W2425" s="1"/>
      <c r="X2425" s="1"/>
      <c r="Y2425" s="1"/>
      <c r="Z2425" s="1"/>
      <c r="AA2425" s="1"/>
      <c r="AB2425" s="1"/>
    </row>
    <row r="2426" ht="50.25" customHeight="1">
      <c r="A2426" s="12">
        <v>2422.0</v>
      </c>
      <c r="B2426" s="13" t="s">
        <v>2434</v>
      </c>
      <c r="C2426" s="14" t="s">
        <v>2439</v>
      </c>
      <c r="D2426" s="1"/>
      <c r="E2426" s="1"/>
      <c r="F2426" s="1" t="str">
        <f>IFERROR(__xludf.DUMMYFUNCTION("GOOGLETRANSLATE(B2426, ""en"", ""fa"")
"),"تبلیغات")</f>
        <v>تبلیغات</v>
      </c>
      <c r="G2426" s="1" t="str">
        <f>IFERROR(__xludf.DUMMYFUNCTION("GOOGLETRANSLATE(C2426, ""en"", ""fa"")
"),"نکاتی را برای ایجاد صداهای رادیویی متقاعدکننده به اشتراک بگذارید که به طور مؤثر پیام برند را منتقل می کند و در ذهن شنوندگان باقی می ماند.")</f>
        <v>نکاتی را برای ایجاد صداهای رادیویی متقاعدکننده به اشتراک بگذارید که به طور مؤثر پیام برند را منتقل می کند و در ذهن شنوندگان باقی می ماند.</v>
      </c>
      <c r="H2426" s="1"/>
      <c r="I2426" s="1"/>
      <c r="J2426" s="1"/>
      <c r="K2426" s="1"/>
      <c r="L2426" s="1"/>
      <c r="M2426" s="1"/>
      <c r="N2426" s="1"/>
      <c r="O2426" s="1"/>
      <c r="P2426" s="1"/>
      <c r="Q2426" s="1"/>
      <c r="R2426" s="1"/>
      <c r="S2426" s="1"/>
      <c r="T2426" s="1"/>
      <c r="U2426" s="1"/>
      <c r="V2426" s="1"/>
      <c r="W2426" s="1"/>
      <c r="X2426" s="1"/>
      <c r="Y2426" s="1"/>
      <c r="Z2426" s="1"/>
      <c r="AA2426" s="1"/>
      <c r="AB2426" s="1"/>
    </row>
    <row r="2427" ht="50.25" customHeight="1">
      <c r="A2427" s="12">
        <v>2423.0</v>
      </c>
      <c r="B2427" s="13" t="s">
        <v>2434</v>
      </c>
      <c r="C2427" s="14" t="s">
        <v>2440</v>
      </c>
      <c r="D2427" s="1"/>
      <c r="E2427" s="1"/>
      <c r="F2427" s="1" t="str">
        <f>IFERROR(__xludf.DUMMYFUNCTION("GOOGLETRANSLATE(B2427, ""en"", ""fa"")
"),"تبلیغات")</f>
        <v>تبلیغات</v>
      </c>
      <c r="G2427" s="1" t="str">
        <f>IFERROR(__xludf.DUMMYFUNCTION("GOOGLETRANSLATE(C2427, ""en"", ""fa"")
"),"روش های مختلف برای استفاده از محتوای تولید شده توسط کاربر و توصیفات مشتری در تبلیغات برای کمپین های مسافرتی و گردشگری را بررسی کنید.")</f>
        <v>روش های مختلف برای استفاده از محتوای تولید شده توسط کاربر و توصیفات مشتری در تبلیغات برای کمپین های مسافرتی و گردشگری را بررسی کنید.</v>
      </c>
      <c r="H2427" s="1"/>
      <c r="I2427" s="1"/>
      <c r="J2427" s="1"/>
      <c r="K2427" s="1"/>
      <c r="L2427" s="1"/>
      <c r="M2427" s="1"/>
      <c r="N2427" s="1"/>
      <c r="O2427" s="1"/>
      <c r="P2427" s="1"/>
      <c r="Q2427" s="1"/>
      <c r="R2427" s="1"/>
      <c r="S2427" s="1"/>
      <c r="T2427" s="1"/>
      <c r="U2427" s="1"/>
      <c r="V2427" s="1"/>
      <c r="W2427" s="1"/>
      <c r="X2427" s="1"/>
      <c r="Y2427" s="1"/>
      <c r="Z2427" s="1"/>
      <c r="AA2427" s="1"/>
      <c r="AB2427" s="1"/>
    </row>
    <row r="2428" ht="50.25" customHeight="1">
      <c r="A2428" s="12">
        <v>2424.0</v>
      </c>
      <c r="B2428" s="13" t="s">
        <v>2434</v>
      </c>
      <c r="C2428" s="14" t="s">
        <v>2441</v>
      </c>
      <c r="D2428" s="1"/>
      <c r="E2428" s="1"/>
      <c r="F2428" s="1" t="str">
        <f>IFERROR(__xludf.DUMMYFUNCTION("GOOGLETRANSLATE(B2428, ""en"", ""fa"")
"),"تبلیغات")</f>
        <v>تبلیغات</v>
      </c>
      <c r="G2428" s="1" t="str">
        <f>IFERROR(__xludf.DUMMYFUNCTION("GOOGLETRANSLATE(C2428, ""en"", ""fa"")
"),"در مورد مزایای استفاده از تبلیغات تعاملی و تجربی برای ایجاد تجربیات به یاد ماندنی برند بحث کنید.")</f>
        <v>در مورد مزایای استفاده از تبلیغات تعاملی و تجربی برای ایجاد تجربیات به یاد ماندنی برند بحث کنید.</v>
      </c>
      <c r="H2428" s="1"/>
      <c r="I2428" s="1"/>
      <c r="J2428" s="1"/>
      <c r="K2428" s="1"/>
      <c r="L2428" s="1"/>
      <c r="M2428" s="1"/>
      <c r="N2428" s="1"/>
      <c r="O2428" s="1"/>
      <c r="P2428" s="1"/>
      <c r="Q2428" s="1"/>
      <c r="R2428" s="1"/>
      <c r="S2428" s="1"/>
      <c r="T2428" s="1"/>
      <c r="U2428" s="1"/>
      <c r="V2428" s="1"/>
      <c r="W2428" s="1"/>
      <c r="X2428" s="1"/>
      <c r="Y2428" s="1"/>
      <c r="Z2428" s="1"/>
      <c r="AA2428" s="1"/>
      <c r="AB2428" s="1"/>
    </row>
    <row r="2429" ht="50.25" customHeight="1">
      <c r="A2429" s="12">
        <v>2425.0</v>
      </c>
      <c r="B2429" s="13" t="s">
        <v>2434</v>
      </c>
      <c r="C2429" s="14" t="s">
        <v>2442</v>
      </c>
      <c r="D2429" s="1"/>
      <c r="E2429" s="1"/>
      <c r="F2429" s="1" t="str">
        <f>IFERROR(__xludf.DUMMYFUNCTION("GOOGLETRANSLATE(B2429, ""en"", ""fa"")
"),"تبلیغات")</f>
        <v>تبلیغات</v>
      </c>
      <c r="G2429" s="1" t="str">
        <f>IFERROR(__xludf.DUMMYFUNCTION("GOOGLETRANSLATE(C2429, ""en"", ""fa"")
"),"استراتژی‌هایی را برای ایجاد کمپین‌های تبلیغاتی تأثیرگذار در رسانه‌های اجتماعی که باعث ایجاد تعامل و تبدیل می‌شوند، به اشتراک بگذارید.")</f>
        <v>استراتژی‌هایی را برای ایجاد کمپین‌های تبلیغاتی تأثیرگذار در رسانه‌های اجتماعی که باعث ایجاد تعامل و تبدیل می‌شوند، به اشتراک بگذارید.</v>
      </c>
      <c r="H2429" s="1"/>
      <c r="I2429" s="1"/>
      <c r="J2429" s="1"/>
      <c r="K2429" s="1"/>
      <c r="L2429" s="1"/>
      <c r="M2429" s="1"/>
      <c r="N2429" s="1"/>
      <c r="O2429" s="1"/>
      <c r="P2429" s="1"/>
      <c r="Q2429" s="1"/>
      <c r="R2429" s="1"/>
      <c r="S2429" s="1"/>
      <c r="T2429" s="1"/>
      <c r="U2429" s="1"/>
      <c r="V2429" s="1"/>
      <c r="W2429" s="1"/>
      <c r="X2429" s="1"/>
      <c r="Y2429" s="1"/>
      <c r="Z2429" s="1"/>
      <c r="AA2429" s="1"/>
      <c r="AB2429" s="1"/>
    </row>
    <row r="2430" ht="50.25" customHeight="1">
      <c r="A2430" s="12">
        <v>2426.0</v>
      </c>
      <c r="B2430" s="13" t="s">
        <v>2434</v>
      </c>
      <c r="C2430" s="14" t="s">
        <v>2443</v>
      </c>
      <c r="D2430" s="1"/>
      <c r="E2430" s="1"/>
      <c r="F2430" s="1" t="str">
        <f>IFERROR(__xludf.DUMMYFUNCTION("GOOGLETRANSLATE(B2430, ""en"", ""fa"")
"),"تبلیغات")</f>
        <v>تبلیغات</v>
      </c>
      <c r="G2430" s="1" t="str">
        <f>IFERROR(__xludf.DUMMYFUNCTION("GOOGLETRANSLATE(C2430, ""en"", ""fa"")
"),"تکنیک های استفاده از طنز و طنز در تبلیغات را برای ایجاد یک تصویر به یاد ماندنی و قابل اشتراک گذاری از نام تجاری کاوش کنید.")</f>
        <v>تکنیک های استفاده از طنز و طنز در تبلیغات را برای ایجاد یک تصویر به یاد ماندنی و قابل اشتراک گذاری از نام تجاری کاوش کنید.</v>
      </c>
      <c r="H2430" s="1"/>
      <c r="I2430" s="1"/>
      <c r="J2430" s="1"/>
      <c r="K2430" s="1"/>
      <c r="L2430" s="1"/>
      <c r="M2430" s="1"/>
      <c r="N2430" s="1"/>
      <c r="O2430" s="1"/>
      <c r="P2430" s="1"/>
      <c r="Q2430" s="1"/>
      <c r="R2430" s="1"/>
      <c r="S2430" s="1"/>
      <c r="T2430" s="1"/>
      <c r="U2430" s="1"/>
      <c r="V2430" s="1"/>
      <c r="W2430" s="1"/>
      <c r="X2430" s="1"/>
      <c r="Y2430" s="1"/>
      <c r="Z2430" s="1"/>
      <c r="AA2430" s="1"/>
      <c r="AB2430" s="1"/>
    </row>
    <row r="2431" ht="50.25" customHeight="1">
      <c r="A2431" s="12">
        <v>2427.0</v>
      </c>
      <c r="B2431" s="13" t="s">
        <v>2434</v>
      </c>
      <c r="C2431" s="14" t="s">
        <v>2444</v>
      </c>
      <c r="D2431" s="1"/>
      <c r="E2431" s="1"/>
      <c r="F2431" s="1" t="str">
        <f>IFERROR(__xludf.DUMMYFUNCTION("GOOGLETRANSLATE(B2431, ""en"", ""fa"")
"),"تبلیغات")</f>
        <v>تبلیغات</v>
      </c>
      <c r="G2431" s="1" t="str">
        <f>IFERROR(__xludf.DUMMYFUNCTION("GOOGLETRANSLATE(C2431, ""en"", ""fa"")
"),"درباره اهمیت گنجاندن پیام‌های اخلاقی و مسئولیت‌پذیر اجتماعی در تبلیغات برای برندهای پایدار بحث کنید.")</f>
        <v>درباره اهمیت گنجاندن پیام‌های اخلاقی و مسئولیت‌پذیر اجتماعی در تبلیغات برای برندهای پایدار بحث کنید.</v>
      </c>
      <c r="H2431" s="1"/>
      <c r="I2431" s="1"/>
      <c r="J2431" s="1"/>
      <c r="K2431" s="1"/>
      <c r="L2431" s="1"/>
      <c r="M2431" s="1"/>
      <c r="N2431" s="1"/>
      <c r="O2431" s="1"/>
      <c r="P2431" s="1"/>
      <c r="Q2431" s="1"/>
      <c r="R2431" s="1"/>
      <c r="S2431" s="1"/>
      <c r="T2431" s="1"/>
      <c r="U2431" s="1"/>
      <c r="V2431" s="1"/>
      <c r="W2431" s="1"/>
      <c r="X2431" s="1"/>
      <c r="Y2431" s="1"/>
      <c r="Z2431" s="1"/>
      <c r="AA2431" s="1"/>
      <c r="AB2431" s="1"/>
    </row>
    <row r="2432" ht="50.25" customHeight="1">
      <c r="A2432" s="12">
        <v>2428.0</v>
      </c>
      <c r="B2432" s="13" t="s">
        <v>2434</v>
      </c>
      <c r="C2432" s="14" t="s">
        <v>2445</v>
      </c>
      <c r="D2432" s="1"/>
      <c r="E2432" s="1"/>
      <c r="F2432" s="1" t="str">
        <f>IFERROR(__xludf.DUMMYFUNCTION("GOOGLETRANSLATE(B2432, ""en"", ""fa"")
"),"تبلیغات")</f>
        <v>تبلیغات</v>
      </c>
      <c r="G2432" s="1" t="str">
        <f>IFERROR(__xludf.DUMMYFUNCTION("GOOGLETRANSLATE(C2432, ""en"", ""fa"")
"),"نکاتی را برای ایجاد تبلیغات پستی مستقیم متقاعد کننده که در صندوق پست برجسته می شوند و پاسخ ایجاد می کنند، به اشتراک بگذارید.")</f>
        <v>نکاتی را برای ایجاد تبلیغات پستی مستقیم متقاعد کننده که در صندوق پست برجسته می شوند و پاسخ ایجاد می کنند، به اشتراک بگذارید.</v>
      </c>
      <c r="H2432" s="1"/>
      <c r="I2432" s="1"/>
      <c r="J2432" s="1"/>
      <c r="K2432" s="1"/>
      <c r="L2432" s="1"/>
      <c r="M2432" s="1"/>
      <c r="N2432" s="1"/>
      <c r="O2432" s="1"/>
      <c r="P2432" s="1"/>
      <c r="Q2432" s="1"/>
      <c r="R2432" s="1"/>
      <c r="S2432" s="1"/>
      <c r="T2432" s="1"/>
      <c r="U2432" s="1"/>
      <c r="V2432" s="1"/>
      <c r="W2432" s="1"/>
      <c r="X2432" s="1"/>
      <c r="Y2432" s="1"/>
      <c r="Z2432" s="1"/>
      <c r="AA2432" s="1"/>
      <c r="AB2432" s="1"/>
    </row>
    <row r="2433" ht="50.25" customHeight="1">
      <c r="A2433" s="12">
        <v>2429.0</v>
      </c>
      <c r="B2433" s="13" t="s">
        <v>2434</v>
      </c>
      <c r="C2433" s="14" t="s">
        <v>2446</v>
      </c>
      <c r="D2433" s="1"/>
      <c r="E2433" s="1"/>
      <c r="F2433" s="1" t="str">
        <f>IFERROR(__xludf.DUMMYFUNCTION("GOOGLETRANSLATE(B2433, ""en"", ""fa"")
"),"تبلیغات")</f>
        <v>تبلیغات</v>
      </c>
      <c r="G2433" s="1" t="str">
        <f>IFERROR(__xludf.DUMMYFUNCTION("GOOGLETRANSLATE(C2433, ""en"", ""fa"")
"),"روش‌های مختلف برای استفاده از تبلیغات برنامه‌ریزی شده و مناقصه در زمان واقعی برای بهینه‌سازی مکان‌گذاری و هدف‌گذاری تبلیغات را بررسی کنید.")</f>
        <v>روش‌های مختلف برای استفاده از تبلیغات برنامه‌ریزی شده و مناقصه در زمان واقعی برای بهینه‌سازی مکان‌گذاری و هدف‌گذاری تبلیغات را بررسی کنید.</v>
      </c>
      <c r="H2433" s="1"/>
      <c r="I2433" s="1"/>
      <c r="J2433" s="1"/>
      <c r="K2433" s="1"/>
      <c r="L2433" s="1"/>
      <c r="M2433" s="1"/>
      <c r="N2433" s="1"/>
      <c r="O2433" s="1"/>
      <c r="P2433" s="1"/>
      <c r="Q2433" s="1"/>
      <c r="R2433" s="1"/>
      <c r="S2433" s="1"/>
      <c r="T2433" s="1"/>
      <c r="U2433" s="1"/>
      <c r="V2433" s="1"/>
      <c r="W2433" s="1"/>
      <c r="X2433" s="1"/>
      <c r="Y2433" s="1"/>
      <c r="Z2433" s="1"/>
      <c r="AA2433" s="1"/>
      <c r="AB2433" s="1"/>
    </row>
    <row r="2434" ht="50.25" customHeight="1">
      <c r="A2434" s="12">
        <v>2430.0</v>
      </c>
      <c r="B2434" s="13" t="s">
        <v>2434</v>
      </c>
      <c r="C2434" s="14" t="s">
        <v>2447</v>
      </c>
      <c r="D2434" s="1"/>
      <c r="E2434" s="1"/>
      <c r="F2434" s="1" t="str">
        <f>IFERROR(__xludf.DUMMYFUNCTION("GOOGLETRANSLATE(B2434, ""en"", ""fa"")
"),"تبلیغات")</f>
        <v>تبلیغات</v>
      </c>
      <c r="G2434" s="1" t="str">
        <f>IFERROR(__xludf.DUMMYFUNCTION("GOOGLETRANSLATE(C2434, ""en"", ""fa"")
"),"در مورد مزایای استفاده از همکاری اینفلوئنسرها و کمپین های مشترک در تبلیغات برای برندهای سبک زندگی بحث کنید.")</f>
        <v>در مورد مزایای استفاده از همکاری اینفلوئنسرها و کمپین های مشترک در تبلیغات برای برندهای سبک زندگی بحث کنید.</v>
      </c>
      <c r="H2434" s="1"/>
      <c r="I2434" s="1"/>
      <c r="J2434" s="1"/>
      <c r="K2434" s="1"/>
      <c r="L2434" s="1"/>
      <c r="M2434" s="1"/>
      <c r="N2434" s="1"/>
      <c r="O2434" s="1"/>
      <c r="P2434" s="1"/>
      <c r="Q2434" s="1"/>
      <c r="R2434" s="1"/>
      <c r="S2434" s="1"/>
      <c r="T2434" s="1"/>
      <c r="U2434" s="1"/>
      <c r="V2434" s="1"/>
      <c r="W2434" s="1"/>
      <c r="X2434" s="1"/>
      <c r="Y2434" s="1"/>
      <c r="Z2434" s="1"/>
      <c r="AA2434" s="1"/>
      <c r="AB2434" s="1"/>
    </row>
    <row r="2435" ht="50.25" customHeight="1">
      <c r="A2435" s="12">
        <v>2431.0</v>
      </c>
      <c r="B2435" s="13" t="s">
        <v>2434</v>
      </c>
      <c r="C2435" s="14" t="s">
        <v>2448</v>
      </c>
      <c r="D2435" s="1"/>
      <c r="E2435" s="1"/>
      <c r="F2435" s="1" t="str">
        <f>IFERROR(__xludf.DUMMYFUNCTION("GOOGLETRANSLATE(B2435, ""en"", ""fa"")
"),"تبلیغات")</f>
        <v>تبلیغات</v>
      </c>
      <c r="G2435" s="1" t="str">
        <f>IFERROR(__xludf.DUMMYFUNCTION("GOOGLETRANSLATE(C2435, ""en"", ""fa"")
"),"استراتژی هایی را برای ایجاد کمپین های تبلیغاتی تجربی تأثیرگذار که مخاطب را درگیر و غرق می کند، به اشتراک بگذارید.")</f>
        <v>استراتژی هایی را برای ایجاد کمپین های تبلیغاتی تجربی تأثیرگذار که مخاطب را درگیر و غرق می کند، به اشتراک بگذارید.</v>
      </c>
      <c r="H2435" s="1"/>
      <c r="I2435" s="1"/>
      <c r="J2435" s="1"/>
      <c r="K2435" s="1"/>
      <c r="L2435" s="1"/>
      <c r="M2435" s="1"/>
      <c r="N2435" s="1"/>
      <c r="O2435" s="1"/>
      <c r="P2435" s="1"/>
      <c r="Q2435" s="1"/>
      <c r="R2435" s="1"/>
      <c r="S2435" s="1"/>
      <c r="T2435" s="1"/>
      <c r="U2435" s="1"/>
      <c r="V2435" s="1"/>
      <c r="W2435" s="1"/>
      <c r="X2435" s="1"/>
      <c r="Y2435" s="1"/>
      <c r="Z2435" s="1"/>
      <c r="AA2435" s="1"/>
      <c r="AB2435" s="1"/>
    </row>
    <row r="2436" ht="50.25" customHeight="1">
      <c r="A2436" s="12">
        <v>2432.0</v>
      </c>
      <c r="B2436" s="13" t="s">
        <v>2434</v>
      </c>
      <c r="C2436" s="14" t="s">
        <v>2449</v>
      </c>
      <c r="D2436" s="1"/>
      <c r="E2436" s="1"/>
      <c r="F2436" s="1" t="str">
        <f>IFERROR(__xludf.DUMMYFUNCTION("GOOGLETRANSLATE(B2436, ""en"", ""fa"")
"),"تبلیغات")</f>
        <v>تبلیغات</v>
      </c>
      <c r="G2436" s="1" t="str">
        <f>IFERROR(__xludf.DUMMYFUNCTION("GOOGLETRANSLATE(C2436, ""en"", ""fa"")
"),"تکنیک‌های استفاده از گرافیک‌های متحرک و متحرک در تبلیغات دیجیتال را برای جلب توجه و انتقال مؤثر پیام‌ها بررسی کنید.")</f>
        <v>تکنیک‌های استفاده از گرافیک‌های متحرک و متحرک در تبلیغات دیجیتال را برای جلب توجه و انتقال مؤثر پیام‌ها بررسی کنید.</v>
      </c>
      <c r="H2436" s="1"/>
      <c r="I2436" s="1"/>
      <c r="J2436" s="1"/>
      <c r="K2436" s="1"/>
      <c r="L2436" s="1"/>
      <c r="M2436" s="1"/>
      <c r="N2436" s="1"/>
      <c r="O2436" s="1"/>
      <c r="P2436" s="1"/>
      <c r="Q2436" s="1"/>
      <c r="R2436" s="1"/>
      <c r="S2436" s="1"/>
      <c r="T2436" s="1"/>
      <c r="U2436" s="1"/>
      <c r="V2436" s="1"/>
      <c r="W2436" s="1"/>
      <c r="X2436" s="1"/>
      <c r="Y2436" s="1"/>
      <c r="Z2436" s="1"/>
      <c r="AA2436" s="1"/>
      <c r="AB2436" s="1"/>
    </row>
    <row r="2437" ht="50.25" customHeight="1">
      <c r="A2437" s="12">
        <v>2433.0</v>
      </c>
      <c r="B2437" s="13" t="s">
        <v>2434</v>
      </c>
      <c r="C2437" s="14" t="s">
        <v>2450</v>
      </c>
      <c r="D2437" s="1"/>
      <c r="E2437" s="1"/>
      <c r="F2437" s="1" t="str">
        <f>IFERROR(__xludf.DUMMYFUNCTION("GOOGLETRANSLATE(B2437, ""en"", ""fa"")
"),"تبلیغات")</f>
        <v>تبلیغات</v>
      </c>
      <c r="G2437" s="1" t="str">
        <f>IFERROR(__xludf.DUMMYFUNCTION("GOOGLETRANSLATE(C2437, ""en"", ""fa"")
"),"در مورد اهمیت انجام تحقیقات بازار و بینش مصرف کننده در توسعه استراتژی های تبلیغاتی موثر بحث کنید.")</f>
        <v>در مورد اهمیت انجام تحقیقات بازار و بینش مصرف کننده در توسعه استراتژی های تبلیغاتی موثر بحث کنید.</v>
      </c>
      <c r="H2437" s="1"/>
      <c r="I2437" s="1"/>
      <c r="J2437" s="1"/>
      <c r="K2437" s="1"/>
      <c r="L2437" s="1"/>
      <c r="M2437" s="1"/>
      <c r="N2437" s="1"/>
      <c r="O2437" s="1"/>
      <c r="P2437" s="1"/>
      <c r="Q2437" s="1"/>
      <c r="R2437" s="1"/>
      <c r="S2437" s="1"/>
      <c r="T2437" s="1"/>
      <c r="U2437" s="1"/>
      <c r="V2437" s="1"/>
      <c r="W2437" s="1"/>
      <c r="X2437" s="1"/>
      <c r="Y2437" s="1"/>
      <c r="Z2437" s="1"/>
      <c r="AA2437" s="1"/>
      <c r="AB2437" s="1"/>
    </row>
    <row r="2438" ht="50.25" customHeight="1">
      <c r="A2438" s="12">
        <v>2434.0</v>
      </c>
      <c r="B2438" s="13" t="s">
        <v>2434</v>
      </c>
      <c r="C2438" s="14" t="s">
        <v>2451</v>
      </c>
      <c r="D2438" s="1"/>
      <c r="E2438" s="1"/>
      <c r="F2438" s="1" t="str">
        <f>IFERROR(__xludf.DUMMYFUNCTION("GOOGLETRANSLATE(B2438, ""en"", ""fa"")
"),"تبلیغات")</f>
        <v>تبلیغات</v>
      </c>
      <c r="G2438" s="1" t="str">
        <f>IFERROR(__xludf.DUMMYFUNCTION("GOOGLETRANSLATE(C2438, ""en"", ""fa"")
"),"نکاتی را برای گنجاندن مسابقات رسانه های اجتماعی و هدایا در تبلیغات به اشتراک بگذارید تا مشارکت مخاطبان و وفاداری به برند را افزایش دهید.")</f>
        <v>نکاتی را برای گنجاندن مسابقات رسانه های اجتماعی و هدایا در تبلیغات به اشتراک بگذارید تا مشارکت مخاطبان و وفاداری به برند را افزایش دهید.</v>
      </c>
      <c r="H2438" s="1"/>
      <c r="I2438" s="1"/>
      <c r="J2438" s="1"/>
      <c r="K2438" s="1"/>
      <c r="L2438" s="1"/>
      <c r="M2438" s="1"/>
      <c r="N2438" s="1"/>
      <c r="O2438" s="1"/>
      <c r="P2438" s="1"/>
      <c r="Q2438" s="1"/>
      <c r="R2438" s="1"/>
      <c r="S2438" s="1"/>
      <c r="T2438" s="1"/>
      <c r="U2438" s="1"/>
      <c r="V2438" s="1"/>
      <c r="W2438" s="1"/>
      <c r="X2438" s="1"/>
      <c r="Y2438" s="1"/>
      <c r="Z2438" s="1"/>
      <c r="AA2438" s="1"/>
      <c r="AB2438" s="1"/>
    </row>
    <row r="2439" ht="50.25" customHeight="1">
      <c r="A2439" s="12">
        <v>2435.0</v>
      </c>
      <c r="B2439" s="13" t="s">
        <v>2434</v>
      </c>
      <c r="C2439" s="14" t="s">
        <v>2452</v>
      </c>
      <c r="D2439" s="1"/>
      <c r="E2439" s="1"/>
      <c r="F2439" s="1" t="str">
        <f>IFERROR(__xludf.DUMMYFUNCTION("GOOGLETRANSLATE(B2439, ""en"", ""fa"")
"),"تبلیغات")</f>
        <v>تبلیغات</v>
      </c>
      <c r="G2439" s="1" t="str">
        <f>IFERROR(__xludf.DUMMYFUNCTION("GOOGLETRANSLATE(C2439, ""en"", ""fa"")
"),"روش های مختلف برای استفاده از تجزیه و تحلیل داده ها و مدل سازی اسناد در اندازه گیری اثربخشی کمپین های تبلیغاتی را بررسی کنید.")</f>
        <v>روش های مختلف برای استفاده از تجزیه و تحلیل داده ها و مدل سازی اسناد در اندازه گیری اثربخشی کمپین های تبلیغاتی را بررسی کنید.</v>
      </c>
      <c r="H2439" s="1"/>
      <c r="I2439" s="1"/>
      <c r="J2439" s="1"/>
      <c r="K2439" s="1"/>
      <c r="L2439" s="1"/>
      <c r="M2439" s="1"/>
      <c r="N2439" s="1"/>
      <c r="O2439" s="1"/>
      <c r="P2439" s="1"/>
      <c r="Q2439" s="1"/>
      <c r="R2439" s="1"/>
      <c r="S2439" s="1"/>
      <c r="T2439" s="1"/>
      <c r="U2439" s="1"/>
      <c r="V2439" s="1"/>
      <c r="W2439" s="1"/>
      <c r="X2439" s="1"/>
      <c r="Y2439" s="1"/>
      <c r="Z2439" s="1"/>
      <c r="AA2439" s="1"/>
      <c r="AB2439" s="1"/>
    </row>
    <row r="2440" ht="50.25" customHeight="1">
      <c r="A2440" s="12">
        <v>2436.0</v>
      </c>
      <c r="B2440" s="13" t="s">
        <v>2434</v>
      </c>
      <c r="C2440" s="14" t="s">
        <v>2453</v>
      </c>
      <c r="D2440" s="1"/>
      <c r="E2440" s="1"/>
      <c r="F2440" s="1" t="str">
        <f>IFERROR(__xludf.DUMMYFUNCTION("GOOGLETRANSLATE(B2440, ""en"", ""fa"")
"),"تبلیغات")</f>
        <v>تبلیغات</v>
      </c>
      <c r="G2440" s="1" t="str">
        <f>IFERROR(__xludf.DUMMYFUNCTION("GOOGLETRANSLATE(C2440, ""en"", ""fa"")
"),"در مورد مزایای استفاده از داستان سرایی احساسی در تبلیغات برای محصولات بهداشتی و دارویی بحث کنید.")</f>
        <v>در مورد مزایای استفاده از داستان سرایی احساسی در تبلیغات برای محصولات بهداشتی و دارویی بحث کنید.</v>
      </c>
      <c r="H2440" s="1"/>
      <c r="I2440" s="1"/>
      <c r="J2440" s="1"/>
      <c r="K2440" s="1"/>
      <c r="L2440" s="1"/>
      <c r="M2440" s="1"/>
      <c r="N2440" s="1"/>
      <c r="O2440" s="1"/>
      <c r="P2440" s="1"/>
      <c r="Q2440" s="1"/>
      <c r="R2440" s="1"/>
      <c r="S2440" s="1"/>
      <c r="T2440" s="1"/>
      <c r="U2440" s="1"/>
      <c r="V2440" s="1"/>
      <c r="W2440" s="1"/>
      <c r="X2440" s="1"/>
      <c r="Y2440" s="1"/>
      <c r="Z2440" s="1"/>
      <c r="AA2440" s="1"/>
      <c r="AB2440" s="1"/>
    </row>
    <row r="2441" ht="50.25" customHeight="1">
      <c r="A2441" s="12">
        <v>2437.0</v>
      </c>
      <c r="B2441" s="13" t="s">
        <v>2434</v>
      </c>
      <c r="C2441" s="14" t="s">
        <v>2454</v>
      </c>
      <c r="D2441" s="1"/>
      <c r="E2441" s="1"/>
      <c r="F2441" s="1" t="str">
        <f>IFERROR(__xludf.DUMMYFUNCTION("GOOGLETRANSLATE(B2441, ""en"", ""fa"")
"),"تبلیغات")</f>
        <v>تبلیغات</v>
      </c>
      <c r="G2441" s="1" t="str">
        <f>IFERROR(__xludf.DUMMYFUNCTION("GOOGLETRANSLATE(C2441, ""en"", ""fa"")
"),"استراتژی‌هایی را برای ایجاد کمپین‌های تاثیرگذار بازاریابی تأثیرگذار که با ارزش‌های برند و مخاطبان هدف همسو هستند، به اشتراک بگذارید.")</f>
        <v>استراتژی‌هایی را برای ایجاد کمپین‌های تاثیرگذار بازاریابی تأثیرگذار که با ارزش‌های برند و مخاطبان هدف همسو هستند، به اشتراک بگذارید.</v>
      </c>
      <c r="H2441" s="1"/>
      <c r="I2441" s="1"/>
      <c r="J2441" s="1"/>
      <c r="K2441" s="1"/>
      <c r="L2441" s="1"/>
      <c r="M2441" s="1"/>
      <c r="N2441" s="1"/>
      <c r="O2441" s="1"/>
      <c r="P2441" s="1"/>
      <c r="Q2441" s="1"/>
      <c r="R2441" s="1"/>
      <c r="S2441" s="1"/>
      <c r="T2441" s="1"/>
      <c r="U2441" s="1"/>
      <c r="V2441" s="1"/>
      <c r="W2441" s="1"/>
      <c r="X2441" s="1"/>
      <c r="Y2441" s="1"/>
      <c r="Z2441" s="1"/>
      <c r="AA2441" s="1"/>
      <c r="AB2441" s="1"/>
    </row>
    <row r="2442" ht="50.25" customHeight="1">
      <c r="A2442" s="12">
        <v>2438.0</v>
      </c>
      <c r="B2442" s="13" t="s">
        <v>2434</v>
      </c>
      <c r="C2442" s="14" t="s">
        <v>2455</v>
      </c>
      <c r="D2442" s="1"/>
      <c r="E2442" s="1"/>
      <c r="F2442" s="1" t="str">
        <f>IFERROR(__xludf.DUMMYFUNCTION("GOOGLETRANSLATE(B2442, ""en"", ""fa"")
"),"تبلیغات")</f>
        <v>تبلیغات</v>
      </c>
      <c r="G2442" s="1" t="str">
        <f>IFERROR(__xludf.DUMMYFUNCTION("GOOGLETRANSLATE(C2442, ""en"", ""fa"")
"),"تکنیک های استفاده از طنز و داستان سرایی در تبلیغات برندهای فست فود و رستوران را بررسی کنید.")</f>
        <v>تکنیک های استفاده از طنز و داستان سرایی در تبلیغات برندهای فست فود و رستوران را بررسی کنید.</v>
      </c>
      <c r="H2442" s="1"/>
      <c r="I2442" s="1"/>
      <c r="J2442" s="1"/>
      <c r="K2442" s="1"/>
      <c r="L2442" s="1"/>
      <c r="M2442" s="1"/>
      <c r="N2442" s="1"/>
      <c r="O2442" s="1"/>
      <c r="P2442" s="1"/>
      <c r="Q2442" s="1"/>
      <c r="R2442" s="1"/>
      <c r="S2442" s="1"/>
      <c r="T2442" s="1"/>
      <c r="U2442" s="1"/>
      <c r="V2442" s="1"/>
      <c r="W2442" s="1"/>
      <c r="X2442" s="1"/>
      <c r="Y2442" s="1"/>
      <c r="Z2442" s="1"/>
      <c r="AA2442" s="1"/>
      <c r="AB2442" s="1"/>
    </row>
    <row r="2443" ht="50.25" customHeight="1">
      <c r="A2443" s="12">
        <v>2439.0</v>
      </c>
      <c r="B2443" s="13" t="s">
        <v>2434</v>
      </c>
      <c r="C2443" s="14" t="s">
        <v>2456</v>
      </c>
      <c r="D2443" s="1"/>
      <c r="E2443" s="1"/>
      <c r="F2443" s="1" t="str">
        <f>IFERROR(__xludf.DUMMYFUNCTION("GOOGLETRANSLATE(B2443, ""en"", ""fa"")
"),"تبلیغات")</f>
        <v>تبلیغات</v>
      </c>
      <c r="G2443" s="1" t="str">
        <f>IFERROR(__xludf.DUMMYFUNCTION("GOOGLETRANSLATE(C2443, ""en"", ""fa"")
"),"در مورد اهمیت گنجاندن تنوع و فراگیری در تبلیغات برای بازتاب و ارتباط با مخاطبان مختلف بحث کنید.")</f>
        <v>در مورد اهمیت گنجاندن تنوع و فراگیری در تبلیغات برای بازتاب و ارتباط با مخاطبان مختلف بحث کنید.</v>
      </c>
      <c r="H2443" s="1"/>
      <c r="I2443" s="1"/>
      <c r="J2443" s="1"/>
      <c r="K2443" s="1"/>
      <c r="L2443" s="1"/>
      <c r="M2443" s="1"/>
      <c r="N2443" s="1"/>
      <c r="O2443" s="1"/>
      <c r="P2443" s="1"/>
      <c r="Q2443" s="1"/>
      <c r="R2443" s="1"/>
      <c r="S2443" s="1"/>
      <c r="T2443" s="1"/>
      <c r="U2443" s="1"/>
      <c r="V2443" s="1"/>
      <c r="W2443" s="1"/>
      <c r="X2443" s="1"/>
      <c r="Y2443" s="1"/>
      <c r="Z2443" s="1"/>
      <c r="AA2443" s="1"/>
      <c r="AB2443" s="1"/>
    </row>
    <row r="2444" ht="50.25" customHeight="1">
      <c r="A2444" s="12">
        <v>2440.0</v>
      </c>
      <c r="B2444" s="13" t="s">
        <v>2434</v>
      </c>
      <c r="C2444" s="14" t="s">
        <v>2457</v>
      </c>
      <c r="D2444" s="1"/>
      <c r="E2444" s="1"/>
      <c r="F2444" s="1" t="str">
        <f>IFERROR(__xludf.DUMMYFUNCTION("GOOGLETRANSLATE(B2444, ""en"", ""fa"")
"),"تبلیغات")</f>
        <v>تبلیغات</v>
      </c>
      <c r="G2444" s="1" t="str">
        <f>IFERROR(__xludf.DUMMYFUNCTION("GOOGLETRANSLATE(C2444, ""en"", ""fa"")
"),"نکاتی را برای ایجاد تبلیغات ویدیویی متقاعدکننده برای YouTube و دیگر پلتفرم‌های ویدیویی آنلاین به اشتراک بگذارید.")</f>
        <v>نکاتی را برای ایجاد تبلیغات ویدیویی متقاعدکننده برای YouTube و دیگر پلتفرم‌های ویدیویی آنلاین به اشتراک بگذارید.</v>
      </c>
      <c r="H2444" s="1"/>
      <c r="I2444" s="1"/>
      <c r="J2444" s="1"/>
      <c r="K2444" s="1"/>
      <c r="L2444" s="1"/>
      <c r="M2444" s="1"/>
      <c r="N2444" s="1"/>
      <c r="O2444" s="1"/>
      <c r="P2444" s="1"/>
      <c r="Q2444" s="1"/>
      <c r="R2444" s="1"/>
      <c r="S2444" s="1"/>
      <c r="T2444" s="1"/>
      <c r="U2444" s="1"/>
      <c r="V2444" s="1"/>
      <c r="W2444" s="1"/>
      <c r="X2444" s="1"/>
      <c r="Y2444" s="1"/>
      <c r="Z2444" s="1"/>
      <c r="AA2444" s="1"/>
      <c r="AB2444" s="1"/>
    </row>
    <row r="2445" ht="50.25" customHeight="1">
      <c r="A2445" s="12">
        <v>2441.0</v>
      </c>
      <c r="B2445" s="13" t="s">
        <v>2434</v>
      </c>
      <c r="C2445" s="14" t="s">
        <v>2458</v>
      </c>
      <c r="D2445" s="1"/>
      <c r="E2445" s="1"/>
      <c r="F2445" s="1" t="str">
        <f>IFERROR(__xludf.DUMMYFUNCTION("GOOGLETRANSLATE(B2445, ""en"", ""fa"")
"),"تبلیغات")</f>
        <v>تبلیغات</v>
      </c>
      <c r="G2445" s="1" t="str">
        <f>IFERROR(__xludf.DUMMYFUNCTION("GOOGLETRANSLATE(C2445, ""en"", ""fa"")
"),"روش‌های مختلف برای استفاده از واقعیت افزوده (AR) و واقعیت مجازی (VR) در تبلیغات را بررسی کنید تا تجربیات برند را افزایش دهید.")</f>
        <v>روش‌های مختلف برای استفاده از واقعیت افزوده (AR) و واقعیت مجازی (VR) در تبلیغات را بررسی کنید تا تجربیات برند را افزایش دهید.</v>
      </c>
      <c r="H2445" s="1"/>
      <c r="I2445" s="1"/>
      <c r="J2445" s="1"/>
      <c r="K2445" s="1"/>
      <c r="L2445" s="1"/>
      <c r="M2445" s="1"/>
      <c r="N2445" s="1"/>
      <c r="O2445" s="1"/>
      <c r="P2445" s="1"/>
      <c r="Q2445" s="1"/>
      <c r="R2445" s="1"/>
      <c r="S2445" s="1"/>
      <c r="T2445" s="1"/>
      <c r="U2445" s="1"/>
      <c r="V2445" s="1"/>
      <c r="W2445" s="1"/>
      <c r="X2445" s="1"/>
      <c r="Y2445" s="1"/>
      <c r="Z2445" s="1"/>
      <c r="AA2445" s="1"/>
      <c r="AB2445" s="1"/>
    </row>
    <row r="2446" ht="50.25" customHeight="1">
      <c r="A2446" s="12">
        <v>2442.0</v>
      </c>
      <c r="B2446" s="13" t="s">
        <v>2434</v>
      </c>
      <c r="C2446" s="14" t="s">
        <v>2459</v>
      </c>
      <c r="D2446" s="1"/>
      <c r="E2446" s="1"/>
      <c r="F2446" s="1" t="str">
        <f>IFERROR(__xludf.DUMMYFUNCTION("GOOGLETRANSLATE(B2446, ""en"", ""fa"")
"),"تبلیغات")</f>
        <v>تبلیغات</v>
      </c>
      <c r="G2446" s="1" t="str">
        <f>IFERROR(__xludf.DUMMYFUNCTION("GOOGLETRANSLATE(C2446, ""en"", ""fa"")
"),"در مورد مزایای استفاده از تقسیم بندی مشتری و پیام های شخصی سازی شده در کمپین های تبلیغاتی بازاریابی ایمیلی بحث کنید.")</f>
        <v>در مورد مزایای استفاده از تقسیم بندی مشتری و پیام های شخصی سازی شده در کمپین های تبلیغاتی بازاریابی ایمیلی بحث کنید.</v>
      </c>
      <c r="H2446" s="1"/>
      <c r="I2446" s="1"/>
      <c r="J2446" s="1"/>
      <c r="K2446" s="1"/>
      <c r="L2446" s="1"/>
      <c r="M2446" s="1"/>
      <c r="N2446" s="1"/>
      <c r="O2446" s="1"/>
      <c r="P2446" s="1"/>
      <c r="Q2446" s="1"/>
      <c r="R2446" s="1"/>
      <c r="S2446" s="1"/>
      <c r="T2446" s="1"/>
      <c r="U2446" s="1"/>
      <c r="V2446" s="1"/>
      <c r="W2446" s="1"/>
      <c r="X2446" s="1"/>
      <c r="Y2446" s="1"/>
      <c r="Z2446" s="1"/>
      <c r="AA2446" s="1"/>
      <c r="AB2446" s="1"/>
    </row>
    <row r="2447" ht="50.25" customHeight="1">
      <c r="A2447" s="12">
        <v>2443.0</v>
      </c>
      <c r="B2447" s="13" t="s">
        <v>2434</v>
      </c>
      <c r="C2447" s="14" t="s">
        <v>2460</v>
      </c>
      <c r="D2447" s="1"/>
      <c r="E2447" s="1"/>
      <c r="F2447" s="1" t="str">
        <f>IFERROR(__xludf.DUMMYFUNCTION("GOOGLETRANSLATE(B2447, ""en"", ""fa"")
"),"تبلیغات")</f>
        <v>تبلیغات</v>
      </c>
      <c r="G2447" s="1" t="str">
        <f>IFERROR(__xludf.DUMMYFUNCTION("GOOGLETRANSLATE(C2447, ""en"", ""fa"")
"),"استراتژی‌هایی را برای ایجاد تبلیغات تأثیرگذار برنامه تلفن همراه که باعث دانلود و تعامل کاربر می‌شود را به اشتراک بگذارید.")</f>
        <v>استراتژی‌هایی را برای ایجاد تبلیغات تأثیرگذار برنامه تلفن همراه که باعث دانلود و تعامل کاربر می‌شود را به اشتراک بگذارید.</v>
      </c>
      <c r="H2447" s="1"/>
      <c r="I2447" s="1"/>
      <c r="J2447" s="1"/>
      <c r="K2447" s="1"/>
      <c r="L2447" s="1"/>
      <c r="M2447" s="1"/>
      <c r="N2447" s="1"/>
      <c r="O2447" s="1"/>
      <c r="P2447" s="1"/>
      <c r="Q2447" s="1"/>
      <c r="R2447" s="1"/>
      <c r="S2447" s="1"/>
      <c r="T2447" s="1"/>
      <c r="U2447" s="1"/>
      <c r="V2447" s="1"/>
      <c r="W2447" s="1"/>
      <c r="X2447" s="1"/>
      <c r="Y2447" s="1"/>
      <c r="Z2447" s="1"/>
      <c r="AA2447" s="1"/>
      <c r="AB2447" s="1"/>
    </row>
    <row r="2448" ht="50.25" customHeight="1">
      <c r="A2448" s="12">
        <v>2444.0</v>
      </c>
      <c r="B2448" s="13" t="s">
        <v>2434</v>
      </c>
      <c r="C2448" s="14" t="s">
        <v>2461</v>
      </c>
      <c r="D2448" s="1"/>
      <c r="E2448" s="1"/>
      <c r="F2448" s="1" t="str">
        <f>IFERROR(__xludf.DUMMYFUNCTION("GOOGLETRANSLATE(B2448, ""en"", ""fa"")
"),"تبلیغات")</f>
        <v>تبلیغات</v>
      </c>
      <c r="G2448" s="1" t="str">
        <f>IFERROR(__xludf.DUMMYFUNCTION("GOOGLETRANSLATE(C2448, ""en"", ""fa"")
"),"تکنیک‌های استفاده از محتوای تولید شده توسط کاربر و نظرات مشتریان در تبلیغات لوازم الکترونیکی مصرفی و ابزارک‌ها را بررسی کنید.")</f>
        <v>تکنیک‌های استفاده از محتوای تولید شده توسط کاربر و نظرات مشتریان در تبلیغات لوازم الکترونیکی مصرفی و ابزارک‌ها را بررسی کنید.</v>
      </c>
      <c r="H2448" s="1"/>
      <c r="I2448" s="1"/>
      <c r="J2448" s="1"/>
      <c r="K2448" s="1"/>
      <c r="L2448" s="1"/>
      <c r="M2448" s="1"/>
      <c r="N2448" s="1"/>
      <c r="O2448" s="1"/>
      <c r="P2448" s="1"/>
      <c r="Q2448" s="1"/>
      <c r="R2448" s="1"/>
      <c r="S2448" s="1"/>
      <c r="T2448" s="1"/>
      <c r="U2448" s="1"/>
      <c r="V2448" s="1"/>
      <c r="W2448" s="1"/>
      <c r="X2448" s="1"/>
      <c r="Y2448" s="1"/>
      <c r="Z2448" s="1"/>
      <c r="AA2448" s="1"/>
      <c r="AB2448" s="1"/>
    </row>
    <row r="2449" ht="50.25" customHeight="1">
      <c r="A2449" s="12">
        <v>2445.0</v>
      </c>
      <c r="B2449" s="13" t="s">
        <v>2434</v>
      </c>
      <c r="C2449" s="14" t="s">
        <v>2462</v>
      </c>
      <c r="D2449" s="1"/>
      <c r="E2449" s="1"/>
      <c r="F2449" s="1" t="str">
        <f>IFERROR(__xludf.DUMMYFUNCTION("GOOGLETRANSLATE(B2449, ""en"", ""fa"")
"),"تبلیغات")</f>
        <v>تبلیغات</v>
      </c>
      <c r="G2449" s="1" t="str">
        <f>IFERROR(__xludf.DUMMYFUNCTION("GOOGLETRANSLATE(C2449, ""en"", ""fa"")
"),"در مورد اهمیت استفاده از بینش های مبتنی بر داده و تحلیل رفتار مصرف کننده در بهینه سازی استراتژی های تبلیغاتی بحث کنید.")</f>
        <v>در مورد اهمیت استفاده از بینش های مبتنی بر داده و تحلیل رفتار مصرف کننده در بهینه سازی استراتژی های تبلیغاتی بحث کنید.</v>
      </c>
      <c r="H2449" s="1"/>
      <c r="I2449" s="1"/>
      <c r="J2449" s="1"/>
      <c r="K2449" s="1"/>
      <c r="L2449" s="1"/>
      <c r="M2449" s="1"/>
      <c r="N2449" s="1"/>
      <c r="O2449" s="1"/>
      <c r="P2449" s="1"/>
      <c r="Q2449" s="1"/>
      <c r="R2449" s="1"/>
      <c r="S2449" s="1"/>
      <c r="T2449" s="1"/>
      <c r="U2449" s="1"/>
      <c r="V2449" s="1"/>
      <c r="W2449" s="1"/>
      <c r="X2449" s="1"/>
      <c r="Y2449" s="1"/>
      <c r="Z2449" s="1"/>
      <c r="AA2449" s="1"/>
      <c r="AB2449" s="1"/>
    </row>
    <row r="2450" ht="50.25" customHeight="1">
      <c r="A2450" s="12">
        <v>2446.0</v>
      </c>
      <c r="B2450" s="13" t="s">
        <v>2434</v>
      </c>
      <c r="C2450" s="14" t="s">
        <v>2463</v>
      </c>
      <c r="D2450" s="1"/>
      <c r="E2450" s="1"/>
      <c r="F2450" s="1" t="str">
        <f>IFERROR(__xludf.DUMMYFUNCTION("GOOGLETRANSLATE(B2450, ""en"", ""fa"")
"),"تبلیغات")</f>
        <v>تبلیغات</v>
      </c>
      <c r="G2450" s="1" t="str">
        <f>IFERROR(__xludf.DUMMYFUNCTION("GOOGLETRANSLATE(C2450, ""en"", ""fa"")
"),"نکاتی را برای گنجاندن محتوای تولید شده توسط اینفلوئنسرها در تبلیغات برندهای آرایشی و بهداشتی به اشتراک بگذارید.")</f>
        <v>نکاتی را برای گنجاندن محتوای تولید شده توسط اینفلوئنسرها در تبلیغات برندهای آرایشی و بهداشتی به اشتراک بگذارید.</v>
      </c>
      <c r="H2450" s="1"/>
      <c r="I2450" s="1"/>
      <c r="J2450" s="1"/>
      <c r="K2450" s="1"/>
      <c r="L2450" s="1"/>
      <c r="M2450" s="1"/>
      <c r="N2450" s="1"/>
      <c r="O2450" s="1"/>
      <c r="P2450" s="1"/>
      <c r="Q2450" s="1"/>
      <c r="R2450" s="1"/>
      <c r="S2450" s="1"/>
      <c r="T2450" s="1"/>
      <c r="U2450" s="1"/>
      <c r="V2450" s="1"/>
      <c r="W2450" s="1"/>
      <c r="X2450" s="1"/>
      <c r="Y2450" s="1"/>
      <c r="Z2450" s="1"/>
      <c r="AA2450" s="1"/>
      <c r="AB2450" s="1"/>
    </row>
    <row r="2451" ht="50.25" customHeight="1">
      <c r="A2451" s="12">
        <v>2447.0</v>
      </c>
      <c r="B2451" s="13" t="s">
        <v>2434</v>
      </c>
      <c r="C2451" s="14" t="s">
        <v>2464</v>
      </c>
      <c r="D2451" s="1"/>
      <c r="E2451" s="1"/>
      <c r="F2451" s="1" t="str">
        <f>IFERROR(__xludf.DUMMYFUNCTION("GOOGLETRANSLATE(B2451, ""en"", ""fa"")
"),"تبلیغات")</f>
        <v>تبلیغات</v>
      </c>
      <c r="G2451" s="1" t="str">
        <f>IFERROR(__xludf.DUMMYFUNCTION("GOOGLETRANSLATE(C2451, ""en"", ""fa"")
"),"روش‌های مختلف برای استفاده از گیمیفیکیشن و عناصر تعاملی در تبلیغات را برای افزایش جذب مخاطب بررسی کنید.")</f>
        <v>روش‌های مختلف برای استفاده از گیمیفیکیشن و عناصر تعاملی در تبلیغات را برای افزایش جذب مخاطب بررسی کنید.</v>
      </c>
      <c r="H2451" s="1"/>
      <c r="I2451" s="1"/>
      <c r="J2451" s="1"/>
      <c r="K2451" s="1"/>
      <c r="L2451" s="1"/>
      <c r="M2451" s="1"/>
      <c r="N2451" s="1"/>
      <c r="O2451" s="1"/>
      <c r="P2451" s="1"/>
      <c r="Q2451" s="1"/>
      <c r="R2451" s="1"/>
      <c r="S2451" s="1"/>
      <c r="T2451" s="1"/>
      <c r="U2451" s="1"/>
      <c r="V2451" s="1"/>
      <c r="W2451" s="1"/>
      <c r="X2451" s="1"/>
      <c r="Y2451" s="1"/>
      <c r="Z2451" s="1"/>
      <c r="AA2451" s="1"/>
      <c r="AB2451" s="1"/>
    </row>
    <row r="2452" ht="50.25" customHeight="1">
      <c r="A2452" s="12">
        <v>2448.0</v>
      </c>
      <c r="B2452" s="13" t="s">
        <v>2434</v>
      </c>
      <c r="C2452" s="14" t="s">
        <v>2465</v>
      </c>
      <c r="D2452" s="1"/>
      <c r="E2452" s="1"/>
      <c r="F2452" s="1" t="str">
        <f>IFERROR(__xludf.DUMMYFUNCTION("GOOGLETRANSLATE(B2452, ""en"", ""fa"")
"),"تبلیغات")</f>
        <v>تبلیغات</v>
      </c>
      <c r="G2452" s="1" t="str">
        <f>IFERROR(__xludf.DUMMYFUNCTION("GOOGLETRANSLATE(C2452, ""en"", ""fa"")
"),"در مورد مزایای استفاده از جذابیت های احساسی و داستان سرایی در تبلیغات خودرو برای ارتباط با آرزوهای مصرف کنندگان بحث کنید.")</f>
        <v>در مورد مزایای استفاده از جذابیت های احساسی و داستان سرایی در تبلیغات خودرو برای ارتباط با آرزوهای مصرف کنندگان بحث کنید.</v>
      </c>
      <c r="H2452" s="1"/>
      <c r="I2452" s="1"/>
      <c r="J2452" s="1"/>
      <c r="K2452" s="1"/>
      <c r="L2452" s="1"/>
      <c r="M2452" s="1"/>
      <c r="N2452" s="1"/>
      <c r="O2452" s="1"/>
      <c r="P2452" s="1"/>
      <c r="Q2452" s="1"/>
      <c r="R2452" s="1"/>
      <c r="S2452" s="1"/>
      <c r="T2452" s="1"/>
      <c r="U2452" s="1"/>
      <c r="V2452" s="1"/>
      <c r="W2452" s="1"/>
      <c r="X2452" s="1"/>
      <c r="Y2452" s="1"/>
      <c r="Z2452" s="1"/>
      <c r="AA2452" s="1"/>
      <c r="AB2452" s="1"/>
    </row>
    <row r="2453" ht="50.25" customHeight="1">
      <c r="A2453" s="12">
        <v>2449.0</v>
      </c>
      <c r="B2453" s="13" t="s">
        <v>2434</v>
      </c>
      <c r="C2453" s="14" t="s">
        <v>2466</v>
      </c>
      <c r="D2453" s="1"/>
      <c r="E2453" s="1"/>
      <c r="F2453" s="1" t="str">
        <f>IFERROR(__xludf.DUMMYFUNCTION("GOOGLETRANSLATE(B2453, ""en"", ""fa"")
"),"تبلیغات")</f>
        <v>تبلیغات</v>
      </c>
      <c r="G2453" s="1" t="str">
        <f>IFERROR(__xludf.DUMMYFUNCTION("GOOGLETRANSLATE(C2453, ""en"", ""fa"")
"),"استراتژی‌هایی را برای ایجاد تبلیغات دیجیتال تاثیرگذار در فضاهای عمومی و محیط‌های خرده‌فروشی به اشتراک بگذارید.")</f>
        <v>استراتژی‌هایی را برای ایجاد تبلیغات دیجیتال تاثیرگذار در فضاهای عمومی و محیط‌های خرده‌فروشی به اشتراک بگذارید.</v>
      </c>
      <c r="H2453" s="1"/>
      <c r="I2453" s="1"/>
      <c r="J2453" s="1"/>
      <c r="K2453" s="1"/>
      <c r="L2453" s="1"/>
      <c r="M2453" s="1"/>
      <c r="N2453" s="1"/>
      <c r="O2453" s="1"/>
      <c r="P2453" s="1"/>
      <c r="Q2453" s="1"/>
      <c r="R2453" s="1"/>
      <c r="S2453" s="1"/>
      <c r="T2453" s="1"/>
      <c r="U2453" s="1"/>
      <c r="V2453" s="1"/>
      <c r="W2453" s="1"/>
      <c r="X2453" s="1"/>
      <c r="Y2453" s="1"/>
      <c r="Z2453" s="1"/>
      <c r="AA2453" s="1"/>
      <c r="AB2453" s="1"/>
    </row>
    <row r="2454" ht="50.25" customHeight="1">
      <c r="A2454" s="12">
        <v>2450.0</v>
      </c>
      <c r="B2454" s="13" t="s">
        <v>2434</v>
      </c>
      <c r="C2454" s="14" t="s">
        <v>2467</v>
      </c>
      <c r="D2454" s="1"/>
      <c r="E2454" s="1"/>
      <c r="F2454" s="1" t="str">
        <f>IFERROR(__xludf.DUMMYFUNCTION("GOOGLETRANSLATE(B2454, ""en"", ""fa"")
"),"تبلیغات")</f>
        <v>تبلیغات</v>
      </c>
      <c r="G2454" s="1" t="str">
        <f>IFERROR(__xludf.DUMMYFUNCTION("GOOGLETRANSLATE(C2454, ""en"", ""fa"")
"),"تکنیک‌های استفاده از محتوا و توصیه‌های تولید شده توسط کاربر در تبلیغات برندهای دکوراسیون منزل و طراحی داخلی را بررسی کنید.")</f>
        <v>تکنیک‌های استفاده از محتوا و توصیه‌های تولید شده توسط کاربر در تبلیغات برندهای دکوراسیون منزل و طراحی داخلی را بررسی کنید.</v>
      </c>
      <c r="H2454" s="1"/>
      <c r="I2454" s="1"/>
      <c r="J2454" s="1"/>
      <c r="K2454" s="1"/>
      <c r="L2454" s="1"/>
      <c r="M2454" s="1"/>
      <c r="N2454" s="1"/>
      <c r="O2454" s="1"/>
      <c r="P2454" s="1"/>
      <c r="Q2454" s="1"/>
      <c r="R2454" s="1"/>
      <c r="S2454" s="1"/>
      <c r="T2454" s="1"/>
      <c r="U2454" s="1"/>
      <c r="V2454" s="1"/>
      <c r="W2454" s="1"/>
      <c r="X2454" s="1"/>
      <c r="Y2454" s="1"/>
      <c r="Z2454" s="1"/>
      <c r="AA2454" s="1"/>
      <c r="AB2454" s="1"/>
    </row>
    <row r="2455" ht="50.25" customHeight="1">
      <c r="A2455" s="12">
        <v>2451.0</v>
      </c>
      <c r="B2455" s="13" t="s">
        <v>2434</v>
      </c>
      <c r="C2455" s="14" t="s">
        <v>2468</v>
      </c>
      <c r="D2455" s="1"/>
      <c r="E2455" s="1"/>
      <c r="F2455" s="1" t="str">
        <f>IFERROR(__xludf.DUMMYFUNCTION("GOOGLETRANSLATE(B2455, ""en"", ""fa"")
"),"تبلیغات")</f>
        <v>تبلیغات</v>
      </c>
      <c r="G2455" s="1" t="str">
        <f>IFERROR(__xludf.DUMMYFUNCTION("GOOGLETRANSLATE(C2455, ""en"", ""fa"")
"),"در مورد اهمیت استفاده از تجزیه و تحلیل شنیدن و احساسات رسانه های اجتماعی در تبلیغات برای درک درک مخاطب بحث کنید.")</f>
        <v>در مورد اهمیت استفاده از تجزیه و تحلیل شنیدن و احساسات رسانه های اجتماعی در تبلیغات برای درک درک مخاطب بحث کنید.</v>
      </c>
      <c r="H2455" s="1"/>
      <c r="I2455" s="1"/>
      <c r="J2455" s="1"/>
      <c r="K2455" s="1"/>
      <c r="L2455" s="1"/>
      <c r="M2455" s="1"/>
      <c r="N2455" s="1"/>
      <c r="O2455" s="1"/>
      <c r="P2455" s="1"/>
      <c r="Q2455" s="1"/>
      <c r="R2455" s="1"/>
      <c r="S2455" s="1"/>
      <c r="T2455" s="1"/>
      <c r="U2455" s="1"/>
      <c r="V2455" s="1"/>
      <c r="W2455" s="1"/>
      <c r="X2455" s="1"/>
      <c r="Y2455" s="1"/>
      <c r="Z2455" s="1"/>
      <c r="AA2455" s="1"/>
      <c r="AB2455" s="1"/>
    </row>
    <row r="2456" ht="50.25" customHeight="1">
      <c r="A2456" s="12">
        <v>2452.0</v>
      </c>
      <c r="B2456" s="13" t="s">
        <v>2434</v>
      </c>
      <c r="C2456" s="14" t="s">
        <v>2469</v>
      </c>
      <c r="D2456" s="1"/>
      <c r="E2456" s="1"/>
      <c r="F2456" s="1" t="str">
        <f>IFERROR(__xludf.DUMMYFUNCTION("GOOGLETRANSLATE(B2456, ""en"", ""fa"")
"),"تبلیغات")</f>
        <v>تبلیغات</v>
      </c>
      <c r="G2456" s="1" t="str">
        <f>IFERROR(__xludf.DUMMYFUNCTION("GOOGLETRANSLATE(C2456, ""en"", ""fa"")
"),"نکاتی را برای ایجاد تبلیغات گواهی متقاعدکننده برای محصولات تناسب اندام و سلامتی به اشتراک بگذارید.")</f>
        <v>نکاتی را برای ایجاد تبلیغات گواهی متقاعدکننده برای محصولات تناسب اندام و سلامتی به اشتراک بگذارید.</v>
      </c>
      <c r="H2456" s="1"/>
      <c r="I2456" s="1"/>
      <c r="J2456" s="1"/>
      <c r="K2456" s="1"/>
      <c r="L2456" s="1"/>
      <c r="M2456" s="1"/>
      <c r="N2456" s="1"/>
      <c r="O2456" s="1"/>
      <c r="P2456" s="1"/>
      <c r="Q2456" s="1"/>
      <c r="R2456" s="1"/>
      <c r="S2456" s="1"/>
      <c r="T2456" s="1"/>
      <c r="U2456" s="1"/>
      <c r="V2456" s="1"/>
      <c r="W2456" s="1"/>
      <c r="X2456" s="1"/>
      <c r="Y2456" s="1"/>
      <c r="Z2456" s="1"/>
      <c r="AA2456" s="1"/>
      <c r="AB2456" s="1"/>
    </row>
    <row r="2457" ht="50.25" customHeight="1">
      <c r="A2457" s="12">
        <v>2453.0</v>
      </c>
      <c r="B2457" s="13" t="s">
        <v>2434</v>
      </c>
      <c r="C2457" s="14" t="s">
        <v>2470</v>
      </c>
      <c r="D2457" s="1"/>
      <c r="E2457" s="1"/>
      <c r="F2457" s="1" t="str">
        <f>IFERROR(__xludf.DUMMYFUNCTION("GOOGLETRANSLATE(B2457, ""en"", ""fa"")
"),"تبلیغات")</f>
        <v>تبلیغات</v>
      </c>
      <c r="G2457" s="1" t="str">
        <f>IFERROR(__xludf.DUMMYFUNCTION("GOOGLETRANSLATE(C2457, ""en"", ""fa"")
"),"روش های مختلف استفاده از محتوای تولید شده توسط اینفلوئنسرها در تبلیغات برندهای مد و پوشاک را بررسی کنید.")</f>
        <v>روش های مختلف استفاده از محتوای تولید شده توسط اینفلوئنسرها در تبلیغات برندهای مد و پوشاک را بررسی کنید.</v>
      </c>
      <c r="H2457" s="1"/>
      <c r="I2457" s="1"/>
      <c r="J2457" s="1"/>
      <c r="K2457" s="1"/>
      <c r="L2457" s="1"/>
      <c r="M2457" s="1"/>
      <c r="N2457" s="1"/>
      <c r="O2457" s="1"/>
      <c r="P2457" s="1"/>
      <c r="Q2457" s="1"/>
      <c r="R2457" s="1"/>
      <c r="S2457" s="1"/>
      <c r="T2457" s="1"/>
      <c r="U2457" s="1"/>
      <c r="V2457" s="1"/>
      <c r="W2457" s="1"/>
      <c r="X2457" s="1"/>
      <c r="Y2457" s="1"/>
      <c r="Z2457" s="1"/>
      <c r="AA2457" s="1"/>
      <c r="AB2457" s="1"/>
    </row>
    <row r="2458" ht="50.25" customHeight="1">
      <c r="A2458" s="12">
        <v>2454.0</v>
      </c>
      <c r="B2458" s="13" t="s">
        <v>2434</v>
      </c>
      <c r="C2458" s="14" t="s">
        <v>2471</v>
      </c>
      <c r="D2458" s="1"/>
      <c r="E2458" s="1"/>
      <c r="F2458" s="1" t="str">
        <f>IFERROR(__xludf.DUMMYFUNCTION("GOOGLETRANSLATE(B2458, ""en"", ""fa"")
"),"تبلیغات")</f>
        <v>تبلیغات</v>
      </c>
      <c r="G2458" s="1" t="str">
        <f>IFERROR(__xludf.DUMMYFUNCTION("GOOGLETRANSLATE(C2458, ""en"", ""fa"")
"),"در مورد مزایای استفاده از آزمون‌ها و نظرسنجی‌های تعاملی در تبلیغات برای تعامل و جمع‌آوری داده‌ها از مخاطبان بحث کنید.")</f>
        <v>در مورد مزایای استفاده از آزمون‌ها و نظرسنجی‌های تعاملی در تبلیغات برای تعامل و جمع‌آوری داده‌ها از مخاطبان بحث کنید.</v>
      </c>
      <c r="H2458" s="1"/>
      <c r="I2458" s="1"/>
      <c r="J2458" s="1"/>
      <c r="K2458" s="1"/>
      <c r="L2458" s="1"/>
      <c r="M2458" s="1"/>
      <c r="N2458" s="1"/>
      <c r="O2458" s="1"/>
      <c r="P2458" s="1"/>
      <c r="Q2458" s="1"/>
      <c r="R2458" s="1"/>
      <c r="S2458" s="1"/>
      <c r="T2458" s="1"/>
      <c r="U2458" s="1"/>
      <c r="V2458" s="1"/>
      <c r="W2458" s="1"/>
      <c r="X2458" s="1"/>
      <c r="Y2458" s="1"/>
      <c r="Z2458" s="1"/>
      <c r="AA2458" s="1"/>
      <c r="AB2458" s="1"/>
    </row>
    <row r="2459" ht="50.25" customHeight="1">
      <c r="A2459" s="12">
        <v>2455.0</v>
      </c>
      <c r="B2459" s="13" t="s">
        <v>2434</v>
      </c>
      <c r="C2459" s="14" t="s">
        <v>2472</v>
      </c>
      <c r="D2459" s="1"/>
      <c r="E2459" s="1"/>
      <c r="F2459" s="1" t="str">
        <f>IFERROR(__xludf.DUMMYFUNCTION("GOOGLETRANSLATE(B2459, ""en"", ""fa"")
"),"تبلیغات")</f>
        <v>تبلیغات</v>
      </c>
      <c r="G2459" s="1" t="str">
        <f>IFERROR(__xludf.DUMMYFUNCTION("GOOGLETRANSLATE(C2459, ""en"", ""fa"")
"),"استراتژی هایی برای ایجاد تبلیغات داستان سرایی تاثیرگذار برای خدمات مالی و موسسات بانکی را به اشتراک بگذارید.")</f>
        <v>استراتژی هایی برای ایجاد تبلیغات داستان سرایی تاثیرگذار برای خدمات مالی و موسسات بانکی را به اشتراک بگذارید.</v>
      </c>
      <c r="H2459" s="1"/>
      <c r="I2459" s="1"/>
      <c r="J2459" s="1"/>
      <c r="K2459" s="1"/>
      <c r="L2459" s="1"/>
      <c r="M2459" s="1"/>
      <c r="N2459" s="1"/>
      <c r="O2459" s="1"/>
      <c r="P2459" s="1"/>
      <c r="Q2459" s="1"/>
      <c r="R2459" s="1"/>
      <c r="S2459" s="1"/>
      <c r="T2459" s="1"/>
      <c r="U2459" s="1"/>
      <c r="V2459" s="1"/>
      <c r="W2459" s="1"/>
      <c r="X2459" s="1"/>
      <c r="Y2459" s="1"/>
      <c r="Z2459" s="1"/>
      <c r="AA2459" s="1"/>
      <c r="AB2459" s="1"/>
    </row>
    <row r="2460" ht="50.25" customHeight="1">
      <c r="A2460" s="12">
        <v>2456.0</v>
      </c>
      <c r="B2460" s="13" t="s">
        <v>2434</v>
      </c>
      <c r="C2460" s="14" t="s">
        <v>2473</v>
      </c>
      <c r="D2460" s="1"/>
      <c r="E2460" s="1"/>
      <c r="F2460" s="1" t="str">
        <f>IFERROR(__xludf.DUMMYFUNCTION("GOOGLETRANSLATE(B2460, ""en"", ""fa"")
"),"تبلیغات")</f>
        <v>تبلیغات</v>
      </c>
      <c r="G2460" s="1" t="str">
        <f>IFERROR(__xludf.DUMMYFUNCTION("GOOGLETRANSLATE(C2460, ""en"", ""fa"")
"),"تکنیک های استفاده از جذابیت های احساسی و داستان سرایی در تبلیغات برای سازمان های خیریه و کمپین های جمع آوری کمک های مالی را بررسی کنید.")</f>
        <v>تکنیک های استفاده از جذابیت های احساسی و داستان سرایی در تبلیغات برای سازمان های خیریه و کمپین های جمع آوری کمک های مالی را بررسی کنید.</v>
      </c>
      <c r="H2460" s="1"/>
      <c r="I2460" s="1"/>
      <c r="J2460" s="1"/>
      <c r="K2460" s="1"/>
      <c r="L2460" s="1"/>
      <c r="M2460" s="1"/>
      <c r="N2460" s="1"/>
      <c r="O2460" s="1"/>
      <c r="P2460" s="1"/>
      <c r="Q2460" s="1"/>
      <c r="R2460" s="1"/>
      <c r="S2460" s="1"/>
      <c r="T2460" s="1"/>
      <c r="U2460" s="1"/>
      <c r="V2460" s="1"/>
      <c r="W2460" s="1"/>
      <c r="X2460" s="1"/>
      <c r="Y2460" s="1"/>
      <c r="Z2460" s="1"/>
      <c r="AA2460" s="1"/>
      <c r="AB2460" s="1"/>
    </row>
    <row r="2461" ht="50.25" customHeight="1">
      <c r="A2461" s="12">
        <v>2457.0</v>
      </c>
      <c r="B2461" s="13" t="s">
        <v>2434</v>
      </c>
      <c r="C2461" s="14" t="s">
        <v>2474</v>
      </c>
      <c r="D2461" s="1"/>
      <c r="E2461" s="1"/>
      <c r="F2461" s="1" t="str">
        <f>IFERROR(__xludf.DUMMYFUNCTION("GOOGLETRANSLATE(B2461, ""en"", ""fa"")
"),"تبلیغات")</f>
        <v>تبلیغات</v>
      </c>
      <c r="G2461" s="1" t="str">
        <f>IFERROR(__xludf.DUMMYFUNCTION("GOOGLETRANSLATE(C2461, ""en"", ""fa"")
"),"در مورد اهمیت استفاده از تبلیغات بین کانالی و ارتباطات بازاریابی یکپارچه برای پیام‌رسانی یک برند تجاری بحث کنید.")</f>
        <v>در مورد اهمیت استفاده از تبلیغات بین کانالی و ارتباطات بازاریابی یکپارچه برای پیام‌رسانی یک برند تجاری بحث کنید.</v>
      </c>
      <c r="H2461" s="1"/>
      <c r="I2461" s="1"/>
      <c r="J2461" s="1"/>
      <c r="K2461" s="1"/>
      <c r="L2461" s="1"/>
      <c r="M2461" s="1"/>
      <c r="N2461" s="1"/>
      <c r="O2461" s="1"/>
      <c r="P2461" s="1"/>
      <c r="Q2461" s="1"/>
      <c r="R2461" s="1"/>
      <c r="S2461" s="1"/>
      <c r="T2461" s="1"/>
      <c r="U2461" s="1"/>
      <c r="V2461" s="1"/>
      <c r="W2461" s="1"/>
      <c r="X2461" s="1"/>
      <c r="Y2461" s="1"/>
      <c r="Z2461" s="1"/>
      <c r="AA2461" s="1"/>
      <c r="AB2461" s="1"/>
    </row>
    <row r="2462" ht="50.25" customHeight="1">
      <c r="A2462" s="12">
        <v>2458.0</v>
      </c>
      <c r="B2462" s="13" t="s">
        <v>2434</v>
      </c>
      <c r="C2462" s="14" t="s">
        <v>2475</v>
      </c>
      <c r="D2462" s="1"/>
      <c r="E2462" s="1"/>
      <c r="F2462" s="1" t="str">
        <f>IFERROR(__xludf.DUMMYFUNCTION("GOOGLETRANSLATE(B2462, ""en"", ""fa"")
"),"تبلیغات")</f>
        <v>تبلیغات</v>
      </c>
      <c r="G2462" s="1" t="str">
        <f>IFERROR(__xludf.DUMMYFUNCTION("GOOGLETRANSLATE(C2462, ""en"", ""fa"")
"),"تکنیک‌های استفاده از تأثیرگذاران رسانه‌های اجتماعی و مشارکت برند در کمپین‌های تبلیغاتی را بررسی کنید.")</f>
        <v>تکنیک‌های استفاده از تأثیرگذاران رسانه‌های اجتماعی و مشارکت برند در کمپین‌های تبلیغاتی را بررسی کنید.</v>
      </c>
      <c r="H2462" s="1"/>
      <c r="I2462" s="1"/>
      <c r="J2462" s="1"/>
      <c r="K2462" s="1"/>
      <c r="L2462" s="1"/>
      <c r="M2462" s="1"/>
      <c r="N2462" s="1"/>
      <c r="O2462" s="1"/>
      <c r="P2462" s="1"/>
      <c r="Q2462" s="1"/>
      <c r="R2462" s="1"/>
      <c r="S2462" s="1"/>
      <c r="T2462" s="1"/>
      <c r="U2462" s="1"/>
      <c r="V2462" s="1"/>
      <c r="W2462" s="1"/>
      <c r="X2462" s="1"/>
      <c r="Y2462" s="1"/>
      <c r="Z2462" s="1"/>
      <c r="AA2462" s="1"/>
      <c r="AB2462" s="1"/>
    </row>
    <row r="2463" ht="50.25" customHeight="1">
      <c r="A2463" s="12">
        <v>2459.0</v>
      </c>
      <c r="B2463" s="13" t="s">
        <v>2434</v>
      </c>
      <c r="C2463" s="14" t="s">
        <v>2476</v>
      </c>
      <c r="D2463" s="1"/>
      <c r="E2463" s="1"/>
      <c r="F2463" s="1" t="str">
        <f>IFERROR(__xludf.DUMMYFUNCTION("GOOGLETRANSLATE(B2463, ""en"", ""fa"")
"),"تبلیغات")</f>
        <v>تبلیغات</v>
      </c>
      <c r="G2463" s="1" t="str">
        <f>IFERROR(__xludf.DUMMYFUNCTION("GOOGLETRANSLATE(C2463, ""en"", ""fa"")
"),"در مورد مزایای استفاده از داستان سرایی احساسی در تبلیغات برای محصولات لوکس و پیشرفته بحث کنید.")</f>
        <v>در مورد مزایای استفاده از داستان سرایی احساسی در تبلیغات برای محصولات لوکس و پیشرفته بحث کنید.</v>
      </c>
      <c r="H2463" s="1"/>
      <c r="I2463" s="1"/>
      <c r="J2463" s="1"/>
      <c r="K2463" s="1"/>
      <c r="L2463" s="1"/>
      <c r="M2463" s="1"/>
      <c r="N2463" s="1"/>
      <c r="O2463" s="1"/>
      <c r="P2463" s="1"/>
      <c r="Q2463" s="1"/>
      <c r="R2463" s="1"/>
      <c r="S2463" s="1"/>
      <c r="T2463" s="1"/>
      <c r="U2463" s="1"/>
      <c r="V2463" s="1"/>
      <c r="W2463" s="1"/>
      <c r="X2463" s="1"/>
      <c r="Y2463" s="1"/>
      <c r="Z2463" s="1"/>
      <c r="AA2463" s="1"/>
      <c r="AB2463" s="1"/>
    </row>
    <row r="2464" ht="50.25" customHeight="1">
      <c r="A2464" s="12">
        <v>2460.0</v>
      </c>
      <c r="B2464" s="13" t="s">
        <v>2434</v>
      </c>
      <c r="C2464" s="14" t="s">
        <v>2477</v>
      </c>
      <c r="D2464" s="1"/>
      <c r="E2464" s="1"/>
      <c r="F2464" s="1" t="str">
        <f>IFERROR(__xludf.DUMMYFUNCTION("GOOGLETRANSLATE(B2464, ""en"", ""fa"")
"),"تبلیغات")</f>
        <v>تبلیغات</v>
      </c>
      <c r="G2464" s="1" t="str">
        <f>IFERROR(__xludf.DUMMYFUNCTION("GOOGLETRANSLATE(C2464, ""en"", ""fa"")
"),"استراتژی‌های ایجاد تبلیغات ویدیویی تاثیرگذار برای پلتفرم‌های جریان و وب‌سایت‌های اشتراک‌گذاری ویدیو را به اشتراک بگذارید.")</f>
        <v>استراتژی‌های ایجاد تبلیغات ویدیویی تاثیرگذار برای پلتفرم‌های جریان و وب‌سایت‌های اشتراک‌گذاری ویدیو را به اشتراک بگذارید.</v>
      </c>
      <c r="H2464" s="1"/>
      <c r="I2464" s="1"/>
      <c r="J2464" s="1"/>
      <c r="K2464" s="1"/>
      <c r="L2464" s="1"/>
      <c r="M2464" s="1"/>
      <c r="N2464" s="1"/>
      <c r="O2464" s="1"/>
      <c r="P2464" s="1"/>
      <c r="Q2464" s="1"/>
      <c r="R2464" s="1"/>
      <c r="S2464" s="1"/>
      <c r="T2464" s="1"/>
      <c r="U2464" s="1"/>
      <c r="V2464" s="1"/>
      <c r="W2464" s="1"/>
      <c r="X2464" s="1"/>
      <c r="Y2464" s="1"/>
      <c r="Z2464" s="1"/>
      <c r="AA2464" s="1"/>
      <c r="AB2464" s="1"/>
    </row>
    <row r="2465" ht="50.25" customHeight="1">
      <c r="A2465" s="12">
        <v>2461.0</v>
      </c>
      <c r="B2465" s="13" t="s">
        <v>2434</v>
      </c>
      <c r="C2465" s="14" t="s">
        <v>2478</v>
      </c>
      <c r="D2465" s="1"/>
      <c r="E2465" s="1"/>
      <c r="F2465" s="1" t="str">
        <f>IFERROR(__xludf.DUMMYFUNCTION("GOOGLETRANSLATE(B2465, ""en"", ""fa"")
"),"تبلیغات")</f>
        <v>تبلیغات</v>
      </c>
      <c r="G2465" s="1" t="str">
        <f>IFERROR(__xludf.DUMMYFUNCTION("GOOGLETRANSLATE(C2465, ""en"", ""fa"")
"),"در مورد اهمیت ترکیب اثبات اجتماعی و محتوای تولید شده توسط کاربر در تبلیغات برای محصولات تجارت الکترونیک بحث کنید.")</f>
        <v>در مورد اهمیت ترکیب اثبات اجتماعی و محتوای تولید شده توسط کاربر در تبلیغات برای محصولات تجارت الکترونیک بحث کنید.</v>
      </c>
      <c r="H2465" s="1"/>
      <c r="I2465" s="1"/>
      <c r="J2465" s="1"/>
      <c r="K2465" s="1"/>
      <c r="L2465" s="1"/>
      <c r="M2465" s="1"/>
      <c r="N2465" s="1"/>
      <c r="O2465" s="1"/>
      <c r="P2465" s="1"/>
      <c r="Q2465" s="1"/>
      <c r="R2465" s="1"/>
      <c r="S2465" s="1"/>
      <c r="T2465" s="1"/>
      <c r="U2465" s="1"/>
      <c r="V2465" s="1"/>
      <c r="W2465" s="1"/>
      <c r="X2465" s="1"/>
      <c r="Y2465" s="1"/>
      <c r="Z2465" s="1"/>
      <c r="AA2465" s="1"/>
      <c r="AB2465" s="1"/>
    </row>
    <row r="2466" ht="50.25" customHeight="1">
      <c r="A2466" s="12">
        <v>2462.0</v>
      </c>
      <c r="B2466" s="13" t="s">
        <v>2434</v>
      </c>
      <c r="C2466" s="14" t="s">
        <v>2479</v>
      </c>
      <c r="D2466" s="1"/>
      <c r="E2466" s="1"/>
      <c r="F2466" s="1" t="str">
        <f>IFERROR(__xludf.DUMMYFUNCTION("GOOGLETRANSLATE(B2466, ""en"", ""fa"")
"),"تبلیغات")</f>
        <v>تبلیغات</v>
      </c>
      <c r="G2466" s="1" t="str">
        <f>IFERROR(__xludf.DUMMYFUNCTION("GOOGLETRANSLATE(C2466, ""en"", ""fa"")
"),"نکاتی را برای ایجاد تبلیغات گواهی متقاعد کننده که تجربیات مثبت مشتریان راضی را برجسته می کند، به اشتراک بگذارید.")</f>
        <v>نکاتی را برای ایجاد تبلیغات گواهی متقاعد کننده که تجربیات مثبت مشتریان راضی را برجسته می کند، به اشتراک بگذارید.</v>
      </c>
      <c r="H2466" s="1"/>
      <c r="I2466" s="1"/>
      <c r="J2466" s="1"/>
      <c r="K2466" s="1"/>
      <c r="L2466" s="1"/>
      <c r="M2466" s="1"/>
      <c r="N2466" s="1"/>
      <c r="O2466" s="1"/>
      <c r="P2466" s="1"/>
      <c r="Q2466" s="1"/>
      <c r="R2466" s="1"/>
      <c r="S2466" s="1"/>
      <c r="T2466" s="1"/>
      <c r="U2466" s="1"/>
      <c r="V2466" s="1"/>
      <c r="W2466" s="1"/>
      <c r="X2466" s="1"/>
      <c r="Y2466" s="1"/>
      <c r="Z2466" s="1"/>
      <c r="AA2466" s="1"/>
      <c r="AB2466" s="1"/>
    </row>
    <row r="2467" ht="50.25" customHeight="1">
      <c r="A2467" s="12">
        <v>2463.0</v>
      </c>
      <c r="B2467" s="13" t="s">
        <v>2434</v>
      </c>
      <c r="C2467" s="14" t="s">
        <v>2480</v>
      </c>
      <c r="D2467" s="1"/>
      <c r="E2467" s="1"/>
      <c r="F2467" s="1" t="str">
        <f>IFERROR(__xludf.DUMMYFUNCTION("GOOGLETRANSLATE(B2467, ""en"", ""fa"")
"),"تبلیغات")</f>
        <v>تبلیغات</v>
      </c>
      <c r="G2467" s="1" t="str">
        <f>IFERROR(__xludf.DUMMYFUNCTION("GOOGLETRANSLATE(C2467, ""en"", ""fa"")
"),"روش های مختلف استفاده از محتوای تولید شده توسط اینفلوئنسرها در تبلیغات برندهای سلامت و تندرستی را بررسی کنید.")</f>
        <v>روش های مختلف استفاده از محتوای تولید شده توسط اینفلوئنسرها در تبلیغات برندهای سلامت و تندرستی را بررسی کنید.</v>
      </c>
      <c r="H2467" s="1"/>
      <c r="I2467" s="1"/>
      <c r="J2467" s="1"/>
      <c r="K2467" s="1"/>
      <c r="L2467" s="1"/>
      <c r="M2467" s="1"/>
      <c r="N2467" s="1"/>
      <c r="O2467" s="1"/>
      <c r="P2467" s="1"/>
      <c r="Q2467" s="1"/>
      <c r="R2467" s="1"/>
      <c r="S2467" s="1"/>
      <c r="T2467" s="1"/>
      <c r="U2467" s="1"/>
      <c r="V2467" s="1"/>
      <c r="W2467" s="1"/>
      <c r="X2467" s="1"/>
      <c r="Y2467" s="1"/>
      <c r="Z2467" s="1"/>
      <c r="AA2467" s="1"/>
      <c r="AB2467" s="1"/>
    </row>
    <row r="2468" ht="50.25" customHeight="1">
      <c r="A2468" s="12">
        <v>2464.0</v>
      </c>
      <c r="B2468" s="13" t="s">
        <v>2434</v>
      </c>
      <c r="C2468" s="14" t="s">
        <v>2481</v>
      </c>
      <c r="D2468" s="1"/>
      <c r="E2468" s="1"/>
      <c r="F2468" s="1" t="str">
        <f>IFERROR(__xludf.DUMMYFUNCTION("GOOGLETRANSLATE(B2468, ""en"", ""fa"")
"),"تبلیغات")</f>
        <v>تبلیغات</v>
      </c>
      <c r="G2468" s="1" t="str">
        <f>IFERROR(__xludf.DUMMYFUNCTION("GOOGLETRANSLATE(C2468, ""en"", ""fa"")
"),"در مورد مزایای استفاده از داستان سرایی احساسی در تبلیغات خودرو و محصولات مرتبط با خودرو بحث کنید.")</f>
        <v>در مورد مزایای استفاده از داستان سرایی احساسی در تبلیغات خودرو و محصولات مرتبط با خودرو بحث کنید.</v>
      </c>
      <c r="H2468" s="1"/>
      <c r="I2468" s="1"/>
      <c r="J2468" s="1"/>
      <c r="K2468" s="1"/>
      <c r="L2468" s="1"/>
      <c r="M2468" s="1"/>
      <c r="N2468" s="1"/>
      <c r="O2468" s="1"/>
      <c r="P2468" s="1"/>
      <c r="Q2468" s="1"/>
      <c r="R2468" s="1"/>
      <c r="S2468" s="1"/>
      <c r="T2468" s="1"/>
      <c r="U2468" s="1"/>
      <c r="V2468" s="1"/>
      <c r="W2468" s="1"/>
      <c r="X2468" s="1"/>
      <c r="Y2468" s="1"/>
      <c r="Z2468" s="1"/>
      <c r="AA2468" s="1"/>
      <c r="AB2468" s="1"/>
    </row>
    <row r="2469" ht="50.25" customHeight="1">
      <c r="A2469" s="12">
        <v>2465.0</v>
      </c>
      <c r="B2469" s="13" t="s">
        <v>2434</v>
      </c>
      <c r="C2469" s="14" t="s">
        <v>2482</v>
      </c>
      <c r="D2469" s="1"/>
      <c r="E2469" s="1"/>
      <c r="F2469" s="1" t="str">
        <f>IFERROR(__xludf.DUMMYFUNCTION("GOOGLETRANSLATE(B2469, ""en"", ""fa"")
"),"تبلیغات")</f>
        <v>تبلیغات</v>
      </c>
      <c r="G2469" s="1" t="str">
        <f>IFERROR(__xludf.DUMMYFUNCTION("GOOGLETRANSLATE(C2469, ""en"", ""fa"")
"),"استراتژی هایی را برای ایجاد تبلیغات رادیویی تاثیرگذار که پیام برند را از طریق صدا به طور مؤثر منتقل می کند، به اشتراک بگذارید.")</f>
        <v>استراتژی هایی را برای ایجاد تبلیغات رادیویی تاثیرگذار که پیام برند را از طریق صدا به طور مؤثر منتقل می کند، به اشتراک بگذارید.</v>
      </c>
      <c r="H2469" s="1"/>
      <c r="I2469" s="1"/>
      <c r="J2469" s="1"/>
      <c r="K2469" s="1"/>
      <c r="L2469" s="1"/>
      <c r="M2469" s="1"/>
      <c r="N2469" s="1"/>
      <c r="O2469" s="1"/>
      <c r="P2469" s="1"/>
      <c r="Q2469" s="1"/>
      <c r="R2469" s="1"/>
      <c r="S2469" s="1"/>
      <c r="T2469" s="1"/>
      <c r="U2469" s="1"/>
      <c r="V2469" s="1"/>
      <c r="W2469" s="1"/>
      <c r="X2469" s="1"/>
      <c r="Y2469" s="1"/>
      <c r="Z2469" s="1"/>
      <c r="AA2469" s="1"/>
      <c r="AB2469" s="1"/>
    </row>
    <row r="2470" ht="50.25" customHeight="1">
      <c r="A2470" s="12">
        <v>2466.0</v>
      </c>
      <c r="B2470" s="13" t="s">
        <v>2434</v>
      </c>
      <c r="C2470" s="14" t="s">
        <v>2483</v>
      </c>
      <c r="D2470" s="1"/>
      <c r="E2470" s="1"/>
      <c r="F2470" s="1" t="str">
        <f>IFERROR(__xludf.DUMMYFUNCTION("GOOGLETRANSLATE(B2470, ""en"", ""fa"")
"),"تبلیغات")</f>
        <v>تبلیغات</v>
      </c>
      <c r="G2470" s="1" t="str">
        <f>IFERROR(__xludf.DUMMYFUNCTION("GOOGLETRANSLATE(C2470, ""en"", ""fa"")
"),"تکنیک های استفاده از طنز و خلاقیت در تبلیغات برندهای غذا و نوشیدنی را بررسی کنید.")</f>
        <v>تکنیک های استفاده از طنز و خلاقیت در تبلیغات برندهای غذا و نوشیدنی را بررسی کنید.</v>
      </c>
      <c r="H2470" s="1"/>
      <c r="I2470" s="1"/>
      <c r="J2470" s="1"/>
      <c r="K2470" s="1"/>
      <c r="L2470" s="1"/>
      <c r="M2470" s="1"/>
      <c r="N2470" s="1"/>
      <c r="O2470" s="1"/>
      <c r="P2470" s="1"/>
      <c r="Q2470" s="1"/>
      <c r="R2470" s="1"/>
      <c r="S2470" s="1"/>
      <c r="T2470" s="1"/>
      <c r="U2470" s="1"/>
      <c r="V2470" s="1"/>
      <c r="W2470" s="1"/>
      <c r="X2470" s="1"/>
      <c r="Y2470" s="1"/>
      <c r="Z2470" s="1"/>
      <c r="AA2470" s="1"/>
      <c r="AB2470" s="1"/>
    </row>
    <row r="2471" ht="50.25" customHeight="1">
      <c r="A2471" s="12">
        <v>2467.0</v>
      </c>
      <c r="B2471" s="13" t="s">
        <v>2434</v>
      </c>
      <c r="C2471" s="14" t="s">
        <v>2484</v>
      </c>
      <c r="D2471" s="1"/>
      <c r="E2471" s="1"/>
      <c r="F2471" s="1" t="str">
        <f>IFERROR(__xludf.DUMMYFUNCTION("GOOGLETRANSLATE(B2471, ""en"", ""fa"")
"),"تبلیغات")</f>
        <v>تبلیغات</v>
      </c>
      <c r="G2471" s="1" t="str">
        <f>IFERROR(__xludf.DUMMYFUNCTION("GOOGLETRANSLATE(C2471, ""en"", ""fa"")
"),"در مورد اهمیت ترکیب تصاویر آرمانی و سبک زندگی در تبلیغات برای کمپین های مسافرتی و گردشگری بحث کنید.")</f>
        <v>در مورد اهمیت ترکیب تصاویر آرمانی و سبک زندگی در تبلیغات برای کمپین های مسافرتی و گردشگری بحث کنید.</v>
      </c>
      <c r="H2471" s="1"/>
      <c r="I2471" s="1"/>
      <c r="J2471" s="1"/>
      <c r="K2471" s="1"/>
      <c r="L2471" s="1"/>
      <c r="M2471" s="1"/>
      <c r="N2471" s="1"/>
      <c r="O2471" s="1"/>
      <c r="P2471" s="1"/>
      <c r="Q2471" s="1"/>
      <c r="R2471" s="1"/>
      <c r="S2471" s="1"/>
      <c r="T2471" s="1"/>
      <c r="U2471" s="1"/>
      <c r="V2471" s="1"/>
      <c r="W2471" s="1"/>
      <c r="X2471" s="1"/>
      <c r="Y2471" s="1"/>
      <c r="Z2471" s="1"/>
      <c r="AA2471" s="1"/>
      <c r="AB2471" s="1"/>
    </row>
    <row r="2472" ht="50.25" customHeight="1">
      <c r="A2472" s="12">
        <v>2468.0</v>
      </c>
      <c r="B2472" s="13" t="s">
        <v>2434</v>
      </c>
      <c r="C2472" s="14" t="s">
        <v>2485</v>
      </c>
      <c r="D2472" s="1"/>
      <c r="E2472" s="1"/>
      <c r="F2472" s="1" t="str">
        <f>IFERROR(__xludf.DUMMYFUNCTION("GOOGLETRANSLATE(B2472, ""en"", ""fa"")
"),"تبلیغات")</f>
        <v>تبلیغات</v>
      </c>
      <c r="G2472" s="1" t="str">
        <f>IFERROR(__xludf.DUMMYFUNCTION("GOOGLETRANSLATE(C2472, ""en"", ""fa"")
"),"نکاتی را برای ایجاد تبلیغات چاپی متقاعدکننده که توجه را جلب می کند و پیام برند را به طور موثر ارائه می دهد، به اشتراک بگذارید.")</f>
        <v>نکاتی را برای ایجاد تبلیغات چاپی متقاعدکننده که توجه را جلب می کند و پیام برند را به طور موثر ارائه می دهد، به اشتراک بگذارید.</v>
      </c>
      <c r="H2472" s="1"/>
      <c r="I2472" s="1"/>
      <c r="J2472" s="1"/>
      <c r="K2472" s="1"/>
      <c r="L2472" s="1"/>
      <c r="M2472" s="1"/>
      <c r="N2472" s="1"/>
      <c r="O2472" s="1"/>
      <c r="P2472" s="1"/>
      <c r="Q2472" s="1"/>
      <c r="R2472" s="1"/>
      <c r="S2472" s="1"/>
      <c r="T2472" s="1"/>
      <c r="U2472" s="1"/>
      <c r="V2472" s="1"/>
      <c r="W2472" s="1"/>
      <c r="X2472" s="1"/>
      <c r="Y2472" s="1"/>
      <c r="Z2472" s="1"/>
      <c r="AA2472" s="1"/>
      <c r="AB2472" s="1"/>
    </row>
    <row r="2473" ht="50.25" customHeight="1">
      <c r="A2473" s="12">
        <v>2469.0</v>
      </c>
      <c r="B2473" s="13" t="s">
        <v>2434</v>
      </c>
      <c r="C2473" s="14" t="s">
        <v>2486</v>
      </c>
      <c r="D2473" s="1"/>
      <c r="E2473" s="1"/>
      <c r="F2473" s="1" t="str">
        <f>IFERROR(__xludf.DUMMYFUNCTION("GOOGLETRANSLATE(B2473, ""en"", ""fa"")
"),"تبلیغات")</f>
        <v>تبلیغات</v>
      </c>
      <c r="G2473" s="1" t="str">
        <f>IFERROR(__xludf.DUMMYFUNCTION("GOOGLETRANSLATE(C2473, ""en"", ""fa"")
"),"روش‌های مختلف برای استفاده از بینش‌های مبتنی بر داده برای هدف‌یابی و شخصی‌سازی پیام‌های تبلیغاتی را بررسی کنید.")</f>
        <v>روش‌های مختلف برای استفاده از بینش‌های مبتنی بر داده برای هدف‌یابی و شخصی‌سازی پیام‌های تبلیغاتی را بررسی کنید.</v>
      </c>
      <c r="H2473" s="1"/>
      <c r="I2473" s="1"/>
      <c r="J2473" s="1"/>
      <c r="K2473" s="1"/>
      <c r="L2473" s="1"/>
      <c r="M2473" s="1"/>
      <c r="N2473" s="1"/>
      <c r="O2473" s="1"/>
      <c r="P2473" s="1"/>
      <c r="Q2473" s="1"/>
      <c r="R2473" s="1"/>
      <c r="S2473" s="1"/>
      <c r="T2473" s="1"/>
      <c r="U2473" s="1"/>
      <c r="V2473" s="1"/>
      <c r="W2473" s="1"/>
      <c r="X2473" s="1"/>
      <c r="Y2473" s="1"/>
      <c r="Z2473" s="1"/>
      <c r="AA2473" s="1"/>
      <c r="AB2473" s="1"/>
    </row>
    <row r="2474" ht="50.25" customHeight="1">
      <c r="A2474" s="12">
        <v>2470.0</v>
      </c>
      <c r="B2474" s="13" t="s">
        <v>2434</v>
      </c>
      <c r="C2474" s="14" t="s">
        <v>2487</v>
      </c>
      <c r="D2474" s="1"/>
      <c r="E2474" s="1"/>
      <c r="F2474" s="1" t="str">
        <f>IFERROR(__xludf.DUMMYFUNCTION("GOOGLETRANSLATE(B2474, ""en"", ""fa"")
"),"تبلیغات")</f>
        <v>تبلیغات</v>
      </c>
      <c r="G2474" s="1" t="str">
        <f>IFERROR(__xludf.DUMMYFUNCTION("GOOGLETRANSLATE(C2474, ""en"", ""fa"")
"),"در مورد مزایای استفاده از جذابیت های احساسی و داستان سرایی در تبلیغات برای محصولات خانه و سبک زندگی بحث کنید.")</f>
        <v>در مورد مزایای استفاده از جذابیت های احساسی و داستان سرایی در تبلیغات برای محصولات خانه و سبک زندگی بحث کنید.</v>
      </c>
      <c r="H2474" s="1"/>
      <c r="I2474" s="1"/>
      <c r="J2474" s="1"/>
      <c r="K2474" s="1"/>
      <c r="L2474" s="1"/>
      <c r="M2474" s="1"/>
      <c r="N2474" s="1"/>
      <c r="O2474" s="1"/>
      <c r="P2474" s="1"/>
      <c r="Q2474" s="1"/>
      <c r="R2474" s="1"/>
      <c r="S2474" s="1"/>
      <c r="T2474" s="1"/>
      <c r="U2474" s="1"/>
      <c r="V2474" s="1"/>
      <c r="W2474" s="1"/>
      <c r="X2474" s="1"/>
      <c r="Y2474" s="1"/>
      <c r="Z2474" s="1"/>
      <c r="AA2474" s="1"/>
      <c r="AB2474" s="1"/>
    </row>
    <row r="2475" ht="50.25" customHeight="1">
      <c r="A2475" s="12">
        <v>2471.0</v>
      </c>
      <c r="B2475" s="13" t="s">
        <v>2434</v>
      </c>
      <c r="C2475" s="14" t="s">
        <v>2488</v>
      </c>
      <c r="D2475" s="1"/>
      <c r="E2475" s="1"/>
      <c r="F2475" s="1" t="str">
        <f>IFERROR(__xludf.DUMMYFUNCTION("GOOGLETRANSLATE(B2475, ""en"", ""fa"")
"),"تبلیغات")</f>
        <v>تبلیغات</v>
      </c>
      <c r="G2475" s="1" t="str">
        <f>IFERROR(__xludf.DUMMYFUNCTION("GOOGLETRANSLATE(C2475, ""en"", ""fa"")
"),"استراتژی هایی را برای ایجاد کمپین های تاثیرگذار بازاریابی تأثیرگذار که با مخاطبان هدف طنین انداز می شود، به اشتراک بگذارید.")</f>
        <v>استراتژی هایی را برای ایجاد کمپین های تاثیرگذار بازاریابی تأثیرگذار که با مخاطبان هدف طنین انداز می شود، به اشتراک بگذارید.</v>
      </c>
      <c r="H2475" s="1"/>
      <c r="I2475" s="1"/>
      <c r="J2475" s="1"/>
      <c r="K2475" s="1"/>
      <c r="L2475" s="1"/>
      <c r="M2475" s="1"/>
      <c r="N2475" s="1"/>
      <c r="O2475" s="1"/>
      <c r="P2475" s="1"/>
      <c r="Q2475" s="1"/>
      <c r="R2475" s="1"/>
      <c r="S2475" s="1"/>
      <c r="T2475" s="1"/>
      <c r="U2475" s="1"/>
      <c r="V2475" s="1"/>
      <c r="W2475" s="1"/>
      <c r="X2475" s="1"/>
      <c r="Y2475" s="1"/>
      <c r="Z2475" s="1"/>
      <c r="AA2475" s="1"/>
      <c r="AB2475" s="1"/>
    </row>
    <row r="2476" ht="50.25" customHeight="1">
      <c r="A2476" s="12">
        <v>2472.0</v>
      </c>
      <c r="B2476" s="13" t="s">
        <v>2434</v>
      </c>
      <c r="C2476" s="14" t="s">
        <v>2489</v>
      </c>
      <c r="D2476" s="1"/>
      <c r="E2476" s="1"/>
      <c r="F2476" s="1" t="str">
        <f>IFERROR(__xludf.DUMMYFUNCTION("GOOGLETRANSLATE(B2476, ""en"", ""fa"")
"),"تبلیغات")</f>
        <v>تبلیغات</v>
      </c>
      <c r="G2476" s="1" t="str">
        <f>IFERROR(__xludf.DUMMYFUNCTION("GOOGLETRANSLATE(C2476, ""en"", ""fa"")
"),"تکنیک های استفاده از عناصر تعاملی و گیمیفیکیشن در تبلیغات دیجیتال را برای افزایش تعامل کاوش کنید.")</f>
        <v>تکنیک های استفاده از عناصر تعاملی و گیمیفیکیشن در تبلیغات دیجیتال را برای افزایش تعامل کاوش کنید.</v>
      </c>
      <c r="H2476" s="1"/>
      <c r="I2476" s="1"/>
      <c r="J2476" s="1"/>
      <c r="K2476" s="1"/>
      <c r="L2476" s="1"/>
      <c r="M2476" s="1"/>
      <c r="N2476" s="1"/>
      <c r="O2476" s="1"/>
      <c r="P2476" s="1"/>
      <c r="Q2476" s="1"/>
      <c r="R2476" s="1"/>
      <c r="S2476" s="1"/>
      <c r="T2476" s="1"/>
      <c r="U2476" s="1"/>
      <c r="V2476" s="1"/>
      <c r="W2476" s="1"/>
      <c r="X2476" s="1"/>
      <c r="Y2476" s="1"/>
      <c r="Z2476" s="1"/>
      <c r="AA2476" s="1"/>
      <c r="AB2476" s="1"/>
    </row>
    <row r="2477" ht="50.25" customHeight="1">
      <c r="A2477" s="12">
        <v>2473.0</v>
      </c>
      <c r="B2477" s="13" t="s">
        <v>2434</v>
      </c>
      <c r="C2477" s="14" t="s">
        <v>2490</v>
      </c>
      <c r="D2477" s="1"/>
      <c r="E2477" s="1"/>
      <c r="F2477" s="1" t="str">
        <f>IFERROR(__xludf.DUMMYFUNCTION("GOOGLETRANSLATE(B2477, ""en"", ""fa"")
"),"تبلیغات")</f>
        <v>تبلیغات</v>
      </c>
      <c r="G2477" s="1" t="str">
        <f>IFERROR(__xludf.DUMMYFUNCTION("GOOGLETRANSLATE(C2477, ""en"", ""fa"")
"),"در مورد اهمیت ترکیب محتوای تولید شده توسط کاربر در تبلیغات برای برندهای لوازم الکترونیکی مصرفی بحث کنید.")</f>
        <v>در مورد اهمیت ترکیب محتوای تولید شده توسط کاربر در تبلیغات برای برندهای لوازم الکترونیکی مصرفی بحث کنید.</v>
      </c>
      <c r="H2477" s="1"/>
      <c r="I2477" s="1"/>
      <c r="J2477" s="1"/>
      <c r="K2477" s="1"/>
      <c r="L2477" s="1"/>
      <c r="M2477" s="1"/>
      <c r="N2477" s="1"/>
      <c r="O2477" s="1"/>
      <c r="P2477" s="1"/>
      <c r="Q2477" s="1"/>
      <c r="R2477" s="1"/>
      <c r="S2477" s="1"/>
      <c r="T2477" s="1"/>
      <c r="U2477" s="1"/>
      <c r="V2477" s="1"/>
      <c r="W2477" s="1"/>
      <c r="X2477" s="1"/>
      <c r="Y2477" s="1"/>
      <c r="Z2477" s="1"/>
      <c r="AA2477" s="1"/>
      <c r="AB2477" s="1"/>
    </row>
    <row r="2478" ht="50.25" customHeight="1">
      <c r="A2478" s="12">
        <v>2474.0</v>
      </c>
      <c r="B2478" s="13" t="s">
        <v>2434</v>
      </c>
      <c r="C2478" s="14" t="s">
        <v>2491</v>
      </c>
      <c r="D2478" s="1"/>
      <c r="E2478" s="1"/>
      <c r="F2478" s="1" t="str">
        <f>IFERROR(__xludf.DUMMYFUNCTION("GOOGLETRANSLATE(B2478, ""en"", ""fa"")
"),"تبلیغات")</f>
        <v>تبلیغات</v>
      </c>
      <c r="G2478" s="1" t="str">
        <f>IFERROR(__xludf.DUMMYFUNCTION("GOOGLETRANSLATE(C2478, ""en"", ""fa"")
"),"نکاتی را برای ایجاد تبلیغات بیلبورد متقاعد کننده که تأثیر بگذارد و تأثیر ماندگاری به جا بگذارد، به اشتراک بگذارید.")</f>
        <v>نکاتی را برای ایجاد تبلیغات بیلبورد متقاعد کننده که تأثیر بگذارد و تأثیر ماندگاری به جا بگذارد، به اشتراک بگذارید.</v>
      </c>
      <c r="H2478" s="1"/>
      <c r="I2478" s="1"/>
      <c r="J2478" s="1"/>
      <c r="K2478" s="1"/>
      <c r="L2478" s="1"/>
      <c r="M2478" s="1"/>
      <c r="N2478" s="1"/>
      <c r="O2478" s="1"/>
      <c r="P2478" s="1"/>
      <c r="Q2478" s="1"/>
      <c r="R2478" s="1"/>
      <c r="S2478" s="1"/>
      <c r="T2478" s="1"/>
      <c r="U2478" s="1"/>
      <c r="V2478" s="1"/>
      <c r="W2478" s="1"/>
      <c r="X2478" s="1"/>
      <c r="Y2478" s="1"/>
      <c r="Z2478" s="1"/>
      <c r="AA2478" s="1"/>
      <c r="AB2478" s="1"/>
    </row>
    <row r="2479" ht="50.25" customHeight="1">
      <c r="A2479" s="12">
        <v>2475.0</v>
      </c>
      <c r="B2479" s="13" t="s">
        <v>2434</v>
      </c>
      <c r="C2479" s="14" t="s">
        <v>2492</v>
      </c>
      <c r="D2479" s="1"/>
      <c r="E2479" s="1"/>
      <c r="F2479" s="1" t="str">
        <f>IFERROR(__xludf.DUMMYFUNCTION("GOOGLETRANSLATE(B2479, ""en"", ""fa"")
"),"تبلیغات")</f>
        <v>تبلیغات</v>
      </c>
      <c r="G2479" s="1" t="str">
        <f>IFERROR(__xludf.DUMMYFUNCTION("GOOGLETRANSLATE(C2479, ""en"", ""fa"")
"),"روش های مختلف برای استفاده از تبلیغات پویا و شخصی شده بر اساس رفتار و ترجیحات کاربر را بررسی کنید.")</f>
        <v>روش های مختلف برای استفاده از تبلیغات پویا و شخصی شده بر اساس رفتار و ترجیحات کاربر را بررسی کنید.</v>
      </c>
      <c r="H2479" s="1"/>
      <c r="I2479" s="1"/>
      <c r="J2479" s="1"/>
      <c r="K2479" s="1"/>
      <c r="L2479" s="1"/>
      <c r="M2479" s="1"/>
      <c r="N2479" s="1"/>
      <c r="O2479" s="1"/>
      <c r="P2479" s="1"/>
      <c r="Q2479" s="1"/>
      <c r="R2479" s="1"/>
      <c r="S2479" s="1"/>
      <c r="T2479" s="1"/>
      <c r="U2479" s="1"/>
      <c r="V2479" s="1"/>
      <c r="W2479" s="1"/>
      <c r="X2479" s="1"/>
      <c r="Y2479" s="1"/>
      <c r="Z2479" s="1"/>
      <c r="AA2479" s="1"/>
      <c r="AB2479" s="1"/>
    </row>
    <row r="2480" ht="50.25" customHeight="1">
      <c r="A2480" s="12">
        <v>2476.0</v>
      </c>
      <c r="B2480" s="13" t="s">
        <v>2434</v>
      </c>
      <c r="C2480" s="14" t="s">
        <v>2493</v>
      </c>
      <c r="D2480" s="1"/>
      <c r="E2480" s="1"/>
      <c r="F2480" s="1" t="str">
        <f>IFERROR(__xludf.DUMMYFUNCTION("GOOGLETRANSLATE(B2480, ""en"", ""fa"")
"),"تبلیغات")</f>
        <v>تبلیغات</v>
      </c>
      <c r="G2480" s="1" t="str">
        <f>IFERROR(__xludf.DUMMYFUNCTION("GOOGLETRANSLATE(C2480, ""en"", ""fa"")
"),"در مورد مزایای استفاده از داستان سرایی احساسی در تبلیغات برای محصولات و خدمات مرتبط با حیوانات خانگی بحث کنید.")</f>
        <v>در مورد مزایای استفاده از داستان سرایی احساسی در تبلیغات برای محصولات و خدمات مرتبط با حیوانات خانگی بحث کنید.</v>
      </c>
      <c r="H2480" s="1"/>
      <c r="I2480" s="1"/>
      <c r="J2480" s="1"/>
      <c r="K2480" s="1"/>
      <c r="L2480" s="1"/>
      <c r="M2480" s="1"/>
      <c r="N2480" s="1"/>
      <c r="O2480" s="1"/>
      <c r="P2480" s="1"/>
      <c r="Q2480" s="1"/>
      <c r="R2480" s="1"/>
      <c r="S2480" s="1"/>
      <c r="T2480" s="1"/>
      <c r="U2480" s="1"/>
      <c r="V2480" s="1"/>
      <c r="W2480" s="1"/>
      <c r="X2480" s="1"/>
      <c r="Y2480" s="1"/>
      <c r="Z2480" s="1"/>
      <c r="AA2480" s="1"/>
      <c r="AB2480" s="1"/>
    </row>
    <row r="2481" ht="50.25" customHeight="1">
      <c r="A2481" s="12">
        <v>2477.0</v>
      </c>
      <c r="B2481" s="13" t="s">
        <v>2434</v>
      </c>
      <c r="C2481" s="14" t="s">
        <v>2494</v>
      </c>
      <c r="D2481" s="1"/>
      <c r="E2481" s="1"/>
      <c r="F2481" s="1" t="str">
        <f>IFERROR(__xludf.DUMMYFUNCTION("GOOGLETRANSLATE(B2481, ""en"", ""fa"")
"),"تبلیغات")</f>
        <v>تبلیغات</v>
      </c>
      <c r="G2481" s="1" t="str">
        <f>IFERROR(__xludf.DUMMYFUNCTION("GOOGLETRANSLATE(C2481, ""en"", ""fa"")
"),"استراتژی هایی برای ایجاد تبلیغات تاثیرگذار در فضای باز که توجه رهگذران را جلب می کند را به اشتراک بگذارید.")</f>
        <v>استراتژی هایی برای ایجاد تبلیغات تاثیرگذار در فضای باز که توجه رهگذران را جلب می کند را به اشتراک بگذارید.</v>
      </c>
      <c r="H2481" s="1"/>
      <c r="I2481" s="1"/>
      <c r="J2481" s="1"/>
      <c r="K2481" s="1"/>
      <c r="L2481" s="1"/>
      <c r="M2481" s="1"/>
      <c r="N2481" s="1"/>
      <c r="O2481" s="1"/>
      <c r="P2481" s="1"/>
      <c r="Q2481" s="1"/>
      <c r="R2481" s="1"/>
      <c r="S2481" s="1"/>
      <c r="T2481" s="1"/>
      <c r="U2481" s="1"/>
      <c r="V2481" s="1"/>
      <c r="W2481" s="1"/>
      <c r="X2481" s="1"/>
      <c r="Y2481" s="1"/>
      <c r="Z2481" s="1"/>
      <c r="AA2481" s="1"/>
      <c r="AB2481" s="1"/>
    </row>
    <row r="2482" ht="50.25" customHeight="1">
      <c r="A2482" s="12">
        <v>2478.0</v>
      </c>
      <c r="B2482" s="13" t="s">
        <v>2434</v>
      </c>
      <c r="C2482" s="14" t="s">
        <v>2495</v>
      </c>
      <c r="D2482" s="1"/>
      <c r="E2482" s="1"/>
      <c r="F2482" s="1" t="str">
        <f>IFERROR(__xludf.DUMMYFUNCTION("GOOGLETRANSLATE(B2482, ""en"", ""fa"")
"),"تبلیغات")</f>
        <v>تبلیغات</v>
      </c>
      <c r="G2482" s="1" t="str">
        <f>IFERROR(__xludf.DUMMYFUNCTION("GOOGLETRANSLATE(C2482, ""en"", ""fa"")
"),"تکنیک های استفاده از شوخ طبعی و شوخ طبعی در تبلیغات خدمات و محصولات مالی را بررسی کنید.")</f>
        <v>تکنیک های استفاده از شوخ طبعی و شوخ طبعی در تبلیغات خدمات و محصولات مالی را بررسی کنید.</v>
      </c>
      <c r="H2482" s="1"/>
      <c r="I2482" s="1"/>
      <c r="J2482" s="1"/>
      <c r="K2482" s="1"/>
      <c r="L2482" s="1"/>
      <c r="M2482" s="1"/>
      <c r="N2482" s="1"/>
      <c r="O2482" s="1"/>
      <c r="P2482" s="1"/>
      <c r="Q2482" s="1"/>
      <c r="R2482" s="1"/>
      <c r="S2482" s="1"/>
      <c r="T2482" s="1"/>
      <c r="U2482" s="1"/>
      <c r="V2482" s="1"/>
      <c r="W2482" s="1"/>
      <c r="X2482" s="1"/>
      <c r="Y2482" s="1"/>
      <c r="Z2482" s="1"/>
      <c r="AA2482" s="1"/>
      <c r="AB2482" s="1"/>
    </row>
    <row r="2483" ht="50.25" customHeight="1">
      <c r="A2483" s="12">
        <v>2479.0</v>
      </c>
      <c r="B2483" s="13" t="s">
        <v>2434</v>
      </c>
      <c r="C2483" s="14" t="s">
        <v>2496</v>
      </c>
      <c r="D2483" s="1"/>
      <c r="E2483" s="1"/>
      <c r="F2483" s="1" t="str">
        <f>IFERROR(__xludf.DUMMYFUNCTION("GOOGLETRANSLATE(B2483, ""en"", ""fa"")
"),"تبلیغات")</f>
        <v>تبلیغات</v>
      </c>
      <c r="G2483" s="1" t="str">
        <f>IFERROR(__xludf.DUMMYFUNCTION("GOOGLETRANSLATE(C2483, ""en"", ""fa"")
"),"در مورد اهمیت گنجاندن پلتفرم های تبلیغاتی رسانه های اجتماعی در کمپین های تبلیغاتی هدفمند و شخصی شده بحث کنید.")</f>
        <v>در مورد اهمیت گنجاندن پلتفرم های تبلیغاتی رسانه های اجتماعی در کمپین های تبلیغاتی هدفمند و شخصی شده بحث کنید.</v>
      </c>
      <c r="H2483" s="1"/>
      <c r="I2483" s="1"/>
      <c r="J2483" s="1"/>
      <c r="K2483" s="1"/>
      <c r="L2483" s="1"/>
      <c r="M2483" s="1"/>
      <c r="N2483" s="1"/>
      <c r="O2483" s="1"/>
      <c r="P2483" s="1"/>
      <c r="Q2483" s="1"/>
      <c r="R2483" s="1"/>
      <c r="S2483" s="1"/>
      <c r="T2483" s="1"/>
      <c r="U2483" s="1"/>
      <c r="V2483" s="1"/>
      <c r="W2483" s="1"/>
      <c r="X2483" s="1"/>
      <c r="Y2483" s="1"/>
      <c r="Z2483" s="1"/>
      <c r="AA2483" s="1"/>
      <c r="AB2483" s="1"/>
    </row>
    <row r="2484" ht="50.25" customHeight="1">
      <c r="A2484" s="12">
        <v>2480.0</v>
      </c>
      <c r="B2484" s="13" t="s">
        <v>2434</v>
      </c>
      <c r="C2484" s="14" t="s">
        <v>2497</v>
      </c>
      <c r="D2484" s="1"/>
      <c r="E2484" s="1"/>
      <c r="F2484" s="1" t="str">
        <f>IFERROR(__xludf.DUMMYFUNCTION("GOOGLETRANSLATE(B2484, ""en"", ""fa"")
"),"تبلیغات")</f>
        <v>تبلیغات</v>
      </c>
      <c r="G2484" s="1" t="str">
        <f>IFERROR(__xludf.DUMMYFUNCTION("GOOGLETRANSLATE(C2484, ""en"", ""fa"")
"),"نکاتی را برای ایجاد تبلیغات بنری دیجیتال متقاعدکننده که باعث افزایش کلیک و تبدیل می شود، به اشتراک بگذارید.")</f>
        <v>نکاتی را برای ایجاد تبلیغات بنری دیجیتال متقاعدکننده که باعث افزایش کلیک و تبدیل می شود، به اشتراک بگذارید.</v>
      </c>
      <c r="H2484" s="1"/>
      <c r="I2484" s="1"/>
      <c r="J2484" s="1"/>
      <c r="K2484" s="1"/>
      <c r="L2484" s="1"/>
      <c r="M2484" s="1"/>
      <c r="N2484" s="1"/>
      <c r="O2484" s="1"/>
      <c r="P2484" s="1"/>
      <c r="Q2484" s="1"/>
      <c r="R2484" s="1"/>
      <c r="S2484" s="1"/>
      <c r="T2484" s="1"/>
      <c r="U2484" s="1"/>
      <c r="V2484" s="1"/>
      <c r="W2484" s="1"/>
      <c r="X2484" s="1"/>
      <c r="Y2484" s="1"/>
      <c r="Z2484" s="1"/>
      <c r="AA2484" s="1"/>
      <c r="AB2484" s="1"/>
    </row>
    <row r="2485" ht="50.25" customHeight="1">
      <c r="A2485" s="12">
        <v>2481.0</v>
      </c>
      <c r="B2485" s="13" t="s">
        <v>2434</v>
      </c>
      <c r="C2485" s="14" t="s">
        <v>2498</v>
      </c>
      <c r="D2485" s="1"/>
      <c r="E2485" s="1"/>
      <c r="F2485" s="1" t="str">
        <f>IFERROR(__xludf.DUMMYFUNCTION("GOOGLETRANSLATE(B2485, ""en"", ""fa"")
"),"تبلیغات")</f>
        <v>تبلیغات</v>
      </c>
      <c r="G2485" s="1" t="str">
        <f>IFERROR(__xludf.DUMMYFUNCTION("GOOGLETRANSLATE(C2485, ""en"", ""fa"")
"),"روش های مختلف استفاده از محتوای تولید شده توسط اینفلوئنسرها در تبلیغات برندهای زیبایی و مراقبت از پوست را بررسی کنید.")</f>
        <v>روش های مختلف استفاده از محتوای تولید شده توسط اینفلوئنسرها در تبلیغات برندهای زیبایی و مراقبت از پوست را بررسی کنید.</v>
      </c>
      <c r="H2485" s="1"/>
      <c r="I2485" s="1"/>
      <c r="J2485" s="1"/>
      <c r="K2485" s="1"/>
      <c r="L2485" s="1"/>
      <c r="M2485" s="1"/>
      <c r="N2485" s="1"/>
      <c r="O2485" s="1"/>
      <c r="P2485" s="1"/>
      <c r="Q2485" s="1"/>
      <c r="R2485" s="1"/>
      <c r="S2485" s="1"/>
      <c r="T2485" s="1"/>
      <c r="U2485" s="1"/>
      <c r="V2485" s="1"/>
      <c r="W2485" s="1"/>
      <c r="X2485" s="1"/>
      <c r="Y2485" s="1"/>
      <c r="Z2485" s="1"/>
      <c r="AA2485" s="1"/>
      <c r="AB2485" s="1"/>
    </row>
    <row r="2486" ht="50.25" customHeight="1">
      <c r="A2486" s="12">
        <v>2482.0</v>
      </c>
      <c r="B2486" s="13" t="s">
        <v>2434</v>
      </c>
      <c r="C2486" s="14" t="s">
        <v>2499</v>
      </c>
      <c r="D2486" s="1"/>
      <c r="E2486" s="1"/>
      <c r="F2486" s="1" t="str">
        <f>IFERROR(__xludf.DUMMYFUNCTION("GOOGLETRANSLATE(B2486, ""en"", ""fa"")
"),"تبلیغات")</f>
        <v>تبلیغات</v>
      </c>
      <c r="G2486" s="1" t="str">
        <f>IFERROR(__xludf.DUMMYFUNCTION("GOOGLETRANSLATE(C2486, ""en"", ""fa"")
"),"در مورد مزایای استفاده از جذابیت های احساسی و داستان سرایی در تبلیغات برای محصولات توسعه شخصی بحث کنید.")</f>
        <v>در مورد مزایای استفاده از جذابیت های احساسی و داستان سرایی در تبلیغات برای محصولات توسعه شخصی بحث کنید.</v>
      </c>
      <c r="H2486" s="1"/>
      <c r="I2486" s="1"/>
      <c r="J2486" s="1"/>
      <c r="K2486" s="1"/>
      <c r="L2486" s="1"/>
      <c r="M2486" s="1"/>
      <c r="N2486" s="1"/>
      <c r="O2486" s="1"/>
      <c r="P2486" s="1"/>
      <c r="Q2486" s="1"/>
      <c r="R2486" s="1"/>
      <c r="S2486" s="1"/>
      <c r="T2486" s="1"/>
      <c r="U2486" s="1"/>
      <c r="V2486" s="1"/>
      <c r="W2486" s="1"/>
      <c r="X2486" s="1"/>
      <c r="Y2486" s="1"/>
      <c r="Z2486" s="1"/>
      <c r="AA2486" s="1"/>
      <c r="AB2486" s="1"/>
    </row>
    <row r="2487" ht="50.25" customHeight="1">
      <c r="A2487" s="12">
        <v>2483.0</v>
      </c>
      <c r="B2487" s="13" t="s">
        <v>2434</v>
      </c>
      <c r="C2487" s="14" t="s">
        <v>2500</v>
      </c>
      <c r="D2487" s="1"/>
      <c r="E2487" s="1"/>
      <c r="F2487" s="1" t="str">
        <f>IFERROR(__xludf.DUMMYFUNCTION("GOOGLETRANSLATE(B2487, ""en"", ""fa"")
"),"تبلیغات")</f>
        <v>تبلیغات</v>
      </c>
      <c r="G2487" s="1" t="str">
        <f>IFERROR(__xludf.DUMMYFUNCTION("GOOGLETRANSLATE(C2487, ""en"", ""fa"")
"),"استراتژی هایی را برای ایجاد کمپین های تبلیغاتی تاثیرگذار مرتبط با علت که با مسائل اجتماعی و زیست محیطی همسو هستند را به اشتراک بگذارید.")</f>
        <v>استراتژی هایی را برای ایجاد کمپین های تبلیغاتی تاثیرگذار مرتبط با علت که با مسائل اجتماعی و زیست محیطی همسو هستند را به اشتراک بگذارید.</v>
      </c>
      <c r="H2487" s="1"/>
      <c r="I2487" s="1"/>
      <c r="J2487" s="1"/>
      <c r="K2487" s="1"/>
      <c r="L2487" s="1"/>
      <c r="M2487" s="1"/>
      <c r="N2487" s="1"/>
      <c r="O2487" s="1"/>
      <c r="P2487" s="1"/>
      <c r="Q2487" s="1"/>
      <c r="R2487" s="1"/>
      <c r="S2487" s="1"/>
      <c r="T2487" s="1"/>
      <c r="U2487" s="1"/>
      <c r="V2487" s="1"/>
      <c r="W2487" s="1"/>
      <c r="X2487" s="1"/>
      <c r="Y2487" s="1"/>
      <c r="Z2487" s="1"/>
      <c r="AA2487" s="1"/>
      <c r="AB2487" s="1"/>
    </row>
    <row r="2488" ht="50.25" customHeight="1">
      <c r="A2488" s="12">
        <v>2484.0</v>
      </c>
      <c r="B2488" s="13" t="s">
        <v>2434</v>
      </c>
      <c r="C2488" s="14" t="s">
        <v>2501</v>
      </c>
      <c r="D2488" s="1"/>
      <c r="E2488" s="1"/>
      <c r="F2488" s="1" t="str">
        <f>IFERROR(__xludf.DUMMYFUNCTION("GOOGLETRANSLATE(B2488, ""en"", ""fa"")
"),"تبلیغات")</f>
        <v>تبلیغات</v>
      </c>
      <c r="G2488" s="1" t="str">
        <f>IFERROR(__xludf.DUMMYFUNCTION("GOOGLETRANSLATE(C2488, ""en"", ""fa"")
"),"تکنیک های استفاده از جذابیت های احساسی و داستان سرایی در تبلیغات سیاسی برای ارتباط با رای دهندگان را بررسی کنید.")</f>
        <v>تکنیک های استفاده از جذابیت های احساسی و داستان سرایی در تبلیغات سیاسی برای ارتباط با رای دهندگان را بررسی کنید.</v>
      </c>
      <c r="H2488" s="1"/>
      <c r="I2488" s="1"/>
      <c r="J2488" s="1"/>
      <c r="K2488" s="1"/>
      <c r="L2488" s="1"/>
      <c r="M2488" s="1"/>
      <c r="N2488" s="1"/>
      <c r="O2488" s="1"/>
      <c r="P2488" s="1"/>
      <c r="Q2488" s="1"/>
      <c r="R2488" s="1"/>
      <c r="S2488" s="1"/>
      <c r="T2488" s="1"/>
      <c r="U2488" s="1"/>
      <c r="V2488" s="1"/>
      <c r="W2488" s="1"/>
      <c r="X2488" s="1"/>
      <c r="Y2488" s="1"/>
      <c r="Z2488" s="1"/>
      <c r="AA2488" s="1"/>
      <c r="AB2488" s="1"/>
    </row>
    <row r="2489" ht="50.25" customHeight="1">
      <c r="A2489" s="12">
        <v>2485.0</v>
      </c>
      <c r="B2489" s="13" t="s">
        <v>2434</v>
      </c>
      <c r="C2489" s="14" t="s">
        <v>2502</v>
      </c>
      <c r="D2489" s="1"/>
      <c r="E2489" s="1"/>
      <c r="F2489" s="1" t="str">
        <f>IFERROR(__xludf.DUMMYFUNCTION("GOOGLETRANSLATE(B2489, ""en"", ""fa"")
"),"تبلیغات")</f>
        <v>تبلیغات</v>
      </c>
      <c r="G2489" s="1" t="str">
        <f>IFERROR(__xludf.DUMMYFUNCTION("GOOGLETRANSLATE(C2489, ""en"", ""fa"")
"),"در مورد اهمیت گنجاندن تنوع و فراگیری در تبلیغات برای طنین انداز شدن با مخاطبان گسترده تر بحث کنید.")</f>
        <v>در مورد اهمیت گنجاندن تنوع و فراگیری در تبلیغات برای طنین انداز شدن با مخاطبان گسترده تر بحث کنید.</v>
      </c>
      <c r="H2489" s="1"/>
      <c r="I2489" s="1"/>
      <c r="J2489" s="1"/>
      <c r="K2489" s="1"/>
      <c r="L2489" s="1"/>
      <c r="M2489" s="1"/>
      <c r="N2489" s="1"/>
      <c r="O2489" s="1"/>
      <c r="P2489" s="1"/>
      <c r="Q2489" s="1"/>
      <c r="R2489" s="1"/>
      <c r="S2489" s="1"/>
      <c r="T2489" s="1"/>
      <c r="U2489" s="1"/>
      <c r="V2489" s="1"/>
      <c r="W2489" s="1"/>
      <c r="X2489" s="1"/>
      <c r="Y2489" s="1"/>
      <c r="Z2489" s="1"/>
      <c r="AA2489" s="1"/>
      <c r="AB2489" s="1"/>
    </row>
    <row r="2490" ht="50.25" customHeight="1">
      <c r="A2490" s="12">
        <v>2486.0</v>
      </c>
      <c r="B2490" s="13" t="s">
        <v>2434</v>
      </c>
      <c r="C2490" s="14" t="s">
        <v>2503</v>
      </c>
      <c r="D2490" s="1"/>
      <c r="E2490" s="1"/>
      <c r="F2490" s="1" t="str">
        <f>IFERROR(__xludf.DUMMYFUNCTION("GOOGLETRANSLATE(B2490, ""en"", ""fa"")
"),"تبلیغات")</f>
        <v>تبلیغات</v>
      </c>
      <c r="G2490" s="1" t="str">
        <f>IFERROR(__xludf.DUMMYFUNCTION("GOOGLETRANSLATE(C2490, ""en"", ""fa"")
"),"نکاتی را برای گنجاندن روندهای رسانه های اجتماعی و محتوای ویروسی در تبلیغات برای ایجاد هجوم و دسترسی ارگانیک به اشتراک بگذارید.")</f>
        <v>نکاتی را برای گنجاندن روندهای رسانه های اجتماعی و محتوای ویروسی در تبلیغات برای ایجاد هجوم و دسترسی ارگانیک به اشتراک بگذارید.</v>
      </c>
      <c r="H2490" s="1"/>
      <c r="I2490" s="1"/>
      <c r="J2490" s="1"/>
      <c r="K2490" s="1"/>
      <c r="L2490" s="1"/>
      <c r="M2490" s="1"/>
      <c r="N2490" s="1"/>
      <c r="O2490" s="1"/>
      <c r="P2490" s="1"/>
      <c r="Q2490" s="1"/>
      <c r="R2490" s="1"/>
      <c r="S2490" s="1"/>
      <c r="T2490" s="1"/>
      <c r="U2490" s="1"/>
      <c r="V2490" s="1"/>
      <c r="W2490" s="1"/>
      <c r="X2490" s="1"/>
      <c r="Y2490" s="1"/>
      <c r="Z2490" s="1"/>
      <c r="AA2490" s="1"/>
      <c r="AB2490" s="1"/>
    </row>
    <row r="2491" ht="50.25" customHeight="1">
      <c r="A2491" s="12">
        <v>2487.0</v>
      </c>
      <c r="B2491" s="13" t="s">
        <v>2434</v>
      </c>
      <c r="C2491" s="14" t="s">
        <v>2504</v>
      </c>
      <c r="D2491" s="1"/>
      <c r="E2491" s="1"/>
      <c r="F2491" s="1" t="str">
        <f>IFERROR(__xludf.DUMMYFUNCTION("GOOGLETRANSLATE(B2491, ""en"", ""fa"")
"),"تبلیغات")</f>
        <v>تبلیغات</v>
      </c>
      <c r="G2491" s="1" t="str">
        <f>IFERROR(__xludf.DUMMYFUNCTION("GOOGLETRANSLATE(C2491, ""en"", ""fa"")
"),"در مورد مزایای استفاده از داستان گویی احساسی در تبلیغات برای محصولات دکوراسیون منزل و طراحی داخلی بحث کنید.")</f>
        <v>در مورد مزایای استفاده از داستان گویی احساسی در تبلیغات برای محصولات دکوراسیون منزل و طراحی داخلی بحث کنید.</v>
      </c>
      <c r="H2491" s="1"/>
      <c r="I2491" s="1"/>
      <c r="J2491" s="1"/>
      <c r="K2491" s="1"/>
      <c r="L2491" s="1"/>
      <c r="M2491" s="1"/>
      <c r="N2491" s="1"/>
      <c r="O2491" s="1"/>
      <c r="P2491" s="1"/>
      <c r="Q2491" s="1"/>
      <c r="R2491" s="1"/>
      <c r="S2491" s="1"/>
      <c r="T2491" s="1"/>
      <c r="U2491" s="1"/>
      <c r="V2491" s="1"/>
      <c r="W2491" s="1"/>
      <c r="X2491" s="1"/>
      <c r="Y2491" s="1"/>
      <c r="Z2491" s="1"/>
      <c r="AA2491" s="1"/>
      <c r="AB2491" s="1"/>
    </row>
    <row r="2492" ht="50.25" customHeight="1">
      <c r="A2492" s="12">
        <v>2488.0</v>
      </c>
      <c r="B2492" s="13" t="s">
        <v>2434</v>
      </c>
      <c r="C2492" s="14" t="s">
        <v>2505</v>
      </c>
      <c r="D2492" s="1"/>
      <c r="E2492" s="1"/>
      <c r="F2492" s="1" t="str">
        <f>IFERROR(__xludf.DUMMYFUNCTION("GOOGLETRANSLATE(B2492, ""en"", ""fa"")
"),"تبلیغات")</f>
        <v>تبلیغات</v>
      </c>
      <c r="G2492" s="1" t="str">
        <f>IFERROR(__xludf.DUMMYFUNCTION("GOOGLETRANSLATE(C2492, ""en"", ""fa"")
"),"استراتژی های ایجاد کمپین های تبلیغاتی تاثیرگذار برای مشاغل محلی و مناطق جغرافیایی هدف را به اشتراک بگذارید.")</f>
        <v>استراتژی های ایجاد کمپین های تبلیغاتی تاثیرگذار برای مشاغل محلی و مناطق جغرافیایی هدف را به اشتراک بگذارید.</v>
      </c>
      <c r="H2492" s="1"/>
      <c r="I2492" s="1"/>
      <c r="J2492" s="1"/>
      <c r="K2492" s="1"/>
      <c r="L2492" s="1"/>
      <c r="M2492" s="1"/>
      <c r="N2492" s="1"/>
      <c r="O2492" s="1"/>
      <c r="P2492" s="1"/>
      <c r="Q2492" s="1"/>
      <c r="R2492" s="1"/>
      <c r="S2492" s="1"/>
      <c r="T2492" s="1"/>
      <c r="U2492" s="1"/>
      <c r="V2492" s="1"/>
      <c r="W2492" s="1"/>
      <c r="X2492" s="1"/>
      <c r="Y2492" s="1"/>
      <c r="Z2492" s="1"/>
      <c r="AA2492" s="1"/>
      <c r="AB2492" s="1"/>
    </row>
    <row r="2493" ht="50.25" customHeight="1">
      <c r="A2493" s="12">
        <v>2489.0</v>
      </c>
      <c r="B2493" s="13" t="s">
        <v>2434</v>
      </c>
      <c r="C2493" s="14" t="s">
        <v>2506</v>
      </c>
      <c r="D2493" s="1"/>
      <c r="E2493" s="1"/>
      <c r="F2493" s="1" t="str">
        <f>IFERROR(__xludf.DUMMYFUNCTION("GOOGLETRANSLATE(B2493, ""en"", ""fa"")
"),"تبلیغات")</f>
        <v>تبلیغات</v>
      </c>
      <c r="G2493" s="1" t="str">
        <f>IFERROR(__xludf.DUMMYFUNCTION("GOOGLETRANSLATE(C2493, ""en"", ""fa"")
"),"تکنیک‌های استفاده از تبلیغات پویا و شخصی‌شده بر اساس ترجیحات کاربر و رفتار مرور را بررسی کنید.")</f>
        <v>تکنیک‌های استفاده از تبلیغات پویا و شخصی‌شده بر اساس ترجیحات کاربر و رفتار مرور را بررسی کنید.</v>
      </c>
      <c r="H2493" s="1"/>
      <c r="I2493" s="1"/>
      <c r="J2493" s="1"/>
      <c r="K2493" s="1"/>
      <c r="L2493" s="1"/>
      <c r="M2493" s="1"/>
      <c r="N2493" s="1"/>
      <c r="O2493" s="1"/>
      <c r="P2493" s="1"/>
      <c r="Q2493" s="1"/>
      <c r="R2493" s="1"/>
      <c r="S2493" s="1"/>
      <c r="T2493" s="1"/>
      <c r="U2493" s="1"/>
      <c r="V2493" s="1"/>
      <c r="W2493" s="1"/>
      <c r="X2493" s="1"/>
      <c r="Y2493" s="1"/>
      <c r="Z2493" s="1"/>
      <c r="AA2493" s="1"/>
      <c r="AB2493" s="1"/>
    </row>
    <row r="2494" ht="50.25" customHeight="1">
      <c r="A2494" s="12">
        <v>2490.0</v>
      </c>
      <c r="B2494" s="13" t="s">
        <v>2434</v>
      </c>
      <c r="C2494" s="14" t="s">
        <v>2507</v>
      </c>
      <c r="D2494" s="1"/>
      <c r="E2494" s="1"/>
      <c r="F2494" s="1" t="str">
        <f>IFERROR(__xludf.DUMMYFUNCTION("GOOGLETRANSLATE(B2494, ""en"", ""fa"")
"),"تبلیغات")</f>
        <v>تبلیغات</v>
      </c>
      <c r="G2494" s="1" t="str">
        <f>IFERROR(__xludf.DUMMYFUNCTION("GOOGLETRANSLATE(C2494, ""en"", ""fa"")
"),"در مورد اهمیت درک ارزش ها و آرزوهای مخاطب هدف در تبلیغات بحث کنید.")</f>
        <v>در مورد اهمیت درک ارزش ها و آرزوهای مخاطب هدف در تبلیغات بحث کنید.</v>
      </c>
      <c r="H2494" s="1"/>
      <c r="I2494" s="1"/>
      <c r="J2494" s="1"/>
      <c r="K2494" s="1"/>
      <c r="L2494" s="1"/>
      <c r="M2494" s="1"/>
      <c r="N2494" s="1"/>
      <c r="O2494" s="1"/>
      <c r="P2494" s="1"/>
      <c r="Q2494" s="1"/>
      <c r="R2494" s="1"/>
      <c r="S2494" s="1"/>
      <c r="T2494" s="1"/>
      <c r="U2494" s="1"/>
      <c r="V2494" s="1"/>
      <c r="W2494" s="1"/>
      <c r="X2494" s="1"/>
      <c r="Y2494" s="1"/>
      <c r="Z2494" s="1"/>
      <c r="AA2494" s="1"/>
      <c r="AB2494" s="1"/>
    </row>
    <row r="2495" ht="50.25" customHeight="1">
      <c r="A2495" s="12">
        <v>2491.0</v>
      </c>
      <c r="B2495" s="13" t="s">
        <v>2434</v>
      </c>
      <c r="C2495" s="14" t="s">
        <v>2508</v>
      </c>
      <c r="D2495" s="1"/>
      <c r="E2495" s="1"/>
      <c r="F2495" s="1" t="str">
        <f>IFERROR(__xludf.DUMMYFUNCTION("GOOGLETRANSLATE(B2495, ""en"", ""fa"")
"),"تبلیغات")</f>
        <v>تبلیغات</v>
      </c>
      <c r="G2495" s="1" t="str">
        <f>IFERROR(__xludf.DUMMYFUNCTION("GOOGLETRANSLATE(C2495, ""en"", ""fa"")
"),"نکاتی را برای گنجاندن توصیفات و داستان های موفقیت در تبلیغات برای خدمات حرفه ای به اشتراک بگذارید.")</f>
        <v>نکاتی را برای گنجاندن توصیفات و داستان های موفقیت در تبلیغات برای خدمات حرفه ای به اشتراک بگذارید.</v>
      </c>
      <c r="H2495" s="1"/>
      <c r="I2495" s="1"/>
      <c r="J2495" s="1"/>
      <c r="K2495" s="1"/>
      <c r="L2495" s="1"/>
      <c r="M2495" s="1"/>
      <c r="N2495" s="1"/>
      <c r="O2495" s="1"/>
      <c r="P2495" s="1"/>
      <c r="Q2495" s="1"/>
      <c r="R2495" s="1"/>
      <c r="S2495" s="1"/>
      <c r="T2495" s="1"/>
      <c r="U2495" s="1"/>
      <c r="V2495" s="1"/>
      <c r="W2495" s="1"/>
      <c r="X2495" s="1"/>
      <c r="Y2495" s="1"/>
      <c r="Z2495" s="1"/>
      <c r="AA2495" s="1"/>
      <c r="AB2495" s="1"/>
    </row>
    <row r="2496" ht="50.25" customHeight="1">
      <c r="A2496" s="12">
        <v>2492.0</v>
      </c>
      <c r="B2496" s="13" t="s">
        <v>2434</v>
      </c>
      <c r="C2496" s="14" t="s">
        <v>2509</v>
      </c>
      <c r="D2496" s="1"/>
      <c r="E2496" s="1"/>
      <c r="F2496" s="1" t="str">
        <f>IFERROR(__xludf.DUMMYFUNCTION("GOOGLETRANSLATE(B2496, ""en"", ""fa"")
"),"تبلیغات")</f>
        <v>تبلیغات</v>
      </c>
      <c r="G2496" s="1" t="str">
        <f>IFERROR(__xludf.DUMMYFUNCTION("GOOGLETRANSLATE(C2496, ""en"", ""fa"")
"),"روش‌های مختلف برای استفاده از هدف‌گیری مجدد تبلیغات رسانه‌های اجتماعی برای دستیابی به مخاطبان درگیر و بهبود نرخ تبدیل را بررسی کنید.")</f>
        <v>روش‌های مختلف برای استفاده از هدف‌گیری مجدد تبلیغات رسانه‌های اجتماعی برای دستیابی به مخاطبان درگیر و بهبود نرخ تبدیل را بررسی کنید.</v>
      </c>
      <c r="H2496" s="1"/>
      <c r="I2496" s="1"/>
      <c r="J2496" s="1"/>
      <c r="K2496" s="1"/>
      <c r="L2496" s="1"/>
      <c r="M2496" s="1"/>
      <c r="N2496" s="1"/>
      <c r="O2496" s="1"/>
      <c r="P2496" s="1"/>
      <c r="Q2496" s="1"/>
      <c r="R2496" s="1"/>
      <c r="S2496" s="1"/>
      <c r="T2496" s="1"/>
      <c r="U2496" s="1"/>
      <c r="V2496" s="1"/>
      <c r="W2496" s="1"/>
      <c r="X2496" s="1"/>
      <c r="Y2496" s="1"/>
      <c r="Z2496" s="1"/>
      <c r="AA2496" s="1"/>
      <c r="AB2496" s="1"/>
    </row>
    <row r="2497" ht="50.25" customHeight="1">
      <c r="A2497" s="12">
        <v>2493.0</v>
      </c>
      <c r="B2497" s="13" t="s">
        <v>2434</v>
      </c>
      <c r="C2497" s="14" t="s">
        <v>2510</v>
      </c>
      <c r="D2497" s="1"/>
      <c r="E2497" s="1"/>
      <c r="F2497" s="1" t="str">
        <f>IFERROR(__xludf.DUMMYFUNCTION("GOOGLETRANSLATE(B2497, ""en"", ""fa"")
"),"تبلیغات")</f>
        <v>تبلیغات</v>
      </c>
      <c r="G2497" s="1" t="str">
        <f>IFERROR(__xludf.DUMMYFUNCTION("GOOGLETRANSLATE(C2497, ""en"", ""fa"")
"),"در مورد مزایای استفاده از محتوای تولید شده توسط اینفلوئنسرها در تبلیغات برای برندهای تناسب اندام و سلامتی صحبت کنید.")</f>
        <v>در مورد مزایای استفاده از محتوای تولید شده توسط اینفلوئنسرها در تبلیغات برای برندهای تناسب اندام و سلامتی صحبت کنید.</v>
      </c>
      <c r="H2497" s="1"/>
      <c r="I2497" s="1"/>
      <c r="J2497" s="1"/>
      <c r="K2497" s="1"/>
      <c r="L2497" s="1"/>
      <c r="M2497" s="1"/>
      <c r="N2497" s="1"/>
      <c r="O2497" s="1"/>
      <c r="P2497" s="1"/>
      <c r="Q2497" s="1"/>
      <c r="R2497" s="1"/>
      <c r="S2497" s="1"/>
      <c r="T2497" s="1"/>
      <c r="U2497" s="1"/>
      <c r="V2497" s="1"/>
      <c r="W2497" s="1"/>
      <c r="X2497" s="1"/>
      <c r="Y2497" s="1"/>
      <c r="Z2497" s="1"/>
      <c r="AA2497" s="1"/>
      <c r="AB2497" s="1"/>
    </row>
    <row r="2498" ht="50.25" customHeight="1">
      <c r="A2498" s="12">
        <v>2494.0</v>
      </c>
      <c r="B2498" s="13" t="s">
        <v>2434</v>
      </c>
      <c r="C2498" s="14" t="s">
        <v>2511</v>
      </c>
      <c r="D2498" s="1"/>
      <c r="E2498" s="1"/>
      <c r="F2498" s="1" t="str">
        <f>IFERROR(__xludf.DUMMYFUNCTION("GOOGLETRANSLATE(B2498, ""en"", ""fa"")
"),"تبلیغات")</f>
        <v>تبلیغات</v>
      </c>
      <c r="G2498" s="1" t="str">
        <f>IFERROR(__xludf.DUMMYFUNCTION("GOOGLETRANSLATE(C2498, ""en"", ""fa"")
"),"استراتژی هایی برای ایجاد تبلیغات داستان سرایی تاثیرگذار برای محصولات فناوری و ابزارک به اشتراک بگذارید.")</f>
        <v>استراتژی هایی برای ایجاد تبلیغات داستان سرایی تاثیرگذار برای محصولات فناوری و ابزارک به اشتراک بگذارید.</v>
      </c>
      <c r="H2498" s="1"/>
      <c r="I2498" s="1"/>
      <c r="J2498" s="1"/>
      <c r="K2498" s="1"/>
      <c r="L2498" s="1"/>
      <c r="M2498" s="1"/>
      <c r="N2498" s="1"/>
      <c r="O2498" s="1"/>
      <c r="P2498" s="1"/>
      <c r="Q2498" s="1"/>
      <c r="R2498" s="1"/>
      <c r="S2498" s="1"/>
      <c r="T2498" s="1"/>
      <c r="U2498" s="1"/>
      <c r="V2498" s="1"/>
      <c r="W2498" s="1"/>
      <c r="X2498" s="1"/>
      <c r="Y2498" s="1"/>
      <c r="Z2498" s="1"/>
      <c r="AA2498" s="1"/>
      <c r="AB2498" s="1"/>
    </row>
    <row r="2499" ht="50.25" customHeight="1">
      <c r="A2499" s="12">
        <v>2495.0</v>
      </c>
      <c r="B2499" s="13" t="s">
        <v>2434</v>
      </c>
      <c r="C2499" s="14" t="s">
        <v>2512</v>
      </c>
      <c r="D2499" s="1"/>
      <c r="E2499" s="1"/>
      <c r="F2499" s="1" t="str">
        <f>IFERROR(__xludf.DUMMYFUNCTION("GOOGLETRANSLATE(B2499, ""en"", ""fa"")
"),"تبلیغات")</f>
        <v>تبلیغات</v>
      </c>
      <c r="G2499" s="1" t="str">
        <f>IFERROR(__xludf.DUMMYFUNCTION("GOOGLETRANSLATE(C2499, ""en"", ""fa"")
"),"تکنیک های استفاده از جذابیت های احساسی و داستان سرایی در تبلیغات برای خدمات آموزشی را بررسی کنید.")</f>
        <v>تکنیک های استفاده از جذابیت های احساسی و داستان سرایی در تبلیغات برای خدمات آموزشی را بررسی کنید.</v>
      </c>
      <c r="H2499" s="1"/>
      <c r="I2499" s="1"/>
      <c r="J2499" s="1"/>
      <c r="K2499" s="1"/>
      <c r="L2499" s="1"/>
      <c r="M2499" s="1"/>
      <c r="N2499" s="1"/>
      <c r="O2499" s="1"/>
      <c r="P2499" s="1"/>
      <c r="Q2499" s="1"/>
      <c r="R2499" s="1"/>
      <c r="S2499" s="1"/>
      <c r="T2499" s="1"/>
      <c r="U2499" s="1"/>
      <c r="V2499" s="1"/>
      <c r="W2499" s="1"/>
      <c r="X2499" s="1"/>
      <c r="Y2499" s="1"/>
      <c r="Z2499" s="1"/>
      <c r="AA2499" s="1"/>
      <c r="AB2499" s="1"/>
    </row>
    <row r="2500" ht="50.25" customHeight="1">
      <c r="A2500" s="12">
        <v>2496.0</v>
      </c>
      <c r="B2500" s="13" t="s">
        <v>2434</v>
      </c>
      <c r="C2500" s="14" t="s">
        <v>2513</v>
      </c>
      <c r="D2500" s="1"/>
      <c r="E2500" s="1"/>
      <c r="F2500" s="1" t="str">
        <f>IFERROR(__xludf.DUMMYFUNCTION("GOOGLETRANSLATE(B2500, ""en"", ""fa"")
"),"تبلیغات")</f>
        <v>تبلیغات</v>
      </c>
      <c r="G2500" s="1" t="str">
        <f>IFERROR(__xludf.DUMMYFUNCTION("GOOGLETRANSLATE(C2500, ""en"", ""fa"")
"),"درباره اهمیت گنجاندن اصالت و شفافیت در تبلیغات برای برندهای پایدار و دوستدار محیط زیست بحث کنید.")</f>
        <v>درباره اهمیت گنجاندن اصالت و شفافیت در تبلیغات برای برندهای پایدار و دوستدار محیط زیست بحث کنید.</v>
      </c>
      <c r="H2500" s="1"/>
      <c r="I2500" s="1"/>
      <c r="J2500" s="1"/>
      <c r="K2500" s="1"/>
      <c r="L2500" s="1"/>
      <c r="M2500" s="1"/>
      <c r="N2500" s="1"/>
      <c r="O2500" s="1"/>
      <c r="P2500" s="1"/>
      <c r="Q2500" s="1"/>
      <c r="R2500" s="1"/>
      <c r="S2500" s="1"/>
      <c r="T2500" s="1"/>
      <c r="U2500" s="1"/>
      <c r="V2500" s="1"/>
      <c r="W2500" s="1"/>
      <c r="X2500" s="1"/>
      <c r="Y2500" s="1"/>
      <c r="Z2500" s="1"/>
      <c r="AA2500" s="1"/>
      <c r="AB2500" s="1"/>
    </row>
    <row r="2501" ht="50.25" customHeight="1">
      <c r="A2501" s="12">
        <v>2497.0</v>
      </c>
      <c r="B2501" s="13" t="s">
        <v>2434</v>
      </c>
      <c r="C2501" s="14" t="s">
        <v>2514</v>
      </c>
      <c r="D2501" s="1"/>
      <c r="E2501" s="1"/>
      <c r="F2501" s="1" t="str">
        <f>IFERROR(__xludf.DUMMYFUNCTION("GOOGLETRANSLATE(B2501, ""en"", ""fa"")
"),"تبلیغات")</f>
        <v>تبلیغات</v>
      </c>
      <c r="G2501" s="1" t="str">
        <f>IFERROR(__xludf.DUMMYFUNCTION("GOOGLETRANSLATE(C2501, ""en"", ""fa"")
"),"نکاتی را برای ایجاد تبلیغات گواهی متقاعد کننده که تجربیات واقعی مشتری را به نمایش می گذارد، به اشتراک بگذارید.")</f>
        <v>نکاتی را برای ایجاد تبلیغات گواهی متقاعد کننده که تجربیات واقعی مشتری را به نمایش می گذارد، به اشتراک بگذارید.</v>
      </c>
      <c r="H2501" s="1"/>
      <c r="I2501" s="1"/>
      <c r="J2501" s="1"/>
      <c r="K2501" s="1"/>
      <c r="L2501" s="1"/>
      <c r="M2501" s="1"/>
      <c r="N2501" s="1"/>
      <c r="O2501" s="1"/>
      <c r="P2501" s="1"/>
      <c r="Q2501" s="1"/>
      <c r="R2501" s="1"/>
      <c r="S2501" s="1"/>
      <c r="T2501" s="1"/>
      <c r="U2501" s="1"/>
      <c r="V2501" s="1"/>
      <c r="W2501" s="1"/>
      <c r="X2501" s="1"/>
      <c r="Y2501" s="1"/>
      <c r="Z2501" s="1"/>
      <c r="AA2501" s="1"/>
      <c r="AB2501" s="1"/>
    </row>
    <row r="2502" ht="50.25" customHeight="1">
      <c r="A2502" s="12">
        <v>2498.0</v>
      </c>
      <c r="B2502" s="13" t="s">
        <v>2434</v>
      </c>
      <c r="C2502" s="14" t="s">
        <v>2515</v>
      </c>
      <c r="D2502" s="1"/>
      <c r="E2502" s="1"/>
      <c r="F2502" s="1" t="str">
        <f>IFERROR(__xludf.DUMMYFUNCTION("GOOGLETRANSLATE(B2502, ""en"", ""fa"")
"),"تبلیغات")</f>
        <v>تبلیغات</v>
      </c>
      <c r="G2502" s="1" t="str">
        <f>IFERROR(__xludf.DUMMYFUNCTION("GOOGLETRANSLATE(C2502, ""en"", ""fa"")
"),"روش های مختلف برای استفاده از محتوای تولید شده توسط اینفلوئنسرها در تبلیغات برندهای غذا و نوشیدنی را بررسی کنید.")</f>
        <v>روش های مختلف برای استفاده از محتوای تولید شده توسط اینفلوئنسرها در تبلیغات برندهای غذا و نوشیدنی را بررسی کنید.</v>
      </c>
      <c r="H2502" s="1"/>
      <c r="I2502" s="1"/>
      <c r="J2502" s="1"/>
      <c r="K2502" s="1"/>
      <c r="L2502" s="1"/>
      <c r="M2502" s="1"/>
      <c r="N2502" s="1"/>
      <c r="O2502" s="1"/>
      <c r="P2502" s="1"/>
      <c r="Q2502" s="1"/>
      <c r="R2502" s="1"/>
      <c r="S2502" s="1"/>
      <c r="T2502" s="1"/>
      <c r="U2502" s="1"/>
      <c r="V2502" s="1"/>
      <c r="W2502" s="1"/>
      <c r="X2502" s="1"/>
      <c r="Y2502" s="1"/>
      <c r="Z2502" s="1"/>
      <c r="AA2502" s="1"/>
      <c r="AB2502" s="1"/>
    </row>
    <row r="2503" ht="50.25" customHeight="1">
      <c r="A2503" s="12">
        <v>2499.0</v>
      </c>
      <c r="B2503" s="13" t="s">
        <v>2434</v>
      </c>
      <c r="C2503" s="14" t="s">
        <v>2516</v>
      </c>
      <c r="D2503" s="1"/>
      <c r="E2503" s="1"/>
      <c r="F2503" s="1" t="str">
        <f>IFERROR(__xludf.DUMMYFUNCTION("GOOGLETRANSLATE(B2503, ""en"", ""fa"")
"),"تبلیغات")</f>
        <v>تبلیغات</v>
      </c>
      <c r="G2503" s="1" t="str">
        <f>IFERROR(__xludf.DUMMYFUNCTION("GOOGLETRANSLATE(C2503, ""en"", ""fa"")
"),"در مورد مزایای استفاده از داستان سرایی احساسی در تبلیغات برای مقاصد سفر و گردشگری بحث کنید.")</f>
        <v>در مورد مزایای استفاده از داستان سرایی احساسی در تبلیغات برای مقاصد سفر و گردشگری بحث کنید.</v>
      </c>
      <c r="H2503" s="1"/>
      <c r="I2503" s="1"/>
      <c r="J2503" s="1"/>
      <c r="K2503" s="1"/>
      <c r="L2503" s="1"/>
      <c r="M2503" s="1"/>
      <c r="N2503" s="1"/>
      <c r="O2503" s="1"/>
      <c r="P2503" s="1"/>
      <c r="Q2503" s="1"/>
      <c r="R2503" s="1"/>
      <c r="S2503" s="1"/>
      <c r="T2503" s="1"/>
      <c r="U2503" s="1"/>
      <c r="V2503" s="1"/>
      <c r="W2503" s="1"/>
      <c r="X2503" s="1"/>
      <c r="Y2503" s="1"/>
      <c r="Z2503" s="1"/>
      <c r="AA2503" s="1"/>
      <c r="AB2503" s="1"/>
    </row>
    <row r="2504" ht="50.25" customHeight="1">
      <c r="A2504" s="12">
        <v>2500.0</v>
      </c>
      <c r="B2504" s="13" t="s">
        <v>2434</v>
      </c>
      <c r="C2504" s="14" t="s">
        <v>2517</v>
      </c>
      <c r="D2504" s="1"/>
      <c r="E2504" s="1"/>
      <c r="F2504" s="1" t="str">
        <f>IFERROR(__xludf.DUMMYFUNCTION("GOOGLETRANSLATE(B2504, ""en"", ""fa"")
"),"تبلیغات")</f>
        <v>تبلیغات</v>
      </c>
      <c r="G2504" s="1" t="str">
        <f>IFERROR(__xludf.DUMMYFUNCTION("GOOGLETRANSLATE(C2504, ""en"", ""fa"")
"),"استراتژی های ایجاد تبلیغات ویدیویی تاثیرگذار برای پلتفرم های رسانه های اجتماعی را به اشتراک بگذارید.")</f>
        <v>استراتژی های ایجاد تبلیغات ویدیویی تاثیرگذار برای پلتفرم های رسانه های اجتماعی را به اشتراک بگذارید.</v>
      </c>
      <c r="H2504" s="1"/>
      <c r="I2504" s="1"/>
      <c r="J2504" s="1"/>
      <c r="K2504" s="1"/>
      <c r="L2504" s="1"/>
      <c r="M2504" s="1"/>
      <c r="N2504" s="1"/>
      <c r="O2504" s="1"/>
      <c r="P2504" s="1"/>
      <c r="Q2504" s="1"/>
      <c r="R2504" s="1"/>
      <c r="S2504" s="1"/>
      <c r="T2504" s="1"/>
      <c r="U2504" s="1"/>
      <c r="V2504" s="1"/>
      <c r="W2504" s="1"/>
      <c r="X2504" s="1"/>
      <c r="Y2504" s="1"/>
      <c r="Z2504" s="1"/>
      <c r="AA2504" s="1"/>
      <c r="AB2504" s="1"/>
    </row>
    <row r="2505" ht="50.25" customHeight="1">
      <c r="A2505" s="12">
        <v>2501.0</v>
      </c>
      <c r="B2505" s="13" t="s">
        <v>2434</v>
      </c>
      <c r="C2505" s="14" t="s">
        <v>2518</v>
      </c>
      <c r="D2505" s="1"/>
      <c r="E2505" s="1"/>
      <c r="F2505" s="1" t="str">
        <f>IFERROR(__xludf.DUMMYFUNCTION("GOOGLETRANSLATE(B2505, ""en"", ""fa"")
"),"تبلیغات")</f>
        <v>تبلیغات</v>
      </c>
      <c r="G2505" s="1" t="str">
        <f>IFERROR(__xludf.DUMMYFUNCTION("GOOGLETRANSLATE(C2505, ""en"", ""fa"")
"),"در مورد اهمیت ترکیب اثبات اجتماعی و نظرات مشتریان در تبلیغات برای بازارهای آنلاین بحث کنید.")</f>
        <v>در مورد اهمیت ترکیب اثبات اجتماعی و نظرات مشتریان در تبلیغات برای بازارهای آنلاین بحث کنید.</v>
      </c>
      <c r="H2505" s="1"/>
      <c r="I2505" s="1"/>
      <c r="J2505" s="1"/>
      <c r="K2505" s="1"/>
      <c r="L2505" s="1"/>
      <c r="M2505" s="1"/>
      <c r="N2505" s="1"/>
      <c r="O2505" s="1"/>
      <c r="P2505" s="1"/>
      <c r="Q2505" s="1"/>
      <c r="R2505" s="1"/>
      <c r="S2505" s="1"/>
      <c r="T2505" s="1"/>
      <c r="U2505" s="1"/>
      <c r="V2505" s="1"/>
      <c r="W2505" s="1"/>
      <c r="X2505" s="1"/>
      <c r="Y2505" s="1"/>
      <c r="Z2505" s="1"/>
      <c r="AA2505" s="1"/>
      <c r="AB2505" s="1"/>
    </row>
    <row r="2506" ht="50.25" customHeight="1">
      <c r="A2506" s="12">
        <v>2502.0</v>
      </c>
      <c r="B2506" s="13" t="s">
        <v>2434</v>
      </c>
      <c r="C2506" s="14" t="s">
        <v>2519</v>
      </c>
      <c r="D2506" s="1"/>
      <c r="E2506" s="1"/>
      <c r="F2506" s="1" t="str">
        <f>IFERROR(__xludf.DUMMYFUNCTION("GOOGLETRANSLATE(B2506, ""en"", ""fa"")
"),"تبلیغات")</f>
        <v>تبلیغات</v>
      </c>
      <c r="G2506" s="1" t="str">
        <f>IFERROR(__xludf.DUMMYFUNCTION("GOOGLETRANSLATE(C2506, ""en"", ""fa"")
"),"تکنیک های استفاده از طنز و خلاقیت در تبلیغات برای برندهای خانگی و سبک زندگی را بررسی کنید.")</f>
        <v>تکنیک های استفاده از طنز و خلاقیت در تبلیغات برای برندهای خانگی و سبک زندگی را بررسی کنید.</v>
      </c>
      <c r="H2506" s="1"/>
      <c r="I2506" s="1"/>
      <c r="J2506" s="1"/>
      <c r="K2506" s="1"/>
      <c r="L2506" s="1"/>
      <c r="M2506" s="1"/>
      <c r="N2506" s="1"/>
      <c r="O2506" s="1"/>
      <c r="P2506" s="1"/>
      <c r="Q2506" s="1"/>
      <c r="R2506" s="1"/>
      <c r="S2506" s="1"/>
      <c r="T2506" s="1"/>
      <c r="U2506" s="1"/>
      <c r="V2506" s="1"/>
      <c r="W2506" s="1"/>
      <c r="X2506" s="1"/>
      <c r="Y2506" s="1"/>
      <c r="Z2506" s="1"/>
      <c r="AA2506" s="1"/>
      <c r="AB2506" s="1"/>
    </row>
    <row r="2507" ht="50.25" customHeight="1">
      <c r="A2507" s="12">
        <v>2503.0</v>
      </c>
      <c r="B2507" s="13" t="s">
        <v>2434</v>
      </c>
      <c r="C2507" s="14" t="s">
        <v>2520</v>
      </c>
      <c r="D2507" s="1"/>
      <c r="E2507" s="1"/>
      <c r="F2507" s="1" t="str">
        <f>IFERROR(__xludf.DUMMYFUNCTION("GOOGLETRANSLATE(B2507, ""en"", ""fa"")
"),"تبلیغات")</f>
        <v>تبلیغات</v>
      </c>
      <c r="G2507" s="1" t="str">
        <f>IFERROR(__xludf.DUMMYFUNCTION("GOOGLETRANSLATE(C2507, ""en"", ""fa"")
"),"نکاتی را برای ایجاد تبلیغات رادیویی متقاعدکننده که شنوندگان را درگیر می کند و اقدام را تحریک می کند، به اشتراک بگذارید.")</f>
        <v>نکاتی را برای ایجاد تبلیغات رادیویی متقاعدکننده که شنوندگان را درگیر می کند و اقدام را تحریک می کند، به اشتراک بگذارید.</v>
      </c>
      <c r="H2507" s="1"/>
      <c r="I2507" s="1"/>
      <c r="J2507" s="1"/>
      <c r="K2507" s="1"/>
      <c r="L2507" s="1"/>
      <c r="M2507" s="1"/>
      <c r="N2507" s="1"/>
      <c r="O2507" s="1"/>
      <c r="P2507" s="1"/>
      <c r="Q2507" s="1"/>
      <c r="R2507" s="1"/>
      <c r="S2507" s="1"/>
      <c r="T2507" s="1"/>
      <c r="U2507" s="1"/>
      <c r="V2507" s="1"/>
      <c r="W2507" s="1"/>
      <c r="X2507" s="1"/>
      <c r="Y2507" s="1"/>
      <c r="Z2507" s="1"/>
      <c r="AA2507" s="1"/>
      <c r="AB2507" s="1"/>
    </row>
    <row r="2508" ht="50.25" customHeight="1">
      <c r="A2508" s="12">
        <v>2504.0</v>
      </c>
      <c r="B2508" s="13" t="s">
        <v>2434</v>
      </c>
      <c r="C2508" s="14" t="s">
        <v>2521</v>
      </c>
      <c r="D2508" s="1"/>
      <c r="E2508" s="1"/>
      <c r="F2508" s="1" t="str">
        <f>IFERROR(__xludf.DUMMYFUNCTION("GOOGLETRANSLATE(B2508, ""en"", ""fa"")
"),"تبلیغات")</f>
        <v>تبلیغات</v>
      </c>
      <c r="G2508" s="1" t="str">
        <f>IFERROR(__xludf.DUMMYFUNCTION("GOOGLETRANSLATE(C2508, ""en"", ""fa"")
"),"در مورد مزایای استفاده از جذابیت های احساسی و داستان سرایی در تبلیغات برای محصولات تناسب اندام و سلامتی صحبت کنید.")</f>
        <v>در مورد مزایای استفاده از جذابیت های احساسی و داستان سرایی در تبلیغات برای محصولات تناسب اندام و سلامتی صحبت کنید.</v>
      </c>
      <c r="H2508" s="1"/>
      <c r="I2508" s="1"/>
      <c r="J2508" s="1"/>
      <c r="K2508" s="1"/>
      <c r="L2508" s="1"/>
      <c r="M2508" s="1"/>
      <c r="N2508" s="1"/>
      <c r="O2508" s="1"/>
      <c r="P2508" s="1"/>
      <c r="Q2508" s="1"/>
      <c r="R2508" s="1"/>
      <c r="S2508" s="1"/>
      <c r="T2508" s="1"/>
      <c r="U2508" s="1"/>
      <c r="V2508" s="1"/>
      <c r="W2508" s="1"/>
      <c r="X2508" s="1"/>
      <c r="Y2508" s="1"/>
      <c r="Z2508" s="1"/>
      <c r="AA2508" s="1"/>
      <c r="AB2508" s="1"/>
    </row>
    <row r="2509" ht="50.25" customHeight="1">
      <c r="A2509" s="12">
        <v>2505.0</v>
      </c>
      <c r="B2509" s="13" t="s">
        <v>2434</v>
      </c>
      <c r="C2509" s="14" t="s">
        <v>2522</v>
      </c>
      <c r="D2509" s="1"/>
      <c r="E2509" s="1"/>
      <c r="F2509" s="1" t="str">
        <f>IFERROR(__xludf.DUMMYFUNCTION("GOOGLETRANSLATE(B2509, ""en"", ""fa"")
"),"تبلیغات")</f>
        <v>تبلیغات</v>
      </c>
      <c r="G2509" s="1" t="str">
        <f>IFERROR(__xludf.DUMMYFUNCTION("GOOGLETRANSLATE(C2509, ""en"", ""fa"")
"),"استراتژی هایی را برای ایجاد تبلیغات نمایشگر دیجیتال تاثیرگذار که توجه را به خود جلب می کند و کلیک ایجاد می کند، به اشتراک بگذارید.")</f>
        <v>استراتژی هایی را برای ایجاد تبلیغات نمایشگر دیجیتال تاثیرگذار که توجه را به خود جلب می کند و کلیک ایجاد می کند، به اشتراک بگذارید.</v>
      </c>
      <c r="H2509" s="1"/>
      <c r="I2509" s="1"/>
      <c r="J2509" s="1"/>
      <c r="K2509" s="1"/>
      <c r="L2509" s="1"/>
      <c r="M2509" s="1"/>
      <c r="N2509" s="1"/>
      <c r="O2509" s="1"/>
      <c r="P2509" s="1"/>
      <c r="Q2509" s="1"/>
      <c r="R2509" s="1"/>
      <c r="S2509" s="1"/>
      <c r="T2509" s="1"/>
      <c r="U2509" s="1"/>
      <c r="V2509" s="1"/>
      <c r="W2509" s="1"/>
      <c r="X2509" s="1"/>
      <c r="Y2509" s="1"/>
      <c r="Z2509" s="1"/>
      <c r="AA2509" s="1"/>
      <c r="AB2509" s="1"/>
    </row>
    <row r="2510" ht="50.25" customHeight="1">
      <c r="A2510" s="12">
        <v>2506.0</v>
      </c>
      <c r="B2510" s="13" t="s">
        <v>2434</v>
      </c>
      <c r="C2510" s="14" t="s">
        <v>2523</v>
      </c>
      <c r="D2510" s="1"/>
      <c r="E2510" s="1"/>
      <c r="F2510" s="1" t="str">
        <f>IFERROR(__xludf.DUMMYFUNCTION("GOOGLETRANSLATE(B2510, ""en"", ""fa"")
"),"تبلیغات")</f>
        <v>تبلیغات</v>
      </c>
      <c r="G2510" s="1" t="str">
        <f>IFERROR(__xludf.DUMMYFUNCTION("GOOGLETRANSLATE(C2510, ""en"", ""fa"")
"),"روش های مختلف استفاده از محتوای تولید شده توسط کاربر در تبلیغات برندهای مد و پوشاک را بررسی کنید.")</f>
        <v>روش های مختلف استفاده از محتوای تولید شده توسط کاربر در تبلیغات برندهای مد و پوشاک را بررسی کنید.</v>
      </c>
      <c r="H2510" s="1"/>
      <c r="I2510" s="1"/>
      <c r="J2510" s="1"/>
      <c r="K2510" s="1"/>
      <c r="L2510" s="1"/>
      <c r="M2510" s="1"/>
      <c r="N2510" s="1"/>
      <c r="O2510" s="1"/>
      <c r="P2510" s="1"/>
      <c r="Q2510" s="1"/>
      <c r="R2510" s="1"/>
      <c r="S2510" s="1"/>
      <c r="T2510" s="1"/>
      <c r="U2510" s="1"/>
      <c r="V2510" s="1"/>
      <c r="W2510" s="1"/>
      <c r="X2510" s="1"/>
      <c r="Y2510" s="1"/>
      <c r="Z2510" s="1"/>
      <c r="AA2510" s="1"/>
      <c r="AB2510" s="1"/>
    </row>
    <row r="2511" ht="50.25" customHeight="1">
      <c r="A2511" s="12">
        <v>2507.0</v>
      </c>
      <c r="B2511" s="13" t="s">
        <v>2434</v>
      </c>
      <c r="C2511" s="14" t="s">
        <v>2524</v>
      </c>
      <c r="D2511" s="1"/>
      <c r="E2511" s="1"/>
      <c r="F2511" s="1" t="str">
        <f>IFERROR(__xludf.DUMMYFUNCTION("GOOGLETRANSLATE(B2511, ""en"", ""fa"")
"),"تبلیغات")</f>
        <v>تبلیغات</v>
      </c>
      <c r="G2511" s="1" t="str">
        <f>IFERROR(__xludf.DUMMYFUNCTION("GOOGLETRANSLATE(C2511, ""en"", ""fa"")
"),"در مورد اهمیت گنجاندن حساسیت و تنوع فرهنگی در کمپین های تبلیغاتی بحث کنید.")</f>
        <v>در مورد اهمیت گنجاندن حساسیت و تنوع فرهنگی در کمپین های تبلیغاتی بحث کنید.</v>
      </c>
      <c r="H2511" s="1"/>
      <c r="I2511" s="1"/>
      <c r="J2511" s="1"/>
      <c r="K2511" s="1"/>
      <c r="L2511" s="1"/>
      <c r="M2511" s="1"/>
      <c r="N2511" s="1"/>
      <c r="O2511" s="1"/>
      <c r="P2511" s="1"/>
      <c r="Q2511" s="1"/>
      <c r="R2511" s="1"/>
      <c r="S2511" s="1"/>
      <c r="T2511" s="1"/>
      <c r="U2511" s="1"/>
      <c r="V2511" s="1"/>
      <c r="W2511" s="1"/>
      <c r="X2511" s="1"/>
      <c r="Y2511" s="1"/>
      <c r="Z2511" s="1"/>
      <c r="AA2511" s="1"/>
      <c r="AB2511" s="1"/>
    </row>
    <row r="2512" ht="50.25" customHeight="1">
      <c r="A2512" s="12">
        <v>2508.0</v>
      </c>
      <c r="B2512" s="13" t="s">
        <v>2434</v>
      </c>
      <c r="C2512" s="14" t="s">
        <v>2525</v>
      </c>
      <c r="D2512" s="1"/>
      <c r="E2512" s="1"/>
      <c r="F2512" s="1" t="str">
        <f>IFERROR(__xludf.DUMMYFUNCTION("GOOGLETRANSLATE(B2512, ""en"", ""fa"")
"),"تبلیغات")</f>
        <v>تبلیغات</v>
      </c>
      <c r="G2512" s="1" t="str">
        <f>IFERROR(__xludf.DUMMYFUNCTION("GOOGLETRANSLATE(C2512, ""en"", ""fa"")
"),"نکاتی را برای ایجاد تبلیغات بیلبورد متقاعد کننده که تأثیر بصری قوی ایجاد می کند، به اشتراک بگذارید.")</f>
        <v>نکاتی را برای ایجاد تبلیغات بیلبورد متقاعد کننده که تأثیر بصری قوی ایجاد می کند، به اشتراک بگذارید.</v>
      </c>
      <c r="H2512" s="1"/>
      <c r="I2512" s="1"/>
      <c r="J2512" s="1"/>
      <c r="K2512" s="1"/>
      <c r="L2512" s="1"/>
      <c r="M2512" s="1"/>
      <c r="N2512" s="1"/>
      <c r="O2512" s="1"/>
      <c r="P2512" s="1"/>
      <c r="Q2512" s="1"/>
      <c r="R2512" s="1"/>
      <c r="S2512" s="1"/>
      <c r="T2512" s="1"/>
      <c r="U2512" s="1"/>
      <c r="V2512" s="1"/>
      <c r="W2512" s="1"/>
      <c r="X2512" s="1"/>
      <c r="Y2512" s="1"/>
      <c r="Z2512" s="1"/>
      <c r="AA2512" s="1"/>
      <c r="AB2512" s="1"/>
    </row>
    <row r="2513" ht="50.25" customHeight="1">
      <c r="A2513" s="12">
        <v>2509.0</v>
      </c>
      <c r="B2513" s="13" t="s">
        <v>2434</v>
      </c>
      <c r="C2513" s="14" t="s">
        <v>2526</v>
      </c>
      <c r="D2513" s="1"/>
      <c r="E2513" s="1"/>
      <c r="F2513" s="1" t="str">
        <f>IFERROR(__xludf.DUMMYFUNCTION("GOOGLETRANSLATE(B2513, ""en"", ""fa"")
"),"تبلیغات")</f>
        <v>تبلیغات</v>
      </c>
      <c r="G2513" s="1" t="str">
        <f>IFERROR(__xludf.DUMMYFUNCTION("GOOGLETRANSLATE(C2513, ""en"", ""fa"")
"),"تکنیک های استفاده از تجزیه و تحلیل داده ها و هدف گیری مخاطب در کمپین های تبلیغات دیجیتال را بررسی کنید.")</f>
        <v>تکنیک های استفاده از تجزیه و تحلیل داده ها و هدف گیری مخاطب در کمپین های تبلیغات دیجیتال را بررسی کنید.</v>
      </c>
      <c r="H2513" s="1"/>
      <c r="I2513" s="1"/>
      <c r="J2513" s="1"/>
      <c r="K2513" s="1"/>
      <c r="L2513" s="1"/>
      <c r="M2513" s="1"/>
      <c r="N2513" s="1"/>
      <c r="O2513" s="1"/>
      <c r="P2513" s="1"/>
      <c r="Q2513" s="1"/>
      <c r="R2513" s="1"/>
      <c r="S2513" s="1"/>
      <c r="T2513" s="1"/>
      <c r="U2513" s="1"/>
      <c r="V2513" s="1"/>
      <c r="W2513" s="1"/>
      <c r="X2513" s="1"/>
      <c r="Y2513" s="1"/>
      <c r="Z2513" s="1"/>
      <c r="AA2513" s="1"/>
      <c r="AB2513" s="1"/>
    </row>
    <row r="2514" ht="50.25" customHeight="1">
      <c r="A2514" s="12">
        <v>2510.0</v>
      </c>
      <c r="B2514" s="13" t="s">
        <v>2434</v>
      </c>
      <c r="C2514" s="14" t="s">
        <v>2527</v>
      </c>
      <c r="D2514" s="1"/>
      <c r="E2514" s="1"/>
      <c r="F2514" s="1" t="str">
        <f>IFERROR(__xludf.DUMMYFUNCTION("GOOGLETRANSLATE(B2514, ""en"", ""fa"")
"),"تبلیغات")</f>
        <v>تبلیغات</v>
      </c>
      <c r="G2514" s="1" t="str">
        <f>IFERROR(__xludf.DUMMYFUNCTION("GOOGLETRANSLATE(C2514, ""en"", ""fa"")
"),"در مورد مزایای استفاده از داستان سرایی احساسی در تبلیغات برای برندهای خودرو و حمل و نقل بحث کنید.")</f>
        <v>در مورد مزایای استفاده از داستان سرایی احساسی در تبلیغات برای برندهای خودرو و حمل و نقل بحث کنید.</v>
      </c>
      <c r="H2514" s="1"/>
      <c r="I2514" s="1"/>
      <c r="J2514" s="1"/>
      <c r="K2514" s="1"/>
      <c r="L2514" s="1"/>
      <c r="M2514" s="1"/>
      <c r="N2514" s="1"/>
      <c r="O2514" s="1"/>
      <c r="P2514" s="1"/>
      <c r="Q2514" s="1"/>
      <c r="R2514" s="1"/>
      <c r="S2514" s="1"/>
      <c r="T2514" s="1"/>
      <c r="U2514" s="1"/>
      <c r="V2514" s="1"/>
      <c r="W2514" s="1"/>
      <c r="X2514" s="1"/>
      <c r="Y2514" s="1"/>
      <c r="Z2514" s="1"/>
      <c r="AA2514" s="1"/>
      <c r="AB2514" s="1"/>
    </row>
    <row r="2515" ht="50.25" customHeight="1">
      <c r="A2515" s="12">
        <v>2511.0</v>
      </c>
      <c r="B2515" s="13" t="s">
        <v>2434</v>
      </c>
      <c r="C2515" s="14" t="s">
        <v>2528</v>
      </c>
      <c r="D2515" s="1"/>
      <c r="E2515" s="1"/>
      <c r="F2515" s="1" t="str">
        <f>IFERROR(__xludf.DUMMYFUNCTION("GOOGLETRANSLATE(B2515, ""en"", ""fa"")
"),"تبلیغات")</f>
        <v>تبلیغات</v>
      </c>
      <c r="G2515" s="1" t="str">
        <f>IFERROR(__xludf.DUMMYFUNCTION("GOOGLETRANSLATE(C2515, ""en"", ""fa"")
"),"استراتژی‌هایی را برای ایجاد کمپین‌های بازاریابی تأثیرگذار که آگاهی از برند را افزایش می‌دهند، به اشتراک بگذارید.")</f>
        <v>استراتژی‌هایی را برای ایجاد کمپین‌های بازاریابی تأثیرگذار که آگاهی از برند را افزایش می‌دهند، به اشتراک بگذارید.</v>
      </c>
      <c r="H2515" s="1"/>
      <c r="I2515" s="1"/>
      <c r="J2515" s="1"/>
      <c r="K2515" s="1"/>
      <c r="L2515" s="1"/>
      <c r="M2515" s="1"/>
      <c r="N2515" s="1"/>
      <c r="O2515" s="1"/>
      <c r="P2515" s="1"/>
      <c r="Q2515" s="1"/>
      <c r="R2515" s="1"/>
      <c r="S2515" s="1"/>
      <c r="T2515" s="1"/>
      <c r="U2515" s="1"/>
      <c r="V2515" s="1"/>
      <c r="W2515" s="1"/>
      <c r="X2515" s="1"/>
      <c r="Y2515" s="1"/>
      <c r="Z2515" s="1"/>
      <c r="AA2515" s="1"/>
      <c r="AB2515" s="1"/>
    </row>
    <row r="2516" ht="50.25" customHeight="1">
      <c r="A2516" s="12">
        <v>2512.0</v>
      </c>
      <c r="B2516" s="13" t="s">
        <v>2434</v>
      </c>
      <c r="C2516" s="14" t="s">
        <v>2529</v>
      </c>
      <c r="D2516" s="1"/>
      <c r="E2516" s="1"/>
      <c r="F2516" s="1" t="str">
        <f>IFERROR(__xludf.DUMMYFUNCTION("GOOGLETRANSLATE(B2516, ""en"", ""fa"")
"),"تبلیغات")</f>
        <v>تبلیغات</v>
      </c>
      <c r="G2516" s="1" t="str">
        <f>IFERROR(__xludf.DUMMYFUNCTION("GOOGLETRANSLATE(C2516, ""en"", ""fa"")
"),"روش های مختلف استفاده از شوخ طبعی و شوخ طبعی در تبلیغات فناوری و ابزارها را بررسی کنید.")</f>
        <v>روش های مختلف استفاده از شوخ طبعی و شوخ طبعی در تبلیغات فناوری و ابزارها را بررسی کنید.</v>
      </c>
      <c r="H2516" s="1"/>
      <c r="I2516" s="1"/>
      <c r="J2516" s="1"/>
      <c r="K2516" s="1"/>
      <c r="L2516" s="1"/>
      <c r="M2516" s="1"/>
      <c r="N2516" s="1"/>
      <c r="O2516" s="1"/>
      <c r="P2516" s="1"/>
      <c r="Q2516" s="1"/>
      <c r="R2516" s="1"/>
      <c r="S2516" s="1"/>
      <c r="T2516" s="1"/>
      <c r="U2516" s="1"/>
      <c r="V2516" s="1"/>
      <c r="W2516" s="1"/>
      <c r="X2516" s="1"/>
      <c r="Y2516" s="1"/>
      <c r="Z2516" s="1"/>
      <c r="AA2516" s="1"/>
      <c r="AB2516" s="1"/>
    </row>
    <row r="2517" ht="50.25" customHeight="1">
      <c r="A2517" s="12">
        <v>2513.0</v>
      </c>
      <c r="B2517" s="13" t="s">
        <v>2434</v>
      </c>
      <c r="C2517" s="14" t="s">
        <v>2530</v>
      </c>
      <c r="D2517" s="1"/>
      <c r="E2517" s="1"/>
      <c r="F2517" s="1" t="str">
        <f>IFERROR(__xludf.DUMMYFUNCTION("GOOGLETRANSLATE(B2517, ""en"", ""fa"")
"),"تبلیغات")</f>
        <v>تبلیغات</v>
      </c>
      <c r="G2517" s="1" t="str">
        <f>IFERROR(__xludf.DUMMYFUNCTION("GOOGLETRANSLATE(C2517, ""en"", ""fa"")
"),"درباره اهمیت ترکیب تبلیغات رسانه های اجتماعی در دستیابی به جمعیت جوان تر بحث کنید.")</f>
        <v>درباره اهمیت ترکیب تبلیغات رسانه های اجتماعی در دستیابی به جمعیت جوان تر بحث کنید.</v>
      </c>
      <c r="H2517" s="1"/>
      <c r="I2517" s="1"/>
      <c r="J2517" s="1"/>
      <c r="K2517" s="1"/>
      <c r="L2517" s="1"/>
      <c r="M2517" s="1"/>
      <c r="N2517" s="1"/>
      <c r="O2517" s="1"/>
      <c r="P2517" s="1"/>
      <c r="Q2517" s="1"/>
      <c r="R2517" s="1"/>
      <c r="S2517" s="1"/>
      <c r="T2517" s="1"/>
      <c r="U2517" s="1"/>
      <c r="V2517" s="1"/>
      <c r="W2517" s="1"/>
      <c r="X2517" s="1"/>
      <c r="Y2517" s="1"/>
      <c r="Z2517" s="1"/>
      <c r="AA2517" s="1"/>
      <c r="AB2517" s="1"/>
    </row>
    <row r="2518" ht="50.25" customHeight="1">
      <c r="A2518" s="12">
        <v>2514.0</v>
      </c>
      <c r="B2518" s="13" t="s">
        <v>2434</v>
      </c>
      <c r="C2518" s="14" t="s">
        <v>2531</v>
      </c>
      <c r="D2518" s="1"/>
      <c r="E2518" s="1"/>
      <c r="F2518" s="1" t="str">
        <f>IFERROR(__xludf.DUMMYFUNCTION("GOOGLETRANSLATE(B2518, ""en"", ""fa"")
"),"تبلیغات")</f>
        <v>تبلیغات</v>
      </c>
      <c r="G2518" s="1" t="str">
        <f>IFERROR(__xludf.DUMMYFUNCTION("GOOGLETRANSLATE(C2518, ""en"", ""fa"")
"),"نکاتی را برای ایجاد تبلیغات چاپی متقاعدکننده که در نشریات چاپی برجسته هستند به اشتراک بگذارید.")</f>
        <v>نکاتی را برای ایجاد تبلیغات چاپی متقاعدکننده که در نشریات چاپی برجسته هستند به اشتراک بگذارید.</v>
      </c>
      <c r="H2518" s="1"/>
      <c r="I2518" s="1"/>
      <c r="J2518" s="1"/>
      <c r="K2518" s="1"/>
      <c r="L2518" s="1"/>
      <c r="M2518" s="1"/>
      <c r="N2518" s="1"/>
      <c r="O2518" s="1"/>
      <c r="P2518" s="1"/>
      <c r="Q2518" s="1"/>
      <c r="R2518" s="1"/>
      <c r="S2518" s="1"/>
      <c r="T2518" s="1"/>
      <c r="U2518" s="1"/>
      <c r="V2518" s="1"/>
      <c r="W2518" s="1"/>
      <c r="X2518" s="1"/>
      <c r="Y2518" s="1"/>
      <c r="Z2518" s="1"/>
      <c r="AA2518" s="1"/>
      <c r="AB2518" s="1"/>
    </row>
    <row r="2519" ht="50.25" customHeight="1">
      <c r="A2519" s="12">
        <v>2515.0</v>
      </c>
      <c r="B2519" s="13" t="s">
        <v>2434</v>
      </c>
      <c r="C2519" s="14" t="s">
        <v>2532</v>
      </c>
      <c r="D2519" s="1"/>
      <c r="E2519" s="1"/>
      <c r="F2519" s="1" t="str">
        <f>IFERROR(__xludf.DUMMYFUNCTION("GOOGLETRANSLATE(B2519, ""en"", ""fa"")
"),"تبلیغات")</f>
        <v>تبلیغات</v>
      </c>
      <c r="G2519" s="1" t="str">
        <f>IFERROR(__xludf.DUMMYFUNCTION("GOOGLETRANSLATE(C2519, ""en"", ""fa"")
"),"تکنیک های استفاده از عناصر تعاملی در تبلیغات دیجیتال را برای جذب مخاطب بررسی کنید.")</f>
        <v>تکنیک های استفاده از عناصر تعاملی در تبلیغات دیجیتال را برای جذب مخاطب بررسی کنید.</v>
      </c>
      <c r="H2519" s="1"/>
      <c r="I2519" s="1"/>
      <c r="J2519" s="1"/>
      <c r="K2519" s="1"/>
      <c r="L2519" s="1"/>
      <c r="M2519" s="1"/>
      <c r="N2519" s="1"/>
      <c r="O2519" s="1"/>
      <c r="P2519" s="1"/>
      <c r="Q2519" s="1"/>
      <c r="R2519" s="1"/>
      <c r="S2519" s="1"/>
      <c r="T2519" s="1"/>
      <c r="U2519" s="1"/>
      <c r="V2519" s="1"/>
      <c r="W2519" s="1"/>
      <c r="X2519" s="1"/>
      <c r="Y2519" s="1"/>
      <c r="Z2519" s="1"/>
      <c r="AA2519" s="1"/>
      <c r="AB2519" s="1"/>
    </row>
    <row r="2520" ht="50.25" customHeight="1">
      <c r="A2520" s="12">
        <v>2516.0</v>
      </c>
      <c r="B2520" s="13" t="s">
        <v>2434</v>
      </c>
      <c r="C2520" s="14" t="s">
        <v>2533</v>
      </c>
      <c r="D2520" s="1"/>
      <c r="E2520" s="1"/>
      <c r="F2520" s="1" t="str">
        <f>IFERROR(__xludf.DUMMYFUNCTION("GOOGLETRANSLATE(B2520, ""en"", ""fa"")
"),"تبلیغات")</f>
        <v>تبلیغات</v>
      </c>
      <c r="G2520" s="1" t="str">
        <f>IFERROR(__xludf.DUMMYFUNCTION("GOOGLETRANSLATE(C2520, ""en"", ""fa"")
"),"در مورد مزایای استفاده از جذابیت های احساسی و داستان سرایی در تبلیغات محصولات مرتبط با حیوانات خانگی بحث کنید.")</f>
        <v>در مورد مزایای استفاده از جذابیت های احساسی و داستان سرایی در تبلیغات محصولات مرتبط با حیوانات خانگی بحث کنید.</v>
      </c>
      <c r="H2520" s="1"/>
      <c r="I2520" s="1"/>
      <c r="J2520" s="1"/>
      <c r="K2520" s="1"/>
      <c r="L2520" s="1"/>
      <c r="M2520" s="1"/>
      <c r="N2520" s="1"/>
      <c r="O2520" s="1"/>
      <c r="P2520" s="1"/>
      <c r="Q2520" s="1"/>
      <c r="R2520" s="1"/>
      <c r="S2520" s="1"/>
      <c r="T2520" s="1"/>
      <c r="U2520" s="1"/>
      <c r="V2520" s="1"/>
      <c r="W2520" s="1"/>
      <c r="X2520" s="1"/>
      <c r="Y2520" s="1"/>
      <c r="Z2520" s="1"/>
      <c r="AA2520" s="1"/>
      <c r="AB2520" s="1"/>
    </row>
    <row r="2521" ht="50.25" customHeight="1">
      <c r="A2521" s="12">
        <v>2517.0</v>
      </c>
      <c r="B2521" s="13" t="s">
        <v>2434</v>
      </c>
      <c r="C2521" s="14" t="s">
        <v>2534</v>
      </c>
      <c r="D2521" s="1"/>
      <c r="E2521" s="1"/>
      <c r="F2521" s="1" t="str">
        <f>IFERROR(__xludf.DUMMYFUNCTION("GOOGLETRANSLATE(B2521, ""en"", ""fa"")
"),"تبلیغات")</f>
        <v>تبلیغات</v>
      </c>
      <c r="G2521" s="1" t="str">
        <f>IFERROR(__xludf.DUMMYFUNCTION("GOOGLETRANSLATE(C2521, ""en"", ""fa"")
"),"استراتژی هایی برای ایجاد تبلیغات تاثیرگذار در فضای باز که با رهگذران طنین انداز می شود را به اشتراک بگذارید.")</f>
        <v>استراتژی هایی برای ایجاد تبلیغات تاثیرگذار در فضای باز که با رهگذران طنین انداز می شود را به اشتراک بگذارید.</v>
      </c>
      <c r="H2521" s="1"/>
      <c r="I2521" s="1"/>
      <c r="J2521" s="1"/>
      <c r="K2521" s="1"/>
      <c r="L2521" s="1"/>
      <c r="M2521" s="1"/>
      <c r="N2521" s="1"/>
      <c r="O2521" s="1"/>
      <c r="P2521" s="1"/>
      <c r="Q2521" s="1"/>
      <c r="R2521" s="1"/>
      <c r="S2521" s="1"/>
      <c r="T2521" s="1"/>
      <c r="U2521" s="1"/>
      <c r="V2521" s="1"/>
      <c r="W2521" s="1"/>
      <c r="X2521" s="1"/>
      <c r="Y2521" s="1"/>
      <c r="Z2521" s="1"/>
      <c r="AA2521" s="1"/>
      <c r="AB2521" s="1"/>
    </row>
    <row r="2522" ht="50.25" customHeight="1">
      <c r="A2522" s="12">
        <v>2518.0</v>
      </c>
      <c r="B2522" s="13" t="s">
        <v>2434</v>
      </c>
      <c r="C2522" s="14" t="s">
        <v>2535</v>
      </c>
      <c r="D2522" s="1"/>
      <c r="E2522" s="1"/>
      <c r="F2522" s="1" t="str">
        <f>IFERROR(__xludf.DUMMYFUNCTION("GOOGLETRANSLATE(B2522, ""en"", ""fa"")
"),"تبلیغات")</f>
        <v>تبلیغات</v>
      </c>
      <c r="G2522" s="1" t="str">
        <f>IFERROR(__xludf.DUMMYFUNCTION("GOOGLETRANSLATE(C2522, ""en"", ""fa"")
"),"در مورد اهمیت ترکیب اینفلوئنسرهای رسانه های اجتماعی در تبلیغات برای مسافرت و مهمان نوازی بحث کنید.")</f>
        <v>در مورد اهمیت ترکیب اینفلوئنسرهای رسانه های اجتماعی در تبلیغات برای مسافرت و مهمان نوازی بحث کنید.</v>
      </c>
      <c r="H2522" s="1"/>
      <c r="I2522" s="1"/>
      <c r="J2522" s="1"/>
      <c r="K2522" s="1"/>
      <c r="L2522" s="1"/>
      <c r="M2522" s="1"/>
      <c r="N2522" s="1"/>
      <c r="O2522" s="1"/>
      <c r="P2522" s="1"/>
      <c r="Q2522" s="1"/>
      <c r="R2522" s="1"/>
      <c r="S2522" s="1"/>
      <c r="T2522" s="1"/>
      <c r="U2522" s="1"/>
      <c r="V2522" s="1"/>
      <c r="W2522" s="1"/>
      <c r="X2522" s="1"/>
      <c r="Y2522" s="1"/>
      <c r="Z2522" s="1"/>
      <c r="AA2522" s="1"/>
      <c r="AB2522" s="1"/>
    </row>
    <row r="2523" ht="50.25" customHeight="1">
      <c r="A2523" s="12">
        <v>2519.0</v>
      </c>
      <c r="B2523" s="13" t="s">
        <v>2434</v>
      </c>
      <c r="C2523" s="14" t="s">
        <v>2536</v>
      </c>
      <c r="D2523" s="1"/>
      <c r="E2523" s="1"/>
      <c r="F2523" s="1" t="str">
        <f>IFERROR(__xludf.DUMMYFUNCTION("GOOGLETRANSLATE(B2523, ""en"", ""fa"")
"),"تبلیغات")</f>
        <v>تبلیغات</v>
      </c>
      <c r="G2523" s="1" t="str">
        <f>IFERROR(__xludf.DUMMYFUNCTION("GOOGLETRANSLATE(C2523, ""en"", ""fa"")
"),"نکاتی را برای ایجاد تبلیغات ایمیلی متقاعدکننده که نرخ باز و تبدیل را افزایش می دهد، به اشتراک بگذارید.")</f>
        <v>نکاتی را برای ایجاد تبلیغات ایمیلی متقاعدکننده که نرخ باز و تبدیل را افزایش می دهد، به اشتراک بگذارید.</v>
      </c>
      <c r="H2523" s="1"/>
      <c r="I2523" s="1"/>
      <c r="J2523" s="1"/>
      <c r="K2523" s="1"/>
      <c r="L2523" s="1"/>
      <c r="M2523" s="1"/>
      <c r="N2523" s="1"/>
      <c r="O2523" s="1"/>
      <c r="P2523" s="1"/>
      <c r="Q2523" s="1"/>
      <c r="R2523" s="1"/>
      <c r="S2523" s="1"/>
      <c r="T2523" s="1"/>
      <c r="U2523" s="1"/>
      <c r="V2523" s="1"/>
      <c r="W2523" s="1"/>
      <c r="X2523" s="1"/>
      <c r="Y2523" s="1"/>
      <c r="Z2523" s="1"/>
      <c r="AA2523" s="1"/>
      <c r="AB2523" s="1"/>
    </row>
    <row r="2524" ht="50.25" customHeight="1">
      <c r="A2524" s="12">
        <v>2520.0</v>
      </c>
      <c r="B2524" s="13" t="s">
        <v>2434</v>
      </c>
      <c r="C2524" s="14" t="s">
        <v>2537</v>
      </c>
      <c r="D2524" s="1"/>
      <c r="E2524" s="1"/>
      <c r="F2524" s="1" t="str">
        <f>IFERROR(__xludf.DUMMYFUNCTION("GOOGLETRANSLATE(B2524, ""en"", ""fa"")
"),"تبلیغات")</f>
        <v>تبلیغات</v>
      </c>
      <c r="G2524" s="1" t="str">
        <f>IFERROR(__xludf.DUMMYFUNCTION("GOOGLETRANSLATE(C2524, ""en"", ""fa"")
"),"تکنیک های استفاده از داستان سرایی احساسی در تبلیغات برای امور مالی و بیمه شخصی را بررسی کنید.")</f>
        <v>تکنیک های استفاده از داستان سرایی احساسی در تبلیغات برای امور مالی و بیمه شخصی را بررسی کنید.</v>
      </c>
      <c r="H2524" s="1"/>
      <c r="I2524" s="1"/>
      <c r="J2524" s="1"/>
      <c r="K2524" s="1"/>
      <c r="L2524" s="1"/>
      <c r="M2524" s="1"/>
      <c r="N2524" s="1"/>
      <c r="O2524" s="1"/>
      <c r="P2524" s="1"/>
      <c r="Q2524" s="1"/>
      <c r="R2524" s="1"/>
      <c r="S2524" s="1"/>
      <c r="T2524" s="1"/>
      <c r="U2524" s="1"/>
      <c r="V2524" s="1"/>
      <c r="W2524" s="1"/>
      <c r="X2524" s="1"/>
      <c r="Y2524" s="1"/>
      <c r="Z2524" s="1"/>
      <c r="AA2524" s="1"/>
      <c r="AB2524" s="1"/>
    </row>
    <row r="2525" ht="50.25" customHeight="1">
      <c r="A2525" s="12">
        <v>2521.0</v>
      </c>
      <c r="B2525" s="13" t="s">
        <v>2434</v>
      </c>
      <c r="C2525" s="14" t="s">
        <v>2538</v>
      </c>
      <c r="D2525" s="1"/>
      <c r="E2525" s="1"/>
      <c r="F2525" s="1" t="str">
        <f>IFERROR(__xludf.DUMMYFUNCTION("GOOGLETRANSLATE(B2525, ""en"", ""fa"")
"),"تبلیغات")</f>
        <v>تبلیغات</v>
      </c>
      <c r="G2525" s="1" t="str">
        <f>IFERROR(__xludf.DUMMYFUNCTION("GOOGLETRANSLATE(C2525, ""en"", ""fa"")
"),"در مورد مزایای استفاده از کمپین های تبلیغاتی مرتبط با علت برای حمایت از اهداف اجتماعی و محیطی بحث کنید.")</f>
        <v>در مورد مزایای استفاده از کمپین های تبلیغاتی مرتبط با علت برای حمایت از اهداف اجتماعی و محیطی بحث کنید.</v>
      </c>
      <c r="H2525" s="1"/>
      <c r="I2525" s="1"/>
      <c r="J2525" s="1"/>
      <c r="K2525" s="1"/>
      <c r="L2525" s="1"/>
      <c r="M2525" s="1"/>
      <c r="N2525" s="1"/>
      <c r="O2525" s="1"/>
      <c r="P2525" s="1"/>
      <c r="Q2525" s="1"/>
      <c r="R2525" s="1"/>
      <c r="S2525" s="1"/>
      <c r="T2525" s="1"/>
      <c r="U2525" s="1"/>
      <c r="V2525" s="1"/>
      <c r="W2525" s="1"/>
      <c r="X2525" s="1"/>
      <c r="Y2525" s="1"/>
      <c r="Z2525" s="1"/>
      <c r="AA2525" s="1"/>
      <c r="AB2525" s="1"/>
    </row>
    <row r="2526" ht="50.25" customHeight="1">
      <c r="A2526" s="12">
        <v>2522.0</v>
      </c>
      <c r="B2526" s="13" t="s">
        <v>2434</v>
      </c>
      <c r="C2526" s="14" t="s">
        <v>2539</v>
      </c>
      <c r="D2526" s="1"/>
      <c r="E2526" s="1"/>
      <c r="F2526" s="1" t="str">
        <f>IFERROR(__xludf.DUMMYFUNCTION("GOOGLETRANSLATE(B2526, ""en"", ""fa"")
"),"تبلیغات")</f>
        <v>تبلیغات</v>
      </c>
      <c r="G2526" s="1" t="str">
        <f>IFERROR(__xludf.DUMMYFUNCTION("GOOGLETRANSLATE(C2526, ""en"", ""fa"")
"),"استراتژی هایی برای ایجاد تبلیغات ویدیویی تاثیرگذار برای پلتفرم های استریم و محتوای ویدیویی آنلاین به اشتراک بگذارید.")</f>
        <v>استراتژی هایی برای ایجاد تبلیغات ویدیویی تاثیرگذار برای پلتفرم های استریم و محتوای ویدیویی آنلاین به اشتراک بگذارید.</v>
      </c>
      <c r="H2526" s="1"/>
      <c r="I2526" s="1"/>
      <c r="J2526" s="1"/>
      <c r="K2526" s="1"/>
      <c r="L2526" s="1"/>
      <c r="M2526" s="1"/>
      <c r="N2526" s="1"/>
      <c r="O2526" s="1"/>
      <c r="P2526" s="1"/>
      <c r="Q2526" s="1"/>
      <c r="R2526" s="1"/>
      <c r="S2526" s="1"/>
      <c r="T2526" s="1"/>
      <c r="U2526" s="1"/>
      <c r="V2526" s="1"/>
      <c r="W2526" s="1"/>
      <c r="X2526" s="1"/>
      <c r="Y2526" s="1"/>
      <c r="Z2526" s="1"/>
      <c r="AA2526" s="1"/>
      <c r="AB2526" s="1"/>
    </row>
    <row r="2527" ht="50.25" customHeight="1">
      <c r="A2527" s="12">
        <v>2523.0</v>
      </c>
      <c r="B2527" s="13" t="s">
        <v>2434</v>
      </c>
      <c r="C2527" s="14" t="s">
        <v>2540</v>
      </c>
      <c r="D2527" s="1"/>
      <c r="E2527" s="1"/>
      <c r="F2527" s="1" t="str">
        <f>IFERROR(__xludf.DUMMYFUNCTION("GOOGLETRANSLATE(B2527, ""en"", ""fa"")
"),"تبلیغات")</f>
        <v>تبلیغات</v>
      </c>
      <c r="G2527" s="1" t="str">
        <f>IFERROR(__xludf.DUMMYFUNCTION("GOOGLETRANSLATE(C2527, ""en"", ""fa"")
"),"روش های مختلف برای استفاده از محتوای تولید شده توسط کاربر در تبلیغات برندهای لوازم الکترونیکی مصرفی را بررسی کنید.")</f>
        <v>روش های مختلف برای استفاده از محتوای تولید شده توسط کاربر در تبلیغات برندهای لوازم الکترونیکی مصرفی را بررسی کنید.</v>
      </c>
      <c r="H2527" s="1"/>
      <c r="I2527" s="1"/>
      <c r="J2527" s="1"/>
      <c r="K2527" s="1"/>
      <c r="L2527" s="1"/>
      <c r="M2527" s="1"/>
      <c r="N2527" s="1"/>
      <c r="O2527" s="1"/>
      <c r="P2527" s="1"/>
      <c r="Q2527" s="1"/>
      <c r="R2527" s="1"/>
      <c r="S2527" s="1"/>
      <c r="T2527" s="1"/>
      <c r="U2527" s="1"/>
      <c r="V2527" s="1"/>
      <c r="W2527" s="1"/>
      <c r="X2527" s="1"/>
      <c r="Y2527" s="1"/>
      <c r="Z2527" s="1"/>
      <c r="AA2527" s="1"/>
      <c r="AB2527" s="1"/>
    </row>
    <row r="2528" ht="50.25" customHeight="1">
      <c r="A2528" s="12">
        <v>2524.0</v>
      </c>
      <c r="B2528" s="13" t="s">
        <v>2434</v>
      </c>
      <c r="C2528" s="14" t="s">
        <v>2541</v>
      </c>
      <c r="D2528" s="1"/>
      <c r="E2528" s="1"/>
      <c r="F2528" s="1" t="str">
        <f>IFERROR(__xludf.DUMMYFUNCTION("GOOGLETRANSLATE(B2528, ""en"", ""fa"")
"),"تبلیغات")</f>
        <v>تبلیغات</v>
      </c>
      <c r="G2528" s="1" t="str">
        <f>IFERROR(__xludf.DUMMYFUNCTION("GOOGLETRANSLATE(C2528, ""en"", ""fa"")
"),"در مورد اهمیت گنجاندن شوخ طبعی و سرگرمی در تبلیغات برندهای غذا و نوشیدنی بحث کنید.")</f>
        <v>در مورد اهمیت گنجاندن شوخ طبعی و سرگرمی در تبلیغات برندهای غذا و نوشیدنی بحث کنید.</v>
      </c>
      <c r="H2528" s="1"/>
      <c r="I2528" s="1"/>
      <c r="J2528" s="1"/>
      <c r="K2528" s="1"/>
      <c r="L2528" s="1"/>
      <c r="M2528" s="1"/>
      <c r="N2528" s="1"/>
      <c r="O2528" s="1"/>
      <c r="P2528" s="1"/>
      <c r="Q2528" s="1"/>
      <c r="R2528" s="1"/>
      <c r="S2528" s="1"/>
      <c r="T2528" s="1"/>
      <c r="U2528" s="1"/>
      <c r="V2528" s="1"/>
      <c r="W2528" s="1"/>
      <c r="X2528" s="1"/>
      <c r="Y2528" s="1"/>
      <c r="Z2528" s="1"/>
      <c r="AA2528" s="1"/>
      <c r="AB2528" s="1"/>
    </row>
    <row r="2529" ht="50.25" customHeight="1">
      <c r="A2529" s="12">
        <v>2525.0</v>
      </c>
      <c r="B2529" s="13" t="s">
        <v>2434</v>
      </c>
      <c r="C2529" s="14" t="s">
        <v>2542</v>
      </c>
      <c r="D2529" s="1"/>
      <c r="E2529" s="1"/>
      <c r="F2529" s="1" t="str">
        <f>IFERROR(__xludf.DUMMYFUNCTION("GOOGLETRANSLATE(B2529, ""en"", ""fa"")
"),"تبلیغات")</f>
        <v>تبلیغات</v>
      </c>
      <c r="G2529" s="1" t="str">
        <f>IFERROR(__xludf.DUMMYFUNCTION("GOOGLETRANSLATE(C2529, ""en"", ""fa"")
"),"نکاتی را برای ایجاد تبلیغات بنری دیجیتال متقاعدکننده که باعث جذب کلیک و تعامل می شود، به اشتراک بگذارید.")</f>
        <v>نکاتی را برای ایجاد تبلیغات بنری دیجیتال متقاعدکننده که باعث جذب کلیک و تعامل می شود، به اشتراک بگذارید.</v>
      </c>
      <c r="H2529" s="1"/>
      <c r="I2529" s="1"/>
      <c r="J2529" s="1"/>
      <c r="K2529" s="1"/>
      <c r="L2529" s="1"/>
      <c r="M2529" s="1"/>
      <c r="N2529" s="1"/>
      <c r="O2529" s="1"/>
      <c r="P2529" s="1"/>
      <c r="Q2529" s="1"/>
      <c r="R2529" s="1"/>
      <c r="S2529" s="1"/>
      <c r="T2529" s="1"/>
      <c r="U2529" s="1"/>
      <c r="V2529" s="1"/>
      <c r="W2529" s="1"/>
      <c r="X2529" s="1"/>
      <c r="Y2529" s="1"/>
      <c r="Z2529" s="1"/>
      <c r="AA2529" s="1"/>
      <c r="AB2529" s="1"/>
    </row>
    <row r="2530" ht="50.25" customHeight="1">
      <c r="A2530" s="12">
        <v>2526.0</v>
      </c>
      <c r="B2530" s="13" t="s">
        <v>2434</v>
      </c>
      <c r="C2530" s="14" t="s">
        <v>2543</v>
      </c>
      <c r="D2530" s="1"/>
      <c r="E2530" s="1"/>
      <c r="F2530" s="1" t="str">
        <f>IFERROR(__xludf.DUMMYFUNCTION("GOOGLETRANSLATE(B2530, ""en"", ""fa"")
"),"تبلیغات")</f>
        <v>تبلیغات</v>
      </c>
      <c r="G2530" s="1" t="str">
        <f>IFERROR(__xludf.DUMMYFUNCTION("GOOGLETRANSLATE(C2530, ""en"", ""fa"")
"),"تکنیک‌های استفاده از محتوای تولید شده توسط اینفلوئنسرها در تبلیغات برندهای مد و پوشاک را بررسی کنید.")</f>
        <v>تکنیک‌های استفاده از محتوای تولید شده توسط اینفلوئنسرها در تبلیغات برندهای مد و پوشاک را بررسی کنید.</v>
      </c>
      <c r="H2530" s="1"/>
      <c r="I2530" s="1"/>
      <c r="J2530" s="1"/>
      <c r="K2530" s="1"/>
      <c r="L2530" s="1"/>
      <c r="M2530" s="1"/>
      <c r="N2530" s="1"/>
      <c r="O2530" s="1"/>
      <c r="P2530" s="1"/>
      <c r="Q2530" s="1"/>
      <c r="R2530" s="1"/>
      <c r="S2530" s="1"/>
      <c r="T2530" s="1"/>
      <c r="U2530" s="1"/>
      <c r="V2530" s="1"/>
      <c r="W2530" s="1"/>
      <c r="X2530" s="1"/>
      <c r="Y2530" s="1"/>
      <c r="Z2530" s="1"/>
      <c r="AA2530" s="1"/>
      <c r="AB2530" s="1"/>
    </row>
    <row r="2531" ht="50.25" customHeight="1">
      <c r="A2531" s="12">
        <v>2527.0</v>
      </c>
      <c r="B2531" s="13" t="s">
        <v>2434</v>
      </c>
      <c r="C2531" s="14" t="s">
        <v>2544</v>
      </c>
      <c r="D2531" s="1"/>
      <c r="E2531" s="1"/>
      <c r="F2531" s="1" t="str">
        <f>IFERROR(__xludf.DUMMYFUNCTION("GOOGLETRANSLATE(B2531, ""en"", ""fa"")
"),"تبلیغات")</f>
        <v>تبلیغات</v>
      </c>
      <c r="G2531" s="1" t="str">
        <f>IFERROR(__xludf.DUMMYFUNCTION("GOOGLETRANSLATE(C2531, ""en"", ""fa"")
"),"در مورد مزایای استفاده از جذابیت های احساسی و داستان سرایی در تبلیغات برای دکوراسیون منزل و طراحی داخلی بحث کنید.")</f>
        <v>در مورد مزایای استفاده از جذابیت های احساسی و داستان سرایی در تبلیغات برای دکوراسیون منزل و طراحی داخلی بحث کنید.</v>
      </c>
      <c r="H2531" s="1"/>
      <c r="I2531" s="1"/>
      <c r="J2531" s="1"/>
      <c r="K2531" s="1"/>
      <c r="L2531" s="1"/>
      <c r="M2531" s="1"/>
      <c r="N2531" s="1"/>
      <c r="O2531" s="1"/>
      <c r="P2531" s="1"/>
      <c r="Q2531" s="1"/>
      <c r="R2531" s="1"/>
      <c r="S2531" s="1"/>
      <c r="T2531" s="1"/>
      <c r="U2531" s="1"/>
      <c r="V2531" s="1"/>
      <c r="W2531" s="1"/>
      <c r="X2531" s="1"/>
      <c r="Y2531" s="1"/>
      <c r="Z2531" s="1"/>
      <c r="AA2531" s="1"/>
      <c r="AB2531" s="1"/>
    </row>
    <row r="2532" ht="50.25" customHeight="1">
      <c r="A2532" s="12">
        <v>2528.0</v>
      </c>
      <c r="B2532" s="13" t="s">
        <v>2434</v>
      </c>
      <c r="C2532" s="14" t="s">
        <v>2545</v>
      </c>
      <c r="D2532" s="1"/>
      <c r="E2532" s="1"/>
      <c r="F2532" s="1" t="str">
        <f>IFERROR(__xludf.DUMMYFUNCTION("GOOGLETRANSLATE(B2532, ""en"", ""fa"")
"),"تبلیغات")</f>
        <v>تبلیغات</v>
      </c>
      <c r="G2532" s="1" t="str">
        <f>IFERROR(__xludf.DUMMYFUNCTION("GOOGLETRANSLATE(C2532, ""en"", ""fa"")
"),"استراتژی هایی برای ایجاد تبلیغات داستان سرایی تاثیرگذار برای محصولات بهداشتی و سلامتی را به اشتراک بگذارید.")</f>
        <v>استراتژی هایی برای ایجاد تبلیغات داستان سرایی تاثیرگذار برای محصولات بهداشتی و سلامتی را به اشتراک بگذارید.</v>
      </c>
      <c r="H2532" s="1"/>
      <c r="I2532" s="1"/>
      <c r="J2532" s="1"/>
      <c r="K2532" s="1"/>
      <c r="L2532" s="1"/>
      <c r="M2532" s="1"/>
      <c r="N2532" s="1"/>
      <c r="O2532" s="1"/>
      <c r="P2532" s="1"/>
      <c r="Q2532" s="1"/>
      <c r="R2532" s="1"/>
      <c r="S2532" s="1"/>
      <c r="T2532" s="1"/>
      <c r="U2532" s="1"/>
      <c r="V2532" s="1"/>
      <c r="W2532" s="1"/>
      <c r="X2532" s="1"/>
      <c r="Y2532" s="1"/>
      <c r="Z2532" s="1"/>
      <c r="AA2532" s="1"/>
      <c r="AB2532" s="1"/>
    </row>
    <row r="2533" ht="50.25" customHeight="1">
      <c r="A2533" s="12">
        <v>2529.0</v>
      </c>
      <c r="B2533" s="13" t="s">
        <v>2434</v>
      </c>
      <c r="C2533" s="14" t="s">
        <v>2546</v>
      </c>
      <c r="D2533" s="1"/>
      <c r="E2533" s="1"/>
      <c r="F2533" s="1" t="str">
        <f>IFERROR(__xludf.DUMMYFUNCTION("GOOGLETRANSLATE(B2533, ""en"", ""fa"")
"),"تبلیغات")</f>
        <v>تبلیغات</v>
      </c>
      <c r="G2533" s="1" t="str">
        <f>IFERROR(__xludf.DUMMYFUNCTION("GOOGLETRANSLATE(C2533, ""en"", ""fa"")
"),"روش های مختلف برای استفاده از عناصر تعاملی در تبلیغات دیجیتال ساینیج را بررسی کنید.")</f>
        <v>روش های مختلف برای استفاده از عناصر تعاملی در تبلیغات دیجیتال ساینیج را بررسی کنید.</v>
      </c>
      <c r="H2533" s="1"/>
      <c r="I2533" s="1"/>
      <c r="J2533" s="1"/>
      <c r="K2533" s="1"/>
      <c r="L2533" s="1"/>
      <c r="M2533" s="1"/>
      <c r="N2533" s="1"/>
      <c r="O2533" s="1"/>
      <c r="P2533" s="1"/>
      <c r="Q2533" s="1"/>
      <c r="R2533" s="1"/>
      <c r="S2533" s="1"/>
      <c r="T2533" s="1"/>
      <c r="U2533" s="1"/>
      <c r="V2533" s="1"/>
      <c r="W2533" s="1"/>
      <c r="X2533" s="1"/>
      <c r="Y2533" s="1"/>
      <c r="Z2533" s="1"/>
      <c r="AA2533" s="1"/>
      <c r="AB2533" s="1"/>
    </row>
    <row r="2534" ht="50.25" customHeight="1">
      <c r="A2534" s="12">
        <v>2530.0</v>
      </c>
      <c r="B2534" s="13" t="s">
        <v>2434</v>
      </c>
      <c r="C2534" s="14" t="s">
        <v>2547</v>
      </c>
      <c r="D2534" s="1"/>
      <c r="E2534" s="1"/>
      <c r="F2534" s="1" t="str">
        <f>IFERROR(__xludf.DUMMYFUNCTION("GOOGLETRANSLATE(B2534, ""en"", ""fa"")
"),"تبلیغات")</f>
        <v>تبلیغات</v>
      </c>
      <c r="G2534" s="1" t="str">
        <f>IFERROR(__xludf.DUMMYFUNCTION("GOOGLETRANSLATE(C2534, ""en"", ""fa"")
"),"در مورد اهمیت گنجاندن مسابقات رسانه های اجتماعی و هدایا در کمپین های تبلیغاتی بحث کنید.")</f>
        <v>در مورد اهمیت گنجاندن مسابقات رسانه های اجتماعی و هدایا در کمپین های تبلیغاتی بحث کنید.</v>
      </c>
      <c r="H2534" s="1"/>
      <c r="I2534" s="1"/>
      <c r="J2534" s="1"/>
      <c r="K2534" s="1"/>
      <c r="L2534" s="1"/>
      <c r="M2534" s="1"/>
      <c r="N2534" s="1"/>
      <c r="O2534" s="1"/>
      <c r="P2534" s="1"/>
      <c r="Q2534" s="1"/>
      <c r="R2534" s="1"/>
      <c r="S2534" s="1"/>
      <c r="T2534" s="1"/>
      <c r="U2534" s="1"/>
      <c r="V2534" s="1"/>
      <c r="W2534" s="1"/>
      <c r="X2534" s="1"/>
      <c r="Y2534" s="1"/>
      <c r="Z2534" s="1"/>
      <c r="AA2534" s="1"/>
      <c r="AB2534" s="1"/>
    </row>
    <row r="2535" ht="50.25" customHeight="1">
      <c r="A2535" s="12">
        <v>2531.0</v>
      </c>
      <c r="B2535" s="13" t="s">
        <v>2434</v>
      </c>
      <c r="C2535" s="14" t="s">
        <v>2548</v>
      </c>
      <c r="D2535" s="1"/>
      <c r="E2535" s="1"/>
      <c r="F2535" s="1" t="str">
        <f>IFERROR(__xludf.DUMMYFUNCTION("GOOGLETRANSLATE(B2535, ""en"", ""fa"")
"),"تبلیغات")</f>
        <v>تبلیغات</v>
      </c>
      <c r="G2535" s="1" t="str">
        <f>IFERROR(__xludf.DUMMYFUNCTION("GOOGLETRANSLATE(C2535, ""en"", ""fa"")
"),"نکاتی را برای ایجاد تبلیغات گواهی متقاعد کننده برای محصولات خودرو و محصولات مرتبط با خودرو به اشتراک بگذارید.")</f>
        <v>نکاتی را برای ایجاد تبلیغات گواهی متقاعد کننده برای محصولات خودرو و محصولات مرتبط با خودرو به اشتراک بگذارید.</v>
      </c>
      <c r="H2535" s="1"/>
      <c r="I2535" s="1"/>
      <c r="J2535" s="1"/>
      <c r="K2535" s="1"/>
      <c r="L2535" s="1"/>
      <c r="M2535" s="1"/>
      <c r="N2535" s="1"/>
      <c r="O2535" s="1"/>
      <c r="P2535" s="1"/>
      <c r="Q2535" s="1"/>
      <c r="R2535" s="1"/>
      <c r="S2535" s="1"/>
      <c r="T2535" s="1"/>
      <c r="U2535" s="1"/>
      <c r="V2535" s="1"/>
      <c r="W2535" s="1"/>
      <c r="X2535" s="1"/>
      <c r="Y2535" s="1"/>
      <c r="Z2535" s="1"/>
      <c r="AA2535" s="1"/>
      <c r="AB2535" s="1"/>
    </row>
    <row r="2536" ht="50.25" customHeight="1">
      <c r="A2536" s="12">
        <v>2532.0</v>
      </c>
      <c r="B2536" s="13" t="s">
        <v>2434</v>
      </c>
      <c r="C2536" s="14" t="s">
        <v>2549</v>
      </c>
      <c r="D2536" s="1"/>
      <c r="E2536" s="1"/>
      <c r="F2536" s="1" t="str">
        <f>IFERROR(__xludf.DUMMYFUNCTION("GOOGLETRANSLATE(B2536, ""en"", ""fa"")
"),"تبلیغات")</f>
        <v>تبلیغات</v>
      </c>
      <c r="G2536" s="1" t="str">
        <f>IFERROR(__xludf.DUMMYFUNCTION("GOOGLETRANSLATE(C2536, ""en"", ""fa"")
"),"تکنیک های استفاده از طنز و خلاقیت در تبلیغات خدمات مالی و بانکی را بررسی کنید.")</f>
        <v>تکنیک های استفاده از طنز و خلاقیت در تبلیغات خدمات مالی و بانکی را بررسی کنید.</v>
      </c>
      <c r="H2536" s="1"/>
      <c r="I2536" s="1"/>
      <c r="J2536" s="1"/>
      <c r="K2536" s="1"/>
      <c r="L2536" s="1"/>
      <c r="M2536" s="1"/>
      <c r="N2536" s="1"/>
      <c r="O2536" s="1"/>
      <c r="P2536" s="1"/>
      <c r="Q2536" s="1"/>
      <c r="R2536" s="1"/>
      <c r="S2536" s="1"/>
      <c r="T2536" s="1"/>
      <c r="U2536" s="1"/>
      <c r="V2536" s="1"/>
      <c r="W2536" s="1"/>
      <c r="X2536" s="1"/>
      <c r="Y2536" s="1"/>
      <c r="Z2536" s="1"/>
      <c r="AA2536" s="1"/>
      <c r="AB2536" s="1"/>
    </row>
    <row r="2537" ht="50.25" customHeight="1">
      <c r="A2537" s="12">
        <v>2533.0</v>
      </c>
      <c r="B2537" s="13" t="s">
        <v>2434</v>
      </c>
      <c r="C2537" s="14" t="s">
        <v>2550</v>
      </c>
      <c r="D2537" s="1"/>
      <c r="E2537" s="1"/>
      <c r="F2537" s="1" t="str">
        <f>IFERROR(__xludf.DUMMYFUNCTION("GOOGLETRANSLATE(B2537, ""en"", ""fa"")
"),"تبلیغات")</f>
        <v>تبلیغات</v>
      </c>
      <c r="G2537" s="1" t="str">
        <f>IFERROR(__xludf.DUMMYFUNCTION("GOOGLETRANSLATE(C2537, ""en"", ""fa"")
"),"در مورد مزایای استفاده از جذابیت های احساسی و داستان سرایی در تبلیغات برای فناوری و ابزارها بحث کنید.")</f>
        <v>در مورد مزایای استفاده از جذابیت های احساسی و داستان سرایی در تبلیغات برای فناوری و ابزارها بحث کنید.</v>
      </c>
      <c r="H2537" s="1"/>
      <c r="I2537" s="1"/>
      <c r="J2537" s="1"/>
      <c r="K2537" s="1"/>
      <c r="L2537" s="1"/>
      <c r="M2537" s="1"/>
      <c r="N2537" s="1"/>
      <c r="O2537" s="1"/>
      <c r="P2537" s="1"/>
      <c r="Q2537" s="1"/>
      <c r="R2537" s="1"/>
      <c r="S2537" s="1"/>
      <c r="T2537" s="1"/>
      <c r="U2537" s="1"/>
      <c r="V2537" s="1"/>
      <c r="W2537" s="1"/>
      <c r="X2537" s="1"/>
      <c r="Y2537" s="1"/>
      <c r="Z2537" s="1"/>
      <c r="AA2537" s="1"/>
      <c r="AB2537" s="1"/>
    </row>
    <row r="2538" ht="50.25" customHeight="1">
      <c r="A2538" s="12">
        <v>2534.0</v>
      </c>
      <c r="B2538" s="13" t="s">
        <v>2434</v>
      </c>
      <c r="C2538" s="14" t="s">
        <v>2551</v>
      </c>
      <c r="D2538" s="1"/>
      <c r="E2538" s="1"/>
      <c r="F2538" s="1" t="str">
        <f>IFERROR(__xludf.DUMMYFUNCTION("GOOGLETRANSLATE(B2538, ""en"", ""fa"")
"),"تبلیغات")</f>
        <v>تبلیغات</v>
      </c>
      <c r="G2538" s="1" t="str">
        <f>IFERROR(__xludf.DUMMYFUNCTION("GOOGLETRANSLATE(C2538, ""en"", ""fa"")
"),"استراتژی‌های ایجاد کمپین‌های تاثیرگذار بازاریابی تأثیرگذار برای سبک زندگی و مارک‌های مد را به اشتراک بگذارید.")</f>
        <v>استراتژی‌های ایجاد کمپین‌های تاثیرگذار بازاریابی تأثیرگذار برای سبک زندگی و مارک‌های مد را به اشتراک بگذارید.</v>
      </c>
      <c r="H2538" s="1"/>
      <c r="I2538" s="1"/>
      <c r="J2538" s="1"/>
      <c r="K2538" s="1"/>
      <c r="L2538" s="1"/>
      <c r="M2538" s="1"/>
      <c r="N2538" s="1"/>
      <c r="O2538" s="1"/>
      <c r="P2538" s="1"/>
      <c r="Q2538" s="1"/>
      <c r="R2538" s="1"/>
      <c r="S2538" s="1"/>
      <c r="T2538" s="1"/>
      <c r="U2538" s="1"/>
      <c r="V2538" s="1"/>
      <c r="W2538" s="1"/>
      <c r="X2538" s="1"/>
      <c r="Y2538" s="1"/>
      <c r="Z2538" s="1"/>
      <c r="AA2538" s="1"/>
      <c r="AB2538" s="1"/>
    </row>
    <row r="2539" ht="50.25" customHeight="1">
      <c r="A2539" s="12">
        <v>2535.0</v>
      </c>
      <c r="B2539" s="13" t="s">
        <v>2434</v>
      </c>
      <c r="C2539" s="14" t="s">
        <v>2552</v>
      </c>
      <c r="D2539" s="1"/>
      <c r="E2539" s="1"/>
      <c r="F2539" s="1" t="str">
        <f>IFERROR(__xludf.DUMMYFUNCTION("GOOGLETRANSLATE(B2539, ""en"", ""fa"")
"),"تبلیغات")</f>
        <v>تبلیغات</v>
      </c>
      <c r="G2539" s="1" t="str">
        <f>IFERROR(__xludf.DUMMYFUNCTION("GOOGLETRANSLATE(C2539, ""en"", ""fa"")
"),"روش های مختلف استفاده از محتوای تولید شده توسط کاربر در تبلیغات مقاصد مسافرتی و گردشگری را بررسی کنید.")</f>
        <v>روش های مختلف استفاده از محتوای تولید شده توسط کاربر در تبلیغات مقاصد مسافرتی و گردشگری را بررسی کنید.</v>
      </c>
      <c r="H2539" s="1"/>
      <c r="I2539" s="1"/>
      <c r="J2539" s="1"/>
      <c r="K2539" s="1"/>
      <c r="L2539" s="1"/>
      <c r="M2539" s="1"/>
      <c r="N2539" s="1"/>
      <c r="O2539" s="1"/>
      <c r="P2539" s="1"/>
      <c r="Q2539" s="1"/>
      <c r="R2539" s="1"/>
      <c r="S2539" s="1"/>
      <c r="T2539" s="1"/>
      <c r="U2539" s="1"/>
      <c r="V2539" s="1"/>
      <c r="W2539" s="1"/>
      <c r="X2539" s="1"/>
      <c r="Y2539" s="1"/>
      <c r="Z2539" s="1"/>
      <c r="AA2539" s="1"/>
      <c r="AB2539" s="1"/>
    </row>
    <row r="2540" ht="50.25" customHeight="1">
      <c r="A2540" s="12">
        <v>2536.0</v>
      </c>
      <c r="B2540" s="13" t="s">
        <v>2434</v>
      </c>
      <c r="C2540" s="14" t="s">
        <v>2553</v>
      </c>
      <c r="D2540" s="1"/>
      <c r="E2540" s="1"/>
      <c r="F2540" s="1" t="str">
        <f>IFERROR(__xludf.DUMMYFUNCTION("GOOGLETRANSLATE(B2540, ""en"", ""fa"")
"),"تبلیغات")</f>
        <v>تبلیغات</v>
      </c>
      <c r="G2540" s="1" t="str">
        <f>IFERROR(__xludf.DUMMYFUNCTION("GOOGLETRANSLATE(C2540, ""en"", ""fa"")
"),"در مورد اهمیت گنجاندن شواهد اجتماعی و گواهی مشتری در تبلیغات برای محصولات بهداشتی و سلامتی بحث کنید.")</f>
        <v>در مورد اهمیت گنجاندن شواهد اجتماعی و گواهی مشتری در تبلیغات برای محصولات بهداشتی و سلامتی بحث کنید.</v>
      </c>
      <c r="H2540" s="1"/>
      <c r="I2540" s="1"/>
      <c r="J2540" s="1"/>
      <c r="K2540" s="1"/>
      <c r="L2540" s="1"/>
      <c r="M2540" s="1"/>
      <c r="N2540" s="1"/>
      <c r="O2540" s="1"/>
      <c r="P2540" s="1"/>
      <c r="Q2540" s="1"/>
      <c r="R2540" s="1"/>
      <c r="S2540" s="1"/>
      <c r="T2540" s="1"/>
      <c r="U2540" s="1"/>
      <c r="V2540" s="1"/>
      <c r="W2540" s="1"/>
      <c r="X2540" s="1"/>
      <c r="Y2540" s="1"/>
      <c r="Z2540" s="1"/>
      <c r="AA2540" s="1"/>
      <c r="AB2540" s="1"/>
    </row>
    <row r="2541" ht="50.25" customHeight="1">
      <c r="A2541" s="12">
        <v>2537.0</v>
      </c>
      <c r="B2541" s="13" t="s">
        <v>2434</v>
      </c>
      <c r="C2541" s="14" t="s">
        <v>2554</v>
      </c>
      <c r="D2541" s="1"/>
      <c r="E2541" s="1"/>
      <c r="F2541" s="1" t="str">
        <f>IFERROR(__xludf.DUMMYFUNCTION("GOOGLETRANSLATE(B2541, ""en"", ""fa"")
"),"تبلیغات")</f>
        <v>تبلیغات</v>
      </c>
      <c r="G2541" s="1" t="str">
        <f>IFERROR(__xludf.DUMMYFUNCTION("GOOGLETRANSLATE(C2541, ""en"", ""fa"")
"),"نکاتی را برای ایجاد صداهای رادیویی متقاعدکننده که به طور مؤثر پیام های برند را منتقل می کند، به اشتراک بگذارید.")</f>
        <v>نکاتی را برای ایجاد صداهای رادیویی متقاعدکننده که به طور مؤثر پیام های برند را منتقل می کند، به اشتراک بگذارید.</v>
      </c>
      <c r="H2541" s="1"/>
      <c r="I2541" s="1"/>
      <c r="J2541" s="1"/>
      <c r="K2541" s="1"/>
      <c r="L2541" s="1"/>
      <c r="M2541" s="1"/>
      <c r="N2541" s="1"/>
      <c r="O2541" s="1"/>
      <c r="P2541" s="1"/>
      <c r="Q2541" s="1"/>
      <c r="R2541" s="1"/>
      <c r="S2541" s="1"/>
      <c r="T2541" s="1"/>
      <c r="U2541" s="1"/>
      <c r="V2541" s="1"/>
      <c r="W2541" s="1"/>
      <c r="X2541" s="1"/>
      <c r="Y2541" s="1"/>
      <c r="Z2541" s="1"/>
      <c r="AA2541" s="1"/>
      <c r="AB2541" s="1"/>
    </row>
    <row r="2542" ht="50.25" customHeight="1">
      <c r="A2542" s="12">
        <v>2538.0</v>
      </c>
      <c r="B2542" s="13" t="s">
        <v>2434</v>
      </c>
      <c r="C2542" s="14" t="s">
        <v>2555</v>
      </c>
      <c r="D2542" s="1"/>
      <c r="E2542" s="1"/>
      <c r="F2542" s="1" t="str">
        <f>IFERROR(__xludf.DUMMYFUNCTION("GOOGLETRANSLATE(B2542, ""en"", ""fa"")
"),"تبلیغات")</f>
        <v>تبلیغات</v>
      </c>
      <c r="G2542" s="1" t="str">
        <f>IFERROR(__xludf.DUMMYFUNCTION("GOOGLETRANSLATE(C2542, ""en"", ""fa"")
"),"تکنیک های استفاده از داستان سرایی احساسی در تبلیغات برای خدمات بهسازی و نوسازی خانه را بررسی کنید.")</f>
        <v>تکنیک های استفاده از داستان سرایی احساسی در تبلیغات برای خدمات بهسازی و نوسازی خانه را بررسی کنید.</v>
      </c>
      <c r="H2542" s="1"/>
      <c r="I2542" s="1"/>
      <c r="J2542" s="1"/>
      <c r="K2542" s="1"/>
      <c r="L2542" s="1"/>
      <c r="M2542" s="1"/>
      <c r="N2542" s="1"/>
      <c r="O2542" s="1"/>
      <c r="P2542" s="1"/>
      <c r="Q2542" s="1"/>
      <c r="R2542" s="1"/>
      <c r="S2542" s="1"/>
      <c r="T2542" s="1"/>
      <c r="U2542" s="1"/>
      <c r="V2542" s="1"/>
      <c r="W2542" s="1"/>
      <c r="X2542" s="1"/>
      <c r="Y2542" s="1"/>
      <c r="Z2542" s="1"/>
      <c r="AA2542" s="1"/>
      <c r="AB2542" s="1"/>
    </row>
    <row r="2543" ht="50.25" customHeight="1">
      <c r="A2543" s="12">
        <v>2539.0</v>
      </c>
      <c r="B2543" s="13" t="s">
        <v>2434</v>
      </c>
      <c r="C2543" s="14" t="s">
        <v>2556</v>
      </c>
      <c r="D2543" s="1"/>
      <c r="E2543" s="1"/>
      <c r="F2543" s="1" t="str">
        <f>IFERROR(__xludf.DUMMYFUNCTION("GOOGLETRANSLATE(B2543, ""en"", ""fa"")
"),"تبلیغات")</f>
        <v>تبلیغات</v>
      </c>
      <c r="G2543" s="1" t="str">
        <f>IFERROR(__xludf.DUMMYFUNCTION("GOOGLETRANSLATE(C2543, ""en"", ""fa"")
"),"استراتژی هایی برای ایجاد تبلیغات ویدیویی تاثیرگذار برای داستان های رسانه های اجتماعی و محتوای کوتاه به اشتراک بگذارید.")</f>
        <v>استراتژی هایی برای ایجاد تبلیغات ویدیویی تاثیرگذار برای داستان های رسانه های اجتماعی و محتوای کوتاه به اشتراک بگذارید.</v>
      </c>
      <c r="H2543" s="1"/>
      <c r="I2543" s="1"/>
      <c r="J2543" s="1"/>
      <c r="K2543" s="1"/>
      <c r="L2543" s="1"/>
      <c r="M2543" s="1"/>
      <c r="N2543" s="1"/>
      <c r="O2543" s="1"/>
      <c r="P2543" s="1"/>
      <c r="Q2543" s="1"/>
      <c r="R2543" s="1"/>
      <c r="S2543" s="1"/>
      <c r="T2543" s="1"/>
      <c r="U2543" s="1"/>
      <c r="V2543" s="1"/>
      <c r="W2543" s="1"/>
      <c r="X2543" s="1"/>
      <c r="Y2543" s="1"/>
      <c r="Z2543" s="1"/>
      <c r="AA2543" s="1"/>
      <c r="AB2543" s="1"/>
    </row>
    <row r="2544" ht="50.25" customHeight="1">
      <c r="A2544" s="12">
        <v>2540.0</v>
      </c>
      <c r="B2544" s="13" t="s">
        <v>2434</v>
      </c>
      <c r="C2544" s="14" t="s">
        <v>2557</v>
      </c>
      <c r="D2544" s="1"/>
      <c r="E2544" s="1"/>
      <c r="F2544" s="1" t="str">
        <f>IFERROR(__xludf.DUMMYFUNCTION("GOOGLETRANSLATE(B2544, ""en"", ""fa"")
"),"تبلیغات")</f>
        <v>تبلیغات</v>
      </c>
      <c r="G2544" s="1" t="str">
        <f>IFERROR(__xludf.DUMMYFUNCTION("GOOGLETRANSLATE(C2544, ""en"", ""fa"")
"),"روش های مختلف استفاده از طنز و سرگرمی در تبلیغات مقاصد مسافرتی و گردشگری را بررسی کنید.")</f>
        <v>روش های مختلف استفاده از طنز و سرگرمی در تبلیغات مقاصد مسافرتی و گردشگری را بررسی کنید.</v>
      </c>
      <c r="H2544" s="1"/>
      <c r="I2544" s="1"/>
      <c r="J2544" s="1"/>
      <c r="K2544" s="1"/>
      <c r="L2544" s="1"/>
      <c r="M2544" s="1"/>
      <c r="N2544" s="1"/>
      <c r="O2544" s="1"/>
      <c r="P2544" s="1"/>
      <c r="Q2544" s="1"/>
      <c r="R2544" s="1"/>
      <c r="S2544" s="1"/>
      <c r="T2544" s="1"/>
      <c r="U2544" s="1"/>
      <c r="V2544" s="1"/>
      <c r="W2544" s="1"/>
      <c r="X2544" s="1"/>
      <c r="Y2544" s="1"/>
      <c r="Z2544" s="1"/>
      <c r="AA2544" s="1"/>
      <c r="AB2544" s="1"/>
    </row>
    <row r="2545" ht="50.25" customHeight="1">
      <c r="A2545" s="12">
        <v>2541.0</v>
      </c>
      <c r="B2545" s="13" t="s">
        <v>2434</v>
      </c>
      <c r="C2545" s="14" t="s">
        <v>2558</v>
      </c>
      <c r="D2545" s="1"/>
      <c r="E2545" s="1"/>
      <c r="F2545" s="1" t="str">
        <f>IFERROR(__xludf.DUMMYFUNCTION("GOOGLETRANSLATE(B2545, ""en"", ""fa"")
"),"تبلیغات")</f>
        <v>تبلیغات</v>
      </c>
      <c r="G2545" s="1" t="str">
        <f>IFERROR(__xludf.DUMMYFUNCTION("GOOGLETRANSLATE(C2545, ""en"", ""fa"")
"),"درباره اهمیت ترکیب اینفلوئنسرهای رسانه های اجتماعی در تبلیغات برندهای زیبایی و مراقبت از پوست بحث کنید.")</f>
        <v>درباره اهمیت ترکیب اینفلوئنسرهای رسانه های اجتماعی در تبلیغات برندهای زیبایی و مراقبت از پوست بحث کنید.</v>
      </c>
      <c r="H2545" s="1"/>
      <c r="I2545" s="1"/>
      <c r="J2545" s="1"/>
      <c r="K2545" s="1"/>
      <c r="L2545" s="1"/>
      <c r="M2545" s="1"/>
      <c r="N2545" s="1"/>
      <c r="O2545" s="1"/>
      <c r="P2545" s="1"/>
      <c r="Q2545" s="1"/>
      <c r="R2545" s="1"/>
      <c r="S2545" s="1"/>
      <c r="T2545" s="1"/>
      <c r="U2545" s="1"/>
      <c r="V2545" s="1"/>
      <c r="W2545" s="1"/>
      <c r="X2545" s="1"/>
      <c r="Y2545" s="1"/>
      <c r="Z2545" s="1"/>
      <c r="AA2545" s="1"/>
      <c r="AB2545" s="1"/>
    </row>
    <row r="2546" ht="50.25" customHeight="1">
      <c r="A2546" s="12">
        <v>2542.0</v>
      </c>
      <c r="B2546" s="13" t="s">
        <v>2434</v>
      </c>
      <c r="C2546" s="14" t="s">
        <v>2559</v>
      </c>
      <c r="D2546" s="1"/>
      <c r="E2546" s="1"/>
      <c r="F2546" s="1" t="str">
        <f>IFERROR(__xludf.DUMMYFUNCTION("GOOGLETRANSLATE(B2546, ""en"", ""fa"")
"),"تبلیغات")</f>
        <v>تبلیغات</v>
      </c>
      <c r="G2546" s="1" t="str">
        <f>IFERROR(__xludf.DUMMYFUNCTION("GOOGLETRANSLATE(C2546, ""en"", ""fa"")
"),"نکاتی را برای ایجاد تبلیغات چاپی متقاعدکننده برای لیست املاک و مستغلات به اشتراک بگذارید.")</f>
        <v>نکاتی را برای ایجاد تبلیغات چاپی متقاعدکننده برای لیست املاک و مستغلات به اشتراک بگذارید.</v>
      </c>
      <c r="H2546" s="1"/>
      <c r="I2546" s="1"/>
      <c r="J2546" s="1"/>
      <c r="K2546" s="1"/>
      <c r="L2546" s="1"/>
      <c r="M2546" s="1"/>
      <c r="N2546" s="1"/>
      <c r="O2546" s="1"/>
      <c r="P2546" s="1"/>
      <c r="Q2546" s="1"/>
      <c r="R2546" s="1"/>
      <c r="S2546" s="1"/>
      <c r="T2546" s="1"/>
      <c r="U2546" s="1"/>
      <c r="V2546" s="1"/>
      <c r="W2546" s="1"/>
      <c r="X2546" s="1"/>
      <c r="Y2546" s="1"/>
      <c r="Z2546" s="1"/>
      <c r="AA2546" s="1"/>
      <c r="AB2546" s="1"/>
    </row>
    <row r="2547" ht="50.25" customHeight="1">
      <c r="A2547" s="12">
        <v>2543.0</v>
      </c>
      <c r="B2547" s="13" t="s">
        <v>2434</v>
      </c>
      <c r="C2547" s="14" t="s">
        <v>2560</v>
      </c>
      <c r="D2547" s="1"/>
      <c r="E2547" s="1"/>
      <c r="F2547" s="1" t="str">
        <f>IFERROR(__xludf.DUMMYFUNCTION("GOOGLETRANSLATE(B2547, ""en"", ""fa"")
"),"تبلیغات")</f>
        <v>تبلیغات</v>
      </c>
      <c r="G2547" s="1" t="str">
        <f>IFERROR(__xludf.DUMMYFUNCTION("GOOGLETRANSLATE(C2547, ""en"", ""fa"")
"),"تکنیک‌هایی را برای استفاده از عناصر تعاملی در تبلیغات دیجیتال برای افزایش تعامل و تبدیل کاربر بررسی کنید.")</f>
        <v>تکنیک‌هایی را برای استفاده از عناصر تعاملی در تبلیغات دیجیتال برای افزایش تعامل و تبدیل کاربر بررسی کنید.</v>
      </c>
      <c r="H2547" s="1"/>
      <c r="I2547" s="1"/>
      <c r="J2547" s="1"/>
      <c r="K2547" s="1"/>
      <c r="L2547" s="1"/>
      <c r="M2547" s="1"/>
      <c r="N2547" s="1"/>
      <c r="O2547" s="1"/>
      <c r="P2547" s="1"/>
      <c r="Q2547" s="1"/>
      <c r="R2547" s="1"/>
      <c r="S2547" s="1"/>
      <c r="T2547" s="1"/>
      <c r="U2547" s="1"/>
      <c r="V2547" s="1"/>
      <c r="W2547" s="1"/>
      <c r="X2547" s="1"/>
      <c r="Y2547" s="1"/>
      <c r="Z2547" s="1"/>
      <c r="AA2547" s="1"/>
      <c r="AB2547" s="1"/>
    </row>
    <row r="2548" ht="50.25" customHeight="1">
      <c r="A2548" s="12">
        <v>2544.0</v>
      </c>
      <c r="B2548" s="13" t="s">
        <v>2434</v>
      </c>
      <c r="C2548" s="14" t="s">
        <v>2561</v>
      </c>
      <c r="D2548" s="1"/>
      <c r="E2548" s="1"/>
      <c r="F2548" s="1" t="str">
        <f>IFERROR(__xludf.DUMMYFUNCTION("GOOGLETRANSLATE(B2548, ""en"", ""fa"")
"),"تبلیغات")</f>
        <v>تبلیغات</v>
      </c>
      <c r="G2548" s="1" t="str">
        <f>IFERROR(__xludf.DUMMYFUNCTION("GOOGLETRANSLATE(C2548, ""en"", ""fa"")
"),"در مورد مزایای استفاده از جذابیت های احساسی و داستان سرایی در تبلیغات برای برندهای مد و پوشاک بحث کنید.")</f>
        <v>در مورد مزایای استفاده از جذابیت های احساسی و داستان سرایی در تبلیغات برای برندهای مد و پوشاک بحث کنید.</v>
      </c>
      <c r="H2548" s="1"/>
      <c r="I2548" s="1"/>
      <c r="J2548" s="1"/>
      <c r="K2548" s="1"/>
      <c r="L2548" s="1"/>
      <c r="M2548" s="1"/>
      <c r="N2548" s="1"/>
      <c r="O2548" s="1"/>
      <c r="P2548" s="1"/>
      <c r="Q2548" s="1"/>
      <c r="R2548" s="1"/>
      <c r="S2548" s="1"/>
      <c r="T2548" s="1"/>
      <c r="U2548" s="1"/>
      <c r="V2548" s="1"/>
      <c r="W2548" s="1"/>
      <c r="X2548" s="1"/>
      <c r="Y2548" s="1"/>
      <c r="Z2548" s="1"/>
      <c r="AA2548" s="1"/>
      <c r="AB2548" s="1"/>
    </row>
    <row r="2549" ht="50.25" customHeight="1">
      <c r="A2549" s="12">
        <v>2545.0</v>
      </c>
      <c r="B2549" s="13" t="s">
        <v>2434</v>
      </c>
      <c r="C2549" s="14" t="s">
        <v>2562</v>
      </c>
      <c r="D2549" s="1"/>
      <c r="E2549" s="1"/>
      <c r="F2549" s="1" t="str">
        <f>IFERROR(__xludf.DUMMYFUNCTION("GOOGLETRANSLATE(B2549, ""en"", ""fa"")
"),"تبلیغات")</f>
        <v>تبلیغات</v>
      </c>
      <c r="G2549" s="1" t="str">
        <f>IFERROR(__xludf.DUMMYFUNCTION("GOOGLETRANSLATE(C2549, ""en"", ""fa"")
"),"استراتژی‌های ایجاد کمپین‌های تاثیرگذار بازاریابی تأثیرگذار برای برندهای غذا و نوشیدنی را به اشتراک بگذارید.")</f>
        <v>استراتژی‌های ایجاد کمپین‌های تاثیرگذار بازاریابی تأثیرگذار برای برندهای غذا و نوشیدنی را به اشتراک بگذارید.</v>
      </c>
      <c r="H2549" s="1"/>
      <c r="I2549" s="1"/>
      <c r="J2549" s="1"/>
      <c r="K2549" s="1"/>
      <c r="L2549" s="1"/>
      <c r="M2549" s="1"/>
      <c r="N2549" s="1"/>
      <c r="O2549" s="1"/>
      <c r="P2549" s="1"/>
      <c r="Q2549" s="1"/>
      <c r="R2549" s="1"/>
      <c r="S2549" s="1"/>
      <c r="T2549" s="1"/>
      <c r="U2549" s="1"/>
      <c r="V2549" s="1"/>
      <c r="W2549" s="1"/>
      <c r="X2549" s="1"/>
      <c r="Y2549" s="1"/>
      <c r="Z2549" s="1"/>
      <c r="AA2549" s="1"/>
      <c r="AB2549" s="1"/>
    </row>
    <row r="2550" ht="50.25" customHeight="1">
      <c r="A2550" s="12">
        <v>2546.0</v>
      </c>
      <c r="B2550" s="13" t="s">
        <v>2434</v>
      </c>
      <c r="C2550" s="14" t="s">
        <v>2563</v>
      </c>
      <c r="D2550" s="1"/>
      <c r="E2550" s="1"/>
      <c r="F2550" s="1" t="str">
        <f>IFERROR(__xludf.DUMMYFUNCTION("GOOGLETRANSLATE(B2550, ""en"", ""fa"")
"),"تبلیغات")</f>
        <v>تبلیغات</v>
      </c>
      <c r="G2550" s="1" t="str">
        <f>IFERROR(__xludf.DUMMYFUNCTION("GOOGLETRANSLATE(C2550, ""en"", ""fa"")
"),"تکنیک های استفاده از داستان سرایی احساسی در تبلیغات برای محصولات خانگی و سبک زندگی را بررسی کنید.")</f>
        <v>تکنیک های استفاده از داستان سرایی احساسی در تبلیغات برای محصولات خانگی و سبک زندگی را بررسی کنید.</v>
      </c>
      <c r="H2550" s="1"/>
      <c r="I2550" s="1"/>
      <c r="J2550" s="1"/>
      <c r="K2550" s="1"/>
      <c r="L2550" s="1"/>
      <c r="M2550" s="1"/>
      <c r="N2550" s="1"/>
      <c r="O2550" s="1"/>
      <c r="P2550" s="1"/>
      <c r="Q2550" s="1"/>
      <c r="R2550" s="1"/>
      <c r="S2550" s="1"/>
      <c r="T2550" s="1"/>
      <c r="U2550" s="1"/>
      <c r="V2550" s="1"/>
      <c r="W2550" s="1"/>
      <c r="X2550" s="1"/>
      <c r="Y2550" s="1"/>
      <c r="Z2550" s="1"/>
      <c r="AA2550" s="1"/>
      <c r="AB2550" s="1"/>
    </row>
    <row r="2551" ht="50.25" customHeight="1">
      <c r="A2551" s="12">
        <v>2547.0</v>
      </c>
      <c r="B2551" s="13" t="s">
        <v>2434</v>
      </c>
      <c r="C2551" s="14" t="s">
        <v>2564</v>
      </c>
      <c r="D2551" s="1"/>
      <c r="E2551" s="1"/>
      <c r="F2551" s="1" t="str">
        <f>IFERROR(__xludf.DUMMYFUNCTION("GOOGLETRANSLATE(B2551, ""en"", ""fa"")
"),"تبلیغات")</f>
        <v>تبلیغات</v>
      </c>
      <c r="G2551" s="1" t="str">
        <f>IFERROR(__xludf.DUMMYFUNCTION("GOOGLETRANSLATE(C2551, ""en"", ""fa"")
"),"در مورد مزایای ترکیب محتوای تولید شده توسط کاربر در تبلیغات برای کمپین های مسافرتی و گردشگری بحث کنید.")</f>
        <v>در مورد مزایای ترکیب محتوای تولید شده توسط کاربر در تبلیغات برای کمپین های مسافرتی و گردشگری بحث کنید.</v>
      </c>
      <c r="H2551" s="1"/>
      <c r="I2551" s="1"/>
      <c r="J2551" s="1"/>
      <c r="K2551" s="1"/>
      <c r="L2551" s="1"/>
      <c r="M2551" s="1"/>
      <c r="N2551" s="1"/>
      <c r="O2551" s="1"/>
      <c r="P2551" s="1"/>
      <c r="Q2551" s="1"/>
      <c r="R2551" s="1"/>
      <c r="S2551" s="1"/>
      <c r="T2551" s="1"/>
      <c r="U2551" s="1"/>
      <c r="V2551" s="1"/>
      <c r="W2551" s="1"/>
      <c r="X2551" s="1"/>
      <c r="Y2551" s="1"/>
      <c r="Z2551" s="1"/>
      <c r="AA2551" s="1"/>
      <c r="AB2551" s="1"/>
    </row>
    <row r="2552" ht="50.25" customHeight="1">
      <c r="A2552" s="12">
        <v>2548.0</v>
      </c>
      <c r="B2552" s="13" t="s">
        <v>2434</v>
      </c>
      <c r="C2552" s="14" t="s">
        <v>2565</v>
      </c>
      <c r="D2552" s="1"/>
      <c r="E2552" s="1"/>
      <c r="F2552" s="1" t="str">
        <f>IFERROR(__xludf.DUMMYFUNCTION("GOOGLETRANSLATE(B2552, ""en"", ""fa"")
"),"تبلیغات")</f>
        <v>تبلیغات</v>
      </c>
      <c r="G2552" s="1" t="str">
        <f>IFERROR(__xludf.DUMMYFUNCTION("GOOGLETRANSLATE(C2552, ""en"", ""fa"")
"),"نکاتی را برای ایجاد تبلیغات رادیویی متقاعدکننده که به طور مؤثر پیام برند را منتقل می کند، به اشتراک بگذارید.")</f>
        <v>نکاتی را برای ایجاد تبلیغات رادیویی متقاعدکننده که به طور مؤثر پیام برند را منتقل می کند، به اشتراک بگذارید.</v>
      </c>
      <c r="H2552" s="1"/>
      <c r="I2552" s="1"/>
      <c r="J2552" s="1"/>
      <c r="K2552" s="1"/>
      <c r="L2552" s="1"/>
      <c r="M2552" s="1"/>
      <c r="N2552" s="1"/>
      <c r="O2552" s="1"/>
      <c r="P2552" s="1"/>
      <c r="Q2552" s="1"/>
      <c r="R2552" s="1"/>
      <c r="S2552" s="1"/>
      <c r="T2552" s="1"/>
      <c r="U2552" s="1"/>
      <c r="V2552" s="1"/>
      <c r="W2552" s="1"/>
      <c r="X2552" s="1"/>
      <c r="Y2552" s="1"/>
      <c r="Z2552" s="1"/>
      <c r="AA2552" s="1"/>
      <c r="AB2552" s="1"/>
    </row>
    <row r="2553" ht="50.25" customHeight="1">
      <c r="A2553" s="12">
        <v>2549.0</v>
      </c>
      <c r="B2553" s="13" t="s">
        <v>2434</v>
      </c>
      <c r="C2553" s="14" t="s">
        <v>2566</v>
      </c>
      <c r="D2553" s="1"/>
      <c r="E2553" s="1"/>
      <c r="F2553" s="1" t="str">
        <f>IFERROR(__xludf.DUMMYFUNCTION("GOOGLETRANSLATE(B2553, ""en"", ""fa"")
"),"تبلیغات")</f>
        <v>تبلیغات</v>
      </c>
      <c r="G2553" s="1" t="str">
        <f>IFERROR(__xludf.DUMMYFUNCTION("GOOGLETRANSLATE(C2553, ""en"", ""fa"")
"),"روش های مختلف استفاده از طنز و خلاقیت در تبلیغات خودرو و محصولات مرتبط با خودرو را بررسی کنید.")</f>
        <v>روش های مختلف استفاده از طنز و خلاقیت در تبلیغات خودرو و محصولات مرتبط با خودرو را بررسی کنید.</v>
      </c>
      <c r="H2553" s="1"/>
      <c r="I2553" s="1"/>
      <c r="J2553" s="1"/>
      <c r="K2553" s="1"/>
      <c r="L2553" s="1"/>
      <c r="M2553" s="1"/>
      <c r="N2553" s="1"/>
      <c r="O2553" s="1"/>
      <c r="P2553" s="1"/>
      <c r="Q2553" s="1"/>
      <c r="R2553" s="1"/>
      <c r="S2553" s="1"/>
      <c r="T2553" s="1"/>
      <c r="U2553" s="1"/>
      <c r="V2553" s="1"/>
      <c r="W2553" s="1"/>
      <c r="X2553" s="1"/>
      <c r="Y2553" s="1"/>
      <c r="Z2553" s="1"/>
      <c r="AA2553" s="1"/>
      <c r="AB2553" s="1"/>
    </row>
    <row r="2554" ht="50.25" customHeight="1">
      <c r="A2554" s="12">
        <v>2550.0</v>
      </c>
      <c r="B2554" s="13" t="s">
        <v>2434</v>
      </c>
      <c r="C2554" s="14" t="s">
        <v>2567</v>
      </c>
      <c r="D2554" s="1"/>
      <c r="E2554" s="1"/>
      <c r="F2554" s="1" t="str">
        <f>IFERROR(__xludf.DUMMYFUNCTION("GOOGLETRANSLATE(B2554, ""en"", ""fa"")
"),"تبلیغات")</f>
        <v>تبلیغات</v>
      </c>
      <c r="G2554" s="1" t="str">
        <f>IFERROR(__xludf.DUMMYFUNCTION("GOOGLETRANSLATE(C2554, ""en"", ""fa"")
"),"در مورد اهمیت گنجاندن پلتفرم های تبلیغاتی رسانه های اجتماعی در کمپین های تبلیغاتی هدفمند بحث کنید.")</f>
        <v>در مورد اهمیت گنجاندن پلتفرم های تبلیغاتی رسانه های اجتماعی در کمپین های تبلیغاتی هدفمند بحث کنید.</v>
      </c>
      <c r="H2554" s="1"/>
      <c r="I2554" s="1"/>
      <c r="J2554" s="1"/>
      <c r="K2554" s="1"/>
      <c r="L2554" s="1"/>
      <c r="M2554" s="1"/>
      <c r="N2554" s="1"/>
      <c r="O2554" s="1"/>
      <c r="P2554" s="1"/>
      <c r="Q2554" s="1"/>
      <c r="R2554" s="1"/>
      <c r="S2554" s="1"/>
      <c r="T2554" s="1"/>
      <c r="U2554" s="1"/>
      <c r="V2554" s="1"/>
      <c r="W2554" s="1"/>
      <c r="X2554" s="1"/>
      <c r="Y2554" s="1"/>
      <c r="Z2554" s="1"/>
      <c r="AA2554" s="1"/>
      <c r="AB2554" s="1"/>
    </row>
    <row r="2555" ht="50.25" customHeight="1">
      <c r="A2555" s="12">
        <v>2551.0</v>
      </c>
      <c r="B2555" s="13" t="s">
        <v>2434</v>
      </c>
      <c r="C2555" s="14" t="s">
        <v>2568</v>
      </c>
      <c r="D2555" s="1"/>
      <c r="E2555" s="1"/>
      <c r="F2555" s="1" t="str">
        <f>IFERROR(__xludf.DUMMYFUNCTION("GOOGLETRANSLATE(B2555, ""en"", ""fa"")
"),"تبلیغات")</f>
        <v>تبلیغات</v>
      </c>
      <c r="G2555" s="1" t="str">
        <f>IFERROR(__xludf.DUMMYFUNCTION("GOOGLETRANSLATE(C2555, ""en"", ""fa"")
"),"استراتژی هایی برای ایجاد تبلیغات بنری دیجیتال تاثیرگذار که توجه مخاطب را جلب می کند را به اشتراک بگذارید.")</f>
        <v>استراتژی هایی برای ایجاد تبلیغات بنری دیجیتال تاثیرگذار که توجه مخاطب را جلب می کند را به اشتراک بگذارید.</v>
      </c>
      <c r="H2555" s="1"/>
      <c r="I2555" s="1"/>
      <c r="J2555" s="1"/>
      <c r="K2555" s="1"/>
      <c r="L2555" s="1"/>
      <c r="M2555" s="1"/>
      <c r="N2555" s="1"/>
      <c r="O2555" s="1"/>
      <c r="P2555" s="1"/>
      <c r="Q2555" s="1"/>
      <c r="R2555" s="1"/>
      <c r="S2555" s="1"/>
      <c r="T2555" s="1"/>
      <c r="U2555" s="1"/>
      <c r="V2555" s="1"/>
      <c r="W2555" s="1"/>
      <c r="X2555" s="1"/>
      <c r="Y2555" s="1"/>
      <c r="Z2555" s="1"/>
      <c r="AA2555" s="1"/>
      <c r="AB2555" s="1"/>
    </row>
    <row r="2556" ht="50.25" customHeight="1">
      <c r="A2556" s="12">
        <v>2552.0</v>
      </c>
      <c r="B2556" s="13" t="s">
        <v>2434</v>
      </c>
      <c r="C2556" s="14" t="s">
        <v>2569</v>
      </c>
      <c r="D2556" s="1"/>
      <c r="E2556" s="1"/>
      <c r="F2556" s="1" t="str">
        <f>IFERROR(__xludf.DUMMYFUNCTION("GOOGLETRANSLATE(B2556, ""en"", ""fa"")
"),"تبلیغات")</f>
        <v>تبلیغات</v>
      </c>
      <c r="G2556" s="1" t="str">
        <f>IFERROR(__xludf.DUMMYFUNCTION("GOOGLETRANSLATE(C2556, ""en"", ""fa"")
"),"تکنیک های استفاده از محتوای تولید شده توسط اینفلوئنسرها را در تبلیغات برندهای سلامت و تندرستی کاوش کنید.")</f>
        <v>تکنیک های استفاده از محتوای تولید شده توسط اینفلوئنسرها را در تبلیغات برندهای سلامت و تندرستی کاوش کنید.</v>
      </c>
      <c r="H2556" s="1"/>
      <c r="I2556" s="1"/>
      <c r="J2556" s="1"/>
      <c r="K2556" s="1"/>
      <c r="L2556" s="1"/>
      <c r="M2556" s="1"/>
      <c r="N2556" s="1"/>
      <c r="O2556" s="1"/>
      <c r="P2556" s="1"/>
      <c r="Q2556" s="1"/>
      <c r="R2556" s="1"/>
      <c r="S2556" s="1"/>
      <c r="T2556" s="1"/>
      <c r="U2556" s="1"/>
      <c r="V2556" s="1"/>
      <c r="W2556" s="1"/>
      <c r="X2556" s="1"/>
      <c r="Y2556" s="1"/>
      <c r="Z2556" s="1"/>
      <c r="AA2556" s="1"/>
      <c r="AB2556" s="1"/>
    </row>
    <row r="2557" ht="50.25" customHeight="1">
      <c r="A2557" s="12">
        <v>2553.0</v>
      </c>
      <c r="B2557" s="13" t="s">
        <v>2434</v>
      </c>
      <c r="C2557" s="14" t="s">
        <v>2570</v>
      </c>
      <c r="D2557" s="1"/>
      <c r="E2557" s="1"/>
      <c r="F2557" s="1" t="str">
        <f>IFERROR(__xludf.DUMMYFUNCTION("GOOGLETRANSLATE(B2557, ""en"", ""fa"")
"),"تبلیغات")</f>
        <v>تبلیغات</v>
      </c>
      <c r="G2557" s="1" t="str">
        <f>IFERROR(__xludf.DUMMYFUNCTION("GOOGLETRANSLATE(C2557, ""en"", ""fa"")
"),"نکاتی را برای ایجاد تبلیغات بیلبورد متقاعدکننده به اشتراک بگذارید که تأثیر ماندگاری بر بینندگان بگذارد.")</f>
        <v>نکاتی را برای ایجاد تبلیغات بیلبورد متقاعدکننده به اشتراک بگذارید که تأثیر ماندگاری بر بینندگان بگذارد.</v>
      </c>
      <c r="H2557" s="1"/>
      <c r="I2557" s="1"/>
      <c r="J2557" s="1"/>
      <c r="K2557" s="1"/>
      <c r="L2557" s="1"/>
      <c r="M2557" s="1"/>
      <c r="N2557" s="1"/>
      <c r="O2557" s="1"/>
      <c r="P2557" s="1"/>
      <c r="Q2557" s="1"/>
      <c r="R2557" s="1"/>
      <c r="S2557" s="1"/>
      <c r="T2557" s="1"/>
      <c r="U2557" s="1"/>
      <c r="V2557" s="1"/>
      <c r="W2557" s="1"/>
      <c r="X2557" s="1"/>
      <c r="Y2557" s="1"/>
      <c r="Z2557" s="1"/>
      <c r="AA2557" s="1"/>
      <c r="AB2557" s="1"/>
    </row>
    <row r="2558" ht="50.25" customHeight="1">
      <c r="A2558" s="12">
        <v>2554.0</v>
      </c>
      <c r="B2558" s="13" t="s">
        <v>2434</v>
      </c>
      <c r="C2558" s="14" t="s">
        <v>2571</v>
      </c>
      <c r="D2558" s="1"/>
      <c r="E2558" s="1"/>
      <c r="F2558" s="1" t="str">
        <f>IFERROR(__xludf.DUMMYFUNCTION("GOOGLETRANSLATE(B2558, ""en"", ""fa"")
"),"تبلیغات")</f>
        <v>تبلیغات</v>
      </c>
      <c r="G2558" s="1" t="str">
        <f>IFERROR(__xludf.DUMMYFUNCTION("GOOGLETRANSLATE(C2558, ""en"", ""fa"")
"),"روش های مختلف برای استفاده از تبلیغات پویا و شخصی سازی شده بر اساس رفتار کاربر را بررسی کنید.")</f>
        <v>روش های مختلف برای استفاده از تبلیغات پویا و شخصی سازی شده بر اساس رفتار کاربر را بررسی کنید.</v>
      </c>
      <c r="H2558" s="1"/>
      <c r="I2558" s="1"/>
      <c r="J2558" s="1"/>
      <c r="K2558" s="1"/>
      <c r="L2558" s="1"/>
      <c r="M2558" s="1"/>
      <c r="N2558" s="1"/>
      <c r="O2558" s="1"/>
      <c r="P2558" s="1"/>
      <c r="Q2558" s="1"/>
      <c r="R2558" s="1"/>
      <c r="S2558" s="1"/>
      <c r="T2558" s="1"/>
      <c r="U2558" s="1"/>
      <c r="V2558" s="1"/>
      <c r="W2558" s="1"/>
      <c r="X2558" s="1"/>
      <c r="Y2558" s="1"/>
      <c r="Z2558" s="1"/>
      <c r="AA2558" s="1"/>
      <c r="AB2558" s="1"/>
    </row>
    <row r="2559" ht="50.25" customHeight="1">
      <c r="A2559" s="12">
        <v>2555.0</v>
      </c>
      <c r="B2559" s="13" t="s">
        <v>2434</v>
      </c>
      <c r="C2559" s="14" t="s">
        <v>2572</v>
      </c>
      <c r="D2559" s="1"/>
      <c r="E2559" s="1"/>
      <c r="F2559" s="1" t="str">
        <f>IFERROR(__xludf.DUMMYFUNCTION("GOOGLETRANSLATE(B2559, ""en"", ""fa"")
"),"تبلیغات")</f>
        <v>تبلیغات</v>
      </c>
      <c r="G2559" s="1" t="str">
        <f>IFERROR(__xludf.DUMMYFUNCTION("GOOGLETRANSLATE(C2559, ""en"", ""fa"")
"),"در مورد اهمیت ادغام اصالت و شفافیت در تبلیغات برای برندهای پایدار بحث کنید.")</f>
        <v>در مورد اهمیت ادغام اصالت و شفافیت در تبلیغات برای برندهای پایدار بحث کنید.</v>
      </c>
      <c r="H2559" s="1"/>
      <c r="I2559" s="1"/>
      <c r="J2559" s="1"/>
      <c r="K2559" s="1"/>
      <c r="L2559" s="1"/>
      <c r="M2559" s="1"/>
      <c r="N2559" s="1"/>
      <c r="O2559" s="1"/>
      <c r="P2559" s="1"/>
      <c r="Q2559" s="1"/>
      <c r="R2559" s="1"/>
      <c r="S2559" s="1"/>
      <c r="T2559" s="1"/>
      <c r="U2559" s="1"/>
      <c r="V2559" s="1"/>
      <c r="W2559" s="1"/>
      <c r="X2559" s="1"/>
      <c r="Y2559" s="1"/>
      <c r="Z2559" s="1"/>
      <c r="AA2559" s="1"/>
      <c r="AB2559" s="1"/>
    </row>
    <row r="2560" ht="50.25" customHeight="1">
      <c r="A2560" s="12">
        <v>2556.0</v>
      </c>
      <c r="B2560" s="13" t="s">
        <v>2434</v>
      </c>
      <c r="C2560" s="14" t="s">
        <v>2573</v>
      </c>
      <c r="D2560" s="1"/>
      <c r="E2560" s="1"/>
      <c r="F2560" s="1" t="str">
        <f>IFERROR(__xludf.DUMMYFUNCTION("GOOGLETRANSLATE(B2560, ""en"", ""fa"")
"),"تبلیغات")</f>
        <v>تبلیغات</v>
      </c>
      <c r="G2560" s="1" t="str">
        <f>IFERROR(__xludf.DUMMYFUNCTION("GOOGLETRANSLATE(C2560, ""en"", ""fa"")
"),"استراتژی هایی برای ایجاد کمپین های تبلیغاتی تاثیرگذار مرتبط با علت که با مخاطبان طنین انداز می شود را به اشتراک بگذارید.")</f>
        <v>استراتژی هایی برای ایجاد کمپین های تبلیغاتی تاثیرگذار مرتبط با علت که با مخاطبان طنین انداز می شود را به اشتراک بگذارید.</v>
      </c>
      <c r="H2560" s="1"/>
      <c r="I2560" s="1"/>
      <c r="J2560" s="1"/>
      <c r="K2560" s="1"/>
      <c r="L2560" s="1"/>
      <c r="M2560" s="1"/>
      <c r="N2560" s="1"/>
      <c r="O2560" s="1"/>
      <c r="P2560" s="1"/>
      <c r="Q2560" s="1"/>
      <c r="R2560" s="1"/>
      <c r="S2560" s="1"/>
      <c r="T2560" s="1"/>
      <c r="U2560" s="1"/>
      <c r="V2560" s="1"/>
      <c r="W2560" s="1"/>
      <c r="X2560" s="1"/>
      <c r="Y2560" s="1"/>
      <c r="Z2560" s="1"/>
      <c r="AA2560" s="1"/>
      <c r="AB2560" s="1"/>
    </row>
    <row r="2561" ht="50.25" customHeight="1">
      <c r="A2561" s="12">
        <v>2557.0</v>
      </c>
      <c r="B2561" s="13" t="s">
        <v>2434</v>
      </c>
      <c r="C2561" s="14" t="s">
        <v>2574</v>
      </c>
      <c r="D2561" s="1"/>
      <c r="E2561" s="1"/>
      <c r="F2561" s="1" t="str">
        <f>IFERROR(__xludf.DUMMYFUNCTION("GOOGLETRANSLATE(B2561, ""en"", ""fa"")
"),"تبلیغات")</f>
        <v>تبلیغات</v>
      </c>
      <c r="G2561" s="1" t="str">
        <f>IFERROR(__xludf.DUMMYFUNCTION("GOOGLETRANSLATE(C2561, ""en"", ""fa"")
"),"در مورد مزایای استفاده از محتوای تولید شده توسط اینفلوئنسرها در تبلیغات برای برندهای مد و پوشاک صحبت کنید.")</f>
        <v>در مورد مزایای استفاده از محتوای تولید شده توسط اینفلوئنسرها در تبلیغات برای برندهای مد و پوشاک صحبت کنید.</v>
      </c>
      <c r="H2561" s="1"/>
      <c r="I2561" s="1"/>
      <c r="J2561" s="1"/>
      <c r="K2561" s="1"/>
      <c r="L2561" s="1"/>
      <c r="M2561" s="1"/>
      <c r="N2561" s="1"/>
      <c r="O2561" s="1"/>
      <c r="P2561" s="1"/>
      <c r="Q2561" s="1"/>
      <c r="R2561" s="1"/>
      <c r="S2561" s="1"/>
      <c r="T2561" s="1"/>
      <c r="U2561" s="1"/>
      <c r="V2561" s="1"/>
      <c r="W2561" s="1"/>
      <c r="X2561" s="1"/>
      <c r="Y2561" s="1"/>
      <c r="Z2561" s="1"/>
      <c r="AA2561" s="1"/>
      <c r="AB2561" s="1"/>
    </row>
    <row r="2562" ht="50.25" customHeight="1">
      <c r="A2562" s="12">
        <v>2558.0</v>
      </c>
      <c r="B2562" s="13" t="s">
        <v>2434</v>
      </c>
      <c r="C2562" s="14" t="s">
        <v>2575</v>
      </c>
      <c r="D2562" s="1"/>
      <c r="E2562" s="1"/>
      <c r="F2562" s="1" t="str">
        <f>IFERROR(__xludf.DUMMYFUNCTION("GOOGLETRANSLATE(B2562, ""en"", ""fa"")
"),"تبلیغات")</f>
        <v>تبلیغات</v>
      </c>
      <c r="G2562" s="1" t="str">
        <f>IFERROR(__xludf.DUMMYFUNCTION("GOOGLETRANSLATE(C2562, ""en"", ""fa"")
"),"نکاتی را برای ایجاد تبلیغات داستان سرایی متقاعدکننده برای محصولات فناوری و ابزارک به اشتراک بگذارید.")</f>
        <v>نکاتی را برای ایجاد تبلیغات داستان سرایی متقاعدکننده برای محصولات فناوری و ابزارک به اشتراک بگذارید.</v>
      </c>
      <c r="H2562" s="1"/>
      <c r="I2562" s="1"/>
      <c r="J2562" s="1"/>
      <c r="K2562" s="1"/>
      <c r="L2562" s="1"/>
      <c r="M2562" s="1"/>
      <c r="N2562" s="1"/>
      <c r="O2562" s="1"/>
      <c r="P2562" s="1"/>
      <c r="Q2562" s="1"/>
      <c r="R2562" s="1"/>
      <c r="S2562" s="1"/>
      <c r="T2562" s="1"/>
      <c r="U2562" s="1"/>
      <c r="V2562" s="1"/>
      <c r="W2562" s="1"/>
      <c r="X2562" s="1"/>
      <c r="Y2562" s="1"/>
      <c r="Z2562" s="1"/>
      <c r="AA2562" s="1"/>
      <c r="AB2562" s="1"/>
    </row>
    <row r="2563" ht="50.25" customHeight="1">
      <c r="A2563" s="12">
        <v>2559.0</v>
      </c>
      <c r="B2563" s="13" t="s">
        <v>2434</v>
      </c>
      <c r="C2563" s="14" t="s">
        <v>2576</v>
      </c>
      <c r="D2563" s="1"/>
      <c r="E2563" s="1"/>
      <c r="F2563" s="1" t="str">
        <f>IFERROR(__xludf.DUMMYFUNCTION("GOOGLETRANSLATE(B2563, ""en"", ""fa"")
"),"تبلیغات")</f>
        <v>تبلیغات</v>
      </c>
      <c r="G2563" s="1" t="str">
        <f>IFERROR(__xludf.DUMMYFUNCTION("GOOGLETRANSLATE(C2563, ""en"", ""fa"")
"),"روش های مختلف برای استفاده از هدف گذاری مجدد تبلیغات رسانه های اجتماعی برای بهبود نرخ تبدیل را بررسی کنید.")</f>
        <v>روش های مختلف برای استفاده از هدف گذاری مجدد تبلیغات رسانه های اجتماعی برای بهبود نرخ تبدیل را بررسی کنید.</v>
      </c>
      <c r="H2563" s="1"/>
      <c r="I2563" s="1"/>
      <c r="J2563" s="1"/>
      <c r="K2563" s="1"/>
      <c r="L2563" s="1"/>
      <c r="M2563" s="1"/>
      <c r="N2563" s="1"/>
      <c r="O2563" s="1"/>
      <c r="P2563" s="1"/>
      <c r="Q2563" s="1"/>
      <c r="R2563" s="1"/>
      <c r="S2563" s="1"/>
      <c r="T2563" s="1"/>
      <c r="U2563" s="1"/>
      <c r="V2563" s="1"/>
      <c r="W2563" s="1"/>
      <c r="X2563" s="1"/>
      <c r="Y2563" s="1"/>
      <c r="Z2563" s="1"/>
      <c r="AA2563" s="1"/>
      <c r="AB2563" s="1"/>
    </row>
    <row r="2564" ht="50.25" customHeight="1">
      <c r="A2564" s="12">
        <v>2560.0</v>
      </c>
      <c r="B2564" s="13" t="s">
        <v>2434</v>
      </c>
      <c r="C2564" s="14" t="s">
        <v>2577</v>
      </c>
      <c r="D2564" s="1"/>
      <c r="E2564" s="1"/>
      <c r="F2564" s="1" t="str">
        <f>IFERROR(__xludf.DUMMYFUNCTION("GOOGLETRANSLATE(B2564, ""en"", ""fa"")
"),"تبلیغات")</f>
        <v>تبلیغات</v>
      </c>
      <c r="G2564" s="1" t="str">
        <f>IFERROR(__xludf.DUMMYFUNCTION("GOOGLETRANSLATE(C2564, ""en"", ""fa"")
"),"در مورد اهمیت ترکیب محتوای تولید شده توسط کاربر در تبلیغات برندهای زیبایی و مراقبت از پوست بحث کنید.")</f>
        <v>در مورد اهمیت ترکیب محتوای تولید شده توسط کاربر در تبلیغات برندهای زیبایی و مراقبت از پوست بحث کنید.</v>
      </c>
      <c r="H2564" s="1"/>
      <c r="I2564" s="1"/>
      <c r="J2564" s="1"/>
      <c r="K2564" s="1"/>
      <c r="L2564" s="1"/>
      <c r="M2564" s="1"/>
      <c r="N2564" s="1"/>
      <c r="O2564" s="1"/>
      <c r="P2564" s="1"/>
      <c r="Q2564" s="1"/>
      <c r="R2564" s="1"/>
      <c r="S2564" s="1"/>
      <c r="T2564" s="1"/>
      <c r="U2564" s="1"/>
      <c r="V2564" s="1"/>
      <c r="W2564" s="1"/>
      <c r="X2564" s="1"/>
      <c r="Y2564" s="1"/>
      <c r="Z2564" s="1"/>
      <c r="AA2564" s="1"/>
      <c r="AB2564" s="1"/>
    </row>
    <row r="2565" ht="50.25" customHeight="1">
      <c r="A2565" s="12">
        <v>2561.0</v>
      </c>
      <c r="B2565" s="13" t="s">
        <v>2434</v>
      </c>
      <c r="C2565" s="14" t="s">
        <v>2578</v>
      </c>
      <c r="D2565" s="1"/>
      <c r="E2565" s="1"/>
      <c r="F2565" s="1" t="str">
        <f>IFERROR(__xludf.DUMMYFUNCTION("GOOGLETRANSLATE(B2565, ""en"", ""fa"")
"),"تبلیغات")</f>
        <v>تبلیغات</v>
      </c>
      <c r="G2565" s="1" t="str">
        <f>IFERROR(__xludf.DUMMYFUNCTION("GOOGLETRANSLATE(C2565, ""en"", ""fa"")
"),"استراتژی های ایجاد کمپین های تبلیغاتی تاثیرگذار برای مشاغل محلی و مناطق جغرافیایی را به اشتراک بگذارید.")</f>
        <v>استراتژی های ایجاد کمپین های تبلیغاتی تاثیرگذار برای مشاغل محلی و مناطق جغرافیایی را به اشتراک بگذارید.</v>
      </c>
      <c r="H2565" s="1"/>
      <c r="I2565" s="1"/>
      <c r="J2565" s="1"/>
      <c r="K2565" s="1"/>
      <c r="L2565" s="1"/>
      <c r="M2565" s="1"/>
      <c r="N2565" s="1"/>
      <c r="O2565" s="1"/>
      <c r="P2565" s="1"/>
      <c r="Q2565" s="1"/>
      <c r="R2565" s="1"/>
      <c r="S2565" s="1"/>
      <c r="T2565" s="1"/>
      <c r="U2565" s="1"/>
      <c r="V2565" s="1"/>
      <c r="W2565" s="1"/>
      <c r="X2565" s="1"/>
      <c r="Y2565" s="1"/>
      <c r="Z2565" s="1"/>
      <c r="AA2565" s="1"/>
      <c r="AB2565" s="1"/>
    </row>
    <row r="2566" ht="50.25" customHeight="1">
      <c r="A2566" s="12">
        <v>2562.0</v>
      </c>
      <c r="B2566" s="13" t="s">
        <v>2434</v>
      </c>
      <c r="C2566" s="14" t="s">
        <v>2579</v>
      </c>
      <c r="D2566" s="1"/>
      <c r="E2566" s="1"/>
      <c r="F2566" s="1" t="str">
        <f>IFERROR(__xludf.DUMMYFUNCTION("GOOGLETRANSLATE(B2566, ""en"", ""fa"")
"),"تبلیغات")</f>
        <v>تبلیغات</v>
      </c>
      <c r="G2566" s="1" t="str">
        <f>IFERROR(__xludf.DUMMYFUNCTION("GOOGLETRANSLATE(C2566, ""en"", ""fa"")
"),"تکنیک‌های استفاده از تبلیغات پویا و شخصی‌شده را بر اساس ترجیحات کاربر بررسی کنید.")</f>
        <v>تکنیک‌های استفاده از تبلیغات پویا و شخصی‌شده را بر اساس ترجیحات کاربر بررسی کنید.</v>
      </c>
      <c r="H2566" s="1"/>
      <c r="I2566" s="1"/>
      <c r="J2566" s="1"/>
      <c r="K2566" s="1"/>
      <c r="L2566" s="1"/>
      <c r="M2566" s="1"/>
      <c r="N2566" s="1"/>
      <c r="O2566" s="1"/>
      <c r="P2566" s="1"/>
      <c r="Q2566" s="1"/>
      <c r="R2566" s="1"/>
      <c r="S2566" s="1"/>
      <c r="T2566" s="1"/>
      <c r="U2566" s="1"/>
      <c r="V2566" s="1"/>
      <c r="W2566" s="1"/>
      <c r="X2566" s="1"/>
      <c r="Y2566" s="1"/>
      <c r="Z2566" s="1"/>
      <c r="AA2566" s="1"/>
      <c r="AB2566" s="1"/>
    </row>
    <row r="2567" ht="50.25" customHeight="1">
      <c r="A2567" s="12">
        <v>2563.0</v>
      </c>
      <c r="B2567" s="13" t="s">
        <v>2434</v>
      </c>
      <c r="C2567" s="14" t="s">
        <v>2580</v>
      </c>
      <c r="D2567" s="1"/>
      <c r="E2567" s="1"/>
      <c r="F2567" s="1" t="str">
        <f>IFERROR(__xludf.DUMMYFUNCTION("GOOGLETRANSLATE(B2567, ""en"", ""fa"")
"),"تبلیغات")</f>
        <v>تبلیغات</v>
      </c>
      <c r="G2567" s="1" t="str">
        <f>IFERROR(__xludf.DUMMYFUNCTION("GOOGLETRANSLATE(C2567, ""en"", ""fa"")
"),"در مورد مزایای استفاده از جذابیت های احساسی و داستان سرایی در تبلیغات برای خدمات آموزشی بحث کنید.")</f>
        <v>در مورد مزایای استفاده از جذابیت های احساسی و داستان سرایی در تبلیغات برای خدمات آموزشی بحث کنید.</v>
      </c>
      <c r="H2567" s="1"/>
      <c r="I2567" s="1"/>
      <c r="J2567" s="1"/>
      <c r="K2567" s="1"/>
      <c r="L2567" s="1"/>
      <c r="M2567" s="1"/>
      <c r="N2567" s="1"/>
      <c r="O2567" s="1"/>
      <c r="P2567" s="1"/>
      <c r="Q2567" s="1"/>
      <c r="R2567" s="1"/>
      <c r="S2567" s="1"/>
      <c r="T2567" s="1"/>
      <c r="U2567" s="1"/>
      <c r="V2567" s="1"/>
      <c r="W2567" s="1"/>
      <c r="X2567" s="1"/>
      <c r="Y2567" s="1"/>
      <c r="Z2567" s="1"/>
      <c r="AA2567" s="1"/>
      <c r="AB2567" s="1"/>
    </row>
    <row r="2568" ht="50.25" customHeight="1">
      <c r="A2568" s="12">
        <v>2564.0</v>
      </c>
      <c r="B2568" s="13" t="s">
        <v>2434</v>
      </c>
      <c r="C2568" s="14" t="s">
        <v>2581</v>
      </c>
      <c r="D2568" s="1"/>
      <c r="E2568" s="1"/>
      <c r="F2568" s="1" t="str">
        <f>IFERROR(__xludf.DUMMYFUNCTION("GOOGLETRANSLATE(B2568, ""en"", ""fa"")
"),"تبلیغات")</f>
        <v>تبلیغات</v>
      </c>
      <c r="G2568" s="1" t="str">
        <f>IFERROR(__xludf.DUMMYFUNCTION("GOOGLETRANSLATE(C2568, ""en"", ""fa"")
"),"روش های مختلف استفاده از گرایش های رسانه های اجتماعی و محتوای ویروسی در کمپین های تبلیغاتی را بررسی کنید.")</f>
        <v>روش های مختلف استفاده از گرایش های رسانه های اجتماعی و محتوای ویروسی در کمپین های تبلیغاتی را بررسی کنید.</v>
      </c>
      <c r="H2568" s="1"/>
      <c r="I2568" s="1"/>
      <c r="J2568" s="1"/>
      <c r="K2568" s="1"/>
      <c r="L2568" s="1"/>
      <c r="M2568" s="1"/>
      <c r="N2568" s="1"/>
      <c r="O2568" s="1"/>
      <c r="P2568" s="1"/>
      <c r="Q2568" s="1"/>
      <c r="R2568" s="1"/>
      <c r="S2568" s="1"/>
      <c r="T2568" s="1"/>
      <c r="U2568" s="1"/>
      <c r="V2568" s="1"/>
      <c r="W2568" s="1"/>
      <c r="X2568" s="1"/>
      <c r="Y2568" s="1"/>
      <c r="Z2568" s="1"/>
      <c r="AA2568" s="1"/>
      <c r="AB2568" s="1"/>
    </row>
    <row r="2569" ht="50.25" customHeight="1">
      <c r="A2569" s="12">
        <v>2565.0</v>
      </c>
      <c r="B2569" s="13" t="s">
        <v>2434</v>
      </c>
      <c r="C2569" s="14" t="s">
        <v>2582</v>
      </c>
      <c r="D2569" s="1"/>
      <c r="E2569" s="1"/>
      <c r="F2569" s="1" t="str">
        <f>IFERROR(__xludf.DUMMYFUNCTION("GOOGLETRANSLATE(B2569, ""en"", ""fa"")
"),"تبلیغات")</f>
        <v>تبلیغات</v>
      </c>
      <c r="G2569" s="1" t="str">
        <f>IFERROR(__xludf.DUMMYFUNCTION("GOOGLETRANSLATE(C2569, ""en"", ""fa"")
"),"در مورد اهمیت ترکیب محتوای تولید شده توسط اینفلوئنسرها در تبلیغات برای برندهای تناسب اندام بحث کنید.")</f>
        <v>در مورد اهمیت ترکیب محتوای تولید شده توسط اینفلوئنسرها در تبلیغات برای برندهای تناسب اندام بحث کنید.</v>
      </c>
      <c r="H2569" s="1"/>
      <c r="I2569" s="1"/>
      <c r="J2569" s="1"/>
      <c r="K2569" s="1"/>
      <c r="L2569" s="1"/>
      <c r="M2569" s="1"/>
      <c r="N2569" s="1"/>
      <c r="O2569" s="1"/>
      <c r="P2569" s="1"/>
      <c r="Q2569" s="1"/>
      <c r="R2569" s="1"/>
      <c r="S2569" s="1"/>
      <c r="T2569" s="1"/>
      <c r="U2569" s="1"/>
      <c r="V2569" s="1"/>
      <c r="W2569" s="1"/>
      <c r="X2569" s="1"/>
      <c r="Y2569" s="1"/>
      <c r="Z2569" s="1"/>
      <c r="AA2569" s="1"/>
      <c r="AB2569" s="1"/>
    </row>
    <row r="2570" ht="50.25" customHeight="1">
      <c r="A2570" s="12">
        <v>2566.0</v>
      </c>
      <c r="B2570" s="13" t="s">
        <v>2434</v>
      </c>
      <c r="C2570" s="14" t="s">
        <v>2583</v>
      </c>
      <c r="D2570" s="1"/>
      <c r="E2570" s="1"/>
      <c r="F2570" s="1" t="str">
        <f>IFERROR(__xludf.DUMMYFUNCTION("GOOGLETRANSLATE(B2570, ""en"", ""fa"")
"),"تبلیغات")</f>
        <v>تبلیغات</v>
      </c>
      <c r="G2570" s="1" t="str">
        <f>IFERROR(__xludf.DUMMYFUNCTION("GOOGLETRANSLATE(C2570, ""en"", ""fa"")
"),"تکنیک های استفاده از جذابیت های احساسی و داستان سرایی در تبلیغات محصولات دکور منزل را بررسی کنید.")</f>
        <v>تکنیک های استفاده از جذابیت های احساسی و داستان سرایی در تبلیغات محصولات دکور منزل را بررسی کنید.</v>
      </c>
      <c r="H2570" s="1"/>
      <c r="I2570" s="1"/>
      <c r="J2570" s="1"/>
      <c r="K2570" s="1"/>
      <c r="L2570" s="1"/>
      <c r="M2570" s="1"/>
      <c r="N2570" s="1"/>
      <c r="O2570" s="1"/>
      <c r="P2570" s="1"/>
      <c r="Q2570" s="1"/>
      <c r="R2570" s="1"/>
      <c r="S2570" s="1"/>
      <c r="T2570" s="1"/>
      <c r="U2570" s="1"/>
      <c r="V2570" s="1"/>
      <c r="W2570" s="1"/>
      <c r="X2570" s="1"/>
      <c r="Y2570" s="1"/>
      <c r="Z2570" s="1"/>
      <c r="AA2570" s="1"/>
      <c r="AB2570" s="1"/>
    </row>
    <row r="2571" ht="50.25" customHeight="1">
      <c r="A2571" s="12">
        <v>2567.0</v>
      </c>
      <c r="B2571" s="13" t="s">
        <v>2434</v>
      </c>
      <c r="C2571" s="14" t="s">
        <v>2584</v>
      </c>
      <c r="D2571" s="1"/>
      <c r="E2571" s="1"/>
      <c r="F2571" s="1" t="str">
        <f>IFERROR(__xludf.DUMMYFUNCTION("GOOGLETRANSLATE(B2571, ""en"", ""fa"")
"),"تبلیغات")</f>
        <v>تبلیغات</v>
      </c>
      <c r="G2571" s="1" t="str">
        <f>IFERROR(__xludf.DUMMYFUNCTION("GOOGLETRANSLATE(C2571, ""en"", ""fa"")
"),"در مورد مزایای استفاده از اصالت و اعتبار در تبلیغات برای محصولات مراقبت شخصی بحث کنید.")</f>
        <v>در مورد مزایای استفاده از اصالت و اعتبار در تبلیغات برای محصولات مراقبت شخصی بحث کنید.</v>
      </c>
      <c r="H2571" s="1"/>
      <c r="I2571" s="1"/>
      <c r="J2571" s="1"/>
      <c r="K2571" s="1"/>
      <c r="L2571" s="1"/>
      <c r="M2571" s="1"/>
      <c r="N2571" s="1"/>
      <c r="O2571" s="1"/>
      <c r="P2571" s="1"/>
      <c r="Q2571" s="1"/>
      <c r="R2571" s="1"/>
      <c r="S2571" s="1"/>
      <c r="T2571" s="1"/>
      <c r="U2571" s="1"/>
      <c r="V2571" s="1"/>
      <c r="W2571" s="1"/>
      <c r="X2571" s="1"/>
      <c r="Y2571" s="1"/>
      <c r="Z2571" s="1"/>
      <c r="AA2571" s="1"/>
      <c r="AB2571" s="1"/>
    </row>
    <row r="2572" ht="50.25" customHeight="1">
      <c r="A2572" s="12">
        <v>2568.0</v>
      </c>
      <c r="B2572" s="13" t="s">
        <v>2434</v>
      </c>
      <c r="C2572" s="14" t="s">
        <v>2585</v>
      </c>
      <c r="D2572" s="1"/>
      <c r="E2572" s="1"/>
      <c r="F2572" s="1" t="str">
        <f>IFERROR(__xludf.DUMMYFUNCTION("GOOGLETRANSLATE(B2572, ""en"", ""fa"")
"),"تبلیغات")</f>
        <v>تبلیغات</v>
      </c>
      <c r="G2572" s="1" t="str">
        <f>IFERROR(__xludf.DUMMYFUNCTION("GOOGLETRANSLATE(C2572, ""en"", ""fa"")
"),"در مورد اهمیت ترکیب تأثیرگذاران رسانه های اجتماعی در تبلیغات برای کمپین های مسافرتی بحث کنید.")</f>
        <v>در مورد اهمیت ترکیب تأثیرگذاران رسانه های اجتماعی در تبلیغات برای کمپین های مسافرتی بحث کنید.</v>
      </c>
      <c r="H2572" s="1"/>
      <c r="I2572" s="1"/>
      <c r="J2572" s="1"/>
      <c r="K2572" s="1"/>
      <c r="L2572" s="1"/>
      <c r="M2572" s="1"/>
      <c r="N2572" s="1"/>
      <c r="O2572" s="1"/>
      <c r="P2572" s="1"/>
      <c r="Q2572" s="1"/>
      <c r="R2572" s="1"/>
      <c r="S2572" s="1"/>
      <c r="T2572" s="1"/>
      <c r="U2572" s="1"/>
      <c r="V2572" s="1"/>
      <c r="W2572" s="1"/>
      <c r="X2572" s="1"/>
      <c r="Y2572" s="1"/>
      <c r="Z2572" s="1"/>
      <c r="AA2572" s="1"/>
      <c r="AB2572" s="1"/>
    </row>
    <row r="2573" ht="50.25" customHeight="1">
      <c r="A2573" s="12">
        <v>2569.0</v>
      </c>
      <c r="B2573" s="13" t="s">
        <v>2434</v>
      </c>
      <c r="C2573" s="14" t="s">
        <v>2586</v>
      </c>
      <c r="D2573" s="1"/>
      <c r="E2573" s="1"/>
      <c r="F2573" s="1" t="str">
        <f>IFERROR(__xludf.DUMMYFUNCTION("GOOGLETRANSLATE(B2573, ""en"", ""fa"")
"),"تبلیغات")</f>
        <v>تبلیغات</v>
      </c>
      <c r="G2573" s="1" t="str">
        <f>IFERROR(__xludf.DUMMYFUNCTION("GOOGLETRANSLATE(C2573, ""en"", ""fa"")
"),"استراتژی هایی برای ایجاد تبلیغات ویدیویی تاثیرگذار برای پلتفرم های پخش جریانی و ویدیوهای آنلاین به اشتراک بگذارید.")</f>
        <v>استراتژی هایی برای ایجاد تبلیغات ویدیویی تاثیرگذار برای پلتفرم های پخش جریانی و ویدیوهای آنلاین به اشتراک بگذارید.</v>
      </c>
      <c r="H2573" s="1"/>
      <c r="I2573" s="1"/>
      <c r="J2573" s="1"/>
      <c r="K2573" s="1"/>
      <c r="L2573" s="1"/>
      <c r="M2573" s="1"/>
      <c r="N2573" s="1"/>
      <c r="O2573" s="1"/>
      <c r="P2573" s="1"/>
      <c r="Q2573" s="1"/>
      <c r="R2573" s="1"/>
      <c r="S2573" s="1"/>
      <c r="T2573" s="1"/>
      <c r="U2573" s="1"/>
      <c r="V2573" s="1"/>
      <c r="W2573" s="1"/>
      <c r="X2573" s="1"/>
      <c r="Y2573" s="1"/>
      <c r="Z2573" s="1"/>
      <c r="AA2573" s="1"/>
      <c r="AB2573" s="1"/>
    </row>
    <row r="2574" ht="50.25" customHeight="1">
      <c r="A2574" s="12">
        <v>2570.0</v>
      </c>
      <c r="B2574" s="13" t="s">
        <v>2434</v>
      </c>
      <c r="C2574" s="14" t="s">
        <v>2587</v>
      </c>
      <c r="D2574" s="1"/>
      <c r="E2574" s="1"/>
      <c r="F2574" s="1" t="str">
        <f>IFERROR(__xludf.DUMMYFUNCTION("GOOGLETRANSLATE(B2574, ""en"", ""fa"")
"),"تبلیغات")</f>
        <v>تبلیغات</v>
      </c>
      <c r="G2574" s="1" t="str">
        <f>IFERROR(__xludf.DUMMYFUNCTION("GOOGLETRANSLATE(C2574, ""en"", ""fa"")
"),"تکنیک های استفاده از جذابیت های احساسی و داستان سرایی در تبلیغات محصولات مرتبط با حیوانات خانگی را بررسی کنید.")</f>
        <v>تکنیک های استفاده از جذابیت های احساسی و داستان سرایی در تبلیغات محصولات مرتبط با حیوانات خانگی را بررسی کنید.</v>
      </c>
      <c r="H2574" s="1"/>
      <c r="I2574" s="1"/>
      <c r="J2574" s="1"/>
      <c r="K2574" s="1"/>
      <c r="L2574" s="1"/>
      <c r="M2574" s="1"/>
      <c r="N2574" s="1"/>
      <c r="O2574" s="1"/>
      <c r="P2574" s="1"/>
      <c r="Q2574" s="1"/>
      <c r="R2574" s="1"/>
      <c r="S2574" s="1"/>
      <c r="T2574" s="1"/>
      <c r="U2574" s="1"/>
      <c r="V2574" s="1"/>
      <c r="W2574" s="1"/>
      <c r="X2574" s="1"/>
      <c r="Y2574" s="1"/>
      <c r="Z2574" s="1"/>
      <c r="AA2574" s="1"/>
      <c r="AB2574" s="1"/>
    </row>
    <row r="2575" ht="50.25" customHeight="1">
      <c r="A2575" s="12">
        <v>2571.0</v>
      </c>
      <c r="B2575" s="13" t="s">
        <v>2434</v>
      </c>
      <c r="C2575" s="14" t="s">
        <v>2588</v>
      </c>
      <c r="D2575" s="1"/>
      <c r="E2575" s="1"/>
      <c r="F2575" s="1" t="str">
        <f>IFERROR(__xludf.DUMMYFUNCTION("GOOGLETRANSLATE(B2575, ""en"", ""fa"")
"),"تبلیغات")</f>
        <v>تبلیغات</v>
      </c>
      <c r="G2575" s="1" t="str">
        <f>IFERROR(__xludf.DUMMYFUNCTION("GOOGLETRANSLATE(C2575, ""en"", ""fa"")
"),"در مورد مزایای استفاده از طنز و خلاقیت در تبلیغات برای برندهای غذا و نوشیدنی بحث کنید.")</f>
        <v>در مورد مزایای استفاده از طنز و خلاقیت در تبلیغات برای برندهای غذا و نوشیدنی بحث کنید.</v>
      </c>
      <c r="H2575" s="1"/>
      <c r="I2575" s="1"/>
      <c r="J2575" s="1"/>
      <c r="K2575" s="1"/>
      <c r="L2575" s="1"/>
      <c r="M2575" s="1"/>
      <c r="N2575" s="1"/>
      <c r="O2575" s="1"/>
      <c r="P2575" s="1"/>
      <c r="Q2575" s="1"/>
      <c r="R2575" s="1"/>
      <c r="S2575" s="1"/>
      <c r="T2575" s="1"/>
      <c r="U2575" s="1"/>
      <c r="V2575" s="1"/>
      <c r="W2575" s="1"/>
      <c r="X2575" s="1"/>
      <c r="Y2575" s="1"/>
      <c r="Z2575" s="1"/>
      <c r="AA2575" s="1"/>
      <c r="AB2575" s="1"/>
    </row>
    <row r="2576" ht="50.25" customHeight="1">
      <c r="A2576" s="12">
        <v>2572.0</v>
      </c>
      <c r="B2576" s="13" t="s">
        <v>2434</v>
      </c>
      <c r="C2576" s="14" t="s">
        <v>2589</v>
      </c>
      <c r="D2576" s="1"/>
      <c r="E2576" s="1"/>
      <c r="F2576" s="1" t="str">
        <f>IFERROR(__xludf.DUMMYFUNCTION("GOOGLETRANSLATE(B2576, ""en"", ""fa"")
"),"تبلیغات")</f>
        <v>تبلیغات</v>
      </c>
      <c r="G2576" s="1" t="str">
        <f>IFERROR(__xludf.DUMMYFUNCTION("GOOGLETRANSLATE(C2576, ""en"", ""fa"")
"),"نکاتی را برای ایجاد تبلیغات بنری دیجیتال متقاعد کننده که نرخ کلیک را افزایش می دهد، به اشتراک بگذارید.")</f>
        <v>نکاتی را برای ایجاد تبلیغات بنری دیجیتال متقاعد کننده که نرخ کلیک را افزایش می دهد، به اشتراک بگذارید.</v>
      </c>
      <c r="H2576" s="1"/>
      <c r="I2576" s="1"/>
      <c r="J2576" s="1"/>
      <c r="K2576" s="1"/>
      <c r="L2576" s="1"/>
      <c r="M2576" s="1"/>
      <c r="N2576" s="1"/>
      <c r="O2576" s="1"/>
      <c r="P2576" s="1"/>
      <c r="Q2576" s="1"/>
      <c r="R2576" s="1"/>
      <c r="S2576" s="1"/>
      <c r="T2576" s="1"/>
      <c r="U2576" s="1"/>
      <c r="V2576" s="1"/>
      <c r="W2576" s="1"/>
      <c r="X2576" s="1"/>
      <c r="Y2576" s="1"/>
      <c r="Z2576" s="1"/>
      <c r="AA2576" s="1"/>
      <c r="AB2576" s="1"/>
    </row>
    <row r="2577" ht="50.25" customHeight="1">
      <c r="A2577" s="12">
        <v>2573.0</v>
      </c>
      <c r="B2577" s="13" t="s">
        <v>2434</v>
      </c>
      <c r="C2577" s="14" t="s">
        <v>2590</v>
      </c>
      <c r="D2577" s="1"/>
      <c r="E2577" s="1"/>
      <c r="F2577" s="1" t="str">
        <f>IFERROR(__xludf.DUMMYFUNCTION("GOOGLETRANSLATE(B2577, ""en"", ""fa"")
"),"تبلیغات")</f>
        <v>تبلیغات</v>
      </c>
      <c r="G2577" s="1" t="str">
        <f>IFERROR(__xludf.DUMMYFUNCTION("GOOGLETRANSLATE(C2577, ""en"", ""fa"")
"),"استراتژی هایی برای ایجاد تبلیغات تاثیرگذار در فضای باز که توجه را به خود جلب می کند و بینندگان را جذب می کند، به اشتراک بگذارید.")</f>
        <v>استراتژی هایی برای ایجاد تبلیغات تاثیرگذار در فضای باز که توجه را به خود جلب می کند و بینندگان را جذب می کند، به اشتراک بگذارید.</v>
      </c>
      <c r="H2577" s="1"/>
      <c r="I2577" s="1"/>
      <c r="J2577" s="1"/>
      <c r="K2577" s="1"/>
      <c r="L2577" s="1"/>
      <c r="M2577" s="1"/>
      <c r="N2577" s="1"/>
      <c r="O2577" s="1"/>
      <c r="P2577" s="1"/>
      <c r="Q2577" s="1"/>
      <c r="R2577" s="1"/>
      <c r="S2577" s="1"/>
      <c r="T2577" s="1"/>
      <c r="U2577" s="1"/>
      <c r="V2577" s="1"/>
      <c r="W2577" s="1"/>
      <c r="X2577" s="1"/>
      <c r="Y2577" s="1"/>
      <c r="Z2577" s="1"/>
      <c r="AA2577" s="1"/>
      <c r="AB2577" s="1"/>
    </row>
    <row r="2578" ht="50.25" customHeight="1">
      <c r="A2578" s="12">
        <v>2574.0</v>
      </c>
      <c r="B2578" s="13" t="s">
        <v>2434</v>
      </c>
      <c r="C2578" s="14" t="s">
        <v>2591</v>
      </c>
      <c r="D2578" s="1"/>
      <c r="E2578" s="1"/>
      <c r="F2578" s="1" t="str">
        <f>IFERROR(__xludf.DUMMYFUNCTION("GOOGLETRANSLATE(B2578, ""en"", ""fa"")
"),"تبلیغات")</f>
        <v>تبلیغات</v>
      </c>
      <c r="G2578" s="1" t="str">
        <f>IFERROR(__xludf.DUMMYFUNCTION("GOOGLETRANSLATE(C2578, ""en"", ""fa"")
"),"در مورد مزایای استفاده از جذابیت های احساسی و داستان سرایی در تبلیغات برای محصولات مالی شخصی بحث کنید.")</f>
        <v>در مورد مزایای استفاده از جذابیت های احساسی و داستان سرایی در تبلیغات برای محصولات مالی شخصی بحث کنید.</v>
      </c>
      <c r="H2578" s="1"/>
      <c r="I2578" s="1"/>
      <c r="J2578" s="1"/>
      <c r="K2578" s="1"/>
      <c r="L2578" s="1"/>
      <c r="M2578" s="1"/>
      <c r="N2578" s="1"/>
      <c r="O2578" s="1"/>
      <c r="P2578" s="1"/>
      <c r="Q2578" s="1"/>
      <c r="R2578" s="1"/>
      <c r="S2578" s="1"/>
      <c r="T2578" s="1"/>
      <c r="U2578" s="1"/>
      <c r="V2578" s="1"/>
      <c r="W2578" s="1"/>
      <c r="X2578" s="1"/>
      <c r="Y2578" s="1"/>
      <c r="Z2578" s="1"/>
      <c r="AA2578" s="1"/>
      <c r="AB2578" s="1"/>
    </row>
    <row r="2579" ht="50.25" customHeight="1">
      <c r="A2579" s="12">
        <v>2575.0</v>
      </c>
      <c r="B2579" s="13" t="s">
        <v>2434</v>
      </c>
      <c r="C2579" s="14" t="s">
        <v>2592</v>
      </c>
      <c r="D2579" s="1"/>
      <c r="E2579" s="1"/>
      <c r="F2579" s="1" t="str">
        <f>IFERROR(__xludf.DUMMYFUNCTION("GOOGLETRANSLATE(B2579, ""en"", ""fa"")
"),"تبلیغات")</f>
        <v>تبلیغات</v>
      </c>
      <c r="G2579" s="1" t="str">
        <f>IFERROR(__xludf.DUMMYFUNCTION("GOOGLETRANSLATE(C2579, ""en"", ""fa"")
"),"نکاتی را برای گنجاندن شواهد و گواهی های اجتماعی در تبلیغات محصولات بهداشتی و سلامتی به اشتراک بگذارید.")</f>
        <v>نکاتی را برای گنجاندن شواهد و گواهی های اجتماعی در تبلیغات محصولات بهداشتی و سلامتی به اشتراک بگذارید.</v>
      </c>
      <c r="H2579" s="1"/>
      <c r="I2579" s="1"/>
      <c r="J2579" s="1"/>
      <c r="K2579" s="1"/>
      <c r="L2579" s="1"/>
      <c r="M2579" s="1"/>
      <c r="N2579" s="1"/>
      <c r="O2579" s="1"/>
      <c r="P2579" s="1"/>
      <c r="Q2579" s="1"/>
      <c r="R2579" s="1"/>
      <c r="S2579" s="1"/>
      <c r="T2579" s="1"/>
      <c r="U2579" s="1"/>
      <c r="V2579" s="1"/>
      <c r="W2579" s="1"/>
      <c r="X2579" s="1"/>
      <c r="Y2579" s="1"/>
      <c r="Z2579" s="1"/>
      <c r="AA2579" s="1"/>
      <c r="AB2579" s="1"/>
    </row>
    <row r="2580" ht="50.25" customHeight="1">
      <c r="A2580" s="12">
        <v>2576.0</v>
      </c>
      <c r="B2580" s="13" t="s">
        <v>2434</v>
      </c>
      <c r="C2580" s="14" t="s">
        <v>2593</v>
      </c>
      <c r="D2580" s="1"/>
      <c r="E2580" s="1"/>
      <c r="F2580" s="1" t="str">
        <f>IFERROR(__xludf.DUMMYFUNCTION("GOOGLETRANSLATE(B2580, ""en"", ""fa"")
"),"تبلیغات")</f>
        <v>تبلیغات</v>
      </c>
      <c r="G2580" s="1" t="str">
        <f>IFERROR(__xludf.DUMMYFUNCTION("GOOGLETRANSLATE(C2580, ""en"", ""fa"")
"),"در مورد اهمیت گنجاندن داستان سرایی احساسی در تبلیغات محصولات دکور منزل بحث کنید.")</f>
        <v>در مورد اهمیت گنجاندن داستان سرایی احساسی در تبلیغات محصولات دکور منزل بحث کنید.</v>
      </c>
      <c r="H2580" s="1"/>
      <c r="I2580" s="1"/>
      <c r="J2580" s="1"/>
      <c r="K2580" s="1"/>
      <c r="L2580" s="1"/>
      <c r="M2580" s="1"/>
      <c r="N2580" s="1"/>
      <c r="O2580" s="1"/>
      <c r="P2580" s="1"/>
      <c r="Q2580" s="1"/>
      <c r="R2580" s="1"/>
      <c r="S2580" s="1"/>
      <c r="T2580" s="1"/>
      <c r="U2580" s="1"/>
      <c r="V2580" s="1"/>
      <c r="W2580" s="1"/>
      <c r="X2580" s="1"/>
      <c r="Y2580" s="1"/>
      <c r="Z2580" s="1"/>
      <c r="AA2580" s="1"/>
      <c r="AB2580" s="1"/>
    </row>
    <row r="2581" ht="50.25" customHeight="1">
      <c r="A2581" s="12">
        <v>2577.0</v>
      </c>
      <c r="B2581" s="13" t="s">
        <v>2434</v>
      </c>
      <c r="C2581" s="14" t="s">
        <v>2594</v>
      </c>
      <c r="D2581" s="1"/>
      <c r="E2581" s="1"/>
      <c r="F2581" s="1" t="str">
        <f>IFERROR(__xludf.DUMMYFUNCTION("GOOGLETRANSLATE(B2581, ""en"", ""fa"")
"),"تبلیغات")</f>
        <v>تبلیغات</v>
      </c>
      <c r="G2581" s="1" t="str">
        <f>IFERROR(__xludf.DUMMYFUNCTION("GOOGLETRANSLATE(C2581, ""en"", ""fa"")
"),"استراتژی هایی برای ایجاد تبلیغات داستان سرایی تاثیرگذار برای برندهای سلامت و تندرستی به اشتراک بگذارید.")</f>
        <v>استراتژی هایی برای ایجاد تبلیغات داستان سرایی تاثیرگذار برای برندهای سلامت و تندرستی به اشتراک بگذارید.</v>
      </c>
      <c r="H2581" s="1"/>
      <c r="I2581" s="1"/>
      <c r="J2581" s="1"/>
      <c r="K2581" s="1"/>
      <c r="L2581" s="1"/>
      <c r="M2581" s="1"/>
      <c r="N2581" s="1"/>
      <c r="O2581" s="1"/>
      <c r="P2581" s="1"/>
      <c r="Q2581" s="1"/>
      <c r="R2581" s="1"/>
      <c r="S2581" s="1"/>
      <c r="T2581" s="1"/>
      <c r="U2581" s="1"/>
      <c r="V2581" s="1"/>
      <c r="W2581" s="1"/>
      <c r="X2581" s="1"/>
      <c r="Y2581" s="1"/>
      <c r="Z2581" s="1"/>
      <c r="AA2581" s="1"/>
      <c r="AB2581" s="1"/>
    </row>
    <row r="2582" ht="50.25" customHeight="1">
      <c r="A2582" s="12">
        <v>2578.0</v>
      </c>
      <c r="B2582" s="13" t="s">
        <v>2434</v>
      </c>
      <c r="C2582" s="14" t="s">
        <v>2595</v>
      </c>
      <c r="D2582" s="1"/>
      <c r="E2582" s="1"/>
      <c r="F2582" s="1" t="str">
        <f>IFERROR(__xludf.DUMMYFUNCTION("GOOGLETRANSLATE(B2582, ""en"", ""fa"")
"),"تبلیغات")</f>
        <v>تبلیغات</v>
      </c>
      <c r="G2582" s="1" t="str">
        <f>IFERROR(__xludf.DUMMYFUNCTION("GOOGLETRANSLATE(C2582, ""en"", ""fa"")
"),"تکنیک‌های استفاده از طنز و خلاقیت در تبلیغات فناوری و محصولات ابزارک را بررسی کنید.")</f>
        <v>تکنیک‌های استفاده از طنز و خلاقیت در تبلیغات فناوری و محصولات ابزارک را بررسی کنید.</v>
      </c>
      <c r="H2582" s="1"/>
      <c r="I2582" s="1"/>
      <c r="J2582" s="1"/>
      <c r="K2582" s="1"/>
      <c r="L2582" s="1"/>
      <c r="M2582" s="1"/>
      <c r="N2582" s="1"/>
      <c r="O2582" s="1"/>
      <c r="P2582" s="1"/>
      <c r="Q2582" s="1"/>
      <c r="R2582" s="1"/>
      <c r="S2582" s="1"/>
      <c r="T2582" s="1"/>
      <c r="U2582" s="1"/>
      <c r="V2582" s="1"/>
      <c r="W2582" s="1"/>
      <c r="X2582" s="1"/>
      <c r="Y2582" s="1"/>
      <c r="Z2582" s="1"/>
      <c r="AA2582" s="1"/>
      <c r="AB2582" s="1"/>
    </row>
    <row r="2583" ht="50.25" customHeight="1">
      <c r="A2583" s="12">
        <v>2579.0</v>
      </c>
      <c r="B2583" s="13" t="s">
        <v>2434</v>
      </c>
      <c r="C2583" s="14" t="s">
        <v>2596</v>
      </c>
      <c r="D2583" s="1"/>
      <c r="E2583" s="1"/>
      <c r="F2583" s="1" t="str">
        <f>IFERROR(__xludf.DUMMYFUNCTION("GOOGLETRANSLATE(B2583, ""en"", ""fa"")
"),"تبلیغات")</f>
        <v>تبلیغات</v>
      </c>
      <c r="G2583" s="1" t="str">
        <f>IFERROR(__xludf.DUMMYFUNCTION("GOOGLETRANSLATE(C2583, ""en"", ""fa"")
"),"در مورد مزایای استفاده از محتوای تولید شده توسط کاربر در تبلیغات برای مقاصد مسافرتی و گردشگری بحث کنید.")</f>
        <v>در مورد مزایای استفاده از محتوای تولید شده توسط کاربر در تبلیغات برای مقاصد مسافرتی و گردشگری بحث کنید.</v>
      </c>
      <c r="H2583" s="1"/>
      <c r="I2583" s="1"/>
      <c r="J2583" s="1"/>
      <c r="K2583" s="1"/>
      <c r="L2583" s="1"/>
      <c r="M2583" s="1"/>
      <c r="N2583" s="1"/>
      <c r="O2583" s="1"/>
      <c r="P2583" s="1"/>
      <c r="Q2583" s="1"/>
      <c r="R2583" s="1"/>
      <c r="S2583" s="1"/>
      <c r="T2583" s="1"/>
      <c r="U2583" s="1"/>
      <c r="V2583" s="1"/>
      <c r="W2583" s="1"/>
      <c r="X2583" s="1"/>
      <c r="Y2583" s="1"/>
      <c r="Z2583" s="1"/>
      <c r="AA2583" s="1"/>
      <c r="AB2583" s="1"/>
    </row>
    <row r="2584" ht="50.25" customHeight="1">
      <c r="A2584" s="12">
        <v>2580.0</v>
      </c>
      <c r="B2584" s="13" t="s">
        <v>2434</v>
      </c>
      <c r="C2584" s="14" t="s">
        <v>2597</v>
      </c>
      <c r="D2584" s="1"/>
      <c r="E2584" s="1"/>
      <c r="F2584" s="1" t="str">
        <f>IFERROR(__xludf.DUMMYFUNCTION("GOOGLETRANSLATE(B2584, ""en"", ""fa"")
"),"تبلیغات")</f>
        <v>تبلیغات</v>
      </c>
      <c r="G2584" s="1" t="str">
        <f>IFERROR(__xludf.DUMMYFUNCTION("GOOGLETRANSLATE(C2584, ""en"", ""fa"")
"),"در مورد مزایای ترکیب محتوای تولید شده توسط کاربر در تبلیغات برای برندهای زیبایی و مراقبت از پوست بحث کنید.")</f>
        <v>در مورد مزایای ترکیب محتوای تولید شده توسط کاربر در تبلیغات برای برندهای زیبایی و مراقبت از پوست بحث کنید.</v>
      </c>
      <c r="H2584" s="1"/>
      <c r="I2584" s="1"/>
      <c r="J2584" s="1"/>
      <c r="K2584" s="1"/>
      <c r="L2584" s="1"/>
      <c r="M2584" s="1"/>
      <c r="N2584" s="1"/>
      <c r="O2584" s="1"/>
      <c r="P2584" s="1"/>
      <c r="Q2584" s="1"/>
      <c r="R2584" s="1"/>
      <c r="S2584" s="1"/>
      <c r="T2584" s="1"/>
      <c r="U2584" s="1"/>
      <c r="V2584" s="1"/>
      <c r="W2584" s="1"/>
      <c r="X2584" s="1"/>
      <c r="Y2584" s="1"/>
      <c r="Z2584" s="1"/>
      <c r="AA2584" s="1"/>
      <c r="AB2584" s="1"/>
    </row>
    <row r="2585" ht="50.25" customHeight="1">
      <c r="A2585" s="12">
        <v>2581.0</v>
      </c>
      <c r="B2585" s="13" t="s">
        <v>2434</v>
      </c>
      <c r="C2585" s="14" t="s">
        <v>2598</v>
      </c>
      <c r="D2585" s="1"/>
      <c r="E2585" s="1"/>
      <c r="F2585" s="1" t="str">
        <f>IFERROR(__xludf.DUMMYFUNCTION("GOOGLETRANSLATE(B2585, ""en"", ""fa"")
"),"تبلیغات")</f>
        <v>تبلیغات</v>
      </c>
      <c r="G2585" s="1" t="str">
        <f>IFERROR(__xludf.DUMMYFUNCTION("GOOGLETRANSLATE(C2585, ""en"", ""fa"")
"),"استراتژی‌هایی را برای ایجاد تبلیغات ایمیلی تأثیرگذار که نرخ باز و تبدیل را افزایش می‌دهند، به اشتراک بگذارید.")</f>
        <v>استراتژی‌هایی را برای ایجاد تبلیغات ایمیلی تأثیرگذار که نرخ باز و تبدیل را افزایش می‌دهند، به اشتراک بگذارید.</v>
      </c>
      <c r="H2585" s="1"/>
      <c r="I2585" s="1"/>
      <c r="J2585" s="1"/>
      <c r="K2585" s="1"/>
      <c r="L2585" s="1"/>
      <c r="M2585" s="1"/>
      <c r="N2585" s="1"/>
      <c r="O2585" s="1"/>
      <c r="P2585" s="1"/>
      <c r="Q2585" s="1"/>
      <c r="R2585" s="1"/>
      <c r="S2585" s="1"/>
      <c r="T2585" s="1"/>
      <c r="U2585" s="1"/>
      <c r="V2585" s="1"/>
      <c r="W2585" s="1"/>
      <c r="X2585" s="1"/>
      <c r="Y2585" s="1"/>
      <c r="Z2585" s="1"/>
      <c r="AA2585" s="1"/>
      <c r="AB2585" s="1"/>
    </row>
    <row r="2586" ht="50.25" customHeight="1">
      <c r="A2586" s="12">
        <v>2582.0</v>
      </c>
      <c r="B2586" s="13" t="s">
        <v>2434</v>
      </c>
      <c r="C2586" s="14" t="s">
        <v>2599</v>
      </c>
      <c r="D2586" s="1"/>
      <c r="E2586" s="1"/>
      <c r="F2586" s="1" t="str">
        <f>IFERROR(__xludf.DUMMYFUNCTION("GOOGLETRANSLATE(B2586, ""en"", ""fa"")
"),"تبلیغات")</f>
        <v>تبلیغات</v>
      </c>
      <c r="G2586" s="1" t="str">
        <f>IFERROR(__xludf.DUMMYFUNCTION("GOOGLETRANSLATE(C2586, ""en"", ""fa"")
"),"تکنیک های استفاده از محتوای تولید شده توسط کاربر در تبلیغات برندهای مد و پوشاک را بررسی کنید.")</f>
        <v>تکنیک های استفاده از محتوای تولید شده توسط کاربر در تبلیغات برندهای مد و پوشاک را بررسی کنید.</v>
      </c>
      <c r="H2586" s="1"/>
      <c r="I2586" s="1"/>
      <c r="J2586" s="1"/>
      <c r="K2586" s="1"/>
      <c r="L2586" s="1"/>
      <c r="M2586" s="1"/>
      <c r="N2586" s="1"/>
      <c r="O2586" s="1"/>
      <c r="P2586" s="1"/>
      <c r="Q2586" s="1"/>
      <c r="R2586" s="1"/>
      <c r="S2586" s="1"/>
      <c r="T2586" s="1"/>
      <c r="U2586" s="1"/>
      <c r="V2586" s="1"/>
      <c r="W2586" s="1"/>
      <c r="X2586" s="1"/>
      <c r="Y2586" s="1"/>
      <c r="Z2586" s="1"/>
      <c r="AA2586" s="1"/>
      <c r="AB2586" s="1"/>
    </row>
    <row r="2587" ht="50.25" customHeight="1">
      <c r="A2587" s="12">
        <v>2583.0</v>
      </c>
      <c r="B2587" s="13" t="s">
        <v>2434</v>
      </c>
      <c r="C2587" s="14" t="s">
        <v>2600</v>
      </c>
      <c r="D2587" s="1"/>
      <c r="E2587" s="1"/>
      <c r="F2587" s="1" t="str">
        <f>IFERROR(__xludf.DUMMYFUNCTION("GOOGLETRANSLATE(B2587, ""en"", ""fa"")
"),"تبلیغات")</f>
        <v>تبلیغات</v>
      </c>
      <c r="G2587" s="1" t="str">
        <f>IFERROR(__xludf.DUMMYFUNCTION("GOOGLETRANSLATE(C2587, ""en"", ""fa"")
"),"نکاتی را برای ایجاد تبلیغات ویدیویی متقاعدکننده برای پلتفرم های پخش جریانی و ویدیوهای آنلاین به اشتراک بگذارید.")</f>
        <v>نکاتی را برای ایجاد تبلیغات ویدیویی متقاعدکننده برای پلتفرم های پخش جریانی و ویدیوهای آنلاین به اشتراک بگذارید.</v>
      </c>
      <c r="H2587" s="1"/>
      <c r="I2587" s="1"/>
      <c r="J2587" s="1"/>
      <c r="K2587" s="1"/>
      <c r="L2587" s="1"/>
      <c r="M2587" s="1"/>
      <c r="N2587" s="1"/>
      <c r="O2587" s="1"/>
      <c r="P2587" s="1"/>
      <c r="Q2587" s="1"/>
      <c r="R2587" s="1"/>
      <c r="S2587" s="1"/>
      <c r="T2587" s="1"/>
      <c r="U2587" s="1"/>
      <c r="V2587" s="1"/>
      <c r="W2587" s="1"/>
      <c r="X2587" s="1"/>
      <c r="Y2587" s="1"/>
      <c r="Z2587" s="1"/>
      <c r="AA2587" s="1"/>
      <c r="AB2587" s="1"/>
    </row>
    <row r="2588" ht="50.25" customHeight="1">
      <c r="A2588" s="12">
        <v>2584.0</v>
      </c>
      <c r="B2588" s="13" t="s">
        <v>2434</v>
      </c>
      <c r="C2588" s="14" t="s">
        <v>2601</v>
      </c>
      <c r="D2588" s="1"/>
      <c r="E2588" s="1"/>
      <c r="F2588" s="1" t="str">
        <f>IFERROR(__xludf.DUMMYFUNCTION("GOOGLETRANSLATE(B2588, ""en"", ""fa"")
"),"تبلیغات")</f>
        <v>تبلیغات</v>
      </c>
      <c r="G2588" s="1" t="str">
        <f>IFERROR(__xludf.DUMMYFUNCTION("GOOGLETRANSLATE(C2588, ""en"", ""fa"")
"),"روش های مختلف برای استفاده از جذابیت های احساسی و داستان سرایی در تبلیغات محصولات مرتبط با حیوانات خانگی را بررسی کنید.")</f>
        <v>روش های مختلف برای استفاده از جذابیت های احساسی و داستان سرایی در تبلیغات محصولات مرتبط با حیوانات خانگی را بررسی کنید.</v>
      </c>
      <c r="H2588" s="1"/>
      <c r="I2588" s="1"/>
      <c r="J2588" s="1"/>
      <c r="K2588" s="1"/>
      <c r="L2588" s="1"/>
      <c r="M2588" s="1"/>
      <c r="N2588" s="1"/>
      <c r="O2588" s="1"/>
      <c r="P2588" s="1"/>
      <c r="Q2588" s="1"/>
      <c r="R2588" s="1"/>
      <c r="S2588" s="1"/>
      <c r="T2588" s="1"/>
      <c r="U2588" s="1"/>
      <c r="V2588" s="1"/>
      <c r="W2588" s="1"/>
      <c r="X2588" s="1"/>
      <c r="Y2588" s="1"/>
      <c r="Z2588" s="1"/>
      <c r="AA2588" s="1"/>
      <c r="AB2588" s="1"/>
    </row>
    <row r="2589" ht="50.25" customHeight="1">
      <c r="A2589" s="12">
        <v>2585.0</v>
      </c>
      <c r="B2589" s="13" t="s">
        <v>2434</v>
      </c>
      <c r="C2589" s="14" t="s">
        <v>2602</v>
      </c>
      <c r="D2589" s="1"/>
      <c r="E2589" s="1"/>
      <c r="F2589" s="1" t="str">
        <f>IFERROR(__xludf.DUMMYFUNCTION("GOOGLETRANSLATE(B2589, ""en"", ""fa"")
"),"تبلیغات")</f>
        <v>تبلیغات</v>
      </c>
      <c r="G2589" s="1" t="str">
        <f>IFERROR(__xludf.DUMMYFUNCTION("GOOGLETRANSLATE(C2589, ""en"", ""fa"")
"),"استراتژی‌هایی را برای ایجاد تبلیغات بنری دیجیتالی تاثیرگذار که نرخ کلیک را افزایش می‌دهد، به اشتراک بگذارید.")</f>
        <v>استراتژی‌هایی را برای ایجاد تبلیغات بنری دیجیتالی تاثیرگذار که نرخ کلیک را افزایش می‌دهد، به اشتراک بگذارید.</v>
      </c>
      <c r="H2589" s="1"/>
      <c r="I2589" s="1"/>
      <c r="J2589" s="1"/>
      <c r="K2589" s="1"/>
      <c r="L2589" s="1"/>
      <c r="M2589" s="1"/>
      <c r="N2589" s="1"/>
      <c r="O2589" s="1"/>
      <c r="P2589" s="1"/>
      <c r="Q2589" s="1"/>
      <c r="R2589" s="1"/>
      <c r="S2589" s="1"/>
      <c r="T2589" s="1"/>
      <c r="U2589" s="1"/>
      <c r="V2589" s="1"/>
      <c r="W2589" s="1"/>
      <c r="X2589" s="1"/>
      <c r="Y2589" s="1"/>
      <c r="Z2589" s="1"/>
      <c r="AA2589" s="1"/>
      <c r="AB2589" s="1"/>
    </row>
    <row r="2590" ht="50.25" customHeight="1">
      <c r="A2590" s="12">
        <v>2586.0</v>
      </c>
      <c r="B2590" s="13" t="s">
        <v>2434</v>
      </c>
      <c r="C2590" s="14" t="s">
        <v>2603</v>
      </c>
      <c r="D2590" s="1"/>
      <c r="E2590" s="1"/>
      <c r="F2590" s="1" t="str">
        <f>IFERROR(__xludf.DUMMYFUNCTION("GOOGLETRANSLATE(B2590, ""en"", ""fa"")
"),"تبلیغات")</f>
        <v>تبلیغات</v>
      </c>
      <c r="G2590" s="1" t="str">
        <f>IFERROR(__xludf.DUMMYFUNCTION("GOOGLETRANSLATE(C2590, ""en"", ""fa"")
"),"تکنیک های استفاده از محتوای تولید شده توسط اینفلوئنسرها در تبلیغات برندهای زیبایی و مراقبت از پوست را بررسی کنید.")</f>
        <v>تکنیک های استفاده از محتوای تولید شده توسط اینفلوئنسرها در تبلیغات برندهای زیبایی و مراقبت از پوست را بررسی کنید.</v>
      </c>
      <c r="H2590" s="1"/>
      <c r="I2590" s="1"/>
      <c r="J2590" s="1"/>
      <c r="K2590" s="1"/>
      <c r="L2590" s="1"/>
      <c r="M2590" s="1"/>
      <c r="N2590" s="1"/>
      <c r="O2590" s="1"/>
      <c r="P2590" s="1"/>
      <c r="Q2590" s="1"/>
      <c r="R2590" s="1"/>
      <c r="S2590" s="1"/>
      <c r="T2590" s="1"/>
      <c r="U2590" s="1"/>
      <c r="V2590" s="1"/>
      <c r="W2590" s="1"/>
      <c r="X2590" s="1"/>
      <c r="Y2590" s="1"/>
      <c r="Z2590" s="1"/>
      <c r="AA2590" s="1"/>
      <c r="AB2590" s="1"/>
    </row>
    <row r="2591" ht="50.25" customHeight="1">
      <c r="A2591" s="12">
        <v>2587.0</v>
      </c>
      <c r="B2591" s="13" t="s">
        <v>2434</v>
      </c>
      <c r="C2591" s="14" t="s">
        <v>2604</v>
      </c>
      <c r="D2591" s="1"/>
      <c r="E2591" s="1"/>
      <c r="F2591" s="1" t="str">
        <f>IFERROR(__xludf.DUMMYFUNCTION("GOOGLETRANSLATE(B2591, ""en"", ""fa"")
"),"تبلیغات")</f>
        <v>تبلیغات</v>
      </c>
      <c r="G2591" s="1" t="str">
        <f>IFERROR(__xludf.DUMMYFUNCTION("GOOGLETRANSLATE(C2591, ""en"", ""fa"")
"),"نکاتی را برای ایجاد تبلیغات متقاعدکننده در فضای باز که توجه را به خود جلب می کند و بینندگان را جذب می کند، به اشتراک بگذارید.")</f>
        <v>نکاتی را برای ایجاد تبلیغات متقاعدکننده در فضای باز که توجه را به خود جلب می کند و بینندگان را جذب می کند، به اشتراک بگذارید.</v>
      </c>
      <c r="H2591" s="1"/>
      <c r="I2591" s="1"/>
      <c r="J2591" s="1"/>
      <c r="K2591" s="1"/>
      <c r="L2591" s="1"/>
      <c r="M2591" s="1"/>
      <c r="N2591" s="1"/>
      <c r="O2591" s="1"/>
      <c r="P2591" s="1"/>
      <c r="Q2591" s="1"/>
      <c r="R2591" s="1"/>
      <c r="S2591" s="1"/>
      <c r="T2591" s="1"/>
      <c r="U2591" s="1"/>
      <c r="V2591" s="1"/>
      <c r="W2591" s="1"/>
      <c r="X2591" s="1"/>
      <c r="Y2591" s="1"/>
      <c r="Z2591" s="1"/>
      <c r="AA2591" s="1"/>
      <c r="AB2591" s="1"/>
    </row>
    <row r="2592" ht="50.25" customHeight="1">
      <c r="A2592" s="12">
        <v>2588.0</v>
      </c>
      <c r="B2592" s="13" t="s">
        <v>2434</v>
      </c>
      <c r="C2592" s="14" t="s">
        <v>2605</v>
      </c>
      <c r="D2592" s="1"/>
      <c r="E2592" s="1"/>
      <c r="F2592" s="1" t="str">
        <f>IFERROR(__xludf.DUMMYFUNCTION("GOOGLETRANSLATE(B2592, ""en"", ""fa"")
"),"تبلیغات")</f>
        <v>تبلیغات</v>
      </c>
      <c r="G2592" s="1" t="str">
        <f>IFERROR(__xludf.DUMMYFUNCTION("GOOGLETRANSLATE(C2592, ""en"", ""fa"")
"),"روش های مختلف برای استفاده از تبلیغات پویا و شخصی سازی شده بر اساس ترجیحات کاربر را بررسی کنید.")</f>
        <v>روش های مختلف برای استفاده از تبلیغات پویا و شخصی سازی شده بر اساس ترجیحات کاربر را بررسی کنید.</v>
      </c>
      <c r="H2592" s="1"/>
      <c r="I2592" s="1"/>
      <c r="J2592" s="1"/>
      <c r="K2592" s="1"/>
      <c r="L2592" s="1"/>
      <c r="M2592" s="1"/>
      <c r="N2592" s="1"/>
      <c r="O2592" s="1"/>
      <c r="P2592" s="1"/>
      <c r="Q2592" s="1"/>
      <c r="R2592" s="1"/>
      <c r="S2592" s="1"/>
      <c r="T2592" s="1"/>
      <c r="U2592" s="1"/>
      <c r="V2592" s="1"/>
      <c r="W2592" s="1"/>
      <c r="X2592" s="1"/>
      <c r="Y2592" s="1"/>
      <c r="Z2592" s="1"/>
      <c r="AA2592" s="1"/>
      <c r="AB2592" s="1"/>
    </row>
    <row r="2593" ht="50.25" customHeight="1">
      <c r="A2593" s="12">
        <v>2589.0</v>
      </c>
      <c r="B2593" s="13" t="s">
        <v>2434</v>
      </c>
      <c r="C2593" s="14" t="s">
        <v>2606</v>
      </c>
      <c r="D2593" s="1"/>
      <c r="E2593" s="1"/>
      <c r="F2593" s="1" t="str">
        <f>IFERROR(__xludf.DUMMYFUNCTION("GOOGLETRANSLATE(B2593, ""en"", ""fa"")
"),"تبلیغات")</f>
        <v>تبلیغات</v>
      </c>
      <c r="G2593" s="1" t="str">
        <f>IFERROR(__xludf.DUMMYFUNCTION("GOOGLETRANSLATE(C2593, ""en"", ""fa"")
"),"استراتژی‌هایی را برای ترکیب شواهد و گواهی‌های اجتماعی در تبلیغات محصولات بهداشتی و سلامتی به اشتراک بگذارید.")</f>
        <v>استراتژی‌هایی را برای ترکیب شواهد و گواهی‌های اجتماعی در تبلیغات محصولات بهداشتی و سلامتی به اشتراک بگذارید.</v>
      </c>
      <c r="H2593" s="1"/>
      <c r="I2593" s="1"/>
      <c r="J2593" s="1"/>
      <c r="K2593" s="1"/>
      <c r="L2593" s="1"/>
      <c r="M2593" s="1"/>
      <c r="N2593" s="1"/>
      <c r="O2593" s="1"/>
      <c r="P2593" s="1"/>
      <c r="Q2593" s="1"/>
      <c r="R2593" s="1"/>
      <c r="S2593" s="1"/>
      <c r="T2593" s="1"/>
      <c r="U2593" s="1"/>
      <c r="V2593" s="1"/>
      <c r="W2593" s="1"/>
      <c r="X2593" s="1"/>
      <c r="Y2593" s="1"/>
      <c r="Z2593" s="1"/>
      <c r="AA2593" s="1"/>
      <c r="AB2593" s="1"/>
    </row>
    <row r="2594" ht="50.25" customHeight="1">
      <c r="A2594" s="12">
        <v>2590.0</v>
      </c>
      <c r="B2594" s="13" t="s">
        <v>2434</v>
      </c>
      <c r="C2594" s="14" t="s">
        <v>2607</v>
      </c>
      <c r="D2594" s="1"/>
      <c r="E2594" s="1"/>
      <c r="F2594" s="1" t="str">
        <f>IFERROR(__xludf.DUMMYFUNCTION("GOOGLETRANSLATE(B2594, ""en"", ""fa"")
"),"تبلیغات")</f>
        <v>تبلیغات</v>
      </c>
      <c r="G2594" s="1" t="str">
        <f>IFERROR(__xludf.DUMMYFUNCTION("GOOGLETRANSLATE(C2594, ""en"", ""fa"")
"),"نکاتی را برای ایجاد تبلیغات داستان سرایی تاثیرگذار برای برندهای سلامت و تندرستی به اشتراک بگذارید.")</f>
        <v>نکاتی را برای ایجاد تبلیغات داستان سرایی تاثیرگذار برای برندهای سلامت و تندرستی به اشتراک بگذارید.</v>
      </c>
      <c r="H2594" s="1"/>
      <c r="I2594" s="1"/>
      <c r="J2594" s="1"/>
      <c r="K2594" s="1"/>
      <c r="L2594" s="1"/>
      <c r="M2594" s="1"/>
      <c r="N2594" s="1"/>
      <c r="O2594" s="1"/>
      <c r="P2594" s="1"/>
      <c r="Q2594" s="1"/>
      <c r="R2594" s="1"/>
      <c r="S2594" s="1"/>
      <c r="T2594" s="1"/>
      <c r="U2594" s="1"/>
      <c r="V2594" s="1"/>
      <c r="W2594" s="1"/>
      <c r="X2594" s="1"/>
      <c r="Y2594" s="1"/>
      <c r="Z2594" s="1"/>
      <c r="AA2594" s="1"/>
      <c r="AB2594" s="1"/>
    </row>
    <row r="2595" ht="50.25" customHeight="1">
      <c r="A2595" s="12">
        <v>2591.0</v>
      </c>
      <c r="B2595" s="13" t="s">
        <v>2434</v>
      </c>
      <c r="C2595" s="14" t="s">
        <v>2608</v>
      </c>
      <c r="D2595" s="1"/>
      <c r="E2595" s="1"/>
      <c r="F2595" s="1" t="str">
        <f>IFERROR(__xludf.DUMMYFUNCTION("GOOGLETRANSLATE(B2595, ""en"", ""fa"")
"),"تبلیغات")</f>
        <v>تبلیغات</v>
      </c>
      <c r="G2595" s="1" t="str">
        <f>IFERROR(__xludf.DUMMYFUNCTION("GOOGLETRANSLATE(C2595, ""en"", ""fa"")
"),"روش های مختلف استفاده از طنز و خلاقیت در تبلیغات برای محصولات فناوری و گجت را بررسی کنید.")</f>
        <v>روش های مختلف استفاده از طنز و خلاقیت در تبلیغات برای محصولات فناوری و گجت را بررسی کنید.</v>
      </c>
      <c r="H2595" s="1"/>
      <c r="I2595" s="1"/>
      <c r="J2595" s="1"/>
      <c r="K2595" s="1"/>
      <c r="L2595" s="1"/>
      <c r="M2595" s="1"/>
      <c r="N2595" s="1"/>
      <c r="O2595" s="1"/>
      <c r="P2595" s="1"/>
      <c r="Q2595" s="1"/>
      <c r="R2595" s="1"/>
      <c r="S2595" s="1"/>
      <c r="T2595" s="1"/>
      <c r="U2595" s="1"/>
      <c r="V2595" s="1"/>
      <c r="W2595" s="1"/>
      <c r="X2595" s="1"/>
      <c r="Y2595" s="1"/>
      <c r="Z2595" s="1"/>
      <c r="AA2595" s="1"/>
      <c r="AB2595" s="1"/>
    </row>
    <row r="2596" ht="50.25" customHeight="1">
      <c r="A2596" s="12">
        <v>2592.0</v>
      </c>
      <c r="B2596" s="13" t="s">
        <v>2434</v>
      </c>
      <c r="C2596" s="14" t="s">
        <v>2609</v>
      </c>
      <c r="D2596" s="1"/>
      <c r="E2596" s="1"/>
      <c r="F2596" s="1" t="str">
        <f>IFERROR(__xludf.DUMMYFUNCTION("GOOGLETRANSLATE(B2596, ""en"", ""fa"")
"),"تبلیغات")</f>
        <v>تبلیغات</v>
      </c>
      <c r="G2596" s="1" t="str">
        <f>IFERROR(__xludf.DUMMYFUNCTION("GOOGLETRANSLATE(C2596, ""en"", ""fa"")
"),"استراتژی هایی را برای ایجاد تبلیغات رادیویی متقاعدکننده که به طور مؤثر پیام برند را منتقل می کند، به اشتراک بگذارید.")</f>
        <v>استراتژی هایی را برای ایجاد تبلیغات رادیویی متقاعدکننده که به طور مؤثر پیام برند را منتقل می کند، به اشتراک بگذارید.</v>
      </c>
      <c r="H2596" s="1"/>
      <c r="I2596" s="1"/>
      <c r="J2596" s="1"/>
      <c r="K2596" s="1"/>
      <c r="L2596" s="1"/>
      <c r="M2596" s="1"/>
      <c r="N2596" s="1"/>
      <c r="O2596" s="1"/>
      <c r="P2596" s="1"/>
      <c r="Q2596" s="1"/>
      <c r="R2596" s="1"/>
      <c r="S2596" s="1"/>
      <c r="T2596" s="1"/>
      <c r="U2596" s="1"/>
      <c r="V2596" s="1"/>
      <c r="W2596" s="1"/>
      <c r="X2596" s="1"/>
      <c r="Y2596" s="1"/>
      <c r="Z2596" s="1"/>
      <c r="AA2596" s="1"/>
      <c r="AB2596" s="1"/>
    </row>
    <row r="2597" ht="50.25" customHeight="1">
      <c r="A2597" s="12">
        <v>2593.0</v>
      </c>
      <c r="B2597" s="13" t="s">
        <v>2434</v>
      </c>
      <c r="C2597" s="14" t="s">
        <v>2610</v>
      </c>
      <c r="D2597" s="1"/>
      <c r="E2597" s="1"/>
      <c r="F2597" s="1" t="str">
        <f>IFERROR(__xludf.DUMMYFUNCTION("GOOGLETRANSLATE(B2597, ""en"", ""fa"")
"),"تبلیغات")</f>
        <v>تبلیغات</v>
      </c>
      <c r="G2597" s="1" t="str">
        <f>IFERROR(__xludf.DUMMYFUNCTION("GOOGLETRANSLATE(C2597, ""en"", ""fa"")
"),"تکنیک‌های استفاده از تبلیغات پویا و شخصی‌شده بر اساس رفتار کاربر را بررسی کنید.")</f>
        <v>تکنیک‌های استفاده از تبلیغات پویا و شخصی‌شده بر اساس رفتار کاربر را بررسی کنید.</v>
      </c>
      <c r="H2597" s="1"/>
      <c r="I2597" s="1"/>
      <c r="J2597" s="1"/>
      <c r="K2597" s="1"/>
      <c r="L2597" s="1"/>
      <c r="M2597" s="1"/>
      <c r="N2597" s="1"/>
      <c r="O2597" s="1"/>
      <c r="P2597" s="1"/>
      <c r="Q2597" s="1"/>
      <c r="R2597" s="1"/>
      <c r="S2597" s="1"/>
      <c r="T2597" s="1"/>
      <c r="U2597" s="1"/>
      <c r="V2597" s="1"/>
      <c r="W2597" s="1"/>
      <c r="X2597" s="1"/>
      <c r="Y2597" s="1"/>
      <c r="Z2597" s="1"/>
      <c r="AA2597" s="1"/>
      <c r="AB2597" s="1"/>
    </row>
    <row r="2598" ht="50.25" customHeight="1">
      <c r="A2598" s="12">
        <v>2594.0</v>
      </c>
      <c r="B2598" s="13" t="s">
        <v>2434</v>
      </c>
      <c r="C2598" s="14" t="s">
        <v>2611</v>
      </c>
      <c r="D2598" s="1"/>
      <c r="E2598" s="1"/>
      <c r="F2598" s="1" t="str">
        <f>IFERROR(__xludf.DUMMYFUNCTION("GOOGLETRANSLATE(B2598, ""en"", ""fa"")
"),"تبلیغات")</f>
        <v>تبلیغات</v>
      </c>
      <c r="G2598" s="1" t="str">
        <f>IFERROR(__xludf.DUMMYFUNCTION("GOOGLETRANSLATE(C2598, ""en"", ""fa"")
"),"نکاتی را برای ایجاد بنرهای تبلیغاتی دیجیتال تاثیرگذار که توجه مخاطب را جلب می کند، به اشتراک بگذارید.")</f>
        <v>نکاتی را برای ایجاد بنرهای تبلیغاتی دیجیتال تاثیرگذار که توجه مخاطب را جلب می کند، به اشتراک بگذارید.</v>
      </c>
      <c r="H2598" s="1"/>
      <c r="I2598" s="1"/>
      <c r="J2598" s="1"/>
      <c r="K2598" s="1"/>
      <c r="L2598" s="1"/>
      <c r="M2598" s="1"/>
      <c r="N2598" s="1"/>
      <c r="O2598" s="1"/>
      <c r="P2598" s="1"/>
      <c r="Q2598" s="1"/>
      <c r="R2598" s="1"/>
      <c r="S2598" s="1"/>
      <c r="T2598" s="1"/>
      <c r="U2598" s="1"/>
      <c r="V2598" s="1"/>
      <c r="W2598" s="1"/>
      <c r="X2598" s="1"/>
      <c r="Y2598" s="1"/>
      <c r="Z2598" s="1"/>
      <c r="AA2598" s="1"/>
      <c r="AB2598" s="1"/>
    </row>
    <row r="2599" ht="50.25" customHeight="1">
      <c r="A2599" s="12">
        <v>2595.0</v>
      </c>
      <c r="B2599" s="13" t="s">
        <v>2434</v>
      </c>
      <c r="C2599" s="14" t="s">
        <v>2612</v>
      </c>
      <c r="D2599" s="1"/>
      <c r="E2599" s="1"/>
      <c r="F2599" s="1" t="str">
        <f>IFERROR(__xludf.DUMMYFUNCTION("GOOGLETRANSLATE(B2599, ""en"", ""fa"")
"),"تبلیغات")</f>
        <v>تبلیغات</v>
      </c>
      <c r="G2599" s="1" t="str">
        <f>IFERROR(__xludf.DUMMYFUNCTION("GOOGLETRANSLATE(C2599, ""en"", ""fa"")
"),"استراتژی هایی برای ایجاد تبلیغات بیلبورد متقاعد کننده که تأثیر ماندگاری بر بینندگان بگذارد را به اشتراک بگذارید.")</f>
        <v>استراتژی هایی برای ایجاد تبلیغات بیلبورد متقاعد کننده که تأثیر ماندگاری بر بینندگان بگذارد را به اشتراک بگذارید.</v>
      </c>
      <c r="H2599" s="1"/>
      <c r="I2599" s="1"/>
      <c r="J2599" s="1"/>
      <c r="K2599" s="1"/>
      <c r="L2599" s="1"/>
      <c r="M2599" s="1"/>
      <c r="N2599" s="1"/>
      <c r="O2599" s="1"/>
      <c r="P2599" s="1"/>
      <c r="Q2599" s="1"/>
      <c r="R2599" s="1"/>
      <c r="S2599" s="1"/>
      <c r="T2599" s="1"/>
      <c r="U2599" s="1"/>
      <c r="V2599" s="1"/>
      <c r="W2599" s="1"/>
      <c r="X2599" s="1"/>
      <c r="Y2599" s="1"/>
      <c r="Z2599" s="1"/>
      <c r="AA2599" s="1"/>
      <c r="AB2599" s="1"/>
    </row>
    <row r="2600" ht="50.25" customHeight="1">
      <c r="A2600" s="12">
        <v>2596.0</v>
      </c>
      <c r="B2600" s="13" t="s">
        <v>2434</v>
      </c>
      <c r="C2600" s="14" t="s">
        <v>2613</v>
      </c>
      <c r="D2600" s="1"/>
      <c r="E2600" s="1"/>
      <c r="F2600" s="1" t="str">
        <f>IFERROR(__xludf.DUMMYFUNCTION("GOOGLETRANSLATE(B2600, ""en"", ""fa"")
"),"تبلیغات")</f>
        <v>تبلیغات</v>
      </c>
      <c r="G2600" s="1" t="str">
        <f>IFERROR(__xludf.DUMMYFUNCTION("GOOGLETRANSLATE(C2600, ""en"", ""fa"")
"),"تکنیک‌های استفاده از هدف‌گیری مجدد تبلیغات رسانه‌های اجتماعی برای بهبود نرخ تبدیل را بررسی کنید.")</f>
        <v>تکنیک‌های استفاده از هدف‌گیری مجدد تبلیغات رسانه‌های اجتماعی برای بهبود نرخ تبدیل را بررسی کنید.</v>
      </c>
      <c r="H2600" s="1"/>
      <c r="I2600" s="1"/>
      <c r="J2600" s="1"/>
      <c r="K2600" s="1"/>
      <c r="L2600" s="1"/>
      <c r="M2600" s="1"/>
      <c r="N2600" s="1"/>
      <c r="O2600" s="1"/>
      <c r="P2600" s="1"/>
      <c r="Q2600" s="1"/>
      <c r="R2600" s="1"/>
      <c r="S2600" s="1"/>
      <c r="T2600" s="1"/>
      <c r="U2600" s="1"/>
      <c r="V2600" s="1"/>
      <c r="W2600" s="1"/>
      <c r="X2600" s="1"/>
      <c r="Y2600" s="1"/>
      <c r="Z2600" s="1"/>
      <c r="AA2600" s="1"/>
      <c r="AB2600" s="1"/>
    </row>
    <row r="2601" ht="50.25" customHeight="1">
      <c r="A2601" s="12">
        <v>2597.0</v>
      </c>
      <c r="B2601" s="13" t="s">
        <v>2434</v>
      </c>
      <c r="C2601" s="14" t="s">
        <v>2614</v>
      </c>
      <c r="D2601" s="1"/>
      <c r="E2601" s="1"/>
      <c r="F2601" s="1" t="str">
        <f>IFERROR(__xludf.DUMMYFUNCTION("GOOGLETRANSLATE(B2601, ""en"", ""fa"")
"),"تبلیغات")</f>
        <v>تبلیغات</v>
      </c>
      <c r="G2601" s="1" t="str">
        <f>IFERROR(__xludf.DUMMYFUNCTION("GOOGLETRANSLATE(C2601, ""en"", ""fa"")
"),"نکاتی را برای ایجاد کمپین های تبلیغاتی تاثیرگذار برای مشاغل محلی و مناطق جغرافیایی به اشتراک بگذارید.")</f>
        <v>نکاتی را برای ایجاد کمپین های تبلیغاتی تاثیرگذار برای مشاغل محلی و مناطق جغرافیایی به اشتراک بگذارید.</v>
      </c>
      <c r="H2601" s="1"/>
      <c r="I2601" s="1"/>
      <c r="J2601" s="1"/>
      <c r="K2601" s="1"/>
      <c r="L2601" s="1"/>
      <c r="M2601" s="1"/>
      <c r="N2601" s="1"/>
      <c r="O2601" s="1"/>
      <c r="P2601" s="1"/>
      <c r="Q2601" s="1"/>
      <c r="R2601" s="1"/>
      <c r="S2601" s="1"/>
      <c r="T2601" s="1"/>
      <c r="U2601" s="1"/>
      <c r="V2601" s="1"/>
      <c r="W2601" s="1"/>
      <c r="X2601" s="1"/>
      <c r="Y2601" s="1"/>
      <c r="Z2601" s="1"/>
      <c r="AA2601" s="1"/>
      <c r="AB2601" s="1"/>
    </row>
    <row r="2602" ht="50.25" customHeight="1">
      <c r="A2602" s="12">
        <v>2598.0</v>
      </c>
      <c r="B2602" s="13" t="s">
        <v>2434</v>
      </c>
      <c r="C2602" s="14" t="s">
        <v>2615</v>
      </c>
      <c r="D2602" s="1"/>
      <c r="E2602" s="1"/>
      <c r="F2602" s="1" t="str">
        <f>IFERROR(__xludf.DUMMYFUNCTION("GOOGLETRANSLATE(B2602, ""en"", ""fa"")
"),"تبلیغات")</f>
        <v>تبلیغات</v>
      </c>
      <c r="G2602" s="1" t="str">
        <f>IFERROR(__xludf.DUMMYFUNCTION("GOOGLETRANSLATE(C2602, ""en"", ""fa"")
"),"در مورد مزایای ترکیب محتوای تولید شده توسط اینفلوئنسرها در تبلیغات برای برندهای تناسب اندام بحث کنید.")</f>
        <v>در مورد مزایای ترکیب محتوای تولید شده توسط اینفلوئنسرها در تبلیغات برای برندهای تناسب اندام بحث کنید.</v>
      </c>
      <c r="H2602" s="1"/>
      <c r="I2602" s="1"/>
      <c r="J2602" s="1"/>
      <c r="K2602" s="1"/>
      <c r="L2602" s="1"/>
      <c r="M2602" s="1"/>
      <c r="N2602" s="1"/>
      <c r="O2602" s="1"/>
      <c r="P2602" s="1"/>
      <c r="Q2602" s="1"/>
      <c r="R2602" s="1"/>
      <c r="S2602" s="1"/>
      <c r="T2602" s="1"/>
      <c r="U2602" s="1"/>
      <c r="V2602" s="1"/>
      <c r="W2602" s="1"/>
      <c r="X2602" s="1"/>
      <c r="Y2602" s="1"/>
      <c r="Z2602" s="1"/>
      <c r="AA2602" s="1"/>
      <c r="AB2602" s="1"/>
    </row>
    <row r="2603" ht="50.25" customHeight="1">
      <c r="A2603" s="12">
        <v>2599.0</v>
      </c>
      <c r="B2603" s="13" t="s">
        <v>2434</v>
      </c>
      <c r="C2603" s="14" t="s">
        <v>2616</v>
      </c>
      <c r="D2603" s="1"/>
      <c r="E2603" s="1"/>
      <c r="F2603" s="1" t="str">
        <f>IFERROR(__xludf.DUMMYFUNCTION("GOOGLETRANSLATE(B2603, ""en"", ""fa"")
"),"تبلیغات")</f>
        <v>تبلیغات</v>
      </c>
      <c r="G2603" s="1" t="str">
        <f>IFERROR(__xludf.DUMMYFUNCTION("GOOGLETRANSLATE(C2603, ""en"", ""fa"")
"),"استراتژی هایی برای ایجاد تبلیغات داستان سرایی متقاعدکننده برای محصولات فناوری و ابزارک به اشتراک بگذارید.")</f>
        <v>استراتژی هایی برای ایجاد تبلیغات داستان سرایی متقاعدکننده برای محصولات فناوری و ابزارک به اشتراک بگذارید.</v>
      </c>
      <c r="H2603" s="1"/>
      <c r="I2603" s="1"/>
      <c r="J2603" s="1"/>
      <c r="K2603" s="1"/>
      <c r="L2603" s="1"/>
      <c r="M2603" s="1"/>
      <c r="N2603" s="1"/>
      <c r="O2603" s="1"/>
      <c r="P2603" s="1"/>
      <c r="Q2603" s="1"/>
      <c r="R2603" s="1"/>
      <c r="S2603" s="1"/>
      <c r="T2603" s="1"/>
      <c r="U2603" s="1"/>
      <c r="V2603" s="1"/>
      <c r="W2603" s="1"/>
      <c r="X2603" s="1"/>
      <c r="Y2603" s="1"/>
      <c r="Z2603" s="1"/>
      <c r="AA2603" s="1"/>
      <c r="AB2603" s="1"/>
    </row>
    <row r="2604" ht="50.25" customHeight="1">
      <c r="A2604" s="12">
        <v>2600.0</v>
      </c>
      <c r="B2604" s="13" t="s">
        <v>2434</v>
      </c>
      <c r="C2604" s="14" t="s">
        <v>2617</v>
      </c>
      <c r="D2604" s="1"/>
      <c r="E2604" s="1"/>
      <c r="F2604" s="1" t="str">
        <f>IFERROR(__xludf.DUMMYFUNCTION("GOOGLETRANSLATE(B2604, ""en"", ""fa"")
"),"تبلیغات")</f>
        <v>تبلیغات</v>
      </c>
      <c r="G2604" s="1" t="str">
        <f>IFERROR(__xludf.DUMMYFUNCTION("GOOGLETRANSLATE(C2604, ""en"", ""fa"")
"),"تکنیک های استفاده از گرایش های رسانه های اجتماعی و محتوای ویروسی در کمپین های تبلیغاتی را بررسی کنید.")</f>
        <v>تکنیک های استفاده از گرایش های رسانه های اجتماعی و محتوای ویروسی در کمپین های تبلیغاتی را بررسی کنید.</v>
      </c>
      <c r="H2604" s="1"/>
      <c r="I2604" s="1"/>
      <c r="J2604" s="1"/>
      <c r="K2604" s="1"/>
      <c r="L2604" s="1"/>
      <c r="M2604" s="1"/>
      <c r="N2604" s="1"/>
      <c r="O2604" s="1"/>
      <c r="P2604" s="1"/>
      <c r="Q2604" s="1"/>
      <c r="R2604" s="1"/>
      <c r="S2604" s="1"/>
      <c r="T2604" s="1"/>
      <c r="U2604" s="1"/>
      <c r="V2604" s="1"/>
      <c r="W2604" s="1"/>
      <c r="X2604" s="1"/>
      <c r="Y2604" s="1"/>
      <c r="Z2604" s="1"/>
      <c r="AA2604" s="1"/>
      <c r="AB2604" s="1"/>
    </row>
    <row r="2605" ht="50.25" customHeight="1">
      <c r="A2605" s="12">
        <v>2601.0</v>
      </c>
      <c r="B2605" s="13" t="s">
        <v>2434</v>
      </c>
      <c r="C2605" s="14" t="s">
        <v>2618</v>
      </c>
      <c r="D2605" s="1"/>
      <c r="E2605" s="1"/>
      <c r="F2605" s="1" t="str">
        <f>IFERROR(__xludf.DUMMYFUNCTION("GOOGLETRANSLATE(B2605, ""en"", ""fa"")
"),"تبلیغات")</f>
        <v>تبلیغات</v>
      </c>
      <c r="G2605" s="1" t="str">
        <f>IFERROR(__xludf.DUMMYFUNCTION("GOOGLETRANSLATE(C2605, ""en"", ""fa"")
"),"در مورد اهمیت استفاده از اصالت و اعتبار در تبلیغات برای محصولات مراقبت شخصی بحث کنید.")</f>
        <v>در مورد اهمیت استفاده از اصالت و اعتبار در تبلیغات برای محصولات مراقبت شخصی بحث کنید.</v>
      </c>
      <c r="H2605" s="1"/>
      <c r="I2605" s="1"/>
      <c r="J2605" s="1"/>
      <c r="K2605" s="1"/>
      <c r="L2605" s="1"/>
      <c r="M2605" s="1"/>
      <c r="N2605" s="1"/>
      <c r="O2605" s="1"/>
      <c r="P2605" s="1"/>
      <c r="Q2605" s="1"/>
      <c r="R2605" s="1"/>
      <c r="S2605" s="1"/>
      <c r="T2605" s="1"/>
      <c r="U2605" s="1"/>
      <c r="V2605" s="1"/>
      <c r="W2605" s="1"/>
      <c r="X2605" s="1"/>
      <c r="Y2605" s="1"/>
      <c r="Z2605" s="1"/>
      <c r="AA2605" s="1"/>
      <c r="AB2605" s="1"/>
    </row>
    <row r="2606" ht="50.25" customHeight="1">
      <c r="A2606" s="12">
        <v>2602.0</v>
      </c>
      <c r="B2606" s="13" t="s">
        <v>2434</v>
      </c>
      <c r="C2606" s="14" t="s">
        <v>2619</v>
      </c>
      <c r="D2606" s="1"/>
      <c r="E2606" s="1"/>
      <c r="F2606" s="1" t="str">
        <f>IFERROR(__xludf.DUMMYFUNCTION("GOOGLETRANSLATE(B2606, ""en"", ""fa"")
"),"تبلیغات")</f>
        <v>تبلیغات</v>
      </c>
      <c r="G2606" s="1" t="str">
        <f>IFERROR(__xludf.DUMMYFUNCTION("GOOGLETRANSLATE(C2606, ""en"", ""fa"")
"),"نکاتی را برای ایجاد تبلیغات ایمیلی تاثیرگذار که نرخ باز و تبدیل را افزایش می دهد، به اشتراک بگذارید.")</f>
        <v>نکاتی را برای ایجاد تبلیغات ایمیلی تاثیرگذار که نرخ باز و تبدیل را افزایش می دهد، به اشتراک بگذارید.</v>
      </c>
      <c r="H2606" s="1"/>
      <c r="I2606" s="1"/>
      <c r="J2606" s="1"/>
      <c r="K2606" s="1"/>
      <c r="L2606" s="1"/>
      <c r="M2606" s="1"/>
      <c r="N2606" s="1"/>
      <c r="O2606" s="1"/>
      <c r="P2606" s="1"/>
      <c r="Q2606" s="1"/>
      <c r="R2606" s="1"/>
      <c r="S2606" s="1"/>
      <c r="T2606" s="1"/>
      <c r="U2606" s="1"/>
      <c r="V2606" s="1"/>
      <c r="W2606" s="1"/>
      <c r="X2606" s="1"/>
      <c r="Y2606" s="1"/>
      <c r="Z2606" s="1"/>
      <c r="AA2606" s="1"/>
      <c r="AB2606" s="1"/>
    </row>
    <row r="2607" ht="50.25" customHeight="1">
      <c r="A2607" s="12">
        <v>2603.0</v>
      </c>
      <c r="B2607" s="13" t="s">
        <v>2434</v>
      </c>
      <c r="C2607" s="14" t="s">
        <v>2620</v>
      </c>
      <c r="D2607" s="1"/>
      <c r="E2607" s="1"/>
      <c r="F2607" s="1" t="str">
        <f>IFERROR(__xludf.DUMMYFUNCTION("GOOGLETRANSLATE(B2607, ""en"", ""fa"")
"),"تبلیغات")</f>
        <v>تبلیغات</v>
      </c>
      <c r="G2607" s="1" t="str">
        <f>IFERROR(__xludf.DUMMYFUNCTION("GOOGLETRANSLATE(C2607, ""en"", ""fa"")
"),"در مورد مزایای استفاده از تأثیرگذاران رسانه های اجتماعی در تبلیغات برای کمپین های مسافرتی بحث کنید.")</f>
        <v>در مورد مزایای استفاده از تأثیرگذاران رسانه های اجتماعی در تبلیغات برای کمپین های مسافرتی بحث کنید.</v>
      </c>
      <c r="H2607" s="1"/>
      <c r="I2607" s="1"/>
      <c r="J2607" s="1"/>
      <c r="K2607" s="1"/>
      <c r="L2607" s="1"/>
      <c r="M2607" s="1"/>
      <c r="N2607" s="1"/>
      <c r="O2607" s="1"/>
      <c r="P2607" s="1"/>
      <c r="Q2607" s="1"/>
      <c r="R2607" s="1"/>
      <c r="S2607" s="1"/>
      <c r="T2607" s="1"/>
      <c r="U2607" s="1"/>
      <c r="V2607" s="1"/>
      <c r="W2607" s="1"/>
      <c r="X2607" s="1"/>
      <c r="Y2607" s="1"/>
      <c r="Z2607" s="1"/>
      <c r="AA2607" s="1"/>
      <c r="AB2607" s="1"/>
    </row>
    <row r="2608" ht="50.25" customHeight="1">
      <c r="A2608" s="12">
        <v>2604.0</v>
      </c>
      <c r="B2608" s="13" t="s">
        <v>2434</v>
      </c>
      <c r="C2608" s="14" t="s">
        <v>2621</v>
      </c>
      <c r="D2608" s="1"/>
      <c r="E2608" s="1"/>
      <c r="F2608" s="1" t="str">
        <f>IFERROR(__xludf.DUMMYFUNCTION("GOOGLETRANSLATE(B2608, ""en"", ""fa"")
"),"تبلیغات")</f>
        <v>تبلیغات</v>
      </c>
      <c r="G2608" s="1" t="str">
        <f>IFERROR(__xludf.DUMMYFUNCTION("GOOGLETRANSLATE(C2608, ""en"", ""fa"")
"),"استراتژی هایی برای ایجاد تبلیغات ویدیویی متقاعدکننده برای پلتفرم های پخش جریانی و ویدیوهای آنلاین به اشتراک بگذارید.")</f>
        <v>استراتژی هایی برای ایجاد تبلیغات ویدیویی متقاعدکننده برای پلتفرم های پخش جریانی و ویدیوهای آنلاین به اشتراک بگذارید.</v>
      </c>
      <c r="H2608" s="1"/>
      <c r="I2608" s="1"/>
      <c r="J2608" s="1"/>
      <c r="K2608" s="1"/>
      <c r="L2608" s="1"/>
      <c r="M2608" s="1"/>
      <c r="N2608" s="1"/>
      <c r="O2608" s="1"/>
      <c r="P2608" s="1"/>
      <c r="Q2608" s="1"/>
      <c r="R2608" s="1"/>
      <c r="S2608" s="1"/>
      <c r="T2608" s="1"/>
      <c r="U2608" s="1"/>
      <c r="V2608" s="1"/>
      <c r="W2608" s="1"/>
      <c r="X2608" s="1"/>
      <c r="Y2608" s="1"/>
      <c r="Z2608" s="1"/>
      <c r="AA2608" s="1"/>
      <c r="AB2608" s="1"/>
    </row>
    <row r="2609" ht="50.25" customHeight="1">
      <c r="A2609" s="12">
        <v>2605.0</v>
      </c>
      <c r="B2609" s="13" t="s">
        <v>2434</v>
      </c>
      <c r="C2609" s="14" t="s">
        <v>2622</v>
      </c>
      <c r="D2609" s="1"/>
      <c r="E2609" s="1"/>
      <c r="F2609" s="1" t="str">
        <f>IFERROR(__xludf.DUMMYFUNCTION("GOOGLETRANSLATE(B2609, ""en"", ""fa"")
"),"تبلیغات")</f>
        <v>تبلیغات</v>
      </c>
      <c r="G2609" s="1" t="str">
        <f>IFERROR(__xludf.DUMMYFUNCTION("GOOGLETRANSLATE(C2609, ""en"", ""fa"")
"),"در مورد اهمیت استفاده از طنز و خلاقیت در تبلیغات برای برندهای غذا و نوشیدنی بحث کنید.")</f>
        <v>در مورد اهمیت استفاده از طنز و خلاقیت در تبلیغات برای برندهای غذا و نوشیدنی بحث کنید.</v>
      </c>
      <c r="H2609" s="1"/>
      <c r="I2609" s="1"/>
      <c r="J2609" s="1"/>
      <c r="K2609" s="1"/>
      <c r="L2609" s="1"/>
      <c r="M2609" s="1"/>
      <c r="N2609" s="1"/>
      <c r="O2609" s="1"/>
      <c r="P2609" s="1"/>
      <c r="Q2609" s="1"/>
      <c r="R2609" s="1"/>
      <c r="S2609" s="1"/>
      <c r="T2609" s="1"/>
      <c r="U2609" s="1"/>
      <c r="V2609" s="1"/>
      <c r="W2609" s="1"/>
      <c r="X2609" s="1"/>
      <c r="Y2609" s="1"/>
      <c r="Z2609" s="1"/>
      <c r="AA2609" s="1"/>
      <c r="AB2609" s="1"/>
    </row>
    <row r="2610" ht="50.25" customHeight="1">
      <c r="A2610" s="12">
        <v>2606.0</v>
      </c>
      <c r="B2610" s="13" t="s">
        <v>2434</v>
      </c>
      <c r="C2610" s="14" t="s">
        <v>2623</v>
      </c>
      <c r="D2610" s="1"/>
      <c r="E2610" s="1"/>
      <c r="F2610" s="1" t="str">
        <f>IFERROR(__xludf.DUMMYFUNCTION("GOOGLETRANSLATE(B2610, ""en"", ""fa"")
"),"تبلیغات")</f>
        <v>تبلیغات</v>
      </c>
      <c r="G2610" s="1" t="str">
        <f>IFERROR(__xludf.DUMMYFUNCTION("GOOGLETRANSLATE(C2610, ""en"", ""fa"")
"),"نکاتی را برای ایجاد تبلیغات بنری دیجیتالی تاثیرگذار که نرخ کلیک را افزایش می دهد، به اشتراک بگذارید.")</f>
        <v>نکاتی را برای ایجاد تبلیغات بنری دیجیتالی تاثیرگذار که نرخ کلیک را افزایش می دهد، به اشتراک بگذارید.</v>
      </c>
      <c r="H2610" s="1"/>
      <c r="I2610" s="1"/>
      <c r="J2610" s="1"/>
      <c r="K2610" s="1"/>
      <c r="L2610" s="1"/>
      <c r="M2610" s="1"/>
      <c r="N2610" s="1"/>
      <c r="O2610" s="1"/>
      <c r="P2610" s="1"/>
      <c r="Q2610" s="1"/>
      <c r="R2610" s="1"/>
      <c r="S2610" s="1"/>
      <c r="T2610" s="1"/>
      <c r="U2610" s="1"/>
      <c r="V2610" s="1"/>
      <c r="W2610" s="1"/>
      <c r="X2610" s="1"/>
      <c r="Y2610" s="1"/>
      <c r="Z2610" s="1"/>
      <c r="AA2610" s="1"/>
      <c r="AB2610" s="1"/>
    </row>
    <row r="2611" ht="50.25" customHeight="1">
      <c r="A2611" s="12">
        <v>2607.0</v>
      </c>
      <c r="B2611" s="13" t="s">
        <v>2624</v>
      </c>
      <c r="C2611" s="14" t="s">
        <v>2625</v>
      </c>
      <c r="D2611" s="1"/>
      <c r="E2611" s="1"/>
      <c r="F2611" s="1" t="str">
        <f>IFERROR(__xludf.DUMMYFUNCTION("GOOGLETRANSLATE(B2611, ""en"", ""fa"")
"),"نویسندگی و داستان سرایی را تحریک می کند")</f>
        <v>نویسندگی و داستان سرایی را تحریک می کند</v>
      </c>
      <c r="G2611" s="1" t="str">
        <f>IFERROR(__xludf.DUMMYFUNCTION("GOOGLETRANSLATE(C2611, ""en"", ""fa"")
"),"یک داستان کوتاه در مورد یک شی مرموز بنویسید که آرزوها را برآورده می کند، اما هزینه زیادی دارد.")</f>
        <v>یک داستان کوتاه در مورد یک شی مرموز بنویسید که آرزوها را برآورده می کند، اما هزینه زیادی دارد.</v>
      </c>
      <c r="H2611" s="1"/>
      <c r="I2611" s="1"/>
      <c r="J2611" s="1"/>
      <c r="K2611" s="1"/>
      <c r="L2611" s="1"/>
      <c r="M2611" s="1"/>
      <c r="N2611" s="1"/>
      <c r="O2611" s="1"/>
      <c r="P2611" s="1"/>
      <c r="Q2611" s="1"/>
      <c r="R2611" s="1"/>
      <c r="S2611" s="1"/>
      <c r="T2611" s="1"/>
      <c r="U2611" s="1"/>
      <c r="V2611" s="1"/>
      <c r="W2611" s="1"/>
      <c r="X2611" s="1"/>
      <c r="Y2611" s="1"/>
      <c r="Z2611" s="1"/>
      <c r="AA2611" s="1"/>
      <c r="AB2611" s="1"/>
    </row>
    <row r="2612" ht="50.25" customHeight="1">
      <c r="A2612" s="12">
        <v>2608.0</v>
      </c>
      <c r="B2612" s="13" t="s">
        <v>2624</v>
      </c>
      <c r="C2612" s="14" t="s">
        <v>2626</v>
      </c>
      <c r="D2612" s="1"/>
      <c r="E2612" s="1"/>
      <c r="F2612" s="1" t="str">
        <f>IFERROR(__xludf.DUMMYFUNCTION("GOOGLETRANSLATE(B2612, ""en"", ""fa"")
"),"نویسندگی و داستان سرایی را تحریک می کند")</f>
        <v>نویسندگی و داستان سرایی را تحریک می کند</v>
      </c>
      <c r="G2612" s="1" t="str">
        <f>IFERROR(__xludf.DUMMYFUNCTION("GOOGLETRANSLATE(C2612, ""en"", ""fa"")
"),"شخصیتی را توصیف کنید که توانایی شنیدن افکار دیگران و کشف پیامدهای این قدرت را دارد.")</f>
        <v>شخصیتی را توصیف کنید که توانایی شنیدن افکار دیگران و کشف پیامدهای این قدرت را دارد.</v>
      </c>
      <c r="H2612" s="1"/>
      <c r="I2612" s="1"/>
      <c r="J2612" s="1"/>
      <c r="K2612" s="1"/>
      <c r="L2612" s="1"/>
      <c r="M2612" s="1"/>
      <c r="N2612" s="1"/>
      <c r="O2612" s="1"/>
      <c r="P2612" s="1"/>
      <c r="Q2612" s="1"/>
      <c r="R2612" s="1"/>
      <c r="S2612" s="1"/>
      <c r="T2612" s="1"/>
      <c r="U2612" s="1"/>
      <c r="V2612" s="1"/>
      <c r="W2612" s="1"/>
      <c r="X2612" s="1"/>
      <c r="Y2612" s="1"/>
      <c r="Z2612" s="1"/>
      <c r="AA2612" s="1"/>
      <c r="AB2612" s="1"/>
    </row>
    <row r="2613" ht="50.25" customHeight="1">
      <c r="A2613" s="12">
        <v>2609.0</v>
      </c>
      <c r="B2613" s="13" t="s">
        <v>2624</v>
      </c>
      <c r="C2613" s="14" t="s">
        <v>2627</v>
      </c>
      <c r="D2613" s="1"/>
      <c r="E2613" s="1"/>
      <c r="F2613" s="1" t="str">
        <f>IFERROR(__xludf.DUMMYFUNCTION("GOOGLETRANSLATE(B2613, ""en"", ""fa"")
"),"نویسندگی و داستان سرایی را تحریک می کند")</f>
        <v>نویسندگی و داستان سرایی را تحریک می کند</v>
      </c>
      <c r="G2613" s="1" t="str">
        <f>IFERROR(__xludf.DUMMYFUNCTION("GOOGLETRANSLATE(C2613, ""en"", ""fa"")
"),"صحنه ای را بنویسید که در آن دو دوست از دست رفته پس از سال ها دوباره به هم می رسند و با درگیری های حل نشده خود روبرو می شوند.")</f>
        <v>صحنه ای را بنویسید که در آن دو دوست از دست رفته پس از سال ها دوباره به هم می رسند و با درگیری های حل نشده خود روبرو می شوند.</v>
      </c>
      <c r="H2613" s="1"/>
      <c r="I2613" s="1"/>
      <c r="J2613" s="1"/>
      <c r="K2613" s="1"/>
      <c r="L2613" s="1"/>
      <c r="M2613" s="1"/>
      <c r="N2613" s="1"/>
      <c r="O2613" s="1"/>
      <c r="P2613" s="1"/>
      <c r="Q2613" s="1"/>
      <c r="R2613" s="1"/>
      <c r="S2613" s="1"/>
      <c r="T2613" s="1"/>
      <c r="U2613" s="1"/>
      <c r="V2613" s="1"/>
      <c r="W2613" s="1"/>
      <c r="X2613" s="1"/>
      <c r="Y2613" s="1"/>
      <c r="Z2613" s="1"/>
      <c r="AA2613" s="1"/>
      <c r="AB2613" s="1"/>
    </row>
    <row r="2614" ht="50.25" customHeight="1">
      <c r="A2614" s="12">
        <v>2610.0</v>
      </c>
      <c r="B2614" s="13" t="s">
        <v>2624</v>
      </c>
      <c r="C2614" s="14" t="s">
        <v>2628</v>
      </c>
      <c r="D2614" s="1"/>
      <c r="E2614" s="1"/>
      <c r="F2614" s="1" t="str">
        <f>IFERROR(__xludf.DUMMYFUNCTION("GOOGLETRANSLATE(B2614, ""en"", ""fa"")
"),"نویسندگی و داستان سرایی را تحریک می کند")</f>
        <v>نویسندگی و داستان سرایی را تحریک می کند</v>
      </c>
      <c r="G2614" s="1" t="str">
        <f>IFERROR(__xludf.DUMMYFUNCTION("GOOGLETRANSLATE(C2614, ""en"", ""fa"")
"),"دنیایی خیالی بسازید که رویاها به واقعیت تبدیل شوند و تأثیر آن بر جامعه را بررسی کنید.")</f>
        <v>دنیایی خیالی بسازید که رویاها به واقعیت تبدیل شوند و تأثیر آن بر جامعه را بررسی کنید.</v>
      </c>
      <c r="H2614" s="1"/>
      <c r="I2614" s="1"/>
      <c r="J2614" s="1"/>
      <c r="K2614" s="1"/>
      <c r="L2614" s="1"/>
      <c r="M2614" s="1"/>
      <c r="N2614" s="1"/>
      <c r="O2614" s="1"/>
      <c r="P2614" s="1"/>
      <c r="Q2614" s="1"/>
      <c r="R2614" s="1"/>
      <c r="S2614" s="1"/>
      <c r="T2614" s="1"/>
      <c r="U2614" s="1"/>
      <c r="V2614" s="1"/>
      <c r="W2614" s="1"/>
      <c r="X2614" s="1"/>
      <c r="Y2614" s="1"/>
      <c r="Z2614" s="1"/>
      <c r="AA2614" s="1"/>
      <c r="AB2614" s="1"/>
    </row>
    <row r="2615" ht="50.25" customHeight="1">
      <c r="A2615" s="12">
        <v>2611.0</v>
      </c>
      <c r="B2615" s="13" t="s">
        <v>2624</v>
      </c>
      <c r="C2615" s="14" t="s">
        <v>2629</v>
      </c>
      <c r="D2615" s="1"/>
      <c r="E2615" s="1"/>
      <c r="F2615" s="1" t="str">
        <f>IFERROR(__xludf.DUMMYFUNCTION("GOOGLETRANSLATE(B2615, ""en"", ""fa"")
"),"نویسندگی و داستان سرایی را تحریک می کند")</f>
        <v>نویسندگی و داستان سرایی را تحریک می کند</v>
      </c>
      <c r="G2615" s="1" t="str">
        <f>IFERROR(__xludf.DUMMYFUNCTION("GOOGLETRANSLATE(C2615, ""en"", ""fa"")
"),"دیالوگی بین دو شخصیتی بنویسید که دیدگاه های متضادی در مورد یک موضوع بحث برانگیز دارند.")</f>
        <v>دیالوگی بین دو شخصیتی بنویسید که دیدگاه های متضادی در مورد یک موضوع بحث برانگیز دارند.</v>
      </c>
      <c r="H2615" s="1"/>
      <c r="I2615" s="1"/>
      <c r="J2615" s="1"/>
      <c r="K2615" s="1"/>
      <c r="L2615" s="1"/>
      <c r="M2615" s="1"/>
      <c r="N2615" s="1"/>
      <c r="O2615" s="1"/>
      <c r="P2615" s="1"/>
      <c r="Q2615" s="1"/>
      <c r="R2615" s="1"/>
      <c r="S2615" s="1"/>
      <c r="T2615" s="1"/>
      <c r="U2615" s="1"/>
      <c r="V2615" s="1"/>
      <c r="W2615" s="1"/>
      <c r="X2615" s="1"/>
      <c r="Y2615" s="1"/>
      <c r="Z2615" s="1"/>
      <c r="AA2615" s="1"/>
      <c r="AB2615" s="1"/>
    </row>
    <row r="2616" ht="50.25" customHeight="1">
      <c r="A2616" s="12">
        <v>2612.0</v>
      </c>
      <c r="B2616" s="13" t="s">
        <v>2624</v>
      </c>
      <c r="C2616" s="14" t="s">
        <v>2630</v>
      </c>
      <c r="D2616" s="1"/>
      <c r="E2616" s="1"/>
      <c r="F2616" s="1" t="str">
        <f>IFERROR(__xludf.DUMMYFUNCTION("GOOGLETRANSLATE(B2616, ""en"", ""fa"")
"),"نویسندگی و داستان سرایی را تحریک می کند")</f>
        <v>نویسندگی و داستان سرایی را تحریک می کند</v>
      </c>
      <c r="G2616" s="1" t="str">
        <f>IFERROR(__xludf.DUMMYFUNCTION("GOOGLETRANSLATE(C2616, ""en"", ""fa"")
"),"سفری به قلمروی پنهانی که در آن موجودات افسانه ای وجود دارند را توصیف کنید و برخوردهای قهرمان داستان را کشف کنید.")</f>
        <v>سفری به قلمروی پنهانی که در آن موجودات افسانه ای وجود دارند را توصیف کنید و برخوردهای قهرمان داستان را کشف کنید.</v>
      </c>
      <c r="H2616" s="1"/>
      <c r="I2616" s="1"/>
      <c r="J2616" s="1"/>
      <c r="K2616" s="1"/>
      <c r="L2616" s="1"/>
      <c r="M2616" s="1"/>
      <c r="N2616" s="1"/>
      <c r="O2616" s="1"/>
      <c r="P2616" s="1"/>
      <c r="Q2616" s="1"/>
      <c r="R2616" s="1"/>
      <c r="S2616" s="1"/>
      <c r="T2616" s="1"/>
      <c r="U2616" s="1"/>
      <c r="V2616" s="1"/>
      <c r="W2616" s="1"/>
      <c r="X2616" s="1"/>
      <c r="Y2616" s="1"/>
      <c r="Z2616" s="1"/>
      <c r="AA2616" s="1"/>
      <c r="AB2616" s="1"/>
    </row>
    <row r="2617" ht="50.25" customHeight="1">
      <c r="A2617" s="12">
        <v>2613.0</v>
      </c>
      <c r="B2617" s="13" t="s">
        <v>2624</v>
      </c>
      <c r="C2617" s="14" t="s">
        <v>2631</v>
      </c>
      <c r="D2617" s="1"/>
      <c r="E2617" s="1"/>
      <c r="F2617" s="1" t="str">
        <f>IFERROR(__xludf.DUMMYFUNCTION("GOOGLETRANSLATE(B2617, ""en"", ""fa"")
"),"نویسندگی و داستان سرایی را تحریک می کند")</f>
        <v>نویسندگی و داستان سرایی را تحریک می کند</v>
      </c>
      <c r="G2617" s="1" t="str">
        <f>IFERROR(__xludf.DUMMYFUNCTION("GOOGLETRANSLATE(C2617, ""en"", ""fa"")
"),"داستانی در مورد شخصی بنویسید که متوجه می شود قدرت دستکاری زمان و چالش هایی که با آن مواجه است را دارد.")</f>
        <v>داستانی در مورد شخصی بنویسید که متوجه می شود قدرت دستکاری زمان و چالش هایی که با آن مواجه است را دارد.</v>
      </c>
      <c r="H2617" s="1"/>
      <c r="I2617" s="1"/>
      <c r="J2617" s="1"/>
      <c r="K2617" s="1"/>
      <c r="L2617" s="1"/>
      <c r="M2617" s="1"/>
      <c r="N2617" s="1"/>
      <c r="O2617" s="1"/>
      <c r="P2617" s="1"/>
      <c r="Q2617" s="1"/>
      <c r="R2617" s="1"/>
      <c r="S2617" s="1"/>
      <c r="T2617" s="1"/>
      <c r="U2617" s="1"/>
      <c r="V2617" s="1"/>
      <c r="W2617" s="1"/>
      <c r="X2617" s="1"/>
      <c r="Y2617" s="1"/>
      <c r="Z2617" s="1"/>
      <c r="AA2617" s="1"/>
      <c r="AB2617" s="1"/>
    </row>
    <row r="2618" ht="50.25" customHeight="1">
      <c r="A2618" s="12">
        <v>2614.0</v>
      </c>
      <c r="B2618" s="13" t="s">
        <v>2624</v>
      </c>
      <c r="C2618" s="14" t="s">
        <v>2632</v>
      </c>
      <c r="D2618" s="1"/>
      <c r="E2618" s="1"/>
      <c r="F2618" s="1" t="str">
        <f>IFERROR(__xludf.DUMMYFUNCTION("GOOGLETRANSLATE(B2618, ""en"", ""fa"")
"),"نویسندگی و داستان سرایی را تحریک می کند")</f>
        <v>نویسندگی و داستان سرایی را تحریک می کند</v>
      </c>
      <c r="G2618" s="1" t="str">
        <f>IFERROR(__xludf.DUMMYFUNCTION("GOOGLETRANSLATE(C2618, ""en"", ""fa"")
"),"شخصیتی بسازید که توسط گذشته اش تسخیر شده است و باید برای یافتن رستگاری با شیاطین درونی خود مقابله کند.")</f>
        <v>شخصیتی بسازید که توسط گذشته اش تسخیر شده است و باید برای یافتن رستگاری با شیاطین درونی خود مقابله کند.</v>
      </c>
      <c r="H2618" s="1"/>
      <c r="I2618" s="1"/>
      <c r="J2618" s="1"/>
      <c r="K2618" s="1"/>
      <c r="L2618" s="1"/>
      <c r="M2618" s="1"/>
      <c r="N2618" s="1"/>
      <c r="O2618" s="1"/>
      <c r="P2618" s="1"/>
      <c r="Q2618" s="1"/>
      <c r="R2618" s="1"/>
      <c r="S2618" s="1"/>
      <c r="T2618" s="1"/>
      <c r="U2618" s="1"/>
      <c r="V2618" s="1"/>
      <c r="W2618" s="1"/>
      <c r="X2618" s="1"/>
      <c r="Y2618" s="1"/>
      <c r="Z2618" s="1"/>
      <c r="AA2618" s="1"/>
      <c r="AB2618" s="1"/>
    </row>
    <row r="2619" ht="50.25" customHeight="1">
      <c r="A2619" s="12">
        <v>2615.0</v>
      </c>
      <c r="B2619" s="13" t="s">
        <v>2624</v>
      </c>
      <c r="C2619" s="14" t="s">
        <v>2633</v>
      </c>
      <c r="D2619" s="1"/>
      <c r="E2619" s="1"/>
      <c r="F2619" s="1" t="str">
        <f>IFERROR(__xludf.DUMMYFUNCTION("GOOGLETRANSLATE(B2619, ""en"", ""fa"")
"),"نویسندگی و داستان سرایی را تحریک می کند")</f>
        <v>نویسندگی و داستان سرایی را تحریک می کند</v>
      </c>
      <c r="G2619" s="1" t="str">
        <f>IFERROR(__xludf.DUMMYFUNCTION("GOOGLETRANSLATE(C2619, ""en"", ""fa"")
"),"صحنه‌ای را بنویسید که در دنیای پسا آخرالزمانی اتفاق می‌افتد که در آن گروه کوچکی از بازماندگان برای بازسازی جامعه تلاش می‌کنند.")</f>
        <v>صحنه‌ای را بنویسید که در دنیای پسا آخرالزمانی اتفاق می‌افتد که در آن گروه کوچکی از بازماندگان برای بازسازی جامعه تلاش می‌کنند.</v>
      </c>
      <c r="H2619" s="1"/>
      <c r="I2619" s="1"/>
      <c r="J2619" s="1"/>
      <c r="K2619" s="1"/>
      <c r="L2619" s="1"/>
      <c r="M2619" s="1"/>
      <c r="N2619" s="1"/>
      <c r="O2619" s="1"/>
      <c r="P2619" s="1"/>
      <c r="Q2619" s="1"/>
      <c r="R2619" s="1"/>
      <c r="S2619" s="1"/>
      <c r="T2619" s="1"/>
      <c r="U2619" s="1"/>
      <c r="V2619" s="1"/>
      <c r="W2619" s="1"/>
      <c r="X2619" s="1"/>
      <c r="Y2619" s="1"/>
      <c r="Z2619" s="1"/>
      <c r="AA2619" s="1"/>
      <c r="AB2619" s="1"/>
    </row>
    <row r="2620" ht="50.25" customHeight="1">
      <c r="A2620" s="12">
        <v>2616.0</v>
      </c>
      <c r="B2620" s="13" t="s">
        <v>2624</v>
      </c>
      <c r="C2620" s="14" t="s">
        <v>2634</v>
      </c>
      <c r="D2620" s="1"/>
      <c r="E2620" s="1"/>
      <c r="F2620" s="1" t="str">
        <f>IFERROR(__xludf.DUMMYFUNCTION("GOOGLETRANSLATE(B2620, ""en"", ""fa"")
"),"نویسندگی و داستان سرایی را تحریک می کند")</f>
        <v>نویسندگی و داستان سرایی را تحریک می کند</v>
      </c>
      <c r="G2620" s="1" t="str">
        <f>IFERROR(__xludf.DUMMYFUNCTION("GOOGLETRANSLATE(C2620, ""en"", ""fa"")
"),"کتابی جادویی را توصیف کنید که خوانندگان خود را به دوره های زمانی مختلف و ماجراهایی که تجربه می کنند منتقل می کند.")</f>
        <v>کتابی جادویی را توصیف کنید که خوانندگان خود را به دوره های زمانی مختلف و ماجراهایی که تجربه می کنند منتقل می کند.</v>
      </c>
      <c r="H2620" s="1"/>
      <c r="I2620" s="1"/>
      <c r="J2620" s="1"/>
      <c r="K2620" s="1"/>
      <c r="L2620" s="1"/>
      <c r="M2620" s="1"/>
      <c r="N2620" s="1"/>
      <c r="O2620" s="1"/>
      <c r="P2620" s="1"/>
      <c r="Q2620" s="1"/>
      <c r="R2620" s="1"/>
      <c r="S2620" s="1"/>
      <c r="T2620" s="1"/>
      <c r="U2620" s="1"/>
      <c r="V2620" s="1"/>
      <c r="W2620" s="1"/>
      <c r="X2620" s="1"/>
      <c r="Y2620" s="1"/>
      <c r="Z2620" s="1"/>
      <c r="AA2620" s="1"/>
      <c r="AB2620" s="1"/>
    </row>
    <row r="2621" ht="50.25" customHeight="1">
      <c r="A2621" s="12">
        <v>2617.0</v>
      </c>
      <c r="B2621" s="13" t="s">
        <v>2624</v>
      </c>
      <c r="C2621" s="14" t="s">
        <v>2635</v>
      </c>
      <c r="D2621" s="1"/>
      <c r="E2621" s="1"/>
      <c r="F2621" s="1" t="str">
        <f>IFERROR(__xludf.DUMMYFUNCTION("GOOGLETRANSLATE(B2621, ""en"", ""fa"")
"),"نویسندگی و داستان سرایی را تحریک می کند")</f>
        <v>نویسندگی و داستان سرایی را تحریک می کند</v>
      </c>
      <c r="G2621" s="1" t="str">
        <f>IFERROR(__xludf.DUMMYFUNCTION("GOOGLETRANSLATE(C2621, ""en"", ""fa"")
"),"داستانی در مورد شخصی بنویسید که در یک جهان موازی بیدار می شود که در آن همه چیز برخلاف دنیای خودش است.")</f>
        <v>داستانی در مورد شخصی بنویسید که در یک جهان موازی بیدار می شود که در آن همه چیز برخلاف دنیای خودش است.</v>
      </c>
      <c r="H2621" s="1"/>
      <c r="I2621" s="1"/>
      <c r="J2621" s="1"/>
      <c r="K2621" s="1"/>
      <c r="L2621" s="1"/>
      <c r="M2621" s="1"/>
      <c r="N2621" s="1"/>
      <c r="O2621" s="1"/>
      <c r="P2621" s="1"/>
      <c r="Q2621" s="1"/>
      <c r="R2621" s="1"/>
      <c r="S2621" s="1"/>
      <c r="T2621" s="1"/>
      <c r="U2621" s="1"/>
      <c r="V2621" s="1"/>
      <c r="W2621" s="1"/>
      <c r="X2621" s="1"/>
      <c r="Y2621" s="1"/>
      <c r="Z2621" s="1"/>
      <c r="AA2621" s="1"/>
      <c r="AB2621" s="1"/>
    </row>
    <row r="2622" ht="50.25" customHeight="1">
      <c r="A2622" s="12">
        <v>2618.0</v>
      </c>
      <c r="B2622" s="13" t="s">
        <v>2624</v>
      </c>
      <c r="C2622" s="14" t="s">
        <v>2636</v>
      </c>
      <c r="D2622" s="1"/>
      <c r="E2622" s="1"/>
      <c r="F2622" s="1" t="str">
        <f>IFERROR(__xludf.DUMMYFUNCTION("GOOGLETRANSLATE(B2622, ""en"", ""fa"")
"),"نویسندگی و داستان سرایی را تحریک می کند")</f>
        <v>نویسندگی و داستان سرایی را تحریک می کند</v>
      </c>
      <c r="G2622" s="1" t="str">
        <f>IFERROR(__xludf.DUMMYFUNCTION("GOOGLETRANSLATE(C2622, ""en"", ""fa"")
"),"شخصیتی بسازید که توانایی صحبت کردن با حیوانات و پیامدهای غیرمنتظره ای را که به همراه دارد را داشته باشد.")</f>
        <v>شخصیتی بسازید که توانایی صحبت کردن با حیوانات و پیامدهای غیرمنتظره ای را که به همراه دارد را داشته باشد.</v>
      </c>
      <c r="H2622" s="1"/>
      <c r="I2622" s="1"/>
      <c r="J2622" s="1"/>
      <c r="K2622" s="1"/>
      <c r="L2622" s="1"/>
      <c r="M2622" s="1"/>
      <c r="N2622" s="1"/>
      <c r="O2622" s="1"/>
      <c r="P2622" s="1"/>
      <c r="Q2622" s="1"/>
      <c r="R2622" s="1"/>
      <c r="S2622" s="1"/>
      <c r="T2622" s="1"/>
      <c r="U2622" s="1"/>
      <c r="V2622" s="1"/>
      <c r="W2622" s="1"/>
      <c r="X2622" s="1"/>
      <c r="Y2622" s="1"/>
      <c r="Z2622" s="1"/>
      <c r="AA2622" s="1"/>
      <c r="AB2622" s="1"/>
    </row>
    <row r="2623" ht="50.25" customHeight="1">
      <c r="A2623" s="12">
        <v>2619.0</v>
      </c>
      <c r="B2623" s="13" t="s">
        <v>2624</v>
      </c>
      <c r="C2623" s="14" t="s">
        <v>2637</v>
      </c>
      <c r="D2623" s="1"/>
      <c r="E2623" s="1"/>
      <c r="F2623" s="1" t="str">
        <f>IFERROR(__xludf.DUMMYFUNCTION("GOOGLETRANSLATE(B2623, ""en"", ""fa"")
"),"نویسندگی و داستان سرایی را تحریک می کند")</f>
        <v>نویسندگی و داستان سرایی را تحریک می کند</v>
      </c>
      <c r="G2623" s="1" t="str">
        <f>IFERROR(__xludf.DUMMYFUNCTION("GOOGLETRANSLATE(C2623, ""en"", ""fa"")
"),"صحنه ای را بنویسید که در آن دو غریبه در قطار با هم ملاقات می کنند و متوجه می شوند که ارتباط عمیقی با هم دارند.")</f>
        <v>صحنه ای را بنویسید که در آن دو غریبه در قطار با هم ملاقات می کنند و متوجه می شوند که ارتباط عمیقی با هم دارند.</v>
      </c>
      <c r="H2623" s="1"/>
      <c r="I2623" s="1"/>
      <c r="J2623" s="1"/>
      <c r="K2623" s="1"/>
      <c r="L2623" s="1"/>
      <c r="M2623" s="1"/>
      <c r="N2623" s="1"/>
      <c r="O2623" s="1"/>
      <c r="P2623" s="1"/>
      <c r="Q2623" s="1"/>
      <c r="R2623" s="1"/>
      <c r="S2623" s="1"/>
      <c r="T2623" s="1"/>
      <c r="U2623" s="1"/>
      <c r="V2623" s="1"/>
      <c r="W2623" s="1"/>
      <c r="X2623" s="1"/>
      <c r="Y2623" s="1"/>
      <c r="Z2623" s="1"/>
      <c r="AA2623" s="1"/>
      <c r="AB2623" s="1"/>
    </row>
    <row r="2624" ht="50.25" customHeight="1">
      <c r="A2624" s="12">
        <v>2620.0</v>
      </c>
      <c r="B2624" s="13" t="s">
        <v>2624</v>
      </c>
      <c r="C2624" s="14" t="s">
        <v>2638</v>
      </c>
      <c r="D2624" s="1"/>
      <c r="E2624" s="1"/>
      <c r="F2624" s="1" t="str">
        <f>IFERROR(__xludf.DUMMYFUNCTION("GOOGLETRANSLATE(B2624, ""en"", ""fa"")
"),"نویسندگی و داستان سرایی را تحریک می کند")</f>
        <v>نویسندگی و داستان سرایی را تحریک می کند</v>
      </c>
      <c r="G2624" s="1" t="str">
        <f>IFERROR(__xludf.DUMMYFUNCTION("GOOGLETRANSLATE(C2624, ""en"", ""fa"")
"),"جامعه ای پنهان در جامعه مدرن را توصیف کنید که در آن گروهی از مردم دارای توانایی های خارق العاده ای هستند.")</f>
        <v>جامعه ای پنهان در جامعه مدرن را توصیف کنید که در آن گروهی از مردم دارای توانایی های خارق العاده ای هستند.</v>
      </c>
      <c r="H2624" s="1"/>
      <c r="I2624" s="1"/>
      <c r="J2624" s="1"/>
      <c r="K2624" s="1"/>
      <c r="L2624" s="1"/>
      <c r="M2624" s="1"/>
      <c r="N2624" s="1"/>
      <c r="O2624" s="1"/>
      <c r="P2624" s="1"/>
      <c r="Q2624" s="1"/>
      <c r="R2624" s="1"/>
      <c r="S2624" s="1"/>
      <c r="T2624" s="1"/>
      <c r="U2624" s="1"/>
      <c r="V2624" s="1"/>
      <c r="W2624" s="1"/>
      <c r="X2624" s="1"/>
      <c r="Y2624" s="1"/>
      <c r="Z2624" s="1"/>
      <c r="AA2624" s="1"/>
      <c r="AB2624" s="1"/>
    </row>
    <row r="2625" ht="50.25" customHeight="1">
      <c r="A2625" s="12">
        <v>2621.0</v>
      </c>
      <c r="B2625" s="13" t="s">
        <v>2624</v>
      </c>
      <c r="C2625" s="14" t="s">
        <v>2639</v>
      </c>
      <c r="D2625" s="1"/>
      <c r="E2625" s="1"/>
      <c r="F2625" s="1" t="str">
        <f>IFERROR(__xludf.DUMMYFUNCTION("GOOGLETRANSLATE(B2625, ""en"", ""fa"")
"),"نویسندگی و داستان سرایی را تحریک می کند")</f>
        <v>نویسندگی و داستان سرایی را تحریک می کند</v>
      </c>
      <c r="G2625" s="1" t="str">
        <f>IFERROR(__xludf.DUMMYFUNCTION("GOOGLETRANSLATE(C2625, ""en"", ""fa"")
"),"داستانی در مورد هنرمند جوانی بنویسید که متوجه می شود آثار هنری او قدرت زنده کردن تخیل خود را دارد.")</f>
        <v>داستانی در مورد هنرمند جوانی بنویسید که متوجه می شود آثار هنری او قدرت زنده کردن تخیل خود را دارد.</v>
      </c>
      <c r="H2625" s="1"/>
      <c r="I2625" s="1"/>
      <c r="J2625" s="1"/>
      <c r="K2625" s="1"/>
      <c r="L2625" s="1"/>
      <c r="M2625" s="1"/>
      <c r="N2625" s="1"/>
      <c r="O2625" s="1"/>
      <c r="P2625" s="1"/>
      <c r="Q2625" s="1"/>
      <c r="R2625" s="1"/>
      <c r="S2625" s="1"/>
      <c r="T2625" s="1"/>
      <c r="U2625" s="1"/>
      <c r="V2625" s="1"/>
      <c r="W2625" s="1"/>
      <c r="X2625" s="1"/>
      <c r="Y2625" s="1"/>
      <c r="Z2625" s="1"/>
      <c r="AA2625" s="1"/>
      <c r="AB2625" s="1"/>
    </row>
    <row r="2626" ht="50.25" customHeight="1">
      <c r="A2626" s="12">
        <v>2622.0</v>
      </c>
      <c r="B2626" s="13" t="s">
        <v>2624</v>
      </c>
      <c r="C2626" s="14" t="s">
        <v>2640</v>
      </c>
      <c r="D2626" s="1"/>
      <c r="E2626" s="1"/>
      <c r="F2626" s="1" t="str">
        <f>IFERROR(__xludf.DUMMYFUNCTION("GOOGLETRANSLATE(B2626, ""en"", ""fa"")
"),"نویسندگی و داستان سرایی را تحریک می کند")</f>
        <v>نویسندگی و داستان سرایی را تحریک می کند</v>
      </c>
      <c r="G2626" s="1" t="str">
        <f>IFERROR(__xludf.DUMMYFUNCTION("GOOGLETRANSLATE(C2626, ""en"", ""fa"")
"),"شخصیتی بسازید که بتواند اجمالی از آینده و چالش هایی را که در تغییر سرنوشت با آن روبرو هستند ببیند.")</f>
        <v>شخصیتی بسازید که بتواند اجمالی از آینده و چالش هایی را که در تغییر سرنوشت با آن روبرو هستند ببیند.</v>
      </c>
      <c r="H2626" s="1"/>
      <c r="I2626" s="1"/>
      <c r="J2626" s="1"/>
      <c r="K2626" s="1"/>
      <c r="L2626" s="1"/>
      <c r="M2626" s="1"/>
      <c r="N2626" s="1"/>
      <c r="O2626" s="1"/>
      <c r="P2626" s="1"/>
      <c r="Q2626" s="1"/>
      <c r="R2626" s="1"/>
      <c r="S2626" s="1"/>
      <c r="T2626" s="1"/>
      <c r="U2626" s="1"/>
      <c r="V2626" s="1"/>
      <c r="W2626" s="1"/>
      <c r="X2626" s="1"/>
      <c r="Y2626" s="1"/>
      <c r="Z2626" s="1"/>
      <c r="AA2626" s="1"/>
      <c r="AB2626" s="1"/>
    </row>
    <row r="2627" ht="50.25" customHeight="1">
      <c r="A2627" s="12">
        <v>2623.0</v>
      </c>
      <c r="B2627" s="13" t="s">
        <v>2624</v>
      </c>
      <c r="C2627" s="14" t="s">
        <v>2641</v>
      </c>
      <c r="D2627" s="1"/>
      <c r="E2627" s="1"/>
      <c r="F2627" s="1" t="str">
        <f>IFERROR(__xludf.DUMMYFUNCTION("GOOGLETRANSLATE(B2627, ""en"", ""fa"")
"),"نویسندگی و داستان سرایی را تحریک می کند")</f>
        <v>نویسندگی و داستان سرایی را تحریک می کند</v>
      </c>
      <c r="G2627" s="1" t="str">
        <f>IFERROR(__xludf.DUMMYFUNCTION("GOOGLETRANSLATE(C2627, ""en"", ""fa"")
"),"صحنه ای را بنویسید که در آن گروهی از کاوشگران به گنج گمشده ای برخورد می کنند و برای ادعای آن باید از رقبای خود گول بزنند.")</f>
        <v>صحنه ای را بنویسید که در آن گروهی از کاوشگران به گنج گمشده ای برخورد می کنند و برای ادعای آن باید از رقبای خود گول بزنند.</v>
      </c>
      <c r="H2627" s="1"/>
      <c r="I2627" s="1"/>
      <c r="J2627" s="1"/>
      <c r="K2627" s="1"/>
      <c r="L2627" s="1"/>
      <c r="M2627" s="1"/>
      <c r="N2627" s="1"/>
      <c r="O2627" s="1"/>
      <c r="P2627" s="1"/>
      <c r="Q2627" s="1"/>
      <c r="R2627" s="1"/>
      <c r="S2627" s="1"/>
      <c r="T2627" s="1"/>
      <c r="U2627" s="1"/>
      <c r="V2627" s="1"/>
      <c r="W2627" s="1"/>
      <c r="X2627" s="1"/>
      <c r="Y2627" s="1"/>
      <c r="Z2627" s="1"/>
      <c r="AA2627" s="1"/>
      <c r="AB2627" s="1"/>
    </row>
    <row r="2628" ht="50.25" customHeight="1">
      <c r="A2628" s="12">
        <v>2624.0</v>
      </c>
      <c r="B2628" s="13" t="s">
        <v>2624</v>
      </c>
      <c r="C2628" s="14" t="s">
        <v>2642</v>
      </c>
      <c r="D2628" s="1"/>
      <c r="E2628" s="1"/>
      <c r="F2628" s="1" t="str">
        <f>IFERROR(__xludf.DUMMYFUNCTION("GOOGLETRANSLATE(B2628, ""en"", ""fa"")
"),"نویسندگی و داستان سرایی را تحریک می کند")</f>
        <v>نویسندگی و داستان سرایی را تحریک می کند</v>
      </c>
      <c r="G2628" s="1" t="str">
        <f>IFERROR(__xludf.DUMMYFUNCTION("GOOGLETRANSLATE(C2628, ""en"", ""fa"")
"),"دنیایی را توصیف کنید که در آن هر کس با یک علامت منحصر به فرد متولد می شود که سرنوشت آنها را تعیین می کند و سفر یک شخصیت را برای سرپیچی از سرنوشت از پیش تعیین شده خود کشف کنید.")</f>
        <v>دنیایی را توصیف کنید که در آن هر کس با یک علامت منحصر به فرد متولد می شود که سرنوشت آنها را تعیین می کند و سفر یک شخصیت را برای سرپیچی از سرنوشت از پیش تعیین شده خود کشف کنید.</v>
      </c>
      <c r="H2628" s="1"/>
      <c r="I2628" s="1"/>
      <c r="J2628" s="1"/>
      <c r="K2628" s="1"/>
      <c r="L2628" s="1"/>
      <c r="M2628" s="1"/>
      <c r="N2628" s="1"/>
      <c r="O2628" s="1"/>
      <c r="P2628" s="1"/>
      <c r="Q2628" s="1"/>
      <c r="R2628" s="1"/>
      <c r="S2628" s="1"/>
      <c r="T2628" s="1"/>
      <c r="U2628" s="1"/>
      <c r="V2628" s="1"/>
      <c r="W2628" s="1"/>
      <c r="X2628" s="1"/>
      <c r="Y2628" s="1"/>
      <c r="Z2628" s="1"/>
      <c r="AA2628" s="1"/>
      <c r="AB2628" s="1"/>
    </row>
    <row r="2629" ht="50.25" customHeight="1">
      <c r="A2629" s="12">
        <v>2625.0</v>
      </c>
      <c r="B2629" s="13" t="s">
        <v>2624</v>
      </c>
      <c r="C2629" s="14" t="s">
        <v>2643</v>
      </c>
      <c r="D2629" s="1"/>
      <c r="E2629" s="1"/>
      <c r="F2629" s="1" t="str">
        <f>IFERROR(__xludf.DUMMYFUNCTION("GOOGLETRANSLATE(B2629, ""en"", ""fa"")
"),"نویسندگی و داستان سرایی را تحریک می کند")</f>
        <v>نویسندگی و داستان سرایی را تحریک می کند</v>
      </c>
      <c r="G2629" s="1" t="str">
        <f>IFERROR(__xludf.DUMMYFUNCTION("GOOGLETRANSLATE(C2629, ""en"", ""fa"")
"),"داستانی در مورد شخصی بنویسید که می تواند افکار اشیاء بی جان و بینشی که از آن به دست می آورد را بشنود.")</f>
        <v>داستانی در مورد شخصی بنویسید که می تواند افکار اشیاء بی جان و بینشی که از آن به دست می آورد را بشنود.</v>
      </c>
      <c r="H2629" s="1"/>
      <c r="I2629" s="1"/>
      <c r="J2629" s="1"/>
      <c r="K2629" s="1"/>
      <c r="L2629" s="1"/>
      <c r="M2629" s="1"/>
      <c r="N2629" s="1"/>
      <c r="O2629" s="1"/>
      <c r="P2629" s="1"/>
      <c r="Q2629" s="1"/>
      <c r="R2629" s="1"/>
      <c r="S2629" s="1"/>
      <c r="T2629" s="1"/>
      <c r="U2629" s="1"/>
      <c r="V2629" s="1"/>
      <c r="W2629" s="1"/>
      <c r="X2629" s="1"/>
      <c r="Y2629" s="1"/>
      <c r="Z2629" s="1"/>
      <c r="AA2629" s="1"/>
      <c r="AB2629" s="1"/>
    </row>
    <row r="2630" ht="50.25" customHeight="1">
      <c r="A2630" s="12">
        <v>2626.0</v>
      </c>
      <c r="B2630" s="13" t="s">
        <v>2624</v>
      </c>
      <c r="C2630" s="14" t="s">
        <v>2644</v>
      </c>
      <c r="D2630" s="1"/>
      <c r="E2630" s="1"/>
      <c r="F2630" s="1" t="str">
        <f>IFERROR(__xludf.DUMMYFUNCTION("GOOGLETRANSLATE(B2630, ""en"", ""fa"")
"),"نویسندگی و داستان سرایی را تحریک می کند")</f>
        <v>نویسندگی و داستان سرایی را تحریک می کند</v>
      </c>
      <c r="G2630" s="1" t="str">
        <f>IFERROR(__xludf.DUMMYFUNCTION("GOOGLETRANSLATE(C2630, ""en"", ""fa"")
"),"شخصیتی بسازید که توانایی برقراری ارتباط با گیاهان و تأثیر آن بر زندگی و روابط آنها را داشته باشد.")</f>
        <v>شخصیتی بسازید که توانایی برقراری ارتباط با گیاهان و تأثیر آن بر زندگی و روابط آنها را داشته باشد.</v>
      </c>
      <c r="H2630" s="1"/>
      <c r="I2630" s="1"/>
      <c r="J2630" s="1"/>
      <c r="K2630" s="1"/>
      <c r="L2630" s="1"/>
      <c r="M2630" s="1"/>
      <c r="N2630" s="1"/>
      <c r="O2630" s="1"/>
      <c r="P2630" s="1"/>
      <c r="Q2630" s="1"/>
      <c r="R2630" s="1"/>
      <c r="S2630" s="1"/>
      <c r="T2630" s="1"/>
      <c r="U2630" s="1"/>
      <c r="V2630" s="1"/>
      <c r="W2630" s="1"/>
      <c r="X2630" s="1"/>
      <c r="Y2630" s="1"/>
      <c r="Z2630" s="1"/>
      <c r="AA2630" s="1"/>
      <c r="AB2630" s="1"/>
    </row>
    <row r="2631" ht="50.25" customHeight="1">
      <c r="A2631" s="12">
        <v>2627.0</v>
      </c>
      <c r="B2631" s="13" t="s">
        <v>2624</v>
      </c>
      <c r="C2631" s="14" t="s">
        <v>2645</v>
      </c>
      <c r="D2631" s="1"/>
      <c r="E2631" s="1"/>
      <c r="F2631" s="1" t="str">
        <f>IFERROR(__xludf.DUMMYFUNCTION("GOOGLETRANSLATE(B2631, ""en"", ""fa"")
"),"نویسندگی و داستان سرایی را تحریک می کند")</f>
        <v>نویسندگی و داستان سرایی را تحریک می کند</v>
      </c>
      <c r="G2631" s="1" t="str">
        <f>IFERROR(__xludf.DUMMYFUNCTION("GOOGLETRANSLATE(C2631, ""en"", ""fa"")
"),"صحنه‌ای بنویسید که در جامعه‌ای دیستوپیایی اتفاق می‌افتد که در آن فردیت سرکوب می‌شود و شورشی در راه است.")</f>
        <v>صحنه‌ای بنویسید که در جامعه‌ای دیستوپیایی اتفاق می‌افتد که در آن فردیت سرکوب می‌شود و شورشی در راه است.</v>
      </c>
      <c r="H2631" s="1"/>
      <c r="I2631" s="1"/>
      <c r="J2631" s="1"/>
      <c r="K2631" s="1"/>
      <c r="L2631" s="1"/>
      <c r="M2631" s="1"/>
      <c r="N2631" s="1"/>
      <c r="O2631" s="1"/>
      <c r="P2631" s="1"/>
      <c r="Q2631" s="1"/>
      <c r="R2631" s="1"/>
      <c r="S2631" s="1"/>
      <c r="T2631" s="1"/>
      <c r="U2631" s="1"/>
      <c r="V2631" s="1"/>
      <c r="W2631" s="1"/>
      <c r="X2631" s="1"/>
      <c r="Y2631" s="1"/>
      <c r="Z2631" s="1"/>
      <c r="AA2631" s="1"/>
      <c r="AB2631" s="1"/>
    </row>
    <row r="2632" ht="50.25" customHeight="1">
      <c r="A2632" s="12">
        <v>2628.0</v>
      </c>
      <c r="B2632" s="13" t="s">
        <v>2624</v>
      </c>
      <c r="C2632" s="14" t="s">
        <v>2646</v>
      </c>
      <c r="D2632" s="1"/>
      <c r="E2632" s="1"/>
      <c r="F2632" s="1" t="str">
        <f>IFERROR(__xludf.DUMMYFUNCTION("GOOGLETRANSLATE(B2632, ""en"", ""fa"")
"),"نویسندگی و داستان سرایی را تحریک می کند")</f>
        <v>نویسندگی و داستان سرایی را تحریک می کند</v>
      </c>
      <c r="G2632" s="1" t="str">
        <f>IFERROR(__xludf.DUMMYFUNCTION("GOOGLETRANSLATE(C2632, ""en"", ""fa"")
"),"یک داستان عشق ممنوع بین دو فرد از جناح های رقیب یا خانواده های متخاصم را شرح دهید.")</f>
        <v>یک داستان عشق ممنوع بین دو فرد از جناح های رقیب یا خانواده های متخاصم را شرح دهید.</v>
      </c>
      <c r="H2632" s="1"/>
      <c r="I2632" s="1"/>
      <c r="J2632" s="1"/>
      <c r="K2632" s="1"/>
      <c r="L2632" s="1"/>
      <c r="M2632" s="1"/>
      <c r="N2632" s="1"/>
      <c r="O2632" s="1"/>
      <c r="P2632" s="1"/>
      <c r="Q2632" s="1"/>
      <c r="R2632" s="1"/>
      <c r="S2632" s="1"/>
      <c r="T2632" s="1"/>
      <c r="U2632" s="1"/>
      <c r="V2632" s="1"/>
      <c r="W2632" s="1"/>
      <c r="X2632" s="1"/>
      <c r="Y2632" s="1"/>
      <c r="Z2632" s="1"/>
      <c r="AA2632" s="1"/>
      <c r="AB2632" s="1"/>
    </row>
    <row r="2633" ht="50.25" customHeight="1">
      <c r="A2633" s="12">
        <v>2629.0</v>
      </c>
      <c r="B2633" s="13" t="s">
        <v>2624</v>
      </c>
      <c r="C2633" s="14" t="s">
        <v>2647</v>
      </c>
      <c r="D2633" s="1"/>
      <c r="E2633" s="1"/>
      <c r="F2633" s="1" t="str">
        <f>IFERROR(__xludf.DUMMYFUNCTION("GOOGLETRANSLATE(B2633, ""en"", ""fa"")
"),"نویسندگی و داستان سرایی را تحریک می کند")</f>
        <v>نویسندگی و داستان سرایی را تحریک می کند</v>
      </c>
      <c r="G2633" s="1" t="str">
        <f>IFERROR(__xludf.DUMMYFUNCTION("GOOGLETRANSLATE(C2633, ""en"", ""fa"")
"),"داستانی درباره شخصی بنویسید که متوجه می شود قدرت ورود به دنیای کتاب و تعامل با شخصیت های داستانی را دارد.")</f>
        <v>داستانی درباره شخصی بنویسید که متوجه می شود قدرت ورود به دنیای کتاب و تعامل با شخصیت های داستانی را دارد.</v>
      </c>
      <c r="H2633" s="1"/>
      <c r="I2633" s="1"/>
      <c r="J2633" s="1"/>
      <c r="K2633" s="1"/>
      <c r="L2633" s="1"/>
      <c r="M2633" s="1"/>
      <c r="N2633" s="1"/>
      <c r="O2633" s="1"/>
      <c r="P2633" s="1"/>
      <c r="Q2633" s="1"/>
      <c r="R2633" s="1"/>
      <c r="S2633" s="1"/>
      <c r="T2633" s="1"/>
      <c r="U2633" s="1"/>
      <c r="V2633" s="1"/>
      <c r="W2633" s="1"/>
      <c r="X2633" s="1"/>
      <c r="Y2633" s="1"/>
      <c r="Z2633" s="1"/>
      <c r="AA2633" s="1"/>
      <c r="AB2633" s="1"/>
    </row>
    <row r="2634" ht="50.25" customHeight="1">
      <c r="A2634" s="12">
        <v>2630.0</v>
      </c>
      <c r="B2634" s="13" t="s">
        <v>2624</v>
      </c>
      <c r="C2634" s="14" t="s">
        <v>2648</v>
      </c>
      <c r="D2634" s="1"/>
      <c r="E2634" s="1"/>
      <c r="F2634" s="1" t="str">
        <f>IFERROR(__xludf.DUMMYFUNCTION("GOOGLETRANSLATE(B2634, ""en"", ""fa"")
"),"نویسندگی و داستان سرایی را تحریک می کند")</f>
        <v>نویسندگی و داستان سرایی را تحریک می کند</v>
      </c>
      <c r="G2634" s="1" t="str">
        <f>IFERROR(__xludf.DUMMYFUNCTION("GOOGLETRANSLATE(C2634, ""en"", ""fa"")
"),"شخصیتی بسازید که بتواند عناصر و مسئولیتی که با چنین قدرتی همراه است را دستکاری کند.")</f>
        <v>شخصیتی بسازید که بتواند عناصر و مسئولیتی که با چنین قدرتی همراه است را دستکاری کند.</v>
      </c>
      <c r="H2634" s="1"/>
      <c r="I2634" s="1"/>
      <c r="J2634" s="1"/>
      <c r="K2634" s="1"/>
      <c r="L2634" s="1"/>
      <c r="M2634" s="1"/>
      <c r="N2634" s="1"/>
      <c r="O2634" s="1"/>
      <c r="P2634" s="1"/>
      <c r="Q2634" s="1"/>
      <c r="R2634" s="1"/>
      <c r="S2634" s="1"/>
      <c r="T2634" s="1"/>
      <c r="U2634" s="1"/>
      <c r="V2634" s="1"/>
      <c r="W2634" s="1"/>
      <c r="X2634" s="1"/>
      <c r="Y2634" s="1"/>
      <c r="Z2634" s="1"/>
      <c r="AA2634" s="1"/>
      <c r="AB2634" s="1"/>
    </row>
    <row r="2635" ht="50.25" customHeight="1">
      <c r="A2635" s="12">
        <v>2631.0</v>
      </c>
      <c r="B2635" s="13" t="s">
        <v>2624</v>
      </c>
      <c r="C2635" s="14" t="s">
        <v>2649</v>
      </c>
      <c r="D2635" s="1"/>
      <c r="E2635" s="1"/>
      <c r="F2635" s="1" t="str">
        <f>IFERROR(__xludf.DUMMYFUNCTION("GOOGLETRANSLATE(B2635, ""en"", ""fa"")
"),"نویسندگی و داستان سرایی را تحریک می کند")</f>
        <v>نویسندگی و داستان سرایی را تحریک می کند</v>
      </c>
      <c r="G2635" s="1" t="str">
        <f>IFERROR(__xludf.DUMMYFUNCTION("GOOGLETRANSLATE(C2635, ""en"", ""fa"")
"),"صحنه ای را بنویسید که در آن یک کارآگاه توطئه پنهانی را آشکار می کند که بسیار عمیق تر از حد انتظار است.")</f>
        <v>صحنه ای را بنویسید که در آن یک کارآگاه توطئه پنهانی را آشکار می کند که بسیار عمیق تر از حد انتظار است.</v>
      </c>
      <c r="H2635" s="1"/>
      <c r="I2635" s="1"/>
      <c r="J2635" s="1"/>
      <c r="K2635" s="1"/>
      <c r="L2635" s="1"/>
      <c r="M2635" s="1"/>
      <c r="N2635" s="1"/>
      <c r="O2635" s="1"/>
      <c r="P2635" s="1"/>
      <c r="Q2635" s="1"/>
      <c r="R2635" s="1"/>
      <c r="S2635" s="1"/>
      <c r="T2635" s="1"/>
      <c r="U2635" s="1"/>
      <c r="V2635" s="1"/>
      <c r="W2635" s="1"/>
      <c r="X2635" s="1"/>
      <c r="Y2635" s="1"/>
      <c r="Z2635" s="1"/>
      <c r="AA2635" s="1"/>
      <c r="AB2635" s="1"/>
    </row>
    <row r="2636" ht="50.25" customHeight="1">
      <c r="A2636" s="12">
        <v>2632.0</v>
      </c>
      <c r="B2636" s="13" t="s">
        <v>2624</v>
      </c>
      <c r="C2636" s="14" t="s">
        <v>2650</v>
      </c>
      <c r="D2636" s="1"/>
      <c r="E2636" s="1"/>
      <c r="F2636" s="1" t="str">
        <f>IFERROR(__xludf.DUMMYFUNCTION("GOOGLETRANSLATE(B2636, ""en"", ""fa"")
"),"نویسندگی و داستان سرایی را تحریک می کند")</f>
        <v>نویسندگی و داستان سرایی را تحریک می کند</v>
      </c>
      <c r="G2636" s="1" t="str">
        <f>IFERROR(__xludf.DUMMYFUNCTION("GOOGLETRANSLATE(C2636, ""en"", ""fa"")
"),"پورتال مخفی را توصیف کنید که به ابعاد مختلف منتهی می شود و ماجراهایی که در انتظار کسانی است که آن را کشف می کنند.")</f>
        <v>پورتال مخفی را توصیف کنید که به ابعاد مختلف منتهی می شود و ماجراهایی که در انتظار کسانی است که آن را کشف می کنند.</v>
      </c>
      <c r="H2636" s="1"/>
      <c r="I2636" s="1"/>
      <c r="J2636" s="1"/>
      <c r="K2636" s="1"/>
      <c r="L2636" s="1"/>
      <c r="M2636" s="1"/>
      <c r="N2636" s="1"/>
      <c r="O2636" s="1"/>
      <c r="P2636" s="1"/>
      <c r="Q2636" s="1"/>
      <c r="R2636" s="1"/>
      <c r="S2636" s="1"/>
      <c r="T2636" s="1"/>
      <c r="U2636" s="1"/>
      <c r="V2636" s="1"/>
      <c r="W2636" s="1"/>
      <c r="X2636" s="1"/>
      <c r="Y2636" s="1"/>
      <c r="Z2636" s="1"/>
      <c r="AA2636" s="1"/>
      <c r="AB2636" s="1"/>
    </row>
    <row r="2637" ht="50.25" customHeight="1">
      <c r="A2637" s="12">
        <v>2633.0</v>
      </c>
      <c r="B2637" s="13" t="s">
        <v>2624</v>
      </c>
      <c r="C2637" s="14" t="s">
        <v>2651</v>
      </c>
      <c r="D2637" s="1"/>
      <c r="E2637" s="1"/>
      <c r="F2637" s="1" t="str">
        <f>IFERROR(__xludf.DUMMYFUNCTION("GOOGLETRANSLATE(B2637, ""en"", ""fa"")
"),"نویسندگی و داستان سرایی را تحریک می کند")</f>
        <v>نویسندگی و داستان سرایی را تحریک می کند</v>
      </c>
      <c r="G2637" s="1" t="str">
        <f>IFERROR(__xludf.DUMMYFUNCTION("GOOGLETRANSLATE(C2637, ""en"", ""fa"")
"),"داستانی در مورد گروهی از دوستان بنویسید که به طور تصادفی با یک مصنوع جادویی و اتفاقات خارق‌العاده‌ای که پس از آن اتفاق می‌افتند، برخورد می‌کنند.")</f>
        <v>داستانی در مورد گروهی از دوستان بنویسید که به طور تصادفی با یک مصنوع جادویی و اتفاقات خارق‌العاده‌ای که پس از آن اتفاق می‌افتند، برخورد می‌کنند.</v>
      </c>
      <c r="H2637" s="1"/>
      <c r="I2637" s="1"/>
      <c r="J2637" s="1"/>
      <c r="K2637" s="1"/>
      <c r="L2637" s="1"/>
      <c r="M2637" s="1"/>
      <c r="N2637" s="1"/>
      <c r="O2637" s="1"/>
      <c r="P2637" s="1"/>
      <c r="Q2637" s="1"/>
      <c r="R2637" s="1"/>
      <c r="S2637" s="1"/>
      <c r="T2637" s="1"/>
      <c r="U2637" s="1"/>
      <c r="V2637" s="1"/>
      <c r="W2637" s="1"/>
      <c r="X2637" s="1"/>
      <c r="Y2637" s="1"/>
      <c r="Z2637" s="1"/>
      <c r="AA2637" s="1"/>
      <c r="AB2637" s="1"/>
    </row>
    <row r="2638" ht="50.25" customHeight="1">
      <c r="A2638" s="12">
        <v>2634.0</v>
      </c>
      <c r="B2638" s="13" t="s">
        <v>2624</v>
      </c>
      <c r="C2638" s="14" t="s">
        <v>2652</v>
      </c>
      <c r="D2638" s="1"/>
      <c r="E2638" s="1"/>
      <c r="F2638" s="1" t="str">
        <f>IFERROR(__xludf.DUMMYFUNCTION("GOOGLETRANSLATE(B2638, ""en"", ""fa"")
"),"نویسندگی و داستان سرایی را تحریک می کند")</f>
        <v>نویسندگی و داستان سرایی را تحریک می کند</v>
      </c>
      <c r="G2638" s="1" t="str">
        <f>IFERROR(__xludf.DUMMYFUNCTION("GOOGLETRANSLATE(C2638, ""en"", ""fa"")
"),"شخصیتی بسازید که بتواند آگاهی خود را در ذهن دیگران فرافکنی کند و معضلات اخلاقی آنها را کشف کند.")</f>
        <v>شخصیتی بسازید که بتواند آگاهی خود را در ذهن دیگران فرافکنی کند و معضلات اخلاقی آنها را کشف کند.</v>
      </c>
      <c r="H2638" s="1"/>
      <c r="I2638" s="1"/>
      <c r="J2638" s="1"/>
      <c r="K2638" s="1"/>
      <c r="L2638" s="1"/>
      <c r="M2638" s="1"/>
      <c r="N2638" s="1"/>
      <c r="O2638" s="1"/>
      <c r="P2638" s="1"/>
      <c r="Q2638" s="1"/>
      <c r="R2638" s="1"/>
      <c r="S2638" s="1"/>
      <c r="T2638" s="1"/>
      <c r="U2638" s="1"/>
      <c r="V2638" s="1"/>
      <c r="W2638" s="1"/>
      <c r="X2638" s="1"/>
      <c r="Y2638" s="1"/>
      <c r="Z2638" s="1"/>
      <c r="AA2638" s="1"/>
      <c r="AB2638" s="1"/>
    </row>
    <row r="2639" ht="50.25" customHeight="1">
      <c r="A2639" s="12">
        <v>2635.0</v>
      </c>
      <c r="B2639" s="13" t="s">
        <v>2624</v>
      </c>
      <c r="C2639" s="14" t="s">
        <v>2653</v>
      </c>
      <c r="D2639" s="1"/>
      <c r="E2639" s="1"/>
      <c r="F2639" s="1" t="str">
        <f>IFERROR(__xludf.DUMMYFUNCTION("GOOGLETRANSLATE(B2639, ""en"", ""fa"")
"),"نویسندگی و داستان سرایی را تحریک می کند")</f>
        <v>نویسندگی و داستان سرایی را تحریک می کند</v>
      </c>
      <c r="G2639" s="1" t="str">
        <f>IFERROR(__xludf.DUMMYFUNCTION("GOOGLETRANSLATE(C2639, ""en"", ""fa"")
"),"صحنه‌ای را بنویسید که در جامعه‌ای آینده‌نگر اتفاق می‌افتد که در آن فناوری همه جنبه‌های زندگی مردم را کنترل می‌کند.")</f>
        <v>صحنه‌ای را بنویسید که در جامعه‌ای آینده‌نگر اتفاق می‌افتد که در آن فناوری همه جنبه‌های زندگی مردم را کنترل می‌کند.</v>
      </c>
      <c r="H2639" s="1"/>
      <c r="I2639" s="1"/>
      <c r="J2639" s="1"/>
      <c r="K2639" s="1"/>
      <c r="L2639" s="1"/>
      <c r="M2639" s="1"/>
      <c r="N2639" s="1"/>
      <c r="O2639" s="1"/>
      <c r="P2639" s="1"/>
      <c r="Q2639" s="1"/>
      <c r="R2639" s="1"/>
      <c r="S2639" s="1"/>
      <c r="T2639" s="1"/>
      <c r="U2639" s="1"/>
      <c r="V2639" s="1"/>
      <c r="W2639" s="1"/>
      <c r="X2639" s="1"/>
      <c r="Y2639" s="1"/>
      <c r="Z2639" s="1"/>
      <c r="AA2639" s="1"/>
      <c r="AB2639" s="1"/>
    </row>
    <row r="2640" ht="50.25" customHeight="1">
      <c r="A2640" s="12">
        <v>2636.0</v>
      </c>
      <c r="B2640" s="13" t="s">
        <v>2624</v>
      </c>
      <c r="C2640" s="14" t="s">
        <v>2654</v>
      </c>
      <c r="D2640" s="1"/>
      <c r="E2640" s="1"/>
      <c r="F2640" s="1" t="str">
        <f>IFERROR(__xludf.DUMMYFUNCTION("GOOGLETRANSLATE(B2640, ""en"", ""fa"")
"),"نویسندگی و داستان سرایی را تحریک می کند")</f>
        <v>نویسندگی و داستان سرایی را تحریک می کند</v>
      </c>
      <c r="G2640" s="1" t="str">
        <f>IFERROR(__xludf.DUMMYFUNCTION("GOOGLETRANSLATE(C2640, ""en"", ""fa"")
"),"شخصی را توصیف کنید که می تواند در زمان سفر کند اما در یک حلقه به دام افتاده و همان روز را بارها و بارها تجربه می کند.")</f>
        <v>شخصی را توصیف کنید که می تواند در زمان سفر کند اما در یک حلقه به دام افتاده و همان روز را بارها و بارها تجربه می کند.</v>
      </c>
      <c r="H2640" s="1"/>
      <c r="I2640" s="1"/>
      <c r="J2640" s="1"/>
      <c r="K2640" s="1"/>
      <c r="L2640" s="1"/>
      <c r="M2640" s="1"/>
      <c r="N2640" s="1"/>
      <c r="O2640" s="1"/>
      <c r="P2640" s="1"/>
      <c r="Q2640" s="1"/>
      <c r="R2640" s="1"/>
      <c r="S2640" s="1"/>
      <c r="T2640" s="1"/>
      <c r="U2640" s="1"/>
      <c r="V2640" s="1"/>
      <c r="W2640" s="1"/>
      <c r="X2640" s="1"/>
      <c r="Y2640" s="1"/>
      <c r="Z2640" s="1"/>
      <c r="AA2640" s="1"/>
      <c r="AB2640" s="1"/>
    </row>
    <row r="2641" ht="50.25" customHeight="1">
      <c r="A2641" s="12">
        <v>2637.0</v>
      </c>
      <c r="B2641" s="13" t="s">
        <v>2624</v>
      </c>
      <c r="C2641" s="14" t="s">
        <v>2655</v>
      </c>
      <c r="D2641" s="1"/>
      <c r="E2641" s="1"/>
      <c r="F2641" s="1" t="str">
        <f>IFERROR(__xludf.DUMMYFUNCTION("GOOGLETRANSLATE(B2641, ""en"", ""fa"")
"),"نویسندگی و داستان سرایی را تحریک می کند")</f>
        <v>نویسندگی و داستان سرایی را تحریک می کند</v>
      </c>
      <c r="G2641" s="1" t="str">
        <f>IFERROR(__xludf.DUMMYFUNCTION("GOOGLETRANSLATE(C2641, ""en"", ""fa"")
"),"داستانی در مورد گروهی از غریبه ها بنویسید که خود را در جزیره ای متروک می بینند و باید برای زنده ماندن با یکدیگر همکاری کنند.")</f>
        <v>داستانی در مورد گروهی از غریبه ها بنویسید که خود را در جزیره ای متروک می بینند و باید برای زنده ماندن با یکدیگر همکاری کنند.</v>
      </c>
      <c r="H2641" s="1"/>
      <c r="I2641" s="1"/>
      <c r="J2641" s="1"/>
      <c r="K2641" s="1"/>
      <c r="L2641" s="1"/>
      <c r="M2641" s="1"/>
      <c r="N2641" s="1"/>
      <c r="O2641" s="1"/>
      <c r="P2641" s="1"/>
      <c r="Q2641" s="1"/>
      <c r="R2641" s="1"/>
      <c r="S2641" s="1"/>
      <c r="T2641" s="1"/>
      <c r="U2641" s="1"/>
      <c r="V2641" s="1"/>
      <c r="W2641" s="1"/>
      <c r="X2641" s="1"/>
      <c r="Y2641" s="1"/>
      <c r="Z2641" s="1"/>
      <c r="AA2641" s="1"/>
      <c r="AB2641" s="1"/>
    </row>
    <row r="2642" ht="50.25" customHeight="1">
      <c r="A2642" s="12">
        <v>2638.0</v>
      </c>
      <c r="B2642" s="13" t="s">
        <v>2624</v>
      </c>
      <c r="C2642" s="14" t="s">
        <v>2656</v>
      </c>
      <c r="D2642" s="1"/>
      <c r="E2642" s="1"/>
      <c r="F2642" s="1" t="str">
        <f>IFERROR(__xludf.DUMMYFUNCTION("GOOGLETRANSLATE(B2642, ""en"", ""fa"")
"),"نویسندگی و داستان سرایی را تحریک می کند")</f>
        <v>نویسندگی و داستان سرایی را تحریک می کند</v>
      </c>
      <c r="G2642" s="1" t="str">
        <f>IFERROR(__xludf.DUMMYFUNCTION("GOOGLETRANSLATE(C2642, ""en"", ""fa"")
"),"شخصیتی بسازید که توانایی دستکاری رویاها و کنکاش در عواقب روانی را داشته باشد.")</f>
        <v>شخصیتی بسازید که توانایی دستکاری رویاها و کنکاش در عواقب روانی را داشته باشد.</v>
      </c>
      <c r="H2642" s="1"/>
      <c r="I2642" s="1"/>
      <c r="J2642" s="1"/>
      <c r="K2642" s="1"/>
      <c r="L2642" s="1"/>
      <c r="M2642" s="1"/>
      <c r="N2642" s="1"/>
      <c r="O2642" s="1"/>
      <c r="P2642" s="1"/>
      <c r="Q2642" s="1"/>
      <c r="R2642" s="1"/>
      <c r="S2642" s="1"/>
      <c r="T2642" s="1"/>
      <c r="U2642" s="1"/>
      <c r="V2642" s="1"/>
      <c r="W2642" s="1"/>
      <c r="X2642" s="1"/>
      <c r="Y2642" s="1"/>
      <c r="Z2642" s="1"/>
      <c r="AA2642" s="1"/>
      <c r="AB2642" s="1"/>
    </row>
    <row r="2643" ht="50.25" customHeight="1">
      <c r="A2643" s="12">
        <v>2639.0</v>
      </c>
      <c r="B2643" s="13" t="s">
        <v>2624</v>
      </c>
      <c r="C2643" s="14" t="s">
        <v>2657</v>
      </c>
      <c r="D2643" s="1"/>
      <c r="E2643" s="1"/>
      <c r="F2643" s="1" t="str">
        <f>IFERROR(__xludf.DUMMYFUNCTION("GOOGLETRANSLATE(B2643, ""en"", ""fa"")
"),"نویسندگی و داستان سرایی را تحریک می کند")</f>
        <v>نویسندگی و داستان سرایی را تحریک می کند</v>
      </c>
      <c r="G2643" s="1" t="str">
        <f>IFERROR(__xludf.DUMMYFUNCTION("GOOGLETRANSLATE(C2643, ""en"", ""fa"")
"),"صحنه‌ای بنویسید که در آن یک روزنامه‌نگار راز تاریکی را که می‌تواند یک سازمان قدرتمند را سرنگون کند، فاش می‌کند.")</f>
        <v>صحنه‌ای بنویسید که در آن یک روزنامه‌نگار راز تاریکی را که می‌تواند یک سازمان قدرتمند را سرنگون کند، فاش می‌کند.</v>
      </c>
      <c r="H2643" s="1"/>
      <c r="I2643" s="1"/>
      <c r="J2643" s="1"/>
      <c r="K2643" s="1"/>
      <c r="L2643" s="1"/>
      <c r="M2643" s="1"/>
      <c r="N2643" s="1"/>
      <c r="O2643" s="1"/>
      <c r="P2643" s="1"/>
      <c r="Q2643" s="1"/>
      <c r="R2643" s="1"/>
      <c r="S2643" s="1"/>
      <c r="T2643" s="1"/>
      <c r="U2643" s="1"/>
      <c r="V2643" s="1"/>
      <c r="W2643" s="1"/>
      <c r="X2643" s="1"/>
      <c r="Y2643" s="1"/>
      <c r="Z2643" s="1"/>
      <c r="AA2643" s="1"/>
      <c r="AB2643" s="1"/>
    </row>
    <row r="2644" ht="50.25" customHeight="1">
      <c r="A2644" s="12">
        <v>2640.0</v>
      </c>
      <c r="B2644" s="13" t="s">
        <v>2624</v>
      </c>
      <c r="C2644" s="14" t="s">
        <v>2658</v>
      </c>
      <c r="D2644" s="1"/>
      <c r="E2644" s="1"/>
      <c r="F2644" s="1" t="str">
        <f>IFERROR(__xludf.DUMMYFUNCTION("GOOGLETRANSLATE(B2644, ""en"", ""fa"")
"),"نویسندگی و داستان سرایی را تحریک می کند")</f>
        <v>نویسندگی و داستان سرایی را تحریک می کند</v>
      </c>
      <c r="G2644" s="1" t="str">
        <f>IFERROR(__xludf.DUMMYFUNCTION("GOOGLETRANSLATE(C2644, ""en"", ""fa"")
"),"جامعه ای را توصیف کنید که در آن احساسات ممنوع است و یک گروه شورشی برای بازگرداندن آزادی بیان می جنگند.")</f>
        <v>جامعه ای را توصیف کنید که در آن احساسات ممنوع است و یک گروه شورشی برای بازگرداندن آزادی بیان می جنگند.</v>
      </c>
      <c r="H2644" s="1"/>
      <c r="I2644" s="1"/>
      <c r="J2644" s="1"/>
      <c r="K2644" s="1"/>
      <c r="L2644" s="1"/>
      <c r="M2644" s="1"/>
      <c r="N2644" s="1"/>
      <c r="O2644" s="1"/>
      <c r="P2644" s="1"/>
      <c r="Q2644" s="1"/>
      <c r="R2644" s="1"/>
      <c r="S2644" s="1"/>
      <c r="T2644" s="1"/>
      <c r="U2644" s="1"/>
      <c r="V2644" s="1"/>
      <c r="W2644" s="1"/>
      <c r="X2644" s="1"/>
      <c r="Y2644" s="1"/>
      <c r="Z2644" s="1"/>
      <c r="AA2644" s="1"/>
      <c r="AB2644" s="1"/>
    </row>
    <row r="2645" ht="50.25" customHeight="1">
      <c r="A2645" s="12">
        <v>2641.0</v>
      </c>
      <c r="B2645" s="13" t="s">
        <v>2624</v>
      </c>
      <c r="C2645" s="14" t="s">
        <v>2659</v>
      </c>
      <c r="D2645" s="1"/>
      <c r="E2645" s="1"/>
      <c r="F2645" s="1" t="str">
        <f>IFERROR(__xludf.DUMMYFUNCTION("GOOGLETRANSLATE(B2645, ""en"", ""fa"")
"),"نویسندگی و داستان سرایی را تحریک می کند")</f>
        <v>نویسندگی و داستان سرایی را تحریک می کند</v>
      </c>
      <c r="G2645" s="1" t="str">
        <f>IFERROR(__xludf.DUMMYFUNCTION("GOOGLETRANSLATE(C2645, ""en"", ""fa"")
"),"داستانی درباره شخصی بنویسید که متوجه می شود قدرت شفا دادن دیگران را دارد اما باید پیچیدگی های اخلاقی را دنبال کند.")</f>
        <v>داستانی درباره شخصی بنویسید که متوجه می شود قدرت شفا دادن دیگران را دارد اما باید پیچیدگی های اخلاقی را دنبال کند.</v>
      </c>
      <c r="H2645" s="1"/>
      <c r="I2645" s="1"/>
      <c r="J2645" s="1"/>
      <c r="K2645" s="1"/>
      <c r="L2645" s="1"/>
      <c r="M2645" s="1"/>
      <c r="N2645" s="1"/>
      <c r="O2645" s="1"/>
      <c r="P2645" s="1"/>
      <c r="Q2645" s="1"/>
      <c r="R2645" s="1"/>
      <c r="S2645" s="1"/>
      <c r="T2645" s="1"/>
      <c r="U2645" s="1"/>
      <c r="V2645" s="1"/>
      <c r="W2645" s="1"/>
      <c r="X2645" s="1"/>
      <c r="Y2645" s="1"/>
      <c r="Z2645" s="1"/>
      <c r="AA2645" s="1"/>
      <c r="AB2645" s="1"/>
    </row>
    <row r="2646" ht="50.25" customHeight="1">
      <c r="A2646" s="12">
        <v>2642.0</v>
      </c>
      <c r="B2646" s="13" t="s">
        <v>2624</v>
      </c>
      <c r="C2646" s="14" t="s">
        <v>2660</v>
      </c>
      <c r="D2646" s="1"/>
      <c r="E2646" s="1"/>
      <c r="F2646" s="1" t="str">
        <f>IFERROR(__xludf.DUMMYFUNCTION("GOOGLETRANSLATE(B2646, ""en"", ""fa"")
"),"نویسندگی و داستان سرایی را تحریک می کند")</f>
        <v>نویسندگی و داستان سرایی را تحریک می کند</v>
      </c>
      <c r="G2646" s="1" t="str">
        <f>IFERROR(__xludf.DUMMYFUNCTION("GOOGLETRANSLATE(C2646, ""en"", ""fa"")
"),"شخصیتی بسازید که بتواند با ارواح و چالش هایی که برای کمک به آنها برای یافتن آرامش با آنها روبرو هستند ارتباط برقرار کند.")</f>
        <v>شخصیتی بسازید که بتواند با ارواح و چالش هایی که برای کمک به آنها برای یافتن آرامش با آنها روبرو هستند ارتباط برقرار کند.</v>
      </c>
      <c r="H2646" s="1"/>
      <c r="I2646" s="1"/>
      <c r="J2646" s="1"/>
      <c r="K2646" s="1"/>
      <c r="L2646" s="1"/>
      <c r="M2646" s="1"/>
      <c r="N2646" s="1"/>
      <c r="O2646" s="1"/>
      <c r="P2646" s="1"/>
      <c r="Q2646" s="1"/>
      <c r="R2646" s="1"/>
      <c r="S2646" s="1"/>
      <c r="T2646" s="1"/>
      <c r="U2646" s="1"/>
      <c r="V2646" s="1"/>
      <c r="W2646" s="1"/>
      <c r="X2646" s="1"/>
      <c r="Y2646" s="1"/>
      <c r="Z2646" s="1"/>
      <c r="AA2646" s="1"/>
      <c r="AB2646" s="1"/>
    </row>
    <row r="2647" ht="50.25" customHeight="1">
      <c r="A2647" s="12">
        <v>2643.0</v>
      </c>
      <c r="B2647" s="13" t="s">
        <v>2624</v>
      </c>
      <c r="C2647" s="14" t="s">
        <v>2661</v>
      </c>
      <c r="D2647" s="1"/>
      <c r="E2647" s="1"/>
      <c r="F2647" s="1" t="str">
        <f>IFERROR(__xludf.DUMMYFUNCTION("GOOGLETRANSLATE(B2647, ""en"", ""fa"")
"),"نویسندگی و داستان سرایی را تحریک می کند")</f>
        <v>نویسندگی و داستان سرایی را تحریک می کند</v>
      </c>
      <c r="G2647" s="1" t="str">
        <f>IFERROR(__xludf.DUMMYFUNCTION("GOOGLETRANSLATE(C2647, ""en"", ""fa"")
"),"صحنه‌ای بنویسید که در دنیایی اتفاق می‌افتد که زمان در آن به عقب می‌چرخد و پیامدهای آن را در زندگی روزمره بررسی کنید.")</f>
        <v>صحنه‌ای بنویسید که در دنیایی اتفاق می‌افتد که زمان در آن به عقب می‌چرخد و پیامدهای آن را در زندگی روزمره بررسی کنید.</v>
      </c>
      <c r="H2647" s="1"/>
      <c r="I2647" s="1"/>
      <c r="J2647" s="1"/>
      <c r="K2647" s="1"/>
      <c r="L2647" s="1"/>
      <c r="M2647" s="1"/>
      <c r="N2647" s="1"/>
      <c r="O2647" s="1"/>
      <c r="P2647" s="1"/>
      <c r="Q2647" s="1"/>
      <c r="R2647" s="1"/>
      <c r="S2647" s="1"/>
      <c r="T2647" s="1"/>
      <c r="U2647" s="1"/>
      <c r="V2647" s="1"/>
      <c r="W2647" s="1"/>
      <c r="X2647" s="1"/>
      <c r="Y2647" s="1"/>
      <c r="Z2647" s="1"/>
      <c r="AA2647" s="1"/>
      <c r="AB2647" s="1"/>
    </row>
    <row r="2648" ht="50.25" customHeight="1">
      <c r="A2648" s="12">
        <v>2644.0</v>
      </c>
      <c r="B2648" s="13" t="s">
        <v>2624</v>
      </c>
      <c r="C2648" s="14" t="s">
        <v>2662</v>
      </c>
      <c r="D2648" s="1"/>
      <c r="E2648" s="1"/>
      <c r="F2648" s="1" t="str">
        <f>IFERROR(__xludf.DUMMYFUNCTION("GOOGLETRANSLATE(B2648, ""en"", ""fa"")
"),"نویسندگی و داستان سرایی را تحریک می کند")</f>
        <v>نویسندگی و داستان سرایی را تحریک می کند</v>
      </c>
      <c r="G2648" s="1" t="str">
        <f>IFERROR(__xludf.DUMMYFUNCTION("GOOGLETRANSLATE(C2648, ""en"", ""fa"")
"),"یک مدرسه مخفی برای موجودات جادویی و ماجراهایی که در درون دیوارهای آن رخ می دهد را توصیف کنید.")</f>
        <v>یک مدرسه مخفی برای موجودات جادویی و ماجراهایی که در درون دیوارهای آن رخ می دهد را توصیف کنید.</v>
      </c>
      <c r="H2648" s="1"/>
      <c r="I2648" s="1"/>
      <c r="J2648" s="1"/>
      <c r="K2648" s="1"/>
      <c r="L2648" s="1"/>
      <c r="M2648" s="1"/>
      <c r="N2648" s="1"/>
      <c r="O2648" s="1"/>
      <c r="P2648" s="1"/>
      <c r="Q2648" s="1"/>
      <c r="R2648" s="1"/>
      <c r="S2648" s="1"/>
      <c r="T2648" s="1"/>
      <c r="U2648" s="1"/>
      <c r="V2648" s="1"/>
      <c r="W2648" s="1"/>
      <c r="X2648" s="1"/>
      <c r="Y2648" s="1"/>
      <c r="Z2648" s="1"/>
      <c r="AA2648" s="1"/>
      <c r="AB2648" s="1"/>
    </row>
    <row r="2649" ht="50.25" customHeight="1">
      <c r="A2649" s="12">
        <v>2645.0</v>
      </c>
      <c r="B2649" s="13" t="s">
        <v>2624</v>
      </c>
      <c r="C2649" s="14" t="s">
        <v>2663</v>
      </c>
      <c r="D2649" s="1"/>
      <c r="E2649" s="1"/>
      <c r="F2649" s="1" t="str">
        <f>IFERROR(__xludf.DUMMYFUNCTION("GOOGLETRANSLATE(B2649, ""en"", ""fa"")
"),"نویسندگی و داستان سرایی را تحریک می کند")</f>
        <v>نویسندگی و داستان سرایی را تحریک می کند</v>
      </c>
      <c r="G2649" s="1" t="str">
        <f>IFERROR(__xludf.DUMMYFUNCTION("GOOGLETRANSLATE(C2649, ""en"", ""fa"")
"),"داستانی در مورد شخصی بنویسید که بدون حافظه از خواب بیدار می شود و باید راز هویت خود را کشف کند.")</f>
        <v>داستانی در مورد شخصی بنویسید که بدون حافظه از خواب بیدار می شود و باید راز هویت خود را کشف کند.</v>
      </c>
      <c r="H2649" s="1"/>
      <c r="I2649" s="1"/>
      <c r="J2649" s="1"/>
      <c r="K2649" s="1"/>
      <c r="L2649" s="1"/>
      <c r="M2649" s="1"/>
      <c r="N2649" s="1"/>
      <c r="O2649" s="1"/>
      <c r="P2649" s="1"/>
      <c r="Q2649" s="1"/>
      <c r="R2649" s="1"/>
      <c r="S2649" s="1"/>
      <c r="T2649" s="1"/>
      <c r="U2649" s="1"/>
      <c r="V2649" s="1"/>
      <c r="W2649" s="1"/>
      <c r="X2649" s="1"/>
      <c r="Y2649" s="1"/>
      <c r="Z2649" s="1"/>
      <c r="AA2649" s="1"/>
      <c r="AB2649" s="1"/>
    </row>
    <row r="2650" ht="50.25" customHeight="1">
      <c r="A2650" s="12">
        <v>2646.0</v>
      </c>
      <c r="B2650" s="13" t="s">
        <v>2624</v>
      </c>
      <c r="C2650" s="14" t="s">
        <v>2664</v>
      </c>
      <c r="D2650" s="1"/>
      <c r="E2650" s="1"/>
      <c r="F2650" s="1" t="str">
        <f>IFERROR(__xludf.DUMMYFUNCTION("GOOGLETRANSLATE(B2650, ""en"", ""fa"")
"),"نویسندگی و داستان سرایی را تحریک می کند")</f>
        <v>نویسندگی و داستان سرایی را تحریک می کند</v>
      </c>
      <c r="G2650" s="1" t="str">
        <f>IFERROR(__xludf.DUMMYFUNCTION("GOOGLETRANSLATE(C2650, ""en"", ""fa"")
"),"شخصیتی بسازید که بتواند به حیوانات مختلف و مبارزاتی که برای متعادل کردن ماهیت دوگانه‌شان با آن‌ها روبرو هستند تغییر شکل دهد.")</f>
        <v>شخصیتی بسازید که بتواند به حیوانات مختلف و مبارزاتی که برای متعادل کردن ماهیت دوگانه‌شان با آن‌ها روبرو هستند تغییر شکل دهد.</v>
      </c>
      <c r="H2650" s="1"/>
      <c r="I2650" s="1"/>
      <c r="J2650" s="1"/>
      <c r="K2650" s="1"/>
      <c r="L2650" s="1"/>
      <c r="M2650" s="1"/>
      <c r="N2650" s="1"/>
      <c r="O2650" s="1"/>
      <c r="P2650" s="1"/>
      <c r="Q2650" s="1"/>
      <c r="R2650" s="1"/>
      <c r="S2650" s="1"/>
      <c r="T2650" s="1"/>
      <c r="U2650" s="1"/>
      <c r="V2650" s="1"/>
      <c r="W2650" s="1"/>
      <c r="X2650" s="1"/>
      <c r="Y2650" s="1"/>
      <c r="Z2650" s="1"/>
      <c r="AA2650" s="1"/>
      <c r="AB2650" s="1"/>
    </row>
    <row r="2651" ht="50.25" customHeight="1">
      <c r="A2651" s="12">
        <v>2647.0</v>
      </c>
      <c r="B2651" s="13" t="s">
        <v>2624</v>
      </c>
      <c r="C2651" s="14" t="s">
        <v>2665</v>
      </c>
      <c r="D2651" s="1"/>
      <c r="E2651" s="1"/>
      <c r="F2651" s="1" t="str">
        <f>IFERROR(__xludf.DUMMYFUNCTION("GOOGLETRANSLATE(B2651, ""en"", ""fa"")
"),"نویسندگی و داستان سرایی را تحریک می کند")</f>
        <v>نویسندگی و داستان سرایی را تحریک می کند</v>
      </c>
      <c r="G2651" s="1" t="str">
        <f>IFERROR(__xludf.DUMMYFUNCTION("GOOGLETRANSLATE(C2651, ""en"", ""fa"")
"),"صحنه ای را بنویسید که در آن گروهی از متحدان بعید برای شکست دادن یک دشمن مشترک گرد هم می آیند.")</f>
        <v>صحنه ای را بنویسید که در آن گروهی از متحدان بعید برای شکست دادن یک دشمن مشترک گرد هم می آیند.</v>
      </c>
      <c r="H2651" s="1"/>
      <c r="I2651" s="1"/>
      <c r="J2651" s="1"/>
      <c r="K2651" s="1"/>
      <c r="L2651" s="1"/>
      <c r="M2651" s="1"/>
      <c r="N2651" s="1"/>
      <c r="O2651" s="1"/>
      <c r="P2651" s="1"/>
      <c r="Q2651" s="1"/>
      <c r="R2651" s="1"/>
      <c r="S2651" s="1"/>
      <c r="T2651" s="1"/>
      <c r="U2651" s="1"/>
      <c r="V2651" s="1"/>
      <c r="W2651" s="1"/>
      <c r="X2651" s="1"/>
      <c r="Y2651" s="1"/>
      <c r="Z2651" s="1"/>
      <c r="AA2651" s="1"/>
      <c r="AB2651" s="1"/>
    </row>
    <row r="2652" ht="50.25" customHeight="1">
      <c r="A2652" s="12">
        <v>2648.0</v>
      </c>
      <c r="B2652" s="13" t="s">
        <v>2624</v>
      </c>
      <c r="C2652" s="14" t="s">
        <v>2666</v>
      </c>
      <c r="D2652" s="1"/>
      <c r="E2652" s="1"/>
      <c r="F2652" s="1" t="str">
        <f>IFERROR(__xludf.DUMMYFUNCTION("GOOGLETRANSLATE(B2652, ""en"", ""fa"")
"),"نویسندگی و داستان سرایی را تحریک می کند")</f>
        <v>نویسندگی و داستان سرایی را تحریک می کند</v>
      </c>
      <c r="G2652" s="1" t="str">
        <f>IFERROR(__xludf.DUMMYFUNCTION("GOOGLETRANSLATE(C2652, ""en"", ""fa"")
"),"فردی را توصیف کنید که متوجه می شود قدرت جان بخشیدن به نقاشی ها و پیامدهای آن را دارد.")</f>
        <v>فردی را توصیف کنید که متوجه می شود قدرت جان بخشیدن به نقاشی ها و پیامدهای آن را دارد.</v>
      </c>
      <c r="H2652" s="1"/>
      <c r="I2652" s="1"/>
      <c r="J2652" s="1"/>
      <c r="K2652" s="1"/>
      <c r="L2652" s="1"/>
      <c r="M2652" s="1"/>
      <c r="N2652" s="1"/>
      <c r="O2652" s="1"/>
      <c r="P2652" s="1"/>
      <c r="Q2652" s="1"/>
      <c r="R2652" s="1"/>
      <c r="S2652" s="1"/>
      <c r="T2652" s="1"/>
      <c r="U2652" s="1"/>
      <c r="V2652" s="1"/>
      <c r="W2652" s="1"/>
      <c r="X2652" s="1"/>
      <c r="Y2652" s="1"/>
      <c r="Z2652" s="1"/>
      <c r="AA2652" s="1"/>
      <c r="AB2652" s="1"/>
    </row>
    <row r="2653" ht="50.25" customHeight="1">
      <c r="A2653" s="12">
        <v>2649.0</v>
      </c>
      <c r="B2653" s="13" t="s">
        <v>2624</v>
      </c>
      <c r="C2653" s="14" t="s">
        <v>2667</v>
      </c>
      <c r="D2653" s="1"/>
      <c r="E2653" s="1"/>
      <c r="F2653" s="1" t="str">
        <f>IFERROR(__xludf.DUMMYFUNCTION("GOOGLETRANSLATE(B2653, ""en"", ""fa"")
"),"نویسندگی و داستان سرایی را تحریک می کند")</f>
        <v>نویسندگی و داستان سرایی را تحریک می کند</v>
      </c>
      <c r="G2653" s="1" t="str">
        <f>IFERROR(__xludf.DUMMYFUNCTION("GOOGLETRANSLATE(C2653, ""en"", ""fa"")
"),"داستانی در مورد یک کارآگاه سفر در زمان بنویسید که جنایات را در دوره های مختلف حل می کند.")</f>
        <v>داستانی در مورد یک کارآگاه سفر در زمان بنویسید که جنایات را در دوره های مختلف حل می کند.</v>
      </c>
      <c r="H2653" s="1"/>
      <c r="I2653" s="1"/>
      <c r="J2653" s="1"/>
      <c r="K2653" s="1"/>
      <c r="L2653" s="1"/>
      <c r="M2653" s="1"/>
      <c r="N2653" s="1"/>
      <c r="O2653" s="1"/>
      <c r="P2653" s="1"/>
      <c r="Q2653" s="1"/>
      <c r="R2653" s="1"/>
      <c r="S2653" s="1"/>
      <c r="T2653" s="1"/>
      <c r="U2653" s="1"/>
      <c r="V2653" s="1"/>
      <c r="W2653" s="1"/>
      <c r="X2653" s="1"/>
      <c r="Y2653" s="1"/>
      <c r="Z2653" s="1"/>
      <c r="AA2653" s="1"/>
      <c r="AB2653" s="1"/>
    </row>
    <row r="2654" ht="50.25" customHeight="1">
      <c r="A2654" s="12">
        <v>2650.0</v>
      </c>
      <c r="B2654" s="13" t="s">
        <v>2624</v>
      </c>
      <c r="C2654" s="14" t="s">
        <v>2668</v>
      </c>
      <c r="D2654" s="1"/>
      <c r="E2654" s="1"/>
      <c r="F2654" s="1" t="str">
        <f>IFERROR(__xludf.DUMMYFUNCTION("GOOGLETRANSLATE(B2654, ""en"", ""fa"")
"),"نویسندگی و داستان سرایی را تحریک می کند")</f>
        <v>نویسندگی و داستان سرایی را تحریک می کند</v>
      </c>
      <c r="G2654" s="1" t="str">
        <f>IFERROR(__xludf.DUMMYFUNCTION("GOOGLETRANSLATE(C2654, ""en"", ""fa"")
"),"شخصیتی بسازید که بتواند احساسات افراد و معضلات اخلاقی را که با آن مواجه می شوند دستکاری کند.")</f>
        <v>شخصیتی بسازید که بتواند احساسات افراد و معضلات اخلاقی را که با آن مواجه می شوند دستکاری کند.</v>
      </c>
      <c r="H2654" s="1"/>
      <c r="I2654" s="1"/>
      <c r="J2654" s="1"/>
      <c r="K2654" s="1"/>
      <c r="L2654" s="1"/>
      <c r="M2654" s="1"/>
      <c r="N2654" s="1"/>
      <c r="O2654" s="1"/>
      <c r="P2654" s="1"/>
      <c r="Q2654" s="1"/>
      <c r="R2654" s="1"/>
      <c r="S2654" s="1"/>
      <c r="T2654" s="1"/>
      <c r="U2654" s="1"/>
      <c r="V2654" s="1"/>
      <c r="W2654" s="1"/>
      <c r="X2654" s="1"/>
      <c r="Y2654" s="1"/>
      <c r="Z2654" s="1"/>
      <c r="AA2654" s="1"/>
      <c r="AB2654" s="1"/>
    </row>
    <row r="2655" ht="50.25" customHeight="1">
      <c r="A2655" s="12">
        <v>2651.0</v>
      </c>
      <c r="B2655" s="13" t="s">
        <v>2624</v>
      </c>
      <c r="C2655" s="14" t="s">
        <v>2669</v>
      </c>
      <c r="D2655" s="1"/>
      <c r="E2655" s="1"/>
      <c r="F2655" s="1" t="str">
        <f>IFERROR(__xludf.DUMMYFUNCTION("GOOGLETRANSLATE(B2655, ""en"", ""fa"")
"),"نویسندگی و داستان سرایی را تحریک می کند")</f>
        <v>نویسندگی و داستان سرایی را تحریک می کند</v>
      </c>
      <c r="G2655" s="1" t="str">
        <f>IFERROR(__xludf.DUMMYFUNCTION("GOOGLETRANSLATE(C2655, ""en"", ""fa"")
"),"صحنه‌ای بنویسید که در شهری اتفاق می‌افتد که رویاها در آن خرید و فروش می‌شوند و تأثیر آن بر افراد و جامعه را بررسی کنید.")</f>
        <v>صحنه‌ای بنویسید که در شهری اتفاق می‌افتد که رویاها در آن خرید و فروش می‌شوند و تأثیر آن بر افراد و جامعه را بررسی کنید.</v>
      </c>
      <c r="H2655" s="1"/>
      <c r="I2655" s="1"/>
      <c r="J2655" s="1"/>
      <c r="K2655" s="1"/>
      <c r="L2655" s="1"/>
      <c r="M2655" s="1"/>
      <c r="N2655" s="1"/>
      <c r="O2655" s="1"/>
      <c r="P2655" s="1"/>
      <c r="Q2655" s="1"/>
      <c r="R2655" s="1"/>
      <c r="S2655" s="1"/>
      <c r="T2655" s="1"/>
      <c r="U2655" s="1"/>
      <c r="V2655" s="1"/>
      <c r="W2655" s="1"/>
      <c r="X2655" s="1"/>
      <c r="Y2655" s="1"/>
      <c r="Z2655" s="1"/>
      <c r="AA2655" s="1"/>
      <c r="AB2655" s="1"/>
    </row>
    <row r="2656" ht="50.25" customHeight="1">
      <c r="A2656" s="12">
        <v>2652.0</v>
      </c>
      <c r="B2656" s="13" t="s">
        <v>2624</v>
      </c>
      <c r="C2656" s="14" t="s">
        <v>2670</v>
      </c>
      <c r="D2656" s="1"/>
      <c r="E2656" s="1"/>
      <c r="F2656" s="1" t="str">
        <f>IFERROR(__xludf.DUMMYFUNCTION("GOOGLETRANSLATE(B2656, ""en"", ""fa"")
"),"نویسندگی و داستان سرایی را تحریک می کند")</f>
        <v>نویسندگی و داستان سرایی را تحریک می کند</v>
      </c>
      <c r="G2656" s="1" t="str">
        <f>IFERROR(__xludf.DUMMYFUNCTION("GOOGLETRANSLATE(C2656, ""en"", ""fa"")
"),"جامعه ای پنهان از جاودانه هایی که در میان انسان ها زندگی می کنند و درگیری هایی که به وجود می آید را توصیف کنید.")</f>
        <v>جامعه ای پنهان از جاودانه هایی که در میان انسان ها زندگی می کنند و درگیری هایی که به وجود می آید را توصیف کنید.</v>
      </c>
      <c r="H2656" s="1"/>
      <c r="I2656" s="1"/>
      <c r="J2656" s="1"/>
      <c r="K2656" s="1"/>
      <c r="L2656" s="1"/>
      <c r="M2656" s="1"/>
      <c r="N2656" s="1"/>
      <c r="O2656" s="1"/>
      <c r="P2656" s="1"/>
      <c r="Q2656" s="1"/>
      <c r="R2656" s="1"/>
      <c r="S2656" s="1"/>
      <c r="T2656" s="1"/>
      <c r="U2656" s="1"/>
      <c r="V2656" s="1"/>
      <c r="W2656" s="1"/>
      <c r="X2656" s="1"/>
      <c r="Y2656" s="1"/>
      <c r="Z2656" s="1"/>
      <c r="AA2656" s="1"/>
      <c r="AB2656" s="1"/>
    </row>
    <row r="2657" ht="50.25" customHeight="1">
      <c r="A2657" s="12">
        <v>2653.0</v>
      </c>
      <c r="B2657" s="13" t="s">
        <v>2624</v>
      </c>
      <c r="C2657" s="14" t="s">
        <v>2671</v>
      </c>
      <c r="D2657" s="1"/>
      <c r="E2657" s="1"/>
      <c r="F2657" s="1" t="str">
        <f>IFERROR(__xludf.DUMMYFUNCTION("GOOGLETRANSLATE(B2657, ""en"", ""fa"")
"),"نویسندگی و داستان سرایی را تحریک می کند")</f>
        <v>نویسندگی و داستان سرایی را تحریک می کند</v>
      </c>
      <c r="G2657" s="1" t="str">
        <f>IFERROR(__xludf.DUMMYFUNCTION("GOOGLETRANSLATE(C2657, ""en"", ""fa"")
"),"داستانی در مورد شخصی بنویسید که می تواند با مردگان ارتباط برقرار کند و به حل موارد سرماخوردگی کمک کند.")</f>
        <v>داستانی در مورد شخصی بنویسید که می تواند با مردگان ارتباط برقرار کند و به حل موارد سرماخوردگی کمک کند.</v>
      </c>
      <c r="H2657" s="1"/>
      <c r="I2657" s="1"/>
      <c r="J2657" s="1"/>
      <c r="K2657" s="1"/>
      <c r="L2657" s="1"/>
      <c r="M2657" s="1"/>
      <c r="N2657" s="1"/>
      <c r="O2657" s="1"/>
      <c r="P2657" s="1"/>
      <c r="Q2657" s="1"/>
      <c r="R2657" s="1"/>
      <c r="S2657" s="1"/>
      <c r="T2657" s="1"/>
      <c r="U2657" s="1"/>
      <c r="V2657" s="1"/>
      <c r="W2657" s="1"/>
      <c r="X2657" s="1"/>
      <c r="Y2657" s="1"/>
      <c r="Z2657" s="1"/>
      <c r="AA2657" s="1"/>
      <c r="AB2657" s="1"/>
    </row>
    <row r="2658" ht="50.25" customHeight="1">
      <c r="A2658" s="12">
        <v>2654.0</v>
      </c>
      <c r="B2658" s="13" t="s">
        <v>2624</v>
      </c>
      <c r="C2658" s="14" t="s">
        <v>2672</v>
      </c>
      <c r="D2658" s="1"/>
      <c r="E2658" s="1"/>
      <c r="F2658" s="1" t="str">
        <f>IFERROR(__xludf.DUMMYFUNCTION("GOOGLETRANSLATE(B2658, ""en"", ""fa"")
"),"نویسندگی و داستان سرایی را تحریک می کند")</f>
        <v>نویسندگی و داستان سرایی را تحریک می کند</v>
      </c>
      <c r="G2658" s="1" t="str">
        <f>IFERROR(__xludf.DUMMYFUNCTION("GOOGLETRANSLATE(C2658, ""en"", ""fa"")
"),"شخصیتی بسازید که بتواند آب و هوا و مسئولیت هایی که با چنین قدرتی همراه است را کنترل کند.")</f>
        <v>شخصیتی بسازید که بتواند آب و هوا و مسئولیت هایی که با چنین قدرتی همراه است را کنترل کند.</v>
      </c>
      <c r="H2658" s="1"/>
      <c r="I2658" s="1"/>
      <c r="J2658" s="1"/>
      <c r="K2658" s="1"/>
      <c r="L2658" s="1"/>
      <c r="M2658" s="1"/>
      <c r="N2658" s="1"/>
      <c r="O2658" s="1"/>
      <c r="P2658" s="1"/>
      <c r="Q2658" s="1"/>
      <c r="R2658" s="1"/>
      <c r="S2658" s="1"/>
      <c r="T2658" s="1"/>
      <c r="U2658" s="1"/>
      <c r="V2658" s="1"/>
      <c r="W2658" s="1"/>
      <c r="X2658" s="1"/>
      <c r="Y2658" s="1"/>
      <c r="Z2658" s="1"/>
      <c r="AA2658" s="1"/>
      <c r="AB2658" s="1"/>
    </row>
    <row r="2659" ht="50.25" customHeight="1">
      <c r="A2659" s="12">
        <v>2655.0</v>
      </c>
      <c r="B2659" s="13" t="s">
        <v>2624</v>
      </c>
      <c r="C2659" s="14" t="s">
        <v>2673</v>
      </c>
      <c r="D2659" s="1"/>
      <c r="E2659" s="1"/>
      <c r="F2659" s="1" t="str">
        <f>IFERROR(__xludf.DUMMYFUNCTION("GOOGLETRANSLATE(B2659, ""en"", ""fa"")
"),"نویسندگی و داستان سرایی را تحریک می کند")</f>
        <v>نویسندگی و داستان سرایی را تحریک می کند</v>
      </c>
      <c r="G2659" s="1" t="str">
        <f>IFERROR(__xludf.DUMMYFUNCTION("GOOGLETRANSLATE(C2659, ""en"", ""fa"")
"),"صحنه ای را بنویسید که در آن گروهی از شورشیان علیه یک دولت ظالم برای بازگرداندن آزادی می جنگند.")</f>
        <v>صحنه ای را بنویسید که در آن گروهی از شورشیان علیه یک دولت ظالم برای بازگرداندن آزادی می جنگند.</v>
      </c>
      <c r="H2659" s="1"/>
      <c r="I2659" s="1"/>
      <c r="J2659" s="1"/>
      <c r="K2659" s="1"/>
      <c r="L2659" s="1"/>
      <c r="M2659" s="1"/>
      <c r="N2659" s="1"/>
      <c r="O2659" s="1"/>
      <c r="P2659" s="1"/>
      <c r="Q2659" s="1"/>
      <c r="R2659" s="1"/>
      <c r="S2659" s="1"/>
      <c r="T2659" s="1"/>
      <c r="U2659" s="1"/>
      <c r="V2659" s="1"/>
      <c r="W2659" s="1"/>
      <c r="X2659" s="1"/>
      <c r="Y2659" s="1"/>
      <c r="Z2659" s="1"/>
      <c r="AA2659" s="1"/>
      <c r="AB2659" s="1"/>
    </row>
    <row r="2660" ht="50.25" customHeight="1">
      <c r="A2660" s="12">
        <v>2656.0</v>
      </c>
      <c r="B2660" s="13" t="s">
        <v>2624</v>
      </c>
      <c r="C2660" s="14" t="s">
        <v>2674</v>
      </c>
      <c r="D2660" s="1"/>
      <c r="E2660" s="1"/>
      <c r="F2660" s="1" t="str">
        <f>IFERROR(__xludf.DUMMYFUNCTION("GOOGLETRANSLATE(B2660, ""en"", ""fa"")
"),"نویسندگی و داستان سرایی را تحریک می کند")</f>
        <v>نویسندگی و داستان سرایی را تحریک می کند</v>
      </c>
      <c r="G2660" s="1" t="str">
        <f>IFERROR(__xludf.DUMMYFUNCTION("GOOGLETRANSLATE(C2660, ""en"", ""fa"")
"),"شخصی را توصیف کنید که متوجه می شود قدرت زنده کردن شخصیت های داستانی و هرج و مرج ناشی از آن را دارد.")</f>
        <v>شخصی را توصیف کنید که متوجه می شود قدرت زنده کردن شخصیت های داستانی و هرج و مرج ناشی از آن را دارد.</v>
      </c>
      <c r="H2660" s="1"/>
      <c r="I2660" s="1"/>
      <c r="J2660" s="1"/>
      <c r="K2660" s="1"/>
      <c r="L2660" s="1"/>
      <c r="M2660" s="1"/>
      <c r="N2660" s="1"/>
      <c r="O2660" s="1"/>
      <c r="P2660" s="1"/>
      <c r="Q2660" s="1"/>
      <c r="R2660" s="1"/>
      <c r="S2660" s="1"/>
      <c r="T2660" s="1"/>
      <c r="U2660" s="1"/>
      <c r="V2660" s="1"/>
      <c r="W2660" s="1"/>
      <c r="X2660" s="1"/>
      <c r="Y2660" s="1"/>
      <c r="Z2660" s="1"/>
      <c r="AA2660" s="1"/>
      <c r="AB2660" s="1"/>
    </row>
    <row r="2661" ht="50.25" customHeight="1">
      <c r="A2661" s="12">
        <v>2657.0</v>
      </c>
      <c r="B2661" s="13" t="s">
        <v>2624</v>
      </c>
      <c r="C2661" s="14" t="s">
        <v>2675</v>
      </c>
      <c r="D2661" s="1"/>
      <c r="E2661" s="1"/>
      <c r="F2661" s="1" t="str">
        <f>IFERROR(__xludf.DUMMYFUNCTION("GOOGLETRANSLATE(B2661, ""en"", ""fa"")
"),"نویسندگی و داستان سرایی را تحریک می کند")</f>
        <v>نویسندگی و داستان سرایی را تحریک می کند</v>
      </c>
      <c r="G2661" s="1" t="str">
        <f>IFERROR(__xludf.DUMMYFUNCTION("GOOGLETRANSLATE(C2661, ""en"", ""fa"")
"),"داستانی در مورد یک نوازنده بنویسید که ابزار جادویی را کشف می کند که می تواند احساسات مردم را کنترل کند.")</f>
        <v>داستانی در مورد یک نوازنده بنویسید که ابزار جادویی را کشف می کند که می تواند احساسات مردم را کنترل کند.</v>
      </c>
      <c r="H2661" s="1"/>
      <c r="I2661" s="1"/>
      <c r="J2661" s="1"/>
      <c r="K2661" s="1"/>
      <c r="L2661" s="1"/>
      <c r="M2661" s="1"/>
      <c r="N2661" s="1"/>
      <c r="O2661" s="1"/>
      <c r="P2661" s="1"/>
      <c r="Q2661" s="1"/>
      <c r="R2661" s="1"/>
      <c r="S2661" s="1"/>
      <c r="T2661" s="1"/>
      <c r="U2661" s="1"/>
      <c r="V2661" s="1"/>
      <c r="W2661" s="1"/>
      <c r="X2661" s="1"/>
      <c r="Y2661" s="1"/>
      <c r="Z2661" s="1"/>
      <c r="AA2661" s="1"/>
      <c r="AB2661" s="1"/>
    </row>
    <row r="2662" ht="50.25" customHeight="1">
      <c r="A2662" s="12">
        <v>2658.0</v>
      </c>
      <c r="B2662" s="13" t="s">
        <v>2624</v>
      </c>
      <c r="C2662" s="14" t="s">
        <v>2676</v>
      </c>
      <c r="D2662" s="1"/>
      <c r="E2662" s="1"/>
      <c r="F2662" s="1" t="str">
        <f>IFERROR(__xludf.DUMMYFUNCTION("GOOGLETRANSLATE(B2662, ""en"", ""fa"")
"),"نویسندگی و داستان سرایی را تحریک می کند")</f>
        <v>نویسندگی و داستان سرایی را تحریک می کند</v>
      </c>
      <c r="G2662" s="1" t="str">
        <f>IFERROR(__xludf.DUMMYFUNCTION("GOOGLETRANSLATE(C2662, ""en"", ""fa"")
"),"شخصیتی بسازید که بتواند با حیوانات ارتباط برقرار کند و برای نجات گونه های در معرض خطر آنها تلاش کند.")</f>
        <v>شخصیتی بسازید که بتواند با حیوانات ارتباط برقرار کند و برای نجات گونه های در معرض خطر آنها تلاش کند.</v>
      </c>
      <c r="H2662" s="1"/>
      <c r="I2662" s="1"/>
      <c r="J2662" s="1"/>
      <c r="K2662" s="1"/>
      <c r="L2662" s="1"/>
      <c r="M2662" s="1"/>
      <c r="N2662" s="1"/>
      <c r="O2662" s="1"/>
      <c r="P2662" s="1"/>
      <c r="Q2662" s="1"/>
      <c r="R2662" s="1"/>
      <c r="S2662" s="1"/>
      <c r="T2662" s="1"/>
      <c r="U2662" s="1"/>
      <c r="V2662" s="1"/>
      <c r="W2662" s="1"/>
      <c r="X2662" s="1"/>
      <c r="Y2662" s="1"/>
      <c r="Z2662" s="1"/>
      <c r="AA2662" s="1"/>
      <c r="AB2662" s="1"/>
    </row>
    <row r="2663" ht="50.25" customHeight="1">
      <c r="A2663" s="12">
        <v>2659.0</v>
      </c>
      <c r="B2663" s="13" t="s">
        <v>2624</v>
      </c>
      <c r="C2663" s="14" t="s">
        <v>2677</v>
      </c>
      <c r="D2663" s="1"/>
      <c r="E2663" s="1"/>
      <c r="F2663" s="1" t="str">
        <f>IFERROR(__xludf.DUMMYFUNCTION("GOOGLETRANSLATE(B2663, ""en"", ""fa"")
"),"نویسندگی و داستان سرایی را تحریک می کند")</f>
        <v>نویسندگی و داستان سرایی را تحریک می کند</v>
      </c>
      <c r="G2663" s="1" t="str">
        <f>IFERROR(__xludf.DUMMYFUNCTION("GOOGLETRANSLATE(C2663, ""en"", ""fa"")
"),"صحنه ای را بنویسید که در آن گروهی از غریبه ها خود را در یک عمارت خالی از سکنه به دام افتاده اند و باید اسرار تاریک آن را کشف کنند.")</f>
        <v>صحنه ای را بنویسید که در آن گروهی از غریبه ها خود را در یک عمارت خالی از سکنه به دام افتاده اند و باید اسرار تاریک آن را کشف کنند.</v>
      </c>
      <c r="H2663" s="1"/>
      <c r="I2663" s="1"/>
      <c r="J2663" s="1"/>
      <c r="K2663" s="1"/>
      <c r="L2663" s="1"/>
      <c r="M2663" s="1"/>
      <c r="N2663" s="1"/>
      <c r="O2663" s="1"/>
      <c r="P2663" s="1"/>
      <c r="Q2663" s="1"/>
      <c r="R2663" s="1"/>
      <c r="S2663" s="1"/>
      <c r="T2663" s="1"/>
      <c r="U2663" s="1"/>
      <c r="V2663" s="1"/>
      <c r="W2663" s="1"/>
      <c r="X2663" s="1"/>
      <c r="Y2663" s="1"/>
      <c r="Z2663" s="1"/>
      <c r="AA2663" s="1"/>
      <c r="AB2663" s="1"/>
    </row>
    <row r="2664" ht="50.25" customHeight="1">
      <c r="A2664" s="12">
        <v>2660.0</v>
      </c>
      <c r="B2664" s="13" t="s">
        <v>2624</v>
      </c>
      <c r="C2664" s="14" t="s">
        <v>2678</v>
      </c>
      <c r="D2664" s="1"/>
      <c r="E2664" s="1"/>
      <c r="F2664" s="1" t="str">
        <f>IFERROR(__xludf.DUMMYFUNCTION("GOOGLETRANSLATE(B2664, ""en"", ""fa"")
"),"نویسندگی و داستان سرایی را تحریک می کند")</f>
        <v>نویسندگی و داستان سرایی را تحریک می کند</v>
      </c>
      <c r="G2664" s="1" t="str">
        <f>IFERROR(__xludf.DUMMYFUNCTION("GOOGLETRANSLATE(C2664, ""en"", ""fa"")
"),"جامعه ای پنهان از موجودات عنصری را که با انسان ها همزیستی می کنند و درگیری هایی که بین آنها به وجود می آید را توصیف کنید.")</f>
        <v>جامعه ای پنهان از موجودات عنصری را که با انسان ها همزیستی می کنند و درگیری هایی که بین آنها به وجود می آید را توصیف کنید.</v>
      </c>
      <c r="H2664" s="1"/>
      <c r="I2664" s="1"/>
      <c r="J2664" s="1"/>
      <c r="K2664" s="1"/>
      <c r="L2664" s="1"/>
      <c r="M2664" s="1"/>
      <c r="N2664" s="1"/>
      <c r="O2664" s="1"/>
      <c r="P2664" s="1"/>
      <c r="Q2664" s="1"/>
      <c r="R2664" s="1"/>
      <c r="S2664" s="1"/>
      <c r="T2664" s="1"/>
      <c r="U2664" s="1"/>
      <c r="V2664" s="1"/>
      <c r="W2664" s="1"/>
      <c r="X2664" s="1"/>
      <c r="Y2664" s="1"/>
      <c r="Z2664" s="1"/>
      <c r="AA2664" s="1"/>
      <c r="AB2664" s="1"/>
    </row>
    <row r="2665" ht="50.25" customHeight="1">
      <c r="A2665" s="12">
        <v>2661.0</v>
      </c>
      <c r="B2665" s="13" t="s">
        <v>2624</v>
      </c>
      <c r="C2665" s="14" t="s">
        <v>2679</v>
      </c>
      <c r="D2665" s="1"/>
      <c r="E2665" s="1"/>
      <c r="F2665" s="1" t="str">
        <f>IFERROR(__xludf.DUMMYFUNCTION("GOOGLETRANSLATE(B2665, ""en"", ""fa"")
"),"نویسندگی و داستان سرایی را تحریک می کند")</f>
        <v>نویسندگی و داستان سرایی را تحریک می کند</v>
      </c>
      <c r="G2665" s="1" t="str">
        <f>IFERROR(__xludf.DUMMYFUNCTION("GOOGLETRANSLATE(C2665, ""en"", ""fa"")
"),"داستانی در مورد فردی بنویسید که توانایی صحبت کردن و درک همه زبان ها و تأثیر آن بر زندگی او را به دست می آورد.")</f>
        <v>داستانی در مورد فردی بنویسید که توانایی صحبت کردن و درک همه زبان ها و تأثیر آن بر زندگی او را به دست می آورد.</v>
      </c>
      <c r="H2665" s="1"/>
      <c r="I2665" s="1"/>
      <c r="J2665" s="1"/>
      <c r="K2665" s="1"/>
      <c r="L2665" s="1"/>
      <c r="M2665" s="1"/>
      <c r="N2665" s="1"/>
      <c r="O2665" s="1"/>
      <c r="P2665" s="1"/>
      <c r="Q2665" s="1"/>
      <c r="R2665" s="1"/>
      <c r="S2665" s="1"/>
      <c r="T2665" s="1"/>
      <c r="U2665" s="1"/>
      <c r="V2665" s="1"/>
      <c r="W2665" s="1"/>
      <c r="X2665" s="1"/>
      <c r="Y2665" s="1"/>
      <c r="Z2665" s="1"/>
      <c r="AA2665" s="1"/>
      <c r="AB2665" s="1"/>
    </row>
    <row r="2666" ht="50.25" customHeight="1">
      <c r="A2666" s="12">
        <v>2662.0</v>
      </c>
      <c r="B2666" s="13" t="s">
        <v>2624</v>
      </c>
      <c r="C2666" s="14" t="s">
        <v>2680</v>
      </c>
      <c r="D2666" s="1"/>
      <c r="E2666" s="1"/>
      <c r="F2666" s="1" t="str">
        <f>IFERROR(__xludf.DUMMYFUNCTION("GOOGLETRANSLATE(B2666, ""en"", ""fa"")
"),"نویسندگی و داستان سرایی را تحریک می کند")</f>
        <v>نویسندگی و داستان سرایی را تحریک می کند</v>
      </c>
      <c r="G2666" s="1" t="str">
        <f>IFERROR(__xludf.DUMMYFUNCTION("GOOGLETRANSLATE(C2666, ""en"", ""fa"")
"),"شخصیتی بسازید که بتواند وارد رویاهای دیگران شود و یک سری مناظر عجیب و غریب و سورئال رویایی را تجربه کند.")</f>
        <v>شخصیتی بسازید که بتواند وارد رویاهای دیگران شود و یک سری مناظر عجیب و غریب و سورئال رویایی را تجربه کند.</v>
      </c>
      <c r="H2666" s="1"/>
      <c r="I2666" s="1"/>
      <c r="J2666" s="1"/>
      <c r="K2666" s="1"/>
      <c r="L2666" s="1"/>
      <c r="M2666" s="1"/>
      <c r="N2666" s="1"/>
      <c r="O2666" s="1"/>
      <c r="P2666" s="1"/>
      <c r="Q2666" s="1"/>
      <c r="R2666" s="1"/>
      <c r="S2666" s="1"/>
      <c r="T2666" s="1"/>
      <c r="U2666" s="1"/>
      <c r="V2666" s="1"/>
      <c r="W2666" s="1"/>
      <c r="X2666" s="1"/>
      <c r="Y2666" s="1"/>
      <c r="Z2666" s="1"/>
      <c r="AA2666" s="1"/>
      <c r="AB2666" s="1"/>
    </row>
    <row r="2667" ht="50.25" customHeight="1">
      <c r="A2667" s="12">
        <v>2663.0</v>
      </c>
      <c r="B2667" s="13" t="s">
        <v>2624</v>
      </c>
      <c r="C2667" s="14" t="s">
        <v>2681</v>
      </c>
      <c r="D2667" s="1"/>
      <c r="E2667" s="1"/>
      <c r="F2667" s="1" t="str">
        <f>IFERROR(__xludf.DUMMYFUNCTION("GOOGLETRANSLATE(B2667, ""en"", ""fa"")
"),"نویسندگی و داستان سرایی را تحریک می کند")</f>
        <v>نویسندگی و داستان سرایی را تحریک می کند</v>
      </c>
      <c r="G2667" s="1" t="str">
        <f>IFERROR(__xludf.DUMMYFUNCTION("GOOGLETRANSLATE(C2667, ""en"", ""fa"")
"),"صحنه‌ای بنویسید که در دنیایی آینده‌نگر اتفاق می‌افتد که در آن هوش مصنوعی حساس شده و بشریت را تهدید می‌کند.")</f>
        <v>صحنه‌ای بنویسید که در دنیایی آینده‌نگر اتفاق می‌افتد که در آن هوش مصنوعی حساس شده و بشریت را تهدید می‌کند.</v>
      </c>
      <c r="H2667" s="1"/>
      <c r="I2667" s="1"/>
      <c r="J2667" s="1"/>
      <c r="K2667" s="1"/>
      <c r="L2667" s="1"/>
      <c r="M2667" s="1"/>
      <c r="N2667" s="1"/>
      <c r="O2667" s="1"/>
      <c r="P2667" s="1"/>
      <c r="Q2667" s="1"/>
      <c r="R2667" s="1"/>
      <c r="S2667" s="1"/>
      <c r="T2667" s="1"/>
      <c r="U2667" s="1"/>
      <c r="V2667" s="1"/>
      <c r="W2667" s="1"/>
      <c r="X2667" s="1"/>
      <c r="Y2667" s="1"/>
      <c r="Z2667" s="1"/>
      <c r="AA2667" s="1"/>
      <c r="AB2667" s="1"/>
    </row>
    <row r="2668" ht="50.25" customHeight="1">
      <c r="A2668" s="12">
        <v>2664.0</v>
      </c>
      <c r="B2668" s="13" t="s">
        <v>2624</v>
      </c>
      <c r="C2668" s="14" t="s">
        <v>2682</v>
      </c>
      <c r="D2668" s="1"/>
      <c r="E2668" s="1"/>
      <c r="F2668" s="1" t="str">
        <f>IFERROR(__xludf.DUMMYFUNCTION("GOOGLETRANSLATE(B2668, ""en"", ""fa"")
"),"نویسندگی و داستان سرایی را تحریک می کند")</f>
        <v>نویسندگی و داستان سرایی را تحریک می کند</v>
      </c>
      <c r="G2668" s="1" t="str">
        <f>IFERROR(__xludf.DUMMYFUNCTION("GOOGLETRANSLATE(C2668, ""en"", ""fa"")
"),"جامعه ای را توصیف کنید که در آن کتاب ممنوع است و گروهی از شورشیان برای حفظ دانش و سواد می جنگند.")</f>
        <v>جامعه ای را توصیف کنید که در آن کتاب ممنوع است و گروهی از شورشیان برای حفظ دانش و سواد می جنگند.</v>
      </c>
      <c r="H2668" s="1"/>
      <c r="I2668" s="1"/>
      <c r="J2668" s="1"/>
      <c r="K2668" s="1"/>
      <c r="L2668" s="1"/>
      <c r="M2668" s="1"/>
      <c r="N2668" s="1"/>
      <c r="O2668" s="1"/>
      <c r="P2668" s="1"/>
      <c r="Q2668" s="1"/>
      <c r="R2668" s="1"/>
      <c r="S2668" s="1"/>
      <c r="T2668" s="1"/>
      <c r="U2668" s="1"/>
      <c r="V2668" s="1"/>
      <c r="W2668" s="1"/>
      <c r="X2668" s="1"/>
      <c r="Y2668" s="1"/>
      <c r="Z2668" s="1"/>
      <c r="AA2668" s="1"/>
      <c r="AB2668" s="1"/>
    </row>
    <row r="2669" ht="50.25" customHeight="1">
      <c r="A2669" s="12">
        <v>2665.0</v>
      </c>
      <c r="B2669" s="13" t="s">
        <v>2624</v>
      </c>
      <c r="C2669" s="14" t="s">
        <v>2683</v>
      </c>
      <c r="D2669" s="1"/>
      <c r="E2669" s="1"/>
      <c r="F2669" s="1" t="str">
        <f>IFERROR(__xludf.DUMMYFUNCTION("GOOGLETRANSLATE(B2669, ""en"", ""fa"")
"),"نویسندگی و داستان سرایی را تحریک می کند")</f>
        <v>نویسندگی و داستان سرایی را تحریک می کند</v>
      </c>
      <c r="G2669" s="1" t="str">
        <f>IFERROR(__xludf.DUMMYFUNCTION("GOOGLETRANSLATE(C2669, ""en"", ""fa"")
"),"داستانی در مورد شخصی بنویسید که دریچه ای به یک جهان موازی و نسخه های موازی خود را که با آنها روبرو می شوند کشف می کند.")</f>
        <v>داستانی در مورد شخصی بنویسید که دریچه ای به یک جهان موازی و نسخه های موازی خود را که با آنها روبرو می شوند کشف می کند.</v>
      </c>
      <c r="H2669" s="1"/>
      <c r="I2669" s="1"/>
      <c r="J2669" s="1"/>
      <c r="K2669" s="1"/>
      <c r="L2669" s="1"/>
      <c r="M2669" s="1"/>
      <c r="N2669" s="1"/>
      <c r="O2669" s="1"/>
      <c r="P2669" s="1"/>
      <c r="Q2669" s="1"/>
      <c r="R2669" s="1"/>
      <c r="S2669" s="1"/>
      <c r="T2669" s="1"/>
      <c r="U2669" s="1"/>
      <c r="V2669" s="1"/>
      <c r="W2669" s="1"/>
      <c r="X2669" s="1"/>
      <c r="Y2669" s="1"/>
      <c r="Z2669" s="1"/>
      <c r="AA2669" s="1"/>
      <c r="AB2669" s="1"/>
    </row>
    <row r="2670" ht="50.25" customHeight="1">
      <c r="A2670" s="12">
        <v>2666.0</v>
      </c>
      <c r="B2670" s="13" t="s">
        <v>2624</v>
      </c>
      <c r="C2670" s="14" t="s">
        <v>2684</v>
      </c>
      <c r="D2670" s="1"/>
      <c r="E2670" s="1"/>
      <c r="F2670" s="1" t="str">
        <f>IFERROR(__xludf.DUMMYFUNCTION("GOOGLETRANSLATE(B2670, ""en"", ""fa"")
"),"نویسندگی و داستان سرایی را تحریک می کند")</f>
        <v>نویسندگی و داستان سرایی را تحریک می کند</v>
      </c>
      <c r="G2670" s="1" t="str">
        <f>IFERROR(__xludf.DUMMYFUNCTION("GOOGLETRANSLATE(C2670, ""en"", ""fa"")
"),"شخصیتی بسازید که دارای قدرت تله‌کینزی و چالش‌هایی باشد که در کنترل و استفاده از توانایی‌های خود با آن روبرو هستند.")</f>
        <v>شخصیتی بسازید که دارای قدرت تله‌کینزی و چالش‌هایی باشد که در کنترل و استفاده از توانایی‌های خود با آن روبرو هستند.</v>
      </c>
      <c r="H2670" s="1"/>
      <c r="I2670" s="1"/>
      <c r="J2670" s="1"/>
      <c r="K2670" s="1"/>
      <c r="L2670" s="1"/>
      <c r="M2670" s="1"/>
      <c r="N2670" s="1"/>
      <c r="O2670" s="1"/>
      <c r="P2670" s="1"/>
      <c r="Q2670" s="1"/>
      <c r="R2670" s="1"/>
      <c r="S2670" s="1"/>
      <c r="T2670" s="1"/>
      <c r="U2670" s="1"/>
      <c r="V2670" s="1"/>
      <c r="W2670" s="1"/>
      <c r="X2670" s="1"/>
      <c r="Y2670" s="1"/>
      <c r="Z2670" s="1"/>
      <c r="AA2670" s="1"/>
      <c r="AB2670" s="1"/>
    </row>
    <row r="2671" ht="50.25" customHeight="1">
      <c r="A2671" s="12">
        <v>2667.0</v>
      </c>
      <c r="B2671" s="13" t="s">
        <v>2624</v>
      </c>
      <c r="C2671" s="14" t="s">
        <v>2685</v>
      </c>
      <c r="D2671" s="1"/>
      <c r="E2671" s="1"/>
      <c r="F2671" s="1" t="str">
        <f>IFERROR(__xludf.DUMMYFUNCTION("GOOGLETRANSLATE(B2671, ""en"", ""fa"")
"),"نویسندگی و داستان سرایی را تحریک می کند")</f>
        <v>نویسندگی و داستان سرایی را تحریک می کند</v>
      </c>
      <c r="G2671" s="1" t="str">
        <f>IFERROR(__xludf.DUMMYFUNCTION("GOOGLETRANSLATE(C2671, ""en"", ""fa"")
"),"صحنه ای را بنویسید که در آن گروهی از دوستان به نقشه گنج پنهان برخورد می کنند و به یک گنج شکار هیجان انگیز می پردازند.")</f>
        <v>صحنه ای را بنویسید که در آن گروهی از دوستان به نقشه گنج پنهان برخورد می کنند و به یک گنج شکار هیجان انگیز می پردازند.</v>
      </c>
      <c r="H2671" s="1"/>
      <c r="I2671" s="1"/>
      <c r="J2671" s="1"/>
      <c r="K2671" s="1"/>
      <c r="L2671" s="1"/>
      <c r="M2671" s="1"/>
      <c r="N2671" s="1"/>
      <c r="O2671" s="1"/>
      <c r="P2671" s="1"/>
      <c r="Q2671" s="1"/>
      <c r="R2671" s="1"/>
      <c r="S2671" s="1"/>
      <c r="T2671" s="1"/>
      <c r="U2671" s="1"/>
      <c r="V2671" s="1"/>
      <c r="W2671" s="1"/>
      <c r="X2671" s="1"/>
      <c r="Y2671" s="1"/>
      <c r="Z2671" s="1"/>
      <c r="AA2671" s="1"/>
      <c r="AB2671" s="1"/>
    </row>
    <row r="2672" ht="50.25" customHeight="1">
      <c r="A2672" s="12">
        <v>2668.0</v>
      </c>
      <c r="B2672" s="13" t="s">
        <v>2624</v>
      </c>
      <c r="C2672" s="14" t="s">
        <v>2686</v>
      </c>
      <c r="D2672" s="1"/>
      <c r="E2672" s="1"/>
      <c r="F2672" s="1" t="str">
        <f>IFERROR(__xludf.DUMMYFUNCTION("GOOGLETRANSLATE(B2672, ""en"", ""fa"")
"),"نویسندگی و داستان سرایی را تحریک می کند")</f>
        <v>نویسندگی و داستان سرایی را تحریک می کند</v>
      </c>
      <c r="G2672" s="1" t="str">
        <f>IFERROR(__xludf.DUMMYFUNCTION("GOOGLETRANSLATE(C2672, ""en"", ""fa"")
"),"دنیایی را توصیف کنید که جادو در آن واقعی است اما فراموش شده است و یک قهرمان انتخاب شده باید وجود آن را بازگرداند.")</f>
        <v>دنیایی را توصیف کنید که جادو در آن واقعی است اما فراموش شده است و یک قهرمان انتخاب شده باید وجود آن را بازگرداند.</v>
      </c>
      <c r="H2672" s="1"/>
      <c r="I2672" s="1"/>
      <c r="J2672" s="1"/>
      <c r="K2672" s="1"/>
      <c r="L2672" s="1"/>
      <c r="M2672" s="1"/>
      <c r="N2672" s="1"/>
      <c r="O2672" s="1"/>
      <c r="P2672" s="1"/>
      <c r="Q2672" s="1"/>
      <c r="R2672" s="1"/>
      <c r="S2672" s="1"/>
      <c r="T2672" s="1"/>
      <c r="U2672" s="1"/>
      <c r="V2672" s="1"/>
      <c r="W2672" s="1"/>
      <c r="X2672" s="1"/>
      <c r="Y2672" s="1"/>
      <c r="Z2672" s="1"/>
      <c r="AA2672" s="1"/>
      <c r="AB2672" s="1"/>
    </row>
    <row r="2673" ht="50.25" customHeight="1">
      <c r="A2673" s="12">
        <v>2669.0</v>
      </c>
      <c r="B2673" s="13" t="s">
        <v>2624</v>
      </c>
      <c r="C2673" s="14" t="s">
        <v>2687</v>
      </c>
      <c r="D2673" s="1"/>
      <c r="E2673" s="1"/>
      <c r="F2673" s="1" t="str">
        <f>IFERROR(__xludf.DUMMYFUNCTION("GOOGLETRANSLATE(B2673, ""en"", ""fa"")
"),"نویسندگی و داستان سرایی را تحریک می کند")</f>
        <v>نویسندگی و داستان سرایی را تحریک می کند</v>
      </c>
      <c r="G2673" s="1" t="str">
        <f>IFERROR(__xludf.DUMMYFUNCTION("GOOGLETRANSLATE(C2673, ""en"", ""fa"")
"),"داستانی در مورد شخصی بنویسید که یک روز از خواب بیدار می شود و متوجه می شود که همه افراد دیگر در جهان ناپدید شده اند.")</f>
        <v>داستانی در مورد شخصی بنویسید که یک روز از خواب بیدار می شود و متوجه می شود که همه افراد دیگر در جهان ناپدید شده اند.</v>
      </c>
      <c r="H2673" s="1"/>
      <c r="I2673" s="1"/>
      <c r="J2673" s="1"/>
      <c r="K2673" s="1"/>
      <c r="L2673" s="1"/>
      <c r="M2673" s="1"/>
      <c r="N2673" s="1"/>
      <c r="O2673" s="1"/>
      <c r="P2673" s="1"/>
      <c r="Q2673" s="1"/>
      <c r="R2673" s="1"/>
      <c r="S2673" s="1"/>
      <c r="T2673" s="1"/>
      <c r="U2673" s="1"/>
      <c r="V2673" s="1"/>
      <c r="W2673" s="1"/>
      <c r="X2673" s="1"/>
      <c r="Y2673" s="1"/>
      <c r="Z2673" s="1"/>
      <c r="AA2673" s="1"/>
      <c r="AB2673" s="1"/>
    </row>
    <row r="2674" ht="50.25" customHeight="1">
      <c r="A2674" s="12">
        <v>2670.0</v>
      </c>
      <c r="B2674" s="13" t="s">
        <v>2624</v>
      </c>
      <c r="C2674" s="14" t="s">
        <v>2688</v>
      </c>
      <c r="D2674" s="1"/>
      <c r="E2674" s="1"/>
      <c r="F2674" s="1" t="str">
        <f>IFERROR(__xludf.DUMMYFUNCTION("GOOGLETRANSLATE(B2674, ""en"", ""fa"")
"),"نویسندگی و داستان سرایی را تحریک می کند")</f>
        <v>نویسندگی و داستان سرایی را تحریک می کند</v>
      </c>
      <c r="G2674" s="1" t="str">
        <f>IFERROR(__xludf.DUMMYFUNCTION("GOOGLETRANSLATE(C2674, ""en"", ""fa"")
"),"شخصیتی بسازید که بتواند عناصر را دستکاری کند، اما هر عنصر قیمتی دارد.")</f>
        <v>شخصیتی بسازید که بتواند عناصر را دستکاری کند، اما هر عنصر قیمتی دارد.</v>
      </c>
      <c r="H2674" s="1"/>
      <c r="I2674" s="1"/>
      <c r="J2674" s="1"/>
      <c r="K2674" s="1"/>
      <c r="L2674" s="1"/>
      <c r="M2674" s="1"/>
      <c r="N2674" s="1"/>
      <c r="O2674" s="1"/>
      <c r="P2674" s="1"/>
      <c r="Q2674" s="1"/>
      <c r="R2674" s="1"/>
      <c r="S2674" s="1"/>
      <c r="T2674" s="1"/>
      <c r="U2674" s="1"/>
      <c r="V2674" s="1"/>
      <c r="W2674" s="1"/>
      <c r="X2674" s="1"/>
      <c r="Y2674" s="1"/>
      <c r="Z2674" s="1"/>
      <c r="AA2674" s="1"/>
      <c r="AB2674" s="1"/>
    </row>
    <row r="2675" ht="50.25" customHeight="1">
      <c r="A2675" s="12">
        <v>2671.0</v>
      </c>
      <c r="B2675" s="13" t="s">
        <v>2624</v>
      </c>
      <c r="C2675" s="14" t="s">
        <v>2689</v>
      </c>
      <c r="D2675" s="1"/>
      <c r="E2675" s="1"/>
      <c r="F2675" s="1" t="str">
        <f>IFERROR(__xludf.DUMMYFUNCTION("GOOGLETRANSLATE(B2675, ""en"", ""fa"")
"),"نویسندگی و داستان سرایی را تحریک می کند")</f>
        <v>نویسندگی و داستان سرایی را تحریک می کند</v>
      </c>
      <c r="G2675" s="1" t="str">
        <f>IFERROR(__xludf.DUMMYFUNCTION("GOOGLETRANSLATE(C2675, ""en"", ""fa"")
"),"صحنه ای را بنویسید که در یک جامعه پسا آخرالزمانی اتفاق می افتد که در آن بازماندگان قبایل جدیدی تشکیل می دهند و برای منابع می جنگند.")</f>
        <v>صحنه ای را بنویسید که در یک جامعه پسا آخرالزمانی اتفاق می افتد که در آن بازماندگان قبایل جدیدی تشکیل می دهند و برای منابع می جنگند.</v>
      </c>
      <c r="H2675" s="1"/>
      <c r="I2675" s="1"/>
      <c r="J2675" s="1"/>
      <c r="K2675" s="1"/>
      <c r="L2675" s="1"/>
      <c r="M2675" s="1"/>
      <c r="N2675" s="1"/>
      <c r="O2675" s="1"/>
      <c r="P2675" s="1"/>
      <c r="Q2675" s="1"/>
      <c r="R2675" s="1"/>
      <c r="S2675" s="1"/>
      <c r="T2675" s="1"/>
      <c r="U2675" s="1"/>
      <c r="V2675" s="1"/>
      <c r="W2675" s="1"/>
      <c r="X2675" s="1"/>
      <c r="Y2675" s="1"/>
      <c r="Z2675" s="1"/>
      <c r="AA2675" s="1"/>
      <c r="AB2675" s="1"/>
    </row>
    <row r="2676" ht="50.25" customHeight="1">
      <c r="A2676" s="12">
        <v>2672.0</v>
      </c>
      <c r="B2676" s="13" t="s">
        <v>2624</v>
      </c>
      <c r="C2676" s="14" t="s">
        <v>2690</v>
      </c>
      <c r="D2676" s="1"/>
      <c r="E2676" s="1"/>
      <c r="F2676" s="1" t="str">
        <f>IFERROR(__xludf.DUMMYFUNCTION("GOOGLETRANSLATE(B2676, ""en"", ""fa"")
"),"نویسندگی و داستان سرایی را تحریک می کند")</f>
        <v>نویسندگی و داستان سرایی را تحریک می کند</v>
      </c>
      <c r="G2676" s="1" t="str">
        <f>IFERROR(__xludf.DUMMYFUNCTION("GOOGLETRANSLATE(C2676, ""en"", ""fa"")
"),"یک کتابخانه مخفی که اسرار جهان هستی و شخصی که آن را کشف می کند را در خود جای داده است.")</f>
        <v>یک کتابخانه مخفی که اسرار جهان هستی و شخصی که آن را کشف می کند را در خود جای داده است.</v>
      </c>
      <c r="H2676" s="1"/>
      <c r="I2676" s="1"/>
      <c r="J2676" s="1"/>
      <c r="K2676" s="1"/>
      <c r="L2676" s="1"/>
      <c r="M2676" s="1"/>
      <c r="N2676" s="1"/>
      <c r="O2676" s="1"/>
      <c r="P2676" s="1"/>
      <c r="Q2676" s="1"/>
      <c r="R2676" s="1"/>
      <c r="S2676" s="1"/>
      <c r="T2676" s="1"/>
      <c r="U2676" s="1"/>
      <c r="V2676" s="1"/>
      <c r="W2676" s="1"/>
      <c r="X2676" s="1"/>
      <c r="Y2676" s="1"/>
      <c r="Z2676" s="1"/>
      <c r="AA2676" s="1"/>
      <c r="AB2676" s="1"/>
    </row>
    <row r="2677" ht="50.25" customHeight="1">
      <c r="A2677" s="12">
        <v>2673.0</v>
      </c>
      <c r="B2677" s="13" t="s">
        <v>2624</v>
      </c>
      <c r="C2677" s="14" t="s">
        <v>2691</v>
      </c>
      <c r="D2677" s="1"/>
      <c r="E2677" s="1"/>
      <c r="F2677" s="1" t="str">
        <f>IFERROR(__xludf.DUMMYFUNCTION("GOOGLETRANSLATE(B2677, ""en"", ""fa"")
"),"نویسندگی و داستان سرایی را تحریک می کند")</f>
        <v>نویسندگی و داستان سرایی را تحریک می کند</v>
      </c>
      <c r="G2677" s="1" t="str">
        <f>IFERROR(__xludf.DUMMYFUNCTION("GOOGLETRANSLATE(C2677, ""en"", ""fa"")
"),"داستانی در مورد شخصی بنویسید که می تواند آینده را ببیند اما با آگاهی از مرگ خود نفرین شده است.")</f>
        <v>داستانی در مورد شخصی بنویسید که می تواند آینده را ببیند اما با آگاهی از مرگ خود نفرین شده است.</v>
      </c>
      <c r="H2677" s="1"/>
      <c r="I2677" s="1"/>
      <c r="J2677" s="1"/>
      <c r="K2677" s="1"/>
      <c r="L2677" s="1"/>
      <c r="M2677" s="1"/>
      <c r="N2677" s="1"/>
      <c r="O2677" s="1"/>
      <c r="P2677" s="1"/>
      <c r="Q2677" s="1"/>
      <c r="R2677" s="1"/>
      <c r="S2677" s="1"/>
      <c r="T2677" s="1"/>
      <c r="U2677" s="1"/>
      <c r="V2677" s="1"/>
      <c r="W2677" s="1"/>
      <c r="X2677" s="1"/>
      <c r="Y2677" s="1"/>
      <c r="Z2677" s="1"/>
      <c r="AA2677" s="1"/>
      <c r="AB2677" s="1"/>
    </row>
    <row r="2678" ht="50.25" customHeight="1">
      <c r="A2678" s="12">
        <v>2674.0</v>
      </c>
      <c r="B2678" s="13" t="s">
        <v>2624</v>
      </c>
      <c r="C2678" s="14" t="s">
        <v>2692</v>
      </c>
      <c r="D2678" s="1"/>
      <c r="E2678" s="1"/>
      <c r="F2678" s="1" t="str">
        <f>IFERROR(__xludf.DUMMYFUNCTION("GOOGLETRANSLATE(B2678, ""en"", ""fa"")
"),"نویسندگی و داستان سرایی را تحریک می کند")</f>
        <v>نویسندگی و داستان سرایی را تحریک می کند</v>
      </c>
      <c r="G2678" s="1" t="str">
        <f>IFERROR(__xludf.DUMMYFUNCTION("GOOGLETRANSLATE(C2678, ""en"", ""fa"")
"),"شخصیتی بسازید که بتواند در زمان سفر کند اما باید تعادل را حفظ کند تا از عواقب فاجعه‌بار جلوگیری کند.")</f>
        <v>شخصیتی بسازید که بتواند در زمان سفر کند اما باید تعادل را حفظ کند تا از عواقب فاجعه‌بار جلوگیری کند.</v>
      </c>
      <c r="H2678" s="1"/>
      <c r="I2678" s="1"/>
      <c r="J2678" s="1"/>
      <c r="K2678" s="1"/>
      <c r="L2678" s="1"/>
      <c r="M2678" s="1"/>
      <c r="N2678" s="1"/>
      <c r="O2678" s="1"/>
      <c r="P2678" s="1"/>
      <c r="Q2678" s="1"/>
      <c r="R2678" s="1"/>
      <c r="S2678" s="1"/>
      <c r="T2678" s="1"/>
      <c r="U2678" s="1"/>
      <c r="V2678" s="1"/>
      <c r="W2678" s="1"/>
      <c r="X2678" s="1"/>
      <c r="Y2678" s="1"/>
      <c r="Z2678" s="1"/>
      <c r="AA2678" s="1"/>
      <c r="AB2678" s="1"/>
    </row>
    <row r="2679" ht="50.25" customHeight="1">
      <c r="A2679" s="12">
        <v>2675.0</v>
      </c>
      <c r="B2679" s="13" t="s">
        <v>2624</v>
      </c>
      <c r="C2679" s="14" t="s">
        <v>2693</v>
      </c>
      <c r="D2679" s="1"/>
      <c r="E2679" s="1"/>
      <c r="F2679" s="1" t="str">
        <f>IFERROR(__xludf.DUMMYFUNCTION("GOOGLETRANSLATE(B2679, ""en"", ""fa"")
"),"نویسندگی و داستان سرایی را تحریک می کند")</f>
        <v>نویسندگی و داستان سرایی را تحریک می کند</v>
      </c>
      <c r="G2679" s="1" t="str">
        <f>IFERROR(__xludf.DUMMYFUNCTION("GOOGLETRANSLATE(C2679, ""en"", ""fa"")
"),"صحنه ای را بنویسید که در آن گروهی از نوجوانان ابرقدرت ها را در خود پرورش دهند و باید یاد بگیرند که مسئولانه از آنها استفاده کنند.")</f>
        <v>صحنه ای را بنویسید که در آن گروهی از نوجوانان ابرقدرت ها را در خود پرورش دهند و باید یاد بگیرند که مسئولانه از آنها استفاده کنند.</v>
      </c>
      <c r="H2679" s="1"/>
      <c r="I2679" s="1"/>
      <c r="J2679" s="1"/>
      <c r="K2679" s="1"/>
      <c r="L2679" s="1"/>
      <c r="M2679" s="1"/>
      <c r="N2679" s="1"/>
      <c r="O2679" s="1"/>
      <c r="P2679" s="1"/>
      <c r="Q2679" s="1"/>
      <c r="R2679" s="1"/>
      <c r="S2679" s="1"/>
      <c r="T2679" s="1"/>
      <c r="U2679" s="1"/>
      <c r="V2679" s="1"/>
      <c r="W2679" s="1"/>
      <c r="X2679" s="1"/>
      <c r="Y2679" s="1"/>
      <c r="Z2679" s="1"/>
      <c r="AA2679" s="1"/>
      <c r="AB2679" s="1"/>
    </row>
    <row r="2680" ht="50.25" customHeight="1">
      <c r="A2680" s="12">
        <v>2676.0</v>
      </c>
      <c r="B2680" s="13" t="s">
        <v>2624</v>
      </c>
      <c r="C2680" s="14" t="s">
        <v>2694</v>
      </c>
      <c r="D2680" s="1"/>
      <c r="E2680" s="1"/>
      <c r="F2680" s="1" t="str">
        <f>IFERROR(__xludf.DUMMYFUNCTION("GOOGLETRANSLATE(B2680, ""en"", ""fa"")
"),"نویسندگی و داستان سرایی را تحریک می کند")</f>
        <v>نویسندگی و داستان سرایی را تحریک می کند</v>
      </c>
      <c r="G2680" s="1" t="str">
        <f>IFERROR(__xludf.DUMMYFUNCTION("GOOGLETRANSLATE(C2680, ""en"", ""fa"")
"),"جامعه‌ای را توصیف کنید که در آن احساسات به عنوان یک کالا جمع‌آوری و مبادله می‌شوند و شورشی برای بازپس‌گیری آنها پدید می‌آید.")</f>
        <v>جامعه‌ای را توصیف کنید که در آن احساسات به عنوان یک کالا جمع‌آوری و مبادله می‌شوند و شورشی برای بازپس‌گیری آنها پدید می‌آید.</v>
      </c>
      <c r="H2680" s="1"/>
      <c r="I2680" s="1"/>
      <c r="J2680" s="1"/>
      <c r="K2680" s="1"/>
      <c r="L2680" s="1"/>
      <c r="M2680" s="1"/>
      <c r="N2680" s="1"/>
      <c r="O2680" s="1"/>
      <c r="P2680" s="1"/>
      <c r="Q2680" s="1"/>
      <c r="R2680" s="1"/>
      <c r="S2680" s="1"/>
      <c r="T2680" s="1"/>
      <c r="U2680" s="1"/>
      <c r="V2680" s="1"/>
      <c r="W2680" s="1"/>
      <c r="X2680" s="1"/>
      <c r="Y2680" s="1"/>
      <c r="Z2680" s="1"/>
      <c r="AA2680" s="1"/>
      <c r="AB2680" s="1"/>
    </row>
    <row r="2681" ht="50.25" customHeight="1">
      <c r="A2681" s="12">
        <v>2677.0</v>
      </c>
      <c r="B2681" s="13" t="s">
        <v>2624</v>
      </c>
      <c r="C2681" s="14" t="s">
        <v>2695</v>
      </c>
      <c r="D2681" s="1"/>
      <c r="E2681" s="1"/>
      <c r="F2681" s="1" t="str">
        <f>IFERROR(__xludf.DUMMYFUNCTION("GOOGLETRANSLATE(B2681, ""en"", ""fa"")
"),"نویسندگی و داستان سرایی را تحریک می کند")</f>
        <v>نویسندگی و داستان سرایی را تحریک می کند</v>
      </c>
      <c r="G2681" s="1" t="str">
        <f>IFERROR(__xludf.DUMMYFUNCTION("GOOGLETRANSLATE(C2681, ""en"", ""fa"")
"),"داستانی در مورد شخصی بنویسید که می تواند به موجودات اسطوره ای مختلف تبدیل شود و چالش هایی که برای پذیرش خود واقعی خود با آن روبرو هستند.")</f>
        <v>داستانی در مورد شخصی بنویسید که می تواند به موجودات اسطوره ای مختلف تبدیل شود و چالش هایی که برای پذیرش خود واقعی خود با آن روبرو هستند.</v>
      </c>
      <c r="H2681" s="1"/>
      <c r="I2681" s="1"/>
      <c r="J2681" s="1"/>
      <c r="K2681" s="1"/>
      <c r="L2681" s="1"/>
      <c r="M2681" s="1"/>
      <c r="N2681" s="1"/>
      <c r="O2681" s="1"/>
      <c r="P2681" s="1"/>
      <c r="Q2681" s="1"/>
      <c r="R2681" s="1"/>
      <c r="S2681" s="1"/>
      <c r="T2681" s="1"/>
      <c r="U2681" s="1"/>
      <c r="V2681" s="1"/>
      <c r="W2681" s="1"/>
      <c r="X2681" s="1"/>
      <c r="Y2681" s="1"/>
      <c r="Z2681" s="1"/>
      <c r="AA2681" s="1"/>
      <c r="AB2681" s="1"/>
    </row>
    <row r="2682" ht="50.25" customHeight="1">
      <c r="A2682" s="12">
        <v>2678.0</v>
      </c>
      <c r="B2682" s="13" t="s">
        <v>2624</v>
      </c>
      <c r="C2682" s="14" t="s">
        <v>2696</v>
      </c>
      <c r="D2682" s="1"/>
      <c r="E2682" s="1"/>
      <c r="F2682" s="1" t="str">
        <f>IFERROR(__xludf.DUMMYFUNCTION("GOOGLETRANSLATE(B2682, ""en"", ""fa"")
"),"نویسندگی و داستان سرایی را تحریک می کند")</f>
        <v>نویسندگی و داستان سرایی را تحریک می کند</v>
      </c>
      <c r="G2682" s="1" t="str">
        <f>IFERROR(__xludf.DUMMYFUNCTION("GOOGLETRANSLATE(C2682, ""en"", ""fa"")
"),"شخصیتی بسازید که بتواند رویاها را دستکاری کند و وارد قلمرویی شود که رویاها و واقعیت با هم برخورد می کنند.")</f>
        <v>شخصیتی بسازید که بتواند رویاها را دستکاری کند و وارد قلمرویی شود که رویاها و واقعیت با هم برخورد می کنند.</v>
      </c>
      <c r="H2682" s="1"/>
      <c r="I2682" s="1"/>
      <c r="J2682" s="1"/>
      <c r="K2682" s="1"/>
      <c r="L2682" s="1"/>
      <c r="M2682" s="1"/>
      <c r="N2682" s="1"/>
      <c r="O2682" s="1"/>
      <c r="P2682" s="1"/>
      <c r="Q2682" s="1"/>
      <c r="R2682" s="1"/>
      <c r="S2682" s="1"/>
      <c r="T2682" s="1"/>
      <c r="U2682" s="1"/>
      <c r="V2682" s="1"/>
      <c r="W2682" s="1"/>
      <c r="X2682" s="1"/>
      <c r="Y2682" s="1"/>
      <c r="Z2682" s="1"/>
      <c r="AA2682" s="1"/>
      <c r="AB2682" s="1"/>
    </row>
    <row r="2683" ht="50.25" customHeight="1">
      <c r="A2683" s="12">
        <v>2679.0</v>
      </c>
      <c r="B2683" s="13" t="s">
        <v>2624</v>
      </c>
      <c r="C2683" s="14" t="s">
        <v>2697</v>
      </c>
      <c r="D2683" s="1"/>
      <c r="E2683" s="1"/>
      <c r="F2683" s="1" t="str">
        <f>IFERROR(__xludf.DUMMYFUNCTION("GOOGLETRANSLATE(B2683, ""en"", ""fa"")
"),"نویسندگی و داستان سرایی را تحریک می کند")</f>
        <v>نویسندگی و داستان سرایی را تحریک می کند</v>
      </c>
      <c r="G2683" s="1" t="str">
        <f>IFERROR(__xludf.DUMMYFUNCTION("GOOGLETRANSLATE(C2683, ""en"", ""fa"")
"),"صحنه ای را بنویسید که در آن گروهی از طردشدگان با توانایی های منحصر به فرد تیمی را تشکیل می دهند تا از جهان در برابر عذاب قریب الوقوع محافظت کنند.")</f>
        <v>صحنه ای را بنویسید که در آن گروهی از طردشدگان با توانایی های منحصر به فرد تیمی را تشکیل می دهند تا از جهان در برابر عذاب قریب الوقوع محافظت کنند.</v>
      </c>
      <c r="H2683" s="1"/>
      <c r="I2683" s="1"/>
      <c r="J2683" s="1"/>
      <c r="K2683" s="1"/>
      <c r="L2683" s="1"/>
      <c r="M2683" s="1"/>
      <c r="N2683" s="1"/>
      <c r="O2683" s="1"/>
      <c r="P2683" s="1"/>
      <c r="Q2683" s="1"/>
      <c r="R2683" s="1"/>
      <c r="S2683" s="1"/>
      <c r="T2683" s="1"/>
      <c r="U2683" s="1"/>
      <c r="V2683" s="1"/>
      <c r="W2683" s="1"/>
      <c r="X2683" s="1"/>
      <c r="Y2683" s="1"/>
      <c r="Z2683" s="1"/>
      <c r="AA2683" s="1"/>
      <c r="AB2683" s="1"/>
    </row>
    <row r="2684" ht="50.25" customHeight="1">
      <c r="A2684" s="12">
        <v>2680.0</v>
      </c>
      <c r="B2684" s="13" t="s">
        <v>2624</v>
      </c>
      <c r="C2684" s="14" t="s">
        <v>2698</v>
      </c>
      <c r="D2684" s="1"/>
      <c r="E2684" s="1"/>
      <c r="F2684" s="1" t="str">
        <f>IFERROR(__xludf.DUMMYFUNCTION("GOOGLETRANSLATE(B2684, ""en"", ""fa"")
"),"نویسندگی و داستان سرایی را تحریک می کند")</f>
        <v>نویسندگی و داستان سرایی را تحریک می کند</v>
      </c>
      <c r="G2684" s="1" t="str">
        <f>IFERROR(__xludf.DUMMYFUNCTION("GOOGLETRANSLATE(C2684, ""en"", ""fa"")
"),"یک آکادمی پنهان را توصیف کنید که در آن جادوگران و جادوگران جوان در هنرهای جادویی آموزش می بینند.")</f>
        <v>یک آکادمی پنهان را توصیف کنید که در آن جادوگران و جادوگران جوان در هنرهای جادویی آموزش می بینند.</v>
      </c>
      <c r="H2684" s="1"/>
      <c r="I2684" s="1"/>
      <c r="J2684" s="1"/>
      <c r="K2684" s="1"/>
      <c r="L2684" s="1"/>
      <c r="M2684" s="1"/>
      <c r="N2684" s="1"/>
      <c r="O2684" s="1"/>
      <c r="P2684" s="1"/>
      <c r="Q2684" s="1"/>
      <c r="R2684" s="1"/>
      <c r="S2684" s="1"/>
      <c r="T2684" s="1"/>
      <c r="U2684" s="1"/>
      <c r="V2684" s="1"/>
      <c r="W2684" s="1"/>
      <c r="X2684" s="1"/>
      <c r="Y2684" s="1"/>
      <c r="Z2684" s="1"/>
      <c r="AA2684" s="1"/>
      <c r="AB2684" s="1"/>
    </row>
    <row r="2685" ht="50.25" customHeight="1">
      <c r="A2685" s="12">
        <v>2681.0</v>
      </c>
      <c r="B2685" s="13" t="s">
        <v>2624</v>
      </c>
      <c r="C2685" s="14" t="s">
        <v>2699</v>
      </c>
      <c r="D2685" s="1"/>
      <c r="E2685" s="1"/>
      <c r="F2685" s="1" t="str">
        <f>IFERROR(__xludf.DUMMYFUNCTION("GOOGLETRANSLATE(B2685, ""en"", ""fa"")
"),"نویسندگی و داستان سرایی را تحریک می کند")</f>
        <v>نویسندگی و داستان سرایی را تحریک می کند</v>
      </c>
      <c r="G2685" s="1" t="str">
        <f>IFERROR(__xludf.DUMMYFUNCTION("GOOGLETRANSLATE(C2685, ""en"", ""fa"")
"),"داستانی در مورد شخصی بنویسید که متوجه می شود او برگزیده ای است که قرار است جهان را از شر باستانی نجات دهد.")</f>
        <v>داستانی در مورد شخصی بنویسید که متوجه می شود او برگزیده ای است که قرار است جهان را از شر باستانی نجات دهد.</v>
      </c>
      <c r="H2685" s="1"/>
      <c r="I2685" s="1"/>
      <c r="J2685" s="1"/>
      <c r="K2685" s="1"/>
      <c r="L2685" s="1"/>
      <c r="M2685" s="1"/>
      <c r="N2685" s="1"/>
      <c r="O2685" s="1"/>
      <c r="P2685" s="1"/>
      <c r="Q2685" s="1"/>
      <c r="R2685" s="1"/>
      <c r="S2685" s="1"/>
      <c r="T2685" s="1"/>
      <c r="U2685" s="1"/>
      <c r="V2685" s="1"/>
      <c r="W2685" s="1"/>
      <c r="X2685" s="1"/>
      <c r="Y2685" s="1"/>
      <c r="Z2685" s="1"/>
      <c r="AA2685" s="1"/>
      <c r="AB2685" s="1"/>
    </row>
    <row r="2686" ht="50.25" customHeight="1">
      <c r="A2686" s="12">
        <v>2682.0</v>
      </c>
      <c r="B2686" s="13" t="s">
        <v>2624</v>
      </c>
      <c r="C2686" s="14" t="s">
        <v>2700</v>
      </c>
      <c r="D2686" s="1"/>
      <c r="E2686" s="1"/>
      <c r="F2686" s="1" t="str">
        <f>IFERROR(__xludf.DUMMYFUNCTION("GOOGLETRANSLATE(B2686, ""en"", ""fa"")
"),"نویسندگی و داستان سرایی را تحریک می کند")</f>
        <v>نویسندگی و داستان سرایی را تحریک می کند</v>
      </c>
      <c r="G2686" s="1" t="str">
        <f>IFERROR(__xludf.DUMMYFUNCTION("GOOGLETRANSLATE(C2686, ""en"", ""fa"")
"),"شخصیتی بسازید که دارای قدرت نامرئی باشد و از آن برای اهداف خوب و شیطانی استفاده کند.")</f>
        <v>شخصیتی بسازید که دارای قدرت نامرئی باشد و از آن برای اهداف خوب و شیطانی استفاده کند.</v>
      </c>
      <c r="H2686" s="1"/>
      <c r="I2686" s="1"/>
      <c r="J2686" s="1"/>
      <c r="K2686" s="1"/>
      <c r="L2686" s="1"/>
      <c r="M2686" s="1"/>
      <c r="N2686" s="1"/>
      <c r="O2686" s="1"/>
      <c r="P2686" s="1"/>
      <c r="Q2686" s="1"/>
      <c r="R2686" s="1"/>
      <c r="S2686" s="1"/>
      <c r="T2686" s="1"/>
      <c r="U2686" s="1"/>
      <c r="V2686" s="1"/>
      <c r="W2686" s="1"/>
      <c r="X2686" s="1"/>
      <c r="Y2686" s="1"/>
      <c r="Z2686" s="1"/>
      <c r="AA2686" s="1"/>
      <c r="AB2686" s="1"/>
    </row>
    <row r="2687" ht="50.25" customHeight="1">
      <c r="A2687" s="12">
        <v>2683.0</v>
      </c>
      <c r="B2687" s="13" t="s">
        <v>2624</v>
      </c>
      <c r="C2687" s="14" t="s">
        <v>2701</v>
      </c>
      <c r="D2687" s="1"/>
      <c r="E2687" s="1"/>
      <c r="F2687" s="1" t="str">
        <f>IFERROR(__xludf.DUMMYFUNCTION("GOOGLETRANSLATE(B2687, ""en"", ""fa"")
"),"نویسندگی و داستان سرایی را تحریک می کند")</f>
        <v>نویسندگی و داستان سرایی را تحریک می کند</v>
      </c>
      <c r="G2687" s="1" t="str">
        <f>IFERROR(__xludf.DUMMYFUNCTION("GOOGLETRANSLATE(C2687, ""en"", ""fa"")
"),"صحنه‌ای را بنویسید که در جامعه‌ای آینده‌نگر اتفاق می‌افتد که در آن فناوری تا حد کنترل رفتار انسان پیشرفت کرده است.")</f>
        <v>صحنه‌ای را بنویسید که در جامعه‌ای آینده‌نگر اتفاق می‌افتد که در آن فناوری تا حد کنترل رفتار انسان پیشرفت کرده است.</v>
      </c>
      <c r="H2687" s="1"/>
      <c r="I2687" s="1"/>
      <c r="J2687" s="1"/>
      <c r="K2687" s="1"/>
      <c r="L2687" s="1"/>
      <c r="M2687" s="1"/>
      <c r="N2687" s="1"/>
      <c r="O2687" s="1"/>
      <c r="P2687" s="1"/>
      <c r="Q2687" s="1"/>
      <c r="R2687" s="1"/>
      <c r="S2687" s="1"/>
      <c r="T2687" s="1"/>
      <c r="U2687" s="1"/>
      <c r="V2687" s="1"/>
      <c r="W2687" s="1"/>
      <c r="X2687" s="1"/>
      <c r="Y2687" s="1"/>
      <c r="Z2687" s="1"/>
      <c r="AA2687" s="1"/>
      <c r="AB2687" s="1"/>
    </row>
    <row r="2688" ht="50.25" customHeight="1">
      <c r="A2688" s="12">
        <v>2684.0</v>
      </c>
      <c r="B2688" s="13" t="s">
        <v>2624</v>
      </c>
      <c r="C2688" s="14" t="s">
        <v>2702</v>
      </c>
      <c r="D2688" s="1"/>
      <c r="E2688" s="1"/>
      <c r="F2688" s="1" t="str">
        <f>IFERROR(__xludf.DUMMYFUNCTION("GOOGLETRANSLATE(B2688, ""en"", ""fa"")
"),"نویسندگی و داستان سرایی را تحریک می کند")</f>
        <v>نویسندگی و داستان سرایی را تحریک می کند</v>
      </c>
      <c r="G2688" s="1" t="str">
        <f>IFERROR(__xludf.DUMMYFUNCTION("GOOGLETRANSLATE(C2688, ""en"", ""fa"")
"),"جهانی را توصیف کنید که در آن موسیقی قدرت دستکاری احساسات و عواقب سوء استفاده از آن را دارد.")</f>
        <v>جهانی را توصیف کنید که در آن موسیقی قدرت دستکاری احساسات و عواقب سوء استفاده از آن را دارد.</v>
      </c>
      <c r="H2688" s="1"/>
      <c r="I2688" s="1"/>
      <c r="J2688" s="1"/>
      <c r="K2688" s="1"/>
      <c r="L2688" s="1"/>
      <c r="M2688" s="1"/>
      <c r="N2688" s="1"/>
      <c r="O2688" s="1"/>
      <c r="P2688" s="1"/>
      <c r="Q2688" s="1"/>
      <c r="R2688" s="1"/>
      <c r="S2688" s="1"/>
      <c r="T2688" s="1"/>
      <c r="U2688" s="1"/>
      <c r="V2688" s="1"/>
      <c r="W2688" s="1"/>
      <c r="X2688" s="1"/>
      <c r="Y2688" s="1"/>
      <c r="Z2688" s="1"/>
      <c r="AA2688" s="1"/>
      <c r="AB2688" s="1"/>
    </row>
    <row r="2689" ht="50.25" customHeight="1">
      <c r="A2689" s="12">
        <v>2685.0</v>
      </c>
      <c r="B2689" s="13" t="s">
        <v>2624</v>
      </c>
      <c r="C2689" s="14" t="s">
        <v>2703</v>
      </c>
      <c r="D2689" s="1"/>
      <c r="E2689" s="1"/>
      <c r="F2689" s="1" t="str">
        <f>IFERROR(__xludf.DUMMYFUNCTION("GOOGLETRANSLATE(B2689, ""en"", ""fa"")
"),"نویسندگی و داستان سرایی را تحریک می کند")</f>
        <v>نویسندگی و داستان سرایی را تحریک می کند</v>
      </c>
      <c r="G2689" s="1" t="str">
        <f>IFERROR(__xludf.DUMMYFUNCTION("GOOGLETRANSLATE(C2689, ""en"", ""fa"")
"),"داستانی در مورد شخصی بنویسید که می تواند با گیاهان ارتباط برقرار کند و از این موهبت برای بازگرداندن تعادل طبیعت استفاده می کند.")</f>
        <v>داستانی در مورد شخصی بنویسید که می تواند با گیاهان ارتباط برقرار کند و از این موهبت برای بازگرداندن تعادل طبیعت استفاده می کند.</v>
      </c>
      <c r="H2689" s="1"/>
      <c r="I2689" s="1"/>
      <c r="J2689" s="1"/>
      <c r="K2689" s="1"/>
      <c r="L2689" s="1"/>
      <c r="M2689" s="1"/>
      <c r="N2689" s="1"/>
      <c r="O2689" s="1"/>
      <c r="P2689" s="1"/>
      <c r="Q2689" s="1"/>
      <c r="R2689" s="1"/>
      <c r="S2689" s="1"/>
      <c r="T2689" s="1"/>
      <c r="U2689" s="1"/>
      <c r="V2689" s="1"/>
      <c r="W2689" s="1"/>
      <c r="X2689" s="1"/>
      <c r="Y2689" s="1"/>
      <c r="Z2689" s="1"/>
      <c r="AA2689" s="1"/>
      <c r="AB2689" s="1"/>
    </row>
    <row r="2690" ht="50.25" customHeight="1">
      <c r="A2690" s="12">
        <v>2686.0</v>
      </c>
      <c r="B2690" s="13" t="s">
        <v>2624</v>
      </c>
      <c r="C2690" s="14" t="s">
        <v>2704</v>
      </c>
      <c r="D2690" s="1"/>
      <c r="E2690" s="1"/>
      <c r="F2690" s="1" t="str">
        <f>IFERROR(__xludf.DUMMYFUNCTION("GOOGLETRANSLATE(B2690, ""en"", ""fa"")
"),"نویسندگی و داستان سرایی را تحریک می کند")</f>
        <v>نویسندگی و داستان سرایی را تحریک می کند</v>
      </c>
      <c r="G2690" s="1" t="str">
        <f>IFERROR(__xludf.DUMMYFUNCTION("GOOGLETRANSLATE(C2690, ""en"", ""fa"")
"),"شخصیتی بسازید که بتواند وارد نقاشی ها شود و با شخصیت های درون آن ها تعامل داشته باشد.")</f>
        <v>شخصیتی بسازید که بتواند وارد نقاشی ها شود و با شخصیت های درون آن ها تعامل داشته باشد.</v>
      </c>
      <c r="H2690" s="1"/>
      <c r="I2690" s="1"/>
      <c r="J2690" s="1"/>
      <c r="K2690" s="1"/>
      <c r="L2690" s="1"/>
      <c r="M2690" s="1"/>
      <c r="N2690" s="1"/>
      <c r="O2690" s="1"/>
      <c r="P2690" s="1"/>
      <c r="Q2690" s="1"/>
      <c r="R2690" s="1"/>
      <c r="S2690" s="1"/>
      <c r="T2690" s="1"/>
      <c r="U2690" s="1"/>
      <c r="V2690" s="1"/>
      <c r="W2690" s="1"/>
      <c r="X2690" s="1"/>
      <c r="Y2690" s="1"/>
      <c r="Z2690" s="1"/>
      <c r="AA2690" s="1"/>
      <c r="AB2690" s="1"/>
    </row>
    <row r="2691" ht="50.25" customHeight="1">
      <c r="A2691" s="12">
        <v>2687.0</v>
      </c>
      <c r="B2691" s="13" t="s">
        <v>2624</v>
      </c>
      <c r="C2691" s="14" t="s">
        <v>2705</v>
      </c>
      <c r="D2691" s="1"/>
      <c r="E2691" s="1"/>
      <c r="F2691" s="1" t="str">
        <f>IFERROR(__xludf.DUMMYFUNCTION("GOOGLETRANSLATE(B2691, ""en"", ""fa"")
"),"نویسندگی و داستان سرایی را تحریک می کند")</f>
        <v>نویسندگی و داستان سرایی را تحریک می کند</v>
      </c>
      <c r="G2691" s="1" t="str">
        <f>IFERROR(__xludf.DUMMYFUNCTION("GOOGLETRANSLATE(C2691, ""en"", ""fa"")
"),"صحنه ای را بنویسید که در آن گروهی از کاوشگران به تمدن گمشده ای که در اعماق جنگل ها پنهان شده است برخورد می کنند.")</f>
        <v>صحنه ای را بنویسید که در آن گروهی از کاوشگران به تمدن گمشده ای که در اعماق جنگل ها پنهان شده است برخورد می کنند.</v>
      </c>
      <c r="H2691" s="1"/>
      <c r="I2691" s="1"/>
      <c r="J2691" s="1"/>
      <c r="K2691" s="1"/>
      <c r="L2691" s="1"/>
      <c r="M2691" s="1"/>
      <c r="N2691" s="1"/>
      <c r="O2691" s="1"/>
      <c r="P2691" s="1"/>
      <c r="Q2691" s="1"/>
      <c r="R2691" s="1"/>
      <c r="S2691" s="1"/>
      <c r="T2691" s="1"/>
      <c r="U2691" s="1"/>
      <c r="V2691" s="1"/>
      <c r="W2691" s="1"/>
      <c r="X2691" s="1"/>
      <c r="Y2691" s="1"/>
      <c r="Z2691" s="1"/>
      <c r="AA2691" s="1"/>
      <c r="AB2691" s="1"/>
    </row>
    <row r="2692" ht="50.25" customHeight="1">
      <c r="A2692" s="12">
        <v>2688.0</v>
      </c>
      <c r="B2692" s="13" t="s">
        <v>2624</v>
      </c>
      <c r="C2692" s="14" t="s">
        <v>2706</v>
      </c>
      <c r="D2692" s="1"/>
      <c r="E2692" s="1"/>
      <c r="F2692" s="1" t="str">
        <f>IFERROR(__xludf.DUMMYFUNCTION("GOOGLETRANSLATE(B2692, ""en"", ""fa"")
"),"نویسندگی و داستان سرایی را تحریک می کند")</f>
        <v>نویسندگی و داستان سرایی را تحریک می کند</v>
      </c>
      <c r="G2692" s="1" t="str">
        <f>IFERROR(__xludf.DUMMYFUNCTION("GOOGLETRANSLATE(C2692, ""en"", ""fa"")
"),"جامعه‌ای پنهان از تغییر شکل‌دهنده‌ها را توصیف کنید که در میان انسان‌ها زندگی می‌کنند و تعادل ظریفی را بین دو جهان دنبال می‌کنند.")</f>
        <v>جامعه‌ای پنهان از تغییر شکل‌دهنده‌ها را توصیف کنید که در میان انسان‌ها زندگی می‌کنند و تعادل ظریفی را بین دو جهان دنبال می‌کنند.</v>
      </c>
      <c r="H2692" s="1"/>
      <c r="I2692" s="1"/>
      <c r="J2692" s="1"/>
      <c r="K2692" s="1"/>
      <c r="L2692" s="1"/>
      <c r="M2692" s="1"/>
      <c r="N2692" s="1"/>
      <c r="O2692" s="1"/>
      <c r="P2692" s="1"/>
      <c r="Q2692" s="1"/>
      <c r="R2692" s="1"/>
      <c r="S2692" s="1"/>
      <c r="T2692" s="1"/>
      <c r="U2692" s="1"/>
      <c r="V2692" s="1"/>
      <c r="W2692" s="1"/>
      <c r="X2692" s="1"/>
      <c r="Y2692" s="1"/>
      <c r="Z2692" s="1"/>
      <c r="AA2692" s="1"/>
      <c r="AB2692" s="1"/>
    </row>
    <row r="2693" ht="50.25" customHeight="1">
      <c r="A2693" s="12">
        <v>2689.0</v>
      </c>
      <c r="B2693" s="13" t="s">
        <v>2624</v>
      </c>
      <c r="C2693" s="14" t="s">
        <v>2707</v>
      </c>
      <c r="D2693" s="1"/>
      <c r="E2693" s="1"/>
      <c r="F2693" s="1" t="str">
        <f>IFERROR(__xludf.DUMMYFUNCTION("GOOGLETRANSLATE(B2693, ""en"", ""fa"")
"),"نویسندگی و داستان سرایی را تحریک می کند")</f>
        <v>نویسندگی و داستان سرایی را تحریک می کند</v>
      </c>
      <c r="G2693" s="1" t="str">
        <f>IFERROR(__xludf.DUMMYFUNCTION("GOOGLETRANSLATE(C2693, ""en"", ""fa"")
"),"داستانی در مورد شخصی بنویسید که متوجه می شود می تواند تار و پود واقعیت را دستکاری کند.")</f>
        <v>داستانی در مورد شخصی بنویسید که متوجه می شود می تواند تار و پود واقعیت را دستکاری کند.</v>
      </c>
      <c r="H2693" s="1"/>
      <c r="I2693" s="1"/>
      <c r="J2693" s="1"/>
      <c r="K2693" s="1"/>
      <c r="L2693" s="1"/>
      <c r="M2693" s="1"/>
      <c r="N2693" s="1"/>
      <c r="O2693" s="1"/>
      <c r="P2693" s="1"/>
      <c r="Q2693" s="1"/>
      <c r="R2693" s="1"/>
      <c r="S2693" s="1"/>
      <c r="T2693" s="1"/>
      <c r="U2693" s="1"/>
      <c r="V2693" s="1"/>
      <c r="W2693" s="1"/>
      <c r="X2693" s="1"/>
      <c r="Y2693" s="1"/>
      <c r="Z2693" s="1"/>
      <c r="AA2693" s="1"/>
      <c r="AB2693" s="1"/>
    </row>
    <row r="2694" ht="50.25" customHeight="1">
      <c r="A2694" s="12">
        <v>2690.0</v>
      </c>
      <c r="B2694" s="13" t="s">
        <v>2624</v>
      </c>
      <c r="C2694" s="14" t="s">
        <v>2708</v>
      </c>
      <c r="D2694" s="1"/>
      <c r="E2694" s="1"/>
      <c r="F2694" s="1" t="str">
        <f>IFERROR(__xludf.DUMMYFUNCTION("GOOGLETRANSLATE(B2694, ""en"", ""fa"")
"),"نویسندگی و داستان سرایی را تحریک می کند")</f>
        <v>نویسندگی و داستان سرایی را تحریک می کند</v>
      </c>
      <c r="G2694" s="1" t="str">
        <f>IFERROR(__xludf.DUMMYFUNCTION("GOOGLETRANSLATE(C2694, ""en"", ""fa"")
"),"شخصیتی بسازید که بتواند افکار مردم را بشنود اما برای حفظ هویت خود تلاش می کند.")</f>
        <v>شخصیتی بسازید که بتواند افکار مردم را بشنود اما برای حفظ هویت خود تلاش می کند.</v>
      </c>
      <c r="H2694" s="1"/>
      <c r="I2694" s="1"/>
      <c r="J2694" s="1"/>
      <c r="K2694" s="1"/>
      <c r="L2694" s="1"/>
      <c r="M2694" s="1"/>
      <c r="N2694" s="1"/>
      <c r="O2694" s="1"/>
      <c r="P2694" s="1"/>
      <c r="Q2694" s="1"/>
      <c r="R2694" s="1"/>
      <c r="S2694" s="1"/>
      <c r="T2694" s="1"/>
      <c r="U2694" s="1"/>
      <c r="V2694" s="1"/>
      <c r="W2694" s="1"/>
      <c r="X2694" s="1"/>
      <c r="Y2694" s="1"/>
      <c r="Z2694" s="1"/>
      <c r="AA2694" s="1"/>
      <c r="AB2694" s="1"/>
    </row>
    <row r="2695" ht="50.25" customHeight="1">
      <c r="A2695" s="12">
        <v>2691.0</v>
      </c>
      <c r="B2695" s="13" t="s">
        <v>2624</v>
      </c>
      <c r="C2695" s="14" t="s">
        <v>2709</v>
      </c>
      <c r="D2695" s="1"/>
      <c r="E2695" s="1"/>
      <c r="F2695" s="1" t="str">
        <f>IFERROR(__xludf.DUMMYFUNCTION("GOOGLETRANSLATE(B2695, ""en"", ""fa"")
"),"نویسندگی و داستان سرایی را تحریک می کند")</f>
        <v>نویسندگی و داستان سرایی را تحریک می کند</v>
      </c>
      <c r="G2695" s="1" t="str">
        <f>IFERROR(__xludf.DUMMYFUNCTION("GOOGLETRANSLATE(C2695, ""en"", ""fa"")
"),"صحنه‌ای بنویسید که در آن یک روزنامه‌نگار از توطئه‌ای جهانی برملا می‌کند که تهدید می‌کند جهان را به شکلی که ما می‌شناسیم تغییر دهد.")</f>
        <v>صحنه‌ای بنویسید که در آن یک روزنامه‌نگار از توطئه‌ای جهانی برملا می‌کند که تهدید می‌کند جهان را به شکلی که ما می‌شناسیم تغییر دهد.</v>
      </c>
      <c r="H2695" s="1"/>
      <c r="I2695" s="1"/>
      <c r="J2695" s="1"/>
      <c r="K2695" s="1"/>
      <c r="L2695" s="1"/>
      <c r="M2695" s="1"/>
      <c r="N2695" s="1"/>
      <c r="O2695" s="1"/>
      <c r="P2695" s="1"/>
      <c r="Q2695" s="1"/>
      <c r="R2695" s="1"/>
      <c r="S2695" s="1"/>
      <c r="T2695" s="1"/>
      <c r="U2695" s="1"/>
      <c r="V2695" s="1"/>
      <c r="W2695" s="1"/>
      <c r="X2695" s="1"/>
      <c r="Y2695" s="1"/>
      <c r="Z2695" s="1"/>
      <c r="AA2695" s="1"/>
      <c r="AB2695" s="1"/>
    </row>
    <row r="2696" ht="50.25" customHeight="1">
      <c r="A2696" s="12">
        <v>2692.0</v>
      </c>
      <c r="B2696" s="13" t="s">
        <v>2624</v>
      </c>
      <c r="C2696" s="14" t="s">
        <v>2710</v>
      </c>
      <c r="D2696" s="1"/>
      <c r="E2696" s="1"/>
      <c r="F2696" s="1" t="str">
        <f>IFERROR(__xludf.DUMMYFUNCTION("GOOGLETRANSLATE(B2696, ""en"", ""fa"")
"),"نویسندگی و داستان سرایی را تحریک می کند")</f>
        <v>نویسندگی و داستان سرایی را تحریک می کند</v>
      </c>
      <c r="G2696" s="1" t="str">
        <f>IFERROR(__xludf.DUMMYFUNCTION("GOOGLETRANSLATE(C2696, ""en"", ""fa"")
"),"جامعه ای را که در آن رویاها برداشت می شود و به عنوان منبع انرژی استفاده می شود و پیامدهای آن بر رویاپردازان را توصیف کنید.")</f>
        <v>جامعه ای را که در آن رویاها برداشت می شود و به عنوان منبع انرژی استفاده می شود و پیامدهای آن بر رویاپردازان را توصیف کنید.</v>
      </c>
      <c r="H2696" s="1"/>
      <c r="I2696" s="1"/>
      <c r="J2696" s="1"/>
      <c r="K2696" s="1"/>
      <c r="L2696" s="1"/>
      <c r="M2696" s="1"/>
      <c r="N2696" s="1"/>
      <c r="O2696" s="1"/>
      <c r="P2696" s="1"/>
      <c r="Q2696" s="1"/>
      <c r="R2696" s="1"/>
      <c r="S2696" s="1"/>
      <c r="T2696" s="1"/>
      <c r="U2696" s="1"/>
      <c r="V2696" s="1"/>
      <c r="W2696" s="1"/>
      <c r="X2696" s="1"/>
      <c r="Y2696" s="1"/>
      <c r="Z2696" s="1"/>
      <c r="AA2696" s="1"/>
      <c r="AB2696" s="1"/>
    </row>
    <row r="2697" ht="50.25" customHeight="1">
      <c r="A2697" s="12">
        <v>2693.0</v>
      </c>
      <c r="B2697" s="13" t="s">
        <v>2624</v>
      </c>
      <c r="C2697" s="14" t="s">
        <v>2711</v>
      </c>
      <c r="D2697" s="1"/>
      <c r="E2697" s="1"/>
      <c r="F2697" s="1" t="str">
        <f>IFERROR(__xludf.DUMMYFUNCTION("GOOGLETRANSLATE(B2697, ""en"", ""fa"")
"),"نویسندگی و داستان سرایی را تحریک می کند")</f>
        <v>نویسندگی و داستان سرایی را تحریک می کند</v>
      </c>
      <c r="G2697" s="1" t="str">
        <f>IFERROR(__xludf.DUMMYFUNCTION("GOOGLETRANSLATE(C2697, ""en"", ""fa"")
"),"داستانی در مورد شخصی بنویسید که توانایی بازگرداندن شخصیت های تاریخی را به طور موقت دارد.")</f>
        <v>داستانی در مورد شخصی بنویسید که توانایی بازگرداندن شخصیت های تاریخی را به طور موقت دارد.</v>
      </c>
      <c r="H2697" s="1"/>
      <c r="I2697" s="1"/>
      <c r="J2697" s="1"/>
      <c r="K2697" s="1"/>
      <c r="L2697" s="1"/>
      <c r="M2697" s="1"/>
      <c r="N2697" s="1"/>
      <c r="O2697" s="1"/>
      <c r="P2697" s="1"/>
      <c r="Q2697" s="1"/>
      <c r="R2697" s="1"/>
      <c r="S2697" s="1"/>
      <c r="T2697" s="1"/>
      <c r="U2697" s="1"/>
      <c r="V2697" s="1"/>
      <c r="W2697" s="1"/>
      <c r="X2697" s="1"/>
      <c r="Y2697" s="1"/>
      <c r="Z2697" s="1"/>
      <c r="AA2697" s="1"/>
      <c r="AB2697" s="1"/>
    </row>
    <row r="2698" ht="50.25" customHeight="1">
      <c r="A2698" s="12">
        <v>2694.0</v>
      </c>
      <c r="B2698" s="13" t="s">
        <v>2624</v>
      </c>
      <c r="C2698" s="14" t="s">
        <v>2712</v>
      </c>
      <c r="D2698" s="1"/>
      <c r="E2698" s="1"/>
      <c r="F2698" s="1" t="str">
        <f>IFERROR(__xludf.DUMMYFUNCTION("GOOGLETRANSLATE(B2698, ""en"", ""fa"")
"),"نویسندگی و داستان سرایی را تحریک می کند")</f>
        <v>نویسندگی و داستان سرایی را تحریک می کند</v>
      </c>
      <c r="G2698" s="1" t="str">
        <f>IFERROR(__xludf.DUMMYFUNCTION("GOOGLETRANSLATE(C2698, ""en"", ""fa"")
"),"شخصیتی بسازید که بتواند آتش را کنترل و دستکاری کند، اما باید یاد بگیرد که خلق و خوی آتشین خود را کنترل کند.")</f>
        <v>شخصیتی بسازید که بتواند آتش را کنترل و دستکاری کند، اما باید یاد بگیرد که خلق و خوی آتشین خود را کنترل کند.</v>
      </c>
      <c r="H2698" s="1"/>
      <c r="I2698" s="1"/>
      <c r="J2698" s="1"/>
      <c r="K2698" s="1"/>
      <c r="L2698" s="1"/>
      <c r="M2698" s="1"/>
      <c r="N2698" s="1"/>
      <c r="O2698" s="1"/>
      <c r="P2698" s="1"/>
      <c r="Q2698" s="1"/>
      <c r="R2698" s="1"/>
      <c r="S2698" s="1"/>
      <c r="T2698" s="1"/>
      <c r="U2698" s="1"/>
      <c r="V2698" s="1"/>
      <c r="W2698" s="1"/>
      <c r="X2698" s="1"/>
      <c r="Y2698" s="1"/>
      <c r="Z2698" s="1"/>
      <c r="AA2698" s="1"/>
      <c r="AB2698" s="1"/>
    </row>
    <row r="2699" ht="50.25" customHeight="1">
      <c r="A2699" s="12">
        <v>2695.0</v>
      </c>
      <c r="B2699" s="13" t="s">
        <v>2624</v>
      </c>
      <c r="C2699" s="14" t="s">
        <v>2713</v>
      </c>
      <c r="D2699" s="1"/>
      <c r="E2699" s="1"/>
      <c r="F2699" s="1" t="str">
        <f>IFERROR(__xludf.DUMMYFUNCTION("GOOGLETRANSLATE(B2699, ""en"", ""fa"")
"),"نویسندگی و داستان سرایی را تحریک می کند")</f>
        <v>نویسندگی و داستان سرایی را تحریک می کند</v>
      </c>
      <c r="G2699" s="1" t="str">
        <f>IFERROR(__xludf.DUMMYFUNCTION("GOOGLETRANSLATE(C2699, ""en"", ""fa"")
"),"صحنه ای را بنویسید که در آینده ای دور اتفاق می افتد که در آن انسان ها سیارات دیگر را مستعمره کرده اند و درگیری های بین سیاره ای به وجود می آید.")</f>
        <v>صحنه ای را بنویسید که در آینده ای دور اتفاق می افتد که در آن انسان ها سیارات دیگر را مستعمره کرده اند و درگیری های بین سیاره ای به وجود می آید.</v>
      </c>
      <c r="H2699" s="1"/>
      <c r="I2699" s="1"/>
      <c r="J2699" s="1"/>
      <c r="K2699" s="1"/>
      <c r="L2699" s="1"/>
      <c r="M2699" s="1"/>
      <c r="N2699" s="1"/>
      <c r="O2699" s="1"/>
      <c r="P2699" s="1"/>
      <c r="Q2699" s="1"/>
      <c r="R2699" s="1"/>
      <c r="S2699" s="1"/>
      <c r="T2699" s="1"/>
      <c r="U2699" s="1"/>
      <c r="V2699" s="1"/>
      <c r="W2699" s="1"/>
      <c r="X2699" s="1"/>
      <c r="Y2699" s="1"/>
      <c r="Z2699" s="1"/>
      <c r="AA2699" s="1"/>
      <c r="AB2699" s="1"/>
    </row>
    <row r="2700" ht="50.25" customHeight="1">
      <c r="A2700" s="12">
        <v>2696.0</v>
      </c>
      <c r="B2700" s="13" t="s">
        <v>2624</v>
      </c>
      <c r="C2700" s="14" t="s">
        <v>2714</v>
      </c>
      <c r="D2700" s="1"/>
      <c r="E2700" s="1"/>
      <c r="F2700" s="1" t="str">
        <f>IFERROR(__xludf.DUMMYFUNCTION("GOOGLETRANSLATE(B2700, ""en"", ""fa"")
"),"نویسندگی و داستان سرایی را تحریک می کند")</f>
        <v>نویسندگی و داستان سرایی را تحریک می کند</v>
      </c>
      <c r="G2700" s="1" t="str">
        <f>IFERROR(__xludf.DUMMYFUNCTION("GOOGLETRANSLATE(C2700, ""en"", ""fa"")
"),"پناهگاهی را توصیف کنید که موجودات افسانه ای در آن از دنیای انسان ها پناه می برند.")</f>
        <v>پناهگاهی را توصیف کنید که موجودات افسانه ای در آن از دنیای انسان ها پناه می برند.</v>
      </c>
      <c r="H2700" s="1"/>
      <c r="I2700" s="1"/>
      <c r="J2700" s="1"/>
      <c r="K2700" s="1"/>
      <c r="L2700" s="1"/>
      <c r="M2700" s="1"/>
      <c r="N2700" s="1"/>
      <c r="O2700" s="1"/>
      <c r="P2700" s="1"/>
      <c r="Q2700" s="1"/>
      <c r="R2700" s="1"/>
      <c r="S2700" s="1"/>
      <c r="T2700" s="1"/>
      <c r="U2700" s="1"/>
      <c r="V2700" s="1"/>
      <c r="W2700" s="1"/>
      <c r="X2700" s="1"/>
      <c r="Y2700" s="1"/>
      <c r="Z2700" s="1"/>
      <c r="AA2700" s="1"/>
      <c r="AB2700" s="1"/>
    </row>
    <row r="2701" ht="50.25" customHeight="1">
      <c r="A2701" s="12">
        <v>2697.0</v>
      </c>
      <c r="B2701" s="13" t="s">
        <v>2624</v>
      </c>
      <c r="C2701" s="14" t="s">
        <v>2715</v>
      </c>
      <c r="D2701" s="1"/>
      <c r="E2701" s="1"/>
      <c r="F2701" s="1" t="str">
        <f>IFERROR(__xludf.DUMMYFUNCTION("GOOGLETRANSLATE(B2701, ""en"", ""fa"")
"),"نویسندگی و داستان سرایی را تحریک می کند")</f>
        <v>نویسندگی و داستان سرایی را تحریک می کند</v>
      </c>
      <c r="G2701" s="1" t="str">
        <f>IFERROR(__xludf.DUMMYFUNCTION("GOOGLETRANSLATE(C2701, ""en"", ""fa"")
"),"داستانی در مورد شخصی بنویسید که می تواند اجمالی از جهان های موازی و امکاناتی که ارائه می دهند ببیند.")</f>
        <v>داستانی در مورد شخصی بنویسید که می تواند اجمالی از جهان های موازی و امکاناتی که ارائه می دهند ببیند.</v>
      </c>
      <c r="H2701" s="1"/>
      <c r="I2701" s="1"/>
      <c r="J2701" s="1"/>
      <c r="K2701" s="1"/>
      <c r="L2701" s="1"/>
      <c r="M2701" s="1"/>
      <c r="N2701" s="1"/>
      <c r="O2701" s="1"/>
      <c r="P2701" s="1"/>
      <c r="Q2701" s="1"/>
      <c r="R2701" s="1"/>
      <c r="S2701" s="1"/>
      <c r="T2701" s="1"/>
      <c r="U2701" s="1"/>
      <c r="V2701" s="1"/>
      <c r="W2701" s="1"/>
      <c r="X2701" s="1"/>
      <c r="Y2701" s="1"/>
      <c r="Z2701" s="1"/>
      <c r="AA2701" s="1"/>
      <c r="AB2701" s="1"/>
    </row>
    <row r="2702" ht="50.25" customHeight="1">
      <c r="A2702" s="12">
        <v>2698.0</v>
      </c>
      <c r="B2702" s="13" t="s">
        <v>2624</v>
      </c>
      <c r="C2702" s="14" t="s">
        <v>2716</v>
      </c>
      <c r="D2702" s="1"/>
      <c r="E2702" s="1"/>
      <c r="F2702" s="1" t="str">
        <f>IFERROR(__xludf.DUMMYFUNCTION("GOOGLETRANSLATE(B2702, ""en"", ""fa"")
"),"نویسندگی و داستان سرایی را تحریک می کند")</f>
        <v>نویسندگی و داستان سرایی را تحریک می کند</v>
      </c>
      <c r="G2702" s="1" t="str">
        <f>IFERROR(__xludf.DUMMYFUNCTION("GOOGLETRANSLATE(C2702, ""en"", ""fa"")
"),"شخصیتی بسازید که بتواند با مردگان ارتباط برقرار کند و پلی بین زنده ها و زندگی پس از مرگ باشد.")</f>
        <v>شخصیتی بسازید که بتواند با مردگان ارتباط برقرار کند و پلی بین زنده ها و زندگی پس از مرگ باشد.</v>
      </c>
      <c r="H2702" s="1"/>
      <c r="I2702" s="1"/>
      <c r="J2702" s="1"/>
      <c r="K2702" s="1"/>
      <c r="L2702" s="1"/>
      <c r="M2702" s="1"/>
      <c r="N2702" s="1"/>
      <c r="O2702" s="1"/>
      <c r="P2702" s="1"/>
      <c r="Q2702" s="1"/>
      <c r="R2702" s="1"/>
      <c r="S2702" s="1"/>
      <c r="T2702" s="1"/>
      <c r="U2702" s="1"/>
      <c r="V2702" s="1"/>
      <c r="W2702" s="1"/>
      <c r="X2702" s="1"/>
      <c r="Y2702" s="1"/>
      <c r="Z2702" s="1"/>
      <c r="AA2702" s="1"/>
      <c r="AB2702" s="1"/>
    </row>
    <row r="2703" ht="50.25" customHeight="1">
      <c r="A2703" s="12">
        <v>2699.0</v>
      </c>
      <c r="B2703" s="13" t="s">
        <v>2624</v>
      </c>
      <c r="C2703" s="14" t="s">
        <v>2717</v>
      </c>
      <c r="D2703" s="1"/>
      <c r="E2703" s="1"/>
      <c r="F2703" s="1" t="str">
        <f>IFERROR(__xludf.DUMMYFUNCTION("GOOGLETRANSLATE(B2703, ""en"", ""fa"")
"),"نویسندگی و داستان سرایی را تحریک می کند")</f>
        <v>نویسندگی و داستان سرایی را تحریک می کند</v>
      </c>
      <c r="G2703" s="1" t="str">
        <f>IFERROR(__xludf.DUMMYFUNCTION("GOOGLETRANSLATE(C2703, ""en"", ""fa"")
"),"صحنه ای را بنویسید که در آن گروهی از ماجراجویان برای یافتن یک مصنوع افسانه ای با قدرت های غیرقابل تصور تلاش می کنند.")</f>
        <v>صحنه ای را بنویسید که در آن گروهی از ماجراجویان برای یافتن یک مصنوع افسانه ای با قدرت های غیرقابل تصور تلاش می کنند.</v>
      </c>
      <c r="H2703" s="1"/>
      <c r="I2703" s="1"/>
      <c r="J2703" s="1"/>
      <c r="K2703" s="1"/>
      <c r="L2703" s="1"/>
      <c r="M2703" s="1"/>
      <c r="N2703" s="1"/>
      <c r="O2703" s="1"/>
      <c r="P2703" s="1"/>
      <c r="Q2703" s="1"/>
      <c r="R2703" s="1"/>
      <c r="S2703" s="1"/>
      <c r="T2703" s="1"/>
      <c r="U2703" s="1"/>
      <c r="V2703" s="1"/>
      <c r="W2703" s="1"/>
      <c r="X2703" s="1"/>
      <c r="Y2703" s="1"/>
      <c r="Z2703" s="1"/>
      <c r="AA2703" s="1"/>
      <c r="AB2703" s="1"/>
    </row>
    <row r="2704" ht="50.25" customHeight="1">
      <c r="A2704" s="12">
        <v>2700.0</v>
      </c>
      <c r="B2704" s="13" t="s">
        <v>2624</v>
      </c>
      <c r="C2704" s="14" t="s">
        <v>2718</v>
      </c>
      <c r="D2704" s="1"/>
      <c r="E2704" s="1"/>
      <c r="F2704" s="1" t="str">
        <f>IFERROR(__xludf.DUMMYFUNCTION("GOOGLETRANSLATE(B2704, ""en"", ""fa"")
"),"نویسندگی و داستان سرایی را تحریک می کند")</f>
        <v>نویسندگی و داستان سرایی را تحریک می کند</v>
      </c>
      <c r="G2704" s="1" t="str">
        <f>IFERROR(__xludf.DUMMYFUNCTION("GOOGLETRANSLATE(C2704, ""en"", ""fa"")
"),"جامعه ای را که می توان خاطرات مردم را استخراج و داد و ستد کرد و پیامدهای اخلاقی آن را توصیف کنید.")</f>
        <v>جامعه ای را که می توان خاطرات مردم را استخراج و داد و ستد کرد و پیامدهای اخلاقی آن را توصیف کنید.</v>
      </c>
      <c r="H2704" s="1"/>
      <c r="I2704" s="1"/>
      <c r="J2704" s="1"/>
      <c r="K2704" s="1"/>
      <c r="L2704" s="1"/>
      <c r="M2704" s="1"/>
      <c r="N2704" s="1"/>
      <c r="O2704" s="1"/>
      <c r="P2704" s="1"/>
      <c r="Q2704" s="1"/>
      <c r="R2704" s="1"/>
      <c r="S2704" s="1"/>
      <c r="T2704" s="1"/>
      <c r="U2704" s="1"/>
      <c r="V2704" s="1"/>
      <c r="W2704" s="1"/>
      <c r="X2704" s="1"/>
      <c r="Y2704" s="1"/>
      <c r="Z2704" s="1"/>
      <c r="AA2704" s="1"/>
      <c r="AB2704" s="1"/>
    </row>
    <row r="2705" ht="50.25" customHeight="1">
      <c r="A2705" s="12">
        <v>2701.0</v>
      </c>
      <c r="B2705" s="13" t="s">
        <v>2624</v>
      </c>
      <c r="C2705" s="14" t="s">
        <v>2719</v>
      </c>
      <c r="D2705" s="1"/>
      <c r="E2705" s="1"/>
      <c r="F2705" s="1" t="str">
        <f>IFERROR(__xludf.DUMMYFUNCTION("GOOGLETRANSLATE(B2705, ""en"", ""fa"")
"),"نویسندگی و داستان سرایی را تحریک می کند")</f>
        <v>نویسندگی و داستان سرایی را تحریک می کند</v>
      </c>
      <c r="G2705" s="1" t="str">
        <f>IFERROR(__xludf.DUMMYFUNCTION("GOOGLETRANSLATE(C2705, ""en"", ""fa"")
"),"داستانی در مورد شخصی بنویسید که دارای قدرت تله پاتی است و نقشه شومی را در ذهن خود کشف می کند.")</f>
        <v>داستانی در مورد شخصی بنویسید که دارای قدرت تله پاتی است و نقشه شومی را در ذهن خود کشف می کند.</v>
      </c>
      <c r="H2705" s="1"/>
      <c r="I2705" s="1"/>
      <c r="J2705" s="1"/>
      <c r="K2705" s="1"/>
      <c r="L2705" s="1"/>
      <c r="M2705" s="1"/>
      <c r="N2705" s="1"/>
      <c r="O2705" s="1"/>
      <c r="P2705" s="1"/>
      <c r="Q2705" s="1"/>
      <c r="R2705" s="1"/>
      <c r="S2705" s="1"/>
      <c r="T2705" s="1"/>
      <c r="U2705" s="1"/>
      <c r="V2705" s="1"/>
      <c r="W2705" s="1"/>
      <c r="X2705" s="1"/>
      <c r="Y2705" s="1"/>
      <c r="Z2705" s="1"/>
      <c r="AA2705" s="1"/>
      <c r="AB2705" s="1"/>
    </row>
    <row r="2706" ht="50.25" customHeight="1">
      <c r="A2706" s="12">
        <v>2702.0</v>
      </c>
      <c r="B2706" s="13" t="s">
        <v>2624</v>
      </c>
      <c r="C2706" s="14" t="s">
        <v>2720</v>
      </c>
      <c r="D2706" s="1"/>
      <c r="E2706" s="1"/>
      <c r="F2706" s="1" t="str">
        <f>IFERROR(__xludf.DUMMYFUNCTION("GOOGLETRANSLATE(B2706, ""en"", ""fa"")
"),"نویسندگی و داستان سرایی را تحریک می کند")</f>
        <v>نویسندگی و داستان سرایی را تحریک می کند</v>
      </c>
      <c r="G2706" s="1" t="str">
        <f>IFERROR(__xludf.DUMMYFUNCTION("GOOGLETRANSLATE(C2706, ""en"", ""fa"")
"),"شخصیتی بسازید که بتواند زندگی گیاهان را کنترل و دستکاری کند و از آن به عنوان ابزاری قدرتمند استفاده کند.")</f>
        <v>شخصیتی بسازید که بتواند زندگی گیاهان را کنترل و دستکاری کند و از آن به عنوان ابزاری قدرتمند استفاده کند.</v>
      </c>
      <c r="H2706" s="1"/>
      <c r="I2706" s="1"/>
      <c r="J2706" s="1"/>
      <c r="K2706" s="1"/>
      <c r="L2706" s="1"/>
      <c r="M2706" s="1"/>
      <c r="N2706" s="1"/>
      <c r="O2706" s="1"/>
      <c r="P2706" s="1"/>
      <c r="Q2706" s="1"/>
      <c r="R2706" s="1"/>
      <c r="S2706" s="1"/>
      <c r="T2706" s="1"/>
      <c r="U2706" s="1"/>
      <c r="V2706" s="1"/>
      <c r="W2706" s="1"/>
      <c r="X2706" s="1"/>
      <c r="Y2706" s="1"/>
      <c r="Z2706" s="1"/>
      <c r="AA2706" s="1"/>
      <c r="AB2706" s="1"/>
    </row>
    <row r="2707" ht="50.25" customHeight="1">
      <c r="A2707" s="12">
        <v>2703.0</v>
      </c>
      <c r="B2707" s="13" t="s">
        <v>2624</v>
      </c>
      <c r="C2707" s="14" t="s">
        <v>2721</v>
      </c>
      <c r="D2707" s="1"/>
      <c r="E2707" s="1"/>
      <c r="F2707" s="1" t="str">
        <f>IFERROR(__xludf.DUMMYFUNCTION("GOOGLETRANSLATE(B2707, ""en"", ""fa"")
"),"نویسندگی و داستان سرایی را تحریک می کند")</f>
        <v>نویسندگی و داستان سرایی را تحریک می کند</v>
      </c>
      <c r="G2707" s="1" t="str">
        <f>IFERROR(__xludf.DUMMYFUNCTION("GOOGLETRANSLATE(C2707, ""en"", ""fa"")
"),"صحنه ای بنویسید که در آن گروهی از مسافران زمان به طور تصادفی مسیر تاریخ را تغییر می دهند و باید اشتباه خود را برطرف کنند.")</f>
        <v>صحنه ای بنویسید که در آن گروهی از مسافران زمان به طور تصادفی مسیر تاریخ را تغییر می دهند و باید اشتباه خود را برطرف کنند.</v>
      </c>
      <c r="H2707" s="1"/>
      <c r="I2707" s="1"/>
      <c r="J2707" s="1"/>
      <c r="K2707" s="1"/>
      <c r="L2707" s="1"/>
      <c r="M2707" s="1"/>
      <c r="N2707" s="1"/>
      <c r="O2707" s="1"/>
      <c r="P2707" s="1"/>
      <c r="Q2707" s="1"/>
      <c r="R2707" s="1"/>
      <c r="S2707" s="1"/>
      <c r="T2707" s="1"/>
      <c r="U2707" s="1"/>
      <c r="V2707" s="1"/>
      <c r="W2707" s="1"/>
      <c r="X2707" s="1"/>
      <c r="Y2707" s="1"/>
      <c r="Z2707" s="1"/>
      <c r="AA2707" s="1"/>
      <c r="AB2707" s="1"/>
    </row>
    <row r="2708" ht="50.25" customHeight="1">
      <c r="A2708" s="12">
        <v>2704.0</v>
      </c>
      <c r="B2708" s="13" t="s">
        <v>2624</v>
      </c>
      <c r="C2708" s="14" t="s">
        <v>2722</v>
      </c>
      <c r="D2708" s="1"/>
      <c r="E2708" s="1"/>
      <c r="F2708" s="1" t="str">
        <f>IFERROR(__xludf.DUMMYFUNCTION("GOOGLETRANSLATE(B2708, ""en"", ""fa"")
"),"نویسندگی و داستان سرایی را تحریک می کند")</f>
        <v>نویسندگی و داستان سرایی را تحریک می کند</v>
      </c>
      <c r="G2708" s="1" t="str">
        <f>IFERROR(__xludf.DUMMYFUNCTION("GOOGLETRANSLATE(C2708, ""en"", ""fa"")
"),"دنیایی پنهان در یک نقاشی را توصیف کنید که در آن شخصیت ها زنده می شوند و به ماجراجویی های خود می پردازند.")</f>
        <v>دنیایی پنهان در یک نقاشی را توصیف کنید که در آن شخصیت ها زنده می شوند و به ماجراجویی های خود می پردازند.</v>
      </c>
      <c r="H2708" s="1"/>
      <c r="I2708" s="1"/>
      <c r="J2708" s="1"/>
      <c r="K2708" s="1"/>
      <c r="L2708" s="1"/>
      <c r="M2708" s="1"/>
      <c r="N2708" s="1"/>
      <c r="O2708" s="1"/>
      <c r="P2708" s="1"/>
      <c r="Q2708" s="1"/>
      <c r="R2708" s="1"/>
      <c r="S2708" s="1"/>
      <c r="T2708" s="1"/>
      <c r="U2708" s="1"/>
      <c r="V2708" s="1"/>
      <c r="W2708" s="1"/>
      <c r="X2708" s="1"/>
      <c r="Y2708" s="1"/>
      <c r="Z2708" s="1"/>
      <c r="AA2708" s="1"/>
      <c r="AB2708" s="1"/>
    </row>
    <row r="2709" ht="50.25" customHeight="1">
      <c r="A2709" s="12">
        <v>2705.0</v>
      </c>
      <c r="B2709" s="13" t="s">
        <v>2624</v>
      </c>
      <c r="C2709" s="14" t="s">
        <v>2723</v>
      </c>
      <c r="D2709" s="1"/>
      <c r="E2709" s="1"/>
      <c r="F2709" s="1" t="str">
        <f>IFERROR(__xludf.DUMMYFUNCTION("GOOGLETRANSLATE(B2709, ""en"", ""fa"")
"),"نویسندگی و داستان سرایی را تحریک می کند")</f>
        <v>نویسندگی و داستان سرایی را تحریک می کند</v>
      </c>
      <c r="G2709" s="1" t="str">
        <f>IFERROR(__xludf.DUMMYFUNCTION("GOOGLETRANSLATE(C2709, ""en"", ""fa"")
"),"داستانی در مورد شخصی بنویسید که متوجه می شود قدرت جان بخشیدن به دوستان خیالی را دارد.")</f>
        <v>داستانی در مورد شخصی بنویسید که متوجه می شود قدرت جان بخشیدن به دوستان خیالی را دارد.</v>
      </c>
      <c r="H2709" s="1"/>
      <c r="I2709" s="1"/>
      <c r="J2709" s="1"/>
      <c r="K2709" s="1"/>
      <c r="L2709" s="1"/>
      <c r="M2709" s="1"/>
      <c r="N2709" s="1"/>
      <c r="O2709" s="1"/>
      <c r="P2709" s="1"/>
      <c r="Q2709" s="1"/>
      <c r="R2709" s="1"/>
      <c r="S2709" s="1"/>
      <c r="T2709" s="1"/>
      <c r="U2709" s="1"/>
      <c r="V2709" s="1"/>
      <c r="W2709" s="1"/>
      <c r="X2709" s="1"/>
      <c r="Y2709" s="1"/>
      <c r="Z2709" s="1"/>
      <c r="AA2709" s="1"/>
      <c r="AB2709" s="1"/>
    </row>
    <row r="2710" ht="50.25" customHeight="1">
      <c r="A2710" s="12">
        <v>2706.0</v>
      </c>
      <c r="B2710" s="13" t="s">
        <v>2624</v>
      </c>
      <c r="C2710" s="14" t="s">
        <v>2724</v>
      </c>
      <c r="D2710" s="1"/>
      <c r="E2710" s="1"/>
      <c r="F2710" s="1" t="str">
        <f>IFERROR(__xludf.DUMMYFUNCTION("GOOGLETRANSLATE(B2710, ""en"", ""fa"")
"),"نویسندگی و داستان سرایی را تحریک می کند")</f>
        <v>نویسندگی و داستان سرایی را تحریک می کند</v>
      </c>
      <c r="G2710" s="1" t="str">
        <f>IFERROR(__xludf.DUMMYFUNCTION("GOOGLETRANSLATE(C2710, ""en"", ""fa"")
"),"شخصیتی بسازید که بتواند سایه ها را دستکاری کند و از توانایی های خود برای مبارزه با بی عدالتی استفاده کند.")</f>
        <v>شخصیتی بسازید که بتواند سایه ها را دستکاری کند و از توانایی های خود برای مبارزه با بی عدالتی استفاده کند.</v>
      </c>
      <c r="H2710" s="1"/>
      <c r="I2710" s="1"/>
      <c r="J2710" s="1"/>
      <c r="K2710" s="1"/>
      <c r="L2710" s="1"/>
      <c r="M2710" s="1"/>
      <c r="N2710" s="1"/>
      <c r="O2710" s="1"/>
      <c r="P2710" s="1"/>
      <c r="Q2710" s="1"/>
      <c r="R2710" s="1"/>
      <c r="S2710" s="1"/>
      <c r="T2710" s="1"/>
      <c r="U2710" s="1"/>
      <c r="V2710" s="1"/>
      <c r="W2710" s="1"/>
      <c r="X2710" s="1"/>
      <c r="Y2710" s="1"/>
      <c r="Z2710" s="1"/>
      <c r="AA2710" s="1"/>
      <c r="AB2710" s="1"/>
    </row>
    <row r="2711" ht="50.25" customHeight="1">
      <c r="A2711" s="12">
        <v>2707.0</v>
      </c>
      <c r="B2711" s="13" t="s">
        <v>2624</v>
      </c>
      <c r="C2711" s="14" t="s">
        <v>2725</v>
      </c>
      <c r="D2711" s="1"/>
      <c r="E2711" s="1"/>
      <c r="F2711" s="1" t="str">
        <f>IFERROR(__xludf.DUMMYFUNCTION("GOOGLETRANSLATE(B2711, ""en"", ""fa"")
"),"نویسندگی و داستان سرایی را تحریک می کند")</f>
        <v>نویسندگی و داستان سرایی را تحریک می کند</v>
      </c>
      <c r="G2711" s="1" t="str">
        <f>IFERROR(__xludf.DUMMYFUNCTION("GOOGLETRANSLATE(C2711, ""en"", ""fa"")
"),"داستانی در مورد شخصی بنویسید که می تواند افکار حیوانات را بشنود و از این هدیه برای حل یک معما در قلمرو حیوانات استفاده می کند.")</f>
        <v>داستانی در مورد شخصی بنویسید که می تواند افکار حیوانات را بشنود و از این هدیه برای حل یک معما در قلمرو حیوانات استفاده می کند.</v>
      </c>
      <c r="H2711" s="1"/>
      <c r="I2711" s="1"/>
      <c r="J2711" s="1"/>
      <c r="K2711" s="1"/>
      <c r="L2711" s="1"/>
      <c r="M2711" s="1"/>
      <c r="N2711" s="1"/>
      <c r="O2711" s="1"/>
      <c r="P2711" s="1"/>
      <c r="Q2711" s="1"/>
      <c r="R2711" s="1"/>
      <c r="S2711" s="1"/>
      <c r="T2711" s="1"/>
      <c r="U2711" s="1"/>
      <c r="V2711" s="1"/>
      <c r="W2711" s="1"/>
      <c r="X2711" s="1"/>
      <c r="Y2711" s="1"/>
      <c r="Z2711" s="1"/>
      <c r="AA2711" s="1"/>
      <c r="AB2711" s="1"/>
    </row>
    <row r="2712" ht="50.25" customHeight="1">
      <c r="A2712" s="12">
        <v>2708.0</v>
      </c>
      <c r="B2712" s="13" t="s">
        <v>2624</v>
      </c>
      <c r="C2712" s="14" t="s">
        <v>2726</v>
      </c>
      <c r="D2712" s="1"/>
      <c r="E2712" s="1"/>
      <c r="F2712" s="1" t="str">
        <f>IFERROR(__xludf.DUMMYFUNCTION("GOOGLETRANSLATE(B2712, ""en"", ""fa"")
"),"نویسندگی و داستان سرایی را تحریک می کند")</f>
        <v>نویسندگی و داستان سرایی را تحریک می کند</v>
      </c>
      <c r="G2712" s="1" t="str">
        <f>IFERROR(__xludf.DUMMYFUNCTION("GOOGLETRANSLATE(C2712, ""en"", ""fa"")
"),"شخصیتی بسازید که کتابی باستانی را کشف کند که بتواند واقعیت را بازنویسی کند، اما باید بین حفظ نظم طبیعی یا دنبال کردن خواسته های خود یکی را انتخاب کند.")</f>
        <v>شخصیتی بسازید که کتابی باستانی را کشف کند که بتواند واقعیت را بازنویسی کند، اما باید بین حفظ نظم طبیعی یا دنبال کردن خواسته های خود یکی را انتخاب کند.</v>
      </c>
      <c r="H2712" s="1"/>
      <c r="I2712" s="1"/>
      <c r="J2712" s="1"/>
      <c r="K2712" s="1"/>
      <c r="L2712" s="1"/>
      <c r="M2712" s="1"/>
      <c r="N2712" s="1"/>
      <c r="O2712" s="1"/>
      <c r="P2712" s="1"/>
      <c r="Q2712" s="1"/>
      <c r="R2712" s="1"/>
      <c r="S2712" s="1"/>
      <c r="T2712" s="1"/>
      <c r="U2712" s="1"/>
      <c r="V2712" s="1"/>
      <c r="W2712" s="1"/>
      <c r="X2712" s="1"/>
      <c r="Y2712" s="1"/>
      <c r="Z2712" s="1"/>
      <c r="AA2712" s="1"/>
      <c r="AB2712" s="1"/>
    </row>
    <row r="2713" ht="50.25" customHeight="1">
      <c r="A2713" s="12">
        <v>2709.0</v>
      </c>
      <c r="B2713" s="13" t="s">
        <v>2624</v>
      </c>
      <c r="C2713" s="14" t="s">
        <v>2727</v>
      </c>
      <c r="D2713" s="1"/>
      <c r="E2713" s="1"/>
      <c r="F2713" s="1" t="str">
        <f>IFERROR(__xludf.DUMMYFUNCTION("GOOGLETRANSLATE(B2713, ""en"", ""fa"")
"),"نویسندگی و داستان سرایی را تحریک می کند")</f>
        <v>نویسندگی و داستان سرایی را تحریک می کند</v>
      </c>
      <c r="G2713" s="1" t="str">
        <f>IFERROR(__xludf.DUMMYFUNCTION("GOOGLETRANSLATE(C2713, ""en"", ""fa"")
"),"صحنه‌ای بنویسید که در دنیایی اتفاق می‌افتد که در آن رویاها برداشت می‌شوند و به‌عنوان شکلی از ارز استفاده می‌شوند، که منجر به شکاف بین ثروتمندان رویا و فقیر رویا می‌شود.")</f>
        <v>صحنه‌ای بنویسید که در دنیایی اتفاق می‌افتد که در آن رویاها برداشت می‌شوند و به‌عنوان شکلی از ارز استفاده می‌شوند، که منجر به شکاف بین ثروتمندان رویا و فقیر رویا می‌شود.</v>
      </c>
      <c r="H2713" s="1"/>
      <c r="I2713" s="1"/>
      <c r="J2713" s="1"/>
      <c r="K2713" s="1"/>
      <c r="L2713" s="1"/>
      <c r="M2713" s="1"/>
      <c r="N2713" s="1"/>
      <c r="O2713" s="1"/>
      <c r="P2713" s="1"/>
      <c r="Q2713" s="1"/>
      <c r="R2713" s="1"/>
      <c r="S2713" s="1"/>
      <c r="T2713" s="1"/>
      <c r="U2713" s="1"/>
      <c r="V2713" s="1"/>
      <c r="W2713" s="1"/>
      <c r="X2713" s="1"/>
      <c r="Y2713" s="1"/>
      <c r="Z2713" s="1"/>
      <c r="AA2713" s="1"/>
      <c r="AB2713" s="1"/>
    </row>
    <row r="2714" ht="50.25" customHeight="1">
      <c r="A2714" s="12">
        <v>2710.0</v>
      </c>
      <c r="B2714" s="13" t="s">
        <v>2624</v>
      </c>
      <c r="C2714" s="14" t="s">
        <v>2728</v>
      </c>
      <c r="D2714" s="1"/>
      <c r="E2714" s="1"/>
      <c r="F2714" s="1" t="str">
        <f>IFERROR(__xludf.DUMMYFUNCTION("GOOGLETRANSLATE(B2714, ""en"", ""fa"")
"),"نویسندگی و داستان سرایی را تحریک می کند")</f>
        <v>نویسندگی و داستان سرایی را تحریک می کند</v>
      </c>
      <c r="G2714" s="1" t="str">
        <f>IFERROR(__xludf.DUMMYFUNCTION("GOOGLETRANSLATE(C2714, ""en"", ""fa"")
"),"قلمروی پنهان را توصیف کنید که در آن موجودات افسانه‌ای در کنار هم زندگی می‌کنند و یک ماجراجو جوان به طور تصادفی به وجود آنها می‌رسد.")</f>
        <v>قلمروی پنهان را توصیف کنید که در آن موجودات افسانه‌ای در کنار هم زندگی می‌کنند و یک ماجراجو جوان به طور تصادفی به وجود آنها می‌رسد.</v>
      </c>
      <c r="H2714" s="1"/>
      <c r="I2714" s="1"/>
      <c r="J2714" s="1"/>
      <c r="K2714" s="1"/>
      <c r="L2714" s="1"/>
      <c r="M2714" s="1"/>
      <c r="N2714" s="1"/>
      <c r="O2714" s="1"/>
      <c r="P2714" s="1"/>
      <c r="Q2714" s="1"/>
      <c r="R2714" s="1"/>
      <c r="S2714" s="1"/>
      <c r="T2714" s="1"/>
      <c r="U2714" s="1"/>
      <c r="V2714" s="1"/>
      <c r="W2714" s="1"/>
      <c r="X2714" s="1"/>
      <c r="Y2714" s="1"/>
      <c r="Z2714" s="1"/>
      <c r="AA2714" s="1"/>
      <c r="AB2714" s="1"/>
    </row>
    <row r="2715" ht="50.25" customHeight="1">
      <c r="A2715" s="12">
        <v>2711.0</v>
      </c>
      <c r="B2715" s="13" t="s">
        <v>2624</v>
      </c>
      <c r="C2715" s="14" t="s">
        <v>2729</v>
      </c>
      <c r="D2715" s="1"/>
      <c r="E2715" s="1"/>
      <c r="F2715" s="1" t="str">
        <f>IFERROR(__xludf.DUMMYFUNCTION("GOOGLETRANSLATE(B2715, ""en"", ""fa"")
"),"نویسندگی و داستان سرایی را تحریک می کند")</f>
        <v>نویسندگی و داستان سرایی را تحریک می کند</v>
      </c>
      <c r="G2715" s="1" t="str">
        <f>IFERROR(__xludf.DUMMYFUNCTION("GOOGLETRANSLATE(C2715, ""en"", ""fa"")
"),"داستانی در مورد شخصی بنویسید که قدرت دستکاری آب و هوا و پیامدهای آن بر روابط شخصی خود را دارد.")</f>
        <v>داستانی در مورد شخصی بنویسید که قدرت دستکاری آب و هوا و پیامدهای آن بر روابط شخصی خود را دارد.</v>
      </c>
      <c r="H2715" s="1"/>
      <c r="I2715" s="1"/>
      <c r="J2715" s="1"/>
      <c r="K2715" s="1"/>
      <c r="L2715" s="1"/>
      <c r="M2715" s="1"/>
      <c r="N2715" s="1"/>
      <c r="O2715" s="1"/>
      <c r="P2715" s="1"/>
      <c r="Q2715" s="1"/>
      <c r="R2715" s="1"/>
      <c r="S2715" s="1"/>
      <c r="T2715" s="1"/>
      <c r="U2715" s="1"/>
      <c r="V2715" s="1"/>
      <c r="W2715" s="1"/>
      <c r="X2715" s="1"/>
      <c r="Y2715" s="1"/>
      <c r="Z2715" s="1"/>
      <c r="AA2715" s="1"/>
      <c r="AB2715" s="1"/>
    </row>
    <row r="2716" ht="50.25" customHeight="1">
      <c r="A2716" s="12">
        <v>2712.0</v>
      </c>
      <c r="B2716" s="13" t="s">
        <v>2624</v>
      </c>
      <c r="C2716" s="14" t="s">
        <v>2730</v>
      </c>
      <c r="D2716" s="1"/>
      <c r="E2716" s="1"/>
      <c r="F2716" s="1" t="str">
        <f>IFERROR(__xludf.DUMMYFUNCTION("GOOGLETRANSLATE(B2716, ""en"", ""fa"")
"),"نویسندگی و داستان سرایی را تحریک می کند")</f>
        <v>نویسندگی و داستان سرایی را تحریک می کند</v>
      </c>
      <c r="G2716" s="1" t="str">
        <f>IFERROR(__xludf.DUMMYFUNCTION("GOOGLETRANSLATE(C2716, ""en"", ""fa"")
"),"شخصیتی بسازید که بتواند وارد ذهن دیگران شود و سنگینی خاطرات و احساسات آنها را تجربه کند.")</f>
        <v>شخصیتی بسازید که بتواند وارد ذهن دیگران شود و سنگینی خاطرات و احساسات آنها را تجربه کند.</v>
      </c>
      <c r="H2716" s="1"/>
      <c r="I2716" s="1"/>
      <c r="J2716" s="1"/>
      <c r="K2716" s="1"/>
      <c r="L2716" s="1"/>
      <c r="M2716" s="1"/>
      <c r="N2716" s="1"/>
      <c r="O2716" s="1"/>
      <c r="P2716" s="1"/>
      <c r="Q2716" s="1"/>
      <c r="R2716" s="1"/>
      <c r="S2716" s="1"/>
      <c r="T2716" s="1"/>
      <c r="U2716" s="1"/>
      <c r="V2716" s="1"/>
      <c r="W2716" s="1"/>
      <c r="X2716" s="1"/>
      <c r="Y2716" s="1"/>
      <c r="Z2716" s="1"/>
      <c r="AA2716" s="1"/>
      <c r="AB2716" s="1"/>
    </row>
    <row r="2717" ht="50.25" customHeight="1">
      <c r="A2717" s="12">
        <v>2713.0</v>
      </c>
      <c r="B2717" s="13" t="s">
        <v>2624</v>
      </c>
      <c r="C2717" s="14" t="s">
        <v>2731</v>
      </c>
      <c r="D2717" s="1"/>
      <c r="E2717" s="1"/>
      <c r="F2717" s="1" t="str">
        <f>IFERROR(__xludf.DUMMYFUNCTION("GOOGLETRANSLATE(B2717, ""en"", ""fa"")
"),"نویسندگی و داستان سرایی را تحریک می کند")</f>
        <v>نویسندگی و داستان سرایی را تحریک می کند</v>
      </c>
      <c r="G2717" s="1" t="str">
        <f>IFERROR(__xludf.DUMMYFUNCTION("GOOGLETRANSLATE(C2717, ""en"", ""fa"")
"),"صحنه ای را بنویسید که در آن گروهی از کاوشگران دریچه ای به ابعاد موازی با قوانین مختلف فیزیک و تمدنی منحصر به فرد را کشف می کنند.")</f>
        <v>صحنه ای را بنویسید که در آن گروهی از کاوشگران دریچه ای به ابعاد موازی با قوانین مختلف فیزیک و تمدنی منحصر به فرد را کشف می کنند.</v>
      </c>
      <c r="H2717" s="1"/>
      <c r="I2717" s="1"/>
      <c r="J2717" s="1"/>
      <c r="K2717" s="1"/>
      <c r="L2717" s="1"/>
      <c r="M2717" s="1"/>
      <c r="N2717" s="1"/>
      <c r="O2717" s="1"/>
      <c r="P2717" s="1"/>
      <c r="Q2717" s="1"/>
      <c r="R2717" s="1"/>
      <c r="S2717" s="1"/>
      <c r="T2717" s="1"/>
      <c r="U2717" s="1"/>
      <c r="V2717" s="1"/>
      <c r="W2717" s="1"/>
      <c r="X2717" s="1"/>
      <c r="Y2717" s="1"/>
      <c r="Z2717" s="1"/>
      <c r="AA2717" s="1"/>
      <c r="AB2717" s="1"/>
    </row>
    <row r="2718" ht="50.25" customHeight="1">
      <c r="A2718" s="12">
        <v>2714.0</v>
      </c>
      <c r="B2718" s="13" t="s">
        <v>2624</v>
      </c>
      <c r="C2718" s="14" t="s">
        <v>2732</v>
      </c>
      <c r="D2718" s="1"/>
      <c r="E2718" s="1"/>
      <c r="F2718" s="1" t="str">
        <f>IFERROR(__xludf.DUMMYFUNCTION("GOOGLETRANSLATE(B2718, ""en"", ""fa"")
"),"نویسندگی و داستان سرایی را تحریک می کند")</f>
        <v>نویسندگی و داستان سرایی را تحریک می کند</v>
      </c>
      <c r="G2718" s="1" t="str">
        <f>IFERROR(__xludf.DUMMYFUNCTION("GOOGLETRANSLATE(C2718, ""en"", ""fa"")
"),"جامعه ای را توصیف کنید که در آن مردم با خالکوبی هایی که به آنها توانایی های جادویی می دهد و درگیری هایی که از این عدم تعادل قدرت ناشی می شود متولد می شوند.")</f>
        <v>جامعه ای را توصیف کنید که در آن مردم با خالکوبی هایی که به آنها توانایی های جادویی می دهد و درگیری هایی که از این عدم تعادل قدرت ناشی می شود متولد می شوند.</v>
      </c>
      <c r="H2718" s="1"/>
      <c r="I2718" s="1"/>
      <c r="J2718" s="1"/>
      <c r="K2718" s="1"/>
      <c r="L2718" s="1"/>
      <c r="M2718" s="1"/>
      <c r="N2718" s="1"/>
      <c r="O2718" s="1"/>
      <c r="P2718" s="1"/>
      <c r="Q2718" s="1"/>
      <c r="R2718" s="1"/>
      <c r="S2718" s="1"/>
      <c r="T2718" s="1"/>
      <c r="U2718" s="1"/>
      <c r="V2718" s="1"/>
      <c r="W2718" s="1"/>
      <c r="X2718" s="1"/>
      <c r="Y2718" s="1"/>
      <c r="Z2718" s="1"/>
      <c r="AA2718" s="1"/>
      <c r="AB2718" s="1"/>
    </row>
    <row r="2719" ht="50.25" customHeight="1">
      <c r="A2719" s="12">
        <v>2715.0</v>
      </c>
      <c r="B2719" s="13" t="s">
        <v>2624</v>
      </c>
      <c r="C2719" s="14" t="s">
        <v>2733</v>
      </c>
      <c r="D2719" s="1"/>
      <c r="E2719" s="1"/>
      <c r="F2719" s="1" t="str">
        <f>IFERROR(__xludf.DUMMYFUNCTION("GOOGLETRANSLATE(B2719, ""en"", ""fa"")
"),"نویسندگی و داستان سرایی را تحریک می کند")</f>
        <v>نویسندگی و داستان سرایی را تحریک می کند</v>
      </c>
      <c r="G2719" s="1" t="str">
        <f>IFERROR(__xludf.DUMMYFUNCTION("GOOGLETRANSLATE(C2719, ""en"", ""fa"")
"),"داستانی در مورد شخصی بنویسید که می تواند از میان آینه ها سفر کند و دنیایی پنهان را در طرف دیگر کشف کند.")</f>
        <v>داستانی در مورد شخصی بنویسید که می تواند از میان آینه ها سفر کند و دنیایی پنهان را در طرف دیگر کشف کند.</v>
      </c>
      <c r="H2719" s="1"/>
      <c r="I2719" s="1"/>
      <c r="J2719" s="1"/>
      <c r="K2719" s="1"/>
      <c r="L2719" s="1"/>
      <c r="M2719" s="1"/>
      <c r="N2719" s="1"/>
      <c r="O2719" s="1"/>
      <c r="P2719" s="1"/>
      <c r="Q2719" s="1"/>
      <c r="R2719" s="1"/>
      <c r="S2719" s="1"/>
      <c r="T2719" s="1"/>
      <c r="U2719" s="1"/>
      <c r="V2719" s="1"/>
      <c r="W2719" s="1"/>
      <c r="X2719" s="1"/>
      <c r="Y2719" s="1"/>
      <c r="Z2719" s="1"/>
      <c r="AA2719" s="1"/>
      <c r="AB2719" s="1"/>
    </row>
    <row r="2720" ht="50.25" customHeight="1">
      <c r="A2720" s="12">
        <v>2716.0</v>
      </c>
      <c r="B2720" s="13" t="s">
        <v>2624</v>
      </c>
      <c r="C2720" s="14" t="s">
        <v>2734</v>
      </c>
      <c r="D2720" s="1"/>
      <c r="E2720" s="1"/>
      <c r="F2720" s="1" t="str">
        <f>IFERROR(__xludf.DUMMYFUNCTION("GOOGLETRANSLATE(B2720, ""en"", ""fa"")
"),"نویسندگی و داستان سرایی را تحریک می کند")</f>
        <v>نویسندگی و داستان سرایی را تحریک می کند</v>
      </c>
      <c r="G2720" s="1" t="str">
        <f>IFERROR(__xludf.DUMMYFUNCTION("GOOGLETRANSLATE(C2720, ""en"", ""fa"")
"),"شخصیتی بسازید که بتواند امواج صوتی را کنترل و دستکاری کند و از توانایی های خود برای اهداف خلاقانه و مخرب استفاده کند.")</f>
        <v>شخصیتی بسازید که بتواند امواج صوتی را کنترل و دستکاری کند و از توانایی های خود برای اهداف خلاقانه و مخرب استفاده کند.</v>
      </c>
      <c r="H2720" s="1"/>
      <c r="I2720" s="1"/>
      <c r="J2720" s="1"/>
      <c r="K2720" s="1"/>
      <c r="L2720" s="1"/>
      <c r="M2720" s="1"/>
      <c r="N2720" s="1"/>
      <c r="O2720" s="1"/>
      <c r="P2720" s="1"/>
      <c r="Q2720" s="1"/>
      <c r="R2720" s="1"/>
      <c r="S2720" s="1"/>
      <c r="T2720" s="1"/>
      <c r="U2720" s="1"/>
      <c r="V2720" s="1"/>
      <c r="W2720" s="1"/>
      <c r="X2720" s="1"/>
      <c r="Y2720" s="1"/>
      <c r="Z2720" s="1"/>
      <c r="AA2720" s="1"/>
      <c r="AB2720" s="1"/>
    </row>
    <row r="2721" ht="50.25" customHeight="1">
      <c r="A2721" s="12">
        <v>2717.0</v>
      </c>
      <c r="B2721" s="13" t="s">
        <v>2624</v>
      </c>
      <c r="C2721" s="14" t="s">
        <v>2735</v>
      </c>
      <c r="D2721" s="1"/>
      <c r="E2721" s="1"/>
      <c r="F2721" s="1" t="str">
        <f>IFERROR(__xludf.DUMMYFUNCTION("GOOGLETRANSLATE(B2721, ""en"", ""fa"")
"),"نویسندگی و داستان سرایی را تحریک می کند")</f>
        <v>نویسندگی و داستان سرایی را تحریک می کند</v>
      </c>
      <c r="G2721" s="1" t="str">
        <f>IFERROR(__xludf.DUMMYFUNCTION("GOOGLETRANSLATE(C2721, ""en"", ""fa"")
"),"صحنه‌ای بنویسید که در آینده‌ای دیستوپیایی اتفاق می‌افتد که در آن احساسات تنظیم می‌شوند و شورشی برای بازپس‌گیری آزادی احساس شکل می‌گیرد.")</f>
        <v>صحنه‌ای بنویسید که در آینده‌ای دیستوپیایی اتفاق می‌افتد که در آن احساسات تنظیم می‌شوند و شورشی برای بازپس‌گیری آزادی احساس شکل می‌گیرد.</v>
      </c>
      <c r="H2721" s="1"/>
      <c r="I2721" s="1"/>
      <c r="J2721" s="1"/>
      <c r="K2721" s="1"/>
      <c r="L2721" s="1"/>
      <c r="M2721" s="1"/>
      <c r="N2721" s="1"/>
      <c r="O2721" s="1"/>
      <c r="P2721" s="1"/>
      <c r="Q2721" s="1"/>
      <c r="R2721" s="1"/>
      <c r="S2721" s="1"/>
      <c r="T2721" s="1"/>
      <c r="U2721" s="1"/>
      <c r="V2721" s="1"/>
      <c r="W2721" s="1"/>
      <c r="X2721" s="1"/>
      <c r="Y2721" s="1"/>
      <c r="Z2721" s="1"/>
      <c r="AA2721" s="1"/>
      <c r="AB2721" s="1"/>
    </row>
    <row r="2722" ht="50.25" customHeight="1">
      <c r="A2722" s="12">
        <v>2718.0</v>
      </c>
      <c r="B2722" s="13" t="s">
        <v>2624</v>
      </c>
      <c r="C2722" s="14" t="s">
        <v>2736</v>
      </c>
      <c r="D2722" s="1"/>
      <c r="E2722" s="1"/>
      <c r="F2722" s="1" t="str">
        <f>IFERROR(__xludf.DUMMYFUNCTION("GOOGLETRANSLATE(B2722, ""en"", ""fa"")
"),"نویسندگی و داستان سرایی را تحریک می کند")</f>
        <v>نویسندگی و داستان سرایی را تحریک می کند</v>
      </c>
      <c r="G2722" s="1" t="str">
        <f>IFERROR(__xludf.DUMMYFUNCTION("GOOGLETRANSLATE(C2722, ""en"", ""fa"")
"),"یک قبیله پنهان را توصیف کنید که توانایی برقراری ارتباط با طبیعت را دارند و چالش هایی که در هنگام تهدید سرزمینشان با آن ها روبرو می شوند.")</f>
        <v>یک قبیله پنهان را توصیف کنید که توانایی برقراری ارتباط با طبیعت را دارند و چالش هایی که در هنگام تهدید سرزمینشان با آن ها روبرو می شوند.</v>
      </c>
      <c r="H2722" s="1"/>
      <c r="I2722" s="1"/>
      <c r="J2722" s="1"/>
      <c r="K2722" s="1"/>
      <c r="L2722" s="1"/>
      <c r="M2722" s="1"/>
      <c r="N2722" s="1"/>
      <c r="O2722" s="1"/>
      <c r="P2722" s="1"/>
      <c r="Q2722" s="1"/>
      <c r="R2722" s="1"/>
      <c r="S2722" s="1"/>
      <c r="T2722" s="1"/>
      <c r="U2722" s="1"/>
      <c r="V2722" s="1"/>
      <c r="W2722" s="1"/>
      <c r="X2722" s="1"/>
      <c r="Y2722" s="1"/>
      <c r="Z2722" s="1"/>
      <c r="AA2722" s="1"/>
      <c r="AB2722" s="1"/>
    </row>
    <row r="2723" ht="50.25" customHeight="1">
      <c r="A2723" s="12">
        <v>2719.0</v>
      </c>
      <c r="B2723" s="13" t="s">
        <v>2624</v>
      </c>
      <c r="C2723" s="14" t="s">
        <v>2737</v>
      </c>
      <c r="D2723" s="1"/>
      <c r="E2723" s="1"/>
      <c r="F2723" s="1" t="str">
        <f>IFERROR(__xludf.DUMMYFUNCTION("GOOGLETRANSLATE(B2723, ""en"", ""fa"")
"),"نویسندگی و داستان سرایی را تحریک می کند")</f>
        <v>نویسندگی و داستان سرایی را تحریک می کند</v>
      </c>
      <c r="G2723" s="1" t="str">
        <f>IFERROR(__xludf.DUMMYFUNCTION("GOOGLETRANSLATE(C2723, ""en"", ""fa"")
"),"داستانی در مورد شخصی بنویسید که دارای قدرت فرافکنی تله پاتیک است و به او اجازه می دهد در ذهن دیگران توهم ایجاد کند.")</f>
        <v>داستانی در مورد شخصی بنویسید که دارای قدرت فرافکنی تله پاتیک است و به او اجازه می دهد در ذهن دیگران توهم ایجاد کند.</v>
      </c>
      <c r="H2723" s="1"/>
      <c r="I2723" s="1"/>
      <c r="J2723" s="1"/>
      <c r="K2723" s="1"/>
      <c r="L2723" s="1"/>
      <c r="M2723" s="1"/>
      <c r="N2723" s="1"/>
      <c r="O2723" s="1"/>
      <c r="P2723" s="1"/>
      <c r="Q2723" s="1"/>
      <c r="R2723" s="1"/>
      <c r="S2723" s="1"/>
      <c r="T2723" s="1"/>
      <c r="U2723" s="1"/>
      <c r="V2723" s="1"/>
      <c r="W2723" s="1"/>
      <c r="X2723" s="1"/>
      <c r="Y2723" s="1"/>
      <c r="Z2723" s="1"/>
      <c r="AA2723" s="1"/>
      <c r="AB2723" s="1"/>
    </row>
    <row r="2724" ht="50.25" customHeight="1">
      <c r="A2724" s="12">
        <v>2720.0</v>
      </c>
      <c r="B2724" s="13" t="s">
        <v>2624</v>
      </c>
      <c r="C2724" s="14" t="s">
        <v>2738</v>
      </c>
      <c r="D2724" s="1"/>
      <c r="E2724" s="1"/>
      <c r="F2724" s="1" t="str">
        <f>IFERROR(__xludf.DUMMYFUNCTION("GOOGLETRANSLATE(B2724, ""en"", ""fa"")
"),"نویسندگی و داستان سرایی را تحریک می کند")</f>
        <v>نویسندگی و داستان سرایی را تحریک می کند</v>
      </c>
      <c r="G2724" s="1" t="str">
        <f>IFERROR(__xludf.DUMMYFUNCTION("GOOGLETRANSLATE(C2724, ""en"", ""fa"")
"),"شخصیتی بسازید که نامرئی شود اما باید با پیامدهای اخلاقی قدرت خود دست و پنجه نرم کند.")</f>
        <v>شخصیتی بسازید که نامرئی شود اما باید با پیامدهای اخلاقی قدرت خود دست و پنجه نرم کند.</v>
      </c>
      <c r="H2724" s="1"/>
      <c r="I2724" s="1"/>
      <c r="J2724" s="1"/>
      <c r="K2724" s="1"/>
      <c r="L2724" s="1"/>
      <c r="M2724" s="1"/>
      <c r="N2724" s="1"/>
      <c r="O2724" s="1"/>
      <c r="P2724" s="1"/>
      <c r="Q2724" s="1"/>
      <c r="R2724" s="1"/>
      <c r="S2724" s="1"/>
      <c r="T2724" s="1"/>
      <c r="U2724" s="1"/>
      <c r="V2724" s="1"/>
      <c r="W2724" s="1"/>
      <c r="X2724" s="1"/>
      <c r="Y2724" s="1"/>
      <c r="Z2724" s="1"/>
      <c r="AA2724" s="1"/>
      <c r="AB2724" s="1"/>
    </row>
    <row r="2725" ht="50.25" customHeight="1">
      <c r="A2725" s="12">
        <v>2721.0</v>
      </c>
      <c r="B2725" s="13" t="s">
        <v>2624</v>
      </c>
      <c r="C2725" s="14" t="s">
        <v>2739</v>
      </c>
      <c r="D2725" s="1"/>
      <c r="E2725" s="1"/>
      <c r="F2725" s="1" t="str">
        <f>IFERROR(__xludf.DUMMYFUNCTION("GOOGLETRANSLATE(B2725, ""en"", ""fa"")
"),"نویسندگی و داستان سرایی را تحریک می کند")</f>
        <v>نویسندگی و داستان سرایی را تحریک می کند</v>
      </c>
      <c r="G2725" s="1" t="str">
        <f>IFERROR(__xludf.DUMMYFUNCTION("GOOGLETRANSLATE(C2725, ""en"", ""fa"")
"),"صحنه ای را بنویسید که در آن گروهی از افراد با توانایی های خارق العاده مجبور به شرکت در یک تورنمنت مرگبار می شوند.")</f>
        <v>صحنه ای را بنویسید که در آن گروهی از افراد با توانایی های خارق العاده مجبور به شرکت در یک تورنمنت مرگبار می شوند.</v>
      </c>
      <c r="H2725" s="1"/>
      <c r="I2725" s="1"/>
      <c r="J2725" s="1"/>
      <c r="K2725" s="1"/>
      <c r="L2725" s="1"/>
      <c r="M2725" s="1"/>
      <c r="N2725" s="1"/>
      <c r="O2725" s="1"/>
      <c r="P2725" s="1"/>
      <c r="Q2725" s="1"/>
      <c r="R2725" s="1"/>
      <c r="S2725" s="1"/>
      <c r="T2725" s="1"/>
      <c r="U2725" s="1"/>
      <c r="V2725" s="1"/>
      <c r="W2725" s="1"/>
      <c r="X2725" s="1"/>
      <c r="Y2725" s="1"/>
      <c r="Z2725" s="1"/>
      <c r="AA2725" s="1"/>
      <c r="AB2725" s="1"/>
    </row>
    <row r="2726" ht="50.25" customHeight="1">
      <c r="A2726" s="12">
        <v>2722.0</v>
      </c>
      <c r="B2726" s="13" t="s">
        <v>2624</v>
      </c>
      <c r="C2726" s="14" t="s">
        <v>2740</v>
      </c>
      <c r="D2726" s="1"/>
      <c r="E2726" s="1"/>
      <c r="F2726" s="1" t="str">
        <f>IFERROR(__xludf.DUMMYFUNCTION("GOOGLETRANSLATE(B2726, ""en"", ""fa"")
"),"نویسندگی و داستان سرایی را تحریک می کند")</f>
        <v>نویسندگی و داستان سرایی را تحریک می کند</v>
      </c>
      <c r="G2726" s="1" t="str">
        <f>IFERROR(__xludf.DUMMYFUNCTION("GOOGLETRANSLATE(C2726, ""en"", ""fa"")
"),"جامعه ای را توصیف کنید که در آن هر کس یک ابرقدرت منحصر به فرد دارد، اما یک نفر بدون هیچ قدرتی متولد می شود و باید راه خود را برای مشارکت بیابد.")</f>
        <v>جامعه ای را توصیف کنید که در آن هر کس یک ابرقدرت منحصر به فرد دارد، اما یک نفر بدون هیچ قدرتی متولد می شود و باید راه خود را برای مشارکت بیابد.</v>
      </c>
      <c r="H2726" s="1"/>
      <c r="I2726" s="1"/>
      <c r="J2726" s="1"/>
      <c r="K2726" s="1"/>
      <c r="L2726" s="1"/>
      <c r="M2726" s="1"/>
      <c r="N2726" s="1"/>
      <c r="O2726" s="1"/>
      <c r="P2726" s="1"/>
      <c r="Q2726" s="1"/>
      <c r="R2726" s="1"/>
      <c r="S2726" s="1"/>
      <c r="T2726" s="1"/>
      <c r="U2726" s="1"/>
      <c r="V2726" s="1"/>
      <c r="W2726" s="1"/>
      <c r="X2726" s="1"/>
      <c r="Y2726" s="1"/>
      <c r="Z2726" s="1"/>
      <c r="AA2726" s="1"/>
      <c r="AB2726" s="1"/>
    </row>
    <row r="2727" ht="50.25" customHeight="1">
      <c r="A2727" s="12">
        <v>2723.0</v>
      </c>
      <c r="B2727" s="13" t="s">
        <v>2624</v>
      </c>
      <c r="C2727" s="14" t="s">
        <v>2741</v>
      </c>
      <c r="D2727" s="1"/>
      <c r="E2727" s="1"/>
      <c r="F2727" s="1" t="str">
        <f>IFERROR(__xludf.DUMMYFUNCTION("GOOGLETRANSLATE(B2727, ""en"", ""fa"")
"),"نویسندگی و داستان سرایی را تحریک می کند")</f>
        <v>نویسندگی و داستان سرایی را تحریک می کند</v>
      </c>
      <c r="G2727" s="1" t="str">
        <f>IFERROR(__xludf.DUMMYFUNCTION("GOOGLETRANSLATE(C2727, ""en"", ""fa"")
"),"داستانی در مورد شخصی بنویسید که یک کتابخانه مخفی حاوی کتابهایی را کشف می کند که می تواند با بلند خواندن واقعیت را بازنویسی کند.")</f>
        <v>داستانی در مورد شخصی بنویسید که یک کتابخانه مخفی حاوی کتابهایی را کشف می کند که می تواند با بلند خواندن واقعیت را بازنویسی کند.</v>
      </c>
      <c r="H2727" s="1"/>
      <c r="I2727" s="1"/>
      <c r="J2727" s="1"/>
      <c r="K2727" s="1"/>
      <c r="L2727" s="1"/>
      <c r="M2727" s="1"/>
      <c r="N2727" s="1"/>
      <c r="O2727" s="1"/>
      <c r="P2727" s="1"/>
      <c r="Q2727" s="1"/>
      <c r="R2727" s="1"/>
      <c r="S2727" s="1"/>
      <c r="T2727" s="1"/>
      <c r="U2727" s="1"/>
      <c r="V2727" s="1"/>
      <c r="W2727" s="1"/>
      <c r="X2727" s="1"/>
      <c r="Y2727" s="1"/>
      <c r="Z2727" s="1"/>
      <c r="AA2727" s="1"/>
      <c r="AB2727" s="1"/>
    </row>
    <row r="2728" ht="50.25" customHeight="1">
      <c r="A2728" s="12">
        <v>2724.0</v>
      </c>
      <c r="B2728" s="13" t="s">
        <v>2624</v>
      </c>
      <c r="C2728" s="14" t="s">
        <v>2742</v>
      </c>
      <c r="D2728" s="1"/>
      <c r="E2728" s="1"/>
      <c r="F2728" s="1" t="str">
        <f>IFERROR(__xludf.DUMMYFUNCTION("GOOGLETRANSLATE(B2728, ""en"", ""fa"")
"),"نویسندگی و داستان سرایی را تحریک می کند")</f>
        <v>نویسندگی و داستان سرایی را تحریک می کند</v>
      </c>
      <c r="G2728" s="1" t="str">
        <f>IFERROR(__xludf.DUMMYFUNCTION("GOOGLETRANSLATE(C2728, ""en"", ""fa"")
"),"شخصیتی بسازید که بتواند گرانش را دستکاری کند و کیهان را کشف کند، با موجودات آسمانی و پدیده های کیهانی روبرو شود.")</f>
        <v>شخصیتی بسازید که بتواند گرانش را دستکاری کند و کیهان را کشف کند، با موجودات آسمانی و پدیده های کیهانی روبرو شود.</v>
      </c>
      <c r="H2728" s="1"/>
      <c r="I2728" s="1"/>
      <c r="J2728" s="1"/>
      <c r="K2728" s="1"/>
      <c r="L2728" s="1"/>
      <c r="M2728" s="1"/>
      <c r="N2728" s="1"/>
      <c r="O2728" s="1"/>
      <c r="P2728" s="1"/>
      <c r="Q2728" s="1"/>
      <c r="R2728" s="1"/>
      <c r="S2728" s="1"/>
      <c r="T2728" s="1"/>
      <c r="U2728" s="1"/>
      <c r="V2728" s="1"/>
      <c r="W2728" s="1"/>
      <c r="X2728" s="1"/>
      <c r="Y2728" s="1"/>
      <c r="Z2728" s="1"/>
      <c r="AA2728" s="1"/>
      <c r="AB2728" s="1"/>
    </row>
    <row r="2729" ht="50.25" customHeight="1">
      <c r="A2729" s="12">
        <v>2725.0</v>
      </c>
      <c r="B2729" s="13" t="s">
        <v>2624</v>
      </c>
      <c r="C2729" s="14" t="s">
        <v>2743</v>
      </c>
      <c r="D2729" s="1"/>
      <c r="E2729" s="1"/>
      <c r="F2729" s="1" t="str">
        <f>IFERROR(__xludf.DUMMYFUNCTION("GOOGLETRANSLATE(B2729, ""en"", ""fa"")
"),"نویسندگی و داستان سرایی را تحریک می کند")</f>
        <v>نویسندگی و داستان سرایی را تحریک می کند</v>
      </c>
      <c r="G2729" s="1" t="str">
        <f>IFERROR(__xludf.DUMMYFUNCTION("GOOGLETRANSLATE(C2729, ""en"", ""fa"")
"),"صحنه‌ای را بنویسید که در دنیایی اتفاق می‌افتد که در آن مرزهای بین رویاها و واقعیت محو شده و منجر به تجربه‌های سورئال و غیرقابل پیش‌بینی می‌شود.")</f>
        <v>صحنه‌ای را بنویسید که در دنیایی اتفاق می‌افتد که در آن مرزهای بین رویاها و واقعیت محو شده و منجر به تجربه‌های سورئال و غیرقابل پیش‌بینی می‌شود.</v>
      </c>
      <c r="H2729" s="1"/>
      <c r="I2729" s="1"/>
      <c r="J2729" s="1"/>
      <c r="K2729" s="1"/>
      <c r="L2729" s="1"/>
      <c r="M2729" s="1"/>
      <c r="N2729" s="1"/>
      <c r="O2729" s="1"/>
      <c r="P2729" s="1"/>
      <c r="Q2729" s="1"/>
      <c r="R2729" s="1"/>
      <c r="S2729" s="1"/>
      <c r="T2729" s="1"/>
      <c r="U2729" s="1"/>
      <c r="V2729" s="1"/>
      <c r="W2729" s="1"/>
      <c r="X2729" s="1"/>
      <c r="Y2729" s="1"/>
      <c r="Z2729" s="1"/>
      <c r="AA2729" s="1"/>
      <c r="AB2729" s="1"/>
    </row>
    <row r="2730" ht="50.25" customHeight="1">
      <c r="A2730" s="12">
        <v>2726.0</v>
      </c>
      <c r="B2730" s="13" t="s">
        <v>2624</v>
      </c>
      <c r="C2730" s="14" t="s">
        <v>2744</v>
      </c>
      <c r="D2730" s="1"/>
      <c r="E2730" s="1"/>
      <c r="F2730" s="1" t="str">
        <f>IFERROR(__xludf.DUMMYFUNCTION("GOOGLETRANSLATE(B2730, ""en"", ""fa"")
"),"نویسندگی و داستان سرایی را تحریک می کند")</f>
        <v>نویسندگی و داستان سرایی را تحریک می کند</v>
      </c>
      <c r="G2730" s="1" t="str">
        <f>IFERROR(__xludf.DUMMYFUNCTION("GOOGLETRANSLATE(C2730, ""en"", ""fa"")
"),"یک آکادمی پنهان را توصیف کنید که در آن جادوگران جوان در هنر طلسم سازی آموزش می بینند و پیچیدگی های اخلاق جادویی را مرور می کنند.")</f>
        <v>یک آکادمی پنهان را توصیف کنید که در آن جادوگران جوان در هنر طلسم سازی آموزش می بینند و پیچیدگی های اخلاق جادویی را مرور می کنند.</v>
      </c>
      <c r="H2730" s="1"/>
      <c r="I2730" s="1"/>
      <c r="J2730" s="1"/>
      <c r="K2730" s="1"/>
      <c r="L2730" s="1"/>
      <c r="M2730" s="1"/>
      <c r="N2730" s="1"/>
      <c r="O2730" s="1"/>
      <c r="P2730" s="1"/>
      <c r="Q2730" s="1"/>
      <c r="R2730" s="1"/>
      <c r="S2730" s="1"/>
      <c r="T2730" s="1"/>
      <c r="U2730" s="1"/>
      <c r="V2730" s="1"/>
      <c r="W2730" s="1"/>
      <c r="X2730" s="1"/>
      <c r="Y2730" s="1"/>
      <c r="Z2730" s="1"/>
      <c r="AA2730" s="1"/>
      <c r="AB2730" s="1"/>
    </row>
    <row r="2731" ht="50.25" customHeight="1">
      <c r="A2731" s="12">
        <v>2727.0</v>
      </c>
      <c r="B2731" s="13" t="s">
        <v>2624</v>
      </c>
      <c r="C2731" s="14" t="s">
        <v>2745</v>
      </c>
      <c r="D2731" s="1"/>
      <c r="E2731" s="1"/>
      <c r="F2731" s="1" t="str">
        <f>IFERROR(__xludf.DUMMYFUNCTION("GOOGLETRANSLATE(B2731, ""en"", ""fa"")
"),"نویسندگی و داستان سرایی را تحریک می کند")</f>
        <v>نویسندگی و داستان سرایی را تحریک می کند</v>
      </c>
      <c r="G2731" s="1" t="str">
        <f>IFERROR(__xludf.DUMMYFUNCTION("GOOGLETRANSLATE(C2731, ""en"", ""fa"")
"),"داستانی در مورد شخصی بنویسید که دارای قدرت همدلی است و می تواند احساسات دیگران را احساس و درک کند.")</f>
        <v>داستانی در مورد شخصی بنویسید که دارای قدرت همدلی است و می تواند احساسات دیگران را احساس و درک کند.</v>
      </c>
      <c r="H2731" s="1"/>
      <c r="I2731" s="1"/>
      <c r="J2731" s="1"/>
      <c r="K2731" s="1"/>
      <c r="L2731" s="1"/>
      <c r="M2731" s="1"/>
      <c r="N2731" s="1"/>
      <c r="O2731" s="1"/>
      <c r="P2731" s="1"/>
      <c r="Q2731" s="1"/>
      <c r="R2731" s="1"/>
      <c r="S2731" s="1"/>
      <c r="T2731" s="1"/>
      <c r="U2731" s="1"/>
      <c r="V2731" s="1"/>
      <c r="W2731" s="1"/>
      <c r="X2731" s="1"/>
      <c r="Y2731" s="1"/>
      <c r="Z2731" s="1"/>
      <c r="AA2731" s="1"/>
      <c r="AB2731" s="1"/>
    </row>
    <row r="2732" ht="50.25" customHeight="1">
      <c r="A2732" s="12">
        <v>2728.0</v>
      </c>
      <c r="B2732" s="13" t="s">
        <v>2624</v>
      </c>
      <c r="C2732" s="14" t="s">
        <v>2746</v>
      </c>
      <c r="D2732" s="1"/>
      <c r="E2732" s="1"/>
      <c r="F2732" s="1" t="str">
        <f>IFERROR(__xludf.DUMMYFUNCTION("GOOGLETRANSLATE(B2732, ""en"", ""fa"")
"),"نویسندگی و داستان سرایی را تحریک می کند")</f>
        <v>نویسندگی و داستان سرایی را تحریک می کند</v>
      </c>
      <c r="G2732" s="1" t="str">
        <f>IFERROR(__xludf.DUMMYFUNCTION("GOOGLETRANSLATE(C2732, ""en"", ""fa"")
"),"شخصیتی بسازید که بتواند زمان را کنترل و دستکاری کند، اما باید با پیامدهای تغییر گذشته یا آینده مقابله کند.")</f>
        <v>شخصیتی بسازید که بتواند زمان را کنترل و دستکاری کند، اما باید با پیامدهای تغییر گذشته یا آینده مقابله کند.</v>
      </c>
      <c r="H2732" s="1"/>
      <c r="I2732" s="1"/>
      <c r="J2732" s="1"/>
      <c r="K2732" s="1"/>
      <c r="L2732" s="1"/>
      <c r="M2732" s="1"/>
      <c r="N2732" s="1"/>
      <c r="O2732" s="1"/>
      <c r="P2732" s="1"/>
      <c r="Q2732" s="1"/>
      <c r="R2732" s="1"/>
      <c r="S2732" s="1"/>
      <c r="T2732" s="1"/>
      <c r="U2732" s="1"/>
      <c r="V2732" s="1"/>
      <c r="W2732" s="1"/>
      <c r="X2732" s="1"/>
      <c r="Y2732" s="1"/>
      <c r="Z2732" s="1"/>
      <c r="AA2732" s="1"/>
      <c r="AB2732" s="1"/>
    </row>
    <row r="2733" ht="50.25" customHeight="1">
      <c r="A2733" s="12">
        <v>2729.0</v>
      </c>
      <c r="B2733" s="13" t="s">
        <v>2624</v>
      </c>
      <c r="C2733" s="14" t="s">
        <v>2747</v>
      </c>
      <c r="D2733" s="1"/>
      <c r="E2733" s="1"/>
      <c r="F2733" s="1" t="str">
        <f>IFERROR(__xludf.DUMMYFUNCTION("GOOGLETRANSLATE(B2733, ""en"", ""fa"")
"),"نویسندگی و داستان سرایی را تحریک می کند")</f>
        <v>نویسندگی و داستان سرایی را تحریک می کند</v>
      </c>
      <c r="G2733" s="1" t="str">
        <f>IFERROR(__xludf.DUMMYFUNCTION("GOOGLETRANSLATE(C2733, ""en"", ""fa"")
"),"صحنه ای را بنویسید که در آن گروهی از متحدان بعید از قلمروهای مختلف باید دور هم جمع شوند تا دشمن مشترک را شکست دهند.")</f>
        <v>صحنه ای را بنویسید که در آن گروهی از متحدان بعید از قلمروهای مختلف باید دور هم جمع شوند تا دشمن مشترک را شکست دهند.</v>
      </c>
      <c r="H2733" s="1"/>
      <c r="I2733" s="1"/>
      <c r="J2733" s="1"/>
      <c r="K2733" s="1"/>
      <c r="L2733" s="1"/>
      <c r="M2733" s="1"/>
      <c r="N2733" s="1"/>
      <c r="O2733" s="1"/>
      <c r="P2733" s="1"/>
      <c r="Q2733" s="1"/>
      <c r="R2733" s="1"/>
      <c r="S2733" s="1"/>
      <c r="T2733" s="1"/>
      <c r="U2733" s="1"/>
      <c r="V2733" s="1"/>
      <c r="W2733" s="1"/>
      <c r="X2733" s="1"/>
      <c r="Y2733" s="1"/>
      <c r="Z2733" s="1"/>
      <c r="AA2733" s="1"/>
      <c r="AB2733" s="1"/>
    </row>
    <row r="2734" ht="50.25" customHeight="1">
      <c r="A2734" s="12">
        <v>2730.0</v>
      </c>
      <c r="B2734" s="13" t="s">
        <v>2624</v>
      </c>
      <c r="C2734" s="14" t="s">
        <v>2748</v>
      </c>
      <c r="D2734" s="1"/>
      <c r="E2734" s="1"/>
      <c r="F2734" s="1" t="str">
        <f>IFERROR(__xludf.DUMMYFUNCTION("GOOGLETRANSLATE(B2734, ""en"", ""fa"")
"),"نویسندگی و داستان سرایی را تحریک می کند")</f>
        <v>نویسندگی و داستان سرایی را تحریک می کند</v>
      </c>
      <c r="G2734" s="1" t="str">
        <f>IFERROR(__xludf.DUMMYFUNCTION("GOOGLETRANSLATE(C2734, ""en"", ""fa"")
"),"جامعه ای را توصیف کنید که در آن هنر جان می گیرد و یک هنرمند با استعداد کلید حفظ تعادل بین خلق و تخریب را در دست دارد.")</f>
        <v>جامعه ای را توصیف کنید که در آن هنر جان می گیرد و یک هنرمند با استعداد کلید حفظ تعادل بین خلق و تخریب را در دست دارد.</v>
      </c>
      <c r="H2734" s="1"/>
      <c r="I2734" s="1"/>
      <c r="J2734" s="1"/>
      <c r="K2734" s="1"/>
      <c r="L2734" s="1"/>
      <c r="M2734" s="1"/>
      <c r="N2734" s="1"/>
      <c r="O2734" s="1"/>
      <c r="P2734" s="1"/>
      <c r="Q2734" s="1"/>
      <c r="R2734" s="1"/>
      <c r="S2734" s="1"/>
      <c r="T2734" s="1"/>
      <c r="U2734" s="1"/>
      <c r="V2734" s="1"/>
      <c r="W2734" s="1"/>
      <c r="X2734" s="1"/>
      <c r="Y2734" s="1"/>
      <c r="Z2734" s="1"/>
      <c r="AA2734" s="1"/>
      <c r="AB2734" s="1"/>
    </row>
    <row r="2735" ht="50.25" customHeight="1">
      <c r="A2735" s="12">
        <v>2731.0</v>
      </c>
      <c r="B2735" s="13" t="s">
        <v>2624</v>
      </c>
      <c r="C2735" s="14" t="s">
        <v>2749</v>
      </c>
      <c r="D2735" s="1"/>
      <c r="E2735" s="1"/>
      <c r="F2735" s="1" t="str">
        <f>IFERROR(__xludf.DUMMYFUNCTION("GOOGLETRANSLATE(B2735, ""en"", ""fa"")
"),"نویسندگی و داستان سرایی را تحریک می کند")</f>
        <v>نویسندگی و داستان سرایی را تحریک می کند</v>
      </c>
      <c r="G2735" s="1" t="str">
        <f>IFERROR(__xludf.DUMMYFUNCTION("GOOGLETRANSLATE(C2735, ""en"", ""fa"")
"),"داستانی در مورد شخصی بنویسید که می تواند به موجودی افسانه ای تبدیل شود و برای بازپس گیری میراث گمشده خود سفری را آغاز کند.")</f>
        <v>داستانی در مورد شخصی بنویسید که می تواند به موجودی افسانه ای تبدیل شود و برای بازپس گیری میراث گمشده خود سفری را آغاز کند.</v>
      </c>
      <c r="H2735" s="1"/>
      <c r="I2735" s="1"/>
      <c r="J2735" s="1"/>
      <c r="K2735" s="1"/>
      <c r="L2735" s="1"/>
      <c r="M2735" s="1"/>
      <c r="N2735" s="1"/>
      <c r="O2735" s="1"/>
      <c r="P2735" s="1"/>
      <c r="Q2735" s="1"/>
      <c r="R2735" s="1"/>
      <c r="S2735" s="1"/>
      <c r="T2735" s="1"/>
      <c r="U2735" s="1"/>
      <c r="V2735" s="1"/>
      <c r="W2735" s="1"/>
      <c r="X2735" s="1"/>
      <c r="Y2735" s="1"/>
      <c r="Z2735" s="1"/>
      <c r="AA2735" s="1"/>
      <c r="AB2735" s="1"/>
    </row>
    <row r="2736" ht="50.25" customHeight="1">
      <c r="A2736" s="12">
        <v>2732.0</v>
      </c>
      <c r="B2736" s="13" t="s">
        <v>2624</v>
      </c>
      <c r="C2736" s="14" t="s">
        <v>2750</v>
      </c>
      <c r="D2736" s="1"/>
      <c r="E2736" s="1"/>
      <c r="F2736" s="1" t="str">
        <f>IFERROR(__xludf.DUMMYFUNCTION("GOOGLETRANSLATE(B2736, ""en"", ""fa"")
"),"نویسندگی و داستان سرایی را تحریک می کند")</f>
        <v>نویسندگی و داستان سرایی را تحریک می کند</v>
      </c>
      <c r="G2736" s="1" t="str">
        <f>IFERROR(__xludf.DUMMYFUNCTION("GOOGLETRANSLATE(C2736, ""en"", ""fa"")
"),"شخصیتی بسازید که بتواند با موجودات آسمانی ارتباط برقرار کند و درگیر یک درگیری آسمانی شود.")</f>
        <v>شخصیتی بسازید که بتواند با موجودات آسمانی ارتباط برقرار کند و درگیر یک درگیری آسمانی شود.</v>
      </c>
      <c r="H2736" s="1"/>
      <c r="I2736" s="1"/>
      <c r="J2736" s="1"/>
      <c r="K2736" s="1"/>
      <c r="L2736" s="1"/>
      <c r="M2736" s="1"/>
      <c r="N2736" s="1"/>
      <c r="O2736" s="1"/>
      <c r="P2736" s="1"/>
      <c r="Q2736" s="1"/>
      <c r="R2736" s="1"/>
      <c r="S2736" s="1"/>
      <c r="T2736" s="1"/>
      <c r="U2736" s="1"/>
      <c r="V2736" s="1"/>
      <c r="W2736" s="1"/>
      <c r="X2736" s="1"/>
      <c r="Y2736" s="1"/>
      <c r="Z2736" s="1"/>
      <c r="AA2736" s="1"/>
      <c r="AB2736" s="1"/>
    </row>
    <row r="2737" ht="50.25" customHeight="1">
      <c r="A2737" s="12">
        <v>2733.0</v>
      </c>
      <c r="B2737" s="13" t="s">
        <v>2624</v>
      </c>
      <c r="C2737" s="14" t="s">
        <v>2751</v>
      </c>
      <c r="D2737" s="1"/>
      <c r="E2737" s="1"/>
      <c r="F2737" s="1" t="str">
        <f>IFERROR(__xludf.DUMMYFUNCTION("GOOGLETRANSLATE(B2737, ""en"", ""fa"")
"),"نویسندگی و داستان سرایی را تحریک می کند")</f>
        <v>نویسندگی و داستان سرایی را تحریک می کند</v>
      </c>
      <c r="G2737" s="1" t="str">
        <f>IFERROR(__xludf.DUMMYFUNCTION("GOOGLETRANSLATE(C2737, ""en"", ""fa"")
"),"صحنه ای بنویسید که در آن گروهی از مورخان سفر در زمان از صحت وقایع تاریخی محافظت می کنند.")</f>
        <v>صحنه ای بنویسید که در آن گروهی از مورخان سفر در زمان از صحت وقایع تاریخی محافظت می کنند.</v>
      </c>
      <c r="H2737" s="1"/>
      <c r="I2737" s="1"/>
      <c r="J2737" s="1"/>
      <c r="K2737" s="1"/>
      <c r="L2737" s="1"/>
      <c r="M2737" s="1"/>
      <c r="N2737" s="1"/>
      <c r="O2737" s="1"/>
      <c r="P2737" s="1"/>
      <c r="Q2737" s="1"/>
      <c r="R2737" s="1"/>
      <c r="S2737" s="1"/>
      <c r="T2737" s="1"/>
      <c r="U2737" s="1"/>
      <c r="V2737" s="1"/>
      <c r="W2737" s="1"/>
      <c r="X2737" s="1"/>
      <c r="Y2737" s="1"/>
      <c r="Z2737" s="1"/>
      <c r="AA2737" s="1"/>
      <c r="AB2737" s="1"/>
    </row>
    <row r="2738" ht="50.25" customHeight="1">
      <c r="A2738" s="12">
        <v>2734.0</v>
      </c>
      <c r="B2738" s="13" t="s">
        <v>2624</v>
      </c>
      <c r="C2738" s="14" t="s">
        <v>2752</v>
      </c>
      <c r="D2738" s="1"/>
      <c r="E2738" s="1"/>
      <c r="F2738" s="1" t="str">
        <f>IFERROR(__xludf.DUMMYFUNCTION("GOOGLETRANSLATE(B2738, ""en"", ""fa"")
"),"نویسندگی و داستان سرایی را تحریک می کند")</f>
        <v>نویسندگی و داستان سرایی را تحریک می کند</v>
      </c>
      <c r="G2738" s="1" t="str">
        <f>IFERROR(__xludf.DUMMYFUNCTION("GOOGLETRANSLATE(C2738, ""en"", ""fa"")
"),"شهری پنهان در زیر اقیانوس را توصیف کنید که در آن مرفولک و انسان در کنار هم زندگی می کنند و چالش های دو جهان را طی می کنند.")</f>
        <v>شهری پنهان در زیر اقیانوس را توصیف کنید که در آن مرفولک و انسان در کنار هم زندگی می کنند و چالش های دو جهان را طی می کنند.</v>
      </c>
      <c r="H2738" s="1"/>
      <c r="I2738" s="1"/>
      <c r="J2738" s="1"/>
      <c r="K2738" s="1"/>
      <c r="L2738" s="1"/>
      <c r="M2738" s="1"/>
      <c r="N2738" s="1"/>
      <c r="O2738" s="1"/>
      <c r="P2738" s="1"/>
      <c r="Q2738" s="1"/>
      <c r="R2738" s="1"/>
      <c r="S2738" s="1"/>
      <c r="T2738" s="1"/>
      <c r="U2738" s="1"/>
      <c r="V2738" s="1"/>
      <c r="W2738" s="1"/>
      <c r="X2738" s="1"/>
      <c r="Y2738" s="1"/>
      <c r="Z2738" s="1"/>
      <c r="AA2738" s="1"/>
      <c r="AB2738" s="1"/>
    </row>
    <row r="2739" ht="50.25" customHeight="1">
      <c r="A2739" s="12">
        <v>2735.0</v>
      </c>
      <c r="B2739" s="13" t="s">
        <v>2624</v>
      </c>
      <c r="C2739" s="14" t="s">
        <v>2753</v>
      </c>
      <c r="D2739" s="1"/>
      <c r="E2739" s="1"/>
      <c r="F2739" s="1" t="str">
        <f>IFERROR(__xludf.DUMMYFUNCTION("GOOGLETRANSLATE(B2739, ""en"", ""fa"")
"),"نویسندگی و داستان سرایی را تحریک می کند")</f>
        <v>نویسندگی و داستان سرایی را تحریک می کند</v>
      </c>
      <c r="G2739" s="1" t="str">
        <f>IFERROR(__xludf.DUMMYFUNCTION("GOOGLETRANSLATE(C2739, ""en"", ""fa"")
"),"داستانی در مورد شخصی بنویسید که دارای قدرت پیش بینی است و باید با بار شناخت آینده دست و پنجه نرم کند.")</f>
        <v>داستانی در مورد شخصی بنویسید که دارای قدرت پیش بینی است و باید با بار شناخت آینده دست و پنجه نرم کند.</v>
      </c>
      <c r="H2739" s="1"/>
      <c r="I2739" s="1"/>
      <c r="J2739" s="1"/>
      <c r="K2739" s="1"/>
      <c r="L2739" s="1"/>
      <c r="M2739" s="1"/>
      <c r="N2739" s="1"/>
      <c r="O2739" s="1"/>
      <c r="P2739" s="1"/>
      <c r="Q2739" s="1"/>
      <c r="R2739" s="1"/>
      <c r="S2739" s="1"/>
      <c r="T2739" s="1"/>
      <c r="U2739" s="1"/>
      <c r="V2739" s="1"/>
      <c r="W2739" s="1"/>
      <c r="X2739" s="1"/>
      <c r="Y2739" s="1"/>
      <c r="Z2739" s="1"/>
      <c r="AA2739" s="1"/>
      <c r="AB2739" s="1"/>
    </row>
    <row r="2740" ht="50.25" customHeight="1">
      <c r="A2740" s="12">
        <v>2736.0</v>
      </c>
      <c r="B2740" s="13" t="s">
        <v>2624</v>
      </c>
      <c r="C2740" s="14" t="s">
        <v>2754</v>
      </c>
      <c r="D2740" s="1"/>
      <c r="E2740" s="1"/>
      <c r="F2740" s="1" t="str">
        <f>IFERROR(__xludf.DUMMYFUNCTION("GOOGLETRANSLATE(B2740, ""en"", ""fa"")
"),"نویسندگی و داستان سرایی را تحریک می کند")</f>
        <v>نویسندگی و داستان سرایی را تحریک می کند</v>
      </c>
      <c r="G2740" s="1" t="str">
        <f>IFERROR(__xludf.DUMMYFUNCTION("GOOGLETRANSLATE(C2740, ""en"", ""fa"")
"),"شخصیتی بسازید که می‌تواند عناصر را دستکاری کند اما در لحظاتی که احساسات شدید دارد برای کنترل قدرت خود تلاش می‌کند.")</f>
        <v>شخصیتی بسازید که می‌تواند عناصر را دستکاری کند اما در لحظاتی که احساسات شدید دارد برای کنترل قدرت خود تلاش می‌کند.</v>
      </c>
      <c r="H2740" s="1"/>
      <c r="I2740" s="1"/>
      <c r="J2740" s="1"/>
      <c r="K2740" s="1"/>
      <c r="L2740" s="1"/>
      <c r="M2740" s="1"/>
      <c r="N2740" s="1"/>
      <c r="O2740" s="1"/>
      <c r="P2740" s="1"/>
      <c r="Q2740" s="1"/>
      <c r="R2740" s="1"/>
      <c r="S2740" s="1"/>
      <c r="T2740" s="1"/>
      <c r="U2740" s="1"/>
      <c r="V2740" s="1"/>
      <c r="W2740" s="1"/>
      <c r="X2740" s="1"/>
      <c r="Y2740" s="1"/>
      <c r="Z2740" s="1"/>
      <c r="AA2740" s="1"/>
      <c r="AB2740" s="1"/>
    </row>
    <row r="2741" ht="50.25" customHeight="1">
      <c r="A2741" s="12">
        <v>2737.0</v>
      </c>
      <c r="B2741" s="13" t="s">
        <v>2624</v>
      </c>
      <c r="C2741" s="14" t="s">
        <v>2755</v>
      </c>
      <c r="D2741" s="1"/>
      <c r="E2741" s="1"/>
      <c r="F2741" s="1" t="str">
        <f>IFERROR(__xludf.DUMMYFUNCTION("GOOGLETRANSLATE(B2741, ""en"", ""fa"")
"),"نویسندگی و داستان سرایی را تحریک می کند")</f>
        <v>نویسندگی و داستان سرایی را تحریک می کند</v>
      </c>
      <c r="G2741" s="1" t="str">
        <f>IFERROR(__xludf.DUMMYFUNCTION("GOOGLETRANSLATE(C2741, ""en"", ""fa"")
"),"صحنه‌ای بنویسید که در دنیایی اتفاق می‌افتد که در آن داستان‌سرایی قدرت شکل‌دهی به واقعیت را دارد و داستان‌نویس افسانه‌ای گم می‌شود.")</f>
        <v>صحنه‌ای بنویسید که در دنیایی اتفاق می‌افتد که در آن داستان‌سرایی قدرت شکل‌دهی به واقعیت را دارد و داستان‌نویس افسانه‌ای گم می‌شود.</v>
      </c>
      <c r="H2741" s="1"/>
      <c r="I2741" s="1"/>
      <c r="J2741" s="1"/>
      <c r="K2741" s="1"/>
      <c r="L2741" s="1"/>
      <c r="M2741" s="1"/>
      <c r="N2741" s="1"/>
      <c r="O2741" s="1"/>
      <c r="P2741" s="1"/>
      <c r="Q2741" s="1"/>
      <c r="R2741" s="1"/>
      <c r="S2741" s="1"/>
      <c r="T2741" s="1"/>
      <c r="U2741" s="1"/>
      <c r="V2741" s="1"/>
      <c r="W2741" s="1"/>
      <c r="X2741" s="1"/>
      <c r="Y2741" s="1"/>
      <c r="Z2741" s="1"/>
      <c r="AA2741" s="1"/>
      <c r="AB2741" s="1"/>
    </row>
    <row r="2742" ht="50.25" customHeight="1">
      <c r="A2742" s="12">
        <v>2738.0</v>
      </c>
      <c r="B2742" s="13" t="s">
        <v>2624</v>
      </c>
      <c r="C2742" s="14" t="s">
        <v>2756</v>
      </c>
      <c r="D2742" s="1"/>
      <c r="E2742" s="1"/>
      <c r="F2742" s="1" t="str">
        <f>IFERROR(__xludf.DUMMYFUNCTION("GOOGLETRANSLATE(B2742, ""en"", ""fa"")
"),"نویسندگی و داستان سرایی را تحریک می کند")</f>
        <v>نویسندگی و داستان سرایی را تحریک می کند</v>
      </c>
      <c r="G2742" s="1" t="str">
        <f>IFERROR(__xludf.DUMMYFUNCTION("GOOGLETRANSLATE(C2742, ""en"", ""fa"")
"),"جامعه ای را توصیف کنید که در آن تخیل تنظیم می شود و گروهی از شورشیان برای رهایی خلاقیت و فردیت می جنگند.")</f>
        <v>جامعه ای را توصیف کنید که در آن تخیل تنظیم می شود و گروهی از شورشیان برای رهایی خلاقیت و فردیت می جنگند.</v>
      </c>
      <c r="H2742" s="1"/>
      <c r="I2742" s="1"/>
      <c r="J2742" s="1"/>
      <c r="K2742" s="1"/>
      <c r="L2742" s="1"/>
      <c r="M2742" s="1"/>
      <c r="N2742" s="1"/>
      <c r="O2742" s="1"/>
      <c r="P2742" s="1"/>
      <c r="Q2742" s="1"/>
      <c r="R2742" s="1"/>
      <c r="S2742" s="1"/>
      <c r="T2742" s="1"/>
      <c r="U2742" s="1"/>
      <c r="V2742" s="1"/>
      <c r="W2742" s="1"/>
      <c r="X2742" s="1"/>
      <c r="Y2742" s="1"/>
      <c r="Z2742" s="1"/>
      <c r="AA2742" s="1"/>
      <c r="AB2742" s="1"/>
    </row>
    <row r="2743" ht="50.25" customHeight="1">
      <c r="A2743" s="12">
        <v>2739.0</v>
      </c>
      <c r="B2743" s="13" t="s">
        <v>2624</v>
      </c>
      <c r="C2743" s="14" t="s">
        <v>2757</v>
      </c>
      <c r="D2743" s="1"/>
      <c r="E2743" s="1"/>
      <c r="F2743" s="1" t="str">
        <f>IFERROR(__xludf.DUMMYFUNCTION("GOOGLETRANSLATE(B2743, ""en"", ""fa"")
"),"نویسندگی و داستان سرایی را تحریک می کند")</f>
        <v>نویسندگی و داستان سرایی را تحریک می کند</v>
      </c>
      <c r="G2743" s="1" t="str">
        <f>IFERROR(__xludf.DUMMYFUNCTION("GOOGLETRANSLATE(C2743, ""en"", ""fa"")
"),"داستانی درباره شخصی بنویسید که زبان پنهانی را کشف می کند که می تواند اسرار جهان را باز کند.")</f>
        <v>داستانی درباره شخصی بنویسید که زبان پنهانی را کشف می کند که می تواند اسرار جهان را باز کند.</v>
      </c>
      <c r="H2743" s="1"/>
      <c r="I2743" s="1"/>
      <c r="J2743" s="1"/>
      <c r="K2743" s="1"/>
      <c r="L2743" s="1"/>
      <c r="M2743" s="1"/>
      <c r="N2743" s="1"/>
      <c r="O2743" s="1"/>
      <c r="P2743" s="1"/>
      <c r="Q2743" s="1"/>
      <c r="R2743" s="1"/>
      <c r="S2743" s="1"/>
      <c r="T2743" s="1"/>
      <c r="U2743" s="1"/>
      <c r="V2743" s="1"/>
      <c r="W2743" s="1"/>
      <c r="X2743" s="1"/>
      <c r="Y2743" s="1"/>
      <c r="Z2743" s="1"/>
      <c r="AA2743" s="1"/>
      <c r="AB2743" s="1"/>
    </row>
    <row r="2744" ht="50.25" customHeight="1">
      <c r="A2744" s="12">
        <v>2740.0</v>
      </c>
      <c r="B2744" s="13" t="s">
        <v>2624</v>
      </c>
      <c r="C2744" s="14" t="s">
        <v>2758</v>
      </c>
      <c r="D2744" s="1"/>
      <c r="E2744" s="1"/>
      <c r="F2744" s="1" t="str">
        <f>IFERROR(__xludf.DUMMYFUNCTION("GOOGLETRANSLATE(B2744, ""en"", ""fa"")
"),"نویسندگی و داستان سرایی را تحریک می کند")</f>
        <v>نویسندگی و داستان سرایی را تحریک می کند</v>
      </c>
      <c r="G2744" s="1" t="str">
        <f>IFERROR(__xludf.DUMMYFUNCTION("GOOGLETRANSLATE(C2744, ""en"", ""fa"")
"),"شخصیتی بسازید که بتواند با ماشین ها ارتباط برقرار کند و درگیر تضاد بین تکنولوژی و طبیعت شود.")</f>
        <v>شخصیتی بسازید که بتواند با ماشین ها ارتباط برقرار کند و درگیر تضاد بین تکنولوژی و طبیعت شود.</v>
      </c>
      <c r="H2744" s="1"/>
      <c r="I2744" s="1"/>
      <c r="J2744" s="1"/>
      <c r="K2744" s="1"/>
      <c r="L2744" s="1"/>
      <c r="M2744" s="1"/>
      <c r="N2744" s="1"/>
      <c r="O2744" s="1"/>
      <c r="P2744" s="1"/>
      <c r="Q2744" s="1"/>
      <c r="R2744" s="1"/>
      <c r="S2744" s="1"/>
      <c r="T2744" s="1"/>
      <c r="U2744" s="1"/>
      <c r="V2744" s="1"/>
      <c r="W2744" s="1"/>
      <c r="X2744" s="1"/>
      <c r="Y2744" s="1"/>
      <c r="Z2744" s="1"/>
      <c r="AA2744" s="1"/>
      <c r="AB2744" s="1"/>
    </row>
    <row r="2745" ht="50.25" customHeight="1">
      <c r="A2745" s="12">
        <v>2741.0</v>
      </c>
      <c r="B2745" s="13" t="s">
        <v>2624</v>
      </c>
      <c r="C2745" s="14" t="s">
        <v>2759</v>
      </c>
      <c r="D2745" s="1"/>
      <c r="E2745" s="1"/>
      <c r="F2745" s="1" t="str">
        <f>IFERROR(__xludf.DUMMYFUNCTION("GOOGLETRANSLATE(B2745, ""en"", ""fa"")
"),"نویسندگی و داستان سرایی را تحریک می کند")</f>
        <v>نویسندگی و داستان سرایی را تحریک می کند</v>
      </c>
      <c r="G2745" s="1" t="str">
        <f>IFERROR(__xludf.DUMMYFUNCTION("GOOGLETRANSLATE(C2745, ""en"", ""fa"")
"),"صحنه ای را بنویسید که در آن گروهی از ماجراجویان برای یافتن یک مصنوع افسانه ای که گفته می شود جاودانگی می بخشد، تلاش می کنند.")</f>
        <v>صحنه ای را بنویسید که در آن گروهی از ماجراجویان برای یافتن یک مصنوع افسانه ای که گفته می شود جاودانگی می بخشد، تلاش می کنند.</v>
      </c>
      <c r="H2745" s="1"/>
      <c r="I2745" s="1"/>
      <c r="J2745" s="1"/>
      <c r="K2745" s="1"/>
      <c r="L2745" s="1"/>
      <c r="M2745" s="1"/>
      <c r="N2745" s="1"/>
      <c r="O2745" s="1"/>
      <c r="P2745" s="1"/>
      <c r="Q2745" s="1"/>
      <c r="R2745" s="1"/>
      <c r="S2745" s="1"/>
      <c r="T2745" s="1"/>
      <c r="U2745" s="1"/>
      <c r="V2745" s="1"/>
      <c r="W2745" s="1"/>
      <c r="X2745" s="1"/>
      <c r="Y2745" s="1"/>
      <c r="Z2745" s="1"/>
      <c r="AA2745" s="1"/>
      <c r="AB2745" s="1"/>
    </row>
    <row r="2746" ht="50.25" customHeight="1">
      <c r="A2746" s="12">
        <v>2742.0</v>
      </c>
      <c r="B2746" s="13" t="s">
        <v>2624</v>
      </c>
      <c r="C2746" s="14" t="s">
        <v>2760</v>
      </c>
      <c r="D2746" s="1"/>
      <c r="E2746" s="1"/>
      <c r="F2746" s="1" t="str">
        <f>IFERROR(__xludf.DUMMYFUNCTION("GOOGLETRANSLATE(B2746, ""en"", ""fa"")
"),"نویسندگی و داستان سرایی را تحریک می کند")</f>
        <v>نویسندگی و داستان سرایی را تحریک می کند</v>
      </c>
      <c r="G2746" s="1" t="str">
        <f>IFERROR(__xludf.DUMMYFUNCTION("GOOGLETRANSLATE(C2746, ""en"", ""fa"")
"),"جنگلی پنهان را توصیف کنید که در آن درختان دارای حکمت کهن هستند و یک سرگردان جوان به دنبال راهنمایی و روشنگری است.")</f>
        <v>جنگلی پنهان را توصیف کنید که در آن درختان دارای حکمت کهن هستند و یک سرگردان جوان به دنبال راهنمایی و روشنگری است.</v>
      </c>
      <c r="H2746" s="1"/>
      <c r="I2746" s="1"/>
      <c r="J2746" s="1"/>
      <c r="K2746" s="1"/>
      <c r="L2746" s="1"/>
      <c r="M2746" s="1"/>
      <c r="N2746" s="1"/>
      <c r="O2746" s="1"/>
      <c r="P2746" s="1"/>
      <c r="Q2746" s="1"/>
      <c r="R2746" s="1"/>
      <c r="S2746" s="1"/>
      <c r="T2746" s="1"/>
      <c r="U2746" s="1"/>
      <c r="V2746" s="1"/>
      <c r="W2746" s="1"/>
      <c r="X2746" s="1"/>
      <c r="Y2746" s="1"/>
      <c r="Z2746" s="1"/>
      <c r="AA2746" s="1"/>
      <c r="AB2746" s="1"/>
    </row>
    <row r="2747" ht="50.25" customHeight="1">
      <c r="A2747" s="12">
        <v>2743.0</v>
      </c>
      <c r="B2747" s="13" t="s">
        <v>2624</v>
      </c>
      <c r="C2747" s="14" t="s">
        <v>2761</v>
      </c>
      <c r="D2747" s="1"/>
      <c r="E2747" s="1"/>
      <c r="F2747" s="1" t="str">
        <f>IFERROR(__xludf.DUMMYFUNCTION("GOOGLETRANSLATE(B2747, ""en"", ""fa"")
"),"نویسندگی و داستان سرایی را تحریک می کند")</f>
        <v>نویسندگی و داستان سرایی را تحریک می کند</v>
      </c>
      <c r="G2747" s="1" t="str">
        <f>IFERROR(__xludf.DUMMYFUNCTION("GOOGLETRANSLATE(C2747, ""en"", ""fa"")
"),"داستانی در مورد شخصی بنویسید که قدرت انتقال از راه دور را دارد اما خود را در یک بعد جایگزین گرفتار می‌بیند.")</f>
        <v>داستانی در مورد شخصی بنویسید که قدرت انتقال از راه دور را دارد اما خود را در یک بعد جایگزین گرفتار می‌بیند.</v>
      </c>
      <c r="H2747" s="1"/>
      <c r="I2747" s="1"/>
      <c r="J2747" s="1"/>
      <c r="K2747" s="1"/>
      <c r="L2747" s="1"/>
      <c r="M2747" s="1"/>
      <c r="N2747" s="1"/>
      <c r="O2747" s="1"/>
      <c r="P2747" s="1"/>
      <c r="Q2747" s="1"/>
      <c r="R2747" s="1"/>
      <c r="S2747" s="1"/>
      <c r="T2747" s="1"/>
      <c r="U2747" s="1"/>
      <c r="V2747" s="1"/>
      <c r="W2747" s="1"/>
      <c r="X2747" s="1"/>
      <c r="Y2747" s="1"/>
      <c r="Z2747" s="1"/>
      <c r="AA2747" s="1"/>
      <c r="AB2747" s="1"/>
    </row>
    <row r="2748" ht="50.25" customHeight="1">
      <c r="A2748" s="12">
        <v>2744.0</v>
      </c>
      <c r="B2748" s="13" t="s">
        <v>2624</v>
      </c>
      <c r="C2748" s="14" t="s">
        <v>2762</v>
      </c>
      <c r="D2748" s="1"/>
      <c r="E2748" s="1"/>
      <c r="F2748" s="1" t="str">
        <f>IFERROR(__xludf.DUMMYFUNCTION("GOOGLETRANSLATE(B2748, ""en"", ""fa"")
"),"نویسندگی و داستان سرایی را تحریک می کند")</f>
        <v>نویسندگی و داستان سرایی را تحریک می کند</v>
      </c>
      <c r="G2748" s="1" t="str">
        <f>IFERROR(__xludf.DUMMYFUNCTION("GOOGLETRANSLATE(C2748, ""en"", ""fa"")
"),"شخصیتی بسازید که بتواند تار و پود واقعیت را دستکاری کند، جهان را به میل خود خم کرده و دوباره شکل دهد.")</f>
        <v>شخصیتی بسازید که بتواند تار و پود واقعیت را دستکاری کند، جهان را به میل خود خم کرده و دوباره شکل دهد.</v>
      </c>
      <c r="H2748" s="1"/>
      <c r="I2748" s="1"/>
      <c r="J2748" s="1"/>
      <c r="K2748" s="1"/>
      <c r="L2748" s="1"/>
      <c r="M2748" s="1"/>
      <c r="N2748" s="1"/>
      <c r="O2748" s="1"/>
      <c r="P2748" s="1"/>
      <c r="Q2748" s="1"/>
      <c r="R2748" s="1"/>
      <c r="S2748" s="1"/>
      <c r="T2748" s="1"/>
      <c r="U2748" s="1"/>
      <c r="V2748" s="1"/>
      <c r="W2748" s="1"/>
      <c r="X2748" s="1"/>
      <c r="Y2748" s="1"/>
      <c r="Z2748" s="1"/>
      <c r="AA2748" s="1"/>
      <c r="AB2748" s="1"/>
    </row>
    <row r="2749" ht="50.25" customHeight="1">
      <c r="A2749" s="12">
        <v>2745.0</v>
      </c>
      <c r="B2749" s="13" t="s">
        <v>2624</v>
      </c>
      <c r="C2749" s="14" t="s">
        <v>2763</v>
      </c>
      <c r="D2749" s="1"/>
      <c r="E2749" s="1"/>
      <c r="F2749" s="1" t="str">
        <f>IFERROR(__xludf.DUMMYFUNCTION("GOOGLETRANSLATE(B2749, ""en"", ""fa"")
"),"نویسندگی و داستان سرایی را تحریک می کند")</f>
        <v>نویسندگی و داستان سرایی را تحریک می کند</v>
      </c>
      <c r="G2749" s="1" t="str">
        <f>IFERROR(__xludf.DUMMYFUNCTION("GOOGLETRANSLATE(C2749, ""en"", ""fa"")
"),"صحنه ای را بنویسید که در آن گروهی از مسافران به یک شهر گمشده در بیابان برخورد می کنند و اسرار باستانی آن را کشف می کنند.")</f>
        <v>صحنه ای را بنویسید که در آن گروهی از مسافران به یک شهر گمشده در بیابان برخورد می کنند و اسرار باستانی آن را کشف می کنند.</v>
      </c>
      <c r="H2749" s="1"/>
      <c r="I2749" s="1"/>
      <c r="J2749" s="1"/>
      <c r="K2749" s="1"/>
      <c r="L2749" s="1"/>
      <c r="M2749" s="1"/>
      <c r="N2749" s="1"/>
      <c r="O2749" s="1"/>
      <c r="P2749" s="1"/>
      <c r="Q2749" s="1"/>
      <c r="R2749" s="1"/>
      <c r="S2749" s="1"/>
      <c r="T2749" s="1"/>
      <c r="U2749" s="1"/>
      <c r="V2749" s="1"/>
      <c r="W2749" s="1"/>
      <c r="X2749" s="1"/>
      <c r="Y2749" s="1"/>
      <c r="Z2749" s="1"/>
      <c r="AA2749" s="1"/>
      <c r="AB2749" s="1"/>
    </row>
    <row r="2750" ht="50.25" customHeight="1">
      <c r="A2750" s="12">
        <v>2746.0</v>
      </c>
      <c r="B2750" s="13" t="s">
        <v>2624</v>
      </c>
      <c r="C2750" s="14" t="s">
        <v>2764</v>
      </c>
      <c r="D2750" s="1"/>
      <c r="E2750" s="1"/>
      <c r="F2750" s="1" t="str">
        <f>IFERROR(__xludf.DUMMYFUNCTION("GOOGLETRANSLATE(B2750, ""en"", ""fa"")
"),"نویسندگی و داستان سرایی را تحریک می کند")</f>
        <v>نویسندگی و داستان سرایی را تحریک می کند</v>
      </c>
      <c r="G2750" s="1" t="str">
        <f>IFERROR(__xludf.DUMMYFUNCTION("GOOGLETRANSLATE(C2750, ""en"", ""fa"")
"),"جامعه ای را توصیف کنید که در آن هر کس توانایی موسیقایی منحصر به فردی دارد و یک نوازنده شگفت انگیز قدرت واقعی موسیقی را کشف می کند.")</f>
        <v>جامعه ای را توصیف کنید که در آن هر کس توانایی موسیقایی منحصر به فردی دارد و یک نوازنده شگفت انگیز قدرت واقعی موسیقی را کشف می کند.</v>
      </c>
      <c r="H2750" s="1"/>
      <c r="I2750" s="1"/>
      <c r="J2750" s="1"/>
      <c r="K2750" s="1"/>
      <c r="L2750" s="1"/>
      <c r="M2750" s="1"/>
      <c r="N2750" s="1"/>
      <c r="O2750" s="1"/>
      <c r="P2750" s="1"/>
      <c r="Q2750" s="1"/>
      <c r="R2750" s="1"/>
      <c r="S2750" s="1"/>
      <c r="T2750" s="1"/>
      <c r="U2750" s="1"/>
      <c r="V2750" s="1"/>
      <c r="W2750" s="1"/>
      <c r="X2750" s="1"/>
      <c r="Y2750" s="1"/>
      <c r="Z2750" s="1"/>
      <c r="AA2750" s="1"/>
      <c r="AB2750" s="1"/>
    </row>
    <row r="2751" ht="50.25" customHeight="1">
      <c r="A2751" s="12">
        <v>2747.0</v>
      </c>
      <c r="B2751" s="13" t="s">
        <v>2624</v>
      </c>
      <c r="C2751" s="14" t="s">
        <v>2765</v>
      </c>
      <c r="D2751" s="1"/>
      <c r="E2751" s="1"/>
      <c r="F2751" s="1" t="str">
        <f>IFERROR(__xludf.DUMMYFUNCTION("GOOGLETRANSLATE(B2751, ""en"", ""fa"")
"),"نویسندگی و داستان سرایی را تحریک می کند")</f>
        <v>نویسندگی و داستان سرایی را تحریک می کند</v>
      </c>
      <c r="G2751" s="1" t="str">
        <f>IFERROR(__xludf.DUMMYFUNCTION("GOOGLETRANSLATE(C2751, ""en"", ""fa"")
"),"داستانی در مورد شخصی بنویسید که دارای قدرت شفا است اما باید با عواقب دستکاری در زندگی و مرگ مقابله کند.")</f>
        <v>داستانی در مورد شخصی بنویسید که دارای قدرت شفا است اما باید با عواقب دستکاری در زندگی و مرگ مقابله کند.</v>
      </c>
      <c r="H2751" s="1"/>
      <c r="I2751" s="1"/>
      <c r="J2751" s="1"/>
      <c r="K2751" s="1"/>
      <c r="L2751" s="1"/>
      <c r="M2751" s="1"/>
      <c r="N2751" s="1"/>
      <c r="O2751" s="1"/>
      <c r="P2751" s="1"/>
      <c r="Q2751" s="1"/>
      <c r="R2751" s="1"/>
      <c r="S2751" s="1"/>
      <c r="T2751" s="1"/>
      <c r="U2751" s="1"/>
      <c r="V2751" s="1"/>
      <c r="W2751" s="1"/>
      <c r="X2751" s="1"/>
      <c r="Y2751" s="1"/>
      <c r="Z2751" s="1"/>
      <c r="AA2751" s="1"/>
      <c r="AB2751" s="1"/>
    </row>
    <row r="2752" ht="50.25" customHeight="1">
      <c r="A2752" s="12">
        <v>2748.0</v>
      </c>
      <c r="B2752" s="13" t="s">
        <v>2624</v>
      </c>
      <c r="C2752" s="14" t="s">
        <v>2766</v>
      </c>
      <c r="D2752" s="1"/>
      <c r="E2752" s="1"/>
      <c r="F2752" s="1" t="str">
        <f>IFERROR(__xludf.DUMMYFUNCTION("GOOGLETRANSLATE(B2752, ""en"", ""fa"")
"),"نویسندگی و داستان سرایی را تحریک می کند")</f>
        <v>نویسندگی و داستان سرایی را تحریک می کند</v>
      </c>
      <c r="G2752" s="1" t="str">
        <f>IFERROR(__xludf.DUMMYFUNCTION("GOOGLETRANSLATE(C2752, ""en"", ""fa"")
"),"شخصیتی بسازید که بتواند با ارواح ارتباط برقرار کند و به پلی بین قلمرو زنده و ماوراء طبیعی تبدیل شود.")</f>
        <v>شخصیتی بسازید که بتواند با ارواح ارتباط برقرار کند و به پلی بین قلمرو زنده و ماوراء طبیعی تبدیل شود.</v>
      </c>
      <c r="H2752" s="1"/>
      <c r="I2752" s="1"/>
      <c r="J2752" s="1"/>
      <c r="K2752" s="1"/>
      <c r="L2752" s="1"/>
      <c r="M2752" s="1"/>
      <c r="N2752" s="1"/>
      <c r="O2752" s="1"/>
      <c r="P2752" s="1"/>
      <c r="Q2752" s="1"/>
      <c r="R2752" s="1"/>
      <c r="S2752" s="1"/>
      <c r="T2752" s="1"/>
      <c r="U2752" s="1"/>
      <c r="V2752" s="1"/>
      <c r="W2752" s="1"/>
      <c r="X2752" s="1"/>
      <c r="Y2752" s="1"/>
      <c r="Z2752" s="1"/>
      <c r="AA2752" s="1"/>
      <c r="AB2752" s="1"/>
    </row>
    <row r="2753" ht="50.25" customHeight="1">
      <c r="A2753" s="12">
        <v>2749.0</v>
      </c>
      <c r="B2753" s="13" t="s">
        <v>2624</v>
      </c>
      <c r="C2753" s="14" t="s">
        <v>2767</v>
      </c>
      <c r="D2753" s="1"/>
      <c r="E2753" s="1"/>
      <c r="F2753" s="1" t="str">
        <f>IFERROR(__xludf.DUMMYFUNCTION("GOOGLETRANSLATE(B2753, ""en"", ""fa"")
"),"نویسندگی و داستان سرایی را تحریک می کند")</f>
        <v>نویسندگی و داستان سرایی را تحریک می کند</v>
      </c>
      <c r="G2753" s="1" t="str">
        <f>IFERROR(__xludf.DUMMYFUNCTION("GOOGLETRANSLATE(C2753, ""en"", ""fa"")
"),"صحنه‌ای را بنویسید که در دنیایی اتفاق می‌افتد که در آن سایه‌ها رازهایی را در خود دارند و یک سایه‌رو باید حقیقت پشت یک توطئه را کشف کند.")</f>
        <v>صحنه‌ای را بنویسید که در دنیایی اتفاق می‌افتد که در آن سایه‌ها رازهایی را در خود دارند و یک سایه‌رو باید حقیقت پشت یک توطئه را کشف کند.</v>
      </c>
      <c r="H2753" s="1"/>
      <c r="I2753" s="1"/>
      <c r="J2753" s="1"/>
      <c r="K2753" s="1"/>
      <c r="L2753" s="1"/>
      <c r="M2753" s="1"/>
      <c r="N2753" s="1"/>
      <c r="O2753" s="1"/>
      <c r="P2753" s="1"/>
      <c r="Q2753" s="1"/>
      <c r="R2753" s="1"/>
      <c r="S2753" s="1"/>
      <c r="T2753" s="1"/>
      <c r="U2753" s="1"/>
      <c r="V2753" s="1"/>
      <c r="W2753" s="1"/>
      <c r="X2753" s="1"/>
      <c r="Y2753" s="1"/>
      <c r="Z2753" s="1"/>
      <c r="AA2753" s="1"/>
      <c r="AB2753" s="1"/>
    </row>
    <row r="2754" ht="50.25" customHeight="1">
      <c r="A2754" s="12">
        <v>2750.0</v>
      </c>
      <c r="B2754" s="13" t="s">
        <v>2624</v>
      </c>
      <c r="C2754" s="14" t="s">
        <v>2768</v>
      </c>
      <c r="D2754" s="1"/>
      <c r="E2754" s="1"/>
      <c r="F2754" s="1" t="str">
        <f>IFERROR(__xludf.DUMMYFUNCTION("GOOGLETRANSLATE(B2754, ""en"", ""fa"")
"),"نویسندگی و داستان سرایی را تحریک می کند")</f>
        <v>نویسندگی و داستان سرایی را تحریک می کند</v>
      </c>
      <c r="G2754" s="1" t="str">
        <f>IFERROR(__xludf.DUMMYFUNCTION("GOOGLETRANSLATE(C2754, ""en"", ""fa"")
"),"یک تمدن پنهان در ابرها را توصیف کنید که در آن موجودات بالدار در کنار هم زندگی می کنند و یک جوان خارجی بال های خود را کشف می کند.")</f>
        <v>یک تمدن پنهان در ابرها را توصیف کنید که در آن موجودات بالدار در کنار هم زندگی می کنند و یک جوان خارجی بال های خود را کشف می کند.</v>
      </c>
      <c r="H2754" s="1"/>
      <c r="I2754" s="1"/>
      <c r="J2754" s="1"/>
      <c r="K2754" s="1"/>
      <c r="L2754" s="1"/>
      <c r="M2754" s="1"/>
      <c r="N2754" s="1"/>
      <c r="O2754" s="1"/>
      <c r="P2754" s="1"/>
      <c r="Q2754" s="1"/>
      <c r="R2754" s="1"/>
      <c r="S2754" s="1"/>
      <c r="T2754" s="1"/>
      <c r="U2754" s="1"/>
      <c r="V2754" s="1"/>
      <c r="W2754" s="1"/>
      <c r="X2754" s="1"/>
      <c r="Y2754" s="1"/>
      <c r="Z2754" s="1"/>
      <c r="AA2754" s="1"/>
      <c r="AB2754" s="1"/>
    </row>
    <row r="2755" ht="50.25" customHeight="1">
      <c r="A2755" s="12">
        <v>2751.0</v>
      </c>
      <c r="B2755" s="13" t="s">
        <v>2624</v>
      </c>
      <c r="C2755" s="14" t="s">
        <v>2769</v>
      </c>
      <c r="D2755" s="1"/>
      <c r="E2755" s="1"/>
      <c r="F2755" s="1" t="str">
        <f>IFERROR(__xludf.DUMMYFUNCTION("GOOGLETRANSLATE(B2755, ""en"", ""fa"")
"),"نویسندگی و داستان سرایی را تحریک می کند")</f>
        <v>نویسندگی و داستان سرایی را تحریک می کند</v>
      </c>
      <c r="G2755" s="1" t="str">
        <f>IFERROR(__xludf.DUMMYFUNCTION("GOOGLETRANSLATE(C2755, ""en"", ""fa"")
"),"داستانی در مورد شخصی بنویسید که دارای قدرت همدلی است و قادر به جذب و دستکاری احساسات است.")</f>
        <v>داستانی در مورد شخصی بنویسید که دارای قدرت همدلی است و قادر به جذب و دستکاری احساسات است.</v>
      </c>
      <c r="H2755" s="1"/>
      <c r="I2755" s="1"/>
      <c r="J2755" s="1"/>
      <c r="K2755" s="1"/>
      <c r="L2755" s="1"/>
      <c r="M2755" s="1"/>
      <c r="N2755" s="1"/>
      <c r="O2755" s="1"/>
      <c r="P2755" s="1"/>
      <c r="Q2755" s="1"/>
      <c r="R2755" s="1"/>
      <c r="S2755" s="1"/>
      <c r="T2755" s="1"/>
      <c r="U2755" s="1"/>
      <c r="V2755" s="1"/>
      <c r="W2755" s="1"/>
      <c r="X2755" s="1"/>
      <c r="Y2755" s="1"/>
      <c r="Z2755" s="1"/>
      <c r="AA2755" s="1"/>
      <c r="AB2755" s="1"/>
    </row>
    <row r="2756" ht="50.25" customHeight="1">
      <c r="A2756" s="12">
        <v>2752.0</v>
      </c>
      <c r="B2756" s="13" t="s">
        <v>2624</v>
      </c>
      <c r="C2756" s="14" t="s">
        <v>2770</v>
      </c>
      <c r="D2756" s="1"/>
      <c r="E2756" s="1"/>
      <c r="F2756" s="1" t="str">
        <f>IFERROR(__xludf.DUMMYFUNCTION("GOOGLETRANSLATE(B2756, ""en"", ""fa"")
"),"نویسندگی و داستان سرایی را تحریک می کند")</f>
        <v>نویسندگی و داستان سرایی را تحریک می کند</v>
      </c>
      <c r="G2756" s="1" t="str">
        <f>IFERROR(__xludf.DUMMYFUNCTION("GOOGLETRANSLATE(C2756, ""en"", ""fa"")
"),"شخصیتی بسازید که بتواند کریستال ها را کنترل و دستکاری کند و از انرژی آن ها استفاده کند و از خواص آن ها استفاده کند.")</f>
        <v>شخصیتی بسازید که بتواند کریستال ها را کنترل و دستکاری کند و از انرژی آن ها استفاده کند و از خواص آن ها استفاده کند.</v>
      </c>
      <c r="H2756" s="1"/>
      <c r="I2756" s="1"/>
      <c r="J2756" s="1"/>
      <c r="K2756" s="1"/>
      <c r="L2756" s="1"/>
      <c r="M2756" s="1"/>
      <c r="N2756" s="1"/>
      <c r="O2756" s="1"/>
      <c r="P2756" s="1"/>
      <c r="Q2756" s="1"/>
      <c r="R2756" s="1"/>
      <c r="S2756" s="1"/>
      <c r="T2756" s="1"/>
      <c r="U2756" s="1"/>
      <c r="V2756" s="1"/>
      <c r="W2756" s="1"/>
      <c r="X2756" s="1"/>
      <c r="Y2756" s="1"/>
      <c r="Z2756" s="1"/>
      <c r="AA2756" s="1"/>
      <c r="AB2756" s="1"/>
    </row>
    <row r="2757" ht="50.25" customHeight="1">
      <c r="A2757" s="12">
        <v>2753.0</v>
      </c>
      <c r="B2757" s="13" t="s">
        <v>2624</v>
      </c>
      <c r="C2757" s="14" t="s">
        <v>2771</v>
      </c>
      <c r="D2757" s="1"/>
      <c r="E2757" s="1"/>
      <c r="F2757" s="1" t="str">
        <f>IFERROR(__xludf.DUMMYFUNCTION("GOOGLETRANSLATE(B2757, ""en"", ""fa"")
"),"نویسندگی و داستان سرایی را تحریک می کند")</f>
        <v>نویسندگی و داستان سرایی را تحریک می کند</v>
      </c>
      <c r="G2757" s="1" t="str">
        <f>IFERROR(__xludf.DUMMYFUNCTION("GOOGLETRANSLATE(C2757, ""en"", ""fa"")
"),"صحنه ای بنویسید که در آن گروهی از افراد با توانایی های خارق العاده تیمی را تشکیل می دهند تا از جهان در برابر تهدیدات ماوراء طبیعی محافظت کنند.")</f>
        <v>صحنه ای بنویسید که در آن گروهی از افراد با توانایی های خارق العاده تیمی را تشکیل می دهند تا از جهان در برابر تهدیدات ماوراء طبیعی محافظت کنند.</v>
      </c>
      <c r="H2757" s="1"/>
      <c r="I2757" s="1"/>
      <c r="J2757" s="1"/>
      <c r="K2757" s="1"/>
      <c r="L2757" s="1"/>
      <c r="M2757" s="1"/>
      <c r="N2757" s="1"/>
      <c r="O2757" s="1"/>
      <c r="P2757" s="1"/>
      <c r="Q2757" s="1"/>
      <c r="R2757" s="1"/>
      <c r="S2757" s="1"/>
      <c r="T2757" s="1"/>
      <c r="U2757" s="1"/>
      <c r="V2757" s="1"/>
      <c r="W2757" s="1"/>
      <c r="X2757" s="1"/>
      <c r="Y2757" s="1"/>
      <c r="Z2757" s="1"/>
      <c r="AA2757" s="1"/>
      <c r="AB2757" s="1"/>
    </row>
    <row r="2758" ht="50.25" customHeight="1">
      <c r="A2758" s="12">
        <v>2754.0</v>
      </c>
      <c r="B2758" s="13" t="s">
        <v>2624</v>
      </c>
      <c r="C2758" s="14" t="s">
        <v>2772</v>
      </c>
      <c r="D2758" s="1"/>
      <c r="E2758" s="1"/>
      <c r="F2758" s="1" t="str">
        <f>IFERROR(__xludf.DUMMYFUNCTION("GOOGLETRANSLATE(B2758, ""en"", ""fa"")
"),"نویسندگی و داستان سرایی را تحریک می کند")</f>
        <v>نویسندگی و داستان سرایی را تحریک می کند</v>
      </c>
      <c r="G2758" s="1" t="str">
        <f>IFERROR(__xludf.DUMMYFUNCTION("GOOGLETRANSLATE(C2758, ""en"", ""fa"")
"),"جامعه ای را توصیف کنید که در آن رویاها به اشیاء فیزیکی تبدیل می شوند و یک رویاپرداز منظره رویای جمعی را می سازد و ترمیم می کند.")</f>
        <v>جامعه ای را توصیف کنید که در آن رویاها به اشیاء فیزیکی تبدیل می شوند و یک رویاپرداز منظره رویای جمعی را می سازد و ترمیم می کند.</v>
      </c>
      <c r="H2758" s="1"/>
      <c r="I2758" s="1"/>
      <c r="J2758" s="1"/>
      <c r="K2758" s="1"/>
      <c r="L2758" s="1"/>
      <c r="M2758" s="1"/>
      <c r="N2758" s="1"/>
      <c r="O2758" s="1"/>
      <c r="P2758" s="1"/>
      <c r="Q2758" s="1"/>
      <c r="R2758" s="1"/>
      <c r="S2758" s="1"/>
      <c r="T2758" s="1"/>
      <c r="U2758" s="1"/>
      <c r="V2758" s="1"/>
      <c r="W2758" s="1"/>
      <c r="X2758" s="1"/>
      <c r="Y2758" s="1"/>
      <c r="Z2758" s="1"/>
      <c r="AA2758" s="1"/>
      <c r="AB2758" s="1"/>
    </row>
    <row r="2759" ht="50.25" customHeight="1">
      <c r="A2759" s="12">
        <v>2755.0</v>
      </c>
      <c r="B2759" s="13" t="s">
        <v>2624</v>
      </c>
      <c r="C2759" s="14" t="s">
        <v>2773</v>
      </c>
      <c r="D2759" s="1"/>
      <c r="E2759" s="1"/>
      <c r="F2759" s="1" t="str">
        <f>IFERROR(__xludf.DUMMYFUNCTION("GOOGLETRANSLATE(B2759, ""en"", ""fa"")
"),"نویسندگی و داستان سرایی را تحریک می کند")</f>
        <v>نویسندگی و داستان سرایی را تحریک می کند</v>
      </c>
      <c r="G2759" s="1" t="str">
        <f>IFERROR(__xludf.DUMMYFUNCTION("GOOGLETRANSLATE(C2759, ""en"", ""fa"")
"),"داستانی در مورد شخصی بنویسید که می تواند با موجودات افسانه ای ارتباط برقرار کند و درگیر نبردی برای بقای آنها می شود.")</f>
        <v>داستانی در مورد شخصی بنویسید که می تواند با موجودات افسانه ای ارتباط برقرار کند و درگیر نبردی برای بقای آنها می شود.</v>
      </c>
      <c r="H2759" s="1"/>
      <c r="I2759" s="1"/>
      <c r="J2759" s="1"/>
      <c r="K2759" s="1"/>
      <c r="L2759" s="1"/>
      <c r="M2759" s="1"/>
      <c r="N2759" s="1"/>
      <c r="O2759" s="1"/>
      <c r="P2759" s="1"/>
      <c r="Q2759" s="1"/>
      <c r="R2759" s="1"/>
      <c r="S2759" s="1"/>
      <c r="T2759" s="1"/>
      <c r="U2759" s="1"/>
      <c r="V2759" s="1"/>
      <c r="W2759" s="1"/>
      <c r="X2759" s="1"/>
      <c r="Y2759" s="1"/>
      <c r="Z2759" s="1"/>
      <c r="AA2759" s="1"/>
      <c r="AB2759" s="1"/>
    </row>
    <row r="2760" ht="50.25" customHeight="1">
      <c r="A2760" s="12">
        <v>2756.0</v>
      </c>
      <c r="B2760" s="13" t="s">
        <v>2624</v>
      </c>
      <c r="C2760" s="14" t="s">
        <v>2774</v>
      </c>
      <c r="D2760" s="1"/>
      <c r="E2760" s="1"/>
      <c r="F2760" s="1" t="str">
        <f>IFERROR(__xludf.DUMMYFUNCTION("GOOGLETRANSLATE(B2760, ""en"", ""fa"")
"),"نویسندگی و داستان سرایی را تحریک می کند")</f>
        <v>نویسندگی و داستان سرایی را تحریک می کند</v>
      </c>
      <c r="G2760" s="1" t="str">
        <f>IFERROR(__xludf.DUMMYFUNCTION("GOOGLETRANSLATE(C2760, ""en"", ""fa"")
"),"شخصیتی بسازید که بتواند رویاها را کنترل و دستکاری کند و از توانایی های خود برای هدایت و محافظت از رویاپردازان استفاده کند.")</f>
        <v>شخصیتی بسازید که بتواند رویاها را کنترل و دستکاری کند و از توانایی های خود برای هدایت و محافظت از رویاپردازان استفاده کند.</v>
      </c>
      <c r="H2760" s="1"/>
      <c r="I2760" s="1"/>
      <c r="J2760" s="1"/>
      <c r="K2760" s="1"/>
      <c r="L2760" s="1"/>
      <c r="M2760" s="1"/>
      <c r="N2760" s="1"/>
      <c r="O2760" s="1"/>
      <c r="P2760" s="1"/>
      <c r="Q2760" s="1"/>
      <c r="R2760" s="1"/>
      <c r="S2760" s="1"/>
      <c r="T2760" s="1"/>
      <c r="U2760" s="1"/>
      <c r="V2760" s="1"/>
      <c r="W2760" s="1"/>
      <c r="X2760" s="1"/>
      <c r="Y2760" s="1"/>
      <c r="Z2760" s="1"/>
      <c r="AA2760" s="1"/>
      <c r="AB2760" s="1"/>
    </row>
    <row r="2761" ht="50.25" customHeight="1">
      <c r="A2761" s="12">
        <v>2757.0</v>
      </c>
      <c r="B2761" s="13" t="s">
        <v>2624</v>
      </c>
      <c r="C2761" s="14" t="s">
        <v>2775</v>
      </c>
      <c r="D2761" s="1"/>
      <c r="E2761" s="1"/>
      <c r="F2761" s="1" t="str">
        <f>IFERROR(__xludf.DUMMYFUNCTION("GOOGLETRANSLATE(B2761, ""en"", ""fa"")
"),"نویسندگی و داستان سرایی را تحریک می کند")</f>
        <v>نویسندگی و داستان سرایی را تحریک می کند</v>
      </c>
      <c r="G2761" s="1" t="str">
        <f>IFERROR(__xludf.DUMMYFUNCTION("GOOGLETRANSLATE(C2761, ""en"", ""fa"")
"),"داستانی در مورد شخصی بنویسید که قلمروی پنهان در کتاب را کشف می کند و بخشی از روایت آن می شود.")</f>
        <v>داستانی در مورد شخصی بنویسید که قلمروی پنهان در کتاب را کشف می کند و بخشی از روایت آن می شود.</v>
      </c>
      <c r="H2761" s="1"/>
      <c r="I2761" s="1"/>
      <c r="J2761" s="1"/>
      <c r="K2761" s="1"/>
      <c r="L2761" s="1"/>
      <c r="M2761" s="1"/>
      <c r="N2761" s="1"/>
      <c r="O2761" s="1"/>
      <c r="P2761" s="1"/>
      <c r="Q2761" s="1"/>
      <c r="R2761" s="1"/>
      <c r="S2761" s="1"/>
      <c r="T2761" s="1"/>
      <c r="U2761" s="1"/>
      <c r="V2761" s="1"/>
      <c r="W2761" s="1"/>
      <c r="X2761" s="1"/>
      <c r="Y2761" s="1"/>
      <c r="Z2761" s="1"/>
      <c r="AA2761" s="1"/>
      <c r="AB2761" s="1"/>
    </row>
    <row r="2762" ht="50.25" customHeight="1">
      <c r="A2762" s="12">
        <v>2758.0</v>
      </c>
      <c r="B2762" s="13" t="s">
        <v>2624</v>
      </c>
      <c r="C2762" s="14" t="s">
        <v>2776</v>
      </c>
      <c r="D2762" s="1"/>
      <c r="E2762" s="1"/>
      <c r="F2762" s="1" t="str">
        <f>IFERROR(__xludf.DUMMYFUNCTION("GOOGLETRANSLATE(B2762, ""en"", ""fa"")
"),"نویسندگی و داستان سرایی را تحریک می کند")</f>
        <v>نویسندگی و داستان سرایی را تحریک می کند</v>
      </c>
      <c r="G2762" s="1" t="str">
        <f>IFERROR(__xludf.DUMMYFUNCTION("GOOGLETRANSLATE(C2762, ""en"", ""fa"")
"),"شخصیتی بسازید که بتواند احساسات را دستکاری کند و باید پیامدهای اخلاقی قدرت خود را دنبال کند.")</f>
        <v>شخصیتی بسازید که بتواند احساسات را دستکاری کند و باید پیامدهای اخلاقی قدرت خود را دنبال کند.</v>
      </c>
      <c r="H2762" s="1"/>
      <c r="I2762" s="1"/>
      <c r="J2762" s="1"/>
      <c r="K2762" s="1"/>
      <c r="L2762" s="1"/>
      <c r="M2762" s="1"/>
      <c r="N2762" s="1"/>
      <c r="O2762" s="1"/>
      <c r="P2762" s="1"/>
      <c r="Q2762" s="1"/>
      <c r="R2762" s="1"/>
      <c r="S2762" s="1"/>
      <c r="T2762" s="1"/>
      <c r="U2762" s="1"/>
      <c r="V2762" s="1"/>
      <c r="W2762" s="1"/>
      <c r="X2762" s="1"/>
      <c r="Y2762" s="1"/>
      <c r="Z2762" s="1"/>
      <c r="AA2762" s="1"/>
      <c r="AB2762" s="1"/>
    </row>
    <row r="2763" ht="50.25" customHeight="1">
      <c r="A2763" s="12">
        <v>2759.0</v>
      </c>
      <c r="B2763" s="13" t="s">
        <v>2624</v>
      </c>
      <c r="C2763" s="14" t="s">
        <v>2777</v>
      </c>
      <c r="D2763" s="1"/>
      <c r="E2763" s="1"/>
      <c r="F2763" s="1" t="str">
        <f>IFERROR(__xludf.DUMMYFUNCTION("GOOGLETRANSLATE(B2763, ""en"", ""fa"")
"),"نویسندگی و داستان سرایی را تحریک می کند")</f>
        <v>نویسندگی و داستان سرایی را تحریک می کند</v>
      </c>
      <c r="G2763" s="1" t="str">
        <f>IFERROR(__xludf.DUMMYFUNCTION("GOOGLETRANSLATE(C2763, ""en"", ""fa"")
"),"صحنه‌ای بنویسید که در دنیایی اتفاق می‌افتد که در آن فناوری به حدی پیشرفت کرده است که می‌توان خاطرات انسان را ثبت کرد و دوباره زنده کرد.")</f>
        <v>صحنه‌ای بنویسید که در دنیایی اتفاق می‌افتد که در آن فناوری به حدی پیشرفت کرده است که می‌توان خاطرات انسان را ثبت کرد و دوباره زنده کرد.</v>
      </c>
      <c r="H2763" s="1"/>
      <c r="I2763" s="1"/>
      <c r="J2763" s="1"/>
      <c r="K2763" s="1"/>
      <c r="L2763" s="1"/>
      <c r="M2763" s="1"/>
      <c r="N2763" s="1"/>
      <c r="O2763" s="1"/>
      <c r="P2763" s="1"/>
      <c r="Q2763" s="1"/>
      <c r="R2763" s="1"/>
      <c r="S2763" s="1"/>
      <c r="T2763" s="1"/>
      <c r="U2763" s="1"/>
      <c r="V2763" s="1"/>
      <c r="W2763" s="1"/>
      <c r="X2763" s="1"/>
      <c r="Y2763" s="1"/>
      <c r="Z2763" s="1"/>
      <c r="AA2763" s="1"/>
      <c r="AB2763" s="1"/>
    </row>
    <row r="2764" ht="50.25" customHeight="1">
      <c r="A2764" s="12">
        <v>2760.0</v>
      </c>
      <c r="B2764" s="13" t="s">
        <v>2624</v>
      </c>
      <c r="C2764" s="14" t="s">
        <v>2778</v>
      </c>
      <c r="D2764" s="1"/>
      <c r="E2764" s="1"/>
      <c r="F2764" s="1" t="str">
        <f>IFERROR(__xludf.DUMMYFUNCTION("GOOGLETRANSLATE(B2764, ""en"", ""fa"")
"),"نویسندگی و داستان سرایی را تحریک می کند")</f>
        <v>نویسندگی و داستان سرایی را تحریک می کند</v>
      </c>
      <c r="G2764" s="1" t="str">
        <f>IFERROR(__xludf.DUMMYFUNCTION("GOOGLETRANSLATE(C2764, ""en"", ""fa"")
"),"جامعه ای را توصیف کنید که در آن قصه گویی ممنوع است و گروهی از شورشیان به دنبال حفظ قدرت روایت هستند.")</f>
        <v>جامعه ای را توصیف کنید که در آن قصه گویی ممنوع است و گروهی از شورشیان به دنبال حفظ قدرت روایت هستند.</v>
      </c>
      <c r="H2764" s="1"/>
      <c r="I2764" s="1"/>
      <c r="J2764" s="1"/>
      <c r="K2764" s="1"/>
      <c r="L2764" s="1"/>
      <c r="M2764" s="1"/>
      <c r="N2764" s="1"/>
      <c r="O2764" s="1"/>
      <c r="P2764" s="1"/>
      <c r="Q2764" s="1"/>
      <c r="R2764" s="1"/>
      <c r="S2764" s="1"/>
      <c r="T2764" s="1"/>
      <c r="U2764" s="1"/>
      <c r="V2764" s="1"/>
      <c r="W2764" s="1"/>
      <c r="X2764" s="1"/>
      <c r="Y2764" s="1"/>
      <c r="Z2764" s="1"/>
      <c r="AA2764" s="1"/>
      <c r="AB2764" s="1"/>
    </row>
    <row r="2765" ht="50.25" customHeight="1">
      <c r="A2765" s="12">
        <v>2761.0</v>
      </c>
      <c r="B2765" s="13" t="s">
        <v>2624</v>
      </c>
      <c r="C2765" s="14" t="s">
        <v>2779</v>
      </c>
      <c r="D2765" s="1"/>
      <c r="E2765" s="1"/>
      <c r="F2765" s="1" t="str">
        <f>IFERROR(__xludf.DUMMYFUNCTION("GOOGLETRANSLATE(B2765, ""en"", ""fa"")
"),"نویسندگی و داستان سرایی را تحریک می کند")</f>
        <v>نویسندگی و داستان سرایی را تحریک می کند</v>
      </c>
      <c r="G2765" s="1" t="str">
        <f>IFERROR(__xludf.DUMMYFUNCTION("GOOGLETRANSLATE(C2765, ""en"", ""fa"")
"),"داستانی در مورد شخصی بنویسید که دارای قدرت کنترل ذهن است و باید تصمیم بگیرد که از آن برای خیر یا شر استفاده کند.")</f>
        <v>داستانی در مورد شخصی بنویسید که دارای قدرت کنترل ذهن است و باید تصمیم بگیرد که از آن برای خیر یا شر استفاده کند.</v>
      </c>
      <c r="H2765" s="1"/>
      <c r="I2765" s="1"/>
      <c r="J2765" s="1"/>
      <c r="K2765" s="1"/>
      <c r="L2765" s="1"/>
      <c r="M2765" s="1"/>
      <c r="N2765" s="1"/>
      <c r="O2765" s="1"/>
      <c r="P2765" s="1"/>
      <c r="Q2765" s="1"/>
      <c r="R2765" s="1"/>
      <c r="S2765" s="1"/>
      <c r="T2765" s="1"/>
      <c r="U2765" s="1"/>
      <c r="V2765" s="1"/>
      <c r="W2765" s="1"/>
      <c r="X2765" s="1"/>
      <c r="Y2765" s="1"/>
      <c r="Z2765" s="1"/>
      <c r="AA2765" s="1"/>
      <c r="AB2765" s="1"/>
    </row>
    <row r="2766" ht="50.25" customHeight="1">
      <c r="A2766" s="12">
        <v>2762.0</v>
      </c>
      <c r="B2766" s="13" t="s">
        <v>2624</v>
      </c>
      <c r="C2766" s="14" t="s">
        <v>2780</v>
      </c>
      <c r="D2766" s="1"/>
      <c r="E2766" s="1"/>
      <c r="F2766" s="1" t="str">
        <f>IFERROR(__xludf.DUMMYFUNCTION("GOOGLETRANSLATE(B2766, ""en"", ""fa"")
"),"نویسندگی و داستان سرایی را تحریک می کند")</f>
        <v>نویسندگی و داستان سرایی را تحریک می کند</v>
      </c>
      <c r="G2766" s="1" t="str">
        <f>IFERROR(__xludf.DUMMYFUNCTION("GOOGLETRANSLATE(C2766, ""en"", ""fa"")
"),"شخصیتی بسازید که بتواند در ابعاد مختلف سفر کند و با خود جایگزین خود روبرو شود.")</f>
        <v>شخصیتی بسازید که بتواند در ابعاد مختلف سفر کند و با خود جایگزین خود روبرو شود.</v>
      </c>
      <c r="H2766" s="1"/>
      <c r="I2766" s="1"/>
      <c r="J2766" s="1"/>
      <c r="K2766" s="1"/>
      <c r="L2766" s="1"/>
      <c r="M2766" s="1"/>
      <c r="N2766" s="1"/>
      <c r="O2766" s="1"/>
      <c r="P2766" s="1"/>
      <c r="Q2766" s="1"/>
      <c r="R2766" s="1"/>
      <c r="S2766" s="1"/>
      <c r="T2766" s="1"/>
      <c r="U2766" s="1"/>
      <c r="V2766" s="1"/>
      <c r="W2766" s="1"/>
      <c r="X2766" s="1"/>
      <c r="Y2766" s="1"/>
      <c r="Z2766" s="1"/>
      <c r="AA2766" s="1"/>
      <c r="AB2766" s="1"/>
    </row>
    <row r="2767" ht="50.25" customHeight="1">
      <c r="A2767" s="12">
        <v>2763.0</v>
      </c>
      <c r="B2767" s="13" t="s">
        <v>2624</v>
      </c>
      <c r="C2767" s="14" t="s">
        <v>2781</v>
      </c>
      <c r="D2767" s="1"/>
      <c r="E2767" s="1"/>
      <c r="F2767" s="1" t="str">
        <f>IFERROR(__xludf.DUMMYFUNCTION("GOOGLETRANSLATE(B2767, ""en"", ""fa"")
"),"نویسندگی و داستان سرایی را تحریک می کند")</f>
        <v>نویسندگی و داستان سرایی را تحریک می کند</v>
      </c>
      <c r="G2767" s="1" t="str">
        <f>IFERROR(__xludf.DUMMYFUNCTION("GOOGLETRANSLATE(C2767, ""en"", ""fa"")
"),"صحنه ای را بنویسید که در آن گروهی از افراد با توانایی های منحصر به فرد یک جامعه مخفی تشکیل می دهند تا از جهان در برابر تهدیدات ماوراء طبیعی محافظت کنند.")</f>
        <v>صحنه ای را بنویسید که در آن گروهی از افراد با توانایی های منحصر به فرد یک جامعه مخفی تشکیل می دهند تا از جهان در برابر تهدیدات ماوراء طبیعی محافظت کنند.</v>
      </c>
      <c r="H2767" s="1"/>
      <c r="I2767" s="1"/>
      <c r="J2767" s="1"/>
      <c r="K2767" s="1"/>
      <c r="L2767" s="1"/>
      <c r="M2767" s="1"/>
      <c r="N2767" s="1"/>
      <c r="O2767" s="1"/>
      <c r="P2767" s="1"/>
      <c r="Q2767" s="1"/>
      <c r="R2767" s="1"/>
      <c r="S2767" s="1"/>
      <c r="T2767" s="1"/>
      <c r="U2767" s="1"/>
      <c r="V2767" s="1"/>
      <c r="W2767" s="1"/>
      <c r="X2767" s="1"/>
      <c r="Y2767" s="1"/>
      <c r="Z2767" s="1"/>
      <c r="AA2767" s="1"/>
      <c r="AB2767" s="1"/>
    </row>
    <row r="2768" ht="50.25" customHeight="1">
      <c r="A2768" s="12">
        <v>2764.0</v>
      </c>
      <c r="B2768" s="13" t="s">
        <v>2624</v>
      </c>
      <c r="C2768" s="14" t="s">
        <v>2782</v>
      </c>
      <c r="D2768" s="1"/>
      <c r="E2768" s="1"/>
      <c r="F2768" s="1" t="str">
        <f>IFERROR(__xludf.DUMMYFUNCTION("GOOGLETRANSLATE(B2768, ""en"", ""fa"")
"),"نویسندگی و داستان سرایی را تحریک می کند")</f>
        <v>نویسندگی و داستان سرایی را تحریک می کند</v>
      </c>
      <c r="G2768" s="1" t="str">
        <f>IFERROR(__xludf.DUMMYFUNCTION("GOOGLETRANSLATE(C2768, ""en"", ""fa"")
"),"یک کتابخانه مخفی را توصیف کنید که در آن کتاب‌ها توانایی انتقال خوانندگان را به داستان‌هایشان دارند.")</f>
        <v>یک کتابخانه مخفی را توصیف کنید که در آن کتاب‌ها توانایی انتقال خوانندگان را به داستان‌هایشان دارند.</v>
      </c>
      <c r="H2768" s="1"/>
      <c r="I2768" s="1"/>
      <c r="J2768" s="1"/>
      <c r="K2768" s="1"/>
      <c r="L2768" s="1"/>
      <c r="M2768" s="1"/>
      <c r="N2768" s="1"/>
      <c r="O2768" s="1"/>
      <c r="P2768" s="1"/>
      <c r="Q2768" s="1"/>
      <c r="R2768" s="1"/>
      <c r="S2768" s="1"/>
      <c r="T2768" s="1"/>
      <c r="U2768" s="1"/>
      <c r="V2768" s="1"/>
      <c r="W2768" s="1"/>
      <c r="X2768" s="1"/>
      <c r="Y2768" s="1"/>
      <c r="Z2768" s="1"/>
      <c r="AA2768" s="1"/>
      <c r="AB2768" s="1"/>
    </row>
    <row r="2769" ht="50.25" customHeight="1">
      <c r="A2769" s="12">
        <v>2765.0</v>
      </c>
      <c r="B2769" s="13" t="s">
        <v>2624</v>
      </c>
      <c r="C2769" s="14" t="s">
        <v>2783</v>
      </c>
      <c r="D2769" s="1"/>
      <c r="E2769" s="1"/>
      <c r="F2769" s="1" t="str">
        <f>IFERROR(__xludf.DUMMYFUNCTION("GOOGLETRANSLATE(B2769, ""en"", ""fa"")
"),"نویسندگی و داستان سرایی را تحریک می کند")</f>
        <v>نویسندگی و داستان سرایی را تحریک می کند</v>
      </c>
      <c r="G2769" s="1" t="str">
        <f>IFERROR(__xludf.DUMMYFUNCTION("GOOGLETRANSLATE(C2769, ""en"", ""fa"")
"),"داستانی در مورد شخصی بنویسید که می تواند با حیوانات ارتباط برقرار کند و برای نجات گونه های در خطر انقراض تلاش کند.")</f>
        <v>داستانی در مورد شخصی بنویسید که می تواند با حیوانات ارتباط برقرار کند و برای نجات گونه های در خطر انقراض تلاش کند.</v>
      </c>
      <c r="H2769" s="1"/>
      <c r="I2769" s="1"/>
      <c r="J2769" s="1"/>
      <c r="K2769" s="1"/>
      <c r="L2769" s="1"/>
      <c r="M2769" s="1"/>
      <c r="N2769" s="1"/>
      <c r="O2769" s="1"/>
      <c r="P2769" s="1"/>
      <c r="Q2769" s="1"/>
      <c r="R2769" s="1"/>
      <c r="S2769" s="1"/>
      <c r="T2769" s="1"/>
      <c r="U2769" s="1"/>
      <c r="V2769" s="1"/>
      <c r="W2769" s="1"/>
      <c r="X2769" s="1"/>
      <c r="Y2769" s="1"/>
      <c r="Z2769" s="1"/>
      <c r="AA2769" s="1"/>
      <c r="AB2769" s="1"/>
    </row>
    <row r="2770" ht="50.25" customHeight="1">
      <c r="A2770" s="12">
        <v>2766.0</v>
      </c>
      <c r="B2770" s="13" t="s">
        <v>2624</v>
      </c>
      <c r="C2770" s="14" t="s">
        <v>2784</v>
      </c>
      <c r="D2770" s="1"/>
      <c r="E2770" s="1"/>
      <c r="F2770" s="1" t="str">
        <f>IFERROR(__xludf.DUMMYFUNCTION("GOOGLETRANSLATE(B2770, ""en"", ""fa"")
"),"نویسندگی و داستان سرایی را تحریک می کند")</f>
        <v>نویسندگی و داستان سرایی را تحریک می کند</v>
      </c>
      <c r="G2770" s="1" t="str">
        <f>IFERROR(__xludf.DUMMYFUNCTION("GOOGLETRANSLATE(C2770, ""en"", ""fa"")
"),"شخصیتی بسازید که بتواند رویاها را دستکاری کند و قلمرو رویاها را کاوش کند و با شگفتی ها و کابوس ها روبرو شود.")</f>
        <v>شخصیتی بسازید که بتواند رویاها را دستکاری کند و قلمرو رویاها را کاوش کند و با شگفتی ها و کابوس ها روبرو شود.</v>
      </c>
      <c r="H2770" s="1"/>
      <c r="I2770" s="1"/>
      <c r="J2770" s="1"/>
      <c r="K2770" s="1"/>
      <c r="L2770" s="1"/>
      <c r="M2770" s="1"/>
      <c r="N2770" s="1"/>
      <c r="O2770" s="1"/>
      <c r="P2770" s="1"/>
      <c r="Q2770" s="1"/>
      <c r="R2770" s="1"/>
      <c r="S2770" s="1"/>
      <c r="T2770" s="1"/>
      <c r="U2770" s="1"/>
      <c r="V2770" s="1"/>
      <c r="W2770" s="1"/>
      <c r="X2770" s="1"/>
      <c r="Y2770" s="1"/>
      <c r="Z2770" s="1"/>
      <c r="AA2770" s="1"/>
      <c r="AB2770" s="1"/>
    </row>
    <row r="2771" ht="50.25" customHeight="1">
      <c r="A2771" s="12">
        <v>2767.0</v>
      </c>
      <c r="B2771" s="13" t="s">
        <v>2624</v>
      </c>
      <c r="C2771" s="14" t="s">
        <v>2785</v>
      </c>
      <c r="D2771" s="1"/>
      <c r="E2771" s="1"/>
      <c r="F2771" s="1" t="str">
        <f>IFERROR(__xludf.DUMMYFUNCTION("GOOGLETRANSLATE(B2771, ""en"", ""fa"")
"),"نویسندگی و داستان سرایی را تحریک می کند")</f>
        <v>نویسندگی و داستان سرایی را تحریک می کند</v>
      </c>
      <c r="G2771" s="1" t="str">
        <f>IFERROR(__xludf.DUMMYFUNCTION("GOOGLETRANSLATE(C2771, ""en"", ""fa"")
"),"صحنه ای را بنویسید که در دنیای پسا آخرالزمانی اتفاق می افتد که در آن گروهی از بازماندگان پناهگاهی پنهان را کشف می کنند که امیدی به بشریت می دهد.")</f>
        <v>صحنه ای را بنویسید که در دنیای پسا آخرالزمانی اتفاق می افتد که در آن گروهی از بازماندگان پناهگاهی پنهان را کشف می کنند که امیدی به بشریت می دهد.</v>
      </c>
      <c r="H2771" s="1"/>
      <c r="I2771" s="1"/>
      <c r="J2771" s="1"/>
      <c r="K2771" s="1"/>
      <c r="L2771" s="1"/>
      <c r="M2771" s="1"/>
      <c r="N2771" s="1"/>
      <c r="O2771" s="1"/>
      <c r="P2771" s="1"/>
      <c r="Q2771" s="1"/>
      <c r="R2771" s="1"/>
      <c r="S2771" s="1"/>
      <c r="T2771" s="1"/>
      <c r="U2771" s="1"/>
      <c r="V2771" s="1"/>
      <c r="W2771" s="1"/>
      <c r="X2771" s="1"/>
      <c r="Y2771" s="1"/>
      <c r="Z2771" s="1"/>
      <c r="AA2771" s="1"/>
      <c r="AB2771" s="1"/>
    </row>
    <row r="2772" ht="50.25" customHeight="1">
      <c r="A2772" s="12">
        <v>2768.0</v>
      </c>
      <c r="B2772" s="13" t="s">
        <v>2624</v>
      </c>
      <c r="C2772" s="14" t="s">
        <v>2786</v>
      </c>
      <c r="D2772" s="1"/>
      <c r="E2772" s="1"/>
      <c r="F2772" s="1" t="str">
        <f>IFERROR(__xludf.DUMMYFUNCTION("GOOGLETRANSLATE(B2772, ""en"", ""fa"")
"),"نویسندگی و داستان سرایی را تحریک می کند")</f>
        <v>نویسندگی و داستان سرایی را تحریک می کند</v>
      </c>
      <c r="G2772" s="1" t="str">
        <f>IFERROR(__xludf.DUMMYFUNCTION("GOOGLETRANSLATE(C2772, ""en"", ""fa"")
"),"جامعه ای را توصیف کنید که در آن همه با یک قدرت عنصری خاص متولد می شوند و یک فرد جوان با توانایی کنترل همه عناصر ظاهر می شود.")</f>
        <v>جامعه ای را توصیف کنید که در آن همه با یک قدرت عنصری خاص متولد می شوند و یک فرد جوان با توانایی کنترل همه عناصر ظاهر می شود.</v>
      </c>
      <c r="H2772" s="1"/>
      <c r="I2772" s="1"/>
      <c r="J2772" s="1"/>
      <c r="K2772" s="1"/>
      <c r="L2772" s="1"/>
      <c r="M2772" s="1"/>
      <c r="N2772" s="1"/>
      <c r="O2772" s="1"/>
      <c r="P2772" s="1"/>
      <c r="Q2772" s="1"/>
      <c r="R2772" s="1"/>
      <c r="S2772" s="1"/>
      <c r="T2772" s="1"/>
      <c r="U2772" s="1"/>
      <c r="V2772" s="1"/>
      <c r="W2772" s="1"/>
      <c r="X2772" s="1"/>
      <c r="Y2772" s="1"/>
      <c r="Z2772" s="1"/>
      <c r="AA2772" s="1"/>
      <c r="AB2772" s="1"/>
    </row>
    <row r="2773" ht="50.25" customHeight="1">
      <c r="A2773" s="12">
        <v>2769.0</v>
      </c>
      <c r="B2773" s="13" t="s">
        <v>2624</v>
      </c>
      <c r="C2773" s="14" t="s">
        <v>2787</v>
      </c>
      <c r="D2773" s="1"/>
      <c r="E2773" s="1"/>
      <c r="F2773" s="1" t="str">
        <f>IFERROR(__xludf.DUMMYFUNCTION("GOOGLETRANSLATE(B2773, ""en"", ""fa"")
"),"نویسندگی و داستان سرایی را تحریک می کند")</f>
        <v>نویسندگی و داستان سرایی را تحریک می کند</v>
      </c>
      <c r="G2773" s="1" t="str">
        <f>IFERROR(__xludf.DUMMYFUNCTION("GOOGLETRANSLATE(C2773, ""en"", ""fa"")
"),"داستانی در مورد فردی بنویسید که دارای قدرت توهم است و از آن برای فریب دادن دیگران برای منافع شخصی استفاده می کند.")</f>
        <v>داستانی در مورد فردی بنویسید که دارای قدرت توهم است و از آن برای فریب دادن دیگران برای منافع شخصی استفاده می کند.</v>
      </c>
      <c r="H2773" s="1"/>
      <c r="I2773" s="1"/>
      <c r="J2773" s="1"/>
      <c r="K2773" s="1"/>
      <c r="L2773" s="1"/>
      <c r="M2773" s="1"/>
      <c r="N2773" s="1"/>
      <c r="O2773" s="1"/>
      <c r="P2773" s="1"/>
      <c r="Q2773" s="1"/>
      <c r="R2773" s="1"/>
      <c r="S2773" s="1"/>
      <c r="T2773" s="1"/>
      <c r="U2773" s="1"/>
      <c r="V2773" s="1"/>
      <c r="W2773" s="1"/>
      <c r="X2773" s="1"/>
      <c r="Y2773" s="1"/>
      <c r="Z2773" s="1"/>
      <c r="AA2773" s="1"/>
      <c r="AB2773" s="1"/>
    </row>
    <row r="2774" ht="50.25" customHeight="1">
      <c r="A2774" s="12">
        <v>2770.0</v>
      </c>
      <c r="B2774" s="13" t="s">
        <v>2624</v>
      </c>
      <c r="C2774" s="14" t="s">
        <v>2788</v>
      </c>
      <c r="D2774" s="1"/>
      <c r="E2774" s="1"/>
      <c r="F2774" s="1" t="str">
        <f>IFERROR(__xludf.DUMMYFUNCTION("GOOGLETRANSLATE(B2774, ""en"", ""fa"")
"),"نویسندگی و داستان سرایی را تحریک می کند")</f>
        <v>نویسندگی و داستان سرایی را تحریک می کند</v>
      </c>
      <c r="G2774" s="1" t="str">
        <f>IFERROR(__xludf.DUMMYFUNCTION("GOOGLETRANSLATE(C2774, ""en"", ""fa"")
"),"شخصیتی بسازید که بتواند با گیاهان ارتباط برقرار کند و دانش گیاهی باستانی را از دنیای طبیعی بیاموزد.")</f>
        <v>شخصیتی بسازید که بتواند با گیاهان ارتباط برقرار کند و دانش گیاهی باستانی را از دنیای طبیعی بیاموزد.</v>
      </c>
      <c r="H2774" s="1"/>
      <c r="I2774" s="1"/>
      <c r="J2774" s="1"/>
      <c r="K2774" s="1"/>
      <c r="L2774" s="1"/>
      <c r="M2774" s="1"/>
      <c r="N2774" s="1"/>
      <c r="O2774" s="1"/>
      <c r="P2774" s="1"/>
      <c r="Q2774" s="1"/>
      <c r="R2774" s="1"/>
      <c r="S2774" s="1"/>
      <c r="T2774" s="1"/>
      <c r="U2774" s="1"/>
      <c r="V2774" s="1"/>
      <c r="W2774" s="1"/>
      <c r="X2774" s="1"/>
      <c r="Y2774" s="1"/>
      <c r="Z2774" s="1"/>
      <c r="AA2774" s="1"/>
      <c r="AB2774" s="1"/>
    </row>
    <row r="2775" ht="50.25" customHeight="1">
      <c r="A2775" s="12">
        <v>2771.0</v>
      </c>
      <c r="B2775" s="13" t="s">
        <v>2624</v>
      </c>
      <c r="C2775" s="14" t="s">
        <v>2789</v>
      </c>
      <c r="D2775" s="1"/>
      <c r="E2775" s="1"/>
      <c r="F2775" s="1" t="str">
        <f>IFERROR(__xludf.DUMMYFUNCTION("GOOGLETRANSLATE(B2775, ""en"", ""fa"")
"),"نویسندگی و داستان سرایی را تحریک می کند")</f>
        <v>نویسندگی و داستان سرایی را تحریک می کند</v>
      </c>
      <c r="G2775" s="1" t="str">
        <f>IFERROR(__xludf.DUMMYFUNCTION("GOOGLETRANSLATE(C2775, ""en"", ""fa"")
"),"صحنه‌ای بنویسید که در آن گروهی از قهرمانان غیرمحتمل با توانایی‌های خارق‌العاده باید با هم متحد شوند تا یک دشمن مشترک را شکست دهند.")</f>
        <v>صحنه‌ای بنویسید که در آن گروهی از قهرمانان غیرمحتمل با توانایی‌های خارق‌العاده باید با هم متحد شوند تا یک دشمن مشترک را شکست دهند.</v>
      </c>
      <c r="H2775" s="1"/>
      <c r="I2775" s="1"/>
      <c r="J2775" s="1"/>
      <c r="K2775" s="1"/>
      <c r="L2775" s="1"/>
      <c r="M2775" s="1"/>
      <c r="N2775" s="1"/>
      <c r="O2775" s="1"/>
      <c r="P2775" s="1"/>
      <c r="Q2775" s="1"/>
      <c r="R2775" s="1"/>
      <c r="S2775" s="1"/>
      <c r="T2775" s="1"/>
      <c r="U2775" s="1"/>
      <c r="V2775" s="1"/>
      <c r="W2775" s="1"/>
      <c r="X2775" s="1"/>
      <c r="Y2775" s="1"/>
      <c r="Z2775" s="1"/>
      <c r="AA2775" s="1"/>
      <c r="AB2775" s="1"/>
    </row>
    <row r="2776" ht="50.25" customHeight="1">
      <c r="A2776" s="12">
        <v>2772.0</v>
      </c>
      <c r="B2776" s="13" t="s">
        <v>2624</v>
      </c>
      <c r="C2776" s="14" t="s">
        <v>2790</v>
      </c>
      <c r="D2776" s="1"/>
      <c r="E2776" s="1"/>
      <c r="F2776" s="1" t="str">
        <f>IFERROR(__xludf.DUMMYFUNCTION("GOOGLETRANSLATE(B2776, ""en"", ""fa"")
"),"نویسندگی و داستان سرایی را تحریک می کند")</f>
        <v>نویسندگی و داستان سرایی را تحریک می کند</v>
      </c>
      <c r="G2776" s="1" t="str">
        <f>IFERROR(__xludf.DUMMYFUNCTION("GOOGLETRANSLATE(C2776, ""en"", ""fa"")
"),"شهری پنهان را توصیف کنید که در آن زمان به گونه ای متفاوت جریان دارد و یک کاشف کنجکاو در آغوش بی انتها آن گرفتار می شود.")</f>
        <v>شهری پنهان را توصیف کنید که در آن زمان به گونه ای متفاوت جریان دارد و یک کاشف کنجکاو در آغوش بی انتها آن گرفتار می شود.</v>
      </c>
      <c r="H2776" s="1"/>
      <c r="I2776" s="1"/>
      <c r="J2776" s="1"/>
      <c r="K2776" s="1"/>
      <c r="L2776" s="1"/>
      <c r="M2776" s="1"/>
      <c r="N2776" s="1"/>
      <c r="O2776" s="1"/>
      <c r="P2776" s="1"/>
      <c r="Q2776" s="1"/>
      <c r="R2776" s="1"/>
      <c r="S2776" s="1"/>
      <c r="T2776" s="1"/>
      <c r="U2776" s="1"/>
      <c r="V2776" s="1"/>
      <c r="W2776" s="1"/>
      <c r="X2776" s="1"/>
      <c r="Y2776" s="1"/>
      <c r="Z2776" s="1"/>
      <c r="AA2776" s="1"/>
      <c r="AB2776" s="1"/>
    </row>
    <row r="2777" ht="50.25" customHeight="1">
      <c r="A2777" s="12">
        <v>2773.0</v>
      </c>
      <c r="B2777" s="13" t="s">
        <v>2624</v>
      </c>
      <c r="C2777" s="14" t="s">
        <v>2791</v>
      </c>
      <c r="D2777" s="1"/>
      <c r="E2777" s="1"/>
      <c r="F2777" s="1" t="str">
        <f>IFERROR(__xludf.DUMMYFUNCTION("GOOGLETRANSLATE(B2777, ""en"", ""fa"")
"),"نویسندگی و داستان سرایی را تحریک می کند")</f>
        <v>نویسندگی و داستان سرایی را تحریک می کند</v>
      </c>
      <c r="G2777" s="1" t="str">
        <f>IFERROR(__xludf.DUMMYFUNCTION("GOOGLETRANSLATE(C2777, ""en"", ""fa"")
"),"داستانی در مورد شخصی بنویسید که می تواند سایه ها را دستکاری کند و از قدرت خود برای محافظت از افراد بی گناه استفاده کند.")</f>
        <v>داستانی در مورد شخصی بنویسید که می تواند سایه ها را دستکاری کند و از قدرت خود برای محافظت از افراد بی گناه استفاده کند.</v>
      </c>
      <c r="H2777" s="1"/>
      <c r="I2777" s="1"/>
      <c r="J2777" s="1"/>
      <c r="K2777" s="1"/>
      <c r="L2777" s="1"/>
      <c r="M2777" s="1"/>
      <c r="N2777" s="1"/>
      <c r="O2777" s="1"/>
      <c r="P2777" s="1"/>
      <c r="Q2777" s="1"/>
      <c r="R2777" s="1"/>
      <c r="S2777" s="1"/>
      <c r="T2777" s="1"/>
      <c r="U2777" s="1"/>
      <c r="V2777" s="1"/>
      <c r="W2777" s="1"/>
      <c r="X2777" s="1"/>
      <c r="Y2777" s="1"/>
      <c r="Z2777" s="1"/>
      <c r="AA2777" s="1"/>
      <c r="AB2777" s="1"/>
    </row>
    <row r="2778" ht="50.25" customHeight="1">
      <c r="A2778" s="12">
        <v>2774.0</v>
      </c>
      <c r="B2778" s="13" t="s">
        <v>2624</v>
      </c>
      <c r="C2778" s="14" t="s">
        <v>2792</v>
      </c>
      <c r="D2778" s="1"/>
      <c r="E2778" s="1"/>
      <c r="F2778" s="1" t="str">
        <f>IFERROR(__xludf.DUMMYFUNCTION("GOOGLETRANSLATE(B2778, ""en"", ""fa"")
"),"نویسندگی و داستان سرایی را تحریک می کند")</f>
        <v>نویسندگی و داستان سرایی را تحریک می کند</v>
      </c>
      <c r="G2778" s="1" t="str">
        <f>IFERROR(__xludf.DUMMYFUNCTION("GOOGLETRANSLATE(C2778, ""en"", ""fa"")
"),"شخصیتی بسازید که بتواند به هر زبانی صحبت کند، حتی آنهایی که مدت هاست فراموش شده اند، و تبدیل به پلی بین فرهنگ ها و تمدن ها شود.")</f>
        <v>شخصیتی بسازید که بتواند به هر زبانی صحبت کند، حتی آنهایی که مدت هاست فراموش شده اند، و تبدیل به پلی بین فرهنگ ها و تمدن ها شود.</v>
      </c>
      <c r="H2778" s="1"/>
      <c r="I2778" s="1"/>
      <c r="J2778" s="1"/>
      <c r="K2778" s="1"/>
      <c r="L2778" s="1"/>
      <c r="M2778" s="1"/>
      <c r="N2778" s="1"/>
      <c r="O2778" s="1"/>
      <c r="P2778" s="1"/>
      <c r="Q2778" s="1"/>
      <c r="R2778" s="1"/>
      <c r="S2778" s="1"/>
      <c r="T2778" s="1"/>
      <c r="U2778" s="1"/>
      <c r="V2778" s="1"/>
      <c r="W2778" s="1"/>
      <c r="X2778" s="1"/>
      <c r="Y2778" s="1"/>
      <c r="Z2778" s="1"/>
      <c r="AA2778" s="1"/>
      <c r="AB2778" s="1"/>
    </row>
    <row r="2779" ht="50.25" customHeight="1">
      <c r="A2779" s="12">
        <v>2775.0</v>
      </c>
      <c r="B2779" s="13" t="s">
        <v>2624</v>
      </c>
      <c r="C2779" s="14" t="s">
        <v>2793</v>
      </c>
      <c r="D2779" s="1"/>
      <c r="E2779" s="1"/>
      <c r="F2779" s="1" t="str">
        <f>IFERROR(__xludf.DUMMYFUNCTION("GOOGLETRANSLATE(B2779, ""en"", ""fa"")
"),"نویسندگی و داستان سرایی را تحریک می کند")</f>
        <v>نویسندگی و داستان سرایی را تحریک می کند</v>
      </c>
      <c r="G2779" s="1" t="str">
        <f>IFERROR(__xludf.DUMMYFUNCTION("GOOGLETRANSLATE(C2779, ""en"", ""fa"")
"),"صحنه‌ای بنویسید که در دنیایی آینده‌نگر اتفاق می‌افتد، جایی که مردم می‌توانند آگاهی خود را در واقعیت مجازی آپلود کنند و مرز بین واقعی و دیجیتال را محو کنند.")</f>
        <v>صحنه‌ای بنویسید که در دنیایی آینده‌نگر اتفاق می‌افتد، جایی که مردم می‌توانند آگاهی خود را در واقعیت مجازی آپلود کنند و مرز بین واقعی و دیجیتال را محو کنند.</v>
      </c>
      <c r="H2779" s="1"/>
      <c r="I2779" s="1"/>
      <c r="J2779" s="1"/>
      <c r="K2779" s="1"/>
      <c r="L2779" s="1"/>
      <c r="M2779" s="1"/>
      <c r="N2779" s="1"/>
      <c r="O2779" s="1"/>
      <c r="P2779" s="1"/>
      <c r="Q2779" s="1"/>
      <c r="R2779" s="1"/>
      <c r="S2779" s="1"/>
      <c r="T2779" s="1"/>
      <c r="U2779" s="1"/>
      <c r="V2779" s="1"/>
      <c r="W2779" s="1"/>
      <c r="X2779" s="1"/>
      <c r="Y2779" s="1"/>
      <c r="Z2779" s="1"/>
      <c r="AA2779" s="1"/>
      <c r="AB2779" s="1"/>
    </row>
    <row r="2780" ht="50.25" customHeight="1">
      <c r="A2780" s="12">
        <v>2776.0</v>
      </c>
      <c r="B2780" s="13" t="s">
        <v>2624</v>
      </c>
      <c r="C2780" s="14" t="s">
        <v>2794</v>
      </c>
      <c r="D2780" s="1"/>
      <c r="E2780" s="1"/>
      <c r="F2780" s="1" t="str">
        <f>IFERROR(__xludf.DUMMYFUNCTION("GOOGLETRANSLATE(B2780, ""en"", ""fa"")
"),"نویسندگی و داستان سرایی را تحریک می کند")</f>
        <v>نویسندگی و داستان سرایی را تحریک می کند</v>
      </c>
      <c r="G2780" s="1" t="str">
        <f>IFERROR(__xludf.DUMMYFUNCTION("GOOGLETRANSLATE(C2780, ""en"", ""fa"")
"),"جامعه ای را توصیف کنید که در آن می توان رویاها را به اشتراک گذاشت و به طور جمعی تجربه کرد که منجر به ارتباطات عمیق و پیامدهای پیش بینی نشده می شود.")</f>
        <v>جامعه ای را توصیف کنید که در آن می توان رویاها را به اشتراک گذاشت و به طور جمعی تجربه کرد که منجر به ارتباطات عمیق و پیامدهای پیش بینی نشده می شود.</v>
      </c>
      <c r="H2780" s="1"/>
      <c r="I2780" s="1"/>
      <c r="J2780" s="1"/>
      <c r="K2780" s="1"/>
      <c r="L2780" s="1"/>
      <c r="M2780" s="1"/>
      <c r="N2780" s="1"/>
      <c r="O2780" s="1"/>
      <c r="P2780" s="1"/>
      <c r="Q2780" s="1"/>
      <c r="R2780" s="1"/>
      <c r="S2780" s="1"/>
      <c r="T2780" s="1"/>
      <c r="U2780" s="1"/>
      <c r="V2780" s="1"/>
      <c r="W2780" s="1"/>
      <c r="X2780" s="1"/>
      <c r="Y2780" s="1"/>
      <c r="Z2780" s="1"/>
      <c r="AA2780" s="1"/>
      <c r="AB2780" s="1"/>
    </row>
    <row r="2781" ht="50.25" customHeight="1">
      <c r="A2781" s="12">
        <v>2777.0</v>
      </c>
      <c r="B2781" s="13" t="s">
        <v>2624</v>
      </c>
      <c r="C2781" s="14" t="s">
        <v>2795</v>
      </c>
      <c r="D2781" s="1"/>
      <c r="E2781" s="1"/>
      <c r="F2781" s="1" t="str">
        <f>IFERROR(__xludf.DUMMYFUNCTION("GOOGLETRANSLATE(B2781, ""en"", ""fa"")
"),"نویسندگی و داستان سرایی را تحریک می کند")</f>
        <v>نویسندگی و داستان سرایی را تحریک می کند</v>
      </c>
      <c r="G2781" s="1" t="str">
        <f>IFERROR(__xludf.DUMMYFUNCTION("GOOGLETRANSLATE(C2781, ""en"", ""fa"")
"),"داستانی در مورد فردی بنویسید که دارای قدرت همدلی است و می تواند زخم های عاطفی دیگران را التیام بخشد.")</f>
        <v>داستانی در مورد فردی بنویسید که دارای قدرت همدلی است و می تواند زخم های عاطفی دیگران را التیام بخشد.</v>
      </c>
      <c r="H2781" s="1"/>
      <c r="I2781" s="1"/>
      <c r="J2781" s="1"/>
      <c r="K2781" s="1"/>
      <c r="L2781" s="1"/>
      <c r="M2781" s="1"/>
      <c r="N2781" s="1"/>
      <c r="O2781" s="1"/>
      <c r="P2781" s="1"/>
      <c r="Q2781" s="1"/>
      <c r="R2781" s="1"/>
      <c r="S2781" s="1"/>
      <c r="T2781" s="1"/>
      <c r="U2781" s="1"/>
      <c r="V2781" s="1"/>
      <c r="W2781" s="1"/>
      <c r="X2781" s="1"/>
      <c r="Y2781" s="1"/>
      <c r="Z2781" s="1"/>
      <c r="AA2781" s="1"/>
      <c r="AB2781" s="1"/>
    </row>
    <row r="2782" ht="50.25" customHeight="1">
      <c r="A2782" s="12">
        <v>2778.0</v>
      </c>
      <c r="B2782" s="13" t="s">
        <v>2624</v>
      </c>
      <c r="C2782" s="14" t="s">
        <v>2796</v>
      </c>
      <c r="D2782" s="1"/>
      <c r="E2782" s="1"/>
      <c r="F2782" s="1" t="str">
        <f>IFERROR(__xludf.DUMMYFUNCTION("GOOGLETRANSLATE(B2782, ""en"", ""fa"")
"),"نویسندگی و داستان سرایی را تحریک می کند")</f>
        <v>نویسندگی و داستان سرایی را تحریک می کند</v>
      </c>
      <c r="G2782" s="1" t="str">
        <f>IFERROR(__xludf.DUMMYFUNCTION("GOOGLETRANSLATE(C2782, ""en"", ""fa"")
"),"شخصیتی بسازید که بتواند الکتریسیته را کنترل و دستکاری کند و از قدرت خود برای اختراع و دفاع استفاده کند.")</f>
        <v>شخصیتی بسازید که بتواند الکتریسیته را کنترل و دستکاری کند و از قدرت خود برای اختراع و دفاع استفاده کند.</v>
      </c>
      <c r="H2782" s="1"/>
      <c r="I2782" s="1"/>
      <c r="J2782" s="1"/>
      <c r="K2782" s="1"/>
      <c r="L2782" s="1"/>
      <c r="M2782" s="1"/>
      <c r="N2782" s="1"/>
      <c r="O2782" s="1"/>
      <c r="P2782" s="1"/>
      <c r="Q2782" s="1"/>
      <c r="R2782" s="1"/>
      <c r="S2782" s="1"/>
      <c r="T2782" s="1"/>
      <c r="U2782" s="1"/>
      <c r="V2782" s="1"/>
      <c r="W2782" s="1"/>
      <c r="X2782" s="1"/>
      <c r="Y2782" s="1"/>
      <c r="Z2782" s="1"/>
      <c r="AA2782" s="1"/>
      <c r="AB2782" s="1"/>
    </row>
    <row r="2783" ht="50.25" customHeight="1">
      <c r="A2783" s="12">
        <v>2779.0</v>
      </c>
      <c r="B2783" s="13" t="s">
        <v>2624</v>
      </c>
      <c r="C2783" s="14" t="s">
        <v>2797</v>
      </c>
      <c r="D2783" s="1"/>
      <c r="E2783" s="1"/>
      <c r="F2783" s="1" t="str">
        <f>IFERROR(__xludf.DUMMYFUNCTION("GOOGLETRANSLATE(B2783, ""en"", ""fa"")
"),"نویسندگی و داستان سرایی را تحریک می کند")</f>
        <v>نویسندگی و داستان سرایی را تحریک می کند</v>
      </c>
      <c r="G2783" s="1" t="str">
        <f>IFERROR(__xludf.DUMMYFUNCTION("GOOGLETRANSLATE(C2783, ""en"", ""fa"")
"),"صحنه ای را بنویسید که در آن گروهی از کاوشگران تمدنی پنهان در اعماق جنگل های بارانی آمازون را کشف می کنند که توسط جامعه مدرن دست نخورده است.")</f>
        <v>صحنه ای را بنویسید که در آن گروهی از کاوشگران تمدنی پنهان در اعماق جنگل های بارانی آمازون را کشف می کنند که توسط جامعه مدرن دست نخورده است.</v>
      </c>
      <c r="H2783" s="1"/>
      <c r="I2783" s="1"/>
      <c r="J2783" s="1"/>
      <c r="K2783" s="1"/>
      <c r="L2783" s="1"/>
      <c r="M2783" s="1"/>
      <c r="N2783" s="1"/>
      <c r="O2783" s="1"/>
      <c r="P2783" s="1"/>
      <c r="Q2783" s="1"/>
      <c r="R2783" s="1"/>
      <c r="S2783" s="1"/>
      <c r="T2783" s="1"/>
      <c r="U2783" s="1"/>
      <c r="V2783" s="1"/>
      <c r="W2783" s="1"/>
      <c r="X2783" s="1"/>
      <c r="Y2783" s="1"/>
      <c r="Z2783" s="1"/>
      <c r="AA2783" s="1"/>
      <c r="AB2783" s="1"/>
    </row>
    <row r="2784" ht="50.25" customHeight="1">
      <c r="A2784" s="12">
        <v>2780.0</v>
      </c>
      <c r="B2784" s="13" t="s">
        <v>2624</v>
      </c>
      <c r="C2784" s="14" t="s">
        <v>2798</v>
      </c>
      <c r="D2784" s="1"/>
      <c r="E2784" s="1"/>
      <c r="F2784" s="1" t="str">
        <f>IFERROR(__xludf.DUMMYFUNCTION("GOOGLETRANSLATE(B2784, ""en"", ""fa"")
"),"نویسندگی و داستان سرایی را تحریک می کند")</f>
        <v>نویسندگی و داستان سرایی را تحریک می کند</v>
      </c>
      <c r="G2784" s="1" t="str">
        <f>IFERROR(__xludf.DUMMYFUNCTION("GOOGLETRANSLATE(C2784, ""en"", ""fa"")
"),"یک دسته پنهان از شوالیه های جادویی را توصیف کنید که از تعادل بین نور و تاریکی محافظت می کنند.")</f>
        <v>یک دسته پنهان از شوالیه های جادویی را توصیف کنید که از تعادل بین نور و تاریکی محافظت می کنند.</v>
      </c>
      <c r="H2784" s="1"/>
      <c r="I2784" s="1"/>
      <c r="J2784" s="1"/>
      <c r="K2784" s="1"/>
      <c r="L2784" s="1"/>
      <c r="M2784" s="1"/>
      <c r="N2784" s="1"/>
      <c r="O2784" s="1"/>
      <c r="P2784" s="1"/>
      <c r="Q2784" s="1"/>
      <c r="R2784" s="1"/>
      <c r="S2784" s="1"/>
      <c r="T2784" s="1"/>
      <c r="U2784" s="1"/>
      <c r="V2784" s="1"/>
      <c r="W2784" s="1"/>
      <c r="X2784" s="1"/>
      <c r="Y2784" s="1"/>
      <c r="Z2784" s="1"/>
      <c r="AA2784" s="1"/>
      <c r="AB2784" s="1"/>
    </row>
    <row r="2785" ht="50.25" customHeight="1">
      <c r="A2785" s="12">
        <v>2781.0</v>
      </c>
      <c r="B2785" s="13" t="s">
        <v>2624</v>
      </c>
      <c r="C2785" s="14" t="s">
        <v>2799</v>
      </c>
      <c r="D2785" s="1"/>
      <c r="E2785" s="1"/>
      <c r="F2785" s="1" t="str">
        <f>IFERROR(__xludf.DUMMYFUNCTION("GOOGLETRANSLATE(B2785, ""en"", ""fa"")
"),"نویسندگی و داستان سرایی را تحریک می کند")</f>
        <v>نویسندگی و داستان سرایی را تحریک می کند</v>
      </c>
      <c r="G2785" s="1" t="str">
        <f>IFERROR(__xludf.DUMMYFUNCTION("GOOGLETRANSLATE(C2785, ""en"", ""fa"")
"),"داستانی در مورد شخصی بنویسید که دارای قدرت فرافکنی اختری است و سفرهایی فراتر از قلمرو فیزیکی را آغاز می کند.")</f>
        <v>داستانی در مورد شخصی بنویسید که دارای قدرت فرافکنی اختری است و سفرهایی فراتر از قلمرو فیزیکی را آغاز می کند.</v>
      </c>
      <c r="H2785" s="1"/>
      <c r="I2785" s="1"/>
      <c r="J2785" s="1"/>
      <c r="K2785" s="1"/>
      <c r="L2785" s="1"/>
      <c r="M2785" s="1"/>
      <c r="N2785" s="1"/>
      <c r="O2785" s="1"/>
      <c r="P2785" s="1"/>
      <c r="Q2785" s="1"/>
      <c r="R2785" s="1"/>
      <c r="S2785" s="1"/>
      <c r="T2785" s="1"/>
      <c r="U2785" s="1"/>
      <c r="V2785" s="1"/>
      <c r="W2785" s="1"/>
      <c r="X2785" s="1"/>
      <c r="Y2785" s="1"/>
      <c r="Z2785" s="1"/>
      <c r="AA2785" s="1"/>
      <c r="AB2785" s="1"/>
    </row>
    <row r="2786" ht="50.25" customHeight="1">
      <c r="A2786" s="12">
        <v>2782.0</v>
      </c>
      <c r="B2786" s="13" t="s">
        <v>2624</v>
      </c>
      <c r="C2786" s="14" t="s">
        <v>2800</v>
      </c>
      <c r="D2786" s="1"/>
      <c r="E2786" s="1"/>
      <c r="F2786" s="1" t="str">
        <f>IFERROR(__xludf.DUMMYFUNCTION("GOOGLETRANSLATE(B2786, ""en"", ""fa"")
"),"نویسندگی و داستان سرایی را تحریک می کند")</f>
        <v>نویسندگی و داستان سرایی را تحریک می کند</v>
      </c>
      <c r="G2786" s="1" t="str">
        <f>IFERROR(__xludf.DUMMYFUNCTION("GOOGLETRANSLATE(C2786, ""en"", ""fa"")
"),"شخصیتی بسازید که بتواند به حیوانات مختلف تغییر شکل دهد و باید از پیچیدگی های هویت و وفاداری عبور کند.")</f>
        <v>شخصیتی بسازید که بتواند به حیوانات مختلف تغییر شکل دهد و باید از پیچیدگی های هویت و وفاداری عبور کند.</v>
      </c>
      <c r="H2786" s="1"/>
      <c r="I2786" s="1"/>
      <c r="J2786" s="1"/>
      <c r="K2786" s="1"/>
      <c r="L2786" s="1"/>
      <c r="M2786" s="1"/>
      <c r="N2786" s="1"/>
      <c r="O2786" s="1"/>
      <c r="P2786" s="1"/>
      <c r="Q2786" s="1"/>
      <c r="R2786" s="1"/>
      <c r="S2786" s="1"/>
      <c r="T2786" s="1"/>
      <c r="U2786" s="1"/>
      <c r="V2786" s="1"/>
      <c r="W2786" s="1"/>
      <c r="X2786" s="1"/>
      <c r="Y2786" s="1"/>
      <c r="Z2786" s="1"/>
      <c r="AA2786" s="1"/>
      <c r="AB2786" s="1"/>
    </row>
    <row r="2787" ht="50.25" customHeight="1">
      <c r="A2787" s="12">
        <v>2783.0</v>
      </c>
      <c r="B2787" s="13" t="s">
        <v>2624</v>
      </c>
      <c r="C2787" s="14" t="s">
        <v>2801</v>
      </c>
      <c r="D2787" s="1"/>
      <c r="E2787" s="1"/>
      <c r="F2787" s="1" t="str">
        <f>IFERROR(__xludf.DUMMYFUNCTION("GOOGLETRANSLATE(B2787, ""en"", ""fa"")
"),"نویسندگی و داستان سرایی را تحریک می کند")</f>
        <v>نویسندگی و داستان سرایی را تحریک می کند</v>
      </c>
      <c r="G2787" s="1" t="str">
        <f>IFERROR(__xludf.DUMMYFUNCTION("GOOGLETRANSLATE(C2787, ""en"", ""fa"")
"),"صحنه‌ای بنویسید که در دنیایی اتفاق می‌افتد که در آن موسیقی قدرت التیام بخشیدن، الهام بخشیدن یا حتی دستکاری احساسات را دارد.")</f>
        <v>صحنه‌ای بنویسید که در دنیایی اتفاق می‌افتد که در آن موسیقی قدرت التیام بخشیدن، الهام بخشیدن یا حتی دستکاری احساسات را دارد.</v>
      </c>
      <c r="H2787" s="1"/>
      <c r="I2787" s="1"/>
      <c r="J2787" s="1"/>
      <c r="K2787" s="1"/>
      <c r="L2787" s="1"/>
      <c r="M2787" s="1"/>
      <c r="N2787" s="1"/>
      <c r="O2787" s="1"/>
      <c r="P2787" s="1"/>
      <c r="Q2787" s="1"/>
      <c r="R2787" s="1"/>
      <c r="S2787" s="1"/>
      <c r="T2787" s="1"/>
      <c r="U2787" s="1"/>
      <c r="V2787" s="1"/>
      <c r="W2787" s="1"/>
      <c r="X2787" s="1"/>
      <c r="Y2787" s="1"/>
      <c r="Z2787" s="1"/>
      <c r="AA2787" s="1"/>
      <c r="AB2787" s="1"/>
    </row>
    <row r="2788" ht="50.25" customHeight="1">
      <c r="A2788" s="12">
        <v>2784.0</v>
      </c>
      <c r="B2788" s="13" t="s">
        <v>2624</v>
      </c>
      <c r="C2788" s="14" t="s">
        <v>2802</v>
      </c>
      <c r="D2788" s="1"/>
      <c r="E2788" s="1"/>
      <c r="F2788" s="1" t="str">
        <f>IFERROR(__xludf.DUMMYFUNCTION("GOOGLETRANSLATE(B2788, ""en"", ""fa"")
"),"نویسندگی و داستان سرایی را تحریک می کند")</f>
        <v>نویسندگی و داستان سرایی را تحریک می کند</v>
      </c>
      <c r="G2788" s="1" t="str">
        <f>IFERROR(__xludf.DUMMYFUNCTION("GOOGLETRANSLATE(C2788, ""en"", ""fa"")
"),"جامعه ای را توصیف کنید که می توان خاطرات را استخراج و داد و ستد کرد و دزد خاطره به دنبال رستگاری است.")</f>
        <v>جامعه ای را توصیف کنید که می توان خاطرات را استخراج و داد و ستد کرد و دزد خاطره به دنبال رستگاری است.</v>
      </c>
      <c r="H2788" s="1"/>
      <c r="I2788" s="1"/>
      <c r="J2788" s="1"/>
      <c r="K2788" s="1"/>
      <c r="L2788" s="1"/>
      <c r="M2788" s="1"/>
      <c r="N2788" s="1"/>
      <c r="O2788" s="1"/>
      <c r="P2788" s="1"/>
      <c r="Q2788" s="1"/>
      <c r="R2788" s="1"/>
      <c r="S2788" s="1"/>
      <c r="T2788" s="1"/>
      <c r="U2788" s="1"/>
      <c r="V2788" s="1"/>
      <c r="W2788" s="1"/>
      <c r="X2788" s="1"/>
      <c r="Y2788" s="1"/>
      <c r="Z2788" s="1"/>
      <c r="AA2788" s="1"/>
      <c r="AB2788" s="1"/>
    </row>
    <row r="2789" ht="50.25" customHeight="1">
      <c r="A2789" s="12">
        <v>2785.0</v>
      </c>
      <c r="B2789" s="13" t="s">
        <v>2624</v>
      </c>
      <c r="C2789" s="14" t="s">
        <v>2803</v>
      </c>
      <c r="D2789" s="1"/>
      <c r="E2789" s="1"/>
      <c r="F2789" s="1" t="str">
        <f>IFERROR(__xludf.DUMMYFUNCTION("GOOGLETRANSLATE(B2789, ""en"", ""fa"")
"),"نویسندگی و داستان سرایی را تحریک می کند")</f>
        <v>نویسندگی و داستان سرایی را تحریک می کند</v>
      </c>
      <c r="G2789" s="1" t="str">
        <f>IFERROR(__xludf.DUMMYFUNCTION("GOOGLETRANSLATE(C2789, ""en"", ""fa"")
"),"داستانی در مورد شخصی بنویسید که قدرت انتقال از راه دور را دارد اما وجود پورتال های خطرناک به ابعاد دیگر را کشف می کند.")</f>
        <v>داستانی در مورد شخصی بنویسید که قدرت انتقال از راه دور را دارد اما وجود پورتال های خطرناک به ابعاد دیگر را کشف می کند.</v>
      </c>
      <c r="H2789" s="1"/>
      <c r="I2789" s="1"/>
      <c r="J2789" s="1"/>
      <c r="K2789" s="1"/>
      <c r="L2789" s="1"/>
      <c r="M2789" s="1"/>
      <c r="N2789" s="1"/>
      <c r="O2789" s="1"/>
      <c r="P2789" s="1"/>
      <c r="Q2789" s="1"/>
      <c r="R2789" s="1"/>
      <c r="S2789" s="1"/>
      <c r="T2789" s="1"/>
      <c r="U2789" s="1"/>
      <c r="V2789" s="1"/>
      <c r="W2789" s="1"/>
      <c r="X2789" s="1"/>
      <c r="Y2789" s="1"/>
      <c r="Z2789" s="1"/>
      <c r="AA2789" s="1"/>
      <c r="AB2789" s="1"/>
    </row>
    <row r="2790" ht="50.25" customHeight="1">
      <c r="A2790" s="12">
        <v>2786.0</v>
      </c>
      <c r="B2790" s="13" t="s">
        <v>2624</v>
      </c>
      <c r="C2790" s="14" t="s">
        <v>2804</v>
      </c>
      <c r="D2790" s="1"/>
      <c r="E2790" s="1"/>
      <c r="F2790" s="1" t="str">
        <f>IFERROR(__xludf.DUMMYFUNCTION("GOOGLETRANSLATE(B2790, ""en"", ""fa"")
"),"نویسندگی و داستان سرایی را تحریک می کند")</f>
        <v>نویسندگی و داستان سرایی را تحریک می کند</v>
      </c>
      <c r="G2790" s="1" t="str">
        <f>IFERROR(__xludf.DUMMYFUNCTION("GOOGLETRANSLATE(C2790, ""en"", ""fa"")
"),"شخصیتی بسازید که بتواند با موجودات افسانه ای ارتباط برقرار کند و نگهبان دنیای آنها شود.")</f>
        <v>شخصیتی بسازید که بتواند با موجودات افسانه ای ارتباط برقرار کند و نگهبان دنیای آنها شود.</v>
      </c>
      <c r="H2790" s="1"/>
      <c r="I2790" s="1"/>
      <c r="J2790" s="1"/>
      <c r="K2790" s="1"/>
      <c r="L2790" s="1"/>
      <c r="M2790" s="1"/>
      <c r="N2790" s="1"/>
      <c r="O2790" s="1"/>
      <c r="P2790" s="1"/>
      <c r="Q2790" s="1"/>
      <c r="R2790" s="1"/>
      <c r="S2790" s="1"/>
      <c r="T2790" s="1"/>
      <c r="U2790" s="1"/>
      <c r="V2790" s="1"/>
      <c r="W2790" s="1"/>
      <c r="X2790" s="1"/>
      <c r="Y2790" s="1"/>
      <c r="Z2790" s="1"/>
      <c r="AA2790" s="1"/>
      <c r="AB2790" s="1"/>
    </row>
    <row r="2791" ht="50.25" customHeight="1">
      <c r="A2791" s="12">
        <v>2787.0</v>
      </c>
      <c r="B2791" s="13" t="s">
        <v>2624</v>
      </c>
      <c r="C2791" s="14" t="s">
        <v>2805</v>
      </c>
      <c r="D2791" s="1"/>
      <c r="E2791" s="1"/>
      <c r="F2791" s="1" t="str">
        <f>IFERROR(__xludf.DUMMYFUNCTION("GOOGLETRANSLATE(B2791, ""en"", ""fa"")
"),"نویسندگی و داستان سرایی را تحریک می کند")</f>
        <v>نویسندگی و داستان سرایی را تحریک می کند</v>
      </c>
      <c r="G2791" s="1" t="str">
        <f>IFERROR(__xludf.DUMMYFUNCTION("GOOGLETRANSLATE(C2791, ""en"", ""fa"")
"),"صحنه ای را بنویسید که در آن گروهی از باستان شناسان تمدنی را با فناوری پیشرفته و قدرت های مرموز کشف می کنند.")</f>
        <v>صحنه ای را بنویسید که در آن گروهی از باستان شناسان تمدنی را با فناوری پیشرفته و قدرت های مرموز کشف می کنند.</v>
      </c>
      <c r="H2791" s="1"/>
      <c r="I2791" s="1"/>
      <c r="J2791" s="1"/>
      <c r="K2791" s="1"/>
      <c r="L2791" s="1"/>
      <c r="M2791" s="1"/>
      <c r="N2791" s="1"/>
      <c r="O2791" s="1"/>
      <c r="P2791" s="1"/>
      <c r="Q2791" s="1"/>
      <c r="R2791" s="1"/>
      <c r="S2791" s="1"/>
      <c r="T2791" s="1"/>
      <c r="U2791" s="1"/>
      <c r="V2791" s="1"/>
      <c r="W2791" s="1"/>
      <c r="X2791" s="1"/>
      <c r="Y2791" s="1"/>
      <c r="Z2791" s="1"/>
      <c r="AA2791" s="1"/>
      <c r="AB2791" s="1"/>
    </row>
    <row r="2792" ht="50.25" customHeight="1">
      <c r="A2792" s="12">
        <v>2788.0</v>
      </c>
      <c r="B2792" s="13" t="s">
        <v>2624</v>
      </c>
      <c r="C2792" s="14" t="s">
        <v>2806</v>
      </c>
      <c r="D2792" s="1"/>
      <c r="E2792" s="1"/>
      <c r="F2792" s="1" t="str">
        <f>IFERROR(__xludf.DUMMYFUNCTION("GOOGLETRANSLATE(B2792, ""en"", ""fa"")
"),"نویسندگی و داستان سرایی را تحریک می کند")</f>
        <v>نویسندگی و داستان سرایی را تحریک می کند</v>
      </c>
      <c r="G2792" s="1" t="str">
        <f>IFERROR(__xludf.DUMMYFUNCTION("GOOGLETRANSLATE(C2792, ""en"", ""fa"")
"),"قلمرو پنهانی از ارواح باستانی را توصیف کنید که در آن یک فرد منتخب باید بر توانایی های خود برای حفظ تعادل بین جهان ها تسلط یابد.")</f>
        <v>قلمرو پنهانی از ارواح باستانی را توصیف کنید که در آن یک فرد منتخب باید بر توانایی های خود برای حفظ تعادل بین جهان ها تسلط یابد.</v>
      </c>
      <c r="H2792" s="1"/>
      <c r="I2792" s="1"/>
      <c r="J2792" s="1"/>
      <c r="K2792" s="1"/>
      <c r="L2792" s="1"/>
      <c r="M2792" s="1"/>
      <c r="N2792" s="1"/>
      <c r="O2792" s="1"/>
      <c r="P2792" s="1"/>
      <c r="Q2792" s="1"/>
      <c r="R2792" s="1"/>
      <c r="S2792" s="1"/>
      <c r="T2792" s="1"/>
      <c r="U2792" s="1"/>
      <c r="V2792" s="1"/>
      <c r="W2792" s="1"/>
      <c r="X2792" s="1"/>
      <c r="Y2792" s="1"/>
      <c r="Z2792" s="1"/>
      <c r="AA2792" s="1"/>
      <c r="AB2792" s="1"/>
    </row>
    <row r="2793" ht="50.25" customHeight="1">
      <c r="A2793" s="12">
        <v>2789.0</v>
      </c>
      <c r="B2793" s="13" t="s">
        <v>2624</v>
      </c>
      <c r="C2793" s="14" t="s">
        <v>2807</v>
      </c>
      <c r="D2793" s="1"/>
      <c r="E2793" s="1"/>
      <c r="F2793" s="1" t="str">
        <f>IFERROR(__xludf.DUMMYFUNCTION("GOOGLETRANSLATE(B2793, ""en"", ""fa"")
"),"نویسندگی و داستان سرایی را تحریک می کند")</f>
        <v>نویسندگی و داستان سرایی را تحریک می کند</v>
      </c>
      <c r="G2793" s="1" t="str">
        <f>IFERROR(__xludf.DUMMYFUNCTION("GOOGLETRANSLATE(C2793, ""en"", ""fa"")
"),"داستانی در مورد شخصی بنویسید که دارای قدرت متقاعدسازی است و باید از مرزهای اخلاقی نفوذ عبور کند.")</f>
        <v>داستانی در مورد شخصی بنویسید که دارای قدرت متقاعدسازی است و باید از مرزهای اخلاقی نفوذ عبور کند.</v>
      </c>
      <c r="H2793" s="1"/>
      <c r="I2793" s="1"/>
      <c r="J2793" s="1"/>
      <c r="K2793" s="1"/>
      <c r="L2793" s="1"/>
      <c r="M2793" s="1"/>
      <c r="N2793" s="1"/>
      <c r="O2793" s="1"/>
      <c r="P2793" s="1"/>
      <c r="Q2793" s="1"/>
      <c r="R2793" s="1"/>
      <c r="S2793" s="1"/>
      <c r="T2793" s="1"/>
      <c r="U2793" s="1"/>
      <c r="V2793" s="1"/>
      <c r="W2793" s="1"/>
      <c r="X2793" s="1"/>
      <c r="Y2793" s="1"/>
      <c r="Z2793" s="1"/>
      <c r="AA2793" s="1"/>
      <c r="AB2793" s="1"/>
    </row>
    <row r="2794" ht="50.25" customHeight="1">
      <c r="A2794" s="12">
        <v>2790.0</v>
      </c>
      <c r="B2794" s="13" t="s">
        <v>2624</v>
      </c>
      <c r="C2794" s="14" t="s">
        <v>2808</v>
      </c>
      <c r="D2794" s="1"/>
      <c r="E2794" s="1"/>
      <c r="F2794" s="1" t="str">
        <f>IFERROR(__xludf.DUMMYFUNCTION("GOOGLETRANSLATE(B2794, ""en"", ""fa"")
"),"نویسندگی و داستان سرایی را تحریک می کند")</f>
        <v>نویسندگی و داستان سرایی را تحریک می کند</v>
      </c>
      <c r="G2794" s="1" t="str">
        <f>IFERROR(__xludf.DUMMYFUNCTION("GOOGLETRANSLATE(C2794, ""en"", ""fa"")
"),"شخصیتی بسازید که بتواند آب و هوا را دستکاری کند، طوفان بیاورد یا آسمان متلاطم را آرام کند.")</f>
        <v>شخصیتی بسازید که بتواند آب و هوا را دستکاری کند، طوفان بیاورد یا آسمان متلاطم را آرام کند.</v>
      </c>
      <c r="H2794" s="1"/>
      <c r="I2794" s="1"/>
      <c r="J2794" s="1"/>
      <c r="K2794" s="1"/>
      <c r="L2794" s="1"/>
      <c r="M2794" s="1"/>
      <c r="N2794" s="1"/>
      <c r="O2794" s="1"/>
      <c r="P2794" s="1"/>
      <c r="Q2794" s="1"/>
      <c r="R2794" s="1"/>
      <c r="S2794" s="1"/>
      <c r="T2794" s="1"/>
      <c r="U2794" s="1"/>
      <c r="V2794" s="1"/>
      <c r="W2794" s="1"/>
      <c r="X2794" s="1"/>
      <c r="Y2794" s="1"/>
      <c r="Z2794" s="1"/>
      <c r="AA2794" s="1"/>
      <c r="AB2794" s="1"/>
    </row>
    <row r="2795" ht="50.25" customHeight="1">
      <c r="A2795" s="12">
        <v>2791.0</v>
      </c>
      <c r="B2795" s="13" t="s">
        <v>2624</v>
      </c>
      <c r="C2795" s="14" t="s">
        <v>2809</v>
      </c>
      <c r="D2795" s="1"/>
      <c r="E2795" s="1"/>
      <c r="F2795" s="1" t="str">
        <f>IFERROR(__xludf.DUMMYFUNCTION("GOOGLETRANSLATE(B2795, ""en"", ""fa"")
"),"نویسندگی و داستان سرایی را تحریک می کند")</f>
        <v>نویسندگی و داستان سرایی را تحریک می کند</v>
      </c>
      <c r="G2795" s="1" t="str">
        <f>IFERROR(__xludf.DUMMYFUNCTION("GOOGLETRANSLATE(C2795, ""en"", ""fa"")
"),"صحنه‌ای بنویسید که در دنیایی اتفاق می‌افتد که در آن هنر جان می‌گیرد و نقاشی‌ها پورتال‌هایی را به قلمروهای دیگر نگه می‌دارند.")</f>
        <v>صحنه‌ای بنویسید که در دنیایی اتفاق می‌افتد که در آن هنر جان می‌گیرد و نقاشی‌ها پورتال‌هایی را به قلمروهای دیگر نگه می‌دارند.</v>
      </c>
      <c r="H2795" s="1"/>
      <c r="I2795" s="1"/>
      <c r="J2795" s="1"/>
      <c r="K2795" s="1"/>
      <c r="L2795" s="1"/>
      <c r="M2795" s="1"/>
      <c r="N2795" s="1"/>
      <c r="O2795" s="1"/>
      <c r="P2795" s="1"/>
      <c r="Q2795" s="1"/>
      <c r="R2795" s="1"/>
      <c r="S2795" s="1"/>
      <c r="T2795" s="1"/>
      <c r="U2795" s="1"/>
      <c r="V2795" s="1"/>
      <c r="W2795" s="1"/>
      <c r="X2795" s="1"/>
      <c r="Y2795" s="1"/>
      <c r="Z2795" s="1"/>
      <c r="AA2795" s="1"/>
      <c r="AB2795" s="1"/>
    </row>
    <row r="2796" ht="50.25" customHeight="1">
      <c r="A2796" s="12">
        <v>2792.0</v>
      </c>
      <c r="B2796" s="13" t="s">
        <v>2624</v>
      </c>
      <c r="C2796" s="14" t="s">
        <v>2810</v>
      </c>
      <c r="D2796" s="1"/>
      <c r="E2796" s="1"/>
      <c r="F2796" s="1" t="str">
        <f>IFERROR(__xludf.DUMMYFUNCTION("GOOGLETRANSLATE(B2796, ""en"", ""fa"")
"),"نویسندگی و داستان سرایی را تحریک می کند")</f>
        <v>نویسندگی و داستان سرایی را تحریک می کند</v>
      </c>
      <c r="G2796" s="1" t="str">
        <f>IFERROR(__xludf.DUMMYFUNCTION("GOOGLETRANSLATE(C2796, ""en"", ""fa"")
"),"جامعه‌ای را توصیف کنید که در آن احساسات به‌عنوان شکلی از انرژی در نظر گرفته می‌شود و یک فرد همدل هدف کسانی می‌شود که به دنبال قدرت هستند.")</f>
        <v>جامعه‌ای را توصیف کنید که در آن احساسات به‌عنوان شکلی از انرژی در نظر گرفته می‌شود و یک فرد همدل هدف کسانی می‌شود که به دنبال قدرت هستند.</v>
      </c>
      <c r="H2796" s="1"/>
      <c r="I2796" s="1"/>
      <c r="J2796" s="1"/>
      <c r="K2796" s="1"/>
      <c r="L2796" s="1"/>
      <c r="M2796" s="1"/>
      <c r="N2796" s="1"/>
      <c r="O2796" s="1"/>
      <c r="P2796" s="1"/>
      <c r="Q2796" s="1"/>
      <c r="R2796" s="1"/>
      <c r="S2796" s="1"/>
      <c r="T2796" s="1"/>
      <c r="U2796" s="1"/>
      <c r="V2796" s="1"/>
      <c r="W2796" s="1"/>
      <c r="X2796" s="1"/>
      <c r="Y2796" s="1"/>
      <c r="Z2796" s="1"/>
      <c r="AA2796" s="1"/>
      <c r="AB2796" s="1"/>
    </row>
    <row r="2797" ht="50.25" customHeight="1">
      <c r="A2797" s="12">
        <v>2793.0</v>
      </c>
      <c r="B2797" s="13" t="s">
        <v>2624</v>
      </c>
      <c r="C2797" s="14" t="s">
        <v>2811</v>
      </c>
      <c r="D2797" s="1"/>
      <c r="E2797" s="1"/>
      <c r="F2797" s="1" t="str">
        <f>IFERROR(__xludf.DUMMYFUNCTION("GOOGLETRANSLATE(B2797, ""en"", ""fa"")
"),"نویسندگی و داستان سرایی را تحریک می کند")</f>
        <v>نویسندگی و داستان سرایی را تحریک می کند</v>
      </c>
      <c r="G2797" s="1" t="str">
        <f>IFERROR(__xludf.DUMMYFUNCTION("GOOGLETRANSLATE(C2797, ""en"", ""fa"")
"),"داستانی در مورد شخصی بنویسید که دارای قدرت تله‌کینزی است و یاد می‌گیرد که از آن برای محافظت از عزیزانش استفاده کند.")</f>
        <v>داستانی در مورد شخصی بنویسید که دارای قدرت تله‌کینزی است و یاد می‌گیرد که از آن برای محافظت از عزیزانش استفاده کند.</v>
      </c>
      <c r="H2797" s="1"/>
      <c r="I2797" s="1"/>
      <c r="J2797" s="1"/>
      <c r="K2797" s="1"/>
      <c r="L2797" s="1"/>
      <c r="M2797" s="1"/>
      <c r="N2797" s="1"/>
      <c r="O2797" s="1"/>
      <c r="P2797" s="1"/>
      <c r="Q2797" s="1"/>
      <c r="R2797" s="1"/>
      <c r="S2797" s="1"/>
      <c r="T2797" s="1"/>
      <c r="U2797" s="1"/>
      <c r="V2797" s="1"/>
      <c r="W2797" s="1"/>
      <c r="X2797" s="1"/>
      <c r="Y2797" s="1"/>
      <c r="Z2797" s="1"/>
      <c r="AA2797" s="1"/>
      <c r="AB2797" s="1"/>
    </row>
    <row r="2798" ht="50.25" customHeight="1">
      <c r="A2798" s="12">
        <v>2794.0</v>
      </c>
      <c r="B2798" s="13" t="s">
        <v>2624</v>
      </c>
      <c r="C2798" s="14" t="s">
        <v>2812</v>
      </c>
      <c r="D2798" s="1"/>
      <c r="E2798" s="1"/>
      <c r="F2798" s="1" t="str">
        <f>IFERROR(__xludf.DUMMYFUNCTION("GOOGLETRANSLATE(B2798, ""en"", ""fa"")
"),"نویسندگی و داستان سرایی را تحریک می کند")</f>
        <v>نویسندگی و داستان سرایی را تحریک می کند</v>
      </c>
      <c r="G2798" s="1" t="str">
        <f>IFERROR(__xludf.DUMMYFUNCTION("GOOGLETRANSLATE(C2798, ""en"", ""fa"")
"),"شخصیتی بسازید که بتواند با ارواح متوفی ارتباط برقرار کند، و به آنها کمک کند تا به بسته شدن یا کشف حقایق پنهان کمک کنند.")</f>
        <v>شخصیتی بسازید که بتواند با ارواح متوفی ارتباط برقرار کند، و به آنها کمک کند تا به بسته شدن یا کشف حقایق پنهان کمک کنند.</v>
      </c>
      <c r="H2798" s="1"/>
      <c r="I2798" s="1"/>
      <c r="J2798" s="1"/>
      <c r="K2798" s="1"/>
      <c r="L2798" s="1"/>
      <c r="M2798" s="1"/>
      <c r="N2798" s="1"/>
      <c r="O2798" s="1"/>
      <c r="P2798" s="1"/>
      <c r="Q2798" s="1"/>
      <c r="R2798" s="1"/>
      <c r="S2798" s="1"/>
      <c r="T2798" s="1"/>
      <c r="U2798" s="1"/>
      <c r="V2798" s="1"/>
      <c r="W2798" s="1"/>
      <c r="X2798" s="1"/>
      <c r="Y2798" s="1"/>
      <c r="Z2798" s="1"/>
      <c r="AA2798" s="1"/>
      <c r="AB2798" s="1"/>
    </row>
    <row r="2799" ht="50.25" customHeight="1">
      <c r="A2799" s="12">
        <v>2795.0</v>
      </c>
      <c r="B2799" s="13" t="s">
        <v>2624</v>
      </c>
      <c r="C2799" s="14" t="s">
        <v>2813</v>
      </c>
      <c r="D2799" s="1"/>
      <c r="E2799" s="1"/>
      <c r="F2799" s="1" t="str">
        <f>IFERROR(__xludf.DUMMYFUNCTION("GOOGLETRANSLATE(B2799, ""en"", ""fa"")
"),"نویسندگی و داستان سرایی را تحریک می کند")</f>
        <v>نویسندگی و داستان سرایی را تحریک می کند</v>
      </c>
      <c r="G2799" s="1" t="str">
        <f>IFERROR(__xludf.DUMMYFUNCTION("GOOGLETRANSLATE(C2799, ""en"", ""fa"")
"),"صحنه ای را بنویسید که در آن گروهی از مسافران زمان تلاش می کنند تا از یک رویداد فاجعه آمیز که ساختار واقعیت را تهدید می کند جلوگیری کنند.")</f>
        <v>صحنه ای را بنویسید که در آن گروهی از مسافران زمان تلاش می کنند تا از یک رویداد فاجعه آمیز که ساختار واقعیت را تهدید می کند جلوگیری کنند.</v>
      </c>
      <c r="H2799" s="1"/>
      <c r="I2799" s="1"/>
      <c r="J2799" s="1"/>
      <c r="K2799" s="1"/>
      <c r="L2799" s="1"/>
      <c r="M2799" s="1"/>
      <c r="N2799" s="1"/>
      <c r="O2799" s="1"/>
      <c r="P2799" s="1"/>
      <c r="Q2799" s="1"/>
      <c r="R2799" s="1"/>
      <c r="S2799" s="1"/>
      <c r="T2799" s="1"/>
      <c r="U2799" s="1"/>
      <c r="V2799" s="1"/>
      <c r="W2799" s="1"/>
      <c r="X2799" s="1"/>
      <c r="Y2799" s="1"/>
      <c r="Z2799" s="1"/>
      <c r="AA2799" s="1"/>
      <c r="AB2799" s="1"/>
    </row>
    <row r="2800" ht="50.25" customHeight="1">
      <c r="A2800" s="12">
        <v>2796.0</v>
      </c>
      <c r="B2800" s="13" t="s">
        <v>2624</v>
      </c>
      <c r="C2800" s="14" t="s">
        <v>2814</v>
      </c>
      <c r="D2800" s="1"/>
      <c r="E2800" s="1"/>
      <c r="F2800" s="1" t="str">
        <f>IFERROR(__xludf.DUMMYFUNCTION("GOOGLETRANSLATE(B2800, ""en"", ""fa"")
"),"نویسندگی و داستان سرایی را تحریک می کند")</f>
        <v>نویسندگی و داستان سرایی را تحریک می کند</v>
      </c>
      <c r="G2800" s="1" t="str">
        <f>IFERROR(__xludf.DUMMYFUNCTION("GOOGLETRANSLATE(C2800, ""en"", ""fa"")
"),"یک پناهگاه مخفی را توصیف کنید که در آن موجودات باستانی زندگی می کنند و یک انتخاب شده قرار است از وجود آنها محافظت کند.")</f>
        <v>یک پناهگاه مخفی را توصیف کنید که در آن موجودات باستانی زندگی می کنند و یک انتخاب شده قرار است از وجود آنها محافظت کند.</v>
      </c>
      <c r="H2800" s="1"/>
      <c r="I2800" s="1"/>
      <c r="J2800" s="1"/>
      <c r="K2800" s="1"/>
      <c r="L2800" s="1"/>
      <c r="M2800" s="1"/>
      <c r="N2800" s="1"/>
      <c r="O2800" s="1"/>
      <c r="P2800" s="1"/>
      <c r="Q2800" s="1"/>
      <c r="R2800" s="1"/>
      <c r="S2800" s="1"/>
      <c r="T2800" s="1"/>
      <c r="U2800" s="1"/>
      <c r="V2800" s="1"/>
      <c r="W2800" s="1"/>
      <c r="X2800" s="1"/>
      <c r="Y2800" s="1"/>
      <c r="Z2800" s="1"/>
      <c r="AA2800" s="1"/>
      <c r="AB2800" s="1"/>
    </row>
    <row r="2801" ht="50.25" customHeight="1">
      <c r="A2801" s="12">
        <v>2797.0</v>
      </c>
      <c r="B2801" s="13" t="s">
        <v>2624</v>
      </c>
      <c r="C2801" s="14" t="s">
        <v>2815</v>
      </c>
      <c r="D2801" s="1"/>
      <c r="E2801" s="1"/>
      <c r="F2801" s="1" t="str">
        <f>IFERROR(__xludf.DUMMYFUNCTION("GOOGLETRANSLATE(B2801, ""en"", ""fa"")
"),"نویسندگی و داستان سرایی را تحریک می کند")</f>
        <v>نویسندگی و داستان سرایی را تحریک می کند</v>
      </c>
      <c r="G2801" s="1" t="str">
        <f>IFERROR(__xludf.DUMMYFUNCTION("GOOGLETRANSLATE(C2801, ""en"", ""fa"")
"),"داستانی در مورد شخصی بنویسید که دارای قدرت نامرئی است و از آن برای کشف اسرار و مبارزه با بی عدالتی استفاده می کند.")</f>
        <v>داستانی در مورد شخصی بنویسید که دارای قدرت نامرئی است و از آن برای کشف اسرار و مبارزه با بی عدالتی استفاده می کند.</v>
      </c>
      <c r="H2801" s="1"/>
      <c r="I2801" s="1"/>
      <c r="J2801" s="1"/>
      <c r="K2801" s="1"/>
      <c r="L2801" s="1"/>
      <c r="M2801" s="1"/>
      <c r="N2801" s="1"/>
      <c r="O2801" s="1"/>
      <c r="P2801" s="1"/>
      <c r="Q2801" s="1"/>
      <c r="R2801" s="1"/>
      <c r="S2801" s="1"/>
      <c r="T2801" s="1"/>
      <c r="U2801" s="1"/>
      <c r="V2801" s="1"/>
      <c r="W2801" s="1"/>
      <c r="X2801" s="1"/>
      <c r="Y2801" s="1"/>
      <c r="Z2801" s="1"/>
      <c r="AA2801" s="1"/>
      <c r="AB2801" s="1"/>
    </row>
    <row r="2802" ht="50.25" customHeight="1">
      <c r="A2802" s="12">
        <v>2798.0</v>
      </c>
      <c r="B2802" s="13" t="s">
        <v>2624</v>
      </c>
      <c r="C2802" s="14" t="s">
        <v>2816</v>
      </c>
      <c r="D2802" s="1"/>
      <c r="E2802" s="1"/>
      <c r="F2802" s="1" t="str">
        <f>IFERROR(__xludf.DUMMYFUNCTION("GOOGLETRANSLATE(B2802, ""en"", ""fa"")
"),"نویسندگی و داستان سرایی را تحریک می کند")</f>
        <v>نویسندگی و داستان سرایی را تحریک می کند</v>
      </c>
      <c r="G2802" s="1" t="str">
        <f>IFERROR(__xludf.DUMMYFUNCTION("GOOGLETRANSLATE(C2802, ""en"", ""fa"")
"),"شخصیتی بسازید که بتواند عناصر طبیعت را دستکاری کند و نیروهای زمین، هوا، آتش و آب را مهار کند.")</f>
        <v>شخصیتی بسازید که بتواند عناصر طبیعت را دستکاری کند و نیروهای زمین، هوا، آتش و آب را مهار کند.</v>
      </c>
      <c r="H2802" s="1"/>
      <c r="I2802" s="1"/>
      <c r="J2802" s="1"/>
      <c r="K2802" s="1"/>
      <c r="L2802" s="1"/>
      <c r="M2802" s="1"/>
      <c r="N2802" s="1"/>
      <c r="O2802" s="1"/>
      <c r="P2802" s="1"/>
      <c r="Q2802" s="1"/>
      <c r="R2802" s="1"/>
      <c r="S2802" s="1"/>
      <c r="T2802" s="1"/>
      <c r="U2802" s="1"/>
      <c r="V2802" s="1"/>
      <c r="W2802" s="1"/>
      <c r="X2802" s="1"/>
      <c r="Y2802" s="1"/>
      <c r="Z2802" s="1"/>
      <c r="AA2802" s="1"/>
      <c r="AB2802" s="1"/>
    </row>
    <row r="2803" ht="50.25" customHeight="1">
      <c r="A2803" s="12">
        <v>2799.0</v>
      </c>
      <c r="B2803" s="13" t="s">
        <v>2624</v>
      </c>
      <c r="C2803" s="14" t="s">
        <v>2817</v>
      </c>
      <c r="D2803" s="1"/>
      <c r="E2803" s="1"/>
      <c r="F2803" s="1" t="str">
        <f>IFERROR(__xludf.DUMMYFUNCTION("GOOGLETRANSLATE(B2803, ""en"", ""fa"")
"),"نویسندگی و داستان سرایی را تحریک می کند")</f>
        <v>نویسندگی و داستان سرایی را تحریک می کند</v>
      </c>
      <c r="G2803" s="1" t="str">
        <f>IFERROR(__xludf.DUMMYFUNCTION("GOOGLETRANSLATE(C2803, ""en"", ""fa"")
"),"صحنه ای را بنویسید که در آن گروهی از ماجراجویان برای بازیابی مصنوعات گمشده با جادوی باستانی تلاش می کنند.")</f>
        <v>صحنه ای را بنویسید که در آن گروهی از ماجراجویان برای بازیابی مصنوعات گمشده با جادوی باستانی تلاش می کنند.</v>
      </c>
      <c r="H2803" s="1"/>
      <c r="I2803" s="1"/>
      <c r="J2803" s="1"/>
      <c r="K2803" s="1"/>
      <c r="L2803" s="1"/>
      <c r="M2803" s="1"/>
      <c r="N2803" s="1"/>
      <c r="O2803" s="1"/>
      <c r="P2803" s="1"/>
      <c r="Q2803" s="1"/>
      <c r="R2803" s="1"/>
      <c r="S2803" s="1"/>
      <c r="T2803" s="1"/>
      <c r="U2803" s="1"/>
      <c r="V2803" s="1"/>
      <c r="W2803" s="1"/>
      <c r="X2803" s="1"/>
      <c r="Y2803" s="1"/>
      <c r="Z2803" s="1"/>
      <c r="AA2803" s="1"/>
      <c r="AB2803" s="1"/>
    </row>
    <row r="2804" ht="50.25" customHeight="1">
      <c r="A2804" s="12">
        <v>2800.0</v>
      </c>
      <c r="B2804" s="13" t="s">
        <v>2624</v>
      </c>
      <c r="C2804" s="14" t="s">
        <v>2818</v>
      </c>
      <c r="D2804" s="1"/>
      <c r="E2804" s="1"/>
      <c r="F2804" s="1" t="str">
        <f>IFERROR(__xludf.DUMMYFUNCTION("GOOGLETRANSLATE(B2804, ""en"", ""fa"")
"),"نویسندگی و داستان سرایی را تحریک می کند")</f>
        <v>نویسندگی و داستان سرایی را تحریک می کند</v>
      </c>
      <c r="G2804" s="1" t="str">
        <f>IFERROR(__xludf.DUMMYFUNCTION("GOOGLETRANSLATE(C2804, ""en"", ""fa"")
"),"جامعه ای را توصیف کنید که در آن می توان رویاها را برداشت و برای ساختن جهان های جدید استفاده کرد و دزد رویاها را تهدید می کند که تعادل را از بین می برد.")</f>
        <v>جامعه ای را توصیف کنید که در آن می توان رویاها را برداشت و برای ساختن جهان های جدید استفاده کرد و دزد رویاها را تهدید می کند که تعادل را از بین می برد.</v>
      </c>
      <c r="H2804" s="1"/>
      <c r="I2804" s="1"/>
      <c r="J2804" s="1"/>
      <c r="K2804" s="1"/>
      <c r="L2804" s="1"/>
      <c r="M2804" s="1"/>
      <c r="N2804" s="1"/>
      <c r="O2804" s="1"/>
      <c r="P2804" s="1"/>
      <c r="Q2804" s="1"/>
      <c r="R2804" s="1"/>
      <c r="S2804" s="1"/>
      <c r="T2804" s="1"/>
      <c r="U2804" s="1"/>
      <c r="V2804" s="1"/>
      <c r="W2804" s="1"/>
      <c r="X2804" s="1"/>
      <c r="Y2804" s="1"/>
      <c r="Z2804" s="1"/>
      <c r="AA2804" s="1"/>
      <c r="AB2804" s="1"/>
    </row>
    <row r="2805" ht="50.25" customHeight="1">
      <c r="A2805" s="12">
        <v>2801.0</v>
      </c>
      <c r="B2805" s="13" t="s">
        <v>2624</v>
      </c>
      <c r="C2805" s="14" t="s">
        <v>2819</v>
      </c>
      <c r="D2805" s="1"/>
      <c r="E2805" s="1"/>
      <c r="F2805" s="1" t="str">
        <f>IFERROR(__xludf.DUMMYFUNCTION("GOOGLETRANSLATE(B2805, ""en"", ""fa"")
"),"نویسندگی و داستان سرایی را تحریک می کند")</f>
        <v>نویسندگی و داستان سرایی را تحریک می کند</v>
      </c>
      <c r="G2805" s="1" t="str">
        <f>IFERROR(__xludf.DUMMYFUNCTION("GOOGLETRANSLATE(C2805, ""en"", ""fa"")
"),"داستانی در مورد شخصی بنویسید که دارای قدرت روشن بینی است و باید از پیچیدگی های سرنوشت و اراده آزاد عبور کند.")</f>
        <v>داستانی در مورد شخصی بنویسید که دارای قدرت روشن بینی است و باید از پیچیدگی های سرنوشت و اراده آزاد عبور کند.</v>
      </c>
      <c r="H2805" s="1"/>
      <c r="I2805" s="1"/>
      <c r="J2805" s="1"/>
      <c r="K2805" s="1"/>
      <c r="L2805" s="1"/>
      <c r="M2805" s="1"/>
      <c r="N2805" s="1"/>
      <c r="O2805" s="1"/>
      <c r="P2805" s="1"/>
      <c r="Q2805" s="1"/>
      <c r="R2805" s="1"/>
      <c r="S2805" s="1"/>
      <c r="T2805" s="1"/>
      <c r="U2805" s="1"/>
      <c r="V2805" s="1"/>
      <c r="W2805" s="1"/>
      <c r="X2805" s="1"/>
      <c r="Y2805" s="1"/>
      <c r="Z2805" s="1"/>
      <c r="AA2805" s="1"/>
      <c r="AB2805" s="1"/>
    </row>
    <row r="2806" ht="50.25" customHeight="1">
      <c r="A2806" s="12">
        <v>2802.0</v>
      </c>
      <c r="B2806" s="13" t="s">
        <v>2624</v>
      </c>
      <c r="C2806" s="14" t="s">
        <v>2820</v>
      </c>
      <c r="D2806" s="1"/>
      <c r="E2806" s="1"/>
      <c r="F2806" s="1" t="str">
        <f>IFERROR(__xludf.DUMMYFUNCTION("GOOGLETRANSLATE(B2806, ""en"", ""fa"")
"),"نویسندگی و داستان سرایی را تحریک می کند")</f>
        <v>نویسندگی و داستان سرایی را تحریک می کند</v>
      </c>
      <c r="G2806" s="1" t="str">
        <f>IFERROR(__xludf.DUMMYFUNCTION("GOOGLETRANSLATE(C2806, ""en"", ""fa"")
"),"شخصیتی بسازید که بتواند با موجودات آسمانی ارتباط برقرار کند و نگهبان تعادل کیهانی شود.")</f>
        <v>شخصیتی بسازید که بتواند با موجودات آسمانی ارتباط برقرار کند و نگهبان تعادل کیهانی شود.</v>
      </c>
      <c r="H2806" s="1"/>
      <c r="I2806" s="1"/>
      <c r="J2806" s="1"/>
      <c r="K2806" s="1"/>
      <c r="L2806" s="1"/>
      <c r="M2806" s="1"/>
      <c r="N2806" s="1"/>
      <c r="O2806" s="1"/>
      <c r="P2806" s="1"/>
      <c r="Q2806" s="1"/>
      <c r="R2806" s="1"/>
      <c r="S2806" s="1"/>
      <c r="T2806" s="1"/>
      <c r="U2806" s="1"/>
      <c r="V2806" s="1"/>
      <c r="W2806" s="1"/>
      <c r="X2806" s="1"/>
      <c r="Y2806" s="1"/>
      <c r="Z2806" s="1"/>
      <c r="AA2806" s="1"/>
      <c r="AB2806" s="1"/>
    </row>
    <row r="2807" ht="50.25" customHeight="1">
      <c r="A2807" s="12">
        <v>2803.0</v>
      </c>
      <c r="B2807" s="13" t="s">
        <v>2624</v>
      </c>
      <c r="C2807" s="14" t="s">
        <v>2821</v>
      </c>
      <c r="D2807" s="1"/>
      <c r="E2807" s="1"/>
      <c r="F2807" s="1" t="str">
        <f>IFERROR(__xludf.DUMMYFUNCTION("GOOGLETRANSLATE(B2807, ""en"", ""fa"")
"),"نویسندگی و داستان سرایی را تحریک می کند")</f>
        <v>نویسندگی و داستان سرایی را تحریک می کند</v>
      </c>
      <c r="G2807" s="1" t="str">
        <f>IFERROR(__xludf.DUMMYFUNCTION("GOOGLETRANSLATE(C2807, ""en"", ""fa"")
"),"صحنه‌ای بنویسید که در دنیایی اتفاق می‌افتد که در آن موجودات افسانه‌ای یک منظره معمولی هستند و یک انسان به قلمرو جادویی آنها دست و پا می‌زند.")</f>
        <v>صحنه‌ای بنویسید که در دنیایی اتفاق می‌افتد که در آن موجودات افسانه‌ای یک منظره معمولی هستند و یک انسان به قلمرو جادویی آنها دست و پا می‌زند.</v>
      </c>
      <c r="H2807" s="1"/>
      <c r="I2807" s="1"/>
      <c r="J2807" s="1"/>
      <c r="K2807" s="1"/>
      <c r="L2807" s="1"/>
      <c r="M2807" s="1"/>
      <c r="N2807" s="1"/>
      <c r="O2807" s="1"/>
      <c r="P2807" s="1"/>
      <c r="Q2807" s="1"/>
      <c r="R2807" s="1"/>
      <c r="S2807" s="1"/>
      <c r="T2807" s="1"/>
      <c r="U2807" s="1"/>
      <c r="V2807" s="1"/>
      <c r="W2807" s="1"/>
      <c r="X2807" s="1"/>
      <c r="Y2807" s="1"/>
      <c r="Z2807" s="1"/>
      <c r="AA2807" s="1"/>
      <c r="AB2807" s="1"/>
    </row>
    <row r="2808" ht="50.25" customHeight="1">
      <c r="A2808" s="12">
        <v>2804.0</v>
      </c>
      <c r="B2808" s="13" t="s">
        <v>2624</v>
      </c>
      <c r="C2808" s="14" t="s">
        <v>2822</v>
      </c>
      <c r="D2808" s="1"/>
      <c r="E2808" s="1"/>
      <c r="F2808" s="1" t="str">
        <f>IFERROR(__xludf.DUMMYFUNCTION("GOOGLETRANSLATE(B2808, ""en"", ""fa"")
"),"نویسندگی و داستان سرایی را تحریک می کند")</f>
        <v>نویسندگی و داستان سرایی را تحریک می کند</v>
      </c>
      <c r="G2808" s="1" t="str">
        <f>IFERROR(__xludf.DUMMYFUNCTION("GOOGLETRANSLATE(C2808, ""en"", ""fa"")
"),"یک آکادمی پنهان را توصیف کنید که در آن افراد با استعداد در هنر جادوی روح آموزش می بینند و به جوهر خود زندگی دست می زنند.")</f>
        <v>یک آکادمی پنهان را توصیف کنید که در آن افراد با استعداد در هنر جادوی روح آموزش می بینند و به جوهر خود زندگی دست می زنند.</v>
      </c>
      <c r="H2808" s="1"/>
      <c r="I2808" s="1"/>
      <c r="J2808" s="1"/>
      <c r="K2808" s="1"/>
      <c r="L2808" s="1"/>
      <c r="M2808" s="1"/>
      <c r="N2808" s="1"/>
      <c r="O2808" s="1"/>
      <c r="P2808" s="1"/>
      <c r="Q2808" s="1"/>
      <c r="R2808" s="1"/>
      <c r="S2808" s="1"/>
      <c r="T2808" s="1"/>
      <c r="U2808" s="1"/>
      <c r="V2808" s="1"/>
      <c r="W2808" s="1"/>
      <c r="X2808" s="1"/>
      <c r="Y2808" s="1"/>
      <c r="Z2808" s="1"/>
      <c r="AA2808" s="1"/>
      <c r="AB2808" s="1"/>
    </row>
    <row r="2809" ht="50.25" customHeight="1">
      <c r="A2809" s="12">
        <v>2805.0</v>
      </c>
      <c r="B2809" s="13" t="s">
        <v>2624</v>
      </c>
      <c r="C2809" s="14" t="s">
        <v>2823</v>
      </c>
      <c r="D2809" s="1"/>
      <c r="E2809" s="1"/>
      <c r="F2809" s="1" t="str">
        <f>IFERROR(__xludf.DUMMYFUNCTION("GOOGLETRANSLATE(B2809, ""en"", ""fa"")
"),"نویسندگی و داستان سرایی را تحریک می کند")</f>
        <v>نویسندگی و داستان سرایی را تحریک می کند</v>
      </c>
      <c r="G2809" s="1" t="str">
        <f>IFERROR(__xludf.DUMMYFUNCTION("GOOGLETRANSLATE(C2809, ""en"", ""fa"")
"),"داستانی در مورد شخصی بنویسید که دارای قدرت دگرگونی است و باید یاد بگیرد که توانایی های تغییردهنده خود را کنترل کند.")</f>
        <v>داستانی در مورد شخصی بنویسید که دارای قدرت دگرگونی است و باید یاد بگیرد که توانایی های تغییردهنده خود را کنترل کند.</v>
      </c>
      <c r="H2809" s="1"/>
      <c r="I2809" s="1"/>
      <c r="J2809" s="1"/>
      <c r="K2809" s="1"/>
      <c r="L2809" s="1"/>
      <c r="M2809" s="1"/>
      <c r="N2809" s="1"/>
      <c r="O2809" s="1"/>
      <c r="P2809" s="1"/>
      <c r="Q2809" s="1"/>
      <c r="R2809" s="1"/>
      <c r="S2809" s="1"/>
      <c r="T2809" s="1"/>
      <c r="U2809" s="1"/>
      <c r="V2809" s="1"/>
      <c r="W2809" s="1"/>
      <c r="X2809" s="1"/>
      <c r="Y2809" s="1"/>
      <c r="Z2809" s="1"/>
      <c r="AA2809" s="1"/>
      <c r="AB2809" s="1"/>
    </row>
    <row r="2810" ht="50.25" customHeight="1">
      <c r="A2810" s="12">
        <v>2806.0</v>
      </c>
      <c r="B2810" s="13" t="s">
        <v>2624</v>
      </c>
      <c r="C2810" s="14" t="s">
        <v>2824</v>
      </c>
      <c r="D2810" s="1"/>
      <c r="E2810" s="1"/>
      <c r="F2810" s="1" t="str">
        <f>IFERROR(__xludf.DUMMYFUNCTION("GOOGLETRANSLATE(B2810, ""en"", ""fa"")
"),"نویسندگی و داستان سرایی را تحریک می کند")</f>
        <v>نویسندگی و داستان سرایی را تحریک می کند</v>
      </c>
      <c r="G2810" s="1" t="str">
        <f>IFERROR(__xludf.DUMMYFUNCTION("GOOGLETRANSLATE(C2810, ""en"", ""fa"")
"),"شخصیتی بسازید که می تواند امواج صوتی را دستکاری کند، سمفونی هایی از هارمونی یا کاکافونی های آشوب ایجاد کند.")</f>
        <v>شخصیتی بسازید که می تواند امواج صوتی را دستکاری کند، سمفونی هایی از هارمونی یا کاکافونی های آشوب ایجاد کند.</v>
      </c>
      <c r="H2810" s="1"/>
      <c r="I2810" s="1"/>
      <c r="J2810" s="1"/>
      <c r="K2810" s="1"/>
      <c r="L2810" s="1"/>
      <c r="M2810" s="1"/>
      <c r="N2810" s="1"/>
      <c r="O2810" s="1"/>
      <c r="P2810" s="1"/>
      <c r="Q2810" s="1"/>
      <c r="R2810" s="1"/>
      <c r="S2810" s="1"/>
      <c r="T2810" s="1"/>
      <c r="U2810" s="1"/>
      <c r="V2810" s="1"/>
      <c r="W2810" s="1"/>
      <c r="X2810" s="1"/>
      <c r="Y2810" s="1"/>
      <c r="Z2810" s="1"/>
      <c r="AA2810" s="1"/>
      <c r="AB2810" s="1"/>
    </row>
    <row r="2811" ht="50.25" customHeight="1">
      <c r="A2811" s="12">
        <v>2807.0</v>
      </c>
      <c r="B2811" s="13" t="s">
        <v>2825</v>
      </c>
      <c r="C2811" s="16" t="s">
        <v>2826</v>
      </c>
      <c r="D2811" s="1"/>
      <c r="E2811" s="1"/>
      <c r="F2811" s="1" t="str">
        <f>IFERROR(__xludf.DUMMYFUNCTION("GOOGLETRANSLATE(B2811, ""en"", ""fa"")
"),"آموزش و پرورش")</f>
        <v>آموزش و پرورش</v>
      </c>
      <c r="G2811" s="1" t="str">
        <f>IFERROR(__xludf.DUMMYFUNCTION("GOOGLETRANSLATE(C2811, ""en"", ""fa"")
"),"درباره تأثیر فناوری بر آموزش مدرن و چگونگی تغییر روش‌های یادگیری سنتی بحث کنید.")</f>
        <v>درباره تأثیر فناوری بر آموزش مدرن و چگونگی تغییر روش‌های یادگیری سنتی بحث کنید.</v>
      </c>
      <c r="H2811" s="1"/>
      <c r="I2811" s="1"/>
      <c r="J2811" s="1"/>
      <c r="K2811" s="1"/>
      <c r="L2811" s="1"/>
      <c r="M2811" s="1"/>
      <c r="N2811" s="1"/>
      <c r="O2811" s="1"/>
      <c r="P2811" s="1"/>
      <c r="Q2811" s="1"/>
      <c r="R2811" s="1"/>
      <c r="S2811" s="1"/>
      <c r="T2811" s="1"/>
      <c r="U2811" s="1"/>
      <c r="V2811" s="1"/>
      <c r="W2811" s="1"/>
      <c r="X2811" s="1"/>
      <c r="Y2811" s="1"/>
      <c r="Z2811" s="1"/>
      <c r="AA2811" s="1"/>
      <c r="AB2811" s="1"/>
    </row>
    <row r="2812" ht="50.25" customHeight="1">
      <c r="A2812" s="12">
        <v>2808.0</v>
      </c>
      <c r="B2812" s="13" t="s">
        <v>2825</v>
      </c>
      <c r="C2812" s="14" t="s">
        <v>2827</v>
      </c>
      <c r="D2812" s="1"/>
      <c r="E2812" s="1"/>
      <c r="F2812" s="1" t="str">
        <f>IFERROR(__xludf.DUMMYFUNCTION("GOOGLETRANSLATE(B2812, ""en"", ""fa"")
"),"آموزش و پرورش")</f>
        <v>آموزش و پرورش</v>
      </c>
      <c r="G2812" s="1" t="str">
        <f>IFERROR(__xludf.DUMMYFUNCTION("GOOGLETRANSLATE(C2812, ""en"", ""fa"")
"),"مزایا و معایب یادگیری آنلاین را در مقایسه با آموزش سنتی کلاسی تجزیه و تحلیل کنید.")</f>
        <v>مزایا و معایب یادگیری آنلاین را در مقایسه با آموزش سنتی کلاسی تجزیه و تحلیل کنید.</v>
      </c>
      <c r="H2812" s="1"/>
      <c r="I2812" s="1"/>
      <c r="J2812" s="1"/>
      <c r="K2812" s="1"/>
      <c r="L2812" s="1"/>
      <c r="M2812" s="1"/>
      <c r="N2812" s="1"/>
      <c r="O2812" s="1"/>
      <c r="P2812" s="1"/>
      <c r="Q2812" s="1"/>
      <c r="R2812" s="1"/>
      <c r="S2812" s="1"/>
      <c r="T2812" s="1"/>
      <c r="U2812" s="1"/>
      <c r="V2812" s="1"/>
      <c r="W2812" s="1"/>
      <c r="X2812" s="1"/>
      <c r="Y2812" s="1"/>
      <c r="Z2812" s="1"/>
      <c r="AA2812" s="1"/>
      <c r="AB2812" s="1"/>
    </row>
    <row r="2813" ht="50.25" customHeight="1">
      <c r="A2813" s="12">
        <v>2809.0</v>
      </c>
      <c r="B2813" s="13" t="s">
        <v>2825</v>
      </c>
      <c r="C2813" s="14" t="s">
        <v>2828</v>
      </c>
      <c r="D2813" s="1"/>
      <c r="E2813" s="1"/>
      <c r="F2813" s="1" t="str">
        <f>IFERROR(__xludf.DUMMYFUNCTION("GOOGLETRANSLATE(B2813, ""en"", ""fa"")
"),"آموزش و پرورش")</f>
        <v>آموزش و پرورش</v>
      </c>
      <c r="G2813" s="1" t="str">
        <f>IFERROR(__xludf.DUMMYFUNCTION("GOOGLETRANSLATE(C2813, ""en"", ""fa"")
"),"اهمیت مهارت های تفکر انتقادی در آموزش و پرورش و چگونگی پرورش آن در دانش آموزان را بررسی کنید.")</f>
        <v>اهمیت مهارت های تفکر انتقادی در آموزش و پرورش و چگونگی پرورش آن در دانش آموزان را بررسی کنید.</v>
      </c>
      <c r="H2813" s="1"/>
      <c r="I2813" s="1"/>
      <c r="J2813" s="1"/>
      <c r="K2813" s="1"/>
      <c r="L2813" s="1"/>
      <c r="M2813" s="1"/>
      <c r="N2813" s="1"/>
      <c r="O2813" s="1"/>
      <c r="P2813" s="1"/>
      <c r="Q2813" s="1"/>
      <c r="R2813" s="1"/>
      <c r="S2813" s="1"/>
      <c r="T2813" s="1"/>
      <c r="U2813" s="1"/>
      <c r="V2813" s="1"/>
      <c r="W2813" s="1"/>
      <c r="X2813" s="1"/>
      <c r="Y2813" s="1"/>
      <c r="Z2813" s="1"/>
      <c r="AA2813" s="1"/>
      <c r="AB2813" s="1"/>
    </row>
    <row r="2814" ht="50.25" customHeight="1">
      <c r="A2814" s="12">
        <v>2810.0</v>
      </c>
      <c r="B2814" s="13" t="s">
        <v>2825</v>
      </c>
      <c r="C2814" s="14" t="s">
        <v>2829</v>
      </c>
      <c r="D2814" s="1"/>
      <c r="E2814" s="1"/>
      <c r="F2814" s="1" t="str">
        <f>IFERROR(__xludf.DUMMYFUNCTION("GOOGLETRANSLATE(B2814, ""en"", ""fa"")
"),"آموزش و پرورش")</f>
        <v>آموزش و پرورش</v>
      </c>
      <c r="G2814" s="1" t="str">
        <f>IFERROR(__xludf.DUMMYFUNCTION("GOOGLETRANSLATE(C2814, ""en"", ""fa"")
"),"در مورد نقش خلاقیت و نوآوری در آموزش و چگونگی کمک آنها به یک تجربه یادگیری جامع بحث کنید.")</f>
        <v>در مورد نقش خلاقیت و نوآوری در آموزش و چگونگی کمک آنها به یک تجربه یادگیری جامع بحث کنید.</v>
      </c>
      <c r="H2814" s="1"/>
      <c r="I2814" s="1"/>
      <c r="J2814" s="1"/>
      <c r="K2814" s="1"/>
      <c r="L2814" s="1"/>
      <c r="M2814" s="1"/>
      <c r="N2814" s="1"/>
      <c r="O2814" s="1"/>
      <c r="P2814" s="1"/>
      <c r="Q2814" s="1"/>
      <c r="R2814" s="1"/>
      <c r="S2814" s="1"/>
      <c r="T2814" s="1"/>
      <c r="U2814" s="1"/>
      <c r="V2814" s="1"/>
      <c r="W2814" s="1"/>
      <c r="X2814" s="1"/>
      <c r="Y2814" s="1"/>
      <c r="Z2814" s="1"/>
      <c r="AA2814" s="1"/>
      <c r="AB2814" s="1"/>
    </row>
    <row r="2815" ht="50.25" customHeight="1">
      <c r="A2815" s="12">
        <v>2811.0</v>
      </c>
      <c r="B2815" s="13" t="s">
        <v>2825</v>
      </c>
      <c r="C2815" s="14" t="s">
        <v>2830</v>
      </c>
      <c r="D2815" s="1"/>
      <c r="E2815" s="1"/>
      <c r="F2815" s="1" t="str">
        <f>IFERROR(__xludf.DUMMYFUNCTION("GOOGLETRANSLATE(B2815, ""en"", ""fa"")
"),"آموزش و پرورش")</f>
        <v>آموزش و پرورش</v>
      </c>
      <c r="G2815" s="1" t="str">
        <f>IFERROR(__xludf.DUMMYFUNCTION("GOOGLETRANSLATE(C2815, ""en"", ""fa"")
"),"تجزیه و تحلیل مزایای یادگیری مبتنی بر پروژه و اثربخشی آن در آماده سازی دانش آموزان برای چالش های دنیای واقعی.")</f>
        <v>تجزیه و تحلیل مزایای یادگیری مبتنی بر پروژه و اثربخشی آن در آماده سازی دانش آموزان برای چالش های دنیای واقعی.</v>
      </c>
      <c r="H2815" s="1"/>
      <c r="I2815" s="1"/>
      <c r="J2815" s="1"/>
      <c r="K2815" s="1"/>
      <c r="L2815" s="1"/>
      <c r="M2815" s="1"/>
      <c r="N2815" s="1"/>
      <c r="O2815" s="1"/>
      <c r="P2815" s="1"/>
      <c r="Q2815" s="1"/>
      <c r="R2815" s="1"/>
      <c r="S2815" s="1"/>
      <c r="T2815" s="1"/>
      <c r="U2815" s="1"/>
      <c r="V2815" s="1"/>
      <c r="W2815" s="1"/>
      <c r="X2815" s="1"/>
      <c r="Y2815" s="1"/>
      <c r="Z2815" s="1"/>
      <c r="AA2815" s="1"/>
      <c r="AB2815" s="1"/>
    </row>
    <row r="2816" ht="50.25" customHeight="1">
      <c r="A2816" s="12">
        <v>2812.0</v>
      </c>
      <c r="B2816" s="13" t="s">
        <v>2825</v>
      </c>
      <c r="C2816" s="14" t="s">
        <v>2831</v>
      </c>
      <c r="D2816" s="1"/>
      <c r="E2816" s="1"/>
      <c r="F2816" s="1" t="str">
        <f>IFERROR(__xludf.DUMMYFUNCTION("GOOGLETRANSLATE(B2816, ""en"", ""fa"")
"),"آموزش و پرورش")</f>
        <v>آموزش و پرورش</v>
      </c>
      <c r="G2816" s="1" t="str">
        <f>IFERROR(__xludf.DUMMYFUNCTION("GOOGLETRANSLATE(C2816, ""en"", ""fa"")
"),"نقش معلمان به عنوان تسهیل کننده یادگیری و اهمیت ایجاد یک محیط کلاسی دانش آموز محور را بررسی کنید.")</f>
        <v>نقش معلمان به عنوان تسهیل کننده یادگیری و اهمیت ایجاد یک محیط کلاسی دانش آموز محور را بررسی کنید.</v>
      </c>
      <c r="H2816" s="1"/>
      <c r="I2816" s="1"/>
      <c r="J2816" s="1"/>
      <c r="K2816" s="1"/>
      <c r="L2816" s="1"/>
      <c r="M2816" s="1"/>
      <c r="N2816" s="1"/>
      <c r="O2816" s="1"/>
      <c r="P2816" s="1"/>
      <c r="Q2816" s="1"/>
      <c r="R2816" s="1"/>
      <c r="S2816" s="1"/>
      <c r="T2816" s="1"/>
      <c r="U2816" s="1"/>
      <c r="V2816" s="1"/>
      <c r="W2816" s="1"/>
      <c r="X2816" s="1"/>
      <c r="Y2816" s="1"/>
      <c r="Z2816" s="1"/>
      <c r="AA2816" s="1"/>
      <c r="AB2816" s="1"/>
    </row>
    <row r="2817" ht="50.25" customHeight="1">
      <c r="A2817" s="12">
        <v>2813.0</v>
      </c>
      <c r="B2817" s="13" t="s">
        <v>2825</v>
      </c>
      <c r="C2817" s="14" t="s">
        <v>2832</v>
      </c>
      <c r="D2817" s="1"/>
      <c r="E2817" s="1"/>
      <c r="F2817" s="1" t="str">
        <f>IFERROR(__xludf.DUMMYFUNCTION("GOOGLETRANSLATE(B2817, ""en"", ""fa"")
"),"آموزش و پرورش")</f>
        <v>آموزش و پرورش</v>
      </c>
      <c r="G2817" s="1" t="str">
        <f>IFERROR(__xludf.DUMMYFUNCTION("GOOGLETRANSLATE(C2817, ""en"", ""fa"")
"),"در مورد چالش ها و فرصت های آموزش چندفرهنگی در ترویج تنوع و فراگیری در مدارس بحث کنید.")</f>
        <v>در مورد چالش ها و فرصت های آموزش چندفرهنگی در ترویج تنوع و فراگیری در مدارس بحث کنید.</v>
      </c>
      <c r="H2817" s="1"/>
      <c r="I2817" s="1"/>
      <c r="J2817" s="1"/>
      <c r="K2817" s="1"/>
      <c r="L2817" s="1"/>
      <c r="M2817" s="1"/>
      <c r="N2817" s="1"/>
      <c r="O2817" s="1"/>
      <c r="P2817" s="1"/>
      <c r="Q2817" s="1"/>
      <c r="R2817" s="1"/>
      <c r="S2817" s="1"/>
      <c r="T2817" s="1"/>
      <c r="U2817" s="1"/>
      <c r="V2817" s="1"/>
      <c r="W2817" s="1"/>
      <c r="X2817" s="1"/>
      <c r="Y2817" s="1"/>
      <c r="Z2817" s="1"/>
      <c r="AA2817" s="1"/>
      <c r="AB2817" s="1"/>
    </row>
    <row r="2818" ht="50.25" customHeight="1">
      <c r="A2818" s="12">
        <v>2814.0</v>
      </c>
      <c r="B2818" s="13" t="s">
        <v>2825</v>
      </c>
      <c r="C2818" s="14" t="s">
        <v>2833</v>
      </c>
      <c r="D2818" s="1"/>
      <c r="E2818" s="1"/>
      <c r="F2818" s="1" t="str">
        <f>IFERROR(__xludf.DUMMYFUNCTION("GOOGLETRANSLATE(B2818, ""en"", ""fa"")
"),"آموزش و پرورش")</f>
        <v>آموزش و پرورش</v>
      </c>
      <c r="G2818" s="1" t="str">
        <f>IFERROR(__xludf.DUMMYFUNCTION("GOOGLETRANSLATE(C2818, ""en"", ""fa"")
"),"تأثیر آزمون استاندارد شده بر تجربیات یادگیری و نتایج آموزشی دانش آموزان را تجزیه و تحلیل کنید.")</f>
        <v>تأثیر آزمون استاندارد شده بر تجربیات یادگیری و نتایج آموزشی دانش آموزان را تجزیه و تحلیل کنید.</v>
      </c>
      <c r="H2818" s="1"/>
      <c r="I2818" s="1"/>
      <c r="J2818" s="1"/>
      <c r="K2818" s="1"/>
      <c r="L2818" s="1"/>
      <c r="M2818" s="1"/>
      <c r="N2818" s="1"/>
      <c r="O2818" s="1"/>
      <c r="P2818" s="1"/>
      <c r="Q2818" s="1"/>
      <c r="R2818" s="1"/>
      <c r="S2818" s="1"/>
      <c r="T2818" s="1"/>
      <c r="U2818" s="1"/>
      <c r="V2818" s="1"/>
      <c r="W2818" s="1"/>
      <c r="X2818" s="1"/>
      <c r="Y2818" s="1"/>
      <c r="Z2818" s="1"/>
      <c r="AA2818" s="1"/>
      <c r="AB2818" s="1"/>
    </row>
    <row r="2819" ht="50.25" customHeight="1">
      <c r="A2819" s="12">
        <v>2815.0</v>
      </c>
      <c r="B2819" s="13" t="s">
        <v>2825</v>
      </c>
      <c r="C2819" s="14" t="s">
        <v>2834</v>
      </c>
      <c r="D2819" s="1"/>
      <c r="E2819" s="1"/>
      <c r="F2819" s="1" t="str">
        <f>IFERROR(__xludf.DUMMYFUNCTION("GOOGLETRANSLATE(B2819, ""en"", ""fa"")
"),"آموزش و پرورش")</f>
        <v>آموزش و پرورش</v>
      </c>
      <c r="G2819" s="1" t="str">
        <f>IFERROR(__xludf.DUMMYFUNCTION("GOOGLETRANSLATE(C2819, ""en"", ""fa"")
"),"مزایای ادغام فناوری در کلاس درس و پتانسیل آن برای افزایش آموزش و یادگیری را بررسی کنید.")</f>
        <v>مزایای ادغام فناوری در کلاس درس و پتانسیل آن برای افزایش آموزش و یادگیری را بررسی کنید.</v>
      </c>
      <c r="H2819" s="1"/>
      <c r="I2819" s="1"/>
      <c r="J2819" s="1"/>
      <c r="K2819" s="1"/>
      <c r="L2819" s="1"/>
      <c r="M2819" s="1"/>
      <c r="N2819" s="1"/>
      <c r="O2819" s="1"/>
      <c r="P2819" s="1"/>
      <c r="Q2819" s="1"/>
      <c r="R2819" s="1"/>
      <c r="S2819" s="1"/>
      <c r="T2819" s="1"/>
      <c r="U2819" s="1"/>
      <c r="V2819" s="1"/>
      <c r="W2819" s="1"/>
      <c r="X2819" s="1"/>
      <c r="Y2819" s="1"/>
      <c r="Z2819" s="1"/>
      <c r="AA2819" s="1"/>
      <c r="AB2819" s="1"/>
    </row>
    <row r="2820" ht="50.25" customHeight="1">
      <c r="A2820" s="12">
        <v>2816.0</v>
      </c>
      <c r="B2820" s="13" t="s">
        <v>2825</v>
      </c>
      <c r="C2820" s="14" t="s">
        <v>2835</v>
      </c>
      <c r="D2820" s="1"/>
      <c r="E2820" s="1"/>
      <c r="F2820" s="1" t="str">
        <f>IFERROR(__xludf.DUMMYFUNCTION("GOOGLETRANSLATE(B2820, ""en"", ""fa"")
"),"آموزش و پرورش")</f>
        <v>آموزش و پرورش</v>
      </c>
      <c r="G2820" s="1" t="str">
        <f>IFERROR(__xludf.DUMMYFUNCTION("GOOGLETRANSLATE(C2820, ""en"", ""fa"")
"),"درباره اهمیت آموزش همدلی و هوش هیجانی در مدارس و چگونگی کمک آن به تعاملات اجتماعی مثبت بحث کنید.")</f>
        <v>درباره اهمیت آموزش همدلی و هوش هیجانی در مدارس و چگونگی کمک آن به تعاملات اجتماعی مثبت بحث کنید.</v>
      </c>
      <c r="H2820" s="1"/>
      <c r="I2820" s="1"/>
      <c r="J2820" s="1"/>
      <c r="K2820" s="1"/>
      <c r="L2820" s="1"/>
      <c r="M2820" s="1"/>
      <c r="N2820" s="1"/>
      <c r="O2820" s="1"/>
      <c r="P2820" s="1"/>
      <c r="Q2820" s="1"/>
      <c r="R2820" s="1"/>
      <c r="S2820" s="1"/>
      <c r="T2820" s="1"/>
      <c r="U2820" s="1"/>
      <c r="V2820" s="1"/>
      <c r="W2820" s="1"/>
      <c r="X2820" s="1"/>
      <c r="Y2820" s="1"/>
      <c r="Z2820" s="1"/>
      <c r="AA2820" s="1"/>
      <c r="AB2820" s="1"/>
    </row>
    <row r="2821" ht="50.25" customHeight="1">
      <c r="A2821" s="12">
        <v>2817.0</v>
      </c>
      <c r="B2821" s="13" t="s">
        <v>2825</v>
      </c>
      <c r="C2821" s="14" t="s">
        <v>2836</v>
      </c>
      <c r="D2821" s="1"/>
      <c r="E2821" s="1"/>
      <c r="F2821" s="1" t="str">
        <f>IFERROR(__xludf.DUMMYFUNCTION("GOOGLETRANSLATE(B2821, ""en"", ""fa"")
"),"آموزش و پرورش")</f>
        <v>آموزش و پرورش</v>
      </c>
      <c r="G2821" s="1" t="str">
        <f>IFERROR(__xludf.DUMMYFUNCTION("GOOGLETRANSLATE(C2821, ""en"", ""fa"")
"),"مزایای یادگیری مشارکتی و چگونگی تقویت کار تیمی، ارتباط و مهارت های حل مسئله را تجزیه و تحلیل کنید.")</f>
        <v>مزایای یادگیری مشارکتی و چگونگی تقویت کار تیمی، ارتباط و مهارت های حل مسئله را تجزیه و تحلیل کنید.</v>
      </c>
      <c r="H2821" s="1"/>
      <c r="I2821" s="1"/>
      <c r="J2821" s="1"/>
      <c r="K2821" s="1"/>
      <c r="L2821" s="1"/>
      <c r="M2821" s="1"/>
      <c r="N2821" s="1"/>
      <c r="O2821" s="1"/>
      <c r="P2821" s="1"/>
      <c r="Q2821" s="1"/>
      <c r="R2821" s="1"/>
      <c r="S2821" s="1"/>
      <c r="T2821" s="1"/>
      <c r="U2821" s="1"/>
      <c r="V2821" s="1"/>
      <c r="W2821" s="1"/>
      <c r="X2821" s="1"/>
      <c r="Y2821" s="1"/>
      <c r="Z2821" s="1"/>
      <c r="AA2821" s="1"/>
      <c r="AB2821" s="1"/>
    </row>
    <row r="2822" ht="50.25" customHeight="1">
      <c r="A2822" s="12">
        <v>2818.0</v>
      </c>
      <c r="B2822" s="13" t="s">
        <v>2825</v>
      </c>
      <c r="C2822" s="14" t="s">
        <v>2837</v>
      </c>
      <c r="D2822" s="1"/>
      <c r="E2822" s="1"/>
      <c r="F2822" s="1" t="str">
        <f>IFERROR(__xludf.DUMMYFUNCTION("GOOGLETRANSLATE(B2822, ""en"", ""fa"")
"),"آموزش و پرورش")</f>
        <v>آموزش و پرورش</v>
      </c>
      <c r="G2822" s="1" t="str">
        <f>IFERROR(__xludf.DUMMYFUNCTION("GOOGLETRANSLATE(C2822, ""en"", ""fa"")
"),"بررسی نقش مؤسسات آموزشی در ارتقاء آگاهی زیست محیطی و پایداری در بین دانش آموزان.")</f>
        <v>بررسی نقش مؤسسات آموزشی در ارتقاء آگاهی زیست محیطی و پایداری در بین دانش آموزان.</v>
      </c>
      <c r="H2822" s="1"/>
      <c r="I2822" s="1"/>
      <c r="J2822" s="1"/>
      <c r="K2822" s="1"/>
      <c r="L2822" s="1"/>
      <c r="M2822" s="1"/>
      <c r="N2822" s="1"/>
      <c r="O2822" s="1"/>
      <c r="P2822" s="1"/>
      <c r="Q2822" s="1"/>
      <c r="R2822" s="1"/>
      <c r="S2822" s="1"/>
      <c r="T2822" s="1"/>
      <c r="U2822" s="1"/>
      <c r="V2822" s="1"/>
      <c r="W2822" s="1"/>
      <c r="X2822" s="1"/>
      <c r="Y2822" s="1"/>
      <c r="Z2822" s="1"/>
      <c r="AA2822" s="1"/>
      <c r="AB2822" s="1"/>
    </row>
    <row r="2823" ht="50.25" customHeight="1">
      <c r="A2823" s="12">
        <v>2819.0</v>
      </c>
      <c r="B2823" s="13" t="s">
        <v>2825</v>
      </c>
      <c r="C2823" s="14" t="s">
        <v>2838</v>
      </c>
      <c r="D2823" s="1"/>
      <c r="E2823" s="1"/>
      <c r="F2823" s="1" t="str">
        <f>IFERROR(__xludf.DUMMYFUNCTION("GOOGLETRANSLATE(B2823, ""en"", ""fa"")
"),"آموزش و پرورش")</f>
        <v>آموزش و پرورش</v>
      </c>
      <c r="G2823" s="1" t="str">
        <f>IFERROR(__xludf.DUMMYFUNCTION("GOOGLETRANSLATE(C2823, ""en"", ""fa"")
"),"در مورد اهمیت آموزش سواد مالی در مدارس و تأثیر آن بر رفاه مالی آینده دانش آموزان بحث کنید.")</f>
        <v>در مورد اهمیت آموزش سواد مالی در مدارس و تأثیر آن بر رفاه مالی آینده دانش آموزان بحث کنید.</v>
      </c>
      <c r="H2823" s="1"/>
      <c r="I2823" s="1"/>
      <c r="J2823" s="1"/>
      <c r="K2823" s="1"/>
      <c r="L2823" s="1"/>
      <c r="M2823" s="1"/>
      <c r="N2823" s="1"/>
      <c r="O2823" s="1"/>
      <c r="P2823" s="1"/>
      <c r="Q2823" s="1"/>
      <c r="R2823" s="1"/>
      <c r="S2823" s="1"/>
      <c r="T2823" s="1"/>
      <c r="U2823" s="1"/>
      <c r="V2823" s="1"/>
      <c r="W2823" s="1"/>
      <c r="X2823" s="1"/>
      <c r="Y2823" s="1"/>
      <c r="Z2823" s="1"/>
      <c r="AA2823" s="1"/>
      <c r="AB2823" s="1"/>
    </row>
    <row r="2824" ht="50.25" customHeight="1">
      <c r="A2824" s="12">
        <v>2820.0</v>
      </c>
      <c r="B2824" s="13" t="s">
        <v>2825</v>
      </c>
      <c r="C2824" s="14" t="s">
        <v>2839</v>
      </c>
      <c r="D2824" s="1"/>
      <c r="E2824" s="1"/>
      <c r="F2824" s="1" t="str">
        <f>IFERROR(__xludf.DUMMYFUNCTION("GOOGLETRANSLATE(B2824, ""en"", ""fa"")
"),"آموزش و پرورش")</f>
        <v>آموزش و پرورش</v>
      </c>
      <c r="G2824" s="1" t="str">
        <f>IFERROR(__xludf.DUMMYFUNCTION("GOOGLETRANSLATE(C2824, ""en"", ""fa"")
"),"تجزیه و تحلیل مزایای آموزش فراگیر و چگونگی ارتقای فرصت های برابر برای دانش آموزان با نیازهای یادگیری متنوع.")</f>
        <v>تجزیه و تحلیل مزایای آموزش فراگیر و چگونگی ارتقای فرصت های برابر برای دانش آموزان با نیازهای یادگیری متنوع.</v>
      </c>
      <c r="H2824" s="1"/>
      <c r="I2824" s="1"/>
      <c r="J2824" s="1"/>
      <c r="K2824" s="1"/>
      <c r="L2824" s="1"/>
      <c r="M2824" s="1"/>
      <c r="N2824" s="1"/>
      <c r="O2824" s="1"/>
      <c r="P2824" s="1"/>
      <c r="Q2824" s="1"/>
      <c r="R2824" s="1"/>
      <c r="S2824" s="1"/>
      <c r="T2824" s="1"/>
      <c r="U2824" s="1"/>
      <c r="V2824" s="1"/>
      <c r="W2824" s="1"/>
      <c r="X2824" s="1"/>
      <c r="Y2824" s="1"/>
      <c r="Z2824" s="1"/>
      <c r="AA2824" s="1"/>
      <c r="AB2824" s="1"/>
    </row>
    <row r="2825" ht="50.25" customHeight="1">
      <c r="A2825" s="12">
        <v>2821.0</v>
      </c>
      <c r="B2825" s="13" t="s">
        <v>2825</v>
      </c>
      <c r="C2825" s="14" t="s">
        <v>2840</v>
      </c>
      <c r="D2825" s="1"/>
      <c r="E2825" s="1"/>
      <c r="F2825" s="1" t="str">
        <f>IFERROR(__xludf.DUMMYFUNCTION("GOOGLETRANSLATE(B2825, ""en"", ""fa"")
"),"آموزش و پرورش")</f>
        <v>آموزش و پرورش</v>
      </c>
      <c r="G2825" s="1" t="str">
        <f>IFERROR(__xludf.DUMMYFUNCTION("GOOGLETRANSLATE(C2825, ""en"", ""fa"")
"),"نقش آموزش هنر را در پرورش خلاقیت، ابراز وجود و قدردانی فرهنگی در بین دانش آموزان بررسی کنید.")</f>
        <v>نقش آموزش هنر را در پرورش خلاقیت، ابراز وجود و قدردانی فرهنگی در بین دانش آموزان بررسی کنید.</v>
      </c>
      <c r="H2825" s="1"/>
      <c r="I2825" s="1"/>
      <c r="J2825" s="1"/>
      <c r="K2825" s="1"/>
      <c r="L2825" s="1"/>
      <c r="M2825" s="1"/>
      <c r="N2825" s="1"/>
      <c r="O2825" s="1"/>
      <c r="P2825" s="1"/>
      <c r="Q2825" s="1"/>
      <c r="R2825" s="1"/>
      <c r="S2825" s="1"/>
      <c r="T2825" s="1"/>
      <c r="U2825" s="1"/>
      <c r="V2825" s="1"/>
      <c r="W2825" s="1"/>
      <c r="X2825" s="1"/>
      <c r="Y2825" s="1"/>
      <c r="Z2825" s="1"/>
      <c r="AA2825" s="1"/>
      <c r="AB2825" s="1"/>
    </row>
    <row r="2826" ht="50.25" customHeight="1">
      <c r="A2826" s="12">
        <v>2822.0</v>
      </c>
      <c r="B2826" s="13" t="s">
        <v>2825</v>
      </c>
      <c r="C2826" s="14" t="s">
        <v>2841</v>
      </c>
      <c r="D2826" s="1"/>
      <c r="E2826" s="1"/>
      <c r="F2826" s="1" t="str">
        <f>IFERROR(__xludf.DUMMYFUNCTION("GOOGLETRANSLATE(B2826, ""en"", ""fa"")
"),"آموزش و پرورش")</f>
        <v>آموزش و پرورش</v>
      </c>
      <c r="G2826" s="1" t="str">
        <f>IFERROR(__xludf.DUMMYFUNCTION("GOOGLETRANSLATE(C2826, ""en"", ""fa"")
"),"درباره تأثیر رسانه های اجتماعی بر آموزش و چگونگی استفاده از آن به عنوان ابزاری برای یادگیری و همکاری بحث کنید.")</f>
        <v>درباره تأثیر رسانه های اجتماعی بر آموزش و چگونگی استفاده از آن به عنوان ابزاری برای یادگیری و همکاری بحث کنید.</v>
      </c>
      <c r="H2826" s="1"/>
      <c r="I2826" s="1"/>
      <c r="J2826" s="1"/>
      <c r="K2826" s="1"/>
      <c r="L2826" s="1"/>
      <c r="M2826" s="1"/>
      <c r="N2826" s="1"/>
      <c r="O2826" s="1"/>
      <c r="P2826" s="1"/>
      <c r="Q2826" s="1"/>
      <c r="R2826" s="1"/>
      <c r="S2826" s="1"/>
      <c r="T2826" s="1"/>
      <c r="U2826" s="1"/>
      <c r="V2826" s="1"/>
      <c r="W2826" s="1"/>
      <c r="X2826" s="1"/>
      <c r="Y2826" s="1"/>
      <c r="Z2826" s="1"/>
      <c r="AA2826" s="1"/>
      <c r="AB2826" s="1"/>
    </row>
    <row r="2827" ht="50.25" customHeight="1">
      <c r="A2827" s="12">
        <v>2823.0</v>
      </c>
      <c r="B2827" s="13" t="s">
        <v>2825</v>
      </c>
      <c r="C2827" s="14" t="s">
        <v>2842</v>
      </c>
      <c r="D2827" s="1"/>
      <c r="E2827" s="1"/>
      <c r="F2827" s="1" t="str">
        <f>IFERROR(__xludf.DUMMYFUNCTION("GOOGLETRANSLATE(B2827, ""en"", ""fa"")
"),"آموزش و پرورش")</f>
        <v>آموزش و پرورش</v>
      </c>
      <c r="G2827" s="1" t="str">
        <f>IFERROR(__xludf.DUMMYFUNCTION("GOOGLETRANSLATE(C2827, ""en"", ""fa"")
"),"مزایای یادگیری تجربی و توانایی آن در تعامل با دانش آموزان را از طریق تجربیات واقعی و عملی تجزیه و تحلیل کنید.")</f>
        <v>مزایای یادگیری تجربی و توانایی آن در تعامل با دانش آموزان را از طریق تجربیات واقعی و عملی تجزیه و تحلیل کنید.</v>
      </c>
      <c r="H2827" s="1"/>
      <c r="I2827" s="1"/>
      <c r="J2827" s="1"/>
      <c r="K2827" s="1"/>
      <c r="L2827" s="1"/>
      <c r="M2827" s="1"/>
      <c r="N2827" s="1"/>
      <c r="O2827" s="1"/>
      <c r="P2827" s="1"/>
      <c r="Q2827" s="1"/>
      <c r="R2827" s="1"/>
      <c r="S2827" s="1"/>
      <c r="T2827" s="1"/>
      <c r="U2827" s="1"/>
      <c r="V2827" s="1"/>
      <c r="W2827" s="1"/>
      <c r="X2827" s="1"/>
      <c r="Y2827" s="1"/>
      <c r="Z2827" s="1"/>
      <c r="AA2827" s="1"/>
      <c r="AB2827" s="1"/>
    </row>
    <row r="2828" ht="50.25" customHeight="1">
      <c r="A2828" s="12">
        <v>2824.0</v>
      </c>
      <c r="B2828" s="13" t="s">
        <v>2825</v>
      </c>
      <c r="C2828" s="14" t="s">
        <v>2843</v>
      </c>
      <c r="D2828" s="1"/>
      <c r="E2828" s="1"/>
      <c r="F2828" s="1" t="str">
        <f>IFERROR(__xludf.DUMMYFUNCTION("GOOGLETRANSLATE(B2828, ""en"", ""fa"")
"),"آموزش و پرورش")</f>
        <v>آموزش و پرورش</v>
      </c>
      <c r="G2828" s="1" t="str">
        <f>IFERROR(__xludf.DUMMYFUNCTION("GOOGLETRANSLATE(C2828, ""en"", ""fa"")
"),"اهمیت آموزش سواد رسانه‌ای در مدارس و چگونگی توانمندسازی دانش‌آموزان را برای تجزیه و تحلیل انتقادی و هدایت چشم‌انداز دیجیتال بررسی کنید.")</f>
        <v>اهمیت آموزش سواد رسانه‌ای در مدارس و چگونگی توانمندسازی دانش‌آموزان را برای تجزیه و تحلیل انتقادی و هدایت چشم‌انداز دیجیتال بررسی کنید.</v>
      </c>
      <c r="H2828" s="1"/>
      <c r="I2828" s="1"/>
      <c r="J2828" s="1"/>
      <c r="K2828" s="1"/>
      <c r="L2828" s="1"/>
      <c r="M2828" s="1"/>
      <c r="N2828" s="1"/>
      <c r="O2828" s="1"/>
      <c r="P2828" s="1"/>
      <c r="Q2828" s="1"/>
      <c r="R2828" s="1"/>
      <c r="S2828" s="1"/>
      <c r="T2828" s="1"/>
      <c r="U2828" s="1"/>
      <c r="V2828" s="1"/>
      <c r="W2828" s="1"/>
      <c r="X2828" s="1"/>
      <c r="Y2828" s="1"/>
      <c r="Z2828" s="1"/>
      <c r="AA2828" s="1"/>
      <c r="AB2828" s="1"/>
    </row>
    <row r="2829" ht="50.25" customHeight="1">
      <c r="A2829" s="12">
        <v>2825.0</v>
      </c>
      <c r="B2829" s="13" t="s">
        <v>2825</v>
      </c>
      <c r="C2829" s="14" t="s">
        <v>2844</v>
      </c>
      <c r="D2829" s="1"/>
      <c r="E2829" s="1"/>
      <c r="F2829" s="1" t="str">
        <f>IFERROR(__xludf.DUMMYFUNCTION("GOOGLETRANSLATE(B2829, ""en"", ""fa"")
"),"آموزش و پرورش")</f>
        <v>آموزش و پرورش</v>
      </c>
      <c r="G2829" s="1" t="str">
        <f>IFERROR(__xludf.DUMMYFUNCTION("GOOGLETRANSLATE(C2829, ""en"", ""fa"")
"),"در مورد نقش تربیت بدنی در ترویج سبک زندگی سالم و فعال در بین دانش آموزان بحث کنید.")</f>
        <v>در مورد نقش تربیت بدنی در ترویج سبک زندگی سالم و فعال در بین دانش آموزان بحث کنید.</v>
      </c>
      <c r="H2829" s="1"/>
      <c r="I2829" s="1"/>
      <c r="J2829" s="1"/>
      <c r="K2829" s="1"/>
      <c r="L2829" s="1"/>
      <c r="M2829" s="1"/>
      <c r="N2829" s="1"/>
      <c r="O2829" s="1"/>
      <c r="P2829" s="1"/>
      <c r="Q2829" s="1"/>
      <c r="R2829" s="1"/>
      <c r="S2829" s="1"/>
      <c r="T2829" s="1"/>
      <c r="U2829" s="1"/>
      <c r="V2829" s="1"/>
      <c r="W2829" s="1"/>
      <c r="X2829" s="1"/>
      <c r="Y2829" s="1"/>
      <c r="Z2829" s="1"/>
      <c r="AA2829" s="1"/>
      <c r="AB2829" s="1"/>
    </row>
    <row r="2830" ht="50.25" customHeight="1">
      <c r="A2830" s="12">
        <v>2826.0</v>
      </c>
      <c r="B2830" s="13" t="s">
        <v>2825</v>
      </c>
      <c r="C2830" s="14" t="s">
        <v>2845</v>
      </c>
      <c r="D2830" s="1"/>
      <c r="E2830" s="1"/>
      <c r="F2830" s="1" t="str">
        <f>IFERROR(__xludf.DUMMYFUNCTION("GOOGLETRANSLATE(B2830, ""en"", ""fa"")
"),"آموزش و پرورش")</f>
        <v>آموزش و پرورش</v>
      </c>
      <c r="G2830" s="1" t="str">
        <f>IFERROR(__xludf.DUMMYFUNCTION("GOOGLETRANSLATE(C2830, ""en"", ""fa"")
"),"مزایای استفاده از تمرین‌های ذهن‌آگاهی و مدیتیشن را در مدارس برای حمایت از رفاه و تمرکز دانش‌آموزان تجزیه و تحلیل کنید.")</f>
        <v>مزایای استفاده از تمرین‌های ذهن‌آگاهی و مدیتیشن را در مدارس برای حمایت از رفاه و تمرکز دانش‌آموزان تجزیه و تحلیل کنید.</v>
      </c>
      <c r="H2830" s="1"/>
      <c r="I2830" s="1"/>
      <c r="J2830" s="1"/>
      <c r="K2830" s="1"/>
      <c r="L2830" s="1"/>
      <c r="M2830" s="1"/>
      <c r="N2830" s="1"/>
      <c r="O2830" s="1"/>
      <c r="P2830" s="1"/>
      <c r="Q2830" s="1"/>
      <c r="R2830" s="1"/>
      <c r="S2830" s="1"/>
      <c r="T2830" s="1"/>
      <c r="U2830" s="1"/>
      <c r="V2830" s="1"/>
      <c r="W2830" s="1"/>
      <c r="X2830" s="1"/>
      <c r="Y2830" s="1"/>
      <c r="Z2830" s="1"/>
      <c r="AA2830" s="1"/>
      <c r="AB2830" s="1"/>
    </row>
    <row r="2831" ht="50.25" customHeight="1">
      <c r="A2831" s="12">
        <v>2827.0</v>
      </c>
      <c r="B2831" s="13" t="s">
        <v>2825</v>
      </c>
      <c r="C2831" s="14" t="s">
        <v>2846</v>
      </c>
      <c r="D2831" s="1"/>
      <c r="E2831" s="1"/>
      <c r="F2831" s="1" t="str">
        <f>IFERROR(__xludf.DUMMYFUNCTION("GOOGLETRANSLATE(B2831, ""en"", ""fa"")
"),"آموزش و پرورش")</f>
        <v>آموزش و پرورش</v>
      </c>
      <c r="G2831" s="1" t="str">
        <f>IFERROR(__xludf.DUMMYFUNCTION("GOOGLETRANSLATE(C2831, ""en"", ""fa"")
"),"تأثیر جهانی شدن بر آموزش و چگونگی تأثیر آن بر توسعه برنامه درسی و درک بین فرهنگی را بررسی کنید.")</f>
        <v>تأثیر جهانی شدن بر آموزش و چگونگی تأثیر آن بر توسعه برنامه درسی و درک بین فرهنگی را بررسی کنید.</v>
      </c>
      <c r="H2831" s="1"/>
      <c r="I2831" s="1"/>
      <c r="J2831" s="1"/>
      <c r="K2831" s="1"/>
      <c r="L2831" s="1"/>
      <c r="M2831" s="1"/>
      <c r="N2831" s="1"/>
      <c r="O2831" s="1"/>
      <c r="P2831" s="1"/>
      <c r="Q2831" s="1"/>
      <c r="R2831" s="1"/>
      <c r="S2831" s="1"/>
      <c r="T2831" s="1"/>
      <c r="U2831" s="1"/>
      <c r="V2831" s="1"/>
      <c r="W2831" s="1"/>
      <c r="X2831" s="1"/>
      <c r="Y2831" s="1"/>
      <c r="Z2831" s="1"/>
      <c r="AA2831" s="1"/>
      <c r="AB2831" s="1"/>
    </row>
    <row r="2832" ht="50.25" customHeight="1">
      <c r="A2832" s="12">
        <v>2828.0</v>
      </c>
      <c r="B2832" s="13" t="s">
        <v>2825</v>
      </c>
      <c r="C2832" s="14" t="s">
        <v>2847</v>
      </c>
      <c r="D2832" s="1"/>
      <c r="E2832" s="1"/>
      <c r="F2832" s="1" t="str">
        <f>IFERROR(__xludf.DUMMYFUNCTION("GOOGLETRANSLATE(B2832, ""en"", ""fa"")
"),"آموزش و پرورش")</f>
        <v>آموزش و پرورش</v>
      </c>
      <c r="G2832" s="1" t="str">
        <f>IFERROR(__xludf.DUMMYFUNCTION("GOOGLETRANSLATE(C2832, ""en"", ""fa"")
"),"در مورد مزایای آموزش کدنویسی و علوم کامپیوتر در مدارس برای آماده سازی دانش آموزان برای عصر دیجیتال بحث کنید.")</f>
        <v>در مورد مزایای آموزش کدنویسی و علوم کامپیوتر در مدارس برای آماده سازی دانش آموزان برای عصر دیجیتال بحث کنید.</v>
      </c>
      <c r="H2832" s="1"/>
      <c r="I2832" s="1"/>
      <c r="J2832" s="1"/>
      <c r="K2832" s="1"/>
      <c r="L2832" s="1"/>
      <c r="M2832" s="1"/>
      <c r="N2832" s="1"/>
      <c r="O2832" s="1"/>
      <c r="P2832" s="1"/>
      <c r="Q2832" s="1"/>
      <c r="R2832" s="1"/>
      <c r="S2832" s="1"/>
      <c r="T2832" s="1"/>
      <c r="U2832" s="1"/>
      <c r="V2832" s="1"/>
      <c r="W2832" s="1"/>
      <c r="X2832" s="1"/>
      <c r="Y2832" s="1"/>
      <c r="Z2832" s="1"/>
      <c r="AA2832" s="1"/>
      <c r="AB2832" s="1"/>
    </row>
    <row r="2833" ht="50.25" customHeight="1">
      <c r="A2833" s="12">
        <v>2829.0</v>
      </c>
      <c r="B2833" s="13" t="s">
        <v>2825</v>
      </c>
      <c r="C2833" s="14" t="s">
        <v>2848</v>
      </c>
      <c r="D2833" s="1"/>
      <c r="E2833" s="1"/>
      <c r="F2833" s="1" t="str">
        <f>IFERROR(__xludf.DUMMYFUNCTION("GOOGLETRANSLATE(B2833, ""en"", ""fa"")
"),"آموزش و پرورش")</f>
        <v>آموزش و پرورش</v>
      </c>
      <c r="G2833" s="1" t="str">
        <f>IFERROR(__xludf.DUMMYFUNCTION("GOOGLETRANSLATE(C2833, ""en"", ""fa"")
"),"اهمیت آموزش شهروندی جهانی و پرورش احساس مسئولیت اجتماعی در بین دانش آموزان را تجزیه و تحلیل کنید.")</f>
        <v>اهمیت آموزش شهروندی جهانی و پرورش احساس مسئولیت اجتماعی در بین دانش آموزان را تجزیه و تحلیل کنید.</v>
      </c>
      <c r="H2833" s="1"/>
      <c r="I2833" s="1"/>
      <c r="J2833" s="1"/>
      <c r="K2833" s="1"/>
      <c r="L2833" s="1"/>
      <c r="M2833" s="1"/>
      <c r="N2833" s="1"/>
      <c r="O2833" s="1"/>
      <c r="P2833" s="1"/>
      <c r="Q2833" s="1"/>
      <c r="R2833" s="1"/>
      <c r="S2833" s="1"/>
      <c r="T2833" s="1"/>
      <c r="U2833" s="1"/>
      <c r="V2833" s="1"/>
      <c r="W2833" s="1"/>
      <c r="X2833" s="1"/>
      <c r="Y2833" s="1"/>
      <c r="Z2833" s="1"/>
      <c r="AA2833" s="1"/>
      <c r="AB2833" s="1"/>
    </row>
    <row r="2834" ht="50.25" customHeight="1">
      <c r="A2834" s="12">
        <v>2830.0</v>
      </c>
      <c r="B2834" s="13" t="s">
        <v>2825</v>
      </c>
      <c r="C2834" s="14" t="s">
        <v>2849</v>
      </c>
      <c r="D2834" s="1"/>
      <c r="E2834" s="1"/>
      <c r="F2834" s="1" t="str">
        <f>IFERROR(__xludf.DUMMYFUNCTION("GOOGLETRANSLATE(B2834, ""en"", ""fa"")
"),"آموزش و پرورش")</f>
        <v>آموزش و پرورش</v>
      </c>
      <c r="G2834" s="1" t="str">
        <f>IFERROR(__xludf.DUMMYFUNCTION("GOOGLETRANSLATE(C2834, ""en"", ""fa"")
"),"نقش آموزش در دوران کودکی را در پی ریزی پایه های یادگیری و توسعه مادام العمر بررسی کنید.")</f>
        <v>نقش آموزش در دوران کودکی را در پی ریزی پایه های یادگیری و توسعه مادام العمر بررسی کنید.</v>
      </c>
      <c r="H2834" s="1"/>
      <c r="I2834" s="1"/>
      <c r="J2834" s="1"/>
      <c r="K2834" s="1"/>
      <c r="L2834" s="1"/>
      <c r="M2834" s="1"/>
      <c r="N2834" s="1"/>
      <c r="O2834" s="1"/>
      <c r="P2834" s="1"/>
      <c r="Q2834" s="1"/>
      <c r="R2834" s="1"/>
      <c r="S2834" s="1"/>
      <c r="T2834" s="1"/>
      <c r="U2834" s="1"/>
      <c r="V2834" s="1"/>
      <c r="W2834" s="1"/>
      <c r="X2834" s="1"/>
      <c r="Y2834" s="1"/>
      <c r="Z2834" s="1"/>
      <c r="AA2834" s="1"/>
      <c r="AB2834" s="1"/>
    </row>
    <row r="2835" ht="50.25" customHeight="1">
      <c r="A2835" s="12">
        <v>2831.0</v>
      </c>
      <c r="B2835" s="13" t="s">
        <v>2825</v>
      </c>
      <c r="C2835" s="14" t="s">
        <v>2850</v>
      </c>
      <c r="D2835" s="1"/>
      <c r="E2835" s="1"/>
      <c r="F2835" s="1" t="str">
        <f>IFERROR(__xludf.DUMMYFUNCTION("GOOGLETRANSLATE(B2835, ""en"", ""fa"")
"),"آموزش و پرورش")</f>
        <v>آموزش و پرورش</v>
      </c>
      <c r="G2835" s="1" t="str">
        <f>IFERROR(__xludf.DUMMYFUNCTION("GOOGLETRANSLATE(C2835, ""en"", ""fa"")
"),"در مورد مزایای ادغام مطالعات میان رشته ای در برنامه درسی و چگونگی تشویق یادگیری کل نگر بحث کنید.")</f>
        <v>در مورد مزایای ادغام مطالعات میان رشته ای در برنامه درسی و چگونگی تشویق یادگیری کل نگر بحث کنید.</v>
      </c>
      <c r="H2835" s="1"/>
      <c r="I2835" s="1"/>
      <c r="J2835" s="1"/>
      <c r="K2835" s="1"/>
      <c r="L2835" s="1"/>
      <c r="M2835" s="1"/>
      <c r="N2835" s="1"/>
      <c r="O2835" s="1"/>
      <c r="P2835" s="1"/>
      <c r="Q2835" s="1"/>
      <c r="R2835" s="1"/>
      <c r="S2835" s="1"/>
      <c r="T2835" s="1"/>
      <c r="U2835" s="1"/>
      <c r="V2835" s="1"/>
      <c r="W2835" s="1"/>
      <c r="X2835" s="1"/>
      <c r="Y2835" s="1"/>
      <c r="Z2835" s="1"/>
      <c r="AA2835" s="1"/>
      <c r="AB2835" s="1"/>
    </row>
    <row r="2836" ht="50.25" customHeight="1">
      <c r="A2836" s="12">
        <v>2832.0</v>
      </c>
      <c r="B2836" s="13" t="s">
        <v>2825</v>
      </c>
      <c r="C2836" s="14" t="s">
        <v>2851</v>
      </c>
      <c r="D2836" s="1"/>
      <c r="E2836" s="1"/>
      <c r="F2836" s="1" t="str">
        <f>IFERROR(__xludf.DUMMYFUNCTION("GOOGLETRANSLATE(B2836, ""en"", ""fa"")
"),"آموزش و پرورش")</f>
        <v>آموزش و پرورش</v>
      </c>
      <c r="G2836" s="1" t="str">
        <f>IFERROR(__xludf.DUMMYFUNCTION("GOOGLETRANSLATE(C2836, ""en"", ""fa"")
"),"چالش ها و فرصت های آموزش آنلاین را در ارائه گزینه های یادگیری قابل دسترس و انعطاف پذیر تجزیه و تحلیل کنید.")</f>
        <v>چالش ها و فرصت های آموزش آنلاین را در ارائه گزینه های یادگیری قابل دسترس و انعطاف پذیر تجزیه و تحلیل کنید.</v>
      </c>
      <c r="H2836" s="1"/>
      <c r="I2836" s="1"/>
      <c r="J2836" s="1"/>
      <c r="K2836" s="1"/>
      <c r="L2836" s="1"/>
      <c r="M2836" s="1"/>
      <c r="N2836" s="1"/>
      <c r="O2836" s="1"/>
      <c r="P2836" s="1"/>
      <c r="Q2836" s="1"/>
      <c r="R2836" s="1"/>
      <c r="S2836" s="1"/>
      <c r="T2836" s="1"/>
      <c r="U2836" s="1"/>
      <c r="V2836" s="1"/>
      <c r="W2836" s="1"/>
      <c r="X2836" s="1"/>
      <c r="Y2836" s="1"/>
      <c r="Z2836" s="1"/>
      <c r="AA2836" s="1"/>
      <c r="AB2836" s="1"/>
    </row>
    <row r="2837" ht="50.25" customHeight="1">
      <c r="A2837" s="12">
        <v>2833.0</v>
      </c>
      <c r="B2837" s="13" t="s">
        <v>2825</v>
      </c>
      <c r="C2837" s="14" t="s">
        <v>2852</v>
      </c>
      <c r="D2837" s="1"/>
      <c r="E2837" s="1"/>
      <c r="F2837" s="1" t="str">
        <f>IFERROR(__xludf.DUMMYFUNCTION("GOOGLETRANSLATE(B2837, ""en"", ""fa"")
"),"آموزش و پرورش")</f>
        <v>آموزش و پرورش</v>
      </c>
      <c r="G2837" s="1" t="str">
        <f>IFERROR(__xludf.DUMMYFUNCTION("GOOGLETRANSLATE(C2837, ""en"", ""fa"")
"),"نقش فناوری آموزشی را در یادگیری شخصی و اینکه چگونه آموزش را برای برآورده کردن نیازهای دانش آموزان تطبیق می دهد، بررسی کنید.")</f>
        <v>نقش فناوری آموزشی را در یادگیری شخصی و اینکه چگونه آموزش را برای برآورده کردن نیازهای دانش آموزان تطبیق می دهد، بررسی کنید.</v>
      </c>
      <c r="H2837" s="1"/>
      <c r="I2837" s="1"/>
      <c r="J2837" s="1"/>
      <c r="K2837" s="1"/>
      <c r="L2837" s="1"/>
      <c r="M2837" s="1"/>
      <c r="N2837" s="1"/>
      <c r="O2837" s="1"/>
      <c r="P2837" s="1"/>
      <c r="Q2837" s="1"/>
      <c r="R2837" s="1"/>
      <c r="S2837" s="1"/>
      <c r="T2837" s="1"/>
      <c r="U2837" s="1"/>
      <c r="V2837" s="1"/>
      <c r="W2837" s="1"/>
      <c r="X2837" s="1"/>
      <c r="Y2837" s="1"/>
      <c r="Z2837" s="1"/>
      <c r="AA2837" s="1"/>
      <c r="AB2837" s="1"/>
    </row>
    <row r="2838" ht="50.25" customHeight="1">
      <c r="A2838" s="12">
        <v>2834.0</v>
      </c>
      <c r="B2838" s="13" t="s">
        <v>2825</v>
      </c>
      <c r="C2838" s="14" t="s">
        <v>2853</v>
      </c>
      <c r="D2838" s="1"/>
      <c r="E2838" s="1"/>
      <c r="F2838" s="1" t="str">
        <f>IFERROR(__xludf.DUMMYFUNCTION("GOOGLETRANSLATE(B2838, ""en"", ""fa"")
"),"آموزش و پرورش")</f>
        <v>آموزش و پرورش</v>
      </c>
      <c r="G2838" s="1" t="str">
        <f>IFERROR(__xludf.DUMMYFUNCTION("GOOGLETRANSLATE(C2838, ""en"", ""fa"")
"),"در مورد مزایای آموزش در فضای باز و توانایی آن در ارتقاء نظارت محیطی و یادگیری عملی بحث کنید.")</f>
        <v>در مورد مزایای آموزش در فضای باز و توانایی آن در ارتقاء نظارت محیطی و یادگیری عملی بحث کنید.</v>
      </c>
      <c r="H2838" s="1"/>
      <c r="I2838" s="1"/>
      <c r="J2838" s="1"/>
      <c r="K2838" s="1"/>
      <c r="L2838" s="1"/>
      <c r="M2838" s="1"/>
      <c r="N2838" s="1"/>
      <c r="O2838" s="1"/>
      <c r="P2838" s="1"/>
      <c r="Q2838" s="1"/>
      <c r="R2838" s="1"/>
      <c r="S2838" s="1"/>
      <c r="T2838" s="1"/>
      <c r="U2838" s="1"/>
      <c r="V2838" s="1"/>
      <c r="W2838" s="1"/>
      <c r="X2838" s="1"/>
      <c r="Y2838" s="1"/>
      <c r="Z2838" s="1"/>
      <c r="AA2838" s="1"/>
      <c r="AB2838" s="1"/>
    </row>
    <row r="2839" ht="50.25" customHeight="1">
      <c r="A2839" s="12">
        <v>2835.0</v>
      </c>
      <c r="B2839" s="13" t="s">
        <v>2825</v>
      </c>
      <c r="C2839" s="14" t="s">
        <v>2854</v>
      </c>
      <c r="D2839" s="1"/>
      <c r="E2839" s="1"/>
      <c r="F2839" s="1" t="str">
        <f>IFERROR(__xludf.DUMMYFUNCTION("GOOGLETRANSLATE(B2839, ""en"", ""fa"")
"),"آموزش و پرورش")</f>
        <v>آموزش و پرورش</v>
      </c>
      <c r="G2839" s="1" t="str">
        <f>IFERROR(__xludf.DUMMYFUNCTION("GOOGLETRANSLATE(C2839, ""en"", ""fa"")
"),"تأثیر تنوع فرهنگی در کلاس های درس و اینکه چگونه تجارب آموزشی دانش آموزان را غنی می کند، تجزیه و تحلیل کنید.")</f>
        <v>تأثیر تنوع فرهنگی در کلاس های درس و اینکه چگونه تجارب آموزشی دانش آموزان را غنی می کند، تجزیه و تحلیل کنید.</v>
      </c>
      <c r="H2839" s="1"/>
      <c r="I2839" s="1"/>
      <c r="J2839" s="1"/>
      <c r="K2839" s="1"/>
      <c r="L2839" s="1"/>
      <c r="M2839" s="1"/>
      <c r="N2839" s="1"/>
      <c r="O2839" s="1"/>
      <c r="P2839" s="1"/>
      <c r="Q2839" s="1"/>
      <c r="R2839" s="1"/>
      <c r="S2839" s="1"/>
      <c r="T2839" s="1"/>
      <c r="U2839" s="1"/>
      <c r="V2839" s="1"/>
      <c r="W2839" s="1"/>
      <c r="X2839" s="1"/>
      <c r="Y2839" s="1"/>
      <c r="Z2839" s="1"/>
      <c r="AA2839" s="1"/>
      <c r="AB2839" s="1"/>
    </row>
    <row r="2840" ht="50.25" customHeight="1">
      <c r="A2840" s="12">
        <v>2836.0</v>
      </c>
      <c r="B2840" s="13" t="s">
        <v>2825</v>
      </c>
      <c r="C2840" s="14" t="s">
        <v>2855</v>
      </c>
      <c r="D2840" s="1"/>
      <c r="E2840" s="1"/>
      <c r="F2840" s="1" t="str">
        <f>IFERROR(__xludf.DUMMYFUNCTION("GOOGLETRANSLATE(B2840, ""en"", ""fa"")
"),"آموزش و پرورش")</f>
        <v>آموزش و پرورش</v>
      </c>
      <c r="G2840" s="1" t="str">
        <f>IFERROR(__xludf.DUMMYFUNCTION("GOOGLETRANSLATE(C2840, ""en"", ""fa"")
"),"در مورد فواید آموزش هوش هیجانی در مدارس و تأثیر آن بر بهزیستی اجتماعی و عاطفی دانش آموزان بحث کنید.")</f>
        <v>در مورد فواید آموزش هوش هیجانی در مدارس و تأثیر آن بر بهزیستی اجتماعی و عاطفی دانش آموزان بحث کنید.</v>
      </c>
      <c r="H2840" s="1"/>
      <c r="I2840" s="1"/>
      <c r="J2840" s="1"/>
      <c r="K2840" s="1"/>
      <c r="L2840" s="1"/>
      <c r="M2840" s="1"/>
      <c r="N2840" s="1"/>
      <c r="O2840" s="1"/>
      <c r="P2840" s="1"/>
      <c r="Q2840" s="1"/>
      <c r="R2840" s="1"/>
      <c r="S2840" s="1"/>
      <c r="T2840" s="1"/>
      <c r="U2840" s="1"/>
      <c r="V2840" s="1"/>
      <c r="W2840" s="1"/>
      <c r="X2840" s="1"/>
      <c r="Y2840" s="1"/>
      <c r="Z2840" s="1"/>
      <c r="AA2840" s="1"/>
      <c r="AB2840" s="1"/>
    </row>
    <row r="2841" ht="50.25" customHeight="1">
      <c r="A2841" s="12">
        <v>2837.0</v>
      </c>
      <c r="B2841" s="13" t="s">
        <v>2825</v>
      </c>
      <c r="C2841" s="14" t="s">
        <v>2856</v>
      </c>
      <c r="D2841" s="1"/>
      <c r="E2841" s="1"/>
      <c r="F2841" s="1" t="str">
        <f>IFERROR(__xludf.DUMMYFUNCTION("GOOGLETRANSLATE(B2841, ""en"", ""fa"")
"),"آموزش و پرورش")</f>
        <v>آموزش و پرورش</v>
      </c>
      <c r="G2841" s="1" t="str">
        <f>IFERROR(__xludf.DUMMYFUNCTION("GOOGLETRANSLATE(C2841, ""en"", ""fa"")
"),"نقش ارزشیابی و بازخورد در حمایت از یادگیری و رشد دانش آموزان را تجزیه و تحلیل کنید.")</f>
        <v>نقش ارزشیابی و بازخورد در حمایت از یادگیری و رشد دانش آموزان را تجزیه و تحلیل کنید.</v>
      </c>
      <c r="H2841" s="1"/>
      <c r="I2841" s="1"/>
      <c r="J2841" s="1"/>
      <c r="K2841" s="1"/>
      <c r="L2841" s="1"/>
      <c r="M2841" s="1"/>
      <c r="N2841" s="1"/>
      <c r="O2841" s="1"/>
      <c r="P2841" s="1"/>
      <c r="Q2841" s="1"/>
      <c r="R2841" s="1"/>
      <c r="S2841" s="1"/>
      <c r="T2841" s="1"/>
      <c r="U2841" s="1"/>
      <c r="V2841" s="1"/>
      <c r="W2841" s="1"/>
      <c r="X2841" s="1"/>
      <c r="Y2841" s="1"/>
      <c r="Z2841" s="1"/>
      <c r="AA2841" s="1"/>
      <c r="AB2841" s="1"/>
    </row>
    <row r="2842" ht="50.25" customHeight="1">
      <c r="A2842" s="12">
        <v>2838.0</v>
      </c>
      <c r="B2842" s="13" t="s">
        <v>2825</v>
      </c>
      <c r="C2842" s="14" t="s">
        <v>2857</v>
      </c>
      <c r="D2842" s="1"/>
      <c r="E2842" s="1"/>
      <c r="F2842" s="1" t="str">
        <f>IFERROR(__xludf.DUMMYFUNCTION("GOOGLETRANSLATE(B2842, ""en"", ""fa"")
"),"آموزش و پرورش")</f>
        <v>آموزش و پرورش</v>
      </c>
      <c r="G2842" s="1" t="str">
        <f>IFERROR(__xludf.DUMMYFUNCTION("GOOGLETRANSLATE(C2842, ""en"", ""fa"")
"),"مزایای ادغام آموزش هنر در موضوعات STEM (STEAM) و چگونگی پرورش خلاقیت و نوآوری را بررسی کنید.")</f>
        <v>مزایای ادغام آموزش هنر در موضوعات STEM (STEAM) و چگونگی پرورش خلاقیت و نوآوری را بررسی کنید.</v>
      </c>
      <c r="H2842" s="1"/>
      <c r="I2842" s="1"/>
      <c r="J2842" s="1"/>
      <c r="K2842" s="1"/>
      <c r="L2842" s="1"/>
      <c r="M2842" s="1"/>
      <c r="N2842" s="1"/>
      <c r="O2842" s="1"/>
      <c r="P2842" s="1"/>
      <c r="Q2842" s="1"/>
      <c r="R2842" s="1"/>
      <c r="S2842" s="1"/>
      <c r="T2842" s="1"/>
      <c r="U2842" s="1"/>
      <c r="V2842" s="1"/>
      <c r="W2842" s="1"/>
      <c r="X2842" s="1"/>
      <c r="Y2842" s="1"/>
      <c r="Z2842" s="1"/>
      <c r="AA2842" s="1"/>
      <c r="AB2842" s="1"/>
    </row>
    <row r="2843" ht="50.25" customHeight="1">
      <c r="A2843" s="12">
        <v>2839.0</v>
      </c>
      <c r="B2843" s="13" t="s">
        <v>2825</v>
      </c>
      <c r="C2843" s="14" t="s">
        <v>2858</v>
      </c>
      <c r="D2843" s="1"/>
      <c r="E2843" s="1"/>
      <c r="F2843" s="1" t="str">
        <f>IFERROR(__xludf.DUMMYFUNCTION("GOOGLETRANSLATE(B2843, ""en"", ""fa"")
"),"آموزش و پرورش")</f>
        <v>آموزش و پرورش</v>
      </c>
      <c r="G2843" s="1" t="str">
        <f>IFERROR(__xludf.DUMMYFUNCTION("GOOGLETRANSLATE(C2843, ""en"", ""fa"")
"),"در مورد چالش ها و فرصت های آموزش فراگیر در ترویج برابری و تنوع در کلاس های درس بحث کنید.")</f>
        <v>در مورد چالش ها و فرصت های آموزش فراگیر در ترویج برابری و تنوع در کلاس های درس بحث کنید.</v>
      </c>
      <c r="H2843" s="1"/>
      <c r="I2843" s="1"/>
      <c r="J2843" s="1"/>
      <c r="K2843" s="1"/>
      <c r="L2843" s="1"/>
      <c r="M2843" s="1"/>
      <c r="N2843" s="1"/>
      <c r="O2843" s="1"/>
      <c r="P2843" s="1"/>
      <c r="Q2843" s="1"/>
      <c r="R2843" s="1"/>
      <c r="S2843" s="1"/>
      <c r="T2843" s="1"/>
      <c r="U2843" s="1"/>
      <c r="V2843" s="1"/>
      <c r="W2843" s="1"/>
      <c r="X2843" s="1"/>
      <c r="Y2843" s="1"/>
      <c r="Z2843" s="1"/>
      <c r="AA2843" s="1"/>
      <c r="AB2843" s="1"/>
    </row>
    <row r="2844" ht="50.25" customHeight="1">
      <c r="A2844" s="12">
        <v>2840.0</v>
      </c>
      <c r="B2844" s="13" t="s">
        <v>2825</v>
      </c>
      <c r="C2844" s="14" t="s">
        <v>2859</v>
      </c>
      <c r="D2844" s="1"/>
      <c r="E2844" s="1"/>
      <c r="F2844" s="1" t="str">
        <f>IFERROR(__xludf.DUMMYFUNCTION("GOOGLETRANSLATE(B2844, ""en"", ""fa"")
"),"آموزش و پرورش")</f>
        <v>آموزش و پرورش</v>
      </c>
      <c r="G2844" s="1" t="str">
        <f>IFERROR(__xludf.DUMMYFUNCTION("GOOGLETRANSLATE(C2844, ""en"", ""fa"")
"),"تأثیر برنامه های یادگیری اجتماعی-عاطفی در مدارس و اینکه چگونه به رفاه کلی دانش آموزان کمک می کند، تجزیه و تحلیل کنید.")</f>
        <v>تأثیر برنامه های یادگیری اجتماعی-عاطفی در مدارس و اینکه چگونه به رفاه کلی دانش آموزان کمک می کند، تجزیه و تحلیل کنید.</v>
      </c>
      <c r="H2844" s="1"/>
      <c r="I2844" s="1"/>
      <c r="J2844" s="1"/>
      <c r="K2844" s="1"/>
      <c r="L2844" s="1"/>
      <c r="M2844" s="1"/>
      <c r="N2844" s="1"/>
      <c r="O2844" s="1"/>
      <c r="P2844" s="1"/>
      <c r="Q2844" s="1"/>
      <c r="R2844" s="1"/>
      <c r="S2844" s="1"/>
      <c r="T2844" s="1"/>
      <c r="U2844" s="1"/>
      <c r="V2844" s="1"/>
      <c r="W2844" s="1"/>
      <c r="X2844" s="1"/>
      <c r="Y2844" s="1"/>
      <c r="Z2844" s="1"/>
      <c r="AA2844" s="1"/>
      <c r="AB2844" s="1"/>
    </row>
    <row r="2845" ht="50.25" customHeight="1">
      <c r="A2845" s="12">
        <v>2841.0</v>
      </c>
      <c r="B2845" s="13" t="s">
        <v>2825</v>
      </c>
      <c r="C2845" s="14" t="s">
        <v>2860</v>
      </c>
      <c r="D2845" s="1"/>
      <c r="E2845" s="1"/>
      <c r="F2845" s="1" t="str">
        <f>IFERROR(__xludf.DUMMYFUNCTION("GOOGLETRANSLATE(B2845, ""en"", ""fa"")
"),"آموزش و پرورش")</f>
        <v>آموزش و پرورش</v>
      </c>
      <c r="G2845" s="1" t="str">
        <f>IFERROR(__xludf.DUMMYFUNCTION("GOOGLETRANSLATE(C2845, ""en"", ""fa"")
"),"مزایای کلاس های درس معکوس و چگونگی تغییر مدل سنتی یادگیری معلم محور را بررسی کنید.")</f>
        <v>مزایای کلاس های درس معکوس و چگونگی تغییر مدل سنتی یادگیری معلم محور را بررسی کنید.</v>
      </c>
      <c r="H2845" s="1"/>
      <c r="I2845" s="1"/>
      <c r="J2845" s="1"/>
      <c r="K2845" s="1"/>
      <c r="L2845" s="1"/>
      <c r="M2845" s="1"/>
      <c r="N2845" s="1"/>
      <c r="O2845" s="1"/>
      <c r="P2845" s="1"/>
      <c r="Q2845" s="1"/>
      <c r="R2845" s="1"/>
      <c r="S2845" s="1"/>
      <c r="T2845" s="1"/>
      <c r="U2845" s="1"/>
      <c r="V2845" s="1"/>
      <c r="W2845" s="1"/>
      <c r="X2845" s="1"/>
      <c r="Y2845" s="1"/>
      <c r="Z2845" s="1"/>
      <c r="AA2845" s="1"/>
      <c r="AB2845" s="1"/>
    </row>
    <row r="2846" ht="50.25" customHeight="1">
      <c r="A2846" s="12">
        <v>2842.0</v>
      </c>
      <c r="B2846" s="13" t="s">
        <v>2825</v>
      </c>
      <c r="C2846" s="14" t="s">
        <v>2861</v>
      </c>
      <c r="D2846" s="1"/>
      <c r="E2846" s="1"/>
      <c r="F2846" s="1" t="str">
        <f>IFERROR(__xludf.DUMMYFUNCTION("GOOGLETRANSLATE(B2846, ""en"", ""fa"")
"),"آموزش و پرورش")</f>
        <v>آموزش و پرورش</v>
      </c>
      <c r="G2846" s="1" t="str">
        <f>IFERROR(__xludf.DUMMYFUNCTION("GOOGLETRANSLATE(C2846, ""en"", ""fa"")
"),"در مورد اهمیت آموزش سواد رسانه ای در عصر دیجیتال و اینکه چگونه دانش آموزان را به عنوان مصرف کنندگان انتقادی اطلاعات توانمند می کند، بحث کنید.")</f>
        <v>در مورد اهمیت آموزش سواد رسانه ای در عصر دیجیتال و اینکه چگونه دانش آموزان را به عنوان مصرف کنندگان انتقادی اطلاعات توانمند می کند، بحث کنید.</v>
      </c>
      <c r="H2846" s="1"/>
      <c r="I2846" s="1"/>
      <c r="J2846" s="1"/>
      <c r="K2846" s="1"/>
      <c r="L2846" s="1"/>
      <c r="M2846" s="1"/>
      <c r="N2846" s="1"/>
      <c r="O2846" s="1"/>
      <c r="P2846" s="1"/>
      <c r="Q2846" s="1"/>
      <c r="R2846" s="1"/>
      <c r="S2846" s="1"/>
      <c r="T2846" s="1"/>
      <c r="U2846" s="1"/>
      <c r="V2846" s="1"/>
      <c r="W2846" s="1"/>
      <c r="X2846" s="1"/>
      <c r="Y2846" s="1"/>
      <c r="Z2846" s="1"/>
      <c r="AA2846" s="1"/>
      <c r="AB2846" s="1"/>
    </row>
    <row r="2847" ht="50.25" customHeight="1">
      <c r="A2847" s="12">
        <v>2843.0</v>
      </c>
      <c r="B2847" s="13" t="s">
        <v>2825</v>
      </c>
      <c r="C2847" s="14" t="s">
        <v>2862</v>
      </c>
      <c r="D2847" s="1"/>
      <c r="E2847" s="1"/>
      <c r="F2847" s="1" t="str">
        <f>IFERROR(__xludf.DUMMYFUNCTION("GOOGLETRANSLATE(B2847, ""en"", ""fa"")
"),"آموزش و پرورش")</f>
        <v>آموزش و پرورش</v>
      </c>
      <c r="G2847" s="1" t="str">
        <f>IFERROR(__xludf.DUMMYFUNCTION("GOOGLETRANSLATE(C2847, ""en"", ""fa"")
"),"مزایای یادگیری مبتنی بر تحقیق و چگونگی ترویج کنجکاوی، حل مسئله و یادگیری خودراهبر را تجزیه و تحلیل کنید.")</f>
        <v>مزایای یادگیری مبتنی بر تحقیق و چگونگی ترویج کنجکاوی، حل مسئله و یادگیری خودراهبر را تجزیه و تحلیل کنید.</v>
      </c>
      <c r="H2847" s="1"/>
      <c r="I2847" s="1"/>
      <c r="J2847" s="1"/>
      <c r="K2847" s="1"/>
      <c r="L2847" s="1"/>
      <c r="M2847" s="1"/>
      <c r="N2847" s="1"/>
      <c r="O2847" s="1"/>
      <c r="P2847" s="1"/>
      <c r="Q2847" s="1"/>
      <c r="R2847" s="1"/>
      <c r="S2847" s="1"/>
      <c r="T2847" s="1"/>
      <c r="U2847" s="1"/>
      <c r="V2847" s="1"/>
      <c r="W2847" s="1"/>
      <c r="X2847" s="1"/>
      <c r="Y2847" s="1"/>
      <c r="Z2847" s="1"/>
      <c r="AA2847" s="1"/>
      <c r="AB2847" s="1"/>
    </row>
    <row r="2848" ht="50.25" customHeight="1">
      <c r="A2848" s="12">
        <v>2844.0</v>
      </c>
      <c r="B2848" s="13" t="s">
        <v>2825</v>
      </c>
      <c r="C2848" s="14" t="s">
        <v>2863</v>
      </c>
      <c r="D2848" s="1"/>
      <c r="E2848" s="1"/>
      <c r="F2848" s="1" t="str">
        <f>IFERROR(__xludf.DUMMYFUNCTION("GOOGLETRANSLATE(B2848, ""en"", ""fa"")
"),"آموزش و پرورش")</f>
        <v>آموزش و پرورش</v>
      </c>
      <c r="G2848" s="1" t="str">
        <f>IFERROR(__xludf.DUMMYFUNCTION("GOOGLETRANSLATE(C2848, ""en"", ""fa"")
"),"نقش مشارکت‌های جامعه در آموزش و چگونگی افزایش تجارب یادگیری دانش‌آموزان را از طریق ارتباطات دنیای واقعی بررسی کنید.")</f>
        <v>نقش مشارکت‌های جامعه در آموزش و چگونگی افزایش تجارب یادگیری دانش‌آموزان را از طریق ارتباطات دنیای واقعی بررسی کنید.</v>
      </c>
      <c r="H2848" s="1"/>
      <c r="I2848" s="1"/>
      <c r="J2848" s="1"/>
      <c r="K2848" s="1"/>
      <c r="L2848" s="1"/>
      <c r="M2848" s="1"/>
      <c r="N2848" s="1"/>
      <c r="O2848" s="1"/>
      <c r="P2848" s="1"/>
      <c r="Q2848" s="1"/>
      <c r="R2848" s="1"/>
      <c r="S2848" s="1"/>
      <c r="T2848" s="1"/>
      <c r="U2848" s="1"/>
      <c r="V2848" s="1"/>
      <c r="W2848" s="1"/>
      <c r="X2848" s="1"/>
      <c r="Y2848" s="1"/>
      <c r="Z2848" s="1"/>
      <c r="AA2848" s="1"/>
      <c r="AB2848" s="1"/>
    </row>
    <row r="2849" ht="50.25" customHeight="1">
      <c r="A2849" s="12">
        <v>2845.0</v>
      </c>
      <c r="B2849" s="13" t="s">
        <v>2825</v>
      </c>
      <c r="C2849" s="14" t="s">
        <v>2864</v>
      </c>
      <c r="D2849" s="1"/>
      <c r="E2849" s="1"/>
      <c r="F2849" s="1" t="str">
        <f>IFERROR(__xludf.DUMMYFUNCTION("GOOGLETRANSLATE(B2849, ""en"", ""fa"")
"),"آموزش و پرورش")</f>
        <v>آموزش و پرورش</v>
      </c>
      <c r="G2849" s="1" t="str">
        <f>IFERROR(__xludf.DUMMYFUNCTION("GOOGLETRANSLATE(C2849, ""en"", ""fa"")
"),"در مورد تأثیر آموزش پاسخگوی فرهنگی و توانایی آن برای ایجاد محیط های یادگیری فراگیر و توانمند بحث کنید.")</f>
        <v>در مورد تأثیر آموزش پاسخگوی فرهنگی و توانایی آن برای ایجاد محیط های یادگیری فراگیر و توانمند بحث کنید.</v>
      </c>
      <c r="H2849" s="1"/>
      <c r="I2849" s="1"/>
      <c r="J2849" s="1"/>
      <c r="K2849" s="1"/>
      <c r="L2849" s="1"/>
      <c r="M2849" s="1"/>
      <c r="N2849" s="1"/>
      <c r="O2849" s="1"/>
      <c r="P2849" s="1"/>
      <c r="Q2849" s="1"/>
      <c r="R2849" s="1"/>
      <c r="S2849" s="1"/>
      <c r="T2849" s="1"/>
      <c r="U2849" s="1"/>
      <c r="V2849" s="1"/>
      <c r="W2849" s="1"/>
      <c r="X2849" s="1"/>
      <c r="Y2849" s="1"/>
      <c r="Z2849" s="1"/>
      <c r="AA2849" s="1"/>
      <c r="AB2849" s="1"/>
    </row>
    <row r="2850" ht="50.25" customHeight="1">
      <c r="A2850" s="12">
        <v>2846.0</v>
      </c>
      <c r="B2850" s="13" t="s">
        <v>2825</v>
      </c>
      <c r="C2850" s="14" t="s">
        <v>2865</v>
      </c>
      <c r="D2850" s="1"/>
      <c r="E2850" s="1"/>
      <c r="F2850" s="1" t="str">
        <f>IFERROR(__xludf.DUMMYFUNCTION("GOOGLETRANSLATE(B2850, ""en"", ""fa"")
"),"آموزش و پرورش")</f>
        <v>آموزش و پرورش</v>
      </c>
      <c r="G2850" s="1" t="str">
        <f>IFERROR(__xludf.DUMMYFUNCTION("GOOGLETRANSLATE(C2850, ""en"", ""fa"")
"),"تجزیه و تحلیل مزایای آموزش در فضای باز و تجربی در توسعه آگاهی زیست محیطی دانش آموزان و احساس مکان.")</f>
        <v>تجزیه و تحلیل مزایای آموزش در فضای باز و تجربی در توسعه آگاهی زیست محیطی دانش آموزان و احساس مکان.</v>
      </c>
      <c r="H2850" s="1"/>
      <c r="I2850" s="1"/>
      <c r="J2850" s="1"/>
      <c r="K2850" s="1"/>
      <c r="L2850" s="1"/>
      <c r="M2850" s="1"/>
      <c r="N2850" s="1"/>
      <c r="O2850" s="1"/>
      <c r="P2850" s="1"/>
      <c r="Q2850" s="1"/>
      <c r="R2850" s="1"/>
      <c r="S2850" s="1"/>
      <c r="T2850" s="1"/>
      <c r="U2850" s="1"/>
      <c r="V2850" s="1"/>
      <c r="W2850" s="1"/>
      <c r="X2850" s="1"/>
      <c r="Y2850" s="1"/>
      <c r="Z2850" s="1"/>
      <c r="AA2850" s="1"/>
      <c r="AB2850" s="1"/>
    </row>
    <row r="2851" ht="50.25" customHeight="1">
      <c r="A2851" s="12">
        <v>2847.0</v>
      </c>
      <c r="B2851" s="13" t="s">
        <v>2825</v>
      </c>
      <c r="C2851" s="14" t="s">
        <v>2866</v>
      </c>
      <c r="D2851" s="1"/>
      <c r="E2851" s="1"/>
      <c r="F2851" s="1" t="str">
        <f>IFERROR(__xludf.DUMMYFUNCTION("GOOGLETRANSLATE(B2851, ""en"", ""fa"")
"),"آموزش و پرورش")</f>
        <v>آموزش و پرورش</v>
      </c>
      <c r="G2851" s="1" t="str">
        <f>IFERROR(__xludf.DUMMYFUNCTION("GOOGLETRANSLATE(C2851, ""en"", ""fa"")
"),"اهمیت آموزش شهروندی دیجیتال و ایمنی اینترنت را برای تجهیز دانش‌آموزان به مهارت‌هایی برای هدایت مسئولانه در دنیای آنلاین بررسی کنید.")</f>
        <v>اهمیت آموزش شهروندی دیجیتال و ایمنی اینترنت را برای تجهیز دانش‌آموزان به مهارت‌هایی برای هدایت مسئولانه در دنیای آنلاین بررسی کنید.</v>
      </c>
      <c r="H2851" s="1"/>
      <c r="I2851" s="1"/>
      <c r="J2851" s="1"/>
      <c r="K2851" s="1"/>
      <c r="L2851" s="1"/>
      <c r="M2851" s="1"/>
      <c r="N2851" s="1"/>
      <c r="O2851" s="1"/>
      <c r="P2851" s="1"/>
      <c r="Q2851" s="1"/>
      <c r="R2851" s="1"/>
      <c r="S2851" s="1"/>
      <c r="T2851" s="1"/>
      <c r="U2851" s="1"/>
      <c r="V2851" s="1"/>
      <c r="W2851" s="1"/>
      <c r="X2851" s="1"/>
      <c r="Y2851" s="1"/>
      <c r="Z2851" s="1"/>
      <c r="AA2851" s="1"/>
      <c r="AB2851" s="1"/>
    </row>
    <row r="2852" ht="50.25" customHeight="1">
      <c r="A2852" s="12">
        <v>2848.0</v>
      </c>
      <c r="B2852" s="13" t="s">
        <v>2825</v>
      </c>
      <c r="C2852" s="14" t="s">
        <v>2867</v>
      </c>
      <c r="D2852" s="1"/>
      <c r="E2852" s="1"/>
      <c r="F2852" s="1" t="str">
        <f>IFERROR(__xludf.DUMMYFUNCTION("GOOGLETRANSLATE(B2852, ""en"", ""fa"")
"),"آموزش و پرورش")</f>
        <v>آموزش و پرورش</v>
      </c>
      <c r="G2852" s="1" t="str">
        <f>IFERROR(__xludf.DUMMYFUNCTION("GOOGLETRANSLATE(C2852, ""en"", ""fa"")
"),"در مورد نقش فناوری در آموزش ویژه و نحوه حمایت آن از دانش آموزان با نیازهای یادگیری متنوع بحث کنید.")</f>
        <v>در مورد نقش فناوری در آموزش ویژه و نحوه حمایت آن از دانش آموزان با نیازهای یادگیری متنوع بحث کنید.</v>
      </c>
      <c r="H2852" s="1"/>
      <c r="I2852" s="1"/>
      <c r="J2852" s="1"/>
      <c r="K2852" s="1"/>
      <c r="L2852" s="1"/>
      <c r="M2852" s="1"/>
      <c r="N2852" s="1"/>
      <c r="O2852" s="1"/>
      <c r="P2852" s="1"/>
      <c r="Q2852" s="1"/>
      <c r="R2852" s="1"/>
      <c r="S2852" s="1"/>
      <c r="T2852" s="1"/>
      <c r="U2852" s="1"/>
      <c r="V2852" s="1"/>
      <c r="W2852" s="1"/>
      <c r="X2852" s="1"/>
      <c r="Y2852" s="1"/>
      <c r="Z2852" s="1"/>
      <c r="AA2852" s="1"/>
      <c r="AB2852" s="1"/>
    </row>
    <row r="2853" ht="50.25" customHeight="1">
      <c r="A2853" s="12">
        <v>2849.0</v>
      </c>
      <c r="B2853" s="13" t="s">
        <v>2825</v>
      </c>
      <c r="C2853" s="14" t="s">
        <v>2868</v>
      </c>
      <c r="D2853" s="1"/>
      <c r="E2853" s="1"/>
      <c r="F2853" s="1" t="str">
        <f>IFERROR(__xludf.DUMMYFUNCTION("GOOGLETRANSLATE(B2853, ""en"", ""fa"")
"),"آموزش و پرورش")</f>
        <v>آموزش و پرورش</v>
      </c>
      <c r="G2853" s="1" t="str">
        <f>IFERROR(__xludf.DUMMYFUNCTION("GOOGLETRANSLATE(C2853, ""en"", ""fa"")
"),"مزایای یادگیری مبتنی بر پروژه را تجزیه و تحلیل کنید و چگونه دانش آموزان را برای حل مسئله و همکاری در دنیای واقعی آماده می کند.")</f>
        <v>مزایای یادگیری مبتنی بر پروژه را تجزیه و تحلیل کنید و چگونه دانش آموزان را برای حل مسئله و همکاری در دنیای واقعی آماده می کند.</v>
      </c>
      <c r="H2853" s="1"/>
      <c r="I2853" s="1"/>
      <c r="J2853" s="1"/>
      <c r="K2853" s="1"/>
      <c r="L2853" s="1"/>
      <c r="M2853" s="1"/>
      <c r="N2853" s="1"/>
      <c r="O2853" s="1"/>
      <c r="P2853" s="1"/>
      <c r="Q2853" s="1"/>
      <c r="R2853" s="1"/>
      <c r="S2853" s="1"/>
      <c r="T2853" s="1"/>
      <c r="U2853" s="1"/>
      <c r="V2853" s="1"/>
      <c r="W2853" s="1"/>
      <c r="X2853" s="1"/>
      <c r="Y2853" s="1"/>
      <c r="Z2853" s="1"/>
      <c r="AA2853" s="1"/>
      <c r="AB2853" s="1"/>
    </row>
    <row r="2854" ht="50.25" customHeight="1">
      <c r="A2854" s="12">
        <v>2850.0</v>
      </c>
      <c r="B2854" s="13" t="s">
        <v>2825</v>
      </c>
      <c r="C2854" s="14" t="s">
        <v>2869</v>
      </c>
      <c r="D2854" s="1"/>
      <c r="E2854" s="1"/>
      <c r="F2854" s="1" t="str">
        <f>IFERROR(__xludf.DUMMYFUNCTION("GOOGLETRANSLATE(B2854, ""en"", ""fa"")
"),"آموزش و پرورش")</f>
        <v>آموزش و پرورش</v>
      </c>
      <c r="G2854" s="1" t="str">
        <f>IFERROR(__xludf.DUMMYFUNCTION("GOOGLETRANSLATE(C2854, ""en"", ""fa"")
"),"درباره تأثیر رویکردهای یادگیری دانش آموز محور، مانند یادگیری شخصی و آموزش مبتنی بر شایستگی بحث کنید.")</f>
        <v>درباره تأثیر رویکردهای یادگیری دانش آموز محور، مانند یادگیری شخصی و آموزش مبتنی بر شایستگی بحث کنید.</v>
      </c>
      <c r="H2854" s="1"/>
      <c r="I2854" s="1"/>
      <c r="J2854" s="1"/>
      <c r="K2854" s="1"/>
      <c r="L2854" s="1"/>
      <c r="M2854" s="1"/>
      <c r="N2854" s="1"/>
      <c r="O2854" s="1"/>
      <c r="P2854" s="1"/>
      <c r="Q2854" s="1"/>
      <c r="R2854" s="1"/>
      <c r="S2854" s="1"/>
      <c r="T2854" s="1"/>
      <c r="U2854" s="1"/>
      <c r="V2854" s="1"/>
      <c r="W2854" s="1"/>
      <c r="X2854" s="1"/>
      <c r="Y2854" s="1"/>
      <c r="Z2854" s="1"/>
      <c r="AA2854" s="1"/>
      <c r="AB2854" s="1"/>
    </row>
    <row r="2855" ht="50.25" customHeight="1">
      <c r="A2855" s="12">
        <v>2851.0</v>
      </c>
      <c r="B2855" s="13" t="s">
        <v>2825</v>
      </c>
      <c r="C2855" s="14" t="s">
        <v>2870</v>
      </c>
      <c r="D2855" s="1"/>
      <c r="E2855" s="1"/>
      <c r="F2855" s="1" t="str">
        <f>IFERROR(__xludf.DUMMYFUNCTION("GOOGLETRANSLATE(B2855, ""en"", ""fa"")
"),"آموزش و پرورش")</f>
        <v>آموزش و پرورش</v>
      </c>
      <c r="G2855" s="1" t="str">
        <f>IFERROR(__xludf.DUMMYFUNCTION("GOOGLETRANSLATE(C2855, ""en"", ""fa"")
"),"تجزیه و تحلیل مزایای آموزش کدنویسی و مهارت های تفکر محاسباتی در مدارس برای پرورش خلاقیت و توانایی های حل مسئله.")</f>
        <v>تجزیه و تحلیل مزایای آموزش کدنویسی و مهارت های تفکر محاسباتی در مدارس برای پرورش خلاقیت و توانایی های حل مسئله.</v>
      </c>
      <c r="H2855" s="1"/>
      <c r="I2855" s="1"/>
      <c r="J2855" s="1"/>
      <c r="K2855" s="1"/>
      <c r="L2855" s="1"/>
      <c r="M2855" s="1"/>
      <c r="N2855" s="1"/>
      <c r="O2855" s="1"/>
      <c r="P2855" s="1"/>
      <c r="Q2855" s="1"/>
      <c r="R2855" s="1"/>
      <c r="S2855" s="1"/>
      <c r="T2855" s="1"/>
      <c r="U2855" s="1"/>
      <c r="V2855" s="1"/>
      <c r="W2855" s="1"/>
      <c r="X2855" s="1"/>
      <c r="Y2855" s="1"/>
      <c r="Z2855" s="1"/>
      <c r="AA2855" s="1"/>
      <c r="AB2855" s="1"/>
    </row>
    <row r="2856" ht="50.25" customHeight="1">
      <c r="A2856" s="12">
        <v>2852.0</v>
      </c>
      <c r="B2856" s="13" t="s">
        <v>2825</v>
      </c>
      <c r="C2856" s="14" t="s">
        <v>2871</v>
      </c>
      <c r="D2856" s="1"/>
      <c r="E2856" s="1"/>
      <c r="F2856" s="1" t="str">
        <f>IFERROR(__xludf.DUMMYFUNCTION("GOOGLETRANSLATE(B2856, ""en"", ""fa"")
"),"آموزش و پرورش")</f>
        <v>آموزش و پرورش</v>
      </c>
      <c r="G2856" s="1" t="str">
        <f>IFERROR(__xludf.DUMMYFUNCTION("GOOGLETRANSLATE(C2856, ""en"", ""fa"")
"),"نقش آموزش زیست محیطی را در پرورش حس سرپرستی و پایداری محیط زیست در بین دانش آموزان بررسی کنید.")</f>
        <v>نقش آموزش زیست محیطی را در پرورش حس سرپرستی و پایداری محیط زیست در بین دانش آموزان بررسی کنید.</v>
      </c>
      <c r="H2856" s="1"/>
      <c r="I2856" s="1"/>
      <c r="J2856" s="1"/>
      <c r="K2856" s="1"/>
      <c r="L2856" s="1"/>
      <c r="M2856" s="1"/>
      <c r="N2856" s="1"/>
      <c r="O2856" s="1"/>
      <c r="P2856" s="1"/>
      <c r="Q2856" s="1"/>
      <c r="R2856" s="1"/>
      <c r="S2856" s="1"/>
      <c r="T2856" s="1"/>
      <c r="U2856" s="1"/>
      <c r="V2856" s="1"/>
      <c r="W2856" s="1"/>
      <c r="X2856" s="1"/>
      <c r="Y2856" s="1"/>
      <c r="Z2856" s="1"/>
      <c r="AA2856" s="1"/>
      <c r="AB2856" s="1"/>
    </row>
    <row r="2857" ht="50.25" customHeight="1">
      <c r="A2857" s="12">
        <v>2853.0</v>
      </c>
      <c r="B2857" s="13" t="s">
        <v>2825</v>
      </c>
      <c r="C2857" s="14" t="s">
        <v>2872</v>
      </c>
      <c r="D2857" s="1"/>
      <c r="E2857" s="1"/>
      <c r="F2857" s="1" t="str">
        <f>IFERROR(__xludf.DUMMYFUNCTION("GOOGLETRANSLATE(B2857, ""en"", ""fa"")
"),"آموزش و پرورش")</f>
        <v>آموزش و پرورش</v>
      </c>
      <c r="G2857" s="1" t="str">
        <f>IFERROR(__xludf.DUMMYFUNCTION("GOOGLETRANSLATE(C2857, ""en"", ""fa"")
"),"در مورد اهمیت آموزش سواد مالی در مدارس و تأثیر آن بر رفاه مالی آینده دانش آموزان بحث کنید.")</f>
        <v>در مورد اهمیت آموزش سواد مالی در مدارس و تأثیر آن بر رفاه مالی آینده دانش آموزان بحث کنید.</v>
      </c>
      <c r="H2857" s="1"/>
      <c r="I2857" s="1"/>
      <c r="J2857" s="1"/>
      <c r="K2857" s="1"/>
      <c r="L2857" s="1"/>
      <c r="M2857" s="1"/>
      <c r="N2857" s="1"/>
      <c r="O2857" s="1"/>
      <c r="P2857" s="1"/>
      <c r="Q2857" s="1"/>
      <c r="R2857" s="1"/>
      <c r="S2857" s="1"/>
      <c r="T2857" s="1"/>
      <c r="U2857" s="1"/>
      <c r="V2857" s="1"/>
      <c r="W2857" s="1"/>
      <c r="X2857" s="1"/>
      <c r="Y2857" s="1"/>
      <c r="Z2857" s="1"/>
      <c r="AA2857" s="1"/>
      <c r="AB2857" s="1"/>
    </row>
    <row r="2858" ht="50.25" customHeight="1">
      <c r="A2858" s="12">
        <v>2854.0</v>
      </c>
      <c r="B2858" s="13" t="s">
        <v>2825</v>
      </c>
      <c r="C2858" s="14" t="s">
        <v>2873</v>
      </c>
      <c r="D2858" s="1"/>
      <c r="E2858" s="1"/>
      <c r="F2858" s="1" t="str">
        <f>IFERROR(__xludf.DUMMYFUNCTION("GOOGLETRANSLATE(B2858, ""en"", ""fa"")
"),"آموزش و پرورش")</f>
        <v>آموزش و پرورش</v>
      </c>
      <c r="G2858" s="1" t="str">
        <f>IFERROR(__xludf.DUMMYFUNCTION("GOOGLETRANSLATE(C2858, ""en"", ""fa"")
"),"تجزیه و تحلیل مزایای ادغام یادگیری اجتماعی-عاطفی در برنامه درسی و اینکه چگونه از رفاه و موفقیت دانش آموزان حمایت می کند.")</f>
        <v>تجزیه و تحلیل مزایای ادغام یادگیری اجتماعی-عاطفی در برنامه درسی و اینکه چگونه از رفاه و موفقیت دانش آموزان حمایت می کند.</v>
      </c>
      <c r="H2858" s="1"/>
      <c r="I2858" s="1"/>
      <c r="J2858" s="1"/>
      <c r="K2858" s="1"/>
      <c r="L2858" s="1"/>
      <c r="M2858" s="1"/>
      <c r="N2858" s="1"/>
      <c r="O2858" s="1"/>
      <c r="P2858" s="1"/>
      <c r="Q2858" s="1"/>
      <c r="R2858" s="1"/>
      <c r="S2858" s="1"/>
      <c r="T2858" s="1"/>
      <c r="U2858" s="1"/>
      <c r="V2858" s="1"/>
      <c r="W2858" s="1"/>
      <c r="X2858" s="1"/>
      <c r="Y2858" s="1"/>
      <c r="Z2858" s="1"/>
      <c r="AA2858" s="1"/>
      <c r="AB2858" s="1"/>
    </row>
    <row r="2859" ht="50.25" customHeight="1">
      <c r="A2859" s="12">
        <v>2855.0</v>
      </c>
      <c r="B2859" s="13" t="s">
        <v>2825</v>
      </c>
      <c r="C2859" s="14" t="s">
        <v>2874</v>
      </c>
      <c r="D2859" s="1"/>
      <c r="E2859" s="1"/>
      <c r="F2859" s="1" t="str">
        <f>IFERROR(__xludf.DUMMYFUNCTION("GOOGLETRANSLATE(B2859, ""en"", ""fa"")
"),"آموزش و پرورش")</f>
        <v>آموزش و پرورش</v>
      </c>
      <c r="G2859" s="1" t="str">
        <f>IFERROR(__xludf.DUMMYFUNCTION("GOOGLETRANSLATE(C2859, ""en"", ""fa"")
"),"در مورد نقش فناوری آموزشی در ترویج تجربیات یادگیری شخصی برای دانش آموزان بحث کنید.")</f>
        <v>در مورد نقش فناوری آموزشی در ترویج تجربیات یادگیری شخصی برای دانش آموزان بحث کنید.</v>
      </c>
      <c r="H2859" s="1"/>
      <c r="I2859" s="1"/>
      <c r="J2859" s="1"/>
      <c r="K2859" s="1"/>
      <c r="L2859" s="1"/>
      <c r="M2859" s="1"/>
      <c r="N2859" s="1"/>
      <c r="O2859" s="1"/>
      <c r="P2859" s="1"/>
      <c r="Q2859" s="1"/>
      <c r="R2859" s="1"/>
      <c r="S2859" s="1"/>
      <c r="T2859" s="1"/>
      <c r="U2859" s="1"/>
      <c r="V2859" s="1"/>
      <c r="W2859" s="1"/>
      <c r="X2859" s="1"/>
      <c r="Y2859" s="1"/>
      <c r="Z2859" s="1"/>
      <c r="AA2859" s="1"/>
      <c r="AB2859" s="1"/>
    </row>
    <row r="2860" ht="50.25" customHeight="1">
      <c r="A2860" s="12">
        <v>2856.0</v>
      </c>
      <c r="B2860" s="13" t="s">
        <v>2825</v>
      </c>
      <c r="C2860" s="14" t="s">
        <v>2875</v>
      </c>
      <c r="D2860" s="1"/>
      <c r="E2860" s="1"/>
      <c r="F2860" s="1" t="str">
        <f>IFERROR(__xludf.DUMMYFUNCTION("GOOGLETRANSLATE(B2860, ""en"", ""fa"")
"),"آموزش و پرورش")</f>
        <v>آموزش و پرورش</v>
      </c>
      <c r="G2860" s="1" t="str">
        <f>IFERROR(__xludf.DUMMYFUNCTION("GOOGLETRANSLATE(C2860, ""en"", ""fa"")
"),"مزایای شیوه های کلاس درس فراگیر در حمایت از دانش آموزان با نیازهای یادگیری متنوع را تجزیه و تحلیل کنید.")</f>
        <v>مزایای شیوه های کلاس درس فراگیر در حمایت از دانش آموزان با نیازهای یادگیری متنوع را تجزیه و تحلیل کنید.</v>
      </c>
      <c r="H2860" s="1"/>
      <c r="I2860" s="1"/>
      <c r="J2860" s="1"/>
      <c r="K2860" s="1"/>
      <c r="L2860" s="1"/>
      <c r="M2860" s="1"/>
      <c r="N2860" s="1"/>
      <c r="O2860" s="1"/>
      <c r="P2860" s="1"/>
      <c r="Q2860" s="1"/>
      <c r="R2860" s="1"/>
      <c r="S2860" s="1"/>
      <c r="T2860" s="1"/>
      <c r="U2860" s="1"/>
      <c r="V2860" s="1"/>
      <c r="W2860" s="1"/>
      <c r="X2860" s="1"/>
      <c r="Y2860" s="1"/>
      <c r="Z2860" s="1"/>
      <c r="AA2860" s="1"/>
      <c r="AB2860" s="1"/>
    </row>
    <row r="2861" ht="50.25" customHeight="1">
      <c r="A2861" s="12">
        <v>2857.0</v>
      </c>
      <c r="B2861" s="13" t="s">
        <v>2825</v>
      </c>
      <c r="C2861" s="14" t="s">
        <v>2876</v>
      </c>
      <c r="D2861" s="1"/>
      <c r="E2861" s="1"/>
      <c r="F2861" s="1" t="str">
        <f>IFERROR(__xludf.DUMMYFUNCTION("GOOGLETRANSLATE(B2861, ""en"", ""fa"")
"),"آموزش و پرورش")</f>
        <v>آموزش و پرورش</v>
      </c>
      <c r="G2861" s="1" t="str">
        <f>IFERROR(__xludf.DUMMYFUNCTION("GOOGLETRANSLATE(C2861, ""en"", ""fa"")
"),"تأثیر راهبردهای آموزشی مرتبط با فرهنگ را بر مشارکت و پیشرفت دانش آموزان بررسی کنید.")</f>
        <v>تأثیر راهبردهای آموزشی مرتبط با فرهنگ را بر مشارکت و پیشرفت دانش آموزان بررسی کنید.</v>
      </c>
      <c r="H2861" s="1"/>
      <c r="I2861" s="1"/>
      <c r="J2861" s="1"/>
      <c r="K2861" s="1"/>
      <c r="L2861" s="1"/>
      <c r="M2861" s="1"/>
      <c r="N2861" s="1"/>
      <c r="O2861" s="1"/>
      <c r="P2861" s="1"/>
      <c r="Q2861" s="1"/>
      <c r="R2861" s="1"/>
      <c r="S2861" s="1"/>
      <c r="T2861" s="1"/>
      <c r="U2861" s="1"/>
      <c r="V2861" s="1"/>
      <c r="W2861" s="1"/>
      <c r="X2861" s="1"/>
      <c r="Y2861" s="1"/>
      <c r="Z2861" s="1"/>
      <c r="AA2861" s="1"/>
      <c r="AB2861" s="1"/>
    </row>
    <row r="2862" ht="50.25" customHeight="1">
      <c r="A2862" s="12">
        <v>2858.0</v>
      </c>
      <c r="B2862" s="13" t="s">
        <v>2825</v>
      </c>
      <c r="C2862" s="14" t="s">
        <v>2877</v>
      </c>
      <c r="D2862" s="1"/>
      <c r="E2862" s="1"/>
      <c r="F2862" s="1" t="str">
        <f>IFERROR(__xludf.DUMMYFUNCTION("GOOGLETRANSLATE(B2862, ""en"", ""fa"")
"),"آموزش و پرورش")</f>
        <v>آموزش و پرورش</v>
      </c>
      <c r="G2862" s="1" t="str">
        <f>IFERROR(__xludf.DUMMYFUNCTION("GOOGLETRANSLATE(C2862, ""en"", ""fa"")
"),"در مورد مزایای ارزیابی پروژه محور در ارزیابی یادگیری و درک دانش آموزان بحث کنید.")</f>
        <v>در مورد مزایای ارزیابی پروژه محور در ارزیابی یادگیری و درک دانش آموزان بحث کنید.</v>
      </c>
      <c r="H2862" s="1"/>
      <c r="I2862" s="1"/>
      <c r="J2862" s="1"/>
      <c r="K2862" s="1"/>
      <c r="L2862" s="1"/>
      <c r="M2862" s="1"/>
      <c r="N2862" s="1"/>
      <c r="O2862" s="1"/>
      <c r="P2862" s="1"/>
      <c r="Q2862" s="1"/>
      <c r="R2862" s="1"/>
      <c r="S2862" s="1"/>
      <c r="T2862" s="1"/>
      <c r="U2862" s="1"/>
      <c r="V2862" s="1"/>
      <c r="W2862" s="1"/>
      <c r="X2862" s="1"/>
      <c r="Y2862" s="1"/>
      <c r="Z2862" s="1"/>
      <c r="AA2862" s="1"/>
      <c r="AB2862" s="1"/>
    </row>
    <row r="2863" ht="50.25" customHeight="1">
      <c r="A2863" s="12">
        <v>2859.0</v>
      </c>
      <c r="B2863" s="13" t="s">
        <v>2825</v>
      </c>
      <c r="C2863" s="14" t="s">
        <v>2878</v>
      </c>
      <c r="D2863" s="1"/>
      <c r="E2863" s="1"/>
      <c r="F2863" s="1" t="str">
        <f>IFERROR(__xludf.DUMMYFUNCTION("GOOGLETRANSLATE(B2863, ""en"", ""fa"")
"),"آموزش و پرورش")</f>
        <v>آموزش و پرورش</v>
      </c>
      <c r="G2863" s="1" t="str">
        <f>IFERROR(__xludf.DUMMYFUNCTION("GOOGLETRANSLATE(C2863, ""en"", ""fa"")
"),"تجزیه و تحلیل نقش رسانه های اجتماعی در شکل دادن به ارتباطات دانش آموزان و به اشتراک گذاری اطلاعات در محیط های آموزشی.")</f>
        <v>تجزیه و تحلیل نقش رسانه های اجتماعی در شکل دادن به ارتباطات دانش آموزان و به اشتراک گذاری اطلاعات در محیط های آموزشی.</v>
      </c>
      <c r="H2863" s="1"/>
      <c r="I2863" s="1"/>
      <c r="J2863" s="1"/>
      <c r="K2863" s="1"/>
      <c r="L2863" s="1"/>
      <c r="M2863" s="1"/>
      <c r="N2863" s="1"/>
      <c r="O2863" s="1"/>
      <c r="P2863" s="1"/>
      <c r="Q2863" s="1"/>
      <c r="R2863" s="1"/>
      <c r="S2863" s="1"/>
      <c r="T2863" s="1"/>
      <c r="U2863" s="1"/>
      <c r="V2863" s="1"/>
      <c r="W2863" s="1"/>
      <c r="X2863" s="1"/>
      <c r="Y2863" s="1"/>
      <c r="Z2863" s="1"/>
      <c r="AA2863" s="1"/>
      <c r="AB2863" s="1"/>
    </row>
    <row r="2864" ht="50.25" customHeight="1">
      <c r="A2864" s="12">
        <v>2860.0</v>
      </c>
      <c r="B2864" s="13" t="s">
        <v>2825</v>
      </c>
      <c r="C2864" s="14" t="s">
        <v>2879</v>
      </c>
      <c r="D2864" s="1"/>
      <c r="E2864" s="1"/>
      <c r="F2864" s="1" t="str">
        <f>IFERROR(__xludf.DUMMYFUNCTION("GOOGLETRANSLATE(B2864, ""en"", ""fa"")
"),"آموزش و پرورش")</f>
        <v>آموزش و پرورش</v>
      </c>
      <c r="G2864" s="1" t="str">
        <f>IFERROR(__xludf.DUMMYFUNCTION("GOOGLETRANSLATE(C2864, ""en"", ""fa"")
"),"تأثیر روابط معلم و دانش آموز بر انگیزه دانش آموزان و موفقیت تحصیلی را بررسی کنید.")</f>
        <v>تأثیر روابط معلم و دانش آموز بر انگیزه دانش آموزان و موفقیت تحصیلی را بررسی کنید.</v>
      </c>
      <c r="H2864" s="1"/>
      <c r="I2864" s="1"/>
      <c r="J2864" s="1"/>
      <c r="K2864" s="1"/>
      <c r="L2864" s="1"/>
      <c r="M2864" s="1"/>
      <c r="N2864" s="1"/>
      <c r="O2864" s="1"/>
      <c r="P2864" s="1"/>
      <c r="Q2864" s="1"/>
      <c r="R2864" s="1"/>
      <c r="S2864" s="1"/>
      <c r="T2864" s="1"/>
      <c r="U2864" s="1"/>
      <c r="V2864" s="1"/>
      <c r="W2864" s="1"/>
      <c r="X2864" s="1"/>
      <c r="Y2864" s="1"/>
      <c r="Z2864" s="1"/>
      <c r="AA2864" s="1"/>
      <c r="AB2864" s="1"/>
    </row>
    <row r="2865" ht="50.25" customHeight="1">
      <c r="A2865" s="12">
        <v>2861.0</v>
      </c>
      <c r="B2865" s="13" t="s">
        <v>2825</v>
      </c>
      <c r="C2865" s="14" t="s">
        <v>2880</v>
      </c>
      <c r="D2865" s="1"/>
      <c r="E2865" s="1"/>
      <c r="F2865" s="1" t="str">
        <f>IFERROR(__xludf.DUMMYFUNCTION("GOOGLETRANSLATE(B2865, ""en"", ""fa"")
"),"آموزش و پرورش")</f>
        <v>آموزش و پرورش</v>
      </c>
      <c r="G2865" s="1" t="str">
        <f>IFERROR(__xludf.DUMMYFUNCTION("GOOGLETRANSLATE(C2865, ""en"", ""fa"")
"),"در مورد مزایای ادغام شیوه های ذهن آگاهی در برنامه درسی برای ارتقای رفاه و تمرکز دانش آموزان بحث کنید.")</f>
        <v>در مورد مزایای ادغام شیوه های ذهن آگاهی در برنامه درسی برای ارتقای رفاه و تمرکز دانش آموزان بحث کنید.</v>
      </c>
      <c r="H2865" s="1"/>
      <c r="I2865" s="1"/>
      <c r="J2865" s="1"/>
      <c r="K2865" s="1"/>
      <c r="L2865" s="1"/>
      <c r="M2865" s="1"/>
      <c r="N2865" s="1"/>
      <c r="O2865" s="1"/>
      <c r="P2865" s="1"/>
      <c r="Q2865" s="1"/>
      <c r="R2865" s="1"/>
      <c r="S2865" s="1"/>
      <c r="T2865" s="1"/>
      <c r="U2865" s="1"/>
      <c r="V2865" s="1"/>
      <c r="W2865" s="1"/>
      <c r="X2865" s="1"/>
      <c r="Y2865" s="1"/>
      <c r="Z2865" s="1"/>
      <c r="AA2865" s="1"/>
      <c r="AB2865" s="1"/>
    </row>
    <row r="2866" ht="50.25" customHeight="1">
      <c r="A2866" s="12">
        <v>2862.0</v>
      </c>
      <c r="B2866" s="13" t="s">
        <v>2825</v>
      </c>
      <c r="C2866" s="14" t="s">
        <v>2881</v>
      </c>
      <c r="D2866" s="1"/>
      <c r="E2866" s="1"/>
      <c r="F2866" s="1" t="str">
        <f>IFERROR(__xludf.DUMMYFUNCTION("GOOGLETRANSLATE(B2866, ""en"", ""fa"")
"),"آموزش و پرورش")</f>
        <v>آموزش و پرورش</v>
      </c>
      <c r="G2866" s="1" t="str">
        <f>IFERROR(__xludf.DUMMYFUNCTION("GOOGLETRANSLATE(C2866, ""en"", ""fa"")
"),"نقش یادگیری مبتنی بر بازی در آموزش دوران کودکی و تأثیر آن بر رشد شناختی را تجزیه و تحلیل کنید.")</f>
        <v>نقش یادگیری مبتنی بر بازی در آموزش دوران کودکی و تأثیر آن بر رشد شناختی را تجزیه و تحلیل کنید.</v>
      </c>
      <c r="H2866" s="1"/>
      <c r="I2866" s="1"/>
      <c r="J2866" s="1"/>
      <c r="K2866" s="1"/>
      <c r="L2866" s="1"/>
      <c r="M2866" s="1"/>
      <c r="N2866" s="1"/>
      <c r="O2866" s="1"/>
      <c r="P2866" s="1"/>
      <c r="Q2866" s="1"/>
      <c r="R2866" s="1"/>
      <c r="S2866" s="1"/>
      <c r="T2866" s="1"/>
      <c r="U2866" s="1"/>
      <c r="V2866" s="1"/>
      <c r="W2866" s="1"/>
      <c r="X2866" s="1"/>
      <c r="Y2866" s="1"/>
      <c r="Z2866" s="1"/>
      <c r="AA2866" s="1"/>
      <c r="AB2866" s="1"/>
    </row>
    <row r="2867" ht="50.25" customHeight="1">
      <c r="A2867" s="12">
        <v>2863.0</v>
      </c>
      <c r="B2867" s="13" t="s">
        <v>2825</v>
      </c>
      <c r="C2867" s="14" t="s">
        <v>2882</v>
      </c>
      <c r="D2867" s="1"/>
      <c r="E2867" s="1"/>
      <c r="F2867" s="1" t="str">
        <f>IFERROR(__xludf.DUMMYFUNCTION("GOOGLETRANSLATE(B2867, ""en"", ""fa"")
"),"آموزش و پرورش")</f>
        <v>آموزش و پرورش</v>
      </c>
      <c r="G2867" s="1" t="str">
        <f>IFERROR(__xludf.DUMMYFUNCTION("GOOGLETRANSLATE(C2867, ""en"", ""fa"")
"),"مزایای آموزش متمایز را در برآوردن نیازهای یادگیری متنوع دانش آموزان بررسی کنید.")</f>
        <v>مزایای آموزش متمایز را در برآوردن نیازهای یادگیری متنوع دانش آموزان بررسی کنید.</v>
      </c>
      <c r="H2867" s="1"/>
      <c r="I2867" s="1"/>
      <c r="J2867" s="1"/>
      <c r="K2867" s="1"/>
      <c r="L2867" s="1"/>
      <c r="M2867" s="1"/>
      <c r="N2867" s="1"/>
      <c r="O2867" s="1"/>
      <c r="P2867" s="1"/>
      <c r="Q2867" s="1"/>
      <c r="R2867" s="1"/>
      <c r="S2867" s="1"/>
      <c r="T2867" s="1"/>
      <c r="U2867" s="1"/>
      <c r="V2867" s="1"/>
      <c r="W2867" s="1"/>
      <c r="X2867" s="1"/>
      <c r="Y2867" s="1"/>
      <c r="Z2867" s="1"/>
      <c r="AA2867" s="1"/>
      <c r="AB2867" s="1"/>
    </row>
    <row r="2868" ht="50.25" customHeight="1">
      <c r="A2868" s="12">
        <v>2864.0</v>
      </c>
      <c r="B2868" s="13" t="s">
        <v>2825</v>
      </c>
      <c r="C2868" s="14" t="s">
        <v>2883</v>
      </c>
      <c r="D2868" s="1"/>
      <c r="E2868" s="1"/>
      <c r="F2868" s="1" t="str">
        <f>IFERROR(__xludf.DUMMYFUNCTION("GOOGLETRANSLATE(B2868, ""en"", ""fa"")
"),"آموزش و پرورش")</f>
        <v>آموزش و پرورش</v>
      </c>
      <c r="G2868" s="1" t="str">
        <f>IFERROR(__xludf.DUMMYFUNCTION("GOOGLETRANSLATE(C2868, ""en"", ""fa"")
"),"در مورد تأثیر مشارکت والدین و جامعه بر پیشرفت دانش آموزان و موفقیت مدرسه بحث کنید.")</f>
        <v>در مورد تأثیر مشارکت والدین و جامعه بر پیشرفت دانش آموزان و موفقیت مدرسه بحث کنید.</v>
      </c>
      <c r="H2868" s="1"/>
      <c r="I2868" s="1"/>
      <c r="J2868" s="1"/>
      <c r="K2868" s="1"/>
      <c r="L2868" s="1"/>
      <c r="M2868" s="1"/>
      <c r="N2868" s="1"/>
      <c r="O2868" s="1"/>
      <c r="P2868" s="1"/>
      <c r="Q2868" s="1"/>
      <c r="R2868" s="1"/>
      <c r="S2868" s="1"/>
      <c r="T2868" s="1"/>
      <c r="U2868" s="1"/>
      <c r="V2868" s="1"/>
      <c r="W2868" s="1"/>
      <c r="X2868" s="1"/>
      <c r="Y2868" s="1"/>
      <c r="Z2868" s="1"/>
      <c r="AA2868" s="1"/>
      <c r="AB2868" s="1"/>
    </row>
    <row r="2869" ht="50.25" customHeight="1">
      <c r="A2869" s="12">
        <v>2865.0</v>
      </c>
      <c r="B2869" s="13" t="s">
        <v>2825</v>
      </c>
      <c r="C2869" s="14" t="s">
        <v>2884</v>
      </c>
      <c r="D2869" s="1"/>
      <c r="E2869" s="1"/>
      <c r="F2869" s="1" t="str">
        <f>IFERROR(__xludf.DUMMYFUNCTION("GOOGLETRANSLATE(B2869, ""en"", ""fa"")
"),"آموزش و پرورش")</f>
        <v>آموزش و پرورش</v>
      </c>
      <c r="G2869" s="1" t="str">
        <f>IFERROR(__xludf.DUMMYFUNCTION("GOOGLETRANSLATE(C2869, ""en"", ""fa"")
"),"مزایای محیط های یادگیری مشارکتی را در تقویت مهارت های کار گروهی و تفکر انتقادی تجزیه و تحلیل کنید.")</f>
        <v>مزایای محیط های یادگیری مشارکتی را در تقویت مهارت های کار گروهی و تفکر انتقادی تجزیه و تحلیل کنید.</v>
      </c>
      <c r="H2869" s="1"/>
      <c r="I2869" s="1"/>
      <c r="J2869" s="1"/>
      <c r="K2869" s="1"/>
      <c r="L2869" s="1"/>
      <c r="M2869" s="1"/>
      <c r="N2869" s="1"/>
      <c r="O2869" s="1"/>
      <c r="P2869" s="1"/>
      <c r="Q2869" s="1"/>
      <c r="R2869" s="1"/>
      <c r="S2869" s="1"/>
      <c r="T2869" s="1"/>
      <c r="U2869" s="1"/>
      <c r="V2869" s="1"/>
      <c r="W2869" s="1"/>
      <c r="X2869" s="1"/>
      <c r="Y2869" s="1"/>
      <c r="Z2869" s="1"/>
      <c r="AA2869" s="1"/>
      <c r="AB2869" s="1"/>
    </row>
    <row r="2870" ht="50.25" customHeight="1">
      <c r="A2870" s="12">
        <v>2866.0</v>
      </c>
      <c r="B2870" s="13" t="s">
        <v>2825</v>
      </c>
      <c r="C2870" s="14" t="s">
        <v>2885</v>
      </c>
      <c r="D2870" s="1"/>
      <c r="E2870" s="1"/>
      <c r="F2870" s="1" t="str">
        <f>IFERROR(__xludf.DUMMYFUNCTION("GOOGLETRANSLATE(B2870, ""en"", ""fa"")
"),"آموزش و پرورش")</f>
        <v>آموزش و پرورش</v>
      </c>
      <c r="G2870" s="1" t="str">
        <f>IFERROR(__xludf.DUMMYFUNCTION("GOOGLETRANSLATE(C2870, ""en"", ""fa"")
"),"نقش شایستگی فرهنگی در ایجاد محیط های یادگیری فراگیر و عادلانه را بررسی کنید.")</f>
        <v>نقش شایستگی فرهنگی در ایجاد محیط های یادگیری فراگیر و عادلانه را بررسی کنید.</v>
      </c>
      <c r="H2870" s="1"/>
      <c r="I2870" s="1"/>
      <c r="J2870" s="1"/>
      <c r="K2870" s="1"/>
      <c r="L2870" s="1"/>
      <c r="M2870" s="1"/>
      <c r="N2870" s="1"/>
      <c r="O2870" s="1"/>
      <c r="P2870" s="1"/>
      <c r="Q2870" s="1"/>
      <c r="R2870" s="1"/>
      <c r="S2870" s="1"/>
      <c r="T2870" s="1"/>
      <c r="U2870" s="1"/>
      <c r="V2870" s="1"/>
      <c r="W2870" s="1"/>
      <c r="X2870" s="1"/>
      <c r="Y2870" s="1"/>
      <c r="Z2870" s="1"/>
      <c r="AA2870" s="1"/>
      <c r="AB2870" s="1"/>
    </row>
    <row r="2871" ht="50.25" customHeight="1">
      <c r="A2871" s="12">
        <v>2867.0</v>
      </c>
      <c r="B2871" s="13" t="s">
        <v>2825</v>
      </c>
      <c r="C2871" s="14" t="s">
        <v>2886</v>
      </c>
      <c r="D2871" s="1"/>
      <c r="E2871" s="1"/>
      <c r="F2871" s="1" t="str">
        <f>IFERROR(__xludf.DUMMYFUNCTION("GOOGLETRANSLATE(B2871, ""en"", ""fa"")
"),"آموزش و پرورش")</f>
        <v>آموزش و پرورش</v>
      </c>
      <c r="G2871" s="1" t="str">
        <f>IFERROR(__xludf.DUMMYFUNCTION("GOOGLETRANSLATE(C2871, ""en"", ""fa"")
"),"در مورد مزایای ادغام آموزش محیط زیست در زمینه های مختلف موضوعی برای ارتقای پایداری بحث کنید.")</f>
        <v>در مورد مزایای ادغام آموزش محیط زیست در زمینه های مختلف موضوعی برای ارتقای پایداری بحث کنید.</v>
      </c>
      <c r="H2871" s="1"/>
      <c r="I2871" s="1"/>
      <c r="J2871" s="1"/>
      <c r="K2871" s="1"/>
      <c r="L2871" s="1"/>
      <c r="M2871" s="1"/>
      <c r="N2871" s="1"/>
      <c r="O2871" s="1"/>
      <c r="P2871" s="1"/>
      <c r="Q2871" s="1"/>
      <c r="R2871" s="1"/>
      <c r="S2871" s="1"/>
      <c r="T2871" s="1"/>
      <c r="U2871" s="1"/>
      <c r="V2871" s="1"/>
      <c r="W2871" s="1"/>
      <c r="X2871" s="1"/>
      <c r="Y2871" s="1"/>
      <c r="Z2871" s="1"/>
      <c r="AA2871" s="1"/>
      <c r="AB2871" s="1"/>
    </row>
    <row r="2872" ht="50.25" customHeight="1">
      <c r="A2872" s="12">
        <v>2868.0</v>
      </c>
      <c r="B2872" s="13" t="s">
        <v>2825</v>
      </c>
      <c r="C2872" s="14" t="s">
        <v>2887</v>
      </c>
      <c r="D2872" s="1"/>
      <c r="E2872" s="1"/>
      <c r="F2872" s="1" t="str">
        <f>IFERROR(__xludf.DUMMYFUNCTION("GOOGLETRANSLATE(B2872, ""en"", ""fa"")
"),"آموزش و پرورش")</f>
        <v>آموزش و پرورش</v>
      </c>
      <c r="G2872" s="1" t="str">
        <f>IFERROR(__xludf.DUMMYFUNCTION("GOOGLETRANSLATE(C2872, ""en"", ""fa"")
"),"تأثیر آزمون استاندارد شده بر توسعه برنامه درسی و شیوه های آموزشی را تجزیه و تحلیل کنید.")</f>
        <v>تأثیر آزمون استاندارد شده بر توسعه برنامه درسی و شیوه های آموزشی را تجزیه و تحلیل کنید.</v>
      </c>
      <c r="H2872" s="1"/>
      <c r="I2872" s="1"/>
      <c r="J2872" s="1"/>
      <c r="K2872" s="1"/>
      <c r="L2872" s="1"/>
      <c r="M2872" s="1"/>
      <c r="N2872" s="1"/>
      <c r="O2872" s="1"/>
      <c r="P2872" s="1"/>
      <c r="Q2872" s="1"/>
      <c r="R2872" s="1"/>
      <c r="S2872" s="1"/>
      <c r="T2872" s="1"/>
      <c r="U2872" s="1"/>
      <c r="V2872" s="1"/>
      <c r="W2872" s="1"/>
      <c r="X2872" s="1"/>
      <c r="Y2872" s="1"/>
      <c r="Z2872" s="1"/>
      <c r="AA2872" s="1"/>
      <c r="AB2872" s="1"/>
    </row>
    <row r="2873" ht="50.25" customHeight="1">
      <c r="A2873" s="12">
        <v>2869.0</v>
      </c>
      <c r="B2873" s="13" t="s">
        <v>2825</v>
      </c>
      <c r="C2873" s="14" t="s">
        <v>2888</v>
      </c>
      <c r="D2873" s="1"/>
      <c r="E2873" s="1"/>
      <c r="F2873" s="1" t="str">
        <f>IFERROR(__xludf.DUMMYFUNCTION("GOOGLETRANSLATE(B2873, ""en"", ""fa"")
"),"آموزش و پرورش")</f>
        <v>آموزش و پرورش</v>
      </c>
      <c r="G2873" s="1" t="str">
        <f>IFERROR(__xludf.DUMMYFUNCTION("GOOGLETRANSLATE(C2873, ""en"", ""fa"")
"),"مزایای آموزش مهارت‌های سواد رسانه‌ای را برای توانمندسازی دانش‌آموزان به‌عنوان مصرف‌کنندگان انتقادی و خالق رسانه‌ها بررسی کنید.")</f>
        <v>مزایای آموزش مهارت‌های سواد رسانه‌ای را برای توانمندسازی دانش‌آموزان به‌عنوان مصرف‌کنندگان انتقادی و خالق رسانه‌ها بررسی کنید.</v>
      </c>
      <c r="H2873" s="1"/>
      <c r="I2873" s="1"/>
      <c r="J2873" s="1"/>
      <c r="K2873" s="1"/>
      <c r="L2873" s="1"/>
      <c r="M2873" s="1"/>
      <c r="N2873" s="1"/>
      <c r="O2873" s="1"/>
      <c r="P2873" s="1"/>
      <c r="Q2873" s="1"/>
      <c r="R2873" s="1"/>
      <c r="S2873" s="1"/>
      <c r="T2873" s="1"/>
      <c r="U2873" s="1"/>
      <c r="V2873" s="1"/>
      <c r="W2873" s="1"/>
      <c r="X2873" s="1"/>
      <c r="Y2873" s="1"/>
      <c r="Z2873" s="1"/>
      <c r="AA2873" s="1"/>
      <c r="AB2873" s="1"/>
    </row>
    <row r="2874" ht="50.25" customHeight="1">
      <c r="A2874" s="12">
        <v>2870.0</v>
      </c>
      <c r="B2874" s="13" t="s">
        <v>2825</v>
      </c>
      <c r="C2874" s="14" t="s">
        <v>2889</v>
      </c>
      <c r="D2874" s="1"/>
      <c r="E2874" s="1"/>
      <c r="F2874" s="1" t="str">
        <f>IFERROR(__xludf.DUMMYFUNCTION("GOOGLETRANSLATE(B2874, ""en"", ""fa"")
"),"آموزش و پرورش")</f>
        <v>آموزش و پرورش</v>
      </c>
      <c r="G2874" s="1" t="str">
        <f>IFERROR(__xludf.DUMMYFUNCTION("GOOGLETRANSLATE(C2874, ""en"", ""fa"")
"),"در مورد نقش رهبری مدرسه در هدایت نوآوری و بهبود آموزشی بحث کنید.")</f>
        <v>در مورد نقش رهبری مدرسه در هدایت نوآوری و بهبود آموزشی بحث کنید.</v>
      </c>
      <c r="H2874" s="1"/>
      <c r="I2874" s="1"/>
      <c r="J2874" s="1"/>
      <c r="K2874" s="1"/>
      <c r="L2874" s="1"/>
      <c r="M2874" s="1"/>
      <c r="N2874" s="1"/>
      <c r="O2874" s="1"/>
      <c r="P2874" s="1"/>
      <c r="Q2874" s="1"/>
      <c r="R2874" s="1"/>
      <c r="S2874" s="1"/>
      <c r="T2874" s="1"/>
      <c r="U2874" s="1"/>
      <c r="V2874" s="1"/>
      <c r="W2874" s="1"/>
      <c r="X2874" s="1"/>
      <c r="Y2874" s="1"/>
      <c r="Z2874" s="1"/>
      <c r="AA2874" s="1"/>
      <c r="AB2874" s="1"/>
    </row>
    <row r="2875" ht="50.25" customHeight="1">
      <c r="A2875" s="12">
        <v>2871.0</v>
      </c>
      <c r="B2875" s="13" t="s">
        <v>2825</v>
      </c>
      <c r="C2875" s="14" t="s">
        <v>2890</v>
      </c>
      <c r="D2875" s="1"/>
      <c r="E2875" s="1"/>
      <c r="F2875" s="1" t="str">
        <f>IFERROR(__xludf.DUMMYFUNCTION("GOOGLETRANSLATE(B2875, ""en"", ""fa"")
"),"آموزش و پرورش")</f>
        <v>آموزش و پرورش</v>
      </c>
      <c r="G2875" s="1" t="str">
        <f>IFERROR(__xludf.DUMMYFUNCTION("GOOGLETRANSLATE(C2875, ""en"", ""fa"")
"),"تجزیه و تحلیل مزایای برنامه های تدریس خصوصی در افزایش یادگیری دانش آموزان و رشد اجتماعی-عاطفی.")</f>
        <v>تجزیه و تحلیل مزایای برنامه های تدریس خصوصی در افزایش یادگیری دانش آموزان و رشد اجتماعی-عاطفی.</v>
      </c>
      <c r="H2875" s="1"/>
      <c r="I2875" s="1"/>
      <c r="J2875" s="1"/>
      <c r="K2875" s="1"/>
      <c r="L2875" s="1"/>
      <c r="M2875" s="1"/>
      <c r="N2875" s="1"/>
      <c r="O2875" s="1"/>
      <c r="P2875" s="1"/>
      <c r="Q2875" s="1"/>
      <c r="R2875" s="1"/>
      <c r="S2875" s="1"/>
      <c r="T2875" s="1"/>
      <c r="U2875" s="1"/>
      <c r="V2875" s="1"/>
      <c r="W2875" s="1"/>
      <c r="X2875" s="1"/>
      <c r="Y2875" s="1"/>
      <c r="Z2875" s="1"/>
      <c r="AA2875" s="1"/>
      <c r="AB2875" s="1"/>
    </row>
    <row r="2876" ht="50.25" customHeight="1">
      <c r="A2876" s="12">
        <v>2872.0</v>
      </c>
      <c r="B2876" s="13" t="s">
        <v>2825</v>
      </c>
      <c r="C2876" s="14" t="s">
        <v>2891</v>
      </c>
      <c r="D2876" s="1"/>
      <c r="E2876" s="1"/>
      <c r="F2876" s="1" t="str">
        <f>IFERROR(__xludf.DUMMYFUNCTION("GOOGLETRANSLATE(B2876, ""en"", ""fa"")
"),"آموزش و پرورش")</f>
        <v>آموزش و پرورش</v>
      </c>
      <c r="G2876" s="1" t="str">
        <f>IFERROR(__xludf.DUMMYFUNCTION("GOOGLETRANSLATE(C2876, ""en"", ""fa"")
"),"تأثیر صدای دانش‌آموز و انتخاب در شکل‌دهی تجربیات آموزشی و تصمیم‌گیری را بررسی کنید.")</f>
        <v>تأثیر صدای دانش‌آموز و انتخاب در شکل‌دهی تجربیات آموزشی و تصمیم‌گیری را بررسی کنید.</v>
      </c>
      <c r="H2876" s="1"/>
      <c r="I2876" s="1"/>
      <c r="J2876" s="1"/>
      <c r="K2876" s="1"/>
      <c r="L2876" s="1"/>
      <c r="M2876" s="1"/>
      <c r="N2876" s="1"/>
      <c r="O2876" s="1"/>
      <c r="P2876" s="1"/>
      <c r="Q2876" s="1"/>
      <c r="R2876" s="1"/>
      <c r="S2876" s="1"/>
      <c r="T2876" s="1"/>
      <c r="U2876" s="1"/>
      <c r="V2876" s="1"/>
      <c r="W2876" s="1"/>
      <c r="X2876" s="1"/>
      <c r="Y2876" s="1"/>
      <c r="Z2876" s="1"/>
      <c r="AA2876" s="1"/>
      <c r="AB2876" s="1"/>
    </row>
    <row r="2877" ht="50.25" customHeight="1">
      <c r="A2877" s="12">
        <v>2873.0</v>
      </c>
      <c r="B2877" s="13" t="s">
        <v>2825</v>
      </c>
      <c r="C2877" s="14" t="s">
        <v>2892</v>
      </c>
      <c r="D2877" s="1"/>
      <c r="E2877" s="1"/>
      <c r="F2877" s="1" t="str">
        <f>IFERROR(__xludf.DUMMYFUNCTION("GOOGLETRANSLATE(B2877, ""en"", ""fa"")
"),"آموزش و پرورش")</f>
        <v>آموزش و پرورش</v>
      </c>
      <c r="G2877" s="1" t="str">
        <f>IFERROR(__xludf.DUMMYFUNCTION("GOOGLETRANSLATE(C2877, ""en"", ""fa"")
"),"در مورد مزایای پروژه های یادگیری خدماتی در تقویت مشارکت مدنی و مسئولیت اجتماعی بحث کنید.")</f>
        <v>در مورد مزایای پروژه های یادگیری خدماتی در تقویت مشارکت مدنی و مسئولیت اجتماعی بحث کنید.</v>
      </c>
      <c r="H2877" s="1"/>
      <c r="I2877" s="1"/>
      <c r="J2877" s="1"/>
      <c r="K2877" s="1"/>
      <c r="L2877" s="1"/>
      <c r="M2877" s="1"/>
      <c r="N2877" s="1"/>
      <c r="O2877" s="1"/>
      <c r="P2877" s="1"/>
      <c r="Q2877" s="1"/>
      <c r="R2877" s="1"/>
      <c r="S2877" s="1"/>
      <c r="T2877" s="1"/>
      <c r="U2877" s="1"/>
      <c r="V2877" s="1"/>
      <c r="W2877" s="1"/>
      <c r="X2877" s="1"/>
      <c r="Y2877" s="1"/>
      <c r="Z2877" s="1"/>
      <c r="AA2877" s="1"/>
      <c r="AB2877" s="1"/>
    </row>
    <row r="2878" ht="50.25" customHeight="1">
      <c r="A2878" s="12">
        <v>2874.0</v>
      </c>
      <c r="B2878" s="13" t="s">
        <v>2825</v>
      </c>
      <c r="C2878" s="14" t="s">
        <v>2893</v>
      </c>
      <c r="D2878" s="1"/>
      <c r="E2878" s="1"/>
      <c r="F2878" s="1" t="str">
        <f>IFERROR(__xludf.DUMMYFUNCTION("GOOGLETRANSLATE(B2878, ""en"", ""fa"")
"),"آموزش و پرورش")</f>
        <v>آموزش و پرورش</v>
      </c>
      <c r="G2878" s="1" t="str">
        <f>IFERROR(__xludf.DUMMYFUNCTION("GOOGLETRANSLATE(C2878, ""en"", ""fa"")
"),"نقش سیاست های آموزشی در شکل دادن به شیوه های کلاس درس و نتایج دانش آموزان را تجزیه و تحلیل کنید.")</f>
        <v>نقش سیاست های آموزشی در شکل دادن به شیوه های کلاس درس و نتایج دانش آموزان را تجزیه و تحلیل کنید.</v>
      </c>
      <c r="H2878" s="1"/>
      <c r="I2878" s="1"/>
      <c r="J2878" s="1"/>
      <c r="K2878" s="1"/>
      <c r="L2878" s="1"/>
      <c r="M2878" s="1"/>
      <c r="N2878" s="1"/>
      <c r="O2878" s="1"/>
      <c r="P2878" s="1"/>
      <c r="Q2878" s="1"/>
      <c r="R2878" s="1"/>
      <c r="S2878" s="1"/>
      <c r="T2878" s="1"/>
      <c r="U2878" s="1"/>
      <c r="V2878" s="1"/>
      <c r="W2878" s="1"/>
      <c r="X2878" s="1"/>
      <c r="Y2878" s="1"/>
      <c r="Z2878" s="1"/>
      <c r="AA2878" s="1"/>
      <c r="AB2878" s="1"/>
    </row>
    <row r="2879" ht="50.25" customHeight="1">
      <c r="A2879" s="12">
        <v>2875.0</v>
      </c>
      <c r="B2879" s="13" t="s">
        <v>2825</v>
      </c>
      <c r="C2879" s="14" t="s">
        <v>2894</v>
      </c>
      <c r="D2879" s="1"/>
      <c r="E2879" s="1"/>
      <c r="F2879" s="1" t="str">
        <f>IFERROR(__xludf.DUMMYFUNCTION("GOOGLETRANSLATE(B2879, ""en"", ""fa"")
"),"آموزش و پرورش")</f>
        <v>آموزش و پرورش</v>
      </c>
      <c r="G2879" s="1" t="str">
        <f>IFERROR(__xludf.DUMMYFUNCTION("GOOGLETRANSLATE(C2879, ""en"", ""fa"")
"),"مزایای استفاده از ابزارهای فناوری برای ارزیابی تکوینی و بازخورد به موقع را بررسی کنید.")</f>
        <v>مزایای استفاده از ابزارهای فناوری برای ارزیابی تکوینی و بازخورد به موقع را بررسی کنید.</v>
      </c>
      <c r="H2879" s="1"/>
      <c r="I2879" s="1"/>
      <c r="J2879" s="1"/>
      <c r="K2879" s="1"/>
      <c r="L2879" s="1"/>
      <c r="M2879" s="1"/>
      <c r="N2879" s="1"/>
      <c r="O2879" s="1"/>
      <c r="P2879" s="1"/>
      <c r="Q2879" s="1"/>
      <c r="R2879" s="1"/>
      <c r="S2879" s="1"/>
      <c r="T2879" s="1"/>
      <c r="U2879" s="1"/>
      <c r="V2879" s="1"/>
      <c r="W2879" s="1"/>
      <c r="X2879" s="1"/>
      <c r="Y2879" s="1"/>
      <c r="Z2879" s="1"/>
      <c r="AA2879" s="1"/>
      <c r="AB2879" s="1"/>
    </row>
    <row r="2880" ht="50.25" customHeight="1">
      <c r="A2880" s="12">
        <v>2876.0</v>
      </c>
      <c r="B2880" s="13" t="s">
        <v>2825</v>
      </c>
      <c r="C2880" s="14" t="s">
        <v>2895</v>
      </c>
      <c r="D2880" s="1"/>
      <c r="E2880" s="1"/>
      <c r="F2880" s="1" t="str">
        <f>IFERROR(__xludf.DUMMYFUNCTION("GOOGLETRANSLATE(B2880, ""en"", ""fa"")
"),"آموزش و پرورش")</f>
        <v>آموزش و پرورش</v>
      </c>
      <c r="G2880" s="1" t="str">
        <f>IFERROR(__xludf.DUMMYFUNCTION("GOOGLETRANSLATE(C2880, ""en"", ""fa"")
"),"درباره تأثیر برنامه درسی فراگیر و ادبیات متنوع در ارتقای درک فرهنگی و همدلی بحث کنید.")</f>
        <v>درباره تأثیر برنامه درسی فراگیر و ادبیات متنوع در ارتقای درک فرهنگی و همدلی بحث کنید.</v>
      </c>
      <c r="H2880" s="1"/>
      <c r="I2880" s="1"/>
      <c r="J2880" s="1"/>
      <c r="K2880" s="1"/>
      <c r="L2880" s="1"/>
      <c r="M2880" s="1"/>
      <c r="N2880" s="1"/>
      <c r="O2880" s="1"/>
      <c r="P2880" s="1"/>
      <c r="Q2880" s="1"/>
      <c r="R2880" s="1"/>
      <c r="S2880" s="1"/>
      <c r="T2880" s="1"/>
      <c r="U2880" s="1"/>
      <c r="V2880" s="1"/>
      <c r="W2880" s="1"/>
      <c r="X2880" s="1"/>
      <c r="Y2880" s="1"/>
      <c r="Z2880" s="1"/>
      <c r="AA2880" s="1"/>
      <c r="AB2880" s="1"/>
    </row>
    <row r="2881" ht="50.25" customHeight="1">
      <c r="A2881" s="12">
        <v>2877.0</v>
      </c>
      <c r="B2881" s="13" t="s">
        <v>2825</v>
      </c>
      <c r="C2881" s="14" t="s">
        <v>2896</v>
      </c>
      <c r="D2881" s="1"/>
      <c r="E2881" s="1"/>
      <c r="F2881" s="1" t="str">
        <f>IFERROR(__xludf.DUMMYFUNCTION("GOOGLETRANSLATE(B2881, ""en"", ""fa"")
"),"آموزش و پرورش")</f>
        <v>آموزش و پرورش</v>
      </c>
      <c r="G2881" s="1" t="str">
        <f>IFERROR(__xludf.DUMMYFUNCTION("GOOGLETRANSLATE(C2881, ""en"", ""fa"")
"),"مزایای آموزش بین رشته ای را در تقویت ارتباطات و درک عمیق تر در زمینه های موضوعی تجزیه و تحلیل کنید.")</f>
        <v>مزایای آموزش بین رشته ای را در تقویت ارتباطات و درک عمیق تر در زمینه های موضوعی تجزیه و تحلیل کنید.</v>
      </c>
      <c r="H2881" s="1"/>
      <c r="I2881" s="1"/>
      <c r="J2881" s="1"/>
      <c r="K2881" s="1"/>
      <c r="L2881" s="1"/>
      <c r="M2881" s="1"/>
      <c r="N2881" s="1"/>
      <c r="O2881" s="1"/>
      <c r="P2881" s="1"/>
      <c r="Q2881" s="1"/>
      <c r="R2881" s="1"/>
      <c r="S2881" s="1"/>
      <c r="T2881" s="1"/>
      <c r="U2881" s="1"/>
      <c r="V2881" s="1"/>
      <c r="W2881" s="1"/>
      <c r="X2881" s="1"/>
      <c r="Y2881" s="1"/>
      <c r="Z2881" s="1"/>
      <c r="AA2881" s="1"/>
      <c r="AB2881" s="1"/>
    </row>
    <row r="2882" ht="50.25" customHeight="1">
      <c r="A2882" s="12">
        <v>2878.0</v>
      </c>
      <c r="B2882" s="13" t="s">
        <v>2825</v>
      </c>
      <c r="C2882" s="14" t="s">
        <v>2897</v>
      </c>
      <c r="D2882" s="1"/>
      <c r="E2882" s="1"/>
      <c r="F2882" s="1" t="str">
        <f>IFERROR(__xludf.DUMMYFUNCTION("GOOGLETRANSLATE(B2882, ""en"", ""fa"")
"),"آموزش و پرورش")</f>
        <v>آموزش و پرورش</v>
      </c>
      <c r="G2882" s="1" t="str">
        <f>IFERROR(__xludf.DUMMYFUNCTION("GOOGLETRANSLATE(C2882, ""en"", ""fa"")
"),"نقش تحقیقات آموزشی در اطلاع رسانی شیوه های آموزشی مبتنی بر شواهد را بررسی کنید.")</f>
        <v>نقش تحقیقات آموزشی در اطلاع رسانی شیوه های آموزشی مبتنی بر شواهد را بررسی کنید.</v>
      </c>
      <c r="H2882" s="1"/>
      <c r="I2882" s="1"/>
      <c r="J2882" s="1"/>
      <c r="K2882" s="1"/>
      <c r="L2882" s="1"/>
      <c r="M2882" s="1"/>
      <c r="N2882" s="1"/>
      <c r="O2882" s="1"/>
      <c r="P2882" s="1"/>
      <c r="Q2882" s="1"/>
      <c r="R2882" s="1"/>
      <c r="S2882" s="1"/>
      <c r="T2882" s="1"/>
      <c r="U2882" s="1"/>
      <c r="V2882" s="1"/>
      <c r="W2882" s="1"/>
      <c r="X2882" s="1"/>
      <c r="Y2882" s="1"/>
      <c r="Z2882" s="1"/>
      <c r="AA2882" s="1"/>
      <c r="AB2882" s="1"/>
    </row>
    <row r="2883" ht="50.25" customHeight="1">
      <c r="A2883" s="12">
        <v>2879.0</v>
      </c>
      <c r="B2883" s="13" t="s">
        <v>2825</v>
      </c>
      <c r="C2883" s="14" t="s">
        <v>2898</v>
      </c>
      <c r="D2883" s="1"/>
      <c r="E2883" s="1"/>
      <c r="F2883" s="1" t="str">
        <f>IFERROR(__xludf.DUMMYFUNCTION("GOOGLETRANSLATE(B2883, ""en"", ""fa"")
"),"آموزش و پرورش")</f>
        <v>آموزش و پرورش</v>
      </c>
      <c r="G2883" s="1" t="str">
        <f>IFERROR(__xludf.DUMMYFUNCTION("GOOGLETRANSLATE(C2883, ""en"", ""fa"")
"),"در مورد مزایای برنامه های یادگیری اجتماعی-عاطفی در ارتقای جو مثبت مدرسه و رفاه دانش آموزان بحث کنید.")</f>
        <v>در مورد مزایای برنامه های یادگیری اجتماعی-عاطفی در ارتقای جو مثبت مدرسه و رفاه دانش آموزان بحث کنید.</v>
      </c>
      <c r="H2883" s="1"/>
      <c r="I2883" s="1"/>
      <c r="J2883" s="1"/>
      <c r="K2883" s="1"/>
      <c r="L2883" s="1"/>
      <c r="M2883" s="1"/>
      <c r="N2883" s="1"/>
      <c r="O2883" s="1"/>
      <c r="P2883" s="1"/>
      <c r="Q2883" s="1"/>
      <c r="R2883" s="1"/>
      <c r="S2883" s="1"/>
      <c r="T2883" s="1"/>
      <c r="U2883" s="1"/>
      <c r="V2883" s="1"/>
      <c r="W2883" s="1"/>
      <c r="X2883" s="1"/>
      <c r="Y2883" s="1"/>
      <c r="Z2883" s="1"/>
      <c r="AA2883" s="1"/>
      <c r="AB2883" s="1"/>
    </row>
    <row r="2884" ht="50.25" customHeight="1">
      <c r="A2884" s="12">
        <v>2880.0</v>
      </c>
      <c r="B2884" s="13" t="s">
        <v>2825</v>
      </c>
      <c r="C2884" s="14" t="s">
        <v>2899</v>
      </c>
      <c r="D2884" s="1"/>
      <c r="E2884" s="1"/>
      <c r="F2884" s="1" t="str">
        <f>IFERROR(__xludf.DUMMYFUNCTION("GOOGLETRANSLATE(B2884, ""en"", ""fa"")
"),"آموزش و پرورش")</f>
        <v>آموزش و پرورش</v>
      </c>
      <c r="G2884" s="1" t="str">
        <f>IFERROR(__xludf.DUMMYFUNCTION("GOOGLETRANSLATE(C2884, ""en"", ""fa"")
"),"تأثیر برابری آموزشی و دسترسی بر پیشرفت دانش آموزان و نتایج آموزشی را تجزیه و تحلیل کنید.")</f>
        <v>تأثیر برابری آموزشی و دسترسی بر پیشرفت دانش آموزان و نتایج آموزشی را تجزیه و تحلیل کنید.</v>
      </c>
      <c r="H2884" s="1"/>
      <c r="I2884" s="1"/>
      <c r="J2884" s="1"/>
      <c r="K2884" s="1"/>
      <c r="L2884" s="1"/>
      <c r="M2884" s="1"/>
      <c r="N2884" s="1"/>
      <c r="O2884" s="1"/>
      <c r="P2884" s="1"/>
      <c r="Q2884" s="1"/>
      <c r="R2884" s="1"/>
      <c r="S2884" s="1"/>
      <c r="T2884" s="1"/>
      <c r="U2884" s="1"/>
      <c r="V2884" s="1"/>
      <c r="W2884" s="1"/>
      <c r="X2884" s="1"/>
      <c r="Y2884" s="1"/>
      <c r="Z2884" s="1"/>
      <c r="AA2884" s="1"/>
      <c r="AB2884" s="1"/>
    </row>
    <row r="2885" ht="50.25" customHeight="1">
      <c r="A2885" s="12">
        <v>2881.0</v>
      </c>
      <c r="B2885" s="13" t="s">
        <v>2825</v>
      </c>
      <c r="C2885" s="14" t="s">
        <v>2900</v>
      </c>
      <c r="D2885" s="1"/>
      <c r="E2885" s="1"/>
      <c r="F2885" s="1" t="str">
        <f>IFERROR(__xludf.DUMMYFUNCTION("GOOGLETRANSLATE(B2885, ""en"", ""fa"")
"),"آموزش و پرورش")</f>
        <v>آموزش و پرورش</v>
      </c>
      <c r="G2885" s="1" t="str">
        <f>IFERROR(__xludf.DUMMYFUNCTION("GOOGLETRANSLATE(C2885, ""en"", ""fa"")
"),"مزایای فرصت های یادگیری تجربی، مانند سفرهای میدانی و فعالیت های عملی را کاوش کنید.")</f>
        <v>مزایای فرصت های یادگیری تجربی، مانند سفرهای میدانی و فعالیت های عملی را کاوش کنید.</v>
      </c>
      <c r="H2885" s="1"/>
      <c r="I2885" s="1"/>
      <c r="J2885" s="1"/>
      <c r="K2885" s="1"/>
      <c r="L2885" s="1"/>
      <c r="M2885" s="1"/>
      <c r="N2885" s="1"/>
      <c r="O2885" s="1"/>
      <c r="P2885" s="1"/>
      <c r="Q2885" s="1"/>
      <c r="R2885" s="1"/>
      <c r="S2885" s="1"/>
      <c r="T2885" s="1"/>
      <c r="U2885" s="1"/>
      <c r="V2885" s="1"/>
      <c r="W2885" s="1"/>
      <c r="X2885" s="1"/>
      <c r="Y2885" s="1"/>
      <c r="Z2885" s="1"/>
      <c r="AA2885" s="1"/>
      <c r="AB2885" s="1"/>
    </row>
    <row r="2886" ht="50.25" customHeight="1">
      <c r="A2886" s="12">
        <v>2882.0</v>
      </c>
      <c r="B2886" s="13" t="s">
        <v>2825</v>
      </c>
      <c r="C2886" s="14" t="s">
        <v>2901</v>
      </c>
      <c r="D2886" s="1"/>
      <c r="E2886" s="1"/>
      <c r="F2886" s="1" t="str">
        <f>IFERROR(__xludf.DUMMYFUNCTION("GOOGLETRANSLATE(B2886, ""en"", ""fa"")
"),"آموزش و پرورش")</f>
        <v>آموزش و پرورش</v>
      </c>
      <c r="G2886" s="1" t="str">
        <f>IFERROR(__xludf.DUMMYFUNCTION("GOOGLETRANSLATE(C2886, ""en"", ""fa"")
"),"در مورد نقش توسعه حرفه ای در حمایت از رشد معلم و بهبود آموزشی بحث کنید.")</f>
        <v>در مورد نقش توسعه حرفه ای در حمایت از رشد معلم و بهبود آموزشی بحث کنید.</v>
      </c>
      <c r="H2886" s="1"/>
      <c r="I2886" s="1"/>
      <c r="J2886" s="1"/>
      <c r="K2886" s="1"/>
      <c r="L2886" s="1"/>
      <c r="M2886" s="1"/>
      <c r="N2886" s="1"/>
      <c r="O2886" s="1"/>
      <c r="P2886" s="1"/>
      <c r="Q2886" s="1"/>
      <c r="R2886" s="1"/>
      <c r="S2886" s="1"/>
      <c r="T2886" s="1"/>
      <c r="U2886" s="1"/>
      <c r="V2886" s="1"/>
      <c r="W2886" s="1"/>
      <c r="X2886" s="1"/>
      <c r="Y2886" s="1"/>
      <c r="Z2886" s="1"/>
      <c r="AA2886" s="1"/>
      <c r="AB2886" s="1"/>
    </row>
    <row r="2887" ht="50.25" customHeight="1">
      <c r="A2887" s="12">
        <v>2883.0</v>
      </c>
      <c r="B2887" s="13" t="s">
        <v>2825</v>
      </c>
      <c r="C2887" s="14" t="s">
        <v>2902</v>
      </c>
      <c r="D2887" s="1"/>
      <c r="E2887" s="1"/>
      <c r="F2887" s="1" t="str">
        <f>IFERROR(__xludf.DUMMYFUNCTION("GOOGLETRANSLATE(B2887, ""en"", ""fa"")
"),"آموزش و پرورش")</f>
        <v>آموزش و پرورش</v>
      </c>
      <c r="G2887" s="1" t="str">
        <f>IFERROR(__xludf.DUMMYFUNCTION("GOOGLETRANSLATE(C2887, ""en"", ""fa"")
"),"مزایای مدل های کلاس درس معکوس را در ترویج مشارکت فعال دانش آموزان و یادگیری مستقل تجزیه و تحلیل کنید.")</f>
        <v>مزایای مدل های کلاس درس معکوس را در ترویج مشارکت فعال دانش آموزان و یادگیری مستقل تجزیه و تحلیل کنید.</v>
      </c>
      <c r="H2887" s="1"/>
      <c r="I2887" s="1"/>
      <c r="J2887" s="1"/>
      <c r="K2887" s="1"/>
      <c r="L2887" s="1"/>
      <c r="M2887" s="1"/>
      <c r="N2887" s="1"/>
      <c r="O2887" s="1"/>
      <c r="P2887" s="1"/>
      <c r="Q2887" s="1"/>
      <c r="R2887" s="1"/>
      <c r="S2887" s="1"/>
      <c r="T2887" s="1"/>
      <c r="U2887" s="1"/>
      <c r="V2887" s="1"/>
      <c r="W2887" s="1"/>
      <c r="X2887" s="1"/>
      <c r="Y2887" s="1"/>
      <c r="Z2887" s="1"/>
      <c r="AA2887" s="1"/>
      <c r="AB2887" s="1"/>
    </row>
    <row r="2888" ht="50.25" customHeight="1">
      <c r="A2888" s="12">
        <v>2884.0</v>
      </c>
      <c r="B2888" s="13" t="s">
        <v>2825</v>
      </c>
      <c r="C2888" s="14" t="s">
        <v>2903</v>
      </c>
      <c r="D2888" s="1"/>
      <c r="E2888" s="1"/>
      <c r="F2888" s="1" t="str">
        <f>IFERROR(__xludf.DUMMYFUNCTION("GOOGLETRANSLATE(B2888, ""en"", ""fa"")
"),"آموزش و پرورش")</f>
        <v>آموزش و پرورش</v>
      </c>
      <c r="G2888" s="1" t="str">
        <f>IFERROR(__xludf.DUMMYFUNCTION("GOOGLETRANSLATE(C2888, ""en"", ""fa"")
"),"تأثیر برنامه درسی پاسخگوی فرهنگی بر مشارکت دانش‌آموزان و موفقیت تحصیلی را بررسی کنید.")</f>
        <v>تأثیر برنامه درسی پاسخگوی فرهنگی بر مشارکت دانش‌آموزان و موفقیت تحصیلی را بررسی کنید.</v>
      </c>
      <c r="H2888" s="1"/>
      <c r="I2888" s="1"/>
      <c r="J2888" s="1"/>
      <c r="K2888" s="1"/>
      <c r="L2888" s="1"/>
      <c r="M2888" s="1"/>
      <c r="N2888" s="1"/>
      <c r="O2888" s="1"/>
      <c r="P2888" s="1"/>
      <c r="Q2888" s="1"/>
      <c r="R2888" s="1"/>
      <c r="S2888" s="1"/>
      <c r="T2888" s="1"/>
      <c r="U2888" s="1"/>
      <c r="V2888" s="1"/>
      <c r="W2888" s="1"/>
      <c r="X2888" s="1"/>
      <c r="Y2888" s="1"/>
      <c r="Z2888" s="1"/>
      <c r="AA2888" s="1"/>
      <c r="AB2888" s="1"/>
    </row>
    <row r="2889" ht="50.25" customHeight="1">
      <c r="A2889" s="12">
        <v>2885.0</v>
      </c>
      <c r="B2889" s="13" t="s">
        <v>2825</v>
      </c>
      <c r="C2889" s="14" t="s">
        <v>2904</v>
      </c>
      <c r="D2889" s="1"/>
      <c r="E2889" s="1"/>
      <c r="F2889" s="1" t="str">
        <f>IFERROR(__xludf.DUMMYFUNCTION("GOOGLETRANSLATE(B2889, ""en"", ""fa"")
"),"آموزش و پرورش")</f>
        <v>آموزش و پرورش</v>
      </c>
      <c r="G2889" s="1" t="str">
        <f>IFERROR(__xludf.DUMMYFUNCTION("GOOGLETRANSLATE(C2889, ""en"", ""fa"")
"),"در مورد مزایای ادغام فناوری در آموزش ویژه برای حمایت از یادگیری و ارتباطات فردی بحث کنید.")</f>
        <v>در مورد مزایای ادغام فناوری در آموزش ویژه برای حمایت از یادگیری و ارتباطات فردی بحث کنید.</v>
      </c>
      <c r="H2889" s="1"/>
      <c r="I2889" s="1"/>
      <c r="J2889" s="1"/>
      <c r="K2889" s="1"/>
      <c r="L2889" s="1"/>
      <c r="M2889" s="1"/>
      <c r="N2889" s="1"/>
      <c r="O2889" s="1"/>
      <c r="P2889" s="1"/>
      <c r="Q2889" s="1"/>
      <c r="R2889" s="1"/>
      <c r="S2889" s="1"/>
      <c r="T2889" s="1"/>
      <c r="U2889" s="1"/>
      <c r="V2889" s="1"/>
      <c r="W2889" s="1"/>
      <c r="X2889" s="1"/>
      <c r="Y2889" s="1"/>
      <c r="Z2889" s="1"/>
      <c r="AA2889" s="1"/>
      <c r="AB2889" s="1"/>
    </row>
    <row r="2890" ht="50.25" customHeight="1">
      <c r="A2890" s="12">
        <v>2886.0</v>
      </c>
      <c r="B2890" s="13" t="s">
        <v>2825</v>
      </c>
      <c r="C2890" s="14" t="s">
        <v>2905</v>
      </c>
      <c r="D2890" s="1"/>
      <c r="E2890" s="1"/>
      <c r="F2890" s="1" t="str">
        <f>IFERROR(__xludf.DUMMYFUNCTION("GOOGLETRANSLATE(B2890, ""en"", ""fa"")
"),"آموزش و پرورش")</f>
        <v>آموزش و پرورش</v>
      </c>
      <c r="G2890" s="1" t="str">
        <f>IFERROR(__xludf.DUMMYFUNCTION("GOOGLETRANSLATE(C2890, ""en"", ""fa"")
"),"نقش ارزشیابی برای یادگیری را در ارتقای خود اندیشی و مهارت های فراشناختی دانش آموز تحلیل کنید.")</f>
        <v>نقش ارزشیابی برای یادگیری را در ارتقای خود اندیشی و مهارت های فراشناختی دانش آموز تحلیل کنید.</v>
      </c>
      <c r="H2890" s="1"/>
      <c r="I2890" s="1"/>
      <c r="J2890" s="1"/>
      <c r="K2890" s="1"/>
      <c r="L2890" s="1"/>
      <c r="M2890" s="1"/>
      <c r="N2890" s="1"/>
      <c r="O2890" s="1"/>
      <c r="P2890" s="1"/>
      <c r="Q2890" s="1"/>
      <c r="R2890" s="1"/>
      <c r="S2890" s="1"/>
      <c r="T2890" s="1"/>
      <c r="U2890" s="1"/>
      <c r="V2890" s="1"/>
      <c r="W2890" s="1"/>
      <c r="X2890" s="1"/>
      <c r="Y2890" s="1"/>
      <c r="Z2890" s="1"/>
      <c r="AA2890" s="1"/>
      <c r="AB2890" s="1"/>
    </row>
    <row r="2891" ht="50.25" customHeight="1">
      <c r="A2891" s="12">
        <v>2887.0</v>
      </c>
      <c r="B2891" s="13" t="s">
        <v>2825</v>
      </c>
      <c r="C2891" s="14" t="s">
        <v>2906</v>
      </c>
      <c r="D2891" s="1"/>
      <c r="E2891" s="1"/>
      <c r="F2891" s="1" t="str">
        <f>IFERROR(__xludf.DUMMYFUNCTION("GOOGLETRANSLATE(B2891, ""en"", ""fa"")
"),"آموزش و پرورش")</f>
        <v>آموزش و پرورش</v>
      </c>
      <c r="G2891" s="1" t="str">
        <f>IFERROR(__xludf.DUMMYFUNCTION("GOOGLETRANSLATE(C2891, ""en"", ""fa"")
"),"مزایای آموزش جهانی را در تقویت آگاهی فرهنگی و آماده سازی دانش آموزان برای دنیای جهانی شده بررسی کنید.")</f>
        <v>مزایای آموزش جهانی را در تقویت آگاهی فرهنگی و آماده سازی دانش آموزان برای دنیای جهانی شده بررسی کنید.</v>
      </c>
      <c r="H2891" s="1"/>
      <c r="I2891" s="1"/>
      <c r="J2891" s="1"/>
      <c r="K2891" s="1"/>
      <c r="L2891" s="1"/>
      <c r="M2891" s="1"/>
      <c r="N2891" s="1"/>
      <c r="O2891" s="1"/>
      <c r="P2891" s="1"/>
      <c r="Q2891" s="1"/>
      <c r="R2891" s="1"/>
      <c r="S2891" s="1"/>
      <c r="T2891" s="1"/>
      <c r="U2891" s="1"/>
      <c r="V2891" s="1"/>
      <c r="W2891" s="1"/>
      <c r="X2891" s="1"/>
      <c r="Y2891" s="1"/>
      <c r="Z2891" s="1"/>
      <c r="AA2891" s="1"/>
      <c r="AB2891" s="1"/>
    </row>
    <row r="2892" ht="50.25" customHeight="1">
      <c r="A2892" s="12">
        <v>2888.0</v>
      </c>
      <c r="B2892" s="13" t="s">
        <v>2825</v>
      </c>
      <c r="C2892" s="14" t="s">
        <v>2907</v>
      </c>
      <c r="D2892" s="1"/>
      <c r="E2892" s="1"/>
      <c r="F2892" s="1" t="str">
        <f>IFERROR(__xludf.DUMMYFUNCTION("GOOGLETRANSLATE(B2892, ""en"", ""fa"")
"),"آموزش و پرورش")</f>
        <v>آموزش و پرورش</v>
      </c>
      <c r="G2892" s="1" t="str">
        <f>IFERROR(__xludf.DUMMYFUNCTION("GOOGLETRANSLATE(C2892, ""en"", ""fa"")
"),"در مورد تأثیر یادگیری اجتماعی-عاطفی بر رفتار و انضباط دانش آموزان در مدارس بحث کنید.")</f>
        <v>در مورد تأثیر یادگیری اجتماعی-عاطفی بر رفتار و انضباط دانش آموزان در مدارس بحث کنید.</v>
      </c>
      <c r="H2892" s="1"/>
      <c r="I2892" s="1"/>
      <c r="J2892" s="1"/>
      <c r="K2892" s="1"/>
      <c r="L2892" s="1"/>
      <c r="M2892" s="1"/>
      <c r="N2892" s="1"/>
      <c r="O2892" s="1"/>
      <c r="P2892" s="1"/>
      <c r="Q2892" s="1"/>
      <c r="R2892" s="1"/>
      <c r="S2892" s="1"/>
      <c r="T2892" s="1"/>
      <c r="U2892" s="1"/>
      <c r="V2892" s="1"/>
      <c r="W2892" s="1"/>
      <c r="X2892" s="1"/>
      <c r="Y2892" s="1"/>
      <c r="Z2892" s="1"/>
      <c r="AA2892" s="1"/>
      <c r="AB2892" s="1"/>
    </row>
    <row r="2893" ht="50.25" customHeight="1">
      <c r="A2893" s="12">
        <v>2889.0</v>
      </c>
      <c r="B2893" s="13" t="s">
        <v>2825</v>
      </c>
      <c r="C2893" s="14" t="s">
        <v>2908</v>
      </c>
      <c r="D2893" s="1"/>
      <c r="E2893" s="1"/>
      <c r="F2893" s="1" t="str">
        <f>IFERROR(__xludf.DUMMYFUNCTION("GOOGLETRANSLATE(B2893, ""en"", ""fa"")
"),"آموزش و پرورش")</f>
        <v>آموزش و پرورش</v>
      </c>
      <c r="G2893" s="1" t="str">
        <f>IFERROR(__xludf.DUMMYFUNCTION("GOOGLETRANSLATE(C2893, ""en"", ""fa"")
"),"تجزیه و تحلیل مزایای آموزش در فضای باز در تقویت سرپرستی محیط زیست و توسعه جامع دانش آموزان.")</f>
        <v>تجزیه و تحلیل مزایای آموزش در فضای باز در تقویت سرپرستی محیط زیست و توسعه جامع دانش آموزان.</v>
      </c>
      <c r="H2893" s="1"/>
      <c r="I2893" s="1"/>
      <c r="J2893" s="1"/>
      <c r="K2893" s="1"/>
      <c r="L2893" s="1"/>
      <c r="M2893" s="1"/>
      <c r="N2893" s="1"/>
      <c r="O2893" s="1"/>
      <c r="P2893" s="1"/>
      <c r="Q2893" s="1"/>
      <c r="R2893" s="1"/>
      <c r="S2893" s="1"/>
      <c r="T2893" s="1"/>
      <c r="U2893" s="1"/>
      <c r="V2893" s="1"/>
      <c r="W2893" s="1"/>
      <c r="X2893" s="1"/>
      <c r="Y2893" s="1"/>
      <c r="Z2893" s="1"/>
      <c r="AA2893" s="1"/>
      <c r="AB2893" s="1"/>
    </row>
    <row r="2894" ht="50.25" customHeight="1">
      <c r="A2894" s="12">
        <v>2890.0</v>
      </c>
      <c r="B2894" s="13" t="s">
        <v>2825</v>
      </c>
      <c r="C2894" s="14" t="s">
        <v>2909</v>
      </c>
      <c r="D2894" s="1"/>
      <c r="E2894" s="1"/>
      <c r="F2894" s="1" t="str">
        <f>IFERROR(__xludf.DUMMYFUNCTION("GOOGLETRANSLATE(B2894, ""en"", ""fa"")
"),"آموزش و پرورش")</f>
        <v>آموزش و پرورش</v>
      </c>
      <c r="G2894" s="1" t="str">
        <f>IFERROR(__xludf.DUMMYFUNCTION("GOOGLETRANSLATE(C2894, ""en"", ""fa"")
"),"نقش یادگیری مبتنی بر پروژه را در توسعه تفکر انتقادی و مهارت های حل مسئله بررسی کنید.")</f>
        <v>نقش یادگیری مبتنی بر پروژه را در توسعه تفکر انتقادی و مهارت های حل مسئله بررسی کنید.</v>
      </c>
      <c r="H2894" s="1"/>
      <c r="I2894" s="1"/>
      <c r="J2894" s="1"/>
      <c r="K2894" s="1"/>
      <c r="L2894" s="1"/>
      <c r="M2894" s="1"/>
      <c r="N2894" s="1"/>
      <c r="O2894" s="1"/>
      <c r="P2894" s="1"/>
      <c r="Q2894" s="1"/>
      <c r="R2894" s="1"/>
      <c r="S2894" s="1"/>
      <c r="T2894" s="1"/>
      <c r="U2894" s="1"/>
      <c r="V2894" s="1"/>
      <c r="W2894" s="1"/>
      <c r="X2894" s="1"/>
      <c r="Y2894" s="1"/>
      <c r="Z2894" s="1"/>
      <c r="AA2894" s="1"/>
      <c r="AB2894" s="1"/>
    </row>
    <row r="2895" ht="50.25" customHeight="1">
      <c r="A2895" s="12">
        <v>2891.0</v>
      </c>
      <c r="B2895" s="13" t="s">
        <v>2825</v>
      </c>
      <c r="C2895" s="14" t="s">
        <v>2910</v>
      </c>
      <c r="D2895" s="1"/>
      <c r="E2895" s="1"/>
      <c r="F2895" s="1" t="str">
        <f>IFERROR(__xludf.DUMMYFUNCTION("GOOGLETRANSLATE(B2895, ""en"", ""fa"")
"),"آموزش و پرورش")</f>
        <v>آموزش و پرورش</v>
      </c>
      <c r="G2895" s="1" t="str">
        <f>IFERROR(__xludf.DUMMYFUNCTION("GOOGLETRANSLATE(C2895, ""en"", ""fa"")
"),"در مورد مزایای ترویج شهروندی دیجیتال و ایمنی آنلاین در محیط های آموزشی بحث کنید.")</f>
        <v>در مورد مزایای ترویج شهروندی دیجیتال و ایمنی آنلاین در محیط های آموزشی بحث کنید.</v>
      </c>
      <c r="H2895" s="1"/>
      <c r="I2895" s="1"/>
      <c r="J2895" s="1"/>
      <c r="K2895" s="1"/>
      <c r="L2895" s="1"/>
      <c r="M2895" s="1"/>
      <c r="N2895" s="1"/>
      <c r="O2895" s="1"/>
      <c r="P2895" s="1"/>
      <c r="Q2895" s="1"/>
      <c r="R2895" s="1"/>
      <c r="S2895" s="1"/>
      <c r="T2895" s="1"/>
      <c r="U2895" s="1"/>
      <c r="V2895" s="1"/>
      <c r="W2895" s="1"/>
      <c r="X2895" s="1"/>
      <c r="Y2895" s="1"/>
      <c r="Z2895" s="1"/>
      <c r="AA2895" s="1"/>
      <c r="AB2895" s="1"/>
    </row>
    <row r="2896" ht="50.25" customHeight="1">
      <c r="A2896" s="12">
        <v>2892.0</v>
      </c>
      <c r="B2896" s="13" t="s">
        <v>2825</v>
      </c>
      <c r="C2896" s="14" t="s">
        <v>2911</v>
      </c>
      <c r="D2896" s="1"/>
      <c r="E2896" s="1"/>
      <c r="F2896" s="1" t="str">
        <f>IFERROR(__xludf.DUMMYFUNCTION("GOOGLETRANSLATE(B2896, ""en"", ""fa"")
"),"آموزش و پرورش")</f>
        <v>آموزش و پرورش</v>
      </c>
      <c r="G2896" s="1" t="str">
        <f>IFERROR(__xludf.DUMMYFUNCTION("GOOGLETRANSLATE(C2896, ""en"", ""fa"")
"),"تأثیر همکاری معلمان و جوامع یادگیری حرفه ای بر روی شیوه های آموزشی و پیشرفت دانش آموزان را تجزیه و تحلیل کنید.")</f>
        <v>تأثیر همکاری معلمان و جوامع یادگیری حرفه ای بر روی شیوه های آموزشی و پیشرفت دانش آموزان را تجزیه و تحلیل کنید.</v>
      </c>
      <c r="H2896" s="1"/>
      <c r="I2896" s="1"/>
      <c r="J2896" s="1"/>
      <c r="K2896" s="1"/>
      <c r="L2896" s="1"/>
      <c r="M2896" s="1"/>
      <c r="N2896" s="1"/>
      <c r="O2896" s="1"/>
      <c r="P2896" s="1"/>
      <c r="Q2896" s="1"/>
      <c r="R2896" s="1"/>
      <c r="S2896" s="1"/>
      <c r="T2896" s="1"/>
      <c r="U2896" s="1"/>
      <c r="V2896" s="1"/>
      <c r="W2896" s="1"/>
      <c r="X2896" s="1"/>
      <c r="Y2896" s="1"/>
      <c r="Z2896" s="1"/>
      <c r="AA2896" s="1"/>
      <c r="AB2896" s="1"/>
    </row>
    <row r="2897" ht="50.25" customHeight="1">
      <c r="A2897" s="12">
        <v>2893.0</v>
      </c>
      <c r="B2897" s="13" t="s">
        <v>2825</v>
      </c>
      <c r="C2897" s="14" t="s">
        <v>2912</v>
      </c>
      <c r="D2897" s="1"/>
      <c r="E2897" s="1"/>
      <c r="F2897" s="1" t="str">
        <f>IFERROR(__xludf.DUMMYFUNCTION("GOOGLETRANSLATE(B2897, ""en"", ""fa"")
"),"آموزش و پرورش")</f>
        <v>آموزش و پرورش</v>
      </c>
      <c r="G2897" s="1" t="str">
        <f>IFERROR(__xludf.DUMMYFUNCTION("GOOGLETRANSLATE(C2897, ""en"", ""fa"")
"),"مزایای رویکردهای یادگیری ترکیبی، ترکیب آموزش آنلاین و حضوری را بررسی کنید.")</f>
        <v>مزایای رویکردهای یادگیری ترکیبی، ترکیب آموزش آنلاین و حضوری را بررسی کنید.</v>
      </c>
      <c r="H2897" s="1"/>
      <c r="I2897" s="1"/>
      <c r="J2897" s="1"/>
      <c r="K2897" s="1"/>
      <c r="L2897" s="1"/>
      <c r="M2897" s="1"/>
      <c r="N2897" s="1"/>
      <c r="O2897" s="1"/>
      <c r="P2897" s="1"/>
      <c r="Q2897" s="1"/>
      <c r="R2897" s="1"/>
      <c r="S2897" s="1"/>
      <c r="T2897" s="1"/>
      <c r="U2897" s="1"/>
      <c r="V2897" s="1"/>
      <c r="W2897" s="1"/>
      <c r="X2897" s="1"/>
      <c r="Y2897" s="1"/>
      <c r="Z2897" s="1"/>
      <c r="AA2897" s="1"/>
      <c r="AB2897" s="1"/>
    </row>
    <row r="2898" ht="50.25" customHeight="1">
      <c r="A2898" s="12">
        <v>2894.0</v>
      </c>
      <c r="B2898" s="13" t="s">
        <v>2825</v>
      </c>
      <c r="C2898" s="14" t="s">
        <v>2913</v>
      </c>
      <c r="D2898" s="1"/>
      <c r="E2898" s="1"/>
      <c r="F2898" s="1" t="str">
        <f>IFERROR(__xludf.DUMMYFUNCTION("GOOGLETRANSLATE(B2898, ""en"", ""fa"")
"),"آموزش و پرورش")</f>
        <v>آموزش و پرورش</v>
      </c>
      <c r="G2898" s="1" t="str">
        <f>IFERROR(__xludf.DUMMYFUNCTION("GOOGLETRANSLATE(C2898, ""en"", ""fa"")
"),"در مورد نقش کنفرانس های دانش آموزی در ترویج مالکیت یادگیری و خودارزیابی بحث کنید.")</f>
        <v>در مورد نقش کنفرانس های دانش آموزی در ترویج مالکیت یادگیری و خودارزیابی بحث کنید.</v>
      </c>
      <c r="H2898" s="1"/>
      <c r="I2898" s="1"/>
      <c r="J2898" s="1"/>
      <c r="K2898" s="1"/>
      <c r="L2898" s="1"/>
      <c r="M2898" s="1"/>
      <c r="N2898" s="1"/>
      <c r="O2898" s="1"/>
      <c r="P2898" s="1"/>
      <c r="Q2898" s="1"/>
      <c r="R2898" s="1"/>
      <c r="S2898" s="1"/>
      <c r="T2898" s="1"/>
      <c r="U2898" s="1"/>
      <c r="V2898" s="1"/>
      <c r="W2898" s="1"/>
      <c r="X2898" s="1"/>
      <c r="Y2898" s="1"/>
      <c r="Z2898" s="1"/>
      <c r="AA2898" s="1"/>
      <c r="AB2898" s="1"/>
    </row>
    <row r="2899" ht="50.25" customHeight="1">
      <c r="A2899" s="12">
        <v>2895.0</v>
      </c>
      <c r="B2899" s="13" t="s">
        <v>2825</v>
      </c>
      <c r="C2899" s="14" t="s">
        <v>2914</v>
      </c>
      <c r="D2899" s="1"/>
      <c r="E2899" s="1"/>
      <c r="F2899" s="1" t="str">
        <f>IFERROR(__xludf.DUMMYFUNCTION("GOOGLETRANSLATE(B2899, ""en"", ""fa"")
"),"آموزش و پرورش")</f>
        <v>آموزش و پرورش</v>
      </c>
      <c r="G2899" s="1" t="str">
        <f>IFERROR(__xludf.DUMMYFUNCTION("GOOGLETRANSLATE(C2899, ""en"", ""fa"")
"),"تجزیه و تحلیل مزایای شیوه های تدریس انعکاسی در بهبود اثربخشی آموزشی و نتایج یادگیری دانش آموزان.")</f>
        <v>تجزیه و تحلیل مزایای شیوه های تدریس انعکاسی در بهبود اثربخشی آموزشی و نتایج یادگیری دانش آموزان.</v>
      </c>
      <c r="H2899" s="1"/>
      <c r="I2899" s="1"/>
      <c r="J2899" s="1"/>
      <c r="K2899" s="1"/>
      <c r="L2899" s="1"/>
      <c r="M2899" s="1"/>
      <c r="N2899" s="1"/>
      <c r="O2899" s="1"/>
      <c r="P2899" s="1"/>
      <c r="Q2899" s="1"/>
      <c r="R2899" s="1"/>
      <c r="S2899" s="1"/>
      <c r="T2899" s="1"/>
      <c r="U2899" s="1"/>
      <c r="V2899" s="1"/>
      <c r="W2899" s="1"/>
      <c r="X2899" s="1"/>
      <c r="Y2899" s="1"/>
      <c r="Z2899" s="1"/>
      <c r="AA2899" s="1"/>
      <c r="AB2899" s="1"/>
    </row>
    <row r="2900" ht="50.25" customHeight="1">
      <c r="A2900" s="12">
        <v>2896.0</v>
      </c>
      <c r="B2900" s="13" t="s">
        <v>2825</v>
      </c>
      <c r="C2900" s="14" t="s">
        <v>2915</v>
      </c>
      <c r="D2900" s="1"/>
      <c r="E2900" s="1"/>
      <c r="F2900" s="1" t="str">
        <f>IFERROR(__xludf.DUMMYFUNCTION("GOOGLETRANSLATE(B2900, ""en"", ""fa"")
"),"آموزش و پرورش")</f>
        <v>آموزش و پرورش</v>
      </c>
      <c r="G2900" s="1" t="str">
        <f>IFERROR(__xludf.DUMMYFUNCTION("GOOGLETRANSLATE(C2900, ""en"", ""fa"")
"),"تأثیر آموزش فرهنگی پاسخگو بر انگیزه و مشارکت دانش آموزان را بررسی کنید.")</f>
        <v>تأثیر آموزش فرهنگی پاسخگو بر انگیزه و مشارکت دانش آموزان را بررسی کنید.</v>
      </c>
      <c r="H2900" s="1"/>
      <c r="I2900" s="1"/>
      <c r="J2900" s="1"/>
      <c r="K2900" s="1"/>
      <c r="L2900" s="1"/>
      <c r="M2900" s="1"/>
      <c r="N2900" s="1"/>
      <c r="O2900" s="1"/>
      <c r="P2900" s="1"/>
      <c r="Q2900" s="1"/>
      <c r="R2900" s="1"/>
      <c r="S2900" s="1"/>
      <c r="T2900" s="1"/>
      <c r="U2900" s="1"/>
      <c r="V2900" s="1"/>
      <c r="W2900" s="1"/>
      <c r="X2900" s="1"/>
      <c r="Y2900" s="1"/>
      <c r="Z2900" s="1"/>
      <c r="AA2900" s="1"/>
      <c r="AB2900" s="1"/>
    </row>
    <row r="2901" ht="50.25" customHeight="1">
      <c r="A2901" s="12">
        <v>2897.0</v>
      </c>
      <c r="B2901" s="13" t="s">
        <v>2825</v>
      </c>
      <c r="C2901" s="14" t="s">
        <v>2916</v>
      </c>
      <c r="D2901" s="1"/>
      <c r="E2901" s="1"/>
      <c r="F2901" s="1" t="str">
        <f>IFERROR(__xludf.DUMMYFUNCTION("GOOGLETRANSLATE(B2901, ""en"", ""fa"")
"),"آموزش و پرورش")</f>
        <v>آموزش و پرورش</v>
      </c>
      <c r="G2901" s="1" t="str">
        <f>IFERROR(__xludf.DUMMYFUNCTION("GOOGLETRANSLATE(C2901, ""en"", ""fa"")
"),"در مورد مزایای گنجاندن دیدگاه های جهانی و تنوع فرهنگی در برنامه درسی بحث کنید.")</f>
        <v>در مورد مزایای گنجاندن دیدگاه های جهانی و تنوع فرهنگی در برنامه درسی بحث کنید.</v>
      </c>
      <c r="H2901" s="1"/>
      <c r="I2901" s="1"/>
      <c r="J2901" s="1"/>
      <c r="K2901" s="1"/>
      <c r="L2901" s="1"/>
      <c r="M2901" s="1"/>
      <c r="N2901" s="1"/>
      <c r="O2901" s="1"/>
      <c r="P2901" s="1"/>
      <c r="Q2901" s="1"/>
      <c r="R2901" s="1"/>
      <c r="S2901" s="1"/>
      <c r="T2901" s="1"/>
      <c r="U2901" s="1"/>
      <c r="V2901" s="1"/>
      <c r="W2901" s="1"/>
      <c r="X2901" s="1"/>
      <c r="Y2901" s="1"/>
      <c r="Z2901" s="1"/>
      <c r="AA2901" s="1"/>
      <c r="AB2901" s="1"/>
    </row>
    <row r="2902" ht="50.25" customHeight="1">
      <c r="A2902" s="12">
        <v>2898.0</v>
      </c>
      <c r="B2902" s="13" t="s">
        <v>2825</v>
      </c>
      <c r="C2902" s="14" t="s">
        <v>2917</v>
      </c>
      <c r="D2902" s="1"/>
      <c r="E2902" s="1"/>
      <c r="F2902" s="1" t="str">
        <f>IFERROR(__xludf.DUMMYFUNCTION("GOOGLETRANSLATE(B2902, ""en"", ""fa"")
"),"آموزش و پرورش")</f>
        <v>آموزش و پرورش</v>
      </c>
      <c r="G2902" s="1" t="str">
        <f>IFERROR(__xludf.DUMMYFUNCTION("GOOGLETRANSLATE(C2902, ""en"", ""fa"")
"),"نقش رهبری آموزشی را در پرورش فرهنگ و جو مثبت مدرسه تجزیه و تحلیل کنید.")</f>
        <v>نقش رهبری آموزشی را در پرورش فرهنگ و جو مثبت مدرسه تجزیه و تحلیل کنید.</v>
      </c>
      <c r="H2902" s="1"/>
      <c r="I2902" s="1"/>
      <c r="J2902" s="1"/>
      <c r="K2902" s="1"/>
      <c r="L2902" s="1"/>
      <c r="M2902" s="1"/>
      <c r="N2902" s="1"/>
      <c r="O2902" s="1"/>
      <c r="P2902" s="1"/>
      <c r="Q2902" s="1"/>
      <c r="R2902" s="1"/>
      <c r="S2902" s="1"/>
      <c r="T2902" s="1"/>
      <c r="U2902" s="1"/>
      <c r="V2902" s="1"/>
      <c r="W2902" s="1"/>
      <c r="X2902" s="1"/>
      <c r="Y2902" s="1"/>
      <c r="Z2902" s="1"/>
      <c r="AA2902" s="1"/>
      <c r="AB2902" s="1"/>
    </row>
    <row r="2903" ht="50.25" customHeight="1">
      <c r="A2903" s="12">
        <v>2899.0</v>
      </c>
      <c r="B2903" s="13" t="s">
        <v>2825</v>
      </c>
      <c r="C2903" s="14" t="s">
        <v>2918</v>
      </c>
      <c r="D2903" s="1"/>
      <c r="E2903" s="1"/>
      <c r="F2903" s="1" t="str">
        <f>IFERROR(__xludf.DUMMYFUNCTION("GOOGLETRANSLATE(B2903, ""en"", ""fa"")
"),"آموزش و پرورش")</f>
        <v>آموزش و پرورش</v>
      </c>
      <c r="G2903" s="1" t="str">
        <f>IFERROR(__xludf.DUMMYFUNCTION("GOOGLETRANSLATE(C2903, ""en"", ""fa"")
"),"مزایای ترکیب یادگیری مبتنی بر پروژه در آموزش STEM (علوم، فناوری، مهندسی و ریاضیات) را بررسی کنید.")</f>
        <v>مزایای ترکیب یادگیری مبتنی بر پروژه در آموزش STEM (علوم، فناوری، مهندسی و ریاضیات) را بررسی کنید.</v>
      </c>
      <c r="H2903" s="1"/>
      <c r="I2903" s="1"/>
      <c r="J2903" s="1"/>
      <c r="K2903" s="1"/>
      <c r="L2903" s="1"/>
      <c r="M2903" s="1"/>
      <c r="N2903" s="1"/>
      <c r="O2903" s="1"/>
      <c r="P2903" s="1"/>
      <c r="Q2903" s="1"/>
      <c r="R2903" s="1"/>
      <c r="S2903" s="1"/>
      <c r="T2903" s="1"/>
      <c r="U2903" s="1"/>
      <c r="V2903" s="1"/>
      <c r="W2903" s="1"/>
      <c r="X2903" s="1"/>
      <c r="Y2903" s="1"/>
      <c r="Z2903" s="1"/>
      <c r="AA2903" s="1"/>
      <c r="AB2903" s="1"/>
    </row>
    <row r="2904" ht="50.25" customHeight="1">
      <c r="A2904" s="12">
        <v>2900.0</v>
      </c>
      <c r="B2904" s="13" t="s">
        <v>2825</v>
      </c>
      <c r="C2904" s="14" t="s">
        <v>2919</v>
      </c>
      <c r="D2904" s="1"/>
      <c r="E2904" s="1"/>
      <c r="F2904" s="1" t="str">
        <f>IFERROR(__xludf.DUMMYFUNCTION("GOOGLETRANSLATE(B2904, ""en"", ""fa"")
"),"آموزش و پرورش")</f>
        <v>آموزش و پرورش</v>
      </c>
      <c r="G2904" s="1" t="str">
        <f>IFERROR(__xludf.DUMMYFUNCTION("GOOGLETRANSLATE(C2904, ""en"", ""fa"")
"),"در مورد تأثیر انتظارات معلم بر پیشرفت و ادراک دانش آموزان بحث کنید.")</f>
        <v>در مورد تأثیر انتظارات معلم بر پیشرفت و ادراک دانش آموزان بحث کنید.</v>
      </c>
      <c r="H2904" s="1"/>
      <c r="I2904" s="1"/>
      <c r="J2904" s="1"/>
      <c r="K2904" s="1"/>
      <c r="L2904" s="1"/>
      <c r="M2904" s="1"/>
      <c r="N2904" s="1"/>
      <c r="O2904" s="1"/>
      <c r="P2904" s="1"/>
      <c r="Q2904" s="1"/>
      <c r="R2904" s="1"/>
      <c r="S2904" s="1"/>
      <c r="T2904" s="1"/>
      <c r="U2904" s="1"/>
      <c r="V2904" s="1"/>
      <c r="W2904" s="1"/>
      <c r="X2904" s="1"/>
      <c r="Y2904" s="1"/>
      <c r="Z2904" s="1"/>
      <c r="AA2904" s="1"/>
      <c r="AB2904" s="1"/>
    </row>
    <row r="2905" ht="50.25" customHeight="1">
      <c r="A2905" s="12">
        <v>2901.0</v>
      </c>
      <c r="B2905" s="13" t="s">
        <v>2825</v>
      </c>
      <c r="C2905" s="14" t="s">
        <v>2920</v>
      </c>
      <c r="D2905" s="1"/>
      <c r="E2905" s="1"/>
      <c r="F2905" s="1" t="str">
        <f>IFERROR(__xludf.DUMMYFUNCTION("GOOGLETRANSLATE(B2905, ""en"", ""fa"")
"),"آموزش و پرورش")</f>
        <v>آموزش و پرورش</v>
      </c>
      <c r="G2905" s="1" t="str">
        <f>IFERROR(__xludf.DUMMYFUNCTION("GOOGLETRANSLATE(C2905, ""en"", ""fa"")
"),"تجزیه و تحلیل مزایای آموزش مهارت های سواد دیجیتال برای آماده سازی دانش آموزان برای عصر دیجیتال.")</f>
        <v>تجزیه و تحلیل مزایای آموزش مهارت های سواد دیجیتال برای آماده سازی دانش آموزان برای عصر دیجیتال.</v>
      </c>
      <c r="H2905" s="1"/>
      <c r="I2905" s="1"/>
      <c r="J2905" s="1"/>
      <c r="K2905" s="1"/>
      <c r="L2905" s="1"/>
      <c r="M2905" s="1"/>
      <c r="N2905" s="1"/>
      <c r="O2905" s="1"/>
      <c r="P2905" s="1"/>
      <c r="Q2905" s="1"/>
      <c r="R2905" s="1"/>
      <c r="S2905" s="1"/>
      <c r="T2905" s="1"/>
      <c r="U2905" s="1"/>
      <c r="V2905" s="1"/>
      <c r="W2905" s="1"/>
      <c r="X2905" s="1"/>
      <c r="Y2905" s="1"/>
      <c r="Z2905" s="1"/>
      <c r="AA2905" s="1"/>
      <c r="AB2905" s="1"/>
    </row>
    <row r="2906" ht="50.25" customHeight="1">
      <c r="A2906" s="12">
        <v>2902.0</v>
      </c>
      <c r="B2906" s="13" t="s">
        <v>2825</v>
      </c>
      <c r="C2906" s="14" t="s">
        <v>2921</v>
      </c>
      <c r="D2906" s="1"/>
      <c r="E2906" s="1"/>
      <c r="F2906" s="1" t="str">
        <f>IFERROR(__xludf.DUMMYFUNCTION("GOOGLETRANSLATE(B2906, ""en"", ""fa"")
"),"آموزش و پرورش")</f>
        <v>آموزش و پرورش</v>
      </c>
      <c r="G2906" s="1" t="str">
        <f>IFERROR(__xludf.DUMMYFUNCTION("GOOGLETRANSLATE(C2906, ""en"", ""fa"")
"),"نقش آموزش هنر در پرورش خلاقیت، بیان و تفکر انتقادی را بررسی کنید.")</f>
        <v>نقش آموزش هنر در پرورش خلاقیت، بیان و تفکر انتقادی را بررسی کنید.</v>
      </c>
      <c r="H2906" s="1"/>
      <c r="I2906" s="1"/>
      <c r="J2906" s="1"/>
      <c r="K2906" s="1"/>
      <c r="L2906" s="1"/>
      <c r="M2906" s="1"/>
      <c r="N2906" s="1"/>
      <c r="O2906" s="1"/>
      <c r="P2906" s="1"/>
      <c r="Q2906" s="1"/>
      <c r="R2906" s="1"/>
      <c r="S2906" s="1"/>
      <c r="T2906" s="1"/>
      <c r="U2906" s="1"/>
      <c r="V2906" s="1"/>
      <c r="W2906" s="1"/>
      <c r="X2906" s="1"/>
      <c r="Y2906" s="1"/>
      <c r="Z2906" s="1"/>
      <c r="AA2906" s="1"/>
      <c r="AB2906" s="1"/>
    </row>
    <row r="2907" ht="50.25" customHeight="1">
      <c r="A2907" s="12">
        <v>2903.0</v>
      </c>
      <c r="B2907" s="13" t="s">
        <v>2825</v>
      </c>
      <c r="C2907" s="14" t="s">
        <v>2922</v>
      </c>
      <c r="D2907" s="1"/>
      <c r="E2907" s="1"/>
      <c r="F2907" s="1" t="str">
        <f>IFERROR(__xludf.DUMMYFUNCTION("GOOGLETRANSLATE(B2907, ""en"", ""fa"")
"),"آموزش و پرورش")</f>
        <v>آموزش و پرورش</v>
      </c>
      <c r="G2907" s="1" t="str">
        <f>IFERROR(__xludf.DUMMYFUNCTION("GOOGLETRANSLATE(C2907, ""en"", ""fa"")
"),"در مورد مزایای آموزش ذهنیت رشد و تاب آوری در حمایت از موفقیت دانش آموزان بحث کنید.")</f>
        <v>در مورد مزایای آموزش ذهنیت رشد و تاب آوری در حمایت از موفقیت دانش آموزان بحث کنید.</v>
      </c>
      <c r="H2907" s="1"/>
      <c r="I2907" s="1"/>
      <c r="J2907" s="1"/>
      <c r="K2907" s="1"/>
      <c r="L2907" s="1"/>
      <c r="M2907" s="1"/>
      <c r="N2907" s="1"/>
      <c r="O2907" s="1"/>
      <c r="P2907" s="1"/>
      <c r="Q2907" s="1"/>
      <c r="R2907" s="1"/>
      <c r="S2907" s="1"/>
      <c r="T2907" s="1"/>
      <c r="U2907" s="1"/>
      <c r="V2907" s="1"/>
      <c r="W2907" s="1"/>
      <c r="X2907" s="1"/>
      <c r="Y2907" s="1"/>
      <c r="Z2907" s="1"/>
      <c r="AA2907" s="1"/>
      <c r="AB2907" s="1"/>
    </row>
    <row r="2908" ht="50.25" customHeight="1">
      <c r="A2908" s="12">
        <v>2904.0</v>
      </c>
      <c r="B2908" s="13" t="s">
        <v>2825</v>
      </c>
      <c r="C2908" s="14" t="s">
        <v>2923</v>
      </c>
      <c r="D2908" s="1"/>
      <c r="E2908" s="1"/>
      <c r="F2908" s="1" t="str">
        <f>IFERROR(__xludf.DUMMYFUNCTION("GOOGLETRANSLATE(B2908, ""en"", ""fa"")
"),"آموزش و پرورش")</f>
        <v>آموزش و پرورش</v>
      </c>
      <c r="G2908" s="1" t="str">
        <f>IFERROR(__xludf.DUMMYFUNCTION("GOOGLETRANSLATE(C2908, ""en"", ""fa"")
"),"تأثیر یادگیری دانش آموز محور بر انگیزه و پیشرفت تحصیلی دانش آموزان را تجزیه و تحلیل کنید.")</f>
        <v>تأثیر یادگیری دانش آموز محور بر انگیزه و پیشرفت تحصیلی دانش آموزان را تجزیه و تحلیل کنید.</v>
      </c>
      <c r="H2908" s="1"/>
      <c r="I2908" s="1"/>
      <c r="J2908" s="1"/>
      <c r="K2908" s="1"/>
      <c r="L2908" s="1"/>
      <c r="M2908" s="1"/>
      <c r="N2908" s="1"/>
      <c r="O2908" s="1"/>
      <c r="P2908" s="1"/>
      <c r="Q2908" s="1"/>
      <c r="R2908" s="1"/>
      <c r="S2908" s="1"/>
      <c r="T2908" s="1"/>
      <c r="U2908" s="1"/>
      <c r="V2908" s="1"/>
      <c r="W2908" s="1"/>
      <c r="X2908" s="1"/>
      <c r="Y2908" s="1"/>
      <c r="Z2908" s="1"/>
      <c r="AA2908" s="1"/>
      <c r="AB2908" s="1"/>
    </row>
    <row r="2909" ht="50.25" customHeight="1">
      <c r="A2909" s="12">
        <v>2905.0</v>
      </c>
      <c r="B2909" s="13" t="s">
        <v>2825</v>
      </c>
      <c r="C2909" s="14" t="s">
        <v>2924</v>
      </c>
      <c r="D2909" s="1"/>
      <c r="E2909" s="1"/>
      <c r="F2909" s="1" t="str">
        <f>IFERROR(__xludf.DUMMYFUNCTION("GOOGLETRANSLATE(B2909, ""en"", ""fa"")
"),"آموزش و پرورش")</f>
        <v>آموزش و پرورش</v>
      </c>
      <c r="G2909" s="1" t="str">
        <f>IFERROR(__xludf.DUMMYFUNCTION("GOOGLETRANSLATE(C2909, ""en"", ""fa"")
"),"در مورد مزایای گنجاندن یادگیری مبتنی بر مسئله در برنامه درسی برای توسعه تفکر انتقادی و مهارت های حل مسئله بحث کنید.")</f>
        <v>در مورد مزایای گنجاندن یادگیری مبتنی بر مسئله در برنامه درسی برای توسعه تفکر انتقادی و مهارت های حل مسئله بحث کنید.</v>
      </c>
      <c r="H2909" s="1"/>
      <c r="I2909" s="1"/>
      <c r="J2909" s="1"/>
      <c r="K2909" s="1"/>
      <c r="L2909" s="1"/>
      <c r="M2909" s="1"/>
      <c r="N2909" s="1"/>
      <c r="O2909" s="1"/>
      <c r="P2909" s="1"/>
      <c r="Q2909" s="1"/>
      <c r="R2909" s="1"/>
      <c r="S2909" s="1"/>
      <c r="T2909" s="1"/>
      <c r="U2909" s="1"/>
      <c r="V2909" s="1"/>
      <c r="W2909" s="1"/>
      <c r="X2909" s="1"/>
      <c r="Y2909" s="1"/>
      <c r="Z2909" s="1"/>
      <c r="AA2909" s="1"/>
      <c r="AB2909" s="1"/>
    </row>
    <row r="2910" ht="50.25" customHeight="1">
      <c r="A2910" s="12">
        <v>2906.0</v>
      </c>
      <c r="B2910" s="13" t="s">
        <v>2825</v>
      </c>
      <c r="C2910" s="14" t="s">
        <v>2925</v>
      </c>
      <c r="D2910" s="1"/>
      <c r="E2910" s="1"/>
      <c r="F2910" s="1" t="str">
        <f>IFERROR(__xludf.DUMMYFUNCTION("GOOGLETRANSLATE(B2910, ""en"", ""fa"")
"),"آموزش و پرورش")</f>
        <v>آموزش و پرورش</v>
      </c>
      <c r="G2910" s="1" t="str">
        <f>IFERROR(__xludf.DUMMYFUNCTION("GOOGLETRANSLATE(C2910, ""en"", ""fa"")
"),"نقش رهبری آموزشی را در ارتقای جو مثبت مدرسه و تقویت موفقیت دانش آموزان تجزیه و تحلیل کنید.")</f>
        <v>نقش رهبری آموزشی را در ارتقای جو مثبت مدرسه و تقویت موفقیت دانش آموزان تجزیه و تحلیل کنید.</v>
      </c>
      <c r="H2910" s="1"/>
      <c r="I2910" s="1"/>
      <c r="J2910" s="1"/>
      <c r="K2910" s="1"/>
      <c r="L2910" s="1"/>
      <c r="M2910" s="1"/>
      <c r="N2910" s="1"/>
      <c r="O2910" s="1"/>
      <c r="P2910" s="1"/>
      <c r="Q2910" s="1"/>
      <c r="R2910" s="1"/>
      <c r="S2910" s="1"/>
      <c r="T2910" s="1"/>
      <c r="U2910" s="1"/>
      <c r="V2910" s="1"/>
      <c r="W2910" s="1"/>
      <c r="X2910" s="1"/>
      <c r="Y2910" s="1"/>
      <c r="Z2910" s="1"/>
      <c r="AA2910" s="1"/>
      <c r="AB2910" s="1"/>
    </row>
    <row r="2911" ht="50.25" customHeight="1">
      <c r="A2911" s="12">
        <v>2907.0</v>
      </c>
      <c r="B2911" s="13" t="s">
        <v>2825</v>
      </c>
      <c r="C2911" s="14" t="s">
        <v>2926</v>
      </c>
      <c r="D2911" s="1"/>
      <c r="E2911" s="1"/>
      <c r="F2911" s="1" t="str">
        <f>IFERROR(__xludf.DUMMYFUNCTION("GOOGLETRANSLATE(B2911, ""en"", ""fa"")
"),"آموزش و پرورش")</f>
        <v>آموزش و پرورش</v>
      </c>
      <c r="G2911" s="1" t="str">
        <f>IFERROR(__xludf.DUMMYFUNCTION("GOOGLETRANSLATE(C2911, ""en"", ""fa"")
"),"تأثیر استراتژی های مشارکت دانش آموز بر نتایج یادگیری و پویایی کلاس درس را بررسی کنید.")</f>
        <v>تأثیر استراتژی های مشارکت دانش آموز بر نتایج یادگیری و پویایی کلاس درس را بررسی کنید.</v>
      </c>
      <c r="H2911" s="1"/>
      <c r="I2911" s="1"/>
      <c r="J2911" s="1"/>
      <c r="K2911" s="1"/>
      <c r="L2911" s="1"/>
      <c r="M2911" s="1"/>
      <c r="N2911" s="1"/>
      <c r="O2911" s="1"/>
      <c r="P2911" s="1"/>
      <c r="Q2911" s="1"/>
      <c r="R2911" s="1"/>
      <c r="S2911" s="1"/>
      <c r="T2911" s="1"/>
      <c r="U2911" s="1"/>
      <c r="V2911" s="1"/>
      <c r="W2911" s="1"/>
      <c r="X2911" s="1"/>
      <c r="Y2911" s="1"/>
      <c r="Z2911" s="1"/>
      <c r="AA2911" s="1"/>
      <c r="AB2911" s="1"/>
    </row>
    <row r="2912" ht="50.25" customHeight="1">
      <c r="A2912" s="12">
        <v>2908.0</v>
      </c>
      <c r="B2912" s="13" t="s">
        <v>2825</v>
      </c>
      <c r="C2912" s="14" t="s">
        <v>2927</v>
      </c>
      <c r="D2912" s="1"/>
      <c r="E2912" s="1"/>
      <c r="F2912" s="1" t="str">
        <f>IFERROR(__xludf.DUMMYFUNCTION("GOOGLETRANSLATE(B2912, ""en"", ""fa"")
"),"آموزش و پرورش")</f>
        <v>آموزش و پرورش</v>
      </c>
      <c r="G2912" s="1" t="str">
        <f>IFERROR(__xludf.DUMMYFUNCTION("GOOGLETRANSLATE(C2912, ""en"", ""fa"")
"),"در مورد مزایای آموزش سواد مالی در مدارس و تأثیر آن بر رفاه مالی آینده دانش آموزان بحث کنید.")</f>
        <v>در مورد مزایای آموزش سواد مالی در مدارس و تأثیر آن بر رفاه مالی آینده دانش آموزان بحث کنید.</v>
      </c>
      <c r="H2912" s="1"/>
      <c r="I2912" s="1"/>
      <c r="J2912" s="1"/>
      <c r="K2912" s="1"/>
      <c r="L2912" s="1"/>
      <c r="M2912" s="1"/>
      <c r="N2912" s="1"/>
      <c r="O2912" s="1"/>
      <c r="P2912" s="1"/>
      <c r="Q2912" s="1"/>
      <c r="R2912" s="1"/>
      <c r="S2912" s="1"/>
      <c r="T2912" s="1"/>
      <c r="U2912" s="1"/>
      <c r="V2912" s="1"/>
      <c r="W2912" s="1"/>
      <c r="X2912" s="1"/>
      <c r="Y2912" s="1"/>
      <c r="Z2912" s="1"/>
      <c r="AA2912" s="1"/>
      <c r="AB2912" s="1"/>
    </row>
    <row r="2913" ht="50.25" customHeight="1">
      <c r="A2913" s="12">
        <v>2909.0</v>
      </c>
      <c r="B2913" s="13" t="s">
        <v>2825</v>
      </c>
      <c r="C2913" s="14" t="s">
        <v>2928</v>
      </c>
      <c r="D2913" s="1"/>
      <c r="E2913" s="1"/>
      <c r="F2913" s="1" t="str">
        <f>IFERROR(__xludf.DUMMYFUNCTION("GOOGLETRANSLATE(B2913, ""en"", ""fa"")
"),"آموزش و پرورش")</f>
        <v>آموزش و پرورش</v>
      </c>
      <c r="G2913" s="1" t="str">
        <f>IFERROR(__xludf.DUMMYFUNCTION("GOOGLETRANSLATE(C2913, ""en"", ""fa"")
"),"نقش فناوری را در حمایت از تجربیات یادگیری شخصی برای دانش آموزان تجزیه و تحلیل کنید.")</f>
        <v>نقش فناوری را در حمایت از تجربیات یادگیری شخصی برای دانش آموزان تجزیه و تحلیل کنید.</v>
      </c>
      <c r="H2913" s="1"/>
      <c r="I2913" s="1"/>
      <c r="J2913" s="1"/>
      <c r="K2913" s="1"/>
      <c r="L2913" s="1"/>
      <c r="M2913" s="1"/>
      <c r="N2913" s="1"/>
      <c r="O2913" s="1"/>
      <c r="P2913" s="1"/>
      <c r="Q2913" s="1"/>
      <c r="R2913" s="1"/>
      <c r="S2913" s="1"/>
      <c r="T2913" s="1"/>
      <c r="U2913" s="1"/>
      <c r="V2913" s="1"/>
      <c r="W2913" s="1"/>
      <c r="X2913" s="1"/>
      <c r="Y2913" s="1"/>
      <c r="Z2913" s="1"/>
      <c r="AA2913" s="1"/>
      <c r="AB2913" s="1"/>
    </row>
    <row r="2914" ht="50.25" customHeight="1">
      <c r="A2914" s="12">
        <v>2910.0</v>
      </c>
      <c r="B2914" s="13" t="s">
        <v>2825</v>
      </c>
      <c r="C2914" s="14" t="s">
        <v>2929</v>
      </c>
      <c r="D2914" s="1"/>
      <c r="E2914" s="1"/>
      <c r="F2914" s="1" t="str">
        <f>IFERROR(__xludf.DUMMYFUNCTION("GOOGLETRANSLATE(B2914, ""en"", ""fa"")
"),"آموزش و پرورش")</f>
        <v>آموزش و پرورش</v>
      </c>
      <c r="G2914" s="1" t="str">
        <f>IFERROR(__xludf.DUMMYFUNCTION("GOOGLETRANSLATE(C2914, ""en"", ""fa"")
"),"مزایای آموزش کدنویسی و مهارت های تفکر محاسباتی در آماده سازی دانش آموزان برای عصر دیجیتال را بررسی کنید.")</f>
        <v>مزایای آموزش کدنویسی و مهارت های تفکر محاسباتی در آماده سازی دانش آموزان برای عصر دیجیتال را بررسی کنید.</v>
      </c>
      <c r="H2914" s="1"/>
      <c r="I2914" s="1"/>
      <c r="J2914" s="1"/>
      <c r="K2914" s="1"/>
      <c r="L2914" s="1"/>
      <c r="M2914" s="1"/>
      <c r="N2914" s="1"/>
      <c r="O2914" s="1"/>
      <c r="P2914" s="1"/>
      <c r="Q2914" s="1"/>
      <c r="R2914" s="1"/>
      <c r="S2914" s="1"/>
      <c r="T2914" s="1"/>
      <c r="U2914" s="1"/>
      <c r="V2914" s="1"/>
      <c r="W2914" s="1"/>
      <c r="X2914" s="1"/>
      <c r="Y2914" s="1"/>
      <c r="Z2914" s="1"/>
      <c r="AA2914" s="1"/>
      <c r="AB2914" s="1"/>
    </row>
    <row r="2915" ht="50.25" customHeight="1">
      <c r="A2915" s="12">
        <v>2911.0</v>
      </c>
      <c r="B2915" s="13" t="s">
        <v>2825</v>
      </c>
      <c r="C2915" s="14" t="s">
        <v>2930</v>
      </c>
      <c r="D2915" s="1"/>
      <c r="E2915" s="1"/>
      <c r="F2915" s="1" t="str">
        <f>IFERROR(__xludf.DUMMYFUNCTION("GOOGLETRANSLATE(B2915, ""en"", ""fa"")
"),"آموزش و پرورش")</f>
        <v>آموزش و پرورش</v>
      </c>
      <c r="G2915" s="1" t="str">
        <f>IFERROR(__xludf.DUMMYFUNCTION("GOOGLETRANSLATE(C2915, ""en"", ""fa"")
"),"در مورد تأثیر ارزیابی های دانش آموز بر ارتقاء مهارت های خودارزیابی و عاملیت دانش آموز بحث کنید.")</f>
        <v>در مورد تأثیر ارزیابی های دانش آموز بر ارتقاء مهارت های خودارزیابی و عاملیت دانش آموز بحث کنید.</v>
      </c>
      <c r="H2915" s="1"/>
      <c r="I2915" s="1"/>
      <c r="J2915" s="1"/>
      <c r="K2915" s="1"/>
      <c r="L2915" s="1"/>
      <c r="M2915" s="1"/>
      <c r="N2915" s="1"/>
      <c r="O2915" s="1"/>
      <c r="P2915" s="1"/>
      <c r="Q2915" s="1"/>
      <c r="R2915" s="1"/>
      <c r="S2915" s="1"/>
      <c r="T2915" s="1"/>
      <c r="U2915" s="1"/>
      <c r="V2915" s="1"/>
      <c r="W2915" s="1"/>
      <c r="X2915" s="1"/>
      <c r="Y2915" s="1"/>
      <c r="Z2915" s="1"/>
      <c r="AA2915" s="1"/>
      <c r="AB2915" s="1"/>
    </row>
    <row r="2916" ht="50.25" customHeight="1">
      <c r="A2916" s="12">
        <v>2912.0</v>
      </c>
      <c r="B2916" s="13" t="s">
        <v>2825</v>
      </c>
      <c r="C2916" s="14" t="s">
        <v>2931</v>
      </c>
      <c r="D2916" s="1"/>
      <c r="E2916" s="1"/>
      <c r="F2916" s="1" t="str">
        <f>IFERROR(__xludf.DUMMYFUNCTION("GOOGLETRANSLATE(B2916, ""en"", ""fa"")
"),"آموزش و پرورش")</f>
        <v>آموزش و پرورش</v>
      </c>
      <c r="G2916" s="1" t="str">
        <f>IFERROR(__xludf.DUMMYFUNCTION("GOOGLETRANSLATE(C2916, ""en"", ""fa"")
"),"تجزیه و تحلیل مزایای آموزش سواد رسانه ای در مدارس برای کمک به دانش آموزان در تجزیه و تحلیل انتقادی و ارزیابی اطلاعات.")</f>
        <v>تجزیه و تحلیل مزایای آموزش سواد رسانه ای در مدارس برای کمک به دانش آموزان در تجزیه و تحلیل انتقادی و ارزیابی اطلاعات.</v>
      </c>
      <c r="H2916" s="1"/>
      <c r="I2916" s="1"/>
      <c r="J2916" s="1"/>
      <c r="K2916" s="1"/>
      <c r="L2916" s="1"/>
      <c r="M2916" s="1"/>
      <c r="N2916" s="1"/>
      <c r="O2916" s="1"/>
      <c r="P2916" s="1"/>
      <c r="Q2916" s="1"/>
      <c r="R2916" s="1"/>
      <c r="S2916" s="1"/>
      <c r="T2916" s="1"/>
      <c r="U2916" s="1"/>
      <c r="V2916" s="1"/>
      <c r="W2916" s="1"/>
      <c r="X2916" s="1"/>
      <c r="Y2916" s="1"/>
      <c r="Z2916" s="1"/>
      <c r="AA2916" s="1"/>
      <c r="AB2916" s="1"/>
    </row>
    <row r="2917" ht="50.25" customHeight="1">
      <c r="A2917" s="12">
        <v>2913.0</v>
      </c>
      <c r="B2917" s="13" t="s">
        <v>2825</v>
      </c>
      <c r="C2917" s="14" t="s">
        <v>2932</v>
      </c>
      <c r="D2917" s="1"/>
      <c r="E2917" s="1"/>
      <c r="F2917" s="1" t="str">
        <f>IFERROR(__xludf.DUMMYFUNCTION("GOOGLETRANSLATE(B2917, ""en"", ""fa"")
"),"آموزش و پرورش")</f>
        <v>آموزش و پرورش</v>
      </c>
      <c r="G2917" s="1" t="str">
        <f>IFERROR(__xludf.DUMMYFUNCTION("GOOGLETRANSLATE(C2917, ""en"", ""fa"")
"),"نقش ادغام هنرها را در افزایش خلاقیت و بیان دانش آموزان در زمینه های مختلف موضوعی بررسی کنید.")</f>
        <v>نقش ادغام هنرها را در افزایش خلاقیت و بیان دانش آموزان در زمینه های مختلف موضوعی بررسی کنید.</v>
      </c>
      <c r="H2917" s="1"/>
      <c r="I2917" s="1"/>
      <c r="J2917" s="1"/>
      <c r="K2917" s="1"/>
      <c r="L2917" s="1"/>
      <c r="M2917" s="1"/>
      <c r="N2917" s="1"/>
      <c r="O2917" s="1"/>
      <c r="P2917" s="1"/>
      <c r="Q2917" s="1"/>
      <c r="R2917" s="1"/>
      <c r="S2917" s="1"/>
      <c r="T2917" s="1"/>
      <c r="U2917" s="1"/>
      <c r="V2917" s="1"/>
      <c r="W2917" s="1"/>
      <c r="X2917" s="1"/>
      <c r="Y2917" s="1"/>
      <c r="Z2917" s="1"/>
      <c r="AA2917" s="1"/>
      <c r="AB2917" s="1"/>
    </row>
    <row r="2918" ht="50.25" customHeight="1">
      <c r="A2918" s="12">
        <v>2914.0</v>
      </c>
      <c r="B2918" s="13" t="s">
        <v>2825</v>
      </c>
      <c r="C2918" s="14" t="s">
        <v>2933</v>
      </c>
      <c r="D2918" s="1"/>
      <c r="E2918" s="1"/>
      <c r="F2918" s="1" t="str">
        <f>IFERROR(__xludf.DUMMYFUNCTION("GOOGLETRANSLATE(B2918, ""en"", ""fa"")
"),"آموزش و پرورش")</f>
        <v>آموزش و پرورش</v>
      </c>
      <c r="G2918" s="1" t="str">
        <f>IFERROR(__xludf.DUMMYFUNCTION("GOOGLETRANSLATE(C2918, ""en"", ""fa"")
"),"در مورد مزایای شیوه های آموزشی فراگیر در ایجاد محیط های یادگیری عادلانه برای همه دانش آموزان بحث کنید.")</f>
        <v>در مورد مزایای شیوه های آموزشی فراگیر در ایجاد محیط های یادگیری عادلانه برای همه دانش آموزان بحث کنید.</v>
      </c>
      <c r="H2918" s="1"/>
      <c r="I2918" s="1"/>
      <c r="J2918" s="1"/>
      <c r="K2918" s="1"/>
      <c r="L2918" s="1"/>
      <c r="M2918" s="1"/>
      <c r="N2918" s="1"/>
      <c r="O2918" s="1"/>
      <c r="P2918" s="1"/>
      <c r="Q2918" s="1"/>
      <c r="R2918" s="1"/>
      <c r="S2918" s="1"/>
      <c r="T2918" s="1"/>
      <c r="U2918" s="1"/>
      <c r="V2918" s="1"/>
      <c r="W2918" s="1"/>
      <c r="X2918" s="1"/>
      <c r="Y2918" s="1"/>
      <c r="Z2918" s="1"/>
      <c r="AA2918" s="1"/>
      <c r="AB2918" s="1"/>
    </row>
    <row r="2919" ht="50.25" customHeight="1">
      <c r="A2919" s="12">
        <v>2915.0</v>
      </c>
      <c r="B2919" s="13" t="s">
        <v>2825</v>
      </c>
      <c r="C2919" s="14" t="s">
        <v>2934</v>
      </c>
      <c r="D2919" s="1"/>
      <c r="E2919" s="1"/>
      <c r="F2919" s="1" t="str">
        <f>IFERROR(__xludf.DUMMYFUNCTION("GOOGLETRANSLATE(B2919, ""en"", ""fa"")
"),"آموزش و پرورش")</f>
        <v>آموزش و پرورش</v>
      </c>
      <c r="G2919" s="1" t="str">
        <f>IFERROR(__xludf.DUMMYFUNCTION("GOOGLETRANSLATE(C2919, ""en"", ""fa"")
"),"تأثیر مشارکت مدرسه و جامعه بر یادگیری دانش آموزان و مشارکت جامعه را تجزیه و تحلیل کنید.")</f>
        <v>تأثیر مشارکت مدرسه و جامعه بر یادگیری دانش آموزان و مشارکت جامعه را تجزیه و تحلیل کنید.</v>
      </c>
      <c r="H2919" s="1"/>
      <c r="I2919" s="1"/>
      <c r="J2919" s="1"/>
      <c r="K2919" s="1"/>
      <c r="L2919" s="1"/>
      <c r="M2919" s="1"/>
      <c r="N2919" s="1"/>
      <c r="O2919" s="1"/>
      <c r="P2919" s="1"/>
      <c r="Q2919" s="1"/>
      <c r="R2919" s="1"/>
      <c r="S2919" s="1"/>
      <c r="T2919" s="1"/>
      <c r="U2919" s="1"/>
      <c r="V2919" s="1"/>
      <c r="W2919" s="1"/>
      <c r="X2919" s="1"/>
      <c r="Y2919" s="1"/>
      <c r="Z2919" s="1"/>
      <c r="AA2919" s="1"/>
      <c r="AB2919" s="1"/>
    </row>
    <row r="2920" ht="50.25" customHeight="1">
      <c r="A2920" s="12">
        <v>2916.0</v>
      </c>
      <c r="B2920" s="13" t="s">
        <v>2825</v>
      </c>
      <c r="C2920" s="14" t="s">
        <v>2935</v>
      </c>
      <c r="D2920" s="1"/>
      <c r="E2920" s="1"/>
      <c r="F2920" s="1" t="str">
        <f>IFERROR(__xludf.DUMMYFUNCTION("GOOGLETRANSLATE(B2920, ""en"", ""fa"")
"),"آموزش و پرورش")</f>
        <v>آموزش و پرورش</v>
      </c>
      <c r="G2920" s="1" t="str">
        <f>IFERROR(__xludf.DUMMYFUNCTION("GOOGLETRANSLATE(C2920, ""en"", ""fa"")
"),"مزایای آموزش مهارت های کارآفرینی در پرورش نوآوری و خلاقیت در بین دانش آموزان را بررسی کنید.")</f>
        <v>مزایای آموزش مهارت های کارآفرینی در پرورش نوآوری و خلاقیت در بین دانش آموزان را بررسی کنید.</v>
      </c>
      <c r="H2920" s="1"/>
      <c r="I2920" s="1"/>
      <c r="J2920" s="1"/>
      <c r="K2920" s="1"/>
      <c r="L2920" s="1"/>
      <c r="M2920" s="1"/>
      <c r="N2920" s="1"/>
      <c r="O2920" s="1"/>
      <c r="P2920" s="1"/>
      <c r="Q2920" s="1"/>
      <c r="R2920" s="1"/>
      <c r="S2920" s="1"/>
      <c r="T2920" s="1"/>
      <c r="U2920" s="1"/>
      <c r="V2920" s="1"/>
      <c r="W2920" s="1"/>
      <c r="X2920" s="1"/>
      <c r="Y2920" s="1"/>
      <c r="Z2920" s="1"/>
      <c r="AA2920" s="1"/>
      <c r="AB2920" s="1"/>
    </row>
    <row r="2921" ht="50.25" customHeight="1">
      <c r="A2921" s="12">
        <v>2917.0</v>
      </c>
      <c r="B2921" s="13" t="s">
        <v>2825</v>
      </c>
      <c r="C2921" s="14" t="s">
        <v>2936</v>
      </c>
      <c r="D2921" s="1"/>
      <c r="E2921" s="1"/>
      <c r="F2921" s="1" t="str">
        <f>IFERROR(__xludf.DUMMYFUNCTION("GOOGLETRANSLATE(B2921, ""en"", ""fa"")
"),"آموزش و پرورش")</f>
        <v>آموزش و پرورش</v>
      </c>
      <c r="G2921" s="1" t="str">
        <f>IFERROR(__xludf.DUMMYFUNCTION("GOOGLETRANSLATE(C2921, ""en"", ""fa"")
"),"در مورد نقش صدای دانش آموز و انتخاب در شکل دادن به تجربه یادگیری و ارتقاء عاملیت دانش آموز بحث کنید.")</f>
        <v>در مورد نقش صدای دانش آموز و انتخاب در شکل دادن به تجربه یادگیری و ارتقاء عاملیت دانش آموز بحث کنید.</v>
      </c>
      <c r="H2921" s="1"/>
      <c r="I2921" s="1"/>
      <c r="J2921" s="1"/>
      <c r="K2921" s="1"/>
      <c r="L2921" s="1"/>
      <c r="M2921" s="1"/>
      <c r="N2921" s="1"/>
      <c r="O2921" s="1"/>
      <c r="P2921" s="1"/>
      <c r="Q2921" s="1"/>
      <c r="R2921" s="1"/>
      <c r="S2921" s="1"/>
      <c r="T2921" s="1"/>
      <c r="U2921" s="1"/>
      <c r="V2921" s="1"/>
      <c r="W2921" s="1"/>
      <c r="X2921" s="1"/>
      <c r="Y2921" s="1"/>
      <c r="Z2921" s="1"/>
      <c r="AA2921" s="1"/>
      <c r="AB2921" s="1"/>
    </row>
    <row r="2922" ht="50.25" customHeight="1">
      <c r="A2922" s="12">
        <v>2918.0</v>
      </c>
      <c r="B2922" s="13" t="s">
        <v>2825</v>
      </c>
      <c r="C2922" s="14" t="s">
        <v>2937</v>
      </c>
      <c r="D2922" s="1"/>
      <c r="E2922" s="1"/>
      <c r="F2922" s="1" t="str">
        <f>IFERROR(__xludf.DUMMYFUNCTION("GOOGLETRANSLATE(B2922, ""en"", ""fa"")
"),"آموزش و پرورش")</f>
        <v>آموزش و پرورش</v>
      </c>
      <c r="G2922" s="1" t="str">
        <f>IFERROR(__xludf.DUMMYFUNCTION("GOOGLETRANSLATE(C2922, ""en"", ""fa"")
"),"تاثیر آموزش فراگیر STEM در ارتقای تنوع و برابری جنسیتی در زمینه های STEM را تجزیه و تحلیل کنید.")</f>
        <v>تاثیر آموزش فراگیر STEM در ارتقای تنوع و برابری جنسیتی در زمینه های STEM را تجزیه و تحلیل کنید.</v>
      </c>
      <c r="H2922" s="1"/>
      <c r="I2922" s="1"/>
      <c r="J2922" s="1"/>
      <c r="K2922" s="1"/>
      <c r="L2922" s="1"/>
      <c r="M2922" s="1"/>
      <c r="N2922" s="1"/>
      <c r="O2922" s="1"/>
      <c r="P2922" s="1"/>
      <c r="Q2922" s="1"/>
      <c r="R2922" s="1"/>
      <c r="S2922" s="1"/>
      <c r="T2922" s="1"/>
      <c r="U2922" s="1"/>
      <c r="V2922" s="1"/>
      <c r="W2922" s="1"/>
      <c r="X2922" s="1"/>
      <c r="Y2922" s="1"/>
      <c r="Z2922" s="1"/>
      <c r="AA2922" s="1"/>
      <c r="AB2922" s="1"/>
    </row>
    <row r="2923" ht="50.25" customHeight="1">
      <c r="A2923" s="12">
        <v>2919.0</v>
      </c>
      <c r="B2923" s="13" t="s">
        <v>2825</v>
      </c>
      <c r="C2923" s="14" t="s">
        <v>2938</v>
      </c>
      <c r="D2923" s="1"/>
      <c r="E2923" s="1"/>
      <c r="F2923" s="1" t="str">
        <f>IFERROR(__xludf.DUMMYFUNCTION("GOOGLETRANSLATE(B2923, ""en"", ""fa"")
"),"آموزش و پرورش")</f>
        <v>آموزش و پرورش</v>
      </c>
      <c r="G2923" s="1" t="str">
        <f>IFERROR(__xludf.DUMMYFUNCTION("GOOGLETRANSLATE(C2923, ""en"", ""fa"")
"),"مزایای آموزش شهروندی جهانی و شایستگی فرهنگی در آماده‌سازی دانش‌آموزان برای دنیای جهانی‌شده را بررسی کنید.")</f>
        <v>مزایای آموزش شهروندی جهانی و شایستگی فرهنگی در آماده‌سازی دانش‌آموزان برای دنیای جهانی‌شده را بررسی کنید.</v>
      </c>
      <c r="H2923" s="1"/>
      <c r="I2923" s="1"/>
      <c r="J2923" s="1"/>
      <c r="K2923" s="1"/>
      <c r="L2923" s="1"/>
      <c r="M2923" s="1"/>
      <c r="N2923" s="1"/>
      <c r="O2923" s="1"/>
      <c r="P2923" s="1"/>
      <c r="Q2923" s="1"/>
      <c r="R2923" s="1"/>
      <c r="S2923" s="1"/>
      <c r="T2923" s="1"/>
      <c r="U2923" s="1"/>
      <c r="V2923" s="1"/>
      <c r="W2923" s="1"/>
      <c r="X2923" s="1"/>
      <c r="Y2923" s="1"/>
      <c r="Z2923" s="1"/>
      <c r="AA2923" s="1"/>
      <c r="AB2923" s="1"/>
    </row>
    <row r="2924" ht="50.25" customHeight="1">
      <c r="A2924" s="12">
        <v>2920.0</v>
      </c>
      <c r="B2924" s="13" t="s">
        <v>2825</v>
      </c>
      <c r="C2924" s="14" t="s">
        <v>2939</v>
      </c>
      <c r="D2924" s="1"/>
      <c r="E2924" s="1"/>
      <c r="F2924" s="1" t="str">
        <f>IFERROR(__xludf.DUMMYFUNCTION("GOOGLETRANSLATE(B2924, ""en"", ""fa"")
"),"آموزش و پرورش")</f>
        <v>آموزش و پرورش</v>
      </c>
      <c r="G2924" s="1" t="str">
        <f>IFERROR(__xludf.DUMMYFUNCTION("GOOGLETRANSLATE(C2924, ""en"", ""fa"")
"),"نقش یادگیری مبتنی بر بازی در آموزش دوران کودکی و تأثیر آن بر رشد اجتماعی و شناختی را مورد بحث قرار دهید.")</f>
        <v>نقش یادگیری مبتنی بر بازی در آموزش دوران کودکی و تأثیر آن بر رشد اجتماعی و شناختی را مورد بحث قرار دهید.</v>
      </c>
      <c r="H2924" s="1"/>
      <c r="I2924" s="1"/>
      <c r="J2924" s="1"/>
      <c r="K2924" s="1"/>
      <c r="L2924" s="1"/>
      <c r="M2924" s="1"/>
      <c r="N2924" s="1"/>
      <c r="O2924" s="1"/>
      <c r="P2924" s="1"/>
      <c r="Q2924" s="1"/>
      <c r="R2924" s="1"/>
      <c r="S2924" s="1"/>
      <c r="T2924" s="1"/>
      <c r="U2924" s="1"/>
      <c r="V2924" s="1"/>
      <c r="W2924" s="1"/>
      <c r="X2924" s="1"/>
      <c r="Y2924" s="1"/>
      <c r="Z2924" s="1"/>
      <c r="AA2924" s="1"/>
      <c r="AB2924" s="1"/>
    </row>
    <row r="2925" ht="50.25" customHeight="1">
      <c r="A2925" s="12">
        <v>2921.0</v>
      </c>
      <c r="B2925" s="13" t="s">
        <v>2825</v>
      </c>
      <c r="C2925" s="14" t="s">
        <v>2940</v>
      </c>
      <c r="D2925" s="1"/>
      <c r="E2925" s="1"/>
      <c r="F2925" s="1" t="str">
        <f>IFERROR(__xludf.DUMMYFUNCTION("GOOGLETRANSLATE(B2925, ""en"", ""fa"")
"),"آموزش و پرورش")</f>
        <v>آموزش و پرورش</v>
      </c>
      <c r="G2925" s="1" t="str">
        <f>IFERROR(__xludf.DUMMYFUNCTION("GOOGLETRANSLATE(C2925, ""en"", ""fa"")
"),"تجزیه و تحلیل مزایای آموزش در فضای باز در تقویت آگاهی زیست محیطی و ارتباط با طبیعت.")</f>
        <v>تجزیه و تحلیل مزایای آموزش در فضای باز در تقویت آگاهی زیست محیطی و ارتباط با طبیعت.</v>
      </c>
      <c r="H2925" s="1"/>
      <c r="I2925" s="1"/>
      <c r="J2925" s="1"/>
      <c r="K2925" s="1"/>
      <c r="L2925" s="1"/>
      <c r="M2925" s="1"/>
      <c r="N2925" s="1"/>
      <c r="O2925" s="1"/>
      <c r="P2925" s="1"/>
      <c r="Q2925" s="1"/>
      <c r="R2925" s="1"/>
      <c r="S2925" s="1"/>
      <c r="T2925" s="1"/>
      <c r="U2925" s="1"/>
      <c r="V2925" s="1"/>
      <c r="W2925" s="1"/>
      <c r="X2925" s="1"/>
      <c r="Y2925" s="1"/>
      <c r="Z2925" s="1"/>
      <c r="AA2925" s="1"/>
      <c r="AB2925" s="1"/>
    </row>
    <row r="2926" ht="50.25" customHeight="1">
      <c r="A2926" s="12">
        <v>2922.0</v>
      </c>
      <c r="B2926" s="13" t="s">
        <v>2825</v>
      </c>
      <c r="C2926" s="14" t="s">
        <v>2941</v>
      </c>
      <c r="D2926" s="1"/>
      <c r="E2926" s="1"/>
      <c r="F2926" s="1" t="str">
        <f>IFERROR(__xludf.DUMMYFUNCTION("GOOGLETRANSLATE(B2926, ""en"", ""fa"")
"),"آموزش و پرورش")</f>
        <v>آموزش و پرورش</v>
      </c>
      <c r="G2926" s="1" t="str">
        <f>IFERROR(__xludf.DUMMYFUNCTION("GOOGLETRANSLATE(C2926, ""en"", ""fa"")
"),"بررسی تأثیر آموزش متمایز در برآوردن نیازهای یادگیری متنوع دانش آموزان.")</f>
        <v>بررسی تأثیر آموزش متمایز در برآوردن نیازهای یادگیری متنوع دانش آموزان.</v>
      </c>
      <c r="H2926" s="1"/>
      <c r="I2926" s="1"/>
      <c r="J2926" s="1"/>
      <c r="K2926" s="1"/>
      <c r="L2926" s="1"/>
      <c r="M2926" s="1"/>
      <c r="N2926" s="1"/>
      <c r="O2926" s="1"/>
      <c r="P2926" s="1"/>
      <c r="Q2926" s="1"/>
      <c r="R2926" s="1"/>
      <c r="S2926" s="1"/>
      <c r="T2926" s="1"/>
      <c r="U2926" s="1"/>
      <c r="V2926" s="1"/>
      <c r="W2926" s="1"/>
      <c r="X2926" s="1"/>
      <c r="Y2926" s="1"/>
      <c r="Z2926" s="1"/>
      <c r="AA2926" s="1"/>
      <c r="AB2926" s="1"/>
    </row>
    <row r="2927" ht="50.25" customHeight="1">
      <c r="A2927" s="12">
        <v>2923.0</v>
      </c>
      <c r="B2927" s="13" t="s">
        <v>2825</v>
      </c>
      <c r="C2927" s="14" t="s">
        <v>2942</v>
      </c>
      <c r="D2927" s="1"/>
      <c r="E2927" s="1"/>
      <c r="F2927" s="1" t="str">
        <f>IFERROR(__xludf.DUMMYFUNCTION("GOOGLETRANSLATE(B2927, ""en"", ""fa"")
"),"آموزش و پرورش")</f>
        <v>آموزش و پرورش</v>
      </c>
      <c r="G2927" s="1" t="str">
        <f>IFERROR(__xludf.DUMMYFUNCTION("GOOGLETRANSLATE(C2927, ""en"", ""fa"")
"),"در مورد مزایای شیوه های ذهن آگاهی در ارتقای رفاه و سلامت روان دانش آموزان بحث کنید.")</f>
        <v>در مورد مزایای شیوه های ذهن آگاهی در ارتقای رفاه و سلامت روان دانش آموزان بحث کنید.</v>
      </c>
      <c r="H2927" s="1"/>
      <c r="I2927" s="1"/>
      <c r="J2927" s="1"/>
      <c r="K2927" s="1"/>
      <c r="L2927" s="1"/>
      <c r="M2927" s="1"/>
      <c r="N2927" s="1"/>
      <c r="O2927" s="1"/>
      <c r="P2927" s="1"/>
      <c r="Q2927" s="1"/>
      <c r="R2927" s="1"/>
      <c r="S2927" s="1"/>
      <c r="T2927" s="1"/>
      <c r="U2927" s="1"/>
      <c r="V2927" s="1"/>
      <c r="W2927" s="1"/>
      <c r="X2927" s="1"/>
      <c r="Y2927" s="1"/>
      <c r="Z2927" s="1"/>
      <c r="AA2927" s="1"/>
      <c r="AB2927" s="1"/>
    </row>
    <row r="2928" ht="50.25" customHeight="1">
      <c r="A2928" s="12">
        <v>2924.0</v>
      </c>
      <c r="B2928" s="13" t="s">
        <v>2825</v>
      </c>
      <c r="C2928" s="14" t="s">
        <v>2943</v>
      </c>
      <c r="D2928" s="1"/>
      <c r="E2928" s="1"/>
      <c r="F2928" s="1" t="str">
        <f>IFERROR(__xludf.DUMMYFUNCTION("GOOGLETRANSLATE(B2928, ""en"", ""fa"")
"),"آموزش و پرورش")</f>
        <v>آموزش و پرورش</v>
      </c>
      <c r="G2928" s="1" t="str">
        <f>IFERROR(__xludf.DUMMYFUNCTION("GOOGLETRANSLATE(C2928, ""en"", ""fa"")
"),"نقش یادگیری پروژه محور را در توسعه مهارت های همکاری و حل مسئله تجزیه و تحلیل کنید.")</f>
        <v>نقش یادگیری پروژه محور را در توسعه مهارت های همکاری و حل مسئله تجزیه و تحلیل کنید.</v>
      </c>
      <c r="H2928" s="1"/>
      <c r="I2928" s="1"/>
      <c r="J2928" s="1"/>
      <c r="K2928" s="1"/>
      <c r="L2928" s="1"/>
      <c r="M2928" s="1"/>
      <c r="N2928" s="1"/>
      <c r="O2928" s="1"/>
      <c r="P2928" s="1"/>
      <c r="Q2928" s="1"/>
      <c r="R2928" s="1"/>
      <c r="S2928" s="1"/>
      <c r="T2928" s="1"/>
      <c r="U2928" s="1"/>
      <c r="V2928" s="1"/>
      <c r="W2928" s="1"/>
      <c r="X2928" s="1"/>
      <c r="Y2928" s="1"/>
      <c r="Z2928" s="1"/>
      <c r="AA2928" s="1"/>
      <c r="AB2928" s="1"/>
    </row>
    <row r="2929" ht="50.25" customHeight="1">
      <c r="A2929" s="12">
        <v>2925.0</v>
      </c>
      <c r="B2929" s="13" t="s">
        <v>2825</v>
      </c>
      <c r="C2929" s="14" t="s">
        <v>2944</v>
      </c>
      <c r="D2929" s="1"/>
      <c r="E2929" s="1"/>
      <c r="F2929" s="1" t="str">
        <f>IFERROR(__xludf.DUMMYFUNCTION("GOOGLETRANSLATE(B2929, ""en"", ""fa"")
"),"آموزش و پرورش")</f>
        <v>آموزش و پرورش</v>
      </c>
      <c r="G2929" s="1" t="str">
        <f>IFERROR(__xludf.DUMMYFUNCTION("GOOGLETRANSLATE(C2929, ""en"", ""fa"")
"),"مزایای ادغام یادگیری اجتماعی-عاطفی را در برنامه درسی برای حمایت از رشد اجتماعی و عاطفی دانش آموزان بررسی کنید.")</f>
        <v>مزایای ادغام یادگیری اجتماعی-عاطفی را در برنامه درسی برای حمایت از رشد اجتماعی و عاطفی دانش آموزان بررسی کنید.</v>
      </c>
      <c r="H2929" s="1"/>
      <c r="I2929" s="1"/>
      <c r="J2929" s="1"/>
      <c r="K2929" s="1"/>
      <c r="L2929" s="1"/>
      <c r="M2929" s="1"/>
      <c r="N2929" s="1"/>
      <c r="O2929" s="1"/>
      <c r="P2929" s="1"/>
      <c r="Q2929" s="1"/>
      <c r="R2929" s="1"/>
      <c r="S2929" s="1"/>
      <c r="T2929" s="1"/>
      <c r="U2929" s="1"/>
      <c r="V2929" s="1"/>
      <c r="W2929" s="1"/>
      <c r="X2929" s="1"/>
      <c r="Y2929" s="1"/>
      <c r="Z2929" s="1"/>
      <c r="AA2929" s="1"/>
      <c r="AB2929" s="1"/>
    </row>
    <row r="2930" ht="50.25" customHeight="1">
      <c r="A2930" s="12">
        <v>2926.0</v>
      </c>
      <c r="B2930" s="13" t="s">
        <v>2825</v>
      </c>
      <c r="C2930" s="14" t="s">
        <v>2945</v>
      </c>
      <c r="D2930" s="1"/>
      <c r="E2930" s="1"/>
      <c r="F2930" s="1" t="str">
        <f>IFERROR(__xludf.DUMMYFUNCTION("GOOGLETRANSLATE(B2930, ""en"", ""fa"")
"),"آموزش و پرورش")</f>
        <v>آموزش و پرورش</v>
      </c>
      <c r="G2930" s="1" t="str">
        <f>IFERROR(__xludf.DUMMYFUNCTION("GOOGLETRANSLATE(C2930, ""en"", ""fa"")
"),"در مورد تأثیر طراحی کلاس درس و فضاهای یادگیری انعطاف پذیر بر مشارکت دانش آموزان و نتایج یادگیری بحث کنید.")</f>
        <v>در مورد تأثیر طراحی کلاس درس و فضاهای یادگیری انعطاف پذیر بر مشارکت دانش آموزان و نتایج یادگیری بحث کنید.</v>
      </c>
      <c r="H2930" s="1"/>
      <c r="I2930" s="1"/>
      <c r="J2930" s="1"/>
      <c r="K2930" s="1"/>
      <c r="L2930" s="1"/>
      <c r="M2930" s="1"/>
      <c r="N2930" s="1"/>
      <c r="O2930" s="1"/>
      <c r="P2930" s="1"/>
      <c r="Q2930" s="1"/>
      <c r="R2930" s="1"/>
      <c r="S2930" s="1"/>
      <c r="T2930" s="1"/>
      <c r="U2930" s="1"/>
      <c r="V2930" s="1"/>
      <c r="W2930" s="1"/>
      <c r="X2930" s="1"/>
      <c r="Y2930" s="1"/>
      <c r="Z2930" s="1"/>
      <c r="AA2930" s="1"/>
      <c r="AB2930" s="1"/>
    </row>
    <row r="2931" ht="50.25" customHeight="1">
      <c r="A2931" s="12">
        <v>2927.0</v>
      </c>
      <c r="B2931" s="13" t="s">
        <v>2825</v>
      </c>
      <c r="C2931" s="14" t="s">
        <v>2946</v>
      </c>
      <c r="D2931" s="1"/>
      <c r="E2931" s="1"/>
      <c r="F2931" s="1" t="str">
        <f>IFERROR(__xludf.DUMMYFUNCTION("GOOGLETRANSLATE(B2931, ""en"", ""fa"")
"),"آموزش و پرورش")</f>
        <v>آموزش و پرورش</v>
      </c>
      <c r="G2931" s="1" t="str">
        <f>IFERROR(__xludf.DUMMYFUNCTION("GOOGLETRANSLATE(C2931, ""en"", ""fa"")
"),"مزایای آموزش مهارت‌های سواد دیجیتالی حیاتی را تجزیه و تحلیل کنید تا به دانش‌آموزان کمک کنید تا به طور مسئولانه در فضای دیجیتال حرکت کنند.")</f>
        <v>مزایای آموزش مهارت‌های سواد دیجیتالی حیاتی را تجزیه و تحلیل کنید تا به دانش‌آموزان کمک کنید تا به طور مسئولانه در فضای دیجیتال حرکت کنند.</v>
      </c>
      <c r="H2931" s="1"/>
      <c r="I2931" s="1"/>
      <c r="J2931" s="1"/>
      <c r="K2931" s="1"/>
      <c r="L2931" s="1"/>
      <c r="M2931" s="1"/>
      <c r="N2931" s="1"/>
      <c r="O2931" s="1"/>
      <c r="P2931" s="1"/>
      <c r="Q2931" s="1"/>
      <c r="R2931" s="1"/>
      <c r="S2931" s="1"/>
      <c r="T2931" s="1"/>
      <c r="U2931" s="1"/>
      <c r="V2931" s="1"/>
      <c r="W2931" s="1"/>
      <c r="X2931" s="1"/>
      <c r="Y2931" s="1"/>
      <c r="Z2931" s="1"/>
      <c r="AA2931" s="1"/>
      <c r="AB2931" s="1"/>
    </row>
    <row r="2932" ht="50.25" customHeight="1">
      <c r="A2932" s="12">
        <v>2928.0</v>
      </c>
      <c r="B2932" s="13" t="s">
        <v>2825</v>
      </c>
      <c r="C2932" s="14" t="s">
        <v>2947</v>
      </c>
      <c r="D2932" s="1"/>
      <c r="E2932" s="1"/>
      <c r="F2932" s="1" t="str">
        <f>IFERROR(__xludf.DUMMYFUNCTION("GOOGLETRANSLATE(B2932, ""en"", ""fa"")
"),"آموزش و پرورش")</f>
        <v>آموزش و پرورش</v>
      </c>
      <c r="G2932" s="1" t="str">
        <f>IFERROR(__xludf.DUMMYFUNCTION("GOOGLETRANSLATE(C2932, ""en"", ""fa"")
"),"نقش ارزشیابی برای یادگیری را در ارتقای رشد و خود اندیشی دانش آموزان بررسی کنید.")</f>
        <v>نقش ارزشیابی برای یادگیری را در ارتقای رشد و خود اندیشی دانش آموزان بررسی کنید.</v>
      </c>
      <c r="H2932" s="1"/>
      <c r="I2932" s="1"/>
      <c r="J2932" s="1"/>
      <c r="K2932" s="1"/>
      <c r="L2932" s="1"/>
      <c r="M2932" s="1"/>
      <c r="N2932" s="1"/>
      <c r="O2932" s="1"/>
      <c r="P2932" s="1"/>
      <c r="Q2932" s="1"/>
      <c r="R2932" s="1"/>
      <c r="S2932" s="1"/>
      <c r="T2932" s="1"/>
      <c r="U2932" s="1"/>
      <c r="V2932" s="1"/>
      <c r="W2932" s="1"/>
      <c r="X2932" s="1"/>
      <c r="Y2932" s="1"/>
      <c r="Z2932" s="1"/>
      <c r="AA2932" s="1"/>
      <c r="AB2932" s="1"/>
    </row>
    <row r="2933" ht="50.25" customHeight="1">
      <c r="A2933" s="12">
        <v>2929.0</v>
      </c>
      <c r="B2933" s="13" t="s">
        <v>2825</v>
      </c>
      <c r="C2933" s="14" t="s">
        <v>2948</v>
      </c>
      <c r="D2933" s="1"/>
      <c r="E2933" s="1"/>
      <c r="F2933" s="1" t="str">
        <f>IFERROR(__xludf.DUMMYFUNCTION("GOOGLETRANSLATE(B2933, ""en"", ""fa"")
"),"آموزش و پرورش")</f>
        <v>آموزش و پرورش</v>
      </c>
      <c r="G2933" s="1" t="str">
        <f>IFERROR(__xludf.DUMMYFUNCTION("GOOGLETRANSLATE(C2933, ""en"", ""fa"")
"),"در مورد مزایای ترویج برابری و فراگیری در سیاست ها و شیوه های آموزشی بحث کنید.")</f>
        <v>در مورد مزایای ترویج برابری و فراگیری در سیاست ها و شیوه های آموزشی بحث کنید.</v>
      </c>
      <c r="H2933" s="1"/>
      <c r="I2933" s="1"/>
      <c r="J2933" s="1"/>
      <c r="K2933" s="1"/>
      <c r="L2933" s="1"/>
      <c r="M2933" s="1"/>
      <c r="N2933" s="1"/>
      <c r="O2933" s="1"/>
      <c r="P2933" s="1"/>
      <c r="Q2933" s="1"/>
      <c r="R2933" s="1"/>
      <c r="S2933" s="1"/>
      <c r="T2933" s="1"/>
      <c r="U2933" s="1"/>
      <c r="V2933" s="1"/>
      <c r="W2933" s="1"/>
      <c r="X2933" s="1"/>
      <c r="Y2933" s="1"/>
      <c r="Z2933" s="1"/>
      <c r="AA2933" s="1"/>
      <c r="AB2933" s="1"/>
    </row>
    <row r="2934" ht="50.25" customHeight="1">
      <c r="A2934" s="12">
        <v>2930.0</v>
      </c>
      <c r="B2934" s="13" t="s">
        <v>2825</v>
      </c>
      <c r="C2934" s="14" t="s">
        <v>2949</v>
      </c>
      <c r="D2934" s="1"/>
      <c r="E2934" s="1"/>
      <c r="F2934" s="1" t="str">
        <f>IFERROR(__xludf.DUMMYFUNCTION("GOOGLETRANSLATE(B2934, ""en"", ""fa"")
"),"آموزش و پرورش")</f>
        <v>آموزش و پرورش</v>
      </c>
      <c r="G2934" s="1" t="str">
        <f>IFERROR(__xludf.DUMMYFUNCTION("GOOGLETRANSLATE(C2934, ""en"", ""fa"")
"),"تجزیه و تحلیل تأثیر روابط معلم و دانش آموز بر انگیزه دانش آموزان و موفقیت تحصیلی.")</f>
        <v>تجزیه و تحلیل تأثیر روابط معلم و دانش آموز بر انگیزه دانش آموزان و موفقیت تحصیلی.</v>
      </c>
      <c r="H2934" s="1"/>
      <c r="I2934" s="1"/>
      <c r="J2934" s="1"/>
      <c r="K2934" s="1"/>
      <c r="L2934" s="1"/>
      <c r="M2934" s="1"/>
      <c r="N2934" s="1"/>
      <c r="O2934" s="1"/>
      <c r="P2934" s="1"/>
      <c r="Q2934" s="1"/>
      <c r="R2934" s="1"/>
      <c r="S2934" s="1"/>
      <c r="T2934" s="1"/>
      <c r="U2934" s="1"/>
      <c r="V2934" s="1"/>
      <c r="W2934" s="1"/>
      <c r="X2934" s="1"/>
      <c r="Y2934" s="1"/>
      <c r="Z2934" s="1"/>
      <c r="AA2934" s="1"/>
      <c r="AB2934" s="1"/>
    </row>
    <row r="2935" ht="50.25" customHeight="1">
      <c r="A2935" s="12">
        <v>2931.0</v>
      </c>
      <c r="B2935" s="13" t="s">
        <v>2825</v>
      </c>
      <c r="C2935" s="14" t="s">
        <v>2950</v>
      </c>
      <c r="D2935" s="1"/>
      <c r="E2935" s="1"/>
      <c r="F2935" s="1" t="str">
        <f>IFERROR(__xludf.DUMMYFUNCTION("GOOGLETRANSLATE(B2935, ""en"", ""fa"")
"),"آموزش و پرورش")</f>
        <v>آموزش و پرورش</v>
      </c>
      <c r="G2935" s="1" t="str">
        <f>IFERROR(__xludf.DUMMYFUNCTION("GOOGLETRANSLATE(C2935, ""en"", ""fa"")
"),"مزایای آموزش پایداری زیست محیطی در مدارس و توانمندسازی دانش آموزان برای آگاهی از محیط زیست را بررسی کنید.")</f>
        <v>مزایای آموزش پایداری زیست محیطی در مدارس و توانمندسازی دانش آموزان برای آگاهی از محیط زیست را بررسی کنید.</v>
      </c>
      <c r="H2935" s="1"/>
      <c r="I2935" s="1"/>
      <c r="J2935" s="1"/>
      <c r="K2935" s="1"/>
      <c r="L2935" s="1"/>
      <c r="M2935" s="1"/>
      <c r="N2935" s="1"/>
      <c r="O2935" s="1"/>
      <c r="P2935" s="1"/>
      <c r="Q2935" s="1"/>
      <c r="R2935" s="1"/>
      <c r="S2935" s="1"/>
      <c r="T2935" s="1"/>
      <c r="U2935" s="1"/>
      <c r="V2935" s="1"/>
      <c r="W2935" s="1"/>
      <c r="X2935" s="1"/>
      <c r="Y2935" s="1"/>
      <c r="Z2935" s="1"/>
      <c r="AA2935" s="1"/>
      <c r="AB2935" s="1"/>
    </row>
    <row r="2936" ht="50.25" customHeight="1">
      <c r="A2936" s="12">
        <v>2932.0</v>
      </c>
      <c r="B2936" s="13" t="s">
        <v>2825</v>
      </c>
      <c r="C2936" s="14" t="s">
        <v>2951</v>
      </c>
      <c r="D2936" s="1"/>
      <c r="E2936" s="1"/>
      <c r="F2936" s="1" t="str">
        <f>IFERROR(__xludf.DUMMYFUNCTION("GOOGLETRANSLATE(B2936, ""en"", ""fa"")
"),"آموزش و پرورش")</f>
        <v>آموزش و پرورش</v>
      </c>
      <c r="G2936" s="1" t="str">
        <f>IFERROR(__xludf.DUMMYFUNCTION("GOOGLETRANSLATE(C2936, ""en"", ""fa"")
"),"در مورد نقش فناوری آموزشی در ترویج یادگیری فعال و آموزش دانش آموز محور بحث کنید.")</f>
        <v>در مورد نقش فناوری آموزشی در ترویج یادگیری فعال و آموزش دانش آموز محور بحث کنید.</v>
      </c>
      <c r="H2936" s="1"/>
      <c r="I2936" s="1"/>
      <c r="J2936" s="1"/>
      <c r="K2936" s="1"/>
      <c r="L2936" s="1"/>
      <c r="M2936" s="1"/>
      <c r="N2936" s="1"/>
      <c r="O2936" s="1"/>
      <c r="P2936" s="1"/>
      <c r="Q2936" s="1"/>
      <c r="R2936" s="1"/>
      <c r="S2936" s="1"/>
      <c r="T2936" s="1"/>
      <c r="U2936" s="1"/>
      <c r="V2936" s="1"/>
      <c r="W2936" s="1"/>
      <c r="X2936" s="1"/>
      <c r="Y2936" s="1"/>
      <c r="Z2936" s="1"/>
      <c r="AA2936" s="1"/>
      <c r="AB2936" s="1"/>
    </row>
    <row r="2937" ht="50.25" customHeight="1">
      <c r="A2937" s="12">
        <v>2933.0</v>
      </c>
      <c r="B2937" s="13" t="s">
        <v>2825</v>
      </c>
      <c r="C2937" s="14" t="s">
        <v>2952</v>
      </c>
      <c r="D2937" s="1"/>
      <c r="E2937" s="1"/>
      <c r="F2937" s="1" t="str">
        <f>IFERROR(__xludf.DUMMYFUNCTION("GOOGLETRANSLATE(B2937, ""en"", ""fa"")
"),"آموزش و پرورش")</f>
        <v>آموزش و پرورش</v>
      </c>
      <c r="G2937" s="1" t="str">
        <f>IFERROR(__xludf.DUMMYFUNCTION("GOOGLETRANSLATE(C2937, ""en"", ""fa"")
"),"مزایای همکاری با همتایان و یادگیری مشارکتی در افزایش نتایج یادگیری دانش آموزان را تجزیه و تحلیل کنید.")</f>
        <v>مزایای همکاری با همتایان و یادگیری مشارکتی در افزایش نتایج یادگیری دانش آموزان را تجزیه و تحلیل کنید.</v>
      </c>
      <c r="H2937" s="1"/>
      <c r="I2937" s="1"/>
      <c r="J2937" s="1"/>
      <c r="K2937" s="1"/>
      <c r="L2937" s="1"/>
      <c r="M2937" s="1"/>
      <c r="N2937" s="1"/>
      <c r="O2937" s="1"/>
      <c r="P2937" s="1"/>
      <c r="Q2937" s="1"/>
      <c r="R2937" s="1"/>
      <c r="S2937" s="1"/>
      <c r="T2937" s="1"/>
      <c r="U2937" s="1"/>
      <c r="V2937" s="1"/>
      <c r="W2937" s="1"/>
      <c r="X2937" s="1"/>
      <c r="Y2937" s="1"/>
      <c r="Z2937" s="1"/>
      <c r="AA2937" s="1"/>
      <c r="AB2937" s="1"/>
    </row>
    <row r="2938" ht="50.25" customHeight="1">
      <c r="A2938" s="12">
        <v>2934.0</v>
      </c>
      <c r="B2938" s="13" t="s">
        <v>2825</v>
      </c>
      <c r="C2938" s="14" t="s">
        <v>2953</v>
      </c>
      <c r="D2938" s="1"/>
      <c r="E2938" s="1"/>
      <c r="F2938" s="1" t="str">
        <f>IFERROR(__xludf.DUMMYFUNCTION("GOOGLETRANSLATE(B2938, ""en"", ""fa"")
"),"آموزش و پرورش")</f>
        <v>آموزش و پرورش</v>
      </c>
      <c r="G2938" s="1" t="str">
        <f>IFERROR(__xludf.DUMMYFUNCTION("GOOGLETRANSLATE(C2938, ""en"", ""fa"")
"),"تأثیر آموزش فرهنگی پاسخگو بر مشارکت و پیشرفت دانش آموزان را بررسی کنید.")</f>
        <v>تأثیر آموزش فرهنگی پاسخگو بر مشارکت و پیشرفت دانش آموزان را بررسی کنید.</v>
      </c>
      <c r="H2938" s="1"/>
      <c r="I2938" s="1"/>
      <c r="J2938" s="1"/>
      <c r="K2938" s="1"/>
      <c r="L2938" s="1"/>
      <c r="M2938" s="1"/>
      <c r="N2938" s="1"/>
      <c r="O2938" s="1"/>
      <c r="P2938" s="1"/>
      <c r="Q2938" s="1"/>
      <c r="R2938" s="1"/>
      <c r="S2938" s="1"/>
      <c r="T2938" s="1"/>
      <c r="U2938" s="1"/>
      <c r="V2938" s="1"/>
      <c r="W2938" s="1"/>
      <c r="X2938" s="1"/>
      <c r="Y2938" s="1"/>
      <c r="Z2938" s="1"/>
      <c r="AA2938" s="1"/>
      <c r="AB2938" s="1"/>
    </row>
    <row r="2939" ht="50.25" customHeight="1">
      <c r="A2939" s="12">
        <v>2935.0</v>
      </c>
      <c r="B2939" s="13" t="s">
        <v>2825</v>
      </c>
      <c r="C2939" s="14" t="s">
        <v>2954</v>
      </c>
      <c r="D2939" s="1"/>
      <c r="E2939" s="1"/>
      <c r="F2939" s="1" t="str">
        <f>IFERROR(__xludf.DUMMYFUNCTION("GOOGLETRANSLATE(B2939, ""en"", ""fa"")
"),"آموزش و پرورش")</f>
        <v>آموزش و پرورش</v>
      </c>
      <c r="G2939" s="1" t="str">
        <f>IFERROR(__xludf.DUMMYFUNCTION("GOOGLETRANSLATE(C2939, ""en"", ""fa"")
"),"در مورد مزایای آموزش واحدهای بین رشته ای و ارتقای ارتباطات در حوزه های موضوعی بحث کنید.")</f>
        <v>در مورد مزایای آموزش واحدهای بین رشته ای و ارتقای ارتباطات در حوزه های موضوعی بحث کنید.</v>
      </c>
      <c r="H2939" s="1"/>
      <c r="I2939" s="1"/>
      <c r="J2939" s="1"/>
      <c r="K2939" s="1"/>
      <c r="L2939" s="1"/>
      <c r="M2939" s="1"/>
      <c r="N2939" s="1"/>
      <c r="O2939" s="1"/>
      <c r="P2939" s="1"/>
      <c r="Q2939" s="1"/>
      <c r="R2939" s="1"/>
      <c r="S2939" s="1"/>
      <c r="T2939" s="1"/>
      <c r="U2939" s="1"/>
      <c r="V2939" s="1"/>
      <c r="W2939" s="1"/>
      <c r="X2939" s="1"/>
      <c r="Y2939" s="1"/>
      <c r="Z2939" s="1"/>
      <c r="AA2939" s="1"/>
      <c r="AB2939" s="1"/>
    </row>
    <row r="2940" ht="50.25" customHeight="1">
      <c r="A2940" s="12">
        <v>2936.0</v>
      </c>
      <c r="B2940" s="13" t="s">
        <v>2825</v>
      </c>
      <c r="C2940" s="14" t="s">
        <v>2955</v>
      </c>
      <c r="D2940" s="1"/>
      <c r="E2940" s="1"/>
      <c r="F2940" s="1" t="str">
        <f>IFERROR(__xludf.DUMMYFUNCTION("GOOGLETRANSLATE(B2940, ""en"", ""fa"")
"),"آموزش و پرورش")</f>
        <v>آموزش و پرورش</v>
      </c>
      <c r="G2940" s="1" t="str">
        <f>IFERROR(__xludf.DUMMYFUNCTION("GOOGLETRANSLATE(C2940, ""en"", ""fa"")
"),"تحلیل نقش پژوهش آموزشی در اطلاع رسانی شیوه های آموزشی مبتنی بر شواهد.")</f>
        <v>تحلیل نقش پژوهش آموزشی در اطلاع رسانی شیوه های آموزشی مبتنی بر شواهد.</v>
      </c>
      <c r="H2940" s="1"/>
      <c r="I2940" s="1"/>
      <c r="J2940" s="1"/>
      <c r="K2940" s="1"/>
      <c r="L2940" s="1"/>
      <c r="M2940" s="1"/>
      <c r="N2940" s="1"/>
      <c r="O2940" s="1"/>
      <c r="P2940" s="1"/>
      <c r="Q2940" s="1"/>
      <c r="R2940" s="1"/>
      <c r="S2940" s="1"/>
      <c r="T2940" s="1"/>
      <c r="U2940" s="1"/>
      <c r="V2940" s="1"/>
      <c r="W2940" s="1"/>
      <c r="X2940" s="1"/>
      <c r="Y2940" s="1"/>
      <c r="Z2940" s="1"/>
      <c r="AA2940" s="1"/>
      <c r="AB2940" s="1"/>
    </row>
    <row r="2941" ht="50.25" customHeight="1">
      <c r="A2941" s="12">
        <v>2937.0</v>
      </c>
      <c r="B2941" s="13" t="s">
        <v>2825</v>
      </c>
      <c r="C2941" s="14" t="s">
        <v>2956</v>
      </c>
      <c r="D2941" s="1"/>
      <c r="E2941" s="1"/>
      <c r="F2941" s="1" t="str">
        <f>IFERROR(__xludf.DUMMYFUNCTION("GOOGLETRANSLATE(B2941, ""en"", ""fa"")
"),"آموزش و پرورش")</f>
        <v>آموزش و پرورش</v>
      </c>
      <c r="G2941" s="1" t="str">
        <f>IFERROR(__xludf.DUMMYFUNCTION("GOOGLETRANSLATE(C2941, ""en"", ""fa"")
"),"مزایای آموزش مهارت های حل مسئله و تفکر انتقادی در آماده سازی دانش آموزان برای مشاغل آینده را بررسی کنید.")</f>
        <v>مزایای آموزش مهارت های حل مسئله و تفکر انتقادی در آماده سازی دانش آموزان برای مشاغل آینده را بررسی کنید.</v>
      </c>
      <c r="H2941" s="1"/>
      <c r="I2941" s="1"/>
      <c r="J2941" s="1"/>
      <c r="K2941" s="1"/>
      <c r="L2941" s="1"/>
      <c r="M2941" s="1"/>
      <c r="N2941" s="1"/>
      <c r="O2941" s="1"/>
      <c r="P2941" s="1"/>
      <c r="Q2941" s="1"/>
      <c r="R2941" s="1"/>
      <c r="S2941" s="1"/>
      <c r="T2941" s="1"/>
      <c r="U2941" s="1"/>
      <c r="V2941" s="1"/>
      <c r="W2941" s="1"/>
      <c r="X2941" s="1"/>
      <c r="Y2941" s="1"/>
      <c r="Z2941" s="1"/>
      <c r="AA2941" s="1"/>
      <c r="AB2941" s="1"/>
    </row>
    <row r="2942" ht="50.25" customHeight="1">
      <c r="A2942" s="12">
        <v>2938.0</v>
      </c>
      <c r="B2942" s="13" t="s">
        <v>2825</v>
      </c>
      <c r="C2942" s="14" t="s">
        <v>2957</v>
      </c>
      <c r="D2942" s="1"/>
      <c r="E2942" s="1"/>
      <c r="F2942" s="1" t="str">
        <f>IFERROR(__xludf.DUMMYFUNCTION("GOOGLETRANSLATE(B2942, ""en"", ""fa"")
"),"آموزش و پرورش")</f>
        <v>آموزش و پرورش</v>
      </c>
      <c r="G2942" s="1" t="str">
        <f>IFERROR(__xludf.DUMMYFUNCTION("GOOGLETRANSLATE(C2942, ""en"", ""fa"")
"),"در مورد تأثیر مشارکت والدین بر پیشرفت تحصیلی و رفاه کلی دانش آموزان بحث کنید.")</f>
        <v>در مورد تأثیر مشارکت والدین بر پیشرفت تحصیلی و رفاه کلی دانش آموزان بحث کنید.</v>
      </c>
      <c r="H2942" s="1"/>
      <c r="I2942" s="1"/>
      <c r="J2942" s="1"/>
      <c r="K2942" s="1"/>
      <c r="L2942" s="1"/>
      <c r="M2942" s="1"/>
      <c r="N2942" s="1"/>
      <c r="O2942" s="1"/>
      <c r="P2942" s="1"/>
      <c r="Q2942" s="1"/>
      <c r="R2942" s="1"/>
      <c r="S2942" s="1"/>
      <c r="T2942" s="1"/>
      <c r="U2942" s="1"/>
      <c r="V2942" s="1"/>
      <c r="W2942" s="1"/>
      <c r="X2942" s="1"/>
      <c r="Y2942" s="1"/>
      <c r="Z2942" s="1"/>
      <c r="AA2942" s="1"/>
      <c r="AB2942" s="1"/>
    </row>
    <row r="2943" ht="50.25" customHeight="1">
      <c r="A2943" s="12">
        <v>2939.0</v>
      </c>
      <c r="B2943" s="13" t="s">
        <v>2825</v>
      </c>
      <c r="C2943" s="14" t="s">
        <v>2958</v>
      </c>
      <c r="D2943" s="1"/>
      <c r="E2943" s="1"/>
      <c r="F2943" s="1" t="str">
        <f>IFERROR(__xludf.DUMMYFUNCTION("GOOGLETRANSLATE(B2943, ""en"", ""fa"")
"),"آموزش و پرورش")</f>
        <v>آموزش و پرورش</v>
      </c>
      <c r="G2943" s="1" t="str">
        <f>IFERROR(__xludf.DUMMYFUNCTION("GOOGLETRANSLATE(C2943, ""en"", ""fa"")
"),"تجزیه و تحلیل مزایای ارزیابی پروژه محور در ارزیابی درک دانش آموزان و کاربرد دانش.")</f>
        <v>تجزیه و تحلیل مزایای ارزیابی پروژه محور در ارزیابی درک دانش آموزان و کاربرد دانش.</v>
      </c>
      <c r="H2943" s="1"/>
      <c r="I2943" s="1"/>
      <c r="J2943" s="1"/>
      <c r="K2943" s="1"/>
      <c r="L2943" s="1"/>
      <c r="M2943" s="1"/>
      <c r="N2943" s="1"/>
      <c r="O2943" s="1"/>
      <c r="P2943" s="1"/>
      <c r="Q2943" s="1"/>
      <c r="R2943" s="1"/>
      <c r="S2943" s="1"/>
      <c r="T2943" s="1"/>
      <c r="U2943" s="1"/>
      <c r="V2943" s="1"/>
      <c r="W2943" s="1"/>
      <c r="X2943" s="1"/>
      <c r="Y2943" s="1"/>
      <c r="Z2943" s="1"/>
      <c r="AA2943" s="1"/>
      <c r="AB2943" s="1"/>
    </row>
    <row r="2944" ht="50.25" customHeight="1">
      <c r="A2944" s="12">
        <v>2940.0</v>
      </c>
      <c r="B2944" s="13" t="s">
        <v>2825</v>
      </c>
      <c r="C2944" s="14" t="s">
        <v>2959</v>
      </c>
      <c r="D2944" s="1"/>
      <c r="E2944" s="1"/>
      <c r="F2944" s="1" t="str">
        <f>IFERROR(__xludf.DUMMYFUNCTION("GOOGLETRANSLATE(B2944, ""en"", ""fa"")
"),"آموزش و پرورش")</f>
        <v>آموزش و پرورش</v>
      </c>
      <c r="G2944" s="1" t="str">
        <f>IFERROR(__xludf.DUMMYFUNCTION("GOOGLETRANSLATE(C2944, ""en"", ""fa"")
"),"نقش آموزش در تقویت عدالت اجتماعی و رسیدگی به نابرابری های اجتماعی را بررسی کنید.")</f>
        <v>نقش آموزش در تقویت عدالت اجتماعی و رسیدگی به نابرابری های اجتماعی را بررسی کنید.</v>
      </c>
      <c r="H2944" s="1"/>
      <c r="I2944" s="1"/>
      <c r="J2944" s="1"/>
      <c r="K2944" s="1"/>
      <c r="L2944" s="1"/>
      <c r="M2944" s="1"/>
      <c r="N2944" s="1"/>
      <c r="O2944" s="1"/>
      <c r="P2944" s="1"/>
      <c r="Q2944" s="1"/>
      <c r="R2944" s="1"/>
      <c r="S2944" s="1"/>
      <c r="T2944" s="1"/>
      <c r="U2944" s="1"/>
      <c r="V2944" s="1"/>
      <c r="W2944" s="1"/>
      <c r="X2944" s="1"/>
      <c r="Y2944" s="1"/>
      <c r="Z2944" s="1"/>
      <c r="AA2944" s="1"/>
      <c r="AB2944" s="1"/>
    </row>
    <row r="2945" ht="50.25" customHeight="1">
      <c r="A2945" s="12">
        <v>2941.0</v>
      </c>
      <c r="B2945" s="13" t="s">
        <v>2825</v>
      </c>
      <c r="C2945" s="14" t="s">
        <v>2960</v>
      </c>
      <c r="D2945" s="1"/>
      <c r="E2945" s="1"/>
      <c r="F2945" s="1" t="str">
        <f>IFERROR(__xludf.DUMMYFUNCTION("GOOGLETRANSLATE(B2945, ""en"", ""fa"")
"),"آموزش و پرورش")</f>
        <v>آموزش و پرورش</v>
      </c>
      <c r="G2945" s="1" t="str">
        <f>IFERROR(__xludf.DUMMYFUNCTION("GOOGLETRANSLATE(C2945, ""en"", ""fa"")
"),"در مورد مزایای پرورش فرهنگ ذهنیت رشد در کلاس های درس برای ارتقای انعطاف پذیری و استقامت بحث کنید.")</f>
        <v>در مورد مزایای پرورش فرهنگ ذهنیت رشد در کلاس های درس برای ارتقای انعطاف پذیری و استقامت بحث کنید.</v>
      </c>
      <c r="H2945" s="1"/>
      <c r="I2945" s="1"/>
      <c r="J2945" s="1"/>
      <c r="K2945" s="1"/>
      <c r="L2945" s="1"/>
      <c r="M2945" s="1"/>
      <c r="N2945" s="1"/>
      <c r="O2945" s="1"/>
      <c r="P2945" s="1"/>
      <c r="Q2945" s="1"/>
      <c r="R2945" s="1"/>
      <c r="S2945" s="1"/>
      <c r="T2945" s="1"/>
      <c r="U2945" s="1"/>
      <c r="V2945" s="1"/>
      <c r="W2945" s="1"/>
      <c r="X2945" s="1"/>
      <c r="Y2945" s="1"/>
      <c r="Z2945" s="1"/>
      <c r="AA2945" s="1"/>
      <c r="AB2945" s="1"/>
    </row>
    <row r="2946" ht="50.25" customHeight="1">
      <c r="A2946" s="12">
        <v>2942.0</v>
      </c>
      <c r="B2946" s="13" t="s">
        <v>2825</v>
      </c>
      <c r="C2946" s="14" t="s">
        <v>2961</v>
      </c>
      <c r="D2946" s="1"/>
      <c r="E2946" s="1"/>
      <c r="F2946" s="1" t="str">
        <f>IFERROR(__xludf.DUMMYFUNCTION("GOOGLETRANSLATE(B2946, ""en"", ""fa"")
"),"آموزش و پرورش")</f>
        <v>آموزش و پرورش</v>
      </c>
      <c r="G2946" s="1" t="str">
        <f>IFERROR(__xludf.DUMMYFUNCTION("GOOGLETRANSLATE(C2946, ""en"", ""fa"")
"),"تأثیر یادگیری مبتنی بر پرس و جو در ارتقای کنجکاوی و درک عمیق دانش آموزان را تجزیه و تحلیل کنید.")</f>
        <v>تأثیر یادگیری مبتنی بر پرس و جو در ارتقای کنجکاوی و درک عمیق دانش آموزان را تجزیه و تحلیل کنید.</v>
      </c>
      <c r="H2946" s="1"/>
      <c r="I2946" s="1"/>
      <c r="J2946" s="1"/>
      <c r="K2946" s="1"/>
      <c r="L2946" s="1"/>
      <c r="M2946" s="1"/>
      <c r="N2946" s="1"/>
      <c r="O2946" s="1"/>
      <c r="P2946" s="1"/>
      <c r="Q2946" s="1"/>
      <c r="R2946" s="1"/>
      <c r="S2946" s="1"/>
      <c r="T2946" s="1"/>
      <c r="U2946" s="1"/>
      <c r="V2946" s="1"/>
      <c r="W2946" s="1"/>
      <c r="X2946" s="1"/>
      <c r="Y2946" s="1"/>
      <c r="Z2946" s="1"/>
      <c r="AA2946" s="1"/>
      <c r="AB2946" s="1"/>
    </row>
    <row r="2947" ht="50.25" customHeight="1">
      <c r="A2947" s="12">
        <v>2943.0</v>
      </c>
      <c r="B2947" s="13" t="s">
        <v>2825</v>
      </c>
      <c r="C2947" s="14" t="s">
        <v>2962</v>
      </c>
      <c r="D2947" s="1"/>
      <c r="E2947" s="1"/>
      <c r="F2947" s="1" t="str">
        <f>IFERROR(__xludf.DUMMYFUNCTION("GOOGLETRANSLATE(B2947, ""en"", ""fa"")
"),"آموزش و پرورش")</f>
        <v>آموزش و پرورش</v>
      </c>
      <c r="G2947" s="1" t="str">
        <f>IFERROR(__xludf.DUMMYFUNCTION("GOOGLETRANSLATE(C2947, ""en"", ""fa"")
"),"مزایای آموزش مهارت های تولید رسانه برای توانمندسازی دانش آموزان به عنوان خالق محتوای دیجیتال را بررسی کنید.")</f>
        <v>مزایای آموزش مهارت های تولید رسانه برای توانمندسازی دانش آموزان به عنوان خالق محتوای دیجیتال را بررسی کنید.</v>
      </c>
      <c r="H2947" s="1"/>
      <c r="I2947" s="1"/>
      <c r="J2947" s="1"/>
      <c r="K2947" s="1"/>
      <c r="L2947" s="1"/>
      <c r="M2947" s="1"/>
      <c r="N2947" s="1"/>
      <c r="O2947" s="1"/>
      <c r="P2947" s="1"/>
      <c r="Q2947" s="1"/>
      <c r="R2947" s="1"/>
      <c r="S2947" s="1"/>
      <c r="T2947" s="1"/>
      <c r="U2947" s="1"/>
      <c r="V2947" s="1"/>
      <c r="W2947" s="1"/>
      <c r="X2947" s="1"/>
      <c r="Y2947" s="1"/>
      <c r="Z2947" s="1"/>
      <c r="AA2947" s="1"/>
      <c r="AB2947" s="1"/>
    </row>
    <row r="2948" ht="50.25" customHeight="1">
      <c r="A2948" s="12">
        <v>2944.0</v>
      </c>
      <c r="B2948" s="13" t="s">
        <v>2825</v>
      </c>
      <c r="C2948" s="14" t="s">
        <v>2963</v>
      </c>
      <c r="D2948" s="1"/>
      <c r="E2948" s="1"/>
      <c r="F2948" s="1" t="str">
        <f>IFERROR(__xludf.DUMMYFUNCTION("GOOGLETRANSLATE(B2948, ""en"", ""fa"")
"),"آموزش و پرورش")</f>
        <v>آموزش و پرورش</v>
      </c>
      <c r="G2948" s="1" t="str">
        <f>IFERROR(__xludf.DUMMYFUNCTION("GOOGLETRANSLATE(C2948, ""en"", ""fa"")
"),"درباره نقش شیوه های عدالت ترمیمی در ترویج انضباط مثبت و حل تعارض در مدارس بحث کنید.")</f>
        <v>درباره نقش شیوه های عدالت ترمیمی در ترویج انضباط مثبت و حل تعارض در مدارس بحث کنید.</v>
      </c>
      <c r="H2948" s="1"/>
      <c r="I2948" s="1"/>
      <c r="J2948" s="1"/>
      <c r="K2948" s="1"/>
      <c r="L2948" s="1"/>
      <c r="M2948" s="1"/>
      <c r="N2948" s="1"/>
      <c r="O2948" s="1"/>
      <c r="P2948" s="1"/>
      <c r="Q2948" s="1"/>
      <c r="R2948" s="1"/>
      <c r="S2948" s="1"/>
      <c r="T2948" s="1"/>
      <c r="U2948" s="1"/>
      <c r="V2948" s="1"/>
      <c r="W2948" s="1"/>
      <c r="X2948" s="1"/>
      <c r="Y2948" s="1"/>
      <c r="Z2948" s="1"/>
      <c r="AA2948" s="1"/>
      <c r="AB2948" s="1"/>
    </row>
    <row r="2949" ht="50.25" customHeight="1">
      <c r="A2949" s="12">
        <v>2945.0</v>
      </c>
      <c r="B2949" s="13" t="s">
        <v>2825</v>
      </c>
      <c r="C2949" s="14" t="s">
        <v>2964</v>
      </c>
      <c r="D2949" s="1"/>
      <c r="E2949" s="1"/>
      <c r="F2949" s="1" t="str">
        <f>IFERROR(__xludf.DUMMYFUNCTION("GOOGLETRANSLATE(B2949, ""en"", ""fa"")
"),"آموزش و پرورش")</f>
        <v>آموزش و پرورش</v>
      </c>
      <c r="G2949" s="1" t="str">
        <f>IFERROR(__xludf.DUMMYFUNCTION("GOOGLETRANSLATE(C2949, ""en"", ""fa"")
"),"تجزیه و تحلیل مزایای آموزش ادبیات چندفرهنگی برای ترویج همدلی و درک فرهنگی.")</f>
        <v>تجزیه و تحلیل مزایای آموزش ادبیات چندفرهنگی برای ترویج همدلی و درک فرهنگی.</v>
      </c>
      <c r="H2949" s="1"/>
      <c r="I2949" s="1"/>
      <c r="J2949" s="1"/>
      <c r="K2949" s="1"/>
      <c r="L2949" s="1"/>
      <c r="M2949" s="1"/>
      <c r="N2949" s="1"/>
      <c r="O2949" s="1"/>
      <c r="P2949" s="1"/>
      <c r="Q2949" s="1"/>
      <c r="R2949" s="1"/>
      <c r="S2949" s="1"/>
      <c r="T2949" s="1"/>
      <c r="U2949" s="1"/>
      <c r="V2949" s="1"/>
      <c r="W2949" s="1"/>
      <c r="X2949" s="1"/>
      <c r="Y2949" s="1"/>
      <c r="Z2949" s="1"/>
      <c r="AA2949" s="1"/>
      <c r="AB2949" s="1"/>
    </row>
    <row r="2950" ht="50.25" customHeight="1">
      <c r="A2950" s="12">
        <v>2946.0</v>
      </c>
      <c r="B2950" s="13" t="s">
        <v>2825</v>
      </c>
      <c r="C2950" s="14" t="s">
        <v>2965</v>
      </c>
      <c r="D2950" s="1"/>
      <c r="E2950" s="1"/>
      <c r="F2950" s="1" t="str">
        <f>IFERROR(__xludf.DUMMYFUNCTION("GOOGLETRANSLATE(B2950, ""en"", ""fa"")
"),"آموزش و پرورش")</f>
        <v>آموزش و پرورش</v>
      </c>
      <c r="G2950" s="1" t="str">
        <f>IFERROR(__xludf.DUMMYFUNCTION("GOOGLETRANSLATE(C2950, ""en"", ""fa"")
"),"تأثیر مدل‌های کلاس درس معکوس بر مشارکت دانش‌آموزان و یادگیری فعال را بررسی کنید.")</f>
        <v>تأثیر مدل‌های کلاس درس معکوس بر مشارکت دانش‌آموزان و یادگیری فعال را بررسی کنید.</v>
      </c>
      <c r="H2950" s="1"/>
      <c r="I2950" s="1"/>
      <c r="J2950" s="1"/>
      <c r="K2950" s="1"/>
      <c r="L2950" s="1"/>
      <c r="M2950" s="1"/>
      <c r="N2950" s="1"/>
      <c r="O2950" s="1"/>
      <c r="P2950" s="1"/>
      <c r="Q2950" s="1"/>
      <c r="R2950" s="1"/>
      <c r="S2950" s="1"/>
      <c r="T2950" s="1"/>
      <c r="U2950" s="1"/>
      <c r="V2950" s="1"/>
      <c r="W2950" s="1"/>
      <c r="X2950" s="1"/>
      <c r="Y2950" s="1"/>
      <c r="Z2950" s="1"/>
      <c r="AA2950" s="1"/>
      <c r="AB2950" s="1"/>
    </row>
    <row r="2951" ht="50.25" customHeight="1">
      <c r="A2951" s="12">
        <v>2947.0</v>
      </c>
      <c r="B2951" s="13" t="s">
        <v>2825</v>
      </c>
      <c r="C2951" s="14" t="s">
        <v>2966</v>
      </c>
      <c r="D2951" s="1"/>
      <c r="E2951" s="1"/>
      <c r="F2951" s="1" t="str">
        <f>IFERROR(__xludf.DUMMYFUNCTION("GOOGLETRANSLATE(B2951, ""en"", ""fa"")
"),"آموزش و پرورش")</f>
        <v>آموزش و پرورش</v>
      </c>
      <c r="G2951" s="1" t="str">
        <f>IFERROR(__xludf.DUMMYFUNCTION("GOOGLETRANSLATE(C2951, ""en"", ""fa"")
"),"در مورد مزایای آموزش شهروندی دیجیتال برای ترویج رفتار آنلاین مسئولانه و اخلاق دیجیتال بحث کنید.")</f>
        <v>در مورد مزایای آموزش شهروندی دیجیتال برای ترویج رفتار آنلاین مسئولانه و اخلاق دیجیتال بحث کنید.</v>
      </c>
      <c r="H2951" s="1"/>
      <c r="I2951" s="1"/>
      <c r="J2951" s="1"/>
      <c r="K2951" s="1"/>
      <c r="L2951" s="1"/>
      <c r="M2951" s="1"/>
      <c r="N2951" s="1"/>
      <c r="O2951" s="1"/>
      <c r="P2951" s="1"/>
      <c r="Q2951" s="1"/>
      <c r="R2951" s="1"/>
      <c r="S2951" s="1"/>
      <c r="T2951" s="1"/>
      <c r="U2951" s="1"/>
      <c r="V2951" s="1"/>
      <c r="W2951" s="1"/>
      <c r="X2951" s="1"/>
      <c r="Y2951" s="1"/>
      <c r="Z2951" s="1"/>
      <c r="AA2951" s="1"/>
      <c r="AB2951" s="1"/>
    </row>
    <row r="2952" ht="50.25" customHeight="1">
      <c r="A2952" s="12">
        <v>2948.0</v>
      </c>
      <c r="B2952" s="13" t="s">
        <v>2825</v>
      </c>
      <c r="C2952" s="14" t="s">
        <v>2967</v>
      </c>
      <c r="D2952" s="1"/>
      <c r="E2952" s="1"/>
      <c r="F2952" s="1" t="str">
        <f>IFERROR(__xludf.DUMMYFUNCTION("GOOGLETRANSLATE(B2952, ""en"", ""fa"")
"),"آموزش و پرورش")</f>
        <v>آموزش و پرورش</v>
      </c>
      <c r="G2952" s="1" t="str">
        <f>IFERROR(__xludf.DUMMYFUNCTION("GOOGLETRANSLATE(C2952, ""en"", ""fa"")
"),"تحلیل نقش رهبری آموزشی در تقویت رشد و توسعه حرفه ای معلمان.")</f>
        <v>تحلیل نقش رهبری آموزشی در تقویت رشد و توسعه حرفه ای معلمان.</v>
      </c>
      <c r="H2952" s="1"/>
      <c r="I2952" s="1"/>
      <c r="J2952" s="1"/>
      <c r="K2952" s="1"/>
      <c r="L2952" s="1"/>
      <c r="M2952" s="1"/>
      <c r="N2952" s="1"/>
      <c r="O2952" s="1"/>
      <c r="P2952" s="1"/>
      <c r="Q2952" s="1"/>
      <c r="R2952" s="1"/>
      <c r="S2952" s="1"/>
      <c r="T2952" s="1"/>
      <c r="U2952" s="1"/>
      <c r="V2952" s="1"/>
      <c r="W2952" s="1"/>
      <c r="X2952" s="1"/>
      <c r="Y2952" s="1"/>
      <c r="Z2952" s="1"/>
      <c r="AA2952" s="1"/>
      <c r="AB2952" s="1"/>
    </row>
    <row r="2953" ht="50.25" customHeight="1">
      <c r="A2953" s="12">
        <v>2949.0</v>
      </c>
      <c r="B2953" s="13" t="s">
        <v>2825</v>
      </c>
      <c r="C2953" s="14" t="s">
        <v>2968</v>
      </c>
      <c r="D2953" s="1"/>
      <c r="E2953" s="1"/>
      <c r="F2953" s="1" t="str">
        <f>IFERROR(__xludf.DUMMYFUNCTION("GOOGLETRANSLATE(B2953, ""en"", ""fa"")
"),"آموزش و پرورش")</f>
        <v>آموزش و پرورش</v>
      </c>
      <c r="G2953" s="1" t="str">
        <f>IFERROR(__xludf.DUMMYFUNCTION("GOOGLETRANSLATE(C2953, ""en"", ""fa"")
"),"مزایای آموزش سواد مالی در مدارس را برای توانمندسازی دانش آموزان با مهارت های مدیریت مالی مادام العمر بررسی کنید.")</f>
        <v>مزایای آموزش سواد مالی در مدارس را برای توانمندسازی دانش آموزان با مهارت های مدیریت مالی مادام العمر بررسی کنید.</v>
      </c>
      <c r="H2953" s="1"/>
      <c r="I2953" s="1"/>
      <c r="J2953" s="1"/>
      <c r="K2953" s="1"/>
      <c r="L2953" s="1"/>
      <c r="M2953" s="1"/>
      <c r="N2953" s="1"/>
      <c r="O2953" s="1"/>
      <c r="P2953" s="1"/>
      <c r="Q2953" s="1"/>
      <c r="R2953" s="1"/>
      <c r="S2953" s="1"/>
      <c r="T2953" s="1"/>
      <c r="U2953" s="1"/>
      <c r="V2953" s="1"/>
      <c r="W2953" s="1"/>
      <c r="X2953" s="1"/>
      <c r="Y2953" s="1"/>
      <c r="Z2953" s="1"/>
      <c r="AA2953" s="1"/>
      <c r="AB2953" s="1"/>
    </row>
    <row r="2954" ht="50.25" customHeight="1">
      <c r="A2954" s="12">
        <v>2950.0</v>
      </c>
      <c r="B2954" s="13" t="s">
        <v>2825</v>
      </c>
      <c r="C2954" s="14" t="s">
        <v>2969</v>
      </c>
      <c r="D2954" s="1"/>
      <c r="E2954" s="1"/>
      <c r="F2954" s="1" t="str">
        <f>IFERROR(__xludf.DUMMYFUNCTION("GOOGLETRANSLATE(B2954, ""en"", ""fa"")
"),"آموزش و پرورش")</f>
        <v>آموزش و پرورش</v>
      </c>
      <c r="G2954" s="1" t="str">
        <f>IFERROR(__xludf.DUMMYFUNCTION("GOOGLETRANSLATE(C2954, ""en"", ""fa"")
"),"درباره تأثیر شیوه های ارزشیابی فراگیر در ارتقای ارزشیابی منصفانه و معتبر یادگیری دانش آموزان بحث کنید.")</f>
        <v>درباره تأثیر شیوه های ارزشیابی فراگیر در ارتقای ارزشیابی منصفانه و معتبر یادگیری دانش آموزان بحث کنید.</v>
      </c>
      <c r="H2954" s="1"/>
      <c r="I2954" s="1"/>
      <c r="J2954" s="1"/>
      <c r="K2954" s="1"/>
      <c r="L2954" s="1"/>
      <c r="M2954" s="1"/>
      <c r="N2954" s="1"/>
      <c r="O2954" s="1"/>
      <c r="P2954" s="1"/>
      <c r="Q2954" s="1"/>
      <c r="R2954" s="1"/>
      <c r="S2954" s="1"/>
      <c r="T2954" s="1"/>
      <c r="U2954" s="1"/>
      <c r="V2954" s="1"/>
      <c r="W2954" s="1"/>
      <c r="X2954" s="1"/>
      <c r="Y2954" s="1"/>
      <c r="Z2954" s="1"/>
      <c r="AA2954" s="1"/>
      <c r="AB2954" s="1"/>
    </row>
    <row r="2955" ht="50.25" customHeight="1">
      <c r="A2955" s="12">
        <v>2951.0</v>
      </c>
      <c r="B2955" s="13" t="s">
        <v>2825</v>
      </c>
      <c r="C2955" s="14" t="s">
        <v>2970</v>
      </c>
      <c r="D2955" s="1"/>
      <c r="E2955" s="1"/>
      <c r="F2955" s="1" t="str">
        <f>IFERROR(__xludf.DUMMYFUNCTION("GOOGLETRANSLATE(B2955, ""en"", ""fa"")
"),"آموزش و پرورش")</f>
        <v>آموزش و پرورش</v>
      </c>
      <c r="G2955" s="1" t="str">
        <f>IFERROR(__xludf.DUMMYFUNCTION("GOOGLETRANSLATE(C2955, ""en"", ""fa"")
"),"تجزیه و تحلیل مزایای آموزش مهارت های همکاری و کار گروهی برای آماده سازی دانش آموزان برای محل کار.")</f>
        <v>تجزیه و تحلیل مزایای آموزش مهارت های همکاری و کار گروهی برای آماده سازی دانش آموزان برای محل کار.</v>
      </c>
      <c r="H2955" s="1"/>
      <c r="I2955" s="1"/>
      <c r="J2955" s="1"/>
      <c r="K2955" s="1"/>
      <c r="L2955" s="1"/>
      <c r="M2955" s="1"/>
      <c r="N2955" s="1"/>
      <c r="O2955" s="1"/>
      <c r="P2955" s="1"/>
      <c r="Q2955" s="1"/>
      <c r="R2955" s="1"/>
      <c r="S2955" s="1"/>
      <c r="T2955" s="1"/>
      <c r="U2955" s="1"/>
      <c r="V2955" s="1"/>
      <c r="W2955" s="1"/>
      <c r="X2955" s="1"/>
      <c r="Y2955" s="1"/>
      <c r="Z2955" s="1"/>
      <c r="AA2955" s="1"/>
      <c r="AB2955" s="1"/>
    </row>
    <row r="2956" ht="50.25" customHeight="1">
      <c r="A2956" s="12">
        <v>2952.0</v>
      </c>
      <c r="B2956" s="13" t="s">
        <v>2825</v>
      </c>
      <c r="C2956" s="14" t="s">
        <v>2971</v>
      </c>
      <c r="D2956" s="1"/>
      <c r="E2956" s="1"/>
      <c r="F2956" s="1" t="str">
        <f>IFERROR(__xludf.DUMMYFUNCTION("GOOGLETRANSLATE(B2956, ""en"", ""fa"")
"),"آموزش و پرورش")</f>
        <v>آموزش و پرورش</v>
      </c>
      <c r="G2956" s="1" t="str">
        <f>IFERROR(__xludf.DUMMYFUNCTION("GOOGLETRANSLATE(C2956, ""en"", ""fa"")
"),"نقش سیاست‌های آموزشی در شکل‌دهی توسعه برنامه درسی و شیوه‌های آموزشی را بررسی کنید.")</f>
        <v>نقش سیاست‌های آموزشی در شکل‌دهی توسعه برنامه درسی و شیوه‌های آموزشی را بررسی کنید.</v>
      </c>
      <c r="H2956" s="1"/>
      <c r="I2956" s="1"/>
      <c r="J2956" s="1"/>
      <c r="K2956" s="1"/>
      <c r="L2956" s="1"/>
      <c r="M2956" s="1"/>
      <c r="N2956" s="1"/>
      <c r="O2956" s="1"/>
      <c r="P2956" s="1"/>
      <c r="Q2956" s="1"/>
      <c r="R2956" s="1"/>
      <c r="S2956" s="1"/>
      <c r="T2956" s="1"/>
      <c r="U2956" s="1"/>
      <c r="V2956" s="1"/>
      <c r="W2956" s="1"/>
      <c r="X2956" s="1"/>
      <c r="Y2956" s="1"/>
      <c r="Z2956" s="1"/>
      <c r="AA2956" s="1"/>
      <c r="AB2956" s="1"/>
    </row>
    <row r="2957" ht="50.25" customHeight="1">
      <c r="A2957" s="12">
        <v>2953.0</v>
      </c>
      <c r="B2957" s="13" t="s">
        <v>2825</v>
      </c>
      <c r="C2957" s="14" t="s">
        <v>2972</v>
      </c>
      <c r="D2957" s="1"/>
      <c r="E2957" s="1"/>
      <c r="F2957" s="1" t="str">
        <f>IFERROR(__xludf.DUMMYFUNCTION("GOOGLETRANSLATE(B2957, ""en"", ""fa"")
"),"آموزش و پرورش")</f>
        <v>آموزش و پرورش</v>
      </c>
      <c r="G2957" s="1" t="str">
        <f>IFERROR(__xludf.DUMMYFUNCTION("GOOGLETRANSLATE(C2957, ""en"", ""fa"")
"),"در مورد مزایای ادغام آموزش شخصیت در برنامه درسی برای تقویت ارزش های اخلاقی و اخلاقی بحث کنید.")</f>
        <v>در مورد مزایای ادغام آموزش شخصیت در برنامه درسی برای تقویت ارزش های اخلاقی و اخلاقی بحث کنید.</v>
      </c>
      <c r="H2957" s="1"/>
      <c r="I2957" s="1"/>
      <c r="J2957" s="1"/>
      <c r="K2957" s="1"/>
      <c r="L2957" s="1"/>
      <c r="M2957" s="1"/>
      <c r="N2957" s="1"/>
      <c r="O2957" s="1"/>
      <c r="P2957" s="1"/>
      <c r="Q2957" s="1"/>
      <c r="R2957" s="1"/>
      <c r="S2957" s="1"/>
      <c r="T2957" s="1"/>
      <c r="U2957" s="1"/>
      <c r="V2957" s="1"/>
      <c r="W2957" s="1"/>
      <c r="X2957" s="1"/>
      <c r="Y2957" s="1"/>
      <c r="Z2957" s="1"/>
      <c r="AA2957" s="1"/>
      <c r="AB2957" s="1"/>
    </row>
    <row r="2958" ht="50.25" customHeight="1">
      <c r="A2958" s="12">
        <v>2954.0</v>
      </c>
      <c r="B2958" s="13" t="s">
        <v>2825</v>
      </c>
      <c r="C2958" s="14" t="s">
        <v>2973</v>
      </c>
      <c r="D2958" s="1"/>
      <c r="E2958" s="1"/>
      <c r="F2958" s="1" t="str">
        <f>IFERROR(__xludf.DUMMYFUNCTION("GOOGLETRANSLATE(B2958, ""en"", ""fa"")
"),"آموزش و پرورش")</f>
        <v>آموزش و پرورش</v>
      </c>
      <c r="G2958" s="1" t="str">
        <f>IFERROR(__xludf.DUMMYFUNCTION("GOOGLETRANSLATE(C2958, ""en"", ""fa"")
"),"تأثیر فناوری آموزشی بر برابری و دسترسی آموزشی را تجزیه و تحلیل کنید.")</f>
        <v>تأثیر فناوری آموزشی بر برابری و دسترسی آموزشی را تجزیه و تحلیل کنید.</v>
      </c>
      <c r="H2958" s="1"/>
      <c r="I2958" s="1"/>
      <c r="J2958" s="1"/>
      <c r="K2958" s="1"/>
      <c r="L2958" s="1"/>
      <c r="M2958" s="1"/>
      <c r="N2958" s="1"/>
      <c r="O2958" s="1"/>
      <c r="P2958" s="1"/>
      <c r="Q2958" s="1"/>
      <c r="R2958" s="1"/>
      <c r="S2958" s="1"/>
      <c r="T2958" s="1"/>
      <c r="U2958" s="1"/>
      <c r="V2958" s="1"/>
      <c r="W2958" s="1"/>
      <c r="X2958" s="1"/>
      <c r="Y2958" s="1"/>
      <c r="Z2958" s="1"/>
      <c r="AA2958" s="1"/>
      <c r="AB2958" s="1"/>
    </row>
    <row r="2959" ht="50.25" customHeight="1">
      <c r="A2959" s="12">
        <v>2955.0</v>
      </c>
      <c r="B2959" s="13" t="s">
        <v>2825</v>
      </c>
      <c r="C2959" s="14" t="s">
        <v>2974</v>
      </c>
      <c r="D2959" s="1"/>
      <c r="E2959" s="1"/>
      <c r="F2959" s="1" t="str">
        <f>IFERROR(__xludf.DUMMYFUNCTION("GOOGLETRANSLATE(B2959, ""en"", ""fa"")
"),"آموزش و پرورش")</f>
        <v>آموزش و پرورش</v>
      </c>
      <c r="G2959" s="1" t="str">
        <f>IFERROR(__xludf.DUMMYFUNCTION("GOOGLETRANSLATE(C2959, ""en"", ""fa"")
"),"در مورد مزایای ارزیابی های پروژه محور در ارزیابی کاربرد دانش و مهارت های دانش آموزان در دنیای واقعی بحث کنید.")</f>
        <v>در مورد مزایای ارزیابی های پروژه محور در ارزیابی کاربرد دانش و مهارت های دانش آموزان در دنیای واقعی بحث کنید.</v>
      </c>
      <c r="H2959" s="1"/>
      <c r="I2959" s="1"/>
      <c r="J2959" s="1"/>
      <c r="K2959" s="1"/>
      <c r="L2959" s="1"/>
      <c r="M2959" s="1"/>
      <c r="N2959" s="1"/>
      <c r="O2959" s="1"/>
      <c r="P2959" s="1"/>
      <c r="Q2959" s="1"/>
      <c r="R2959" s="1"/>
      <c r="S2959" s="1"/>
      <c r="T2959" s="1"/>
      <c r="U2959" s="1"/>
      <c r="V2959" s="1"/>
      <c r="W2959" s="1"/>
      <c r="X2959" s="1"/>
      <c r="Y2959" s="1"/>
      <c r="Z2959" s="1"/>
      <c r="AA2959" s="1"/>
      <c r="AB2959" s="1"/>
    </row>
    <row r="2960" ht="50.25" customHeight="1">
      <c r="A2960" s="12">
        <v>2956.0</v>
      </c>
      <c r="B2960" s="13" t="s">
        <v>2825</v>
      </c>
      <c r="C2960" s="14" t="s">
        <v>2975</v>
      </c>
      <c r="D2960" s="1"/>
      <c r="E2960" s="1"/>
      <c r="F2960" s="1" t="str">
        <f>IFERROR(__xludf.DUMMYFUNCTION("GOOGLETRANSLATE(B2960, ""en"", ""fa"")
"),"آموزش و پرورش")</f>
        <v>آموزش و پرورش</v>
      </c>
      <c r="G2960" s="1" t="str">
        <f>IFERROR(__xludf.DUMMYFUNCTION("GOOGLETRANSLATE(C2960, ""en"", ""fa"")
"),"تحلیل نقش فناوری آموزشی در تسهیل تجربیات یادگیری شخصی برای دانش آموزان با نیازهای متنوع.")</f>
        <v>تحلیل نقش فناوری آموزشی در تسهیل تجربیات یادگیری شخصی برای دانش آموزان با نیازهای متنوع.</v>
      </c>
      <c r="H2960" s="1"/>
      <c r="I2960" s="1"/>
      <c r="J2960" s="1"/>
      <c r="K2960" s="1"/>
      <c r="L2960" s="1"/>
      <c r="M2960" s="1"/>
      <c r="N2960" s="1"/>
      <c r="O2960" s="1"/>
      <c r="P2960" s="1"/>
      <c r="Q2960" s="1"/>
      <c r="R2960" s="1"/>
      <c r="S2960" s="1"/>
      <c r="T2960" s="1"/>
      <c r="U2960" s="1"/>
      <c r="V2960" s="1"/>
      <c r="W2960" s="1"/>
      <c r="X2960" s="1"/>
      <c r="Y2960" s="1"/>
      <c r="Z2960" s="1"/>
      <c r="AA2960" s="1"/>
      <c r="AB2960" s="1"/>
    </row>
    <row r="2961" ht="50.25" customHeight="1">
      <c r="A2961" s="12">
        <v>2957.0</v>
      </c>
      <c r="B2961" s="13" t="s">
        <v>2825</v>
      </c>
      <c r="C2961" s="14" t="s">
        <v>2976</v>
      </c>
      <c r="D2961" s="1"/>
      <c r="E2961" s="1"/>
      <c r="F2961" s="1" t="str">
        <f>IFERROR(__xludf.DUMMYFUNCTION("GOOGLETRANSLATE(B2961, ""en"", ""fa"")
"),"آموزش و پرورش")</f>
        <v>آموزش و پرورش</v>
      </c>
      <c r="G2961" s="1" t="str">
        <f>IFERROR(__xludf.DUMMYFUNCTION("GOOGLETRANSLATE(C2961, ""en"", ""fa"")
"),"تأثیر آموزش چندفرهنگی را در ارتقای درک فرهنگی و تقویت فراگیری در کلاس درس بررسی کنید.")</f>
        <v>تأثیر آموزش چندفرهنگی را در ارتقای درک فرهنگی و تقویت فراگیری در کلاس درس بررسی کنید.</v>
      </c>
      <c r="H2961" s="1"/>
      <c r="I2961" s="1"/>
      <c r="J2961" s="1"/>
      <c r="K2961" s="1"/>
      <c r="L2961" s="1"/>
      <c r="M2961" s="1"/>
      <c r="N2961" s="1"/>
      <c r="O2961" s="1"/>
      <c r="P2961" s="1"/>
      <c r="Q2961" s="1"/>
      <c r="R2961" s="1"/>
      <c r="S2961" s="1"/>
      <c r="T2961" s="1"/>
      <c r="U2961" s="1"/>
      <c r="V2961" s="1"/>
      <c r="W2961" s="1"/>
      <c r="X2961" s="1"/>
      <c r="Y2961" s="1"/>
      <c r="Z2961" s="1"/>
      <c r="AA2961" s="1"/>
      <c r="AB2961" s="1"/>
    </row>
    <row r="2962" ht="50.25" customHeight="1">
      <c r="A2962" s="12">
        <v>2958.0</v>
      </c>
      <c r="B2962" s="13" t="s">
        <v>2825</v>
      </c>
      <c r="C2962" s="14" t="s">
        <v>2977</v>
      </c>
      <c r="D2962" s="1"/>
      <c r="E2962" s="1"/>
      <c r="F2962" s="1" t="str">
        <f>IFERROR(__xludf.DUMMYFUNCTION("GOOGLETRANSLATE(B2962, ""en"", ""fa"")
"),"آموزش و پرورش")</f>
        <v>آموزش و پرورش</v>
      </c>
      <c r="G2962" s="1" t="str">
        <f>IFERROR(__xludf.DUMMYFUNCTION("GOOGLETRANSLATE(C2962, ""en"", ""fa"")
"),"در مورد مزایای آموزش سواد رسانه ای برای کمک به دانش آموزان برای تجزیه و تحلیل انتقادی و ارزیابی پیام های رسانه ای بحث کنید.")</f>
        <v>در مورد مزایای آموزش سواد رسانه ای برای کمک به دانش آموزان برای تجزیه و تحلیل انتقادی و ارزیابی پیام های رسانه ای بحث کنید.</v>
      </c>
      <c r="H2962" s="1"/>
      <c r="I2962" s="1"/>
      <c r="J2962" s="1"/>
      <c r="K2962" s="1"/>
      <c r="L2962" s="1"/>
      <c r="M2962" s="1"/>
      <c r="N2962" s="1"/>
      <c r="O2962" s="1"/>
      <c r="P2962" s="1"/>
      <c r="Q2962" s="1"/>
      <c r="R2962" s="1"/>
      <c r="S2962" s="1"/>
      <c r="T2962" s="1"/>
      <c r="U2962" s="1"/>
      <c r="V2962" s="1"/>
      <c r="W2962" s="1"/>
      <c r="X2962" s="1"/>
      <c r="Y2962" s="1"/>
      <c r="Z2962" s="1"/>
      <c r="AA2962" s="1"/>
      <c r="AB2962" s="1"/>
    </row>
    <row r="2963" ht="50.25" customHeight="1">
      <c r="A2963" s="12">
        <v>2959.0</v>
      </c>
      <c r="B2963" s="13" t="s">
        <v>2825</v>
      </c>
      <c r="C2963" s="14" t="s">
        <v>2978</v>
      </c>
      <c r="D2963" s="1"/>
      <c r="E2963" s="1"/>
      <c r="F2963" s="1" t="str">
        <f>IFERROR(__xludf.DUMMYFUNCTION("GOOGLETRANSLATE(B2963, ""en"", ""fa"")
"),"آموزش و پرورش")</f>
        <v>آموزش و پرورش</v>
      </c>
      <c r="G2963" s="1" t="str">
        <f>IFERROR(__xludf.DUMMYFUNCTION("GOOGLETRANSLATE(C2963, ""en"", ""fa"")
"),"نقش ارزشیابی تکوینی را در ارائه بازخورد به موقع و دستورالعمل های راهنما تجزیه و تحلیل کنید.")</f>
        <v>نقش ارزشیابی تکوینی را در ارائه بازخورد به موقع و دستورالعمل های راهنما تجزیه و تحلیل کنید.</v>
      </c>
      <c r="H2963" s="1"/>
      <c r="I2963" s="1"/>
      <c r="J2963" s="1"/>
      <c r="K2963" s="1"/>
      <c r="L2963" s="1"/>
      <c r="M2963" s="1"/>
      <c r="N2963" s="1"/>
      <c r="O2963" s="1"/>
      <c r="P2963" s="1"/>
      <c r="Q2963" s="1"/>
      <c r="R2963" s="1"/>
      <c r="S2963" s="1"/>
      <c r="T2963" s="1"/>
      <c r="U2963" s="1"/>
      <c r="V2963" s="1"/>
      <c r="W2963" s="1"/>
      <c r="X2963" s="1"/>
      <c r="Y2963" s="1"/>
      <c r="Z2963" s="1"/>
      <c r="AA2963" s="1"/>
      <c r="AB2963" s="1"/>
    </row>
    <row r="2964" ht="50.25" customHeight="1">
      <c r="A2964" s="12">
        <v>2960.0</v>
      </c>
      <c r="B2964" s="13" t="s">
        <v>2825</v>
      </c>
      <c r="C2964" s="14" t="s">
        <v>2979</v>
      </c>
      <c r="D2964" s="1"/>
      <c r="E2964" s="1"/>
      <c r="F2964" s="1" t="str">
        <f>IFERROR(__xludf.DUMMYFUNCTION("GOOGLETRANSLATE(B2964, ""en"", ""fa"")
"),"آموزش و پرورش")</f>
        <v>آموزش و پرورش</v>
      </c>
      <c r="G2964" s="1" t="str">
        <f>IFERROR(__xludf.DUMMYFUNCTION("GOOGLETRANSLATE(C2964, ""en"", ""fa"")
"),"مزایای آموزش ذهنیت رشد را برای توانمندسازی دانش آموزان برای پذیرش چالش ها و تداوم در یادگیری خود بررسی کنید.")</f>
        <v>مزایای آموزش ذهنیت رشد را برای توانمندسازی دانش آموزان برای پذیرش چالش ها و تداوم در یادگیری خود بررسی کنید.</v>
      </c>
      <c r="H2964" s="1"/>
      <c r="I2964" s="1"/>
      <c r="J2964" s="1"/>
      <c r="K2964" s="1"/>
      <c r="L2964" s="1"/>
      <c r="M2964" s="1"/>
      <c r="N2964" s="1"/>
      <c r="O2964" s="1"/>
      <c r="P2964" s="1"/>
      <c r="Q2964" s="1"/>
      <c r="R2964" s="1"/>
      <c r="S2964" s="1"/>
      <c r="T2964" s="1"/>
      <c r="U2964" s="1"/>
      <c r="V2964" s="1"/>
      <c r="W2964" s="1"/>
      <c r="X2964" s="1"/>
      <c r="Y2964" s="1"/>
      <c r="Z2964" s="1"/>
      <c r="AA2964" s="1"/>
      <c r="AB2964" s="1"/>
    </row>
    <row r="2965" ht="50.25" customHeight="1">
      <c r="A2965" s="12">
        <v>2961.0</v>
      </c>
      <c r="B2965" s="13" t="s">
        <v>2825</v>
      </c>
      <c r="C2965" s="14" t="s">
        <v>2980</v>
      </c>
      <c r="D2965" s="1"/>
      <c r="E2965" s="1"/>
      <c r="F2965" s="1" t="str">
        <f>IFERROR(__xludf.DUMMYFUNCTION("GOOGLETRANSLATE(B2965, ""en"", ""fa"")
"),"آموزش و پرورش")</f>
        <v>آموزش و پرورش</v>
      </c>
      <c r="G2965" s="1" t="str">
        <f>IFERROR(__xludf.DUMMYFUNCTION("GOOGLETRANSLATE(C2965, ""en"", ""fa"")
"),"در مورد تأثیر برنامه درسی پاسخگوی فرهنگی بر مشارکت دانش آموزان و پیشرفت تحصیلی بحث کنید.")</f>
        <v>در مورد تأثیر برنامه درسی پاسخگوی فرهنگی بر مشارکت دانش آموزان و پیشرفت تحصیلی بحث کنید.</v>
      </c>
      <c r="H2965" s="1"/>
      <c r="I2965" s="1"/>
      <c r="J2965" s="1"/>
      <c r="K2965" s="1"/>
      <c r="L2965" s="1"/>
      <c r="M2965" s="1"/>
      <c r="N2965" s="1"/>
      <c r="O2965" s="1"/>
      <c r="P2965" s="1"/>
      <c r="Q2965" s="1"/>
      <c r="R2965" s="1"/>
      <c r="S2965" s="1"/>
      <c r="T2965" s="1"/>
      <c r="U2965" s="1"/>
      <c r="V2965" s="1"/>
      <c r="W2965" s="1"/>
      <c r="X2965" s="1"/>
      <c r="Y2965" s="1"/>
      <c r="Z2965" s="1"/>
      <c r="AA2965" s="1"/>
      <c r="AB2965" s="1"/>
    </row>
    <row r="2966" ht="50.25" customHeight="1">
      <c r="A2966" s="12">
        <v>2962.0</v>
      </c>
      <c r="B2966" s="13" t="s">
        <v>2825</v>
      </c>
      <c r="C2966" s="14" t="s">
        <v>2981</v>
      </c>
      <c r="D2966" s="1"/>
      <c r="E2966" s="1"/>
      <c r="F2966" s="1" t="str">
        <f>IFERROR(__xludf.DUMMYFUNCTION("GOOGLETRANSLATE(B2966, ""en"", ""fa"")
"),"آموزش و پرورش")</f>
        <v>آموزش و پرورش</v>
      </c>
      <c r="G2966" s="1" t="str">
        <f>IFERROR(__xludf.DUMMYFUNCTION("GOOGLETRANSLATE(C2966, ""en"", ""fa"")
"),"مزایای ترویج شهروندی دیجیتال و رفتار آنلاین مسئولانه در بین دانش آموزان را تجزیه و تحلیل کنید.")</f>
        <v>مزایای ترویج شهروندی دیجیتال و رفتار آنلاین مسئولانه در بین دانش آموزان را تجزیه و تحلیل کنید.</v>
      </c>
      <c r="H2966" s="1"/>
      <c r="I2966" s="1"/>
      <c r="J2966" s="1"/>
      <c r="K2966" s="1"/>
      <c r="L2966" s="1"/>
      <c r="M2966" s="1"/>
      <c r="N2966" s="1"/>
      <c r="O2966" s="1"/>
      <c r="P2966" s="1"/>
      <c r="Q2966" s="1"/>
      <c r="R2966" s="1"/>
      <c r="S2966" s="1"/>
      <c r="T2966" s="1"/>
      <c r="U2966" s="1"/>
      <c r="V2966" s="1"/>
      <c r="W2966" s="1"/>
      <c r="X2966" s="1"/>
      <c r="Y2966" s="1"/>
      <c r="Z2966" s="1"/>
      <c r="AA2966" s="1"/>
      <c r="AB2966" s="1"/>
    </row>
    <row r="2967" ht="50.25" customHeight="1">
      <c r="A2967" s="12">
        <v>2963.0</v>
      </c>
      <c r="B2967" s="13" t="s">
        <v>2825</v>
      </c>
      <c r="C2967" s="14" t="s">
        <v>2982</v>
      </c>
      <c r="D2967" s="1"/>
      <c r="E2967" s="1"/>
      <c r="F2967" s="1" t="str">
        <f>IFERROR(__xludf.DUMMYFUNCTION("GOOGLETRANSLATE(B2967, ""en"", ""fa"")
"),"آموزش و پرورش")</f>
        <v>آموزش و پرورش</v>
      </c>
      <c r="G2967" s="1" t="str">
        <f>IFERROR(__xludf.DUMMYFUNCTION("GOOGLETRANSLATE(C2967, ""en"", ""fa"")
"),"نقش ادغام هنرها را در افزایش خلاقیت و تقویت یادگیری بین رشته ای بررسی کنید.")</f>
        <v>نقش ادغام هنرها را در افزایش خلاقیت و تقویت یادگیری بین رشته ای بررسی کنید.</v>
      </c>
      <c r="H2967" s="1"/>
      <c r="I2967" s="1"/>
      <c r="J2967" s="1"/>
      <c r="K2967" s="1"/>
      <c r="L2967" s="1"/>
      <c r="M2967" s="1"/>
      <c r="N2967" s="1"/>
      <c r="O2967" s="1"/>
      <c r="P2967" s="1"/>
      <c r="Q2967" s="1"/>
      <c r="R2967" s="1"/>
      <c r="S2967" s="1"/>
      <c r="T2967" s="1"/>
      <c r="U2967" s="1"/>
      <c r="V2967" s="1"/>
      <c r="W2967" s="1"/>
      <c r="X2967" s="1"/>
      <c r="Y2967" s="1"/>
      <c r="Z2967" s="1"/>
      <c r="AA2967" s="1"/>
      <c r="AB2967" s="1"/>
    </row>
    <row r="2968" ht="50.25" customHeight="1">
      <c r="A2968" s="12">
        <v>2964.0</v>
      </c>
      <c r="B2968" s="13" t="s">
        <v>2825</v>
      </c>
      <c r="C2968" s="14" t="s">
        <v>2983</v>
      </c>
      <c r="D2968" s="1"/>
      <c r="E2968" s="1"/>
      <c r="F2968" s="1" t="str">
        <f>IFERROR(__xludf.DUMMYFUNCTION("GOOGLETRANSLATE(B2968, ""en"", ""fa"")
"),"آموزش و پرورش")</f>
        <v>آموزش و پرورش</v>
      </c>
      <c r="G2968" s="1" t="str">
        <f>IFERROR(__xludf.DUMMYFUNCTION("GOOGLETRANSLATE(C2968, ""en"", ""fa"")
"),"در مورد مزایای آموزش شیوه های ذهن آگاهی برای حمایت از رفاه دانش آموزان و افزایش تمرکز و تمرکز آنها بحث کنید.")</f>
        <v>در مورد مزایای آموزش شیوه های ذهن آگاهی برای حمایت از رفاه دانش آموزان و افزایش تمرکز و تمرکز آنها بحث کنید.</v>
      </c>
      <c r="H2968" s="1"/>
      <c r="I2968" s="1"/>
      <c r="J2968" s="1"/>
      <c r="K2968" s="1"/>
      <c r="L2968" s="1"/>
      <c r="M2968" s="1"/>
      <c r="N2968" s="1"/>
      <c r="O2968" s="1"/>
      <c r="P2968" s="1"/>
      <c r="Q2968" s="1"/>
      <c r="R2968" s="1"/>
      <c r="S2968" s="1"/>
      <c r="T2968" s="1"/>
      <c r="U2968" s="1"/>
      <c r="V2968" s="1"/>
      <c r="W2968" s="1"/>
      <c r="X2968" s="1"/>
      <c r="Y2968" s="1"/>
      <c r="Z2968" s="1"/>
      <c r="AA2968" s="1"/>
      <c r="AB2968" s="1"/>
    </row>
    <row r="2969" ht="50.25" customHeight="1">
      <c r="A2969" s="12">
        <v>2965.0</v>
      </c>
      <c r="B2969" s="13" t="s">
        <v>2825</v>
      </c>
      <c r="C2969" s="14" t="s">
        <v>2984</v>
      </c>
      <c r="D2969" s="1"/>
      <c r="E2969" s="1"/>
      <c r="F2969" s="1" t="str">
        <f>IFERROR(__xludf.DUMMYFUNCTION("GOOGLETRANSLATE(B2969, ""en"", ""fa"")
"),"آموزش و پرورش")</f>
        <v>آموزش و پرورش</v>
      </c>
      <c r="G2969" s="1" t="str">
        <f>IFERROR(__xludf.DUMMYFUNCTION("GOOGLETRANSLATE(C2969, ""en"", ""fa"")
"),"تأثیر مدل‌های کلاس درس معکوس را در ترویج یادگیری فعال و مشارکت دانش‌آموزان تجزیه و تحلیل کنید.")</f>
        <v>تأثیر مدل‌های کلاس درس معکوس را در ترویج یادگیری فعال و مشارکت دانش‌آموزان تجزیه و تحلیل کنید.</v>
      </c>
      <c r="H2969" s="1"/>
      <c r="I2969" s="1"/>
      <c r="J2969" s="1"/>
      <c r="K2969" s="1"/>
      <c r="L2969" s="1"/>
      <c r="M2969" s="1"/>
      <c r="N2969" s="1"/>
      <c r="O2969" s="1"/>
      <c r="P2969" s="1"/>
      <c r="Q2969" s="1"/>
      <c r="R2969" s="1"/>
      <c r="S2969" s="1"/>
      <c r="T2969" s="1"/>
      <c r="U2969" s="1"/>
      <c r="V2969" s="1"/>
      <c r="W2969" s="1"/>
      <c r="X2969" s="1"/>
      <c r="Y2969" s="1"/>
      <c r="Z2969" s="1"/>
      <c r="AA2969" s="1"/>
      <c r="AB2969" s="1"/>
    </row>
    <row r="2970" ht="50.25" customHeight="1">
      <c r="A2970" s="12">
        <v>2966.0</v>
      </c>
      <c r="B2970" s="13" t="s">
        <v>2825</v>
      </c>
      <c r="C2970" s="14" t="s">
        <v>2985</v>
      </c>
      <c r="D2970" s="1"/>
      <c r="E2970" s="1"/>
      <c r="F2970" s="1" t="str">
        <f>IFERROR(__xludf.DUMMYFUNCTION("GOOGLETRANSLATE(B2970, ""en"", ""fa"")
"),"آموزش و پرورش")</f>
        <v>آموزش و پرورش</v>
      </c>
      <c r="G2970" s="1" t="str">
        <f>IFERROR(__xludf.DUMMYFUNCTION("GOOGLETRANSLATE(C2970, ""en"", ""fa"")
"),"مزایای آموزش مهارت های تفکر انتقادی را برای کمک به دانش آموزان برای تبدیل شدن به متفکران مستقل و تحلیلی بررسی کنید.")</f>
        <v>مزایای آموزش مهارت های تفکر انتقادی را برای کمک به دانش آموزان برای تبدیل شدن به متفکران مستقل و تحلیلی بررسی کنید.</v>
      </c>
      <c r="H2970" s="1"/>
      <c r="I2970" s="1"/>
      <c r="J2970" s="1"/>
      <c r="K2970" s="1"/>
      <c r="L2970" s="1"/>
      <c r="M2970" s="1"/>
      <c r="N2970" s="1"/>
      <c r="O2970" s="1"/>
      <c r="P2970" s="1"/>
      <c r="Q2970" s="1"/>
      <c r="R2970" s="1"/>
      <c r="S2970" s="1"/>
      <c r="T2970" s="1"/>
      <c r="U2970" s="1"/>
      <c r="V2970" s="1"/>
      <c r="W2970" s="1"/>
      <c r="X2970" s="1"/>
      <c r="Y2970" s="1"/>
      <c r="Z2970" s="1"/>
      <c r="AA2970" s="1"/>
      <c r="AB2970" s="1"/>
    </row>
    <row r="2971" ht="50.25" customHeight="1">
      <c r="A2971" s="12">
        <v>2967.0</v>
      </c>
      <c r="B2971" s="13" t="s">
        <v>2825</v>
      </c>
      <c r="C2971" s="14" t="s">
        <v>2986</v>
      </c>
      <c r="D2971" s="1"/>
      <c r="E2971" s="1"/>
      <c r="F2971" s="1" t="str">
        <f>IFERROR(__xludf.DUMMYFUNCTION("GOOGLETRANSLATE(B2971, ""en"", ""fa"")
"),"آموزش و پرورش")</f>
        <v>آموزش و پرورش</v>
      </c>
      <c r="G2971" s="1" t="str">
        <f>IFERROR(__xludf.DUMMYFUNCTION("GOOGLETRANSLATE(C2971, ""en"", ""fa"")
"),"درباره نقش شیوه های ارزشیابی فراگیر در شناخت و ارزش گذاری توانمندی ها و توانایی های متنوع دانش آموزان بحث کنید.")</f>
        <v>درباره نقش شیوه های ارزشیابی فراگیر در شناخت و ارزش گذاری توانمندی ها و توانایی های متنوع دانش آموزان بحث کنید.</v>
      </c>
      <c r="H2971" s="1"/>
      <c r="I2971" s="1"/>
      <c r="J2971" s="1"/>
      <c r="K2971" s="1"/>
      <c r="L2971" s="1"/>
      <c r="M2971" s="1"/>
      <c r="N2971" s="1"/>
      <c r="O2971" s="1"/>
      <c r="P2971" s="1"/>
      <c r="Q2971" s="1"/>
      <c r="R2971" s="1"/>
      <c r="S2971" s="1"/>
      <c r="T2971" s="1"/>
      <c r="U2971" s="1"/>
      <c r="V2971" s="1"/>
      <c r="W2971" s="1"/>
      <c r="X2971" s="1"/>
      <c r="Y2971" s="1"/>
      <c r="Z2971" s="1"/>
      <c r="AA2971" s="1"/>
      <c r="AB2971" s="1"/>
    </row>
    <row r="2972" ht="50.25" customHeight="1">
      <c r="A2972" s="12">
        <v>2968.0</v>
      </c>
      <c r="B2972" s="13" t="s">
        <v>2825</v>
      </c>
      <c r="C2972" s="14" t="s">
        <v>2987</v>
      </c>
      <c r="D2972" s="1"/>
      <c r="E2972" s="1"/>
      <c r="F2972" s="1" t="str">
        <f>IFERROR(__xludf.DUMMYFUNCTION("GOOGLETRANSLATE(B2972, ""en"", ""fa"")
"),"آموزش و پرورش")</f>
        <v>آموزش و پرورش</v>
      </c>
      <c r="G2972" s="1" t="str">
        <f>IFERROR(__xludf.DUMMYFUNCTION("GOOGLETRANSLATE(C2972, ""en"", ""fa"")
"),"تجزیه و تحلیل مزایای ارتقای شایستگی جهانی در آماده سازی دانش آموزان برای شکوفایی در جهانی چند فرهنگی و به هم پیوسته.")</f>
        <v>تجزیه و تحلیل مزایای ارتقای شایستگی جهانی در آماده سازی دانش آموزان برای شکوفایی در جهانی چند فرهنگی و به هم پیوسته.</v>
      </c>
      <c r="H2972" s="1"/>
      <c r="I2972" s="1"/>
      <c r="J2972" s="1"/>
      <c r="K2972" s="1"/>
      <c r="L2972" s="1"/>
      <c r="M2972" s="1"/>
      <c r="N2972" s="1"/>
      <c r="O2972" s="1"/>
      <c r="P2972" s="1"/>
      <c r="Q2972" s="1"/>
      <c r="R2972" s="1"/>
      <c r="S2972" s="1"/>
      <c r="T2972" s="1"/>
      <c r="U2972" s="1"/>
      <c r="V2972" s="1"/>
      <c r="W2972" s="1"/>
      <c r="X2972" s="1"/>
      <c r="Y2972" s="1"/>
      <c r="Z2972" s="1"/>
      <c r="AA2972" s="1"/>
      <c r="AB2972" s="1"/>
    </row>
    <row r="2973" ht="50.25" customHeight="1">
      <c r="A2973" s="12">
        <v>2969.0</v>
      </c>
      <c r="B2973" s="13" t="s">
        <v>2825</v>
      </c>
      <c r="C2973" s="14" t="s">
        <v>2988</v>
      </c>
      <c r="D2973" s="1"/>
      <c r="E2973" s="1"/>
      <c r="F2973" s="1" t="str">
        <f>IFERROR(__xludf.DUMMYFUNCTION("GOOGLETRANSLATE(B2973, ""en"", ""fa"")
"),"آموزش و پرورش")</f>
        <v>آموزش و پرورش</v>
      </c>
      <c r="G2973" s="1" t="str">
        <f>IFERROR(__xludf.DUMMYFUNCTION("GOOGLETRANSLATE(C2973, ""en"", ""fa"")
"),"تأثیر همکاری با همتایان و یادگیری مشارکتی بر انگیزه و پیشرفت دانش آموزان را بررسی کنید.")</f>
        <v>تأثیر همکاری با همتایان و یادگیری مشارکتی بر انگیزه و پیشرفت دانش آموزان را بررسی کنید.</v>
      </c>
      <c r="H2973" s="1"/>
      <c r="I2973" s="1"/>
      <c r="J2973" s="1"/>
      <c r="K2973" s="1"/>
      <c r="L2973" s="1"/>
      <c r="M2973" s="1"/>
      <c r="N2973" s="1"/>
      <c r="O2973" s="1"/>
      <c r="P2973" s="1"/>
      <c r="Q2973" s="1"/>
      <c r="R2973" s="1"/>
      <c r="S2973" s="1"/>
      <c r="T2973" s="1"/>
      <c r="U2973" s="1"/>
      <c r="V2973" s="1"/>
      <c r="W2973" s="1"/>
      <c r="X2973" s="1"/>
      <c r="Y2973" s="1"/>
      <c r="Z2973" s="1"/>
      <c r="AA2973" s="1"/>
      <c r="AB2973" s="1"/>
    </row>
    <row r="2974" ht="50.25" customHeight="1">
      <c r="A2974" s="12">
        <v>2970.0</v>
      </c>
      <c r="B2974" s="13" t="s">
        <v>2825</v>
      </c>
      <c r="C2974" s="14" t="s">
        <v>2989</v>
      </c>
      <c r="D2974" s="1"/>
      <c r="E2974" s="1"/>
      <c r="F2974" s="1" t="str">
        <f>IFERROR(__xludf.DUMMYFUNCTION("GOOGLETRANSLATE(B2974, ""en"", ""fa"")
"),"آموزش و پرورش")</f>
        <v>آموزش و پرورش</v>
      </c>
      <c r="G2974" s="1" t="str">
        <f>IFERROR(__xludf.DUMMYFUNCTION("GOOGLETRANSLATE(C2974, ""en"", ""fa"")
"),"در مورد مزایای آموزش سواد مالی برای توانمندسازی دانش آموزان با مهارت های عملی مدیریت پول بحث کنید.")</f>
        <v>در مورد مزایای آموزش سواد مالی برای توانمندسازی دانش آموزان با مهارت های عملی مدیریت پول بحث کنید.</v>
      </c>
      <c r="H2974" s="1"/>
      <c r="I2974" s="1"/>
      <c r="J2974" s="1"/>
      <c r="K2974" s="1"/>
      <c r="L2974" s="1"/>
      <c r="M2974" s="1"/>
      <c r="N2974" s="1"/>
      <c r="O2974" s="1"/>
      <c r="P2974" s="1"/>
      <c r="Q2974" s="1"/>
      <c r="R2974" s="1"/>
      <c r="S2974" s="1"/>
      <c r="T2974" s="1"/>
      <c r="U2974" s="1"/>
      <c r="V2974" s="1"/>
      <c r="W2974" s="1"/>
      <c r="X2974" s="1"/>
      <c r="Y2974" s="1"/>
      <c r="Z2974" s="1"/>
      <c r="AA2974" s="1"/>
      <c r="AB2974" s="1"/>
    </row>
    <row r="2975" ht="50.25" customHeight="1">
      <c r="A2975" s="12">
        <v>2971.0</v>
      </c>
      <c r="B2975" s="13" t="s">
        <v>2825</v>
      </c>
      <c r="C2975" s="14" t="s">
        <v>2990</v>
      </c>
      <c r="D2975" s="1"/>
      <c r="E2975" s="1"/>
      <c r="F2975" s="1" t="str">
        <f>IFERROR(__xludf.DUMMYFUNCTION("GOOGLETRANSLATE(B2975, ""en"", ""fa"")
"),"آموزش و پرورش")</f>
        <v>آموزش و پرورش</v>
      </c>
      <c r="G2975" s="1" t="str">
        <f>IFERROR(__xludf.DUMMYFUNCTION("GOOGLETRANSLATE(C2975, ""en"", ""fa"")
"),"نقش رهبری آموزشی را در پرورش جو مثبت مدرسه و ترویج شیوه های فراگیر تحلیل کنید.")</f>
        <v>نقش رهبری آموزشی را در پرورش جو مثبت مدرسه و ترویج شیوه های فراگیر تحلیل کنید.</v>
      </c>
      <c r="H2975" s="1"/>
      <c r="I2975" s="1"/>
      <c r="J2975" s="1"/>
      <c r="K2975" s="1"/>
      <c r="L2975" s="1"/>
      <c r="M2975" s="1"/>
      <c r="N2975" s="1"/>
      <c r="O2975" s="1"/>
      <c r="P2975" s="1"/>
      <c r="Q2975" s="1"/>
      <c r="R2975" s="1"/>
      <c r="S2975" s="1"/>
      <c r="T2975" s="1"/>
      <c r="U2975" s="1"/>
      <c r="V2975" s="1"/>
      <c r="W2975" s="1"/>
      <c r="X2975" s="1"/>
      <c r="Y2975" s="1"/>
      <c r="Z2975" s="1"/>
      <c r="AA2975" s="1"/>
      <c r="AB2975" s="1"/>
    </row>
    <row r="2976" ht="50.25" customHeight="1">
      <c r="A2976" s="12">
        <v>2972.0</v>
      </c>
      <c r="B2976" s="13" t="s">
        <v>2825</v>
      </c>
      <c r="C2976" s="14" t="s">
        <v>2991</v>
      </c>
      <c r="D2976" s="1"/>
      <c r="E2976" s="1"/>
      <c r="F2976" s="1" t="str">
        <f>IFERROR(__xludf.DUMMYFUNCTION("GOOGLETRANSLATE(B2976, ""en"", ""fa"")
"),"آموزش و پرورش")</f>
        <v>آموزش و پرورش</v>
      </c>
      <c r="G2976" s="1" t="str">
        <f>IFERROR(__xludf.DUMMYFUNCTION("GOOGLETRANSLATE(C2976, ""en"", ""fa"")
"),"مزایای یادگیری پروژه محور را در توسعه مهارت های حل مسئله و کار گروهی دانش آموزان بررسی کنید.")</f>
        <v>مزایای یادگیری پروژه محور را در توسعه مهارت های حل مسئله و کار گروهی دانش آموزان بررسی کنید.</v>
      </c>
      <c r="H2976" s="1"/>
      <c r="I2976" s="1"/>
      <c r="J2976" s="1"/>
      <c r="K2976" s="1"/>
      <c r="L2976" s="1"/>
      <c r="M2976" s="1"/>
      <c r="N2976" s="1"/>
      <c r="O2976" s="1"/>
      <c r="P2976" s="1"/>
      <c r="Q2976" s="1"/>
      <c r="R2976" s="1"/>
      <c r="S2976" s="1"/>
      <c r="T2976" s="1"/>
      <c r="U2976" s="1"/>
      <c r="V2976" s="1"/>
      <c r="W2976" s="1"/>
      <c r="X2976" s="1"/>
      <c r="Y2976" s="1"/>
      <c r="Z2976" s="1"/>
      <c r="AA2976" s="1"/>
      <c r="AB2976" s="1"/>
    </row>
    <row r="2977" ht="50.25" customHeight="1">
      <c r="A2977" s="12">
        <v>2973.0</v>
      </c>
      <c r="B2977" s="13" t="s">
        <v>2825</v>
      </c>
      <c r="C2977" s="14" t="s">
        <v>2992</v>
      </c>
      <c r="D2977" s="1"/>
      <c r="E2977" s="1"/>
      <c r="F2977" s="1" t="str">
        <f>IFERROR(__xludf.DUMMYFUNCTION("GOOGLETRANSLATE(B2977, ""en"", ""fa"")
"),"آموزش و پرورش")</f>
        <v>آموزش و پرورش</v>
      </c>
      <c r="G2977" s="1" t="str">
        <f>IFERROR(__xludf.DUMMYFUNCTION("GOOGLETRANSLATE(C2977, ""en"", ""fa"")
"),"درباره تأثیر برنامه های یادگیری اجتماعی-عاطفی بر مهارت های اجتماعی، رفاه عاطفی و موفقیت تحصیلی دانش آموزان بحث کنید.")</f>
        <v>درباره تأثیر برنامه های یادگیری اجتماعی-عاطفی بر مهارت های اجتماعی، رفاه عاطفی و موفقیت تحصیلی دانش آموزان بحث کنید.</v>
      </c>
      <c r="H2977" s="1"/>
      <c r="I2977" s="1"/>
      <c r="J2977" s="1"/>
      <c r="K2977" s="1"/>
      <c r="L2977" s="1"/>
      <c r="M2977" s="1"/>
      <c r="N2977" s="1"/>
      <c r="O2977" s="1"/>
      <c r="P2977" s="1"/>
      <c r="Q2977" s="1"/>
      <c r="R2977" s="1"/>
      <c r="S2977" s="1"/>
      <c r="T2977" s="1"/>
      <c r="U2977" s="1"/>
      <c r="V2977" s="1"/>
      <c r="W2977" s="1"/>
      <c r="X2977" s="1"/>
      <c r="Y2977" s="1"/>
      <c r="Z2977" s="1"/>
      <c r="AA2977" s="1"/>
      <c r="AB2977" s="1"/>
    </row>
    <row r="2978" ht="50.25" customHeight="1">
      <c r="A2978" s="12">
        <v>2974.0</v>
      </c>
      <c r="B2978" s="13" t="s">
        <v>2825</v>
      </c>
      <c r="C2978" s="14" t="s">
        <v>2993</v>
      </c>
      <c r="D2978" s="1"/>
      <c r="E2978" s="1"/>
      <c r="F2978" s="1" t="str">
        <f>IFERROR(__xludf.DUMMYFUNCTION("GOOGLETRANSLATE(B2978, ""en"", ""fa"")
"),"آموزش و پرورش")</f>
        <v>آموزش و پرورش</v>
      </c>
      <c r="G2978" s="1" t="str">
        <f>IFERROR(__xludf.DUMMYFUNCTION("GOOGLETRANSLATE(C2978, ""en"", ""fa"")
"),"مزایای ترویج خلاقیت و نوآوری دیجیتال در کلاس درس را تجزیه و تحلیل کنید.")</f>
        <v>مزایای ترویج خلاقیت و نوآوری دیجیتال در کلاس درس را تجزیه و تحلیل کنید.</v>
      </c>
      <c r="H2978" s="1"/>
      <c r="I2978" s="1"/>
      <c r="J2978" s="1"/>
      <c r="K2978" s="1"/>
      <c r="L2978" s="1"/>
      <c r="M2978" s="1"/>
      <c r="N2978" s="1"/>
      <c r="O2978" s="1"/>
      <c r="P2978" s="1"/>
      <c r="Q2978" s="1"/>
      <c r="R2978" s="1"/>
      <c r="S2978" s="1"/>
      <c r="T2978" s="1"/>
      <c r="U2978" s="1"/>
      <c r="V2978" s="1"/>
      <c r="W2978" s="1"/>
      <c r="X2978" s="1"/>
      <c r="Y2978" s="1"/>
      <c r="Z2978" s="1"/>
      <c r="AA2978" s="1"/>
      <c r="AB2978" s="1"/>
    </row>
    <row r="2979" ht="50.25" customHeight="1">
      <c r="A2979" s="12">
        <v>2975.0</v>
      </c>
      <c r="B2979" s="13" t="s">
        <v>2825</v>
      </c>
      <c r="C2979" s="14" t="s">
        <v>2994</v>
      </c>
      <c r="D2979" s="1"/>
      <c r="E2979" s="1"/>
      <c r="F2979" s="1" t="str">
        <f>IFERROR(__xludf.DUMMYFUNCTION("GOOGLETRANSLATE(B2979, ""en"", ""fa"")
"),"آموزش و پرورش")</f>
        <v>آموزش و پرورش</v>
      </c>
      <c r="G2979" s="1" t="str">
        <f>IFERROR(__xludf.DUMMYFUNCTION("GOOGLETRANSLATE(C2979, ""en"", ""fa"")
"),"نقش سیاست‌های آموزشی در رسیدگی به نابرابری‌های آموزشی و ارتقای دسترسی به آموزش با کیفیت برای همه را بررسی کنید.")</f>
        <v>نقش سیاست‌های آموزشی در رسیدگی به نابرابری‌های آموزشی و ارتقای دسترسی به آموزش با کیفیت برای همه را بررسی کنید.</v>
      </c>
      <c r="H2979" s="1"/>
      <c r="I2979" s="1"/>
      <c r="J2979" s="1"/>
      <c r="K2979" s="1"/>
      <c r="L2979" s="1"/>
      <c r="M2979" s="1"/>
      <c r="N2979" s="1"/>
      <c r="O2979" s="1"/>
      <c r="P2979" s="1"/>
      <c r="Q2979" s="1"/>
      <c r="R2979" s="1"/>
      <c r="S2979" s="1"/>
      <c r="T2979" s="1"/>
      <c r="U2979" s="1"/>
      <c r="V2979" s="1"/>
      <c r="W2979" s="1"/>
      <c r="X2979" s="1"/>
      <c r="Y2979" s="1"/>
      <c r="Z2979" s="1"/>
      <c r="AA2979" s="1"/>
      <c r="AB2979" s="1"/>
    </row>
    <row r="2980" ht="50.25" customHeight="1">
      <c r="A2980" s="12">
        <v>2976.0</v>
      </c>
      <c r="B2980" s="13" t="s">
        <v>2825</v>
      </c>
      <c r="C2980" s="14" t="s">
        <v>2995</v>
      </c>
      <c r="D2980" s="1"/>
      <c r="E2980" s="1"/>
      <c r="F2980" s="1" t="str">
        <f>IFERROR(__xludf.DUMMYFUNCTION("GOOGLETRANSLATE(B2980, ""en"", ""fa"")
"),"آموزش و پرورش")</f>
        <v>آموزش و پرورش</v>
      </c>
      <c r="G2980" s="1" t="str">
        <f>IFERROR(__xludf.DUMMYFUNCTION("GOOGLETRANSLATE(C2980, ""en"", ""fa"")
"),"در مورد مزایای آموزش کدنویسی و تفکر محاسباتی برای تقویت مهارت های حل مسئله و استدلال منطقی دانش آموزان بحث کنید.")</f>
        <v>در مورد مزایای آموزش کدنویسی و تفکر محاسباتی برای تقویت مهارت های حل مسئله و استدلال منطقی دانش آموزان بحث کنید.</v>
      </c>
      <c r="H2980" s="1"/>
      <c r="I2980" s="1"/>
      <c r="J2980" s="1"/>
      <c r="K2980" s="1"/>
      <c r="L2980" s="1"/>
      <c r="M2980" s="1"/>
      <c r="N2980" s="1"/>
      <c r="O2980" s="1"/>
      <c r="P2980" s="1"/>
      <c r="Q2980" s="1"/>
      <c r="R2980" s="1"/>
      <c r="S2980" s="1"/>
      <c r="T2980" s="1"/>
      <c r="U2980" s="1"/>
      <c r="V2980" s="1"/>
      <c r="W2980" s="1"/>
      <c r="X2980" s="1"/>
      <c r="Y2980" s="1"/>
      <c r="Z2980" s="1"/>
      <c r="AA2980" s="1"/>
      <c r="AB2980" s="1"/>
    </row>
    <row r="2981" ht="50.25" customHeight="1">
      <c r="A2981" s="12">
        <v>2977.0</v>
      </c>
      <c r="B2981" s="13" t="s">
        <v>2825</v>
      </c>
      <c r="C2981" s="14" t="s">
        <v>2996</v>
      </c>
      <c r="D2981" s="1"/>
      <c r="E2981" s="1"/>
      <c r="F2981" s="1" t="str">
        <f>IFERROR(__xludf.DUMMYFUNCTION("GOOGLETRANSLATE(B2981, ""en"", ""fa"")
"),"آموزش و پرورش")</f>
        <v>آموزش و پرورش</v>
      </c>
      <c r="G2981" s="1" t="str">
        <f>IFERROR(__xludf.DUMMYFUNCTION("GOOGLETRANSLATE(C2981, ""en"", ""fa"")
"),"تأثیر آموزش فرهنگی مرتبط در ارتقاء موفقیت تحصیلی و توسعه هویت مثبت را تجزیه و تحلیل کنید.")</f>
        <v>تأثیر آموزش فرهنگی مرتبط در ارتقاء موفقیت تحصیلی و توسعه هویت مثبت را تجزیه و تحلیل کنید.</v>
      </c>
      <c r="H2981" s="1"/>
      <c r="I2981" s="1"/>
      <c r="J2981" s="1"/>
      <c r="K2981" s="1"/>
      <c r="L2981" s="1"/>
      <c r="M2981" s="1"/>
      <c r="N2981" s="1"/>
      <c r="O2981" s="1"/>
      <c r="P2981" s="1"/>
      <c r="Q2981" s="1"/>
      <c r="R2981" s="1"/>
      <c r="S2981" s="1"/>
      <c r="T2981" s="1"/>
      <c r="U2981" s="1"/>
      <c r="V2981" s="1"/>
      <c r="W2981" s="1"/>
      <c r="X2981" s="1"/>
      <c r="Y2981" s="1"/>
      <c r="Z2981" s="1"/>
      <c r="AA2981" s="1"/>
      <c r="AB2981" s="1"/>
    </row>
    <row r="2982" ht="50.25" customHeight="1">
      <c r="A2982" s="12">
        <v>2978.0</v>
      </c>
      <c r="B2982" s="13" t="s">
        <v>2825</v>
      </c>
      <c r="C2982" s="14" t="s">
        <v>2997</v>
      </c>
      <c r="D2982" s="1"/>
      <c r="E2982" s="1"/>
      <c r="F2982" s="1" t="str">
        <f>IFERROR(__xludf.DUMMYFUNCTION("GOOGLETRANSLATE(B2982, ""en"", ""fa"")
"),"آموزش و پرورش")</f>
        <v>آموزش و پرورش</v>
      </c>
      <c r="G2982" s="1" t="str">
        <f>IFERROR(__xludf.DUMMYFUNCTION("GOOGLETRANSLATE(C2982, ""en"", ""fa"")
"),"مزایای آموزش پایداری زیست محیطی را برای افزایش آگاهی دانش آموزان و توانمندسازی آنها به عنوان شهروندان جهانی مسئول بررسی کنید.")</f>
        <v>مزایای آموزش پایداری زیست محیطی را برای افزایش آگاهی دانش آموزان و توانمندسازی آنها به عنوان شهروندان جهانی مسئول بررسی کنید.</v>
      </c>
      <c r="H2982" s="1"/>
      <c r="I2982" s="1"/>
      <c r="J2982" s="1"/>
      <c r="K2982" s="1"/>
      <c r="L2982" s="1"/>
      <c r="M2982" s="1"/>
      <c r="N2982" s="1"/>
      <c r="O2982" s="1"/>
      <c r="P2982" s="1"/>
      <c r="Q2982" s="1"/>
      <c r="R2982" s="1"/>
      <c r="S2982" s="1"/>
      <c r="T2982" s="1"/>
      <c r="U2982" s="1"/>
      <c r="V2982" s="1"/>
      <c r="W2982" s="1"/>
      <c r="X2982" s="1"/>
      <c r="Y2982" s="1"/>
      <c r="Z2982" s="1"/>
      <c r="AA2982" s="1"/>
      <c r="AB2982" s="1"/>
    </row>
    <row r="2983" ht="50.25" customHeight="1">
      <c r="A2983" s="12">
        <v>2979.0</v>
      </c>
      <c r="B2983" s="13" t="s">
        <v>2825</v>
      </c>
      <c r="C2983" s="14" t="s">
        <v>2998</v>
      </c>
      <c r="D2983" s="1"/>
      <c r="E2983" s="1"/>
      <c r="F2983" s="1" t="str">
        <f>IFERROR(__xludf.DUMMYFUNCTION("GOOGLETRANSLATE(B2983, ""en"", ""fa"")
"),"آموزش و پرورش")</f>
        <v>آموزش و پرورش</v>
      </c>
      <c r="G2983" s="1" t="str">
        <f>IFERROR(__xludf.DUMMYFUNCTION("GOOGLETRANSLATE(C2983, ""en"", ""fa"")
"),"در مورد نقش همکاری معلمان و جوامع یادگیری حرفه ای در افزایش شیوه های آموزشی و نتایج دانش آموزان بحث کنید.")</f>
        <v>در مورد نقش همکاری معلمان و جوامع یادگیری حرفه ای در افزایش شیوه های آموزشی و نتایج دانش آموزان بحث کنید.</v>
      </c>
      <c r="H2983" s="1"/>
      <c r="I2983" s="1"/>
      <c r="J2983" s="1"/>
      <c r="K2983" s="1"/>
      <c r="L2983" s="1"/>
      <c r="M2983" s="1"/>
      <c r="N2983" s="1"/>
      <c r="O2983" s="1"/>
      <c r="P2983" s="1"/>
      <c r="Q2983" s="1"/>
      <c r="R2983" s="1"/>
      <c r="S2983" s="1"/>
      <c r="T2983" s="1"/>
      <c r="U2983" s="1"/>
      <c r="V2983" s="1"/>
      <c r="W2983" s="1"/>
      <c r="X2983" s="1"/>
      <c r="Y2983" s="1"/>
      <c r="Z2983" s="1"/>
      <c r="AA2983" s="1"/>
      <c r="AB2983" s="1"/>
    </row>
    <row r="2984" ht="50.25" customHeight="1">
      <c r="A2984" s="12">
        <v>2980.0</v>
      </c>
      <c r="B2984" s="13" t="s">
        <v>2825</v>
      </c>
      <c r="C2984" s="14" t="s">
        <v>2999</v>
      </c>
      <c r="D2984" s="1"/>
      <c r="E2984" s="1"/>
      <c r="F2984" s="1" t="str">
        <f>IFERROR(__xludf.DUMMYFUNCTION("GOOGLETRANSLATE(B2984, ""en"", ""fa"")
"),"آموزش و پرورش")</f>
        <v>آموزش و پرورش</v>
      </c>
      <c r="G2984" s="1" t="str">
        <f>IFERROR(__xludf.DUMMYFUNCTION("GOOGLETRANSLATE(C2984, ""en"", ""fa"")
"),"تجزیه و تحلیل مزایای ارتقای مهارت های یادگیری خودتنظیمی برای کمک به دانش آموزان برای تبدیل شدن به یادگیرندگان مستقل و مادام العمر.")</f>
        <v>تجزیه و تحلیل مزایای ارتقای مهارت های یادگیری خودتنظیمی برای کمک به دانش آموزان برای تبدیل شدن به یادگیرندگان مستقل و مادام العمر.</v>
      </c>
      <c r="H2984" s="1"/>
      <c r="I2984" s="1"/>
      <c r="J2984" s="1"/>
      <c r="K2984" s="1"/>
      <c r="L2984" s="1"/>
      <c r="M2984" s="1"/>
      <c r="N2984" s="1"/>
      <c r="O2984" s="1"/>
      <c r="P2984" s="1"/>
      <c r="Q2984" s="1"/>
      <c r="R2984" s="1"/>
      <c r="S2984" s="1"/>
      <c r="T2984" s="1"/>
      <c r="U2984" s="1"/>
      <c r="V2984" s="1"/>
      <c r="W2984" s="1"/>
      <c r="X2984" s="1"/>
      <c r="Y2984" s="1"/>
      <c r="Z2984" s="1"/>
      <c r="AA2984" s="1"/>
      <c r="AB2984" s="1"/>
    </row>
    <row r="2985" ht="50.25" customHeight="1">
      <c r="A2985" s="12">
        <v>2981.0</v>
      </c>
      <c r="B2985" s="13" t="s">
        <v>2825</v>
      </c>
      <c r="C2985" s="14" t="s">
        <v>3000</v>
      </c>
      <c r="D2985" s="1"/>
      <c r="E2985" s="1"/>
      <c r="F2985" s="1" t="str">
        <f>IFERROR(__xludf.DUMMYFUNCTION("GOOGLETRANSLATE(B2985, ""en"", ""fa"")
"),"آموزش و پرورش")</f>
        <v>آموزش و پرورش</v>
      </c>
      <c r="G2985" s="1" t="str">
        <f>IFERROR(__xludf.DUMMYFUNCTION("GOOGLETRANSLATE(C2985, ""en"", ""fa"")
"),"تأثیر محیط های کلاس درس فراگیر بر حس تعلق و پیشرفت تحصیلی دانش آموزان را بررسی کنید.")</f>
        <v>تأثیر محیط های کلاس درس فراگیر بر حس تعلق و پیشرفت تحصیلی دانش آموزان را بررسی کنید.</v>
      </c>
      <c r="H2985" s="1"/>
      <c r="I2985" s="1"/>
      <c r="J2985" s="1"/>
      <c r="K2985" s="1"/>
      <c r="L2985" s="1"/>
      <c r="M2985" s="1"/>
      <c r="N2985" s="1"/>
      <c r="O2985" s="1"/>
      <c r="P2985" s="1"/>
      <c r="Q2985" s="1"/>
      <c r="R2985" s="1"/>
      <c r="S2985" s="1"/>
      <c r="T2985" s="1"/>
      <c r="U2985" s="1"/>
      <c r="V2985" s="1"/>
      <c r="W2985" s="1"/>
      <c r="X2985" s="1"/>
      <c r="Y2985" s="1"/>
      <c r="Z2985" s="1"/>
      <c r="AA2985" s="1"/>
      <c r="AB2985" s="1"/>
    </row>
    <row r="2986" ht="50.25" customHeight="1">
      <c r="A2986" s="12">
        <v>2982.0</v>
      </c>
      <c r="B2986" s="13" t="s">
        <v>2825</v>
      </c>
      <c r="C2986" s="14" t="s">
        <v>3001</v>
      </c>
      <c r="D2986" s="1"/>
      <c r="E2986" s="1"/>
      <c r="F2986" s="1" t="str">
        <f>IFERROR(__xludf.DUMMYFUNCTION("GOOGLETRANSLATE(B2986, ""en"", ""fa"")
"),"آموزش و پرورش")</f>
        <v>آموزش و پرورش</v>
      </c>
      <c r="G2986" s="1" t="str">
        <f>IFERROR(__xludf.DUMMYFUNCTION("GOOGLETRANSLATE(C2986, ""en"", ""fa"")
"),"در مورد مزایای ترویج آموزش علوم مبتنی بر تحقیق برای پرورش کنجکاوی و تفکر علمی دانش آموزان بحث کنید.")</f>
        <v>در مورد مزایای ترویج آموزش علوم مبتنی بر تحقیق برای پرورش کنجکاوی و تفکر علمی دانش آموزان بحث کنید.</v>
      </c>
      <c r="H2986" s="1"/>
      <c r="I2986" s="1"/>
      <c r="J2986" s="1"/>
      <c r="K2986" s="1"/>
      <c r="L2986" s="1"/>
      <c r="M2986" s="1"/>
      <c r="N2986" s="1"/>
      <c r="O2986" s="1"/>
      <c r="P2986" s="1"/>
      <c r="Q2986" s="1"/>
      <c r="R2986" s="1"/>
      <c r="S2986" s="1"/>
      <c r="T2986" s="1"/>
      <c r="U2986" s="1"/>
      <c r="V2986" s="1"/>
      <c r="W2986" s="1"/>
      <c r="X2986" s="1"/>
      <c r="Y2986" s="1"/>
      <c r="Z2986" s="1"/>
      <c r="AA2986" s="1"/>
      <c r="AB2986" s="1"/>
    </row>
    <row r="2987" ht="50.25" customHeight="1">
      <c r="A2987" s="12">
        <v>2983.0</v>
      </c>
      <c r="B2987" s="13" t="s">
        <v>2825</v>
      </c>
      <c r="C2987" s="14" t="s">
        <v>3002</v>
      </c>
      <c r="D2987" s="1"/>
      <c r="E2987" s="1"/>
      <c r="F2987" s="1" t="str">
        <f>IFERROR(__xludf.DUMMYFUNCTION("GOOGLETRANSLATE(B2987, ""en"", ""fa"")
"),"آموزش و پرورش")</f>
        <v>آموزش و پرورش</v>
      </c>
      <c r="G2987" s="1" t="str">
        <f>IFERROR(__xludf.DUMMYFUNCTION("GOOGLETRANSLATE(C2987, ""en"", ""fa"")
"),"تحلیل نقش فناوری آموزشی در پرورش خلاقیت و نوآوری دانش آموزان.")</f>
        <v>تحلیل نقش فناوری آموزشی در پرورش خلاقیت و نوآوری دانش آموزان.</v>
      </c>
      <c r="H2987" s="1"/>
      <c r="I2987" s="1"/>
      <c r="J2987" s="1"/>
      <c r="K2987" s="1"/>
      <c r="L2987" s="1"/>
      <c r="M2987" s="1"/>
      <c r="N2987" s="1"/>
      <c r="O2987" s="1"/>
      <c r="P2987" s="1"/>
      <c r="Q2987" s="1"/>
      <c r="R2987" s="1"/>
      <c r="S2987" s="1"/>
      <c r="T2987" s="1"/>
      <c r="U2987" s="1"/>
      <c r="V2987" s="1"/>
      <c r="W2987" s="1"/>
      <c r="X2987" s="1"/>
      <c r="Y2987" s="1"/>
      <c r="Z2987" s="1"/>
      <c r="AA2987" s="1"/>
      <c r="AB2987" s="1"/>
    </row>
    <row r="2988" ht="50.25" customHeight="1">
      <c r="A2988" s="12">
        <v>2984.0</v>
      </c>
      <c r="B2988" s="13" t="s">
        <v>2825</v>
      </c>
      <c r="C2988" s="14" t="s">
        <v>3003</v>
      </c>
      <c r="D2988" s="1"/>
      <c r="E2988" s="1"/>
      <c r="F2988" s="1" t="str">
        <f>IFERROR(__xludf.DUMMYFUNCTION("GOOGLETRANSLATE(B2988, ""en"", ""fa"")
"),"آموزش و پرورش")</f>
        <v>آموزش و پرورش</v>
      </c>
      <c r="G2988" s="1" t="str">
        <f>IFERROR(__xludf.DUMMYFUNCTION("GOOGLETRANSLATE(C2988, ""en"", ""fa"")
"),"مزایای آموزش سواد دیجیتال و مهارت‌های تحقیق آنلاین را برای کمک به دانش‌آموزان در جهت‌یابی و ارزیابی اطلاعات آنلاین بررسی کنید.")</f>
        <v>مزایای آموزش سواد دیجیتال و مهارت‌های تحقیق آنلاین را برای کمک به دانش‌آموزان در جهت‌یابی و ارزیابی اطلاعات آنلاین بررسی کنید.</v>
      </c>
      <c r="H2988" s="1"/>
      <c r="I2988" s="1"/>
      <c r="J2988" s="1"/>
      <c r="K2988" s="1"/>
      <c r="L2988" s="1"/>
      <c r="M2988" s="1"/>
      <c r="N2988" s="1"/>
      <c r="O2988" s="1"/>
      <c r="P2988" s="1"/>
      <c r="Q2988" s="1"/>
      <c r="R2988" s="1"/>
      <c r="S2988" s="1"/>
      <c r="T2988" s="1"/>
      <c r="U2988" s="1"/>
      <c r="V2988" s="1"/>
      <c r="W2988" s="1"/>
      <c r="X2988" s="1"/>
      <c r="Y2988" s="1"/>
      <c r="Z2988" s="1"/>
      <c r="AA2988" s="1"/>
      <c r="AB2988" s="1"/>
    </row>
    <row r="2989" ht="50.25" customHeight="1">
      <c r="A2989" s="12">
        <v>2985.0</v>
      </c>
      <c r="B2989" s="13" t="s">
        <v>2825</v>
      </c>
      <c r="C2989" s="14" t="s">
        <v>3004</v>
      </c>
      <c r="D2989" s="1"/>
      <c r="E2989" s="1"/>
      <c r="F2989" s="1" t="str">
        <f>IFERROR(__xludf.DUMMYFUNCTION("GOOGLETRANSLATE(B2989, ""en"", ""fa"")
"),"آموزش و پرورش")</f>
        <v>آموزش و پرورش</v>
      </c>
      <c r="G2989" s="1" t="str">
        <f>IFERROR(__xludf.DUMMYFUNCTION("GOOGLETRANSLATE(C2989, ""en"", ""fa"")
"),"در مورد تأثیر یادگیری پروژه محور بر انگیزه، مشارکت و درک عمیق تر از محتوا بحث کنید.")</f>
        <v>در مورد تأثیر یادگیری پروژه محور بر انگیزه، مشارکت و درک عمیق تر از محتوا بحث کنید.</v>
      </c>
      <c r="H2989" s="1"/>
      <c r="I2989" s="1"/>
      <c r="J2989" s="1"/>
      <c r="K2989" s="1"/>
      <c r="L2989" s="1"/>
      <c r="M2989" s="1"/>
      <c r="N2989" s="1"/>
      <c r="O2989" s="1"/>
      <c r="P2989" s="1"/>
      <c r="Q2989" s="1"/>
      <c r="R2989" s="1"/>
      <c r="S2989" s="1"/>
      <c r="T2989" s="1"/>
      <c r="U2989" s="1"/>
      <c r="V2989" s="1"/>
      <c r="W2989" s="1"/>
      <c r="X2989" s="1"/>
      <c r="Y2989" s="1"/>
      <c r="Z2989" s="1"/>
      <c r="AA2989" s="1"/>
      <c r="AB2989" s="1"/>
    </row>
    <row r="2990" ht="50.25" customHeight="1">
      <c r="A2990" s="12">
        <v>2986.0</v>
      </c>
      <c r="B2990" s="13" t="s">
        <v>2825</v>
      </c>
      <c r="C2990" s="14" t="s">
        <v>3005</v>
      </c>
      <c r="D2990" s="1"/>
      <c r="E2990" s="1"/>
      <c r="F2990" s="1" t="str">
        <f>IFERROR(__xludf.DUMMYFUNCTION("GOOGLETRANSLATE(B2990, ""en"", ""fa"")
"),"آموزش و پرورش")</f>
        <v>آموزش و پرورش</v>
      </c>
      <c r="G2990" s="1" t="str">
        <f>IFERROR(__xludf.DUMMYFUNCTION("GOOGLETRANSLATE(C2990, ""en"", ""fa"")
"),"تجزیه و تحلیل مزایای ادغام تجربیات یادگیری خدماتی در برنامه درسی برای ارتقای مشارکت مدنی و مسئولیت اجتماعی.")</f>
        <v>تجزیه و تحلیل مزایای ادغام تجربیات یادگیری خدماتی در برنامه درسی برای ارتقای مشارکت مدنی و مسئولیت اجتماعی.</v>
      </c>
      <c r="H2990" s="1"/>
      <c r="I2990" s="1"/>
      <c r="J2990" s="1"/>
      <c r="K2990" s="1"/>
      <c r="L2990" s="1"/>
      <c r="M2990" s="1"/>
      <c r="N2990" s="1"/>
      <c r="O2990" s="1"/>
      <c r="P2990" s="1"/>
      <c r="Q2990" s="1"/>
      <c r="R2990" s="1"/>
      <c r="S2990" s="1"/>
      <c r="T2990" s="1"/>
      <c r="U2990" s="1"/>
      <c r="V2990" s="1"/>
      <c r="W2990" s="1"/>
      <c r="X2990" s="1"/>
      <c r="Y2990" s="1"/>
      <c r="Z2990" s="1"/>
      <c r="AA2990" s="1"/>
      <c r="AB2990" s="1"/>
    </row>
    <row r="2991" ht="50.25" customHeight="1">
      <c r="A2991" s="12">
        <v>2987.0</v>
      </c>
      <c r="B2991" s="13" t="s">
        <v>2825</v>
      </c>
      <c r="C2991" s="14" t="s">
        <v>3006</v>
      </c>
      <c r="D2991" s="1"/>
      <c r="E2991" s="1"/>
      <c r="F2991" s="1" t="str">
        <f>IFERROR(__xludf.DUMMYFUNCTION("GOOGLETRANSLATE(B2991, ""en"", ""fa"")
"),"آموزش و پرورش")</f>
        <v>آموزش و پرورش</v>
      </c>
      <c r="G2991" s="1" t="str">
        <f>IFERROR(__xludf.DUMMYFUNCTION("GOOGLETRANSLATE(C2991, ""en"", ""fa"")
"),"در مورد مزایای ترویج برابری جنسیتی در آموزش STEM برای افزایش تنوع و شمول در این زمینه ها بحث کنید.")</f>
        <v>در مورد مزایای ترویج برابری جنسیتی در آموزش STEM برای افزایش تنوع و شمول در این زمینه ها بحث کنید.</v>
      </c>
      <c r="H2991" s="1"/>
      <c r="I2991" s="1"/>
      <c r="J2991" s="1"/>
      <c r="K2991" s="1"/>
      <c r="L2991" s="1"/>
      <c r="M2991" s="1"/>
      <c r="N2991" s="1"/>
      <c r="O2991" s="1"/>
      <c r="P2991" s="1"/>
      <c r="Q2991" s="1"/>
      <c r="R2991" s="1"/>
      <c r="S2991" s="1"/>
      <c r="T2991" s="1"/>
      <c r="U2991" s="1"/>
      <c r="V2991" s="1"/>
      <c r="W2991" s="1"/>
      <c r="X2991" s="1"/>
      <c r="Y2991" s="1"/>
      <c r="Z2991" s="1"/>
      <c r="AA2991" s="1"/>
      <c r="AB2991" s="1"/>
    </row>
    <row r="2992" ht="50.25" customHeight="1">
      <c r="A2992" s="12">
        <v>2988.0</v>
      </c>
      <c r="B2992" s="13" t="s">
        <v>2825</v>
      </c>
      <c r="C2992" s="14" t="s">
        <v>3007</v>
      </c>
      <c r="D2992" s="1"/>
      <c r="E2992" s="1"/>
      <c r="F2992" s="1" t="str">
        <f>IFERROR(__xludf.DUMMYFUNCTION("GOOGLETRANSLATE(B2992, ""en"", ""fa"")
"),"آموزش و پرورش")</f>
        <v>آموزش و پرورش</v>
      </c>
      <c r="G2992" s="1" t="str">
        <f>IFERROR(__xludf.DUMMYFUNCTION("GOOGLETRANSLATE(C2992, ""en"", ""fa"")
"),"تأثیر آموزش متمایز در برآوردن نیازهای یادگیری متنوع دانش آموزان را تجزیه و تحلیل کنید.")</f>
        <v>تأثیر آموزش متمایز در برآوردن نیازهای یادگیری متنوع دانش آموزان را تجزیه و تحلیل کنید.</v>
      </c>
      <c r="H2992" s="1"/>
      <c r="I2992" s="1"/>
      <c r="J2992" s="1"/>
      <c r="K2992" s="1"/>
      <c r="L2992" s="1"/>
      <c r="M2992" s="1"/>
      <c r="N2992" s="1"/>
      <c r="O2992" s="1"/>
      <c r="P2992" s="1"/>
      <c r="Q2992" s="1"/>
      <c r="R2992" s="1"/>
      <c r="S2992" s="1"/>
      <c r="T2992" s="1"/>
      <c r="U2992" s="1"/>
      <c r="V2992" s="1"/>
      <c r="W2992" s="1"/>
      <c r="X2992" s="1"/>
      <c r="Y2992" s="1"/>
      <c r="Z2992" s="1"/>
      <c r="AA2992" s="1"/>
      <c r="AB2992" s="1"/>
    </row>
    <row r="2993" ht="50.25" customHeight="1">
      <c r="A2993" s="12">
        <v>2989.0</v>
      </c>
      <c r="B2993" s="13" t="s">
        <v>2825</v>
      </c>
      <c r="C2993" s="14" t="s">
        <v>3008</v>
      </c>
      <c r="D2993" s="1"/>
      <c r="E2993" s="1"/>
      <c r="F2993" s="1" t="str">
        <f>IFERROR(__xludf.DUMMYFUNCTION("GOOGLETRANSLATE(B2993, ""en"", ""fa"")
"),"آموزش و پرورش")</f>
        <v>آموزش و پرورش</v>
      </c>
      <c r="G2993" s="1" t="str">
        <f>IFERROR(__xludf.DUMMYFUNCTION("GOOGLETRANSLATE(C2993, ""en"", ""fa"")
"),"مزایای آموزش شایستگی فرهنگی برای تقویت احترام و تفاهم در بین دانش آموزان با پیشینه های مختلف را بررسی کنید.")</f>
        <v>مزایای آموزش شایستگی فرهنگی برای تقویت احترام و تفاهم در بین دانش آموزان با پیشینه های مختلف را بررسی کنید.</v>
      </c>
      <c r="H2993" s="1"/>
      <c r="I2993" s="1"/>
      <c r="J2993" s="1"/>
      <c r="K2993" s="1"/>
      <c r="L2993" s="1"/>
      <c r="M2993" s="1"/>
      <c r="N2993" s="1"/>
      <c r="O2993" s="1"/>
      <c r="P2993" s="1"/>
      <c r="Q2993" s="1"/>
      <c r="R2993" s="1"/>
      <c r="S2993" s="1"/>
      <c r="T2993" s="1"/>
      <c r="U2993" s="1"/>
      <c r="V2993" s="1"/>
      <c r="W2993" s="1"/>
      <c r="X2993" s="1"/>
      <c r="Y2993" s="1"/>
      <c r="Z2993" s="1"/>
      <c r="AA2993" s="1"/>
      <c r="AB2993" s="1"/>
    </row>
    <row r="2994" ht="50.25" customHeight="1">
      <c r="A2994" s="12">
        <v>2990.0</v>
      </c>
      <c r="B2994" s="13" t="s">
        <v>2825</v>
      </c>
      <c r="C2994" s="14" t="s">
        <v>3009</v>
      </c>
      <c r="D2994" s="1"/>
      <c r="E2994" s="1"/>
      <c r="F2994" s="1" t="str">
        <f>IFERROR(__xludf.DUMMYFUNCTION("GOOGLETRANSLATE(B2994, ""en"", ""fa"")
"),"آموزش و پرورش")</f>
        <v>آموزش و پرورش</v>
      </c>
      <c r="G2994" s="1" t="str">
        <f>IFERROR(__xludf.DUMMYFUNCTION("GOOGLETRANSLATE(C2994, ""en"", ""fa"")
"),"در مورد نقش رهبری آموزشی در حمایت از توسعه حرفه ای معلمان و بهبود آموزشی بحث کنید.")</f>
        <v>در مورد نقش رهبری آموزشی در حمایت از توسعه حرفه ای معلمان و بهبود آموزشی بحث کنید.</v>
      </c>
      <c r="H2994" s="1"/>
      <c r="I2994" s="1"/>
      <c r="J2994" s="1"/>
      <c r="K2994" s="1"/>
      <c r="L2994" s="1"/>
      <c r="M2994" s="1"/>
      <c r="N2994" s="1"/>
      <c r="O2994" s="1"/>
      <c r="P2994" s="1"/>
      <c r="Q2994" s="1"/>
      <c r="R2994" s="1"/>
      <c r="S2994" s="1"/>
      <c r="T2994" s="1"/>
      <c r="U2994" s="1"/>
      <c r="V2994" s="1"/>
      <c r="W2994" s="1"/>
      <c r="X2994" s="1"/>
      <c r="Y2994" s="1"/>
      <c r="Z2994" s="1"/>
      <c r="AA2994" s="1"/>
      <c r="AB2994" s="1"/>
    </row>
    <row r="2995" ht="50.25" customHeight="1">
      <c r="A2995" s="12">
        <v>2991.0</v>
      </c>
      <c r="B2995" s="13" t="s">
        <v>2825</v>
      </c>
      <c r="C2995" s="14" t="s">
        <v>3010</v>
      </c>
      <c r="D2995" s="1"/>
      <c r="E2995" s="1"/>
      <c r="F2995" s="1" t="str">
        <f>IFERROR(__xludf.DUMMYFUNCTION("GOOGLETRANSLATE(B2995, ""en"", ""fa"")
"),"آموزش و پرورش")</f>
        <v>آموزش و پرورش</v>
      </c>
      <c r="G2995" s="1" t="str">
        <f>IFERROR(__xludf.DUMMYFUNCTION("GOOGLETRANSLATE(C2995, ""en"", ""fa"")
"),"تجزیه و تحلیل مزایای ارتقاء صدای دانش آموز و عاملیت در فرآیندهای تصمیم گیری در محیط آموزشی.")</f>
        <v>تجزیه و تحلیل مزایای ارتقاء صدای دانش آموز و عاملیت در فرآیندهای تصمیم گیری در محیط آموزشی.</v>
      </c>
      <c r="H2995" s="1"/>
      <c r="I2995" s="1"/>
      <c r="J2995" s="1"/>
      <c r="K2995" s="1"/>
      <c r="L2995" s="1"/>
      <c r="M2995" s="1"/>
      <c r="N2995" s="1"/>
      <c r="O2995" s="1"/>
      <c r="P2995" s="1"/>
      <c r="Q2995" s="1"/>
      <c r="R2995" s="1"/>
      <c r="S2995" s="1"/>
      <c r="T2995" s="1"/>
      <c r="U2995" s="1"/>
      <c r="V2995" s="1"/>
      <c r="W2995" s="1"/>
      <c r="X2995" s="1"/>
      <c r="Y2995" s="1"/>
      <c r="Z2995" s="1"/>
      <c r="AA2995" s="1"/>
      <c r="AB2995" s="1"/>
    </row>
    <row r="2996" ht="50.25" customHeight="1">
      <c r="A2996" s="12">
        <v>2992.0</v>
      </c>
      <c r="B2996" s="13" t="s">
        <v>2825</v>
      </c>
      <c r="C2996" s="14" t="s">
        <v>3011</v>
      </c>
      <c r="D2996" s="1"/>
      <c r="E2996" s="1"/>
      <c r="F2996" s="1" t="str">
        <f>IFERROR(__xludf.DUMMYFUNCTION("GOOGLETRANSLATE(B2996, ""en"", ""fa"")
"),"آموزش و پرورش")</f>
        <v>آموزش و پرورش</v>
      </c>
      <c r="G2996" s="1" t="str">
        <f>IFERROR(__xludf.DUMMYFUNCTION("GOOGLETRANSLATE(C2996, ""en"", ""fa"")
"),"تأثیر یکپارچه سازی فناوری در ترویج یادگیری فعال و افزایش مشارکت دانش آموزان را بررسی کنید.")</f>
        <v>تأثیر یکپارچه سازی فناوری در ترویج یادگیری فعال و افزایش مشارکت دانش آموزان را بررسی کنید.</v>
      </c>
      <c r="H2996" s="1"/>
      <c r="I2996" s="1"/>
      <c r="J2996" s="1"/>
      <c r="K2996" s="1"/>
      <c r="L2996" s="1"/>
      <c r="M2996" s="1"/>
      <c r="N2996" s="1"/>
      <c r="O2996" s="1"/>
      <c r="P2996" s="1"/>
      <c r="Q2996" s="1"/>
      <c r="R2996" s="1"/>
      <c r="S2996" s="1"/>
      <c r="T2996" s="1"/>
      <c r="U2996" s="1"/>
      <c r="V2996" s="1"/>
      <c r="W2996" s="1"/>
      <c r="X2996" s="1"/>
      <c r="Y2996" s="1"/>
      <c r="Z2996" s="1"/>
      <c r="AA2996" s="1"/>
      <c r="AB2996" s="1"/>
    </row>
    <row r="2997" ht="50.25" customHeight="1">
      <c r="A2997" s="12">
        <v>2993.0</v>
      </c>
      <c r="B2997" s="13" t="s">
        <v>2825</v>
      </c>
      <c r="C2997" s="14" t="s">
        <v>3012</v>
      </c>
      <c r="D2997" s="1"/>
      <c r="E2997" s="1"/>
      <c r="F2997" s="1" t="str">
        <f>IFERROR(__xludf.DUMMYFUNCTION("GOOGLETRANSLATE(B2997, ""en"", ""fa"")
"),"آموزش و پرورش")</f>
        <v>آموزش و پرورش</v>
      </c>
      <c r="G2997" s="1" t="str">
        <f>IFERROR(__xludf.DUMMYFUNCTION("GOOGLETRANSLATE(C2997, ""en"", ""fa"")
"),"در مورد مزایای ترویج آموزش شهروندی جهانی برای تقویت احساس مسئولیت و همدلی نسبت به مسائل جهانی بحث کنید.")</f>
        <v>در مورد مزایای ترویج آموزش شهروندی جهانی برای تقویت احساس مسئولیت و همدلی نسبت به مسائل جهانی بحث کنید.</v>
      </c>
      <c r="H2997" s="1"/>
      <c r="I2997" s="1"/>
      <c r="J2997" s="1"/>
      <c r="K2997" s="1"/>
      <c r="L2997" s="1"/>
      <c r="M2997" s="1"/>
      <c r="N2997" s="1"/>
      <c r="O2997" s="1"/>
      <c r="P2997" s="1"/>
      <c r="Q2997" s="1"/>
      <c r="R2997" s="1"/>
      <c r="S2997" s="1"/>
      <c r="T2997" s="1"/>
      <c r="U2997" s="1"/>
      <c r="V2997" s="1"/>
      <c r="W2997" s="1"/>
      <c r="X2997" s="1"/>
      <c r="Y2997" s="1"/>
      <c r="Z2997" s="1"/>
      <c r="AA2997" s="1"/>
      <c r="AB2997" s="1"/>
    </row>
    <row r="2998" ht="50.25" customHeight="1">
      <c r="A2998" s="12">
        <v>2994.0</v>
      </c>
      <c r="B2998" s="13" t="s">
        <v>2825</v>
      </c>
      <c r="C2998" s="14" t="s">
        <v>3013</v>
      </c>
      <c r="D2998" s="1"/>
      <c r="E2998" s="1"/>
      <c r="F2998" s="1" t="str">
        <f>IFERROR(__xludf.DUMMYFUNCTION("GOOGLETRANSLATE(B2998, ""en"", ""fa"")
"),"آموزش و پرورش")</f>
        <v>آموزش و پرورش</v>
      </c>
      <c r="G2998" s="1" t="str">
        <f>IFERROR(__xludf.DUMMYFUNCTION("GOOGLETRANSLATE(C2998, ""en"", ""fa"")
"),"نقش ارزشیابی برای یادگیری را در هدایت تصمیمات آموزشی و ارتقای رشد دانش آموزان تجزیه و تحلیل کنید.")</f>
        <v>نقش ارزشیابی برای یادگیری را در هدایت تصمیمات آموزشی و ارتقای رشد دانش آموزان تجزیه و تحلیل کنید.</v>
      </c>
      <c r="H2998" s="1"/>
      <c r="I2998" s="1"/>
      <c r="J2998" s="1"/>
      <c r="K2998" s="1"/>
      <c r="L2998" s="1"/>
      <c r="M2998" s="1"/>
      <c r="N2998" s="1"/>
      <c r="O2998" s="1"/>
      <c r="P2998" s="1"/>
      <c r="Q2998" s="1"/>
      <c r="R2998" s="1"/>
      <c r="S2998" s="1"/>
      <c r="T2998" s="1"/>
      <c r="U2998" s="1"/>
      <c r="V2998" s="1"/>
      <c r="W2998" s="1"/>
      <c r="X2998" s="1"/>
      <c r="Y2998" s="1"/>
      <c r="Z2998" s="1"/>
      <c r="AA2998" s="1"/>
      <c r="AB2998" s="1"/>
    </row>
    <row r="2999" ht="50.25" customHeight="1">
      <c r="A2999" s="12">
        <v>2995.0</v>
      </c>
      <c r="B2999" s="13" t="s">
        <v>2825</v>
      </c>
      <c r="C2999" s="14" t="s">
        <v>3014</v>
      </c>
      <c r="D2999" s="1"/>
      <c r="E2999" s="1"/>
      <c r="F2999" s="1" t="str">
        <f>IFERROR(__xludf.DUMMYFUNCTION("GOOGLETRANSLATE(B2999, ""en"", ""fa"")
"),"آموزش و پرورش")</f>
        <v>آموزش و پرورش</v>
      </c>
      <c r="G2999" s="1" t="str">
        <f>IFERROR(__xludf.DUMMYFUNCTION("GOOGLETRANSLATE(C2999, ""en"", ""fa"")
"),"مزایای آموزش مهارت های حل مسئله و تفکر انتقادی در آماده سازی دانش آموزان برای مشاغل و چالش های آینده را بررسی کنید.")</f>
        <v>مزایای آموزش مهارت های حل مسئله و تفکر انتقادی در آماده سازی دانش آموزان برای مشاغل و چالش های آینده را بررسی کنید.</v>
      </c>
      <c r="H2999" s="1"/>
      <c r="I2999" s="1"/>
      <c r="J2999" s="1"/>
      <c r="K2999" s="1"/>
      <c r="L2999" s="1"/>
      <c r="M2999" s="1"/>
      <c r="N2999" s="1"/>
      <c r="O2999" s="1"/>
      <c r="P2999" s="1"/>
      <c r="Q2999" s="1"/>
      <c r="R2999" s="1"/>
      <c r="S2999" s="1"/>
      <c r="T2999" s="1"/>
      <c r="U2999" s="1"/>
      <c r="V2999" s="1"/>
      <c r="W2999" s="1"/>
      <c r="X2999" s="1"/>
      <c r="Y2999" s="1"/>
      <c r="Z2999" s="1"/>
      <c r="AA2999" s="1"/>
      <c r="AB2999" s="1"/>
    </row>
    <row r="3000" ht="50.25" customHeight="1">
      <c r="A3000" s="12">
        <v>2996.0</v>
      </c>
      <c r="B3000" s="13" t="s">
        <v>2825</v>
      </c>
      <c r="C3000" s="14" t="s">
        <v>3015</v>
      </c>
      <c r="D3000" s="1"/>
      <c r="E3000" s="1"/>
      <c r="F3000" s="1" t="str">
        <f>IFERROR(__xludf.DUMMYFUNCTION("GOOGLETRANSLATE(B3000, ""en"", ""fa"")
"),"آموزش و پرورش")</f>
        <v>آموزش و پرورش</v>
      </c>
      <c r="G3000" s="1" t="str">
        <f>IFERROR(__xludf.DUMMYFUNCTION("GOOGLETRANSLATE(C3000, ""en"", ""fa"")
"),"درباره تأثیر شیوه های فراگیر برای دانش آموزان دارای معلولیت در تقویت شمول تحصیلی و اجتماعی آنها بحث کنید.")</f>
        <v>درباره تأثیر شیوه های فراگیر برای دانش آموزان دارای معلولیت در تقویت شمول تحصیلی و اجتماعی آنها بحث کنید.</v>
      </c>
      <c r="H3000" s="1"/>
      <c r="I3000" s="1"/>
      <c r="J3000" s="1"/>
      <c r="K3000" s="1"/>
      <c r="L3000" s="1"/>
      <c r="M3000" s="1"/>
      <c r="N3000" s="1"/>
      <c r="O3000" s="1"/>
      <c r="P3000" s="1"/>
      <c r="Q3000" s="1"/>
      <c r="R3000" s="1"/>
      <c r="S3000" s="1"/>
      <c r="T3000" s="1"/>
      <c r="U3000" s="1"/>
      <c r="V3000" s="1"/>
      <c r="W3000" s="1"/>
      <c r="X3000" s="1"/>
      <c r="Y3000" s="1"/>
      <c r="Z3000" s="1"/>
      <c r="AA3000" s="1"/>
      <c r="AB3000" s="1"/>
    </row>
    <row r="3001" ht="50.25" customHeight="1">
      <c r="A3001" s="12">
        <v>2997.0</v>
      </c>
      <c r="B3001" s="13" t="s">
        <v>2825</v>
      </c>
      <c r="C3001" s="14" t="s">
        <v>3016</v>
      </c>
      <c r="D3001" s="1"/>
      <c r="E3001" s="1"/>
      <c r="F3001" s="1" t="str">
        <f>IFERROR(__xludf.DUMMYFUNCTION("GOOGLETRANSLATE(B3001, ""en"", ""fa"")
"),"آموزش و پرورش")</f>
        <v>آموزش و پرورش</v>
      </c>
      <c r="G3001" s="1" t="str">
        <f>IFERROR(__xludf.DUMMYFUNCTION("GOOGLETRANSLATE(C3001, ""en"", ""fa"")
"),"تجزیه و تحلیل مزایای ترویج ابزارهای همکاری دیجیتال برای افزایش ارتباطات و همکاری بین دانش آموزان.")</f>
        <v>تجزیه و تحلیل مزایای ترویج ابزارهای همکاری دیجیتال برای افزایش ارتباطات و همکاری بین دانش آموزان.</v>
      </c>
      <c r="H3001" s="1"/>
      <c r="I3001" s="1"/>
      <c r="J3001" s="1"/>
      <c r="K3001" s="1"/>
      <c r="L3001" s="1"/>
      <c r="M3001" s="1"/>
      <c r="N3001" s="1"/>
      <c r="O3001" s="1"/>
      <c r="P3001" s="1"/>
      <c r="Q3001" s="1"/>
      <c r="R3001" s="1"/>
      <c r="S3001" s="1"/>
      <c r="T3001" s="1"/>
      <c r="U3001" s="1"/>
      <c r="V3001" s="1"/>
      <c r="W3001" s="1"/>
      <c r="X3001" s="1"/>
      <c r="Y3001" s="1"/>
      <c r="Z3001" s="1"/>
      <c r="AA3001" s="1"/>
      <c r="AB3001" s="1"/>
    </row>
    <row r="3002" ht="50.25" customHeight="1">
      <c r="A3002" s="12">
        <v>2998.0</v>
      </c>
      <c r="B3002" s="13" t="s">
        <v>2825</v>
      </c>
      <c r="C3002" s="14" t="s">
        <v>3017</v>
      </c>
      <c r="D3002" s="1"/>
      <c r="E3002" s="1"/>
      <c r="F3002" s="1" t="str">
        <f>IFERROR(__xludf.DUMMYFUNCTION("GOOGLETRANSLATE(B3002, ""en"", ""fa"")
"),"آموزش و پرورش")</f>
        <v>آموزش و پرورش</v>
      </c>
      <c r="G3002" s="1" t="str">
        <f>IFERROR(__xludf.DUMMYFUNCTION("GOOGLETRANSLATE(C3002, ""en"", ""fa"")
"),"نقش مشارکت والدین در حمایت از یادگیری و پیشرفت تحصیلی دانش آموزان را بررسی کنید.")</f>
        <v>نقش مشارکت والدین در حمایت از یادگیری و پیشرفت تحصیلی دانش آموزان را بررسی کنید.</v>
      </c>
      <c r="H3002" s="1"/>
      <c r="I3002" s="1"/>
      <c r="J3002" s="1"/>
      <c r="K3002" s="1"/>
      <c r="L3002" s="1"/>
      <c r="M3002" s="1"/>
      <c r="N3002" s="1"/>
      <c r="O3002" s="1"/>
      <c r="P3002" s="1"/>
      <c r="Q3002" s="1"/>
      <c r="R3002" s="1"/>
      <c r="S3002" s="1"/>
      <c r="T3002" s="1"/>
      <c r="U3002" s="1"/>
      <c r="V3002" s="1"/>
      <c r="W3002" s="1"/>
      <c r="X3002" s="1"/>
      <c r="Y3002" s="1"/>
      <c r="Z3002" s="1"/>
      <c r="AA3002" s="1"/>
      <c r="AB3002" s="1"/>
    </row>
    <row r="3003" ht="50.25" customHeight="1">
      <c r="A3003" s="12">
        <v>2999.0</v>
      </c>
      <c r="B3003" s="13" t="s">
        <v>2825</v>
      </c>
      <c r="C3003" s="14" t="s">
        <v>3018</v>
      </c>
      <c r="D3003" s="1"/>
      <c r="E3003" s="1"/>
      <c r="F3003" s="1" t="str">
        <f>IFERROR(__xludf.DUMMYFUNCTION("GOOGLETRANSLATE(B3003, ""en"", ""fa"")
"),"آموزش و پرورش")</f>
        <v>آموزش و پرورش</v>
      </c>
      <c r="G3003" s="1" t="str">
        <f>IFERROR(__xludf.DUMMYFUNCTION("GOOGLETRANSLATE(C3003, ""en"", ""fa"")
"),"در مورد مزایای آموزش مهارت های تولید رسانه برای توانمندسازی دانش آموزان به عنوان خالق رسانه های دیجیتال بحث کنید.")</f>
        <v>در مورد مزایای آموزش مهارت های تولید رسانه برای توانمندسازی دانش آموزان به عنوان خالق رسانه های دیجیتال بحث کنید.</v>
      </c>
      <c r="H3003" s="1"/>
      <c r="I3003" s="1"/>
      <c r="J3003" s="1"/>
      <c r="K3003" s="1"/>
      <c r="L3003" s="1"/>
      <c r="M3003" s="1"/>
      <c r="N3003" s="1"/>
      <c r="O3003" s="1"/>
      <c r="P3003" s="1"/>
      <c r="Q3003" s="1"/>
      <c r="R3003" s="1"/>
      <c r="S3003" s="1"/>
      <c r="T3003" s="1"/>
      <c r="U3003" s="1"/>
      <c r="V3003" s="1"/>
      <c r="W3003" s="1"/>
      <c r="X3003" s="1"/>
      <c r="Y3003" s="1"/>
      <c r="Z3003" s="1"/>
      <c r="AA3003" s="1"/>
      <c r="AB3003" s="1"/>
    </row>
    <row r="3004" ht="50.25" customHeight="1">
      <c r="A3004" s="12">
        <v>3000.0</v>
      </c>
      <c r="B3004" s="13" t="s">
        <v>2825</v>
      </c>
      <c r="C3004" s="14" t="s">
        <v>3019</v>
      </c>
      <c r="D3004" s="1"/>
      <c r="E3004" s="1"/>
      <c r="F3004" s="1" t="str">
        <f>IFERROR(__xludf.DUMMYFUNCTION("GOOGLETRANSLATE(B3004, ""en"", ""fa"")
"),"آموزش و پرورش")</f>
        <v>آموزش و پرورش</v>
      </c>
      <c r="G3004" s="1" t="str">
        <f>IFERROR(__xludf.DUMMYFUNCTION("GOOGLETRANSLATE(C3004, ""en"", ""fa"")
"),"تأثیر یادگیری مبتنی بر بازی را در ارتقاء مشارکت و انگیزه دانش آموزان تجزیه و تحلیل کنید.")</f>
        <v>تأثیر یادگیری مبتنی بر بازی را در ارتقاء مشارکت و انگیزه دانش آموزان تجزیه و تحلیل کنید.</v>
      </c>
      <c r="H3004" s="1"/>
      <c r="I3004" s="1"/>
      <c r="J3004" s="1"/>
      <c r="K3004" s="1"/>
      <c r="L3004" s="1"/>
      <c r="M3004" s="1"/>
      <c r="N3004" s="1"/>
      <c r="O3004" s="1"/>
      <c r="P3004" s="1"/>
      <c r="Q3004" s="1"/>
      <c r="R3004" s="1"/>
      <c r="S3004" s="1"/>
      <c r="T3004" s="1"/>
      <c r="U3004" s="1"/>
      <c r="V3004" s="1"/>
      <c r="W3004" s="1"/>
      <c r="X3004" s="1"/>
      <c r="Y3004" s="1"/>
      <c r="Z3004" s="1"/>
      <c r="AA3004" s="1"/>
      <c r="AB3004" s="1"/>
    </row>
    <row r="3005" ht="50.25" customHeight="1">
      <c r="A3005" s="12">
        <v>3001.0</v>
      </c>
      <c r="B3005" s="13" t="s">
        <v>2825</v>
      </c>
      <c r="C3005" s="14" t="s">
        <v>3020</v>
      </c>
      <c r="D3005" s="1"/>
      <c r="E3005" s="1"/>
      <c r="F3005" s="1" t="str">
        <f>IFERROR(__xludf.DUMMYFUNCTION("GOOGLETRANSLATE(B3005, ""en"", ""fa"")
"),"آموزش و پرورش")</f>
        <v>آموزش و پرورش</v>
      </c>
      <c r="G3005" s="1" t="str">
        <f>IFERROR(__xludf.DUMMYFUNCTION("GOOGLETRANSLATE(C3005, ""en"", ""fa"")
"),"مزایای آموزش دیدگاه های جهانی و درک بین فرهنگی در برنامه درسی را بررسی کنید.")</f>
        <v>مزایای آموزش دیدگاه های جهانی و درک بین فرهنگی در برنامه درسی را بررسی کنید.</v>
      </c>
      <c r="H3005" s="1"/>
      <c r="I3005" s="1"/>
      <c r="J3005" s="1"/>
      <c r="K3005" s="1"/>
      <c r="L3005" s="1"/>
      <c r="M3005" s="1"/>
      <c r="N3005" s="1"/>
      <c r="O3005" s="1"/>
      <c r="P3005" s="1"/>
      <c r="Q3005" s="1"/>
      <c r="R3005" s="1"/>
      <c r="S3005" s="1"/>
      <c r="T3005" s="1"/>
      <c r="U3005" s="1"/>
      <c r="V3005" s="1"/>
      <c r="W3005" s="1"/>
      <c r="X3005" s="1"/>
      <c r="Y3005" s="1"/>
      <c r="Z3005" s="1"/>
      <c r="AA3005" s="1"/>
      <c r="AB3005" s="1"/>
    </row>
    <row r="3006" ht="50.25" customHeight="1">
      <c r="A3006" s="12">
        <v>3002.0</v>
      </c>
      <c r="B3006" s="13" t="s">
        <v>2825</v>
      </c>
      <c r="C3006" s="14" t="s">
        <v>3021</v>
      </c>
      <c r="D3006" s="1"/>
      <c r="E3006" s="1"/>
      <c r="F3006" s="1" t="str">
        <f>IFERROR(__xludf.DUMMYFUNCTION("GOOGLETRANSLATE(B3006, ""en"", ""fa"")
"),"آموزش و پرورش")</f>
        <v>آموزش و پرورش</v>
      </c>
      <c r="G3006" s="1" t="str">
        <f>IFERROR(__xludf.DUMMYFUNCTION("GOOGLETRANSLATE(C3006, ""en"", ""fa"")
"),"در مورد نقش سیاست های آموزشی در ارتقای نوآوری و اصلاحات آموزشی بحث کنید.")</f>
        <v>در مورد نقش سیاست های آموزشی در ارتقای نوآوری و اصلاحات آموزشی بحث کنید.</v>
      </c>
      <c r="H3006" s="1"/>
      <c r="I3006" s="1"/>
      <c r="J3006" s="1"/>
      <c r="K3006" s="1"/>
      <c r="L3006" s="1"/>
      <c r="M3006" s="1"/>
      <c r="N3006" s="1"/>
      <c r="O3006" s="1"/>
      <c r="P3006" s="1"/>
      <c r="Q3006" s="1"/>
      <c r="R3006" s="1"/>
      <c r="S3006" s="1"/>
      <c r="T3006" s="1"/>
      <c r="U3006" s="1"/>
      <c r="V3006" s="1"/>
      <c r="W3006" s="1"/>
      <c r="X3006" s="1"/>
      <c r="Y3006" s="1"/>
      <c r="Z3006" s="1"/>
      <c r="AA3006" s="1"/>
      <c r="AB3006" s="1"/>
    </row>
    <row r="3007" ht="50.25" customHeight="1">
      <c r="A3007" s="12">
        <v>3003.0</v>
      </c>
      <c r="B3007" s="13" t="s">
        <v>2825</v>
      </c>
      <c r="C3007" s="14" t="s">
        <v>3022</v>
      </c>
      <c r="D3007" s="1"/>
      <c r="E3007" s="1"/>
      <c r="F3007" s="1" t="str">
        <f>IFERROR(__xludf.DUMMYFUNCTION("GOOGLETRANSLATE(B3007, ""en"", ""fa"")
"),"آموزش و پرورش")</f>
        <v>آموزش و پرورش</v>
      </c>
      <c r="G3007" s="1" t="str">
        <f>IFERROR(__xludf.DUMMYFUNCTION("GOOGLETRANSLATE(C3007, ""en"", ""fa"")
"),"مزایای ترویج ذهنیت رشد در مربیان را برای تقویت رشد و بهبود حرفه ای مستمر تجزیه و تحلیل کنید.")</f>
        <v>مزایای ترویج ذهنیت رشد در مربیان را برای تقویت رشد و بهبود حرفه ای مستمر تجزیه و تحلیل کنید.</v>
      </c>
      <c r="H3007" s="1"/>
      <c r="I3007" s="1"/>
      <c r="J3007" s="1"/>
      <c r="K3007" s="1"/>
      <c r="L3007" s="1"/>
      <c r="M3007" s="1"/>
      <c r="N3007" s="1"/>
      <c r="O3007" s="1"/>
      <c r="P3007" s="1"/>
      <c r="Q3007" s="1"/>
      <c r="R3007" s="1"/>
      <c r="S3007" s="1"/>
      <c r="T3007" s="1"/>
      <c r="U3007" s="1"/>
      <c r="V3007" s="1"/>
      <c r="W3007" s="1"/>
      <c r="X3007" s="1"/>
      <c r="Y3007" s="1"/>
      <c r="Z3007" s="1"/>
      <c r="AA3007" s="1"/>
      <c r="AB3007" s="1"/>
    </row>
    <row r="3008" ht="50.25" customHeight="1">
      <c r="A3008" s="12">
        <v>3004.0</v>
      </c>
      <c r="B3008" s="13" t="s">
        <v>2825</v>
      </c>
      <c r="C3008" s="14" t="s">
        <v>3023</v>
      </c>
      <c r="D3008" s="1"/>
      <c r="E3008" s="1"/>
      <c r="F3008" s="1" t="str">
        <f>IFERROR(__xludf.DUMMYFUNCTION("GOOGLETRANSLATE(B3008, ""en"", ""fa"")
"),"آموزش و پرورش")</f>
        <v>آموزش و پرورش</v>
      </c>
      <c r="G3008" s="1" t="str">
        <f>IFERROR(__xludf.DUMMYFUNCTION("GOOGLETRANSLATE(C3008, ""en"", ""fa"")
"),"در مورد مزایای یادگیری پروژه محور در پرورش خلاقیت، تفکر انتقادی و مهارت های حل مسئله دانش آموزان بحث کنید.")</f>
        <v>در مورد مزایای یادگیری پروژه محور در پرورش خلاقیت، تفکر انتقادی و مهارت های حل مسئله دانش آموزان بحث کنید.</v>
      </c>
      <c r="H3008" s="1"/>
      <c r="I3008" s="1"/>
      <c r="J3008" s="1"/>
      <c r="K3008" s="1"/>
      <c r="L3008" s="1"/>
      <c r="M3008" s="1"/>
      <c r="N3008" s="1"/>
      <c r="O3008" s="1"/>
      <c r="P3008" s="1"/>
      <c r="Q3008" s="1"/>
      <c r="R3008" s="1"/>
      <c r="S3008" s="1"/>
      <c r="T3008" s="1"/>
      <c r="U3008" s="1"/>
      <c r="V3008" s="1"/>
      <c r="W3008" s="1"/>
      <c r="X3008" s="1"/>
      <c r="Y3008" s="1"/>
      <c r="Z3008" s="1"/>
      <c r="AA3008" s="1"/>
      <c r="AB3008" s="1"/>
    </row>
    <row r="3009" ht="50.25" customHeight="1">
      <c r="A3009" s="12">
        <v>3005.0</v>
      </c>
      <c r="B3009" s="13" t="s">
        <v>2825</v>
      </c>
      <c r="C3009" s="14" t="s">
        <v>3024</v>
      </c>
      <c r="D3009" s="1"/>
      <c r="E3009" s="1"/>
      <c r="F3009" s="1" t="str">
        <f>IFERROR(__xludf.DUMMYFUNCTION("GOOGLETRANSLATE(B3009, ""en"", ""fa"")
"),"آموزش و پرورش")</f>
        <v>آموزش و پرورش</v>
      </c>
      <c r="G3009" s="1" t="str">
        <f>IFERROR(__xludf.DUMMYFUNCTION("GOOGLETRANSLATE(C3009, ""en"", ""fa"")
"),"نقش ارزشیابی آموزشی در ارائه بازخوردهای ارزشمند و ارتقای رشد دانش آموزان را تحلیل کنید.")</f>
        <v>نقش ارزشیابی آموزشی در ارائه بازخوردهای ارزشمند و ارتقای رشد دانش آموزان را تحلیل کنید.</v>
      </c>
      <c r="H3009" s="1"/>
      <c r="I3009" s="1"/>
      <c r="J3009" s="1"/>
      <c r="K3009" s="1"/>
      <c r="L3009" s="1"/>
      <c r="M3009" s="1"/>
      <c r="N3009" s="1"/>
      <c r="O3009" s="1"/>
      <c r="P3009" s="1"/>
      <c r="Q3009" s="1"/>
      <c r="R3009" s="1"/>
      <c r="S3009" s="1"/>
      <c r="T3009" s="1"/>
      <c r="U3009" s="1"/>
      <c r="V3009" s="1"/>
      <c r="W3009" s="1"/>
      <c r="X3009" s="1"/>
      <c r="Y3009" s="1"/>
      <c r="Z3009" s="1"/>
      <c r="AA3009" s="1"/>
      <c r="AB3009" s="1"/>
    </row>
    <row r="3010" ht="50.25" customHeight="1">
      <c r="A3010" s="12">
        <v>3006.0</v>
      </c>
      <c r="B3010" s="13" t="s">
        <v>2825</v>
      </c>
      <c r="C3010" s="14" t="s">
        <v>3025</v>
      </c>
      <c r="D3010" s="1"/>
      <c r="E3010" s="1"/>
      <c r="F3010" s="1" t="str">
        <f>IFERROR(__xludf.DUMMYFUNCTION("GOOGLETRANSLATE(B3010, ""en"", ""fa"")
"),"آموزش و پرورش")</f>
        <v>آموزش و پرورش</v>
      </c>
      <c r="G3010" s="1" t="str">
        <f>IFERROR(__xludf.DUMMYFUNCTION("GOOGLETRANSLATE(C3010, ""en"", ""fa"")
"),"تأثیر رویکردهای آموزشی دانش آموز محور بر مشارکت و پیشرفت دانش آموزان را بررسی کنید.")</f>
        <v>تأثیر رویکردهای آموزشی دانش آموز محور بر مشارکت و پیشرفت دانش آموزان را بررسی کنید.</v>
      </c>
      <c r="H3010" s="1"/>
      <c r="I3010" s="1"/>
      <c r="J3010" s="1"/>
      <c r="K3010" s="1"/>
      <c r="L3010" s="1"/>
      <c r="M3010" s="1"/>
      <c r="N3010" s="1"/>
      <c r="O3010" s="1"/>
      <c r="P3010" s="1"/>
      <c r="Q3010" s="1"/>
      <c r="R3010" s="1"/>
      <c r="S3010" s="1"/>
      <c r="T3010" s="1"/>
      <c r="U3010" s="1"/>
      <c r="V3010" s="1"/>
      <c r="W3010" s="1"/>
      <c r="X3010" s="1"/>
      <c r="Y3010" s="1"/>
      <c r="Z3010" s="1"/>
      <c r="AA3010" s="1"/>
      <c r="AB3010" s="1"/>
    </row>
    <row r="3011" ht="50.25" customHeight="1">
      <c r="A3011" s="12">
        <v>3007.0</v>
      </c>
      <c r="B3011" s="13" t="s">
        <v>2825</v>
      </c>
      <c r="C3011" s="14" t="s">
        <v>3026</v>
      </c>
      <c r="D3011" s="1"/>
      <c r="E3011" s="1"/>
      <c r="F3011" s="1" t="str">
        <f>IFERROR(__xludf.DUMMYFUNCTION("GOOGLETRANSLATE(B3011, ""en"", ""fa"")
"),"آموزش و پرورش")</f>
        <v>آموزش و پرورش</v>
      </c>
      <c r="G3011" s="1" t="str">
        <f>IFERROR(__xludf.DUMMYFUNCTION("GOOGLETRANSLATE(C3011, ""en"", ""fa"")
"),"در مورد مزایای ادغام آموزش محیط زیست در برنامه درسی برای ارتقاء آگاهی پایداری بحث کنید.")</f>
        <v>در مورد مزایای ادغام آموزش محیط زیست در برنامه درسی برای ارتقاء آگاهی پایداری بحث کنید.</v>
      </c>
      <c r="H3011" s="1"/>
      <c r="I3011" s="1"/>
      <c r="J3011" s="1"/>
      <c r="K3011" s="1"/>
      <c r="L3011" s="1"/>
      <c r="M3011" s="1"/>
      <c r="N3011" s="1"/>
      <c r="O3011" s="1"/>
      <c r="P3011" s="1"/>
      <c r="Q3011" s="1"/>
      <c r="R3011" s="1"/>
      <c r="S3011" s="1"/>
      <c r="T3011" s="1"/>
      <c r="U3011" s="1"/>
      <c r="V3011" s="1"/>
      <c r="W3011" s="1"/>
      <c r="X3011" s="1"/>
      <c r="Y3011" s="1"/>
      <c r="Z3011" s="1"/>
      <c r="AA3011" s="1"/>
      <c r="AB3011" s="1"/>
    </row>
    <row r="3012" ht="50.25" customHeight="1">
      <c r="A3012" s="12">
        <v>3008.0</v>
      </c>
      <c r="B3012" s="13" t="s">
        <v>2825</v>
      </c>
      <c r="C3012" s="14" t="s">
        <v>3027</v>
      </c>
      <c r="D3012" s="1"/>
      <c r="E3012" s="1"/>
      <c r="F3012" s="1" t="str">
        <f>IFERROR(__xludf.DUMMYFUNCTION("GOOGLETRANSLATE(B3012, ""en"", ""fa"")
"),"آموزش و پرورش")</f>
        <v>آموزش و پرورش</v>
      </c>
      <c r="G3012" s="1" t="str">
        <f>IFERROR(__xludf.DUMMYFUNCTION("GOOGLETRANSLATE(C3012, ""en"", ""fa"")
"),"نقش یادگیری اجتماعی-عاطفی در حمایت از بهزیستی و موفقیت تحصیلی دانش آموزان را تجزیه و تحلیل کنید.")</f>
        <v>نقش یادگیری اجتماعی-عاطفی در حمایت از بهزیستی و موفقیت تحصیلی دانش آموزان را تجزیه و تحلیل کنید.</v>
      </c>
      <c r="H3012" s="1"/>
      <c r="I3012" s="1"/>
      <c r="J3012" s="1"/>
      <c r="K3012" s="1"/>
      <c r="L3012" s="1"/>
      <c r="M3012" s="1"/>
      <c r="N3012" s="1"/>
      <c r="O3012" s="1"/>
      <c r="P3012" s="1"/>
      <c r="Q3012" s="1"/>
      <c r="R3012" s="1"/>
      <c r="S3012" s="1"/>
      <c r="T3012" s="1"/>
      <c r="U3012" s="1"/>
      <c r="V3012" s="1"/>
      <c r="W3012" s="1"/>
      <c r="X3012" s="1"/>
      <c r="Y3012" s="1"/>
      <c r="Z3012" s="1"/>
      <c r="AA3012" s="1"/>
      <c r="AB3012" s="1"/>
    </row>
    <row r="3013" ht="50.25" customHeight="1">
      <c r="A3013" s="12">
        <v>3009.0</v>
      </c>
      <c r="B3013" s="13" t="s">
        <v>2825</v>
      </c>
      <c r="C3013" s="14" t="s">
        <v>3028</v>
      </c>
      <c r="D3013" s="1"/>
      <c r="E3013" s="1"/>
      <c r="F3013" s="1" t="str">
        <f>IFERROR(__xludf.DUMMYFUNCTION("GOOGLETRANSLATE(B3013, ""en"", ""fa"")
"),"آموزش و پرورش")</f>
        <v>آموزش و پرورش</v>
      </c>
      <c r="G3013" s="1" t="str">
        <f>IFERROR(__xludf.DUMMYFUNCTION("GOOGLETRANSLATE(C3013, ""en"", ""fa"")
"),"مزایای شیوه های کلاس درس فراگیر در ایجاد یک محیط یادگیری مثبت و حمایتی را بررسی کنید.")</f>
        <v>مزایای شیوه های کلاس درس فراگیر در ایجاد یک محیط یادگیری مثبت و حمایتی را بررسی کنید.</v>
      </c>
      <c r="H3013" s="1"/>
      <c r="I3013" s="1"/>
      <c r="J3013" s="1"/>
      <c r="K3013" s="1"/>
      <c r="L3013" s="1"/>
      <c r="M3013" s="1"/>
      <c r="N3013" s="1"/>
      <c r="O3013" s="1"/>
      <c r="P3013" s="1"/>
      <c r="Q3013" s="1"/>
      <c r="R3013" s="1"/>
      <c r="S3013" s="1"/>
      <c r="T3013" s="1"/>
      <c r="U3013" s="1"/>
      <c r="V3013" s="1"/>
      <c r="W3013" s="1"/>
      <c r="X3013" s="1"/>
      <c r="Y3013" s="1"/>
      <c r="Z3013" s="1"/>
      <c r="AA3013" s="1"/>
      <c r="AB3013" s="1"/>
    </row>
    <row r="3014" ht="50.25" customHeight="1">
      <c r="A3014" s="12">
        <v>3010.0</v>
      </c>
      <c r="B3014" s="13" t="s">
        <v>2825</v>
      </c>
      <c r="C3014" s="14" t="s">
        <v>3029</v>
      </c>
      <c r="D3014" s="1"/>
      <c r="E3014" s="1"/>
      <c r="F3014" s="1" t="str">
        <f>IFERROR(__xludf.DUMMYFUNCTION("GOOGLETRANSLATE(B3014, ""en"", ""fa"")
"),"آموزش و پرورش")</f>
        <v>آموزش و پرورش</v>
      </c>
      <c r="G3014" s="1" t="str">
        <f>IFERROR(__xludf.DUMMYFUNCTION("GOOGLETRANSLATE(C3014, ""en"", ""fa"")
"),"در مورد تأثیر آموزش پاسخگوی فرهنگی بر تعامل و درک فرهنگی دانش آموزان بحث کنید.")</f>
        <v>در مورد تأثیر آموزش پاسخگوی فرهنگی بر تعامل و درک فرهنگی دانش آموزان بحث کنید.</v>
      </c>
      <c r="H3014" s="1"/>
      <c r="I3014" s="1"/>
      <c r="J3014" s="1"/>
      <c r="K3014" s="1"/>
      <c r="L3014" s="1"/>
      <c r="M3014" s="1"/>
      <c r="N3014" s="1"/>
      <c r="O3014" s="1"/>
      <c r="P3014" s="1"/>
      <c r="Q3014" s="1"/>
      <c r="R3014" s="1"/>
      <c r="S3014" s="1"/>
      <c r="T3014" s="1"/>
      <c r="U3014" s="1"/>
      <c r="V3014" s="1"/>
      <c r="W3014" s="1"/>
      <c r="X3014" s="1"/>
      <c r="Y3014" s="1"/>
      <c r="Z3014" s="1"/>
      <c r="AA3014" s="1"/>
      <c r="AB3014" s="1"/>
    </row>
    <row r="3015" ht="50.25" customHeight="1">
      <c r="A3015" s="12">
        <v>3011.0</v>
      </c>
      <c r="B3015" s="13" t="s">
        <v>2825</v>
      </c>
      <c r="C3015" s="14" t="s">
        <v>3030</v>
      </c>
      <c r="D3015" s="1"/>
      <c r="E3015" s="1"/>
      <c r="F3015" s="1" t="str">
        <f>IFERROR(__xludf.DUMMYFUNCTION("GOOGLETRANSLATE(B3015, ""en"", ""fa"")
"),"آموزش و پرورش")</f>
        <v>آموزش و پرورش</v>
      </c>
      <c r="G3015" s="1" t="str">
        <f>IFERROR(__xludf.DUMMYFUNCTION("GOOGLETRANSLATE(C3015, ""en"", ""fa"")
"),"تجزیه و تحلیل مزایای ادغام فناوری در برنامه درسی برای افزایش تجارب تدریس و یادگیری.")</f>
        <v>تجزیه و تحلیل مزایای ادغام فناوری در برنامه درسی برای افزایش تجارب تدریس و یادگیری.</v>
      </c>
      <c r="H3015" s="1"/>
      <c r="I3015" s="1"/>
      <c r="J3015" s="1"/>
      <c r="K3015" s="1"/>
      <c r="L3015" s="1"/>
      <c r="M3015" s="1"/>
      <c r="N3015" s="1"/>
      <c r="O3015" s="1"/>
      <c r="P3015" s="1"/>
      <c r="Q3015" s="1"/>
      <c r="R3015" s="1"/>
      <c r="S3015" s="1"/>
      <c r="T3015" s="1"/>
      <c r="U3015" s="1"/>
      <c r="V3015" s="1"/>
      <c r="W3015" s="1"/>
      <c r="X3015" s="1"/>
      <c r="Y3015" s="1"/>
      <c r="Z3015" s="1"/>
      <c r="AA3015" s="1"/>
      <c r="AB3015" s="1"/>
    </row>
    <row r="3016" ht="50.25" customHeight="1">
      <c r="A3016" s="12">
        <v>3012.0</v>
      </c>
      <c r="B3016" s="13" t="s">
        <v>2825</v>
      </c>
      <c r="C3016" s="14" t="s">
        <v>3031</v>
      </c>
      <c r="D3016" s="1"/>
      <c r="E3016" s="1"/>
      <c r="F3016" s="1" t="str">
        <f>IFERROR(__xludf.DUMMYFUNCTION("GOOGLETRANSLATE(B3016, ""en"", ""fa"")
"),"آموزش و پرورش")</f>
        <v>آموزش و پرورش</v>
      </c>
      <c r="G3016" s="1" t="str">
        <f>IFERROR(__xludf.DUMMYFUNCTION("GOOGLETRANSLATE(C3016, ""en"", ""fa"")
"),"نقش یادگیری تجربی را در تعمیق درک دانش آموزان و حفظ دانش بررسی کنید.")</f>
        <v>نقش یادگیری تجربی را در تعمیق درک دانش آموزان و حفظ دانش بررسی کنید.</v>
      </c>
      <c r="H3016" s="1"/>
      <c r="I3016" s="1"/>
      <c r="J3016" s="1"/>
      <c r="K3016" s="1"/>
      <c r="L3016" s="1"/>
      <c r="M3016" s="1"/>
      <c r="N3016" s="1"/>
      <c r="O3016" s="1"/>
      <c r="P3016" s="1"/>
      <c r="Q3016" s="1"/>
      <c r="R3016" s="1"/>
      <c r="S3016" s="1"/>
      <c r="T3016" s="1"/>
      <c r="U3016" s="1"/>
      <c r="V3016" s="1"/>
      <c r="W3016" s="1"/>
      <c r="X3016" s="1"/>
      <c r="Y3016" s="1"/>
      <c r="Z3016" s="1"/>
      <c r="AA3016" s="1"/>
      <c r="AB3016" s="1"/>
    </row>
    <row r="3017" ht="50.25" customHeight="1">
      <c r="A3017" s="12">
        <v>3013.0</v>
      </c>
      <c r="B3017" s="13" t="s">
        <v>2825</v>
      </c>
      <c r="C3017" s="14" t="s">
        <v>3032</v>
      </c>
      <c r="D3017" s="1"/>
      <c r="E3017" s="1"/>
      <c r="F3017" s="1" t="str">
        <f>IFERROR(__xludf.DUMMYFUNCTION("GOOGLETRANSLATE(B3017, ""en"", ""fa"")
"),"آموزش و پرورش")</f>
        <v>آموزش و پرورش</v>
      </c>
      <c r="G3017" s="1" t="str">
        <f>IFERROR(__xludf.DUMMYFUNCTION("GOOGLETRANSLATE(C3017, ""en"", ""fa"")
"),"در مورد مزایای ترویج ذهنیت رشد در دانش آموزان برای تقویت تاب آوری و عشق به یادگیری بحث کنید.")</f>
        <v>در مورد مزایای ترویج ذهنیت رشد در دانش آموزان برای تقویت تاب آوری و عشق به یادگیری بحث کنید.</v>
      </c>
      <c r="H3017" s="1"/>
      <c r="I3017" s="1"/>
      <c r="J3017" s="1"/>
      <c r="K3017" s="1"/>
      <c r="L3017" s="1"/>
      <c r="M3017" s="1"/>
      <c r="N3017" s="1"/>
      <c r="O3017" s="1"/>
      <c r="P3017" s="1"/>
      <c r="Q3017" s="1"/>
      <c r="R3017" s="1"/>
      <c r="S3017" s="1"/>
      <c r="T3017" s="1"/>
      <c r="U3017" s="1"/>
      <c r="V3017" s="1"/>
      <c r="W3017" s="1"/>
      <c r="X3017" s="1"/>
      <c r="Y3017" s="1"/>
      <c r="Z3017" s="1"/>
      <c r="AA3017" s="1"/>
      <c r="AB3017" s="1"/>
    </row>
    <row r="3018" ht="50.25" customHeight="1">
      <c r="A3018" s="12">
        <v>3014.0</v>
      </c>
      <c r="B3018" s="13" t="s">
        <v>2825</v>
      </c>
      <c r="C3018" s="14" t="s">
        <v>3033</v>
      </c>
      <c r="D3018" s="1"/>
      <c r="E3018" s="1"/>
      <c r="F3018" s="1" t="str">
        <f>IFERROR(__xludf.DUMMYFUNCTION("GOOGLETRANSLATE(B3018, ""en"", ""fa"")
"),"آموزش و پرورش")</f>
        <v>آموزش و پرورش</v>
      </c>
      <c r="G3018" s="1" t="str">
        <f>IFERROR(__xludf.DUMMYFUNCTION("GOOGLETRANSLATE(C3018, ""en"", ""fa"")
"),"تأثیر همکاری معلمان و جوامع یادگیری حرفه ای بر روی شیوه های آموزشی و نتایج دانش آموزان را تجزیه و تحلیل کنید.")</f>
        <v>تأثیر همکاری معلمان و جوامع یادگیری حرفه ای بر روی شیوه های آموزشی و نتایج دانش آموزان را تجزیه و تحلیل کنید.</v>
      </c>
      <c r="H3018" s="1"/>
      <c r="I3018" s="1"/>
      <c r="J3018" s="1"/>
      <c r="K3018" s="1"/>
      <c r="L3018" s="1"/>
      <c r="M3018" s="1"/>
      <c r="N3018" s="1"/>
      <c r="O3018" s="1"/>
      <c r="P3018" s="1"/>
      <c r="Q3018" s="1"/>
      <c r="R3018" s="1"/>
      <c r="S3018" s="1"/>
      <c r="T3018" s="1"/>
      <c r="U3018" s="1"/>
      <c r="V3018" s="1"/>
      <c r="W3018" s="1"/>
      <c r="X3018" s="1"/>
      <c r="Y3018" s="1"/>
      <c r="Z3018" s="1"/>
      <c r="AA3018" s="1"/>
      <c r="AB3018" s="1"/>
    </row>
    <row r="3019" ht="50.25" customHeight="1">
      <c r="A3019" s="12">
        <v>3015.0</v>
      </c>
      <c r="B3019" s="13" t="s">
        <v>2825</v>
      </c>
      <c r="C3019" s="14" t="s">
        <v>3034</v>
      </c>
      <c r="D3019" s="1"/>
      <c r="E3019" s="1"/>
      <c r="F3019" s="1" t="str">
        <f>IFERROR(__xludf.DUMMYFUNCTION("GOOGLETRANSLATE(B3019, ""en"", ""fa"")
"),"آموزش و پرورش")</f>
        <v>آموزش و پرورش</v>
      </c>
      <c r="G3019" s="1" t="str">
        <f>IFERROR(__xludf.DUMMYFUNCTION("GOOGLETRANSLATE(C3019, ""en"", ""fa"")
"),"در مورد نقش خلاقیت و نوآوری در محیط های آموزشی در آماده سازی دانش آموزان برای چالش های آینده بحث کنید.")</f>
        <v>در مورد نقش خلاقیت و نوآوری در محیط های آموزشی در آماده سازی دانش آموزان برای چالش های آینده بحث کنید.</v>
      </c>
      <c r="H3019" s="1"/>
      <c r="I3019" s="1"/>
      <c r="J3019" s="1"/>
      <c r="K3019" s="1"/>
      <c r="L3019" s="1"/>
      <c r="M3019" s="1"/>
      <c r="N3019" s="1"/>
      <c r="O3019" s="1"/>
      <c r="P3019" s="1"/>
      <c r="Q3019" s="1"/>
      <c r="R3019" s="1"/>
      <c r="S3019" s="1"/>
      <c r="T3019" s="1"/>
      <c r="U3019" s="1"/>
      <c r="V3019" s="1"/>
      <c r="W3019" s="1"/>
      <c r="X3019" s="1"/>
      <c r="Y3019" s="1"/>
      <c r="Z3019" s="1"/>
      <c r="AA3019" s="1"/>
      <c r="AB3019" s="1"/>
    </row>
    <row r="3020" ht="50.25" customHeight="1">
      <c r="A3020" s="12">
        <v>3016.0</v>
      </c>
      <c r="B3020" s="13" t="s">
        <v>2825</v>
      </c>
      <c r="C3020" s="14" t="s">
        <v>3035</v>
      </c>
      <c r="D3020" s="1"/>
      <c r="E3020" s="1"/>
      <c r="F3020" s="1" t="str">
        <f>IFERROR(__xludf.DUMMYFUNCTION("GOOGLETRANSLATE(B3020, ""en"", ""fa"")
"),"آموزش و پرورش")</f>
        <v>آموزش و پرورش</v>
      </c>
      <c r="G3020" s="1" t="str">
        <f>IFERROR(__xludf.DUMMYFUNCTION("GOOGLETRANSLATE(C3020, ""en"", ""fa"")
"),"تجزیه و تحلیل مزایای ارتقاء آگاهی جهانی و شایستگی فرهنگی در برنامه درسی.")</f>
        <v>تجزیه و تحلیل مزایای ارتقاء آگاهی جهانی و شایستگی فرهنگی در برنامه درسی.</v>
      </c>
      <c r="H3020" s="1"/>
      <c r="I3020" s="1"/>
      <c r="J3020" s="1"/>
      <c r="K3020" s="1"/>
      <c r="L3020" s="1"/>
      <c r="M3020" s="1"/>
      <c r="N3020" s="1"/>
      <c r="O3020" s="1"/>
      <c r="P3020" s="1"/>
      <c r="Q3020" s="1"/>
      <c r="R3020" s="1"/>
      <c r="S3020" s="1"/>
      <c r="T3020" s="1"/>
      <c r="U3020" s="1"/>
      <c r="V3020" s="1"/>
      <c r="W3020" s="1"/>
      <c r="X3020" s="1"/>
      <c r="Y3020" s="1"/>
      <c r="Z3020" s="1"/>
      <c r="AA3020" s="1"/>
      <c r="AB3020" s="1"/>
    </row>
    <row r="3021" ht="50.25" customHeight="1">
      <c r="A3021" s="12">
        <v>3017.0</v>
      </c>
      <c r="B3021" s="13" t="s">
        <v>2825</v>
      </c>
      <c r="C3021" s="14" t="s">
        <v>3036</v>
      </c>
      <c r="D3021" s="1"/>
      <c r="E3021" s="1"/>
      <c r="F3021" s="1" t="str">
        <f>IFERROR(__xludf.DUMMYFUNCTION("GOOGLETRANSLATE(B3021, ""en"", ""fa"")
"),"آموزش و پرورش")</f>
        <v>آموزش و پرورش</v>
      </c>
      <c r="G3021" s="1" t="str">
        <f>IFERROR(__xludf.DUMMYFUNCTION("GOOGLETRANSLATE(C3021, ""en"", ""fa"")
"),"تأثیر شیوه‌های آموزشی فراگیر بر ارتقای برابری آموزشی و دسترسی را بررسی کنید.")</f>
        <v>تأثیر شیوه‌های آموزشی فراگیر بر ارتقای برابری آموزشی و دسترسی را بررسی کنید.</v>
      </c>
      <c r="H3021" s="1"/>
      <c r="I3021" s="1"/>
      <c r="J3021" s="1"/>
      <c r="K3021" s="1"/>
      <c r="L3021" s="1"/>
      <c r="M3021" s="1"/>
      <c r="N3021" s="1"/>
      <c r="O3021" s="1"/>
      <c r="P3021" s="1"/>
      <c r="Q3021" s="1"/>
      <c r="R3021" s="1"/>
      <c r="S3021" s="1"/>
      <c r="T3021" s="1"/>
      <c r="U3021" s="1"/>
      <c r="V3021" s="1"/>
      <c r="W3021" s="1"/>
      <c r="X3021" s="1"/>
      <c r="Y3021" s="1"/>
      <c r="Z3021" s="1"/>
      <c r="AA3021" s="1"/>
      <c r="AB3021" s="1"/>
    </row>
    <row r="3022" ht="50.25" customHeight="1">
      <c r="A3022" s="12">
        <v>3018.0</v>
      </c>
      <c r="B3022" s="13" t="s">
        <v>2825</v>
      </c>
      <c r="C3022" s="14" t="s">
        <v>3037</v>
      </c>
      <c r="D3022" s="1"/>
      <c r="E3022" s="1"/>
      <c r="F3022" s="1" t="str">
        <f>IFERROR(__xludf.DUMMYFUNCTION("GOOGLETRANSLATE(B3022, ""en"", ""fa"")
"),"آموزش و پرورش")</f>
        <v>آموزش و پرورش</v>
      </c>
      <c r="G3022" s="1" t="str">
        <f>IFERROR(__xludf.DUMMYFUNCTION("GOOGLETRANSLATE(C3022, ""en"", ""fa"")
"),"در مورد مزایای آموزش سواد مالی در مدارس برای آماده سازی دانش آموزان برای تصمیم گیری مالی مسئولانه بحث کنید.")</f>
        <v>در مورد مزایای آموزش سواد مالی در مدارس برای آماده سازی دانش آموزان برای تصمیم گیری مالی مسئولانه بحث کنید.</v>
      </c>
      <c r="H3022" s="1"/>
      <c r="I3022" s="1"/>
      <c r="J3022" s="1"/>
      <c r="K3022" s="1"/>
      <c r="L3022" s="1"/>
      <c r="M3022" s="1"/>
      <c r="N3022" s="1"/>
      <c r="O3022" s="1"/>
      <c r="P3022" s="1"/>
      <c r="Q3022" s="1"/>
      <c r="R3022" s="1"/>
      <c r="S3022" s="1"/>
      <c r="T3022" s="1"/>
      <c r="U3022" s="1"/>
      <c r="V3022" s="1"/>
      <c r="W3022" s="1"/>
      <c r="X3022" s="1"/>
      <c r="Y3022" s="1"/>
      <c r="Z3022" s="1"/>
      <c r="AA3022" s="1"/>
      <c r="AB3022" s="1"/>
    </row>
    <row r="3023" ht="50.25" customHeight="1">
      <c r="A3023" s="12">
        <v>3019.0</v>
      </c>
      <c r="B3023" s="13" t="s">
        <v>2825</v>
      </c>
      <c r="C3023" s="14" t="s">
        <v>3038</v>
      </c>
      <c r="D3023" s="1"/>
      <c r="E3023" s="1"/>
      <c r="F3023" s="1" t="str">
        <f>IFERROR(__xludf.DUMMYFUNCTION("GOOGLETRANSLATE(B3023, ""en"", ""fa"")
"),"آموزش و پرورش")</f>
        <v>آموزش و پرورش</v>
      </c>
      <c r="G3023" s="1" t="str">
        <f>IFERROR(__xludf.DUMMYFUNCTION("GOOGLETRANSLATE(C3023, ""en"", ""fa"")
"),"نقش مشارکت والدین در پیشرفت و موفقیت تحصیلی دانش آموزان را تحلیل کنید.")</f>
        <v>نقش مشارکت والدین در پیشرفت و موفقیت تحصیلی دانش آموزان را تحلیل کنید.</v>
      </c>
      <c r="H3023" s="1"/>
      <c r="I3023" s="1"/>
      <c r="J3023" s="1"/>
      <c r="K3023" s="1"/>
      <c r="L3023" s="1"/>
      <c r="M3023" s="1"/>
      <c r="N3023" s="1"/>
      <c r="O3023" s="1"/>
      <c r="P3023" s="1"/>
      <c r="Q3023" s="1"/>
      <c r="R3023" s="1"/>
      <c r="S3023" s="1"/>
      <c r="T3023" s="1"/>
      <c r="U3023" s="1"/>
      <c r="V3023" s="1"/>
      <c r="W3023" s="1"/>
      <c r="X3023" s="1"/>
      <c r="Y3023" s="1"/>
      <c r="Z3023" s="1"/>
      <c r="AA3023" s="1"/>
      <c r="AB3023" s="1"/>
    </row>
    <row r="3024" ht="50.25" customHeight="1">
      <c r="A3024" s="12">
        <v>3020.0</v>
      </c>
      <c r="B3024" s="13" t="s">
        <v>2825</v>
      </c>
      <c r="C3024" s="14" t="s">
        <v>3039</v>
      </c>
      <c r="D3024" s="1"/>
      <c r="E3024" s="1"/>
      <c r="F3024" s="1" t="str">
        <f>IFERROR(__xludf.DUMMYFUNCTION("GOOGLETRANSLATE(B3024, ""en"", ""fa"")
"),"آموزش و پرورش")</f>
        <v>آموزش و پرورش</v>
      </c>
      <c r="G3024" s="1" t="str">
        <f>IFERROR(__xludf.DUMMYFUNCTION("GOOGLETRANSLATE(C3024, ""en"", ""fa"")
"),"مزایای ادغام آموزش هنر در برنامه درسی را برای تقویت خلاقیت و ابراز وجود کاوش کنید.")</f>
        <v>مزایای ادغام آموزش هنر در برنامه درسی را برای تقویت خلاقیت و ابراز وجود کاوش کنید.</v>
      </c>
      <c r="H3024" s="1"/>
      <c r="I3024" s="1"/>
      <c r="J3024" s="1"/>
      <c r="K3024" s="1"/>
      <c r="L3024" s="1"/>
      <c r="M3024" s="1"/>
      <c r="N3024" s="1"/>
      <c r="O3024" s="1"/>
      <c r="P3024" s="1"/>
      <c r="Q3024" s="1"/>
      <c r="R3024" s="1"/>
      <c r="S3024" s="1"/>
      <c r="T3024" s="1"/>
      <c r="U3024" s="1"/>
      <c r="V3024" s="1"/>
      <c r="W3024" s="1"/>
      <c r="X3024" s="1"/>
      <c r="Y3024" s="1"/>
      <c r="Z3024" s="1"/>
      <c r="AA3024" s="1"/>
      <c r="AB3024" s="1"/>
    </row>
    <row r="3025" ht="50.25" customHeight="1">
      <c r="A3025" s="12">
        <v>3021.0</v>
      </c>
      <c r="B3025" s="13" t="s">
        <v>2825</v>
      </c>
      <c r="C3025" s="14" t="s">
        <v>3040</v>
      </c>
      <c r="D3025" s="1"/>
      <c r="E3025" s="1"/>
      <c r="F3025" s="1" t="str">
        <f>IFERROR(__xludf.DUMMYFUNCTION("GOOGLETRANSLATE(B3025, ""en"", ""fa"")
"),"آموزش و پرورش")</f>
        <v>آموزش و پرورش</v>
      </c>
      <c r="G3025" s="1" t="str">
        <f>IFERROR(__xludf.DUMMYFUNCTION("GOOGLETRANSLATE(C3025, ""en"", ""fa"")
"),"درباره تأثیر یکپارچه سازی فناوری در تغییر تجارب تدریس و یادگیری بحث کنید.")</f>
        <v>درباره تأثیر یکپارچه سازی فناوری در تغییر تجارب تدریس و یادگیری بحث کنید.</v>
      </c>
      <c r="H3025" s="1"/>
      <c r="I3025" s="1"/>
      <c r="J3025" s="1"/>
      <c r="K3025" s="1"/>
      <c r="L3025" s="1"/>
      <c r="M3025" s="1"/>
      <c r="N3025" s="1"/>
      <c r="O3025" s="1"/>
      <c r="P3025" s="1"/>
      <c r="Q3025" s="1"/>
      <c r="R3025" s="1"/>
      <c r="S3025" s="1"/>
      <c r="T3025" s="1"/>
      <c r="U3025" s="1"/>
      <c r="V3025" s="1"/>
      <c r="W3025" s="1"/>
      <c r="X3025" s="1"/>
      <c r="Y3025" s="1"/>
      <c r="Z3025" s="1"/>
      <c r="AA3025" s="1"/>
      <c r="AB3025" s="1"/>
    </row>
    <row r="3026" ht="50.25" customHeight="1">
      <c r="A3026" s="12">
        <v>3022.0</v>
      </c>
      <c r="B3026" s="13" t="s">
        <v>2825</v>
      </c>
      <c r="C3026" s="14" t="s">
        <v>3041</v>
      </c>
      <c r="D3026" s="1"/>
      <c r="E3026" s="1"/>
      <c r="F3026" s="1" t="str">
        <f>IFERROR(__xludf.DUMMYFUNCTION("GOOGLETRANSLATE(B3026, ""en"", ""fa"")
"),"آموزش و پرورش")</f>
        <v>آموزش و پرورش</v>
      </c>
      <c r="G3026" s="1" t="str">
        <f>IFERROR(__xludf.DUMMYFUNCTION("GOOGLETRANSLATE(C3026, ""en"", ""fa"")
"),"تجزیه و تحلیل مزایای آموزش مهارت های حل مسئله و تفکر انتقادی در آماده سازی دانش آموزان برای نیروی کار قرن بیست و یکم.")</f>
        <v>تجزیه و تحلیل مزایای آموزش مهارت های حل مسئله و تفکر انتقادی در آماده سازی دانش آموزان برای نیروی کار قرن بیست و یکم.</v>
      </c>
      <c r="H3026" s="1"/>
      <c r="I3026" s="1"/>
      <c r="J3026" s="1"/>
      <c r="K3026" s="1"/>
      <c r="L3026" s="1"/>
      <c r="M3026" s="1"/>
      <c r="N3026" s="1"/>
      <c r="O3026" s="1"/>
      <c r="P3026" s="1"/>
      <c r="Q3026" s="1"/>
      <c r="R3026" s="1"/>
      <c r="S3026" s="1"/>
      <c r="T3026" s="1"/>
      <c r="U3026" s="1"/>
      <c r="V3026" s="1"/>
      <c r="W3026" s="1"/>
      <c r="X3026" s="1"/>
      <c r="Y3026" s="1"/>
      <c r="Z3026" s="1"/>
      <c r="AA3026" s="1"/>
      <c r="AB3026" s="1"/>
    </row>
    <row r="3027" ht="50.25" customHeight="1">
      <c r="A3027" s="12">
        <v>3023.0</v>
      </c>
      <c r="B3027" s="13" t="s">
        <v>2825</v>
      </c>
      <c r="C3027" s="14" t="s">
        <v>3042</v>
      </c>
      <c r="D3027" s="1"/>
      <c r="E3027" s="1"/>
      <c r="F3027" s="1" t="str">
        <f>IFERROR(__xludf.DUMMYFUNCTION("GOOGLETRANSLATE(B3027, ""en"", ""fa"")
"),"آموزش و پرورش")</f>
        <v>آموزش و پرورش</v>
      </c>
      <c r="G3027" s="1" t="str">
        <f>IFERROR(__xludf.DUMMYFUNCTION("GOOGLETRANSLATE(C3027, ""en"", ""fa"")
"),"نقش یادگیری مبتنی بر تحقیق را در ارتقای کنجکاوی، کاوش و درک عمیق‌تر دانش‌آموز بررسی کنید.")</f>
        <v>نقش یادگیری مبتنی بر تحقیق را در ارتقای کنجکاوی، کاوش و درک عمیق‌تر دانش‌آموز بررسی کنید.</v>
      </c>
      <c r="H3027" s="1"/>
      <c r="I3027" s="1"/>
      <c r="J3027" s="1"/>
      <c r="K3027" s="1"/>
      <c r="L3027" s="1"/>
      <c r="M3027" s="1"/>
      <c r="N3027" s="1"/>
      <c r="O3027" s="1"/>
      <c r="P3027" s="1"/>
      <c r="Q3027" s="1"/>
      <c r="R3027" s="1"/>
      <c r="S3027" s="1"/>
      <c r="T3027" s="1"/>
      <c r="U3027" s="1"/>
      <c r="V3027" s="1"/>
      <c r="W3027" s="1"/>
      <c r="X3027" s="1"/>
      <c r="Y3027" s="1"/>
      <c r="Z3027" s="1"/>
      <c r="AA3027" s="1"/>
      <c r="AB3027" s="1"/>
    </row>
    <row r="3028" ht="50.25" customHeight="1">
      <c r="A3028" s="12">
        <v>3024.0</v>
      </c>
      <c r="B3028" s="13" t="s">
        <v>2825</v>
      </c>
      <c r="C3028" s="14" t="s">
        <v>3043</v>
      </c>
      <c r="D3028" s="1"/>
      <c r="E3028" s="1"/>
      <c r="F3028" s="1" t="str">
        <f>IFERROR(__xludf.DUMMYFUNCTION("GOOGLETRANSLATE(B3028, ""en"", ""fa"")
"),"آموزش و پرورش")</f>
        <v>آموزش و پرورش</v>
      </c>
      <c r="G3028" s="1" t="str">
        <f>IFERROR(__xludf.DUMMYFUNCTION("GOOGLETRANSLATE(C3028, ""en"", ""fa"")
"),"در مورد مزایای آموزش کدنویسی و مهارت های تفکر محاسباتی در توسعه سواد دیجیتال بحث کنید.")</f>
        <v>در مورد مزایای آموزش کدنویسی و مهارت های تفکر محاسباتی در توسعه سواد دیجیتال بحث کنید.</v>
      </c>
      <c r="H3028" s="1"/>
      <c r="I3028" s="1"/>
      <c r="J3028" s="1"/>
      <c r="K3028" s="1"/>
      <c r="L3028" s="1"/>
      <c r="M3028" s="1"/>
      <c r="N3028" s="1"/>
      <c r="O3028" s="1"/>
      <c r="P3028" s="1"/>
      <c r="Q3028" s="1"/>
      <c r="R3028" s="1"/>
      <c r="S3028" s="1"/>
      <c r="T3028" s="1"/>
      <c r="U3028" s="1"/>
      <c r="V3028" s="1"/>
      <c r="W3028" s="1"/>
      <c r="X3028" s="1"/>
      <c r="Y3028" s="1"/>
      <c r="Z3028" s="1"/>
      <c r="AA3028" s="1"/>
      <c r="AB3028" s="1"/>
    </row>
    <row r="3029" ht="50.25" customHeight="1">
      <c r="A3029" s="12">
        <v>3025.0</v>
      </c>
      <c r="B3029" s="13" t="s">
        <v>2825</v>
      </c>
      <c r="C3029" s="14" t="s">
        <v>3044</v>
      </c>
      <c r="D3029" s="1"/>
      <c r="E3029" s="1"/>
      <c r="F3029" s="1" t="str">
        <f>IFERROR(__xludf.DUMMYFUNCTION("GOOGLETRANSLATE(B3029, ""en"", ""fa"")
"),"آموزش و پرورش")</f>
        <v>آموزش و پرورش</v>
      </c>
      <c r="G3029" s="1" t="str">
        <f>IFERROR(__xludf.DUMMYFUNCTION("GOOGLETRANSLATE(C3029, ""en"", ""fa"")
"),"تجزیه و تحلیل تأثیر شیوه های فراگیر برای دانش آموزان با نیازهای آموزشی ویژه بر رشد تحصیلی و اجتماعی آنها.")</f>
        <v>تجزیه و تحلیل تأثیر شیوه های فراگیر برای دانش آموزان با نیازهای آموزشی ویژه بر رشد تحصیلی و اجتماعی آنها.</v>
      </c>
      <c r="H3029" s="1"/>
      <c r="I3029" s="1"/>
      <c r="J3029" s="1"/>
      <c r="K3029" s="1"/>
      <c r="L3029" s="1"/>
      <c r="M3029" s="1"/>
      <c r="N3029" s="1"/>
      <c r="O3029" s="1"/>
      <c r="P3029" s="1"/>
      <c r="Q3029" s="1"/>
      <c r="R3029" s="1"/>
      <c r="S3029" s="1"/>
      <c r="T3029" s="1"/>
      <c r="U3029" s="1"/>
      <c r="V3029" s="1"/>
      <c r="W3029" s="1"/>
      <c r="X3029" s="1"/>
      <c r="Y3029" s="1"/>
      <c r="Z3029" s="1"/>
      <c r="AA3029" s="1"/>
      <c r="AB3029" s="1"/>
    </row>
    <row r="3030" ht="50.25" customHeight="1">
      <c r="A3030" s="12">
        <v>3026.0</v>
      </c>
      <c r="B3030" s="13" t="s">
        <v>2825</v>
      </c>
      <c r="C3030" s="14" t="s">
        <v>3045</v>
      </c>
      <c r="D3030" s="1"/>
      <c r="E3030" s="1"/>
      <c r="F3030" s="1" t="str">
        <f>IFERROR(__xludf.DUMMYFUNCTION("GOOGLETRANSLATE(B3030, ""en"", ""fa"")
"),"آموزش و پرورش")</f>
        <v>آموزش و پرورش</v>
      </c>
      <c r="G3030" s="1" t="str">
        <f>IFERROR(__xludf.DUMMYFUNCTION("GOOGLETRANSLATE(C3030, ""en"", ""fa"")
"),"مزایای آموزش روش‌های ذهن‌آگاهی و خودمراقبتی در ارتقای رفاه و تاب‌آوری دانش‌آموز را بررسی کنید.")</f>
        <v>مزایای آموزش روش‌های ذهن‌آگاهی و خودمراقبتی در ارتقای رفاه و تاب‌آوری دانش‌آموز را بررسی کنید.</v>
      </c>
      <c r="H3030" s="1"/>
      <c r="I3030" s="1"/>
      <c r="J3030" s="1"/>
      <c r="K3030" s="1"/>
      <c r="L3030" s="1"/>
      <c r="M3030" s="1"/>
      <c r="N3030" s="1"/>
      <c r="O3030" s="1"/>
      <c r="P3030" s="1"/>
      <c r="Q3030" s="1"/>
      <c r="R3030" s="1"/>
      <c r="S3030" s="1"/>
      <c r="T3030" s="1"/>
      <c r="U3030" s="1"/>
      <c r="V3030" s="1"/>
      <c r="W3030" s="1"/>
      <c r="X3030" s="1"/>
      <c r="Y3030" s="1"/>
      <c r="Z3030" s="1"/>
      <c r="AA3030" s="1"/>
      <c r="AB3030" s="1"/>
    </row>
    <row r="3031" ht="50.25" customHeight="1">
      <c r="A3031" s="12">
        <v>3027.0</v>
      </c>
      <c r="B3031" s="13" t="s">
        <v>2825</v>
      </c>
      <c r="C3031" s="14" t="s">
        <v>3046</v>
      </c>
      <c r="D3031" s="1"/>
      <c r="E3031" s="1"/>
      <c r="F3031" s="1" t="str">
        <f>IFERROR(__xludf.DUMMYFUNCTION("GOOGLETRANSLATE(B3031, ""en"", ""fa"")
"),"آموزش و پرورش")</f>
        <v>آموزش و پرورش</v>
      </c>
      <c r="G3031" s="1" t="str">
        <f>IFERROR(__xludf.DUMMYFUNCTION("GOOGLETRANSLATE(C3031, ""en"", ""fa"")
"),"در مورد نقش رهبری آموزشی در پرورش فرهنگ مثبت مدرسه و حمایت از رشد معلم بحث کنید.")</f>
        <v>در مورد نقش رهبری آموزشی در پرورش فرهنگ مثبت مدرسه و حمایت از رشد معلم بحث کنید.</v>
      </c>
      <c r="H3031" s="1"/>
      <c r="I3031" s="1"/>
      <c r="J3031" s="1"/>
      <c r="K3031" s="1"/>
      <c r="L3031" s="1"/>
      <c r="M3031" s="1"/>
      <c r="N3031" s="1"/>
      <c r="O3031" s="1"/>
      <c r="P3031" s="1"/>
      <c r="Q3031" s="1"/>
      <c r="R3031" s="1"/>
      <c r="S3031" s="1"/>
      <c r="T3031" s="1"/>
      <c r="U3031" s="1"/>
      <c r="V3031" s="1"/>
      <c r="W3031" s="1"/>
      <c r="X3031" s="1"/>
      <c r="Y3031" s="1"/>
      <c r="Z3031" s="1"/>
      <c r="AA3031" s="1"/>
      <c r="AB3031" s="1"/>
    </row>
    <row r="3032" ht="50.25" customHeight="1">
      <c r="A3032" s="12">
        <v>3028.0</v>
      </c>
      <c r="B3032" s="13" t="s">
        <v>2825</v>
      </c>
      <c r="C3032" s="14" t="s">
        <v>3047</v>
      </c>
      <c r="D3032" s="1"/>
      <c r="E3032" s="1"/>
      <c r="F3032" s="1" t="str">
        <f>IFERROR(__xludf.DUMMYFUNCTION("GOOGLETRANSLATE(B3032, ""en"", ""fa"")
"),"آموزش و پرورش")</f>
        <v>آموزش و پرورش</v>
      </c>
      <c r="G3032" s="1" t="str">
        <f>IFERROR(__xludf.DUMMYFUNCTION("GOOGLETRANSLATE(C3032, ""en"", ""fa"")
"),"مزایای تجربیات یادگیری خدماتی در ارتباط یادگیری کلاس درس با برنامه های کاربردی دنیای واقعی را تجزیه و تحلیل کنید.")</f>
        <v>مزایای تجربیات یادگیری خدماتی در ارتباط یادگیری کلاس درس با برنامه های کاربردی دنیای واقعی را تجزیه و تحلیل کنید.</v>
      </c>
      <c r="H3032" s="1"/>
      <c r="I3032" s="1"/>
      <c r="J3032" s="1"/>
      <c r="K3032" s="1"/>
      <c r="L3032" s="1"/>
      <c r="M3032" s="1"/>
      <c r="N3032" s="1"/>
      <c r="O3032" s="1"/>
      <c r="P3032" s="1"/>
      <c r="Q3032" s="1"/>
      <c r="R3032" s="1"/>
      <c r="S3032" s="1"/>
      <c r="T3032" s="1"/>
      <c r="U3032" s="1"/>
      <c r="V3032" s="1"/>
      <c r="W3032" s="1"/>
      <c r="X3032" s="1"/>
      <c r="Y3032" s="1"/>
      <c r="Z3032" s="1"/>
      <c r="AA3032" s="1"/>
      <c r="AB3032" s="1"/>
    </row>
    <row r="3033" ht="50.25" customHeight="1">
      <c r="A3033" s="12">
        <v>3029.0</v>
      </c>
      <c r="B3033" s="13" t="s">
        <v>2825</v>
      </c>
      <c r="C3033" s="14" t="s">
        <v>3048</v>
      </c>
      <c r="D3033" s="1"/>
      <c r="E3033" s="1"/>
      <c r="F3033" s="1" t="str">
        <f>IFERROR(__xludf.DUMMYFUNCTION("GOOGLETRANSLATE(B3033, ""en"", ""fa"")
"),"آموزش و پرورش")</f>
        <v>آموزش و پرورش</v>
      </c>
      <c r="G3033" s="1" t="str">
        <f>IFERROR(__xludf.DUMMYFUNCTION("GOOGLETRANSLATE(C3033, ""en"", ""fa"")
"),"تأثیر ادبیات متنوع و دیدگاه‌های چندفرهنگی را در ترویج فراگیری و همدلی بررسی کنید.")</f>
        <v>تأثیر ادبیات متنوع و دیدگاه‌های چندفرهنگی را در ترویج فراگیری و همدلی بررسی کنید.</v>
      </c>
      <c r="H3033" s="1"/>
      <c r="I3033" s="1"/>
      <c r="J3033" s="1"/>
      <c r="K3033" s="1"/>
      <c r="L3033" s="1"/>
      <c r="M3033" s="1"/>
      <c r="N3033" s="1"/>
      <c r="O3033" s="1"/>
      <c r="P3033" s="1"/>
      <c r="Q3033" s="1"/>
      <c r="R3033" s="1"/>
      <c r="S3033" s="1"/>
      <c r="T3033" s="1"/>
      <c r="U3033" s="1"/>
      <c r="V3033" s="1"/>
      <c r="W3033" s="1"/>
      <c r="X3033" s="1"/>
      <c r="Y3033" s="1"/>
      <c r="Z3033" s="1"/>
      <c r="AA3033" s="1"/>
      <c r="AB3033" s="1"/>
    </row>
    <row r="3034" ht="50.25" customHeight="1">
      <c r="A3034" s="12">
        <v>3030.0</v>
      </c>
      <c r="B3034" s="13" t="s">
        <v>2825</v>
      </c>
      <c r="C3034" s="14" t="s">
        <v>3049</v>
      </c>
      <c r="D3034" s="1"/>
      <c r="E3034" s="1"/>
      <c r="F3034" s="1" t="str">
        <f>IFERROR(__xludf.DUMMYFUNCTION("GOOGLETRANSLATE(B3034, ""en"", ""fa"")
"),"آموزش و پرورش")</f>
        <v>آموزش و پرورش</v>
      </c>
      <c r="G3034" s="1" t="str">
        <f>IFERROR(__xludf.DUMMYFUNCTION("GOOGLETRANSLATE(C3034, ""en"", ""fa"")
"),"در مورد مزایای ارتقاء عاملیت و صدای دانشجو در فرآیند یادگیری بحث کنید.")</f>
        <v>در مورد مزایای ارتقاء عاملیت و صدای دانشجو در فرآیند یادگیری بحث کنید.</v>
      </c>
      <c r="H3034" s="1"/>
      <c r="I3034" s="1"/>
      <c r="J3034" s="1"/>
      <c r="K3034" s="1"/>
      <c r="L3034" s="1"/>
      <c r="M3034" s="1"/>
      <c r="N3034" s="1"/>
      <c r="O3034" s="1"/>
      <c r="P3034" s="1"/>
      <c r="Q3034" s="1"/>
      <c r="R3034" s="1"/>
      <c r="S3034" s="1"/>
      <c r="T3034" s="1"/>
      <c r="U3034" s="1"/>
      <c r="V3034" s="1"/>
      <c r="W3034" s="1"/>
      <c r="X3034" s="1"/>
      <c r="Y3034" s="1"/>
      <c r="Z3034" s="1"/>
      <c r="AA3034" s="1"/>
      <c r="AB3034" s="1"/>
    </row>
    <row r="3035" ht="50.25" customHeight="1">
      <c r="A3035" s="12">
        <v>3031.0</v>
      </c>
      <c r="B3035" s="13" t="s">
        <v>2825</v>
      </c>
      <c r="C3035" s="14" t="s">
        <v>3050</v>
      </c>
      <c r="D3035" s="1"/>
      <c r="E3035" s="1"/>
      <c r="F3035" s="1" t="str">
        <f>IFERROR(__xludf.DUMMYFUNCTION("GOOGLETRANSLATE(B3035, ""en"", ""fa"")
"),"آموزش و پرورش")</f>
        <v>آموزش و پرورش</v>
      </c>
      <c r="G3035" s="1" t="str">
        <f>IFERROR(__xludf.DUMMYFUNCTION("GOOGLETRANSLATE(C3035, ""en"", ""fa"")
"),"تحلیل نقش سیاست های آموزشی در شکل دادن به طراحی برنامه درسی، شیوه های ارزیابی و رویکردهای آموزشی.")</f>
        <v>تحلیل نقش سیاست های آموزشی در شکل دادن به طراحی برنامه درسی، شیوه های ارزیابی و رویکردهای آموزشی.</v>
      </c>
      <c r="H3035" s="1"/>
      <c r="I3035" s="1"/>
      <c r="J3035" s="1"/>
      <c r="K3035" s="1"/>
      <c r="L3035" s="1"/>
      <c r="M3035" s="1"/>
      <c r="N3035" s="1"/>
      <c r="O3035" s="1"/>
      <c r="P3035" s="1"/>
      <c r="Q3035" s="1"/>
      <c r="R3035" s="1"/>
      <c r="S3035" s="1"/>
      <c r="T3035" s="1"/>
      <c r="U3035" s="1"/>
      <c r="V3035" s="1"/>
      <c r="W3035" s="1"/>
      <c r="X3035" s="1"/>
      <c r="Y3035" s="1"/>
      <c r="Z3035" s="1"/>
      <c r="AA3035" s="1"/>
      <c r="AB3035" s="1"/>
    </row>
    <row r="3036" ht="50.25" customHeight="1">
      <c r="A3036" s="12">
        <v>3032.0</v>
      </c>
      <c r="B3036" s="13" t="s">
        <v>2825</v>
      </c>
      <c r="C3036" s="14" t="s">
        <v>3051</v>
      </c>
      <c r="D3036" s="1"/>
      <c r="E3036" s="1"/>
      <c r="F3036" s="1" t="str">
        <f>IFERROR(__xludf.DUMMYFUNCTION("GOOGLETRANSLATE(B3036, ""en"", ""fa"")
"),"آموزش و پرورش")</f>
        <v>آموزش و پرورش</v>
      </c>
      <c r="G3036" s="1" t="str">
        <f>IFERROR(__xludf.DUMMYFUNCTION("GOOGLETRANSLATE(C3036, ""en"", ""fa"")
"),"مزایای آموزش شهروندی دیجیتال و مهارت های ایمنی آنلاین را برای ترویج رفتار دیجیتال مسئولانه بررسی کنید.")</f>
        <v>مزایای آموزش شهروندی دیجیتال و مهارت های ایمنی آنلاین را برای ترویج رفتار دیجیتال مسئولانه بررسی کنید.</v>
      </c>
      <c r="H3036" s="1"/>
      <c r="I3036" s="1"/>
      <c r="J3036" s="1"/>
      <c r="K3036" s="1"/>
      <c r="L3036" s="1"/>
      <c r="M3036" s="1"/>
      <c r="N3036" s="1"/>
      <c r="O3036" s="1"/>
      <c r="P3036" s="1"/>
      <c r="Q3036" s="1"/>
      <c r="R3036" s="1"/>
      <c r="S3036" s="1"/>
      <c r="T3036" s="1"/>
      <c r="U3036" s="1"/>
      <c r="V3036" s="1"/>
      <c r="W3036" s="1"/>
      <c r="X3036" s="1"/>
      <c r="Y3036" s="1"/>
      <c r="Z3036" s="1"/>
      <c r="AA3036" s="1"/>
      <c r="AB3036" s="1"/>
    </row>
    <row r="3037" ht="50.25" customHeight="1">
      <c r="A3037" s="12">
        <v>3033.0</v>
      </c>
      <c r="B3037" s="13" t="s">
        <v>2825</v>
      </c>
      <c r="C3037" s="14" t="s">
        <v>3052</v>
      </c>
      <c r="D3037" s="1"/>
      <c r="E3037" s="1"/>
      <c r="F3037" s="1" t="str">
        <f>IFERROR(__xludf.DUMMYFUNCTION("GOOGLETRANSLATE(B3037, ""en"", ""fa"")
"),"آموزش و پرورش")</f>
        <v>آموزش و پرورش</v>
      </c>
      <c r="G3037" s="1" t="str">
        <f>IFERROR(__xludf.DUMMYFUNCTION("GOOGLETRANSLATE(C3037, ""en"", ""fa"")
"),"در مورد تأثیر آموزش در فضای باز و یادگیری مبتنی بر طبیعت بر مشارکت دانش آموزان و آگاهی محیطی بحث کنید.")</f>
        <v>در مورد تأثیر آموزش در فضای باز و یادگیری مبتنی بر طبیعت بر مشارکت دانش آموزان و آگاهی محیطی بحث کنید.</v>
      </c>
      <c r="H3037" s="1"/>
      <c r="I3037" s="1"/>
      <c r="J3037" s="1"/>
      <c r="K3037" s="1"/>
      <c r="L3037" s="1"/>
      <c r="M3037" s="1"/>
      <c r="N3037" s="1"/>
      <c r="O3037" s="1"/>
      <c r="P3037" s="1"/>
      <c r="Q3037" s="1"/>
      <c r="R3037" s="1"/>
      <c r="S3037" s="1"/>
      <c r="T3037" s="1"/>
      <c r="U3037" s="1"/>
      <c r="V3037" s="1"/>
      <c r="W3037" s="1"/>
      <c r="X3037" s="1"/>
      <c r="Y3037" s="1"/>
      <c r="Z3037" s="1"/>
      <c r="AA3037" s="1"/>
      <c r="AB3037" s="1"/>
    </row>
    <row r="3038" ht="50.25" customHeight="1">
      <c r="A3038" s="12">
        <v>3034.0</v>
      </c>
      <c r="B3038" s="13" t="s">
        <v>2825</v>
      </c>
      <c r="C3038" s="14" t="s">
        <v>3053</v>
      </c>
      <c r="D3038" s="1"/>
      <c r="E3038" s="1"/>
      <c r="F3038" s="1" t="str">
        <f>IFERROR(__xludf.DUMMYFUNCTION("GOOGLETRANSLATE(B3038, ""en"", ""fa"")
"),"آموزش و پرورش")</f>
        <v>آموزش و پرورش</v>
      </c>
      <c r="G3038" s="1" t="str">
        <f>IFERROR(__xludf.DUMMYFUNCTION("GOOGLETRANSLATE(C3038, ""en"", ""fa"")
"),"تجزیه و تحلیل مزایای ارتقای مهارت های حل مسئله مشارکتی و کار گروهی در آماده سازی دانش آموزان برای محیط های کاری مشترک.")</f>
        <v>تجزیه و تحلیل مزایای ارتقای مهارت های حل مسئله مشارکتی و کار گروهی در آماده سازی دانش آموزان برای محیط های کاری مشترک.</v>
      </c>
      <c r="H3038" s="1"/>
      <c r="I3038" s="1"/>
      <c r="J3038" s="1"/>
      <c r="K3038" s="1"/>
      <c r="L3038" s="1"/>
      <c r="M3038" s="1"/>
      <c r="N3038" s="1"/>
      <c r="O3038" s="1"/>
      <c r="P3038" s="1"/>
      <c r="Q3038" s="1"/>
      <c r="R3038" s="1"/>
      <c r="S3038" s="1"/>
      <c r="T3038" s="1"/>
      <c r="U3038" s="1"/>
      <c r="V3038" s="1"/>
      <c r="W3038" s="1"/>
      <c r="X3038" s="1"/>
      <c r="Y3038" s="1"/>
      <c r="Z3038" s="1"/>
      <c r="AA3038" s="1"/>
      <c r="AB3038" s="1"/>
    </row>
    <row r="3039" ht="50.25" customHeight="1">
      <c r="A3039" s="12">
        <v>3035.0</v>
      </c>
      <c r="B3039" s="13" t="s">
        <v>2825</v>
      </c>
      <c r="C3039" s="14" t="s">
        <v>3054</v>
      </c>
      <c r="D3039" s="1"/>
      <c r="E3039" s="1"/>
      <c r="F3039" s="1" t="str">
        <f>IFERROR(__xludf.DUMMYFUNCTION("GOOGLETRANSLATE(B3039, ""en"", ""fa"")
"),"آموزش و پرورش")</f>
        <v>آموزش و پرورش</v>
      </c>
      <c r="G3039" s="1" t="str">
        <f>IFERROR(__xludf.DUMMYFUNCTION("GOOGLETRANSLATE(C3039, ""en"", ""fa"")
"),"در مورد فواید ارتقای خود اندیشی و مهارت های فراشناختی دانش آموزان در فرآیند یادگیری بحث کنید.")</f>
        <v>در مورد فواید ارتقای خود اندیشی و مهارت های فراشناختی دانش آموزان در فرآیند یادگیری بحث کنید.</v>
      </c>
      <c r="H3039" s="1"/>
      <c r="I3039" s="1"/>
      <c r="J3039" s="1"/>
      <c r="K3039" s="1"/>
      <c r="L3039" s="1"/>
      <c r="M3039" s="1"/>
      <c r="N3039" s="1"/>
      <c r="O3039" s="1"/>
      <c r="P3039" s="1"/>
      <c r="Q3039" s="1"/>
      <c r="R3039" s="1"/>
      <c r="S3039" s="1"/>
      <c r="T3039" s="1"/>
      <c r="U3039" s="1"/>
      <c r="V3039" s="1"/>
      <c r="W3039" s="1"/>
      <c r="X3039" s="1"/>
      <c r="Y3039" s="1"/>
      <c r="Z3039" s="1"/>
      <c r="AA3039" s="1"/>
      <c r="AB3039" s="1"/>
    </row>
    <row r="3040" ht="50.25" customHeight="1">
      <c r="A3040" s="12">
        <v>3036.0</v>
      </c>
      <c r="B3040" s="13" t="s">
        <v>2825</v>
      </c>
      <c r="C3040" s="14" t="s">
        <v>3055</v>
      </c>
      <c r="D3040" s="1"/>
      <c r="E3040" s="1"/>
      <c r="F3040" s="1" t="str">
        <f>IFERROR(__xludf.DUMMYFUNCTION("GOOGLETRANSLATE(B3040, ""en"", ""fa"")
"),"آموزش و پرورش")</f>
        <v>آموزش و پرورش</v>
      </c>
      <c r="G3040" s="1" t="str">
        <f>IFERROR(__xludf.DUMMYFUNCTION("GOOGLETRANSLATE(C3040, ""en"", ""fa"")
"),"تأثیر برنامه های یادگیری اجتماعی-عاطفی بر رفتار دانش آموزان، بهزیستی عاطفی و موفقیت تحصیلی را تجزیه و تحلیل کنید.")</f>
        <v>تأثیر برنامه های یادگیری اجتماعی-عاطفی بر رفتار دانش آموزان، بهزیستی عاطفی و موفقیت تحصیلی را تجزیه و تحلیل کنید.</v>
      </c>
      <c r="H3040" s="1"/>
      <c r="I3040" s="1"/>
      <c r="J3040" s="1"/>
      <c r="K3040" s="1"/>
      <c r="L3040" s="1"/>
      <c r="M3040" s="1"/>
      <c r="N3040" s="1"/>
      <c r="O3040" s="1"/>
      <c r="P3040" s="1"/>
      <c r="Q3040" s="1"/>
      <c r="R3040" s="1"/>
      <c r="S3040" s="1"/>
      <c r="T3040" s="1"/>
      <c r="U3040" s="1"/>
      <c r="V3040" s="1"/>
      <c r="W3040" s="1"/>
      <c r="X3040" s="1"/>
      <c r="Y3040" s="1"/>
      <c r="Z3040" s="1"/>
      <c r="AA3040" s="1"/>
      <c r="AB3040" s="1"/>
    </row>
    <row r="3041" ht="50.25" customHeight="1">
      <c r="A3041" s="12">
        <v>3037.0</v>
      </c>
      <c r="B3041" s="13" t="s">
        <v>2825</v>
      </c>
      <c r="C3041" s="14" t="s">
        <v>3056</v>
      </c>
      <c r="D3041" s="1"/>
      <c r="E3041" s="1"/>
      <c r="F3041" s="1" t="str">
        <f>IFERROR(__xludf.DUMMYFUNCTION("GOOGLETRANSLATE(B3041, ""en"", ""fa"")
"),"آموزش و پرورش")</f>
        <v>آموزش و پرورش</v>
      </c>
      <c r="G3041" s="1" t="str">
        <f>IFERROR(__xludf.DUMMYFUNCTION("GOOGLETRANSLATE(C3041, ""en"", ""fa"")
"),"مزایای آموزش کارآفرینی و مهارت‌های نوآوری را برای پرورش خلاقیت و ذهنیت کارآفرینی بررسی کنید.")</f>
        <v>مزایای آموزش کارآفرینی و مهارت‌های نوآوری را برای پرورش خلاقیت و ذهنیت کارآفرینی بررسی کنید.</v>
      </c>
      <c r="H3041" s="1"/>
      <c r="I3041" s="1"/>
      <c r="J3041" s="1"/>
      <c r="K3041" s="1"/>
      <c r="L3041" s="1"/>
      <c r="M3041" s="1"/>
      <c r="N3041" s="1"/>
      <c r="O3041" s="1"/>
      <c r="P3041" s="1"/>
      <c r="Q3041" s="1"/>
      <c r="R3041" s="1"/>
      <c r="S3041" s="1"/>
      <c r="T3041" s="1"/>
      <c r="U3041" s="1"/>
      <c r="V3041" s="1"/>
      <c r="W3041" s="1"/>
      <c r="X3041" s="1"/>
      <c r="Y3041" s="1"/>
      <c r="Z3041" s="1"/>
      <c r="AA3041" s="1"/>
      <c r="AB3041" s="1"/>
    </row>
    <row r="3042" ht="50.25" customHeight="1">
      <c r="A3042" s="12">
        <v>3038.0</v>
      </c>
      <c r="B3042" s="13" t="s">
        <v>2825</v>
      </c>
      <c r="C3042" s="14" t="s">
        <v>3057</v>
      </c>
      <c r="D3042" s="1"/>
      <c r="E3042" s="1"/>
      <c r="F3042" s="1" t="str">
        <f>IFERROR(__xludf.DUMMYFUNCTION("GOOGLETRANSLATE(B3042, ""en"", ""fa"")
"),"آموزش و پرورش")</f>
        <v>آموزش و پرورش</v>
      </c>
      <c r="G3042" s="1" t="str">
        <f>IFERROR(__xludf.DUMMYFUNCTION("GOOGLETRANSLATE(C3042, ""en"", ""fa"")
"),"در مورد نقش فناوری در تسهیل تجربیات یادگیری شخصی برای دانش آموزان بحث کنید.")</f>
        <v>در مورد نقش فناوری در تسهیل تجربیات یادگیری شخصی برای دانش آموزان بحث کنید.</v>
      </c>
      <c r="H3042" s="1"/>
      <c r="I3042" s="1"/>
      <c r="J3042" s="1"/>
      <c r="K3042" s="1"/>
      <c r="L3042" s="1"/>
      <c r="M3042" s="1"/>
      <c r="N3042" s="1"/>
      <c r="O3042" s="1"/>
      <c r="P3042" s="1"/>
      <c r="Q3042" s="1"/>
      <c r="R3042" s="1"/>
      <c r="S3042" s="1"/>
      <c r="T3042" s="1"/>
      <c r="U3042" s="1"/>
      <c r="V3042" s="1"/>
      <c r="W3042" s="1"/>
      <c r="X3042" s="1"/>
      <c r="Y3042" s="1"/>
      <c r="Z3042" s="1"/>
      <c r="AA3042" s="1"/>
      <c r="AB3042" s="1"/>
    </row>
    <row r="3043" ht="50.25" customHeight="1">
      <c r="A3043" s="12">
        <v>3039.0</v>
      </c>
      <c r="B3043" s="13" t="s">
        <v>2825</v>
      </c>
      <c r="C3043" s="14" t="s">
        <v>3058</v>
      </c>
      <c r="D3043" s="1"/>
      <c r="E3043" s="1"/>
      <c r="F3043" s="1" t="str">
        <f>IFERROR(__xludf.DUMMYFUNCTION("GOOGLETRANSLATE(B3043, ""en"", ""fa"")
"),"آموزش و پرورش")</f>
        <v>آموزش و پرورش</v>
      </c>
      <c r="G3043" s="1" t="str">
        <f>IFERROR(__xludf.DUMMYFUNCTION("GOOGLETRANSLATE(C3043, ""en"", ""fa"")
"),"مزایای ارتقای سواد دیجیتال و مهارت‌های تحقیق آنلاین را برای کمک به دانش‌آموزان در جهت‌یابی چشم‌انداز اطلاعات دیجیتال تجزیه و تحلیل کنید.")</f>
        <v>مزایای ارتقای سواد دیجیتال و مهارت‌های تحقیق آنلاین را برای کمک به دانش‌آموزان در جهت‌یابی چشم‌انداز اطلاعات دیجیتال تجزیه و تحلیل کنید.</v>
      </c>
      <c r="H3043" s="1"/>
      <c r="I3043" s="1"/>
      <c r="J3043" s="1"/>
      <c r="K3043" s="1"/>
      <c r="L3043" s="1"/>
      <c r="M3043" s="1"/>
      <c r="N3043" s="1"/>
      <c r="O3043" s="1"/>
      <c r="P3043" s="1"/>
      <c r="Q3043" s="1"/>
      <c r="R3043" s="1"/>
      <c r="S3043" s="1"/>
      <c r="T3043" s="1"/>
      <c r="U3043" s="1"/>
      <c r="V3043" s="1"/>
      <c r="W3043" s="1"/>
      <c r="X3043" s="1"/>
      <c r="Y3043" s="1"/>
      <c r="Z3043" s="1"/>
      <c r="AA3043" s="1"/>
      <c r="AB3043" s="1"/>
    </row>
    <row r="3044" ht="50.25" customHeight="1">
      <c r="A3044" s="12">
        <v>3040.0</v>
      </c>
      <c r="B3044" s="13" t="s">
        <v>2825</v>
      </c>
      <c r="C3044" s="14" t="s">
        <v>3059</v>
      </c>
      <c r="D3044" s="1"/>
      <c r="E3044" s="1"/>
      <c r="F3044" s="1" t="str">
        <f>IFERROR(__xludf.DUMMYFUNCTION("GOOGLETRANSLATE(B3044, ""en"", ""fa"")
"),"آموزش و پرورش")</f>
        <v>آموزش و پرورش</v>
      </c>
      <c r="G3044" s="1" t="str">
        <f>IFERROR(__xludf.DUMMYFUNCTION("GOOGLETRANSLATE(C3044, ""en"", ""fa"")
"),"تأثیر ارزیابی‌های پروژه‌محور بر مشارکت دانش‌آموز، مالکیت یادگیری و کاربرد دانش را بررسی کنید.")</f>
        <v>تأثیر ارزیابی‌های پروژه‌محور بر مشارکت دانش‌آموز، مالکیت یادگیری و کاربرد دانش را بررسی کنید.</v>
      </c>
      <c r="H3044" s="1"/>
      <c r="I3044" s="1"/>
      <c r="J3044" s="1"/>
      <c r="K3044" s="1"/>
      <c r="L3044" s="1"/>
      <c r="M3044" s="1"/>
      <c r="N3044" s="1"/>
      <c r="O3044" s="1"/>
      <c r="P3044" s="1"/>
      <c r="Q3044" s="1"/>
      <c r="R3044" s="1"/>
      <c r="S3044" s="1"/>
      <c r="T3044" s="1"/>
      <c r="U3044" s="1"/>
      <c r="V3044" s="1"/>
      <c r="W3044" s="1"/>
      <c r="X3044" s="1"/>
      <c r="Y3044" s="1"/>
      <c r="Z3044" s="1"/>
      <c r="AA3044" s="1"/>
      <c r="AB3044" s="1"/>
    </row>
    <row r="3045" ht="50.25" customHeight="1">
      <c r="A3045" s="12">
        <v>3041.0</v>
      </c>
      <c r="B3045" s="13" t="s">
        <v>2825</v>
      </c>
      <c r="C3045" s="14" t="s">
        <v>3060</v>
      </c>
      <c r="D3045" s="1"/>
      <c r="E3045" s="1"/>
      <c r="F3045" s="1" t="str">
        <f>IFERROR(__xludf.DUMMYFUNCTION("GOOGLETRANSLATE(B3045, ""en"", ""fa"")
"),"آموزش و پرورش")</f>
        <v>آموزش و پرورش</v>
      </c>
      <c r="G3045" s="1" t="str">
        <f>IFERROR(__xludf.DUMMYFUNCTION("GOOGLETRANSLATE(C3045, ""en"", ""fa"")
"),"در مورد مزایای ترویج تنوع فرهنگی و فراگیری در برنامه های درسی مدارس بحث کنید.")</f>
        <v>در مورد مزایای ترویج تنوع فرهنگی و فراگیری در برنامه های درسی مدارس بحث کنید.</v>
      </c>
      <c r="H3045" s="1"/>
      <c r="I3045" s="1"/>
      <c r="J3045" s="1"/>
      <c r="K3045" s="1"/>
      <c r="L3045" s="1"/>
      <c r="M3045" s="1"/>
      <c r="N3045" s="1"/>
      <c r="O3045" s="1"/>
      <c r="P3045" s="1"/>
      <c r="Q3045" s="1"/>
      <c r="R3045" s="1"/>
      <c r="S3045" s="1"/>
      <c r="T3045" s="1"/>
      <c r="U3045" s="1"/>
      <c r="V3045" s="1"/>
      <c r="W3045" s="1"/>
      <c r="X3045" s="1"/>
      <c r="Y3045" s="1"/>
      <c r="Z3045" s="1"/>
      <c r="AA3045" s="1"/>
      <c r="AB3045" s="1"/>
    </row>
    <row r="3046" ht="50.25" customHeight="1">
      <c r="A3046" s="12">
        <v>3042.0</v>
      </c>
      <c r="B3046" s="13" t="s">
        <v>2825</v>
      </c>
      <c r="C3046" s="14" t="s">
        <v>3061</v>
      </c>
      <c r="D3046" s="1"/>
      <c r="E3046" s="1"/>
      <c r="F3046" s="1" t="str">
        <f>IFERROR(__xludf.DUMMYFUNCTION("GOOGLETRANSLATE(B3046, ""en"", ""fa"")
"),"آموزش و پرورش")</f>
        <v>آموزش و پرورش</v>
      </c>
      <c r="G3046" s="1" t="str">
        <f>IFERROR(__xludf.DUMMYFUNCTION("GOOGLETRANSLATE(C3046, ""en"", ""fa"")
"),"تحلیل نقش فناوری آموزشی در تقویت برابری آموزشی و پر کردن شکاف دیجیتال.")</f>
        <v>تحلیل نقش فناوری آموزشی در تقویت برابری آموزشی و پر کردن شکاف دیجیتال.</v>
      </c>
      <c r="H3046" s="1"/>
      <c r="I3046" s="1"/>
      <c r="J3046" s="1"/>
      <c r="K3046" s="1"/>
      <c r="L3046" s="1"/>
      <c r="M3046" s="1"/>
      <c r="N3046" s="1"/>
      <c r="O3046" s="1"/>
      <c r="P3046" s="1"/>
      <c r="Q3046" s="1"/>
      <c r="R3046" s="1"/>
      <c r="S3046" s="1"/>
      <c r="T3046" s="1"/>
      <c r="U3046" s="1"/>
      <c r="V3046" s="1"/>
      <c r="W3046" s="1"/>
      <c r="X3046" s="1"/>
      <c r="Y3046" s="1"/>
      <c r="Z3046" s="1"/>
      <c r="AA3046" s="1"/>
      <c r="AB3046" s="1"/>
    </row>
    <row r="3047" ht="50.25" customHeight="1">
      <c r="A3047" s="12">
        <v>3043.0</v>
      </c>
      <c r="B3047" s="13" t="s">
        <v>2825</v>
      </c>
      <c r="C3047" s="14" t="s">
        <v>3062</v>
      </c>
      <c r="D3047" s="1"/>
      <c r="E3047" s="1"/>
      <c r="F3047" s="1" t="str">
        <f>IFERROR(__xludf.DUMMYFUNCTION("GOOGLETRANSLATE(B3047, ""en"", ""fa"")
"),"آموزش و پرورش")</f>
        <v>آموزش و پرورش</v>
      </c>
      <c r="G3047" s="1" t="str">
        <f>IFERROR(__xludf.DUMMYFUNCTION("GOOGLETRANSLATE(C3047, ""en"", ""fa"")
"),"مزایای آموزش مهارت‌های تولید رسانه برای توانمندسازی دانش‌آموزان به‌عنوان داستان‌گویان دیجیتال را بررسی کنید.")</f>
        <v>مزایای آموزش مهارت‌های تولید رسانه برای توانمندسازی دانش‌آموزان به‌عنوان داستان‌گویان دیجیتال را بررسی کنید.</v>
      </c>
      <c r="H3047" s="1"/>
      <c r="I3047" s="1"/>
      <c r="J3047" s="1"/>
      <c r="K3047" s="1"/>
      <c r="L3047" s="1"/>
      <c r="M3047" s="1"/>
      <c r="N3047" s="1"/>
      <c r="O3047" s="1"/>
      <c r="P3047" s="1"/>
      <c r="Q3047" s="1"/>
      <c r="R3047" s="1"/>
      <c r="S3047" s="1"/>
      <c r="T3047" s="1"/>
      <c r="U3047" s="1"/>
      <c r="V3047" s="1"/>
      <c r="W3047" s="1"/>
      <c r="X3047" s="1"/>
      <c r="Y3047" s="1"/>
      <c r="Z3047" s="1"/>
      <c r="AA3047" s="1"/>
      <c r="AB3047" s="1"/>
    </row>
    <row r="3048" ht="50.25" customHeight="1">
      <c r="A3048" s="12">
        <v>3044.0</v>
      </c>
      <c r="B3048" s="13" t="s">
        <v>2825</v>
      </c>
      <c r="C3048" s="14" t="s">
        <v>3063</v>
      </c>
      <c r="D3048" s="1"/>
      <c r="E3048" s="1"/>
      <c r="F3048" s="1" t="str">
        <f>IFERROR(__xludf.DUMMYFUNCTION("GOOGLETRANSLATE(B3048, ""en"", ""fa"")
"),"آموزش و پرورش")</f>
        <v>آموزش و پرورش</v>
      </c>
      <c r="G3048" s="1" t="str">
        <f>IFERROR(__xludf.DUMMYFUNCTION("GOOGLETRANSLATE(C3048, ""en"", ""fa"")
"),"در مورد تأثیر روابط معلم و دانش آموز بر انگیزه، مشارکت و پیشرفت تحصیلی دانش آموزان بحث کنید.")</f>
        <v>در مورد تأثیر روابط معلم و دانش آموز بر انگیزه، مشارکت و پیشرفت تحصیلی دانش آموزان بحث کنید.</v>
      </c>
      <c r="H3048" s="1"/>
      <c r="I3048" s="1"/>
      <c r="J3048" s="1"/>
      <c r="K3048" s="1"/>
      <c r="L3048" s="1"/>
      <c r="M3048" s="1"/>
      <c r="N3048" s="1"/>
      <c r="O3048" s="1"/>
      <c r="P3048" s="1"/>
      <c r="Q3048" s="1"/>
      <c r="R3048" s="1"/>
      <c r="S3048" s="1"/>
      <c r="T3048" s="1"/>
      <c r="U3048" s="1"/>
      <c r="V3048" s="1"/>
      <c r="W3048" s="1"/>
      <c r="X3048" s="1"/>
      <c r="Y3048" s="1"/>
      <c r="Z3048" s="1"/>
      <c r="AA3048" s="1"/>
      <c r="AB3048" s="1"/>
    </row>
    <row r="3049" ht="50.25" customHeight="1">
      <c r="A3049" s="12">
        <v>3045.0</v>
      </c>
      <c r="B3049" s="13" t="s">
        <v>2825</v>
      </c>
      <c r="C3049" s="14" t="s">
        <v>3064</v>
      </c>
      <c r="D3049" s="1"/>
      <c r="E3049" s="1"/>
      <c r="F3049" s="1" t="str">
        <f>IFERROR(__xludf.DUMMYFUNCTION("GOOGLETRANSLATE(B3049, ""en"", ""fa"")
"),"آموزش و پرورش")</f>
        <v>آموزش و پرورش</v>
      </c>
      <c r="G3049" s="1" t="str">
        <f>IFERROR(__xludf.DUMMYFUNCTION("GOOGLETRANSLATE(C3049, ""en"", ""fa"")
"),"مزایای ادغام آموزش STEM (علوم، فناوری، مهندسی، و ریاضیات) را در برنامه درسی تجزیه و تحلیل کنید.")</f>
        <v>مزایای ادغام آموزش STEM (علوم، فناوری، مهندسی، و ریاضیات) را در برنامه درسی تجزیه و تحلیل کنید.</v>
      </c>
      <c r="H3049" s="1"/>
      <c r="I3049" s="1"/>
      <c r="J3049" s="1"/>
      <c r="K3049" s="1"/>
      <c r="L3049" s="1"/>
      <c r="M3049" s="1"/>
      <c r="N3049" s="1"/>
      <c r="O3049" s="1"/>
      <c r="P3049" s="1"/>
      <c r="Q3049" s="1"/>
      <c r="R3049" s="1"/>
      <c r="S3049" s="1"/>
      <c r="T3049" s="1"/>
      <c r="U3049" s="1"/>
      <c r="V3049" s="1"/>
      <c r="W3049" s="1"/>
      <c r="X3049" s="1"/>
      <c r="Y3049" s="1"/>
      <c r="Z3049" s="1"/>
      <c r="AA3049" s="1"/>
      <c r="AB3049" s="1"/>
    </row>
    <row r="3050" ht="50.25" customHeight="1">
      <c r="A3050" s="12">
        <v>3046.0</v>
      </c>
      <c r="B3050" s="13" t="s">
        <v>2825</v>
      </c>
      <c r="C3050" s="14" t="s">
        <v>3065</v>
      </c>
      <c r="D3050" s="1"/>
      <c r="E3050" s="1"/>
      <c r="F3050" s="1" t="str">
        <f>IFERROR(__xludf.DUMMYFUNCTION("GOOGLETRANSLATE(B3050, ""en"", ""fa"")
"),"آموزش و پرورش")</f>
        <v>آموزش و پرورش</v>
      </c>
      <c r="G3050" s="1" t="str">
        <f>IFERROR(__xludf.DUMMYFUNCTION("GOOGLETRANSLATE(C3050, ""en"", ""fa"")
"),"بررسی نقش سیاست های آموزشی در ارتقای برابری آموزشی و دسترسی برای همه دانش آموزان.")</f>
        <v>بررسی نقش سیاست های آموزشی در ارتقای برابری آموزشی و دسترسی برای همه دانش آموزان.</v>
      </c>
      <c r="H3050" s="1"/>
      <c r="I3050" s="1"/>
      <c r="J3050" s="1"/>
      <c r="K3050" s="1"/>
      <c r="L3050" s="1"/>
      <c r="M3050" s="1"/>
      <c r="N3050" s="1"/>
      <c r="O3050" s="1"/>
      <c r="P3050" s="1"/>
      <c r="Q3050" s="1"/>
      <c r="R3050" s="1"/>
      <c r="S3050" s="1"/>
      <c r="T3050" s="1"/>
      <c r="U3050" s="1"/>
      <c r="V3050" s="1"/>
      <c r="W3050" s="1"/>
      <c r="X3050" s="1"/>
      <c r="Y3050" s="1"/>
      <c r="Z3050" s="1"/>
      <c r="AA3050" s="1"/>
      <c r="AB3050" s="1"/>
    </row>
    <row r="3051" ht="50.25" customHeight="1">
      <c r="A3051" s="12">
        <v>3047.0</v>
      </c>
      <c r="B3051" s="13" t="s">
        <v>2825</v>
      </c>
      <c r="C3051" s="14" t="s">
        <v>3066</v>
      </c>
      <c r="D3051" s="1"/>
      <c r="E3051" s="1"/>
      <c r="F3051" s="1" t="str">
        <f>IFERROR(__xludf.DUMMYFUNCTION("GOOGLETRANSLATE(B3051, ""en"", ""fa"")
"),"آموزش و پرورش")</f>
        <v>آموزش و پرورش</v>
      </c>
      <c r="G3051" s="1" t="str">
        <f>IFERROR(__xludf.DUMMYFUNCTION("GOOGLETRANSLATE(C3051, ""en"", ""fa"")
"),"در مورد مزایای آموزش ذهنیت رشد و پرورش ذهنیت یادگیری مثبت در بین دانش آموزان بحث کنید.")</f>
        <v>در مورد مزایای آموزش ذهنیت رشد و پرورش ذهنیت یادگیری مثبت در بین دانش آموزان بحث کنید.</v>
      </c>
      <c r="H3051" s="1"/>
      <c r="I3051" s="1"/>
      <c r="J3051" s="1"/>
      <c r="K3051" s="1"/>
      <c r="L3051" s="1"/>
      <c r="M3051" s="1"/>
      <c r="N3051" s="1"/>
      <c r="O3051" s="1"/>
      <c r="P3051" s="1"/>
      <c r="Q3051" s="1"/>
      <c r="R3051" s="1"/>
      <c r="S3051" s="1"/>
      <c r="T3051" s="1"/>
      <c r="U3051" s="1"/>
      <c r="V3051" s="1"/>
      <c r="W3051" s="1"/>
      <c r="X3051" s="1"/>
      <c r="Y3051" s="1"/>
      <c r="Z3051" s="1"/>
      <c r="AA3051" s="1"/>
      <c r="AB3051" s="1"/>
    </row>
    <row r="3052" ht="50.25" customHeight="1">
      <c r="A3052" s="12">
        <v>3048.0</v>
      </c>
      <c r="B3052" s="13" t="s">
        <v>2825</v>
      </c>
      <c r="C3052" s="14" t="s">
        <v>3067</v>
      </c>
      <c r="D3052" s="1"/>
      <c r="E3052" s="1"/>
      <c r="F3052" s="1" t="str">
        <f>IFERROR(__xludf.DUMMYFUNCTION("GOOGLETRANSLATE(B3052, ""en"", ""fa"")
"),"آموزش و پرورش")</f>
        <v>آموزش و پرورش</v>
      </c>
      <c r="G3052" s="1" t="str">
        <f>IFERROR(__xludf.DUMMYFUNCTION("GOOGLETRANSLATE(C3052, ""en"", ""fa"")
"),"تأثیر یادگیری مبتنی بر پرسش را در ارتقای کنجکاوی دانش‌آموز، تفکر انتقادی و مهارت‌های حل مسئله تجزیه و تحلیل کنید.")</f>
        <v>تأثیر یادگیری مبتنی بر پرسش را در ارتقای کنجکاوی دانش‌آموز، تفکر انتقادی و مهارت‌های حل مسئله تجزیه و تحلیل کنید.</v>
      </c>
      <c r="H3052" s="1"/>
      <c r="I3052" s="1"/>
      <c r="J3052" s="1"/>
      <c r="K3052" s="1"/>
      <c r="L3052" s="1"/>
      <c r="M3052" s="1"/>
      <c r="N3052" s="1"/>
      <c r="O3052" s="1"/>
      <c r="P3052" s="1"/>
      <c r="Q3052" s="1"/>
      <c r="R3052" s="1"/>
      <c r="S3052" s="1"/>
      <c r="T3052" s="1"/>
      <c r="U3052" s="1"/>
      <c r="V3052" s="1"/>
      <c r="W3052" s="1"/>
      <c r="X3052" s="1"/>
      <c r="Y3052" s="1"/>
      <c r="Z3052" s="1"/>
      <c r="AA3052" s="1"/>
      <c r="AB3052" s="1"/>
    </row>
    <row r="3053" ht="50.25" customHeight="1">
      <c r="A3053" s="12">
        <v>3049.0</v>
      </c>
      <c r="B3053" s="13" t="s">
        <v>2825</v>
      </c>
      <c r="C3053" s="14" t="s">
        <v>3068</v>
      </c>
      <c r="D3053" s="1"/>
      <c r="E3053" s="1"/>
      <c r="F3053" s="1" t="str">
        <f>IFERROR(__xludf.DUMMYFUNCTION("GOOGLETRANSLATE(B3053, ""en"", ""fa"")
"),"آموزش و پرورش")</f>
        <v>آموزش و پرورش</v>
      </c>
      <c r="G3053" s="1" t="str">
        <f>IFERROR(__xludf.DUMMYFUNCTION("GOOGLETRANSLATE(C3053, ""en"", ""fa"")
"),"مزایای آموزش عدالت اجتماعی و ترویج فعالیت در کلاس درس را بررسی کنید.")</f>
        <v>مزایای آموزش عدالت اجتماعی و ترویج فعالیت در کلاس درس را بررسی کنید.</v>
      </c>
      <c r="H3053" s="1"/>
      <c r="I3053" s="1"/>
      <c r="J3053" s="1"/>
      <c r="K3053" s="1"/>
      <c r="L3053" s="1"/>
      <c r="M3053" s="1"/>
      <c r="N3053" s="1"/>
      <c r="O3053" s="1"/>
      <c r="P3053" s="1"/>
      <c r="Q3053" s="1"/>
      <c r="R3053" s="1"/>
      <c r="S3053" s="1"/>
      <c r="T3053" s="1"/>
      <c r="U3053" s="1"/>
      <c r="V3053" s="1"/>
      <c r="W3053" s="1"/>
      <c r="X3053" s="1"/>
      <c r="Y3053" s="1"/>
      <c r="Z3053" s="1"/>
      <c r="AA3053" s="1"/>
      <c r="AB3053" s="1"/>
    </row>
    <row r="3054" ht="50.25" customHeight="1">
      <c r="A3054" s="12">
        <v>3050.0</v>
      </c>
      <c r="B3054" s="13" t="s">
        <v>2825</v>
      </c>
      <c r="C3054" s="14" t="s">
        <v>3069</v>
      </c>
      <c r="D3054" s="1"/>
      <c r="E3054" s="1"/>
      <c r="F3054" s="1" t="str">
        <f>IFERROR(__xludf.DUMMYFUNCTION("GOOGLETRANSLATE(B3054, ""en"", ""fa"")
"),"آموزش و پرورش")</f>
        <v>آموزش و پرورش</v>
      </c>
      <c r="G3054" s="1" t="str">
        <f>IFERROR(__xludf.DUMMYFUNCTION("GOOGLETRANSLATE(C3054, ""en"", ""fa"")
"),"درباره نقش رهبری آموزشی در ایجاد فرهنگ بهبود مستمر و رشد حرفه ای بحث کنید.")</f>
        <v>درباره نقش رهبری آموزشی در ایجاد فرهنگ بهبود مستمر و رشد حرفه ای بحث کنید.</v>
      </c>
      <c r="H3054" s="1"/>
      <c r="I3054" s="1"/>
      <c r="J3054" s="1"/>
      <c r="K3054" s="1"/>
      <c r="L3054" s="1"/>
      <c r="M3054" s="1"/>
      <c r="N3054" s="1"/>
      <c r="O3054" s="1"/>
      <c r="P3054" s="1"/>
      <c r="Q3054" s="1"/>
      <c r="R3054" s="1"/>
      <c r="S3054" s="1"/>
      <c r="T3054" s="1"/>
      <c r="U3054" s="1"/>
      <c r="V3054" s="1"/>
      <c r="W3054" s="1"/>
      <c r="X3054" s="1"/>
      <c r="Y3054" s="1"/>
      <c r="Z3054" s="1"/>
      <c r="AA3054" s="1"/>
      <c r="AB3054" s="1"/>
    </row>
    <row r="3055" ht="50.25" customHeight="1">
      <c r="A3055" s="12">
        <v>3051.0</v>
      </c>
      <c r="B3055" s="13" t="s">
        <v>2825</v>
      </c>
      <c r="C3055" s="14" t="s">
        <v>3070</v>
      </c>
      <c r="D3055" s="1"/>
      <c r="E3055" s="1"/>
      <c r="F3055" s="1" t="str">
        <f>IFERROR(__xludf.DUMMYFUNCTION("GOOGLETRANSLATE(B3055, ""en"", ""fa"")
"),"آموزش و پرورش")</f>
        <v>آموزش و پرورش</v>
      </c>
      <c r="G3055" s="1" t="str">
        <f>IFERROR(__xludf.DUMMYFUNCTION("GOOGLETRANSLATE(C3055, ""en"", ""fa"")
"),"مزایای ارتقای خودمختاری دانش آموز و یادگیری خودراهبر در محیط آموزشی را تجزیه و تحلیل کنید.")</f>
        <v>مزایای ارتقای خودمختاری دانش آموز و یادگیری خودراهبر در محیط آموزشی را تجزیه و تحلیل کنید.</v>
      </c>
      <c r="H3055" s="1"/>
      <c r="I3055" s="1"/>
      <c r="J3055" s="1"/>
      <c r="K3055" s="1"/>
      <c r="L3055" s="1"/>
      <c r="M3055" s="1"/>
      <c r="N3055" s="1"/>
      <c r="O3055" s="1"/>
      <c r="P3055" s="1"/>
      <c r="Q3055" s="1"/>
      <c r="R3055" s="1"/>
      <c r="S3055" s="1"/>
      <c r="T3055" s="1"/>
      <c r="U3055" s="1"/>
      <c r="V3055" s="1"/>
      <c r="W3055" s="1"/>
      <c r="X3055" s="1"/>
      <c r="Y3055" s="1"/>
      <c r="Z3055" s="1"/>
      <c r="AA3055" s="1"/>
      <c r="AB3055" s="1"/>
    </row>
    <row r="3056" ht="50.25" customHeight="1">
      <c r="A3056" s="12">
        <v>3052.0</v>
      </c>
      <c r="B3056" s="13" t="s">
        <v>2825</v>
      </c>
      <c r="C3056" s="14" t="s">
        <v>3071</v>
      </c>
      <c r="D3056" s="1"/>
      <c r="E3056" s="1"/>
      <c r="F3056" s="1" t="str">
        <f>IFERROR(__xludf.DUMMYFUNCTION("GOOGLETRANSLATE(B3056, ""en"", ""fa"")
"),"آموزش و پرورش")</f>
        <v>آموزش و پرورش</v>
      </c>
      <c r="G3056" s="1" t="str">
        <f>IFERROR(__xludf.DUMMYFUNCTION("GOOGLETRANSLATE(C3056, ""en"", ""fa"")
"),"در مورد مزایای ترکیب یادگیری پروژه محور برای توسعه تفکر انتقادی و مهارت های حل مسئله در دانش آموزان بحث کنید.")</f>
        <v>در مورد مزایای ترکیب یادگیری پروژه محور برای توسعه تفکر انتقادی و مهارت های حل مسئله در دانش آموزان بحث کنید.</v>
      </c>
      <c r="H3056" s="1"/>
      <c r="I3056" s="1"/>
      <c r="J3056" s="1"/>
      <c r="K3056" s="1"/>
      <c r="L3056" s="1"/>
      <c r="M3056" s="1"/>
      <c r="N3056" s="1"/>
      <c r="O3056" s="1"/>
      <c r="P3056" s="1"/>
      <c r="Q3056" s="1"/>
      <c r="R3056" s="1"/>
      <c r="S3056" s="1"/>
      <c r="T3056" s="1"/>
      <c r="U3056" s="1"/>
      <c r="V3056" s="1"/>
      <c r="W3056" s="1"/>
      <c r="X3056" s="1"/>
      <c r="Y3056" s="1"/>
      <c r="Z3056" s="1"/>
      <c r="AA3056" s="1"/>
      <c r="AB3056" s="1"/>
    </row>
    <row r="3057" ht="50.25" customHeight="1">
      <c r="A3057" s="12">
        <v>3053.0</v>
      </c>
      <c r="B3057" s="13" t="s">
        <v>2825</v>
      </c>
      <c r="C3057" s="14" t="s">
        <v>3072</v>
      </c>
      <c r="D3057" s="1"/>
      <c r="E3057" s="1"/>
      <c r="F3057" s="1" t="str">
        <f>IFERROR(__xludf.DUMMYFUNCTION("GOOGLETRANSLATE(B3057, ""en"", ""fa"")
"),"آموزش و پرورش")</f>
        <v>آموزش و پرورش</v>
      </c>
      <c r="G3057" s="1" t="str">
        <f>IFERROR(__xludf.DUMMYFUNCTION("GOOGLETRANSLATE(C3057, ""en"", ""fa"")
"),"تحلیل نقش فناوری آموزشی در افزایش مشارکت و انگیزه دانش آموزان در کلاس درس.")</f>
        <v>تحلیل نقش فناوری آموزشی در افزایش مشارکت و انگیزه دانش آموزان در کلاس درس.</v>
      </c>
      <c r="H3057" s="1"/>
      <c r="I3057" s="1"/>
      <c r="J3057" s="1"/>
      <c r="K3057" s="1"/>
      <c r="L3057" s="1"/>
      <c r="M3057" s="1"/>
      <c r="N3057" s="1"/>
      <c r="O3057" s="1"/>
      <c r="P3057" s="1"/>
      <c r="Q3057" s="1"/>
      <c r="R3057" s="1"/>
      <c r="S3057" s="1"/>
      <c r="T3057" s="1"/>
      <c r="U3057" s="1"/>
      <c r="V3057" s="1"/>
      <c r="W3057" s="1"/>
      <c r="X3057" s="1"/>
      <c r="Y3057" s="1"/>
      <c r="Z3057" s="1"/>
      <c r="AA3057" s="1"/>
      <c r="AB3057" s="1"/>
    </row>
    <row r="3058" ht="50.25" customHeight="1">
      <c r="A3058" s="12">
        <v>3054.0</v>
      </c>
      <c r="B3058" s="13" t="s">
        <v>2825</v>
      </c>
      <c r="C3058" s="14" t="s">
        <v>3073</v>
      </c>
      <c r="D3058" s="1"/>
      <c r="E3058" s="1"/>
      <c r="F3058" s="1" t="str">
        <f>IFERROR(__xludf.DUMMYFUNCTION("GOOGLETRANSLATE(B3058, ""en"", ""fa"")
"),"آموزش و پرورش")</f>
        <v>آموزش و پرورش</v>
      </c>
      <c r="G3058" s="1" t="str">
        <f>IFERROR(__xludf.DUMMYFUNCTION("GOOGLETRANSLATE(C3058, ""en"", ""fa"")
"),"تأثیر تدریس فرهنگی پاسخگو بر پیشرفت دانش آموزان و درک فرهنگی را بررسی کنید.")</f>
        <v>تأثیر تدریس فرهنگی پاسخگو بر پیشرفت دانش آموزان و درک فرهنگی را بررسی کنید.</v>
      </c>
      <c r="H3058" s="1"/>
      <c r="I3058" s="1"/>
      <c r="J3058" s="1"/>
      <c r="K3058" s="1"/>
      <c r="L3058" s="1"/>
      <c r="M3058" s="1"/>
      <c r="N3058" s="1"/>
      <c r="O3058" s="1"/>
      <c r="P3058" s="1"/>
      <c r="Q3058" s="1"/>
      <c r="R3058" s="1"/>
      <c r="S3058" s="1"/>
      <c r="T3058" s="1"/>
      <c r="U3058" s="1"/>
      <c r="V3058" s="1"/>
      <c r="W3058" s="1"/>
      <c r="X3058" s="1"/>
      <c r="Y3058" s="1"/>
      <c r="Z3058" s="1"/>
      <c r="AA3058" s="1"/>
      <c r="AB3058" s="1"/>
    </row>
    <row r="3059" ht="50.25" customHeight="1">
      <c r="A3059" s="12">
        <v>3055.0</v>
      </c>
      <c r="B3059" s="13" t="s">
        <v>2825</v>
      </c>
      <c r="C3059" s="14" t="s">
        <v>3074</v>
      </c>
      <c r="D3059" s="1"/>
      <c r="E3059" s="1"/>
      <c r="F3059" s="1" t="str">
        <f>IFERROR(__xludf.DUMMYFUNCTION("GOOGLETRANSLATE(B3059, ""en"", ""fa"")
"),"آموزش و پرورش")</f>
        <v>آموزش و پرورش</v>
      </c>
      <c r="G3059" s="1" t="str">
        <f>IFERROR(__xludf.DUMMYFUNCTION("GOOGLETRANSLATE(C3059, ""en"", ""fa"")
"),"در مورد مزایای ترویج محیط های یادگیری دانش آموز محور برای پرورش یادگیرندگان مستقل و مادام العمر بحث کنید.")</f>
        <v>در مورد مزایای ترویج محیط های یادگیری دانش آموز محور برای پرورش یادگیرندگان مستقل و مادام العمر بحث کنید.</v>
      </c>
      <c r="H3059" s="1"/>
      <c r="I3059" s="1"/>
      <c r="J3059" s="1"/>
      <c r="K3059" s="1"/>
      <c r="L3059" s="1"/>
      <c r="M3059" s="1"/>
      <c r="N3059" s="1"/>
      <c r="O3059" s="1"/>
      <c r="P3059" s="1"/>
      <c r="Q3059" s="1"/>
      <c r="R3059" s="1"/>
      <c r="S3059" s="1"/>
      <c r="T3059" s="1"/>
      <c r="U3059" s="1"/>
      <c r="V3059" s="1"/>
      <c r="W3059" s="1"/>
      <c r="X3059" s="1"/>
      <c r="Y3059" s="1"/>
      <c r="Z3059" s="1"/>
      <c r="AA3059" s="1"/>
      <c r="AB3059" s="1"/>
    </row>
    <row r="3060" ht="50.25" customHeight="1">
      <c r="A3060" s="12">
        <v>3056.0</v>
      </c>
      <c r="B3060" s="13" t="s">
        <v>2825</v>
      </c>
      <c r="C3060" s="14" t="s">
        <v>3075</v>
      </c>
      <c r="D3060" s="1"/>
      <c r="E3060" s="1"/>
      <c r="F3060" s="1" t="str">
        <f>IFERROR(__xludf.DUMMYFUNCTION("GOOGLETRANSLATE(B3060, ""en"", ""fa"")
"),"آموزش و پرورش")</f>
        <v>آموزش و پرورش</v>
      </c>
      <c r="G3060" s="1" t="str">
        <f>IFERROR(__xludf.DUMMYFUNCTION("GOOGLETRANSLATE(C3060, ""en"", ""fa"")
"),"نقش ارزشیابی تکوینی در حمایت از پیشرفت یادگیری دانش آموزان و اطلاع رسانی تصمیمات آموزشی را تجزیه و تحلیل کنید.")</f>
        <v>نقش ارزشیابی تکوینی در حمایت از پیشرفت یادگیری دانش آموزان و اطلاع رسانی تصمیمات آموزشی را تجزیه و تحلیل کنید.</v>
      </c>
      <c r="H3060" s="1"/>
      <c r="I3060" s="1"/>
      <c r="J3060" s="1"/>
      <c r="K3060" s="1"/>
      <c r="L3060" s="1"/>
      <c r="M3060" s="1"/>
      <c r="N3060" s="1"/>
      <c r="O3060" s="1"/>
      <c r="P3060" s="1"/>
      <c r="Q3060" s="1"/>
      <c r="R3060" s="1"/>
      <c r="S3060" s="1"/>
      <c r="T3060" s="1"/>
      <c r="U3060" s="1"/>
      <c r="V3060" s="1"/>
      <c r="W3060" s="1"/>
      <c r="X3060" s="1"/>
      <c r="Y3060" s="1"/>
      <c r="Z3060" s="1"/>
      <c r="AA3060" s="1"/>
      <c r="AB3060" s="1"/>
    </row>
    <row r="3061" ht="50.25" customHeight="1">
      <c r="A3061" s="12">
        <v>3057.0</v>
      </c>
      <c r="B3061" s="13" t="s">
        <v>2825</v>
      </c>
      <c r="C3061" s="14" t="s">
        <v>3076</v>
      </c>
      <c r="D3061" s="1"/>
      <c r="E3061" s="1"/>
      <c r="F3061" s="1" t="str">
        <f>IFERROR(__xludf.DUMMYFUNCTION("GOOGLETRANSLATE(B3061, ""en"", ""fa"")
"),"آموزش و پرورش")</f>
        <v>آموزش و پرورش</v>
      </c>
      <c r="G3061" s="1" t="str">
        <f>IFERROR(__xludf.DUMMYFUNCTION("GOOGLETRANSLATE(C3061, ""en"", ""fa"")
"),"مزایای آموزش مهارت های سواد رسانه ای را برای کمک به دانش آموزان در تجزیه و تحلیل انتقادی و ارزیابی پیام های رسانه ای بررسی کنید.")</f>
        <v>مزایای آموزش مهارت های سواد رسانه ای را برای کمک به دانش آموزان در تجزیه و تحلیل انتقادی و ارزیابی پیام های رسانه ای بررسی کنید.</v>
      </c>
      <c r="H3061" s="1"/>
      <c r="I3061" s="1"/>
      <c r="J3061" s="1"/>
      <c r="K3061" s="1"/>
      <c r="L3061" s="1"/>
      <c r="M3061" s="1"/>
      <c r="N3061" s="1"/>
      <c r="O3061" s="1"/>
      <c r="P3061" s="1"/>
      <c r="Q3061" s="1"/>
      <c r="R3061" s="1"/>
      <c r="S3061" s="1"/>
      <c r="T3061" s="1"/>
      <c r="U3061" s="1"/>
      <c r="V3061" s="1"/>
      <c r="W3061" s="1"/>
      <c r="X3061" s="1"/>
      <c r="Y3061" s="1"/>
      <c r="Z3061" s="1"/>
      <c r="AA3061" s="1"/>
      <c r="AB3061" s="1"/>
    </row>
    <row r="3062" ht="50.25" customHeight="1">
      <c r="A3062" s="12">
        <v>3058.0</v>
      </c>
      <c r="B3062" s="13" t="s">
        <v>2825</v>
      </c>
      <c r="C3062" s="14" t="s">
        <v>3077</v>
      </c>
      <c r="D3062" s="1"/>
      <c r="E3062" s="1"/>
      <c r="F3062" s="1" t="str">
        <f>IFERROR(__xludf.DUMMYFUNCTION("GOOGLETRANSLATE(B3062, ""en"", ""fa"")
"),"آموزش و پرورش")</f>
        <v>آموزش و پرورش</v>
      </c>
      <c r="G3062" s="1" t="str">
        <f>IFERROR(__xludf.DUMMYFUNCTION("GOOGLETRANSLATE(C3062, ""en"", ""fa"")
"),"در مورد تأثیر برنامه های یادگیری اجتماعی-عاطفی بر رفاه و موفقیت تحصیلی دانش آموزان بحث کنید.")</f>
        <v>در مورد تأثیر برنامه های یادگیری اجتماعی-عاطفی بر رفاه و موفقیت تحصیلی دانش آموزان بحث کنید.</v>
      </c>
      <c r="H3062" s="1"/>
      <c r="I3062" s="1"/>
      <c r="J3062" s="1"/>
      <c r="K3062" s="1"/>
      <c r="L3062" s="1"/>
      <c r="M3062" s="1"/>
      <c r="N3062" s="1"/>
      <c r="O3062" s="1"/>
      <c r="P3062" s="1"/>
      <c r="Q3062" s="1"/>
      <c r="R3062" s="1"/>
      <c r="S3062" s="1"/>
      <c r="T3062" s="1"/>
      <c r="U3062" s="1"/>
      <c r="V3062" s="1"/>
      <c r="W3062" s="1"/>
      <c r="X3062" s="1"/>
      <c r="Y3062" s="1"/>
      <c r="Z3062" s="1"/>
      <c r="AA3062" s="1"/>
      <c r="AB3062" s="1"/>
    </row>
    <row r="3063" ht="50.25" customHeight="1">
      <c r="A3063" s="12">
        <v>3059.0</v>
      </c>
      <c r="B3063" s="13" t="s">
        <v>2825</v>
      </c>
      <c r="C3063" s="14" t="s">
        <v>3078</v>
      </c>
      <c r="D3063" s="1"/>
      <c r="E3063" s="1"/>
      <c r="F3063" s="1" t="str">
        <f>IFERROR(__xludf.DUMMYFUNCTION("GOOGLETRANSLATE(B3063, ""en"", ""fa"")
"),"آموزش و پرورش")</f>
        <v>آموزش و پرورش</v>
      </c>
      <c r="G3063" s="1" t="str">
        <f>IFERROR(__xludf.DUMMYFUNCTION("GOOGLETRANSLATE(C3063, ""en"", ""fa"")
"),"مزایای گنجاندن یادگیری در فضای باز و تجربی را در برنامه درسی تجزیه و تحلیل کنید.")</f>
        <v>مزایای گنجاندن یادگیری در فضای باز و تجربی را در برنامه درسی تجزیه و تحلیل کنید.</v>
      </c>
      <c r="H3063" s="1"/>
      <c r="I3063" s="1"/>
      <c r="J3063" s="1"/>
      <c r="K3063" s="1"/>
      <c r="L3063" s="1"/>
      <c r="M3063" s="1"/>
      <c r="N3063" s="1"/>
      <c r="O3063" s="1"/>
      <c r="P3063" s="1"/>
      <c r="Q3063" s="1"/>
      <c r="R3063" s="1"/>
      <c r="S3063" s="1"/>
      <c r="T3063" s="1"/>
      <c r="U3063" s="1"/>
      <c r="V3063" s="1"/>
      <c r="W3063" s="1"/>
      <c r="X3063" s="1"/>
      <c r="Y3063" s="1"/>
      <c r="Z3063" s="1"/>
      <c r="AA3063" s="1"/>
      <c r="AB3063" s="1"/>
    </row>
    <row r="3064" ht="50.25" customHeight="1">
      <c r="A3064" s="12">
        <v>3060.0</v>
      </c>
      <c r="B3064" s="13" t="s">
        <v>2825</v>
      </c>
      <c r="C3064" s="14" t="s">
        <v>3079</v>
      </c>
      <c r="D3064" s="1"/>
      <c r="E3064" s="1"/>
      <c r="F3064" s="1" t="str">
        <f>IFERROR(__xludf.DUMMYFUNCTION("GOOGLETRANSLATE(B3064, ""en"", ""fa"")
"),"آموزش و پرورش")</f>
        <v>آموزش و پرورش</v>
      </c>
      <c r="G3064" s="1" t="str">
        <f>IFERROR(__xludf.DUMMYFUNCTION("GOOGLETRANSLATE(C3064, ""en"", ""fa"")
"),"بررسی نقش سیاست های آموزشی در شکل دادن به شیوه های آموزشی عادلانه و فراگیر.")</f>
        <v>بررسی نقش سیاست های آموزشی در شکل دادن به شیوه های آموزشی عادلانه و فراگیر.</v>
      </c>
      <c r="H3064" s="1"/>
      <c r="I3064" s="1"/>
      <c r="J3064" s="1"/>
      <c r="K3064" s="1"/>
      <c r="L3064" s="1"/>
      <c r="M3064" s="1"/>
      <c r="N3064" s="1"/>
      <c r="O3064" s="1"/>
      <c r="P3064" s="1"/>
      <c r="Q3064" s="1"/>
      <c r="R3064" s="1"/>
      <c r="S3064" s="1"/>
      <c r="T3064" s="1"/>
      <c r="U3064" s="1"/>
      <c r="V3064" s="1"/>
      <c r="W3064" s="1"/>
      <c r="X3064" s="1"/>
      <c r="Y3064" s="1"/>
      <c r="Z3064" s="1"/>
      <c r="AA3064" s="1"/>
      <c r="AB3064" s="1"/>
    </row>
    <row r="3065" ht="50.25" customHeight="1">
      <c r="A3065" s="12">
        <v>3061.0</v>
      </c>
      <c r="B3065" s="13" t="s">
        <v>2825</v>
      </c>
      <c r="C3065" s="14" t="s">
        <v>3080</v>
      </c>
      <c r="D3065" s="1"/>
      <c r="E3065" s="1"/>
      <c r="F3065" s="1" t="str">
        <f>IFERROR(__xludf.DUMMYFUNCTION("GOOGLETRANSLATE(B3065, ""en"", ""fa"")
"),"آموزش و پرورش")</f>
        <v>آموزش و پرورش</v>
      </c>
      <c r="G3065" s="1" t="str">
        <f>IFERROR(__xludf.DUMMYFUNCTION("GOOGLETRANSLATE(C3065, ""en"", ""fa"")
"),"در مورد مزایای پرورش ذهنیت رشد در بین دانش آموزان برای پرورش تاب آوری و عشق به یادگیری بحث کنید.")</f>
        <v>در مورد مزایای پرورش ذهنیت رشد در بین دانش آموزان برای پرورش تاب آوری و عشق به یادگیری بحث کنید.</v>
      </c>
      <c r="H3065" s="1"/>
      <c r="I3065" s="1"/>
      <c r="J3065" s="1"/>
      <c r="K3065" s="1"/>
      <c r="L3065" s="1"/>
      <c r="M3065" s="1"/>
      <c r="N3065" s="1"/>
      <c r="O3065" s="1"/>
      <c r="P3065" s="1"/>
      <c r="Q3065" s="1"/>
      <c r="R3065" s="1"/>
      <c r="S3065" s="1"/>
      <c r="T3065" s="1"/>
      <c r="U3065" s="1"/>
      <c r="V3065" s="1"/>
      <c r="W3065" s="1"/>
      <c r="X3065" s="1"/>
      <c r="Y3065" s="1"/>
      <c r="Z3065" s="1"/>
      <c r="AA3065" s="1"/>
      <c r="AB3065" s="1"/>
    </row>
    <row r="3066" ht="50.25" customHeight="1">
      <c r="A3066" s="12">
        <v>3062.0</v>
      </c>
      <c r="B3066" s="13" t="s">
        <v>2825</v>
      </c>
      <c r="C3066" s="14" t="s">
        <v>3081</v>
      </c>
      <c r="D3066" s="1"/>
      <c r="E3066" s="1"/>
      <c r="F3066" s="1" t="str">
        <f>IFERROR(__xludf.DUMMYFUNCTION("GOOGLETRANSLATE(B3066, ""en"", ""fa"")
"),"آموزش و پرورش")</f>
        <v>آموزش و پرورش</v>
      </c>
      <c r="G3066" s="1" t="str">
        <f>IFERROR(__xludf.DUMMYFUNCTION("GOOGLETRANSLATE(C3066, ""en"", ""fa"")
"),"تجزیه و تحلیل تأثیر ادبیات متنوع فرهنگی در ترویج همدلی و قدردانی فرهنگی در بین دانش آموزان.")</f>
        <v>تجزیه و تحلیل تأثیر ادبیات متنوع فرهنگی در ترویج همدلی و قدردانی فرهنگی در بین دانش آموزان.</v>
      </c>
      <c r="H3066" s="1"/>
      <c r="I3066" s="1"/>
      <c r="J3066" s="1"/>
      <c r="K3066" s="1"/>
      <c r="L3066" s="1"/>
      <c r="M3066" s="1"/>
      <c r="N3066" s="1"/>
      <c r="O3066" s="1"/>
      <c r="P3066" s="1"/>
      <c r="Q3066" s="1"/>
      <c r="R3066" s="1"/>
      <c r="S3066" s="1"/>
      <c r="T3066" s="1"/>
      <c r="U3066" s="1"/>
      <c r="V3066" s="1"/>
      <c r="W3066" s="1"/>
      <c r="X3066" s="1"/>
      <c r="Y3066" s="1"/>
      <c r="Z3066" s="1"/>
      <c r="AA3066" s="1"/>
      <c r="AB3066" s="1"/>
    </row>
    <row r="3067" ht="50.25" customHeight="1">
      <c r="A3067" s="12">
        <v>3063.0</v>
      </c>
      <c r="B3067" s="13" t="s">
        <v>2825</v>
      </c>
      <c r="C3067" s="14" t="s">
        <v>3082</v>
      </c>
      <c r="D3067" s="1"/>
      <c r="E3067" s="1"/>
      <c r="F3067" s="1" t="str">
        <f>IFERROR(__xludf.DUMMYFUNCTION("GOOGLETRANSLATE(B3067, ""en"", ""fa"")
"),"آموزش و پرورش")</f>
        <v>آموزش و پرورش</v>
      </c>
      <c r="G3067" s="1" t="str">
        <f>IFERROR(__xludf.DUMMYFUNCTION("GOOGLETRANSLATE(C3067, ""en"", ""fa"")
"),"در مورد نقش راهبردهای آموزشی فراگیر در رفع نیازهای متنوع دانش آموزان با نیازهای آموزشی ویژه بحث کنید.")</f>
        <v>در مورد نقش راهبردهای آموزشی فراگیر در رفع نیازهای متنوع دانش آموزان با نیازهای آموزشی ویژه بحث کنید.</v>
      </c>
      <c r="H3067" s="1"/>
      <c r="I3067" s="1"/>
      <c r="J3067" s="1"/>
      <c r="K3067" s="1"/>
      <c r="L3067" s="1"/>
      <c r="M3067" s="1"/>
      <c r="N3067" s="1"/>
      <c r="O3067" s="1"/>
      <c r="P3067" s="1"/>
      <c r="Q3067" s="1"/>
      <c r="R3067" s="1"/>
      <c r="S3067" s="1"/>
      <c r="T3067" s="1"/>
      <c r="U3067" s="1"/>
      <c r="V3067" s="1"/>
      <c r="W3067" s="1"/>
      <c r="X3067" s="1"/>
      <c r="Y3067" s="1"/>
      <c r="Z3067" s="1"/>
      <c r="AA3067" s="1"/>
      <c r="AB3067" s="1"/>
    </row>
    <row r="3068" ht="50.25" customHeight="1">
      <c r="A3068" s="12">
        <v>3064.0</v>
      </c>
      <c r="B3068" s="13" t="s">
        <v>2825</v>
      </c>
      <c r="C3068" s="14" t="s">
        <v>3083</v>
      </c>
      <c r="D3068" s="1"/>
      <c r="E3068" s="1"/>
      <c r="F3068" s="1" t="str">
        <f>IFERROR(__xludf.DUMMYFUNCTION("GOOGLETRANSLATE(B3068, ""en"", ""fa"")
"),"آموزش و پرورش")</f>
        <v>آموزش و پرورش</v>
      </c>
      <c r="G3068" s="1" t="str">
        <f>IFERROR(__xludf.DUMMYFUNCTION("GOOGLETRANSLATE(C3068, ""en"", ""fa"")
"),"مزایای ترویج شهروندی دیجیتال و آموزش ایمنی آنلاین در عصر دیجیتال را تجزیه و تحلیل کنید.")</f>
        <v>مزایای ترویج شهروندی دیجیتال و آموزش ایمنی آنلاین در عصر دیجیتال را تجزیه و تحلیل کنید.</v>
      </c>
      <c r="H3068" s="1"/>
      <c r="I3068" s="1"/>
      <c r="J3068" s="1"/>
      <c r="K3068" s="1"/>
      <c r="L3068" s="1"/>
      <c r="M3068" s="1"/>
      <c r="N3068" s="1"/>
      <c r="O3068" s="1"/>
      <c r="P3068" s="1"/>
      <c r="Q3068" s="1"/>
      <c r="R3068" s="1"/>
      <c r="S3068" s="1"/>
      <c r="T3068" s="1"/>
      <c r="U3068" s="1"/>
      <c r="V3068" s="1"/>
      <c r="W3068" s="1"/>
      <c r="X3068" s="1"/>
      <c r="Y3068" s="1"/>
      <c r="Z3068" s="1"/>
      <c r="AA3068" s="1"/>
      <c r="AB3068" s="1"/>
    </row>
    <row r="3069" ht="50.25" customHeight="1">
      <c r="A3069" s="12">
        <v>3065.0</v>
      </c>
      <c r="B3069" s="13" t="s">
        <v>2825</v>
      </c>
      <c r="C3069" s="14" t="s">
        <v>3084</v>
      </c>
      <c r="D3069" s="1"/>
      <c r="E3069" s="1"/>
      <c r="F3069" s="1" t="str">
        <f>IFERROR(__xludf.DUMMYFUNCTION("GOOGLETRANSLATE(B3069, ""en"", ""fa"")
"),"آموزش و پرورش")</f>
        <v>آموزش و پرورش</v>
      </c>
      <c r="G3069" s="1" t="str">
        <f>IFERROR(__xludf.DUMMYFUNCTION("GOOGLETRANSLATE(C3069, ""en"", ""fa"")
"),"تأثیر همکاری معلمان و جوامع یادگیری حرفه ای بر روی شیوه های آموزشی و نتایج دانش آموزان را بررسی کنید.")</f>
        <v>تأثیر همکاری معلمان و جوامع یادگیری حرفه ای بر روی شیوه های آموزشی و نتایج دانش آموزان را بررسی کنید.</v>
      </c>
      <c r="H3069" s="1"/>
      <c r="I3069" s="1"/>
      <c r="J3069" s="1"/>
      <c r="K3069" s="1"/>
      <c r="L3069" s="1"/>
      <c r="M3069" s="1"/>
      <c r="N3069" s="1"/>
      <c r="O3069" s="1"/>
      <c r="P3069" s="1"/>
      <c r="Q3069" s="1"/>
      <c r="R3069" s="1"/>
      <c r="S3069" s="1"/>
      <c r="T3069" s="1"/>
      <c r="U3069" s="1"/>
      <c r="V3069" s="1"/>
      <c r="W3069" s="1"/>
      <c r="X3069" s="1"/>
      <c r="Y3069" s="1"/>
      <c r="Z3069" s="1"/>
      <c r="AA3069" s="1"/>
      <c r="AB3069" s="1"/>
    </row>
    <row r="3070" ht="50.25" customHeight="1">
      <c r="A3070" s="12">
        <v>3066.0</v>
      </c>
      <c r="B3070" s="13" t="s">
        <v>2825</v>
      </c>
      <c r="C3070" s="14" t="s">
        <v>3085</v>
      </c>
      <c r="D3070" s="1"/>
      <c r="E3070" s="1"/>
      <c r="F3070" s="1" t="str">
        <f>IFERROR(__xludf.DUMMYFUNCTION("GOOGLETRANSLATE(B3070, ""en"", ""fa"")
"),"آموزش و پرورش")</f>
        <v>آموزش و پرورش</v>
      </c>
      <c r="G3070" s="1" t="str">
        <f>IFERROR(__xludf.DUMMYFUNCTION("GOOGLETRANSLATE(C3070, ""en"", ""fa"")
"),"در مورد مزایای آموزش مهارت های سواد مالی برای توانمندسازی دانش آموزان با مهارت های مدیریت مالی بحث کنید.")</f>
        <v>در مورد مزایای آموزش مهارت های سواد مالی برای توانمندسازی دانش آموزان با مهارت های مدیریت مالی بحث کنید.</v>
      </c>
      <c r="H3070" s="1"/>
      <c r="I3070" s="1"/>
      <c r="J3070" s="1"/>
      <c r="K3070" s="1"/>
      <c r="L3070" s="1"/>
      <c r="M3070" s="1"/>
      <c r="N3070" s="1"/>
      <c r="O3070" s="1"/>
      <c r="P3070" s="1"/>
      <c r="Q3070" s="1"/>
      <c r="R3070" s="1"/>
      <c r="S3070" s="1"/>
      <c r="T3070" s="1"/>
      <c r="U3070" s="1"/>
      <c r="V3070" s="1"/>
      <c r="W3070" s="1"/>
      <c r="X3070" s="1"/>
      <c r="Y3070" s="1"/>
      <c r="Z3070" s="1"/>
      <c r="AA3070" s="1"/>
      <c r="AB3070" s="1"/>
    </row>
    <row r="3071" ht="50.25" customHeight="1">
      <c r="A3071" s="12">
        <v>3067.0</v>
      </c>
      <c r="B3071" s="13" t="s">
        <v>2825</v>
      </c>
      <c r="C3071" s="14" t="s">
        <v>3086</v>
      </c>
      <c r="D3071" s="1"/>
      <c r="E3071" s="1"/>
      <c r="F3071" s="1" t="str">
        <f>IFERROR(__xludf.DUMMYFUNCTION("GOOGLETRANSLATE(B3071, ""en"", ""fa"")
"),"آموزش و پرورش")</f>
        <v>آموزش و پرورش</v>
      </c>
      <c r="G3071" s="1" t="str">
        <f>IFERROR(__xludf.DUMMYFUNCTION("GOOGLETRANSLATE(C3071, ""en"", ""fa"")
"),"تحلیل نقش رهبری آموزشی در ایجاد فرهنگ مدرسه مثبت و فراگیر.")</f>
        <v>تحلیل نقش رهبری آموزشی در ایجاد فرهنگ مدرسه مثبت و فراگیر.</v>
      </c>
      <c r="H3071" s="1"/>
      <c r="I3071" s="1"/>
      <c r="J3071" s="1"/>
      <c r="K3071" s="1"/>
      <c r="L3071" s="1"/>
      <c r="M3071" s="1"/>
      <c r="N3071" s="1"/>
      <c r="O3071" s="1"/>
      <c r="P3071" s="1"/>
      <c r="Q3071" s="1"/>
      <c r="R3071" s="1"/>
      <c r="S3071" s="1"/>
      <c r="T3071" s="1"/>
      <c r="U3071" s="1"/>
      <c r="V3071" s="1"/>
      <c r="W3071" s="1"/>
      <c r="X3071" s="1"/>
      <c r="Y3071" s="1"/>
      <c r="Z3071" s="1"/>
      <c r="AA3071" s="1"/>
      <c r="AB3071" s="1"/>
    </row>
    <row r="3072" ht="50.25" customHeight="1">
      <c r="A3072" s="12">
        <v>3068.0</v>
      </c>
      <c r="B3072" s="13" t="s">
        <v>2825</v>
      </c>
      <c r="C3072" s="14" t="s">
        <v>3087</v>
      </c>
      <c r="D3072" s="1"/>
      <c r="E3072" s="1"/>
      <c r="F3072" s="1" t="str">
        <f>IFERROR(__xludf.DUMMYFUNCTION("GOOGLETRANSLATE(B3072, ""en"", ""fa"")
"),"آموزش و پرورش")</f>
        <v>آموزش و پرورش</v>
      </c>
      <c r="G3072" s="1" t="str">
        <f>IFERROR(__xludf.DUMMYFUNCTION("GOOGLETRANSLATE(C3072, ""en"", ""fa"")
"),"مزایای ترویج یادگیری بین رشته ای را برای ایجاد ارتباط در زمینه های موضوعی مختلف بررسی کنید.")</f>
        <v>مزایای ترویج یادگیری بین رشته ای را برای ایجاد ارتباط در زمینه های موضوعی مختلف بررسی کنید.</v>
      </c>
      <c r="H3072" s="1"/>
      <c r="I3072" s="1"/>
      <c r="J3072" s="1"/>
      <c r="K3072" s="1"/>
      <c r="L3072" s="1"/>
      <c r="M3072" s="1"/>
      <c r="N3072" s="1"/>
      <c r="O3072" s="1"/>
      <c r="P3072" s="1"/>
      <c r="Q3072" s="1"/>
      <c r="R3072" s="1"/>
      <c r="S3072" s="1"/>
      <c r="T3072" s="1"/>
      <c r="U3072" s="1"/>
      <c r="V3072" s="1"/>
      <c r="W3072" s="1"/>
      <c r="X3072" s="1"/>
      <c r="Y3072" s="1"/>
      <c r="Z3072" s="1"/>
      <c r="AA3072" s="1"/>
      <c r="AB3072" s="1"/>
    </row>
    <row r="3073" ht="50.25" customHeight="1">
      <c r="A3073" s="12">
        <v>3069.0</v>
      </c>
      <c r="B3073" s="13" t="s">
        <v>2825</v>
      </c>
      <c r="C3073" s="14" t="s">
        <v>3088</v>
      </c>
      <c r="D3073" s="1"/>
      <c r="E3073" s="1"/>
      <c r="F3073" s="1" t="str">
        <f>IFERROR(__xludf.DUMMYFUNCTION("GOOGLETRANSLATE(B3073, ""en"", ""fa"")
"),"آموزش و پرورش")</f>
        <v>آموزش و پرورش</v>
      </c>
      <c r="G3073" s="1" t="str">
        <f>IFERROR(__xludf.DUMMYFUNCTION("GOOGLETRANSLATE(C3073, ""en"", ""fa"")
"),"درباره تأثیر شیوه های کلاس درس فراگیر در ایجاد حس تعلق و تقویت مشارکت دانش آموزان بحث کنید.")</f>
        <v>درباره تأثیر شیوه های کلاس درس فراگیر در ایجاد حس تعلق و تقویت مشارکت دانش آموزان بحث کنید.</v>
      </c>
      <c r="H3073" s="1"/>
      <c r="I3073" s="1"/>
      <c r="J3073" s="1"/>
      <c r="K3073" s="1"/>
      <c r="L3073" s="1"/>
      <c r="M3073" s="1"/>
      <c r="N3073" s="1"/>
      <c r="O3073" s="1"/>
      <c r="P3073" s="1"/>
      <c r="Q3073" s="1"/>
      <c r="R3073" s="1"/>
      <c r="S3073" s="1"/>
      <c r="T3073" s="1"/>
      <c r="U3073" s="1"/>
      <c r="V3073" s="1"/>
      <c r="W3073" s="1"/>
      <c r="X3073" s="1"/>
      <c r="Y3073" s="1"/>
      <c r="Z3073" s="1"/>
      <c r="AA3073" s="1"/>
      <c r="AB3073" s="1"/>
    </row>
    <row r="3074" ht="50.25" customHeight="1">
      <c r="A3074" s="12">
        <v>3070.0</v>
      </c>
      <c r="B3074" s="13" t="s">
        <v>2825</v>
      </c>
      <c r="C3074" s="14" t="s">
        <v>3089</v>
      </c>
      <c r="D3074" s="1"/>
      <c r="E3074" s="1"/>
      <c r="F3074" s="1" t="str">
        <f>IFERROR(__xludf.DUMMYFUNCTION("GOOGLETRANSLATE(B3074, ""en"", ""fa"")
"),"آموزش و پرورش")</f>
        <v>آموزش و پرورش</v>
      </c>
      <c r="G3074" s="1" t="str">
        <f>IFERROR(__xludf.DUMMYFUNCTION("GOOGLETRANSLATE(C3074, ""en"", ""fa"")
"),"تجزیه و تحلیل مزایای ترویج یادگیری مبتنی بر تحقیق برای توسعه تفکر انتقادی و مهارت های حل مسئله در دانش آموزان.")</f>
        <v>تجزیه و تحلیل مزایای ترویج یادگیری مبتنی بر تحقیق برای توسعه تفکر انتقادی و مهارت های حل مسئله در دانش آموزان.</v>
      </c>
      <c r="H3074" s="1"/>
      <c r="I3074" s="1"/>
      <c r="J3074" s="1"/>
      <c r="K3074" s="1"/>
      <c r="L3074" s="1"/>
      <c r="M3074" s="1"/>
      <c r="N3074" s="1"/>
      <c r="O3074" s="1"/>
      <c r="P3074" s="1"/>
      <c r="Q3074" s="1"/>
      <c r="R3074" s="1"/>
      <c r="S3074" s="1"/>
      <c r="T3074" s="1"/>
      <c r="U3074" s="1"/>
      <c r="V3074" s="1"/>
      <c r="W3074" s="1"/>
      <c r="X3074" s="1"/>
      <c r="Y3074" s="1"/>
      <c r="Z3074" s="1"/>
      <c r="AA3074" s="1"/>
      <c r="AB3074" s="1"/>
    </row>
    <row r="3075" ht="50.25" customHeight="1">
      <c r="A3075" s="12">
        <v>3071.0</v>
      </c>
      <c r="B3075" s="13" t="s">
        <v>2825</v>
      </c>
      <c r="C3075" s="14" t="s">
        <v>3090</v>
      </c>
      <c r="D3075" s="1"/>
      <c r="E3075" s="1"/>
      <c r="F3075" s="1" t="str">
        <f>IFERROR(__xludf.DUMMYFUNCTION("GOOGLETRANSLATE(B3075, ""en"", ""fa"")
"),"آموزش و پرورش")</f>
        <v>آموزش و پرورش</v>
      </c>
      <c r="G3075" s="1" t="str">
        <f>IFERROR(__xludf.DUMMYFUNCTION("GOOGLETRANSLATE(C3075, ""en"", ""fa"")
"),"نقش فناوری آموزشی در حمایت از تجربیات یادگیری شخصی برای دانش آموزان را بررسی کنید.")</f>
        <v>نقش فناوری آموزشی در حمایت از تجربیات یادگیری شخصی برای دانش آموزان را بررسی کنید.</v>
      </c>
      <c r="H3075" s="1"/>
      <c r="I3075" s="1"/>
      <c r="J3075" s="1"/>
      <c r="K3075" s="1"/>
      <c r="L3075" s="1"/>
      <c r="M3075" s="1"/>
      <c r="N3075" s="1"/>
      <c r="O3075" s="1"/>
      <c r="P3075" s="1"/>
      <c r="Q3075" s="1"/>
      <c r="R3075" s="1"/>
      <c r="S3075" s="1"/>
      <c r="T3075" s="1"/>
      <c r="U3075" s="1"/>
      <c r="V3075" s="1"/>
      <c r="W3075" s="1"/>
      <c r="X3075" s="1"/>
      <c r="Y3075" s="1"/>
      <c r="Z3075" s="1"/>
      <c r="AA3075" s="1"/>
      <c r="AB3075" s="1"/>
    </row>
    <row r="3076" ht="50.25" customHeight="1">
      <c r="A3076" s="12">
        <v>3072.0</v>
      </c>
      <c r="B3076" s="13" t="s">
        <v>2825</v>
      </c>
      <c r="C3076" s="14" t="s">
        <v>3091</v>
      </c>
      <c r="D3076" s="1"/>
      <c r="E3076" s="1"/>
      <c r="F3076" s="1" t="str">
        <f>IFERROR(__xludf.DUMMYFUNCTION("GOOGLETRANSLATE(B3076, ""en"", ""fa"")
"),"آموزش و پرورش")</f>
        <v>آموزش و پرورش</v>
      </c>
      <c r="G3076" s="1" t="str">
        <f>IFERROR(__xludf.DUMMYFUNCTION("GOOGLETRANSLATE(C3076, ""en"", ""fa"")
"),"در مورد مزایای آموزش کدگذاری و تفکر محاسباتی برای تقویت سواد دیجیتالی و توانایی حل مسئله در دانش آموزان بحث کنید.")</f>
        <v>در مورد مزایای آموزش کدگذاری و تفکر محاسباتی برای تقویت سواد دیجیتالی و توانایی حل مسئله در دانش آموزان بحث کنید.</v>
      </c>
      <c r="H3076" s="1"/>
      <c r="I3076" s="1"/>
      <c r="J3076" s="1"/>
      <c r="K3076" s="1"/>
      <c r="L3076" s="1"/>
      <c r="M3076" s="1"/>
      <c r="N3076" s="1"/>
      <c r="O3076" s="1"/>
      <c r="P3076" s="1"/>
      <c r="Q3076" s="1"/>
      <c r="R3076" s="1"/>
      <c r="S3076" s="1"/>
      <c r="T3076" s="1"/>
      <c r="U3076" s="1"/>
      <c r="V3076" s="1"/>
      <c r="W3076" s="1"/>
      <c r="X3076" s="1"/>
      <c r="Y3076" s="1"/>
      <c r="Z3076" s="1"/>
      <c r="AA3076" s="1"/>
      <c r="AB3076" s="1"/>
    </row>
    <row r="3077" ht="50.25" customHeight="1">
      <c r="A3077" s="12">
        <v>3073.0</v>
      </c>
      <c r="B3077" s="13" t="s">
        <v>2825</v>
      </c>
      <c r="C3077" s="14" t="s">
        <v>3092</v>
      </c>
      <c r="D3077" s="1"/>
      <c r="E3077" s="1"/>
      <c r="F3077" s="1" t="str">
        <f>IFERROR(__xludf.DUMMYFUNCTION("GOOGLETRANSLATE(B3077, ""en"", ""fa"")
"),"آموزش و پرورش")</f>
        <v>آموزش و پرورش</v>
      </c>
      <c r="G3077" s="1" t="str">
        <f>IFERROR(__xludf.DUMMYFUNCTION("GOOGLETRANSLATE(C3077, ""en"", ""fa"")
"),"تأثیر شیوه های عدالت ترمیمی را در ایجاد جو مدرسه ای مثبت و فراگیر تحلیل کنید.")</f>
        <v>تأثیر شیوه های عدالت ترمیمی را در ایجاد جو مدرسه ای مثبت و فراگیر تحلیل کنید.</v>
      </c>
      <c r="H3077" s="1"/>
      <c r="I3077" s="1"/>
      <c r="J3077" s="1"/>
      <c r="K3077" s="1"/>
      <c r="L3077" s="1"/>
      <c r="M3077" s="1"/>
      <c r="N3077" s="1"/>
      <c r="O3077" s="1"/>
      <c r="P3077" s="1"/>
      <c r="Q3077" s="1"/>
      <c r="R3077" s="1"/>
      <c r="S3077" s="1"/>
      <c r="T3077" s="1"/>
      <c r="U3077" s="1"/>
      <c r="V3077" s="1"/>
      <c r="W3077" s="1"/>
      <c r="X3077" s="1"/>
      <c r="Y3077" s="1"/>
      <c r="Z3077" s="1"/>
      <c r="AA3077" s="1"/>
      <c r="AB3077" s="1"/>
    </row>
    <row r="3078" ht="50.25" customHeight="1">
      <c r="A3078" s="12">
        <v>3074.0</v>
      </c>
      <c r="B3078" s="13" t="s">
        <v>2825</v>
      </c>
      <c r="C3078" s="14" t="s">
        <v>3093</v>
      </c>
      <c r="D3078" s="1"/>
      <c r="E3078" s="1"/>
      <c r="F3078" s="1" t="str">
        <f>IFERROR(__xludf.DUMMYFUNCTION("GOOGLETRANSLATE(B3078, ""en"", ""fa"")
"),"آموزش و پرورش")</f>
        <v>آموزش و پرورش</v>
      </c>
      <c r="G3078" s="1" t="str">
        <f>IFERROR(__xludf.DUMMYFUNCTION("GOOGLETRANSLATE(C3078, ""en"", ""fa"")
"),"مزایای گنجاندن دیدگاه های جهانی در برنامه درسی را برای ترویج شهروندی جهانی بررسی کنید.")</f>
        <v>مزایای گنجاندن دیدگاه های جهانی در برنامه درسی را برای ترویج شهروندی جهانی بررسی کنید.</v>
      </c>
      <c r="H3078" s="1"/>
      <c r="I3078" s="1"/>
      <c r="J3078" s="1"/>
      <c r="K3078" s="1"/>
      <c r="L3078" s="1"/>
      <c r="M3078" s="1"/>
      <c r="N3078" s="1"/>
      <c r="O3078" s="1"/>
      <c r="P3078" s="1"/>
      <c r="Q3078" s="1"/>
      <c r="R3078" s="1"/>
      <c r="S3078" s="1"/>
      <c r="T3078" s="1"/>
      <c r="U3078" s="1"/>
      <c r="V3078" s="1"/>
      <c r="W3078" s="1"/>
      <c r="X3078" s="1"/>
      <c r="Y3078" s="1"/>
      <c r="Z3078" s="1"/>
      <c r="AA3078" s="1"/>
      <c r="AB3078" s="1"/>
    </row>
    <row r="3079" ht="50.25" customHeight="1">
      <c r="A3079" s="12">
        <v>3075.0</v>
      </c>
      <c r="B3079" s="13" t="s">
        <v>2825</v>
      </c>
      <c r="C3079" s="14" t="s">
        <v>3094</v>
      </c>
      <c r="D3079" s="1"/>
      <c r="E3079" s="1"/>
      <c r="F3079" s="1" t="str">
        <f>IFERROR(__xludf.DUMMYFUNCTION("GOOGLETRANSLATE(B3079, ""en"", ""fa"")
"),"آموزش و پرورش")</f>
        <v>آموزش و پرورش</v>
      </c>
      <c r="G3079" s="1" t="str">
        <f>IFERROR(__xludf.DUMMYFUNCTION("GOOGLETRANSLATE(C3079, ""en"", ""fa"")
"),"در مورد نقش ارزشیابی برای یادگیری در ارائه بازخورد و حمایت از رشد و پیشرفت دانش آموزان بحث کنید.")</f>
        <v>در مورد نقش ارزشیابی برای یادگیری در ارائه بازخورد و حمایت از رشد و پیشرفت دانش آموزان بحث کنید.</v>
      </c>
      <c r="H3079" s="1"/>
      <c r="I3079" s="1"/>
      <c r="J3079" s="1"/>
      <c r="K3079" s="1"/>
      <c r="L3079" s="1"/>
      <c r="M3079" s="1"/>
      <c r="N3079" s="1"/>
      <c r="O3079" s="1"/>
      <c r="P3079" s="1"/>
      <c r="Q3079" s="1"/>
      <c r="R3079" s="1"/>
      <c r="S3079" s="1"/>
      <c r="T3079" s="1"/>
      <c r="U3079" s="1"/>
      <c r="V3079" s="1"/>
      <c r="W3079" s="1"/>
      <c r="X3079" s="1"/>
      <c r="Y3079" s="1"/>
      <c r="Z3079" s="1"/>
      <c r="AA3079" s="1"/>
      <c r="AB3079" s="1"/>
    </row>
    <row r="3080" ht="50.25" customHeight="1">
      <c r="A3080" s="12">
        <v>3076.0</v>
      </c>
      <c r="B3080" s="13" t="s">
        <v>2825</v>
      </c>
      <c r="C3080" s="14" t="s">
        <v>3095</v>
      </c>
      <c r="D3080" s="1"/>
      <c r="E3080" s="1"/>
      <c r="F3080" s="1" t="str">
        <f>IFERROR(__xludf.DUMMYFUNCTION("GOOGLETRANSLATE(B3080, ""en"", ""fa"")
"),"آموزش و پرورش")</f>
        <v>آموزش و پرورش</v>
      </c>
      <c r="G3080" s="1" t="str">
        <f>IFERROR(__xludf.DUMMYFUNCTION("GOOGLETRANSLATE(C3080, ""en"", ""fa"")
"),"مزایای ارتقای صدای دانش آموز و انتخاب در محیط آموزشی را تجزیه و تحلیل کنید.")</f>
        <v>مزایای ارتقای صدای دانش آموز و انتخاب در محیط آموزشی را تجزیه و تحلیل کنید.</v>
      </c>
      <c r="H3080" s="1"/>
      <c r="I3080" s="1"/>
      <c r="J3080" s="1"/>
      <c r="K3080" s="1"/>
      <c r="L3080" s="1"/>
      <c r="M3080" s="1"/>
      <c r="N3080" s="1"/>
      <c r="O3080" s="1"/>
      <c r="P3080" s="1"/>
      <c r="Q3080" s="1"/>
      <c r="R3080" s="1"/>
      <c r="S3080" s="1"/>
      <c r="T3080" s="1"/>
      <c r="U3080" s="1"/>
      <c r="V3080" s="1"/>
      <c r="W3080" s="1"/>
      <c r="X3080" s="1"/>
      <c r="Y3080" s="1"/>
      <c r="Z3080" s="1"/>
      <c r="AA3080" s="1"/>
      <c r="AB3080" s="1"/>
    </row>
    <row r="3081" ht="50.25" customHeight="1">
      <c r="A3081" s="12">
        <v>3077.0</v>
      </c>
      <c r="B3081" s="13" t="s">
        <v>2825</v>
      </c>
      <c r="C3081" s="14" t="s">
        <v>3096</v>
      </c>
      <c r="D3081" s="1"/>
      <c r="E3081" s="1"/>
      <c r="F3081" s="1" t="str">
        <f>IFERROR(__xludf.DUMMYFUNCTION("GOOGLETRANSLATE(B3081, ""en"", ""fa"")
"),"آموزش و پرورش")</f>
        <v>آموزش و پرورش</v>
      </c>
      <c r="G3081" s="1" t="str">
        <f>IFERROR(__xludf.DUMMYFUNCTION("GOOGLETRANSLATE(C3081, ""en"", ""fa"")
"),"تأثیر طراحی برنامه درسی فراگیر در ارتقای تنوع و نمایندگی در آموزش را بررسی کنید.")</f>
        <v>تأثیر طراحی برنامه درسی فراگیر در ارتقای تنوع و نمایندگی در آموزش را بررسی کنید.</v>
      </c>
      <c r="H3081" s="1"/>
      <c r="I3081" s="1"/>
      <c r="J3081" s="1"/>
      <c r="K3081" s="1"/>
      <c r="L3081" s="1"/>
      <c r="M3081" s="1"/>
      <c r="N3081" s="1"/>
      <c r="O3081" s="1"/>
      <c r="P3081" s="1"/>
      <c r="Q3081" s="1"/>
      <c r="R3081" s="1"/>
      <c r="S3081" s="1"/>
      <c r="T3081" s="1"/>
      <c r="U3081" s="1"/>
      <c r="V3081" s="1"/>
      <c r="W3081" s="1"/>
      <c r="X3081" s="1"/>
      <c r="Y3081" s="1"/>
      <c r="Z3081" s="1"/>
      <c r="AA3081" s="1"/>
      <c r="AB3081" s="1"/>
    </row>
    <row r="3082" ht="50.25" customHeight="1">
      <c r="A3082" s="12">
        <v>3078.0</v>
      </c>
      <c r="B3082" s="13" t="s">
        <v>2825</v>
      </c>
      <c r="C3082" s="14" t="s">
        <v>3097</v>
      </c>
      <c r="D3082" s="1"/>
      <c r="E3082" s="1"/>
      <c r="F3082" s="1" t="str">
        <f>IFERROR(__xludf.DUMMYFUNCTION("GOOGLETRANSLATE(B3082, ""en"", ""fa"")
"),"آموزش و پرورش")</f>
        <v>آموزش و پرورش</v>
      </c>
      <c r="G3082" s="1" t="str">
        <f>IFERROR(__xludf.DUMMYFUNCTION("GOOGLETRANSLATE(C3082, ""en"", ""fa"")
"),"در مورد مزایای آموزش پایداری زیست محیطی برای توسعه آگاهی دانش آموزان و مراقبت از محیط زیست بحث کنید.")</f>
        <v>در مورد مزایای آموزش پایداری زیست محیطی برای توسعه آگاهی دانش آموزان و مراقبت از محیط زیست بحث کنید.</v>
      </c>
      <c r="H3082" s="1"/>
      <c r="I3082" s="1"/>
      <c r="J3082" s="1"/>
      <c r="K3082" s="1"/>
      <c r="L3082" s="1"/>
      <c r="M3082" s="1"/>
      <c r="N3082" s="1"/>
      <c r="O3082" s="1"/>
      <c r="P3082" s="1"/>
      <c r="Q3082" s="1"/>
      <c r="R3082" s="1"/>
      <c r="S3082" s="1"/>
      <c r="T3082" s="1"/>
      <c r="U3082" s="1"/>
      <c r="V3082" s="1"/>
      <c r="W3082" s="1"/>
      <c r="X3082" s="1"/>
      <c r="Y3082" s="1"/>
      <c r="Z3082" s="1"/>
      <c r="AA3082" s="1"/>
      <c r="AB3082" s="1"/>
    </row>
    <row r="3083" ht="50.25" customHeight="1">
      <c r="A3083" s="12">
        <v>3079.0</v>
      </c>
      <c r="B3083" s="13" t="s">
        <v>2825</v>
      </c>
      <c r="C3083" s="14" t="s">
        <v>3098</v>
      </c>
      <c r="D3083" s="1"/>
      <c r="E3083" s="1"/>
      <c r="F3083" s="1" t="str">
        <f>IFERROR(__xludf.DUMMYFUNCTION("GOOGLETRANSLATE(B3083, ""en"", ""fa"")
"),"آموزش و پرورش")</f>
        <v>آموزش و پرورش</v>
      </c>
      <c r="G3083" s="1" t="str">
        <f>IFERROR(__xludf.DUMMYFUNCTION("GOOGLETRANSLATE(C3083, ""en"", ""fa"")
"),"تحلیل نقش رسانه های اجتماعی در آموزش و تاثیر آن بر یادگیری و ارتباطات دانش آموزان.")</f>
        <v>تحلیل نقش رسانه های اجتماعی در آموزش و تاثیر آن بر یادگیری و ارتباطات دانش آموزان.</v>
      </c>
      <c r="H3083" s="1"/>
      <c r="I3083" s="1"/>
      <c r="J3083" s="1"/>
      <c r="K3083" s="1"/>
      <c r="L3083" s="1"/>
      <c r="M3083" s="1"/>
      <c r="N3083" s="1"/>
      <c r="O3083" s="1"/>
      <c r="P3083" s="1"/>
      <c r="Q3083" s="1"/>
      <c r="R3083" s="1"/>
      <c r="S3083" s="1"/>
      <c r="T3083" s="1"/>
      <c r="U3083" s="1"/>
      <c r="V3083" s="1"/>
      <c r="W3083" s="1"/>
      <c r="X3083" s="1"/>
      <c r="Y3083" s="1"/>
      <c r="Z3083" s="1"/>
      <c r="AA3083" s="1"/>
      <c r="AB3083" s="1"/>
    </row>
    <row r="3084" ht="50.25" customHeight="1">
      <c r="A3084" s="12">
        <v>3080.0</v>
      </c>
      <c r="B3084" s="13" t="s">
        <v>2825</v>
      </c>
      <c r="C3084" s="14" t="s">
        <v>3099</v>
      </c>
      <c r="D3084" s="1"/>
      <c r="E3084" s="1"/>
      <c r="F3084" s="1" t="str">
        <f>IFERROR(__xludf.DUMMYFUNCTION("GOOGLETRANSLATE(B3084, ""en"", ""fa"")
"),"آموزش و پرورش")</f>
        <v>آموزش و پرورش</v>
      </c>
      <c r="G3084" s="1" t="str">
        <f>IFERROR(__xludf.DUMMYFUNCTION("GOOGLETRANSLATE(C3084, ""en"", ""fa"")
"),"مزایای ترویج آموزش فرهنگی پاسخگو برای پرورش کلاس های درس عادلانه و فراگیر را بررسی کنید.")</f>
        <v>مزایای ترویج آموزش فرهنگی پاسخگو برای پرورش کلاس های درس عادلانه و فراگیر را بررسی کنید.</v>
      </c>
      <c r="H3084" s="1"/>
      <c r="I3084" s="1"/>
      <c r="J3084" s="1"/>
      <c r="K3084" s="1"/>
      <c r="L3084" s="1"/>
      <c r="M3084" s="1"/>
      <c r="N3084" s="1"/>
      <c r="O3084" s="1"/>
      <c r="P3084" s="1"/>
      <c r="Q3084" s="1"/>
      <c r="R3084" s="1"/>
      <c r="S3084" s="1"/>
      <c r="T3084" s="1"/>
      <c r="U3084" s="1"/>
      <c r="V3084" s="1"/>
      <c r="W3084" s="1"/>
      <c r="X3084" s="1"/>
      <c r="Y3084" s="1"/>
      <c r="Z3084" s="1"/>
      <c r="AA3084" s="1"/>
      <c r="AB3084" s="1"/>
    </row>
    <row r="3085" ht="50.25" customHeight="1">
      <c r="A3085" s="12">
        <v>3081.0</v>
      </c>
      <c r="B3085" s="13" t="s">
        <v>2825</v>
      </c>
      <c r="C3085" s="14" t="s">
        <v>3100</v>
      </c>
      <c r="D3085" s="1"/>
      <c r="E3085" s="1"/>
      <c r="F3085" s="1" t="str">
        <f>IFERROR(__xludf.DUMMYFUNCTION("GOOGLETRANSLATE(B3085, ""en"", ""fa"")
"),"آموزش و پرورش")</f>
        <v>آموزش و پرورش</v>
      </c>
      <c r="G3085" s="1" t="str">
        <f>IFERROR(__xludf.DUMMYFUNCTION("GOOGLETRANSLATE(C3085, ""en"", ""fa"")
"),"درباره تأثیر رهبری فراگیر در ارتقای همکاری معلمان و توسعه حرفه ای بحث کنید.")</f>
        <v>درباره تأثیر رهبری فراگیر در ارتقای همکاری معلمان و توسعه حرفه ای بحث کنید.</v>
      </c>
      <c r="H3085" s="1"/>
      <c r="I3085" s="1"/>
      <c r="J3085" s="1"/>
      <c r="K3085" s="1"/>
      <c r="L3085" s="1"/>
      <c r="M3085" s="1"/>
      <c r="N3085" s="1"/>
      <c r="O3085" s="1"/>
      <c r="P3085" s="1"/>
      <c r="Q3085" s="1"/>
      <c r="R3085" s="1"/>
      <c r="S3085" s="1"/>
      <c r="T3085" s="1"/>
      <c r="U3085" s="1"/>
      <c r="V3085" s="1"/>
      <c r="W3085" s="1"/>
      <c r="X3085" s="1"/>
      <c r="Y3085" s="1"/>
      <c r="Z3085" s="1"/>
      <c r="AA3085" s="1"/>
      <c r="AB3085" s="1"/>
    </row>
    <row r="3086" ht="50.25" customHeight="1">
      <c r="A3086" s="12">
        <v>3082.0</v>
      </c>
      <c r="B3086" s="13" t="s">
        <v>2825</v>
      </c>
      <c r="C3086" s="14" t="s">
        <v>3101</v>
      </c>
      <c r="D3086" s="1"/>
      <c r="E3086" s="1"/>
      <c r="F3086" s="1" t="str">
        <f>IFERROR(__xludf.DUMMYFUNCTION("GOOGLETRANSLATE(B3086, ""en"", ""fa"")
"),"آموزش و پرورش")</f>
        <v>آموزش و پرورش</v>
      </c>
      <c r="G3086" s="1" t="str">
        <f>IFERROR(__xludf.DUMMYFUNCTION("GOOGLETRANSLATE(C3086, ""en"", ""fa"")
"),"تجزیه و تحلیل مزایای ارتقای مهارت های شایستگی جهانی در آماده سازی دانش آموزان برای جهانی به هم پیوسته جهانی.")</f>
        <v>تجزیه و تحلیل مزایای ارتقای مهارت های شایستگی جهانی در آماده سازی دانش آموزان برای جهانی به هم پیوسته جهانی.</v>
      </c>
      <c r="H3086" s="1"/>
      <c r="I3086" s="1"/>
      <c r="J3086" s="1"/>
      <c r="K3086" s="1"/>
      <c r="L3086" s="1"/>
      <c r="M3086" s="1"/>
      <c r="N3086" s="1"/>
      <c r="O3086" s="1"/>
      <c r="P3086" s="1"/>
      <c r="Q3086" s="1"/>
      <c r="R3086" s="1"/>
      <c r="S3086" s="1"/>
      <c r="T3086" s="1"/>
      <c r="U3086" s="1"/>
      <c r="V3086" s="1"/>
      <c r="W3086" s="1"/>
      <c r="X3086" s="1"/>
      <c r="Y3086" s="1"/>
      <c r="Z3086" s="1"/>
      <c r="AA3086" s="1"/>
      <c r="AB3086" s="1"/>
    </row>
    <row r="3087" ht="50.25" customHeight="1">
      <c r="A3087" s="12">
        <v>3083.0</v>
      </c>
      <c r="B3087" s="13" t="s">
        <v>2825</v>
      </c>
      <c r="C3087" s="14" t="s">
        <v>3102</v>
      </c>
      <c r="D3087" s="1"/>
      <c r="E3087" s="1"/>
      <c r="F3087" s="1" t="str">
        <f>IFERROR(__xludf.DUMMYFUNCTION("GOOGLETRANSLATE(B3087, ""en"", ""fa"")
"),"آموزش و پرورش")</f>
        <v>آموزش و پرورش</v>
      </c>
      <c r="G3087" s="1" t="str">
        <f>IFERROR(__xludf.DUMMYFUNCTION("GOOGLETRANSLATE(C3087, ""en"", ""fa"")
"),"در مورد مزایای ترویج راهبردهای فراشناختی برای تقویت خودتنظیمی و مهارت های یادگیری دانش آموزان بحث کنید.")</f>
        <v>در مورد مزایای ترویج راهبردهای فراشناختی برای تقویت خودتنظیمی و مهارت های یادگیری دانش آموزان بحث کنید.</v>
      </c>
      <c r="H3087" s="1"/>
      <c r="I3087" s="1"/>
      <c r="J3087" s="1"/>
      <c r="K3087" s="1"/>
      <c r="L3087" s="1"/>
      <c r="M3087" s="1"/>
      <c r="N3087" s="1"/>
      <c r="O3087" s="1"/>
      <c r="P3087" s="1"/>
      <c r="Q3087" s="1"/>
      <c r="R3087" s="1"/>
      <c r="S3087" s="1"/>
      <c r="T3087" s="1"/>
      <c r="U3087" s="1"/>
      <c r="V3087" s="1"/>
      <c r="W3087" s="1"/>
      <c r="X3087" s="1"/>
      <c r="Y3087" s="1"/>
      <c r="Z3087" s="1"/>
      <c r="AA3087" s="1"/>
      <c r="AB3087" s="1"/>
    </row>
    <row r="3088" ht="50.25" customHeight="1">
      <c r="A3088" s="12">
        <v>3084.0</v>
      </c>
      <c r="B3088" s="13" t="s">
        <v>2825</v>
      </c>
      <c r="C3088" s="14" t="s">
        <v>3103</v>
      </c>
      <c r="D3088" s="1"/>
      <c r="E3088" s="1"/>
      <c r="F3088" s="1" t="str">
        <f>IFERROR(__xludf.DUMMYFUNCTION("GOOGLETRANSLATE(B3088, ""en"", ""fa"")
"),"آموزش و پرورش")</f>
        <v>آموزش و پرورش</v>
      </c>
      <c r="G3088" s="1" t="str">
        <f>IFERROR(__xludf.DUMMYFUNCTION("GOOGLETRANSLATE(C3088, ""en"", ""fa"")
"),"تأثیر شیوه های ارزشیابی فراگیر در شناخت و ارزش گذاری توانایی ها و دستاوردهای متنوع دانش آموزان را تجزیه و تحلیل کنید.")</f>
        <v>تأثیر شیوه های ارزشیابی فراگیر در شناخت و ارزش گذاری توانایی ها و دستاوردهای متنوع دانش آموزان را تجزیه و تحلیل کنید.</v>
      </c>
      <c r="H3088" s="1"/>
      <c r="I3088" s="1"/>
      <c r="J3088" s="1"/>
      <c r="K3088" s="1"/>
      <c r="L3088" s="1"/>
      <c r="M3088" s="1"/>
      <c r="N3088" s="1"/>
      <c r="O3088" s="1"/>
      <c r="P3088" s="1"/>
      <c r="Q3088" s="1"/>
      <c r="R3088" s="1"/>
      <c r="S3088" s="1"/>
      <c r="T3088" s="1"/>
      <c r="U3088" s="1"/>
      <c r="V3088" s="1"/>
      <c r="W3088" s="1"/>
      <c r="X3088" s="1"/>
      <c r="Y3088" s="1"/>
      <c r="Z3088" s="1"/>
      <c r="AA3088" s="1"/>
      <c r="AB3088" s="1"/>
    </row>
    <row r="3089" ht="50.25" customHeight="1">
      <c r="A3089" s="12">
        <v>3085.0</v>
      </c>
      <c r="B3089" s="13" t="s">
        <v>2825</v>
      </c>
      <c r="C3089" s="14" t="s">
        <v>3104</v>
      </c>
      <c r="D3089" s="1"/>
      <c r="E3089" s="1"/>
      <c r="F3089" s="1" t="str">
        <f>IFERROR(__xludf.DUMMYFUNCTION("GOOGLETRANSLATE(B3089, ""en"", ""fa"")
"),"آموزش و پرورش")</f>
        <v>آموزش و پرورش</v>
      </c>
      <c r="G3089" s="1" t="str">
        <f>IFERROR(__xludf.DUMMYFUNCTION("GOOGLETRANSLATE(C3089, ""en"", ""fa"")
"),"مزایای آموزش مهارت‌های سواد دیجیتال را برای توسعه تفکر انتقادی و شهروندی دیجیتالی مسئولانه در دانش‌آموزان بررسی کنید.")</f>
        <v>مزایای آموزش مهارت‌های سواد دیجیتال را برای توسعه تفکر انتقادی و شهروندی دیجیتالی مسئولانه در دانش‌آموزان بررسی کنید.</v>
      </c>
      <c r="H3089" s="1"/>
      <c r="I3089" s="1"/>
      <c r="J3089" s="1"/>
      <c r="K3089" s="1"/>
      <c r="L3089" s="1"/>
      <c r="M3089" s="1"/>
      <c r="N3089" s="1"/>
      <c r="O3089" s="1"/>
      <c r="P3089" s="1"/>
      <c r="Q3089" s="1"/>
      <c r="R3089" s="1"/>
      <c r="S3089" s="1"/>
      <c r="T3089" s="1"/>
      <c r="U3089" s="1"/>
      <c r="V3089" s="1"/>
      <c r="W3089" s="1"/>
      <c r="X3089" s="1"/>
      <c r="Y3089" s="1"/>
      <c r="Z3089" s="1"/>
      <c r="AA3089" s="1"/>
      <c r="AB3089" s="1"/>
    </row>
    <row r="3090" ht="50.25" customHeight="1">
      <c r="A3090" s="12">
        <v>3086.0</v>
      </c>
      <c r="B3090" s="13" t="s">
        <v>2825</v>
      </c>
      <c r="C3090" s="14" t="s">
        <v>3105</v>
      </c>
      <c r="D3090" s="1"/>
      <c r="E3090" s="1"/>
      <c r="F3090" s="1" t="str">
        <f>IFERROR(__xludf.DUMMYFUNCTION("GOOGLETRANSLATE(B3090, ""en"", ""fa"")
"),"آموزش و پرورش")</f>
        <v>آموزش و پرورش</v>
      </c>
      <c r="G3090" s="1" t="str">
        <f>IFERROR(__xludf.DUMMYFUNCTION("GOOGLETRANSLATE(C3090, ""en"", ""fa"")
"),"در مورد نقش ارزیابی های پروژه محور در ترویج تجارب یادگیری معتبر و معنادار بحث کنید.")</f>
        <v>در مورد نقش ارزیابی های پروژه محور در ترویج تجارب یادگیری معتبر و معنادار بحث کنید.</v>
      </c>
      <c r="H3090" s="1"/>
      <c r="I3090" s="1"/>
      <c r="J3090" s="1"/>
      <c r="K3090" s="1"/>
      <c r="L3090" s="1"/>
      <c r="M3090" s="1"/>
      <c r="N3090" s="1"/>
      <c r="O3090" s="1"/>
      <c r="P3090" s="1"/>
      <c r="Q3090" s="1"/>
      <c r="R3090" s="1"/>
      <c r="S3090" s="1"/>
      <c r="T3090" s="1"/>
      <c r="U3090" s="1"/>
      <c r="V3090" s="1"/>
      <c r="W3090" s="1"/>
      <c r="X3090" s="1"/>
      <c r="Y3090" s="1"/>
      <c r="Z3090" s="1"/>
      <c r="AA3090" s="1"/>
      <c r="AB3090" s="1"/>
    </row>
    <row r="3091" ht="50.25" customHeight="1">
      <c r="A3091" s="12">
        <v>3087.0</v>
      </c>
      <c r="B3091" s="13" t="s">
        <v>2825</v>
      </c>
      <c r="C3091" s="14" t="s">
        <v>3106</v>
      </c>
      <c r="D3091" s="1"/>
      <c r="E3091" s="1"/>
      <c r="F3091" s="1" t="str">
        <f>IFERROR(__xludf.DUMMYFUNCTION("GOOGLETRANSLATE(B3091, ""en"", ""fa"")
"),"آموزش و پرورش")</f>
        <v>آموزش و پرورش</v>
      </c>
      <c r="G3091" s="1" t="str">
        <f>IFERROR(__xludf.DUMMYFUNCTION("GOOGLETRANSLATE(C3091, ""en"", ""fa"")
"),"مزایای ترویج ادبیات فراگیر و صداهای متنوع در کلاس را تجزیه و تحلیل کنید.")</f>
        <v>مزایای ترویج ادبیات فراگیر و صداهای متنوع در کلاس را تجزیه و تحلیل کنید.</v>
      </c>
      <c r="H3091" s="1"/>
      <c r="I3091" s="1"/>
      <c r="J3091" s="1"/>
      <c r="K3091" s="1"/>
      <c r="L3091" s="1"/>
      <c r="M3091" s="1"/>
      <c r="N3091" s="1"/>
      <c r="O3091" s="1"/>
      <c r="P3091" s="1"/>
      <c r="Q3091" s="1"/>
      <c r="R3091" s="1"/>
      <c r="S3091" s="1"/>
      <c r="T3091" s="1"/>
      <c r="U3091" s="1"/>
      <c r="V3091" s="1"/>
      <c r="W3091" s="1"/>
      <c r="X3091" s="1"/>
      <c r="Y3091" s="1"/>
      <c r="Z3091" s="1"/>
      <c r="AA3091" s="1"/>
      <c r="AB3091" s="1"/>
    </row>
    <row r="3092" ht="50.25" customHeight="1">
      <c r="A3092" s="12">
        <v>3088.0</v>
      </c>
      <c r="B3092" s="13" t="s">
        <v>2825</v>
      </c>
      <c r="C3092" s="14" t="s">
        <v>3107</v>
      </c>
      <c r="D3092" s="1"/>
      <c r="E3092" s="1"/>
      <c r="F3092" s="1" t="str">
        <f>IFERROR(__xludf.DUMMYFUNCTION("GOOGLETRANSLATE(B3092, ""en"", ""fa"")
"),"آموزش و پرورش")</f>
        <v>آموزش و پرورش</v>
      </c>
      <c r="G3092" s="1" t="str">
        <f>IFERROR(__xludf.DUMMYFUNCTION("GOOGLETRANSLATE(C3092, ""en"", ""fa"")
"),"تأثیر شیوه های ذهن آگاهی بر بهزیستی و عملکرد تحصیلی دانش آموزان را بررسی کنید.")</f>
        <v>تأثیر شیوه های ذهن آگاهی بر بهزیستی و عملکرد تحصیلی دانش آموزان را بررسی کنید.</v>
      </c>
      <c r="H3092" s="1"/>
      <c r="I3092" s="1"/>
      <c r="J3092" s="1"/>
      <c r="K3092" s="1"/>
      <c r="L3092" s="1"/>
      <c r="M3092" s="1"/>
      <c r="N3092" s="1"/>
      <c r="O3092" s="1"/>
      <c r="P3092" s="1"/>
      <c r="Q3092" s="1"/>
      <c r="R3092" s="1"/>
      <c r="S3092" s="1"/>
      <c r="T3092" s="1"/>
      <c r="U3092" s="1"/>
      <c r="V3092" s="1"/>
      <c r="W3092" s="1"/>
      <c r="X3092" s="1"/>
      <c r="Y3092" s="1"/>
      <c r="Z3092" s="1"/>
      <c r="AA3092" s="1"/>
      <c r="AB3092" s="1"/>
    </row>
    <row r="3093" ht="50.25" customHeight="1">
      <c r="A3093" s="12">
        <v>3089.0</v>
      </c>
      <c r="B3093" s="13" t="s">
        <v>2825</v>
      </c>
      <c r="C3093" s="14" t="s">
        <v>3108</v>
      </c>
      <c r="D3093" s="1"/>
      <c r="E3093" s="1"/>
      <c r="F3093" s="1" t="str">
        <f>IFERROR(__xludf.DUMMYFUNCTION("GOOGLETRANSLATE(B3093, ""en"", ""fa"")
"),"آموزش و پرورش")</f>
        <v>آموزش و پرورش</v>
      </c>
      <c r="G3093" s="1" t="str">
        <f>IFERROR(__xludf.DUMMYFUNCTION("GOOGLETRANSLATE(C3093, ""en"", ""fa"")
"),"در مورد مزایای ارتقای مهارت های حل مسئله مشارکتی برای آماده سازی دانش آموزان برای محیط های کاری آینده بحث کنید.")</f>
        <v>در مورد مزایای ارتقای مهارت های حل مسئله مشارکتی برای آماده سازی دانش آموزان برای محیط های کاری آینده بحث کنید.</v>
      </c>
      <c r="H3093" s="1"/>
      <c r="I3093" s="1"/>
      <c r="J3093" s="1"/>
      <c r="K3093" s="1"/>
      <c r="L3093" s="1"/>
      <c r="M3093" s="1"/>
      <c r="N3093" s="1"/>
      <c r="O3093" s="1"/>
      <c r="P3093" s="1"/>
      <c r="Q3093" s="1"/>
      <c r="R3093" s="1"/>
      <c r="S3093" s="1"/>
      <c r="T3093" s="1"/>
      <c r="U3093" s="1"/>
      <c r="V3093" s="1"/>
      <c r="W3093" s="1"/>
      <c r="X3093" s="1"/>
      <c r="Y3093" s="1"/>
      <c r="Z3093" s="1"/>
      <c r="AA3093" s="1"/>
      <c r="AB3093" s="1"/>
    </row>
    <row r="3094" ht="50.25" customHeight="1">
      <c r="A3094" s="12">
        <v>3090.0</v>
      </c>
      <c r="B3094" s="13" t="s">
        <v>2825</v>
      </c>
      <c r="C3094" s="14" t="s">
        <v>3109</v>
      </c>
      <c r="D3094" s="1"/>
      <c r="E3094" s="1"/>
      <c r="F3094" s="1" t="str">
        <f>IFERROR(__xludf.DUMMYFUNCTION("GOOGLETRANSLATE(B3094, ""en"", ""fa"")
"),"آموزش و پرورش")</f>
        <v>آموزش و پرورش</v>
      </c>
      <c r="G3094" s="1" t="str">
        <f>IFERROR(__xludf.DUMMYFUNCTION("GOOGLETRANSLATE(C3094, ""en"", ""fa"")
"),"تحلیل نقش سیاست های آموزشی در حمایت از برابری آموزشی و دسترسی همه دانش آموزان.")</f>
        <v>تحلیل نقش سیاست های آموزشی در حمایت از برابری آموزشی و دسترسی همه دانش آموزان.</v>
      </c>
      <c r="H3094" s="1"/>
      <c r="I3094" s="1"/>
      <c r="J3094" s="1"/>
      <c r="K3094" s="1"/>
      <c r="L3094" s="1"/>
      <c r="M3094" s="1"/>
      <c r="N3094" s="1"/>
      <c r="O3094" s="1"/>
      <c r="P3094" s="1"/>
      <c r="Q3094" s="1"/>
      <c r="R3094" s="1"/>
      <c r="S3094" s="1"/>
      <c r="T3094" s="1"/>
      <c r="U3094" s="1"/>
      <c r="V3094" s="1"/>
      <c r="W3094" s="1"/>
      <c r="X3094" s="1"/>
      <c r="Y3094" s="1"/>
      <c r="Z3094" s="1"/>
      <c r="AA3094" s="1"/>
      <c r="AB3094" s="1"/>
    </row>
    <row r="3095" ht="50.25" customHeight="1">
      <c r="A3095" s="12">
        <v>3091.0</v>
      </c>
      <c r="B3095" s="13" t="s">
        <v>2825</v>
      </c>
      <c r="C3095" s="14" t="s">
        <v>3110</v>
      </c>
      <c r="D3095" s="1"/>
      <c r="E3095" s="1"/>
      <c r="F3095" s="1" t="str">
        <f>IFERROR(__xludf.DUMMYFUNCTION("GOOGLETRANSLATE(B3095, ""en"", ""fa"")
"),"آموزش و پرورش")</f>
        <v>آموزش و پرورش</v>
      </c>
      <c r="G3095" s="1" t="str">
        <f>IFERROR(__xludf.DUMMYFUNCTION("GOOGLETRANSLATE(C3095, ""en"", ""fa"")
"),"مزایای آموزش شایستگی فرهنگی را برای تقویت احترام و تفاهم در بین دانش آموزان با پیشینه های مختلف بررسی کنید.")</f>
        <v>مزایای آموزش شایستگی فرهنگی را برای تقویت احترام و تفاهم در بین دانش آموزان با پیشینه های مختلف بررسی کنید.</v>
      </c>
      <c r="H3095" s="1"/>
      <c r="I3095" s="1"/>
      <c r="J3095" s="1"/>
      <c r="K3095" s="1"/>
      <c r="L3095" s="1"/>
      <c r="M3095" s="1"/>
      <c r="N3095" s="1"/>
      <c r="O3095" s="1"/>
      <c r="P3095" s="1"/>
      <c r="Q3095" s="1"/>
      <c r="R3095" s="1"/>
      <c r="S3095" s="1"/>
      <c r="T3095" s="1"/>
      <c r="U3095" s="1"/>
      <c r="V3095" s="1"/>
      <c r="W3095" s="1"/>
      <c r="X3095" s="1"/>
      <c r="Y3095" s="1"/>
      <c r="Z3095" s="1"/>
      <c r="AA3095" s="1"/>
      <c r="AB3095" s="1"/>
    </row>
    <row r="3096" ht="50.25" customHeight="1">
      <c r="A3096" s="12">
        <v>3092.0</v>
      </c>
      <c r="B3096" s="13" t="s">
        <v>2825</v>
      </c>
      <c r="C3096" s="14" t="s">
        <v>3111</v>
      </c>
      <c r="D3096" s="1"/>
      <c r="E3096" s="1"/>
      <c r="F3096" s="1" t="str">
        <f>IFERROR(__xludf.DUMMYFUNCTION("GOOGLETRANSLATE(B3096, ""en"", ""fa"")
"),"آموزش و پرورش")</f>
        <v>آموزش و پرورش</v>
      </c>
      <c r="G3096" s="1" t="str">
        <f>IFERROR(__xludf.DUMMYFUNCTION("GOOGLETRANSLATE(C3096, ""en"", ""fa"")
"),"درباره تأثیر آموزش متمایز در برآوردن نیازهای یادگیری متنوع دانش آموزان بحث کنید.")</f>
        <v>درباره تأثیر آموزش متمایز در برآوردن نیازهای یادگیری متنوع دانش آموزان بحث کنید.</v>
      </c>
      <c r="H3096" s="1"/>
      <c r="I3096" s="1"/>
      <c r="J3096" s="1"/>
      <c r="K3096" s="1"/>
      <c r="L3096" s="1"/>
      <c r="M3096" s="1"/>
      <c r="N3096" s="1"/>
      <c r="O3096" s="1"/>
      <c r="P3096" s="1"/>
      <c r="Q3096" s="1"/>
      <c r="R3096" s="1"/>
      <c r="S3096" s="1"/>
      <c r="T3096" s="1"/>
      <c r="U3096" s="1"/>
      <c r="V3096" s="1"/>
      <c r="W3096" s="1"/>
      <c r="X3096" s="1"/>
      <c r="Y3096" s="1"/>
      <c r="Z3096" s="1"/>
      <c r="AA3096" s="1"/>
      <c r="AB3096" s="1"/>
    </row>
    <row r="3097" ht="50.25" customHeight="1">
      <c r="A3097" s="12">
        <v>3093.0</v>
      </c>
      <c r="B3097" s="13" t="s">
        <v>2825</v>
      </c>
      <c r="C3097" s="14" t="s">
        <v>3112</v>
      </c>
      <c r="D3097" s="1"/>
      <c r="E3097" s="1"/>
      <c r="F3097" s="1" t="str">
        <f>IFERROR(__xludf.DUMMYFUNCTION("GOOGLETRANSLATE(B3097, ""en"", ""fa"")
"),"آموزش و پرورش")</f>
        <v>آموزش و پرورش</v>
      </c>
      <c r="G3097" s="1" t="str">
        <f>IFERROR(__xludf.DUMMYFUNCTION("GOOGLETRANSLATE(C3097, ""en"", ""fa"")
"),"مزایای ترویج تدریس خصوصی و یادگیری مشارکتی در کلاس درس را تجزیه و تحلیل کنید.")</f>
        <v>مزایای ترویج تدریس خصوصی و یادگیری مشارکتی در کلاس درس را تجزیه و تحلیل کنید.</v>
      </c>
      <c r="H3097" s="1"/>
      <c r="I3097" s="1"/>
      <c r="J3097" s="1"/>
      <c r="K3097" s="1"/>
      <c r="L3097" s="1"/>
      <c r="M3097" s="1"/>
      <c r="N3097" s="1"/>
      <c r="O3097" s="1"/>
      <c r="P3097" s="1"/>
      <c r="Q3097" s="1"/>
      <c r="R3097" s="1"/>
      <c r="S3097" s="1"/>
      <c r="T3097" s="1"/>
      <c r="U3097" s="1"/>
      <c r="V3097" s="1"/>
      <c r="W3097" s="1"/>
      <c r="X3097" s="1"/>
      <c r="Y3097" s="1"/>
      <c r="Z3097" s="1"/>
      <c r="AA3097" s="1"/>
      <c r="AB3097" s="1"/>
    </row>
    <row r="3098" ht="50.25" customHeight="1">
      <c r="A3098" s="12">
        <v>3094.0</v>
      </c>
      <c r="B3098" s="13" t="s">
        <v>2825</v>
      </c>
      <c r="C3098" s="14" t="s">
        <v>3113</v>
      </c>
      <c r="D3098" s="1"/>
      <c r="E3098" s="1"/>
      <c r="F3098" s="1" t="str">
        <f>IFERROR(__xludf.DUMMYFUNCTION("GOOGLETRANSLATE(B3098, ""en"", ""fa"")
"),"آموزش و پرورش")</f>
        <v>آموزش و پرورش</v>
      </c>
      <c r="G3098" s="1" t="str">
        <f>IFERROR(__xludf.DUMMYFUNCTION("GOOGLETRANSLATE(C3098, ""en"", ""fa"")
"),"نقش مشارکت والدین و معلمان را در حمایت از موفقیت و پیشرفت تحصیلی دانش آموزان بررسی کنید.")</f>
        <v>نقش مشارکت والدین و معلمان را در حمایت از موفقیت و پیشرفت تحصیلی دانش آموزان بررسی کنید.</v>
      </c>
      <c r="H3098" s="1"/>
      <c r="I3098" s="1"/>
      <c r="J3098" s="1"/>
      <c r="K3098" s="1"/>
      <c r="L3098" s="1"/>
      <c r="M3098" s="1"/>
      <c r="N3098" s="1"/>
      <c r="O3098" s="1"/>
      <c r="P3098" s="1"/>
      <c r="Q3098" s="1"/>
      <c r="R3098" s="1"/>
      <c r="S3098" s="1"/>
      <c r="T3098" s="1"/>
      <c r="U3098" s="1"/>
      <c r="V3098" s="1"/>
      <c r="W3098" s="1"/>
      <c r="X3098" s="1"/>
      <c r="Y3098" s="1"/>
      <c r="Z3098" s="1"/>
      <c r="AA3098" s="1"/>
      <c r="AB3098" s="1"/>
    </row>
    <row r="3099" ht="50.25" customHeight="1">
      <c r="A3099" s="12">
        <v>3095.0</v>
      </c>
      <c r="B3099" s="13" t="s">
        <v>2825</v>
      </c>
      <c r="C3099" s="14" t="s">
        <v>3114</v>
      </c>
      <c r="D3099" s="1"/>
      <c r="E3099" s="1"/>
      <c r="F3099" s="1" t="str">
        <f>IFERROR(__xludf.DUMMYFUNCTION("GOOGLETRANSLATE(B3099, ""en"", ""fa"")
"),"آموزش و پرورش")</f>
        <v>آموزش و پرورش</v>
      </c>
      <c r="G3099" s="1" t="str">
        <f>IFERROR(__xludf.DUMMYFUNCTION("GOOGLETRANSLATE(C3099, ""en"", ""fa"")
"),"در مورد مزایای آموزش مهارت های مهم سواد دیجیتال برای کمک به دانش آموزان در جهت یابی و ارزیابی اطلاعات آنلاین بحث کنید.")</f>
        <v>در مورد مزایای آموزش مهارت های مهم سواد دیجیتال برای کمک به دانش آموزان در جهت یابی و ارزیابی اطلاعات آنلاین بحث کنید.</v>
      </c>
      <c r="H3099" s="1"/>
      <c r="I3099" s="1"/>
      <c r="J3099" s="1"/>
      <c r="K3099" s="1"/>
      <c r="L3099" s="1"/>
      <c r="M3099" s="1"/>
      <c r="N3099" s="1"/>
      <c r="O3099" s="1"/>
      <c r="P3099" s="1"/>
      <c r="Q3099" s="1"/>
      <c r="R3099" s="1"/>
      <c r="S3099" s="1"/>
      <c r="T3099" s="1"/>
      <c r="U3099" s="1"/>
      <c r="V3099" s="1"/>
      <c r="W3099" s="1"/>
      <c r="X3099" s="1"/>
      <c r="Y3099" s="1"/>
      <c r="Z3099" s="1"/>
      <c r="AA3099" s="1"/>
      <c r="AB3099" s="1"/>
    </row>
    <row r="3100" ht="50.25" customHeight="1">
      <c r="A3100" s="12">
        <v>3096.0</v>
      </c>
      <c r="B3100" s="13" t="s">
        <v>2825</v>
      </c>
      <c r="C3100" s="14" t="s">
        <v>3115</v>
      </c>
      <c r="D3100" s="1"/>
      <c r="E3100" s="1"/>
      <c r="F3100" s="1" t="str">
        <f>IFERROR(__xludf.DUMMYFUNCTION("GOOGLETRANSLATE(B3100, ""en"", ""fa"")
"),"آموزش و پرورش")</f>
        <v>آموزش و پرورش</v>
      </c>
      <c r="G3100" s="1" t="str">
        <f>IFERROR(__xludf.DUMMYFUNCTION("GOOGLETRANSLATE(C3100, ""en"", ""fa"")
"),"تأثیر شیوه های فناوری فراگیر در تضمین دسترسی و فرصت های برابر برای همه دانش آموزان را تجزیه و تحلیل کنید.")</f>
        <v>تأثیر شیوه های فناوری فراگیر در تضمین دسترسی و فرصت های برابر برای همه دانش آموزان را تجزیه و تحلیل کنید.</v>
      </c>
      <c r="H3100" s="1"/>
      <c r="I3100" s="1"/>
      <c r="J3100" s="1"/>
      <c r="K3100" s="1"/>
      <c r="L3100" s="1"/>
      <c r="M3100" s="1"/>
      <c r="N3100" s="1"/>
      <c r="O3100" s="1"/>
      <c r="P3100" s="1"/>
      <c r="Q3100" s="1"/>
      <c r="R3100" s="1"/>
      <c r="S3100" s="1"/>
      <c r="T3100" s="1"/>
      <c r="U3100" s="1"/>
      <c r="V3100" s="1"/>
      <c r="W3100" s="1"/>
      <c r="X3100" s="1"/>
      <c r="Y3100" s="1"/>
      <c r="Z3100" s="1"/>
      <c r="AA3100" s="1"/>
      <c r="AB3100" s="1"/>
    </row>
    <row r="3101" ht="50.25" customHeight="1">
      <c r="A3101" s="12">
        <v>3097.0</v>
      </c>
      <c r="B3101" s="13" t="s">
        <v>2825</v>
      </c>
      <c r="C3101" s="14" t="s">
        <v>3116</v>
      </c>
      <c r="D3101" s="1"/>
      <c r="E3101" s="1"/>
      <c r="F3101" s="1" t="str">
        <f>IFERROR(__xludf.DUMMYFUNCTION("GOOGLETRANSLATE(B3101, ""en"", ""fa"")
"),"آموزش و پرورش")</f>
        <v>آموزش و پرورش</v>
      </c>
      <c r="G3101" s="1" t="str">
        <f>IFERROR(__xludf.DUMMYFUNCTION("GOOGLETRANSLATE(C3101, ""en"", ""fa"")
"),"مزایای ترویج شیوه های بازتابی در بین مربیان را برای افزایش اثربخشی تدریس و رشد حرفه ای بررسی کنید.")</f>
        <v>مزایای ترویج شیوه های بازتابی در بین مربیان را برای افزایش اثربخشی تدریس و رشد حرفه ای بررسی کنید.</v>
      </c>
      <c r="H3101" s="1"/>
      <c r="I3101" s="1"/>
      <c r="J3101" s="1"/>
      <c r="K3101" s="1"/>
      <c r="L3101" s="1"/>
      <c r="M3101" s="1"/>
      <c r="N3101" s="1"/>
      <c r="O3101" s="1"/>
      <c r="P3101" s="1"/>
      <c r="Q3101" s="1"/>
      <c r="R3101" s="1"/>
      <c r="S3101" s="1"/>
      <c r="T3101" s="1"/>
      <c r="U3101" s="1"/>
      <c r="V3101" s="1"/>
      <c r="W3101" s="1"/>
      <c r="X3101" s="1"/>
      <c r="Y3101" s="1"/>
      <c r="Z3101" s="1"/>
      <c r="AA3101" s="1"/>
      <c r="AB3101" s="1"/>
    </row>
    <row r="3102" ht="50.25" customHeight="1">
      <c r="A3102" s="12">
        <v>3098.0</v>
      </c>
      <c r="B3102" s="13" t="s">
        <v>2825</v>
      </c>
      <c r="C3102" s="14" t="s">
        <v>3117</v>
      </c>
      <c r="D3102" s="1"/>
      <c r="E3102" s="1"/>
      <c r="F3102" s="1" t="str">
        <f>IFERROR(__xludf.DUMMYFUNCTION("GOOGLETRANSLATE(B3102, ""en"", ""fa"")
"),"آموزش و پرورش")</f>
        <v>آموزش و پرورش</v>
      </c>
      <c r="G3102" s="1" t="str">
        <f>IFERROR(__xludf.DUMMYFUNCTION("GOOGLETRANSLATE(C3102, ""en"", ""fa"")
"),"درباره نقش سیاست های آموزشی در حمایت از ادغام فناوری در کلاس درس بحث کنید.")</f>
        <v>درباره نقش سیاست های آموزشی در حمایت از ادغام فناوری در کلاس درس بحث کنید.</v>
      </c>
      <c r="H3102" s="1"/>
      <c r="I3102" s="1"/>
      <c r="J3102" s="1"/>
      <c r="K3102" s="1"/>
      <c r="L3102" s="1"/>
      <c r="M3102" s="1"/>
      <c r="N3102" s="1"/>
      <c r="O3102" s="1"/>
      <c r="P3102" s="1"/>
      <c r="Q3102" s="1"/>
      <c r="R3102" s="1"/>
      <c r="S3102" s="1"/>
      <c r="T3102" s="1"/>
      <c r="U3102" s="1"/>
      <c r="V3102" s="1"/>
      <c r="W3102" s="1"/>
      <c r="X3102" s="1"/>
      <c r="Y3102" s="1"/>
      <c r="Z3102" s="1"/>
      <c r="AA3102" s="1"/>
      <c r="AB3102" s="1"/>
    </row>
    <row r="3103" ht="50.25" customHeight="1">
      <c r="A3103" s="12">
        <v>3099.0</v>
      </c>
      <c r="B3103" s="13" t="s">
        <v>2825</v>
      </c>
      <c r="C3103" s="14" t="s">
        <v>3118</v>
      </c>
      <c r="D3103" s="1"/>
      <c r="E3103" s="1"/>
      <c r="F3103" s="1" t="str">
        <f>IFERROR(__xludf.DUMMYFUNCTION("GOOGLETRANSLATE(B3103, ""en"", ""fa"")
"),"آموزش و پرورش")</f>
        <v>آموزش و پرورش</v>
      </c>
      <c r="G3103" s="1" t="str">
        <f>IFERROR(__xludf.DUMMYFUNCTION("GOOGLETRANSLATE(C3103, ""en"", ""fa"")
"),"تجزیه و تحلیل مزایای ترویج فرهنگ ذهنیت رشد در مؤسسات آموزشی برای تقویت بهبود مستمر و تاب آوری.")</f>
        <v>تجزیه و تحلیل مزایای ترویج فرهنگ ذهنیت رشد در مؤسسات آموزشی برای تقویت بهبود مستمر و تاب آوری.</v>
      </c>
      <c r="H3103" s="1"/>
      <c r="I3103" s="1"/>
      <c r="J3103" s="1"/>
      <c r="K3103" s="1"/>
      <c r="L3103" s="1"/>
      <c r="M3103" s="1"/>
      <c r="N3103" s="1"/>
      <c r="O3103" s="1"/>
      <c r="P3103" s="1"/>
      <c r="Q3103" s="1"/>
      <c r="R3103" s="1"/>
      <c r="S3103" s="1"/>
      <c r="T3103" s="1"/>
      <c r="U3103" s="1"/>
      <c r="V3103" s="1"/>
      <c r="W3103" s="1"/>
      <c r="X3103" s="1"/>
      <c r="Y3103" s="1"/>
      <c r="Z3103" s="1"/>
      <c r="AA3103" s="1"/>
      <c r="AB3103" s="1"/>
    </row>
    <row r="3104" ht="50.25" customHeight="1">
      <c r="A3104" s="12">
        <v>3100.0</v>
      </c>
      <c r="B3104" s="13" t="s">
        <v>2825</v>
      </c>
      <c r="C3104" s="14" t="s">
        <v>3119</v>
      </c>
      <c r="D3104" s="1"/>
      <c r="E3104" s="1"/>
      <c r="F3104" s="1" t="str">
        <f>IFERROR(__xludf.DUMMYFUNCTION("GOOGLETRANSLATE(B3104, ""en"", ""fa"")
"),"آموزش و پرورش")</f>
        <v>آموزش و پرورش</v>
      </c>
      <c r="G3104" s="1" t="str">
        <f>IFERROR(__xludf.DUMMYFUNCTION("GOOGLETRANSLATE(C3104, ""en"", ""fa"")
"),"دستور پخت خانواده مورد علاقه خود و اهمیت آن را برای شما به اشتراک بگذارید.")</f>
        <v>دستور پخت خانواده مورد علاقه خود و اهمیت آن را برای شما به اشتراک بگذارید.</v>
      </c>
      <c r="H3104" s="1"/>
      <c r="I3104" s="1"/>
      <c r="J3104" s="1"/>
      <c r="K3104" s="1"/>
      <c r="L3104" s="1"/>
      <c r="M3104" s="1"/>
      <c r="N3104" s="1"/>
      <c r="O3104" s="1"/>
      <c r="P3104" s="1"/>
      <c r="Q3104" s="1"/>
      <c r="R3104" s="1"/>
      <c r="S3104" s="1"/>
      <c r="T3104" s="1"/>
      <c r="U3104" s="1"/>
      <c r="V3104" s="1"/>
      <c r="W3104" s="1"/>
      <c r="X3104" s="1"/>
      <c r="Y3104" s="1"/>
      <c r="Z3104" s="1"/>
      <c r="AA3104" s="1"/>
      <c r="AB3104" s="1"/>
    </row>
    <row r="3105" ht="50.25" customHeight="1">
      <c r="A3105" s="12">
        <v>3101.0</v>
      </c>
      <c r="B3105" s="13" t="s">
        <v>2825</v>
      </c>
      <c r="C3105" s="14" t="s">
        <v>3120</v>
      </c>
      <c r="D3105" s="1"/>
      <c r="E3105" s="1"/>
      <c r="F3105" s="1" t="str">
        <f>IFERROR(__xludf.DUMMYFUNCTION("GOOGLETRANSLATE(B3105, ""en"", ""fa"")
"),"آموزش و پرورش")</f>
        <v>آموزش و پرورش</v>
      </c>
      <c r="G3105" s="1" t="str">
        <f>IFERROR(__xludf.DUMMYFUNCTION("GOOGLETRANSLATE(C3105, ""en"", ""fa"")
"),"در مورد فواید تهیه غذا برای صرفه جویی در زمان و حفظ یک رژیم غذایی سالم بحث کنید.")</f>
        <v>در مورد فواید تهیه غذا برای صرفه جویی در زمان و حفظ یک رژیم غذایی سالم بحث کنید.</v>
      </c>
      <c r="H3105" s="1"/>
      <c r="I3105" s="1"/>
      <c r="J3105" s="1"/>
      <c r="K3105" s="1"/>
      <c r="L3105" s="1"/>
      <c r="M3105" s="1"/>
      <c r="N3105" s="1"/>
      <c r="O3105" s="1"/>
      <c r="P3105" s="1"/>
      <c r="Q3105" s="1"/>
      <c r="R3105" s="1"/>
      <c r="S3105" s="1"/>
      <c r="T3105" s="1"/>
      <c r="U3105" s="1"/>
      <c r="V3105" s="1"/>
      <c r="W3105" s="1"/>
      <c r="X3105" s="1"/>
      <c r="Y3105" s="1"/>
      <c r="Z3105" s="1"/>
      <c r="AA3105" s="1"/>
      <c r="AB3105" s="1"/>
    </row>
    <row r="3106" ht="50.25" customHeight="1">
      <c r="A3106" s="12">
        <v>3102.0</v>
      </c>
      <c r="B3106" s="13" t="s">
        <v>2825</v>
      </c>
      <c r="C3106" s="14" t="s">
        <v>3121</v>
      </c>
      <c r="D3106" s="1"/>
      <c r="E3106" s="1"/>
      <c r="F3106" s="1" t="str">
        <f>IFERROR(__xludf.DUMMYFUNCTION("GOOGLETRANSLATE(B3106, ""en"", ""fa"")
"),"آموزش و پرورش")</f>
        <v>آموزش و پرورش</v>
      </c>
      <c r="G3106" s="1" t="str">
        <f>IFERROR(__xludf.DUMMYFUNCTION("GOOGLETRANSLATE(C3106, ""en"", ""fa"")
"),"هنر آبکاری و ارائه را در ایجاد ظروف جذاب بصری کشف کنید.")</f>
        <v>هنر آبکاری و ارائه را در ایجاد ظروف جذاب بصری کشف کنید.</v>
      </c>
      <c r="H3106" s="1"/>
      <c r="I3106" s="1"/>
      <c r="J3106" s="1"/>
      <c r="K3106" s="1"/>
      <c r="L3106" s="1"/>
      <c r="M3106" s="1"/>
      <c r="N3106" s="1"/>
      <c r="O3106" s="1"/>
      <c r="P3106" s="1"/>
      <c r="Q3106" s="1"/>
      <c r="R3106" s="1"/>
      <c r="S3106" s="1"/>
      <c r="T3106" s="1"/>
      <c r="U3106" s="1"/>
      <c r="V3106" s="1"/>
      <c r="W3106" s="1"/>
      <c r="X3106" s="1"/>
      <c r="Y3106" s="1"/>
      <c r="Z3106" s="1"/>
      <c r="AA3106" s="1"/>
      <c r="AB3106" s="1"/>
    </row>
    <row r="3107" ht="50.25" customHeight="1">
      <c r="A3107" s="12">
        <v>3103.0</v>
      </c>
      <c r="B3107" s="13" t="s">
        <v>2825</v>
      </c>
      <c r="C3107" s="14" t="s">
        <v>3122</v>
      </c>
      <c r="D3107" s="1"/>
      <c r="E3107" s="1"/>
      <c r="F3107" s="1" t="str">
        <f>IFERROR(__xludf.DUMMYFUNCTION("GOOGLETRANSLATE(B3107, ""en"", ""fa"")
"),"آموزش و پرورش")</f>
        <v>آموزش و پرورش</v>
      </c>
      <c r="G3107" s="1" t="str">
        <f>IFERROR(__xludf.DUMMYFUNCTION("GOOGLETRANSLATE(C3107, ""en"", ""fa"")
"),"در مورد مزایای استفاده از مواد محلی و فصلی در آشپزی بحث کنید.")</f>
        <v>در مورد مزایای استفاده از مواد محلی و فصلی در آشپزی بحث کنید.</v>
      </c>
      <c r="H3107" s="1"/>
      <c r="I3107" s="1"/>
      <c r="J3107" s="1"/>
      <c r="K3107" s="1"/>
      <c r="L3107" s="1"/>
      <c r="M3107" s="1"/>
      <c r="N3107" s="1"/>
      <c r="O3107" s="1"/>
      <c r="P3107" s="1"/>
      <c r="Q3107" s="1"/>
      <c r="R3107" s="1"/>
      <c r="S3107" s="1"/>
      <c r="T3107" s="1"/>
      <c r="U3107" s="1"/>
      <c r="V3107" s="1"/>
      <c r="W3107" s="1"/>
      <c r="X3107" s="1"/>
      <c r="Y3107" s="1"/>
      <c r="Z3107" s="1"/>
      <c r="AA3107" s="1"/>
      <c r="AB3107" s="1"/>
    </row>
    <row r="3108" ht="50.25" customHeight="1">
      <c r="A3108" s="12">
        <v>3104.0</v>
      </c>
      <c r="B3108" s="13" t="s">
        <v>2825</v>
      </c>
      <c r="C3108" s="14" t="s">
        <v>3123</v>
      </c>
      <c r="D3108" s="1"/>
      <c r="E3108" s="1"/>
      <c r="F3108" s="1" t="str">
        <f>IFERROR(__xludf.DUMMYFUNCTION("GOOGLETRANSLATE(B3108, ""en"", ""fa"")
"),"آموزش و پرورش")</f>
        <v>آموزش و پرورش</v>
      </c>
      <c r="G3108" s="1" t="str">
        <f>IFERROR(__xludf.DUMMYFUNCTION("GOOGLETRANSLATE(C3108, ""en"", ""fa"")
"),"نکاتی را برای پخت و پز با بودجه بدون به خطر انداختن طعم و مزه به اشتراک بگذارید.")</f>
        <v>نکاتی را برای پخت و پز با بودجه بدون به خطر انداختن طعم و مزه به اشتراک بگذارید.</v>
      </c>
      <c r="H3108" s="1"/>
      <c r="I3108" s="1"/>
      <c r="J3108" s="1"/>
      <c r="K3108" s="1"/>
      <c r="L3108" s="1"/>
      <c r="M3108" s="1"/>
      <c r="N3108" s="1"/>
      <c r="O3108" s="1"/>
      <c r="P3108" s="1"/>
      <c r="Q3108" s="1"/>
      <c r="R3108" s="1"/>
      <c r="S3108" s="1"/>
      <c r="T3108" s="1"/>
      <c r="U3108" s="1"/>
      <c r="V3108" s="1"/>
      <c r="W3108" s="1"/>
      <c r="X3108" s="1"/>
      <c r="Y3108" s="1"/>
      <c r="Z3108" s="1"/>
      <c r="AA3108" s="1"/>
      <c r="AB3108" s="1"/>
    </row>
    <row r="3109" ht="50.25" customHeight="1">
      <c r="A3109" s="12">
        <v>3105.0</v>
      </c>
      <c r="B3109" s="13" t="s">
        <v>2825</v>
      </c>
      <c r="C3109" s="14" t="s">
        <v>3124</v>
      </c>
      <c r="D3109" s="1"/>
      <c r="E3109" s="1"/>
      <c r="F3109" s="1" t="str">
        <f>IFERROR(__xludf.DUMMYFUNCTION("GOOGLETRANSLATE(B3109, ""en"", ""fa"")
"),"آموزش و پرورش")</f>
        <v>آموزش و پرورش</v>
      </c>
      <c r="G3109" s="1" t="str">
        <f>IFERROR(__xludf.DUMMYFUNCTION("GOOGLETRANSLATE(C3109, ""en"", ""fa"")
"),"اهمیت فرهنگی غذاهای سنتی از سراسر جهان را کشف کنید.")</f>
        <v>اهمیت فرهنگی غذاهای سنتی از سراسر جهان را کشف کنید.</v>
      </c>
      <c r="H3109" s="1"/>
      <c r="I3109" s="1"/>
      <c r="J3109" s="1"/>
      <c r="K3109" s="1"/>
      <c r="L3109" s="1"/>
      <c r="M3109" s="1"/>
      <c r="N3109" s="1"/>
      <c r="O3109" s="1"/>
      <c r="P3109" s="1"/>
      <c r="Q3109" s="1"/>
      <c r="R3109" s="1"/>
      <c r="S3109" s="1"/>
      <c r="T3109" s="1"/>
      <c r="U3109" s="1"/>
      <c r="V3109" s="1"/>
      <c r="W3109" s="1"/>
      <c r="X3109" s="1"/>
      <c r="Y3109" s="1"/>
      <c r="Z3109" s="1"/>
      <c r="AA3109" s="1"/>
      <c r="AB3109" s="1"/>
    </row>
    <row r="3110" ht="50.25" customHeight="1">
      <c r="A3110" s="12">
        <v>3106.0</v>
      </c>
      <c r="B3110" s="13" t="s">
        <v>2825</v>
      </c>
      <c r="C3110" s="14" t="s">
        <v>3125</v>
      </c>
      <c r="D3110" s="1"/>
      <c r="E3110" s="1"/>
      <c r="F3110" s="1" t="str">
        <f>IFERROR(__xludf.DUMMYFUNCTION("GOOGLETRANSLATE(B3110, ""en"", ""fa"")
"),"آموزش و پرورش")</f>
        <v>آموزش و پرورش</v>
      </c>
      <c r="G3110" s="1" t="str">
        <f>IFERROR(__xludf.DUMMYFUNCTION("GOOGLETRANSLATE(C3110, ""en"", ""fa"")
"),"در مورد تأثیر پایداری غذا و شیوه های سازگار با محیط زیست در آشپزی بحث کنید.")</f>
        <v>در مورد تأثیر پایداری غذا و شیوه های سازگار با محیط زیست در آشپزی بحث کنید.</v>
      </c>
      <c r="H3110" s="1"/>
      <c r="I3110" s="1"/>
      <c r="J3110" s="1"/>
      <c r="K3110" s="1"/>
      <c r="L3110" s="1"/>
      <c r="M3110" s="1"/>
      <c r="N3110" s="1"/>
      <c r="O3110" s="1"/>
      <c r="P3110" s="1"/>
      <c r="Q3110" s="1"/>
      <c r="R3110" s="1"/>
      <c r="S3110" s="1"/>
      <c r="T3110" s="1"/>
      <c r="U3110" s="1"/>
      <c r="V3110" s="1"/>
      <c r="W3110" s="1"/>
      <c r="X3110" s="1"/>
      <c r="Y3110" s="1"/>
      <c r="Z3110" s="1"/>
      <c r="AA3110" s="1"/>
      <c r="AB3110" s="1"/>
    </row>
    <row r="3111" ht="50.25" customHeight="1">
      <c r="A3111" s="12">
        <v>3107.0</v>
      </c>
      <c r="B3111" s="13" t="s">
        <v>3126</v>
      </c>
      <c r="C3111" s="14" t="s">
        <v>3127</v>
      </c>
      <c r="D3111" s="1"/>
      <c r="E3111" s="1"/>
      <c r="F3111" s="1" t="str">
        <f>IFERROR(__xludf.DUMMYFUNCTION("GOOGLETRANSLATE(B3111, ""en"", ""fa"")
"),"آشپزی")</f>
        <v>آشپزی</v>
      </c>
      <c r="G3111" s="1" t="str">
        <f>IFERROR(__xludf.DUMMYFUNCTION("GOOGLETRANSLATE(C3111, ""en"", ""fa"")
"),"هک ها و نکات آشپزخانه را برای بهبود کارایی آشپزی به اشتراک بگذارید.")</f>
        <v>هک ها و نکات آشپزخانه را برای بهبود کارایی آشپزی به اشتراک بگذارید.</v>
      </c>
      <c r="H3111" s="1"/>
      <c r="I3111" s="1"/>
      <c r="J3111" s="1"/>
      <c r="K3111" s="1"/>
      <c r="L3111" s="1"/>
      <c r="M3111" s="1"/>
      <c r="N3111" s="1"/>
      <c r="O3111" s="1"/>
      <c r="P3111" s="1"/>
      <c r="Q3111" s="1"/>
      <c r="R3111" s="1"/>
      <c r="S3111" s="1"/>
      <c r="T3111" s="1"/>
      <c r="U3111" s="1"/>
      <c r="V3111" s="1"/>
      <c r="W3111" s="1"/>
      <c r="X3111" s="1"/>
      <c r="Y3111" s="1"/>
      <c r="Z3111" s="1"/>
      <c r="AA3111" s="1"/>
      <c r="AB3111" s="1"/>
    </row>
    <row r="3112" ht="50.25" customHeight="1">
      <c r="A3112" s="12">
        <v>3108.0</v>
      </c>
      <c r="B3112" s="13" t="s">
        <v>3126</v>
      </c>
      <c r="C3112" s="14" t="s">
        <v>3128</v>
      </c>
      <c r="D3112" s="1"/>
      <c r="E3112" s="1"/>
      <c r="F3112" s="1" t="str">
        <f>IFERROR(__xludf.DUMMYFUNCTION("GOOGLETRANSLATE(B3112, ""en"", ""fa"")
"),"آشپزی")</f>
        <v>آشپزی</v>
      </c>
      <c r="G3112" s="1" t="str">
        <f>IFERROR(__xludf.DUMMYFUNCTION("GOOGLETRANSLATE(C3112, ""en"", ""fa"")
"),"فواید گنجاندن غذاهای گیاهی یا وگان را در روال آشپزی خود کاوش کنید.")</f>
        <v>فواید گنجاندن غذاهای گیاهی یا وگان را در روال آشپزی خود کاوش کنید.</v>
      </c>
      <c r="H3112" s="1"/>
      <c r="I3112" s="1"/>
      <c r="J3112" s="1"/>
      <c r="K3112" s="1"/>
      <c r="L3112" s="1"/>
      <c r="M3112" s="1"/>
      <c r="N3112" s="1"/>
      <c r="O3112" s="1"/>
      <c r="P3112" s="1"/>
      <c r="Q3112" s="1"/>
      <c r="R3112" s="1"/>
      <c r="S3112" s="1"/>
      <c r="T3112" s="1"/>
      <c r="U3112" s="1"/>
      <c r="V3112" s="1"/>
      <c r="W3112" s="1"/>
      <c r="X3112" s="1"/>
      <c r="Y3112" s="1"/>
      <c r="Z3112" s="1"/>
      <c r="AA3112" s="1"/>
      <c r="AB3112" s="1"/>
    </row>
    <row r="3113" ht="50.25" customHeight="1">
      <c r="A3113" s="12">
        <v>3109.0</v>
      </c>
      <c r="B3113" s="13" t="s">
        <v>3126</v>
      </c>
      <c r="C3113" s="14" t="s">
        <v>3129</v>
      </c>
      <c r="D3113" s="1"/>
      <c r="E3113" s="1"/>
      <c r="F3113" s="1" t="str">
        <f>IFERROR(__xludf.DUMMYFUNCTION("GOOGLETRANSLATE(B3113, ""en"", ""fa"")
"),"آشپزی")</f>
        <v>آشپزی</v>
      </c>
      <c r="G3113" s="1" t="str">
        <f>IFERROR(__xludf.DUMMYFUNCTION("GOOGLETRANSLATE(C3113, ""en"", ""fa"")
"),"در مورد مزایای سلامتی تکنیک های مختلف پخت و پز، مانند بخارپز کردن، کباب کردن، یا کباب کردن صحبت کنید.")</f>
        <v>در مورد مزایای سلامتی تکنیک های مختلف پخت و پز، مانند بخارپز کردن، کباب کردن، یا کباب کردن صحبت کنید.</v>
      </c>
      <c r="H3113" s="1"/>
      <c r="I3113" s="1"/>
      <c r="J3113" s="1"/>
      <c r="K3113" s="1"/>
      <c r="L3113" s="1"/>
      <c r="M3113" s="1"/>
      <c r="N3113" s="1"/>
      <c r="O3113" s="1"/>
      <c r="P3113" s="1"/>
      <c r="Q3113" s="1"/>
      <c r="R3113" s="1"/>
      <c r="S3113" s="1"/>
      <c r="T3113" s="1"/>
      <c r="U3113" s="1"/>
      <c r="V3113" s="1"/>
      <c r="W3113" s="1"/>
      <c r="X3113" s="1"/>
      <c r="Y3113" s="1"/>
      <c r="Z3113" s="1"/>
      <c r="AA3113" s="1"/>
      <c r="AB3113" s="1"/>
    </row>
    <row r="3114" ht="50.25" customHeight="1">
      <c r="A3114" s="12">
        <v>3110.0</v>
      </c>
      <c r="B3114" s="13" t="s">
        <v>3126</v>
      </c>
      <c r="C3114" s="14" t="s">
        <v>3130</v>
      </c>
      <c r="D3114" s="1"/>
      <c r="E3114" s="1"/>
      <c r="F3114" s="1" t="str">
        <f>IFERROR(__xludf.DUMMYFUNCTION("GOOGLETRANSLATE(B3114, ""en"", ""fa"")
"),"آشپزی")</f>
        <v>آشپزی</v>
      </c>
      <c r="G3114" s="1" t="str">
        <f>IFERROR(__xludf.DUMMYFUNCTION("GOOGLETRANSLATE(C3114, ""en"", ""fa"")
"),"وبلاگ های آشپزی مورد علاقه خود یا کانال های YouTube را برای الهام گرفتن از دستور پخت به اشتراک بگذارید.")</f>
        <v>وبلاگ های آشپزی مورد علاقه خود یا کانال های YouTube را برای الهام گرفتن از دستور پخت به اشتراک بگذارید.</v>
      </c>
      <c r="H3114" s="1"/>
      <c r="I3114" s="1"/>
      <c r="J3114" s="1"/>
      <c r="K3114" s="1"/>
      <c r="L3114" s="1"/>
      <c r="M3114" s="1"/>
      <c r="N3114" s="1"/>
      <c r="O3114" s="1"/>
      <c r="P3114" s="1"/>
      <c r="Q3114" s="1"/>
      <c r="R3114" s="1"/>
      <c r="S3114" s="1"/>
      <c r="T3114" s="1"/>
      <c r="U3114" s="1"/>
      <c r="V3114" s="1"/>
      <c r="W3114" s="1"/>
      <c r="X3114" s="1"/>
      <c r="Y3114" s="1"/>
      <c r="Z3114" s="1"/>
      <c r="AA3114" s="1"/>
      <c r="AB3114" s="1"/>
    </row>
    <row r="3115" ht="50.25" customHeight="1">
      <c r="A3115" s="12">
        <v>3111.0</v>
      </c>
      <c r="B3115" s="13" t="s">
        <v>3126</v>
      </c>
      <c r="C3115" s="14" t="s">
        <v>3131</v>
      </c>
      <c r="D3115" s="1"/>
      <c r="E3115" s="1"/>
      <c r="F3115" s="1" t="str">
        <f>IFERROR(__xludf.DUMMYFUNCTION("GOOGLETRANSLATE(B3115, ""en"", ""fa"")
"),"آشپزی")</f>
        <v>آشپزی</v>
      </c>
      <c r="G3115" s="1" t="str">
        <f>IFERROR(__xludf.DUMMYFUNCTION("GOOGLETRANSLATE(C3115, ""en"", ""fa"")
"),"هنر جفت کردن طعم و ایجاد ترکیب طعم هماهنگ در ظروف را کاوش کنید.")</f>
        <v>هنر جفت کردن طعم و ایجاد ترکیب طعم هماهنگ در ظروف را کاوش کنید.</v>
      </c>
      <c r="H3115" s="1"/>
      <c r="I3115" s="1"/>
      <c r="J3115" s="1"/>
      <c r="K3115" s="1"/>
      <c r="L3115" s="1"/>
      <c r="M3115" s="1"/>
      <c r="N3115" s="1"/>
      <c r="O3115" s="1"/>
      <c r="P3115" s="1"/>
      <c r="Q3115" s="1"/>
      <c r="R3115" s="1"/>
      <c r="S3115" s="1"/>
      <c r="T3115" s="1"/>
      <c r="U3115" s="1"/>
      <c r="V3115" s="1"/>
      <c r="W3115" s="1"/>
      <c r="X3115" s="1"/>
      <c r="Y3115" s="1"/>
      <c r="Z3115" s="1"/>
      <c r="AA3115" s="1"/>
      <c r="AB3115" s="1"/>
    </row>
    <row r="3116" ht="50.25" customHeight="1">
      <c r="A3116" s="12">
        <v>3112.0</v>
      </c>
      <c r="B3116" s="13" t="s">
        <v>3126</v>
      </c>
      <c r="C3116" s="14" t="s">
        <v>3132</v>
      </c>
      <c r="D3116" s="1"/>
      <c r="E3116" s="1"/>
      <c r="F3116" s="1" t="str">
        <f>IFERROR(__xludf.DUMMYFUNCTION("GOOGLETRANSLATE(B3116, ""en"", ""fa"")
"),"آشپزی")</f>
        <v>آشپزی</v>
      </c>
      <c r="G3116" s="1" t="str">
        <f>IFERROR(__xludf.DUMMYFUNCTION("GOOGLETRANSLATE(C3116, ""en"", ""fa"")
"),"در مورد فواید چاشنی‌ها، سس‌ها و سس‌های خانگی و فروشگاهی صحبت کنید.")</f>
        <v>در مورد فواید چاشنی‌ها، سس‌ها و سس‌های خانگی و فروشگاهی صحبت کنید.</v>
      </c>
      <c r="H3116" s="1"/>
      <c r="I3116" s="1"/>
      <c r="J3116" s="1"/>
      <c r="K3116" s="1"/>
      <c r="L3116" s="1"/>
      <c r="M3116" s="1"/>
      <c r="N3116" s="1"/>
      <c r="O3116" s="1"/>
      <c r="P3116" s="1"/>
      <c r="Q3116" s="1"/>
      <c r="R3116" s="1"/>
      <c r="S3116" s="1"/>
      <c r="T3116" s="1"/>
      <c r="U3116" s="1"/>
      <c r="V3116" s="1"/>
      <c r="W3116" s="1"/>
      <c r="X3116" s="1"/>
      <c r="Y3116" s="1"/>
      <c r="Z3116" s="1"/>
      <c r="AA3116" s="1"/>
      <c r="AB3116" s="1"/>
    </row>
    <row r="3117" ht="50.25" customHeight="1">
      <c r="A3117" s="12">
        <v>3113.0</v>
      </c>
      <c r="B3117" s="13" t="s">
        <v>3126</v>
      </c>
      <c r="C3117" s="14" t="s">
        <v>3133</v>
      </c>
      <c r="D3117" s="1"/>
      <c r="E3117" s="1"/>
      <c r="F3117" s="1" t="str">
        <f>IFERROR(__xludf.DUMMYFUNCTION("GOOGLETRANSLATE(B3117, ""en"", ""fa"")
"),"آشپزی")</f>
        <v>آشپزی</v>
      </c>
      <c r="G3117" s="1" t="str">
        <f>IFERROR(__xludf.DUMMYFUNCTION("GOOGLETRANSLATE(C3117, ""en"", ""fa"")
"),"نکات خود را برای کاهش ضایعات مواد غذایی و استفاده خلاقانه باقیمانده ها به اشتراک بگذارید.")</f>
        <v>نکات خود را برای کاهش ضایعات مواد غذایی و استفاده خلاقانه باقیمانده ها به اشتراک بگذارید.</v>
      </c>
      <c r="H3117" s="1"/>
      <c r="I3117" s="1"/>
      <c r="J3117" s="1"/>
      <c r="K3117" s="1"/>
      <c r="L3117" s="1"/>
      <c r="M3117" s="1"/>
      <c r="N3117" s="1"/>
      <c r="O3117" s="1"/>
      <c r="P3117" s="1"/>
      <c r="Q3117" s="1"/>
      <c r="R3117" s="1"/>
      <c r="S3117" s="1"/>
      <c r="T3117" s="1"/>
      <c r="U3117" s="1"/>
      <c r="V3117" s="1"/>
      <c r="W3117" s="1"/>
      <c r="X3117" s="1"/>
      <c r="Y3117" s="1"/>
      <c r="Z3117" s="1"/>
      <c r="AA3117" s="1"/>
      <c r="AB3117" s="1"/>
    </row>
    <row r="3118" ht="50.25" customHeight="1">
      <c r="A3118" s="12">
        <v>3114.0</v>
      </c>
      <c r="B3118" s="13" t="s">
        <v>3126</v>
      </c>
      <c r="C3118" s="14" t="s">
        <v>3134</v>
      </c>
      <c r="D3118" s="1"/>
      <c r="E3118" s="1"/>
      <c r="F3118" s="1" t="str">
        <f>IFERROR(__xludf.DUMMYFUNCTION("GOOGLETRANSLATE(B3118, ""en"", ""fa"")
"),"آشپزی")</f>
        <v>آشپزی</v>
      </c>
      <c r="G3118" s="1" t="str">
        <f>IFERROR(__xludf.DUMMYFUNCTION("GOOGLETRANSLATE(C3118, ""en"", ""fa"")
"),"ریشه های فرهنگی و تاریخی ادویه ها و گیاهان محبوب مورد استفاده در آشپزی را کاوش کنید.")</f>
        <v>ریشه های فرهنگی و تاریخی ادویه ها و گیاهان محبوب مورد استفاده در آشپزی را کاوش کنید.</v>
      </c>
      <c r="H3118" s="1"/>
      <c r="I3118" s="1"/>
      <c r="J3118" s="1"/>
      <c r="K3118" s="1"/>
      <c r="L3118" s="1"/>
      <c r="M3118" s="1"/>
      <c r="N3118" s="1"/>
      <c r="O3118" s="1"/>
      <c r="P3118" s="1"/>
      <c r="Q3118" s="1"/>
      <c r="R3118" s="1"/>
      <c r="S3118" s="1"/>
      <c r="T3118" s="1"/>
      <c r="U3118" s="1"/>
      <c r="V3118" s="1"/>
      <c r="W3118" s="1"/>
      <c r="X3118" s="1"/>
      <c r="Y3118" s="1"/>
      <c r="Z3118" s="1"/>
      <c r="AA3118" s="1"/>
      <c r="AB3118" s="1"/>
    </row>
    <row r="3119" ht="50.25" customHeight="1">
      <c r="A3119" s="12">
        <v>3115.0</v>
      </c>
      <c r="B3119" s="13" t="s">
        <v>3126</v>
      </c>
      <c r="C3119" s="14" t="s">
        <v>3135</v>
      </c>
      <c r="D3119" s="1"/>
      <c r="E3119" s="1"/>
      <c r="F3119" s="1" t="str">
        <f>IFERROR(__xludf.DUMMYFUNCTION("GOOGLETRANSLATE(B3119, ""en"", ""fa"")
"),"آشپزی")</f>
        <v>آشپزی</v>
      </c>
      <c r="G3119" s="1" t="str">
        <f>IFERROR(__xludf.DUMMYFUNCTION("GOOGLETRANSLATE(C3119, ""en"", ""fa"")
"),"درباره نقش غذا خوردن آگاهانه و طعم دادن به طعم ها در لذت بردن از تجربه آشپزی بحث کنید.")</f>
        <v>درباره نقش غذا خوردن آگاهانه و طعم دادن به طعم ها در لذت بردن از تجربه آشپزی بحث کنید.</v>
      </c>
      <c r="H3119" s="1"/>
      <c r="I3119" s="1"/>
      <c r="J3119" s="1"/>
      <c r="K3119" s="1"/>
      <c r="L3119" s="1"/>
      <c r="M3119" s="1"/>
      <c r="N3119" s="1"/>
      <c r="O3119" s="1"/>
      <c r="P3119" s="1"/>
      <c r="Q3119" s="1"/>
      <c r="R3119" s="1"/>
      <c r="S3119" s="1"/>
      <c r="T3119" s="1"/>
      <c r="U3119" s="1"/>
      <c r="V3119" s="1"/>
      <c r="W3119" s="1"/>
      <c r="X3119" s="1"/>
      <c r="Y3119" s="1"/>
      <c r="Z3119" s="1"/>
      <c r="AA3119" s="1"/>
      <c r="AB3119" s="1"/>
    </row>
    <row r="3120" ht="50.25" customHeight="1">
      <c r="A3120" s="12">
        <v>3116.0</v>
      </c>
      <c r="B3120" s="13" t="s">
        <v>3126</v>
      </c>
      <c r="C3120" s="14" t="s">
        <v>3136</v>
      </c>
      <c r="D3120" s="1"/>
      <c r="E3120" s="1"/>
      <c r="F3120" s="1" t="str">
        <f>IFERROR(__xludf.DUMMYFUNCTION("GOOGLETRANSLATE(B3120, ""en"", ""fa"")
"),"آشپزی")</f>
        <v>آشپزی</v>
      </c>
      <c r="G3120" s="1" t="str">
        <f>IFERROR(__xludf.DUMMYFUNCTION("GOOGLETRANSLATE(C3120, ""en"", ""fa"")
"),"نکات خود را برای برنامه ریزی وعده های غذایی و سازماندهی یک منوی هفتگی متعادل به اشتراک بگذارید.")</f>
        <v>نکات خود را برای برنامه ریزی وعده های غذایی و سازماندهی یک منوی هفتگی متعادل به اشتراک بگذارید.</v>
      </c>
      <c r="H3120" s="1"/>
      <c r="I3120" s="1"/>
      <c r="J3120" s="1"/>
      <c r="K3120" s="1"/>
      <c r="L3120" s="1"/>
      <c r="M3120" s="1"/>
      <c r="N3120" s="1"/>
      <c r="O3120" s="1"/>
      <c r="P3120" s="1"/>
      <c r="Q3120" s="1"/>
      <c r="R3120" s="1"/>
      <c r="S3120" s="1"/>
      <c r="T3120" s="1"/>
      <c r="U3120" s="1"/>
      <c r="V3120" s="1"/>
      <c r="W3120" s="1"/>
      <c r="X3120" s="1"/>
      <c r="Y3120" s="1"/>
      <c r="Z3120" s="1"/>
      <c r="AA3120" s="1"/>
      <c r="AB3120" s="1"/>
    </row>
    <row r="3121" ht="50.25" customHeight="1">
      <c r="A3121" s="12">
        <v>3117.0</v>
      </c>
      <c r="B3121" s="13" t="s">
        <v>3126</v>
      </c>
      <c r="C3121" s="14" t="s">
        <v>3137</v>
      </c>
      <c r="D3121" s="1"/>
      <c r="E3121" s="1"/>
      <c r="F3121" s="1" t="str">
        <f>IFERROR(__xludf.DUMMYFUNCTION("GOOGLETRANSLATE(B3121, ""en"", ""fa"")
"),"آشپزی")</f>
        <v>آشپزی</v>
      </c>
      <c r="G3121" s="1" t="str">
        <f>IFERROR(__xludf.DUMMYFUNCTION("GOOGLETRANSLATE(C3121, ""en"", ""fa"")
"),"هنر پخت و پز و علم پشت دستیابی به نتایج عالی را کاوش کنید.")</f>
        <v>هنر پخت و پز و علم پشت دستیابی به نتایج عالی را کاوش کنید.</v>
      </c>
      <c r="H3121" s="1"/>
      <c r="I3121" s="1"/>
      <c r="J3121" s="1"/>
      <c r="K3121" s="1"/>
      <c r="L3121" s="1"/>
      <c r="M3121" s="1"/>
      <c r="N3121" s="1"/>
      <c r="O3121" s="1"/>
      <c r="P3121" s="1"/>
      <c r="Q3121" s="1"/>
      <c r="R3121" s="1"/>
      <c r="S3121" s="1"/>
      <c r="T3121" s="1"/>
      <c r="U3121" s="1"/>
      <c r="V3121" s="1"/>
      <c r="W3121" s="1"/>
      <c r="X3121" s="1"/>
      <c r="Y3121" s="1"/>
      <c r="Z3121" s="1"/>
      <c r="AA3121" s="1"/>
      <c r="AB3121" s="1"/>
    </row>
    <row r="3122" ht="50.25" customHeight="1">
      <c r="A3122" s="12">
        <v>3118.0</v>
      </c>
      <c r="B3122" s="13" t="s">
        <v>3126</v>
      </c>
      <c r="C3122" s="14" t="s">
        <v>3138</v>
      </c>
      <c r="D3122" s="1"/>
      <c r="E3122" s="1"/>
      <c r="F3122" s="1" t="str">
        <f>IFERROR(__xludf.DUMMYFUNCTION("GOOGLETRANSLATE(B3122, ""en"", ""fa"")
"),"آشپزی")</f>
        <v>آشپزی</v>
      </c>
      <c r="G3122" s="1" t="str">
        <f>IFERROR(__xludf.DUMMYFUNCTION("GOOGLETRANSLATE(C3122, ""en"", ""fa"")
"),"در مورد مزایای گنجاندن غذاهای بین المللی در کارنامه آشپزی خود بحث کنید.")</f>
        <v>در مورد مزایای گنجاندن غذاهای بین المللی در کارنامه آشپزی خود بحث کنید.</v>
      </c>
      <c r="H3122" s="1"/>
      <c r="I3122" s="1"/>
      <c r="J3122" s="1"/>
      <c r="K3122" s="1"/>
      <c r="L3122" s="1"/>
      <c r="M3122" s="1"/>
      <c r="N3122" s="1"/>
      <c r="O3122" s="1"/>
      <c r="P3122" s="1"/>
      <c r="Q3122" s="1"/>
      <c r="R3122" s="1"/>
      <c r="S3122" s="1"/>
      <c r="T3122" s="1"/>
      <c r="U3122" s="1"/>
      <c r="V3122" s="1"/>
      <c r="W3122" s="1"/>
      <c r="X3122" s="1"/>
      <c r="Y3122" s="1"/>
      <c r="Z3122" s="1"/>
      <c r="AA3122" s="1"/>
      <c r="AB3122" s="1"/>
    </row>
    <row r="3123" ht="50.25" customHeight="1">
      <c r="A3123" s="12">
        <v>3119.0</v>
      </c>
      <c r="B3123" s="13" t="s">
        <v>3126</v>
      </c>
      <c r="C3123" s="14" t="s">
        <v>3139</v>
      </c>
      <c r="D3123" s="1"/>
      <c r="E3123" s="1"/>
      <c r="F3123" s="1" t="str">
        <f>IFERROR(__xludf.DUMMYFUNCTION("GOOGLETRANSLATE(B3123, ""en"", ""fa"")
"),"آشپزی")</f>
        <v>آشپزی</v>
      </c>
      <c r="G3123" s="1" t="str">
        <f>IFERROR(__xludf.DUMMYFUNCTION("GOOGLETRANSLATE(C3123, ""en"", ""fa"")
"),"ابزارها و وسایل آشپزخانه مورد علاقه خود را به اشتراک بگذارید که آشپزی را آسان تر و لذت بخش تر می کند.")</f>
        <v>ابزارها و وسایل آشپزخانه مورد علاقه خود را به اشتراک بگذارید که آشپزی را آسان تر و لذت بخش تر می کند.</v>
      </c>
      <c r="H3123" s="1"/>
      <c r="I3123" s="1"/>
      <c r="J3123" s="1"/>
      <c r="K3123" s="1"/>
      <c r="L3123" s="1"/>
      <c r="M3123" s="1"/>
      <c r="N3123" s="1"/>
      <c r="O3123" s="1"/>
      <c r="P3123" s="1"/>
      <c r="Q3123" s="1"/>
      <c r="R3123" s="1"/>
      <c r="S3123" s="1"/>
      <c r="T3123" s="1"/>
      <c r="U3123" s="1"/>
      <c r="V3123" s="1"/>
      <c r="W3123" s="1"/>
      <c r="X3123" s="1"/>
      <c r="Y3123" s="1"/>
      <c r="Z3123" s="1"/>
      <c r="AA3123" s="1"/>
      <c r="AB3123" s="1"/>
    </row>
    <row r="3124" ht="50.25" customHeight="1">
      <c r="A3124" s="12">
        <v>3120.0</v>
      </c>
      <c r="B3124" s="13" t="s">
        <v>3126</v>
      </c>
      <c r="C3124" s="14" t="s">
        <v>3140</v>
      </c>
      <c r="D3124" s="1"/>
      <c r="E3124" s="1"/>
      <c r="F3124" s="1" t="str">
        <f>IFERROR(__xludf.DUMMYFUNCTION("GOOGLETRANSLATE(B3124, ""en"", ""fa"")
"),"آشپزی")</f>
        <v>آشپزی</v>
      </c>
      <c r="G3124" s="1" t="str">
        <f>IFERROR(__xludf.DUMMYFUNCTION("GOOGLETRANSLATE(C3124, ""en"", ""fa"")
"),"فواید آشپزی با گیاهان تازه و کاربردهای آشپزی آنها را بررسی کنید.")</f>
        <v>فواید آشپزی با گیاهان تازه و کاربردهای آشپزی آنها را بررسی کنید.</v>
      </c>
      <c r="H3124" s="1"/>
      <c r="I3124" s="1"/>
      <c r="J3124" s="1"/>
      <c r="K3124" s="1"/>
      <c r="L3124" s="1"/>
      <c r="M3124" s="1"/>
      <c r="N3124" s="1"/>
      <c r="O3124" s="1"/>
      <c r="P3124" s="1"/>
      <c r="Q3124" s="1"/>
      <c r="R3124" s="1"/>
      <c r="S3124" s="1"/>
      <c r="T3124" s="1"/>
      <c r="U3124" s="1"/>
      <c r="V3124" s="1"/>
      <c r="W3124" s="1"/>
      <c r="X3124" s="1"/>
      <c r="Y3124" s="1"/>
      <c r="Z3124" s="1"/>
      <c r="AA3124" s="1"/>
      <c r="AB3124" s="1"/>
    </row>
    <row r="3125" ht="50.25" customHeight="1">
      <c r="A3125" s="12">
        <v>3121.0</v>
      </c>
      <c r="B3125" s="13" t="s">
        <v>3126</v>
      </c>
      <c r="C3125" s="14" t="s">
        <v>3141</v>
      </c>
      <c r="D3125" s="1"/>
      <c r="E3125" s="1"/>
      <c r="F3125" s="1" t="str">
        <f>IFERROR(__xludf.DUMMYFUNCTION("GOOGLETRANSLATE(B3125, ""en"", ""fa"")
"),"آشپزی")</f>
        <v>آشپزی</v>
      </c>
      <c r="G3125" s="1" t="str">
        <f>IFERROR(__xludf.DUMMYFUNCTION("GOOGLETRANSLATE(C3125, ""en"", ""fa"")
"),"در مورد فواید سلامتی گنجاندن غذاهای تخمیر شده در رژیم غذایی خود بحث کنید.")</f>
        <v>در مورد فواید سلامتی گنجاندن غذاهای تخمیر شده در رژیم غذایی خود بحث کنید.</v>
      </c>
      <c r="H3125" s="1"/>
      <c r="I3125" s="1"/>
      <c r="J3125" s="1"/>
      <c r="K3125" s="1"/>
      <c r="L3125" s="1"/>
      <c r="M3125" s="1"/>
      <c r="N3125" s="1"/>
      <c r="O3125" s="1"/>
      <c r="P3125" s="1"/>
      <c r="Q3125" s="1"/>
      <c r="R3125" s="1"/>
      <c r="S3125" s="1"/>
      <c r="T3125" s="1"/>
      <c r="U3125" s="1"/>
      <c r="V3125" s="1"/>
      <c r="W3125" s="1"/>
      <c r="X3125" s="1"/>
      <c r="Y3125" s="1"/>
      <c r="Z3125" s="1"/>
      <c r="AA3125" s="1"/>
      <c r="AB3125" s="1"/>
    </row>
    <row r="3126" ht="50.25" customHeight="1">
      <c r="A3126" s="12">
        <v>3122.0</v>
      </c>
      <c r="B3126" s="13" t="s">
        <v>3126</v>
      </c>
      <c r="C3126" s="14" t="s">
        <v>3142</v>
      </c>
      <c r="D3126" s="1"/>
      <c r="E3126" s="1"/>
      <c r="F3126" s="1" t="str">
        <f>IFERROR(__xludf.DUMMYFUNCTION("GOOGLETRANSLATE(B3126, ""en"", ""fa"")
"),"آشپزی")</f>
        <v>آشپزی</v>
      </c>
      <c r="G3126" s="1" t="str">
        <f>IFERROR(__xludf.DUMMYFUNCTION("GOOGLETRANSLATE(C3126, ""en"", ""fa"")
"),"نکات خود را برای ایجاد غذاهای خوشمزه و مغذی برای افراد حساس به اشتراک بگذارید.")</f>
        <v>نکات خود را برای ایجاد غذاهای خوشمزه و مغذی برای افراد حساس به اشتراک بگذارید.</v>
      </c>
      <c r="H3126" s="1"/>
      <c r="I3126" s="1"/>
      <c r="J3126" s="1"/>
      <c r="K3126" s="1"/>
      <c r="L3126" s="1"/>
      <c r="M3126" s="1"/>
      <c r="N3126" s="1"/>
      <c r="O3126" s="1"/>
      <c r="P3126" s="1"/>
      <c r="Q3126" s="1"/>
      <c r="R3126" s="1"/>
      <c r="S3126" s="1"/>
      <c r="T3126" s="1"/>
      <c r="U3126" s="1"/>
      <c r="V3126" s="1"/>
      <c r="W3126" s="1"/>
      <c r="X3126" s="1"/>
      <c r="Y3126" s="1"/>
      <c r="Z3126" s="1"/>
      <c r="AA3126" s="1"/>
      <c r="AB3126" s="1"/>
    </row>
    <row r="3127" ht="50.25" customHeight="1">
      <c r="A3127" s="12">
        <v>3123.0</v>
      </c>
      <c r="B3127" s="13" t="s">
        <v>3126</v>
      </c>
      <c r="C3127" s="14" t="s">
        <v>3143</v>
      </c>
      <c r="D3127" s="1"/>
      <c r="E3127" s="1"/>
      <c r="F3127" s="1" t="str">
        <f>IFERROR(__xludf.DUMMYFUNCTION("GOOGLETRANSLATE(B3127, ""en"", ""fa"")
"),"آشپزی")</f>
        <v>آشپزی</v>
      </c>
      <c r="G3127" s="1" t="str">
        <f>IFERROR(__xludf.DUMMYFUNCTION("GOOGLETRANSLATE(C3127, ""en"", ""fa"")
"),"هنر طراحی غذا و عکاسی را برای ثبت تصاویر دلپذیر کاوش کنید.")</f>
        <v>هنر طراحی غذا و عکاسی را برای ثبت تصاویر دلپذیر کاوش کنید.</v>
      </c>
      <c r="H3127" s="1"/>
      <c r="I3127" s="1"/>
      <c r="J3127" s="1"/>
      <c r="K3127" s="1"/>
      <c r="L3127" s="1"/>
      <c r="M3127" s="1"/>
      <c r="N3127" s="1"/>
      <c r="O3127" s="1"/>
      <c r="P3127" s="1"/>
      <c r="Q3127" s="1"/>
      <c r="R3127" s="1"/>
      <c r="S3127" s="1"/>
      <c r="T3127" s="1"/>
      <c r="U3127" s="1"/>
      <c r="V3127" s="1"/>
      <c r="W3127" s="1"/>
      <c r="X3127" s="1"/>
      <c r="Y3127" s="1"/>
      <c r="Z3127" s="1"/>
      <c r="AA3127" s="1"/>
      <c r="AB3127" s="1"/>
    </row>
    <row r="3128" ht="50.25" customHeight="1">
      <c r="A3128" s="12">
        <v>3124.0</v>
      </c>
      <c r="B3128" s="13" t="s">
        <v>3126</v>
      </c>
      <c r="C3128" s="14" t="s">
        <v>3144</v>
      </c>
      <c r="D3128" s="1"/>
      <c r="E3128" s="1"/>
      <c r="F3128" s="1" t="str">
        <f>IFERROR(__xludf.DUMMYFUNCTION("GOOGLETRANSLATE(B3128, ""en"", ""fa"")
"),"آشپزی")</f>
        <v>آشپزی</v>
      </c>
      <c r="G3128" s="1" t="str">
        <f>IFERROR(__xludf.DUMMYFUNCTION("GOOGLETRANSLATE(C3128, ""en"", ""fa"")
"),"در مورد مزایای باغبانی خانگی و پرورش گیاهان و سبزیجات خود صحبت کنید.")</f>
        <v>در مورد مزایای باغبانی خانگی و پرورش گیاهان و سبزیجات خود صحبت کنید.</v>
      </c>
      <c r="H3128" s="1"/>
      <c r="I3128" s="1"/>
      <c r="J3128" s="1"/>
      <c r="K3128" s="1"/>
      <c r="L3128" s="1"/>
      <c r="M3128" s="1"/>
      <c r="N3128" s="1"/>
      <c r="O3128" s="1"/>
      <c r="P3128" s="1"/>
      <c r="Q3128" s="1"/>
      <c r="R3128" s="1"/>
      <c r="S3128" s="1"/>
      <c r="T3128" s="1"/>
      <c r="U3128" s="1"/>
      <c r="V3128" s="1"/>
      <c r="W3128" s="1"/>
      <c r="X3128" s="1"/>
      <c r="Y3128" s="1"/>
      <c r="Z3128" s="1"/>
      <c r="AA3128" s="1"/>
      <c r="AB3128" s="1"/>
    </row>
    <row r="3129" ht="50.25" customHeight="1">
      <c r="A3129" s="12">
        <v>3125.0</v>
      </c>
      <c r="B3129" s="13" t="s">
        <v>3126</v>
      </c>
      <c r="C3129" s="14" t="s">
        <v>3145</v>
      </c>
      <c r="D3129" s="1"/>
      <c r="E3129" s="1"/>
      <c r="F3129" s="1" t="str">
        <f>IFERROR(__xludf.DUMMYFUNCTION("GOOGLETRANSLATE(B3129, ""en"", ""fa"")
"),"آشپزی")</f>
        <v>آشپزی</v>
      </c>
      <c r="G3129" s="1" t="str">
        <f>IFERROR(__xludf.DUMMYFUNCTION("GOOGLETRANSLATE(C3129, ""en"", ""fa"")
"),"دستور العمل های مورد علاقه خود را برای شام های سریع و آسان شب هفته به اشتراک بگذارید.")</f>
        <v>دستور العمل های مورد علاقه خود را برای شام های سریع و آسان شب هفته به اشتراک بگذارید.</v>
      </c>
      <c r="H3129" s="1"/>
      <c r="I3129" s="1"/>
      <c r="J3129" s="1"/>
      <c r="K3129" s="1"/>
      <c r="L3129" s="1"/>
      <c r="M3129" s="1"/>
      <c r="N3129" s="1"/>
      <c r="O3129" s="1"/>
      <c r="P3129" s="1"/>
      <c r="Q3129" s="1"/>
      <c r="R3129" s="1"/>
      <c r="S3129" s="1"/>
      <c r="T3129" s="1"/>
      <c r="U3129" s="1"/>
      <c r="V3129" s="1"/>
      <c r="W3129" s="1"/>
      <c r="X3129" s="1"/>
      <c r="Y3129" s="1"/>
      <c r="Z3129" s="1"/>
      <c r="AA3129" s="1"/>
      <c r="AB3129" s="1"/>
    </row>
    <row r="3130" ht="50.25" customHeight="1">
      <c r="A3130" s="12">
        <v>3126.0</v>
      </c>
      <c r="B3130" s="13" t="s">
        <v>3126</v>
      </c>
      <c r="C3130" s="14" t="s">
        <v>3146</v>
      </c>
      <c r="D3130" s="1"/>
      <c r="E3130" s="1"/>
      <c r="F3130" s="1" t="str">
        <f>IFERROR(__xludf.DUMMYFUNCTION("GOOGLETRANSLATE(B3130, ""en"", ""fa"")
"),"آشپزی")</f>
        <v>آشپزی</v>
      </c>
      <c r="G3130" s="1" t="str">
        <f>IFERROR(__xludf.DUMMYFUNCTION("GOOGLETRANSLATE(C3130, ""en"", ""fa"")
"),"تکنیک ها و نکاتی را برای تسلط بر غذای کامل استیک یا غذاهای دریایی کاوش کنید.")</f>
        <v>تکنیک ها و نکاتی را برای تسلط بر غذای کامل استیک یا غذاهای دریایی کاوش کنید.</v>
      </c>
      <c r="H3130" s="1"/>
      <c r="I3130" s="1"/>
      <c r="J3130" s="1"/>
      <c r="K3130" s="1"/>
      <c r="L3130" s="1"/>
      <c r="M3130" s="1"/>
      <c r="N3130" s="1"/>
      <c r="O3130" s="1"/>
      <c r="P3130" s="1"/>
      <c r="Q3130" s="1"/>
      <c r="R3130" s="1"/>
      <c r="S3130" s="1"/>
      <c r="T3130" s="1"/>
      <c r="U3130" s="1"/>
      <c r="V3130" s="1"/>
      <c r="W3130" s="1"/>
      <c r="X3130" s="1"/>
      <c r="Y3130" s="1"/>
      <c r="Z3130" s="1"/>
      <c r="AA3130" s="1"/>
      <c r="AB3130" s="1"/>
    </row>
    <row r="3131" ht="50.25" customHeight="1">
      <c r="A3131" s="12">
        <v>3127.0</v>
      </c>
      <c r="B3131" s="13" t="s">
        <v>3126</v>
      </c>
      <c r="C3131" s="14" t="s">
        <v>3147</v>
      </c>
      <c r="D3131" s="1"/>
      <c r="E3131" s="1"/>
      <c r="F3131" s="1" t="str">
        <f>IFERROR(__xludf.DUMMYFUNCTION("GOOGLETRANSLATE(B3131, ""en"", ""fa"")
"),"آشپزی")</f>
        <v>آشپزی</v>
      </c>
      <c r="G3131" s="1" t="str">
        <f>IFERROR(__xludf.DUMMYFUNCTION("GOOGLETRANSLATE(C3131, ""en"", ""fa"")
"),"در مورد سنت ها و آیین های فرهنگی مرتبط با تهیه غذا و صرف غذا بحث کنید.")</f>
        <v>در مورد سنت ها و آیین های فرهنگی مرتبط با تهیه غذا و صرف غذا بحث کنید.</v>
      </c>
      <c r="H3131" s="1"/>
      <c r="I3131" s="1"/>
      <c r="J3131" s="1"/>
      <c r="K3131" s="1"/>
      <c r="L3131" s="1"/>
      <c r="M3131" s="1"/>
      <c r="N3131" s="1"/>
      <c r="O3131" s="1"/>
      <c r="P3131" s="1"/>
      <c r="Q3131" s="1"/>
      <c r="R3131" s="1"/>
      <c r="S3131" s="1"/>
      <c r="T3131" s="1"/>
      <c r="U3131" s="1"/>
      <c r="V3131" s="1"/>
      <c r="W3131" s="1"/>
      <c r="X3131" s="1"/>
      <c r="Y3131" s="1"/>
      <c r="Z3131" s="1"/>
      <c r="AA3131" s="1"/>
      <c r="AB3131" s="1"/>
    </row>
    <row r="3132" ht="50.25" customHeight="1">
      <c r="A3132" s="12">
        <v>3128.0</v>
      </c>
      <c r="B3132" s="13" t="s">
        <v>3126</v>
      </c>
      <c r="C3132" s="14" t="s">
        <v>3148</v>
      </c>
      <c r="D3132" s="1"/>
      <c r="E3132" s="1"/>
      <c r="F3132" s="1" t="str">
        <f>IFERROR(__xludf.DUMMYFUNCTION("GOOGLETRANSLATE(B3132, ""en"", ""fa"")
"),"آشپزی")</f>
        <v>آشپزی</v>
      </c>
      <c r="G3132" s="1" t="str">
        <f>IFERROR(__xludf.DUMMYFUNCTION("GOOGLETRANSLATE(C3132, ""en"", ""fa"")
"),"نکات خود را برای میزبانی یک مهمانی شام یا گردهمایی موفق به اشتراک بگذارید.")</f>
        <v>نکات خود را برای میزبانی یک مهمانی شام یا گردهمایی موفق به اشتراک بگذارید.</v>
      </c>
      <c r="H3132" s="1"/>
      <c r="I3132" s="1"/>
      <c r="J3132" s="1"/>
      <c r="K3132" s="1"/>
      <c r="L3132" s="1"/>
      <c r="M3132" s="1"/>
      <c r="N3132" s="1"/>
      <c r="O3132" s="1"/>
      <c r="P3132" s="1"/>
      <c r="Q3132" s="1"/>
      <c r="R3132" s="1"/>
      <c r="S3132" s="1"/>
      <c r="T3132" s="1"/>
      <c r="U3132" s="1"/>
      <c r="V3132" s="1"/>
      <c r="W3132" s="1"/>
      <c r="X3132" s="1"/>
      <c r="Y3132" s="1"/>
      <c r="Z3132" s="1"/>
      <c r="AA3132" s="1"/>
      <c r="AB3132" s="1"/>
    </row>
    <row r="3133" ht="50.25" customHeight="1">
      <c r="A3133" s="12">
        <v>3129.0</v>
      </c>
      <c r="B3133" s="13" t="s">
        <v>3126</v>
      </c>
      <c r="C3133" s="14" t="s">
        <v>3149</v>
      </c>
      <c r="D3133" s="1"/>
      <c r="E3133" s="1"/>
      <c r="F3133" s="1" t="str">
        <f>IFERROR(__xludf.DUMMYFUNCTION("GOOGLETRANSLATE(B3133, ""en"", ""fa"")
"),"آشپزی")</f>
        <v>آشپزی</v>
      </c>
      <c r="G3133" s="1" t="str">
        <f>IFERROR(__xludf.DUMMYFUNCTION("GOOGLETRANSLATE(C3133, ""en"", ""fa"")
"),"دنیای جفت غذاها را با شراب، آبجو یا سایر نوشیدنی ها کاوش کنید.")</f>
        <v>دنیای جفت غذاها را با شراب، آبجو یا سایر نوشیدنی ها کاوش کنید.</v>
      </c>
      <c r="H3133" s="1"/>
      <c r="I3133" s="1"/>
      <c r="J3133" s="1"/>
      <c r="K3133" s="1"/>
      <c r="L3133" s="1"/>
      <c r="M3133" s="1"/>
      <c r="N3133" s="1"/>
      <c r="O3133" s="1"/>
      <c r="P3133" s="1"/>
      <c r="Q3133" s="1"/>
      <c r="R3133" s="1"/>
      <c r="S3133" s="1"/>
      <c r="T3133" s="1"/>
      <c r="U3133" s="1"/>
      <c r="V3133" s="1"/>
      <c r="W3133" s="1"/>
      <c r="X3133" s="1"/>
      <c r="Y3133" s="1"/>
      <c r="Z3133" s="1"/>
      <c r="AA3133" s="1"/>
      <c r="AB3133" s="1"/>
    </row>
    <row r="3134" ht="50.25" customHeight="1">
      <c r="A3134" s="12">
        <v>3130.0</v>
      </c>
      <c r="B3134" s="13" t="s">
        <v>3126</v>
      </c>
      <c r="C3134" s="14" t="s">
        <v>3150</v>
      </c>
      <c r="D3134" s="1"/>
      <c r="E3134" s="1"/>
      <c r="F3134" s="1" t="str">
        <f>IFERROR(__xludf.DUMMYFUNCTION("GOOGLETRANSLATE(B3134, ""en"", ""fa"")
"),"آشپزی")</f>
        <v>آشپزی</v>
      </c>
      <c r="G3134" s="1" t="str">
        <f>IFERROR(__xludf.DUMMYFUNCTION("GOOGLETRANSLATE(C3134, ""en"", ""fa"")
"),"در مورد مزایای سلامتی استفاده از غلات کامل در آشپزی خود صحبت کنید.")</f>
        <v>در مورد مزایای سلامتی استفاده از غلات کامل در آشپزی خود صحبت کنید.</v>
      </c>
      <c r="H3134" s="1"/>
      <c r="I3134" s="1"/>
      <c r="J3134" s="1"/>
      <c r="K3134" s="1"/>
      <c r="L3134" s="1"/>
      <c r="M3134" s="1"/>
      <c r="N3134" s="1"/>
      <c r="O3134" s="1"/>
      <c r="P3134" s="1"/>
      <c r="Q3134" s="1"/>
      <c r="R3134" s="1"/>
      <c r="S3134" s="1"/>
      <c r="T3134" s="1"/>
      <c r="U3134" s="1"/>
      <c r="V3134" s="1"/>
      <c r="W3134" s="1"/>
      <c r="X3134" s="1"/>
      <c r="Y3134" s="1"/>
      <c r="Z3134" s="1"/>
      <c r="AA3134" s="1"/>
      <c r="AB3134" s="1"/>
    </row>
    <row r="3135" ht="50.25" customHeight="1">
      <c r="A3135" s="12">
        <v>3131.0</v>
      </c>
      <c r="B3135" s="13" t="s">
        <v>3126</v>
      </c>
      <c r="C3135" s="14" t="s">
        <v>3151</v>
      </c>
      <c r="D3135" s="1"/>
      <c r="E3135" s="1"/>
      <c r="F3135" s="1" t="str">
        <f>IFERROR(__xludf.DUMMYFUNCTION("GOOGLETRANSLATE(B3135, ""en"", ""fa"")
"),"آشپزی")</f>
        <v>آشپزی</v>
      </c>
      <c r="G3135" s="1" t="str">
        <f>IFERROR(__xludf.DUMMYFUNCTION("GOOGLETRANSLATE(C3135, ""en"", ""fa"")
"),"نکات خود را برای ایجاد وعده های غذایی خوشمزه و مغذی برای افراد دارای محدودیت های غذایی یا آلرژی به اشتراک بگذارید.")</f>
        <v>نکات خود را برای ایجاد وعده های غذایی خوشمزه و مغذی برای افراد دارای محدودیت های غذایی یا آلرژی به اشتراک بگذارید.</v>
      </c>
      <c r="H3135" s="1"/>
      <c r="I3135" s="1"/>
      <c r="J3135" s="1"/>
      <c r="K3135" s="1"/>
      <c r="L3135" s="1"/>
      <c r="M3135" s="1"/>
      <c r="N3135" s="1"/>
      <c r="O3135" s="1"/>
      <c r="P3135" s="1"/>
      <c r="Q3135" s="1"/>
      <c r="R3135" s="1"/>
      <c r="S3135" s="1"/>
      <c r="T3135" s="1"/>
      <c r="U3135" s="1"/>
      <c r="V3135" s="1"/>
      <c r="W3135" s="1"/>
      <c r="X3135" s="1"/>
      <c r="Y3135" s="1"/>
      <c r="Z3135" s="1"/>
      <c r="AA3135" s="1"/>
      <c r="AB3135" s="1"/>
    </row>
    <row r="3136" ht="50.25" customHeight="1">
      <c r="A3136" s="12">
        <v>3132.0</v>
      </c>
      <c r="B3136" s="13" t="s">
        <v>3126</v>
      </c>
      <c r="C3136" s="14" t="s">
        <v>3152</v>
      </c>
      <c r="D3136" s="1"/>
      <c r="E3136" s="1"/>
      <c r="F3136" s="1" t="str">
        <f>IFERROR(__xludf.DUMMYFUNCTION("GOOGLETRANSLATE(B3136, ""en"", ""fa"")
"),"آشپزی")</f>
        <v>آشپزی</v>
      </c>
      <c r="G3136" s="1" t="str">
        <f>IFERROR(__xludf.DUMMYFUNCTION("GOOGLETRANSLATE(C3136, ""en"", ""fa"")
"),"تکنیک ها و اسرار دستیابی به دسرهای با کیفیت رستوران را در خانه کاوش کنید.")</f>
        <v>تکنیک ها و اسرار دستیابی به دسرهای با کیفیت رستوران را در خانه کاوش کنید.</v>
      </c>
      <c r="H3136" s="1"/>
      <c r="I3136" s="1"/>
      <c r="J3136" s="1"/>
      <c r="K3136" s="1"/>
      <c r="L3136" s="1"/>
      <c r="M3136" s="1"/>
      <c r="N3136" s="1"/>
      <c r="O3136" s="1"/>
      <c r="P3136" s="1"/>
      <c r="Q3136" s="1"/>
      <c r="R3136" s="1"/>
      <c r="S3136" s="1"/>
      <c r="T3136" s="1"/>
      <c r="U3136" s="1"/>
      <c r="V3136" s="1"/>
      <c r="W3136" s="1"/>
      <c r="X3136" s="1"/>
      <c r="Y3136" s="1"/>
      <c r="Z3136" s="1"/>
      <c r="AA3136" s="1"/>
      <c r="AB3136" s="1"/>
    </row>
    <row r="3137" ht="50.25" customHeight="1">
      <c r="A3137" s="12">
        <v>3133.0</v>
      </c>
      <c r="B3137" s="13" t="s">
        <v>3126</v>
      </c>
      <c r="C3137" s="14" t="s">
        <v>3153</v>
      </c>
      <c r="D3137" s="1"/>
      <c r="E3137" s="1"/>
      <c r="F3137" s="1" t="str">
        <f>IFERROR(__xludf.DUMMYFUNCTION("GOOGLETRANSLATE(B3137, ""en"", ""fa"")
"),"آشپزی")</f>
        <v>آشپزی</v>
      </c>
      <c r="G3137" s="1" t="str">
        <f>IFERROR(__xludf.DUMMYFUNCTION("GOOGLETRANSLATE(C3137, ""en"", ""fa"")
"),"در مورد مزایای پخت و پز با مواد اولیه پایدار و اخلاقی بحث کنید.")</f>
        <v>در مورد مزایای پخت و پز با مواد اولیه پایدار و اخلاقی بحث کنید.</v>
      </c>
      <c r="H3137" s="1"/>
      <c r="I3137" s="1"/>
      <c r="J3137" s="1"/>
      <c r="K3137" s="1"/>
      <c r="L3137" s="1"/>
      <c r="M3137" s="1"/>
      <c r="N3137" s="1"/>
      <c r="O3137" s="1"/>
      <c r="P3137" s="1"/>
      <c r="Q3137" s="1"/>
      <c r="R3137" s="1"/>
      <c r="S3137" s="1"/>
      <c r="T3137" s="1"/>
      <c r="U3137" s="1"/>
      <c r="V3137" s="1"/>
      <c r="W3137" s="1"/>
      <c r="X3137" s="1"/>
      <c r="Y3137" s="1"/>
      <c r="Z3137" s="1"/>
      <c r="AA3137" s="1"/>
      <c r="AB3137" s="1"/>
    </row>
    <row r="3138" ht="50.25" customHeight="1">
      <c r="A3138" s="12">
        <v>3134.0</v>
      </c>
      <c r="B3138" s="13" t="s">
        <v>3126</v>
      </c>
      <c r="C3138" s="14" t="s">
        <v>3154</v>
      </c>
      <c r="D3138" s="1"/>
      <c r="E3138" s="1"/>
      <c r="F3138" s="1" t="str">
        <f>IFERROR(__xludf.DUMMYFUNCTION("GOOGLETRANSLATE(B3138, ""en"", ""fa"")
"),"آشپزی")</f>
        <v>آشپزی</v>
      </c>
      <c r="G3138" s="1" t="str">
        <f>IFERROR(__xludf.DUMMYFUNCTION("GOOGLETRANSLATE(C3138, ""en"", ""fa"")
"),"دستور العمل های مورد علاقه خود را برای غذاهای راحتی خانگی و غذاهای نوستالژیک به اشتراک بگذارید.")</f>
        <v>دستور العمل های مورد علاقه خود را برای غذاهای راحتی خانگی و غذاهای نوستالژیک به اشتراک بگذارید.</v>
      </c>
      <c r="H3138" s="1"/>
      <c r="I3138" s="1"/>
      <c r="J3138" s="1"/>
      <c r="K3138" s="1"/>
      <c r="L3138" s="1"/>
      <c r="M3138" s="1"/>
      <c r="N3138" s="1"/>
      <c r="O3138" s="1"/>
      <c r="P3138" s="1"/>
      <c r="Q3138" s="1"/>
      <c r="R3138" s="1"/>
      <c r="S3138" s="1"/>
      <c r="T3138" s="1"/>
      <c r="U3138" s="1"/>
      <c r="V3138" s="1"/>
      <c r="W3138" s="1"/>
      <c r="X3138" s="1"/>
      <c r="Y3138" s="1"/>
      <c r="Z3138" s="1"/>
      <c r="AA3138" s="1"/>
      <c r="AB3138" s="1"/>
    </row>
    <row r="3139" ht="50.25" customHeight="1">
      <c r="A3139" s="12">
        <v>3135.0</v>
      </c>
      <c r="B3139" s="13" t="s">
        <v>3126</v>
      </c>
      <c r="C3139" s="14" t="s">
        <v>3155</v>
      </c>
      <c r="D3139" s="1"/>
      <c r="E3139" s="1"/>
      <c r="F3139" s="1" t="str">
        <f>IFERROR(__xludf.DUMMYFUNCTION("GOOGLETRANSLATE(B3139, ""en"", ""fa"")
"),"آشپزی")</f>
        <v>آشپزی</v>
      </c>
      <c r="G3139" s="1" t="str">
        <f>IFERROR(__xludf.DUMMYFUNCTION("GOOGLETRANSLATE(C3139, ""en"", ""fa"")
"),"هنر مهارت های چاقو و کار با چاقو را در آشپزخانه کاوش کنید.")</f>
        <v>هنر مهارت های چاقو و کار با چاقو را در آشپزخانه کاوش کنید.</v>
      </c>
      <c r="H3139" s="1"/>
      <c r="I3139" s="1"/>
      <c r="J3139" s="1"/>
      <c r="K3139" s="1"/>
      <c r="L3139" s="1"/>
      <c r="M3139" s="1"/>
      <c r="N3139" s="1"/>
      <c r="O3139" s="1"/>
      <c r="P3139" s="1"/>
      <c r="Q3139" s="1"/>
      <c r="R3139" s="1"/>
      <c r="S3139" s="1"/>
      <c r="T3139" s="1"/>
      <c r="U3139" s="1"/>
      <c r="V3139" s="1"/>
      <c r="W3139" s="1"/>
      <c r="X3139" s="1"/>
      <c r="Y3139" s="1"/>
      <c r="Z3139" s="1"/>
      <c r="AA3139" s="1"/>
      <c r="AB3139" s="1"/>
    </row>
    <row r="3140" ht="50.25" customHeight="1">
      <c r="A3140" s="12">
        <v>3136.0</v>
      </c>
      <c r="B3140" s="13" t="s">
        <v>3126</v>
      </c>
      <c r="C3140" s="14" t="s">
        <v>3156</v>
      </c>
      <c r="D3140" s="1"/>
      <c r="E3140" s="1"/>
      <c r="F3140" s="1" t="str">
        <f>IFERROR(__xludf.DUMMYFUNCTION("GOOGLETRANSLATE(B3140, ""en"", ""fa"")
"),"آشپزی")</f>
        <v>آشپزی</v>
      </c>
      <c r="G3140" s="1" t="str">
        <f>IFERROR(__xludf.DUMMYFUNCTION("GOOGLETRANSLATE(C3140, ""en"", ""fa"")
"),"در مورد مزایای اشتراک غذا و رویدادهای آشپزی در جامعه بحث کنید.")</f>
        <v>در مورد مزایای اشتراک غذا و رویدادهای آشپزی در جامعه بحث کنید.</v>
      </c>
      <c r="H3140" s="1"/>
      <c r="I3140" s="1"/>
      <c r="J3140" s="1"/>
      <c r="K3140" s="1"/>
      <c r="L3140" s="1"/>
      <c r="M3140" s="1"/>
      <c r="N3140" s="1"/>
      <c r="O3140" s="1"/>
      <c r="P3140" s="1"/>
      <c r="Q3140" s="1"/>
      <c r="R3140" s="1"/>
      <c r="S3140" s="1"/>
      <c r="T3140" s="1"/>
      <c r="U3140" s="1"/>
      <c r="V3140" s="1"/>
      <c r="W3140" s="1"/>
      <c r="X3140" s="1"/>
      <c r="Y3140" s="1"/>
      <c r="Z3140" s="1"/>
      <c r="AA3140" s="1"/>
      <c r="AB3140" s="1"/>
    </row>
    <row r="3141" ht="50.25" customHeight="1">
      <c r="A3141" s="12">
        <v>3137.0</v>
      </c>
      <c r="B3141" s="13" t="s">
        <v>3126</v>
      </c>
      <c r="C3141" s="14" t="s">
        <v>3157</v>
      </c>
      <c r="D3141" s="1"/>
      <c r="E3141" s="1"/>
      <c r="F3141" s="1" t="str">
        <f>IFERROR(__xludf.DUMMYFUNCTION("GOOGLETRANSLATE(B3141, ""en"", ""fa"")
"),"آشپزی")</f>
        <v>آشپزی</v>
      </c>
      <c r="G3141" s="1" t="str">
        <f>IFERROR(__xludf.DUMMYFUNCTION("GOOGLETRANSLATE(C3141, ""en"", ""fa"")
"),"نکات خود را برای بداهه سازی و تطبیق دستور العمل ها بر اساس در دسترس بودن مواد تشکیل دهنده به اشتراک بگذارید.")</f>
        <v>نکات خود را برای بداهه سازی و تطبیق دستور العمل ها بر اساس در دسترس بودن مواد تشکیل دهنده به اشتراک بگذارید.</v>
      </c>
      <c r="H3141" s="1"/>
      <c r="I3141" s="1"/>
      <c r="J3141" s="1"/>
      <c r="K3141" s="1"/>
      <c r="L3141" s="1"/>
      <c r="M3141" s="1"/>
      <c r="N3141" s="1"/>
      <c r="O3141" s="1"/>
      <c r="P3141" s="1"/>
      <c r="Q3141" s="1"/>
      <c r="R3141" s="1"/>
      <c r="S3141" s="1"/>
      <c r="T3141" s="1"/>
      <c r="U3141" s="1"/>
      <c r="V3141" s="1"/>
      <c r="W3141" s="1"/>
      <c r="X3141" s="1"/>
      <c r="Y3141" s="1"/>
      <c r="Z3141" s="1"/>
      <c r="AA3141" s="1"/>
      <c r="AB3141" s="1"/>
    </row>
    <row r="3142" ht="50.25" customHeight="1">
      <c r="A3142" s="12">
        <v>3138.0</v>
      </c>
      <c r="B3142" s="13" t="s">
        <v>3126</v>
      </c>
      <c r="C3142" s="14" t="s">
        <v>3158</v>
      </c>
      <c r="D3142" s="1"/>
      <c r="E3142" s="1"/>
      <c r="F3142" s="1" t="str">
        <f>IFERROR(__xludf.DUMMYFUNCTION("GOOGLETRANSLATE(B3142, ""en"", ""fa"")
"),"آشپزی")</f>
        <v>آشپزی</v>
      </c>
      <c r="G3142" s="1" t="str">
        <f>IFERROR(__xludf.DUMMYFUNCTION("GOOGLETRANSLATE(C3142, ""en"", ""fa"")
"),"سنت ها و شیوه های آشپزی مناطق یا کشورهای خاص را کاوش کنید.")</f>
        <v>سنت ها و شیوه های آشپزی مناطق یا کشورهای خاص را کاوش کنید.</v>
      </c>
      <c r="H3142" s="1"/>
      <c r="I3142" s="1"/>
      <c r="J3142" s="1"/>
      <c r="K3142" s="1"/>
      <c r="L3142" s="1"/>
      <c r="M3142" s="1"/>
      <c r="N3142" s="1"/>
      <c r="O3142" s="1"/>
      <c r="P3142" s="1"/>
      <c r="Q3142" s="1"/>
      <c r="R3142" s="1"/>
      <c r="S3142" s="1"/>
      <c r="T3142" s="1"/>
      <c r="U3142" s="1"/>
      <c r="V3142" s="1"/>
      <c r="W3142" s="1"/>
      <c r="X3142" s="1"/>
      <c r="Y3142" s="1"/>
      <c r="Z3142" s="1"/>
      <c r="AA3142" s="1"/>
      <c r="AB3142" s="1"/>
    </row>
    <row r="3143" ht="50.25" customHeight="1">
      <c r="A3143" s="12">
        <v>3139.0</v>
      </c>
      <c r="B3143" s="13" t="s">
        <v>3126</v>
      </c>
      <c r="C3143" s="14" t="s">
        <v>3159</v>
      </c>
      <c r="D3143" s="1"/>
      <c r="E3143" s="1"/>
      <c r="F3143" s="1" t="str">
        <f>IFERROR(__xludf.DUMMYFUNCTION("GOOGLETRANSLATE(B3143, ""en"", ""fa"")
"),"آشپزی")</f>
        <v>آشپزی</v>
      </c>
      <c r="G3143" s="1" t="str">
        <f>IFERROR(__xludf.DUMMYFUNCTION("GOOGLETRANSLATE(C3143, ""en"", ""fa"")
"),"در مورد مزایای استفاده از پروتئین های گیاهی در آشپزی خود صحبت کنید.")</f>
        <v>در مورد مزایای استفاده از پروتئین های گیاهی در آشپزی خود صحبت کنید.</v>
      </c>
      <c r="H3143" s="1"/>
      <c r="I3143" s="1"/>
      <c r="J3143" s="1"/>
      <c r="K3143" s="1"/>
      <c r="L3143" s="1"/>
      <c r="M3143" s="1"/>
      <c r="N3143" s="1"/>
      <c r="O3143" s="1"/>
      <c r="P3143" s="1"/>
      <c r="Q3143" s="1"/>
      <c r="R3143" s="1"/>
      <c r="S3143" s="1"/>
      <c r="T3143" s="1"/>
      <c r="U3143" s="1"/>
      <c r="V3143" s="1"/>
      <c r="W3143" s="1"/>
      <c r="X3143" s="1"/>
      <c r="Y3143" s="1"/>
      <c r="Z3143" s="1"/>
      <c r="AA3143" s="1"/>
      <c r="AB3143" s="1"/>
    </row>
    <row r="3144" ht="50.25" customHeight="1">
      <c r="A3144" s="12">
        <v>3140.0</v>
      </c>
      <c r="B3144" s="13" t="s">
        <v>3126</v>
      </c>
      <c r="C3144" s="14" t="s">
        <v>3160</v>
      </c>
      <c r="D3144" s="1"/>
      <c r="E3144" s="1"/>
      <c r="F3144" s="1" t="str">
        <f>IFERROR(__xludf.DUMMYFUNCTION("GOOGLETRANSLATE(B3144, ""en"", ""fa"")
"),"آشپزی")</f>
        <v>آشپزی</v>
      </c>
      <c r="G3144" s="1" t="str">
        <f>IFERROR(__xludf.DUMMYFUNCTION("GOOGLETRANSLATE(C3144, ""en"", ""fa"")
"),"نکات خود را برای ایجاد وعده های غذایی گیاهی یا وگان خوش طعم و متعادل به اشتراک بگذارید.")</f>
        <v>نکات خود را برای ایجاد وعده های غذایی گیاهی یا وگان خوش طعم و متعادل به اشتراک بگذارید.</v>
      </c>
      <c r="H3144" s="1"/>
      <c r="I3144" s="1"/>
      <c r="J3144" s="1"/>
      <c r="K3144" s="1"/>
      <c r="L3144" s="1"/>
      <c r="M3144" s="1"/>
      <c r="N3144" s="1"/>
      <c r="O3144" s="1"/>
      <c r="P3144" s="1"/>
      <c r="Q3144" s="1"/>
      <c r="R3144" s="1"/>
      <c r="S3144" s="1"/>
      <c r="T3144" s="1"/>
      <c r="U3144" s="1"/>
      <c r="V3144" s="1"/>
      <c r="W3144" s="1"/>
      <c r="X3144" s="1"/>
      <c r="Y3144" s="1"/>
      <c r="Z3144" s="1"/>
      <c r="AA3144" s="1"/>
      <c r="AB3144" s="1"/>
    </row>
    <row r="3145" ht="50.25" customHeight="1">
      <c r="A3145" s="12">
        <v>3141.0</v>
      </c>
      <c r="B3145" s="13" t="s">
        <v>3126</v>
      </c>
      <c r="C3145" s="14" t="s">
        <v>3161</v>
      </c>
      <c r="D3145" s="1"/>
      <c r="E3145" s="1"/>
      <c r="F3145" s="1" t="str">
        <f>IFERROR(__xludf.DUMMYFUNCTION("GOOGLETRANSLATE(B3145, ""en"", ""fa"")
"),"آشپزی")</f>
        <v>آشپزی</v>
      </c>
      <c r="G3145" s="1" t="str">
        <f>IFERROR(__xludf.DUMMYFUNCTION("GOOGLETRANSLATE(C3145, ""en"", ""fa"")
"),"تکنیک ها و اسرار دستیابی به غذاهای سرخ شده ترد و کاملاً پخته را کشف کنید.")</f>
        <v>تکنیک ها و اسرار دستیابی به غذاهای سرخ شده ترد و کاملاً پخته را کشف کنید.</v>
      </c>
      <c r="H3145" s="1"/>
      <c r="I3145" s="1"/>
      <c r="J3145" s="1"/>
      <c r="K3145" s="1"/>
      <c r="L3145" s="1"/>
      <c r="M3145" s="1"/>
      <c r="N3145" s="1"/>
      <c r="O3145" s="1"/>
      <c r="P3145" s="1"/>
      <c r="Q3145" s="1"/>
      <c r="R3145" s="1"/>
      <c r="S3145" s="1"/>
      <c r="T3145" s="1"/>
      <c r="U3145" s="1"/>
      <c r="V3145" s="1"/>
      <c r="W3145" s="1"/>
      <c r="X3145" s="1"/>
      <c r="Y3145" s="1"/>
      <c r="Z3145" s="1"/>
      <c r="AA3145" s="1"/>
      <c r="AB3145" s="1"/>
    </row>
    <row r="3146" ht="50.25" customHeight="1">
      <c r="A3146" s="12">
        <v>3142.0</v>
      </c>
      <c r="B3146" s="13" t="s">
        <v>3126</v>
      </c>
      <c r="C3146" s="14" t="s">
        <v>3162</v>
      </c>
      <c r="D3146" s="1"/>
      <c r="E3146" s="1"/>
      <c r="F3146" s="1" t="str">
        <f>IFERROR(__xludf.DUMMYFUNCTION("GOOGLETRANSLATE(B3146, ""en"", ""fa"")
"),"آشپزی")</f>
        <v>آشپزی</v>
      </c>
      <c r="G3146" s="1" t="str">
        <f>IFERROR(__xludf.DUMMYFUNCTION("GOOGLETRANSLATE(C3146, ""en"", ""fa"")
"),"در مورد هنر نگهداری مواد غذایی و تکنیک هایی مانند کنسرو کردن، ترشی کردن و تخمیر بحث کنید.")</f>
        <v>در مورد هنر نگهداری مواد غذایی و تکنیک هایی مانند کنسرو کردن، ترشی کردن و تخمیر بحث کنید.</v>
      </c>
      <c r="H3146" s="1"/>
      <c r="I3146" s="1"/>
      <c r="J3146" s="1"/>
      <c r="K3146" s="1"/>
      <c r="L3146" s="1"/>
      <c r="M3146" s="1"/>
      <c r="N3146" s="1"/>
      <c r="O3146" s="1"/>
      <c r="P3146" s="1"/>
      <c r="Q3146" s="1"/>
      <c r="R3146" s="1"/>
      <c r="S3146" s="1"/>
      <c r="T3146" s="1"/>
      <c r="U3146" s="1"/>
      <c r="V3146" s="1"/>
      <c r="W3146" s="1"/>
      <c r="X3146" s="1"/>
      <c r="Y3146" s="1"/>
      <c r="Z3146" s="1"/>
      <c r="AA3146" s="1"/>
      <c r="AB3146" s="1"/>
    </row>
    <row r="3147" ht="50.25" customHeight="1">
      <c r="A3147" s="12">
        <v>3143.0</v>
      </c>
      <c r="B3147" s="13" t="s">
        <v>3126</v>
      </c>
      <c r="C3147" s="14" t="s">
        <v>3163</v>
      </c>
      <c r="D3147" s="1"/>
      <c r="E3147" s="1"/>
      <c r="F3147" s="1" t="str">
        <f>IFERROR(__xludf.DUMMYFUNCTION("GOOGLETRANSLATE(B3147, ""en"", ""fa"")
"),"آشپزی")</f>
        <v>آشپزی</v>
      </c>
      <c r="G3147" s="1" t="str">
        <f>IFERROR(__xludf.DUMMYFUNCTION("GOOGLETRANSLATE(C3147, ""en"", ""fa"")
"),"دستور العمل های مورد علاقه خود را برای نان خانگی و محصولات پخته شده به اشتراک بگذارید.")</f>
        <v>دستور العمل های مورد علاقه خود را برای نان خانگی و محصولات پخته شده به اشتراک بگذارید.</v>
      </c>
      <c r="H3147" s="1"/>
      <c r="I3147" s="1"/>
      <c r="J3147" s="1"/>
      <c r="K3147" s="1"/>
      <c r="L3147" s="1"/>
      <c r="M3147" s="1"/>
      <c r="N3147" s="1"/>
      <c r="O3147" s="1"/>
      <c r="P3147" s="1"/>
      <c r="Q3147" s="1"/>
      <c r="R3147" s="1"/>
      <c r="S3147" s="1"/>
      <c r="T3147" s="1"/>
      <c r="U3147" s="1"/>
      <c r="V3147" s="1"/>
      <c r="W3147" s="1"/>
      <c r="X3147" s="1"/>
      <c r="Y3147" s="1"/>
      <c r="Z3147" s="1"/>
      <c r="AA3147" s="1"/>
      <c r="AB3147" s="1"/>
    </row>
    <row r="3148" ht="50.25" customHeight="1">
      <c r="A3148" s="12">
        <v>3144.0</v>
      </c>
      <c r="B3148" s="13" t="s">
        <v>3126</v>
      </c>
      <c r="C3148" s="14" t="s">
        <v>3164</v>
      </c>
      <c r="D3148" s="1"/>
      <c r="E3148" s="1"/>
      <c r="F3148" s="1" t="str">
        <f>IFERROR(__xludf.DUMMYFUNCTION("GOOGLETRANSLATE(B3148, ""en"", ""fa"")
"),"آشپزی")</f>
        <v>آشپزی</v>
      </c>
      <c r="G3148" s="1" t="str">
        <f>IFERROR(__xludf.DUMMYFUNCTION("GOOGLETRANSLATE(C3148, ""en"", ""fa"")
"),"دنیای پنیرهای صنایع دستی و مشخصات طعم منحصر به فرد آنها را کاوش کنید.")</f>
        <v>دنیای پنیرهای صنایع دستی و مشخصات طعم منحصر به فرد آنها را کاوش کنید.</v>
      </c>
      <c r="H3148" s="1"/>
      <c r="I3148" s="1"/>
      <c r="J3148" s="1"/>
      <c r="K3148" s="1"/>
      <c r="L3148" s="1"/>
      <c r="M3148" s="1"/>
      <c r="N3148" s="1"/>
      <c r="O3148" s="1"/>
      <c r="P3148" s="1"/>
      <c r="Q3148" s="1"/>
      <c r="R3148" s="1"/>
      <c r="S3148" s="1"/>
      <c r="T3148" s="1"/>
      <c r="U3148" s="1"/>
      <c r="V3148" s="1"/>
      <c r="W3148" s="1"/>
      <c r="X3148" s="1"/>
      <c r="Y3148" s="1"/>
      <c r="Z3148" s="1"/>
      <c r="AA3148" s="1"/>
      <c r="AB3148" s="1"/>
    </row>
    <row r="3149" ht="50.25" customHeight="1">
      <c r="A3149" s="12">
        <v>3145.0</v>
      </c>
      <c r="B3149" s="13" t="s">
        <v>3126</v>
      </c>
      <c r="C3149" s="14" t="s">
        <v>3165</v>
      </c>
      <c r="D3149" s="1"/>
      <c r="E3149" s="1"/>
      <c r="F3149" s="1" t="str">
        <f>IFERROR(__xludf.DUMMYFUNCTION("GOOGLETRANSLATE(B3149, ""en"", ""fa"")
"),"آشپزی")</f>
        <v>آشپزی</v>
      </c>
      <c r="G3149" s="1" t="str">
        <f>IFERROR(__xludf.DUMMYFUNCTION("GOOGLETRANSLATE(C3149, ""en"", ""fa"")
"),"در مورد فواید پخت و پز با مواد ارگانیک و اجتناب از افزودنی های مضر بحث کنید.")</f>
        <v>در مورد فواید پخت و پز با مواد ارگانیک و اجتناب از افزودنی های مضر بحث کنید.</v>
      </c>
      <c r="H3149" s="1"/>
      <c r="I3149" s="1"/>
      <c r="J3149" s="1"/>
      <c r="K3149" s="1"/>
      <c r="L3149" s="1"/>
      <c r="M3149" s="1"/>
      <c r="N3149" s="1"/>
      <c r="O3149" s="1"/>
      <c r="P3149" s="1"/>
      <c r="Q3149" s="1"/>
      <c r="R3149" s="1"/>
      <c r="S3149" s="1"/>
      <c r="T3149" s="1"/>
      <c r="U3149" s="1"/>
      <c r="V3149" s="1"/>
      <c r="W3149" s="1"/>
      <c r="X3149" s="1"/>
      <c r="Y3149" s="1"/>
      <c r="Z3149" s="1"/>
      <c r="AA3149" s="1"/>
      <c r="AB3149" s="1"/>
    </row>
    <row r="3150" ht="50.25" customHeight="1">
      <c r="A3150" s="12">
        <v>3146.0</v>
      </c>
      <c r="B3150" s="13" t="s">
        <v>3126</v>
      </c>
      <c r="C3150" s="14" t="s">
        <v>3166</v>
      </c>
      <c r="D3150" s="1"/>
      <c r="E3150" s="1"/>
      <c r="F3150" s="1" t="str">
        <f>IFERROR(__xludf.DUMMYFUNCTION("GOOGLETRANSLATE(B3150, ""en"", ""fa"")
"),"آشپزی")</f>
        <v>آشپزی</v>
      </c>
      <c r="G3150" s="1" t="str">
        <f>IFERROR(__xludf.DUMMYFUNCTION("GOOGLETRANSLATE(C3150, ""en"", ""fa"")
"),"نکات خود را برای تهیه غذا برای افراد یا خانواده های پرمشغله به اشتراک بگذارید.")</f>
        <v>نکات خود را برای تهیه غذا برای افراد یا خانواده های پرمشغله به اشتراک بگذارید.</v>
      </c>
      <c r="H3150" s="1"/>
      <c r="I3150" s="1"/>
      <c r="J3150" s="1"/>
      <c r="K3150" s="1"/>
      <c r="L3150" s="1"/>
      <c r="M3150" s="1"/>
      <c r="N3150" s="1"/>
      <c r="O3150" s="1"/>
      <c r="P3150" s="1"/>
      <c r="Q3150" s="1"/>
      <c r="R3150" s="1"/>
      <c r="S3150" s="1"/>
      <c r="T3150" s="1"/>
      <c r="U3150" s="1"/>
      <c r="V3150" s="1"/>
      <c r="W3150" s="1"/>
      <c r="X3150" s="1"/>
      <c r="Y3150" s="1"/>
      <c r="Z3150" s="1"/>
      <c r="AA3150" s="1"/>
      <c r="AB3150" s="1"/>
    </row>
    <row r="3151" ht="50.25" customHeight="1">
      <c r="A3151" s="12">
        <v>3147.0</v>
      </c>
      <c r="B3151" s="13" t="s">
        <v>3126</v>
      </c>
      <c r="C3151" s="14" t="s">
        <v>3167</v>
      </c>
      <c r="D3151" s="1"/>
      <c r="E3151" s="1"/>
      <c r="F3151" s="1" t="str">
        <f>IFERROR(__xludf.DUMMYFUNCTION("GOOGLETRANSLATE(B3151, ""en"", ""fa"")
"),"آشپزی")</f>
        <v>آشپزی</v>
      </c>
      <c r="G3151" s="1" t="str">
        <f>IFERROR(__xludf.DUMMYFUNCTION("GOOGLETRANSLATE(C3151, ""en"", ""fa"")
"),"تکنیک ها و نکاتی را برای دستیابی به بافت ایده آل در آشپزی، مانند ترد، لطیف یا خامه ای بررسی کنید.")</f>
        <v>تکنیک ها و نکاتی را برای دستیابی به بافت ایده آل در آشپزی، مانند ترد، لطیف یا خامه ای بررسی کنید.</v>
      </c>
      <c r="H3151" s="1"/>
      <c r="I3151" s="1"/>
      <c r="J3151" s="1"/>
      <c r="K3151" s="1"/>
      <c r="L3151" s="1"/>
      <c r="M3151" s="1"/>
      <c r="N3151" s="1"/>
      <c r="O3151" s="1"/>
      <c r="P3151" s="1"/>
      <c r="Q3151" s="1"/>
      <c r="R3151" s="1"/>
      <c r="S3151" s="1"/>
      <c r="T3151" s="1"/>
      <c r="U3151" s="1"/>
      <c r="V3151" s="1"/>
      <c r="W3151" s="1"/>
      <c r="X3151" s="1"/>
      <c r="Y3151" s="1"/>
      <c r="Z3151" s="1"/>
      <c r="AA3151" s="1"/>
      <c r="AB3151" s="1"/>
    </row>
    <row r="3152" ht="50.25" customHeight="1">
      <c r="A3152" s="12">
        <v>3148.0</v>
      </c>
      <c r="B3152" s="13" t="s">
        <v>3126</v>
      </c>
      <c r="C3152" s="14" t="s">
        <v>3168</v>
      </c>
      <c r="D3152" s="1"/>
      <c r="E3152" s="1"/>
      <c r="F3152" s="1" t="str">
        <f>IFERROR(__xludf.DUMMYFUNCTION("GOOGLETRANSLATE(B3152, ""en"", ""fa"")
"),"آشپزی")</f>
        <v>آشپزی</v>
      </c>
      <c r="G3152" s="1" t="str">
        <f>IFERROR(__xludf.DUMMYFUNCTION("GOOGLETRANSLATE(C3152, ""en"", ""fa"")
"),"در مورد نقش ادویه ها و گیاهان در افزایش طعم و ایجاد عمق در ظروف بحث کنید.")</f>
        <v>در مورد نقش ادویه ها و گیاهان در افزایش طعم و ایجاد عمق در ظروف بحث کنید.</v>
      </c>
      <c r="H3152" s="1"/>
      <c r="I3152" s="1"/>
      <c r="J3152" s="1"/>
      <c r="K3152" s="1"/>
      <c r="L3152" s="1"/>
      <c r="M3152" s="1"/>
      <c r="N3152" s="1"/>
      <c r="O3152" s="1"/>
      <c r="P3152" s="1"/>
      <c r="Q3152" s="1"/>
      <c r="R3152" s="1"/>
      <c r="S3152" s="1"/>
      <c r="T3152" s="1"/>
      <c r="U3152" s="1"/>
      <c r="V3152" s="1"/>
      <c r="W3152" s="1"/>
      <c r="X3152" s="1"/>
      <c r="Y3152" s="1"/>
      <c r="Z3152" s="1"/>
      <c r="AA3152" s="1"/>
      <c r="AB3152" s="1"/>
    </row>
    <row r="3153" ht="50.25" customHeight="1">
      <c r="A3153" s="12">
        <v>3149.0</v>
      </c>
      <c r="B3153" s="13" t="s">
        <v>3126</v>
      </c>
      <c r="C3153" s="14" t="s">
        <v>3169</v>
      </c>
      <c r="D3153" s="1"/>
      <c r="E3153" s="1"/>
      <c r="F3153" s="1" t="str">
        <f>IFERROR(__xludf.DUMMYFUNCTION("GOOGLETRANSLATE(B3153, ""en"", ""fa"")
"),"آشپزی")</f>
        <v>آشپزی</v>
      </c>
      <c r="G3153" s="1" t="str">
        <f>IFERROR(__xludf.DUMMYFUNCTION("GOOGLETRANSLATE(C3153, ""en"", ""fa"")
"),"نکات مورد علاقه خود را برای متعادل کردن طعم ها و ایجاد غذاهای خوش طعم به اشتراک بگذارید.")</f>
        <v>نکات مورد علاقه خود را برای متعادل کردن طعم ها و ایجاد غذاهای خوش طعم به اشتراک بگذارید.</v>
      </c>
      <c r="H3153" s="1"/>
      <c r="I3153" s="1"/>
      <c r="J3153" s="1"/>
      <c r="K3153" s="1"/>
      <c r="L3153" s="1"/>
      <c r="M3153" s="1"/>
      <c r="N3153" s="1"/>
      <c r="O3153" s="1"/>
      <c r="P3153" s="1"/>
      <c r="Q3153" s="1"/>
      <c r="R3153" s="1"/>
      <c r="S3153" s="1"/>
      <c r="T3153" s="1"/>
      <c r="U3153" s="1"/>
      <c r="V3153" s="1"/>
      <c r="W3153" s="1"/>
      <c r="X3153" s="1"/>
      <c r="Y3153" s="1"/>
      <c r="Z3153" s="1"/>
      <c r="AA3153" s="1"/>
      <c r="AB3153" s="1"/>
    </row>
    <row r="3154" ht="50.25" customHeight="1">
      <c r="A3154" s="12">
        <v>3150.0</v>
      </c>
      <c r="B3154" s="13" t="s">
        <v>3126</v>
      </c>
      <c r="C3154" s="14" t="s">
        <v>3170</v>
      </c>
      <c r="D3154" s="1"/>
      <c r="E3154" s="1"/>
      <c r="F3154" s="1" t="str">
        <f>IFERROR(__xludf.DUMMYFUNCTION("GOOGLETRANSLATE(B3154, ""en"", ""fa"")
"),"آشپزی")</f>
        <v>آشپزی</v>
      </c>
      <c r="G3154" s="1" t="str">
        <f>IFERROR(__xludf.DUMMYFUNCTION("GOOGLETRANSLATE(C3154, ""en"", ""fa"")
"),"در مورد فواید پخت غذا از ابتدا در مقابل تکیه بر غذاهای فرآوری شده یا از پیش بسته بندی شده صحبت کنید.")</f>
        <v>در مورد فواید پخت غذا از ابتدا در مقابل تکیه بر غذاهای فرآوری شده یا از پیش بسته بندی شده صحبت کنید.</v>
      </c>
      <c r="H3154" s="1"/>
      <c r="I3154" s="1"/>
      <c r="J3154" s="1"/>
      <c r="K3154" s="1"/>
      <c r="L3154" s="1"/>
      <c r="M3154" s="1"/>
      <c r="N3154" s="1"/>
      <c r="O3154" s="1"/>
      <c r="P3154" s="1"/>
      <c r="Q3154" s="1"/>
      <c r="R3154" s="1"/>
      <c r="S3154" s="1"/>
      <c r="T3154" s="1"/>
      <c r="U3154" s="1"/>
      <c r="V3154" s="1"/>
      <c r="W3154" s="1"/>
      <c r="X3154" s="1"/>
      <c r="Y3154" s="1"/>
      <c r="Z3154" s="1"/>
      <c r="AA3154" s="1"/>
      <c r="AB3154" s="1"/>
    </row>
    <row r="3155" ht="50.25" customHeight="1">
      <c r="A3155" s="12">
        <v>3151.0</v>
      </c>
      <c r="B3155" s="13" t="s">
        <v>3126</v>
      </c>
      <c r="C3155" s="14" t="s">
        <v>3171</v>
      </c>
      <c r="D3155" s="1"/>
      <c r="E3155" s="1"/>
      <c r="F3155" s="1" t="str">
        <f>IFERROR(__xludf.DUMMYFUNCTION("GOOGLETRANSLATE(B3155, ""en"", ""fa"")
"),"آشپزی")</f>
        <v>آشپزی</v>
      </c>
      <c r="G3155" s="1" t="str">
        <f>IFERROR(__xludf.DUMMYFUNCTION("GOOGLETRANSLATE(C3155, ""en"", ""fa"")
"),"برای صرفه جویی در زمان و کاهش استرس در آشپزخانه، نکات خود را برای برنامه ریزی و آماده سازی وعده های غذایی به اشتراک بگذارید.")</f>
        <v>برای صرفه جویی در زمان و کاهش استرس در آشپزخانه، نکات خود را برای برنامه ریزی و آماده سازی وعده های غذایی به اشتراک بگذارید.</v>
      </c>
      <c r="H3155" s="1"/>
      <c r="I3155" s="1"/>
      <c r="J3155" s="1"/>
      <c r="K3155" s="1"/>
      <c r="L3155" s="1"/>
      <c r="M3155" s="1"/>
      <c r="N3155" s="1"/>
      <c r="O3155" s="1"/>
      <c r="P3155" s="1"/>
      <c r="Q3155" s="1"/>
      <c r="R3155" s="1"/>
      <c r="S3155" s="1"/>
      <c r="T3155" s="1"/>
      <c r="U3155" s="1"/>
      <c r="V3155" s="1"/>
      <c r="W3155" s="1"/>
      <c r="X3155" s="1"/>
      <c r="Y3155" s="1"/>
      <c r="Z3155" s="1"/>
      <c r="AA3155" s="1"/>
      <c r="AB3155" s="1"/>
    </row>
    <row r="3156" ht="50.25" customHeight="1">
      <c r="A3156" s="12">
        <v>3152.0</v>
      </c>
      <c r="B3156" s="13" t="s">
        <v>3126</v>
      </c>
      <c r="C3156" s="14" t="s">
        <v>3172</v>
      </c>
      <c r="D3156" s="1"/>
      <c r="E3156" s="1"/>
      <c r="F3156" s="1" t="str">
        <f>IFERROR(__xludf.DUMMYFUNCTION("GOOGLETRANSLATE(B3156, ""en"", ""fa"")
"),"آشپزی")</f>
        <v>آشپزی</v>
      </c>
      <c r="G3156" s="1" t="str">
        <f>IFERROR(__xludf.DUMMYFUNCTION("GOOGLETRANSLATE(C3156, ""en"", ""fa"")
"),"هنر ایجاد دسرهای خانگی زیبا و خوشمزه را کشف کنید.")</f>
        <v>هنر ایجاد دسرهای خانگی زیبا و خوشمزه را کشف کنید.</v>
      </c>
      <c r="H3156" s="1"/>
      <c r="I3156" s="1"/>
      <c r="J3156" s="1"/>
      <c r="K3156" s="1"/>
      <c r="L3156" s="1"/>
      <c r="M3156" s="1"/>
      <c r="N3156" s="1"/>
      <c r="O3156" s="1"/>
      <c r="P3156" s="1"/>
      <c r="Q3156" s="1"/>
      <c r="R3156" s="1"/>
      <c r="S3156" s="1"/>
      <c r="T3156" s="1"/>
      <c r="U3156" s="1"/>
      <c r="V3156" s="1"/>
      <c r="W3156" s="1"/>
      <c r="X3156" s="1"/>
      <c r="Y3156" s="1"/>
      <c r="Z3156" s="1"/>
      <c r="AA3156" s="1"/>
      <c r="AB3156" s="1"/>
    </row>
    <row r="3157" ht="50.25" customHeight="1">
      <c r="A3157" s="12">
        <v>3153.0</v>
      </c>
      <c r="B3157" s="13" t="s">
        <v>3126</v>
      </c>
      <c r="C3157" s="14" t="s">
        <v>3173</v>
      </c>
      <c r="D3157" s="1"/>
      <c r="E3157" s="1"/>
      <c r="F3157" s="1" t="str">
        <f>IFERROR(__xludf.DUMMYFUNCTION("GOOGLETRANSLATE(B3157, ""en"", ""fa"")
"),"آشپزی")</f>
        <v>آشپزی</v>
      </c>
      <c r="G3157" s="1" t="str">
        <f>IFERROR(__xludf.DUMMYFUNCTION("GOOGLETRANSLATE(C3157, ""en"", ""fa"")
"),"در مورد فواید سلامتی استفاده از گیاهان و ادویه ها در آشپزی خود صحبت کنید.")</f>
        <v>در مورد فواید سلامتی استفاده از گیاهان و ادویه ها در آشپزی خود صحبت کنید.</v>
      </c>
      <c r="H3157" s="1"/>
      <c r="I3157" s="1"/>
      <c r="J3157" s="1"/>
      <c r="K3157" s="1"/>
      <c r="L3157" s="1"/>
      <c r="M3157" s="1"/>
      <c r="N3157" s="1"/>
      <c r="O3157" s="1"/>
      <c r="P3157" s="1"/>
      <c r="Q3157" s="1"/>
      <c r="R3157" s="1"/>
      <c r="S3157" s="1"/>
      <c r="T3157" s="1"/>
      <c r="U3157" s="1"/>
      <c r="V3157" s="1"/>
      <c r="W3157" s="1"/>
      <c r="X3157" s="1"/>
      <c r="Y3157" s="1"/>
      <c r="Z3157" s="1"/>
      <c r="AA3157" s="1"/>
      <c r="AB3157" s="1"/>
    </row>
    <row r="3158" ht="50.25" customHeight="1">
      <c r="A3158" s="12">
        <v>3154.0</v>
      </c>
      <c r="B3158" s="13" t="s">
        <v>3126</v>
      </c>
      <c r="C3158" s="14" t="s">
        <v>3174</v>
      </c>
      <c r="D3158" s="1"/>
      <c r="E3158" s="1"/>
      <c r="F3158" s="1" t="str">
        <f>IFERROR(__xludf.DUMMYFUNCTION("GOOGLETRANSLATE(B3158, ""en"", ""fa"")
"),"آشپزی")</f>
        <v>آشپزی</v>
      </c>
      <c r="G3158" s="1" t="str">
        <f>IFERROR(__xludf.DUMMYFUNCTION("GOOGLETRANSLATE(C3158, ""en"", ""fa"")
"),"دستور غذای مورد علاقه خود را برای یک غذای کلاسیک راحت به اشتراک بگذارید.")</f>
        <v>دستور غذای مورد علاقه خود را برای یک غذای کلاسیک راحت به اشتراک بگذارید.</v>
      </c>
      <c r="H3158" s="1"/>
      <c r="I3158" s="1"/>
      <c r="J3158" s="1"/>
      <c r="K3158" s="1"/>
      <c r="L3158" s="1"/>
      <c r="M3158" s="1"/>
      <c r="N3158" s="1"/>
      <c r="O3158" s="1"/>
      <c r="P3158" s="1"/>
      <c r="Q3158" s="1"/>
      <c r="R3158" s="1"/>
      <c r="S3158" s="1"/>
      <c r="T3158" s="1"/>
      <c r="U3158" s="1"/>
      <c r="V3158" s="1"/>
      <c r="W3158" s="1"/>
      <c r="X3158" s="1"/>
      <c r="Y3158" s="1"/>
      <c r="Z3158" s="1"/>
      <c r="AA3158" s="1"/>
      <c r="AB3158" s="1"/>
    </row>
    <row r="3159" ht="50.25" customHeight="1">
      <c r="A3159" s="12">
        <v>3155.0</v>
      </c>
      <c r="B3159" s="13" t="s">
        <v>3126</v>
      </c>
      <c r="C3159" s="14" t="s">
        <v>3175</v>
      </c>
      <c r="D3159" s="1"/>
      <c r="E3159" s="1"/>
      <c r="F3159" s="1" t="str">
        <f>IFERROR(__xludf.DUMMYFUNCTION("GOOGLETRANSLATE(B3159, ""en"", ""fa"")
"),"آشپزی")</f>
        <v>آشپزی</v>
      </c>
      <c r="G3159" s="1" t="str">
        <f>IFERROR(__xludf.DUMMYFUNCTION("GOOGLETRANSLATE(C3159, ""en"", ""fa"")
"),"تکنیک ها و نکاتی را برای دستیابی به تعادل کامل طعم ها در یک ظرف کاوش کنید.")</f>
        <v>تکنیک ها و نکاتی را برای دستیابی به تعادل کامل طعم ها در یک ظرف کاوش کنید.</v>
      </c>
      <c r="H3159" s="1"/>
      <c r="I3159" s="1"/>
      <c r="J3159" s="1"/>
      <c r="K3159" s="1"/>
      <c r="L3159" s="1"/>
      <c r="M3159" s="1"/>
      <c r="N3159" s="1"/>
      <c r="O3159" s="1"/>
      <c r="P3159" s="1"/>
      <c r="Q3159" s="1"/>
      <c r="R3159" s="1"/>
      <c r="S3159" s="1"/>
      <c r="T3159" s="1"/>
      <c r="U3159" s="1"/>
      <c r="V3159" s="1"/>
      <c r="W3159" s="1"/>
      <c r="X3159" s="1"/>
      <c r="Y3159" s="1"/>
      <c r="Z3159" s="1"/>
      <c r="AA3159" s="1"/>
      <c r="AB3159" s="1"/>
    </row>
    <row r="3160" ht="50.25" customHeight="1">
      <c r="A3160" s="12">
        <v>3156.0</v>
      </c>
      <c r="B3160" s="13" t="s">
        <v>3126</v>
      </c>
      <c r="C3160" s="14" t="s">
        <v>3176</v>
      </c>
      <c r="D3160" s="1"/>
      <c r="E3160" s="1"/>
      <c r="F3160" s="1" t="str">
        <f>IFERROR(__xludf.DUMMYFUNCTION("GOOGLETRANSLATE(B3160, ""en"", ""fa"")
"),"آشپزی")</f>
        <v>آشپزی</v>
      </c>
      <c r="G3160" s="1" t="str">
        <f>IFERROR(__xludf.DUMMYFUNCTION("GOOGLETRANSLATE(C3160, ""en"", ""fa"")
"),"در مورد مزایای استفاده از مواد جایگزین برای محدودیت ها یا ترجیحات غذایی، مانند پخت و پز بدون گلوتن یا بدون لبنیات بحث کنید.")</f>
        <v>در مورد مزایای استفاده از مواد جایگزین برای محدودیت ها یا ترجیحات غذایی، مانند پخت و پز بدون گلوتن یا بدون لبنیات بحث کنید.</v>
      </c>
      <c r="H3160" s="1"/>
      <c r="I3160" s="1"/>
      <c r="J3160" s="1"/>
      <c r="K3160" s="1"/>
      <c r="L3160" s="1"/>
      <c r="M3160" s="1"/>
      <c r="N3160" s="1"/>
      <c r="O3160" s="1"/>
      <c r="P3160" s="1"/>
      <c r="Q3160" s="1"/>
      <c r="R3160" s="1"/>
      <c r="S3160" s="1"/>
      <c r="T3160" s="1"/>
      <c r="U3160" s="1"/>
      <c r="V3160" s="1"/>
      <c r="W3160" s="1"/>
      <c r="X3160" s="1"/>
      <c r="Y3160" s="1"/>
      <c r="Z3160" s="1"/>
      <c r="AA3160" s="1"/>
      <c r="AB3160" s="1"/>
    </row>
    <row r="3161" ht="50.25" customHeight="1">
      <c r="A3161" s="12">
        <v>3157.0</v>
      </c>
      <c r="B3161" s="13" t="s">
        <v>3126</v>
      </c>
      <c r="C3161" s="14" t="s">
        <v>3177</v>
      </c>
      <c r="D3161" s="1"/>
      <c r="E3161" s="1"/>
      <c r="F3161" s="1" t="str">
        <f>IFERROR(__xludf.DUMMYFUNCTION("GOOGLETRANSLATE(B3161, ""en"", ""fa"")
"),"آشپزی")</f>
        <v>آشپزی</v>
      </c>
      <c r="G3161" s="1" t="str">
        <f>IFERROR(__xludf.DUMMYFUNCTION("GOOGLETRANSLATE(C3161, ""en"", ""fa"")
"),"نکات خود را برای به حداکثر رساندن طعم در غذاهای گیاهی یا وگان به اشتراک بگذارید.")</f>
        <v>نکات خود را برای به حداکثر رساندن طعم در غذاهای گیاهی یا وگان به اشتراک بگذارید.</v>
      </c>
      <c r="H3161" s="1"/>
      <c r="I3161" s="1"/>
      <c r="J3161" s="1"/>
      <c r="K3161" s="1"/>
      <c r="L3161" s="1"/>
      <c r="M3161" s="1"/>
      <c r="N3161" s="1"/>
      <c r="O3161" s="1"/>
      <c r="P3161" s="1"/>
      <c r="Q3161" s="1"/>
      <c r="R3161" s="1"/>
      <c r="S3161" s="1"/>
      <c r="T3161" s="1"/>
      <c r="U3161" s="1"/>
      <c r="V3161" s="1"/>
      <c r="W3161" s="1"/>
      <c r="X3161" s="1"/>
      <c r="Y3161" s="1"/>
      <c r="Z3161" s="1"/>
      <c r="AA3161" s="1"/>
      <c r="AB3161" s="1"/>
    </row>
    <row r="3162" ht="50.25" customHeight="1">
      <c r="A3162" s="12">
        <v>3158.0</v>
      </c>
      <c r="B3162" s="13" t="s">
        <v>3126</v>
      </c>
      <c r="C3162" s="14" t="s">
        <v>3178</v>
      </c>
      <c r="D3162" s="1"/>
      <c r="E3162" s="1"/>
      <c r="F3162" s="1" t="str">
        <f>IFERROR(__xludf.DUMMYFUNCTION("GOOGLETRANSLATE(B3162, ""en"", ""fa"")
"),"آشپزی")</f>
        <v>آشپزی</v>
      </c>
      <c r="G3162" s="1" t="str">
        <f>IFERROR(__xludf.DUMMYFUNCTION("GOOGLETRANSLATE(C3162, ""en"", ""fa"")
"),"تکنیک ها و نکاتی را برای دستیابی به غذاهای لطیف و آبدار با گوشت بررسی کنید.")</f>
        <v>تکنیک ها و نکاتی را برای دستیابی به غذاهای لطیف و آبدار با گوشت بررسی کنید.</v>
      </c>
      <c r="H3162" s="1"/>
      <c r="I3162" s="1"/>
      <c r="J3162" s="1"/>
      <c r="K3162" s="1"/>
      <c r="L3162" s="1"/>
      <c r="M3162" s="1"/>
      <c r="N3162" s="1"/>
      <c r="O3162" s="1"/>
      <c r="P3162" s="1"/>
      <c r="Q3162" s="1"/>
      <c r="R3162" s="1"/>
      <c r="S3162" s="1"/>
      <c r="T3162" s="1"/>
      <c r="U3162" s="1"/>
      <c r="V3162" s="1"/>
      <c r="W3162" s="1"/>
      <c r="X3162" s="1"/>
      <c r="Y3162" s="1"/>
      <c r="Z3162" s="1"/>
      <c r="AA3162" s="1"/>
      <c r="AB3162" s="1"/>
    </row>
    <row r="3163" ht="50.25" customHeight="1">
      <c r="A3163" s="12">
        <v>3159.0</v>
      </c>
      <c r="B3163" s="13" t="s">
        <v>3126</v>
      </c>
      <c r="C3163" s="14" t="s">
        <v>3179</v>
      </c>
      <c r="D3163" s="1"/>
      <c r="E3163" s="1"/>
      <c r="F3163" s="1" t="str">
        <f>IFERROR(__xludf.DUMMYFUNCTION("GOOGLETRANSLATE(B3163, ""en"", ""fa"")
"),"آشپزی")</f>
        <v>آشپزی</v>
      </c>
      <c r="G3163" s="1" t="str">
        <f>IFERROR(__xludf.DUMMYFUNCTION("GOOGLETRANSLATE(C3163, ""en"", ""fa"")
"),"در مورد مزایای استفاده از محصولات محلی و فصلی در آشپزی خود صحبت کنید.")</f>
        <v>در مورد مزایای استفاده از محصولات محلی و فصلی در آشپزی خود صحبت کنید.</v>
      </c>
      <c r="H3163" s="1"/>
      <c r="I3163" s="1"/>
      <c r="J3163" s="1"/>
      <c r="K3163" s="1"/>
      <c r="L3163" s="1"/>
      <c r="M3163" s="1"/>
      <c r="N3163" s="1"/>
      <c r="O3163" s="1"/>
      <c r="P3163" s="1"/>
      <c r="Q3163" s="1"/>
      <c r="R3163" s="1"/>
      <c r="S3163" s="1"/>
      <c r="T3163" s="1"/>
      <c r="U3163" s="1"/>
      <c r="V3163" s="1"/>
      <c r="W3163" s="1"/>
      <c r="X3163" s="1"/>
      <c r="Y3163" s="1"/>
      <c r="Z3163" s="1"/>
      <c r="AA3163" s="1"/>
      <c r="AB3163" s="1"/>
    </row>
    <row r="3164" ht="50.25" customHeight="1">
      <c r="A3164" s="12">
        <v>3160.0</v>
      </c>
      <c r="B3164" s="13" t="s">
        <v>3126</v>
      </c>
      <c r="C3164" s="14" t="s">
        <v>3180</v>
      </c>
      <c r="D3164" s="1"/>
      <c r="E3164" s="1"/>
      <c r="F3164" s="1" t="str">
        <f>IFERROR(__xludf.DUMMYFUNCTION("GOOGLETRANSLATE(B3164, ""en"", ""fa"")
"),"آشپزی")</f>
        <v>آشپزی</v>
      </c>
      <c r="G3164" s="1" t="str">
        <f>IFERROR(__xludf.DUMMYFUNCTION("GOOGLETRANSLATE(C3164, ""en"", ""fa"")
"),"دستور العمل های مورد علاقه خود را برای سس ها و سس های خانگی به اشتراک بگذارید.")</f>
        <v>دستور العمل های مورد علاقه خود را برای سس ها و سس های خانگی به اشتراک بگذارید.</v>
      </c>
      <c r="H3164" s="1"/>
      <c r="I3164" s="1"/>
      <c r="J3164" s="1"/>
      <c r="K3164" s="1"/>
      <c r="L3164" s="1"/>
      <c r="M3164" s="1"/>
      <c r="N3164" s="1"/>
      <c r="O3164" s="1"/>
      <c r="P3164" s="1"/>
      <c r="Q3164" s="1"/>
      <c r="R3164" s="1"/>
      <c r="S3164" s="1"/>
      <c r="T3164" s="1"/>
      <c r="U3164" s="1"/>
      <c r="V3164" s="1"/>
      <c r="W3164" s="1"/>
      <c r="X3164" s="1"/>
      <c r="Y3164" s="1"/>
      <c r="Z3164" s="1"/>
      <c r="AA3164" s="1"/>
      <c r="AB3164" s="1"/>
    </row>
    <row r="3165" ht="50.25" customHeight="1">
      <c r="A3165" s="12">
        <v>3161.0</v>
      </c>
      <c r="B3165" s="13" t="s">
        <v>3126</v>
      </c>
      <c r="C3165" s="14" t="s">
        <v>3181</v>
      </c>
      <c r="D3165" s="1"/>
      <c r="E3165" s="1"/>
      <c r="F3165" s="1" t="str">
        <f>IFERROR(__xludf.DUMMYFUNCTION("GOOGLETRANSLATE(B3165, ""en"", ""fa"")
"),"آشپزی")</f>
        <v>آشپزی</v>
      </c>
      <c r="G3165" s="1" t="str">
        <f>IFERROR(__xludf.DUMMYFUNCTION("GOOGLETRANSLATE(C3165, ""en"", ""fa"")
"),"هنر آبکاری غذا و ارائه غذاهای مناسب رستوران را کاوش کنید.")</f>
        <v>هنر آبکاری غذا و ارائه غذاهای مناسب رستوران را کاوش کنید.</v>
      </c>
      <c r="H3165" s="1"/>
      <c r="I3165" s="1"/>
      <c r="J3165" s="1"/>
      <c r="K3165" s="1"/>
      <c r="L3165" s="1"/>
      <c r="M3165" s="1"/>
      <c r="N3165" s="1"/>
      <c r="O3165" s="1"/>
      <c r="P3165" s="1"/>
      <c r="Q3165" s="1"/>
      <c r="R3165" s="1"/>
      <c r="S3165" s="1"/>
      <c r="T3165" s="1"/>
      <c r="U3165" s="1"/>
      <c r="V3165" s="1"/>
      <c r="W3165" s="1"/>
      <c r="X3165" s="1"/>
      <c r="Y3165" s="1"/>
      <c r="Z3165" s="1"/>
      <c r="AA3165" s="1"/>
      <c r="AB3165" s="1"/>
    </row>
    <row r="3166" ht="50.25" customHeight="1">
      <c r="A3166" s="12">
        <v>3162.0</v>
      </c>
      <c r="B3166" s="13" t="s">
        <v>3126</v>
      </c>
      <c r="C3166" s="14" t="s">
        <v>3182</v>
      </c>
      <c r="D3166" s="1"/>
      <c r="E3166" s="1"/>
      <c r="F3166" s="1" t="str">
        <f>IFERROR(__xludf.DUMMYFUNCTION("GOOGLETRANSLATE(B3166, ""en"", ""fa"")
"),"آشپزی")</f>
        <v>آشپزی</v>
      </c>
      <c r="G3166" s="1" t="str">
        <f>IFERROR(__xludf.DUMMYFUNCTION("GOOGLETRANSLATE(C3166, ""en"", ""fa"")
"),"در مورد مزایای سلامتی گنجاندن بیشتر وعده های غذایی گیاهی در رژیم غذایی خود بحث کنید.")</f>
        <v>در مورد مزایای سلامتی گنجاندن بیشتر وعده های غذایی گیاهی در رژیم غذایی خود بحث کنید.</v>
      </c>
      <c r="H3166" s="1"/>
      <c r="I3166" s="1"/>
      <c r="J3166" s="1"/>
      <c r="K3166" s="1"/>
      <c r="L3166" s="1"/>
      <c r="M3166" s="1"/>
      <c r="N3166" s="1"/>
      <c r="O3166" s="1"/>
      <c r="P3166" s="1"/>
      <c r="Q3166" s="1"/>
      <c r="R3166" s="1"/>
      <c r="S3166" s="1"/>
      <c r="T3166" s="1"/>
      <c r="U3166" s="1"/>
      <c r="V3166" s="1"/>
      <c r="W3166" s="1"/>
      <c r="X3166" s="1"/>
      <c r="Y3166" s="1"/>
      <c r="Z3166" s="1"/>
      <c r="AA3166" s="1"/>
      <c r="AB3166" s="1"/>
    </row>
    <row r="3167" ht="50.25" customHeight="1">
      <c r="A3167" s="12">
        <v>3163.0</v>
      </c>
      <c r="B3167" s="13" t="s">
        <v>3126</v>
      </c>
      <c r="C3167" s="14" t="s">
        <v>3183</v>
      </c>
      <c r="D3167" s="1"/>
      <c r="E3167" s="1"/>
      <c r="F3167" s="1" t="str">
        <f>IFERROR(__xludf.DUMMYFUNCTION("GOOGLETRANSLATE(B3167, ""en"", ""fa"")
"),"آشپزی")</f>
        <v>آشپزی</v>
      </c>
      <c r="G3167" s="1" t="str">
        <f>IFERROR(__xludf.DUMMYFUNCTION("GOOGLETRANSLATE(C3167, ""en"", ""fa"")
"),"نکات خود را برای پختن غذاهای مغذی و خوشمزه برای افراد حساس، از جمله کودکان، به اشتراک بگذارید.")</f>
        <v>نکات خود را برای پختن غذاهای مغذی و خوشمزه برای افراد حساس، از جمله کودکان، به اشتراک بگذارید.</v>
      </c>
      <c r="H3167" s="1"/>
      <c r="I3167" s="1"/>
      <c r="J3167" s="1"/>
      <c r="K3167" s="1"/>
      <c r="L3167" s="1"/>
      <c r="M3167" s="1"/>
      <c r="N3167" s="1"/>
      <c r="O3167" s="1"/>
      <c r="P3167" s="1"/>
      <c r="Q3167" s="1"/>
      <c r="R3167" s="1"/>
      <c r="S3167" s="1"/>
      <c r="T3167" s="1"/>
      <c r="U3167" s="1"/>
      <c r="V3167" s="1"/>
      <c r="W3167" s="1"/>
      <c r="X3167" s="1"/>
      <c r="Y3167" s="1"/>
      <c r="Z3167" s="1"/>
      <c r="AA3167" s="1"/>
      <c r="AB3167" s="1"/>
    </row>
    <row r="3168" ht="50.25" customHeight="1">
      <c r="A3168" s="12">
        <v>3164.0</v>
      </c>
      <c r="B3168" s="13" t="s">
        <v>3126</v>
      </c>
      <c r="C3168" s="14" t="s">
        <v>3184</v>
      </c>
      <c r="D3168" s="1"/>
      <c r="E3168" s="1"/>
      <c r="F3168" s="1" t="str">
        <f>IFERROR(__xludf.DUMMYFUNCTION("GOOGLETRANSLATE(B3168, ""en"", ""fa"")
"),"آشپزی")</f>
        <v>آشپزی</v>
      </c>
      <c r="G3168" s="1" t="str">
        <f>IFERROR(__xludf.DUMMYFUNCTION("GOOGLETRANSLATE(C3168, ""en"", ""fa"")
"),"تکنیک ها و نکاتی را برای دستیابی به بافت عالی در پخت، مانند کوکی های نرم و جویدنی یا کیک های سبک و پف دار، بررسی کنید.")</f>
        <v>تکنیک ها و نکاتی را برای دستیابی به بافت عالی در پخت، مانند کوکی های نرم و جویدنی یا کیک های سبک و پف دار، بررسی کنید.</v>
      </c>
      <c r="H3168" s="1"/>
      <c r="I3168" s="1"/>
      <c r="J3168" s="1"/>
      <c r="K3168" s="1"/>
      <c r="L3168" s="1"/>
      <c r="M3168" s="1"/>
      <c r="N3168" s="1"/>
      <c r="O3168" s="1"/>
      <c r="P3168" s="1"/>
      <c r="Q3168" s="1"/>
      <c r="R3168" s="1"/>
      <c r="S3168" s="1"/>
      <c r="T3168" s="1"/>
      <c r="U3168" s="1"/>
      <c r="V3168" s="1"/>
      <c r="W3168" s="1"/>
      <c r="X3168" s="1"/>
      <c r="Y3168" s="1"/>
      <c r="Z3168" s="1"/>
      <c r="AA3168" s="1"/>
      <c r="AB3168" s="1"/>
    </row>
    <row r="3169" ht="50.25" customHeight="1">
      <c r="A3169" s="12">
        <v>3165.0</v>
      </c>
      <c r="B3169" s="13" t="s">
        <v>3126</v>
      </c>
      <c r="C3169" s="14" t="s">
        <v>3185</v>
      </c>
      <c r="D3169" s="1"/>
      <c r="E3169" s="1"/>
      <c r="F3169" s="1" t="str">
        <f>IFERROR(__xludf.DUMMYFUNCTION("GOOGLETRANSLATE(B3169, ""en"", ""fa"")
"),"آشپزی")</f>
        <v>آشپزی</v>
      </c>
      <c r="G3169" s="1" t="str">
        <f>IFERROR(__xludf.DUMMYFUNCTION("GOOGLETRANSLATE(C3169, ""en"", ""fa"")
"),"در مورد فواید به اشتراک گذاری غذا و آشپزی با دوستان یا خانواده صحبت کنید.")</f>
        <v>در مورد فواید به اشتراک گذاری غذا و آشپزی با دوستان یا خانواده صحبت کنید.</v>
      </c>
      <c r="H3169" s="1"/>
      <c r="I3169" s="1"/>
      <c r="J3169" s="1"/>
      <c r="K3169" s="1"/>
      <c r="L3169" s="1"/>
      <c r="M3169" s="1"/>
      <c r="N3169" s="1"/>
      <c r="O3169" s="1"/>
      <c r="P3169" s="1"/>
      <c r="Q3169" s="1"/>
      <c r="R3169" s="1"/>
      <c r="S3169" s="1"/>
      <c r="T3169" s="1"/>
      <c r="U3169" s="1"/>
      <c r="V3169" s="1"/>
      <c r="W3169" s="1"/>
      <c r="X3169" s="1"/>
      <c r="Y3169" s="1"/>
      <c r="Z3169" s="1"/>
      <c r="AA3169" s="1"/>
      <c r="AB3169" s="1"/>
    </row>
    <row r="3170" ht="50.25" customHeight="1">
      <c r="A3170" s="12">
        <v>3166.0</v>
      </c>
      <c r="B3170" s="13" t="s">
        <v>3126</v>
      </c>
      <c r="C3170" s="14" t="s">
        <v>3186</v>
      </c>
      <c r="D3170" s="1"/>
      <c r="E3170" s="1"/>
      <c r="F3170" s="1" t="str">
        <f>IFERROR(__xludf.DUMMYFUNCTION("GOOGLETRANSLATE(B3170, ""en"", ""fa"")
"),"آشپزی")</f>
        <v>آشپزی</v>
      </c>
      <c r="G3170" s="1" t="str">
        <f>IFERROR(__xludf.DUMMYFUNCTION("GOOGLETRANSLATE(C3170, ""en"", ""fa"")
"),"دستور العمل های مورد علاقه خود را برای ایده های صبحانه سریع و آسان به اشتراک بگذارید.")</f>
        <v>دستور العمل های مورد علاقه خود را برای ایده های صبحانه سریع و آسان به اشتراک بگذارید.</v>
      </c>
      <c r="H3170" s="1"/>
      <c r="I3170" s="1"/>
      <c r="J3170" s="1"/>
      <c r="K3170" s="1"/>
      <c r="L3170" s="1"/>
      <c r="M3170" s="1"/>
      <c r="N3170" s="1"/>
      <c r="O3170" s="1"/>
      <c r="P3170" s="1"/>
      <c r="Q3170" s="1"/>
      <c r="R3170" s="1"/>
      <c r="S3170" s="1"/>
      <c r="T3170" s="1"/>
      <c r="U3170" s="1"/>
      <c r="V3170" s="1"/>
      <c r="W3170" s="1"/>
      <c r="X3170" s="1"/>
      <c r="Y3170" s="1"/>
      <c r="Z3170" s="1"/>
      <c r="AA3170" s="1"/>
      <c r="AB3170" s="1"/>
    </row>
    <row r="3171" ht="50.25" customHeight="1">
      <c r="A3171" s="12">
        <v>3167.0</v>
      </c>
      <c r="B3171" s="13" t="s">
        <v>3126</v>
      </c>
      <c r="C3171" s="14" t="s">
        <v>3187</v>
      </c>
      <c r="D3171" s="1"/>
      <c r="E3171" s="1"/>
      <c r="F3171" s="1" t="str">
        <f>IFERROR(__xludf.DUMMYFUNCTION("GOOGLETRANSLATE(B3171, ""en"", ""fa"")
"),"آشپزی")</f>
        <v>آشپزی</v>
      </c>
      <c r="G3171" s="1" t="str">
        <f>IFERROR(__xludf.DUMMYFUNCTION("GOOGLETRANSLATE(C3171, ""en"", ""fa"")
"),"تکنیک ها و نکاتی را برای دستیابی به یک پوسته ترد در ظروف مختلف بررسی کنید.")</f>
        <v>تکنیک ها و نکاتی را برای دستیابی به یک پوسته ترد در ظروف مختلف بررسی کنید.</v>
      </c>
      <c r="H3171" s="1"/>
      <c r="I3171" s="1"/>
      <c r="J3171" s="1"/>
      <c r="K3171" s="1"/>
      <c r="L3171" s="1"/>
      <c r="M3171" s="1"/>
      <c r="N3171" s="1"/>
      <c r="O3171" s="1"/>
      <c r="P3171" s="1"/>
      <c r="Q3171" s="1"/>
      <c r="R3171" s="1"/>
      <c r="S3171" s="1"/>
      <c r="T3171" s="1"/>
      <c r="U3171" s="1"/>
      <c r="V3171" s="1"/>
      <c r="W3171" s="1"/>
      <c r="X3171" s="1"/>
      <c r="Y3171" s="1"/>
      <c r="Z3171" s="1"/>
      <c r="AA3171" s="1"/>
      <c r="AB3171" s="1"/>
    </row>
    <row r="3172" ht="50.25" customHeight="1">
      <c r="A3172" s="12">
        <v>3168.0</v>
      </c>
      <c r="B3172" s="13" t="s">
        <v>3126</v>
      </c>
      <c r="C3172" s="14" t="s">
        <v>3188</v>
      </c>
      <c r="D3172" s="1"/>
      <c r="E3172" s="1"/>
      <c r="F3172" s="1" t="str">
        <f>IFERROR(__xludf.DUMMYFUNCTION("GOOGLETRANSLATE(B3172, ""en"", ""fa"")
"),"آشپزی")</f>
        <v>آشپزی</v>
      </c>
      <c r="G3172" s="1" t="str">
        <f>IFERROR(__xludf.DUMMYFUNCTION("GOOGLETRANSLATE(C3172, ""en"", ""fa"")
"),"در مورد اهمیت فرهنگی روش ها و دستور العمل های پخت و پز سنتی بحث کنید.")</f>
        <v>در مورد اهمیت فرهنگی روش ها و دستور العمل های پخت و پز سنتی بحث کنید.</v>
      </c>
      <c r="H3172" s="1"/>
      <c r="I3172" s="1"/>
      <c r="J3172" s="1"/>
      <c r="K3172" s="1"/>
      <c r="L3172" s="1"/>
      <c r="M3172" s="1"/>
      <c r="N3172" s="1"/>
      <c r="O3172" s="1"/>
      <c r="P3172" s="1"/>
      <c r="Q3172" s="1"/>
      <c r="R3172" s="1"/>
      <c r="S3172" s="1"/>
      <c r="T3172" s="1"/>
      <c r="U3172" s="1"/>
      <c r="V3172" s="1"/>
      <c r="W3172" s="1"/>
      <c r="X3172" s="1"/>
      <c r="Y3172" s="1"/>
      <c r="Z3172" s="1"/>
      <c r="AA3172" s="1"/>
      <c r="AB3172" s="1"/>
    </row>
    <row r="3173" ht="50.25" customHeight="1">
      <c r="A3173" s="12">
        <v>3169.0</v>
      </c>
      <c r="B3173" s="13" t="s">
        <v>3126</v>
      </c>
      <c r="C3173" s="14" t="s">
        <v>3189</v>
      </c>
      <c r="D3173" s="1"/>
      <c r="E3173" s="1"/>
      <c r="F3173" s="1" t="str">
        <f>IFERROR(__xludf.DUMMYFUNCTION("GOOGLETRANSLATE(B3173, ""en"", ""fa"")
"),"آشپزی")</f>
        <v>آشپزی</v>
      </c>
      <c r="G3173" s="1" t="str">
        <f>IFERROR(__xludf.DUMMYFUNCTION("GOOGLETRANSLATE(C3173, ""en"", ""fa"")
"),"نکات خود را برای تهیه غذا با بودجه کم بدون از دست دادن طعم یا کیفیت به اشتراک بگذارید.")</f>
        <v>نکات خود را برای تهیه غذا با بودجه کم بدون از دست دادن طعم یا کیفیت به اشتراک بگذارید.</v>
      </c>
      <c r="H3173" s="1"/>
      <c r="I3173" s="1"/>
      <c r="J3173" s="1"/>
      <c r="K3173" s="1"/>
      <c r="L3173" s="1"/>
      <c r="M3173" s="1"/>
      <c r="N3173" s="1"/>
      <c r="O3173" s="1"/>
      <c r="P3173" s="1"/>
      <c r="Q3173" s="1"/>
      <c r="R3173" s="1"/>
      <c r="S3173" s="1"/>
      <c r="T3173" s="1"/>
      <c r="U3173" s="1"/>
      <c r="V3173" s="1"/>
      <c r="W3173" s="1"/>
      <c r="X3173" s="1"/>
      <c r="Y3173" s="1"/>
      <c r="Z3173" s="1"/>
      <c r="AA3173" s="1"/>
      <c r="AB3173" s="1"/>
    </row>
    <row r="3174" ht="50.25" customHeight="1">
      <c r="A3174" s="12">
        <v>3170.0</v>
      </c>
      <c r="B3174" s="13" t="s">
        <v>3126</v>
      </c>
      <c r="C3174" s="14" t="s">
        <v>3190</v>
      </c>
      <c r="D3174" s="1"/>
      <c r="E3174" s="1"/>
      <c r="F3174" s="1" t="str">
        <f>IFERROR(__xludf.DUMMYFUNCTION("GOOGLETRANSLATE(B3174, ""en"", ""fa"")
"),"آشپزی")</f>
        <v>آشپزی</v>
      </c>
      <c r="G3174" s="1" t="str">
        <f>IFERROR(__xludf.DUMMYFUNCTION("GOOGLETRANSLATE(C3174, ""en"", ""fa"")
"),"تکنیک ها و نکاتی را برای دستیابی به پخت ایده آل در پخت انواع غذاهای دریایی بررسی کنید.")</f>
        <v>تکنیک ها و نکاتی را برای دستیابی به پخت ایده آل در پخت انواع غذاهای دریایی بررسی کنید.</v>
      </c>
      <c r="H3174" s="1"/>
      <c r="I3174" s="1"/>
      <c r="J3174" s="1"/>
      <c r="K3174" s="1"/>
      <c r="L3174" s="1"/>
      <c r="M3174" s="1"/>
      <c r="N3174" s="1"/>
      <c r="O3174" s="1"/>
      <c r="P3174" s="1"/>
      <c r="Q3174" s="1"/>
      <c r="R3174" s="1"/>
      <c r="S3174" s="1"/>
      <c r="T3174" s="1"/>
      <c r="U3174" s="1"/>
      <c r="V3174" s="1"/>
      <c r="W3174" s="1"/>
      <c r="X3174" s="1"/>
      <c r="Y3174" s="1"/>
      <c r="Z3174" s="1"/>
      <c r="AA3174" s="1"/>
      <c r="AB3174" s="1"/>
    </row>
    <row r="3175" ht="50.25" customHeight="1">
      <c r="A3175" s="12">
        <v>3171.0</v>
      </c>
      <c r="B3175" s="13" t="s">
        <v>3126</v>
      </c>
      <c r="C3175" s="14" t="s">
        <v>3191</v>
      </c>
      <c r="D3175" s="1"/>
      <c r="E3175" s="1"/>
      <c r="F3175" s="1" t="str">
        <f>IFERROR(__xludf.DUMMYFUNCTION("GOOGLETRANSLATE(B3175, ""en"", ""fa"")
"),"آشپزی")</f>
        <v>آشپزی</v>
      </c>
      <c r="G3175" s="1" t="str">
        <f>IFERROR(__xludf.DUMMYFUNCTION("GOOGLETRANSLATE(C3175, ""en"", ""fa"")
"),"در مورد فواید ترکیب غذاهای تخمیر شده در آشپزی خود صحبت کنید، مانند کیمچی یا کلم ترش.")</f>
        <v>در مورد فواید ترکیب غذاهای تخمیر شده در آشپزی خود صحبت کنید، مانند کیمچی یا کلم ترش.</v>
      </c>
      <c r="H3175" s="1"/>
      <c r="I3175" s="1"/>
      <c r="J3175" s="1"/>
      <c r="K3175" s="1"/>
      <c r="L3175" s="1"/>
      <c r="M3175" s="1"/>
      <c r="N3175" s="1"/>
      <c r="O3175" s="1"/>
      <c r="P3175" s="1"/>
      <c r="Q3175" s="1"/>
      <c r="R3175" s="1"/>
      <c r="S3175" s="1"/>
      <c r="T3175" s="1"/>
      <c r="U3175" s="1"/>
      <c r="V3175" s="1"/>
      <c r="W3175" s="1"/>
      <c r="X3175" s="1"/>
      <c r="Y3175" s="1"/>
      <c r="Z3175" s="1"/>
      <c r="AA3175" s="1"/>
      <c r="AB3175" s="1"/>
    </row>
    <row r="3176" ht="50.25" customHeight="1">
      <c r="A3176" s="12">
        <v>3172.0</v>
      </c>
      <c r="B3176" s="13" t="s">
        <v>3126</v>
      </c>
      <c r="C3176" s="14" t="s">
        <v>3192</v>
      </c>
      <c r="D3176" s="1"/>
      <c r="E3176" s="1"/>
      <c r="F3176" s="1" t="str">
        <f>IFERROR(__xludf.DUMMYFUNCTION("GOOGLETRANSLATE(B3176, ""en"", ""fa"")
"),"آشپزی")</f>
        <v>آشپزی</v>
      </c>
      <c r="G3176" s="1" t="str">
        <f>IFERROR(__xludf.DUMMYFUNCTION("GOOGLETRANSLATE(C3176, ""en"", ""fa"")
"),"دستور العمل های مورد علاقه خود را برای پاستا و سس های خانگی به اشتراک بگذارید.")</f>
        <v>دستور العمل های مورد علاقه خود را برای پاستا و سس های خانگی به اشتراک بگذارید.</v>
      </c>
      <c r="H3176" s="1"/>
      <c r="I3176" s="1"/>
      <c r="J3176" s="1"/>
      <c r="K3176" s="1"/>
      <c r="L3176" s="1"/>
      <c r="M3176" s="1"/>
      <c r="N3176" s="1"/>
      <c r="O3176" s="1"/>
      <c r="P3176" s="1"/>
      <c r="Q3176" s="1"/>
      <c r="R3176" s="1"/>
      <c r="S3176" s="1"/>
      <c r="T3176" s="1"/>
      <c r="U3176" s="1"/>
      <c r="V3176" s="1"/>
      <c r="W3176" s="1"/>
      <c r="X3176" s="1"/>
      <c r="Y3176" s="1"/>
      <c r="Z3176" s="1"/>
      <c r="AA3176" s="1"/>
      <c r="AB3176" s="1"/>
    </row>
    <row r="3177" ht="50.25" customHeight="1">
      <c r="A3177" s="12">
        <v>3173.0</v>
      </c>
      <c r="B3177" s="13" t="s">
        <v>3126</v>
      </c>
      <c r="C3177" s="14" t="s">
        <v>3193</v>
      </c>
      <c r="D3177" s="1"/>
      <c r="E3177" s="1"/>
      <c r="F3177" s="1" t="str">
        <f>IFERROR(__xludf.DUMMYFUNCTION("GOOGLETRANSLATE(B3177, ""en"", ""fa"")
"),"آشپزی")</f>
        <v>آشپزی</v>
      </c>
      <c r="G3177" s="1" t="str">
        <f>IFERROR(__xludf.DUMMYFUNCTION("GOOGLETRANSLATE(C3177, ""en"", ""fa"")
"),"دنیای غذاهای خیابانی بین المللی و طعم های بی نظیر آن را کاوش کنید.")</f>
        <v>دنیای غذاهای خیابانی بین المللی و طعم های بی نظیر آن را کاوش کنید.</v>
      </c>
      <c r="H3177" s="1"/>
      <c r="I3177" s="1"/>
      <c r="J3177" s="1"/>
      <c r="K3177" s="1"/>
      <c r="L3177" s="1"/>
      <c r="M3177" s="1"/>
      <c r="N3177" s="1"/>
      <c r="O3177" s="1"/>
      <c r="P3177" s="1"/>
      <c r="Q3177" s="1"/>
      <c r="R3177" s="1"/>
      <c r="S3177" s="1"/>
      <c r="T3177" s="1"/>
      <c r="U3177" s="1"/>
      <c r="V3177" s="1"/>
      <c r="W3177" s="1"/>
      <c r="X3177" s="1"/>
      <c r="Y3177" s="1"/>
      <c r="Z3177" s="1"/>
      <c r="AA3177" s="1"/>
      <c r="AB3177" s="1"/>
    </row>
    <row r="3178" ht="50.25" customHeight="1">
      <c r="A3178" s="12">
        <v>3174.0</v>
      </c>
      <c r="B3178" s="13" t="s">
        <v>3126</v>
      </c>
      <c r="C3178" s="14" t="s">
        <v>3194</v>
      </c>
      <c r="D3178" s="1"/>
      <c r="E3178" s="1"/>
      <c r="F3178" s="1" t="str">
        <f>IFERROR(__xludf.DUMMYFUNCTION("GOOGLETRANSLATE(B3178, ""en"", ""fa"")
"),"آشپزی")</f>
        <v>آشپزی</v>
      </c>
      <c r="G3178" s="1" t="str">
        <f>IFERROR(__xludf.DUMMYFUNCTION("GOOGLETRANSLATE(C3178, ""en"", ""fa"")
"),"در مورد فواید سلامتی استفاده از غذاهای فوق العاده در آشپزی خود بحث کنید.")</f>
        <v>در مورد فواید سلامتی استفاده از غذاهای فوق العاده در آشپزی خود بحث کنید.</v>
      </c>
      <c r="H3178" s="1"/>
      <c r="I3178" s="1"/>
      <c r="J3178" s="1"/>
      <c r="K3178" s="1"/>
      <c r="L3178" s="1"/>
      <c r="M3178" s="1"/>
      <c r="N3178" s="1"/>
      <c r="O3178" s="1"/>
      <c r="P3178" s="1"/>
      <c r="Q3178" s="1"/>
      <c r="R3178" s="1"/>
      <c r="S3178" s="1"/>
      <c r="T3178" s="1"/>
      <c r="U3178" s="1"/>
      <c r="V3178" s="1"/>
      <c r="W3178" s="1"/>
      <c r="X3178" s="1"/>
      <c r="Y3178" s="1"/>
      <c r="Z3178" s="1"/>
      <c r="AA3178" s="1"/>
      <c r="AB3178" s="1"/>
    </row>
    <row r="3179" ht="50.25" customHeight="1">
      <c r="A3179" s="12">
        <v>3175.0</v>
      </c>
      <c r="B3179" s="13" t="s">
        <v>3126</v>
      </c>
      <c r="C3179" s="14" t="s">
        <v>3195</v>
      </c>
      <c r="D3179" s="1"/>
      <c r="E3179" s="1"/>
      <c r="F3179" s="1" t="str">
        <f>IFERROR(__xludf.DUMMYFUNCTION("GOOGLETRANSLATE(B3179, ""en"", ""fa"")
"),"آشپزی")</f>
        <v>آشپزی</v>
      </c>
      <c r="G3179" s="1" t="str">
        <f>IFERROR(__xludf.DUMMYFUNCTION("GOOGLETRANSLATE(C3179, ""en"", ""fa"")
"),"نکات خود را برای ایجاد غذاهای گیاهی خوش طعم و رضایت بخش به اشتراک بگذارید.")</f>
        <v>نکات خود را برای ایجاد غذاهای گیاهی خوش طعم و رضایت بخش به اشتراک بگذارید.</v>
      </c>
      <c r="H3179" s="1"/>
      <c r="I3179" s="1"/>
      <c r="J3179" s="1"/>
      <c r="K3179" s="1"/>
      <c r="L3179" s="1"/>
      <c r="M3179" s="1"/>
      <c r="N3179" s="1"/>
      <c r="O3179" s="1"/>
      <c r="P3179" s="1"/>
      <c r="Q3179" s="1"/>
      <c r="R3179" s="1"/>
      <c r="S3179" s="1"/>
      <c r="T3179" s="1"/>
      <c r="U3179" s="1"/>
      <c r="V3179" s="1"/>
      <c r="W3179" s="1"/>
      <c r="X3179" s="1"/>
      <c r="Y3179" s="1"/>
      <c r="Z3179" s="1"/>
      <c r="AA3179" s="1"/>
      <c r="AB3179" s="1"/>
    </row>
    <row r="3180" ht="50.25" customHeight="1">
      <c r="A3180" s="12">
        <v>3176.0</v>
      </c>
      <c r="B3180" s="13" t="s">
        <v>3126</v>
      </c>
      <c r="C3180" s="14" t="s">
        <v>3196</v>
      </c>
      <c r="D3180" s="1"/>
      <c r="E3180" s="1"/>
      <c r="F3180" s="1" t="str">
        <f>IFERROR(__xludf.DUMMYFUNCTION("GOOGLETRANSLATE(B3180, ""en"", ""fa"")
"),"آشپزی")</f>
        <v>آشپزی</v>
      </c>
      <c r="G3180" s="1" t="str">
        <f>IFERROR(__xludf.DUMMYFUNCTION("GOOGLETRANSLATE(C3180, ""en"", ""fa"")
"),"تکنیک ها و نکاتی را برای دستیابی به تعادل کامل شیرینی و اسیدی در دسرها بررسی کنید.")</f>
        <v>تکنیک ها و نکاتی را برای دستیابی به تعادل کامل شیرینی و اسیدی در دسرها بررسی کنید.</v>
      </c>
      <c r="H3180" s="1"/>
      <c r="I3180" s="1"/>
      <c r="J3180" s="1"/>
      <c r="K3180" s="1"/>
      <c r="L3180" s="1"/>
      <c r="M3180" s="1"/>
      <c r="N3180" s="1"/>
      <c r="O3180" s="1"/>
      <c r="P3180" s="1"/>
      <c r="Q3180" s="1"/>
      <c r="R3180" s="1"/>
      <c r="S3180" s="1"/>
      <c r="T3180" s="1"/>
      <c r="U3180" s="1"/>
      <c r="V3180" s="1"/>
      <c r="W3180" s="1"/>
      <c r="X3180" s="1"/>
      <c r="Y3180" s="1"/>
      <c r="Z3180" s="1"/>
      <c r="AA3180" s="1"/>
      <c r="AB3180" s="1"/>
    </row>
    <row r="3181" ht="50.25" customHeight="1">
      <c r="A3181" s="12">
        <v>3177.0</v>
      </c>
      <c r="B3181" s="13" t="s">
        <v>3126</v>
      </c>
      <c r="C3181" s="14" t="s">
        <v>3197</v>
      </c>
      <c r="D3181" s="1"/>
      <c r="E3181" s="1"/>
      <c r="F3181" s="1" t="str">
        <f>IFERROR(__xludf.DUMMYFUNCTION("GOOGLETRANSLATE(B3181, ""en"", ""fa"")
"),"آشپزی")</f>
        <v>آشپزی</v>
      </c>
      <c r="G3181" s="1" t="str">
        <f>IFERROR(__xludf.DUMMYFUNCTION("GOOGLETRANSLATE(C3181, ""en"", ""fa"")
"),"در مورد مزایای آشپزی با غذاهای دریایی پایدار و اخلاقی بحث کنید.")</f>
        <v>در مورد مزایای آشپزی با غذاهای دریایی پایدار و اخلاقی بحث کنید.</v>
      </c>
      <c r="H3181" s="1"/>
      <c r="I3181" s="1"/>
      <c r="J3181" s="1"/>
      <c r="K3181" s="1"/>
      <c r="L3181" s="1"/>
      <c r="M3181" s="1"/>
      <c r="N3181" s="1"/>
      <c r="O3181" s="1"/>
      <c r="P3181" s="1"/>
      <c r="Q3181" s="1"/>
      <c r="R3181" s="1"/>
      <c r="S3181" s="1"/>
      <c r="T3181" s="1"/>
      <c r="U3181" s="1"/>
      <c r="V3181" s="1"/>
      <c r="W3181" s="1"/>
      <c r="X3181" s="1"/>
      <c r="Y3181" s="1"/>
      <c r="Z3181" s="1"/>
      <c r="AA3181" s="1"/>
      <c r="AB3181" s="1"/>
    </row>
    <row r="3182" ht="50.25" customHeight="1">
      <c r="A3182" s="12">
        <v>3178.0</v>
      </c>
      <c r="B3182" s="13" t="s">
        <v>3126</v>
      </c>
      <c r="C3182" s="14" t="s">
        <v>3198</v>
      </c>
      <c r="D3182" s="1"/>
      <c r="E3182" s="1"/>
      <c r="F3182" s="1" t="str">
        <f>IFERROR(__xludf.DUMMYFUNCTION("GOOGLETRANSLATE(B3182, ""en"", ""fa"")
"),"آشپزی")</f>
        <v>آشپزی</v>
      </c>
      <c r="G3182" s="1" t="str">
        <f>IFERROR(__xludf.DUMMYFUNCTION("GOOGLETRANSLATE(C3182, ""en"", ""fa"")
"),"دستور العمل های مورد علاقه خود را برای سوپ ها و خورش های خانگی به اشتراک بگذارید.")</f>
        <v>دستور العمل های مورد علاقه خود را برای سوپ ها و خورش های خانگی به اشتراک بگذارید.</v>
      </c>
      <c r="H3182" s="1"/>
      <c r="I3182" s="1"/>
      <c r="J3182" s="1"/>
      <c r="K3182" s="1"/>
      <c r="L3182" s="1"/>
      <c r="M3182" s="1"/>
      <c r="N3182" s="1"/>
      <c r="O3182" s="1"/>
      <c r="P3182" s="1"/>
      <c r="Q3182" s="1"/>
      <c r="R3182" s="1"/>
      <c r="S3182" s="1"/>
      <c r="T3182" s="1"/>
      <c r="U3182" s="1"/>
      <c r="V3182" s="1"/>
      <c r="W3182" s="1"/>
      <c r="X3182" s="1"/>
      <c r="Y3182" s="1"/>
      <c r="Z3182" s="1"/>
      <c r="AA3182" s="1"/>
      <c r="AB3182" s="1"/>
    </row>
    <row r="3183" ht="50.25" customHeight="1">
      <c r="A3183" s="12">
        <v>3179.0</v>
      </c>
      <c r="B3183" s="13" t="s">
        <v>3126</v>
      </c>
      <c r="C3183" s="14" t="s">
        <v>3199</v>
      </c>
      <c r="D3183" s="1"/>
      <c r="E3183" s="1"/>
      <c r="F3183" s="1" t="str">
        <f>IFERROR(__xludf.DUMMYFUNCTION("GOOGLETRANSLATE(B3183, ""en"", ""fa"")
"),"آشپزی")</f>
        <v>آشپزی</v>
      </c>
      <c r="G3183" s="1" t="str">
        <f>IFERROR(__xludf.DUMMYFUNCTION("GOOGLETRANSLATE(C3183, ""en"", ""fa"")
"),"تکنیک ها و نکاتی را برای دستیابی به کاراملیزاسیون ایده آل در آشپزی بررسی کنید.")</f>
        <v>تکنیک ها و نکاتی را برای دستیابی به کاراملیزاسیون ایده آل در آشپزی بررسی کنید.</v>
      </c>
      <c r="H3183" s="1"/>
      <c r="I3183" s="1"/>
      <c r="J3183" s="1"/>
      <c r="K3183" s="1"/>
      <c r="L3183" s="1"/>
      <c r="M3183" s="1"/>
      <c r="N3183" s="1"/>
      <c r="O3183" s="1"/>
      <c r="P3183" s="1"/>
      <c r="Q3183" s="1"/>
      <c r="R3183" s="1"/>
      <c r="S3183" s="1"/>
      <c r="T3183" s="1"/>
      <c r="U3183" s="1"/>
      <c r="V3183" s="1"/>
      <c r="W3183" s="1"/>
      <c r="X3183" s="1"/>
      <c r="Y3183" s="1"/>
      <c r="Z3183" s="1"/>
      <c r="AA3183" s="1"/>
      <c r="AB3183" s="1"/>
    </row>
    <row r="3184" ht="50.25" customHeight="1">
      <c r="A3184" s="12">
        <v>3180.0</v>
      </c>
      <c r="B3184" s="13" t="s">
        <v>3126</v>
      </c>
      <c r="C3184" s="14" t="s">
        <v>3200</v>
      </c>
      <c r="D3184" s="1"/>
      <c r="E3184" s="1"/>
      <c r="F3184" s="1" t="str">
        <f>IFERROR(__xludf.DUMMYFUNCTION("GOOGLETRANSLATE(B3184, ""en"", ""fa"")
"),"آشپزی")</f>
        <v>آشپزی</v>
      </c>
      <c r="G3184" s="1" t="str">
        <f>IFERROR(__xludf.DUMMYFUNCTION("GOOGLETRANSLATE(C3184, ""en"", ""fa"")
"),"در مورد سنت ها و آداب و رسوم فرهنگی مرتبط با غذا و آشپزی بحث کنید.")</f>
        <v>در مورد سنت ها و آداب و رسوم فرهنگی مرتبط با غذا و آشپزی بحث کنید.</v>
      </c>
      <c r="H3184" s="1"/>
      <c r="I3184" s="1"/>
      <c r="J3184" s="1"/>
      <c r="K3184" s="1"/>
      <c r="L3184" s="1"/>
      <c r="M3184" s="1"/>
      <c r="N3184" s="1"/>
      <c r="O3184" s="1"/>
      <c r="P3184" s="1"/>
      <c r="Q3184" s="1"/>
      <c r="R3184" s="1"/>
      <c r="S3184" s="1"/>
      <c r="T3184" s="1"/>
      <c r="U3184" s="1"/>
      <c r="V3184" s="1"/>
      <c r="W3184" s="1"/>
      <c r="X3184" s="1"/>
      <c r="Y3184" s="1"/>
      <c r="Z3184" s="1"/>
      <c r="AA3184" s="1"/>
      <c r="AB3184" s="1"/>
    </row>
    <row r="3185" ht="50.25" customHeight="1">
      <c r="A3185" s="12">
        <v>3181.0</v>
      </c>
      <c r="B3185" s="13" t="s">
        <v>3126</v>
      </c>
      <c r="C3185" s="14" t="s">
        <v>3201</v>
      </c>
      <c r="D3185" s="1"/>
      <c r="E3185" s="1"/>
      <c r="F3185" s="1" t="str">
        <f>IFERROR(__xludf.DUMMYFUNCTION("GOOGLETRANSLATE(B3185, ""en"", ""fa"")
"),"آشپزی")</f>
        <v>آشپزی</v>
      </c>
      <c r="G3185" s="1" t="str">
        <f>IFERROR(__xludf.DUMMYFUNCTION("GOOGLETRANSLATE(C3185, ""en"", ""fa"")
"),"نکات خود را برای آشپزی برای جمعیت، مانند میزبانی یک مهمانی شام یا جمع خانوادگی به اشتراک بگذارید.")</f>
        <v>نکات خود را برای آشپزی برای جمعیت، مانند میزبانی یک مهمانی شام یا جمع خانوادگی به اشتراک بگذارید.</v>
      </c>
      <c r="H3185" s="1"/>
      <c r="I3185" s="1"/>
      <c r="J3185" s="1"/>
      <c r="K3185" s="1"/>
      <c r="L3185" s="1"/>
      <c r="M3185" s="1"/>
      <c r="N3185" s="1"/>
      <c r="O3185" s="1"/>
      <c r="P3185" s="1"/>
      <c r="Q3185" s="1"/>
      <c r="R3185" s="1"/>
      <c r="S3185" s="1"/>
      <c r="T3185" s="1"/>
      <c r="U3185" s="1"/>
      <c r="V3185" s="1"/>
      <c r="W3185" s="1"/>
      <c r="X3185" s="1"/>
      <c r="Y3185" s="1"/>
      <c r="Z3185" s="1"/>
      <c r="AA3185" s="1"/>
      <c r="AB3185" s="1"/>
    </row>
    <row r="3186" ht="50.25" customHeight="1">
      <c r="A3186" s="12">
        <v>3182.0</v>
      </c>
      <c r="B3186" s="13" t="s">
        <v>3126</v>
      </c>
      <c r="C3186" s="14" t="s">
        <v>3202</v>
      </c>
      <c r="D3186" s="1"/>
      <c r="E3186" s="1"/>
      <c r="F3186" s="1" t="str">
        <f>IFERROR(__xludf.DUMMYFUNCTION("GOOGLETRANSLATE(B3186, ""en"", ""fa"")
"),"آشپزی")</f>
        <v>آشپزی</v>
      </c>
      <c r="G3186" s="1" t="str">
        <f>IFERROR(__xludf.DUMMYFUNCTION("GOOGLETRANSLATE(C3186, ""en"", ""fa"")
"),"تکنیک ها و نکاتی را برای دستیابی به بافت عالی در جایگزین های پروتئین گیاهی یا گیاهخواری بررسی کنید.")</f>
        <v>تکنیک ها و نکاتی را برای دستیابی به بافت عالی در جایگزین های پروتئین گیاهی یا گیاهخواری بررسی کنید.</v>
      </c>
      <c r="H3186" s="1"/>
      <c r="I3186" s="1"/>
      <c r="J3186" s="1"/>
      <c r="K3186" s="1"/>
      <c r="L3186" s="1"/>
      <c r="M3186" s="1"/>
      <c r="N3186" s="1"/>
      <c r="O3186" s="1"/>
      <c r="P3186" s="1"/>
      <c r="Q3186" s="1"/>
      <c r="R3186" s="1"/>
      <c r="S3186" s="1"/>
      <c r="T3186" s="1"/>
      <c r="U3186" s="1"/>
      <c r="V3186" s="1"/>
      <c r="W3186" s="1"/>
      <c r="X3186" s="1"/>
      <c r="Y3186" s="1"/>
      <c r="Z3186" s="1"/>
      <c r="AA3186" s="1"/>
      <c r="AB3186" s="1"/>
    </row>
    <row r="3187" ht="50.25" customHeight="1">
      <c r="A3187" s="12">
        <v>3183.0</v>
      </c>
      <c r="B3187" s="13" t="s">
        <v>3126</v>
      </c>
      <c r="C3187" s="14" t="s">
        <v>3203</v>
      </c>
      <c r="D3187" s="1"/>
      <c r="E3187" s="1"/>
      <c r="F3187" s="1" t="str">
        <f>IFERROR(__xludf.DUMMYFUNCTION("GOOGLETRANSLATE(B3187, ""en"", ""fa"")
"),"آشپزی")</f>
        <v>آشپزی</v>
      </c>
      <c r="G3187" s="1" t="str">
        <f>IFERROR(__xludf.DUMMYFUNCTION("GOOGLETRANSLATE(C3187, ""en"", ""fa"")
"),"در مورد مزایای استفاده از غلات باستانی در آشپزی خود صحبت کنید.")</f>
        <v>در مورد مزایای استفاده از غلات باستانی در آشپزی خود صحبت کنید.</v>
      </c>
      <c r="H3187" s="1"/>
      <c r="I3187" s="1"/>
      <c r="J3187" s="1"/>
      <c r="K3187" s="1"/>
      <c r="L3187" s="1"/>
      <c r="M3187" s="1"/>
      <c r="N3187" s="1"/>
      <c r="O3187" s="1"/>
      <c r="P3187" s="1"/>
      <c r="Q3187" s="1"/>
      <c r="R3187" s="1"/>
      <c r="S3187" s="1"/>
      <c r="T3187" s="1"/>
      <c r="U3187" s="1"/>
      <c r="V3187" s="1"/>
      <c r="W3187" s="1"/>
      <c r="X3187" s="1"/>
      <c r="Y3187" s="1"/>
      <c r="Z3187" s="1"/>
      <c r="AA3187" s="1"/>
      <c r="AB3187" s="1"/>
    </row>
    <row r="3188" ht="50.25" customHeight="1">
      <c r="A3188" s="12">
        <v>3184.0</v>
      </c>
      <c r="B3188" s="13" t="s">
        <v>3126</v>
      </c>
      <c r="C3188" s="14" t="s">
        <v>3204</v>
      </c>
      <c r="D3188" s="1"/>
      <c r="E3188" s="1"/>
      <c r="F3188" s="1" t="str">
        <f>IFERROR(__xludf.DUMMYFUNCTION("GOOGLETRANSLATE(B3188, ""en"", ""fa"")
"),"آشپزی")</f>
        <v>آشپزی</v>
      </c>
      <c r="G3188" s="1" t="str">
        <f>IFERROR(__xludf.DUMMYFUNCTION("GOOGLETRANSLATE(C3188, ""en"", ""fa"")
"),"دستور العمل های مورد علاقه خود را برای پیتزا و تاپینگ های خانگی به اشتراک بگذارید.")</f>
        <v>دستور العمل های مورد علاقه خود را برای پیتزا و تاپینگ های خانگی به اشتراک بگذارید.</v>
      </c>
      <c r="H3188" s="1"/>
      <c r="I3188" s="1"/>
      <c r="J3188" s="1"/>
      <c r="K3188" s="1"/>
      <c r="L3188" s="1"/>
      <c r="M3188" s="1"/>
      <c r="N3188" s="1"/>
      <c r="O3188" s="1"/>
      <c r="P3188" s="1"/>
      <c r="Q3188" s="1"/>
      <c r="R3188" s="1"/>
      <c r="S3188" s="1"/>
      <c r="T3188" s="1"/>
      <c r="U3188" s="1"/>
      <c r="V3188" s="1"/>
      <c r="W3188" s="1"/>
      <c r="X3188" s="1"/>
      <c r="Y3188" s="1"/>
      <c r="Z3188" s="1"/>
      <c r="AA3188" s="1"/>
      <c r="AB3188" s="1"/>
    </row>
    <row r="3189" ht="50.25" customHeight="1">
      <c r="A3189" s="12">
        <v>3185.0</v>
      </c>
      <c r="B3189" s="13" t="s">
        <v>3126</v>
      </c>
      <c r="C3189" s="14" t="s">
        <v>3205</v>
      </c>
      <c r="D3189" s="1"/>
      <c r="E3189" s="1"/>
      <c r="F3189" s="1" t="str">
        <f>IFERROR(__xludf.DUMMYFUNCTION("GOOGLETRANSLATE(B3189, ""en"", ""fa"")
"),"آشپزی")</f>
        <v>آشپزی</v>
      </c>
      <c r="G3189" s="1" t="str">
        <f>IFERROR(__xludf.DUMMYFUNCTION("GOOGLETRANSLATE(C3189, ""en"", ""fa"")
"),"تکنیک ها و نکاتی را برای دستیابی به تعادل ایده آل طعم ها در غذاهای آسیایی بررسی کنید.")</f>
        <v>تکنیک ها و نکاتی را برای دستیابی به تعادل ایده آل طعم ها در غذاهای آسیایی بررسی کنید.</v>
      </c>
      <c r="H3189" s="1"/>
      <c r="I3189" s="1"/>
      <c r="J3189" s="1"/>
      <c r="K3189" s="1"/>
      <c r="L3189" s="1"/>
      <c r="M3189" s="1"/>
      <c r="N3189" s="1"/>
      <c r="O3189" s="1"/>
      <c r="P3189" s="1"/>
      <c r="Q3189" s="1"/>
      <c r="R3189" s="1"/>
      <c r="S3189" s="1"/>
      <c r="T3189" s="1"/>
      <c r="U3189" s="1"/>
      <c r="V3189" s="1"/>
      <c r="W3189" s="1"/>
      <c r="X3189" s="1"/>
      <c r="Y3189" s="1"/>
      <c r="Z3189" s="1"/>
      <c r="AA3189" s="1"/>
      <c r="AB3189" s="1"/>
    </row>
    <row r="3190" ht="50.25" customHeight="1">
      <c r="A3190" s="12">
        <v>3186.0</v>
      </c>
      <c r="B3190" s="13" t="s">
        <v>3126</v>
      </c>
      <c r="C3190" s="14" t="s">
        <v>3206</v>
      </c>
      <c r="D3190" s="1"/>
      <c r="E3190" s="1"/>
      <c r="F3190" s="1" t="str">
        <f>IFERROR(__xludf.DUMMYFUNCTION("GOOGLETRANSLATE(B3190, ""en"", ""fa"")
"),"آشپزی")</f>
        <v>آشپزی</v>
      </c>
      <c r="G3190" s="1" t="str">
        <f>IFERROR(__xludf.DUMMYFUNCTION("GOOGLETRANSLATE(C3190, ""en"", ""fa"")
"),"در مورد فواید پخت و پز با گیاهان و ادویه جات مانند زردچوبه یا دارچین صحبت کنید.")</f>
        <v>در مورد فواید پخت و پز با گیاهان و ادویه جات مانند زردچوبه یا دارچین صحبت کنید.</v>
      </c>
      <c r="H3190" s="1"/>
      <c r="I3190" s="1"/>
      <c r="J3190" s="1"/>
      <c r="K3190" s="1"/>
      <c r="L3190" s="1"/>
      <c r="M3190" s="1"/>
      <c r="N3190" s="1"/>
      <c r="O3190" s="1"/>
      <c r="P3190" s="1"/>
      <c r="Q3190" s="1"/>
      <c r="R3190" s="1"/>
      <c r="S3190" s="1"/>
      <c r="T3190" s="1"/>
      <c r="U3190" s="1"/>
      <c r="V3190" s="1"/>
      <c r="W3190" s="1"/>
      <c r="X3190" s="1"/>
      <c r="Y3190" s="1"/>
      <c r="Z3190" s="1"/>
      <c r="AA3190" s="1"/>
      <c r="AB3190" s="1"/>
    </row>
    <row r="3191" ht="50.25" customHeight="1">
      <c r="A3191" s="12">
        <v>3187.0</v>
      </c>
      <c r="B3191" s="13" t="s">
        <v>3126</v>
      </c>
      <c r="C3191" s="14" t="s">
        <v>3207</v>
      </c>
      <c r="D3191" s="1"/>
      <c r="E3191" s="1"/>
      <c r="F3191" s="1" t="str">
        <f>IFERROR(__xludf.DUMMYFUNCTION("GOOGLETRANSLATE(B3191, ""en"", ""fa"")
"),"آشپزی")</f>
        <v>آشپزی</v>
      </c>
      <c r="G3191" s="1" t="str">
        <f>IFERROR(__xludf.DUMMYFUNCTION("GOOGLETRANSLATE(C3191, ""en"", ""fa"")
"),"نکات خود را برای آشپزی با تجهیزات یا منابع محدود آشپزخانه به اشتراک بگذارید.")</f>
        <v>نکات خود را برای آشپزی با تجهیزات یا منابع محدود آشپزخانه به اشتراک بگذارید.</v>
      </c>
      <c r="H3191" s="1"/>
      <c r="I3191" s="1"/>
      <c r="J3191" s="1"/>
      <c r="K3191" s="1"/>
      <c r="L3191" s="1"/>
      <c r="M3191" s="1"/>
      <c r="N3191" s="1"/>
      <c r="O3191" s="1"/>
      <c r="P3191" s="1"/>
      <c r="Q3191" s="1"/>
      <c r="R3191" s="1"/>
      <c r="S3191" s="1"/>
      <c r="T3191" s="1"/>
      <c r="U3191" s="1"/>
      <c r="V3191" s="1"/>
      <c r="W3191" s="1"/>
      <c r="X3191" s="1"/>
      <c r="Y3191" s="1"/>
      <c r="Z3191" s="1"/>
      <c r="AA3191" s="1"/>
      <c r="AB3191" s="1"/>
    </row>
    <row r="3192" ht="50.25" customHeight="1">
      <c r="A3192" s="12">
        <v>3188.0</v>
      </c>
      <c r="B3192" s="13" t="s">
        <v>3126</v>
      </c>
      <c r="C3192" s="14" t="s">
        <v>3208</v>
      </c>
      <c r="D3192" s="1"/>
      <c r="E3192" s="1"/>
      <c r="F3192" s="1" t="str">
        <f>IFERROR(__xludf.DUMMYFUNCTION("GOOGLETRANSLATE(B3192, ""en"", ""fa"")
"),"آشپزی")</f>
        <v>آشپزی</v>
      </c>
      <c r="G3192" s="1" t="str">
        <f>IFERROR(__xludf.DUMMYFUNCTION("GOOGLETRANSLATE(C3192, ""en"", ""fa"")
"),"تکنیک ها و نکاتی را برای دستیابی به پوسته پوسته شدن ایده آل در خمیر شیرینی کاوش کنید.")</f>
        <v>تکنیک ها و نکاتی را برای دستیابی به پوسته پوسته شدن ایده آل در خمیر شیرینی کاوش کنید.</v>
      </c>
      <c r="H3192" s="1"/>
      <c r="I3192" s="1"/>
      <c r="J3192" s="1"/>
      <c r="K3192" s="1"/>
      <c r="L3192" s="1"/>
      <c r="M3192" s="1"/>
      <c r="N3192" s="1"/>
      <c r="O3192" s="1"/>
      <c r="P3192" s="1"/>
      <c r="Q3192" s="1"/>
      <c r="R3192" s="1"/>
      <c r="S3192" s="1"/>
      <c r="T3192" s="1"/>
      <c r="U3192" s="1"/>
      <c r="V3192" s="1"/>
      <c r="W3192" s="1"/>
      <c r="X3192" s="1"/>
      <c r="Y3192" s="1"/>
      <c r="Z3192" s="1"/>
      <c r="AA3192" s="1"/>
      <c r="AB3192" s="1"/>
    </row>
    <row r="3193" ht="50.25" customHeight="1">
      <c r="A3193" s="12">
        <v>3189.0</v>
      </c>
      <c r="B3193" s="13" t="s">
        <v>3126</v>
      </c>
      <c r="C3193" s="14" t="s">
        <v>3209</v>
      </c>
      <c r="D3193" s="1"/>
      <c r="E3193" s="1"/>
      <c r="F3193" s="1" t="str">
        <f>IFERROR(__xludf.DUMMYFUNCTION("GOOGLETRANSLATE(B3193, ""en"", ""fa"")
"),"آشپزی")</f>
        <v>آشپزی</v>
      </c>
      <c r="G3193" s="1" t="str">
        <f>IFERROR(__xludf.DUMMYFUNCTION("GOOGLETRANSLATE(C3193, ""en"", ""fa"")
"),"در مورد فواید آشپزی با گیاهان فصلی و گل های خوراکی صحبت کنید.")</f>
        <v>در مورد فواید آشپزی با گیاهان فصلی و گل های خوراکی صحبت کنید.</v>
      </c>
      <c r="H3193" s="1"/>
      <c r="I3193" s="1"/>
      <c r="J3193" s="1"/>
      <c r="K3193" s="1"/>
      <c r="L3193" s="1"/>
      <c r="M3193" s="1"/>
      <c r="N3193" s="1"/>
      <c r="O3193" s="1"/>
      <c r="P3193" s="1"/>
      <c r="Q3193" s="1"/>
      <c r="R3193" s="1"/>
      <c r="S3193" s="1"/>
      <c r="T3193" s="1"/>
      <c r="U3193" s="1"/>
      <c r="V3193" s="1"/>
      <c r="W3193" s="1"/>
      <c r="X3193" s="1"/>
      <c r="Y3193" s="1"/>
      <c r="Z3193" s="1"/>
      <c r="AA3193" s="1"/>
      <c r="AB3193" s="1"/>
    </row>
    <row r="3194" ht="50.25" customHeight="1">
      <c r="A3194" s="12">
        <v>3190.0</v>
      </c>
      <c r="B3194" s="13" t="s">
        <v>3126</v>
      </c>
      <c r="C3194" s="14" t="s">
        <v>3210</v>
      </c>
      <c r="D3194" s="1"/>
      <c r="E3194" s="1"/>
      <c r="F3194" s="1" t="str">
        <f>IFERROR(__xludf.DUMMYFUNCTION("GOOGLETRANSLATE(B3194, ""en"", ""fa"")
"),"آشپزی")</f>
        <v>آشپزی</v>
      </c>
      <c r="G3194" s="1" t="str">
        <f>IFERROR(__xludf.DUMMYFUNCTION("GOOGLETRANSLATE(C3194, ""en"", ""fa"")
"),"دستور العمل های مورد علاقه خود را برای دیپ و اسپری های خانگی به اشتراک بگذارید.")</f>
        <v>دستور العمل های مورد علاقه خود را برای دیپ و اسپری های خانگی به اشتراک بگذارید.</v>
      </c>
      <c r="H3194" s="1"/>
      <c r="I3194" s="1"/>
      <c r="J3194" s="1"/>
      <c r="K3194" s="1"/>
      <c r="L3194" s="1"/>
      <c r="M3194" s="1"/>
      <c r="N3194" s="1"/>
      <c r="O3194" s="1"/>
      <c r="P3194" s="1"/>
      <c r="Q3194" s="1"/>
      <c r="R3194" s="1"/>
      <c r="S3194" s="1"/>
      <c r="T3194" s="1"/>
      <c r="U3194" s="1"/>
      <c r="V3194" s="1"/>
      <c r="W3194" s="1"/>
      <c r="X3194" s="1"/>
      <c r="Y3194" s="1"/>
      <c r="Z3194" s="1"/>
      <c r="AA3194" s="1"/>
      <c r="AB3194" s="1"/>
    </row>
    <row r="3195" ht="50.25" customHeight="1">
      <c r="A3195" s="12">
        <v>3191.0</v>
      </c>
      <c r="B3195" s="13" t="s">
        <v>3126</v>
      </c>
      <c r="C3195" s="14" t="s">
        <v>3211</v>
      </c>
      <c r="D3195" s="1"/>
      <c r="E3195" s="1"/>
      <c r="F3195" s="1" t="str">
        <f>IFERROR(__xludf.DUMMYFUNCTION("GOOGLETRANSLATE(B3195, ""en"", ""fa"")
"),"آشپزی")</f>
        <v>آشپزی</v>
      </c>
      <c r="G3195" s="1" t="str">
        <f>IFERROR(__xludf.DUMMYFUNCTION("GOOGLETRANSLATE(C3195, ""en"", ""fa"")
"),"تکنیک ها و نکاتی را برای دستیابی به سیر ایده آل در مورد گوشت و پروتئین بررسی کنید.")</f>
        <v>تکنیک ها و نکاتی را برای دستیابی به سیر ایده آل در مورد گوشت و پروتئین بررسی کنید.</v>
      </c>
      <c r="H3195" s="1"/>
      <c r="I3195" s="1"/>
      <c r="J3195" s="1"/>
      <c r="K3195" s="1"/>
      <c r="L3195" s="1"/>
      <c r="M3195" s="1"/>
      <c r="N3195" s="1"/>
      <c r="O3195" s="1"/>
      <c r="P3195" s="1"/>
      <c r="Q3195" s="1"/>
      <c r="R3195" s="1"/>
      <c r="S3195" s="1"/>
      <c r="T3195" s="1"/>
      <c r="U3195" s="1"/>
      <c r="V3195" s="1"/>
      <c r="W3195" s="1"/>
      <c r="X3195" s="1"/>
      <c r="Y3195" s="1"/>
      <c r="Z3195" s="1"/>
      <c r="AA3195" s="1"/>
      <c r="AB3195" s="1"/>
    </row>
    <row r="3196" ht="50.25" customHeight="1">
      <c r="A3196" s="12">
        <v>3192.0</v>
      </c>
      <c r="B3196" s="13" t="s">
        <v>3126</v>
      </c>
      <c r="C3196" s="14" t="s">
        <v>3212</v>
      </c>
      <c r="D3196" s="1"/>
      <c r="E3196" s="1"/>
      <c r="F3196" s="1" t="str">
        <f>IFERROR(__xludf.DUMMYFUNCTION("GOOGLETRANSLATE(B3196, ""en"", ""fa"")
"),"آشپزی")</f>
        <v>آشپزی</v>
      </c>
      <c r="G3196" s="1" t="str">
        <f>IFERROR(__xludf.DUMMYFUNCTION("GOOGLETRANSLATE(C3196, ""en"", ""fa"")
"),"در مورد تأثیرات فرهنگی بر غذاهای تلفیقی و ترکیبات خلاقانه آن بحث کنید.")</f>
        <v>در مورد تأثیرات فرهنگی بر غذاهای تلفیقی و ترکیبات خلاقانه آن بحث کنید.</v>
      </c>
      <c r="H3196" s="1"/>
      <c r="I3196" s="1"/>
      <c r="J3196" s="1"/>
      <c r="K3196" s="1"/>
      <c r="L3196" s="1"/>
      <c r="M3196" s="1"/>
      <c r="N3196" s="1"/>
      <c r="O3196" s="1"/>
      <c r="P3196" s="1"/>
      <c r="Q3196" s="1"/>
      <c r="R3196" s="1"/>
      <c r="S3196" s="1"/>
      <c r="T3196" s="1"/>
      <c r="U3196" s="1"/>
      <c r="V3196" s="1"/>
      <c r="W3196" s="1"/>
      <c r="X3196" s="1"/>
      <c r="Y3196" s="1"/>
      <c r="Z3196" s="1"/>
      <c r="AA3196" s="1"/>
      <c r="AB3196" s="1"/>
    </row>
    <row r="3197" ht="50.25" customHeight="1">
      <c r="A3197" s="12">
        <v>3193.0</v>
      </c>
      <c r="B3197" s="13" t="s">
        <v>3126</v>
      </c>
      <c r="C3197" s="14" t="s">
        <v>3213</v>
      </c>
      <c r="D3197" s="1"/>
      <c r="E3197" s="1"/>
      <c r="F3197" s="1" t="str">
        <f>IFERROR(__xludf.DUMMYFUNCTION("GOOGLETRANSLATE(B3197, ""en"", ""fa"")
"),"آشپزی")</f>
        <v>آشپزی</v>
      </c>
      <c r="G3197" s="1" t="str">
        <f>IFERROR(__xludf.DUMMYFUNCTION("GOOGLETRANSLATE(C3197, ""en"", ""fa"")
"),"نکات خود را برای به حداکثر رساندن طعم در غذاهای گیاهی یا وگان بدون تکیه بر جایگزین های گوشت به اشتراک بگذارید.")</f>
        <v>نکات خود را برای به حداکثر رساندن طعم در غذاهای گیاهی یا وگان بدون تکیه بر جایگزین های گوشت به اشتراک بگذارید.</v>
      </c>
      <c r="H3197" s="1"/>
      <c r="I3197" s="1"/>
      <c r="J3197" s="1"/>
      <c r="K3197" s="1"/>
      <c r="L3197" s="1"/>
      <c r="M3197" s="1"/>
      <c r="N3197" s="1"/>
      <c r="O3197" s="1"/>
      <c r="P3197" s="1"/>
      <c r="Q3197" s="1"/>
      <c r="R3197" s="1"/>
      <c r="S3197" s="1"/>
      <c r="T3197" s="1"/>
      <c r="U3197" s="1"/>
      <c r="V3197" s="1"/>
      <c r="W3197" s="1"/>
      <c r="X3197" s="1"/>
      <c r="Y3197" s="1"/>
      <c r="Z3197" s="1"/>
      <c r="AA3197" s="1"/>
      <c r="AB3197" s="1"/>
    </row>
    <row r="3198" ht="50.25" customHeight="1">
      <c r="A3198" s="12">
        <v>3194.0</v>
      </c>
      <c r="B3198" s="13" t="s">
        <v>3126</v>
      </c>
      <c r="C3198" s="14" t="s">
        <v>3214</v>
      </c>
      <c r="D3198" s="1"/>
      <c r="E3198" s="1"/>
      <c r="F3198" s="1" t="str">
        <f>IFERROR(__xludf.DUMMYFUNCTION("GOOGLETRANSLATE(B3198, ""en"", ""fa"")
"),"آشپزی")</f>
        <v>آشپزی</v>
      </c>
      <c r="G3198" s="1" t="str">
        <f>IFERROR(__xludf.DUMMYFUNCTION("GOOGLETRANSLATE(C3198, ""en"", ""fa"")
"),"تکنیک ها و نکاتی را برای دستیابی به بافت ایده آل در پخت بدون گلوتن بررسی کنید.")</f>
        <v>تکنیک ها و نکاتی را برای دستیابی به بافت ایده آل در پخت بدون گلوتن بررسی کنید.</v>
      </c>
      <c r="H3198" s="1"/>
      <c r="I3198" s="1"/>
      <c r="J3198" s="1"/>
      <c r="K3198" s="1"/>
      <c r="L3198" s="1"/>
      <c r="M3198" s="1"/>
      <c r="N3198" s="1"/>
      <c r="O3198" s="1"/>
      <c r="P3198" s="1"/>
      <c r="Q3198" s="1"/>
      <c r="R3198" s="1"/>
      <c r="S3198" s="1"/>
      <c r="T3198" s="1"/>
      <c r="U3198" s="1"/>
      <c r="V3198" s="1"/>
      <c r="W3198" s="1"/>
      <c r="X3198" s="1"/>
      <c r="Y3198" s="1"/>
      <c r="Z3198" s="1"/>
      <c r="AA3198" s="1"/>
      <c r="AB3198" s="1"/>
    </row>
    <row r="3199" ht="50.25" customHeight="1">
      <c r="A3199" s="12">
        <v>3195.0</v>
      </c>
      <c r="B3199" s="13" t="s">
        <v>3126</v>
      </c>
      <c r="C3199" s="14" t="s">
        <v>3215</v>
      </c>
      <c r="D3199" s="1"/>
      <c r="E3199" s="1"/>
      <c r="F3199" s="1" t="str">
        <f>IFERROR(__xludf.DUMMYFUNCTION("GOOGLETRANSLATE(B3199, ""en"", ""fa"")
"),"آشپزی")</f>
        <v>آشپزی</v>
      </c>
      <c r="G3199" s="1" t="str">
        <f>IFERROR(__xludf.DUMMYFUNCTION("GOOGLETRANSLATE(C3199, ""en"", ""fa"")
"),"در مورد فواید پخت و پز با گوشت های پایدار و اخلاقی صحبت کنید.")</f>
        <v>در مورد فواید پخت و پز با گوشت های پایدار و اخلاقی صحبت کنید.</v>
      </c>
      <c r="H3199" s="1"/>
      <c r="I3199" s="1"/>
      <c r="J3199" s="1"/>
      <c r="K3199" s="1"/>
      <c r="L3199" s="1"/>
      <c r="M3199" s="1"/>
      <c r="N3199" s="1"/>
      <c r="O3199" s="1"/>
      <c r="P3199" s="1"/>
      <c r="Q3199" s="1"/>
      <c r="R3199" s="1"/>
      <c r="S3199" s="1"/>
      <c r="T3199" s="1"/>
      <c r="U3199" s="1"/>
      <c r="V3199" s="1"/>
      <c r="W3199" s="1"/>
      <c r="X3199" s="1"/>
      <c r="Y3199" s="1"/>
      <c r="Z3199" s="1"/>
      <c r="AA3199" s="1"/>
      <c r="AB3199" s="1"/>
    </row>
    <row r="3200" ht="50.25" customHeight="1">
      <c r="A3200" s="12">
        <v>3196.0</v>
      </c>
      <c r="B3200" s="13" t="s">
        <v>3126</v>
      </c>
      <c r="C3200" s="14" t="s">
        <v>3216</v>
      </c>
      <c r="D3200" s="1"/>
      <c r="E3200" s="1"/>
      <c r="F3200" s="1" t="str">
        <f>IFERROR(__xludf.DUMMYFUNCTION("GOOGLETRANSLATE(B3200, ""en"", ""fa"")
"),"آشپزی")</f>
        <v>آشپزی</v>
      </c>
      <c r="G3200" s="1" t="str">
        <f>IFERROR(__xludf.DUMMYFUNCTION("GOOGLETRANSLATE(C3200, ""en"", ""fa"")
"),"دستور العمل های مورد علاقه خود را برای چاشنی ها و مارینادهای خانگی به اشتراک بگذارید.")</f>
        <v>دستور العمل های مورد علاقه خود را برای چاشنی ها و مارینادهای خانگی به اشتراک بگذارید.</v>
      </c>
      <c r="H3200" s="1"/>
      <c r="I3200" s="1"/>
      <c r="J3200" s="1"/>
      <c r="K3200" s="1"/>
      <c r="L3200" s="1"/>
      <c r="M3200" s="1"/>
      <c r="N3200" s="1"/>
      <c r="O3200" s="1"/>
      <c r="P3200" s="1"/>
      <c r="Q3200" s="1"/>
      <c r="R3200" s="1"/>
      <c r="S3200" s="1"/>
      <c r="T3200" s="1"/>
      <c r="U3200" s="1"/>
      <c r="V3200" s="1"/>
      <c r="W3200" s="1"/>
      <c r="X3200" s="1"/>
      <c r="Y3200" s="1"/>
      <c r="Z3200" s="1"/>
      <c r="AA3200" s="1"/>
      <c r="AB3200" s="1"/>
    </row>
    <row r="3201" ht="50.25" customHeight="1">
      <c r="A3201" s="12">
        <v>3197.0</v>
      </c>
      <c r="B3201" s="13" t="s">
        <v>3126</v>
      </c>
      <c r="C3201" s="14" t="s">
        <v>3217</v>
      </c>
      <c r="D3201" s="1"/>
      <c r="E3201" s="1"/>
      <c r="F3201" s="1" t="str">
        <f>IFERROR(__xludf.DUMMYFUNCTION("GOOGLETRANSLATE(B3201, ""en"", ""fa"")
"),"آشپزی")</f>
        <v>آشپزی</v>
      </c>
      <c r="G3201" s="1" t="str">
        <f>IFERROR(__xludf.DUMMYFUNCTION("GOOGLETRANSLATE(C3201, ""en"", ""fa"")
"),"تکنیک ها و نکاتی را برای دستیابی به تعادل کامل گرما و ادویه در ظروف بررسی کنید.")</f>
        <v>تکنیک ها و نکاتی را برای دستیابی به تعادل کامل گرما و ادویه در ظروف بررسی کنید.</v>
      </c>
      <c r="H3201" s="1"/>
      <c r="I3201" s="1"/>
      <c r="J3201" s="1"/>
      <c r="K3201" s="1"/>
      <c r="L3201" s="1"/>
      <c r="M3201" s="1"/>
      <c r="N3201" s="1"/>
      <c r="O3201" s="1"/>
      <c r="P3201" s="1"/>
      <c r="Q3201" s="1"/>
      <c r="R3201" s="1"/>
      <c r="S3201" s="1"/>
      <c r="T3201" s="1"/>
      <c r="U3201" s="1"/>
      <c r="V3201" s="1"/>
      <c r="W3201" s="1"/>
      <c r="X3201" s="1"/>
      <c r="Y3201" s="1"/>
      <c r="Z3201" s="1"/>
      <c r="AA3201" s="1"/>
      <c r="AB3201" s="1"/>
    </row>
    <row r="3202" ht="50.25" customHeight="1">
      <c r="A3202" s="12">
        <v>3198.0</v>
      </c>
      <c r="B3202" s="13" t="s">
        <v>3126</v>
      </c>
      <c r="C3202" s="14" t="s">
        <v>3218</v>
      </c>
      <c r="D3202" s="1"/>
      <c r="E3202" s="1"/>
      <c r="F3202" s="1" t="str">
        <f>IFERROR(__xludf.DUMMYFUNCTION("GOOGLETRANSLATE(B3202, ""en"", ""fa"")
"),"آشپزی")</f>
        <v>آشپزی</v>
      </c>
      <c r="G3202" s="1" t="str">
        <f>IFERROR(__xludf.DUMMYFUNCTION("GOOGLETRANSLATE(C3202, ""en"", ""fa"")
"),"در مورد فواید سلامتی گنجاندن بیشتر غذاهای کامل در آشپزی خود بحث کنید.")</f>
        <v>در مورد فواید سلامتی گنجاندن بیشتر غذاهای کامل در آشپزی خود بحث کنید.</v>
      </c>
      <c r="H3202" s="1"/>
      <c r="I3202" s="1"/>
      <c r="J3202" s="1"/>
      <c r="K3202" s="1"/>
      <c r="L3202" s="1"/>
      <c r="M3202" s="1"/>
      <c r="N3202" s="1"/>
      <c r="O3202" s="1"/>
      <c r="P3202" s="1"/>
      <c r="Q3202" s="1"/>
      <c r="R3202" s="1"/>
      <c r="S3202" s="1"/>
      <c r="T3202" s="1"/>
      <c r="U3202" s="1"/>
      <c r="V3202" s="1"/>
      <c r="W3202" s="1"/>
      <c r="X3202" s="1"/>
      <c r="Y3202" s="1"/>
      <c r="Z3202" s="1"/>
      <c r="AA3202" s="1"/>
      <c r="AB3202" s="1"/>
    </row>
    <row r="3203" ht="50.25" customHeight="1">
      <c r="A3203" s="12">
        <v>3199.0</v>
      </c>
      <c r="B3203" s="13" t="s">
        <v>3126</v>
      </c>
      <c r="C3203" s="14" t="s">
        <v>3219</v>
      </c>
      <c r="D3203" s="1"/>
      <c r="E3203" s="1"/>
      <c r="F3203" s="1" t="str">
        <f>IFERROR(__xludf.DUMMYFUNCTION("GOOGLETRANSLATE(B3203, ""en"", ""fa"")
"),"آشپزی")</f>
        <v>آشپزی</v>
      </c>
      <c r="G3203" s="1" t="str">
        <f>IFERROR(__xludf.DUMMYFUNCTION("GOOGLETRANSLATE(C3203, ""en"", ""fa"")
"),"نکات خود را برای آشپزی و سرگرمی در فضای باز، مانند کباب کردن یا پیک نیک، به اشتراک بگذارید.")</f>
        <v>نکات خود را برای آشپزی و سرگرمی در فضای باز، مانند کباب کردن یا پیک نیک، به اشتراک بگذارید.</v>
      </c>
      <c r="H3203" s="1"/>
      <c r="I3203" s="1"/>
      <c r="J3203" s="1"/>
      <c r="K3203" s="1"/>
      <c r="L3203" s="1"/>
      <c r="M3203" s="1"/>
      <c r="N3203" s="1"/>
      <c r="O3203" s="1"/>
      <c r="P3203" s="1"/>
      <c r="Q3203" s="1"/>
      <c r="R3203" s="1"/>
      <c r="S3203" s="1"/>
      <c r="T3203" s="1"/>
      <c r="U3203" s="1"/>
      <c r="V3203" s="1"/>
      <c r="W3203" s="1"/>
      <c r="X3203" s="1"/>
      <c r="Y3203" s="1"/>
      <c r="Z3203" s="1"/>
      <c r="AA3203" s="1"/>
      <c r="AB3203" s="1"/>
    </row>
    <row r="3204" ht="50.25" customHeight="1">
      <c r="A3204" s="12">
        <v>3200.0</v>
      </c>
      <c r="B3204" s="13" t="s">
        <v>3126</v>
      </c>
      <c r="C3204" s="14" t="s">
        <v>3220</v>
      </c>
      <c r="D3204" s="1"/>
      <c r="E3204" s="1"/>
      <c r="F3204" s="1" t="str">
        <f>IFERROR(__xludf.DUMMYFUNCTION("GOOGLETRANSLATE(B3204, ""en"", ""fa"")
"),"آشپزی")</f>
        <v>آشپزی</v>
      </c>
      <c r="G3204" s="1" t="str">
        <f>IFERROR(__xludf.DUMMYFUNCTION("GOOGLETRANSLATE(C3204, ""en"", ""fa"")
"),"در مورد مزایای استفاده از ظروف چدنی صحبت کنید و دستور العمل های مورد علاقه خود را برای پختن در آن به اشتراک بگذارید.")</f>
        <v>در مورد مزایای استفاده از ظروف چدنی صحبت کنید و دستور العمل های مورد علاقه خود را برای پختن در آن به اشتراک بگذارید.</v>
      </c>
      <c r="H3204" s="1"/>
      <c r="I3204" s="1"/>
      <c r="J3204" s="1"/>
      <c r="K3204" s="1"/>
      <c r="L3204" s="1"/>
      <c r="M3204" s="1"/>
      <c r="N3204" s="1"/>
      <c r="O3204" s="1"/>
      <c r="P3204" s="1"/>
      <c r="Q3204" s="1"/>
      <c r="R3204" s="1"/>
      <c r="S3204" s="1"/>
      <c r="T3204" s="1"/>
      <c r="U3204" s="1"/>
      <c r="V3204" s="1"/>
      <c r="W3204" s="1"/>
      <c r="X3204" s="1"/>
      <c r="Y3204" s="1"/>
      <c r="Z3204" s="1"/>
      <c r="AA3204" s="1"/>
      <c r="AB3204" s="1"/>
    </row>
    <row r="3205" ht="50.25" customHeight="1">
      <c r="A3205" s="12">
        <v>3201.0</v>
      </c>
      <c r="B3205" s="13" t="s">
        <v>3126</v>
      </c>
      <c r="C3205" s="14" t="s">
        <v>3221</v>
      </c>
      <c r="D3205" s="1"/>
      <c r="E3205" s="1"/>
      <c r="F3205" s="1" t="str">
        <f>IFERROR(__xludf.DUMMYFUNCTION("GOOGLETRANSLATE(B3205, ""en"", ""fa"")
"),"آشپزی")</f>
        <v>آشپزی</v>
      </c>
      <c r="G3205" s="1" t="str">
        <f>IFERROR(__xludf.DUMMYFUNCTION("GOOGLETRANSLATE(C3205, ""en"", ""fa"")
"),"نکات خود را برای ایجاد نان دست ساز خانگی با پوسته ترد و فضای داخلی نرم به اشتراک بگذارید.")</f>
        <v>نکات خود را برای ایجاد نان دست ساز خانگی با پوسته ترد و فضای داخلی نرم به اشتراک بگذارید.</v>
      </c>
      <c r="H3205" s="1"/>
      <c r="I3205" s="1"/>
      <c r="J3205" s="1"/>
      <c r="K3205" s="1"/>
      <c r="L3205" s="1"/>
      <c r="M3205" s="1"/>
      <c r="N3205" s="1"/>
      <c r="O3205" s="1"/>
      <c r="P3205" s="1"/>
      <c r="Q3205" s="1"/>
      <c r="R3205" s="1"/>
      <c r="S3205" s="1"/>
      <c r="T3205" s="1"/>
      <c r="U3205" s="1"/>
      <c r="V3205" s="1"/>
      <c r="W3205" s="1"/>
      <c r="X3205" s="1"/>
      <c r="Y3205" s="1"/>
      <c r="Z3205" s="1"/>
      <c r="AA3205" s="1"/>
      <c r="AB3205" s="1"/>
    </row>
    <row r="3206" ht="50.25" customHeight="1">
      <c r="A3206" s="12">
        <v>3202.0</v>
      </c>
      <c r="B3206" s="13" t="s">
        <v>3126</v>
      </c>
      <c r="C3206" s="14" t="s">
        <v>3222</v>
      </c>
      <c r="D3206" s="1"/>
      <c r="E3206" s="1"/>
      <c r="F3206" s="1" t="str">
        <f>IFERROR(__xludf.DUMMYFUNCTION("GOOGLETRANSLATE(B3206, ""en"", ""fa"")
"),"آشپزی")</f>
        <v>آشپزی</v>
      </c>
      <c r="G3206" s="1" t="str">
        <f>IFERROR(__xludf.DUMMYFUNCTION("GOOGLETRANSLATE(C3206, ""en"", ""fa"")
"),"تکنیک ها و نکاتی را برای دستیابی به تعادل کامل طعم ها در غذاهای هندی بررسی کنید.")</f>
        <v>تکنیک ها و نکاتی را برای دستیابی به تعادل کامل طعم ها در غذاهای هندی بررسی کنید.</v>
      </c>
      <c r="H3206" s="1"/>
      <c r="I3206" s="1"/>
      <c r="J3206" s="1"/>
      <c r="K3206" s="1"/>
      <c r="L3206" s="1"/>
      <c r="M3206" s="1"/>
      <c r="N3206" s="1"/>
      <c r="O3206" s="1"/>
      <c r="P3206" s="1"/>
      <c r="Q3206" s="1"/>
      <c r="R3206" s="1"/>
      <c r="S3206" s="1"/>
      <c r="T3206" s="1"/>
      <c r="U3206" s="1"/>
      <c r="V3206" s="1"/>
      <c r="W3206" s="1"/>
      <c r="X3206" s="1"/>
      <c r="Y3206" s="1"/>
      <c r="Z3206" s="1"/>
      <c r="AA3206" s="1"/>
      <c r="AB3206" s="1"/>
    </row>
    <row r="3207" ht="50.25" customHeight="1">
      <c r="A3207" s="12">
        <v>3203.0</v>
      </c>
      <c r="B3207" s="13" t="s">
        <v>3126</v>
      </c>
      <c r="C3207" s="14" t="s">
        <v>3223</v>
      </c>
      <c r="D3207" s="1"/>
      <c r="E3207" s="1"/>
      <c r="F3207" s="1" t="str">
        <f>IFERROR(__xludf.DUMMYFUNCTION("GOOGLETRANSLATE(B3207, ""en"", ""fa"")
"),"آشپزی")</f>
        <v>آشپزی</v>
      </c>
      <c r="G3207" s="1" t="str">
        <f>IFERROR(__xludf.DUMMYFUNCTION("GOOGLETRANSLATE(C3207, ""en"", ""fa"")
"),"در مورد فواید سلامتی گنجاندن غذاهای تخمیری بیشتر در رژیم غذایی خود، مانند کومبوچا یا کفیر صحبت کنید.")</f>
        <v>در مورد فواید سلامتی گنجاندن غذاهای تخمیری بیشتر در رژیم غذایی خود، مانند کومبوچا یا کفیر صحبت کنید.</v>
      </c>
      <c r="H3207" s="1"/>
      <c r="I3207" s="1"/>
      <c r="J3207" s="1"/>
      <c r="K3207" s="1"/>
      <c r="L3207" s="1"/>
      <c r="M3207" s="1"/>
      <c r="N3207" s="1"/>
      <c r="O3207" s="1"/>
      <c r="P3207" s="1"/>
      <c r="Q3207" s="1"/>
      <c r="R3207" s="1"/>
      <c r="S3207" s="1"/>
      <c r="T3207" s="1"/>
      <c r="U3207" s="1"/>
      <c r="V3207" s="1"/>
      <c r="W3207" s="1"/>
      <c r="X3207" s="1"/>
      <c r="Y3207" s="1"/>
      <c r="Z3207" s="1"/>
      <c r="AA3207" s="1"/>
      <c r="AB3207" s="1"/>
    </row>
    <row r="3208" ht="50.25" customHeight="1">
      <c r="A3208" s="12">
        <v>3204.0</v>
      </c>
      <c r="B3208" s="13" t="s">
        <v>3126</v>
      </c>
      <c r="C3208" s="14" t="s">
        <v>3224</v>
      </c>
      <c r="D3208" s="1"/>
      <c r="E3208" s="1"/>
      <c r="F3208" s="1" t="str">
        <f>IFERROR(__xludf.DUMMYFUNCTION("GOOGLETRANSLATE(B3208, ""en"", ""fa"")
"),"آشپزی")</f>
        <v>آشپزی</v>
      </c>
      <c r="G3208" s="1" t="str">
        <f>IFERROR(__xludf.DUMMYFUNCTION("GOOGLETRANSLATE(C3208, ""en"", ""fa"")
"),"دستور العمل های مورد علاقه خود را برای بستنی و شربت های خانگی به اشتراک بگذارید.")</f>
        <v>دستور العمل های مورد علاقه خود را برای بستنی و شربت های خانگی به اشتراک بگذارید.</v>
      </c>
      <c r="H3208" s="1"/>
      <c r="I3208" s="1"/>
      <c r="J3208" s="1"/>
      <c r="K3208" s="1"/>
      <c r="L3208" s="1"/>
      <c r="M3208" s="1"/>
      <c r="N3208" s="1"/>
      <c r="O3208" s="1"/>
      <c r="P3208" s="1"/>
      <c r="Q3208" s="1"/>
      <c r="R3208" s="1"/>
      <c r="S3208" s="1"/>
      <c r="T3208" s="1"/>
      <c r="U3208" s="1"/>
      <c r="V3208" s="1"/>
      <c r="W3208" s="1"/>
      <c r="X3208" s="1"/>
      <c r="Y3208" s="1"/>
      <c r="Z3208" s="1"/>
      <c r="AA3208" s="1"/>
      <c r="AB3208" s="1"/>
    </row>
    <row r="3209" ht="50.25" customHeight="1">
      <c r="A3209" s="12">
        <v>3205.0</v>
      </c>
      <c r="B3209" s="13" t="s">
        <v>3126</v>
      </c>
      <c r="C3209" s="14" t="s">
        <v>3225</v>
      </c>
      <c r="D3209" s="1"/>
      <c r="E3209" s="1"/>
      <c r="F3209" s="1" t="str">
        <f>IFERROR(__xludf.DUMMYFUNCTION("GOOGLETRANSLATE(B3209, ""en"", ""fa"")
"),"آشپزی")</f>
        <v>آشپزی</v>
      </c>
      <c r="G3209" s="1" t="str">
        <f>IFERROR(__xludf.DUMMYFUNCTION("GOOGLETRANSLATE(C3209, ""en"", ""fa"")
"),"در مورد مزایای آشپزی با ترکیبات میراثی یا میراثی و حفظ سنت های آشپزی بحث کنید.")</f>
        <v>در مورد مزایای آشپزی با ترکیبات میراثی یا میراثی و حفظ سنت های آشپزی بحث کنید.</v>
      </c>
      <c r="H3209" s="1"/>
      <c r="I3209" s="1"/>
      <c r="J3209" s="1"/>
      <c r="K3209" s="1"/>
      <c r="L3209" s="1"/>
      <c r="M3209" s="1"/>
      <c r="N3209" s="1"/>
      <c r="O3209" s="1"/>
      <c r="P3209" s="1"/>
      <c r="Q3209" s="1"/>
      <c r="R3209" s="1"/>
      <c r="S3209" s="1"/>
      <c r="T3209" s="1"/>
      <c r="U3209" s="1"/>
      <c r="V3209" s="1"/>
      <c r="W3209" s="1"/>
      <c r="X3209" s="1"/>
      <c r="Y3209" s="1"/>
      <c r="Z3209" s="1"/>
      <c r="AA3209" s="1"/>
      <c r="AB3209" s="1"/>
    </row>
    <row r="3210" ht="50.25" customHeight="1">
      <c r="A3210" s="12">
        <v>3206.0</v>
      </c>
      <c r="B3210" s="13" t="s">
        <v>3126</v>
      </c>
      <c r="C3210" s="14" t="s">
        <v>3226</v>
      </c>
      <c r="D3210" s="1"/>
      <c r="E3210" s="1"/>
      <c r="F3210" s="1" t="str">
        <f>IFERROR(__xludf.DUMMYFUNCTION("GOOGLETRANSLATE(B3210, ""en"", ""fa"")
"),"آشپزی")</f>
        <v>آشپزی</v>
      </c>
      <c r="G3210" s="1" t="str">
        <f>IFERROR(__xludf.DUMMYFUNCTION("GOOGLETRANSLATE(C3210, ""en"", ""fa"")
"),"نکات خود را برای ایجاد جایگزین های پروتئین گیاهی خوشمزه مانند توفو یا تمپه به اشتراک بگذارید.")</f>
        <v>نکات خود را برای ایجاد جایگزین های پروتئین گیاهی خوشمزه مانند توفو یا تمپه به اشتراک بگذارید.</v>
      </c>
      <c r="H3210" s="1"/>
      <c r="I3210" s="1"/>
      <c r="J3210" s="1"/>
      <c r="K3210" s="1"/>
      <c r="L3210" s="1"/>
      <c r="M3210" s="1"/>
      <c r="N3210" s="1"/>
      <c r="O3210" s="1"/>
      <c r="P3210" s="1"/>
      <c r="Q3210" s="1"/>
      <c r="R3210" s="1"/>
      <c r="S3210" s="1"/>
      <c r="T3210" s="1"/>
      <c r="U3210" s="1"/>
      <c r="V3210" s="1"/>
      <c r="W3210" s="1"/>
      <c r="X3210" s="1"/>
      <c r="Y3210" s="1"/>
      <c r="Z3210" s="1"/>
      <c r="AA3210" s="1"/>
      <c r="AB3210" s="1"/>
    </row>
    <row r="3211" ht="50.25" customHeight="1">
      <c r="A3211" s="12">
        <v>3207.0</v>
      </c>
      <c r="B3211" s="13" t="s">
        <v>3126</v>
      </c>
      <c r="C3211" s="14" t="s">
        <v>3227</v>
      </c>
      <c r="D3211" s="1"/>
      <c r="E3211" s="1"/>
      <c r="F3211" s="1" t="str">
        <f>IFERROR(__xludf.DUMMYFUNCTION("GOOGLETRANSLATE(B3211, ""en"", ""fa"")
"),"آشپزی")</f>
        <v>آشپزی</v>
      </c>
      <c r="G3211" s="1" t="str">
        <f>IFERROR(__xludf.DUMMYFUNCTION("GOOGLETRANSLATE(C3211, ""en"", ""fa"")
"),"دنیای غذای مولکولی و تکنیک های مورد استفاده برای ایجاد تجربیات منحصر به فرد آشپزی را کاوش کنید.")</f>
        <v>دنیای غذای مولکولی و تکنیک های مورد استفاده برای ایجاد تجربیات منحصر به فرد آشپزی را کاوش کنید.</v>
      </c>
      <c r="H3211" s="1"/>
      <c r="I3211" s="1"/>
      <c r="J3211" s="1"/>
      <c r="K3211" s="1"/>
      <c r="L3211" s="1"/>
      <c r="M3211" s="1"/>
      <c r="N3211" s="1"/>
      <c r="O3211" s="1"/>
      <c r="P3211" s="1"/>
      <c r="Q3211" s="1"/>
      <c r="R3211" s="1"/>
      <c r="S3211" s="1"/>
      <c r="T3211" s="1"/>
      <c r="U3211" s="1"/>
      <c r="V3211" s="1"/>
      <c r="W3211" s="1"/>
      <c r="X3211" s="1"/>
      <c r="Y3211" s="1"/>
      <c r="Z3211" s="1"/>
      <c r="AA3211" s="1"/>
      <c r="AB3211" s="1"/>
    </row>
    <row r="3212" ht="50.25" customHeight="1">
      <c r="A3212" s="12">
        <v>3208.0</v>
      </c>
      <c r="B3212" s="13" t="s">
        <v>3126</v>
      </c>
      <c r="C3212" s="14" t="s">
        <v>3228</v>
      </c>
      <c r="D3212" s="1"/>
      <c r="E3212" s="1"/>
      <c r="F3212" s="1" t="str">
        <f>IFERROR(__xludf.DUMMYFUNCTION("GOOGLETRANSLATE(B3212, ""en"", ""fa"")
"),"آشپزی")</f>
        <v>آشپزی</v>
      </c>
      <c r="G3212" s="1" t="str">
        <f>IFERROR(__xludf.DUMMYFUNCTION("GOOGLETRANSLATE(C3212, ""en"", ""fa"")
"),"در مورد تأثیرات فرهنگی بر غذاهای مدیترانه ای و مزایای سلامتی آن بحث کنید.")</f>
        <v>در مورد تأثیرات فرهنگی بر غذاهای مدیترانه ای و مزایای سلامتی آن بحث کنید.</v>
      </c>
      <c r="H3212" s="1"/>
      <c r="I3212" s="1"/>
      <c r="J3212" s="1"/>
      <c r="K3212" s="1"/>
      <c r="L3212" s="1"/>
      <c r="M3212" s="1"/>
      <c r="N3212" s="1"/>
      <c r="O3212" s="1"/>
      <c r="P3212" s="1"/>
      <c r="Q3212" s="1"/>
      <c r="R3212" s="1"/>
      <c r="S3212" s="1"/>
      <c r="T3212" s="1"/>
      <c r="U3212" s="1"/>
      <c r="V3212" s="1"/>
      <c r="W3212" s="1"/>
      <c r="X3212" s="1"/>
      <c r="Y3212" s="1"/>
      <c r="Z3212" s="1"/>
      <c r="AA3212" s="1"/>
      <c r="AB3212" s="1"/>
    </row>
    <row r="3213" ht="50.25" customHeight="1">
      <c r="A3213" s="12">
        <v>3209.0</v>
      </c>
      <c r="B3213" s="13" t="s">
        <v>3126</v>
      </c>
      <c r="C3213" s="14" t="s">
        <v>3229</v>
      </c>
      <c r="D3213" s="1"/>
      <c r="E3213" s="1"/>
      <c r="F3213" s="1" t="str">
        <f>IFERROR(__xludf.DUMMYFUNCTION("GOOGLETRANSLATE(B3213, ""en"", ""fa"")
"),"آشپزی")</f>
        <v>آشپزی</v>
      </c>
      <c r="G3213" s="1" t="str">
        <f>IFERROR(__xludf.DUMMYFUNCTION("GOOGLETRANSLATE(C3213, ""en"", ""fa"")
"),"دستور العمل های مورد علاقه خود را برای مربا، ژله، و کنسرو خانگی به اشتراک بگذارید.")</f>
        <v>دستور العمل های مورد علاقه خود را برای مربا، ژله، و کنسرو خانگی به اشتراک بگذارید.</v>
      </c>
      <c r="H3213" s="1"/>
      <c r="I3213" s="1"/>
      <c r="J3213" s="1"/>
      <c r="K3213" s="1"/>
      <c r="L3213" s="1"/>
      <c r="M3213" s="1"/>
      <c r="N3213" s="1"/>
      <c r="O3213" s="1"/>
      <c r="P3213" s="1"/>
      <c r="Q3213" s="1"/>
      <c r="R3213" s="1"/>
      <c r="S3213" s="1"/>
      <c r="T3213" s="1"/>
      <c r="U3213" s="1"/>
      <c r="V3213" s="1"/>
      <c r="W3213" s="1"/>
      <c r="X3213" s="1"/>
      <c r="Y3213" s="1"/>
      <c r="Z3213" s="1"/>
      <c r="AA3213" s="1"/>
      <c r="AB3213" s="1"/>
    </row>
    <row r="3214" ht="50.25" customHeight="1">
      <c r="A3214" s="12">
        <v>3210.0</v>
      </c>
      <c r="B3214" s="13" t="s">
        <v>3126</v>
      </c>
      <c r="C3214" s="14" t="s">
        <v>3230</v>
      </c>
      <c r="D3214" s="1"/>
      <c r="E3214" s="1"/>
      <c r="F3214" s="1" t="str">
        <f>IFERROR(__xludf.DUMMYFUNCTION("GOOGLETRANSLATE(B3214, ""en"", ""fa"")
"),"آشپزی")</f>
        <v>آشپزی</v>
      </c>
      <c r="G3214" s="1" t="str">
        <f>IFERROR(__xludf.DUMMYFUNCTION("GOOGLETRANSLATE(C3214, ""en"", ""fa"")
"),"تکنیک ها و نکاتی را برای دستیابی به سطح ایده آل ادویه و گرما در غذاهای مکزیکی بررسی کنید.")</f>
        <v>تکنیک ها و نکاتی را برای دستیابی به سطح ایده آل ادویه و گرما در غذاهای مکزیکی بررسی کنید.</v>
      </c>
      <c r="H3214" s="1"/>
      <c r="I3214" s="1"/>
      <c r="J3214" s="1"/>
      <c r="K3214" s="1"/>
      <c r="L3214" s="1"/>
      <c r="M3214" s="1"/>
      <c r="N3214" s="1"/>
      <c r="O3214" s="1"/>
      <c r="P3214" s="1"/>
      <c r="Q3214" s="1"/>
      <c r="R3214" s="1"/>
      <c r="S3214" s="1"/>
      <c r="T3214" s="1"/>
      <c r="U3214" s="1"/>
      <c r="V3214" s="1"/>
      <c r="W3214" s="1"/>
      <c r="X3214" s="1"/>
      <c r="Y3214" s="1"/>
      <c r="Z3214" s="1"/>
      <c r="AA3214" s="1"/>
      <c r="AB3214" s="1"/>
    </row>
    <row r="3215" ht="50.25" customHeight="1">
      <c r="A3215" s="12">
        <v>3211.0</v>
      </c>
      <c r="B3215" s="13" t="s">
        <v>3126</v>
      </c>
      <c r="C3215" s="14" t="s">
        <v>3231</v>
      </c>
      <c r="D3215" s="1"/>
      <c r="E3215" s="1"/>
      <c r="F3215" s="1" t="str">
        <f>IFERROR(__xludf.DUMMYFUNCTION("GOOGLETRANSLATE(B3215, ""en"", ""fa"")
"),"آشپزی")</f>
        <v>آشپزی</v>
      </c>
      <c r="G3215" s="1" t="str">
        <f>IFERROR(__xludf.DUMMYFUNCTION("GOOGLETRANSLATE(C3215, ""en"", ""fa"")
"),"در مورد فواید آشپزی با ادویه ها و گیاهان معطر مانند هل یا ریحان صحبت کنید.")</f>
        <v>در مورد فواید آشپزی با ادویه ها و گیاهان معطر مانند هل یا ریحان صحبت کنید.</v>
      </c>
      <c r="H3215" s="1"/>
      <c r="I3215" s="1"/>
      <c r="J3215" s="1"/>
      <c r="K3215" s="1"/>
      <c r="L3215" s="1"/>
      <c r="M3215" s="1"/>
      <c r="N3215" s="1"/>
      <c r="O3215" s="1"/>
      <c r="P3215" s="1"/>
      <c r="Q3215" s="1"/>
      <c r="R3215" s="1"/>
      <c r="S3215" s="1"/>
      <c r="T3215" s="1"/>
      <c r="U3215" s="1"/>
      <c r="V3215" s="1"/>
      <c r="W3215" s="1"/>
      <c r="X3215" s="1"/>
      <c r="Y3215" s="1"/>
      <c r="Z3215" s="1"/>
      <c r="AA3215" s="1"/>
      <c r="AB3215" s="1"/>
    </row>
    <row r="3216" ht="50.25" customHeight="1">
      <c r="A3216" s="12">
        <v>3212.0</v>
      </c>
      <c r="B3216" s="13" t="s">
        <v>3126</v>
      </c>
      <c r="C3216" s="14" t="s">
        <v>3232</v>
      </c>
      <c r="D3216" s="1"/>
      <c r="E3216" s="1"/>
      <c r="F3216" s="1" t="str">
        <f>IFERROR(__xludf.DUMMYFUNCTION("GOOGLETRANSLATE(B3216, ""en"", ""fa"")
"),"آشپزی")</f>
        <v>آشپزی</v>
      </c>
      <c r="G3216" s="1" t="str">
        <f>IFERROR(__xludf.DUMMYFUNCTION("GOOGLETRANSLATE(C3216, ""en"", ""fa"")
"),"نکات خود را برای دستیابی به تعادل کامل شیرینی و اسیدیته در پخت به اشتراک بگذارید.")</f>
        <v>نکات خود را برای دستیابی به تعادل کامل شیرینی و اسیدیته در پخت به اشتراک بگذارید.</v>
      </c>
      <c r="H3216" s="1"/>
      <c r="I3216" s="1"/>
      <c r="J3216" s="1"/>
      <c r="K3216" s="1"/>
      <c r="L3216" s="1"/>
      <c r="M3216" s="1"/>
      <c r="N3216" s="1"/>
      <c r="O3216" s="1"/>
      <c r="P3216" s="1"/>
      <c r="Q3216" s="1"/>
      <c r="R3216" s="1"/>
      <c r="S3216" s="1"/>
      <c r="T3216" s="1"/>
      <c r="U3216" s="1"/>
      <c r="V3216" s="1"/>
      <c r="W3216" s="1"/>
      <c r="X3216" s="1"/>
      <c r="Y3216" s="1"/>
      <c r="Z3216" s="1"/>
      <c r="AA3216" s="1"/>
      <c r="AB3216" s="1"/>
    </row>
    <row r="3217" ht="50.25" customHeight="1">
      <c r="A3217" s="12">
        <v>3213.0</v>
      </c>
      <c r="B3217" s="13" t="s">
        <v>3126</v>
      </c>
      <c r="C3217" s="14" t="s">
        <v>3233</v>
      </c>
      <c r="D3217" s="1"/>
      <c r="E3217" s="1"/>
      <c r="F3217" s="1" t="str">
        <f>IFERROR(__xludf.DUMMYFUNCTION("GOOGLETRANSLATE(B3217, ""en"", ""fa"")
"),"آشپزی")</f>
        <v>آشپزی</v>
      </c>
      <c r="G3217" s="1" t="str">
        <f>IFERROR(__xludf.DUMMYFUNCTION("GOOGLETRANSLATE(C3217, ""en"", ""fa"")
"),"دنیای تلفیقی آشپزی را کاوش کنید و دستور العمل های مورد علاقه خود را که ترکیبی از غذاهای مختلف است به اشتراک بگذارید.")</f>
        <v>دنیای تلفیقی آشپزی را کاوش کنید و دستور العمل های مورد علاقه خود را که ترکیبی از غذاهای مختلف است به اشتراک بگذارید.</v>
      </c>
      <c r="H3217" s="1"/>
      <c r="I3217" s="1"/>
      <c r="J3217" s="1"/>
      <c r="K3217" s="1"/>
      <c r="L3217" s="1"/>
      <c r="M3217" s="1"/>
      <c r="N3217" s="1"/>
      <c r="O3217" s="1"/>
      <c r="P3217" s="1"/>
      <c r="Q3217" s="1"/>
      <c r="R3217" s="1"/>
      <c r="S3217" s="1"/>
      <c r="T3217" s="1"/>
      <c r="U3217" s="1"/>
      <c r="V3217" s="1"/>
      <c r="W3217" s="1"/>
      <c r="X3217" s="1"/>
      <c r="Y3217" s="1"/>
      <c r="Z3217" s="1"/>
      <c r="AA3217" s="1"/>
      <c r="AB3217" s="1"/>
    </row>
    <row r="3218" ht="50.25" customHeight="1">
      <c r="A3218" s="12">
        <v>3214.0</v>
      </c>
      <c r="B3218" s="13" t="s">
        <v>3126</v>
      </c>
      <c r="C3218" s="14" t="s">
        <v>3234</v>
      </c>
      <c r="D3218" s="1"/>
      <c r="E3218" s="1"/>
      <c r="F3218" s="1" t="str">
        <f>IFERROR(__xludf.DUMMYFUNCTION("GOOGLETRANSLATE(B3218, ""en"", ""fa"")
"),"آشپزی")</f>
        <v>آشپزی</v>
      </c>
      <c r="G3218" s="1" t="str">
        <f>IFERROR(__xludf.DUMMYFUNCTION("GOOGLETRANSLATE(C3218, ""en"", ""fa"")
"),"در مورد فواید سلامتی استفاده از چربی های گیاهی بیشتر در آشپزی خود مانند آووکادو یا روغن نارگیل صحبت کنید.")</f>
        <v>در مورد فواید سلامتی استفاده از چربی های گیاهی بیشتر در آشپزی خود مانند آووکادو یا روغن نارگیل صحبت کنید.</v>
      </c>
      <c r="H3218" s="1"/>
      <c r="I3218" s="1"/>
      <c r="J3218" s="1"/>
      <c r="K3218" s="1"/>
      <c r="L3218" s="1"/>
      <c r="M3218" s="1"/>
      <c r="N3218" s="1"/>
      <c r="O3218" s="1"/>
      <c r="P3218" s="1"/>
      <c r="Q3218" s="1"/>
      <c r="R3218" s="1"/>
      <c r="S3218" s="1"/>
      <c r="T3218" s="1"/>
      <c r="U3218" s="1"/>
      <c r="V3218" s="1"/>
      <c r="W3218" s="1"/>
      <c r="X3218" s="1"/>
      <c r="Y3218" s="1"/>
      <c r="Z3218" s="1"/>
      <c r="AA3218" s="1"/>
      <c r="AB3218" s="1"/>
    </row>
    <row r="3219" ht="50.25" customHeight="1">
      <c r="A3219" s="12">
        <v>3215.0</v>
      </c>
      <c r="B3219" s="13" t="s">
        <v>3126</v>
      </c>
      <c r="C3219" s="14" t="s">
        <v>3235</v>
      </c>
      <c r="D3219" s="1"/>
      <c r="E3219" s="1"/>
      <c r="F3219" s="1" t="str">
        <f>IFERROR(__xludf.DUMMYFUNCTION("GOOGLETRANSLATE(B3219, ""en"", ""fa"")
"),"آشپزی")</f>
        <v>آشپزی</v>
      </c>
      <c r="G3219" s="1" t="str">
        <f>IFERROR(__xludf.DUMMYFUNCTION("GOOGLETRANSLATE(C3219, ""en"", ""fa"")
"),"دستور العمل های مورد علاقه خود را برای ترشی ها و غذاهای خانگی به اشتراک بگذارید.")</f>
        <v>دستور العمل های مورد علاقه خود را برای ترشی ها و غذاهای خانگی به اشتراک بگذارید.</v>
      </c>
      <c r="H3219" s="1"/>
      <c r="I3219" s="1"/>
      <c r="J3219" s="1"/>
      <c r="K3219" s="1"/>
      <c r="L3219" s="1"/>
      <c r="M3219" s="1"/>
      <c r="N3219" s="1"/>
      <c r="O3219" s="1"/>
      <c r="P3219" s="1"/>
      <c r="Q3219" s="1"/>
      <c r="R3219" s="1"/>
      <c r="S3219" s="1"/>
      <c r="T3219" s="1"/>
      <c r="U3219" s="1"/>
      <c r="V3219" s="1"/>
      <c r="W3219" s="1"/>
      <c r="X3219" s="1"/>
      <c r="Y3219" s="1"/>
      <c r="Z3219" s="1"/>
      <c r="AA3219" s="1"/>
      <c r="AB3219" s="1"/>
    </row>
    <row r="3220" ht="50.25" customHeight="1">
      <c r="A3220" s="12">
        <v>3216.0</v>
      </c>
      <c r="B3220" s="13" t="s">
        <v>3126</v>
      </c>
      <c r="C3220" s="14" t="s">
        <v>3236</v>
      </c>
      <c r="D3220" s="1"/>
      <c r="E3220" s="1"/>
      <c r="F3220" s="1" t="str">
        <f>IFERROR(__xludf.DUMMYFUNCTION("GOOGLETRANSLATE(B3220, ""en"", ""fa"")
"),"آشپزی")</f>
        <v>آشپزی</v>
      </c>
      <c r="G3220" s="1" t="str">
        <f>IFERROR(__xludf.DUMMYFUNCTION("GOOGLETRANSLATE(C3220, ""en"", ""fa"")
"),"تکنیک ها و نکاتی را برای دستیابی به بافت عالی در دسرهای گیاهی بررسی کنید.")</f>
        <v>تکنیک ها و نکاتی را برای دستیابی به بافت عالی در دسرهای گیاهی بررسی کنید.</v>
      </c>
      <c r="H3220" s="1"/>
      <c r="I3220" s="1"/>
      <c r="J3220" s="1"/>
      <c r="K3220" s="1"/>
      <c r="L3220" s="1"/>
      <c r="M3220" s="1"/>
      <c r="N3220" s="1"/>
      <c r="O3220" s="1"/>
      <c r="P3220" s="1"/>
      <c r="Q3220" s="1"/>
      <c r="R3220" s="1"/>
      <c r="S3220" s="1"/>
      <c r="T3220" s="1"/>
      <c r="U3220" s="1"/>
      <c r="V3220" s="1"/>
      <c r="W3220" s="1"/>
      <c r="X3220" s="1"/>
      <c r="Y3220" s="1"/>
      <c r="Z3220" s="1"/>
      <c r="AA3220" s="1"/>
      <c r="AB3220" s="1"/>
    </row>
    <row r="3221" ht="50.25" customHeight="1">
      <c r="A3221" s="12">
        <v>3217.0</v>
      </c>
      <c r="B3221" s="13" t="s">
        <v>3126</v>
      </c>
      <c r="C3221" s="14" t="s">
        <v>3237</v>
      </c>
      <c r="D3221" s="1"/>
      <c r="E3221" s="1"/>
      <c r="F3221" s="1" t="str">
        <f>IFERROR(__xludf.DUMMYFUNCTION("GOOGLETRANSLATE(B3221, ""en"", ""fa"")
"),"آشپزی")</f>
        <v>آشپزی</v>
      </c>
      <c r="G3221" s="1" t="str">
        <f>IFERROR(__xludf.DUMMYFUNCTION("GOOGLETRANSLATE(C3221, ""en"", ""fa"")
"),"در مورد مزایای آشپزی با مواد فصلی و محلی بحث کنید.")</f>
        <v>در مورد مزایای آشپزی با مواد فصلی و محلی بحث کنید.</v>
      </c>
      <c r="H3221" s="1"/>
      <c r="I3221" s="1"/>
      <c r="J3221" s="1"/>
      <c r="K3221" s="1"/>
      <c r="L3221" s="1"/>
      <c r="M3221" s="1"/>
      <c r="N3221" s="1"/>
      <c r="O3221" s="1"/>
      <c r="P3221" s="1"/>
      <c r="Q3221" s="1"/>
      <c r="R3221" s="1"/>
      <c r="S3221" s="1"/>
      <c r="T3221" s="1"/>
      <c r="U3221" s="1"/>
      <c r="V3221" s="1"/>
      <c r="W3221" s="1"/>
      <c r="X3221" s="1"/>
      <c r="Y3221" s="1"/>
      <c r="Z3221" s="1"/>
      <c r="AA3221" s="1"/>
      <c r="AB3221" s="1"/>
    </row>
    <row r="3222" ht="50.25" customHeight="1">
      <c r="A3222" s="12">
        <v>3218.0</v>
      </c>
      <c r="B3222" s="13" t="s">
        <v>3126</v>
      </c>
      <c r="C3222" s="14" t="s">
        <v>3238</v>
      </c>
      <c r="D3222" s="1"/>
      <c r="E3222" s="1"/>
      <c r="F3222" s="1" t="str">
        <f>IFERROR(__xludf.DUMMYFUNCTION("GOOGLETRANSLATE(B3222, ""en"", ""fa"")
"),"آشپزی")</f>
        <v>آشپزی</v>
      </c>
      <c r="G3222" s="1" t="str">
        <f>IFERROR(__xludf.DUMMYFUNCTION("GOOGLETRANSLATE(C3222, ""en"", ""fa"")
"),"نکات خود را برای ایجاد رول سوشی با کیفیت رستوران در خانه به اشتراک بگذارید.")</f>
        <v>نکات خود را برای ایجاد رول سوشی با کیفیت رستوران در خانه به اشتراک بگذارید.</v>
      </c>
      <c r="H3222" s="1"/>
      <c r="I3222" s="1"/>
      <c r="J3222" s="1"/>
      <c r="K3222" s="1"/>
      <c r="L3222" s="1"/>
      <c r="M3222" s="1"/>
      <c r="N3222" s="1"/>
      <c r="O3222" s="1"/>
      <c r="P3222" s="1"/>
      <c r="Q3222" s="1"/>
      <c r="R3222" s="1"/>
      <c r="S3222" s="1"/>
      <c r="T3222" s="1"/>
      <c r="U3222" s="1"/>
      <c r="V3222" s="1"/>
      <c r="W3222" s="1"/>
      <c r="X3222" s="1"/>
      <c r="Y3222" s="1"/>
      <c r="Z3222" s="1"/>
      <c r="AA3222" s="1"/>
      <c r="AB3222" s="1"/>
    </row>
    <row r="3223" ht="50.25" customHeight="1">
      <c r="A3223" s="12">
        <v>3219.0</v>
      </c>
      <c r="B3223" s="13" t="s">
        <v>3126</v>
      </c>
      <c r="C3223" s="14" t="s">
        <v>3239</v>
      </c>
      <c r="D3223" s="1"/>
      <c r="E3223" s="1"/>
      <c r="F3223" s="1" t="str">
        <f>IFERROR(__xludf.DUMMYFUNCTION("GOOGLETRANSLATE(B3223, ""en"", ""fa"")
"),"آشپزی")</f>
        <v>آشپزی</v>
      </c>
      <c r="G3223" s="1" t="str">
        <f>IFERROR(__xludf.DUMMYFUNCTION("GOOGLETRANSLATE(C3223, ""en"", ""fa"")
"),"تکنیک ها و نکاتی را برای دستیابی به سطح نرمی ایده آل در غذاهای آهسته پز کاوش کنید.")</f>
        <v>تکنیک ها و نکاتی را برای دستیابی به سطح نرمی ایده آل در غذاهای آهسته پز کاوش کنید.</v>
      </c>
      <c r="H3223" s="1"/>
      <c r="I3223" s="1"/>
      <c r="J3223" s="1"/>
      <c r="K3223" s="1"/>
      <c r="L3223" s="1"/>
      <c r="M3223" s="1"/>
      <c r="N3223" s="1"/>
      <c r="O3223" s="1"/>
      <c r="P3223" s="1"/>
      <c r="Q3223" s="1"/>
      <c r="R3223" s="1"/>
      <c r="S3223" s="1"/>
      <c r="T3223" s="1"/>
      <c r="U3223" s="1"/>
      <c r="V3223" s="1"/>
      <c r="W3223" s="1"/>
      <c r="X3223" s="1"/>
      <c r="Y3223" s="1"/>
      <c r="Z3223" s="1"/>
      <c r="AA3223" s="1"/>
      <c r="AB3223" s="1"/>
    </row>
    <row r="3224" ht="50.25" customHeight="1">
      <c r="A3224" s="12">
        <v>3220.0</v>
      </c>
      <c r="B3224" s="13" t="s">
        <v>3126</v>
      </c>
      <c r="C3224" s="14" t="s">
        <v>3240</v>
      </c>
      <c r="D3224" s="1"/>
      <c r="E3224" s="1"/>
      <c r="F3224" s="1" t="str">
        <f>IFERROR(__xludf.DUMMYFUNCTION("GOOGLETRANSLATE(B3224, ""en"", ""fa"")
"),"آشپزی")</f>
        <v>آشپزی</v>
      </c>
      <c r="G3224" s="1" t="str">
        <f>IFERROR(__xludf.DUMMYFUNCTION("GOOGLETRANSLATE(C3224, ""en"", ""fa"")
"),"در مورد مزایای سلامتی پخت و پز با غذاهای فوق العاده مانند کینوا یا کلم پیچ صحبت کنید.")</f>
        <v>در مورد مزایای سلامتی پخت و پز با غذاهای فوق العاده مانند کینوا یا کلم پیچ صحبت کنید.</v>
      </c>
      <c r="H3224" s="1"/>
      <c r="I3224" s="1"/>
      <c r="J3224" s="1"/>
      <c r="K3224" s="1"/>
      <c r="L3224" s="1"/>
      <c r="M3224" s="1"/>
      <c r="N3224" s="1"/>
      <c r="O3224" s="1"/>
      <c r="P3224" s="1"/>
      <c r="Q3224" s="1"/>
      <c r="R3224" s="1"/>
      <c r="S3224" s="1"/>
      <c r="T3224" s="1"/>
      <c r="U3224" s="1"/>
      <c r="V3224" s="1"/>
      <c r="W3224" s="1"/>
      <c r="X3224" s="1"/>
      <c r="Y3224" s="1"/>
      <c r="Z3224" s="1"/>
      <c r="AA3224" s="1"/>
      <c r="AB3224" s="1"/>
    </row>
    <row r="3225" ht="50.25" customHeight="1">
      <c r="A3225" s="12">
        <v>3221.0</v>
      </c>
      <c r="B3225" s="13" t="s">
        <v>3126</v>
      </c>
      <c r="C3225" s="14" t="s">
        <v>3241</v>
      </c>
      <c r="D3225" s="1"/>
      <c r="E3225" s="1"/>
      <c r="F3225" s="1" t="str">
        <f>IFERROR(__xludf.DUMMYFUNCTION("GOOGLETRANSLATE(B3225, ""en"", ""fa"")
"),"آشپزی")</f>
        <v>آشپزی</v>
      </c>
      <c r="G3225" s="1" t="str">
        <f>IFERROR(__xludf.DUMMYFUNCTION("GOOGLETRANSLATE(C3225, ""en"", ""fa"")
"),"دستور العمل های مورد علاقه خود را برای گرانولای خانگی و میله های انرژی به اشتراک بگذارید.")</f>
        <v>دستور العمل های مورد علاقه خود را برای گرانولای خانگی و میله های انرژی به اشتراک بگذارید.</v>
      </c>
      <c r="H3225" s="1"/>
      <c r="I3225" s="1"/>
      <c r="J3225" s="1"/>
      <c r="K3225" s="1"/>
      <c r="L3225" s="1"/>
      <c r="M3225" s="1"/>
      <c r="N3225" s="1"/>
      <c r="O3225" s="1"/>
      <c r="P3225" s="1"/>
      <c r="Q3225" s="1"/>
      <c r="R3225" s="1"/>
      <c r="S3225" s="1"/>
      <c r="T3225" s="1"/>
      <c r="U3225" s="1"/>
      <c r="V3225" s="1"/>
      <c r="W3225" s="1"/>
      <c r="X3225" s="1"/>
      <c r="Y3225" s="1"/>
      <c r="Z3225" s="1"/>
      <c r="AA3225" s="1"/>
      <c r="AB3225" s="1"/>
    </row>
    <row r="3226" ht="50.25" customHeight="1">
      <c r="A3226" s="12">
        <v>3222.0</v>
      </c>
      <c r="B3226" s="13" t="s">
        <v>3126</v>
      </c>
      <c r="C3226" s="14" t="s">
        <v>3242</v>
      </c>
      <c r="D3226" s="1"/>
      <c r="E3226" s="1"/>
      <c r="F3226" s="1" t="str">
        <f>IFERROR(__xludf.DUMMYFUNCTION("GOOGLETRANSLATE(B3226, ""en"", ""fa"")
"),"آشپزی")</f>
        <v>آشپزی</v>
      </c>
      <c r="G3226" s="1" t="str">
        <f>IFERROR(__xludf.DUMMYFUNCTION("GOOGLETRANSLATE(C3226, ""en"", ""fa"")
"),"دنیای غذاهای خاورمیانه را کاوش کنید و دستور العمل های مورد علاقه خود را برای غذاهایی مانند هوموس یا فلافل به اشتراک بگذارید.")</f>
        <v>دنیای غذاهای خاورمیانه را کاوش کنید و دستور العمل های مورد علاقه خود را برای غذاهایی مانند هوموس یا فلافل به اشتراک بگذارید.</v>
      </c>
      <c r="H3226" s="1"/>
      <c r="I3226" s="1"/>
      <c r="J3226" s="1"/>
      <c r="K3226" s="1"/>
      <c r="L3226" s="1"/>
      <c r="M3226" s="1"/>
      <c r="N3226" s="1"/>
      <c r="O3226" s="1"/>
      <c r="P3226" s="1"/>
      <c r="Q3226" s="1"/>
      <c r="R3226" s="1"/>
      <c r="S3226" s="1"/>
      <c r="T3226" s="1"/>
      <c r="U3226" s="1"/>
      <c r="V3226" s="1"/>
      <c r="W3226" s="1"/>
      <c r="X3226" s="1"/>
      <c r="Y3226" s="1"/>
      <c r="Z3226" s="1"/>
      <c r="AA3226" s="1"/>
      <c r="AB3226" s="1"/>
    </row>
    <row r="3227" ht="50.25" customHeight="1">
      <c r="A3227" s="12">
        <v>3223.0</v>
      </c>
      <c r="B3227" s="13" t="s">
        <v>3126</v>
      </c>
      <c r="C3227" s="14" t="s">
        <v>3243</v>
      </c>
      <c r="D3227" s="1"/>
      <c r="E3227" s="1"/>
      <c r="F3227" s="1" t="str">
        <f>IFERROR(__xludf.DUMMYFUNCTION("GOOGLETRANSLATE(B3227, ""en"", ""fa"")
"),"آشپزی")</f>
        <v>آشپزی</v>
      </c>
      <c r="G3227" s="1" t="str">
        <f>IFERROR(__xludf.DUMMYFUNCTION("GOOGLETRANSLATE(C3227, ""en"", ""fa"")
"),"در مورد فواید پخت و پز با گل های خوراکی و کاربردهای آشپزی آنها صحبت کنید.")</f>
        <v>در مورد فواید پخت و پز با گل های خوراکی و کاربردهای آشپزی آنها صحبت کنید.</v>
      </c>
      <c r="H3227" s="1"/>
      <c r="I3227" s="1"/>
      <c r="J3227" s="1"/>
      <c r="K3227" s="1"/>
      <c r="L3227" s="1"/>
      <c r="M3227" s="1"/>
      <c r="N3227" s="1"/>
      <c r="O3227" s="1"/>
      <c r="P3227" s="1"/>
      <c r="Q3227" s="1"/>
      <c r="R3227" s="1"/>
      <c r="S3227" s="1"/>
      <c r="T3227" s="1"/>
      <c r="U3227" s="1"/>
      <c r="V3227" s="1"/>
      <c r="W3227" s="1"/>
      <c r="X3227" s="1"/>
      <c r="Y3227" s="1"/>
      <c r="Z3227" s="1"/>
      <c r="AA3227" s="1"/>
      <c r="AB3227" s="1"/>
    </row>
    <row r="3228" ht="50.25" customHeight="1">
      <c r="A3228" s="12">
        <v>3224.0</v>
      </c>
      <c r="B3228" s="13" t="s">
        <v>3126</v>
      </c>
      <c r="C3228" s="14" t="s">
        <v>3244</v>
      </c>
      <c r="D3228" s="1"/>
      <c r="E3228" s="1"/>
      <c r="F3228" s="1" t="str">
        <f>IFERROR(__xludf.DUMMYFUNCTION("GOOGLETRANSLATE(B3228, ""en"", ""fa"")
"),"آشپزی")</f>
        <v>آشپزی</v>
      </c>
      <c r="G3228" s="1" t="str">
        <f>IFERROR(__xludf.DUMMYFUNCTION("GOOGLETRANSLATE(C3228, ""en"", ""fa"")
"),"نکات خود را برای دستیابی به قوام کامل در سس ها، مانند بشامل یا هلند به اشتراک بگذارید.")</f>
        <v>نکات خود را برای دستیابی به قوام کامل در سس ها، مانند بشامل یا هلند به اشتراک بگذارید.</v>
      </c>
      <c r="H3228" s="1"/>
      <c r="I3228" s="1"/>
      <c r="J3228" s="1"/>
      <c r="K3228" s="1"/>
      <c r="L3228" s="1"/>
      <c r="M3228" s="1"/>
      <c r="N3228" s="1"/>
      <c r="O3228" s="1"/>
      <c r="P3228" s="1"/>
      <c r="Q3228" s="1"/>
      <c r="R3228" s="1"/>
      <c r="S3228" s="1"/>
      <c r="T3228" s="1"/>
      <c r="U3228" s="1"/>
      <c r="V3228" s="1"/>
      <c r="W3228" s="1"/>
      <c r="X3228" s="1"/>
      <c r="Y3228" s="1"/>
      <c r="Z3228" s="1"/>
      <c r="AA3228" s="1"/>
      <c r="AB3228" s="1"/>
    </row>
    <row r="3229" ht="50.25" customHeight="1">
      <c r="A3229" s="12">
        <v>3225.0</v>
      </c>
      <c r="B3229" s="13" t="s">
        <v>3126</v>
      </c>
      <c r="C3229" s="14" t="s">
        <v>3245</v>
      </c>
      <c r="D3229" s="1"/>
      <c r="E3229" s="1"/>
      <c r="F3229" s="1" t="str">
        <f>IFERROR(__xludf.DUMMYFUNCTION("GOOGLETRANSLATE(B3229, ""en"", ""fa"")
"),"آشپزی")</f>
        <v>آشپزی</v>
      </c>
      <c r="G3229" s="1" t="str">
        <f>IFERROR(__xludf.DUMMYFUNCTION("GOOGLETRANSLATE(C3229, ""en"", ""fa"")
"),"تکنیک ها و نکاتی را برای دستیابی به سطح ایده آل دود در ظروف باربیکیو بررسی کنید.")</f>
        <v>تکنیک ها و نکاتی را برای دستیابی به سطح ایده آل دود در ظروف باربیکیو بررسی کنید.</v>
      </c>
      <c r="H3229" s="1"/>
      <c r="I3229" s="1"/>
      <c r="J3229" s="1"/>
      <c r="K3229" s="1"/>
      <c r="L3229" s="1"/>
      <c r="M3229" s="1"/>
      <c r="N3229" s="1"/>
      <c r="O3229" s="1"/>
      <c r="P3229" s="1"/>
      <c r="Q3229" s="1"/>
      <c r="R3229" s="1"/>
      <c r="S3229" s="1"/>
      <c r="T3229" s="1"/>
      <c r="U3229" s="1"/>
      <c r="V3229" s="1"/>
      <c r="W3229" s="1"/>
      <c r="X3229" s="1"/>
      <c r="Y3229" s="1"/>
      <c r="Z3229" s="1"/>
      <c r="AA3229" s="1"/>
      <c r="AB3229" s="1"/>
    </row>
    <row r="3230" ht="50.25" customHeight="1">
      <c r="A3230" s="12">
        <v>3226.0</v>
      </c>
      <c r="B3230" s="13" t="s">
        <v>3126</v>
      </c>
      <c r="C3230" s="14" t="s">
        <v>3246</v>
      </c>
      <c r="D3230" s="1"/>
      <c r="E3230" s="1"/>
      <c r="F3230" s="1" t="str">
        <f>IFERROR(__xludf.DUMMYFUNCTION("GOOGLETRANSLATE(B3230, ""en"", ""fa"")
"),"آشپزی")</f>
        <v>آشپزی</v>
      </c>
      <c r="G3230" s="1" t="str">
        <f>IFERROR(__xludf.DUMMYFUNCTION("GOOGLETRANSLATE(C3230, ""en"", ""fa"")
"),"در مورد فواید سلامتی استفاده از محصولات لبنی تخمیر شده بیشتر در آشپزی خود، مانند ماست یا کفیر صحبت کنید.")</f>
        <v>در مورد فواید سلامتی استفاده از محصولات لبنی تخمیر شده بیشتر در آشپزی خود، مانند ماست یا کفیر صحبت کنید.</v>
      </c>
      <c r="H3230" s="1"/>
      <c r="I3230" s="1"/>
      <c r="J3230" s="1"/>
      <c r="K3230" s="1"/>
      <c r="L3230" s="1"/>
      <c r="M3230" s="1"/>
      <c r="N3230" s="1"/>
      <c r="O3230" s="1"/>
      <c r="P3230" s="1"/>
      <c r="Q3230" s="1"/>
      <c r="R3230" s="1"/>
      <c r="S3230" s="1"/>
      <c r="T3230" s="1"/>
      <c r="U3230" s="1"/>
      <c r="V3230" s="1"/>
      <c r="W3230" s="1"/>
      <c r="X3230" s="1"/>
      <c r="Y3230" s="1"/>
      <c r="Z3230" s="1"/>
      <c r="AA3230" s="1"/>
      <c r="AB3230" s="1"/>
    </row>
    <row r="3231" ht="50.25" customHeight="1">
      <c r="A3231" s="12">
        <v>3227.0</v>
      </c>
      <c r="B3231" s="13" t="s">
        <v>3126</v>
      </c>
      <c r="C3231" s="14" t="s">
        <v>3247</v>
      </c>
      <c r="D3231" s="1"/>
      <c r="E3231" s="1"/>
      <c r="F3231" s="1" t="str">
        <f>IFERROR(__xludf.DUMMYFUNCTION("GOOGLETRANSLATE(B3231, ""en"", ""fa"")
"),"آشپزی")</f>
        <v>آشپزی</v>
      </c>
      <c r="G3231" s="1" t="str">
        <f>IFERROR(__xludf.DUMMYFUNCTION("GOOGLETRANSLATE(C3231, ""en"", ""fa"")
"),"دستور العمل های مورد علاقه خود را برای سس های ماکارونی خانگی و پستو به اشتراک بگذارید.")</f>
        <v>دستور العمل های مورد علاقه خود را برای سس های ماکارونی خانگی و پستو به اشتراک بگذارید.</v>
      </c>
      <c r="H3231" s="1"/>
      <c r="I3231" s="1"/>
      <c r="J3231" s="1"/>
      <c r="K3231" s="1"/>
      <c r="L3231" s="1"/>
      <c r="M3231" s="1"/>
      <c r="N3231" s="1"/>
      <c r="O3231" s="1"/>
      <c r="P3231" s="1"/>
      <c r="Q3231" s="1"/>
      <c r="R3231" s="1"/>
      <c r="S3231" s="1"/>
      <c r="T3231" s="1"/>
      <c r="U3231" s="1"/>
      <c r="V3231" s="1"/>
      <c r="W3231" s="1"/>
      <c r="X3231" s="1"/>
      <c r="Y3231" s="1"/>
      <c r="Z3231" s="1"/>
      <c r="AA3231" s="1"/>
      <c r="AB3231" s="1"/>
    </row>
    <row r="3232" ht="50.25" customHeight="1">
      <c r="A3232" s="12">
        <v>3228.0</v>
      </c>
      <c r="B3232" s="13" t="s">
        <v>3126</v>
      </c>
      <c r="C3232" s="14" t="s">
        <v>3248</v>
      </c>
      <c r="D3232" s="1"/>
      <c r="E3232" s="1"/>
      <c r="F3232" s="1" t="str">
        <f>IFERROR(__xludf.DUMMYFUNCTION("GOOGLETRANSLATE(B3232, ""en"", ""fa"")
"),"آشپزی")</f>
        <v>آشپزی</v>
      </c>
      <c r="G3232" s="1" t="str">
        <f>IFERROR(__xludf.DUMMYFUNCTION("GOOGLETRANSLATE(C3232, ""en"", ""fa"")
"),"تکنیک ها و نکاتی را برای دستیابی به کرکی کامل در پنکیک و وافل بررسی کنید.")</f>
        <v>تکنیک ها و نکاتی را برای دستیابی به کرکی کامل در پنکیک و وافل بررسی کنید.</v>
      </c>
      <c r="H3232" s="1"/>
      <c r="I3232" s="1"/>
      <c r="J3232" s="1"/>
      <c r="K3232" s="1"/>
      <c r="L3232" s="1"/>
      <c r="M3232" s="1"/>
      <c r="N3232" s="1"/>
      <c r="O3232" s="1"/>
      <c r="P3232" s="1"/>
      <c r="Q3232" s="1"/>
      <c r="R3232" s="1"/>
      <c r="S3232" s="1"/>
      <c r="T3232" s="1"/>
      <c r="U3232" s="1"/>
      <c r="V3232" s="1"/>
      <c r="W3232" s="1"/>
      <c r="X3232" s="1"/>
      <c r="Y3232" s="1"/>
      <c r="Z3232" s="1"/>
      <c r="AA3232" s="1"/>
      <c r="AB3232" s="1"/>
    </row>
    <row r="3233" ht="50.25" customHeight="1">
      <c r="A3233" s="12">
        <v>3229.0</v>
      </c>
      <c r="B3233" s="13" t="s">
        <v>3126</v>
      </c>
      <c r="C3233" s="14" t="s">
        <v>3249</v>
      </c>
      <c r="D3233" s="1"/>
      <c r="E3233" s="1"/>
      <c r="F3233" s="1" t="str">
        <f>IFERROR(__xludf.DUMMYFUNCTION("GOOGLETRANSLATE(B3233, ""en"", ""fa"")
"),"آشپزی")</f>
        <v>آشپزی</v>
      </c>
      <c r="G3233" s="1" t="str">
        <f>IFERROR(__xludf.DUMMYFUNCTION("GOOGLETRANSLATE(C3233, ""en"", ""fa"")
"),"در مورد فواید پخت و پز با غلات قدیمی و ارزش غذایی آنها صحبت کنید.")</f>
        <v>در مورد فواید پخت و پز با غلات قدیمی و ارزش غذایی آنها صحبت کنید.</v>
      </c>
      <c r="H3233" s="1"/>
      <c r="I3233" s="1"/>
      <c r="J3233" s="1"/>
      <c r="K3233" s="1"/>
      <c r="L3233" s="1"/>
      <c r="M3233" s="1"/>
      <c r="N3233" s="1"/>
      <c r="O3233" s="1"/>
      <c r="P3233" s="1"/>
      <c r="Q3233" s="1"/>
      <c r="R3233" s="1"/>
      <c r="S3233" s="1"/>
      <c r="T3233" s="1"/>
      <c r="U3233" s="1"/>
      <c r="V3233" s="1"/>
      <c r="W3233" s="1"/>
      <c r="X3233" s="1"/>
      <c r="Y3233" s="1"/>
      <c r="Z3233" s="1"/>
      <c r="AA3233" s="1"/>
      <c r="AB3233" s="1"/>
    </row>
    <row r="3234" ht="50.25" customHeight="1">
      <c r="A3234" s="12">
        <v>3230.0</v>
      </c>
      <c r="B3234" s="13" t="s">
        <v>3126</v>
      </c>
      <c r="C3234" s="14" t="s">
        <v>3250</v>
      </c>
      <c r="D3234" s="1"/>
      <c r="E3234" s="1"/>
      <c r="F3234" s="1" t="str">
        <f>IFERROR(__xludf.DUMMYFUNCTION("GOOGLETRANSLATE(B3234, ""en"", ""fa"")
"),"آشپزی")</f>
        <v>آشپزی</v>
      </c>
      <c r="G3234" s="1" t="str">
        <f>IFERROR(__xludf.DUMMYFUNCTION("GOOGLETRANSLATE(C3234, ""en"", ""fa"")
"),"نکات خود را برای ایجاد غذاهای خوشمزه و مغذی برای کودکان، از جمله خوردن مخفیانه در سبزیجات به اشتراک بگذارید.")</f>
        <v>نکات خود را برای ایجاد غذاهای خوشمزه و مغذی برای کودکان، از جمله خوردن مخفیانه در سبزیجات به اشتراک بگذارید.</v>
      </c>
      <c r="H3234" s="1"/>
      <c r="I3234" s="1"/>
      <c r="J3234" s="1"/>
      <c r="K3234" s="1"/>
      <c r="L3234" s="1"/>
      <c r="M3234" s="1"/>
      <c r="N3234" s="1"/>
      <c r="O3234" s="1"/>
      <c r="P3234" s="1"/>
      <c r="Q3234" s="1"/>
      <c r="R3234" s="1"/>
      <c r="S3234" s="1"/>
      <c r="T3234" s="1"/>
      <c r="U3234" s="1"/>
      <c r="V3234" s="1"/>
      <c r="W3234" s="1"/>
      <c r="X3234" s="1"/>
      <c r="Y3234" s="1"/>
      <c r="Z3234" s="1"/>
      <c r="AA3234" s="1"/>
      <c r="AB3234" s="1"/>
    </row>
    <row r="3235" ht="50.25" customHeight="1">
      <c r="A3235" s="12">
        <v>3231.0</v>
      </c>
      <c r="B3235" s="13" t="s">
        <v>3126</v>
      </c>
      <c r="C3235" s="14" t="s">
        <v>3251</v>
      </c>
      <c r="D3235" s="1"/>
      <c r="E3235" s="1"/>
      <c r="F3235" s="1" t="str">
        <f>IFERROR(__xludf.DUMMYFUNCTION("GOOGLETRANSLATE(B3235, ""en"", ""fa"")
"),"آشپزی")</f>
        <v>آشپزی</v>
      </c>
      <c r="G3235" s="1" t="str">
        <f>IFERROR(__xludf.DUMMYFUNCTION("GOOGLETRANSLATE(C3235, ""en"", ""fa"")
"),"دنیای پنیرهای گیاهی را کاوش کنید و دستور العمل های مورد علاقه خود را برای پنیر وگان خانگی به اشتراک بگذارید.")</f>
        <v>دنیای پنیرهای گیاهی را کاوش کنید و دستور العمل های مورد علاقه خود را برای پنیر وگان خانگی به اشتراک بگذارید.</v>
      </c>
      <c r="H3235" s="1"/>
      <c r="I3235" s="1"/>
      <c r="J3235" s="1"/>
      <c r="K3235" s="1"/>
      <c r="L3235" s="1"/>
      <c r="M3235" s="1"/>
      <c r="N3235" s="1"/>
      <c r="O3235" s="1"/>
      <c r="P3235" s="1"/>
      <c r="Q3235" s="1"/>
      <c r="R3235" s="1"/>
      <c r="S3235" s="1"/>
      <c r="T3235" s="1"/>
      <c r="U3235" s="1"/>
      <c r="V3235" s="1"/>
      <c r="W3235" s="1"/>
      <c r="X3235" s="1"/>
      <c r="Y3235" s="1"/>
      <c r="Z3235" s="1"/>
      <c r="AA3235" s="1"/>
      <c r="AB3235" s="1"/>
    </row>
    <row r="3236" ht="50.25" customHeight="1">
      <c r="A3236" s="12">
        <v>3232.0</v>
      </c>
      <c r="B3236" s="13" t="s">
        <v>3126</v>
      </c>
      <c r="C3236" s="14" t="s">
        <v>3252</v>
      </c>
      <c r="D3236" s="1"/>
      <c r="E3236" s="1"/>
      <c r="F3236" s="1" t="str">
        <f>IFERROR(__xludf.DUMMYFUNCTION("GOOGLETRANSLATE(B3236, ""en"", ""fa"")
"),"آشپزی")</f>
        <v>آشپزی</v>
      </c>
      <c r="G3236" s="1" t="str">
        <f>IFERROR(__xludf.DUMMYFUNCTION("GOOGLETRANSLATE(C3236, ""en"", ""fa"")
"),"در مورد تأثیرات فرهنگی بر غذاهای چینی و غذاهای منطقه ای متنوع آن بحث کنید.")</f>
        <v>در مورد تأثیرات فرهنگی بر غذاهای چینی و غذاهای منطقه ای متنوع آن بحث کنید.</v>
      </c>
      <c r="H3236" s="1"/>
      <c r="I3236" s="1"/>
      <c r="J3236" s="1"/>
      <c r="K3236" s="1"/>
      <c r="L3236" s="1"/>
      <c r="M3236" s="1"/>
      <c r="N3236" s="1"/>
      <c r="O3236" s="1"/>
      <c r="P3236" s="1"/>
      <c r="Q3236" s="1"/>
      <c r="R3236" s="1"/>
      <c r="S3236" s="1"/>
      <c r="T3236" s="1"/>
      <c r="U3236" s="1"/>
      <c r="V3236" s="1"/>
      <c r="W3236" s="1"/>
      <c r="X3236" s="1"/>
      <c r="Y3236" s="1"/>
      <c r="Z3236" s="1"/>
      <c r="AA3236" s="1"/>
      <c r="AB3236" s="1"/>
    </row>
    <row r="3237" ht="50.25" customHeight="1">
      <c r="A3237" s="12">
        <v>3233.0</v>
      </c>
      <c r="B3237" s="13" t="s">
        <v>3126</v>
      </c>
      <c r="C3237" s="14" t="s">
        <v>3253</v>
      </c>
      <c r="D3237" s="1"/>
      <c r="E3237" s="1"/>
      <c r="F3237" s="1" t="str">
        <f>IFERROR(__xludf.DUMMYFUNCTION("GOOGLETRANSLATE(B3237, ""en"", ""fa"")
"),"آشپزی")</f>
        <v>آشپزی</v>
      </c>
      <c r="G3237" s="1" t="str">
        <f>IFERROR(__xludf.DUMMYFUNCTION("GOOGLETRANSLATE(C3237, ""en"", ""fa"")
"),"دستور العمل های مورد علاقه خود را برای سوشی خانگی و ساشیمی به اشتراک بگذارید.")</f>
        <v>دستور العمل های مورد علاقه خود را برای سوشی خانگی و ساشیمی به اشتراک بگذارید.</v>
      </c>
      <c r="H3237" s="1"/>
      <c r="I3237" s="1"/>
      <c r="J3237" s="1"/>
      <c r="K3237" s="1"/>
      <c r="L3237" s="1"/>
      <c r="M3237" s="1"/>
      <c r="N3237" s="1"/>
      <c r="O3237" s="1"/>
      <c r="P3237" s="1"/>
      <c r="Q3237" s="1"/>
      <c r="R3237" s="1"/>
      <c r="S3237" s="1"/>
      <c r="T3237" s="1"/>
      <c r="U3237" s="1"/>
      <c r="V3237" s="1"/>
      <c r="W3237" s="1"/>
      <c r="X3237" s="1"/>
      <c r="Y3237" s="1"/>
      <c r="Z3237" s="1"/>
      <c r="AA3237" s="1"/>
      <c r="AB3237" s="1"/>
    </row>
    <row r="3238" ht="50.25" customHeight="1">
      <c r="A3238" s="12">
        <v>3234.0</v>
      </c>
      <c r="B3238" s="13" t="s">
        <v>3126</v>
      </c>
      <c r="C3238" s="14" t="s">
        <v>3254</v>
      </c>
      <c r="D3238" s="1"/>
      <c r="E3238" s="1"/>
      <c r="F3238" s="1" t="str">
        <f>IFERROR(__xludf.DUMMYFUNCTION("GOOGLETRANSLATE(B3238, ""en"", ""fa"")
"),"آشپزی")</f>
        <v>آشپزی</v>
      </c>
      <c r="G3238" s="1" t="str">
        <f>IFERROR(__xludf.DUMMYFUNCTION("GOOGLETRANSLATE(C3238, ""en"", ""fa"")
"),"تکنیک ها و نکاتی را برای دستیابی به بافت ایده آل در جایگزین های پروتئین گیاهی بررسی کنید.")</f>
        <v>تکنیک ها و نکاتی را برای دستیابی به بافت ایده آل در جایگزین های پروتئین گیاهی بررسی کنید.</v>
      </c>
      <c r="H3238" s="1"/>
      <c r="I3238" s="1"/>
      <c r="J3238" s="1"/>
      <c r="K3238" s="1"/>
      <c r="L3238" s="1"/>
      <c r="M3238" s="1"/>
      <c r="N3238" s="1"/>
      <c r="O3238" s="1"/>
      <c r="P3238" s="1"/>
      <c r="Q3238" s="1"/>
      <c r="R3238" s="1"/>
      <c r="S3238" s="1"/>
      <c r="T3238" s="1"/>
      <c r="U3238" s="1"/>
      <c r="V3238" s="1"/>
      <c r="W3238" s="1"/>
      <c r="X3238" s="1"/>
      <c r="Y3238" s="1"/>
      <c r="Z3238" s="1"/>
      <c r="AA3238" s="1"/>
      <c r="AB3238" s="1"/>
    </row>
    <row r="3239" ht="50.25" customHeight="1">
      <c r="A3239" s="12">
        <v>3235.0</v>
      </c>
      <c r="B3239" s="13" t="s">
        <v>3126</v>
      </c>
      <c r="C3239" s="14" t="s">
        <v>3255</v>
      </c>
      <c r="D3239" s="1"/>
      <c r="E3239" s="1"/>
      <c r="F3239" s="1" t="str">
        <f>IFERROR(__xludf.DUMMYFUNCTION("GOOGLETRANSLATE(B3239, ""en"", ""fa"")
"),"آشپزی")</f>
        <v>آشپزی</v>
      </c>
      <c r="G3239" s="1" t="str">
        <f>IFERROR(__xludf.DUMMYFUNCTION("GOOGLETRANSLATE(C3239, ""en"", ""fa"")
"),"در مورد مزایای سلامتی استفاده از آجیل و دانه های بیشتر در آشپزی خود صحبت کنید.")</f>
        <v>در مورد مزایای سلامتی استفاده از آجیل و دانه های بیشتر در آشپزی خود صحبت کنید.</v>
      </c>
      <c r="H3239" s="1"/>
      <c r="I3239" s="1"/>
      <c r="J3239" s="1"/>
      <c r="K3239" s="1"/>
      <c r="L3239" s="1"/>
      <c r="M3239" s="1"/>
      <c r="N3239" s="1"/>
      <c r="O3239" s="1"/>
      <c r="P3239" s="1"/>
      <c r="Q3239" s="1"/>
      <c r="R3239" s="1"/>
      <c r="S3239" s="1"/>
      <c r="T3239" s="1"/>
      <c r="U3239" s="1"/>
      <c r="V3239" s="1"/>
      <c r="W3239" s="1"/>
      <c r="X3239" s="1"/>
      <c r="Y3239" s="1"/>
      <c r="Z3239" s="1"/>
      <c r="AA3239" s="1"/>
      <c r="AB3239" s="1"/>
    </row>
    <row r="3240" ht="50.25" customHeight="1">
      <c r="A3240" s="12">
        <v>3236.0</v>
      </c>
      <c r="B3240" s="13" t="s">
        <v>3126</v>
      </c>
      <c r="C3240" s="14" t="s">
        <v>3256</v>
      </c>
      <c r="D3240" s="1"/>
      <c r="E3240" s="1"/>
      <c r="F3240" s="1" t="str">
        <f>IFERROR(__xludf.DUMMYFUNCTION("GOOGLETRANSLATE(B3240, ""en"", ""fa"")
"),"آشپزی")</f>
        <v>آشپزی</v>
      </c>
      <c r="G3240" s="1" t="str">
        <f>IFERROR(__xludf.DUMMYFUNCTION("GOOGLETRANSLATE(C3240, ""en"", ""fa"")
"),"نکات خود را برای ایجاد اسموتی ها و کاسه های اسموتی خوش طعم و سالم به اشتراک بگذارید.")</f>
        <v>نکات خود را برای ایجاد اسموتی ها و کاسه های اسموتی خوش طعم و سالم به اشتراک بگذارید.</v>
      </c>
      <c r="H3240" s="1"/>
      <c r="I3240" s="1"/>
      <c r="J3240" s="1"/>
      <c r="K3240" s="1"/>
      <c r="L3240" s="1"/>
      <c r="M3240" s="1"/>
      <c r="N3240" s="1"/>
      <c r="O3240" s="1"/>
      <c r="P3240" s="1"/>
      <c r="Q3240" s="1"/>
      <c r="R3240" s="1"/>
      <c r="S3240" s="1"/>
      <c r="T3240" s="1"/>
      <c r="U3240" s="1"/>
      <c r="V3240" s="1"/>
      <c r="W3240" s="1"/>
      <c r="X3240" s="1"/>
      <c r="Y3240" s="1"/>
      <c r="Z3240" s="1"/>
      <c r="AA3240" s="1"/>
      <c r="AB3240" s="1"/>
    </row>
    <row r="3241" ht="50.25" customHeight="1">
      <c r="A3241" s="12">
        <v>3237.0</v>
      </c>
      <c r="B3241" s="13" t="s">
        <v>3126</v>
      </c>
      <c r="C3241" s="14" t="s">
        <v>3257</v>
      </c>
      <c r="D3241" s="1"/>
      <c r="E3241" s="1"/>
      <c r="F3241" s="1" t="str">
        <f>IFERROR(__xludf.DUMMYFUNCTION("GOOGLETRANSLATE(B3241, ""en"", ""fa"")
"),"آشپزی")</f>
        <v>آشپزی</v>
      </c>
      <c r="G3241" s="1" t="str">
        <f>IFERROR(__xludf.DUMMYFUNCTION("GOOGLETRANSLATE(C3241, ""en"", ""fa"")
"),"تکنیک ها و نکاتی را برای دستیابی به سطح ایده آل تردی در غذاهای سرخ شده بررسی کنید.")</f>
        <v>تکنیک ها و نکاتی را برای دستیابی به سطح ایده آل تردی در غذاهای سرخ شده بررسی کنید.</v>
      </c>
      <c r="H3241" s="1"/>
      <c r="I3241" s="1"/>
      <c r="J3241" s="1"/>
      <c r="K3241" s="1"/>
      <c r="L3241" s="1"/>
      <c r="M3241" s="1"/>
      <c r="N3241" s="1"/>
      <c r="O3241" s="1"/>
      <c r="P3241" s="1"/>
      <c r="Q3241" s="1"/>
      <c r="R3241" s="1"/>
      <c r="S3241" s="1"/>
      <c r="T3241" s="1"/>
      <c r="U3241" s="1"/>
      <c r="V3241" s="1"/>
      <c r="W3241" s="1"/>
      <c r="X3241" s="1"/>
      <c r="Y3241" s="1"/>
      <c r="Z3241" s="1"/>
      <c r="AA3241" s="1"/>
      <c r="AB3241" s="1"/>
    </row>
    <row r="3242" ht="50.25" customHeight="1">
      <c r="A3242" s="12">
        <v>3238.0</v>
      </c>
      <c r="B3242" s="13" t="s">
        <v>3126</v>
      </c>
      <c r="C3242" s="14" t="s">
        <v>3258</v>
      </c>
      <c r="D3242" s="1"/>
      <c r="E3242" s="1"/>
      <c r="F3242" s="1" t="str">
        <f>IFERROR(__xludf.DUMMYFUNCTION("GOOGLETRANSLATE(B3242, ""en"", ""fa"")
"),"آشپزی")</f>
        <v>آشپزی</v>
      </c>
      <c r="G3242" s="1" t="str">
        <f>IFERROR(__xludf.DUMMYFUNCTION("GOOGLETRANSLATE(C3242, ""en"", ""fa"")
"),"در مورد فواید پخت و پز با ادویه جات کامل و آسیاب کردن تازه برای طعم بهتر صحبت کنید.")</f>
        <v>در مورد فواید پخت و پز با ادویه جات کامل و آسیاب کردن تازه برای طعم بهتر صحبت کنید.</v>
      </c>
      <c r="H3242" s="1"/>
      <c r="I3242" s="1"/>
      <c r="J3242" s="1"/>
      <c r="K3242" s="1"/>
      <c r="L3242" s="1"/>
      <c r="M3242" s="1"/>
      <c r="N3242" s="1"/>
      <c r="O3242" s="1"/>
      <c r="P3242" s="1"/>
      <c r="Q3242" s="1"/>
      <c r="R3242" s="1"/>
      <c r="S3242" s="1"/>
      <c r="T3242" s="1"/>
      <c r="U3242" s="1"/>
      <c r="V3242" s="1"/>
      <c r="W3242" s="1"/>
      <c r="X3242" s="1"/>
      <c r="Y3242" s="1"/>
      <c r="Z3242" s="1"/>
      <c r="AA3242" s="1"/>
      <c r="AB3242" s="1"/>
    </row>
    <row r="3243" ht="50.25" customHeight="1">
      <c r="A3243" s="12">
        <v>3239.0</v>
      </c>
      <c r="B3243" s="13" t="s">
        <v>3126</v>
      </c>
      <c r="C3243" s="14" t="s">
        <v>3259</v>
      </c>
      <c r="D3243" s="1"/>
      <c r="E3243" s="1"/>
      <c r="F3243" s="1" t="str">
        <f>IFERROR(__xludf.DUMMYFUNCTION("GOOGLETRANSLATE(B3243, ""en"", ""fa"")
"),"آشپزی")</f>
        <v>آشپزی</v>
      </c>
      <c r="G3243" s="1" t="str">
        <f>IFERROR(__xludf.DUMMYFUNCTION("GOOGLETRANSLATE(C3243, ""en"", ""fa"")
"),"دستور العمل های مورد علاقه خود را برای چاتنی ها و غذاهای خانگی به اشتراک بگذارید.")</f>
        <v>دستور العمل های مورد علاقه خود را برای چاتنی ها و غذاهای خانگی به اشتراک بگذارید.</v>
      </c>
      <c r="H3243" s="1"/>
      <c r="I3243" s="1"/>
      <c r="J3243" s="1"/>
      <c r="K3243" s="1"/>
      <c r="L3243" s="1"/>
      <c r="M3243" s="1"/>
      <c r="N3243" s="1"/>
      <c r="O3243" s="1"/>
      <c r="P3243" s="1"/>
      <c r="Q3243" s="1"/>
      <c r="R3243" s="1"/>
      <c r="S3243" s="1"/>
      <c r="T3243" s="1"/>
      <c r="U3243" s="1"/>
      <c r="V3243" s="1"/>
      <c r="W3243" s="1"/>
      <c r="X3243" s="1"/>
      <c r="Y3243" s="1"/>
      <c r="Z3243" s="1"/>
      <c r="AA3243" s="1"/>
      <c r="AB3243" s="1"/>
    </row>
    <row r="3244" ht="50.25" customHeight="1">
      <c r="A3244" s="12">
        <v>3240.0</v>
      </c>
      <c r="B3244" s="13" t="s">
        <v>3126</v>
      </c>
      <c r="C3244" s="14" t="s">
        <v>3260</v>
      </c>
      <c r="D3244" s="1"/>
      <c r="E3244" s="1"/>
      <c r="F3244" s="1" t="str">
        <f>IFERROR(__xludf.DUMMYFUNCTION("GOOGLETRANSLATE(B3244, ""en"", ""fa"")
"),"آشپزی")</f>
        <v>آشپزی</v>
      </c>
      <c r="G3244" s="1" t="str">
        <f>IFERROR(__xludf.DUMMYFUNCTION("GOOGLETRANSLATE(C3244, ""en"", ""fa"")
"),"تکنیک ها و نکاتی را برای دستیابی به رشد عالی در محصولات پخته شده کاوش کنید.")</f>
        <v>تکنیک ها و نکاتی را برای دستیابی به رشد عالی در محصولات پخته شده کاوش کنید.</v>
      </c>
      <c r="H3244" s="1"/>
      <c r="I3244" s="1"/>
      <c r="J3244" s="1"/>
      <c r="K3244" s="1"/>
      <c r="L3244" s="1"/>
      <c r="M3244" s="1"/>
      <c r="N3244" s="1"/>
      <c r="O3244" s="1"/>
      <c r="P3244" s="1"/>
      <c r="Q3244" s="1"/>
      <c r="R3244" s="1"/>
      <c r="S3244" s="1"/>
      <c r="T3244" s="1"/>
      <c r="U3244" s="1"/>
      <c r="V3244" s="1"/>
      <c r="W3244" s="1"/>
      <c r="X3244" s="1"/>
      <c r="Y3244" s="1"/>
      <c r="Z3244" s="1"/>
      <c r="AA3244" s="1"/>
      <c r="AB3244" s="1"/>
    </row>
    <row r="3245" ht="50.25" customHeight="1">
      <c r="A3245" s="12">
        <v>3241.0</v>
      </c>
      <c r="B3245" s="13" t="s">
        <v>3126</v>
      </c>
      <c r="C3245" s="14" t="s">
        <v>3261</v>
      </c>
      <c r="D3245" s="1"/>
      <c r="E3245" s="1"/>
      <c r="F3245" s="1" t="str">
        <f>IFERROR(__xludf.DUMMYFUNCTION("GOOGLETRANSLATE(B3245, ""en"", ""fa"")
"),"آشپزی")</f>
        <v>آشپزی</v>
      </c>
      <c r="G3245" s="1" t="str">
        <f>IFERROR(__xludf.DUMMYFUNCTION("GOOGLETRANSLATE(C3245, ""en"", ""fa"")
"),"در مورد تأثیرات فرهنگی بر غذاهای تایلندی و طعم های معطر آن بحث کنید.")</f>
        <v>در مورد تأثیرات فرهنگی بر غذاهای تایلندی و طعم های معطر آن بحث کنید.</v>
      </c>
      <c r="H3245" s="1"/>
      <c r="I3245" s="1"/>
      <c r="J3245" s="1"/>
      <c r="K3245" s="1"/>
      <c r="L3245" s="1"/>
      <c r="M3245" s="1"/>
      <c r="N3245" s="1"/>
      <c r="O3245" s="1"/>
      <c r="P3245" s="1"/>
      <c r="Q3245" s="1"/>
      <c r="R3245" s="1"/>
      <c r="S3245" s="1"/>
      <c r="T3245" s="1"/>
      <c r="U3245" s="1"/>
      <c r="V3245" s="1"/>
      <c r="W3245" s="1"/>
      <c r="X3245" s="1"/>
      <c r="Y3245" s="1"/>
      <c r="Z3245" s="1"/>
      <c r="AA3245" s="1"/>
      <c r="AB3245" s="1"/>
    </row>
    <row r="3246" ht="50.25" customHeight="1">
      <c r="A3246" s="12">
        <v>3242.0</v>
      </c>
      <c r="B3246" s="13" t="s">
        <v>3126</v>
      </c>
      <c r="C3246" s="14" t="s">
        <v>3262</v>
      </c>
      <c r="D3246" s="1"/>
      <c r="E3246" s="1"/>
      <c r="F3246" s="1" t="str">
        <f>IFERROR(__xludf.DUMMYFUNCTION("GOOGLETRANSLATE(B3246, ""en"", ""fa"")
"),"آشپزی")</f>
        <v>آشپزی</v>
      </c>
      <c r="G3246" s="1" t="str">
        <f>IFERROR(__xludf.DUMMYFUNCTION("GOOGLETRANSLATE(C3246, ""en"", ""fa"")
"),"نکات خود را برای کاهش ضایعات مواد غذایی و استفاده مجدد از باقیمانده ها به روش های خلاقانه به اشتراک بگذارید.")</f>
        <v>نکات خود را برای کاهش ضایعات مواد غذایی و استفاده مجدد از باقیمانده ها به روش های خلاقانه به اشتراک بگذارید.</v>
      </c>
      <c r="H3246" s="1"/>
      <c r="I3246" s="1"/>
      <c r="J3246" s="1"/>
      <c r="K3246" s="1"/>
      <c r="L3246" s="1"/>
      <c r="M3246" s="1"/>
      <c r="N3246" s="1"/>
      <c r="O3246" s="1"/>
      <c r="P3246" s="1"/>
      <c r="Q3246" s="1"/>
      <c r="R3246" s="1"/>
      <c r="S3246" s="1"/>
      <c r="T3246" s="1"/>
      <c r="U3246" s="1"/>
      <c r="V3246" s="1"/>
      <c r="W3246" s="1"/>
      <c r="X3246" s="1"/>
      <c r="Y3246" s="1"/>
      <c r="Z3246" s="1"/>
      <c r="AA3246" s="1"/>
      <c r="AB3246" s="1"/>
    </row>
    <row r="3247" ht="50.25" customHeight="1">
      <c r="A3247" s="12">
        <v>3243.0</v>
      </c>
      <c r="B3247" s="13" t="s">
        <v>3126</v>
      </c>
      <c r="C3247" s="14" t="s">
        <v>3263</v>
      </c>
      <c r="D3247" s="1"/>
      <c r="E3247" s="1"/>
      <c r="F3247" s="1" t="str">
        <f>IFERROR(__xludf.DUMMYFUNCTION("GOOGLETRANSLATE(B3247, ""en"", ""fa"")
"),"آشپزی")</f>
        <v>آشپزی</v>
      </c>
      <c r="G3247" s="1" t="str">
        <f>IFERROR(__xludf.DUMMYFUNCTION("GOOGLETRANSLATE(C3247, ""en"", ""fa"")
"),"تکنیک ها و نکاتی را برای دستیابی به بافت ایده آل در پوسته پیتزا بدون گلوتن بررسی کنید.")</f>
        <v>تکنیک ها و نکاتی را برای دستیابی به بافت ایده آل در پوسته پیتزا بدون گلوتن بررسی کنید.</v>
      </c>
      <c r="H3247" s="1"/>
      <c r="I3247" s="1"/>
      <c r="J3247" s="1"/>
      <c r="K3247" s="1"/>
      <c r="L3247" s="1"/>
      <c r="M3247" s="1"/>
      <c r="N3247" s="1"/>
      <c r="O3247" s="1"/>
      <c r="P3247" s="1"/>
      <c r="Q3247" s="1"/>
      <c r="R3247" s="1"/>
      <c r="S3247" s="1"/>
      <c r="T3247" s="1"/>
      <c r="U3247" s="1"/>
      <c r="V3247" s="1"/>
      <c r="W3247" s="1"/>
      <c r="X3247" s="1"/>
      <c r="Y3247" s="1"/>
      <c r="Z3247" s="1"/>
      <c r="AA3247" s="1"/>
      <c r="AB3247" s="1"/>
    </row>
    <row r="3248" ht="50.25" customHeight="1">
      <c r="A3248" s="12">
        <v>3244.0</v>
      </c>
      <c r="B3248" s="13" t="s">
        <v>3126</v>
      </c>
      <c r="C3248" s="14" t="s">
        <v>3264</v>
      </c>
      <c r="D3248" s="1"/>
      <c r="E3248" s="1"/>
      <c r="F3248" s="1" t="str">
        <f>IFERROR(__xludf.DUMMYFUNCTION("GOOGLETRANSLATE(B3248, ""en"", ""fa"")
"),"آشپزی")</f>
        <v>آشپزی</v>
      </c>
      <c r="G3248" s="1" t="str">
        <f>IFERROR(__xludf.DUMMYFUNCTION("GOOGLETRANSLATE(C3248, ""en"", ""fa"")
"),"در مورد فواید سلامتی آشپزی با گیاهان تازه و خواص دارویی آنها بحث کنید.")</f>
        <v>در مورد فواید سلامتی آشپزی با گیاهان تازه و خواص دارویی آنها بحث کنید.</v>
      </c>
      <c r="H3248" s="1"/>
      <c r="I3248" s="1"/>
      <c r="J3248" s="1"/>
      <c r="K3248" s="1"/>
      <c r="L3248" s="1"/>
      <c r="M3248" s="1"/>
      <c r="N3248" s="1"/>
      <c r="O3248" s="1"/>
      <c r="P3248" s="1"/>
      <c r="Q3248" s="1"/>
      <c r="R3248" s="1"/>
      <c r="S3248" s="1"/>
      <c r="T3248" s="1"/>
      <c r="U3248" s="1"/>
      <c r="V3248" s="1"/>
      <c r="W3248" s="1"/>
      <c r="X3248" s="1"/>
      <c r="Y3248" s="1"/>
      <c r="Z3248" s="1"/>
      <c r="AA3248" s="1"/>
      <c r="AB3248" s="1"/>
    </row>
    <row r="3249" ht="50.25" customHeight="1">
      <c r="A3249" s="12">
        <v>3245.0</v>
      </c>
      <c r="B3249" s="13" t="s">
        <v>3126</v>
      </c>
      <c r="C3249" s="14" t="s">
        <v>3265</v>
      </c>
      <c r="D3249" s="1"/>
      <c r="E3249" s="1"/>
      <c r="F3249" s="1" t="str">
        <f>IFERROR(__xludf.DUMMYFUNCTION("GOOGLETRANSLATE(B3249, ""en"", ""fa"")
"),"آشپزی")</f>
        <v>آشپزی</v>
      </c>
      <c r="G3249" s="1" t="str">
        <f>IFERROR(__xludf.DUMMYFUNCTION("GOOGLETRANSLATE(C3249, ""en"", ""fa"")
"),"دستور العمل های مورد علاقه خود را برای کوفته ها و استیکرهای خانگی به اشتراک بگذارید.")</f>
        <v>دستور العمل های مورد علاقه خود را برای کوفته ها و استیکرهای خانگی به اشتراک بگذارید.</v>
      </c>
      <c r="H3249" s="1"/>
      <c r="I3249" s="1"/>
      <c r="J3249" s="1"/>
      <c r="K3249" s="1"/>
      <c r="L3249" s="1"/>
      <c r="M3249" s="1"/>
      <c r="N3249" s="1"/>
      <c r="O3249" s="1"/>
      <c r="P3249" s="1"/>
      <c r="Q3249" s="1"/>
      <c r="R3249" s="1"/>
      <c r="S3249" s="1"/>
      <c r="T3249" s="1"/>
      <c r="U3249" s="1"/>
      <c r="V3249" s="1"/>
      <c r="W3249" s="1"/>
      <c r="X3249" s="1"/>
      <c r="Y3249" s="1"/>
      <c r="Z3249" s="1"/>
      <c r="AA3249" s="1"/>
      <c r="AB3249" s="1"/>
    </row>
    <row r="3250" ht="50.25" customHeight="1">
      <c r="A3250" s="12">
        <v>3246.0</v>
      </c>
      <c r="B3250" s="13" t="s">
        <v>3126</v>
      </c>
      <c r="C3250" s="14" t="s">
        <v>3266</v>
      </c>
      <c r="D3250" s="1"/>
      <c r="E3250" s="1"/>
      <c r="F3250" s="1" t="str">
        <f>IFERROR(__xludf.DUMMYFUNCTION("GOOGLETRANSLATE(B3250, ""en"", ""fa"")
"),"آشپزی")</f>
        <v>آشپزی</v>
      </c>
      <c r="G3250" s="1" t="str">
        <f>IFERROR(__xludf.DUMMYFUNCTION("GOOGLETRANSLATE(C3250, ""en"", ""fa"")
"),"تکنیک ها و نکاتی را برای دستیابی به تعادل کامل طعم ها در غذاهای یونانی بررسی کنید.")</f>
        <v>تکنیک ها و نکاتی را برای دستیابی به تعادل کامل طعم ها در غذاهای یونانی بررسی کنید.</v>
      </c>
      <c r="H3250" s="1"/>
      <c r="I3250" s="1"/>
      <c r="J3250" s="1"/>
      <c r="K3250" s="1"/>
      <c r="L3250" s="1"/>
      <c r="M3250" s="1"/>
      <c r="N3250" s="1"/>
      <c r="O3250" s="1"/>
      <c r="P3250" s="1"/>
      <c r="Q3250" s="1"/>
      <c r="R3250" s="1"/>
      <c r="S3250" s="1"/>
      <c r="T3250" s="1"/>
      <c r="U3250" s="1"/>
      <c r="V3250" s="1"/>
      <c r="W3250" s="1"/>
      <c r="X3250" s="1"/>
      <c r="Y3250" s="1"/>
      <c r="Z3250" s="1"/>
      <c r="AA3250" s="1"/>
      <c r="AB3250" s="1"/>
    </row>
    <row r="3251" ht="50.25" customHeight="1">
      <c r="A3251" s="12">
        <v>3247.0</v>
      </c>
      <c r="B3251" s="13" t="s">
        <v>3126</v>
      </c>
      <c r="C3251" s="14" t="s">
        <v>3267</v>
      </c>
      <c r="D3251" s="1"/>
      <c r="E3251" s="1"/>
      <c r="F3251" s="1" t="str">
        <f>IFERROR(__xludf.DUMMYFUNCTION("GOOGLETRANSLATE(B3251, ""en"", ""fa"")
"),"آشپزی")</f>
        <v>آشپزی</v>
      </c>
      <c r="G3251" s="1" t="str">
        <f>IFERROR(__xludf.DUMMYFUNCTION("GOOGLETRANSLATE(C3251, ""en"", ""fa"")
"),"در مورد فواید پخت و پز با سبزیجات موروثی و حفظ تنوع زیستی بحث کنید.")</f>
        <v>در مورد فواید پخت و پز با سبزیجات موروثی و حفظ تنوع زیستی بحث کنید.</v>
      </c>
      <c r="H3251" s="1"/>
      <c r="I3251" s="1"/>
      <c r="J3251" s="1"/>
      <c r="K3251" s="1"/>
      <c r="L3251" s="1"/>
      <c r="M3251" s="1"/>
      <c r="N3251" s="1"/>
      <c r="O3251" s="1"/>
      <c r="P3251" s="1"/>
      <c r="Q3251" s="1"/>
      <c r="R3251" s="1"/>
      <c r="S3251" s="1"/>
      <c r="T3251" s="1"/>
      <c r="U3251" s="1"/>
      <c r="V3251" s="1"/>
      <c r="W3251" s="1"/>
      <c r="X3251" s="1"/>
      <c r="Y3251" s="1"/>
      <c r="Z3251" s="1"/>
      <c r="AA3251" s="1"/>
      <c r="AB3251" s="1"/>
    </row>
    <row r="3252" ht="50.25" customHeight="1">
      <c r="A3252" s="12">
        <v>3248.0</v>
      </c>
      <c r="B3252" s="13" t="s">
        <v>3126</v>
      </c>
      <c r="C3252" s="14" t="s">
        <v>3268</v>
      </c>
      <c r="D3252" s="1"/>
      <c r="E3252" s="1"/>
      <c r="F3252" s="1" t="str">
        <f>IFERROR(__xludf.DUMMYFUNCTION("GOOGLETRANSLATE(B3252, ""en"", ""fa"")
"),"آشپزی")</f>
        <v>آشپزی</v>
      </c>
      <c r="G3252" s="1" t="str">
        <f>IFERROR(__xludf.DUMMYFUNCTION("GOOGLETRANSLATE(C3252, ""en"", ""fa"")
"),"نکات خود را برای ایجاد تخته های شیرینی پزی خوشمزه و جذاب به اشتراک بگذارید.")</f>
        <v>نکات خود را برای ایجاد تخته های شیرینی پزی خوشمزه و جذاب به اشتراک بگذارید.</v>
      </c>
      <c r="H3252" s="1"/>
      <c r="I3252" s="1"/>
      <c r="J3252" s="1"/>
      <c r="K3252" s="1"/>
      <c r="L3252" s="1"/>
      <c r="M3252" s="1"/>
      <c r="N3252" s="1"/>
      <c r="O3252" s="1"/>
      <c r="P3252" s="1"/>
      <c r="Q3252" s="1"/>
      <c r="R3252" s="1"/>
      <c r="S3252" s="1"/>
      <c r="T3252" s="1"/>
      <c r="U3252" s="1"/>
      <c r="V3252" s="1"/>
      <c r="W3252" s="1"/>
      <c r="X3252" s="1"/>
      <c r="Y3252" s="1"/>
      <c r="Z3252" s="1"/>
      <c r="AA3252" s="1"/>
      <c r="AB3252" s="1"/>
    </row>
    <row r="3253" ht="50.25" customHeight="1">
      <c r="A3253" s="12">
        <v>3249.0</v>
      </c>
      <c r="B3253" s="13" t="s">
        <v>3126</v>
      </c>
      <c r="C3253" s="14" t="s">
        <v>3269</v>
      </c>
      <c r="D3253" s="1"/>
      <c r="E3253" s="1"/>
      <c r="F3253" s="1" t="str">
        <f>IFERROR(__xludf.DUMMYFUNCTION("GOOGLETRANSLATE(B3253, ""en"", ""fa"")
"),"آشپزی")</f>
        <v>آشپزی</v>
      </c>
      <c r="G3253" s="1" t="str">
        <f>IFERROR(__xludf.DUMMYFUNCTION("GOOGLETRANSLATE(C3253, ""en"", ""fa"")
"),"در مورد مزایای استفاده از اجاق گاز آهسته یا قابلمه برای غذاهای راحت و خوش طعم صحبت کنید.")</f>
        <v>در مورد مزایای استفاده از اجاق گاز آهسته یا قابلمه برای غذاهای راحت و خوش طعم صحبت کنید.</v>
      </c>
      <c r="H3253" s="1"/>
      <c r="I3253" s="1"/>
      <c r="J3253" s="1"/>
      <c r="K3253" s="1"/>
      <c r="L3253" s="1"/>
      <c r="M3253" s="1"/>
      <c r="N3253" s="1"/>
      <c r="O3253" s="1"/>
      <c r="P3253" s="1"/>
      <c r="Q3253" s="1"/>
      <c r="R3253" s="1"/>
      <c r="S3253" s="1"/>
      <c r="T3253" s="1"/>
      <c r="U3253" s="1"/>
      <c r="V3253" s="1"/>
      <c r="W3253" s="1"/>
      <c r="X3253" s="1"/>
      <c r="Y3253" s="1"/>
      <c r="Z3253" s="1"/>
      <c r="AA3253" s="1"/>
      <c r="AB3253" s="1"/>
    </row>
    <row r="3254" ht="50.25" customHeight="1">
      <c r="A3254" s="12">
        <v>3250.0</v>
      </c>
      <c r="B3254" s="13" t="s">
        <v>3126</v>
      </c>
      <c r="C3254" s="14" t="s">
        <v>3270</v>
      </c>
      <c r="D3254" s="1"/>
      <c r="E3254" s="1"/>
      <c r="F3254" s="1" t="str">
        <f>IFERROR(__xludf.DUMMYFUNCTION("GOOGLETRANSLATE(B3254, ""en"", ""fa"")
"),"آشپزی")</f>
        <v>آشپزی</v>
      </c>
      <c r="G3254" s="1" t="str">
        <f>IFERROR(__xludf.DUMMYFUNCTION("GOOGLETRANSLATE(C3254, ""en"", ""fa"")
"),"نکات خود را برای به دست آوردن پوسته کامل روی پای ها و تارت های خانگی به اشتراک بگذارید.")</f>
        <v>نکات خود را برای به دست آوردن پوسته کامل روی پای ها و تارت های خانگی به اشتراک بگذارید.</v>
      </c>
      <c r="H3254" s="1"/>
      <c r="I3254" s="1"/>
      <c r="J3254" s="1"/>
      <c r="K3254" s="1"/>
      <c r="L3254" s="1"/>
      <c r="M3254" s="1"/>
      <c r="N3254" s="1"/>
      <c r="O3254" s="1"/>
      <c r="P3254" s="1"/>
      <c r="Q3254" s="1"/>
      <c r="R3254" s="1"/>
      <c r="S3254" s="1"/>
      <c r="T3254" s="1"/>
      <c r="U3254" s="1"/>
      <c r="V3254" s="1"/>
      <c r="W3254" s="1"/>
      <c r="X3254" s="1"/>
      <c r="Y3254" s="1"/>
      <c r="Z3254" s="1"/>
      <c r="AA3254" s="1"/>
      <c r="AB3254" s="1"/>
    </row>
    <row r="3255" ht="50.25" customHeight="1">
      <c r="A3255" s="12">
        <v>3251.0</v>
      </c>
      <c r="B3255" s="13" t="s">
        <v>3126</v>
      </c>
      <c r="C3255" s="14" t="s">
        <v>3271</v>
      </c>
      <c r="D3255" s="1"/>
      <c r="E3255" s="1"/>
      <c r="F3255" s="1" t="str">
        <f>IFERROR(__xludf.DUMMYFUNCTION("GOOGLETRANSLATE(B3255, ""en"", ""fa"")
"),"آشپزی")</f>
        <v>آشپزی</v>
      </c>
      <c r="G3255" s="1" t="str">
        <f>IFERROR(__xludf.DUMMYFUNCTION("GOOGLETRANSLATE(C3255, ""en"", ""fa"")
"),"تکنیک ها و نکاتی را برای دستیابی به بافت ایده آل در نان بدون گلوتن بررسی کنید.")</f>
        <v>تکنیک ها و نکاتی را برای دستیابی به بافت ایده آل در نان بدون گلوتن بررسی کنید.</v>
      </c>
      <c r="H3255" s="1"/>
      <c r="I3255" s="1"/>
      <c r="J3255" s="1"/>
      <c r="K3255" s="1"/>
      <c r="L3255" s="1"/>
      <c r="M3255" s="1"/>
      <c r="N3255" s="1"/>
      <c r="O3255" s="1"/>
      <c r="P3255" s="1"/>
      <c r="Q3255" s="1"/>
      <c r="R3255" s="1"/>
      <c r="S3255" s="1"/>
      <c r="T3255" s="1"/>
      <c r="U3255" s="1"/>
      <c r="V3255" s="1"/>
      <c r="W3255" s="1"/>
      <c r="X3255" s="1"/>
      <c r="Y3255" s="1"/>
      <c r="Z3255" s="1"/>
      <c r="AA3255" s="1"/>
      <c r="AB3255" s="1"/>
    </row>
    <row r="3256" ht="50.25" customHeight="1">
      <c r="A3256" s="12">
        <v>3252.0</v>
      </c>
      <c r="B3256" s="13" t="s">
        <v>3126</v>
      </c>
      <c r="C3256" s="14" t="s">
        <v>3272</v>
      </c>
      <c r="D3256" s="1"/>
      <c r="E3256" s="1"/>
      <c r="F3256" s="1" t="str">
        <f>IFERROR(__xludf.DUMMYFUNCTION("GOOGLETRANSLATE(B3256, ""en"", ""fa"")
"),"آشپزی")</f>
        <v>آشپزی</v>
      </c>
      <c r="G3256" s="1" t="str">
        <f>IFERROR(__xludf.DUMMYFUNCTION("GOOGLETRANSLATE(C3256, ""en"", ""fa"")
"),"در مورد مزایای سلامتی پخت و پز با غلات کامل و ارزش غذایی آنها بحث کنید.")</f>
        <v>در مورد مزایای سلامتی پخت و پز با غلات کامل و ارزش غذایی آنها بحث کنید.</v>
      </c>
      <c r="H3256" s="1"/>
      <c r="I3256" s="1"/>
      <c r="J3256" s="1"/>
      <c r="K3256" s="1"/>
      <c r="L3256" s="1"/>
      <c r="M3256" s="1"/>
      <c r="N3256" s="1"/>
      <c r="O3256" s="1"/>
      <c r="P3256" s="1"/>
      <c r="Q3256" s="1"/>
      <c r="R3256" s="1"/>
      <c r="S3256" s="1"/>
      <c r="T3256" s="1"/>
      <c r="U3256" s="1"/>
      <c r="V3256" s="1"/>
      <c r="W3256" s="1"/>
      <c r="X3256" s="1"/>
      <c r="Y3256" s="1"/>
      <c r="Z3256" s="1"/>
      <c r="AA3256" s="1"/>
      <c r="AB3256" s="1"/>
    </row>
    <row r="3257" ht="50.25" customHeight="1">
      <c r="A3257" s="12">
        <v>3253.0</v>
      </c>
      <c r="B3257" s="13" t="s">
        <v>3126</v>
      </c>
      <c r="C3257" s="14" t="s">
        <v>3273</v>
      </c>
      <c r="D3257" s="1"/>
      <c r="E3257" s="1"/>
      <c r="F3257" s="1" t="str">
        <f>IFERROR(__xludf.DUMMYFUNCTION("GOOGLETRANSLATE(B3257, ""en"", ""fa"")
"),"آشپزی")</f>
        <v>آشپزی</v>
      </c>
      <c r="G3257" s="1" t="str">
        <f>IFERROR(__xludf.DUMMYFUNCTION("GOOGLETRANSLATE(C3257, ""en"", ""fa"")
"),"دستور العمل های مورد علاقه خود را برای سس ها و مارینادهای باربیکیو خانگی به اشتراک بگذارید.")</f>
        <v>دستور العمل های مورد علاقه خود را برای سس ها و مارینادهای باربیکیو خانگی به اشتراک بگذارید.</v>
      </c>
      <c r="H3257" s="1"/>
      <c r="I3257" s="1"/>
      <c r="J3257" s="1"/>
      <c r="K3257" s="1"/>
      <c r="L3257" s="1"/>
      <c r="M3257" s="1"/>
      <c r="N3257" s="1"/>
      <c r="O3257" s="1"/>
      <c r="P3257" s="1"/>
      <c r="Q3257" s="1"/>
      <c r="R3257" s="1"/>
      <c r="S3257" s="1"/>
      <c r="T3257" s="1"/>
      <c r="U3257" s="1"/>
      <c r="V3257" s="1"/>
      <c r="W3257" s="1"/>
      <c r="X3257" s="1"/>
      <c r="Y3257" s="1"/>
      <c r="Z3257" s="1"/>
      <c r="AA3257" s="1"/>
      <c r="AB3257" s="1"/>
    </row>
    <row r="3258" ht="50.25" customHeight="1">
      <c r="A3258" s="12">
        <v>3254.0</v>
      </c>
      <c r="B3258" s="13" t="s">
        <v>3126</v>
      </c>
      <c r="C3258" s="14" t="s">
        <v>3274</v>
      </c>
      <c r="D3258" s="1"/>
      <c r="E3258" s="1"/>
      <c r="F3258" s="1" t="str">
        <f>IFERROR(__xludf.DUMMYFUNCTION("GOOGLETRANSLATE(B3258, ""en"", ""fa"")
"),"آشپزی")</f>
        <v>آشپزی</v>
      </c>
      <c r="G3258" s="1" t="str">
        <f>IFERROR(__xludf.DUMMYFUNCTION("GOOGLETRANSLATE(C3258, ""en"", ""fa"")
"),"تکنیک ها و نکاتی را برای دستیابی به تعادل کامل طعم ها در غذاهای ویتنامی بررسی کنید.")</f>
        <v>تکنیک ها و نکاتی را برای دستیابی به تعادل کامل طعم ها در غذاهای ویتنامی بررسی کنید.</v>
      </c>
      <c r="H3258" s="1"/>
      <c r="I3258" s="1"/>
      <c r="J3258" s="1"/>
      <c r="K3258" s="1"/>
      <c r="L3258" s="1"/>
      <c r="M3258" s="1"/>
      <c r="N3258" s="1"/>
      <c r="O3258" s="1"/>
      <c r="P3258" s="1"/>
      <c r="Q3258" s="1"/>
      <c r="R3258" s="1"/>
      <c r="S3258" s="1"/>
      <c r="T3258" s="1"/>
      <c r="U3258" s="1"/>
      <c r="V3258" s="1"/>
      <c r="W3258" s="1"/>
      <c r="X3258" s="1"/>
      <c r="Y3258" s="1"/>
      <c r="Z3258" s="1"/>
      <c r="AA3258" s="1"/>
      <c r="AB3258" s="1"/>
    </row>
    <row r="3259" ht="50.25" customHeight="1">
      <c r="A3259" s="12">
        <v>3255.0</v>
      </c>
      <c r="B3259" s="13" t="s">
        <v>3126</v>
      </c>
      <c r="C3259" s="14" t="s">
        <v>3275</v>
      </c>
      <c r="D3259" s="1"/>
      <c r="E3259" s="1"/>
      <c r="F3259" s="1" t="str">
        <f>IFERROR(__xludf.DUMMYFUNCTION("GOOGLETRANSLATE(B3259, ""en"", ""fa"")
"),"آشپزی")</f>
        <v>آشپزی</v>
      </c>
      <c r="G3259" s="1" t="str">
        <f>IFERROR(__xludf.DUMMYFUNCTION("GOOGLETRANSLATE(C3259, ""en"", ""fa"")
"),"در مورد فواید پخت و پز با میوه ها و سبزیجات فصلی و طعم بهتر آنها بحث کنید.")</f>
        <v>در مورد فواید پخت و پز با میوه ها و سبزیجات فصلی و طعم بهتر آنها بحث کنید.</v>
      </c>
      <c r="H3259" s="1"/>
      <c r="I3259" s="1"/>
      <c r="J3259" s="1"/>
      <c r="K3259" s="1"/>
      <c r="L3259" s="1"/>
      <c r="M3259" s="1"/>
      <c r="N3259" s="1"/>
      <c r="O3259" s="1"/>
      <c r="P3259" s="1"/>
      <c r="Q3259" s="1"/>
      <c r="R3259" s="1"/>
      <c r="S3259" s="1"/>
      <c r="T3259" s="1"/>
      <c r="U3259" s="1"/>
      <c r="V3259" s="1"/>
      <c r="W3259" s="1"/>
      <c r="X3259" s="1"/>
      <c r="Y3259" s="1"/>
      <c r="Z3259" s="1"/>
      <c r="AA3259" s="1"/>
      <c r="AB3259" s="1"/>
    </row>
    <row r="3260" ht="50.25" customHeight="1">
      <c r="A3260" s="12">
        <v>3256.0</v>
      </c>
      <c r="B3260" s="13" t="s">
        <v>3126</v>
      </c>
      <c r="C3260" s="14" t="s">
        <v>3276</v>
      </c>
      <c r="D3260" s="1"/>
      <c r="E3260" s="1"/>
      <c r="F3260" s="1" t="str">
        <f>IFERROR(__xludf.DUMMYFUNCTION("GOOGLETRANSLATE(B3260, ""en"", ""fa"")
"),"آشپزی")</f>
        <v>آشپزی</v>
      </c>
      <c r="G3260" s="1" t="str">
        <f>IFERROR(__xludf.DUMMYFUNCTION("GOOGLETRANSLATE(C3260, ""en"", ""fa"")
"),"نکات خود را برای ایجاد استیک با کیفیت رستوران در خانه، از جمله بهترین روش های پخت و پز و چاشنی ها به اشتراک بگذارید.")</f>
        <v>نکات خود را برای ایجاد استیک با کیفیت رستوران در خانه، از جمله بهترین روش های پخت و پز و چاشنی ها به اشتراک بگذارید.</v>
      </c>
      <c r="H3260" s="1"/>
      <c r="I3260" s="1"/>
      <c r="J3260" s="1"/>
      <c r="K3260" s="1"/>
      <c r="L3260" s="1"/>
      <c r="M3260" s="1"/>
      <c r="N3260" s="1"/>
      <c r="O3260" s="1"/>
      <c r="P3260" s="1"/>
      <c r="Q3260" s="1"/>
      <c r="R3260" s="1"/>
      <c r="S3260" s="1"/>
      <c r="T3260" s="1"/>
      <c r="U3260" s="1"/>
      <c r="V3260" s="1"/>
      <c r="W3260" s="1"/>
      <c r="X3260" s="1"/>
      <c r="Y3260" s="1"/>
      <c r="Z3260" s="1"/>
      <c r="AA3260" s="1"/>
      <c r="AB3260" s="1"/>
    </row>
    <row r="3261" ht="50.25" customHeight="1">
      <c r="A3261" s="12">
        <v>3257.0</v>
      </c>
      <c r="B3261" s="13" t="s">
        <v>3126</v>
      </c>
      <c r="C3261" s="14" t="s">
        <v>3277</v>
      </c>
      <c r="D3261" s="1"/>
      <c r="E3261" s="1"/>
      <c r="F3261" s="1" t="str">
        <f>IFERROR(__xludf.DUMMYFUNCTION("GOOGLETRANSLATE(B3261, ""en"", ""fa"")
"),"آشپزی")</f>
        <v>آشپزی</v>
      </c>
      <c r="G3261" s="1" t="str">
        <f>IFERROR(__xludf.DUMMYFUNCTION("GOOGLETRANSLATE(C3261, ""en"", ""fa"")
"),"دنیای نوشیدنی های تخمیر شده مانند کامبوچا یا آبجو زنجبیل خانگی را کاوش کنید.")</f>
        <v>دنیای نوشیدنی های تخمیر شده مانند کامبوچا یا آبجو زنجبیل خانگی را کاوش کنید.</v>
      </c>
      <c r="H3261" s="1"/>
      <c r="I3261" s="1"/>
      <c r="J3261" s="1"/>
      <c r="K3261" s="1"/>
      <c r="L3261" s="1"/>
      <c r="M3261" s="1"/>
      <c r="N3261" s="1"/>
      <c r="O3261" s="1"/>
      <c r="P3261" s="1"/>
      <c r="Q3261" s="1"/>
      <c r="R3261" s="1"/>
      <c r="S3261" s="1"/>
      <c r="T3261" s="1"/>
      <c r="U3261" s="1"/>
      <c r="V3261" s="1"/>
      <c r="W3261" s="1"/>
      <c r="X3261" s="1"/>
      <c r="Y3261" s="1"/>
      <c r="Z3261" s="1"/>
      <c r="AA3261" s="1"/>
      <c r="AB3261" s="1"/>
    </row>
    <row r="3262" ht="50.25" customHeight="1">
      <c r="A3262" s="12">
        <v>3258.0</v>
      </c>
      <c r="B3262" s="13" t="s">
        <v>3126</v>
      </c>
      <c r="C3262" s="14" t="s">
        <v>3278</v>
      </c>
      <c r="D3262" s="1"/>
      <c r="E3262" s="1"/>
      <c r="F3262" s="1" t="str">
        <f>IFERROR(__xludf.DUMMYFUNCTION("GOOGLETRANSLATE(B3262, ""en"", ""fa"")
"),"آشپزی")</f>
        <v>آشپزی</v>
      </c>
      <c r="G3262" s="1" t="str">
        <f>IFERROR(__xludf.DUMMYFUNCTION("GOOGLETRANSLATE(C3262, ""en"", ""fa"")
"),"در مورد تأثیرات فرهنگی بر غذاهای ژاپنی و ارائه ظریف آن بحث کنید.")</f>
        <v>در مورد تأثیرات فرهنگی بر غذاهای ژاپنی و ارائه ظریف آن بحث کنید.</v>
      </c>
      <c r="H3262" s="1"/>
      <c r="I3262" s="1"/>
      <c r="J3262" s="1"/>
      <c r="K3262" s="1"/>
      <c r="L3262" s="1"/>
      <c r="M3262" s="1"/>
      <c r="N3262" s="1"/>
      <c r="O3262" s="1"/>
      <c r="P3262" s="1"/>
      <c r="Q3262" s="1"/>
      <c r="R3262" s="1"/>
      <c r="S3262" s="1"/>
      <c r="T3262" s="1"/>
      <c r="U3262" s="1"/>
      <c r="V3262" s="1"/>
      <c r="W3262" s="1"/>
      <c r="X3262" s="1"/>
      <c r="Y3262" s="1"/>
      <c r="Z3262" s="1"/>
      <c r="AA3262" s="1"/>
      <c r="AB3262" s="1"/>
    </row>
    <row r="3263" ht="50.25" customHeight="1">
      <c r="A3263" s="12">
        <v>3259.0</v>
      </c>
      <c r="B3263" s="13" t="s">
        <v>3126</v>
      </c>
      <c r="C3263" s="14" t="s">
        <v>3279</v>
      </c>
      <c r="D3263" s="1"/>
      <c r="E3263" s="1"/>
      <c r="F3263" s="1" t="str">
        <f>IFERROR(__xludf.DUMMYFUNCTION("GOOGLETRANSLATE(B3263, ""en"", ""fa"")
"),"آشپزی")</f>
        <v>آشپزی</v>
      </c>
      <c r="G3263" s="1" t="str">
        <f>IFERROR(__xludf.DUMMYFUNCTION("GOOGLETRANSLATE(C3263, ""en"", ""fa"")
"),"دستور العمل های مورد علاقه خود را برای روغن ها و سرکه های طعم دار خانگی به اشتراک بگذارید.")</f>
        <v>دستور العمل های مورد علاقه خود را برای روغن ها و سرکه های طعم دار خانگی به اشتراک بگذارید.</v>
      </c>
      <c r="H3263" s="1"/>
      <c r="I3263" s="1"/>
      <c r="J3263" s="1"/>
      <c r="K3263" s="1"/>
      <c r="L3263" s="1"/>
      <c r="M3263" s="1"/>
      <c r="N3263" s="1"/>
      <c r="O3263" s="1"/>
      <c r="P3263" s="1"/>
      <c r="Q3263" s="1"/>
      <c r="R3263" s="1"/>
      <c r="S3263" s="1"/>
      <c r="T3263" s="1"/>
      <c r="U3263" s="1"/>
      <c r="V3263" s="1"/>
      <c r="W3263" s="1"/>
      <c r="X3263" s="1"/>
      <c r="Y3263" s="1"/>
      <c r="Z3263" s="1"/>
      <c r="AA3263" s="1"/>
      <c r="AB3263" s="1"/>
    </row>
    <row r="3264" ht="50.25" customHeight="1">
      <c r="A3264" s="12">
        <v>3260.0</v>
      </c>
      <c r="B3264" s="13" t="s">
        <v>3126</v>
      </c>
      <c r="C3264" s="14" t="s">
        <v>3280</v>
      </c>
      <c r="D3264" s="1"/>
      <c r="E3264" s="1"/>
      <c r="F3264" s="1" t="str">
        <f>IFERROR(__xludf.DUMMYFUNCTION("GOOGLETRANSLATE(B3264, ""en"", ""fa"")
"),"آشپزی")</f>
        <v>آشپزی</v>
      </c>
      <c r="G3264" s="1" t="str">
        <f>IFERROR(__xludf.DUMMYFUNCTION("GOOGLETRANSLATE(C3264, ""en"", ""fa"")
"),"تکنیک ها و نکاتی را برای دستیابی به بافت ایده آل در جایگزین های پنیر وگان بررسی کنید.")</f>
        <v>تکنیک ها و نکاتی را برای دستیابی به بافت ایده آل در جایگزین های پنیر وگان بررسی کنید.</v>
      </c>
      <c r="H3264" s="1"/>
      <c r="I3264" s="1"/>
      <c r="J3264" s="1"/>
      <c r="K3264" s="1"/>
      <c r="L3264" s="1"/>
      <c r="M3264" s="1"/>
      <c r="N3264" s="1"/>
      <c r="O3264" s="1"/>
      <c r="P3264" s="1"/>
      <c r="Q3264" s="1"/>
      <c r="R3264" s="1"/>
      <c r="S3264" s="1"/>
      <c r="T3264" s="1"/>
      <c r="U3264" s="1"/>
      <c r="V3264" s="1"/>
      <c r="W3264" s="1"/>
      <c r="X3264" s="1"/>
      <c r="Y3264" s="1"/>
      <c r="Z3264" s="1"/>
      <c r="AA3264" s="1"/>
      <c r="AB3264" s="1"/>
    </row>
    <row r="3265" ht="50.25" customHeight="1">
      <c r="A3265" s="12">
        <v>3261.0</v>
      </c>
      <c r="B3265" s="13" t="s">
        <v>3126</v>
      </c>
      <c r="C3265" s="14" t="s">
        <v>3281</v>
      </c>
      <c r="D3265" s="1"/>
      <c r="E3265" s="1"/>
      <c r="F3265" s="1" t="str">
        <f>IFERROR(__xludf.DUMMYFUNCTION("GOOGLETRANSLATE(B3265, ""en"", ""fa"")
"),"آشپزی")</f>
        <v>آشپزی</v>
      </c>
      <c r="G3265" s="1" t="str">
        <f>IFERROR(__xludf.DUMMYFUNCTION("GOOGLETRANSLATE(C3265, ""en"", ""fa"")
"),"در مورد فواید پخت و پز با شیرین کننده های طبیعی، مانند شربت افرا یا عسل صحبت کنید.")</f>
        <v>در مورد فواید پخت و پز با شیرین کننده های طبیعی، مانند شربت افرا یا عسل صحبت کنید.</v>
      </c>
      <c r="H3265" s="1"/>
      <c r="I3265" s="1"/>
      <c r="J3265" s="1"/>
      <c r="K3265" s="1"/>
      <c r="L3265" s="1"/>
      <c r="M3265" s="1"/>
      <c r="N3265" s="1"/>
      <c r="O3265" s="1"/>
      <c r="P3265" s="1"/>
      <c r="Q3265" s="1"/>
      <c r="R3265" s="1"/>
      <c r="S3265" s="1"/>
      <c r="T3265" s="1"/>
      <c r="U3265" s="1"/>
      <c r="V3265" s="1"/>
      <c r="W3265" s="1"/>
      <c r="X3265" s="1"/>
      <c r="Y3265" s="1"/>
      <c r="Z3265" s="1"/>
      <c r="AA3265" s="1"/>
      <c r="AB3265" s="1"/>
    </row>
    <row r="3266" ht="50.25" customHeight="1">
      <c r="A3266" s="12">
        <v>3262.0</v>
      </c>
      <c r="B3266" s="13" t="s">
        <v>3126</v>
      </c>
      <c r="C3266" s="14" t="s">
        <v>3282</v>
      </c>
      <c r="D3266" s="1"/>
      <c r="E3266" s="1"/>
      <c r="F3266" s="1" t="str">
        <f>IFERROR(__xludf.DUMMYFUNCTION("GOOGLETRANSLATE(B3266, ""en"", ""fa"")
"),"آشپزی")</f>
        <v>آشپزی</v>
      </c>
      <c r="G3266" s="1" t="str">
        <f>IFERROR(__xludf.DUMMYFUNCTION("GOOGLETRANSLATE(C3266, ""en"", ""fa"")
"),"نکات خود را برای دستیابی به قوام کامل در کاستارد و پودینگ های خانگی به اشتراک بگذارید.")</f>
        <v>نکات خود را برای دستیابی به قوام کامل در کاستارد و پودینگ های خانگی به اشتراک بگذارید.</v>
      </c>
      <c r="H3266" s="1"/>
      <c r="I3266" s="1"/>
      <c r="J3266" s="1"/>
      <c r="K3266" s="1"/>
      <c r="L3266" s="1"/>
      <c r="M3266" s="1"/>
      <c r="N3266" s="1"/>
      <c r="O3266" s="1"/>
      <c r="P3266" s="1"/>
      <c r="Q3266" s="1"/>
      <c r="R3266" s="1"/>
      <c r="S3266" s="1"/>
      <c r="T3266" s="1"/>
      <c r="U3266" s="1"/>
      <c r="V3266" s="1"/>
      <c r="W3266" s="1"/>
      <c r="X3266" s="1"/>
      <c r="Y3266" s="1"/>
      <c r="Z3266" s="1"/>
      <c r="AA3266" s="1"/>
      <c r="AB3266" s="1"/>
    </row>
    <row r="3267" ht="50.25" customHeight="1">
      <c r="A3267" s="12">
        <v>3263.0</v>
      </c>
      <c r="B3267" s="13" t="s">
        <v>3126</v>
      </c>
      <c r="C3267" s="14" t="s">
        <v>3283</v>
      </c>
      <c r="D3267" s="1"/>
      <c r="E3267" s="1"/>
      <c r="F3267" s="1" t="str">
        <f>IFERROR(__xludf.DUMMYFUNCTION("GOOGLETRANSLATE(B3267, ""en"", ""fa"")
"),"آشپزی")</f>
        <v>آشپزی</v>
      </c>
      <c r="G3267" s="1" t="str">
        <f>IFERROR(__xludf.DUMMYFUNCTION("GOOGLETRANSLATE(C3267, ""en"", ""fa"")
"),"تکنیک‌ها و نکاتی را برای دستیابی به سطح نرمی ایده‌آل در گوشت‌ها و سبزیجات کبابی بررسی کنید.")</f>
        <v>تکنیک‌ها و نکاتی را برای دستیابی به سطح نرمی ایده‌آل در گوشت‌ها و سبزیجات کبابی بررسی کنید.</v>
      </c>
      <c r="H3267" s="1"/>
      <c r="I3267" s="1"/>
      <c r="J3267" s="1"/>
      <c r="K3267" s="1"/>
      <c r="L3267" s="1"/>
      <c r="M3267" s="1"/>
      <c r="N3267" s="1"/>
      <c r="O3267" s="1"/>
      <c r="P3267" s="1"/>
      <c r="Q3267" s="1"/>
      <c r="R3267" s="1"/>
      <c r="S3267" s="1"/>
      <c r="T3267" s="1"/>
      <c r="U3267" s="1"/>
      <c r="V3267" s="1"/>
      <c r="W3267" s="1"/>
      <c r="X3267" s="1"/>
      <c r="Y3267" s="1"/>
      <c r="Z3267" s="1"/>
      <c r="AA3267" s="1"/>
      <c r="AB3267" s="1"/>
    </row>
    <row r="3268" ht="50.25" customHeight="1">
      <c r="A3268" s="12">
        <v>3264.0</v>
      </c>
      <c r="B3268" s="13" t="s">
        <v>3126</v>
      </c>
      <c r="C3268" s="14" t="s">
        <v>3284</v>
      </c>
      <c r="D3268" s="1"/>
      <c r="E3268" s="1"/>
      <c r="F3268" s="1" t="str">
        <f>IFERROR(__xludf.DUMMYFUNCTION("GOOGLETRANSLATE(B3268, ""en"", ""fa"")
"),"آشپزی")</f>
        <v>آشپزی</v>
      </c>
      <c r="G3268" s="1" t="str">
        <f>IFERROR(__xludf.DUMMYFUNCTION("GOOGLETRANSLATE(C3268, ""en"", ""fa"")
"),"در مورد مزایای سلامتی استفاده از پروتئین های گیاهی بیشتر در آشپزی خود مانند حبوبات یا توفو صحبت کنید.")</f>
        <v>در مورد مزایای سلامتی استفاده از پروتئین های گیاهی بیشتر در آشپزی خود مانند حبوبات یا توفو صحبت کنید.</v>
      </c>
      <c r="H3268" s="1"/>
      <c r="I3268" s="1"/>
      <c r="J3268" s="1"/>
      <c r="K3268" s="1"/>
      <c r="L3268" s="1"/>
      <c r="M3268" s="1"/>
      <c r="N3268" s="1"/>
      <c r="O3268" s="1"/>
      <c r="P3268" s="1"/>
      <c r="Q3268" s="1"/>
      <c r="R3268" s="1"/>
      <c r="S3268" s="1"/>
      <c r="T3268" s="1"/>
      <c r="U3268" s="1"/>
      <c r="V3268" s="1"/>
      <c r="W3268" s="1"/>
      <c r="X3268" s="1"/>
      <c r="Y3268" s="1"/>
      <c r="Z3268" s="1"/>
      <c r="AA3268" s="1"/>
      <c r="AB3268" s="1"/>
    </row>
    <row r="3269" ht="50.25" customHeight="1">
      <c r="A3269" s="12">
        <v>3265.0</v>
      </c>
      <c r="B3269" s="13" t="s">
        <v>3126</v>
      </c>
      <c r="C3269" s="14" t="s">
        <v>3285</v>
      </c>
      <c r="D3269" s="1"/>
      <c r="E3269" s="1"/>
      <c r="F3269" s="1" t="str">
        <f>IFERROR(__xludf.DUMMYFUNCTION("GOOGLETRANSLATE(B3269, ""en"", ""fa"")
"),"آشپزی")</f>
        <v>آشپزی</v>
      </c>
      <c r="G3269" s="1" t="str">
        <f>IFERROR(__xludf.DUMMYFUNCTION("GOOGLETRANSLATE(C3269, ""en"", ""fa"")
"),"دستور العمل های مورد علاقه خود را برای کره های آجیل خانگی و اسپری ها به اشتراک بگذارید.")</f>
        <v>دستور العمل های مورد علاقه خود را برای کره های آجیل خانگی و اسپری ها به اشتراک بگذارید.</v>
      </c>
      <c r="H3269" s="1"/>
      <c r="I3269" s="1"/>
      <c r="J3269" s="1"/>
      <c r="K3269" s="1"/>
      <c r="L3269" s="1"/>
      <c r="M3269" s="1"/>
      <c r="N3269" s="1"/>
      <c r="O3269" s="1"/>
      <c r="P3269" s="1"/>
      <c r="Q3269" s="1"/>
      <c r="R3269" s="1"/>
      <c r="S3269" s="1"/>
      <c r="T3269" s="1"/>
      <c r="U3269" s="1"/>
      <c r="V3269" s="1"/>
      <c r="W3269" s="1"/>
      <c r="X3269" s="1"/>
      <c r="Y3269" s="1"/>
      <c r="Z3269" s="1"/>
      <c r="AA3269" s="1"/>
      <c r="AB3269" s="1"/>
    </row>
    <row r="3270" ht="50.25" customHeight="1">
      <c r="A3270" s="12">
        <v>3266.0</v>
      </c>
      <c r="B3270" s="13" t="s">
        <v>3126</v>
      </c>
      <c r="C3270" s="14" t="s">
        <v>3286</v>
      </c>
      <c r="D3270" s="1"/>
      <c r="E3270" s="1"/>
      <c r="F3270" s="1" t="str">
        <f>IFERROR(__xludf.DUMMYFUNCTION("GOOGLETRANSLATE(B3270, ""en"", ""fa"")
"),"آشپزی")</f>
        <v>آشپزی</v>
      </c>
      <c r="G3270" s="1" t="str">
        <f>IFERROR(__xludf.DUMMYFUNCTION("GOOGLETRANSLATE(C3270, ""en"", ""fa"")
"),"دنیای غذاهای کارائیب را کاوش کنید و دستور العمل های مورد علاقه خود را برای غذاهایی مانند مرغ تند و تیز یا سرخ کردنی های چنار به اشتراک بگذارید.")</f>
        <v>دنیای غذاهای کارائیب را کاوش کنید و دستور العمل های مورد علاقه خود را برای غذاهایی مانند مرغ تند و تیز یا سرخ کردنی های چنار به اشتراک بگذارید.</v>
      </c>
      <c r="H3270" s="1"/>
      <c r="I3270" s="1"/>
      <c r="J3270" s="1"/>
      <c r="K3270" s="1"/>
      <c r="L3270" s="1"/>
      <c r="M3270" s="1"/>
      <c r="N3270" s="1"/>
      <c r="O3270" s="1"/>
      <c r="P3270" s="1"/>
      <c r="Q3270" s="1"/>
      <c r="R3270" s="1"/>
      <c r="S3270" s="1"/>
      <c r="T3270" s="1"/>
      <c r="U3270" s="1"/>
      <c r="V3270" s="1"/>
      <c r="W3270" s="1"/>
      <c r="X3270" s="1"/>
      <c r="Y3270" s="1"/>
      <c r="Z3270" s="1"/>
      <c r="AA3270" s="1"/>
      <c r="AB3270" s="1"/>
    </row>
    <row r="3271" ht="50.25" customHeight="1">
      <c r="A3271" s="12">
        <v>3267.0</v>
      </c>
      <c r="B3271" s="13" t="s">
        <v>3126</v>
      </c>
      <c r="C3271" s="14" t="s">
        <v>3287</v>
      </c>
      <c r="D3271" s="1"/>
      <c r="E3271" s="1"/>
      <c r="F3271" s="1" t="str">
        <f>IFERROR(__xludf.DUMMYFUNCTION("GOOGLETRANSLATE(B3271, ""en"", ""fa"")
"),"آشپزی")</f>
        <v>آشپزی</v>
      </c>
      <c r="G3271" s="1" t="str">
        <f>IFERROR(__xludf.DUMMYFUNCTION("GOOGLETRANSLATE(C3271, ""en"", ""fa"")
"),"در مورد فواید پخت و پز با گیاهان تازه و خشک و مشخصات طعم منحصر به فرد آنها بحث کنید.")</f>
        <v>در مورد فواید پخت و پز با گیاهان تازه و خشک و مشخصات طعم منحصر به فرد آنها بحث کنید.</v>
      </c>
      <c r="H3271" s="1"/>
      <c r="I3271" s="1"/>
      <c r="J3271" s="1"/>
      <c r="K3271" s="1"/>
      <c r="L3271" s="1"/>
      <c r="M3271" s="1"/>
      <c r="N3271" s="1"/>
      <c r="O3271" s="1"/>
      <c r="P3271" s="1"/>
      <c r="Q3271" s="1"/>
      <c r="R3271" s="1"/>
      <c r="S3271" s="1"/>
      <c r="T3271" s="1"/>
      <c r="U3271" s="1"/>
      <c r="V3271" s="1"/>
      <c r="W3271" s="1"/>
      <c r="X3271" s="1"/>
      <c r="Y3271" s="1"/>
      <c r="Z3271" s="1"/>
      <c r="AA3271" s="1"/>
      <c r="AB3271" s="1"/>
    </row>
    <row r="3272" ht="50.25" customHeight="1">
      <c r="A3272" s="12">
        <v>3268.0</v>
      </c>
      <c r="B3272" s="13" t="s">
        <v>3126</v>
      </c>
      <c r="C3272" s="14" t="s">
        <v>3288</v>
      </c>
      <c r="D3272" s="1"/>
      <c r="E3272" s="1"/>
      <c r="F3272" s="1" t="str">
        <f>IFERROR(__xludf.DUMMYFUNCTION("GOOGLETRANSLATE(B3272, ""en"", ""fa"")
"),"آشپزی")</f>
        <v>آشپزی</v>
      </c>
      <c r="G3272" s="1" t="str">
        <f>IFERROR(__xludf.DUMMYFUNCTION("GOOGLETRANSLATE(C3272, ""en"", ""fa"")
"),"نکات خود را برای ایجاد کیک های لایه ای خانگی چشمگیر و خوشمزه به اشتراک بگذارید.")</f>
        <v>نکات خود را برای ایجاد کیک های لایه ای خانگی چشمگیر و خوشمزه به اشتراک بگذارید.</v>
      </c>
      <c r="H3272" s="1"/>
      <c r="I3272" s="1"/>
      <c r="J3272" s="1"/>
      <c r="K3272" s="1"/>
      <c r="L3272" s="1"/>
      <c r="M3272" s="1"/>
      <c r="N3272" s="1"/>
      <c r="O3272" s="1"/>
      <c r="P3272" s="1"/>
      <c r="Q3272" s="1"/>
      <c r="R3272" s="1"/>
      <c r="S3272" s="1"/>
      <c r="T3272" s="1"/>
      <c r="U3272" s="1"/>
      <c r="V3272" s="1"/>
      <c r="W3272" s="1"/>
      <c r="X3272" s="1"/>
      <c r="Y3272" s="1"/>
      <c r="Z3272" s="1"/>
      <c r="AA3272" s="1"/>
      <c r="AB3272" s="1"/>
    </row>
    <row r="3273" ht="50.25" customHeight="1">
      <c r="A3273" s="12">
        <v>3269.0</v>
      </c>
      <c r="B3273" s="13" t="s">
        <v>3126</v>
      </c>
      <c r="C3273" s="14" t="s">
        <v>3289</v>
      </c>
      <c r="D3273" s="1"/>
      <c r="E3273" s="1"/>
      <c r="F3273" s="1" t="str">
        <f>IFERROR(__xludf.DUMMYFUNCTION("GOOGLETRANSLATE(B3273, ""en"", ""fa"")
"),"آشپزی")</f>
        <v>آشپزی</v>
      </c>
      <c r="G3273" s="1" t="str">
        <f>IFERROR(__xludf.DUMMYFUNCTION("GOOGLETRANSLATE(C3273, ""en"", ""fa"")
"),"تکنیک ها و نکاتی را برای دستیابی به قوام کامل در غذاهای ریزوتو و برنج خامه ای بررسی کنید.")</f>
        <v>تکنیک ها و نکاتی را برای دستیابی به قوام کامل در غذاهای ریزوتو و برنج خامه ای بررسی کنید.</v>
      </c>
      <c r="H3273" s="1"/>
      <c r="I3273" s="1"/>
      <c r="J3273" s="1"/>
      <c r="K3273" s="1"/>
      <c r="L3273" s="1"/>
      <c r="M3273" s="1"/>
      <c r="N3273" s="1"/>
      <c r="O3273" s="1"/>
      <c r="P3273" s="1"/>
      <c r="Q3273" s="1"/>
      <c r="R3273" s="1"/>
      <c r="S3273" s="1"/>
      <c r="T3273" s="1"/>
      <c r="U3273" s="1"/>
      <c r="V3273" s="1"/>
      <c r="W3273" s="1"/>
      <c r="X3273" s="1"/>
      <c r="Y3273" s="1"/>
      <c r="Z3273" s="1"/>
      <c r="AA3273" s="1"/>
      <c r="AB3273" s="1"/>
    </row>
    <row r="3274" ht="50.25" customHeight="1">
      <c r="A3274" s="12">
        <v>3270.0</v>
      </c>
      <c r="B3274" s="13" t="s">
        <v>3126</v>
      </c>
      <c r="C3274" s="14" t="s">
        <v>3290</v>
      </c>
      <c r="D3274" s="1"/>
      <c r="E3274" s="1"/>
      <c r="F3274" s="1" t="str">
        <f>IFERROR(__xludf.DUMMYFUNCTION("GOOGLETRANSLATE(B3274, ""en"", ""fa"")
"),"آشپزی")</f>
        <v>آشپزی</v>
      </c>
      <c r="G3274" s="1" t="str">
        <f>IFERROR(__xludf.DUMMYFUNCTION("GOOGLETRANSLATE(C3274, ""en"", ""fa"")
"),"در مورد مزایای سلامتی آشپزی با چربی های سالم مانند روغن زیتون یا روغن آووکادو صحبت کنید.")</f>
        <v>در مورد مزایای سلامتی آشپزی با چربی های سالم مانند روغن زیتون یا روغن آووکادو صحبت کنید.</v>
      </c>
      <c r="H3274" s="1"/>
      <c r="I3274" s="1"/>
      <c r="J3274" s="1"/>
      <c r="K3274" s="1"/>
      <c r="L3274" s="1"/>
      <c r="M3274" s="1"/>
      <c r="N3274" s="1"/>
      <c r="O3274" s="1"/>
      <c r="P3274" s="1"/>
      <c r="Q3274" s="1"/>
      <c r="R3274" s="1"/>
      <c r="S3274" s="1"/>
      <c r="T3274" s="1"/>
      <c r="U3274" s="1"/>
      <c r="V3274" s="1"/>
      <c r="W3274" s="1"/>
      <c r="X3274" s="1"/>
      <c r="Y3274" s="1"/>
      <c r="Z3274" s="1"/>
      <c r="AA3274" s="1"/>
      <c r="AB3274" s="1"/>
    </row>
    <row r="3275" ht="50.25" customHeight="1">
      <c r="A3275" s="12">
        <v>3271.0</v>
      </c>
      <c r="B3275" s="13" t="s">
        <v>3126</v>
      </c>
      <c r="C3275" s="14" t="s">
        <v>3291</v>
      </c>
      <c r="D3275" s="1"/>
      <c r="E3275" s="1"/>
      <c r="F3275" s="1" t="str">
        <f>IFERROR(__xludf.DUMMYFUNCTION("GOOGLETRANSLATE(B3275, ""en"", ""fa"")
"),"آشپزی")</f>
        <v>آشپزی</v>
      </c>
      <c r="G3275" s="1" t="str">
        <f>IFERROR(__xludf.DUMMYFUNCTION("GOOGLETRANSLATE(C3275, ""en"", ""fa"")
"),"دستور العمل های مورد علاقه خود را برای میوه های خانگی و مارمالاد به اشتراک بگذارید.")</f>
        <v>دستور العمل های مورد علاقه خود را برای میوه های خانگی و مارمالاد به اشتراک بگذارید.</v>
      </c>
      <c r="H3275" s="1"/>
      <c r="I3275" s="1"/>
      <c r="J3275" s="1"/>
      <c r="K3275" s="1"/>
      <c r="L3275" s="1"/>
      <c r="M3275" s="1"/>
      <c r="N3275" s="1"/>
      <c r="O3275" s="1"/>
      <c r="P3275" s="1"/>
      <c r="Q3275" s="1"/>
      <c r="R3275" s="1"/>
      <c r="S3275" s="1"/>
      <c r="T3275" s="1"/>
      <c r="U3275" s="1"/>
      <c r="V3275" s="1"/>
      <c r="W3275" s="1"/>
      <c r="X3275" s="1"/>
      <c r="Y3275" s="1"/>
      <c r="Z3275" s="1"/>
      <c r="AA3275" s="1"/>
      <c r="AB3275" s="1"/>
    </row>
    <row r="3276" ht="50.25" customHeight="1">
      <c r="A3276" s="12">
        <v>3272.0</v>
      </c>
      <c r="B3276" s="13" t="s">
        <v>3126</v>
      </c>
      <c r="C3276" s="14" t="s">
        <v>3292</v>
      </c>
      <c r="D3276" s="1"/>
      <c r="E3276" s="1"/>
      <c r="F3276" s="1" t="str">
        <f>IFERROR(__xludf.DUMMYFUNCTION("GOOGLETRANSLATE(B3276, ""en"", ""fa"")
"),"آشپزی")</f>
        <v>آشپزی</v>
      </c>
      <c r="G3276" s="1" t="str">
        <f>IFERROR(__xludf.DUMMYFUNCTION("GOOGLETRANSLATE(C3276, ""en"", ""fa"")
"),"تکنیک ها و نکاتی را برای دستیابی به بافت ایده آل در بستنی گیاهی بررسی کنید.")</f>
        <v>تکنیک ها و نکاتی را برای دستیابی به بافت ایده آل در بستنی گیاهی بررسی کنید.</v>
      </c>
      <c r="H3276" s="1"/>
      <c r="I3276" s="1"/>
      <c r="J3276" s="1"/>
      <c r="K3276" s="1"/>
      <c r="L3276" s="1"/>
      <c r="M3276" s="1"/>
      <c r="N3276" s="1"/>
      <c r="O3276" s="1"/>
      <c r="P3276" s="1"/>
      <c r="Q3276" s="1"/>
      <c r="R3276" s="1"/>
      <c r="S3276" s="1"/>
      <c r="T3276" s="1"/>
      <c r="U3276" s="1"/>
      <c r="V3276" s="1"/>
      <c r="W3276" s="1"/>
      <c r="X3276" s="1"/>
      <c r="Y3276" s="1"/>
      <c r="Z3276" s="1"/>
      <c r="AA3276" s="1"/>
      <c r="AB3276" s="1"/>
    </row>
    <row r="3277" ht="50.25" customHeight="1">
      <c r="A3277" s="12">
        <v>3273.0</v>
      </c>
      <c r="B3277" s="13" t="s">
        <v>3126</v>
      </c>
      <c r="C3277" s="14" t="s">
        <v>3293</v>
      </c>
      <c r="D3277" s="1"/>
      <c r="E3277" s="1"/>
      <c r="F3277" s="1" t="str">
        <f>IFERROR(__xludf.DUMMYFUNCTION("GOOGLETRANSLATE(B3277, ""en"", ""fa"")
"),"آشپزی")</f>
        <v>آشپزی</v>
      </c>
      <c r="G3277" s="1" t="str">
        <f>IFERROR(__xludf.DUMMYFUNCTION("GOOGLETRANSLATE(C3277, ""en"", ""fa"")
"),"در مورد فواید پخت و پز با غذاهای دریایی صید شده و پایداری آن بحث کنید.")</f>
        <v>در مورد فواید پخت و پز با غذاهای دریایی صید شده و پایداری آن بحث کنید.</v>
      </c>
      <c r="H3277" s="1"/>
      <c r="I3277" s="1"/>
      <c r="J3277" s="1"/>
      <c r="K3277" s="1"/>
      <c r="L3277" s="1"/>
      <c r="M3277" s="1"/>
      <c r="N3277" s="1"/>
      <c r="O3277" s="1"/>
      <c r="P3277" s="1"/>
      <c r="Q3277" s="1"/>
      <c r="R3277" s="1"/>
      <c r="S3277" s="1"/>
      <c r="T3277" s="1"/>
      <c r="U3277" s="1"/>
      <c r="V3277" s="1"/>
      <c r="W3277" s="1"/>
      <c r="X3277" s="1"/>
      <c r="Y3277" s="1"/>
      <c r="Z3277" s="1"/>
      <c r="AA3277" s="1"/>
      <c r="AB3277" s="1"/>
    </row>
    <row r="3278" ht="50.25" customHeight="1">
      <c r="A3278" s="12">
        <v>3274.0</v>
      </c>
      <c r="B3278" s="13" t="s">
        <v>3126</v>
      </c>
      <c r="C3278" s="14" t="s">
        <v>3294</v>
      </c>
      <c r="D3278" s="1"/>
      <c r="E3278" s="1"/>
      <c r="F3278" s="1" t="str">
        <f>IFERROR(__xludf.DUMMYFUNCTION("GOOGLETRANSLATE(B3278, ""en"", ""fa"")
"),"آشپزی")</f>
        <v>آشپزی</v>
      </c>
      <c r="G3278" s="1" t="str">
        <f>IFERROR(__xludf.DUMMYFUNCTION("GOOGLETRANSLATE(C3278, ""en"", ""fa"")
"),"نکات خود را برای ایجاد سالادهای خوش طعم و مغذی با سس های خانگی به اشتراک بگذارید.")</f>
        <v>نکات خود را برای ایجاد سالادهای خوش طعم و مغذی با سس های خانگی به اشتراک بگذارید.</v>
      </c>
      <c r="H3278" s="1"/>
      <c r="I3278" s="1"/>
      <c r="J3278" s="1"/>
      <c r="K3278" s="1"/>
      <c r="L3278" s="1"/>
      <c r="M3278" s="1"/>
      <c r="N3278" s="1"/>
      <c r="O3278" s="1"/>
      <c r="P3278" s="1"/>
      <c r="Q3278" s="1"/>
      <c r="R3278" s="1"/>
      <c r="S3278" s="1"/>
      <c r="T3278" s="1"/>
      <c r="U3278" s="1"/>
      <c r="V3278" s="1"/>
      <c r="W3278" s="1"/>
      <c r="X3278" s="1"/>
      <c r="Y3278" s="1"/>
      <c r="Z3278" s="1"/>
      <c r="AA3278" s="1"/>
      <c r="AB3278" s="1"/>
    </row>
    <row r="3279" ht="50.25" customHeight="1">
      <c r="A3279" s="12">
        <v>3275.0</v>
      </c>
      <c r="B3279" s="13" t="s">
        <v>3126</v>
      </c>
      <c r="C3279" s="14" t="s">
        <v>3295</v>
      </c>
      <c r="D3279" s="1"/>
      <c r="E3279" s="1"/>
      <c r="F3279" s="1" t="str">
        <f>IFERROR(__xludf.DUMMYFUNCTION("GOOGLETRANSLATE(B3279, ""en"", ""fa"")
"),"آشپزی")</f>
        <v>آشپزی</v>
      </c>
      <c r="G3279" s="1" t="str">
        <f>IFERROR(__xludf.DUMMYFUNCTION("GOOGLETRANSLATE(C3279, ""en"", ""fa"")
"),"تکنیک ها و نکاتی را برای دستیابی به رشد عالی در نان خانگی بررسی کنید.")</f>
        <v>تکنیک ها و نکاتی را برای دستیابی به رشد عالی در نان خانگی بررسی کنید.</v>
      </c>
      <c r="H3279" s="1"/>
      <c r="I3279" s="1"/>
      <c r="J3279" s="1"/>
      <c r="K3279" s="1"/>
      <c r="L3279" s="1"/>
      <c r="M3279" s="1"/>
      <c r="N3279" s="1"/>
      <c r="O3279" s="1"/>
      <c r="P3279" s="1"/>
      <c r="Q3279" s="1"/>
      <c r="R3279" s="1"/>
      <c r="S3279" s="1"/>
      <c r="T3279" s="1"/>
      <c r="U3279" s="1"/>
      <c r="V3279" s="1"/>
      <c r="W3279" s="1"/>
      <c r="X3279" s="1"/>
      <c r="Y3279" s="1"/>
      <c r="Z3279" s="1"/>
      <c r="AA3279" s="1"/>
      <c r="AB3279" s="1"/>
    </row>
    <row r="3280" ht="50.25" customHeight="1">
      <c r="A3280" s="12">
        <v>3276.0</v>
      </c>
      <c r="B3280" s="13" t="s">
        <v>3126</v>
      </c>
      <c r="C3280" s="14" t="s">
        <v>3296</v>
      </c>
      <c r="D3280" s="1"/>
      <c r="E3280" s="1"/>
      <c r="F3280" s="1" t="str">
        <f>IFERROR(__xludf.DUMMYFUNCTION("GOOGLETRANSLATE(B3280, ""en"", ""fa"")
"),"آشپزی")</f>
        <v>آشپزی</v>
      </c>
      <c r="G3280" s="1" t="str">
        <f>IFERROR(__xludf.DUMMYFUNCTION("GOOGLETRANSLATE(C3280, ""en"", ""fa"")
"),"در مورد تأثیرات فرهنگی بر غذاهای مکزیکی و طعم های پر جنب و جوش آن بحث کنید.")</f>
        <v>در مورد تأثیرات فرهنگی بر غذاهای مکزیکی و طعم های پر جنب و جوش آن بحث کنید.</v>
      </c>
      <c r="H3280" s="1"/>
      <c r="I3280" s="1"/>
      <c r="J3280" s="1"/>
      <c r="K3280" s="1"/>
      <c r="L3280" s="1"/>
      <c r="M3280" s="1"/>
      <c r="N3280" s="1"/>
      <c r="O3280" s="1"/>
      <c r="P3280" s="1"/>
      <c r="Q3280" s="1"/>
      <c r="R3280" s="1"/>
      <c r="S3280" s="1"/>
      <c r="T3280" s="1"/>
      <c r="U3280" s="1"/>
      <c r="V3280" s="1"/>
      <c r="W3280" s="1"/>
      <c r="X3280" s="1"/>
      <c r="Y3280" s="1"/>
      <c r="Z3280" s="1"/>
      <c r="AA3280" s="1"/>
      <c r="AB3280" s="1"/>
    </row>
    <row r="3281" ht="50.25" customHeight="1">
      <c r="A3281" s="12">
        <v>3277.0</v>
      </c>
      <c r="B3281" s="13" t="s">
        <v>3126</v>
      </c>
      <c r="C3281" s="14" t="s">
        <v>3297</v>
      </c>
      <c r="D3281" s="1"/>
      <c r="E3281" s="1"/>
      <c r="F3281" s="1" t="str">
        <f>IFERROR(__xludf.DUMMYFUNCTION("GOOGLETRANSLATE(B3281, ""en"", ""fa"")
"),"آشپزی")</f>
        <v>آشپزی</v>
      </c>
      <c r="G3281" s="1" t="str">
        <f>IFERROR(__xludf.DUMMYFUNCTION("GOOGLETRANSLATE(C3281, ""en"", ""fa"")
"),"دستور العمل های مورد علاقه خود را برای نمک های طعم دار خانگی و مخلوط ادویه ها به اشتراک بگذارید.")</f>
        <v>دستور العمل های مورد علاقه خود را برای نمک های طعم دار خانگی و مخلوط ادویه ها به اشتراک بگذارید.</v>
      </c>
      <c r="H3281" s="1"/>
      <c r="I3281" s="1"/>
      <c r="J3281" s="1"/>
      <c r="K3281" s="1"/>
      <c r="L3281" s="1"/>
      <c r="M3281" s="1"/>
      <c r="N3281" s="1"/>
      <c r="O3281" s="1"/>
      <c r="P3281" s="1"/>
      <c r="Q3281" s="1"/>
      <c r="R3281" s="1"/>
      <c r="S3281" s="1"/>
      <c r="T3281" s="1"/>
      <c r="U3281" s="1"/>
      <c r="V3281" s="1"/>
      <c r="W3281" s="1"/>
      <c r="X3281" s="1"/>
      <c r="Y3281" s="1"/>
      <c r="Z3281" s="1"/>
      <c r="AA3281" s="1"/>
      <c r="AB3281" s="1"/>
    </row>
    <row r="3282" ht="50.25" customHeight="1">
      <c r="A3282" s="12">
        <v>3278.0</v>
      </c>
      <c r="B3282" s="13" t="s">
        <v>3126</v>
      </c>
      <c r="C3282" s="14" t="s">
        <v>3298</v>
      </c>
      <c r="D3282" s="1"/>
      <c r="E3282" s="1"/>
      <c r="F3282" s="1" t="str">
        <f>IFERROR(__xludf.DUMMYFUNCTION("GOOGLETRANSLATE(B3282, ""en"", ""fa"")
"),"آشپزی")</f>
        <v>آشپزی</v>
      </c>
      <c r="G3282" s="1" t="str">
        <f>IFERROR(__xludf.DUMMYFUNCTION("GOOGLETRANSLATE(C3282, ""en"", ""fa"")
"),"تکنیک ها و نکاتی را برای دستیابی به سطح ایده آل شیرینی در محصولات پخته شده بدون شکر تصفیه شده بررسی کنید.")</f>
        <v>تکنیک ها و نکاتی را برای دستیابی به سطح ایده آل شیرینی در محصولات پخته شده بدون شکر تصفیه شده بررسی کنید.</v>
      </c>
      <c r="H3282" s="1"/>
      <c r="I3282" s="1"/>
      <c r="J3282" s="1"/>
      <c r="K3282" s="1"/>
      <c r="L3282" s="1"/>
      <c r="M3282" s="1"/>
      <c r="N3282" s="1"/>
      <c r="O3282" s="1"/>
      <c r="P3282" s="1"/>
      <c r="Q3282" s="1"/>
      <c r="R3282" s="1"/>
      <c r="S3282" s="1"/>
      <c r="T3282" s="1"/>
      <c r="U3282" s="1"/>
      <c r="V3282" s="1"/>
      <c r="W3282" s="1"/>
      <c r="X3282" s="1"/>
      <c r="Y3282" s="1"/>
      <c r="Z3282" s="1"/>
      <c r="AA3282" s="1"/>
      <c r="AB3282" s="1"/>
    </row>
    <row r="3283" ht="50.25" customHeight="1">
      <c r="A3283" s="12">
        <v>3279.0</v>
      </c>
      <c r="B3283" s="13" t="s">
        <v>3126</v>
      </c>
      <c r="C3283" s="14" t="s">
        <v>3299</v>
      </c>
      <c r="D3283" s="1"/>
      <c r="E3283" s="1"/>
      <c r="F3283" s="1" t="str">
        <f>IFERROR(__xludf.DUMMYFUNCTION("GOOGLETRANSLATE(B3283, ""en"", ""fa"")
"),"آشپزی")</f>
        <v>آشپزی</v>
      </c>
      <c r="G3283" s="1" t="str">
        <f>IFERROR(__xludf.DUMMYFUNCTION("GOOGLETRANSLATE(C3283, ""en"", ""fa"")
"),"در مورد فواید پخت و پز با فلفل چیلی تازه و خشک و میزان حرارت آنها بحث کنید.")</f>
        <v>در مورد فواید پخت و پز با فلفل چیلی تازه و خشک و میزان حرارت آنها بحث کنید.</v>
      </c>
      <c r="H3283" s="1"/>
      <c r="I3283" s="1"/>
      <c r="J3283" s="1"/>
      <c r="K3283" s="1"/>
      <c r="L3283" s="1"/>
      <c r="M3283" s="1"/>
      <c r="N3283" s="1"/>
      <c r="O3283" s="1"/>
      <c r="P3283" s="1"/>
      <c r="Q3283" s="1"/>
      <c r="R3283" s="1"/>
      <c r="S3283" s="1"/>
      <c r="T3283" s="1"/>
      <c r="U3283" s="1"/>
      <c r="V3283" s="1"/>
      <c r="W3283" s="1"/>
      <c r="X3283" s="1"/>
      <c r="Y3283" s="1"/>
      <c r="Z3283" s="1"/>
      <c r="AA3283" s="1"/>
      <c r="AB3283" s="1"/>
    </row>
    <row r="3284" ht="50.25" customHeight="1">
      <c r="A3284" s="12">
        <v>3280.0</v>
      </c>
      <c r="B3284" s="13" t="s">
        <v>3126</v>
      </c>
      <c r="C3284" s="14" t="s">
        <v>3300</v>
      </c>
      <c r="D3284" s="1"/>
      <c r="E3284" s="1"/>
      <c r="F3284" s="1" t="str">
        <f>IFERROR(__xludf.DUMMYFUNCTION("GOOGLETRANSLATE(B3284, ""en"", ""fa"")
"),"آشپزی")</f>
        <v>آشپزی</v>
      </c>
      <c r="G3284" s="1" t="str">
        <f>IFERROR(__xludf.DUMMYFUNCTION("GOOGLETRANSLATE(C3284, ""en"", ""fa"")
"),"نکات خود را برای ایجاد سبزیجات کبابی خوش طعم با لبه های ذغالی شده به اشتراک بگذارید.")</f>
        <v>نکات خود را برای ایجاد سبزیجات کبابی خوش طعم با لبه های ذغالی شده به اشتراک بگذارید.</v>
      </c>
      <c r="H3284" s="1"/>
      <c r="I3284" s="1"/>
      <c r="J3284" s="1"/>
      <c r="K3284" s="1"/>
      <c r="L3284" s="1"/>
      <c r="M3284" s="1"/>
      <c r="N3284" s="1"/>
      <c r="O3284" s="1"/>
      <c r="P3284" s="1"/>
      <c r="Q3284" s="1"/>
      <c r="R3284" s="1"/>
      <c r="S3284" s="1"/>
      <c r="T3284" s="1"/>
      <c r="U3284" s="1"/>
      <c r="V3284" s="1"/>
      <c r="W3284" s="1"/>
      <c r="X3284" s="1"/>
      <c r="Y3284" s="1"/>
      <c r="Z3284" s="1"/>
      <c r="AA3284" s="1"/>
      <c r="AB3284" s="1"/>
    </row>
    <row r="3285" ht="50.25" customHeight="1">
      <c r="A3285" s="12">
        <v>3281.0</v>
      </c>
      <c r="B3285" s="13" t="s">
        <v>3126</v>
      </c>
      <c r="C3285" s="14" t="s">
        <v>3301</v>
      </c>
      <c r="D3285" s="1"/>
      <c r="E3285" s="1"/>
      <c r="F3285" s="1" t="str">
        <f>IFERROR(__xludf.DUMMYFUNCTION("GOOGLETRANSLATE(B3285, ""en"", ""fa"")
"),"آشپزی")</f>
        <v>آشپزی</v>
      </c>
      <c r="G3285" s="1" t="str">
        <f>IFERROR(__xludf.DUMMYFUNCTION("GOOGLETRANSLATE(C3285, ""en"", ""fa"")
"),"تکنیک ها و نکاتی را برای دستیابی به بافت عالی در خمیر پیتزای بدون گلوتن بررسی کنید.")</f>
        <v>تکنیک ها و نکاتی را برای دستیابی به بافت عالی در خمیر پیتزای بدون گلوتن بررسی کنید.</v>
      </c>
      <c r="H3285" s="1"/>
      <c r="I3285" s="1"/>
      <c r="J3285" s="1"/>
      <c r="K3285" s="1"/>
      <c r="L3285" s="1"/>
      <c r="M3285" s="1"/>
      <c r="N3285" s="1"/>
      <c r="O3285" s="1"/>
      <c r="P3285" s="1"/>
      <c r="Q3285" s="1"/>
      <c r="R3285" s="1"/>
      <c r="S3285" s="1"/>
      <c r="T3285" s="1"/>
      <c r="U3285" s="1"/>
      <c r="V3285" s="1"/>
      <c r="W3285" s="1"/>
      <c r="X3285" s="1"/>
      <c r="Y3285" s="1"/>
      <c r="Z3285" s="1"/>
      <c r="AA3285" s="1"/>
      <c r="AB3285" s="1"/>
    </row>
    <row r="3286" ht="50.25" customHeight="1">
      <c r="A3286" s="12">
        <v>3282.0</v>
      </c>
      <c r="B3286" s="13" t="s">
        <v>3126</v>
      </c>
      <c r="C3286" s="14" t="s">
        <v>3302</v>
      </c>
      <c r="D3286" s="1"/>
      <c r="E3286" s="1"/>
      <c r="F3286" s="1" t="str">
        <f>IFERROR(__xludf.DUMMYFUNCTION("GOOGLETRANSLATE(B3286, ""en"", ""fa"")
"),"آشپزی")</f>
        <v>آشپزی</v>
      </c>
      <c r="G3286" s="1" t="str">
        <f>IFERROR(__xludf.DUMMYFUNCTION("GOOGLETRANSLATE(C3286, ""en"", ""fa"")
"),"در مورد مزایای سلامتی آشپزی با سبزیجات غنی از مواد مغذی مانند کلم پیچ یا اسفناج صحبت کنید.")</f>
        <v>در مورد مزایای سلامتی آشپزی با سبزیجات غنی از مواد مغذی مانند کلم پیچ یا اسفناج صحبت کنید.</v>
      </c>
      <c r="H3286" s="1"/>
      <c r="I3286" s="1"/>
      <c r="J3286" s="1"/>
      <c r="K3286" s="1"/>
      <c r="L3286" s="1"/>
      <c r="M3286" s="1"/>
      <c r="N3286" s="1"/>
      <c r="O3286" s="1"/>
      <c r="P3286" s="1"/>
      <c r="Q3286" s="1"/>
      <c r="R3286" s="1"/>
      <c r="S3286" s="1"/>
      <c r="T3286" s="1"/>
      <c r="U3286" s="1"/>
      <c r="V3286" s="1"/>
      <c r="W3286" s="1"/>
      <c r="X3286" s="1"/>
      <c r="Y3286" s="1"/>
      <c r="Z3286" s="1"/>
      <c r="AA3286" s="1"/>
      <c r="AB3286" s="1"/>
    </row>
    <row r="3287" ht="50.25" customHeight="1">
      <c r="A3287" s="12">
        <v>3283.0</v>
      </c>
      <c r="B3287" s="13" t="s">
        <v>3126</v>
      </c>
      <c r="C3287" s="14" t="s">
        <v>3303</v>
      </c>
      <c r="D3287" s="1"/>
      <c r="E3287" s="1"/>
      <c r="F3287" s="1" t="str">
        <f>IFERROR(__xludf.DUMMYFUNCTION("GOOGLETRANSLATE(B3287, ""en"", ""fa"")
"),"آشپزی")</f>
        <v>آشپزی</v>
      </c>
      <c r="G3287" s="1" t="str">
        <f>IFERROR(__xludf.DUMMYFUNCTION("GOOGLETRANSLATE(C3287, ""en"", ""fa"")
"),"دستور العمل های مورد علاقه خود را برای پای میوه و گالت های خانگی به اشتراک بگذارید.")</f>
        <v>دستور العمل های مورد علاقه خود را برای پای میوه و گالت های خانگی به اشتراک بگذارید.</v>
      </c>
      <c r="H3287" s="1"/>
      <c r="I3287" s="1"/>
      <c r="J3287" s="1"/>
      <c r="K3287" s="1"/>
      <c r="L3287" s="1"/>
      <c r="M3287" s="1"/>
      <c r="N3287" s="1"/>
      <c r="O3287" s="1"/>
      <c r="P3287" s="1"/>
      <c r="Q3287" s="1"/>
      <c r="R3287" s="1"/>
      <c r="S3287" s="1"/>
      <c r="T3287" s="1"/>
      <c r="U3287" s="1"/>
      <c r="V3287" s="1"/>
      <c r="W3287" s="1"/>
      <c r="X3287" s="1"/>
      <c r="Y3287" s="1"/>
      <c r="Z3287" s="1"/>
      <c r="AA3287" s="1"/>
      <c r="AB3287" s="1"/>
    </row>
    <row r="3288" ht="50.25" customHeight="1">
      <c r="A3288" s="12">
        <v>3284.0</v>
      </c>
      <c r="B3288" s="13" t="s">
        <v>3126</v>
      </c>
      <c r="C3288" s="14" t="s">
        <v>3304</v>
      </c>
      <c r="D3288" s="1"/>
      <c r="E3288" s="1"/>
      <c r="F3288" s="1" t="str">
        <f>IFERROR(__xludf.DUMMYFUNCTION("GOOGLETRANSLATE(B3288, ""en"", ""fa"")
"),"آشپزی")</f>
        <v>آشپزی</v>
      </c>
      <c r="G3288" s="1" t="str">
        <f>IFERROR(__xludf.DUMMYFUNCTION("GOOGLETRANSLATE(C3288, ""en"", ""fa"")
"),"تکنیک ها و نکاتی را برای دستیابی به سطح ایده آل دود در گوشت و ماهی دودی بررسی کنید.")</f>
        <v>تکنیک ها و نکاتی را برای دستیابی به سطح ایده آل دود در گوشت و ماهی دودی بررسی کنید.</v>
      </c>
      <c r="H3288" s="1"/>
      <c r="I3288" s="1"/>
      <c r="J3288" s="1"/>
      <c r="K3288" s="1"/>
      <c r="L3288" s="1"/>
      <c r="M3288" s="1"/>
      <c r="N3288" s="1"/>
      <c r="O3288" s="1"/>
      <c r="P3288" s="1"/>
      <c r="Q3288" s="1"/>
      <c r="R3288" s="1"/>
      <c r="S3288" s="1"/>
      <c r="T3288" s="1"/>
      <c r="U3288" s="1"/>
      <c r="V3288" s="1"/>
      <c r="W3288" s="1"/>
      <c r="X3288" s="1"/>
      <c r="Y3288" s="1"/>
      <c r="Z3288" s="1"/>
      <c r="AA3288" s="1"/>
      <c r="AB3288" s="1"/>
    </row>
    <row r="3289" ht="50.25" customHeight="1">
      <c r="A3289" s="12">
        <v>3285.0</v>
      </c>
      <c r="B3289" s="13" t="s">
        <v>3126</v>
      </c>
      <c r="C3289" s="14" t="s">
        <v>3305</v>
      </c>
      <c r="D3289" s="1"/>
      <c r="E3289" s="1"/>
      <c r="F3289" s="1" t="str">
        <f>IFERROR(__xludf.DUMMYFUNCTION("GOOGLETRANSLATE(B3289, ""en"", ""fa"")
"),"آشپزی")</f>
        <v>آشپزی</v>
      </c>
      <c r="G3289" s="1" t="str">
        <f>IFERROR(__xludf.DUMMYFUNCTION("GOOGLETRANSLATE(C3289, ""en"", ""fa"")
"),"در مورد فواید آشپزی با ادویه های باستانی و اهمیت تاریخی آنها بحث کنید.")</f>
        <v>در مورد فواید آشپزی با ادویه های باستانی و اهمیت تاریخی آنها بحث کنید.</v>
      </c>
      <c r="H3289" s="1"/>
      <c r="I3289" s="1"/>
      <c r="J3289" s="1"/>
      <c r="K3289" s="1"/>
      <c r="L3289" s="1"/>
      <c r="M3289" s="1"/>
      <c r="N3289" s="1"/>
      <c r="O3289" s="1"/>
      <c r="P3289" s="1"/>
      <c r="Q3289" s="1"/>
      <c r="R3289" s="1"/>
      <c r="S3289" s="1"/>
      <c r="T3289" s="1"/>
      <c r="U3289" s="1"/>
      <c r="V3289" s="1"/>
      <c r="W3289" s="1"/>
      <c r="X3289" s="1"/>
      <c r="Y3289" s="1"/>
      <c r="Z3289" s="1"/>
      <c r="AA3289" s="1"/>
      <c r="AB3289" s="1"/>
    </row>
    <row r="3290" ht="50.25" customHeight="1">
      <c r="A3290" s="12">
        <v>3286.0</v>
      </c>
      <c r="B3290" s="13" t="s">
        <v>3126</v>
      </c>
      <c r="C3290" s="14" t="s">
        <v>3306</v>
      </c>
      <c r="D3290" s="1"/>
      <c r="E3290" s="1"/>
      <c r="F3290" s="1" t="str">
        <f>IFERROR(__xludf.DUMMYFUNCTION("GOOGLETRANSLATE(B3290, ""en"", ""fa"")
"),"آشپزی")</f>
        <v>آشپزی</v>
      </c>
      <c r="G3290" s="1" t="str">
        <f>IFERROR(__xludf.DUMMYFUNCTION("GOOGLETRANSLATE(C3290, ""en"", ""fa"")
"),"نکات خود را برای ایجاد ماست خانگی و بررسی انواع طعم های مختلف به اشتراک بگذارید.")</f>
        <v>نکات خود را برای ایجاد ماست خانگی و بررسی انواع طعم های مختلف به اشتراک بگذارید.</v>
      </c>
      <c r="H3290" s="1"/>
      <c r="I3290" s="1"/>
      <c r="J3290" s="1"/>
      <c r="K3290" s="1"/>
      <c r="L3290" s="1"/>
      <c r="M3290" s="1"/>
      <c r="N3290" s="1"/>
      <c r="O3290" s="1"/>
      <c r="P3290" s="1"/>
      <c r="Q3290" s="1"/>
      <c r="R3290" s="1"/>
      <c r="S3290" s="1"/>
      <c r="T3290" s="1"/>
      <c r="U3290" s="1"/>
      <c r="V3290" s="1"/>
      <c r="W3290" s="1"/>
      <c r="X3290" s="1"/>
      <c r="Y3290" s="1"/>
      <c r="Z3290" s="1"/>
      <c r="AA3290" s="1"/>
      <c r="AB3290" s="1"/>
    </row>
    <row r="3291" ht="50.25" customHeight="1">
      <c r="A3291" s="12">
        <v>3287.0</v>
      </c>
      <c r="B3291" s="13" t="s">
        <v>3126</v>
      </c>
      <c r="C3291" s="14" t="s">
        <v>3307</v>
      </c>
      <c r="D3291" s="1"/>
      <c r="E3291" s="1"/>
      <c r="F3291" s="1" t="str">
        <f>IFERROR(__xludf.DUMMYFUNCTION("GOOGLETRANSLATE(B3291, ""en"", ""fa"")
"),"آشپزی")</f>
        <v>آشپزی</v>
      </c>
      <c r="G3291" s="1" t="str">
        <f>IFERROR(__xludf.DUMMYFUNCTION("GOOGLETRANSLATE(C3291, ""en"", ""fa"")
"),"تکنیک ها و نکاتی را برای دستیابی به پوسته پوسته شدن کامل در خمیر پف دار بررسی کنید.")</f>
        <v>تکنیک ها و نکاتی را برای دستیابی به پوسته پوسته شدن کامل در خمیر پف دار بررسی کنید.</v>
      </c>
      <c r="H3291" s="1"/>
      <c r="I3291" s="1"/>
      <c r="J3291" s="1"/>
      <c r="K3291" s="1"/>
      <c r="L3291" s="1"/>
      <c r="M3291" s="1"/>
      <c r="N3291" s="1"/>
      <c r="O3291" s="1"/>
      <c r="P3291" s="1"/>
      <c r="Q3291" s="1"/>
      <c r="R3291" s="1"/>
      <c r="S3291" s="1"/>
      <c r="T3291" s="1"/>
      <c r="U3291" s="1"/>
      <c r="V3291" s="1"/>
      <c r="W3291" s="1"/>
      <c r="X3291" s="1"/>
      <c r="Y3291" s="1"/>
      <c r="Z3291" s="1"/>
      <c r="AA3291" s="1"/>
      <c r="AB3291" s="1"/>
    </row>
    <row r="3292" ht="50.25" customHeight="1">
      <c r="A3292" s="12">
        <v>3288.0</v>
      </c>
      <c r="B3292" s="13" t="s">
        <v>3126</v>
      </c>
      <c r="C3292" s="14" t="s">
        <v>3308</v>
      </c>
      <c r="D3292" s="1"/>
      <c r="E3292" s="1"/>
      <c r="F3292" s="1" t="str">
        <f>IFERROR(__xludf.DUMMYFUNCTION("GOOGLETRANSLATE(B3292, ""en"", ""fa"")
"),"آشپزی")</f>
        <v>آشپزی</v>
      </c>
      <c r="G3292" s="1" t="str">
        <f>IFERROR(__xludf.DUMMYFUNCTION("GOOGLETRANSLATE(C3292, ""en"", ""fa"")
"),"در مورد تأثیرات فرهنگی بر غذاهای فرانسوی و تکنیک های زیبای آشپزی آن بحث کنید.")</f>
        <v>در مورد تأثیرات فرهنگی بر غذاهای فرانسوی و تکنیک های زیبای آشپزی آن بحث کنید.</v>
      </c>
      <c r="H3292" s="1"/>
      <c r="I3292" s="1"/>
      <c r="J3292" s="1"/>
      <c r="K3292" s="1"/>
      <c r="L3292" s="1"/>
      <c r="M3292" s="1"/>
      <c r="N3292" s="1"/>
      <c r="O3292" s="1"/>
      <c r="P3292" s="1"/>
      <c r="Q3292" s="1"/>
      <c r="R3292" s="1"/>
      <c r="S3292" s="1"/>
      <c r="T3292" s="1"/>
      <c r="U3292" s="1"/>
      <c r="V3292" s="1"/>
      <c r="W3292" s="1"/>
      <c r="X3292" s="1"/>
      <c r="Y3292" s="1"/>
      <c r="Z3292" s="1"/>
      <c r="AA3292" s="1"/>
      <c r="AB3292" s="1"/>
    </row>
    <row r="3293" ht="50.25" customHeight="1">
      <c r="A3293" s="12">
        <v>3289.0</v>
      </c>
      <c r="B3293" s="13" t="s">
        <v>3126</v>
      </c>
      <c r="C3293" s="14" t="s">
        <v>3309</v>
      </c>
      <c r="D3293" s="1"/>
      <c r="E3293" s="1"/>
      <c r="F3293" s="1" t="str">
        <f>IFERROR(__xludf.DUMMYFUNCTION("GOOGLETRANSLATE(B3293, ""en"", ""fa"")
"),"آشپزی")</f>
        <v>آشپزی</v>
      </c>
      <c r="G3293" s="1" t="str">
        <f>IFERROR(__xludf.DUMMYFUNCTION("GOOGLETRANSLATE(C3293, ""en"", ""fa"")
"),"دستور العمل های مورد علاقه خود را برای شربت های طعم دار خانگی و مخلوط کن های کوکتل به اشتراک بگذارید.")</f>
        <v>دستور العمل های مورد علاقه خود را برای شربت های طعم دار خانگی و مخلوط کن های کوکتل به اشتراک بگذارید.</v>
      </c>
      <c r="H3293" s="1"/>
      <c r="I3293" s="1"/>
      <c r="J3293" s="1"/>
      <c r="K3293" s="1"/>
      <c r="L3293" s="1"/>
      <c r="M3293" s="1"/>
      <c r="N3293" s="1"/>
      <c r="O3293" s="1"/>
      <c r="P3293" s="1"/>
      <c r="Q3293" s="1"/>
      <c r="R3293" s="1"/>
      <c r="S3293" s="1"/>
      <c r="T3293" s="1"/>
      <c r="U3293" s="1"/>
      <c r="V3293" s="1"/>
      <c r="W3293" s="1"/>
      <c r="X3293" s="1"/>
      <c r="Y3293" s="1"/>
      <c r="Z3293" s="1"/>
      <c r="AA3293" s="1"/>
      <c r="AB3293" s="1"/>
    </row>
    <row r="3294" ht="50.25" customHeight="1">
      <c r="A3294" s="12">
        <v>3290.0</v>
      </c>
      <c r="B3294" s="13" t="s">
        <v>3126</v>
      </c>
      <c r="C3294" s="14" t="s">
        <v>3310</v>
      </c>
      <c r="D3294" s="1"/>
      <c r="E3294" s="1"/>
      <c r="F3294" s="1" t="str">
        <f>IFERROR(__xludf.DUMMYFUNCTION("GOOGLETRANSLATE(B3294, ""en"", ""fa"")
"),"آشپزی")</f>
        <v>آشپزی</v>
      </c>
      <c r="G3294" s="1" t="str">
        <f>IFERROR(__xludf.DUMMYFUNCTION("GOOGLETRANSLATE(C3294, ""en"", ""fa"")
"),"تکنیک ها و نکاتی را برای دستیابی به بافت ایده آل در کوکی های بدون گلوتن بررسی کنید.")</f>
        <v>تکنیک ها و نکاتی را برای دستیابی به بافت ایده آل در کوکی های بدون گلوتن بررسی کنید.</v>
      </c>
      <c r="H3294" s="1"/>
      <c r="I3294" s="1"/>
      <c r="J3294" s="1"/>
      <c r="K3294" s="1"/>
      <c r="L3294" s="1"/>
      <c r="M3294" s="1"/>
      <c r="N3294" s="1"/>
      <c r="O3294" s="1"/>
      <c r="P3294" s="1"/>
      <c r="Q3294" s="1"/>
      <c r="R3294" s="1"/>
      <c r="S3294" s="1"/>
      <c r="T3294" s="1"/>
      <c r="U3294" s="1"/>
      <c r="V3294" s="1"/>
      <c r="W3294" s="1"/>
      <c r="X3294" s="1"/>
      <c r="Y3294" s="1"/>
      <c r="Z3294" s="1"/>
      <c r="AA3294" s="1"/>
      <c r="AB3294" s="1"/>
    </row>
    <row r="3295" ht="50.25" customHeight="1">
      <c r="A3295" s="12">
        <v>3291.0</v>
      </c>
      <c r="B3295" s="13" t="s">
        <v>3126</v>
      </c>
      <c r="C3295" s="14" t="s">
        <v>3311</v>
      </c>
      <c r="D3295" s="1"/>
      <c r="E3295" s="1"/>
      <c r="F3295" s="1" t="str">
        <f>IFERROR(__xludf.DUMMYFUNCTION("GOOGLETRANSLATE(B3295, ""en"", ""fa"")
"),"آشپزی")</f>
        <v>آشپزی</v>
      </c>
      <c r="G3295" s="1" t="str">
        <f>IFERROR(__xludf.DUMMYFUNCTION("GOOGLETRANSLATE(C3295, ""en"", ""fa"")
"),"در مورد فواید سلامتی استفاده از سبزیجات برگدار بیشتر در آشپزی خود صحبت کنید، مانند کلم پیچ یا چغندر سوئیسی.")</f>
        <v>در مورد فواید سلامتی استفاده از سبزیجات برگدار بیشتر در آشپزی خود صحبت کنید، مانند کلم پیچ یا چغندر سوئیسی.</v>
      </c>
      <c r="H3295" s="1"/>
      <c r="I3295" s="1"/>
      <c r="J3295" s="1"/>
      <c r="K3295" s="1"/>
      <c r="L3295" s="1"/>
      <c r="M3295" s="1"/>
      <c r="N3295" s="1"/>
      <c r="O3295" s="1"/>
      <c r="P3295" s="1"/>
      <c r="Q3295" s="1"/>
      <c r="R3295" s="1"/>
      <c r="S3295" s="1"/>
      <c r="T3295" s="1"/>
      <c r="U3295" s="1"/>
      <c r="V3295" s="1"/>
      <c r="W3295" s="1"/>
      <c r="X3295" s="1"/>
      <c r="Y3295" s="1"/>
      <c r="Z3295" s="1"/>
      <c r="AA3295" s="1"/>
      <c r="AB3295" s="1"/>
    </row>
    <row r="3296" ht="50.25" customHeight="1">
      <c r="A3296" s="12">
        <v>3292.0</v>
      </c>
      <c r="B3296" s="13" t="s">
        <v>3126</v>
      </c>
      <c r="C3296" s="14" t="s">
        <v>3312</v>
      </c>
      <c r="D3296" s="1"/>
      <c r="E3296" s="1"/>
      <c r="F3296" s="1" t="str">
        <f>IFERROR(__xludf.DUMMYFUNCTION("GOOGLETRANSLATE(B3296, ""en"", ""fa"")
"),"آشپزی")</f>
        <v>آشپزی</v>
      </c>
      <c r="G3296" s="1" t="str">
        <f>IFERROR(__xludf.DUMMYFUNCTION("GOOGLETRANSLATE(C3296, ""en"", ""fa"")
"),"نکات خود را برای ایجاد سوسیس خانگی و آزمایش طعم های مختلف به اشتراک بگذارید.")</f>
        <v>نکات خود را برای ایجاد سوسیس خانگی و آزمایش طعم های مختلف به اشتراک بگذارید.</v>
      </c>
      <c r="H3296" s="1"/>
      <c r="I3296" s="1"/>
      <c r="J3296" s="1"/>
      <c r="K3296" s="1"/>
      <c r="L3296" s="1"/>
      <c r="M3296" s="1"/>
      <c r="N3296" s="1"/>
      <c r="O3296" s="1"/>
      <c r="P3296" s="1"/>
      <c r="Q3296" s="1"/>
      <c r="R3296" s="1"/>
      <c r="S3296" s="1"/>
      <c r="T3296" s="1"/>
      <c r="U3296" s="1"/>
      <c r="V3296" s="1"/>
      <c r="W3296" s="1"/>
      <c r="X3296" s="1"/>
      <c r="Y3296" s="1"/>
      <c r="Z3296" s="1"/>
      <c r="AA3296" s="1"/>
      <c r="AB3296" s="1"/>
    </row>
    <row r="3297" ht="50.25" customHeight="1">
      <c r="A3297" s="12">
        <v>3293.0</v>
      </c>
      <c r="B3297" s="13" t="s">
        <v>3126</v>
      </c>
      <c r="C3297" s="14" t="s">
        <v>3313</v>
      </c>
      <c r="D3297" s="1"/>
      <c r="E3297" s="1"/>
      <c r="F3297" s="1" t="str">
        <f>IFERROR(__xludf.DUMMYFUNCTION("GOOGLETRANSLATE(B3297, ""en"", ""fa"")
"),"آشپزی")</f>
        <v>آشپزی</v>
      </c>
      <c r="G3297" s="1" t="str">
        <f>IFERROR(__xludf.DUMMYFUNCTION("GOOGLETRANSLATE(C3297, ""en"", ""fa"")
"),"تکنیک ها و نکاتی را برای دستیابی به تعادل کامل طعم ها در غذاهای کره ای بررسی کنید.")</f>
        <v>تکنیک ها و نکاتی را برای دستیابی به تعادل کامل طعم ها در غذاهای کره ای بررسی کنید.</v>
      </c>
      <c r="H3297" s="1"/>
      <c r="I3297" s="1"/>
      <c r="J3297" s="1"/>
      <c r="K3297" s="1"/>
      <c r="L3297" s="1"/>
      <c r="M3297" s="1"/>
      <c r="N3297" s="1"/>
      <c r="O3297" s="1"/>
      <c r="P3297" s="1"/>
      <c r="Q3297" s="1"/>
      <c r="R3297" s="1"/>
      <c r="S3297" s="1"/>
      <c r="T3297" s="1"/>
      <c r="U3297" s="1"/>
      <c r="V3297" s="1"/>
      <c r="W3297" s="1"/>
      <c r="X3297" s="1"/>
      <c r="Y3297" s="1"/>
      <c r="Z3297" s="1"/>
      <c r="AA3297" s="1"/>
      <c r="AB3297" s="1"/>
    </row>
    <row r="3298" ht="50.25" customHeight="1">
      <c r="A3298" s="12">
        <v>3294.0</v>
      </c>
      <c r="B3298" s="13" t="s">
        <v>3126</v>
      </c>
      <c r="C3298" s="14" t="s">
        <v>3314</v>
      </c>
      <c r="D3298" s="1"/>
      <c r="E3298" s="1"/>
      <c r="F3298" s="1" t="str">
        <f>IFERROR(__xludf.DUMMYFUNCTION("GOOGLETRANSLATE(B3298, ""en"", ""fa"")
"),"آشپزی")</f>
        <v>آشپزی</v>
      </c>
      <c r="G3298" s="1" t="str">
        <f>IFERROR(__xludf.DUMMYFUNCTION("GOOGLETRANSLATE(C3298, ""en"", ""fa"")
"),"در مورد مزایای پخت و پز با مواد اولیه محلی و حمایت از کشاورزان محلی بحث کنید.")</f>
        <v>در مورد مزایای پخت و پز با مواد اولیه محلی و حمایت از کشاورزان محلی بحث کنید.</v>
      </c>
      <c r="H3298" s="1"/>
      <c r="I3298" s="1"/>
      <c r="J3298" s="1"/>
      <c r="K3298" s="1"/>
      <c r="L3298" s="1"/>
      <c r="M3298" s="1"/>
      <c r="N3298" s="1"/>
      <c r="O3298" s="1"/>
      <c r="P3298" s="1"/>
      <c r="Q3298" s="1"/>
      <c r="R3298" s="1"/>
      <c r="S3298" s="1"/>
      <c r="T3298" s="1"/>
      <c r="U3298" s="1"/>
      <c r="V3298" s="1"/>
      <c r="W3298" s="1"/>
      <c r="X3298" s="1"/>
      <c r="Y3298" s="1"/>
      <c r="Z3298" s="1"/>
      <c r="AA3298" s="1"/>
      <c r="AB3298" s="1"/>
    </row>
    <row r="3299" ht="50.25" customHeight="1">
      <c r="A3299" s="12">
        <v>3295.0</v>
      </c>
      <c r="B3299" s="13" t="s">
        <v>3126</v>
      </c>
      <c r="C3299" s="14" t="s">
        <v>3315</v>
      </c>
      <c r="D3299" s="1"/>
      <c r="E3299" s="1"/>
      <c r="F3299" s="1" t="str">
        <f>IFERROR(__xludf.DUMMYFUNCTION("GOOGLETRANSLATE(B3299, ""en"", ""fa"")
"),"آشپزی")</f>
        <v>آشپزی</v>
      </c>
      <c r="G3299" s="1" t="str">
        <f>IFERROR(__xludf.DUMMYFUNCTION("GOOGLETRANSLATE(C3299, ""en"", ""fa"")
"),"دستور العمل های مورد علاقه خود را برای نان های خانگی و میان وعده های خوش طعم به اشتراک بگذارید.")</f>
        <v>دستور العمل های مورد علاقه خود را برای نان های خانگی و میان وعده های خوش طعم به اشتراک بگذارید.</v>
      </c>
      <c r="H3299" s="1"/>
      <c r="I3299" s="1"/>
      <c r="J3299" s="1"/>
      <c r="K3299" s="1"/>
      <c r="L3299" s="1"/>
      <c r="M3299" s="1"/>
      <c r="N3299" s="1"/>
      <c r="O3299" s="1"/>
      <c r="P3299" s="1"/>
      <c r="Q3299" s="1"/>
      <c r="R3299" s="1"/>
      <c r="S3299" s="1"/>
      <c r="T3299" s="1"/>
      <c r="U3299" s="1"/>
      <c r="V3299" s="1"/>
      <c r="W3299" s="1"/>
      <c r="X3299" s="1"/>
      <c r="Y3299" s="1"/>
      <c r="Z3299" s="1"/>
      <c r="AA3299" s="1"/>
      <c r="AB3299" s="1"/>
    </row>
    <row r="3300" ht="50.25" customHeight="1">
      <c r="A3300" s="12">
        <v>3296.0</v>
      </c>
      <c r="B3300" s="13" t="s">
        <v>3126</v>
      </c>
      <c r="C3300" s="14" t="s">
        <v>3316</v>
      </c>
      <c r="D3300" s="1"/>
      <c r="E3300" s="1"/>
      <c r="F3300" s="1" t="str">
        <f>IFERROR(__xludf.DUMMYFUNCTION("GOOGLETRANSLATE(B3300, ""en"", ""fa"")
"),"آشپزی")</f>
        <v>آشپزی</v>
      </c>
      <c r="G3300" s="1" t="str">
        <f>IFERROR(__xludf.DUMMYFUNCTION("GOOGLETRANSLATE(C3300, ""en"", ""fa"")
"),"تکنیک‌ها و نکاتی را برای دستیابی به سطح ایده‌آل خامه‌ای در سوپ‌ها و بیسکویت‌های گیاهی بررسی کنید.")</f>
        <v>تکنیک‌ها و نکاتی را برای دستیابی به سطح ایده‌آل خامه‌ای در سوپ‌ها و بیسکویت‌های گیاهی بررسی کنید.</v>
      </c>
      <c r="H3300" s="1"/>
      <c r="I3300" s="1"/>
      <c r="J3300" s="1"/>
      <c r="K3300" s="1"/>
      <c r="L3300" s="1"/>
      <c r="M3300" s="1"/>
      <c r="N3300" s="1"/>
      <c r="O3300" s="1"/>
      <c r="P3300" s="1"/>
      <c r="Q3300" s="1"/>
      <c r="R3300" s="1"/>
      <c r="S3300" s="1"/>
      <c r="T3300" s="1"/>
      <c r="U3300" s="1"/>
      <c r="V3300" s="1"/>
      <c r="W3300" s="1"/>
      <c r="X3300" s="1"/>
      <c r="Y3300" s="1"/>
      <c r="Z3300" s="1"/>
      <c r="AA3300" s="1"/>
      <c r="AB3300" s="1"/>
    </row>
    <row r="3301" ht="50.25" customHeight="1">
      <c r="A3301" s="12">
        <v>3297.0</v>
      </c>
      <c r="B3301" s="13" t="s">
        <v>3126</v>
      </c>
      <c r="C3301" s="14" t="s">
        <v>3317</v>
      </c>
      <c r="D3301" s="1"/>
      <c r="E3301" s="1"/>
      <c r="F3301" s="1" t="str">
        <f>IFERROR(__xludf.DUMMYFUNCTION("GOOGLETRANSLATE(B3301, ""en"", ""fa"")
"),"آشپزی")</f>
        <v>آشپزی</v>
      </c>
      <c r="G3301" s="1" t="str">
        <f>IFERROR(__xludf.DUMMYFUNCTION("GOOGLETRANSLATE(C3301, ""en"", ""fa"")
"),"در مورد تأثیرات فرهنگی بر غذاهای ایتالیایی و سنت های غنی آشپزی آن بحث کنید.")</f>
        <v>در مورد تأثیرات فرهنگی بر غذاهای ایتالیایی و سنت های غنی آشپزی آن بحث کنید.</v>
      </c>
      <c r="H3301" s="1"/>
      <c r="I3301" s="1"/>
      <c r="J3301" s="1"/>
      <c r="K3301" s="1"/>
      <c r="L3301" s="1"/>
      <c r="M3301" s="1"/>
      <c r="N3301" s="1"/>
      <c r="O3301" s="1"/>
      <c r="P3301" s="1"/>
      <c r="Q3301" s="1"/>
      <c r="R3301" s="1"/>
      <c r="S3301" s="1"/>
      <c r="T3301" s="1"/>
      <c r="U3301" s="1"/>
      <c r="V3301" s="1"/>
      <c r="W3301" s="1"/>
      <c r="X3301" s="1"/>
      <c r="Y3301" s="1"/>
      <c r="Z3301" s="1"/>
      <c r="AA3301" s="1"/>
      <c r="AB3301" s="1"/>
    </row>
    <row r="3302" ht="50.25" customHeight="1">
      <c r="A3302" s="12">
        <v>3298.0</v>
      </c>
      <c r="B3302" s="13" t="s">
        <v>3126</v>
      </c>
      <c r="C3302" s="14" t="s">
        <v>3318</v>
      </c>
      <c r="D3302" s="1"/>
      <c r="E3302" s="1"/>
      <c r="F3302" s="1" t="str">
        <f>IFERROR(__xludf.DUMMYFUNCTION("GOOGLETRANSLATE(B3302, ""en"", ""fa"")
"),"آشپزی")</f>
        <v>آشپزی</v>
      </c>
      <c r="G3302" s="1" t="str">
        <f>IFERROR(__xludf.DUMMYFUNCTION("GOOGLETRANSLATE(C3302, ""en"", ""fa"")
"),"نکات خود را برای ایجاد سبزیجات تخمیر شده خانگی، مانند کلم ترش یا کیمچی به اشتراک بگذارید.")</f>
        <v>نکات خود را برای ایجاد سبزیجات تخمیر شده خانگی، مانند کلم ترش یا کیمچی به اشتراک بگذارید.</v>
      </c>
      <c r="H3302" s="1"/>
      <c r="I3302" s="1"/>
      <c r="J3302" s="1"/>
      <c r="K3302" s="1"/>
      <c r="L3302" s="1"/>
      <c r="M3302" s="1"/>
      <c r="N3302" s="1"/>
      <c r="O3302" s="1"/>
      <c r="P3302" s="1"/>
      <c r="Q3302" s="1"/>
      <c r="R3302" s="1"/>
      <c r="S3302" s="1"/>
      <c r="T3302" s="1"/>
      <c r="U3302" s="1"/>
      <c r="V3302" s="1"/>
      <c r="W3302" s="1"/>
      <c r="X3302" s="1"/>
      <c r="Y3302" s="1"/>
      <c r="Z3302" s="1"/>
      <c r="AA3302" s="1"/>
      <c r="AB3302" s="1"/>
    </row>
    <row r="3303" ht="50.25" customHeight="1">
      <c r="A3303" s="12">
        <v>3299.0</v>
      </c>
      <c r="B3303" s="13" t="s">
        <v>3126</v>
      </c>
      <c r="C3303" s="14" t="s">
        <v>3319</v>
      </c>
      <c r="D3303" s="1"/>
      <c r="E3303" s="1"/>
      <c r="F3303" s="1" t="str">
        <f>IFERROR(__xludf.DUMMYFUNCTION("GOOGLETRANSLATE(B3303, ""en"", ""fa"")
"),"آشپزی")</f>
        <v>آشپزی</v>
      </c>
      <c r="G3303" s="1" t="str">
        <f>IFERROR(__xludf.DUMMYFUNCTION("GOOGLETRANSLATE(C3303, ""en"", ""fa"")
"),"در مورد مزایای آشپزی با گیاهان تازه صحبت کنید و دستور العمل های مورد علاقه خود را که طعم آنها را برجسته می کند به اشتراک بگذارید.")</f>
        <v>در مورد مزایای آشپزی با گیاهان تازه صحبت کنید و دستور العمل های مورد علاقه خود را که طعم آنها را برجسته می کند به اشتراک بگذارید.</v>
      </c>
      <c r="H3303" s="1"/>
      <c r="I3303" s="1"/>
      <c r="J3303" s="1"/>
      <c r="K3303" s="1"/>
      <c r="L3303" s="1"/>
      <c r="M3303" s="1"/>
      <c r="N3303" s="1"/>
      <c r="O3303" s="1"/>
      <c r="P3303" s="1"/>
      <c r="Q3303" s="1"/>
      <c r="R3303" s="1"/>
      <c r="S3303" s="1"/>
      <c r="T3303" s="1"/>
      <c r="U3303" s="1"/>
      <c r="V3303" s="1"/>
      <c r="W3303" s="1"/>
      <c r="X3303" s="1"/>
      <c r="Y3303" s="1"/>
      <c r="Z3303" s="1"/>
      <c r="AA3303" s="1"/>
      <c r="AB3303" s="1"/>
    </row>
    <row r="3304" ht="50.25" customHeight="1">
      <c r="A3304" s="12">
        <v>3300.0</v>
      </c>
      <c r="B3304" s="13" t="s">
        <v>3126</v>
      </c>
      <c r="C3304" s="14" t="s">
        <v>3320</v>
      </c>
      <c r="D3304" s="1"/>
      <c r="E3304" s="1"/>
      <c r="F3304" s="1" t="str">
        <f>IFERROR(__xludf.DUMMYFUNCTION("GOOGLETRANSLATE(B3304, ""en"", ""fa"")
"),"آشپزی")</f>
        <v>آشپزی</v>
      </c>
      <c r="G3304" s="1" t="str">
        <f>IFERROR(__xludf.DUMMYFUNCTION("GOOGLETRANSLATE(C3304, ""en"", ""fa"")
"),"نکات خود را برای ایجاد تخته های شیرینی پزی زیبا و خوشمزه برای پذیرایی از مهمانان به اشتراک بگذارید.")</f>
        <v>نکات خود را برای ایجاد تخته های شیرینی پزی زیبا و خوشمزه برای پذیرایی از مهمانان به اشتراک بگذارید.</v>
      </c>
      <c r="H3304" s="1"/>
      <c r="I3304" s="1"/>
      <c r="J3304" s="1"/>
      <c r="K3304" s="1"/>
      <c r="L3304" s="1"/>
      <c r="M3304" s="1"/>
      <c r="N3304" s="1"/>
      <c r="O3304" s="1"/>
      <c r="P3304" s="1"/>
      <c r="Q3304" s="1"/>
      <c r="R3304" s="1"/>
      <c r="S3304" s="1"/>
      <c r="T3304" s="1"/>
      <c r="U3304" s="1"/>
      <c r="V3304" s="1"/>
      <c r="W3304" s="1"/>
      <c r="X3304" s="1"/>
      <c r="Y3304" s="1"/>
      <c r="Z3304" s="1"/>
      <c r="AA3304" s="1"/>
      <c r="AB3304" s="1"/>
    </row>
    <row r="3305" ht="50.25" customHeight="1">
      <c r="A3305" s="12">
        <v>3301.0</v>
      </c>
      <c r="B3305" s="13" t="s">
        <v>3126</v>
      </c>
      <c r="C3305" s="14" t="s">
        <v>3321</v>
      </c>
      <c r="D3305" s="1"/>
      <c r="E3305" s="1"/>
      <c r="F3305" s="1" t="str">
        <f>IFERROR(__xludf.DUMMYFUNCTION("GOOGLETRANSLATE(B3305, ""en"", ""fa"")
"),"آشپزی")</f>
        <v>آشپزی</v>
      </c>
      <c r="G3305" s="1" t="str">
        <f>IFERROR(__xludf.DUMMYFUNCTION("GOOGLETRANSLATE(C3305, ""en"", ""fa"")
"),"تکنیک ها و نکاتی را برای دستیابی به بافت عالی در پنکیک و وافل بدون گلوتن بررسی کنید.")</f>
        <v>تکنیک ها و نکاتی را برای دستیابی به بافت عالی در پنکیک و وافل بدون گلوتن بررسی کنید.</v>
      </c>
      <c r="H3305" s="1"/>
      <c r="I3305" s="1"/>
      <c r="J3305" s="1"/>
      <c r="K3305" s="1"/>
      <c r="L3305" s="1"/>
      <c r="M3305" s="1"/>
      <c r="N3305" s="1"/>
      <c r="O3305" s="1"/>
      <c r="P3305" s="1"/>
      <c r="Q3305" s="1"/>
      <c r="R3305" s="1"/>
      <c r="S3305" s="1"/>
      <c r="T3305" s="1"/>
      <c r="U3305" s="1"/>
      <c r="V3305" s="1"/>
      <c r="W3305" s="1"/>
      <c r="X3305" s="1"/>
      <c r="Y3305" s="1"/>
      <c r="Z3305" s="1"/>
      <c r="AA3305" s="1"/>
      <c r="AB3305" s="1"/>
    </row>
    <row r="3306" ht="50.25" customHeight="1">
      <c r="A3306" s="12">
        <v>3302.0</v>
      </c>
      <c r="B3306" s="13" t="s">
        <v>3126</v>
      </c>
      <c r="C3306" s="14" t="s">
        <v>3322</v>
      </c>
      <c r="D3306" s="1"/>
      <c r="E3306" s="1"/>
      <c r="F3306" s="1" t="str">
        <f>IFERROR(__xludf.DUMMYFUNCTION("GOOGLETRANSLATE(B3306, ""en"", ""fa"")
"),"آشپزی")</f>
        <v>آشپزی</v>
      </c>
      <c r="G3306" s="1" t="str">
        <f>IFERROR(__xludf.DUMMYFUNCTION("GOOGLETRANSLATE(C3306, ""en"", ""fa"")
"),"در مورد فواید سلامتی استفاده از پروتئین های گیاهی بیشتر، مانند عدس یا نخود، در آشپزی خود صحبت کنید.")</f>
        <v>در مورد فواید سلامتی استفاده از پروتئین های گیاهی بیشتر، مانند عدس یا نخود، در آشپزی خود صحبت کنید.</v>
      </c>
      <c r="H3306" s="1"/>
      <c r="I3306" s="1"/>
      <c r="J3306" s="1"/>
      <c r="K3306" s="1"/>
      <c r="L3306" s="1"/>
      <c r="M3306" s="1"/>
      <c r="N3306" s="1"/>
      <c r="O3306" s="1"/>
      <c r="P3306" s="1"/>
      <c r="Q3306" s="1"/>
      <c r="R3306" s="1"/>
      <c r="S3306" s="1"/>
      <c r="T3306" s="1"/>
      <c r="U3306" s="1"/>
      <c r="V3306" s="1"/>
      <c r="W3306" s="1"/>
      <c r="X3306" s="1"/>
      <c r="Y3306" s="1"/>
      <c r="Z3306" s="1"/>
      <c r="AA3306" s="1"/>
      <c r="AB3306" s="1"/>
    </row>
    <row r="3307" ht="50.25" customHeight="1">
      <c r="A3307" s="12">
        <v>3303.0</v>
      </c>
      <c r="B3307" s="13" t="s">
        <v>3126</v>
      </c>
      <c r="C3307" s="14" t="s">
        <v>3323</v>
      </c>
      <c r="D3307" s="1"/>
      <c r="E3307" s="1"/>
      <c r="F3307" s="1" t="str">
        <f>IFERROR(__xludf.DUMMYFUNCTION("GOOGLETRANSLATE(B3307, ""en"", ""fa"")
"),"آشپزی")</f>
        <v>آشپزی</v>
      </c>
      <c r="G3307" s="1" t="str">
        <f>IFERROR(__xludf.DUMMYFUNCTION("GOOGLETRANSLATE(C3307, ""en"", ""fa"")
"),"دستور العمل های مورد علاقه خود را برای کره طعم دار خانگی و اسپری های ترکیبی به اشتراک بگذارید.")</f>
        <v>دستور العمل های مورد علاقه خود را برای کره طعم دار خانگی و اسپری های ترکیبی به اشتراک بگذارید.</v>
      </c>
      <c r="H3307" s="1"/>
      <c r="I3307" s="1"/>
      <c r="J3307" s="1"/>
      <c r="K3307" s="1"/>
      <c r="L3307" s="1"/>
      <c r="M3307" s="1"/>
      <c r="N3307" s="1"/>
      <c r="O3307" s="1"/>
      <c r="P3307" s="1"/>
      <c r="Q3307" s="1"/>
      <c r="R3307" s="1"/>
      <c r="S3307" s="1"/>
      <c r="T3307" s="1"/>
      <c r="U3307" s="1"/>
      <c r="V3307" s="1"/>
      <c r="W3307" s="1"/>
      <c r="X3307" s="1"/>
      <c r="Y3307" s="1"/>
      <c r="Z3307" s="1"/>
      <c r="AA3307" s="1"/>
      <c r="AB3307" s="1"/>
    </row>
    <row r="3308" ht="50.25" customHeight="1">
      <c r="A3308" s="12">
        <v>3304.0</v>
      </c>
      <c r="B3308" s="13" t="s">
        <v>3126</v>
      </c>
      <c r="C3308" s="14" t="s">
        <v>3324</v>
      </c>
      <c r="D3308" s="1"/>
      <c r="E3308" s="1"/>
      <c r="F3308" s="1" t="str">
        <f>IFERROR(__xludf.DUMMYFUNCTION("GOOGLETRANSLATE(B3308, ""en"", ""fa"")
"),"آشپزی")</f>
        <v>آشپزی</v>
      </c>
      <c r="G3308" s="1" t="str">
        <f>IFERROR(__xludf.DUMMYFUNCTION("GOOGLETRANSLATE(C3308, ""en"", ""fa"")
"),"تکنیک ها و نکاتی را برای دستیابی به سطح ایده آل تندی در غذاهای تایلندی بررسی کنید.")</f>
        <v>تکنیک ها و نکاتی را برای دستیابی به سطح ایده آل تندی در غذاهای تایلندی بررسی کنید.</v>
      </c>
      <c r="H3308" s="1"/>
      <c r="I3308" s="1"/>
      <c r="J3308" s="1"/>
      <c r="K3308" s="1"/>
      <c r="L3308" s="1"/>
      <c r="M3308" s="1"/>
      <c r="N3308" s="1"/>
      <c r="O3308" s="1"/>
      <c r="P3308" s="1"/>
      <c r="Q3308" s="1"/>
      <c r="R3308" s="1"/>
      <c r="S3308" s="1"/>
      <c r="T3308" s="1"/>
      <c r="U3308" s="1"/>
      <c r="V3308" s="1"/>
      <c r="W3308" s="1"/>
      <c r="X3308" s="1"/>
      <c r="Y3308" s="1"/>
      <c r="Z3308" s="1"/>
      <c r="AA3308" s="1"/>
      <c r="AB3308" s="1"/>
    </row>
    <row r="3309" ht="50.25" customHeight="1">
      <c r="A3309" s="12">
        <v>3305.0</v>
      </c>
      <c r="B3309" s="13" t="s">
        <v>3126</v>
      </c>
      <c r="C3309" s="14" t="s">
        <v>3325</v>
      </c>
      <c r="D3309" s="1"/>
      <c r="E3309" s="1"/>
      <c r="F3309" s="1" t="str">
        <f>IFERROR(__xludf.DUMMYFUNCTION("GOOGLETRANSLATE(B3309, ""en"", ""fa"")
"),"آشپزی")</f>
        <v>آشپزی</v>
      </c>
      <c r="G3309" s="1" t="str">
        <f>IFERROR(__xludf.DUMMYFUNCTION("GOOGLETRANSLATE(C3309, ""en"", ""fa"")
"),"در مورد فواید پخت و پز با مواد ارگانیک و تأثیر آنها بر محیط صحبت کنید.")</f>
        <v>در مورد فواید پخت و پز با مواد ارگانیک و تأثیر آنها بر محیط صحبت کنید.</v>
      </c>
      <c r="H3309" s="1"/>
      <c r="I3309" s="1"/>
      <c r="J3309" s="1"/>
      <c r="K3309" s="1"/>
      <c r="L3309" s="1"/>
      <c r="M3309" s="1"/>
      <c r="N3309" s="1"/>
      <c r="O3309" s="1"/>
      <c r="P3309" s="1"/>
      <c r="Q3309" s="1"/>
      <c r="R3309" s="1"/>
      <c r="S3309" s="1"/>
      <c r="T3309" s="1"/>
      <c r="U3309" s="1"/>
      <c r="V3309" s="1"/>
      <c r="W3309" s="1"/>
      <c r="X3309" s="1"/>
      <c r="Y3309" s="1"/>
      <c r="Z3309" s="1"/>
      <c r="AA3309" s="1"/>
      <c r="AB3309" s="1"/>
    </row>
    <row r="3310" ht="50.25" customHeight="1">
      <c r="A3310" s="12">
        <v>3306.0</v>
      </c>
      <c r="B3310" s="13" t="s">
        <v>3126</v>
      </c>
      <c r="C3310" s="14" t="s">
        <v>3326</v>
      </c>
      <c r="D3310" s="1"/>
      <c r="E3310" s="1"/>
      <c r="F3310" s="1" t="str">
        <f>IFERROR(__xludf.DUMMYFUNCTION("GOOGLETRANSLATE(B3310, ""en"", ""fa"")
"),"آشپزی")</f>
        <v>آشپزی</v>
      </c>
      <c r="G3310" s="1" t="str">
        <f>IFERROR(__xludf.DUMMYFUNCTION("GOOGLETRANSLATE(C3310, ""en"", ""fa"")
"),"نکات خود را برای ایجاد همبرگرهای گیاهی خوش طعم و رضایت بخش و شیرینی های گیاهی به اشتراک بگذارید.")</f>
        <v>نکات خود را برای ایجاد همبرگرهای گیاهی خوش طعم و رضایت بخش و شیرینی های گیاهی به اشتراک بگذارید.</v>
      </c>
      <c r="H3310" s="1"/>
      <c r="I3310" s="1"/>
      <c r="J3310" s="1"/>
      <c r="K3310" s="1"/>
      <c r="L3310" s="1"/>
      <c r="M3310" s="1"/>
      <c r="N3310" s="1"/>
      <c r="O3310" s="1"/>
      <c r="P3310" s="1"/>
      <c r="Q3310" s="1"/>
      <c r="R3310" s="1"/>
      <c r="S3310" s="1"/>
      <c r="T3310" s="1"/>
      <c r="U3310" s="1"/>
      <c r="V3310" s="1"/>
      <c r="W3310" s="1"/>
      <c r="X3310" s="1"/>
      <c r="Y3310" s="1"/>
      <c r="Z3310" s="1"/>
      <c r="AA3310" s="1"/>
      <c r="AB3310" s="1"/>
    </row>
    <row r="3311" ht="50.25" customHeight="1">
      <c r="A3311" s="12">
        <v>3307.0</v>
      </c>
      <c r="B3311" s="13" t="s">
        <v>3126</v>
      </c>
      <c r="C3311" s="14" t="s">
        <v>3327</v>
      </c>
      <c r="D3311" s="1"/>
      <c r="E3311" s="1"/>
      <c r="F3311" s="1" t="str">
        <f>IFERROR(__xludf.DUMMYFUNCTION("GOOGLETRANSLATE(B3311, ""en"", ""fa"")
"),"آشپزی")</f>
        <v>آشپزی</v>
      </c>
      <c r="G3311" s="1" t="str">
        <f>IFERROR(__xludf.DUMMYFUNCTION("GOOGLETRANSLATE(C3311, ""en"", ""fa"")
"),"تکنیک ها و نکاتی را برای دستیابی به قوام کامل در چیزکیک های گیاهی و دسرهای خامه ای بررسی کنید.")</f>
        <v>تکنیک ها و نکاتی را برای دستیابی به قوام کامل در چیزکیک های گیاهی و دسرهای خامه ای بررسی کنید.</v>
      </c>
      <c r="H3311" s="1"/>
      <c r="I3311" s="1"/>
      <c r="J3311" s="1"/>
      <c r="K3311" s="1"/>
      <c r="L3311" s="1"/>
      <c r="M3311" s="1"/>
      <c r="N3311" s="1"/>
      <c r="O3311" s="1"/>
      <c r="P3311" s="1"/>
      <c r="Q3311" s="1"/>
      <c r="R3311" s="1"/>
      <c r="S3311" s="1"/>
      <c r="T3311" s="1"/>
      <c r="U3311" s="1"/>
      <c r="V3311" s="1"/>
      <c r="W3311" s="1"/>
      <c r="X3311" s="1"/>
      <c r="Y3311" s="1"/>
      <c r="Z3311" s="1"/>
      <c r="AA3311" s="1"/>
      <c r="AB3311" s="1"/>
    </row>
    <row r="3312" ht="50.25" customHeight="1">
      <c r="A3312" s="12">
        <v>3308.0</v>
      </c>
      <c r="B3312" s="13" t="s">
        <v>3126</v>
      </c>
      <c r="C3312" s="14" t="s">
        <v>3328</v>
      </c>
      <c r="D3312" s="1"/>
      <c r="E3312" s="1"/>
      <c r="F3312" s="1" t="str">
        <f>IFERROR(__xludf.DUMMYFUNCTION("GOOGLETRANSLATE(B3312, ""en"", ""fa"")
"),"آشپزی")</f>
        <v>آشپزی</v>
      </c>
      <c r="G3312" s="1" t="str">
        <f>IFERROR(__xludf.DUMMYFUNCTION("GOOGLETRANSLATE(C3312, ""en"", ""fa"")
"),"در مورد تأثیرات فرهنگی بر غذاهای اسپانیایی و غذاهای متنوع منطقه ای آن بحث کنید.")</f>
        <v>در مورد تأثیرات فرهنگی بر غذاهای اسپانیایی و غذاهای متنوع منطقه ای آن بحث کنید.</v>
      </c>
      <c r="H3312" s="1"/>
      <c r="I3312" s="1"/>
      <c r="J3312" s="1"/>
      <c r="K3312" s="1"/>
      <c r="L3312" s="1"/>
      <c r="M3312" s="1"/>
      <c r="N3312" s="1"/>
      <c r="O3312" s="1"/>
      <c r="P3312" s="1"/>
      <c r="Q3312" s="1"/>
      <c r="R3312" s="1"/>
      <c r="S3312" s="1"/>
      <c r="T3312" s="1"/>
      <c r="U3312" s="1"/>
      <c r="V3312" s="1"/>
      <c r="W3312" s="1"/>
      <c r="X3312" s="1"/>
      <c r="Y3312" s="1"/>
      <c r="Z3312" s="1"/>
      <c r="AA3312" s="1"/>
      <c r="AB3312" s="1"/>
    </row>
    <row r="3313" ht="50.25" customHeight="1">
      <c r="A3313" s="12">
        <v>3309.0</v>
      </c>
      <c r="B3313" s="13" t="s">
        <v>3126</v>
      </c>
      <c r="C3313" s="14" t="s">
        <v>3329</v>
      </c>
      <c r="D3313" s="1"/>
      <c r="E3313" s="1"/>
      <c r="F3313" s="1" t="str">
        <f>IFERROR(__xludf.DUMMYFUNCTION("GOOGLETRANSLATE(B3313, ""en"", ""fa"")
"),"آشپزی")</f>
        <v>آشپزی</v>
      </c>
      <c r="G3313" s="1" t="str">
        <f>IFERROR(__xludf.DUMMYFUNCTION("GOOGLETRANSLATE(C3313, ""en"", ""fa"")
"),"دستور العمل های مورد علاقه خود را برای مخلوط و مالش ادویه های خانگی به اشتراک بگذارید.")</f>
        <v>دستور العمل های مورد علاقه خود را برای مخلوط و مالش ادویه های خانگی به اشتراک بگذارید.</v>
      </c>
      <c r="H3313" s="1"/>
      <c r="I3313" s="1"/>
      <c r="J3313" s="1"/>
      <c r="K3313" s="1"/>
      <c r="L3313" s="1"/>
      <c r="M3313" s="1"/>
      <c r="N3313" s="1"/>
      <c r="O3313" s="1"/>
      <c r="P3313" s="1"/>
      <c r="Q3313" s="1"/>
      <c r="R3313" s="1"/>
      <c r="S3313" s="1"/>
      <c r="T3313" s="1"/>
      <c r="U3313" s="1"/>
      <c r="V3313" s="1"/>
      <c r="W3313" s="1"/>
      <c r="X3313" s="1"/>
      <c r="Y3313" s="1"/>
      <c r="Z3313" s="1"/>
      <c r="AA3313" s="1"/>
      <c r="AB3313" s="1"/>
    </row>
    <row r="3314" ht="50.25" customHeight="1">
      <c r="A3314" s="12">
        <v>3310.0</v>
      </c>
      <c r="B3314" s="13" t="s">
        <v>3126</v>
      </c>
      <c r="C3314" s="14" t="s">
        <v>3330</v>
      </c>
      <c r="D3314" s="1"/>
      <c r="E3314" s="1"/>
      <c r="F3314" s="1" t="str">
        <f>IFERROR(__xludf.DUMMYFUNCTION("GOOGLETRANSLATE(B3314, ""en"", ""fa"")
"),"آشپزی")</f>
        <v>آشپزی</v>
      </c>
      <c r="G3314" s="1" t="str">
        <f>IFERROR(__xludf.DUMMYFUNCTION("GOOGLETRANSLATE(C3314, ""en"", ""fa"")
"),"تکنیک ها و نکاتی را برای دستیابی به سطح ایده آل شیرینی در محصولات پخته شده با استفاده از شیرین کننده های طبیعی بررسی کنید.")</f>
        <v>تکنیک ها و نکاتی را برای دستیابی به سطح ایده آل شیرینی در محصولات پخته شده با استفاده از شیرین کننده های طبیعی بررسی کنید.</v>
      </c>
      <c r="H3314" s="1"/>
      <c r="I3314" s="1"/>
      <c r="J3314" s="1"/>
      <c r="K3314" s="1"/>
      <c r="L3314" s="1"/>
      <c r="M3314" s="1"/>
      <c r="N3314" s="1"/>
      <c r="O3314" s="1"/>
      <c r="P3314" s="1"/>
      <c r="Q3314" s="1"/>
      <c r="R3314" s="1"/>
      <c r="S3314" s="1"/>
      <c r="T3314" s="1"/>
      <c r="U3314" s="1"/>
      <c r="V3314" s="1"/>
      <c r="W3314" s="1"/>
      <c r="X3314" s="1"/>
      <c r="Y3314" s="1"/>
      <c r="Z3314" s="1"/>
      <c r="AA3314" s="1"/>
      <c r="AB3314" s="1"/>
    </row>
    <row r="3315" ht="50.25" customHeight="1">
      <c r="A3315" s="12">
        <v>3311.0</v>
      </c>
      <c r="B3315" s="13" t="s">
        <v>3126</v>
      </c>
      <c r="C3315" s="14" t="s">
        <v>3331</v>
      </c>
      <c r="D3315" s="1"/>
      <c r="E3315" s="1"/>
      <c r="F3315" s="1" t="str">
        <f>IFERROR(__xludf.DUMMYFUNCTION("GOOGLETRANSLATE(B3315, ""en"", ""fa"")
"),"آشپزی")</f>
        <v>آشپزی</v>
      </c>
      <c r="G3315" s="1" t="str">
        <f>IFERROR(__xludf.DUMMYFUNCTION("GOOGLETRANSLATE(C3315, ""en"", ""fa"")
"),"در مورد مزایای سلامتی پخت و پز با غذاهای تخمیر شده، مانند کلم ترش یا میسو صحبت کنید.")</f>
        <v>در مورد مزایای سلامتی پخت و پز با غذاهای تخمیر شده، مانند کلم ترش یا میسو صحبت کنید.</v>
      </c>
      <c r="H3315" s="1"/>
      <c r="I3315" s="1"/>
      <c r="J3315" s="1"/>
      <c r="K3315" s="1"/>
      <c r="L3315" s="1"/>
      <c r="M3315" s="1"/>
      <c r="N3315" s="1"/>
      <c r="O3315" s="1"/>
      <c r="P3315" s="1"/>
      <c r="Q3315" s="1"/>
      <c r="R3315" s="1"/>
      <c r="S3315" s="1"/>
      <c r="T3315" s="1"/>
      <c r="U3315" s="1"/>
      <c r="V3315" s="1"/>
      <c r="W3315" s="1"/>
      <c r="X3315" s="1"/>
      <c r="Y3315" s="1"/>
      <c r="Z3315" s="1"/>
      <c r="AA3315" s="1"/>
      <c r="AB3315" s="1"/>
    </row>
    <row r="3316" ht="50.25" customHeight="1">
      <c r="A3316" s="12">
        <v>3312.0</v>
      </c>
      <c r="B3316" s="13" t="s">
        <v>3126</v>
      </c>
      <c r="C3316" s="14" t="s">
        <v>3332</v>
      </c>
      <c r="D3316" s="1"/>
      <c r="E3316" s="1"/>
      <c r="F3316" s="1" t="str">
        <f>IFERROR(__xludf.DUMMYFUNCTION("GOOGLETRANSLATE(B3316, ""en"", ""fa"")
"),"آشپزی")</f>
        <v>آشپزی</v>
      </c>
      <c r="G3316" s="1" t="str">
        <f>IFERROR(__xludf.DUMMYFUNCTION("GOOGLETRANSLATE(C3316, ""en"", ""fa"")
"),"نکات خود را برای دستیابی به پخت کامل در استیک و سایر گوشت ها به اشتراک بگذارید.")</f>
        <v>نکات خود را برای دستیابی به پخت کامل در استیک و سایر گوشت ها به اشتراک بگذارید.</v>
      </c>
      <c r="H3316" s="1"/>
      <c r="I3316" s="1"/>
      <c r="J3316" s="1"/>
      <c r="K3316" s="1"/>
      <c r="L3316" s="1"/>
      <c r="M3316" s="1"/>
      <c r="N3316" s="1"/>
      <c r="O3316" s="1"/>
      <c r="P3316" s="1"/>
      <c r="Q3316" s="1"/>
      <c r="R3316" s="1"/>
      <c r="S3316" s="1"/>
      <c r="T3316" s="1"/>
      <c r="U3316" s="1"/>
      <c r="V3316" s="1"/>
      <c r="W3316" s="1"/>
      <c r="X3316" s="1"/>
      <c r="Y3316" s="1"/>
      <c r="Z3316" s="1"/>
      <c r="AA3316" s="1"/>
      <c r="AB3316" s="1"/>
    </row>
    <row r="3317" ht="50.25" customHeight="1">
      <c r="A3317" s="12">
        <v>3313.0</v>
      </c>
      <c r="B3317" s="13" t="s">
        <v>3126</v>
      </c>
      <c r="C3317" s="14" t="s">
        <v>3333</v>
      </c>
      <c r="D3317" s="1"/>
      <c r="E3317" s="1"/>
      <c r="F3317" s="1" t="str">
        <f>IFERROR(__xludf.DUMMYFUNCTION("GOOGLETRANSLATE(B3317, ""en"", ""fa"")
"),"آشپزی")</f>
        <v>آشپزی</v>
      </c>
      <c r="G3317" s="1" t="str">
        <f>IFERROR(__xludf.DUMMYFUNCTION("GOOGLETRANSLATE(C3317, ""en"", ""fa"")
"),"تکنیک ها و نکاتی را برای دستیابی به بافت ایده آل در ماکارونی بدون گلوتن بررسی کنید.")</f>
        <v>تکنیک ها و نکاتی را برای دستیابی به بافت ایده آل در ماکارونی بدون گلوتن بررسی کنید.</v>
      </c>
      <c r="H3317" s="1"/>
      <c r="I3317" s="1"/>
      <c r="J3317" s="1"/>
      <c r="K3317" s="1"/>
      <c r="L3317" s="1"/>
      <c r="M3317" s="1"/>
      <c r="N3317" s="1"/>
      <c r="O3317" s="1"/>
      <c r="P3317" s="1"/>
      <c r="Q3317" s="1"/>
      <c r="R3317" s="1"/>
      <c r="S3317" s="1"/>
      <c r="T3317" s="1"/>
      <c r="U3317" s="1"/>
      <c r="V3317" s="1"/>
      <c r="W3317" s="1"/>
      <c r="X3317" s="1"/>
      <c r="Y3317" s="1"/>
      <c r="Z3317" s="1"/>
      <c r="AA3317" s="1"/>
      <c r="AB3317" s="1"/>
    </row>
    <row r="3318" ht="50.25" customHeight="1">
      <c r="A3318" s="12">
        <v>3314.0</v>
      </c>
      <c r="B3318" s="13" t="s">
        <v>3126</v>
      </c>
      <c r="C3318" s="14" t="s">
        <v>3334</v>
      </c>
      <c r="D3318" s="1"/>
      <c r="E3318" s="1"/>
      <c r="F3318" s="1" t="str">
        <f>IFERROR(__xludf.DUMMYFUNCTION("GOOGLETRANSLATE(B3318, ""en"", ""fa"")
"),"آشپزی")</f>
        <v>آشپزی</v>
      </c>
      <c r="G3318" s="1" t="str">
        <f>IFERROR(__xludf.DUMMYFUNCTION("GOOGLETRANSLATE(C3318, ""en"", ""fa"")
"),"در مورد فواید پخت و پز با سبزیجات و میوه های فصلی و به حداکثر رساندن طعم آنها بحث کنید.")</f>
        <v>در مورد فواید پخت و پز با سبزیجات و میوه های فصلی و به حداکثر رساندن طعم آنها بحث کنید.</v>
      </c>
      <c r="H3318" s="1"/>
      <c r="I3318" s="1"/>
      <c r="J3318" s="1"/>
      <c r="K3318" s="1"/>
      <c r="L3318" s="1"/>
      <c r="M3318" s="1"/>
      <c r="N3318" s="1"/>
      <c r="O3318" s="1"/>
      <c r="P3318" s="1"/>
      <c r="Q3318" s="1"/>
      <c r="R3318" s="1"/>
      <c r="S3318" s="1"/>
      <c r="T3318" s="1"/>
      <c r="U3318" s="1"/>
      <c r="V3318" s="1"/>
      <c r="W3318" s="1"/>
      <c r="X3318" s="1"/>
      <c r="Y3318" s="1"/>
      <c r="Z3318" s="1"/>
      <c r="AA3318" s="1"/>
      <c r="AB3318" s="1"/>
    </row>
    <row r="3319" ht="50.25" customHeight="1">
      <c r="A3319" s="12">
        <v>3315.0</v>
      </c>
      <c r="B3319" s="13" t="s">
        <v>3126</v>
      </c>
      <c r="C3319" s="14" t="s">
        <v>3335</v>
      </c>
      <c r="D3319" s="1"/>
      <c r="E3319" s="1"/>
      <c r="F3319" s="1" t="str">
        <f>IFERROR(__xludf.DUMMYFUNCTION("GOOGLETRANSLATE(B3319, ""en"", ""fa"")
"),"آشپزی")</f>
        <v>آشپزی</v>
      </c>
      <c r="G3319" s="1" t="str">
        <f>IFERROR(__xludf.DUMMYFUNCTION("GOOGLETRANSLATE(C3319, ""en"", ""fa"")
"),"دستور العمل های مورد علاقه خود را برای روغن ها و سرکه های خانگی به اشتراک بگذارید.")</f>
        <v>دستور العمل های مورد علاقه خود را برای روغن ها و سرکه های خانگی به اشتراک بگذارید.</v>
      </c>
      <c r="H3319" s="1"/>
      <c r="I3319" s="1"/>
      <c r="J3319" s="1"/>
      <c r="K3319" s="1"/>
      <c r="L3319" s="1"/>
      <c r="M3319" s="1"/>
      <c r="N3319" s="1"/>
      <c r="O3319" s="1"/>
      <c r="P3319" s="1"/>
      <c r="Q3319" s="1"/>
      <c r="R3319" s="1"/>
      <c r="S3319" s="1"/>
      <c r="T3319" s="1"/>
      <c r="U3319" s="1"/>
      <c r="V3319" s="1"/>
      <c r="W3319" s="1"/>
      <c r="X3319" s="1"/>
      <c r="Y3319" s="1"/>
      <c r="Z3319" s="1"/>
      <c r="AA3319" s="1"/>
      <c r="AB3319" s="1"/>
    </row>
    <row r="3320" ht="50.25" customHeight="1">
      <c r="A3320" s="12">
        <v>3316.0</v>
      </c>
      <c r="B3320" s="13" t="s">
        <v>3126</v>
      </c>
      <c r="C3320" s="14" t="s">
        <v>3336</v>
      </c>
      <c r="D3320" s="1"/>
      <c r="E3320" s="1"/>
      <c r="F3320" s="1" t="str">
        <f>IFERROR(__xludf.DUMMYFUNCTION("GOOGLETRANSLATE(B3320, ""en"", ""fa"")
"),"آشپزی")</f>
        <v>آشپزی</v>
      </c>
      <c r="G3320" s="1" t="str">
        <f>IFERROR(__xludf.DUMMYFUNCTION("GOOGLETRANSLATE(C3320, ""en"", ""fa"")
"),"تکنیک ها و نکاتی را برای دستیابی به کرکی کامل در کلوچه های بدون گلوتن و نان های سریع بررسی کنید.")</f>
        <v>تکنیک ها و نکاتی را برای دستیابی به کرکی کامل در کلوچه های بدون گلوتن و نان های سریع بررسی کنید.</v>
      </c>
      <c r="H3320" s="1"/>
      <c r="I3320" s="1"/>
      <c r="J3320" s="1"/>
      <c r="K3320" s="1"/>
      <c r="L3320" s="1"/>
      <c r="M3320" s="1"/>
      <c r="N3320" s="1"/>
      <c r="O3320" s="1"/>
      <c r="P3320" s="1"/>
      <c r="Q3320" s="1"/>
      <c r="R3320" s="1"/>
      <c r="S3320" s="1"/>
      <c r="T3320" s="1"/>
      <c r="U3320" s="1"/>
      <c r="V3320" s="1"/>
      <c r="W3320" s="1"/>
      <c r="X3320" s="1"/>
      <c r="Y3320" s="1"/>
      <c r="Z3320" s="1"/>
      <c r="AA3320" s="1"/>
      <c r="AB3320" s="1"/>
    </row>
    <row r="3321" ht="50.25" customHeight="1">
      <c r="A3321" s="12">
        <v>3317.0</v>
      </c>
      <c r="B3321" s="13" t="s">
        <v>3126</v>
      </c>
      <c r="C3321" s="14" t="s">
        <v>3337</v>
      </c>
      <c r="D3321" s="1"/>
      <c r="E3321" s="1"/>
      <c r="F3321" s="1" t="str">
        <f>IFERROR(__xludf.DUMMYFUNCTION("GOOGLETRANSLATE(B3321, ""en"", ""fa"")
"),"آشپزی")</f>
        <v>آشپزی</v>
      </c>
      <c r="G3321" s="1" t="str">
        <f>IFERROR(__xludf.DUMMYFUNCTION("GOOGLETRANSLATE(C3321, ""en"", ""fa"")
"),"در مورد تأثیرات فرهنگی بر غذاهای هندی و مجموعه ای پر جنب و جوش آن از ادویه ها بحث کنید.")</f>
        <v>در مورد تأثیرات فرهنگی بر غذاهای هندی و مجموعه ای پر جنب و جوش آن از ادویه ها بحث کنید.</v>
      </c>
      <c r="H3321" s="1"/>
      <c r="I3321" s="1"/>
      <c r="J3321" s="1"/>
      <c r="K3321" s="1"/>
      <c r="L3321" s="1"/>
      <c r="M3321" s="1"/>
      <c r="N3321" s="1"/>
      <c r="O3321" s="1"/>
      <c r="P3321" s="1"/>
      <c r="Q3321" s="1"/>
      <c r="R3321" s="1"/>
      <c r="S3321" s="1"/>
      <c r="T3321" s="1"/>
      <c r="U3321" s="1"/>
      <c r="V3321" s="1"/>
      <c r="W3321" s="1"/>
      <c r="X3321" s="1"/>
      <c r="Y3321" s="1"/>
      <c r="Z3321" s="1"/>
      <c r="AA3321" s="1"/>
      <c r="AB3321" s="1"/>
    </row>
    <row r="3322" ht="50.25" customHeight="1">
      <c r="A3322" s="12">
        <v>3318.0</v>
      </c>
      <c r="B3322" s="13" t="s">
        <v>3126</v>
      </c>
      <c r="C3322" s="14" t="s">
        <v>3338</v>
      </c>
      <c r="D3322" s="1"/>
      <c r="E3322" s="1"/>
      <c r="F3322" s="1" t="str">
        <f>IFERROR(__xludf.DUMMYFUNCTION("GOOGLETRANSLATE(B3322, ""en"", ""fa"")
"),"آشپزی")</f>
        <v>آشپزی</v>
      </c>
      <c r="G3322" s="1" t="str">
        <f>IFERROR(__xludf.DUMMYFUNCTION("GOOGLETRANSLATE(C3322, ""en"", ""fa"")
"),"نکات خود را برای ایجاد سس های سالاد خانگی و وینیگرت با ترکیبات طعم منحصر به فرد به اشتراک بگذارید.")</f>
        <v>نکات خود را برای ایجاد سس های سالاد خانگی و وینیگرت با ترکیبات طعم منحصر به فرد به اشتراک بگذارید.</v>
      </c>
      <c r="H3322" s="1"/>
      <c r="I3322" s="1"/>
      <c r="J3322" s="1"/>
      <c r="K3322" s="1"/>
      <c r="L3322" s="1"/>
      <c r="M3322" s="1"/>
      <c r="N3322" s="1"/>
      <c r="O3322" s="1"/>
      <c r="P3322" s="1"/>
      <c r="Q3322" s="1"/>
      <c r="R3322" s="1"/>
      <c r="S3322" s="1"/>
      <c r="T3322" s="1"/>
      <c r="U3322" s="1"/>
      <c r="V3322" s="1"/>
      <c r="W3322" s="1"/>
      <c r="X3322" s="1"/>
      <c r="Y3322" s="1"/>
      <c r="Z3322" s="1"/>
      <c r="AA3322" s="1"/>
      <c r="AB3322" s="1"/>
    </row>
    <row r="3323" ht="50.25" customHeight="1">
      <c r="A3323" s="12">
        <v>3319.0</v>
      </c>
      <c r="B3323" s="13" t="s">
        <v>3126</v>
      </c>
      <c r="C3323" s="14" t="s">
        <v>3339</v>
      </c>
      <c r="D3323" s="1"/>
      <c r="E3323" s="1"/>
      <c r="F3323" s="1" t="str">
        <f>IFERROR(__xludf.DUMMYFUNCTION("GOOGLETRANSLATE(B3323, ""en"", ""fa"")
"),"آشپزی")</f>
        <v>آشپزی</v>
      </c>
      <c r="G3323" s="1" t="str">
        <f>IFERROR(__xludf.DUMMYFUNCTION("GOOGLETRANSLATE(C3323, ""en"", ""fa"")
"),"تکنیک ها و نکاتی را برای دستیابی به سطح ایده آل از غنا در دسرهای شکلاتی بررسی کنید.")</f>
        <v>تکنیک ها و نکاتی را برای دستیابی به سطح ایده آل از غنا در دسرهای شکلاتی بررسی کنید.</v>
      </c>
      <c r="H3323" s="1"/>
      <c r="I3323" s="1"/>
      <c r="J3323" s="1"/>
      <c r="K3323" s="1"/>
      <c r="L3323" s="1"/>
      <c r="M3323" s="1"/>
      <c r="N3323" s="1"/>
      <c r="O3323" s="1"/>
      <c r="P3323" s="1"/>
      <c r="Q3323" s="1"/>
      <c r="R3323" s="1"/>
      <c r="S3323" s="1"/>
      <c r="T3323" s="1"/>
      <c r="U3323" s="1"/>
      <c r="V3323" s="1"/>
      <c r="W3323" s="1"/>
      <c r="X3323" s="1"/>
      <c r="Y3323" s="1"/>
      <c r="Z3323" s="1"/>
      <c r="AA3323" s="1"/>
      <c r="AB3323" s="1"/>
    </row>
    <row r="3324" ht="50.25" customHeight="1">
      <c r="A3324" s="12">
        <v>3320.0</v>
      </c>
      <c r="B3324" s="13" t="s">
        <v>3126</v>
      </c>
      <c r="C3324" s="14" t="s">
        <v>3340</v>
      </c>
      <c r="D3324" s="1"/>
      <c r="E3324" s="1"/>
      <c r="F3324" s="1" t="str">
        <f>IFERROR(__xludf.DUMMYFUNCTION("GOOGLETRANSLATE(B3324, ""en"", ""fa"")
"),"آشپزی")</f>
        <v>آشپزی</v>
      </c>
      <c r="G3324" s="1" t="str">
        <f>IFERROR(__xludf.DUMMYFUNCTION("GOOGLETRANSLATE(C3324, ""en"", ""fa"")
"),"در مورد فواید پخت و پز با مواد مغذی فوق العاده مانند کینوا یا اسپیرولینا صحبت کنید.")</f>
        <v>در مورد فواید پخت و پز با مواد مغذی فوق العاده مانند کینوا یا اسپیرولینا صحبت کنید.</v>
      </c>
      <c r="H3324" s="1"/>
      <c r="I3324" s="1"/>
      <c r="J3324" s="1"/>
      <c r="K3324" s="1"/>
      <c r="L3324" s="1"/>
      <c r="M3324" s="1"/>
      <c r="N3324" s="1"/>
      <c r="O3324" s="1"/>
      <c r="P3324" s="1"/>
      <c r="Q3324" s="1"/>
      <c r="R3324" s="1"/>
      <c r="S3324" s="1"/>
      <c r="T3324" s="1"/>
      <c r="U3324" s="1"/>
      <c r="V3324" s="1"/>
      <c r="W3324" s="1"/>
      <c r="X3324" s="1"/>
      <c r="Y3324" s="1"/>
      <c r="Z3324" s="1"/>
      <c r="AA3324" s="1"/>
      <c r="AB3324" s="1"/>
    </row>
    <row r="3325" ht="50.25" customHeight="1">
      <c r="A3325" s="12">
        <v>3321.0</v>
      </c>
      <c r="B3325" s="13" t="s">
        <v>3126</v>
      </c>
      <c r="C3325" s="14" t="s">
        <v>3341</v>
      </c>
      <c r="D3325" s="1"/>
      <c r="E3325" s="1"/>
      <c r="F3325" s="1" t="str">
        <f>IFERROR(__xludf.DUMMYFUNCTION("GOOGLETRANSLATE(B3325, ""en"", ""fa"")
"),"آشپزی")</f>
        <v>آشپزی</v>
      </c>
      <c r="G3325" s="1" t="str">
        <f>IFERROR(__xludf.DUMMYFUNCTION("GOOGLETRANSLATE(C3325, ""en"", ""fa"")
"),"دستور العمل های مورد علاقه خود را برای نمک ها و چاشنی های طعم دار خانگی به اشتراک بگذارید.")</f>
        <v>دستور العمل های مورد علاقه خود را برای نمک ها و چاشنی های طعم دار خانگی به اشتراک بگذارید.</v>
      </c>
      <c r="H3325" s="1"/>
      <c r="I3325" s="1"/>
      <c r="J3325" s="1"/>
      <c r="K3325" s="1"/>
      <c r="L3325" s="1"/>
      <c r="M3325" s="1"/>
      <c r="N3325" s="1"/>
      <c r="O3325" s="1"/>
      <c r="P3325" s="1"/>
      <c r="Q3325" s="1"/>
      <c r="R3325" s="1"/>
      <c r="S3325" s="1"/>
      <c r="T3325" s="1"/>
      <c r="U3325" s="1"/>
      <c r="V3325" s="1"/>
      <c r="W3325" s="1"/>
      <c r="X3325" s="1"/>
      <c r="Y3325" s="1"/>
      <c r="Z3325" s="1"/>
      <c r="AA3325" s="1"/>
      <c r="AB3325" s="1"/>
    </row>
    <row r="3326" ht="50.25" customHeight="1">
      <c r="A3326" s="12">
        <v>3322.0</v>
      </c>
      <c r="B3326" s="13" t="s">
        <v>3126</v>
      </c>
      <c r="C3326" s="14" t="s">
        <v>3342</v>
      </c>
      <c r="D3326" s="1"/>
      <c r="E3326" s="1"/>
      <c r="F3326" s="1" t="str">
        <f>IFERROR(__xludf.DUMMYFUNCTION("GOOGLETRANSLATE(B3326, ""en"", ""fa"")
"),"آشپزی")</f>
        <v>آشپزی</v>
      </c>
      <c r="G3326" s="1" t="str">
        <f>IFERROR(__xludf.DUMMYFUNCTION("GOOGLETRANSLATE(C3326, ""en"", ""fa"")
"),"تکنیک ها و نکاتی را برای دستیابی به رشد عالی در نان مخمری بدون گلوتن بررسی کنید.")</f>
        <v>تکنیک ها و نکاتی را برای دستیابی به رشد عالی در نان مخمری بدون گلوتن بررسی کنید.</v>
      </c>
      <c r="H3326" s="1"/>
      <c r="I3326" s="1"/>
      <c r="J3326" s="1"/>
      <c r="K3326" s="1"/>
      <c r="L3326" s="1"/>
      <c r="M3326" s="1"/>
      <c r="N3326" s="1"/>
      <c r="O3326" s="1"/>
      <c r="P3326" s="1"/>
      <c r="Q3326" s="1"/>
      <c r="R3326" s="1"/>
      <c r="S3326" s="1"/>
      <c r="T3326" s="1"/>
      <c r="U3326" s="1"/>
      <c r="V3326" s="1"/>
      <c r="W3326" s="1"/>
      <c r="X3326" s="1"/>
      <c r="Y3326" s="1"/>
      <c r="Z3326" s="1"/>
      <c r="AA3326" s="1"/>
      <c r="AB3326" s="1"/>
    </row>
    <row r="3327" ht="50.25" customHeight="1">
      <c r="A3327" s="12">
        <v>3323.0</v>
      </c>
      <c r="B3327" s="13" t="s">
        <v>3126</v>
      </c>
      <c r="C3327" s="14" t="s">
        <v>3343</v>
      </c>
      <c r="D3327" s="1"/>
      <c r="E3327" s="1"/>
      <c r="F3327" s="1" t="str">
        <f>IFERROR(__xludf.DUMMYFUNCTION("GOOGLETRANSLATE(B3327, ""en"", ""fa"")
"),"آشپزی")</f>
        <v>آشپزی</v>
      </c>
      <c r="G3327" s="1" t="str">
        <f>IFERROR(__xludf.DUMMYFUNCTION("GOOGLETRANSLATE(C3327, ""en"", ""fa"")
"),"در مورد مزایای آشپزی با انواع میوه ها و سبزیجات و حفظ تنوع زیستی بحث کنید.")</f>
        <v>در مورد مزایای آشپزی با انواع میوه ها و سبزیجات و حفظ تنوع زیستی بحث کنید.</v>
      </c>
      <c r="H3327" s="1"/>
      <c r="I3327" s="1"/>
      <c r="J3327" s="1"/>
      <c r="K3327" s="1"/>
      <c r="L3327" s="1"/>
      <c r="M3327" s="1"/>
      <c r="N3327" s="1"/>
      <c r="O3327" s="1"/>
      <c r="P3327" s="1"/>
      <c r="Q3327" s="1"/>
      <c r="R3327" s="1"/>
      <c r="S3327" s="1"/>
      <c r="T3327" s="1"/>
      <c r="U3327" s="1"/>
      <c r="V3327" s="1"/>
      <c r="W3327" s="1"/>
      <c r="X3327" s="1"/>
      <c r="Y3327" s="1"/>
      <c r="Z3327" s="1"/>
      <c r="AA3327" s="1"/>
      <c r="AB3327" s="1"/>
    </row>
    <row r="3328" ht="50.25" customHeight="1">
      <c r="A3328" s="12">
        <v>3324.0</v>
      </c>
      <c r="B3328" s="13" t="s">
        <v>3126</v>
      </c>
      <c r="C3328" s="14" t="s">
        <v>3344</v>
      </c>
      <c r="D3328" s="1"/>
      <c r="E3328" s="1"/>
      <c r="F3328" s="1" t="str">
        <f>IFERROR(__xludf.DUMMYFUNCTION("GOOGLETRANSLATE(B3328, ""en"", ""fa"")
"),"آشپزی")</f>
        <v>آشپزی</v>
      </c>
      <c r="G3328" s="1" t="str">
        <f>IFERROR(__xludf.DUMMYFUNCTION("GOOGLETRANSLATE(C3328, ""en"", ""fa"")
"),"نکات خود را برای ایجاد تارت ها و گالت های میوه ای بصری خیره کننده و خوشمزه به اشتراک بگذارید.")</f>
        <v>نکات خود را برای ایجاد تارت ها و گالت های میوه ای بصری خیره کننده و خوشمزه به اشتراک بگذارید.</v>
      </c>
      <c r="H3328" s="1"/>
      <c r="I3328" s="1"/>
      <c r="J3328" s="1"/>
      <c r="K3328" s="1"/>
      <c r="L3328" s="1"/>
      <c r="M3328" s="1"/>
      <c r="N3328" s="1"/>
      <c r="O3328" s="1"/>
      <c r="P3328" s="1"/>
      <c r="Q3328" s="1"/>
      <c r="R3328" s="1"/>
      <c r="S3328" s="1"/>
      <c r="T3328" s="1"/>
      <c r="U3328" s="1"/>
      <c r="V3328" s="1"/>
      <c r="W3328" s="1"/>
      <c r="X3328" s="1"/>
      <c r="Y3328" s="1"/>
      <c r="Z3328" s="1"/>
      <c r="AA3328" s="1"/>
      <c r="AB3328" s="1"/>
    </row>
    <row r="3329" ht="50.25" customHeight="1">
      <c r="A3329" s="12">
        <v>3325.0</v>
      </c>
      <c r="B3329" s="13" t="s">
        <v>3126</v>
      </c>
      <c r="C3329" s="14" t="s">
        <v>3345</v>
      </c>
      <c r="D3329" s="1"/>
      <c r="E3329" s="1"/>
      <c r="F3329" s="1" t="str">
        <f>IFERROR(__xludf.DUMMYFUNCTION("GOOGLETRANSLATE(B3329, ""en"", ""fa"")
"),"آشپزی")</f>
        <v>آشپزی</v>
      </c>
      <c r="G3329" s="1" t="str">
        <f>IFERROR(__xludf.DUMMYFUNCTION("GOOGLETRANSLATE(C3329, ""en"", ""fa"")
"),"تکنیک ها و نکاتی را برای دستیابی به سطح نرمی ایده آل در غذاهای گوشتی آهسته پز کاوش کنید.")</f>
        <v>تکنیک ها و نکاتی را برای دستیابی به سطح نرمی ایده آل در غذاهای گوشتی آهسته پز کاوش کنید.</v>
      </c>
      <c r="H3329" s="1"/>
      <c r="I3329" s="1"/>
      <c r="J3329" s="1"/>
      <c r="K3329" s="1"/>
      <c r="L3329" s="1"/>
      <c r="M3329" s="1"/>
      <c r="N3329" s="1"/>
      <c r="O3329" s="1"/>
      <c r="P3329" s="1"/>
      <c r="Q3329" s="1"/>
      <c r="R3329" s="1"/>
      <c r="S3329" s="1"/>
      <c r="T3329" s="1"/>
      <c r="U3329" s="1"/>
      <c r="V3329" s="1"/>
      <c r="W3329" s="1"/>
      <c r="X3329" s="1"/>
      <c r="Y3329" s="1"/>
      <c r="Z3329" s="1"/>
      <c r="AA3329" s="1"/>
      <c r="AB3329" s="1"/>
    </row>
    <row r="3330" ht="50.25" customHeight="1">
      <c r="A3330" s="12">
        <v>3326.0</v>
      </c>
      <c r="B3330" s="13" t="s">
        <v>3126</v>
      </c>
      <c r="C3330" s="14" t="s">
        <v>3346</v>
      </c>
      <c r="D3330" s="1"/>
      <c r="E3330" s="1"/>
      <c r="F3330" s="1" t="str">
        <f>IFERROR(__xludf.DUMMYFUNCTION("GOOGLETRANSLATE(B3330, ""en"", ""fa"")
"),"آشپزی")</f>
        <v>آشپزی</v>
      </c>
      <c r="G3330" s="1" t="str">
        <f>IFERROR(__xludf.DUMMYFUNCTION("GOOGLETRANSLATE(C3330, ""en"", ""fa"")
"),"در مورد تأثیرات فرهنگی بر غذاهای مراکشی و ترکیبات ادویه های معطر آن بحث کنید.")</f>
        <v>در مورد تأثیرات فرهنگی بر غذاهای مراکشی و ترکیبات ادویه های معطر آن بحث کنید.</v>
      </c>
      <c r="H3330" s="1"/>
      <c r="I3330" s="1"/>
      <c r="J3330" s="1"/>
      <c r="K3330" s="1"/>
      <c r="L3330" s="1"/>
      <c r="M3330" s="1"/>
      <c r="N3330" s="1"/>
      <c r="O3330" s="1"/>
      <c r="P3330" s="1"/>
      <c r="Q3330" s="1"/>
      <c r="R3330" s="1"/>
      <c r="S3330" s="1"/>
      <c r="T3330" s="1"/>
      <c r="U3330" s="1"/>
      <c r="V3330" s="1"/>
      <c r="W3330" s="1"/>
      <c r="X3330" s="1"/>
      <c r="Y3330" s="1"/>
      <c r="Z3330" s="1"/>
      <c r="AA3330" s="1"/>
      <c r="AB3330" s="1"/>
    </row>
    <row r="3331" ht="50.25" customHeight="1">
      <c r="A3331" s="12">
        <v>3327.0</v>
      </c>
      <c r="B3331" s="13" t="s">
        <v>3126</v>
      </c>
      <c r="C3331" s="14" t="s">
        <v>3347</v>
      </c>
      <c r="D3331" s="1"/>
      <c r="E3331" s="1"/>
      <c r="F3331" s="1" t="str">
        <f>IFERROR(__xludf.DUMMYFUNCTION("GOOGLETRANSLATE(B3331, ""en"", ""fa"")
"),"آشپزی")</f>
        <v>آشپزی</v>
      </c>
      <c r="G3331" s="1" t="str">
        <f>IFERROR(__xludf.DUMMYFUNCTION("GOOGLETRANSLATE(C3331, ""en"", ""fa"")
"),"دستور العمل های مورد علاقه خود را برای عرقیات و مشروبات الکلی خانگی به اشتراک بگذارید.")</f>
        <v>دستور العمل های مورد علاقه خود را برای عرقیات و مشروبات الکلی خانگی به اشتراک بگذارید.</v>
      </c>
      <c r="H3331" s="1"/>
      <c r="I3331" s="1"/>
      <c r="J3331" s="1"/>
      <c r="K3331" s="1"/>
      <c r="L3331" s="1"/>
      <c r="M3331" s="1"/>
      <c r="N3331" s="1"/>
      <c r="O3331" s="1"/>
      <c r="P3331" s="1"/>
      <c r="Q3331" s="1"/>
      <c r="R3331" s="1"/>
      <c r="S3331" s="1"/>
      <c r="T3331" s="1"/>
      <c r="U3331" s="1"/>
      <c r="V3331" s="1"/>
      <c r="W3331" s="1"/>
      <c r="X3331" s="1"/>
      <c r="Y3331" s="1"/>
      <c r="Z3331" s="1"/>
      <c r="AA3331" s="1"/>
      <c r="AB3331" s="1"/>
    </row>
    <row r="3332" ht="50.25" customHeight="1">
      <c r="A3332" s="12">
        <v>3328.0</v>
      </c>
      <c r="B3332" s="13" t="s">
        <v>3126</v>
      </c>
      <c r="C3332" s="14" t="s">
        <v>3348</v>
      </c>
      <c r="D3332" s="1"/>
      <c r="E3332" s="1"/>
      <c r="F3332" s="1" t="str">
        <f>IFERROR(__xludf.DUMMYFUNCTION("GOOGLETRANSLATE(B3332, ""en"", ""fa"")
"),"آشپزی")</f>
        <v>آشپزی</v>
      </c>
      <c r="G3332" s="1" t="str">
        <f>IFERROR(__xludf.DUMMYFUNCTION("GOOGLETRANSLATE(C3332, ""en"", ""fa"")
"),"تکنیک ها و نکاتی را برای دستیابی به بافت کامل در پوسته پای بدون گلوتن بررسی کنید.")</f>
        <v>تکنیک ها و نکاتی را برای دستیابی به بافت کامل در پوسته پای بدون گلوتن بررسی کنید.</v>
      </c>
      <c r="H3332" s="1"/>
      <c r="I3332" s="1"/>
      <c r="J3332" s="1"/>
      <c r="K3332" s="1"/>
      <c r="L3332" s="1"/>
      <c r="M3332" s="1"/>
      <c r="N3332" s="1"/>
      <c r="O3332" s="1"/>
      <c r="P3332" s="1"/>
      <c r="Q3332" s="1"/>
      <c r="R3332" s="1"/>
      <c r="S3332" s="1"/>
      <c r="T3332" s="1"/>
      <c r="U3332" s="1"/>
      <c r="V3332" s="1"/>
      <c r="W3332" s="1"/>
      <c r="X3332" s="1"/>
      <c r="Y3332" s="1"/>
      <c r="Z3332" s="1"/>
      <c r="AA3332" s="1"/>
      <c r="AB3332" s="1"/>
    </row>
    <row r="3333" ht="50.25" customHeight="1">
      <c r="A3333" s="12">
        <v>3329.0</v>
      </c>
      <c r="B3333" s="13" t="s">
        <v>3126</v>
      </c>
      <c r="C3333" s="14" t="s">
        <v>3349</v>
      </c>
      <c r="D3333" s="1"/>
      <c r="E3333" s="1"/>
      <c r="F3333" s="1" t="str">
        <f>IFERROR(__xludf.DUMMYFUNCTION("GOOGLETRANSLATE(B3333, ""en"", ""fa"")
"),"آشپزی")</f>
        <v>آشپزی</v>
      </c>
      <c r="G3333" s="1" t="str">
        <f>IFERROR(__xludf.DUMMYFUNCTION("GOOGLETRANSLATE(C3333, ""en"", ""fa"")
"),"در مورد فواید سلامتی استفاده از آجیل و دانه های بیشتر در آشپزی خود، مانند بادام یا دانه چیا صحبت کنید.")</f>
        <v>در مورد فواید سلامتی استفاده از آجیل و دانه های بیشتر در آشپزی خود، مانند بادام یا دانه چیا صحبت کنید.</v>
      </c>
      <c r="H3333" s="1"/>
      <c r="I3333" s="1"/>
      <c r="J3333" s="1"/>
      <c r="K3333" s="1"/>
      <c r="L3333" s="1"/>
      <c r="M3333" s="1"/>
      <c r="N3333" s="1"/>
      <c r="O3333" s="1"/>
      <c r="P3333" s="1"/>
      <c r="Q3333" s="1"/>
      <c r="R3333" s="1"/>
      <c r="S3333" s="1"/>
      <c r="T3333" s="1"/>
      <c r="U3333" s="1"/>
      <c r="V3333" s="1"/>
      <c r="W3333" s="1"/>
      <c r="X3333" s="1"/>
      <c r="Y3333" s="1"/>
      <c r="Z3333" s="1"/>
      <c r="AA3333" s="1"/>
      <c r="AB3333" s="1"/>
    </row>
    <row r="3334" ht="50.25" customHeight="1">
      <c r="A3334" s="12">
        <v>3330.0</v>
      </c>
      <c r="B3334" s="13" t="s">
        <v>3126</v>
      </c>
      <c r="C3334" s="14" t="s">
        <v>3350</v>
      </c>
      <c r="D3334" s="1"/>
      <c r="E3334" s="1"/>
      <c r="F3334" s="1" t="str">
        <f>IFERROR(__xludf.DUMMYFUNCTION("GOOGLETRANSLATE(B3334, ""en"", ""fa"")
"),"آشپزی")</f>
        <v>آشپزی</v>
      </c>
      <c r="G3334" s="1" t="str">
        <f>IFERROR(__xludf.DUMMYFUNCTION("GOOGLETRANSLATE(C3334, ""en"", ""fa"")
"),"نکات خود را برای ایجاد کاسه های غلات خوش طعم و سالم با انواع مواد تشکیل دهنده و رویه ها به اشتراک بگذارید.")</f>
        <v>نکات خود را برای ایجاد کاسه های غلات خوش طعم و سالم با انواع مواد تشکیل دهنده و رویه ها به اشتراک بگذارید.</v>
      </c>
      <c r="H3334" s="1"/>
      <c r="I3334" s="1"/>
      <c r="J3334" s="1"/>
      <c r="K3334" s="1"/>
      <c r="L3334" s="1"/>
      <c r="M3334" s="1"/>
      <c r="N3334" s="1"/>
      <c r="O3334" s="1"/>
      <c r="P3334" s="1"/>
      <c r="Q3334" s="1"/>
      <c r="R3334" s="1"/>
      <c r="S3334" s="1"/>
      <c r="T3334" s="1"/>
      <c r="U3334" s="1"/>
      <c r="V3334" s="1"/>
      <c r="W3334" s="1"/>
      <c r="X3334" s="1"/>
      <c r="Y3334" s="1"/>
      <c r="Z3334" s="1"/>
      <c r="AA3334" s="1"/>
      <c r="AB3334" s="1"/>
    </row>
    <row r="3335" ht="50.25" customHeight="1">
      <c r="A3335" s="12">
        <v>3331.0</v>
      </c>
      <c r="B3335" s="13" t="s">
        <v>3126</v>
      </c>
      <c r="C3335" s="14" t="s">
        <v>3351</v>
      </c>
      <c r="D3335" s="1"/>
      <c r="E3335" s="1"/>
      <c r="F3335" s="1" t="str">
        <f>IFERROR(__xludf.DUMMYFUNCTION("GOOGLETRANSLATE(B3335, ""en"", ""fa"")
"),"آشپزی")</f>
        <v>آشپزی</v>
      </c>
      <c r="G3335" s="1" t="str">
        <f>IFERROR(__xludf.DUMMYFUNCTION("GOOGLETRANSLATE(C3335, ""en"", ""fa"")
"),"تکنیک ها و نکاتی را برای دستیابی به سطح ایده آل گرما در غذاهای تند بررسی کنید.")</f>
        <v>تکنیک ها و نکاتی را برای دستیابی به سطح ایده آل گرما در غذاهای تند بررسی کنید.</v>
      </c>
      <c r="H3335" s="1"/>
      <c r="I3335" s="1"/>
      <c r="J3335" s="1"/>
      <c r="K3335" s="1"/>
      <c r="L3335" s="1"/>
      <c r="M3335" s="1"/>
      <c r="N3335" s="1"/>
      <c r="O3335" s="1"/>
      <c r="P3335" s="1"/>
      <c r="Q3335" s="1"/>
      <c r="R3335" s="1"/>
      <c r="S3335" s="1"/>
      <c r="T3335" s="1"/>
      <c r="U3335" s="1"/>
      <c r="V3335" s="1"/>
      <c r="W3335" s="1"/>
      <c r="X3335" s="1"/>
      <c r="Y3335" s="1"/>
      <c r="Z3335" s="1"/>
      <c r="AA3335" s="1"/>
      <c r="AB3335" s="1"/>
    </row>
    <row r="3336" ht="50.25" customHeight="1">
      <c r="A3336" s="12">
        <v>3332.0</v>
      </c>
      <c r="B3336" s="13" t="s">
        <v>3126</v>
      </c>
      <c r="C3336" s="14" t="s">
        <v>3352</v>
      </c>
      <c r="D3336" s="1"/>
      <c r="E3336" s="1"/>
      <c r="F3336" s="1" t="str">
        <f>IFERROR(__xludf.DUMMYFUNCTION("GOOGLETRANSLATE(B3336, ""en"", ""fa"")
"),"آشپزی")</f>
        <v>آشپزی</v>
      </c>
      <c r="G3336" s="1" t="str">
        <f>IFERROR(__xludf.DUMMYFUNCTION("GOOGLETRANSLATE(C3336, ""en"", ""fa"")
"),"در مورد مزایای آشپزی با غذاهای دریایی تازه و فصلی و پایداری آن بحث کنید.")</f>
        <v>در مورد مزایای آشپزی با غذاهای دریایی تازه و فصلی و پایداری آن بحث کنید.</v>
      </c>
      <c r="H3336" s="1"/>
      <c r="I3336" s="1"/>
      <c r="J3336" s="1"/>
      <c r="K3336" s="1"/>
      <c r="L3336" s="1"/>
      <c r="M3336" s="1"/>
      <c r="N3336" s="1"/>
      <c r="O3336" s="1"/>
      <c r="P3336" s="1"/>
      <c r="Q3336" s="1"/>
      <c r="R3336" s="1"/>
      <c r="S3336" s="1"/>
      <c r="T3336" s="1"/>
      <c r="U3336" s="1"/>
      <c r="V3336" s="1"/>
      <c r="W3336" s="1"/>
      <c r="X3336" s="1"/>
      <c r="Y3336" s="1"/>
      <c r="Z3336" s="1"/>
      <c r="AA3336" s="1"/>
      <c r="AB3336" s="1"/>
    </row>
    <row r="3337" ht="50.25" customHeight="1">
      <c r="A3337" s="12">
        <v>3333.0</v>
      </c>
      <c r="B3337" s="13" t="s">
        <v>3126</v>
      </c>
      <c r="C3337" s="14" t="s">
        <v>3353</v>
      </c>
      <c r="D3337" s="1"/>
      <c r="E3337" s="1"/>
      <c r="F3337" s="1" t="str">
        <f>IFERROR(__xludf.DUMMYFUNCTION("GOOGLETRANSLATE(B3337, ""en"", ""fa"")
"),"آشپزی")</f>
        <v>آشپزی</v>
      </c>
      <c r="G3337" s="1" t="str">
        <f>IFERROR(__xludf.DUMMYFUNCTION("GOOGLETRANSLATE(C3337, ""en"", ""fa"")
"),"دستور العمل های مورد علاقه خود را برای سوپ سبزیجات خانگی و خورش های دلپذیر به اشتراک بگذارید.")</f>
        <v>دستور العمل های مورد علاقه خود را برای سوپ سبزیجات خانگی و خورش های دلپذیر به اشتراک بگذارید.</v>
      </c>
      <c r="H3337" s="1"/>
      <c r="I3337" s="1"/>
      <c r="J3337" s="1"/>
      <c r="K3337" s="1"/>
      <c r="L3337" s="1"/>
      <c r="M3337" s="1"/>
      <c r="N3337" s="1"/>
      <c r="O3337" s="1"/>
      <c r="P3337" s="1"/>
      <c r="Q3337" s="1"/>
      <c r="R3337" s="1"/>
      <c r="S3337" s="1"/>
      <c r="T3337" s="1"/>
      <c r="U3337" s="1"/>
      <c r="V3337" s="1"/>
      <c r="W3337" s="1"/>
      <c r="X3337" s="1"/>
      <c r="Y3337" s="1"/>
      <c r="Z3337" s="1"/>
      <c r="AA3337" s="1"/>
      <c r="AB3337" s="1"/>
    </row>
    <row r="3338" ht="50.25" customHeight="1">
      <c r="A3338" s="12">
        <v>3334.0</v>
      </c>
      <c r="B3338" s="13" t="s">
        <v>3126</v>
      </c>
      <c r="C3338" s="14" t="s">
        <v>3354</v>
      </c>
      <c r="D3338" s="1"/>
      <c r="E3338" s="1"/>
      <c r="F3338" s="1" t="str">
        <f>IFERROR(__xludf.DUMMYFUNCTION("GOOGLETRANSLATE(B3338, ""en"", ""fa"")
"),"آشپزی")</f>
        <v>آشپزی</v>
      </c>
      <c r="G3338" s="1" t="str">
        <f>IFERROR(__xludf.DUMMYFUNCTION("GOOGLETRANSLATE(C3338, ""en"", ""fa"")
"),"تکنیک ها و نکاتی را برای دستیابی به بافت کامل در کوکی ها و بارهای بدون گلوتن بررسی کنید.")</f>
        <v>تکنیک ها و نکاتی را برای دستیابی به بافت کامل در کوکی ها و بارهای بدون گلوتن بررسی کنید.</v>
      </c>
      <c r="H3338" s="1"/>
      <c r="I3338" s="1"/>
      <c r="J3338" s="1"/>
      <c r="K3338" s="1"/>
      <c r="L3338" s="1"/>
      <c r="M3338" s="1"/>
      <c r="N3338" s="1"/>
      <c r="O3338" s="1"/>
      <c r="P3338" s="1"/>
      <c r="Q3338" s="1"/>
      <c r="R3338" s="1"/>
      <c r="S3338" s="1"/>
      <c r="T3338" s="1"/>
      <c r="U3338" s="1"/>
      <c r="V3338" s="1"/>
      <c r="W3338" s="1"/>
      <c r="X3338" s="1"/>
      <c r="Y3338" s="1"/>
      <c r="Z3338" s="1"/>
      <c r="AA3338" s="1"/>
      <c r="AB3338" s="1"/>
    </row>
    <row r="3339" ht="50.25" customHeight="1">
      <c r="A3339" s="12">
        <v>3335.0</v>
      </c>
      <c r="B3339" s="13" t="s">
        <v>3126</v>
      </c>
      <c r="C3339" s="14" t="s">
        <v>3355</v>
      </c>
      <c r="D3339" s="1"/>
      <c r="E3339" s="1"/>
      <c r="F3339" s="1" t="str">
        <f>IFERROR(__xludf.DUMMYFUNCTION("GOOGLETRANSLATE(B3339, ""en"", ""fa"")
"),"آشپزی")</f>
        <v>آشپزی</v>
      </c>
      <c r="G3339" s="1" t="str">
        <f>IFERROR(__xludf.DUMMYFUNCTION("GOOGLETRANSLATE(C3339, ""en"", ""fa"")
"),"در مورد تأثیرات فرهنگی بر غذاهای لبنانی و طعم های معطر آن بحث کنید.")</f>
        <v>در مورد تأثیرات فرهنگی بر غذاهای لبنانی و طعم های معطر آن بحث کنید.</v>
      </c>
      <c r="H3339" s="1"/>
      <c r="I3339" s="1"/>
      <c r="J3339" s="1"/>
      <c r="K3339" s="1"/>
      <c r="L3339" s="1"/>
      <c r="M3339" s="1"/>
      <c r="N3339" s="1"/>
      <c r="O3339" s="1"/>
      <c r="P3339" s="1"/>
      <c r="Q3339" s="1"/>
      <c r="R3339" s="1"/>
      <c r="S3339" s="1"/>
      <c r="T3339" s="1"/>
      <c r="U3339" s="1"/>
      <c r="V3339" s="1"/>
      <c r="W3339" s="1"/>
      <c r="X3339" s="1"/>
      <c r="Y3339" s="1"/>
      <c r="Z3339" s="1"/>
      <c r="AA3339" s="1"/>
      <c r="AB3339" s="1"/>
    </row>
    <row r="3340" ht="50.25" customHeight="1">
      <c r="A3340" s="12">
        <v>3336.0</v>
      </c>
      <c r="B3340" s="13" t="s">
        <v>3126</v>
      </c>
      <c r="C3340" s="14" t="s">
        <v>3356</v>
      </c>
      <c r="D3340" s="1"/>
      <c r="E3340" s="1"/>
      <c r="F3340" s="1" t="str">
        <f>IFERROR(__xludf.DUMMYFUNCTION("GOOGLETRANSLATE(B3340, ""en"", ""fa"")
"),"آشپزی")</f>
        <v>آشپزی</v>
      </c>
      <c r="G3340" s="1" t="str">
        <f>IFERROR(__xludf.DUMMYFUNCTION("GOOGLETRANSLATE(C3340, ""en"", ""fa"")
"),"نکات خود را برای ایجاد آب های دم کرده خانگی و نوشیدنی های تابستانی با طراوت به اشتراک بگذارید.")</f>
        <v>نکات خود را برای ایجاد آب های دم کرده خانگی و نوشیدنی های تابستانی با طراوت به اشتراک بگذارید.</v>
      </c>
      <c r="H3340" s="1"/>
      <c r="I3340" s="1"/>
      <c r="J3340" s="1"/>
      <c r="K3340" s="1"/>
      <c r="L3340" s="1"/>
      <c r="M3340" s="1"/>
      <c r="N3340" s="1"/>
      <c r="O3340" s="1"/>
      <c r="P3340" s="1"/>
      <c r="Q3340" s="1"/>
      <c r="R3340" s="1"/>
      <c r="S3340" s="1"/>
      <c r="T3340" s="1"/>
      <c r="U3340" s="1"/>
      <c r="V3340" s="1"/>
      <c r="W3340" s="1"/>
      <c r="X3340" s="1"/>
      <c r="Y3340" s="1"/>
      <c r="Z3340" s="1"/>
      <c r="AA3340" s="1"/>
      <c r="AB3340" s="1"/>
    </row>
    <row r="3341" ht="50.25" customHeight="1">
      <c r="A3341" s="12">
        <v>3337.0</v>
      </c>
      <c r="B3341" s="13" t="s">
        <v>3126</v>
      </c>
      <c r="C3341" s="14" t="s">
        <v>3357</v>
      </c>
      <c r="D3341" s="1"/>
      <c r="E3341" s="1"/>
      <c r="F3341" s="1" t="str">
        <f>IFERROR(__xludf.DUMMYFUNCTION("GOOGLETRANSLATE(B3341, ""en"", ""fa"")
"),"آشپزی")</f>
        <v>آشپزی</v>
      </c>
      <c r="G3341" s="1" t="str">
        <f>IFERROR(__xludf.DUMMYFUNCTION("GOOGLETRANSLATE(C3341, ""en"", ""fa"")
"),"تکنیک ها و نکاتی را برای دستیابی به سطح ایده آل خامه ای در پوره سیب زمینی بدون لبنیات بررسی کنید.")</f>
        <v>تکنیک ها و نکاتی را برای دستیابی به سطح ایده آل خامه ای در پوره سیب زمینی بدون لبنیات بررسی کنید.</v>
      </c>
      <c r="H3341" s="1"/>
      <c r="I3341" s="1"/>
      <c r="J3341" s="1"/>
      <c r="K3341" s="1"/>
      <c r="L3341" s="1"/>
      <c r="M3341" s="1"/>
      <c r="N3341" s="1"/>
      <c r="O3341" s="1"/>
      <c r="P3341" s="1"/>
      <c r="Q3341" s="1"/>
      <c r="R3341" s="1"/>
      <c r="S3341" s="1"/>
      <c r="T3341" s="1"/>
      <c r="U3341" s="1"/>
      <c r="V3341" s="1"/>
      <c r="W3341" s="1"/>
      <c r="X3341" s="1"/>
      <c r="Y3341" s="1"/>
      <c r="Z3341" s="1"/>
      <c r="AA3341" s="1"/>
      <c r="AB3341" s="1"/>
    </row>
    <row r="3342" ht="50.25" customHeight="1">
      <c r="A3342" s="12">
        <v>3338.0</v>
      </c>
      <c r="B3342" s="13" t="s">
        <v>3126</v>
      </c>
      <c r="C3342" s="14" t="s">
        <v>3358</v>
      </c>
      <c r="D3342" s="1"/>
      <c r="E3342" s="1"/>
      <c r="F3342" s="1" t="str">
        <f>IFERROR(__xludf.DUMMYFUNCTION("GOOGLETRANSLATE(B3342, ""en"", ""fa"")
"),"آشپزی")</f>
        <v>آشپزی</v>
      </c>
      <c r="G3342" s="1" t="str">
        <f>IFERROR(__xludf.DUMMYFUNCTION("GOOGLETRANSLATE(C3342, ""en"", ""fa"")
"),"در مورد مزایای سلامتی آشپزی با میوه ها و سبزیجات رنگارنگ و مشخصات مواد مغذی آنها بحث کنید.")</f>
        <v>در مورد مزایای سلامتی آشپزی با میوه ها و سبزیجات رنگارنگ و مشخصات مواد مغذی آنها بحث کنید.</v>
      </c>
      <c r="H3342" s="1"/>
      <c r="I3342" s="1"/>
      <c r="J3342" s="1"/>
      <c r="K3342" s="1"/>
      <c r="L3342" s="1"/>
      <c r="M3342" s="1"/>
      <c r="N3342" s="1"/>
      <c r="O3342" s="1"/>
      <c r="P3342" s="1"/>
      <c r="Q3342" s="1"/>
      <c r="R3342" s="1"/>
      <c r="S3342" s="1"/>
      <c r="T3342" s="1"/>
      <c r="U3342" s="1"/>
      <c r="V3342" s="1"/>
      <c r="W3342" s="1"/>
      <c r="X3342" s="1"/>
      <c r="Y3342" s="1"/>
      <c r="Z3342" s="1"/>
      <c r="AA3342" s="1"/>
      <c r="AB3342" s="1"/>
    </row>
    <row r="3343" ht="50.25" customHeight="1">
      <c r="A3343" s="12">
        <v>3339.0</v>
      </c>
      <c r="B3343" s="13" t="s">
        <v>3126</v>
      </c>
      <c r="C3343" s="14" t="s">
        <v>3359</v>
      </c>
      <c r="D3343" s="1"/>
      <c r="E3343" s="1"/>
      <c r="F3343" s="1" t="str">
        <f>IFERROR(__xludf.DUMMYFUNCTION("GOOGLETRANSLATE(B3343, ""en"", ""fa"")
"),"آشپزی")</f>
        <v>آشپزی</v>
      </c>
      <c r="G3343" s="1" t="str">
        <f>IFERROR(__xludf.DUMMYFUNCTION("GOOGLETRANSLATE(C3343, ""en"", ""fa"")
"),"دستور العمل های مورد علاقه خود را برای مخلوط پاپ کورن طعم دار خانگی و میان وعده به اشتراک بگذارید.")</f>
        <v>دستور العمل های مورد علاقه خود را برای مخلوط پاپ کورن طعم دار خانگی و میان وعده به اشتراک بگذارید.</v>
      </c>
      <c r="H3343" s="1"/>
      <c r="I3343" s="1"/>
      <c r="J3343" s="1"/>
      <c r="K3343" s="1"/>
      <c r="L3343" s="1"/>
      <c r="M3343" s="1"/>
      <c r="N3343" s="1"/>
      <c r="O3343" s="1"/>
      <c r="P3343" s="1"/>
      <c r="Q3343" s="1"/>
      <c r="R3343" s="1"/>
      <c r="S3343" s="1"/>
      <c r="T3343" s="1"/>
      <c r="U3343" s="1"/>
      <c r="V3343" s="1"/>
      <c r="W3343" s="1"/>
      <c r="X3343" s="1"/>
      <c r="Y3343" s="1"/>
      <c r="Z3343" s="1"/>
      <c r="AA3343" s="1"/>
      <c r="AB3343" s="1"/>
    </row>
    <row r="3344" ht="50.25" customHeight="1">
      <c r="A3344" s="12">
        <v>3340.0</v>
      </c>
      <c r="B3344" s="13" t="s">
        <v>3126</v>
      </c>
      <c r="C3344" s="14" t="s">
        <v>3360</v>
      </c>
      <c r="D3344" s="1"/>
      <c r="E3344" s="1"/>
      <c r="F3344" s="1" t="str">
        <f>IFERROR(__xludf.DUMMYFUNCTION("GOOGLETRANSLATE(B3344, ""en"", ""fa"")
"),"آشپزی")</f>
        <v>آشپزی</v>
      </c>
      <c r="G3344" s="1" t="str">
        <f>IFERROR(__xludf.DUMMYFUNCTION("GOOGLETRANSLATE(C3344, ""en"", ""fa"")
"),"تکنیک ها و نکاتی را برای دستیابی به تعادل کامل طعم ها در غذاهای چینی بررسی کنید.")</f>
        <v>تکنیک ها و نکاتی را برای دستیابی به تعادل کامل طعم ها در غذاهای چینی بررسی کنید.</v>
      </c>
      <c r="H3344" s="1"/>
      <c r="I3344" s="1"/>
      <c r="J3344" s="1"/>
      <c r="K3344" s="1"/>
      <c r="L3344" s="1"/>
      <c r="M3344" s="1"/>
      <c r="N3344" s="1"/>
      <c r="O3344" s="1"/>
      <c r="P3344" s="1"/>
      <c r="Q3344" s="1"/>
      <c r="R3344" s="1"/>
      <c r="S3344" s="1"/>
      <c r="T3344" s="1"/>
      <c r="U3344" s="1"/>
      <c r="V3344" s="1"/>
      <c r="W3344" s="1"/>
      <c r="X3344" s="1"/>
      <c r="Y3344" s="1"/>
      <c r="Z3344" s="1"/>
      <c r="AA3344" s="1"/>
      <c r="AB3344" s="1"/>
    </row>
    <row r="3345" ht="50.25" customHeight="1">
      <c r="A3345" s="12">
        <v>3341.0</v>
      </c>
      <c r="B3345" s="13" t="s">
        <v>3126</v>
      </c>
      <c r="C3345" s="14" t="s">
        <v>3361</v>
      </c>
      <c r="D3345" s="1"/>
      <c r="E3345" s="1"/>
      <c r="F3345" s="1" t="str">
        <f>IFERROR(__xludf.DUMMYFUNCTION("GOOGLETRANSLATE(B3345, ""en"", ""fa"")
"),"آشپزی")</f>
        <v>آشپزی</v>
      </c>
      <c r="G3345" s="1" t="str">
        <f>IFERROR(__xludf.DUMMYFUNCTION("GOOGLETRANSLATE(C3345, ""en"", ""fa"")
"),"در مورد فواید پخت و پز با غلات باستانی مانند کینوا یا آمارانت و ارزش غذایی آنها صحبت کنید.")</f>
        <v>در مورد فواید پخت و پز با غلات باستانی مانند کینوا یا آمارانت و ارزش غذایی آنها صحبت کنید.</v>
      </c>
      <c r="H3345" s="1"/>
      <c r="I3345" s="1"/>
      <c r="J3345" s="1"/>
      <c r="K3345" s="1"/>
      <c r="L3345" s="1"/>
      <c r="M3345" s="1"/>
      <c r="N3345" s="1"/>
      <c r="O3345" s="1"/>
      <c r="P3345" s="1"/>
      <c r="Q3345" s="1"/>
      <c r="R3345" s="1"/>
      <c r="S3345" s="1"/>
      <c r="T3345" s="1"/>
      <c r="U3345" s="1"/>
      <c r="V3345" s="1"/>
      <c r="W3345" s="1"/>
      <c r="X3345" s="1"/>
      <c r="Y3345" s="1"/>
      <c r="Z3345" s="1"/>
      <c r="AA3345" s="1"/>
      <c r="AB3345" s="1"/>
    </row>
    <row r="3346" ht="50.25" customHeight="1">
      <c r="A3346" s="12">
        <v>3342.0</v>
      </c>
      <c r="B3346" s="13" t="s">
        <v>3126</v>
      </c>
      <c r="C3346" s="14" t="s">
        <v>3362</v>
      </c>
      <c r="D3346" s="1"/>
      <c r="E3346" s="1"/>
      <c r="F3346" s="1" t="str">
        <f>IFERROR(__xludf.DUMMYFUNCTION("GOOGLETRANSLATE(B3346, ""en"", ""fa"")
"),"آشپزی")</f>
        <v>آشپزی</v>
      </c>
      <c r="G3346" s="1" t="str">
        <f>IFERROR(__xludf.DUMMYFUNCTION("GOOGLETRANSLATE(C3346, ""en"", ""fa"")
"),"نکات خود را برای ایجاد کاسه های اسموتی خوشمزه و مغذی با تاپینگ های خلاقانه به اشتراک بگذارید.")</f>
        <v>نکات خود را برای ایجاد کاسه های اسموتی خوشمزه و مغذی با تاپینگ های خلاقانه به اشتراک بگذارید.</v>
      </c>
      <c r="H3346" s="1"/>
      <c r="I3346" s="1"/>
      <c r="J3346" s="1"/>
      <c r="K3346" s="1"/>
      <c r="L3346" s="1"/>
      <c r="M3346" s="1"/>
      <c r="N3346" s="1"/>
      <c r="O3346" s="1"/>
      <c r="P3346" s="1"/>
      <c r="Q3346" s="1"/>
      <c r="R3346" s="1"/>
      <c r="S3346" s="1"/>
      <c r="T3346" s="1"/>
      <c r="U3346" s="1"/>
      <c r="V3346" s="1"/>
      <c r="W3346" s="1"/>
      <c r="X3346" s="1"/>
      <c r="Y3346" s="1"/>
      <c r="Z3346" s="1"/>
      <c r="AA3346" s="1"/>
      <c r="AB3346" s="1"/>
    </row>
    <row r="3347" ht="50.25" customHeight="1">
      <c r="A3347" s="12">
        <v>3343.0</v>
      </c>
      <c r="B3347" s="13" t="s">
        <v>3126</v>
      </c>
      <c r="C3347" s="14" t="s">
        <v>3363</v>
      </c>
      <c r="D3347" s="1"/>
      <c r="E3347" s="1"/>
      <c r="F3347" s="1" t="str">
        <f>IFERROR(__xludf.DUMMYFUNCTION("GOOGLETRANSLATE(B3347, ""en"", ""fa"")
"),"آشپزی")</f>
        <v>آشپزی</v>
      </c>
      <c r="G3347" s="1" t="str">
        <f>IFERROR(__xludf.DUMMYFUNCTION("GOOGLETRANSLATE(C3347, ""en"", ""fa"")
"),"تکنیک‌ها و نکاتی را برای دستیابی به سطح ایده‌آل رنگ‌آمیزی در غذاهای تخمیر شده، مانند ترشی‌ها یا کامبوچا، بررسی کنید.")</f>
        <v>تکنیک‌ها و نکاتی را برای دستیابی به سطح ایده‌آل رنگ‌آمیزی در غذاهای تخمیر شده، مانند ترشی‌ها یا کامبوچا، بررسی کنید.</v>
      </c>
      <c r="H3347" s="1"/>
      <c r="I3347" s="1"/>
      <c r="J3347" s="1"/>
      <c r="K3347" s="1"/>
      <c r="L3347" s="1"/>
      <c r="M3347" s="1"/>
      <c r="N3347" s="1"/>
      <c r="O3347" s="1"/>
      <c r="P3347" s="1"/>
      <c r="Q3347" s="1"/>
      <c r="R3347" s="1"/>
      <c r="S3347" s="1"/>
      <c r="T3347" s="1"/>
      <c r="U3347" s="1"/>
      <c r="V3347" s="1"/>
      <c r="W3347" s="1"/>
      <c r="X3347" s="1"/>
      <c r="Y3347" s="1"/>
      <c r="Z3347" s="1"/>
      <c r="AA3347" s="1"/>
      <c r="AB3347" s="1"/>
    </row>
    <row r="3348" ht="50.25" customHeight="1">
      <c r="A3348" s="12">
        <v>3344.0</v>
      </c>
      <c r="B3348" s="13" t="s">
        <v>3126</v>
      </c>
      <c r="C3348" s="14" t="s">
        <v>3364</v>
      </c>
      <c r="D3348" s="1"/>
      <c r="E3348" s="1"/>
      <c r="F3348" s="1" t="str">
        <f>IFERROR(__xludf.DUMMYFUNCTION("GOOGLETRANSLATE(B3348, ""en"", ""fa"")
"),"آشپزی")</f>
        <v>آشپزی</v>
      </c>
      <c r="G3348" s="1" t="str">
        <f>IFERROR(__xludf.DUMMYFUNCTION("GOOGLETRANSLATE(C3348, ""en"", ""fa"")
"),"در مورد تأثیرات فرهنگی بر غذاهای برزیلی و سنت های جسورانه و متنوع آشپزی آن بحث کنید.")</f>
        <v>در مورد تأثیرات فرهنگی بر غذاهای برزیلی و سنت های جسورانه و متنوع آشپزی آن بحث کنید.</v>
      </c>
      <c r="H3348" s="1"/>
      <c r="I3348" s="1"/>
      <c r="J3348" s="1"/>
      <c r="K3348" s="1"/>
      <c r="L3348" s="1"/>
      <c r="M3348" s="1"/>
      <c r="N3348" s="1"/>
      <c r="O3348" s="1"/>
      <c r="P3348" s="1"/>
      <c r="Q3348" s="1"/>
      <c r="R3348" s="1"/>
      <c r="S3348" s="1"/>
      <c r="T3348" s="1"/>
      <c r="U3348" s="1"/>
      <c r="V3348" s="1"/>
      <c r="W3348" s="1"/>
      <c r="X3348" s="1"/>
      <c r="Y3348" s="1"/>
      <c r="Z3348" s="1"/>
      <c r="AA3348" s="1"/>
      <c r="AB3348" s="1"/>
    </row>
    <row r="3349" ht="50.25" customHeight="1">
      <c r="A3349" s="12">
        <v>3345.0</v>
      </c>
      <c r="B3349" s="13" t="s">
        <v>3126</v>
      </c>
      <c r="C3349" s="14" t="s">
        <v>3365</v>
      </c>
      <c r="D3349" s="1"/>
      <c r="E3349" s="1"/>
      <c r="F3349" s="1" t="str">
        <f>IFERROR(__xludf.DUMMYFUNCTION("GOOGLETRANSLATE(B3349, ""en"", ""fa"")
"),"آشپزی")</f>
        <v>آشپزی</v>
      </c>
      <c r="G3349" s="1" t="str">
        <f>IFERROR(__xludf.DUMMYFUNCTION("GOOGLETRANSLATE(C3349, ""en"", ""fa"")
"),"دستور العمل های مورد علاقه خود را برای قندها و شیرین کننده های طعم دار خانگی به اشتراک بگذارید.")</f>
        <v>دستور العمل های مورد علاقه خود را برای قندها و شیرین کننده های طعم دار خانگی به اشتراک بگذارید.</v>
      </c>
      <c r="H3349" s="1"/>
      <c r="I3349" s="1"/>
      <c r="J3349" s="1"/>
      <c r="K3349" s="1"/>
      <c r="L3349" s="1"/>
      <c r="M3349" s="1"/>
      <c r="N3349" s="1"/>
      <c r="O3349" s="1"/>
      <c r="P3349" s="1"/>
      <c r="Q3349" s="1"/>
      <c r="R3349" s="1"/>
      <c r="S3349" s="1"/>
      <c r="T3349" s="1"/>
      <c r="U3349" s="1"/>
      <c r="V3349" s="1"/>
      <c r="W3349" s="1"/>
      <c r="X3349" s="1"/>
      <c r="Y3349" s="1"/>
      <c r="Z3349" s="1"/>
      <c r="AA3349" s="1"/>
      <c r="AB3349" s="1"/>
    </row>
    <row r="3350" ht="50.25" customHeight="1">
      <c r="A3350" s="12">
        <v>3346.0</v>
      </c>
      <c r="B3350" s="13" t="s">
        <v>3126</v>
      </c>
      <c r="C3350" s="14" t="s">
        <v>3366</v>
      </c>
      <c r="D3350" s="1"/>
      <c r="E3350" s="1"/>
      <c r="F3350" s="1" t="str">
        <f>IFERROR(__xludf.DUMMYFUNCTION("GOOGLETRANSLATE(B3350, ""en"", ""fa"")
"),"آشپزی")</f>
        <v>آشپزی</v>
      </c>
      <c r="G3350" s="1" t="str">
        <f>IFERROR(__xludf.DUMMYFUNCTION("GOOGLETRANSLATE(C3350, ""en"", ""fa"")
"),"تکنیک ها و نکاتی را برای دستیابی به بافت عالی در پوسته های پیتزای بدون گلوتن بررسی کنید.")</f>
        <v>تکنیک ها و نکاتی را برای دستیابی به بافت عالی در پوسته های پیتزای بدون گلوتن بررسی کنید.</v>
      </c>
      <c r="H3350" s="1"/>
      <c r="I3350" s="1"/>
      <c r="J3350" s="1"/>
      <c r="K3350" s="1"/>
      <c r="L3350" s="1"/>
      <c r="M3350" s="1"/>
      <c r="N3350" s="1"/>
      <c r="O3350" s="1"/>
      <c r="P3350" s="1"/>
      <c r="Q3350" s="1"/>
      <c r="R3350" s="1"/>
      <c r="S3350" s="1"/>
      <c r="T3350" s="1"/>
      <c r="U3350" s="1"/>
      <c r="V3350" s="1"/>
      <c r="W3350" s="1"/>
      <c r="X3350" s="1"/>
      <c r="Y3350" s="1"/>
      <c r="Z3350" s="1"/>
      <c r="AA3350" s="1"/>
      <c r="AB3350" s="1"/>
    </row>
    <row r="3351" ht="50.25" customHeight="1">
      <c r="A3351" s="12">
        <v>3347.0</v>
      </c>
      <c r="B3351" s="13" t="s">
        <v>3126</v>
      </c>
      <c r="C3351" s="14" t="s">
        <v>3367</v>
      </c>
      <c r="D3351" s="1"/>
      <c r="E3351" s="1"/>
      <c r="F3351" s="1" t="str">
        <f>IFERROR(__xludf.DUMMYFUNCTION("GOOGLETRANSLATE(B3351, ""en"", ""fa"")
"),"آشپزی")</f>
        <v>آشپزی</v>
      </c>
      <c r="G3351" s="1" t="str">
        <f>IFERROR(__xludf.DUMMYFUNCTION("GOOGLETRANSLATE(C3351, ""en"", ""fa"")
"),"در مورد فواید آشپزی با ادویه های تازه و معطر مانند زردچوبه یا زیره صحبت کنید.")</f>
        <v>در مورد فواید آشپزی با ادویه های تازه و معطر مانند زردچوبه یا زیره صحبت کنید.</v>
      </c>
      <c r="H3351" s="1"/>
      <c r="I3351" s="1"/>
      <c r="J3351" s="1"/>
      <c r="K3351" s="1"/>
      <c r="L3351" s="1"/>
      <c r="M3351" s="1"/>
      <c r="N3351" s="1"/>
      <c r="O3351" s="1"/>
      <c r="P3351" s="1"/>
      <c r="Q3351" s="1"/>
      <c r="R3351" s="1"/>
      <c r="S3351" s="1"/>
      <c r="T3351" s="1"/>
      <c r="U3351" s="1"/>
      <c r="V3351" s="1"/>
      <c r="W3351" s="1"/>
      <c r="X3351" s="1"/>
      <c r="Y3351" s="1"/>
      <c r="Z3351" s="1"/>
      <c r="AA3351" s="1"/>
      <c r="AB3351" s="1"/>
    </row>
    <row r="3352" ht="50.25" customHeight="1">
      <c r="A3352" s="12">
        <v>3348.0</v>
      </c>
      <c r="B3352" s="13" t="s">
        <v>3126</v>
      </c>
      <c r="C3352" s="14" t="s">
        <v>3368</v>
      </c>
      <c r="D3352" s="1"/>
      <c r="E3352" s="1"/>
      <c r="F3352" s="1" t="str">
        <f>IFERROR(__xludf.DUMMYFUNCTION("GOOGLETRANSLATE(B3352, ""en"", ""fa"")
"),"آشپزی")</f>
        <v>آشپزی</v>
      </c>
      <c r="G3352" s="1" t="str">
        <f>IFERROR(__xludf.DUMMYFUNCTION("GOOGLETRANSLATE(C3352, ""en"", ""fa"")
"),"نکات خود را برای ایجاد بارهای انرژی زا خانگی و تنقلات سالم در حال حرکت به اشتراک بگذارید.")</f>
        <v>نکات خود را برای ایجاد بارهای انرژی زا خانگی و تنقلات سالم در حال حرکت به اشتراک بگذارید.</v>
      </c>
      <c r="H3352" s="1"/>
      <c r="I3352" s="1"/>
      <c r="J3352" s="1"/>
      <c r="K3352" s="1"/>
      <c r="L3352" s="1"/>
      <c r="M3352" s="1"/>
      <c r="N3352" s="1"/>
      <c r="O3352" s="1"/>
      <c r="P3352" s="1"/>
      <c r="Q3352" s="1"/>
      <c r="R3352" s="1"/>
      <c r="S3352" s="1"/>
      <c r="T3352" s="1"/>
      <c r="U3352" s="1"/>
      <c r="V3352" s="1"/>
      <c r="W3352" s="1"/>
      <c r="X3352" s="1"/>
      <c r="Y3352" s="1"/>
      <c r="Z3352" s="1"/>
      <c r="AA3352" s="1"/>
      <c r="AB3352" s="1"/>
    </row>
    <row r="3353" ht="50.25" customHeight="1">
      <c r="A3353" s="12">
        <v>3349.0</v>
      </c>
      <c r="B3353" s="13" t="s">
        <v>3126</v>
      </c>
      <c r="C3353" s="14" t="s">
        <v>3369</v>
      </c>
      <c r="D3353" s="1"/>
      <c r="E3353" s="1"/>
      <c r="F3353" s="1" t="str">
        <f>IFERROR(__xludf.DUMMYFUNCTION("GOOGLETRANSLATE(B3353, ""en"", ""fa"")
"),"آشپزی")</f>
        <v>آشپزی</v>
      </c>
      <c r="G3353" s="1" t="str">
        <f>IFERROR(__xludf.DUMMYFUNCTION("GOOGLETRANSLATE(C3353, ""en"", ""fa"")
"),"نکات خود را برای ایجاد سوشی رول های خوشمزه و جذاب در خانه به اشتراک بگذارید.")</f>
        <v>نکات خود را برای ایجاد سوشی رول های خوشمزه و جذاب در خانه به اشتراک بگذارید.</v>
      </c>
      <c r="H3353" s="1"/>
      <c r="I3353" s="1"/>
      <c r="J3353" s="1"/>
      <c r="K3353" s="1"/>
      <c r="L3353" s="1"/>
      <c r="M3353" s="1"/>
      <c r="N3353" s="1"/>
      <c r="O3353" s="1"/>
      <c r="P3353" s="1"/>
      <c r="Q3353" s="1"/>
      <c r="R3353" s="1"/>
      <c r="S3353" s="1"/>
      <c r="T3353" s="1"/>
      <c r="U3353" s="1"/>
      <c r="V3353" s="1"/>
      <c r="W3353" s="1"/>
      <c r="X3353" s="1"/>
      <c r="Y3353" s="1"/>
      <c r="Z3353" s="1"/>
      <c r="AA3353" s="1"/>
      <c r="AB3353" s="1"/>
    </row>
    <row r="3354" ht="50.25" customHeight="1">
      <c r="A3354" s="12">
        <v>3350.0</v>
      </c>
      <c r="B3354" s="13" t="s">
        <v>3126</v>
      </c>
      <c r="C3354" s="14" t="s">
        <v>3370</v>
      </c>
      <c r="D3354" s="1"/>
      <c r="E3354" s="1"/>
      <c r="F3354" s="1" t="str">
        <f>IFERROR(__xludf.DUMMYFUNCTION("GOOGLETRANSLATE(B3354, ""en"", ""fa"")
"),"آشپزی")</f>
        <v>آشپزی</v>
      </c>
      <c r="G3354" s="1" t="str">
        <f>IFERROR(__xludf.DUMMYFUNCTION("GOOGLETRANSLATE(C3354, ""en"", ""fa"")
"),"در مورد فواید پخت و پز با گیاهان و ادویه های فصلی و چگونگی افزایش طعم آنها صحبت کنید.")</f>
        <v>در مورد فواید پخت و پز با گیاهان و ادویه های فصلی و چگونگی افزایش طعم آنها صحبت کنید.</v>
      </c>
      <c r="H3354" s="1"/>
      <c r="I3354" s="1"/>
      <c r="J3354" s="1"/>
      <c r="K3354" s="1"/>
      <c r="L3354" s="1"/>
      <c r="M3354" s="1"/>
      <c r="N3354" s="1"/>
      <c r="O3354" s="1"/>
      <c r="P3354" s="1"/>
      <c r="Q3354" s="1"/>
      <c r="R3354" s="1"/>
      <c r="S3354" s="1"/>
      <c r="T3354" s="1"/>
      <c r="U3354" s="1"/>
      <c r="V3354" s="1"/>
      <c r="W3354" s="1"/>
      <c r="X3354" s="1"/>
      <c r="Y3354" s="1"/>
      <c r="Z3354" s="1"/>
      <c r="AA3354" s="1"/>
      <c r="AB3354" s="1"/>
    </row>
    <row r="3355" ht="50.25" customHeight="1">
      <c r="A3355" s="12">
        <v>3351.0</v>
      </c>
      <c r="B3355" s="13" t="s">
        <v>3126</v>
      </c>
      <c r="C3355" s="14" t="s">
        <v>3371</v>
      </c>
      <c r="D3355" s="1"/>
      <c r="E3355" s="1"/>
      <c r="F3355" s="1" t="str">
        <f>IFERROR(__xludf.DUMMYFUNCTION("GOOGLETRANSLATE(B3355, ""en"", ""fa"")
"),"آشپزی")</f>
        <v>آشپزی</v>
      </c>
      <c r="G3355" s="1" t="str">
        <f>IFERROR(__xludf.DUMMYFUNCTION("GOOGLETRANSLATE(C3355, ""en"", ""fa"")
"),"دستور العمل های مورد علاقه خود را برای سس های سالاد خانگی با استفاده از ترکیبات طعم منحصر به فرد به اشتراک بگذارید.")</f>
        <v>دستور العمل های مورد علاقه خود را برای سس های سالاد خانگی با استفاده از ترکیبات طعم منحصر به فرد به اشتراک بگذارید.</v>
      </c>
      <c r="H3355" s="1"/>
      <c r="I3355" s="1"/>
      <c r="J3355" s="1"/>
      <c r="K3355" s="1"/>
      <c r="L3355" s="1"/>
      <c r="M3355" s="1"/>
      <c r="N3355" s="1"/>
      <c r="O3355" s="1"/>
      <c r="P3355" s="1"/>
      <c r="Q3355" s="1"/>
      <c r="R3355" s="1"/>
      <c r="S3355" s="1"/>
      <c r="T3355" s="1"/>
      <c r="U3355" s="1"/>
      <c r="V3355" s="1"/>
      <c r="W3355" s="1"/>
      <c r="X3355" s="1"/>
      <c r="Y3355" s="1"/>
      <c r="Z3355" s="1"/>
      <c r="AA3355" s="1"/>
      <c r="AB3355" s="1"/>
    </row>
    <row r="3356" ht="50.25" customHeight="1">
      <c r="A3356" s="12">
        <v>3352.0</v>
      </c>
      <c r="B3356" s="13" t="s">
        <v>3126</v>
      </c>
      <c r="C3356" s="14" t="s">
        <v>3372</v>
      </c>
      <c r="D3356" s="1"/>
      <c r="E3356" s="1"/>
      <c r="F3356" s="1" t="str">
        <f>IFERROR(__xludf.DUMMYFUNCTION("GOOGLETRANSLATE(B3356, ""en"", ""fa"")
"),"آشپزی")</f>
        <v>آشپزی</v>
      </c>
      <c r="G3356" s="1" t="str">
        <f>IFERROR(__xludf.DUMMYFUNCTION("GOOGLETRANSLATE(C3356, ""en"", ""fa"")
"),"در مورد تأثیرات فرهنگی بر غذاهای مکزیکی و مجموعه ای از طعم های پر جنب و جوش آن بحث کنید.")</f>
        <v>در مورد تأثیرات فرهنگی بر غذاهای مکزیکی و مجموعه ای از طعم های پر جنب و جوش آن بحث کنید.</v>
      </c>
      <c r="H3356" s="1"/>
      <c r="I3356" s="1"/>
      <c r="J3356" s="1"/>
      <c r="K3356" s="1"/>
      <c r="L3356" s="1"/>
      <c r="M3356" s="1"/>
      <c r="N3356" s="1"/>
      <c r="O3356" s="1"/>
      <c r="P3356" s="1"/>
      <c r="Q3356" s="1"/>
      <c r="R3356" s="1"/>
      <c r="S3356" s="1"/>
      <c r="T3356" s="1"/>
      <c r="U3356" s="1"/>
      <c r="V3356" s="1"/>
      <c r="W3356" s="1"/>
      <c r="X3356" s="1"/>
      <c r="Y3356" s="1"/>
      <c r="Z3356" s="1"/>
      <c r="AA3356" s="1"/>
      <c r="AB3356" s="1"/>
    </row>
    <row r="3357" ht="50.25" customHeight="1">
      <c r="A3357" s="12">
        <v>3353.0</v>
      </c>
      <c r="B3357" s="13" t="s">
        <v>3126</v>
      </c>
      <c r="C3357" s="14" t="s">
        <v>3373</v>
      </c>
      <c r="D3357" s="1"/>
      <c r="E3357" s="1"/>
      <c r="F3357" s="1" t="str">
        <f>IFERROR(__xludf.DUMMYFUNCTION("GOOGLETRANSLATE(B3357, ""en"", ""fa"")
"),"آشپزی")</f>
        <v>آشپزی</v>
      </c>
      <c r="G3357" s="1" t="str">
        <f>IFERROR(__xludf.DUMMYFUNCTION("GOOGLETRANSLATE(C3357, ""en"", ""fa"")
"),"نکات خود را برای ایجاد سبزیجات برشته کاملا پخته و چاشنی شده به اشتراک بگذارید.")</f>
        <v>نکات خود را برای ایجاد سبزیجات برشته کاملا پخته و چاشنی شده به اشتراک بگذارید.</v>
      </c>
      <c r="H3357" s="1"/>
      <c r="I3357" s="1"/>
      <c r="J3357" s="1"/>
      <c r="K3357" s="1"/>
      <c r="L3357" s="1"/>
      <c r="M3357" s="1"/>
      <c r="N3357" s="1"/>
      <c r="O3357" s="1"/>
      <c r="P3357" s="1"/>
      <c r="Q3357" s="1"/>
      <c r="R3357" s="1"/>
      <c r="S3357" s="1"/>
      <c r="T3357" s="1"/>
      <c r="U3357" s="1"/>
      <c r="V3357" s="1"/>
      <c r="W3357" s="1"/>
      <c r="X3357" s="1"/>
      <c r="Y3357" s="1"/>
      <c r="Z3357" s="1"/>
      <c r="AA3357" s="1"/>
      <c r="AB3357" s="1"/>
    </row>
    <row r="3358" ht="50.25" customHeight="1">
      <c r="A3358" s="12">
        <v>3354.0</v>
      </c>
      <c r="B3358" s="13" t="s">
        <v>3126</v>
      </c>
      <c r="C3358" s="14" t="s">
        <v>3374</v>
      </c>
      <c r="D3358" s="1"/>
      <c r="E3358" s="1"/>
      <c r="F3358" s="1" t="str">
        <f>IFERROR(__xludf.DUMMYFUNCTION("GOOGLETRANSLATE(B3358, ""en"", ""fa"")
"),"آشپزی")</f>
        <v>آشپزی</v>
      </c>
      <c r="G3358" s="1" t="str">
        <f>IFERROR(__xludf.DUMMYFUNCTION("GOOGLETRANSLATE(C3358, ""en"", ""fa"")
"),"در مورد فواید سلامتی استفاده از غذاهای تخمیر شده بیشتر، مانند کیمچی یا کفیر، در آشپزی خود صحبت کنید.")</f>
        <v>در مورد فواید سلامتی استفاده از غذاهای تخمیر شده بیشتر، مانند کیمچی یا کفیر، در آشپزی خود صحبت کنید.</v>
      </c>
      <c r="H3358" s="1"/>
      <c r="I3358" s="1"/>
      <c r="J3358" s="1"/>
      <c r="K3358" s="1"/>
      <c r="L3358" s="1"/>
      <c r="M3358" s="1"/>
      <c r="N3358" s="1"/>
      <c r="O3358" s="1"/>
      <c r="P3358" s="1"/>
      <c r="Q3358" s="1"/>
      <c r="R3358" s="1"/>
      <c r="S3358" s="1"/>
      <c r="T3358" s="1"/>
      <c r="U3358" s="1"/>
      <c r="V3358" s="1"/>
      <c r="W3358" s="1"/>
      <c r="X3358" s="1"/>
      <c r="Y3358" s="1"/>
      <c r="Z3358" s="1"/>
      <c r="AA3358" s="1"/>
      <c r="AB3358" s="1"/>
    </row>
    <row r="3359" ht="50.25" customHeight="1">
      <c r="A3359" s="12">
        <v>3355.0</v>
      </c>
      <c r="B3359" s="13" t="s">
        <v>3126</v>
      </c>
      <c r="C3359" s="14" t="s">
        <v>3375</v>
      </c>
      <c r="D3359" s="1"/>
      <c r="E3359" s="1"/>
      <c r="F3359" s="1" t="str">
        <f>IFERROR(__xludf.DUMMYFUNCTION("GOOGLETRANSLATE(B3359, ""en"", ""fa"")
"),"آشپزی")</f>
        <v>آشپزی</v>
      </c>
      <c r="G3359" s="1" t="str">
        <f>IFERROR(__xludf.DUMMYFUNCTION("GOOGLETRANSLATE(C3359, ""en"", ""fa"")
"),"دستور العمل های مورد علاقه خود را برای بستنی ها و شربت های خانگی با پروفایل های طعم مبتکرانه به اشتراک بگذارید.")</f>
        <v>دستور العمل های مورد علاقه خود را برای بستنی ها و شربت های خانگی با پروفایل های طعم مبتکرانه به اشتراک بگذارید.</v>
      </c>
      <c r="H3359" s="1"/>
      <c r="I3359" s="1"/>
      <c r="J3359" s="1"/>
      <c r="K3359" s="1"/>
      <c r="L3359" s="1"/>
      <c r="M3359" s="1"/>
      <c r="N3359" s="1"/>
      <c r="O3359" s="1"/>
      <c r="P3359" s="1"/>
      <c r="Q3359" s="1"/>
      <c r="R3359" s="1"/>
      <c r="S3359" s="1"/>
      <c r="T3359" s="1"/>
      <c r="U3359" s="1"/>
      <c r="V3359" s="1"/>
      <c r="W3359" s="1"/>
      <c r="X3359" s="1"/>
      <c r="Y3359" s="1"/>
      <c r="Z3359" s="1"/>
      <c r="AA3359" s="1"/>
      <c r="AB3359" s="1"/>
    </row>
    <row r="3360" ht="50.25" customHeight="1">
      <c r="A3360" s="12">
        <v>3356.0</v>
      </c>
      <c r="B3360" s="13" t="s">
        <v>3126</v>
      </c>
      <c r="C3360" s="14" t="s">
        <v>3376</v>
      </c>
      <c r="D3360" s="1"/>
      <c r="E3360" s="1"/>
      <c r="F3360" s="1" t="str">
        <f>IFERROR(__xludf.DUMMYFUNCTION("GOOGLETRANSLATE(B3360, ""en"", ""fa"")
"),"آشپزی")</f>
        <v>آشپزی</v>
      </c>
      <c r="G3360" s="1" t="str">
        <f>IFERROR(__xludf.DUMMYFUNCTION("GOOGLETRANSLATE(C3360, ""en"", ""fa"")
"),"تکنیک ها و نکاتی را برای دستیابی به پوسته پوسته شدن کامل در پوسته های پای بدون گلوتن بررسی کنید.")</f>
        <v>تکنیک ها و نکاتی را برای دستیابی به پوسته پوسته شدن کامل در پوسته های پای بدون گلوتن بررسی کنید.</v>
      </c>
      <c r="H3360" s="1"/>
      <c r="I3360" s="1"/>
      <c r="J3360" s="1"/>
      <c r="K3360" s="1"/>
      <c r="L3360" s="1"/>
      <c r="M3360" s="1"/>
      <c r="N3360" s="1"/>
      <c r="O3360" s="1"/>
      <c r="P3360" s="1"/>
      <c r="Q3360" s="1"/>
      <c r="R3360" s="1"/>
      <c r="S3360" s="1"/>
      <c r="T3360" s="1"/>
      <c r="U3360" s="1"/>
      <c r="V3360" s="1"/>
      <c r="W3360" s="1"/>
      <c r="X3360" s="1"/>
      <c r="Y3360" s="1"/>
      <c r="Z3360" s="1"/>
      <c r="AA3360" s="1"/>
      <c r="AB3360" s="1"/>
    </row>
    <row r="3361" ht="50.25" customHeight="1">
      <c r="A3361" s="12">
        <v>3357.0</v>
      </c>
      <c r="B3361" s="13" t="s">
        <v>3126</v>
      </c>
      <c r="C3361" s="14" t="s">
        <v>3377</v>
      </c>
      <c r="D3361" s="1"/>
      <c r="E3361" s="1"/>
      <c r="F3361" s="1" t="str">
        <f>IFERROR(__xludf.DUMMYFUNCTION("GOOGLETRANSLATE(B3361, ""en"", ""fa"")
"),"آشپزی")</f>
        <v>آشپزی</v>
      </c>
      <c r="G3361" s="1" t="str">
        <f>IFERROR(__xludf.DUMMYFUNCTION("GOOGLETRANSLATE(C3361, ""en"", ""fa"")
"),"در مورد فواید پخت و پز با میوه های تازه و فصلی و تاثیر آنها بر طعم صحبت کنید.")</f>
        <v>در مورد فواید پخت و پز با میوه های تازه و فصلی و تاثیر آنها بر طعم صحبت کنید.</v>
      </c>
      <c r="H3361" s="1"/>
      <c r="I3361" s="1"/>
      <c r="J3361" s="1"/>
      <c r="K3361" s="1"/>
      <c r="L3361" s="1"/>
      <c r="M3361" s="1"/>
      <c r="N3361" s="1"/>
      <c r="O3361" s="1"/>
      <c r="P3361" s="1"/>
      <c r="Q3361" s="1"/>
      <c r="R3361" s="1"/>
      <c r="S3361" s="1"/>
      <c r="T3361" s="1"/>
      <c r="U3361" s="1"/>
      <c r="V3361" s="1"/>
      <c r="W3361" s="1"/>
      <c r="X3361" s="1"/>
      <c r="Y3361" s="1"/>
      <c r="Z3361" s="1"/>
      <c r="AA3361" s="1"/>
      <c r="AB3361" s="1"/>
    </row>
    <row r="3362" ht="50.25" customHeight="1">
      <c r="A3362" s="12">
        <v>3358.0</v>
      </c>
      <c r="B3362" s="13" t="s">
        <v>3126</v>
      </c>
      <c r="C3362" s="14" t="s">
        <v>3378</v>
      </c>
      <c r="D3362" s="1"/>
      <c r="E3362" s="1"/>
      <c r="F3362" s="1" t="str">
        <f>IFERROR(__xludf.DUMMYFUNCTION("GOOGLETRANSLATE(B3362, ""en"", ""fa"")
"),"آشپزی")</f>
        <v>آشپزی</v>
      </c>
      <c r="G3362" s="1" t="str">
        <f>IFERROR(__xludf.DUMMYFUNCTION("GOOGLETRANSLATE(C3362, ""en"", ""fa"")
"),"نکات خود را برای ایجاد غذاهای کاری طعم دار و معطر از غذاهای مختلف به اشتراک بگذارید.")</f>
        <v>نکات خود را برای ایجاد غذاهای کاری طعم دار و معطر از غذاهای مختلف به اشتراک بگذارید.</v>
      </c>
      <c r="H3362" s="1"/>
      <c r="I3362" s="1"/>
      <c r="J3362" s="1"/>
      <c r="K3362" s="1"/>
      <c r="L3362" s="1"/>
      <c r="M3362" s="1"/>
      <c r="N3362" s="1"/>
      <c r="O3362" s="1"/>
      <c r="P3362" s="1"/>
      <c r="Q3362" s="1"/>
      <c r="R3362" s="1"/>
      <c r="S3362" s="1"/>
      <c r="T3362" s="1"/>
      <c r="U3362" s="1"/>
      <c r="V3362" s="1"/>
      <c r="W3362" s="1"/>
      <c r="X3362" s="1"/>
      <c r="Y3362" s="1"/>
      <c r="Z3362" s="1"/>
      <c r="AA3362" s="1"/>
      <c r="AB3362" s="1"/>
    </row>
    <row r="3363" ht="50.25" customHeight="1">
      <c r="A3363" s="12">
        <v>3359.0</v>
      </c>
      <c r="B3363" s="13" t="s">
        <v>3126</v>
      </c>
      <c r="C3363" s="14" t="s">
        <v>3379</v>
      </c>
      <c r="D3363" s="1"/>
      <c r="E3363" s="1"/>
      <c r="F3363" s="1" t="str">
        <f>IFERROR(__xludf.DUMMYFUNCTION("GOOGLETRANSLATE(B3363, ""en"", ""fa"")
"),"آشپزی")</f>
        <v>آشپزی</v>
      </c>
      <c r="G3363" s="1" t="str">
        <f>IFERROR(__xludf.DUMMYFUNCTION("GOOGLETRANSLATE(C3363, ""en"", ""fa"")
"),"تکنیک ها و نکاتی را برای دستیابی به سطح ایده آل آبدار بودن در گوشت و مرغ کبابی بررسی کنید.")</f>
        <v>تکنیک ها و نکاتی را برای دستیابی به سطح ایده آل آبدار بودن در گوشت و مرغ کبابی بررسی کنید.</v>
      </c>
      <c r="H3363" s="1"/>
      <c r="I3363" s="1"/>
      <c r="J3363" s="1"/>
      <c r="K3363" s="1"/>
      <c r="L3363" s="1"/>
      <c r="M3363" s="1"/>
      <c r="N3363" s="1"/>
      <c r="O3363" s="1"/>
      <c r="P3363" s="1"/>
      <c r="Q3363" s="1"/>
      <c r="R3363" s="1"/>
      <c r="S3363" s="1"/>
      <c r="T3363" s="1"/>
      <c r="U3363" s="1"/>
      <c r="V3363" s="1"/>
      <c r="W3363" s="1"/>
      <c r="X3363" s="1"/>
      <c r="Y3363" s="1"/>
      <c r="Z3363" s="1"/>
      <c r="AA3363" s="1"/>
      <c r="AB3363" s="1"/>
    </row>
    <row r="3364" ht="50.25" customHeight="1">
      <c r="A3364" s="12">
        <v>3360.0</v>
      </c>
      <c r="B3364" s="13" t="s">
        <v>3126</v>
      </c>
      <c r="C3364" s="14" t="s">
        <v>3380</v>
      </c>
      <c r="D3364" s="1"/>
      <c r="E3364" s="1"/>
      <c r="F3364" s="1" t="str">
        <f>IFERROR(__xludf.DUMMYFUNCTION("GOOGLETRANSLATE(B3364, ""en"", ""fa"")
"),"آشپزی")</f>
        <v>آشپزی</v>
      </c>
      <c r="G3364" s="1" t="str">
        <f>IFERROR(__xludf.DUMMYFUNCTION("GOOGLETRANSLATE(C3364, ""en"", ""fa"")
"),"در مورد تأثیرات فرهنگی بر غذاهای تایلندی و ترکیب منحصر به فرد آن از طعم های شیرین، ترش، تند و خوش طعم بحث کنید.")</f>
        <v>در مورد تأثیرات فرهنگی بر غذاهای تایلندی و ترکیب منحصر به فرد آن از طعم های شیرین، ترش، تند و خوش طعم بحث کنید.</v>
      </c>
      <c r="H3364" s="1"/>
      <c r="I3364" s="1"/>
      <c r="J3364" s="1"/>
      <c r="K3364" s="1"/>
      <c r="L3364" s="1"/>
      <c r="M3364" s="1"/>
      <c r="N3364" s="1"/>
      <c r="O3364" s="1"/>
      <c r="P3364" s="1"/>
      <c r="Q3364" s="1"/>
      <c r="R3364" s="1"/>
      <c r="S3364" s="1"/>
      <c r="T3364" s="1"/>
      <c r="U3364" s="1"/>
      <c r="V3364" s="1"/>
      <c r="W3364" s="1"/>
      <c r="X3364" s="1"/>
      <c r="Y3364" s="1"/>
      <c r="Z3364" s="1"/>
      <c r="AA3364" s="1"/>
      <c r="AB3364" s="1"/>
    </row>
    <row r="3365" ht="50.25" customHeight="1">
      <c r="A3365" s="12">
        <v>3361.0</v>
      </c>
      <c r="B3365" s="13" t="s">
        <v>3126</v>
      </c>
      <c r="C3365" s="14" t="s">
        <v>3381</v>
      </c>
      <c r="D3365" s="1"/>
      <c r="E3365" s="1"/>
      <c r="F3365" s="1" t="str">
        <f>IFERROR(__xludf.DUMMYFUNCTION("GOOGLETRANSLATE(B3365, ""en"", ""fa"")
"),"آشپزی")</f>
        <v>آشپزی</v>
      </c>
      <c r="G3365" s="1" t="str">
        <f>IFERROR(__xludf.DUMMYFUNCTION("GOOGLETRANSLATE(C3365, ""en"", ""fa"")
"),"دستور العمل های مورد علاقه خود را برای ماکارونی خانگی با سس ها و مواد پرکننده مختلف به اشتراک بگذارید.")</f>
        <v>دستور العمل های مورد علاقه خود را برای ماکارونی خانگی با سس ها و مواد پرکننده مختلف به اشتراک بگذارید.</v>
      </c>
      <c r="H3365" s="1"/>
      <c r="I3365" s="1"/>
      <c r="J3365" s="1"/>
      <c r="K3365" s="1"/>
      <c r="L3365" s="1"/>
      <c r="M3365" s="1"/>
      <c r="N3365" s="1"/>
      <c r="O3365" s="1"/>
      <c r="P3365" s="1"/>
      <c r="Q3365" s="1"/>
      <c r="R3365" s="1"/>
      <c r="S3365" s="1"/>
      <c r="T3365" s="1"/>
      <c r="U3365" s="1"/>
      <c r="V3365" s="1"/>
      <c r="W3365" s="1"/>
      <c r="X3365" s="1"/>
      <c r="Y3365" s="1"/>
      <c r="Z3365" s="1"/>
      <c r="AA3365" s="1"/>
      <c r="AB3365" s="1"/>
    </row>
    <row r="3366" ht="50.25" customHeight="1">
      <c r="A3366" s="12">
        <v>3362.0</v>
      </c>
      <c r="B3366" s="13" t="s">
        <v>3126</v>
      </c>
      <c r="C3366" s="14" t="s">
        <v>3382</v>
      </c>
      <c r="D3366" s="1"/>
      <c r="E3366" s="1"/>
      <c r="F3366" s="1" t="str">
        <f>IFERROR(__xludf.DUMMYFUNCTION("GOOGLETRANSLATE(B3366, ""en"", ""fa"")
"),"آشپزی")</f>
        <v>آشپزی</v>
      </c>
      <c r="G3366" s="1" t="str">
        <f>IFERROR(__xludf.DUMMYFUNCTION("GOOGLETRANSLATE(C3366, ""en"", ""fa"")
"),"تکنیک ها و نکاتی را برای دستیابی به رشد عالی در نان بدون گلوتن بررسی کنید.")</f>
        <v>تکنیک ها و نکاتی را برای دستیابی به رشد عالی در نان بدون گلوتن بررسی کنید.</v>
      </c>
      <c r="H3366" s="1"/>
      <c r="I3366" s="1"/>
      <c r="J3366" s="1"/>
      <c r="K3366" s="1"/>
      <c r="L3366" s="1"/>
      <c r="M3366" s="1"/>
      <c r="N3366" s="1"/>
      <c r="O3366" s="1"/>
      <c r="P3366" s="1"/>
      <c r="Q3366" s="1"/>
      <c r="R3366" s="1"/>
      <c r="S3366" s="1"/>
      <c r="T3366" s="1"/>
      <c r="U3366" s="1"/>
      <c r="V3366" s="1"/>
      <c r="W3366" s="1"/>
      <c r="X3366" s="1"/>
      <c r="Y3366" s="1"/>
      <c r="Z3366" s="1"/>
      <c r="AA3366" s="1"/>
      <c r="AB3366" s="1"/>
    </row>
    <row r="3367" ht="50.25" customHeight="1">
      <c r="A3367" s="12">
        <v>3363.0</v>
      </c>
      <c r="B3367" s="13" t="s">
        <v>3126</v>
      </c>
      <c r="C3367" s="14" t="s">
        <v>3383</v>
      </c>
      <c r="D3367" s="1"/>
      <c r="E3367" s="1"/>
      <c r="F3367" s="1" t="str">
        <f>IFERROR(__xludf.DUMMYFUNCTION("GOOGLETRANSLATE(B3367, ""en"", ""fa"")
"),"آشپزی")</f>
        <v>آشپزی</v>
      </c>
      <c r="G3367" s="1" t="str">
        <f>IFERROR(__xludf.DUMMYFUNCTION("GOOGLETRANSLATE(C3367, ""en"", ""fa"")
"),"در مورد مزایای سلامتی پخت و پز با آردهای جایگزین، مانند آرد بادام یا نارگیل صحبت کنید.")</f>
        <v>در مورد مزایای سلامتی پخت و پز با آردهای جایگزین، مانند آرد بادام یا نارگیل صحبت کنید.</v>
      </c>
      <c r="H3367" s="1"/>
      <c r="I3367" s="1"/>
      <c r="J3367" s="1"/>
      <c r="K3367" s="1"/>
      <c r="L3367" s="1"/>
      <c r="M3367" s="1"/>
      <c r="N3367" s="1"/>
      <c r="O3367" s="1"/>
      <c r="P3367" s="1"/>
      <c r="Q3367" s="1"/>
      <c r="R3367" s="1"/>
      <c r="S3367" s="1"/>
      <c r="T3367" s="1"/>
      <c r="U3367" s="1"/>
      <c r="V3367" s="1"/>
      <c r="W3367" s="1"/>
      <c r="X3367" s="1"/>
      <c r="Y3367" s="1"/>
      <c r="Z3367" s="1"/>
      <c r="AA3367" s="1"/>
      <c r="AB3367" s="1"/>
    </row>
    <row r="3368" ht="50.25" customHeight="1">
      <c r="A3368" s="12">
        <v>3364.0</v>
      </c>
      <c r="B3368" s="13" t="s">
        <v>3126</v>
      </c>
      <c r="C3368" s="14" t="s">
        <v>3384</v>
      </c>
      <c r="D3368" s="1"/>
      <c r="E3368" s="1"/>
      <c r="F3368" s="1" t="str">
        <f>IFERROR(__xludf.DUMMYFUNCTION("GOOGLETRANSLATE(B3368, ""en"", ""fa"")
"),"آشپزی")</f>
        <v>آشپزی</v>
      </c>
      <c r="G3368" s="1" t="str">
        <f>IFERROR(__xludf.DUMMYFUNCTION("GOOGLETRANSLATE(C3368, ""en"", ""fa"")
"),"نکات خود را برای ایجاد کیک های لایه ای چشمگیر و لذیذ با پر کردن و فراستینگ های مختلف به اشتراک بگذارید.")</f>
        <v>نکات خود را برای ایجاد کیک های لایه ای چشمگیر و لذیذ با پر کردن و فراستینگ های مختلف به اشتراک بگذارید.</v>
      </c>
      <c r="H3368" s="1"/>
      <c r="I3368" s="1"/>
      <c r="J3368" s="1"/>
      <c r="K3368" s="1"/>
      <c r="L3368" s="1"/>
      <c r="M3368" s="1"/>
      <c r="N3368" s="1"/>
      <c r="O3368" s="1"/>
      <c r="P3368" s="1"/>
      <c r="Q3368" s="1"/>
      <c r="R3368" s="1"/>
      <c r="S3368" s="1"/>
      <c r="T3368" s="1"/>
      <c r="U3368" s="1"/>
      <c r="V3368" s="1"/>
      <c r="W3368" s="1"/>
      <c r="X3368" s="1"/>
      <c r="Y3368" s="1"/>
      <c r="Z3368" s="1"/>
      <c r="AA3368" s="1"/>
      <c r="AB3368" s="1"/>
    </row>
    <row r="3369" ht="50.25" customHeight="1">
      <c r="A3369" s="12">
        <v>3365.0</v>
      </c>
      <c r="B3369" s="13" t="s">
        <v>3126</v>
      </c>
      <c r="C3369" s="14" t="s">
        <v>3385</v>
      </c>
      <c r="D3369" s="1"/>
      <c r="E3369" s="1"/>
      <c r="F3369" s="1" t="str">
        <f>IFERROR(__xludf.DUMMYFUNCTION("GOOGLETRANSLATE(B3369, ""en"", ""fa"")
"),"آشپزی")</f>
        <v>آشپزی</v>
      </c>
      <c r="G3369" s="1" t="str">
        <f>IFERROR(__xludf.DUMMYFUNCTION("GOOGLETRANSLATE(C3369, ""en"", ""fa"")
"),"دستور العمل های مورد علاقه خود را برای چاشنی ها و سس های خانگی مانند سس باربیکیو یا آیولی به اشتراک بگذارید.")</f>
        <v>دستور العمل های مورد علاقه خود را برای چاشنی ها و سس های خانگی مانند سس باربیکیو یا آیولی به اشتراک بگذارید.</v>
      </c>
      <c r="H3369" s="1"/>
      <c r="I3369" s="1"/>
      <c r="J3369" s="1"/>
      <c r="K3369" s="1"/>
      <c r="L3369" s="1"/>
      <c r="M3369" s="1"/>
      <c r="N3369" s="1"/>
      <c r="O3369" s="1"/>
      <c r="P3369" s="1"/>
      <c r="Q3369" s="1"/>
      <c r="R3369" s="1"/>
      <c r="S3369" s="1"/>
      <c r="T3369" s="1"/>
      <c r="U3369" s="1"/>
      <c r="V3369" s="1"/>
      <c r="W3369" s="1"/>
      <c r="X3369" s="1"/>
      <c r="Y3369" s="1"/>
      <c r="Z3369" s="1"/>
      <c r="AA3369" s="1"/>
      <c r="AB3369" s="1"/>
    </row>
    <row r="3370" ht="50.25" customHeight="1">
      <c r="A3370" s="12">
        <v>3366.0</v>
      </c>
      <c r="B3370" s="13" t="s">
        <v>3126</v>
      </c>
      <c r="C3370" s="14" t="s">
        <v>3386</v>
      </c>
      <c r="D3370" s="1"/>
      <c r="E3370" s="1"/>
      <c r="F3370" s="1" t="str">
        <f>IFERROR(__xludf.DUMMYFUNCTION("GOOGLETRANSLATE(B3370, ""en"", ""fa"")
"),"آشپزی")</f>
        <v>آشپزی</v>
      </c>
      <c r="G3370" s="1" t="str">
        <f>IFERROR(__xludf.DUMMYFUNCTION("GOOGLETRANSLATE(C3370, ""en"", ""fa"")
"),"در مورد تأثیرات فرهنگی بر غذاهای ژاپنی و تمرکز آن بر سادگی و ارائه بحث کنید.")</f>
        <v>در مورد تأثیرات فرهنگی بر غذاهای ژاپنی و تمرکز آن بر سادگی و ارائه بحث کنید.</v>
      </c>
      <c r="H3370" s="1"/>
      <c r="I3370" s="1"/>
      <c r="J3370" s="1"/>
      <c r="K3370" s="1"/>
      <c r="L3370" s="1"/>
      <c r="M3370" s="1"/>
      <c r="N3370" s="1"/>
      <c r="O3370" s="1"/>
      <c r="P3370" s="1"/>
      <c r="Q3370" s="1"/>
      <c r="R3370" s="1"/>
      <c r="S3370" s="1"/>
      <c r="T3370" s="1"/>
      <c r="U3370" s="1"/>
      <c r="V3370" s="1"/>
      <c r="W3370" s="1"/>
      <c r="X3370" s="1"/>
      <c r="Y3370" s="1"/>
      <c r="Z3370" s="1"/>
      <c r="AA3370" s="1"/>
      <c r="AB3370" s="1"/>
    </row>
    <row r="3371" ht="50.25" customHeight="1">
      <c r="A3371" s="12">
        <v>3367.0</v>
      </c>
      <c r="B3371" s="13" t="s">
        <v>3126</v>
      </c>
      <c r="C3371" s="14" t="s">
        <v>3387</v>
      </c>
      <c r="D3371" s="1"/>
      <c r="E3371" s="1"/>
      <c r="F3371" s="1" t="str">
        <f>IFERROR(__xludf.DUMMYFUNCTION("GOOGLETRANSLATE(B3371, ""en"", ""fa"")
"),"آشپزی")</f>
        <v>آشپزی</v>
      </c>
      <c r="G3371" s="1" t="str">
        <f>IFERROR(__xludf.DUMMYFUNCTION("GOOGLETRANSLATE(C3371, ""en"", ""fa"")
"),"نکات خود را برای ایجاد سالاد غلات خوش طعم و مغذی با مواد مختلف به اشتراک بگذارید.")</f>
        <v>نکات خود را برای ایجاد سالاد غلات خوش طعم و مغذی با مواد مختلف به اشتراک بگذارید.</v>
      </c>
      <c r="H3371" s="1"/>
      <c r="I3371" s="1"/>
      <c r="J3371" s="1"/>
      <c r="K3371" s="1"/>
      <c r="L3371" s="1"/>
      <c r="M3371" s="1"/>
      <c r="N3371" s="1"/>
      <c r="O3371" s="1"/>
      <c r="P3371" s="1"/>
      <c r="Q3371" s="1"/>
      <c r="R3371" s="1"/>
      <c r="S3371" s="1"/>
      <c r="T3371" s="1"/>
      <c r="U3371" s="1"/>
      <c r="V3371" s="1"/>
      <c r="W3371" s="1"/>
      <c r="X3371" s="1"/>
      <c r="Y3371" s="1"/>
      <c r="Z3371" s="1"/>
      <c r="AA3371" s="1"/>
      <c r="AB3371" s="1"/>
    </row>
    <row r="3372" ht="50.25" customHeight="1">
      <c r="A3372" s="12">
        <v>3368.0</v>
      </c>
      <c r="B3372" s="13" t="s">
        <v>3126</v>
      </c>
      <c r="C3372" s="14" t="s">
        <v>3388</v>
      </c>
      <c r="D3372" s="1"/>
      <c r="E3372" s="1"/>
      <c r="F3372" s="1" t="str">
        <f>IFERROR(__xludf.DUMMYFUNCTION("GOOGLETRANSLATE(B3372, ""en"", ""fa"")
"),"آشپزی")</f>
        <v>آشپزی</v>
      </c>
      <c r="G3372" s="1" t="str">
        <f>IFERROR(__xludf.DUMMYFUNCTION("GOOGLETRANSLATE(C3372, ""en"", ""fa"")
"),"تکنیک ها و نکاتی را برای دستیابی به سطح ایده آل خامه ای در دسرهای بدون لبنیات بررسی کنید.")</f>
        <v>تکنیک ها و نکاتی را برای دستیابی به سطح ایده آل خامه ای در دسرهای بدون لبنیات بررسی کنید.</v>
      </c>
      <c r="H3372" s="1"/>
      <c r="I3372" s="1"/>
      <c r="J3372" s="1"/>
      <c r="K3372" s="1"/>
      <c r="L3372" s="1"/>
      <c r="M3372" s="1"/>
      <c r="N3372" s="1"/>
      <c r="O3372" s="1"/>
      <c r="P3372" s="1"/>
      <c r="Q3372" s="1"/>
      <c r="R3372" s="1"/>
      <c r="S3372" s="1"/>
      <c r="T3372" s="1"/>
      <c r="U3372" s="1"/>
      <c r="V3372" s="1"/>
      <c r="W3372" s="1"/>
      <c r="X3372" s="1"/>
      <c r="Y3372" s="1"/>
      <c r="Z3372" s="1"/>
      <c r="AA3372" s="1"/>
      <c r="AB3372" s="1"/>
    </row>
    <row r="3373" ht="50.25" customHeight="1">
      <c r="A3373" s="12">
        <v>3369.0</v>
      </c>
      <c r="B3373" s="13" t="s">
        <v>3126</v>
      </c>
      <c r="C3373" s="14" t="s">
        <v>3389</v>
      </c>
      <c r="D3373" s="1"/>
      <c r="E3373" s="1"/>
      <c r="F3373" s="1" t="str">
        <f>IFERROR(__xludf.DUMMYFUNCTION("GOOGLETRANSLATE(B3373, ""en"", ""fa"")
"),"آشپزی")</f>
        <v>آشپزی</v>
      </c>
      <c r="G3373" s="1" t="str">
        <f>IFERROR(__xludf.DUMMYFUNCTION("GOOGLETRANSLATE(C3373, ""en"", ""fa"")
"),"در مورد فواید سلامتی پخت و پز با غلات کامل مانند کینوا یا برنج قهوه ای صحبت کنید.")</f>
        <v>در مورد فواید سلامتی پخت و پز با غلات کامل مانند کینوا یا برنج قهوه ای صحبت کنید.</v>
      </c>
      <c r="H3373" s="1"/>
      <c r="I3373" s="1"/>
      <c r="J3373" s="1"/>
      <c r="K3373" s="1"/>
      <c r="L3373" s="1"/>
      <c r="M3373" s="1"/>
      <c r="N3373" s="1"/>
      <c r="O3373" s="1"/>
      <c r="P3373" s="1"/>
      <c r="Q3373" s="1"/>
      <c r="R3373" s="1"/>
      <c r="S3373" s="1"/>
      <c r="T3373" s="1"/>
      <c r="U3373" s="1"/>
      <c r="V3373" s="1"/>
      <c r="W3373" s="1"/>
      <c r="X3373" s="1"/>
      <c r="Y3373" s="1"/>
      <c r="Z3373" s="1"/>
      <c r="AA3373" s="1"/>
      <c r="AB3373" s="1"/>
    </row>
    <row r="3374" ht="50.25" customHeight="1">
      <c r="A3374" s="12">
        <v>3370.0</v>
      </c>
      <c r="B3374" s="13" t="s">
        <v>3126</v>
      </c>
      <c r="C3374" s="14" t="s">
        <v>3390</v>
      </c>
      <c r="D3374" s="1"/>
      <c r="E3374" s="1"/>
      <c r="F3374" s="1" t="str">
        <f>IFERROR(__xludf.DUMMYFUNCTION("GOOGLETRANSLATE(B3374, ""en"", ""fa"")
"),"آشپزی")</f>
        <v>آشپزی</v>
      </c>
      <c r="G3374" s="1" t="str">
        <f>IFERROR(__xludf.DUMMYFUNCTION("GOOGLETRANSLATE(C3374, ""en"", ""fa"")
"),"دستور العمل های مورد علاقه خود را برای سوپ ها و خورش های خانگی با طعم های دلچسب و آرامش بخش به اشتراک بگذارید.")</f>
        <v>دستور العمل های مورد علاقه خود را برای سوپ ها و خورش های خانگی با طعم های دلچسب و آرامش بخش به اشتراک بگذارید.</v>
      </c>
      <c r="H3374" s="1"/>
      <c r="I3374" s="1"/>
      <c r="J3374" s="1"/>
      <c r="K3374" s="1"/>
      <c r="L3374" s="1"/>
      <c r="M3374" s="1"/>
      <c r="N3374" s="1"/>
      <c r="O3374" s="1"/>
      <c r="P3374" s="1"/>
      <c r="Q3374" s="1"/>
      <c r="R3374" s="1"/>
      <c r="S3374" s="1"/>
      <c r="T3374" s="1"/>
      <c r="U3374" s="1"/>
      <c r="V3374" s="1"/>
      <c r="W3374" s="1"/>
      <c r="X3374" s="1"/>
      <c r="Y3374" s="1"/>
      <c r="Z3374" s="1"/>
      <c r="AA3374" s="1"/>
      <c r="AB3374" s="1"/>
    </row>
    <row r="3375" ht="50.25" customHeight="1">
      <c r="A3375" s="12">
        <v>3371.0</v>
      </c>
      <c r="B3375" s="13" t="s">
        <v>3126</v>
      </c>
      <c r="C3375" s="14" t="s">
        <v>3391</v>
      </c>
      <c r="D3375" s="1"/>
      <c r="E3375" s="1"/>
      <c r="F3375" s="1" t="str">
        <f>IFERROR(__xludf.DUMMYFUNCTION("GOOGLETRANSLATE(B3375, ""en"", ""fa"")
"),"آشپزی")</f>
        <v>آشپزی</v>
      </c>
      <c r="G3375" s="1" t="str">
        <f>IFERROR(__xludf.DUMMYFUNCTION("GOOGLETRANSLATE(C3375, ""en"", ""fa"")
"),"در مورد فواید پخت و پز با سبزیجات تازه و پر جنب و جوش و تاثیر آنها بر تغذیه بحث کنید.")</f>
        <v>در مورد فواید پخت و پز با سبزیجات تازه و پر جنب و جوش و تاثیر آنها بر تغذیه بحث کنید.</v>
      </c>
      <c r="H3375" s="1"/>
      <c r="I3375" s="1"/>
      <c r="J3375" s="1"/>
      <c r="K3375" s="1"/>
      <c r="L3375" s="1"/>
      <c r="M3375" s="1"/>
      <c r="N3375" s="1"/>
      <c r="O3375" s="1"/>
      <c r="P3375" s="1"/>
      <c r="Q3375" s="1"/>
      <c r="R3375" s="1"/>
      <c r="S3375" s="1"/>
      <c r="T3375" s="1"/>
      <c r="U3375" s="1"/>
      <c r="V3375" s="1"/>
      <c r="W3375" s="1"/>
      <c r="X3375" s="1"/>
      <c r="Y3375" s="1"/>
      <c r="Z3375" s="1"/>
      <c r="AA3375" s="1"/>
      <c r="AB3375" s="1"/>
    </row>
    <row r="3376" ht="50.25" customHeight="1">
      <c r="A3376" s="12">
        <v>3372.0</v>
      </c>
      <c r="B3376" s="13" t="s">
        <v>3126</v>
      </c>
      <c r="C3376" s="14" t="s">
        <v>3392</v>
      </c>
      <c r="D3376" s="1"/>
      <c r="E3376" s="1"/>
      <c r="F3376" s="1" t="str">
        <f>IFERROR(__xludf.DUMMYFUNCTION("GOOGLETRANSLATE(B3376, ""en"", ""fa"")
"),"آشپزی")</f>
        <v>آشپزی</v>
      </c>
      <c r="G3376" s="1" t="str">
        <f>IFERROR(__xludf.DUMMYFUNCTION("GOOGLETRANSLATE(C3376, ""en"", ""fa"")
"),"نکات خود را برای تهیه نان خانگی با انواع آرد و غلات به اشتراک بگذارید.")</f>
        <v>نکات خود را برای تهیه نان خانگی با انواع آرد و غلات به اشتراک بگذارید.</v>
      </c>
      <c r="H3376" s="1"/>
      <c r="I3376" s="1"/>
      <c r="J3376" s="1"/>
      <c r="K3376" s="1"/>
      <c r="L3376" s="1"/>
      <c r="M3376" s="1"/>
      <c r="N3376" s="1"/>
      <c r="O3376" s="1"/>
      <c r="P3376" s="1"/>
      <c r="Q3376" s="1"/>
      <c r="R3376" s="1"/>
      <c r="S3376" s="1"/>
      <c r="T3376" s="1"/>
      <c r="U3376" s="1"/>
      <c r="V3376" s="1"/>
      <c r="W3376" s="1"/>
      <c r="X3376" s="1"/>
      <c r="Y3376" s="1"/>
      <c r="Z3376" s="1"/>
      <c r="AA3376" s="1"/>
      <c r="AB3376" s="1"/>
    </row>
    <row r="3377" ht="50.25" customHeight="1">
      <c r="A3377" s="12">
        <v>3373.0</v>
      </c>
      <c r="B3377" s="13" t="s">
        <v>3126</v>
      </c>
      <c r="C3377" s="14" t="s">
        <v>3393</v>
      </c>
      <c r="D3377" s="1"/>
      <c r="E3377" s="1"/>
      <c r="F3377" s="1" t="str">
        <f>IFERROR(__xludf.DUMMYFUNCTION("GOOGLETRANSLATE(B3377, ""en"", ""fa"")
"),"آشپزی")</f>
        <v>آشپزی</v>
      </c>
      <c r="G3377" s="1" t="str">
        <f>IFERROR(__xludf.DUMMYFUNCTION("GOOGLETRANSLATE(C3377, ""en"", ""fa"")
"),"تکنیک‌ها و نکاتی را برای دستیابی به سطح ایده‌آل تندی در غذاهای تخمیر شده، مانند کلم ترش یا ماست، بررسی کنید.")</f>
        <v>تکنیک‌ها و نکاتی را برای دستیابی به سطح ایده‌آل تندی در غذاهای تخمیر شده، مانند کلم ترش یا ماست، بررسی کنید.</v>
      </c>
      <c r="H3377" s="1"/>
      <c r="I3377" s="1"/>
      <c r="J3377" s="1"/>
      <c r="K3377" s="1"/>
      <c r="L3377" s="1"/>
      <c r="M3377" s="1"/>
      <c r="N3377" s="1"/>
      <c r="O3377" s="1"/>
      <c r="P3377" s="1"/>
      <c r="Q3377" s="1"/>
      <c r="R3377" s="1"/>
      <c r="S3377" s="1"/>
      <c r="T3377" s="1"/>
      <c r="U3377" s="1"/>
      <c r="V3377" s="1"/>
      <c r="W3377" s="1"/>
      <c r="X3377" s="1"/>
      <c r="Y3377" s="1"/>
      <c r="Z3377" s="1"/>
      <c r="AA3377" s="1"/>
      <c r="AB3377" s="1"/>
    </row>
    <row r="3378" ht="50.25" customHeight="1">
      <c r="A3378" s="12">
        <v>3374.0</v>
      </c>
      <c r="B3378" s="13" t="s">
        <v>3126</v>
      </c>
      <c r="C3378" s="14" t="s">
        <v>3394</v>
      </c>
      <c r="D3378" s="1"/>
      <c r="E3378" s="1"/>
      <c r="F3378" s="1" t="str">
        <f>IFERROR(__xludf.DUMMYFUNCTION("GOOGLETRANSLATE(B3378, ""en"", ""fa"")
"),"آشپزی")</f>
        <v>آشپزی</v>
      </c>
      <c r="G3378" s="1" t="str">
        <f>IFERROR(__xludf.DUMMYFUNCTION("GOOGLETRANSLATE(C3378, ""en"", ""fa"")
"),"در مورد تأثیرات فرهنگی بر غذاهای فرانسوی و تأکید آن بر تکنیک و مواد اولیه با کیفیت بحث کنید.")</f>
        <v>در مورد تأثیرات فرهنگی بر غذاهای فرانسوی و تأکید آن بر تکنیک و مواد اولیه با کیفیت بحث کنید.</v>
      </c>
      <c r="H3378" s="1"/>
      <c r="I3378" s="1"/>
      <c r="J3378" s="1"/>
      <c r="K3378" s="1"/>
      <c r="L3378" s="1"/>
      <c r="M3378" s="1"/>
      <c r="N3378" s="1"/>
      <c r="O3378" s="1"/>
      <c r="P3378" s="1"/>
      <c r="Q3378" s="1"/>
      <c r="R3378" s="1"/>
      <c r="S3378" s="1"/>
      <c r="T3378" s="1"/>
      <c r="U3378" s="1"/>
      <c r="V3378" s="1"/>
      <c r="W3378" s="1"/>
      <c r="X3378" s="1"/>
      <c r="Y3378" s="1"/>
      <c r="Z3378" s="1"/>
      <c r="AA3378" s="1"/>
      <c r="AB3378" s="1"/>
    </row>
    <row r="3379" ht="50.25" customHeight="1">
      <c r="A3379" s="12">
        <v>3375.0</v>
      </c>
      <c r="B3379" s="13" t="s">
        <v>3126</v>
      </c>
      <c r="C3379" s="14" t="s">
        <v>3395</v>
      </c>
      <c r="D3379" s="1"/>
      <c r="E3379" s="1"/>
      <c r="F3379" s="1" t="str">
        <f>IFERROR(__xludf.DUMMYFUNCTION("GOOGLETRANSLATE(B3379, ""en"", ""fa"")
"),"آشپزی")</f>
        <v>آشپزی</v>
      </c>
      <c r="G3379" s="1" t="str">
        <f>IFERROR(__xludf.DUMMYFUNCTION("GOOGLETRANSLATE(C3379, ""en"", ""fa"")
"),"دستور العمل های مورد علاقه خود را برای دیپ ها و غذاهای خانگی مانند هوموس یا گواکاموله به اشتراک بگذارید.")</f>
        <v>دستور العمل های مورد علاقه خود را برای دیپ ها و غذاهای خانگی مانند هوموس یا گواکاموله به اشتراک بگذارید.</v>
      </c>
      <c r="H3379" s="1"/>
      <c r="I3379" s="1"/>
      <c r="J3379" s="1"/>
      <c r="K3379" s="1"/>
      <c r="L3379" s="1"/>
      <c r="M3379" s="1"/>
      <c r="N3379" s="1"/>
      <c r="O3379" s="1"/>
      <c r="P3379" s="1"/>
      <c r="Q3379" s="1"/>
      <c r="R3379" s="1"/>
      <c r="S3379" s="1"/>
      <c r="T3379" s="1"/>
      <c r="U3379" s="1"/>
      <c r="V3379" s="1"/>
      <c r="W3379" s="1"/>
      <c r="X3379" s="1"/>
      <c r="Y3379" s="1"/>
      <c r="Z3379" s="1"/>
      <c r="AA3379" s="1"/>
      <c r="AB3379" s="1"/>
    </row>
    <row r="3380" ht="50.25" customHeight="1">
      <c r="A3380" s="12">
        <v>3376.0</v>
      </c>
      <c r="B3380" s="13" t="s">
        <v>3126</v>
      </c>
      <c r="C3380" s="14" t="s">
        <v>3396</v>
      </c>
      <c r="D3380" s="1"/>
      <c r="E3380" s="1"/>
      <c r="F3380" s="1" t="str">
        <f>IFERROR(__xludf.DUMMYFUNCTION("GOOGLETRANSLATE(B3380, ""en"", ""fa"")
"),"آشپزی")</f>
        <v>آشپزی</v>
      </c>
      <c r="G3380" s="1" t="str">
        <f>IFERROR(__xludf.DUMMYFUNCTION("GOOGLETRANSLATE(C3380, ""en"", ""fa"")
"),"تکنیک ها و نکاتی را برای دستیابی به تعادل کامل طعم ها در کاری هندی بررسی کنید.")</f>
        <v>تکنیک ها و نکاتی را برای دستیابی به تعادل کامل طعم ها در کاری هندی بررسی کنید.</v>
      </c>
      <c r="H3380" s="1"/>
      <c r="I3380" s="1"/>
      <c r="J3380" s="1"/>
      <c r="K3380" s="1"/>
      <c r="L3380" s="1"/>
      <c r="M3380" s="1"/>
      <c r="N3380" s="1"/>
      <c r="O3380" s="1"/>
      <c r="P3380" s="1"/>
      <c r="Q3380" s="1"/>
      <c r="R3380" s="1"/>
      <c r="S3380" s="1"/>
      <c r="T3380" s="1"/>
      <c r="U3380" s="1"/>
      <c r="V3380" s="1"/>
      <c r="W3380" s="1"/>
      <c r="X3380" s="1"/>
      <c r="Y3380" s="1"/>
      <c r="Z3380" s="1"/>
      <c r="AA3380" s="1"/>
      <c r="AB3380" s="1"/>
    </row>
    <row r="3381" ht="50.25" customHeight="1">
      <c r="A3381" s="12">
        <v>3377.0</v>
      </c>
      <c r="B3381" s="13" t="s">
        <v>3126</v>
      </c>
      <c r="C3381" s="14" t="s">
        <v>3397</v>
      </c>
      <c r="D3381" s="1"/>
      <c r="E3381" s="1"/>
      <c r="F3381" s="1" t="str">
        <f>IFERROR(__xludf.DUMMYFUNCTION("GOOGLETRANSLATE(B3381, ""en"", ""fa"")
"),"آشپزی")</f>
        <v>آشپزی</v>
      </c>
      <c r="G3381" s="1" t="str">
        <f>IFERROR(__xludf.DUMMYFUNCTION("GOOGLETRANSLATE(C3381, ""en"", ""fa"")
"),"در مورد فواید آشپزی با گیاهان معطر مانند ریحان یا رزماری و کاربردهای آشپزی آنها صحبت کنید.")</f>
        <v>در مورد فواید آشپزی با گیاهان معطر مانند ریحان یا رزماری و کاربردهای آشپزی آنها صحبت کنید.</v>
      </c>
      <c r="H3381" s="1"/>
      <c r="I3381" s="1"/>
      <c r="J3381" s="1"/>
      <c r="K3381" s="1"/>
      <c r="L3381" s="1"/>
      <c r="M3381" s="1"/>
      <c r="N3381" s="1"/>
      <c r="O3381" s="1"/>
      <c r="P3381" s="1"/>
      <c r="Q3381" s="1"/>
      <c r="R3381" s="1"/>
      <c r="S3381" s="1"/>
      <c r="T3381" s="1"/>
      <c r="U3381" s="1"/>
      <c r="V3381" s="1"/>
      <c r="W3381" s="1"/>
      <c r="X3381" s="1"/>
      <c r="Y3381" s="1"/>
      <c r="Z3381" s="1"/>
      <c r="AA3381" s="1"/>
      <c r="AB3381" s="1"/>
    </row>
    <row r="3382" ht="50.25" customHeight="1">
      <c r="A3382" s="12">
        <v>3378.0</v>
      </c>
      <c r="B3382" s="13" t="s">
        <v>3126</v>
      </c>
      <c r="C3382" s="14" t="s">
        <v>3398</v>
      </c>
      <c r="D3382" s="1"/>
      <c r="E3382" s="1"/>
      <c r="F3382" s="1" t="str">
        <f>IFERROR(__xludf.DUMMYFUNCTION("GOOGLETRANSLATE(B3382, ""en"", ""fa"")
"),"آشپزی")</f>
        <v>آشپزی</v>
      </c>
      <c r="G3382" s="1" t="str">
        <f>IFERROR(__xludf.DUMMYFUNCTION("GOOGLETRANSLATE(C3382, ""en"", ""fa"")
"),"نکات خود را برای ایجاد تارت و پای میوه ای از نظر بصری خیره کننده و خوشمزه به اشتراک بگذارید.")</f>
        <v>نکات خود را برای ایجاد تارت و پای میوه ای از نظر بصری خیره کننده و خوشمزه به اشتراک بگذارید.</v>
      </c>
      <c r="H3382" s="1"/>
      <c r="I3382" s="1"/>
      <c r="J3382" s="1"/>
      <c r="K3382" s="1"/>
      <c r="L3382" s="1"/>
      <c r="M3382" s="1"/>
      <c r="N3382" s="1"/>
      <c r="O3382" s="1"/>
      <c r="P3382" s="1"/>
      <c r="Q3382" s="1"/>
      <c r="R3382" s="1"/>
      <c r="S3382" s="1"/>
      <c r="T3382" s="1"/>
      <c r="U3382" s="1"/>
      <c r="V3382" s="1"/>
      <c r="W3382" s="1"/>
      <c r="X3382" s="1"/>
      <c r="Y3382" s="1"/>
      <c r="Z3382" s="1"/>
      <c r="AA3382" s="1"/>
      <c r="AB3382" s="1"/>
    </row>
    <row r="3383" ht="50.25" customHeight="1">
      <c r="A3383" s="12">
        <v>3379.0</v>
      </c>
      <c r="B3383" s="13" t="s">
        <v>3126</v>
      </c>
      <c r="C3383" s="14" t="s">
        <v>3399</v>
      </c>
      <c r="D3383" s="1"/>
      <c r="E3383" s="1"/>
      <c r="F3383" s="1" t="str">
        <f>IFERROR(__xludf.DUMMYFUNCTION("GOOGLETRANSLATE(B3383, ""en"", ""fa"")
"),"آشپزی")</f>
        <v>آشپزی</v>
      </c>
      <c r="G3383" s="1" t="str">
        <f>IFERROR(__xludf.DUMMYFUNCTION("GOOGLETRANSLATE(C3383, ""en"", ""fa"")
"),"در مورد مزایای سلامتی پخت و پز با سبزیجات برگدار مانند کلم پیچ یا اسفناج و ارزش غذایی آنها بحث کنید.")</f>
        <v>در مورد مزایای سلامتی پخت و پز با سبزیجات برگدار مانند کلم پیچ یا اسفناج و ارزش غذایی آنها بحث کنید.</v>
      </c>
      <c r="H3383" s="1"/>
      <c r="I3383" s="1"/>
      <c r="J3383" s="1"/>
      <c r="K3383" s="1"/>
      <c r="L3383" s="1"/>
      <c r="M3383" s="1"/>
      <c r="N3383" s="1"/>
      <c r="O3383" s="1"/>
      <c r="P3383" s="1"/>
      <c r="Q3383" s="1"/>
      <c r="R3383" s="1"/>
      <c r="S3383" s="1"/>
      <c r="T3383" s="1"/>
      <c r="U3383" s="1"/>
      <c r="V3383" s="1"/>
      <c r="W3383" s="1"/>
      <c r="X3383" s="1"/>
      <c r="Y3383" s="1"/>
      <c r="Z3383" s="1"/>
      <c r="AA3383" s="1"/>
      <c r="AB3383" s="1"/>
    </row>
    <row r="3384" ht="50.25" customHeight="1">
      <c r="A3384" s="12">
        <v>3380.0</v>
      </c>
      <c r="B3384" s="13" t="s">
        <v>3126</v>
      </c>
      <c r="C3384" s="14" t="s">
        <v>3400</v>
      </c>
      <c r="D3384" s="1"/>
      <c r="E3384" s="1"/>
      <c r="F3384" s="1" t="str">
        <f>IFERROR(__xludf.DUMMYFUNCTION("GOOGLETRANSLATE(B3384, ""en"", ""fa"")
"),"آشپزی")</f>
        <v>آشپزی</v>
      </c>
      <c r="G3384" s="1" t="str">
        <f>IFERROR(__xludf.DUMMYFUNCTION("GOOGLETRANSLATE(C3384, ""en"", ""fa"")
"),"دستور العمل های مورد علاقه خود را برای ترشی خانگی و سبزیجات تخمیر شده به اشتراک بگذارید.")</f>
        <v>دستور العمل های مورد علاقه خود را برای ترشی خانگی و سبزیجات تخمیر شده به اشتراک بگذارید.</v>
      </c>
      <c r="H3384" s="1"/>
      <c r="I3384" s="1"/>
      <c r="J3384" s="1"/>
      <c r="K3384" s="1"/>
      <c r="L3384" s="1"/>
      <c r="M3384" s="1"/>
      <c r="N3384" s="1"/>
      <c r="O3384" s="1"/>
      <c r="P3384" s="1"/>
      <c r="Q3384" s="1"/>
      <c r="R3384" s="1"/>
      <c r="S3384" s="1"/>
      <c r="T3384" s="1"/>
      <c r="U3384" s="1"/>
      <c r="V3384" s="1"/>
      <c r="W3384" s="1"/>
      <c r="X3384" s="1"/>
      <c r="Y3384" s="1"/>
      <c r="Z3384" s="1"/>
      <c r="AA3384" s="1"/>
      <c r="AB3384" s="1"/>
    </row>
    <row r="3385" ht="50.25" customHeight="1">
      <c r="A3385" s="12">
        <v>3381.0</v>
      </c>
      <c r="B3385" s="13" t="s">
        <v>3126</v>
      </c>
      <c r="C3385" s="14" t="s">
        <v>3401</v>
      </c>
      <c r="D3385" s="1"/>
      <c r="E3385" s="1"/>
      <c r="F3385" s="1" t="str">
        <f>IFERROR(__xludf.DUMMYFUNCTION("GOOGLETRANSLATE(B3385, ""en"", ""fa"")
"),"آشپزی")</f>
        <v>آشپزی</v>
      </c>
      <c r="G3385" s="1" t="str">
        <f>IFERROR(__xludf.DUMMYFUNCTION("GOOGLETRANSLATE(C3385, ""en"", ""fa"")
"),"تکنیک ها و نکاتی را برای دستیابی به بافت عالی در ماکارونی بدون گلوتن بررسی کنید.")</f>
        <v>تکنیک ها و نکاتی را برای دستیابی به بافت عالی در ماکارونی بدون گلوتن بررسی کنید.</v>
      </c>
      <c r="H3385" s="1"/>
      <c r="I3385" s="1"/>
      <c r="J3385" s="1"/>
      <c r="K3385" s="1"/>
      <c r="L3385" s="1"/>
      <c r="M3385" s="1"/>
      <c r="N3385" s="1"/>
      <c r="O3385" s="1"/>
      <c r="P3385" s="1"/>
      <c r="Q3385" s="1"/>
      <c r="R3385" s="1"/>
      <c r="S3385" s="1"/>
      <c r="T3385" s="1"/>
      <c r="U3385" s="1"/>
      <c r="V3385" s="1"/>
      <c r="W3385" s="1"/>
      <c r="X3385" s="1"/>
      <c r="Y3385" s="1"/>
      <c r="Z3385" s="1"/>
      <c r="AA3385" s="1"/>
      <c r="AB3385" s="1"/>
    </row>
    <row r="3386" ht="50.25" customHeight="1">
      <c r="A3386" s="12">
        <v>3382.0</v>
      </c>
      <c r="B3386" s="13" t="s">
        <v>3126</v>
      </c>
      <c r="C3386" s="14" t="s">
        <v>3402</v>
      </c>
      <c r="D3386" s="1"/>
      <c r="E3386" s="1"/>
      <c r="F3386" s="1" t="str">
        <f>IFERROR(__xludf.DUMMYFUNCTION("GOOGLETRANSLATE(B3386, ""en"", ""fa"")
"),"آشپزی")</f>
        <v>آشپزی</v>
      </c>
      <c r="G3386" s="1" t="str">
        <f>IFERROR(__xludf.DUMMYFUNCTION("GOOGLETRANSLATE(C3386, ""en"", ""fa"")
"),"در مورد تأثیرات فرهنگی بر غذاهای ایتالیایی و تخصص های منطقه ای آن بحث کنید.")</f>
        <v>در مورد تأثیرات فرهنگی بر غذاهای ایتالیایی و تخصص های منطقه ای آن بحث کنید.</v>
      </c>
      <c r="H3386" s="1"/>
      <c r="I3386" s="1"/>
      <c r="J3386" s="1"/>
      <c r="K3386" s="1"/>
      <c r="L3386" s="1"/>
      <c r="M3386" s="1"/>
      <c r="N3386" s="1"/>
      <c r="O3386" s="1"/>
      <c r="P3386" s="1"/>
      <c r="Q3386" s="1"/>
      <c r="R3386" s="1"/>
      <c r="S3386" s="1"/>
      <c r="T3386" s="1"/>
      <c r="U3386" s="1"/>
      <c r="V3386" s="1"/>
      <c r="W3386" s="1"/>
      <c r="X3386" s="1"/>
      <c r="Y3386" s="1"/>
      <c r="Z3386" s="1"/>
      <c r="AA3386" s="1"/>
      <c r="AB3386" s="1"/>
    </row>
    <row r="3387" ht="50.25" customHeight="1">
      <c r="A3387" s="12">
        <v>3383.0</v>
      </c>
      <c r="B3387" s="13" t="s">
        <v>3126</v>
      </c>
      <c r="C3387" s="14" t="s">
        <v>3403</v>
      </c>
      <c r="D3387" s="1"/>
      <c r="E3387" s="1"/>
      <c r="F3387" s="1" t="str">
        <f>IFERROR(__xludf.DUMMYFUNCTION("GOOGLETRANSLATE(B3387, ""en"", ""fa"")
"),"آشپزی")</f>
        <v>آشپزی</v>
      </c>
      <c r="G3387" s="1" t="str">
        <f>IFERROR(__xludf.DUMMYFUNCTION("GOOGLETRANSLATE(C3387, ""en"", ""fa"")
"),"نکات خود را برای ایجاد ترکیب ادویه های خانگی برای غذاهای مختلف، مانند Cajun یا مراکشی به اشتراک بگذارید.")</f>
        <v>نکات خود را برای ایجاد ترکیب ادویه های خانگی برای غذاهای مختلف، مانند Cajun یا مراکشی به اشتراک بگذارید.</v>
      </c>
      <c r="H3387" s="1"/>
      <c r="I3387" s="1"/>
      <c r="J3387" s="1"/>
      <c r="K3387" s="1"/>
      <c r="L3387" s="1"/>
      <c r="M3387" s="1"/>
      <c r="N3387" s="1"/>
      <c r="O3387" s="1"/>
      <c r="P3387" s="1"/>
      <c r="Q3387" s="1"/>
      <c r="R3387" s="1"/>
      <c r="S3387" s="1"/>
      <c r="T3387" s="1"/>
      <c r="U3387" s="1"/>
      <c r="V3387" s="1"/>
      <c r="W3387" s="1"/>
      <c r="X3387" s="1"/>
      <c r="Y3387" s="1"/>
      <c r="Z3387" s="1"/>
      <c r="AA3387" s="1"/>
      <c r="AB3387" s="1"/>
    </row>
    <row r="3388" ht="50.25" customHeight="1">
      <c r="A3388" s="12">
        <v>3384.0</v>
      </c>
      <c r="B3388" s="13" t="s">
        <v>3126</v>
      </c>
      <c r="C3388" s="14" t="s">
        <v>3404</v>
      </c>
      <c r="D3388" s="1"/>
      <c r="E3388" s="1"/>
      <c r="F3388" s="1" t="str">
        <f>IFERROR(__xludf.DUMMYFUNCTION("GOOGLETRANSLATE(B3388, ""en"", ""fa"")
"),"آشپزی")</f>
        <v>آشپزی</v>
      </c>
      <c r="G3388" s="1" t="str">
        <f>IFERROR(__xludf.DUMMYFUNCTION("GOOGLETRANSLATE(C3388, ""en"", ""fa"")
"),"در مورد فواید پخت و پز با روغن زیتون و نقش آن در غذاهای مدیترانه ای بحث کنید.")</f>
        <v>در مورد فواید پخت و پز با روغن زیتون و نقش آن در غذاهای مدیترانه ای بحث کنید.</v>
      </c>
      <c r="H3388" s="1"/>
      <c r="I3388" s="1"/>
      <c r="J3388" s="1"/>
      <c r="K3388" s="1"/>
      <c r="L3388" s="1"/>
      <c r="M3388" s="1"/>
      <c r="N3388" s="1"/>
      <c r="O3388" s="1"/>
      <c r="P3388" s="1"/>
      <c r="Q3388" s="1"/>
      <c r="R3388" s="1"/>
      <c r="S3388" s="1"/>
      <c r="T3388" s="1"/>
      <c r="U3388" s="1"/>
      <c r="V3388" s="1"/>
      <c r="W3388" s="1"/>
      <c r="X3388" s="1"/>
      <c r="Y3388" s="1"/>
      <c r="Z3388" s="1"/>
      <c r="AA3388" s="1"/>
      <c r="AB3388" s="1"/>
    </row>
    <row r="3389" ht="50.25" customHeight="1">
      <c r="A3389" s="12">
        <v>3385.0</v>
      </c>
      <c r="B3389" s="13" t="s">
        <v>3126</v>
      </c>
      <c r="C3389" s="14" t="s">
        <v>3405</v>
      </c>
      <c r="D3389" s="1"/>
      <c r="E3389" s="1"/>
      <c r="F3389" s="1" t="str">
        <f>IFERROR(__xludf.DUMMYFUNCTION("GOOGLETRANSLATE(B3389, ""en"", ""fa"")
"),"آشپزی")</f>
        <v>آشپزی</v>
      </c>
      <c r="G3389" s="1" t="str">
        <f>IFERROR(__xludf.DUMMYFUNCTION("GOOGLETRANSLATE(C3389, ""en"", ""fa"")
"),"دستور العمل های مورد علاقه خود را برای غذاهای راحتی خانگی مانند ماکارونی و پنیر یا لازانیا به اشتراک بگذارید.")</f>
        <v>دستور العمل های مورد علاقه خود را برای غذاهای راحتی خانگی مانند ماکارونی و پنیر یا لازانیا به اشتراک بگذارید.</v>
      </c>
      <c r="H3389" s="1"/>
      <c r="I3389" s="1"/>
      <c r="J3389" s="1"/>
      <c r="K3389" s="1"/>
      <c r="L3389" s="1"/>
      <c r="M3389" s="1"/>
      <c r="N3389" s="1"/>
      <c r="O3389" s="1"/>
      <c r="P3389" s="1"/>
      <c r="Q3389" s="1"/>
      <c r="R3389" s="1"/>
      <c r="S3389" s="1"/>
      <c r="T3389" s="1"/>
      <c r="U3389" s="1"/>
      <c r="V3389" s="1"/>
      <c r="W3389" s="1"/>
      <c r="X3389" s="1"/>
      <c r="Y3389" s="1"/>
      <c r="Z3389" s="1"/>
      <c r="AA3389" s="1"/>
      <c r="AB3389" s="1"/>
    </row>
    <row r="3390" ht="50.25" customHeight="1">
      <c r="A3390" s="12">
        <v>3386.0</v>
      </c>
      <c r="B3390" s="13" t="s">
        <v>3126</v>
      </c>
      <c r="C3390" s="14" t="s">
        <v>3406</v>
      </c>
      <c r="D3390" s="1"/>
      <c r="E3390" s="1"/>
      <c r="F3390" s="1" t="str">
        <f>IFERROR(__xludf.DUMMYFUNCTION("GOOGLETRANSLATE(B3390, ""en"", ""fa"")
"),"آشپزی")</f>
        <v>آشپزی</v>
      </c>
      <c r="G3390" s="1" t="str">
        <f>IFERROR(__xludf.DUMMYFUNCTION("GOOGLETRANSLATE(C3390, ""en"", ""fa"")
"),"در مورد مزایای سلامتی آشپزی با غذاهای فوق العاده مانند کلم پیچ یا کینوا صحبت کنید.")</f>
        <v>در مورد مزایای سلامتی آشپزی با غذاهای فوق العاده مانند کلم پیچ یا کینوا صحبت کنید.</v>
      </c>
      <c r="H3390" s="1"/>
      <c r="I3390" s="1"/>
      <c r="J3390" s="1"/>
      <c r="K3390" s="1"/>
      <c r="L3390" s="1"/>
      <c r="M3390" s="1"/>
      <c r="N3390" s="1"/>
      <c r="O3390" s="1"/>
      <c r="P3390" s="1"/>
      <c r="Q3390" s="1"/>
      <c r="R3390" s="1"/>
      <c r="S3390" s="1"/>
      <c r="T3390" s="1"/>
      <c r="U3390" s="1"/>
      <c r="V3390" s="1"/>
      <c r="W3390" s="1"/>
      <c r="X3390" s="1"/>
      <c r="Y3390" s="1"/>
      <c r="Z3390" s="1"/>
      <c r="AA3390" s="1"/>
      <c r="AB3390" s="1"/>
    </row>
    <row r="3391" ht="50.25" customHeight="1">
      <c r="A3391" s="12">
        <v>3387.0</v>
      </c>
      <c r="B3391" s="13" t="s">
        <v>3126</v>
      </c>
      <c r="C3391" s="14" t="s">
        <v>3407</v>
      </c>
      <c r="D3391" s="1"/>
      <c r="E3391" s="1"/>
      <c r="F3391" s="1" t="str">
        <f>IFERROR(__xludf.DUMMYFUNCTION("GOOGLETRANSLATE(B3391, ""en"", ""fa"")
"),"آشپزی")</f>
        <v>آشپزی</v>
      </c>
      <c r="G3391" s="1" t="str">
        <f>IFERROR(__xludf.DUMMYFUNCTION("GOOGLETRANSLATE(C3391, ""en"", ""fa"")
"),"نکات خود را برای ایجاد مارینادهای خوش طعم و معطر برای گوشت و سبزیجات به اشتراک بگذارید.")</f>
        <v>نکات خود را برای ایجاد مارینادهای خوش طعم و معطر برای گوشت و سبزیجات به اشتراک بگذارید.</v>
      </c>
      <c r="H3391" s="1"/>
      <c r="I3391" s="1"/>
      <c r="J3391" s="1"/>
      <c r="K3391" s="1"/>
      <c r="L3391" s="1"/>
      <c r="M3391" s="1"/>
      <c r="N3391" s="1"/>
      <c r="O3391" s="1"/>
      <c r="P3391" s="1"/>
      <c r="Q3391" s="1"/>
      <c r="R3391" s="1"/>
      <c r="S3391" s="1"/>
      <c r="T3391" s="1"/>
      <c r="U3391" s="1"/>
      <c r="V3391" s="1"/>
      <c r="W3391" s="1"/>
      <c r="X3391" s="1"/>
      <c r="Y3391" s="1"/>
      <c r="Z3391" s="1"/>
      <c r="AA3391" s="1"/>
      <c r="AB3391" s="1"/>
    </row>
    <row r="3392" ht="50.25" customHeight="1">
      <c r="A3392" s="12">
        <v>3388.0</v>
      </c>
      <c r="B3392" s="13" t="s">
        <v>3126</v>
      </c>
      <c r="C3392" s="14" t="s">
        <v>3408</v>
      </c>
      <c r="D3392" s="1"/>
      <c r="E3392" s="1"/>
      <c r="F3392" s="1" t="str">
        <f>IFERROR(__xludf.DUMMYFUNCTION("GOOGLETRANSLATE(B3392, ""en"", ""fa"")
"),"آشپزی")</f>
        <v>آشپزی</v>
      </c>
      <c r="G3392" s="1" t="str">
        <f>IFERROR(__xludf.DUMMYFUNCTION("GOOGLETRANSLATE(C3392, ""en"", ""fa"")
"),"تکنیک ها و نکاتی را برای دستیابی به سطح ایده آل شیرینی در دسرها با استفاده از شیرین کننده های طبیعی بررسی کنید.")</f>
        <v>تکنیک ها و نکاتی را برای دستیابی به سطح ایده آل شیرینی در دسرها با استفاده از شیرین کننده های طبیعی بررسی کنید.</v>
      </c>
      <c r="H3392" s="1"/>
      <c r="I3392" s="1"/>
      <c r="J3392" s="1"/>
      <c r="K3392" s="1"/>
      <c r="L3392" s="1"/>
      <c r="M3392" s="1"/>
      <c r="N3392" s="1"/>
      <c r="O3392" s="1"/>
      <c r="P3392" s="1"/>
      <c r="Q3392" s="1"/>
      <c r="R3392" s="1"/>
      <c r="S3392" s="1"/>
      <c r="T3392" s="1"/>
      <c r="U3392" s="1"/>
      <c r="V3392" s="1"/>
      <c r="W3392" s="1"/>
      <c r="X3392" s="1"/>
      <c r="Y3392" s="1"/>
      <c r="Z3392" s="1"/>
      <c r="AA3392" s="1"/>
      <c r="AB3392" s="1"/>
    </row>
    <row r="3393" ht="50.25" customHeight="1">
      <c r="A3393" s="12">
        <v>3389.0</v>
      </c>
      <c r="B3393" s="13" t="s">
        <v>3126</v>
      </c>
      <c r="C3393" s="14" t="s">
        <v>3409</v>
      </c>
      <c r="D3393" s="1"/>
      <c r="E3393" s="1"/>
      <c r="F3393" s="1" t="str">
        <f>IFERROR(__xludf.DUMMYFUNCTION("GOOGLETRANSLATE(B3393, ""en"", ""fa"")
"),"آشپزی")</f>
        <v>آشپزی</v>
      </c>
      <c r="G3393" s="1" t="str">
        <f>IFERROR(__xludf.DUMMYFUNCTION("GOOGLETRANSLATE(C3393, ""en"", ""fa"")
"),"تکنیک های مختلف تنفس را برای آرامش و کاهش استرس کاوش کنید.")</f>
        <v>تکنیک های مختلف تنفس را برای آرامش و کاهش استرس کاوش کنید.</v>
      </c>
      <c r="H3393" s="1"/>
      <c r="I3393" s="1"/>
      <c r="J3393" s="1"/>
      <c r="K3393" s="1"/>
      <c r="L3393" s="1"/>
      <c r="M3393" s="1"/>
      <c r="N3393" s="1"/>
      <c r="O3393" s="1"/>
      <c r="P3393" s="1"/>
      <c r="Q3393" s="1"/>
      <c r="R3393" s="1"/>
      <c r="S3393" s="1"/>
      <c r="T3393" s="1"/>
      <c r="U3393" s="1"/>
      <c r="V3393" s="1"/>
      <c r="W3393" s="1"/>
      <c r="X3393" s="1"/>
      <c r="Y3393" s="1"/>
      <c r="Z3393" s="1"/>
      <c r="AA3393" s="1"/>
      <c r="AB3393" s="1"/>
    </row>
    <row r="3394" ht="50.25" customHeight="1">
      <c r="A3394" s="12">
        <v>3390.0</v>
      </c>
      <c r="B3394" s="13" t="s">
        <v>3126</v>
      </c>
      <c r="C3394" s="14" t="s">
        <v>3410</v>
      </c>
      <c r="D3394" s="1"/>
      <c r="E3394" s="1"/>
      <c r="F3394" s="1" t="str">
        <f>IFERROR(__xludf.DUMMYFUNCTION("GOOGLETRANSLATE(B3394, ""en"", ""fa"")
"),"آشپزی")</f>
        <v>آشپزی</v>
      </c>
      <c r="G3394" s="1" t="str">
        <f>IFERROR(__xludf.DUMMYFUNCTION("GOOGLETRANSLATE(C3394, ""en"", ""fa"")
"),"در مورد مزایای تمرین ذهن آگاهی در زندگی روزمره و تأثیر آن بر بهزیستی کلی بحث کنید.")</f>
        <v>در مورد مزایای تمرین ذهن آگاهی در زندگی روزمره و تأثیر آن بر بهزیستی کلی بحث کنید.</v>
      </c>
      <c r="H3394" s="1"/>
      <c r="I3394" s="1"/>
      <c r="J3394" s="1"/>
      <c r="K3394" s="1"/>
      <c r="L3394" s="1"/>
      <c r="M3394" s="1"/>
      <c r="N3394" s="1"/>
      <c r="O3394" s="1"/>
      <c r="P3394" s="1"/>
      <c r="Q3394" s="1"/>
      <c r="R3394" s="1"/>
      <c r="S3394" s="1"/>
      <c r="T3394" s="1"/>
      <c r="U3394" s="1"/>
      <c r="V3394" s="1"/>
      <c r="W3394" s="1"/>
      <c r="X3394" s="1"/>
      <c r="Y3394" s="1"/>
      <c r="Z3394" s="1"/>
      <c r="AA3394" s="1"/>
      <c r="AB3394" s="1"/>
    </row>
    <row r="3395" ht="50.25" customHeight="1">
      <c r="A3395" s="12">
        <v>3391.0</v>
      </c>
      <c r="B3395" s="13" t="s">
        <v>3126</v>
      </c>
      <c r="C3395" s="14" t="s">
        <v>3411</v>
      </c>
      <c r="D3395" s="1"/>
      <c r="E3395" s="1"/>
      <c r="F3395" s="1" t="str">
        <f>IFERROR(__xludf.DUMMYFUNCTION("GOOGLETRANSLATE(B3395, ""en"", ""fa"")
"),"آشپزی")</f>
        <v>آشپزی</v>
      </c>
      <c r="G3395" s="1" t="str">
        <f>IFERROR(__xludf.DUMMYFUNCTION("GOOGLETRANSLATE(C3395, ""en"", ""fa"")
"),"نکاتی را برای ایجاد یک فضای مراقبه آرام و دعوت کننده در خانه به اشتراک بگذارید.")</f>
        <v>نکاتی را برای ایجاد یک فضای مراقبه آرام و دعوت کننده در خانه به اشتراک بگذارید.</v>
      </c>
      <c r="H3395" s="1"/>
      <c r="I3395" s="1"/>
      <c r="J3395" s="1"/>
      <c r="K3395" s="1"/>
      <c r="L3395" s="1"/>
      <c r="M3395" s="1"/>
      <c r="N3395" s="1"/>
      <c r="O3395" s="1"/>
      <c r="P3395" s="1"/>
      <c r="Q3395" s="1"/>
      <c r="R3395" s="1"/>
      <c r="S3395" s="1"/>
      <c r="T3395" s="1"/>
      <c r="U3395" s="1"/>
      <c r="V3395" s="1"/>
      <c r="W3395" s="1"/>
      <c r="X3395" s="1"/>
      <c r="Y3395" s="1"/>
      <c r="Z3395" s="1"/>
      <c r="AA3395" s="1"/>
      <c r="AB3395" s="1"/>
    </row>
    <row r="3396" ht="50.25" customHeight="1">
      <c r="A3396" s="12">
        <v>3392.0</v>
      </c>
      <c r="B3396" s="13" t="s">
        <v>3126</v>
      </c>
      <c r="C3396" s="14" t="s">
        <v>3412</v>
      </c>
      <c r="D3396" s="1"/>
      <c r="E3396" s="1"/>
      <c r="F3396" s="1" t="str">
        <f>IFERROR(__xludf.DUMMYFUNCTION("GOOGLETRANSLATE(B3396, ""en"", ""fa"")
"),"آشپزی")</f>
        <v>آشپزی</v>
      </c>
      <c r="G3396" s="1" t="str">
        <f>IFERROR(__xludf.DUMMYFUNCTION("GOOGLETRANSLATE(C3396, ""en"", ""fa"")
"),"انواع مختلف تمرین‌های مراقبه، مانند محبت‌آمیز بودن یا مدیتیشن اسکن بدن را کاوش کنید.")</f>
        <v>انواع مختلف تمرین‌های مراقبه، مانند محبت‌آمیز بودن یا مدیتیشن اسکن بدن را کاوش کنید.</v>
      </c>
      <c r="H3396" s="1"/>
      <c r="I3396" s="1"/>
      <c r="J3396" s="1"/>
      <c r="K3396" s="1"/>
      <c r="L3396" s="1"/>
      <c r="M3396" s="1"/>
      <c r="N3396" s="1"/>
      <c r="O3396" s="1"/>
      <c r="P3396" s="1"/>
      <c r="Q3396" s="1"/>
      <c r="R3396" s="1"/>
      <c r="S3396" s="1"/>
      <c r="T3396" s="1"/>
      <c r="U3396" s="1"/>
      <c r="V3396" s="1"/>
      <c r="W3396" s="1"/>
      <c r="X3396" s="1"/>
      <c r="Y3396" s="1"/>
      <c r="Z3396" s="1"/>
      <c r="AA3396" s="1"/>
      <c r="AB3396" s="1"/>
    </row>
    <row r="3397" ht="50.25" customHeight="1">
      <c r="A3397" s="12">
        <v>3393.0</v>
      </c>
      <c r="B3397" s="13" t="s">
        <v>3126</v>
      </c>
      <c r="C3397" s="14" t="s">
        <v>3413</v>
      </c>
      <c r="D3397" s="1"/>
      <c r="E3397" s="1"/>
      <c r="F3397" s="1" t="str">
        <f>IFERROR(__xludf.DUMMYFUNCTION("GOOGLETRANSLATE(B3397, ""en"", ""fa"")
"),"آشپزی")</f>
        <v>آشپزی</v>
      </c>
      <c r="G3397" s="1" t="str">
        <f>IFERROR(__xludf.DUMMYFUNCTION("GOOGLETRANSLATE(C3397, ""en"", ""fa"")
"),"در مورد اهمیت تعیین مقاصد و اهداف برای تمرین ذهن آگاهی و مراقبه خود بحث کنید.")</f>
        <v>در مورد اهمیت تعیین مقاصد و اهداف برای تمرین ذهن آگاهی و مراقبه خود بحث کنید.</v>
      </c>
      <c r="H3397" s="1"/>
      <c r="I3397" s="1"/>
      <c r="J3397" s="1"/>
      <c r="K3397" s="1"/>
      <c r="L3397" s="1"/>
      <c r="M3397" s="1"/>
      <c r="N3397" s="1"/>
      <c r="O3397" s="1"/>
      <c r="P3397" s="1"/>
      <c r="Q3397" s="1"/>
      <c r="R3397" s="1"/>
      <c r="S3397" s="1"/>
      <c r="T3397" s="1"/>
      <c r="U3397" s="1"/>
      <c r="V3397" s="1"/>
      <c r="W3397" s="1"/>
      <c r="X3397" s="1"/>
      <c r="Y3397" s="1"/>
      <c r="Z3397" s="1"/>
      <c r="AA3397" s="1"/>
      <c r="AB3397" s="1"/>
    </row>
    <row r="3398" ht="50.25" customHeight="1">
      <c r="A3398" s="12">
        <v>3394.0</v>
      </c>
      <c r="B3398" s="13" t="s">
        <v>3126</v>
      </c>
      <c r="C3398" s="14" t="s">
        <v>3414</v>
      </c>
      <c r="D3398" s="1"/>
      <c r="E3398" s="1"/>
      <c r="F3398" s="1" t="str">
        <f>IFERROR(__xludf.DUMMYFUNCTION("GOOGLETRANSLATE(B3398, ""en"", ""fa"")
"),"آشپزی")</f>
        <v>آشپزی</v>
      </c>
      <c r="G3398" s="1" t="str">
        <f>IFERROR(__xludf.DUMMYFUNCTION("GOOGLETRANSLATE(C3398, ""en"", ""fa"")
"),"تکنیک های مدیتیشن هدایت شده را برای ترویج خواب بهتر و آرامش به اشتراک بگذارید.")</f>
        <v>تکنیک های مدیتیشن هدایت شده را برای ترویج خواب بهتر و آرامش به اشتراک بگذارید.</v>
      </c>
      <c r="H3398" s="1"/>
      <c r="I3398" s="1"/>
      <c r="J3398" s="1"/>
      <c r="K3398" s="1"/>
      <c r="L3398" s="1"/>
      <c r="M3398" s="1"/>
      <c r="N3398" s="1"/>
      <c r="O3398" s="1"/>
      <c r="P3398" s="1"/>
      <c r="Q3398" s="1"/>
      <c r="R3398" s="1"/>
      <c r="S3398" s="1"/>
      <c r="T3398" s="1"/>
      <c r="U3398" s="1"/>
      <c r="V3398" s="1"/>
      <c r="W3398" s="1"/>
      <c r="X3398" s="1"/>
      <c r="Y3398" s="1"/>
      <c r="Z3398" s="1"/>
      <c r="AA3398" s="1"/>
      <c r="AB3398" s="1"/>
    </row>
    <row r="3399" ht="50.25" customHeight="1">
      <c r="A3399" s="12">
        <v>3395.0</v>
      </c>
      <c r="B3399" s="13" t="s">
        <v>3126</v>
      </c>
      <c r="C3399" s="14" t="s">
        <v>3415</v>
      </c>
      <c r="D3399" s="1"/>
      <c r="E3399" s="1"/>
      <c r="F3399" s="1" t="str">
        <f>IFERROR(__xludf.DUMMYFUNCTION("GOOGLETRANSLATE(B3399, ""en"", ""fa"")
"),"آشپزی")</f>
        <v>آشپزی</v>
      </c>
      <c r="G3399" s="1" t="str">
        <f>IFERROR(__xludf.DUMMYFUNCTION("GOOGLETRANSLATE(C3399, ""en"", ""fa"")
"),"ارتباط بین ذهن آگاهی و هوش هیجانی را بررسی کنید.")</f>
        <v>ارتباط بین ذهن آگاهی و هوش هیجانی را بررسی کنید.</v>
      </c>
      <c r="H3399" s="1"/>
      <c r="I3399" s="1"/>
      <c r="J3399" s="1"/>
      <c r="K3399" s="1"/>
      <c r="L3399" s="1"/>
      <c r="M3399" s="1"/>
      <c r="N3399" s="1"/>
      <c r="O3399" s="1"/>
      <c r="P3399" s="1"/>
      <c r="Q3399" s="1"/>
      <c r="R3399" s="1"/>
      <c r="S3399" s="1"/>
      <c r="T3399" s="1"/>
      <c r="U3399" s="1"/>
      <c r="V3399" s="1"/>
      <c r="W3399" s="1"/>
      <c r="X3399" s="1"/>
      <c r="Y3399" s="1"/>
      <c r="Z3399" s="1"/>
      <c r="AA3399" s="1"/>
      <c r="AB3399" s="1"/>
    </row>
    <row r="3400" ht="50.25" customHeight="1">
      <c r="A3400" s="12">
        <v>3396.0</v>
      </c>
      <c r="B3400" s="13" t="s">
        <v>3126</v>
      </c>
      <c r="C3400" s="14" t="s">
        <v>3416</v>
      </c>
      <c r="D3400" s="1"/>
      <c r="E3400" s="1"/>
      <c r="F3400" s="1" t="str">
        <f>IFERROR(__xludf.DUMMYFUNCTION("GOOGLETRANSLATE(B3400, ""en"", ""fa"")
"),"آشپزی")</f>
        <v>آشپزی</v>
      </c>
      <c r="G3400" s="1" t="str">
        <f>IFERROR(__xludf.DUMMYFUNCTION("GOOGLETRANSLATE(C3400, ""en"", ""fa"")
"),"در مورد مزایای گنجاندن ذهن آگاهی در فعالیت های روزانه، مانند خوردن یا پیاده روی صحبت کنید.")</f>
        <v>در مورد مزایای گنجاندن ذهن آگاهی در فعالیت های روزانه، مانند خوردن یا پیاده روی صحبت کنید.</v>
      </c>
      <c r="H3400" s="1"/>
      <c r="I3400" s="1"/>
      <c r="J3400" s="1"/>
      <c r="K3400" s="1"/>
      <c r="L3400" s="1"/>
      <c r="M3400" s="1"/>
      <c r="N3400" s="1"/>
      <c r="O3400" s="1"/>
      <c r="P3400" s="1"/>
      <c r="Q3400" s="1"/>
      <c r="R3400" s="1"/>
      <c r="S3400" s="1"/>
      <c r="T3400" s="1"/>
      <c r="U3400" s="1"/>
      <c r="V3400" s="1"/>
      <c r="W3400" s="1"/>
      <c r="X3400" s="1"/>
      <c r="Y3400" s="1"/>
      <c r="Z3400" s="1"/>
      <c r="AA3400" s="1"/>
      <c r="AB3400" s="1"/>
    </row>
    <row r="3401" ht="50.25" customHeight="1">
      <c r="A3401" s="12">
        <v>3397.0</v>
      </c>
      <c r="B3401" s="13" t="s">
        <v>3126</v>
      </c>
      <c r="C3401" s="14" t="s">
        <v>3417</v>
      </c>
      <c r="D3401" s="1"/>
      <c r="E3401" s="1"/>
      <c r="F3401" s="1" t="str">
        <f>IFERROR(__xludf.DUMMYFUNCTION("GOOGLETRANSLATE(B3401, ""en"", ""fa"")
"),"آشپزی")</f>
        <v>آشپزی</v>
      </c>
      <c r="G3401" s="1" t="str">
        <f>IFERROR(__xludf.DUMMYFUNCTION("GOOGLETRANSLATE(C3401, ""en"", ""fa"")
"),"نکاتی را برای پرورش قدردانی و قدردانی از طریق تمرینات ذهن آگاهی به اشتراک بگذارید.")</f>
        <v>نکاتی را برای پرورش قدردانی و قدردانی از طریق تمرینات ذهن آگاهی به اشتراک بگذارید.</v>
      </c>
      <c r="H3401" s="1"/>
      <c r="I3401" s="1"/>
      <c r="J3401" s="1"/>
      <c r="K3401" s="1"/>
      <c r="L3401" s="1"/>
      <c r="M3401" s="1"/>
      <c r="N3401" s="1"/>
      <c r="O3401" s="1"/>
      <c r="P3401" s="1"/>
      <c r="Q3401" s="1"/>
      <c r="R3401" s="1"/>
      <c r="S3401" s="1"/>
      <c r="T3401" s="1"/>
      <c r="U3401" s="1"/>
      <c r="V3401" s="1"/>
      <c r="W3401" s="1"/>
      <c r="X3401" s="1"/>
      <c r="Y3401" s="1"/>
      <c r="Z3401" s="1"/>
      <c r="AA3401" s="1"/>
      <c r="AB3401" s="1"/>
    </row>
    <row r="3402" ht="50.25" customHeight="1">
      <c r="A3402" s="12">
        <v>3398.0</v>
      </c>
      <c r="B3402" s="13" t="s">
        <v>3126</v>
      </c>
      <c r="C3402" s="14" t="s">
        <v>3418</v>
      </c>
      <c r="D3402" s="1"/>
      <c r="E3402" s="1"/>
      <c r="F3402" s="1" t="str">
        <f>IFERROR(__xludf.DUMMYFUNCTION("GOOGLETRANSLATE(B3402, ""en"", ""fa"")
"),"آشپزی")</f>
        <v>آشپزی</v>
      </c>
      <c r="G3402" s="1" t="str">
        <f>IFERROR(__xludf.DUMMYFUNCTION("GOOGLETRANSLATE(C3402, ""en"", ""fa"")
"),"نقش ذهن آگاهی در مدیریت و کاهش اضطراب و استرس را بررسی کنید.")</f>
        <v>نقش ذهن آگاهی در مدیریت و کاهش اضطراب و استرس را بررسی کنید.</v>
      </c>
      <c r="H3402" s="1"/>
      <c r="I3402" s="1"/>
      <c r="J3402" s="1"/>
      <c r="K3402" s="1"/>
      <c r="L3402" s="1"/>
      <c r="M3402" s="1"/>
      <c r="N3402" s="1"/>
      <c r="O3402" s="1"/>
      <c r="P3402" s="1"/>
      <c r="Q3402" s="1"/>
      <c r="R3402" s="1"/>
      <c r="S3402" s="1"/>
      <c r="T3402" s="1"/>
      <c r="U3402" s="1"/>
      <c r="V3402" s="1"/>
      <c r="W3402" s="1"/>
      <c r="X3402" s="1"/>
      <c r="Y3402" s="1"/>
      <c r="Z3402" s="1"/>
      <c r="AA3402" s="1"/>
      <c r="AB3402" s="1"/>
    </row>
    <row r="3403" ht="50.25" customHeight="1">
      <c r="A3403" s="12">
        <v>3399.0</v>
      </c>
      <c r="B3403" s="13" t="s">
        <v>3126</v>
      </c>
      <c r="C3403" s="14" t="s">
        <v>3419</v>
      </c>
      <c r="D3403" s="1"/>
      <c r="E3403" s="1"/>
      <c r="F3403" s="1" t="str">
        <f>IFERROR(__xludf.DUMMYFUNCTION("GOOGLETRANSLATE(B3403, ""en"", ""fa"")
"),"آشپزی")</f>
        <v>آشپزی</v>
      </c>
      <c r="G3403" s="1" t="str">
        <f>IFERROR(__xludf.DUMMYFUNCTION("GOOGLETRANSLATE(C3403, ""en"", ""fa"")
"),"در مورد مزایای تمرین ذهن آگاهی در افزایش تمرکز و تمرکز بحث کنید.")</f>
        <v>در مورد مزایای تمرین ذهن آگاهی در افزایش تمرکز و تمرکز بحث کنید.</v>
      </c>
      <c r="H3403" s="1"/>
      <c r="I3403" s="1"/>
      <c r="J3403" s="1"/>
      <c r="K3403" s="1"/>
      <c r="L3403" s="1"/>
      <c r="M3403" s="1"/>
      <c r="N3403" s="1"/>
      <c r="O3403" s="1"/>
      <c r="P3403" s="1"/>
      <c r="Q3403" s="1"/>
      <c r="R3403" s="1"/>
      <c r="S3403" s="1"/>
      <c r="T3403" s="1"/>
      <c r="U3403" s="1"/>
      <c r="V3403" s="1"/>
      <c r="W3403" s="1"/>
      <c r="X3403" s="1"/>
      <c r="Y3403" s="1"/>
      <c r="Z3403" s="1"/>
      <c r="AA3403" s="1"/>
      <c r="AB3403" s="1"/>
    </row>
    <row r="3404" ht="50.25" customHeight="1">
      <c r="A3404" s="12">
        <v>3400.0</v>
      </c>
      <c r="B3404" s="13" t="s">
        <v>3126</v>
      </c>
      <c r="C3404" s="14" t="s">
        <v>3420</v>
      </c>
      <c r="D3404" s="1"/>
      <c r="E3404" s="1"/>
      <c r="F3404" s="1" t="str">
        <f>IFERROR(__xludf.DUMMYFUNCTION("GOOGLETRANSLATE(B3404, ""en"", ""fa"")
"),"آشپزی")</f>
        <v>آشپزی</v>
      </c>
      <c r="G3404" s="1" t="str">
        <f>IFERROR(__xludf.DUMMYFUNCTION("GOOGLETRANSLATE(C3404, ""en"", ""fa"")
"),"تکنیک های پرورش شفقت به خود و مراقبت از خود را از طریق تمرین های ذهن آگاهی به اشتراک بگذارید.")</f>
        <v>تکنیک های پرورش شفقت به خود و مراقبت از خود را از طریق تمرین های ذهن آگاهی به اشتراک بگذارید.</v>
      </c>
      <c r="H3404" s="1"/>
      <c r="I3404" s="1"/>
      <c r="J3404" s="1"/>
      <c r="K3404" s="1"/>
      <c r="L3404" s="1"/>
      <c r="M3404" s="1"/>
      <c r="N3404" s="1"/>
      <c r="O3404" s="1"/>
      <c r="P3404" s="1"/>
      <c r="Q3404" s="1"/>
      <c r="R3404" s="1"/>
      <c r="S3404" s="1"/>
      <c r="T3404" s="1"/>
      <c r="U3404" s="1"/>
      <c r="V3404" s="1"/>
      <c r="W3404" s="1"/>
      <c r="X3404" s="1"/>
      <c r="Y3404" s="1"/>
      <c r="Z3404" s="1"/>
      <c r="AA3404" s="1"/>
      <c r="AB3404" s="1"/>
    </row>
    <row r="3405" ht="50.25" customHeight="1">
      <c r="A3405" s="12">
        <v>3401.0</v>
      </c>
      <c r="B3405" s="13" t="s">
        <v>3126</v>
      </c>
      <c r="C3405" s="14" t="s">
        <v>3421</v>
      </c>
      <c r="D3405" s="1"/>
      <c r="E3405" s="1"/>
      <c r="F3405" s="1" t="str">
        <f>IFERROR(__xludf.DUMMYFUNCTION("GOOGLETRANSLATE(B3405, ""en"", ""fa"")
"),"آشپزی")</f>
        <v>آشپزی</v>
      </c>
      <c r="G3405" s="1" t="str">
        <f>IFERROR(__xludf.DUMMYFUNCTION("GOOGLETRANSLATE(C3405, ""en"", ""fa"")
"),"ارتباط بین ذهن آگاهی و تاب آوری در مواجهه با چالش های زندگی را بررسی کنید.")</f>
        <v>ارتباط بین ذهن آگاهی و تاب آوری در مواجهه با چالش های زندگی را بررسی کنید.</v>
      </c>
      <c r="H3405" s="1"/>
      <c r="I3405" s="1"/>
      <c r="J3405" s="1"/>
      <c r="K3405" s="1"/>
      <c r="L3405" s="1"/>
      <c r="M3405" s="1"/>
      <c r="N3405" s="1"/>
      <c r="O3405" s="1"/>
      <c r="P3405" s="1"/>
      <c r="Q3405" s="1"/>
      <c r="R3405" s="1"/>
      <c r="S3405" s="1"/>
      <c r="T3405" s="1"/>
      <c r="U3405" s="1"/>
      <c r="V3405" s="1"/>
      <c r="W3405" s="1"/>
      <c r="X3405" s="1"/>
      <c r="Y3405" s="1"/>
      <c r="Z3405" s="1"/>
      <c r="AA3405" s="1"/>
      <c r="AB3405" s="1"/>
    </row>
    <row r="3406" ht="50.25" customHeight="1">
      <c r="A3406" s="12">
        <v>3402.0</v>
      </c>
      <c r="B3406" s="13" t="s">
        <v>3126</v>
      </c>
      <c r="C3406" s="14" t="s">
        <v>3422</v>
      </c>
      <c r="D3406" s="1"/>
      <c r="E3406" s="1"/>
      <c r="F3406" s="1" t="str">
        <f>IFERROR(__xludf.DUMMYFUNCTION("GOOGLETRANSLATE(B3406, ""en"", ""fa"")
"),"آشپزی")</f>
        <v>آشپزی</v>
      </c>
      <c r="G3406" s="1" t="str">
        <f>IFERROR(__xludf.DUMMYFUNCTION("GOOGLETRANSLATE(C3406, ""en"", ""fa"")
"),"در مورد مزایای تمرین ذهن آگاهی در بهبود روابط بین فردی و ارتباطات بحث کنید.")</f>
        <v>در مورد مزایای تمرین ذهن آگاهی در بهبود روابط بین فردی و ارتباطات بحث کنید.</v>
      </c>
      <c r="H3406" s="1"/>
      <c r="I3406" s="1"/>
      <c r="J3406" s="1"/>
      <c r="K3406" s="1"/>
      <c r="L3406" s="1"/>
      <c r="M3406" s="1"/>
      <c r="N3406" s="1"/>
      <c r="O3406" s="1"/>
      <c r="P3406" s="1"/>
      <c r="Q3406" s="1"/>
      <c r="R3406" s="1"/>
      <c r="S3406" s="1"/>
      <c r="T3406" s="1"/>
      <c r="U3406" s="1"/>
      <c r="V3406" s="1"/>
      <c r="W3406" s="1"/>
      <c r="X3406" s="1"/>
      <c r="Y3406" s="1"/>
      <c r="Z3406" s="1"/>
      <c r="AA3406" s="1"/>
      <c r="AB3406" s="1"/>
    </row>
    <row r="3407" ht="50.25" customHeight="1">
      <c r="A3407" s="12">
        <v>3403.0</v>
      </c>
      <c r="B3407" s="13" t="s">
        <v>3126</v>
      </c>
      <c r="C3407" s="14" t="s">
        <v>3423</v>
      </c>
      <c r="D3407" s="1"/>
      <c r="E3407" s="1"/>
      <c r="F3407" s="1" t="str">
        <f>IFERROR(__xludf.DUMMYFUNCTION("GOOGLETRANSLATE(B3407, ""en"", ""fa"")
"),"آشپزی")</f>
        <v>آشپزی</v>
      </c>
      <c r="G3407" s="1" t="str">
        <f>IFERROR(__xludf.DUMMYFUNCTION("GOOGLETRANSLATE(C3407, ""en"", ""fa"")
"),"نکاتی را برای گنجاندن ذهن آگاهی در یک برنامه شلوغ یا محیط کاری به اشتراک بگذارید.")</f>
        <v>نکاتی را برای گنجاندن ذهن آگاهی در یک برنامه شلوغ یا محیط کاری به اشتراک بگذارید.</v>
      </c>
      <c r="H3407" s="1"/>
      <c r="I3407" s="1"/>
      <c r="J3407" s="1"/>
      <c r="K3407" s="1"/>
      <c r="L3407" s="1"/>
      <c r="M3407" s="1"/>
      <c r="N3407" s="1"/>
      <c r="O3407" s="1"/>
      <c r="P3407" s="1"/>
      <c r="Q3407" s="1"/>
      <c r="R3407" s="1"/>
      <c r="S3407" s="1"/>
      <c r="T3407" s="1"/>
      <c r="U3407" s="1"/>
      <c r="V3407" s="1"/>
      <c r="W3407" s="1"/>
      <c r="X3407" s="1"/>
      <c r="Y3407" s="1"/>
      <c r="Z3407" s="1"/>
      <c r="AA3407" s="1"/>
      <c r="AB3407" s="1"/>
    </row>
    <row r="3408" ht="50.25" customHeight="1">
      <c r="A3408" s="12">
        <v>3404.0</v>
      </c>
      <c r="B3408" s="13" t="s">
        <v>3126</v>
      </c>
      <c r="C3408" s="14" t="s">
        <v>3424</v>
      </c>
      <c r="D3408" s="1"/>
      <c r="E3408" s="1"/>
      <c r="F3408" s="1" t="str">
        <f>IFERROR(__xludf.DUMMYFUNCTION("GOOGLETRANSLATE(B3408, ""en"", ""fa"")
"),"آشپزی")</f>
        <v>آشپزی</v>
      </c>
      <c r="G3408" s="1" t="str">
        <f>IFERROR(__xludf.DUMMYFUNCTION("GOOGLETRANSLATE(C3408, ""en"", ""fa"")
"),"تکنیک های مختلف مدیتیشن را برای تقویت آرامش و کاهش استرس کاوش کنید.")</f>
        <v>تکنیک های مختلف مدیتیشن را برای تقویت آرامش و کاهش استرس کاوش کنید.</v>
      </c>
      <c r="H3408" s="1"/>
      <c r="I3408" s="1"/>
      <c r="J3408" s="1"/>
      <c r="K3408" s="1"/>
      <c r="L3408" s="1"/>
      <c r="M3408" s="1"/>
      <c r="N3408" s="1"/>
      <c r="O3408" s="1"/>
      <c r="P3408" s="1"/>
      <c r="Q3408" s="1"/>
      <c r="R3408" s="1"/>
      <c r="S3408" s="1"/>
      <c r="T3408" s="1"/>
      <c r="U3408" s="1"/>
      <c r="V3408" s="1"/>
      <c r="W3408" s="1"/>
      <c r="X3408" s="1"/>
      <c r="Y3408" s="1"/>
      <c r="Z3408" s="1"/>
      <c r="AA3408" s="1"/>
      <c r="AB3408" s="1"/>
    </row>
    <row r="3409" ht="50.25" customHeight="1">
      <c r="A3409" s="12">
        <v>3405.0</v>
      </c>
      <c r="B3409" s="13" t="s">
        <v>3126</v>
      </c>
      <c r="C3409" s="14" t="s">
        <v>3425</v>
      </c>
      <c r="D3409" s="1"/>
      <c r="E3409" s="1"/>
      <c r="F3409" s="1" t="str">
        <f>IFERROR(__xludf.DUMMYFUNCTION("GOOGLETRANSLATE(B3409, ""en"", ""fa"")
"),"آشپزی")</f>
        <v>آشپزی</v>
      </c>
      <c r="G3409" s="1" t="str">
        <f>IFERROR(__xludf.DUMMYFUNCTION("GOOGLETRANSLATE(C3409, ""en"", ""fa"")
"),"در مورد فواید غذا خوردن آگاهانه و تاثیر آن بر رابطه ما با غذا بحث کنید.")</f>
        <v>در مورد فواید غذا خوردن آگاهانه و تاثیر آن بر رابطه ما با غذا بحث کنید.</v>
      </c>
      <c r="H3409" s="1"/>
      <c r="I3409" s="1"/>
      <c r="J3409" s="1"/>
      <c r="K3409" s="1"/>
      <c r="L3409" s="1"/>
      <c r="M3409" s="1"/>
      <c r="N3409" s="1"/>
      <c r="O3409" s="1"/>
      <c r="P3409" s="1"/>
      <c r="Q3409" s="1"/>
      <c r="R3409" s="1"/>
      <c r="S3409" s="1"/>
      <c r="T3409" s="1"/>
      <c r="U3409" s="1"/>
      <c r="V3409" s="1"/>
      <c r="W3409" s="1"/>
      <c r="X3409" s="1"/>
      <c r="Y3409" s="1"/>
      <c r="Z3409" s="1"/>
      <c r="AA3409" s="1"/>
      <c r="AB3409" s="1"/>
    </row>
    <row r="3410" ht="50.25" customHeight="1">
      <c r="A3410" s="12">
        <v>3406.0</v>
      </c>
      <c r="B3410" s="13" t="s">
        <v>3126</v>
      </c>
      <c r="C3410" s="14" t="s">
        <v>3426</v>
      </c>
      <c r="D3410" s="1"/>
      <c r="E3410" s="1"/>
      <c r="F3410" s="1" t="str">
        <f>IFERROR(__xludf.DUMMYFUNCTION("GOOGLETRANSLATE(B3410, ""en"", ""fa"")
"),"آشپزی")</f>
        <v>آشپزی</v>
      </c>
      <c r="G3410" s="1" t="str">
        <f>IFERROR(__xludf.DUMMYFUNCTION("GOOGLETRANSLATE(C3410, ""en"", ""fa"")
"),"تکنیک هایی را برای ایجاد یک تمرین منظم مراقبه و غلبه بر موانع رایج به اشتراک بگذارید.")</f>
        <v>تکنیک هایی را برای ایجاد یک تمرین منظم مراقبه و غلبه بر موانع رایج به اشتراک بگذارید.</v>
      </c>
      <c r="H3410" s="1"/>
      <c r="I3410" s="1"/>
      <c r="J3410" s="1"/>
      <c r="K3410" s="1"/>
      <c r="L3410" s="1"/>
      <c r="M3410" s="1"/>
      <c r="N3410" s="1"/>
      <c r="O3410" s="1"/>
      <c r="P3410" s="1"/>
      <c r="Q3410" s="1"/>
      <c r="R3410" s="1"/>
      <c r="S3410" s="1"/>
      <c r="T3410" s="1"/>
      <c r="U3410" s="1"/>
      <c r="V3410" s="1"/>
      <c r="W3410" s="1"/>
      <c r="X3410" s="1"/>
      <c r="Y3410" s="1"/>
      <c r="Z3410" s="1"/>
      <c r="AA3410" s="1"/>
      <c r="AB3410" s="1"/>
    </row>
    <row r="3411" ht="50.25" customHeight="1">
      <c r="A3411" s="12">
        <v>3407.0</v>
      </c>
      <c r="B3411" s="13" t="s">
        <v>3427</v>
      </c>
      <c r="C3411" s="14" t="s">
        <v>3428</v>
      </c>
      <c r="D3411" s="1"/>
      <c r="E3411" s="1"/>
      <c r="F3411" s="1" t="str">
        <f>IFERROR(__xludf.DUMMYFUNCTION("GOOGLETRANSLATE(B3411, ""en"", ""fa"")
"),"تمرینات ذهن آگاهی و مدیتیشن")</f>
        <v>تمرینات ذهن آگاهی و مدیتیشن</v>
      </c>
      <c r="G3411" s="1" t="str">
        <f>IFERROR(__xludf.DUMMYFUNCTION("GOOGLETRANSLATE(C3411, ""en"", ""fa"")
"),"ارتباط بین ذهن آگاهی و خلاقیت در پرورش الهام و نوآوری را بررسی کنید.")</f>
        <v>ارتباط بین ذهن آگاهی و خلاقیت در پرورش الهام و نوآوری را بررسی کنید.</v>
      </c>
      <c r="H3411" s="1"/>
      <c r="I3411" s="1"/>
      <c r="J3411" s="1"/>
      <c r="K3411" s="1"/>
      <c r="L3411" s="1"/>
      <c r="M3411" s="1"/>
      <c r="N3411" s="1"/>
      <c r="O3411" s="1"/>
      <c r="P3411" s="1"/>
      <c r="Q3411" s="1"/>
      <c r="R3411" s="1"/>
      <c r="S3411" s="1"/>
      <c r="T3411" s="1"/>
      <c r="U3411" s="1"/>
      <c r="V3411" s="1"/>
      <c r="W3411" s="1"/>
      <c r="X3411" s="1"/>
      <c r="Y3411" s="1"/>
      <c r="Z3411" s="1"/>
      <c r="AA3411" s="1"/>
      <c r="AB3411" s="1"/>
    </row>
    <row r="3412" ht="50.25" customHeight="1">
      <c r="A3412" s="12">
        <v>3408.0</v>
      </c>
      <c r="B3412" s="13" t="s">
        <v>3427</v>
      </c>
      <c r="C3412" s="14" t="s">
        <v>3429</v>
      </c>
      <c r="D3412" s="1"/>
      <c r="E3412" s="1"/>
      <c r="F3412" s="1" t="str">
        <f>IFERROR(__xludf.DUMMYFUNCTION("GOOGLETRANSLATE(B3412, ""en"", ""fa"")
"),"تمرینات ذهن آگاهی و مدیتیشن")</f>
        <v>تمرینات ذهن آگاهی و مدیتیشن</v>
      </c>
      <c r="G3412" s="1" t="str">
        <f>IFERROR(__xludf.DUMMYFUNCTION("GOOGLETRANSLATE(C3412, ""en"", ""fa"")
"),"در مورد مزایای ذهن آگاهی در پرورش حس خودآگاهی بیشتر بحث کنید.")</f>
        <v>در مورد مزایای ذهن آگاهی در پرورش حس خودآگاهی بیشتر بحث کنید.</v>
      </c>
      <c r="H3412" s="1"/>
      <c r="I3412" s="1"/>
      <c r="J3412" s="1"/>
      <c r="K3412" s="1"/>
      <c r="L3412" s="1"/>
      <c r="M3412" s="1"/>
      <c r="N3412" s="1"/>
      <c r="O3412" s="1"/>
      <c r="P3412" s="1"/>
      <c r="Q3412" s="1"/>
      <c r="R3412" s="1"/>
      <c r="S3412" s="1"/>
      <c r="T3412" s="1"/>
      <c r="U3412" s="1"/>
      <c r="V3412" s="1"/>
      <c r="W3412" s="1"/>
      <c r="X3412" s="1"/>
      <c r="Y3412" s="1"/>
      <c r="Z3412" s="1"/>
      <c r="AA3412" s="1"/>
      <c r="AB3412" s="1"/>
    </row>
    <row r="3413" ht="50.25" customHeight="1">
      <c r="A3413" s="12">
        <v>3409.0</v>
      </c>
      <c r="B3413" s="13" t="s">
        <v>3427</v>
      </c>
      <c r="C3413" s="14" t="s">
        <v>3430</v>
      </c>
      <c r="D3413" s="1"/>
      <c r="E3413" s="1"/>
      <c r="F3413" s="1" t="str">
        <f>IFERROR(__xludf.DUMMYFUNCTION("GOOGLETRANSLATE(B3413, ""en"", ""fa"")
"),"تمرینات ذهن آگاهی و مدیتیشن")</f>
        <v>تمرینات ذهن آگاهی و مدیتیشن</v>
      </c>
      <c r="G3413" s="1" t="str">
        <f>IFERROR(__xludf.DUMMYFUNCTION("GOOGLETRANSLATE(C3413, ""en"", ""fa"")
"),"نکاتی را برای تمرین ذهن آگاهی در طبیعت و ارتباط با دنیای طبیعی به اشتراک بگذارید.")</f>
        <v>نکاتی را برای تمرین ذهن آگاهی در طبیعت و ارتباط با دنیای طبیعی به اشتراک بگذارید.</v>
      </c>
      <c r="H3413" s="1"/>
      <c r="I3413" s="1"/>
      <c r="J3413" s="1"/>
      <c r="K3413" s="1"/>
      <c r="L3413" s="1"/>
      <c r="M3413" s="1"/>
      <c r="N3413" s="1"/>
      <c r="O3413" s="1"/>
      <c r="P3413" s="1"/>
      <c r="Q3413" s="1"/>
      <c r="R3413" s="1"/>
      <c r="S3413" s="1"/>
      <c r="T3413" s="1"/>
      <c r="U3413" s="1"/>
      <c r="V3413" s="1"/>
      <c r="W3413" s="1"/>
      <c r="X3413" s="1"/>
      <c r="Y3413" s="1"/>
      <c r="Z3413" s="1"/>
      <c r="AA3413" s="1"/>
      <c r="AB3413" s="1"/>
    </row>
    <row r="3414" ht="50.25" customHeight="1">
      <c r="A3414" s="12">
        <v>3410.0</v>
      </c>
      <c r="B3414" s="13" t="s">
        <v>3427</v>
      </c>
      <c r="C3414" s="14" t="s">
        <v>3431</v>
      </c>
      <c r="D3414" s="1"/>
      <c r="E3414" s="1"/>
      <c r="F3414" s="1" t="str">
        <f>IFERROR(__xludf.DUMMYFUNCTION("GOOGLETRANSLATE(B3414, ""en"", ""fa"")
"),"تمرینات ذهن آگاهی و مدیتیشن")</f>
        <v>تمرینات ذهن آگاهی و مدیتیشن</v>
      </c>
      <c r="G3414" s="1" t="str">
        <f>IFERROR(__xludf.DUMMYFUNCTION("GOOGLETRANSLATE(C3414, ""en"", ""fa"")
"),"نقش ذهن آگاهی در مدیریت و کاهش علائم افسردگی را بررسی کنید.")</f>
        <v>نقش ذهن آگاهی در مدیریت و کاهش علائم افسردگی را بررسی کنید.</v>
      </c>
      <c r="H3414" s="1"/>
      <c r="I3414" s="1"/>
      <c r="J3414" s="1"/>
      <c r="K3414" s="1"/>
      <c r="L3414" s="1"/>
      <c r="M3414" s="1"/>
      <c r="N3414" s="1"/>
      <c r="O3414" s="1"/>
      <c r="P3414" s="1"/>
      <c r="Q3414" s="1"/>
      <c r="R3414" s="1"/>
      <c r="S3414" s="1"/>
      <c r="T3414" s="1"/>
      <c r="U3414" s="1"/>
      <c r="V3414" s="1"/>
      <c r="W3414" s="1"/>
      <c r="X3414" s="1"/>
      <c r="Y3414" s="1"/>
      <c r="Z3414" s="1"/>
      <c r="AA3414" s="1"/>
      <c r="AB3414" s="1"/>
    </row>
    <row r="3415" ht="50.25" customHeight="1">
      <c r="A3415" s="12">
        <v>3411.0</v>
      </c>
      <c r="B3415" s="13" t="s">
        <v>3427</v>
      </c>
      <c r="C3415" s="14" t="s">
        <v>3432</v>
      </c>
      <c r="D3415" s="1"/>
      <c r="E3415" s="1"/>
      <c r="F3415" s="1" t="str">
        <f>IFERROR(__xludf.DUMMYFUNCTION("GOOGLETRANSLATE(B3415, ""en"", ""fa"")
"),"تمرینات ذهن آگاهی و مدیتیشن")</f>
        <v>تمرینات ذهن آگاهی و مدیتیشن</v>
      </c>
      <c r="G3415" s="1" t="str">
        <f>IFERROR(__xludf.DUMMYFUNCTION("GOOGLETRANSLATE(C3415, ""en"", ""fa"")
"),"در مورد مزایای گنجاندن ذهن آگاهی در تمرینات بدنی و تمرینات حرکتی بحث کنید.")</f>
        <v>در مورد مزایای گنجاندن ذهن آگاهی در تمرینات بدنی و تمرینات حرکتی بحث کنید.</v>
      </c>
      <c r="H3415" s="1"/>
      <c r="I3415" s="1"/>
      <c r="J3415" s="1"/>
      <c r="K3415" s="1"/>
      <c r="L3415" s="1"/>
      <c r="M3415" s="1"/>
      <c r="N3415" s="1"/>
      <c r="O3415" s="1"/>
      <c r="P3415" s="1"/>
      <c r="Q3415" s="1"/>
      <c r="R3415" s="1"/>
      <c r="S3415" s="1"/>
      <c r="T3415" s="1"/>
      <c r="U3415" s="1"/>
      <c r="V3415" s="1"/>
      <c r="W3415" s="1"/>
      <c r="X3415" s="1"/>
      <c r="Y3415" s="1"/>
      <c r="Z3415" s="1"/>
      <c r="AA3415" s="1"/>
      <c r="AB3415" s="1"/>
    </row>
    <row r="3416" ht="50.25" customHeight="1">
      <c r="A3416" s="12">
        <v>3412.0</v>
      </c>
      <c r="B3416" s="13" t="s">
        <v>3427</v>
      </c>
      <c r="C3416" s="14" t="s">
        <v>3433</v>
      </c>
      <c r="D3416" s="1"/>
      <c r="E3416" s="1"/>
      <c r="F3416" s="1" t="str">
        <f>IFERROR(__xludf.DUMMYFUNCTION("GOOGLETRANSLATE(B3416, ""en"", ""fa"")
"),"تمرینات ذهن آگاهی و مدیتیشن")</f>
        <v>تمرینات ذهن آگاهی و مدیتیشن</v>
      </c>
      <c r="G3416" s="1" t="str">
        <f>IFERROR(__xludf.DUMMYFUNCTION("GOOGLETRANSLATE(C3416, ""en"", ""fa"")
"),"تکنیک های تمرین ذهن آگاهی را در طول احساسات چالش برانگیز یا دشوار به اشتراک بگذارید.")</f>
        <v>تکنیک های تمرین ذهن آگاهی را در طول احساسات چالش برانگیز یا دشوار به اشتراک بگذارید.</v>
      </c>
      <c r="H3416" s="1"/>
      <c r="I3416" s="1"/>
      <c r="J3416" s="1"/>
      <c r="K3416" s="1"/>
      <c r="L3416" s="1"/>
      <c r="M3416" s="1"/>
      <c r="N3416" s="1"/>
      <c r="O3416" s="1"/>
      <c r="P3416" s="1"/>
      <c r="Q3416" s="1"/>
      <c r="R3416" s="1"/>
      <c r="S3416" s="1"/>
      <c r="T3416" s="1"/>
      <c r="U3416" s="1"/>
      <c r="V3416" s="1"/>
      <c r="W3416" s="1"/>
      <c r="X3416" s="1"/>
      <c r="Y3416" s="1"/>
      <c r="Z3416" s="1"/>
      <c r="AA3416" s="1"/>
      <c r="AB3416" s="1"/>
    </row>
    <row r="3417" ht="50.25" customHeight="1">
      <c r="A3417" s="12">
        <v>3413.0</v>
      </c>
      <c r="B3417" s="13" t="s">
        <v>3427</v>
      </c>
      <c r="C3417" s="14" t="s">
        <v>3434</v>
      </c>
      <c r="D3417" s="1"/>
      <c r="E3417" s="1"/>
      <c r="F3417" s="1" t="str">
        <f>IFERROR(__xludf.DUMMYFUNCTION("GOOGLETRANSLATE(B3417, ""en"", ""fa"")
"),"تمرینات ذهن آگاهی و مدیتیشن")</f>
        <v>تمرینات ذهن آگاهی و مدیتیشن</v>
      </c>
      <c r="G3417" s="1" t="str">
        <f>IFERROR(__xludf.DUMMYFUNCTION("GOOGLETRANSLATE(C3417, ""en"", ""fa"")
"),"ارتباط بین ذهن آگاهی و بهبود عملکرد شناختی و وضوح ذهنی را بررسی کنید.")</f>
        <v>ارتباط بین ذهن آگاهی و بهبود عملکرد شناختی و وضوح ذهنی را بررسی کنید.</v>
      </c>
      <c r="H3417" s="1"/>
      <c r="I3417" s="1"/>
      <c r="J3417" s="1"/>
      <c r="K3417" s="1"/>
      <c r="L3417" s="1"/>
      <c r="M3417" s="1"/>
      <c r="N3417" s="1"/>
      <c r="O3417" s="1"/>
      <c r="P3417" s="1"/>
      <c r="Q3417" s="1"/>
      <c r="R3417" s="1"/>
      <c r="S3417" s="1"/>
      <c r="T3417" s="1"/>
      <c r="U3417" s="1"/>
      <c r="V3417" s="1"/>
      <c r="W3417" s="1"/>
      <c r="X3417" s="1"/>
      <c r="Y3417" s="1"/>
      <c r="Z3417" s="1"/>
      <c r="AA3417" s="1"/>
      <c r="AB3417" s="1"/>
    </row>
    <row r="3418" ht="50.25" customHeight="1">
      <c r="A3418" s="12">
        <v>3414.0</v>
      </c>
      <c r="B3418" s="13" t="s">
        <v>3427</v>
      </c>
      <c r="C3418" s="14" t="s">
        <v>3435</v>
      </c>
      <c r="D3418" s="1"/>
      <c r="E3418" s="1"/>
      <c r="F3418" s="1" t="str">
        <f>IFERROR(__xludf.DUMMYFUNCTION("GOOGLETRANSLATE(B3418, ""en"", ""fa"")
"),"تمرینات ذهن آگاهی و مدیتیشن")</f>
        <v>تمرینات ذهن آگاهی و مدیتیشن</v>
      </c>
      <c r="G3418" s="1" t="str">
        <f>IFERROR(__xludf.DUMMYFUNCTION("GOOGLETRANSLATE(C3418, ""en"", ""fa"")
"),"در مورد مزایای تمرین ذهن آگاهی در پرورش شفقت و همدلی با دیگران بحث کنید.")</f>
        <v>در مورد مزایای تمرین ذهن آگاهی در پرورش شفقت و همدلی با دیگران بحث کنید.</v>
      </c>
      <c r="H3418" s="1"/>
      <c r="I3418" s="1"/>
      <c r="J3418" s="1"/>
      <c r="K3418" s="1"/>
      <c r="L3418" s="1"/>
      <c r="M3418" s="1"/>
      <c r="N3418" s="1"/>
      <c r="O3418" s="1"/>
      <c r="P3418" s="1"/>
      <c r="Q3418" s="1"/>
      <c r="R3418" s="1"/>
      <c r="S3418" s="1"/>
      <c r="T3418" s="1"/>
      <c r="U3418" s="1"/>
      <c r="V3418" s="1"/>
      <c r="W3418" s="1"/>
      <c r="X3418" s="1"/>
      <c r="Y3418" s="1"/>
      <c r="Z3418" s="1"/>
      <c r="AA3418" s="1"/>
      <c r="AB3418" s="1"/>
    </row>
    <row r="3419" ht="50.25" customHeight="1">
      <c r="A3419" s="12">
        <v>3415.0</v>
      </c>
      <c r="B3419" s="13" t="s">
        <v>3427</v>
      </c>
      <c r="C3419" s="14" t="s">
        <v>3436</v>
      </c>
      <c r="D3419" s="1"/>
      <c r="E3419" s="1"/>
      <c r="F3419" s="1" t="str">
        <f>IFERROR(__xludf.DUMMYFUNCTION("GOOGLETRANSLATE(B3419, ""en"", ""fa"")
"),"تمرینات ذهن آگاهی و مدیتیشن")</f>
        <v>تمرینات ذهن آگاهی و مدیتیشن</v>
      </c>
      <c r="G3419" s="1" t="str">
        <f>IFERROR(__xludf.DUMMYFUNCTION("GOOGLETRANSLATE(C3419, ""en"", ""fa"")
"),"نکاتی را برای گنجاندن ذهن آگاهی در برنامه های روزمره، مانند مراسم صبحگاهی یا عصرانه به اشتراک بگذارید.")</f>
        <v>نکاتی را برای گنجاندن ذهن آگاهی در برنامه های روزمره، مانند مراسم صبحگاهی یا عصرانه به اشتراک بگذارید.</v>
      </c>
      <c r="H3419" s="1"/>
      <c r="I3419" s="1"/>
      <c r="J3419" s="1"/>
      <c r="K3419" s="1"/>
      <c r="L3419" s="1"/>
      <c r="M3419" s="1"/>
      <c r="N3419" s="1"/>
      <c r="O3419" s="1"/>
      <c r="P3419" s="1"/>
      <c r="Q3419" s="1"/>
      <c r="R3419" s="1"/>
      <c r="S3419" s="1"/>
      <c r="T3419" s="1"/>
      <c r="U3419" s="1"/>
      <c r="V3419" s="1"/>
      <c r="W3419" s="1"/>
      <c r="X3419" s="1"/>
      <c r="Y3419" s="1"/>
      <c r="Z3419" s="1"/>
      <c r="AA3419" s="1"/>
      <c r="AB3419" s="1"/>
    </row>
    <row r="3420" ht="50.25" customHeight="1">
      <c r="A3420" s="12">
        <v>3416.0</v>
      </c>
      <c r="B3420" s="13" t="s">
        <v>3427</v>
      </c>
      <c r="C3420" s="14" t="s">
        <v>3437</v>
      </c>
      <c r="D3420" s="1"/>
      <c r="E3420" s="1"/>
      <c r="F3420" s="1" t="str">
        <f>IFERROR(__xludf.DUMMYFUNCTION("GOOGLETRANSLATE(B3420, ""en"", ""fa"")
"),"تمرینات ذهن آگاهی و مدیتیشن")</f>
        <v>تمرینات ذهن آگاهی و مدیتیشن</v>
      </c>
      <c r="G3420" s="1" t="str">
        <f>IFERROR(__xludf.DUMMYFUNCTION("GOOGLETRANSLATE(C3420, ""en"", ""fa"")
"),"روش های مختلف ذهن آگاهی را برای ترویج آرامش و کاهش استرس در محل کار بررسی کنید.")</f>
        <v>روش های مختلف ذهن آگاهی را برای ترویج آرامش و کاهش استرس در محل کار بررسی کنید.</v>
      </c>
      <c r="H3420" s="1"/>
      <c r="I3420" s="1"/>
      <c r="J3420" s="1"/>
      <c r="K3420" s="1"/>
      <c r="L3420" s="1"/>
      <c r="M3420" s="1"/>
      <c r="N3420" s="1"/>
      <c r="O3420" s="1"/>
      <c r="P3420" s="1"/>
      <c r="Q3420" s="1"/>
      <c r="R3420" s="1"/>
      <c r="S3420" s="1"/>
      <c r="T3420" s="1"/>
      <c r="U3420" s="1"/>
      <c r="V3420" s="1"/>
      <c r="W3420" s="1"/>
      <c r="X3420" s="1"/>
      <c r="Y3420" s="1"/>
      <c r="Z3420" s="1"/>
      <c r="AA3420" s="1"/>
      <c r="AB3420" s="1"/>
    </row>
    <row r="3421" ht="50.25" customHeight="1">
      <c r="A3421" s="12">
        <v>3417.0</v>
      </c>
      <c r="B3421" s="13" t="s">
        <v>3427</v>
      </c>
      <c r="C3421" s="14" t="s">
        <v>3438</v>
      </c>
      <c r="D3421" s="1"/>
      <c r="E3421" s="1"/>
      <c r="F3421" s="1" t="str">
        <f>IFERROR(__xludf.DUMMYFUNCTION("GOOGLETRANSLATE(B3421, ""en"", ""fa"")
"),"تمرینات ذهن آگاهی و مدیتیشن")</f>
        <v>تمرینات ذهن آگاهی و مدیتیشن</v>
      </c>
      <c r="G3421" s="1" t="str">
        <f>IFERROR(__xludf.DUMMYFUNCTION("GOOGLETRANSLATE(C3421, ""en"", ""fa"")
"),"در مورد مزایای تمرین ذهن آگاهی در ایجاد حس بیشتر هدف و معنا در زندگی بحث کنید.")</f>
        <v>در مورد مزایای تمرین ذهن آگاهی در ایجاد حس بیشتر هدف و معنا در زندگی بحث کنید.</v>
      </c>
      <c r="H3421" s="1"/>
      <c r="I3421" s="1"/>
      <c r="J3421" s="1"/>
      <c r="K3421" s="1"/>
      <c r="L3421" s="1"/>
      <c r="M3421" s="1"/>
      <c r="N3421" s="1"/>
      <c r="O3421" s="1"/>
      <c r="P3421" s="1"/>
      <c r="Q3421" s="1"/>
      <c r="R3421" s="1"/>
      <c r="S3421" s="1"/>
      <c r="T3421" s="1"/>
      <c r="U3421" s="1"/>
      <c r="V3421" s="1"/>
      <c r="W3421" s="1"/>
      <c r="X3421" s="1"/>
      <c r="Y3421" s="1"/>
      <c r="Z3421" s="1"/>
      <c r="AA3421" s="1"/>
      <c r="AB3421" s="1"/>
    </row>
    <row r="3422" ht="50.25" customHeight="1">
      <c r="A3422" s="12">
        <v>3418.0</v>
      </c>
      <c r="B3422" s="13" t="s">
        <v>3427</v>
      </c>
      <c r="C3422" s="14" t="s">
        <v>3439</v>
      </c>
      <c r="D3422" s="1"/>
      <c r="E3422" s="1"/>
      <c r="F3422" s="1" t="str">
        <f>IFERROR(__xludf.DUMMYFUNCTION("GOOGLETRANSLATE(B3422, ""en"", ""fa"")
"),"تمرینات ذهن آگاهی و مدیتیشن")</f>
        <v>تمرینات ذهن آگاهی و مدیتیشن</v>
      </c>
      <c r="G3422" s="1" t="str">
        <f>IFERROR(__xludf.DUMMYFUNCTION("GOOGLETRANSLATE(C3422, ""en"", ""fa"")
"),"تکنیک های تمرین ذهن آگاهی در تعاملات اجتماعی و تقویت همدلی را به اشتراک بگذارید.")</f>
        <v>تکنیک های تمرین ذهن آگاهی در تعاملات اجتماعی و تقویت همدلی را به اشتراک بگذارید.</v>
      </c>
      <c r="H3422" s="1"/>
      <c r="I3422" s="1"/>
      <c r="J3422" s="1"/>
      <c r="K3422" s="1"/>
      <c r="L3422" s="1"/>
      <c r="M3422" s="1"/>
      <c r="N3422" s="1"/>
      <c r="O3422" s="1"/>
      <c r="P3422" s="1"/>
      <c r="Q3422" s="1"/>
      <c r="R3422" s="1"/>
      <c r="S3422" s="1"/>
      <c r="T3422" s="1"/>
      <c r="U3422" s="1"/>
      <c r="V3422" s="1"/>
      <c r="W3422" s="1"/>
      <c r="X3422" s="1"/>
      <c r="Y3422" s="1"/>
      <c r="Z3422" s="1"/>
      <c r="AA3422" s="1"/>
      <c r="AB3422" s="1"/>
    </row>
    <row r="3423" ht="50.25" customHeight="1">
      <c r="A3423" s="12">
        <v>3419.0</v>
      </c>
      <c r="B3423" s="13" t="s">
        <v>3427</v>
      </c>
      <c r="C3423" s="14" t="s">
        <v>3440</v>
      </c>
      <c r="D3423" s="1"/>
      <c r="E3423" s="1"/>
      <c r="F3423" s="1" t="str">
        <f>IFERROR(__xludf.DUMMYFUNCTION("GOOGLETRANSLATE(B3423, ""en"", ""fa"")
"),"تمرینات ذهن آگاهی و مدیتیشن")</f>
        <v>تمرینات ذهن آگاهی و مدیتیشن</v>
      </c>
      <c r="G3423" s="1" t="str">
        <f>IFERROR(__xludf.DUMMYFUNCTION("GOOGLETRANSLATE(C3423, ""en"", ""fa"")
"),"نقش ذهن آگاهی در مدیریت و کاهش درد مزمن و بهبود رفاه را بررسی کنید.")</f>
        <v>نقش ذهن آگاهی در مدیریت و کاهش درد مزمن و بهبود رفاه را بررسی کنید.</v>
      </c>
      <c r="H3423" s="1"/>
      <c r="I3423" s="1"/>
      <c r="J3423" s="1"/>
      <c r="K3423" s="1"/>
      <c r="L3423" s="1"/>
      <c r="M3423" s="1"/>
      <c r="N3423" s="1"/>
      <c r="O3423" s="1"/>
      <c r="P3423" s="1"/>
      <c r="Q3423" s="1"/>
      <c r="R3423" s="1"/>
      <c r="S3423" s="1"/>
      <c r="T3423" s="1"/>
      <c r="U3423" s="1"/>
      <c r="V3423" s="1"/>
      <c r="W3423" s="1"/>
      <c r="X3423" s="1"/>
      <c r="Y3423" s="1"/>
      <c r="Z3423" s="1"/>
      <c r="AA3423" s="1"/>
      <c r="AB3423" s="1"/>
    </row>
    <row r="3424" ht="50.25" customHeight="1">
      <c r="A3424" s="12">
        <v>3420.0</v>
      </c>
      <c r="B3424" s="13" t="s">
        <v>3427</v>
      </c>
      <c r="C3424" s="14" t="s">
        <v>3441</v>
      </c>
      <c r="D3424" s="1"/>
      <c r="E3424" s="1"/>
      <c r="F3424" s="1" t="str">
        <f>IFERROR(__xludf.DUMMYFUNCTION("GOOGLETRANSLATE(B3424, ""en"", ""fa"")
"),"تمرینات ذهن آگاهی و مدیتیشن")</f>
        <v>تمرینات ذهن آگاهی و مدیتیشن</v>
      </c>
      <c r="G3424" s="1" t="str">
        <f>IFERROR(__xludf.DUMMYFUNCTION("GOOGLETRANSLATE(C3424, ""en"", ""fa"")
"),"در مورد مزایای گنجاندن ذهن آگاهی در والدین و پرورش روابط با کودکان بحث کنید.")</f>
        <v>در مورد مزایای گنجاندن ذهن آگاهی در والدین و پرورش روابط با کودکان بحث کنید.</v>
      </c>
      <c r="H3424" s="1"/>
      <c r="I3424" s="1"/>
      <c r="J3424" s="1"/>
      <c r="K3424" s="1"/>
      <c r="L3424" s="1"/>
      <c r="M3424" s="1"/>
      <c r="N3424" s="1"/>
      <c r="O3424" s="1"/>
      <c r="P3424" s="1"/>
      <c r="Q3424" s="1"/>
      <c r="R3424" s="1"/>
      <c r="S3424" s="1"/>
      <c r="T3424" s="1"/>
      <c r="U3424" s="1"/>
      <c r="V3424" s="1"/>
      <c r="W3424" s="1"/>
      <c r="X3424" s="1"/>
      <c r="Y3424" s="1"/>
      <c r="Z3424" s="1"/>
      <c r="AA3424" s="1"/>
      <c r="AB3424" s="1"/>
    </row>
    <row r="3425" ht="50.25" customHeight="1">
      <c r="A3425" s="12">
        <v>3421.0</v>
      </c>
      <c r="B3425" s="13" t="s">
        <v>3427</v>
      </c>
      <c r="C3425" s="14" t="s">
        <v>3442</v>
      </c>
      <c r="D3425" s="1"/>
      <c r="E3425" s="1"/>
      <c r="F3425" s="1" t="str">
        <f>IFERROR(__xludf.DUMMYFUNCTION("GOOGLETRANSLATE(B3425, ""en"", ""fa"")
"),"تمرینات ذهن آگاهی و مدیتیشن")</f>
        <v>تمرینات ذهن آگاهی و مدیتیشن</v>
      </c>
      <c r="G3425" s="1" t="str">
        <f>IFERROR(__xludf.DUMMYFUNCTION("GOOGLETRANSLATE(C3425, ""en"", ""fa"")
"),"نکاتی را برای ادغام ذهن آگاهی در استفاده از فناوری و ایجاد تعادل دیجیتال به اشتراک بگذارید.")</f>
        <v>نکاتی را برای ادغام ذهن آگاهی در استفاده از فناوری و ایجاد تعادل دیجیتال به اشتراک بگذارید.</v>
      </c>
      <c r="H3425" s="1"/>
      <c r="I3425" s="1"/>
      <c r="J3425" s="1"/>
      <c r="K3425" s="1"/>
      <c r="L3425" s="1"/>
      <c r="M3425" s="1"/>
      <c r="N3425" s="1"/>
      <c r="O3425" s="1"/>
      <c r="P3425" s="1"/>
      <c r="Q3425" s="1"/>
      <c r="R3425" s="1"/>
      <c r="S3425" s="1"/>
      <c r="T3425" s="1"/>
      <c r="U3425" s="1"/>
      <c r="V3425" s="1"/>
      <c r="W3425" s="1"/>
      <c r="X3425" s="1"/>
      <c r="Y3425" s="1"/>
      <c r="Z3425" s="1"/>
      <c r="AA3425" s="1"/>
      <c r="AB3425" s="1"/>
    </row>
    <row r="3426" ht="50.25" customHeight="1">
      <c r="A3426" s="12">
        <v>3422.0</v>
      </c>
      <c r="B3426" s="13" t="s">
        <v>3427</v>
      </c>
      <c r="C3426" s="14" t="s">
        <v>3443</v>
      </c>
      <c r="D3426" s="1"/>
      <c r="E3426" s="1"/>
      <c r="F3426" s="1" t="str">
        <f>IFERROR(__xludf.DUMMYFUNCTION("GOOGLETRANSLATE(B3426, ""en"", ""fa"")
"),"تمرینات ذهن آگاهی و مدیتیشن")</f>
        <v>تمرینات ذهن آگاهی و مدیتیشن</v>
      </c>
      <c r="G3426" s="1" t="str">
        <f>IFERROR(__xludf.DUMMYFUNCTION("GOOGLETRANSLATE(C3426, ""en"", ""fa"")
"),"تکنیک های مختلف مدیتیشن را برای پرورش ذهن آگاهی در حرکت، مانند یوگا یا تای چی، کاوش کنید.")</f>
        <v>تکنیک های مختلف مدیتیشن را برای پرورش ذهن آگاهی در حرکت، مانند یوگا یا تای چی، کاوش کنید.</v>
      </c>
      <c r="H3426" s="1"/>
      <c r="I3426" s="1"/>
      <c r="J3426" s="1"/>
      <c r="K3426" s="1"/>
      <c r="L3426" s="1"/>
      <c r="M3426" s="1"/>
      <c r="N3426" s="1"/>
      <c r="O3426" s="1"/>
      <c r="P3426" s="1"/>
      <c r="Q3426" s="1"/>
      <c r="R3426" s="1"/>
      <c r="S3426" s="1"/>
      <c r="T3426" s="1"/>
      <c r="U3426" s="1"/>
      <c r="V3426" s="1"/>
      <c r="W3426" s="1"/>
      <c r="X3426" s="1"/>
      <c r="Y3426" s="1"/>
      <c r="Z3426" s="1"/>
      <c r="AA3426" s="1"/>
      <c r="AB3426" s="1"/>
    </row>
    <row r="3427" ht="50.25" customHeight="1">
      <c r="A3427" s="12">
        <v>3423.0</v>
      </c>
      <c r="B3427" s="13" t="s">
        <v>3427</v>
      </c>
      <c r="C3427" s="14" t="s">
        <v>3444</v>
      </c>
      <c r="D3427" s="1"/>
      <c r="E3427" s="1"/>
      <c r="F3427" s="1" t="str">
        <f>IFERROR(__xludf.DUMMYFUNCTION("GOOGLETRANSLATE(B3427, ""en"", ""fa"")
"),"تمرینات ذهن آگاهی و مدیتیشن")</f>
        <v>تمرینات ذهن آگاهی و مدیتیشن</v>
      </c>
      <c r="G3427" s="1" t="str">
        <f>IFERROR(__xludf.DUMMYFUNCTION("GOOGLETRANSLATE(C3427, ""en"", ""fa"")
"),"در مورد مزایای تمرین ذهن آگاهی در بهبود تنظیم هیجانی و خودکنترلی بحث کنید.")</f>
        <v>در مورد مزایای تمرین ذهن آگاهی در بهبود تنظیم هیجانی و خودکنترلی بحث کنید.</v>
      </c>
      <c r="H3427" s="1"/>
      <c r="I3427" s="1"/>
      <c r="J3427" s="1"/>
      <c r="K3427" s="1"/>
      <c r="L3427" s="1"/>
      <c r="M3427" s="1"/>
      <c r="N3427" s="1"/>
      <c r="O3427" s="1"/>
      <c r="P3427" s="1"/>
      <c r="Q3427" s="1"/>
      <c r="R3427" s="1"/>
      <c r="S3427" s="1"/>
      <c r="T3427" s="1"/>
      <c r="U3427" s="1"/>
      <c r="V3427" s="1"/>
      <c r="W3427" s="1"/>
      <c r="X3427" s="1"/>
      <c r="Y3427" s="1"/>
      <c r="Z3427" s="1"/>
      <c r="AA3427" s="1"/>
      <c r="AB3427" s="1"/>
    </row>
    <row r="3428" ht="50.25" customHeight="1">
      <c r="A3428" s="12">
        <v>3424.0</v>
      </c>
      <c r="B3428" s="13" t="s">
        <v>3427</v>
      </c>
      <c r="C3428" s="14" t="s">
        <v>3445</v>
      </c>
      <c r="D3428" s="1"/>
      <c r="E3428" s="1"/>
      <c r="F3428" s="1" t="str">
        <f>IFERROR(__xludf.DUMMYFUNCTION("GOOGLETRANSLATE(B3428, ""en"", ""fa"")
"),"تمرینات ذهن آگاهی و مدیتیشن")</f>
        <v>تمرینات ذهن آگاهی و مدیتیشن</v>
      </c>
      <c r="G3428" s="1" t="str">
        <f>IFERROR(__xludf.DUMMYFUNCTION("GOOGLETRANSLATE(C3428, ""en"", ""fa"")
"),"تکنیک هایی را برای گنجاندن ذهن آگاهی در کارهای روزمره و فعالیت های روزمره به اشتراک بگذارید.")</f>
        <v>تکنیک هایی را برای گنجاندن ذهن آگاهی در کارهای روزمره و فعالیت های روزمره به اشتراک بگذارید.</v>
      </c>
      <c r="H3428" s="1"/>
      <c r="I3428" s="1"/>
      <c r="J3428" s="1"/>
      <c r="K3428" s="1"/>
      <c r="L3428" s="1"/>
      <c r="M3428" s="1"/>
      <c r="N3428" s="1"/>
      <c r="O3428" s="1"/>
      <c r="P3428" s="1"/>
      <c r="Q3428" s="1"/>
      <c r="R3428" s="1"/>
      <c r="S3428" s="1"/>
      <c r="T3428" s="1"/>
      <c r="U3428" s="1"/>
      <c r="V3428" s="1"/>
      <c r="W3428" s="1"/>
      <c r="X3428" s="1"/>
      <c r="Y3428" s="1"/>
      <c r="Z3428" s="1"/>
      <c r="AA3428" s="1"/>
      <c r="AB3428" s="1"/>
    </row>
    <row r="3429" ht="50.25" customHeight="1">
      <c r="A3429" s="12">
        <v>3425.0</v>
      </c>
      <c r="B3429" s="13" t="s">
        <v>3427</v>
      </c>
      <c r="C3429" s="14" t="s">
        <v>3446</v>
      </c>
      <c r="D3429" s="1"/>
      <c r="E3429" s="1"/>
      <c r="F3429" s="1" t="str">
        <f>IFERROR(__xludf.DUMMYFUNCTION("GOOGLETRANSLATE(B3429, ""en"", ""fa"")
"),"تمرینات ذهن آگاهی و مدیتیشن")</f>
        <v>تمرینات ذهن آگاهی و مدیتیشن</v>
      </c>
      <c r="G3429" s="1" t="str">
        <f>IFERROR(__xludf.DUMMYFUNCTION("GOOGLETRANSLATE(C3429, ""en"", ""fa"")
"),"ارتباط بین ذهن آگاهی و بهبود کیفیت خواب و آرامش را بررسی کنید.")</f>
        <v>ارتباط بین ذهن آگاهی و بهبود کیفیت خواب و آرامش را بررسی کنید.</v>
      </c>
      <c r="H3429" s="1"/>
      <c r="I3429" s="1"/>
      <c r="J3429" s="1"/>
      <c r="K3429" s="1"/>
      <c r="L3429" s="1"/>
      <c r="M3429" s="1"/>
      <c r="N3429" s="1"/>
      <c r="O3429" s="1"/>
      <c r="P3429" s="1"/>
      <c r="Q3429" s="1"/>
      <c r="R3429" s="1"/>
      <c r="S3429" s="1"/>
      <c r="T3429" s="1"/>
      <c r="U3429" s="1"/>
      <c r="V3429" s="1"/>
      <c r="W3429" s="1"/>
      <c r="X3429" s="1"/>
      <c r="Y3429" s="1"/>
      <c r="Z3429" s="1"/>
      <c r="AA3429" s="1"/>
      <c r="AB3429" s="1"/>
    </row>
    <row r="3430" ht="50.25" customHeight="1">
      <c r="A3430" s="12">
        <v>3426.0</v>
      </c>
      <c r="B3430" s="13" t="s">
        <v>3427</v>
      </c>
      <c r="C3430" s="14" t="s">
        <v>3447</v>
      </c>
      <c r="D3430" s="1"/>
      <c r="E3430" s="1"/>
      <c r="F3430" s="1" t="str">
        <f>IFERROR(__xludf.DUMMYFUNCTION("GOOGLETRANSLATE(B3430, ""en"", ""fa"")
"),"تمرینات ذهن آگاهی و مدیتیشن")</f>
        <v>تمرینات ذهن آگاهی و مدیتیشن</v>
      </c>
      <c r="G3430" s="1" t="str">
        <f>IFERROR(__xludf.DUMMYFUNCTION("GOOGLETRANSLATE(C3430, ""en"", ""fa"")
"),"در مورد مزایای ذهن آگاهی در پرورش حس بیشتر آگاهی بدن و پذیرش خود بحث کنید.")</f>
        <v>در مورد مزایای ذهن آگاهی در پرورش حس بیشتر آگاهی بدن و پذیرش خود بحث کنید.</v>
      </c>
      <c r="H3430" s="1"/>
      <c r="I3430" s="1"/>
      <c r="J3430" s="1"/>
      <c r="K3430" s="1"/>
      <c r="L3430" s="1"/>
      <c r="M3430" s="1"/>
      <c r="N3430" s="1"/>
      <c r="O3430" s="1"/>
      <c r="P3430" s="1"/>
      <c r="Q3430" s="1"/>
      <c r="R3430" s="1"/>
      <c r="S3430" s="1"/>
      <c r="T3430" s="1"/>
      <c r="U3430" s="1"/>
      <c r="V3430" s="1"/>
      <c r="W3430" s="1"/>
      <c r="X3430" s="1"/>
      <c r="Y3430" s="1"/>
      <c r="Z3430" s="1"/>
      <c r="AA3430" s="1"/>
      <c r="AB3430" s="1"/>
    </row>
    <row r="3431" ht="50.25" customHeight="1">
      <c r="A3431" s="12">
        <v>3427.0</v>
      </c>
      <c r="B3431" s="13" t="s">
        <v>3427</v>
      </c>
      <c r="C3431" s="14" t="s">
        <v>3448</v>
      </c>
      <c r="D3431" s="1"/>
      <c r="E3431" s="1"/>
      <c r="F3431" s="1" t="str">
        <f>IFERROR(__xludf.DUMMYFUNCTION("GOOGLETRANSLATE(B3431, ""en"", ""fa"")
"),"تمرینات ذهن آگاهی و مدیتیشن")</f>
        <v>تمرینات ذهن آگاهی و مدیتیشن</v>
      </c>
      <c r="G3431" s="1" t="str">
        <f>IFERROR(__xludf.DUMMYFUNCTION("GOOGLETRANSLATE(C3431, ""en"", ""fa"")
"),"نکاتی را برای تمرین ذهن آگاهی در لحظات انتقال و تغییر به اشتراک بگذارید.")</f>
        <v>نکاتی را برای تمرین ذهن آگاهی در لحظات انتقال و تغییر به اشتراک بگذارید.</v>
      </c>
      <c r="H3431" s="1"/>
      <c r="I3431" s="1"/>
      <c r="J3431" s="1"/>
      <c r="K3431" s="1"/>
      <c r="L3431" s="1"/>
      <c r="M3431" s="1"/>
      <c r="N3431" s="1"/>
      <c r="O3431" s="1"/>
      <c r="P3431" s="1"/>
      <c r="Q3431" s="1"/>
      <c r="R3431" s="1"/>
      <c r="S3431" s="1"/>
      <c r="T3431" s="1"/>
      <c r="U3431" s="1"/>
      <c r="V3431" s="1"/>
      <c r="W3431" s="1"/>
      <c r="X3431" s="1"/>
      <c r="Y3431" s="1"/>
      <c r="Z3431" s="1"/>
      <c r="AA3431" s="1"/>
      <c r="AB3431" s="1"/>
    </row>
    <row r="3432" ht="50.25" customHeight="1">
      <c r="A3432" s="12">
        <v>3428.0</v>
      </c>
      <c r="B3432" s="13" t="s">
        <v>3427</v>
      </c>
      <c r="C3432" s="14" t="s">
        <v>3449</v>
      </c>
      <c r="D3432" s="1"/>
      <c r="E3432" s="1"/>
      <c r="F3432" s="1" t="str">
        <f>IFERROR(__xludf.DUMMYFUNCTION("GOOGLETRANSLATE(B3432, ""en"", ""fa"")
"),"تمرینات ذهن آگاهی و مدیتیشن")</f>
        <v>تمرینات ذهن آگاهی و مدیتیشن</v>
      </c>
      <c r="G3432" s="1" t="str">
        <f>IFERROR(__xludf.DUMMYFUNCTION("GOOGLETRANSLATE(C3432, ""en"", ""fa"")
"),"شیوه های مختلف ذهن آگاهی را برای ارتقای خود انعکاس و رشد شخصی کاوش کنید.")</f>
        <v>شیوه های مختلف ذهن آگاهی را برای ارتقای خود انعکاس و رشد شخصی کاوش کنید.</v>
      </c>
      <c r="H3432" s="1"/>
      <c r="I3432" s="1"/>
      <c r="J3432" s="1"/>
      <c r="K3432" s="1"/>
      <c r="L3432" s="1"/>
      <c r="M3432" s="1"/>
      <c r="N3432" s="1"/>
      <c r="O3432" s="1"/>
      <c r="P3432" s="1"/>
      <c r="Q3432" s="1"/>
      <c r="R3432" s="1"/>
      <c r="S3432" s="1"/>
      <c r="T3432" s="1"/>
      <c r="U3432" s="1"/>
      <c r="V3432" s="1"/>
      <c r="W3432" s="1"/>
      <c r="X3432" s="1"/>
      <c r="Y3432" s="1"/>
      <c r="Z3432" s="1"/>
      <c r="AA3432" s="1"/>
      <c r="AB3432" s="1"/>
    </row>
    <row r="3433" ht="50.25" customHeight="1">
      <c r="A3433" s="12">
        <v>3429.0</v>
      </c>
      <c r="B3433" s="13" t="s">
        <v>3427</v>
      </c>
      <c r="C3433" s="14" t="s">
        <v>3450</v>
      </c>
      <c r="D3433" s="1"/>
      <c r="E3433" s="1"/>
      <c r="F3433" s="1" t="str">
        <f>IFERROR(__xludf.DUMMYFUNCTION("GOOGLETRANSLATE(B3433, ""en"", ""fa"")
"),"تمرینات ذهن آگاهی و مدیتیشن")</f>
        <v>تمرینات ذهن آگاهی و مدیتیشن</v>
      </c>
      <c r="G3433" s="1" t="str">
        <f>IFERROR(__xludf.DUMMYFUNCTION("GOOGLETRANSLATE(C3433, ""en"", ""fa"")
"),"در مورد مزایای ترکیب ذهن آگاهی در محیط های محل کار برای افزایش بهره وری و رفاه بحث کنید.")</f>
        <v>در مورد مزایای ترکیب ذهن آگاهی در محیط های محل کار برای افزایش بهره وری و رفاه بحث کنید.</v>
      </c>
      <c r="H3433" s="1"/>
      <c r="I3433" s="1"/>
      <c r="J3433" s="1"/>
      <c r="K3433" s="1"/>
      <c r="L3433" s="1"/>
      <c r="M3433" s="1"/>
      <c r="N3433" s="1"/>
      <c r="O3433" s="1"/>
      <c r="P3433" s="1"/>
      <c r="Q3433" s="1"/>
      <c r="R3433" s="1"/>
      <c r="S3433" s="1"/>
      <c r="T3433" s="1"/>
      <c r="U3433" s="1"/>
      <c r="V3433" s="1"/>
      <c r="W3433" s="1"/>
      <c r="X3433" s="1"/>
      <c r="Y3433" s="1"/>
      <c r="Z3433" s="1"/>
      <c r="AA3433" s="1"/>
      <c r="AB3433" s="1"/>
    </row>
    <row r="3434" ht="50.25" customHeight="1">
      <c r="A3434" s="12">
        <v>3430.0</v>
      </c>
      <c r="B3434" s="13" t="s">
        <v>3427</v>
      </c>
      <c r="C3434" s="14" t="s">
        <v>3451</v>
      </c>
      <c r="D3434" s="1"/>
      <c r="E3434" s="1"/>
      <c r="F3434" s="1" t="str">
        <f>IFERROR(__xludf.DUMMYFUNCTION("GOOGLETRANSLATE(B3434, ""en"", ""fa"")
"),"تمرینات ذهن آگاهی و مدیتیشن")</f>
        <v>تمرینات ذهن آگاهی و مدیتیشن</v>
      </c>
      <c r="G3434" s="1" t="str">
        <f>IFERROR(__xludf.DUMMYFUNCTION("GOOGLETRANSLATE(C3434, ""en"", ""fa"")
"),"تکنیک های تمرین ذهن آگاهی را در میان محیط های شلوغ و آشفته به اشتراک بگذارید.")</f>
        <v>تکنیک های تمرین ذهن آگاهی را در میان محیط های شلوغ و آشفته به اشتراک بگذارید.</v>
      </c>
      <c r="H3434" s="1"/>
      <c r="I3434" s="1"/>
      <c r="J3434" s="1"/>
      <c r="K3434" s="1"/>
      <c r="L3434" s="1"/>
      <c r="M3434" s="1"/>
      <c r="N3434" s="1"/>
      <c r="O3434" s="1"/>
      <c r="P3434" s="1"/>
      <c r="Q3434" s="1"/>
      <c r="R3434" s="1"/>
      <c r="S3434" s="1"/>
      <c r="T3434" s="1"/>
      <c r="U3434" s="1"/>
      <c r="V3434" s="1"/>
      <c r="W3434" s="1"/>
      <c r="X3434" s="1"/>
      <c r="Y3434" s="1"/>
      <c r="Z3434" s="1"/>
      <c r="AA3434" s="1"/>
      <c r="AB3434" s="1"/>
    </row>
    <row r="3435" ht="50.25" customHeight="1">
      <c r="A3435" s="12">
        <v>3431.0</v>
      </c>
      <c r="B3435" s="13" t="s">
        <v>3427</v>
      </c>
      <c r="C3435" s="14" t="s">
        <v>3452</v>
      </c>
      <c r="D3435" s="1"/>
      <c r="E3435" s="1"/>
      <c r="F3435" s="1" t="str">
        <f>IFERROR(__xludf.DUMMYFUNCTION("GOOGLETRANSLATE(B3435, ""en"", ""fa"")
"),"تمرینات ذهن آگاهی و مدیتیشن")</f>
        <v>تمرینات ذهن آگاهی و مدیتیشن</v>
      </c>
      <c r="G3435" s="1" t="str">
        <f>IFERROR(__xludf.DUMMYFUNCTION("GOOGLETRANSLATE(C3435, ""en"", ""fa"")
"),"نقش ذهن آگاهی را در مدیریت و کاهش علائم اختلالات اضطرابی بررسی کنید.")</f>
        <v>نقش ذهن آگاهی را در مدیریت و کاهش علائم اختلالات اضطرابی بررسی کنید.</v>
      </c>
      <c r="H3435" s="1"/>
      <c r="I3435" s="1"/>
      <c r="J3435" s="1"/>
      <c r="K3435" s="1"/>
      <c r="L3435" s="1"/>
      <c r="M3435" s="1"/>
      <c r="N3435" s="1"/>
      <c r="O3435" s="1"/>
      <c r="P3435" s="1"/>
      <c r="Q3435" s="1"/>
      <c r="R3435" s="1"/>
      <c r="S3435" s="1"/>
      <c r="T3435" s="1"/>
      <c r="U3435" s="1"/>
      <c r="V3435" s="1"/>
      <c r="W3435" s="1"/>
      <c r="X3435" s="1"/>
      <c r="Y3435" s="1"/>
      <c r="Z3435" s="1"/>
      <c r="AA3435" s="1"/>
      <c r="AB3435" s="1"/>
    </row>
    <row r="3436" ht="50.25" customHeight="1">
      <c r="A3436" s="12">
        <v>3432.0</v>
      </c>
      <c r="B3436" s="13" t="s">
        <v>3427</v>
      </c>
      <c r="C3436" s="14" t="s">
        <v>3453</v>
      </c>
      <c r="D3436" s="1"/>
      <c r="E3436" s="1"/>
      <c r="F3436" s="1" t="str">
        <f>IFERROR(__xludf.DUMMYFUNCTION("GOOGLETRANSLATE(B3436, ""en"", ""fa"")
"),"تمرینات ذهن آگاهی و مدیتیشن")</f>
        <v>تمرینات ذهن آگاهی و مدیتیشن</v>
      </c>
      <c r="G3436" s="1" t="str">
        <f>IFERROR(__xludf.DUMMYFUNCTION("GOOGLETRANSLATE(C3436, ""en"", ""fa"")
"),"در مورد مزایای تمرین ذهن آگاهی در بهبود سلامت روان و تاب آوری کلی بحث کنید.")</f>
        <v>در مورد مزایای تمرین ذهن آگاهی در بهبود سلامت روان و تاب آوری کلی بحث کنید.</v>
      </c>
      <c r="H3436" s="1"/>
      <c r="I3436" s="1"/>
      <c r="J3436" s="1"/>
      <c r="K3436" s="1"/>
      <c r="L3436" s="1"/>
      <c r="M3436" s="1"/>
      <c r="N3436" s="1"/>
      <c r="O3436" s="1"/>
      <c r="P3436" s="1"/>
      <c r="Q3436" s="1"/>
      <c r="R3436" s="1"/>
      <c r="S3436" s="1"/>
      <c r="T3436" s="1"/>
      <c r="U3436" s="1"/>
      <c r="V3436" s="1"/>
      <c r="W3436" s="1"/>
      <c r="X3436" s="1"/>
      <c r="Y3436" s="1"/>
      <c r="Z3436" s="1"/>
      <c r="AA3436" s="1"/>
      <c r="AB3436" s="1"/>
    </row>
    <row r="3437" ht="50.25" customHeight="1">
      <c r="A3437" s="12">
        <v>3433.0</v>
      </c>
      <c r="B3437" s="13" t="s">
        <v>3427</v>
      </c>
      <c r="C3437" s="14" t="s">
        <v>3454</v>
      </c>
      <c r="D3437" s="1"/>
      <c r="E3437" s="1"/>
      <c r="F3437" s="1" t="str">
        <f>IFERROR(__xludf.DUMMYFUNCTION("GOOGLETRANSLATE(B3437, ""en"", ""fa"")
"),"تمرینات ذهن آگاهی و مدیتیشن")</f>
        <v>تمرینات ذهن آگاهی و مدیتیشن</v>
      </c>
      <c r="G3437" s="1" t="str">
        <f>IFERROR(__xludf.DUMMYFUNCTION("GOOGLETRANSLATE(C3437, ""en"", ""fa"")
"),"نکاتی را برای گنجاندن ذهن آگاهی در یادداشت روزانه یا بیان خلاق به اشتراک بگذارید.")</f>
        <v>نکاتی را برای گنجاندن ذهن آگاهی در یادداشت روزانه یا بیان خلاق به اشتراک بگذارید.</v>
      </c>
      <c r="H3437" s="1"/>
      <c r="I3437" s="1"/>
      <c r="J3437" s="1"/>
      <c r="K3437" s="1"/>
      <c r="L3437" s="1"/>
      <c r="M3437" s="1"/>
      <c r="N3437" s="1"/>
      <c r="O3437" s="1"/>
      <c r="P3437" s="1"/>
      <c r="Q3437" s="1"/>
      <c r="R3437" s="1"/>
      <c r="S3437" s="1"/>
      <c r="T3437" s="1"/>
      <c r="U3437" s="1"/>
      <c r="V3437" s="1"/>
      <c r="W3437" s="1"/>
      <c r="X3437" s="1"/>
      <c r="Y3437" s="1"/>
      <c r="Z3437" s="1"/>
      <c r="AA3437" s="1"/>
      <c r="AB3437" s="1"/>
    </row>
    <row r="3438" ht="50.25" customHeight="1">
      <c r="A3438" s="12">
        <v>3434.0</v>
      </c>
      <c r="B3438" s="13" t="s">
        <v>3427</v>
      </c>
      <c r="C3438" s="14" t="s">
        <v>3455</v>
      </c>
      <c r="D3438" s="1"/>
      <c r="E3438" s="1"/>
      <c r="F3438" s="1" t="str">
        <f>IFERROR(__xludf.DUMMYFUNCTION("GOOGLETRANSLATE(B3438, ""en"", ""fa"")
"),"تمرینات ذهن آگاهی و مدیتیشن")</f>
        <v>تمرینات ذهن آگاهی و مدیتیشن</v>
      </c>
      <c r="G3438" s="1" t="str">
        <f>IFERROR(__xludf.DUMMYFUNCTION("GOOGLETRANSLATE(C3438, ""en"", ""fa"")
"),"تکنیک های مختلف مراقبه را برای ترویج شفقت و مهربانی نسبت به خود و دیگران کاوش کنید.")</f>
        <v>تکنیک های مختلف مراقبه را برای ترویج شفقت و مهربانی نسبت به خود و دیگران کاوش کنید.</v>
      </c>
      <c r="H3438" s="1"/>
      <c r="I3438" s="1"/>
      <c r="J3438" s="1"/>
      <c r="K3438" s="1"/>
      <c r="L3438" s="1"/>
      <c r="M3438" s="1"/>
      <c r="N3438" s="1"/>
      <c r="O3438" s="1"/>
      <c r="P3438" s="1"/>
      <c r="Q3438" s="1"/>
      <c r="R3438" s="1"/>
      <c r="S3438" s="1"/>
      <c r="T3438" s="1"/>
      <c r="U3438" s="1"/>
      <c r="V3438" s="1"/>
      <c r="W3438" s="1"/>
      <c r="X3438" s="1"/>
      <c r="Y3438" s="1"/>
      <c r="Z3438" s="1"/>
      <c r="AA3438" s="1"/>
      <c r="AB3438" s="1"/>
    </row>
    <row r="3439" ht="50.25" customHeight="1">
      <c r="A3439" s="12">
        <v>3435.0</v>
      </c>
      <c r="B3439" s="13" t="s">
        <v>3427</v>
      </c>
      <c r="C3439" s="14" t="s">
        <v>3456</v>
      </c>
      <c r="D3439" s="1"/>
      <c r="E3439" s="1"/>
      <c r="F3439" s="1" t="str">
        <f>IFERROR(__xludf.DUMMYFUNCTION("GOOGLETRANSLATE(B3439, ""en"", ""fa"")
"),"تمرینات ذهن آگاهی و مدیتیشن")</f>
        <v>تمرینات ذهن آگاهی و مدیتیشن</v>
      </c>
      <c r="G3439" s="1" t="str">
        <f>IFERROR(__xludf.DUMMYFUNCTION("GOOGLETRANSLATE(C3439, ""en"", ""fa"")
"),"در مورد مزایای ذهن آگاهی در پرورش حس آگاهی از لحظه حال و عدم قضاوت بحث کنید.")</f>
        <v>در مورد مزایای ذهن آگاهی در پرورش حس آگاهی از لحظه حال و عدم قضاوت بحث کنید.</v>
      </c>
      <c r="H3439" s="1"/>
      <c r="I3439" s="1"/>
      <c r="J3439" s="1"/>
      <c r="K3439" s="1"/>
      <c r="L3439" s="1"/>
      <c r="M3439" s="1"/>
      <c r="N3439" s="1"/>
      <c r="O3439" s="1"/>
      <c r="P3439" s="1"/>
      <c r="Q3439" s="1"/>
      <c r="R3439" s="1"/>
      <c r="S3439" s="1"/>
      <c r="T3439" s="1"/>
      <c r="U3439" s="1"/>
      <c r="V3439" s="1"/>
      <c r="W3439" s="1"/>
      <c r="X3439" s="1"/>
      <c r="Y3439" s="1"/>
      <c r="Z3439" s="1"/>
      <c r="AA3439" s="1"/>
      <c r="AB3439" s="1"/>
    </row>
    <row r="3440" ht="50.25" customHeight="1">
      <c r="A3440" s="12">
        <v>3436.0</v>
      </c>
      <c r="B3440" s="13" t="s">
        <v>3427</v>
      </c>
      <c r="C3440" s="14" t="s">
        <v>3457</v>
      </c>
      <c r="D3440" s="1"/>
      <c r="E3440" s="1"/>
      <c r="F3440" s="1" t="str">
        <f>IFERROR(__xludf.DUMMYFUNCTION("GOOGLETRANSLATE(B3440, ""en"", ""fa"")
"),"تمرینات ذهن آگاهی و مدیتیشن")</f>
        <v>تمرینات ذهن آگاهی و مدیتیشن</v>
      </c>
      <c r="G3440" s="1" t="str">
        <f>IFERROR(__xludf.DUMMYFUNCTION("GOOGLETRANSLATE(C3440, ""en"", ""fa"")
"),"تکنیک های تمرین ذهن آگاهی را در لحظات استرس یا استرس به اشتراک بگذارید.")</f>
        <v>تکنیک های تمرین ذهن آگاهی را در لحظات استرس یا استرس به اشتراک بگذارید.</v>
      </c>
      <c r="H3440" s="1"/>
      <c r="I3440" s="1"/>
      <c r="J3440" s="1"/>
      <c r="K3440" s="1"/>
      <c r="L3440" s="1"/>
      <c r="M3440" s="1"/>
      <c r="N3440" s="1"/>
      <c r="O3440" s="1"/>
      <c r="P3440" s="1"/>
      <c r="Q3440" s="1"/>
      <c r="R3440" s="1"/>
      <c r="S3440" s="1"/>
      <c r="T3440" s="1"/>
      <c r="U3440" s="1"/>
      <c r="V3440" s="1"/>
      <c r="W3440" s="1"/>
      <c r="X3440" s="1"/>
      <c r="Y3440" s="1"/>
      <c r="Z3440" s="1"/>
      <c r="AA3440" s="1"/>
      <c r="AB3440" s="1"/>
    </row>
    <row r="3441" ht="50.25" customHeight="1">
      <c r="A3441" s="12">
        <v>3437.0</v>
      </c>
      <c r="B3441" s="13" t="s">
        <v>3427</v>
      </c>
      <c r="C3441" s="14" t="s">
        <v>3458</v>
      </c>
      <c r="D3441" s="1"/>
      <c r="E3441" s="1"/>
      <c r="F3441" s="1" t="str">
        <f>IFERROR(__xludf.DUMMYFUNCTION("GOOGLETRANSLATE(B3441, ""en"", ""fa"")
"),"تمرینات ذهن آگاهی و مدیتیشن")</f>
        <v>تمرینات ذهن آگاهی و مدیتیشن</v>
      </c>
      <c r="G3441" s="1" t="str">
        <f>IFERROR(__xludf.DUMMYFUNCTION("GOOGLETRANSLATE(C3441, ""en"", ""fa"")
"),"ارتباط بین ذهن آگاهی و افزایش عزت نفس و اعتماد به نفس را بررسی کنید.")</f>
        <v>ارتباط بین ذهن آگاهی و افزایش عزت نفس و اعتماد به نفس را بررسی کنید.</v>
      </c>
      <c r="H3441" s="1"/>
      <c r="I3441" s="1"/>
      <c r="J3441" s="1"/>
      <c r="K3441" s="1"/>
      <c r="L3441" s="1"/>
      <c r="M3441" s="1"/>
      <c r="N3441" s="1"/>
      <c r="O3441" s="1"/>
      <c r="P3441" s="1"/>
      <c r="Q3441" s="1"/>
      <c r="R3441" s="1"/>
      <c r="S3441" s="1"/>
      <c r="T3441" s="1"/>
      <c r="U3441" s="1"/>
      <c r="V3441" s="1"/>
      <c r="W3441" s="1"/>
      <c r="X3441" s="1"/>
      <c r="Y3441" s="1"/>
      <c r="Z3441" s="1"/>
      <c r="AA3441" s="1"/>
      <c r="AB3441" s="1"/>
    </row>
    <row r="3442" ht="50.25" customHeight="1">
      <c r="A3442" s="12">
        <v>3438.0</v>
      </c>
      <c r="B3442" s="13" t="s">
        <v>3427</v>
      </c>
      <c r="C3442" s="14" t="s">
        <v>3459</v>
      </c>
      <c r="D3442" s="1"/>
      <c r="E3442" s="1"/>
      <c r="F3442" s="1" t="str">
        <f>IFERROR(__xludf.DUMMYFUNCTION("GOOGLETRANSLATE(B3442, ""en"", ""fa"")
"),"تمرینات ذهن آگاهی و مدیتیشن")</f>
        <v>تمرینات ذهن آگاهی و مدیتیشن</v>
      </c>
      <c r="G3442" s="1" t="str">
        <f>IFERROR(__xludf.DUMMYFUNCTION("GOOGLETRANSLATE(C3442, ""en"", ""fa"")
"),"در مورد مزایای ترکیب ذهن آگاهی در ارتباطات محل کار و حل تعارض بحث کنید.")</f>
        <v>در مورد مزایای ترکیب ذهن آگاهی در ارتباطات محل کار و حل تعارض بحث کنید.</v>
      </c>
      <c r="H3442" s="1"/>
      <c r="I3442" s="1"/>
      <c r="J3442" s="1"/>
      <c r="K3442" s="1"/>
      <c r="L3442" s="1"/>
      <c r="M3442" s="1"/>
      <c r="N3442" s="1"/>
      <c r="O3442" s="1"/>
      <c r="P3442" s="1"/>
      <c r="Q3442" s="1"/>
      <c r="R3442" s="1"/>
      <c r="S3442" s="1"/>
      <c r="T3442" s="1"/>
      <c r="U3442" s="1"/>
      <c r="V3442" s="1"/>
      <c r="W3442" s="1"/>
      <c r="X3442" s="1"/>
      <c r="Y3442" s="1"/>
      <c r="Z3442" s="1"/>
      <c r="AA3442" s="1"/>
      <c r="AB3442" s="1"/>
    </row>
    <row r="3443" ht="50.25" customHeight="1">
      <c r="A3443" s="12">
        <v>3439.0</v>
      </c>
      <c r="B3443" s="13" t="s">
        <v>3427</v>
      </c>
      <c r="C3443" s="14" t="s">
        <v>3460</v>
      </c>
      <c r="D3443" s="1"/>
      <c r="E3443" s="1"/>
      <c r="F3443" s="1" t="str">
        <f>IFERROR(__xludf.DUMMYFUNCTION("GOOGLETRANSLATE(B3443, ""en"", ""fa"")
"),"تمرینات ذهن آگاهی و مدیتیشن")</f>
        <v>تمرینات ذهن آگاهی و مدیتیشن</v>
      </c>
      <c r="G3443" s="1" t="str">
        <f>IFERROR(__xludf.DUMMYFUNCTION("GOOGLETRANSLATE(C3443, ""en"", ""fa"")
"),"تکنیک‌هایی را برای گنجاندن ذهن آگاهی در روال‌های رفت‌وآمد روزانه یا حمل‌ونقل به اشتراک بگذارید.")</f>
        <v>تکنیک‌هایی را برای گنجاندن ذهن آگاهی در روال‌های رفت‌وآمد روزانه یا حمل‌ونقل به اشتراک بگذارید.</v>
      </c>
      <c r="H3443" s="1"/>
      <c r="I3443" s="1"/>
      <c r="J3443" s="1"/>
      <c r="K3443" s="1"/>
      <c r="L3443" s="1"/>
      <c r="M3443" s="1"/>
      <c r="N3443" s="1"/>
      <c r="O3443" s="1"/>
      <c r="P3443" s="1"/>
      <c r="Q3443" s="1"/>
      <c r="R3443" s="1"/>
      <c r="S3443" s="1"/>
      <c r="T3443" s="1"/>
      <c r="U3443" s="1"/>
      <c r="V3443" s="1"/>
      <c r="W3443" s="1"/>
      <c r="X3443" s="1"/>
      <c r="Y3443" s="1"/>
      <c r="Z3443" s="1"/>
      <c r="AA3443" s="1"/>
      <c r="AB3443" s="1"/>
    </row>
    <row r="3444" ht="50.25" customHeight="1">
      <c r="A3444" s="12">
        <v>3440.0</v>
      </c>
      <c r="B3444" s="13" t="s">
        <v>3427</v>
      </c>
      <c r="C3444" s="14" t="s">
        <v>3461</v>
      </c>
      <c r="D3444" s="1"/>
      <c r="E3444" s="1"/>
      <c r="F3444" s="1" t="str">
        <f>IFERROR(__xludf.DUMMYFUNCTION("GOOGLETRANSLATE(B3444, ""en"", ""fa"")
"),"تمرینات ذهن آگاهی و مدیتیشن")</f>
        <v>تمرینات ذهن آگاهی و مدیتیشن</v>
      </c>
      <c r="G3444" s="1" t="str">
        <f>IFERROR(__xludf.DUMMYFUNCTION("GOOGLETRANSLATE(C3444, ""en"", ""fa"")
"),"روش های مختلف مدیتیشن را برای پرورش ذهن آگاهی در حرکت، مانند رقص یا پیاده روی، کاوش کنید.")</f>
        <v>روش های مختلف مدیتیشن را برای پرورش ذهن آگاهی در حرکت، مانند رقص یا پیاده روی، کاوش کنید.</v>
      </c>
      <c r="H3444" s="1"/>
      <c r="I3444" s="1"/>
      <c r="J3444" s="1"/>
      <c r="K3444" s="1"/>
      <c r="L3444" s="1"/>
      <c r="M3444" s="1"/>
      <c r="N3444" s="1"/>
      <c r="O3444" s="1"/>
      <c r="P3444" s="1"/>
      <c r="Q3444" s="1"/>
      <c r="R3444" s="1"/>
      <c r="S3444" s="1"/>
      <c r="T3444" s="1"/>
      <c r="U3444" s="1"/>
      <c r="V3444" s="1"/>
      <c r="W3444" s="1"/>
      <c r="X3444" s="1"/>
      <c r="Y3444" s="1"/>
      <c r="Z3444" s="1"/>
      <c r="AA3444" s="1"/>
      <c r="AB3444" s="1"/>
    </row>
    <row r="3445" ht="50.25" customHeight="1">
      <c r="A3445" s="12">
        <v>3441.0</v>
      </c>
      <c r="B3445" s="13" t="s">
        <v>3427</v>
      </c>
      <c r="C3445" s="14" t="s">
        <v>3462</v>
      </c>
      <c r="D3445" s="1"/>
      <c r="E3445" s="1"/>
      <c r="F3445" s="1" t="str">
        <f>IFERROR(__xludf.DUMMYFUNCTION("GOOGLETRANSLATE(B3445, ""en"", ""fa"")
"),"تمرینات ذهن آگاهی و مدیتیشن")</f>
        <v>تمرینات ذهن آگاهی و مدیتیشن</v>
      </c>
      <c r="G3445" s="1" t="str">
        <f>IFERROR(__xludf.DUMMYFUNCTION("GOOGLETRANSLATE(C3445, ""en"", ""fa"")
"),"در مورد مزایای تمرین ذهن آگاهی در افزایش خلاقیت و نوآوری بحث کنید.")</f>
        <v>در مورد مزایای تمرین ذهن آگاهی در افزایش خلاقیت و نوآوری بحث کنید.</v>
      </c>
      <c r="H3445" s="1"/>
      <c r="I3445" s="1"/>
      <c r="J3445" s="1"/>
      <c r="K3445" s="1"/>
      <c r="L3445" s="1"/>
      <c r="M3445" s="1"/>
      <c r="N3445" s="1"/>
      <c r="O3445" s="1"/>
      <c r="P3445" s="1"/>
      <c r="Q3445" s="1"/>
      <c r="R3445" s="1"/>
      <c r="S3445" s="1"/>
      <c r="T3445" s="1"/>
      <c r="U3445" s="1"/>
      <c r="V3445" s="1"/>
      <c r="W3445" s="1"/>
      <c r="X3445" s="1"/>
      <c r="Y3445" s="1"/>
      <c r="Z3445" s="1"/>
      <c r="AA3445" s="1"/>
      <c r="AB3445" s="1"/>
    </row>
    <row r="3446" ht="50.25" customHeight="1">
      <c r="A3446" s="12">
        <v>3442.0</v>
      </c>
      <c r="B3446" s="13" t="s">
        <v>3427</v>
      </c>
      <c r="C3446" s="14" t="s">
        <v>3463</v>
      </c>
      <c r="D3446" s="1"/>
      <c r="E3446" s="1"/>
      <c r="F3446" s="1" t="str">
        <f>IFERROR(__xludf.DUMMYFUNCTION("GOOGLETRANSLATE(B3446, ""en"", ""fa"")
"),"تمرینات ذهن آگاهی و مدیتیشن")</f>
        <v>تمرینات ذهن آگاهی و مدیتیشن</v>
      </c>
      <c r="G3446" s="1" t="str">
        <f>IFERROR(__xludf.DUMMYFUNCTION("GOOGLETRANSLATE(C3446, ""en"", ""fa"")
"),"نکاتی را برای تمرین ذهن آگاهی در عصر دیجیتال و ایجاد رابطه سالم با فناوری به اشتراک بگذارید.")</f>
        <v>نکاتی را برای تمرین ذهن آگاهی در عصر دیجیتال و ایجاد رابطه سالم با فناوری به اشتراک بگذارید.</v>
      </c>
      <c r="H3446" s="1"/>
      <c r="I3446" s="1"/>
      <c r="J3446" s="1"/>
      <c r="K3446" s="1"/>
      <c r="L3446" s="1"/>
      <c r="M3446" s="1"/>
      <c r="N3446" s="1"/>
      <c r="O3446" s="1"/>
      <c r="P3446" s="1"/>
      <c r="Q3446" s="1"/>
      <c r="R3446" s="1"/>
      <c r="S3446" s="1"/>
      <c r="T3446" s="1"/>
      <c r="U3446" s="1"/>
      <c r="V3446" s="1"/>
      <c r="W3446" s="1"/>
      <c r="X3446" s="1"/>
      <c r="Y3446" s="1"/>
      <c r="Z3446" s="1"/>
      <c r="AA3446" s="1"/>
      <c r="AB3446" s="1"/>
    </row>
    <row r="3447" ht="50.25" customHeight="1">
      <c r="A3447" s="12">
        <v>3443.0</v>
      </c>
      <c r="B3447" s="13" t="s">
        <v>3427</v>
      </c>
      <c r="C3447" s="14" t="s">
        <v>3464</v>
      </c>
      <c r="D3447" s="1"/>
      <c r="E3447" s="1"/>
      <c r="F3447" s="1" t="str">
        <f>IFERROR(__xludf.DUMMYFUNCTION("GOOGLETRANSLATE(B3447, ""en"", ""fa"")
"),"تمرینات ذهن آگاهی و مدیتیشن")</f>
        <v>تمرینات ذهن آگاهی و مدیتیشن</v>
      </c>
      <c r="G3447" s="1" t="str">
        <f>IFERROR(__xludf.DUMMYFUNCTION("GOOGLETRANSLATE(C3447, ""en"", ""fa"")
"),"ارتباط بین ذهن آگاهی و بهبود تصمیم گیری و مهارت های حل مسئله را بررسی کنید.")</f>
        <v>ارتباط بین ذهن آگاهی و بهبود تصمیم گیری و مهارت های حل مسئله را بررسی کنید.</v>
      </c>
      <c r="H3447" s="1"/>
      <c r="I3447" s="1"/>
      <c r="J3447" s="1"/>
      <c r="K3447" s="1"/>
      <c r="L3447" s="1"/>
      <c r="M3447" s="1"/>
      <c r="N3447" s="1"/>
      <c r="O3447" s="1"/>
      <c r="P3447" s="1"/>
      <c r="Q3447" s="1"/>
      <c r="R3447" s="1"/>
      <c r="S3447" s="1"/>
      <c r="T3447" s="1"/>
      <c r="U3447" s="1"/>
      <c r="V3447" s="1"/>
      <c r="W3447" s="1"/>
      <c r="X3447" s="1"/>
      <c r="Y3447" s="1"/>
      <c r="Z3447" s="1"/>
      <c r="AA3447" s="1"/>
      <c r="AB3447" s="1"/>
    </row>
    <row r="3448" ht="50.25" customHeight="1">
      <c r="A3448" s="12">
        <v>3444.0</v>
      </c>
      <c r="B3448" s="13" t="s">
        <v>3427</v>
      </c>
      <c r="C3448" s="14" t="s">
        <v>3465</v>
      </c>
      <c r="D3448" s="1"/>
      <c r="E3448" s="1"/>
      <c r="F3448" s="1" t="str">
        <f>IFERROR(__xludf.DUMMYFUNCTION("GOOGLETRANSLATE(B3448, ""en"", ""fa"")
"),"تمرینات ذهن آگاهی و مدیتیشن")</f>
        <v>تمرینات ذهن آگاهی و مدیتیشن</v>
      </c>
      <c r="G3448" s="1" t="str">
        <f>IFERROR(__xludf.DUMMYFUNCTION("GOOGLETRANSLATE(C3448, ""en"", ""fa"")
"),"در مورد مزایای گنجاندن ذهن آگاهی در فرزندپروری و پرورش ارتباطات قوی خانوادگی بحث کنید.")</f>
        <v>در مورد مزایای گنجاندن ذهن آگاهی در فرزندپروری و پرورش ارتباطات قوی خانوادگی بحث کنید.</v>
      </c>
      <c r="H3448" s="1"/>
      <c r="I3448" s="1"/>
      <c r="J3448" s="1"/>
      <c r="K3448" s="1"/>
      <c r="L3448" s="1"/>
      <c r="M3448" s="1"/>
      <c r="N3448" s="1"/>
      <c r="O3448" s="1"/>
      <c r="P3448" s="1"/>
      <c r="Q3448" s="1"/>
      <c r="R3448" s="1"/>
      <c r="S3448" s="1"/>
      <c r="T3448" s="1"/>
      <c r="U3448" s="1"/>
      <c r="V3448" s="1"/>
      <c r="W3448" s="1"/>
      <c r="X3448" s="1"/>
      <c r="Y3448" s="1"/>
      <c r="Z3448" s="1"/>
      <c r="AA3448" s="1"/>
      <c r="AB3448" s="1"/>
    </row>
    <row r="3449" ht="50.25" customHeight="1">
      <c r="A3449" s="12">
        <v>3445.0</v>
      </c>
      <c r="B3449" s="13" t="s">
        <v>3427</v>
      </c>
      <c r="C3449" s="14" t="s">
        <v>3466</v>
      </c>
      <c r="D3449" s="1"/>
      <c r="E3449" s="1"/>
      <c r="F3449" s="1" t="str">
        <f>IFERROR(__xludf.DUMMYFUNCTION("GOOGLETRANSLATE(B3449, ""en"", ""fa"")
"),"تمرینات ذهن آگاهی و مدیتیشن")</f>
        <v>تمرینات ذهن آگاهی و مدیتیشن</v>
      </c>
      <c r="G3449" s="1" t="str">
        <f>IFERROR(__xludf.DUMMYFUNCTION("GOOGLETRANSLATE(C3449, ""en"", ""fa"")
"),"تکنیک های تمرین ذهن آگاهی در محل کار را برای کاهش استرس و افزایش بهره وری به اشتراک بگذارید.")</f>
        <v>تکنیک های تمرین ذهن آگاهی در محل کار را برای کاهش استرس و افزایش بهره وری به اشتراک بگذارید.</v>
      </c>
      <c r="H3449" s="1"/>
      <c r="I3449" s="1"/>
      <c r="J3449" s="1"/>
      <c r="K3449" s="1"/>
      <c r="L3449" s="1"/>
      <c r="M3449" s="1"/>
      <c r="N3449" s="1"/>
      <c r="O3449" s="1"/>
      <c r="P3449" s="1"/>
      <c r="Q3449" s="1"/>
      <c r="R3449" s="1"/>
      <c r="S3449" s="1"/>
      <c r="T3449" s="1"/>
      <c r="U3449" s="1"/>
      <c r="V3449" s="1"/>
      <c r="W3449" s="1"/>
      <c r="X3449" s="1"/>
      <c r="Y3449" s="1"/>
      <c r="Z3449" s="1"/>
      <c r="AA3449" s="1"/>
      <c r="AB3449" s="1"/>
    </row>
    <row r="3450" ht="50.25" customHeight="1">
      <c r="A3450" s="12">
        <v>3446.0</v>
      </c>
      <c r="B3450" s="13" t="s">
        <v>3427</v>
      </c>
      <c r="C3450" s="14" t="s">
        <v>3467</v>
      </c>
      <c r="D3450" s="1"/>
      <c r="E3450" s="1"/>
      <c r="F3450" s="1" t="str">
        <f>IFERROR(__xludf.DUMMYFUNCTION("GOOGLETRANSLATE(B3450, ""en"", ""fa"")
"),"تمرینات ذهن آگاهی و مدیتیشن")</f>
        <v>تمرینات ذهن آگاهی و مدیتیشن</v>
      </c>
      <c r="G3450" s="1" t="str">
        <f>IFERROR(__xludf.DUMMYFUNCTION("GOOGLETRANSLATE(C3450, ""en"", ""fa"")
"),"شیوه های مختلف مراقبه را برای پرورش ذهن آگاهی در طبیعت و ارتباط با محیط کاوش کنید.")</f>
        <v>شیوه های مختلف مراقبه را برای پرورش ذهن آگاهی در طبیعت و ارتباط با محیط کاوش کنید.</v>
      </c>
      <c r="H3450" s="1"/>
      <c r="I3450" s="1"/>
      <c r="J3450" s="1"/>
      <c r="K3450" s="1"/>
      <c r="L3450" s="1"/>
      <c r="M3450" s="1"/>
      <c r="N3450" s="1"/>
      <c r="O3450" s="1"/>
      <c r="P3450" s="1"/>
      <c r="Q3450" s="1"/>
      <c r="R3450" s="1"/>
      <c r="S3450" s="1"/>
      <c r="T3450" s="1"/>
      <c r="U3450" s="1"/>
      <c r="V3450" s="1"/>
      <c r="W3450" s="1"/>
      <c r="X3450" s="1"/>
      <c r="Y3450" s="1"/>
      <c r="Z3450" s="1"/>
      <c r="AA3450" s="1"/>
      <c r="AB3450" s="1"/>
    </row>
    <row r="3451" ht="50.25" customHeight="1">
      <c r="A3451" s="12">
        <v>3447.0</v>
      </c>
      <c r="B3451" s="13" t="s">
        <v>3427</v>
      </c>
      <c r="C3451" s="14" t="s">
        <v>3468</v>
      </c>
      <c r="D3451" s="1"/>
      <c r="E3451" s="1"/>
      <c r="F3451" s="1" t="str">
        <f>IFERROR(__xludf.DUMMYFUNCTION("GOOGLETRANSLATE(B3451, ""en"", ""fa"")
"),"تمرینات ذهن آگاهی و مدیتیشن")</f>
        <v>تمرینات ذهن آگاهی و مدیتیشن</v>
      </c>
      <c r="G3451" s="1" t="str">
        <f>IFERROR(__xludf.DUMMYFUNCTION("GOOGLETRANSLATE(C3451, ""en"", ""fa"")
"),"در مورد مزایای تمرین ذهن آگاهی در ترویج شفقت به خود و عشق به خود بحث کنید.")</f>
        <v>در مورد مزایای تمرین ذهن آگاهی در ترویج شفقت به خود و عشق به خود بحث کنید.</v>
      </c>
      <c r="H3451" s="1"/>
      <c r="I3451" s="1"/>
      <c r="J3451" s="1"/>
      <c r="K3451" s="1"/>
      <c r="L3451" s="1"/>
      <c r="M3451" s="1"/>
      <c r="N3451" s="1"/>
      <c r="O3451" s="1"/>
      <c r="P3451" s="1"/>
      <c r="Q3451" s="1"/>
      <c r="R3451" s="1"/>
      <c r="S3451" s="1"/>
      <c r="T3451" s="1"/>
      <c r="U3451" s="1"/>
      <c r="V3451" s="1"/>
      <c r="W3451" s="1"/>
      <c r="X3451" s="1"/>
      <c r="Y3451" s="1"/>
      <c r="Z3451" s="1"/>
      <c r="AA3451" s="1"/>
      <c r="AB3451" s="1"/>
    </row>
    <row r="3452" ht="50.25" customHeight="1">
      <c r="A3452" s="12">
        <v>3448.0</v>
      </c>
      <c r="B3452" s="13" t="s">
        <v>3427</v>
      </c>
      <c r="C3452" s="14" t="s">
        <v>3469</v>
      </c>
      <c r="D3452" s="1"/>
      <c r="E3452" s="1"/>
      <c r="F3452" s="1" t="str">
        <f>IFERROR(__xludf.DUMMYFUNCTION("GOOGLETRANSLATE(B3452, ""en"", ""fa"")
"),"تمرینات ذهن آگاهی و مدیتیشن")</f>
        <v>تمرینات ذهن آگاهی و مدیتیشن</v>
      </c>
      <c r="G3452" s="1" t="str">
        <f>IFERROR(__xludf.DUMMYFUNCTION("GOOGLETRANSLATE(C3452, ""en"", ""fa"")
"),"نکاتی را برای گنجاندن ذهن آگاهی در روال ها و مناسک روزانه مراقبت از خود به اشتراک بگذارید.")</f>
        <v>نکاتی را برای گنجاندن ذهن آگاهی در روال ها و مناسک روزانه مراقبت از خود به اشتراک بگذارید.</v>
      </c>
      <c r="H3452" s="1"/>
      <c r="I3452" s="1"/>
      <c r="J3452" s="1"/>
      <c r="K3452" s="1"/>
      <c r="L3452" s="1"/>
      <c r="M3452" s="1"/>
      <c r="N3452" s="1"/>
      <c r="O3452" s="1"/>
      <c r="P3452" s="1"/>
      <c r="Q3452" s="1"/>
      <c r="R3452" s="1"/>
      <c r="S3452" s="1"/>
      <c r="T3452" s="1"/>
      <c r="U3452" s="1"/>
      <c r="V3452" s="1"/>
      <c r="W3452" s="1"/>
      <c r="X3452" s="1"/>
      <c r="Y3452" s="1"/>
      <c r="Z3452" s="1"/>
      <c r="AA3452" s="1"/>
      <c r="AB3452" s="1"/>
    </row>
    <row r="3453" ht="50.25" customHeight="1">
      <c r="A3453" s="12">
        <v>3449.0</v>
      </c>
      <c r="B3453" s="13" t="s">
        <v>3427</v>
      </c>
      <c r="C3453" s="14" t="s">
        <v>3470</v>
      </c>
      <c r="D3453" s="1"/>
      <c r="E3453" s="1"/>
      <c r="F3453" s="1" t="str">
        <f>IFERROR(__xludf.DUMMYFUNCTION("GOOGLETRANSLATE(B3453, ""en"", ""fa"")
"),"تمرینات ذهن آگاهی و مدیتیشن")</f>
        <v>تمرینات ذهن آگاهی و مدیتیشن</v>
      </c>
      <c r="G3453" s="1" t="str">
        <f>IFERROR(__xludf.DUMMYFUNCTION("GOOGLETRANSLATE(C3453, ""en"", ""fa"")
"),"نقش ذهن آگاهی را در پرورش انعطاف‌پذیری و نجات از ناملایمات بررسی کنید.")</f>
        <v>نقش ذهن آگاهی را در پرورش انعطاف‌پذیری و نجات از ناملایمات بررسی کنید.</v>
      </c>
      <c r="H3453" s="1"/>
      <c r="I3453" s="1"/>
      <c r="J3453" s="1"/>
      <c r="K3453" s="1"/>
      <c r="L3453" s="1"/>
      <c r="M3453" s="1"/>
      <c r="N3453" s="1"/>
      <c r="O3453" s="1"/>
      <c r="P3453" s="1"/>
      <c r="Q3453" s="1"/>
      <c r="R3453" s="1"/>
      <c r="S3453" s="1"/>
      <c r="T3453" s="1"/>
      <c r="U3453" s="1"/>
      <c r="V3453" s="1"/>
      <c r="W3453" s="1"/>
      <c r="X3453" s="1"/>
      <c r="Y3453" s="1"/>
      <c r="Z3453" s="1"/>
      <c r="AA3453" s="1"/>
      <c r="AB3453" s="1"/>
    </row>
    <row r="3454" ht="50.25" customHeight="1">
      <c r="A3454" s="12">
        <v>3450.0</v>
      </c>
      <c r="B3454" s="13" t="s">
        <v>3427</v>
      </c>
      <c r="C3454" s="14" t="s">
        <v>3471</v>
      </c>
      <c r="D3454" s="1"/>
      <c r="E3454" s="1"/>
      <c r="F3454" s="1" t="str">
        <f>IFERROR(__xludf.DUMMYFUNCTION("GOOGLETRANSLATE(B3454, ""en"", ""fa"")
"),"تمرینات ذهن آگاهی و مدیتیشن")</f>
        <v>تمرینات ذهن آگاهی و مدیتیشن</v>
      </c>
      <c r="G3454" s="1" t="str">
        <f>IFERROR(__xludf.DUMMYFUNCTION("GOOGLETRANSLATE(C3454, ""en"", ""fa"")
"),"در مورد مزایای تمرین ذهن آگاهی در بهبود تمرکز و تمرکز در محیط های آکادمیک یا حرفه ای بحث کنید.")</f>
        <v>در مورد مزایای تمرین ذهن آگاهی در بهبود تمرکز و تمرکز در محیط های آکادمیک یا حرفه ای بحث کنید.</v>
      </c>
      <c r="H3454" s="1"/>
      <c r="I3454" s="1"/>
      <c r="J3454" s="1"/>
      <c r="K3454" s="1"/>
      <c r="L3454" s="1"/>
      <c r="M3454" s="1"/>
      <c r="N3454" s="1"/>
      <c r="O3454" s="1"/>
      <c r="P3454" s="1"/>
      <c r="Q3454" s="1"/>
      <c r="R3454" s="1"/>
      <c r="S3454" s="1"/>
      <c r="T3454" s="1"/>
      <c r="U3454" s="1"/>
      <c r="V3454" s="1"/>
      <c r="W3454" s="1"/>
      <c r="X3454" s="1"/>
      <c r="Y3454" s="1"/>
      <c r="Z3454" s="1"/>
      <c r="AA3454" s="1"/>
      <c r="AB3454" s="1"/>
    </row>
    <row r="3455" ht="50.25" customHeight="1">
      <c r="A3455" s="12">
        <v>3451.0</v>
      </c>
      <c r="B3455" s="13" t="s">
        <v>3427</v>
      </c>
      <c r="C3455" s="14" t="s">
        <v>3472</v>
      </c>
      <c r="D3455" s="1"/>
      <c r="E3455" s="1"/>
      <c r="F3455" s="1" t="str">
        <f>IFERROR(__xludf.DUMMYFUNCTION("GOOGLETRANSLATE(B3455, ""en"", ""fa"")
"),"تمرینات ذهن آگاهی و مدیتیشن")</f>
        <v>تمرینات ذهن آگاهی و مدیتیشن</v>
      </c>
      <c r="G3455" s="1" t="str">
        <f>IFERROR(__xludf.DUMMYFUNCTION("GOOGLETRANSLATE(C3455, ""en"", ""fa"")
"),"تکنیک های تمرین ذهن آگاهی را در لحظات انتقال و تغییرات زندگی به اشتراک بگذارید.")</f>
        <v>تکنیک های تمرین ذهن آگاهی را در لحظات انتقال و تغییرات زندگی به اشتراک بگذارید.</v>
      </c>
      <c r="H3455" s="1"/>
      <c r="I3455" s="1"/>
      <c r="J3455" s="1"/>
      <c r="K3455" s="1"/>
      <c r="L3455" s="1"/>
      <c r="M3455" s="1"/>
      <c r="N3455" s="1"/>
      <c r="O3455" s="1"/>
      <c r="P3455" s="1"/>
      <c r="Q3455" s="1"/>
      <c r="R3455" s="1"/>
      <c r="S3455" s="1"/>
      <c r="T3455" s="1"/>
      <c r="U3455" s="1"/>
      <c r="V3455" s="1"/>
      <c r="W3455" s="1"/>
      <c r="X3455" s="1"/>
      <c r="Y3455" s="1"/>
      <c r="Z3455" s="1"/>
      <c r="AA3455" s="1"/>
      <c r="AB3455" s="1"/>
    </row>
    <row r="3456" ht="50.25" customHeight="1">
      <c r="A3456" s="12">
        <v>3452.0</v>
      </c>
      <c r="B3456" s="13" t="s">
        <v>3427</v>
      </c>
      <c r="C3456" s="14" t="s">
        <v>3473</v>
      </c>
      <c r="D3456" s="1"/>
      <c r="E3456" s="1"/>
      <c r="F3456" s="1" t="str">
        <f>IFERROR(__xludf.DUMMYFUNCTION("GOOGLETRANSLATE(B3456, ""en"", ""fa"")
"),"تمرینات ذهن آگاهی و مدیتیشن")</f>
        <v>تمرینات ذهن آگاهی و مدیتیشن</v>
      </c>
      <c r="G3456" s="1" t="str">
        <f>IFERROR(__xludf.DUMMYFUNCTION("GOOGLETRANSLATE(C3456, ""en"", ""fa"")
"),"شیوه های مختلف مدیتیشن را برای ارتقای ذهن آگاهی در ورزش و فعالیت های بدنی کاوش کنید.")</f>
        <v>شیوه های مختلف مدیتیشن را برای ارتقای ذهن آگاهی در ورزش و فعالیت های بدنی کاوش کنید.</v>
      </c>
      <c r="H3456" s="1"/>
      <c r="I3456" s="1"/>
      <c r="J3456" s="1"/>
      <c r="K3456" s="1"/>
      <c r="L3456" s="1"/>
      <c r="M3456" s="1"/>
      <c r="N3456" s="1"/>
      <c r="O3456" s="1"/>
      <c r="P3456" s="1"/>
      <c r="Q3456" s="1"/>
      <c r="R3456" s="1"/>
      <c r="S3456" s="1"/>
      <c r="T3456" s="1"/>
      <c r="U3456" s="1"/>
      <c r="V3456" s="1"/>
      <c r="W3456" s="1"/>
      <c r="X3456" s="1"/>
      <c r="Y3456" s="1"/>
      <c r="Z3456" s="1"/>
      <c r="AA3456" s="1"/>
      <c r="AB3456" s="1"/>
    </row>
    <row r="3457" ht="50.25" customHeight="1">
      <c r="A3457" s="12">
        <v>3453.0</v>
      </c>
      <c r="B3457" s="13" t="s">
        <v>3427</v>
      </c>
      <c r="C3457" s="14" t="s">
        <v>3474</v>
      </c>
      <c r="D3457" s="1"/>
      <c r="E3457" s="1"/>
      <c r="F3457" s="1" t="str">
        <f>IFERROR(__xludf.DUMMYFUNCTION("GOOGLETRANSLATE(B3457, ""en"", ""fa"")
"),"تمرینات ذهن آگاهی و مدیتیشن")</f>
        <v>تمرینات ذهن آگاهی و مدیتیشن</v>
      </c>
      <c r="G3457" s="1" t="str">
        <f>IFERROR(__xludf.DUMMYFUNCTION("GOOGLETRANSLATE(C3457, ""en"", ""fa"")
"),"در مورد مزایای گنجاندن ذهن آگاهی در رهبری و پرورش فرهنگ کاری مثبت بحث کنید.")</f>
        <v>در مورد مزایای گنجاندن ذهن آگاهی در رهبری و پرورش فرهنگ کاری مثبت بحث کنید.</v>
      </c>
      <c r="H3457" s="1"/>
      <c r="I3457" s="1"/>
      <c r="J3457" s="1"/>
      <c r="K3457" s="1"/>
      <c r="L3457" s="1"/>
      <c r="M3457" s="1"/>
      <c r="N3457" s="1"/>
      <c r="O3457" s="1"/>
      <c r="P3457" s="1"/>
      <c r="Q3457" s="1"/>
      <c r="R3457" s="1"/>
      <c r="S3457" s="1"/>
      <c r="T3457" s="1"/>
      <c r="U3457" s="1"/>
      <c r="V3457" s="1"/>
      <c r="W3457" s="1"/>
      <c r="X3457" s="1"/>
      <c r="Y3457" s="1"/>
      <c r="Z3457" s="1"/>
      <c r="AA3457" s="1"/>
      <c r="AB3457" s="1"/>
    </row>
    <row r="3458" ht="50.25" customHeight="1">
      <c r="A3458" s="12">
        <v>3454.0</v>
      </c>
      <c r="B3458" s="13" t="s">
        <v>3427</v>
      </c>
      <c r="C3458" s="14" t="s">
        <v>3475</v>
      </c>
      <c r="D3458" s="1"/>
      <c r="E3458" s="1"/>
      <c r="F3458" s="1" t="str">
        <f>IFERROR(__xludf.DUMMYFUNCTION("GOOGLETRANSLATE(B3458, ""en"", ""fa"")
"),"تمرینات ذهن آگاهی و مدیتیشن")</f>
        <v>تمرینات ذهن آگاهی و مدیتیشن</v>
      </c>
      <c r="G3458" s="1" t="str">
        <f>IFERROR(__xludf.DUMMYFUNCTION("GOOGLETRANSLATE(C3458, ""en"", ""fa"")
"),"نکاتی را برای تمرین ذهن آگاهی در استفاده از رسانه های اجتماعی و حفظ حضور دیجیتال سالم به اشتراک بگذارید.")</f>
        <v>نکاتی را برای تمرین ذهن آگاهی در استفاده از رسانه های اجتماعی و حفظ حضور دیجیتال سالم به اشتراک بگذارید.</v>
      </c>
      <c r="H3458" s="1"/>
      <c r="I3458" s="1"/>
      <c r="J3458" s="1"/>
      <c r="K3458" s="1"/>
      <c r="L3458" s="1"/>
      <c r="M3458" s="1"/>
      <c r="N3458" s="1"/>
      <c r="O3458" s="1"/>
      <c r="P3458" s="1"/>
      <c r="Q3458" s="1"/>
      <c r="R3458" s="1"/>
      <c r="S3458" s="1"/>
      <c r="T3458" s="1"/>
      <c r="U3458" s="1"/>
      <c r="V3458" s="1"/>
      <c r="W3458" s="1"/>
      <c r="X3458" s="1"/>
      <c r="Y3458" s="1"/>
      <c r="Z3458" s="1"/>
      <c r="AA3458" s="1"/>
      <c r="AB3458" s="1"/>
    </row>
    <row r="3459" ht="50.25" customHeight="1">
      <c r="A3459" s="12">
        <v>3455.0</v>
      </c>
      <c r="B3459" s="13" t="s">
        <v>3427</v>
      </c>
      <c r="C3459" s="14" t="s">
        <v>3476</v>
      </c>
      <c r="D3459" s="1"/>
      <c r="E3459" s="1"/>
      <c r="F3459" s="1" t="str">
        <f>IFERROR(__xludf.DUMMYFUNCTION("GOOGLETRANSLATE(B3459, ""en"", ""fa"")
"),"تمرینات ذهن آگاهی و مدیتیشن")</f>
        <v>تمرینات ذهن آگاهی و مدیتیشن</v>
      </c>
      <c r="G3459" s="1" t="str">
        <f>IFERROR(__xludf.DUMMYFUNCTION("GOOGLETRANSLATE(C3459, ""en"", ""fa"")
"),"ارتباط بین ذهن آگاهی و بهبود ارتباط و مهارت های گوش دادن فعال را بررسی کنید.")</f>
        <v>ارتباط بین ذهن آگاهی و بهبود ارتباط و مهارت های گوش دادن فعال را بررسی کنید.</v>
      </c>
      <c r="H3459" s="1"/>
      <c r="I3459" s="1"/>
      <c r="J3459" s="1"/>
      <c r="K3459" s="1"/>
      <c r="L3459" s="1"/>
      <c r="M3459" s="1"/>
      <c r="N3459" s="1"/>
      <c r="O3459" s="1"/>
      <c r="P3459" s="1"/>
      <c r="Q3459" s="1"/>
      <c r="R3459" s="1"/>
      <c r="S3459" s="1"/>
      <c r="T3459" s="1"/>
      <c r="U3459" s="1"/>
      <c r="V3459" s="1"/>
      <c r="W3459" s="1"/>
      <c r="X3459" s="1"/>
      <c r="Y3459" s="1"/>
      <c r="Z3459" s="1"/>
      <c r="AA3459" s="1"/>
      <c r="AB3459" s="1"/>
    </row>
    <row r="3460" ht="50.25" customHeight="1">
      <c r="A3460" s="12">
        <v>3456.0</v>
      </c>
      <c r="B3460" s="13" t="s">
        <v>3427</v>
      </c>
      <c r="C3460" s="14" t="s">
        <v>3477</v>
      </c>
      <c r="D3460" s="1"/>
      <c r="E3460" s="1"/>
      <c r="F3460" s="1" t="str">
        <f>IFERROR(__xludf.DUMMYFUNCTION("GOOGLETRANSLATE(B3460, ""en"", ""fa"")
"),"تمرینات ذهن آگاهی و مدیتیشن")</f>
        <v>تمرینات ذهن آگاهی و مدیتیشن</v>
      </c>
      <c r="G3460" s="1" t="str">
        <f>IFERROR(__xludf.DUMMYFUNCTION("GOOGLETRANSLATE(C3460, ""en"", ""fa"")
"),"در مورد مزایای تمرین ذهن آگاهی در مدیریت و کاهش علائم بیماری مزمن بحث کنید.")</f>
        <v>در مورد مزایای تمرین ذهن آگاهی در مدیریت و کاهش علائم بیماری مزمن بحث کنید.</v>
      </c>
      <c r="H3460" s="1"/>
      <c r="I3460" s="1"/>
      <c r="J3460" s="1"/>
      <c r="K3460" s="1"/>
      <c r="L3460" s="1"/>
      <c r="M3460" s="1"/>
      <c r="N3460" s="1"/>
      <c r="O3460" s="1"/>
      <c r="P3460" s="1"/>
      <c r="Q3460" s="1"/>
      <c r="R3460" s="1"/>
      <c r="S3460" s="1"/>
      <c r="T3460" s="1"/>
      <c r="U3460" s="1"/>
      <c r="V3460" s="1"/>
      <c r="W3460" s="1"/>
      <c r="X3460" s="1"/>
      <c r="Y3460" s="1"/>
      <c r="Z3460" s="1"/>
      <c r="AA3460" s="1"/>
      <c r="AB3460" s="1"/>
    </row>
    <row r="3461" ht="50.25" customHeight="1">
      <c r="A3461" s="12">
        <v>3457.0</v>
      </c>
      <c r="B3461" s="13" t="s">
        <v>3427</v>
      </c>
      <c r="C3461" s="14" t="s">
        <v>3478</v>
      </c>
      <c r="D3461" s="1"/>
      <c r="E3461" s="1"/>
      <c r="F3461" s="1" t="str">
        <f>IFERROR(__xludf.DUMMYFUNCTION("GOOGLETRANSLATE(B3461, ""en"", ""fa"")
"),"تمرینات ذهن آگاهی و مدیتیشن")</f>
        <v>تمرینات ذهن آگاهی و مدیتیشن</v>
      </c>
      <c r="G3461" s="1" t="str">
        <f>IFERROR(__xludf.DUMMYFUNCTION("GOOGLETRANSLATE(C3461, ""en"", ""fa"")
"),"تکنیک‌های گنجاندن ذهن آگاهی را در تمرین‌های قدردانی روزانه به اشتراک بگذارید.")</f>
        <v>تکنیک‌های گنجاندن ذهن آگاهی را در تمرین‌های قدردانی روزانه به اشتراک بگذارید.</v>
      </c>
      <c r="H3461" s="1"/>
      <c r="I3461" s="1"/>
      <c r="J3461" s="1"/>
      <c r="K3461" s="1"/>
      <c r="L3461" s="1"/>
      <c r="M3461" s="1"/>
      <c r="N3461" s="1"/>
      <c r="O3461" s="1"/>
      <c r="P3461" s="1"/>
      <c r="Q3461" s="1"/>
      <c r="R3461" s="1"/>
      <c r="S3461" s="1"/>
      <c r="T3461" s="1"/>
      <c r="U3461" s="1"/>
      <c r="V3461" s="1"/>
      <c r="W3461" s="1"/>
      <c r="X3461" s="1"/>
      <c r="Y3461" s="1"/>
      <c r="Z3461" s="1"/>
      <c r="AA3461" s="1"/>
      <c r="AB3461" s="1"/>
    </row>
    <row r="3462" ht="50.25" customHeight="1">
      <c r="A3462" s="12">
        <v>3458.0</v>
      </c>
      <c r="B3462" s="13" t="s">
        <v>3427</v>
      </c>
      <c r="C3462" s="14" t="s">
        <v>3479</v>
      </c>
      <c r="D3462" s="1"/>
      <c r="E3462" s="1"/>
      <c r="F3462" s="1" t="str">
        <f>IFERROR(__xludf.DUMMYFUNCTION("GOOGLETRANSLATE(B3462, ""en"", ""fa"")
"),"تمرینات ذهن آگاهی و مدیتیشن")</f>
        <v>تمرینات ذهن آگاهی و مدیتیشن</v>
      </c>
      <c r="G3462" s="1" t="str">
        <f>IFERROR(__xludf.DUMMYFUNCTION("GOOGLETRANSLATE(C3462, ""en"", ""fa"")
"),"نقش ذهن آگاهی را در پرورش عدم واکنش و تنظیم هیجانی بررسی کنید.")</f>
        <v>نقش ذهن آگاهی را در پرورش عدم واکنش و تنظیم هیجانی بررسی کنید.</v>
      </c>
      <c r="H3462" s="1"/>
      <c r="I3462" s="1"/>
      <c r="J3462" s="1"/>
      <c r="K3462" s="1"/>
      <c r="L3462" s="1"/>
      <c r="M3462" s="1"/>
      <c r="N3462" s="1"/>
      <c r="O3462" s="1"/>
      <c r="P3462" s="1"/>
      <c r="Q3462" s="1"/>
      <c r="R3462" s="1"/>
      <c r="S3462" s="1"/>
      <c r="T3462" s="1"/>
      <c r="U3462" s="1"/>
      <c r="V3462" s="1"/>
      <c r="W3462" s="1"/>
      <c r="X3462" s="1"/>
      <c r="Y3462" s="1"/>
      <c r="Z3462" s="1"/>
      <c r="AA3462" s="1"/>
      <c r="AB3462" s="1"/>
    </row>
    <row r="3463" ht="50.25" customHeight="1">
      <c r="A3463" s="12">
        <v>3459.0</v>
      </c>
      <c r="B3463" s="13" t="s">
        <v>3427</v>
      </c>
      <c r="C3463" s="14" t="s">
        <v>3480</v>
      </c>
      <c r="D3463" s="1"/>
      <c r="E3463" s="1"/>
      <c r="F3463" s="1" t="str">
        <f>IFERROR(__xludf.DUMMYFUNCTION("GOOGLETRANSLATE(B3463, ""en"", ""fa"")
"),"تمرینات ذهن آگاهی و مدیتیشن")</f>
        <v>تمرینات ذهن آگاهی و مدیتیشن</v>
      </c>
      <c r="G3463" s="1" t="str">
        <f>IFERROR(__xludf.DUMMYFUNCTION("GOOGLETRANSLATE(C3463, ""en"", ""fa"")
"),"در مورد مزایای ذهن آگاهی در پرورش شفقت و همدلی نسبت به دیگران بحث کنید.")</f>
        <v>در مورد مزایای ذهن آگاهی در پرورش شفقت و همدلی نسبت به دیگران بحث کنید.</v>
      </c>
      <c r="H3463" s="1"/>
      <c r="I3463" s="1"/>
      <c r="J3463" s="1"/>
      <c r="K3463" s="1"/>
      <c r="L3463" s="1"/>
      <c r="M3463" s="1"/>
      <c r="N3463" s="1"/>
      <c r="O3463" s="1"/>
      <c r="P3463" s="1"/>
      <c r="Q3463" s="1"/>
      <c r="R3463" s="1"/>
      <c r="S3463" s="1"/>
      <c r="T3463" s="1"/>
      <c r="U3463" s="1"/>
      <c r="V3463" s="1"/>
      <c r="W3463" s="1"/>
      <c r="X3463" s="1"/>
      <c r="Y3463" s="1"/>
      <c r="Z3463" s="1"/>
      <c r="AA3463" s="1"/>
      <c r="AB3463" s="1"/>
    </row>
    <row r="3464" ht="50.25" customHeight="1">
      <c r="A3464" s="12">
        <v>3460.0</v>
      </c>
      <c r="B3464" s="13" t="s">
        <v>3427</v>
      </c>
      <c r="C3464" s="14" t="s">
        <v>3481</v>
      </c>
      <c r="D3464" s="1"/>
      <c r="E3464" s="1"/>
      <c r="F3464" s="1" t="str">
        <f>IFERROR(__xludf.DUMMYFUNCTION("GOOGLETRANSLATE(B3464, ""en"", ""fa"")
"),"تمرینات ذهن آگاهی و مدیتیشن")</f>
        <v>تمرینات ذهن آگاهی و مدیتیشن</v>
      </c>
      <c r="G3464" s="1" t="str">
        <f>IFERROR(__xludf.DUMMYFUNCTION("GOOGLETRANSLATE(C3464, ""en"", ""fa"")
"),"نکاتی را برای گنجاندن تمرکز حواس در روتین عصرگاهی برای خواب بهتر و آرامش به اشتراک بگذارید.")</f>
        <v>نکاتی را برای گنجاندن تمرکز حواس در روتین عصرگاهی برای خواب بهتر و آرامش به اشتراک بگذارید.</v>
      </c>
      <c r="H3464" s="1"/>
      <c r="I3464" s="1"/>
      <c r="J3464" s="1"/>
      <c r="K3464" s="1"/>
      <c r="L3464" s="1"/>
      <c r="M3464" s="1"/>
      <c r="N3464" s="1"/>
      <c r="O3464" s="1"/>
      <c r="P3464" s="1"/>
      <c r="Q3464" s="1"/>
      <c r="R3464" s="1"/>
      <c r="S3464" s="1"/>
      <c r="T3464" s="1"/>
      <c r="U3464" s="1"/>
      <c r="V3464" s="1"/>
      <c r="W3464" s="1"/>
      <c r="X3464" s="1"/>
      <c r="Y3464" s="1"/>
      <c r="Z3464" s="1"/>
      <c r="AA3464" s="1"/>
      <c r="AB3464" s="1"/>
    </row>
    <row r="3465" ht="50.25" customHeight="1">
      <c r="A3465" s="12">
        <v>3461.0</v>
      </c>
      <c r="B3465" s="13" t="s">
        <v>3427</v>
      </c>
      <c r="C3465" s="14" t="s">
        <v>3482</v>
      </c>
      <c r="D3465" s="1"/>
      <c r="E3465" s="1"/>
      <c r="F3465" s="1" t="str">
        <f>IFERROR(__xludf.DUMMYFUNCTION("GOOGLETRANSLATE(B3465, ""en"", ""fa"")
"),"تمرینات ذهن آگاهی و مدیتیشن")</f>
        <v>تمرینات ذهن آگاهی و مدیتیشن</v>
      </c>
      <c r="G3465" s="1" t="str">
        <f>IFERROR(__xludf.DUMMYFUNCTION("GOOGLETRANSLATE(C3465, ""en"", ""fa"")
"),"شیوه های مختلف مراقبه را برای پرورش ذهن آگاهی در کارهای خلاقانه، مانند نوشتن یا نقاشی، کاوش کنید.")</f>
        <v>شیوه های مختلف مراقبه را برای پرورش ذهن آگاهی در کارهای خلاقانه، مانند نوشتن یا نقاشی، کاوش کنید.</v>
      </c>
      <c r="H3465" s="1"/>
      <c r="I3465" s="1"/>
      <c r="J3465" s="1"/>
      <c r="K3465" s="1"/>
      <c r="L3465" s="1"/>
      <c r="M3465" s="1"/>
      <c r="N3465" s="1"/>
      <c r="O3465" s="1"/>
      <c r="P3465" s="1"/>
      <c r="Q3465" s="1"/>
      <c r="R3465" s="1"/>
      <c r="S3465" s="1"/>
      <c r="T3465" s="1"/>
      <c r="U3465" s="1"/>
      <c r="V3465" s="1"/>
      <c r="W3465" s="1"/>
      <c r="X3465" s="1"/>
      <c r="Y3465" s="1"/>
      <c r="Z3465" s="1"/>
      <c r="AA3465" s="1"/>
      <c r="AB3465" s="1"/>
    </row>
    <row r="3466" ht="50.25" customHeight="1">
      <c r="A3466" s="12">
        <v>3462.0</v>
      </c>
      <c r="B3466" s="13" t="s">
        <v>3427</v>
      </c>
      <c r="C3466" s="14" t="s">
        <v>3483</v>
      </c>
      <c r="D3466" s="1"/>
      <c r="E3466" s="1"/>
      <c r="F3466" s="1" t="str">
        <f>IFERROR(__xludf.DUMMYFUNCTION("GOOGLETRANSLATE(B3466, ""en"", ""fa"")
"),"تمرینات ذهن آگاهی و مدیتیشن")</f>
        <v>تمرینات ذهن آگاهی و مدیتیشن</v>
      </c>
      <c r="G3466" s="1" t="str">
        <f>IFERROR(__xludf.DUMMYFUNCTION("GOOGLETRANSLATE(C3466, ""en"", ""fa"")
"),"در مورد مزایای تمرین ذهن آگاهی در افزایش آگاهی بدن و ارتقای سلامت جسمی بحث کنید.")</f>
        <v>در مورد مزایای تمرین ذهن آگاهی در افزایش آگاهی بدن و ارتقای سلامت جسمی بحث کنید.</v>
      </c>
      <c r="H3466" s="1"/>
      <c r="I3466" s="1"/>
      <c r="J3466" s="1"/>
      <c r="K3466" s="1"/>
      <c r="L3466" s="1"/>
      <c r="M3466" s="1"/>
      <c r="N3466" s="1"/>
      <c r="O3466" s="1"/>
      <c r="P3466" s="1"/>
      <c r="Q3466" s="1"/>
      <c r="R3466" s="1"/>
      <c r="S3466" s="1"/>
      <c r="T3466" s="1"/>
      <c r="U3466" s="1"/>
      <c r="V3466" s="1"/>
      <c r="W3466" s="1"/>
      <c r="X3466" s="1"/>
      <c r="Y3466" s="1"/>
      <c r="Z3466" s="1"/>
      <c r="AA3466" s="1"/>
      <c r="AB3466" s="1"/>
    </row>
    <row r="3467" ht="50.25" customHeight="1">
      <c r="A3467" s="12">
        <v>3463.0</v>
      </c>
      <c r="B3467" s="13" t="s">
        <v>3427</v>
      </c>
      <c r="C3467" s="14" t="s">
        <v>3484</v>
      </c>
      <c r="D3467" s="1"/>
      <c r="E3467" s="1"/>
      <c r="F3467" s="1" t="str">
        <f>IFERROR(__xludf.DUMMYFUNCTION("GOOGLETRANSLATE(B3467, ""en"", ""fa"")
"),"تمرینات ذهن آگاهی و مدیتیشن")</f>
        <v>تمرینات ذهن آگاهی و مدیتیشن</v>
      </c>
      <c r="G3467" s="1" t="str">
        <f>IFERROR(__xludf.DUMMYFUNCTION("GOOGLETRANSLATE(C3467, ""en"", ""fa"")
"),"تکنیک های تمرین ذهن آگاهی را در لحظات اضطراب یا وحشت به اشتراک بگذارید.")</f>
        <v>تکنیک های تمرین ذهن آگاهی را در لحظات اضطراب یا وحشت به اشتراک بگذارید.</v>
      </c>
      <c r="H3467" s="1"/>
      <c r="I3467" s="1"/>
      <c r="J3467" s="1"/>
      <c r="K3467" s="1"/>
      <c r="L3467" s="1"/>
      <c r="M3467" s="1"/>
      <c r="N3467" s="1"/>
      <c r="O3467" s="1"/>
      <c r="P3467" s="1"/>
      <c r="Q3467" s="1"/>
      <c r="R3467" s="1"/>
      <c r="S3467" s="1"/>
      <c r="T3467" s="1"/>
      <c r="U3467" s="1"/>
      <c r="V3467" s="1"/>
      <c r="W3467" s="1"/>
      <c r="X3467" s="1"/>
      <c r="Y3467" s="1"/>
      <c r="Z3467" s="1"/>
      <c r="AA3467" s="1"/>
      <c r="AB3467" s="1"/>
    </row>
    <row r="3468" ht="50.25" customHeight="1">
      <c r="A3468" s="12">
        <v>3464.0</v>
      </c>
      <c r="B3468" s="13" t="s">
        <v>3427</v>
      </c>
      <c r="C3468" s="14" t="s">
        <v>3485</v>
      </c>
      <c r="D3468" s="1"/>
      <c r="E3468" s="1"/>
      <c r="F3468" s="1" t="str">
        <f>IFERROR(__xludf.DUMMYFUNCTION("GOOGLETRANSLATE(B3468, ""en"", ""fa"")
"),"تمرینات ذهن آگاهی و مدیتیشن")</f>
        <v>تمرینات ذهن آگاهی و مدیتیشن</v>
      </c>
      <c r="G3468" s="1" t="str">
        <f>IFERROR(__xludf.DUMMYFUNCTION("GOOGLETRANSLATE(C3468, ""en"", ""fa"")
"),"ارتباط بین ذهن آگاهی و بهبود روابط و صمیمیت را بررسی کنید.")</f>
        <v>ارتباط بین ذهن آگاهی و بهبود روابط و صمیمیت را بررسی کنید.</v>
      </c>
      <c r="H3468" s="1"/>
      <c r="I3468" s="1"/>
      <c r="J3468" s="1"/>
      <c r="K3468" s="1"/>
      <c r="L3468" s="1"/>
      <c r="M3468" s="1"/>
      <c r="N3468" s="1"/>
      <c r="O3468" s="1"/>
      <c r="P3468" s="1"/>
      <c r="Q3468" s="1"/>
      <c r="R3468" s="1"/>
      <c r="S3468" s="1"/>
      <c r="T3468" s="1"/>
      <c r="U3468" s="1"/>
      <c r="V3468" s="1"/>
      <c r="W3468" s="1"/>
      <c r="X3468" s="1"/>
      <c r="Y3468" s="1"/>
      <c r="Z3468" s="1"/>
      <c r="AA3468" s="1"/>
      <c r="AB3468" s="1"/>
    </row>
    <row r="3469" ht="50.25" customHeight="1">
      <c r="A3469" s="12">
        <v>3465.0</v>
      </c>
      <c r="B3469" s="13" t="s">
        <v>3427</v>
      </c>
      <c r="C3469" s="14" t="s">
        <v>3486</v>
      </c>
      <c r="D3469" s="1"/>
      <c r="E3469" s="1"/>
      <c r="F3469" s="1" t="str">
        <f>IFERROR(__xludf.DUMMYFUNCTION("GOOGLETRANSLATE(B3469, ""en"", ""fa"")
"),"تمرینات ذهن آگاهی و مدیتیشن")</f>
        <v>تمرینات ذهن آگاهی و مدیتیشن</v>
      </c>
      <c r="G3469" s="1" t="str">
        <f>IFERROR(__xludf.DUMMYFUNCTION("GOOGLETRANSLATE(C3469, ""en"", ""fa"")
"),"در مورد مزایای استفاده از ذهن آگاهی در مراقبت و حمایت از دیگران بحث کنید.")</f>
        <v>در مورد مزایای استفاده از ذهن آگاهی در مراقبت و حمایت از دیگران بحث کنید.</v>
      </c>
      <c r="H3469" s="1"/>
      <c r="I3469" s="1"/>
      <c r="J3469" s="1"/>
      <c r="K3469" s="1"/>
      <c r="L3469" s="1"/>
      <c r="M3469" s="1"/>
      <c r="N3469" s="1"/>
      <c r="O3469" s="1"/>
      <c r="P3469" s="1"/>
      <c r="Q3469" s="1"/>
      <c r="R3469" s="1"/>
      <c r="S3469" s="1"/>
      <c r="T3469" s="1"/>
      <c r="U3469" s="1"/>
      <c r="V3469" s="1"/>
      <c r="W3469" s="1"/>
      <c r="X3469" s="1"/>
      <c r="Y3469" s="1"/>
      <c r="Z3469" s="1"/>
      <c r="AA3469" s="1"/>
      <c r="AB3469" s="1"/>
    </row>
    <row r="3470" ht="50.25" customHeight="1">
      <c r="A3470" s="12">
        <v>3466.0</v>
      </c>
      <c r="B3470" s="13" t="s">
        <v>3427</v>
      </c>
      <c r="C3470" s="14" t="s">
        <v>3487</v>
      </c>
      <c r="D3470" s="1"/>
      <c r="E3470" s="1"/>
      <c r="F3470" s="1" t="str">
        <f>IFERROR(__xludf.DUMMYFUNCTION("GOOGLETRANSLATE(B3470, ""en"", ""fa"")
"),"تمرینات ذهن آگاهی و مدیتیشن")</f>
        <v>تمرینات ذهن آگاهی و مدیتیشن</v>
      </c>
      <c r="G3470" s="1" t="str">
        <f>IFERROR(__xludf.DUMMYFUNCTION("GOOGLETRANSLATE(C3470, ""en"", ""fa"")
"),"نکاتی را برای تمرین ذهن آگاهی در فضاهای عمومی و محیط های شلوغ به اشتراک بگذارید.")</f>
        <v>نکاتی را برای تمرین ذهن آگاهی در فضاهای عمومی و محیط های شلوغ به اشتراک بگذارید.</v>
      </c>
      <c r="H3470" s="1"/>
      <c r="I3470" s="1"/>
      <c r="J3470" s="1"/>
      <c r="K3470" s="1"/>
      <c r="L3470" s="1"/>
      <c r="M3470" s="1"/>
      <c r="N3470" s="1"/>
      <c r="O3470" s="1"/>
      <c r="P3470" s="1"/>
      <c r="Q3470" s="1"/>
      <c r="R3470" s="1"/>
      <c r="S3470" s="1"/>
      <c r="T3470" s="1"/>
      <c r="U3470" s="1"/>
      <c r="V3470" s="1"/>
      <c r="W3470" s="1"/>
      <c r="X3470" s="1"/>
      <c r="Y3470" s="1"/>
      <c r="Z3470" s="1"/>
      <c r="AA3470" s="1"/>
      <c r="AB3470" s="1"/>
    </row>
    <row r="3471" ht="50.25" customHeight="1">
      <c r="A3471" s="12">
        <v>3467.0</v>
      </c>
      <c r="B3471" s="13" t="s">
        <v>3427</v>
      </c>
      <c r="C3471" s="14" t="s">
        <v>3488</v>
      </c>
      <c r="D3471" s="1"/>
      <c r="E3471" s="1"/>
      <c r="F3471" s="1" t="str">
        <f>IFERROR(__xludf.DUMMYFUNCTION("GOOGLETRANSLATE(B3471, ""en"", ""fa"")
"),"تمرینات ذهن آگاهی و مدیتیشن")</f>
        <v>تمرینات ذهن آگاهی و مدیتیشن</v>
      </c>
      <c r="G3471" s="1" t="str">
        <f>IFERROR(__xludf.DUMMYFUNCTION("GOOGLETRANSLATE(C3471, ""en"", ""fa"")
"),"شیوه های مختلف ذهن آگاهی را برای ترویج تغذیه آگاهانه و رابطه سالم با غذا بررسی کنید.")</f>
        <v>شیوه های مختلف ذهن آگاهی را برای ترویج تغذیه آگاهانه و رابطه سالم با غذا بررسی کنید.</v>
      </c>
      <c r="H3471" s="1"/>
      <c r="I3471" s="1"/>
      <c r="J3471" s="1"/>
      <c r="K3471" s="1"/>
      <c r="L3471" s="1"/>
      <c r="M3471" s="1"/>
      <c r="N3471" s="1"/>
      <c r="O3471" s="1"/>
      <c r="P3471" s="1"/>
      <c r="Q3471" s="1"/>
      <c r="R3471" s="1"/>
      <c r="S3471" s="1"/>
      <c r="T3471" s="1"/>
      <c r="U3471" s="1"/>
      <c r="V3471" s="1"/>
      <c r="W3471" s="1"/>
      <c r="X3471" s="1"/>
      <c r="Y3471" s="1"/>
      <c r="Z3471" s="1"/>
      <c r="AA3471" s="1"/>
      <c r="AB3471" s="1"/>
    </row>
    <row r="3472" ht="50.25" customHeight="1">
      <c r="A3472" s="12">
        <v>3468.0</v>
      </c>
      <c r="B3472" s="13" t="s">
        <v>3427</v>
      </c>
      <c r="C3472" s="14" t="s">
        <v>3489</v>
      </c>
      <c r="D3472" s="1"/>
      <c r="E3472" s="1"/>
      <c r="F3472" s="1" t="str">
        <f>IFERROR(__xludf.DUMMYFUNCTION("GOOGLETRANSLATE(B3472, ""en"", ""fa"")
"),"تمرینات ذهن آگاهی و مدیتیشن")</f>
        <v>تمرینات ذهن آگاهی و مدیتیشن</v>
      </c>
      <c r="G3472" s="1" t="str">
        <f>IFERROR(__xludf.DUMMYFUNCTION("GOOGLETRANSLATE(C3472, ""en"", ""fa"")
"),"در مورد مزایای تمرین ذهن آگاهی در تقویت حس به هم پیوستگی و یگانگی بحث کنید.")</f>
        <v>در مورد مزایای تمرین ذهن آگاهی در تقویت حس به هم پیوستگی و یگانگی بحث کنید.</v>
      </c>
      <c r="H3472" s="1"/>
      <c r="I3472" s="1"/>
      <c r="J3472" s="1"/>
      <c r="K3472" s="1"/>
      <c r="L3472" s="1"/>
      <c r="M3472" s="1"/>
      <c r="N3472" s="1"/>
      <c r="O3472" s="1"/>
      <c r="P3472" s="1"/>
      <c r="Q3472" s="1"/>
      <c r="R3472" s="1"/>
      <c r="S3472" s="1"/>
      <c r="T3472" s="1"/>
      <c r="U3472" s="1"/>
      <c r="V3472" s="1"/>
      <c r="W3472" s="1"/>
      <c r="X3472" s="1"/>
      <c r="Y3472" s="1"/>
      <c r="Z3472" s="1"/>
      <c r="AA3472" s="1"/>
      <c r="AB3472" s="1"/>
    </row>
    <row r="3473" ht="50.25" customHeight="1">
      <c r="A3473" s="12">
        <v>3469.0</v>
      </c>
      <c r="B3473" s="13" t="s">
        <v>3427</v>
      </c>
      <c r="C3473" s="14" t="s">
        <v>3490</v>
      </c>
      <c r="D3473" s="1"/>
      <c r="E3473" s="1"/>
      <c r="F3473" s="1" t="str">
        <f>IFERROR(__xludf.DUMMYFUNCTION("GOOGLETRANSLATE(B3473, ""en"", ""fa"")
"),"تمرینات ذهن آگاهی و مدیتیشن")</f>
        <v>تمرینات ذهن آگاهی و مدیتیشن</v>
      </c>
      <c r="G3473" s="1" t="str">
        <f>IFERROR(__xludf.DUMMYFUNCTION("GOOGLETRANSLATE(C3473, ""en"", ""fa"")
"),"تکنیک هایی را برای گنجاندن ذهن آگاهی در وقفه های روزانه فناوری و سم زدایی دیجیتال به اشتراک بگذارید.")</f>
        <v>تکنیک هایی را برای گنجاندن ذهن آگاهی در وقفه های روزانه فناوری و سم زدایی دیجیتال به اشتراک بگذارید.</v>
      </c>
      <c r="H3473" s="1"/>
      <c r="I3473" s="1"/>
      <c r="J3473" s="1"/>
      <c r="K3473" s="1"/>
      <c r="L3473" s="1"/>
      <c r="M3473" s="1"/>
      <c r="N3473" s="1"/>
      <c r="O3473" s="1"/>
      <c r="P3473" s="1"/>
      <c r="Q3473" s="1"/>
      <c r="R3473" s="1"/>
      <c r="S3473" s="1"/>
      <c r="T3473" s="1"/>
      <c r="U3473" s="1"/>
      <c r="V3473" s="1"/>
      <c r="W3473" s="1"/>
      <c r="X3473" s="1"/>
      <c r="Y3473" s="1"/>
      <c r="Z3473" s="1"/>
      <c r="AA3473" s="1"/>
      <c r="AB3473" s="1"/>
    </row>
    <row r="3474" ht="50.25" customHeight="1">
      <c r="A3474" s="12">
        <v>3470.0</v>
      </c>
      <c r="B3474" s="13" t="s">
        <v>3427</v>
      </c>
      <c r="C3474" s="14" t="s">
        <v>3491</v>
      </c>
      <c r="D3474" s="1"/>
      <c r="E3474" s="1"/>
      <c r="F3474" s="1" t="str">
        <f>IFERROR(__xludf.DUMMYFUNCTION("GOOGLETRANSLATE(B3474, ""en"", ""fa"")
"),"تمرینات ذهن آگاهی و مدیتیشن")</f>
        <v>تمرینات ذهن آگاهی و مدیتیشن</v>
      </c>
      <c r="G3474" s="1" t="str">
        <f>IFERROR(__xludf.DUMMYFUNCTION("GOOGLETRANSLATE(C3474, ""en"", ""fa"")
"),"نقش ذهن آگاهی در مدیریت و کاهش علائم بی خوابی و اختلالات خواب را بررسی کنید.")</f>
        <v>نقش ذهن آگاهی در مدیریت و کاهش علائم بی خوابی و اختلالات خواب را بررسی کنید.</v>
      </c>
      <c r="H3474" s="1"/>
      <c r="I3474" s="1"/>
      <c r="J3474" s="1"/>
      <c r="K3474" s="1"/>
      <c r="L3474" s="1"/>
      <c r="M3474" s="1"/>
      <c r="N3474" s="1"/>
      <c r="O3474" s="1"/>
      <c r="P3474" s="1"/>
      <c r="Q3474" s="1"/>
      <c r="R3474" s="1"/>
      <c r="S3474" s="1"/>
      <c r="T3474" s="1"/>
      <c r="U3474" s="1"/>
      <c r="V3474" s="1"/>
      <c r="W3474" s="1"/>
      <c r="X3474" s="1"/>
      <c r="Y3474" s="1"/>
      <c r="Z3474" s="1"/>
      <c r="AA3474" s="1"/>
      <c r="AB3474" s="1"/>
    </row>
    <row r="3475" ht="50.25" customHeight="1">
      <c r="A3475" s="12">
        <v>3471.0</v>
      </c>
      <c r="B3475" s="13" t="s">
        <v>3427</v>
      </c>
      <c r="C3475" s="14" t="s">
        <v>3492</v>
      </c>
      <c r="D3475" s="1"/>
      <c r="E3475" s="1"/>
      <c r="F3475" s="1" t="str">
        <f>IFERROR(__xludf.DUMMYFUNCTION("GOOGLETRANSLATE(B3475, ""en"", ""fa"")
"),"تمرینات ذهن آگاهی و مدیتیشن")</f>
        <v>تمرینات ذهن آگاهی و مدیتیشن</v>
      </c>
      <c r="G3475" s="1" t="str">
        <f>IFERROR(__xludf.DUMMYFUNCTION("GOOGLETRANSLATE(C3475, ""en"", ""fa"")
"),"در مورد مزایای ذهن آگاهی در پرورش حس پذیرش و عدم قضاوت بحث کنید.")</f>
        <v>در مورد مزایای ذهن آگاهی در پرورش حس پذیرش و عدم قضاوت بحث کنید.</v>
      </c>
      <c r="H3475" s="1"/>
      <c r="I3475" s="1"/>
      <c r="J3475" s="1"/>
      <c r="K3475" s="1"/>
      <c r="L3475" s="1"/>
      <c r="M3475" s="1"/>
      <c r="N3475" s="1"/>
      <c r="O3475" s="1"/>
      <c r="P3475" s="1"/>
      <c r="Q3475" s="1"/>
      <c r="R3475" s="1"/>
      <c r="S3475" s="1"/>
      <c r="T3475" s="1"/>
      <c r="U3475" s="1"/>
      <c r="V3475" s="1"/>
      <c r="W3475" s="1"/>
      <c r="X3475" s="1"/>
      <c r="Y3475" s="1"/>
      <c r="Z3475" s="1"/>
      <c r="AA3475" s="1"/>
      <c r="AB3475" s="1"/>
    </row>
    <row r="3476" ht="50.25" customHeight="1">
      <c r="A3476" s="12">
        <v>3472.0</v>
      </c>
      <c r="B3476" s="13" t="s">
        <v>3427</v>
      </c>
      <c r="C3476" s="14" t="s">
        <v>3493</v>
      </c>
      <c r="D3476" s="1"/>
      <c r="E3476" s="1"/>
      <c r="F3476" s="1" t="str">
        <f>IFERROR(__xludf.DUMMYFUNCTION("GOOGLETRANSLATE(B3476, ""en"", ""fa"")
"),"تمرینات ذهن آگاهی و مدیتیشن")</f>
        <v>تمرینات ذهن آگاهی و مدیتیشن</v>
      </c>
      <c r="G3476" s="1" t="str">
        <f>IFERROR(__xludf.DUMMYFUNCTION("GOOGLETRANSLATE(C3476, ""en"", ""fa"")
"),"نکاتی را برای تمرین ذهن آگاهی در لحظات غم و اندوه یا از دست دادن به اشتراک بگذارید.")</f>
        <v>نکاتی را برای تمرین ذهن آگاهی در لحظات غم و اندوه یا از دست دادن به اشتراک بگذارید.</v>
      </c>
      <c r="H3476" s="1"/>
      <c r="I3476" s="1"/>
      <c r="J3476" s="1"/>
      <c r="K3476" s="1"/>
      <c r="L3476" s="1"/>
      <c r="M3476" s="1"/>
      <c r="N3476" s="1"/>
      <c r="O3476" s="1"/>
      <c r="P3476" s="1"/>
      <c r="Q3476" s="1"/>
      <c r="R3476" s="1"/>
      <c r="S3476" s="1"/>
      <c r="T3476" s="1"/>
      <c r="U3476" s="1"/>
      <c r="V3476" s="1"/>
      <c r="W3476" s="1"/>
      <c r="X3476" s="1"/>
      <c r="Y3476" s="1"/>
      <c r="Z3476" s="1"/>
      <c r="AA3476" s="1"/>
      <c r="AB3476" s="1"/>
    </row>
    <row r="3477" ht="50.25" customHeight="1">
      <c r="A3477" s="12">
        <v>3473.0</v>
      </c>
      <c r="B3477" s="13" t="s">
        <v>3427</v>
      </c>
      <c r="C3477" s="14" t="s">
        <v>3494</v>
      </c>
      <c r="D3477" s="1"/>
      <c r="E3477" s="1"/>
      <c r="F3477" s="1" t="str">
        <f>IFERROR(__xludf.DUMMYFUNCTION("GOOGLETRANSLATE(B3477, ""en"", ""fa"")
"),"تمرینات ذهن آگاهی و مدیتیشن")</f>
        <v>تمرینات ذهن آگاهی و مدیتیشن</v>
      </c>
      <c r="G3477" s="1" t="str">
        <f>IFERROR(__xludf.DUMMYFUNCTION("GOOGLETRANSLATE(C3477, ""en"", ""fa"")
"),"شیوه های مختلف مراقبه را برای پرورش ذهن آگاهی در وظایف و مسئولیت های کاری روزانه کاوش کنید.")</f>
        <v>شیوه های مختلف مراقبه را برای پرورش ذهن آگاهی در وظایف و مسئولیت های کاری روزانه کاوش کنید.</v>
      </c>
      <c r="H3477" s="1"/>
      <c r="I3477" s="1"/>
      <c r="J3477" s="1"/>
      <c r="K3477" s="1"/>
      <c r="L3477" s="1"/>
      <c r="M3477" s="1"/>
      <c r="N3477" s="1"/>
      <c r="O3477" s="1"/>
      <c r="P3477" s="1"/>
      <c r="Q3477" s="1"/>
      <c r="R3477" s="1"/>
      <c r="S3477" s="1"/>
      <c r="T3477" s="1"/>
      <c r="U3477" s="1"/>
      <c r="V3477" s="1"/>
      <c r="W3477" s="1"/>
      <c r="X3477" s="1"/>
      <c r="Y3477" s="1"/>
      <c r="Z3477" s="1"/>
      <c r="AA3477" s="1"/>
      <c r="AB3477" s="1"/>
    </row>
    <row r="3478" ht="50.25" customHeight="1">
      <c r="A3478" s="12">
        <v>3474.0</v>
      </c>
      <c r="B3478" s="13" t="s">
        <v>3427</v>
      </c>
      <c r="C3478" s="14" t="s">
        <v>3495</v>
      </c>
      <c r="D3478" s="1"/>
      <c r="E3478" s="1"/>
      <c r="F3478" s="1" t="str">
        <f>IFERROR(__xludf.DUMMYFUNCTION("GOOGLETRANSLATE(B3478, ""en"", ""fa"")
"),"تمرینات ذهن آگاهی و مدیتیشن")</f>
        <v>تمرینات ذهن آگاهی و مدیتیشن</v>
      </c>
      <c r="G3478" s="1" t="str">
        <f>IFERROR(__xludf.DUMMYFUNCTION("GOOGLETRANSLATE(C3478, ""en"", ""fa"")
"),"در مورد مزایای تمرین ذهن آگاهی در ارتقای رفاه محیط کار و کاهش استرس بحث کنید.")</f>
        <v>در مورد مزایای تمرین ذهن آگاهی در ارتقای رفاه محیط کار و کاهش استرس بحث کنید.</v>
      </c>
      <c r="H3478" s="1"/>
      <c r="I3478" s="1"/>
      <c r="J3478" s="1"/>
      <c r="K3478" s="1"/>
      <c r="L3478" s="1"/>
      <c r="M3478" s="1"/>
      <c r="N3478" s="1"/>
      <c r="O3478" s="1"/>
      <c r="P3478" s="1"/>
      <c r="Q3478" s="1"/>
      <c r="R3478" s="1"/>
      <c r="S3478" s="1"/>
      <c r="T3478" s="1"/>
      <c r="U3478" s="1"/>
      <c r="V3478" s="1"/>
      <c r="W3478" s="1"/>
      <c r="X3478" s="1"/>
      <c r="Y3478" s="1"/>
      <c r="Z3478" s="1"/>
      <c r="AA3478" s="1"/>
      <c r="AB3478" s="1"/>
    </row>
    <row r="3479" ht="50.25" customHeight="1">
      <c r="A3479" s="12">
        <v>3475.0</v>
      </c>
      <c r="B3479" s="13" t="s">
        <v>3427</v>
      </c>
      <c r="C3479" s="14" t="s">
        <v>3496</v>
      </c>
      <c r="D3479" s="1"/>
      <c r="E3479" s="1"/>
      <c r="F3479" s="1" t="str">
        <f>IFERROR(__xludf.DUMMYFUNCTION("GOOGLETRANSLATE(B3479, ""en"", ""fa"")
"),"تمرینات ذهن آگاهی و مدیتیشن")</f>
        <v>تمرینات ذهن آگاهی و مدیتیشن</v>
      </c>
      <c r="G3479" s="1" t="str">
        <f>IFERROR(__xludf.DUMMYFUNCTION("GOOGLETRANSLATE(C3479, ""en"", ""fa"")
"),"تکنیک هایی را برای گنجاندن ذهن آگاهی در خود اندیشی و درون نگری روزانه به اشتراک بگذارید.")</f>
        <v>تکنیک هایی را برای گنجاندن ذهن آگاهی در خود اندیشی و درون نگری روزانه به اشتراک بگذارید.</v>
      </c>
      <c r="H3479" s="1"/>
      <c r="I3479" s="1"/>
      <c r="J3479" s="1"/>
      <c r="K3479" s="1"/>
      <c r="L3479" s="1"/>
      <c r="M3479" s="1"/>
      <c r="N3479" s="1"/>
      <c r="O3479" s="1"/>
      <c r="P3479" s="1"/>
      <c r="Q3479" s="1"/>
      <c r="R3479" s="1"/>
      <c r="S3479" s="1"/>
      <c r="T3479" s="1"/>
      <c r="U3479" s="1"/>
      <c r="V3479" s="1"/>
      <c r="W3479" s="1"/>
      <c r="X3479" s="1"/>
      <c r="Y3479" s="1"/>
      <c r="Z3479" s="1"/>
      <c r="AA3479" s="1"/>
      <c r="AB3479" s="1"/>
    </row>
    <row r="3480" ht="50.25" customHeight="1">
      <c r="A3480" s="12">
        <v>3476.0</v>
      </c>
      <c r="B3480" s="13" t="s">
        <v>3427</v>
      </c>
      <c r="C3480" s="14" t="s">
        <v>3497</v>
      </c>
      <c r="D3480" s="1"/>
      <c r="E3480" s="1"/>
      <c r="F3480" s="1" t="str">
        <f>IFERROR(__xludf.DUMMYFUNCTION("GOOGLETRANSLATE(B3480, ""en"", ""fa"")
"),"تمرینات ذهن آگاهی و مدیتیشن")</f>
        <v>تمرینات ذهن آگاهی و مدیتیشن</v>
      </c>
      <c r="G3480" s="1" t="str">
        <f>IFERROR(__xludf.DUMMYFUNCTION("GOOGLETRANSLATE(C3480, ""en"", ""fa"")
"),"ارتباط بین ذهن آگاهی و بهبود ارتباط بدن و ذهن در فعالیت های بدنی را بررسی کنید.")</f>
        <v>ارتباط بین ذهن آگاهی و بهبود ارتباط بدن و ذهن در فعالیت های بدنی را بررسی کنید.</v>
      </c>
      <c r="H3480" s="1"/>
      <c r="I3480" s="1"/>
      <c r="J3480" s="1"/>
      <c r="K3480" s="1"/>
      <c r="L3480" s="1"/>
      <c r="M3480" s="1"/>
      <c r="N3480" s="1"/>
      <c r="O3480" s="1"/>
      <c r="P3480" s="1"/>
      <c r="Q3480" s="1"/>
      <c r="R3480" s="1"/>
      <c r="S3480" s="1"/>
      <c r="T3480" s="1"/>
      <c r="U3480" s="1"/>
      <c r="V3480" s="1"/>
      <c r="W3480" s="1"/>
      <c r="X3480" s="1"/>
      <c r="Y3480" s="1"/>
      <c r="Z3480" s="1"/>
      <c r="AA3480" s="1"/>
      <c r="AB3480" s="1"/>
    </row>
    <row r="3481" ht="50.25" customHeight="1">
      <c r="A3481" s="12">
        <v>3477.0</v>
      </c>
      <c r="B3481" s="13" t="s">
        <v>3427</v>
      </c>
      <c r="C3481" s="14" t="s">
        <v>3498</v>
      </c>
      <c r="D3481" s="1"/>
      <c r="E3481" s="1"/>
      <c r="F3481" s="1" t="str">
        <f>IFERROR(__xludf.DUMMYFUNCTION("GOOGLETRANSLATE(B3481, ""en"", ""fa"")
"),"تمرینات ذهن آگاهی و مدیتیشن")</f>
        <v>تمرینات ذهن آگاهی و مدیتیشن</v>
      </c>
      <c r="G3481" s="1" t="str">
        <f>IFERROR(__xludf.DUMMYFUNCTION("GOOGLETRANSLATE(C3481, ""en"", ""fa"")
"),"در مورد مزایای گنجاندن ذهن آگاهی در حل تعارض و تقویت روابط مسالمت آمیز بحث کنید.")</f>
        <v>در مورد مزایای گنجاندن ذهن آگاهی در حل تعارض و تقویت روابط مسالمت آمیز بحث کنید.</v>
      </c>
      <c r="H3481" s="1"/>
      <c r="I3481" s="1"/>
      <c r="J3481" s="1"/>
      <c r="K3481" s="1"/>
      <c r="L3481" s="1"/>
      <c r="M3481" s="1"/>
      <c r="N3481" s="1"/>
      <c r="O3481" s="1"/>
      <c r="P3481" s="1"/>
      <c r="Q3481" s="1"/>
      <c r="R3481" s="1"/>
      <c r="S3481" s="1"/>
      <c r="T3481" s="1"/>
      <c r="U3481" s="1"/>
      <c r="V3481" s="1"/>
      <c r="W3481" s="1"/>
      <c r="X3481" s="1"/>
      <c r="Y3481" s="1"/>
      <c r="Z3481" s="1"/>
      <c r="AA3481" s="1"/>
      <c r="AB3481" s="1"/>
    </row>
    <row r="3482" ht="50.25" customHeight="1">
      <c r="A3482" s="12">
        <v>3478.0</v>
      </c>
      <c r="B3482" s="13" t="s">
        <v>3427</v>
      </c>
      <c r="C3482" s="14" t="s">
        <v>3499</v>
      </c>
      <c r="D3482" s="1"/>
      <c r="E3482" s="1"/>
      <c r="F3482" s="1" t="str">
        <f>IFERROR(__xludf.DUMMYFUNCTION("GOOGLETRANSLATE(B3482, ""en"", ""fa"")
"),"تمرینات ذهن آگاهی و مدیتیشن")</f>
        <v>تمرینات ذهن آگاهی و مدیتیشن</v>
      </c>
      <c r="G3482" s="1" t="str">
        <f>IFERROR(__xludf.DUMMYFUNCTION("GOOGLETRANSLATE(C3482, ""en"", ""fa"")
"),"نکاتی را برای تمرین ذهن آگاهی در میان یک برنامه شلوغ و سخت به اشتراک بگذارید.")</f>
        <v>نکاتی را برای تمرین ذهن آگاهی در میان یک برنامه شلوغ و سخت به اشتراک بگذارید.</v>
      </c>
      <c r="H3482" s="1"/>
      <c r="I3482" s="1"/>
      <c r="J3482" s="1"/>
      <c r="K3482" s="1"/>
      <c r="L3482" s="1"/>
      <c r="M3482" s="1"/>
      <c r="N3482" s="1"/>
      <c r="O3482" s="1"/>
      <c r="P3482" s="1"/>
      <c r="Q3482" s="1"/>
      <c r="R3482" s="1"/>
      <c r="S3482" s="1"/>
      <c r="T3482" s="1"/>
      <c r="U3482" s="1"/>
      <c r="V3482" s="1"/>
      <c r="W3482" s="1"/>
      <c r="X3482" s="1"/>
      <c r="Y3482" s="1"/>
      <c r="Z3482" s="1"/>
      <c r="AA3482" s="1"/>
      <c r="AB3482" s="1"/>
    </row>
    <row r="3483" ht="50.25" customHeight="1">
      <c r="A3483" s="12">
        <v>3479.0</v>
      </c>
      <c r="B3483" s="13" t="s">
        <v>3427</v>
      </c>
      <c r="C3483" s="14" t="s">
        <v>3500</v>
      </c>
      <c r="D3483" s="1"/>
      <c r="E3483" s="1"/>
      <c r="F3483" s="1" t="str">
        <f>IFERROR(__xludf.DUMMYFUNCTION("GOOGLETRANSLATE(B3483, ""en"", ""fa"")
"),"تمرینات ذهن آگاهی و مدیتیشن")</f>
        <v>تمرینات ذهن آگاهی و مدیتیشن</v>
      </c>
      <c r="G3483" s="1" t="str">
        <f>IFERROR(__xludf.DUMMYFUNCTION("GOOGLETRANSLATE(C3483, ""en"", ""fa"")
"),"شیوه های مختلف ذهن آگاهی را برای ارتقای ارتباطات ذهنی و حل و فصل تعارضات بررسی کنید.")</f>
        <v>شیوه های مختلف ذهن آگاهی را برای ارتقای ارتباطات ذهنی و حل و فصل تعارضات بررسی کنید.</v>
      </c>
      <c r="H3483" s="1"/>
      <c r="I3483" s="1"/>
      <c r="J3483" s="1"/>
      <c r="K3483" s="1"/>
      <c r="L3483" s="1"/>
      <c r="M3483" s="1"/>
      <c r="N3483" s="1"/>
      <c r="O3483" s="1"/>
      <c r="P3483" s="1"/>
      <c r="Q3483" s="1"/>
      <c r="R3483" s="1"/>
      <c r="S3483" s="1"/>
      <c r="T3483" s="1"/>
      <c r="U3483" s="1"/>
      <c r="V3483" s="1"/>
      <c r="W3483" s="1"/>
      <c r="X3483" s="1"/>
      <c r="Y3483" s="1"/>
      <c r="Z3483" s="1"/>
      <c r="AA3483" s="1"/>
      <c r="AB3483" s="1"/>
    </row>
    <row r="3484" ht="50.25" customHeight="1">
      <c r="A3484" s="12">
        <v>3480.0</v>
      </c>
      <c r="B3484" s="13" t="s">
        <v>3427</v>
      </c>
      <c r="C3484" s="14" t="s">
        <v>3501</v>
      </c>
      <c r="D3484" s="1"/>
      <c r="E3484" s="1"/>
      <c r="F3484" s="1" t="str">
        <f>IFERROR(__xludf.DUMMYFUNCTION("GOOGLETRANSLATE(B3484, ""en"", ""fa"")
"),"تمرینات ذهن آگاهی و مدیتیشن")</f>
        <v>تمرینات ذهن آگاهی و مدیتیشن</v>
      </c>
      <c r="G3484" s="1" t="str">
        <f>IFERROR(__xludf.DUMMYFUNCTION("GOOGLETRANSLATE(C3484, ""en"", ""fa"")
"),"در مورد مزایای تمرین ذهن آگاهی در مدیریت و کاهش علائم اختلالات توجه بحث کنید.")</f>
        <v>در مورد مزایای تمرین ذهن آگاهی در مدیریت و کاهش علائم اختلالات توجه بحث کنید.</v>
      </c>
      <c r="H3484" s="1"/>
      <c r="I3484" s="1"/>
      <c r="J3484" s="1"/>
      <c r="K3484" s="1"/>
      <c r="L3484" s="1"/>
      <c r="M3484" s="1"/>
      <c r="N3484" s="1"/>
      <c r="O3484" s="1"/>
      <c r="P3484" s="1"/>
      <c r="Q3484" s="1"/>
      <c r="R3484" s="1"/>
      <c r="S3484" s="1"/>
      <c r="T3484" s="1"/>
      <c r="U3484" s="1"/>
      <c r="V3484" s="1"/>
      <c r="W3484" s="1"/>
      <c r="X3484" s="1"/>
      <c r="Y3484" s="1"/>
      <c r="Z3484" s="1"/>
      <c r="AA3484" s="1"/>
      <c r="AB3484" s="1"/>
    </row>
    <row r="3485" ht="50.25" customHeight="1">
      <c r="A3485" s="12">
        <v>3481.0</v>
      </c>
      <c r="B3485" s="13" t="s">
        <v>3427</v>
      </c>
      <c r="C3485" s="14" t="s">
        <v>3502</v>
      </c>
      <c r="D3485" s="1"/>
      <c r="E3485" s="1"/>
      <c r="F3485" s="1" t="str">
        <f>IFERROR(__xludf.DUMMYFUNCTION("GOOGLETRANSLATE(B3485, ""en"", ""fa"")
"),"تمرینات ذهن آگاهی و مدیتیشن")</f>
        <v>تمرینات ذهن آگاهی و مدیتیشن</v>
      </c>
      <c r="G3485" s="1" t="str">
        <f>IFERROR(__xludf.DUMMYFUNCTION("GOOGLETRANSLATE(C3485, ""en"", ""fa"")
"),"تکنیک هایی را برای گنجاندن ذهن آگاهی در مراسم صبحگاهی و تعیین اهداف مثبت برای روز به اشتراک بگذارید.")</f>
        <v>تکنیک هایی را برای گنجاندن ذهن آگاهی در مراسم صبحگاهی و تعیین اهداف مثبت برای روز به اشتراک بگذارید.</v>
      </c>
      <c r="H3485" s="1"/>
      <c r="I3485" s="1"/>
      <c r="J3485" s="1"/>
      <c r="K3485" s="1"/>
      <c r="L3485" s="1"/>
      <c r="M3485" s="1"/>
      <c r="N3485" s="1"/>
      <c r="O3485" s="1"/>
      <c r="P3485" s="1"/>
      <c r="Q3485" s="1"/>
      <c r="R3485" s="1"/>
      <c r="S3485" s="1"/>
      <c r="T3485" s="1"/>
      <c r="U3485" s="1"/>
      <c r="V3485" s="1"/>
      <c r="W3485" s="1"/>
      <c r="X3485" s="1"/>
      <c r="Y3485" s="1"/>
      <c r="Z3485" s="1"/>
      <c r="AA3485" s="1"/>
      <c r="AB3485" s="1"/>
    </row>
    <row r="3486" ht="50.25" customHeight="1">
      <c r="A3486" s="12">
        <v>3482.0</v>
      </c>
      <c r="B3486" s="13" t="s">
        <v>3427</v>
      </c>
      <c r="C3486" s="14" t="s">
        <v>3503</v>
      </c>
      <c r="D3486" s="1"/>
      <c r="E3486" s="1"/>
      <c r="F3486" s="1" t="str">
        <f>IFERROR(__xludf.DUMMYFUNCTION("GOOGLETRANSLATE(B3486, ""en"", ""fa"")
"),"تمرینات ذهن آگاهی و مدیتیشن")</f>
        <v>تمرینات ذهن آگاهی و مدیتیشن</v>
      </c>
      <c r="G3486" s="1" t="str">
        <f>IFERROR(__xludf.DUMMYFUNCTION("GOOGLETRANSLATE(C3486, ""en"", ""fa"")
"),"نقش ذهن آگاهی را در پرورش انعطاف پذیری و سازگاری در زمان تغییر بررسی کنید.")</f>
        <v>نقش ذهن آگاهی را در پرورش انعطاف پذیری و سازگاری در زمان تغییر بررسی کنید.</v>
      </c>
      <c r="H3486" s="1"/>
      <c r="I3486" s="1"/>
      <c r="J3486" s="1"/>
      <c r="K3486" s="1"/>
      <c r="L3486" s="1"/>
      <c r="M3486" s="1"/>
      <c r="N3486" s="1"/>
      <c r="O3486" s="1"/>
      <c r="P3486" s="1"/>
      <c r="Q3486" s="1"/>
      <c r="R3486" s="1"/>
      <c r="S3486" s="1"/>
      <c r="T3486" s="1"/>
      <c r="U3486" s="1"/>
      <c r="V3486" s="1"/>
      <c r="W3486" s="1"/>
      <c r="X3486" s="1"/>
      <c r="Y3486" s="1"/>
      <c r="Z3486" s="1"/>
      <c r="AA3486" s="1"/>
      <c r="AB3486" s="1"/>
    </row>
    <row r="3487" ht="50.25" customHeight="1">
      <c r="A3487" s="12">
        <v>3483.0</v>
      </c>
      <c r="B3487" s="13" t="s">
        <v>3427</v>
      </c>
      <c r="C3487" s="14" t="s">
        <v>3504</v>
      </c>
      <c r="D3487" s="1"/>
      <c r="E3487" s="1"/>
      <c r="F3487" s="1" t="str">
        <f>IFERROR(__xludf.DUMMYFUNCTION("GOOGLETRANSLATE(B3487, ""en"", ""fa"")
"),"تمرینات ذهن آگاهی و مدیتیشن")</f>
        <v>تمرینات ذهن آگاهی و مدیتیشن</v>
      </c>
      <c r="G3487" s="1" t="str">
        <f>IFERROR(__xludf.DUMMYFUNCTION("GOOGLETRANSLATE(C3487, ""en"", ""fa"")
"),"در مورد مزایای ذهن آگاهی در ارتقای هوش هیجانی و خودآگاهی بحث کنید.")</f>
        <v>در مورد مزایای ذهن آگاهی در ارتقای هوش هیجانی و خودآگاهی بحث کنید.</v>
      </c>
      <c r="H3487" s="1"/>
      <c r="I3487" s="1"/>
      <c r="J3487" s="1"/>
      <c r="K3487" s="1"/>
      <c r="L3487" s="1"/>
      <c r="M3487" s="1"/>
      <c r="N3487" s="1"/>
      <c r="O3487" s="1"/>
      <c r="P3487" s="1"/>
      <c r="Q3487" s="1"/>
      <c r="R3487" s="1"/>
      <c r="S3487" s="1"/>
      <c r="T3487" s="1"/>
      <c r="U3487" s="1"/>
      <c r="V3487" s="1"/>
      <c r="W3487" s="1"/>
      <c r="X3487" s="1"/>
      <c r="Y3487" s="1"/>
      <c r="Z3487" s="1"/>
      <c r="AA3487" s="1"/>
      <c r="AB3487" s="1"/>
    </row>
    <row r="3488" ht="50.25" customHeight="1">
      <c r="A3488" s="12">
        <v>3484.0</v>
      </c>
      <c r="B3488" s="13" t="s">
        <v>3427</v>
      </c>
      <c r="C3488" s="14" t="s">
        <v>3505</v>
      </c>
      <c r="D3488" s="1"/>
      <c r="E3488" s="1"/>
      <c r="F3488" s="1" t="str">
        <f>IFERROR(__xludf.DUMMYFUNCTION("GOOGLETRANSLATE(B3488, ""en"", ""fa"")
"),"تمرینات ذهن آگاهی و مدیتیشن")</f>
        <v>تمرینات ذهن آگاهی و مدیتیشن</v>
      </c>
      <c r="G3488" s="1" t="str">
        <f>IFERROR(__xludf.DUMMYFUNCTION("GOOGLETRANSLATE(C3488, ""en"", ""fa"")
"),"نکاتی را برای تمرین ذهن آگاهی در میان احساسات دشوار یا موقعیت های چالش برانگیز به اشتراک بگذارید.")</f>
        <v>نکاتی را برای تمرین ذهن آگاهی در میان احساسات دشوار یا موقعیت های چالش برانگیز به اشتراک بگذارید.</v>
      </c>
      <c r="H3488" s="1"/>
      <c r="I3488" s="1"/>
      <c r="J3488" s="1"/>
      <c r="K3488" s="1"/>
      <c r="L3488" s="1"/>
      <c r="M3488" s="1"/>
      <c r="N3488" s="1"/>
      <c r="O3488" s="1"/>
      <c r="P3488" s="1"/>
      <c r="Q3488" s="1"/>
      <c r="R3488" s="1"/>
      <c r="S3488" s="1"/>
      <c r="T3488" s="1"/>
      <c r="U3488" s="1"/>
      <c r="V3488" s="1"/>
      <c r="W3488" s="1"/>
      <c r="X3488" s="1"/>
      <c r="Y3488" s="1"/>
      <c r="Z3488" s="1"/>
      <c r="AA3488" s="1"/>
      <c r="AB3488" s="1"/>
    </row>
    <row r="3489" ht="50.25" customHeight="1">
      <c r="A3489" s="12">
        <v>3485.0</v>
      </c>
      <c r="B3489" s="13" t="s">
        <v>3427</v>
      </c>
      <c r="C3489" s="14" t="s">
        <v>3506</v>
      </c>
      <c r="D3489" s="1"/>
      <c r="E3489" s="1"/>
      <c r="F3489" s="1" t="str">
        <f>IFERROR(__xludf.DUMMYFUNCTION("GOOGLETRANSLATE(B3489, ""en"", ""fa"")
"),"تمرینات ذهن آگاهی و مدیتیشن")</f>
        <v>تمرینات ذهن آگاهی و مدیتیشن</v>
      </c>
      <c r="G3489" s="1" t="str">
        <f>IFERROR(__xludf.DUMMYFUNCTION("GOOGLETRANSLATE(C3489, ""en"", ""fa"")
"),"شیوه های مختلف مراقبه را برای پرورش ذهن آگاهی در بیان هنری، مانند موسیقی یا شعر، کاوش کنید.")</f>
        <v>شیوه های مختلف مراقبه را برای پرورش ذهن آگاهی در بیان هنری، مانند موسیقی یا شعر، کاوش کنید.</v>
      </c>
      <c r="H3489" s="1"/>
      <c r="I3489" s="1"/>
      <c r="J3489" s="1"/>
      <c r="K3489" s="1"/>
      <c r="L3489" s="1"/>
      <c r="M3489" s="1"/>
      <c r="N3489" s="1"/>
      <c r="O3489" s="1"/>
      <c r="P3489" s="1"/>
      <c r="Q3489" s="1"/>
      <c r="R3489" s="1"/>
      <c r="S3489" s="1"/>
      <c r="T3489" s="1"/>
      <c r="U3489" s="1"/>
      <c r="V3489" s="1"/>
      <c r="W3489" s="1"/>
      <c r="X3489" s="1"/>
      <c r="Y3489" s="1"/>
      <c r="Z3489" s="1"/>
      <c r="AA3489" s="1"/>
      <c r="AB3489" s="1"/>
    </row>
    <row r="3490" ht="50.25" customHeight="1">
      <c r="A3490" s="12">
        <v>3486.0</v>
      </c>
      <c r="B3490" s="13" t="s">
        <v>3427</v>
      </c>
      <c r="C3490" s="14" t="s">
        <v>3507</v>
      </c>
      <c r="D3490" s="1"/>
      <c r="E3490" s="1"/>
      <c r="F3490" s="1" t="str">
        <f>IFERROR(__xludf.DUMMYFUNCTION("GOOGLETRANSLATE(B3490, ""en"", ""fa"")
"),"تمرینات ذهن آگاهی و مدیتیشن")</f>
        <v>تمرینات ذهن آگاهی و مدیتیشن</v>
      </c>
      <c r="G3490" s="1" t="str">
        <f>IFERROR(__xludf.DUMMYFUNCTION("GOOGLETRANSLATE(C3490, ""en"", ""fa"")
"),"در مورد مزایای گنجاندن ذهن آگاهی در سیستم آموزشی و رفاه دانش آموزان بحث کنید.")</f>
        <v>در مورد مزایای گنجاندن ذهن آگاهی در سیستم آموزشی و رفاه دانش آموزان بحث کنید.</v>
      </c>
      <c r="H3490" s="1"/>
      <c r="I3490" s="1"/>
      <c r="J3490" s="1"/>
      <c r="K3490" s="1"/>
      <c r="L3490" s="1"/>
      <c r="M3490" s="1"/>
      <c r="N3490" s="1"/>
      <c r="O3490" s="1"/>
      <c r="P3490" s="1"/>
      <c r="Q3490" s="1"/>
      <c r="R3490" s="1"/>
      <c r="S3490" s="1"/>
      <c r="T3490" s="1"/>
      <c r="U3490" s="1"/>
      <c r="V3490" s="1"/>
      <c r="W3490" s="1"/>
      <c r="X3490" s="1"/>
      <c r="Y3490" s="1"/>
      <c r="Z3490" s="1"/>
      <c r="AA3490" s="1"/>
      <c r="AB3490" s="1"/>
    </row>
    <row r="3491" ht="50.25" customHeight="1">
      <c r="A3491" s="12">
        <v>3487.0</v>
      </c>
      <c r="B3491" s="13" t="s">
        <v>3427</v>
      </c>
      <c r="C3491" s="14" t="s">
        <v>3508</v>
      </c>
      <c r="D3491" s="1"/>
      <c r="E3491" s="1"/>
      <c r="F3491" s="1" t="str">
        <f>IFERROR(__xludf.DUMMYFUNCTION("GOOGLETRANSLATE(B3491, ""en"", ""fa"")
"),"تمرینات ذهن آگاهی و مدیتیشن")</f>
        <v>تمرینات ذهن آگاهی و مدیتیشن</v>
      </c>
      <c r="G3491" s="1" t="str">
        <f>IFERROR(__xludf.DUMMYFUNCTION("GOOGLETRANSLATE(C3491, ""en"", ""fa"")
"),"تکنیک های تمرین تمرکز حواس را در لحظات بی حوصلگی یا یکنواختی به اشتراک بگذارید.")</f>
        <v>تکنیک های تمرین تمرکز حواس را در لحظات بی حوصلگی یا یکنواختی به اشتراک بگذارید.</v>
      </c>
      <c r="H3491" s="1"/>
      <c r="I3491" s="1"/>
      <c r="J3491" s="1"/>
      <c r="K3491" s="1"/>
      <c r="L3491" s="1"/>
      <c r="M3491" s="1"/>
      <c r="N3491" s="1"/>
      <c r="O3491" s="1"/>
      <c r="P3491" s="1"/>
      <c r="Q3491" s="1"/>
      <c r="R3491" s="1"/>
      <c r="S3491" s="1"/>
      <c r="T3491" s="1"/>
      <c r="U3491" s="1"/>
      <c r="V3491" s="1"/>
      <c r="W3491" s="1"/>
      <c r="X3491" s="1"/>
      <c r="Y3491" s="1"/>
      <c r="Z3491" s="1"/>
      <c r="AA3491" s="1"/>
      <c r="AB3491" s="1"/>
    </row>
    <row r="3492" ht="50.25" customHeight="1">
      <c r="A3492" s="12">
        <v>3488.0</v>
      </c>
      <c r="B3492" s="13" t="s">
        <v>3427</v>
      </c>
      <c r="C3492" s="14" t="s">
        <v>3509</v>
      </c>
      <c r="D3492" s="1"/>
      <c r="E3492" s="1"/>
      <c r="F3492" s="1" t="str">
        <f>IFERROR(__xludf.DUMMYFUNCTION("GOOGLETRANSLATE(B3492, ""en"", ""fa"")
"),"تمرینات ذهن آگاهی و مدیتیشن")</f>
        <v>تمرینات ذهن آگاهی و مدیتیشن</v>
      </c>
      <c r="G3492" s="1" t="str">
        <f>IFERROR(__xludf.DUMMYFUNCTION("GOOGLETRANSLATE(C3492, ""en"", ""fa"")
"),"ارتباط بین ذهن آگاهی و وضعیت بهتر بدن و هم ترازی فیزیکی را بررسی کنید.")</f>
        <v>ارتباط بین ذهن آگاهی و وضعیت بهتر بدن و هم ترازی فیزیکی را بررسی کنید.</v>
      </c>
      <c r="H3492" s="1"/>
      <c r="I3492" s="1"/>
      <c r="J3492" s="1"/>
      <c r="K3492" s="1"/>
      <c r="L3492" s="1"/>
      <c r="M3492" s="1"/>
      <c r="N3492" s="1"/>
      <c r="O3492" s="1"/>
      <c r="P3492" s="1"/>
      <c r="Q3492" s="1"/>
      <c r="R3492" s="1"/>
      <c r="S3492" s="1"/>
      <c r="T3492" s="1"/>
      <c r="U3492" s="1"/>
      <c r="V3492" s="1"/>
      <c r="W3492" s="1"/>
      <c r="X3492" s="1"/>
      <c r="Y3492" s="1"/>
      <c r="Z3492" s="1"/>
      <c r="AA3492" s="1"/>
      <c r="AB3492" s="1"/>
    </row>
    <row r="3493" ht="50.25" customHeight="1">
      <c r="A3493" s="12">
        <v>3489.0</v>
      </c>
      <c r="B3493" s="13" t="s">
        <v>3427</v>
      </c>
      <c r="C3493" s="14" t="s">
        <v>3510</v>
      </c>
      <c r="D3493" s="1"/>
      <c r="E3493" s="1"/>
      <c r="F3493" s="1" t="str">
        <f>IFERROR(__xludf.DUMMYFUNCTION("GOOGLETRANSLATE(B3493, ""en"", ""fa"")
"),"تمرینات ذهن آگاهی و مدیتیشن")</f>
        <v>تمرینات ذهن آگاهی و مدیتیشن</v>
      </c>
      <c r="G3493" s="1" t="str">
        <f>IFERROR(__xludf.DUMMYFUNCTION("GOOGLETRANSLATE(C3493, ""en"", ""fa"")
"),"تکنیک هایی را برای گنجاندن ذهن آگاهی در کارهای روزمره و کارهای خانه به اشتراک بگذارید.")</f>
        <v>تکنیک هایی را برای گنجاندن ذهن آگاهی در کارهای روزمره و کارهای خانه به اشتراک بگذارید.</v>
      </c>
      <c r="H3493" s="1"/>
      <c r="I3493" s="1"/>
      <c r="J3493" s="1"/>
      <c r="K3493" s="1"/>
      <c r="L3493" s="1"/>
      <c r="M3493" s="1"/>
      <c r="N3493" s="1"/>
      <c r="O3493" s="1"/>
      <c r="P3493" s="1"/>
      <c r="Q3493" s="1"/>
      <c r="R3493" s="1"/>
      <c r="S3493" s="1"/>
      <c r="T3493" s="1"/>
      <c r="U3493" s="1"/>
      <c r="V3493" s="1"/>
      <c r="W3493" s="1"/>
      <c r="X3493" s="1"/>
      <c r="Y3493" s="1"/>
      <c r="Z3493" s="1"/>
      <c r="AA3493" s="1"/>
      <c r="AB3493" s="1"/>
    </row>
    <row r="3494" ht="50.25" customHeight="1">
      <c r="A3494" s="12">
        <v>3490.0</v>
      </c>
      <c r="B3494" s="13" t="s">
        <v>3427</v>
      </c>
      <c r="C3494" s="14" t="s">
        <v>3511</v>
      </c>
      <c r="D3494" s="1"/>
      <c r="E3494" s="1"/>
      <c r="F3494" s="1" t="str">
        <f>IFERROR(__xludf.DUMMYFUNCTION("GOOGLETRANSLATE(B3494, ""en"", ""fa"")
"),"تمرینات ذهن آگاهی و مدیتیشن")</f>
        <v>تمرینات ذهن آگاهی و مدیتیشن</v>
      </c>
      <c r="G3494" s="1" t="str">
        <f>IFERROR(__xludf.DUMMYFUNCTION("GOOGLETRANSLATE(C3494, ""en"", ""fa"")
"),"شیوه های مختلف مدیتیشن را برای پرورش ذهن آگاهی در محل کار کاوش کنید.")</f>
        <v>شیوه های مختلف مدیتیشن را برای پرورش ذهن آگاهی در محل کار کاوش کنید.</v>
      </c>
      <c r="H3494" s="1"/>
      <c r="I3494" s="1"/>
      <c r="J3494" s="1"/>
      <c r="K3494" s="1"/>
      <c r="L3494" s="1"/>
      <c r="M3494" s="1"/>
      <c r="N3494" s="1"/>
      <c r="O3494" s="1"/>
      <c r="P3494" s="1"/>
      <c r="Q3494" s="1"/>
      <c r="R3494" s="1"/>
      <c r="S3494" s="1"/>
      <c r="T3494" s="1"/>
      <c r="U3494" s="1"/>
      <c r="V3494" s="1"/>
      <c r="W3494" s="1"/>
      <c r="X3494" s="1"/>
      <c r="Y3494" s="1"/>
      <c r="Z3494" s="1"/>
      <c r="AA3494" s="1"/>
      <c r="AB3494" s="1"/>
    </row>
    <row r="3495" ht="50.25" customHeight="1">
      <c r="A3495" s="12">
        <v>3491.0</v>
      </c>
      <c r="B3495" s="13" t="s">
        <v>3427</v>
      </c>
      <c r="C3495" s="14" t="s">
        <v>3512</v>
      </c>
      <c r="D3495" s="1"/>
      <c r="E3495" s="1"/>
      <c r="F3495" s="1" t="str">
        <f>IFERROR(__xludf.DUMMYFUNCTION("GOOGLETRANSLATE(B3495, ""en"", ""fa"")
"),"تمرینات ذهن آگاهی و مدیتیشن")</f>
        <v>تمرینات ذهن آگاهی و مدیتیشن</v>
      </c>
      <c r="G3495" s="1" t="str">
        <f>IFERROR(__xludf.DUMMYFUNCTION("GOOGLETRANSLATE(C3495, ""en"", ""fa"")
"),"در مورد مزایای تمرین ذهن آگاهی در مدیریت و کاهش علائم فرسودگی شغلی بحث کنید.")</f>
        <v>در مورد مزایای تمرین ذهن آگاهی در مدیریت و کاهش علائم فرسودگی شغلی بحث کنید.</v>
      </c>
      <c r="H3495" s="1"/>
      <c r="I3495" s="1"/>
      <c r="J3495" s="1"/>
      <c r="K3495" s="1"/>
      <c r="L3495" s="1"/>
      <c r="M3495" s="1"/>
      <c r="N3495" s="1"/>
      <c r="O3495" s="1"/>
      <c r="P3495" s="1"/>
      <c r="Q3495" s="1"/>
      <c r="R3495" s="1"/>
      <c r="S3495" s="1"/>
      <c r="T3495" s="1"/>
      <c r="U3495" s="1"/>
      <c r="V3495" s="1"/>
      <c r="W3495" s="1"/>
      <c r="X3495" s="1"/>
      <c r="Y3495" s="1"/>
      <c r="Z3495" s="1"/>
      <c r="AA3495" s="1"/>
      <c r="AB3495" s="1"/>
    </row>
    <row r="3496" ht="50.25" customHeight="1">
      <c r="A3496" s="12">
        <v>3492.0</v>
      </c>
      <c r="B3496" s="13" t="s">
        <v>3427</v>
      </c>
      <c r="C3496" s="14" t="s">
        <v>3513</v>
      </c>
      <c r="D3496" s="1"/>
      <c r="E3496" s="1"/>
      <c r="F3496" s="1" t="str">
        <f>IFERROR(__xludf.DUMMYFUNCTION("GOOGLETRANSLATE(B3496, ""en"", ""fa"")
"),"تمرینات ذهن آگاهی و مدیتیشن")</f>
        <v>تمرینات ذهن آگاهی و مدیتیشن</v>
      </c>
      <c r="G3496" s="1" t="str">
        <f>IFERROR(__xludf.DUMMYFUNCTION("GOOGLETRANSLATE(C3496, ""en"", ""fa"")
"),"نکاتی را برای تمرین ذهن آگاهی در مجامع اجتماعی و هدایت تعاملات اجتماعی با حضور به اشتراک بگذارید.")</f>
        <v>نکاتی را برای تمرین ذهن آگاهی در مجامع اجتماعی و هدایت تعاملات اجتماعی با حضور به اشتراک بگذارید.</v>
      </c>
      <c r="H3496" s="1"/>
      <c r="I3496" s="1"/>
      <c r="J3496" s="1"/>
      <c r="K3496" s="1"/>
      <c r="L3496" s="1"/>
      <c r="M3496" s="1"/>
      <c r="N3496" s="1"/>
      <c r="O3496" s="1"/>
      <c r="P3496" s="1"/>
      <c r="Q3496" s="1"/>
      <c r="R3496" s="1"/>
      <c r="S3496" s="1"/>
      <c r="T3496" s="1"/>
      <c r="U3496" s="1"/>
      <c r="V3496" s="1"/>
      <c r="W3496" s="1"/>
      <c r="X3496" s="1"/>
      <c r="Y3496" s="1"/>
      <c r="Z3496" s="1"/>
      <c r="AA3496" s="1"/>
      <c r="AB3496" s="1"/>
    </row>
    <row r="3497" ht="50.25" customHeight="1">
      <c r="A3497" s="12">
        <v>3493.0</v>
      </c>
      <c r="B3497" s="13" t="s">
        <v>3427</v>
      </c>
      <c r="C3497" s="14" t="s">
        <v>3514</v>
      </c>
      <c r="D3497" s="1"/>
      <c r="E3497" s="1"/>
      <c r="F3497" s="1" t="str">
        <f>IFERROR(__xludf.DUMMYFUNCTION("GOOGLETRANSLATE(B3497, ""en"", ""fa"")
"),"تمرینات ذهن آگاهی و مدیتیشن")</f>
        <v>تمرینات ذهن آگاهی و مدیتیشن</v>
      </c>
      <c r="G3497" s="1" t="str">
        <f>IFERROR(__xludf.DUMMYFUNCTION("GOOGLETRANSLATE(C3497, ""en"", ""fa"")
"),"ارتباط بین ذهن آگاهی و بهبود حافظه و عملکرد شناختی را بررسی کنید.")</f>
        <v>ارتباط بین ذهن آگاهی و بهبود حافظه و عملکرد شناختی را بررسی کنید.</v>
      </c>
      <c r="H3497" s="1"/>
      <c r="I3497" s="1"/>
      <c r="J3497" s="1"/>
      <c r="K3497" s="1"/>
      <c r="L3497" s="1"/>
      <c r="M3497" s="1"/>
      <c r="N3497" s="1"/>
      <c r="O3497" s="1"/>
      <c r="P3497" s="1"/>
      <c r="Q3497" s="1"/>
      <c r="R3497" s="1"/>
      <c r="S3497" s="1"/>
      <c r="T3497" s="1"/>
      <c r="U3497" s="1"/>
      <c r="V3497" s="1"/>
      <c r="W3497" s="1"/>
      <c r="X3497" s="1"/>
      <c r="Y3497" s="1"/>
      <c r="Z3497" s="1"/>
      <c r="AA3497" s="1"/>
      <c r="AB3497" s="1"/>
    </row>
    <row r="3498" ht="50.25" customHeight="1">
      <c r="A3498" s="12">
        <v>3494.0</v>
      </c>
      <c r="B3498" s="13" t="s">
        <v>3427</v>
      </c>
      <c r="C3498" s="14" t="s">
        <v>3515</v>
      </c>
      <c r="D3498" s="1"/>
      <c r="E3498" s="1"/>
      <c r="F3498" s="1" t="str">
        <f>IFERROR(__xludf.DUMMYFUNCTION("GOOGLETRANSLATE(B3498, ""en"", ""fa"")
"),"تمرینات ذهن آگاهی و مدیتیشن")</f>
        <v>تمرینات ذهن آگاهی و مدیتیشن</v>
      </c>
      <c r="G3498" s="1" t="str">
        <f>IFERROR(__xludf.DUMMYFUNCTION("GOOGLETRANSLATE(C3498, ""en"", ""fa"")
"),"در مورد مزایای ترکیب ذهن آگاهی در حل تعارض و ایجاد روابط سالم بحث کنید.")</f>
        <v>در مورد مزایای ترکیب ذهن آگاهی در حل تعارض و ایجاد روابط سالم بحث کنید.</v>
      </c>
      <c r="H3498" s="1"/>
      <c r="I3498" s="1"/>
      <c r="J3498" s="1"/>
      <c r="K3498" s="1"/>
      <c r="L3498" s="1"/>
      <c r="M3498" s="1"/>
      <c r="N3498" s="1"/>
      <c r="O3498" s="1"/>
      <c r="P3498" s="1"/>
      <c r="Q3498" s="1"/>
      <c r="R3498" s="1"/>
      <c r="S3498" s="1"/>
      <c r="T3498" s="1"/>
      <c r="U3498" s="1"/>
      <c r="V3498" s="1"/>
      <c r="W3498" s="1"/>
      <c r="X3498" s="1"/>
      <c r="Y3498" s="1"/>
      <c r="Z3498" s="1"/>
      <c r="AA3498" s="1"/>
      <c r="AB3498" s="1"/>
    </row>
    <row r="3499" ht="50.25" customHeight="1">
      <c r="A3499" s="12">
        <v>3495.0</v>
      </c>
      <c r="B3499" s="13" t="s">
        <v>3427</v>
      </c>
      <c r="C3499" s="14" t="s">
        <v>3516</v>
      </c>
      <c r="D3499" s="1"/>
      <c r="E3499" s="1"/>
      <c r="F3499" s="1" t="str">
        <f>IFERROR(__xludf.DUMMYFUNCTION("GOOGLETRANSLATE(B3499, ""en"", ""fa"")
"),"تمرینات ذهن آگاهی و مدیتیشن")</f>
        <v>تمرینات ذهن آگاهی و مدیتیشن</v>
      </c>
      <c r="G3499" s="1" t="str">
        <f>IFERROR(__xludf.DUMMYFUNCTION("GOOGLETRANSLATE(C3499, ""en"", ""fa"")
"),"تکنیک‌های تمرین ذهن آگاهی در سفر یا کاوش در محیط‌های جدید را به اشتراک بگذارید.")</f>
        <v>تکنیک‌های تمرین ذهن آگاهی در سفر یا کاوش در محیط‌های جدید را به اشتراک بگذارید.</v>
      </c>
      <c r="H3499" s="1"/>
      <c r="I3499" s="1"/>
      <c r="J3499" s="1"/>
      <c r="K3499" s="1"/>
      <c r="L3499" s="1"/>
      <c r="M3499" s="1"/>
      <c r="N3499" s="1"/>
      <c r="O3499" s="1"/>
      <c r="P3499" s="1"/>
      <c r="Q3499" s="1"/>
      <c r="R3499" s="1"/>
      <c r="S3499" s="1"/>
      <c r="T3499" s="1"/>
      <c r="U3499" s="1"/>
      <c r="V3499" s="1"/>
      <c r="W3499" s="1"/>
      <c r="X3499" s="1"/>
      <c r="Y3499" s="1"/>
      <c r="Z3499" s="1"/>
      <c r="AA3499" s="1"/>
      <c r="AB3499" s="1"/>
    </row>
    <row r="3500" ht="50.25" customHeight="1">
      <c r="A3500" s="12">
        <v>3496.0</v>
      </c>
      <c r="B3500" s="13" t="s">
        <v>3427</v>
      </c>
      <c r="C3500" s="14" t="s">
        <v>3517</v>
      </c>
      <c r="D3500" s="1"/>
      <c r="E3500" s="1"/>
      <c r="F3500" s="1" t="str">
        <f>IFERROR(__xludf.DUMMYFUNCTION("GOOGLETRANSLATE(B3500, ""en"", ""fa"")
"),"تمرینات ذهن آگاهی و مدیتیشن")</f>
        <v>تمرینات ذهن آگاهی و مدیتیشن</v>
      </c>
      <c r="G3500" s="1" t="str">
        <f>IFERROR(__xludf.DUMMYFUNCTION("GOOGLETRANSLATE(C3500, ""en"", ""fa"")
"),"شیوه های مختلف ذهن آگاهی را برای ترویج شفقت به خود و پذیرش خود کاوش کنید.")</f>
        <v>شیوه های مختلف ذهن آگاهی را برای ترویج شفقت به خود و پذیرش خود کاوش کنید.</v>
      </c>
      <c r="H3500" s="1"/>
      <c r="I3500" s="1"/>
      <c r="J3500" s="1"/>
      <c r="K3500" s="1"/>
      <c r="L3500" s="1"/>
      <c r="M3500" s="1"/>
      <c r="N3500" s="1"/>
      <c r="O3500" s="1"/>
      <c r="P3500" s="1"/>
      <c r="Q3500" s="1"/>
      <c r="R3500" s="1"/>
      <c r="S3500" s="1"/>
      <c r="T3500" s="1"/>
      <c r="U3500" s="1"/>
      <c r="V3500" s="1"/>
      <c r="W3500" s="1"/>
      <c r="X3500" s="1"/>
      <c r="Y3500" s="1"/>
      <c r="Z3500" s="1"/>
      <c r="AA3500" s="1"/>
      <c r="AB3500" s="1"/>
    </row>
    <row r="3501" ht="50.25" customHeight="1">
      <c r="A3501" s="12">
        <v>3497.0</v>
      </c>
      <c r="B3501" s="13" t="s">
        <v>3427</v>
      </c>
      <c r="C3501" s="14" t="s">
        <v>3518</v>
      </c>
      <c r="D3501" s="1"/>
      <c r="E3501" s="1"/>
      <c r="F3501" s="1" t="str">
        <f>IFERROR(__xludf.DUMMYFUNCTION("GOOGLETRANSLATE(B3501, ""en"", ""fa"")
"),"تمرینات ذهن آگاهی و مدیتیشن")</f>
        <v>تمرینات ذهن آگاهی و مدیتیشن</v>
      </c>
      <c r="G3501" s="1" t="str">
        <f>IFERROR(__xludf.DUMMYFUNCTION("GOOGLETRANSLATE(C3501, ""en"", ""fa"")
"),"در مورد مزایای تمرین ذهن آگاهی در افزایش تمرکز و دامنه توجه بحث کنید.")</f>
        <v>در مورد مزایای تمرین ذهن آگاهی در افزایش تمرکز و دامنه توجه بحث کنید.</v>
      </c>
      <c r="H3501" s="1"/>
      <c r="I3501" s="1"/>
      <c r="J3501" s="1"/>
      <c r="K3501" s="1"/>
      <c r="L3501" s="1"/>
      <c r="M3501" s="1"/>
      <c r="N3501" s="1"/>
      <c r="O3501" s="1"/>
      <c r="P3501" s="1"/>
      <c r="Q3501" s="1"/>
      <c r="R3501" s="1"/>
      <c r="S3501" s="1"/>
      <c r="T3501" s="1"/>
      <c r="U3501" s="1"/>
      <c r="V3501" s="1"/>
      <c r="W3501" s="1"/>
      <c r="X3501" s="1"/>
      <c r="Y3501" s="1"/>
      <c r="Z3501" s="1"/>
      <c r="AA3501" s="1"/>
      <c r="AB3501" s="1"/>
    </row>
    <row r="3502" ht="50.25" customHeight="1">
      <c r="A3502" s="12">
        <v>3498.0</v>
      </c>
      <c r="B3502" s="13" t="s">
        <v>3427</v>
      </c>
      <c r="C3502" s="14" t="s">
        <v>3519</v>
      </c>
      <c r="D3502" s="1"/>
      <c r="E3502" s="1"/>
      <c r="F3502" s="1" t="str">
        <f>IFERROR(__xludf.DUMMYFUNCTION("GOOGLETRANSLATE(B3502, ""en"", ""fa"")
"),"تمرینات ذهن آگاهی و مدیتیشن")</f>
        <v>تمرینات ذهن آگاهی و مدیتیشن</v>
      </c>
      <c r="G3502" s="1" t="str">
        <f>IFERROR(__xludf.DUMMYFUNCTION("GOOGLETRANSLATE(C3502, ""en"", ""fa"")
"),"نکاتی را برای گنجاندن ذهن آگاهی در روال خانواده و تقویت پیوندهای خانوادگی به اشتراک بگذارید.")</f>
        <v>نکاتی را برای گنجاندن ذهن آگاهی در روال خانواده و تقویت پیوندهای خانوادگی به اشتراک بگذارید.</v>
      </c>
      <c r="H3502" s="1"/>
      <c r="I3502" s="1"/>
      <c r="J3502" s="1"/>
      <c r="K3502" s="1"/>
      <c r="L3502" s="1"/>
      <c r="M3502" s="1"/>
      <c r="N3502" s="1"/>
      <c r="O3502" s="1"/>
      <c r="P3502" s="1"/>
      <c r="Q3502" s="1"/>
      <c r="R3502" s="1"/>
      <c r="S3502" s="1"/>
      <c r="T3502" s="1"/>
      <c r="U3502" s="1"/>
      <c r="V3502" s="1"/>
      <c r="W3502" s="1"/>
      <c r="X3502" s="1"/>
      <c r="Y3502" s="1"/>
      <c r="Z3502" s="1"/>
      <c r="AA3502" s="1"/>
      <c r="AB3502" s="1"/>
    </row>
    <row r="3503" ht="50.25" customHeight="1">
      <c r="A3503" s="12">
        <v>3499.0</v>
      </c>
      <c r="B3503" s="13" t="s">
        <v>3427</v>
      </c>
      <c r="C3503" s="14" t="s">
        <v>3520</v>
      </c>
      <c r="D3503" s="1"/>
      <c r="E3503" s="1"/>
      <c r="F3503" s="1" t="str">
        <f>IFERROR(__xludf.DUMMYFUNCTION("GOOGLETRANSLATE(B3503, ""en"", ""fa"")
"),"تمرینات ذهن آگاهی و مدیتیشن")</f>
        <v>تمرینات ذهن آگاهی و مدیتیشن</v>
      </c>
      <c r="G3503" s="1" t="str">
        <f>IFERROR(__xludf.DUMMYFUNCTION("GOOGLETRANSLATE(C3503, ""en"", ""fa"")
"),"نقش ذهن آگاهی در مدیریت و کاهش علائم اختلالات مرتبط با استرس را بررسی کنید.")</f>
        <v>نقش ذهن آگاهی در مدیریت و کاهش علائم اختلالات مرتبط با استرس را بررسی کنید.</v>
      </c>
      <c r="H3503" s="1"/>
      <c r="I3503" s="1"/>
      <c r="J3503" s="1"/>
      <c r="K3503" s="1"/>
      <c r="L3503" s="1"/>
      <c r="M3503" s="1"/>
      <c r="N3503" s="1"/>
      <c r="O3503" s="1"/>
      <c r="P3503" s="1"/>
      <c r="Q3503" s="1"/>
      <c r="R3503" s="1"/>
      <c r="S3503" s="1"/>
      <c r="T3503" s="1"/>
      <c r="U3503" s="1"/>
      <c r="V3503" s="1"/>
      <c r="W3503" s="1"/>
      <c r="X3503" s="1"/>
      <c r="Y3503" s="1"/>
      <c r="Z3503" s="1"/>
      <c r="AA3503" s="1"/>
      <c r="AB3503" s="1"/>
    </row>
    <row r="3504" ht="50.25" customHeight="1">
      <c r="A3504" s="12">
        <v>3500.0</v>
      </c>
      <c r="B3504" s="13" t="s">
        <v>3427</v>
      </c>
      <c r="C3504" s="14" t="s">
        <v>3521</v>
      </c>
      <c r="D3504" s="1"/>
      <c r="E3504" s="1"/>
      <c r="F3504" s="1" t="str">
        <f>IFERROR(__xludf.DUMMYFUNCTION("GOOGLETRANSLATE(B3504, ""en"", ""fa"")
"),"تمرینات ذهن آگاهی و مدیتیشن")</f>
        <v>تمرینات ذهن آگاهی و مدیتیشن</v>
      </c>
      <c r="G3504" s="1" t="str">
        <f>IFERROR(__xludf.DUMMYFUNCTION("GOOGLETRANSLATE(C3504, ""en"", ""fa"")
"),"در مورد مزایای ذهن آگاهی در تقویت حس قدردانی و قدردانی بحث کنید.")</f>
        <v>در مورد مزایای ذهن آگاهی در تقویت حس قدردانی و قدردانی بحث کنید.</v>
      </c>
      <c r="H3504" s="1"/>
      <c r="I3504" s="1"/>
      <c r="J3504" s="1"/>
      <c r="K3504" s="1"/>
      <c r="L3504" s="1"/>
      <c r="M3504" s="1"/>
      <c r="N3504" s="1"/>
      <c r="O3504" s="1"/>
      <c r="P3504" s="1"/>
      <c r="Q3504" s="1"/>
      <c r="R3504" s="1"/>
      <c r="S3504" s="1"/>
      <c r="T3504" s="1"/>
      <c r="U3504" s="1"/>
      <c r="V3504" s="1"/>
      <c r="W3504" s="1"/>
      <c r="X3504" s="1"/>
      <c r="Y3504" s="1"/>
      <c r="Z3504" s="1"/>
      <c r="AA3504" s="1"/>
      <c r="AB3504" s="1"/>
    </row>
    <row r="3505" ht="50.25" customHeight="1">
      <c r="A3505" s="12">
        <v>3501.0</v>
      </c>
      <c r="B3505" s="13" t="s">
        <v>3427</v>
      </c>
      <c r="C3505" s="14" t="s">
        <v>3522</v>
      </c>
      <c r="D3505" s="1"/>
      <c r="E3505" s="1"/>
      <c r="F3505" s="1" t="str">
        <f>IFERROR(__xludf.DUMMYFUNCTION("GOOGLETRANSLATE(B3505, ""en"", ""fa"")
"),"تمرینات ذهن آگاهی و مدیتیشن")</f>
        <v>تمرینات ذهن آگاهی و مدیتیشن</v>
      </c>
      <c r="G3505" s="1" t="str">
        <f>IFERROR(__xludf.DUMMYFUNCTION("GOOGLETRANSLATE(C3505, ""en"", ""fa"")
"),"تکنیک های تمرین ذهن آگاهی را در لحظات خشم یا ناامیدی به اشتراک بگذارید.")</f>
        <v>تکنیک های تمرین ذهن آگاهی را در لحظات خشم یا ناامیدی به اشتراک بگذارید.</v>
      </c>
      <c r="H3505" s="1"/>
      <c r="I3505" s="1"/>
      <c r="J3505" s="1"/>
      <c r="K3505" s="1"/>
      <c r="L3505" s="1"/>
      <c r="M3505" s="1"/>
      <c r="N3505" s="1"/>
      <c r="O3505" s="1"/>
      <c r="P3505" s="1"/>
      <c r="Q3505" s="1"/>
      <c r="R3505" s="1"/>
      <c r="S3505" s="1"/>
      <c r="T3505" s="1"/>
      <c r="U3505" s="1"/>
      <c r="V3505" s="1"/>
      <c r="W3505" s="1"/>
      <c r="X3505" s="1"/>
      <c r="Y3505" s="1"/>
      <c r="Z3505" s="1"/>
      <c r="AA3505" s="1"/>
      <c r="AB3505" s="1"/>
    </row>
    <row r="3506" ht="50.25" customHeight="1">
      <c r="A3506" s="12">
        <v>3502.0</v>
      </c>
      <c r="B3506" s="13" t="s">
        <v>3427</v>
      </c>
      <c r="C3506" s="14" t="s">
        <v>3523</v>
      </c>
      <c r="D3506" s="1"/>
      <c r="E3506" s="1"/>
      <c r="F3506" s="1" t="str">
        <f>IFERROR(__xludf.DUMMYFUNCTION("GOOGLETRANSLATE(B3506, ""en"", ""fa"")
"),"تمرینات ذهن آگاهی و مدیتیشن")</f>
        <v>تمرینات ذهن آگاهی و مدیتیشن</v>
      </c>
      <c r="G3506" s="1" t="str">
        <f>IFERROR(__xludf.DUMMYFUNCTION("GOOGLETRANSLATE(C3506, ""en"", ""fa"")
"),"شیوه های مختلف مراقبه را برای پرورش ذهن آگاهی در نوشتن خلاقانه یا روزنامه نگاری کاوش کنید.")</f>
        <v>شیوه های مختلف مراقبه را برای پرورش ذهن آگاهی در نوشتن خلاقانه یا روزنامه نگاری کاوش کنید.</v>
      </c>
      <c r="H3506" s="1"/>
      <c r="I3506" s="1"/>
      <c r="J3506" s="1"/>
      <c r="K3506" s="1"/>
      <c r="L3506" s="1"/>
      <c r="M3506" s="1"/>
      <c r="N3506" s="1"/>
      <c r="O3506" s="1"/>
      <c r="P3506" s="1"/>
      <c r="Q3506" s="1"/>
      <c r="R3506" s="1"/>
      <c r="S3506" s="1"/>
      <c r="T3506" s="1"/>
      <c r="U3506" s="1"/>
      <c r="V3506" s="1"/>
      <c r="W3506" s="1"/>
      <c r="X3506" s="1"/>
      <c r="Y3506" s="1"/>
      <c r="Z3506" s="1"/>
      <c r="AA3506" s="1"/>
      <c r="AB3506" s="1"/>
    </row>
    <row r="3507" ht="50.25" customHeight="1">
      <c r="A3507" s="12">
        <v>3503.0</v>
      </c>
      <c r="B3507" s="13" t="s">
        <v>3427</v>
      </c>
      <c r="C3507" s="14" t="s">
        <v>3524</v>
      </c>
      <c r="D3507" s="1"/>
      <c r="E3507" s="1"/>
      <c r="F3507" s="1" t="str">
        <f>IFERROR(__xludf.DUMMYFUNCTION("GOOGLETRANSLATE(B3507, ""en"", ""fa"")
"),"تمرینات ذهن آگاهی و مدیتیشن")</f>
        <v>تمرینات ذهن آگاهی و مدیتیشن</v>
      </c>
      <c r="G3507" s="1" t="str">
        <f>IFERROR(__xludf.DUMMYFUNCTION("GOOGLETRANSLATE(C3507, ""en"", ""fa"")
"),"در مورد مزایای گنجاندن ذهن آگاهی در فرآیندهای تصمیم گیری و افزایش وضوح بحث کنید.")</f>
        <v>در مورد مزایای گنجاندن ذهن آگاهی در فرآیندهای تصمیم گیری و افزایش وضوح بحث کنید.</v>
      </c>
      <c r="H3507" s="1"/>
      <c r="I3507" s="1"/>
      <c r="J3507" s="1"/>
      <c r="K3507" s="1"/>
      <c r="L3507" s="1"/>
      <c r="M3507" s="1"/>
      <c r="N3507" s="1"/>
      <c r="O3507" s="1"/>
      <c r="P3507" s="1"/>
      <c r="Q3507" s="1"/>
      <c r="R3507" s="1"/>
      <c r="S3507" s="1"/>
      <c r="T3507" s="1"/>
      <c r="U3507" s="1"/>
      <c r="V3507" s="1"/>
      <c r="W3507" s="1"/>
      <c r="X3507" s="1"/>
      <c r="Y3507" s="1"/>
      <c r="Z3507" s="1"/>
      <c r="AA3507" s="1"/>
      <c r="AB3507" s="1"/>
    </row>
    <row r="3508" ht="50.25" customHeight="1">
      <c r="A3508" s="12">
        <v>3504.0</v>
      </c>
      <c r="B3508" s="13" t="s">
        <v>3427</v>
      </c>
      <c r="C3508" s="14" t="s">
        <v>3525</v>
      </c>
      <c r="D3508" s="1"/>
      <c r="E3508" s="1"/>
      <c r="F3508" s="1" t="str">
        <f>IFERROR(__xludf.DUMMYFUNCTION("GOOGLETRANSLATE(B3508, ""en"", ""fa"")
"),"تمرینات ذهن آگاهی و مدیتیشن")</f>
        <v>تمرینات ذهن آگاهی و مدیتیشن</v>
      </c>
      <c r="G3508" s="1" t="str">
        <f>IFERROR(__xludf.DUMMYFUNCTION("GOOGLETRANSLATE(C3508, ""en"", ""fa"")
"),"نکاتی را برای تمرین ذهن آگاهی در عصر دیجیتال و ایجاد تعادل بین تجربیات آنلاین و آفلاین به اشتراک بگذارید.")</f>
        <v>نکاتی را برای تمرین ذهن آگاهی در عصر دیجیتال و ایجاد تعادل بین تجربیات آنلاین و آفلاین به اشتراک بگذارید.</v>
      </c>
      <c r="H3508" s="1"/>
      <c r="I3508" s="1"/>
      <c r="J3508" s="1"/>
      <c r="K3508" s="1"/>
      <c r="L3508" s="1"/>
      <c r="M3508" s="1"/>
      <c r="N3508" s="1"/>
      <c r="O3508" s="1"/>
      <c r="P3508" s="1"/>
      <c r="Q3508" s="1"/>
      <c r="R3508" s="1"/>
      <c r="S3508" s="1"/>
      <c r="T3508" s="1"/>
      <c r="U3508" s="1"/>
      <c r="V3508" s="1"/>
      <c r="W3508" s="1"/>
      <c r="X3508" s="1"/>
      <c r="Y3508" s="1"/>
      <c r="Z3508" s="1"/>
      <c r="AA3508" s="1"/>
      <c r="AB3508" s="1"/>
    </row>
    <row r="3509" ht="50.25" customHeight="1">
      <c r="A3509" s="12">
        <v>3505.0</v>
      </c>
      <c r="B3509" s="13" t="s">
        <v>3427</v>
      </c>
      <c r="C3509" s="14" t="s">
        <v>3526</v>
      </c>
      <c r="D3509" s="1"/>
      <c r="E3509" s="1"/>
      <c r="F3509" s="1" t="str">
        <f>IFERROR(__xludf.DUMMYFUNCTION("GOOGLETRANSLATE(B3509, ""en"", ""fa"")
"),"تمرینات ذهن آگاهی و مدیتیشن")</f>
        <v>تمرینات ذهن آگاهی و مدیتیشن</v>
      </c>
      <c r="G3509" s="1" t="str">
        <f>IFERROR(__xludf.DUMMYFUNCTION("GOOGLETRANSLATE(C3509, ""en"", ""fa"")
"),"ارتباط بین ذهن آگاهی و بهبود عملکرد سیستم ایمنی و سلامت کلی را بررسی کنید.")</f>
        <v>ارتباط بین ذهن آگاهی و بهبود عملکرد سیستم ایمنی و سلامت کلی را بررسی کنید.</v>
      </c>
      <c r="H3509" s="1"/>
      <c r="I3509" s="1"/>
      <c r="J3509" s="1"/>
      <c r="K3509" s="1"/>
      <c r="L3509" s="1"/>
      <c r="M3509" s="1"/>
      <c r="N3509" s="1"/>
      <c r="O3509" s="1"/>
      <c r="P3509" s="1"/>
      <c r="Q3509" s="1"/>
      <c r="R3509" s="1"/>
      <c r="S3509" s="1"/>
      <c r="T3509" s="1"/>
      <c r="U3509" s="1"/>
      <c r="V3509" s="1"/>
      <c r="W3509" s="1"/>
      <c r="X3509" s="1"/>
      <c r="Y3509" s="1"/>
      <c r="Z3509" s="1"/>
      <c r="AA3509" s="1"/>
      <c r="AB3509" s="1"/>
    </row>
    <row r="3510" ht="50.25" customHeight="1">
      <c r="A3510" s="12">
        <v>3506.0</v>
      </c>
      <c r="B3510" s="13" t="s">
        <v>3427</v>
      </c>
      <c r="C3510" s="14" t="s">
        <v>3527</v>
      </c>
      <c r="D3510" s="1"/>
      <c r="E3510" s="1"/>
      <c r="F3510" s="1" t="str">
        <f>IFERROR(__xludf.DUMMYFUNCTION("GOOGLETRANSLATE(B3510, ""en"", ""fa"")
"),"تمرینات ذهن آگاهی و مدیتیشن")</f>
        <v>تمرینات ذهن آگاهی و مدیتیشن</v>
      </c>
      <c r="G3510" s="1" t="str">
        <f>IFERROR(__xludf.DUMMYFUNCTION("GOOGLETRANSLATE(C3510, ""en"", ""fa"")
"),"در مورد مزایای تمرین ذهن آگاهی در ارتقای ارتباط بدن و ذهن در فعالیت های بدنی بحث کنید.")</f>
        <v>در مورد مزایای تمرین ذهن آگاهی در ارتقای ارتباط بدن و ذهن در فعالیت های بدنی بحث کنید.</v>
      </c>
      <c r="H3510" s="1"/>
      <c r="I3510" s="1"/>
      <c r="J3510" s="1"/>
      <c r="K3510" s="1"/>
      <c r="L3510" s="1"/>
      <c r="M3510" s="1"/>
      <c r="N3510" s="1"/>
      <c r="O3510" s="1"/>
      <c r="P3510" s="1"/>
      <c r="Q3510" s="1"/>
      <c r="R3510" s="1"/>
      <c r="S3510" s="1"/>
      <c r="T3510" s="1"/>
      <c r="U3510" s="1"/>
      <c r="V3510" s="1"/>
      <c r="W3510" s="1"/>
      <c r="X3510" s="1"/>
      <c r="Y3510" s="1"/>
      <c r="Z3510" s="1"/>
      <c r="AA3510" s="1"/>
      <c r="AB3510" s="1"/>
    </row>
    <row r="3511" ht="50.25" customHeight="1">
      <c r="A3511" s="12">
        <v>3507.0</v>
      </c>
      <c r="B3511" s="13" t="s">
        <v>3427</v>
      </c>
      <c r="C3511" s="14" t="s">
        <v>3528</v>
      </c>
      <c r="D3511" s="1"/>
      <c r="E3511" s="1"/>
      <c r="F3511" s="1" t="str">
        <f>IFERROR(__xludf.DUMMYFUNCTION("GOOGLETRANSLATE(B3511, ""en"", ""fa"")
"),"تمرینات ذهن آگاهی و مدیتیشن")</f>
        <v>تمرینات ذهن آگاهی و مدیتیشن</v>
      </c>
      <c r="G3511" s="1" t="str">
        <f>IFERROR(__xludf.DUMMYFUNCTION("GOOGLETRANSLATE(C3511, ""en"", ""fa"")
"),"تکنیک هایی را برای ترکیب ذهن آگاهی در تعیین هدف و دستیابی به آرزوهای شخصی به اشتراک بگذارید.")</f>
        <v>تکنیک هایی را برای ترکیب ذهن آگاهی در تعیین هدف و دستیابی به آرزوهای شخصی به اشتراک بگذارید.</v>
      </c>
      <c r="H3511" s="1"/>
      <c r="I3511" s="1"/>
      <c r="J3511" s="1"/>
      <c r="K3511" s="1"/>
      <c r="L3511" s="1"/>
      <c r="M3511" s="1"/>
      <c r="N3511" s="1"/>
      <c r="O3511" s="1"/>
      <c r="P3511" s="1"/>
      <c r="Q3511" s="1"/>
      <c r="R3511" s="1"/>
      <c r="S3511" s="1"/>
      <c r="T3511" s="1"/>
      <c r="U3511" s="1"/>
      <c r="V3511" s="1"/>
      <c r="W3511" s="1"/>
      <c r="X3511" s="1"/>
      <c r="Y3511" s="1"/>
      <c r="Z3511" s="1"/>
      <c r="AA3511" s="1"/>
      <c r="AB3511" s="1"/>
    </row>
    <row r="3512" ht="50.25" customHeight="1">
      <c r="A3512" s="12">
        <v>3508.0</v>
      </c>
      <c r="B3512" s="13" t="s">
        <v>3427</v>
      </c>
      <c r="C3512" s="14" t="s">
        <v>3529</v>
      </c>
      <c r="D3512" s="1"/>
      <c r="E3512" s="1"/>
      <c r="F3512" s="1" t="str">
        <f>IFERROR(__xludf.DUMMYFUNCTION("GOOGLETRANSLATE(B3512, ""en"", ""fa"")
"),"تمرینات ذهن آگاهی و مدیتیشن")</f>
        <v>تمرینات ذهن آگاهی و مدیتیشن</v>
      </c>
      <c r="G3512" s="1" t="str">
        <f>IFERROR(__xludf.DUMMYFUNCTION("GOOGLETRANSLATE(C3512, ""en"", ""fa"")
"),"شیوه های مختلف ذهن آگاهی را برای ارتقای ارتباط ذهن آگاهانه در روابط عاشقانه بررسی کنید.")</f>
        <v>شیوه های مختلف ذهن آگاهی را برای ارتقای ارتباط ذهن آگاهانه در روابط عاشقانه بررسی کنید.</v>
      </c>
      <c r="H3512" s="1"/>
      <c r="I3512" s="1"/>
      <c r="J3512" s="1"/>
      <c r="K3512" s="1"/>
      <c r="L3512" s="1"/>
      <c r="M3512" s="1"/>
      <c r="N3512" s="1"/>
      <c r="O3512" s="1"/>
      <c r="P3512" s="1"/>
      <c r="Q3512" s="1"/>
      <c r="R3512" s="1"/>
      <c r="S3512" s="1"/>
      <c r="T3512" s="1"/>
      <c r="U3512" s="1"/>
      <c r="V3512" s="1"/>
      <c r="W3512" s="1"/>
      <c r="X3512" s="1"/>
      <c r="Y3512" s="1"/>
      <c r="Z3512" s="1"/>
      <c r="AA3512" s="1"/>
      <c r="AB3512" s="1"/>
    </row>
    <row r="3513" ht="50.25" customHeight="1">
      <c r="A3513" s="12">
        <v>3509.0</v>
      </c>
      <c r="B3513" s="13" t="s">
        <v>3427</v>
      </c>
      <c r="C3513" s="14" t="s">
        <v>3530</v>
      </c>
      <c r="D3513" s="1"/>
      <c r="E3513" s="1"/>
      <c r="F3513" s="1" t="str">
        <f>IFERROR(__xludf.DUMMYFUNCTION("GOOGLETRANSLATE(B3513, ""en"", ""fa"")
"),"تمرینات ذهن آگاهی و مدیتیشن")</f>
        <v>تمرینات ذهن آگاهی و مدیتیشن</v>
      </c>
      <c r="G3513" s="1" t="str">
        <f>IFERROR(__xludf.DUMMYFUNCTION("GOOGLETRANSLATE(C3513, ""en"", ""fa"")
"),"در مورد مزایای ذهن آگاهی در مدیریت و کاهش علائم اختلال استرس پس از سانحه (PTSD) بحث کنید.")</f>
        <v>در مورد مزایای ذهن آگاهی در مدیریت و کاهش علائم اختلال استرس پس از سانحه (PTSD) بحث کنید.</v>
      </c>
      <c r="H3513" s="1"/>
      <c r="I3513" s="1"/>
      <c r="J3513" s="1"/>
      <c r="K3513" s="1"/>
      <c r="L3513" s="1"/>
      <c r="M3513" s="1"/>
      <c r="N3513" s="1"/>
      <c r="O3513" s="1"/>
      <c r="P3513" s="1"/>
      <c r="Q3513" s="1"/>
      <c r="R3513" s="1"/>
      <c r="S3513" s="1"/>
      <c r="T3513" s="1"/>
      <c r="U3513" s="1"/>
      <c r="V3513" s="1"/>
      <c r="W3513" s="1"/>
      <c r="X3513" s="1"/>
      <c r="Y3513" s="1"/>
      <c r="Z3513" s="1"/>
      <c r="AA3513" s="1"/>
      <c r="AB3513" s="1"/>
    </row>
    <row r="3514" ht="50.25" customHeight="1">
      <c r="A3514" s="12">
        <v>3510.0</v>
      </c>
      <c r="B3514" s="13" t="s">
        <v>3427</v>
      </c>
      <c r="C3514" s="14" t="s">
        <v>3531</v>
      </c>
      <c r="D3514" s="1"/>
      <c r="E3514" s="1"/>
      <c r="F3514" s="1" t="str">
        <f>IFERROR(__xludf.DUMMYFUNCTION("GOOGLETRANSLATE(B3514, ""en"", ""fa"")
"),"تمرینات ذهن آگاهی و مدیتیشن")</f>
        <v>تمرینات ذهن آگاهی و مدیتیشن</v>
      </c>
      <c r="G3514" s="1" t="str">
        <f>IFERROR(__xludf.DUMMYFUNCTION("GOOGLETRANSLATE(C3514, ""en"", ""fa"")
"),"نکاتی برای تمرین ذهن آگاهی در محل کار برای کاهش حواس پرتی و بهبود بهره وری به اشتراک بگذارید.")</f>
        <v>نکاتی برای تمرین ذهن آگاهی در محل کار برای کاهش حواس پرتی و بهبود بهره وری به اشتراک بگذارید.</v>
      </c>
      <c r="H3514" s="1"/>
      <c r="I3514" s="1"/>
      <c r="J3514" s="1"/>
      <c r="K3514" s="1"/>
      <c r="L3514" s="1"/>
      <c r="M3514" s="1"/>
      <c r="N3514" s="1"/>
      <c r="O3514" s="1"/>
      <c r="P3514" s="1"/>
      <c r="Q3514" s="1"/>
      <c r="R3514" s="1"/>
      <c r="S3514" s="1"/>
      <c r="T3514" s="1"/>
      <c r="U3514" s="1"/>
      <c r="V3514" s="1"/>
      <c r="W3514" s="1"/>
      <c r="X3514" s="1"/>
      <c r="Y3514" s="1"/>
      <c r="Z3514" s="1"/>
      <c r="AA3514" s="1"/>
      <c r="AB3514" s="1"/>
    </row>
    <row r="3515" ht="50.25" customHeight="1">
      <c r="A3515" s="12">
        <v>3511.0</v>
      </c>
      <c r="B3515" s="13" t="s">
        <v>3427</v>
      </c>
      <c r="C3515" s="14" t="s">
        <v>3532</v>
      </c>
      <c r="D3515" s="1"/>
      <c r="E3515" s="1"/>
      <c r="F3515" s="1" t="str">
        <f>IFERROR(__xludf.DUMMYFUNCTION("GOOGLETRANSLATE(B3515, ""en"", ""fa"")
"),"تمرینات ذهن آگاهی و مدیتیشن")</f>
        <v>تمرینات ذهن آگاهی و مدیتیشن</v>
      </c>
      <c r="G3515" s="1" t="str">
        <f>IFERROR(__xludf.DUMMYFUNCTION("GOOGLETRANSLATE(C3515, ""en"", ""fa"")
"),"نقش ذهن آگاهی را در پرورش خودآگاهی و درک نقاط قوت و ضعف شخصی بررسی کنید.")</f>
        <v>نقش ذهن آگاهی را در پرورش خودآگاهی و درک نقاط قوت و ضعف شخصی بررسی کنید.</v>
      </c>
      <c r="H3515" s="1"/>
      <c r="I3515" s="1"/>
      <c r="J3515" s="1"/>
      <c r="K3515" s="1"/>
      <c r="L3515" s="1"/>
      <c r="M3515" s="1"/>
      <c r="N3515" s="1"/>
      <c r="O3515" s="1"/>
      <c r="P3515" s="1"/>
      <c r="Q3515" s="1"/>
      <c r="R3515" s="1"/>
      <c r="S3515" s="1"/>
      <c r="T3515" s="1"/>
      <c r="U3515" s="1"/>
      <c r="V3515" s="1"/>
      <c r="W3515" s="1"/>
      <c r="X3515" s="1"/>
      <c r="Y3515" s="1"/>
      <c r="Z3515" s="1"/>
      <c r="AA3515" s="1"/>
      <c r="AB3515" s="1"/>
    </row>
    <row r="3516" ht="50.25" customHeight="1">
      <c r="A3516" s="12">
        <v>3512.0</v>
      </c>
      <c r="B3516" s="13" t="s">
        <v>3427</v>
      </c>
      <c r="C3516" s="14" t="s">
        <v>3533</v>
      </c>
      <c r="D3516" s="1"/>
      <c r="E3516" s="1"/>
      <c r="F3516" s="1" t="str">
        <f>IFERROR(__xludf.DUMMYFUNCTION("GOOGLETRANSLATE(B3516, ""en"", ""fa"")
"),"تمرینات ذهن آگاهی و مدیتیشن")</f>
        <v>تمرینات ذهن آگاهی و مدیتیشن</v>
      </c>
      <c r="G3516" s="1" t="str">
        <f>IFERROR(__xludf.DUMMYFUNCTION("GOOGLETRANSLATE(C3516, ""en"", ""fa"")
"),"در مورد مزایای گنجاندن ذهن آگاهی در شیوه های رهبری برای تصمیم گیری موثر بحث کنید.")</f>
        <v>در مورد مزایای گنجاندن ذهن آگاهی در شیوه های رهبری برای تصمیم گیری موثر بحث کنید.</v>
      </c>
      <c r="H3516" s="1"/>
      <c r="I3516" s="1"/>
      <c r="J3516" s="1"/>
      <c r="K3516" s="1"/>
      <c r="L3516" s="1"/>
      <c r="M3516" s="1"/>
      <c r="N3516" s="1"/>
      <c r="O3516" s="1"/>
      <c r="P3516" s="1"/>
      <c r="Q3516" s="1"/>
      <c r="R3516" s="1"/>
      <c r="S3516" s="1"/>
      <c r="T3516" s="1"/>
      <c r="U3516" s="1"/>
      <c r="V3516" s="1"/>
      <c r="W3516" s="1"/>
      <c r="X3516" s="1"/>
      <c r="Y3516" s="1"/>
      <c r="Z3516" s="1"/>
      <c r="AA3516" s="1"/>
      <c r="AB3516" s="1"/>
    </row>
    <row r="3517" ht="50.25" customHeight="1">
      <c r="A3517" s="12">
        <v>3513.0</v>
      </c>
      <c r="B3517" s="13" t="s">
        <v>3427</v>
      </c>
      <c r="C3517" s="14" t="s">
        <v>3534</v>
      </c>
      <c r="D3517" s="1"/>
      <c r="E3517" s="1"/>
      <c r="F3517" s="1" t="str">
        <f>IFERROR(__xludf.DUMMYFUNCTION("GOOGLETRANSLATE(B3517, ""en"", ""fa"")
"),"تمرینات ذهن آگاهی و مدیتیشن")</f>
        <v>تمرینات ذهن آگاهی و مدیتیشن</v>
      </c>
      <c r="G3517" s="1" t="str">
        <f>IFERROR(__xludf.DUMMYFUNCTION("GOOGLETRANSLATE(C3517, ""en"", ""fa"")
"),"تکنیک های تمرین ذهن آگاهی را در لحظات عدم اطمینان یا تغییر زندگی به اشتراک بگذارید.")</f>
        <v>تکنیک های تمرین ذهن آگاهی را در لحظات عدم اطمینان یا تغییر زندگی به اشتراک بگذارید.</v>
      </c>
      <c r="H3517" s="1"/>
      <c r="I3517" s="1"/>
      <c r="J3517" s="1"/>
      <c r="K3517" s="1"/>
      <c r="L3517" s="1"/>
      <c r="M3517" s="1"/>
      <c r="N3517" s="1"/>
      <c r="O3517" s="1"/>
      <c r="P3517" s="1"/>
      <c r="Q3517" s="1"/>
      <c r="R3517" s="1"/>
      <c r="S3517" s="1"/>
      <c r="T3517" s="1"/>
      <c r="U3517" s="1"/>
      <c r="V3517" s="1"/>
      <c r="W3517" s="1"/>
      <c r="X3517" s="1"/>
      <c r="Y3517" s="1"/>
      <c r="Z3517" s="1"/>
      <c r="AA3517" s="1"/>
      <c r="AB3517" s="1"/>
    </row>
    <row r="3518" ht="50.25" customHeight="1">
      <c r="A3518" s="12">
        <v>3514.0</v>
      </c>
      <c r="B3518" s="13" t="s">
        <v>3427</v>
      </c>
      <c r="C3518" s="14" t="s">
        <v>3535</v>
      </c>
      <c r="D3518" s="1"/>
      <c r="E3518" s="1"/>
      <c r="F3518" s="1" t="str">
        <f>IFERROR(__xludf.DUMMYFUNCTION("GOOGLETRANSLATE(B3518, ""en"", ""fa"")
"),"تمرینات ذهن آگاهی و مدیتیشن")</f>
        <v>تمرینات ذهن آگاهی و مدیتیشن</v>
      </c>
      <c r="G3518" s="1" t="str">
        <f>IFERROR(__xludf.DUMMYFUNCTION("GOOGLETRANSLATE(C3518, ""en"", ""fa"")
"),"شیوه های مختلف مراقبه را برای پرورش ذهن آگاهی در نقش های مراقبتی و پرورش دیگران کاوش کنید.")</f>
        <v>شیوه های مختلف مراقبه را برای پرورش ذهن آگاهی در نقش های مراقبتی و پرورش دیگران کاوش کنید.</v>
      </c>
      <c r="H3518" s="1"/>
      <c r="I3518" s="1"/>
      <c r="J3518" s="1"/>
      <c r="K3518" s="1"/>
      <c r="L3518" s="1"/>
      <c r="M3518" s="1"/>
      <c r="N3518" s="1"/>
      <c r="O3518" s="1"/>
      <c r="P3518" s="1"/>
      <c r="Q3518" s="1"/>
      <c r="R3518" s="1"/>
      <c r="S3518" s="1"/>
      <c r="T3518" s="1"/>
      <c r="U3518" s="1"/>
      <c r="V3518" s="1"/>
      <c r="W3518" s="1"/>
      <c r="X3518" s="1"/>
      <c r="Y3518" s="1"/>
      <c r="Z3518" s="1"/>
      <c r="AA3518" s="1"/>
      <c r="AB3518" s="1"/>
    </row>
    <row r="3519" ht="50.25" customHeight="1">
      <c r="A3519" s="12">
        <v>3515.0</v>
      </c>
      <c r="B3519" s="13" t="s">
        <v>3427</v>
      </c>
      <c r="C3519" s="14" t="s">
        <v>3536</v>
      </c>
      <c r="D3519" s="1"/>
      <c r="E3519" s="1"/>
      <c r="F3519" s="1" t="str">
        <f>IFERROR(__xludf.DUMMYFUNCTION("GOOGLETRANSLATE(B3519, ""en"", ""fa"")
"),"تمرینات ذهن آگاهی و مدیتیشن")</f>
        <v>تمرینات ذهن آگاهی و مدیتیشن</v>
      </c>
      <c r="G3519" s="1" t="str">
        <f>IFERROR(__xludf.DUMMYFUNCTION("GOOGLETRANSLATE(C3519, ""en"", ""fa"")
"),"در مورد مزایای تمرین ذهن آگاهی در توسعه تاب آوری و مهارت های مقابله ای بحث کنید.")</f>
        <v>در مورد مزایای تمرین ذهن آگاهی در توسعه تاب آوری و مهارت های مقابله ای بحث کنید.</v>
      </c>
      <c r="H3519" s="1"/>
      <c r="I3519" s="1"/>
      <c r="J3519" s="1"/>
      <c r="K3519" s="1"/>
      <c r="L3519" s="1"/>
      <c r="M3519" s="1"/>
      <c r="N3519" s="1"/>
      <c r="O3519" s="1"/>
      <c r="P3519" s="1"/>
      <c r="Q3519" s="1"/>
      <c r="R3519" s="1"/>
      <c r="S3519" s="1"/>
      <c r="T3519" s="1"/>
      <c r="U3519" s="1"/>
      <c r="V3519" s="1"/>
      <c r="W3519" s="1"/>
      <c r="X3519" s="1"/>
      <c r="Y3519" s="1"/>
      <c r="Z3519" s="1"/>
      <c r="AA3519" s="1"/>
      <c r="AB3519" s="1"/>
    </row>
    <row r="3520" ht="50.25" customHeight="1">
      <c r="A3520" s="12">
        <v>3516.0</v>
      </c>
      <c r="B3520" s="13" t="s">
        <v>3427</v>
      </c>
      <c r="C3520" s="14" t="s">
        <v>3537</v>
      </c>
      <c r="D3520" s="1"/>
      <c r="E3520" s="1"/>
      <c r="F3520" s="1" t="str">
        <f>IFERROR(__xludf.DUMMYFUNCTION("GOOGLETRANSLATE(B3520, ""en"", ""fa"")
"),"تمرینات ذهن آگاهی و مدیتیشن")</f>
        <v>تمرینات ذهن آگاهی و مدیتیشن</v>
      </c>
      <c r="G3520" s="1" t="str">
        <f>IFERROR(__xludf.DUMMYFUNCTION("GOOGLETRANSLATE(C3520, ""en"", ""fa"")
"),"نکاتی را برای گنجاندن تمرکز حواس در تهیه وعده غذایی و لذت بردن از تجربیات غذایی آگاهانه به اشتراک بگذارید.")</f>
        <v>نکاتی را برای گنجاندن تمرکز حواس در تهیه وعده غذایی و لذت بردن از تجربیات غذایی آگاهانه به اشتراک بگذارید.</v>
      </c>
      <c r="H3520" s="1"/>
      <c r="I3520" s="1"/>
      <c r="J3520" s="1"/>
      <c r="K3520" s="1"/>
      <c r="L3520" s="1"/>
      <c r="M3520" s="1"/>
      <c r="N3520" s="1"/>
      <c r="O3520" s="1"/>
      <c r="P3520" s="1"/>
      <c r="Q3520" s="1"/>
      <c r="R3520" s="1"/>
      <c r="S3520" s="1"/>
      <c r="T3520" s="1"/>
      <c r="U3520" s="1"/>
      <c r="V3520" s="1"/>
      <c r="W3520" s="1"/>
      <c r="X3520" s="1"/>
      <c r="Y3520" s="1"/>
      <c r="Z3520" s="1"/>
      <c r="AA3520" s="1"/>
      <c r="AB3520" s="1"/>
    </row>
    <row r="3521" ht="50.25" customHeight="1">
      <c r="A3521" s="12">
        <v>3517.0</v>
      </c>
      <c r="B3521" s="13" t="s">
        <v>3427</v>
      </c>
      <c r="C3521" s="14" t="s">
        <v>3538</v>
      </c>
      <c r="D3521" s="1"/>
      <c r="E3521" s="1"/>
      <c r="F3521" s="1" t="str">
        <f>IFERROR(__xludf.DUMMYFUNCTION("GOOGLETRANSLATE(B3521, ""en"", ""fa"")
"),"تمرینات ذهن آگاهی و مدیتیشن")</f>
        <v>تمرینات ذهن آگاهی و مدیتیشن</v>
      </c>
      <c r="G3521" s="1" t="str">
        <f>IFERROR(__xludf.DUMMYFUNCTION("GOOGLETRANSLATE(C3521, ""en"", ""fa"")
"),"ارتباط بین ذهن آگاهی و بهبود تنظیم عاطفی و رفاه را بررسی کنید.")</f>
        <v>ارتباط بین ذهن آگاهی و بهبود تنظیم عاطفی و رفاه را بررسی کنید.</v>
      </c>
      <c r="H3521" s="1"/>
      <c r="I3521" s="1"/>
      <c r="J3521" s="1"/>
      <c r="K3521" s="1"/>
      <c r="L3521" s="1"/>
      <c r="M3521" s="1"/>
      <c r="N3521" s="1"/>
      <c r="O3521" s="1"/>
      <c r="P3521" s="1"/>
      <c r="Q3521" s="1"/>
      <c r="R3521" s="1"/>
      <c r="S3521" s="1"/>
      <c r="T3521" s="1"/>
      <c r="U3521" s="1"/>
      <c r="V3521" s="1"/>
      <c r="W3521" s="1"/>
      <c r="X3521" s="1"/>
      <c r="Y3521" s="1"/>
      <c r="Z3521" s="1"/>
      <c r="AA3521" s="1"/>
      <c r="AB3521" s="1"/>
    </row>
    <row r="3522" ht="50.25" customHeight="1">
      <c r="A3522" s="12">
        <v>3518.0</v>
      </c>
      <c r="B3522" s="13" t="s">
        <v>3427</v>
      </c>
      <c r="C3522" s="14" t="s">
        <v>3539</v>
      </c>
      <c r="D3522" s="1"/>
      <c r="E3522" s="1"/>
      <c r="F3522" s="1" t="str">
        <f>IFERROR(__xludf.DUMMYFUNCTION("GOOGLETRANSLATE(B3522, ""en"", ""fa"")
"),"تمرینات ذهن آگاهی و مدیتیشن")</f>
        <v>تمرینات ذهن آگاهی و مدیتیشن</v>
      </c>
      <c r="G3522" s="1" t="str">
        <f>IFERROR(__xludf.DUMMYFUNCTION("GOOGLETRANSLATE(C3522, ""en"", ""fa"")
"),"در مورد مزایای ذهن آگاهی در ترویج همدلی و شفقت نسبت به خود و دیگران بحث کنید.")</f>
        <v>در مورد مزایای ذهن آگاهی در ترویج همدلی و شفقت نسبت به خود و دیگران بحث کنید.</v>
      </c>
      <c r="H3522" s="1"/>
      <c r="I3522" s="1"/>
      <c r="J3522" s="1"/>
      <c r="K3522" s="1"/>
      <c r="L3522" s="1"/>
      <c r="M3522" s="1"/>
      <c r="N3522" s="1"/>
      <c r="O3522" s="1"/>
      <c r="P3522" s="1"/>
      <c r="Q3522" s="1"/>
      <c r="R3522" s="1"/>
      <c r="S3522" s="1"/>
      <c r="T3522" s="1"/>
      <c r="U3522" s="1"/>
      <c r="V3522" s="1"/>
      <c r="W3522" s="1"/>
      <c r="X3522" s="1"/>
      <c r="Y3522" s="1"/>
      <c r="Z3522" s="1"/>
      <c r="AA3522" s="1"/>
      <c r="AB3522" s="1"/>
    </row>
    <row r="3523" ht="50.25" customHeight="1">
      <c r="A3523" s="12">
        <v>3519.0</v>
      </c>
      <c r="B3523" s="13" t="s">
        <v>3427</v>
      </c>
      <c r="C3523" s="14" t="s">
        <v>3540</v>
      </c>
      <c r="D3523" s="1"/>
      <c r="E3523" s="1"/>
      <c r="F3523" s="1" t="str">
        <f>IFERROR(__xludf.DUMMYFUNCTION("GOOGLETRANSLATE(B3523, ""en"", ""fa"")
"),"تمرینات ذهن آگاهی و مدیتیشن")</f>
        <v>تمرینات ذهن آگاهی و مدیتیشن</v>
      </c>
      <c r="G3523" s="1" t="str">
        <f>IFERROR(__xludf.DUMMYFUNCTION("GOOGLETRANSLATE(C3523, ""en"", ""fa"")
"),"تکنیک‌های تمرین تمرکز حواس را در زمان‌های غرق شدن یا اضافه بار اطلاعات به اشتراک بگذارید.")</f>
        <v>تکنیک‌های تمرین تمرکز حواس را در زمان‌های غرق شدن یا اضافه بار اطلاعات به اشتراک بگذارید.</v>
      </c>
      <c r="H3523" s="1"/>
      <c r="I3523" s="1"/>
      <c r="J3523" s="1"/>
      <c r="K3523" s="1"/>
      <c r="L3523" s="1"/>
      <c r="M3523" s="1"/>
      <c r="N3523" s="1"/>
      <c r="O3523" s="1"/>
      <c r="P3523" s="1"/>
      <c r="Q3523" s="1"/>
      <c r="R3523" s="1"/>
      <c r="S3523" s="1"/>
      <c r="T3523" s="1"/>
      <c r="U3523" s="1"/>
      <c r="V3523" s="1"/>
      <c r="W3523" s="1"/>
      <c r="X3523" s="1"/>
      <c r="Y3523" s="1"/>
      <c r="Z3523" s="1"/>
      <c r="AA3523" s="1"/>
      <c r="AB3523" s="1"/>
    </row>
    <row r="3524" ht="50.25" customHeight="1">
      <c r="A3524" s="12">
        <v>3520.0</v>
      </c>
      <c r="B3524" s="13" t="s">
        <v>3427</v>
      </c>
      <c r="C3524" s="14" t="s">
        <v>3541</v>
      </c>
      <c r="D3524" s="1"/>
      <c r="E3524" s="1"/>
      <c r="F3524" s="1" t="str">
        <f>IFERROR(__xludf.DUMMYFUNCTION("GOOGLETRANSLATE(B3524, ""en"", ""fa"")
"),"تمرینات ذهن آگاهی و مدیتیشن")</f>
        <v>تمرینات ذهن آگاهی و مدیتیشن</v>
      </c>
      <c r="G3524" s="1" t="str">
        <f>IFERROR(__xludf.DUMMYFUNCTION("GOOGLETRANSLATE(C3524, ""en"", ""fa"")
"),"شیوه های مختلف ذهن آگاهی را برای ارتقای آگاهی بدن و تمرین تجسم کاوش کنید.")</f>
        <v>شیوه های مختلف ذهن آگاهی را برای ارتقای آگاهی بدن و تمرین تجسم کاوش کنید.</v>
      </c>
      <c r="H3524" s="1"/>
      <c r="I3524" s="1"/>
      <c r="J3524" s="1"/>
      <c r="K3524" s="1"/>
      <c r="L3524" s="1"/>
      <c r="M3524" s="1"/>
      <c r="N3524" s="1"/>
      <c r="O3524" s="1"/>
      <c r="P3524" s="1"/>
      <c r="Q3524" s="1"/>
      <c r="R3524" s="1"/>
      <c r="S3524" s="1"/>
      <c r="T3524" s="1"/>
      <c r="U3524" s="1"/>
      <c r="V3524" s="1"/>
      <c r="W3524" s="1"/>
      <c r="X3524" s="1"/>
      <c r="Y3524" s="1"/>
      <c r="Z3524" s="1"/>
      <c r="AA3524" s="1"/>
      <c r="AB3524" s="1"/>
    </row>
    <row r="3525" ht="50.25" customHeight="1">
      <c r="A3525" s="12">
        <v>3521.0</v>
      </c>
      <c r="B3525" s="13" t="s">
        <v>3427</v>
      </c>
      <c r="C3525" s="14" t="s">
        <v>3542</v>
      </c>
      <c r="D3525" s="1"/>
      <c r="E3525" s="1"/>
      <c r="F3525" s="1" t="str">
        <f>IFERROR(__xludf.DUMMYFUNCTION("GOOGLETRANSLATE(B3525, ""en"", ""fa"")
"),"تمرینات ذهن آگاهی و مدیتیشن")</f>
        <v>تمرینات ذهن آگاهی و مدیتیشن</v>
      </c>
      <c r="G3525" s="1" t="str">
        <f>IFERROR(__xludf.DUMMYFUNCTION("GOOGLETRANSLATE(C3525, ""en"", ""fa"")
"),"در مورد مزایای ترکیب ذهن آگاهی در تیم سازی و تقویت همکاری بحث کنید.")</f>
        <v>در مورد مزایای ترکیب ذهن آگاهی در تیم سازی و تقویت همکاری بحث کنید.</v>
      </c>
      <c r="H3525" s="1"/>
      <c r="I3525" s="1"/>
      <c r="J3525" s="1"/>
      <c r="K3525" s="1"/>
      <c r="L3525" s="1"/>
      <c r="M3525" s="1"/>
      <c r="N3525" s="1"/>
      <c r="O3525" s="1"/>
      <c r="P3525" s="1"/>
      <c r="Q3525" s="1"/>
      <c r="R3525" s="1"/>
      <c r="S3525" s="1"/>
      <c r="T3525" s="1"/>
      <c r="U3525" s="1"/>
      <c r="V3525" s="1"/>
      <c r="W3525" s="1"/>
      <c r="X3525" s="1"/>
      <c r="Y3525" s="1"/>
      <c r="Z3525" s="1"/>
      <c r="AA3525" s="1"/>
      <c r="AB3525" s="1"/>
    </row>
    <row r="3526" ht="50.25" customHeight="1">
      <c r="A3526" s="12">
        <v>3522.0</v>
      </c>
      <c r="B3526" s="13" t="s">
        <v>3427</v>
      </c>
      <c r="C3526" s="14" t="s">
        <v>3543</v>
      </c>
      <c r="D3526" s="1"/>
      <c r="E3526" s="1"/>
      <c r="F3526" s="1" t="str">
        <f>IFERROR(__xludf.DUMMYFUNCTION("GOOGLETRANSLATE(B3526, ""en"", ""fa"")
"),"تمرینات ذهن آگاهی و مدیتیشن")</f>
        <v>تمرینات ذهن آگاهی و مدیتیشن</v>
      </c>
      <c r="G3526" s="1" t="str">
        <f>IFERROR(__xludf.DUMMYFUNCTION("GOOGLETRANSLATE(C3526, ""en"", ""fa"")
"),"نکاتی را برای تمرین تمرکز حواس در لحظات کسالت یا انتظار به اشتراک بگذارید.")</f>
        <v>نکاتی را برای تمرین تمرکز حواس در لحظات کسالت یا انتظار به اشتراک بگذارید.</v>
      </c>
      <c r="H3526" s="1"/>
      <c r="I3526" s="1"/>
      <c r="J3526" s="1"/>
      <c r="K3526" s="1"/>
      <c r="L3526" s="1"/>
      <c r="M3526" s="1"/>
      <c r="N3526" s="1"/>
      <c r="O3526" s="1"/>
      <c r="P3526" s="1"/>
      <c r="Q3526" s="1"/>
      <c r="R3526" s="1"/>
      <c r="S3526" s="1"/>
      <c r="T3526" s="1"/>
      <c r="U3526" s="1"/>
      <c r="V3526" s="1"/>
      <c r="W3526" s="1"/>
      <c r="X3526" s="1"/>
      <c r="Y3526" s="1"/>
      <c r="Z3526" s="1"/>
      <c r="AA3526" s="1"/>
      <c r="AB3526" s="1"/>
    </row>
    <row r="3527" ht="50.25" customHeight="1">
      <c r="A3527" s="12">
        <v>3523.0</v>
      </c>
      <c r="B3527" s="13" t="s">
        <v>3427</v>
      </c>
      <c r="C3527" s="14" t="s">
        <v>3544</v>
      </c>
      <c r="D3527" s="1"/>
      <c r="E3527" s="1"/>
      <c r="F3527" s="1" t="str">
        <f>IFERROR(__xludf.DUMMYFUNCTION("GOOGLETRANSLATE(B3527, ""en"", ""fa"")
"),"تمرینات ذهن آگاهی و مدیتیشن")</f>
        <v>تمرینات ذهن آگاهی و مدیتیشن</v>
      </c>
      <c r="G3527" s="1" t="str">
        <f>IFERROR(__xludf.DUMMYFUNCTION("GOOGLETRANSLATE(C3527, ""en"", ""fa"")
"),"نقش ذهن آگاهی را در مدیریت و کاهش علائم فوبیا یا اختلالات اضطرابی بررسی کنید.")</f>
        <v>نقش ذهن آگاهی را در مدیریت و کاهش علائم فوبیا یا اختلالات اضطرابی بررسی کنید.</v>
      </c>
      <c r="H3527" s="1"/>
      <c r="I3527" s="1"/>
      <c r="J3527" s="1"/>
      <c r="K3527" s="1"/>
      <c r="L3527" s="1"/>
      <c r="M3527" s="1"/>
      <c r="N3527" s="1"/>
      <c r="O3527" s="1"/>
      <c r="P3527" s="1"/>
      <c r="Q3527" s="1"/>
      <c r="R3527" s="1"/>
      <c r="S3527" s="1"/>
      <c r="T3527" s="1"/>
      <c r="U3527" s="1"/>
      <c r="V3527" s="1"/>
      <c r="W3527" s="1"/>
      <c r="X3527" s="1"/>
      <c r="Y3527" s="1"/>
      <c r="Z3527" s="1"/>
      <c r="AA3527" s="1"/>
      <c r="AB3527" s="1"/>
    </row>
    <row r="3528" ht="50.25" customHeight="1">
      <c r="A3528" s="12">
        <v>3524.0</v>
      </c>
      <c r="B3528" s="13" t="s">
        <v>3427</v>
      </c>
      <c r="C3528" s="14" t="s">
        <v>3545</v>
      </c>
      <c r="D3528" s="1"/>
      <c r="E3528" s="1"/>
      <c r="F3528" s="1" t="str">
        <f>IFERROR(__xludf.DUMMYFUNCTION("GOOGLETRANSLATE(B3528, ""en"", ""fa"")
"),"تمرینات ذهن آگاهی و مدیتیشن")</f>
        <v>تمرینات ذهن آگاهی و مدیتیشن</v>
      </c>
      <c r="G3528" s="1" t="str">
        <f>IFERROR(__xludf.DUMMYFUNCTION("GOOGLETRANSLATE(C3528, ""en"", ""fa"")
"),"در مورد مزایای ذهن آگاهی در افزایش خلاقیت و تفکر نوآورانه بحث کنید.")</f>
        <v>در مورد مزایای ذهن آگاهی در افزایش خلاقیت و تفکر نوآورانه بحث کنید.</v>
      </c>
      <c r="H3528" s="1"/>
      <c r="I3528" s="1"/>
      <c r="J3528" s="1"/>
      <c r="K3528" s="1"/>
      <c r="L3528" s="1"/>
      <c r="M3528" s="1"/>
      <c r="N3528" s="1"/>
      <c r="O3528" s="1"/>
      <c r="P3528" s="1"/>
      <c r="Q3528" s="1"/>
      <c r="R3528" s="1"/>
      <c r="S3528" s="1"/>
      <c r="T3528" s="1"/>
      <c r="U3528" s="1"/>
      <c r="V3528" s="1"/>
      <c r="W3528" s="1"/>
      <c r="X3528" s="1"/>
      <c r="Y3528" s="1"/>
      <c r="Z3528" s="1"/>
      <c r="AA3528" s="1"/>
      <c r="AB3528" s="1"/>
    </row>
    <row r="3529" ht="50.25" customHeight="1">
      <c r="A3529" s="12">
        <v>3525.0</v>
      </c>
      <c r="B3529" s="13" t="s">
        <v>3427</v>
      </c>
      <c r="C3529" s="14" t="s">
        <v>3546</v>
      </c>
      <c r="D3529" s="1"/>
      <c r="E3529" s="1"/>
      <c r="F3529" s="1" t="str">
        <f>IFERROR(__xludf.DUMMYFUNCTION("GOOGLETRANSLATE(B3529, ""en"", ""fa"")
"),"تمرینات ذهن آگاهی و مدیتیشن")</f>
        <v>تمرینات ذهن آگاهی و مدیتیشن</v>
      </c>
      <c r="G3529" s="1" t="str">
        <f>IFERROR(__xludf.DUMMYFUNCTION("GOOGLETRANSLATE(C3529, ""en"", ""fa"")
"),"تکنیک‌هایی را برای گنجاندن ذهن آگاهی در استفاده روزانه از فناوری برای رفاه دیجیتال به اشتراک بگذارید.")</f>
        <v>تکنیک‌هایی را برای گنجاندن ذهن آگاهی در استفاده روزانه از فناوری برای رفاه دیجیتال به اشتراک بگذارید.</v>
      </c>
      <c r="H3529" s="1"/>
      <c r="I3529" s="1"/>
      <c r="J3529" s="1"/>
      <c r="K3529" s="1"/>
      <c r="L3529" s="1"/>
      <c r="M3529" s="1"/>
      <c r="N3529" s="1"/>
      <c r="O3529" s="1"/>
      <c r="P3529" s="1"/>
      <c r="Q3529" s="1"/>
      <c r="R3529" s="1"/>
      <c r="S3529" s="1"/>
      <c r="T3529" s="1"/>
      <c r="U3529" s="1"/>
      <c r="V3529" s="1"/>
      <c r="W3529" s="1"/>
      <c r="X3529" s="1"/>
      <c r="Y3529" s="1"/>
      <c r="Z3529" s="1"/>
      <c r="AA3529" s="1"/>
      <c r="AB3529" s="1"/>
    </row>
    <row r="3530" ht="50.25" customHeight="1">
      <c r="A3530" s="12">
        <v>3526.0</v>
      </c>
      <c r="B3530" s="13" t="s">
        <v>3427</v>
      </c>
      <c r="C3530" s="14" t="s">
        <v>3547</v>
      </c>
      <c r="D3530" s="1"/>
      <c r="E3530" s="1"/>
      <c r="F3530" s="1" t="str">
        <f>IFERROR(__xludf.DUMMYFUNCTION("GOOGLETRANSLATE(B3530, ""en"", ""fa"")
"),"تمرینات ذهن آگاهی و مدیتیشن")</f>
        <v>تمرینات ذهن آگاهی و مدیتیشن</v>
      </c>
      <c r="G3530" s="1" t="str">
        <f>IFERROR(__xludf.DUMMYFUNCTION("GOOGLETRANSLATE(C3530, ""en"", ""fa"")
"),"شیوه های مختلف مدیتیشن را برای پرورش تمرکز حواس در سخنرانی ها یا سخنرانی های عمومی کاوش کنید.")</f>
        <v>شیوه های مختلف مدیتیشن را برای پرورش تمرکز حواس در سخنرانی ها یا سخنرانی های عمومی کاوش کنید.</v>
      </c>
      <c r="H3530" s="1"/>
      <c r="I3530" s="1"/>
      <c r="J3530" s="1"/>
      <c r="K3530" s="1"/>
      <c r="L3530" s="1"/>
      <c r="M3530" s="1"/>
      <c r="N3530" s="1"/>
      <c r="O3530" s="1"/>
      <c r="P3530" s="1"/>
      <c r="Q3530" s="1"/>
      <c r="R3530" s="1"/>
      <c r="S3530" s="1"/>
      <c r="T3530" s="1"/>
      <c r="U3530" s="1"/>
      <c r="V3530" s="1"/>
      <c r="W3530" s="1"/>
      <c r="X3530" s="1"/>
      <c r="Y3530" s="1"/>
      <c r="Z3530" s="1"/>
      <c r="AA3530" s="1"/>
      <c r="AB3530" s="1"/>
    </row>
    <row r="3531" ht="50.25" customHeight="1">
      <c r="A3531" s="12">
        <v>3527.0</v>
      </c>
      <c r="B3531" s="13" t="s">
        <v>3427</v>
      </c>
      <c r="C3531" s="14" t="s">
        <v>3548</v>
      </c>
      <c r="D3531" s="1"/>
      <c r="E3531" s="1"/>
      <c r="F3531" s="1" t="str">
        <f>IFERROR(__xludf.DUMMYFUNCTION("GOOGLETRANSLATE(B3531, ""en"", ""fa"")
"),"تمرینات ذهن آگاهی و مدیتیشن")</f>
        <v>تمرینات ذهن آگاهی و مدیتیشن</v>
      </c>
      <c r="G3531" s="1" t="str">
        <f>IFERROR(__xludf.DUMMYFUNCTION("GOOGLETRANSLATE(C3531, ""en"", ""fa"")
"),"در مورد مزایای تمرین ذهن آگاهی در مدیریت و کاهش علائم خستگی مزمن بحث کنید.")</f>
        <v>در مورد مزایای تمرین ذهن آگاهی در مدیریت و کاهش علائم خستگی مزمن بحث کنید.</v>
      </c>
      <c r="H3531" s="1"/>
      <c r="I3531" s="1"/>
      <c r="J3531" s="1"/>
      <c r="K3531" s="1"/>
      <c r="L3531" s="1"/>
      <c r="M3531" s="1"/>
      <c r="N3531" s="1"/>
      <c r="O3531" s="1"/>
      <c r="P3531" s="1"/>
      <c r="Q3531" s="1"/>
      <c r="R3531" s="1"/>
      <c r="S3531" s="1"/>
      <c r="T3531" s="1"/>
      <c r="U3531" s="1"/>
      <c r="V3531" s="1"/>
      <c r="W3531" s="1"/>
      <c r="X3531" s="1"/>
      <c r="Y3531" s="1"/>
      <c r="Z3531" s="1"/>
      <c r="AA3531" s="1"/>
      <c r="AB3531" s="1"/>
    </row>
    <row r="3532" ht="50.25" customHeight="1">
      <c r="A3532" s="12">
        <v>3528.0</v>
      </c>
      <c r="B3532" s="13" t="s">
        <v>3427</v>
      </c>
      <c r="C3532" s="14" t="s">
        <v>3549</v>
      </c>
      <c r="D3532" s="1"/>
      <c r="E3532" s="1"/>
      <c r="F3532" s="1" t="str">
        <f>IFERROR(__xludf.DUMMYFUNCTION("GOOGLETRANSLATE(B3532, ""en"", ""fa"")
"),"تمرینات ذهن آگاهی و مدیتیشن")</f>
        <v>تمرینات ذهن آگاهی و مدیتیشن</v>
      </c>
      <c r="G3532" s="1" t="str">
        <f>IFERROR(__xludf.DUMMYFUNCTION("GOOGLETRANSLATE(C3532, ""en"", ""fa"")
"),"نکاتی را برای تمرین تمرکز حواس در شب به اشتراک بگذارید تا خواب آرام و آرامش را تقویت کنید.")</f>
        <v>نکاتی را برای تمرین تمرکز حواس در شب به اشتراک بگذارید تا خواب آرام و آرامش را تقویت کنید.</v>
      </c>
      <c r="H3532" s="1"/>
      <c r="I3532" s="1"/>
      <c r="J3532" s="1"/>
      <c r="K3532" s="1"/>
      <c r="L3532" s="1"/>
      <c r="M3532" s="1"/>
      <c r="N3532" s="1"/>
      <c r="O3532" s="1"/>
      <c r="P3532" s="1"/>
      <c r="Q3532" s="1"/>
      <c r="R3532" s="1"/>
      <c r="S3532" s="1"/>
      <c r="T3532" s="1"/>
      <c r="U3532" s="1"/>
      <c r="V3532" s="1"/>
      <c r="W3532" s="1"/>
      <c r="X3532" s="1"/>
      <c r="Y3532" s="1"/>
      <c r="Z3532" s="1"/>
      <c r="AA3532" s="1"/>
      <c r="AB3532" s="1"/>
    </row>
    <row r="3533" ht="50.25" customHeight="1">
      <c r="A3533" s="12">
        <v>3529.0</v>
      </c>
      <c r="B3533" s="13" t="s">
        <v>3427</v>
      </c>
      <c r="C3533" s="14" t="s">
        <v>3550</v>
      </c>
      <c r="D3533" s="1"/>
      <c r="E3533" s="1"/>
      <c r="F3533" s="1" t="str">
        <f>IFERROR(__xludf.DUMMYFUNCTION("GOOGLETRANSLATE(B3533, ""en"", ""fa"")
"),"تمرینات ذهن آگاهی و مدیتیشن")</f>
        <v>تمرینات ذهن آگاهی و مدیتیشن</v>
      </c>
      <c r="G3533" s="1" t="str">
        <f>IFERROR(__xludf.DUMMYFUNCTION("GOOGLETRANSLATE(C3533, ""en"", ""fa"")
"),"ارتباط بین ذهن آگاهی و بهبود تصویر بدن و عزت نفس را بررسی کنید.")</f>
        <v>ارتباط بین ذهن آگاهی و بهبود تصویر بدن و عزت نفس را بررسی کنید.</v>
      </c>
      <c r="H3533" s="1"/>
      <c r="I3533" s="1"/>
      <c r="J3533" s="1"/>
      <c r="K3533" s="1"/>
      <c r="L3533" s="1"/>
      <c r="M3533" s="1"/>
      <c r="N3533" s="1"/>
      <c r="O3533" s="1"/>
      <c r="P3533" s="1"/>
      <c r="Q3533" s="1"/>
      <c r="R3533" s="1"/>
      <c r="S3533" s="1"/>
      <c r="T3533" s="1"/>
      <c r="U3533" s="1"/>
      <c r="V3533" s="1"/>
      <c r="W3533" s="1"/>
      <c r="X3533" s="1"/>
      <c r="Y3533" s="1"/>
      <c r="Z3533" s="1"/>
      <c r="AA3533" s="1"/>
      <c r="AB3533" s="1"/>
    </row>
    <row r="3534" ht="50.25" customHeight="1">
      <c r="A3534" s="12">
        <v>3530.0</v>
      </c>
      <c r="B3534" s="13" t="s">
        <v>3427</v>
      </c>
      <c r="C3534" s="14" t="s">
        <v>3551</v>
      </c>
      <c r="D3534" s="1"/>
      <c r="E3534" s="1"/>
      <c r="F3534" s="1" t="str">
        <f>IFERROR(__xludf.DUMMYFUNCTION("GOOGLETRANSLATE(B3534, ""en"", ""fa"")
"),"تمرینات ذهن آگاهی و مدیتیشن")</f>
        <v>تمرینات ذهن آگاهی و مدیتیشن</v>
      </c>
      <c r="G3534" s="1" t="str">
        <f>IFERROR(__xludf.DUMMYFUNCTION("GOOGLETRANSLATE(C3534, ""en"", ""fa"")
"),"در مورد مزایای گنجاندن ذهن آگاهی در برنامه های بهبودی و حمایت از اعتیاد بحث کنید.")</f>
        <v>در مورد مزایای گنجاندن ذهن آگاهی در برنامه های بهبودی و حمایت از اعتیاد بحث کنید.</v>
      </c>
      <c r="H3534" s="1"/>
      <c r="I3534" s="1"/>
      <c r="J3534" s="1"/>
      <c r="K3534" s="1"/>
      <c r="L3534" s="1"/>
      <c r="M3534" s="1"/>
      <c r="N3534" s="1"/>
      <c r="O3534" s="1"/>
      <c r="P3534" s="1"/>
      <c r="Q3534" s="1"/>
      <c r="R3534" s="1"/>
      <c r="S3534" s="1"/>
      <c r="T3534" s="1"/>
      <c r="U3534" s="1"/>
      <c r="V3534" s="1"/>
      <c r="W3534" s="1"/>
      <c r="X3534" s="1"/>
      <c r="Y3534" s="1"/>
      <c r="Z3534" s="1"/>
      <c r="AA3534" s="1"/>
      <c r="AB3534" s="1"/>
    </row>
    <row r="3535" ht="50.25" customHeight="1">
      <c r="A3535" s="12">
        <v>3531.0</v>
      </c>
      <c r="B3535" s="13" t="s">
        <v>3427</v>
      </c>
      <c r="C3535" s="14" t="s">
        <v>3552</v>
      </c>
      <c r="D3535" s="1"/>
      <c r="E3535" s="1"/>
      <c r="F3535" s="1" t="str">
        <f>IFERROR(__xludf.DUMMYFUNCTION("GOOGLETRANSLATE(B3535, ""en"", ""fa"")
"),"تمرینات ذهن آگاهی و مدیتیشن")</f>
        <v>تمرینات ذهن آگاهی و مدیتیشن</v>
      </c>
      <c r="G3535" s="1" t="str">
        <f>IFERROR(__xludf.DUMMYFUNCTION("GOOGLETRANSLATE(C3535, ""en"", ""fa"")
"),"تکنیک های تمرین ذهن آگاهی را در لحظات وسوسه یا هوس به اشتراک بگذارید.")</f>
        <v>تکنیک های تمرین ذهن آگاهی را در لحظات وسوسه یا هوس به اشتراک بگذارید.</v>
      </c>
      <c r="H3535" s="1"/>
      <c r="I3535" s="1"/>
      <c r="J3535" s="1"/>
      <c r="K3535" s="1"/>
      <c r="L3535" s="1"/>
      <c r="M3535" s="1"/>
      <c r="N3535" s="1"/>
      <c r="O3535" s="1"/>
      <c r="P3535" s="1"/>
      <c r="Q3535" s="1"/>
      <c r="R3535" s="1"/>
      <c r="S3535" s="1"/>
      <c r="T3535" s="1"/>
      <c r="U3535" s="1"/>
      <c r="V3535" s="1"/>
      <c r="W3535" s="1"/>
      <c r="X3535" s="1"/>
      <c r="Y3535" s="1"/>
      <c r="Z3535" s="1"/>
      <c r="AA3535" s="1"/>
      <c r="AB3535" s="1"/>
    </row>
    <row r="3536" ht="50.25" customHeight="1">
      <c r="A3536" s="12">
        <v>3532.0</v>
      </c>
      <c r="B3536" s="13" t="s">
        <v>3427</v>
      </c>
      <c r="C3536" s="14" t="s">
        <v>3553</v>
      </c>
      <c r="D3536" s="1"/>
      <c r="E3536" s="1"/>
      <c r="F3536" s="1" t="str">
        <f>IFERROR(__xludf.DUMMYFUNCTION("GOOGLETRANSLATE(B3536, ""en"", ""fa"")
"),"تمرینات ذهن آگاهی و مدیتیشن")</f>
        <v>تمرینات ذهن آگاهی و مدیتیشن</v>
      </c>
      <c r="G3536" s="1" t="str">
        <f>IFERROR(__xludf.DUMMYFUNCTION("GOOGLETRANSLATE(C3536, ""en"", ""fa"")
"),"در مورد مزایای تمرکز حواس در ارتقاء حس به هم پیوستگی و آگاهی جهانی بحث کنید.")</f>
        <v>در مورد مزایای تمرکز حواس در ارتقاء حس به هم پیوستگی و آگاهی جهانی بحث کنید.</v>
      </c>
      <c r="H3536" s="1"/>
      <c r="I3536" s="1"/>
      <c r="J3536" s="1"/>
      <c r="K3536" s="1"/>
      <c r="L3536" s="1"/>
      <c r="M3536" s="1"/>
      <c r="N3536" s="1"/>
      <c r="O3536" s="1"/>
      <c r="P3536" s="1"/>
      <c r="Q3536" s="1"/>
      <c r="R3536" s="1"/>
      <c r="S3536" s="1"/>
      <c r="T3536" s="1"/>
      <c r="U3536" s="1"/>
      <c r="V3536" s="1"/>
      <c r="W3536" s="1"/>
      <c r="X3536" s="1"/>
      <c r="Y3536" s="1"/>
      <c r="Z3536" s="1"/>
      <c r="AA3536" s="1"/>
      <c r="AB3536" s="1"/>
    </row>
    <row r="3537" ht="50.25" customHeight="1">
      <c r="A3537" s="12">
        <v>3533.0</v>
      </c>
      <c r="B3537" s="13" t="s">
        <v>3427</v>
      </c>
      <c r="C3537" s="14" t="s">
        <v>3554</v>
      </c>
      <c r="D3537" s="1"/>
      <c r="E3537" s="1"/>
      <c r="F3537" s="1" t="str">
        <f>IFERROR(__xludf.DUMMYFUNCTION("GOOGLETRANSLATE(B3537, ""en"", ""fa"")
"),"تمرینات ذهن آگاهی و مدیتیشن")</f>
        <v>تمرینات ذهن آگاهی و مدیتیشن</v>
      </c>
      <c r="G3537" s="1" t="str">
        <f>IFERROR(__xludf.DUMMYFUNCTION("GOOGLETRANSLATE(C3537, ""en"", ""fa"")
"),"نکاتی را برای گنجاندن ذهن آگاهی در روال روزانه مطالعه یا مطالعه به اشتراک بگذارید.")</f>
        <v>نکاتی را برای گنجاندن ذهن آگاهی در روال روزانه مطالعه یا مطالعه به اشتراک بگذارید.</v>
      </c>
      <c r="H3537" s="1"/>
      <c r="I3537" s="1"/>
      <c r="J3537" s="1"/>
      <c r="K3537" s="1"/>
      <c r="L3537" s="1"/>
      <c r="M3537" s="1"/>
      <c r="N3537" s="1"/>
      <c r="O3537" s="1"/>
      <c r="P3537" s="1"/>
      <c r="Q3537" s="1"/>
      <c r="R3537" s="1"/>
      <c r="S3537" s="1"/>
      <c r="T3537" s="1"/>
      <c r="U3537" s="1"/>
      <c r="V3537" s="1"/>
      <c r="W3537" s="1"/>
      <c r="X3537" s="1"/>
      <c r="Y3537" s="1"/>
      <c r="Z3537" s="1"/>
      <c r="AA3537" s="1"/>
      <c r="AB3537" s="1"/>
    </row>
    <row r="3538" ht="50.25" customHeight="1">
      <c r="A3538" s="12">
        <v>3534.0</v>
      </c>
      <c r="B3538" s="13" t="s">
        <v>3427</v>
      </c>
      <c r="C3538" s="14" t="s">
        <v>3555</v>
      </c>
      <c r="D3538" s="1"/>
      <c r="E3538" s="1"/>
      <c r="F3538" s="1" t="str">
        <f>IFERROR(__xludf.DUMMYFUNCTION("GOOGLETRANSLATE(B3538, ""en"", ""fa"")
"),"تمرینات ذهن آگاهی و مدیتیشن")</f>
        <v>تمرینات ذهن آگاهی و مدیتیشن</v>
      </c>
      <c r="G3538" s="1" t="str">
        <f>IFERROR(__xludf.DUMMYFUNCTION("GOOGLETRANSLATE(C3538, ""en"", ""fa"")
"),"نقش ذهن آگاهی در مدیریت و کاهش علائم اضطراب اجتماعی را بررسی کنید.")</f>
        <v>نقش ذهن آگاهی در مدیریت و کاهش علائم اضطراب اجتماعی را بررسی کنید.</v>
      </c>
      <c r="H3538" s="1"/>
      <c r="I3538" s="1"/>
      <c r="J3538" s="1"/>
      <c r="K3538" s="1"/>
      <c r="L3538" s="1"/>
      <c r="M3538" s="1"/>
      <c r="N3538" s="1"/>
      <c r="O3538" s="1"/>
      <c r="P3538" s="1"/>
      <c r="Q3538" s="1"/>
      <c r="R3538" s="1"/>
      <c r="S3538" s="1"/>
      <c r="T3538" s="1"/>
      <c r="U3538" s="1"/>
      <c r="V3538" s="1"/>
      <c r="W3538" s="1"/>
      <c r="X3538" s="1"/>
      <c r="Y3538" s="1"/>
      <c r="Z3538" s="1"/>
      <c r="AA3538" s="1"/>
      <c r="AB3538" s="1"/>
    </row>
    <row r="3539" ht="50.25" customHeight="1">
      <c r="A3539" s="12">
        <v>3535.0</v>
      </c>
      <c r="B3539" s="13" t="s">
        <v>3427</v>
      </c>
      <c r="C3539" s="14" t="s">
        <v>3556</v>
      </c>
      <c r="D3539" s="1"/>
      <c r="E3539" s="1"/>
      <c r="F3539" s="1" t="str">
        <f>IFERROR(__xludf.DUMMYFUNCTION("GOOGLETRANSLATE(B3539, ""en"", ""fa"")
"),"تمرینات ذهن آگاهی و مدیتیشن")</f>
        <v>تمرینات ذهن آگاهی و مدیتیشن</v>
      </c>
      <c r="G3539" s="1" t="str">
        <f>IFERROR(__xludf.DUMMYFUNCTION("GOOGLETRANSLATE(C3539, ""en"", ""fa"")
"),"در مورد مزایای تمرین ذهن آگاهی در پرورش انعطاف پذیری در مواجهه با موانع یا چالش ها بحث کنید.")</f>
        <v>در مورد مزایای تمرین ذهن آگاهی در پرورش انعطاف پذیری در مواجهه با موانع یا چالش ها بحث کنید.</v>
      </c>
      <c r="H3539" s="1"/>
      <c r="I3539" s="1"/>
      <c r="J3539" s="1"/>
      <c r="K3539" s="1"/>
      <c r="L3539" s="1"/>
      <c r="M3539" s="1"/>
      <c r="N3539" s="1"/>
      <c r="O3539" s="1"/>
      <c r="P3539" s="1"/>
      <c r="Q3539" s="1"/>
      <c r="R3539" s="1"/>
      <c r="S3539" s="1"/>
      <c r="T3539" s="1"/>
      <c r="U3539" s="1"/>
      <c r="V3539" s="1"/>
      <c r="W3539" s="1"/>
      <c r="X3539" s="1"/>
      <c r="Y3539" s="1"/>
      <c r="Z3539" s="1"/>
      <c r="AA3539" s="1"/>
      <c r="AB3539" s="1"/>
    </row>
    <row r="3540" ht="50.25" customHeight="1">
      <c r="A3540" s="12">
        <v>3536.0</v>
      </c>
      <c r="B3540" s="13" t="s">
        <v>3427</v>
      </c>
      <c r="C3540" s="14" t="s">
        <v>3557</v>
      </c>
      <c r="D3540" s="1"/>
      <c r="E3540" s="1"/>
      <c r="F3540" s="1" t="str">
        <f>IFERROR(__xludf.DUMMYFUNCTION("GOOGLETRANSLATE(B3540, ""en"", ""fa"")
"),"تمرینات ذهن آگاهی و مدیتیشن")</f>
        <v>تمرینات ذهن آگاهی و مدیتیشن</v>
      </c>
      <c r="G3540" s="1" t="str">
        <f>IFERROR(__xludf.DUMMYFUNCTION("GOOGLETRANSLATE(C3540, ""en"", ""fa"")
"),"تکنیک‌های گنجاندن ذهن آگاهی را در تمرینات روزانه مبتنی بر ذهن آگاهی، مانند یوگا یا تای چی به اشتراک بگذارید.")</f>
        <v>تکنیک‌های گنجاندن ذهن آگاهی را در تمرینات روزانه مبتنی بر ذهن آگاهی، مانند یوگا یا تای چی به اشتراک بگذارید.</v>
      </c>
      <c r="H3540" s="1"/>
      <c r="I3540" s="1"/>
      <c r="J3540" s="1"/>
      <c r="K3540" s="1"/>
      <c r="L3540" s="1"/>
      <c r="M3540" s="1"/>
      <c r="N3540" s="1"/>
      <c r="O3540" s="1"/>
      <c r="P3540" s="1"/>
      <c r="Q3540" s="1"/>
      <c r="R3540" s="1"/>
      <c r="S3540" s="1"/>
      <c r="T3540" s="1"/>
      <c r="U3540" s="1"/>
      <c r="V3540" s="1"/>
      <c r="W3540" s="1"/>
      <c r="X3540" s="1"/>
      <c r="Y3540" s="1"/>
      <c r="Z3540" s="1"/>
      <c r="AA3540" s="1"/>
      <c r="AB3540" s="1"/>
    </row>
    <row r="3541" ht="50.25" customHeight="1">
      <c r="A3541" s="12">
        <v>3537.0</v>
      </c>
      <c r="B3541" s="13" t="s">
        <v>3427</v>
      </c>
      <c r="C3541" s="14" t="s">
        <v>3558</v>
      </c>
      <c r="D3541" s="1"/>
      <c r="E3541" s="1"/>
      <c r="F3541" s="1" t="str">
        <f>IFERROR(__xludf.DUMMYFUNCTION("GOOGLETRANSLATE(B3541, ""en"", ""fa"")
"),"تمرینات ذهن آگاهی و مدیتیشن")</f>
        <v>تمرینات ذهن آگاهی و مدیتیشن</v>
      </c>
      <c r="G3541" s="1" t="str">
        <f>IFERROR(__xludf.DUMMYFUNCTION("GOOGLETRANSLATE(C3541, ""en"", ""fa"")
"),"شیوه های مختلف مراقبه را برای پرورش ذهن آگاهی در تربیت و تقویت ارتباط با کودکان کاوش کنید.")</f>
        <v>شیوه های مختلف مراقبه را برای پرورش ذهن آگاهی در تربیت و تقویت ارتباط با کودکان کاوش کنید.</v>
      </c>
      <c r="H3541" s="1"/>
      <c r="I3541" s="1"/>
      <c r="J3541" s="1"/>
      <c r="K3541" s="1"/>
      <c r="L3541" s="1"/>
      <c r="M3541" s="1"/>
      <c r="N3541" s="1"/>
      <c r="O3541" s="1"/>
      <c r="P3541" s="1"/>
      <c r="Q3541" s="1"/>
      <c r="R3541" s="1"/>
      <c r="S3541" s="1"/>
      <c r="T3541" s="1"/>
      <c r="U3541" s="1"/>
      <c r="V3541" s="1"/>
      <c r="W3541" s="1"/>
      <c r="X3541" s="1"/>
      <c r="Y3541" s="1"/>
      <c r="Z3541" s="1"/>
      <c r="AA3541" s="1"/>
      <c r="AB3541" s="1"/>
    </row>
    <row r="3542" ht="50.25" customHeight="1">
      <c r="A3542" s="12">
        <v>3538.0</v>
      </c>
      <c r="B3542" s="13" t="s">
        <v>3427</v>
      </c>
      <c r="C3542" s="14" t="s">
        <v>3559</v>
      </c>
      <c r="D3542" s="1"/>
      <c r="E3542" s="1"/>
      <c r="F3542" s="1" t="str">
        <f>IFERROR(__xludf.DUMMYFUNCTION("GOOGLETRANSLATE(B3542, ""en"", ""fa"")
"),"تمرینات ذهن آگاهی و مدیتیشن")</f>
        <v>تمرینات ذهن آگاهی و مدیتیشن</v>
      </c>
      <c r="G3542" s="1" t="str">
        <f>IFERROR(__xludf.DUMMYFUNCTION("GOOGLETRANSLATE(C3542, ""en"", ""fa"")
"),"مفهوم «ذهن‌آگاهی» و نقش آن در کاهش استرس و ارتقای رفاه کلی را بررسی کنید.")</f>
        <v>مفهوم «ذهن‌آگاهی» و نقش آن در کاهش استرس و ارتقای رفاه کلی را بررسی کنید.</v>
      </c>
      <c r="H3542" s="1"/>
      <c r="I3542" s="1"/>
      <c r="J3542" s="1"/>
      <c r="K3542" s="1"/>
      <c r="L3542" s="1"/>
      <c r="M3542" s="1"/>
      <c r="N3542" s="1"/>
      <c r="O3542" s="1"/>
      <c r="P3542" s="1"/>
      <c r="Q3542" s="1"/>
      <c r="R3542" s="1"/>
      <c r="S3542" s="1"/>
      <c r="T3542" s="1"/>
      <c r="U3542" s="1"/>
      <c r="V3542" s="1"/>
      <c r="W3542" s="1"/>
      <c r="X3542" s="1"/>
      <c r="Y3542" s="1"/>
      <c r="Z3542" s="1"/>
      <c r="AA3542" s="1"/>
      <c r="AB3542" s="1"/>
    </row>
    <row r="3543" ht="50.25" customHeight="1">
      <c r="A3543" s="12">
        <v>3539.0</v>
      </c>
      <c r="B3543" s="13" t="s">
        <v>3427</v>
      </c>
      <c r="C3543" s="14" t="s">
        <v>3560</v>
      </c>
      <c r="D3543" s="1"/>
      <c r="E3543" s="1"/>
      <c r="F3543" s="1" t="str">
        <f>IFERROR(__xludf.DUMMYFUNCTION("GOOGLETRANSLATE(B3543, ""en"", ""fa"")
"),"تمرینات ذهن آگاهی و مدیتیشن")</f>
        <v>تمرینات ذهن آگاهی و مدیتیشن</v>
      </c>
      <c r="G3543" s="1" t="str">
        <f>IFERROR(__xludf.DUMMYFUNCTION("GOOGLETRANSLATE(C3543, ""en"", ""fa"")
"),"در مورد مزایای گنجاندن مدیتیشن در زندگی روزمره و اینکه چگونه می تواند وضوح ذهنی و تمرکز را افزایش دهد، بحث کنید.")</f>
        <v>در مورد مزایای گنجاندن مدیتیشن در زندگی روزمره و اینکه چگونه می تواند وضوح ذهنی و تمرکز را افزایش دهد، بحث کنید.</v>
      </c>
      <c r="H3543" s="1"/>
      <c r="I3543" s="1"/>
      <c r="J3543" s="1"/>
      <c r="K3543" s="1"/>
      <c r="L3543" s="1"/>
      <c r="M3543" s="1"/>
      <c r="N3543" s="1"/>
      <c r="O3543" s="1"/>
      <c r="P3543" s="1"/>
      <c r="Q3543" s="1"/>
      <c r="R3543" s="1"/>
      <c r="S3543" s="1"/>
      <c r="T3543" s="1"/>
      <c r="U3543" s="1"/>
      <c r="V3543" s="1"/>
      <c r="W3543" s="1"/>
      <c r="X3543" s="1"/>
      <c r="Y3543" s="1"/>
      <c r="Z3543" s="1"/>
      <c r="AA3543" s="1"/>
      <c r="AB3543" s="1"/>
    </row>
    <row r="3544" ht="50.25" customHeight="1">
      <c r="A3544" s="12">
        <v>3540.0</v>
      </c>
      <c r="B3544" s="13" t="s">
        <v>3427</v>
      </c>
      <c r="C3544" s="14" t="s">
        <v>3561</v>
      </c>
      <c r="D3544" s="1"/>
      <c r="E3544" s="1"/>
      <c r="F3544" s="1" t="str">
        <f>IFERROR(__xludf.DUMMYFUNCTION("GOOGLETRANSLATE(B3544, ""en"", ""fa"")
"),"تمرینات ذهن آگاهی و مدیتیشن")</f>
        <v>تمرینات ذهن آگاهی و مدیتیشن</v>
      </c>
      <c r="G3544" s="1" t="str">
        <f>IFERROR(__xludf.DUMMYFUNCTION("GOOGLETRANSLATE(C3544, ""en"", ""fa"")
"),"تکنیک های تمرکز حواس را برای پایه گذاری و تمرکز خود در لحظه حال به اشتراک بگذارید.")</f>
        <v>تکنیک های تمرکز حواس را برای پایه گذاری و تمرکز خود در لحظه حال به اشتراک بگذارید.</v>
      </c>
      <c r="H3544" s="1"/>
      <c r="I3544" s="1"/>
      <c r="J3544" s="1"/>
      <c r="K3544" s="1"/>
      <c r="L3544" s="1"/>
      <c r="M3544" s="1"/>
      <c r="N3544" s="1"/>
      <c r="O3544" s="1"/>
      <c r="P3544" s="1"/>
      <c r="Q3544" s="1"/>
      <c r="R3544" s="1"/>
      <c r="S3544" s="1"/>
      <c r="T3544" s="1"/>
      <c r="U3544" s="1"/>
      <c r="V3544" s="1"/>
      <c r="W3544" s="1"/>
      <c r="X3544" s="1"/>
      <c r="Y3544" s="1"/>
      <c r="Z3544" s="1"/>
      <c r="AA3544" s="1"/>
      <c r="AB3544" s="1"/>
    </row>
    <row r="3545" ht="50.25" customHeight="1">
      <c r="A3545" s="12">
        <v>3541.0</v>
      </c>
      <c r="B3545" s="13" t="s">
        <v>3427</v>
      </c>
      <c r="C3545" s="14" t="s">
        <v>3562</v>
      </c>
      <c r="D3545" s="1"/>
      <c r="E3545" s="1"/>
      <c r="F3545" s="1" t="str">
        <f>IFERROR(__xludf.DUMMYFUNCTION("GOOGLETRANSLATE(B3545, ""en"", ""fa"")
"),"تمرینات ذهن آگاهی و مدیتیشن")</f>
        <v>تمرینات ذهن آگاهی و مدیتیشن</v>
      </c>
      <c r="G3545" s="1" t="str">
        <f>IFERROR(__xludf.DUMMYFUNCTION("GOOGLETRANSLATE(C3545, ""en"", ""fa"")
"),"در مورد ارتباط بین ذهن آگاهی و هوش هیجانی و اینکه چگونه ذهن آگاهی می تواند از تنظیم هیجانی حمایت کند، فکر کنید.")</f>
        <v>در مورد ارتباط بین ذهن آگاهی و هوش هیجانی و اینکه چگونه ذهن آگاهی می تواند از تنظیم هیجانی حمایت کند، فکر کنید.</v>
      </c>
      <c r="H3545" s="1"/>
      <c r="I3545" s="1"/>
      <c r="J3545" s="1"/>
      <c r="K3545" s="1"/>
      <c r="L3545" s="1"/>
      <c r="M3545" s="1"/>
      <c r="N3545" s="1"/>
      <c r="O3545" s="1"/>
      <c r="P3545" s="1"/>
      <c r="Q3545" s="1"/>
      <c r="R3545" s="1"/>
      <c r="S3545" s="1"/>
      <c r="T3545" s="1"/>
      <c r="U3545" s="1"/>
      <c r="V3545" s="1"/>
      <c r="W3545" s="1"/>
      <c r="X3545" s="1"/>
      <c r="Y3545" s="1"/>
      <c r="Z3545" s="1"/>
      <c r="AA3545" s="1"/>
      <c r="AB3545" s="1"/>
    </row>
    <row r="3546" ht="50.25" customHeight="1">
      <c r="A3546" s="12">
        <v>3542.0</v>
      </c>
      <c r="B3546" s="13" t="s">
        <v>3427</v>
      </c>
      <c r="C3546" s="14" t="s">
        <v>3563</v>
      </c>
      <c r="D3546" s="1"/>
      <c r="E3546" s="1"/>
      <c r="F3546" s="1" t="str">
        <f>IFERROR(__xludf.DUMMYFUNCTION("GOOGLETRANSLATE(B3546, ""en"", ""fa"")
"),"تمرینات ذهن آگاهی و مدیتیشن")</f>
        <v>تمرینات ذهن آگاهی و مدیتیشن</v>
      </c>
      <c r="G3546" s="1" t="str">
        <f>IFERROR(__xludf.DUMMYFUNCTION("GOOGLETRANSLATE(C3546, ""en"", ""fa"")
"),"سبک های مختلف مدیتیشن، مانند مدیتیشن محبت آمیز یا مدیتیشن اسکن بدن، و مزایای منحصر به فرد آنها را کاوش کنید.")</f>
        <v>سبک های مختلف مدیتیشن، مانند مدیتیشن محبت آمیز یا مدیتیشن اسکن بدن، و مزایای منحصر به فرد آنها را کاوش کنید.</v>
      </c>
      <c r="H3546" s="1"/>
      <c r="I3546" s="1"/>
      <c r="J3546" s="1"/>
      <c r="K3546" s="1"/>
      <c r="L3546" s="1"/>
      <c r="M3546" s="1"/>
      <c r="N3546" s="1"/>
      <c r="O3546" s="1"/>
      <c r="P3546" s="1"/>
      <c r="Q3546" s="1"/>
      <c r="R3546" s="1"/>
      <c r="S3546" s="1"/>
      <c r="T3546" s="1"/>
      <c r="U3546" s="1"/>
      <c r="V3546" s="1"/>
      <c r="W3546" s="1"/>
      <c r="X3546" s="1"/>
      <c r="Y3546" s="1"/>
      <c r="Z3546" s="1"/>
      <c r="AA3546" s="1"/>
      <c r="AB3546" s="1"/>
    </row>
    <row r="3547" ht="50.25" customHeight="1">
      <c r="A3547" s="12">
        <v>3543.0</v>
      </c>
      <c r="B3547" s="13" t="s">
        <v>3427</v>
      </c>
      <c r="C3547" s="14" t="s">
        <v>3564</v>
      </c>
      <c r="D3547" s="1"/>
      <c r="E3547" s="1"/>
      <c r="F3547" s="1" t="str">
        <f>IFERROR(__xludf.DUMMYFUNCTION("GOOGLETRANSLATE(B3547, ""en"", ""fa"")
"),"تمرینات ذهن آگاهی و مدیتیشن")</f>
        <v>تمرینات ذهن آگاهی و مدیتیشن</v>
      </c>
      <c r="G3547" s="1" t="str">
        <f>IFERROR(__xludf.DUMMYFUNCTION("GOOGLETRANSLATE(C3547, ""en"", ""fa"")
"),"درباره اهمیت ذهن آگاهی در پرورش شفقت به خود و پرورش تصویر مثبت از خود بحث کنید.")</f>
        <v>درباره اهمیت ذهن آگاهی در پرورش شفقت به خود و پرورش تصویر مثبت از خود بحث کنید.</v>
      </c>
      <c r="H3547" s="1"/>
      <c r="I3547" s="1"/>
      <c r="J3547" s="1"/>
      <c r="K3547" s="1"/>
      <c r="L3547" s="1"/>
      <c r="M3547" s="1"/>
      <c r="N3547" s="1"/>
      <c r="O3547" s="1"/>
      <c r="P3547" s="1"/>
      <c r="Q3547" s="1"/>
      <c r="R3547" s="1"/>
      <c r="S3547" s="1"/>
      <c r="T3547" s="1"/>
      <c r="U3547" s="1"/>
      <c r="V3547" s="1"/>
      <c r="W3547" s="1"/>
      <c r="X3547" s="1"/>
      <c r="Y3547" s="1"/>
      <c r="Z3547" s="1"/>
      <c r="AA3547" s="1"/>
      <c r="AB3547" s="1"/>
    </row>
    <row r="3548" ht="50.25" customHeight="1">
      <c r="A3548" s="12">
        <v>3544.0</v>
      </c>
      <c r="B3548" s="13" t="s">
        <v>3427</v>
      </c>
      <c r="C3548" s="14" t="s">
        <v>3565</v>
      </c>
      <c r="D3548" s="1"/>
      <c r="E3548" s="1"/>
      <c r="F3548" s="1" t="str">
        <f>IFERROR(__xludf.DUMMYFUNCTION("GOOGLETRANSLATE(B3548, ""en"", ""fa"")
"),"تمرینات ذهن آگاهی و مدیتیشن")</f>
        <v>تمرینات ذهن آگاهی و مدیتیشن</v>
      </c>
      <c r="G3548" s="1" t="str">
        <f>IFERROR(__xludf.DUMMYFUNCTION("GOOGLETRANSLATE(C3548, ""en"", ""fa"")
"),"شیوه های تمرکز حواس را برای افزایش خلاقیت و دسترسی به وضعیت جریان کاوش کنید.")</f>
        <v>شیوه های تمرکز حواس را برای افزایش خلاقیت و دسترسی به وضعیت جریان کاوش کنید.</v>
      </c>
      <c r="H3548" s="1"/>
      <c r="I3548" s="1"/>
      <c r="J3548" s="1"/>
      <c r="K3548" s="1"/>
      <c r="L3548" s="1"/>
      <c r="M3548" s="1"/>
      <c r="N3548" s="1"/>
      <c r="O3548" s="1"/>
      <c r="P3548" s="1"/>
      <c r="Q3548" s="1"/>
      <c r="R3548" s="1"/>
      <c r="S3548" s="1"/>
      <c r="T3548" s="1"/>
      <c r="U3548" s="1"/>
      <c r="V3548" s="1"/>
      <c r="W3548" s="1"/>
      <c r="X3548" s="1"/>
      <c r="Y3548" s="1"/>
      <c r="Z3548" s="1"/>
      <c r="AA3548" s="1"/>
      <c r="AB3548" s="1"/>
    </row>
    <row r="3549" ht="50.25" customHeight="1">
      <c r="A3549" s="12">
        <v>3545.0</v>
      </c>
      <c r="B3549" s="13" t="s">
        <v>3427</v>
      </c>
      <c r="C3549" s="14" t="s">
        <v>3566</v>
      </c>
      <c r="D3549" s="1"/>
      <c r="E3549" s="1"/>
      <c r="F3549" s="1" t="str">
        <f>IFERROR(__xludf.DUMMYFUNCTION("GOOGLETRANSLATE(B3549, ""en"", ""fa"")
"),"تمرینات ذهن آگاهی و مدیتیشن")</f>
        <v>تمرینات ذهن آگاهی و مدیتیشن</v>
      </c>
      <c r="G3549" s="1" t="str">
        <f>IFERROR(__xludf.DUMMYFUNCTION("GOOGLETRANSLATE(C3549, ""en"", ""fa"")
"),"نقش ذهن آگاهی در بهبود کیفیت خواب و ارتقای آرامش را مورد بحث قرار دهید.")</f>
        <v>نقش ذهن آگاهی در بهبود کیفیت خواب و ارتقای آرامش را مورد بحث قرار دهید.</v>
      </c>
      <c r="H3549" s="1"/>
      <c r="I3549" s="1"/>
      <c r="J3549" s="1"/>
      <c r="K3549" s="1"/>
      <c r="L3549" s="1"/>
      <c r="M3549" s="1"/>
      <c r="N3549" s="1"/>
      <c r="O3549" s="1"/>
      <c r="P3549" s="1"/>
      <c r="Q3549" s="1"/>
      <c r="R3549" s="1"/>
      <c r="S3549" s="1"/>
      <c r="T3549" s="1"/>
      <c r="U3549" s="1"/>
      <c r="V3549" s="1"/>
      <c r="W3549" s="1"/>
      <c r="X3549" s="1"/>
      <c r="Y3549" s="1"/>
      <c r="Z3549" s="1"/>
      <c r="AA3549" s="1"/>
      <c r="AB3549" s="1"/>
    </row>
    <row r="3550" ht="50.25" customHeight="1">
      <c r="A3550" s="12">
        <v>3546.0</v>
      </c>
      <c r="B3550" s="13" t="s">
        <v>3427</v>
      </c>
      <c r="C3550" s="14" t="s">
        <v>3567</v>
      </c>
      <c r="D3550" s="1"/>
      <c r="E3550" s="1"/>
      <c r="F3550" s="1" t="str">
        <f>IFERROR(__xludf.DUMMYFUNCTION("GOOGLETRANSLATE(B3550, ""en"", ""fa"")
"),"تمرینات ذهن آگاهی و مدیتیشن")</f>
        <v>تمرینات ذهن آگاهی و مدیتیشن</v>
      </c>
      <c r="G3550" s="1" t="str">
        <f>IFERROR(__xludf.DUMMYFUNCTION("GOOGLETRANSLATE(C3550, ""en"", ""fa"")
"),"به ارتباط بین ذهن آگاهی و تاب آوری در جهت یابی چالش های زندگی فکر کنید.")</f>
        <v>به ارتباط بین ذهن آگاهی و تاب آوری در جهت یابی چالش های زندگی فکر کنید.</v>
      </c>
      <c r="H3550" s="1"/>
      <c r="I3550" s="1"/>
      <c r="J3550" s="1"/>
      <c r="K3550" s="1"/>
      <c r="L3550" s="1"/>
      <c r="M3550" s="1"/>
      <c r="N3550" s="1"/>
      <c r="O3550" s="1"/>
      <c r="P3550" s="1"/>
      <c r="Q3550" s="1"/>
      <c r="R3550" s="1"/>
      <c r="S3550" s="1"/>
      <c r="T3550" s="1"/>
      <c r="U3550" s="1"/>
      <c r="V3550" s="1"/>
      <c r="W3550" s="1"/>
      <c r="X3550" s="1"/>
      <c r="Y3550" s="1"/>
      <c r="Z3550" s="1"/>
      <c r="AA3550" s="1"/>
      <c r="AB3550" s="1"/>
    </row>
    <row r="3551" ht="50.25" customHeight="1">
      <c r="A3551" s="12">
        <v>3547.0</v>
      </c>
      <c r="B3551" s="13" t="s">
        <v>3427</v>
      </c>
      <c r="C3551" s="14" t="s">
        <v>3568</v>
      </c>
      <c r="D3551" s="1"/>
      <c r="E3551" s="1"/>
      <c r="F3551" s="1" t="str">
        <f>IFERROR(__xludf.DUMMYFUNCTION("GOOGLETRANSLATE(B3551, ""en"", ""fa"")
"),"تمرینات ذهن آگاهی و مدیتیشن")</f>
        <v>تمرینات ذهن آگاهی و مدیتیشن</v>
      </c>
      <c r="G3551" s="1" t="str">
        <f>IFERROR(__xludf.DUMMYFUNCTION("GOOGLETRANSLATE(C3551, ""en"", ""fa"")
"),"تکنیک های تمرکز حواس را برای مدیریت اضطراب و تقویت حس آرامش به اشتراک بگذارید.")</f>
        <v>تکنیک های تمرکز حواس را برای مدیریت اضطراب و تقویت حس آرامش به اشتراک بگذارید.</v>
      </c>
      <c r="H3551" s="1"/>
      <c r="I3551" s="1"/>
      <c r="J3551" s="1"/>
      <c r="K3551" s="1"/>
      <c r="L3551" s="1"/>
      <c r="M3551" s="1"/>
      <c r="N3551" s="1"/>
      <c r="O3551" s="1"/>
      <c r="P3551" s="1"/>
      <c r="Q3551" s="1"/>
      <c r="R3551" s="1"/>
      <c r="S3551" s="1"/>
      <c r="T3551" s="1"/>
      <c r="U3551" s="1"/>
      <c r="V3551" s="1"/>
      <c r="W3551" s="1"/>
      <c r="X3551" s="1"/>
      <c r="Y3551" s="1"/>
      <c r="Z3551" s="1"/>
      <c r="AA3551" s="1"/>
      <c r="AB3551" s="1"/>
    </row>
    <row r="3552" ht="50.25" customHeight="1">
      <c r="A3552" s="12">
        <v>3548.0</v>
      </c>
      <c r="B3552" s="13" t="s">
        <v>3427</v>
      </c>
      <c r="C3552" s="14" t="s">
        <v>3569</v>
      </c>
      <c r="D3552" s="1"/>
      <c r="E3552" s="1"/>
      <c r="F3552" s="1" t="str">
        <f>IFERROR(__xludf.DUMMYFUNCTION("GOOGLETRANSLATE(B3552, ""en"", ""fa"")
"),"تمرینات ذهن آگاهی و مدیتیشن")</f>
        <v>تمرینات ذهن آگاهی و مدیتیشن</v>
      </c>
      <c r="G3552" s="1" t="str">
        <f>IFERROR(__xludf.DUMMYFUNCTION("GOOGLETRANSLATE(C3552, ""en"", ""fa"")
"),"مزایای ذهن آگاهی در تقویت روابط سالم تر و بهبود ارتباطات را بررسی کنید.")</f>
        <v>مزایای ذهن آگاهی در تقویت روابط سالم تر و بهبود ارتباطات را بررسی کنید.</v>
      </c>
      <c r="H3552" s="1"/>
      <c r="I3552" s="1"/>
      <c r="J3552" s="1"/>
      <c r="K3552" s="1"/>
      <c r="L3552" s="1"/>
      <c r="M3552" s="1"/>
      <c r="N3552" s="1"/>
      <c r="O3552" s="1"/>
      <c r="P3552" s="1"/>
      <c r="Q3552" s="1"/>
      <c r="R3552" s="1"/>
      <c r="S3552" s="1"/>
      <c r="T3552" s="1"/>
      <c r="U3552" s="1"/>
      <c r="V3552" s="1"/>
      <c r="W3552" s="1"/>
      <c r="X3552" s="1"/>
      <c r="Y3552" s="1"/>
      <c r="Z3552" s="1"/>
      <c r="AA3552" s="1"/>
      <c r="AB3552" s="1"/>
    </row>
    <row r="3553" ht="50.25" customHeight="1">
      <c r="A3553" s="12">
        <v>3549.0</v>
      </c>
      <c r="B3553" s="13" t="s">
        <v>3427</v>
      </c>
      <c r="C3553" s="14" t="s">
        <v>3570</v>
      </c>
      <c r="D3553" s="1"/>
      <c r="E3553" s="1"/>
      <c r="F3553" s="1" t="str">
        <f>IFERROR(__xludf.DUMMYFUNCTION("GOOGLETRANSLATE(B3553, ""en"", ""fa"")
"),"تمرینات ذهن آگاهی و مدیتیشن")</f>
        <v>تمرینات ذهن آگاهی و مدیتیشن</v>
      </c>
      <c r="G3553" s="1" t="str">
        <f>IFERROR(__xludf.DUMMYFUNCTION("GOOGLETRANSLATE(C3553, ""en"", ""fa"")
"),"درباره شیوه های ذهن آگاهی برای پرورش قدردانی و پرورش ذهنیت مثبت بحث کنید.")</f>
        <v>درباره شیوه های ذهن آگاهی برای پرورش قدردانی و پرورش ذهنیت مثبت بحث کنید.</v>
      </c>
      <c r="H3553" s="1"/>
      <c r="I3553" s="1"/>
      <c r="J3553" s="1"/>
      <c r="K3553" s="1"/>
      <c r="L3553" s="1"/>
      <c r="M3553" s="1"/>
      <c r="N3553" s="1"/>
      <c r="O3553" s="1"/>
      <c r="P3553" s="1"/>
      <c r="Q3553" s="1"/>
      <c r="R3553" s="1"/>
      <c r="S3553" s="1"/>
      <c r="T3553" s="1"/>
      <c r="U3553" s="1"/>
      <c r="V3553" s="1"/>
      <c r="W3553" s="1"/>
      <c r="X3553" s="1"/>
      <c r="Y3553" s="1"/>
      <c r="Z3553" s="1"/>
      <c r="AA3553" s="1"/>
      <c r="AB3553" s="1"/>
    </row>
    <row r="3554" ht="50.25" customHeight="1">
      <c r="A3554" s="12">
        <v>3550.0</v>
      </c>
      <c r="B3554" s="13" t="s">
        <v>3427</v>
      </c>
      <c r="C3554" s="14" t="s">
        <v>3571</v>
      </c>
      <c r="D3554" s="1"/>
      <c r="E3554" s="1"/>
      <c r="F3554" s="1" t="str">
        <f>IFERROR(__xludf.DUMMYFUNCTION("GOOGLETRANSLATE(B3554, ""en"", ""fa"")
"),"تمرینات ذهن آگاهی و مدیتیشن")</f>
        <v>تمرینات ذهن آگاهی و مدیتیشن</v>
      </c>
      <c r="G3554" s="1" t="str">
        <f>IFERROR(__xludf.DUMMYFUNCTION("GOOGLETRANSLATE(C3554, ""en"", ""fa"")
"),"نقش تمرکز حواس را در مدیریت درد و ارتقای بهزیستی جسمانی کلی در نظر بگیرید.")</f>
        <v>نقش تمرکز حواس را در مدیریت درد و ارتقای بهزیستی جسمانی کلی در نظر بگیرید.</v>
      </c>
      <c r="H3554" s="1"/>
      <c r="I3554" s="1"/>
      <c r="J3554" s="1"/>
      <c r="K3554" s="1"/>
      <c r="L3554" s="1"/>
      <c r="M3554" s="1"/>
      <c r="N3554" s="1"/>
      <c r="O3554" s="1"/>
      <c r="P3554" s="1"/>
      <c r="Q3554" s="1"/>
      <c r="R3554" s="1"/>
      <c r="S3554" s="1"/>
      <c r="T3554" s="1"/>
      <c r="U3554" s="1"/>
      <c r="V3554" s="1"/>
      <c r="W3554" s="1"/>
      <c r="X3554" s="1"/>
      <c r="Y3554" s="1"/>
      <c r="Z3554" s="1"/>
      <c r="AA3554" s="1"/>
      <c r="AB3554" s="1"/>
    </row>
    <row r="3555" ht="50.25" customHeight="1">
      <c r="A3555" s="12">
        <v>3551.0</v>
      </c>
      <c r="B3555" s="13" t="s">
        <v>3427</v>
      </c>
      <c r="C3555" s="14" t="s">
        <v>3572</v>
      </c>
      <c r="D3555" s="1"/>
      <c r="E3555" s="1"/>
      <c r="F3555" s="1" t="str">
        <f>IFERROR(__xludf.DUMMYFUNCTION("GOOGLETRANSLATE(B3555, ""en"", ""fa"")
"),"تمرینات ذهن آگاهی و مدیتیشن")</f>
        <v>تمرینات ذهن آگاهی و مدیتیشن</v>
      </c>
      <c r="G3555" s="1" t="str">
        <f>IFERROR(__xludf.DUMMYFUNCTION("GOOGLETRANSLATE(C3555, ""en"", ""fa"")
"),"تکنیک‌هایی را برای گنجاندن ذهن آگاهی در فعالیت‌های روزانه، مانند غذا خوردن آگاهانه یا راه رفتن آگاهانه به اشتراک بگذارید.")</f>
        <v>تکنیک‌هایی را برای گنجاندن ذهن آگاهی در فعالیت‌های روزانه، مانند غذا خوردن آگاهانه یا راه رفتن آگاهانه به اشتراک بگذارید.</v>
      </c>
      <c r="H3555" s="1"/>
      <c r="I3555" s="1"/>
      <c r="J3555" s="1"/>
      <c r="K3555" s="1"/>
      <c r="L3555" s="1"/>
      <c r="M3555" s="1"/>
      <c r="N3555" s="1"/>
      <c r="O3555" s="1"/>
      <c r="P3555" s="1"/>
      <c r="Q3555" s="1"/>
      <c r="R3555" s="1"/>
      <c r="S3555" s="1"/>
      <c r="T3555" s="1"/>
      <c r="U3555" s="1"/>
      <c r="V3555" s="1"/>
      <c r="W3555" s="1"/>
      <c r="X3555" s="1"/>
      <c r="Y3555" s="1"/>
      <c r="Z3555" s="1"/>
      <c r="AA3555" s="1"/>
      <c r="AB3555" s="1"/>
    </row>
    <row r="3556" ht="50.25" customHeight="1">
      <c r="A3556" s="12">
        <v>3552.0</v>
      </c>
      <c r="B3556" s="13" t="s">
        <v>3427</v>
      </c>
      <c r="C3556" s="14" t="s">
        <v>3573</v>
      </c>
      <c r="D3556" s="1"/>
      <c r="E3556" s="1"/>
      <c r="F3556" s="1" t="str">
        <f>IFERROR(__xludf.DUMMYFUNCTION("GOOGLETRANSLATE(B3556, ""en"", ""fa"")
"),"تمرینات ذهن آگاهی و مدیتیشن")</f>
        <v>تمرینات ذهن آگاهی و مدیتیشن</v>
      </c>
      <c r="G3556" s="1" t="str">
        <f>IFERROR(__xludf.DUMMYFUNCTION("GOOGLETRANSLATE(C3556, ""en"", ""fa"")
"),"در مورد مفهوم «فرزندپروری آگاهانه» بحث کنید و شیوه های تمرکز حواس را برای پرورش ارتباطات والد-کودک بررسی کنید.")</f>
        <v>در مورد مفهوم «فرزندپروری آگاهانه» بحث کنید و شیوه های تمرکز حواس را برای پرورش ارتباطات والد-کودک بررسی کنید.</v>
      </c>
      <c r="H3556" s="1"/>
      <c r="I3556" s="1"/>
      <c r="J3556" s="1"/>
      <c r="K3556" s="1"/>
      <c r="L3556" s="1"/>
      <c r="M3556" s="1"/>
      <c r="N3556" s="1"/>
      <c r="O3556" s="1"/>
      <c r="P3556" s="1"/>
      <c r="Q3556" s="1"/>
      <c r="R3556" s="1"/>
      <c r="S3556" s="1"/>
      <c r="T3556" s="1"/>
      <c r="U3556" s="1"/>
      <c r="V3556" s="1"/>
      <c r="W3556" s="1"/>
      <c r="X3556" s="1"/>
      <c r="Y3556" s="1"/>
      <c r="Z3556" s="1"/>
      <c r="AA3556" s="1"/>
      <c r="AB3556" s="1"/>
    </row>
    <row r="3557" ht="50.25" customHeight="1">
      <c r="A3557" s="12">
        <v>3553.0</v>
      </c>
      <c r="B3557" s="13" t="s">
        <v>3427</v>
      </c>
      <c r="C3557" s="14" t="s">
        <v>3574</v>
      </c>
      <c r="D3557" s="1"/>
      <c r="E3557" s="1"/>
      <c r="F3557" s="1" t="str">
        <f>IFERROR(__xludf.DUMMYFUNCTION("GOOGLETRANSLATE(B3557, ""en"", ""fa"")
"),"تمرینات ذهن آگاهی و مدیتیشن")</f>
        <v>تمرینات ذهن آگاهی و مدیتیشن</v>
      </c>
      <c r="G3557" s="1" t="str">
        <f>IFERROR(__xludf.DUMMYFUNCTION("GOOGLETRANSLATE(C3557, ""en"", ""fa"")
"),"در مورد مزایای ذهن آگاهی در کاهش فرسودگی شغلی و ارتقاء تعادل بین کار و زندگی فکر کنید.")</f>
        <v>در مورد مزایای ذهن آگاهی در کاهش فرسودگی شغلی و ارتقاء تعادل بین کار و زندگی فکر کنید.</v>
      </c>
      <c r="H3557" s="1"/>
      <c r="I3557" s="1"/>
      <c r="J3557" s="1"/>
      <c r="K3557" s="1"/>
      <c r="L3557" s="1"/>
      <c r="M3557" s="1"/>
      <c r="N3557" s="1"/>
      <c r="O3557" s="1"/>
      <c r="P3557" s="1"/>
      <c r="Q3557" s="1"/>
      <c r="R3557" s="1"/>
      <c r="S3557" s="1"/>
      <c r="T3557" s="1"/>
      <c r="U3557" s="1"/>
      <c r="V3557" s="1"/>
      <c r="W3557" s="1"/>
      <c r="X3557" s="1"/>
      <c r="Y3557" s="1"/>
      <c r="Z3557" s="1"/>
      <c r="AA3557" s="1"/>
      <c r="AB3557" s="1"/>
    </row>
    <row r="3558" ht="50.25" customHeight="1">
      <c r="A3558" s="12">
        <v>3554.0</v>
      </c>
      <c r="B3558" s="13" t="s">
        <v>3427</v>
      </c>
      <c r="C3558" s="14" t="s">
        <v>3575</v>
      </c>
      <c r="D3558" s="1"/>
      <c r="E3558" s="1"/>
      <c r="F3558" s="1" t="str">
        <f>IFERROR(__xludf.DUMMYFUNCTION("GOOGLETRANSLATE(B3558, ""en"", ""fa"")
"),"تمرینات ذهن آگاهی و مدیتیشن")</f>
        <v>تمرینات ذهن آگاهی و مدیتیشن</v>
      </c>
      <c r="G3558" s="1" t="str">
        <f>IFERROR(__xludf.DUMMYFUNCTION("GOOGLETRANSLATE(C3558, ""en"", ""fa"")
"),"شیوه های ذهن آگاهی را برای پرورش خودآگاهی و تعمیق رشد شخصی کاوش کنید.")</f>
        <v>شیوه های ذهن آگاهی را برای پرورش خودآگاهی و تعمیق رشد شخصی کاوش کنید.</v>
      </c>
      <c r="H3558" s="1"/>
      <c r="I3558" s="1"/>
      <c r="J3558" s="1"/>
      <c r="K3558" s="1"/>
      <c r="L3558" s="1"/>
      <c r="M3558" s="1"/>
      <c r="N3558" s="1"/>
      <c r="O3558" s="1"/>
      <c r="P3558" s="1"/>
      <c r="Q3558" s="1"/>
      <c r="R3558" s="1"/>
      <c r="S3558" s="1"/>
      <c r="T3558" s="1"/>
      <c r="U3558" s="1"/>
      <c r="V3558" s="1"/>
      <c r="W3558" s="1"/>
      <c r="X3558" s="1"/>
      <c r="Y3558" s="1"/>
      <c r="Z3558" s="1"/>
      <c r="AA3558" s="1"/>
      <c r="AB3558" s="1"/>
    </row>
    <row r="3559" ht="50.25" customHeight="1">
      <c r="A3559" s="12">
        <v>3555.0</v>
      </c>
      <c r="B3559" s="13" t="s">
        <v>3427</v>
      </c>
      <c r="C3559" s="14" t="s">
        <v>3576</v>
      </c>
      <c r="D3559" s="1"/>
      <c r="E3559" s="1"/>
      <c r="F3559" s="1" t="str">
        <f>IFERROR(__xludf.DUMMYFUNCTION("GOOGLETRANSLATE(B3559, ""en"", ""fa"")
"),"تمرینات ذهن آگاهی و مدیتیشن")</f>
        <v>تمرینات ذهن آگاهی و مدیتیشن</v>
      </c>
      <c r="G3559" s="1" t="str">
        <f>IFERROR(__xludf.DUMMYFUNCTION("GOOGLETRANSLATE(C3559, ""en"", ""fa"")
"),"در مورد رابطه بین ذهن آگاهی و شفقت و اینکه چگونه می توان هر دو را از طریق مدیتیشن پرورش داد، بحث کنید.")</f>
        <v>در مورد رابطه بین ذهن آگاهی و شفقت و اینکه چگونه می توان هر دو را از طریق مدیتیشن پرورش داد، بحث کنید.</v>
      </c>
      <c r="H3559" s="1"/>
      <c r="I3559" s="1"/>
      <c r="J3559" s="1"/>
      <c r="K3559" s="1"/>
      <c r="L3559" s="1"/>
      <c r="M3559" s="1"/>
      <c r="N3559" s="1"/>
      <c r="O3559" s="1"/>
      <c r="P3559" s="1"/>
      <c r="Q3559" s="1"/>
      <c r="R3559" s="1"/>
      <c r="S3559" s="1"/>
      <c r="T3559" s="1"/>
      <c r="U3559" s="1"/>
      <c r="V3559" s="1"/>
      <c r="W3559" s="1"/>
      <c r="X3559" s="1"/>
      <c r="Y3559" s="1"/>
      <c r="Z3559" s="1"/>
      <c r="AA3559" s="1"/>
      <c r="AB3559" s="1"/>
    </row>
    <row r="3560" ht="50.25" customHeight="1">
      <c r="A3560" s="12">
        <v>3556.0</v>
      </c>
      <c r="B3560" s="13" t="s">
        <v>3427</v>
      </c>
      <c r="C3560" s="14" t="s">
        <v>3577</v>
      </c>
      <c r="D3560" s="1"/>
      <c r="E3560" s="1"/>
      <c r="F3560" s="1" t="str">
        <f>IFERROR(__xludf.DUMMYFUNCTION("GOOGLETRANSLATE(B3560, ""en"", ""fa"")
"),"تمرینات ذهن آگاهی و مدیتیشن")</f>
        <v>تمرینات ذهن آگاهی و مدیتیشن</v>
      </c>
      <c r="G3560" s="1" t="str">
        <f>IFERROR(__xludf.DUMMYFUNCTION("GOOGLETRANSLATE(C3560, ""en"", ""fa"")
"),"تکنیک های تمرکز حواس را برای مدیریت استرس و ترویج آرامش در زمان های شلوغ یا چالش برانگیز به اشتراک بگذارید.")</f>
        <v>تکنیک های تمرکز حواس را برای مدیریت استرس و ترویج آرامش در زمان های شلوغ یا چالش برانگیز به اشتراک بگذارید.</v>
      </c>
      <c r="H3560" s="1"/>
      <c r="I3560" s="1"/>
      <c r="J3560" s="1"/>
      <c r="K3560" s="1"/>
      <c r="L3560" s="1"/>
      <c r="M3560" s="1"/>
      <c r="N3560" s="1"/>
      <c r="O3560" s="1"/>
      <c r="P3560" s="1"/>
      <c r="Q3560" s="1"/>
      <c r="R3560" s="1"/>
      <c r="S3560" s="1"/>
      <c r="T3560" s="1"/>
      <c r="U3560" s="1"/>
      <c r="V3560" s="1"/>
      <c r="W3560" s="1"/>
      <c r="X3560" s="1"/>
      <c r="Y3560" s="1"/>
      <c r="Z3560" s="1"/>
      <c r="AA3560" s="1"/>
      <c r="AB3560" s="1"/>
    </row>
    <row r="3561" ht="50.25" customHeight="1">
      <c r="A3561" s="12">
        <v>3557.0</v>
      </c>
      <c r="B3561" s="13" t="s">
        <v>3427</v>
      </c>
      <c r="C3561" s="14" t="s">
        <v>3578</v>
      </c>
      <c r="D3561" s="1"/>
      <c r="E3561" s="1"/>
      <c r="F3561" s="1" t="str">
        <f>IFERROR(__xludf.DUMMYFUNCTION("GOOGLETRANSLATE(B3561, ""en"", ""fa"")
"),"تمرینات ذهن آگاهی و مدیتیشن")</f>
        <v>تمرینات ذهن آگاهی و مدیتیشن</v>
      </c>
      <c r="G3561" s="1" t="str">
        <f>IFERROR(__xludf.DUMMYFUNCTION("GOOGLETRANSLATE(C3561, ""en"", ""fa"")
"),"به ارتباط بین ذهن آگاهی و شهود فکر کنید، و اینکه چگونه ذهن آگاهی می تواند توانایی های تصمیم گیری را افزایش دهد.")</f>
        <v>به ارتباط بین ذهن آگاهی و شهود فکر کنید، و اینکه چگونه ذهن آگاهی می تواند توانایی های تصمیم گیری را افزایش دهد.</v>
      </c>
      <c r="H3561" s="1"/>
      <c r="I3561" s="1"/>
      <c r="J3561" s="1"/>
      <c r="K3561" s="1"/>
      <c r="L3561" s="1"/>
      <c r="M3561" s="1"/>
      <c r="N3561" s="1"/>
      <c r="O3561" s="1"/>
      <c r="P3561" s="1"/>
      <c r="Q3561" s="1"/>
      <c r="R3561" s="1"/>
      <c r="S3561" s="1"/>
      <c r="T3561" s="1"/>
      <c r="U3561" s="1"/>
      <c r="V3561" s="1"/>
      <c r="W3561" s="1"/>
      <c r="X3561" s="1"/>
      <c r="Y3561" s="1"/>
      <c r="Z3561" s="1"/>
      <c r="AA3561" s="1"/>
      <c r="AB3561" s="1"/>
    </row>
    <row r="3562" ht="50.25" customHeight="1">
      <c r="A3562" s="12">
        <v>3558.0</v>
      </c>
      <c r="B3562" s="13" t="s">
        <v>3427</v>
      </c>
      <c r="C3562" s="14" t="s">
        <v>3579</v>
      </c>
      <c r="D3562" s="1"/>
      <c r="E3562" s="1"/>
      <c r="F3562" s="1" t="str">
        <f>IFERROR(__xludf.DUMMYFUNCTION("GOOGLETRANSLATE(B3562, ""en"", ""fa"")
"),"تمرینات ذهن آگاهی و مدیتیشن")</f>
        <v>تمرینات ذهن آگاهی و مدیتیشن</v>
      </c>
      <c r="G3562" s="1" t="str">
        <f>IFERROR(__xludf.DUMMYFUNCTION("GOOGLETRANSLATE(C3562, ""en"", ""fa"")
"),"درباره شیوه های تمرکز حواس برای افزایش تمرکز و تمرکز در محیط های تحصیلی یا کاری بحث کنید.")</f>
        <v>درباره شیوه های تمرکز حواس برای افزایش تمرکز و تمرکز در محیط های تحصیلی یا کاری بحث کنید.</v>
      </c>
      <c r="H3562" s="1"/>
      <c r="I3562" s="1"/>
      <c r="J3562" s="1"/>
      <c r="K3562" s="1"/>
      <c r="L3562" s="1"/>
      <c r="M3562" s="1"/>
      <c r="N3562" s="1"/>
      <c r="O3562" s="1"/>
      <c r="P3562" s="1"/>
      <c r="Q3562" s="1"/>
      <c r="R3562" s="1"/>
      <c r="S3562" s="1"/>
      <c r="T3562" s="1"/>
      <c r="U3562" s="1"/>
      <c r="V3562" s="1"/>
      <c r="W3562" s="1"/>
      <c r="X3562" s="1"/>
      <c r="Y3562" s="1"/>
      <c r="Z3562" s="1"/>
      <c r="AA3562" s="1"/>
      <c r="AB3562" s="1"/>
    </row>
    <row r="3563" ht="50.25" customHeight="1">
      <c r="A3563" s="12">
        <v>3559.0</v>
      </c>
      <c r="B3563" s="13" t="s">
        <v>3427</v>
      </c>
      <c r="C3563" s="14" t="s">
        <v>3580</v>
      </c>
      <c r="D3563" s="1"/>
      <c r="E3563" s="1"/>
      <c r="F3563" s="1" t="str">
        <f>IFERROR(__xludf.DUMMYFUNCTION("GOOGLETRANSLATE(B3563, ""en"", ""fa"")
"),"تمرینات ذهن آگاهی و مدیتیشن")</f>
        <v>تمرینات ذهن آگاهی و مدیتیشن</v>
      </c>
      <c r="G3563" s="1" t="str">
        <f>IFERROR(__xludf.DUMMYFUNCTION("GOOGLETRANSLATE(C3563, ""en"", ""fa"")
"),"مزایای ذهن آگاهی در مدیریت احساسات و کاهش واکنش پذیری را بررسی کنید.")</f>
        <v>مزایای ذهن آگاهی در مدیریت احساسات و کاهش واکنش پذیری را بررسی کنید.</v>
      </c>
      <c r="H3563" s="1"/>
      <c r="I3563" s="1"/>
      <c r="J3563" s="1"/>
      <c r="K3563" s="1"/>
      <c r="L3563" s="1"/>
      <c r="M3563" s="1"/>
      <c r="N3563" s="1"/>
      <c r="O3563" s="1"/>
      <c r="P3563" s="1"/>
      <c r="Q3563" s="1"/>
      <c r="R3563" s="1"/>
      <c r="S3563" s="1"/>
      <c r="T3563" s="1"/>
      <c r="U3563" s="1"/>
      <c r="V3563" s="1"/>
      <c r="W3563" s="1"/>
      <c r="X3563" s="1"/>
      <c r="Y3563" s="1"/>
      <c r="Z3563" s="1"/>
      <c r="AA3563" s="1"/>
      <c r="AB3563" s="1"/>
    </row>
    <row r="3564" ht="50.25" customHeight="1">
      <c r="A3564" s="12">
        <v>3560.0</v>
      </c>
      <c r="B3564" s="13" t="s">
        <v>3427</v>
      </c>
      <c r="C3564" s="14" t="s">
        <v>3581</v>
      </c>
      <c r="D3564" s="1"/>
      <c r="E3564" s="1"/>
      <c r="F3564" s="1" t="str">
        <f>IFERROR(__xludf.DUMMYFUNCTION("GOOGLETRANSLATE(B3564, ""en"", ""fa"")
"),"تمرینات ذهن آگاهی و مدیتیشن")</f>
        <v>تمرینات ذهن آگاهی و مدیتیشن</v>
      </c>
      <c r="G3564" s="1" t="str">
        <f>IFERROR(__xludf.DUMMYFUNCTION("GOOGLETRANSLATE(C3564, ""en"", ""fa"")
"),"تکنیک‌هایی را برای گنجاندن ذهن آگاهی در روال‌های روزمره، مانند تمرین ذهن‌آگاهی صبحگاهی یا قبل از خواب به اشتراک بگذارید.")</f>
        <v>تکنیک‌هایی را برای گنجاندن ذهن آگاهی در روال‌های روزمره، مانند تمرین ذهن‌آگاهی صبحگاهی یا قبل از خواب به اشتراک بگذارید.</v>
      </c>
      <c r="H3564" s="1"/>
      <c r="I3564" s="1"/>
      <c r="J3564" s="1"/>
      <c r="K3564" s="1"/>
      <c r="L3564" s="1"/>
      <c r="M3564" s="1"/>
      <c r="N3564" s="1"/>
      <c r="O3564" s="1"/>
      <c r="P3564" s="1"/>
      <c r="Q3564" s="1"/>
      <c r="R3564" s="1"/>
      <c r="S3564" s="1"/>
      <c r="T3564" s="1"/>
      <c r="U3564" s="1"/>
      <c r="V3564" s="1"/>
      <c r="W3564" s="1"/>
      <c r="X3564" s="1"/>
      <c r="Y3564" s="1"/>
      <c r="Z3564" s="1"/>
      <c r="AA3564" s="1"/>
      <c r="AB3564" s="1"/>
    </row>
    <row r="3565" ht="50.25" customHeight="1">
      <c r="A3565" s="12">
        <v>3561.0</v>
      </c>
      <c r="B3565" s="13" t="s">
        <v>3427</v>
      </c>
      <c r="C3565" s="14" t="s">
        <v>3582</v>
      </c>
      <c r="D3565" s="1"/>
      <c r="E3565" s="1"/>
      <c r="F3565" s="1" t="str">
        <f>IFERROR(__xludf.DUMMYFUNCTION("GOOGLETRANSLATE(B3565, ""en"", ""fa"")
"),"تمرینات ذهن آگاهی و مدیتیشن")</f>
        <v>تمرینات ذهن آگاهی و مدیتیشن</v>
      </c>
      <c r="G3565" s="1" t="str">
        <f>IFERROR(__xludf.DUMMYFUNCTION("GOOGLETRANSLATE(C3565, ""en"", ""fa"")
"),"در مورد نقش ذهن آگاهی در تقویت تاب آوری در مواجهه با ناملایمات یا انتقال دشوار زندگی بحث کنید.")</f>
        <v>در مورد نقش ذهن آگاهی در تقویت تاب آوری در مواجهه با ناملایمات یا انتقال دشوار زندگی بحث کنید.</v>
      </c>
      <c r="H3565" s="1"/>
      <c r="I3565" s="1"/>
      <c r="J3565" s="1"/>
      <c r="K3565" s="1"/>
      <c r="L3565" s="1"/>
      <c r="M3565" s="1"/>
      <c r="N3565" s="1"/>
      <c r="O3565" s="1"/>
      <c r="P3565" s="1"/>
      <c r="Q3565" s="1"/>
      <c r="R3565" s="1"/>
      <c r="S3565" s="1"/>
      <c r="T3565" s="1"/>
      <c r="U3565" s="1"/>
      <c r="V3565" s="1"/>
      <c r="W3565" s="1"/>
      <c r="X3565" s="1"/>
      <c r="Y3565" s="1"/>
      <c r="Z3565" s="1"/>
      <c r="AA3565" s="1"/>
      <c r="AB3565" s="1"/>
    </row>
    <row r="3566" ht="50.25" customHeight="1">
      <c r="A3566" s="12">
        <v>3562.0</v>
      </c>
      <c r="B3566" s="13" t="s">
        <v>3427</v>
      </c>
      <c r="C3566" s="14" t="s">
        <v>3583</v>
      </c>
      <c r="D3566" s="1"/>
      <c r="E3566" s="1"/>
      <c r="F3566" s="1" t="str">
        <f>IFERROR(__xludf.DUMMYFUNCTION("GOOGLETRANSLATE(B3566, ""en"", ""fa"")
"),"تمرینات ذهن آگاهی و مدیتیشن")</f>
        <v>تمرینات ذهن آگاهی و مدیتیشن</v>
      </c>
      <c r="G3566" s="1" t="str">
        <f>IFERROR(__xludf.DUMMYFUNCTION("GOOGLETRANSLATE(C3566, ""en"", ""fa"")
"),"در مورد ارتباط بین ذهن آگاهی و مراقبت از خود، و اینکه چگونه تمرین های ذهن آگاهی می توانند از رفاه کلی حمایت کنند، فکر کنید.")</f>
        <v>در مورد ارتباط بین ذهن آگاهی و مراقبت از خود، و اینکه چگونه تمرین های ذهن آگاهی می توانند از رفاه کلی حمایت کنند، فکر کنید.</v>
      </c>
      <c r="H3566" s="1"/>
      <c r="I3566" s="1"/>
      <c r="J3566" s="1"/>
      <c r="K3566" s="1"/>
      <c r="L3566" s="1"/>
      <c r="M3566" s="1"/>
      <c r="N3566" s="1"/>
      <c r="O3566" s="1"/>
      <c r="P3566" s="1"/>
      <c r="Q3566" s="1"/>
      <c r="R3566" s="1"/>
      <c r="S3566" s="1"/>
      <c r="T3566" s="1"/>
      <c r="U3566" s="1"/>
      <c r="V3566" s="1"/>
      <c r="W3566" s="1"/>
      <c r="X3566" s="1"/>
      <c r="Y3566" s="1"/>
      <c r="Z3566" s="1"/>
      <c r="AA3566" s="1"/>
      <c r="AB3566" s="1"/>
    </row>
    <row r="3567" ht="50.25" customHeight="1">
      <c r="A3567" s="12">
        <v>3563.0</v>
      </c>
      <c r="B3567" s="13" t="s">
        <v>3427</v>
      </c>
      <c r="C3567" s="14" t="s">
        <v>3584</v>
      </c>
      <c r="D3567" s="1"/>
      <c r="E3567" s="1"/>
      <c r="F3567" s="1" t="str">
        <f>IFERROR(__xludf.DUMMYFUNCTION("GOOGLETRANSLATE(B3567, ""en"", ""fa"")
"),"تمرینات ذهن آگاهی و مدیتیشن")</f>
        <v>تمرینات ذهن آگاهی و مدیتیشن</v>
      </c>
      <c r="G3567" s="1" t="str">
        <f>IFERROR(__xludf.DUMMYFUNCTION("GOOGLETRANSLATE(C3567, ""en"", ""fa"")
"),"تکنیک های ذهن آگاهی را برای پرورش حس آرامش و آرامش درونی کاوش کنید.")</f>
        <v>تکنیک های ذهن آگاهی را برای پرورش حس آرامش و آرامش درونی کاوش کنید.</v>
      </c>
      <c r="H3567" s="1"/>
      <c r="I3567" s="1"/>
      <c r="J3567" s="1"/>
      <c r="K3567" s="1"/>
      <c r="L3567" s="1"/>
      <c r="M3567" s="1"/>
      <c r="N3567" s="1"/>
      <c r="O3567" s="1"/>
      <c r="P3567" s="1"/>
      <c r="Q3567" s="1"/>
      <c r="R3567" s="1"/>
      <c r="S3567" s="1"/>
      <c r="T3567" s="1"/>
      <c r="U3567" s="1"/>
      <c r="V3567" s="1"/>
      <c r="W3567" s="1"/>
      <c r="X3567" s="1"/>
      <c r="Y3567" s="1"/>
      <c r="Z3567" s="1"/>
      <c r="AA3567" s="1"/>
      <c r="AB3567" s="1"/>
    </row>
    <row r="3568" ht="50.25" customHeight="1">
      <c r="A3568" s="12">
        <v>3564.0</v>
      </c>
      <c r="B3568" s="13" t="s">
        <v>3427</v>
      </c>
      <c r="C3568" s="14" t="s">
        <v>3585</v>
      </c>
      <c r="D3568" s="1"/>
      <c r="E3568" s="1"/>
      <c r="F3568" s="1" t="str">
        <f>IFERROR(__xludf.DUMMYFUNCTION("GOOGLETRANSLATE(B3568, ""en"", ""fa"")
"),"تمرینات ذهن آگاهی و مدیتیشن")</f>
        <v>تمرینات ذهن آگاهی و مدیتیشن</v>
      </c>
      <c r="G3568" s="1" t="str">
        <f>IFERROR(__xludf.DUMMYFUNCTION("GOOGLETRANSLATE(C3568, ""en"", ""fa"")
"),"درباره شیوه‌های تمرکز حواس برای افزایش آگاهی بدن و ارتقای آرامش فیزیکی بحث کنید.")</f>
        <v>درباره شیوه‌های تمرکز حواس برای افزایش آگاهی بدن و ارتقای آرامش فیزیکی بحث کنید.</v>
      </c>
      <c r="H3568" s="1"/>
      <c r="I3568" s="1"/>
      <c r="J3568" s="1"/>
      <c r="K3568" s="1"/>
      <c r="L3568" s="1"/>
      <c r="M3568" s="1"/>
      <c r="N3568" s="1"/>
      <c r="O3568" s="1"/>
      <c r="P3568" s="1"/>
      <c r="Q3568" s="1"/>
      <c r="R3568" s="1"/>
      <c r="S3568" s="1"/>
      <c r="T3568" s="1"/>
      <c r="U3568" s="1"/>
      <c r="V3568" s="1"/>
      <c r="W3568" s="1"/>
      <c r="X3568" s="1"/>
      <c r="Y3568" s="1"/>
      <c r="Z3568" s="1"/>
      <c r="AA3568" s="1"/>
      <c r="AB3568" s="1"/>
    </row>
    <row r="3569" ht="50.25" customHeight="1">
      <c r="A3569" s="12">
        <v>3565.0</v>
      </c>
      <c r="B3569" s="13" t="s">
        <v>3427</v>
      </c>
      <c r="C3569" s="14" t="s">
        <v>3586</v>
      </c>
      <c r="D3569" s="1"/>
      <c r="E3569" s="1"/>
      <c r="F3569" s="1" t="str">
        <f>IFERROR(__xludf.DUMMYFUNCTION("GOOGLETRANSLATE(B3569, ""en"", ""fa"")
"),"تمرینات ذهن آگاهی و مدیتیشن")</f>
        <v>تمرینات ذهن آگاهی و مدیتیشن</v>
      </c>
      <c r="G3569" s="1" t="str">
        <f>IFERROR(__xludf.DUMMYFUNCTION("GOOGLETRANSLATE(C3569, ""en"", ""fa"")
"),"تکنیک های تمرین ذهن آگاهی در طبیعت و ارتباط با لحظه حال را به اشتراک بگذارید.")</f>
        <v>تکنیک های تمرین ذهن آگاهی در طبیعت و ارتباط با لحظه حال را به اشتراک بگذارید.</v>
      </c>
      <c r="H3569" s="1"/>
      <c r="I3569" s="1"/>
      <c r="J3569" s="1"/>
      <c r="K3569" s="1"/>
      <c r="L3569" s="1"/>
      <c r="M3569" s="1"/>
      <c r="N3569" s="1"/>
      <c r="O3569" s="1"/>
      <c r="P3569" s="1"/>
      <c r="Q3569" s="1"/>
      <c r="R3569" s="1"/>
      <c r="S3569" s="1"/>
      <c r="T3569" s="1"/>
      <c r="U3569" s="1"/>
      <c r="V3569" s="1"/>
      <c r="W3569" s="1"/>
      <c r="X3569" s="1"/>
      <c r="Y3569" s="1"/>
      <c r="Z3569" s="1"/>
      <c r="AA3569" s="1"/>
      <c r="AB3569" s="1"/>
    </row>
    <row r="3570" ht="50.25" customHeight="1">
      <c r="A3570" s="12">
        <v>3566.0</v>
      </c>
      <c r="B3570" s="13" t="s">
        <v>3427</v>
      </c>
      <c r="C3570" s="14" t="s">
        <v>3587</v>
      </c>
      <c r="D3570" s="1"/>
      <c r="E3570" s="1"/>
      <c r="F3570" s="1" t="str">
        <f>IFERROR(__xludf.DUMMYFUNCTION("GOOGLETRANSLATE(B3570, ""en"", ""fa"")
"),"تمرینات ذهن آگاهی و مدیتیشن")</f>
        <v>تمرینات ذهن آگاهی و مدیتیشن</v>
      </c>
      <c r="G3570" s="1" t="str">
        <f>IFERROR(__xludf.DUMMYFUNCTION("GOOGLETRANSLATE(C3570, ""en"", ""fa"")
"),"در مورد مزایای ذهن آگاهی در ارتقاء سلامت و رفاه کلی فکر کنید.")</f>
        <v>در مورد مزایای ذهن آگاهی در ارتقاء سلامت و رفاه کلی فکر کنید.</v>
      </c>
      <c r="H3570" s="1"/>
      <c r="I3570" s="1"/>
      <c r="J3570" s="1"/>
      <c r="K3570" s="1"/>
      <c r="L3570" s="1"/>
      <c r="M3570" s="1"/>
      <c r="N3570" s="1"/>
      <c r="O3570" s="1"/>
      <c r="P3570" s="1"/>
      <c r="Q3570" s="1"/>
      <c r="R3570" s="1"/>
      <c r="S3570" s="1"/>
      <c r="T3570" s="1"/>
      <c r="U3570" s="1"/>
      <c r="V3570" s="1"/>
      <c r="W3570" s="1"/>
      <c r="X3570" s="1"/>
      <c r="Y3570" s="1"/>
      <c r="Z3570" s="1"/>
      <c r="AA3570" s="1"/>
      <c r="AB3570" s="1"/>
    </row>
    <row r="3571" ht="50.25" customHeight="1">
      <c r="A3571" s="12">
        <v>3567.0</v>
      </c>
      <c r="B3571" s="13" t="s">
        <v>3427</v>
      </c>
      <c r="C3571" s="14" t="s">
        <v>3588</v>
      </c>
      <c r="D3571" s="1"/>
      <c r="E3571" s="1"/>
      <c r="F3571" s="1" t="str">
        <f>IFERROR(__xludf.DUMMYFUNCTION("GOOGLETRANSLATE(B3571, ""en"", ""fa"")
"),"تمرینات ذهن آگاهی و مدیتیشن")</f>
        <v>تمرینات ذهن آگاهی و مدیتیشن</v>
      </c>
      <c r="G3571" s="1" t="str">
        <f>IFERROR(__xludf.DUMMYFUNCTION("GOOGLETRANSLATE(C3571, ""en"", ""fa"")
"),"در مورد نقش ذهن آگاهی در پرورش آگاهی بدون قضاوت و کاهش انتقاد از خود بحث کنید.")</f>
        <v>در مورد نقش ذهن آگاهی در پرورش آگاهی بدون قضاوت و کاهش انتقاد از خود بحث کنید.</v>
      </c>
      <c r="H3571" s="1"/>
      <c r="I3571" s="1"/>
      <c r="J3571" s="1"/>
      <c r="K3571" s="1"/>
      <c r="L3571" s="1"/>
      <c r="M3571" s="1"/>
      <c r="N3571" s="1"/>
      <c r="O3571" s="1"/>
      <c r="P3571" s="1"/>
      <c r="Q3571" s="1"/>
      <c r="R3571" s="1"/>
      <c r="S3571" s="1"/>
      <c r="T3571" s="1"/>
      <c r="U3571" s="1"/>
      <c r="V3571" s="1"/>
      <c r="W3571" s="1"/>
      <c r="X3571" s="1"/>
      <c r="Y3571" s="1"/>
      <c r="Z3571" s="1"/>
      <c r="AA3571" s="1"/>
      <c r="AB3571" s="1"/>
    </row>
    <row r="3572" ht="50.25" customHeight="1">
      <c r="A3572" s="12">
        <v>3568.0</v>
      </c>
      <c r="B3572" s="13" t="s">
        <v>3427</v>
      </c>
      <c r="C3572" s="14" t="s">
        <v>3589</v>
      </c>
      <c r="D3572" s="1"/>
      <c r="E3572" s="1"/>
      <c r="F3572" s="1" t="str">
        <f>IFERROR(__xludf.DUMMYFUNCTION("GOOGLETRANSLATE(B3572, ""en"", ""fa"")
"),"تمرینات ذهن آگاهی و مدیتیشن")</f>
        <v>تمرینات ذهن آگاهی و مدیتیشن</v>
      </c>
      <c r="G3572" s="1" t="str">
        <f>IFERROR(__xludf.DUMMYFUNCTION("GOOGLETRANSLATE(C3572, ""en"", ""fa"")
"),"شیوه های تمرکز حواس را برای پرورش شفقت نسبت به خود و دیگران کاوش کنید.")</f>
        <v>شیوه های تمرکز حواس را برای پرورش شفقت نسبت به خود و دیگران کاوش کنید.</v>
      </c>
      <c r="H3572" s="1"/>
      <c r="I3572" s="1"/>
      <c r="J3572" s="1"/>
      <c r="K3572" s="1"/>
      <c r="L3572" s="1"/>
      <c r="M3572" s="1"/>
      <c r="N3572" s="1"/>
      <c r="O3572" s="1"/>
      <c r="P3572" s="1"/>
      <c r="Q3572" s="1"/>
      <c r="R3572" s="1"/>
      <c r="S3572" s="1"/>
      <c r="T3572" s="1"/>
      <c r="U3572" s="1"/>
      <c r="V3572" s="1"/>
      <c r="W3572" s="1"/>
      <c r="X3572" s="1"/>
      <c r="Y3572" s="1"/>
      <c r="Z3572" s="1"/>
      <c r="AA3572" s="1"/>
      <c r="AB3572" s="1"/>
    </row>
    <row r="3573" ht="50.25" customHeight="1">
      <c r="A3573" s="12">
        <v>3569.0</v>
      </c>
      <c r="B3573" s="13" t="s">
        <v>3427</v>
      </c>
      <c r="C3573" s="14" t="s">
        <v>3590</v>
      </c>
      <c r="D3573" s="1"/>
      <c r="E3573" s="1"/>
      <c r="F3573" s="1" t="str">
        <f>IFERROR(__xludf.DUMMYFUNCTION("GOOGLETRANSLATE(B3573, ""en"", ""fa"")
"),"تمرینات ذهن آگاهی و مدیتیشن")</f>
        <v>تمرینات ذهن آگاهی و مدیتیشن</v>
      </c>
      <c r="G3573" s="1" t="str">
        <f>IFERROR(__xludf.DUMMYFUNCTION("GOOGLETRANSLATE(C3573, ""en"", ""fa"")
"),"تکنیک هایی را برای گنجاندن ذهن آگاهی در یک برنامه شلوغ و یافتن لحظات سکون در میان هرج و مرج به اشتراک بگذارید.")</f>
        <v>تکنیک هایی را برای گنجاندن ذهن آگاهی در یک برنامه شلوغ و یافتن لحظات سکون در میان هرج و مرج به اشتراک بگذارید.</v>
      </c>
      <c r="H3573" s="1"/>
      <c r="I3573" s="1"/>
      <c r="J3573" s="1"/>
      <c r="K3573" s="1"/>
      <c r="L3573" s="1"/>
      <c r="M3573" s="1"/>
      <c r="N3573" s="1"/>
      <c r="O3573" s="1"/>
      <c r="P3573" s="1"/>
      <c r="Q3573" s="1"/>
      <c r="R3573" s="1"/>
      <c r="S3573" s="1"/>
      <c r="T3573" s="1"/>
      <c r="U3573" s="1"/>
      <c r="V3573" s="1"/>
      <c r="W3573" s="1"/>
      <c r="X3573" s="1"/>
      <c r="Y3573" s="1"/>
      <c r="Z3573" s="1"/>
      <c r="AA3573" s="1"/>
      <c r="AB3573" s="1"/>
    </row>
    <row r="3574" ht="50.25" customHeight="1">
      <c r="A3574" s="12">
        <v>3570.0</v>
      </c>
      <c r="B3574" s="13" t="s">
        <v>3427</v>
      </c>
      <c r="C3574" s="14" t="s">
        <v>3591</v>
      </c>
      <c r="D3574" s="1"/>
      <c r="E3574" s="1"/>
      <c r="F3574" s="1" t="str">
        <f>IFERROR(__xludf.DUMMYFUNCTION("GOOGLETRANSLATE(B3574, ""en"", ""fa"")
"),"تمرینات ذهن آگاهی و مدیتیشن")</f>
        <v>تمرینات ذهن آگاهی و مدیتیشن</v>
      </c>
      <c r="G3574" s="1" t="str">
        <f>IFERROR(__xludf.DUMMYFUNCTION("GOOGLETRANSLATE(C3574, ""en"", ""fa"")
"),"در مورد مزایای ذهن آگاهی در ارتقای بهره وری و تمرکز کلی کار بحث کنید.")</f>
        <v>در مورد مزایای ذهن آگاهی در ارتقای بهره وری و تمرکز کلی کار بحث کنید.</v>
      </c>
      <c r="H3574" s="1"/>
      <c r="I3574" s="1"/>
      <c r="J3574" s="1"/>
      <c r="K3574" s="1"/>
      <c r="L3574" s="1"/>
      <c r="M3574" s="1"/>
      <c r="N3574" s="1"/>
      <c r="O3574" s="1"/>
      <c r="P3574" s="1"/>
      <c r="Q3574" s="1"/>
      <c r="R3574" s="1"/>
      <c r="S3574" s="1"/>
      <c r="T3574" s="1"/>
      <c r="U3574" s="1"/>
      <c r="V3574" s="1"/>
      <c r="W3574" s="1"/>
      <c r="X3574" s="1"/>
      <c r="Y3574" s="1"/>
      <c r="Z3574" s="1"/>
      <c r="AA3574" s="1"/>
      <c r="AB3574" s="1"/>
    </row>
    <row r="3575" ht="50.25" customHeight="1">
      <c r="A3575" s="12">
        <v>3571.0</v>
      </c>
      <c r="B3575" s="13" t="s">
        <v>3427</v>
      </c>
      <c r="C3575" s="14" t="s">
        <v>3592</v>
      </c>
      <c r="D3575" s="1"/>
      <c r="E3575" s="1"/>
      <c r="F3575" s="1" t="str">
        <f>IFERROR(__xludf.DUMMYFUNCTION("GOOGLETRANSLATE(B3575, ""en"", ""fa"")
"),"تمرینات ذهن آگاهی و مدیتیشن")</f>
        <v>تمرینات ذهن آگاهی و مدیتیشن</v>
      </c>
      <c r="G3575" s="1" t="str">
        <f>IFERROR(__xludf.DUMMYFUNCTION("GOOGLETRANSLATE(C3575, ""en"", ""fa"")
"),"به ارتباط بین ذهن آگاهی و معنویت فکر کنید، و اینکه چگونه ذهن آگاهی می تواند تمرین معنوی فرد را عمیق تر کند.")</f>
        <v>به ارتباط بین ذهن آگاهی و معنویت فکر کنید، و اینکه چگونه ذهن آگاهی می تواند تمرین معنوی فرد را عمیق تر کند.</v>
      </c>
      <c r="H3575" s="1"/>
      <c r="I3575" s="1"/>
      <c r="J3575" s="1"/>
      <c r="K3575" s="1"/>
      <c r="L3575" s="1"/>
      <c r="M3575" s="1"/>
      <c r="N3575" s="1"/>
      <c r="O3575" s="1"/>
      <c r="P3575" s="1"/>
      <c r="Q3575" s="1"/>
      <c r="R3575" s="1"/>
      <c r="S3575" s="1"/>
      <c r="T3575" s="1"/>
      <c r="U3575" s="1"/>
      <c r="V3575" s="1"/>
      <c r="W3575" s="1"/>
      <c r="X3575" s="1"/>
      <c r="Y3575" s="1"/>
      <c r="Z3575" s="1"/>
      <c r="AA3575" s="1"/>
      <c r="AB3575" s="1"/>
    </row>
    <row r="3576" ht="50.25" customHeight="1">
      <c r="A3576" s="12">
        <v>3572.0</v>
      </c>
      <c r="B3576" s="13" t="s">
        <v>3427</v>
      </c>
      <c r="C3576" s="14" t="s">
        <v>3593</v>
      </c>
      <c r="D3576" s="1"/>
      <c r="E3576" s="1"/>
      <c r="F3576" s="1" t="str">
        <f>IFERROR(__xludf.DUMMYFUNCTION("GOOGLETRANSLATE(B3576, ""en"", ""fa"")
"),"تمرینات ذهن آگاهی و مدیتیشن")</f>
        <v>تمرینات ذهن آگاهی و مدیتیشن</v>
      </c>
      <c r="G3576" s="1" t="str">
        <f>IFERROR(__xludf.DUMMYFUNCTION("GOOGLETRANSLATE(C3576, ""en"", ""fa"")
"),"تکنیک‌های تمرکز حواس را برای مدیریت الگوهای افکار منفی و ترویج ذهنیت مثبت بررسی کنید.")</f>
        <v>تکنیک‌های تمرکز حواس را برای مدیریت الگوهای افکار منفی و ترویج ذهنیت مثبت بررسی کنید.</v>
      </c>
      <c r="H3576" s="1"/>
      <c r="I3576" s="1"/>
      <c r="J3576" s="1"/>
      <c r="K3576" s="1"/>
      <c r="L3576" s="1"/>
      <c r="M3576" s="1"/>
      <c r="N3576" s="1"/>
      <c r="O3576" s="1"/>
      <c r="P3576" s="1"/>
      <c r="Q3576" s="1"/>
      <c r="R3576" s="1"/>
      <c r="S3576" s="1"/>
      <c r="T3576" s="1"/>
      <c r="U3576" s="1"/>
      <c r="V3576" s="1"/>
      <c r="W3576" s="1"/>
      <c r="X3576" s="1"/>
      <c r="Y3576" s="1"/>
      <c r="Z3576" s="1"/>
      <c r="AA3576" s="1"/>
      <c r="AB3576" s="1"/>
    </row>
    <row r="3577" ht="50.25" customHeight="1">
      <c r="A3577" s="12">
        <v>3573.0</v>
      </c>
      <c r="B3577" s="13" t="s">
        <v>3427</v>
      </c>
      <c r="C3577" s="14" t="s">
        <v>3594</v>
      </c>
      <c r="D3577" s="1"/>
      <c r="E3577" s="1"/>
      <c r="F3577" s="1" t="str">
        <f>IFERROR(__xludf.DUMMYFUNCTION("GOOGLETRANSLATE(B3577, ""en"", ""fa"")
"),"تمرینات ذهن آگاهی و مدیتیشن")</f>
        <v>تمرینات ذهن آگاهی و مدیتیشن</v>
      </c>
      <c r="G3577" s="1" t="str">
        <f>IFERROR(__xludf.DUMMYFUNCTION("GOOGLETRANSLATE(C3577, ""en"", ""fa"")
"),"درباره شیوه‌های تمرکز حواس برای تقویت ارتباط بدن و ذهن و ارتقای رفاه کلی مجسم بحث کنید.")</f>
        <v>درباره شیوه‌های تمرکز حواس برای تقویت ارتباط بدن و ذهن و ارتقای رفاه کلی مجسم بحث کنید.</v>
      </c>
      <c r="H3577" s="1"/>
      <c r="I3577" s="1"/>
      <c r="J3577" s="1"/>
      <c r="K3577" s="1"/>
      <c r="L3577" s="1"/>
      <c r="M3577" s="1"/>
      <c r="N3577" s="1"/>
      <c r="O3577" s="1"/>
      <c r="P3577" s="1"/>
      <c r="Q3577" s="1"/>
      <c r="R3577" s="1"/>
      <c r="S3577" s="1"/>
      <c r="T3577" s="1"/>
      <c r="U3577" s="1"/>
      <c r="V3577" s="1"/>
      <c r="W3577" s="1"/>
      <c r="X3577" s="1"/>
      <c r="Y3577" s="1"/>
      <c r="Z3577" s="1"/>
      <c r="AA3577" s="1"/>
      <c r="AB3577" s="1"/>
    </row>
    <row r="3578" ht="50.25" customHeight="1">
      <c r="A3578" s="12">
        <v>3574.0</v>
      </c>
      <c r="B3578" s="13" t="s">
        <v>3427</v>
      </c>
      <c r="C3578" s="14" t="s">
        <v>3595</v>
      </c>
      <c r="D3578" s="1"/>
      <c r="E3578" s="1"/>
      <c r="F3578" s="1" t="str">
        <f>IFERROR(__xludf.DUMMYFUNCTION("GOOGLETRANSLATE(B3578, ""en"", ""fa"")
"),"تمرینات ذهن آگاهی و مدیتیشن")</f>
        <v>تمرینات ذهن آگاهی و مدیتیشن</v>
      </c>
      <c r="G3578" s="1" t="str">
        <f>IFERROR(__xludf.DUMMYFUNCTION("GOOGLETRANSLATE(C3578, ""en"", ""fa"")
"),"تکنیک های تمرین ذهن آگاهی در تعاملات اجتماعی و بهبود روابط بین فردی را به اشتراک بگذارید.")</f>
        <v>تکنیک های تمرین ذهن آگاهی در تعاملات اجتماعی و بهبود روابط بین فردی را به اشتراک بگذارید.</v>
      </c>
      <c r="H3578" s="1"/>
      <c r="I3578" s="1"/>
      <c r="J3578" s="1"/>
      <c r="K3578" s="1"/>
      <c r="L3578" s="1"/>
      <c r="M3578" s="1"/>
      <c r="N3578" s="1"/>
      <c r="O3578" s="1"/>
      <c r="P3578" s="1"/>
      <c r="Q3578" s="1"/>
      <c r="R3578" s="1"/>
      <c r="S3578" s="1"/>
      <c r="T3578" s="1"/>
      <c r="U3578" s="1"/>
      <c r="V3578" s="1"/>
      <c r="W3578" s="1"/>
      <c r="X3578" s="1"/>
      <c r="Y3578" s="1"/>
      <c r="Z3578" s="1"/>
      <c r="AA3578" s="1"/>
      <c r="AB3578" s="1"/>
    </row>
    <row r="3579" ht="50.25" customHeight="1">
      <c r="A3579" s="12">
        <v>3575.0</v>
      </c>
      <c r="B3579" s="13" t="s">
        <v>3427</v>
      </c>
      <c r="C3579" s="14" t="s">
        <v>3596</v>
      </c>
      <c r="D3579" s="1"/>
      <c r="E3579" s="1"/>
      <c r="F3579" s="1" t="str">
        <f>IFERROR(__xludf.DUMMYFUNCTION("GOOGLETRANSLATE(B3579, ""en"", ""fa"")
"),"تمرینات ذهن آگاهی و مدیتیشن")</f>
        <v>تمرینات ذهن آگاهی و مدیتیشن</v>
      </c>
      <c r="G3579" s="1" t="str">
        <f>IFERROR(__xludf.DUMMYFUNCTION("GOOGLETRANSLATE(C3579, ""en"", ""fa"")
"),"در مورد مزایای تمرکز حواس در افزایش بازتاب خود و کشف خود فکر کنید.")</f>
        <v>در مورد مزایای تمرکز حواس در افزایش بازتاب خود و کشف خود فکر کنید.</v>
      </c>
      <c r="H3579" s="1"/>
      <c r="I3579" s="1"/>
      <c r="J3579" s="1"/>
      <c r="K3579" s="1"/>
      <c r="L3579" s="1"/>
      <c r="M3579" s="1"/>
      <c r="N3579" s="1"/>
      <c r="O3579" s="1"/>
      <c r="P3579" s="1"/>
      <c r="Q3579" s="1"/>
      <c r="R3579" s="1"/>
      <c r="S3579" s="1"/>
      <c r="T3579" s="1"/>
      <c r="U3579" s="1"/>
      <c r="V3579" s="1"/>
      <c r="W3579" s="1"/>
      <c r="X3579" s="1"/>
      <c r="Y3579" s="1"/>
      <c r="Z3579" s="1"/>
      <c r="AA3579" s="1"/>
      <c r="AB3579" s="1"/>
    </row>
    <row r="3580" ht="50.25" customHeight="1">
      <c r="A3580" s="12">
        <v>3576.0</v>
      </c>
      <c r="B3580" s="13" t="s">
        <v>3427</v>
      </c>
      <c r="C3580" s="14" t="s">
        <v>3597</v>
      </c>
      <c r="D3580" s="1"/>
      <c r="E3580" s="1"/>
      <c r="F3580" s="1" t="str">
        <f>IFERROR(__xludf.DUMMYFUNCTION("GOOGLETRANSLATE(B3580, ""en"", ""fa"")
"),"تمرینات ذهن آگاهی و مدیتیشن")</f>
        <v>تمرینات ذهن آگاهی و مدیتیشن</v>
      </c>
      <c r="G3580" s="1" t="str">
        <f>IFERROR(__xludf.DUMMYFUNCTION("GOOGLETRANSLATE(C3580, ""en"", ""fa"")
"),"در مورد شیوه های تمرکز حواس برای ارتقای خودپذیری و پرورش حس ارزش درونی بحث کنید.")</f>
        <v>در مورد شیوه های تمرکز حواس برای ارتقای خودپذیری و پرورش حس ارزش درونی بحث کنید.</v>
      </c>
      <c r="H3580" s="1"/>
      <c r="I3580" s="1"/>
      <c r="J3580" s="1"/>
      <c r="K3580" s="1"/>
      <c r="L3580" s="1"/>
      <c r="M3580" s="1"/>
      <c r="N3580" s="1"/>
      <c r="O3580" s="1"/>
      <c r="P3580" s="1"/>
      <c r="Q3580" s="1"/>
      <c r="R3580" s="1"/>
      <c r="S3580" s="1"/>
      <c r="T3580" s="1"/>
      <c r="U3580" s="1"/>
      <c r="V3580" s="1"/>
      <c r="W3580" s="1"/>
      <c r="X3580" s="1"/>
      <c r="Y3580" s="1"/>
      <c r="Z3580" s="1"/>
      <c r="AA3580" s="1"/>
      <c r="AB3580" s="1"/>
    </row>
    <row r="3581" ht="50.25" customHeight="1">
      <c r="A3581" s="12">
        <v>3577.0</v>
      </c>
      <c r="B3581" s="13" t="s">
        <v>3427</v>
      </c>
      <c r="C3581" s="14" t="s">
        <v>3598</v>
      </c>
      <c r="D3581" s="1"/>
      <c r="E3581" s="1"/>
      <c r="F3581" s="1" t="str">
        <f>IFERROR(__xludf.DUMMYFUNCTION("GOOGLETRANSLATE(B3581, ""en"", ""fa"")
"),"تمرینات ذهن آگاهی و مدیتیشن")</f>
        <v>تمرینات ذهن آگاهی و مدیتیشن</v>
      </c>
      <c r="G3581" s="1" t="str">
        <f>IFERROR(__xludf.DUMMYFUNCTION("GOOGLETRANSLATE(C3581, ""en"", ""fa"")
"),"تکنیک‌های تمرکز حواس را برای مدیریت سرگیجه و یافتن تعادل در دنیایی پرسرعت کاوش کنید.")</f>
        <v>تکنیک‌های تمرکز حواس را برای مدیریت سرگیجه و یافتن تعادل در دنیایی پرسرعت کاوش کنید.</v>
      </c>
      <c r="H3581" s="1"/>
      <c r="I3581" s="1"/>
      <c r="J3581" s="1"/>
      <c r="K3581" s="1"/>
      <c r="L3581" s="1"/>
      <c r="M3581" s="1"/>
      <c r="N3581" s="1"/>
      <c r="O3581" s="1"/>
      <c r="P3581" s="1"/>
      <c r="Q3581" s="1"/>
      <c r="R3581" s="1"/>
      <c r="S3581" s="1"/>
      <c r="T3581" s="1"/>
      <c r="U3581" s="1"/>
      <c r="V3581" s="1"/>
      <c r="W3581" s="1"/>
      <c r="X3581" s="1"/>
      <c r="Y3581" s="1"/>
      <c r="Z3581" s="1"/>
      <c r="AA3581" s="1"/>
      <c r="AB3581" s="1"/>
    </row>
    <row r="3582" ht="50.25" customHeight="1">
      <c r="A3582" s="12">
        <v>3578.0</v>
      </c>
      <c r="B3582" s="13" t="s">
        <v>3427</v>
      </c>
      <c r="C3582" s="14" t="s">
        <v>3599</v>
      </c>
      <c r="D3582" s="1"/>
      <c r="E3582" s="1"/>
      <c r="F3582" s="1" t="str">
        <f>IFERROR(__xludf.DUMMYFUNCTION("GOOGLETRANSLATE(B3582, ""en"", ""fa"")
"),"تمرینات ذهن آگاهی و مدیتیشن")</f>
        <v>تمرینات ذهن آگاهی و مدیتیشن</v>
      </c>
      <c r="G3582" s="1" t="str">
        <f>IFERROR(__xludf.DUMMYFUNCTION("GOOGLETRANSLATE(C3582, ""en"", ""fa"")
"),"تکنیک هایی را برای گنجاندن ذهن آگاهی در استفاده از فناوری و ارتقای رفاه دیجیتال به اشتراک بگذارید.")</f>
        <v>تکنیک هایی را برای گنجاندن ذهن آگاهی در استفاده از فناوری و ارتقای رفاه دیجیتال به اشتراک بگذارید.</v>
      </c>
      <c r="H3582" s="1"/>
      <c r="I3582" s="1"/>
      <c r="J3582" s="1"/>
      <c r="K3582" s="1"/>
      <c r="L3582" s="1"/>
      <c r="M3582" s="1"/>
      <c r="N3582" s="1"/>
      <c r="O3582" s="1"/>
      <c r="P3582" s="1"/>
      <c r="Q3582" s="1"/>
      <c r="R3582" s="1"/>
      <c r="S3582" s="1"/>
      <c r="T3582" s="1"/>
      <c r="U3582" s="1"/>
      <c r="V3582" s="1"/>
      <c r="W3582" s="1"/>
      <c r="X3582" s="1"/>
      <c r="Y3582" s="1"/>
      <c r="Z3582" s="1"/>
      <c r="AA3582" s="1"/>
      <c r="AB3582" s="1"/>
    </row>
    <row r="3583" ht="50.25" customHeight="1">
      <c r="A3583" s="12">
        <v>3579.0</v>
      </c>
      <c r="B3583" s="13" t="s">
        <v>3427</v>
      </c>
      <c r="C3583" s="14" t="s">
        <v>3600</v>
      </c>
      <c r="D3583" s="1"/>
      <c r="E3583" s="1"/>
      <c r="F3583" s="1" t="str">
        <f>IFERROR(__xludf.DUMMYFUNCTION("GOOGLETRANSLATE(B3583, ""en"", ""fa"")
"),"تمرینات ذهن آگاهی و مدیتیشن")</f>
        <v>تمرینات ذهن آگاهی و مدیتیشن</v>
      </c>
      <c r="G3583" s="1" t="str">
        <f>IFERROR(__xludf.DUMMYFUNCTION("GOOGLETRANSLATE(C3583, ""en"", ""fa"")
"),"درباره نقش ذهن آگاهی در پرورش تاب آوری در مواجهه با موانع یا چالش ها بحث کنید.")</f>
        <v>درباره نقش ذهن آگاهی در پرورش تاب آوری در مواجهه با موانع یا چالش ها بحث کنید.</v>
      </c>
      <c r="H3583" s="1"/>
      <c r="I3583" s="1"/>
      <c r="J3583" s="1"/>
      <c r="K3583" s="1"/>
      <c r="L3583" s="1"/>
      <c r="M3583" s="1"/>
      <c r="N3583" s="1"/>
      <c r="O3583" s="1"/>
      <c r="P3583" s="1"/>
      <c r="Q3583" s="1"/>
      <c r="R3583" s="1"/>
      <c r="S3583" s="1"/>
      <c r="T3583" s="1"/>
      <c r="U3583" s="1"/>
      <c r="V3583" s="1"/>
      <c r="W3583" s="1"/>
      <c r="X3583" s="1"/>
      <c r="Y3583" s="1"/>
      <c r="Z3583" s="1"/>
      <c r="AA3583" s="1"/>
      <c r="AB3583" s="1"/>
    </row>
    <row r="3584" ht="50.25" customHeight="1">
      <c r="A3584" s="12">
        <v>3580.0</v>
      </c>
      <c r="B3584" s="13" t="s">
        <v>3427</v>
      </c>
      <c r="C3584" s="14" t="s">
        <v>3601</v>
      </c>
      <c r="D3584" s="1"/>
      <c r="E3584" s="1"/>
      <c r="F3584" s="1" t="str">
        <f>IFERROR(__xludf.DUMMYFUNCTION("GOOGLETRANSLATE(B3584, ""en"", ""fa"")
"),"تمرینات ذهن آگاهی و مدیتیشن")</f>
        <v>تمرینات ذهن آگاهی و مدیتیشن</v>
      </c>
      <c r="G3584" s="1" t="str">
        <f>IFERROR(__xludf.DUMMYFUNCTION("GOOGLETRANSLATE(C3584, ""en"", ""fa"")
"),"در مورد مزایای ذهن آگاهی در ارتقاء تنظیم هیجانی و کاهش تکانشگری فکر کنید.")</f>
        <v>در مورد مزایای ذهن آگاهی در ارتقاء تنظیم هیجانی و کاهش تکانشگری فکر کنید.</v>
      </c>
      <c r="H3584" s="1"/>
      <c r="I3584" s="1"/>
      <c r="J3584" s="1"/>
      <c r="K3584" s="1"/>
      <c r="L3584" s="1"/>
      <c r="M3584" s="1"/>
      <c r="N3584" s="1"/>
      <c r="O3584" s="1"/>
      <c r="P3584" s="1"/>
      <c r="Q3584" s="1"/>
      <c r="R3584" s="1"/>
      <c r="S3584" s="1"/>
      <c r="T3584" s="1"/>
      <c r="U3584" s="1"/>
      <c r="V3584" s="1"/>
      <c r="W3584" s="1"/>
      <c r="X3584" s="1"/>
      <c r="Y3584" s="1"/>
      <c r="Z3584" s="1"/>
      <c r="AA3584" s="1"/>
      <c r="AB3584" s="1"/>
    </row>
    <row r="3585" ht="50.25" customHeight="1">
      <c r="A3585" s="12">
        <v>3581.0</v>
      </c>
      <c r="B3585" s="13" t="s">
        <v>3427</v>
      </c>
      <c r="C3585" s="14" t="s">
        <v>3602</v>
      </c>
      <c r="D3585" s="1"/>
      <c r="E3585" s="1"/>
      <c r="F3585" s="1" t="str">
        <f>IFERROR(__xludf.DUMMYFUNCTION("GOOGLETRANSLATE(B3585, ""en"", ""fa"")
"),"تمرینات ذهن آگاهی و مدیتیشن")</f>
        <v>تمرینات ذهن آگاهی و مدیتیشن</v>
      </c>
      <c r="G3585" s="1" t="str">
        <f>IFERROR(__xludf.DUMMYFUNCTION("GOOGLETRANSLATE(C3585, ""en"", ""fa"")
"),"شیوه های تمرکز حواس را برای پرورش حس به هم پیوستگی و پرورش شفقت نسبت به همه موجودات کاوش کنید.")</f>
        <v>شیوه های تمرکز حواس را برای پرورش حس به هم پیوستگی و پرورش شفقت نسبت به همه موجودات کاوش کنید.</v>
      </c>
      <c r="H3585" s="1"/>
      <c r="I3585" s="1"/>
      <c r="J3585" s="1"/>
      <c r="K3585" s="1"/>
      <c r="L3585" s="1"/>
      <c r="M3585" s="1"/>
      <c r="N3585" s="1"/>
      <c r="O3585" s="1"/>
      <c r="P3585" s="1"/>
      <c r="Q3585" s="1"/>
      <c r="R3585" s="1"/>
      <c r="S3585" s="1"/>
      <c r="T3585" s="1"/>
      <c r="U3585" s="1"/>
      <c r="V3585" s="1"/>
      <c r="W3585" s="1"/>
      <c r="X3585" s="1"/>
      <c r="Y3585" s="1"/>
      <c r="Z3585" s="1"/>
      <c r="AA3585" s="1"/>
      <c r="AB3585" s="1"/>
    </row>
    <row r="3586" ht="50.25" customHeight="1">
      <c r="A3586" s="12">
        <v>3582.0</v>
      </c>
      <c r="B3586" s="13" t="s">
        <v>3427</v>
      </c>
      <c r="C3586" s="14" t="s">
        <v>3603</v>
      </c>
      <c r="D3586" s="1"/>
      <c r="E3586" s="1"/>
      <c r="F3586" s="1" t="str">
        <f>IFERROR(__xludf.DUMMYFUNCTION("GOOGLETRANSLATE(B3586, ""en"", ""fa"")
"),"تمرینات ذهن آگاهی و مدیتیشن")</f>
        <v>تمرینات ذهن آگاهی و مدیتیشن</v>
      </c>
      <c r="G3586" s="1" t="str">
        <f>IFERROR(__xludf.DUMMYFUNCTION("GOOGLETRANSLATE(C3586, ""en"", ""fa"")
"),"در مورد تکنیک های تمرکز حواس برای مدیریت حواس پرتی و بهبود تمرکز در زندگی روزمره بحث کنید.")</f>
        <v>در مورد تکنیک های تمرکز حواس برای مدیریت حواس پرتی و بهبود تمرکز در زندگی روزمره بحث کنید.</v>
      </c>
      <c r="H3586" s="1"/>
      <c r="I3586" s="1"/>
      <c r="J3586" s="1"/>
      <c r="K3586" s="1"/>
      <c r="L3586" s="1"/>
      <c r="M3586" s="1"/>
      <c r="N3586" s="1"/>
      <c r="O3586" s="1"/>
      <c r="P3586" s="1"/>
      <c r="Q3586" s="1"/>
      <c r="R3586" s="1"/>
      <c r="S3586" s="1"/>
      <c r="T3586" s="1"/>
      <c r="U3586" s="1"/>
      <c r="V3586" s="1"/>
      <c r="W3586" s="1"/>
      <c r="X3586" s="1"/>
      <c r="Y3586" s="1"/>
      <c r="Z3586" s="1"/>
      <c r="AA3586" s="1"/>
      <c r="AB3586" s="1"/>
    </row>
    <row r="3587" ht="50.25" customHeight="1">
      <c r="A3587" s="12">
        <v>3583.0</v>
      </c>
      <c r="B3587" s="13" t="s">
        <v>3427</v>
      </c>
      <c r="C3587" s="14" t="s">
        <v>3604</v>
      </c>
      <c r="D3587" s="1"/>
      <c r="E3587" s="1"/>
      <c r="F3587" s="1" t="str">
        <f>IFERROR(__xludf.DUMMYFUNCTION("GOOGLETRANSLATE(B3587, ""en"", ""fa"")
"),"تمرینات ذهن آگاهی و مدیتیشن")</f>
        <v>تمرینات ذهن آگاهی و مدیتیشن</v>
      </c>
      <c r="G3587" s="1" t="str">
        <f>IFERROR(__xludf.DUMMYFUNCTION("GOOGLETRANSLATE(C3587, ""en"", ""fa"")
"),"تکنیک های تمرین ذهن آگاهی را در لحظات انتقال یا تغییر به اشتراک بگذارید.")</f>
        <v>تکنیک های تمرین ذهن آگاهی را در لحظات انتقال یا تغییر به اشتراک بگذارید.</v>
      </c>
      <c r="H3587" s="1"/>
      <c r="I3587" s="1"/>
      <c r="J3587" s="1"/>
      <c r="K3587" s="1"/>
      <c r="L3587" s="1"/>
      <c r="M3587" s="1"/>
      <c r="N3587" s="1"/>
      <c r="O3587" s="1"/>
      <c r="P3587" s="1"/>
      <c r="Q3587" s="1"/>
      <c r="R3587" s="1"/>
      <c r="S3587" s="1"/>
      <c r="T3587" s="1"/>
      <c r="U3587" s="1"/>
      <c r="V3587" s="1"/>
      <c r="W3587" s="1"/>
      <c r="X3587" s="1"/>
      <c r="Y3587" s="1"/>
      <c r="Z3587" s="1"/>
      <c r="AA3587" s="1"/>
      <c r="AB3587" s="1"/>
    </row>
    <row r="3588" ht="50.25" customHeight="1">
      <c r="A3588" s="12">
        <v>3584.0</v>
      </c>
      <c r="B3588" s="13" t="s">
        <v>3427</v>
      </c>
      <c r="C3588" s="14" t="s">
        <v>3605</v>
      </c>
      <c r="D3588" s="1"/>
      <c r="E3588" s="1"/>
      <c r="F3588" s="1" t="str">
        <f>IFERROR(__xludf.DUMMYFUNCTION("GOOGLETRANSLATE(B3588, ""en"", ""fa"")
"),"تمرینات ذهن آگاهی و مدیتیشن")</f>
        <v>تمرینات ذهن آگاهی و مدیتیشن</v>
      </c>
      <c r="G3588" s="1" t="str">
        <f>IFERROR(__xludf.DUMMYFUNCTION("GOOGLETRANSLATE(C3588, ""en"", ""fa"")
"),"در مورد ارتباط بین ذهن آگاهی و قدردانی و اینکه چگونه می توان هر دو را برای رفاه بیشتر پرورش داد، فکر کنید.")</f>
        <v>در مورد ارتباط بین ذهن آگاهی و قدردانی و اینکه چگونه می توان هر دو را برای رفاه بیشتر پرورش داد، فکر کنید.</v>
      </c>
      <c r="H3588" s="1"/>
      <c r="I3588" s="1"/>
      <c r="J3588" s="1"/>
      <c r="K3588" s="1"/>
      <c r="L3588" s="1"/>
      <c r="M3588" s="1"/>
      <c r="N3588" s="1"/>
      <c r="O3588" s="1"/>
      <c r="P3588" s="1"/>
      <c r="Q3588" s="1"/>
      <c r="R3588" s="1"/>
      <c r="S3588" s="1"/>
      <c r="T3588" s="1"/>
      <c r="U3588" s="1"/>
      <c r="V3588" s="1"/>
      <c r="W3588" s="1"/>
      <c r="X3588" s="1"/>
      <c r="Y3588" s="1"/>
      <c r="Z3588" s="1"/>
      <c r="AA3588" s="1"/>
      <c r="AB3588" s="1"/>
    </row>
    <row r="3589" ht="50.25" customHeight="1">
      <c r="A3589" s="12">
        <v>3585.0</v>
      </c>
      <c r="B3589" s="13" t="s">
        <v>3427</v>
      </c>
      <c r="C3589" s="14" t="s">
        <v>3606</v>
      </c>
      <c r="D3589" s="1"/>
      <c r="E3589" s="1"/>
      <c r="F3589" s="1" t="str">
        <f>IFERROR(__xludf.DUMMYFUNCTION("GOOGLETRANSLATE(B3589, ""en"", ""fa"")
"),"تمرینات ذهن آگاهی و مدیتیشن")</f>
        <v>تمرینات ذهن آگاهی و مدیتیشن</v>
      </c>
      <c r="G3589" s="1" t="str">
        <f>IFERROR(__xludf.DUMMYFUNCTION("GOOGLETRANSLATE(C3589, ""en"", ""fa"")
"),"شیوه های تمرکز حواس را برای تقویت شفقت به خود و پرورش صدای درونی مهربان و ملایم کاوش کنید.")</f>
        <v>شیوه های تمرکز حواس را برای تقویت شفقت به خود و پرورش صدای درونی مهربان و ملایم کاوش کنید.</v>
      </c>
      <c r="H3589" s="1"/>
      <c r="I3589" s="1"/>
      <c r="J3589" s="1"/>
      <c r="K3589" s="1"/>
      <c r="L3589" s="1"/>
      <c r="M3589" s="1"/>
      <c r="N3589" s="1"/>
      <c r="O3589" s="1"/>
      <c r="P3589" s="1"/>
      <c r="Q3589" s="1"/>
      <c r="R3589" s="1"/>
      <c r="S3589" s="1"/>
      <c r="T3589" s="1"/>
      <c r="U3589" s="1"/>
      <c r="V3589" s="1"/>
      <c r="W3589" s="1"/>
      <c r="X3589" s="1"/>
      <c r="Y3589" s="1"/>
      <c r="Z3589" s="1"/>
      <c r="AA3589" s="1"/>
      <c r="AB3589" s="1"/>
    </row>
    <row r="3590" ht="50.25" customHeight="1">
      <c r="A3590" s="12">
        <v>3586.0</v>
      </c>
      <c r="B3590" s="13" t="s">
        <v>3427</v>
      </c>
      <c r="C3590" s="14" t="s">
        <v>3607</v>
      </c>
      <c r="D3590" s="1"/>
      <c r="E3590" s="1"/>
      <c r="F3590" s="1" t="str">
        <f>IFERROR(__xludf.DUMMYFUNCTION("GOOGLETRANSLATE(B3590, ""en"", ""fa"")
"),"تمرینات ذهن آگاهی و مدیتیشن")</f>
        <v>تمرینات ذهن آگاهی و مدیتیشن</v>
      </c>
      <c r="G3590" s="1" t="str">
        <f>IFERROR(__xludf.DUMMYFUNCTION("GOOGLETRANSLATE(C3590, ""en"", ""fa"")
"),"در مورد مزایای ذهن آگاهی در ارتقای پذیرش بدن و کاهش نارضایتی بدن بحث کنید.")</f>
        <v>در مورد مزایای ذهن آگاهی در ارتقای پذیرش بدن و کاهش نارضایتی بدن بحث کنید.</v>
      </c>
      <c r="H3590" s="1"/>
      <c r="I3590" s="1"/>
      <c r="J3590" s="1"/>
      <c r="K3590" s="1"/>
      <c r="L3590" s="1"/>
      <c r="M3590" s="1"/>
      <c r="N3590" s="1"/>
      <c r="O3590" s="1"/>
      <c r="P3590" s="1"/>
      <c r="Q3590" s="1"/>
      <c r="R3590" s="1"/>
      <c r="S3590" s="1"/>
      <c r="T3590" s="1"/>
      <c r="U3590" s="1"/>
      <c r="V3590" s="1"/>
      <c r="W3590" s="1"/>
      <c r="X3590" s="1"/>
      <c r="Y3590" s="1"/>
      <c r="Z3590" s="1"/>
      <c r="AA3590" s="1"/>
      <c r="AB3590" s="1"/>
    </row>
    <row r="3591" ht="50.25" customHeight="1">
      <c r="A3591" s="12">
        <v>3587.0</v>
      </c>
      <c r="B3591" s="13" t="s">
        <v>3427</v>
      </c>
      <c r="C3591" s="14" t="s">
        <v>3608</v>
      </c>
      <c r="D3591" s="1"/>
      <c r="E3591" s="1"/>
      <c r="F3591" s="1" t="str">
        <f>IFERROR(__xludf.DUMMYFUNCTION("GOOGLETRANSLATE(B3591, ""en"", ""fa"")
"),"تمرینات ذهن آگاهی و مدیتیشن")</f>
        <v>تمرینات ذهن آگاهی و مدیتیشن</v>
      </c>
      <c r="G3591" s="1" t="str">
        <f>IFERROR(__xludf.DUMMYFUNCTION("GOOGLETRANSLATE(C3591, ""en"", ""fa"")
"),"تکنیک هایی را برای گنجاندن ذهن آگاهی در مراسم روزانه و یافتن لحظات سکون در زندگی روزمره به اشتراک بگذارید.")</f>
        <v>تکنیک هایی را برای گنجاندن ذهن آگاهی در مراسم روزانه و یافتن لحظات سکون در زندگی روزمره به اشتراک بگذارید.</v>
      </c>
      <c r="H3591" s="1"/>
      <c r="I3591" s="1"/>
      <c r="J3591" s="1"/>
      <c r="K3591" s="1"/>
      <c r="L3591" s="1"/>
      <c r="M3591" s="1"/>
      <c r="N3591" s="1"/>
      <c r="O3591" s="1"/>
      <c r="P3591" s="1"/>
      <c r="Q3591" s="1"/>
      <c r="R3591" s="1"/>
      <c r="S3591" s="1"/>
      <c r="T3591" s="1"/>
      <c r="U3591" s="1"/>
      <c r="V3591" s="1"/>
      <c r="W3591" s="1"/>
      <c r="X3591" s="1"/>
      <c r="Y3591" s="1"/>
      <c r="Z3591" s="1"/>
      <c r="AA3591" s="1"/>
      <c r="AB3591" s="1"/>
    </row>
    <row r="3592" ht="50.25" customHeight="1">
      <c r="A3592" s="12">
        <v>3588.0</v>
      </c>
      <c r="B3592" s="13" t="s">
        <v>3427</v>
      </c>
      <c r="C3592" s="14" t="s">
        <v>3609</v>
      </c>
      <c r="D3592" s="1"/>
      <c r="E3592" s="1"/>
      <c r="F3592" s="1" t="str">
        <f>IFERROR(__xludf.DUMMYFUNCTION("GOOGLETRANSLATE(B3592, ""en"", ""fa"")
"),"تمرینات ذهن آگاهی و مدیتیشن")</f>
        <v>تمرینات ذهن آگاهی و مدیتیشن</v>
      </c>
      <c r="G3592" s="1" t="str">
        <f>IFERROR(__xludf.DUMMYFUNCTION("GOOGLETRANSLATE(C3592, ""en"", ""fa"")
"),"در مورد مزایای تمرین ذهن آگاهی در طبیعت و ارتباط با دنیای طبیعی فکر کنید.")</f>
        <v>در مورد مزایای تمرین ذهن آگاهی در طبیعت و ارتباط با دنیای طبیعی فکر کنید.</v>
      </c>
      <c r="H3592" s="1"/>
      <c r="I3592" s="1"/>
      <c r="J3592" s="1"/>
      <c r="K3592" s="1"/>
      <c r="L3592" s="1"/>
      <c r="M3592" s="1"/>
      <c r="N3592" s="1"/>
      <c r="O3592" s="1"/>
      <c r="P3592" s="1"/>
      <c r="Q3592" s="1"/>
      <c r="R3592" s="1"/>
      <c r="S3592" s="1"/>
      <c r="T3592" s="1"/>
      <c r="U3592" s="1"/>
      <c r="V3592" s="1"/>
      <c r="W3592" s="1"/>
      <c r="X3592" s="1"/>
      <c r="Y3592" s="1"/>
      <c r="Z3592" s="1"/>
      <c r="AA3592" s="1"/>
      <c r="AB3592" s="1"/>
    </row>
    <row r="3593" ht="50.25" customHeight="1">
      <c r="A3593" s="12">
        <v>3589.0</v>
      </c>
      <c r="B3593" s="13" t="s">
        <v>3427</v>
      </c>
      <c r="C3593" s="14" t="s">
        <v>3610</v>
      </c>
      <c r="D3593" s="1"/>
      <c r="E3593" s="1"/>
      <c r="F3593" s="1" t="str">
        <f>IFERROR(__xludf.DUMMYFUNCTION("GOOGLETRANSLATE(B3593, ""en"", ""fa"")
"),"تمرینات ذهن آگاهی و مدیتیشن")</f>
        <v>تمرینات ذهن آگاهی و مدیتیشن</v>
      </c>
      <c r="G3593" s="1" t="str">
        <f>IFERROR(__xludf.DUMMYFUNCTION("GOOGLETRANSLATE(C3593, ""en"", ""fa"")
"),"درباره نقش ذهن آگاهی در پرورش شفقت نسبت به خود و دیگران بحث کنید.")</f>
        <v>درباره نقش ذهن آگاهی در پرورش شفقت نسبت به خود و دیگران بحث کنید.</v>
      </c>
      <c r="H3593" s="1"/>
      <c r="I3593" s="1"/>
      <c r="J3593" s="1"/>
      <c r="K3593" s="1"/>
      <c r="L3593" s="1"/>
      <c r="M3593" s="1"/>
      <c r="N3593" s="1"/>
      <c r="O3593" s="1"/>
      <c r="P3593" s="1"/>
      <c r="Q3593" s="1"/>
      <c r="R3593" s="1"/>
      <c r="S3593" s="1"/>
      <c r="T3593" s="1"/>
      <c r="U3593" s="1"/>
      <c r="V3593" s="1"/>
      <c r="W3593" s="1"/>
      <c r="X3593" s="1"/>
      <c r="Y3593" s="1"/>
      <c r="Z3593" s="1"/>
      <c r="AA3593" s="1"/>
      <c r="AB3593" s="1"/>
    </row>
    <row r="3594" ht="50.25" customHeight="1">
      <c r="A3594" s="12">
        <v>3590.0</v>
      </c>
      <c r="B3594" s="13" t="s">
        <v>3427</v>
      </c>
      <c r="C3594" s="14" t="s">
        <v>3611</v>
      </c>
      <c r="D3594" s="1"/>
      <c r="E3594" s="1"/>
      <c r="F3594" s="1" t="str">
        <f>IFERROR(__xludf.DUMMYFUNCTION("GOOGLETRANSLATE(B3594, ""en"", ""fa"")
"),"تمرینات ذهن آگاهی و مدیتیشن")</f>
        <v>تمرینات ذهن آگاهی و مدیتیشن</v>
      </c>
      <c r="G3594" s="1" t="str">
        <f>IFERROR(__xludf.DUMMYFUNCTION("GOOGLETRANSLATE(C3594, ""en"", ""fa"")
"),"شیوه های تمرکز حواس را برای مدیریت و کاهش تأثیر استرس بر ذهن و بدن کاوش کنید.")</f>
        <v>شیوه های تمرکز حواس را برای مدیریت و کاهش تأثیر استرس بر ذهن و بدن کاوش کنید.</v>
      </c>
      <c r="H3594" s="1"/>
      <c r="I3594" s="1"/>
      <c r="J3594" s="1"/>
      <c r="K3594" s="1"/>
      <c r="L3594" s="1"/>
      <c r="M3594" s="1"/>
      <c r="N3594" s="1"/>
      <c r="O3594" s="1"/>
      <c r="P3594" s="1"/>
      <c r="Q3594" s="1"/>
      <c r="R3594" s="1"/>
      <c r="S3594" s="1"/>
      <c r="T3594" s="1"/>
      <c r="U3594" s="1"/>
      <c r="V3594" s="1"/>
      <c r="W3594" s="1"/>
      <c r="X3594" s="1"/>
      <c r="Y3594" s="1"/>
      <c r="Z3594" s="1"/>
      <c r="AA3594" s="1"/>
      <c r="AB3594" s="1"/>
    </row>
    <row r="3595" ht="50.25" customHeight="1">
      <c r="A3595" s="12">
        <v>3591.0</v>
      </c>
      <c r="B3595" s="13" t="s">
        <v>3427</v>
      </c>
      <c r="C3595" s="14" t="s">
        <v>3612</v>
      </c>
      <c r="D3595" s="1"/>
      <c r="E3595" s="1"/>
      <c r="F3595" s="1" t="str">
        <f>IFERROR(__xludf.DUMMYFUNCTION("GOOGLETRANSLATE(B3595, ""en"", ""fa"")
"),"تمرینات ذهن آگاهی و مدیتیشن")</f>
        <v>تمرینات ذهن آگاهی و مدیتیشن</v>
      </c>
      <c r="G3595" s="1" t="str">
        <f>IFERROR(__xludf.DUMMYFUNCTION("GOOGLETRANSLATE(C3595, ""en"", ""fa"")
"),"تکنیک‌های گنجاندن ذهن آگاهی را در برنامه‌های روزمره، مانند مراسم صبحگاهی یا مراسم قبل از خواب به اشتراک بگذارید.")</f>
        <v>تکنیک‌های گنجاندن ذهن آگاهی را در برنامه‌های روزمره، مانند مراسم صبحگاهی یا مراسم قبل از خواب به اشتراک بگذارید.</v>
      </c>
      <c r="H3595" s="1"/>
      <c r="I3595" s="1"/>
      <c r="J3595" s="1"/>
      <c r="K3595" s="1"/>
      <c r="L3595" s="1"/>
      <c r="M3595" s="1"/>
      <c r="N3595" s="1"/>
      <c r="O3595" s="1"/>
      <c r="P3595" s="1"/>
      <c r="Q3595" s="1"/>
      <c r="R3595" s="1"/>
      <c r="S3595" s="1"/>
      <c r="T3595" s="1"/>
      <c r="U3595" s="1"/>
      <c r="V3595" s="1"/>
      <c r="W3595" s="1"/>
      <c r="X3595" s="1"/>
      <c r="Y3595" s="1"/>
      <c r="Z3595" s="1"/>
      <c r="AA3595" s="1"/>
      <c r="AB3595" s="1"/>
    </row>
    <row r="3596" ht="50.25" customHeight="1">
      <c r="A3596" s="12">
        <v>3592.0</v>
      </c>
      <c r="B3596" s="13" t="s">
        <v>3427</v>
      </c>
      <c r="C3596" s="14" t="s">
        <v>3613</v>
      </c>
      <c r="D3596" s="1"/>
      <c r="E3596" s="1"/>
      <c r="F3596" s="1" t="str">
        <f>IFERROR(__xludf.DUMMYFUNCTION("GOOGLETRANSLATE(B3596, ""en"", ""fa"")
"),"تمرینات ذهن آگاهی و مدیتیشن")</f>
        <v>تمرینات ذهن آگاهی و مدیتیشن</v>
      </c>
      <c r="G3596" s="1" t="str">
        <f>IFERROR(__xludf.DUMMYFUNCTION("GOOGLETRANSLATE(C3596, ""en"", ""fa"")
"),"در مورد مزایای ذهن آگاهی در ارتقای خودآگاهی و خودشناسی بحث کنید.")</f>
        <v>در مورد مزایای ذهن آگاهی در ارتقای خودآگاهی و خودشناسی بحث کنید.</v>
      </c>
      <c r="H3596" s="1"/>
      <c r="I3596" s="1"/>
      <c r="J3596" s="1"/>
      <c r="K3596" s="1"/>
      <c r="L3596" s="1"/>
      <c r="M3596" s="1"/>
      <c r="N3596" s="1"/>
      <c r="O3596" s="1"/>
      <c r="P3596" s="1"/>
      <c r="Q3596" s="1"/>
      <c r="R3596" s="1"/>
      <c r="S3596" s="1"/>
      <c r="T3596" s="1"/>
      <c r="U3596" s="1"/>
      <c r="V3596" s="1"/>
      <c r="W3596" s="1"/>
      <c r="X3596" s="1"/>
      <c r="Y3596" s="1"/>
      <c r="Z3596" s="1"/>
      <c r="AA3596" s="1"/>
      <c r="AB3596" s="1"/>
    </row>
    <row r="3597" ht="50.25" customHeight="1">
      <c r="A3597" s="12">
        <v>3593.0</v>
      </c>
      <c r="B3597" s="13" t="s">
        <v>3427</v>
      </c>
      <c r="C3597" s="14" t="s">
        <v>3614</v>
      </c>
      <c r="D3597" s="1"/>
      <c r="E3597" s="1"/>
      <c r="F3597" s="1" t="str">
        <f>IFERROR(__xludf.DUMMYFUNCTION("GOOGLETRANSLATE(B3597, ""en"", ""fa"")
"),"تمرینات ذهن آگاهی و مدیتیشن")</f>
        <v>تمرینات ذهن آگاهی و مدیتیشن</v>
      </c>
      <c r="G3597" s="1" t="str">
        <f>IFERROR(__xludf.DUMMYFUNCTION("GOOGLETRANSLATE(C3597, ""en"", ""fa"")
"),"در مورد ارتباط بین ذهن آگاهی و قدردانی و اینکه چگونه هر دو روش می توانند بهزیستی را افزایش دهند فکر کنید.")</f>
        <v>در مورد ارتباط بین ذهن آگاهی و قدردانی و اینکه چگونه هر دو روش می توانند بهزیستی را افزایش دهند فکر کنید.</v>
      </c>
      <c r="H3597" s="1"/>
      <c r="I3597" s="1"/>
      <c r="J3597" s="1"/>
      <c r="K3597" s="1"/>
      <c r="L3597" s="1"/>
      <c r="M3597" s="1"/>
      <c r="N3597" s="1"/>
      <c r="O3597" s="1"/>
      <c r="P3597" s="1"/>
      <c r="Q3597" s="1"/>
      <c r="R3597" s="1"/>
      <c r="S3597" s="1"/>
      <c r="T3597" s="1"/>
      <c r="U3597" s="1"/>
      <c r="V3597" s="1"/>
      <c r="W3597" s="1"/>
      <c r="X3597" s="1"/>
      <c r="Y3597" s="1"/>
      <c r="Z3597" s="1"/>
      <c r="AA3597" s="1"/>
      <c r="AB3597" s="1"/>
    </row>
    <row r="3598" ht="50.25" customHeight="1">
      <c r="A3598" s="12">
        <v>3594.0</v>
      </c>
      <c r="B3598" s="13" t="s">
        <v>3427</v>
      </c>
      <c r="C3598" s="14" t="s">
        <v>3615</v>
      </c>
      <c r="D3598" s="1"/>
      <c r="E3598" s="1"/>
      <c r="F3598" s="1" t="str">
        <f>IFERROR(__xludf.DUMMYFUNCTION("GOOGLETRANSLATE(B3598, ""en"", ""fa"")
"),"تمرینات ذهن آگاهی و مدیتیشن")</f>
        <v>تمرینات ذهن آگاهی و مدیتیشن</v>
      </c>
      <c r="G3598" s="1" t="str">
        <f>IFERROR(__xludf.DUMMYFUNCTION("GOOGLETRANSLATE(C3598, ""en"", ""fa"")
"),"در مورد نقش ذهن آگاهی در بهبود تمرکز و تمرکز در محیط های تحصیلی یا کاری بحث کنید.")</f>
        <v>در مورد نقش ذهن آگاهی در بهبود تمرکز و تمرکز در محیط های تحصیلی یا کاری بحث کنید.</v>
      </c>
      <c r="H3598" s="1"/>
      <c r="I3598" s="1"/>
      <c r="J3598" s="1"/>
      <c r="K3598" s="1"/>
      <c r="L3598" s="1"/>
      <c r="M3598" s="1"/>
      <c r="N3598" s="1"/>
      <c r="O3598" s="1"/>
      <c r="P3598" s="1"/>
      <c r="Q3598" s="1"/>
      <c r="R3598" s="1"/>
      <c r="S3598" s="1"/>
      <c r="T3598" s="1"/>
      <c r="U3598" s="1"/>
      <c r="V3598" s="1"/>
      <c r="W3598" s="1"/>
      <c r="X3598" s="1"/>
      <c r="Y3598" s="1"/>
      <c r="Z3598" s="1"/>
      <c r="AA3598" s="1"/>
      <c r="AB3598" s="1"/>
    </row>
    <row r="3599" ht="50.25" customHeight="1">
      <c r="A3599" s="12">
        <v>3595.0</v>
      </c>
      <c r="B3599" s="13" t="s">
        <v>3427</v>
      </c>
      <c r="C3599" s="14" t="s">
        <v>3616</v>
      </c>
      <c r="D3599" s="1"/>
      <c r="E3599" s="1"/>
      <c r="F3599" s="1" t="str">
        <f>IFERROR(__xludf.DUMMYFUNCTION("GOOGLETRANSLATE(B3599, ""en"", ""fa"")
"),"تمرینات ذهن آگاهی و مدیتیشن")</f>
        <v>تمرینات ذهن آگاهی و مدیتیشن</v>
      </c>
      <c r="G3599" s="1" t="str">
        <f>IFERROR(__xludf.DUMMYFUNCTION("GOOGLETRANSLATE(C3599, ""en"", ""fa"")
"),"شیوه های ذهن آگاهی را برای ارتقای کیفیت خواب بهتر و آرامش کلی به اشتراک بگذارید.")</f>
        <v>شیوه های ذهن آگاهی را برای ارتقای کیفیت خواب بهتر و آرامش کلی به اشتراک بگذارید.</v>
      </c>
      <c r="H3599" s="1"/>
      <c r="I3599" s="1"/>
      <c r="J3599" s="1"/>
      <c r="K3599" s="1"/>
      <c r="L3599" s="1"/>
      <c r="M3599" s="1"/>
      <c r="N3599" s="1"/>
      <c r="O3599" s="1"/>
      <c r="P3599" s="1"/>
      <c r="Q3599" s="1"/>
      <c r="R3599" s="1"/>
      <c r="S3599" s="1"/>
      <c r="T3599" s="1"/>
      <c r="U3599" s="1"/>
      <c r="V3599" s="1"/>
      <c r="W3599" s="1"/>
      <c r="X3599" s="1"/>
      <c r="Y3599" s="1"/>
      <c r="Z3599" s="1"/>
      <c r="AA3599" s="1"/>
      <c r="AB3599" s="1"/>
    </row>
    <row r="3600" ht="50.25" customHeight="1">
      <c r="A3600" s="12">
        <v>3596.0</v>
      </c>
      <c r="B3600" s="13" t="s">
        <v>3427</v>
      </c>
      <c r="C3600" s="14" t="s">
        <v>3617</v>
      </c>
      <c r="D3600" s="1"/>
      <c r="E3600" s="1"/>
      <c r="F3600" s="1" t="str">
        <f>IFERROR(__xludf.DUMMYFUNCTION("GOOGLETRANSLATE(B3600, ""en"", ""fa"")
"),"تمرینات ذهن آگاهی و مدیتیشن")</f>
        <v>تمرینات ذهن آگاهی و مدیتیشن</v>
      </c>
      <c r="G3600" s="1" t="str">
        <f>IFERROR(__xludf.DUMMYFUNCTION("GOOGLETRANSLATE(C3600, ""en"", ""fa"")
"),"در مورد مزایای ذهن آگاهی در ارتقای تاب آوری عاطفی و تنظیم احساسات دشوار فکر کنید.")</f>
        <v>در مورد مزایای ذهن آگاهی در ارتقای تاب آوری عاطفی و تنظیم احساسات دشوار فکر کنید.</v>
      </c>
      <c r="H3600" s="1"/>
      <c r="I3600" s="1"/>
      <c r="J3600" s="1"/>
      <c r="K3600" s="1"/>
      <c r="L3600" s="1"/>
      <c r="M3600" s="1"/>
      <c r="N3600" s="1"/>
      <c r="O3600" s="1"/>
      <c r="P3600" s="1"/>
      <c r="Q3600" s="1"/>
      <c r="R3600" s="1"/>
      <c r="S3600" s="1"/>
      <c r="T3600" s="1"/>
      <c r="U3600" s="1"/>
      <c r="V3600" s="1"/>
      <c r="W3600" s="1"/>
      <c r="X3600" s="1"/>
      <c r="Y3600" s="1"/>
      <c r="Z3600" s="1"/>
      <c r="AA3600" s="1"/>
      <c r="AB3600" s="1"/>
    </row>
    <row r="3601" ht="50.25" customHeight="1">
      <c r="A3601" s="12">
        <v>3597.0</v>
      </c>
      <c r="B3601" s="13" t="s">
        <v>3427</v>
      </c>
      <c r="C3601" s="14" t="s">
        <v>3618</v>
      </c>
      <c r="D3601" s="1"/>
      <c r="E3601" s="1"/>
      <c r="F3601" s="1" t="str">
        <f>IFERROR(__xludf.DUMMYFUNCTION("GOOGLETRANSLATE(B3601, ""en"", ""fa"")
"),"تمرینات ذهن آگاهی و مدیتیشن")</f>
        <v>تمرینات ذهن آگاهی و مدیتیشن</v>
      </c>
      <c r="G3601" s="1" t="str">
        <f>IFERROR(__xludf.DUMMYFUNCTION("GOOGLETRANSLATE(C3601, ""en"", ""fa"")
"),"در مورد تکنیک های ذهن آگاهی برای پرورش ذهن آگاهی در تعاملات اجتماعی و بهبود ارتباطات بحث کنید.")</f>
        <v>در مورد تکنیک های ذهن آگاهی برای پرورش ذهن آگاهی در تعاملات اجتماعی و بهبود ارتباطات بحث کنید.</v>
      </c>
      <c r="H3601" s="1"/>
      <c r="I3601" s="1"/>
      <c r="J3601" s="1"/>
      <c r="K3601" s="1"/>
      <c r="L3601" s="1"/>
      <c r="M3601" s="1"/>
      <c r="N3601" s="1"/>
      <c r="O3601" s="1"/>
      <c r="P3601" s="1"/>
      <c r="Q3601" s="1"/>
      <c r="R3601" s="1"/>
      <c r="S3601" s="1"/>
      <c r="T3601" s="1"/>
      <c r="U3601" s="1"/>
      <c r="V3601" s="1"/>
      <c r="W3601" s="1"/>
      <c r="X3601" s="1"/>
      <c r="Y3601" s="1"/>
      <c r="Z3601" s="1"/>
      <c r="AA3601" s="1"/>
      <c r="AB3601" s="1"/>
    </row>
    <row r="3602" ht="50.25" customHeight="1">
      <c r="A3602" s="12">
        <v>3598.0</v>
      </c>
      <c r="B3602" s="13" t="s">
        <v>3427</v>
      </c>
      <c r="C3602" s="14" t="s">
        <v>3619</v>
      </c>
      <c r="D3602" s="1"/>
      <c r="E3602" s="1"/>
      <c r="F3602" s="1" t="str">
        <f>IFERROR(__xludf.DUMMYFUNCTION("GOOGLETRANSLATE(B3602, ""en"", ""fa"")
"),"تمرینات ذهن آگاهی و مدیتیشن")</f>
        <v>تمرینات ذهن آگاهی و مدیتیشن</v>
      </c>
      <c r="G3602" s="1" t="str">
        <f>IFERROR(__xludf.DUMMYFUNCTION("GOOGLETRANSLATE(C3602, ""en"", ""fa"")
"),"شیوه های تمرکز حواس را برای پرورش شفقت به خود و ایجاد رابطه ای مهربان تر با خود کاوش کنید.")</f>
        <v>شیوه های تمرکز حواس را برای پرورش شفقت به خود و ایجاد رابطه ای مهربان تر با خود کاوش کنید.</v>
      </c>
      <c r="H3602" s="1"/>
      <c r="I3602" s="1"/>
      <c r="J3602" s="1"/>
      <c r="K3602" s="1"/>
      <c r="L3602" s="1"/>
      <c r="M3602" s="1"/>
      <c r="N3602" s="1"/>
      <c r="O3602" s="1"/>
      <c r="P3602" s="1"/>
      <c r="Q3602" s="1"/>
      <c r="R3602" s="1"/>
      <c r="S3602" s="1"/>
      <c r="T3602" s="1"/>
      <c r="U3602" s="1"/>
      <c r="V3602" s="1"/>
      <c r="W3602" s="1"/>
      <c r="X3602" s="1"/>
      <c r="Y3602" s="1"/>
      <c r="Z3602" s="1"/>
      <c r="AA3602" s="1"/>
      <c r="AB3602" s="1"/>
    </row>
    <row r="3603" ht="50.25" customHeight="1">
      <c r="A3603" s="12">
        <v>3599.0</v>
      </c>
      <c r="B3603" s="13" t="s">
        <v>3427</v>
      </c>
      <c r="C3603" s="14" t="s">
        <v>3620</v>
      </c>
      <c r="D3603" s="1"/>
      <c r="E3603" s="1"/>
      <c r="F3603" s="1" t="str">
        <f>IFERROR(__xludf.DUMMYFUNCTION("GOOGLETRANSLATE(B3603, ""en"", ""fa"")
"),"تمرینات ذهن آگاهی و مدیتیشن")</f>
        <v>تمرینات ذهن آگاهی و مدیتیشن</v>
      </c>
      <c r="G3603" s="1" t="str">
        <f>IFERROR(__xludf.DUMMYFUNCTION("GOOGLETRANSLATE(C3603, ""en"", ""fa"")
"),"تکنیک‌هایی را برای گنجاندن ذهن آگاهی در فعالیت‌های فیزیکی، مانند حرکت ذهن‌آگاه یا یوگا به اشتراک بگذارید.")</f>
        <v>تکنیک‌هایی را برای گنجاندن ذهن آگاهی در فعالیت‌های فیزیکی، مانند حرکت ذهن‌آگاه یا یوگا به اشتراک بگذارید.</v>
      </c>
      <c r="H3603" s="1"/>
      <c r="I3603" s="1"/>
      <c r="J3603" s="1"/>
      <c r="K3603" s="1"/>
      <c r="L3603" s="1"/>
      <c r="M3603" s="1"/>
      <c r="N3603" s="1"/>
      <c r="O3603" s="1"/>
      <c r="P3603" s="1"/>
      <c r="Q3603" s="1"/>
      <c r="R3603" s="1"/>
      <c r="S3603" s="1"/>
      <c r="T3603" s="1"/>
      <c r="U3603" s="1"/>
      <c r="V3603" s="1"/>
      <c r="W3603" s="1"/>
      <c r="X3603" s="1"/>
      <c r="Y3603" s="1"/>
      <c r="Z3603" s="1"/>
      <c r="AA3603" s="1"/>
      <c r="AB3603" s="1"/>
    </row>
    <row r="3604" ht="50.25" customHeight="1">
      <c r="A3604" s="12">
        <v>3600.0</v>
      </c>
      <c r="B3604" s="13" t="s">
        <v>3427</v>
      </c>
      <c r="C3604" s="14" t="s">
        <v>3621</v>
      </c>
      <c r="D3604" s="1"/>
      <c r="E3604" s="1"/>
      <c r="F3604" s="1" t="str">
        <f>IFERROR(__xludf.DUMMYFUNCTION("GOOGLETRANSLATE(B3604, ""en"", ""fa"")
"),"تمرینات ذهن آگاهی و مدیتیشن")</f>
        <v>تمرینات ذهن آگاهی و مدیتیشن</v>
      </c>
      <c r="G3604" s="1" t="str">
        <f>IFERROR(__xludf.DUMMYFUNCTION("GOOGLETRANSLATE(C3604, ""en"", ""fa"")
"),"در مورد مزایای ذهن آگاهی در پرورش عدم واکنش و پاسخ به موقعیت ها با وضوح بیشتر بحث کنید.")</f>
        <v>در مورد مزایای ذهن آگاهی در پرورش عدم واکنش و پاسخ به موقعیت ها با وضوح بیشتر بحث کنید.</v>
      </c>
      <c r="H3604" s="1"/>
      <c r="I3604" s="1"/>
      <c r="J3604" s="1"/>
      <c r="K3604" s="1"/>
      <c r="L3604" s="1"/>
      <c r="M3604" s="1"/>
      <c r="N3604" s="1"/>
      <c r="O3604" s="1"/>
      <c r="P3604" s="1"/>
      <c r="Q3604" s="1"/>
      <c r="R3604" s="1"/>
      <c r="S3604" s="1"/>
      <c r="T3604" s="1"/>
      <c r="U3604" s="1"/>
      <c r="V3604" s="1"/>
      <c r="W3604" s="1"/>
      <c r="X3604" s="1"/>
      <c r="Y3604" s="1"/>
      <c r="Z3604" s="1"/>
      <c r="AA3604" s="1"/>
      <c r="AB3604" s="1"/>
    </row>
    <row r="3605" ht="50.25" customHeight="1">
      <c r="A3605" s="12">
        <v>3601.0</v>
      </c>
      <c r="B3605" s="13" t="s">
        <v>3427</v>
      </c>
      <c r="C3605" s="14" t="s">
        <v>3622</v>
      </c>
      <c r="D3605" s="1"/>
      <c r="E3605" s="1"/>
      <c r="F3605" s="1" t="str">
        <f>IFERROR(__xludf.DUMMYFUNCTION("GOOGLETRANSLATE(B3605, ""en"", ""fa"")
"),"تمرینات ذهن آگاهی و مدیتیشن")</f>
        <v>تمرینات ذهن آگاهی و مدیتیشن</v>
      </c>
      <c r="G3605" s="1" t="str">
        <f>IFERROR(__xludf.DUMMYFUNCTION("GOOGLETRANSLATE(C3605, ""en"", ""fa"")
"),"به ارتباط بین ذهن آگاهی و خلاقیت فکر کنید و اینکه چگونه ذهن آگاهی می تواند بیان هنری را تقویت کند.")</f>
        <v>به ارتباط بین ذهن آگاهی و خلاقیت فکر کنید و اینکه چگونه ذهن آگاهی می تواند بیان هنری را تقویت کند.</v>
      </c>
      <c r="H3605" s="1"/>
      <c r="I3605" s="1"/>
      <c r="J3605" s="1"/>
      <c r="K3605" s="1"/>
      <c r="L3605" s="1"/>
      <c r="M3605" s="1"/>
      <c r="N3605" s="1"/>
      <c r="O3605" s="1"/>
      <c r="P3605" s="1"/>
      <c r="Q3605" s="1"/>
      <c r="R3605" s="1"/>
      <c r="S3605" s="1"/>
      <c r="T3605" s="1"/>
      <c r="U3605" s="1"/>
      <c r="V3605" s="1"/>
      <c r="W3605" s="1"/>
      <c r="X3605" s="1"/>
      <c r="Y3605" s="1"/>
      <c r="Z3605" s="1"/>
      <c r="AA3605" s="1"/>
      <c r="AB3605" s="1"/>
    </row>
    <row r="3606" ht="50.25" customHeight="1">
      <c r="A3606" s="12">
        <v>3602.0</v>
      </c>
      <c r="B3606" s="13" t="s">
        <v>3427</v>
      </c>
      <c r="C3606" s="14" t="s">
        <v>3623</v>
      </c>
      <c r="D3606" s="1"/>
      <c r="E3606" s="1"/>
      <c r="F3606" s="1" t="str">
        <f>IFERROR(__xludf.DUMMYFUNCTION("GOOGLETRANSLATE(B3606, ""en"", ""fa"")
"),"تمرینات ذهن آگاهی و مدیتیشن")</f>
        <v>تمرینات ذهن آگاهی و مدیتیشن</v>
      </c>
      <c r="G3606" s="1" t="str">
        <f>IFERROR(__xludf.DUMMYFUNCTION("GOOGLETRANSLATE(C3606, ""en"", ""fa"")
"),"تکنیک های تمرکز حواس را برای مدیریت اضطراب و تقویت حس آرامش و آرامش کاوش کنید.")</f>
        <v>تکنیک های تمرکز حواس را برای مدیریت اضطراب و تقویت حس آرامش و آرامش کاوش کنید.</v>
      </c>
      <c r="H3606" s="1"/>
      <c r="I3606" s="1"/>
      <c r="J3606" s="1"/>
      <c r="K3606" s="1"/>
      <c r="L3606" s="1"/>
      <c r="M3606" s="1"/>
      <c r="N3606" s="1"/>
      <c r="O3606" s="1"/>
      <c r="P3606" s="1"/>
      <c r="Q3606" s="1"/>
      <c r="R3606" s="1"/>
      <c r="S3606" s="1"/>
      <c r="T3606" s="1"/>
      <c r="U3606" s="1"/>
      <c r="V3606" s="1"/>
      <c r="W3606" s="1"/>
      <c r="X3606" s="1"/>
      <c r="Y3606" s="1"/>
      <c r="Z3606" s="1"/>
      <c r="AA3606" s="1"/>
      <c r="AB3606" s="1"/>
    </row>
    <row r="3607" ht="50.25" customHeight="1">
      <c r="A3607" s="12">
        <v>3603.0</v>
      </c>
      <c r="B3607" s="13" t="s">
        <v>3427</v>
      </c>
      <c r="C3607" s="14" t="s">
        <v>3624</v>
      </c>
      <c r="D3607" s="1"/>
      <c r="E3607" s="1"/>
      <c r="F3607" s="1" t="str">
        <f>IFERROR(__xludf.DUMMYFUNCTION("GOOGLETRANSLATE(B3607, ""en"", ""fa"")
"),"تمرینات ذهن آگاهی و مدیتیشن")</f>
        <v>تمرینات ذهن آگاهی و مدیتیشن</v>
      </c>
      <c r="G3607" s="1" t="str">
        <f>IFERROR(__xludf.DUMMYFUNCTION("GOOGLETRANSLATE(C3607, ""en"", ""fa"")
"),"درباره شیوه های تمرکز حواس برای ایجاد حس بیشتر آگاهی بدن و مراقبت از خود بحث کنید.")</f>
        <v>درباره شیوه های تمرکز حواس برای ایجاد حس بیشتر آگاهی بدن و مراقبت از خود بحث کنید.</v>
      </c>
      <c r="H3607" s="1"/>
      <c r="I3607" s="1"/>
      <c r="J3607" s="1"/>
      <c r="K3607" s="1"/>
      <c r="L3607" s="1"/>
      <c r="M3607" s="1"/>
      <c r="N3607" s="1"/>
      <c r="O3607" s="1"/>
      <c r="P3607" s="1"/>
      <c r="Q3607" s="1"/>
      <c r="R3607" s="1"/>
      <c r="S3607" s="1"/>
      <c r="T3607" s="1"/>
      <c r="U3607" s="1"/>
      <c r="V3607" s="1"/>
      <c r="W3607" s="1"/>
      <c r="X3607" s="1"/>
      <c r="Y3607" s="1"/>
      <c r="Z3607" s="1"/>
      <c r="AA3607" s="1"/>
      <c r="AB3607" s="1"/>
    </row>
    <row r="3608" ht="50.25" customHeight="1">
      <c r="A3608" s="12">
        <v>3604.0</v>
      </c>
      <c r="B3608" s="13" t="s">
        <v>3427</v>
      </c>
      <c r="C3608" s="14" t="s">
        <v>3625</v>
      </c>
      <c r="D3608" s="1"/>
      <c r="E3608" s="1"/>
      <c r="F3608" s="1" t="str">
        <f>IFERROR(__xludf.DUMMYFUNCTION("GOOGLETRANSLATE(B3608, ""en"", ""fa"")
"),"تمرینات ذهن آگاهی و مدیتیشن")</f>
        <v>تمرینات ذهن آگاهی و مدیتیشن</v>
      </c>
      <c r="G3608" s="1" t="str">
        <f>IFERROR(__xludf.DUMMYFUNCTION("GOOGLETRANSLATE(C3608, ""en"", ""fa"")
"),"تکنیک‌هایی را برای تمرین تمرکز حواس در کارهای روزمره، مانند غذا خوردن آگاهانه یا درگیر شدن در راه رفتن آگاهانه، به اشتراک بگذارید.")</f>
        <v>تکنیک‌هایی را برای تمرین تمرکز حواس در کارهای روزمره، مانند غذا خوردن آگاهانه یا درگیر شدن در راه رفتن آگاهانه، به اشتراک بگذارید.</v>
      </c>
      <c r="H3608" s="1"/>
      <c r="I3608" s="1"/>
      <c r="J3608" s="1"/>
      <c r="K3608" s="1"/>
      <c r="L3608" s="1"/>
      <c r="M3608" s="1"/>
      <c r="N3608" s="1"/>
      <c r="O3608" s="1"/>
      <c r="P3608" s="1"/>
      <c r="Q3608" s="1"/>
      <c r="R3608" s="1"/>
      <c r="S3608" s="1"/>
      <c r="T3608" s="1"/>
      <c r="U3608" s="1"/>
      <c r="V3608" s="1"/>
      <c r="W3608" s="1"/>
      <c r="X3608" s="1"/>
      <c r="Y3608" s="1"/>
      <c r="Z3608" s="1"/>
      <c r="AA3608" s="1"/>
      <c r="AB3608" s="1"/>
    </row>
    <row r="3609" ht="50.25" customHeight="1">
      <c r="A3609" s="12">
        <v>3605.0</v>
      </c>
      <c r="B3609" s="13" t="s">
        <v>3427</v>
      </c>
      <c r="C3609" s="14" t="s">
        <v>3626</v>
      </c>
      <c r="D3609" s="1"/>
      <c r="E3609" s="1"/>
      <c r="F3609" s="1" t="str">
        <f>IFERROR(__xludf.DUMMYFUNCTION("GOOGLETRANSLATE(B3609, ""en"", ""fa"")
"),"تمرینات ذهن آگاهی و مدیتیشن")</f>
        <v>تمرینات ذهن آگاهی و مدیتیشن</v>
      </c>
      <c r="G3609" s="1" t="str">
        <f>IFERROR(__xludf.DUMMYFUNCTION("GOOGLETRANSLATE(C3609, ""en"", ""fa"")
"),"به مزایای ذهن آگاهی در تقویت انعطاف پذیری و سازگاری در مواجهه با چالش ها فکر کنید.")</f>
        <v>به مزایای ذهن آگاهی در تقویت انعطاف پذیری و سازگاری در مواجهه با چالش ها فکر کنید.</v>
      </c>
      <c r="H3609" s="1"/>
      <c r="I3609" s="1"/>
      <c r="J3609" s="1"/>
      <c r="K3609" s="1"/>
      <c r="L3609" s="1"/>
      <c r="M3609" s="1"/>
      <c r="N3609" s="1"/>
      <c r="O3609" s="1"/>
      <c r="P3609" s="1"/>
      <c r="Q3609" s="1"/>
      <c r="R3609" s="1"/>
      <c r="S3609" s="1"/>
      <c r="T3609" s="1"/>
      <c r="U3609" s="1"/>
      <c r="V3609" s="1"/>
      <c r="W3609" s="1"/>
      <c r="X3609" s="1"/>
      <c r="Y3609" s="1"/>
      <c r="Z3609" s="1"/>
      <c r="AA3609" s="1"/>
      <c r="AB3609" s="1"/>
    </row>
    <row r="3610" ht="50.25" customHeight="1">
      <c r="A3610" s="12">
        <v>3606.0</v>
      </c>
      <c r="B3610" s="13" t="s">
        <v>3427</v>
      </c>
      <c r="C3610" s="14" t="s">
        <v>3627</v>
      </c>
      <c r="D3610" s="1"/>
      <c r="E3610" s="1"/>
      <c r="F3610" s="1" t="str">
        <f>IFERROR(__xludf.DUMMYFUNCTION("GOOGLETRANSLATE(B3610, ""en"", ""fa"")
"),"تمرینات ذهن آگاهی و مدیتیشن")</f>
        <v>تمرینات ذهن آگاهی و مدیتیشن</v>
      </c>
      <c r="G3610" s="1" t="str">
        <f>IFERROR(__xludf.DUMMYFUNCTION("GOOGLETRANSLATE(C3610, ""en"", ""fa"")
"),"در مورد تکنیک های ذهن آگاهی برای پرورش آگاهی لحظه حال و کاهش نشخوار فکری بحث کنید.")</f>
        <v>در مورد تکنیک های ذهن آگاهی برای پرورش آگاهی لحظه حال و کاهش نشخوار فکری بحث کنید.</v>
      </c>
      <c r="H3610" s="1"/>
      <c r="I3610" s="1"/>
      <c r="J3610" s="1"/>
      <c r="K3610" s="1"/>
      <c r="L3610" s="1"/>
      <c r="M3610" s="1"/>
      <c r="N3610" s="1"/>
      <c r="O3610" s="1"/>
      <c r="P3610" s="1"/>
      <c r="Q3610" s="1"/>
      <c r="R3610" s="1"/>
      <c r="S3610" s="1"/>
      <c r="T3610" s="1"/>
      <c r="U3610" s="1"/>
      <c r="V3610" s="1"/>
      <c r="W3610" s="1"/>
      <c r="X3610" s="1"/>
      <c r="Y3610" s="1"/>
      <c r="Z3610" s="1"/>
      <c r="AA3610" s="1"/>
      <c r="AB3610" s="1"/>
    </row>
    <row r="3611" ht="50.25" customHeight="1">
      <c r="A3611" s="12">
        <v>3607.0</v>
      </c>
      <c r="B3611" s="13" t="s">
        <v>3427</v>
      </c>
      <c r="C3611" s="14" t="s">
        <v>3628</v>
      </c>
      <c r="D3611" s="1"/>
      <c r="E3611" s="1"/>
      <c r="F3611" s="1" t="str">
        <f>IFERROR(__xludf.DUMMYFUNCTION("GOOGLETRANSLATE(B3611, ""en"", ""fa"")
"),"تمرینات ذهن آگاهی و مدیتیشن")</f>
        <v>تمرینات ذهن آگاهی و مدیتیشن</v>
      </c>
      <c r="G3611" s="1" t="str">
        <f>IFERROR(__xludf.DUMMYFUNCTION("GOOGLETRANSLATE(C3611, ""en"", ""fa"")
"),"روش‌های تمرکز حواس را برای ارتقای تصمیم‌گیری آگاهانه و همسو کردن اقدامات با ارزش‌ها بررسی کنید.")</f>
        <v>روش‌های تمرکز حواس را برای ارتقای تصمیم‌گیری آگاهانه و همسو کردن اقدامات با ارزش‌ها بررسی کنید.</v>
      </c>
      <c r="H3611" s="1"/>
      <c r="I3611" s="1"/>
      <c r="J3611" s="1"/>
      <c r="K3611" s="1"/>
      <c r="L3611" s="1"/>
      <c r="M3611" s="1"/>
      <c r="N3611" s="1"/>
      <c r="O3611" s="1"/>
      <c r="P3611" s="1"/>
      <c r="Q3611" s="1"/>
      <c r="R3611" s="1"/>
      <c r="S3611" s="1"/>
      <c r="T3611" s="1"/>
      <c r="U3611" s="1"/>
      <c r="V3611" s="1"/>
      <c r="W3611" s="1"/>
      <c r="X3611" s="1"/>
      <c r="Y3611" s="1"/>
      <c r="Z3611" s="1"/>
      <c r="AA3611" s="1"/>
      <c r="AB3611" s="1"/>
    </row>
    <row r="3612" ht="50.25" customHeight="1">
      <c r="A3612" s="12">
        <v>3608.0</v>
      </c>
      <c r="B3612" s="13" t="s">
        <v>3427</v>
      </c>
      <c r="C3612" s="14" t="s">
        <v>3629</v>
      </c>
      <c r="D3612" s="1"/>
      <c r="E3612" s="1"/>
      <c r="F3612" s="1" t="str">
        <f>IFERROR(__xludf.DUMMYFUNCTION("GOOGLETRANSLATE(B3612, ""en"", ""fa"")
"),"تمرینات ذهن آگاهی و مدیتیشن")</f>
        <v>تمرینات ذهن آگاهی و مدیتیشن</v>
      </c>
      <c r="G3612" s="1" t="str">
        <f>IFERROR(__xludf.DUMMYFUNCTION("GOOGLETRANSLATE(C3612, ""en"", ""fa"")
"),"تکنیک هایی را برای گنجاندن ذهن آگاهی در عادات دیجیتال و یافتن تعادل در عصر فناوری به اشتراک بگذارید.")</f>
        <v>تکنیک هایی را برای گنجاندن ذهن آگاهی در عادات دیجیتال و یافتن تعادل در عصر فناوری به اشتراک بگذارید.</v>
      </c>
      <c r="H3612" s="1"/>
      <c r="I3612" s="1"/>
      <c r="J3612" s="1"/>
      <c r="K3612" s="1"/>
      <c r="L3612" s="1"/>
      <c r="M3612" s="1"/>
      <c r="N3612" s="1"/>
      <c r="O3612" s="1"/>
      <c r="P3612" s="1"/>
      <c r="Q3612" s="1"/>
      <c r="R3612" s="1"/>
      <c r="S3612" s="1"/>
      <c r="T3612" s="1"/>
      <c r="U3612" s="1"/>
      <c r="V3612" s="1"/>
      <c r="W3612" s="1"/>
      <c r="X3612" s="1"/>
      <c r="Y3612" s="1"/>
      <c r="Z3612" s="1"/>
      <c r="AA3612" s="1"/>
      <c r="AB3612" s="1"/>
    </row>
    <row r="3613" ht="50.25" customHeight="1">
      <c r="A3613" s="12">
        <v>3609.0</v>
      </c>
      <c r="B3613" s="13" t="s">
        <v>3427</v>
      </c>
      <c r="C3613" s="14" t="s">
        <v>3630</v>
      </c>
      <c r="D3613" s="1"/>
      <c r="E3613" s="1"/>
      <c r="F3613" s="1" t="str">
        <f>IFERROR(__xludf.DUMMYFUNCTION("GOOGLETRANSLATE(B3613, ""en"", ""fa"")
"),"تمرینات ذهن آگاهی و مدیتیشن")</f>
        <v>تمرینات ذهن آگاهی و مدیتیشن</v>
      </c>
      <c r="G3613" s="1" t="str">
        <f>IFERROR(__xludf.DUMMYFUNCTION("GOOGLETRANSLATE(C3613, ""en"", ""fa"")
"),"تکنیک های ذهن آگاهی را برای مدیریت و کاهش تأثیر استرس بر ذهن و بدن بررسی کنید.")</f>
        <v>تکنیک های ذهن آگاهی را برای مدیریت و کاهش تأثیر استرس بر ذهن و بدن بررسی کنید.</v>
      </c>
      <c r="H3613" s="1"/>
      <c r="I3613" s="1"/>
      <c r="J3613" s="1"/>
      <c r="K3613" s="1"/>
      <c r="L3613" s="1"/>
      <c r="M3613" s="1"/>
      <c r="N3613" s="1"/>
      <c r="O3613" s="1"/>
      <c r="P3613" s="1"/>
      <c r="Q3613" s="1"/>
      <c r="R3613" s="1"/>
      <c r="S3613" s="1"/>
      <c r="T3613" s="1"/>
      <c r="U3613" s="1"/>
      <c r="V3613" s="1"/>
      <c r="W3613" s="1"/>
      <c r="X3613" s="1"/>
      <c r="Y3613" s="1"/>
      <c r="Z3613" s="1"/>
      <c r="AA3613" s="1"/>
      <c r="AB3613" s="1"/>
    </row>
    <row r="3614" ht="50.25" customHeight="1">
      <c r="A3614" s="12">
        <v>3610.0</v>
      </c>
      <c r="B3614" s="13" t="s">
        <v>3427</v>
      </c>
      <c r="C3614" s="14" t="s">
        <v>3631</v>
      </c>
      <c r="D3614" s="1"/>
      <c r="E3614" s="1"/>
      <c r="F3614" s="1" t="str">
        <f>IFERROR(__xludf.DUMMYFUNCTION("GOOGLETRANSLATE(B3614, ""en"", ""fa"")
"),"تمرینات ذهن آگاهی و مدیتیشن")</f>
        <v>تمرینات ذهن آگاهی و مدیتیشن</v>
      </c>
      <c r="G3614" s="1" t="str">
        <f>IFERROR(__xludf.DUMMYFUNCTION("GOOGLETRANSLATE(C3614, ""en"", ""fa"")
"),"در مورد تکنیک های تمرکز حواس برای مدیریت اضطراب و ارتقای حس آرامش و آرامش بحث کنید.")</f>
        <v>در مورد تکنیک های تمرکز حواس برای مدیریت اضطراب و ارتقای حس آرامش و آرامش بحث کنید.</v>
      </c>
      <c r="H3614" s="1"/>
      <c r="I3614" s="1"/>
      <c r="J3614" s="1"/>
      <c r="K3614" s="1"/>
      <c r="L3614" s="1"/>
      <c r="M3614" s="1"/>
      <c r="N3614" s="1"/>
      <c r="O3614" s="1"/>
      <c r="P3614" s="1"/>
      <c r="Q3614" s="1"/>
      <c r="R3614" s="1"/>
      <c r="S3614" s="1"/>
      <c r="T3614" s="1"/>
      <c r="U3614" s="1"/>
      <c r="V3614" s="1"/>
      <c r="W3614" s="1"/>
      <c r="X3614" s="1"/>
      <c r="Y3614" s="1"/>
      <c r="Z3614" s="1"/>
      <c r="AA3614" s="1"/>
      <c r="AB3614" s="1"/>
    </row>
    <row r="3615" ht="50.25" customHeight="1">
      <c r="A3615" s="12">
        <v>3611.0</v>
      </c>
      <c r="B3615" s="13" t="s">
        <v>3427</v>
      </c>
      <c r="C3615" s="14" t="s">
        <v>3632</v>
      </c>
      <c r="D3615" s="1"/>
      <c r="E3615" s="1"/>
      <c r="F3615" s="1" t="str">
        <f>IFERROR(__xludf.DUMMYFUNCTION("GOOGLETRANSLATE(B3615, ""en"", ""fa"")
"),"تمرینات ذهن آگاهی و مدیتیشن")</f>
        <v>تمرینات ذهن آگاهی و مدیتیشن</v>
      </c>
      <c r="G3615" s="1" t="str">
        <f>IFERROR(__xludf.DUMMYFUNCTION("GOOGLETRANSLATE(C3615, ""en"", ""fa"")
"),"شیوه های تمرکز حواس را برای ایجاد حس بیشتر آگاهی از بدن و مراقبت از خود کاوش کنید.")</f>
        <v>شیوه های تمرکز حواس را برای ایجاد حس بیشتر آگاهی از بدن و مراقبت از خود کاوش کنید.</v>
      </c>
      <c r="H3615" s="1"/>
      <c r="I3615" s="1"/>
      <c r="J3615" s="1"/>
      <c r="K3615" s="1"/>
      <c r="L3615" s="1"/>
      <c r="M3615" s="1"/>
      <c r="N3615" s="1"/>
      <c r="O3615" s="1"/>
      <c r="P3615" s="1"/>
      <c r="Q3615" s="1"/>
      <c r="R3615" s="1"/>
      <c r="S3615" s="1"/>
      <c r="T3615" s="1"/>
      <c r="U3615" s="1"/>
      <c r="V3615" s="1"/>
      <c r="W3615" s="1"/>
      <c r="X3615" s="1"/>
      <c r="Y3615" s="1"/>
      <c r="Z3615" s="1"/>
      <c r="AA3615" s="1"/>
      <c r="AB3615" s="1"/>
    </row>
    <row r="3616" ht="50.25" customHeight="1">
      <c r="A3616" s="12">
        <v>3612.0</v>
      </c>
      <c r="B3616" s="13" t="s">
        <v>3427</v>
      </c>
      <c r="C3616" s="14" t="s">
        <v>3633</v>
      </c>
      <c r="D3616" s="1"/>
      <c r="E3616" s="1"/>
      <c r="F3616" s="1" t="str">
        <f>IFERROR(__xludf.DUMMYFUNCTION("GOOGLETRANSLATE(B3616, ""en"", ""fa"")
"),"تمرینات ذهن آگاهی و مدیتیشن")</f>
        <v>تمرینات ذهن آگاهی و مدیتیشن</v>
      </c>
      <c r="G3616" s="1" t="str">
        <f>IFERROR(__xludf.DUMMYFUNCTION("GOOGLETRANSLATE(C3616, ""en"", ""fa"")
"),"درباره نقش ذهن آگاهی در تقویت روابط و تقویت ارتباطات عمیق تر با دیگران بحث کنید.")</f>
        <v>درباره نقش ذهن آگاهی در تقویت روابط و تقویت ارتباطات عمیق تر با دیگران بحث کنید.</v>
      </c>
      <c r="H3616" s="1"/>
      <c r="I3616" s="1"/>
      <c r="J3616" s="1"/>
      <c r="K3616" s="1"/>
      <c r="L3616" s="1"/>
      <c r="M3616" s="1"/>
      <c r="N3616" s="1"/>
      <c r="O3616" s="1"/>
      <c r="P3616" s="1"/>
      <c r="Q3616" s="1"/>
      <c r="R3616" s="1"/>
      <c r="S3616" s="1"/>
      <c r="T3616" s="1"/>
      <c r="U3616" s="1"/>
      <c r="V3616" s="1"/>
      <c r="W3616" s="1"/>
      <c r="X3616" s="1"/>
      <c r="Y3616" s="1"/>
      <c r="Z3616" s="1"/>
      <c r="AA3616" s="1"/>
      <c r="AB3616" s="1"/>
    </row>
    <row r="3617" ht="50.25" customHeight="1">
      <c r="A3617" s="12">
        <v>3613.0</v>
      </c>
      <c r="B3617" s="13" t="s">
        <v>3427</v>
      </c>
      <c r="C3617" s="14" t="s">
        <v>3634</v>
      </c>
      <c r="D3617" s="1"/>
      <c r="E3617" s="1"/>
      <c r="F3617" s="1" t="str">
        <f>IFERROR(__xludf.DUMMYFUNCTION("GOOGLETRANSLATE(B3617, ""en"", ""fa"")
"),"تمرینات ذهن آگاهی و مدیتیشن")</f>
        <v>تمرینات ذهن آگاهی و مدیتیشن</v>
      </c>
      <c r="G3617" s="1" t="str">
        <f>IFERROR(__xludf.DUMMYFUNCTION("GOOGLETRANSLATE(C3617, ""en"", ""fa"")
"),"در مورد مزایای ذهن آگاهی در ترویج شفقت نسبت به خود و جهان فکر کنید.")</f>
        <v>در مورد مزایای ذهن آگاهی در ترویج شفقت نسبت به خود و جهان فکر کنید.</v>
      </c>
      <c r="H3617" s="1"/>
      <c r="I3617" s="1"/>
      <c r="J3617" s="1"/>
      <c r="K3617" s="1"/>
      <c r="L3617" s="1"/>
      <c r="M3617" s="1"/>
      <c r="N3617" s="1"/>
      <c r="O3617" s="1"/>
      <c r="P3617" s="1"/>
      <c r="Q3617" s="1"/>
      <c r="R3617" s="1"/>
      <c r="S3617" s="1"/>
      <c r="T3617" s="1"/>
      <c r="U3617" s="1"/>
      <c r="V3617" s="1"/>
      <c r="W3617" s="1"/>
      <c r="X3617" s="1"/>
      <c r="Y3617" s="1"/>
      <c r="Z3617" s="1"/>
      <c r="AA3617" s="1"/>
      <c r="AB3617" s="1"/>
    </row>
    <row r="3618" ht="50.25" customHeight="1">
      <c r="A3618" s="12">
        <v>3614.0</v>
      </c>
      <c r="B3618" s="13" t="s">
        <v>3427</v>
      </c>
      <c r="C3618" s="14" t="s">
        <v>3635</v>
      </c>
      <c r="D3618" s="1"/>
      <c r="E3618" s="1"/>
      <c r="F3618" s="1" t="str">
        <f>IFERROR(__xludf.DUMMYFUNCTION("GOOGLETRANSLATE(B3618, ""en"", ""fa"")
"),"تمرینات ذهن آگاهی و مدیتیشن")</f>
        <v>تمرینات ذهن آگاهی و مدیتیشن</v>
      </c>
      <c r="G3618" s="1" t="str">
        <f>IFERROR(__xludf.DUMMYFUNCTION("GOOGLETRANSLATE(C3618, ""en"", ""fa"")
"),"تکنیک‌های تمرکز حواس را برای مدیریت و کاهش تأثیر الگوهای افکار منفی بررسی کنید.")</f>
        <v>تکنیک‌های تمرکز حواس را برای مدیریت و کاهش تأثیر الگوهای افکار منفی بررسی کنید.</v>
      </c>
      <c r="H3618" s="1"/>
      <c r="I3618" s="1"/>
      <c r="J3618" s="1"/>
      <c r="K3618" s="1"/>
      <c r="L3618" s="1"/>
      <c r="M3618" s="1"/>
      <c r="N3618" s="1"/>
      <c r="O3618" s="1"/>
      <c r="P3618" s="1"/>
      <c r="Q3618" s="1"/>
      <c r="R3618" s="1"/>
      <c r="S3618" s="1"/>
      <c r="T3618" s="1"/>
      <c r="U3618" s="1"/>
      <c r="V3618" s="1"/>
      <c r="W3618" s="1"/>
      <c r="X3618" s="1"/>
      <c r="Y3618" s="1"/>
      <c r="Z3618" s="1"/>
      <c r="AA3618" s="1"/>
      <c r="AB3618" s="1"/>
    </row>
    <row r="3619" ht="50.25" customHeight="1">
      <c r="A3619" s="12">
        <v>3615.0</v>
      </c>
      <c r="B3619" s="13" t="s">
        <v>3427</v>
      </c>
      <c r="C3619" s="14" t="s">
        <v>3636</v>
      </c>
      <c r="D3619" s="1"/>
      <c r="E3619" s="1"/>
      <c r="F3619" s="1" t="str">
        <f>IFERROR(__xludf.DUMMYFUNCTION("GOOGLETRANSLATE(B3619, ""en"", ""fa"")
"),"تمرینات ذهن آگاهی و مدیتیشن")</f>
        <v>تمرینات ذهن آگاهی و مدیتیشن</v>
      </c>
      <c r="G3619" s="1" t="str">
        <f>IFERROR(__xludf.DUMMYFUNCTION("GOOGLETRANSLATE(C3619, ""en"", ""fa"")
"),"درباره شیوه های ذهن آگاهی برای پرورش حس قدردانی و قدردانی در زندگی روزمره بحث کنید.")</f>
        <v>درباره شیوه های ذهن آگاهی برای پرورش حس قدردانی و قدردانی در زندگی روزمره بحث کنید.</v>
      </c>
      <c r="H3619" s="1"/>
      <c r="I3619" s="1"/>
      <c r="J3619" s="1"/>
      <c r="K3619" s="1"/>
      <c r="L3619" s="1"/>
      <c r="M3619" s="1"/>
      <c r="N3619" s="1"/>
      <c r="O3619" s="1"/>
      <c r="P3619" s="1"/>
      <c r="Q3619" s="1"/>
      <c r="R3619" s="1"/>
      <c r="S3619" s="1"/>
      <c r="T3619" s="1"/>
      <c r="U3619" s="1"/>
      <c r="V3619" s="1"/>
      <c r="W3619" s="1"/>
      <c r="X3619" s="1"/>
      <c r="Y3619" s="1"/>
      <c r="Z3619" s="1"/>
      <c r="AA3619" s="1"/>
      <c r="AB3619" s="1"/>
    </row>
    <row r="3620" ht="50.25" customHeight="1">
      <c r="A3620" s="12">
        <v>3616.0</v>
      </c>
      <c r="B3620" s="13" t="s">
        <v>3427</v>
      </c>
      <c r="C3620" s="14" t="s">
        <v>3637</v>
      </c>
      <c r="D3620" s="1"/>
      <c r="E3620" s="1"/>
      <c r="F3620" s="1" t="str">
        <f>IFERROR(__xludf.DUMMYFUNCTION("GOOGLETRANSLATE(B3620, ""en"", ""fa"")
"),"تمرینات ذهن آگاهی و مدیتیشن")</f>
        <v>تمرینات ذهن آگاهی و مدیتیشن</v>
      </c>
      <c r="G3620" s="1" t="str">
        <f>IFERROR(__xludf.DUMMYFUNCTION("GOOGLETRANSLATE(C3620, ""en"", ""fa"")
"),"تکنیک هایی را برای ترکیب ذهن آگاهی در تمرینات بدنی و تمرینات حرکتی به اشتراک بگذارید.")</f>
        <v>تکنیک هایی را برای ترکیب ذهن آگاهی در تمرینات بدنی و تمرینات حرکتی به اشتراک بگذارید.</v>
      </c>
      <c r="H3620" s="1"/>
      <c r="I3620" s="1"/>
      <c r="J3620" s="1"/>
      <c r="K3620" s="1"/>
      <c r="L3620" s="1"/>
      <c r="M3620" s="1"/>
      <c r="N3620" s="1"/>
      <c r="O3620" s="1"/>
      <c r="P3620" s="1"/>
      <c r="Q3620" s="1"/>
      <c r="R3620" s="1"/>
      <c r="S3620" s="1"/>
      <c r="T3620" s="1"/>
      <c r="U3620" s="1"/>
      <c r="V3620" s="1"/>
      <c r="W3620" s="1"/>
      <c r="X3620" s="1"/>
      <c r="Y3620" s="1"/>
      <c r="Z3620" s="1"/>
      <c r="AA3620" s="1"/>
      <c r="AB3620" s="1"/>
    </row>
    <row r="3621" ht="50.25" customHeight="1">
      <c r="A3621" s="12">
        <v>3617.0</v>
      </c>
      <c r="B3621" s="13" t="s">
        <v>3427</v>
      </c>
      <c r="C3621" s="14" t="s">
        <v>3638</v>
      </c>
      <c r="D3621" s="1"/>
      <c r="E3621" s="1"/>
      <c r="F3621" s="1" t="str">
        <f>IFERROR(__xludf.DUMMYFUNCTION("GOOGLETRANSLATE(B3621, ""en"", ""fa"")
"),"تمرینات ذهن آگاهی و مدیتیشن")</f>
        <v>تمرینات ذهن آگاهی و مدیتیشن</v>
      </c>
      <c r="G3621" s="1" t="str">
        <f>IFERROR(__xludf.DUMMYFUNCTION("GOOGLETRANSLATE(C3621, ""en"", ""fa"")
"),"به ارتباط بین ذهن آگاهی و انعطاف پذیری فکر کنید، و اینکه چگونه ذهن آگاهی می تواند از پس زدن از سختی ها حمایت کند.")</f>
        <v>به ارتباط بین ذهن آگاهی و انعطاف پذیری فکر کنید، و اینکه چگونه ذهن آگاهی می تواند از پس زدن از سختی ها حمایت کند.</v>
      </c>
      <c r="H3621" s="1"/>
      <c r="I3621" s="1"/>
      <c r="J3621" s="1"/>
      <c r="K3621" s="1"/>
      <c r="L3621" s="1"/>
      <c r="M3621" s="1"/>
      <c r="N3621" s="1"/>
      <c r="O3621" s="1"/>
      <c r="P3621" s="1"/>
      <c r="Q3621" s="1"/>
      <c r="R3621" s="1"/>
      <c r="S3621" s="1"/>
      <c r="T3621" s="1"/>
      <c r="U3621" s="1"/>
      <c r="V3621" s="1"/>
      <c r="W3621" s="1"/>
      <c r="X3621" s="1"/>
      <c r="Y3621" s="1"/>
      <c r="Z3621" s="1"/>
      <c r="AA3621" s="1"/>
      <c r="AB3621" s="1"/>
    </row>
    <row r="3622" ht="50.25" customHeight="1">
      <c r="A3622" s="12">
        <v>3618.0</v>
      </c>
      <c r="B3622" s="13" t="s">
        <v>3427</v>
      </c>
      <c r="C3622" s="14" t="s">
        <v>3639</v>
      </c>
      <c r="D3622" s="1"/>
      <c r="E3622" s="1"/>
      <c r="F3622" s="1" t="str">
        <f>IFERROR(__xludf.DUMMYFUNCTION("GOOGLETRANSLATE(B3622, ""en"", ""fa"")
"),"تمرینات ذهن آگاهی و مدیتیشن")</f>
        <v>تمرینات ذهن آگاهی و مدیتیشن</v>
      </c>
      <c r="G3622" s="1" t="str">
        <f>IFERROR(__xludf.DUMMYFUNCTION("GOOGLETRANSLATE(C3622, ""en"", ""fa"")
"),"تکنیک‌های تمرکز حواس را برای مدیریت و کاهش علائم فرسودگی شغلی و ارتقای مراقبت از خود بررسی کنید.")</f>
        <v>تکنیک‌های تمرکز حواس را برای مدیریت و کاهش علائم فرسودگی شغلی و ارتقای مراقبت از خود بررسی کنید.</v>
      </c>
      <c r="H3622" s="1"/>
      <c r="I3622" s="1"/>
      <c r="J3622" s="1"/>
      <c r="K3622" s="1"/>
      <c r="L3622" s="1"/>
      <c r="M3622" s="1"/>
      <c r="N3622" s="1"/>
      <c r="O3622" s="1"/>
      <c r="P3622" s="1"/>
      <c r="Q3622" s="1"/>
      <c r="R3622" s="1"/>
      <c r="S3622" s="1"/>
      <c r="T3622" s="1"/>
      <c r="U3622" s="1"/>
      <c r="V3622" s="1"/>
      <c r="W3622" s="1"/>
      <c r="X3622" s="1"/>
      <c r="Y3622" s="1"/>
      <c r="Z3622" s="1"/>
      <c r="AA3622" s="1"/>
      <c r="AB3622" s="1"/>
    </row>
    <row r="3623" ht="50.25" customHeight="1">
      <c r="A3623" s="12">
        <v>3619.0</v>
      </c>
      <c r="B3623" s="13" t="s">
        <v>3427</v>
      </c>
      <c r="C3623" s="14" t="s">
        <v>3640</v>
      </c>
      <c r="D3623" s="1"/>
      <c r="E3623" s="1"/>
      <c r="F3623" s="1" t="str">
        <f>IFERROR(__xludf.DUMMYFUNCTION("GOOGLETRANSLATE(B3623, ""en"", ""fa"")
"),"تمرینات ذهن آگاهی و مدیتیشن")</f>
        <v>تمرینات ذهن آگاهی و مدیتیشن</v>
      </c>
      <c r="G3623" s="1" t="str">
        <f>IFERROR(__xludf.DUMMYFUNCTION("GOOGLETRANSLATE(C3623, ""en"", ""fa"")
"),"در مورد مزایای ذهن آگاهی در پرورش عادات غذایی آگاهانه و رابطه سالم با غذا بحث کنید.")</f>
        <v>در مورد مزایای ذهن آگاهی در پرورش عادات غذایی آگاهانه و رابطه سالم با غذا بحث کنید.</v>
      </c>
      <c r="H3623" s="1"/>
      <c r="I3623" s="1"/>
      <c r="J3623" s="1"/>
      <c r="K3623" s="1"/>
      <c r="L3623" s="1"/>
      <c r="M3623" s="1"/>
      <c r="N3623" s="1"/>
      <c r="O3623" s="1"/>
      <c r="P3623" s="1"/>
      <c r="Q3623" s="1"/>
      <c r="R3623" s="1"/>
      <c r="S3623" s="1"/>
      <c r="T3623" s="1"/>
      <c r="U3623" s="1"/>
      <c r="V3623" s="1"/>
      <c r="W3623" s="1"/>
      <c r="X3623" s="1"/>
      <c r="Y3623" s="1"/>
      <c r="Z3623" s="1"/>
      <c r="AA3623" s="1"/>
      <c r="AB3623" s="1"/>
    </row>
    <row r="3624" ht="50.25" customHeight="1">
      <c r="A3624" s="12">
        <v>3620.0</v>
      </c>
      <c r="B3624" s="13" t="s">
        <v>3427</v>
      </c>
      <c r="C3624" s="14" t="s">
        <v>3641</v>
      </c>
      <c r="D3624" s="1"/>
      <c r="E3624" s="1"/>
      <c r="F3624" s="1" t="str">
        <f>IFERROR(__xludf.DUMMYFUNCTION("GOOGLETRANSLATE(B3624, ""en"", ""fa"")
"),"تمرینات ذهن آگاهی و مدیتیشن")</f>
        <v>تمرینات ذهن آگاهی و مدیتیشن</v>
      </c>
      <c r="G3624" s="1" t="str">
        <f>IFERROR(__xludf.DUMMYFUNCTION("GOOGLETRANSLATE(C3624, ""en"", ""fa"")
"),"شیوه های ترکیب ذهن آگاهی را در ذهن آگاهی و مدیتیشن در محیط کار به اشتراک بگذارید.")</f>
        <v>شیوه های ترکیب ذهن آگاهی را در ذهن آگاهی و مدیتیشن در محیط کار به اشتراک بگذارید.</v>
      </c>
      <c r="H3624" s="1"/>
      <c r="I3624" s="1"/>
      <c r="J3624" s="1"/>
      <c r="K3624" s="1"/>
      <c r="L3624" s="1"/>
      <c r="M3624" s="1"/>
      <c r="N3624" s="1"/>
      <c r="O3624" s="1"/>
      <c r="P3624" s="1"/>
      <c r="Q3624" s="1"/>
      <c r="R3624" s="1"/>
      <c r="S3624" s="1"/>
      <c r="T3624" s="1"/>
      <c r="U3624" s="1"/>
      <c r="V3624" s="1"/>
      <c r="W3624" s="1"/>
      <c r="X3624" s="1"/>
      <c r="Y3624" s="1"/>
      <c r="Z3624" s="1"/>
      <c r="AA3624" s="1"/>
      <c r="AB3624" s="1"/>
    </row>
    <row r="3625" ht="50.25" customHeight="1">
      <c r="A3625" s="12">
        <v>3621.0</v>
      </c>
      <c r="B3625" s="13" t="s">
        <v>3427</v>
      </c>
      <c r="C3625" s="14" t="s">
        <v>3642</v>
      </c>
      <c r="D3625" s="1"/>
      <c r="E3625" s="1"/>
      <c r="F3625" s="1" t="str">
        <f>IFERROR(__xludf.DUMMYFUNCTION("GOOGLETRANSLATE(B3625, ""en"", ""fa"")
"),"تمرینات ذهن آگاهی و مدیتیشن")</f>
        <v>تمرینات ذهن آگاهی و مدیتیشن</v>
      </c>
      <c r="G3625" s="1" t="str">
        <f>IFERROR(__xludf.DUMMYFUNCTION("GOOGLETRANSLATE(C3625, ""en"", ""fa"")
"),"در مورد مزایای ذهن آگاهی در ارتقای هوش هیجانی و خودتنظیمی فکر کنید.")</f>
        <v>در مورد مزایای ذهن آگاهی در ارتقای هوش هیجانی و خودتنظیمی فکر کنید.</v>
      </c>
      <c r="H3625" s="1"/>
      <c r="I3625" s="1"/>
      <c r="J3625" s="1"/>
      <c r="K3625" s="1"/>
      <c r="L3625" s="1"/>
      <c r="M3625" s="1"/>
      <c r="N3625" s="1"/>
      <c r="O3625" s="1"/>
      <c r="P3625" s="1"/>
      <c r="Q3625" s="1"/>
      <c r="R3625" s="1"/>
      <c r="S3625" s="1"/>
      <c r="T3625" s="1"/>
      <c r="U3625" s="1"/>
      <c r="V3625" s="1"/>
      <c r="W3625" s="1"/>
      <c r="X3625" s="1"/>
      <c r="Y3625" s="1"/>
      <c r="Z3625" s="1"/>
      <c r="AA3625" s="1"/>
      <c r="AB3625" s="1"/>
    </row>
    <row r="3626" ht="50.25" customHeight="1">
      <c r="A3626" s="12">
        <v>3622.0</v>
      </c>
      <c r="B3626" s="13" t="s">
        <v>3427</v>
      </c>
      <c r="C3626" s="14" t="s">
        <v>3643</v>
      </c>
      <c r="D3626" s="1"/>
      <c r="E3626" s="1"/>
      <c r="F3626" s="1" t="str">
        <f>IFERROR(__xludf.DUMMYFUNCTION("GOOGLETRANSLATE(B3626, ""en"", ""fa"")
"),"تمرینات ذهن آگاهی و مدیتیشن")</f>
        <v>تمرینات ذهن آگاهی و مدیتیشن</v>
      </c>
      <c r="G3626" s="1" t="str">
        <f>IFERROR(__xludf.DUMMYFUNCTION("GOOGLETRANSLATE(C3626, ""en"", ""fa"")
"),"در مورد تکنیک های ذهن آگاهی برای پرورش ذهن آگاهی در فرزندپروری و پرورش پویایی خانواده سالم بحث کنید.")</f>
        <v>در مورد تکنیک های ذهن آگاهی برای پرورش ذهن آگاهی در فرزندپروری و پرورش پویایی خانواده سالم بحث کنید.</v>
      </c>
      <c r="H3626" s="1"/>
      <c r="I3626" s="1"/>
      <c r="J3626" s="1"/>
      <c r="K3626" s="1"/>
      <c r="L3626" s="1"/>
      <c r="M3626" s="1"/>
      <c r="N3626" s="1"/>
      <c r="O3626" s="1"/>
      <c r="P3626" s="1"/>
      <c r="Q3626" s="1"/>
      <c r="R3626" s="1"/>
      <c r="S3626" s="1"/>
      <c r="T3626" s="1"/>
      <c r="U3626" s="1"/>
      <c r="V3626" s="1"/>
      <c r="W3626" s="1"/>
      <c r="X3626" s="1"/>
      <c r="Y3626" s="1"/>
      <c r="Z3626" s="1"/>
      <c r="AA3626" s="1"/>
      <c r="AB3626" s="1"/>
    </row>
    <row r="3627" ht="50.25" customHeight="1">
      <c r="A3627" s="12">
        <v>3623.0</v>
      </c>
      <c r="B3627" s="13" t="s">
        <v>3427</v>
      </c>
      <c r="C3627" s="14" t="s">
        <v>3644</v>
      </c>
      <c r="D3627" s="1"/>
      <c r="E3627" s="1"/>
      <c r="F3627" s="1" t="str">
        <f>IFERROR(__xludf.DUMMYFUNCTION("GOOGLETRANSLATE(B3627, ""en"", ""fa"")
"),"تمرینات ذهن آگاهی و مدیتیشن")</f>
        <v>تمرینات ذهن آگاهی و مدیتیشن</v>
      </c>
      <c r="G3627" s="1" t="str">
        <f>IFERROR(__xludf.DUMMYFUNCTION("GOOGLETRANSLATE(C3627, ""en"", ""fa"")
"),"به نقش ذهن آگاهی در تقویت خودپذیری و پذیرش عیوب فکر کنید.")</f>
        <v>به نقش ذهن آگاهی در تقویت خودپذیری و پذیرش عیوب فکر کنید.</v>
      </c>
      <c r="H3627" s="1"/>
      <c r="I3627" s="1"/>
      <c r="J3627" s="1"/>
      <c r="K3627" s="1"/>
      <c r="L3627" s="1"/>
      <c r="M3627" s="1"/>
      <c r="N3627" s="1"/>
      <c r="O3627" s="1"/>
      <c r="P3627" s="1"/>
      <c r="Q3627" s="1"/>
      <c r="R3627" s="1"/>
      <c r="S3627" s="1"/>
      <c r="T3627" s="1"/>
      <c r="U3627" s="1"/>
      <c r="V3627" s="1"/>
      <c r="W3627" s="1"/>
      <c r="X3627" s="1"/>
      <c r="Y3627" s="1"/>
      <c r="Z3627" s="1"/>
      <c r="AA3627" s="1"/>
      <c r="AB3627" s="1"/>
    </row>
    <row r="3628" ht="50.25" customHeight="1">
      <c r="A3628" s="12">
        <v>3624.0</v>
      </c>
      <c r="B3628" s="13" t="s">
        <v>3427</v>
      </c>
      <c r="C3628" s="14" t="s">
        <v>3645</v>
      </c>
      <c r="D3628" s="1"/>
      <c r="E3628" s="1"/>
      <c r="F3628" s="1" t="str">
        <f>IFERROR(__xludf.DUMMYFUNCTION("GOOGLETRANSLATE(B3628, ""en"", ""fa"")
"),"تمرینات ذهن آگاهی و مدیتیشن")</f>
        <v>تمرینات ذهن آگاهی و مدیتیشن</v>
      </c>
      <c r="G3628" s="1" t="str">
        <f>IFERROR(__xludf.DUMMYFUNCTION("GOOGLETRANSLATE(C3628, ""en"", ""fa"")
"),"تکنیک های تمرکز حواس را برای پرورش حس آرامش و آرامش درونی کشف کنید.")</f>
        <v>تکنیک های تمرکز حواس را برای پرورش حس آرامش و آرامش درونی کشف کنید.</v>
      </c>
      <c r="H3628" s="1"/>
      <c r="I3628" s="1"/>
      <c r="J3628" s="1"/>
      <c r="K3628" s="1"/>
      <c r="L3628" s="1"/>
      <c r="M3628" s="1"/>
      <c r="N3628" s="1"/>
      <c r="O3628" s="1"/>
      <c r="P3628" s="1"/>
      <c r="Q3628" s="1"/>
      <c r="R3628" s="1"/>
      <c r="S3628" s="1"/>
      <c r="T3628" s="1"/>
      <c r="U3628" s="1"/>
      <c r="V3628" s="1"/>
      <c r="W3628" s="1"/>
      <c r="X3628" s="1"/>
      <c r="Y3628" s="1"/>
      <c r="Z3628" s="1"/>
      <c r="AA3628" s="1"/>
      <c r="AB3628" s="1"/>
    </row>
    <row r="3629" ht="50.25" customHeight="1">
      <c r="A3629" s="12">
        <v>3625.0</v>
      </c>
      <c r="B3629" s="13" t="s">
        <v>3427</v>
      </c>
      <c r="C3629" s="14" t="s">
        <v>3646</v>
      </c>
      <c r="D3629" s="1"/>
      <c r="E3629" s="1"/>
      <c r="F3629" s="1" t="str">
        <f>IFERROR(__xludf.DUMMYFUNCTION("GOOGLETRANSLATE(B3629, ""en"", ""fa"")
"),"تمرینات ذهن آگاهی و مدیتیشن")</f>
        <v>تمرینات ذهن آگاهی و مدیتیشن</v>
      </c>
      <c r="G3629" s="1" t="str">
        <f>IFERROR(__xludf.DUMMYFUNCTION("GOOGLETRANSLATE(C3629, ""en"", ""fa"")
"),"در مورد مزایای ذهن آگاهی در ارتقای تنظیم هیجانی و انعطاف پذیری بحث کنید.")</f>
        <v>در مورد مزایای ذهن آگاهی در ارتقای تنظیم هیجانی و انعطاف پذیری بحث کنید.</v>
      </c>
      <c r="H3629" s="1"/>
      <c r="I3629" s="1"/>
      <c r="J3629" s="1"/>
      <c r="K3629" s="1"/>
      <c r="L3629" s="1"/>
      <c r="M3629" s="1"/>
      <c r="N3629" s="1"/>
      <c r="O3629" s="1"/>
      <c r="P3629" s="1"/>
      <c r="Q3629" s="1"/>
      <c r="R3629" s="1"/>
      <c r="S3629" s="1"/>
      <c r="T3629" s="1"/>
      <c r="U3629" s="1"/>
      <c r="V3629" s="1"/>
      <c r="W3629" s="1"/>
      <c r="X3629" s="1"/>
      <c r="Y3629" s="1"/>
      <c r="Z3629" s="1"/>
      <c r="AA3629" s="1"/>
      <c r="AB3629" s="1"/>
    </row>
    <row r="3630" ht="50.25" customHeight="1">
      <c r="A3630" s="12">
        <v>3626.0</v>
      </c>
      <c r="B3630" s="13" t="s">
        <v>3427</v>
      </c>
      <c r="C3630" s="14" t="s">
        <v>3647</v>
      </c>
      <c r="D3630" s="1"/>
      <c r="E3630" s="1"/>
      <c r="F3630" s="1" t="str">
        <f>IFERROR(__xludf.DUMMYFUNCTION("GOOGLETRANSLATE(B3630, ""en"", ""fa"")
"),"تمرینات ذهن آگاهی و مدیتیشن")</f>
        <v>تمرینات ذهن آگاهی و مدیتیشن</v>
      </c>
      <c r="G3630" s="1" t="str">
        <f>IFERROR(__xludf.DUMMYFUNCTION("GOOGLETRANSLATE(C3630, ""en"", ""fa"")
"),"شیوه هایی را برای گنجاندن ذهن آگاهی در روال روزانه و یافتن لحظات سکون در برنامه های شلوغ به اشتراک بگذارید.")</f>
        <v>شیوه هایی را برای گنجاندن ذهن آگاهی در روال روزانه و یافتن لحظات سکون در برنامه های شلوغ به اشتراک بگذارید.</v>
      </c>
      <c r="H3630" s="1"/>
      <c r="I3630" s="1"/>
      <c r="J3630" s="1"/>
      <c r="K3630" s="1"/>
      <c r="L3630" s="1"/>
      <c r="M3630" s="1"/>
      <c r="N3630" s="1"/>
      <c r="O3630" s="1"/>
      <c r="P3630" s="1"/>
      <c r="Q3630" s="1"/>
      <c r="R3630" s="1"/>
      <c r="S3630" s="1"/>
      <c r="T3630" s="1"/>
      <c r="U3630" s="1"/>
      <c r="V3630" s="1"/>
      <c r="W3630" s="1"/>
      <c r="X3630" s="1"/>
      <c r="Y3630" s="1"/>
      <c r="Z3630" s="1"/>
      <c r="AA3630" s="1"/>
      <c r="AB3630" s="1"/>
    </row>
    <row r="3631" ht="50.25" customHeight="1">
      <c r="A3631" s="12">
        <v>3627.0</v>
      </c>
      <c r="B3631" s="13" t="s">
        <v>3427</v>
      </c>
      <c r="C3631" s="14" t="s">
        <v>3648</v>
      </c>
      <c r="D3631" s="1"/>
      <c r="E3631" s="1"/>
      <c r="F3631" s="1" t="str">
        <f>IFERROR(__xludf.DUMMYFUNCTION("GOOGLETRANSLATE(B3631, ""en"", ""fa"")
"),"تمرینات ذهن آگاهی و مدیتیشن")</f>
        <v>تمرینات ذهن آگاهی و مدیتیشن</v>
      </c>
      <c r="G3631" s="1" t="str">
        <f>IFERROR(__xludf.DUMMYFUNCTION("GOOGLETRANSLATE(C3631, ""en"", ""fa"")
"),"به ارتباط بین ذهن آگاهی و شهود فکر کنید، و اینکه چگونه ذهن آگاهی می تواند تصمیم گیری را افزایش دهد.")</f>
        <v>به ارتباط بین ذهن آگاهی و شهود فکر کنید، و اینکه چگونه ذهن آگاهی می تواند تصمیم گیری را افزایش دهد.</v>
      </c>
      <c r="H3631" s="1"/>
      <c r="I3631" s="1"/>
      <c r="J3631" s="1"/>
      <c r="K3631" s="1"/>
      <c r="L3631" s="1"/>
      <c r="M3631" s="1"/>
      <c r="N3631" s="1"/>
      <c r="O3631" s="1"/>
      <c r="P3631" s="1"/>
      <c r="Q3631" s="1"/>
      <c r="R3631" s="1"/>
      <c r="S3631" s="1"/>
      <c r="T3631" s="1"/>
      <c r="U3631" s="1"/>
      <c r="V3631" s="1"/>
      <c r="W3631" s="1"/>
      <c r="X3631" s="1"/>
      <c r="Y3631" s="1"/>
      <c r="Z3631" s="1"/>
      <c r="AA3631" s="1"/>
      <c r="AB3631" s="1"/>
    </row>
    <row r="3632" ht="50.25" customHeight="1">
      <c r="A3632" s="12">
        <v>3628.0</v>
      </c>
      <c r="B3632" s="13" t="s">
        <v>3427</v>
      </c>
      <c r="C3632" s="14" t="s">
        <v>3649</v>
      </c>
      <c r="D3632" s="1"/>
      <c r="E3632" s="1"/>
      <c r="F3632" s="1" t="str">
        <f>IFERROR(__xludf.DUMMYFUNCTION("GOOGLETRANSLATE(B3632, ""en"", ""fa"")
"),"تمرینات ذهن آگاهی و مدیتیشن")</f>
        <v>تمرینات ذهن آگاهی و مدیتیشن</v>
      </c>
      <c r="G3632" s="1" t="str">
        <f>IFERROR(__xludf.DUMMYFUNCTION("GOOGLETRANSLATE(C3632, ""en"", ""fa"")
"),"تکنیک های تمرکز حواس را برای مدیریت و کاهش علائم اضطراب و ارتقای حس آرامش کاوش کنید.")</f>
        <v>تکنیک های تمرکز حواس را برای مدیریت و کاهش علائم اضطراب و ارتقای حس آرامش کاوش کنید.</v>
      </c>
      <c r="H3632" s="1"/>
      <c r="I3632" s="1"/>
      <c r="J3632" s="1"/>
      <c r="K3632" s="1"/>
      <c r="L3632" s="1"/>
      <c r="M3632" s="1"/>
      <c r="N3632" s="1"/>
      <c r="O3632" s="1"/>
      <c r="P3632" s="1"/>
      <c r="Q3632" s="1"/>
      <c r="R3632" s="1"/>
      <c r="S3632" s="1"/>
      <c r="T3632" s="1"/>
      <c r="U3632" s="1"/>
      <c r="V3632" s="1"/>
      <c r="W3632" s="1"/>
      <c r="X3632" s="1"/>
      <c r="Y3632" s="1"/>
      <c r="Z3632" s="1"/>
      <c r="AA3632" s="1"/>
      <c r="AB3632" s="1"/>
    </row>
    <row r="3633" ht="50.25" customHeight="1">
      <c r="A3633" s="12">
        <v>3629.0</v>
      </c>
      <c r="B3633" s="13" t="s">
        <v>3427</v>
      </c>
      <c r="C3633" s="14" t="s">
        <v>3650</v>
      </c>
      <c r="D3633" s="1"/>
      <c r="E3633" s="1"/>
      <c r="F3633" s="1" t="str">
        <f>IFERROR(__xludf.DUMMYFUNCTION("GOOGLETRANSLATE(B3633, ""en"", ""fa"")
"),"تمرینات ذهن آگاهی و مدیتیشن")</f>
        <v>تمرینات ذهن آگاهی و مدیتیشن</v>
      </c>
      <c r="G3633" s="1" t="str">
        <f>IFERROR(__xludf.DUMMYFUNCTION("GOOGLETRANSLATE(C3633, ""en"", ""fa"")
"),"در مورد مزایای ذهن آگاهی در ترویج شفقت برای خود و دیگران بحث کنید.")</f>
        <v>در مورد مزایای ذهن آگاهی در ترویج شفقت برای خود و دیگران بحث کنید.</v>
      </c>
      <c r="H3633" s="1"/>
      <c r="I3633" s="1"/>
      <c r="J3633" s="1"/>
      <c r="K3633" s="1"/>
      <c r="L3633" s="1"/>
      <c r="M3633" s="1"/>
      <c r="N3633" s="1"/>
      <c r="O3633" s="1"/>
      <c r="P3633" s="1"/>
      <c r="Q3633" s="1"/>
      <c r="R3633" s="1"/>
      <c r="S3633" s="1"/>
      <c r="T3633" s="1"/>
      <c r="U3633" s="1"/>
      <c r="V3633" s="1"/>
      <c r="W3633" s="1"/>
      <c r="X3633" s="1"/>
      <c r="Y3633" s="1"/>
      <c r="Z3633" s="1"/>
      <c r="AA3633" s="1"/>
      <c r="AB3633" s="1"/>
    </row>
    <row r="3634" ht="50.25" customHeight="1">
      <c r="A3634" s="12">
        <v>3630.0</v>
      </c>
      <c r="B3634" s="13" t="s">
        <v>3427</v>
      </c>
      <c r="C3634" s="14" t="s">
        <v>3651</v>
      </c>
      <c r="D3634" s="1"/>
      <c r="E3634" s="1"/>
      <c r="F3634" s="1" t="str">
        <f>IFERROR(__xludf.DUMMYFUNCTION("GOOGLETRANSLATE(B3634, ""en"", ""fa"")
"),"تمرینات ذهن آگاهی و مدیتیشن")</f>
        <v>تمرینات ذهن آگاهی و مدیتیشن</v>
      </c>
      <c r="G3634" s="1" t="str">
        <f>IFERROR(__xludf.DUMMYFUNCTION("GOOGLETRANSLATE(C3634, ""en"", ""fa"")
"),"تکنیک هایی را برای گنجاندن ذهن آگاهی در فعالیت های خلاقانه مانند نوشتن، نقاشی یا موسیقی به اشتراک بگذارید.")</f>
        <v>تکنیک هایی را برای گنجاندن ذهن آگاهی در فعالیت های خلاقانه مانند نوشتن، نقاشی یا موسیقی به اشتراک بگذارید.</v>
      </c>
      <c r="H3634" s="1"/>
      <c r="I3634" s="1"/>
      <c r="J3634" s="1"/>
      <c r="K3634" s="1"/>
      <c r="L3634" s="1"/>
      <c r="M3634" s="1"/>
      <c r="N3634" s="1"/>
      <c r="O3634" s="1"/>
      <c r="P3634" s="1"/>
      <c r="Q3634" s="1"/>
      <c r="R3634" s="1"/>
      <c r="S3634" s="1"/>
      <c r="T3634" s="1"/>
      <c r="U3634" s="1"/>
      <c r="V3634" s="1"/>
      <c r="W3634" s="1"/>
      <c r="X3634" s="1"/>
      <c r="Y3634" s="1"/>
      <c r="Z3634" s="1"/>
      <c r="AA3634" s="1"/>
      <c r="AB3634" s="1"/>
    </row>
    <row r="3635" ht="50.25" customHeight="1">
      <c r="A3635" s="12">
        <v>3631.0</v>
      </c>
      <c r="B3635" s="13" t="s">
        <v>3427</v>
      </c>
      <c r="C3635" s="14" t="s">
        <v>3652</v>
      </c>
      <c r="D3635" s="1"/>
      <c r="E3635" s="1"/>
      <c r="F3635" s="1" t="str">
        <f>IFERROR(__xludf.DUMMYFUNCTION("GOOGLETRANSLATE(B3635, ""en"", ""fa"")
"),"تمرینات ذهن آگاهی و مدیتیشن")</f>
        <v>تمرینات ذهن آگاهی و مدیتیشن</v>
      </c>
      <c r="G3635" s="1" t="str">
        <f>IFERROR(__xludf.DUMMYFUNCTION("GOOGLETRANSLATE(C3635, ""en"", ""fa"")
"),"به نقش ذهن آگاهی در تقویت ارتباطات عمیق تر در روابط و بهبود ارتباطات فکر کنید.")</f>
        <v>به نقش ذهن آگاهی در تقویت ارتباطات عمیق تر در روابط و بهبود ارتباطات فکر کنید.</v>
      </c>
      <c r="H3635" s="1"/>
      <c r="I3635" s="1"/>
      <c r="J3635" s="1"/>
      <c r="K3635" s="1"/>
      <c r="L3635" s="1"/>
      <c r="M3635" s="1"/>
      <c r="N3635" s="1"/>
      <c r="O3635" s="1"/>
      <c r="P3635" s="1"/>
      <c r="Q3635" s="1"/>
      <c r="R3635" s="1"/>
      <c r="S3635" s="1"/>
      <c r="T3635" s="1"/>
      <c r="U3635" s="1"/>
      <c r="V3635" s="1"/>
      <c r="W3635" s="1"/>
      <c r="X3635" s="1"/>
      <c r="Y3635" s="1"/>
      <c r="Z3635" s="1"/>
      <c r="AA3635" s="1"/>
      <c r="AB3635" s="1"/>
    </row>
    <row r="3636" ht="50.25" customHeight="1">
      <c r="A3636" s="12">
        <v>3632.0</v>
      </c>
      <c r="B3636" s="13" t="s">
        <v>3427</v>
      </c>
      <c r="C3636" s="14" t="s">
        <v>3653</v>
      </c>
      <c r="D3636" s="1"/>
      <c r="E3636" s="1"/>
      <c r="F3636" s="1" t="str">
        <f>IFERROR(__xludf.DUMMYFUNCTION("GOOGLETRANSLATE(B3636, ""en"", ""fa"")
"),"تمرینات ذهن آگاهی و مدیتیشن")</f>
        <v>تمرینات ذهن آگاهی و مدیتیشن</v>
      </c>
      <c r="G3636" s="1" t="str">
        <f>IFERROR(__xludf.DUMMYFUNCTION("GOOGLETRANSLATE(C3636, ""en"", ""fa"")
"),"شیوه های تمرکز حواس را برای پرورش حس قدردانی و قدردانی در زندگی روزمره کاوش کنید.")</f>
        <v>شیوه های تمرکز حواس را برای پرورش حس قدردانی و قدردانی در زندگی روزمره کاوش کنید.</v>
      </c>
      <c r="H3636" s="1"/>
      <c r="I3636" s="1"/>
      <c r="J3636" s="1"/>
      <c r="K3636" s="1"/>
      <c r="L3636" s="1"/>
      <c r="M3636" s="1"/>
      <c r="N3636" s="1"/>
      <c r="O3636" s="1"/>
      <c r="P3636" s="1"/>
      <c r="Q3636" s="1"/>
      <c r="R3636" s="1"/>
      <c r="S3636" s="1"/>
      <c r="T3636" s="1"/>
      <c r="U3636" s="1"/>
      <c r="V3636" s="1"/>
      <c r="W3636" s="1"/>
      <c r="X3636" s="1"/>
      <c r="Y3636" s="1"/>
      <c r="Z3636" s="1"/>
      <c r="AA3636" s="1"/>
      <c r="AB3636" s="1"/>
    </row>
    <row r="3637" ht="50.25" customHeight="1">
      <c r="A3637" s="12">
        <v>3633.0</v>
      </c>
      <c r="B3637" s="13" t="s">
        <v>3427</v>
      </c>
      <c r="C3637" s="14" t="s">
        <v>3654</v>
      </c>
      <c r="D3637" s="1"/>
      <c r="E3637" s="1"/>
      <c r="F3637" s="1" t="str">
        <f>IFERROR(__xludf.DUMMYFUNCTION("GOOGLETRANSLATE(B3637, ""en"", ""fa"")
"),"تمرینات ذهن آگاهی و مدیتیشن")</f>
        <v>تمرینات ذهن آگاهی و مدیتیشن</v>
      </c>
      <c r="G3637" s="1" t="str">
        <f>IFERROR(__xludf.DUMMYFUNCTION("GOOGLETRANSLATE(C3637, ""en"", ""fa"")
"),"در مورد تکنیک‌های تمرکز حواس برای مدیریت و کاهش تأثیر استرس بر بهزیستی ذهنی و جسمی بحث کنید.")</f>
        <v>در مورد تکنیک‌های تمرکز حواس برای مدیریت و کاهش تأثیر استرس بر بهزیستی ذهنی و جسمی بحث کنید.</v>
      </c>
      <c r="H3637" s="1"/>
      <c r="I3637" s="1"/>
      <c r="J3637" s="1"/>
      <c r="K3637" s="1"/>
      <c r="L3637" s="1"/>
      <c r="M3637" s="1"/>
      <c r="N3637" s="1"/>
      <c r="O3637" s="1"/>
      <c r="P3637" s="1"/>
      <c r="Q3637" s="1"/>
      <c r="R3637" s="1"/>
      <c r="S3637" s="1"/>
      <c r="T3637" s="1"/>
      <c r="U3637" s="1"/>
      <c r="V3637" s="1"/>
      <c r="W3637" s="1"/>
      <c r="X3637" s="1"/>
      <c r="Y3637" s="1"/>
      <c r="Z3637" s="1"/>
      <c r="AA3637" s="1"/>
      <c r="AB3637" s="1"/>
    </row>
    <row r="3638" ht="50.25" customHeight="1">
      <c r="A3638" s="12">
        <v>3634.0</v>
      </c>
      <c r="B3638" s="13" t="s">
        <v>3427</v>
      </c>
      <c r="C3638" s="14" t="s">
        <v>3655</v>
      </c>
      <c r="D3638" s="1"/>
      <c r="E3638" s="1"/>
      <c r="F3638" s="1" t="str">
        <f>IFERROR(__xludf.DUMMYFUNCTION("GOOGLETRANSLATE(B3638, ""en"", ""fa"")
"),"تمرینات ذهن آگاهی و مدیتیشن")</f>
        <v>تمرینات ذهن آگاهی و مدیتیشن</v>
      </c>
      <c r="G3638" s="1" t="str">
        <f>IFERROR(__xludf.DUMMYFUNCTION("GOOGLETRANSLATE(C3638, ""en"", ""fa"")
"),"شیوه هایی را برای گنجاندن ذهن آگاهی در عادات دیجیتال و یافتن تعادل در عصر دیجیتال به اشتراک بگذارید.")</f>
        <v>شیوه هایی را برای گنجاندن ذهن آگاهی در عادات دیجیتال و یافتن تعادل در عصر دیجیتال به اشتراک بگذارید.</v>
      </c>
      <c r="H3638" s="1"/>
      <c r="I3638" s="1"/>
      <c r="J3638" s="1"/>
      <c r="K3638" s="1"/>
      <c r="L3638" s="1"/>
      <c r="M3638" s="1"/>
      <c r="N3638" s="1"/>
      <c r="O3638" s="1"/>
      <c r="P3638" s="1"/>
      <c r="Q3638" s="1"/>
      <c r="R3638" s="1"/>
      <c r="S3638" s="1"/>
      <c r="T3638" s="1"/>
      <c r="U3638" s="1"/>
      <c r="V3638" s="1"/>
      <c r="W3638" s="1"/>
      <c r="X3638" s="1"/>
      <c r="Y3638" s="1"/>
      <c r="Z3638" s="1"/>
      <c r="AA3638" s="1"/>
      <c r="AB3638" s="1"/>
    </row>
    <row r="3639" ht="50.25" customHeight="1">
      <c r="A3639" s="12">
        <v>3635.0</v>
      </c>
      <c r="B3639" s="13" t="s">
        <v>3427</v>
      </c>
      <c r="C3639" s="14" t="s">
        <v>3656</v>
      </c>
      <c r="D3639" s="1"/>
      <c r="E3639" s="1"/>
      <c r="F3639" s="1" t="str">
        <f>IFERROR(__xludf.DUMMYFUNCTION("GOOGLETRANSLATE(B3639, ""en"", ""fa"")
"),"تمرینات ذهن آگاهی و مدیتیشن")</f>
        <v>تمرینات ذهن آگاهی و مدیتیشن</v>
      </c>
      <c r="G3639" s="1" t="str">
        <f>IFERROR(__xludf.DUMMYFUNCTION("GOOGLETRANSLATE(C3639, ""en"", ""fa"")
"),"در مورد مزایای ذهن آگاهی در ترویج شفقت به خود و مراقبت از خود فکر کنید.")</f>
        <v>در مورد مزایای ذهن آگاهی در ترویج شفقت به خود و مراقبت از خود فکر کنید.</v>
      </c>
      <c r="H3639" s="1"/>
      <c r="I3639" s="1"/>
      <c r="J3639" s="1"/>
      <c r="K3639" s="1"/>
      <c r="L3639" s="1"/>
      <c r="M3639" s="1"/>
      <c r="N3639" s="1"/>
      <c r="O3639" s="1"/>
      <c r="P3639" s="1"/>
      <c r="Q3639" s="1"/>
      <c r="R3639" s="1"/>
      <c r="S3639" s="1"/>
      <c r="T3639" s="1"/>
      <c r="U3639" s="1"/>
      <c r="V3639" s="1"/>
      <c r="W3639" s="1"/>
      <c r="X3639" s="1"/>
      <c r="Y3639" s="1"/>
      <c r="Z3639" s="1"/>
      <c r="AA3639" s="1"/>
      <c r="AB3639" s="1"/>
    </row>
    <row r="3640" ht="50.25" customHeight="1">
      <c r="A3640" s="12">
        <v>3636.0</v>
      </c>
      <c r="B3640" s="13" t="s">
        <v>3427</v>
      </c>
      <c r="C3640" s="14" t="s">
        <v>3657</v>
      </c>
      <c r="D3640" s="1"/>
      <c r="E3640" s="1"/>
      <c r="F3640" s="1" t="str">
        <f>IFERROR(__xludf.DUMMYFUNCTION("GOOGLETRANSLATE(B3640, ""en"", ""fa"")
"),"تمرینات ذهن آگاهی و مدیتیشن")</f>
        <v>تمرینات ذهن آگاهی و مدیتیشن</v>
      </c>
      <c r="G3640" s="1" t="str">
        <f>IFERROR(__xludf.DUMMYFUNCTION("GOOGLETRANSLATE(C3640, ""en"", ""fa"")
"),"تکنیک های تمرکز حواس را برای ایجاد حس بیشتر آگاهی و تجسم بدن کاوش کنید.")</f>
        <v>تکنیک های تمرکز حواس را برای ایجاد حس بیشتر آگاهی و تجسم بدن کاوش کنید.</v>
      </c>
      <c r="H3640" s="1"/>
      <c r="I3640" s="1"/>
      <c r="J3640" s="1"/>
      <c r="K3640" s="1"/>
      <c r="L3640" s="1"/>
      <c r="M3640" s="1"/>
      <c r="N3640" s="1"/>
      <c r="O3640" s="1"/>
      <c r="P3640" s="1"/>
      <c r="Q3640" s="1"/>
      <c r="R3640" s="1"/>
      <c r="S3640" s="1"/>
      <c r="T3640" s="1"/>
      <c r="U3640" s="1"/>
      <c r="V3640" s="1"/>
      <c r="W3640" s="1"/>
      <c r="X3640" s="1"/>
      <c r="Y3640" s="1"/>
      <c r="Z3640" s="1"/>
      <c r="AA3640" s="1"/>
      <c r="AB3640" s="1"/>
    </row>
    <row r="3641" ht="50.25" customHeight="1">
      <c r="A3641" s="12">
        <v>3637.0</v>
      </c>
      <c r="B3641" s="13" t="s">
        <v>3427</v>
      </c>
      <c r="C3641" s="14" t="s">
        <v>3658</v>
      </c>
      <c r="D3641" s="1"/>
      <c r="E3641" s="1"/>
      <c r="F3641" s="1" t="str">
        <f>IFERROR(__xludf.DUMMYFUNCTION("GOOGLETRANSLATE(B3641, ""en"", ""fa"")
"),"تمرینات ذهن آگاهی و مدیتیشن")</f>
        <v>تمرینات ذهن آگاهی و مدیتیشن</v>
      </c>
      <c r="G3641" s="1" t="str">
        <f>IFERROR(__xludf.DUMMYFUNCTION("GOOGLETRANSLATE(C3641, ""en"", ""fa"")
"),"درباره نقش ذهن آگاهی در ارتقای تاب آوری و سازگاری در مواجهه با چالش ها بحث کنید.")</f>
        <v>درباره نقش ذهن آگاهی در ارتقای تاب آوری و سازگاری در مواجهه با چالش ها بحث کنید.</v>
      </c>
      <c r="H3641" s="1"/>
      <c r="I3641" s="1"/>
      <c r="J3641" s="1"/>
      <c r="K3641" s="1"/>
      <c r="L3641" s="1"/>
      <c r="M3641" s="1"/>
      <c r="N3641" s="1"/>
      <c r="O3641" s="1"/>
      <c r="P3641" s="1"/>
      <c r="Q3641" s="1"/>
      <c r="R3641" s="1"/>
      <c r="S3641" s="1"/>
      <c r="T3641" s="1"/>
      <c r="U3641" s="1"/>
      <c r="V3641" s="1"/>
      <c r="W3641" s="1"/>
      <c r="X3641" s="1"/>
      <c r="Y3641" s="1"/>
      <c r="Z3641" s="1"/>
      <c r="AA3641" s="1"/>
      <c r="AB3641" s="1"/>
    </row>
    <row r="3642" ht="50.25" customHeight="1">
      <c r="A3642" s="12">
        <v>3638.0</v>
      </c>
      <c r="B3642" s="13" t="s">
        <v>3427</v>
      </c>
      <c r="C3642" s="14" t="s">
        <v>3659</v>
      </c>
      <c r="D3642" s="1"/>
      <c r="E3642" s="1"/>
      <c r="F3642" s="1" t="str">
        <f>IFERROR(__xludf.DUMMYFUNCTION("GOOGLETRANSLATE(B3642, ""en"", ""fa"")
"),"تمرینات ذهن آگاهی و مدیتیشن")</f>
        <v>تمرینات ذهن آگاهی و مدیتیشن</v>
      </c>
      <c r="G3642" s="1" t="str">
        <f>IFERROR(__xludf.DUMMYFUNCTION("GOOGLETRANSLATE(C3642, ""en"", ""fa"")
"),"به ارتباط بین ذهن آگاهی و خلاقیت فکر کنید، و اینکه چگونه ذهن آگاهی می تواند بیان خلاق را افزایش دهد.")</f>
        <v>به ارتباط بین ذهن آگاهی و خلاقیت فکر کنید، و اینکه چگونه ذهن آگاهی می تواند بیان خلاق را افزایش دهد.</v>
      </c>
      <c r="H3642" s="1"/>
      <c r="I3642" s="1"/>
      <c r="J3642" s="1"/>
      <c r="K3642" s="1"/>
      <c r="L3642" s="1"/>
      <c r="M3642" s="1"/>
      <c r="N3642" s="1"/>
      <c r="O3642" s="1"/>
      <c r="P3642" s="1"/>
      <c r="Q3642" s="1"/>
      <c r="R3642" s="1"/>
      <c r="S3642" s="1"/>
      <c r="T3642" s="1"/>
      <c r="U3642" s="1"/>
      <c r="V3642" s="1"/>
      <c r="W3642" s="1"/>
      <c r="X3642" s="1"/>
      <c r="Y3642" s="1"/>
      <c r="Z3642" s="1"/>
      <c r="AA3642" s="1"/>
      <c r="AB3642" s="1"/>
    </row>
    <row r="3643" ht="50.25" customHeight="1">
      <c r="A3643" s="12">
        <v>3639.0</v>
      </c>
      <c r="B3643" s="13" t="s">
        <v>3427</v>
      </c>
      <c r="C3643" s="14" t="s">
        <v>3660</v>
      </c>
      <c r="D3643" s="1"/>
      <c r="E3643" s="1"/>
      <c r="F3643" s="1" t="str">
        <f>IFERROR(__xludf.DUMMYFUNCTION("GOOGLETRANSLATE(B3643, ""en"", ""fa"")
"),"تمرینات ذهن آگاهی و مدیتیشن")</f>
        <v>تمرینات ذهن آگاهی و مدیتیشن</v>
      </c>
      <c r="G3643" s="1" t="str">
        <f>IFERROR(__xludf.DUMMYFUNCTION("GOOGLETRANSLATE(C3643, ""en"", ""fa"")
"),"تکنیک های تمرکز حواس را برای پرورش آگاهی بدون قضاوت و کاهش انتقاد از خود کاوش کنید.")</f>
        <v>تکنیک های تمرکز حواس را برای پرورش آگاهی بدون قضاوت و کاهش انتقاد از خود کاوش کنید.</v>
      </c>
      <c r="H3643" s="1"/>
      <c r="I3643" s="1"/>
      <c r="J3643" s="1"/>
      <c r="K3643" s="1"/>
      <c r="L3643" s="1"/>
      <c r="M3643" s="1"/>
      <c r="N3643" s="1"/>
      <c r="O3643" s="1"/>
      <c r="P3643" s="1"/>
      <c r="Q3643" s="1"/>
      <c r="R3643" s="1"/>
      <c r="S3643" s="1"/>
      <c r="T3643" s="1"/>
      <c r="U3643" s="1"/>
      <c r="V3643" s="1"/>
      <c r="W3643" s="1"/>
      <c r="X3643" s="1"/>
      <c r="Y3643" s="1"/>
      <c r="Z3643" s="1"/>
      <c r="AA3643" s="1"/>
      <c r="AB3643" s="1"/>
    </row>
    <row r="3644" ht="50.25" customHeight="1">
      <c r="A3644" s="12">
        <v>3640.0</v>
      </c>
      <c r="B3644" s="13" t="s">
        <v>3427</v>
      </c>
      <c r="C3644" s="14" t="s">
        <v>3661</v>
      </c>
      <c r="D3644" s="1"/>
      <c r="E3644" s="1"/>
      <c r="F3644" s="1" t="str">
        <f>IFERROR(__xludf.DUMMYFUNCTION("GOOGLETRANSLATE(B3644, ""en"", ""fa"")
"),"تمرینات ذهن آگاهی و مدیتیشن")</f>
        <v>تمرینات ذهن آگاهی و مدیتیشن</v>
      </c>
      <c r="G3644" s="1" t="str">
        <f>IFERROR(__xludf.DUMMYFUNCTION("GOOGLETRANSLATE(C3644, ""en"", ""fa"")
"),"در مورد فواید تمرکز حواس در ارتقای کیفیت خواب بهتر و آرامش صحبت کنید.")</f>
        <v>در مورد فواید تمرکز حواس در ارتقای کیفیت خواب بهتر و آرامش صحبت کنید.</v>
      </c>
      <c r="H3644" s="1"/>
      <c r="I3644" s="1"/>
      <c r="J3644" s="1"/>
      <c r="K3644" s="1"/>
      <c r="L3644" s="1"/>
      <c r="M3644" s="1"/>
      <c r="N3644" s="1"/>
      <c r="O3644" s="1"/>
      <c r="P3644" s="1"/>
      <c r="Q3644" s="1"/>
      <c r="R3644" s="1"/>
      <c r="S3644" s="1"/>
      <c r="T3644" s="1"/>
      <c r="U3644" s="1"/>
      <c r="V3644" s="1"/>
      <c r="W3644" s="1"/>
      <c r="X3644" s="1"/>
      <c r="Y3644" s="1"/>
      <c r="Z3644" s="1"/>
      <c r="AA3644" s="1"/>
      <c r="AB3644" s="1"/>
    </row>
    <row r="3645" ht="50.25" customHeight="1">
      <c r="A3645" s="12">
        <v>3641.0</v>
      </c>
      <c r="B3645" s="13" t="s">
        <v>3427</v>
      </c>
      <c r="C3645" s="14" t="s">
        <v>3662</v>
      </c>
      <c r="D3645" s="1"/>
      <c r="E3645" s="1"/>
      <c r="F3645" s="1" t="str">
        <f>IFERROR(__xludf.DUMMYFUNCTION("GOOGLETRANSLATE(B3645, ""en"", ""fa"")
"),"تمرینات ذهن آگاهی و مدیتیشن")</f>
        <v>تمرینات ذهن آگاهی و مدیتیشن</v>
      </c>
      <c r="G3645" s="1" t="str">
        <f>IFERROR(__xludf.DUMMYFUNCTION("GOOGLETRANSLATE(C3645, ""en"", ""fa"")
"),"تمرین‌هایی را برای گنجاندن تمرکز حواس در تمرینات بدنی و حرکت برای یک تمرین آگاهانه به اشتراک بگذارید.")</f>
        <v>تمرین‌هایی را برای گنجاندن تمرکز حواس در تمرینات بدنی و حرکت برای یک تمرین آگاهانه به اشتراک بگذارید.</v>
      </c>
      <c r="H3645" s="1"/>
      <c r="I3645" s="1"/>
      <c r="J3645" s="1"/>
      <c r="K3645" s="1"/>
      <c r="L3645" s="1"/>
      <c r="M3645" s="1"/>
      <c r="N3645" s="1"/>
      <c r="O3645" s="1"/>
      <c r="P3645" s="1"/>
      <c r="Q3645" s="1"/>
      <c r="R3645" s="1"/>
      <c r="S3645" s="1"/>
      <c r="T3645" s="1"/>
      <c r="U3645" s="1"/>
      <c r="V3645" s="1"/>
      <c r="W3645" s="1"/>
      <c r="X3645" s="1"/>
      <c r="Y3645" s="1"/>
      <c r="Z3645" s="1"/>
      <c r="AA3645" s="1"/>
      <c r="AB3645" s="1"/>
    </row>
    <row r="3646" ht="50.25" customHeight="1">
      <c r="A3646" s="12">
        <v>3642.0</v>
      </c>
      <c r="B3646" s="13" t="s">
        <v>3427</v>
      </c>
      <c r="C3646" s="14" t="s">
        <v>3663</v>
      </c>
      <c r="D3646" s="1"/>
      <c r="E3646" s="1"/>
      <c r="F3646" s="1" t="str">
        <f>IFERROR(__xludf.DUMMYFUNCTION("GOOGLETRANSLATE(B3646, ""en"", ""fa"")
"),"تمرینات ذهن آگاهی و مدیتیشن")</f>
        <v>تمرینات ذهن آگاهی و مدیتیشن</v>
      </c>
      <c r="G3646" s="1" t="str">
        <f>IFERROR(__xludf.DUMMYFUNCTION("GOOGLETRANSLATE(C3646, ""en"", ""fa"")
"),"به نقش ذهن آگاهی در پرورش خودیابی و رشد شخصی فکر کنید.")</f>
        <v>به نقش ذهن آگاهی در پرورش خودیابی و رشد شخصی فکر کنید.</v>
      </c>
      <c r="H3646" s="1"/>
      <c r="I3646" s="1"/>
      <c r="J3646" s="1"/>
      <c r="K3646" s="1"/>
      <c r="L3646" s="1"/>
      <c r="M3646" s="1"/>
      <c r="N3646" s="1"/>
      <c r="O3646" s="1"/>
      <c r="P3646" s="1"/>
      <c r="Q3646" s="1"/>
      <c r="R3646" s="1"/>
      <c r="S3646" s="1"/>
      <c r="T3646" s="1"/>
      <c r="U3646" s="1"/>
      <c r="V3646" s="1"/>
      <c r="W3646" s="1"/>
      <c r="X3646" s="1"/>
      <c r="Y3646" s="1"/>
      <c r="Z3646" s="1"/>
      <c r="AA3646" s="1"/>
      <c r="AB3646" s="1"/>
    </row>
    <row r="3647" ht="50.25" customHeight="1">
      <c r="A3647" s="12">
        <v>3643.0</v>
      </c>
      <c r="B3647" s="13" t="s">
        <v>3427</v>
      </c>
      <c r="C3647" s="14" t="s">
        <v>3664</v>
      </c>
      <c r="D3647" s="1"/>
      <c r="E3647" s="1"/>
      <c r="F3647" s="1" t="str">
        <f>IFERROR(__xludf.DUMMYFUNCTION("GOOGLETRANSLATE(B3647, ""en"", ""fa"")
"),"تمرینات ذهن آگاهی و مدیتیشن")</f>
        <v>تمرینات ذهن آگاهی و مدیتیشن</v>
      </c>
      <c r="G3647" s="1" t="str">
        <f>IFERROR(__xludf.DUMMYFUNCTION("GOOGLETRANSLATE(C3647, ""en"", ""fa"")
"),"تکنیک‌های تمرکز حواس را برای مدیریت و کاهش علائم افسردگی و ارتقای رفاه کاوش کنید.")</f>
        <v>تکنیک‌های تمرکز حواس را برای مدیریت و کاهش علائم افسردگی و ارتقای رفاه کاوش کنید.</v>
      </c>
      <c r="H3647" s="1"/>
      <c r="I3647" s="1"/>
      <c r="J3647" s="1"/>
      <c r="K3647" s="1"/>
      <c r="L3647" s="1"/>
      <c r="M3647" s="1"/>
      <c r="N3647" s="1"/>
      <c r="O3647" s="1"/>
      <c r="P3647" s="1"/>
      <c r="Q3647" s="1"/>
      <c r="R3647" s="1"/>
      <c r="S3647" s="1"/>
      <c r="T3647" s="1"/>
      <c r="U3647" s="1"/>
      <c r="V3647" s="1"/>
      <c r="W3647" s="1"/>
      <c r="X3647" s="1"/>
      <c r="Y3647" s="1"/>
      <c r="Z3647" s="1"/>
      <c r="AA3647" s="1"/>
      <c r="AB3647" s="1"/>
    </row>
    <row r="3648" ht="50.25" customHeight="1">
      <c r="A3648" s="12">
        <v>3644.0</v>
      </c>
      <c r="B3648" s="13" t="s">
        <v>3427</v>
      </c>
      <c r="C3648" s="14" t="s">
        <v>3665</v>
      </c>
      <c r="D3648" s="1"/>
      <c r="E3648" s="1"/>
      <c r="F3648" s="1" t="str">
        <f>IFERROR(__xludf.DUMMYFUNCTION("GOOGLETRANSLATE(B3648, ""en"", ""fa"")
"),"تمرینات ذهن آگاهی و مدیتیشن")</f>
        <v>تمرینات ذهن آگاهی و مدیتیشن</v>
      </c>
      <c r="G3648" s="1" t="str">
        <f>IFERROR(__xludf.DUMMYFUNCTION("GOOGLETRANSLATE(C3648, ""en"", ""fa"")
"),"در مورد مزایای تمرکز حواس در ارتقاء حس به هم پیوستگی و پرورش شفقت نسبت به همه موجودات بحث کنید.")</f>
        <v>در مورد مزایای تمرکز حواس در ارتقاء حس به هم پیوستگی و پرورش شفقت نسبت به همه موجودات بحث کنید.</v>
      </c>
      <c r="H3648" s="1"/>
      <c r="I3648" s="1"/>
      <c r="J3648" s="1"/>
      <c r="K3648" s="1"/>
      <c r="L3648" s="1"/>
      <c r="M3648" s="1"/>
      <c r="N3648" s="1"/>
      <c r="O3648" s="1"/>
      <c r="P3648" s="1"/>
      <c r="Q3648" s="1"/>
      <c r="R3648" s="1"/>
      <c r="S3648" s="1"/>
      <c r="T3648" s="1"/>
      <c r="U3648" s="1"/>
      <c r="V3648" s="1"/>
      <c r="W3648" s="1"/>
      <c r="X3648" s="1"/>
      <c r="Y3648" s="1"/>
      <c r="Z3648" s="1"/>
      <c r="AA3648" s="1"/>
      <c r="AB3648" s="1"/>
    </row>
    <row r="3649" ht="50.25" customHeight="1">
      <c r="A3649" s="12">
        <v>3645.0</v>
      </c>
      <c r="B3649" s="13" t="s">
        <v>3427</v>
      </c>
      <c r="C3649" s="14" t="s">
        <v>3666</v>
      </c>
      <c r="D3649" s="1"/>
      <c r="E3649" s="1"/>
      <c r="F3649" s="1" t="str">
        <f>IFERROR(__xludf.DUMMYFUNCTION("GOOGLETRANSLATE(B3649, ""en"", ""fa"")
"),"تمرینات ذهن آگاهی و مدیتیشن")</f>
        <v>تمرینات ذهن آگاهی و مدیتیشن</v>
      </c>
      <c r="G3649" s="1" t="str">
        <f>IFERROR(__xludf.DUMMYFUNCTION("GOOGLETRANSLATE(C3649, ""en"", ""fa"")
"),"برای افزایش بهره وری و رفاه، شیوه های ترکیب ذهن آگاهی و مدیتیشن را در محیط کار به اشتراک بگذارید.")</f>
        <v>برای افزایش بهره وری و رفاه، شیوه های ترکیب ذهن آگاهی و مدیتیشن را در محیط کار به اشتراک بگذارید.</v>
      </c>
      <c r="H3649" s="1"/>
      <c r="I3649" s="1"/>
      <c r="J3649" s="1"/>
      <c r="K3649" s="1"/>
      <c r="L3649" s="1"/>
      <c r="M3649" s="1"/>
      <c r="N3649" s="1"/>
      <c r="O3649" s="1"/>
      <c r="P3649" s="1"/>
      <c r="Q3649" s="1"/>
      <c r="R3649" s="1"/>
      <c r="S3649" s="1"/>
      <c r="T3649" s="1"/>
      <c r="U3649" s="1"/>
      <c r="V3649" s="1"/>
      <c r="W3649" s="1"/>
      <c r="X3649" s="1"/>
      <c r="Y3649" s="1"/>
      <c r="Z3649" s="1"/>
      <c r="AA3649" s="1"/>
      <c r="AB3649" s="1"/>
    </row>
    <row r="3650" ht="50.25" customHeight="1">
      <c r="A3650" s="12">
        <v>3646.0</v>
      </c>
      <c r="B3650" s="13" t="s">
        <v>3427</v>
      </c>
      <c r="C3650" s="14" t="s">
        <v>3667</v>
      </c>
      <c r="D3650" s="1"/>
      <c r="E3650" s="1"/>
      <c r="F3650" s="1" t="str">
        <f>IFERROR(__xludf.DUMMYFUNCTION("GOOGLETRANSLATE(B3650, ""en"", ""fa"")
"),"تمرینات ذهن آگاهی و مدیتیشن")</f>
        <v>تمرینات ذهن آگاهی و مدیتیشن</v>
      </c>
      <c r="G3650" s="1" t="str">
        <f>IFERROR(__xludf.DUMMYFUNCTION("GOOGLETRANSLATE(C3650, ""en"", ""fa"")
"),"به نقش ذهن آگاهی در تقویت روابط و تقویت ارتباطات عمیق تر با دیگران فکر کنید.")</f>
        <v>به نقش ذهن آگاهی در تقویت روابط و تقویت ارتباطات عمیق تر با دیگران فکر کنید.</v>
      </c>
      <c r="H3650" s="1"/>
      <c r="I3650" s="1"/>
      <c r="J3650" s="1"/>
      <c r="K3650" s="1"/>
      <c r="L3650" s="1"/>
      <c r="M3650" s="1"/>
      <c r="N3650" s="1"/>
      <c r="O3650" s="1"/>
      <c r="P3650" s="1"/>
      <c r="Q3650" s="1"/>
      <c r="R3650" s="1"/>
      <c r="S3650" s="1"/>
      <c r="T3650" s="1"/>
      <c r="U3650" s="1"/>
      <c r="V3650" s="1"/>
      <c r="W3650" s="1"/>
      <c r="X3650" s="1"/>
      <c r="Y3650" s="1"/>
      <c r="Z3650" s="1"/>
      <c r="AA3650" s="1"/>
      <c r="AB3650" s="1"/>
    </row>
    <row r="3651" ht="50.25" customHeight="1">
      <c r="A3651" s="12">
        <v>3647.0</v>
      </c>
      <c r="B3651" s="13" t="s">
        <v>3427</v>
      </c>
      <c r="C3651" s="14" t="s">
        <v>3668</v>
      </c>
      <c r="D3651" s="1"/>
      <c r="E3651" s="1"/>
      <c r="F3651" s="1" t="str">
        <f>IFERROR(__xludf.DUMMYFUNCTION("GOOGLETRANSLATE(B3651, ""en"", ""fa"")
"),"تمرینات ذهن آگاهی و مدیتیشن")</f>
        <v>تمرینات ذهن آگاهی و مدیتیشن</v>
      </c>
      <c r="G3651" s="1" t="str">
        <f>IFERROR(__xludf.DUMMYFUNCTION("GOOGLETRANSLATE(C3651, ""en"", ""fa"")
"),"تکنیک های ذهن آگاهی را برای پرورش قدردانی و قدردانی در زندگی روزمره کاوش کنید.")</f>
        <v>تکنیک های ذهن آگاهی را برای پرورش قدردانی و قدردانی در زندگی روزمره کاوش کنید.</v>
      </c>
      <c r="H3651" s="1"/>
      <c r="I3651" s="1"/>
      <c r="J3651" s="1"/>
      <c r="K3651" s="1"/>
      <c r="L3651" s="1"/>
      <c r="M3651" s="1"/>
      <c r="N3651" s="1"/>
      <c r="O3651" s="1"/>
      <c r="P3651" s="1"/>
      <c r="Q3651" s="1"/>
      <c r="R3651" s="1"/>
      <c r="S3651" s="1"/>
      <c r="T3651" s="1"/>
      <c r="U3651" s="1"/>
      <c r="V3651" s="1"/>
      <c r="W3651" s="1"/>
      <c r="X3651" s="1"/>
      <c r="Y3651" s="1"/>
      <c r="Z3651" s="1"/>
      <c r="AA3651" s="1"/>
      <c r="AB3651" s="1"/>
    </row>
    <row r="3652" ht="50.25" customHeight="1">
      <c r="A3652" s="12">
        <v>3648.0</v>
      </c>
      <c r="B3652" s="13" t="s">
        <v>3427</v>
      </c>
      <c r="C3652" s="14" t="s">
        <v>3669</v>
      </c>
      <c r="D3652" s="1"/>
      <c r="E3652" s="1"/>
      <c r="F3652" s="1" t="str">
        <f>IFERROR(__xludf.DUMMYFUNCTION("GOOGLETRANSLATE(B3652, ""en"", ""fa"")
"),"تمرینات ذهن آگاهی و مدیتیشن")</f>
        <v>تمرینات ذهن آگاهی و مدیتیشن</v>
      </c>
      <c r="G3652" s="1" t="str">
        <f>IFERROR(__xludf.DUMMYFUNCTION("GOOGLETRANSLATE(C3652, ""en"", ""fa"")
"),"در مورد مزایای ذهن آگاهی در ارتقای هوش هیجانی و خودتنظیمی بحث کنید.")</f>
        <v>در مورد مزایای ذهن آگاهی در ارتقای هوش هیجانی و خودتنظیمی بحث کنید.</v>
      </c>
      <c r="H3652" s="1"/>
      <c r="I3652" s="1"/>
      <c r="J3652" s="1"/>
      <c r="K3652" s="1"/>
      <c r="L3652" s="1"/>
      <c r="M3652" s="1"/>
      <c r="N3652" s="1"/>
      <c r="O3652" s="1"/>
      <c r="P3652" s="1"/>
      <c r="Q3652" s="1"/>
      <c r="R3652" s="1"/>
      <c r="S3652" s="1"/>
      <c r="T3652" s="1"/>
      <c r="U3652" s="1"/>
      <c r="V3652" s="1"/>
      <c r="W3652" s="1"/>
      <c r="X3652" s="1"/>
      <c r="Y3652" s="1"/>
      <c r="Z3652" s="1"/>
      <c r="AA3652" s="1"/>
      <c r="AB3652" s="1"/>
    </row>
    <row r="3653" ht="50.25" customHeight="1">
      <c r="A3653" s="12">
        <v>3649.0</v>
      </c>
      <c r="B3653" s="13" t="s">
        <v>3427</v>
      </c>
      <c r="C3653" s="14" t="s">
        <v>3670</v>
      </c>
      <c r="D3653" s="1"/>
      <c r="E3653" s="1"/>
      <c r="F3653" s="1" t="str">
        <f>IFERROR(__xludf.DUMMYFUNCTION("GOOGLETRANSLATE(B3653, ""en"", ""fa"")
"),"تمرینات ذهن آگاهی و مدیتیشن")</f>
        <v>تمرینات ذهن آگاهی و مدیتیشن</v>
      </c>
      <c r="G3653" s="1" t="str">
        <f>IFERROR(__xludf.DUMMYFUNCTION("GOOGLETRANSLATE(C3653, ""en"", ""fa"")
"),"تکنیک‌های گنجاندن ذهن آگاهی را در شیوه‌های فرزندپروری برای والدین آگاهانه و حاضر به اشتراک بگذارید.")</f>
        <v>تکنیک‌های گنجاندن ذهن آگاهی را در شیوه‌های فرزندپروری برای والدین آگاهانه و حاضر به اشتراک بگذارید.</v>
      </c>
      <c r="H3653" s="1"/>
      <c r="I3653" s="1"/>
      <c r="J3653" s="1"/>
      <c r="K3653" s="1"/>
      <c r="L3653" s="1"/>
      <c r="M3653" s="1"/>
      <c r="N3653" s="1"/>
      <c r="O3653" s="1"/>
      <c r="P3653" s="1"/>
      <c r="Q3653" s="1"/>
      <c r="R3653" s="1"/>
      <c r="S3653" s="1"/>
      <c r="T3653" s="1"/>
      <c r="U3653" s="1"/>
      <c r="V3653" s="1"/>
      <c r="W3653" s="1"/>
      <c r="X3653" s="1"/>
      <c r="Y3653" s="1"/>
      <c r="Z3653" s="1"/>
      <c r="AA3653" s="1"/>
      <c r="AB3653" s="1"/>
    </row>
    <row r="3654" ht="50.25" customHeight="1">
      <c r="A3654" s="12">
        <v>3650.0</v>
      </c>
      <c r="B3654" s="13" t="s">
        <v>3427</v>
      </c>
      <c r="C3654" s="14" t="s">
        <v>3671</v>
      </c>
      <c r="D3654" s="1"/>
      <c r="E3654" s="1"/>
      <c r="F3654" s="1" t="str">
        <f>IFERROR(__xludf.DUMMYFUNCTION("GOOGLETRANSLATE(B3654, ""en"", ""fa"")
"),"تمرینات ذهن آگاهی و مدیتیشن")</f>
        <v>تمرینات ذهن آگاهی و مدیتیشن</v>
      </c>
      <c r="G3654" s="1" t="str">
        <f>IFERROR(__xludf.DUMMYFUNCTION("GOOGLETRANSLATE(C3654, ""en"", ""fa"")
"),"در مورد ارتباط بین ذهن آگاهی و سلامت جسمانی و اینکه چگونه ذهن آگاهی می تواند از بهزیستی کلی حمایت کند، فکر کنید.")</f>
        <v>در مورد ارتباط بین ذهن آگاهی و سلامت جسمانی و اینکه چگونه ذهن آگاهی می تواند از بهزیستی کلی حمایت کند، فکر کنید.</v>
      </c>
      <c r="H3654" s="1"/>
      <c r="I3654" s="1"/>
      <c r="J3654" s="1"/>
      <c r="K3654" s="1"/>
      <c r="L3654" s="1"/>
      <c r="M3654" s="1"/>
      <c r="N3654" s="1"/>
      <c r="O3654" s="1"/>
      <c r="P3654" s="1"/>
      <c r="Q3654" s="1"/>
      <c r="R3654" s="1"/>
      <c r="S3654" s="1"/>
      <c r="T3654" s="1"/>
      <c r="U3654" s="1"/>
      <c r="V3654" s="1"/>
      <c r="W3654" s="1"/>
      <c r="X3654" s="1"/>
      <c r="Y3654" s="1"/>
      <c r="Z3654" s="1"/>
      <c r="AA3654" s="1"/>
      <c r="AB3654" s="1"/>
    </row>
    <row r="3655" ht="50.25" customHeight="1">
      <c r="A3655" s="12">
        <v>3651.0</v>
      </c>
      <c r="B3655" s="13" t="s">
        <v>3427</v>
      </c>
      <c r="C3655" s="14" t="s">
        <v>3672</v>
      </c>
      <c r="D3655" s="1"/>
      <c r="E3655" s="1"/>
      <c r="F3655" s="1" t="str">
        <f>IFERROR(__xludf.DUMMYFUNCTION("GOOGLETRANSLATE(B3655, ""en"", ""fa"")
"),"تمرینات ذهن آگاهی و مدیتیشن")</f>
        <v>تمرینات ذهن آگاهی و مدیتیشن</v>
      </c>
      <c r="G3655" s="1" t="str">
        <f>IFERROR(__xludf.DUMMYFUNCTION("GOOGLETRANSLATE(C3655, ""en"", ""fa"")
"),"تکنیک های ذهن آگاهی را برای مدیریت و کاهش علائم درد یا بیماری مزمن بررسی کنید.")</f>
        <v>تکنیک های ذهن آگاهی را برای مدیریت و کاهش علائم درد یا بیماری مزمن بررسی کنید.</v>
      </c>
      <c r="H3655" s="1"/>
      <c r="I3655" s="1"/>
      <c r="J3655" s="1"/>
      <c r="K3655" s="1"/>
      <c r="L3655" s="1"/>
      <c r="M3655" s="1"/>
      <c r="N3655" s="1"/>
      <c r="O3655" s="1"/>
      <c r="P3655" s="1"/>
      <c r="Q3655" s="1"/>
      <c r="R3655" s="1"/>
      <c r="S3655" s="1"/>
      <c r="T3655" s="1"/>
      <c r="U3655" s="1"/>
      <c r="V3655" s="1"/>
      <c r="W3655" s="1"/>
      <c r="X3655" s="1"/>
      <c r="Y3655" s="1"/>
      <c r="Z3655" s="1"/>
      <c r="AA3655" s="1"/>
      <c r="AB3655" s="1"/>
    </row>
    <row r="3656" ht="50.25" customHeight="1">
      <c r="A3656" s="12">
        <v>3652.0</v>
      </c>
      <c r="B3656" s="13" t="s">
        <v>3427</v>
      </c>
      <c r="C3656" s="14" t="s">
        <v>3673</v>
      </c>
      <c r="D3656" s="1"/>
      <c r="E3656" s="1"/>
      <c r="F3656" s="1" t="str">
        <f>IFERROR(__xludf.DUMMYFUNCTION("GOOGLETRANSLATE(B3656, ""en"", ""fa"")
"),"تمرینات ذهن آگاهی و مدیتیشن")</f>
        <v>تمرینات ذهن آگاهی و مدیتیشن</v>
      </c>
      <c r="G3656" s="1" t="str">
        <f>IFERROR(__xludf.DUMMYFUNCTION("GOOGLETRANSLATE(C3656, ""en"", ""fa"")
"),"در مورد مزایای ذهن آگاهی در تقویت حس هدف و همسو کردن اقدامات با ارزش ها بحث کنید.")</f>
        <v>در مورد مزایای ذهن آگاهی در تقویت حس هدف و همسو کردن اقدامات با ارزش ها بحث کنید.</v>
      </c>
      <c r="H3656" s="1"/>
      <c r="I3656" s="1"/>
      <c r="J3656" s="1"/>
      <c r="K3656" s="1"/>
      <c r="L3656" s="1"/>
      <c r="M3656" s="1"/>
      <c r="N3656" s="1"/>
      <c r="O3656" s="1"/>
      <c r="P3656" s="1"/>
      <c r="Q3656" s="1"/>
      <c r="R3656" s="1"/>
      <c r="S3656" s="1"/>
      <c r="T3656" s="1"/>
      <c r="U3656" s="1"/>
      <c r="V3656" s="1"/>
      <c r="W3656" s="1"/>
      <c r="X3656" s="1"/>
      <c r="Y3656" s="1"/>
      <c r="Z3656" s="1"/>
      <c r="AA3656" s="1"/>
      <c r="AB3656" s="1"/>
    </row>
    <row r="3657" ht="50.25" customHeight="1">
      <c r="A3657" s="12">
        <v>3653.0</v>
      </c>
      <c r="B3657" s="13" t="s">
        <v>3427</v>
      </c>
      <c r="C3657" s="14" t="s">
        <v>3674</v>
      </c>
      <c r="D3657" s="1"/>
      <c r="E3657" s="1"/>
      <c r="F3657" s="1" t="str">
        <f>IFERROR(__xludf.DUMMYFUNCTION("GOOGLETRANSLATE(B3657, ""en"", ""fa"")
"),"تمرینات ذهن آگاهی و مدیتیشن")</f>
        <v>تمرینات ذهن آگاهی و مدیتیشن</v>
      </c>
      <c r="G3657" s="1" t="str">
        <f>IFERROR(__xludf.DUMMYFUNCTION("GOOGLETRANSLATE(C3657, ""en"", ""fa"")
"),"برای کاهش استرس و افزایش تمرکز، شیوه‌هایی را برای ترکیب ذهن آگاهی در محل کار به اشتراک بگذارید.")</f>
        <v>برای کاهش استرس و افزایش تمرکز، شیوه‌هایی را برای ترکیب ذهن آگاهی در محل کار به اشتراک بگذارید.</v>
      </c>
      <c r="H3657" s="1"/>
      <c r="I3657" s="1"/>
      <c r="J3657" s="1"/>
      <c r="K3657" s="1"/>
      <c r="L3657" s="1"/>
      <c r="M3657" s="1"/>
      <c r="N3657" s="1"/>
      <c r="O3657" s="1"/>
      <c r="P3657" s="1"/>
      <c r="Q3657" s="1"/>
      <c r="R3657" s="1"/>
      <c r="S3657" s="1"/>
      <c r="T3657" s="1"/>
      <c r="U3657" s="1"/>
      <c r="V3657" s="1"/>
      <c r="W3657" s="1"/>
      <c r="X3657" s="1"/>
      <c r="Y3657" s="1"/>
      <c r="Z3657" s="1"/>
      <c r="AA3657" s="1"/>
      <c r="AB3657" s="1"/>
    </row>
    <row r="3658" ht="50.25" customHeight="1">
      <c r="A3658" s="12">
        <v>3654.0</v>
      </c>
      <c r="B3658" s="13" t="s">
        <v>3427</v>
      </c>
      <c r="C3658" s="14" t="s">
        <v>3675</v>
      </c>
      <c r="D3658" s="1"/>
      <c r="E3658" s="1"/>
      <c r="F3658" s="1" t="str">
        <f>IFERROR(__xludf.DUMMYFUNCTION("GOOGLETRANSLATE(B3658, ""en"", ""fa"")
"),"تمرینات ذهن آگاهی و مدیتیشن")</f>
        <v>تمرینات ذهن آگاهی و مدیتیشن</v>
      </c>
      <c r="G3658" s="1" t="str">
        <f>IFERROR(__xludf.DUMMYFUNCTION("GOOGLETRANSLATE(C3658, ""en"", ""fa"")
"),"به نقش ذهن آگاهی در ترویج شفقت به خود و کاهش انتقاد از خود فکر کنید.")</f>
        <v>به نقش ذهن آگاهی در ترویج شفقت به خود و کاهش انتقاد از خود فکر کنید.</v>
      </c>
      <c r="H3658" s="1"/>
      <c r="I3658" s="1"/>
      <c r="J3658" s="1"/>
      <c r="K3658" s="1"/>
      <c r="L3658" s="1"/>
      <c r="M3658" s="1"/>
      <c r="N3658" s="1"/>
      <c r="O3658" s="1"/>
      <c r="P3658" s="1"/>
      <c r="Q3658" s="1"/>
      <c r="R3658" s="1"/>
      <c r="S3658" s="1"/>
      <c r="T3658" s="1"/>
      <c r="U3658" s="1"/>
      <c r="V3658" s="1"/>
      <c r="W3658" s="1"/>
      <c r="X3658" s="1"/>
      <c r="Y3658" s="1"/>
      <c r="Z3658" s="1"/>
      <c r="AA3658" s="1"/>
      <c r="AB3658" s="1"/>
    </row>
    <row r="3659" ht="50.25" customHeight="1">
      <c r="A3659" s="12">
        <v>3655.0</v>
      </c>
      <c r="B3659" s="13" t="s">
        <v>3427</v>
      </c>
      <c r="C3659" s="14" t="s">
        <v>3676</v>
      </c>
      <c r="D3659" s="1"/>
      <c r="E3659" s="1"/>
      <c r="F3659" s="1" t="str">
        <f>IFERROR(__xludf.DUMMYFUNCTION("GOOGLETRANSLATE(B3659, ""en"", ""fa"")
"),"تمرینات ذهن آگاهی و مدیتیشن")</f>
        <v>تمرینات ذهن آگاهی و مدیتیشن</v>
      </c>
      <c r="G3659" s="1" t="str">
        <f>IFERROR(__xludf.DUMMYFUNCTION("GOOGLETRANSLATE(C3659, ""en"", ""fa"")
"),"تکنیک های ذهن آگاهی برای مدیریت و کاهش علائم اضطراب در موقعیت های اجتماعی را بررسی کنید.")</f>
        <v>تکنیک های ذهن آگاهی برای مدیریت و کاهش علائم اضطراب در موقعیت های اجتماعی را بررسی کنید.</v>
      </c>
      <c r="H3659" s="1"/>
      <c r="I3659" s="1"/>
      <c r="J3659" s="1"/>
      <c r="K3659" s="1"/>
      <c r="L3659" s="1"/>
      <c r="M3659" s="1"/>
      <c r="N3659" s="1"/>
      <c r="O3659" s="1"/>
      <c r="P3659" s="1"/>
      <c r="Q3659" s="1"/>
      <c r="R3659" s="1"/>
      <c r="S3659" s="1"/>
      <c r="T3659" s="1"/>
      <c r="U3659" s="1"/>
      <c r="V3659" s="1"/>
      <c r="W3659" s="1"/>
      <c r="X3659" s="1"/>
      <c r="Y3659" s="1"/>
      <c r="Z3659" s="1"/>
      <c r="AA3659" s="1"/>
      <c r="AB3659" s="1"/>
    </row>
    <row r="3660" ht="50.25" customHeight="1">
      <c r="A3660" s="12">
        <v>3656.0</v>
      </c>
      <c r="B3660" s="13" t="s">
        <v>3427</v>
      </c>
      <c r="C3660" s="14" t="s">
        <v>3677</v>
      </c>
      <c r="D3660" s="1"/>
      <c r="E3660" s="1"/>
      <c r="F3660" s="1" t="str">
        <f>IFERROR(__xludf.DUMMYFUNCTION("GOOGLETRANSLATE(B3660, ""en"", ""fa"")
"),"تمرینات ذهن آگاهی و مدیتیشن")</f>
        <v>تمرینات ذهن آگاهی و مدیتیشن</v>
      </c>
      <c r="G3660" s="1" t="str">
        <f>IFERROR(__xludf.DUMMYFUNCTION("GOOGLETRANSLATE(C3660, ""en"", ""fa"")
"),"در مورد مزایای ذهن آگاهی در ارتقای تاب آوری و سازگاری در مواجهه با عدم اطمینان بحث کنید.")</f>
        <v>در مورد مزایای ذهن آگاهی در ارتقای تاب آوری و سازگاری در مواجهه با عدم اطمینان بحث کنید.</v>
      </c>
      <c r="H3660" s="1"/>
      <c r="I3660" s="1"/>
      <c r="J3660" s="1"/>
      <c r="K3660" s="1"/>
      <c r="L3660" s="1"/>
      <c r="M3660" s="1"/>
      <c r="N3660" s="1"/>
      <c r="O3660" s="1"/>
      <c r="P3660" s="1"/>
      <c r="Q3660" s="1"/>
      <c r="R3660" s="1"/>
      <c r="S3660" s="1"/>
      <c r="T3660" s="1"/>
      <c r="U3660" s="1"/>
      <c r="V3660" s="1"/>
      <c r="W3660" s="1"/>
      <c r="X3660" s="1"/>
      <c r="Y3660" s="1"/>
      <c r="Z3660" s="1"/>
      <c r="AA3660" s="1"/>
      <c r="AB3660" s="1"/>
    </row>
    <row r="3661" ht="50.25" customHeight="1">
      <c r="A3661" s="12">
        <v>3657.0</v>
      </c>
      <c r="B3661" s="13" t="s">
        <v>3427</v>
      </c>
      <c r="C3661" s="14" t="s">
        <v>3678</v>
      </c>
      <c r="D3661" s="1"/>
      <c r="E3661" s="1"/>
      <c r="F3661" s="1" t="str">
        <f>IFERROR(__xludf.DUMMYFUNCTION("GOOGLETRANSLATE(B3661, ""en"", ""fa"")
"),"تمرینات ذهن آگاهی و مدیتیشن")</f>
        <v>تمرینات ذهن آگاهی و مدیتیشن</v>
      </c>
      <c r="G3661" s="1" t="str">
        <f>IFERROR(__xludf.DUMMYFUNCTION("GOOGLETRANSLATE(C3661, ""en"", ""fa"")
"),"تکنیک‌هایی را برای ترکیب ذهن آگاهی در سم‌زدایی دیجیتال و ارتقای رفاه دیجیتالی به اشتراک بگذارید.")</f>
        <v>تکنیک‌هایی را برای ترکیب ذهن آگاهی در سم‌زدایی دیجیتال و ارتقای رفاه دیجیتالی به اشتراک بگذارید.</v>
      </c>
      <c r="H3661" s="1"/>
      <c r="I3661" s="1"/>
      <c r="J3661" s="1"/>
      <c r="K3661" s="1"/>
      <c r="L3661" s="1"/>
      <c r="M3661" s="1"/>
      <c r="N3661" s="1"/>
      <c r="O3661" s="1"/>
      <c r="P3661" s="1"/>
      <c r="Q3661" s="1"/>
      <c r="R3661" s="1"/>
      <c r="S3661" s="1"/>
      <c r="T3661" s="1"/>
      <c r="U3661" s="1"/>
      <c r="V3661" s="1"/>
      <c r="W3661" s="1"/>
      <c r="X3661" s="1"/>
      <c r="Y3661" s="1"/>
      <c r="Z3661" s="1"/>
      <c r="AA3661" s="1"/>
      <c r="AB3661" s="1"/>
    </row>
    <row r="3662" ht="50.25" customHeight="1">
      <c r="A3662" s="12">
        <v>3658.0</v>
      </c>
      <c r="B3662" s="13" t="s">
        <v>3427</v>
      </c>
      <c r="C3662" s="14" t="s">
        <v>3679</v>
      </c>
      <c r="D3662" s="1"/>
      <c r="E3662" s="1"/>
      <c r="F3662" s="1" t="str">
        <f>IFERROR(__xludf.DUMMYFUNCTION("GOOGLETRANSLATE(B3662, ""en"", ""fa"")
"),"تمرینات ذهن آگاهی و مدیتیشن")</f>
        <v>تمرینات ذهن آگاهی و مدیتیشن</v>
      </c>
      <c r="G3662" s="1" t="str">
        <f>IFERROR(__xludf.DUMMYFUNCTION("GOOGLETRANSLATE(C3662, ""en"", ""fa"")
"),"به ارتباط بین ذهن آگاهی و خلاقیت فکر کنید و اینکه چگونه ذهن آگاهی می تواند حل خلاقانه مسئله را تقویت کند.")</f>
        <v>به ارتباط بین ذهن آگاهی و خلاقیت فکر کنید و اینکه چگونه ذهن آگاهی می تواند حل خلاقانه مسئله را تقویت کند.</v>
      </c>
      <c r="H3662" s="1"/>
      <c r="I3662" s="1"/>
      <c r="J3662" s="1"/>
      <c r="K3662" s="1"/>
      <c r="L3662" s="1"/>
      <c r="M3662" s="1"/>
      <c r="N3662" s="1"/>
      <c r="O3662" s="1"/>
      <c r="P3662" s="1"/>
      <c r="Q3662" s="1"/>
      <c r="R3662" s="1"/>
      <c r="S3662" s="1"/>
      <c r="T3662" s="1"/>
      <c r="U3662" s="1"/>
      <c r="V3662" s="1"/>
      <c r="W3662" s="1"/>
      <c r="X3662" s="1"/>
      <c r="Y3662" s="1"/>
      <c r="Z3662" s="1"/>
      <c r="AA3662" s="1"/>
      <c r="AB3662" s="1"/>
    </row>
    <row r="3663" ht="50.25" customHeight="1">
      <c r="A3663" s="12">
        <v>3659.0</v>
      </c>
      <c r="B3663" s="13" t="s">
        <v>3427</v>
      </c>
      <c r="C3663" s="14" t="s">
        <v>3680</v>
      </c>
      <c r="D3663" s="1"/>
      <c r="E3663" s="1"/>
      <c r="F3663" s="1" t="str">
        <f>IFERROR(__xludf.DUMMYFUNCTION("GOOGLETRANSLATE(B3663, ""en"", ""fa"")
"),"تمرینات ذهن آگاهی و مدیتیشن")</f>
        <v>تمرینات ذهن آگاهی و مدیتیشن</v>
      </c>
      <c r="G3663" s="1" t="str">
        <f>IFERROR(__xludf.DUMMYFUNCTION("GOOGLETRANSLATE(C3663, ""en"", ""fa"")
"),"تکنیک های تمرکز حواس را برای مدیریت و کاهش علائم بی خوابی برای خواب بهتر بررسی کنید.")</f>
        <v>تکنیک های تمرکز حواس را برای مدیریت و کاهش علائم بی خوابی برای خواب بهتر بررسی کنید.</v>
      </c>
      <c r="H3663" s="1"/>
      <c r="I3663" s="1"/>
      <c r="J3663" s="1"/>
      <c r="K3663" s="1"/>
      <c r="L3663" s="1"/>
      <c r="M3663" s="1"/>
      <c r="N3663" s="1"/>
      <c r="O3663" s="1"/>
      <c r="P3663" s="1"/>
      <c r="Q3663" s="1"/>
      <c r="R3663" s="1"/>
      <c r="S3663" s="1"/>
      <c r="T3663" s="1"/>
      <c r="U3663" s="1"/>
      <c r="V3663" s="1"/>
      <c r="W3663" s="1"/>
      <c r="X3663" s="1"/>
      <c r="Y3663" s="1"/>
      <c r="Z3663" s="1"/>
      <c r="AA3663" s="1"/>
      <c r="AB3663" s="1"/>
    </row>
    <row r="3664" ht="50.25" customHeight="1">
      <c r="A3664" s="12">
        <v>3660.0</v>
      </c>
      <c r="B3664" s="13" t="s">
        <v>3427</v>
      </c>
      <c r="C3664" s="14" t="s">
        <v>3681</v>
      </c>
      <c r="D3664" s="1"/>
      <c r="E3664" s="1"/>
      <c r="F3664" s="1" t="str">
        <f>IFERROR(__xludf.DUMMYFUNCTION("GOOGLETRANSLATE(B3664, ""en"", ""fa"")
"),"تمرینات ذهن آگاهی و مدیتیشن")</f>
        <v>تمرینات ذهن آگاهی و مدیتیشن</v>
      </c>
      <c r="G3664" s="1" t="str">
        <f>IFERROR(__xludf.DUMMYFUNCTION("GOOGLETRANSLATE(C3664, ""en"", ""fa"")
"),"در مورد مزایای ذهن آگاهی در تقویت همدلی و شفقت نسبت به خود و دیگران بحث کنید.")</f>
        <v>در مورد مزایای ذهن آگاهی در تقویت همدلی و شفقت نسبت به خود و دیگران بحث کنید.</v>
      </c>
      <c r="H3664" s="1"/>
      <c r="I3664" s="1"/>
      <c r="J3664" s="1"/>
      <c r="K3664" s="1"/>
      <c r="L3664" s="1"/>
      <c r="M3664" s="1"/>
      <c r="N3664" s="1"/>
      <c r="O3664" s="1"/>
      <c r="P3664" s="1"/>
      <c r="Q3664" s="1"/>
      <c r="R3664" s="1"/>
      <c r="S3664" s="1"/>
      <c r="T3664" s="1"/>
      <c r="U3664" s="1"/>
      <c r="V3664" s="1"/>
      <c r="W3664" s="1"/>
      <c r="X3664" s="1"/>
      <c r="Y3664" s="1"/>
      <c r="Z3664" s="1"/>
      <c r="AA3664" s="1"/>
      <c r="AB3664" s="1"/>
    </row>
    <row r="3665" ht="50.25" customHeight="1">
      <c r="A3665" s="12">
        <v>3661.0</v>
      </c>
      <c r="B3665" s="13" t="s">
        <v>3427</v>
      </c>
      <c r="C3665" s="14" t="s">
        <v>3682</v>
      </c>
      <c r="D3665" s="1"/>
      <c r="E3665" s="1"/>
      <c r="F3665" s="1" t="str">
        <f>IFERROR(__xludf.DUMMYFUNCTION("GOOGLETRANSLATE(B3665, ""en"", ""fa"")
"),"تمرینات ذهن آگاهی و مدیتیشن")</f>
        <v>تمرینات ذهن آگاهی و مدیتیشن</v>
      </c>
      <c r="G3665" s="1" t="str">
        <f>IFERROR(__xludf.DUMMYFUNCTION("GOOGLETRANSLATE(C3665, ""en"", ""fa"")
"),"شیوه هایی را برای ترکیب ذهن آگاهی در تمرینات بدنی و تمرینات حرکتی به اشتراک بگذارید.")</f>
        <v>شیوه هایی را برای ترکیب ذهن آگاهی در تمرینات بدنی و تمرینات حرکتی به اشتراک بگذارید.</v>
      </c>
      <c r="H3665" s="1"/>
      <c r="I3665" s="1"/>
      <c r="J3665" s="1"/>
      <c r="K3665" s="1"/>
      <c r="L3665" s="1"/>
      <c r="M3665" s="1"/>
      <c r="N3665" s="1"/>
      <c r="O3665" s="1"/>
      <c r="P3665" s="1"/>
      <c r="Q3665" s="1"/>
      <c r="R3665" s="1"/>
      <c r="S3665" s="1"/>
      <c r="T3665" s="1"/>
      <c r="U3665" s="1"/>
      <c r="V3665" s="1"/>
      <c r="W3665" s="1"/>
      <c r="X3665" s="1"/>
      <c r="Y3665" s="1"/>
      <c r="Z3665" s="1"/>
      <c r="AA3665" s="1"/>
      <c r="AB3665" s="1"/>
    </row>
    <row r="3666" ht="50.25" customHeight="1">
      <c r="A3666" s="12">
        <v>3662.0</v>
      </c>
      <c r="B3666" s="13" t="s">
        <v>3427</v>
      </c>
      <c r="C3666" s="14" t="s">
        <v>3683</v>
      </c>
      <c r="D3666" s="1"/>
      <c r="E3666" s="1"/>
      <c r="F3666" s="1" t="str">
        <f>IFERROR(__xludf.DUMMYFUNCTION("GOOGLETRANSLATE(B3666, ""en"", ""fa"")
"),"تمرینات ذهن آگاهی و مدیتیشن")</f>
        <v>تمرینات ذهن آگاهی و مدیتیشن</v>
      </c>
      <c r="G3666" s="1" t="str">
        <f>IFERROR(__xludf.DUMMYFUNCTION("GOOGLETRANSLATE(C3666, ""en"", ""fa"")
"),"به نقش ذهن آگاهی در پرورش حس آرامش و رضایت درونی فکر کنید.")</f>
        <v>به نقش ذهن آگاهی در پرورش حس آرامش و رضایت درونی فکر کنید.</v>
      </c>
      <c r="H3666" s="1"/>
      <c r="I3666" s="1"/>
      <c r="J3666" s="1"/>
      <c r="K3666" s="1"/>
      <c r="L3666" s="1"/>
      <c r="M3666" s="1"/>
      <c r="N3666" s="1"/>
      <c r="O3666" s="1"/>
      <c r="P3666" s="1"/>
      <c r="Q3666" s="1"/>
      <c r="R3666" s="1"/>
      <c r="S3666" s="1"/>
      <c r="T3666" s="1"/>
      <c r="U3666" s="1"/>
      <c r="V3666" s="1"/>
      <c r="W3666" s="1"/>
      <c r="X3666" s="1"/>
      <c r="Y3666" s="1"/>
      <c r="Z3666" s="1"/>
      <c r="AA3666" s="1"/>
      <c r="AB3666" s="1"/>
    </row>
    <row r="3667" ht="50.25" customHeight="1">
      <c r="A3667" s="12">
        <v>3663.0</v>
      </c>
      <c r="B3667" s="13" t="s">
        <v>3427</v>
      </c>
      <c r="C3667" s="14" t="s">
        <v>3684</v>
      </c>
      <c r="D3667" s="1"/>
      <c r="E3667" s="1"/>
      <c r="F3667" s="1" t="str">
        <f>IFERROR(__xludf.DUMMYFUNCTION("GOOGLETRANSLATE(B3667, ""en"", ""fa"")
"),"تمرینات ذهن آگاهی و مدیتیشن")</f>
        <v>تمرینات ذهن آگاهی و مدیتیشن</v>
      </c>
      <c r="G3667" s="1" t="str">
        <f>IFERROR(__xludf.DUMMYFUNCTION("GOOGLETRANSLATE(C3667, ""en"", ""fa"")
"),"تکنیک های تمرکز حواس را برای مدیریت و کاهش علائم سردرد یا میگرن مرتبط با استرس کاوش کنید.")</f>
        <v>تکنیک های تمرکز حواس را برای مدیریت و کاهش علائم سردرد یا میگرن مرتبط با استرس کاوش کنید.</v>
      </c>
      <c r="H3667" s="1"/>
      <c r="I3667" s="1"/>
      <c r="J3667" s="1"/>
      <c r="K3667" s="1"/>
      <c r="L3667" s="1"/>
      <c r="M3667" s="1"/>
      <c r="N3667" s="1"/>
      <c r="O3667" s="1"/>
      <c r="P3667" s="1"/>
      <c r="Q3667" s="1"/>
      <c r="R3667" s="1"/>
      <c r="S3667" s="1"/>
      <c r="T3667" s="1"/>
      <c r="U3667" s="1"/>
      <c r="V3667" s="1"/>
      <c r="W3667" s="1"/>
      <c r="X3667" s="1"/>
      <c r="Y3667" s="1"/>
      <c r="Z3667" s="1"/>
      <c r="AA3667" s="1"/>
      <c r="AB3667" s="1"/>
    </row>
    <row r="3668" ht="50.25" customHeight="1">
      <c r="A3668" s="12">
        <v>3664.0</v>
      </c>
      <c r="B3668" s="13" t="s">
        <v>3427</v>
      </c>
      <c r="C3668" s="14" t="s">
        <v>3685</v>
      </c>
      <c r="D3668" s="1"/>
      <c r="E3668" s="1"/>
      <c r="F3668" s="1" t="str">
        <f>IFERROR(__xludf.DUMMYFUNCTION("GOOGLETRANSLATE(B3668, ""en"", ""fa"")
"),"تمرینات ذهن آگاهی و مدیتیشن")</f>
        <v>تمرینات ذهن آگاهی و مدیتیشن</v>
      </c>
      <c r="G3668" s="1" t="str">
        <f>IFERROR(__xludf.DUMMYFUNCTION("GOOGLETRANSLATE(C3668, ""en"", ""fa"")
"),"در مورد مزایای ذهن آگاهی در ارتقای خودآگاهی و رشد شخصی بحث کنید.")</f>
        <v>در مورد مزایای ذهن آگاهی در ارتقای خودآگاهی و رشد شخصی بحث کنید.</v>
      </c>
      <c r="H3668" s="1"/>
      <c r="I3668" s="1"/>
      <c r="J3668" s="1"/>
      <c r="K3668" s="1"/>
      <c r="L3668" s="1"/>
      <c r="M3668" s="1"/>
      <c r="N3668" s="1"/>
      <c r="O3668" s="1"/>
      <c r="P3668" s="1"/>
      <c r="Q3668" s="1"/>
      <c r="R3668" s="1"/>
      <c r="S3668" s="1"/>
      <c r="T3668" s="1"/>
      <c r="U3668" s="1"/>
      <c r="V3668" s="1"/>
      <c r="W3668" s="1"/>
      <c r="X3668" s="1"/>
      <c r="Y3668" s="1"/>
      <c r="Z3668" s="1"/>
      <c r="AA3668" s="1"/>
      <c r="AB3668" s="1"/>
    </row>
    <row r="3669" ht="50.25" customHeight="1">
      <c r="A3669" s="12">
        <v>3665.0</v>
      </c>
      <c r="B3669" s="13" t="s">
        <v>3427</v>
      </c>
      <c r="C3669" s="14" t="s">
        <v>3686</v>
      </c>
      <c r="D3669" s="1"/>
      <c r="E3669" s="1"/>
      <c r="F3669" s="1" t="str">
        <f>IFERROR(__xludf.DUMMYFUNCTION("GOOGLETRANSLATE(B3669, ""en"", ""fa"")
"),"تمرینات ذهن آگاهی و مدیتیشن")</f>
        <v>تمرینات ذهن آگاهی و مدیتیشن</v>
      </c>
      <c r="G3669" s="1" t="str">
        <f>IFERROR(__xludf.DUMMYFUNCTION("GOOGLETRANSLATE(C3669, ""en"", ""fa"")
"),"تکنیک‌هایی را برای گنجاندن ذهن آگاهی در پیاده‌روی در طبیعت یا فعالیت‌های خارج از منزل برای ارتباط آگاهانه با محیط به اشتراک بگذارید.")</f>
        <v>تکنیک‌هایی را برای گنجاندن ذهن آگاهی در پیاده‌روی در طبیعت یا فعالیت‌های خارج از منزل برای ارتباط آگاهانه با محیط به اشتراک بگذارید.</v>
      </c>
      <c r="H3669" s="1"/>
      <c r="I3669" s="1"/>
      <c r="J3669" s="1"/>
      <c r="K3669" s="1"/>
      <c r="L3669" s="1"/>
      <c r="M3669" s="1"/>
      <c r="N3669" s="1"/>
      <c r="O3669" s="1"/>
      <c r="P3669" s="1"/>
      <c r="Q3669" s="1"/>
      <c r="R3669" s="1"/>
      <c r="S3669" s="1"/>
      <c r="T3669" s="1"/>
      <c r="U3669" s="1"/>
      <c r="V3669" s="1"/>
      <c r="W3669" s="1"/>
      <c r="X3669" s="1"/>
      <c r="Y3669" s="1"/>
      <c r="Z3669" s="1"/>
      <c r="AA3669" s="1"/>
      <c r="AB3669" s="1"/>
    </row>
    <row r="3670" ht="50.25" customHeight="1">
      <c r="A3670" s="12">
        <v>3666.0</v>
      </c>
      <c r="B3670" s="13" t="s">
        <v>3427</v>
      </c>
      <c r="C3670" s="14" t="s">
        <v>3687</v>
      </c>
      <c r="D3670" s="1"/>
      <c r="E3670" s="1"/>
      <c r="F3670" s="1" t="str">
        <f>IFERROR(__xludf.DUMMYFUNCTION("GOOGLETRANSLATE(B3670, ""en"", ""fa"")
"),"تمرینات ذهن آگاهی و مدیتیشن")</f>
        <v>تمرینات ذهن آگاهی و مدیتیشن</v>
      </c>
      <c r="G3670" s="1" t="str">
        <f>IFERROR(__xludf.DUMMYFUNCTION("GOOGLETRANSLATE(C3670, ""en"", ""fa"")
"),"در مورد ارتباط بین ذهن آگاهی و بهزیستی عاطفی و اینکه چگونه ذهن آگاهی می تواند تعادل عاطفی را پشتیبانی کند، فکر کنید.")</f>
        <v>در مورد ارتباط بین ذهن آگاهی و بهزیستی عاطفی و اینکه چگونه ذهن آگاهی می تواند تعادل عاطفی را پشتیبانی کند، فکر کنید.</v>
      </c>
      <c r="H3670" s="1"/>
      <c r="I3670" s="1"/>
      <c r="J3670" s="1"/>
      <c r="K3670" s="1"/>
      <c r="L3670" s="1"/>
      <c r="M3670" s="1"/>
      <c r="N3670" s="1"/>
      <c r="O3670" s="1"/>
      <c r="P3670" s="1"/>
      <c r="Q3670" s="1"/>
      <c r="R3670" s="1"/>
      <c r="S3670" s="1"/>
      <c r="T3670" s="1"/>
      <c r="U3670" s="1"/>
      <c r="V3670" s="1"/>
      <c r="W3670" s="1"/>
      <c r="X3670" s="1"/>
      <c r="Y3670" s="1"/>
      <c r="Z3670" s="1"/>
      <c r="AA3670" s="1"/>
      <c r="AB3670" s="1"/>
    </row>
    <row r="3671" ht="50.25" customHeight="1">
      <c r="A3671" s="12">
        <v>3667.0</v>
      </c>
      <c r="B3671" s="13" t="s">
        <v>3427</v>
      </c>
      <c r="C3671" s="14" t="s">
        <v>3688</v>
      </c>
      <c r="D3671" s="1"/>
      <c r="E3671" s="1"/>
      <c r="F3671" s="1" t="str">
        <f>IFERROR(__xludf.DUMMYFUNCTION("GOOGLETRANSLATE(B3671, ""en"", ""fa"")
"),"تمرینات ذهن آگاهی و مدیتیشن")</f>
        <v>تمرینات ذهن آگاهی و مدیتیشن</v>
      </c>
      <c r="G3671" s="1" t="str">
        <f>IFERROR(__xludf.DUMMYFUNCTION("GOOGLETRANSLATE(C3671, ""en"", ""fa"")
"),"شیوه های ذهن آگاهی را برای پرورش ذهن آگاهی در فرزندپروری و پرورش پویایی خانواده سالم کاوش کنید.")</f>
        <v>شیوه های ذهن آگاهی را برای پرورش ذهن آگاهی در فرزندپروری و پرورش پویایی خانواده سالم کاوش کنید.</v>
      </c>
      <c r="H3671" s="1"/>
      <c r="I3671" s="1"/>
      <c r="J3671" s="1"/>
      <c r="K3671" s="1"/>
      <c r="L3671" s="1"/>
      <c r="M3671" s="1"/>
      <c r="N3671" s="1"/>
      <c r="O3671" s="1"/>
      <c r="P3671" s="1"/>
      <c r="Q3671" s="1"/>
      <c r="R3671" s="1"/>
      <c r="S3671" s="1"/>
      <c r="T3671" s="1"/>
      <c r="U3671" s="1"/>
      <c r="V3671" s="1"/>
      <c r="W3671" s="1"/>
      <c r="X3671" s="1"/>
      <c r="Y3671" s="1"/>
      <c r="Z3671" s="1"/>
      <c r="AA3671" s="1"/>
      <c r="AB3671" s="1"/>
    </row>
    <row r="3672" ht="50.25" customHeight="1">
      <c r="A3672" s="12">
        <v>3668.0</v>
      </c>
      <c r="B3672" s="13" t="s">
        <v>3427</v>
      </c>
      <c r="C3672" s="14" t="s">
        <v>3689</v>
      </c>
      <c r="D3672" s="1"/>
      <c r="E3672" s="1"/>
      <c r="F3672" s="1" t="str">
        <f>IFERROR(__xludf.DUMMYFUNCTION("GOOGLETRANSLATE(B3672, ""en"", ""fa"")
"),"تمرینات ذهن آگاهی و مدیتیشن")</f>
        <v>تمرینات ذهن آگاهی و مدیتیشن</v>
      </c>
      <c r="G3672" s="1" t="str">
        <f>IFERROR(__xludf.DUMMYFUNCTION("GOOGLETRANSLATE(C3672, ""en"", ""fa"")
"),"به نقش ذهن آگاهی در پرورش شفقت به خود و پرورش تصویر مثبت از خود فکر کنید.")</f>
        <v>به نقش ذهن آگاهی در پرورش شفقت به خود و پرورش تصویر مثبت از خود فکر کنید.</v>
      </c>
      <c r="H3672" s="1"/>
      <c r="I3672" s="1"/>
      <c r="J3672" s="1"/>
      <c r="K3672" s="1"/>
      <c r="L3672" s="1"/>
      <c r="M3672" s="1"/>
      <c r="N3672" s="1"/>
      <c r="O3672" s="1"/>
      <c r="P3672" s="1"/>
      <c r="Q3672" s="1"/>
      <c r="R3672" s="1"/>
      <c r="S3672" s="1"/>
      <c r="T3672" s="1"/>
      <c r="U3672" s="1"/>
      <c r="V3672" s="1"/>
      <c r="W3672" s="1"/>
      <c r="X3672" s="1"/>
      <c r="Y3672" s="1"/>
      <c r="Z3672" s="1"/>
      <c r="AA3672" s="1"/>
      <c r="AB3672" s="1"/>
    </row>
    <row r="3673" ht="50.25" customHeight="1">
      <c r="A3673" s="12">
        <v>3669.0</v>
      </c>
      <c r="B3673" s="13" t="s">
        <v>3427</v>
      </c>
      <c r="C3673" s="14" t="s">
        <v>3690</v>
      </c>
      <c r="D3673" s="1"/>
      <c r="E3673" s="1"/>
      <c r="F3673" s="1" t="str">
        <f>IFERROR(__xludf.DUMMYFUNCTION("GOOGLETRANSLATE(B3673, ""en"", ""fa"")
"),"تمرینات ذهن آگاهی و مدیتیشن")</f>
        <v>تمرینات ذهن آگاهی و مدیتیشن</v>
      </c>
      <c r="G3673" s="1" t="str">
        <f>IFERROR(__xludf.DUMMYFUNCTION("GOOGLETRANSLATE(C3673, ""en"", ""fa"")
"),"تکنیک های ذهن آگاهی را برای مدیریت و کاهش علائم تنش و استرس در بدن بررسی کنید.")</f>
        <v>تکنیک های ذهن آگاهی را برای مدیریت و کاهش علائم تنش و استرس در بدن بررسی کنید.</v>
      </c>
      <c r="H3673" s="1"/>
      <c r="I3673" s="1"/>
      <c r="J3673" s="1"/>
      <c r="K3673" s="1"/>
      <c r="L3673" s="1"/>
      <c r="M3673" s="1"/>
      <c r="N3673" s="1"/>
      <c r="O3673" s="1"/>
      <c r="P3673" s="1"/>
      <c r="Q3673" s="1"/>
      <c r="R3673" s="1"/>
      <c r="S3673" s="1"/>
      <c r="T3673" s="1"/>
      <c r="U3673" s="1"/>
      <c r="V3673" s="1"/>
      <c r="W3673" s="1"/>
      <c r="X3673" s="1"/>
      <c r="Y3673" s="1"/>
      <c r="Z3673" s="1"/>
      <c r="AA3673" s="1"/>
      <c r="AB3673" s="1"/>
    </row>
    <row r="3674" ht="50.25" customHeight="1">
      <c r="A3674" s="12">
        <v>3670.0</v>
      </c>
      <c r="B3674" s="13" t="s">
        <v>3427</v>
      </c>
      <c r="C3674" s="14" t="s">
        <v>3691</v>
      </c>
      <c r="D3674" s="1"/>
      <c r="E3674" s="1"/>
      <c r="F3674" s="1" t="str">
        <f>IFERROR(__xludf.DUMMYFUNCTION("GOOGLETRANSLATE(B3674, ""en"", ""fa"")
"),"تمرینات ذهن آگاهی و مدیتیشن")</f>
        <v>تمرینات ذهن آگاهی و مدیتیشن</v>
      </c>
      <c r="G3674" s="1" t="str">
        <f>IFERROR(__xludf.DUMMYFUNCTION("GOOGLETRANSLATE(C3674, ""en"", ""fa"")
"),"در مورد مزایای ذهن آگاهی در تقویت انعطاف پذیری و سازگاری در زمان های چالش برانگیز بحث کنید.")</f>
        <v>در مورد مزایای ذهن آگاهی در تقویت انعطاف پذیری و سازگاری در زمان های چالش برانگیز بحث کنید.</v>
      </c>
      <c r="H3674" s="1"/>
      <c r="I3674" s="1"/>
      <c r="J3674" s="1"/>
      <c r="K3674" s="1"/>
      <c r="L3674" s="1"/>
      <c r="M3674" s="1"/>
      <c r="N3674" s="1"/>
      <c r="O3674" s="1"/>
      <c r="P3674" s="1"/>
      <c r="Q3674" s="1"/>
      <c r="R3674" s="1"/>
      <c r="S3674" s="1"/>
      <c r="T3674" s="1"/>
      <c r="U3674" s="1"/>
      <c r="V3674" s="1"/>
      <c r="W3674" s="1"/>
      <c r="X3674" s="1"/>
      <c r="Y3674" s="1"/>
      <c r="Z3674" s="1"/>
      <c r="AA3674" s="1"/>
      <c r="AB3674" s="1"/>
    </row>
    <row r="3675" ht="50.25" customHeight="1">
      <c r="A3675" s="12">
        <v>3671.0</v>
      </c>
      <c r="B3675" s="13" t="s">
        <v>3427</v>
      </c>
      <c r="C3675" s="14" t="s">
        <v>3692</v>
      </c>
      <c r="D3675" s="1"/>
      <c r="E3675" s="1"/>
      <c r="F3675" s="1" t="str">
        <f>IFERROR(__xludf.DUMMYFUNCTION("GOOGLETRANSLATE(B3675, ""en"", ""fa"")
"),"تمرینات ذهن آگاهی و مدیتیشن")</f>
        <v>تمرینات ذهن آگاهی و مدیتیشن</v>
      </c>
      <c r="G3675" s="1" t="str">
        <f>IFERROR(__xludf.DUMMYFUNCTION("GOOGLETRANSLATE(C3675, ""en"", ""fa"")
"),"شیوه هایی را برای گنجاندن تمرکز حواس در مراسم روزانه به اشتراک بگذارید تا حسی از پایه و حضور داشته باشید.")</f>
        <v>شیوه هایی را برای گنجاندن تمرکز حواس در مراسم روزانه به اشتراک بگذارید تا حسی از پایه و حضور داشته باشید.</v>
      </c>
      <c r="H3675" s="1"/>
      <c r="I3675" s="1"/>
      <c r="J3675" s="1"/>
      <c r="K3675" s="1"/>
      <c r="L3675" s="1"/>
      <c r="M3675" s="1"/>
      <c r="N3675" s="1"/>
      <c r="O3675" s="1"/>
      <c r="P3675" s="1"/>
      <c r="Q3675" s="1"/>
      <c r="R3675" s="1"/>
      <c r="S3675" s="1"/>
      <c r="T3675" s="1"/>
      <c r="U3675" s="1"/>
      <c r="V3675" s="1"/>
      <c r="W3675" s="1"/>
      <c r="X3675" s="1"/>
      <c r="Y3675" s="1"/>
      <c r="Z3675" s="1"/>
      <c r="AA3675" s="1"/>
      <c r="AB3675" s="1"/>
    </row>
    <row r="3676" ht="50.25" customHeight="1">
      <c r="A3676" s="12">
        <v>3672.0</v>
      </c>
      <c r="B3676" s="13" t="s">
        <v>3427</v>
      </c>
      <c r="C3676" s="14" t="s">
        <v>3693</v>
      </c>
      <c r="D3676" s="1"/>
      <c r="E3676" s="1"/>
      <c r="F3676" s="1" t="str">
        <f>IFERROR(__xludf.DUMMYFUNCTION("GOOGLETRANSLATE(B3676, ""en"", ""fa"")
"),"تمرینات ذهن آگاهی و مدیتیشن")</f>
        <v>تمرینات ذهن آگاهی و مدیتیشن</v>
      </c>
      <c r="G3676" s="1" t="str">
        <f>IFERROR(__xludf.DUMMYFUNCTION("GOOGLETRANSLATE(C3676, ""en"", ""fa"")
"),"تکنیک های تمرکز حواس را برای مدیریت و کاهش علائم خشم یا ناامیدی بررسی کنید.")</f>
        <v>تکنیک های تمرکز حواس را برای مدیریت و کاهش علائم خشم یا ناامیدی بررسی کنید.</v>
      </c>
      <c r="H3676" s="1"/>
      <c r="I3676" s="1"/>
      <c r="J3676" s="1"/>
      <c r="K3676" s="1"/>
      <c r="L3676" s="1"/>
      <c r="M3676" s="1"/>
      <c r="N3676" s="1"/>
      <c r="O3676" s="1"/>
      <c r="P3676" s="1"/>
      <c r="Q3676" s="1"/>
      <c r="R3676" s="1"/>
      <c r="S3676" s="1"/>
      <c r="T3676" s="1"/>
      <c r="U3676" s="1"/>
      <c r="V3676" s="1"/>
      <c r="W3676" s="1"/>
      <c r="X3676" s="1"/>
      <c r="Y3676" s="1"/>
      <c r="Z3676" s="1"/>
      <c r="AA3676" s="1"/>
      <c r="AB3676" s="1"/>
    </row>
    <row r="3677" ht="50.25" customHeight="1">
      <c r="A3677" s="12">
        <v>3673.0</v>
      </c>
      <c r="B3677" s="13" t="s">
        <v>3427</v>
      </c>
      <c r="C3677" s="14" t="s">
        <v>3694</v>
      </c>
      <c r="D3677" s="1"/>
      <c r="E3677" s="1"/>
      <c r="F3677" s="1" t="str">
        <f>IFERROR(__xludf.DUMMYFUNCTION("GOOGLETRANSLATE(B3677, ""en"", ""fa"")
"),"تمرینات ذهن آگاهی و مدیتیشن")</f>
        <v>تمرینات ذهن آگاهی و مدیتیشن</v>
      </c>
      <c r="G3677" s="1" t="str">
        <f>IFERROR(__xludf.DUMMYFUNCTION("GOOGLETRANSLATE(C3677, ""en"", ""fa"")
"),"در مورد مزایای ذهن آگاهی در ارتقای مهارت های تصمیم گیری و حل مسئله بهتر بحث کنید.")</f>
        <v>در مورد مزایای ذهن آگاهی در ارتقای مهارت های تصمیم گیری و حل مسئله بهتر بحث کنید.</v>
      </c>
      <c r="H3677" s="1"/>
      <c r="I3677" s="1"/>
      <c r="J3677" s="1"/>
      <c r="K3677" s="1"/>
      <c r="L3677" s="1"/>
      <c r="M3677" s="1"/>
      <c r="N3677" s="1"/>
      <c r="O3677" s="1"/>
      <c r="P3677" s="1"/>
      <c r="Q3677" s="1"/>
      <c r="R3677" s="1"/>
      <c r="S3677" s="1"/>
      <c r="T3677" s="1"/>
      <c r="U3677" s="1"/>
      <c r="V3677" s="1"/>
      <c r="W3677" s="1"/>
      <c r="X3677" s="1"/>
      <c r="Y3677" s="1"/>
      <c r="Z3677" s="1"/>
      <c r="AA3677" s="1"/>
      <c r="AB3677" s="1"/>
    </row>
    <row r="3678" ht="50.25" customHeight="1">
      <c r="A3678" s="12">
        <v>3674.0</v>
      </c>
      <c r="B3678" s="13" t="s">
        <v>3427</v>
      </c>
      <c r="C3678" s="14" t="s">
        <v>3695</v>
      </c>
      <c r="D3678" s="1"/>
      <c r="E3678" s="1"/>
      <c r="F3678" s="1" t="str">
        <f>IFERROR(__xludf.DUMMYFUNCTION("GOOGLETRANSLATE(B3678, ""en"", ""fa"")
"),"تمرینات ذهن آگاهی و مدیتیشن")</f>
        <v>تمرینات ذهن آگاهی و مدیتیشن</v>
      </c>
      <c r="G3678" s="1" t="str">
        <f>IFERROR(__xludf.DUMMYFUNCTION("GOOGLETRANSLATE(C3678, ""en"", ""fa"")
"),"تکنیک هایی را برای ترکیب ذهن آگاهی در رفت و آمد یا سفر برای یک سفر آگاهانه به اشتراک بگذارید.")</f>
        <v>تکنیک هایی را برای ترکیب ذهن آگاهی در رفت و آمد یا سفر برای یک سفر آگاهانه به اشتراک بگذارید.</v>
      </c>
      <c r="H3678" s="1"/>
      <c r="I3678" s="1"/>
      <c r="J3678" s="1"/>
      <c r="K3678" s="1"/>
      <c r="L3678" s="1"/>
      <c r="M3678" s="1"/>
      <c r="N3678" s="1"/>
      <c r="O3678" s="1"/>
      <c r="P3678" s="1"/>
      <c r="Q3678" s="1"/>
      <c r="R3678" s="1"/>
      <c r="S3678" s="1"/>
      <c r="T3678" s="1"/>
      <c r="U3678" s="1"/>
      <c r="V3678" s="1"/>
      <c r="W3678" s="1"/>
      <c r="X3678" s="1"/>
      <c r="Y3678" s="1"/>
      <c r="Z3678" s="1"/>
      <c r="AA3678" s="1"/>
      <c r="AB3678" s="1"/>
    </row>
    <row r="3679" ht="50.25" customHeight="1">
      <c r="A3679" s="12">
        <v>3675.0</v>
      </c>
      <c r="B3679" s="13" t="s">
        <v>3427</v>
      </c>
      <c r="C3679" s="14" t="s">
        <v>3696</v>
      </c>
      <c r="D3679" s="1"/>
      <c r="E3679" s="1"/>
      <c r="F3679" s="1" t="str">
        <f>IFERROR(__xludf.DUMMYFUNCTION("GOOGLETRANSLATE(B3679, ""en"", ""fa"")
"),"تمرینات ذهن آگاهی و مدیتیشن")</f>
        <v>تمرینات ذهن آگاهی و مدیتیشن</v>
      </c>
      <c r="G3679" s="1" t="str">
        <f>IFERROR(__xludf.DUMMYFUNCTION("GOOGLETRANSLATE(C3679, ""en"", ""fa"")
"),"به نقش ذهن آگاهی در پرورش همدلی و درک در روابط بین فردی فکر کنید.")</f>
        <v>به نقش ذهن آگاهی در پرورش همدلی و درک در روابط بین فردی فکر کنید.</v>
      </c>
      <c r="H3679" s="1"/>
      <c r="I3679" s="1"/>
      <c r="J3679" s="1"/>
      <c r="K3679" s="1"/>
      <c r="L3679" s="1"/>
      <c r="M3679" s="1"/>
      <c r="N3679" s="1"/>
      <c r="O3679" s="1"/>
      <c r="P3679" s="1"/>
      <c r="Q3679" s="1"/>
      <c r="R3679" s="1"/>
      <c r="S3679" s="1"/>
      <c r="T3679" s="1"/>
      <c r="U3679" s="1"/>
      <c r="V3679" s="1"/>
      <c r="W3679" s="1"/>
      <c r="X3679" s="1"/>
      <c r="Y3679" s="1"/>
      <c r="Z3679" s="1"/>
      <c r="AA3679" s="1"/>
      <c r="AB3679" s="1"/>
    </row>
    <row r="3680" ht="50.25" customHeight="1">
      <c r="A3680" s="12">
        <v>3676.0</v>
      </c>
      <c r="B3680" s="13" t="s">
        <v>3427</v>
      </c>
      <c r="C3680" s="14" t="s">
        <v>3697</v>
      </c>
      <c r="D3680" s="1"/>
      <c r="E3680" s="1"/>
      <c r="F3680" s="1" t="str">
        <f>IFERROR(__xludf.DUMMYFUNCTION("GOOGLETRANSLATE(B3680, ""en"", ""fa"")
"),"تمرینات ذهن آگاهی و مدیتیشن")</f>
        <v>تمرینات ذهن آگاهی و مدیتیشن</v>
      </c>
      <c r="G3680" s="1" t="str">
        <f>IFERROR(__xludf.DUMMYFUNCTION("GOOGLETRANSLATE(C3680, ""en"", ""fa"")
"),"روش‌های تمرکز حواس را برای پرورش حس بخشش و رها کردن نارضایتی‌های گذشته بررسی کنید.")</f>
        <v>روش‌های تمرکز حواس را برای پرورش حس بخشش و رها کردن نارضایتی‌های گذشته بررسی کنید.</v>
      </c>
      <c r="H3680" s="1"/>
      <c r="I3680" s="1"/>
      <c r="J3680" s="1"/>
      <c r="K3680" s="1"/>
      <c r="L3680" s="1"/>
      <c r="M3680" s="1"/>
      <c r="N3680" s="1"/>
      <c r="O3680" s="1"/>
      <c r="P3680" s="1"/>
      <c r="Q3680" s="1"/>
      <c r="R3680" s="1"/>
      <c r="S3680" s="1"/>
      <c r="T3680" s="1"/>
      <c r="U3680" s="1"/>
      <c r="V3680" s="1"/>
      <c r="W3680" s="1"/>
      <c r="X3680" s="1"/>
      <c r="Y3680" s="1"/>
      <c r="Z3680" s="1"/>
      <c r="AA3680" s="1"/>
      <c r="AB3680" s="1"/>
    </row>
    <row r="3681" ht="50.25" customHeight="1">
      <c r="A3681" s="12">
        <v>3677.0</v>
      </c>
      <c r="B3681" s="13" t="s">
        <v>3427</v>
      </c>
      <c r="C3681" s="14" t="s">
        <v>3698</v>
      </c>
      <c r="D3681" s="1"/>
      <c r="E3681" s="1"/>
      <c r="F3681" s="1" t="str">
        <f>IFERROR(__xludf.DUMMYFUNCTION("GOOGLETRANSLATE(B3681, ""en"", ""fa"")
"),"تمرینات ذهن آگاهی و مدیتیشن")</f>
        <v>تمرینات ذهن آگاهی و مدیتیشن</v>
      </c>
      <c r="G3681" s="1" t="str">
        <f>IFERROR(__xludf.DUMMYFUNCTION("GOOGLETRANSLATE(C3681, ""en"", ""fa"")
"),"در مورد مزایای ذهن آگاهی در ارتقای وضوح و تمرکز در فعالیت های تحصیلی یا حرفه ای بحث کنید.")</f>
        <v>در مورد مزایای ذهن آگاهی در ارتقای وضوح و تمرکز در فعالیت های تحصیلی یا حرفه ای بحث کنید.</v>
      </c>
      <c r="H3681" s="1"/>
      <c r="I3681" s="1"/>
      <c r="J3681" s="1"/>
      <c r="K3681" s="1"/>
      <c r="L3681" s="1"/>
      <c r="M3681" s="1"/>
      <c r="N3681" s="1"/>
      <c r="O3681" s="1"/>
      <c r="P3681" s="1"/>
      <c r="Q3681" s="1"/>
      <c r="R3681" s="1"/>
      <c r="S3681" s="1"/>
      <c r="T3681" s="1"/>
      <c r="U3681" s="1"/>
      <c r="V3681" s="1"/>
      <c r="W3681" s="1"/>
      <c r="X3681" s="1"/>
      <c r="Y3681" s="1"/>
      <c r="Z3681" s="1"/>
      <c r="AA3681" s="1"/>
      <c r="AB3681" s="1"/>
    </row>
    <row r="3682" ht="50.25" customHeight="1">
      <c r="A3682" s="12">
        <v>3678.0</v>
      </c>
      <c r="B3682" s="13" t="s">
        <v>3427</v>
      </c>
      <c r="C3682" s="14" t="s">
        <v>3699</v>
      </c>
      <c r="D3682" s="1"/>
      <c r="E3682" s="1"/>
      <c r="F3682" s="1" t="str">
        <f>IFERROR(__xludf.DUMMYFUNCTION("GOOGLETRANSLATE(B3682, ""en"", ""fa"")
"),"تمرینات ذهن آگاهی و مدیتیشن")</f>
        <v>تمرینات ذهن آگاهی و مدیتیشن</v>
      </c>
      <c r="G3682" s="1" t="str">
        <f>IFERROR(__xludf.DUMMYFUNCTION("GOOGLETRANSLATE(C3682, ""en"", ""fa"")
"),"برای تعاملات آگاهانه تر و معنادارتر، شیوه های ترکیب ذهن آگاهی را در ارتباطات دیجیتالی به اشتراک بگذارید.")</f>
        <v>برای تعاملات آگاهانه تر و معنادارتر، شیوه های ترکیب ذهن آگاهی را در ارتباطات دیجیتالی به اشتراک بگذارید.</v>
      </c>
      <c r="H3682" s="1"/>
      <c r="I3682" s="1"/>
      <c r="J3682" s="1"/>
      <c r="K3682" s="1"/>
      <c r="L3682" s="1"/>
      <c r="M3682" s="1"/>
      <c r="N3682" s="1"/>
      <c r="O3682" s="1"/>
      <c r="P3682" s="1"/>
      <c r="Q3682" s="1"/>
      <c r="R3682" s="1"/>
      <c r="S3682" s="1"/>
      <c r="T3682" s="1"/>
      <c r="U3682" s="1"/>
      <c r="V3682" s="1"/>
      <c r="W3682" s="1"/>
      <c r="X3682" s="1"/>
      <c r="Y3682" s="1"/>
      <c r="Z3682" s="1"/>
      <c r="AA3682" s="1"/>
      <c r="AB3682" s="1"/>
    </row>
    <row r="3683" ht="50.25" customHeight="1">
      <c r="A3683" s="12">
        <v>3679.0</v>
      </c>
      <c r="B3683" s="13" t="s">
        <v>3427</v>
      </c>
      <c r="C3683" s="14" t="s">
        <v>3700</v>
      </c>
      <c r="D3683" s="1"/>
      <c r="E3683" s="1"/>
      <c r="F3683" s="1" t="str">
        <f>IFERROR(__xludf.DUMMYFUNCTION("GOOGLETRANSLATE(B3683, ""en"", ""fa"")
"),"تمرینات ذهن آگاهی و مدیتیشن")</f>
        <v>تمرینات ذهن آگاهی و مدیتیشن</v>
      </c>
      <c r="G3683" s="1" t="str">
        <f>IFERROR(__xludf.DUMMYFUNCTION("GOOGLETRANSLATE(C3683, ""en"", ""fa"")
"),"در مورد ارتباط بین ذهن آگاهی و بهزیستی جسمانی و اینکه چگونه ذهن آگاهی می تواند از سلامت کلی حمایت کند، فکر کنید.")</f>
        <v>در مورد ارتباط بین ذهن آگاهی و بهزیستی جسمانی و اینکه چگونه ذهن آگاهی می تواند از سلامت کلی حمایت کند، فکر کنید.</v>
      </c>
      <c r="H3683" s="1"/>
      <c r="I3683" s="1"/>
      <c r="J3683" s="1"/>
      <c r="K3683" s="1"/>
      <c r="L3683" s="1"/>
      <c r="M3683" s="1"/>
      <c r="N3683" s="1"/>
      <c r="O3683" s="1"/>
      <c r="P3683" s="1"/>
      <c r="Q3683" s="1"/>
      <c r="R3683" s="1"/>
      <c r="S3683" s="1"/>
      <c r="T3683" s="1"/>
      <c r="U3683" s="1"/>
      <c r="V3683" s="1"/>
      <c r="W3683" s="1"/>
      <c r="X3683" s="1"/>
      <c r="Y3683" s="1"/>
      <c r="Z3683" s="1"/>
      <c r="AA3683" s="1"/>
      <c r="AB3683" s="1"/>
    </row>
    <row r="3684" ht="50.25" customHeight="1">
      <c r="A3684" s="12">
        <v>3680.0</v>
      </c>
      <c r="B3684" s="13" t="s">
        <v>3427</v>
      </c>
      <c r="C3684" s="14" t="s">
        <v>3701</v>
      </c>
      <c r="D3684" s="1"/>
      <c r="E3684" s="1"/>
      <c r="F3684" s="1" t="str">
        <f>IFERROR(__xludf.DUMMYFUNCTION("GOOGLETRANSLATE(B3684, ""en"", ""fa"")
"),"تمرینات ذهن آگاهی و مدیتیشن")</f>
        <v>تمرینات ذهن آگاهی و مدیتیشن</v>
      </c>
      <c r="G3684" s="1" t="str">
        <f>IFERROR(__xludf.DUMMYFUNCTION("GOOGLETRANSLATE(C3684, ""en"", ""fa"")
"),"در مورد مزایای ذهن آگاهی در پرورش قدردانی و قدردانی از لحظه حال بحث کنید.")</f>
        <v>در مورد مزایای ذهن آگاهی در پرورش قدردانی و قدردانی از لحظه حال بحث کنید.</v>
      </c>
      <c r="H3684" s="1"/>
      <c r="I3684" s="1"/>
      <c r="J3684" s="1"/>
      <c r="K3684" s="1"/>
      <c r="L3684" s="1"/>
      <c r="M3684" s="1"/>
      <c r="N3684" s="1"/>
      <c r="O3684" s="1"/>
      <c r="P3684" s="1"/>
      <c r="Q3684" s="1"/>
      <c r="R3684" s="1"/>
      <c r="S3684" s="1"/>
      <c r="T3684" s="1"/>
      <c r="U3684" s="1"/>
      <c r="V3684" s="1"/>
      <c r="W3684" s="1"/>
      <c r="X3684" s="1"/>
      <c r="Y3684" s="1"/>
      <c r="Z3684" s="1"/>
      <c r="AA3684" s="1"/>
      <c r="AB3684" s="1"/>
    </row>
    <row r="3685" ht="50.25" customHeight="1">
      <c r="A3685" s="12">
        <v>3681.0</v>
      </c>
      <c r="B3685" s="13" t="s">
        <v>3427</v>
      </c>
      <c r="C3685" s="14" t="s">
        <v>3702</v>
      </c>
      <c r="D3685" s="1"/>
      <c r="E3685" s="1"/>
      <c r="F3685" s="1" t="str">
        <f>IFERROR(__xludf.DUMMYFUNCTION("GOOGLETRANSLATE(B3685, ""en"", ""fa"")
"),"تمرینات ذهن آگاهی و مدیتیشن")</f>
        <v>تمرینات ذهن آگاهی و مدیتیشن</v>
      </c>
      <c r="G3685" s="1" t="str">
        <f>IFERROR(__xludf.DUMMYFUNCTION("GOOGLETRANSLATE(C3685, ""en"", ""fa"")
"),"تکنیک هایی را برای ترکیب ذهن آگاهی در تهیه غذا و خوردن برای یک تجربه آشپزی آگاهانه به اشتراک بگذارید.")</f>
        <v>تکنیک هایی را برای ترکیب ذهن آگاهی در تهیه غذا و خوردن برای یک تجربه آشپزی آگاهانه به اشتراک بگذارید.</v>
      </c>
      <c r="H3685" s="1"/>
      <c r="I3685" s="1"/>
      <c r="J3685" s="1"/>
      <c r="K3685" s="1"/>
      <c r="L3685" s="1"/>
      <c r="M3685" s="1"/>
      <c r="N3685" s="1"/>
      <c r="O3685" s="1"/>
      <c r="P3685" s="1"/>
      <c r="Q3685" s="1"/>
      <c r="R3685" s="1"/>
      <c r="S3685" s="1"/>
      <c r="T3685" s="1"/>
      <c r="U3685" s="1"/>
      <c r="V3685" s="1"/>
      <c r="W3685" s="1"/>
      <c r="X3685" s="1"/>
      <c r="Y3685" s="1"/>
      <c r="Z3685" s="1"/>
      <c r="AA3685" s="1"/>
      <c r="AB3685" s="1"/>
    </row>
    <row r="3686" ht="50.25" customHeight="1">
      <c r="A3686" s="12">
        <v>3682.0</v>
      </c>
      <c r="B3686" s="13" t="s">
        <v>3427</v>
      </c>
      <c r="C3686" s="14" t="s">
        <v>3703</v>
      </c>
      <c r="D3686" s="1"/>
      <c r="E3686" s="1"/>
      <c r="F3686" s="1" t="str">
        <f>IFERROR(__xludf.DUMMYFUNCTION("GOOGLETRANSLATE(B3686, ""en"", ""fa"")
"),"تمرینات ذهن آگاهی و مدیتیشن")</f>
        <v>تمرینات ذهن آگاهی و مدیتیشن</v>
      </c>
      <c r="G3686" s="1" t="str">
        <f>IFERROR(__xludf.DUMMYFUNCTION("GOOGLETRANSLATE(C3686, ""en"", ""fa"")
"),"به نقش ذهن آگاهی در پرورش انعطاف پذیری و مراقبت از خود در زمان تغییر یا عدم اطمینان فکر کنید.")</f>
        <v>به نقش ذهن آگاهی در پرورش انعطاف پذیری و مراقبت از خود در زمان تغییر یا عدم اطمینان فکر کنید.</v>
      </c>
      <c r="H3686" s="1"/>
      <c r="I3686" s="1"/>
      <c r="J3686" s="1"/>
      <c r="K3686" s="1"/>
      <c r="L3686" s="1"/>
      <c r="M3686" s="1"/>
      <c r="N3686" s="1"/>
      <c r="O3686" s="1"/>
      <c r="P3686" s="1"/>
      <c r="Q3686" s="1"/>
      <c r="R3686" s="1"/>
      <c r="S3686" s="1"/>
      <c r="T3686" s="1"/>
      <c r="U3686" s="1"/>
      <c r="V3686" s="1"/>
      <c r="W3686" s="1"/>
      <c r="X3686" s="1"/>
      <c r="Y3686" s="1"/>
      <c r="Z3686" s="1"/>
      <c r="AA3686" s="1"/>
      <c r="AB3686" s="1"/>
    </row>
    <row r="3687" ht="50.25" customHeight="1">
      <c r="A3687" s="12">
        <v>3683.0</v>
      </c>
      <c r="B3687" s="13" t="s">
        <v>3427</v>
      </c>
      <c r="C3687" s="14" t="s">
        <v>3704</v>
      </c>
      <c r="D3687" s="1"/>
      <c r="E3687" s="1"/>
      <c r="F3687" s="1" t="str">
        <f>IFERROR(__xludf.DUMMYFUNCTION("GOOGLETRANSLATE(B3687, ""en"", ""fa"")
"),"تمرینات ذهن آگاهی و مدیتیشن")</f>
        <v>تمرینات ذهن آگاهی و مدیتیشن</v>
      </c>
      <c r="G3687" s="1" t="str">
        <f>IFERROR(__xludf.DUMMYFUNCTION("GOOGLETRANSLATE(C3687, ""en"", ""fa"")
"),"روش‌های تمرکز حواس را برای ایجاد حس محبت‌آمیز و شفقت نسبت به خود و دیگران کاوش کنید.")</f>
        <v>روش‌های تمرکز حواس را برای ایجاد حس محبت‌آمیز و شفقت نسبت به خود و دیگران کاوش کنید.</v>
      </c>
      <c r="H3687" s="1"/>
      <c r="I3687" s="1"/>
      <c r="J3687" s="1"/>
      <c r="K3687" s="1"/>
      <c r="L3687" s="1"/>
      <c r="M3687" s="1"/>
      <c r="N3687" s="1"/>
      <c r="O3687" s="1"/>
      <c r="P3687" s="1"/>
      <c r="Q3687" s="1"/>
      <c r="R3687" s="1"/>
      <c r="S3687" s="1"/>
      <c r="T3687" s="1"/>
      <c r="U3687" s="1"/>
      <c r="V3687" s="1"/>
      <c r="W3687" s="1"/>
      <c r="X3687" s="1"/>
      <c r="Y3687" s="1"/>
      <c r="Z3687" s="1"/>
      <c r="AA3687" s="1"/>
      <c r="AB3687" s="1"/>
    </row>
    <row r="3688" ht="50.25" customHeight="1">
      <c r="A3688" s="12">
        <v>3684.0</v>
      </c>
      <c r="B3688" s="13" t="s">
        <v>3427</v>
      </c>
      <c r="C3688" s="14" t="s">
        <v>3705</v>
      </c>
      <c r="D3688" s="1"/>
      <c r="E3688" s="1"/>
      <c r="F3688" s="1" t="str">
        <f>IFERROR(__xludf.DUMMYFUNCTION("GOOGLETRANSLATE(B3688, ""en"", ""fa"")
"),"تمرینات ذهن آگاهی و مدیتیشن")</f>
        <v>تمرینات ذهن آگاهی و مدیتیشن</v>
      </c>
      <c r="G3688" s="1" t="str">
        <f>IFERROR(__xludf.DUMMYFUNCTION("GOOGLETRANSLATE(C3688, ""en"", ""fa"")
"),"برای افزایش بهره وری و رفاه، شیوه های ترکیب ذهن آگاهی را در محیط کار به اشتراک بگذارید.")</f>
        <v>برای افزایش بهره وری و رفاه، شیوه های ترکیب ذهن آگاهی را در محیط کار به اشتراک بگذارید.</v>
      </c>
      <c r="H3688" s="1"/>
      <c r="I3688" s="1"/>
      <c r="J3688" s="1"/>
      <c r="K3688" s="1"/>
      <c r="L3688" s="1"/>
      <c r="M3688" s="1"/>
      <c r="N3688" s="1"/>
      <c r="O3688" s="1"/>
      <c r="P3688" s="1"/>
      <c r="Q3688" s="1"/>
      <c r="R3688" s="1"/>
      <c r="S3688" s="1"/>
      <c r="T3688" s="1"/>
      <c r="U3688" s="1"/>
      <c r="V3688" s="1"/>
      <c r="W3688" s="1"/>
      <c r="X3688" s="1"/>
      <c r="Y3688" s="1"/>
      <c r="Z3688" s="1"/>
      <c r="AA3688" s="1"/>
      <c r="AB3688" s="1"/>
    </row>
    <row r="3689" ht="50.25" customHeight="1">
      <c r="A3689" s="12">
        <v>3685.0</v>
      </c>
      <c r="B3689" s="13" t="s">
        <v>3427</v>
      </c>
      <c r="C3689" s="14" t="s">
        <v>3706</v>
      </c>
      <c r="D3689" s="1"/>
      <c r="E3689" s="1"/>
      <c r="F3689" s="1" t="str">
        <f>IFERROR(__xludf.DUMMYFUNCTION("GOOGLETRANSLATE(B3689, ""en"", ""fa"")
"),"تمرینات ذهن آگاهی و مدیتیشن")</f>
        <v>تمرینات ذهن آگاهی و مدیتیشن</v>
      </c>
      <c r="G3689" s="1" t="str">
        <f>IFERROR(__xludf.DUMMYFUNCTION("GOOGLETRANSLATE(C3689, ""en"", ""fa"")
"),"در مورد ارتباط بین ذهن آگاهی و آگاهی بدن و اینکه چگونه ذهن آگاهی می تواند از شفای فیزیکی حمایت کند، فکر کنید.")</f>
        <v>در مورد ارتباط بین ذهن آگاهی و آگاهی بدن و اینکه چگونه ذهن آگاهی می تواند از شفای فیزیکی حمایت کند، فکر کنید.</v>
      </c>
      <c r="H3689" s="1"/>
      <c r="I3689" s="1"/>
      <c r="J3689" s="1"/>
      <c r="K3689" s="1"/>
      <c r="L3689" s="1"/>
      <c r="M3689" s="1"/>
      <c r="N3689" s="1"/>
      <c r="O3689" s="1"/>
      <c r="P3689" s="1"/>
      <c r="Q3689" s="1"/>
      <c r="R3689" s="1"/>
      <c r="S3689" s="1"/>
      <c r="T3689" s="1"/>
      <c r="U3689" s="1"/>
      <c r="V3689" s="1"/>
      <c r="W3689" s="1"/>
      <c r="X3689" s="1"/>
      <c r="Y3689" s="1"/>
      <c r="Z3689" s="1"/>
      <c r="AA3689" s="1"/>
      <c r="AB3689" s="1"/>
    </row>
    <row r="3690" ht="50.25" customHeight="1">
      <c r="A3690" s="12">
        <v>3686.0</v>
      </c>
      <c r="B3690" s="13" t="s">
        <v>3427</v>
      </c>
      <c r="C3690" s="14" t="s">
        <v>3707</v>
      </c>
      <c r="D3690" s="1"/>
      <c r="E3690" s="1"/>
      <c r="F3690" s="1" t="str">
        <f>IFERROR(__xludf.DUMMYFUNCTION("GOOGLETRANSLATE(B3690, ""en"", ""fa"")
"),"تمرینات ذهن آگاهی و مدیتیشن")</f>
        <v>تمرینات ذهن آگاهی و مدیتیشن</v>
      </c>
      <c r="G3690" s="1" t="str">
        <f>IFERROR(__xludf.DUMMYFUNCTION("GOOGLETRANSLATE(C3690, ""en"", ""fa"")
"),"تکنیک های تمرکز حواس را برای مدیریت و کاهش علائم نگرانی و تفکر بیش از حد بررسی کنید.")</f>
        <v>تکنیک های تمرکز حواس را برای مدیریت و کاهش علائم نگرانی و تفکر بیش از حد بررسی کنید.</v>
      </c>
      <c r="H3690" s="1"/>
      <c r="I3690" s="1"/>
      <c r="J3690" s="1"/>
      <c r="K3690" s="1"/>
      <c r="L3690" s="1"/>
      <c r="M3690" s="1"/>
      <c r="N3690" s="1"/>
      <c r="O3690" s="1"/>
      <c r="P3690" s="1"/>
      <c r="Q3690" s="1"/>
      <c r="R3690" s="1"/>
      <c r="S3690" s="1"/>
      <c r="T3690" s="1"/>
      <c r="U3690" s="1"/>
      <c r="V3690" s="1"/>
      <c r="W3690" s="1"/>
      <c r="X3690" s="1"/>
      <c r="Y3690" s="1"/>
      <c r="Z3690" s="1"/>
      <c r="AA3690" s="1"/>
      <c r="AB3690" s="1"/>
    </row>
    <row r="3691" ht="50.25" customHeight="1">
      <c r="A3691" s="12">
        <v>3687.0</v>
      </c>
      <c r="B3691" s="13" t="s">
        <v>3427</v>
      </c>
      <c r="C3691" s="14" t="s">
        <v>3708</v>
      </c>
      <c r="D3691" s="1"/>
      <c r="E3691" s="1"/>
      <c r="F3691" s="1" t="str">
        <f>IFERROR(__xludf.DUMMYFUNCTION("GOOGLETRANSLATE(B3691, ""en"", ""fa"")
"),"تمرینات ذهن آگاهی و مدیتیشن")</f>
        <v>تمرینات ذهن آگاهی و مدیتیشن</v>
      </c>
      <c r="G3691" s="1" t="str">
        <f>IFERROR(__xludf.DUMMYFUNCTION("GOOGLETRANSLATE(C3691, ""en"", ""fa"")
"),"در مورد مزایای تمرکز حواس در ارتقاء حس پیوستگی و اتحاد با جهان بحث کنید.")</f>
        <v>در مورد مزایای تمرکز حواس در ارتقاء حس پیوستگی و اتحاد با جهان بحث کنید.</v>
      </c>
      <c r="H3691" s="1"/>
      <c r="I3691" s="1"/>
      <c r="J3691" s="1"/>
      <c r="K3691" s="1"/>
      <c r="L3691" s="1"/>
      <c r="M3691" s="1"/>
      <c r="N3691" s="1"/>
      <c r="O3691" s="1"/>
      <c r="P3691" s="1"/>
      <c r="Q3691" s="1"/>
      <c r="R3691" s="1"/>
      <c r="S3691" s="1"/>
      <c r="T3691" s="1"/>
      <c r="U3691" s="1"/>
      <c r="V3691" s="1"/>
      <c r="W3691" s="1"/>
      <c r="X3691" s="1"/>
      <c r="Y3691" s="1"/>
      <c r="Z3691" s="1"/>
      <c r="AA3691" s="1"/>
      <c r="AB3691" s="1"/>
    </row>
    <row r="3692" ht="50.25" customHeight="1">
      <c r="A3692" s="12">
        <v>3688.0</v>
      </c>
      <c r="B3692" s="13" t="s">
        <v>3427</v>
      </c>
      <c r="C3692" s="14" t="s">
        <v>3709</v>
      </c>
      <c r="D3692" s="1"/>
      <c r="E3692" s="1"/>
      <c r="F3692" s="1" t="str">
        <f>IFERROR(__xludf.DUMMYFUNCTION("GOOGLETRANSLATE(B3692, ""en"", ""fa"")
"),"تمرینات ذهن آگاهی و مدیتیشن")</f>
        <v>تمرینات ذهن آگاهی و مدیتیشن</v>
      </c>
      <c r="G3692" s="1" t="str">
        <f>IFERROR(__xludf.DUMMYFUNCTION("GOOGLETRANSLATE(C3692, ""en"", ""fa"")
"),"تکنیک هایی را برای ترکیب ذهن آگاهی در خلاقیت و تلاش های هنری برای بیان الهام گرفته به اشتراک بگذارید.")</f>
        <v>تکنیک هایی را برای ترکیب ذهن آگاهی در خلاقیت و تلاش های هنری برای بیان الهام گرفته به اشتراک بگذارید.</v>
      </c>
      <c r="H3692" s="1"/>
      <c r="I3692" s="1"/>
      <c r="J3692" s="1"/>
      <c r="K3692" s="1"/>
      <c r="L3692" s="1"/>
      <c r="M3692" s="1"/>
      <c r="N3692" s="1"/>
      <c r="O3692" s="1"/>
      <c r="P3692" s="1"/>
      <c r="Q3692" s="1"/>
      <c r="R3692" s="1"/>
      <c r="S3692" s="1"/>
      <c r="T3692" s="1"/>
      <c r="U3692" s="1"/>
      <c r="V3692" s="1"/>
      <c r="W3692" s="1"/>
      <c r="X3692" s="1"/>
      <c r="Y3692" s="1"/>
      <c r="Z3692" s="1"/>
      <c r="AA3692" s="1"/>
      <c r="AB3692" s="1"/>
    </row>
    <row r="3693" ht="50.25" customHeight="1">
      <c r="A3693" s="12">
        <v>3689.0</v>
      </c>
      <c r="B3693" s="13" t="s">
        <v>3427</v>
      </c>
      <c r="C3693" s="14" t="s">
        <v>3710</v>
      </c>
      <c r="D3693" s="1"/>
      <c r="E3693" s="1"/>
      <c r="F3693" s="1" t="str">
        <f>IFERROR(__xludf.DUMMYFUNCTION("GOOGLETRANSLATE(B3693, ""en"", ""fa"")
"),"تمرینات ذهن آگاهی و مدیتیشن")</f>
        <v>تمرینات ذهن آگاهی و مدیتیشن</v>
      </c>
      <c r="G3693" s="1" t="str">
        <f>IFERROR(__xludf.DUMMYFUNCTION("GOOGLETRANSLATE(C3693, ""en"", ""fa"")
"),"به نقش ذهن آگاهی در پرورش حس هدف و معنا در زندگی فکر کنید.")</f>
        <v>به نقش ذهن آگاهی در پرورش حس هدف و معنا در زندگی فکر کنید.</v>
      </c>
      <c r="H3693" s="1"/>
      <c r="I3693" s="1"/>
      <c r="J3693" s="1"/>
      <c r="K3693" s="1"/>
      <c r="L3693" s="1"/>
      <c r="M3693" s="1"/>
      <c r="N3693" s="1"/>
      <c r="O3693" s="1"/>
      <c r="P3693" s="1"/>
      <c r="Q3693" s="1"/>
      <c r="R3693" s="1"/>
      <c r="S3693" s="1"/>
      <c r="T3693" s="1"/>
      <c r="U3693" s="1"/>
      <c r="V3693" s="1"/>
      <c r="W3693" s="1"/>
      <c r="X3693" s="1"/>
      <c r="Y3693" s="1"/>
      <c r="Z3693" s="1"/>
      <c r="AA3693" s="1"/>
      <c r="AB3693" s="1"/>
    </row>
    <row r="3694" ht="50.25" customHeight="1">
      <c r="A3694" s="12">
        <v>3690.0</v>
      </c>
      <c r="B3694" s="13" t="s">
        <v>3427</v>
      </c>
      <c r="C3694" s="14" t="s">
        <v>3711</v>
      </c>
      <c r="D3694" s="1"/>
      <c r="E3694" s="1"/>
      <c r="F3694" s="1" t="str">
        <f>IFERROR(__xludf.DUMMYFUNCTION("GOOGLETRANSLATE(B3694, ""en"", ""fa"")
"),"تمرینات ذهن آگاهی و مدیتیشن")</f>
        <v>تمرینات ذهن آگاهی و مدیتیشن</v>
      </c>
      <c r="G3694" s="1" t="str">
        <f>IFERROR(__xludf.DUMMYFUNCTION("GOOGLETRANSLATE(C3694, ""en"", ""fa"")
"),"به نقش ذهن آگاهی در پرورش صبر و پذیرش عدم قطعیت های زندگی فکر کنید.")</f>
        <v>به نقش ذهن آگاهی در پرورش صبر و پذیرش عدم قطعیت های زندگی فکر کنید.</v>
      </c>
      <c r="H3694" s="1"/>
      <c r="I3694" s="1"/>
      <c r="J3694" s="1"/>
      <c r="K3694" s="1"/>
      <c r="L3694" s="1"/>
      <c r="M3694" s="1"/>
      <c r="N3694" s="1"/>
      <c r="O3694" s="1"/>
      <c r="P3694" s="1"/>
      <c r="Q3694" s="1"/>
      <c r="R3694" s="1"/>
      <c r="S3694" s="1"/>
      <c r="T3694" s="1"/>
      <c r="U3694" s="1"/>
      <c r="V3694" s="1"/>
      <c r="W3694" s="1"/>
      <c r="X3694" s="1"/>
      <c r="Y3694" s="1"/>
      <c r="Z3694" s="1"/>
      <c r="AA3694" s="1"/>
      <c r="AB3694" s="1"/>
    </row>
    <row r="3695" ht="50.25" customHeight="1">
      <c r="A3695" s="12">
        <v>3691.0</v>
      </c>
      <c r="B3695" s="13" t="s">
        <v>3427</v>
      </c>
      <c r="C3695" s="14" t="s">
        <v>3712</v>
      </c>
      <c r="D3695" s="1"/>
      <c r="E3695" s="1"/>
      <c r="F3695" s="1" t="str">
        <f>IFERROR(__xludf.DUMMYFUNCTION("GOOGLETRANSLATE(B3695, ""en"", ""fa"")
"),"تمرینات ذهن آگاهی و مدیتیشن")</f>
        <v>تمرینات ذهن آگاهی و مدیتیشن</v>
      </c>
      <c r="G3695" s="1" t="str">
        <f>IFERROR(__xludf.DUMMYFUNCTION("GOOGLETRANSLATE(C3695, ""en"", ""fa"")
"),"تکنیک‌های تمرکز حواس را برای مدیریت و کاهش علائم بی‌قراری و آشفتگی درونی بررسی کنید.")</f>
        <v>تکنیک‌های تمرکز حواس را برای مدیریت و کاهش علائم بی‌قراری و آشفتگی درونی بررسی کنید.</v>
      </c>
      <c r="H3695" s="1"/>
      <c r="I3695" s="1"/>
      <c r="J3695" s="1"/>
      <c r="K3695" s="1"/>
      <c r="L3695" s="1"/>
      <c r="M3695" s="1"/>
      <c r="N3695" s="1"/>
      <c r="O3695" s="1"/>
      <c r="P3695" s="1"/>
      <c r="Q3695" s="1"/>
      <c r="R3695" s="1"/>
      <c r="S3695" s="1"/>
      <c r="T3695" s="1"/>
      <c r="U3695" s="1"/>
      <c r="V3695" s="1"/>
      <c r="W3695" s="1"/>
      <c r="X3695" s="1"/>
      <c r="Y3695" s="1"/>
      <c r="Z3695" s="1"/>
      <c r="AA3695" s="1"/>
      <c r="AB3695" s="1"/>
    </row>
    <row r="3696" ht="50.25" customHeight="1">
      <c r="A3696" s="12">
        <v>3692.0</v>
      </c>
      <c r="B3696" s="13" t="s">
        <v>3427</v>
      </c>
      <c r="C3696" s="14" t="s">
        <v>3713</v>
      </c>
      <c r="D3696" s="1"/>
      <c r="E3696" s="1"/>
      <c r="F3696" s="1" t="str">
        <f>IFERROR(__xludf.DUMMYFUNCTION("GOOGLETRANSLATE(B3696, ""en"", ""fa"")
"),"تمرینات ذهن آگاهی و مدیتیشن")</f>
        <v>تمرینات ذهن آگاهی و مدیتیشن</v>
      </c>
      <c r="G3696" s="1" t="str">
        <f>IFERROR(__xludf.DUMMYFUNCTION("GOOGLETRANSLATE(C3696, ""en"", ""fa"")
"),"در مورد فواید تمرکز حواس در ارتقاء تنظیم بهتر عاطفی و خودکنترلی بحث کنید.")</f>
        <v>در مورد فواید تمرکز حواس در ارتقاء تنظیم بهتر عاطفی و خودکنترلی بحث کنید.</v>
      </c>
      <c r="H3696" s="1"/>
      <c r="I3696" s="1"/>
      <c r="J3696" s="1"/>
      <c r="K3696" s="1"/>
      <c r="L3696" s="1"/>
      <c r="M3696" s="1"/>
      <c r="N3696" s="1"/>
      <c r="O3696" s="1"/>
      <c r="P3696" s="1"/>
      <c r="Q3696" s="1"/>
      <c r="R3696" s="1"/>
      <c r="S3696" s="1"/>
      <c r="T3696" s="1"/>
      <c r="U3696" s="1"/>
      <c r="V3696" s="1"/>
      <c r="W3696" s="1"/>
      <c r="X3696" s="1"/>
      <c r="Y3696" s="1"/>
      <c r="Z3696" s="1"/>
      <c r="AA3696" s="1"/>
      <c r="AB3696" s="1"/>
    </row>
    <row r="3697" ht="50.25" customHeight="1">
      <c r="A3697" s="12">
        <v>3693.0</v>
      </c>
      <c r="B3697" s="13" t="s">
        <v>3427</v>
      </c>
      <c r="C3697" s="14" t="s">
        <v>3714</v>
      </c>
      <c r="D3697" s="1"/>
      <c r="E3697" s="1"/>
      <c r="F3697" s="1" t="str">
        <f>IFERROR(__xludf.DUMMYFUNCTION("GOOGLETRANSLATE(B3697, ""en"", ""fa"")
"),"تمرینات ذهن آگاهی و مدیتیشن")</f>
        <v>تمرینات ذهن آگاهی و مدیتیشن</v>
      </c>
      <c r="G3697" s="1" t="str">
        <f>IFERROR(__xludf.DUMMYFUNCTION("GOOGLETRANSLATE(C3697, ""en"", ""fa"")
"),"روش‌هایی را برای گنجاندن ذهن آگاهی در روتین صبحگاهی برای شروع آگاهانه روز به اشتراک بگذارید.")</f>
        <v>روش‌هایی را برای گنجاندن ذهن آگاهی در روتین صبحگاهی برای شروع آگاهانه روز به اشتراک بگذارید.</v>
      </c>
      <c r="H3697" s="1"/>
      <c r="I3697" s="1"/>
      <c r="J3697" s="1"/>
      <c r="K3697" s="1"/>
      <c r="L3697" s="1"/>
      <c r="M3697" s="1"/>
      <c r="N3697" s="1"/>
      <c r="O3697" s="1"/>
      <c r="P3697" s="1"/>
      <c r="Q3697" s="1"/>
      <c r="R3697" s="1"/>
      <c r="S3697" s="1"/>
      <c r="T3697" s="1"/>
      <c r="U3697" s="1"/>
      <c r="V3697" s="1"/>
      <c r="W3697" s="1"/>
      <c r="X3697" s="1"/>
      <c r="Y3697" s="1"/>
      <c r="Z3697" s="1"/>
      <c r="AA3697" s="1"/>
      <c r="AB3697" s="1"/>
    </row>
    <row r="3698" ht="50.25" customHeight="1">
      <c r="A3698" s="12">
        <v>3694.0</v>
      </c>
      <c r="B3698" s="13" t="s">
        <v>3427</v>
      </c>
      <c r="C3698" s="14" t="s">
        <v>3715</v>
      </c>
      <c r="D3698" s="1"/>
      <c r="E3698" s="1"/>
      <c r="F3698" s="1" t="str">
        <f>IFERROR(__xludf.DUMMYFUNCTION("GOOGLETRANSLATE(B3698, ""en"", ""fa"")
"),"تمرینات ذهن آگاهی و مدیتیشن")</f>
        <v>تمرینات ذهن آگاهی و مدیتیشن</v>
      </c>
      <c r="G3698" s="1" t="str">
        <f>IFERROR(__xludf.DUMMYFUNCTION("GOOGLETRANSLATE(C3698, ""en"", ""fa"")
"),"به ارتباط بین ذهن آگاهی و قدردانی و اینکه چگونه ذهن آگاهی می تواند قدردانی را عمیق تر کند، فکر کنید.")</f>
        <v>به ارتباط بین ذهن آگاهی و قدردانی و اینکه چگونه ذهن آگاهی می تواند قدردانی را عمیق تر کند، فکر کنید.</v>
      </c>
      <c r="H3698" s="1"/>
      <c r="I3698" s="1"/>
      <c r="J3698" s="1"/>
      <c r="K3698" s="1"/>
      <c r="L3698" s="1"/>
      <c r="M3698" s="1"/>
      <c r="N3698" s="1"/>
      <c r="O3698" s="1"/>
      <c r="P3698" s="1"/>
      <c r="Q3698" s="1"/>
      <c r="R3698" s="1"/>
      <c r="S3698" s="1"/>
      <c r="T3698" s="1"/>
      <c r="U3698" s="1"/>
      <c r="V3698" s="1"/>
      <c r="W3698" s="1"/>
      <c r="X3698" s="1"/>
      <c r="Y3698" s="1"/>
      <c r="Z3698" s="1"/>
      <c r="AA3698" s="1"/>
      <c r="AB3698" s="1"/>
    </row>
    <row r="3699" ht="50.25" customHeight="1">
      <c r="A3699" s="12">
        <v>3695.0</v>
      </c>
      <c r="B3699" s="13" t="s">
        <v>3427</v>
      </c>
      <c r="C3699" s="14" t="s">
        <v>3716</v>
      </c>
      <c r="D3699" s="1"/>
      <c r="E3699" s="1"/>
      <c r="F3699" s="1" t="str">
        <f>IFERROR(__xludf.DUMMYFUNCTION("GOOGLETRANSLATE(B3699, ""en"", ""fa"")
"),"تمرینات ذهن آگاهی و مدیتیشن")</f>
        <v>تمرینات ذهن آگاهی و مدیتیشن</v>
      </c>
      <c r="G3699" s="1" t="str">
        <f>IFERROR(__xludf.DUMMYFUNCTION("GOOGLETRANSLATE(C3699, ""en"", ""fa"")
"),"تکنیک های تمرکز حواس را برای مدیریت و کاهش علائم بیش از حد و بار اطلاعاتی بررسی کنید.")</f>
        <v>تکنیک های تمرکز حواس را برای مدیریت و کاهش علائم بیش از حد و بار اطلاعاتی بررسی کنید.</v>
      </c>
      <c r="H3699" s="1"/>
      <c r="I3699" s="1"/>
      <c r="J3699" s="1"/>
      <c r="K3699" s="1"/>
      <c r="L3699" s="1"/>
      <c r="M3699" s="1"/>
      <c r="N3699" s="1"/>
      <c r="O3699" s="1"/>
      <c r="P3699" s="1"/>
      <c r="Q3699" s="1"/>
      <c r="R3699" s="1"/>
      <c r="S3699" s="1"/>
      <c r="T3699" s="1"/>
      <c r="U3699" s="1"/>
      <c r="V3699" s="1"/>
      <c r="W3699" s="1"/>
      <c r="X3699" s="1"/>
      <c r="Y3699" s="1"/>
      <c r="Z3699" s="1"/>
      <c r="AA3699" s="1"/>
      <c r="AB3699" s="1"/>
    </row>
    <row r="3700" ht="50.25" customHeight="1">
      <c r="A3700" s="12">
        <v>3696.0</v>
      </c>
      <c r="B3700" s="13" t="s">
        <v>3427</v>
      </c>
      <c r="C3700" s="14" t="s">
        <v>3717</v>
      </c>
      <c r="D3700" s="1"/>
      <c r="E3700" s="1"/>
      <c r="F3700" s="1" t="str">
        <f>IFERROR(__xludf.DUMMYFUNCTION("GOOGLETRANSLATE(B3700, ""en"", ""fa"")
"),"تمرینات ذهن آگاهی و مدیتیشن")</f>
        <v>تمرینات ذهن آگاهی و مدیتیشن</v>
      </c>
      <c r="G3700" s="1" t="str">
        <f>IFERROR(__xludf.DUMMYFUNCTION("GOOGLETRANSLATE(C3700, ""en"", ""fa"")
"),"در مورد مزایای ذهن آگاهی در ارتقای مهارت های ارتباطی بهتر و گوش دادن فعال بحث کنید.")</f>
        <v>در مورد مزایای ذهن آگاهی در ارتقای مهارت های ارتباطی بهتر و گوش دادن فعال بحث کنید.</v>
      </c>
      <c r="H3700" s="1"/>
      <c r="I3700" s="1"/>
      <c r="J3700" s="1"/>
      <c r="K3700" s="1"/>
      <c r="L3700" s="1"/>
      <c r="M3700" s="1"/>
      <c r="N3700" s="1"/>
      <c r="O3700" s="1"/>
      <c r="P3700" s="1"/>
      <c r="Q3700" s="1"/>
      <c r="R3700" s="1"/>
      <c r="S3700" s="1"/>
      <c r="T3700" s="1"/>
      <c r="U3700" s="1"/>
      <c r="V3700" s="1"/>
      <c r="W3700" s="1"/>
      <c r="X3700" s="1"/>
      <c r="Y3700" s="1"/>
      <c r="Z3700" s="1"/>
      <c r="AA3700" s="1"/>
      <c r="AB3700" s="1"/>
    </row>
    <row r="3701" ht="50.25" customHeight="1">
      <c r="A3701" s="12">
        <v>3697.0</v>
      </c>
      <c r="B3701" s="13" t="s">
        <v>3427</v>
      </c>
      <c r="C3701" s="14" t="s">
        <v>3718</v>
      </c>
      <c r="D3701" s="1"/>
      <c r="E3701" s="1"/>
      <c r="F3701" s="1" t="str">
        <f>IFERROR(__xludf.DUMMYFUNCTION("GOOGLETRANSLATE(B3701, ""en"", ""fa"")
"),"تمرینات ذهن آگاهی و مدیتیشن")</f>
        <v>تمرینات ذهن آگاهی و مدیتیشن</v>
      </c>
      <c r="G3701" s="1" t="str">
        <f>IFERROR(__xludf.DUMMYFUNCTION("GOOGLETRANSLATE(C3701, ""en"", ""fa"")
"),"تکنیک‌هایی را برای ترکیب ذهن آگاهی در استفاده از فناوری برای تعادل دیجیتال سالم‌تر به اشتراک بگذارید.")</f>
        <v>تکنیک‌هایی را برای ترکیب ذهن آگاهی در استفاده از فناوری برای تعادل دیجیتال سالم‌تر به اشتراک بگذارید.</v>
      </c>
      <c r="H3701" s="1"/>
      <c r="I3701" s="1"/>
      <c r="J3701" s="1"/>
      <c r="K3701" s="1"/>
      <c r="L3701" s="1"/>
      <c r="M3701" s="1"/>
      <c r="N3701" s="1"/>
      <c r="O3701" s="1"/>
      <c r="P3701" s="1"/>
      <c r="Q3701" s="1"/>
      <c r="R3701" s="1"/>
      <c r="S3701" s="1"/>
      <c r="T3701" s="1"/>
      <c r="U3701" s="1"/>
      <c r="V3701" s="1"/>
      <c r="W3701" s="1"/>
      <c r="X3701" s="1"/>
      <c r="Y3701" s="1"/>
      <c r="Z3701" s="1"/>
      <c r="AA3701" s="1"/>
      <c r="AB3701" s="1"/>
    </row>
    <row r="3702" ht="50.25" customHeight="1">
      <c r="A3702" s="12">
        <v>3698.0</v>
      </c>
      <c r="B3702" s="13" t="s">
        <v>3427</v>
      </c>
      <c r="C3702" s="14" t="s">
        <v>3719</v>
      </c>
      <c r="D3702" s="1"/>
      <c r="E3702" s="1"/>
      <c r="F3702" s="1" t="str">
        <f>IFERROR(__xludf.DUMMYFUNCTION("GOOGLETRANSLATE(B3702, ""en"", ""fa"")
"),"تمرینات ذهن آگاهی و مدیتیشن")</f>
        <v>تمرینات ذهن آگاهی و مدیتیشن</v>
      </c>
      <c r="G3702" s="1" t="str">
        <f>IFERROR(__xludf.DUMMYFUNCTION("GOOGLETRANSLATE(C3702, ""en"", ""fa"")
"),"به نقش ذهن آگاهی در پرورش شفقت نسبت به خود و دیگران فکر کنید.")</f>
        <v>به نقش ذهن آگاهی در پرورش شفقت نسبت به خود و دیگران فکر کنید.</v>
      </c>
      <c r="H3702" s="1"/>
      <c r="I3702" s="1"/>
      <c r="J3702" s="1"/>
      <c r="K3702" s="1"/>
      <c r="L3702" s="1"/>
      <c r="M3702" s="1"/>
      <c r="N3702" s="1"/>
      <c r="O3702" s="1"/>
      <c r="P3702" s="1"/>
      <c r="Q3702" s="1"/>
      <c r="R3702" s="1"/>
      <c r="S3702" s="1"/>
      <c r="T3702" s="1"/>
      <c r="U3702" s="1"/>
      <c r="V3702" s="1"/>
      <c r="W3702" s="1"/>
      <c r="X3702" s="1"/>
      <c r="Y3702" s="1"/>
      <c r="Z3702" s="1"/>
      <c r="AA3702" s="1"/>
      <c r="AB3702" s="1"/>
    </row>
    <row r="3703" ht="50.25" customHeight="1">
      <c r="A3703" s="12">
        <v>3699.0</v>
      </c>
      <c r="B3703" s="13" t="s">
        <v>3427</v>
      </c>
      <c r="C3703" s="14" t="s">
        <v>3720</v>
      </c>
      <c r="D3703" s="1"/>
      <c r="E3703" s="1"/>
      <c r="F3703" s="1" t="str">
        <f>IFERROR(__xludf.DUMMYFUNCTION("GOOGLETRANSLATE(B3703, ""en"", ""fa"")
"),"تمرینات ذهن آگاهی و مدیتیشن")</f>
        <v>تمرینات ذهن آگاهی و مدیتیشن</v>
      </c>
      <c r="G3703" s="1" t="str">
        <f>IFERROR(__xludf.DUMMYFUNCTION("GOOGLETRANSLATE(C3703, ""en"", ""fa"")
"),"روش های تمرکز حواس را برای ایجاد حس آرامش و تعادل در موقعیت های چالش برانگیز کاوش کنید.")</f>
        <v>روش های تمرکز حواس را برای ایجاد حس آرامش و تعادل در موقعیت های چالش برانگیز کاوش کنید.</v>
      </c>
      <c r="H3703" s="1"/>
      <c r="I3703" s="1"/>
      <c r="J3703" s="1"/>
      <c r="K3703" s="1"/>
      <c r="L3703" s="1"/>
      <c r="M3703" s="1"/>
      <c r="N3703" s="1"/>
      <c r="O3703" s="1"/>
      <c r="P3703" s="1"/>
      <c r="Q3703" s="1"/>
      <c r="R3703" s="1"/>
      <c r="S3703" s="1"/>
      <c r="T3703" s="1"/>
      <c r="U3703" s="1"/>
      <c r="V3703" s="1"/>
      <c r="W3703" s="1"/>
      <c r="X3703" s="1"/>
      <c r="Y3703" s="1"/>
      <c r="Z3703" s="1"/>
      <c r="AA3703" s="1"/>
      <c r="AB3703" s="1"/>
    </row>
    <row r="3704" ht="50.25" customHeight="1">
      <c r="A3704" s="12">
        <v>3700.0</v>
      </c>
      <c r="B3704" s="13" t="s">
        <v>3427</v>
      </c>
      <c r="C3704" s="14" t="s">
        <v>3721</v>
      </c>
      <c r="D3704" s="1"/>
      <c r="E3704" s="1"/>
      <c r="F3704" s="1" t="str">
        <f>IFERROR(__xludf.DUMMYFUNCTION("GOOGLETRANSLATE(B3704, ""en"", ""fa"")
"),"تمرینات ذهن آگاهی و مدیتیشن")</f>
        <v>تمرینات ذهن آگاهی و مدیتیشن</v>
      </c>
      <c r="G3704" s="1" t="str">
        <f>IFERROR(__xludf.DUMMYFUNCTION("GOOGLETRANSLATE(C3704, ""en"", ""fa"")
"),"در مورد مزایای ذهن آگاهی در ارتقای خودآگاهی و خود انعکاس بهتر بحث کنید.")</f>
        <v>در مورد مزایای ذهن آگاهی در ارتقای خودآگاهی و خود انعکاس بهتر بحث کنید.</v>
      </c>
      <c r="H3704" s="1"/>
      <c r="I3704" s="1"/>
      <c r="J3704" s="1"/>
      <c r="K3704" s="1"/>
      <c r="L3704" s="1"/>
      <c r="M3704" s="1"/>
      <c r="N3704" s="1"/>
      <c r="O3704" s="1"/>
      <c r="P3704" s="1"/>
      <c r="Q3704" s="1"/>
      <c r="R3704" s="1"/>
      <c r="S3704" s="1"/>
      <c r="T3704" s="1"/>
      <c r="U3704" s="1"/>
      <c r="V3704" s="1"/>
      <c r="W3704" s="1"/>
      <c r="X3704" s="1"/>
      <c r="Y3704" s="1"/>
      <c r="Z3704" s="1"/>
      <c r="AA3704" s="1"/>
      <c r="AB3704" s="1"/>
    </row>
    <row r="3705" ht="50.25" customHeight="1">
      <c r="A3705" s="12">
        <v>3701.0</v>
      </c>
      <c r="B3705" s="13" t="s">
        <v>3427</v>
      </c>
      <c r="C3705" s="14" t="s">
        <v>3722</v>
      </c>
      <c r="D3705" s="1"/>
      <c r="E3705" s="1"/>
      <c r="F3705" s="1" t="str">
        <f>IFERROR(__xludf.DUMMYFUNCTION("GOOGLETRANSLATE(B3705, ""en"", ""fa"")
"),"تمرینات ذهن آگاهی و مدیتیشن")</f>
        <v>تمرینات ذهن آگاهی و مدیتیشن</v>
      </c>
      <c r="G3705" s="1" t="str">
        <f>IFERROR(__xludf.DUMMYFUNCTION("GOOGLETRANSLATE(C3705, ""en"", ""fa"")
"),"روش هایی را برای ترکیب ذهن آگاهی در رانندگی یا رفت و آمد برای تجربه سفر آگاهانه به اشتراک بگذارید.")</f>
        <v>روش هایی را برای ترکیب ذهن آگاهی در رانندگی یا رفت و آمد برای تجربه سفر آگاهانه به اشتراک بگذارید.</v>
      </c>
      <c r="H3705" s="1"/>
      <c r="I3705" s="1"/>
      <c r="J3705" s="1"/>
      <c r="K3705" s="1"/>
      <c r="L3705" s="1"/>
      <c r="M3705" s="1"/>
      <c r="N3705" s="1"/>
      <c r="O3705" s="1"/>
      <c r="P3705" s="1"/>
      <c r="Q3705" s="1"/>
      <c r="R3705" s="1"/>
      <c r="S3705" s="1"/>
      <c r="T3705" s="1"/>
      <c r="U3705" s="1"/>
      <c r="V3705" s="1"/>
      <c r="W3705" s="1"/>
      <c r="X3705" s="1"/>
      <c r="Y3705" s="1"/>
      <c r="Z3705" s="1"/>
      <c r="AA3705" s="1"/>
      <c r="AB3705" s="1"/>
    </row>
    <row r="3706" ht="50.25" customHeight="1">
      <c r="A3706" s="12">
        <v>3702.0</v>
      </c>
      <c r="B3706" s="13" t="s">
        <v>3427</v>
      </c>
      <c r="C3706" s="14" t="s">
        <v>3723</v>
      </c>
      <c r="D3706" s="1"/>
      <c r="E3706" s="1"/>
      <c r="F3706" s="1" t="str">
        <f>IFERROR(__xludf.DUMMYFUNCTION("GOOGLETRANSLATE(B3706, ""en"", ""fa"")
"),"تمرینات ذهن آگاهی و مدیتیشن")</f>
        <v>تمرینات ذهن آگاهی و مدیتیشن</v>
      </c>
      <c r="G3706" s="1" t="str">
        <f>IFERROR(__xludf.DUMMYFUNCTION("GOOGLETRANSLATE(C3706, ""en"", ""fa"")
"),"به ارتباط بین ذهن آگاهی و شهود فکر کنید، و اینکه چگونه ذهن آگاهی می تواند هدایت درونی را افزایش دهد.")</f>
        <v>به ارتباط بین ذهن آگاهی و شهود فکر کنید، و اینکه چگونه ذهن آگاهی می تواند هدایت درونی را افزایش دهد.</v>
      </c>
      <c r="H3706" s="1"/>
      <c r="I3706" s="1"/>
      <c r="J3706" s="1"/>
      <c r="K3706" s="1"/>
      <c r="L3706" s="1"/>
      <c r="M3706" s="1"/>
      <c r="N3706" s="1"/>
      <c r="O3706" s="1"/>
      <c r="P3706" s="1"/>
      <c r="Q3706" s="1"/>
      <c r="R3706" s="1"/>
      <c r="S3706" s="1"/>
      <c r="T3706" s="1"/>
      <c r="U3706" s="1"/>
      <c r="V3706" s="1"/>
      <c r="W3706" s="1"/>
      <c r="X3706" s="1"/>
      <c r="Y3706" s="1"/>
      <c r="Z3706" s="1"/>
      <c r="AA3706" s="1"/>
      <c r="AB3706" s="1"/>
    </row>
    <row r="3707" ht="50.25" customHeight="1">
      <c r="A3707" s="12">
        <v>3703.0</v>
      </c>
      <c r="B3707" s="13" t="s">
        <v>3427</v>
      </c>
      <c r="C3707" s="14" t="s">
        <v>3724</v>
      </c>
      <c r="D3707" s="1"/>
      <c r="E3707" s="1"/>
      <c r="F3707" s="1" t="str">
        <f>IFERROR(__xludf.DUMMYFUNCTION("GOOGLETRANSLATE(B3707, ""en"", ""fa"")
"),"تمرینات ذهن آگاهی و مدیتیشن")</f>
        <v>تمرینات ذهن آگاهی و مدیتیشن</v>
      </c>
      <c r="G3707" s="1" t="str">
        <f>IFERROR(__xludf.DUMMYFUNCTION("GOOGLETRANSLATE(C3707, ""en"", ""fa"")
"),"تکنیک های تمرکز حواس را برای مدیریت و کاهش علائم خستگی و فرسودگی ذهنی بررسی کنید.")</f>
        <v>تکنیک های تمرکز حواس را برای مدیریت و کاهش علائم خستگی و فرسودگی ذهنی بررسی کنید.</v>
      </c>
      <c r="H3707" s="1"/>
      <c r="I3707" s="1"/>
      <c r="J3707" s="1"/>
      <c r="K3707" s="1"/>
      <c r="L3707" s="1"/>
      <c r="M3707" s="1"/>
      <c r="N3707" s="1"/>
      <c r="O3707" s="1"/>
      <c r="P3707" s="1"/>
      <c r="Q3707" s="1"/>
      <c r="R3707" s="1"/>
      <c r="S3707" s="1"/>
      <c r="T3707" s="1"/>
      <c r="U3707" s="1"/>
      <c r="V3707" s="1"/>
      <c r="W3707" s="1"/>
      <c r="X3707" s="1"/>
      <c r="Y3707" s="1"/>
      <c r="Z3707" s="1"/>
      <c r="AA3707" s="1"/>
      <c r="AB3707" s="1"/>
    </row>
    <row r="3708" ht="50.25" customHeight="1">
      <c r="A3708" s="12">
        <v>3704.0</v>
      </c>
      <c r="B3708" s="13" t="s">
        <v>3427</v>
      </c>
      <c r="C3708" s="14" t="s">
        <v>3725</v>
      </c>
      <c r="D3708" s="1"/>
      <c r="E3708" s="1"/>
      <c r="F3708" s="1" t="str">
        <f>IFERROR(__xludf.DUMMYFUNCTION("GOOGLETRANSLATE(B3708, ""en"", ""fa"")
"),"تمرینات ذهن آگاهی و مدیتیشن")</f>
        <v>تمرینات ذهن آگاهی و مدیتیشن</v>
      </c>
      <c r="G3708" s="1" t="str">
        <f>IFERROR(__xludf.DUMMYFUNCTION("GOOGLETRANSLATE(C3708, ""en"", ""fa"")
"),"در مورد مزایای ذهن آگاهی در تقویت حس ارتباط با طبیعت و محیط صحبت کنید.")</f>
        <v>در مورد مزایای ذهن آگاهی در تقویت حس ارتباط با طبیعت و محیط صحبت کنید.</v>
      </c>
      <c r="H3708" s="1"/>
      <c r="I3708" s="1"/>
      <c r="J3708" s="1"/>
      <c r="K3708" s="1"/>
      <c r="L3708" s="1"/>
      <c r="M3708" s="1"/>
      <c r="N3708" s="1"/>
      <c r="O3708" s="1"/>
      <c r="P3708" s="1"/>
      <c r="Q3708" s="1"/>
      <c r="R3708" s="1"/>
      <c r="S3708" s="1"/>
      <c r="T3708" s="1"/>
      <c r="U3708" s="1"/>
      <c r="V3708" s="1"/>
      <c r="W3708" s="1"/>
      <c r="X3708" s="1"/>
      <c r="Y3708" s="1"/>
      <c r="Z3708" s="1"/>
      <c r="AA3708" s="1"/>
      <c r="AB3708" s="1"/>
    </row>
    <row r="3709" ht="50.25" customHeight="1">
      <c r="A3709" s="12">
        <v>3705.0</v>
      </c>
      <c r="B3709" s="13" t="s">
        <v>3427</v>
      </c>
      <c r="C3709" s="14" t="s">
        <v>3726</v>
      </c>
      <c r="D3709" s="1"/>
      <c r="E3709" s="1"/>
      <c r="F3709" s="1" t="str">
        <f>IFERROR(__xludf.DUMMYFUNCTION("GOOGLETRANSLATE(B3709, ""en"", ""fa"")
"),"تمرینات ذهن آگاهی و مدیتیشن")</f>
        <v>تمرینات ذهن آگاهی و مدیتیشن</v>
      </c>
      <c r="G3709" s="1" t="str">
        <f>IFERROR(__xludf.DUMMYFUNCTION("GOOGLETRANSLATE(C3709, ""en"", ""fa"")
"),"برای یک تجربه آنلاین آگاهانه تر، تکنیک های ترکیب ذهن آگاهی را در مصرف رسانه های دیجیتال به اشتراک بگذارید.")</f>
        <v>برای یک تجربه آنلاین آگاهانه تر، تکنیک های ترکیب ذهن آگاهی را در مصرف رسانه های دیجیتال به اشتراک بگذارید.</v>
      </c>
      <c r="H3709" s="1"/>
      <c r="I3709" s="1"/>
      <c r="J3709" s="1"/>
      <c r="K3709" s="1"/>
      <c r="L3709" s="1"/>
      <c r="M3709" s="1"/>
      <c r="N3709" s="1"/>
      <c r="O3709" s="1"/>
      <c r="P3709" s="1"/>
      <c r="Q3709" s="1"/>
      <c r="R3709" s="1"/>
      <c r="S3709" s="1"/>
      <c r="T3709" s="1"/>
      <c r="U3709" s="1"/>
      <c r="V3709" s="1"/>
      <c r="W3709" s="1"/>
      <c r="X3709" s="1"/>
      <c r="Y3709" s="1"/>
      <c r="Z3709" s="1"/>
      <c r="AA3709" s="1"/>
      <c r="AB3709" s="1"/>
    </row>
    <row r="3710" ht="50.25" customHeight="1">
      <c r="A3710" s="12">
        <v>3706.0</v>
      </c>
      <c r="B3710" s="13" t="s">
        <v>3427</v>
      </c>
      <c r="C3710" s="14" t="s">
        <v>3727</v>
      </c>
      <c r="D3710" s="1"/>
      <c r="E3710" s="1"/>
      <c r="F3710" s="1" t="str">
        <f>IFERROR(__xludf.DUMMYFUNCTION("GOOGLETRANSLATE(B3710, ""en"", ""fa"")
"),"تمرینات ذهن آگاهی و مدیتیشن")</f>
        <v>تمرینات ذهن آگاهی و مدیتیشن</v>
      </c>
      <c r="G3710" s="1" t="str">
        <f>IFERROR(__xludf.DUMMYFUNCTION("GOOGLETRANSLATE(C3710, ""en"", ""fa"")
"),"در مورد نقش ذهن آگاهی در پرورش تاب آوری و مراقبت از خود در زمان استرس فکر کنید.")</f>
        <v>در مورد نقش ذهن آگاهی در پرورش تاب آوری و مراقبت از خود در زمان استرس فکر کنید.</v>
      </c>
      <c r="H3710" s="1"/>
      <c r="I3710" s="1"/>
      <c r="J3710" s="1"/>
      <c r="K3710" s="1"/>
      <c r="L3710" s="1"/>
      <c r="M3710" s="1"/>
      <c r="N3710" s="1"/>
      <c r="O3710" s="1"/>
      <c r="P3710" s="1"/>
      <c r="Q3710" s="1"/>
      <c r="R3710" s="1"/>
      <c r="S3710" s="1"/>
      <c r="T3710" s="1"/>
      <c r="U3710" s="1"/>
      <c r="V3710" s="1"/>
      <c r="W3710" s="1"/>
      <c r="X3710" s="1"/>
      <c r="Y3710" s="1"/>
      <c r="Z3710" s="1"/>
      <c r="AA3710" s="1"/>
      <c r="AB3710" s="1"/>
    </row>
    <row r="3711" ht="50.25" customHeight="1">
      <c r="A3711" s="12">
        <v>3707.0</v>
      </c>
      <c r="B3711" s="13" t="s">
        <v>3427</v>
      </c>
      <c r="C3711" s="14" t="s">
        <v>3728</v>
      </c>
      <c r="D3711" s="1"/>
      <c r="E3711" s="1"/>
      <c r="F3711" s="1" t="str">
        <f>IFERROR(__xludf.DUMMYFUNCTION("GOOGLETRANSLATE(B3711, ""en"", ""fa"")
"),"تمرینات ذهن آگاهی و مدیتیشن")</f>
        <v>تمرینات ذهن آگاهی و مدیتیشن</v>
      </c>
      <c r="G3711" s="1" t="str">
        <f>IFERROR(__xludf.DUMMYFUNCTION("GOOGLETRANSLATE(C3711, ""en"", ""fa"")
"),"روش های تمرکز حواس را برای ایجاد حس تعادل و هماهنگی در روابط کاوش کنید.")</f>
        <v>روش های تمرکز حواس را برای ایجاد حس تعادل و هماهنگی در روابط کاوش کنید.</v>
      </c>
      <c r="H3711" s="1"/>
      <c r="I3711" s="1"/>
      <c r="J3711" s="1"/>
      <c r="K3711" s="1"/>
      <c r="L3711" s="1"/>
      <c r="M3711" s="1"/>
      <c r="N3711" s="1"/>
      <c r="O3711" s="1"/>
      <c r="P3711" s="1"/>
      <c r="Q3711" s="1"/>
      <c r="R3711" s="1"/>
      <c r="S3711" s="1"/>
      <c r="T3711" s="1"/>
      <c r="U3711" s="1"/>
      <c r="V3711" s="1"/>
      <c r="W3711" s="1"/>
      <c r="X3711" s="1"/>
      <c r="Y3711" s="1"/>
      <c r="Z3711" s="1"/>
      <c r="AA3711" s="1"/>
      <c r="AB3711" s="1"/>
    </row>
    <row r="3712" ht="50.25" customHeight="1">
      <c r="A3712" s="12">
        <v>3708.0</v>
      </c>
      <c r="B3712" s="13" t="s">
        <v>3427</v>
      </c>
      <c r="C3712" s="14" t="s">
        <v>3729</v>
      </c>
      <c r="D3712" s="1"/>
      <c r="E3712" s="1"/>
      <c r="F3712" s="1" t="str">
        <f>IFERROR(__xludf.DUMMYFUNCTION("GOOGLETRANSLATE(B3712, ""en"", ""fa"")
"),"تمرینات ذهن آگاهی و مدیتیشن")</f>
        <v>تمرینات ذهن آگاهی و مدیتیشن</v>
      </c>
      <c r="G3712" s="1" t="str">
        <f>IFERROR(__xludf.DUMMYFUNCTION("GOOGLETRANSLATE(C3712, ""en"", ""fa"")
"),"در مورد مزایای ذهن آگاهی در ارتقای وضعیت بهتر بدن و هم ترازی فیزیکی صحبت کنید.")</f>
        <v>در مورد مزایای ذهن آگاهی در ارتقای وضعیت بهتر بدن و هم ترازی فیزیکی صحبت کنید.</v>
      </c>
      <c r="H3712" s="1"/>
      <c r="I3712" s="1"/>
      <c r="J3712" s="1"/>
      <c r="K3712" s="1"/>
      <c r="L3712" s="1"/>
      <c r="M3712" s="1"/>
      <c r="N3712" s="1"/>
      <c r="O3712" s="1"/>
      <c r="P3712" s="1"/>
      <c r="Q3712" s="1"/>
      <c r="R3712" s="1"/>
      <c r="S3712" s="1"/>
      <c r="T3712" s="1"/>
      <c r="U3712" s="1"/>
      <c r="V3712" s="1"/>
      <c r="W3712" s="1"/>
      <c r="X3712" s="1"/>
      <c r="Y3712" s="1"/>
      <c r="Z3712" s="1"/>
      <c r="AA3712" s="1"/>
      <c r="AB3712" s="1"/>
    </row>
    <row r="3713" ht="50.25" customHeight="1">
      <c r="A3713" s="12">
        <v>3709.0</v>
      </c>
      <c r="B3713" s="13" t="s">
        <v>3427</v>
      </c>
      <c r="C3713" s="14" t="s">
        <v>3730</v>
      </c>
      <c r="D3713" s="1"/>
      <c r="E3713" s="1"/>
      <c r="F3713" s="1" t="str">
        <f>IFERROR(__xludf.DUMMYFUNCTION("GOOGLETRANSLATE(B3713, ""en"", ""fa"")
"),"تمرینات ذهن آگاهی و مدیتیشن")</f>
        <v>تمرینات ذهن آگاهی و مدیتیشن</v>
      </c>
      <c r="G3713" s="1" t="str">
        <f>IFERROR(__xludf.DUMMYFUNCTION("GOOGLETRANSLATE(C3713, ""en"", ""fa"")
"),"شیوه هایی را برای گنجاندن ذهن آگاهی در روال های قبل از خواب برای خوابی آرام و آرام به اشتراک بگذارید.")</f>
        <v>شیوه هایی را برای گنجاندن ذهن آگاهی در روال های قبل از خواب برای خوابی آرام و آرام به اشتراک بگذارید.</v>
      </c>
      <c r="H3713" s="1"/>
      <c r="I3713" s="1"/>
      <c r="J3713" s="1"/>
      <c r="K3713" s="1"/>
      <c r="L3713" s="1"/>
      <c r="M3713" s="1"/>
      <c r="N3713" s="1"/>
      <c r="O3713" s="1"/>
      <c r="P3713" s="1"/>
      <c r="Q3713" s="1"/>
      <c r="R3713" s="1"/>
      <c r="S3713" s="1"/>
      <c r="T3713" s="1"/>
      <c r="U3713" s="1"/>
      <c r="V3713" s="1"/>
      <c r="W3713" s="1"/>
      <c r="X3713" s="1"/>
      <c r="Y3713" s="1"/>
      <c r="Z3713" s="1"/>
      <c r="AA3713" s="1"/>
      <c r="AB3713" s="1"/>
    </row>
    <row r="3714" ht="50.25" customHeight="1">
      <c r="A3714" s="12">
        <v>3710.0</v>
      </c>
      <c r="B3714" s="13" t="s">
        <v>3427</v>
      </c>
      <c r="C3714" s="14" t="s">
        <v>3731</v>
      </c>
      <c r="D3714" s="1"/>
      <c r="E3714" s="1"/>
      <c r="F3714" s="1" t="str">
        <f>IFERROR(__xludf.DUMMYFUNCTION("GOOGLETRANSLATE(B3714, ""en"", ""fa"")
"),"تمرینات ذهن آگاهی و مدیتیشن")</f>
        <v>تمرینات ذهن آگاهی و مدیتیشن</v>
      </c>
      <c r="G3714" s="1" t="str">
        <f>IFERROR(__xludf.DUMMYFUNCTION("GOOGLETRANSLATE(C3714, ""en"", ""fa"")
"),"در مورد ارتباط بین ذهن آگاهی و مراقبت از خود و اینکه چگونه ذهن آگاهی می تواند از بهزیستی کلی حمایت کند، فکر کنید.")</f>
        <v>در مورد ارتباط بین ذهن آگاهی و مراقبت از خود و اینکه چگونه ذهن آگاهی می تواند از بهزیستی کلی حمایت کند، فکر کنید.</v>
      </c>
      <c r="H3714" s="1"/>
      <c r="I3714" s="1"/>
      <c r="J3714" s="1"/>
      <c r="K3714" s="1"/>
      <c r="L3714" s="1"/>
      <c r="M3714" s="1"/>
      <c r="N3714" s="1"/>
      <c r="O3714" s="1"/>
      <c r="P3714" s="1"/>
      <c r="Q3714" s="1"/>
      <c r="R3714" s="1"/>
      <c r="S3714" s="1"/>
      <c r="T3714" s="1"/>
      <c r="U3714" s="1"/>
      <c r="V3714" s="1"/>
      <c r="W3714" s="1"/>
      <c r="X3714" s="1"/>
      <c r="Y3714" s="1"/>
      <c r="Z3714" s="1"/>
      <c r="AA3714" s="1"/>
      <c r="AB3714" s="1"/>
    </row>
    <row r="3715" ht="50.25" customHeight="1">
      <c r="A3715" s="12">
        <v>3711.0</v>
      </c>
      <c r="B3715" s="13" t="s">
        <v>3427</v>
      </c>
      <c r="C3715" s="14" t="s">
        <v>3732</v>
      </c>
      <c r="D3715" s="1"/>
      <c r="E3715" s="1"/>
      <c r="F3715" s="1" t="str">
        <f>IFERROR(__xludf.DUMMYFUNCTION("GOOGLETRANSLATE(B3715, ""en"", ""fa"")
"),"تمرینات ذهن آگاهی و مدیتیشن")</f>
        <v>تمرینات ذهن آگاهی و مدیتیشن</v>
      </c>
      <c r="G3715" s="1" t="str">
        <f>IFERROR(__xludf.DUMMYFUNCTION("GOOGLETRANSLATE(C3715, ""en"", ""fa"")
"),"تکنیک های تمرکز حواس را برای مدیریت و کاهش علائم ترس یا اضطراب مربوط به سخنرانی در جمع بررسی کنید.")</f>
        <v>تکنیک های تمرکز حواس را برای مدیریت و کاهش علائم ترس یا اضطراب مربوط به سخنرانی در جمع بررسی کنید.</v>
      </c>
      <c r="H3715" s="1"/>
      <c r="I3715" s="1"/>
      <c r="J3715" s="1"/>
      <c r="K3715" s="1"/>
      <c r="L3715" s="1"/>
      <c r="M3715" s="1"/>
      <c r="N3715" s="1"/>
      <c r="O3715" s="1"/>
      <c r="P3715" s="1"/>
      <c r="Q3715" s="1"/>
      <c r="R3715" s="1"/>
      <c r="S3715" s="1"/>
      <c r="T3715" s="1"/>
      <c r="U3715" s="1"/>
      <c r="V3715" s="1"/>
      <c r="W3715" s="1"/>
      <c r="X3715" s="1"/>
      <c r="Y3715" s="1"/>
      <c r="Z3715" s="1"/>
      <c r="AA3715" s="1"/>
      <c r="AB3715" s="1"/>
    </row>
    <row r="3716" ht="50.25" customHeight="1">
      <c r="A3716" s="12">
        <v>3712.0</v>
      </c>
      <c r="B3716" s="13" t="s">
        <v>3427</v>
      </c>
      <c r="C3716" s="14" t="s">
        <v>3733</v>
      </c>
      <c r="D3716" s="1"/>
      <c r="E3716" s="1"/>
      <c r="F3716" s="1" t="str">
        <f>IFERROR(__xludf.DUMMYFUNCTION("GOOGLETRANSLATE(B3716, ""en"", ""fa"")
"),"تمرینات ذهن آگاهی و مدیتیشن")</f>
        <v>تمرینات ذهن آگاهی و مدیتیشن</v>
      </c>
      <c r="G3716" s="1" t="str">
        <f>IFERROR(__xludf.DUMMYFUNCTION("GOOGLETRANSLATE(C3716, ""en"", ""fa"")
"),"در مورد مزایای ذهن آگاهی در ارتقای خودتنظیمی بهتر و کنترل تکانه بحث کنید.")</f>
        <v>در مورد مزایای ذهن آگاهی در ارتقای خودتنظیمی بهتر و کنترل تکانه بحث کنید.</v>
      </c>
      <c r="H3716" s="1"/>
      <c r="I3716" s="1"/>
      <c r="J3716" s="1"/>
      <c r="K3716" s="1"/>
      <c r="L3716" s="1"/>
      <c r="M3716" s="1"/>
      <c r="N3716" s="1"/>
      <c r="O3716" s="1"/>
      <c r="P3716" s="1"/>
      <c r="Q3716" s="1"/>
      <c r="R3716" s="1"/>
      <c r="S3716" s="1"/>
      <c r="T3716" s="1"/>
      <c r="U3716" s="1"/>
      <c r="V3716" s="1"/>
      <c r="W3716" s="1"/>
      <c r="X3716" s="1"/>
      <c r="Y3716" s="1"/>
      <c r="Z3716" s="1"/>
      <c r="AA3716" s="1"/>
      <c r="AB3716" s="1"/>
    </row>
    <row r="3717" ht="50.25" customHeight="1">
      <c r="A3717" s="12">
        <v>3713.0</v>
      </c>
      <c r="B3717" s="13" t="s">
        <v>3427</v>
      </c>
      <c r="C3717" s="14" t="s">
        <v>3734</v>
      </c>
      <c r="D3717" s="1"/>
      <c r="E3717" s="1"/>
      <c r="F3717" s="1" t="str">
        <f>IFERROR(__xludf.DUMMYFUNCTION("GOOGLETRANSLATE(B3717, ""en"", ""fa"")
"),"تمرینات ذهن آگاهی و مدیتیشن")</f>
        <v>تمرینات ذهن آگاهی و مدیتیشن</v>
      </c>
      <c r="G3717" s="1" t="str">
        <f>IFERROR(__xludf.DUMMYFUNCTION("GOOGLETRANSLATE(C3717, ""en"", ""fa"")
"),"شیوه‌هایی را برای گنجاندن ذهن آگاهی در روال‌های روزمره به اشتراک بگذارید تا حس نیت و حضور داشته باشید.")</f>
        <v>شیوه‌هایی را برای گنجاندن ذهن آگاهی در روال‌های روزمره به اشتراک بگذارید تا حس نیت و حضور داشته باشید.</v>
      </c>
      <c r="H3717" s="1"/>
      <c r="I3717" s="1"/>
      <c r="J3717" s="1"/>
      <c r="K3717" s="1"/>
      <c r="L3717" s="1"/>
      <c r="M3717" s="1"/>
      <c r="N3717" s="1"/>
      <c r="O3717" s="1"/>
      <c r="P3717" s="1"/>
      <c r="Q3717" s="1"/>
      <c r="R3717" s="1"/>
      <c r="S3717" s="1"/>
      <c r="T3717" s="1"/>
      <c r="U3717" s="1"/>
      <c r="V3717" s="1"/>
      <c r="W3717" s="1"/>
      <c r="X3717" s="1"/>
      <c r="Y3717" s="1"/>
      <c r="Z3717" s="1"/>
      <c r="AA3717" s="1"/>
      <c r="AB3717" s="1"/>
    </row>
    <row r="3718" ht="50.25" customHeight="1">
      <c r="A3718" s="12">
        <v>3714.0</v>
      </c>
      <c r="B3718" s="13" t="s">
        <v>3427</v>
      </c>
      <c r="C3718" s="14" t="s">
        <v>3735</v>
      </c>
      <c r="D3718" s="1"/>
      <c r="E3718" s="1"/>
      <c r="F3718" s="1" t="str">
        <f>IFERROR(__xludf.DUMMYFUNCTION("GOOGLETRANSLATE(B3718, ""en"", ""fa"")
"),"تمرینات ذهن آگاهی و مدیتیشن")</f>
        <v>تمرینات ذهن آگاهی و مدیتیشن</v>
      </c>
      <c r="G3718" s="1" t="str">
        <f>IFERROR(__xludf.DUMMYFUNCTION("GOOGLETRANSLATE(C3718, ""en"", ""fa"")
"),"به نقش ذهن آگاهی در ایجاد ارتباط عمیق تر با طبیعت و محیط زیست فکر کنید.")</f>
        <v>به نقش ذهن آگاهی در ایجاد ارتباط عمیق تر با طبیعت و محیط زیست فکر کنید.</v>
      </c>
      <c r="H3718" s="1"/>
      <c r="I3718" s="1"/>
      <c r="J3718" s="1"/>
      <c r="K3718" s="1"/>
      <c r="L3718" s="1"/>
      <c r="M3718" s="1"/>
      <c r="N3718" s="1"/>
      <c r="O3718" s="1"/>
      <c r="P3718" s="1"/>
      <c r="Q3718" s="1"/>
      <c r="R3718" s="1"/>
      <c r="S3718" s="1"/>
      <c r="T3718" s="1"/>
      <c r="U3718" s="1"/>
      <c r="V3718" s="1"/>
      <c r="W3718" s="1"/>
      <c r="X3718" s="1"/>
      <c r="Y3718" s="1"/>
      <c r="Z3718" s="1"/>
      <c r="AA3718" s="1"/>
      <c r="AB3718" s="1"/>
    </row>
    <row r="3719" ht="50.25" customHeight="1">
      <c r="A3719" s="12">
        <v>3715.0</v>
      </c>
      <c r="B3719" s="13" t="s">
        <v>3427</v>
      </c>
      <c r="C3719" s="14" t="s">
        <v>3736</v>
      </c>
      <c r="D3719" s="1"/>
      <c r="E3719" s="1"/>
      <c r="F3719" s="1" t="str">
        <f>IFERROR(__xludf.DUMMYFUNCTION("GOOGLETRANSLATE(B3719, ""en"", ""fa"")
"),"تمرینات ذهن آگاهی و مدیتیشن")</f>
        <v>تمرینات ذهن آگاهی و مدیتیشن</v>
      </c>
      <c r="G3719" s="1" t="str">
        <f>IFERROR(__xludf.DUMMYFUNCTION("GOOGLETRANSLATE(C3719, ""en"", ""fa"")
"),"چند تم عروسی پرطرفدار برای سال آینده چیست؟")</f>
        <v>چند تم عروسی پرطرفدار برای سال آینده چیست؟</v>
      </c>
      <c r="H3719" s="1"/>
      <c r="I3719" s="1"/>
      <c r="J3719" s="1"/>
      <c r="K3719" s="1"/>
      <c r="L3719" s="1"/>
      <c r="M3719" s="1"/>
      <c r="N3719" s="1"/>
      <c r="O3719" s="1"/>
      <c r="P3719" s="1"/>
      <c r="Q3719" s="1"/>
      <c r="R3719" s="1"/>
      <c r="S3719" s="1"/>
      <c r="T3719" s="1"/>
      <c r="U3719" s="1"/>
      <c r="V3719" s="1"/>
      <c r="W3719" s="1"/>
      <c r="X3719" s="1"/>
      <c r="Y3719" s="1"/>
      <c r="Z3719" s="1"/>
      <c r="AA3719" s="1"/>
      <c r="AB3719" s="1"/>
    </row>
    <row r="3720" ht="50.25" customHeight="1">
      <c r="A3720" s="12">
        <v>3716.0</v>
      </c>
      <c r="B3720" s="13" t="s">
        <v>3427</v>
      </c>
      <c r="C3720" s="14" t="s">
        <v>3737</v>
      </c>
      <c r="D3720" s="1"/>
      <c r="E3720" s="1"/>
      <c r="F3720" s="1" t="str">
        <f>IFERROR(__xludf.DUMMYFUNCTION("GOOGLETRANSLATE(B3720, ""en"", ""fa"")
"),"تمرینات ذهن آگاهی و مدیتیشن")</f>
        <v>تمرینات ذهن آگاهی و مدیتیشن</v>
      </c>
      <c r="G3720" s="1" t="str">
        <f>IFERROR(__xludf.DUMMYFUNCTION("GOOGLETRANSLATE(C3720, ""en"", ""fa"")
"),"چگونه می توانید با تم و دکوراسیون عروسی خود فضایی رمانتیک و دلربا ایجاد کنید؟")</f>
        <v>چگونه می توانید با تم و دکوراسیون عروسی خود فضایی رمانتیک و دلربا ایجاد کنید؟</v>
      </c>
      <c r="H3720" s="1"/>
      <c r="I3720" s="1"/>
      <c r="J3720" s="1"/>
      <c r="K3720" s="1"/>
      <c r="L3720" s="1"/>
      <c r="M3720" s="1"/>
      <c r="N3720" s="1"/>
      <c r="O3720" s="1"/>
      <c r="P3720" s="1"/>
      <c r="Q3720" s="1"/>
      <c r="R3720" s="1"/>
      <c r="S3720" s="1"/>
      <c r="T3720" s="1"/>
      <c r="U3720" s="1"/>
      <c r="V3720" s="1"/>
      <c r="W3720" s="1"/>
      <c r="X3720" s="1"/>
      <c r="Y3720" s="1"/>
      <c r="Z3720" s="1"/>
      <c r="AA3720" s="1"/>
      <c r="AB3720" s="1"/>
    </row>
    <row r="3721" ht="50.25" customHeight="1">
      <c r="A3721" s="12">
        <v>3717.0</v>
      </c>
      <c r="B3721" s="13" t="s">
        <v>3427</v>
      </c>
      <c r="C3721" s="14" t="s">
        <v>3738</v>
      </c>
      <c r="D3721" s="1"/>
      <c r="E3721" s="1"/>
      <c r="F3721" s="1" t="str">
        <f>IFERROR(__xludf.DUMMYFUNCTION("GOOGLETRANSLATE(B3721, ""en"", ""fa"")
"),"تمرینات ذهن آگاهی و مدیتیشن")</f>
        <v>تمرینات ذهن آگاهی و مدیتیشن</v>
      </c>
      <c r="G3721" s="1" t="str">
        <f>IFERROR(__xludf.DUMMYFUNCTION("GOOGLETRANSLATE(C3721, ""en"", ""fa"")
"),"چند ایده منحصر به فرد برای ترکیب عناصر الهام گرفته از طبیعت در تم عروسی به اشتراک بگذارید.")</f>
        <v>چند ایده منحصر به فرد برای ترکیب عناصر الهام گرفته از طبیعت در تم عروسی به اشتراک بگذارید.</v>
      </c>
      <c r="H3721" s="1"/>
      <c r="I3721" s="1"/>
      <c r="J3721" s="1"/>
      <c r="K3721" s="1"/>
      <c r="L3721" s="1"/>
      <c r="M3721" s="1"/>
      <c r="N3721" s="1"/>
      <c r="O3721" s="1"/>
      <c r="P3721" s="1"/>
      <c r="Q3721" s="1"/>
      <c r="R3721" s="1"/>
      <c r="S3721" s="1"/>
      <c r="T3721" s="1"/>
      <c r="U3721" s="1"/>
      <c r="V3721" s="1"/>
      <c r="W3721" s="1"/>
      <c r="X3721" s="1"/>
      <c r="Y3721" s="1"/>
      <c r="Z3721" s="1"/>
      <c r="AA3721" s="1"/>
      <c r="AB3721" s="1"/>
    </row>
    <row r="3722" ht="50.25" customHeight="1">
      <c r="A3722" s="12">
        <v>3718.0</v>
      </c>
      <c r="B3722" s="13" t="s">
        <v>3427</v>
      </c>
      <c r="C3722" s="14" t="s">
        <v>3739</v>
      </c>
      <c r="D3722" s="1"/>
      <c r="E3722" s="1"/>
      <c r="F3722" s="1" t="str">
        <f>IFERROR(__xludf.DUMMYFUNCTION("GOOGLETRANSLATE(B3722, ""en"", ""fa"")
"),"تمرینات ذهن آگاهی و مدیتیشن")</f>
        <v>تمرینات ذهن آگاهی و مدیتیشن</v>
      </c>
      <c r="G3722" s="1" t="str">
        <f>IFERROR(__xludf.DUMMYFUNCTION("GOOGLETRANSLATE(C3722, ""en"", ""fa"")
"),"چند روش خلاقانه برای القای عناصر فرهنگی در تم و دکوراسیون عروسی چیست؟")</f>
        <v>چند روش خلاقانه برای القای عناصر فرهنگی در تم و دکوراسیون عروسی چیست؟</v>
      </c>
      <c r="H3722" s="1"/>
      <c r="I3722" s="1"/>
      <c r="J3722" s="1"/>
      <c r="K3722" s="1"/>
      <c r="L3722" s="1"/>
      <c r="M3722" s="1"/>
      <c r="N3722" s="1"/>
      <c r="O3722" s="1"/>
      <c r="P3722" s="1"/>
      <c r="Q3722" s="1"/>
      <c r="R3722" s="1"/>
      <c r="S3722" s="1"/>
      <c r="T3722" s="1"/>
      <c r="U3722" s="1"/>
      <c r="V3722" s="1"/>
      <c r="W3722" s="1"/>
      <c r="X3722" s="1"/>
      <c r="Y3722" s="1"/>
      <c r="Z3722" s="1"/>
      <c r="AA3722" s="1"/>
      <c r="AB3722" s="1"/>
    </row>
    <row r="3723" ht="50.25" customHeight="1">
      <c r="A3723" s="12">
        <v>3719.0</v>
      </c>
      <c r="B3723" s="13" t="s">
        <v>3427</v>
      </c>
      <c r="C3723" s="14" t="s">
        <v>3740</v>
      </c>
      <c r="D3723" s="1"/>
      <c r="E3723" s="1"/>
      <c r="F3723" s="1" t="str">
        <f>IFERROR(__xludf.DUMMYFUNCTION("GOOGLETRANSLATE(B3723, ""en"", ""fa"")
"),"تمرینات ذهن آگاهی و مدیتیشن")</f>
        <v>تمرینات ذهن آگاهی و مدیتیشن</v>
      </c>
      <c r="G3723" s="1" t="str">
        <f>IFERROR(__xludf.DUMMYFUNCTION("GOOGLETRANSLATE(C3723, ""en"", ""fa"")
"),"چگونه می توانید داستان عشق یا علایق زوج را در تم کلی عروسی بگنجانید؟")</f>
        <v>چگونه می توانید داستان عشق یا علایق زوج را در تم کلی عروسی بگنجانید؟</v>
      </c>
      <c r="H3723" s="1"/>
      <c r="I3723" s="1"/>
      <c r="J3723" s="1"/>
      <c r="K3723" s="1"/>
      <c r="L3723" s="1"/>
      <c r="M3723" s="1"/>
      <c r="N3723" s="1"/>
      <c r="O3723" s="1"/>
      <c r="P3723" s="1"/>
      <c r="Q3723" s="1"/>
      <c r="R3723" s="1"/>
      <c r="S3723" s="1"/>
      <c r="T3723" s="1"/>
      <c r="U3723" s="1"/>
      <c r="V3723" s="1"/>
      <c r="W3723" s="1"/>
      <c r="X3723" s="1"/>
      <c r="Y3723" s="1"/>
      <c r="Z3723" s="1"/>
      <c r="AA3723" s="1"/>
      <c r="AB3723" s="1"/>
    </row>
    <row r="3724" ht="50.25" customHeight="1">
      <c r="A3724" s="12">
        <v>3720.0</v>
      </c>
      <c r="B3724" s="13" t="s">
        <v>3427</v>
      </c>
      <c r="C3724" s="14" t="s">
        <v>3741</v>
      </c>
      <c r="D3724" s="1"/>
      <c r="E3724" s="1"/>
      <c r="F3724" s="1" t="str">
        <f>IFERROR(__xludf.DUMMYFUNCTION("GOOGLETRANSLATE(B3724, ""en"", ""fa"")
"),"تمرینات ذهن آگاهی و مدیتیشن")</f>
        <v>تمرینات ذهن آگاهی و مدیتیشن</v>
      </c>
      <c r="G3724" s="1" t="str">
        <f>IFERROR(__xludf.DUMMYFUNCTION("GOOGLETRANSLATE(C3724, ""en"", ""fa"")
"),"چند ایده برای تم عروسی عجیب و غریب و الهام گرفته از افسانه به اشتراک بگذارید.")</f>
        <v>چند ایده برای تم عروسی عجیب و غریب و الهام گرفته از افسانه به اشتراک بگذارید.</v>
      </c>
      <c r="H3724" s="1"/>
      <c r="I3724" s="1"/>
      <c r="J3724" s="1"/>
      <c r="K3724" s="1"/>
      <c r="L3724" s="1"/>
      <c r="M3724" s="1"/>
      <c r="N3724" s="1"/>
      <c r="O3724" s="1"/>
      <c r="P3724" s="1"/>
      <c r="Q3724" s="1"/>
      <c r="R3724" s="1"/>
      <c r="S3724" s="1"/>
      <c r="T3724" s="1"/>
      <c r="U3724" s="1"/>
      <c r="V3724" s="1"/>
      <c r="W3724" s="1"/>
      <c r="X3724" s="1"/>
      <c r="Y3724" s="1"/>
      <c r="Z3724" s="1"/>
      <c r="AA3724" s="1"/>
      <c r="AB3724" s="1"/>
    </row>
    <row r="3725" ht="50.25" customHeight="1">
      <c r="A3725" s="12">
        <v>3721.0</v>
      </c>
      <c r="B3725" s="13" t="s">
        <v>3427</v>
      </c>
      <c r="C3725" s="14" t="s">
        <v>3742</v>
      </c>
      <c r="D3725" s="1"/>
      <c r="E3725" s="1"/>
      <c r="F3725" s="1" t="str">
        <f>IFERROR(__xludf.DUMMYFUNCTION("GOOGLETRANSLATE(B3725, ""en"", ""fa"")
"),"تمرینات ذهن آگاهی و مدیتیشن")</f>
        <v>تمرینات ذهن آگاهی و مدیتیشن</v>
      </c>
      <c r="G3725" s="1" t="str">
        <f>IFERROR(__xludf.DUMMYFUNCTION("GOOGLETRANSLATE(C3725, ""en"", ""fa"")
"),"چه راه هایی برای ایجاد یک محیط زیبا و جاودانه از طریق تم و دکوراسیون عروسی وجود دارد؟")</f>
        <v>چه راه هایی برای ایجاد یک محیط زیبا و جاودانه از طریق تم و دکوراسیون عروسی وجود دارد؟</v>
      </c>
      <c r="H3725" s="1"/>
      <c r="I3725" s="1"/>
      <c r="J3725" s="1"/>
      <c r="K3725" s="1"/>
      <c r="L3725" s="1"/>
      <c r="M3725" s="1"/>
      <c r="N3725" s="1"/>
      <c r="O3725" s="1"/>
      <c r="P3725" s="1"/>
      <c r="Q3725" s="1"/>
      <c r="R3725" s="1"/>
      <c r="S3725" s="1"/>
      <c r="T3725" s="1"/>
      <c r="U3725" s="1"/>
      <c r="V3725" s="1"/>
      <c r="W3725" s="1"/>
      <c r="X3725" s="1"/>
      <c r="Y3725" s="1"/>
      <c r="Z3725" s="1"/>
      <c r="AA3725" s="1"/>
      <c r="AB3725" s="1"/>
    </row>
    <row r="3726" ht="50.25" customHeight="1">
      <c r="A3726" s="12">
        <v>3722.0</v>
      </c>
      <c r="B3726" s="13" t="s">
        <v>3427</v>
      </c>
      <c r="C3726" s="14" t="s">
        <v>3743</v>
      </c>
      <c r="D3726" s="1"/>
      <c r="E3726" s="1"/>
      <c r="F3726" s="1" t="str">
        <f>IFERROR(__xludf.DUMMYFUNCTION("GOOGLETRANSLATE(B3726, ""en"", ""fa"")
"),"تمرینات ذهن آگاهی و مدیتیشن")</f>
        <v>تمرینات ذهن آگاهی و مدیتیشن</v>
      </c>
      <c r="G3726" s="1" t="str">
        <f>IFERROR(__xludf.DUMMYFUNCTION("GOOGLETRANSLATE(C3726, ""en"", ""fa"")
"),"چگونه می توانید عناصر وینتیج را در یک تم عروسی مدرن بگنجانید؟")</f>
        <v>چگونه می توانید عناصر وینتیج را در یک تم عروسی مدرن بگنجانید؟</v>
      </c>
      <c r="H3726" s="1"/>
      <c r="I3726" s="1"/>
      <c r="J3726" s="1"/>
      <c r="K3726" s="1"/>
      <c r="L3726" s="1"/>
      <c r="M3726" s="1"/>
      <c r="N3726" s="1"/>
      <c r="O3726" s="1"/>
      <c r="P3726" s="1"/>
      <c r="Q3726" s="1"/>
      <c r="R3726" s="1"/>
      <c r="S3726" s="1"/>
      <c r="T3726" s="1"/>
      <c r="U3726" s="1"/>
      <c r="V3726" s="1"/>
      <c r="W3726" s="1"/>
      <c r="X3726" s="1"/>
      <c r="Y3726" s="1"/>
      <c r="Z3726" s="1"/>
      <c r="AA3726" s="1"/>
      <c r="AB3726" s="1"/>
    </row>
    <row r="3727" ht="50.25" customHeight="1">
      <c r="A3727" s="12">
        <v>3723.0</v>
      </c>
      <c r="B3727" s="13" t="s">
        <v>3427</v>
      </c>
      <c r="C3727" s="14" t="s">
        <v>3744</v>
      </c>
      <c r="D3727" s="1"/>
      <c r="E3727" s="1"/>
      <c r="F3727" s="1" t="str">
        <f>IFERROR(__xludf.DUMMYFUNCTION("GOOGLETRANSLATE(B3727, ""en"", ""fa"")
"),"تمرینات ذهن آگاهی و مدیتیشن")</f>
        <v>تمرینات ذهن آگاهی و مدیتیشن</v>
      </c>
      <c r="G3727" s="1" t="str">
        <f>IFERROR(__xludf.DUMMYFUNCTION("GOOGLETRANSLATE(C3727, ""en"", ""fa"")
"),"نکاتی را برای ایجاد یک تم عروسی مجلل و مجلل با بودجه به اشتراک بگذارید.")</f>
        <v>نکاتی را برای ایجاد یک تم عروسی مجلل و مجلل با بودجه به اشتراک بگذارید.</v>
      </c>
      <c r="H3727" s="1"/>
      <c r="I3727" s="1"/>
      <c r="J3727" s="1"/>
      <c r="K3727" s="1"/>
      <c r="L3727" s="1"/>
      <c r="M3727" s="1"/>
      <c r="N3727" s="1"/>
      <c r="O3727" s="1"/>
      <c r="P3727" s="1"/>
      <c r="Q3727" s="1"/>
      <c r="R3727" s="1"/>
      <c r="S3727" s="1"/>
      <c r="T3727" s="1"/>
      <c r="U3727" s="1"/>
      <c r="V3727" s="1"/>
      <c r="W3727" s="1"/>
      <c r="X3727" s="1"/>
      <c r="Y3727" s="1"/>
      <c r="Z3727" s="1"/>
      <c r="AA3727" s="1"/>
      <c r="AB3727" s="1"/>
    </row>
    <row r="3728" ht="50.25" customHeight="1">
      <c r="A3728" s="12">
        <v>3724.0</v>
      </c>
      <c r="B3728" s="13" t="s">
        <v>3427</v>
      </c>
      <c r="C3728" s="14" t="s">
        <v>3745</v>
      </c>
      <c r="D3728" s="1"/>
      <c r="E3728" s="1"/>
      <c r="F3728" s="1" t="str">
        <f>IFERROR(__xludf.DUMMYFUNCTION("GOOGLETRANSLATE(B3728, ""en"", ""fa"")
"),"تمرینات ذهن آگاهی و مدیتیشن")</f>
        <v>تمرینات ذهن آگاهی و مدیتیشن</v>
      </c>
      <c r="G3728" s="1" t="str">
        <f>IFERROR(__xludf.DUMMYFUNCTION("GOOGLETRANSLATE(C3728, ""en"", ""fa"")
"),"چه راه هایی برای القای رنگ های زنده در تم و دکوراسیون عروسی وجود دارد؟")</f>
        <v>چه راه هایی برای القای رنگ های زنده در تم و دکوراسیون عروسی وجود دارد؟</v>
      </c>
      <c r="H3728" s="1"/>
      <c r="I3728" s="1"/>
      <c r="J3728" s="1"/>
      <c r="K3728" s="1"/>
      <c r="L3728" s="1"/>
      <c r="M3728" s="1"/>
      <c r="N3728" s="1"/>
      <c r="O3728" s="1"/>
      <c r="P3728" s="1"/>
      <c r="Q3728" s="1"/>
      <c r="R3728" s="1"/>
      <c r="S3728" s="1"/>
      <c r="T3728" s="1"/>
      <c r="U3728" s="1"/>
      <c r="V3728" s="1"/>
      <c r="W3728" s="1"/>
      <c r="X3728" s="1"/>
      <c r="Y3728" s="1"/>
      <c r="Z3728" s="1"/>
      <c r="AA3728" s="1"/>
      <c r="AB3728" s="1"/>
    </row>
    <row r="3729" ht="50.25" customHeight="1">
      <c r="A3729" s="12">
        <v>3725.0</v>
      </c>
      <c r="B3729" s="13" t="s">
        <v>3427</v>
      </c>
      <c r="C3729" s="14" t="s">
        <v>3746</v>
      </c>
      <c r="D3729" s="1"/>
      <c r="E3729" s="1"/>
      <c r="F3729" s="1" t="str">
        <f>IFERROR(__xludf.DUMMYFUNCTION("GOOGLETRANSLATE(B3729, ""en"", ""fa"")
"),"تمرینات ذهن آگاهی و مدیتیشن")</f>
        <v>تمرینات ذهن آگاهی و مدیتیشن</v>
      </c>
      <c r="G3729" s="1" t="str">
        <f>IFERROR(__xludf.DUMMYFUNCTION("GOOGLETRANSLATE(C3729, ""en"", ""fa"")
"),"چگونه می توانید با دکوراسیون عروسی با تم روستایی یک فضای روستایی و جذاب ایجاد کنید؟")</f>
        <v>چگونه می توانید با دکوراسیون عروسی با تم روستایی یک فضای روستایی و جذاب ایجاد کنید؟</v>
      </c>
      <c r="H3729" s="1"/>
      <c r="I3729" s="1"/>
      <c r="J3729" s="1"/>
      <c r="K3729" s="1"/>
      <c r="L3729" s="1"/>
      <c r="M3729" s="1"/>
      <c r="N3729" s="1"/>
      <c r="O3729" s="1"/>
      <c r="P3729" s="1"/>
      <c r="Q3729" s="1"/>
      <c r="R3729" s="1"/>
      <c r="S3729" s="1"/>
      <c r="T3729" s="1"/>
      <c r="U3729" s="1"/>
      <c r="V3729" s="1"/>
      <c r="W3729" s="1"/>
      <c r="X3729" s="1"/>
      <c r="Y3729" s="1"/>
      <c r="Z3729" s="1"/>
      <c r="AA3729" s="1"/>
      <c r="AB3729" s="1"/>
    </row>
    <row r="3730" ht="50.25" customHeight="1">
      <c r="A3730" s="12">
        <v>3726.0</v>
      </c>
      <c r="B3730" s="13" t="s">
        <v>3427</v>
      </c>
      <c r="C3730" s="14" t="s">
        <v>3747</v>
      </c>
      <c r="D3730" s="1"/>
      <c r="E3730" s="1"/>
      <c r="F3730" s="1" t="str">
        <f>IFERROR(__xludf.DUMMYFUNCTION("GOOGLETRANSLATE(B3730, ""en"", ""fa"")
"),"تمرینات ذهن آگاهی و مدیتیشن")</f>
        <v>تمرینات ذهن آگاهی و مدیتیشن</v>
      </c>
      <c r="G3730" s="1" t="str">
        <f>IFERROR(__xludf.DUMMYFUNCTION("GOOGLETRANSLATE(C3730, ""en"", ""fa"")
"),"ایده هایی برای یک تم عروسی با الهام از ساحل یا دریا به اشتراک بگذارید.")</f>
        <v>ایده هایی برای یک تم عروسی با الهام از ساحل یا دریا به اشتراک بگذارید.</v>
      </c>
      <c r="H3730" s="1"/>
      <c r="I3730" s="1"/>
      <c r="J3730" s="1"/>
      <c r="K3730" s="1"/>
      <c r="L3730" s="1"/>
      <c r="M3730" s="1"/>
      <c r="N3730" s="1"/>
      <c r="O3730" s="1"/>
      <c r="P3730" s="1"/>
      <c r="Q3730" s="1"/>
      <c r="R3730" s="1"/>
      <c r="S3730" s="1"/>
      <c r="T3730" s="1"/>
      <c r="U3730" s="1"/>
      <c r="V3730" s="1"/>
      <c r="W3730" s="1"/>
      <c r="X3730" s="1"/>
      <c r="Y3730" s="1"/>
      <c r="Z3730" s="1"/>
      <c r="AA3730" s="1"/>
      <c r="AB3730" s="1"/>
    </row>
    <row r="3731" ht="50.25" customHeight="1">
      <c r="A3731" s="12">
        <v>3727.0</v>
      </c>
      <c r="B3731" s="13" t="s">
        <v>3427</v>
      </c>
      <c r="C3731" s="14" t="s">
        <v>3748</v>
      </c>
      <c r="D3731" s="1"/>
      <c r="E3731" s="1"/>
      <c r="F3731" s="1" t="str">
        <f>IFERROR(__xludf.DUMMYFUNCTION("GOOGLETRANSLATE(B3731, ""en"", ""fa"")
"),"تمرینات ذهن آگاهی و مدیتیشن")</f>
        <v>تمرینات ذهن آگاهی و مدیتیشن</v>
      </c>
      <c r="G3731" s="1" t="str">
        <f>IFERROR(__xludf.DUMMYFUNCTION("GOOGLETRANSLATE(C3731, ""en"", ""fa"")
"),"چند راه برای ترکیب عناصر پایدار و سازگار با محیط زیست در تم و دکوراسیون عروسی چیست؟")</f>
        <v>چند راه برای ترکیب عناصر پایدار و سازگار با محیط زیست در تم و دکوراسیون عروسی چیست؟</v>
      </c>
      <c r="H3731" s="1"/>
      <c r="I3731" s="1"/>
      <c r="J3731" s="1"/>
      <c r="K3731" s="1"/>
      <c r="L3731" s="1"/>
      <c r="M3731" s="1"/>
      <c r="N3731" s="1"/>
      <c r="O3731" s="1"/>
      <c r="P3731" s="1"/>
      <c r="Q3731" s="1"/>
      <c r="R3731" s="1"/>
      <c r="S3731" s="1"/>
      <c r="T3731" s="1"/>
      <c r="U3731" s="1"/>
      <c r="V3731" s="1"/>
      <c r="W3731" s="1"/>
      <c r="X3731" s="1"/>
      <c r="Y3731" s="1"/>
      <c r="Z3731" s="1"/>
      <c r="AA3731" s="1"/>
      <c r="AB3731" s="1"/>
    </row>
    <row r="3732" ht="50.25" customHeight="1">
      <c r="A3732" s="12">
        <v>3728.0</v>
      </c>
      <c r="B3732" s="13" t="s">
        <v>3427</v>
      </c>
      <c r="C3732" s="14" t="s">
        <v>3749</v>
      </c>
      <c r="D3732" s="1"/>
      <c r="E3732" s="1"/>
      <c r="F3732" s="1" t="str">
        <f>IFERROR(__xludf.DUMMYFUNCTION("GOOGLETRANSLATE(B3732, ""en"", ""fa"")
"),"تمرینات ذهن آگاهی و مدیتیشن")</f>
        <v>تمرینات ذهن آگاهی و مدیتیشن</v>
      </c>
      <c r="G3732" s="1" t="str">
        <f>IFERROR(__xludf.DUMMYFUNCTION("GOOGLETRANSLATE(C3732, ""en"", ""fa"")
"),"چگونه می توانید یک تم عروسی مینیمالیستی و معاصر با خطوط تمیز و سادگی ایجاد کنید؟")</f>
        <v>چگونه می توانید یک تم عروسی مینیمالیستی و معاصر با خطوط تمیز و سادگی ایجاد کنید؟</v>
      </c>
      <c r="H3732" s="1"/>
      <c r="I3732" s="1"/>
      <c r="J3732" s="1"/>
      <c r="K3732" s="1"/>
      <c r="L3732" s="1"/>
      <c r="M3732" s="1"/>
      <c r="N3732" s="1"/>
      <c r="O3732" s="1"/>
      <c r="P3732" s="1"/>
      <c r="Q3732" s="1"/>
      <c r="R3732" s="1"/>
      <c r="S3732" s="1"/>
      <c r="T3732" s="1"/>
      <c r="U3732" s="1"/>
      <c r="V3732" s="1"/>
      <c r="W3732" s="1"/>
      <c r="X3732" s="1"/>
      <c r="Y3732" s="1"/>
      <c r="Z3732" s="1"/>
      <c r="AA3732" s="1"/>
      <c r="AB3732" s="1"/>
    </row>
    <row r="3733" ht="50.25" customHeight="1">
      <c r="A3733" s="12">
        <v>3729.0</v>
      </c>
      <c r="B3733" s="13" t="s">
        <v>3427</v>
      </c>
      <c r="C3733" s="14" t="s">
        <v>3750</v>
      </c>
      <c r="D3733" s="1"/>
      <c r="E3733" s="1"/>
      <c r="F3733" s="1" t="str">
        <f>IFERROR(__xludf.DUMMYFUNCTION("GOOGLETRANSLATE(B3733, ""en"", ""fa"")
"),"تمرینات ذهن آگاهی و مدیتیشن")</f>
        <v>تمرینات ذهن آگاهی و مدیتیشن</v>
      </c>
      <c r="G3733" s="1" t="str">
        <f>IFERROR(__xludf.DUMMYFUNCTION("GOOGLETRANSLATE(C3733, ""en"", ""fa"")
"),"چند ایده برای یک تم عروسی پر زرق و برق و با الهام از هالیوود به اشتراک بگذارید.")</f>
        <v>چند ایده برای یک تم عروسی پر زرق و برق و با الهام از هالیوود به اشتراک بگذارید.</v>
      </c>
      <c r="H3733" s="1"/>
      <c r="I3733" s="1"/>
      <c r="J3733" s="1"/>
      <c r="K3733" s="1"/>
      <c r="L3733" s="1"/>
      <c r="M3733" s="1"/>
      <c r="N3733" s="1"/>
      <c r="O3733" s="1"/>
      <c r="P3733" s="1"/>
      <c r="Q3733" s="1"/>
      <c r="R3733" s="1"/>
      <c r="S3733" s="1"/>
      <c r="T3733" s="1"/>
      <c r="U3733" s="1"/>
      <c r="V3733" s="1"/>
      <c r="W3733" s="1"/>
      <c r="X3733" s="1"/>
      <c r="Y3733" s="1"/>
      <c r="Z3733" s="1"/>
      <c r="AA3733" s="1"/>
      <c r="AB3733" s="1"/>
    </row>
    <row r="3734" ht="50.25" customHeight="1">
      <c r="A3734" s="12">
        <v>3730.0</v>
      </c>
      <c r="B3734" s="13" t="s">
        <v>3427</v>
      </c>
      <c r="C3734" s="14" t="s">
        <v>3751</v>
      </c>
      <c r="D3734" s="1"/>
      <c r="E3734" s="1"/>
      <c r="F3734" s="1" t="str">
        <f>IFERROR(__xludf.DUMMYFUNCTION("GOOGLETRANSLATE(B3734, ""en"", ""fa"")
"),"تمرینات ذهن آگاهی و مدیتیشن")</f>
        <v>تمرینات ذهن آگاهی و مدیتیشن</v>
      </c>
      <c r="G3734" s="1" t="str">
        <f>IFERROR(__xludf.DUMMYFUNCTION("GOOGLETRANSLATE(C3734, ""en"", ""fa"")
"),"چه راه هایی برای ایجاد فضایی بی نظیر و آزادانه از طریق تم و دکوراسیون عروسی وجود دارد؟")</f>
        <v>چه راه هایی برای ایجاد فضایی بی نظیر و آزادانه از طریق تم و دکوراسیون عروسی وجود دارد؟</v>
      </c>
      <c r="H3734" s="1"/>
      <c r="I3734" s="1"/>
      <c r="J3734" s="1"/>
      <c r="K3734" s="1"/>
      <c r="L3734" s="1"/>
      <c r="M3734" s="1"/>
      <c r="N3734" s="1"/>
      <c r="O3734" s="1"/>
      <c r="P3734" s="1"/>
      <c r="Q3734" s="1"/>
      <c r="R3734" s="1"/>
      <c r="S3734" s="1"/>
      <c r="T3734" s="1"/>
      <c r="U3734" s="1"/>
      <c r="V3734" s="1"/>
      <c r="W3734" s="1"/>
      <c r="X3734" s="1"/>
      <c r="Y3734" s="1"/>
      <c r="Z3734" s="1"/>
      <c r="AA3734" s="1"/>
      <c r="AB3734" s="1"/>
    </row>
    <row r="3735" ht="50.25" customHeight="1">
      <c r="A3735" s="12">
        <v>3731.0</v>
      </c>
      <c r="B3735" s="13" t="s">
        <v>3427</v>
      </c>
      <c r="C3735" s="14" t="s">
        <v>3752</v>
      </c>
      <c r="D3735" s="1"/>
      <c r="E3735" s="1"/>
      <c r="F3735" s="1" t="str">
        <f>IFERROR(__xludf.DUMMYFUNCTION("GOOGLETRANSLATE(B3735, ""en"", ""fa"")
"),"تمرینات ذهن آگاهی و مدیتیشن")</f>
        <v>تمرینات ذهن آگاهی و مدیتیشن</v>
      </c>
      <c r="G3735" s="1" t="str">
        <f>IFERROR(__xludf.DUMMYFUNCTION("GOOGLETRANSLATE(C3735, ""en"", ""fa"")
"),"چگونه می توانید تأثیرات هنری و فرهنگی را در تم و دکوراسیون عروسی بگنجانید؟")</f>
        <v>چگونه می توانید تأثیرات هنری و فرهنگی را در تم و دکوراسیون عروسی بگنجانید؟</v>
      </c>
      <c r="H3735" s="1"/>
      <c r="I3735" s="1"/>
      <c r="J3735" s="1"/>
      <c r="K3735" s="1"/>
      <c r="L3735" s="1"/>
      <c r="M3735" s="1"/>
      <c r="N3735" s="1"/>
      <c r="O3735" s="1"/>
      <c r="P3735" s="1"/>
      <c r="Q3735" s="1"/>
      <c r="R3735" s="1"/>
      <c r="S3735" s="1"/>
      <c r="T3735" s="1"/>
      <c r="U3735" s="1"/>
      <c r="V3735" s="1"/>
      <c r="W3735" s="1"/>
      <c r="X3735" s="1"/>
      <c r="Y3735" s="1"/>
      <c r="Z3735" s="1"/>
      <c r="AA3735" s="1"/>
      <c r="AB3735" s="1"/>
    </row>
    <row r="3736" ht="50.25" customHeight="1">
      <c r="A3736" s="12">
        <v>3732.0</v>
      </c>
      <c r="B3736" s="13" t="s">
        <v>3427</v>
      </c>
      <c r="C3736" s="14" t="s">
        <v>3753</v>
      </c>
      <c r="D3736" s="1"/>
      <c r="E3736" s="1"/>
      <c r="F3736" s="1" t="str">
        <f>IFERROR(__xludf.DUMMYFUNCTION("GOOGLETRANSLATE(B3736, ""en"", ""fa"")
"),"تمرینات ذهن آگاهی و مدیتیشن")</f>
        <v>تمرینات ذهن آگاهی و مدیتیشن</v>
      </c>
      <c r="G3736" s="1" t="str">
        <f>IFERROR(__xludf.DUMMYFUNCTION("GOOGLETRANSLATE(C3736, ""en"", ""fa"")
"),"نکاتی را برای ایجاد یک فضای جشن و شاداب با عروسی با موضوع جشنواره به اشتراک بگذارید.")</f>
        <v>نکاتی را برای ایجاد یک فضای جشن و شاداب با عروسی با موضوع جشنواره به اشتراک بگذارید.</v>
      </c>
      <c r="H3736" s="1"/>
      <c r="I3736" s="1"/>
      <c r="J3736" s="1"/>
      <c r="K3736" s="1"/>
      <c r="L3736" s="1"/>
      <c r="M3736" s="1"/>
      <c r="N3736" s="1"/>
      <c r="O3736" s="1"/>
      <c r="P3736" s="1"/>
      <c r="Q3736" s="1"/>
      <c r="R3736" s="1"/>
      <c r="S3736" s="1"/>
      <c r="T3736" s="1"/>
      <c r="U3736" s="1"/>
      <c r="V3736" s="1"/>
      <c r="W3736" s="1"/>
      <c r="X3736" s="1"/>
      <c r="Y3736" s="1"/>
      <c r="Z3736" s="1"/>
      <c r="AA3736" s="1"/>
      <c r="AB3736" s="1"/>
    </row>
    <row r="3737" ht="50.25" customHeight="1">
      <c r="A3737" s="12">
        <v>3733.0</v>
      </c>
      <c r="B3737" s="13" t="s">
        <v>3427</v>
      </c>
      <c r="C3737" s="14" t="s">
        <v>3754</v>
      </c>
      <c r="D3737" s="1"/>
      <c r="E3737" s="1"/>
      <c r="F3737" s="1" t="str">
        <f>IFERROR(__xludf.DUMMYFUNCTION("GOOGLETRANSLATE(B3737, ""en"", ""fa"")
"),"تمرینات ذهن آگاهی و مدیتیشن")</f>
        <v>تمرینات ذهن آگاهی و مدیتیشن</v>
      </c>
      <c r="G3737" s="1" t="str">
        <f>IFERROR(__xludf.DUMMYFUNCTION("GOOGLETRANSLATE(C3737, ""en"", ""fa"")
"),"چند راه برای گنجاندن الگوها و اشکال هندسی در تم و دکوراسیون عروسی وجود دارد؟")</f>
        <v>چند راه برای گنجاندن الگوها و اشکال هندسی در تم و دکوراسیون عروسی وجود دارد؟</v>
      </c>
      <c r="H3737" s="1"/>
      <c r="I3737" s="1"/>
      <c r="J3737" s="1"/>
      <c r="K3737" s="1"/>
      <c r="L3737" s="1"/>
      <c r="M3737" s="1"/>
      <c r="N3737" s="1"/>
      <c r="O3737" s="1"/>
      <c r="P3737" s="1"/>
      <c r="Q3737" s="1"/>
      <c r="R3737" s="1"/>
      <c r="S3737" s="1"/>
      <c r="T3737" s="1"/>
      <c r="U3737" s="1"/>
      <c r="V3737" s="1"/>
      <c r="W3737" s="1"/>
      <c r="X3737" s="1"/>
      <c r="Y3737" s="1"/>
      <c r="Z3737" s="1"/>
      <c r="AA3737" s="1"/>
      <c r="AB3737" s="1"/>
    </row>
    <row r="3738" ht="50.25" customHeight="1">
      <c r="A3738" s="12">
        <v>3734.0</v>
      </c>
      <c r="B3738" s="13" t="s">
        <v>3427</v>
      </c>
      <c r="C3738" s="14" t="s">
        <v>3755</v>
      </c>
      <c r="D3738" s="1"/>
      <c r="E3738" s="1"/>
      <c r="F3738" s="1" t="str">
        <f>IFERROR(__xludf.DUMMYFUNCTION("GOOGLETRANSLATE(B3738, ""en"", ""fa"")
"),"تمرینات ذهن آگاهی و مدیتیشن")</f>
        <v>تمرینات ذهن آگاهی و مدیتیشن</v>
      </c>
      <c r="G3738" s="1" t="str">
        <f>IFERROR(__xludf.DUMMYFUNCTION("GOOGLETRANSLATE(C3738, ""en"", ""fa"")
"),"چگونه می توانید با یک عروسی با تم فانتزی یک فضای جادویی و عرفانی ایجاد کنید؟")</f>
        <v>چگونه می توانید با یک عروسی با تم فانتزی یک فضای جادویی و عرفانی ایجاد کنید؟</v>
      </c>
      <c r="H3738" s="1"/>
      <c r="I3738" s="1"/>
      <c r="J3738" s="1"/>
      <c r="K3738" s="1"/>
      <c r="L3738" s="1"/>
      <c r="M3738" s="1"/>
      <c r="N3738" s="1"/>
      <c r="O3738" s="1"/>
      <c r="P3738" s="1"/>
      <c r="Q3738" s="1"/>
      <c r="R3738" s="1"/>
      <c r="S3738" s="1"/>
      <c r="T3738" s="1"/>
      <c r="U3738" s="1"/>
      <c r="V3738" s="1"/>
      <c r="W3738" s="1"/>
      <c r="X3738" s="1"/>
      <c r="Y3738" s="1"/>
      <c r="Z3738" s="1"/>
      <c r="AA3738" s="1"/>
      <c r="AB3738" s="1"/>
    </row>
    <row r="3739" ht="50.25" customHeight="1">
      <c r="A3739" s="12">
        <v>3735.0</v>
      </c>
      <c r="B3739" s="13" t="s">
        <v>3427</v>
      </c>
      <c r="C3739" s="14" t="s">
        <v>3756</v>
      </c>
      <c r="D3739" s="1"/>
      <c r="E3739" s="1"/>
      <c r="F3739" s="1" t="str">
        <f>IFERROR(__xludf.DUMMYFUNCTION("GOOGLETRANSLATE(B3739, ""en"", ""fa"")
"),"تمرینات ذهن آگاهی و مدیتیشن")</f>
        <v>تمرینات ذهن آگاهی و مدیتیشن</v>
      </c>
      <c r="G3739" s="1" t="str">
        <f>IFERROR(__xludf.DUMMYFUNCTION("GOOGLETRANSLATE(C3739, ""en"", ""fa"")
"),"چند ایده برای تم عروسی با الهام از مهمانی باغ قدیمی به اشتراک بگذارید.")</f>
        <v>چند ایده برای تم عروسی با الهام از مهمانی باغ قدیمی به اشتراک بگذارید.</v>
      </c>
      <c r="H3739" s="1"/>
      <c r="I3739" s="1"/>
      <c r="J3739" s="1"/>
      <c r="K3739" s="1"/>
      <c r="L3739" s="1"/>
      <c r="M3739" s="1"/>
      <c r="N3739" s="1"/>
      <c r="O3739" s="1"/>
      <c r="P3739" s="1"/>
      <c r="Q3739" s="1"/>
      <c r="R3739" s="1"/>
      <c r="S3739" s="1"/>
      <c r="T3739" s="1"/>
      <c r="U3739" s="1"/>
      <c r="V3739" s="1"/>
      <c r="W3739" s="1"/>
      <c r="X3739" s="1"/>
      <c r="Y3739" s="1"/>
      <c r="Z3739" s="1"/>
      <c r="AA3739" s="1"/>
      <c r="AB3739" s="1"/>
    </row>
    <row r="3740" ht="50.25" customHeight="1">
      <c r="A3740" s="12">
        <v>3736.0</v>
      </c>
      <c r="B3740" s="13" t="s">
        <v>3427</v>
      </c>
      <c r="C3740" s="14" t="s">
        <v>3757</v>
      </c>
      <c r="D3740" s="1"/>
      <c r="E3740" s="1"/>
      <c r="F3740" s="1" t="str">
        <f>IFERROR(__xludf.DUMMYFUNCTION("GOOGLETRANSLATE(B3740, ""en"", ""fa"")
"),"تمرینات ذهن آگاهی و مدیتیشن")</f>
        <v>تمرینات ذهن آگاهی و مدیتیشن</v>
      </c>
      <c r="G3740" s="1" t="str">
        <f>IFERROR(__xludf.DUMMYFUNCTION("GOOGLETRANSLATE(C3740, ""en"", ""fa"")
"),"چه راه هایی برای گنجاندن لهجه های متالیک در تم و دکوراسیون عروسی وجود دارد؟")</f>
        <v>چه راه هایی برای گنجاندن لهجه های متالیک در تم و دکوراسیون عروسی وجود دارد؟</v>
      </c>
      <c r="H3740" s="1"/>
      <c r="I3740" s="1"/>
      <c r="J3740" s="1"/>
      <c r="K3740" s="1"/>
      <c r="L3740" s="1"/>
      <c r="M3740" s="1"/>
      <c r="N3740" s="1"/>
      <c r="O3740" s="1"/>
      <c r="P3740" s="1"/>
      <c r="Q3740" s="1"/>
      <c r="R3740" s="1"/>
      <c r="S3740" s="1"/>
      <c r="T3740" s="1"/>
      <c r="U3740" s="1"/>
      <c r="V3740" s="1"/>
      <c r="W3740" s="1"/>
      <c r="X3740" s="1"/>
      <c r="Y3740" s="1"/>
      <c r="Z3740" s="1"/>
      <c r="AA3740" s="1"/>
      <c r="AB3740" s="1"/>
    </row>
    <row r="3741" ht="50.25" customHeight="1">
      <c r="A3741" s="12">
        <v>3737.0</v>
      </c>
      <c r="B3741" s="13" t="s">
        <v>3427</v>
      </c>
      <c r="C3741" s="14" t="s">
        <v>3758</v>
      </c>
      <c r="D3741" s="1"/>
      <c r="E3741" s="1"/>
      <c r="F3741" s="1" t="str">
        <f>IFERROR(__xludf.DUMMYFUNCTION("GOOGLETRANSLATE(B3741, ""en"", ""fa"")
"),"تمرینات ذهن آگاهی و مدیتیشن")</f>
        <v>تمرینات ذهن آگاهی و مدیتیشن</v>
      </c>
      <c r="G3741" s="1" t="str">
        <f>IFERROR(__xludf.DUMMYFUNCTION("GOOGLETRANSLATE(C3741, ""en"", ""fa"")
"),"چگونه می توان با دکوراسیون عروسی با تم شهری، فضایی مدرن و صنعتی ایجاد کرد؟")</f>
        <v>چگونه می توان با دکوراسیون عروسی با تم شهری، فضایی مدرن و صنعتی ایجاد کرد؟</v>
      </c>
      <c r="H3741" s="1"/>
      <c r="I3741" s="1"/>
      <c r="J3741" s="1"/>
      <c r="K3741" s="1"/>
      <c r="L3741" s="1"/>
      <c r="M3741" s="1"/>
      <c r="N3741" s="1"/>
      <c r="O3741" s="1"/>
      <c r="P3741" s="1"/>
      <c r="Q3741" s="1"/>
      <c r="R3741" s="1"/>
      <c r="S3741" s="1"/>
      <c r="T3741" s="1"/>
      <c r="U3741" s="1"/>
      <c r="V3741" s="1"/>
      <c r="W3741" s="1"/>
      <c r="X3741" s="1"/>
      <c r="Y3741" s="1"/>
      <c r="Z3741" s="1"/>
      <c r="AA3741" s="1"/>
      <c r="AB3741" s="1"/>
    </row>
    <row r="3742" ht="50.25" customHeight="1">
      <c r="A3742" s="12">
        <v>3738.0</v>
      </c>
      <c r="B3742" s="13" t="s">
        <v>3427</v>
      </c>
      <c r="C3742" s="14" t="s">
        <v>3759</v>
      </c>
      <c r="D3742" s="1"/>
      <c r="E3742" s="1"/>
      <c r="F3742" s="1" t="str">
        <f>IFERROR(__xludf.DUMMYFUNCTION("GOOGLETRANSLATE(B3742, ""en"", ""fa"")
"),"تمرینات ذهن آگاهی و مدیتیشن")</f>
        <v>تمرینات ذهن آگاهی و مدیتیشن</v>
      </c>
      <c r="G3742" s="1" t="str">
        <f>IFERROR(__xludf.DUMMYFUNCTION("GOOGLETRANSLATE(C3742, ""en"", ""fa"")
"),"نکاتی را برای ایجاد یک فضای عجیب و غریب و رویایی با عروسی با تم افسانه به اشتراک بگذارید.")</f>
        <v>نکاتی را برای ایجاد یک فضای عجیب و غریب و رویایی با عروسی با تم افسانه به اشتراک بگذارید.</v>
      </c>
      <c r="H3742" s="1"/>
      <c r="I3742" s="1"/>
      <c r="J3742" s="1"/>
      <c r="K3742" s="1"/>
      <c r="L3742" s="1"/>
      <c r="M3742" s="1"/>
      <c r="N3742" s="1"/>
      <c r="O3742" s="1"/>
      <c r="P3742" s="1"/>
      <c r="Q3742" s="1"/>
      <c r="R3742" s="1"/>
      <c r="S3742" s="1"/>
      <c r="T3742" s="1"/>
      <c r="U3742" s="1"/>
      <c r="V3742" s="1"/>
      <c r="W3742" s="1"/>
      <c r="X3742" s="1"/>
      <c r="Y3742" s="1"/>
      <c r="Z3742" s="1"/>
      <c r="AA3742" s="1"/>
      <c r="AB3742" s="1"/>
    </row>
    <row r="3743" ht="50.25" customHeight="1">
      <c r="A3743" s="12">
        <v>3739.0</v>
      </c>
      <c r="B3743" s="13" t="s">
        <v>3427</v>
      </c>
      <c r="C3743" s="14" t="s">
        <v>3760</v>
      </c>
      <c r="D3743" s="1"/>
      <c r="E3743" s="1"/>
      <c r="F3743" s="1" t="str">
        <f>IFERROR(__xludf.DUMMYFUNCTION("GOOGLETRANSLATE(B3743, ""en"", ""fa"")
"),"تمرینات ذهن آگاهی و مدیتیشن")</f>
        <v>تمرینات ذهن آگاهی و مدیتیشن</v>
      </c>
      <c r="G3743" s="1" t="str">
        <f>IFERROR(__xludf.DUMMYFUNCTION("GOOGLETRANSLATE(C3743, ""en"", ""fa"")
"),"چه راه هایی برای گنجاندن سنت ها و آیین های فرهنگی در تم و دکور عروسی وجود دارد؟")</f>
        <v>چه راه هایی برای گنجاندن سنت ها و آیین های فرهنگی در تم و دکور عروسی وجود دارد؟</v>
      </c>
      <c r="H3743" s="1"/>
      <c r="I3743" s="1"/>
      <c r="J3743" s="1"/>
      <c r="K3743" s="1"/>
      <c r="L3743" s="1"/>
      <c r="M3743" s="1"/>
      <c r="N3743" s="1"/>
      <c r="O3743" s="1"/>
      <c r="P3743" s="1"/>
      <c r="Q3743" s="1"/>
      <c r="R3743" s="1"/>
      <c r="S3743" s="1"/>
      <c r="T3743" s="1"/>
      <c r="U3743" s="1"/>
      <c r="V3743" s="1"/>
      <c r="W3743" s="1"/>
      <c r="X3743" s="1"/>
      <c r="Y3743" s="1"/>
      <c r="Z3743" s="1"/>
      <c r="AA3743" s="1"/>
      <c r="AB3743" s="1"/>
    </row>
    <row r="3744" ht="50.25" customHeight="1">
      <c r="A3744" s="12">
        <v>3740.0</v>
      </c>
      <c r="B3744" s="13" t="s">
        <v>3427</v>
      </c>
      <c r="C3744" s="14" t="s">
        <v>3761</v>
      </c>
      <c r="D3744" s="1"/>
      <c r="E3744" s="1"/>
      <c r="F3744" s="1" t="str">
        <f>IFERROR(__xludf.DUMMYFUNCTION("GOOGLETRANSLATE(B3744, ""en"", ""fa"")
"),"تمرینات ذهن آگاهی و مدیتیشن")</f>
        <v>تمرینات ذهن آگاهی و مدیتیشن</v>
      </c>
      <c r="G3744" s="1" t="str">
        <f>IFERROR(__xludf.DUMMYFUNCTION("GOOGLETRANSLATE(C3744, ""en"", ""fa"")
"),"چگونه می توانید با یک عروسی با تم سرزمین عجایب زمستانی یک محیط دنج و صمیمی ایجاد کنید؟")</f>
        <v>چگونه می توانید با یک عروسی با تم سرزمین عجایب زمستانی یک محیط دنج و صمیمی ایجاد کنید؟</v>
      </c>
      <c r="H3744" s="1"/>
      <c r="I3744" s="1"/>
      <c r="J3744" s="1"/>
      <c r="K3744" s="1"/>
      <c r="L3744" s="1"/>
      <c r="M3744" s="1"/>
      <c r="N3744" s="1"/>
      <c r="O3744" s="1"/>
      <c r="P3744" s="1"/>
      <c r="Q3744" s="1"/>
      <c r="R3744" s="1"/>
      <c r="S3744" s="1"/>
      <c r="T3744" s="1"/>
      <c r="U3744" s="1"/>
      <c r="V3744" s="1"/>
      <c r="W3744" s="1"/>
      <c r="X3744" s="1"/>
      <c r="Y3744" s="1"/>
      <c r="Z3744" s="1"/>
      <c r="AA3744" s="1"/>
      <c r="AB3744" s="1"/>
    </row>
    <row r="3745" ht="50.25" customHeight="1">
      <c r="A3745" s="12">
        <v>3741.0</v>
      </c>
      <c r="B3745" s="13" t="s">
        <v>3427</v>
      </c>
      <c r="C3745" s="14" t="s">
        <v>3762</v>
      </c>
      <c r="D3745" s="1"/>
      <c r="E3745" s="1"/>
      <c r="F3745" s="1" t="str">
        <f>IFERROR(__xludf.DUMMYFUNCTION("GOOGLETRANSLATE(B3745, ""en"", ""fa"")
"),"تمرینات ذهن آگاهی و مدیتیشن")</f>
        <v>تمرینات ذهن آگاهی و مدیتیشن</v>
      </c>
      <c r="G3745" s="1" t="str">
        <f>IFERROR(__xludf.DUMMYFUNCTION("GOOGLETRANSLATE(C3745, ""en"", ""fa"")
"),"چند ایده برای تم عروسی الهام گرفته از سفر که هوس سرگردانی زوج را منعکس می کند، به اشتراک بگذارید.")</f>
        <v>چند ایده برای تم عروسی الهام گرفته از سفر که هوس سرگردانی زوج را منعکس می کند، به اشتراک بگذارید.</v>
      </c>
      <c r="H3745" s="1"/>
      <c r="I3745" s="1"/>
      <c r="J3745" s="1"/>
      <c r="K3745" s="1"/>
      <c r="L3745" s="1"/>
      <c r="M3745" s="1"/>
      <c r="N3745" s="1"/>
      <c r="O3745" s="1"/>
      <c r="P3745" s="1"/>
      <c r="Q3745" s="1"/>
      <c r="R3745" s="1"/>
      <c r="S3745" s="1"/>
      <c r="T3745" s="1"/>
      <c r="U3745" s="1"/>
      <c r="V3745" s="1"/>
      <c r="W3745" s="1"/>
      <c r="X3745" s="1"/>
      <c r="Y3745" s="1"/>
      <c r="Z3745" s="1"/>
      <c r="AA3745" s="1"/>
      <c r="AB3745" s="1"/>
    </row>
    <row r="3746" ht="50.25" customHeight="1">
      <c r="A3746" s="12">
        <v>3742.0</v>
      </c>
      <c r="B3746" s="13" t="s">
        <v>3427</v>
      </c>
      <c r="C3746" s="14" t="s">
        <v>3763</v>
      </c>
      <c r="D3746" s="1"/>
      <c r="E3746" s="1"/>
      <c r="F3746" s="1" t="str">
        <f>IFERROR(__xludf.DUMMYFUNCTION("GOOGLETRANSLATE(B3746, ""en"", ""fa"")
"),"تمرینات ذهن آگاهی و مدیتیشن")</f>
        <v>تمرینات ذهن آگاهی و مدیتیشن</v>
      </c>
      <c r="G3746" s="1" t="str">
        <f>IFERROR(__xludf.DUMMYFUNCTION("GOOGLETRANSLATE(C3746, ""en"", ""fa"")
"),"چند راه برای گنجاندن تابلوهای شخصی و مونوگرام در تم و دکوراسیون عروسی وجود دارد؟")</f>
        <v>چند راه برای گنجاندن تابلوهای شخصی و مونوگرام در تم و دکوراسیون عروسی وجود دارد؟</v>
      </c>
      <c r="H3746" s="1"/>
      <c r="I3746" s="1"/>
      <c r="J3746" s="1"/>
      <c r="K3746" s="1"/>
      <c r="L3746" s="1"/>
      <c r="M3746" s="1"/>
      <c r="N3746" s="1"/>
      <c r="O3746" s="1"/>
      <c r="P3746" s="1"/>
      <c r="Q3746" s="1"/>
      <c r="R3746" s="1"/>
      <c r="S3746" s="1"/>
      <c r="T3746" s="1"/>
      <c r="U3746" s="1"/>
      <c r="V3746" s="1"/>
      <c r="W3746" s="1"/>
      <c r="X3746" s="1"/>
      <c r="Y3746" s="1"/>
      <c r="Z3746" s="1"/>
      <c r="AA3746" s="1"/>
      <c r="AB3746" s="1"/>
    </row>
    <row r="3747" ht="50.25" customHeight="1">
      <c r="A3747" s="12">
        <v>3743.0</v>
      </c>
      <c r="B3747" s="13" t="s">
        <v>3427</v>
      </c>
      <c r="C3747" s="14" t="s">
        <v>3764</v>
      </c>
      <c r="D3747" s="1"/>
      <c r="E3747" s="1"/>
      <c r="F3747" s="1" t="str">
        <f>IFERROR(__xludf.DUMMYFUNCTION("GOOGLETRANSLATE(B3747, ""en"", ""fa"")
"),"تمرینات ذهن آگاهی و مدیتیشن")</f>
        <v>تمرینات ذهن آگاهی و مدیتیشن</v>
      </c>
      <c r="G3747" s="1" t="str">
        <f>IFERROR(__xludf.DUMMYFUNCTION("GOOGLETRANSLATE(C3747, ""en"", ""fa"")
"),"چگونه می توانید یک فضای روستایی و شیک با تم عروسی انباری ایجاد کنید؟")</f>
        <v>چگونه می توانید یک فضای روستایی و شیک با تم عروسی انباری ایجاد کنید؟</v>
      </c>
      <c r="H3747" s="1"/>
      <c r="I3747" s="1"/>
      <c r="J3747" s="1"/>
      <c r="K3747" s="1"/>
      <c r="L3747" s="1"/>
      <c r="M3747" s="1"/>
      <c r="N3747" s="1"/>
      <c r="O3747" s="1"/>
      <c r="P3747" s="1"/>
      <c r="Q3747" s="1"/>
      <c r="R3747" s="1"/>
      <c r="S3747" s="1"/>
      <c r="T3747" s="1"/>
      <c r="U3747" s="1"/>
      <c r="V3747" s="1"/>
      <c r="W3747" s="1"/>
      <c r="X3747" s="1"/>
      <c r="Y3747" s="1"/>
      <c r="Z3747" s="1"/>
      <c r="AA3747" s="1"/>
      <c r="AB3747" s="1"/>
    </row>
    <row r="3748" ht="50.25" customHeight="1">
      <c r="A3748" s="12">
        <v>3744.0</v>
      </c>
      <c r="B3748" s="13" t="s">
        <v>3427</v>
      </c>
      <c r="C3748" s="14" t="s">
        <v>3765</v>
      </c>
      <c r="D3748" s="1"/>
      <c r="E3748" s="1"/>
      <c r="F3748" s="1" t="str">
        <f>IFERROR(__xludf.DUMMYFUNCTION("GOOGLETRANSLATE(B3748, ""en"", ""fa"")
"),"تمرینات ذهن آگاهی و مدیتیشن")</f>
        <v>تمرینات ذهن آگاهی و مدیتیشن</v>
      </c>
      <c r="G3748" s="1" t="str">
        <f>IFERROR(__xludf.DUMMYFUNCTION("GOOGLETRANSLATE(C3748, ""en"", ""fa"")
"),"نکاتی را برای ایجاد فضایی رمانتیک و با الهام از سبک قدیمی با تم عروسی شیک به اشتراک بگذارید.")</f>
        <v>نکاتی را برای ایجاد فضایی رمانتیک و با الهام از سبک قدیمی با تم عروسی شیک به اشتراک بگذارید.</v>
      </c>
      <c r="H3748" s="1"/>
      <c r="I3748" s="1"/>
      <c r="J3748" s="1"/>
      <c r="K3748" s="1"/>
      <c r="L3748" s="1"/>
      <c r="M3748" s="1"/>
      <c r="N3748" s="1"/>
      <c r="O3748" s="1"/>
      <c r="P3748" s="1"/>
      <c r="Q3748" s="1"/>
      <c r="R3748" s="1"/>
      <c r="S3748" s="1"/>
      <c r="T3748" s="1"/>
      <c r="U3748" s="1"/>
      <c r="V3748" s="1"/>
      <c r="W3748" s="1"/>
      <c r="X3748" s="1"/>
      <c r="Y3748" s="1"/>
      <c r="Z3748" s="1"/>
      <c r="AA3748" s="1"/>
      <c r="AB3748" s="1"/>
    </row>
    <row r="3749" ht="50.25" customHeight="1">
      <c r="A3749" s="12">
        <v>3745.0</v>
      </c>
      <c r="B3749" s="13" t="s">
        <v>3427</v>
      </c>
      <c r="C3749" s="14" t="s">
        <v>3766</v>
      </c>
      <c r="D3749" s="1"/>
      <c r="E3749" s="1"/>
      <c r="F3749" s="1" t="str">
        <f>IFERROR(__xludf.DUMMYFUNCTION("GOOGLETRANSLATE(B3749, ""en"", ""fa"")
"),"تمرینات ذهن آگاهی و مدیتیشن")</f>
        <v>تمرینات ذهن آگاهی و مدیتیشن</v>
      </c>
      <c r="G3749" s="1" t="str">
        <f>IFERROR(__xludf.DUMMYFUNCTION("GOOGLETRANSLATE(C3749, ""en"", ""fa"")
"),"چه راه هایی برای گنجاندن عناصر آسمانی در تم و دکوراسیون عروسی وجود دارد؟")</f>
        <v>چه راه هایی برای گنجاندن عناصر آسمانی در تم و دکوراسیون عروسی وجود دارد؟</v>
      </c>
      <c r="H3749" s="1"/>
      <c r="I3749" s="1"/>
      <c r="J3749" s="1"/>
      <c r="K3749" s="1"/>
      <c r="L3749" s="1"/>
      <c r="M3749" s="1"/>
      <c r="N3749" s="1"/>
      <c r="O3749" s="1"/>
      <c r="P3749" s="1"/>
      <c r="Q3749" s="1"/>
      <c r="R3749" s="1"/>
      <c r="S3749" s="1"/>
      <c r="T3749" s="1"/>
      <c r="U3749" s="1"/>
      <c r="V3749" s="1"/>
      <c r="W3749" s="1"/>
      <c r="X3749" s="1"/>
      <c r="Y3749" s="1"/>
      <c r="Z3749" s="1"/>
      <c r="AA3749" s="1"/>
      <c r="AB3749" s="1"/>
    </row>
    <row r="3750" ht="50.25" customHeight="1">
      <c r="A3750" s="12">
        <v>3746.0</v>
      </c>
      <c r="B3750" s="13" t="s">
        <v>3427</v>
      </c>
      <c r="C3750" s="14" t="s">
        <v>3767</v>
      </c>
      <c r="D3750" s="1"/>
      <c r="E3750" s="1"/>
      <c r="F3750" s="1" t="str">
        <f>IFERROR(__xludf.DUMMYFUNCTION("GOOGLETRANSLATE(B3750, ""en"", ""fa"")
"),"تمرینات ذهن آگاهی و مدیتیشن")</f>
        <v>تمرینات ذهن آگاهی و مدیتیشن</v>
      </c>
      <c r="G3750" s="1" t="str">
        <f>IFERROR(__xludf.DUMMYFUNCTION("GOOGLETRANSLATE(C3750, ""en"", ""fa"")
"),"چگونه می توانید یک فضای بهشت ​​گرمسیری با تم عروسی ساحل مقصد ایجاد کنید؟")</f>
        <v>چگونه می توانید یک فضای بهشت ​​گرمسیری با تم عروسی ساحل مقصد ایجاد کنید؟</v>
      </c>
      <c r="H3750" s="1"/>
      <c r="I3750" s="1"/>
      <c r="J3750" s="1"/>
      <c r="K3750" s="1"/>
      <c r="L3750" s="1"/>
      <c r="M3750" s="1"/>
      <c r="N3750" s="1"/>
      <c r="O3750" s="1"/>
      <c r="P3750" s="1"/>
      <c r="Q3750" s="1"/>
      <c r="R3750" s="1"/>
      <c r="S3750" s="1"/>
      <c r="T3750" s="1"/>
      <c r="U3750" s="1"/>
      <c r="V3750" s="1"/>
      <c r="W3750" s="1"/>
      <c r="X3750" s="1"/>
      <c r="Y3750" s="1"/>
      <c r="Z3750" s="1"/>
      <c r="AA3750" s="1"/>
      <c r="AB3750" s="1"/>
    </row>
    <row r="3751" ht="50.25" customHeight="1">
      <c r="A3751" s="12">
        <v>3747.0</v>
      </c>
      <c r="B3751" s="13" t="s">
        <v>3427</v>
      </c>
      <c r="C3751" s="14" t="s">
        <v>3768</v>
      </c>
      <c r="D3751" s="1"/>
      <c r="E3751" s="1"/>
      <c r="F3751" s="1" t="str">
        <f>IFERROR(__xludf.DUMMYFUNCTION("GOOGLETRANSLATE(B3751, ""en"", ""fa"")
"),"تمرینات ذهن آگاهی و مدیتیشن")</f>
        <v>تمرینات ذهن آگاهی و مدیتیشن</v>
      </c>
      <c r="G3751" s="1" t="str">
        <f>IFERROR(__xludf.DUMMYFUNCTION("GOOGLETRANSLATE(C3751, ""en"", ""fa"")
"),"ایده هایی برای تم عروسی الهام گرفته شده از پری باغ با تزئینات گل های شاداب به اشتراک بگذارید.")</f>
        <v>ایده هایی برای تم عروسی الهام گرفته شده از پری باغ با تزئینات گل های شاداب به اشتراک بگذارید.</v>
      </c>
      <c r="H3751" s="1"/>
      <c r="I3751" s="1"/>
      <c r="J3751" s="1"/>
      <c r="K3751" s="1"/>
      <c r="L3751" s="1"/>
      <c r="M3751" s="1"/>
      <c r="N3751" s="1"/>
      <c r="O3751" s="1"/>
      <c r="P3751" s="1"/>
      <c r="Q3751" s="1"/>
      <c r="R3751" s="1"/>
      <c r="S3751" s="1"/>
      <c r="T3751" s="1"/>
      <c r="U3751" s="1"/>
      <c r="V3751" s="1"/>
      <c r="W3751" s="1"/>
      <c r="X3751" s="1"/>
      <c r="Y3751" s="1"/>
      <c r="Z3751" s="1"/>
      <c r="AA3751" s="1"/>
      <c r="AB3751" s="1"/>
    </row>
    <row r="3752" ht="50.25" customHeight="1">
      <c r="A3752" s="12">
        <v>3748.0</v>
      </c>
      <c r="B3752" s="13" t="s">
        <v>3427</v>
      </c>
      <c r="C3752" s="14" t="s">
        <v>3769</v>
      </c>
      <c r="D3752" s="1"/>
      <c r="E3752" s="1"/>
      <c r="F3752" s="1" t="str">
        <f>IFERROR(__xludf.DUMMYFUNCTION("GOOGLETRANSLATE(B3752, ""en"", ""fa"")
"),"تمرینات ذهن آگاهی و مدیتیشن")</f>
        <v>تمرینات ذهن آگاهی و مدیتیشن</v>
      </c>
      <c r="G3752" s="1" t="str">
        <f>IFERROR(__xludf.DUMMYFUNCTION("GOOGLETRANSLATE(C3752, ""en"", ""fa"")
"),"چه راه هایی برای گنجاندن پارچه ها و منسوجات فرهنگی در تم و دکور عروسی وجود دارد؟")</f>
        <v>چه راه هایی برای گنجاندن پارچه ها و منسوجات فرهنگی در تم و دکور عروسی وجود دارد؟</v>
      </c>
      <c r="H3752" s="1"/>
      <c r="I3752" s="1"/>
      <c r="J3752" s="1"/>
      <c r="K3752" s="1"/>
      <c r="L3752" s="1"/>
      <c r="M3752" s="1"/>
      <c r="N3752" s="1"/>
      <c r="O3752" s="1"/>
      <c r="P3752" s="1"/>
      <c r="Q3752" s="1"/>
      <c r="R3752" s="1"/>
      <c r="S3752" s="1"/>
      <c r="T3752" s="1"/>
      <c r="U3752" s="1"/>
      <c r="V3752" s="1"/>
      <c r="W3752" s="1"/>
      <c r="X3752" s="1"/>
      <c r="Y3752" s="1"/>
      <c r="Z3752" s="1"/>
      <c r="AA3752" s="1"/>
      <c r="AB3752" s="1"/>
    </row>
    <row r="3753" ht="50.25" customHeight="1">
      <c r="A3753" s="12">
        <v>3749.0</v>
      </c>
      <c r="B3753" s="13" t="s">
        <v>3427</v>
      </c>
      <c r="C3753" s="14" t="s">
        <v>3770</v>
      </c>
      <c r="D3753" s="1"/>
      <c r="E3753" s="1"/>
      <c r="F3753" s="1" t="str">
        <f>IFERROR(__xludf.DUMMYFUNCTION("GOOGLETRANSLATE(B3753, ""en"", ""fa"")
"),"تمرینات ذهن آگاهی و مدیتیشن")</f>
        <v>تمرینات ذهن آگاهی و مدیتیشن</v>
      </c>
      <c r="G3753" s="1" t="str">
        <f>IFERROR(__xludf.DUMMYFUNCTION("GOOGLETRANSLATE(C3753, ""en"", ""fa"")
"),"چگونه می توانید با یک عروسی با تم سیرک یک فضای عجیب و غریب و بازیگوش ایجاد کنید؟")</f>
        <v>چگونه می توانید با یک عروسی با تم سیرک یک فضای عجیب و غریب و بازیگوش ایجاد کنید؟</v>
      </c>
      <c r="H3753" s="1"/>
      <c r="I3753" s="1"/>
      <c r="J3753" s="1"/>
      <c r="K3753" s="1"/>
      <c r="L3753" s="1"/>
      <c r="M3753" s="1"/>
      <c r="N3753" s="1"/>
      <c r="O3753" s="1"/>
      <c r="P3753" s="1"/>
      <c r="Q3753" s="1"/>
      <c r="R3753" s="1"/>
      <c r="S3753" s="1"/>
      <c r="T3753" s="1"/>
      <c r="U3753" s="1"/>
      <c r="V3753" s="1"/>
      <c r="W3753" s="1"/>
      <c r="X3753" s="1"/>
      <c r="Y3753" s="1"/>
      <c r="Z3753" s="1"/>
      <c r="AA3753" s="1"/>
      <c r="AB3753" s="1"/>
    </row>
    <row r="3754" ht="50.25" customHeight="1">
      <c r="A3754" s="12">
        <v>3750.0</v>
      </c>
      <c r="B3754" s="13" t="s">
        <v>3427</v>
      </c>
      <c r="C3754" s="14" t="s">
        <v>3771</v>
      </c>
      <c r="D3754" s="1"/>
      <c r="E3754" s="1"/>
      <c r="F3754" s="1" t="str">
        <f>IFERROR(__xludf.DUMMYFUNCTION("GOOGLETRANSLATE(B3754, ""en"", ""fa"")
"),"تمرینات ذهن آگاهی و مدیتیشن")</f>
        <v>تمرینات ذهن آگاهی و مدیتیشن</v>
      </c>
      <c r="G3754" s="1" t="str">
        <f>IFERROR(__xludf.DUMMYFUNCTION("GOOGLETRANSLATE(C3754, ""en"", ""fa"")
"),"نکاتی را برای ایجاد فضایی پر زرق و برق با تم عروسی الهام گرفته از گتسبی به اشتراک بگذارید.")</f>
        <v>نکاتی را برای ایجاد فضایی پر زرق و برق با تم عروسی الهام گرفته از گتسبی به اشتراک بگذارید.</v>
      </c>
      <c r="H3754" s="1"/>
      <c r="I3754" s="1"/>
      <c r="J3754" s="1"/>
      <c r="K3754" s="1"/>
      <c r="L3754" s="1"/>
      <c r="M3754" s="1"/>
      <c r="N3754" s="1"/>
      <c r="O3754" s="1"/>
      <c r="P3754" s="1"/>
      <c r="Q3754" s="1"/>
      <c r="R3754" s="1"/>
      <c r="S3754" s="1"/>
      <c r="T3754" s="1"/>
      <c r="U3754" s="1"/>
      <c r="V3754" s="1"/>
      <c r="W3754" s="1"/>
      <c r="X3754" s="1"/>
      <c r="Y3754" s="1"/>
      <c r="Z3754" s="1"/>
      <c r="AA3754" s="1"/>
      <c r="AB3754" s="1"/>
    </row>
    <row r="3755" ht="50.25" customHeight="1">
      <c r="A3755" s="12">
        <v>3751.0</v>
      </c>
      <c r="B3755" s="13" t="s">
        <v>3427</v>
      </c>
      <c r="C3755" s="14" t="s">
        <v>3772</v>
      </c>
      <c r="D3755" s="1"/>
      <c r="E3755" s="1"/>
      <c r="F3755" s="1" t="str">
        <f>IFERROR(__xludf.DUMMYFUNCTION("GOOGLETRANSLATE(B3755, ""en"", ""fa"")
"),"تمرینات ذهن آگاهی و مدیتیشن")</f>
        <v>تمرینات ذهن آگاهی و مدیتیشن</v>
      </c>
      <c r="G3755" s="1" t="str">
        <f>IFERROR(__xludf.DUMMYFUNCTION("GOOGLETRANSLATE(C3755, ""en"", ""fa"")
"),"چه راه هایی برای گنجاندن عناصر طبیعی مانند چوب و فضای سبز در تم و دکوراسیون عروسی وجود دارد؟")</f>
        <v>چه راه هایی برای گنجاندن عناصر طبیعی مانند چوب و فضای سبز در تم و دکوراسیون عروسی وجود دارد؟</v>
      </c>
      <c r="H3755" s="1"/>
      <c r="I3755" s="1"/>
      <c r="J3755" s="1"/>
      <c r="K3755" s="1"/>
      <c r="L3755" s="1"/>
      <c r="M3755" s="1"/>
      <c r="N3755" s="1"/>
      <c r="O3755" s="1"/>
      <c r="P3755" s="1"/>
      <c r="Q3755" s="1"/>
      <c r="R3755" s="1"/>
      <c r="S3755" s="1"/>
      <c r="T3755" s="1"/>
      <c r="U3755" s="1"/>
      <c r="V3755" s="1"/>
      <c r="W3755" s="1"/>
      <c r="X3755" s="1"/>
      <c r="Y3755" s="1"/>
      <c r="Z3755" s="1"/>
      <c r="AA3755" s="1"/>
      <c r="AB3755" s="1"/>
    </row>
    <row r="3756" ht="50.25" customHeight="1">
      <c r="A3756" s="12">
        <v>3752.0</v>
      </c>
      <c r="B3756" s="13" t="s">
        <v>3427</v>
      </c>
      <c r="C3756" s="14" t="s">
        <v>3773</v>
      </c>
      <c r="D3756" s="1"/>
      <c r="E3756" s="1"/>
      <c r="F3756" s="1" t="str">
        <f>IFERROR(__xludf.DUMMYFUNCTION("GOOGLETRANSLATE(B3756, ""en"", ""fa"")
"),"تمرینات ذهن آگاهی و مدیتیشن")</f>
        <v>تمرینات ذهن آگاهی و مدیتیشن</v>
      </c>
      <c r="G3756" s="1" t="str">
        <f>IFERROR(__xludf.DUMMYFUNCTION("GOOGLETRANSLATE(C3756, ""en"", ""fa"")
"),"چگونه می توانید با تم عروسی الهام گرفته شده از دهه 1950 یک حال و هوای قدیمی و قدیمی ایجاد کنید؟")</f>
        <v>چگونه می توانید با تم عروسی الهام گرفته شده از دهه 1950 یک حال و هوای قدیمی و قدیمی ایجاد کنید؟</v>
      </c>
      <c r="H3756" s="1"/>
      <c r="I3756" s="1"/>
      <c r="J3756" s="1"/>
      <c r="K3756" s="1"/>
      <c r="L3756" s="1"/>
      <c r="M3756" s="1"/>
      <c r="N3756" s="1"/>
      <c r="O3756" s="1"/>
      <c r="P3756" s="1"/>
      <c r="Q3756" s="1"/>
      <c r="R3756" s="1"/>
      <c r="S3756" s="1"/>
      <c r="T3756" s="1"/>
      <c r="U3756" s="1"/>
      <c r="V3756" s="1"/>
      <c r="W3756" s="1"/>
      <c r="X3756" s="1"/>
      <c r="Y3756" s="1"/>
      <c r="Z3756" s="1"/>
      <c r="AA3756" s="1"/>
      <c r="AB3756" s="1"/>
    </row>
    <row r="3757" ht="50.25" customHeight="1">
      <c r="A3757" s="12">
        <v>3753.0</v>
      </c>
      <c r="B3757" s="13" t="s">
        <v>3427</v>
      </c>
      <c r="C3757" s="14" t="s">
        <v>3774</v>
      </c>
      <c r="D3757" s="1"/>
      <c r="E3757" s="1"/>
      <c r="F3757" s="1" t="str">
        <f>IFERROR(__xludf.DUMMYFUNCTION("GOOGLETRANSLATE(B3757, ""en"", ""fa"")
"),"تمرینات ذهن آگاهی و مدیتیشن")</f>
        <v>تمرینات ذهن آگاهی و مدیتیشن</v>
      </c>
      <c r="G3757" s="1" t="str">
        <f>IFERROR(__xludf.DUMMYFUNCTION("GOOGLETRANSLATE(C3757, ""en"", ""fa"")
"),"ایده هایی برای یک تم عروسی مدرن و هیجان انگیز با دکوراسیون جسورانه و غیر متعارف به اشتراک بگذارید.")</f>
        <v>ایده هایی برای یک تم عروسی مدرن و هیجان انگیز با دکوراسیون جسورانه و غیر متعارف به اشتراک بگذارید.</v>
      </c>
      <c r="H3757" s="1"/>
      <c r="I3757" s="1"/>
      <c r="J3757" s="1"/>
      <c r="K3757" s="1"/>
      <c r="L3757" s="1"/>
      <c r="M3757" s="1"/>
      <c r="N3757" s="1"/>
      <c r="O3757" s="1"/>
      <c r="P3757" s="1"/>
      <c r="Q3757" s="1"/>
      <c r="R3757" s="1"/>
      <c r="S3757" s="1"/>
      <c r="T3757" s="1"/>
      <c r="U3757" s="1"/>
      <c r="V3757" s="1"/>
      <c r="W3757" s="1"/>
      <c r="X3757" s="1"/>
      <c r="Y3757" s="1"/>
      <c r="Z3757" s="1"/>
      <c r="AA3757" s="1"/>
      <c r="AB3757" s="1"/>
    </row>
    <row r="3758" ht="50.25" customHeight="1">
      <c r="A3758" s="12">
        <v>3754.0</v>
      </c>
      <c r="B3758" s="13" t="s">
        <v>3427</v>
      </c>
      <c r="C3758" s="14" t="s">
        <v>3775</v>
      </c>
      <c r="D3758" s="1"/>
      <c r="E3758" s="1"/>
      <c r="F3758" s="1" t="str">
        <f>IFERROR(__xludf.DUMMYFUNCTION("GOOGLETRANSLATE(B3758, ""en"", ""fa"")
"),"تمرینات ذهن آگاهی و مدیتیشن")</f>
        <v>تمرینات ذهن آگاهی و مدیتیشن</v>
      </c>
      <c r="G3758" s="1" t="str">
        <f>IFERROR(__xludf.DUMMYFUNCTION("GOOGLETRANSLATE(C3758, ""en"", ""fa"")
"),"چه راه هایی برای گنجاندن چراغ های پری و شمع ها در تم و دکور عروسی وجود دارد؟")</f>
        <v>چه راه هایی برای گنجاندن چراغ های پری و شمع ها در تم و دکور عروسی وجود دارد؟</v>
      </c>
      <c r="H3758" s="1"/>
      <c r="I3758" s="1"/>
      <c r="J3758" s="1"/>
      <c r="K3758" s="1"/>
      <c r="L3758" s="1"/>
      <c r="M3758" s="1"/>
      <c r="N3758" s="1"/>
      <c r="O3758" s="1"/>
      <c r="P3758" s="1"/>
      <c r="Q3758" s="1"/>
      <c r="R3758" s="1"/>
      <c r="S3758" s="1"/>
      <c r="T3758" s="1"/>
      <c r="U3758" s="1"/>
      <c r="V3758" s="1"/>
      <c r="W3758" s="1"/>
      <c r="X3758" s="1"/>
      <c r="Y3758" s="1"/>
      <c r="Z3758" s="1"/>
      <c r="AA3758" s="1"/>
      <c r="AB3758" s="1"/>
    </row>
    <row r="3759" ht="50.25" customHeight="1">
      <c r="A3759" s="12">
        <v>3755.0</v>
      </c>
      <c r="B3759" s="13" t="s">
        <v>3427</v>
      </c>
      <c r="C3759" s="14" t="s">
        <v>3776</v>
      </c>
      <c r="D3759" s="1"/>
      <c r="E3759" s="1"/>
      <c r="F3759" s="1" t="str">
        <f>IFERROR(__xludf.DUMMYFUNCTION("GOOGLETRANSLATE(B3759, ""en"", ""fa"")
"),"تمرینات ذهن آگاهی و مدیتیشن")</f>
        <v>تمرینات ذهن آگاهی و مدیتیشن</v>
      </c>
      <c r="G3759" s="1" t="str">
        <f>IFERROR(__xludf.DUMMYFUNCTION("GOOGLETRANSLATE(C3759, ""en"", ""fa"")
"),"چگونه می توانید یک فضای رمانتیک و اثیری را با تم عروسی شیک بوهو ایجاد کنید؟")</f>
        <v>چگونه می توانید یک فضای رمانتیک و اثیری را با تم عروسی شیک بوهو ایجاد کنید؟</v>
      </c>
      <c r="H3759" s="1"/>
      <c r="I3759" s="1"/>
      <c r="J3759" s="1"/>
      <c r="K3759" s="1"/>
      <c r="L3759" s="1"/>
      <c r="M3759" s="1"/>
      <c r="N3759" s="1"/>
      <c r="O3759" s="1"/>
      <c r="P3759" s="1"/>
      <c r="Q3759" s="1"/>
      <c r="R3759" s="1"/>
      <c r="S3759" s="1"/>
      <c r="T3759" s="1"/>
      <c r="U3759" s="1"/>
      <c r="V3759" s="1"/>
      <c r="W3759" s="1"/>
      <c r="X3759" s="1"/>
      <c r="Y3759" s="1"/>
      <c r="Z3759" s="1"/>
      <c r="AA3759" s="1"/>
      <c r="AB3759" s="1"/>
    </row>
    <row r="3760" ht="50.25" customHeight="1">
      <c r="A3760" s="12">
        <v>3756.0</v>
      </c>
      <c r="B3760" s="13" t="s">
        <v>3427</v>
      </c>
      <c r="C3760" s="14" t="s">
        <v>3777</v>
      </c>
      <c r="D3760" s="1"/>
      <c r="E3760" s="1"/>
      <c r="F3760" s="1" t="str">
        <f>IFERROR(__xludf.DUMMYFUNCTION("GOOGLETRANSLATE(B3760, ""en"", ""fa"")
"),"تمرینات ذهن آگاهی و مدیتیشن")</f>
        <v>تمرینات ذهن آگاهی و مدیتیشن</v>
      </c>
      <c r="G3760" s="1" t="str">
        <f>IFERROR(__xludf.DUMMYFUNCTION("GOOGLETRANSLATE(C3760, ""en"", ""fa"")
"),"نکاتی را برای ایجاد فضایی سنتی و شیک با تم عروسی کلاسیک به اشتراک بگذارید.")</f>
        <v>نکاتی را برای ایجاد فضایی سنتی و شیک با تم عروسی کلاسیک به اشتراک بگذارید.</v>
      </c>
      <c r="H3760" s="1"/>
      <c r="I3760" s="1"/>
      <c r="J3760" s="1"/>
      <c r="K3760" s="1"/>
      <c r="L3760" s="1"/>
      <c r="M3760" s="1"/>
      <c r="N3760" s="1"/>
      <c r="O3760" s="1"/>
      <c r="P3760" s="1"/>
      <c r="Q3760" s="1"/>
      <c r="R3760" s="1"/>
      <c r="S3760" s="1"/>
      <c r="T3760" s="1"/>
      <c r="U3760" s="1"/>
      <c r="V3760" s="1"/>
      <c r="W3760" s="1"/>
      <c r="X3760" s="1"/>
      <c r="Y3760" s="1"/>
      <c r="Z3760" s="1"/>
      <c r="AA3760" s="1"/>
      <c r="AB3760" s="1"/>
    </row>
    <row r="3761" ht="50.25" customHeight="1">
      <c r="A3761" s="12">
        <v>3757.0</v>
      </c>
      <c r="B3761" s="13" t="s">
        <v>3778</v>
      </c>
      <c r="C3761" s="14" t="s">
        <v>3779</v>
      </c>
      <c r="D3761" s="1"/>
      <c r="E3761" s="1"/>
      <c r="F3761" s="1" t="str">
        <f>IFERROR(__xludf.DUMMYFUNCTION("GOOGLETRANSLATE(B3761, ""en"", ""fa"")
"),"برنامه ریز عروسی")</f>
        <v>برنامه ریز عروسی</v>
      </c>
      <c r="G3761" s="1" t="str">
        <f>IFERROR(__xludf.DUMMYFUNCTION("GOOGLETRANSLATE(C3761, ""en"", ""fa"")
"),"چه راه هایی برای گنجاندن غذاهای فرهنگی و ارائه غذا در تم و دکور عروسی وجود دارد؟")</f>
        <v>چه راه هایی برای گنجاندن غذاهای فرهنگی و ارائه غذا در تم و دکور عروسی وجود دارد؟</v>
      </c>
      <c r="H3761" s="1"/>
      <c r="I3761" s="1"/>
      <c r="J3761" s="1"/>
      <c r="K3761" s="1"/>
      <c r="L3761" s="1"/>
      <c r="M3761" s="1"/>
      <c r="N3761" s="1"/>
      <c r="O3761" s="1"/>
      <c r="P3761" s="1"/>
      <c r="Q3761" s="1"/>
      <c r="R3761" s="1"/>
      <c r="S3761" s="1"/>
      <c r="T3761" s="1"/>
      <c r="U3761" s="1"/>
      <c r="V3761" s="1"/>
      <c r="W3761" s="1"/>
      <c r="X3761" s="1"/>
      <c r="Y3761" s="1"/>
      <c r="Z3761" s="1"/>
      <c r="AA3761" s="1"/>
      <c r="AB3761" s="1"/>
    </row>
    <row r="3762" ht="50.25" customHeight="1">
      <c r="A3762" s="12">
        <v>3758.0</v>
      </c>
      <c r="B3762" s="13" t="s">
        <v>3778</v>
      </c>
      <c r="C3762" s="14" t="s">
        <v>3780</v>
      </c>
      <c r="D3762" s="1"/>
      <c r="E3762" s="1"/>
      <c r="F3762" s="1" t="str">
        <f>IFERROR(__xludf.DUMMYFUNCTION("GOOGLETRANSLATE(B3762, ""en"", ""fa"")
"),"برنامه ریز عروسی")</f>
        <v>برنامه ریز عروسی</v>
      </c>
      <c r="G3762" s="1" t="str">
        <f>IFERROR(__xludf.DUMMYFUNCTION("GOOGLETRANSLATE(C3762, ""en"", ""fa"")
"),"چگونه می توانید با تم عروسی قدیمی هالیوود یک محیط پر زرق و برق و پیچیده ایجاد کنید؟")</f>
        <v>چگونه می توانید با تم عروسی قدیمی هالیوود یک محیط پر زرق و برق و پیچیده ایجاد کنید؟</v>
      </c>
      <c r="H3762" s="1"/>
      <c r="I3762" s="1"/>
      <c r="J3762" s="1"/>
      <c r="K3762" s="1"/>
      <c r="L3762" s="1"/>
      <c r="M3762" s="1"/>
      <c r="N3762" s="1"/>
      <c r="O3762" s="1"/>
      <c r="P3762" s="1"/>
      <c r="Q3762" s="1"/>
      <c r="R3762" s="1"/>
      <c r="S3762" s="1"/>
      <c r="T3762" s="1"/>
      <c r="U3762" s="1"/>
      <c r="V3762" s="1"/>
      <c r="W3762" s="1"/>
      <c r="X3762" s="1"/>
      <c r="Y3762" s="1"/>
      <c r="Z3762" s="1"/>
      <c r="AA3762" s="1"/>
      <c r="AB3762" s="1"/>
    </row>
    <row r="3763" ht="50.25" customHeight="1">
      <c r="A3763" s="12">
        <v>3759.0</v>
      </c>
      <c r="B3763" s="13" t="s">
        <v>3778</v>
      </c>
      <c r="C3763" s="14" t="s">
        <v>3781</v>
      </c>
      <c r="D3763" s="1"/>
      <c r="E3763" s="1"/>
      <c r="F3763" s="1" t="str">
        <f>IFERROR(__xludf.DUMMYFUNCTION("GOOGLETRANSLATE(B3763, ""en"", ""fa"")
"),"برنامه ریز عروسی")</f>
        <v>برنامه ریز عروسی</v>
      </c>
      <c r="G3763" s="1" t="str">
        <f>IFERROR(__xludf.DUMMYFUNCTION("GOOGLETRANSLATE(C3763, ""en"", ""fa"")
"),"چند ایده برای تم عروسی الهام گرفته از تاکستان با تزئینات روستایی تاکستان به اشتراک بگذارید.")</f>
        <v>چند ایده برای تم عروسی الهام گرفته از تاکستان با تزئینات روستایی تاکستان به اشتراک بگذارید.</v>
      </c>
      <c r="H3763" s="1"/>
      <c r="I3763" s="1"/>
      <c r="J3763" s="1"/>
      <c r="K3763" s="1"/>
      <c r="L3763" s="1"/>
      <c r="M3763" s="1"/>
      <c r="N3763" s="1"/>
      <c r="O3763" s="1"/>
      <c r="P3763" s="1"/>
      <c r="Q3763" s="1"/>
      <c r="R3763" s="1"/>
      <c r="S3763" s="1"/>
      <c r="T3763" s="1"/>
      <c r="U3763" s="1"/>
      <c r="V3763" s="1"/>
      <c r="W3763" s="1"/>
      <c r="X3763" s="1"/>
      <c r="Y3763" s="1"/>
      <c r="Z3763" s="1"/>
      <c r="AA3763" s="1"/>
      <c r="AB3763" s="1"/>
    </row>
    <row r="3764" ht="50.25" customHeight="1">
      <c r="A3764" s="12">
        <v>3760.0</v>
      </c>
      <c r="B3764" s="13" t="s">
        <v>3778</v>
      </c>
      <c r="C3764" s="14" t="s">
        <v>3782</v>
      </c>
      <c r="D3764" s="1"/>
      <c r="E3764" s="1"/>
      <c r="F3764" s="1" t="str">
        <f>IFERROR(__xludf.DUMMYFUNCTION("GOOGLETRANSLATE(B3764, ""en"", ""fa"")
"),"برنامه ریز عروسی")</f>
        <v>برنامه ریز عروسی</v>
      </c>
      <c r="G3764" s="1" t="str">
        <f>IFERROR(__xludf.DUMMYFUNCTION("GOOGLETRANSLATE(C3764, ""en"", ""fa"")
"),"چه راه هایی برای گنجاندن لباس های عروسی شخصی در تم و دکوراسیون عروسی وجود دارد؟")</f>
        <v>چه راه هایی برای گنجاندن لباس های عروسی شخصی در تم و دکوراسیون عروسی وجود دارد؟</v>
      </c>
      <c r="H3764" s="1"/>
      <c r="I3764" s="1"/>
      <c r="J3764" s="1"/>
      <c r="K3764" s="1"/>
      <c r="L3764" s="1"/>
      <c r="M3764" s="1"/>
      <c r="N3764" s="1"/>
      <c r="O3764" s="1"/>
      <c r="P3764" s="1"/>
      <c r="Q3764" s="1"/>
      <c r="R3764" s="1"/>
      <c r="S3764" s="1"/>
      <c r="T3764" s="1"/>
      <c r="U3764" s="1"/>
      <c r="V3764" s="1"/>
      <c r="W3764" s="1"/>
      <c r="X3764" s="1"/>
      <c r="Y3764" s="1"/>
      <c r="Z3764" s="1"/>
      <c r="AA3764" s="1"/>
      <c r="AB3764" s="1"/>
    </row>
    <row r="3765" ht="50.25" customHeight="1">
      <c r="A3765" s="12">
        <v>3761.0</v>
      </c>
      <c r="B3765" s="13" t="s">
        <v>3778</v>
      </c>
      <c r="C3765" s="14" t="s">
        <v>3783</v>
      </c>
      <c r="D3765" s="1"/>
      <c r="E3765" s="1"/>
      <c r="F3765" s="1" t="str">
        <f>IFERROR(__xludf.DUMMYFUNCTION("GOOGLETRANSLATE(B3765, ""en"", ""fa"")
"),"برنامه ریز عروسی")</f>
        <v>برنامه ریز عروسی</v>
      </c>
      <c r="G3765" s="1" t="str">
        <f>IFERROR(__xludf.DUMMYFUNCTION("GOOGLETRANSLATE(C3765, ""en"", ""fa"")
"),"چگونه می توانید با یک عروسی با مضمون فستیوال مکزیکی یک فضای پر جنب و جوش و جشن ایجاد کنید؟")</f>
        <v>چگونه می توانید با یک عروسی با مضمون فستیوال مکزیکی یک فضای پر جنب و جوش و جشن ایجاد کنید؟</v>
      </c>
      <c r="H3765" s="1"/>
      <c r="I3765" s="1"/>
      <c r="J3765" s="1"/>
      <c r="K3765" s="1"/>
      <c r="L3765" s="1"/>
      <c r="M3765" s="1"/>
      <c r="N3765" s="1"/>
      <c r="O3765" s="1"/>
      <c r="P3765" s="1"/>
      <c r="Q3765" s="1"/>
      <c r="R3765" s="1"/>
      <c r="S3765" s="1"/>
      <c r="T3765" s="1"/>
      <c r="U3765" s="1"/>
      <c r="V3765" s="1"/>
      <c r="W3765" s="1"/>
      <c r="X3765" s="1"/>
      <c r="Y3765" s="1"/>
      <c r="Z3765" s="1"/>
      <c r="AA3765" s="1"/>
      <c r="AB3765" s="1"/>
    </row>
    <row r="3766" ht="50.25" customHeight="1">
      <c r="A3766" s="12">
        <v>3762.0</v>
      </c>
      <c r="B3766" s="13" t="s">
        <v>3778</v>
      </c>
      <c r="C3766" s="14" t="s">
        <v>3784</v>
      </c>
      <c r="D3766" s="1"/>
      <c r="E3766" s="1"/>
      <c r="F3766" s="1" t="str">
        <f>IFERROR(__xludf.DUMMYFUNCTION("GOOGLETRANSLATE(B3766, ""en"", ""fa"")
"),"برنامه ریز عروسی")</f>
        <v>برنامه ریز عروسی</v>
      </c>
      <c r="G3766" s="1" t="str">
        <f>IFERROR(__xludf.DUMMYFUNCTION("GOOGLETRANSLATE(C3766, ""en"", ""fa"")
"),"نکاتی را برای ایجاد فضایی مدرن و مینیمالیستی با تم عروسی شیروانی شهری به اشتراک بگذارید.")</f>
        <v>نکاتی را برای ایجاد فضایی مدرن و مینیمالیستی با تم عروسی شیروانی شهری به اشتراک بگذارید.</v>
      </c>
      <c r="H3766" s="1"/>
      <c r="I3766" s="1"/>
      <c r="J3766" s="1"/>
      <c r="K3766" s="1"/>
      <c r="L3766" s="1"/>
      <c r="M3766" s="1"/>
      <c r="N3766" s="1"/>
      <c r="O3766" s="1"/>
      <c r="P3766" s="1"/>
      <c r="Q3766" s="1"/>
      <c r="R3766" s="1"/>
      <c r="S3766" s="1"/>
      <c r="T3766" s="1"/>
      <c r="U3766" s="1"/>
      <c r="V3766" s="1"/>
      <c r="W3766" s="1"/>
      <c r="X3766" s="1"/>
      <c r="Y3766" s="1"/>
      <c r="Z3766" s="1"/>
      <c r="AA3766" s="1"/>
      <c r="AB3766" s="1"/>
    </row>
    <row r="3767" ht="50.25" customHeight="1">
      <c r="A3767" s="12">
        <v>3763.0</v>
      </c>
      <c r="B3767" s="13" t="s">
        <v>3778</v>
      </c>
      <c r="C3767" s="14" t="s">
        <v>3785</v>
      </c>
      <c r="D3767" s="1"/>
      <c r="E3767" s="1"/>
      <c r="F3767" s="1" t="str">
        <f>IFERROR(__xludf.DUMMYFUNCTION("GOOGLETRANSLATE(B3767, ""en"", ""fa"")
"),"برنامه ریز عروسی")</f>
        <v>برنامه ریز عروسی</v>
      </c>
      <c r="G3767" s="1" t="str">
        <f>IFERROR(__xludf.DUMMYFUNCTION("GOOGLETRANSLATE(C3767, ""en"", ""fa"")
"),"چه راه هایی برای گنجاندن عناصر فصلی در تم و دکوراسیون عروسی وجود دارد؟")</f>
        <v>چه راه هایی برای گنجاندن عناصر فصلی در تم و دکوراسیون عروسی وجود دارد؟</v>
      </c>
      <c r="H3767" s="1"/>
      <c r="I3767" s="1"/>
      <c r="J3767" s="1"/>
      <c r="K3767" s="1"/>
      <c r="L3767" s="1"/>
      <c r="M3767" s="1"/>
      <c r="N3767" s="1"/>
      <c r="O3767" s="1"/>
      <c r="P3767" s="1"/>
      <c r="Q3767" s="1"/>
      <c r="R3767" s="1"/>
      <c r="S3767" s="1"/>
      <c r="T3767" s="1"/>
      <c r="U3767" s="1"/>
      <c r="V3767" s="1"/>
      <c r="W3767" s="1"/>
      <c r="X3767" s="1"/>
      <c r="Y3767" s="1"/>
      <c r="Z3767" s="1"/>
      <c r="AA3767" s="1"/>
      <c r="AB3767" s="1"/>
    </row>
    <row r="3768" ht="50.25" customHeight="1">
      <c r="A3768" s="12">
        <v>3764.0</v>
      </c>
      <c r="B3768" s="13" t="s">
        <v>3778</v>
      </c>
      <c r="C3768" s="14" t="s">
        <v>3786</v>
      </c>
      <c r="D3768" s="1"/>
      <c r="E3768" s="1"/>
      <c r="F3768" s="1" t="str">
        <f>IFERROR(__xludf.DUMMYFUNCTION("GOOGLETRANSLATE(B3768, ""en"", ""fa"")
"),"برنامه ریز عروسی")</f>
        <v>برنامه ریز عروسی</v>
      </c>
      <c r="G3768" s="1" t="str">
        <f>IFERROR(__xludf.DUMMYFUNCTION("GOOGLETRANSLATE(C3768, ""en"", ""fa"")
"),"چگونه می توان فضایی رویایی و غریب را با تم عروسی پاستلی ایجاد کرد؟")</f>
        <v>چگونه می توان فضایی رویایی و غریب را با تم عروسی پاستلی ایجاد کرد؟</v>
      </c>
      <c r="H3768" s="1"/>
      <c r="I3768" s="1"/>
      <c r="J3768" s="1"/>
      <c r="K3768" s="1"/>
      <c r="L3768" s="1"/>
      <c r="M3768" s="1"/>
      <c r="N3768" s="1"/>
      <c r="O3768" s="1"/>
      <c r="P3768" s="1"/>
      <c r="Q3768" s="1"/>
      <c r="R3768" s="1"/>
      <c r="S3768" s="1"/>
      <c r="T3768" s="1"/>
      <c r="U3768" s="1"/>
      <c r="V3768" s="1"/>
      <c r="W3768" s="1"/>
      <c r="X3768" s="1"/>
      <c r="Y3768" s="1"/>
      <c r="Z3768" s="1"/>
      <c r="AA3768" s="1"/>
      <c r="AB3768" s="1"/>
    </row>
    <row r="3769" ht="50.25" customHeight="1">
      <c r="A3769" s="12">
        <v>3765.0</v>
      </c>
      <c r="B3769" s="13" t="s">
        <v>3778</v>
      </c>
      <c r="C3769" s="14" t="s">
        <v>3787</v>
      </c>
      <c r="D3769" s="1"/>
      <c r="E3769" s="1"/>
      <c r="F3769" s="1" t="str">
        <f>IFERROR(__xludf.DUMMYFUNCTION("GOOGLETRANSLATE(B3769, ""en"", ""fa"")
"),"برنامه ریز عروسی")</f>
        <v>برنامه ریز عروسی</v>
      </c>
      <c r="G3769" s="1" t="str">
        <f>IFERROR(__xludf.DUMMYFUNCTION("GOOGLETRANSLATE(C3769, ""en"", ""fa"")
"),"ایده هایی برای تم عروسی الهام گرفته از قلعه افسانه ای با تزئینات سلطنتی به اشتراک بگذارید.")</f>
        <v>ایده هایی برای تم عروسی الهام گرفته از قلعه افسانه ای با تزئینات سلطنتی به اشتراک بگذارید.</v>
      </c>
      <c r="H3769" s="1"/>
      <c r="I3769" s="1"/>
      <c r="J3769" s="1"/>
      <c r="K3769" s="1"/>
      <c r="L3769" s="1"/>
      <c r="M3769" s="1"/>
      <c r="N3769" s="1"/>
      <c r="O3769" s="1"/>
      <c r="P3769" s="1"/>
      <c r="Q3769" s="1"/>
      <c r="R3769" s="1"/>
      <c r="S3769" s="1"/>
      <c r="T3769" s="1"/>
      <c r="U3769" s="1"/>
      <c r="V3769" s="1"/>
      <c r="W3769" s="1"/>
      <c r="X3769" s="1"/>
      <c r="Y3769" s="1"/>
      <c r="Z3769" s="1"/>
      <c r="AA3769" s="1"/>
      <c r="AB3769" s="1"/>
    </row>
    <row r="3770" ht="50.25" customHeight="1">
      <c r="A3770" s="12">
        <v>3766.0</v>
      </c>
      <c r="B3770" s="13" t="s">
        <v>3778</v>
      </c>
      <c r="C3770" s="14" t="s">
        <v>3788</v>
      </c>
      <c r="D3770" s="1"/>
      <c r="E3770" s="1"/>
      <c r="F3770" s="1" t="str">
        <f>IFERROR(__xludf.DUMMYFUNCTION("GOOGLETRANSLATE(B3770, ""en"", ""fa"")
"),"برنامه ریز عروسی")</f>
        <v>برنامه ریز عروسی</v>
      </c>
      <c r="G3770" s="1" t="str">
        <f>IFERROR(__xludf.DUMMYFUNCTION("GOOGLETRANSLATE(C3770, ""en"", ""fa"")
"),"چند راه برای گنجاندن موسیقی و رقص فرهنگی در تم و دکور عروسی چیست؟")</f>
        <v>چند راه برای گنجاندن موسیقی و رقص فرهنگی در تم و دکور عروسی چیست؟</v>
      </c>
      <c r="H3770" s="1"/>
      <c r="I3770" s="1"/>
      <c r="J3770" s="1"/>
      <c r="K3770" s="1"/>
      <c r="L3770" s="1"/>
      <c r="M3770" s="1"/>
      <c r="N3770" s="1"/>
      <c r="O3770" s="1"/>
      <c r="P3770" s="1"/>
      <c r="Q3770" s="1"/>
      <c r="R3770" s="1"/>
      <c r="S3770" s="1"/>
      <c r="T3770" s="1"/>
      <c r="U3770" s="1"/>
      <c r="V3770" s="1"/>
      <c r="W3770" s="1"/>
      <c r="X3770" s="1"/>
      <c r="Y3770" s="1"/>
      <c r="Z3770" s="1"/>
      <c r="AA3770" s="1"/>
      <c r="AB3770" s="1"/>
    </row>
    <row r="3771" ht="50.25" customHeight="1">
      <c r="A3771" s="12">
        <v>3767.0</v>
      </c>
      <c r="B3771" s="13" t="s">
        <v>3778</v>
      </c>
      <c r="C3771" s="14" t="s">
        <v>3789</v>
      </c>
      <c r="D3771" s="1"/>
      <c r="E3771" s="1"/>
      <c r="F3771" s="1" t="str">
        <f>IFERROR(__xludf.DUMMYFUNCTION("GOOGLETRANSLATE(B3771, ""en"", ""fa"")
"),"برنامه ریز عروسی")</f>
        <v>برنامه ریز عروسی</v>
      </c>
      <c r="G3771" s="1" t="str">
        <f>IFERROR(__xludf.DUMMYFUNCTION("GOOGLETRANSLATE(C3771, ""en"", ""fa"")
"),"چگونه می توانید با تم عروسی سیاه و سفید یک محیط زیبا و شیک ایجاد کنید؟")</f>
        <v>چگونه می توانید با تم عروسی سیاه و سفید یک محیط زیبا و شیک ایجاد کنید؟</v>
      </c>
      <c r="H3771" s="1"/>
      <c r="I3771" s="1"/>
      <c r="J3771" s="1"/>
      <c r="K3771" s="1"/>
      <c r="L3771" s="1"/>
      <c r="M3771" s="1"/>
      <c r="N3771" s="1"/>
      <c r="O3771" s="1"/>
      <c r="P3771" s="1"/>
      <c r="Q3771" s="1"/>
      <c r="R3771" s="1"/>
      <c r="S3771" s="1"/>
      <c r="T3771" s="1"/>
      <c r="U3771" s="1"/>
      <c r="V3771" s="1"/>
      <c r="W3771" s="1"/>
      <c r="X3771" s="1"/>
      <c r="Y3771" s="1"/>
      <c r="Z3771" s="1"/>
      <c r="AA3771" s="1"/>
      <c r="AB3771" s="1"/>
    </row>
    <row r="3772" ht="50.25" customHeight="1">
      <c r="A3772" s="12">
        <v>3768.0</v>
      </c>
      <c r="B3772" s="13" t="s">
        <v>3778</v>
      </c>
      <c r="C3772" s="14" t="s">
        <v>3790</v>
      </c>
      <c r="D3772" s="1"/>
      <c r="E3772" s="1"/>
      <c r="F3772" s="1" t="str">
        <f>IFERROR(__xludf.DUMMYFUNCTION("GOOGLETRANSLATE(B3772, ""en"", ""fa"")
"),"برنامه ریز عروسی")</f>
        <v>برنامه ریز عروسی</v>
      </c>
      <c r="G3772" s="1" t="str">
        <f>IFERROR(__xludf.DUMMYFUNCTION("GOOGLETRANSLATE(C3772, ""en"", ""fa"")
"),"نکاتی را برای ایجاد فضایی رمانتیک و صمیمی با تم عروسی با نور شمع به اشتراک بگذارید.")</f>
        <v>نکاتی را برای ایجاد فضایی رمانتیک و صمیمی با تم عروسی با نور شمع به اشتراک بگذارید.</v>
      </c>
      <c r="H3772" s="1"/>
      <c r="I3772" s="1"/>
      <c r="J3772" s="1"/>
      <c r="K3772" s="1"/>
      <c r="L3772" s="1"/>
      <c r="M3772" s="1"/>
      <c r="N3772" s="1"/>
      <c r="O3772" s="1"/>
      <c r="P3772" s="1"/>
      <c r="Q3772" s="1"/>
      <c r="R3772" s="1"/>
      <c r="S3772" s="1"/>
      <c r="T3772" s="1"/>
      <c r="U3772" s="1"/>
      <c r="V3772" s="1"/>
      <c r="W3772" s="1"/>
      <c r="X3772" s="1"/>
      <c r="Y3772" s="1"/>
      <c r="Z3772" s="1"/>
      <c r="AA3772" s="1"/>
      <c r="AB3772" s="1"/>
    </row>
    <row r="3773" ht="50.25" customHeight="1">
      <c r="A3773" s="12">
        <v>3769.0</v>
      </c>
      <c r="B3773" s="13" t="s">
        <v>3778</v>
      </c>
      <c r="C3773" s="14" t="s">
        <v>3791</v>
      </c>
      <c r="D3773" s="1"/>
      <c r="E3773" s="1"/>
      <c r="F3773" s="1" t="str">
        <f>IFERROR(__xludf.DUMMYFUNCTION("GOOGLETRANSLATE(B3773, ""en"", ""fa"")
"),"برنامه ریز عروسی")</f>
        <v>برنامه ریز عروسی</v>
      </c>
      <c r="G3773" s="1" t="str">
        <f>IFERROR(__xludf.DUMMYFUNCTION("GOOGLETRANSLATE(C3773, ""en"", ""fa"")
"),"چه راه هایی برای گنجاندن عناصر روستیک در تم و دکوراسیون عروسی وجود دارد؟")</f>
        <v>چه راه هایی برای گنجاندن عناصر روستیک در تم و دکوراسیون عروسی وجود دارد؟</v>
      </c>
      <c r="H3773" s="1"/>
      <c r="I3773" s="1"/>
      <c r="J3773" s="1"/>
      <c r="K3773" s="1"/>
      <c r="L3773" s="1"/>
      <c r="M3773" s="1"/>
      <c r="N3773" s="1"/>
      <c r="O3773" s="1"/>
      <c r="P3773" s="1"/>
      <c r="Q3773" s="1"/>
      <c r="R3773" s="1"/>
      <c r="S3773" s="1"/>
      <c r="T3773" s="1"/>
      <c r="U3773" s="1"/>
      <c r="V3773" s="1"/>
      <c r="W3773" s="1"/>
      <c r="X3773" s="1"/>
      <c r="Y3773" s="1"/>
      <c r="Z3773" s="1"/>
      <c r="AA3773" s="1"/>
      <c r="AB3773" s="1"/>
    </row>
    <row r="3774" ht="50.25" customHeight="1">
      <c r="A3774" s="12">
        <v>3770.0</v>
      </c>
      <c r="B3774" s="13" t="s">
        <v>3778</v>
      </c>
      <c r="C3774" s="14" t="s">
        <v>3792</v>
      </c>
      <c r="D3774" s="1"/>
      <c r="E3774" s="1"/>
      <c r="F3774" s="1" t="str">
        <f>IFERROR(__xludf.DUMMYFUNCTION("GOOGLETRANSLATE(B3774, ""en"", ""fa"")
"),"برنامه ریز عروسی")</f>
        <v>برنامه ریز عروسی</v>
      </c>
      <c r="G3774" s="1" t="str">
        <f>IFERROR(__xludf.DUMMYFUNCTION("GOOGLETRANSLATE(C3774, ""en"", ""fa"")
"),"چگونه می توانید با تم عروسی الهام گرفته از انتزاعی، حال و هوای مدرن و هنری ایجاد کنید؟")</f>
        <v>چگونه می توانید با تم عروسی الهام گرفته از انتزاعی، حال و هوای مدرن و هنری ایجاد کنید؟</v>
      </c>
      <c r="H3774" s="1"/>
      <c r="I3774" s="1"/>
      <c r="J3774" s="1"/>
      <c r="K3774" s="1"/>
      <c r="L3774" s="1"/>
      <c r="M3774" s="1"/>
      <c r="N3774" s="1"/>
      <c r="O3774" s="1"/>
      <c r="P3774" s="1"/>
      <c r="Q3774" s="1"/>
      <c r="R3774" s="1"/>
      <c r="S3774" s="1"/>
      <c r="T3774" s="1"/>
      <c r="U3774" s="1"/>
      <c r="V3774" s="1"/>
      <c r="W3774" s="1"/>
      <c r="X3774" s="1"/>
      <c r="Y3774" s="1"/>
      <c r="Z3774" s="1"/>
      <c r="AA3774" s="1"/>
      <c r="AB3774" s="1"/>
    </row>
    <row r="3775" ht="50.25" customHeight="1">
      <c r="A3775" s="12">
        <v>3771.0</v>
      </c>
      <c r="B3775" s="13" t="s">
        <v>3778</v>
      </c>
      <c r="C3775" s="14" t="s">
        <v>3793</v>
      </c>
      <c r="D3775" s="1"/>
      <c r="E3775" s="1"/>
      <c r="F3775" s="1" t="str">
        <f>IFERROR(__xludf.DUMMYFUNCTION("GOOGLETRANSLATE(B3775, ""en"", ""fa"")
"),"برنامه ریز عروسی")</f>
        <v>برنامه ریز عروسی</v>
      </c>
      <c r="G3775" s="1" t="str">
        <f>IFERROR(__xludf.DUMMYFUNCTION("GOOGLETRANSLATE(C3775, ""en"", ""fa"")
"),"ایده هایی برای یک تم عروسی با الهام از ساحل با تزئینات ساحلی به اشتراک بگذارید.")</f>
        <v>ایده هایی برای یک تم عروسی با الهام از ساحل با تزئینات ساحلی به اشتراک بگذارید.</v>
      </c>
      <c r="H3775" s="1"/>
      <c r="I3775" s="1"/>
      <c r="J3775" s="1"/>
      <c r="K3775" s="1"/>
      <c r="L3775" s="1"/>
      <c r="M3775" s="1"/>
      <c r="N3775" s="1"/>
      <c r="O3775" s="1"/>
      <c r="P3775" s="1"/>
      <c r="Q3775" s="1"/>
      <c r="R3775" s="1"/>
      <c r="S3775" s="1"/>
      <c r="T3775" s="1"/>
      <c r="U3775" s="1"/>
      <c r="V3775" s="1"/>
      <c r="W3775" s="1"/>
      <c r="X3775" s="1"/>
      <c r="Y3775" s="1"/>
      <c r="Z3775" s="1"/>
      <c r="AA3775" s="1"/>
      <c r="AB3775" s="1"/>
    </row>
    <row r="3776" ht="50.25" customHeight="1">
      <c r="A3776" s="12">
        <v>3772.0</v>
      </c>
      <c r="B3776" s="13" t="s">
        <v>3778</v>
      </c>
      <c r="C3776" s="14" t="s">
        <v>3794</v>
      </c>
      <c r="D3776" s="1"/>
      <c r="E3776" s="1"/>
      <c r="F3776" s="1" t="str">
        <f>IFERROR(__xludf.DUMMYFUNCTION("GOOGLETRANSLATE(B3776, ""en"", ""fa"")
"),"برنامه ریز عروسی")</f>
        <v>برنامه ریز عروسی</v>
      </c>
      <c r="G3776" s="1" t="str">
        <f>IFERROR(__xludf.DUMMYFUNCTION("GOOGLETRANSLATE(C3776, ""en"", ""fa"")
"),"چه راه هایی برای گنجاندن گل های تازه و گل آرایی در تم و دکور عروسی وجود دارد؟")</f>
        <v>چه راه هایی برای گنجاندن گل های تازه و گل آرایی در تم و دکور عروسی وجود دارد؟</v>
      </c>
      <c r="H3776" s="1"/>
      <c r="I3776" s="1"/>
      <c r="J3776" s="1"/>
      <c r="K3776" s="1"/>
      <c r="L3776" s="1"/>
      <c r="M3776" s="1"/>
      <c r="N3776" s="1"/>
      <c r="O3776" s="1"/>
      <c r="P3776" s="1"/>
      <c r="Q3776" s="1"/>
      <c r="R3776" s="1"/>
      <c r="S3776" s="1"/>
      <c r="T3776" s="1"/>
      <c r="U3776" s="1"/>
      <c r="V3776" s="1"/>
      <c r="W3776" s="1"/>
      <c r="X3776" s="1"/>
      <c r="Y3776" s="1"/>
      <c r="Z3776" s="1"/>
      <c r="AA3776" s="1"/>
      <c r="AB3776" s="1"/>
    </row>
    <row r="3777" ht="50.25" customHeight="1">
      <c r="A3777" s="12">
        <v>3773.0</v>
      </c>
      <c r="B3777" s="13" t="s">
        <v>3778</v>
      </c>
      <c r="C3777" s="14" t="s">
        <v>3795</v>
      </c>
      <c r="D3777" s="1"/>
      <c r="E3777" s="1"/>
      <c r="F3777" s="1" t="str">
        <f>IFERROR(__xludf.DUMMYFUNCTION("GOOGLETRANSLATE(B3777, ""en"", ""fa"")
"),"برنامه ریز عروسی")</f>
        <v>برنامه ریز عروسی</v>
      </c>
      <c r="G3777" s="1" t="str">
        <f>IFERROR(__xludf.DUMMYFUNCTION("GOOGLETRANSLATE(C3777, ""en"", ""fa"")
"),"چگونه می توانید با یک عروسی با تم کارناوال یک فضای جشن و رنگارنگ ایجاد کنید؟")</f>
        <v>چگونه می توانید با یک عروسی با تم کارناوال یک فضای جشن و رنگارنگ ایجاد کنید؟</v>
      </c>
      <c r="H3777" s="1"/>
      <c r="I3777" s="1"/>
      <c r="J3777" s="1"/>
      <c r="K3777" s="1"/>
      <c r="L3777" s="1"/>
      <c r="M3777" s="1"/>
      <c r="N3777" s="1"/>
      <c r="O3777" s="1"/>
      <c r="P3777" s="1"/>
      <c r="Q3777" s="1"/>
      <c r="R3777" s="1"/>
      <c r="S3777" s="1"/>
      <c r="T3777" s="1"/>
      <c r="U3777" s="1"/>
      <c r="V3777" s="1"/>
      <c r="W3777" s="1"/>
      <c r="X3777" s="1"/>
      <c r="Y3777" s="1"/>
      <c r="Z3777" s="1"/>
      <c r="AA3777" s="1"/>
      <c r="AB3777" s="1"/>
    </row>
    <row r="3778" ht="50.25" customHeight="1">
      <c r="A3778" s="12">
        <v>3774.0</v>
      </c>
      <c r="B3778" s="13" t="s">
        <v>3778</v>
      </c>
      <c r="C3778" s="14" t="s">
        <v>3796</v>
      </c>
      <c r="D3778" s="1"/>
      <c r="E3778" s="1"/>
      <c r="F3778" s="1" t="str">
        <f>IFERROR(__xludf.DUMMYFUNCTION("GOOGLETRANSLATE(B3778, ""en"", ""fa"")
"),"برنامه ریز عروسی")</f>
        <v>برنامه ریز عروسی</v>
      </c>
      <c r="G3778" s="1" t="str">
        <f>IFERROR(__xludf.DUMMYFUNCTION("GOOGLETRANSLATE(C3778, ""en"", ""fa"")
"),"نکاتی را برای ایجاد فضایی پر زرق و برق و مجلل با تم عروسی بزرگ گتسبی به اشتراک بگذارید.")</f>
        <v>نکاتی را برای ایجاد فضایی پر زرق و برق و مجلل با تم عروسی بزرگ گتسبی به اشتراک بگذارید.</v>
      </c>
      <c r="H3778" s="1"/>
      <c r="I3778" s="1"/>
      <c r="J3778" s="1"/>
      <c r="K3778" s="1"/>
      <c r="L3778" s="1"/>
      <c r="M3778" s="1"/>
      <c r="N3778" s="1"/>
      <c r="O3778" s="1"/>
      <c r="P3778" s="1"/>
      <c r="Q3778" s="1"/>
      <c r="R3778" s="1"/>
      <c r="S3778" s="1"/>
      <c r="T3778" s="1"/>
      <c r="U3778" s="1"/>
      <c r="V3778" s="1"/>
      <c r="W3778" s="1"/>
      <c r="X3778" s="1"/>
      <c r="Y3778" s="1"/>
      <c r="Z3778" s="1"/>
      <c r="AA3778" s="1"/>
      <c r="AB3778" s="1"/>
    </row>
    <row r="3779" ht="50.25" customHeight="1">
      <c r="A3779" s="12">
        <v>3775.0</v>
      </c>
      <c r="B3779" s="13" t="s">
        <v>3778</v>
      </c>
      <c r="C3779" s="14" t="s">
        <v>3797</v>
      </c>
      <c r="D3779" s="1"/>
      <c r="E3779" s="1"/>
      <c r="F3779" s="1" t="str">
        <f>IFERROR(__xludf.DUMMYFUNCTION("GOOGLETRANSLATE(B3779, ""en"", ""fa"")
"),"برنامه ریز عروسی")</f>
        <v>برنامه ریز عروسی</v>
      </c>
      <c r="G3779" s="1" t="str">
        <f>IFERROR(__xludf.DUMMYFUNCTION("GOOGLETRANSLATE(C3779, ""en"", ""fa"")
"),"چه راه هایی برای گنجاندن نمادها و نقوش فرهنگی در تم و دکوراسیون عروسی وجود دارد؟")</f>
        <v>چه راه هایی برای گنجاندن نمادها و نقوش فرهنگی در تم و دکوراسیون عروسی وجود دارد؟</v>
      </c>
      <c r="H3779" s="1"/>
      <c r="I3779" s="1"/>
      <c r="J3779" s="1"/>
      <c r="K3779" s="1"/>
      <c r="L3779" s="1"/>
      <c r="M3779" s="1"/>
      <c r="N3779" s="1"/>
      <c r="O3779" s="1"/>
      <c r="P3779" s="1"/>
      <c r="Q3779" s="1"/>
      <c r="R3779" s="1"/>
      <c r="S3779" s="1"/>
      <c r="T3779" s="1"/>
      <c r="U3779" s="1"/>
      <c r="V3779" s="1"/>
      <c r="W3779" s="1"/>
      <c r="X3779" s="1"/>
      <c r="Y3779" s="1"/>
      <c r="Z3779" s="1"/>
      <c r="AA3779" s="1"/>
      <c r="AB3779" s="1"/>
    </row>
    <row r="3780" ht="50.25" customHeight="1">
      <c r="A3780" s="12">
        <v>3776.0</v>
      </c>
      <c r="B3780" s="13" t="s">
        <v>3778</v>
      </c>
      <c r="C3780" s="14" t="s">
        <v>3798</v>
      </c>
      <c r="D3780" s="1"/>
      <c r="E3780" s="1"/>
      <c r="F3780" s="1" t="str">
        <f>IFERROR(__xludf.DUMMYFUNCTION("GOOGLETRANSLATE(B3780, ""en"", ""fa"")
"),"برنامه ریز عروسی")</f>
        <v>برنامه ریز عروسی</v>
      </c>
      <c r="G3780" s="1" t="str">
        <f>IFERROR(__xludf.DUMMYFUNCTION("GOOGLETRANSLATE(C3780, ""en"", ""fa"")
"),"چگونه می توانید فضایی دنج و گرم با تم عروسی روستیک زمستانی ایجاد کنید؟")</f>
        <v>چگونه می توانید فضایی دنج و گرم با تم عروسی روستیک زمستانی ایجاد کنید؟</v>
      </c>
      <c r="H3780" s="1"/>
      <c r="I3780" s="1"/>
      <c r="J3780" s="1"/>
      <c r="K3780" s="1"/>
      <c r="L3780" s="1"/>
      <c r="M3780" s="1"/>
      <c r="N3780" s="1"/>
      <c r="O3780" s="1"/>
      <c r="P3780" s="1"/>
      <c r="Q3780" s="1"/>
      <c r="R3780" s="1"/>
      <c r="S3780" s="1"/>
      <c r="T3780" s="1"/>
      <c r="U3780" s="1"/>
      <c r="V3780" s="1"/>
      <c r="W3780" s="1"/>
      <c r="X3780" s="1"/>
      <c r="Y3780" s="1"/>
      <c r="Z3780" s="1"/>
      <c r="AA3780" s="1"/>
      <c r="AB3780" s="1"/>
    </row>
    <row r="3781" ht="50.25" customHeight="1">
      <c r="A3781" s="12">
        <v>3777.0</v>
      </c>
      <c r="B3781" s="13" t="s">
        <v>3778</v>
      </c>
      <c r="C3781" s="14" t="s">
        <v>3799</v>
      </c>
      <c r="D3781" s="1"/>
      <c r="E3781" s="1"/>
      <c r="F3781" s="1" t="str">
        <f>IFERROR(__xludf.DUMMYFUNCTION("GOOGLETRANSLATE(B3781, ""en"", ""fa"")
"),"برنامه ریز عروسی")</f>
        <v>برنامه ریز عروسی</v>
      </c>
      <c r="G3781" s="1" t="str">
        <f>IFERROR(__xludf.DUMMYFUNCTION("GOOGLETRANSLATE(C3781, ""en"", ""fa"")
"),"چند ایده برای یک تم عروسی غیرمتعارف و الهام گرفته از طبیعت با تزئینات خاکی به اشتراک بگذارید.")</f>
        <v>چند ایده برای یک تم عروسی غیرمتعارف و الهام گرفته از طبیعت با تزئینات خاکی به اشتراک بگذارید.</v>
      </c>
      <c r="H3781" s="1"/>
      <c r="I3781" s="1"/>
      <c r="J3781" s="1"/>
      <c r="K3781" s="1"/>
      <c r="L3781" s="1"/>
      <c r="M3781" s="1"/>
      <c r="N3781" s="1"/>
      <c r="O3781" s="1"/>
      <c r="P3781" s="1"/>
      <c r="Q3781" s="1"/>
      <c r="R3781" s="1"/>
      <c r="S3781" s="1"/>
      <c r="T3781" s="1"/>
      <c r="U3781" s="1"/>
      <c r="V3781" s="1"/>
      <c r="W3781" s="1"/>
      <c r="X3781" s="1"/>
      <c r="Y3781" s="1"/>
      <c r="Z3781" s="1"/>
      <c r="AA3781" s="1"/>
      <c r="AB3781" s="1"/>
    </row>
    <row r="3782" ht="50.25" customHeight="1">
      <c r="A3782" s="12">
        <v>3778.0</v>
      </c>
      <c r="B3782" s="13" t="s">
        <v>3778</v>
      </c>
      <c r="C3782" s="14" t="s">
        <v>3800</v>
      </c>
      <c r="D3782" s="1"/>
      <c r="E3782" s="1"/>
      <c r="F3782" s="1" t="str">
        <f>IFERROR(__xludf.DUMMYFUNCTION("GOOGLETRANSLATE(B3782, ""en"", ""fa"")
"),"برنامه ریز عروسی")</f>
        <v>برنامه ریز عروسی</v>
      </c>
      <c r="G3782" s="1" t="str">
        <f>IFERROR(__xludf.DUMMYFUNCTION("GOOGLETRANSLATE(C3782, ""en"", ""fa"")
"),"چه راه هایی برای گنجاندن عکس های قدیمی و میراث خانوادگی در تم و دکوراسیون عروسی وجود دارد؟")</f>
        <v>چه راه هایی برای گنجاندن عکس های قدیمی و میراث خانوادگی در تم و دکوراسیون عروسی وجود دارد؟</v>
      </c>
      <c r="H3782" s="1"/>
      <c r="I3782" s="1"/>
      <c r="J3782" s="1"/>
      <c r="K3782" s="1"/>
      <c r="L3782" s="1"/>
      <c r="M3782" s="1"/>
      <c r="N3782" s="1"/>
      <c r="O3782" s="1"/>
      <c r="P3782" s="1"/>
      <c r="Q3782" s="1"/>
      <c r="R3782" s="1"/>
      <c r="S3782" s="1"/>
      <c r="T3782" s="1"/>
      <c r="U3782" s="1"/>
      <c r="V3782" s="1"/>
      <c r="W3782" s="1"/>
      <c r="X3782" s="1"/>
      <c r="Y3782" s="1"/>
      <c r="Z3782" s="1"/>
      <c r="AA3782" s="1"/>
      <c r="AB3782" s="1"/>
    </row>
    <row r="3783" ht="50.25" customHeight="1">
      <c r="A3783" s="12">
        <v>3779.0</v>
      </c>
      <c r="B3783" s="13" t="s">
        <v>3778</v>
      </c>
      <c r="C3783" s="14" t="s">
        <v>3801</v>
      </c>
      <c r="D3783" s="1"/>
      <c r="E3783" s="1"/>
      <c r="F3783" s="1" t="str">
        <f>IFERROR(__xludf.DUMMYFUNCTION("GOOGLETRANSLATE(B3783, ""en"", ""fa"")
"),"برنامه ریز عروسی")</f>
        <v>برنامه ریز عروسی</v>
      </c>
      <c r="G3783" s="1" t="str">
        <f>IFERROR(__xludf.DUMMYFUNCTION("GOOGLETRANSLATE(C3783, ""en"", ""fa"")
"),"چگونه می توانید با یک عروسی با تم هاوایی یک محیط گرمسیری و پر جنب و جوش ایجاد کنید؟")</f>
        <v>چگونه می توانید با یک عروسی با تم هاوایی یک محیط گرمسیری و پر جنب و جوش ایجاد کنید؟</v>
      </c>
      <c r="H3783" s="1"/>
      <c r="I3783" s="1"/>
      <c r="J3783" s="1"/>
      <c r="K3783" s="1"/>
      <c r="L3783" s="1"/>
      <c r="M3783" s="1"/>
      <c r="N3783" s="1"/>
      <c r="O3783" s="1"/>
      <c r="P3783" s="1"/>
      <c r="Q3783" s="1"/>
      <c r="R3783" s="1"/>
      <c r="S3783" s="1"/>
      <c r="T3783" s="1"/>
      <c r="U3783" s="1"/>
      <c r="V3783" s="1"/>
      <c r="W3783" s="1"/>
      <c r="X3783" s="1"/>
      <c r="Y3783" s="1"/>
      <c r="Z3783" s="1"/>
      <c r="AA3783" s="1"/>
      <c r="AB3783" s="1"/>
    </row>
    <row r="3784" ht="50.25" customHeight="1">
      <c r="A3784" s="12">
        <v>3780.0</v>
      </c>
      <c r="B3784" s="13" t="s">
        <v>3778</v>
      </c>
      <c r="C3784" s="14" t="s">
        <v>3802</v>
      </c>
      <c r="D3784" s="1"/>
      <c r="E3784" s="1"/>
      <c r="F3784" s="1" t="str">
        <f>IFERROR(__xludf.DUMMYFUNCTION("GOOGLETRANSLATE(B3784, ""en"", ""fa"")
"),"برنامه ریز عروسی")</f>
        <v>برنامه ریز عروسی</v>
      </c>
      <c r="G3784" s="1" t="str">
        <f>IFERROR(__xludf.DUMMYFUNCTION("GOOGLETRANSLATE(C3784, ""en"", ""fa"")
"),"نکاتی را برای ایجاد فضایی رمانتیک و اثیری با تم عروسی صورتی رژگونه به اشتراک بگذارید.")</f>
        <v>نکاتی را برای ایجاد فضایی رمانتیک و اثیری با تم عروسی صورتی رژگونه به اشتراک بگذارید.</v>
      </c>
      <c r="H3784" s="1"/>
      <c r="I3784" s="1"/>
      <c r="J3784" s="1"/>
      <c r="K3784" s="1"/>
      <c r="L3784" s="1"/>
      <c r="M3784" s="1"/>
      <c r="N3784" s="1"/>
      <c r="O3784" s="1"/>
      <c r="P3784" s="1"/>
      <c r="Q3784" s="1"/>
      <c r="R3784" s="1"/>
      <c r="S3784" s="1"/>
      <c r="T3784" s="1"/>
      <c r="U3784" s="1"/>
      <c r="V3784" s="1"/>
      <c r="W3784" s="1"/>
      <c r="X3784" s="1"/>
      <c r="Y3784" s="1"/>
      <c r="Z3784" s="1"/>
      <c r="AA3784" s="1"/>
      <c r="AB3784" s="1"/>
    </row>
    <row r="3785" ht="50.25" customHeight="1">
      <c r="A3785" s="12">
        <v>3781.0</v>
      </c>
      <c r="B3785" s="13" t="s">
        <v>3778</v>
      </c>
      <c r="C3785" s="14" t="s">
        <v>3803</v>
      </c>
      <c r="D3785" s="1"/>
      <c r="E3785" s="1"/>
      <c r="F3785" s="1" t="str">
        <f>IFERROR(__xludf.DUMMYFUNCTION("GOOGLETRANSLATE(B3785, ""en"", ""fa"")
"),"برنامه ریز عروسی")</f>
        <v>برنامه ریز عروسی</v>
      </c>
      <c r="G3785" s="1" t="str">
        <f>IFERROR(__xludf.DUMMYFUNCTION("GOOGLETRANSLATE(C3785, ""en"", ""fa"")
"),"چه راه هایی برای گنجاندن عناصر شیک روستیک در تم و دکوراسیون عروسی وجود دارد؟")</f>
        <v>چه راه هایی برای گنجاندن عناصر شیک روستیک در تم و دکوراسیون عروسی وجود دارد؟</v>
      </c>
      <c r="H3785" s="1"/>
      <c r="I3785" s="1"/>
      <c r="J3785" s="1"/>
      <c r="K3785" s="1"/>
      <c r="L3785" s="1"/>
      <c r="M3785" s="1"/>
      <c r="N3785" s="1"/>
      <c r="O3785" s="1"/>
      <c r="P3785" s="1"/>
      <c r="Q3785" s="1"/>
      <c r="R3785" s="1"/>
      <c r="S3785" s="1"/>
      <c r="T3785" s="1"/>
      <c r="U3785" s="1"/>
      <c r="V3785" s="1"/>
      <c r="W3785" s="1"/>
      <c r="X3785" s="1"/>
      <c r="Y3785" s="1"/>
      <c r="Z3785" s="1"/>
      <c r="AA3785" s="1"/>
      <c r="AB3785" s="1"/>
    </row>
    <row r="3786" ht="50.25" customHeight="1">
      <c r="A3786" s="12">
        <v>3782.0</v>
      </c>
      <c r="B3786" s="13" t="s">
        <v>3778</v>
      </c>
      <c r="C3786" s="14" t="s">
        <v>3804</v>
      </c>
      <c r="D3786" s="1"/>
      <c r="E3786" s="1"/>
      <c r="F3786" s="1" t="str">
        <f>IFERROR(__xludf.DUMMYFUNCTION("GOOGLETRANSLATE(B3786, ""en"", ""fa"")
"),"برنامه ریز عروسی")</f>
        <v>برنامه ریز عروسی</v>
      </c>
      <c r="G3786" s="1" t="str">
        <f>IFERROR(__xludf.DUMMYFUNCTION("GOOGLETRANSLATE(C3786, ""en"", ""fa"")
"),"چگونه می توانید با تم عروسی هندسی مینیمالیستی فضایی مدرن و هندسی ایجاد کنید؟")</f>
        <v>چگونه می توانید با تم عروسی هندسی مینیمالیستی فضایی مدرن و هندسی ایجاد کنید؟</v>
      </c>
      <c r="H3786" s="1"/>
      <c r="I3786" s="1"/>
      <c r="J3786" s="1"/>
      <c r="K3786" s="1"/>
      <c r="L3786" s="1"/>
      <c r="M3786" s="1"/>
      <c r="N3786" s="1"/>
      <c r="O3786" s="1"/>
      <c r="P3786" s="1"/>
      <c r="Q3786" s="1"/>
      <c r="R3786" s="1"/>
      <c r="S3786" s="1"/>
      <c r="T3786" s="1"/>
      <c r="U3786" s="1"/>
      <c r="V3786" s="1"/>
      <c r="W3786" s="1"/>
      <c r="X3786" s="1"/>
      <c r="Y3786" s="1"/>
      <c r="Z3786" s="1"/>
      <c r="AA3786" s="1"/>
      <c r="AB3786" s="1"/>
    </row>
    <row r="3787" ht="50.25" customHeight="1">
      <c r="A3787" s="12">
        <v>3783.0</v>
      </c>
      <c r="B3787" s="13" t="s">
        <v>3778</v>
      </c>
      <c r="C3787" s="14" t="s">
        <v>3805</v>
      </c>
      <c r="D3787" s="1"/>
      <c r="E3787" s="1"/>
      <c r="F3787" s="1" t="str">
        <f>IFERROR(__xludf.DUMMYFUNCTION("GOOGLETRANSLATE(B3787, ""en"", ""fa"")
"),"برنامه ریز عروسی")</f>
        <v>برنامه ریز عروسی</v>
      </c>
      <c r="G3787" s="1" t="str">
        <f>IFERROR(__xludf.DUMMYFUNCTION("GOOGLETRANSLATE(C3787, ""en"", ""fa"")
"),"چند ایده برای تم عروسی روستایی الهام گرفته از جنگل با تزئینات الهام گرفته از طبیعت به اشتراک بگذارید.")</f>
        <v>چند ایده برای تم عروسی روستایی الهام گرفته از جنگل با تزئینات الهام گرفته از طبیعت به اشتراک بگذارید.</v>
      </c>
      <c r="H3787" s="1"/>
      <c r="I3787" s="1"/>
      <c r="J3787" s="1"/>
      <c r="K3787" s="1"/>
      <c r="L3787" s="1"/>
      <c r="M3787" s="1"/>
      <c r="N3787" s="1"/>
      <c r="O3787" s="1"/>
      <c r="P3787" s="1"/>
      <c r="Q3787" s="1"/>
      <c r="R3787" s="1"/>
      <c r="S3787" s="1"/>
      <c r="T3787" s="1"/>
      <c r="U3787" s="1"/>
      <c r="V3787" s="1"/>
      <c r="W3787" s="1"/>
      <c r="X3787" s="1"/>
      <c r="Y3787" s="1"/>
      <c r="Z3787" s="1"/>
      <c r="AA3787" s="1"/>
      <c r="AB3787" s="1"/>
    </row>
    <row r="3788" ht="50.25" customHeight="1">
      <c r="A3788" s="12">
        <v>3784.0</v>
      </c>
      <c r="B3788" s="13" t="s">
        <v>3778</v>
      </c>
      <c r="C3788" s="14" t="s">
        <v>3806</v>
      </c>
      <c r="D3788" s="1"/>
      <c r="E3788" s="1"/>
      <c r="F3788" s="1" t="str">
        <f>IFERROR(__xludf.DUMMYFUNCTION("GOOGLETRANSLATE(B3788, ""en"", ""fa"")
"),"برنامه ریز عروسی")</f>
        <v>برنامه ریز عروسی</v>
      </c>
      <c r="G3788" s="1" t="str">
        <f>IFERROR(__xludf.DUMMYFUNCTION("GOOGLETRANSLATE(C3788, ""en"", ""fa"")
"),"چه راه هایی برای گنجاندن چیدمان صندلی های منحصر به فرد و غیر متعارف در تم و دکوراسیون عروسی وجود دارد؟")</f>
        <v>چه راه هایی برای گنجاندن چیدمان صندلی های منحصر به فرد و غیر متعارف در تم و دکوراسیون عروسی وجود دارد؟</v>
      </c>
      <c r="H3788" s="1"/>
      <c r="I3788" s="1"/>
      <c r="J3788" s="1"/>
      <c r="K3788" s="1"/>
      <c r="L3788" s="1"/>
      <c r="M3788" s="1"/>
      <c r="N3788" s="1"/>
      <c r="O3788" s="1"/>
      <c r="P3788" s="1"/>
      <c r="Q3788" s="1"/>
      <c r="R3788" s="1"/>
      <c r="S3788" s="1"/>
      <c r="T3788" s="1"/>
      <c r="U3788" s="1"/>
      <c r="V3788" s="1"/>
      <c r="W3788" s="1"/>
      <c r="X3788" s="1"/>
      <c r="Y3788" s="1"/>
      <c r="Z3788" s="1"/>
      <c r="AA3788" s="1"/>
      <c r="AB3788" s="1"/>
    </row>
    <row r="3789" ht="50.25" customHeight="1">
      <c r="A3789" s="12">
        <v>3785.0</v>
      </c>
      <c r="B3789" s="13" t="s">
        <v>3778</v>
      </c>
      <c r="C3789" s="14" t="s">
        <v>3807</v>
      </c>
      <c r="D3789" s="1"/>
      <c r="E3789" s="1"/>
      <c r="F3789" s="1" t="str">
        <f>IFERROR(__xludf.DUMMYFUNCTION("GOOGLETRANSLATE(B3789, ""en"", ""fa"")
"),"برنامه ریز عروسی")</f>
        <v>برنامه ریز عروسی</v>
      </c>
      <c r="G3789" s="1" t="str">
        <f>IFERROR(__xludf.DUMMYFUNCTION("GOOGLETRANSLATE(C3789, ""en"", ""fa"")
"),"چگونه می توانید با تم عروسی الهام گرفته از ویکتوریا یک فضای رمانتیک و قدیمی ایجاد کنید؟")</f>
        <v>چگونه می توانید با تم عروسی الهام گرفته از ویکتوریا یک فضای رمانتیک و قدیمی ایجاد کنید؟</v>
      </c>
      <c r="H3789" s="1"/>
      <c r="I3789" s="1"/>
      <c r="J3789" s="1"/>
      <c r="K3789" s="1"/>
      <c r="L3789" s="1"/>
      <c r="M3789" s="1"/>
      <c r="N3789" s="1"/>
      <c r="O3789" s="1"/>
      <c r="P3789" s="1"/>
      <c r="Q3789" s="1"/>
      <c r="R3789" s="1"/>
      <c r="S3789" s="1"/>
      <c r="T3789" s="1"/>
      <c r="U3789" s="1"/>
      <c r="V3789" s="1"/>
      <c r="W3789" s="1"/>
      <c r="X3789" s="1"/>
      <c r="Y3789" s="1"/>
      <c r="Z3789" s="1"/>
      <c r="AA3789" s="1"/>
      <c r="AB3789" s="1"/>
    </row>
    <row r="3790" ht="50.25" customHeight="1">
      <c r="A3790" s="12">
        <v>3786.0</v>
      </c>
      <c r="B3790" s="13" t="s">
        <v>3778</v>
      </c>
      <c r="C3790" s="14" t="s">
        <v>3808</v>
      </c>
      <c r="D3790" s="1"/>
      <c r="E3790" s="1"/>
      <c r="F3790" s="1" t="str">
        <f>IFERROR(__xludf.DUMMYFUNCTION("GOOGLETRANSLATE(B3790, ""en"", ""fa"")
"),"برنامه ریز عروسی")</f>
        <v>برنامه ریز عروسی</v>
      </c>
      <c r="G3790" s="1" t="str">
        <f>IFERROR(__xludf.DUMMYFUNCTION("GOOGLETRANSLATE(C3790, ""en"", ""fa"")
"),"نکاتی را برای ایجاد فضایی دنج و صمیمی با تم عروسی کنار آتش به اشتراک بگذارید.")</f>
        <v>نکاتی را برای ایجاد فضایی دنج و صمیمی با تم عروسی کنار آتش به اشتراک بگذارید.</v>
      </c>
      <c r="H3790" s="1"/>
      <c r="I3790" s="1"/>
      <c r="J3790" s="1"/>
      <c r="K3790" s="1"/>
      <c r="L3790" s="1"/>
      <c r="M3790" s="1"/>
      <c r="N3790" s="1"/>
      <c r="O3790" s="1"/>
      <c r="P3790" s="1"/>
      <c r="Q3790" s="1"/>
      <c r="R3790" s="1"/>
      <c r="S3790" s="1"/>
      <c r="T3790" s="1"/>
      <c r="U3790" s="1"/>
      <c r="V3790" s="1"/>
      <c r="W3790" s="1"/>
      <c r="X3790" s="1"/>
      <c r="Y3790" s="1"/>
      <c r="Z3790" s="1"/>
      <c r="AA3790" s="1"/>
      <c r="AB3790" s="1"/>
    </row>
    <row r="3791" ht="50.25" customHeight="1">
      <c r="A3791" s="12">
        <v>3787.0</v>
      </c>
      <c r="B3791" s="13" t="s">
        <v>3778</v>
      </c>
      <c r="C3791" s="14" t="s">
        <v>3809</v>
      </c>
      <c r="D3791" s="1"/>
      <c r="E3791" s="1"/>
      <c r="F3791" s="1" t="str">
        <f>IFERROR(__xludf.DUMMYFUNCTION("GOOGLETRANSLATE(B3791, ""en"", ""fa"")
"),"برنامه ریز عروسی")</f>
        <v>برنامه ریز عروسی</v>
      </c>
      <c r="G3791" s="1" t="str">
        <f>IFERROR(__xludf.DUMMYFUNCTION("GOOGLETRANSLATE(C3791, ""en"", ""fa"")
"),"چه راه هایی برای گنجاندن سنت ها و آداب و رسوم فرهنگی در تم و دکور عروسی وجود دارد؟")</f>
        <v>چه راه هایی برای گنجاندن سنت ها و آداب و رسوم فرهنگی در تم و دکور عروسی وجود دارد؟</v>
      </c>
      <c r="H3791" s="1"/>
      <c r="I3791" s="1"/>
      <c r="J3791" s="1"/>
      <c r="K3791" s="1"/>
      <c r="L3791" s="1"/>
      <c r="M3791" s="1"/>
      <c r="N3791" s="1"/>
      <c r="O3791" s="1"/>
      <c r="P3791" s="1"/>
      <c r="Q3791" s="1"/>
      <c r="R3791" s="1"/>
      <c r="S3791" s="1"/>
      <c r="T3791" s="1"/>
      <c r="U3791" s="1"/>
      <c r="V3791" s="1"/>
      <c r="W3791" s="1"/>
      <c r="X3791" s="1"/>
      <c r="Y3791" s="1"/>
      <c r="Z3791" s="1"/>
      <c r="AA3791" s="1"/>
      <c r="AB3791" s="1"/>
    </row>
    <row r="3792" ht="50.25" customHeight="1">
      <c r="A3792" s="12">
        <v>3788.0</v>
      </c>
      <c r="B3792" s="13" t="s">
        <v>3778</v>
      </c>
      <c r="C3792" s="14" t="s">
        <v>3810</v>
      </c>
      <c r="D3792" s="1"/>
      <c r="E3792" s="1"/>
      <c r="F3792" s="1" t="str">
        <f>IFERROR(__xludf.DUMMYFUNCTION("GOOGLETRANSLATE(B3792, ""en"", ""fa"")
"),"برنامه ریز عروسی")</f>
        <v>برنامه ریز عروسی</v>
      </c>
      <c r="G3792" s="1" t="str">
        <f>IFERROR(__xludf.DUMMYFUNCTION("GOOGLETRANSLATE(C3792, ""en"", ""fa"")
"),"چگونه می توانید با تم عروسی کراوات مشکی یک محیط زیبا و جاودانه ایجاد کنید؟")</f>
        <v>چگونه می توانید با تم عروسی کراوات مشکی یک محیط زیبا و جاودانه ایجاد کنید؟</v>
      </c>
      <c r="H3792" s="1"/>
      <c r="I3792" s="1"/>
      <c r="J3792" s="1"/>
      <c r="K3792" s="1"/>
      <c r="L3792" s="1"/>
      <c r="M3792" s="1"/>
      <c r="N3792" s="1"/>
      <c r="O3792" s="1"/>
      <c r="P3792" s="1"/>
      <c r="Q3792" s="1"/>
      <c r="R3792" s="1"/>
      <c r="S3792" s="1"/>
      <c r="T3792" s="1"/>
      <c r="U3792" s="1"/>
      <c r="V3792" s="1"/>
      <c r="W3792" s="1"/>
      <c r="X3792" s="1"/>
      <c r="Y3792" s="1"/>
      <c r="Z3792" s="1"/>
      <c r="AA3792" s="1"/>
      <c r="AB3792" s="1"/>
    </row>
    <row r="3793" ht="50.25" customHeight="1">
      <c r="A3793" s="12">
        <v>3789.0</v>
      </c>
      <c r="B3793" s="13" t="s">
        <v>3778</v>
      </c>
      <c r="C3793" s="14" t="s">
        <v>3811</v>
      </c>
      <c r="D3793" s="1"/>
      <c r="E3793" s="1"/>
      <c r="F3793" s="1" t="str">
        <f>IFERROR(__xludf.DUMMYFUNCTION("GOOGLETRANSLATE(B3793, ""en"", ""fa"")
"),"برنامه ریز عروسی")</f>
        <v>برنامه ریز عروسی</v>
      </c>
      <c r="G3793" s="1" t="str">
        <f>IFERROR(__xludf.DUMMYFUNCTION("GOOGLETRANSLATE(C3793, ""en"", ""fa"")
"),"چند ایده برای تم عروسی الهام گرفته از باغ حیاط روستایی و شیک با تزئینات مزرعه به اشتراک بگذارید.")</f>
        <v>چند ایده برای تم عروسی الهام گرفته از باغ حیاط روستایی و شیک با تزئینات مزرعه به اشتراک بگذارید.</v>
      </c>
      <c r="H3793" s="1"/>
      <c r="I3793" s="1"/>
      <c r="J3793" s="1"/>
      <c r="K3793" s="1"/>
      <c r="L3793" s="1"/>
      <c r="M3793" s="1"/>
      <c r="N3793" s="1"/>
      <c r="O3793" s="1"/>
      <c r="P3793" s="1"/>
      <c r="Q3793" s="1"/>
      <c r="R3793" s="1"/>
      <c r="S3793" s="1"/>
      <c r="T3793" s="1"/>
      <c r="U3793" s="1"/>
      <c r="V3793" s="1"/>
      <c r="W3793" s="1"/>
      <c r="X3793" s="1"/>
      <c r="Y3793" s="1"/>
      <c r="Z3793" s="1"/>
      <c r="AA3793" s="1"/>
      <c r="AB3793" s="1"/>
    </row>
    <row r="3794" ht="50.25" customHeight="1">
      <c r="A3794" s="12">
        <v>3790.0</v>
      </c>
      <c r="B3794" s="13" t="s">
        <v>3778</v>
      </c>
      <c r="C3794" s="14" t="s">
        <v>3812</v>
      </c>
      <c r="D3794" s="1"/>
      <c r="E3794" s="1"/>
      <c r="F3794" s="1" t="str">
        <f>IFERROR(__xludf.DUMMYFUNCTION("GOOGLETRANSLATE(B3794, ""en"", ""fa"")
"),"برنامه ریز عروسی")</f>
        <v>برنامه ریز عروسی</v>
      </c>
      <c r="G3794" s="1" t="str">
        <f>IFERROR(__xludf.DUMMYFUNCTION("GOOGLETRANSLATE(C3794, ""en"", ""fa"")
"),"چند راه برای گنجاندن تابلوهای شخصی عروسی در تم و دکور عروسی چیست؟")</f>
        <v>چند راه برای گنجاندن تابلوهای شخصی عروسی در تم و دکور عروسی چیست؟</v>
      </c>
      <c r="H3794" s="1"/>
      <c r="I3794" s="1"/>
      <c r="J3794" s="1"/>
      <c r="K3794" s="1"/>
      <c r="L3794" s="1"/>
      <c r="M3794" s="1"/>
      <c r="N3794" s="1"/>
      <c r="O3794" s="1"/>
      <c r="P3794" s="1"/>
      <c r="Q3794" s="1"/>
      <c r="R3794" s="1"/>
      <c r="S3794" s="1"/>
      <c r="T3794" s="1"/>
      <c r="U3794" s="1"/>
      <c r="V3794" s="1"/>
      <c r="W3794" s="1"/>
      <c r="X3794" s="1"/>
      <c r="Y3794" s="1"/>
      <c r="Z3794" s="1"/>
      <c r="AA3794" s="1"/>
      <c r="AB3794" s="1"/>
    </row>
    <row r="3795" ht="50.25" customHeight="1">
      <c r="A3795" s="12">
        <v>3791.0</v>
      </c>
      <c r="B3795" s="13" t="s">
        <v>3778</v>
      </c>
      <c r="C3795" s="14" t="s">
        <v>3813</v>
      </c>
      <c r="D3795" s="1"/>
      <c r="E3795" s="1"/>
      <c r="F3795" s="1" t="str">
        <f>IFERROR(__xludf.DUMMYFUNCTION("GOOGLETRANSLATE(B3795, ""en"", ""fa"")
"),"برنامه ریز عروسی")</f>
        <v>برنامه ریز عروسی</v>
      </c>
      <c r="G3795" s="1" t="str">
        <f>IFERROR(__xludf.DUMMYFUNCTION("GOOGLETRANSLATE(C3795, ""en"", ""fa"")
"),"چگونه می توانید یک فضای عجیب و غریب و جادویی با تم عروسی جنگلی مسحور کننده ایجاد کنید؟")</f>
        <v>چگونه می توانید یک فضای عجیب و غریب و جادویی با تم عروسی جنگلی مسحور کننده ایجاد کنید؟</v>
      </c>
      <c r="H3795" s="1"/>
      <c r="I3795" s="1"/>
      <c r="J3795" s="1"/>
      <c r="K3795" s="1"/>
      <c r="L3795" s="1"/>
      <c r="M3795" s="1"/>
      <c r="N3795" s="1"/>
      <c r="O3795" s="1"/>
      <c r="P3795" s="1"/>
      <c r="Q3795" s="1"/>
      <c r="R3795" s="1"/>
      <c r="S3795" s="1"/>
      <c r="T3795" s="1"/>
      <c r="U3795" s="1"/>
      <c r="V3795" s="1"/>
      <c r="W3795" s="1"/>
      <c r="X3795" s="1"/>
      <c r="Y3795" s="1"/>
      <c r="Z3795" s="1"/>
      <c r="AA3795" s="1"/>
      <c r="AB3795" s="1"/>
    </row>
    <row r="3796" ht="50.25" customHeight="1">
      <c r="A3796" s="12">
        <v>3792.0</v>
      </c>
      <c r="B3796" s="13" t="s">
        <v>3778</v>
      </c>
      <c r="C3796" s="14" t="s">
        <v>3814</v>
      </c>
      <c r="D3796" s="1"/>
      <c r="E3796" s="1"/>
      <c r="F3796" s="1" t="str">
        <f>IFERROR(__xludf.DUMMYFUNCTION("GOOGLETRANSLATE(B3796, ""en"", ""fa"")
"),"برنامه ریز عروسی")</f>
        <v>برنامه ریز عروسی</v>
      </c>
      <c r="G3796" s="1" t="str">
        <f>IFERROR(__xludf.DUMMYFUNCTION("GOOGLETRANSLATE(C3796, ""en"", ""fa"")
"),"نکاتی را برای ایجاد فضایی پر جنب و جوش و سرزنده با تم عروسی الهام گرفته از بالیوود به اشتراک بگذارید.")</f>
        <v>نکاتی را برای ایجاد فضایی پر جنب و جوش و سرزنده با تم عروسی الهام گرفته از بالیوود به اشتراک بگذارید.</v>
      </c>
      <c r="H3796" s="1"/>
      <c r="I3796" s="1"/>
      <c r="J3796" s="1"/>
      <c r="K3796" s="1"/>
      <c r="L3796" s="1"/>
      <c r="M3796" s="1"/>
      <c r="N3796" s="1"/>
      <c r="O3796" s="1"/>
      <c r="P3796" s="1"/>
      <c r="Q3796" s="1"/>
      <c r="R3796" s="1"/>
      <c r="S3796" s="1"/>
      <c r="T3796" s="1"/>
      <c r="U3796" s="1"/>
      <c r="V3796" s="1"/>
      <c r="W3796" s="1"/>
      <c r="X3796" s="1"/>
      <c r="Y3796" s="1"/>
      <c r="Z3796" s="1"/>
      <c r="AA3796" s="1"/>
      <c r="AB3796" s="1"/>
    </row>
    <row r="3797" ht="50.25" customHeight="1">
      <c r="A3797" s="12">
        <v>3793.0</v>
      </c>
      <c r="B3797" s="13" t="s">
        <v>3778</v>
      </c>
      <c r="C3797" s="14" t="s">
        <v>3815</v>
      </c>
      <c r="D3797" s="1"/>
      <c r="E3797" s="1"/>
      <c r="F3797" s="1" t="str">
        <f>IFERROR(__xludf.DUMMYFUNCTION("GOOGLETRANSLATE(B3797, ""en"", ""fa"")
"),"برنامه ریز عروسی")</f>
        <v>برنامه ریز عروسی</v>
      </c>
      <c r="G3797" s="1" t="str">
        <f>IFERROR(__xludf.DUMMYFUNCTION("GOOGLETRANSLATE(C3797, ""en"", ""fa"")
"),"چه راه هایی برای گنجاندن عناصر طبیعی مانند خزه و شاخه ها در تم و دکوراسیون عروسی وجود دارد؟")</f>
        <v>چه راه هایی برای گنجاندن عناصر طبیعی مانند خزه و شاخه ها در تم و دکوراسیون عروسی وجود دارد؟</v>
      </c>
      <c r="H3797" s="1"/>
      <c r="I3797" s="1"/>
      <c r="J3797" s="1"/>
      <c r="K3797" s="1"/>
      <c r="L3797" s="1"/>
      <c r="M3797" s="1"/>
      <c r="N3797" s="1"/>
      <c r="O3797" s="1"/>
      <c r="P3797" s="1"/>
      <c r="Q3797" s="1"/>
      <c r="R3797" s="1"/>
      <c r="S3797" s="1"/>
      <c r="T3797" s="1"/>
      <c r="U3797" s="1"/>
      <c r="V3797" s="1"/>
      <c r="W3797" s="1"/>
      <c r="X3797" s="1"/>
      <c r="Y3797" s="1"/>
      <c r="Z3797" s="1"/>
      <c r="AA3797" s="1"/>
      <c r="AB3797" s="1"/>
    </row>
    <row r="3798" ht="50.25" customHeight="1">
      <c r="A3798" s="12">
        <v>3794.0</v>
      </c>
      <c r="B3798" s="13" t="s">
        <v>3778</v>
      </c>
      <c r="C3798" s="14" t="s">
        <v>3816</v>
      </c>
      <c r="D3798" s="1"/>
      <c r="E3798" s="1"/>
      <c r="F3798" s="1" t="str">
        <f>IFERROR(__xludf.DUMMYFUNCTION("GOOGLETRANSLATE(B3798, ""en"", ""fa"")
"),"برنامه ریز عروسی")</f>
        <v>برنامه ریز عروسی</v>
      </c>
      <c r="G3798" s="1" t="str">
        <f>IFERROR(__xludf.DUMMYFUNCTION("GOOGLETRANSLATE(C3798, ""en"", ""fa"")
"),"چگونه می توانید با تم عروسی الهام گرفته از هنر معاصر، حال و هوای مدرن و شیک ایجاد کنید؟")</f>
        <v>چگونه می توانید با تم عروسی الهام گرفته از هنر معاصر، حال و هوای مدرن و شیک ایجاد کنید؟</v>
      </c>
      <c r="H3798" s="1"/>
      <c r="I3798" s="1"/>
      <c r="J3798" s="1"/>
      <c r="K3798" s="1"/>
      <c r="L3798" s="1"/>
      <c r="M3798" s="1"/>
      <c r="N3798" s="1"/>
      <c r="O3798" s="1"/>
      <c r="P3798" s="1"/>
      <c r="Q3798" s="1"/>
      <c r="R3798" s="1"/>
      <c r="S3798" s="1"/>
      <c r="T3798" s="1"/>
      <c r="U3798" s="1"/>
      <c r="V3798" s="1"/>
      <c r="W3798" s="1"/>
      <c r="X3798" s="1"/>
      <c r="Y3798" s="1"/>
      <c r="Z3798" s="1"/>
      <c r="AA3798" s="1"/>
      <c r="AB3798" s="1"/>
    </row>
    <row r="3799" ht="50.25" customHeight="1">
      <c r="A3799" s="12">
        <v>3795.0</v>
      </c>
      <c r="B3799" s="13" t="s">
        <v>3778</v>
      </c>
      <c r="C3799" s="14" t="s">
        <v>3817</v>
      </c>
      <c r="D3799" s="1"/>
      <c r="E3799" s="1"/>
      <c r="F3799" s="1" t="str">
        <f>IFERROR(__xludf.DUMMYFUNCTION("GOOGLETRANSLATE(B3799, ""en"", ""fa"")
"),"برنامه ریز عروسی")</f>
        <v>برنامه ریز عروسی</v>
      </c>
      <c r="G3799" s="1" t="str">
        <f>IFERROR(__xludf.DUMMYFUNCTION("GOOGLETRANSLATE(C3799, ""en"", ""fa"")
"),"چگونه برنامه ریزان عروسی می توانند به طور موثر با فروشندگان عروسی ارتباط برقرار کرده و مذاکره کنند؟")</f>
        <v>چگونه برنامه ریزان عروسی می توانند به طور موثر با فروشندگان عروسی ارتباط برقرار کرده و مذاکره کنند؟</v>
      </c>
      <c r="H3799" s="1"/>
      <c r="I3799" s="1"/>
      <c r="J3799" s="1"/>
      <c r="K3799" s="1"/>
      <c r="L3799" s="1"/>
      <c r="M3799" s="1"/>
      <c r="N3799" s="1"/>
      <c r="O3799" s="1"/>
      <c r="P3799" s="1"/>
      <c r="Q3799" s="1"/>
      <c r="R3799" s="1"/>
      <c r="S3799" s="1"/>
      <c r="T3799" s="1"/>
      <c r="U3799" s="1"/>
      <c r="V3799" s="1"/>
      <c r="W3799" s="1"/>
      <c r="X3799" s="1"/>
      <c r="Y3799" s="1"/>
      <c r="Z3799" s="1"/>
      <c r="AA3799" s="1"/>
      <c r="AB3799" s="1"/>
    </row>
    <row r="3800" ht="50.25" customHeight="1">
      <c r="A3800" s="12">
        <v>3796.0</v>
      </c>
      <c r="B3800" s="13" t="s">
        <v>3778</v>
      </c>
      <c r="C3800" s="14" t="s">
        <v>3818</v>
      </c>
      <c r="D3800" s="1"/>
      <c r="E3800" s="1"/>
      <c r="F3800" s="1" t="str">
        <f>IFERROR(__xludf.DUMMYFUNCTION("GOOGLETRANSLATE(B3800, ""en"", ""fa"")
"),"برنامه ریز عروسی")</f>
        <v>برنامه ریز عروسی</v>
      </c>
      <c r="G3800" s="1" t="str">
        <f>IFERROR(__xludf.DUMMYFUNCTION("GOOGLETRANSLATE(C3800, ""en"", ""fa"")
"),"نکاتی را برای یافتن منابع و انتخاب فروشندگان عروسی معتبر و حرفه ای به اشتراک بگذارید.")</f>
        <v>نکاتی را برای یافتن منابع و انتخاب فروشندگان عروسی معتبر و حرفه ای به اشتراک بگذارید.</v>
      </c>
      <c r="H3800" s="1"/>
      <c r="I3800" s="1"/>
      <c r="J3800" s="1"/>
      <c r="K3800" s="1"/>
      <c r="L3800" s="1"/>
      <c r="M3800" s="1"/>
      <c r="N3800" s="1"/>
      <c r="O3800" s="1"/>
      <c r="P3800" s="1"/>
      <c r="Q3800" s="1"/>
      <c r="R3800" s="1"/>
      <c r="S3800" s="1"/>
      <c r="T3800" s="1"/>
      <c r="U3800" s="1"/>
      <c r="V3800" s="1"/>
      <c r="W3800" s="1"/>
      <c r="X3800" s="1"/>
      <c r="Y3800" s="1"/>
      <c r="Z3800" s="1"/>
      <c r="AA3800" s="1"/>
      <c r="AB3800" s="1"/>
    </row>
    <row r="3801" ht="50.25" customHeight="1">
      <c r="A3801" s="12">
        <v>3797.0</v>
      </c>
      <c r="B3801" s="13" t="s">
        <v>3778</v>
      </c>
      <c r="C3801" s="14" t="s">
        <v>3819</v>
      </c>
      <c r="D3801" s="1"/>
      <c r="E3801" s="1"/>
      <c r="F3801" s="1" t="str">
        <f>IFERROR(__xludf.DUMMYFUNCTION("GOOGLETRANSLATE(B3801, ""en"", ""fa"")
"),"برنامه ریز عروسی")</f>
        <v>برنامه ریز عروسی</v>
      </c>
      <c r="G3801" s="1" t="str">
        <f>IFERROR(__xludf.DUMMYFUNCTION("GOOGLETRANSLATE(C3801, ""en"", ""fa"")
"),"سوالات کلیدی که برنامه ریزان عروسی باید هنگام مصاحبه با فروشندگان احتمالی بپرسند چیست؟")</f>
        <v>سوالات کلیدی که برنامه ریزان عروسی باید هنگام مصاحبه با فروشندگان احتمالی بپرسند چیست؟</v>
      </c>
      <c r="H3801" s="1"/>
      <c r="I3801" s="1"/>
      <c r="J3801" s="1"/>
      <c r="K3801" s="1"/>
      <c r="L3801" s="1"/>
      <c r="M3801" s="1"/>
      <c r="N3801" s="1"/>
      <c r="O3801" s="1"/>
      <c r="P3801" s="1"/>
      <c r="Q3801" s="1"/>
      <c r="R3801" s="1"/>
      <c r="S3801" s="1"/>
      <c r="T3801" s="1"/>
      <c r="U3801" s="1"/>
      <c r="V3801" s="1"/>
      <c r="W3801" s="1"/>
      <c r="X3801" s="1"/>
      <c r="Y3801" s="1"/>
      <c r="Z3801" s="1"/>
      <c r="AA3801" s="1"/>
      <c r="AB3801" s="1"/>
    </row>
    <row r="3802" ht="50.25" customHeight="1">
      <c r="A3802" s="12">
        <v>3798.0</v>
      </c>
      <c r="B3802" s="13" t="s">
        <v>3778</v>
      </c>
      <c r="C3802" s="14" t="s">
        <v>3820</v>
      </c>
      <c r="D3802" s="1"/>
      <c r="E3802" s="1"/>
      <c r="F3802" s="1" t="str">
        <f>IFERROR(__xludf.DUMMYFUNCTION("GOOGLETRANSLATE(B3802, ""en"", ""fa"")
"),"برنامه ریز عروسی")</f>
        <v>برنامه ریز عروسی</v>
      </c>
      <c r="G3802" s="1" t="str">
        <f>IFERROR(__xludf.DUMMYFUNCTION("GOOGLETRANSLATE(C3802, ""en"", ""fa"")
"),"چگونه برنامه ریزان عروسی می توانند روابط و مشارکت قوی با فروشندگان عروسی برقرار کنند؟")</f>
        <v>چگونه برنامه ریزان عروسی می توانند روابط و مشارکت قوی با فروشندگان عروسی برقرار کنند؟</v>
      </c>
      <c r="H3802" s="1"/>
      <c r="I3802" s="1"/>
      <c r="J3802" s="1"/>
      <c r="K3802" s="1"/>
      <c r="L3802" s="1"/>
      <c r="M3802" s="1"/>
      <c r="N3802" s="1"/>
      <c r="O3802" s="1"/>
      <c r="P3802" s="1"/>
      <c r="Q3802" s="1"/>
      <c r="R3802" s="1"/>
      <c r="S3802" s="1"/>
      <c r="T3802" s="1"/>
      <c r="U3802" s="1"/>
      <c r="V3802" s="1"/>
      <c r="W3802" s="1"/>
      <c r="X3802" s="1"/>
      <c r="Y3802" s="1"/>
      <c r="Z3802" s="1"/>
      <c r="AA3802" s="1"/>
      <c r="AB3802" s="1"/>
    </row>
    <row r="3803" ht="50.25" customHeight="1">
      <c r="A3803" s="12">
        <v>3799.0</v>
      </c>
      <c r="B3803" s="13" t="s">
        <v>3778</v>
      </c>
      <c r="C3803" s="14" t="s">
        <v>3821</v>
      </c>
      <c r="D3803" s="1"/>
      <c r="E3803" s="1"/>
      <c r="F3803" s="1" t="str">
        <f>IFERROR(__xludf.DUMMYFUNCTION("GOOGLETRANSLATE(B3803, ""en"", ""fa"")
"),"برنامه ریز عروسی")</f>
        <v>برنامه ریز عروسی</v>
      </c>
      <c r="G3803" s="1" t="str">
        <f>IFERROR(__xludf.DUMMYFUNCTION("GOOGLETRANSLATE(C3803, ""en"", ""fa"")
"),"چند استراتژی برای مدیریت قراردادها و توافقات را با فروشندگان عروسی به اشتراک بگذارید.")</f>
        <v>چند استراتژی برای مدیریت قراردادها و توافقات را با فروشندگان عروسی به اشتراک بگذارید.</v>
      </c>
      <c r="H3803" s="1"/>
      <c r="I3803" s="1"/>
      <c r="J3803" s="1"/>
      <c r="K3803" s="1"/>
      <c r="L3803" s="1"/>
      <c r="M3803" s="1"/>
      <c r="N3803" s="1"/>
      <c r="O3803" s="1"/>
      <c r="P3803" s="1"/>
      <c r="Q3803" s="1"/>
      <c r="R3803" s="1"/>
      <c r="S3803" s="1"/>
      <c r="T3803" s="1"/>
      <c r="U3803" s="1"/>
      <c r="V3803" s="1"/>
      <c r="W3803" s="1"/>
      <c r="X3803" s="1"/>
      <c r="Y3803" s="1"/>
      <c r="Z3803" s="1"/>
      <c r="AA3803" s="1"/>
      <c r="AB3803" s="1"/>
    </row>
    <row r="3804" ht="50.25" customHeight="1">
      <c r="A3804" s="12">
        <v>3800.0</v>
      </c>
      <c r="B3804" s="13" t="s">
        <v>3778</v>
      </c>
      <c r="C3804" s="14" t="s">
        <v>3822</v>
      </c>
      <c r="D3804" s="1"/>
      <c r="E3804" s="1"/>
      <c r="F3804" s="1" t="str">
        <f>IFERROR(__xludf.DUMMYFUNCTION("GOOGLETRANSLATE(B3804, ""en"", ""fa"")
"),"برنامه ریز عروسی")</f>
        <v>برنامه ریز عروسی</v>
      </c>
      <c r="G3804" s="1" t="str">
        <f>IFERROR(__xludf.DUMMYFUNCTION("GOOGLETRANSLATE(C3804, ""en"", ""fa"")
"),"چند راه برای اطمینان از ارتباط به موقع و کارآمد بین برنامه ریزان عروسی و فروشندگان چیست؟")</f>
        <v>چند راه برای اطمینان از ارتباط به موقع و کارآمد بین برنامه ریزان عروسی و فروشندگان چیست؟</v>
      </c>
      <c r="H3804" s="1"/>
      <c r="I3804" s="1"/>
      <c r="J3804" s="1"/>
      <c r="K3804" s="1"/>
      <c r="L3804" s="1"/>
      <c r="M3804" s="1"/>
      <c r="N3804" s="1"/>
      <c r="O3804" s="1"/>
      <c r="P3804" s="1"/>
      <c r="Q3804" s="1"/>
      <c r="R3804" s="1"/>
      <c r="S3804" s="1"/>
      <c r="T3804" s="1"/>
      <c r="U3804" s="1"/>
      <c r="V3804" s="1"/>
      <c r="W3804" s="1"/>
      <c r="X3804" s="1"/>
      <c r="Y3804" s="1"/>
      <c r="Z3804" s="1"/>
      <c r="AA3804" s="1"/>
      <c r="AB3804" s="1"/>
    </row>
    <row r="3805" ht="50.25" customHeight="1">
      <c r="A3805" s="12">
        <v>3801.0</v>
      </c>
      <c r="B3805" s="13" t="s">
        <v>3778</v>
      </c>
      <c r="C3805" s="14" t="s">
        <v>3823</v>
      </c>
      <c r="D3805" s="1"/>
      <c r="E3805" s="1"/>
      <c r="F3805" s="1" t="str">
        <f>IFERROR(__xludf.DUMMYFUNCTION("GOOGLETRANSLATE(B3805, ""en"", ""fa"")
"),"برنامه ریز عروسی")</f>
        <v>برنامه ریز عروسی</v>
      </c>
      <c r="G3805" s="1" t="str">
        <f>IFERROR(__xludf.DUMMYFUNCTION("GOOGLETRANSLATE(C3805, ""en"", ""fa"")
"),"چگونه برنامه ریزان عروسی می توانند پرداخت ها و بودجه های فروشنده را به طور موثر مدیریت کنند؟")</f>
        <v>چگونه برنامه ریزان عروسی می توانند پرداخت ها و بودجه های فروشنده را به طور موثر مدیریت کنند؟</v>
      </c>
      <c r="H3805" s="1"/>
      <c r="I3805" s="1"/>
      <c r="J3805" s="1"/>
      <c r="K3805" s="1"/>
      <c r="L3805" s="1"/>
      <c r="M3805" s="1"/>
      <c r="N3805" s="1"/>
      <c r="O3805" s="1"/>
      <c r="P3805" s="1"/>
      <c r="Q3805" s="1"/>
      <c r="R3805" s="1"/>
      <c r="S3805" s="1"/>
      <c r="T3805" s="1"/>
      <c r="U3805" s="1"/>
      <c r="V3805" s="1"/>
      <c r="W3805" s="1"/>
      <c r="X3805" s="1"/>
      <c r="Y3805" s="1"/>
      <c r="Z3805" s="1"/>
      <c r="AA3805" s="1"/>
      <c r="AB3805" s="1"/>
    </row>
    <row r="3806" ht="50.25" customHeight="1">
      <c r="A3806" s="12">
        <v>3802.0</v>
      </c>
      <c r="B3806" s="13" t="s">
        <v>3778</v>
      </c>
      <c r="C3806" s="14" t="s">
        <v>3824</v>
      </c>
      <c r="D3806" s="1"/>
      <c r="E3806" s="1"/>
      <c r="F3806" s="1" t="str">
        <f>IFERROR(__xludf.DUMMYFUNCTION("GOOGLETRANSLATE(B3806, ""en"", ""fa"")
"),"برنامه ریز عروسی")</f>
        <v>برنامه ریز عروسی</v>
      </c>
      <c r="G3806" s="1" t="str">
        <f>IFERROR(__xludf.DUMMYFUNCTION("GOOGLETRANSLATE(C3806, ""en"", ""fa"")
"),"نکاتی را برای هماهنگ کردن برنامه‌ها و جدول‌های زمانی فروشنده برای اطمینان از یک روز عروسی آرام به اشتراک بگذارید.")</f>
        <v>نکاتی را برای هماهنگ کردن برنامه‌ها و جدول‌های زمانی فروشنده برای اطمینان از یک روز عروسی آرام به اشتراک بگذارید.</v>
      </c>
      <c r="H3806" s="1"/>
      <c r="I3806" s="1"/>
      <c r="J3806" s="1"/>
      <c r="K3806" s="1"/>
      <c r="L3806" s="1"/>
      <c r="M3806" s="1"/>
      <c r="N3806" s="1"/>
      <c r="O3806" s="1"/>
      <c r="P3806" s="1"/>
      <c r="Q3806" s="1"/>
      <c r="R3806" s="1"/>
      <c r="S3806" s="1"/>
      <c r="T3806" s="1"/>
      <c r="U3806" s="1"/>
      <c r="V3806" s="1"/>
      <c r="W3806" s="1"/>
      <c r="X3806" s="1"/>
      <c r="Y3806" s="1"/>
      <c r="Z3806" s="1"/>
      <c r="AA3806" s="1"/>
      <c r="AB3806" s="1"/>
    </row>
    <row r="3807" ht="50.25" customHeight="1">
      <c r="A3807" s="12">
        <v>3803.0</v>
      </c>
      <c r="B3807" s="13" t="s">
        <v>3778</v>
      </c>
      <c r="C3807" s="14" t="s">
        <v>3825</v>
      </c>
      <c r="D3807" s="1"/>
      <c r="E3807" s="1"/>
      <c r="F3807" s="1" t="str">
        <f>IFERROR(__xludf.DUMMYFUNCTION("GOOGLETRANSLATE(B3807, ""en"", ""fa"")
"),"برنامه ریز عروسی")</f>
        <v>برنامه ریز عروسی</v>
      </c>
      <c r="G3807" s="1" t="str">
        <f>IFERROR(__xludf.DUMMYFUNCTION("GOOGLETRANSLATE(C3807, ""en"", ""fa"")
"),"بهترین شیوه ها برای رسیدگی به لغو یا مسائل پیش بینی نشده فروشنده چیست؟")</f>
        <v>بهترین شیوه ها برای رسیدگی به لغو یا مسائل پیش بینی نشده فروشنده چیست؟</v>
      </c>
      <c r="H3807" s="1"/>
      <c r="I3807" s="1"/>
      <c r="J3807" s="1"/>
      <c r="K3807" s="1"/>
      <c r="L3807" s="1"/>
      <c r="M3807" s="1"/>
      <c r="N3807" s="1"/>
      <c r="O3807" s="1"/>
      <c r="P3807" s="1"/>
      <c r="Q3807" s="1"/>
      <c r="R3807" s="1"/>
      <c r="S3807" s="1"/>
      <c r="T3807" s="1"/>
      <c r="U3807" s="1"/>
      <c r="V3807" s="1"/>
      <c r="W3807" s="1"/>
      <c r="X3807" s="1"/>
      <c r="Y3807" s="1"/>
      <c r="Z3807" s="1"/>
      <c r="AA3807" s="1"/>
      <c r="AB3807" s="1"/>
    </row>
    <row r="3808" ht="50.25" customHeight="1">
      <c r="A3808" s="12">
        <v>3804.0</v>
      </c>
      <c r="B3808" s="13" t="s">
        <v>3778</v>
      </c>
      <c r="C3808" s="14" t="s">
        <v>3826</v>
      </c>
      <c r="D3808" s="1"/>
      <c r="E3808" s="1"/>
      <c r="F3808" s="1" t="str">
        <f>IFERROR(__xludf.DUMMYFUNCTION("GOOGLETRANSLATE(B3808, ""en"", ""fa"")
"),"برنامه ریز عروسی")</f>
        <v>برنامه ریز عروسی</v>
      </c>
      <c r="G3808" s="1" t="str">
        <f>IFERROR(__xludf.DUMMYFUNCTION("GOOGLETRANSLATE(C3808, ""en"", ""fa"")
"),"چگونه برنامه ریزان عروسی می توانند اطمینان حاصل کنند که فروشندگان دیدگاه زوج را به طور دقیق درک کرده و اجرا می کنند؟")</f>
        <v>چگونه برنامه ریزان عروسی می توانند اطمینان حاصل کنند که فروشندگان دیدگاه زوج را به طور دقیق درک کرده و اجرا می کنند؟</v>
      </c>
      <c r="H3808" s="1"/>
      <c r="I3808" s="1"/>
      <c r="J3808" s="1"/>
      <c r="K3808" s="1"/>
      <c r="L3808" s="1"/>
      <c r="M3808" s="1"/>
      <c r="N3808" s="1"/>
      <c r="O3808" s="1"/>
      <c r="P3808" s="1"/>
      <c r="Q3808" s="1"/>
      <c r="R3808" s="1"/>
      <c r="S3808" s="1"/>
      <c r="T3808" s="1"/>
      <c r="U3808" s="1"/>
      <c r="V3808" s="1"/>
      <c r="W3808" s="1"/>
      <c r="X3808" s="1"/>
      <c r="Y3808" s="1"/>
      <c r="Z3808" s="1"/>
      <c r="AA3808" s="1"/>
      <c r="AB3808" s="1"/>
    </row>
    <row r="3809" ht="50.25" customHeight="1">
      <c r="A3809" s="12">
        <v>3805.0</v>
      </c>
      <c r="B3809" s="13" t="s">
        <v>3778</v>
      </c>
      <c r="C3809" s="14" t="s">
        <v>3827</v>
      </c>
      <c r="D3809" s="1"/>
      <c r="E3809" s="1"/>
      <c r="F3809" s="1" t="str">
        <f>IFERROR(__xludf.DUMMYFUNCTION("GOOGLETRANSLATE(B3809, ""en"", ""fa"")
"),"برنامه ریز عروسی")</f>
        <v>برنامه ریز عروسی</v>
      </c>
      <c r="G3809" s="1" t="str">
        <f>IFERROR(__xludf.DUMMYFUNCTION("GOOGLETRANSLATE(C3809, ""en"", ""fa"")
"),"چند ایده برای ایجاد یک لیست فروشنده ترجیحی و حفظ روابط فروشنده مثبت به اشتراک بگذارید.")</f>
        <v>چند ایده برای ایجاد یک لیست فروشنده ترجیحی و حفظ روابط فروشنده مثبت به اشتراک بگذارید.</v>
      </c>
      <c r="H3809" s="1"/>
      <c r="I3809" s="1"/>
      <c r="J3809" s="1"/>
      <c r="K3809" s="1"/>
      <c r="L3809" s="1"/>
      <c r="M3809" s="1"/>
      <c r="N3809" s="1"/>
      <c r="O3809" s="1"/>
      <c r="P3809" s="1"/>
      <c r="Q3809" s="1"/>
      <c r="R3809" s="1"/>
      <c r="S3809" s="1"/>
      <c r="T3809" s="1"/>
      <c r="U3809" s="1"/>
      <c r="V3809" s="1"/>
      <c r="W3809" s="1"/>
      <c r="X3809" s="1"/>
      <c r="Y3809" s="1"/>
      <c r="Z3809" s="1"/>
      <c r="AA3809" s="1"/>
      <c r="AB3809" s="1"/>
    </row>
    <row r="3810" ht="50.25" customHeight="1">
      <c r="A3810" s="12">
        <v>3806.0</v>
      </c>
      <c r="B3810" s="13" t="s">
        <v>3778</v>
      </c>
      <c r="C3810" s="14" t="s">
        <v>3828</v>
      </c>
      <c r="D3810" s="1"/>
      <c r="E3810" s="1"/>
      <c r="F3810" s="1" t="str">
        <f>IFERROR(__xludf.DUMMYFUNCTION("GOOGLETRANSLATE(B3810, ""en"", ""fa"")
"),"برنامه ریز عروسی")</f>
        <v>برنامه ریز عروسی</v>
      </c>
      <c r="G3810" s="1" t="str">
        <f>IFERROR(__xludf.DUMMYFUNCTION("GOOGLETRANSLATE(C3810, ""en"", ""fa"")
"),"هنگام استخدام و همکاری با فروشندگان عروسی باید به چه ویژگی های کلیدی توجه کرد؟")</f>
        <v>هنگام استخدام و همکاری با فروشندگان عروسی باید به چه ویژگی های کلیدی توجه کرد؟</v>
      </c>
      <c r="H3810" s="1"/>
      <c r="I3810" s="1"/>
      <c r="J3810" s="1"/>
      <c r="K3810" s="1"/>
      <c r="L3810" s="1"/>
      <c r="M3810" s="1"/>
      <c r="N3810" s="1"/>
      <c r="O3810" s="1"/>
      <c r="P3810" s="1"/>
      <c r="Q3810" s="1"/>
      <c r="R3810" s="1"/>
      <c r="S3810" s="1"/>
      <c r="T3810" s="1"/>
      <c r="U3810" s="1"/>
      <c r="V3810" s="1"/>
      <c r="W3810" s="1"/>
      <c r="X3810" s="1"/>
      <c r="Y3810" s="1"/>
      <c r="Z3810" s="1"/>
      <c r="AA3810" s="1"/>
      <c r="AB3810" s="1"/>
    </row>
    <row r="3811" ht="50.25" customHeight="1">
      <c r="A3811" s="12">
        <v>3807.0</v>
      </c>
      <c r="B3811" s="13" t="s">
        <v>3778</v>
      </c>
      <c r="C3811" s="14" t="s">
        <v>3829</v>
      </c>
      <c r="D3811" s="1"/>
      <c r="E3811" s="1"/>
      <c r="F3811" s="1" t="str">
        <f>IFERROR(__xludf.DUMMYFUNCTION("GOOGLETRANSLATE(B3811, ""en"", ""fa"")
"),"برنامه ریز عروسی")</f>
        <v>برنامه ریز عروسی</v>
      </c>
      <c r="G3811" s="1" t="str">
        <f>IFERROR(__xludf.DUMMYFUNCTION("GOOGLETRANSLATE(C3811, ""en"", ""fa"")
"),"چگونه برنامه ریزان عروسی می توانند به طور موثر در مورد قیمت ها و بسته ها با فروشندگان مذاکره کنند؟")</f>
        <v>چگونه برنامه ریزان عروسی می توانند به طور موثر در مورد قیمت ها و بسته ها با فروشندگان مذاکره کنند؟</v>
      </c>
      <c r="H3811" s="1"/>
      <c r="I3811" s="1"/>
      <c r="J3811" s="1"/>
      <c r="K3811" s="1"/>
      <c r="L3811" s="1"/>
      <c r="M3811" s="1"/>
      <c r="N3811" s="1"/>
      <c r="O3811" s="1"/>
      <c r="P3811" s="1"/>
      <c r="Q3811" s="1"/>
      <c r="R3811" s="1"/>
      <c r="S3811" s="1"/>
      <c r="T3811" s="1"/>
      <c r="U3811" s="1"/>
      <c r="V3811" s="1"/>
      <c r="W3811" s="1"/>
      <c r="X3811" s="1"/>
      <c r="Y3811" s="1"/>
      <c r="Z3811" s="1"/>
      <c r="AA3811" s="1"/>
      <c r="AB3811" s="1"/>
    </row>
    <row r="3812" ht="50.25" customHeight="1">
      <c r="A3812" s="12">
        <v>3808.0</v>
      </c>
      <c r="B3812" s="13" t="s">
        <v>3778</v>
      </c>
      <c r="C3812" s="14" t="s">
        <v>3830</v>
      </c>
      <c r="D3812" s="1"/>
      <c r="E3812" s="1"/>
      <c r="F3812" s="1" t="str">
        <f>IFERROR(__xludf.DUMMYFUNCTION("GOOGLETRANSLATE(B3812, ""en"", ""fa"")
"),"برنامه ریز عروسی")</f>
        <v>برنامه ریز عروسی</v>
      </c>
      <c r="G3812" s="1" t="str">
        <f>IFERROR(__xludf.DUMMYFUNCTION("GOOGLETRANSLATE(C3812, ""en"", ""fa"")
"),"چند استراتژی برای مدیریت انتظارات فروشنده و حل تعارضات به اشتراک بگذارید.")</f>
        <v>چند استراتژی برای مدیریت انتظارات فروشنده و حل تعارضات به اشتراک بگذارید.</v>
      </c>
      <c r="H3812" s="1"/>
      <c r="I3812" s="1"/>
      <c r="J3812" s="1"/>
      <c r="K3812" s="1"/>
      <c r="L3812" s="1"/>
      <c r="M3812" s="1"/>
      <c r="N3812" s="1"/>
      <c r="O3812" s="1"/>
      <c r="P3812" s="1"/>
      <c r="Q3812" s="1"/>
      <c r="R3812" s="1"/>
      <c r="S3812" s="1"/>
      <c r="T3812" s="1"/>
      <c r="U3812" s="1"/>
      <c r="V3812" s="1"/>
      <c r="W3812" s="1"/>
      <c r="X3812" s="1"/>
      <c r="Y3812" s="1"/>
      <c r="Z3812" s="1"/>
      <c r="AA3812" s="1"/>
      <c r="AB3812" s="1"/>
    </row>
    <row r="3813" ht="50.25" customHeight="1">
      <c r="A3813" s="12">
        <v>3809.0</v>
      </c>
      <c r="B3813" s="13" t="s">
        <v>3778</v>
      </c>
      <c r="C3813" s="14" t="s">
        <v>3831</v>
      </c>
      <c r="D3813" s="1"/>
      <c r="E3813" s="1"/>
      <c r="F3813" s="1" t="str">
        <f>IFERROR(__xludf.DUMMYFUNCTION("GOOGLETRANSLATE(B3813, ""en"", ""fa"")
"),"برنامه ریز عروسی")</f>
        <v>برنامه ریز عروسی</v>
      </c>
      <c r="G3813" s="1" t="str">
        <f>IFERROR(__xludf.DUMMYFUNCTION("GOOGLETRANSLATE(C3813, ""en"", ""fa"")
"),"اسناد و مدارک ضروری که برنامه ریزان عروسی باید هنگام کار با فروشندگان داشته باشند چیست؟")</f>
        <v>اسناد و مدارک ضروری که برنامه ریزان عروسی باید هنگام کار با فروشندگان داشته باشند چیست؟</v>
      </c>
      <c r="H3813" s="1"/>
      <c r="I3813" s="1"/>
      <c r="J3813" s="1"/>
      <c r="K3813" s="1"/>
      <c r="L3813" s="1"/>
      <c r="M3813" s="1"/>
      <c r="N3813" s="1"/>
      <c r="O3813" s="1"/>
      <c r="P3813" s="1"/>
      <c r="Q3813" s="1"/>
      <c r="R3813" s="1"/>
      <c r="S3813" s="1"/>
      <c r="T3813" s="1"/>
      <c r="U3813" s="1"/>
      <c r="V3813" s="1"/>
      <c r="W3813" s="1"/>
      <c r="X3813" s="1"/>
      <c r="Y3813" s="1"/>
      <c r="Z3813" s="1"/>
      <c r="AA3813" s="1"/>
      <c r="AB3813" s="1"/>
    </row>
    <row r="3814" ht="50.25" customHeight="1">
      <c r="A3814" s="12">
        <v>3810.0</v>
      </c>
      <c r="B3814" s="13" t="s">
        <v>3778</v>
      </c>
      <c r="C3814" s="14" t="s">
        <v>3832</v>
      </c>
      <c r="D3814" s="1"/>
      <c r="E3814" s="1"/>
      <c r="F3814" s="1" t="str">
        <f>IFERROR(__xludf.DUMMYFUNCTION("GOOGLETRANSLATE(B3814, ""en"", ""fa"")
"),"برنامه ریز عروسی")</f>
        <v>برنامه ریز عروسی</v>
      </c>
      <c r="G3814" s="1" t="str">
        <f>IFERROR(__xludf.DUMMYFUNCTION("GOOGLETRANSLATE(C3814, ""en"", ""fa"")
"),"چگونه برنامه ریزان عروسی می توانند اطمینان حاصل کنند که فروشندگان دارای مجوز و بیمه مناسب هستند؟")</f>
        <v>چگونه برنامه ریزان عروسی می توانند اطمینان حاصل کنند که فروشندگان دارای مجوز و بیمه مناسب هستند؟</v>
      </c>
      <c r="H3814" s="1"/>
      <c r="I3814" s="1"/>
      <c r="J3814" s="1"/>
      <c r="K3814" s="1"/>
      <c r="L3814" s="1"/>
      <c r="M3814" s="1"/>
      <c r="N3814" s="1"/>
      <c r="O3814" s="1"/>
      <c r="P3814" s="1"/>
      <c r="Q3814" s="1"/>
      <c r="R3814" s="1"/>
      <c r="S3814" s="1"/>
      <c r="T3814" s="1"/>
      <c r="U3814" s="1"/>
      <c r="V3814" s="1"/>
      <c r="W3814" s="1"/>
      <c r="X3814" s="1"/>
      <c r="Y3814" s="1"/>
      <c r="Z3814" s="1"/>
      <c r="AA3814" s="1"/>
      <c r="AB3814" s="1"/>
    </row>
    <row r="3815" ht="50.25" customHeight="1">
      <c r="A3815" s="12">
        <v>3811.0</v>
      </c>
      <c r="B3815" s="13" t="s">
        <v>3778</v>
      </c>
      <c r="C3815" s="14" t="s">
        <v>3833</v>
      </c>
      <c r="D3815" s="1"/>
      <c r="E3815" s="1"/>
      <c r="F3815" s="1" t="str">
        <f>IFERROR(__xludf.DUMMYFUNCTION("GOOGLETRANSLATE(B3815, ""en"", ""fa"")
"),"برنامه ریز عروسی")</f>
        <v>برنامه ریز عروسی</v>
      </c>
      <c r="G3815" s="1" t="str">
        <f>IFERROR(__xludf.DUMMYFUNCTION("GOOGLETRANSLATE(C3815, ""en"", ""fa"")
"),"نکاتی را برای هماهنگی بارگیری، راه اندازی و خرابی فروشنده در روز عروسی به اشتراک بگذارید.")</f>
        <v>نکاتی را برای هماهنگی بارگیری، راه اندازی و خرابی فروشنده در روز عروسی به اشتراک بگذارید.</v>
      </c>
      <c r="H3815" s="1"/>
      <c r="I3815" s="1"/>
      <c r="J3815" s="1"/>
      <c r="K3815" s="1"/>
      <c r="L3815" s="1"/>
      <c r="M3815" s="1"/>
      <c r="N3815" s="1"/>
      <c r="O3815" s="1"/>
      <c r="P3815" s="1"/>
      <c r="Q3815" s="1"/>
      <c r="R3815" s="1"/>
      <c r="S3815" s="1"/>
      <c r="T3815" s="1"/>
      <c r="U3815" s="1"/>
      <c r="V3815" s="1"/>
      <c r="W3815" s="1"/>
      <c r="X3815" s="1"/>
      <c r="Y3815" s="1"/>
      <c r="Z3815" s="1"/>
      <c r="AA3815" s="1"/>
      <c r="AB3815" s="1"/>
    </row>
    <row r="3816" ht="50.25" customHeight="1">
      <c r="A3816" s="12">
        <v>3812.0</v>
      </c>
      <c r="B3816" s="13" t="s">
        <v>3778</v>
      </c>
      <c r="C3816" s="14" t="s">
        <v>3834</v>
      </c>
      <c r="D3816" s="1"/>
      <c r="E3816" s="1"/>
      <c r="F3816" s="1" t="str">
        <f>IFERROR(__xludf.DUMMYFUNCTION("GOOGLETRANSLATE(B3816, ""en"", ""fa"")
"),"برنامه ریز عروسی")</f>
        <v>برنامه ریز عروسی</v>
      </c>
      <c r="G3816" s="1" t="str">
        <f>IFERROR(__xludf.DUMMYFUNCTION("GOOGLETRANSLATE(C3816, ""en"", ""fa"")
"),"چند راه برای ردیابی و مدیریت پرداخت ها و فاکتورهای فروشنده چیست؟")</f>
        <v>چند راه برای ردیابی و مدیریت پرداخت ها و فاکتورهای فروشنده چیست؟</v>
      </c>
      <c r="H3816" s="1"/>
      <c r="I3816" s="1"/>
      <c r="J3816" s="1"/>
      <c r="K3816" s="1"/>
      <c r="L3816" s="1"/>
      <c r="M3816" s="1"/>
      <c r="N3816" s="1"/>
      <c r="O3816" s="1"/>
      <c r="P3816" s="1"/>
      <c r="Q3816" s="1"/>
      <c r="R3816" s="1"/>
      <c r="S3816" s="1"/>
      <c r="T3816" s="1"/>
      <c r="U3816" s="1"/>
      <c r="V3816" s="1"/>
      <c r="W3816" s="1"/>
      <c r="X3816" s="1"/>
      <c r="Y3816" s="1"/>
      <c r="Z3816" s="1"/>
      <c r="AA3816" s="1"/>
      <c r="AB3816" s="1"/>
    </row>
    <row r="3817" ht="50.25" customHeight="1">
      <c r="A3817" s="12">
        <v>3813.0</v>
      </c>
      <c r="B3817" s="13" t="s">
        <v>3778</v>
      </c>
      <c r="C3817" s="14" t="s">
        <v>3835</v>
      </c>
      <c r="D3817" s="1"/>
      <c r="E3817" s="1"/>
      <c r="F3817" s="1" t="str">
        <f>IFERROR(__xludf.DUMMYFUNCTION("GOOGLETRANSLATE(B3817, ""en"", ""fa"")
"),"برنامه ریز عروسی")</f>
        <v>برنامه ریز عروسی</v>
      </c>
      <c r="G3817" s="1" t="str">
        <f>IFERROR(__xludf.DUMMYFUNCTION("GOOGLETRANSLATE(C3817, ""en"", ""fa"")
"),"چگونه برنامه ریزان عروسی می توانند تغییرات یا اضافه شدن به تیم فروشنده را در طول فرآیند برنامه ریزی مدیریت کنند؟")</f>
        <v>چگونه برنامه ریزان عروسی می توانند تغییرات یا اضافه شدن به تیم فروشنده را در طول فرآیند برنامه ریزی مدیریت کنند؟</v>
      </c>
      <c r="H3817" s="1"/>
      <c r="I3817" s="1"/>
      <c r="J3817" s="1"/>
      <c r="K3817" s="1"/>
      <c r="L3817" s="1"/>
      <c r="M3817" s="1"/>
      <c r="N3817" s="1"/>
      <c r="O3817" s="1"/>
      <c r="P3817" s="1"/>
      <c r="Q3817" s="1"/>
      <c r="R3817" s="1"/>
      <c r="S3817" s="1"/>
      <c r="T3817" s="1"/>
      <c r="U3817" s="1"/>
      <c r="V3817" s="1"/>
      <c r="W3817" s="1"/>
      <c r="X3817" s="1"/>
      <c r="Y3817" s="1"/>
      <c r="Z3817" s="1"/>
      <c r="AA3817" s="1"/>
      <c r="AB3817" s="1"/>
    </row>
    <row r="3818" ht="50.25" customHeight="1">
      <c r="A3818" s="12">
        <v>3814.0</v>
      </c>
      <c r="B3818" s="13" t="s">
        <v>3778</v>
      </c>
      <c r="C3818" s="14" t="s">
        <v>3836</v>
      </c>
      <c r="D3818" s="1"/>
      <c r="E3818" s="1"/>
      <c r="F3818" s="1" t="str">
        <f>IFERROR(__xludf.DUMMYFUNCTION("GOOGLETRANSLATE(B3818, ""en"", ""fa"")
"),"برنامه ریز عروسی")</f>
        <v>برنامه ریز عروسی</v>
      </c>
      <c r="G3818" s="1" t="str">
        <f>IFERROR(__xludf.DUMMYFUNCTION("GOOGLETRANSLATE(C3818, ""en"", ""fa"")
"),"ایده هایی برای ایجاد یک جعبه ابزار مدیریت فروشنده یا راهنمای منابع برای برنامه ریزان عروسی به اشتراک بگذارید.")</f>
        <v>ایده هایی برای ایجاد یک جعبه ابزار مدیریت فروشنده یا راهنمای منابع برای برنامه ریزان عروسی به اشتراک بگذارید.</v>
      </c>
      <c r="H3818" s="1"/>
      <c r="I3818" s="1"/>
      <c r="J3818" s="1"/>
      <c r="K3818" s="1"/>
      <c r="L3818" s="1"/>
      <c r="M3818" s="1"/>
      <c r="N3818" s="1"/>
      <c r="O3818" s="1"/>
      <c r="P3818" s="1"/>
      <c r="Q3818" s="1"/>
      <c r="R3818" s="1"/>
      <c r="S3818" s="1"/>
      <c r="T3818" s="1"/>
      <c r="U3818" s="1"/>
      <c r="V3818" s="1"/>
      <c r="W3818" s="1"/>
      <c r="X3818" s="1"/>
      <c r="Y3818" s="1"/>
      <c r="Z3818" s="1"/>
      <c r="AA3818" s="1"/>
      <c r="AB3818" s="1"/>
    </row>
    <row r="3819" ht="50.25" customHeight="1">
      <c r="A3819" s="12">
        <v>3815.0</v>
      </c>
      <c r="B3819" s="13" t="s">
        <v>3778</v>
      </c>
      <c r="C3819" s="14" t="s">
        <v>3837</v>
      </c>
      <c r="D3819" s="1"/>
      <c r="E3819" s="1"/>
      <c r="F3819" s="1" t="str">
        <f>IFERROR(__xludf.DUMMYFUNCTION("GOOGLETRANSLATE(B3819, ""en"", ""fa"")
"),"برنامه ریز عروسی")</f>
        <v>برنامه ریز عروسی</v>
      </c>
      <c r="G3819" s="1" t="str">
        <f>IFERROR(__xludf.DUMMYFUNCTION("GOOGLETRANSLATE(C3819, ""en"", ""fa"")
"),"مسئولیت های کلیدی برنامه ریزان عروسی در نظارت بر عملکرد فروشنده و محصولات قابل تحویل چیست؟")</f>
        <v>مسئولیت های کلیدی برنامه ریزان عروسی در نظارت بر عملکرد فروشنده و محصولات قابل تحویل چیست؟</v>
      </c>
      <c r="H3819" s="1"/>
      <c r="I3819" s="1"/>
      <c r="J3819" s="1"/>
      <c r="K3819" s="1"/>
      <c r="L3819" s="1"/>
      <c r="M3819" s="1"/>
      <c r="N3819" s="1"/>
      <c r="O3819" s="1"/>
      <c r="P3819" s="1"/>
      <c r="Q3819" s="1"/>
      <c r="R3819" s="1"/>
      <c r="S3819" s="1"/>
      <c r="T3819" s="1"/>
      <c r="U3819" s="1"/>
      <c r="V3819" s="1"/>
      <c r="W3819" s="1"/>
      <c r="X3819" s="1"/>
      <c r="Y3819" s="1"/>
      <c r="Z3819" s="1"/>
      <c r="AA3819" s="1"/>
      <c r="AB3819" s="1"/>
    </row>
    <row r="3820" ht="50.25" customHeight="1">
      <c r="A3820" s="12">
        <v>3816.0</v>
      </c>
      <c r="B3820" s="13" t="s">
        <v>3778</v>
      </c>
      <c r="C3820" s="14" t="s">
        <v>3838</v>
      </c>
      <c r="D3820" s="1"/>
      <c r="E3820" s="1"/>
      <c r="F3820" s="1" t="str">
        <f>IFERROR(__xludf.DUMMYFUNCTION("GOOGLETRANSLATE(B3820, ""en"", ""fa"")
"),"برنامه ریز عروسی")</f>
        <v>برنامه ریز عروسی</v>
      </c>
      <c r="G3820" s="1" t="str">
        <f>IFERROR(__xludf.DUMMYFUNCTION("GOOGLETRANSLATE(C3820, ""en"", ""fa"")
"),"چگونه برنامه ریزان عروسی می توانند به طور موثر برنامه روز عروسی و تدارکات را به فروشندگان منتقل کنند؟")</f>
        <v>چگونه برنامه ریزان عروسی می توانند به طور موثر برنامه روز عروسی و تدارکات را به فروشندگان منتقل کنند؟</v>
      </c>
      <c r="H3820" s="1"/>
      <c r="I3820" s="1"/>
      <c r="J3820" s="1"/>
      <c r="K3820" s="1"/>
      <c r="L3820" s="1"/>
      <c r="M3820" s="1"/>
      <c r="N3820" s="1"/>
      <c r="O3820" s="1"/>
      <c r="P3820" s="1"/>
      <c r="Q3820" s="1"/>
      <c r="R3820" s="1"/>
      <c r="S3820" s="1"/>
      <c r="T3820" s="1"/>
      <c r="U3820" s="1"/>
      <c r="V3820" s="1"/>
      <c r="W3820" s="1"/>
      <c r="X3820" s="1"/>
      <c r="Y3820" s="1"/>
      <c r="Z3820" s="1"/>
      <c r="AA3820" s="1"/>
      <c r="AB3820" s="1"/>
    </row>
    <row r="3821" ht="50.25" customHeight="1">
      <c r="A3821" s="12">
        <v>3817.0</v>
      </c>
      <c r="B3821" s="13" t="s">
        <v>3778</v>
      </c>
      <c r="C3821" s="14" t="s">
        <v>3839</v>
      </c>
      <c r="D3821" s="1"/>
      <c r="E3821" s="1"/>
      <c r="F3821" s="1" t="str">
        <f>IFERROR(__xludf.DUMMYFUNCTION("GOOGLETRANSLATE(B3821, ""en"", ""fa"")
"),"برنامه ریز عروسی")</f>
        <v>برنامه ریز عروسی</v>
      </c>
      <c r="G3821" s="1" t="str">
        <f>IFERROR(__xludf.DUMMYFUNCTION("GOOGLETRANSLATE(C3821, ""en"", ""fa"")
"),"چند استراتژی برای مدیریت چندین فروشنده و اطمینان از هماهنگی یکپارچه بین آنها به اشتراک بگذارید.")</f>
        <v>چند استراتژی برای مدیریت چندین فروشنده و اطمینان از هماهنگی یکپارچه بین آنها به اشتراک بگذارید.</v>
      </c>
      <c r="H3821" s="1"/>
      <c r="I3821" s="1"/>
      <c r="J3821" s="1"/>
      <c r="K3821" s="1"/>
      <c r="L3821" s="1"/>
      <c r="M3821" s="1"/>
      <c r="N3821" s="1"/>
      <c r="O3821" s="1"/>
      <c r="P3821" s="1"/>
      <c r="Q3821" s="1"/>
      <c r="R3821" s="1"/>
      <c r="S3821" s="1"/>
      <c r="T3821" s="1"/>
      <c r="U3821" s="1"/>
      <c r="V3821" s="1"/>
      <c r="W3821" s="1"/>
      <c r="X3821" s="1"/>
      <c r="Y3821" s="1"/>
      <c r="Z3821" s="1"/>
      <c r="AA3821" s="1"/>
      <c r="AB3821" s="1"/>
    </row>
    <row r="3822" ht="50.25" customHeight="1">
      <c r="A3822" s="12">
        <v>3818.0</v>
      </c>
      <c r="B3822" s="13" t="s">
        <v>3778</v>
      </c>
      <c r="C3822" s="14" t="s">
        <v>3840</v>
      </c>
      <c r="D3822" s="1"/>
      <c r="E3822" s="1"/>
      <c r="F3822" s="1" t="str">
        <f>IFERROR(__xludf.DUMMYFUNCTION("GOOGLETRANSLATE(B3822, ""en"", ""fa"")
"),"برنامه ریز عروسی")</f>
        <v>برنامه ریز عروسی</v>
      </c>
      <c r="G3822" s="1" t="str">
        <f>IFERROR(__xludf.DUMMYFUNCTION("GOOGLETRANSLATE(C3822, ""en"", ""fa"")
"),"چند راه برای رسیدگی به شرایط اضطراری فروشنده یا تغییرات لحظه آخری در روز عروسی چیست؟")</f>
        <v>چند راه برای رسیدگی به شرایط اضطراری فروشنده یا تغییرات لحظه آخری در روز عروسی چیست؟</v>
      </c>
      <c r="H3822" s="1"/>
      <c r="I3822" s="1"/>
      <c r="J3822" s="1"/>
      <c r="K3822" s="1"/>
      <c r="L3822" s="1"/>
      <c r="M3822" s="1"/>
      <c r="N3822" s="1"/>
      <c r="O3822" s="1"/>
      <c r="P3822" s="1"/>
      <c r="Q3822" s="1"/>
      <c r="R3822" s="1"/>
      <c r="S3822" s="1"/>
      <c r="T3822" s="1"/>
      <c r="U3822" s="1"/>
      <c r="V3822" s="1"/>
      <c r="W3822" s="1"/>
      <c r="X3822" s="1"/>
      <c r="Y3822" s="1"/>
      <c r="Z3822" s="1"/>
      <c r="AA3822" s="1"/>
      <c r="AB3822" s="1"/>
    </row>
    <row r="3823" ht="50.25" customHeight="1">
      <c r="A3823" s="12">
        <v>3819.0</v>
      </c>
      <c r="B3823" s="13" t="s">
        <v>3778</v>
      </c>
      <c r="C3823" s="14" t="s">
        <v>3841</v>
      </c>
      <c r="D3823" s="1"/>
      <c r="E3823" s="1"/>
      <c r="F3823" s="1" t="str">
        <f>IFERROR(__xludf.DUMMYFUNCTION("GOOGLETRANSLATE(B3823, ""en"", ""fa"")
"),"برنامه ریز عروسی")</f>
        <v>برنامه ریز عروسی</v>
      </c>
      <c r="G3823" s="1" t="str">
        <f>IFERROR(__xludf.DUMMYFUNCTION("GOOGLETRANSLATE(C3823, ""en"", ""fa"")
"),"چگونه برنامه ریزان عروسی می توانند با فروشندگان جدید یا ناآشنا اعتماد و ارتباط برقرار کنند؟")</f>
        <v>چگونه برنامه ریزان عروسی می توانند با فروشندگان جدید یا ناآشنا اعتماد و ارتباط برقرار کنند؟</v>
      </c>
      <c r="H3823" s="1"/>
      <c r="I3823" s="1"/>
      <c r="J3823" s="1"/>
      <c r="K3823" s="1"/>
      <c r="L3823" s="1"/>
      <c r="M3823" s="1"/>
      <c r="N3823" s="1"/>
      <c r="O3823" s="1"/>
      <c r="P3823" s="1"/>
      <c r="Q3823" s="1"/>
      <c r="R3823" s="1"/>
      <c r="S3823" s="1"/>
      <c r="T3823" s="1"/>
      <c r="U3823" s="1"/>
      <c r="V3823" s="1"/>
      <c r="W3823" s="1"/>
      <c r="X3823" s="1"/>
      <c r="Y3823" s="1"/>
      <c r="Z3823" s="1"/>
      <c r="AA3823" s="1"/>
      <c r="AB3823" s="1"/>
    </row>
    <row r="3824" ht="50.25" customHeight="1">
      <c r="A3824" s="12">
        <v>3820.0</v>
      </c>
      <c r="B3824" s="13" t="s">
        <v>3778</v>
      </c>
      <c r="C3824" s="14" t="s">
        <v>3842</v>
      </c>
      <c r="D3824" s="1"/>
      <c r="E3824" s="1"/>
      <c r="F3824" s="1" t="str">
        <f>IFERROR(__xludf.DUMMYFUNCTION("GOOGLETRANSLATE(B3824, ""en"", ""fa"")
"),"برنامه ریز عروسی")</f>
        <v>برنامه ریز عروسی</v>
      </c>
      <c r="G3824" s="1" t="str">
        <f>IFERROR(__xludf.DUMMYFUNCTION("GOOGLETRANSLATE(C3824, ""en"", ""fa"")
"),"نکاتی را برای انجام بازدید و بازرسی از محل فروشندگان قبل از روز عروسی به اشتراک بگذارید.")</f>
        <v>نکاتی را برای انجام بازدید و بازرسی از محل فروشندگان قبل از روز عروسی به اشتراک بگذارید.</v>
      </c>
      <c r="H3824" s="1"/>
      <c r="I3824" s="1"/>
      <c r="J3824" s="1"/>
      <c r="K3824" s="1"/>
      <c r="L3824" s="1"/>
      <c r="M3824" s="1"/>
      <c r="N3824" s="1"/>
      <c r="O3824" s="1"/>
      <c r="P3824" s="1"/>
      <c r="Q3824" s="1"/>
      <c r="R3824" s="1"/>
      <c r="S3824" s="1"/>
      <c r="T3824" s="1"/>
      <c r="U3824" s="1"/>
      <c r="V3824" s="1"/>
      <c r="W3824" s="1"/>
      <c r="X3824" s="1"/>
      <c r="Y3824" s="1"/>
      <c r="Z3824" s="1"/>
      <c r="AA3824" s="1"/>
      <c r="AB3824" s="1"/>
    </row>
    <row r="3825" ht="50.25" customHeight="1">
      <c r="A3825" s="12">
        <v>3821.0</v>
      </c>
      <c r="B3825" s="13" t="s">
        <v>3778</v>
      </c>
      <c r="C3825" s="14" t="s">
        <v>3843</v>
      </c>
      <c r="D3825" s="1"/>
      <c r="E3825" s="1"/>
      <c r="F3825" s="1" t="str">
        <f>IFERROR(__xludf.DUMMYFUNCTION("GOOGLETRANSLATE(B3825, ""en"", ""fa"")
"),"برنامه ریز عروسی")</f>
        <v>برنامه ریز عروسی</v>
      </c>
      <c r="G3825" s="1" t="str">
        <f>IFERROR(__xludf.DUMMYFUNCTION("GOOGLETRANSLATE(C3825, ""en"", ""fa"")
"),"بهترین روش ها برای بررسی و مقایسه پیشنهادات و قیمت های فروشنده چیست؟")</f>
        <v>بهترین روش ها برای بررسی و مقایسه پیشنهادات و قیمت های فروشنده چیست؟</v>
      </c>
      <c r="H3825" s="1"/>
      <c r="I3825" s="1"/>
      <c r="J3825" s="1"/>
      <c r="K3825" s="1"/>
      <c r="L3825" s="1"/>
      <c r="M3825" s="1"/>
      <c r="N3825" s="1"/>
      <c r="O3825" s="1"/>
      <c r="P3825" s="1"/>
      <c r="Q3825" s="1"/>
      <c r="R3825" s="1"/>
      <c r="S3825" s="1"/>
      <c r="T3825" s="1"/>
      <c r="U3825" s="1"/>
      <c r="V3825" s="1"/>
      <c r="W3825" s="1"/>
      <c r="X3825" s="1"/>
      <c r="Y3825" s="1"/>
      <c r="Z3825" s="1"/>
      <c r="AA3825" s="1"/>
      <c r="AB3825" s="1"/>
    </row>
    <row r="3826" ht="50.25" customHeight="1">
      <c r="A3826" s="12">
        <v>3822.0</v>
      </c>
      <c r="B3826" s="13" t="s">
        <v>3778</v>
      </c>
      <c r="C3826" s="14" t="s">
        <v>3844</v>
      </c>
      <c r="D3826" s="1"/>
      <c r="E3826" s="1"/>
      <c r="F3826" s="1" t="str">
        <f>IFERROR(__xludf.DUMMYFUNCTION("GOOGLETRANSLATE(B3826, ""en"", ""fa"")
"),"برنامه ریز عروسی")</f>
        <v>برنامه ریز عروسی</v>
      </c>
      <c r="G3826" s="1" t="str">
        <f>IFERROR(__xludf.DUMMYFUNCTION("GOOGLETRANSLATE(C3826, ""en"", ""fa"")
"),"چگونه برنامه ریزان عروسی می توانند اطمینان حاصل کنند که فروشندگان به شرایط و ضوابط توافق شده پایبند هستند؟")</f>
        <v>چگونه برنامه ریزان عروسی می توانند اطمینان حاصل کنند که فروشندگان به شرایط و ضوابط توافق شده پایبند هستند؟</v>
      </c>
      <c r="H3826" s="1"/>
      <c r="I3826" s="1"/>
      <c r="J3826" s="1"/>
      <c r="K3826" s="1"/>
      <c r="L3826" s="1"/>
      <c r="M3826" s="1"/>
      <c r="N3826" s="1"/>
      <c r="O3826" s="1"/>
      <c r="P3826" s="1"/>
      <c r="Q3826" s="1"/>
      <c r="R3826" s="1"/>
      <c r="S3826" s="1"/>
      <c r="T3826" s="1"/>
      <c r="U3826" s="1"/>
      <c r="V3826" s="1"/>
      <c r="W3826" s="1"/>
      <c r="X3826" s="1"/>
      <c r="Y3826" s="1"/>
      <c r="Z3826" s="1"/>
      <c r="AA3826" s="1"/>
      <c r="AB3826" s="1"/>
    </row>
    <row r="3827" ht="50.25" customHeight="1">
      <c r="A3827" s="12">
        <v>3823.0</v>
      </c>
      <c r="B3827" s="13" t="s">
        <v>3778</v>
      </c>
      <c r="C3827" s="14" t="s">
        <v>3845</v>
      </c>
      <c r="D3827" s="1"/>
      <c r="E3827" s="1"/>
      <c r="F3827" s="1" t="str">
        <f>IFERROR(__xludf.DUMMYFUNCTION("GOOGLETRANSLATE(B3827, ""en"", ""fa"")
"),"برنامه ریز عروسی")</f>
        <v>برنامه ریز عروسی</v>
      </c>
      <c r="G3827" s="1" t="str">
        <f>IFERROR(__xludf.DUMMYFUNCTION("GOOGLETRANSLATE(C3827, ""en"", ""fa"")
"),"چند ایده برای تشویق فروشندگان و پاداش دادن به خدمات استثنایی به اشتراک بگذارید.")</f>
        <v>چند ایده برای تشویق فروشندگان و پاداش دادن به خدمات استثنایی به اشتراک بگذارید.</v>
      </c>
      <c r="H3827" s="1"/>
      <c r="I3827" s="1"/>
      <c r="J3827" s="1"/>
      <c r="K3827" s="1"/>
      <c r="L3827" s="1"/>
      <c r="M3827" s="1"/>
      <c r="N3827" s="1"/>
      <c r="O3827" s="1"/>
      <c r="P3827" s="1"/>
      <c r="Q3827" s="1"/>
      <c r="R3827" s="1"/>
      <c r="S3827" s="1"/>
      <c r="T3827" s="1"/>
      <c r="U3827" s="1"/>
      <c r="V3827" s="1"/>
      <c r="W3827" s="1"/>
      <c r="X3827" s="1"/>
      <c r="Y3827" s="1"/>
      <c r="Z3827" s="1"/>
      <c r="AA3827" s="1"/>
      <c r="AB3827" s="1"/>
    </row>
    <row r="3828" ht="50.25" customHeight="1">
      <c r="A3828" s="12">
        <v>3824.0</v>
      </c>
      <c r="B3828" s="13" t="s">
        <v>3778</v>
      </c>
      <c r="C3828" s="14" t="s">
        <v>3846</v>
      </c>
      <c r="D3828" s="1"/>
      <c r="E3828" s="1"/>
      <c r="F3828" s="1" t="str">
        <f>IFERROR(__xludf.DUMMYFUNCTION("GOOGLETRANSLATE(B3828, ""en"", ""fa"")
"),"برنامه ریز عروسی")</f>
        <v>برنامه ریز عروسی</v>
      </c>
      <c r="G3828" s="1" t="str">
        <f>IFERROR(__xludf.DUMMYFUNCTION("GOOGLETRANSLATE(C3828, ""en"", ""fa"")
"),"عوامل کلیدی برای تعیین قیمت فروشنده و تخصیص بودجه چیست؟")</f>
        <v>عوامل کلیدی برای تعیین قیمت فروشنده و تخصیص بودجه چیست؟</v>
      </c>
      <c r="H3828" s="1"/>
      <c r="I3828" s="1"/>
      <c r="J3828" s="1"/>
      <c r="K3828" s="1"/>
      <c r="L3828" s="1"/>
      <c r="M3828" s="1"/>
      <c r="N3828" s="1"/>
      <c r="O3828" s="1"/>
      <c r="P3828" s="1"/>
      <c r="Q3828" s="1"/>
      <c r="R3828" s="1"/>
      <c r="S3828" s="1"/>
      <c r="T3828" s="1"/>
      <c r="U3828" s="1"/>
      <c r="V3828" s="1"/>
      <c r="W3828" s="1"/>
      <c r="X3828" s="1"/>
      <c r="Y3828" s="1"/>
      <c r="Z3828" s="1"/>
      <c r="AA3828" s="1"/>
      <c r="AB3828" s="1"/>
    </row>
    <row r="3829" ht="50.25" customHeight="1">
      <c r="A3829" s="12">
        <v>3825.0</v>
      </c>
      <c r="B3829" s="13" t="s">
        <v>3778</v>
      </c>
      <c r="C3829" s="14" t="s">
        <v>3847</v>
      </c>
      <c r="D3829" s="1"/>
      <c r="E3829" s="1"/>
      <c r="F3829" s="1" t="str">
        <f>IFERROR(__xludf.DUMMYFUNCTION("GOOGLETRANSLATE(B3829, ""en"", ""fa"")
"),"برنامه ریز عروسی")</f>
        <v>برنامه ریز عروسی</v>
      </c>
      <c r="G3829" s="1" t="str">
        <f>IFERROR(__xludf.DUMMYFUNCTION("GOOGLETRANSLATE(C3829, ""en"", ""fa"")
"),"برنامه ریزان عروسی چگونه می توانند به زوج ها در تصمیم گیری آگاهانه هنگام انتخاب بین فروشندگان مختلف کمک کنند؟")</f>
        <v>برنامه ریزان عروسی چگونه می توانند به زوج ها در تصمیم گیری آگاهانه هنگام انتخاب بین فروشندگان مختلف کمک کنند؟</v>
      </c>
      <c r="H3829" s="1"/>
      <c r="I3829" s="1"/>
      <c r="J3829" s="1"/>
      <c r="K3829" s="1"/>
      <c r="L3829" s="1"/>
      <c r="M3829" s="1"/>
      <c r="N3829" s="1"/>
      <c r="O3829" s="1"/>
      <c r="P3829" s="1"/>
      <c r="Q3829" s="1"/>
      <c r="R3829" s="1"/>
      <c r="S3829" s="1"/>
      <c r="T3829" s="1"/>
      <c r="U3829" s="1"/>
      <c r="V3829" s="1"/>
      <c r="W3829" s="1"/>
      <c r="X3829" s="1"/>
      <c r="Y3829" s="1"/>
      <c r="Z3829" s="1"/>
      <c r="AA3829" s="1"/>
      <c r="AB3829" s="1"/>
    </row>
    <row r="3830" ht="50.25" customHeight="1">
      <c r="A3830" s="12">
        <v>3826.0</v>
      </c>
      <c r="B3830" s="13" t="s">
        <v>3778</v>
      </c>
      <c r="C3830" s="14" t="s">
        <v>3848</v>
      </c>
      <c r="D3830" s="1"/>
      <c r="E3830" s="1"/>
      <c r="F3830" s="1" t="str">
        <f>IFERROR(__xludf.DUMMYFUNCTION("GOOGLETRANSLATE(B3830, ""en"", ""fa"")
"),"برنامه ریز عروسی")</f>
        <v>برنامه ریز عروسی</v>
      </c>
      <c r="G3830" s="1" t="str">
        <f>IFERROR(__xludf.DUMMYFUNCTION("GOOGLETRANSLATE(C3830, ""en"", ""fa"")
"),"چند استراتژی برای حفظ خطوط ارتباطی باز با فروشندگان در طول فرآیند برنامه ریزی به اشتراک بگذارید.")</f>
        <v>چند استراتژی برای حفظ خطوط ارتباطی باز با فروشندگان در طول فرآیند برنامه ریزی به اشتراک بگذارید.</v>
      </c>
      <c r="H3830" s="1"/>
      <c r="I3830" s="1"/>
      <c r="J3830" s="1"/>
      <c r="K3830" s="1"/>
      <c r="L3830" s="1"/>
      <c r="M3830" s="1"/>
      <c r="N3830" s="1"/>
      <c r="O3830" s="1"/>
      <c r="P3830" s="1"/>
      <c r="Q3830" s="1"/>
      <c r="R3830" s="1"/>
      <c r="S3830" s="1"/>
      <c r="T3830" s="1"/>
      <c r="U3830" s="1"/>
      <c r="V3830" s="1"/>
      <c r="W3830" s="1"/>
      <c r="X3830" s="1"/>
      <c r="Y3830" s="1"/>
      <c r="Z3830" s="1"/>
      <c r="AA3830" s="1"/>
      <c r="AB3830" s="1"/>
    </row>
    <row r="3831" ht="50.25" customHeight="1">
      <c r="A3831" s="12">
        <v>3827.0</v>
      </c>
      <c r="B3831" s="13" t="s">
        <v>3778</v>
      </c>
      <c r="C3831" s="14" t="s">
        <v>3849</v>
      </c>
      <c r="D3831" s="1"/>
      <c r="E3831" s="1"/>
      <c r="F3831" s="1" t="str">
        <f>IFERROR(__xludf.DUMMYFUNCTION("GOOGLETRANSLATE(B3831, ""en"", ""fa"")
"),"برنامه ریز عروسی")</f>
        <v>برنامه ریز عروسی</v>
      </c>
      <c r="G3831" s="1" t="str">
        <f>IFERROR(__xludf.DUMMYFUNCTION("GOOGLETRANSLATE(C3831, ""en"", ""fa"")
"),"بهترین شیوه ها برای مدیریت ارجاعات و توصیه های فروشنده چیست؟")</f>
        <v>بهترین شیوه ها برای مدیریت ارجاعات و توصیه های فروشنده چیست؟</v>
      </c>
      <c r="H3831" s="1"/>
      <c r="I3831" s="1"/>
      <c r="J3831" s="1"/>
      <c r="K3831" s="1"/>
      <c r="L3831" s="1"/>
      <c r="M3831" s="1"/>
      <c r="N3831" s="1"/>
      <c r="O3831" s="1"/>
      <c r="P3831" s="1"/>
      <c r="Q3831" s="1"/>
      <c r="R3831" s="1"/>
      <c r="S3831" s="1"/>
      <c r="T3831" s="1"/>
      <c r="U3831" s="1"/>
      <c r="V3831" s="1"/>
      <c r="W3831" s="1"/>
      <c r="X3831" s="1"/>
      <c r="Y3831" s="1"/>
      <c r="Z3831" s="1"/>
      <c r="AA3831" s="1"/>
      <c r="AB3831" s="1"/>
    </row>
    <row r="3832" ht="50.25" customHeight="1">
      <c r="A3832" s="12">
        <v>3828.0</v>
      </c>
      <c r="B3832" s="13" t="s">
        <v>3778</v>
      </c>
      <c r="C3832" s="14" t="s">
        <v>3850</v>
      </c>
      <c r="D3832" s="1"/>
      <c r="E3832" s="1"/>
      <c r="F3832" s="1" t="str">
        <f>IFERROR(__xludf.DUMMYFUNCTION("GOOGLETRANSLATE(B3832, ""en"", ""fa"")
"),"برنامه ریز عروسی")</f>
        <v>برنامه ریز عروسی</v>
      </c>
      <c r="G3832" s="1" t="str">
        <f>IFERROR(__xludf.DUMMYFUNCTION("GOOGLETRANSLATE(C3832, ""en"", ""fa"")
"),"برنامه ریزان عروسی چگونه می توانند درخواست های فروشنده برای تغییرات یا اصلاحات در قرارداد را رسیدگی کنند؟")</f>
        <v>برنامه ریزان عروسی چگونه می توانند درخواست های فروشنده برای تغییرات یا اصلاحات در قرارداد را رسیدگی کنند؟</v>
      </c>
      <c r="H3832" s="1"/>
      <c r="I3832" s="1"/>
      <c r="J3832" s="1"/>
      <c r="K3832" s="1"/>
      <c r="L3832" s="1"/>
      <c r="M3832" s="1"/>
      <c r="N3832" s="1"/>
      <c r="O3832" s="1"/>
      <c r="P3832" s="1"/>
      <c r="Q3832" s="1"/>
      <c r="R3832" s="1"/>
      <c r="S3832" s="1"/>
      <c r="T3832" s="1"/>
      <c r="U3832" s="1"/>
      <c r="V3832" s="1"/>
      <c r="W3832" s="1"/>
      <c r="X3832" s="1"/>
      <c r="Y3832" s="1"/>
      <c r="Z3832" s="1"/>
      <c r="AA3832" s="1"/>
      <c r="AB3832" s="1"/>
    </row>
    <row r="3833" ht="50.25" customHeight="1">
      <c r="A3833" s="12">
        <v>3829.0</v>
      </c>
      <c r="B3833" s="13" t="s">
        <v>3778</v>
      </c>
      <c r="C3833" s="14" t="s">
        <v>3851</v>
      </c>
      <c r="D3833" s="1"/>
      <c r="E3833" s="1"/>
      <c r="F3833" s="1" t="str">
        <f>IFERROR(__xludf.DUMMYFUNCTION("GOOGLETRANSLATE(B3833, ""en"", ""fa"")
"),"برنامه ریز عروسی")</f>
        <v>برنامه ریز عروسی</v>
      </c>
      <c r="G3833" s="1" t="str">
        <f>IFERROR(__xludf.DUMMYFUNCTION("GOOGLETRANSLATE(C3833, ""en"", ""fa"")
"),"نکاتی را برای برگزاری جلسات و مشاوره های موثر فروشنده به اشتراک بگذارید.")</f>
        <v>نکاتی را برای برگزاری جلسات و مشاوره های موثر فروشنده به اشتراک بگذارید.</v>
      </c>
      <c r="H3833" s="1"/>
      <c r="I3833" s="1"/>
      <c r="J3833" s="1"/>
      <c r="K3833" s="1"/>
      <c r="L3833" s="1"/>
      <c r="M3833" s="1"/>
      <c r="N3833" s="1"/>
      <c r="O3833" s="1"/>
      <c r="P3833" s="1"/>
      <c r="Q3833" s="1"/>
      <c r="R3833" s="1"/>
      <c r="S3833" s="1"/>
      <c r="T3833" s="1"/>
      <c r="U3833" s="1"/>
      <c r="V3833" s="1"/>
      <c r="W3833" s="1"/>
      <c r="X3833" s="1"/>
      <c r="Y3833" s="1"/>
      <c r="Z3833" s="1"/>
      <c r="AA3833" s="1"/>
      <c r="AB3833" s="1"/>
    </row>
    <row r="3834" ht="50.25" customHeight="1">
      <c r="A3834" s="12">
        <v>3830.0</v>
      </c>
      <c r="B3834" s="13" t="s">
        <v>3778</v>
      </c>
      <c r="C3834" s="14" t="s">
        <v>3852</v>
      </c>
      <c r="D3834" s="1"/>
      <c r="E3834" s="1"/>
      <c r="F3834" s="1" t="str">
        <f>IFERROR(__xludf.DUMMYFUNCTION("GOOGLETRANSLATE(B3834, ""en"", ""fa"")
"),"برنامه ریز عروسی")</f>
        <v>برنامه ریز عروسی</v>
      </c>
      <c r="G3834" s="1" t="str">
        <f>IFERROR(__xludf.DUMMYFUNCTION("GOOGLETRANSLATE(C3834, ""en"", ""fa"")
"),"جزئیات ضروری که برنامه ریزان عروسی باید در قراردادهای فروشنده لحاظ کنند چیست؟")</f>
        <v>جزئیات ضروری که برنامه ریزان عروسی باید در قراردادهای فروشنده لحاظ کنند چیست؟</v>
      </c>
      <c r="H3834" s="1"/>
      <c r="I3834" s="1"/>
      <c r="J3834" s="1"/>
      <c r="K3834" s="1"/>
      <c r="L3834" s="1"/>
      <c r="M3834" s="1"/>
      <c r="N3834" s="1"/>
      <c r="O3834" s="1"/>
      <c r="P3834" s="1"/>
      <c r="Q3834" s="1"/>
      <c r="R3834" s="1"/>
      <c r="S3834" s="1"/>
      <c r="T3834" s="1"/>
      <c r="U3834" s="1"/>
      <c r="V3834" s="1"/>
      <c r="W3834" s="1"/>
      <c r="X3834" s="1"/>
      <c r="Y3834" s="1"/>
      <c r="Z3834" s="1"/>
      <c r="AA3834" s="1"/>
      <c r="AB3834" s="1"/>
    </row>
    <row r="3835" ht="50.25" customHeight="1">
      <c r="A3835" s="12">
        <v>3831.0</v>
      </c>
      <c r="B3835" s="13" t="s">
        <v>3778</v>
      </c>
      <c r="C3835" s="14" t="s">
        <v>3853</v>
      </c>
      <c r="D3835" s="1"/>
      <c r="E3835" s="1"/>
      <c r="F3835" s="1" t="str">
        <f>IFERROR(__xludf.DUMMYFUNCTION("GOOGLETRANSLATE(B3835, ""en"", ""fa"")
"),"برنامه ریز عروسی")</f>
        <v>برنامه ریز عروسی</v>
      </c>
      <c r="G3835" s="1" t="str">
        <f>IFERROR(__xludf.DUMMYFUNCTION("GOOGLETRANSLATE(C3835, ""en"", ""fa"")
"),"چگونه برنامه ریزان عروسی می توانند اطمینان حاصل کنند که فروشندگان از قوانین و مقررات محل برگزاری مراسم آگاه هستند و به آنها پایبند هستند؟")</f>
        <v>چگونه برنامه ریزان عروسی می توانند اطمینان حاصل کنند که فروشندگان از قوانین و مقررات محل برگزاری مراسم آگاه هستند و به آنها پایبند هستند؟</v>
      </c>
      <c r="H3835" s="1"/>
      <c r="I3835" s="1"/>
      <c r="J3835" s="1"/>
      <c r="K3835" s="1"/>
      <c r="L3835" s="1"/>
      <c r="M3835" s="1"/>
      <c r="N3835" s="1"/>
      <c r="O3835" s="1"/>
      <c r="P3835" s="1"/>
      <c r="Q3835" s="1"/>
      <c r="R3835" s="1"/>
      <c r="S3835" s="1"/>
      <c r="T3835" s="1"/>
      <c r="U3835" s="1"/>
      <c r="V3835" s="1"/>
      <c r="W3835" s="1"/>
      <c r="X3835" s="1"/>
      <c r="Y3835" s="1"/>
      <c r="Z3835" s="1"/>
      <c r="AA3835" s="1"/>
      <c r="AB3835" s="1"/>
    </row>
    <row r="3836" ht="50.25" customHeight="1">
      <c r="A3836" s="12">
        <v>3832.0</v>
      </c>
      <c r="B3836" s="13" t="s">
        <v>3778</v>
      </c>
      <c r="C3836" s="14" t="s">
        <v>3854</v>
      </c>
      <c r="D3836" s="1"/>
      <c r="E3836" s="1"/>
      <c r="F3836" s="1" t="str">
        <f>IFERROR(__xludf.DUMMYFUNCTION("GOOGLETRANSLATE(B3836, ""en"", ""fa"")
"),"برنامه ریز عروسی")</f>
        <v>برنامه ریز عروسی</v>
      </c>
      <c r="G3836" s="1" t="str">
        <f>IFERROR(__xludf.DUMMYFUNCTION("GOOGLETRANSLATE(C3836, ""en"", ""fa"")
"),"برخی از استراتژی‌ها را برای مدیریت انتظارات فروشنده در مورد زمان راه‌اندازی و خرابی به اشتراک بگذارید.")</f>
        <v>برخی از استراتژی‌ها را برای مدیریت انتظارات فروشنده در مورد زمان راه‌اندازی و خرابی به اشتراک بگذارید.</v>
      </c>
      <c r="H3836" s="1"/>
      <c r="I3836" s="1"/>
      <c r="J3836" s="1"/>
      <c r="K3836" s="1"/>
      <c r="L3836" s="1"/>
      <c r="M3836" s="1"/>
      <c r="N3836" s="1"/>
      <c r="O3836" s="1"/>
      <c r="P3836" s="1"/>
      <c r="Q3836" s="1"/>
      <c r="R3836" s="1"/>
      <c r="S3836" s="1"/>
      <c r="T3836" s="1"/>
      <c r="U3836" s="1"/>
      <c r="V3836" s="1"/>
      <c r="W3836" s="1"/>
      <c r="X3836" s="1"/>
      <c r="Y3836" s="1"/>
      <c r="Z3836" s="1"/>
      <c r="AA3836" s="1"/>
      <c r="AB3836" s="1"/>
    </row>
    <row r="3837" ht="50.25" customHeight="1">
      <c r="A3837" s="12">
        <v>3833.0</v>
      </c>
      <c r="B3837" s="13" t="s">
        <v>3778</v>
      </c>
      <c r="C3837" s="14" t="s">
        <v>3855</v>
      </c>
      <c r="D3837" s="1"/>
      <c r="E3837" s="1"/>
      <c r="F3837" s="1" t="str">
        <f>IFERROR(__xludf.DUMMYFUNCTION("GOOGLETRANSLATE(B3837, ""en"", ""fa"")
"),"برنامه ریز عروسی")</f>
        <v>برنامه ریز عروسی</v>
      </c>
      <c r="G3837" s="1" t="str">
        <f>IFERROR(__xludf.DUMMYFUNCTION("GOOGLETRANSLATE(C3837, ""en"", ""fa"")
"),"ملاحظات کلیدی برای هماهنگی وعده های غذایی فروشنده و محل اقامت در روز عروسی چیست؟")</f>
        <v>ملاحظات کلیدی برای هماهنگی وعده های غذایی فروشنده و محل اقامت در روز عروسی چیست؟</v>
      </c>
      <c r="H3837" s="1"/>
      <c r="I3837" s="1"/>
      <c r="J3837" s="1"/>
      <c r="K3837" s="1"/>
      <c r="L3837" s="1"/>
      <c r="M3837" s="1"/>
      <c r="N3837" s="1"/>
      <c r="O3837" s="1"/>
      <c r="P3837" s="1"/>
      <c r="Q3837" s="1"/>
      <c r="R3837" s="1"/>
      <c r="S3837" s="1"/>
      <c r="T3837" s="1"/>
      <c r="U3837" s="1"/>
      <c r="V3837" s="1"/>
      <c r="W3837" s="1"/>
      <c r="X3837" s="1"/>
      <c r="Y3837" s="1"/>
      <c r="Z3837" s="1"/>
      <c r="AA3837" s="1"/>
      <c r="AB3837" s="1"/>
    </row>
    <row r="3838" ht="50.25" customHeight="1">
      <c r="A3838" s="12">
        <v>3834.0</v>
      </c>
      <c r="B3838" s="13" t="s">
        <v>3778</v>
      </c>
      <c r="C3838" s="14" t="s">
        <v>3856</v>
      </c>
      <c r="D3838" s="1"/>
      <c r="E3838" s="1"/>
      <c r="F3838" s="1" t="str">
        <f>IFERROR(__xludf.DUMMYFUNCTION("GOOGLETRANSLATE(B3838, ""en"", ""fa"")
"),"برنامه ریز عروسی")</f>
        <v>برنامه ریز عروسی</v>
      </c>
      <c r="G3838" s="1" t="str">
        <f>IFERROR(__xludf.DUMMYFUNCTION("GOOGLETRANSLATE(C3838, ""en"", ""fa"")
"),"برنامه ریزان عروسی چگونه می توانند اختلافات یا اختلافات فروشنده را به صورت حرفه ای و دیپلماتیک مدیریت کنند؟")</f>
        <v>برنامه ریزان عروسی چگونه می توانند اختلافات یا اختلافات فروشنده را به صورت حرفه ای و دیپلماتیک مدیریت کنند؟</v>
      </c>
      <c r="H3838" s="1"/>
      <c r="I3838" s="1"/>
      <c r="J3838" s="1"/>
      <c r="K3838" s="1"/>
      <c r="L3838" s="1"/>
      <c r="M3838" s="1"/>
      <c r="N3838" s="1"/>
      <c r="O3838" s="1"/>
      <c r="P3838" s="1"/>
      <c r="Q3838" s="1"/>
      <c r="R3838" s="1"/>
      <c r="S3838" s="1"/>
      <c r="T3838" s="1"/>
      <c r="U3838" s="1"/>
      <c r="V3838" s="1"/>
      <c r="W3838" s="1"/>
      <c r="X3838" s="1"/>
      <c r="Y3838" s="1"/>
      <c r="Z3838" s="1"/>
      <c r="AA3838" s="1"/>
      <c r="AB3838" s="1"/>
    </row>
    <row r="3839" ht="50.25" customHeight="1">
      <c r="A3839" s="12">
        <v>3835.0</v>
      </c>
      <c r="B3839" s="13" t="s">
        <v>3778</v>
      </c>
      <c r="C3839" s="14" t="s">
        <v>3857</v>
      </c>
      <c r="D3839" s="1"/>
      <c r="E3839" s="1"/>
      <c r="F3839" s="1" t="str">
        <f>IFERROR(__xludf.DUMMYFUNCTION("GOOGLETRANSLATE(B3839, ""en"", ""fa"")
"),"برنامه ریز عروسی")</f>
        <v>برنامه ریز عروسی</v>
      </c>
      <c r="G3839" s="1" t="str">
        <f>IFERROR(__xludf.DUMMYFUNCTION("GOOGLETRANSLATE(C3839, ""en"", ""fa"")
"),"ایده هایی برای تقویت روابط و مشارکت های بلندمدت با فروشندگان ترجیحی به اشتراک بگذارید.")</f>
        <v>ایده هایی برای تقویت روابط و مشارکت های بلندمدت با فروشندگان ترجیحی به اشتراک بگذارید.</v>
      </c>
      <c r="H3839" s="1"/>
      <c r="I3839" s="1"/>
      <c r="J3839" s="1"/>
      <c r="K3839" s="1"/>
      <c r="L3839" s="1"/>
      <c r="M3839" s="1"/>
      <c r="N3839" s="1"/>
      <c r="O3839" s="1"/>
      <c r="P3839" s="1"/>
      <c r="Q3839" s="1"/>
      <c r="R3839" s="1"/>
      <c r="S3839" s="1"/>
      <c r="T3839" s="1"/>
      <c r="U3839" s="1"/>
      <c r="V3839" s="1"/>
      <c r="W3839" s="1"/>
      <c r="X3839" s="1"/>
      <c r="Y3839" s="1"/>
      <c r="Z3839" s="1"/>
      <c r="AA3839" s="1"/>
      <c r="AB3839" s="1"/>
    </row>
    <row r="3840" ht="50.25" customHeight="1">
      <c r="A3840" s="12">
        <v>3836.0</v>
      </c>
      <c r="B3840" s="13" t="s">
        <v>3778</v>
      </c>
      <c r="C3840" s="14" t="s">
        <v>3858</v>
      </c>
      <c r="D3840" s="1"/>
      <c r="E3840" s="1"/>
      <c r="F3840" s="1" t="str">
        <f>IFERROR(__xludf.DUMMYFUNCTION("GOOGLETRANSLATE(B3840, ""en"", ""fa"")
"),"برنامه ریز عروسی")</f>
        <v>برنامه ریز عروسی</v>
      </c>
      <c r="G3840" s="1" t="str">
        <f>IFERROR(__xludf.DUMMYFUNCTION("GOOGLETRANSLATE(C3840, ""en"", ""fa"")
"),"بهترین شیوه برای ارائه بازخورد و ارزیابی به فروشندگان پس از عروسی چیست؟")</f>
        <v>بهترین شیوه برای ارائه بازخورد و ارزیابی به فروشندگان پس از عروسی چیست؟</v>
      </c>
      <c r="H3840" s="1"/>
      <c r="I3840" s="1"/>
      <c r="J3840" s="1"/>
      <c r="K3840" s="1"/>
      <c r="L3840" s="1"/>
      <c r="M3840" s="1"/>
      <c r="N3840" s="1"/>
      <c r="O3840" s="1"/>
      <c r="P3840" s="1"/>
      <c r="Q3840" s="1"/>
      <c r="R3840" s="1"/>
      <c r="S3840" s="1"/>
      <c r="T3840" s="1"/>
      <c r="U3840" s="1"/>
      <c r="V3840" s="1"/>
      <c r="W3840" s="1"/>
      <c r="X3840" s="1"/>
      <c r="Y3840" s="1"/>
      <c r="Z3840" s="1"/>
      <c r="AA3840" s="1"/>
      <c r="AB3840" s="1"/>
    </row>
    <row r="3841" ht="50.25" customHeight="1">
      <c r="A3841" s="12">
        <v>3837.0</v>
      </c>
      <c r="B3841" s="13" t="s">
        <v>3778</v>
      </c>
      <c r="C3841" s="14" t="s">
        <v>3859</v>
      </c>
      <c r="D3841" s="1"/>
      <c r="E3841" s="1"/>
      <c r="F3841" s="1" t="str">
        <f>IFERROR(__xludf.DUMMYFUNCTION("GOOGLETRANSLATE(B3841, ""en"", ""fa"")
"),"برنامه ریز عروسی")</f>
        <v>برنامه ریز عروسی</v>
      </c>
      <c r="G3841" s="1" t="str">
        <f>IFERROR(__xludf.DUMMYFUNCTION("GOOGLETRANSLATE(C3841, ""en"", ""fa"")
"),"برنامه ریزان عروسی چگونه می توانند به فروشندگان در ترویج خدمات خود از طریق رویداد عروسی کمک کنند؟")</f>
        <v>برنامه ریزان عروسی چگونه می توانند به فروشندگان در ترویج خدمات خود از طریق رویداد عروسی کمک کنند؟</v>
      </c>
      <c r="H3841" s="1"/>
      <c r="I3841" s="1"/>
      <c r="J3841" s="1"/>
      <c r="K3841" s="1"/>
      <c r="L3841" s="1"/>
      <c r="M3841" s="1"/>
      <c r="N3841" s="1"/>
      <c r="O3841" s="1"/>
      <c r="P3841" s="1"/>
      <c r="Q3841" s="1"/>
      <c r="R3841" s="1"/>
      <c r="S3841" s="1"/>
      <c r="T3841" s="1"/>
      <c r="U3841" s="1"/>
      <c r="V3841" s="1"/>
      <c r="W3841" s="1"/>
      <c r="X3841" s="1"/>
      <c r="Y3841" s="1"/>
      <c r="Z3841" s="1"/>
      <c r="AA3841" s="1"/>
      <c r="AB3841" s="1"/>
    </row>
    <row r="3842" ht="50.25" customHeight="1">
      <c r="A3842" s="12">
        <v>3838.0</v>
      </c>
      <c r="B3842" s="13" t="s">
        <v>3778</v>
      </c>
      <c r="C3842" s="14" t="s">
        <v>3860</v>
      </c>
      <c r="D3842" s="1"/>
      <c r="E3842" s="1"/>
      <c r="F3842" s="1" t="str">
        <f>IFERROR(__xludf.DUMMYFUNCTION("GOOGLETRANSLATE(B3842, ""en"", ""fa"")
"),"برنامه ریز عروسی")</f>
        <v>برنامه ریز عروسی</v>
      </c>
      <c r="G3842" s="1" t="str">
        <f>IFERROR(__xludf.DUMMYFUNCTION("GOOGLETRANSLATE(C3842, ""en"", ""fa"")
"),"نکاتی را برای مدیریت کارآمد نمونه کارها، قراردادها و سایر اسناد فروشنده به اشتراک بگذارید.")</f>
        <v>نکاتی را برای مدیریت کارآمد نمونه کارها، قراردادها و سایر اسناد فروشنده به اشتراک بگذارید.</v>
      </c>
      <c r="H3842" s="1"/>
      <c r="I3842" s="1"/>
      <c r="J3842" s="1"/>
      <c r="K3842" s="1"/>
      <c r="L3842" s="1"/>
      <c r="M3842" s="1"/>
      <c r="N3842" s="1"/>
      <c r="O3842" s="1"/>
      <c r="P3842" s="1"/>
      <c r="Q3842" s="1"/>
      <c r="R3842" s="1"/>
      <c r="S3842" s="1"/>
      <c r="T3842" s="1"/>
      <c r="U3842" s="1"/>
      <c r="V3842" s="1"/>
      <c r="W3842" s="1"/>
      <c r="X3842" s="1"/>
      <c r="Y3842" s="1"/>
      <c r="Z3842" s="1"/>
      <c r="AA3842" s="1"/>
      <c r="AB3842" s="1"/>
    </row>
    <row r="3843" ht="50.25" customHeight="1">
      <c r="A3843" s="12">
        <v>3839.0</v>
      </c>
      <c r="B3843" s="13" t="s">
        <v>3778</v>
      </c>
      <c r="C3843" s="14" t="s">
        <v>3861</v>
      </c>
      <c r="D3843" s="1"/>
      <c r="E3843" s="1"/>
      <c r="F3843" s="1" t="str">
        <f>IFERROR(__xludf.DUMMYFUNCTION("GOOGLETRANSLATE(B3843, ""en"", ""fa"")
"),"برنامه ریز عروسی")</f>
        <v>برنامه ریز عروسی</v>
      </c>
      <c r="G3843" s="1" t="str">
        <f>IFERROR(__xludf.DUMMYFUNCTION("GOOGLETRANSLATE(C3843, ""en"", ""fa"")
"),"هنگام تعیین آداب انعام فروشنده مناسب چه عواملی را باید در نظر گرفت؟")</f>
        <v>هنگام تعیین آداب انعام فروشنده مناسب چه عواملی را باید در نظر گرفت؟</v>
      </c>
      <c r="H3843" s="1"/>
      <c r="I3843" s="1"/>
      <c r="J3843" s="1"/>
      <c r="K3843" s="1"/>
      <c r="L3843" s="1"/>
      <c r="M3843" s="1"/>
      <c r="N3843" s="1"/>
      <c r="O3843" s="1"/>
      <c r="P3843" s="1"/>
      <c r="Q3843" s="1"/>
      <c r="R3843" s="1"/>
      <c r="S3843" s="1"/>
      <c r="T3843" s="1"/>
      <c r="U3843" s="1"/>
      <c r="V3843" s="1"/>
      <c r="W3843" s="1"/>
      <c r="X3843" s="1"/>
      <c r="Y3843" s="1"/>
      <c r="Z3843" s="1"/>
      <c r="AA3843" s="1"/>
      <c r="AB3843" s="1"/>
    </row>
    <row r="3844" ht="50.25" customHeight="1">
      <c r="A3844" s="12">
        <v>3840.0</v>
      </c>
      <c r="B3844" s="13" t="s">
        <v>3778</v>
      </c>
      <c r="C3844" s="14" t="s">
        <v>3862</v>
      </c>
      <c r="D3844" s="1"/>
      <c r="E3844" s="1"/>
      <c r="F3844" s="1" t="str">
        <f>IFERROR(__xludf.DUMMYFUNCTION("GOOGLETRANSLATE(B3844, ""en"", ""fa"")
"),"برنامه ریز عروسی")</f>
        <v>برنامه ریز عروسی</v>
      </c>
      <c r="G3844" s="1" t="str">
        <f>IFERROR(__xludf.DUMMYFUNCTION("GOOGLETRANSLATE(C3844, ""en"", ""fa"")
"),"چگونه برنامه ریزان عروسی می توانند اطمینان حاصل کنند که فروشندگان از هر گونه الزامات فرهنگی یا مذهبی خاص آگاه و آماده هستند؟")</f>
        <v>چگونه برنامه ریزان عروسی می توانند اطمینان حاصل کنند که فروشندگان از هر گونه الزامات فرهنگی یا مذهبی خاص آگاه و آماده هستند؟</v>
      </c>
      <c r="H3844" s="1"/>
      <c r="I3844" s="1"/>
      <c r="J3844" s="1"/>
      <c r="K3844" s="1"/>
      <c r="L3844" s="1"/>
      <c r="M3844" s="1"/>
      <c r="N3844" s="1"/>
      <c r="O3844" s="1"/>
      <c r="P3844" s="1"/>
      <c r="Q3844" s="1"/>
      <c r="R3844" s="1"/>
      <c r="S3844" s="1"/>
      <c r="T3844" s="1"/>
      <c r="U3844" s="1"/>
      <c r="V3844" s="1"/>
      <c r="W3844" s="1"/>
      <c r="X3844" s="1"/>
      <c r="Y3844" s="1"/>
      <c r="Z3844" s="1"/>
      <c r="AA3844" s="1"/>
      <c r="AB3844" s="1"/>
    </row>
    <row r="3845" ht="50.25" customHeight="1">
      <c r="A3845" s="12">
        <v>3841.0</v>
      </c>
      <c r="B3845" s="13" t="s">
        <v>3778</v>
      </c>
      <c r="C3845" s="14" t="s">
        <v>3863</v>
      </c>
      <c r="D3845" s="1"/>
      <c r="E3845" s="1"/>
      <c r="F3845" s="1" t="str">
        <f>IFERROR(__xludf.DUMMYFUNCTION("GOOGLETRANSLATE(B3845, ""en"", ""fa"")
"),"برنامه ریز عروسی")</f>
        <v>برنامه ریز عروسی</v>
      </c>
      <c r="G3845" s="1" t="str">
        <f>IFERROR(__xludf.DUMMYFUNCTION("GOOGLETRANSLATE(C3845, ""en"", ""fa"")
"),"برخی از استراتژی‌ها را برای مدیریت انتظارات فروشنده در مورد ترجیحات مشتری و درخواست‌های خاص به اشتراک بگذارید.")</f>
        <v>برخی از استراتژی‌ها را برای مدیریت انتظارات فروشنده در مورد ترجیحات مشتری و درخواست‌های خاص به اشتراک بگذارید.</v>
      </c>
      <c r="H3845" s="1"/>
      <c r="I3845" s="1"/>
      <c r="J3845" s="1"/>
      <c r="K3845" s="1"/>
      <c r="L3845" s="1"/>
      <c r="M3845" s="1"/>
      <c r="N3845" s="1"/>
      <c r="O3845" s="1"/>
      <c r="P3845" s="1"/>
      <c r="Q3845" s="1"/>
      <c r="R3845" s="1"/>
      <c r="S3845" s="1"/>
      <c r="T3845" s="1"/>
      <c r="U3845" s="1"/>
      <c r="V3845" s="1"/>
      <c r="W3845" s="1"/>
      <c r="X3845" s="1"/>
      <c r="Y3845" s="1"/>
      <c r="Z3845" s="1"/>
      <c r="AA3845" s="1"/>
      <c r="AB3845" s="1"/>
    </row>
    <row r="3846" ht="50.25" customHeight="1">
      <c r="A3846" s="12">
        <v>3842.0</v>
      </c>
      <c r="B3846" s="13" t="s">
        <v>3778</v>
      </c>
      <c r="C3846" s="14" t="s">
        <v>3864</v>
      </c>
      <c r="D3846" s="1"/>
      <c r="E3846" s="1"/>
      <c r="F3846" s="1" t="str">
        <f>IFERROR(__xludf.DUMMYFUNCTION("GOOGLETRANSLATE(B3846, ""en"", ""fa"")
"),"برنامه ریز عروسی")</f>
        <v>برنامه ریز عروسی</v>
      </c>
      <c r="G3846" s="1" t="str">
        <f>IFERROR(__xludf.DUMMYFUNCTION("GOOGLETRANSLATE(C3846, ""en"", ""fa"")
"),"جزئیات ضروری برای درج در برنامه های سفر فروشنده و لیست تماس برای روز عروسی چیست؟")</f>
        <v>جزئیات ضروری برای درج در برنامه های سفر فروشنده و لیست تماس برای روز عروسی چیست؟</v>
      </c>
      <c r="H3846" s="1"/>
      <c r="I3846" s="1"/>
      <c r="J3846" s="1"/>
      <c r="K3846" s="1"/>
      <c r="L3846" s="1"/>
      <c r="M3846" s="1"/>
      <c r="N3846" s="1"/>
      <c r="O3846" s="1"/>
      <c r="P3846" s="1"/>
      <c r="Q3846" s="1"/>
      <c r="R3846" s="1"/>
      <c r="S3846" s="1"/>
      <c r="T3846" s="1"/>
      <c r="U3846" s="1"/>
      <c r="V3846" s="1"/>
      <c r="W3846" s="1"/>
      <c r="X3846" s="1"/>
      <c r="Y3846" s="1"/>
      <c r="Z3846" s="1"/>
      <c r="AA3846" s="1"/>
      <c r="AB3846" s="1"/>
    </row>
    <row r="3847" ht="50.25" customHeight="1">
      <c r="A3847" s="12">
        <v>3843.0</v>
      </c>
      <c r="B3847" s="13" t="s">
        <v>3778</v>
      </c>
      <c r="C3847" s="14" t="s">
        <v>3865</v>
      </c>
      <c r="D3847" s="1"/>
      <c r="E3847" s="1"/>
      <c r="F3847" s="1" t="str">
        <f>IFERROR(__xludf.DUMMYFUNCTION("GOOGLETRANSLATE(B3847, ""en"", ""fa"")
"),"برنامه ریز عروسی")</f>
        <v>برنامه ریز عروسی</v>
      </c>
      <c r="G3847" s="1" t="str">
        <f>IFERROR(__xludf.DUMMYFUNCTION("GOOGLETRANSLATE(C3847, ""en"", ""fa"")
"),"برنامه ریزان عروسی چگونه می توانند عدم حضور فروشنده یا لغو لحظه آخری را مدیریت کنند؟")</f>
        <v>برنامه ریزان عروسی چگونه می توانند عدم حضور فروشنده یا لغو لحظه آخری را مدیریت کنند؟</v>
      </c>
      <c r="H3847" s="1"/>
      <c r="I3847" s="1"/>
      <c r="J3847" s="1"/>
      <c r="K3847" s="1"/>
      <c r="L3847" s="1"/>
      <c r="M3847" s="1"/>
      <c r="N3847" s="1"/>
      <c r="O3847" s="1"/>
      <c r="P3847" s="1"/>
      <c r="Q3847" s="1"/>
      <c r="R3847" s="1"/>
      <c r="S3847" s="1"/>
      <c r="T3847" s="1"/>
      <c r="U3847" s="1"/>
      <c r="V3847" s="1"/>
      <c r="W3847" s="1"/>
      <c r="X3847" s="1"/>
      <c r="Y3847" s="1"/>
      <c r="Z3847" s="1"/>
      <c r="AA3847" s="1"/>
      <c r="AB3847" s="1"/>
    </row>
    <row r="3848" ht="50.25" customHeight="1">
      <c r="A3848" s="12">
        <v>3844.0</v>
      </c>
      <c r="B3848" s="13" t="s">
        <v>3778</v>
      </c>
      <c r="C3848" s="14" t="s">
        <v>3866</v>
      </c>
      <c r="D3848" s="1"/>
      <c r="E3848" s="1"/>
      <c r="F3848" s="1" t="str">
        <f>IFERROR(__xludf.DUMMYFUNCTION("GOOGLETRANSLATE(B3848, ""en"", ""fa"")
"),"برنامه ریز عروسی")</f>
        <v>برنامه ریز عروسی</v>
      </c>
      <c r="G3848" s="1" t="str">
        <f>IFERROR(__xludf.DUMMYFUNCTION("GOOGLETRANSLATE(C3848, ""en"", ""fa"")
"),"ایده هایی برای شناخت و قدردانی از فروشندگان به خاطر کار و مشارکت برجسته آنها به اشتراک بگذارید.")</f>
        <v>ایده هایی برای شناخت و قدردانی از فروشندگان به خاطر کار و مشارکت برجسته آنها به اشتراک بگذارید.</v>
      </c>
      <c r="H3848" s="1"/>
      <c r="I3848" s="1"/>
      <c r="J3848" s="1"/>
      <c r="K3848" s="1"/>
      <c r="L3848" s="1"/>
      <c r="M3848" s="1"/>
      <c r="N3848" s="1"/>
      <c r="O3848" s="1"/>
      <c r="P3848" s="1"/>
      <c r="Q3848" s="1"/>
      <c r="R3848" s="1"/>
      <c r="S3848" s="1"/>
      <c r="T3848" s="1"/>
      <c r="U3848" s="1"/>
      <c r="V3848" s="1"/>
      <c r="W3848" s="1"/>
      <c r="X3848" s="1"/>
      <c r="Y3848" s="1"/>
      <c r="Z3848" s="1"/>
      <c r="AA3848" s="1"/>
      <c r="AB3848" s="1"/>
    </row>
    <row r="3849" ht="50.25" customHeight="1">
      <c r="A3849" s="12">
        <v>3845.0</v>
      </c>
      <c r="B3849" s="13" t="s">
        <v>3778</v>
      </c>
      <c r="C3849" s="14" t="s">
        <v>3867</v>
      </c>
      <c r="D3849" s="1"/>
      <c r="E3849" s="1"/>
      <c r="F3849" s="1" t="str">
        <f>IFERROR(__xludf.DUMMYFUNCTION("GOOGLETRANSLATE(B3849, ""en"", ""fa"")
"),"برنامه ریز عروسی")</f>
        <v>برنامه ریز عروسی</v>
      </c>
      <c r="G3849" s="1" t="str">
        <f>IFERROR(__xludf.DUMMYFUNCTION("GOOGLETRANSLATE(C3849, ""en"", ""fa"")
"),"هنگام انتخاب یک عکاس یا فیلمبردار عروسی باید به چه ویژگی هایی توجه کرد؟")</f>
        <v>هنگام انتخاب یک عکاس یا فیلمبردار عروسی باید به چه ویژگی هایی توجه کرد؟</v>
      </c>
      <c r="H3849" s="1"/>
      <c r="I3849" s="1"/>
      <c r="J3849" s="1"/>
      <c r="K3849" s="1"/>
      <c r="L3849" s="1"/>
      <c r="M3849" s="1"/>
      <c r="N3849" s="1"/>
      <c r="O3849" s="1"/>
      <c r="P3849" s="1"/>
      <c r="Q3849" s="1"/>
      <c r="R3849" s="1"/>
      <c r="S3849" s="1"/>
      <c r="T3849" s="1"/>
      <c r="U3849" s="1"/>
      <c r="V3849" s="1"/>
      <c r="W3849" s="1"/>
      <c r="X3849" s="1"/>
      <c r="Y3849" s="1"/>
      <c r="Z3849" s="1"/>
      <c r="AA3849" s="1"/>
      <c r="AB3849" s="1"/>
    </row>
    <row r="3850" ht="50.25" customHeight="1">
      <c r="A3850" s="12">
        <v>3846.0</v>
      </c>
      <c r="B3850" s="13" t="s">
        <v>3778</v>
      </c>
      <c r="C3850" s="14" t="s">
        <v>3868</v>
      </c>
      <c r="D3850" s="1"/>
      <c r="E3850" s="1"/>
      <c r="F3850" s="1" t="str">
        <f>IFERROR(__xludf.DUMMYFUNCTION("GOOGLETRANSLATE(B3850, ""en"", ""fa"")
"),"برنامه ریز عروسی")</f>
        <v>برنامه ریز عروسی</v>
      </c>
      <c r="G3850" s="1" t="str">
        <f>IFERROR(__xludf.DUMMYFUNCTION("GOOGLETRANSLATE(C3850, ""en"", ""fa"")
"),"نکاتی را برای ایجاد یک لیست عکس و ثبت لحظات ضروری در روز عروسی به اشتراک بگذارید.")</f>
        <v>نکاتی را برای ایجاد یک لیست عکس و ثبت لحظات ضروری در روز عروسی به اشتراک بگذارید.</v>
      </c>
      <c r="H3850" s="1"/>
      <c r="I3850" s="1"/>
      <c r="J3850" s="1"/>
      <c r="K3850" s="1"/>
      <c r="L3850" s="1"/>
      <c r="M3850" s="1"/>
      <c r="N3850" s="1"/>
      <c r="O3850" s="1"/>
      <c r="P3850" s="1"/>
      <c r="Q3850" s="1"/>
      <c r="R3850" s="1"/>
      <c r="S3850" s="1"/>
      <c r="T3850" s="1"/>
      <c r="U3850" s="1"/>
      <c r="V3850" s="1"/>
      <c r="W3850" s="1"/>
      <c r="X3850" s="1"/>
      <c r="Y3850" s="1"/>
      <c r="Z3850" s="1"/>
      <c r="AA3850" s="1"/>
      <c r="AB3850" s="1"/>
    </row>
    <row r="3851" ht="50.25" customHeight="1">
      <c r="A3851" s="12">
        <v>3847.0</v>
      </c>
      <c r="B3851" s="13" t="s">
        <v>3778</v>
      </c>
      <c r="C3851" s="14" t="s">
        <v>3869</v>
      </c>
      <c r="D3851" s="1"/>
      <c r="E3851" s="1"/>
      <c r="F3851" s="1" t="str">
        <f>IFERROR(__xludf.DUMMYFUNCTION("GOOGLETRANSLATE(B3851, ""en"", ""fa"")
"),"برنامه ریز عروسی")</f>
        <v>برنامه ریز عروسی</v>
      </c>
      <c r="G3851" s="1" t="str">
        <f>IFERROR(__xludf.DUMMYFUNCTION("GOOGLETRANSLATE(C3851, ""en"", ""fa"")
"),"چگونه برنامه ریزان عروسی می توانند با عکاسان و فیلمبرداران برای اطمینان از یک چشم انداز منسجم همکاری کنند؟")</f>
        <v>چگونه برنامه ریزان عروسی می توانند با عکاسان و فیلمبرداران برای اطمینان از یک چشم انداز منسجم همکاری کنند؟</v>
      </c>
      <c r="H3851" s="1"/>
      <c r="I3851" s="1"/>
      <c r="J3851" s="1"/>
      <c r="K3851" s="1"/>
      <c r="L3851" s="1"/>
      <c r="M3851" s="1"/>
      <c r="N3851" s="1"/>
      <c r="O3851" s="1"/>
      <c r="P3851" s="1"/>
      <c r="Q3851" s="1"/>
      <c r="R3851" s="1"/>
      <c r="S3851" s="1"/>
      <c r="T3851" s="1"/>
      <c r="U3851" s="1"/>
      <c r="V3851" s="1"/>
      <c r="W3851" s="1"/>
      <c r="X3851" s="1"/>
      <c r="Y3851" s="1"/>
      <c r="Z3851" s="1"/>
      <c r="AA3851" s="1"/>
      <c r="AB3851" s="1"/>
    </row>
    <row r="3852" ht="50.25" customHeight="1">
      <c r="A3852" s="12">
        <v>3848.0</v>
      </c>
      <c r="B3852" s="13" t="s">
        <v>3778</v>
      </c>
      <c r="C3852" s="14" t="s">
        <v>3870</v>
      </c>
      <c r="D3852" s="1"/>
      <c r="E3852" s="1"/>
      <c r="F3852" s="1" t="str">
        <f>IFERROR(__xludf.DUMMYFUNCTION("GOOGLETRANSLATE(B3852, ""en"", ""fa"")
"),"برنامه ریز عروسی")</f>
        <v>برنامه ریز عروسی</v>
      </c>
      <c r="G3852" s="1" t="str">
        <f>IFERROR(__xludf.DUMMYFUNCTION("GOOGLETRANSLATE(C3852, ""en"", ""fa"")
"),"جدیدترین گرایش ها و سبک ها در عکاسی و فیلمبرداری عروسی چیست؟")</f>
        <v>جدیدترین گرایش ها و سبک ها در عکاسی و فیلمبرداری عروسی چیست؟</v>
      </c>
      <c r="H3852" s="1"/>
      <c r="I3852" s="1"/>
      <c r="J3852" s="1"/>
      <c r="K3852" s="1"/>
      <c r="L3852" s="1"/>
      <c r="M3852" s="1"/>
      <c r="N3852" s="1"/>
      <c r="O3852" s="1"/>
      <c r="P3852" s="1"/>
      <c r="Q3852" s="1"/>
      <c r="R3852" s="1"/>
      <c r="S3852" s="1"/>
      <c r="T3852" s="1"/>
      <c r="U3852" s="1"/>
      <c r="V3852" s="1"/>
      <c r="W3852" s="1"/>
      <c r="X3852" s="1"/>
      <c r="Y3852" s="1"/>
      <c r="Z3852" s="1"/>
      <c r="AA3852" s="1"/>
      <c r="AB3852" s="1"/>
    </row>
    <row r="3853" ht="50.25" customHeight="1">
      <c r="A3853" s="12">
        <v>3849.0</v>
      </c>
      <c r="B3853" s="13" t="s">
        <v>3778</v>
      </c>
      <c r="C3853" s="14" t="s">
        <v>3871</v>
      </c>
      <c r="D3853" s="1"/>
      <c r="E3853" s="1"/>
      <c r="F3853" s="1" t="str">
        <f>IFERROR(__xludf.DUMMYFUNCTION("GOOGLETRANSLATE(B3853, ""en"", ""fa"")
"),"برنامه ریز عروسی")</f>
        <v>برنامه ریز عروسی</v>
      </c>
      <c r="G3853" s="1" t="str">
        <f>IFERROR(__xludf.DUMMYFUNCTION("GOOGLETRANSLATE(C3853, ""en"", ""fa"")
"),"ایده هایی برای گنجاندن ژست های منحصر به فرد و خلاقانه در عکاسی عروسی به اشتراک بگذارید.")</f>
        <v>ایده هایی برای گنجاندن ژست های منحصر به فرد و خلاقانه در عکاسی عروسی به اشتراک بگذارید.</v>
      </c>
      <c r="H3853" s="1"/>
      <c r="I3853" s="1"/>
      <c r="J3853" s="1"/>
      <c r="K3853" s="1"/>
      <c r="L3853" s="1"/>
      <c r="M3853" s="1"/>
      <c r="N3853" s="1"/>
      <c r="O3853" s="1"/>
      <c r="P3853" s="1"/>
      <c r="Q3853" s="1"/>
      <c r="R3853" s="1"/>
      <c r="S3853" s="1"/>
      <c r="T3853" s="1"/>
      <c r="U3853" s="1"/>
      <c r="V3853" s="1"/>
      <c r="W3853" s="1"/>
      <c r="X3853" s="1"/>
      <c r="Y3853" s="1"/>
      <c r="Z3853" s="1"/>
      <c r="AA3853" s="1"/>
      <c r="AB3853" s="1"/>
    </row>
    <row r="3854" ht="50.25" customHeight="1">
      <c r="A3854" s="12">
        <v>3850.0</v>
      </c>
      <c r="B3854" s="13" t="s">
        <v>3778</v>
      </c>
      <c r="C3854" s="14" t="s">
        <v>3872</v>
      </c>
      <c r="D3854" s="1"/>
      <c r="E3854" s="1"/>
      <c r="F3854" s="1" t="str">
        <f>IFERROR(__xludf.DUMMYFUNCTION("GOOGLETRANSLATE(B3854, ""en"", ""fa"")
"),"برنامه ریز عروسی")</f>
        <v>برنامه ریز عروسی</v>
      </c>
      <c r="G3854" s="1" t="str">
        <f>IFERROR(__xludf.DUMMYFUNCTION("GOOGLETRANSLATE(C3854, ""en"", ""fa"")
"),"چگونه برنامه ریزان عروسی می توانند به زوج ها کمک کنند تا مکان ها و پس زمینه های مناسب را برای عکاسی خود انتخاب کنند؟")</f>
        <v>چگونه برنامه ریزان عروسی می توانند به زوج ها کمک کنند تا مکان ها و پس زمینه های مناسب را برای عکاسی خود انتخاب کنند؟</v>
      </c>
      <c r="H3854" s="1"/>
      <c r="I3854" s="1"/>
      <c r="J3854" s="1"/>
      <c r="K3854" s="1"/>
      <c r="L3854" s="1"/>
      <c r="M3854" s="1"/>
      <c r="N3854" s="1"/>
      <c r="O3854" s="1"/>
      <c r="P3854" s="1"/>
      <c r="Q3854" s="1"/>
      <c r="R3854" s="1"/>
      <c r="S3854" s="1"/>
      <c r="T3854" s="1"/>
      <c r="U3854" s="1"/>
      <c r="V3854" s="1"/>
      <c r="W3854" s="1"/>
      <c r="X3854" s="1"/>
      <c r="Y3854" s="1"/>
      <c r="Z3854" s="1"/>
      <c r="AA3854" s="1"/>
      <c r="AB3854" s="1"/>
    </row>
    <row r="3855" ht="50.25" customHeight="1">
      <c r="A3855" s="12">
        <v>3851.0</v>
      </c>
      <c r="B3855" s="13" t="s">
        <v>3778</v>
      </c>
      <c r="C3855" s="14" t="s">
        <v>3873</v>
      </c>
      <c r="D3855" s="1"/>
      <c r="E3855" s="1"/>
      <c r="F3855" s="1" t="str">
        <f>IFERROR(__xludf.DUMMYFUNCTION("GOOGLETRANSLATE(B3855, ""en"", ""fa"")
"),"برنامه ریز عروسی")</f>
        <v>برنامه ریز عروسی</v>
      </c>
      <c r="G3855" s="1" t="str">
        <f>IFERROR(__xludf.DUMMYFUNCTION("GOOGLETRANSLATE(C3855, ""en"", ""fa"")
"),"هنگام مصاحبه با عکاسان عروسی یا فیلمبرداران بالقوه چه سوالاتی باید پرسید؟")</f>
        <v>هنگام مصاحبه با عکاسان عروسی یا فیلمبرداران بالقوه چه سوالاتی باید پرسید؟</v>
      </c>
      <c r="H3855" s="1"/>
      <c r="I3855" s="1"/>
      <c r="J3855" s="1"/>
      <c r="K3855" s="1"/>
      <c r="L3855" s="1"/>
      <c r="M3855" s="1"/>
      <c r="N3855" s="1"/>
      <c r="O3855" s="1"/>
      <c r="P3855" s="1"/>
      <c r="Q3855" s="1"/>
      <c r="R3855" s="1"/>
      <c r="S3855" s="1"/>
      <c r="T3855" s="1"/>
      <c r="U3855" s="1"/>
      <c r="V3855" s="1"/>
      <c r="W3855" s="1"/>
      <c r="X3855" s="1"/>
      <c r="Y3855" s="1"/>
      <c r="Z3855" s="1"/>
      <c r="AA3855" s="1"/>
      <c r="AB3855" s="1"/>
    </row>
    <row r="3856" ht="50.25" customHeight="1">
      <c r="A3856" s="12">
        <v>3852.0</v>
      </c>
      <c r="B3856" s="13" t="s">
        <v>3778</v>
      </c>
      <c r="C3856" s="14" t="s">
        <v>3874</v>
      </c>
      <c r="D3856" s="1"/>
      <c r="E3856" s="1"/>
      <c r="F3856" s="1" t="str">
        <f>IFERROR(__xludf.DUMMYFUNCTION("GOOGLETRANSLATE(B3856, ""en"", ""fa"")
"),"برنامه ریز عروسی")</f>
        <v>برنامه ریز عروسی</v>
      </c>
      <c r="G3856" s="1" t="str">
        <f>IFERROR(__xludf.DUMMYFUNCTION("GOOGLETRANSLATE(C3856, ""en"", ""fa"")
"),"چند استراتژی برای ثبت لحظات صریح و واقعی در طول روز عروسی به اشتراک بگذارید.")</f>
        <v>چند استراتژی برای ثبت لحظات صریح و واقعی در طول روز عروسی به اشتراک بگذارید.</v>
      </c>
      <c r="H3856" s="1"/>
      <c r="I3856" s="1"/>
      <c r="J3856" s="1"/>
      <c r="K3856" s="1"/>
      <c r="L3856" s="1"/>
      <c r="M3856" s="1"/>
      <c r="N3856" s="1"/>
      <c r="O3856" s="1"/>
      <c r="P3856" s="1"/>
      <c r="Q3856" s="1"/>
      <c r="R3856" s="1"/>
      <c r="S3856" s="1"/>
      <c r="T3856" s="1"/>
      <c r="U3856" s="1"/>
      <c r="V3856" s="1"/>
      <c r="W3856" s="1"/>
      <c r="X3856" s="1"/>
      <c r="Y3856" s="1"/>
      <c r="Z3856" s="1"/>
      <c r="AA3856" s="1"/>
      <c r="AB3856" s="1"/>
    </row>
    <row r="3857" ht="50.25" customHeight="1">
      <c r="A3857" s="12">
        <v>3853.0</v>
      </c>
      <c r="B3857" s="13" t="s">
        <v>3778</v>
      </c>
      <c r="C3857" s="14" t="s">
        <v>3875</v>
      </c>
      <c r="D3857" s="1"/>
      <c r="E3857" s="1"/>
      <c r="F3857" s="1" t="str">
        <f>IFERROR(__xludf.DUMMYFUNCTION("GOOGLETRANSLATE(B3857, ""en"", ""fa"")
"),"برنامه ریز عروسی")</f>
        <v>برنامه ریز عروسی</v>
      </c>
      <c r="G3857" s="1" t="str">
        <f>IFERROR(__xludf.DUMMYFUNCTION("GOOGLETRANSLATE(C3857, ""en"", ""fa"")
"),"عکاسان و فیلمبرداران چگونه می توانند به طور موثر با سایر فروشندگان ارتباط برقرار کرده و هماهنگ کنند؟")</f>
        <v>عکاسان و فیلمبرداران چگونه می توانند به طور موثر با سایر فروشندگان ارتباط برقرار کرده و هماهنگ کنند؟</v>
      </c>
      <c r="H3857" s="1"/>
      <c r="I3857" s="1"/>
      <c r="J3857" s="1"/>
      <c r="K3857" s="1"/>
      <c r="L3857" s="1"/>
      <c r="M3857" s="1"/>
      <c r="N3857" s="1"/>
      <c r="O3857" s="1"/>
      <c r="P3857" s="1"/>
      <c r="Q3857" s="1"/>
      <c r="R3857" s="1"/>
      <c r="S3857" s="1"/>
      <c r="T3857" s="1"/>
      <c r="U3857" s="1"/>
      <c r="V3857" s="1"/>
      <c r="W3857" s="1"/>
      <c r="X3857" s="1"/>
      <c r="Y3857" s="1"/>
      <c r="Z3857" s="1"/>
      <c r="AA3857" s="1"/>
      <c r="AB3857" s="1"/>
    </row>
    <row r="3858" ht="50.25" customHeight="1">
      <c r="A3858" s="12">
        <v>3854.0</v>
      </c>
      <c r="B3858" s="13" t="s">
        <v>3778</v>
      </c>
      <c r="C3858" s="14" t="s">
        <v>3876</v>
      </c>
      <c r="D3858" s="1"/>
      <c r="E3858" s="1"/>
      <c r="F3858" s="1" t="str">
        <f>IFERROR(__xludf.DUMMYFUNCTION("GOOGLETRANSLATE(B3858, ""en"", ""fa"")
"),"برنامه ریز عروسی")</f>
        <v>برنامه ریز عروسی</v>
      </c>
      <c r="G3858" s="1" t="str">
        <f>IFERROR(__xludf.DUMMYFUNCTION("GOOGLETRANSLATE(C3858, ""en"", ""fa"")
"),"برای تعیین بودجه عکاسی و فیلمبرداری چه فاکتورهای کلیدی باید در نظر گرفته شود؟")</f>
        <v>برای تعیین بودجه عکاسی و فیلمبرداری چه فاکتورهای کلیدی باید در نظر گرفته شود؟</v>
      </c>
      <c r="H3858" s="1"/>
      <c r="I3858" s="1"/>
      <c r="J3858" s="1"/>
      <c r="K3858" s="1"/>
      <c r="L3858" s="1"/>
      <c r="M3858" s="1"/>
      <c r="N3858" s="1"/>
      <c r="O3858" s="1"/>
      <c r="P3858" s="1"/>
      <c r="Q3858" s="1"/>
      <c r="R3858" s="1"/>
      <c r="S3858" s="1"/>
      <c r="T3858" s="1"/>
      <c r="U3858" s="1"/>
      <c r="V3858" s="1"/>
      <c r="W3858" s="1"/>
      <c r="X3858" s="1"/>
      <c r="Y3858" s="1"/>
      <c r="Z3858" s="1"/>
      <c r="AA3858" s="1"/>
      <c r="AB3858" s="1"/>
    </row>
    <row r="3859" ht="50.25" customHeight="1">
      <c r="A3859" s="12">
        <v>3855.0</v>
      </c>
      <c r="B3859" s="13" t="s">
        <v>3778</v>
      </c>
      <c r="C3859" s="14" t="s">
        <v>3877</v>
      </c>
      <c r="D3859" s="1"/>
      <c r="E3859" s="1"/>
      <c r="F3859" s="1" t="str">
        <f>IFERROR(__xludf.DUMMYFUNCTION("GOOGLETRANSLATE(B3859, ""en"", ""fa"")
"),"برنامه ریز عروسی")</f>
        <v>برنامه ریز عروسی</v>
      </c>
      <c r="G3859" s="1" t="str">
        <f>IFERROR(__xludf.DUMMYFUNCTION("GOOGLETRANSLATE(C3859, ""en"", ""fa"")
"),"نکاتی را به اشتراک بگذارید تا اطمینان حاصل شود که عکاسان و فیلمبرداران از سنت های متنوع فرهنگی و مذهبی عکس می گیرند.")</f>
        <v>نکاتی را به اشتراک بگذارید تا اطمینان حاصل شود که عکاسان و فیلمبرداران از سنت های متنوع فرهنگی و مذهبی عکس می گیرند.</v>
      </c>
      <c r="H3859" s="1"/>
      <c r="I3859" s="1"/>
      <c r="J3859" s="1"/>
      <c r="K3859" s="1"/>
      <c r="L3859" s="1"/>
      <c r="M3859" s="1"/>
      <c r="N3859" s="1"/>
      <c r="O3859" s="1"/>
      <c r="P3859" s="1"/>
      <c r="Q3859" s="1"/>
      <c r="R3859" s="1"/>
      <c r="S3859" s="1"/>
      <c r="T3859" s="1"/>
      <c r="U3859" s="1"/>
      <c r="V3859" s="1"/>
      <c r="W3859" s="1"/>
      <c r="X3859" s="1"/>
      <c r="Y3859" s="1"/>
      <c r="Z3859" s="1"/>
      <c r="AA3859" s="1"/>
      <c r="AB3859" s="1"/>
    </row>
    <row r="3860" ht="50.25" customHeight="1">
      <c r="A3860" s="12">
        <v>3856.0</v>
      </c>
      <c r="B3860" s="13" t="s">
        <v>3778</v>
      </c>
      <c r="C3860" s="14" t="s">
        <v>3878</v>
      </c>
      <c r="D3860" s="1"/>
      <c r="E3860" s="1"/>
      <c r="F3860" s="1" t="str">
        <f>IFERROR(__xludf.DUMMYFUNCTION("GOOGLETRANSLATE(B3860, ""en"", ""fa"")
"),"برنامه ریز عروسی")</f>
        <v>برنامه ریز عروسی</v>
      </c>
      <c r="G3860" s="1" t="str">
        <f>IFERROR(__xludf.DUMMYFUNCTION("GOOGLETRANSLATE(C3860, ""en"", ""fa"")
"),"برنامه ریزان عروسی چگونه می توانند به عکاسان و فیلمبرداران در درک ترجیحات سبک زوج کمک کنند؟")</f>
        <v>برنامه ریزان عروسی چگونه می توانند به عکاسان و فیلمبرداران در درک ترجیحات سبک زوج کمک کنند؟</v>
      </c>
      <c r="H3860" s="1"/>
      <c r="I3860" s="1"/>
      <c r="J3860" s="1"/>
      <c r="K3860" s="1"/>
      <c r="L3860" s="1"/>
      <c r="M3860" s="1"/>
      <c r="N3860" s="1"/>
      <c r="O3860" s="1"/>
      <c r="P3860" s="1"/>
      <c r="Q3860" s="1"/>
      <c r="R3860" s="1"/>
      <c r="S3860" s="1"/>
      <c r="T3860" s="1"/>
      <c r="U3860" s="1"/>
      <c r="V3860" s="1"/>
      <c r="W3860" s="1"/>
      <c r="X3860" s="1"/>
      <c r="Y3860" s="1"/>
      <c r="Z3860" s="1"/>
      <c r="AA3860" s="1"/>
      <c r="AB3860" s="1"/>
    </row>
    <row r="3861" ht="50.25" customHeight="1">
      <c r="A3861" s="12">
        <v>3857.0</v>
      </c>
      <c r="B3861" s="13" t="s">
        <v>3778</v>
      </c>
      <c r="C3861" s="14" t="s">
        <v>3879</v>
      </c>
      <c r="D3861" s="1"/>
      <c r="E3861" s="1"/>
      <c r="F3861" s="1" t="str">
        <f>IFERROR(__xludf.DUMMYFUNCTION("GOOGLETRANSLATE(B3861, ""en"", ""fa"")
"),"برنامه ریز عروسی")</f>
        <v>برنامه ریز عروسی</v>
      </c>
      <c r="G3861" s="1" t="str">
        <f>IFERROR(__xludf.DUMMYFUNCTION("GOOGLETRANSLATE(C3861, ""en"", ""fa"")
"),"بهترین روش ها برای رسیدگی به جدول زمانی و فرمت های تحویل عکس و فیلم چیست؟")</f>
        <v>بهترین روش ها برای رسیدگی به جدول زمانی و فرمت های تحویل عکس و فیلم چیست؟</v>
      </c>
      <c r="H3861" s="1"/>
      <c r="I3861" s="1"/>
      <c r="J3861" s="1"/>
      <c r="K3861" s="1"/>
      <c r="L3861" s="1"/>
      <c r="M3861" s="1"/>
      <c r="N3861" s="1"/>
      <c r="O3861" s="1"/>
      <c r="P3861" s="1"/>
      <c r="Q3861" s="1"/>
      <c r="R3861" s="1"/>
      <c r="S3861" s="1"/>
      <c r="T3861" s="1"/>
      <c r="U3861" s="1"/>
      <c r="V3861" s="1"/>
      <c r="W3861" s="1"/>
      <c r="X3861" s="1"/>
      <c r="Y3861" s="1"/>
      <c r="Z3861" s="1"/>
      <c r="AA3861" s="1"/>
      <c r="AB3861" s="1"/>
    </row>
    <row r="3862" ht="50.25" customHeight="1">
      <c r="A3862" s="12">
        <v>3858.0</v>
      </c>
      <c r="B3862" s="13" t="s">
        <v>3778</v>
      </c>
      <c r="C3862" s="14" t="s">
        <v>3880</v>
      </c>
      <c r="D3862" s="1"/>
      <c r="E3862" s="1"/>
      <c r="F3862" s="1" t="str">
        <f>IFERROR(__xludf.DUMMYFUNCTION("GOOGLETRANSLATE(B3862, ""en"", ""fa"")
"),"برنامه ریز عروسی")</f>
        <v>برنامه ریز عروسی</v>
      </c>
      <c r="G3862" s="1" t="str">
        <f>IFERROR(__xludf.DUMMYFUNCTION("GOOGLETRANSLATE(C3862, ""en"", ""fa"")
"),"ایده هایی برای ترکیب عناصر داستان سرایی در عکاسی و فیلمبرداری عروسی به اشتراک بگذارید.")</f>
        <v>ایده هایی برای ترکیب عناصر داستان سرایی در عکاسی و فیلمبرداری عروسی به اشتراک بگذارید.</v>
      </c>
      <c r="H3862" s="1"/>
      <c r="I3862" s="1"/>
      <c r="J3862" s="1"/>
      <c r="K3862" s="1"/>
      <c r="L3862" s="1"/>
      <c r="M3862" s="1"/>
      <c r="N3862" s="1"/>
      <c r="O3862" s="1"/>
      <c r="P3862" s="1"/>
      <c r="Q3862" s="1"/>
      <c r="R3862" s="1"/>
      <c r="S3862" s="1"/>
      <c r="T3862" s="1"/>
      <c r="U3862" s="1"/>
      <c r="V3862" s="1"/>
      <c r="W3862" s="1"/>
      <c r="X3862" s="1"/>
      <c r="Y3862" s="1"/>
      <c r="Z3862" s="1"/>
      <c r="AA3862" s="1"/>
      <c r="AB3862" s="1"/>
    </row>
    <row r="3863" ht="50.25" customHeight="1">
      <c r="A3863" s="12">
        <v>3859.0</v>
      </c>
      <c r="B3863" s="13" t="s">
        <v>3778</v>
      </c>
      <c r="C3863" s="14" t="s">
        <v>3881</v>
      </c>
      <c r="D3863" s="1"/>
      <c r="E3863" s="1"/>
      <c r="F3863" s="1" t="str">
        <f>IFERROR(__xludf.DUMMYFUNCTION("GOOGLETRANSLATE(B3863, ""en"", ""fa"")
"),"برنامه ریز عروسی")</f>
        <v>برنامه ریز عروسی</v>
      </c>
      <c r="G3863" s="1" t="str">
        <f>IFERROR(__xludf.DUMMYFUNCTION("GOOGLETRANSLATE(C3863, ""en"", ""fa"")
"),"عکاسان و فیلمبرداران چگونه می توانند احساسات و حال و هوای روز عروسی را به تصویر بکشند؟")</f>
        <v>عکاسان و فیلمبرداران چگونه می توانند احساسات و حال و هوای روز عروسی را به تصویر بکشند؟</v>
      </c>
      <c r="H3863" s="1"/>
      <c r="I3863" s="1"/>
      <c r="J3863" s="1"/>
      <c r="K3863" s="1"/>
      <c r="L3863" s="1"/>
      <c r="M3863" s="1"/>
      <c r="N3863" s="1"/>
      <c r="O3863" s="1"/>
      <c r="P3863" s="1"/>
      <c r="Q3863" s="1"/>
      <c r="R3863" s="1"/>
      <c r="S3863" s="1"/>
      <c r="T3863" s="1"/>
      <c r="U3863" s="1"/>
      <c r="V3863" s="1"/>
      <c r="W3863" s="1"/>
      <c r="X3863" s="1"/>
      <c r="Y3863" s="1"/>
      <c r="Z3863" s="1"/>
      <c r="AA3863" s="1"/>
      <c r="AB3863" s="1"/>
    </row>
    <row r="3864" ht="50.25" customHeight="1">
      <c r="A3864" s="12">
        <v>3860.0</v>
      </c>
      <c r="B3864" s="13" t="s">
        <v>3778</v>
      </c>
      <c r="C3864" s="14" t="s">
        <v>3882</v>
      </c>
      <c r="D3864" s="1"/>
      <c r="E3864" s="1"/>
      <c r="F3864" s="1" t="str">
        <f>IFERROR(__xludf.DUMMYFUNCTION("GOOGLETRANSLATE(B3864, ""en"", ""fa"")
"),"برنامه ریز عروسی")</f>
        <v>برنامه ریز عروسی</v>
      </c>
      <c r="G3864" s="1" t="str">
        <f>IFERROR(__xludf.DUMMYFUNCTION("GOOGLETRANSLATE(C3864, ""en"", ""fa"")
"),"عکس های ضروری که باید در پکیج عکاسی و فیلمبرداری عروسی گنجانده شوند چیست؟")</f>
        <v>عکس های ضروری که باید در پکیج عکاسی و فیلمبرداری عروسی گنجانده شوند چیست؟</v>
      </c>
      <c r="H3864" s="1"/>
      <c r="I3864" s="1"/>
      <c r="J3864" s="1"/>
      <c r="K3864" s="1"/>
      <c r="L3864" s="1"/>
      <c r="M3864" s="1"/>
      <c r="N3864" s="1"/>
      <c r="O3864" s="1"/>
      <c r="P3864" s="1"/>
      <c r="Q3864" s="1"/>
      <c r="R3864" s="1"/>
      <c r="S3864" s="1"/>
      <c r="T3864" s="1"/>
      <c r="U3864" s="1"/>
      <c r="V3864" s="1"/>
      <c r="W3864" s="1"/>
      <c r="X3864" s="1"/>
      <c r="Y3864" s="1"/>
      <c r="Z3864" s="1"/>
      <c r="AA3864" s="1"/>
      <c r="AB3864" s="1"/>
    </row>
    <row r="3865" ht="50.25" customHeight="1">
      <c r="A3865" s="12">
        <v>3861.0</v>
      </c>
      <c r="B3865" s="13" t="s">
        <v>3778</v>
      </c>
      <c r="C3865" s="14" t="s">
        <v>3883</v>
      </c>
      <c r="D3865" s="1"/>
      <c r="E3865" s="1"/>
      <c r="F3865" s="1" t="str">
        <f>IFERROR(__xludf.DUMMYFUNCTION("GOOGLETRANSLATE(B3865, ""en"", ""fa"")
"),"برنامه ریز عروسی")</f>
        <v>برنامه ریز عروسی</v>
      </c>
      <c r="G3865" s="1" t="str">
        <f>IFERROR(__xludf.DUMMYFUNCTION("GOOGLETRANSLATE(C3865, ""en"", ""fa"")
"),"چند استراتژی برای مدیریت جدول زمانی عکاسی و فیلمبرداری در روز عروسی به اشتراک بگذارید.")</f>
        <v>چند استراتژی برای مدیریت جدول زمانی عکاسی و فیلمبرداری در روز عروسی به اشتراک بگذارید.</v>
      </c>
      <c r="H3865" s="1"/>
      <c r="I3865" s="1"/>
      <c r="J3865" s="1"/>
      <c r="K3865" s="1"/>
      <c r="L3865" s="1"/>
      <c r="M3865" s="1"/>
      <c r="N3865" s="1"/>
      <c r="O3865" s="1"/>
      <c r="P3865" s="1"/>
      <c r="Q3865" s="1"/>
      <c r="R3865" s="1"/>
      <c r="S3865" s="1"/>
      <c r="T3865" s="1"/>
      <c r="U3865" s="1"/>
      <c r="V3865" s="1"/>
      <c r="W3865" s="1"/>
      <c r="X3865" s="1"/>
      <c r="Y3865" s="1"/>
      <c r="Z3865" s="1"/>
      <c r="AA3865" s="1"/>
      <c r="AB3865" s="1"/>
    </row>
    <row r="3866" ht="50.25" customHeight="1">
      <c r="A3866" s="12">
        <v>3862.0</v>
      </c>
      <c r="B3866" s="13" t="s">
        <v>3778</v>
      </c>
      <c r="C3866" s="14" t="s">
        <v>3884</v>
      </c>
      <c r="D3866" s="1"/>
      <c r="E3866" s="1"/>
      <c r="F3866" s="1" t="str">
        <f>IFERROR(__xludf.DUMMYFUNCTION("GOOGLETRANSLATE(B3866, ""en"", ""fa"")
"),"برنامه ریز عروسی")</f>
        <v>برنامه ریز عروسی</v>
      </c>
      <c r="G3866" s="1" t="str">
        <f>IFERROR(__xludf.DUMMYFUNCTION("GOOGLETRANSLATE(C3866, ""en"", ""fa"")
"),"برنامه ریزان عروسی چگونه می توانند به زوج ها در برنامه ریزی و آماده شدن برای عکس های نامزدی یا قبل از عروسی کمک کنند؟")</f>
        <v>برنامه ریزان عروسی چگونه می توانند به زوج ها در برنامه ریزی و آماده شدن برای عکس های نامزدی یا قبل از عروسی کمک کنند؟</v>
      </c>
      <c r="H3866" s="1"/>
      <c r="I3866" s="1"/>
      <c r="J3866" s="1"/>
      <c r="K3866" s="1"/>
      <c r="L3866" s="1"/>
      <c r="M3866" s="1"/>
      <c r="N3866" s="1"/>
      <c r="O3866" s="1"/>
      <c r="P3866" s="1"/>
      <c r="Q3866" s="1"/>
      <c r="R3866" s="1"/>
      <c r="S3866" s="1"/>
      <c r="T3866" s="1"/>
      <c r="U3866" s="1"/>
      <c r="V3866" s="1"/>
      <c r="W3866" s="1"/>
      <c r="X3866" s="1"/>
      <c r="Y3866" s="1"/>
      <c r="Z3866" s="1"/>
      <c r="AA3866" s="1"/>
      <c r="AB3866" s="1"/>
    </row>
    <row r="3867" ht="50.25" customHeight="1">
      <c r="A3867" s="12">
        <v>3863.0</v>
      </c>
      <c r="B3867" s="13" t="s">
        <v>3778</v>
      </c>
      <c r="C3867" s="14" t="s">
        <v>3885</v>
      </c>
      <c r="D3867" s="1"/>
      <c r="E3867" s="1"/>
      <c r="F3867" s="1" t="str">
        <f>IFERROR(__xludf.DUMMYFUNCTION("GOOGLETRANSLATE(B3867, ""en"", ""fa"")
"),"برنامه ریز عروسی")</f>
        <v>برنامه ریز عروسی</v>
      </c>
      <c r="G3867" s="1" t="str">
        <f>IFERROR(__xludf.DUMMYFUNCTION("GOOGLETRANSLATE(C3867, ""en"", ""fa"")
"),"چه راه هایی برای گنجاندن وسایل یا لوازم جانبی منحصر به فرد در عکس ها و فیلم های عروسی وجود دارد؟")</f>
        <v>چه راه هایی برای گنجاندن وسایل یا لوازم جانبی منحصر به فرد در عکس ها و فیلم های عروسی وجود دارد؟</v>
      </c>
      <c r="H3867" s="1"/>
      <c r="I3867" s="1"/>
      <c r="J3867" s="1"/>
      <c r="K3867" s="1"/>
      <c r="L3867" s="1"/>
      <c r="M3867" s="1"/>
      <c r="N3867" s="1"/>
      <c r="O3867" s="1"/>
      <c r="P3867" s="1"/>
      <c r="Q3867" s="1"/>
      <c r="R3867" s="1"/>
      <c r="S3867" s="1"/>
      <c r="T3867" s="1"/>
      <c r="U3867" s="1"/>
      <c r="V3867" s="1"/>
      <c r="W3867" s="1"/>
      <c r="X3867" s="1"/>
      <c r="Y3867" s="1"/>
      <c r="Z3867" s="1"/>
      <c r="AA3867" s="1"/>
      <c r="AB3867" s="1"/>
    </row>
    <row r="3868" ht="50.25" customHeight="1">
      <c r="A3868" s="12">
        <v>3864.0</v>
      </c>
      <c r="B3868" s="13" t="s">
        <v>3778</v>
      </c>
      <c r="C3868" s="14" t="s">
        <v>3886</v>
      </c>
      <c r="D3868" s="1"/>
      <c r="E3868" s="1"/>
      <c r="F3868" s="1" t="str">
        <f>IFERROR(__xludf.DUMMYFUNCTION("GOOGLETRANSLATE(B3868, ""en"", ""fa"")
"),"برنامه ریز عروسی")</f>
        <v>برنامه ریز عروسی</v>
      </c>
      <c r="G3868" s="1" t="str">
        <f>IFERROR(__xludf.DUMMYFUNCTION("GOOGLETRANSLATE(C3868, ""en"", ""fa"")
"),"نکاتی را برای گرفتن عکس های هوایی خیره کننده و فیلم های هواپیماهای بدون سرنشین در روز عروسی به اشتراک بگذارید.")</f>
        <v>نکاتی را برای گرفتن عکس های هوایی خیره کننده و فیلم های هواپیماهای بدون سرنشین در روز عروسی به اشتراک بگذارید.</v>
      </c>
      <c r="H3868" s="1"/>
      <c r="I3868" s="1"/>
      <c r="J3868" s="1"/>
      <c r="K3868" s="1"/>
      <c r="L3868" s="1"/>
      <c r="M3868" s="1"/>
      <c r="N3868" s="1"/>
      <c r="O3868" s="1"/>
      <c r="P3868" s="1"/>
      <c r="Q3868" s="1"/>
      <c r="R3868" s="1"/>
      <c r="S3868" s="1"/>
      <c r="T3868" s="1"/>
      <c r="U3868" s="1"/>
      <c r="V3868" s="1"/>
      <c r="W3868" s="1"/>
      <c r="X3868" s="1"/>
      <c r="Y3868" s="1"/>
      <c r="Z3868" s="1"/>
      <c r="AA3868" s="1"/>
      <c r="AB3868" s="1"/>
    </row>
    <row r="3869" ht="50.25" customHeight="1">
      <c r="A3869" s="12">
        <v>3865.0</v>
      </c>
      <c r="B3869" s="13" t="s">
        <v>3778</v>
      </c>
      <c r="C3869" s="14" t="s">
        <v>3887</v>
      </c>
      <c r="D3869" s="1"/>
      <c r="E3869" s="1"/>
      <c r="F3869" s="1" t="str">
        <f>IFERROR(__xludf.DUMMYFUNCTION("GOOGLETRANSLATE(B3869, ""en"", ""fa"")
"),"برنامه ریز عروسی")</f>
        <v>برنامه ریز عروسی</v>
      </c>
      <c r="G3869" s="1" t="str">
        <f>IFERROR(__xludf.DUMMYFUNCTION("GOOGLETRANSLATE(C3869, ""en"", ""fa"")
"),"چگونه عکاسان و فیلمبرداران می توانند اطمینان حاصل کنند که شخصیت و فردیت زوج را به تصویر می کشند؟")</f>
        <v>چگونه عکاسان و فیلمبرداران می توانند اطمینان حاصل کنند که شخصیت و فردیت زوج را به تصویر می کشند؟</v>
      </c>
      <c r="H3869" s="1"/>
      <c r="I3869" s="1"/>
      <c r="J3869" s="1"/>
      <c r="K3869" s="1"/>
      <c r="L3869" s="1"/>
      <c r="M3869" s="1"/>
      <c r="N3869" s="1"/>
      <c r="O3869" s="1"/>
      <c r="P3869" s="1"/>
      <c r="Q3869" s="1"/>
      <c r="R3869" s="1"/>
      <c r="S3869" s="1"/>
      <c r="T3869" s="1"/>
      <c r="U3869" s="1"/>
      <c r="V3869" s="1"/>
      <c r="W3869" s="1"/>
      <c r="X3869" s="1"/>
      <c r="Y3869" s="1"/>
      <c r="Z3869" s="1"/>
      <c r="AA3869" s="1"/>
      <c r="AB3869" s="1"/>
    </row>
    <row r="3870" ht="50.25" customHeight="1">
      <c r="A3870" s="12">
        <v>3866.0</v>
      </c>
      <c r="B3870" s="13" t="s">
        <v>3778</v>
      </c>
      <c r="C3870" s="14" t="s">
        <v>3888</v>
      </c>
      <c r="D3870" s="1"/>
      <c r="E3870" s="1"/>
      <c r="F3870" s="1" t="str">
        <f>IFERROR(__xludf.DUMMYFUNCTION("GOOGLETRANSLATE(B3870, ""en"", ""fa"")
"),"برنامه ریز عروسی")</f>
        <v>برنامه ریز عروسی</v>
      </c>
      <c r="G3870" s="1" t="str">
        <f>IFERROR(__xludf.DUMMYFUNCTION("GOOGLETRANSLATE(C3870, ""en"", ""fa"")
"),"بهترین روش ها برای سازماندهی و مدیریت یک عکاسی گروهی بزرگ در روز عروسی چیست؟")</f>
        <v>بهترین روش ها برای سازماندهی و مدیریت یک عکاسی گروهی بزرگ در روز عروسی چیست؟</v>
      </c>
      <c r="H3870" s="1"/>
      <c r="I3870" s="1"/>
      <c r="J3870" s="1"/>
      <c r="K3870" s="1"/>
      <c r="L3870" s="1"/>
      <c r="M3870" s="1"/>
      <c r="N3870" s="1"/>
      <c r="O3870" s="1"/>
      <c r="P3870" s="1"/>
      <c r="Q3870" s="1"/>
      <c r="R3870" s="1"/>
      <c r="S3870" s="1"/>
      <c r="T3870" s="1"/>
      <c r="U3870" s="1"/>
      <c r="V3870" s="1"/>
      <c r="W3870" s="1"/>
      <c r="X3870" s="1"/>
      <c r="Y3870" s="1"/>
      <c r="Z3870" s="1"/>
      <c r="AA3870" s="1"/>
      <c r="AB3870" s="1"/>
    </row>
    <row r="3871" ht="50.25" customHeight="1">
      <c r="A3871" s="12">
        <v>3867.0</v>
      </c>
      <c r="B3871" s="13" t="s">
        <v>3778</v>
      </c>
      <c r="C3871" s="14" t="s">
        <v>3889</v>
      </c>
      <c r="D3871" s="1"/>
      <c r="E3871" s="1"/>
      <c r="F3871" s="1" t="str">
        <f>IFERROR(__xludf.DUMMYFUNCTION("GOOGLETRANSLATE(B3871, ""en"", ""fa"")
"),"برنامه ریز عروسی")</f>
        <v>برنامه ریز عروسی</v>
      </c>
      <c r="G3871" s="1" t="str">
        <f>IFERROR(__xludf.DUMMYFUNCTION("GOOGLETRANSLATE(C3871, ""en"", ""fa"")
"),"ایده هایی برای ایجاد یک غرفه عکس یا تجربه عکاسی تعاملی برای مهمانان عروسی به اشتراک بگذارید.")</f>
        <v>ایده هایی برای ایجاد یک غرفه عکس یا تجربه عکاسی تعاملی برای مهمانان عروسی به اشتراک بگذارید.</v>
      </c>
      <c r="H3871" s="1"/>
      <c r="I3871" s="1"/>
      <c r="J3871" s="1"/>
      <c r="K3871" s="1"/>
      <c r="L3871" s="1"/>
      <c r="M3871" s="1"/>
      <c r="N3871" s="1"/>
      <c r="O3871" s="1"/>
      <c r="P3871" s="1"/>
      <c r="Q3871" s="1"/>
      <c r="R3871" s="1"/>
      <c r="S3871" s="1"/>
      <c r="T3871" s="1"/>
      <c r="U3871" s="1"/>
      <c r="V3871" s="1"/>
      <c r="W3871" s="1"/>
      <c r="X3871" s="1"/>
      <c r="Y3871" s="1"/>
      <c r="Z3871" s="1"/>
      <c r="AA3871" s="1"/>
      <c r="AB3871" s="1"/>
    </row>
    <row r="3872" ht="50.25" customHeight="1">
      <c r="A3872" s="12">
        <v>3868.0</v>
      </c>
      <c r="B3872" s="13" t="s">
        <v>3778</v>
      </c>
      <c r="C3872" s="14" t="s">
        <v>3890</v>
      </c>
      <c r="D3872" s="1"/>
      <c r="E3872" s="1"/>
      <c r="F3872" s="1" t="str">
        <f>IFERROR(__xludf.DUMMYFUNCTION("GOOGLETRANSLATE(B3872, ""en"", ""fa"")
"),"برنامه ریز عروسی")</f>
        <v>برنامه ریز عروسی</v>
      </c>
      <c r="G3872" s="1" t="str">
        <f>IFERROR(__xludf.DUMMYFUNCTION("GOOGLETRANSLATE(C3872, ""en"", ""fa"")
"),"عکاسان و فیلمبرداران چگونه می توانند به طور موثر جزئیات و دکوراسیون عروسی را ثبت کنند؟")</f>
        <v>عکاسان و فیلمبرداران چگونه می توانند به طور موثر جزئیات و دکوراسیون عروسی را ثبت کنند؟</v>
      </c>
      <c r="H3872" s="1"/>
      <c r="I3872" s="1"/>
      <c r="J3872" s="1"/>
      <c r="K3872" s="1"/>
      <c r="L3872" s="1"/>
      <c r="M3872" s="1"/>
      <c r="N3872" s="1"/>
      <c r="O3872" s="1"/>
      <c r="P3872" s="1"/>
      <c r="Q3872" s="1"/>
      <c r="R3872" s="1"/>
      <c r="S3872" s="1"/>
      <c r="T3872" s="1"/>
      <c r="U3872" s="1"/>
      <c r="V3872" s="1"/>
      <c r="W3872" s="1"/>
      <c r="X3872" s="1"/>
      <c r="Y3872" s="1"/>
      <c r="Z3872" s="1"/>
      <c r="AA3872" s="1"/>
      <c r="AB3872" s="1"/>
    </row>
    <row r="3873" ht="50.25" customHeight="1">
      <c r="A3873" s="12">
        <v>3869.0</v>
      </c>
      <c r="B3873" s="13" t="s">
        <v>3778</v>
      </c>
      <c r="C3873" s="14" t="s">
        <v>3891</v>
      </c>
      <c r="D3873" s="1"/>
      <c r="E3873" s="1"/>
      <c r="F3873" s="1" t="str">
        <f>IFERROR(__xludf.DUMMYFUNCTION("GOOGLETRANSLATE(B3873, ""en"", ""fa"")
"),"برنامه ریز عروسی")</f>
        <v>برنامه ریز عروسی</v>
      </c>
      <c r="G3873" s="1" t="str">
        <f>IFERROR(__xludf.DUMMYFUNCTION("GOOGLETRANSLATE(C3873, ""en"", ""fa"")
"),"ملاحظات کلیدی برای انتخاب بین عکاسی سنتی و پوشش مستند چیست؟")</f>
        <v>ملاحظات کلیدی برای انتخاب بین عکاسی سنتی و پوشش مستند چیست؟</v>
      </c>
      <c r="H3873" s="1"/>
      <c r="I3873" s="1"/>
      <c r="J3873" s="1"/>
      <c r="K3873" s="1"/>
      <c r="L3873" s="1"/>
      <c r="M3873" s="1"/>
      <c r="N3873" s="1"/>
      <c r="O3873" s="1"/>
      <c r="P3873" s="1"/>
      <c r="Q3873" s="1"/>
      <c r="R3873" s="1"/>
      <c r="S3873" s="1"/>
      <c r="T3873" s="1"/>
      <c r="U3873" s="1"/>
      <c r="V3873" s="1"/>
      <c r="W3873" s="1"/>
      <c r="X3873" s="1"/>
      <c r="Y3873" s="1"/>
      <c r="Z3873" s="1"/>
      <c r="AA3873" s="1"/>
      <c r="AB3873" s="1"/>
    </row>
    <row r="3874" ht="50.25" customHeight="1">
      <c r="A3874" s="12">
        <v>3870.0</v>
      </c>
      <c r="B3874" s="13" t="s">
        <v>3778</v>
      </c>
      <c r="C3874" s="14" t="s">
        <v>3892</v>
      </c>
      <c r="D3874" s="1"/>
      <c r="E3874" s="1"/>
      <c r="F3874" s="1" t="str">
        <f>IFERROR(__xludf.DUMMYFUNCTION("GOOGLETRANSLATE(B3874, ""en"", ""fa"")
"),"برنامه ریز عروسی")</f>
        <v>برنامه ریز عروسی</v>
      </c>
      <c r="G3874" s="1" t="str">
        <f>IFERROR(__xludf.DUMMYFUNCTION("GOOGLETRANSLATE(C3874, ""en"", ""fa"")
"),"چند استراتژی برای مدیریت حق چاپ و استفاده از عکس ها و فیلم های عروسی را به اشتراک بگذارید.")</f>
        <v>چند استراتژی برای مدیریت حق چاپ و استفاده از عکس ها و فیلم های عروسی را به اشتراک بگذارید.</v>
      </c>
      <c r="H3874" s="1"/>
      <c r="I3874" s="1"/>
      <c r="J3874" s="1"/>
      <c r="K3874" s="1"/>
      <c r="L3874" s="1"/>
      <c r="M3874" s="1"/>
      <c r="N3874" s="1"/>
      <c r="O3874" s="1"/>
      <c r="P3874" s="1"/>
      <c r="Q3874" s="1"/>
      <c r="R3874" s="1"/>
      <c r="S3874" s="1"/>
      <c r="T3874" s="1"/>
      <c r="U3874" s="1"/>
      <c r="V3874" s="1"/>
      <c r="W3874" s="1"/>
      <c r="X3874" s="1"/>
      <c r="Y3874" s="1"/>
      <c r="Z3874" s="1"/>
      <c r="AA3874" s="1"/>
      <c r="AB3874" s="1"/>
    </row>
    <row r="3875" ht="50.25" customHeight="1">
      <c r="A3875" s="12">
        <v>3871.0</v>
      </c>
      <c r="B3875" s="13" t="s">
        <v>3778</v>
      </c>
      <c r="C3875" s="14" t="s">
        <v>3893</v>
      </c>
      <c r="D3875" s="1"/>
      <c r="E3875" s="1"/>
      <c r="F3875" s="1" t="str">
        <f>IFERROR(__xludf.DUMMYFUNCTION("GOOGLETRANSLATE(B3875, ""en"", ""fa"")
"),"برنامه ریز عروسی")</f>
        <v>برنامه ریز عروسی</v>
      </c>
      <c r="G3875" s="1" t="str">
        <f>IFERROR(__xludf.DUMMYFUNCTION("GOOGLETRANSLATE(C3875, ""en"", ""fa"")
"),"برنامه ریزان عروسی چگونه می توانند به عکاسان و فیلمبرداران در دریافت مجوزها یا مجوزهای لازم برای مکان های خاص کمک کنند؟")</f>
        <v>برنامه ریزان عروسی چگونه می توانند به عکاسان و فیلمبرداران در دریافت مجوزها یا مجوزهای لازم برای مکان های خاص کمک کنند؟</v>
      </c>
      <c r="H3875" s="1"/>
      <c r="I3875" s="1"/>
      <c r="J3875" s="1"/>
      <c r="K3875" s="1"/>
      <c r="L3875" s="1"/>
      <c r="M3875" s="1"/>
      <c r="N3875" s="1"/>
      <c r="O3875" s="1"/>
      <c r="P3875" s="1"/>
      <c r="Q3875" s="1"/>
      <c r="R3875" s="1"/>
      <c r="S3875" s="1"/>
      <c r="T3875" s="1"/>
      <c r="U3875" s="1"/>
      <c r="V3875" s="1"/>
      <c r="W3875" s="1"/>
      <c r="X3875" s="1"/>
      <c r="Y3875" s="1"/>
      <c r="Z3875" s="1"/>
      <c r="AA3875" s="1"/>
      <c r="AB3875" s="1"/>
    </row>
    <row r="3876" ht="50.25" customHeight="1">
      <c r="A3876" s="12">
        <v>3872.0</v>
      </c>
      <c r="B3876" s="13" t="s">
        <v>3778</v>
      </c>
      <c r="C3876" s="14" t="s">
        <v>3894</v>
      </c>
      <c r="D3876" s="1"/>
      <c r="E3876" s="1"/>
      <c r="F3876" s="1" t="str">
        <f>IFERROR(__xludf.DUMMYFUNCTION("GOOGLETRANSLATE(B3876, ""en"", ""fa"")
"),"برنامه ریز عروسی")</f>
        <v>برنامه ریز عروسی</v>
      </c>
      <c r="G3876" s="1" t="str">
        <f>IFERROR(__xludf.DUMMYFUNCTION("GOOGLETRANSLATE(C3876, ""en"", ""fa"")
"),"تجهیزات ضروری و برنامه های پشتیبان که عکاسان و فیلمبرداران باید داشته باشند چیست؟")</f>
        <v>تجهیزات ضروری و برنامه های پشتیبان که عکاسان و فیلمبرداران باید داشته باشند چیست؟</v>
      </c>
      <c r="H3876" s="1"/>
      <c r="I3876" s="1"/>
      <c r="J3876" s="1"/>
      <c r="K3876" s="1"/>
      <c r="L3876" s="1"/>
      <c r="M3876" s="1"/>
      <c r="N3876" s="1"/>
      <c r="O3876" s="1"/>
      <c r="P3876" s="1"/>
      <c r="Q3876" s="1"/>
      <c r="R3876" s="1"/>
      <c r="S3876" s="1"/>
      <c r="T3876" s="1"/>
      <c r="U3876" s="1"/>
      <c r="V3876" s="1"/>
      <c r="W3876" s="1"/>
      <c r="X3876" s="1"/>
      <c r="Y3876" s="1"/>
      <c r="Z3876" s="1"/>
      <c r="AA3876" s="1"/>
      <c r="AB3876" s="1"/>
    </row>
    <row r="3877" ht="50.25" customHeight="1">
      <c r="A3877" s="12">
        <v>3873.0</v>
      </c>
      <c r="B3877" s="13" t="s">
        <v>3778</v>
      </c>
      <c r="C3877" s="14" t="s">
        <v>3895</v>
      </c>
      <c r="D3877" s="1"/>
      <c r="E3877" s="1"/>
      <c r="F3877" s="1" t="str">
        <f>IFERROR(__xludf.DUMMYFUNCTION("GOOGLETRANSLATE(B3877, ""en"", ""fa"")
"),"برنامه ریز عروسی")</f>
        <v>برنامه ریز عروسی</v>
      </c>
      <c r="G3877" s="1" t="str">
        <f>IFERROR(__xludf.DUMMYFUNCTION("GOOGLETRANSLATE(C3877, ""en"", ""fa"")
"),"نکاتی را برای ژست گرفتن و هدایت زوج ها و اعضای جشن عروسی در طول عکاسی به اشتراک بگذارید.")</f>
        <v>نکاتی را برای ژست گرفتن و هدایت زوج ها و اعضای جشن عروسی در طول عکاسی به اشتراک بگذارید.</v>
      </c>
      <c r="H3877" s="1"/>
      <c r="I3877" s="1"/>
      <c r="J3877" s="1"/>
      <c r="K3877" s="1"/>
      <c r="L3877" s="1"/>
      <c r="M3877" s="1"/>
      <c r="N3877" s="1"/>
      <c r="O3877" s="1"/>
      <c r="P3877" s="1"/>
      <c r="Q3877" s="1"/>
      <c r="R3877" s="1"/>
      <c r="S3877" s="1"/>
      <c r="T3877" s="1"/>
      <c r="U3877" s="1"/>
      <c r="V3877" s="1"/>
      <c r="W3877" s="1"/>
      <c r="X3877" s="1"/>
      <c r="Y3877" s="1"/>
      <c r="Z3877" s="1"/>
      <c r="AA3877" s="1"/>
      <c r="AB3877" s="1"/>
    </row>
    <row r="3878" ht="50.25" customHeight="1">
      <c r="A3878" s="12">
        <v>3874.0</v>
      </c>
      <c r="B3878" s="13" t="s">
        <v>3778</v>
      </c>
      <c r="C3878" s="14" t="s">
        <v>3896</v>
      </c>
      <c r="D3878" s="1"/>
      <c r="E3878" s="1"/>
      <c r="F3878" s="1" t="str">
        <f>IFERROR(__xludf.DUMMYFUNCTION("GOOGLETRANSLATE(B3878, ""en"", ""fa"")
"),"برنامه ریز عروسی")</f>
        <v>برنامه ریز عروسی</v>
      </c>
      <c r="G3878" s="1" t="str">
        <f>IFERROR(__xludf.DUMMYFUNCTION("GOOGLETRANSLATE(C3878, ""en"", ""fa"")
"),"چگونه عکاسان و فیلمبرداران می توانند با شرایط نوری و مکان های مختلف سازگار شوند؟")</f>
        <v>چگونه عکاسان و فیلمبرداران می توانند با شرایط نوری و مکان های مختلف سازگار شوند؟</v>
      </c>
      <c r="H3878" s="1"/>
      <c r="I3878" s="1"/>
      <c r="J3878" s="1"/>
      <c r="K3878" s="1"/>
      <c r="L3878" s="1"/>
      <c r="M3878" s="1"/>
      <c r="N3878" s="1"/>
      <c r="O3878" s="1"/>
      <c r="P3878" s="1"/>
      <c r="Q3878" s="1"/>
      <c r="R3878" s="1"/>
      <c r="S3878" s="1"/>
      <c r="T3878" s="1"/>
      <c r="U3878" s="1"/>
      <c r="V3878" s="1"/>
      <c r="W3878" s="1"/>
      <c r="X3878" s="1"/>
      <c r="Y3878" s="1"/>
      <c r="Z3878" s="1"/>
      <c r="AA3878" s="1"/>
      <c r="AB3878" s="1"/>
    </row>
    <row r="3879" ht="50.25" customHeight="1">
      <c r="A3879" s="12">
        <v>3875.0</v>
      </c>
      <c r="B3879" s="13" t="s">
        <v>3778</v>
      </c>
      <c r="C3879" s="14" t="s">
        <v>3897</v>
      </c>
      <c r="D3879" s="1"/>
      <c r="E3879" s="1"/>
      <c r="F3879" s="1" t="str">
        <f>IFERROR(__xludf.DUMMYFUNCTION("GOOGLETRANSLATE(B3879, ""en"", ""fa"")
"),"برنامه ریز عروسی")</f>
        <v>برنامه ریز عروسی</v>
      </c>
      <c r="G3879" s="1" t="str">
        <f>IFERROR(__xludf.DUMMYFUNCTION("GOOGLETRANSLATE(C3879, ""en"", ""fa"")
"),"چه راه هایی برای گنجاندن جلوه های ویژه یا تکنیک های ویرایش در ویدیوهای عروسی وجود دارد؟")</f>
        <v>چه راه هایی برای گنجاندن جلوه های ویژه یا تکنیک های ویرایش در ویدیوهای عروسی وجود دارد؟</v>
      </c>
      <c r="H3879" s="1"/>
      <c r="I3879" s="1"/>
      <c r="J3879" s="1"/>
      <c r="K3879" s="1"/>
      <c r="L3879" s="1"/>
      <c r="M3879" s="1"/>
      <c r="N3879" s="1"/>
      <c r="O3879" s="1"/>
      <c r="P3879" s="1"/>
      <c r="Q3879" s="1"/>
      <c r="R3879" s="1"/>
      <c r="S3879" s="1"/>
      <c r="T3879" s="1"/>
      <c r="U3879" s="1"/>
      <c r="V3879" s="1"/>
      <c r="W3879" s="1"/>
      <c r="X3879" s="1"/>
      <c r="Y3879" s="1"/>
      <c r="Z3879" s="1"/>
      <c r="AA3879" s="1"/>
      <c r="AB3879" s="1"/>
    </row>
    <row r="3880" ht="50.25" customHeight="1">
      <c r="A3880" s="12">
        <v>3876.0</v>
      </c>
      <c r="B3880" s="13" t="s">
        <v>3778</v>
      </c>
      <c r="C3880" s="14" t="s">
        <v>3898</v>
      </c>
      <c r="D3880" s="1"/>
      <c r="E3880" s="1"/>
      <c r="F3880" s="1" t="str">
        <f>IFERROR(__xludf.DUMMYFUNCTION("GOOGLETRANSLATE(B3880, ""en"", ""fa"")
"),"برنامه ریز عروسی")</f>
        <v>برنامه ریز عروسی</v>
      </c>
      <c r="G3880" s="1" t="str">
        <f>IFERROR(__xludf.DUMMYFUNCTION("GOOGLETRANSLATE(C3880, ""en"", ""fa"")
"),"ایده هایی برای ایجاد آلبوم های عکس عروسی به یاد ماندنی و شخصی سازی شده و مونتاژهای ویدئویی به اشتراک بگذارید.")</f>
        <v>ایده هایی برای ایجاد آلبوم های عکس عروسی به یاد ماندنی و شخصی سازی شده و مونتاژهای ویدئویی به اشتراک بگذارید.</v>
      </c>
      <c r="H3880" s="1"/>
      <c r="I3880" s="1"/>
      <c r="J3880" s="1"/>
      <c r="K3880" s="1"/>
      <c r="L3880" s="1"/>
      <c r="M3880" s="1"/>
      <c r="N3880" s="1"/>
      <c r="O3880" s="1"/>
      <c r="P3880" s="1"/>
      <c r="Q3880" s="1"/>
      <c r="R3880" s="1"/>
      <c r="S3880" s="1"/>
      <c r="T3880" s="1"/>
      <c r="U3880" s="1"/>
      <c r="V3880" s="1"/>
      <c r="W3880" s="1"/>
      <c r="X3880" s="1"/>
      <c r="Y3880" s="1"/>
      <c r="Z3880" s="1"/>
      <c r="AA3880" s="1"/>
      <c r="AB3880" s="1"/>
    </row>
    <row r="3881" ht="50.25" customHeight="1">
      <c r="A3881" s="12">
        <v>3877.0</v>
      </c>
      <c r="B3881" s="13" t="s">
        <v>3778</v>
      </c>
      <c r="C3881" s="14" t="s">
        <v>3899</v>
      </c>
      <c r="D3881" s="1"/>
      <c r="E3881" s="1"/>
      <c r="F3881" s="1" t="str">
        <f>IFERROR(__xludf.DUMMYFUNCTION("GOOGLETRANSLATE(B3881, ""en"", ""fa"")
"),"برنامه ریز عروسی")</f>
        <v>برنامه ریز عروسی</v>
      </c>
      <c r="G3881" s="1" t="str">
        <f>IFERROR(__xludf.DUMMYFUNCTION("GOOGLETRANSLATE(C3881, ""en"", ""fa"")
"),"عکاسان و فیلمبرداران چگونه می توانند انرژی و هیجان پذیرایی و رقصیدن را به تصویر بکشند؟")</f>
        <v>عکاسان و فیلمبرداران چگونه می توانند انرژی و هیجان پذیرایی و رقصیدن را به تصویر بکشند؟</v>
      </c>
      <c r="H3881" s="1"/>
      <c r="I3881" s="1"/>
      <c r="J3881" s="1"/>
      <c r="K3881" s="1"/>
      <c r="L3881" s="1"/>
      <c r="M3881" s="1"/>
      <c r="N3881" s="1"/>
      <c r="O3881" s="1"/>
      <c r="P3881" s="1"/>
      <c r="Q3881" s="1"/>
      <c r="R3881" s="1"/>
      <c r="S3881" s="1"/>
      <c r="T3881" s="1"/>
      <c r="U3881" s="1"/>
      <c r="V3881" s="1"/>
      <c r="W3881" s="1"/>
      <c r="X3881" s="1"/>
      <c r="Y3881" s="1"/>
      <c r="Z3881" s="1"/>
      <c r="AA3881" s="1"/>
      <c r="AB3881" s="1"/>
    </row>
    <row r="3882" ht="50.25" customHeight="1">
      <c r="A3882" s="12">
        <v>3878.0</v>
      </c>
      <c r="B3882" s="13" t="s">
        <v>3778</v>
      </c>
      <c r="C3882" s="14" t="s">
        <v>3900</v>
      </c>
      <c r="D3882" s="1"/>
      <c r="E3882" s="1"/>
      <c r="F3882" s="1" t="str">
        <f>IFERROR(__xludf.DUMMYFUNCTION("GOOGLETRANSLATE(B3882, ""en"", ""fa"")
"),"برنامه ریز عروسی")</f>
        <v>برنامه ریز عروسی</v>
      </c>
      <c r="G3882" s="1" t="str">
        <f>IFERROR(__xludf.DUMMYFUNCTION("GOOGLETRANSLATE(C3882, ""en"", ""fa"")
"),"بهترین روش ها برای همکاری با عکاسان و فیلمبرداران در برنامه ریزی قبل از عروسی و جدول زمانی چیست؟")</f>
        <v>بهترین روش ها برای همکاری با عکاسان و فیلمبرداران در برنامه ریزی قبل از عروسی و جدول زمانی چیست؟</v>
      </c>
      <c r="H3882" s="1"/>
      <c r="I3882" s="1"/>
      <c r="J3882" s="1"/>
      <c r="K3882" s="1"/>
      <c r="L3882" s="1"/>
      <c r="M3882" s="1"/>
      <c r="N3882" s="1"/>
      <c r="O3882" s="1"/>
      <c r="P3882" s="1"/>
      <c r="Q3882" s="1"/>
      <c r="R3882" s="1"/>
      <c r="S3882" s="1"/>
      <c r="T3882" s="1"/>
      <c r="U3882" s="1"/>
      <c r="V3882" s="1"/>
      <c r="W3882" s="1"/>
      <c r="X3882" s="1"/>
      <c r="Y3882" s="1"/>
      <c r="Z3882" s="1"/>
      <c r="AA3882" s="1"/>
      <c r="AB3882" s="1"/>
    </row>
    <row r="3883" ht="50.25" customHeight="1">
      <c r="A3883" s="12">
        <v>3879.0</v>
      </c>
      <c r="B3883" s="13" t="s">
        <v>3778</v>
      </c>
      <c r="C3883" s="14" t="s">
        <v>3901</v>
      </c>
      <c r="D3883" s="1"/>
      <c r="E3883" s="1"/>
      <c r="F3883" s="1" t="str">
        <f>IFERROR(__xludf.DUMMYFUNCTION("GOOGLETRANSLATE(B3883, ""en"", ""fa"")
"),"برنامه ریز عروسی")</f>
        <v>برنامه ریز عروسی</v>
      </c>
      <c r="G3883" s="1" t="str">
        <f>IFERROR(__xludf.DUMMYFUNCTION("GOOGLETRANSLATE(C3883, ""en"", ""fa"")
"),"چند استراتژی برای مدیریت چند عکاس یا فیلمبردار در روز عروسی به اشتراک بگذارید.")</f>
        <v>چند استراتژی برای مدیریت چند عکاس یا فیلمبردار در روز عروسی به اشتراک بگذارید.</v>
      </c>
      <c r="H3883" s="1"/>
      <c r="I3883" s="1"/>
      <c r="J3883" s="1"/>
      <c r="K3883" s="1"/>
      <c r="L3883" s="1"/>
      <c r="M3883" s="1"/>
      <c r="N3883" s="1"/>
      <c r="O3883" s="1"/>
      <c r="P3883" s="1"/>
      <c r="Q3883" s="1"/>
      <c r="R3883" s="1"/>
      <c r="S3883" s="1"/>
      <c r="T3883" s="1"/>
      <c r="U3883" s="1"/>
      <c r="V3883" s="1"/>
      <c r="W3883" s="1"/>
      <c r="X3883" s="1"/>
      <c r="Y3883" s="1"/>
      <c r="Z3883" s="1"/>
      <c r="AA3883" s="1"/>
      <c r="AB3883" s="1"/>
    </row>
    <row r="3884" ht="50.25" customHeight="1">
      <c r="A3884" s="12">
        <v>3880.0</v>
      </c>
      <c r="B3884" s="13" t="s">
        <v>3778</v>
      </c>
      <c r="C3884" s="14" t="s">
        <v>3902</v>
      </c>
      <c r="D3884" s="1"/>
      <c r="E3884" s="1"/>
      <c r="F3884" s="1" t="str">
        <f>IFERROR(__xludf.DUMMYFUNCTION("GOOGLETRANSLATE(B3884, ""en"", ""fa"")
"),"برنامه ریز عروسی")</f>
        <v>برنامه ریز عروسی</v>
      </c>
      <c r="G3884" s="1" t="str">
        <f>IFERROR(__xludf.DUMMYFUNCTION("GOOGLETRANSLATE(C3884, ""en"", ""fa"")
"),"برنامه ریزان عروسی چگونه می توانند به عکاسان و فیلمبرداران در جهت یابی حساسیت ها و سنت های فرهنگی کمک کنند؟")</f>
        <v>برنامه ریزان عروسی چگونه می توانند به عکاسان و فیلمبرداران در جهت یابی حساسیت ها و سنت های فرهنگی کمک کنند؟</v>
      </c>
      <c r="H3884" s="1"/>
      <c r="I3884" s="1"/>
      <c r="J3884" s="1"/>
      <c r="K3884" s="1"/>
      <c r="L3884" s="1"/>
      <c r="M3884" s="1"/>
      <c r="N3884" s="1"/>
      <c r="O3884" s="1"/>
      <c r="P3884" s="1"/>
      <c r="Q3884" s="1"/>
      <c r="R3884" s="1"/>
      <c r="S3884" s="1"/>
      <c r="T3884" s="1"/>
      <c r="U3884" s="1"/>
      <c r="V3884" s="1"/>
      <c r="W3884" s="1"/>
      <c r="X3884" s="1"/>
      <c r="Y3884" s="1"/>
      <c r="Z3884" s="1"/>
      <c r="AA3884" s="1"/>
      <c r="AB3884" s="1"/>
    </row>
    <row r="3885" ht="50.25" customHeight="1">
      <c r="A3885" s="12">
        <v>3881.0</v>
      </c>
      <c r="B3885" s="13" t="s">
        <v>3778</v>
      </c>
      <c r="C3885" s="14" t="s">
        <v>3903</v>
      </c>
      <c r="D3885" s="1"/>
      <c r="E3885" s="1"/>
      <c r="F3885" s="1" t="str">
        <f>IFERROR(__xludf.DUMMYFUNCTION("GOOGLETRANSLATE(B3885, ""en"", ""fa"")
"),"برنامه ریز عروسی")</f>
        <v>برنامه ریز عروسی</v>
      </c>
      <c r="G3885" s="1" t="str">
        <f>IFERROR(__xludf.DUMMYFUNCTION("GOOGLETRANSLATE(C3885, ""en"", ""fa"")
"),"ملاحظات کلیدی برای ثبت عروسی در فضای باز و مدیریت نور طبیعی چیست؟")</f>
        <v>ملاحظات کلیدی برای ثبت عروسی در فضای باز و مدیریت نور طبیعی چیست؟</v>
      </c>
      <c r="H3885" s="1"/>
      <c r="I3885" s="1"/>
      <c r="J3885" s="1"/>
      <c r="K3885" s="1"/>
      <c r="L3885" s="1"/>
      <c r="M3885" s="1"/>
      <c r="N3885" s="1"/>
      <c r="O3885" s="1"/>
      <c r="P3885" s="1"/>
      <c r="Q3885" s="1"/>
      <c r="R3885" s="1"/>
      <c r="S3885" s="1"/>
      <c r="T3885" s="1"/>
      <c r="U3885" s="1"/>
      <c r="V3885" s="1"/>
      <c r="W3885" s="1"/>
      <c r="X3885" s="1"/>
      <c r="Y3885" s="1"/>
      <c r="Z3885" s="1"/>
      <c r="AA3885" s="1"/>
      <c r="AB3885" s="1"/>
    </row>
    <row r="3886" ht="50.25" customHeight="1">
      <c r="A3886" s="12">
        <v>3882.0</v>
      </c>
      <c r="B3886" s="13" t="s">
        <v>3778</v>
      </c>
      <c r="C3886" s="14" t="s">
        <v>3904</v>
      </c>
      <c r="D3886" s="1"/>
      <c r="E3886" s="1"/>
      <c r="F3886" s="1" t="str">
        <f>IFERROR(__xludf.DUMMYFUNCTION("GOOGLETRANSLATE(B3886, ""en"", ""fa"")
"),"برنامه ریز عروسی")</f>
        <v>برنامه ریز عروسی</v>
      </c>
      <c r="G3886" s="1" t="str">
        <f>IFERROR(__xludf.DUMMYFUNCTION("GOOGLETRANSLATE(C3886, ""en"", ""fa"")
"),"نکاتی را برای ثبت لحظات صمیمانه در طول مراسم و سخنرانی به اشتراک بگذارید.")</f>
        <v>نکاتی را برای ثبت لحظات صمیمانه در طول مراسم و سخنرانی به اشتراک بگذارید.</v>
      </c>
      <c r="H3886" s="1"/>
      <c r="I3886" s="1"/>
      <c r="J3886" s="1"/>
      <c r="K3886" s="1"/>
      <c r="L3886" s="1"/>
      <c r="M3886" s="1"/>
      <c r="N3886" s="1"/>
      <c r="O3886" s="1"/>
      <c r="P3886" s="1"/>
      <c r="Q3886" s="1"/>
      <c r="R3886" s="1"/>
      <c r="S3886" s="1"/>
      <c r="T3886" s="1"/>
      <c r="U3886" s="1"/>
      <c r="V3886" s="1"/>
      <c r="W3886" s="1"/>
      <c r="X3886" s="1"/>
      <c r="Y3886" s="1"/>
      <c r="Z3886" s="1"/>
      <c r="AA3886" s="1"/>
      <c r="AB3886" s="1"/>
    </row>
    <row r="3887" ht="50.25" customHeight="1">
      <c r="A3887" s="12">
        <v>3883.0</v>
      </c>
      <c r="B3887" s="13" t="s">
        <v>3778</v>
      </c>
      <c r="C3887" s="14" t="s">
        <v>3905</v>
      </c>
      <c r="D3887" s="1"/>
      <c r="E3887" s="1"/>
      <c r="F3887" s="1" t="str">
        <f>IFERROR(__xludf.DUMMYFUNCTION("GOOGLETRANSLATE(B3887, ""en"", ""fa"")
"),"برنامه ریز عروسی")</f>
        <v>برنامه ریز عروسی</v>
      </c>
      <c r="G3887" s="1" t="str">
        <f>IFERROR(__xludf.DUMMYFUNCTION("GOOGLETRANSLATE(C3887, ""en"", ""fa"")
"),"عکاسان و فیلمبرداران چگونه می توانند از حریم خصوصی و امنیت تصاویر و فیلم های زوجین اطمینان حاصل کنند؟")</f>
        <v>عکاسان و فیلمبرداران چگونه می توانند از حریم خصوصی و امنیت تصاویر و فیلم های زوجین اطمینان حاصل کنند؟</v>
      </c>
      <c r="H3887" s="1"/>
      <c r="I3887" s="1"/>
      <c r="J3887" s="1"/>
      <c r="K3887" s="1"/>
      <c r="L3887" s="1"/>
      <c r="M3887" s="1"/>
      <c r="N3887" s="1"/>
      <c r="O3887" s="1"/>
      <c r="P3887" s="1"/>
      <c r="Q3887" s="1"/>
      <c r="R3887" s="1"/>
      <c r="S3887" s="1"/>
      <c r="T3887" s="1"/>
      <c r="U3887" s="1"/>
      <c r="V3887" s="1"/>
      <c r="W3887" s="1"/>
      <c r="X3887" s="1"/>
      <c r="Y3887" s="1"/>
      <c r="Z3887" s="1"/>
      <c r="AA3887" s="1"/>
      <c r="AB3887" s="1"/>
    </row>
    <row r="3888" ht="50.25" customHeight="1">
      <c r="A3888" s="12">
        <v>3884.0</v>
      </c>
      <c r="B3888" s="13" t="s">
        <v>3778</v>
      </c>
      <c r="C3888" s="14" t="s">
        <v>3906</v>
      </c>
      <c r="D3888" s="1"/>
      <c r="E3888" s="1"/>
      <c r="F3888" s="1" t="str">
        <f>IFERROR(__xludf.DUMMYFUNCTION("GOOGLETRANSLATE(B3888, ""en"", ""fa"")
"),"برنامه ریز عروسی")</f>
        <v>برنامه ریز عروسی</v>
      </c>
      <c r="G3888" s="1" t="str">
        <f>IFERROR(__xludf.DUMMYFUNCTION("GOOGLETRANSLATE(C3888, ""en"", ""fa"")
"),"چند راه برای گنجاندن تکنیک های تایم لپس یا حرکت آهسته در ویدیوهای عروسی وجود دارد؟")</f>
        <v>چند راه برای گنجاندن تکنیک های تایم لپس یا حرکت آهسته در ویدیوهای عروسی وجود دارد؟</v>
      </c>
      <c r="H3888" s="1"/>
      <c r="I3888" s="1"/>
      <c r="J3888" s="1"/>
      <c r="K3888" s="1"/>
      <c r="L3888" s="1"/>
      <c r="M3888" s="1"/>
      <c r="N3888" s="1"/>
      <c r="O3888" s="1"/>
      <c r="P3888" s="1"/>
      <c r="Q3888" s="1"/>
      <c r="R3888" s="1"/>
      <c r="S3888" s="1"/>
      <c r="T3888" s="1"/>
      <c r="U3888" s="1"/>
      <c r="V3888" s="1"/>
      <c r="W3888" s="1"/>
      <c r="X3888" s="1"/>
      <c r="Y3888" s="1"/>
      <c r="Z3888" s="1"/>
      <c r="AA3888" s="1"/>
      <c r="AB3888" s="1"/>
    </row>
    <row r="3889" ht="50.25" customHeight="1">
      <c r="A3889" s="12">
        <v>3885.0</v>
      </c>
      <c r="B3889" s="13" t="s">
        <v>3778</v>
      </c>
      <c r="C3889" s="14" t="s">
        <v>3907</v>
      </c>
      <c r="D3889" s="1"/>
      <c r="E3889" s="1"/>
      <c r="F3889" s="1" t="str">
        <f>IFERROR(__xludf.DUMMYFUNCTION("GOOGLETRANSLATE(B3889, ""en"", ""fa"")
"),"برنامه ریز عروسی")</f>
        <v>برنامه ریز عروسی</v>
      </c>
      <c r="G3889" s="1" t="str">
        <f>IFERROR(__xludf.DUMMYFUNCTION("GOOGLETRANSLATE(C3889, ""en"", ""fa"")
"),"ایده‌هایی برای ایجاد عکس‌ها و ویدیوهای اعلام نامزدی به یاد ماندنی و منحصربه‌فرد به اشتراک بگذارید.")</f>
        <v>ایده‌هایی برای ایجاد عکس‌ها و ویدیوهای اعلام نامزدی به یاد ماندنی و منحصربه‌فرد به اشتراک بگذارید.</v>
      </c>
      <c r="H3889" s="1"/>
      <c r="I3889" s="1"/>
      <c r="J3889" s="1"/>
      <c r="K3889" s="1"/>
      <c r="L3889" s="1"/>
      <c r="M3889" s="1"/>
      <c r="N3889" s="1"/>
      <c r="O3889" s="1"/>
      <c r="P3889" s="1"/>
      <c r="Q3889" s="1"/>
      <c r="R3889" s="1"/>
      <c r="S3889" s="1"/>
      <c r="T3889" s="1"/>
      <c r="U3889" s="1"/>
      <c r="V3889" s="1"/>
      <c r="W3889" s="1"/>
      <c r="X3889" s="1"/>
      <c r="Y3889" s="1"/>
      <c r="Z3889" s="1"/>
      <c r="AA3889" s="1"/>
      <c r="AB3889" s="1"/>
    </row>
    <row r="3890" ht="50.25" customHeight="1">
      <c r="A3890" s="12">
        <v>3886.0</v>
      </c>
      <c r="B3890" s="13" t="s">
        <v>3778</v>
      </c>
      <c r="C3890" s="14" t="s">
        <v>3908</v>
      </c>
      <c r="D3890" s="1"/>
      <c r="E3890" s="1"/>
      <c r="F3890" s="1" t="str">
        <f>IFERROR(__xludf.DUMMYFUNCTION("GOOGLETRANSLATE(B3890, ""en"", ""fa"")
"),"برنامه ریز عروسی")</f>
        <v>برنامه ریز عروسی</v>
      </c>
      <c r="G3890" s="1" t="str">
        <f>IFERROR(__xludf.DUMMYFUNCTION("GOOGLETRANSLATE(C3890, ""en"", ""fa"")
"),"برای انتخاب مکان عروسی چه فاکتورهایی را باید در نظر گرفت؟")</f>
        <v>برای انتخاب مکان عروسی چه فاکتورهایی را باید در نظر گرفت؟</v>
      </c>
      <c r="H3890" s="1"/>
      <c r="I3890" s="1"/>
      <c r="J3890" s="1"/>
      <c r="K3890" s="1"/>
      <c r="L3890" s="1"/>
      <c r="M3890" s="1"/>
      <c r="N3890" s="1"/>
      <c r="O3890" s="1"/>
      <c r="P3890" s="1"/>
      <c r="Q3890" s="1"/>
      <c r="R3890" s="1"/>
      <c r="S3890" s="1"/>
      <c r="T3890" s="1"/>
      <c r="U3890" s="1"/>
      <c r="V3890" s="1"/>
      <c r="W3890" s="1"/>
      <c r="X3890" s="1"/>
      <c r="Y3890" s="1"/>
      <c r="Z3890" s="1"/>
      <c r="AA3890" s="1"/>
      <c r="AB3890" s="1"/>
    </row>
    <row r="3891" ht="50.25" customHeight="1">
      <c r="A3891" s="12">
        <v>3887.0</v>
      </c>
      <c r="B3891" s="13" t="s">
        <v>3778</v>
      </c>
      <c r="C3891" s="14" t="s">
        <v>3909</v>
      </c>
      <c r="D3891" s="1"/>
      <c r="E3891" s="1"/>
      <c r="F3891" s="1" t="str">
        <f>IFERROR(__xludf.DUMMYFUNCTION("GOOGLETRANSLATE(B3891, ""en"", ""fa"")
"),"برنامه ریز عروسی")</f>
        <v>برنامه ریز عروسی</v>
      </c>
      <c r="G3891" s="1" t="str">
        <f>IFERROR(__xludf.DUMMYFUNCTION("GOOGLETRANSLATE(C3891, ""en"", ""fa"")
"),"نکاتی را برای تعیین اندازه مکان ایده آل بر اساس تعداد مهمان و فضای مورد نظر به اشتراک بگذارید.")</f>
        <v>نکاتی را برای تعیین اندازه مکان ایده آل بر اساس تعداد مهمان و فضای مورد نظر به اشتراک بگذارید.</v>
      </c>
      <c r="H3891" s="1"/>
      <c r="I3891" s="1"/>
      <c r="J3891" s="1"/>
      <c r="K3891" s="1"/>
      <c r="L3891" s="1"/>
      <c r="M3891" s="1"/>
      <c r="N3891" s="1"/>
      <c r="O3891" s="1"/>
      <c r="P3891" s="1"/>
      <c r="Q3891" s="1"/>
      <c r="R3891" s="1"/>
      <c r="S3891" s="1"/>
      <c r="T3891" s="1"/>
      <c r="U3891" s="1"/>
      <c r="V3891" s="1"/>
      <c r="W3891" s="1"/>
      <c r="X3891" s="1"/>
      <c r="Y3891" s="1"/>
      <c r="Z3891" s="1"/>
      <c r="AA3891" s="1"/>
      <c r="AB3891" s="1"/>
    </row>
    <row r="3892" ht="50.25" customHeight="1">
      <c r="A3892" s="12">
        <v>3888.0</v>
      </c>
      <c r="B3892" s="13" t="s">
        <v>3778</v>
      </c>
      <c r="C3892" s="14" t="s">
        <v>3910</v>
      </c>
      <c r="D3892" s="1"/>
      <c r="E3892" s="1"/>
      <c r="F3892" s="1" t="str">
        <f>IFERROR(__xludf.DUMMYFUNCTION("GOOGLETRANSLATE(B3892, ""en"", ""fa"")
"),"برنامه ریز عروسی")</f>
        <v>برنامه ریز عروسی</v>
      </c>
      <c r="G3892" s="1" t="str">
        <f>IFERROR(__xludf.DUMMYFUNCTION("GOOGLETRANSLATE(C3892, ""en"", ""fa"")
"),"چگونه برنامه‌ریزان عروسی می‌توانند به زوج‌ها در یافتن مکان‌هایی که با سبک عروسی مورد علاقه‌شان هماهنگ است کمک کنند؟")</f>
        <v>چگونه برنامه‌ریزان عروسی می‌توانند به زوج‌ها در یافتن مکان‌هایی که با سبک عروسی مورد علاقه‌شان هماهنگ است کمک کنند؟</v>
      </c>
      <c r="H3892" s="1"/>
      <c r="I3892" s="1"/>
      <c r="J3892" s="1"/>
      <c r="K3892" s="1"/>
      <c r="L3892" s="1"/>
      <c r="M3892" s="1"/>
      <c r="N3892" s="1"/>
      <c r="O3892" s="1"/>
      <c r="P3892" s="1"/>
      <c r="Q3892" s="1"/>
      <c r="R3892" s="1"/>
      <c r="S3892" s="1"/>
      <c r="T3892" s="1"/>
      <c r="U3892" s="1"/>
      <c r="V3892" s="1"/>
      <c r="W3892" s="1"/>
      <c r="X3892" s="1"/>
      <c r="Y3892" s="1"/>
      <c r="Z3892" s="1"/>
      <c r="AA3892" s="1"/>
      <c r="AB3892" s="1"/>
    </row>
    <row r="3893" ht="50.25" customHeight="1">
      <c r="A3893" s="12">
        <v>3889.0</v>
      </c>
      <c r="B3893" s="13" t="s">
        <v>3778</v>
      </c>
      <c r="C3893" s="14" t="s">
        <v>3911</v>
      </c>
      <c r="D3893" s="1"/>
      <c r="E3893" s="1"/>
      <c r="F3893" s="1" t="str">
        <f>IFERROR(__xludf.DUMMYFUNCTION("GOOGLETRANSLATE(B3893, ""en"", ""fa"")
"),"برنامه ریز عروسی")</f>
        <v>برنامه ریز عروسی</v>
      </c>
      <c r="G3893" s="1" t="str">
        <f>IFERROR(__xludf.DUMMYFUNCTION("GOOGLETRANSLATE(C3893, ""en"", ""fa"")
"),"هنگام گشت و گذار در مکان های عروسی احتمالی چه سوالاتی باید پرسید؟")</f>
        <v>هنگام گشت و گذار در مکان های عروسی احتمالی چه سوالاتی باید پرسید؟</v>
      </c>
      <c r="H3893" s="1"/>
      <c r="I3893" s="1"/>
      <c r="J3893" s="1"/>
      <c r="K3893" s="1"/>
      <c r="L3893" s="1"/>
      <c r="M3893" s="1"/>
      <c r="N3893" s="1"/>
      <c r="O3893" s="1"/>
      <c r="P3893" s="1"/>
      <c r="Q3893" s="1"/>
      <c r="R3893" s="1"/>
      <c r="S3893" s="1"/>
      <c r="T3893" s="1"/>
      <c r="U3893" s="1"/>
      <c r="V3893" s="1"/>
      <c r="W3893" s="1"/>
      <c r="X3893" s="1"/>
      <c r="Y3893" s="1"/>
      <c r="Z3893" s="1"/>
      <c r="AA3893" s="1"/>
      <c r="AB3893" s="1"/>
    </row>
    <row r="3894" ht="50.25" customHeight="1">
      <c r="A3894" s="12">
        <v>3890.0</v>
      </c>
      <c r="B3894" s="13" t="s">
        <v>3778</v>
      </c>
      <c r="C3894" s="14" t="s">
        <v>3912</v>
      </c>
      <c r="D3894" s="1"/>
      <c r="E3894" s="1"/>
      <c r="F3894" s="1" t="str">
        <f>IFERROR(__xludf.DUMMYFUNCTION("GOOGLETRANSLATE(B3894, ""en"", ""fa"")
"),"برنامه ریز عروسی")</f>
        <v>برنامه ریز عروسی</v>
      </c>
      <c r="G3894" s="1" t="str">
        <f>IFERROR(__xludf.DUMMYFUNCTION("GOOGLETRANSLATE(C3894, ""en"", ""fa"")
"),"چند استراتژی برای انتخاب مکان عروسی متناسب با بودجه زوجین به اشتراک بگذارید.")</f>
        <v>چند استراتژی برای انتخاب مکان عروسی متناسب با بودجه زوجین به اشتراک بگذارید.</v>
      </c>
      <c r="H3894" s="1"/>
      <c r="I3894" s="1"/>
      <c r="J3894" s="1"/>
      <c r="K3894" s="1"/>
      <c r="L3894" s="1"/>
      <c r="M3894" s="1"/>
      <c r="N3894" s="1"/>
      <c r="O3894" s="1"/>
      <c r="P3894" s="1"/>
      <c r="Q3894" s="1"/>
      <c r="R3894" s="1"/>
      <c r="S3894" s="1"/>
      <c r="T3894" s="1"/>
      <c r="U3894" s="1"/>
      <c r="V3894" s="1"/>
      <c r="W3894" s="1"/>
      <c r="X3894" s="1"/>
      <c r="Y3894" s="1"/>
      <c r="Z3894" s="1"/>
      <c r="AA3894" s="1"/>
      <c r="AB3894" s="1"/>
    </row>
    <row r="3895" ht="50.25" customHeight="1">
      <c r="A3895" s="12">
        <v>3891.0</v>
      </c>
      <c r="B3895" s="13" t="s">
        <v>3778</v>
      </c>
      <c r="C3895" s="14" t="s">
        <v>3913</v>
      </c>
      <c r="D3895" s="1"/>
      <c r="E3895" s="1"/>
      <c r="F3895" s="1" t="str">
        <f>IFERROR(__xludf.DUMMYFUNCTION("GOOGLETRANSLATE(B3895, ""en"", ""fa"")
"),"برنامه ریز عروسی")</f>
        <v>برنامه ریز عروسی</v>
      </c>
      <c r="G3895" s="1" t="str">
        <f>IFERROR(__xludf.DUMMYFUNCTION("GOOGLETRANSLATE(C3895, ""en"", ""fa"")
"),"چگونه برنامه ریزان عروسی می توانند به زوج ها کمک کنند تا ملاحظات تدارکاتی گزینه های مختلف مکان را ارزیابی کنند؟")</f>
        <v>چگونه برنامه ریزان عروسی می توانند به زوج ها کمک کنند تا ملاحظات تدارکاتی گزینه های مختلف مکان را ارزیابی کنند؟</v>
      </c>
      <c r="H3895" s="1"/>
      <c r="I3895" s="1"/>
      <c r="J3895" s="1"/>
      <c r="K3895" s="1"/>
      <c r="L3895" s="1"/>
      <c r="M3895" s="1"/>
      <c r="N3895" s="1"/>
      <c r="O3895" s="1"/>
      <c r="P3895" s="1"/>
      <c r="Q3895" s="1"/>
      <c r="R3895" s="1"/>
      <c r="S3895" s="1"/>
      <c r="T3895" s="1"/>
      <c r="U3895" s="1"/>
      <c r="V3895" s="1"/>
      <c r="W3895" s="1"/>
      <c r="X3895" s="1"/>
      <c r="Y3895" s="1"/>
      <c r="Z3895" s="1"/>
      <c r="AA3895" s="1"/>
      <c r="AB3895" s="1"/>
    </row>
    <row r="3896" ht="50.25" customHeight="1">
      <c r="A3896" s="12">
        <v>3892.0</v>
      </c>
      <c r="B3896" s="13" t="s">
        <v>3778</v>
      </c>
      <c r="C3896" s="14" t="s">
        <v>3914</v>
      </c>
      <c r="D3896" s="1"/>
      <c r="E3896" s="1"/>
      <c r="F3896" s="1" t="str">
        <f>IFERROR(__xludf.DUMMYFUNCTION("GOOGLETRANSLATE(B3896, ""en"", ""fa"")
"),"برنامه ریز عروسی")</f>
        <v>برنامه ریز عروسی</v>
      </c>
      <c r="G3896" s="1" t="str">
        <f>IFERROR(__xludf.DUMMYFUNCTION("GOOGLETRANSLATE(C3896, ""en"", ""fa"")
"),"بهترین شیوه ها برای ارزیابی امکانات و خدمات محل برگزاری چیست؟")</f>
        <v>بهترین شیوه ها برای ارزیابی امکانات و خدمات محل برگزاری چیست؟</v>
      </c>
      <c r="H3896" s="1"/>
      <c r="I3896" s="1"/>
      <c r="J3896" s="1"/>
      <c r="K3896" s="1"/>
      <c r="L3896" s="1"/>
      <c r="M3896" s="1"/>
      <c r="N3896" s="1"/>
      <c r="O3896" s="1"/>
      <c r="P3896" s="1"/>
      <c r="Q3896" s="1"/>
      <c r="R3896" s="1"/>
      <c r="S3896" s="1"/>
      <c r="T3896" s="1"/>
      <c r="U3896" s="1"/>
      <c r="V3896" s="1"/>
      <c r="W3896" s="1"/>
      <c r="X3896" s="1"/>
      <c r="Y3896" s="1"/>
      <c r="Z3896" s="1"/>
      <c r="AA3896" s="1"/>
      <c r="AB3896" s="1"/>
    </row>
    <row r="3897" ht="50.25" customHeight="1">
      <c r="A3897" s="12">
        <v>3893.0</v>
      </c>
      <c r="B3897" s="13" t="s">
        <v>3778</v>
      </c>
      <c r="C3897" s="14" t="s">
        <v>3915</v>
      </c>
      <c r="D3897" s="1"/>
      <c r="E3897" s="1"/>
      <c r="F3897" s="1" t="str">
        <f>IFERROR(__xludf.DUMMYFUNCTION("GOOGLETRANSLATE(B3897, ""en"", ""fa"")
"),"برنامه ریز عروسی")</f>
        <v>برنامه ریز عروسی</v>
      </c>
      <c r="G3897" s="1" t="str">
        <f>IFERROR(__xludf.DUMMYFUNCTION("GOOGLETRANSLATE(C3897, ""en"", ""fa"")
"),"ایده هایی برای یافتن مکان های عروسی منحصر به فرد و غیر سنتی که تجربیات متفاوتی را ارائه می دهند به اشتراک بگذارید.")</f>
        <v>ایده هایی برای یافتن مکان های عروسی منحصر به فرد و غیر سنتی که تجربیات متفاوتی را ارائه می دهند به اشتراک بگذارید.</v>
      </c>
      <c r="H3897" s="1"/>
      <c r="I3897" s="1"/>
      <c r="J3897" s="1"/>
      <c r="K3897" s="1"/>
      <c r="L3897" s="1"/>
      <c r="M3897" s="1"/>
      <c r="N3897" s="1"/>
      <c r="O3897" s="1"/>
      <c r="P3897" s="1"/>
      <c r="Q3897" s="1"/>
      <c r="R3897" s="1"/>
      <c r="S3897" s="1"/>
      <c r="T3897" s="1"/>
      <c r="U3897" s="1"/>
      <c r="V3897" s="1"/>
      <c r="W3897" s="1"/>
      <c r="X3897" s="1"/>
      <c r="Y3897" s="1"/>
      <c r="Z3897" s="1"/>
      <c r="AA3897" s="1"/>
      <c r="AB3897" s="1"/>
    </row>
    <row r="3898" ht="50.25" customHeight="1">
      <c r="A3898" s="12">
        <v>3894.0</v>
      </c>
      <c r="B3898" s="13" t="s">
        <v>3778</v>
      </c>
      <c r="C3898" s="14" t="s">
        <v>3916</v>
      </c>
      <c r="D3898" s="1"/>
      <c r="E3898" s="1"/>
      <c r="F3898" s="1" t="str">
        <f>IFERROR(__xludf.DUMMYFUNCTION("GOOGLETRANSLATE(B3898, ""en"", ""fa"")
"),"برنامه ریز عروسی")</f>
        <v>برنامه ریز عروسی</v>
      </c>
      <c r="G3898" s="1" t="str">
        <f>IFERROR(__xludf.DUMMYFUNCTION("GOOGLETRANSLATE(C3898, ""en"", ""fa"")
"),"برنامه ریزان عروسی چگونه می توانند به زوج ها کمک کنند تا تاریخ عروسی مورد علاقه خود را در یک مکان محبوب تضمین کنند؟")</f>
        <v>برنامه ریزان عروسی چگونه می توانند به زوج ها کمک کنند تا تاریخ عروسی مورد علاقه خود را در یک مکان محبوب تضمین کنند؟</v>
      </c>
      <c r="H3898" s="1"/>
      <c r="I3898" s="1"/>
      <c r="J3898" s="1"/>
      <c r="K3898" s="1"/>
      <c r="L3898" s="1"/>
      <c r="M3898" s="1"/>
      <c r="N3898" s="1"/>
      <c r="O3898" s="1"/>
      <c r="P3898" s="1"/>
      <c r="Q3898" s="1"/>
      <c r="R3898" s="1"/>
      <c r="S3898" s="1"/>
      <c r="T3898" s="1"/>
      <c r="U3898" s="1"/>
      <c r="V3898" s="1"/>
      <c r="W3898" s="1"/>
      <c r="X3898" s="1"/>
      <c r="Y3898" s="1"/>
      <c r="Z3898" s="1"/>
      <c r="AA3898" s="1"/>
      <c r="AB3898" s="1"/>
    </row>
    <row r="3899" ht="50.25" customHeight="1">
      <c r="A3899" s="12">
        <v>3895.0</v>
      </c>
      <c r="B3899" s="13" t="s">
        <v>3778</v>
      </c>
      <c r="C3899" s="14" t="s">
        <v>3917</v>
      </c>
      <c r="D3899" s="1"/>
      <c r="E3899" s="1"/>
      <c r="F3899" s="1" t="str">
        <f>IFERROR(__xludf.DUMMYFUNCTION("GOOGLETRANSLATE(B3899, ""en"", ""fa"")
"),"برنامه ریز عروسی")</f>
        <v>برنامه ریز عروسی</v>
      </c>
      <c r="G3899" s="1" t="str">
        <f>IFERROR(__xludf.DUMMYFUNCTION("GOOGLETRANSLATE(C3899, ""en"", ""fa"")
"),"ملاحظات کلیدی برای انتخاب بین سالن های عروسی داخلی و خارجی چیست؟")</f>
        <v>ملاحظات کلیدی برای انتخاب بین سالن های عروسی داخلی و خارجی چیست؟</v>
      </c>
      <c r="H3899" s="1"/>
      <c r="I3899" s="1"/>
      <c r="J3899" s="1"/>
      <c r="K3899" s="1"/>
      <c r="L3899" s="1"/>
      <c r="M3899" s="1"/>
      <c r="N3899" s="1"/>
      <c r="O3899" s="1"/>
      <c r="P3899" s="1"/>
      <c r="Q3899" s="1"/>
      <c r="R3899" s="1"/>
      <c r="S3899" s="1"/>
      <c r="T3899" s="1"/>
      <c r="U3899" s="1"/>
      <c r="V3899" s="1"/>
      <c r="W3899" s="1"/>
      <c r="X3899" s="1"/>
      <c r="Y3899" s="1"/>
      <c r="Z3899" s="1"/>
      <c r="AA3899" s="1"/>
      <c r="AB3899" s="1"/>
    </row>
    <row r="3900" ht="50.25" customHeight="1">
      <c r="A3900" s="12">
        <v>3896.0</v>
      </c>
      <c r="B3900" s="13" t="s">
        <v>3778</v>
      </c>
      <c r="C3900" s="14" t="s">
        <v>3918</v>
      </c>
      <c r="D3900" s="1"/>
      <c r="E3900" s="1"/>
      <c r="F3900" s="1" t="str">
        <f>IFERROR(__xludf.DUMMYFUNCTION("GOOGLETRANSLATE(B3900, ""en"", ""fa"")
"),"برنامه ریز عروسی")</f>
        <v>برنامه ریز عروسی</v>
      </c>
      <c r="G3900" s="1" t="str">
        <f>IFERROR(__xludf.DUMMYFUNCTION("GOOGLETRANSLATE(C3900, ""en"", ""fa"")
"),"نکاتی را برای انتخاب مکان عروسی که می تواند سنت های فرهنگی یا مذهبی خاصی را در خود جای دهد به اشتراک بگذارید.")</f>
        <v>نکاتی را برای انتخاب مکان عروسی که می تواند سنت های فرهنگی یا مذهبی خاصی را در خود جای دهد به اشتراک بگذارید.</v>
      </c>
      <c r="H3900" s="1"/>
      <c r="I3900" s="1"/>
      <c r="J3900" s="1"/>
      <c r="K3900" s="1"/>
      <c r="L3900" s="1"/>
      <c r="M3900" s="1"/>
      <c r="N3900" s="1"/>
      <c r="O3900" s="1"/>
      <c r="P3900" s="1"/>
      <c r="Q3900" s="1"/>
      <c r="R3900" s="1"/>
      <c r="S3900" s="1"/>
      <c r="T3900" s="1"/>
      <c r="U3900" s="1"/>
      <c r="V3900" s="1"/>
      <c r="W3900" s="1"/>
      <c r="X3900" s="1"/>
      <c r="Y3900" s="1"/>
      <c r="Z3900" s="1"/>
      <c r="AA3900" s="1"/>
      <c r="AB3900" s="1"/>
    </row>
    <row r="3901" ht="50.25" customHeight="1">
      <c r="A3901" s="12">
        <v>3897.0</v>
      </c>
      <c r="B3901" s="13" t="s">
        <v>3778</v>
      </c>
      <c r="C3901" s="14" t="s">
        <v>3919</v>
      </c>
      <c r="D3901" s="1"/>
      <c r="E3901" s="1"/>
      <c r="F3901" s="1" t="str">
        <f>IFERROR(__xludf.DUMMYFUNCTION("GOOGLETRANSLATE(B3901, ""en"", ""fa"")
"),"برنامه ریز عروسی")</f>
        <v>برنامه ریز عروسی</v>
      </c>
      <c r="G3901" s="1" t="str">
        <f>IFERROR(__xludf.DUMMYFUNCTION("GOOGLETRANSLATE(C3901, ""en"", ""fa"")
"),"چگونه برنامه ریزان عروسی می توانند به زوج ها کمک کنند تا دسترسی و راحتی مکان های بالقوه را برای مهمانان خود ارزیابی کنند؟")</f>
        <v>چگونه برنامه ریزان عروسی می توانند به زوج ها کمک کنند تا دسترسی و راحتی مکان های بالقوه را برای مهمانان خود ارزیابی کنند؟</v>
      </c>
      <c r="H3901" s="1"/>
      <c r="I3901" s="1"/>
      <c r="J3901" s="1"/>
      <c r="K3901" s="1"/>
      <c r="L3901" s="1"/>
      <c r="M3901" s="1"/>
      <c r="N3901" s="1"/>
      <c r="O3901" s="1"/>
      <c r="P3901" s="1"/>
      <c r="Q3901" s="1"/>
      <c r="R3901" s="1"/>
      <c r="S3901" s="1"/>
      <c r="T3901" s="1"/>
      <c r="U3901" s="1"/>
      <c r="V3901" s="1"/>
      <c r="W3901" s="1"/>
      <c r="X3901" s="1"/>
      <c r="Y3901" s="1"/>
      <c r="Z3901" s="1"/>
      <c r="AA3901" s="1"/>
      <c r="AB3901" s="1"/>
    </row>
    <row r="3902" ht="50.25" customHeight="1">
      <c r="A3902" s="12">
        <v>3898.0</v>
      </c>
      <c r="B3902" s="13" t="s">
        <v>3778</v>
      </c>
      <c r="C3902" s="14" t="s">
        <v>3920</v>
      </c>
      <c r="D3902" s="1"/>
      <c r="E3902" s="1"/>
      <c r="F3902" s="1" t="str">
        <f>IFERROR(__xludf.DUMMYFUNCTION("GOOGLETRANSLATE(B3902, ""en"", ""fa"")
"),"برنامه ریز عروسی")</f>
        <v>برنامه ریز عروسی</v>
      </c>
      <c r="G3902" s="1" t="str">
        <f>IFERROR(__xludf.DUMMYFUNCTION("GOOGLETRANSLATE(C3902, ""en"", ""fa"")
"),"هنگام ارزیابی گزینه های پارکینگ و حمل و نقل در یک مکان عروسی چه عواملی ضروری است؟")</f>
        <v>هنگام ارزیابی گزینه های پارکینگ و حمل و نقل در یک مکان عروسی چه عواملی ضروری است؟</v>
      </c>
      <c r="H3902" s="1"/>
      <c r="I3902" s="1"/>
      <c r="J3902" s="1"/>
      <c r="K3902" s="1"/>
      <c r="L3902" s="1"/>
      <c r="M3902" s="1"/>
      <c r="N3902" s="1"/>
      <c r="O3902" s="1"/>
      <c r="P3902" s="1"/>
      <c r="Q3902" s="1"/>
      <c r="R3902" s="1"/>
      <c r="S3902" s="1"/>
      <c r="T3902" s="1"/>
      <c r="U3902" s="1"/>
      <c r="V3902" s="1"/>
      <c r="W3902" s="1"/>
      <c r="X3902" s="1"/>
      <c r="Y3902" s="1"/>
      <c r="Z3902" s="1"/>
      <c r="AA3902" s="1"/>
      <c r="AB3902" s="1"/>
    </row>
    <row r="3903" ht="50.25" customHeight="1">
      <c r="A3903" s="12">
        <v>3899.0</v>
      </c>
      <c r="B3903" s="13" t="s">
        <v>3778</v>
      </c>
      <c r="C3903" s="14" t="s">
        <v>3921</v>
      </c>
      <c r="D3903" s="1"/>
      <c r="E3903" s="1"/>
      <c r="F3903" s="1" t="str">
        <f>IFERROR(__xludf.DUMMYFUNCTION("GOOGLETRANSLATE(B3903, ""en"", ""fa"")
"),"برنامه ریز عروسی")</f>
        <v>برنامه ریز عروسی</v>
      </c>
      <c r="G3903" s="1" t="str">
        <f>IFERROR(__xludf.DUMMYFUNCTION("GOOGLETRANSLATE(C3903, ""en"", ""fa"")
"),"برخی از استراتژی‌ها را برای ارزیابی گزینه‌های انعطاف‌پذیری و سفارشی‌سازی ارائه شده توسط مکان‌های مختلف به اشتراک بگذارید.")</f>
        <v>برخی از استراتژی‌ها را برای ارزیابی گزینه‌های انعطاف‌پذیری و سفارشی‌سازی ارائه شده توسط مکان‌های مختلف به اشتراک بگذارید.</v>
      </c>
      <c r="H3903" s="1"/>
      <c r="I3903" s="1"/>
      <c r="J3903" s="1"/>
      <c r="K3903" s="1"/>
      <c r="L3903" s="1"/>
      <c r="M3903" s="1"/>
      <c r="N3903" s="1"/>
      <c r="O3903" s="1"/>
      <c r="P3903" s="1"/>
      <c r="Q3903" s="1"/>
      <c r="R3903" s="1"/>
      <c r="S3903" s="1"/>
      <c r="T3903" s="1"/>
      <c r="U3903" s="1"/>
      <c r="V3903" s="1"/>
      <c r="W3903" s="1"/>
      <c r="X3903" s="1"/>
      <c r="Y3903" s="1"/>
      <c r="Z3903" s="1"/>
      <c r="AA3903" s="1"/>
      <c r="AB3903" s="1"/>
    </row>
    <row r="3904" ht="50.25" customHeight="1">
      <c r="A3904" s="12">
        <v>3900.0</v>
      </c>
      <c r="B3904" s="13" t="s">
        <v>3778</v>
      </c>
      <c r="C3904" s="14" t="s">
        <v>3922</v>
      </c>
      <c r="D3904" s="1"/>
      <c r="E3904" s="1"/>
      <c r="F3904" s="1" t="str">
        <f>IFERROR(__xludf.DUMMYFUNCTION("GOOGLETRANSLATE(B3904, ""en"", ""fa"")
"),"برنامه ریز عروسی")</f>
        <v>برنامه ریز عروسی</v>
      </c>
      <c r="G3904" s="1" t="str">
        <f>IFERROR(__xludf.DUMMYFUNCTION("GOOGLETRANSLATE(C3904, ""en"", ""fa"")
"),"چگونه زوج ها می توانند تعیین کنند که آیا یک مکان خاص عروسی منعکس کننده محیط و فضای مورد نظر آنها است؟")</f>
        <v>چگونه زوج ها می توانند تعیین کنند که آیا یک مکان خاص عروسی منعکس کننده محیط و فضای مورد نظر آنها است؟</v>
      </c>
      <c r="H3904" s="1"/>
      <c r="I3904" s="1"/>
      <c r="J3904" s="1"/>
      <c r="K3904" s="1"/>
      <c r="L3904" s="1"/>
      <c r="M3904" s="1"/>
      <c r="N3904" s="1"/>
      <c r="O3904" s="1"/>
      <c r="P3904" s="1"/>
      <c r="Q3904" s="1"/>
      <c r="R3904" s="1"/>
      <c r="S3904" s="1"/>
      <c r="T3904" s="1"/>
      <c r="U3904" s="1"/>
      <c r="V3904" s="1"/>
      <c r="W3904" s="1"/>
      <c r="X3904" s="1"/>
      <c r="Y3904" s="1"/>
      <c r="Z3904" s="1"/>
      <c r="AA3904" s="1"/>
      <c r="AB3904" s="1"/>
    </row>
    <row r="3905" ht="50.25" customHeight="1">
      <c r="A3905" s="12">
        <v>3901.0</v>
      </c>
      <c r="B3905" s="13" t="s">
        <v>3778</v>
      </c>
      <c r="C3905" s="14" t="s">
        <v>3923</v>
      </c>
      <c r="D3905" s="1"/>
      <c r="E3905" s="1"/>
      <c r="F3905" s="1" t="str">
        <f>IFERROR(__xludf.DUMMYFUNCTION("GOOGLETRANSLATE(B3905, ""en"", ""fa"")
"),"برنامه ریز عروسی")</f>
        <v>برنامه ریز عروسی</v>
      </c>
      <c r="G3905" s="1" t="str">
        <f>IFERROR(__xludf.DUMMYFUNCTION("GOOGLETRANSLATE(C3905, ""en"", ""fa"")
"),"بهترین روش ها برای بررسی و مذاکره قرارداد با مکان های عروسی چیست؟")</f>
        <v>بهترین روش ها برای بررسی و مذاکره قرارداد با مکان های عروسی چیست؟</v>
      </c>
      <c r="H3905" s="1"/>
      <c r="I3905" s="1"/>
      <c r="J3905" s="1"/>
      <c r="K3905" s="1"/>
      <c r="L3905" s="1"/>
      <c r="M3905" s="1"/>
      <c r="N3905" s="1"/>
      <c r="O3905" s="1"/>
      <c r="P3905" s="1"/>
      <c r="Q3905" s="1"/>
      <c r="R3905" s="1"/>
      <c r="S3905" s="1"/>
      <c r="T3905" s="1"/>
      <c r="U3905" s="1"/>
      <c r="V3905" s="1"/>
      <c r="W3905" s="1"/>
      <c r="X3905" s="1"/>
      <c r="Y3905" s="1"/>
      <c r="Z3905" s="1"/>
      <c r="AA3905" s="1"/>
      <c r="AB3905" s="1"/>
    </row>
    <row r="3906" ht="50.25" customHeight="1">
      <c r="A3906" s="12">
        <v>3902.0</v>
      </c>
      <c r="B3906" s="13" t="s">
        <v>3778</v>
      </c>
      <c r="C3906" s="14" t="s">
        <v>3924</v>
      </c>
      <c r="D3906" s="1"/>
      <c r="E3906" s="1"/>
      <c r="F3906" s="1" t="str">
        <f>IFERROR(__xludf.DUMMYFUNCTION("GOOGLETRANSLATE(B3906, ""en"", ""fa"")
"),"برنامه ریز عروسی")</f>
        <v>برنامه ریز عروسی</v>
      </c>
      <c r="G3906" s="1" t="str">
        <f>IFERROR(__xludf.DUMMYFUNCTION("GOOGLETRANSLATE(C3906, ""en"", ""fa"")
"),"ایده هایی برای ترکیب دکوراسیون منحصر به فرد و لمس شخصی در انواع مختلف مکان های عروسی به اشتراک بگذارید.")</f>
        <v>ایده هایی برای ترکیب دکوراسیون منحصر به فرد و لمس شخصی در انواع مختلف مکان های عروسی به اشتراک بگذارید.</v>
      </c>
      <c r="H3906" s="1"/>
      <c r="I3906" s="1"/>
      <c r="J3906" s="1"/>
      <c r="K3906" s="1"/>
      <c r="L3906" s="1"/>
      <c r="M3906" s="1"/>
      <c r="N3906" s="1"/>
      <c r="O3906" s="1"/>
      <c r="P3906" s="1"/>
      <c r="Q3906" s="1"/>
      <c r="R3906" s="1"/>
      <c r="S3906" s="1"/>
      <c r="T3906" s="1"/>
      <c r="U3906" s="1"/>
      <c r="V3906" s="1"/>
      <c r="W3906" s="1"/>
      <c r="X3906" s="1"/>
      <c r="Y3906" s="1"/>
      <c r="Z3906" s="1"/>
      <c r="AA3906" s="1"/>
      <c r="AB3906" s="1"/>
    </row>
    <row r="3907" ht="50.25" customHeight="1">
      <c r="A3907" s="12">
        <v>3903.0</v>
      </c>
      <c r="B3907" s="13" t="s">
        <v>3778</v>
      </c>
      <c r="C3907" s="14" t="s">
        <v>3925</v>
      </c>
      <c r="D3907" s="1"/>
      <c r="E3907" s="1"/>
      <c r="F3907" s="1" t="str">
        <f>IFERROR(__xludf.DUMMYFUNCTION("GOOGLETRANSLATE(B3907, ""en"", ""fa"")
"),"برنامه ریز عروسی")</f>
        <v>برنامه ریز عروسی</v>
      </c>
      <c r="G3907" s="1" t="str">
        <f>IFERROR(__xludf.DUMMYFUNCTION("GOOGLETRANSLATE(C3907, ""en"", ""fa"")
"),"برنامه ریزان عروسی چگونه می توانند به زوج ها در درک و رعایت سیاست ها و محدودیت های محل برگزاری کمک کنند؟")</f>
        <v>برنامه ریزان عروسی چگونه می توانند به زوج ها در درک و رعایت سیاست ها و محدودیت های محل برگزاری کمک کنند؟</v>
      </c>
      <c r="H3907" s="1"/>
      <c r="I3907" s="1"/>
      <c r="J3907" s="1"/>
      <c r="K3907" s="1"/>
      <c r="L3907" s="1"/>
      <c r="M3907" s="1"/>
      <c r="N3907" s="1"/>
      <c r="O3907" s="1"/>
      <c r="P3907" s="1"/>
      <c r="Q3907" s="1"/>
      <c r="R3907" s="1"/>
      <c r="S3907" s="1"/>
      <c r="T3907" s="1"/>
      <c r="U3907" s="1"/>
      <c r="V3907" s="1"/>
      <c r="W3907" s="1"/>
      <c r="X3907" s="1"/>
      <c r="Y3907" s="1"/>
      <c r="Z3907" s="1"/>
      <c r="AA3907" s="1"/>
      <c r="AB3907" s="1"/>
    </row>
    <row r="3908" ht="50.25" customHeight="1">
      <c r="A3908" s="12">
        <v>3904.0</v>
      </c>
      <c r="B3908" s="13" t="s">
        <v>3778</v>
      </c>
      <c r="C3908" s="14" t="s">
        <v>3926</v>
      </c>
      <c r="D3908" s="1"/>
      <c r="E3908" s="1"/>
      <c r="F3908" s="1" t="str">
        <f>IFERROR(__xludf.DUMMYFUNCTION("GOOGLETRANSLATE(B3908, ""en"", ""fa"")
"),"برنامه ریز عروسی")</f>
        <v>برنامه ریز عروسی</v>
      </c>
      <c r="G3908" s="1" t="str">
        <f>IFERROR(__xludf.DUMMYFUNCTION("GOOGLETRANSLATE(C3908, ""en"", ""fa"")
"),"ملاحظات کلیدی برای انتخاب بین مکان های عروسی همه جانبه و گزینه های à la carte چیست؟")</f>
        <v>ملاحظات کلیدی برای انتخاب بین مکان های عروسی همه جانبه و گزینه های à la carte چیست؟</v>
      </c>
      <c r="H3908" s="1"/>
      <c r="I3908" s="1"/>
      <c r="J3908" s="1"/>
      <c r="K3908" s="1"/>
      <c r="L3908" s="1"/>
      <c r="M3908" s="1"/>
      <c r="N3908" s="1"/>
      <c r="O3908" s="1"/>
      <c r="P3908" s="1"/>
      <c r="Q3908" s="1"/>
      <c r="R3908" s="1"/>
      <c r="S3908" s="1"/>
      <c r="T3908" s="1"/>
      <c r="U3908" s="1"/>
      <c r="V3908" s="1"/>
      <c r="W3908" s="1"/>
      <c r="X3908" s="1"/>
      <c r="Y3908" s="1"/>
      <c r="Z3908" s="1"/>
      <c r="AA3908" s="1"/>
      <c r="AB3908" s="1"/>
    </row>
    <row r="3909" ht="50.25" customHeight="1">
      <c r="A3909" s="12">
        <v>3905.0</v>
      </c>
      <c r="B3909" s="13" t="s">
        <v>3778</v>
      </c>
      <c r="C3909" s="14" t="s">
        <v>3927</v>
      </c>
      <c r="D3909" s="1"/>
      <c r="E3909" s="1"/>
      <c r="F3909" s="1" t="str">
        <f>IFERROR(__xludf.DUMMYFUNCTION("GOOGLETRANSLATE(B3909, ""en"", ""fa"")
"),"برنامه ریز عروسی")</f>
        <v>برنامه ریز عروسی</v>
      </c>
      <c r="G3909" s="1" t="str">
        <f>IFERROR(__xludf.DUMMYFUNCTION("GOOGLETRANSLATE(C3909, ""en"", ""fa"")
"),"نکاتی را برای ارزیابی قابلیت‌های صوتی و سمعی بصری مکان‌های عروسی بالقوه به اشتراک بگذارید.")</f>
        <v>نکاتی را برای ارزیابی قابلیت‌های صوتی و سمعی بصری مکان‌های عروسی بالقوه به اشتراک بگذارید.</v>
      </c>
      <c r="H3909" s="1"/>
      <c r="I3909" s="1"/>
      <c r="J3909" s="1"/>
      <c r="K3909" s="1"/>
      <c r="L3909" s="1"/>
      <c r="M3909" s="1"/>
      <c r="N3909" s="1"/>
      <c r="O3909" s="1"/>
      <c r="P3909" s="1"/>
      <c r="Q3909" s="1"/>
      <c r="R3909" s="1"/>
      <c r="S3909" s="1"/>
      <c r="T3909" s="1"/>
      <c r="U3909" s="1"/>
      <c r="V3909" s="1"/>
      <c r="W3909" s="1"/>
      <c r="X3909" s="1"/>
      <c r="Y3909" s="1"/>
      <c r="Z3909" s="1"/>
      <c r="AA3909" s="1"/>
      <c r="AB3909" s="1"/>
    </row>
    <row r="3910" ht="50.25" customHeight="1">
      <c r="A3910" s="12">
        <v>3906.0</v>
      </c>
      <c r="B3910" s="13" t="s">
        <v>3778</v>
      </c>
      <c r="C3910" s="14" t="s">
        <v>3928</v>
      </c>
      <c r="D3910" s="1"/>
      <c r="E3910" s="1"/>
      <c r="F3910" s="1" t="str">
        <f>IFERROR(__xludf.DUMMYFUNCTION("GOOGLETRANSLATE(B3910, ""en"", ""fa"")
"),"برنامه ریز عروسی")</f>
        <v>برنامه ریز عروسی</v>
      </c>
      <c r="G3910" s="1" t="str">
        <f>IFERROR(__xludf.DUMMYFUNCTION("GOOGLETRANSLATE(C3910, ""en"", ""fa"")
"),"چگونه زوج‌ها می‌توانند نور طبیعی و زیبایی کلی فضاهای مختلف سالن را ارزیابی کنند؟")</f>
        <v>چگونه زوج‌ها می‌توانند نور طبیعی و زیبایی کلی فضاهای مختلف سالن را ارزیابی کنند؟</v>
      </c>
      <c r="H3910" s="1"/>
      <c r="I3910" s="1"/>
      <c r="J3910" s="1"/>
      <c r="K3910" s="1"/>
      <c r="L3910" s="1"/>
      <c r="M3910" s="1"/>
      <c r="N3910" s="1"/>
      <c r="O3910" s="1"/>
      <c r="P3910" s="1"/>
      <c r="Q3910" s="1"/>
      <c r="R3910" s="1"/>
      <c r="S3910" s="1"/>
      <c r="T3910" s="1"/>
      <c r="U3910" s="1"/>
      <c r="V3910" s="1"/>
      <c r="W3910" s="1"/>
      <c r="X3910" s="1"/>
      <c r="Y3910" s="1"/>
      <c r="Z3910" s="1"/>
      <c r="AA3910" s="1"/>
      <c r="AB3910" s="1"/>
    </row>
    <row r="3911" ht="50.25" customHeight="1">
      <c r="A3911" s="12">
        <v>3907.0</v>
      </c>
      <c r="B3911" s="13" t="s">
        <v>3778</v>
      </c>
      <c r="C3911" s="14" t="s">
        <v>3929</v>
      </c>
      <c r="D3911" s="1"/>
      <c r="E3911" s="1"/>
      <c r="F3911" s="1" t="str">
        <f>IFERROR(__xludf.DUMMYFUNCTION("GOOGLETRANSLATE(B3911, ""en"", ""fa"")
"),"برنامه ریز عروسی")</f>
        <v>برنامه ریز عروسی</v>
      </c>
      <c r="G3911" s="1" t="str">
        <f>IFERROR(__xludf.DUMMYFUNCTION("GOOGLETRANSLATE(C3911, ""en"", ""fa"")
"),"هنگام ارزیابی امکانات سرویس بهداشتی در یک مکان عروسی چه عواملی ضروری است؟")</f>
        <v>هنگام ارزیابی امکانات سرویس بهداشتی در یک مکان عروسی چه عواملی ضروری است؟</v>
      </c>
      <c r="H3911" s="1"/>
      <c r="I3911" s="1"/>
      <c r="J3911" s="1"/>
      <c r="K3911" s="1"/>
      <c r="L3911" s="1"/>
      <c r="M3911" s="1"/>
      <c r="N3911" s="1"/>
      <c r="O3911" s="1"/>
      <c r="P3911" s="1"/>
      <c r="Q3911" s="1"/>
      <c r="R3911" s="1"/>
      <c r="S3911" s="1"/>
      <c r="T3911" s="1"/>
      <c r="U3911" s="1"/>
      <c r="V3911" s="1"/>
      <c r="W3911" s="1"/>
      <c r="X3911" s="1"/>
      <c r="Y3911" s="1"/>
      <c r="Z3911" s="1"/>
      <c r="AA3911" s="1"/>
      <c r="AB3911" s="1"/>
    </row>
    <row r="3912" ht="50.25" customHeight="1">
      <c r="A3912" s="12">
        <v>3908.0</v>
      </c>
      <c r="B3912" s="13" t="s">
        <v>3778</v>
      </c>
      <c r="C3912" s="14" t="s">
        <v>3930</v>
      </c>
      <c r="D3912" s="1"/>
      <c r="E3912" s="1"/>
      <c r="F3912" s="1" t="str">
        <f>IFERROR(__xludf.DUMMYFUNCTION("GOOGLETRANSLATE(B3912, ""en"", ""fa"")
"),"برنامه ریز عروسی")</f>
        <v>برنامه ریز عروسی</v>
      </c>
      <c r="G3912" s="1" t="str">
        <f>IFERROR(__xludf.DUMMYFUNCTION("GOOGLETRANSLATE(C3912, ""en"", ""fa"")
"),"چند استراتژی برای ارزیابی در دسترس بودن و مناسب بودن اقامتگاه های نزدیک برای مهمانان خارج از شهر به اشتراک بگذارید.")</f>
        <v>چند استراتژی برای ارزیابی در دسترس بودن و مناسب بودن اقامتگاه های نزدیک برای مهمانان خارج از شهر به اشتراک بگذارید.</v>
      </c>
      <c r="H3912" s="1"/>
      <c r="I3912" s="1"/>
      <c r="J3912" s="1"/>
      <c r="K3912" s="1"/>
      <c r="L3912" s="1"/>
      <c r="M3912" s="1"/>
      <c r="N3912" s="1"/>
      <c r="O3912" s="1"/>
      <c r="P3912" s="1"/>
      <c r="Q3912" s="1"/>
      <c r="R3912" s="1"/>
      <c r="S3912" s="1"/>
      <c r="T3912" s="1"/>
      <c r="U3912" s="1"/>
      <c r="V3912" s="1"/>
      <c r="W3912" s="1"/>
      <c r="X3912" s="1"/>
      <c r="Y3912" s="1"/>
      <c r="Z3912" s="1"/>
      <c r="AA3912" s="1"/>
      <c r="AB3912" s="1"/>
    </row>
    <row r="3913" ht="50.25" customHeight="1">
      <c r="A3913" s="12">
        <v>3909.0</v>
      </c>
      <c r="B3913" s="13" t="s">
        <v>3778</v>
      </c>
      <c r="C3913" s="14" t="s">
        <v>3931</v>
      </c>
      <c r="D3913" s="1"/>
      <c r="E3913" s="1"/>
      <c r="F3913" s="1" t="str">
        <f>IFERROR(__xludf.DUMMYFUNCTION("GOOGLETRANSLATE(B3913, ""en"", ""fa"")
"),"برنامه ریز عروسی")</f>
        <v>برنامه ریز عروسی</v>
      </c>
      <c r="G3913" s="1" t="str">
        <f>IFERROR(__xludf.DUMMYFUNCTION("GOOGLETRANSLATE(C3913, ""en"", ""fa"")
"),"چگونه برنامه ریزان عروسی می توانند به زوج ها کمک کنند تا چیدمان و جریان محل برگزاری را برای فعالیت های مختلف عروسی ارزیابی کنند؟")</f>
        <v>چگونه برنامه ریزان عروسی می توانند به زوج ها کمک کنند تا چیدمان و جریان محل برگزاری را برای فعالیت های مختلف عروسی ارزیابی کنند؟</v>
      </c>
      <c r="H3913" s="1"/>
      <c r="I3913" s="1"/>
      <c r="J3913" s="1"/>
      <c r="K3913" s="1"/>
      <c r="L3913" s="1"/>
      <c r="M3913" s="1"/>
      <c r="N3913" s="1"/>
      <c r="O3913" s="1"/>
      <c r="P3913" s="1"/>
      <c r="Q3913" s="1"/>
      <c r="R3913" s="1"/>
      <c r="S3913" s="1"/>
      <c r="T3913" s="1"/>
      <c r="U3913" s="1"/>
      <c r="V3913" s="1"/>
      <c r="W3913" s="1"/>
      <c r="X3913" s="1"/>
      <c r="Y3913" s="1"/>
      <c r="Z3913" s="1"/>
      <c r="AA3913" s="1"/>
      <c r="AB3913" s="1"/>
    </row>
    <row r="3914" ht="50.25" customHeight="1">
      <c r="A3914" s="12">
        <v>3910.0</v>
      </c>
      <c r="B3914" s="13" t="s">
        <v>3778</v>
      </c>
      <c r="C3914" s="14" t="s">
        <v>3932</v>
      </c>
      <c r="D3914" s="1"/>
      <c r="E3914" s="1"/>
      <c r="F3914" s="1" t="str">
        <f>IFERROR(__xludf.DUMMYFUNCTION("GOOGLETRANSLATE(B3914, ""en"", ""fa"")
"),"برنامه ریز عروسی")</f>
        <v>برنامه ریز عروسی</v>
      </c>
      <c r="G3914" s="1" t="str">
        <f>IFERROR(__xludf.DUMMYFUNCTION("GOOGLETRANSLATE(C3914, ""en"", ""fa"")
"),"ملاحظات کلیدی برای انتخاب یک مکان عروسی که با موضوع یا مفهوم مورد نظر زوج هماهنگ باشد چیست؟")</f>
        <v>ملاحظات کلیدی برای انتخاب یک مکان عروسی که با موضوع یا مفهوم مورد نظر زوج هماهنگ باشد چیست؟</v>
      </c>
      <c r="H3914" s="1"/>
      <c r="I3914" s="1"/>
      <c r="J3914" s="1"/>
      <c r="K3914" s="1"/>
      <c r="L3914" s="1"/>
      <c r="M3914" s="1"/>
      <c r="N3914" s="1"/>
      <c r="O3914" s="1"/>
      <c r="P3914" s="1"/>
      <c r="Q3914" s="1"/>
      <c r="R3914" s="1"/>
      <c r="S3914" s="1"/>
      <c r="T3914" s="1"/>
      <c r="U3914" s="1"/>
      <c r="V3914" s="1"/>
      <c r="W3914" s="1"/>
      <c r="X3914" s="1"/>
      <c r="Y3914" s="1"/>
      <c r="Z3914" s="1"/>
      <c r="AA3914" s="1"/>
      <c r="AB3914" s="1"/>
    </row>
    <row r="3915" ht="50.25" customHeight="1">
      <c r="A3915" s="12">
        <v>3911.0</v>
      </c>
      <c r="B3915" s="13" t="s">
        <v>3778</v>
      </c>
      <c r="C3915" s="14" t="s">
        <v>3933</v>
      </c>
      <c r="D3915" s="1"/>
      <c r="E3915" s="1"/>
      <c r="F3915" s="1" t="str">
        <f>IFERROR(__xludf.DUMMYFUNCTION("GOOGLETRANSLATE(B3915, ""en"", ""fa"")
"),"برنامه ریز عروسی")</f>
        <v>برنامه ریز عروسی</v>
      </c>
      <c r="G3915" s="1" t="str">
        <f>IFERROR(__xludf.DUMMYFUNCTION("GOOGLETRANSLATE(C3915, ""en"", ""fa"")
"),"ایده هایی برای یافتن مکان های عروسی که پس زمینه های خیره کننده و فرصت های عکس را ارائه می دهند به اشتراک بگذارید.")</f>
        <v>ایده هایی برای یافتن مکان های عروسی که پس زمینه های خیره کننده و فرصت های عکس را ارائه می دهند به اشتراک بگذارید.</v>
      </c>
      <c r="H3915" s="1"/>
      <c r="I3915" s="1"/>
      <c r="J3915" s="1"/>
      <c r="K3915" s="1"/>
      <c r="L3915" s="1"/>
      <c r="M3915" s="1"/>
      <c r="N3915" s="1"/>
      <c r="O3915" s="1"/>
      <c r="P3915" s="1"/>
      <c r="Q3915" s="1"/>
      <c r="R3915" s="1"/>
      <c r="S3915" s="1"/>
      <c r="T3915" s="1"/>
      <c r="U3915" s="1"/>
      <c r="V3915" s="1"/>
      <c r="W3915" s="1"/>
      <c r="X3915" s="1"/>
      <c r="Y3915" s="1"/>
      <c r="Z3915" s="1"/>
      <c r="AA3915" s="1"/>
      <c r="AB3915" s="1"/>
    </row>
    <row r="3916" ht="50.25" customHeight="1">
      <c r="A3916" s="12">
        <v>3912.0</v>
      </c>
      <c r="B3916" s="13" t="s">
        <v>3778</v>
      </c>
      <c r="C3916" s="14" t="s">
        <v>3934</v>
      </c>
      <c r="D3916" s="1"/>
      <c r="E3916" s="1"/>
      <c r="F3916" s="1" t="str">
        <f>IFERROR(__xludf.DUMMYFUNCTION("GOOGLETRANSLATE(B3916, ""en"", ""fa"")
"),"برنامه ریز عروسی")</f>
        <v>برنامه ریز عروسی</v>
      </c>
      <c r="G3916" s="1" t="str">
        <f>IFERROR(__xludf.DUMMYFUNCTION("GOOGLETRANSLATE(C3916, ""en"", ""fa"")
"),"چگونه زوج‌ها می‌توانند اقدامات امنیتی و حفظ حریم خصوصی را در مکان‌های احتمالی عروسی ارزیابی کنند؟")</f>
        <v>چگونه زوج‌ها می‌توانند اقدامات امنیتی و حفظ حریم خصوصی را در مکان‌های احتمالی عروسی ارزیابی کنند؟</v>
      </c>
      <c r="H3916" s="1"/>
      <c r="I3916" s="1"/>
      <c r="J3916" s="1"/>
      <c r="K3916" s="1"/>
      <c r="L3916" s="1"/>
      <c r="M3916" s="1"/>
      <c r="N3916" s="1"/>
      <c r="O3916" s="1"/>
      <c r="P3916" s="1"/>
      <c r="Q3916" s="1"/>
      <c r="R3916" s="1"/>
      <c r="S3916" s="1"/>
      <c r="T3916" s="1"/>
      <c r="U3916" s="1"/>
      <c r="V3916" s="1"/>
      <c r="W3916" s="1"/>
      <c r="X3916" s="1"/>
      <c r="Y3916" s="1"/>
      <c r="Z3916" s="1"/>
      <c r="AA3916" s="1"/>
      <c r="AB3916" s="1"/>
    </row>
    <row r="3917" ht="50.25" customHeight="1">
      <c r="A3917" s="12">
        <v>3913.0</v>
      </c>
      <c r="B3917" s="13" t="s">
        <v>3778</v>
      </c>
      <c r="C3917" s="14" t="s">
        <v>3935</v>
      </c>
      <c r="D3917" s="1"/>
      <c r="E3917" s="1"/>
      <c r="F3917" s="1" t="str">
        <f>IFERROR(__xludf.DUMMYFUNCTION("GOOGLETRANSLATE(B3917, ""en"", ""fa"")
"),"برنامه ریز عروسی")</f>
        <v>برنامه ریز عروسی</v>
      </c>
      <c r="G3917" s="1" t="str">
        <f>IFERROR(__xludf.DUMMYFUNCTION("GOOGLETRANSLATE(C3917, ""en"", ""fa"")
"),"بهترین روش ها برای ارزیابی دسترسی و فراگیر بودن مکان های مختلف عروسی چیست؟")</f>
        <v>بهترین روش ها برای ارزیابی دسترسی و فراگیر بودن مکان های مختلف عروسی چیست؟</v>
      </c>
      <c r="H3917" s="1"/>
      <c r="I3917" s="1"/>
      <c r="J3917" s="1"/>
      <c r="K3917" s="1"/>
      <c r="L3917" s="1"/>
      <c r="M3917" s="1"/>
      <c r="N3917" s="1"/>
      <c r="O3917" s="1"/>
      <c r="P3917" s="1"/>
      <c r="Q3917" s="1"/>
      <c r="R3917" s="1"/>
      <c r="S3917" s="1"/>
      <c r="T3917" s="1"/>
      <c r="U3917" s="1"/>
      <c r="V3917" s="1"/>
      <c r="W3917" s="1"/>
      <c r="X3917" s="1"/>
      <c r="Y3917" s="1"/>
      <c r="Z3917" s="1"/>
      <c r="AA3917" s="1"/>
      <c r="AB3917" s="1"/>
    </row>
    <row r="3918" ht="50.25" customHeight="1">
      <c r="A3918" s="12">
        <v>3914.0</v>
      </c>
      <c r="B3918" s="13" t="s">
        <v>3778</v>
      </c>
      <c r="C3918" s="14" t="s">
        <v>3936</v>
      </c>
      <c r="D3918" s="1"/>
      <c r="E3918" s="1"/>
      <c r="F3918" s="1" t="str">
        <f>IFERROR(__xludf.DUMMYFUNCTION("GOOGLETRANSLATE(B3918, ""en"", ""fa"")
"),"برنامه ریز عروسی")</f>
        <v>برنامه ریز عروسی</v>
      </c>
      <c r="G3918" s="1" t="str">
        <f>IFERROR(__xludf.DUMMYFUNCTION("GOOGLETRANSLATE(C3918, ""en"", ""fa"")
"),"نکاتی را برای ارزیابی پایداری محیطی و شیوه های سازگار با محیط زیست مکان های عروسی به اشتراک بگذارید.")</f>
        <v>نکاتی را برای ارزیابی پایداری محیطی و شیوه های سازگار با محیط زیست مکان های عروسی به اشتراک بگذارید.</v>
      </c>
      <c r="H3918" s="1"/>
      <c r="I3918" s="1"/>
      <c r="J3918" s="1"/>
      <c r="K3918" s="1"/>
      <c r="L3918" s="1"/>
      <c r="M3918" s="1"/>
      <c r="N3918" s="1"/>
      <c r="O3918" s="1"/>
      <c r="P3918" s="1"/>
      <c r="Q3918" s="1"/>
      <c r="R3918" s="1"/>
      <c r="S3918" s="1"/>
      <c r="T3918" s="1"/>
      <c r="U3918" s="1"/>
      <c r="V3918" s="1"/>
      <c r="W3918" s="1"/>
      <c r="X3918" s="1"/>
      <c r="Y3918" s="1"/>
      <c r="Z3918" s="1"/>
      <c r="AA3918" s="1"/>
      <c r="AB3918" s="1"/>
    </row>
    <row r="3919" ht="50.25" customHeight="1">
      <c r="A3919" s="12">
        <v>3915.0</v>
      </c>
      <c r="B3919" s="13" t="s">
        <v>3778</v>
      </c>
      <c r="C3919" s="14" t="s">
        <v>3937</v>
      </c>
      <c r="D3919" s="1"/>
      <c r="E3919" s="1"/>
      <c r="F3919" s="1" t="str">
        <f>IFERROR(__xludf.DUMMYFUNCTION("GOOGLETRANSLATE(B3919, ""en"", ""fa"")
"),"برنامه ریز عروسی")</f>
        <v>برنامه ریز عروسی</v>
      </c>
      <c r="G3919" s="1" t="str">
        <f>IFERROR(__xludf.DUMMYFUNCTION("GOOGLETRANSLATE(C3919, ""en"", ""fa"")
"),"برنامه ریزان عروسی چگونه می توانند به زوج ها در در نظر گرفتن شرایط آب و هوایی و عوامل فصلی هنگام انتخاب مکان های بیرونی کمک کنند؟")</f>
        <v>برنامه ریزان عروسی چگونه می توانند به زوج ها در در نظر گرفتن شرایط آب و هوایی و عوامل فصلی هنگام انتخاب مکان های بیرونی کمک کنند؟</v>
      </c>
      <c r="H3919" s="1"/>
      <c r="I3919" s="1"/>
      <c r="J3919" s="1"/>
      <c r="K3919" s="1"/>
      <c r="L3919" s="1"/>
      <c r="M3919" s="1"/>
      <c r="N3919" s="1"/>
      <c r="O3919" s="1"/>
      <c r="P3919" s="1"/>
      <c r="Q3919" s="1"/>
      <c r="R3919" s="1"/>
      <c r="S3919" s="1"/>
      <c r="T3919" s="1"/>
      <c r="U3919" s="1"/>
      <c r="V3919" s="1"/>
      <c r="W3919" s="1"/>
      <c r="X3919" s="1"/>
      <c r="Y3919" s="1"/>
      <c r="Z3919" s="1"/>
      <c r="AA3919" s="1"/>
      <c r="AB3919" s="1"/>
    </row>
    <row r="3920" ht="50.25" customHeight="1">
      <c r="A3920" s="12">
        <v>3916.0</v>
      </c>
      <c r="B3920" s="13" t="s">
        <v>3778</v>
      </c>
      <c r="C3920" s="14" t="s">
        <v>3938</v>
      </c>
      <c r="D3920" s="1"/>
      <c r="E3920" s="1"/>
      <c r="F3920" s="1" t="str">
        <f>IFERROR(__xludf.DUMMYFUNCTION("GOOGLETRANSLATE(B3920, ""en"", ""fa"")
"),"برنامه ریز عروسی")</f>
        <v>برنامه ریز عروسی</v>
      </c>
      <c r="G3920" s="1" t="str">
        <f>IFERROR(__xludf.DUMMYFUNCTION("GOOGLETRANSLATE(C3920, ""en"", ""fa"")
"),"هنگام ارزیابی طرح های پشتیبان و گزینه های احتمالی در یک مکان عروسی، چه عواملی ضروری است؟")</f>
        <v>هنگام ارزیابی طرح های پشتیبان و گزینه های احتمالی در یک مکان عروسی، چه عواملی ضروری است؟</v>
      </c>
      <c r="H3920" s="1"/>
      <c r="I3920" s="1"/>
      <c r="J3920" s="1"/>
      <c r="K3920" s="1"/>
      <c r="L3920" s="1"/>
      <c r="M3920" s="1"/>
      <c r="N3920" s="1"/>
      <c r="O3920" s="1"/>
      <c r="P3920" s="1"/>
      <c r="Q3920" s="1"/>
      <c r="R3920" s="1"/>
      <c r="S3920" s="1"/>
      <c r="T3920" s="1"/>
      <c r="U3920" s="1"/>
      <c r="V3920" s="1"/>
      <c r="W3920" s="1"/>
      <c r="X3920" s="1"/>
      <c r="Y3920" s="1"/>
      <c r="Z3920" s="1"/>
      <c r="AA3920" s="1"/>
      <c r="AB3920" s="1"/>
    </row>
    <row r="3921" ht="50.25" customHeight="1">
      <c r="A3921" s="12">
        <v>3917.0</v>
      </c>
      <c r="B3921" s="13" t="s">
        <v>3778</v>
      </c>
      <c r="C3921" s="14" t="s">
        <v>3939</v>
      </c>
      <c r="D3921" s="1"/>
      <c r="E3921" s="1"/>
      <c r="F3921" s="1" t="str">
        <f>IFERROR(__xludf.DUMMYFUNCTION("GOOGLETRANSLATE(B3921, ""en"", ""fa"")
"),"برنامه ریز عروسی")</f>
        <v>برنامه ریز عروسی</v>
      </c>
      <c r="G3921" s="1" t="str">
        <f>IFERROR(__xludf.DUMMYFUNCTION("GOOGLETRANSLATE(C3921, ""en"", ""fa"")
"),"چند استراتژی برای ارزیابی ظرفیت پارکینگ و در دسترس بودن در مکان های عروسی احتمالی را به اشتراک بگذارید.")</f>
        <v>چند استراتژی برای ارزیابی ظرفیت پارکینگ و در دسترس بودن در مکان های عروسی احتمالی را به اشتراک بگذارید.</v>
      </c>
      <c r="H3921" s="1"/>
      <c r="I3921" s="1"/>
      <c r="J3921" s="1"/>
      <c r="K3921" s="1"/>
      <c r="L3921" s="1"/>
      <c r="M3921" s="1"/>
      <c r="N3921" s="1"/>
      <c r="O3921" s="1"/>
      <c r="P3921" s="1"/>
      <c r="Q3921" s="1"/>
      <c r="R3921" s="1"/>
      <c r="S3921" s="1"/>
      <c r="T3921" s="1"/>
      <c r="U3921" s="1"/>
      <c r="V3921" s="1"/>
      <c r="W3921" s="1"/>
      <c r="X3921" s="1"/>
      <c r="Y3921" s="1"/>
      <c r="Z3921" s="1"/>
      <c r="AA3921" s="1"/>
      <c r="AB3921" s="1"/>
    </row>
    <row r="3922" ht="50.25" customHeight="1">
      <c r="A3922" s="12">
        <v>3918.0</v>
      </c>
      <c r="B3922" s="13" t="s">
        <v>3778</v>
      </c>
      <c r="C3922" s="14" t="s">
        <v>3940</v>
      </c>
      <c r="D3922" s="1"/>
      <c r="E3922" s="1"/>
      <c r="F3922" s="1" t="str">
        <f>IFERROR(__xludf.DUMMYFUNCTION("GOOGLETRANSLATE(B3922, ""en"", ""fa"")
"),"برنامه ریز عروسی")</f>
        <v>برنامه ریز عروسی</v>
      </c>
      <c r="G3922" s="1" t="str">
        <f>IFERROR(__xludf.DUMMYFUNCTION("GOOGLETRANSLATE(C3922, ""en"", ""fa"")
"),"چگونه زوج‌ها می‌توانند نزدیکی مکان به مکان‌های مهم یا مکان‌های احساسی را ارزیابی کنند؟")</f>
        <v>چگونه زوج‌ها می‌توانند نزدیکی مکان به مکان‌های مهم یا مکان‌های احساسی را ارزیابی کنند؟</v>
      </c>
      <c r="H3922" s="1"/>
      <c r="I3922" s="1"/>
      <c r="J3922" s="1"/>
      <c r="K3922" s="1"/>
      <c r="L3922" s="1"/>
      <c r="M3922" s="1"/>
      <c r="N3922" s="1"/>
      <c r="O3922" s="1"/>
      <c r="P3922" s="1"/>
      <c r="Q3922" s="1"/>
      <c r="R3922" s="1"/>
      <c r="S3922" s="1"/>
      <c r="T3922" s="1"/>
      <c r="U3922" s="1"/>
      <c r="V3922" s="1"/>
      <c r="W3922" s="1"/>
      <c r="X3922" s="1"/>
      <c r="Y3922" s="1"/>
      <c r="Z3922" s="1"/>
      <c r="AA3922" s="1"/>
      <c r="AB3922" s="1"/>
    </row>
    <row r="3923" ht="50.25" customHeight="1">
      <c r="A3923" s="12">
        <v>3919.0</v>
      </c>
      <c r="B3923" s="13" t="s">
        <v>3778</v>
      </c>
      <c r="C3923" s="14" t="s">
        <v>3941</v>
      </c>
      <c r="D3923" s="1"/>
      <c r="E3923" s="1"/>
      <c r="F3923" s="1" t="str">
        <f>IFERROR(__xludf.DUMMYFUNCTION("GOOGLETRANSLATE(B3923, ""en"", ""fa"")
"),"برنامه ریز عروسی")</f>
        <v>برنامه ریز عروسی</v>
      </c>
      <c r="G3923" s="1" t="str">
        <f>IFERROR(__xludf.DUMMYFUNCTION("GOOGLETRANSLATE(C3923, ""en"", ""fa"")
"),"ملاحظات کلیدی برای انتخاب یک مکان عروسی که بتواند سرگرمی‌ها یا الزامات عملکرد خاصی را داشته باشد چیست؟")</f>
        <v>ملاحظات کلیدی برای انتخاب یک مکان عروسی که بتواند سرگرمی‌ها یا الزامات عملکرد خاصی را داشته باشد چیست؟</v>
      </c>
      <c r="H3923" s="1"/>
      <c r="I3923" s="1"/>
      <c r="J3923" s="1"/>
      <c r="K3923" s="1"/>
      <c r="L3923" s="1"/>
      <c r="M3923" s="1"/>
      <c r="N3923" s="1"/>
      <c r="O3923" s="1"/>
      <c r="P3923" s="1"/>
      <c r="Q3923" s="1"/>
      <c r="R3923" s="1"/>
      <c r="S3923" s="1"/>
      <c r="T3923" s="1"/>
      <c r="U3923" s="1"/>
      <c r="V3923" s="1"/>
      <c r="W3923" s="1"/>
      <c r="X3923" s="1"/>
      <c r="Y3923" s="1"/>
      <c r="Z3923" s="1"/>
      <c r="AA3923" s="1"/>
      <c r="AB3923" s="1"/>
    </row>
    <row r="3924" ht="50.25" customHeight="1">
      <c r="A3924" s="12">
        <v>3920.0</v>
      </c>
      <c r="B3924" s="13" t="s">
        <v>3778</v>
      </c>
      <c r="C3924" s="14" t="s">
        <v>3942</v>
      </c>
      <c r="D3924" s="1"/>
      <c r="E3924" s="1"/>
      <c r="F3924" s="1" t="str">
        <f>IFERROR(__xludf.DUMMYFUNCTION("GOOGLETRANSLATE(B3924, ""en"", ""fa"")
"),"برنامه ریز عروسی")</f>
        <v>برنامه ریز عروسی</v>
      </c>
      <c r="G3924" s="1" t="str">
        <f>IFERROR(__xludf.DUMMYFUNCTION("GOOGLETRANSLATE(C3924, ""en"", ""fa"")
"),"ایده هایی برای یافتن مکان های عروسی که پذیرایی در محل ارائه می دهند یا امکان پذیرایی از گزینه های پذیرایی خارج از خانه را به اشتراک بگذارید.")</f>
        <v>ایده هایی برای یافتن مکان های عروسی که پذیرایی در محل ارائه می دهند یا امکان پذیرایی از گزینه های پذیرایی خارج از خانه را به اشتراک بگذارید.</v>
      </c>
      <c r="H3924" s="1"/>
      <c r="I3924" s="1"/>
      <c r="J3924" s="1"/>
      <c r="K3924" s="1"/>
      <c r="L3924" s="1"/>
      <c r="M3924" s="1"/>
      <c r="N3924" s="1"/>
      <c r="O3924" s="1"/>
      <c r="P3924" s="1"/>
      <c r="Q3924" s="1"/>
      <c r="R3924" s="1"/>
      <c r="S3924" s="1"/>
      <c r="T3924" s="1"/>
      <c r="U3924" s="1"/>
      <c r="V3924" s="1"/>
      <c r="W3924" s="1"/>
      <c r="X3924" s="1"/>
      <c r="Y3924" s="1"/>
      <c r="Z3924" s="1"/>
      <c r="AA3924" s="1"/>
      <c r="AB3924" s="1"/>
    </row>
    <row r="3925" ht="50.25" customHeight="1">
      <c r="A3925" s="12">
        <v>3921.0</v>
      </c>
      <c r="B3925" s="13" t="s">
        <v>3778</v>
      </c>
      <c r="C3925" s="14" t="s">
        <v>3943</v>
      </c>
      <c r="D3925" s="1"/>
      <c r="E3925" s="1"/>
      <c r="F3925" s="1" t="str">
        <f>IFERROR(__xludf.DUMMYFUNCTION("GOOGLETRANSLATE(B3925, ""en"", ""fa"")
"),"برنامه ریز عروسی")</f>
        <v>برنامه ریز عروسی</v>
      </c>
      <c r="G3925" s="1" t="str">
        <f>IFERROR(__xludf.DUMMYFUNCTION("GOOGLETRANSLATE(C3925, ""en"", ""fa"")
"),"چگونه برنامه ریزان عروسی می توانند به زوج ها کمک کنند دسترسی کلی و مناسب بودن مکان های بالقوه برای مهمانان معلول را ارزیابی کنند؟")</f>
        <v>چگونه برنامه ریزان عروسی می توانند به زوج ها کمک کنند دسترسی کلی و مناسب بودن مکان های بالقوه برای مهمانان معلول را ارزیابی کنند؟</v>
      </c>
      <c r="H3925" s="1"/>
      <c r="I3925" s="1"/>
      <c r="J3925" s="1"/>
      <c r="K3925" s="1"/>
      <c r="L3925" s="1"/>
      <c r="M3925" s="1"/>
      <c r="N3925" s="1"/>
      <c r="O3925" s="1"/>
      <c r="P3925" s="1"/>
      <c r="Q3925" s="1"/>
      <c r="R3925" s="1"/>
      <c r="S3925" s="1"/>
      <c r="T3925" s="1"/>
      <c r="U3925" s="1"/>
      <c r="V3925" s="1"/>
      <c r="W3925" s="1"/>
      <c r="X3925" s="1"/>
      <c r="Y3925" s="1"/>
      <c r="Z3925" s="1"/>
      <c r="AA3925" s="1"/>
      <c r="AB3925" s="1"/>
    </row>
    <row r="3926" ht="50.25" customHeight="1">
      <c r="A3926" s="12">
        <v>3922.0</v>
      </c>
      <c r="B3926" s="13" t="s">
        <v>3778</v>
      </c>
      <c r="C3926" s="14" t="s">
        <v>3944</v>
      </c>
      <c r="D3926" s="1"/>
      <c r="E3926" s="1"/>
      <c r="F3926" s="1" t="str">
        <f>IFERROR(__xludf.DUMMYFUNCTION("GOOGLETRANSLATE(B3926, ""en"", ""fa"")
"),"برنامه ریز عروسی")</f>
        <v>برنامه ریز عروسی</v>
      </c>
      <c r="G3926" s="1" t="str">
        <f>IFERROR(__xludf.DUMMYFUNCTION("GOOGLETRANSLATE(C3926, ""en"", ""fa"")
"),"هنگام ارزیابی محدودیت های صوتی و منع رفت و آمد در یک مکان عروسی چه عواملی ضروری است؟")</f>
        <v>هنگام ارزیابی محدودیت های صوتی و منع رفت و آمد در یک مکان عروسی چه عواملی ضروری است؟</v>
      </c>
      <c r="H3926" s="1"/>
      <c r="I3926" s="1"/>
      <c r="J3926" s="1"/>
      <c r="K3926" s="1"/>
      <c r="L3926" s="1"/>
      <c r="M3926" s="1"/>
      <c r="N3926" s="1"/>
      <c r="O3926" s="1"/>
      <c r="P3926" s="1"/>
      <c r="Q3926" s="1"/>
      <c r="R3926" s="1"/>
      <c r="S3926" s="1"/>
      <c r="T3926" s="1"/>
      <c r="U3926" s="1"/>
      <c r="V3926" s="1"/>
      <c r="W3926" s="1"/>
      <c r="X3926" s="1"/>
      <c r="Y3926" s="1"/>
      <c r="Z3926" s="1"/>
      <c r="AA3926" s="1"/>
      <c r="AB3926" s="1"/>
    </row>
    <row r="3927" ht="50.25" customHeight="1">
      <c r="A3927" s="12">
        <v>3923.0</v>
      </c>
      <c r="B3927" s="13" t="s">
        <v>3778</v>
      </c>
      <c r="C3927" s="14" t="s">
        <v>3945</v>
      </c>
      <c r="D3927" s="1"/>
      <c r="E3927" s="1"/>
      <c r="F3927" s="1" t="str">
        <f>IFERROR(__xludf.DUMMYFUNCTION("GOOGLETRANSLATE(B3927, ""en"", ""fa"")
"),"برنامه ریز عروسی")</f>
        <v>برنامه ریز عروسی</v>
      </c>
      <c r="G3927" s="1" t="str">
        <f>IFERROR(__xludf.DUMMYFUNCTION("GOOGLETRANSLATE(C3927, ""en"", ""fa"")
"),"نکاتی را برای ارزیابی انعطاف پذیری محل برگزاری و محل اقامت برای چیدمان های مختلف مراسم عروسی و پذیرایی به اشتراک بگذارید.")</f>
        <v>نکاتی را برای ارزیابی انعطاف پذیری محل برگزاری و محل اقامت برای چیدمان های مختلف مراسم عروسی و پذیرایی به اشتراک بگذارید.</v>
      </c>
      <c r="H3927" s="1"/>
      <c r="I3927" s="1"/>
      <c r="J3927" s="1"/>
      <c r="K3927" s="1"/>
      <c r="L3927" s="1"/>
      <c r="M3927" s="1"/>
      <c r="N3927" s="1"/>
      <c r="O3927" s="1"/>
      <c r="P3927" s="1"/>
      <c r="Q3927" s="1"/>
      <c r="R3927" s="1"/>
      <c r="S3927" s="1"/>
      <c r="T3927" s="1"/>
      <c r="U3927" s="1"/>
      <c r="V3927" s="1"/>
      <c r="W3927" s="1"/>
      <c r="X3927" s="1"/>
      <c r="Y3927" s="1"/>
      <c r="Z3927" s="1"/>
      <c r="AA3927" s="1"/>
      <c r="AB3927" s="1"/>
    </row>
    <row r="3928" ht="50.25" customHeight="1">
      <c r="A3928" s="12">
        <v>3924.0</v>
      </c>
      <c r="B3928" s="13" t="s">
        <v>3778</v>
      </c>
      <c r="C3928" s="14" t="s">
        <v>3946</v>
      </c>
      <c r="D3928" s="1"/>
      <c r="E3928" s="1"/>
      <c r="F3928" s="1" t="str">
        <f>IFERROR(__xludf.DUMMYFUNCTION("GOOGLETRANSLATE(B3928, ""en"", ""fa"")
"),"برنامه ریز عروسی")</f>
        <v>برنامه ریز عروسی</v>
      </c>
      <c r="G3928" s="1" t="str">
        <f>IFERROR(__xludf.DUMMYFUNCTION("GOOGLETRANSLATE(C3928, ""en"", ""fa"")
"),"چگونه زوج ها می توانند محیط طبیعی و محوطه سازی مکان های عروسی در فضای باز را ارزیابی کنند؟")</f>
        <v>چگونه زوج ها می توانند محیط طبیعی و محوطه سازی مکان های عروسی در فضای باز را ارزیابی کنند؟</v>
      </c>
      <c r="H3928" s="1"/>
      <c r="I3928" s="1"/>
      <c r="J3928" s="1"/>
      <c r="K3928" s="1"/>
      <c r="L3928" s="1"/>
      <c r="M3928" s="1"/>
      <c r="N3928" s="1"/>
      <c r="O3928" s="1"/>
      <c r="P3928" s="1"/>
      <c r="Q3928" s="1"/>
      <c r="R3928" s="1"/>
      <c r="S3928" s="1"/>
      <c r="T3928" s="1"/>
      <c r="U3928" s="1"/>
      <c r="V3928" s="1"/>
      <c r="W3928" s="1"/>
      <c r="X3928" s="1"/>
      <c r="Y3928" s="1"/>
      <c r="Z3928" s="1"/>
      <c r="AA3928" s="1"/>
      <c r="AB3928" s="1"/>
    </row>
    <row r="3929" ht="50.25" customHeight="1">
      <c r="A3929" s="12">
        <v>3925.0</v>
      </c>
      <c r="B3929" s="13" t="s">
        <v>3778</v>
      </c>
      <c r="C3929" s="14" t="s">
        <v>3947</v>
      </c>
      <c r="D3929" s="1"/>
      <c r="E3929" s="1"/>
      <c r="F3929" s="1" t="str">
        <f>IFERROR(__xludf.DUMMYFUNCTION("GOOGLETRANSLATE(B3929, ""en"", ""fa"")
"),"برنامه ریز عروسی")</f>
        <v>برنامه ریز عروسی</v>
      </c>
      <c r="G3929" s="1" t="str">
        <f>IFERROR(__xludf.DUMMYFUNCTION("GOOGLETRANSLATE(C3929, ""en"", ""fa"")
"),"بهترین روش ها برای ارزیابی استانداردهای تمیزی و نگهداری محل برگزاری چیست؟")</f>
        <v>بهترین روش ها برای ارزیابی استانداردهای تمیزی و نگهداری محل برگزاری چیست؟</v>
      </c>
      <c r="H3929" s="1"/>
      <c r="I3929" s="1"/>
      <c r="J3929" s="1"/>
      <c r="K3929" s="1"/>
      <c r="L3929" s="1"/>
      <c r="M3929" s="1"/>
      <c r="N3929" s="1"/>
      <c r="O3929" s="1"/>
      <c r="P3929" s="1"/>
      <c r="Q3929" s="1"/>
      <c r="R3929" s="1"/>
      <c r="S3929" s="1"/>
      <c r="T3929" s="1"/>
      <c r="U3929" s="1"/>
      <c r="V3929" s="1"/>
      <c r="W3929" s="1"/>
      <c r="X3929" s="1"/>
      <c r="Y3929" s="1"/>
      <c r="Z3929" s="1"/>
      <c r="AA3929" s="1"/>
      <c r="AB3929" s="1"/>
    </row>
    <row r="3930" ht="50.25" customHeight="1">
      <c r="A3930" s="12">
        <v>3926.0</v>
      </c>
      <c r="B3930" s="13" t="s">
        <v>3778</v>
      </c>
      <c r="C3930" s="14" t="s">
        <v>3948</v>
      </c>
      <c r="D3930" s="1"/>
      <c r="E3930" s="1"/>
      <c r="F3930" s="1" t="str">
        <f>IFERROR(__xludf.DUMMYFUNCTION("GOOGLETRANSLATE(B3930, ""en"", ""fa"")
"),"برنامه ریز عروسی")</f>
        <v>برنامه ریز عروسی</v>
      </c>
      <c r="G3930" s="1" t="str">
        <f>IFERROR(__xludf.DUMMYFUNCTION("GOOGLETRANSLATE(C3930, ""en"", ""fa"")
"),"برخی از استراتژی‌ها را برای ارزیابی سیاست‌های الکل محل برگزاری و گزینه‌های خدمات بار به اشتراک بگذارید.")</f>
        <v>برخی از استراتژی‌ها را برای ارزیابی سیاست‌های الکل محل برگزاری و گزینه‌های خدمات بار به اشتراک بگذارید.</v>
      </c>
      <c r="H3930" s="1"/>
      <c r="I3930" s="1"/>
      <c r="J3930" s="1"/>
      <c r="K3930" s="1"/>
      <c r="L3930" s="1"/>
      <c r="M3930" s="1"/>
      <c r="N3930" s="1"/>
      <c r="O3930" s="1"/>
      <c r="P3930" s="1"/>
      <c r="Q3930" s="1"/>
      <c r="R3930" s="1"/>
      <c r="S3930" s="1"/>
      <c r="T3930" s="1"/>
      <c r="U3930" s="1"/>
      <c r="V3930" s="1"/>
      <c r="W3930" s="1"/>
      <c r="X3930" s="1"/>
      <c r="Y3930" s="1"/>
      <c r="Z3930" s="1"/>
      <c r="AA3930" s="1"/>
      <c r="AB3930" s="1"/>
    </row>
    <row r="3931" ht="50.25" customHeight="1">
      <c r="A3931" s="12">
        <v>3927.0</v>
      </c>
      <c r="B3931" s="13" t="s">
        <v>3778</v>
      </c>
      <c r="C3931" s="14" t="s">
        <v>3949</v>
      </c>
      <c r="D3931" s="1"/>
      <c r="E3931" s="1"/>
      <c r="F3931" s="1" t="str">
        <f>IFERROR(__xludf.DUMMYFUNCTION("GOOGLETRANSLATE(B3931, ""en"", ""fa"")
"),"برنامه ریز عروسی")</f>
        <v>برنامه ریز عروسی</v>
      </c>
      <c r="G3931" s="1" t="str">
        <f>IFERROR(__xludf.DUMMYFUNCTION("GOOGLETRANSLATE(C3931, ""en"", ""fa"")
"),"زوج‌ها چگونه می‌توانند نزدیکی مکان به مراکز حمل‌ونقل و فرودگاه‌ها را برای مهمانان خارج از شهر ارزیابی کنند؟")</f>
        <v>زوج‌ها چگونه می‌توانند نزدیکی مکان به مراکز حمل‌ونقل و فرودگاه‌ها را برای مهمانان خارج از شهر ارزیابی کنند؟</v>
      </c>
      <c r="H3931" s="1"/>
      <c r="I3931" s="1"/>
      <c r="J3931" s="1"/>
      <c r="K3931" s="1"/>
      <c r="L3931" s="1"/>
      <c r="M3931" s="1"/>
      <c r="N3931" s="1"/>
      <c r="O3931" s="1"/>
      <c r="P3931" s="1"/>
      <c r="Q3931" s="1"/>
      <c r="R3931" s="1"/>
      <c r="S3931" s="1"/>
      <c r="T3931" s="1"/>
      <c r="U3931" s="1"/>
      <c r="V3931" s="1"/>
      <c r="W3931" s="1"/>
      <c r="X3931" s="1"/>
      <c r="Y3931" s="1"/>
      <c r="Z3931" s="1"/>
      <c r="AA3931" s="1"/>
      <c r="AB3931" s="1"/>
    </row>
    <row r="3932" ht="50.25" customHeight="1">
      <c r="A3932" s="12">
        <v>3928.0</v>
      </c>
      <c r="B3932" s="13" t="s">
        <v>3778</v>
      </c>
      <c r="C3932" s="14" t="s">
        <v>3950</v>
      </c>
      <c r="D3932" s="1"/>
      <c r="E3932" s="1"/>
      <c r="F3932" s="1" t="str">
        <f>IFERROR(__xludf.DUMMYFUNCTION("GOOGLETRANSLATE(B3932, ""en"", ""fa"")
"),"برنامه ریز عروسی")</f>
        <v>برنامه ریز عروسی</v>
      </c>
      <c r="G3932" s="1" t="str">
        <f>IFERROR(__xludf.DUMMYFUNCTION("GOOGLETRANSLATE(C3932, ""en"", ""fa"")
"),"ملاحظات کلیدی برای انتخاب یک مکان عروسی که محل اقامت راحت را برای زوج یا مهمانان ارائه می دهد چیست؟")</f>
        <v>ملاحظات کلیدی برای انتخاب یک مکان عروسی که محل اقامت راحت را برای زوج یا مهمانان ارائه می دهد چیست؟</v>
      </c>
      <c r="H3932" s="1"/>
      <c r="I3932" s="1"/>
      <c r="J3932" s="1"/>
      <c r="K3932" s="1"/>
      <c r="L3932" s="1"/>
      <c r="M3932" s="1"/>
      <c r="N3932" s="1"/>
      <c r="O3932" s="1"/>
      <c r="P3932" s="1"/>
      <c r="Q3932" s="1"/>
      <c r="R3932" s="1"/>
      <c r="S3932" s="1"/>
      <c r="T3932" s="1"/>
      <c r="U3932" s="1"/>
      <c r="V3932" s="1"/>
      <c r="W3932" s="1"/>
      <c r="X3932" s="1"/>
      <c r="Y3932" s="1"/>
      <c r="Z3932" s="1"/>
      <c r="AA3932" s="1"/>
      <c r="AB3932" s="1"/>
    </row>
    <row r="3933" ht="50.25" customHeight="1">
      <c r="A3933" s="12">
        <v>3929.0</v>
      </c>
      <c r="B3933" s="13" t="s">
        <v>3778</v>
      </c>
      <c r="C3933" s="14" t="s">
        <v>3951</v>
      </c>
      <c r="D3933" s="1"/>
      <c r="E3933" s="1"/>
      <c r="F3933" s="1" t="str">
        <f>IFERROR(__xludf.DUMMYFUNCTION("GOOGLETRANSLATE(B3933, ""en"", ""fa"")
"),"برنامه ریز عروسی")</f>
        <v>برنامه ریز عروسی</v>
      </c>
      <c r="G3933" s="1" t="str">
        <f>IFERROR(__xludf.DUMMYFUNCTION("GOOGLETRANSLATE(C3933, ""en"", ""fa"")
"),"ایده هایی را برای یافتن مکان های عروسی که فضاهای رویداد اضافی را برای فعالیت های قبل از عروسی یا برانچ های بعد از عروسی ارائه می دهند، به اشتراک بگذارید.")</f>
        <v>ایده هایی را برای یافتن مکان های عروسی که فضاهای رویداد اضافی را برای فعالیت های قبل از عروسی یا برانچ های بعد از عروسی ارائه می دهند، به اشتراک بگذارید.</v>
      </c>
      <c r="H3933" s="1"/>
      <c r="I3933" s="1"/>
      <c r="J3933" s="1"/>
      <c r="K3933" s="1"/>
      <c r="L3933" s="1"/>
      <c r="M3933" s="1"/>
      <c r="N3933" s="1"/>
      <c r="O3933" s="1"/>
      <c r="P3933" s="1"/>
      <c r="Q3933" s="1"/>
      <c r="R3933" s="1"/>
      <c r="S3933" s="1"/>
      <c r="T3933" s="1"/>
      <c r="U3933" s="1"/>
      <c r="V3933" s="1"/>
      <c r="W3933" s="1"/>
      <c r="X3933" s="1"/>
      <c r="Y3933" s="1"/>
      <c r="Z3933" s="1"/>
      <c r="AA3933" s="1"/>
      <c r="AB3933" s="1"/>
    </row>
    <row r="3934" ht="50.25" customHeight="1">
      <c r="A3934" s="12">
        <v>3930.0</v>
      </c>
      <c r="B3934" s="13" t="s">
        <v>3778</v>
      </c>
      <c r="C3934" s="14" t="s">
        <v>3952</v>
      </c>
      <c r="D3934" s="1"/>
      <c r="E3934" s="1"/>
      <c r="F3934" s="1" t="str">
        <f>IFERROR(__xludf.DUMMYFUNCTION("GOOGLETRANSLATE(B3934, ""en"", ""fa"")
"),"برنامه ریز عروسی")</f>
        <v>برنامه ریز عروسی</v>
      </c>
      <c r="G3934" s="1" t="str">
        <f>IFERROR(__xludf.DUMMYFUNCTION("GOOGLETRANSLATE(C3934, ""en"", ""fa"")
"),"برنامه ریزان عروسی چگونه می توانند به زوج ها در در نظر گرفتن تدارکات پارکینگ و حمل و نقل برای یک مکان عروسی دورافتاده یا غیر معمول کمک کنند؟")</f>
        <v>برنامه ریزان عروسی چگونه می توانند به زوج ها در در نظر گرفتن تدارکات پارکینگ و حمل و نقل برای یک مکان عروسی دورافتاده یا غیر معمول کمک کنند؟</v>
      </c>
      <c r="H3934" s="1"/>
      <c r="I3934" s="1"/>
      <c r="J3934" s="1"/>
      <c r="K3934" s="1"/>
      <c r="L3934" s="1"/>
      <c r="M3934" s="1"/>
      <c r="N3934" s="1"/>
      <c r="O3934" s="1"/>
      <c r="P3934" s="1"/>
      <c r="Q3934" s="1"/>
      <c r="R3934" s="1"/>
      <c r="S3934" s="1"/>
      <c r="T3934" s="1"/>
      <c r="U3934" s="1"/>
      <c r="V3934" s="1"/>
      <c r="W3934" s="1"/>
      <c r="X3934" s="1"/>
      <c r="Y3934" s="1"/>
      <c r="Z3934" s="1"/>
      <c r="AA3934" s="1"/>
      <c r="AB3934" s="1"/>
    </row>
    <row r="3935" ht="50.25" customHeight="1">
      <c r="A3935" s="12">
        <v>3931.0</v>
      </c>
      <c r="B3935" s="13" t="s">
        <v>3778</v>
      </c>
      <c r="C3935" s="14" t="s">
        <v>3953</v>
      </c>
      <c r="D3935" s="1"/>
      <c r="E3935" s="1"/>
      <c r="F3935" s="1" t="str">
        <f>IFERROR(__xludf.DUMMYFUNCTION("GOOGLETRANSLATE(B3935, ""en"", ""fa"")
"),"برنامه ریز عروسی")</f>
        <v>برنامه ریز عروسی</v>
      </c>
      <c r="G3935" s="1" t="str">
        <f>IFERROR(__xludf.DUMMYFUNCTION("GOOGLETRANSLATE(C3935, ""en"", ""fa"")
"),"هنگام ارزیابی سیستم صوتی و تجهیزات صوتی محل برگزاری چه عواملی ضروری است؟")</f>
        <v>هنگام ارزیابی سیستم صوتی و تجهیزات صوتی محل برگزاری چه عواملی ضروری است؟</v>
      </c>
      <c r="H3935" s="1"/>
      <c r="I3935" s="1"/>
      <c r="J3935" s="1"/>
      <c r="K3935" s="1"/>
      <c r="L3935" s="1"/>
      <c r="M3935" s="1"/>
      <c r="N3935" s="1"/>
      <c r="O3935" s="1"/>
      <c r="P3935" s="1"/>
      <c r="Q3935" s="1"/>
      <c r="R3935" s="1"/>
      <c r="S3935" s="1"/>
      <c r="T3935" s="1"/>
      <c r="U3935" s="1"/>
      <c r="V3935" s="1"/>
      <c r="W3935" s="1"/>
      <c r="X3935" s="1"/>
      <c r="Y3935" s="1"/>
      <c r="Z3935" s="1"/>
      <c r="AA3935" s="1"/>
      <c r="AB3935" s="1"/>
    </row>
    <row r="3936" ht="50.25" customHeight="1">
      <c r="A3936" s="12">
        <v>3932.0</v>
      </c>
      <c r="B3936" s="13" t="s">
        <v>3778</v>
      </c>
      <c r="C3936" s="14" t="s">
        <v>3954</v>
      </c>
      <c r="D3936" s="1"/>
      <c r="E3936" s="1"/>
      <c r="F3936" s="1" t="str">
        <f>IFERROR(__xludf.DUMMYFUNCTION("GOOGLETRANSLATE(B3936, ""en"", ""fa"")
"),"برنامه ریز عروسی")</f>
        <v>برنامه ریز عروسی</v>
      </c>
      <c r="G3936" s="1" t="str">
        <f>IFERROR(__xludf.DUMMYFUNCTION("GOOGLETRANSLATE(C3936, ""en"", ""fa"")
"),"نکاتی را برای ارزیابی بیمه مسئولیت محل برگزاری و سیاست‌های مربوط به حوادث یا خسارات به اشتراک بگذارید.")</f>
        <v>نکاتی را برای ارزیابی بیمه مسئولیت محل برگزاری و سیاست‌های مربوط به حوادث یا خسارات به اشتراک بگذارید.</v>
      </c>
      <c r="H3936" s="1"/>
      <c r="I3936" s="1"/>
      <c r="J3936" s="1"/>
      <c r="K3936" s="1"/>
      <c r="L3936" s="1"/>
      <c r="M3936" s="1"/>
      <c r="N3936" s="1"/>
      <c r="O3936" s="1"/>
      <c r="P3936" s="1"/>
      <c r="Q3936" s="1"/>
      <c r="R3936" s="1"/>
      <c r="S3936" s="1"/>
      <c r="T3936" s="1"/>
      <c r="U3936" s="1"/>
      <c r="V3936" s="1"/>
      <c r="W3936" s="1"/>
      <c r="X3936" s="1"/>
      <c r="Y3936" s="1"/>
      <c r="Z3936" s="1"/>
      <c r="AA3936" s="1"/>
      <c r="AB3936" s="1"/>
    </row>
    <row r="3937" ht="50.25" customHeight="1">
      <c r="A3937" s="12">
        <v>3933.0</v>
      </c>
      <c r="B3937" s="13" t="s">
        <v>3778</v>
      </c>
      <c r="C3937" s="14" t="s">
        <v>3955</v>
      </c>
      <c r="D3937" s="1"/>
      <c r="E3937" s="1"/>
      <c r="F3937" s="1" t="str">
        <f>IFERROR(__xludf.DUMMYFUNCTION("GOOGLETRANSLATE(B3937, ""en"", ""fa"")
"),"برنامه ریز عروسی")</f>
        <v>برنامه ریز عروسی</v>
      </c>
      <c r="G3937" s="1" t="str">
        <f>IFERROR(__xludf.DUMMYFUNCTION("GOOGLETRANSLATE(C3937, ""en"", ""fa"")
"),"چگونه زوج‌ها می‌توانند در دسترس بودن و مناسب بودن مکان برای گزینه‌ها یا فصول مختلف تاریخ عروسی را ارزیابی کنند؟")</f>
        <v>چگونه زوج‌ها می‌توانند در دسترس بودن و مناسب بودن مکان برای گزینه‌ها یا فصول مختلف تاریخ عروسی را ارزیابی کنند؟</v>
      </c>
      <c r="H3937" s="1"/>
      <c r="I3937" s="1"/>
      <c r="J3937" s="1"/>
      <c r="K3937" s="1"/>
      <c r="L3937" s="1"/>
      <c r="M3937" s="1"/>
      <c r="N3937" s="1"/>
      <c r="O3937" s="1"/>
      <c r="P3937" s="1"/>
      <c r="Q3937" s="1"/>
      <c r="R3937" s="1"/>
      <c r="S3937" s="1"/>
      <c r="T3937" s="1"/>
      <c r="U3937" s="1"/>
      <c r="V3937" s="1"/>
      <c r="W3937" s="1"/>
      <c r="X3937" s="1"/>
      <c r="Y3937" s="1"/>
      <c r="Z3937" s="1"/>
      <c r="AA3937" s="1"/>
      <c r="AB3937" s="1"/>
    </row>
    <row r="3938" ht="50.25" customHeight="1">
      <c r="A3938" s="12">
        <v>3934.0</v>
      </c>
      <c r="B3938" s="13" t="s">
        <v>3778</v>
      </c>
      <c r="C3938" s="14" t="s">
        <v>3956</v>
      </c>
      <c r="D3938" s="1"/>
      <c r="E3938" s="1"/>
      <c r="F3938" s="1" t="str">
        <f>IFERROR(__xludf.DUMMYFUNCTION("GOOGLETRANSLATE(B3938, ""en"", ""fa"")
"),"برنامه ریز عروسی")</f>
        <v>برنامه ریز عروسی</v>
      </c>
      <c r="G3938" s="1" t="str">
        <f>IFERROR(__xludf.DUMMYFUNCTION("GOOGLETRANSLATE(C3938, ""en"", ""fa"")
"),"ملاحظات کلیدی برای انتخاب یک مکان عروسی که می تواند محدودیت های غذایی خاص یا ترجیحات غذایی را داشته باشد چیست؟")</f>
        <v>ملاحظات کلیدی برای انتخاب یک مکان عروسی که می تواند محدودیت های غذایی خاص یا ترجیحات غذایی را داشته باشد چیست؟</v>
      </c>
      <c r="H3938" s="1"/>
      <c r="I3938" s="1"/>
      <c r="J3938" s="1"/>
      <c r="K3938" s="1"/>
      <c r="L3938" s="1"/>
      <c r="M3938" s="1"/>
      <c r="N3938" s="1"/>
      <c r="O3938" s="1"/>
      <c r="P3938" s="1"/>
      <c r="Q3938" s="1"/>
      <c r="R3938" s="1"/>
      <c r="S3938" s="1"/>
      <c r="T3938" s="1"/>
      <c r="U3938" s="1"/>
      <c r="V3938" s="1"/>
      <c r="W3938" s="1"/>
      <c r="X3938" s="1"/>
      <c r="Y3938" s="1"/>
      <c r="Z3938" s="1"/>
      <c r="AA3938" s="1"/>
      <c r="AB3938" s="1"/>
    </row>
    <row r="3939" ht="50.25" customHeight="1">
      <c r="A3939" s="12">
        <v>3935.0</v>
      </c>
      <c r="B3939" s="13" t="s">
        <v>3778</v>
      </c>
      <c r="C3939" s="14" t="s">
        <v>3957</v>
      </c>
      <c r="D3939" s="1"/>
      <c r="E3939" s="1"/>
      <c r="F3939" s="1" t="str">
        <f>IFERROR(__xludf.DUMMYFUNCTION("GOOGLETRANSLATE(B3939, ""en"", ""fa"")
"),"برنامه ریز عروسی")</f>
        <v>برنامه ریز عروسی</v>
      </c>
      <c r="G3939" s="1" t="str">
        <f>IFERROR(__xludf.DUMMYFUNCTION("GOOGLETRANSLATE(C3939, ""en"", ""fa"")
"),"چند استراتژی برای ارزیابی دسترسی و مناسب بودن مکان برای شرایط آب و هوایی مختلف به اشتراک بگذارید.")</f>
        <v>چند استراتژی برای ارزیابی دسترسی و مناسب بودن مکان برای شرایط آب و هوایی مختلف به اشتراک بگذارید.</v>
      </c>
      <c r="H3939" s="1"/>
      <c r="I3939" s="1"/>
      <c r="J3939" s="1"/>
      <c r="K3939" s="1"/>
      <c r="L3939" s="1"/>
      <c r="M3939" s="1"/>
      <c r="N3939" s="1"/>
      <c r="O3939" s="1"/>
      <c r="P3939" s="1"/>
      <c r="Q3939" s="1"/>
      <c r="R3939" s="1"/>
      <c r="S3939" s="1"/>
      <c r="T3939" s="1"/>
      <c r="U3939" s="1"/>
      <c r="V3939" s="1"/>
      <c r="W3939" s="1"/>
      <c r="X3939" s="1"/>
      <c r="Y3939" s="1"/>
      <c r="Z3939" s="1"/>
      <c r="AA3939" s="1"/>
      <c r="AB3939" s="1"/>
    </row>
    <row r="3940" ht="50.25" customHeight="1">
      <c r="A3940" s="12">
        <v>3936.0</v>
      </c>
      <c r="B3940" s="13" t="s">
        <v>3778</v>
      </c>
      <c r="C3940" s="14" t="s">
        <v>3958</v>
      </c>
      <c r="D3940" s="1"/>
      <c r="E3940" s="1"/>
      <c r="F3940" s="1" t="str">
        <f>IFERROR(__xludf.DUMMYFUNCTION("GOOGLETRANSLATE(B3940, ""en"", ""fa"")
"),"برنامه ریز عروسی")</f>
        <v>برنامه ریز عروسی</v>
      </c>
      <c r="G3940" s="1" t="str">
        <f>IFERROR(__xludf.DUMMYFUNCTION("GOOGLETRANSLATE(C3940, ""en"", ""fa"")
"),"برخی از گزینه های محبوب سرگرمی عروسی برای زوج ها چیست؟")</f>
        <v>برخی از گزینه های محبوب سرگرمی عروسی برای زوج ها چیست؟</v>
      </c>
      <c r="H3940" s="1"/>
      <c r="I3940" s="1"/>
      <c r="J3940" s="1"/>
      <c r="K3940" s="1"/>
      <c r="L3940" s="1"/>
      <c r="M3940" s="1"/>
      <c r="N3940" s="1"/>
      <c r="O3940" s="1"/>
      <c r="P3940" s="1"/>
      <c r="Q3940" s="1"/>
      <c r="R3940" s="1"/>
      <c r="S3940" s="1"/>
      <c r="T3940" s="1"/>
      <c r="U3940" s="1"/>
      <c r="V3940" s="1"/>
      <c r="W3940" s="1"/>
      <c r="X3940" s="1"/>
      <c r="Y3940" s="1"/>
      <c r="Z3940" s="1"/>
      <c r="AA3940" s="1"/>
      <c r="AB3940" s="1"/>
    </row>
    <row r="3941" ht="50.25" customHeight="1">
      <c r="A3941" s="12">
        <v>3937.0</v>
      </c>
      <c r="B3941" s="13" t="s">
        <v>3778</v>
      </c>
      <c r="C3941" s="14" t="s">
        <v>3959</v>
      </c>
      <c r="D3941" s="1"/>
      <c r="E3941" s="1"/>
      <c r="F3941" s="1" t="str">
        <f>IFERROR(__xludf.DUMMYFUNCTION("GOOGLETRANSLATE(B3941, ""en"", ""fa"")
"),"برنامه ریز عروسی")</f>
        <v>برنامه ریز عروسی</v>
      </c>
      <c r="G3941" s="1" t="str">
        <f>IFERROR(__xludf.DUMMYFUNCTION("GOOGLETRANSLATE(C3941, ""en"", ""fa"")
"),"چند ایده سرگرمی منحصر به فرد و تعاملی را به اشتراک بگذارید تا مهمانان عروسی را شگفت زده و خوشحال کند.")</f>
        <v>چند ایده سرگرمی منحصر به فرد و تعاملی را به اشتراک بگذارید تا مهمانان عروسی را شگفت زده و خوشحال کند.</v>
      </c>
      <c r="H3941" s="1"/>
      <c r="I3941" s="1"/>
      <c r="J3941" s="1"/>
      <c r="K3941" s="1"/>
      <c r="L3941" s="1"/>
      <c r="M3941" s="1"/>
      <c r="N3941" s="1"/>
      <c r="O3941" s="1"/>
      <c r="P3941" s="1"/>
      <c r="Q3941" s="1"/>
      <c r="R3941" s="1"/>
      <c r="S3941" s="1"/>
      <c r="T3941" s="1"/>
      <c r="U3941" s="1"/>
      <c r="V3941" s="1"/>
      <c r="W3941" s="1"/>
      <c r="X3941" s="1"/>
      <c r="Y3941" s="1"/>
      <c r="Z3941" s="1"/>
      <c r="AA3941" s="1"/>
      <c r="AB3941" s="1"/>
    </row>
    <row r="3942" ht="50.25" customHeight="1">
      <c r="A3942" s="12">
        <v>3938.0</v>
      </c>
      <c r="B3942" s="13" t="s">
        <v>3778</v>
      </c>
      <c r="C3942" s="14" t="s">
        <v>3960</v>
      </c>
      <c r="D3942" s="1"/>
      <c r="E3942" s="1"/>
      <c r="F3942" s="1" t="str">
        <f>IFERROR(__xludf.DUMMYFUNCTION("GOOGLETRANSLATE(B3942, ""en"", ""fa"")
"),"برنامه ریز عروسی")</f>
        <v>برنامه ریز عروسی</v>
      </c>
      <c r="G3942" s="1" t="str">
        <f>IFERROR(__xludf.DUMMYFUNCTION("GOOGLETRANSLATE(C3942, ""en"", ""fa"")
"),"چگونه برنامه ریزان عروسی می توانند به زوج ها کمک کنند تا سرگرمی مناسبی را انتخاب کنند که با تم و سبک عروسی آنها مطابقت داشته باشد؟")</f>
        <v>چگونه برنامه ریزان عروسی می توانند به زوج ها کمک کنند تا سرگرمی مناسبی را انتخاب کنند که با تم و سبک عروسی آنها مطابقت داشته باشد؟</v>
      </c>
      <c r="H3942" s="1"/>
      <c r="I3942" s="1"/>
      <c r="J3942" s="1"/>
      <c r="K3942" s="1"/>
      <c r="L3942" s="1"/>
      <c r="M3942" s="1"/>
      <c r="N3942" s="1"/>
      <c r="O3942" s="1"/>
      <c r="P3942" s="1"/>
      <c r="Q3942" s="1"/>
      <c r="R3942" s="1"/>
      <c r="S3942" s="1"/>
      <c r="T3942" s="1"/>
      <c r="U3942" s="1"/>
      <c r="V3942" s="1"/>
      <c r="W3942" s="1"/>
      <c r="X3942" s="1"/>
      <c r="Y3942" s="1"/>
      <c r="Z3942" s="1"/>
      <c r="AA3942" s="1"/>
      <c r="AB3942" s="1"/>
    </row>
    <row r="3943" ht="50.25" customHeight="1">
      <c r="A3943" s="12">
        <v>3939.0</v>
      </c>
      <c r="B3943" s="13" t="s">
        <v>3778</v>
      </c>
      <c r="C3943" s="14" t="s">
        <v>3961</v>
      </c>
      <c r="D3943" s="1"/>
      <c r="E3943" s="1"/>
      <c r="F3943" s="1" t="str">
        <f>IFERROR(__xludf.DUMMYFUNCTION("GOOGLETRANSLATE(B3943, ""en"", ""fa"")
"),"برنامه ریز عروسی")</f>
        <v>برنامه ریز عروسی</v>
      </c>
      <c r="G3943" s="1" t="str">
        <f>IFERROR(__xludf.DUMMYFUNCTION("GOOGLETRANSLATE(C3943, ""en"", ""fa"")
"),"هنگام مصاحبه با ارائه دهندگان سرگرمی عروسی، سؤالات اساسی چیست؟")</f>
        <v>هنگام مصاحبه با ارائه دهندگان سرگرمی عروسی، سؤالات اساسی چیست؟</v>
      </c>
      <c r="H3943" s="1"/>
      <c r="I3943" s="1"/>
      <c r="J3943" s="1"/>
      <c r="K3943" s="1"/>
      <c r="L3943" s="1"/>
      <c r="M3943" s="1"/>
      <c r="N3943" s="1"/>
      <c r="O3943" s="1"/>
      <c r="P3943" s="1"/>
      <c r="Q3943" s="1"/>
      <c r="R3943" s="1"/>
      <c r="S3943" s="1"/>
      <c r="T3943" s="1"/>
      <c r="U3943" s="1"/>
      <c r="V3943" s="1"/>
      <c r="W3943" s="1"/>
      <c r="X3943" s="1"/>
      <c r="Y3943" s="1"/>
      <c r="Z3943" s="1"/>
      <c r="AA3943" s="1"/>
      <c r="AB3943" s="1"/>
    </row>
    <row r="3944" ht="50.25" customHeight="1">
      <c r="A3944" s="12">
        <v>3940.0</v>
      </c>
      <c r="B3944" s="13" t="s">
        <v>3778</v>
      </c>
      <c r="C3944" s="14" t="s">
        <v>3962</v>
      </c>
      <c r="D3944" s="1"/>
      <c r="E3944" s="1"/>
      <c r="F3944" s="1" t="str">
        <f>IFERROR(__xludf.DUMMYFUNCTION("GOOGLETRANSLATE(B3944, ""en"", ""fa"")
"),"برنامه ریز عروسی")</f>
        <v>برنامه ریز عروسی</v>
      </c>
      <c r="G3944" s="1" t="str">
        <f>IFERROR(__xludf.DUMMYFUNCTION("GOOGLETRANSLATE(C3944, ""en"", ""fa"")
"),"نکاتی را برای ایجاد جدول زمانی سرگرمی عروسی به اشتراک بگذارید که مهمانان را در طول مراسم درگیر کند.")</f>
        <v>نکاتی را برای ایجاد جدول زمانی سرگرمی عروسی به اشتراک بگذارید که مهمانان را در طول مراسم درگیر کند.</v>
      </c>
      <c r="H3944" s="1"/>
      <c r="I3944" s="1"/>
      <c r="J3944" s="1"/>
      <c r="K3944" s="1"/>
      <c r="L3944" s="1"/>
      <c r="M3944" s="1"/>
      <c r="N3944" s="1"/>
      <c r="O3944" s="1"/>
      <c r="P3944" s="1"/>
      <c r="Q3944" s="1"/>
      <c r="R3944" s="1"/>
      <c r="S3944" s="1"/>
      <c r="T3944" s="1"/>
      <c r="U3944" s="1"/>
      <c r="V3944" s="1"/>
      <c r="W3944" s="1"/>
      <c r="X3944" s="1"/>
      <c r="Y3944" s="1"/>
      <c r="Z3944" s="1"/>
      <c r="AA3944" s="1"/>
      <c r="AB3944" s="1"/>
    </row>
    <row r="3945" ht="50.25" customHeight="1">
      <c r="A3945" s="12">
        <v>3941.0</v>
      </c>
      <c r="B3945" s="13" t="s">
        <v>3778</v>
      </c>
      <c r="C3945" s="14" t="s">
        <v>3963</v>
      </c>
      <c r="D3945" s="1"/>
      <c r="E3945" s="1"/>
      <c r="F3945" s="1" t="str">
        <f>IFERROR(__xludf.DUMMYFUNCTION("GOOGLETRANSLATE(B3945, ""en"", ""fa"")
"),"برنامه ریز عروسی")</f>
        <v>برنامه ریز عروسی</v>
      </c>
      <c r="G3945" s="1" t="str">
        <f>IFERROR(__xludf.DUMMYFUNCTION("GOOGLETRANSLATE(C3945, ""en"", ""fa"")
"),"چگونه برنامه‌ریزان عروسی می‌توانند به زوج‌ها در یافتن سرگرمی‌هایی که برای گروه‌های سنی مختلف و سلیقه‌های مختلف پاسخ می‌دهد کمک کنند؟")</f>
        <v>چگونه برنامه‌ریزان عروسی می‌توانند به زوج‌ها در یافتن سرگرمی‌هایی که برای گروه‌های سنی مختلف و سلیقه‌های مختلف پاسخ می‌دهد کمک کنند؟</v>
      </c>
      <c r="H3945" s="1"/>
      <c r="I3945" s="1"/>
      <c r="J3945" s="1"/>
      <c r="K3945" s="1"/>
      <c r="L3945" s="1"/>
      <c r="M3945" s="1"/>
      <c r="N3945" s="1"/>
      <c r="O3945" s="1"/>
      <c r="P3945" s="1"/>
      <c r="Q3945" s="1"/>
      <c r="R3945" s="1"/>
      <c r="S3945" s="1"/>
      <c r="T3945" s="1"/>
      <c r="U3945" s="1"/>
      <c r="V3945" s="1"/>
      <c r="W3945" s="1"/>
      <c r="X3945" s="1"/>
      <c r="Y3945" s="1"/>
      <c r="Z3945" s="1"/>
      <c r="AA3945" s="1"/>
      <c r="AB3945" s="1"/>
    </row>
    <row r="3946" ht="50.25" customHeight="1">
      <c r="A3946" s="12">
        <v>3942.0</v>
      </c>
      <c r="B3946" s="13" t="s">
        <v>3778</v>
      </c>
      <c r="C3946" s="14" t="s">
        <v>3964</v>
      </c>
      <c r="D3946" s="1"/>
      <c r="E3946" s="1"/>
      <c r="F3946" s="1" t="str">
        <f>IFERROR(__xludf.DUMMYFUNCTION("GOOGLETRANSLATE(B3946, ""en"", ""fa"")
"),"برنامه ریز عروسی")</f>
        <v>برنامه ریز عروسی</v>
      </c>
      <c r="G3946" s="1" t="str">
        <f>IFERROR(__xludf.DUMMYFUNCTION("GOOGLETRANSLATE(C3946, ""en"", ""fa"")
"),"ملاحظات کلیدی برای انتخاب موسیقی زنده یا دی جی برای جشن عروسی چیست؟")</f>
        <v>ملاحظات کلیدی برای انتخاب موسیقی زنده یا دی جی برای جشن عروسی چیست؟</v>
      </c>
      <c r="H3946" s="1"/>
      <c r="I3946" s="1"/>
      <c r="J3946" s="1"/>
      <c r="K3946" s="1"/>
      <c r="L3946" s="1"/>
      <c r="M3946" s="1"/>
      <c r="N3946" s="1"/>
      <c r="O3946" s="1"/>
      <c r="P3946" s="1"/>
      <c r="Q3946" s="1"/>
      <c r="R3946" s="1"/>
      <c r="S3946" s="1"/>
      <c r="T3946" s="1"/>
      <c r="U3946" s="1"/>
      <c r="V3946" s="1"/>
      <c r="W3946" s="1"/>
      <c r="X3946" s="1"/>
      <c r="Y3946" s="1"/>
      <c r="Z3946" s="1"/>
      <c r="AA3946" s="1"/>
      <c r="AB3946" s="1"/>
    </row>
    <row r="3947" ht="50.25" customHeight="1">
      <c r="A3947" s="12">
        <v>3943.0</v>
      </c>
      <c r="B3947" s="13" t="s">
        <v>3778</v>
      </c>
      <c r="C3947" s="14" t="s">
        <v>3965</v>
      </c>
      <c r="D3947" s="1"/>
      <c r="E3947" s="1"/>
      <c r="F3947" s="1" t="str">
        <f>IFERROR(__xludf.DUMMYFUNCTION("GOOGLETRANSLATE(B3947, ""en"", ""fa"")
"),"برنامه ریز عروسی")</f>
        <v>برنامه ریز عروسی</v>
      </c>
      <c r="G3947" s="1" t="str">
        <f>IFERROR(__xludf.DUMMYFUNCTION("GOOGLETRANSLATE(C3947, ""en"", ""fa"")
"),"چند استراتژی برای ترکیب عناصر سرگرمی فرهنگی یا سنتی در جشن عروسی به اشتراک بگذارید.")</f>
        <v>چند استراتژی برای ترکیب عناصر سرگرمی فرهنگی یا سنتی در جشن عروسی به اشتراک بگذارید.</v>
      </c>
      <c r="H3947" s="1"/>
      <c r="I3947" s="1"/>
      <c r="J3947" s="1"/>
      <c r="K3947" s="1"/>
      <c r="L3947" s="1"/>
      <c r="M3947" s="1"/>
      <c r="N3947" s="1"/>
      <c r="O3947" s="1"/>
      <c r="P3947" s="1"/>
      <c r="Q3947" s="1"/>
      <c r="R3947" s="1"/>
      <c r="S3947" s="1"/>
      <c r="T3947" s="1"/>
      <c r="U3947" s="1"/>
      <c r="V3947" s="1"/>
      <c r="W3947" s="1"/>
      <c r="X3947" s="1"/>
      <c r="Y3947" s="1"/>
      <c r="Z3947" s="1"/>
      <c r="AA3947" s="1"/>
      <c r="AB3947" s="1"/>
    </row>
    <row r="3948" ht="50.25" customHeight="1">
      <c r="A3948" s="12">
        <v>3944.0</v>
      </c>
      <c r="B3948" s="13" t="s">
        <v>3778</v>
      </c>
      <c r="C3948" s="14" t="s">
        <v>3966</v>
      </c>
      <c r="D3948" s="1"/>
      <c r="E3948" s="1"/>
      <c r="F3948" s="1" t="str">
        <f>IFERROR(__xludf.DUMMYFUNCTION("GOOGLETRANSLATE(B3948, ""en"", ""fa"")
"),"برنامه ریز عروسی")</f>
        <v>برنامه ریز عروسی</v>
      </c>
      <c r="G3948" s="1" t="str">
        <f>IFERROR(__xludf.DUMMYFUNCTION("GOOGLETRANSLATE(C3948, ""en"", ""fa"")
"),"چگونه زوج ها می توانند سرگرمی مناسب برای بخش های مختلف روز عروسی مانند مراسم، ساعت کوکتل و پذیرایی را انتخاب کنند؟")</f>
        <v>چگونه زوج ها می توانند سرگرمی مناسب برای بخش های مختلف روز عروسی مانند مراسم، ساعت کوکتل و پذیرایی را انتخاب کنند؟</v>
      </c>
      <c r="H3948" s="1"/>
      <c r="I3948" s="1"/>
      <c r="J3948" s="1"/>
      <c r="K3948" s="1"/>
      <c r="L3948" s="1"/>
      <c r="M3948" s="1"/>
      <c r="N3948" s="1"/>
      <c r="O3948" s="1"/>
      <c r="P3948" s="1"/>
      <c r="Q3948" s="1"/>
      <c r="R3948" s="1"/>
      <c r="S3948" s="1"/>
      <c r="T3948" s="1"/>
      <c r="U3948" s="1"/>
      <c r="V3948" s="1"/>
      <c r="W3948" s="1"/>
      <c r="X3948" s="1"/>
      <c r="Y3948" s="1"/>
      <c r="Z3948" s="1"/>
      <c r="AA3948" s="1"/>
      <c r="AB3948" s="1"/>
    </row>
    <row r="3949" ht="50.25" customHeight="1">
      <c r="A3949" s="12">
        <v>3945.0</v>
      </c>
      <c r="B3949" s="13" t="s">
        <v>3778</v>
      </c>
      <c r="C3949" s="14" t="s">
        <v>3967</v>
      </c>
      <c r="D3949" s="1"/>
      <c r="E3949" s="1"/>
      <c r="F3949" s="1" t="str">
        <f>IFERROR(__xludf.DUMMYFUNCTION("GOOGLETRANSLATE(B3949, ""en"", ""fa"")
"),"برنامه ریز عروسی")</f>
        <v>برنامه ریز عروسی</v>
      </c>
      <c r="G3949" s="1" t="str">
        <f>IFERROR(__xludf.DUMMYFUNCTION("GOOGLETRANSLATE(C3949, ""en"", ""fa"")
"),"بهترین شیوه ها برای مدیریت صدا و صدا مورد نیاز برای سرگرمی عروسی چیست؟")</f>
        <v>بهترین شیوه ها برای مدیریت صدا و صدا مورد نیاز برای سرگرمی عروسی چیست؟</v>
      </c>
      <c r="H3949" s="1"/>
      <c r="I3949" s="1"/>
      <c r="J3949" s="1"/>
      <c r="K3949" s="1"/>
      <c r="L3949" s="1"/>
      <c r="M3949" s="1"/>
      <c r="N3949" s="1"/>
      <c r="O3949" s="1"/>
      <c r="P3949" s="1"/>
      <c r="Q3949" s="1"/>
      <c r="R3949" s="1"/>
      <c r="S3949" s="1"/>
      <c r="T3949" s="1"/>
      <c r="U3949" s="1"/>
      <c r="V3949" s="1"/>
      <c r="W3949" s="1"/>
      <c r="X3949" s="1"/>
      <c r="Y3949" s="1"/>
      <c r="Z3949" s="1"/>
      <c r="AA3949" s="1"/>
      <c r="AB3949" s="1"/>
    </row>
    <row r="3950" ht="50.25" customHeight="1">
      <c r="A3950" s="12">
        <v>3946.0</v>
      </c>
      <c r="B3950" s="13" t="s">
        <v>3778</v>
      </c>
      <c r="C3950" s="14" t="s">
        <v>3968</v>
      </c>
      <c r="D3950" s="1"/>
      <c r="E3950" s="1"/>
      <c r="F3950" s="1" t="str">
        <f>IFERROR(__xludf.DUMMYFUNCTION("GOOGLETRANSLATE(B3950, ""en"", ""fa"")
"),"برنامه ریز عروسی")</f>
        <v>برنامه ریز عروسی</v>
      </c>
      <c r="G3950" s="1" t="str">
        <f>IFERROR(__xludf.DUMMYFUNCTION("GOOGLETRANSLATE(C3950, ""en"", ""fa"")
"),"ایده هایی برای سازماندهی بازی ها یا فعالیت های تعاملی برای پذیرایی از مهمانان در طول پذیرایی به اشتراک بگذارید.")</f>
        <v>ایده هایی برای سازماندهی بازی ها یا فعالیت های تعاملی برای پذیرایی از مهمانان در طول پذیرایی به اشتراک بگذارید.</v>
      </c>
      <c r="H3950" s="1"/>
      <c r="I3950" s="1"/>
      <c r="J3950" s="1"/>
      <c r="K3950" s="1"/>
      <c r="L3950" s="1"/>
      <c r="M3950" s="1"/>
      <c r="N3950" s="1"/>
      <c r="O3950" s="1"/>
      <c r="P3950" s="1"/>
      <c r="Q3950" s="1"/>
      <c r="R3950" s="1"/>
      <c r="S3950" s="1"/>
      <c r="T3950" s="1"/>
      <c r="U3950" s="1"/>
      <c r="V3950" s="1"/>
      <c r="W3950" s="1"/>
      <c r="X3950" s="1"/>
      <c r="Y3950" s="1"/>
      <c r="Z3950" s="1"/>
      <c r="AA3950" s="1"/>
      <c r="AB3950" s="1"/>
    </row>
    <row r="3951" ht="50.25" customHeight="1">
      <c r="A3951" s="12">
        <v>3947.0</v>
      </c>
      <c r="B3951" s="13" t="s">
        <v>3778</v>
      </c>
      <c r="C3951" s="14" t="s">
        <v>3969</v>
      </c>
      <c r="D3951" s="1"/>
      <c r="E3951" s="1"/>
      <c r="F3951" s="1" t="str">
        <f>IFERROR(__xludf.DUMMYFUNCTION("GOOGLETRANSLATE(B3951, ""en"", ""fa"")
"),"برنامه ریز عروسی")</f>
        <v>برنامه ریز عروسی</v>
      </c>
      <c r="G3951" s="1" t="str">
        <f>IFERROR(__xludf.DUMMYFUNCTION("GOOGLETRANSLATE(C3951, ""en"", ""fa"")
"),"برنامه ریزان عروسی چگونه می توانند به زوج ها در هماهنگی اجراهای ویژه یا اقدامات شگفت انگیز برای عروسی کمک کنند؟")</f>
        <v>برنامه ریزان عروسی چگونه می توانند به زوج ها در هماهنگی اجراهای ویژه یا اقدامات شگفت انگیز برای عروسی کمک کنند؟</v>
      </c>
      <c r="H3951" s="1"/>
      <c r="I3951" s="1"/>
      <c r="J3951" s="1"/>
      <c r="K3951" s="1"/>
      <c r="L3951" s="1"/>
      <c r="M3951" s="1"/>
      <c r="N3951" s="1"/>
      <c r="O3951" s="1"/>
      <c r="P3951" s="1"/>
      <c r="Q3951" s="1"/>
      <c r="R3951" s="1"/>
      <c r="S3951" s="1"/>
      <c r="T3951" s="1"/>
      <c r="U3951" s="1"/>
      <c r="V3951" s="1"/>
      <c r="W3951" s="1"/>
      <c r="X3951" s="1"/>
      <c r="Y3951" s="1"/>
      <c r="Z3951" s="1"/>
      <c r="AA3951" s="1"/>
      <c r="AB3951" s="1"/>
    </row>
    <row r="3952" ht="50.25" customHeight="1">
      <c r="A3952" s="12">
        <v>3948.0</v>
      </c>
      <c r="B3952" s="13" t="s">
        <v>3778</v>
      </c>
      <c r="C3952" s="14" t="s">
        <v>3970</v>
      </c>
      <c r="D3952" s="1"/>
      <c r="E3952" s="1"/>
      <c r="F3952" s="1" t="str">
        <f>IFERROR(__xludf.DUMMYFUNCTION("GOOGLETRANSLATE(B3952, ""en"", ""fa"")
"),"برنامه ریز عروسی")</f>
        <v>برنامه ریز عروسی</v>
      </c>
      <c r="G3952" s="1" t="str">
        <f>IFERROR(__xludf.DUMMYFUNCTION("GOOGLETRANSLATE(C3952, ""en"", ""fa"")
"),"هنگام ارزیابی فضا و الزامات فنی برای سرگرمی عروسی چه عواملی ضروری است؟")</f>
        <v>هنگام ارزیابی فضا و الزامات فنی برای سرگرمی عروسی چه عواملی ضروری است؟</v>
      </c>
      <c r="H3952" s="1"/>
      <c r="I3952" s="1"/>
      <c r="J3952" s="1"/>
      <c r="K3952" s="1"/>
      <c r="L3952" s="1"/>
      <c r="M3952" s="1"/>
      <c r="N3952" s="1"/>
      <c r="O3952" s="1"/>
      <c r="P3952" s="1"/>
      <c r="Q3952" s="1"/>
      <c r="R3952" s="1"/>
      <c r="S3952" s="1"/>
      <c r="T3952" s="1"/>
      <c r="U3952" s="1"/>
      <c r="V3952" s="1"/>
      <c r="W3952" s="1"/>
      <c r="X3952" s="1"/>
      <c r="Y3952" s="1"/>
      <c r="Z3952" s="1"/>
      <c r="AA3952" s="1"/>
      <c r="AB3952" s="1"/>
    </row>
    <row r="3953" ht="50.25" customHeight="1">
      <c r="A3953" s="12">
        <v>3949.0</v>
      </c>
      <c r="B3953" s="13" t="s">
        <v>3778</v>
      </c>
      <c r="C3953" s="14" t="s">
        <v>3971</v>
      </c>
      <c r="D3953" s="1"/>
      <c r="E3953" s="1"/>
      <c r="F3953" s="1" t="str">
        <f>IFERROR(__xludf.DUMMYFUNCTION("GOOGLETRANSLATE(B3953, ""en"", ""fa"")
"),"برنامه ریز عروسی")</f>
        <v>برنامه ریز عروسی</v>
      </c>
      <c r="G3953" s="1" t="str">
        <f>IFERROR(__xludf.DUMMYFUNCTION("GOOGLETRANSLATE(C3953, ""en"", ""fa"")
"),"نکاتی را برای ایجاد اولین رقص یا اجرای رقص به یاد ماندنی برای زوجین به اشتراک بگذارید.")</f>
        <v>نکاتی را برای ایجاد اولین رقص یا اجرای رقص به یاد ماندنی برای زوجین به اشتراک بگذارید.</v>
      </c>
      <c r="H3953" s="1"/>
      <c r="I3953" s="1"/>
      <c r="J3953" s="1"/>
      <c r="K3953" s="1"/>
      <c r="L3953" s="1"/>
      <c r="M3953" s="1"/>
      <c r="N3953" s="1"/>
      <c r="O3953" s="1"/>
      <c r="P3953" s="1"/>
      <c r="Q3953" s="1"/>
      <c r="R3953" s="1"/>
      <c r="S3953" s="1"/>
      <c r="T3953" s="1"/>
      <c r="U3953" s="1"/>
      <c r="V3953" s="1"/>
      <c r="W3953" s="1"/>
      <c r="X3953" s="1"/>
      <c r="Y3953" s="1"/>
      <c r="Z3953" s="1"/>
      <c r="AA3953" s="1"/>
      <c r="AB3953" s="1"/>
    </row>
    <row r="3954" ht="50.25" customHeight="1">
      <c r="A3954" s="12">
        <v>3950.0</v>
      </c>
      <c r="B3954" s="13" t="s">
        <v>3778</v>
      </c>
      <c r="C3954" s="14" t="s">
        <v>3972</v>
      </c>
      <c r="D3954" s="1"/>
      <c r="E3954" s="1"/>
      <c r="F3954" s="1" t="str">
        <f>IFERROR(__xludf.DUMMYFUNCTION("GOOGLETRANSLATE(B3954, ""en"", ""fa"")
"),"برنامه ریز عروسی")</f>
        <v>برنامه ریز عروسی</v>
      </c>
      <c r="G3954" s="1" t="str">
        <f>IFERROR(__xludf.DUMMYFUNCTION("GOOGLETRANSLATE(C3954, ""en"", ""fa"")
"),"چگونه زوج ها می توانند فناوری و عناصر دیجیتال را در سرگرمی های عروسی خود بگنجانند؟")</f>
        <v>چگونه زوج ها می توانند فناوری و عناصر دیجیتال را در سرگرمی های عروسی خود بگنجانند؟</v>
      </c>
      <c r="H3954" s="1"/>
      <c r="I3954" s="1"/>
      <c r="J3954" s="1"/>
      <c r="K3954" s="1"/>
      <c r="L3954" s="1"/>
      <c r="M3954" s="1"/>
      <c r="N3954" s="1"/>
      <c r="O3954" s="1"/>
      <c r="P3954" s="1"/>
      <c r="Q3954" s="1"/>
      <c r="R3954" s="1"/>
      <c r="S3954" s="1"/>
      <c r="T3954" s="1"/>
      <c r="U3954" s="1"/>
      <c r="V3954" s="1"/>
      <c r="W3954" s="1"/>
      <c r="X3954" s="1"/>
      <c r="Y3954" s="1"/>
      <c r="Z3954" s="1"/>
      <c r="AA3954" s="1"/>
      <c r="AB3954" s="1"/>
    </row>
    <row r="3955" ht="50.25" customHeight="1">
      <c r="A3955" s="12">
        <v>3951.0</v>
      </c>
      <c r="B3955" s="13" t="s">
        <v>3778</v>
      </c>
      <c r="C3955" s="14" t="s">
        <v>3973</v>
      </c>
      <c r="D3955" s="1"/>
      <c r="E3955" s="1"/>
      <c r="F3955" s="1" t="str">
        <f>IFERROR(__xludf.DUMMYFUNCTION("GOOGLETRANSLATE(B3955, ""en"", ""fa"")
"),"برنامه ریز عروسی")</f>
        <v>برنامه ریز عروسی</v>
      </c>
      <c r="G3955" s="1" t="str">
        <f>IFERROR(__xludf.DUMMYFUNCTION("GOOGLETRANSLATE(C3955, ""en"", ""fa"")
"),"ملاحظات کلیدی برای انتخاب سرگرمی که مکمل مکان عروسی و فضای آن است چیست؟")</f>
        <v>ملاحظات کلیدی برای انتخاب سرگرمی که مکمل مکان عروسی و فضای آن است چیست؟</v>
      </c>
      <c r="H3955" s="1"/>
      <c r="I3955" s="1"/>
      <c r="J3955" s="1"/>
      <c r="K3955" s="1"/>
      <c r="L3955" s="1"/>
      <c r="M3955" s="1"/>
      <c r="N3955" s="1"/>
      <c r="O3955" s="1"/>
      <c r="P3955" s="1"/>
      <c r="Q3955" s="1"/>
      <c r="R3955" s="1"/>
      <c r="S3955" s="1"/>
      <c r="T3955" s="1"/>
      <c r="U3955" s="1"/>
      <c r="V3955" s="1"/>
      <c r="W3955" s="1"/>
      <c r="X3955" s="1"/>
      <c r="Y3955" s="1"/>
      <c r="Z3955" s="1"/>
      <c r="AA3955" s="1"/>
      <c r="AB3955" s="1"/>
    </row>
    <row r="3956" ht="50.25" customHeight="1">
      <c r="A3956" s="12">
        <v>3952.0</v>
      </c>
      <c r="B3956" s="13" t="s">
        <v>3778</v>
      </c>
      <c r="C3956" s="14" t="s">
        <v>3974</v>
      </c>
      <c r="D3956" s="1"/>
      <c r="E3956" s="1"/>
      <c r="F3956" s="1" t="str">
        <f>IFERROR(__xludf.DUMMYFUNCTION("GOOGLETRANSLATE(B3956, ""en"", ""fa"")
"),"برنامه ریز عروسی")</f>
        <v>برنامه ریز عروسی</v>
      </c>
      <c r="G3956" s="1" t="str">
        <f>IFERROR(__xludf.DUMMYFUNCTION("GOOGLETRANSLATE(C3956, ""en"", ""fa"")
"),"چند استراتژی برای مدیریت تدارکات و زمان اجراهای سرگرمی در روز عروسی به اشتراک بگذارید.")</f>
        <v>چند استراتژی برای مدیریت تدارکات و زمان اجراهای سرگرمی در روز عروسی به اشتراک بگذارید.</v>
      </c>
      <c r="H3956" s="1"/>
      <c r="I3956" s="1"/>
      <c r="J3956" s="1"/>
      <c r="K3956" s="1"/>
      <c r="L3956" s="1"/>
      <c r="M3956" s="1"/>
      <c r="N3956" s="1"/>
      <c r="O3956" s="1"/>
      <c r="P3956" s="1"/>
      <c r="Q3956" s="1"/>
      <c r="R3956" s="1"/>
      <c r="S3956" s="1"/>
      <c r="T3956" s="1"/>
      <c r="U3956" s="1"/>
      <c r="V3956" s="1"/>
      <c r="W3956" s="1"/>
      <c r="X3956" s="1"/>
      <c r="Y3956" s="1"/>
      <c r="Z3956" s="1"/>
      <c r="AA3956" s="1"/>
      <c r="AB3956" s="1"/>
    </row>
    <row r="3957" ht="50.25" customHeight="1">
      <c r="A3957" s="12">
        <v>3953.0</v>
      </c>
      <c r="B3957" s="13" t="s">
        <v>3778</v>
      </c>
      <c r="C3957" s="14" t="s">
        <v>3975</v>
      </c>
      <c r="D3957" s="1"/>
      <c r="E3957" s="1"/>
      <c r="F3957" s="1" t="str">
        <f>IFERROR(__xludf.DUMMYFUNCTION("GOOGLETRANSLATE(B3957, ""en"", ""fa"")
"),"برنامه ریز عروسی")</f>
        <v>برنامه ریز عروسی</v>
      </c>
      <c r="G3957" s="1" t="str">
        <f>IFERROR(__xludf.DUMMYFUNCTION("GOOGLETRANSLATE(C3957, ""en"", ""fa"")
"),"برنامه ریزان عروسی چگونه می توانند به زوج ها در انتخاب سرگرمی هایی که شخصیت و علایق آنها را منعکس می کند کمک کنند؟")</f>
        <v>برنامه ریزان عروسی چگونه می توانند به زوج ها در انتخاب سرگرمی هایی که شخصیت و علایق آنها را منعکس می کند کمک کنند؟</v>
      </c>
      <c r="H3957" s="1"/>
      <c r="I3957" s="1"/>
      <c r="J3957" s="1"/>
      <c r="K3957" s="1"/>
      <c r="L3957" s="1"/>
      <c r="M3957" s="1"/>
      <c r="N3957" s="1"/>
      <c r="O3957" s="1"/>
      <c r="P3957" s="1"/>
      <c r="Q3957" s="1"/>
      <c r="R3957" s="1"/>
      <c r="S3957" s="1"/>
      <c r="T3957" s="1"/>
      <c r="U3957" s="1"/>
      <c r="V3957" s="1"/>
      <c r="W3957" s="1"/>
      <c r="X3957" s="1"/>
      <c r="Y3957" s="1"/>
      <c r="Z3957" s="1"/>
      <c r="AA3957" s="1"/>
      <c r="AB3957" s="1"/>
    </row>
    <row r="3958" ht="50.25" customHeight="1">
      <c r="A3958" s="12">
        <v>3954.0</v>
      </c>
      <c r="B3958" s="13" t="s">
        <v>3778</v>
      </c>
      <c r="C3958" s="14" t="s">
        <v>3976</v>
      </c>
      <c r="D3958" s="1"/>
      <c r="E3958" s="1"/>
      <c r="F3958" s="1" t="str">
        <f>IFERROR(__xludf.DUMMYFUNCTION("GOOGLETRANSLATE(B3958, ""en"", ""fa"")
"),"برنامه ریز عروسی")</f>
        <v>برنامه ریز عروسی</v>
      </c>
      <c r="G3958" s="1" t="str">
        <f>IFERROR(__xludf.DUMMYFUNCTION("GOOGLETRANSLATE(C3958, ""en"", ""fa"")
"),"چه راه هایی برای افزایش تجربه مهمان از طریق غرفه های عکس تعاملی یا نصب های تعاملی وجود دارد؟")</f>
        <v>چه راه هایی برای افزایش تجربه مهمان از طریق غرفه های عکس تعاملی یا نصب های تعاملی وجود دارد؟</v>
      </c>
      <c r="H3958" s="1"/>
      <c r="I3958" s="1"/>
      <c r="J3958" s="1"/>
      <c r="K3958" s="1"/>
      <c r="L3958" s="1"/>
      <c r="M3958" s="1"/>
      <c r="N3958" s="1"/>
      <c r="O3958" s="1"/>
      <c r="P3958" s="1"/>
      <c r="Q3958" s="1"/>
      <c r="R3958" s="1"/>
      <c r="S3958" s="1"/>
      <c r="T3958" s="1"/>
      <c r="U3958" s="1"/>
      <c r="V3958" s="1"/>
      <c r="W3958" s="1"/>
      <c r="X3958" s="1"/>
      <c r="Y3958" s="1"/>
      <c r="Z3958" s="1"/>
      <c r="AA3958" s="1"/>
      <c r="AB3958" s="1"/>
    </row>
    <row r="3959" ht="50.25" customHeight="1">
      <c r="A3959" s="12">
        <v>3955.0</v>
      </c>
      <c r="B3959" s="13" t="s">
        <v>3778</v>
      </c>
      <c r="C3959" s="14" t="s">
        <v>3977</v>
      </c>
      <c r="D3959" s="1"/>
      <c r="E3959" s="1"/>
      <c r="F3959" s="1" t="str">
        <f>IFERROR(__xludf.DUMMYFUNCTION("GOOGLETRANSLATE(B3959, ""en"", ""fa"")
"),"برنامه ریز عروسی")</f>
        <v>برنامه ریز عروسی</v>
      </c>
      <c r="G3959" s="1" t="str">
        <f>IFERROR(__xludf.DUMMYFUNCTION("GOOGLETRANSLATE(C3959, ""en"", ""fa"")
"),"ایده‌هایی را برای اجرای برنامه‌های سرگرمی غافلگیرکننده یا اجراکنندگان به اشتراک بگذارید که می‌توانند یک عامل شگفت‌انگیز برای مهمانان ایجاد کنند.")</f>
        <v>ایده‌هایی را برای اجرای برنامه‌های سرگرمی غافلگیرکننده یا اجراکنندگان به اشتراک بگذارید که می‌توانند یک عامل شگفت‌انگیز برای مهمانان ایجاد کنند.</v>
      </c>
      <c r="H3959" s="1"/>
      <c r="I3959" s="1"/>
      <c r="J3959" s="1"/>
      <c r="K3959" s="1"/>
      <c r="L3959" s="1"/>
      <c r="M3959" s="1"/>
      <c r="N3959" s="1"/>
      <c r="O3959" s="1"/>
      <c r="P3959" s="1"/>
      <c r="Q3959" s="1"/>
      <c r="R3959" s="1"/>
      <c r="S3959" s="1"/>
      <c r="T3959" s="1"/>
      <c r="U3959" s="1"/>
      <c r="V3959" s="1"/>
      <c r="W3959" s="1"/>
      <c r="X3959" s="1"/>
      <c r="Y3959" s="1"/>
      <c r="Z3959" s="1"/>
      <c r="AA3959" s="1"/>
      <c r="AB3959" s="1"/>
    </row>
    <row r="3960" ht="50.25" customHeight="1">
      <c r="A3960" s="12">
        <v>3956.0</v>
      </c>
      <c r="B3960" s="13" t="s">
        <v>3778</v>
      </c>
      <c r="C3960" s="14" t="s">
        <v>3978</v>
      </c>
      <c r="D3960" s="1"/>
      <c r="E3960" s="1"/>
      <c r="F3960" s="1" t="str">
        <f>IFERROR(__xludf.DUMMYFUNCTION("GOOGLETRANSLATE(B3960, ""en"", ""fa"")
"),"برنامه ریز عروسی")</f>
        <v>برنامه ریز عروسی</v>
      </c>
      <c r="G3960" s="1" t="str">
        <f>IFERROR(__xludf.DUMMYFUNCTION("GOOGLETRANSLATE(C3960, ""en"", ""fa"")
"),"چگونه زوج‌ها می‌توانند سرگرمی‌هایی را انتخاب کنند که ژانرها و ترجیحات مختلف موسیقی را برآورده می‌کند؟")</f>
        <v>چگونه زوج‌ها می‌توانند سرگرمی‌هایی را انتخاب کنند که ژانرها و ترجیحات مختلف موسیقی را برآورده می‌کند؟</v>
      </c>
      <c r="H3960" s="1"/>
      <c r="I3960" s="1"/>
      <c r="J3960" s="1"/>
      <c r="K3960" s="1"/>
      <c r="L3960" s="1"/>
      <c r="M3960" s="1"/>
      <c r="N3960" s="1"/>
      <c r="O3960" s="1"/>
      <c r="P3960" s="1"/>
      <c r="Q3960" s="1"/>
      <c r="R3960" s="1"/>
      <c r="S3960" s="1"/>
      <c r="T3960" s="1"/>
      <c r="U3960" s="1"/>
      <c r="V3960" s="1"/>
      <c r="W3960" s="1"/>
      <c r="X3960" s="1"/>
      <c r="Y3960" s="1"/>
      <c r="Z3960" s="1"/>
      <c r="AA3960" s="1"/>
      <c r="AB3960" s="1"/>
    </row>
    <row r="3961" ht="50.25" customHeight="1">
      <c r="A3961" s="12">
        <v>3957.0</v>
      </c>
      <c r="B3961" s="13" t="s">
        <v>3778</v>
      </c>
      <c r="C3961" s="14" t="s">
        <v>3979</v>
      </c>
      <c r="D3961" s="1"/>
      <c r="E3961" s="1"/>
      <c r="F3961" s="1" t="str">
        <f>IFERROR(__xludf.DUMMYFUNCTION("GOOGLETRANSLATE(B3961, ""en"", ""fa"")
"),"برنامه ریز عروسی")</f>
        <v>برنامه ریز عروسی</v>
      </c>
      <c r="G3961" s="1" t="str">
        <f>IFERROR(__xludf.DUMMYFUNCTION("GOOGLETRANSLATE(C3961, ""en"", ""fa"")
"),"بهترین روش ها برای مدیریت قراردادها و توافقات با ارائه دهندگان سرگرمی عروسی چیست؟")</f>
        <v>بهترین روش ها برای مدیریت قراردادها و توافقات با ارائه دهندگان سرگرمی عروسی چیست؟</v>
      </c>
      <c r="H3961" s="1"/>
      <c r="I3961" s="1"/>
      <c r="J3961" s="1"/>
      <c r="K3961" s="1"/>
      <c r="L3961" s="1"/>
      <c r="M3961" s="1"/>
      <c r="N3961" s="1"/>
      <c r="O3961" s="1"/>
      <c r="P3961" s="1"/>
      <c r="Q3961" s="1"/>
      <c r="R3961" s="1"/>
      <c r="S3961" s="1"/>
      <c r="T3961" s="1"/>
      <c r="U3961" s="1"/>
      <c r="V3961" s="1"/>
      <c r="W3961" s="1"/>
      <c r="X3961" s="1"/>
      <c r="Y3961" s="1"/>
      <c r="Z3961" s="1"/>
      <c r="AA3961" s="1"/>
      <c r="AB3961" s="1"/>
    </row>
    <row r="3962" ht="50.25" customHeight="1">
      <c r="A3962" s="12">
        <v>3958.0</v>
      </c>
      <c r="B3962" s="13" t="s">
        <v>3778</v>
      </c>
      <c r="C3962" s="14" t="s">
        <v>3980</v>
      </c>
      <c r="D3962" s="1"/>
      <c r="E3962" s="1"/>
      <c r="F3962" s="1" t="str">
        <f>IFERROR(__xludf.DUMMYFUNCTION("GOOGLETRANSLATE(B3962, ""en"", ""fa"")
"),"برنامه ریز عروسی")</f>
        <v>برنامه ریز عروسی</v>
      </c>
      <c r="G3962" s="1" t="str">
        <f>IFERROR(__xludf.DUMMYFUNCTION("GOOGLETRANSLATE(C3962, ""en"", ""fa"")
"),"نکاتی را برای انتخاب سرگرمی که با بودجه و ملاحظات مالی زوج هماهنگ باشد به اشتراک بگذارید.")</f>
        <v>نکاتی را برای انتخاب سرگرمی که با بودجه و ملاحظات مالی زوج هماهنگ باشد به اشتراک بگذارید.</v>
      </c>
      <c r="H3962" s="1"/>
      <c r="I3962" s="1"/>
      <c r="J3962" s="1"/>
      <c r="K3962" s="1"/>
      <c r="L3962" s="1"/>
      <c r="M3962" s="1"/>
      <c r="N3962" s="1"/>
      <c r="O3962" s="1"/>
      <c r="P3962" s="1"/>
      <c r="Q3962" s="1"/>
      <c r="R3962" s="1"/>
      <c r="S3962" s="1"/>
      <c r="T3962" s="1"/>
      <c r="U3962" s="1"/>
      <c r="V3962" s="1"/>
      <c r="W3962" s="1"/>
      <c r="X3962" s="1"/>
      <c r="Y3962" s="1"/>
      <c r="Z3962" s="1"/>
      <c r="AA3962" s="1"/>
      <c r="AB3962" s="1"/>
    </row>
    <row r="3963" ht="50.25" customHeight="1">
      <c r="A3963" s="12">
        <v>3959.0</v>
      </c>
      <c r="B3963" s="13" t="s">
        <v>3778</v>
      </c>
      <c r="C3963" s="14" t="s">
        <v>3981</v>
      </c>
      <c r="D3963" s="1"/>
      <c r="E3963" s="1"/>
      <c r="F3963" s="1" t="str">
        <f>IFERROR(__xludf.DUMMYFUNCTION("GOOGLETRANSLATE(B3963, ""en"", ""fa"")
"),"برنامه ریز عروسی")</f>
        <v>برنامه ریز عروسی</v>
      </c>
      <c r="G3963" s="1" t="str">
        <f>IFERROR(__xludf.DUMMYFUNCTION("GOOGLETRANSLATE(C3963, ""en"", ""fa"")
"),"چگونه برنامه ریزان عروسی می توانند به زوج ها در ارزیابی حرفه ای بودن و قابلیت اطمینان ارائه دهندگان سرگرمی بالقوه کمک کنند؟")</f>
        <v>چگونه برنامه ریزان عروسی می توانند به زوج ها در ارزیابی حرفه ای بودن و قابلیت اطمینان ارائه دهندگان سرگرمی بالقوه کمک کنند؟</v>
      </c>
      <c r="H3963" s="1"/>
      <c r="I3963" s="1"/>
      <c r="J3963" s="1"/>
      <c r="K3963" s="1"/>
      <c r="L3963" s="1"/>
      <c r="M3963" s="1"/>
      <c r="N3963" s="1"/>
      <c r="O3963" s="1"/>
      <c r="P3963" s="1"/>
      <c r="Q3963" s="1"/>
      <c r="R3963" s="1"/>
      <c r="S3963" s="1"/>
      <c r="T3963" s="1"/>
      <c r="U3963" s="1"/>
      <c r="V3963" s="1"/>
      <c r="W3963" s="1"/>
      <c r="X3963" s="1"/>
      <c r="Y3963" s="1"/>
      <c r="Z3963" s="1"/>
      <c r="AA3963" s="1"/>
      <c r="AB3963" s="1"/>
    </row>
    <row r="3964" ht="50.25" customHeight="1">
      <c r="A3964" s="12">
        <v>3960.0</v>
      </c>
      <c r="B3964" s="13" t="s">
        <v>3778</v>
      </c>
      <c r="C3964" s="14" t="s">
        <v>3982</v>
      </c>
      <c r="D3964" s="1"/>
      <c r="E3964" s="1"/>
      <c r="F3964" s="1" t="str">
        <f>IFERROR(__xludf.DUMMYFUNCTION("GOOGLETRANSLATE(B3964, ""en"", ""fa"")
"),"برنامه ریز عروسی")</f>
        <v>برنامه ریز عروسی</v>
      </c>
      <c r="G3964" s="1" t="str">
        <f>IFERROR(__xludf.DUMMYFUNCTION("GOOGLETRANSLATE(C3964, ""en"", ""fa"")
"),"هنگام ارزیابی میزان انرژی و درگیری مجریان سرگرمی چه عواملی ضروری است؟")</f>
        <v>هنگام ارزیابی میزان انرژی و درگیری مجریان سرگرمی چه عواملی ضروری است؟</v>
      </c>
      <c r="H3964" s="1"/>
      <c r="I3964" s="1"/>
      <c r="J3964" s="1"/>
      <c r="K3964" s="1"/>
      <c r="L3964" s="1"/>
      <c r="M3964" s="1"/>
      <c r="N3964" s="1"/>
      <c r="O3964" s="1"/>
      <c r="P3964" s="1"/>
      <c r="Q3964" s="1"/>
      <c r="R3964" s="1"/>
      <c r="S3964" s="1"/>
      <c r="T3964" s="1"/>
      <c r="U3964" s="1"/>
      <c r="V3964" s="1"/>
      <c r="W3964" s="1"/>
      <c r="X3964" s="1"/>
      <c r="Y3964" s="1"/>
      <c r="Z3964" s="1"/>
      <c r="AA3964" s="1"/>
      <c r="AB3964" s="1"/>
    </row>
    <row r="3965" ht="50.25" customHeight="1">
      <c r="A3965" s="12">
        <v>3961.0</v>
      </c>
      <c r="B3965" s="13" t="s">
        <v>3778</v>
      </c>
      <c r="C3965" s="14" t="s">
        <v>3983</v>
      </c>
      <c r="D3965" s="1"/>
      <c r="E3965" s="1"/>
      <c r="F3965" s="1" t="str">
        <f>IFERROR(__xludf.DUMMYFUNCTION("GOOGLETRANSLATE(B3965, ""en"", ""fa"")
"),"برنامه ریز عروسی")</f>
        <v>برنامه ریز عروسی</v>
      </c>
      <c r="G3965" s="1" t="str">
        <f>IFERROR(__xludf.DUMMYFUNCTION("GOOGLETRANSLATE(C3965, ""en"", ""fa"")
"),"چند استراتژی برای انتخاب سرگرمی که مشارکت و رقصیدن مهمان را تشویق می کند را به اشتراک بگذارید.")</f>
        <v>چند استراتژی برای انتخاب سرگرمی که مشارکت و رقصیدن مهمان را تشویق می کند را به اشتراک بگذارید.</v>
      </c>
      <c r="H3965" s="1"/>
      <c r="I3965" s="1"/>
      <c r="J3965" s="1"/>
      <c r="K3965" s="1"/>
      <c r="L3965" s="1"/>
      <c r="M3965" s="1"/>
      <c r="N3965" s="1"/>
      <c r="O3965" s="1"/>
      <c r="P3965" s="1"/>
      <c r="Q3965" s="1"/>
      <c r="R3965" s="1"/>
      <c r="S3965" s="1"/>
      <c r="T3965" s="1"/>
      <c r="U3965" s="1"/>
      <c r="V3965" s="1"/>
      <c r="W3965" s="1"/>
      <c r="X3965" s="1"/>
      <c r="Y3965" s="1"/>
      <c r="Z3965" s="1"/>
      <c r="AA3965" s="1"/>
      <c r="AB3965" s="1"/>
    </row>
    <row r="3966" ht="50.25" customHeight="1">
      <c r="A3966" s="12">
        <v>3962.0</v>
      </c>
      <c r="B3966" s="13" t="s">
        <v>3778</v>
      </c>
      <c r="C3966" s="14" t="s">
        <v>3984</v>
      </c>
      <c r="D3966" s="1"/>
      <c r="E3966" s="1"/>
      <c r="F3966" s="1" t="str">
        <f>IFERROR(__xludf.DUMMYFUNCTION("GOOGLETRANSLATE(B3966, ""en"", ""fa"")
"),"برنامه ریز عروسی")</f>
        <v>برنامه ریز عروسی</v>
      </c>
      <c r="G3966" s="1" t="str">
        <f>IFERROR(__xludf.DUMMYFUNCTION("GOOGLETRANSLATE(C3966, ""en"", ""fa"")
"),"چگونه زوج‌ها می‌توانند رقص‌ها یا اجراهای فرهنگی را در مجموعه سرگرمی‌های عروسی بگنجانند؟")</f>
        <v>چگونه زوج‌ها می‌توانند رقص‌ها یا اجراهای فرهنگی را در مجموعه سرگرمی‌های عروسی بگنجانند؟</v>
      </c>
      <c r="H3966" s="1"/>
      <c r="I3966" s="1"/>
      <c r="J3966" s="1"/>
      <c r="K3966" s="1"/>
      <c r="L3966" s="1"/>
      <c r="M3966" s="1"/>
      <c r="N3966" s="1"/>
      <c r="O3966" s="1"/>
      <c r="P3966" s="1"/>
      <c r="Q3966" s="1"/>
      <c r="R3966" s="1"/>
      <c r="S3966" s="1"/>
      <c r="T3966" s="1"/>
      <c r="U3966" s="1"/>
      <c r="V3966" s="1"/>
      <c r="W3966" s="1"/>
      <c r="X3966" s="1"/>
      <c r="Y3966" s="1"/>
      <c r="Z3966" s="1"/>
      <c r="AA3966" s="1"/>
      <c r="AB3966" s="1"/>
    </row>
    <row r="3967" ht="50.25" customHeight="1">
      <c r="A3967" s="12">
        <v>3963.0</v>
      </c>
      <c r="B3967" s="13" t="s">
        <v>3778</v>
      </c>
      <c r="C3967" s="14" t="s">
        <v>3985</v>
      </c>
      <c r="D3967" s="1"/>
      <c r="E3967" s="1"/>
      <c r="F3967" s="1" t="str">
        <f>IFERROR(__xludf.DUMMYFUNCTION("GOOGLETRANSLATE(B3967, ""en"", ""fa"")
"),"برنامه ریز عروسی")</f>
        <v>برنامه ریز عروسی</v>
      </c>
      <c r="G3967" s="1" t="str">
        <f>IFERROR(__xludf.DUMMYFUNCTION("GOOGLETRANSLATE(C3967, ""en"", ""fa"")
"),"ملاحظات کلیدی برای انتخاب سرگرمی مناسب برای سالن های عروسی داخلی و خارجی چیست؟")</f>
        <v>ملاحظات کلیدی برای انتخاب سرگرمی مناسب برای سالن های عروسی داخلی و خارجی چیست؟</v>
      </c>
      <c r="H3967" s="1"/>
      <c r="I3967" s="1"/>
      <c r="J3967" s="1"/>
      <c r="K3967" s="1"/>
      <c r="L3967" s="1"/>
      <c r="M3967" s="1"/>
      <c r="N3967" s="1"/>
      <c r="O3967" s="1"/>
      <c r="P3967" s="1"/>
      <c r="Q3967" s="1"/>
      <c r="R3967" s="1"/>
      <c r="S3967" s="1"/>
      <c r="T3967" s="1"/>
      <c r="U3967" s="1"/>
      <c r="V3967" s="1"/>
      <c r="W3967" s="1"/>
      <c r="X3967" s="1"/>
      <c r="Y3967" s="1"/>
      <c r="Z3967" s="1"/>
      <c r="AA3967" s="1"/>
      <c r="AB3967" s="1"/>
    </row>
    <row r="3968" ht="50.25" customHeight="1">
      <c r="A3968" s="12">
        <v>3964.0</v>
      </c>
      <c r="B3968" s="13" t="s">
        <v>3778</v>
      </c>
      <c r="C3968" s="14" t="s">
        <v>3986</v>
      </c>
      <c r="D3968" s="1"/>
      <c r="E3968" s="1"/>
      <c r="F3968" s="1" t="str">
        <f>IFERROR(__xludf.DUMMYFUNCTION("GOOGLETRANSLATE(B3968, ""en"", ""fa"")
"),"برنامه ریز عروسی")</f>
        <v>برنامه ریز عروسی</v>
      </c>
      <c r="G3968" s="1" t="str">
        <f>IFERROR(__xludf.DUMMYFUNCTION("GOOGLETRANSLATE(C3968, ""en"", ""fa"")
"),"ایده هایی برای ترکیب سرگرمی ها و فعالیت های کودکان به اشتراک بگذارید تا مهمانان جوان را درگیر خود نگه دارید.")</f>
        <v>ایده هایی برای ترکیب سرگرمی ها و فعالیت های کودکان به اشتراک بگذارید تا مهمانان جوان را درگیر خود نگه دارید.</v>
      </c>
      <c r="H3968" s="1"/>
      <c r="I3968" s="1"/>
      <c r="J3968" s="1"/>
      <c r="K3968" s="1"/>
      <c r="L3968" s="1"/>
      <c r="M3968" s="1"/>
      <c r="N3968" s="1"/>
      <c r="O3968" s="1"/>
      <c r="P3968" s="1"/>
      <c r="Q3968" s="1"/>
      <c r="R3968" s="1"/>
      <c r="S3968" s="1"/>
      <c r="T3968" s="1"/>
      <c r="U3968" s="1"/>
      <c r="V3968" s="1"/>
      <c r="W3968" s="1"/>
      <c r="X3968" s="1"/>
      <c r="Y3968" s="1"/>
      <c r="Z3968" s="1"/>
      <c r="AA3968" s="1"/>
      <c r="AB3968" s="1"/>
    </row>
    <row r="3969" ht="50.25" customHeight="1">
      <c r="A3969" s="12">
        <v>3965.0</v>
      </c>
      <c r="B3969" s="13" t="s">
        <v>3778</v>
      </c>
      <c r="C3969" s="14" t="s">
        <v>3987</v>
      </c>
      <c r="D3969" s="1"/>
      <c r="E3969" s="1"/>
      <c r="F3969" s="1" t="str">
        <f>IFERROR(__xludf.DUMMYFUNCTION("GOOGLETRANSLATE(B3969, ""en"", ""fa"")
"),"برنامه ریز عروسی")</f>
        <v>برنامه ریز عروسی</v>
      </c>
      <c r="G3969" s="1" t="str">
        <f>IFERROR(__xludf.DUMMYFUNCTION("GOOGLETRANSLATE(C3969, ""en"", ""fa"")
"),"برنامه ریزان عروسی چگونه می توانند به زوج ها در مدیریت درخواست های خاص یا سفارشی سازی سرگرمی های انتخابی خود کمک کنند؟")</f>
        <v>برنامه ریزان عروسی چگونه می توانند به زوج ها در مدیریت درخواست های خاص یا سفارشی سازی سرگرمی های انتخابی خود کمک کنند؟</v>
      </c>
      <c r="H3969" s="1"/>
      <c r="I3969" s="1"/>
      <c r="J3969" s="1"/>
      <c r="K3969" s="1"/>
      <c r="L3969" s="1"/>
      <c r="M3969" s="1"/>
      <c r="N3969" s="1"/>
      <c r="O3969" s="1"/>
      <c r="P3969" s="1"/>
      <c r="Q3969" s="1"/>
      <c r="R3969" s="1"/>
      <c r="S3969" s="1"/>
      <c r="T3969" s="1"/>
      <c r="U3969" s="1"/>
      <c r="V3969" s="1"/>
      <c r="W3969" s="1"/>
      <c r="X3969" s="1"/>
      <c r="Y3969" s="1"/>
      <c r="Z3969" s="1"/>
      <c r="AA3969" s="1"/>
      <c r="AB3969" s="1"/>
    </row>
    <row r="3970" ht="50.25" customHeight="1">
      <c r="A3970" s="12">
        <v>3966.0</v>
      </c>
      <c r="B3970" s="13" t="s">
        <v>3778</v>
      </c>
      <c r="C3970" s="14" t="s">
        <v>3988</v>
      </c>
      <c r="D3970" s="1"/>
      <c r="E3970" s="1"/>
      <c r="F3970" s="1" t="str">
        <f>IFERROR(__xludf.DUMMYFUNCTION("GOOGLETRANSLATE(B3970, ""en"", ""fa"")
"),"برنامه ریز عروسی")</f>
        <v>برنامه ریز عروسی</v>
      </c>
      <c r="G3970" s="1" t="str">
        <f>IFERROR(__xludf.DUMMYFUNCTION("GOOGLETRANSLATE(C3970, ""en"", ""fa"")
"),"بهترین روش ها برای هماهنگی تمرینات سرگرمی و بررسی صدا قبل از روز عروسی چیست؟")</f>
        <v>بهترین روش ها برای هماهنگی تمرینات سرگرمی و بررسی صدا قبل از روز عروسی چیست؟</v>
      </c>
      <c r="H3970" s="1"/>
      <c r="I3970" s="1"/>
      <c r="J3970" s="1"/>
      <c r="K3970" s="1"/>
      <c r="L3970" s="1"/>
      <c r="M3970" s="1"/>
      <c r="N3970" s="1"/>
      <c r="O3970" s="1"/>
      <c r="P3970" s="1"/>
      <c r="Q3970" s="1"/>
      <c r="R3970" s="1"/>
      <c r="S3970" s="1"/>
      <c r="T3970" s="1"/>
      <c r="U3970" s="1"/>
      <c r="V3970" s="1"/>
      <c r="W3970" s="1"/>
      <c r="X3970" s="1"/>
      <c r="Y3970" s="1"/>
      <c r="Z3970" s="1"/>
      <c r="AA3970" s="1"/>
      <c r="AB3970" s="1"/>
    </row>
    <row r="3971" ht="50.25" customHeight="1">
      <c r="A3971" s="12">
        <v>3967.0</v>
      </c>
      <c r="B3971" s="13" t="s">
        <v>3778</v>
      </c>
      <c r="C3971" s="14" t="s">
        <v>3989</v>
      </c>
      <c r="D3971" s="1"/>
      <c r="E3971" s="1"/>
      <c r="F3971" s="1" t="str">
        <f>IFERROR(__xludf.DUMMYFUNCTION("GOOGLETRANSLATE(B3971, ""en"", ""fa"")
"),"برنامه ریز عروسی")</f>
        <v>برنامه ریز عروسی</v>
      </c>
      <c r="G3971" s="1" t="str">
        <f>IFERROR(__xludf.DUMMYFUNCTION("GOOGLETRANSLATE(C3971, ""en"", ""fa"")
"),"نکاتی را برای مدیریت انتظارات مهمانان و ایجاد هیجان در مجموعه سرگرمی های عروسی به اشتراک بگذارید.")</f>
        <v>نکاتی را برای مدیریت انتظارات مهمانان و ایجاد هیجان در مجموعه سرگرمی های عروسی به اشتراک بگذارید.</v>
      </c>
      <c r="H3971" s="1"/>
      <c r="I3971" s="1"/>
      <c r="J3971" s="1"/>
      <c r="K3971" s="1"/>
      <c r="L3971" s="1"/>
      <c r="M3971" s="1"/>
      <c r="N3971" s="1"/>
      <c r="O3971" s="1"/>
      <c r="P3971" s="1"/>
      <c r="Q3971" s="1"/>
      <c r="R3971" s="1"/>
      <c r="S3971" s="1"/>
      <c r="T3971" s="1"/>
      <c r="U3971" s="1"/>
      <c r="V3971" s="1"/>
      <c r="W3971" s="1"/>
      <c r="X3971" s="1"/>
      <c r="Y3971" s="1"/>
      <c r="Z3971" s="1"/>
      <c r="AA3971" s="1"/>
      <c r="AB3971" s="1"/>
    </row>
    <row r="3972" ht="50.25" customHeight="1">
      <c r="A3972" s="12">
        <v>3968.0</v>
      </c>
      <c r="B3972" s="13" t="s">
        <v>3778</v>
      </c>
      <c r="C3972" s="14" t="s">
        <v>3990</v>
      </c>
      <c r="D3972" s="1"/>
      <c r="E3972" s="1"/>
      <c r="F3972" s="1" t="str">
        <f>IFERROR(__xludf.DUMMYFUNCTION("GOOGLETRANSLATE(B3972, ""en"", ""fa"")
"),"برنامه ریز عروسی")</f>
        <v>برنامه ریز عروسی</v>
      </c>
      <c r="G3972" s="1" t="str">
        <f>IFERROR(__xludf.DUMMYFUNCTION("GOOGLETRANSLATE(C3972, ""en"", ""fa"")
"),"چگونه زوج ها می توانند عناصر غافلگیرکننده یا تجربیات تعاملی را در سرگرمی های عروسی خود بگنجانند؟")</f>
        <v>چگونه زوج ها می توانند عناصر غافلگیرکننده یا تجربیات تعاملی را در سرگرمی های عروسی خود بگنجانند؟</v>
      </c>
      <c r="H3972" s="1"/>
      <c r="I3972" s="1"/>
      <c r="J3972" s="1"/>
      <c r="K3972" s="1"/>
      <c r="L3972" s="1"/>
      <c r="M3972" s="1"/>
      <c r="N3972" s="1"/>
      <c r="O3972" s="1"/>
      <c r="P3972" s="1"/>
      <c r="Q3972" s="1"/>
      <c r="R3972" s="1"/>
      <c r="S3972" s="1"/>
      <c r="T3972" s="1"/>
      <c r="U3972" s="1"/>
      <c r="V3972" s="1"/>
      <c r="W3972" s="1"/>
      <c r="X3972" s="1"/>
      <c r="Y3972" s="1"/>
      <c r="Z3972" s="1"/>
      <c r="AA3972" s="1"/>
      <c r="AB3972" s="1"/>
    </row>
    <row r="3973" ht="50.25" customHeight="1">
      <c r="A3973" s="12">
        <v>3969.0</v>
      </c>
      <c r="B3973" s="13" t="s">
        <v>3778</v>
      </c>
      <c r="C3973" s="14" t="s">
        <v>3991</v>
      </c>
      <c r="D3973" s="1"/>
      <c r="E3973" s="1"/>
      <c r="F3973" s="1" t="str">
        <f>IFERROR(__xludf.DUMMYFUNCTION("GOOGLETRANSLATE(B3973, ""en"", ""fa"")
"),"برنامه ریز عروسی")</f>
        <v>برنامه ریز عروسی</v>
      </c>
      <c r="G3973" s="1" t="str">
        <f>IFERROR(__xludf.DUMMYFUNCTION("GOOGLETRANSLATE(C3973, ""en"", ""fa"")
"),"هنگام ارزیابی تجهیزات و الزامات فنی برای سرگرمی عروسی چه عواملی ضروری است؟")</f>
        <v>هنگام ارزیابی تجهیزات و الزامات فنی برای سرگرمی عروسی چه عواملی ضروری است؟</v>
      </c>
      <c r="H3973" s="1"/>
      <c r="I3973" s="1"/>
      <c r="J3973" s="1"/>
      <c r="K3973" s="1"/>
      <c r="L3973" s="1"/>
      <c r="M3973" s="1"/>
      <c r="N3973" s="1"/>
      <c r="O3973" s="1"/>
      <c r="P3973" s="1"/>
      <c r="Q3973" s="1"/>
      <c r="R3973" s="1"/>
      <c r="S3973" s="1"/>
      <c r="T3973" s="1"/>
      <c r="U3973" s="1"/>
      <c r="V3973" s="1"/>
      <c r="W3973" s="1"/>
      <c r="X3973" s="1"/>
      <c r="Y3973" s="1"/>
      <c r="Z3973" s="1"/>
      <c r="AA3973" s="1"/>
      <c r="AB3973" s="1"/>
    </row>
    <row r="3974" ht="50.25" customHeight="1">
      <c r="A3974" s="12">
        <v>3970.0</v>
      </c>
      <c r="B3974" s="13" t="s">
        <v>3778</v>
      </c>
      <c r="C3974" s="14" t="s">
        <v>3992</v>
      </c>
      <c r="D3974" s="1"/>
      <c r="E3974" s="1"/>
      <c r="F3974" s="1" t="str">
        <f>IFERROR(__xludf.DUMMYFUNCTION("GOOGLETRANSLATE(B3974, ""en"", ""fa"")
"),"برنامه ریز عروسی")</f>
        <v>برنامه ریز عروسی</v>
      </c>
      <c r="G3974" s="1" t="str">
        <f>IFERROR(__xludf.DUMMYFUNCTION("GOOGLETRANSLATE(C3974, ""en"", ""fa"")
"),"چند استراتژی برای انتخاب سرگرمی که یک انتقال بدون درز بین بخش های مختلف روز عروسی ایجاد می کند را به اشتراک بگذارید.")</f>
        <v>چند استراتژی برای انتخاب سرگرمی که یک انتقال بدون درز بین بخش های مختلف روز عروسی ایجاد می کند را به اشتراک بگذارید.</v>
      </c>
      <c r="H3974" s="1"/>
      <c r="I3974" s="1"/>
      <c r="J3974" s="1"/>
      <c r="K3974" s="1"/>
      <c r="L3974" s="1"/>
      <c r="M3974" s="1"/>
      <c r="N3974" s="1"/>
      <c r="O3974" s="1"/>
      <c r="P3974" s="1"/>
      <c r="Q3974" s="1"/>
      <c r="R3974" s="1"/>
      <c r="S3974" s="1"/>
      <c r="T3974" s="1"/>
      <c r="U3974" s="1"/>
      <c r="V3974" s="1"/>
      <c r="W3974" s="1"/>
      <c r="X3974" s="1"/>
      <c r="Y3974" s="1"/>
      <c r="Z3974" s="1"/>
      <c r="AA3974" s="1"/>
      <c r="AB3974" s="1"/>
    </row>
    <row r="3975" ht="50.25" customHeight="1">
      <c r="A3975" s="12">
        <v>3971.0</v>
      </c>
      <c r="B3975" s="13" t="s">
        <v>3778</v>
      </c>
      <c r="C3975" s="14" t="s">
        <v>3993</v>
      </c>
      <c r="D3975" s="1"/>
      <c r="E3975" s="1"/>
      <c r="F3975" s="1" t="str">
        <f>IFERROR(__xludf.DUMMYFUNCTION("GOOGLETRANSLATE(B3975, ""en"", ""fa"")
"),"برنامه ریز عروسی")</f>
        <v>برنامه ریز عروسی</v>
      </c>
      <c r="G3975" s="1" t="str">
        <f>IFERROR(__xludf.DUMMYFUNCTION("GOOGLETRANSLATE(C3975, ""en"", ""fa"")
"),"چگونه برنامه ریزان عروسی می توانند به زوج ها در مدیریت فضا و تدارکات برای تنظیمات و اجراهای سرگرمی کمک کنند؟")</f>
        <v>چگونه برنامه ریزان عروسی می توانند به زوج ها در مدیریت فضا و تدارکات برای تنظیمات و اجراهای سرگرمی کمک کنند؟</v>
      </c>
      <c r="H3975" s="1"/>
      <c r="I3975" s="1"/>
      <c r="J3975" s="1"/>
      <c r="K3975" s="1"/>
      <c r="L3975" s="1"/>
      <c r="M3975" s="1"/>
      <c r="N3975" s="1"/>
      <c r="O3975" s="1"/>
      <c r="P3975" s="1"/>
      <c r="Q3975" s="1"/>
      <c r="R3975" s="1"/>
      <c r="S3975" s="1"/>
      <c r="T3975" s="1"/>
      <c r="U3975" s="1"/>
      <c r="V3975" s="1"/>
      <c r="W3975" s="1"/>
      <c r="X3975" s="1"/>
      <c r="Y3975" s="1"/>
      <c r="Z3975" s="1"/>
      <c r="AA3975" s="1"/>
      <c r="AB3975" s="1"/>
    </row>
    <row r="3976" ht="50.25" customHeight="1">
      <c r="A3976" s="12">
        <v>3972.0</v>
      </c>
      <c r="B3976" s="13" t="s">
        <v>3778</v>
      </c>
      <c r="C3976" s="14" t="s">
        <v>3994</v>
      </c>
      <c r="D3976" s="1"/>
      <c r="E3976" s="1"/>
      <c r="F3976" s="1" t="str">
        <f>IFERROR(__xludf.DUMMYFUNCTION("GOOGLETRANSLATE(B3976, ""en"", ""fa"")
"),"برنامه ریز عروسی")</f>
        <v>برنامه ریز عروسی</v>
      </c>
      <c r="G3976" s="1" t="str">
        <f>IFERROR(__xludf.DUMMYFUNCTION("GOOGLETRANSLATE(C3976, ""en"", ""fa"")
"),"چه راه هایی برای گنجاندن نقاشی زنده، هنرمندان کاریکاتور، یا سایر سرگرمی های بصری در عروسی وجود دارد؟")</f>
        <v>چه راه هایی برای گنجاندن نقاشی زنده، هنرمندان کاریکاتور، یا سایر سرگرمی های بصری در عروسی وجود دارد؟</v>
      </c>
      <c r="H3976" s="1"/>
      <c r="I3976" s="1"/>
      <c r="J3976" s="1"/>
      <c r="K3976" s="1"/>
      <c r="L3976" s="1"/>
      <c r="M3976" s="1"/>
      <c r="N3976" s="1"/>
      <c r="O3976" s="1"/>
      <c r="P3976" s="1"/>
      <c r="Q3976" s="1"/>
      <c r="R3976" s="1"/>
      <c r="S3976" s="1"/>
      <c r="T3976" s="1"/>
      <c r="U3976" s="1"/>
      <c r="V3976" s="1"/>
      <c r="W3976" s="1"/>
      <c r="X3976" s="1"/>
      <c r="Y3976" s="1"/>
      <c r="Z3976" s="1"/>
      <c r="AA3976" s="1"/>
      <c r="AB3976" s="1"/>
    </row>
    <row r="3977" ht="50.25" customHeight="1">
      <c r="A3977" s="12">
        <v>3973.0</v>
      </c>
      <c r="B3977" s="13" t="s">
        <v>3778</v>
      </c>
      <c r="C3977" s="14" t="s">
        <v>3995</v>
      </c>
      <c r="D3977" s="1"/>
      <c r="E3977" s="1"/>
      <c r="F3977" s="1" t="str">
        <f>IFERROR(__xludf.DUMMYFUNCTION("GOOGLETRANSLATE(B3977, ""en"", ""fa"")
"),"برنامه ریز عروسی")</f>
        <v>برنامه ریز عروسی</v>
      </c>
      <c r="G3977" s="1" t="str">
        <f>IFERROR(__xludf.DUMMYFUNCTION("GOOGLETRANSLATE(C3977, ""en"", ""fa"")
"),"ایده هایی برای ایجاد تجربیات سرگرمی مضمونی که مهمانان را به دوره ها یا تنظیمات مختلف منتقل می کند، به اشتراک بگذارید.")</f>
        <v>ایده هایی برای ایجاد تجربیات سرگرمی مضمونی که مهمانان را به دوره ها یا تنظیمات مختلف منتقل می کند، به اشتراک بگذارید.</v>
      </c>
      <c r="H3977" s="1"/>
      <c r="I3977" s="1"/>
      <c r="J3977" s="1"/>
      <c r="K3977" s="1"/>
      <c r="L3977" s="1"/>
      <c r="M3977" s="1"/>
      <c r="N3977" s="1"/>
      <c r="O3977" s="1"/>
      <c r="P3977" s="1"/>
      <c r="Q3977" s="1"/>
      <c r="R3977" s="1"/>
      <c r="S3977" s="1"/>
      <c r="T3977" s="1"/>
      <c r="U3977" s="1"/>
      <c r="V3977" s="1"/>
      <c r="W3977" s="1"/>
      <c r="X3977" s="1"/>
      <c r="Y3977" s="1"/>
      <c r="Z3977" s="1"/>
      <c r="AA3977" s="1"/>
      <c r="AB3977" s="1"/>
    </row>
    <row r="3978" ht="50.25" customHeight="1">
      <c r="A3978" s="12">
        <v>3974.0</v>
      </c>
      <c r="B3978" s="13" t="s">
        <v>3778</v>
      </c>
      <c r="C3978" s="14" t="s">
        <v>3996</v>
      </c>
      <c r="D3978" s="1"/>
      <c r="E3978" s="1"/>
      <c r="F3978" s="1" t="str">
        <f>IFERROR(__xludf.DUMMYFUNCTION("GOOGLETRANSLATE(B3978, ""en"", ""fa"")
"),"برنامه ریز عروسی")</f>
        <v>برنامه ریز عروسی</v>
      </c>
      <c r="G3978" s="1" t="str">
        <f>IFERROR(__xludf.DUMMYFUNCTION("GOOGLETRANSLATE(C3978, ""en"", ""fa"")
"),"چگونه زوج‌ها می‌توانند سرگرمی‌هایی را انتخاب کنند که فراگیر باشد و مهمان‌هایی با پیشینه‌ها و علایق گوناگون را تامین کند؟")</f>
        <v>چگونه زوج‌ها می‌توانند سرگرمی‌هایی را انتخاب کنند که فراگیر باشد و مهمان‌هایی با پیشینه‌ها و علایق گوناگون را تامین کند؟</v>
      </c>
      <c r="H3978" s="1"/>
      <c r="I3978" s="1"/>
      <c r="J3978" s="1"/>
      <c r="K3978" s="1"/>
      <c r="L3978" s="1"/>
      <c r="M3978" s="1"/>
      <c r="N3978" s="1"/>
      <c r="O3978" s="1"/>
      <c r="P3978" s="1"/>
      <c r="Q3978" s="1"/>
      <c r="R3978" s="1"/>
      <c r="S3978" s="1"/>
      <c r="T3978" s="1"/>
      <c r="U3978" s="1"/>
      <c r="V3978" s="1"/>
      <c r="W3978" s="1"/>
      <c r="X3978" s="1"/>
      <c r="Y3978" s="1"/>
      <c r="Z3978" s="1"/>
      <c r="AA3978" s="1"/>
      <c r="AB3978" s="1"/>
    </row>
    <row r="3979" ht="50.25" customHeight="1">
      <c r="A3979" s="12">
        <v>3975.0</v>
      </c>
      <c r="B3979" s="13" t="s">
        <v>3778</v>
      </c>
      <c r="C3979" s="14" t="s">
        <v>3997</v>
      </c>
      <c r="D3979" s="1"/>
      <c r="E3979" s="1"/>
      <c r="F3979" s="1" t="str">
        <f>IFERROR(__xludf.DUMMYFUNCTION("GOOGLETRANSLATE(B3979, ""en"", ""fa"")
"),"برنامه ریز عروسی")</f>
        <v>برنامه ریز عروسی</v>
      </c>
      <c r="G3979" s="1" t="str">
        <f>IFERROR(__xludf.DUMMYFUNCTION("GOOGLETRANSLATE(C3979, ""en"", ""fa"")
"),"ملاحظات کلیدی برای انتخاب سرگرمی هایی که به سنت های فرهنگی یا مذهبی خاص پایبند باشد چیست؟")</f>
        <v>ملاحظات کلیدی برای انتخاب سرگرمی هایی که به سنت های فرهنگی یا مذهبی خاص پایبند باشد چیست؟</v>
      </c>
      <c r="H3979" s="1"/>
      <c r="I3979" s="1"/>
      <c r="J3979" s="1"/>
      <c r="K3979" s="1"/>
      <c r="L3979" s="1"/>
      <c r="M3979" s="1"/>
      <c r="N3979" s="1"/>
      <c r="O3979" s="1"/>
      <c r="P3979" s="1"/>
      <c r="Q3979" s="1"/>
      <c r="R3979" s="1"/>
      <c r="S3979" s="1"/>
      <c r="T3979" s="1"/>
      <c r="U3979" s="1"/>
      <c r="V3979" s="1"/>
      <c r="W3979" s="1"/>
      <c r="X3979" s="1"/>
      <c r="Y3979" s="1"/>
      <c r="Z3979" s="1"/>
      <c r="AA3979" s="1"/>
      <c r="AB3979" s="1"/>
    </row>
    <row r="3980" ht="50.25" customHeight="1">
      <c r="A3980" s="12">
        <v>3976.0</v>
      </c>
      <c r="B3980" s="13" t="s">
        <v>3778</v>
      </c>
      <c r="C3980" s="14" t="s">
        <v>3998</v>
      </c>
      <c r="D3980" s="1"/>
      <c r="E3980" s="1"/>
      <c r="F3980" s="1" t="str">
        <f>IFERROR(__xludf.DUMMYFUNCTION("GOOGLETRANSLATE(B3980, ""en"", ""fa"")
"),"برنامه ریز عروسی")</f>
        <v>برنامه ریز عروسی</v>
      </c>
      <c r="G3980" s="1" t="str">
        <f>IFERROR(__xludf.DUMMYFUNCTION("GOOGLETRANSLATE(C3980, ""en"", ""fa"")
"),"نکاتی را برای مدیریت حجم و آکوستیک سرگرمی های عروسی به اشتراک بگذارید تا تجربه ای دلپذیر برای مهمانان تضمین شود.")</f>
        <v>نکاتی را برای مدیریت حجم و آکوستیک سرگرمی های عروسی به اشتراک بگذارید تا تجربه ای دلپذیر برای مهمانان تضمین شود.</v>
      </c>
      <c r="H3980" s="1"/>
      <c r="I3980" s="1"/>
      <c r="J3980" s="1"/>
      <c r="K3980" s="1"/>
      <c r="L3980" s="1"/>
      <c r="M3980" s="1"/>
      <c r="N3980" s="1"/>
      <c r="O3980" s="1"/>
      <c r="P3980" s="1"/>
      <c r="Q3980" s="1"/>
      <c r="R3980" s="1"/>
      <c r="S3980" s="1"/>
      <c r="T3980" s="1"/>
      <c r="U3980" s="1"/>
      <c r="V3980" s="1"/>
      <c r="W3980" s="1"/>
      <c r="X3980" s="1"/>
      <c r="Y3980" s="1"/>
      <c r="Z3980" s="1"/>
      <c r="AA3980" s="1"/>
      <c r="AB3980" s="1"/>
    </row>
    <row r="3981" ht="50.25" customHeight="1">
      <c r="A3981" s="12">
        <v>3977.0</v>
      </c>
      <c r="B3981" s="13" t="s">
        <v>3778</v>
      </c>
      <c r="C3981" s="14" t="s">
        <v>3999</v>
      </c>
      <c r="D3981" s="1"/>
      <c r="E3981" s="1"/>
      <c r="F3981" s="1" t="str">
        <f>IFERROR(__xludf.DUMMYFUNCTION("GOOGLETRANSLATE(B3981, ""en"", ""fa"")
"),"برنامه ریز عروسی")</f>
        <v>برنامه ریز عروسی</v>
      </c>
      <c r="G3981" s="1" t="str">
        <f>IFERROR(__xludf.DUMMYFUNCTION("GOOGLETRANSLATE(C3981, ""en"", ""fa"")
"),"چگونه برنامه ریزان عروسی می توانند به زوج ها در ادغام یکپارچه سرگرمی با سایر عناصر عروسی، مانند سخنرانی یا ارائه کمک کنند؟")</f>
        <v>چگونه برنامه ریزان عروسی می توانند به زوج ها در ادغام یکپارچه سرگرمی با سایر عناصر عروسی، مانند سخنرانی یا ارائه کمک کنند؟</v>
      </c>
      <c r="H3981" s="1"/>
      <c r="I3981" s="1"/>
      <c r="J3981" s="1"/>
      <c r="K3981" s="1"/>
      <c r="L3981" s="1"/>
      <c r="M3981" s="1"/>
      <c r="N3981" s="1"/>
      <c r="O3981" s="1"/>
      <c r="P3981" s="1"/>
      <c r="Q3981" s="1"/>
      <c r="R3981" s="1"/>
      <c r="S3981" s="1"/>
      <c r="T3981" s="1"/>
      <c r="U3981" s="1"/>
      <c r="V3981" s="1"/>
      <c r="W3981" s="1"/>
      <c r="X3981" s="1"/>
      <c r="Y3981" s="1"/>
      <c r="Z3981" s="1"/>
      <c r="AA3981" s="1"/>
      <c r="AB3981" s="1"/>
    </row>
    <row r="3982" ht="50.25" customHeight="1">
      <c r="A3982" s="12">
        <v>3978.0</v>
      </c>
      <c r="B3982" s="13" t="s">
        <v>3778</v>
      </c>
      <c r="C3982" s="14" t="s">
        <v>4000</v>
      </c>
      <c r="D3982" s="1"/>
      <c r="E3982" s="1"/>
      <c r="F3982" s="1" t="str">
        <f>IFERROR(__xludf.DUMMYFUNCTION("GOOGLETRANSLATE(B3982, ""en"", ""fa"")
"),"برنامه ریز عروسی")</f>
        <v>برنامه ریز عروسی</v>
      </c>
      <c r="G3982" s="1" t="str">
        <f>IFERROR(__xludf.DUMMYFUNCTION("GOOGLETRANSLATE(C3982, ""en"", ""fa"")
"),"هنگام ارزیابی شهرت و بررسی ارائه دهندگان سرگرمی عروسی بالقوه چه عواملی را باید در نظر گرفت؟")</f>
        <v>هنگام ارزیابی شهرت و بررسی ارائه دهندگان سرگرمی عروسی بالقوه چه عواملی را باید در نظر گرفت؟</v>
      </c>
      <c r="H3982" s="1"/>
      <c r="I3982" s="1"/>
      <c r="J3982" s="1"/>
      <c r="K3982" s="1"/>
      <c r="L3982" s="1"/>
      <c r="M3982" s="1"/>
      <c r="N3982" s="1"/>
      <c r="O3982" s="1"/>
      <c r="P3982" s="1"/>
      <c r="Q3982" s="1"/>
      <c r="R3982" s="1"/>
      <c r="S3982" s="1"/>
      <c r="T3982" s="1"/>
      <c r="U3982" s="1"/>
      <c r="V3982" s="1"/>
      <c r="W3982" s="1"/>
      <c r="X3982" s="1"/>
      <c r="Y3982" s="1"/>
      <c r="Z3982" s="1"/>
      <c r="AA3982" s="1"/>
      <c r="AB3982" s="1"/>
    </row>
    <row r="3983" ht="50.25" customHeight="1">
      <c r="A3983" s="12">
        <v>3979.0</v>
      </c>
      <c r="B3983" s="13" t="s">
        <v>3778</v>
      </c>
      <c r="C3983" s="14" t="s">
        <v>4001</v>
      </c>
      <c r="D3983" s="1"/>
      <c r="E3983" s="1"/>
      <c r="F3983" s="1" t="str">
        <f>IFERROR(__xludf.DUMMYFUNCTION("GOOGLETRANSLATE(B3983, ""en"", ""fa"")
"),"برنامه ریز عروسی")</f>
        <v>برنامه ریز عروسی</v>
      </c>
      <c r="G3983" s="1" t="str">
        <f>IFERROR(__xludf.DUMMYFUNCTION("GOOGLETRANSLATE(C3983, ""en"", ""fa"")
"),"چند استراتژی برای مدیریت تعاملات مهمان و کنترل جمعیت در حین اجراهای سرگرمی تعاملی به اشتراک بگذارید.")</f>
        <v>چند استراتژی برای مدیریت تعاملات مهمان و کنترل جمعیت در حین اجراهای سرگرمی تعاملی به اشتراک بگذارید.</v>
      </c>
      <c r="H3983" s="1"/>
      <c r="I3983" s="1"/>
      <c r="J3983" s="1"/>
      <c r="K3983" s="1"/>
      <c r="L3983" s="1"/>
      <c r="M3983" s="1"/>
      <c r="N3983" s="1"/>
      <c r="O3983" s="1"/>
      <c r="P3983" s="1"/>
      <c r="Q3983" s="1"/>
      <c r="R3983" s="1"/>
      <c r="S3983" s="1"/>
      <c r="T3983" s="1"/>
      <c r="U3983" s="1"/>
      <c r="V3983" s="1"/>
      <c r="W3983" s="1"/>
      <c r="X3983" s="1"/>
      <c r="Y3983" s="1"/>
      <c r="Z3983" s="1"/>
      <c r="AA3983" s="1"/>
      <c r="AB3983" s="1"/>
    </row>
    <row r="3984" ht="50.25" customHeight="1">
      <c r="A3984" s="12">
        <v>3980.0</v>
      </c>
      <c r="B3984" s="13" t="s">
        <v>3778</v>
      </c>
      <c r="C3984" s="14" t="s">
        <v>4002</v>
      </c>
      <c r="D3984" s="1"/>
      <c r="E3984" s="1"/>
      <c r="F3984" s="1" t="str">
        <f>IFERROR(__xludf.DUMMYFUNCTION("GOOGLETRANSLATE(B3984, ""en"", ""fa"")
"),"برنامه ریز عروسی")</f>
        <v>برنامه ریز عروسی</v>
      </c>
      <c r="G3984" s="1" t="str">
        <f>IFERROR(__xludf.DUMMYFUNCTION("GOOGLETRANSLATE(C3984, ""en"", ""fa"")
"),"چگونه زوج‌ها می‌توانند سرگرمی‌هایی را انتخاب کنند که با اهداف پایداری و ارزش‌های سازگار با محیط زیست هماهنگ باشد؟")</f>
        <v>چگونه زوج‌ها می‌توانند سرگرمی‌هایی را انتخاب کنند که با اهداف پایداری و ارزش‌های سازگار با محیط زیست هماهنگ باشد؟</v>
      </c>
      <c r="H3984" s="1"/>
      <c r="I3984" s="1"/>
      <c r="J3984" s="1"/>
      <c r="K3984" s="1"/>
      <c r="L3984" s="1"/>
      <c r="M3984" s="1"/>
      <c r="N3984" s="1"/>
      <c r="O3984" s="1"/>
      <c r="P3984" s="1"/>
      <c r="Q3984" s="1"/>
      <c r="R3984" s="1"/>
      <c r="S3984" s="1"/>
      <c r="T3984" s="1"/>
      <c r="U3984" s="1"/>
      <c r="V3984" s="1"/>
      <c r="W3984" s="1"/>
      <c r="X3984" s="1"/>
      <c r="Y3984" s="1"/>
      <c r="Z3984" s="1"/>
      <c r="AA3984" s="1"/>
      <c r="AB3984" s="1"/>
    </row>
    <row r="3985" ht="50.25" customHeight="1">
      <c r="A3985" s="12">
        <v>3981.0</v>
      </c>
      <c r="B3985" s="13" t="s">
        <v>3778</v>
      </c>
      <c r="C3985" s="14" t="s">
        <v>4003</v>
      </c>
      <c r="D3985" s="1"/>
      <c r="E3985" s="1"/>
      <c r="F3985" s="1" t="str">
        <f>IFERROR(__xludf.DUMMYFUNCTION("GOOGLETRANSLATE(B3985, ""en"", ""fa"")
"),"برنامه ریز عروسی")</f>
        <v>برنامه ریز عروسی</v>
      </c>
      <c r="G3985" s="1" t="str">
        <f>IFERROR(__xludf.DUMMYFUNCTION("GOOGLETRANSLATE(C3985, ""en"", ""fa"")
"),"چه راه هایی برای گنجاندن ظواهر یا اجراهای شگفت انگیز افراد مشهور در سرگرمی عروسی وجود دارد؟")</f>
        <v>چه راه هایی برای گنجاندن ظواهر یا اجراهای شگفت انگیز افراد مشهور در سرگرمی عروسی وجود دارد؟</v>
      </c>
      <c r="H3985" s="1"/>
      <c r="I3985" s="1"/>
      <c r="J3985" s="1"/>
      <c r="K3985" s="1"/>
      <c r="L3985" s="1"/>
      <c r="M3985" s="1"/>
      <c r="N3985" s="1"/>
      <c r="O3985" s="1"/>
      <c r="P3985" s="1"/>
      <c r="Q3985" s="1"/>
      <c r="R3985" s="1"/>
      <c r="S3985" s="1"/>
      <c r="T3985" s="1"/>
      <c r="U3985" s="1"/>
      <c r="V3985" s="1"/>
      <c r="W3985" s="1"/>
      <c r="X3985" s="1"/>
      <c r="Y3985" s="1"/>
      <c r="Z3985" s="1"/>
      <c r="AA3985" s="1"/>
      <c r="AB3985" s="1"/>
    </row>
    <row r="3986" ht="50.25" customHeight="1">
      <c r="A3986" s="12">
        <v>3982.0</v>
      </c>
      <c r="B3986" s="13" t="s">
        <v>3778</v>
      </c>
      <c r="C3986" s="14" t="s">
        <v>4004</v>
      </c>
      <c r="D3986" s="1"/>
      <c r="E3986" s="1"/>
      <c r="F3986" s="1" t="str">
        <f>IFERROR(__xludf.DUMMYFUNCTION("GOOGLETRANSLATE(B3986, ""en"", ""fa"")
"),"برنامه ریز عروسی")</f>
        <v>برنامه ریز عروسی</v>
      </c>
      <c r="G3986" s="1" t="str">
        <f>IFERROR(__xludf.DUMMYFUNCTION("GOOGLETRANSLATE(C3986, ""en"", ""fa"")
"),"ایده هایی را برای سرگرمی های فرهنگی یا سنتی منحصر به فرد به اشتراک بگذارید که می تواند حسی به یاد ماندنی به عروسی بیافزاید.")</f>
        <v>ایده هایی را برای سرگرمی های فرهنگی یا سنتی منحصر به فرد به اشتراک بگذارید که می تواند حسی به یاد ماندنی به عروسی بیافزاید.</v>
      </c>
      <c r="H3986" s="1"/>
      <c r="I3986" s="1"/>
      <c r="J3986" s="1"/>
      <c r="K3986" s="1"/>
      <c r="L3986" s="1"/>
      <c r="M3986" s="1"/>
      <c r="N3986" s="1"/>
      <c r="O3986" s="1"/>
      <c r="P3986" s="1"/>
      <c r="Q3986" s="1"/>
      <c r="R3986" s="1"/>
      <c r="S3986" s="1"/>
      <c r="T3986" s="1"/>
      <c r="U3986" s="1"/>
      <c r="V3986" s="1"/>
      <c r="W3986" s="1"/>
      <c r="X3986" s="1"/>
      <c r="Y3986" s="1"/>
      <c r="Z3986" s="1"/>
      <c r="AA3986" s="1"/>
      <c r="AB3986" s="1"/>
    </row>
    <row r="3987" ht="50.25" customHeight="1">
      <c r="A3987" s="12">
        <v>3983.0</v>
      </c>
      <c r="B3987" s="13" t="s">
        <v>3778</v>
      </c>
      <c r="C3987" s="14" t="s">
        <v>4005</v>
      </c>
      <c r="D3987" s="1"/>
      <c r="E3987" s="1"/>
      <c r="F3987" s="1" t="str">
        <f>IFERROR(__xludf.DUMMYFUNCTION("GOOGLETRANSLATE(B3987, ""en"", ""fa"")
"),"برنامه ریز عروسی")</f>
        <v>برنامه ریز عروسی</v>
      </c>
      <c r="G3987" s="1" t="str">
        <f>IFERROR(__xludf.DUMMYFUNCTION("GOOGLETRANSLATE(C3987, ""en"", ""fa"")
"),"برنامه ریزان عروسی چگونه می توانند به زوج ها در مدیریت مسائل مربوط به کپی رایت و مجوز مربوط به موسیقی یا اجرا کمک کنند؟")</f>
        <v>برنامه ریزان عروسی چگونه می توانند به زوج ها در مدیریت مسائل مربوط به کپی رایت و مجوز مربوط به موسیقی یا اجرا کمک کنند؟</v>
      </c>
      <c r="H3987" s="1"/>
      <c r="I3987" s="1"/>
      <c r="J3987" s="1"/>
      <c r="K3987" s="1"/>
      <c r="L3987" s="1"/>
      <c r="M3987" s="1"/>
      <c r="N3987" s="1"/>
      <c r="O3987" s="1"/>
      <c r="P3987" s="1"/>
      <c r="Q3987" s="1"/>
      <c r="R3987" s="1"/>
      <c r="S3987" s="1"/>
      <c r="T3987" s="1"/>
      <c r="U3987" s="1"/>
      <c r="V3987" s="1"/>
      <c r="W3987" s="1"/>
      <c r="X3987" s="1"/>
      <c r="Y3987" s="1"/>
      <c r="Z3987" s="1"/>
      <c r="AA3987" s="1"/>
      <c r="AB3987" s="1"/>
    </row>
    <row r="3988" ht="50.25" customHeight="1">
      <c r="A3988" s="12">
        <v>3984.0</v>
      </c>
      <c r="B3988" s="13" t="s">
        <v>3778</v>
      </c>
      <c r="C3988" s="14" t="s">
        <v>4006</v>
      </c>
      <c r="D3988" s="1"/>
      <c r="E3988" s="1"/>
      <c r="F3988" s="1" t="str">
        <f>IFERROR(__xludf.DUMMYFUNCTION("GOOGLETRANSLATE(B3988, ""en"", ""fa"")
"),"برنامه ریز عروسی")</f>
        <v>برنامه ریز عروسی</v>
      </c>
      <c r="G3988" s="1" t="str">
        <f>IFERROR(__xludf.DUMMYFUNCTION("GOOGLETRANSLATE(C3988, ""en"", ""fa"")
"),"بهترین شیوه ها برای اطمینان از ایمنی و امنیت مجریان سرگرمی و مهمانان در طول رویداد چیست؟")</f>
        <v>بهترین شیوه ها برای اطمینان از ایمنی و امنیت مجریان سرگرمی و مهمانان در طول رویداد چیست؟</v>
      </c>
      <c r="H3988" s="1"/>
      <c r="I3988" s="1"/>
      <c r="J3988" s="1"/>
      <c r="K3988" s="1"/>
      <c r="L3988" s="1"/>
      <c r="M3988" s="1"/>
      <c r="N3988" s="1"/>
      <c r="O3988" s="1"/>
      <c r="P3988" s="1"/>
      <c r="Q3988" s="1"/>
      <c r="R3988" s="1"/>
      <c r="S3988" s="1"/>
      <c r="T3988" s="1"/>
      <c r="U3988" s="1"/>
      <c r="V3988" s="1"/>
      <c r="W3988" s="1"/>
      <c r="X3988" s="1"/>
      <c r="Y3988" s="1"/>
      <c r="Z3988" s="1"/>
      <c r="AA3988" s="1"/>
      <c r="AB3988" s="1"/>
    </row>
    <row r="3989" ht="50.25" customHeight="1">
      <c r="A3989" s="12">
        <v>3985.0</v>
      </c>
      <c r="B3989" s="13" t="s">
        <v>3778</v>
      </c>
      <c r="C3989" s="14" t="s">
        <v>4007</v>
      </c>
      <c r="D3989" s="1"/>
      <c r="E3989" s="1"/>
      <c r="F3989" s="1" t="str">
        <f>IFERROR(__xludf.DUMMYFUNCTION("GOOGLETRANSLATE(B3989, ""en"", ""fa"")
"),"برنامه ریز عروسی")</f>
        <v>برنامه ریز عروسی</v>
      </c>
      <c r="G3989" s="1" t="str">
        <f>IFERROR(__xludf.DUMMYFUNCTION("GOOGLETRANSLATE(C3989, ""en"", ""fa"")
"),"نکاتی را برای ارزیابی تجربه کلی سرگرمی و جمع آوری بازخورد از مهمانان عروسی به اشتراک بگذارید.")</f>
        <v>نکاتی را برای ارزیابی تجربه کلی سرگرمی و جمع آوری بازخورد از مهمانان عروسی به اشتراک بگذارید.</v>
      </c>
      <c r="H3989" s="1"/>
      <c r="I3989" s="1"/>
      <c r="J3989" s="1"/>
      <c r="K3989" s="1"/>
      <c r="L3989" s="1"/>
      <c r="M3989" s="1"/>
      <c r="N3989" s="1"/>
      <c r="O3989" s="1"/>
      <c r="P3989" s="1"/>
      <c r="Q3989" s="1"/>
      <c r="R3989" s="1"/>
      <c r="S3989" s="1"/>
      <c r="T3989" s="1"/>
      <c r="U3989" s="1"/>
      <c r="V3989" s="1"/>
      <c r="W3989" s="1"/>
      <c r="X3989" s="1"/>
      <c r="Y3989" s="1"/>
      <c r="Z3989" s="1"/>
      <c r="AA3989" s="1"/>
      <c r="AB3989" s="1"/>
    </row>
    <row r="3990" ht="50.25" customHeight="1">
      <c r="A3990" s="12">
        <v>3986.0</v>
      </c>
      <c r="B3990" s="13" t="s">
        <v>3778</v>
      </c>
      <c r="C3990" s="14" t="s">
        <v>4008</v>
      </c>
      <c r="D3990" s="1"/>
      <c r="E3990" s="1"/>
      <c r="F3990" s="1" t="str">
        <f>IFERROR(__xludf.DUMMYFUNCTION("GOOGLETRANSLATE(B3990, ""en"", ""fa"")
"),"برنامه ریز عروسی")</f>
        <v>برنامه ریز عروسی</v>
      </c>
      <c r="G3990" s="1" t="str">
        <f>IFERROR(__xludf.DUMMYFUNCTION("GOOGLETRANSLATE(C3990, ""en"", ""fa"")
"),"در انتخاب لباس عروس چه فاکتورهایی را باید در نظر گرفت؟")</f>
        <v>در انتخاب لباس عروس چه فاکتورهایی را باید در نظر گرفت؟</v>
      </c>
      <c r="H3990" s="1"/>
      <c r="I3990" s="1"/>
      <c r="J3990" s="1"/>
      <c r="K3990" s="1"/>
      <c r="L3990" s="1"/>
      <c r="M3990" s="1"/>
      <c r="N3990" s="1"/>
      <c r="O3990" s="1"/>
      <c r="P3990" s="1"/>
      <c r="Q3990" s="1"/>
      <c r="R3990" s="1"/>
      <c r="S3990" s="1"/>
      <c r="T3990" s="1"/>
      <c r="U3990" s="1"/>
      <c r="V3990" s="1"/>
      <c r="W3990" s="1"/>
      <c r="X3990" s="1"/>
      <c r="Y3990" s="1"/>
      <c r="Z3990" s="1"/>
      <c r="AA3990" s="1"/>
      <c r="AB3990" s="1"/>
    </row>
    <row r="3991" ht="50.25" customHeight="1">
      <c r="A3991" s="12">
        <v>3987.0</v>
      </c>
      <c r="B3991" s="13" t="s">
        <v>3778</v>
      </c>
      <c r="C3991" s="14" t="s">
        <v>4009</v>
      </c>
      <c r="D3991" s="1"/>
      <c r="E3991" s="1"/>
      <c r="F3991" s="1" t="str">
        <f>IFERROR(__xludf.DUMMYFUNCTION("GOOGLETRANSLATE(B3991, ""en"", ""fa"")
"),"برنامه ریز عروسی")</f>
        <v>برنامه ریز عروسی</v>
      </c>
      <c r="G3991" s="1" t="str">
        <f>IFERROR(__xludf.DUMMYFUNCTION("GOOGLETRANSLATE(C3991, ""en"", ""fa"")
"),"نکاتی را برای یافتن لباس عروسی مناسب که مکمل تیپ اندام عروس است به اشتراک بگذارید.")</f>
        <v>نکاتی را برای یافتن لباس عروسی مناسب که مکمل تیپ اندام عروس است به اشتراک بگذارید.</v>
      </c>
      <c r="H3991" s="1"/>
      <c r="I3991" s="1"/>
      <c r="J3991" s="1"/>
      <c r="K3991" s="1"/>
      <c r="L3991" s="1"/>
      <c r="M3991" s="1"/>
      <c r="N3991" s="1"/>
      <c r="O3991" s="1"/>
      <c r="P3991" s="1"/>
      <c r="Q3991" s="1"/>
      <c r="R3991" s="1"/>
      <c r="S3991" s="1"/>
      <c r="T3991" s="1"/>
      <c r="U3991" s="1"/>
      <c r="V3991" s="1"/>
      <c r="W3991" s="1"/>
      <c r="X3991" s="1"/>
      <c r="Y3991" s="1"/>
      <c r="Z3991" s="1"/>
      <c r="AA3991" s="1"/>
      <c r="AB3991" s="1"/>
    </row>
    <row r="3992" ht="50.25" customHeight="1">
      <c r="A3992" s="12">
        <v>3988.0</v>
      </c>
      <c r="B3992" s="13" t="s">
        <v>3778</v>
      </c>
      <c r="C3992" s="14" t="s">
        <v>4010</v>
      </c>
      <c r="D3992" s="1"/>
      <c r="E3992" s="1"/>
      <c r="F3992" s="1" t="str">
        <f>IFERROR(__xludf.DUMMYFUNCTION("GOOGLETRANSLATE(B3992, ""en"", ""fa"")
"),"برنامه ریز عروسی")</f>
        <v>برنامه ریز عروسی</v>
      </c>
      <c r="G3992" s="1" t="str">
        <f>IFERROR(__xludf.DUMMYFUNCTION("GOOGLETRANSLATE(C3992, ""en"", ""fa"")
"),"برنامه ریزان عروسی چگونه می توانند به عروس ها در انتخاب لباسی که با تم و محل برگزاری عروسی همخوانی دارد کمک کنند؟")</f>
        <v>برنامه ریزان عروسی چگونه می توانند به عروس ها در انتخاب لباسی که با تم و محل برگزاری عروسی همخوانی دارد کمک کنند؟</v>
      </c>
      <c r="H3992" s="1"/>
      <c r="I3992" s="1"/>
      <c r="J3992" s="1"/>
      <c r="K3992" s="1"/>
      <c r="L3992" s="1"/>
      <c r="M3992" s="1"/>
      <c r="N3992" s="1"/>
      <c r="O3992" s="1"/>
      <c r="P3992" s="1"/>
      <c r="Q3992" s="1"/>
      <c r="R3992" s="1"/>
      <c r="S3992" s="1"/>
      <c r="T3992" s="1"/>
      <c r="U3992" s="1"/>
      <c r="V3992" s="1"/>
      <c r="W3992" s="1"/>
      <c r="X3992" s="1"/>
      <c r="Y3992" s="1"/>
      <c r="Z3992" s="1"/>
      <c r="AA3992" s="1"/>
      <c r="AB3992" s="1"/>
    </row>
    <row r="3993" ht="50.25" customHeight="1">
      <c r="A3993" s="12">
        <v>3989.0</v>
      </c>
      <c r="B3993" s="13" t="s">
        <v>3778</v>
      </c>
      <c r="C3993" s="14" t="s">
        <v>4011</v>
      </c>
      <c r="D3993" s="1"/>
      <c r="E3993" s="1"/>
      <c r="F3993" s="1" t="str">
        <f>IFERROR(__xludf.DUMMYFUNCTION("GOOGLETRANSLATE(B3993, ""en"", ""fa"")
"),"برنامه ریز عروسی")</f>
        <v>برنامه ریز عروسی</v>
      </c>
      <c r="G3993" s="1" t="str">
        <f>IFERROR(__xludf.DUMMYFUNCTION("GOOGLETRANSLATE(C3993, ""en"", ""fa"")
"),"جدیدترین ترندها و مدل های لباس عروس چیست؟")</f>
        <v>جدیدترین ترندها و مدل های لباس عروس چیست؟</v>
      </c>
      <c r="H3993" s="1"/>
      <c r="I3993" s="1"/>
      <c r="J3993" s="1"/>
      <c r="K3993" s="1"/>
      <c r="L3993" s="1"/>
      <c r="M3993" s="1"/>
      <c r="N3993" s="1"/>
      <c r="O3993" s="1"/>
      <c r="P3993" s="1"/>
      <c r="Q3993" s="1"/>
      <c r="R3993" s="1"/>
      <c r="S3993" s="1"/>
      <c r="T3993" s="1"/>
      <c r="U3993" s="1"/>
      <c r="V3993" s="1"/>
      <c r="W3993" s="1"/>
      <c r="X3993" s="1"/>
      <c r="Y3993" s="1"/>
      <c r="Z3993" s="1"/>
      <c r="AA3993" s="1"/>
      <c r="AB3993" s="1"/>
    </row>
    <row r="3994" ht="50.25" customHeight="1">
      <c r="A3994" s="12">
        <v>3990.0</v>
      </c>
      <c r="B3994" s="13" t="s">
        <v>3778</v>
      </c>
      <c r="C3994" s="14" t="s">
        <v>4012</v>
      </c>
      <c r="D3994" s="1"/>
      <c r="E3994" s="1"/>
      <c r="F3994" s="1" t="str">
        <f>IFERROR(__xludf.DUMMYFUNCTION("GOOGLETRANSLATE(B3994, ""en"", ""fa"")
"),"برنامه ریز عروسی")</f>
        <v>برنامه ریز عروسی</v>
      </c>
      <c r="G3994" s="1" t="str">
        <f>IFERROR(__xludf.DUMMYFUNCTION("GOOGLETRANSLATE(C3994, ""en"", ""fa"")
"),"چند استراتژی برای ترکیب لوازم جانبی منحصر به فرد در ظاهر عروس به اشتراک بگذارید.")</f>
        <v>چند استراتژی برای ترکیب لوازم جانبی منحصر به فرد در ظاهر عروس به اشتراک بگذارید.</v>
      </c>
      <c r="H3994" s="1"/>
      <c r="I3994" s="1"/>
      <c r="J3994" s="1"/>
      <c r="K3994" s="1"/>
      <c r="L3994" s="1"/>
      <c r="M3994" s="1"/>
      <c r="N3994" s="1"/>
      <c r="O3994" s="1"/>
      <c r="P3994" s="1"/>
      <c r="Q3994" s="1"/>
      <c r="R3994" s="1"/>
      <c r="S3994" s="1"/>
      <c r="T3994" s="1"/>
      <c r="U3994" s="1"/>
      <c r="V3994" s="1"/>
      <c r="W3994" s="1"/>
      <c r="X3994" s="1"/>
      <c r="Y3994" s="1"/>
      <c r="Z3994" s="1"/>
      <c r="AA3994" s="1"/>
      <c r="AB3994" s="1"/>
    </row>
    <row r="3995" ht="50.25" customHeight="1">
      <c r="A3995" s="12">
        <v>3991.0</v>
      </c>
      <c r="B3995" s="13" t="s">
        <v>3778</v>
      </c>
      <c r="C3995" s="14" t="s">
        <v>4013</v>
      </c>
      <c r="D3995" s="1"/>
      <c r="E3995" s="1"/>
      <c r="F3995" s="1" t="str">
        <f>IFERROR(__xludf.DUMMYFUNCTION("GOOGLETRANSLATE(B3995, ""en"", ""fa"")
"),"برنامه ریز عروسی")</f>
        <v>برنامه ریز عروسی</v>
      </c>
      <c r="G3995" s="1" t="str">
        <f>IFERROR(__xludf.DUMMYFUNCTION("GOOGLETRANSLATE(C3995, ""en"", ""fa"")
"),"چگونه عروس ها می توانند مدل مو و آرایش مناسبی را انتخاب کنند که مکمل لباس عروس آنها باشد؟")</f>
        <v>چگونه عروس ها می توانند مدل مو و آرایش مناسبی را انتخاب کنند که مکمل لباس عروس آنها باشد؟</v>
      </c>
      <c r="H3995" s="1"/>
      <c r="I3995" s="1"/>
      <c r="J3995" s="1"/>
      <c r="K3995" s="1"/>
      <c r="L3995" s="1"/>
      <c r="M3995" s="1"/>
      <c r="N3995" s="1"/>
      <c r="O3995" s="1"/>
      <c r="P3995" s="1"/>
      <c r="Q3995" s="1"/>
      <c r="R3995" s="1"/>
      <c r="S3995" s="1"/>
      <c r="T3995" s="1"/>
      <c r="U3995" s="1"/>
      <c r="V3995" s="1"/>
      <c r="W3995" s="1"/>
      <c r="X3995" s="1"/>
      <c r="Y3995" s="1"/>
      <c r="Z3995" s="1"/>
      <c r="AA3995" s="1"/>
      <c r="AB3995" s="1"/>
    </row>
    <row r="3996" ht="50.25" customHeight="1">
      <c r="A3996" s="12">
        <v>3992.0</v>
      </c>
      <c r="B3996" s="13" t="s">
        <v>3778</v>
      </c>
      <c r="C3996" s="14" t="s">
        <v>4014</v>
      </c>
      <c r="D3996" s="1"/>
      <c r="E3996" s="1"/>
      <c r="F3996" s="1" t="str">
        <f>IFERROR(__xludf.DUMMYFUNCTION("GOOGLETRANSLATE(B3996, ""en"", ""fa"")
"),"برنامه ریز عروسی")</f>
        <v>برنامه ریز عروسی</v>
      </c>
      <c r="G3996" s="1" t="str">
        <f>IFERROR(__xludf.DUMMYFUNCTION("GOOGLETRANSLATE(C3996, ""en"", ""fa"")
"),"هنگام مشاوره با یک آرایشگر عروس یا مشاور مد، چه سؤالاتی ضروری است؟")</f>
        <v>هنگام مشاوره با یک آرایشگر عروس یا مشاور مد، چه سؤالاتی ضروری است؟</v>
      </c>
      <c r="H3996" s="1"/>
      <c r="I3996" s="1"/>
      <c r="J3996" s="1"/>
      <c r="K3996" s="1"/>
      <c r="L3996" s="1"/>
      <c r="M3996" s="1"/>
      <c r="N3996" s="1"/>
      <c r="O3996" s="1"/>
      <c r="P3996" s="1"/>
      <c r="Q3996" s="1"/>
      <c r="R3996" s="1"/>
      <c r="S3996" s="1"/>
      <c r="T3996" s="1"/>
      <c r="U3996" s="1"/>
      <c r="V3996" s="1"/>
      <c r="W3996" s="1"/>
      <c r="X3996" s="1"/>
      <c r="Y3996" s="1"/>
      <c r="Z3996" s="1"/>
      <c r="AA3996" s="1"/>
      <c r="AB3996" s="1"/>
    </row>
    <row r="3997" ht="50.25" customHeight="1">
      <c r="A3997" s="12">
        <v>3993.0</v>
      </c>
      <c r="B3997" s="13" t="s">
        <v>3778</v>
      </c>
      <c r="C3997" s="14" t="s">
        <v>4015</v>
      </c>
      <c r="D3997" s="1"/>
      <c r="E3997" s="1"/>
      <c r="F3997" s="1" t="str">
        <f>IFERROR(__xludf.DUMMYFUNCTION("GOOGLETRANSLATE(B3997, ""en"", ""fa"")
"),"برنامه ریز عروسی")</f>
        <v>برنامه ریز عروسی</v>
      </c>
      <c r="G3997" s="1" t="str">
        <f>IFERROR(__xludf.DUMMYFUNCTION("GOOGLETRANSLATE(C3997, ""en"", ""fa"")
"),"ایده هایی برای گنجاندن عناصر فرهنگی یا سنتی در لباس عروسی عروس به اشتراک بگذارید.")</f>
        <v>ایده هایی برای گنجاندن عناصر فرهنگی یا سنتی در لباس عروسی عروس به اشتراک بگذارید.</v>
      </c>
      <c r="H3997" s="1"/>
      <c r="I3997" s="1"/>
      <c r="J3997" s="1"/>
      <c r="K3997" s="1"/>
      <c r="L3997" s="1"/>
      <c r="M3997" s="1"/>
      <c r="N3997" s="1"/>
      <c r="O3997" s="1"/>
      <c r="P3997" s="1"/>
      <c r="Q3997" s="1"/>
      <c r="R3997" s="1"/>
      <c r="S3997" s="1"/>
      <c r="T3997" s="1"/>
      <c r="U3997" s="1"/>
      <c r="V3997" s="1"/>
      <c r="W3997" s="1"/>
      <c r="X3997" s="1"/>
      <c r="Y3997" s="1"/>
      <c r="Z3997" s="1"/>
      <c r="AA3997" s="1"/>
      <c r="AB3997" s="1"/>
    </row>
    <row r="3998" ht="50.25" customHeight="1">
      <c r="A3998" s="12">
        <v>3994.0</v>
      </c>
      <c r="B3998" s="13" t="s">
        <v>3778</v>
      </c>
      <c r="C3998" s="14" t="s">
        <v>4016</v>
      </c>
      <c r="D3998" s="1"/>
      <c r="E3998" s="1"/>
      <c r="F3998" s="1" t="str">
        <f>IFERROR(__xludf.DUMMYFUNCTION("GOOGLETRANSLATE(B3998, ""en"", ""fa"")
"),"برنامه ریز عروسی")</f>
        <v>برنامه ریز عروسی</v>
      </c>
      <c r="G3998" s="1" t="str">
        <f>IFERROR(__xludf.DUMMYFUNCTION("GOOGLETRANSLATE(C3998, ""en"", ""fa"")
"),"برنامه ریزان عروسی چگونه می توانند به عروس ها کمک کنند تا لباس هایی را انتخاب کنند که متناسب با بودجه آنها باشد؟")</f>
        <v>برنامه ریزان عروسی چگونه می توانند به عروس ها کمک کنند تا لباس هایی را انتخاب کنند که متناسب با بودجه آنها باشد؟</v>
      </c>
      <c r="H3998" s="1"/>
      <c r="I3998" s="1"/>
      <c r="J3998" s="1"/>
      <c r="K3998" s="1"/>
      <c r="L3998" s="1"/>
      <c r="M3998" s="1"/>
      <c r="N3998" s="1"/>
      <c r="O3998" s="1"/>
      <c r="P3998" s="1"/>
      <c r="Q3998" s="1"/>
      <c r="R3998" s="1"/>
      <c r="S3998" s="1"/>
      <c r="T3998" s="1"/>
      <c r="U3998" s="1"/>
      <c r="V3998" s="1"/>
      <c r="W3998" s="1"/>
      <c r="X3998" s="1"/>
      <c r="Y3998" s="1"/>
      <c r="Z3998" s="1"/>
      <c r="AA3998" s="1"/>
      <c r="AB3998" s="1"/>
    </row>
    <row r="3999" ht="50.25" customHeight="1">
      <c r="A3999" s="12">
        <v>3995.0</v>
      </c>
      <c r="B3999" s="13" t="s">
        <v>3778</v>
      </c>
      <c r="C3999" s="14" t="s">
        <v>4017</v>
      </c>
      <c r="D3999" s="1"/>
      <c r="E3999" s="1"/>
      <c r="F3999" s="1" t="str">
        <f>IFERROR(__xludf.DUMMYFUNCTION("GOOGLETRANSLATE(B3999, ""en"", ""fa"")
"),"برنامه ریز عروسی")</f>
        <v>برنامه ریز عروسی</v>
      </c>
      <c r="G3999" s="1" t="str">
        <f>IFERROR(__xludf.DUMMYFUNCTION("GOOGLETRANSLATE(C3999, ""en"", ""fa"")
"),"ملاحظات کلیدی برای انتخاب بین لباس عروس های آماده و سفارشی چیست؟")</f>
        <v>ملاحظات کلیدی برای انتخاب بین لباس عروس های آماده و سفارشی چیست؟</v>
      </c>
      <c r="H3999" s="1"/>
      <c r="I3999" s="1"/>
      <c r="J3999" s="1"/>
      <c r="K3999" s="1"/>
      <c r="L3999" s="1"/>
      <c r="M3999" s="1"/>
      <c r="N3999" s="1"/>
      <c r="O3999" s="1"/>
      <c r="P3999" s="1"/>
      <c r="Q3999" s="1"/>
      <c r="R3999" s="1"/>
      <c r="S3999" s="1"/>
      <c r="T3999" s="1"/>
      <c r="U3999" s="1"/>
      <c r="V3999" s="1"/>
      <c r="W3999" s="1"/>
      <c r="X3999" s="1"/>
      <c r="Y3999" s="1"/>
      <c r="Z3999" s="1"/>
      <c r="AA3999" s="1"/>
      <c r="AB3999" s="1"/>
    </row>
    <row r="4000" ht="50.25" customHeight="1">
      <c r="A4000" s="12">
        <v>3996.0</v>
      </c>
      <c r="B4000" s="13" t="s">
        <v>3778</v>
      </c>
      <c r="C4000" s="14" t="s">
        <v>4018</v>
      </c>
      <c r="D4000" s="1"/>
      <c r="E4000" s="1"/>
      <c r="F4000" s="1" t="str">
        <f>IFERROR(__xludf.DUMMYFUNCTION("GOOGLETRANSLATE(B4000, ""en"", ""fa"")
"),"برنامه ریز عروسی")</f>
        <v>برنامه ریز عروسی</v>
      </c>
      <c r="G4000" s="1" t="str">
        <f>IFERROR(__xludf.DUMMYFUNCTION("GOOGLETRANSLATE(C4000, ""en"", ""fa"")
"),"نکاتی را برای هماهنگی لباس ساقدوش ها با لباس عروس به اشتراک بگذارید.")</f>
        <v>نکاتی را برای هماهنگی لباس ساقدوش ها با لباس عروس به اشتراک بگذارید.</v>
      </c>
      <c r="H4000" s="1"/>
      <c r="I4000" s="1"/>
      <c r="J4000" s="1"/>
      <c r="K4000" s="1"/>
      <c r="L4000" s="1"/>
      <c r="M4000" s="1"/>
      <c r="N4000" s="1"/>
      <c r="O4000" s="1"/>
      <c r="P4000" s="1"/>
      <c r="Q4000" s="1"/>
      <c r="R4000" s="1"/>
      <c r="S4000" s="1"/>
      <c r="T4000" s="1"/>
      <c r="U4000" s="1"/>
      <c r="V4000" s="1"/>
      <c r="W4000" s="1"/>
      <c r="X4000" s="1"/>
      <c r="Y4000" s="1"/>
      <c r="Z4000" s="1"/>
      <c r="AA4000" s="1"/>
      <c r="AB4000" s="1"/>
    </row>
    <row r="4001" ht="50.25" customHeight="1">
      <c r="A4001" s="12">
        <v>3997.0</v>
      </c>
      <c r="B4001" s="13" t="s">
        <v>3778</v>
      </c>
      <c r="C4001" s="14" t="s">
        <v>4019</v>
      </c>
      <c r="D4001" s="1"/>
      <c r="E4001" s="1"/>
      <c r="F4001" s="1" t="str">
        <f>IFERROR(__xludf.DUMMYFUNCTION("GOOGLETRANSLATE(B4001, ""en"", ""fa"")
"),"برنامه ریز عروسی")</f>
        <v>برنامه ریز عروسی</v>
      </c>
      <c r="G4001" s="1" t="str">
        <f>IFERROR(__xludf.DUMMYFUNCTION("GOOGLETRANSLATE(C4001, ""en"", ""fa"")
"),"چگونه عروس ها می توانند قطعات احساسی یا ارثی را در لباس عروسی خود بگنجانند؟")</f>
        <v>چگونه عروس ها می توانند قطعات احساسی یا ارثی را در لباس عروسی خود بگنجانند؟</v>
      </c>
      <c r="H4001" s="1"/>
      <c r="I4001" s="1"/>
      <c r="J4001" s="1"/>
      <c r="K4001" s="1"/>
      <c r="L4001" s="1"/>
      <c r="M4001" s="1"/>
      <c r="N4001" s="1"/>
      <c r="O4001" s="1"/>
      <c r="P4001" s="1"/>
      <c r="Q4001" s="1"/>
      <c r="R4001" s="1"/>
      <c r="S4001" s="1"/>
      <c r="T4001" s="1"/>
      <c r="U4001" s="1"/>
      <c r="V4001" s="1"/>
      <c r="W4001" s="1"/>
      <c r="X4001" s="1"/>
      <c r="Y4001" s="1"/>
      <c r="Z4001" s="1"/>
      <c r="AA4001" s="1"/>
      <c r="AB4001" s="1"/>
    </row>
    <row r="4002" ht="50.25" customHeight="1">
      <c r="A4002" s="12">
        <v>3998.0</v>
      </c>
      <c r="B4002" s="13" t="s">
        <v>3778</v>
      </c>
      <c r="C4002" s="14" t="s">
        <v>4020</v>
      </c>
      <c r="D4002" s="1"/>
      <c r="E4002" s="1"/>
      <c r="F4002" s="1" t="str">
        <f>IFERROR(__xludf.DUMMYFUNCTION("GOOGLETRANSLATE(B4002, ""en"", ""fa"")
"),"برنامه ریز عروسی")</f>
        <v>برنامه ریز عروسی</v>
      </c>
      <c r="G4002" s="1" t="str">
        <f>IFERROR(__xludf.DUMMYFUNCTION("GOOGLETRANSLATE(C4002, ""en"", ""fa"")
"),"بهترین روش ها برای مدیریت یراق آلات و تغییرات لباس چیست؟")</f>
        <v>بهترین روش ها برای مدیریت یراق آلات و تغییرات لباس چیست؟</v>
      </c>
      <c r="H4002" s="1"/>
      <c r="I4002" s="1"/>
      <c r="J4002" s="1"/>
      <c r="K4002" s="1"/>
      <c r="L4002" s="1"/>
      <c r="M4002" s="1"/>
      <c r="N4002" s="1"/>
      <c r="O4002" s="1"/>
      <c r="P4002" s="1"/>
      <c r="Q4002" s="1"/>
      <c r="R4002" s="1"/>
      <c r="S4002" s="1"/>
      <c r="T4002" s="1"/>
      <c r="U4002" s="1"/>
      <c r="V4002" s="1"/>
      <c r="W4002" s="1"/>
      <c r="X4002" s="1"/>
      <c r="Y4002" s="1"/>
      <c r="Z4002" s="1"/>
      <c r="AA4002" s="1"/>
      <c r="AB4002" s="1"/>
    </row>
    <row r="4003" ht="50.25" customHeight="1">
      <c r="A4003" s="12">
        <v>3999.0</v>
      </c>
      <c r="B4003" s="13" t="s">
        <v>3778</v>
      </c>
      <c r="C4003" s="14" t="s">
        <v>4021</v>
      </c>
      <c r="D4003" s="1"/>
      <c r="E4003" s="1"/>
      <c r="F4003" s="1" t="str">
        <f>IFERROR(__xludf.DUMMYFUNCTION("GOOGLETRANSLATE(B4003, ""en"", ""fa"")
"),"برنامه ریز عروسی")</f>
        <v>برنامه ریز عروسی</v>
      </c>
      <c r="G4003" s="1" t="str">
        <f>IFERROR(__xludf.DUMMYFUNCTION("GOOGLETRANSLATE(C4003, ""en"", ""fa"")
"),"چند استراتژی برای انتخاب لباس عروسی متناسب با فصول مختلف و شرایط آب و هوایی به اشتراک بگذارید.")</f>
        <v>چند استراتژی برای انتخاب لباس عروسی متناسب با فصول مختلف و شرایط آب و هوایی به اشتراک بگذارید.</v>
      </c>
      <c r="H4003" s="1"/>
      <c r="I4003" s="1"/>
      <c r="J4003" s="1"/>
      <c r="K4003" s="1"/>
      <c r="L4003" s="1"/>
      <c r="M4003" s="1"/>
      <c r="N4003" s="1"/>
      <c r="O4003" s="1"/>
      <c r="P4003" s="1"/>
      <c r="Q4003" s="1"/>
      <c r="R4003" s="1"/>
      <c r="S4003" s="1"/>
      <c r="T4003" s="1"/>
      <c r="U4003" s="1"/>
      <c r="V4003" s="1"/>
      <c r="W4003" s="1"/>
      <c r="X4003" s="1"/>
      <c r="Y4003" s="1"/>
      <c r="Z4003" s="1"/>
      <c r="AA4003" s="1"/>
      <c r="AB4003" s="1"/>
    </row>
    <row r="4004" ht="50.25" customHeight="1">
      <c r="A4004" s="12">
        <v>4000.0</v>
      </c>
      <c r="B4004" s="13" t="s">
        <v>3778</v>
      </c>
      <c r="C4004" s="14" t="s">
        <v>4022</v>
      </c>
      <c r="D4004" s="1"/>
      <c r="E4004" s="1"/>
      <c r="F4004" s="1" t="str">
        <f>IFERROR(__xludf.DUMMYFUNCTION("GOOGLETRANSLATE(B4004, ""en"", ""fa"")
"),"برنامه ریز عروسی")</f>
        <v>برنامه ریز عروسی</v>
      </c>
      <c r="G4004" s="1" t="str">
        <f>IFERROR(__xludf.DUMMYFUNCTION("GOOGLETRANSLATE(C4004, ""en"", ""fa"")
"),"برنامه ریزان عروسی چگونه می توانند به دامادها در انتخاب کت و شلوار عروسی یا تاکسیدو مناسب کمک کنند؟")</f>
        <v>برنامه ریزان عروسی چگونه می توانند به دامادها در انتخاب کت و شلوار عروسی یا تاکسیدو مناسب کمک کنند؟</v>
      </c>
      <c r="H4004" s="1"/>
      <c r="I4004" s="1"/>
      <c r="J4004" s="1"/>
      <c r="K4004" s="1"/>
      <c r="L4004" s="1"/>
      <c r="M4004" s="1"/>
      <c r="N4004" s="1"/>
      <c r="O4004" s="1"/>
      <c r="P4004" s="1"/>
      <c r="Q4004" s="1"/>
      <c r="R4004" s="1"/>
      <c r="S4004" s="1"/>
      <c r="T4004" s="1"/>
      <c r="U4004" s="1"/>
      <c r="V4004" s="1"/>
      <c r="W4004" s="1"/>
      <c r="X4004" s="1"/>
      <c r="Y4004" s="1"/>
      <c r="Z4004" s="1"/>
      <c r="AA4004" s="1"/>
      <c r="AB4004" s="1"/>
    </row>
    <row r="4005" ht="50.25" customHeight="1">
      <c r="A4005" s="12">
        <v>4001.0</v>
      </c>
      <c r="B4005" s="13" t="s">
        <v>3778</v>
      </c>
      <c r="C4005" s="14" t="s">
        <v>4023</v>
      </c>
      <c r="D4005" s="1"/>
      <c r="E4005" s="1"/>
      <c r="F4005" s="1" t="str">
        <f>IFERROR(__xludf.DUMMYFUNCTION("GOOGLETRANSLATE(B4005, ""en"", ""fa"")
"),"برنامه ریز عروسی")</f>
        <v>برنامه ریز عروسی</v>
      </c>
      <c r="G4005" s="1" t="str">
        <f>IFERROR(__xludf.DUMMYFUNCTION("GOOGLETRANSLATE(C4005, ""en"", ""fa"")
"),"برای انتخاب اکسسوری برای لباس داماد چه فاکتورهایی را باید در نظر گرفت؟")</f>
        <v>برای انتخاب اکسسوری برای لباس داماد چه فاکتورهایی را باید در نظر گرفت؟</v>
      </c>
      <c r="H4005" s="1"/>
      <c r="I4005" s="1"/>
      <c r="J4005" s="1"/>
      <c r="K4005" s="1"/>
      <c r="L4005" s="1"/>
      <c r="M4005" s="1"/>
      <c r="N4005" s="1"/>
      <c r="O4005" s="1"/>
      <c r="P4005" s="1"/>
      <c r="Q4005" s="1"/>
      <c r="R4005" s="1"/>
      <c r="S4005" s="1"/>
      <c r="T4005" s="1"/>
      <c r="U4005" s="1"/>
      <c r="V4005" s="1"/>
      <c r="W4005" s="1"/>
      <c r="X4005" s="1"/>
      <c r="Y4005" s="1"/>
      <c r="Z4005" s="1"/>
      <c r="AA4005" s="1"/>
      <c r="AB4005" s="1"/>
    </row>
    <row r="4006" ht="50.25" customHeight="1">
      <c r="A4006" s="12">
        <v>4002.0</v>
      </c>
      <c r="B4006" s="13" t="s">
        <v>3778</v>
      </c>
      <c r="C4006" s="14" t="s">
        <v>4024</v>
      </c>
      <c r="D4006" s="1"/>
      <c r="E4006" s="1"/>
      <c r="F4006" s="1" t="str">
        <f>IFERROR(__xludf.DUMMYFUNCTION("GOOGLETRANSLATE(B4006, ""en"", ""fa"")
"),"برنامه ریز عروسی")</f>
        <v>برنامه ریز عروسی</v>
      </c>
      <c r="G4006" s="1" t="str">
        <f>IFERROR(__xludf.DUMMYFUNCTION("GOOGLETRANSLATE(C4006, ""en"", ""fa"")
"),"ایده هایی برای ترکیب بوتونیه ها یا مربع های جیبی منحصر به فرد در مجموعه داماد به اشتراک بگذارید.")</f>
        <v>ایده هایی برای ترکیب بوتونیه ها یا مربع های جیبی منحصر به فرد در مجموعه داماد به اشتراک بگذارید.</v>
      </c>
      <c r="H4006" s="1"/>
      <c r="I4006" s="1"/>
      <c r="J4006" s="1"/>
      <c r="K4006" s="1"/>
      <c r="L4006" s="1"/>
      <c r="M4006" s="1"/>
      <c r="N4006" s="1"/>
      <c r="O4006" s="1"/>
      <c r="P4006" s="1"/>
      <c r="Q4006" s="1"/>
      <c r="R4006" s="1"/>
      <c r="S4006" s="1"/>
      <c r="T4006" s="1"/>
      <c r="U4006" s="1"/>
      <c r="V4006" s="1"/>
      <c r="W4006" s="1"/>
      <c r="X4006" s="1"/>
      <c r="Y4006" s="1"/>
      <c r="Z4006" s="1"/>
      <c r="AA4006" s="1"/>
      <c r="AB4006" s="1"/>
    </row>
    <row r="4007" ht="50.25" customHeight="1">
      <c r="A4007" s="12">
        <v>4003.0</v>
      </c>
      <c r="B4007" s="13" t="s">
        <v>3778</v>
      </c>
      <c r="C4007" s="14" t="s">
        <v>4025</v>
      </c>
      <c r="D4007" s="1"/>
      <c r="E4007" s="1"/>
      <c r="F4007" s="1" t="str">
        <f>IFERROR(__xludf.DUMMYFUNCTION("GOOGLETRANSLATE(B4007, ""en"", ""fa"")
"),"برنامه ریز عروسی")</f>
        <v>برنامه ریز عروسی</v>
      </c>
      <c r="G4007" s="1" t="str">
        <f>IFERROR(__xludf.DUMMYFUNCTION("GOOGLETRANSLATE(C4007, ""en"", ""fa"")
"),"چگونه دامادها می توانند مدل مو و آرایش مناسب را برای روز عروسی خود انتخاب کنند؟")</f>
        <v>چگونه دامادها می توانند مدل مو و آرایش مناسب را برای روز عروسی خود انتخاب کنند؟</v>
      </c>
      <c r="H4007" s="1"/>
      <c r="I4007" s="1"/>
      <c r="J4007" s="1"/>
      <c r="K4007" s="1"/>
      <c r="L4007" s="1"/>
      <c r="M4007" s="1"/>
      <c r="N4007" s="1"/>
      <c r="O4007" s="1"/>
      <c r="P4007" s="1"/>
      <c r="Q4007" s="1"/>
      <c r="R4007" s="1"/>
      <c r="S4007" s="1"/>
      <c r="T4007" s="1"/>
      <c r="U4007" s="1"/>
      <c r="V4007" s="1"/>
      <c r="W4007" s="1"/>
      <c r="X4007" s="1"/>
      <c r="Y4007" s="1"/>
      <c r="Z4007" s="1"/>
      <c r="AA4007" s="1"/>
      <c r="AB4007" s="1"/>
    </row>
    <row r="4008" ht="50.25" customHeight="1">
      <c r="A4008" s="12">
        <v>4004.0</v>
      </c>
      <c r="B4008" s="13" t="s">
        <v>3778</v>
      </c>
      <c r="C4008" s="14" t="s">
        <v>4026</v>
      </c>
      <c r="D4008" s="1"/>
      <c r="E4008" s="1"/>
      <c r="F4008" s="1" t="str">
        <f>IFERROR(__xludf.DUMMYFUNCTION("GOOGLETRANSLATE(B4008, ""en"", ""fa"")
"),"برنامه ریز عروسی")</f>
        <v>برنامه ریز عروسی</v>
      </c>
      <c r="G4008" s="1" t="str">
        <f>IFERROR(__xludf.DUMMYFUNCTION("GOOGLETRANSLATE(C4008, ""en"", ""fa"")
"),"ملاحظات کلیدی برای هماهنگی لباس داماد با لباس داماد چیست؟")</f>
        <v>ملاحظات کلیدی برای هماهنگی لباس داماد با لباس داماد چیست؟</v>
      </c>
      <c r="H4008" s="1"/>
      <c r="I4008" s="1"/>
      <c r="J4008" s="1"/>
      <c r="K4008" s="1"/>
      <c r="L4008" s="1"/>
      <c r="M4008" s="1"/>
      <c r="N4008" s="1"/>
      <c r="O4008" s="1"/>
      <c r="P4008" s="1"/>
      <c r="Q4008" s="1"/>
      <c r="R4008" s="1"/>
      <c r="S4008" s="1"/>
      <c r="T4008" s="1"/>
      <c r="U4008" s="1"/>
      <c r="V4008" s="1"/>
      <c r="W4008" s="1"/>
      <c r="X4008" s="1"/>
      <c r="Y4008" s="1"/>
      <c r="Z4008" s="1"/>
      <c r="AA4008" s="1"/>
      <c r="AB4008" s="1"/>
    </row>
    <row r="4009" ht="50.25" customHeight="1">
      <c r="A4009" s="12">
        <v>4005.0</v>
      </c>
      <c r="B4009" s="13" t="s">
        <v>3778</v>
      </c>
      <c r="C4009" s="14" t="s">
        <v>4027</v>
      </c>
      <c r="D4009" s="1"/>
      <c r="E4009" s="1"/>
      <c r="F4009" s="1" t="str">
        <f>IFERROR(__xludf.DUMMYFUNCTION("GOOGLETRANSLATE(B4009, ""en"", ""fa"")
"),"برنامه ریز عروسی")</f>
        <v>برنامه ریز عروسی</v>
      </c>
      <c r="G4009" s="1" t="str">
        <f>IFERROR(__xludf.DUMMYFUNCTION("GOOGLETRANSLATE(C4009, ""en"", ""fa"")
"),"نکاتی را برای انتخاب لباس برای دختر گل و حلقه دار که با تم کلی عروسی هماهنگ است را به اشتراک بگذارید.")</f>
        <v>نکاتی را برای انتخاب لباس برای دختر گل و حلقه دار که با تم کلی عروسی هماهنگ است را به اشتراک بگذارید.</v>
      </c>
      <c r="H4009" s="1"/>
      <c r="I4009" s="1"/>
      <c r="J4009" s="1"/>
      <c r="K4009" s="1"/>
      <c r="L4009" s="1"/>
      <c r="M4009" s="1"/>
      <c r="N4009" s="1"/>
      <c r="O4009" s="1"/>
      <c r="P4009" s="1"/>
      <c r="Q4009" s="1"/>
      <c r="R4009" s="1"/>
      <c r="S4009" s="1"/>
      <c r="T4009" s="1"/>
      <c r="U4009" s="1"/>
      <c r="V4009" s="1"/>
      <c r="W4009" s="1"/>
      <c r="X4009" s="1"/>
      <c r="Y4009" s="1"/>
      <c r="Z4009" s="1"/>
      <c r="AA4009" s="1"/>
      <c r="AB4009" s="1"/>
    </row>
    <row r="4010" ht="50.25" customHeight="1">
      <c r="A4010" s="12">
        <v>4006.0</v>
      </c>
      <c r="B4010" s="13" t="s">
        <v>3778</v>
      </c>
      <c r="C4010" s="14" t="s">
        <v>4028</v>
      </c>
      <c r="D4010" s="1"/>
      <c r="E4010" s="1"/>
      <c r="F4010" s="1" t="str">
        <f>IFERROR(__xludf.DUMMYFUNCTION("GOOGLETRANSLATE(B4010, ""en"", ""fa"")
"),"برنامه ریز عروسی")</f>
        <v>برنامه ریز عروسی</v>
      </c>
      <c r="G4010" s="1" t="str">
        <f>IFERROR(__xludf.DUMMYFUNCTION("GOOGLETRANSLATE(C4010, ""en"", ""fa"")
"),"برنامه ریزان عروسی چگونه می توانند به زوج ها در هماهنگی لباس هایشان برای ایجاد ظاهری منسجم و هماهنگ کمک کنند؟")</f>
        <v>برنامه ریزان عروسی چگونه می توانند به زوج ها در هماهنگی لباس هایشان برای ایجاد ظاهری منسجم و هماهنگ کمک کنند؟</v>
      </c>
      <c r="H4010" s="1"/>
      <c r="I4010" s="1"/>
      <c r="J4010" s="1"/>
      <c r="K4010" s="1"/>
      <c r="L4010" s="1"/>
      <c r="M4010" s="1"/>
      <c r="N4010" s="1"/>
      <c r="O4010" s="1"/>
      <c r="P4010" s="1"/>
      <c r="Q4010" s="1"/>
      <c r="R4010" s="1"/>
      <c r="S4010" s="1"/>
      <c r="T4010" s="1"/>
      <c r="U4010" s="1"/>
      <c r="V4010" s="1"/>
      <c r="W4010" s="1"/>
      <c r="X4010" s="1"/>
      <c r="Y4010" s="1"/>
      <c r="Z4010" s="1"/>
      <c r="AA4010" s="1"/>
      <c r="AB4010" s="1"/>
    </row>
    <row r="4011" ht="50.25" customHeight="1">
      <c r="A4011" s="12">
        <v>4007.0</v>
      </c>
      <c r="B4011" s="13" t="s">
        <v>3778</v>
      </c>
      <c r="C4011" s="14" t="s">
        <v>4029</v>
      </c>
      <c r="D4011" s="1"/>
      <c r="E4011" s="1"/>
      <c r="F4011" s="1" t="str">
        <f>IFERROR(__xludf.DUMMYFUNCTION("GOOGLETRANSLATE(B4011, ""en"", ""fa"")
"),"برنامه ریز عروسی")</f>
        <v>برنامه ریز عروسی</v>
      </c>
      <c r="G4011" s="1" t="str">
        <f>IFERROR(__xludf.DUMMYFUNCTION("GOOGLETRANSLATE(C4011, ""en"", ""fa"")
"),"چند راه برای گنجاندن جزئیات شخصی یا مونوگرام در لباس عروسی چیست؟")</f>
        <v>چند راه برای گنجاندن جزئیات شخصی یا مونوگرام در لباس عروسی چیست؟</v>
      </c>
      <c r="H4011" s="1"/>
      <c r="I4011" s="1"/>
      <c r="J4011" s="1"/>
      <c r="K4011" s="1"/>
      <c r="L4011" s="1"/>
      <c r="M4011" s="1"/>
      <c r="N4011" s="1"/>
      <c r="O4011" s="1"/>
      <c r="P4011" s="1"/>
      <c r="Q4011" s="1"/>
      <c r="R4011" s="1"/>
      <c r="S4011" s="1"/>
      <c r="T4011" s="1"/>
      <c r="U4011" s="1"/>
      <c r="V4011" s="1"/>
      <c r="W4011" s="1"/>
      <c r="X4011" s="1"/>
      <c r="Y4011" s="1"/>
      <c r="Z4011" s="1"/>
      <c r="AA4011" s="1"/>
      <c r="AB4011" s="1"/>
    </row>
    <row r="4012" ht="50.25" customHeight="1">
      <c r="A4012" s="12">
        <v>4008.0</v>
      </c>
      <c r="B4012" s="13" t="s">
        <v>3778</v>
      </c>
      <c r="C4012" s="14" t="s">
        <v>4030</v>
      </c>
      <c r="D4012" s="1"/>
      <c r="E4012" s="1"/>
      <c r="F4012" s="1" t="str">
        <f>IFERROR(__xludf.DUMMYFUNCTION("GOOGLETRANSLATE(B4012, ""en"", ""fa"")
"),"برنامه ریز عروسی")</f>
        <v>برنامه ریز عروسی</v>
      </c>
      <c r="G4012" s="1" t="str">
        <f>IFERROR(__xludf.DUMMYFUNCTION("GOOGLETRANSLATE(C4012, ""en"", ""fa"")
"),"چند استراتژی برای انتخاب کفشی راحت و در عین حال شیک برای روز عروسی به اشتراک بگذارید.")</f>
        <v>چند استراتژی برای انتخاب کفشی راحت و در عین حال شیک برای روز عروسی به اشتراک بگذارید.</v>
      </c>
      <c r="H4012" s="1"/>
      <c r="I4012" s="1"/>
      <c r="J4012" s="1"/>
      <c r="K4012" s="1"/>
      <c r="L4012" s="1"/>
      <c r="M4012" s="1"/>
      <c r="N4012" s="1"/>
      <c r="O4012" s="1"/>
      <c r="P4012" s="1"/>
      <c r="Q4012" s="1"/>
      <c r="R4012" s="1"/>
      <c r="S4012" s="1"/>
      <c r="T4012" s="1"/>
      <c r="U4012" s="1"/>
      <c r="V4012" s="1"/>
      <c r="W4012" s="1"/>
      <c r="X4012" s="1"/>
      <c r="Y4012" s="1"/>
      <c r="Z4012" s="1"/>
      <c r="AA4012" s="1"/>
      <c r="AB4012" s="1"/>
    </row>
    <row r="4013" ht="50.25" customHeight="1">
      <c r="A4013" s="12">
        <v>4009.0</v>
      </c>
      <c r="B4013" s="13" t="s">
        <v>3778</v>
      </c>
      <c r="C4013" s="14" t="s">
        <v>4031</v>
      </c>
      <c r="D4013" s="1"/>
      <c r="E4013" s="1"/>
      <c r="F4013" s="1" t="str">
        <f>IFERROR(__xludf.DUMMYFUNCTION("GOOGLETRANSLATE(B4013, ""en"", ""fa"")
"),"برنامه ریز عروسی")</f>
        <v>برنامه ریز عروسی</v>
      </c>
      <c r="G4013" s="1" t="str">
        <f>IFERROR(__xludf.DUMMYFUNCTION("GOOGLETRANSLATE(C4013, ""en"", ""fa"")
"),"چگونه زوج ها می توانند انتخاب های مد پایدار و سازگار با محیط زیست را در لباس عروسی خود بگنجانند؟")</f>
        <v>چگونه زوج ها می توانند انتخاب های مد پایدار و سازگار با محیط زیست را در لباس عروسی خود بگنجانند؟</v>
      </c>
      <c r="H4013" s="1"/>
      <c r="I4013" s="1"/>
      <c r="J4013" s="1"/>
      <c r="K4013" s="1"/>
      <c r="L4013" s="1"/>
      <c r="M4013" s="1"/>
      <c r="N4013" s="1"/>
      <c r="O4013" s="1"/>
      <c r="P4013" s="1"/>
      <c r="Q4013" s="1"/>
      <c r="R4013" s="1"/>
      <c r="S4013" s="1"/>
      <c r="T4013" s="1"/>
      <c r="U4013" s="1"/>
      <c r="V4013" s="1"/>
      <c r="W4013" s="1"/>
      <c r="X4013" s="1"/>
      <c r="Y4013" s="1"/>
      <c r="Z4013" s="1"/>
      <c r="AA4013" s="1"/>
      <c r="AB4013" s="1"/>
    </row>
    <row r="4014" ht="50.25" customHeight="1">
      <c r="A4014" s="12">
        <v>4010.0</v>
      </c>
      <c r="B4014" s="13" t="s">
        <v>3778</v>
      </c>
      <c r="C4014" s="14" t="s">
        <v>4032</v>
      </c>
      <c r="D4014" s="1"/>
      <c r="E4014" s="1"/>
      <c r="F4014" s="1" t="str">
        <f>IFERROR(__xludf.DUMMYFUNCTION("GOOGLETRANSLATE(B4014, ""en"", ""fa"")
"),"برنامه ریز عروسی")</f>
        <v>برنامه ریز عروسی</v>
      </c>
      <c r="G4014" s="1" t="str">
        <f>IFERROR(__xludf.DUMMYFUNCTION("GOOGLETRANSLATE(C4014, ""en"", ""fa"")
"),"ملاحظات کلیدی برای انتخاب لباس برای عروسی مقصد یا ساحل چیست؟")</f>
        <v>ملاحظات کلیدی برای انتخاب لباس برای عروسی مقصد یا ساحل چیست؟</v>
      </c>
      <c r="H4014" s="1"/>
      <c r="I4014" s="1"/>
      <c r="J4014" s="1"/>
      <c r="K4014" s="1"/>
      <c r="L4014" s="1"/>
      <c r="M4014" s="1"/>
      <c r="N4014" s="1"/>
      <c r="O4014" s="1"/>
      <c r="P4014" s="1"/>
      <c r="Q4014" s="1"/>
      <c r="R4014" s="1"/>
      <c r="S4014" s="1"/>
      <c r="T4014" s="1"/>
      <c r="U4014" s="1"/>
      <c r="V4014" s="1"/>
      <c r="W4014" s="1"/>
      <c r="X4014" s="1"/>
      <c r="Y4014" s="1"/>
      <c r="Z4014" s="1"/>
      <c r="AA4014" s="1"/>
      <c r="AB4014" s="1"/>
    </row>
    <row r="4015" ht="50.25" customHeight="1">
      <c r="A4015" s="12">
        <v>4011.0</v>
      </c>
      <c r="B4015" s="13" t="s">
        <v>3778</v>
      </c>
      <c r="C4015" s="14" t="s">
        <v>4033</v>
      </c>
      <c r="D4015" s="1"/>
      <c r="E4015" s="1"/>
      <c r="F4015" s="1" t="str">
        <f>IFERROR(__xludf.DUMMYFUNCTION("GOOGLETRANSLATE(B4015, ""en"", ""fa"")
"),"برنامه ریز عروسی")</f>
        <v>برنامه ریز عروسی</v>
      </c>
      <c r="G4015" s="1" t="str">
        <f>IFERROR(__xludf.DUMMYFUNCTION("GOOGLETRANSLATE(C4015, ""en"", ""fa"")
"),"نکاتی را برای مدیریت انتظارات و دستورالعمل های مربوط به لباس پوشیدن برای مهمانان عروسی به اشتراک بگذارید.")</f>
        <v>نکاتی را برای مدیریت انتظارات و دستورالعمل های مربوط به لباس پوشیدن برای مهمانان عروسی به اشتراک بگذارید.</v>
      </c>
      <c r="H4015" s="1"/>
      <c r="I4015" s="1"/>
      <c r="J4015" s="1"/>
      <c r="K4015" s="1"/>
      <c r="L4015" s="1"/>
      <c r="M4015" s="1"/>
      <c r="N4015" s="1"/>
      <c r="O4015" s="1"/>
      <c r="P4015" s="1"/>
      <c r="Q4015" s="1"/>
      <c r="R4015" s="1"/>
      <c r="S4015" s="1"/>
      <c r="T4015" s="1"/>
      <c r="U4015" s="1"/>
      <c r="V4015" s="1"/>
      <c r="W4015" s="1"/>
      <c r="X4015" s="1"/>
      <c r="Y4015" s="1"/>
      <c r="Z4015" s="1"/>
      <c r="AA4015" s="1"/>
      <c r="AB4015" s="1"/>
    </row>
    <row r="4016" ht="50.25" customHeight="1">
      <c r="A4016" s="12">
        <v>4012.0</v>
      </c>
      <c r="B4016" s="13" t="s">
        <v>3778</v>
      </c>
      <c r="C4016" s="14" t="s">
        <v>4034</v>
      </c>
      <c r="D4016" s="1"/>
      <c r="E4016" s="1"/>
      <c r="F4016" s="1" t="str">
        <f>IFERROR(__xludf.DUMMYFUNCTION("GOOGLETRANSLATE(B4016, ""en"", ""fa"")
"),"برنامه ریز عروسی")</f>
        <v>برنامه ریز عروسی</v>
      </c>
      <c r="G4016" s="1" t="str">
        <f>IFERROR(__xludf.DUMMYFUNCTION("GOOGLETRANSLATE(C4016, ""en"", ""fa"")
"),"برنامه ریزان عروسی چگونه می توانند به زوج ها در انتخاب لباس برای رویدادهای مختلف عروسی، مانند شام تمرین یا برانچ بعد از عروسی کمک کنند؟")</f>
        <v>برنامه ریزان عروسی چگونه می توانند به زوج ها در انتخاب لباس برای رویدادهای مختلف عروسی، مانند شام تمرین یا برانچ بعد از عروسی کمک کنند؟</v>
      </c>
      <c r="H4016" s="1"/>
      <c r="I4016" s="1"/>
      <c r="J4016" s="1"/>
      <c r="K4016" s="1"/>
      <c r="L4016" s="1"/>
      <c r="M4016" s="1"/>
      <c r="N4016" s="1"/>
      <c r="O4016" s="1"/>
      <c r="P4016" s="1"/>
      <c r="Q4016" s="1"/>
      <c r="R4016" s="1"/>
      <c r="S4016" s="1"/>
      <c r="T4016" s="1"/>
      <c r="U4016" s="1"/>
      <c r="V4016" s="1"/>
      <c r="W4016" s="1"/>
      <c r="X4016" s="1"/>
      <c r="Y4016" s="1"/>
      <c r="Z4016" s="1"/>
      <c r="AA4016" s="1"/>
      <c r="AB4016" s="1"/>
    </row>
    <row r="4017" ht="50.25" customHeight="1">
      <c r="A4017" s="12">
        <v>4013.0</v>
      </c>
      <c r="B4017" s="13" t="s">
        <v>3778</v>
      </c>
      <c r="C4017" s="14" t="s">
        <v>4035</v>
      </c>
      <c r="D4017" s="1"/>
      <c r="E4017" s="1"/>
      <c r="F4017" s="1" t="str">
        <f>IFERROR(__xludf.DUMMYFUNCTION("GOOGLETRANSLATE(B4017, ""en"", ""fa"")
"),"برنامه ریز عروسی")</f>
        <v>برنامه ریز عروسی</v>
      </c>
      <c r="G4017" s="1" t="str">
        <f>IFERROR(__xludf.DUMMYFUNCTION("GOOGLETRANSLATE(C4017, ""en"", ""fa"")
"),"هنگام ارزیابی انتخاب پارچه و متریال برای لباس عروسی چه عواملی ضروری است؟")</f>
        <v>هنگام ارزیابی انتخاب پارچه و متریال برای لباس عروسی چه عواملی ضروری است؟</v>
      </c>
      <c r="H4017" s="1"/>
      <c r="I4017" s="1"/>
      <c r="J4017" s="1"/>
      <c r="K4017" s="1"/>
      <c r="L4017" s="1"/>
      <c r="M4017" s="1"/>
      <c r="N4017" s="1"/>
      <c r="O4017" s="1"/>
      <c r="P4017" s="1"/>
      <c r="Q4017" s="1"/>
      <c r="R4017" s="1"/>
      <c r="S4017" s="1"/>
      <c r="T4017" s="1"/>
      <c r="U4017" s="1"/>
      <c r="V4017" s="1"/>
      <c r="W4017" s="1"/>
      <c r="X4017" s="1"/>
      <c r="Y4017" s="1"/>
      <c r="Z4017" s="1"/>
      <c r="AA4017" s="1"/>
      <c r="AB4017" s="1"/>
    </row>
    <row r="4018" ht="50.25" customHeight="1">
      <c r="A4018" s="12">
        <v>4014.0</v>
      </c>
      <c r="B4018" s="13" t="s">
        <v>3778</v>
      </c>
      <c r="C4018" s="14" t="s">
        <v>4036</v>
      </c>
      <c r="D4018" s="1"/>
      <c r="E4018" s="1"/>
      <c r="F4018" s="1" t="str">
        <f>IFERROR(__xludf.DUMMYFUNCTION("GOOGLETRANSLATE(B4018, ""en"", ""fa"")
"),"برنامه ریز عروسی")</f>
        <v>برنامه ریز عروسی</v>
      </c>
      <c r="G4018" s="1" t="str">
        <f>IFERROR(__xludf.DUMMYFUNCTION("GOOGLETRANSLATE(C4018, ""en"", ""fa"")
"),"ایده هایی برای ترکیب رنگ های منحصر به فرد و غیر سنتی در لباس عروسی به اشتراک بگذارید.")</f>
        <v>ایده هایی برای ترکیب رنگ های منحصر به فرد و غیر سنتی در لباس عروسی به اشتراک بگذارید.</v>
      </c>
      <c r="H4018" s="1"/>
      <c r="I4018" s="1"/>
      <c r="J4018" s="1"/>
      <c r="K4018" s="1"/>
      <c r="L4018" s="1"/>
      <c r="M4018" s="1"/>
      <c r="N4018" s="1"/>
      <c r="O4018" s="1"/>
      <c r="P4018" s="1"/>
      <c r="Q4018" s="1"/>
      <c r="R4018" s="1"/>
      <c r="S4018" s="1"/>
      <c r="T4018" s="1"/>
      <c r="U4018" s="1"/>
      <c r="V4018" s="1"/>
      <c r="W4018" s="1"/>
      <c r="X4018" s="1"/>
      <c r="Y4018" s="1"/>
      <c r="Z4018" s="1"/>
      <c r="AA4018" s="1"/>
      <c r="AB4018" s="1"/>
    </row>
    <row r="4019" ht="50.25" customHeight="1">
      <c r="A4019" s="12">
        <v>4015.0</v>
      </c>
      <c r="B4019" s="13" t="s">
        <v>3778</v>
      </c>
      <c r="C4019" s="14" t="s">
        <v>4037</v>
      </c>
      <c r="D4019" s="1"/>
      <c r="E4019" s="1"/>
      <c r="F4019" s="1" t="str">
        <f>IFERROR(__xludf.DUMMYFUNCTION("GOOGLETRANSLATE(B4019, ""en"", ""fa"")
"),"برنامه ریز عروسی")</f>
        <v>برنامه ریز عروسی</v>
      </c>
      <c r="G4019" s="1" t="str">
        <f>IFERROR(__xludf.DUMMYFUNCTION("GOOGLETRANSLATE(C4019, ""en"", ""fa"")
"),"چگونه زوج‌ها می‌توانند لباس‌هایی را انتخاب کنند که منعکس‌کننده سبک‌های فردی آن‌ها باشد در حالی که همچنان به‌عنوان یک زوج منسجم به نظر می‌رسند؟")</f>
        <v>چگونه زوج‌ها می‌توانند لباس‌هایی را انتخاب کنند که منعکس‌کننده سبک‌های فردی آن‌ها باشد در حالی که همچنان به‌عنوان یک زوج منسجم به نظر می‌رسند؟</v>
      </c>
      <c r="H4019" s="1"/>
      <c r="I4019" s="1"/>
      <c r="J4019" s="1"/>
      <c r="K4019" s="1"/>
      <c r="L4019" s="1"/>
      <c r="M4019" s="1"/>
      <c r="N4019" s="1"/>
      <c r="O4019" s="1"/>
      <c r="P4019" s="1"/>
      <c r="Q4019" s="1"/>
      <c r="R4019" s="1"/>
      <c r="S4019" s="1"/>
      <c r="T4019" s="1"/>
      <c r="U4019" s="1"/>
      <c r="V4019" s="1"/>
      <c r="W4019" s="1"/>
      <c r="X4019" s="1"/>
      <c r="Y4019" s="1"/>
      <c r="Z4019" s="1"/>
      <c r="AA4019" s="1"/>
      <c r="AB4019" s="1"/>
    </row>
    <row r="4020" ht="50.25" customHeight="1">
      <c r="A4020" s="12">
        <v>4016.0</v>
      </c>
      <c r="B4020" s="13" t="s">
        <v>3778</v>
      </c>
      <c r="C4020" s="14" t="s">
        <v>4038</v>
      </c>
      <c r="D4020" s="1"/>
      <c r="E4020" s="1"/>
      <c r="F4020" s="1" t="str">
        <f>IFERROR(__xludf.DUMMYFUNCTION("GOOGLETRANSLATE(B4020, ""en"", ""fa"")
"),"برنامه ریز عروسی")</f>
        <v>برنامه ریز عروسی</v>
      </c>
      <c r="G4020" s="1" t="str">
        <f>IFERROR(__xludf.DUMMYFUNCTION("GOOGLETRANSLATE(C4020, ""en"", ""fa"")
"),"بهترین روش ها برای مدیریت لباس برای مجالس عروسی بزرگ با ساقدوش ها و دامادهای متعدد چیست؟")</f>
        <v>بهترین روش ها برای مدیریت لباس برای مجالس عروسی بزرگ با ساقدوش ها و دامادهای متعدد چیست؟</v>
      </c>
      <c r="H4020" s="1"/>
      <c r="I4020" s="1"/>
      <c r="J4020" s="1"/>
      <c r="K4020" s="1"/>
      <c r="L4020" s="1"/>
      <c r="M4020" s="1"/>
      <c r="N4020" s="1"/>
      <c r="O4020" s="1"/>
      <c r="P4020" s="1"/>
      <c r="Q4020" s="1"/>
      <c r="R4020" s="1"/>
      <c r="S4020" s="1"/>
      <c r="T4020" s="1"/>
      <c r="U4020" s="1"/>
      <c r="V4020" s="1"/>
      <c r="W4020" s="1"/>
      <c r="X4020" s="1"/>
      <c r="Y4020" s="1"/>
      <c r="Z4020" s="1"/>
      <c r="AA4020" s="1"/>
      <c r="AB4020" s="1"/>
    </row>
    <row r="4021" ht="50.25" customHeight="1">
      <c r="A4021" s="12">
        <v>4017.0</v>
      </c>
      <c r="B4021" s="13" t="s">
        <v>3778</v>
      </c>
      <c r="C4021" s="14" t="s">
        <v>4039</v>
      </c>
      <c r="D4021" s="1"/>
      <c r="E4021" s="1"/>
      <c r="F4021" s="1" t="str">
        <f>IFERROR(__xludf.DUMMYFUNCTION("GOOGLETRANSLATE(B4021, ""en"", ""fa"")
"),"برنامه ریز عروسی")</f>
        <v>برنامه ریز عروسی</v>
      </c>
      <c r="G4021" s="1" t="str">
        <f>IFERROR(__xludf.DUMMYFUNCTION("GOOGLETRANSLATE(C4021, ""en"", ""fa"")
"),"چند استراتژی برای گنجاندن عناصر فرهنگی یا سنتی در لباس جشن عروسی به اشتراک بگذارید.")</f>
        <v>چند استراتژی برای گنجاندن عناصر فرهنگی یا سنتی در لباس جشن عروسی به اشتراک بگذارید.</v>
      </c>
      <c r="H4021" s="1"/>
      <c r="I4021" s="1"/>
      <c r="J4021" s="1"/>
      <c r="K4021" s="1"/>
      <c r="L4021" s="1"/>
      <c r="M4021" s="1"/>
      <c r="N4021" s="1"/>
      <c r="O4021" s="1"/>
      <c r="P4021" s="1"/>
      <c r="Q4021" s="1"/>
      <c r="R4021" s="1"/>
      <c r="S4021" s="1"/>
      <c r="T4021" s="1"/>
      <c r="U4021" s="1"/>
      <c r="V4021" s="1"/>
      <c r="W4021" s="1"/>
      <c r="X4021" s="1"/>
      <c r="Y4021" s="1"/>
      <c r="Z4021" s="1"/>
      <c r="AA4021" s="1"/>
      <c r="AB4021" s="1"/>
    </row>
    <row r="4022" ht="50.25" customHeight="1">
      <c r="A4022" s="12">
        <v>4018.0</v>
      </c>
      <c r="B4022" s="13" t="s">
        <v>3778</v>
      </c>
      <c r="C4022" s="14" t="s">
        <v>4040</v>
      </c>
      <c r="D4022" s="1"/>
      <c r="E4022" s="1"/>
      <c r="F4022" s="1" t="str">
        <f>IFERROR(__xludf.DUMMYFUNCTION("GOOGLETRANSLATE(B4022, ""en"", ""fa"")
"),"برنامه ریز عروسی")</f>
        <v>برنامه ریز عروسی</v>
      </c>
      <c r="G4022" s="1" t="str">
        <f>IFERROR(__xludf.DUMMYFUNCTION("GOOGLETRANSLATE(C4022, ""en"", ""fa"")
"),"چگونه زوج ها می توانند لباسی را انتخاب کنند که امکان حرکت راحت و راحتی را در طول جشن عروسی فراهم کند؟")</f>
        <v>چگونه زوج ها می توانند لباسی را انتخاب کنند که امکان حرکت راحت و راحتی را در طول جشن عروسی فراهم کند؟</v>
      </c>
      <c r="H4022" s="1"/>
      <c r="I4022" s="1"/>
      <c r="J4022" s="1"/>
      <c r="K4022" s="1"/>
      <c r="L4022" s="1"/>
      <c r="M4022" s="1"/>
      <c r="N4022" s="1"/>
      <c r="O4022" s="1"/>
      <c r="P4022" s="1"/>
      <c r="Q4022" s="1"/>
      <c r="R4022" s="1"/>
      <c r="S4022" s="1"/>
      <c r="T4022" s="1"/>
      <c r="U4022" s="1"/>
      <c r="V4022" s="1"/>
      <c r="W4022" s="1"/>
      <c r="X4022" s="1"/>
      <c r="Y4022" s="1"/>
      <c r="Z4022" s="1"/>
      <c r="AA4022" s="1"/>
      <c r="AB4022" s="1"/>
    </row>
    <row r="4023" ht="50.25" customHeight="1">
      <c r="A4023" s="12">
        <v>4019.0</v>
      </c>
      <c r="B4023" s="13" t="s">
        <v>3778</v>
      </c>
      <c r="C4023" s="14" t="s">
        <v>4041</v>
      </c>
      <c r="D4023" s="1"/>
      <c r="E4023" s="1"/>
      <c r="F4023" s="1" t="str">
        <f>IFERROR(__xludf.DUMMYFUNCTION("GOOGLETRANSLATE(B4023, ""en"", ""fa"")
"),"برنامه ریز عروسی")</f>
        <v>برنامه ریز عروسی</v>
      </c>
      <c r="G4023" s="1" t="str">
        <f>IFERROR(__xludf.DUMMYFUNCTION("GOOGLETRANSLATE(C4023, ""en"", ""fa"")
"),"ملاحظات کلیدی برای انتخاب لباس برای عروسی همجنس‌گرایان یا انتخاب‌های مد بی‌جنسیتی چیست؟")</f>
        <v>ملاحظات کلیدی برای انتخاب لباس برای عروسی همجنس‌گرایان یا انتخاب‌های مد بی‌جنسیتی چیست؟</v>
      </c>
      <c r="H4023" s="1"/>
      <c r="I4023" s="1"/>
      <c r="J4023" s="1"/>
      <c r="K4023" s="1"/>
      <c r="L4023" s="1"/>
      <c r="M4023" s="1"/>
      <c r="N4023" s="1"/>
      <c r="O4023" s="1"/>
      <c r="P4023" s="1"/>
      <c r="Q4023" s="1"/>
      <c r="R4023" s="1"/>
      <c r="S4023" s="1"/>
      <c r="T4023" s="1"/>
      <c r="U4023" s="1"/>
      <c r="V4023" s="1"/>
      <c r="W4023" s="1"/>
      <c r="X4023" s="1"/>
      <c r="Y4023" s="1"/>
      <c r="Z4023" s="1"/>
      <c r="AA4023" s="1"/>
      <c r="AB4023" s="1"/>
    </row>
    <row r="4024" ht="50.25" customHeight="1">
      <c r="A4024" s="12">
        <v>4020.0</v>
      </c>
      <c r="B4024" s="13" t="s">
        <v>3778</v>
      </c>
      <c r="C4024" s="14" t="s">
        <v>4042</v>
      </c>
      <c r="D4024" s="1"/>
      <c r="E4024" s="1"/>
      <c r="F4024" s="1" t="str">
        <f>IFERROR(__xludf.DUMMYFUNCTION("GOOGLETRANSLATE(B4024, ""en"", ""fa"")
"),"برنامه ریز عروسی")</f>
        <v>برنامه ریز عروسی</v>
      </c>
      <c r="G4024" s="1" t="str">
        <f>IFERROR(__xludf.DUMMYFUNCTION("GOOGLETRANSLATE(C4024, ""en"", ""fa"")
"),"نکاتی را برای مدیریت تدارکات هماهنگی و سازماندهی یراق آلات لباس برای کل جشن عروسی به اشتراک بگذارید.")</f>
        <v>نکاتی را برای مدیریت تدارکات هماهنگی و سازماندهی یراق آلات لباس برای کل جشن عروسی به اشتراک بگذارید.</v>
      </c>
      <c r="H4024" s="1"/>
      <c r="I4024" s="1"/>
      <c r="J4024" s="1"/>
      <c r="K4024" s="1"/>
      <c r="L4024" s="1"/>
      <c r="M4024" s="1"/>
      <c r="N4024" s="1"/>
      <c r="O4024" s="1"/>
      <c r="P4024" s="1"/>
      <c r="Q4024" s="1"/>
      <c r="R4024" s="1"/>
      <c r="S4024" s="1"/>
      <c r="T4024" s="1"/>
      <c r="U4024" s="1"/>
      <c r="V4024" s="1"/>
      <c r="W4024" s="1"/>
      <c r="X4024" s="1"/>
      <c r="Y4024" s="1"/>
      <c r="Z4024" s="1"/>
      <c r="AA4024" s="1"/>
      <c r="AB4024" s="1"/>
    </row>
    <row r="4025" ht="50.25" customHeight="1">
      <c r="A4025" s="12">
        <v>4021.0</v>
      </c>
      <c r="B4025" s="13" t="s">
        <v>3778</v>
      </c>
      <c r="C4025" s="14" t="s">
        <v>4043</v>
      </c>
      <c r="D4025" s="1"/>
      <c r="E4025" s="1"/>
      <c r="F4025" s="1" t="str">
        <f>IFERROR(__xludf.DUMMYFUNCTION("GOOGLETRANSLATE(B4025, ""en"", ""fa"")
"),"برنامه ریز عروسی")</f>
        <v>برنامه ریز عروسی</v>
      </c>
      <c r="G4025" s="1" t="str">
        <f>IFERROR(__xludf.DUMMYFUNCTION("GOOGLETRANSLATE(C4025, ""en"", ""fa"")
"),"برنامه ریزان عروسی چگونه می توانند به زوج ها در مدیریت اجاره لباس و بازگشت روز عروسی کمک کنند؟")</f>
        <v>برنامه ریزان عروسی چگونه می توانند به زوج ها در مدیریت اجاره لباس و بازگشت روز عروسی کمک کنند؟</v>
      </c>
      <c r="H4025" s="1"/>
      <c r="I4025" s="1"/>
      <c r="J4025" s="1"/>
      <c r="K4025" s="1"/>
      <c r="L4025" s="1"/>
      <c r="M4025" s="1"/>
      <c r="N4025" s="1"/>
      <c r="O4025" s="1"/>
      <c r="P4025" s="1"/>
      <c r="Q4025" s="1"/>
      <c r="R4025" s="1"/>
      <c r="S4025" s="1"/>
      <c r="T4025" s="1"/>
      <c r="U4025" s="1"/>
      <c r="V4025" s="1"/>
      <c r="W4025" s="1"/>
      <c r="X4025" s="1"/>
      <c r="Y4025" s="1"/>
      <c r="Z4025" s="1"/>
      <c r="AA4025" s="1"/>
      <c r="AB4025" s="1"/>
    </row>
    <row r="4026" ht="50.25" customHeight="1">
      <c r="A4026" s="12">
        <v>4022.0</v>
      </c>
      <c r="B4026" s="13" t="s">
        <v>3778</v>
      </c>
      <c r="C4026" s="14" t="s">
        <v>4044</v>
      </c>
      <c r="D4026" s="1"/>
      <c r="E4026" s="1"/>
      <c r="F4026" s="1" t="str">
        <f>IFERROR(__xludf.DUMMYFUNCTION("GOOGLETRANSLATE(B4026, ""en"", ""fa"")
"),"برنامه ریز عروسی")</f>
        <v>برنامه ریز عروسی</v>
      </c>
      <c r="G4026" s="1" t="str">
        <f>IFERROR(__xludf.DUMMYFUNCTION("GOOGLETRANSLATE(C4026, ""en"", ""fa"")
"),"در ارزیابی کیفیت و ساخت لباس عروس چه فاکتورهای ضروری را باید در نظر گرفت؟")</f>
        <v>در ارزیابی کیفیت و ساخت لباس عروس چه فاکتورهای ضروری را باید در نظر گرفت؟</v>
      </c>
      <c r="H4026" s="1"/>
      <c r="I4026" s="1"/>
      <c r="J4026" s="1"/>
      <c r="K4026" s="1"/>
      <c r="L4026" s="1"/>
      <c r="M4026" s="1"/>
      <c r="N4026" s="1"/>
      <c r="O4026" s="1"/>
      <c r="P4026" s="1"/>
      <c r="Q4026" s="1"/>
      <c r="R4026" s="1"/>
      <c r="S4026" s="1"/>
      <c r="T4026" s="1"/>
      <c r="U4026" s="1"/>
      <c r="V4026" s="1"/>
      <c r="W4026" s="1"/>
      <c r="X4026" s="1"/>
      <c r="Y4026" s="1"/>
      <c r="Z4026" s="1"/>
      <c r="AA4026" s="1"/>
      <c r="AB4026" s="1"/>
    </row>
    <row r="4027" ht="50.25" customHeight="1">
      <c r="A4027" s="12">
        <v>4023.0</v>
      </c>
      <c r="B4027" s="13" t="s">
        <v>3778</v>
      </c>
      <c r="C4027" s="14" t="s">
        <v>4045</v>
      </c>
      <c r="D4027" s="1"/>
      <c r="E4027" s="1"/>
      <c r="F4027" s="1" t="str">
        <f>IFERROR(__xludf.DUMMYFUNCTION("GOOGLETRANSLATE(B4027, ""en"", ""fa"")
"),"برنامه ریز عروسی")</f>
        <v>برنامه ریز عروسی</v>
      </c>
      <c r="G4027" s="1" t="str">
        <f>IFERROR(__xludf.DUMMYFUNCTION("GOOGLETRANSLATE(C4027, ""en"", ""fa"")
"),"ایده هایی برای گنجاندن اکسسوری های منحصر به فرد و معمولی در لباس جشن عروسی به اشتراک بگذارید.")</f>
        <v>ایده هایی برای گنجاندن اکسسوری های منحصر به فرد و معمولی در لباس جشن عروسی به اشتراک بگذارید.</v>
      </c>
      <c r="H4027" s="1"/>
      <c r="I4027" s="1"/>
      <c r="J4027" s="1"/>
      <c r="K4027" s="1"/>
      <c r="L4027" s="1"/>
      <c r="M4027" s="1"/>
      <c r="N4027" s="1"/>
      <c r="O4027" s="1"/>
      <c r="P4027" s="1"/>
      <c r="Q4027" s="1"/>
      <c r="R4027" s="1"/>
      <c r="S4027" s="1"/>
      <c r="T4027" s="1"/>
      <c r="U4027" s="1"/>
      <c r="V4027" s="1"/>
      <c r="W4027" s="1"/>
      <c r="X4027" s="1"/>
      <c r="Y4027" s="1"/>
      <c r="Z4027" s="1"/>
      <c r="AA4027" s="1"/>
      <c r="AB4027" s="1"/>
    </row>
    <row r="4028" ht="50.25" customHeight="1">
      <c r="A4028" s="12">
        <v>4024.0</v>
      </c>
      <c r="B4028" s="13" t="s">
        <v>3778</v>
      </c>
      <c r="C4028" s="14" t="s">
        <v>4046</v>
      </c>
      <c r="D4028" s="1"/>
      <c r="E4028" s="1"/>
      <c r="F4028" s="1" t="str">
        <f>IFERROR(__xludf.DUMMYFUNCTION("GOOGLETRANSLATE(B4028, ""en"", ""fa"")
"),"برنامه ریز عروسی")</f>
        <v>برنامه ریز عروسی</v>
      </c>
      <c r="G4028" s="1" t="str">
        <f>IFERROR(__xludf.DUMMYFUNCTION("GOOGLETRANSLATE(C4028, ""en"", ""fa"")
"),"چگونه زوج‌ها می‌توانند لباس‌هایی را انتخاب کنند که طیفی از تیپ‌ها و اندازه‌های بدن را در جشن عروسی مناسب باشد؟")</f>
        <v>چگونه زوج‌ها می‌توانند لباس‌هایی را انتخاب کنند که طیفی از تیپ‌ها و اندازه‌های بدن را در جشن عروسی مناسب باشد؟</v>
      </c>
      <c r="H4028" s="1"/>
      <c r="I4028" s="1"/>
      <c r="J4028" s="1"/>
      <c r="K4028" s="1"/>
      <c r="L4028" s="1"/>
      <c r="M4028" s="1"/>
      <c r="N4028" s="1"/>
      <c r="O4028" s="1"/>
      <c r="P4028" s="1"/>
      <c r="Q4028" s="1"/>
      <c r="R4028" s="1"/>
      <c r="S4028" s="1"/>
      <c r="T4028" s="1"/>
      <c r="U4028" s="1"/>
      <c r="V4028" s="1"/>
      <c r="W4028" s="1"/>
      <c r="X4028" s="1"/>
      <c r="Y4028" s="1"/>
      <c r="Z4028" s="1"/>
      <c r="AA4028" s="1"/>
      <c r="AB4028" s="1"/>
    </row>
    <row r="4029" ht="50.25" customHeight="1">
      <c r="A4029" s="12">
        <v>4025.0</v>
      </c>
      <c r="B4029" s="13" t="s">
        <v>3778</v>
      </c>
      <c r="C4029" s="14" t="s">
        <v>4047</v>
      </c>
      <c r="D4029" s="1"/>
      <c r="E4029" s="1"/>
      <c r="F4029" s="1" t="str">
        <f>IFERROR(__xludf.DUMMYFUNCTION("GOOGLETRANSLATE(B4029, ""en"", ""fa"")
"),"برنامه ریز عروسی")</f>
        <v>برنامه ریز عروسی</v>
      </c>
      <c r="G4029" s="1" t="str">
        <f>IFERROR(__xludf.DUMMYFUNCTION("GOOGLETRANSLATE(C4029, ""en"", ""fa"")
"),"ملاحظات کلیدی برای انتخاب لباس مناسب برای انواع مختلف مراسم عروسی (مثلاً مذهبی، غیر مذهبی) چیست؟")</f>
        <v>ملاحظات کلیدی برای انتخاب لباس مناسب برای انواع مختلف مراسم عروسی (مثلاً مذهبی، غیر مذهبی) چیست؟</v>
      </c>
      <c r="H4029" s="1"/>
      <c r="I4029" s="1"/>
      <c r="J4029" s="1"/>
      <c r="K4029" s="1"/>
      <c r="L4029" s="1"/>
      <c r="M4029" s="1"/>
      <c r="N4029" s="1"/>
      <c r="O4029" s="1"/>
      <c r="P4029" s="1"/>
      <c r="Q4029" s="1"/>
      <c r="R4029" s="1"/>
      <c r="S4029" s="1"/>
      <c r="T4029" s="1"/>
      <c r="U4029" s="1"/>
      <c r="V4029" s="1"/>
      <c r="W4029" s="1"/>
      <c r="X4029" s="1"/>
      <c r="Y4029" s="1"/>
      <c r="Z4029" s="1"/>
      <c r="AA4029" s="1"/>
      <c r="AB4029" s="1"/>
    </row>
    <row r="4030" ht="50.25" customHeight="1">
      <c r="A4030" s="12">
        <v>4026.0</v>
      </c>
      <c r="B4030" s="13" t="s">
        <v>3778</v>
      </c>
      <c r="C4030" s="14" t="s">
        <v>4048</v>
      </c>
      <c r="D4030" s="1"/>
      <c r="E4030" s="1"/>
      <c r="F4030" s="1" t="str">
        <f>IFERROR(__xludf.DUMMYFUNCTION("GOOGLETRANSLATE(B4030, ""en"", ""fa"")
"),"برنامه ریز عروسی")</f>
        <v>برنامه ریز عروسی</v>
      </c>
      <c r="G4030" s="1" t="str">
        <f>IFERROR(__xludf.DUMMYFUNCTION("GOOGLETRANSLATE(C4030, ""en"", ""fa"")
"),"برخی از استراتژی‌ها را برای انتخاب لباس‌هایی به اشتراک بگذارید که به انعطاف‌پذیری و راحتی در طول مراسم عروسی در فضای باز اجازه می‌دهد.")</f>
        <v>برخی از استراتژی‌ها را برای انتخاب لباس‌هایی به اشتراک بگذارید که به انعطاف‌پذیری و راحتی در طول مراسم عروسی در فضای باز اجازه می‌دهد.</v>
      </c>
      <c r="H4030" s="1"/>
      <c r="I4030" s="1"/>
      <c r="J4030" s="1"/>
      <c r="K4030" s="1"/>
      <c r="L4030" s="1"/>
      <c r="M4030" s="1"/>
      <c r="N4030" s="1"/>
      <c r="O4030" s="1"/>
      <c r="P4030" s="1"/>
      <c r="Q4030" s="1"/>
      <c r="R4030" s="1"/>
      <c r="S4030" s="1"/>
      <c r="T4030" s="1"/>
      <c r="U4030" s="1"/>
      <c r="V4030" s="1"/>
      <c r="W4030" s="1"/>
      <c r="X4030" s="1"/>
      <c r="Y4030" s="1"/>
      <c r="Z4030" s="1"/>
      <c r="AA4030" s="1"/>
      <c r="AB4030" s="1"/>
    </row>
    <row r="4031" ht="50.25" customHeight="1">
      <c r="A4031" s="12">
        <v>4027.0</v>
      </c>
      <c r="B4031" s="13" t="s">
        <v>3778</v>
      </c>
      <c r="C4031" s="14" t="s">
        <v>4049</v>
      </c>
      <c r="D4031" s="1"/>
      <c r="E4031" s="1"/>
      <c r="F4031" s="1" t="str">
        <f>IFERROR(__xludf.DUMMYFUNCTION("GOOGLETRANSLATE(B4031, ""en"", ""fa"")
"),"برنامه ریز عروسی")</f>
        <v>برنامه ریز عروسی</v>
      </c>
      <c r="G4031" s="1" t="str">
        <f>IFERROR(__xludf.DUMMYFUNCTION("GOOGLETRANSLATE(C4031, ""en"", ""fa"")
"),"چگونه زوج ها می توانند جزئیات احساسی یا معنادار را در انتخاب لباس عروسی خود بگنجانند؟")</f>
        <v>چگونه زوج ها می توانند جزئیات احساسی یا معنادار را در انتخاب لباس عروسی خود بگنجانند؟</v>
      </c>
      <c r="H4031" s="1"/>
      <c r="I4031" s="1"/>
      <c r="J4031" s="1"/>
      <c r="K4031" s="1"/>
      <c r="L4031" s="1"/>
      <c r="M4031" s="1"/>
      <c r="N4031" s="1"/>
      <c r="O4031" s="1"/>
      <c r="P4031" s="1"/>
      <c r="Q4031" s="1"/>
      <c r="R4031" s="1"/>
      <c r="S4031" s="1"/>
      <c r="T4031" s="1"/>
      <c r="U4031" s="1"/>
      <c r="V4031" s="1"/>
      <c r="W4031" s="1"/>
      <c r="X4031" s="1"/>
      <c r="Y4031" s="1"/>
      <c r="Z4031" s="1"/>
      <c r="AA4031" s="1"/>
      <c r="AB4031" s="1"/>
    </row>
    <row r="4032" ht="50.25" customHeight="1">
      <c r="A4032" s="12">
        <v>4028.0</v>
      </c>
      <c r="B4032" s="13" t="s">
        <v>3778</v>
      </c>
      <c r="C4032" s="14" t="s">
        <v>4050</v>
      </c>
      <c r="D4032" s="1"/>
      <c r="E4032" s="1"/>
      <c r="F4032" s="1" t="str">
        <f>IFERROR(__xludf.DUMMYFUNCTION("GOOGLETRANSLATE(B4032, ""en"", ""fa"")
"),"برنامه ریز عروسی")</f>
        <v>برنامه ریز عروسی</v>
      </c>
      <c r="G4032" s="1" t="str">
        <f>IFERROR(__xludf.DUMMYFUNCTION("GOOGLETRANSLATE(C4032, ""en"", ""fa"")
"),"بهترین روش ها برای مدیریت هماهنگی و برنامه های مناسب برای اعضای جشن عروسی خارج از شهر چیست؟")</f>
        <v>بهترین روش ها برای مدیریت هماهنگی و برنامه های مناسب برای اعضای جشن عروسی خارج از شهر چیست؟</v>
      </c>
      <c r="H4032" s="1"/>
      <c r="I4032" s="1"/>
      <c r="J4032" s="1"/>
      <c r="K4032" s="1"/>
      <c r="L4032" s="1"/>
      <c r="M4032" s="1"/>
      <c r="N4032" s="1"/>
      <c r="O4032" s="1"/>
      <c r="P4032" s="1"/>
      <c r="Q4032" s="1"/>
      <c r="R4032" s="1"/>
      <c r="S4032" s="1"/>
      <c r="T4032" s="1"/>
      <c r="U4032" s="1"/>
      <c r="V4032" s="1"/>
      <c r="W4032" s="1"/>
      <c r="X4032" s="1"/>
      <c r="Y4032" s="1"/>
      <c r="Z4032" s="1"/>
      <c r="AA4032" s="1"/>
      <c r="AB4032" s="1"/>
    </row>
    <row r="4033" ht="50.25" customHeight="1">
      <c r="A4033" s="12">
        <v>4029.0</v>
      </c>
      <c r="B4033" s="13" t="s">
        <v>3778</v>
      </c>
      <c r="C4033" s="14" t="s">
        <v>4051</v>
      </c>
      <c r="D4033" s="1"/>
      <c r="E4033" s="1"/>
      <c r="F4033" s="1" t="str">
        <f>IFERROR(__xludf.DUMMYFUNCTION("GOOGLETRANSLATE(B4033, ""en"", ""fa"")
"),"برنامه ریز عروسی")</f>
        <v>برنامه ریز عروسی</v>
      </c>
      <c r="G4033" s="1" t="str">
        <f>IFERROR(__xludf.DUMMYFUNCTION("GOOGLETRANSLATE(C4033, ""en"", ""fa"")
"),"نکاتی را برای انتخاب لباسی که با پالت و دکوراسیون کلی رنگ عروسی هماهنگ باشد، به اشتراک بگذارید.")</f>
        <v>نکاتی را برای انتخاب لباسی که با پالت و دکوراسیون کلی رنگ عروسی هماهنگ باشد، به اشتراک بگذارید.</v>
      </c>
      <c r="H4033" s="1"/>
      <c r="I4033" s="1"/>
      <c r="J4033" s="1"/>
      <c r="K4033" s="1"/>
      <c r="L4033" s="1"/>
      <c r="M4033" s="1"/>
      <c r="N4033" s="1"/>
      <c r="O4033" s="1"/>
      <c r="P4033" s="1"/>
      <c r="Q4033" s="1"/>
      <c r="R4033" s="1"/>
      <c r="S4033" s="1"/>
      <c r="T4033" s="1"/>
      <c r="U4033" s="1"/>
      <c r="V4033" s="1"/>
      <c r="W4033" s="1"/>
      <c r="X4033" s="1"/>
      <c r="Y4033" s="1"/>
      <c r="Z4033" s="1"/>
      <c r="AA4033" s="1"/>
      <c r="AB4033" s="1"/>
    </row>
    <row r="4034" ht="50.25" customHeight="1">
      <c r="A4034" s="12">
        <v>4030.0</v>
      </c>
      <c r="B4034" s="13" t="s">
        <v>3778</v>
      </c>
      <c r="C4034" s="14" t="s">
        <v>4052</v>
      </c>
      <c r="D4034" s="1"/>
      <c r="E4034" s="1"/>
      <c r="F4034" s="1" t="str">
        <f>IFERROR(__xludf.DUMMYFUNCTION("GOOGLETRANSLATE(B4034, ""en"", ""fa"")
"),"برنامه ریز عروسی")</f>
        <v>برنامه ریز عروسی</v>
      </c>
      <c r="G4034" s="1" t="str">
        <f>IFERROR(__xludf.DUMMYFUNCTION("GOOGLETRANSLATE(C4034, ""en"", ""fa"")
"),"برنامه ریزان عروسی چگونه می توانند به زوج ها در هماهنگی لباس اعضای خانواده و مهمانان مهم کمک کنند؟")</f>
        <v>برنامه ریزان عروسی چگونه می توانند به زوج ها در هماهنگی لباس اعضای خانواده و مهمانان مهم کمک کنند؟</v>
      </c>
      <c r="H4034" s="1"/>
      <c r="I4034" s="1"/>
      <c r="J4034" s="1"/>
      <c r="K4034" s="1"/>
      <c r="L4034" s="1"/>
      <c r="M4034" s="1"/>
      <c r="N4034" s="1"/>
      <c r="O4034" s="1"/>
      <c r="P4034" s="1"/>
      <c r="Q4034" s="1"/>
      <c r="R4034" s="1"/>
      <c r="S4034" s="1"/>
      <c r="T4034" s="1"/>
      <c r="U4034" s="1"/>
      <c r="V4034" s="1"/>
      <c r="W4034" s="1"/>
      <c r="X4034" s="1"/>
      <c r="Y4034" s="1"/>
      <c r="Z4034" s="1"/>
      <c r="AA4034" s="1"/>
      <c r="AB4034" s="1"/>
    </row>
    <row r="4035" ht="50.25" customHeight="1">
      <c r="A4035" s="12">
        <v>4031.0</v>
      </c>
      <c r="B4035" s="13" t="s">
        <v>3778</v>
      </c>
      <c r="C4035" s="14" t="s">
        <v>4053</v>
      </c>
      <c r="D4035" s="1"/>
      <c r="E4035" s="1"/>
      <c r="F4035" s="1" t="str">
        <f>IFERROR(__xludf.DUMMYFUNCTION("GOOGLETRANSLATE(B4035, ""en"", ""fa"")
"),"برنامه ریز عروسی")</f>
        <v>برنامه ریز عروسی</v>
      </c>
      <c r="G4035" s="1" t="str">
        <f>IFERROR(__xludf.DUMMYFUNCTION("GOOGLETRANSLATE(C4035, ""en"", ""fa"")
"),"هنگام ارزیابی فصلی و روند لباس عروسی چه عواملی ضروری است؟")</f>
        <v>هنگام ارزیابی فصلی و روند لباس عروسی چه عواملی ضروری است؟</v>
      </c>
      <c r="H4035" s="1"/>
      <c r="I4035" s="1"/>
      <c r="J4035" s="1"/>
      <c r="K4035" s="1"/>
      <c r="L4035" s="1"/>
      <c r="M4035" s="1"/>
      <c r="N4035" s="1"/>
      <c r="O4035" s="1"/>
      <c r="P4035" s="1"/>
      <c r="Q4035" s="1"/>
      <c r="R4035" s="1"/>
      <c r="S4035" s="1"/>
      <c r="T4035" s="1"/>
      <c r="U4035" s="1"/>
      <c r="V4035" s="1"/>
      <c r="W4035" s="1"/>
      <c r="X4035" s="1"/>
      <c r="Y4035" s="1"/>
      <c r="Z4035" s="1"/>
      <c r="AA4035" s="1"/>
      <c r="AB4035" s="1"/>
    </row>
    <row r="4036" ht="50.25" customHeight="1">
      <c r="A4036" s="12">
        <v>4032.0</v>
      </c>
      <c r="B4036" s="13" t="s">
        <v>3778</v>
      </c>
      <c r="C4036" s="14" t="s">
        <v>4054</v>
      </c>
      <c r="D4036" s="1"/>
      <c r="E4036" s="1"/>
      <c r="F4036" s="1" t="str">
        <f>IFERROR(__xludf.DUMMYFUNCTION("GOOGLETRANSLATE(B4036, ""en"", ""fa"")
"),"برنامه ریز عروسی")</f>
        <v>برنامه ریز عروسی</v>
      </c>
      <c r="G4036" s="1" t="str">
        <f>IFERROR(__xludf.DUMMYFUNCTION("GOOGLETRANSLATE(C4036, ""en"", ""fa"")
"),"ایده هایی برای گنجاندن عناصر غیر سنتی در لباس داماد، مانند جوراب های رنگارنگ یا دکمه سرآستین های منحصر به فرد، به اشتراک بگذارید.")</f>
        <v>ایده هایی برای گنجاندن عناصر غیر سنتی در لباس داماد، مانند جوراب های رنگارنگ یا دکمه سرآستین های منحصر به فرد، به اشتراک بگذارید.</v>
      </c>
      <c r="H4036" s="1"/>
      <c r="I4036" s="1"/>
      <c r="J4036" s="1"/>
      <c r="K4036" s="1"/>
      <c r="L4036" s="1"/>
      <c r="M4036" s="1"/>
      <c r="N4036" s="1"/>
      <c r="O4036" s="1"/>
      <c r="P4036" s="1"/>
      <c r="Q4036" s="1"/>
      <c r="R4036" s="1"/>
      <c r="S4036" s="1"/>
      <c r="T4036" s="1"/>
      <c r="U4036" s="1"/>
      <c r="V4036" s="1"/>
      <c r="W4036" s="1"/>
      <c r="X4036" s="1"/>
      <c r="Y4036" s="1"/>
      <c r="Z4036" s="1"/>
      <c r="AA4036" s="1"/>
      <c r="AB4036" s="1"/>
    </row>
    <row r="4037" ht="50.25" customHeight="1">
      <c r="A4037" s="12">
        <v>4033.0</v>
      </c>
      <c r="B4037" s="13" t="s">
        <v>3778</v>
      </c>
      <c r="C4037" s="14" t="s">
        <v>4055</v>
      </c>
      <c r="D4037" s="1"/>
      <c r="E4037" s="1"/>
      <c r="F4037" s="1" t="str">
        <f>IFERROR(__xludf.DUMMYFUNCTION("GOOGLETRANSLATE(B4037, ""en"", ""fa"")
"),"برنامه ریز عروسی")</f>
        <v>برنامه ریز عروسی</v>
      </c>
      <c r="G4037" s="1" t="str">
        <f>IFERROR(__xludf.DUMMYFUNCTION("GOOGLETRANSLATE(C4037, ""en"", ""fa"")
"),"چگونه زوج ها می توانند لباسی را انتخاب کنند که امکان حرکت و رقصیدن آسان در طول پذیرایی را فراهم کند؟")</f>
        <v>چگونه زوج ها می توانند لباسی را انتخاب کنند که امکان حرکت و رقصیدن آسان در طول پذیرایی را فراهم کند؟</v>
      </c>
      <c r="H4037" s="1"/>
      <c r="I4037" s="1"/>
      <c r="J4037" s="1"/>
      <c r="K4037" s="1"/>
      <c r="L4037" s="1"/>
      <c r="M4037" s="1"/>
      <c r="N4037" s="1"/>
      <c r="O4037" s="1"/>
      <c r="P4037" s="1"/>
      <c r="Q4037" s="1"/>
      <c r="R4037" s="1"/>
      <c r="S4037" s="1"/>
      <c r="T4037" s="1"/>
      <c r="U4037" s="1"/>
      <c r="V4037" s="1"/>
      <c r="W4037" s="1"/>
      <c r="X4037" s="1"/>
      <c r="Y4037" s="1"/>
      <c r="Z4037" s="1"/>
      <c r="AA4037" s="1"/>
      <c r="AB4037" s="1"/>
    </row>
    <row r="4038" ht="50.25" customHeight="1">
      <c r="A4038" s="12">
        <v>4034.0</v>
      </c>
      <c r="B4038" s="13" t="s">
        <v>3778</v>
      </c>
      <c r="C4038" s="14" t="s">
        <v>4056</v>
      </c>
      <c r="D4038" s="1"/>
      <c r="E4038" s="1"/>
      <c r="F4038" s="1" t="str">
        <f>IFERROR(__xludf.DUMMYFUNCTION("GOOGLETRANSLATE(B4038, ""en"", ""fa"")
"),"برنامه ریز عروسی")</f>
        <v>برنامه ریز عروسی</v>
      </c>
      <c r="G4038" s="1" t="str">
        <f>IFERROR(__xludf.DUMMYFUNCTION("GOOGLETRANSLATE(C4038, ""en"", ""fa"")
"),"ملاحظات کلیدی برای انتخاب لباس برای تم های مختلف عروسی، مانند وینتیج یا بوهمی چیست؟")</f>
        <v>ملاحظات کلیدی برای انتخاب لباس برای تم های مختلف عروسی، مانند وینتیج یا بوهمی چیست؟</v>
      </c>
      <c r="H4038" s="1"/>
      <c r="I4038" s="1"/>
      <c r="J4038" s="1"/>
      <c r="K4038" s="1"/>
      <c r="L4038" s="1"/>
      <c r="M4038" s="1"/>
      <c r="N4038" s="1"/>
      <c r="O4038" s="1"/>
      <c r="P4038" s="1"/>
      <c r="Q4038" s="1"/>
      <c r="R4038" s="1"/>
      <c r="S4038" s="1"/>
      <c r="T4038" s="1"/>
      <c r="U4038" s="1"/>
      <c r="V4038" s="1"/>
      <c r="W4038" s="1"/>
      <c r="X4038" s="1"/>
      <c r="Y4038" s="1"/>
      <c r="Z4038" s="1"/>
      <c r="AA4038" s="1"/>
      <c r="AB4038" s="1"/>
    </row>
    <row r="4039" ht="50.25" customHeight="1">
      <c r="A4039" s="12">
        <v>4035.0</v>
      </c>
      <c r="B4039" s="13" t="s">
        <v>3778</v>
      </c>
      <c r="C4039" s="14" t="s">
        <v>4057</v>
      </c>
      <c r="D4039" s="1"/>
      <c r="E4039" s="1"/>
      <c r="F4039" s="1" t="str">
        <f>IFERROR(__xludf.DUMMYFUNCTION("GOOGLETRANSLATE(B4039, ""en"", ""fa"")
"),"برنامه ریز عروسی")</f>
        <v>برنامه ریز عروسی</v>
      </c>
      <c r="G4039" s="1" t="str">
        <f>IFERROR(__xludf.DUMMYFUNCTION("GOOGLETRANSLATE(C4039, ""en"", ""fa"")
"),"چند استراتژی برای مدیریت تدارکات خرید لباس و لباس برای زوج هایی با برنامه های شلوغ به اشتراک بگذارید.")</f>
        <v>چند استراتژی برای مدیریت تدارکات خرید لباس و لباس برای زوج هایی با برنامه های شلوغ به اشتراک بگذارید.</v>
      </c>
      <c r="H4039" s="1"/>
      <c r="I4039" s="1"/>
      <c r="J4039" s="1"/>
      <c r="K4039" s="1"/>
      <c r="L4039" s="1"/>
      <c r="M4039" s="1"/>
      <c r="N4039" s="1"/>
      <c r="O4039" s="1"/>
      <c r="P4039" s="1"/>
      <c r="Q4039" s="1"/>
      <c r="R4039" s="1"/>
      <c r="S4039" s="1"/>
      <c r="T4039" s="1"/>
      <c r="U4039" s="1"/>
      <c r="V4039" s="1"/>
      <c r="W4039" s="1"/>
      <c r="X4039" s="1"/>
      <c r="Y4039" s="1"/>
      <c r="Z4039" s="1"/>
      <c r="AA4039" s="1"/>
      <c r="AB4039" s="1"/>
    </row>
    <row r="4040" ht="50.25" customHeight="1">
      <c r="A4040" s="12">
        <v>4036.0</v>
      </c>
      <c r="B4040" s="13" t="s">
        <v>3778</v>
      </c>
      <c r="C4040" s="14" t="s">
        <v>4058</v>
      </c>
      <c r="D4040" s="1"/>
      <c r="E4040" s="1"/>
      <c r="F4040" s="1" t="str">
        <f>IFERROR(__xludf.DUMMYFUNCTION("GOOGLETRANSLATE(B4040, ""en"", ""fa"")
"),"برنامه ریز عروسی")</f>
        <v>برنامه ریز عروسی</v>
      </c>
      <c r="G4040" s="1" t="str">
        <f>IFERROR(__xludf.DUMMYFUNCTION("GOOGLETRANSLATE(C4040, ""en"", ""fa"")
"),"برنامه ریزان عروسی چگونه می توانند به زوج ها در یافتن لباس مناسب که مناسب مقصد یا مراسم عروسی شان است کمک کنند؟")</f>
        <v>برنامه ریزان عروسی چگونه می توانند به زوج ها در یافتن لباس مناسب که مناسب مقصد یا مراسم عروسی شان است کمک کنند؟</v>
      </c>
      <c r="H4040" s="1"/>
      <c r="I4040" s="1"/>
      <c r="J4040" s="1"/>
      <c r="K4040" s="1"/>
      <c r="L4040" s="1"/>
      <c r="M4040" s="1"/>
      <c r="N4040" s="1"/>
      <c r="O4040" s="1"/>
      <c r="P4040" s="1"/>
      <c r="Q4040" s="1"/>
      <c r="R4040" s="1"/>
      <c r="S4040" s="1"/>
      <c r="T4040" s="1"/>
      <c r="U4040" s="1"/>
      <c r="V4040" s="1"/>
      <c r="W4040" s="1"/>
      <c r="X4040" s="1"/>
      <c r="Y4040" s="1"/>
      <c r="Z4040" s="1"/>
      <c r="AA4040" s="1"/>
      <c r="AB4040" s="1"/>
    </row>
    <row r="4041" ht="50.25" customHeight="1">
      <c r="A4041" s="12">
        <v>4037.0</v>
      </c>
      <c r="B4041" s="13" t="s">
        <v>3778</v>
      </c>
      <c r="C4041" s="14" t="s">
        <v>4059</v>
      </c>
      <c r="D4041" s="1"/>
      <c r="E4041" s="1"/>
      <c r="F4041" s="1" t="str">
        <f>IFERROR(__xludf.DUMMYFUNCTION("GOOGLETRANSLATE(B4041, ""en"", ""fa"")
"),"برنامه ریز عروسی")</f>
        <v>برنامه ریز عروسی</v>
      </c>
      <c r="G4041" s="1" t="str">
        <f>IFERROR(__xludf.DUMMYFUNCTION("GOOGLETRANSLATE(C4041, ""en"", ""fa"")
"),"هنگام ارزیابی راحتی و تنفس پارچه های لباس عروسی چه عواملی ضروری است؟")</f>
        <v>هنگام ارزیابی راحتی و تنفس پارچه های لباس عروسی چه عواملی ضروری است؟</v>
      </c>
      <c r="H4041" s="1"/>
      <c r="I4041" s="1"/>
      <c r="J4041" s="1"/>
      <c r="K4041" s="1"/>
      <c r="L4041" s="1"/>
      <c r="M4041" s="1"/>
      <c r="N4041" s="1"/>
      <c r="O4041" s="1"/>
      <c r="P4041" s="1"/>
      <c r="Q4041" s="1"/>
      <c r="R4041" s="1"/>
      <c r="S4041" s="1"/>
      <c r="T4041" s="1"/>
      <c r="U4041" s="1"/>
      <c r="V4041" s="1"/>
      <c r="W4041" s="1"/>
      <c r="X4041" s="1"/>
      <c r="Y4041" s="1"/>
      <c r="Z4041" s="1"/>
      <c r="AA4041" s="1"/>
      <c r="AB4041" s="1"/>
    </row>
    <row r="4042" ht="50.25" customHeight="1">
      <c r="A4042" s="12">
        <v>4038.0</v>
      </c>
      <c r="B4042" s="13" t="s">
        <v>3778</v>
      </c>
      <c r="C4042" s="14" t="s">
        <v>4060</v>
      </c>
      <c r="D4042" s="1"/>
      <c r="E4042" s="1"/>
      <c r="F4042" s="1" t="str">
        <f>IFERROR(__xludf.DUMMYFUNCTION("GOOGLETRANSLATE(B4042, ""en"", ""fa"")
"),"برنامه ریز عروسی")</f>
        <v>برنامه ریز عروسی</v>
      </c>
      <c r="G4042" s="1" t="str">
        <f>IFERROR(__xludf.DUMMYFUNCTION("GOOGLETRANSLATE(C4042, ""en"", ""fa"")
"),"نکاتی را برای هماهنگ کردن لباس جشن عروسی با دکوراسیون و رنگ بندی کلی عروسی به اشتراک بگذارید.")</f>
        <v>نکاتی را برای هماهنگ کردن لباس جشن عروسی با دکوراسیون و رنگ بندی کلی عروسی به اشتراک بگذارید.</v>
      </c>
      <c r="H4042" s="1"/>
      <c r="I4042" s="1"/>
      <c r="J4042" s="1"/>
      <c r="K4042" s="1"/>
      <c r="L4042" s="1"/>
      <c r="M4042" s="1"/>
      <c r="N4042" s="1"/>
      <c r="O4042" s="1"/>
      <c r="P4042" s="1"/>
      <c r="Q4042" s="1"/>
      <c r="R4042" s="1"/>
      <c r="S4042" s="1"/>
      <c r="T4042" s="1"/>
      <c r="U4042" s="1"/>
      <c r="V4042" s="1"/>
      <c r="W4042" s="1"/>
      <c r="X4042" s="1"/>
      <c r="Y4042" s="1"/>
      <c r="Z4042" s="1"/>
      <c r="AA4042" s="1"/>
      <c r="AB4042" s="1"/>
    </row>
    <row r="4043" ht="50.25" customHeight="1">
      <c r="A4043" s="12">
        <v>4039.0</v>
      </c>
      <c r="B4043" s="13" t="s">
        <v>3778</v>
      </c>
      <c r="C4043" s="14" t="s">
        <v>4061</v>
      </c>
      <c r="D4043" s="1"/>
      <c r="E4043" s="1"/>
      <c r="F4043" s="1" t="str">
        <f>IFERROR(__xludf.DUMMYFUNCTION("GOOGLETRANSLATE(B4043, ""en"", ""fa"")
"),"برنامه ریز عروسی")</f>
        <v>برنامه ریز عروسی</v>
      </c>
      <c r="G4043" s="1" t="str">
        <f>IFERROR(__xludf.DUMMYFUNCTION("GOOGLETRANSLATE(C4043, ""en"", ""fa"")
"),"چگونه زوج ها می توانند لباسی را انتخاب کنند که مناسب مراسم و سنت های مختلف فرهنگی یا مذهبی باشد؟")</f>
        <v>چگونه زوج ها می توانند لباسی را انتخاب کنند که مناسب مراسم و سنت های مختلف فرهنگی یا مذهبی باشد؟</v>
      </c>
      <c r="H4043" s="1"/>
      <c r="I4043" s="1"/>
      <c r="J4043" s="1"/>
      <c r="K4043" s="1"/>
      <c r="L4043" s="1"/>
      <c r="M4043" s="1"/>
      <c r="N4043" s="1"/>
      <c r="O4043" s="1"/>
      <c r="P4043" s="1"/>
      <c r="Q4043" s="1"/>
      <c r="R4043" s="1"/>
      <c r="S4043" s="1"/>
      <c r="T4043" s="1"/>
      <c r="U4043" s="1"/>
      <c r="V4043" s="1"/>
      <c r="W4043" s="1"/>
      <c r="X4043" s="1"/>
      <c r="Y4043" s="1"/>
      <c r="Z4043" s="1"/>
      <c r="AA4043" s="1"/>
      <c r="AB4043" s="1"/>
    </row>
    <row r="4044" ht="50.25" customHeight="1">
      <c r="A4044" s="12">
        <v>4040.0</v>
      </c>
      <c r="B4044" s="13" t="s">
        <v>3778</v>
      </c>
      <c r="C4044" s="14" t="s">
        <v>4062</v>
      </c>
      <c r="D4044" s="1"/>
      <c r="E4044" s="1"/>
      <c r="F4044" s="1" t="str">
        <f>IFERROR(__xludf.DUMMYFUNCTION("GOOGLETRANSLATE(B4044, ""en"", ""fa"")
"),"برنامه ریز عروسی")</f>
        <v>برنامه ریز عروسی</v>
      </c>
      <c r="G4044" s="1" t="str">
        <f>IFERROR(__xludf.DUMMYFUNCTION("GOOGLETRANSLATE(C4044, ""en"", ""fa"")
"),"ملاحظات کلیدی برای انتخاب لباس مناسب برای عروسی های رسمی یا کراوات مشکی چیست؟")</f>
        <v>ملاحظات کلیدی برای انتخاب لباس مناسب برای عروسی های رسمی یا کراوات مشکی چیست؟</v>
      </c>
      <c r="H4044" s="1"/>
      <c r="I4044" s="1"/>
      <c r="J4044" s="1"/>
      <c r="K4044" s="1"/>
      <c r="L4044" s="1"/>
      <c r="M4044" s="1"/>
      <c r="N4044" s="1"/>
      <c r="O4044" s="1"/>
      <c r="P4044" s="1"/>
      <c r="Q4044" s="1"/>
      <c r="R4044" s="1"/>
      <c r="S4044" s="1"/>
      <c r="T4044" s="1"/>
      <c r="U4044" s="1"/>
      <c r="V4044" s="1"/>
      <c r="W4044" s="1"/>
      <c r="X4044" s="1"/>
      <c r="Y4044" s="1"/>
      <c r="Z4044" s="1"/>
      <c r="AA4044" s="1"/>
      <c r="AB4044" s="1"/>
    </row>
    <row r="4045" ht="50.25" customHeight="1">
      <c r="A4045" s="12">
        <v>4041.0</v>
      </c>
      <c r="B4045" s="13" t="s">
        <v>3778</v>
      </c>
      <c r="C4045" s="14" t="s">
        <v>4063</v>
      </c>
      <c r="D4045" s="1"/>
      <c r="E4045" s="1"/>
      <c r="F4045" s="1" t="str">
        <f>IFERROR(__xludf.DUMMYFUNCTION("GOOGLETRANSLATE(B4045, ""en"", ""fa"")
"),"برنامه ریز عروسی")</f>
        <v>برنامه ریز عروسی</v>
      </c>
      <c r="G4045" s="1" t="str">
        <f>IFERROR(__xludf.DUMMYFUNCTION("GOOGLETRANSLATE(C4045, ""en"", ""fa"")
"),"ایده هایی برای ترکیب پارچه های سازگار با محیط زیست یا پایدار در انتخاب لباس عروسی به اشتراک بگذارید.")</f>
        <v>ایده هایی برای ترکیب پارچه های سازگار با محیط زیست یا پایدار در انتخاب لباس عروسی به اشتراک بگذارید.</v>
      </c>
      <c r="H4045" s="1"/>
      <c r="I4045" s="1"/>
      <c r="J4045" s="1"/>
      <c r="K4045" s="1"/>
      <c r="L4045" s="1"/>
      <c r="M4045" s="1"/>
      <c r="N4045" s="1"/>
      <c r="O4045" s="1"/>
      <c r="P4045" s="1"/>
      <c r="Q4045" s="1"/>
      <c r="R4045" s="1"/>
      <c r="S4045" s="1"/>
      <c r="T4045" s="1"/>
      <c r="U4045" s="1"/>
      <c r="V4045" s="1"/>
      <c r="W4045" s="1"/>
      <c r="X4045" s="1"/>
      <c r="Y4045" s="1"/>
      <c r="Z4045" s="1"/>
      <c r="AA4045" s="1"/>
      <c r="AB4045" s="1"/>
    </row>
    <row r="4046" ht="50.25" customHeight="1">
      <c r="A4046" s="12">
        <v>4042.0</v>
      </c>
      <c r="B4046" s="13" t="s">
        <v>3778</v>
      </c>
      <c r="C4046" s="14" t="s">
        <v>4064</v>
      </c>
      <c r="D4046" s="1"/>
      <c r="E4046" s="1"/>
      <c r="F4046" s="1" t="str">
        <f>IFERROR(__xludf.DUMMYFUNCTION("GOOGLETRANSLATE(B4046, ""en"", ""fa"")
"),"برنامه ریز عروسی")</f>
        <v>برنامه ریز عروسی</v>
      </c>
      <c r="G4046" s="1" t="str">
        <f>IFERROR(__xludf.DUMMYFUNCTION("GOOGLETRANSLATE(C4046, ""en"", ""fa"")
"),"برنامه ریزان عروسی چگونه می توانند به زوج ها در مدیریت هماهنگی و برنامه ریزی مناسب برای یک جشن عروسی بزرگ کمک کنند؟")</f>
        <v>برنامه ریزان عروسی چگونه می توانند به زوج ها در مدیریت هماهنگی و برنامه ریزی مناسب برای یک جشن عروسی بزرگ کمک کنند؟</v>
      </c>
      <c r="H4046" s="1"/>
      <c r="I4046" s="1"/>
      <c r="J4046" s="1"/>
      <c r="K4046" s="1"/>
      <c r="L4046" s="1"/>
      <c r="M4046" s="1"/>
      <c r="N4046" s="1"/>
      <c r="O4046" s="1"/>
      <c r="P4046" s="1"/>
      <c r="Q4046" s="1"/>
      <c r="R4046" s="1"/>
      <c r="S4046" s="1"/>
      <c r="T4046" s="1"/>
      <c r="U4046" s="1"/>
      <c r="V4046" s="1"/>
      <c r="W4046" s="1"/>
      <c r="X4046" s="1"/>
      <c r="Y4046" s="1"/>
      <c r="Z4046" s="1"/>
      <c r="AA4046" s="1"/>
      <c r="AB4046" s="1"/>
    </row>
    <row r="4047" ht="50.25" customHeight="1">
      <c r="A4047" s="12">
        <v>4043.0</v>
      </c>
      <c r="B4047" s="13" t="s">
        <v>3778</v>
      </c>
      <c r="C4047" s="14" t="s">
        <v>4065</v>
      </c>
      <c r="D4047" s="1"/>
      <c r="E4047" s="1"/>
      <c r="F4047" s="1" t="str">
        <f>IFERROR(__xludf.DUMMYFUNCTION("GOOGLETRANSLATE(B4047, ""en"", ""fa"")
"),"برنامه ریز عروسی")</f>
        <v>برنامه ریز عروسی</v>
      </c>
      <c r="G4047" s="1" t="str">
        <f>IFERROR(__xludf.DUMMYFUNCTION("GOOGLETRANSLATE(C4047, ""en"", ""fa"")
"),"هنگام ارزیابی دوام و مقاومت در برابر لک پارچه های لباس عروس چه عواملی را باید در نظر گرفت؟")</f>
        <v>هنگام ارزیابی دوام و مقاومت در برابر لک پارچه های لباس عروس چه عواملی را باید در نظر گرفت؟</v>
      </c>
      <c r="H4047" s="1"/>
      <c r="I4047" s="1"/>
      <c r="J4047" s="1"/>
      <c r="K4047" s="1"/>
      <c r="L4047" s="1"/>
      <c r="M4047" s="1"/>
      <c r="N4047" s="1"/>
      <c r="O4047" s="1"/>
      <c r="P4047" s="1"/>
      <c r="Q4047" s="1"/>
      <c r="R4047" s="1"/>
      <c r="S4047" s="1"/>
      <c r="T4047" s="1"/>
      <c r="U4047" s="1"/>
      <c r="V4047" s="1"/>
      <c r="W4047" s="1"/>
      <c r="X4047" s="1"/>
      <c r="Y4047" s="1"/>
      <c r="Z4047" s="1"/>
      <c r="AA4047" s="1"/>
      <c r="AB4047" s="1"/>
    </row>
    <row r="4048" ht="50.25" customHeight="1">
      <c r="A4048" s="12">
        <v>4044.0</v>
      </c>
      <c r="B4048" s="13" t="s">
        <v>3778</v>
      </c>
      <c r="C4048" s="14" t="s">
        <v>4066</v>
      </c>
      <c r="D4048" s="1"/>
      <c r="E4048" s="1"/>
      <c r="F4048" s="1" t="str">
        <f>IFERROR(__xludf.DUMMYFUNCTION("GOOGLETRANSLATE(B4048, ""en"", ""fa"")
"),"برنامه ریز عروسی")</f>
        <v>برنامه ریز عروسی</v>
      </c>
      <c r="G4048" s="1" t="str">
        <f>IFERROR(__xludf.DUMMYFUNCTION("GOOGLETRANSLATE(C4048, ""en"", ""fa"")
"),"چند استراتژی برای انتخاب لباس که امکان انتقال آسان بین بخش های مختلف روز عروسی را فراهم می کند را به اشتراک بگذارید.")</f>
        <v>چند استراتژی برای انتخاب لباس که امکان انتقال آسان بین بخش های مختلف روز عروسی را فراهم می کند را به اشتراک بگذارید.</v>
      </c>
      <c r="H4048" s="1"/>
      <c r="I4048" s="1"/>
      <c r="J4048" s="1"/>
      <c r="K4048" s="1"/>
      <c r="L4048" s="1"/>
      <c r="M4048" s="1"/>
      <c r="N4048" s="1"/>
      <c r="O4048" s="1"/>
      <c r="P4048" s="1"/>
      <c r="Q4048" s="1"/>
      <c r="R4048" s="1"/>
      <c r="S4048" s="1"/>
      <c r="T4048" s="1"/>
      <c r="U4048" s="1"/>
      <c r="V4048" s="1"/>
      <c r="W4048" s="1"/>
      <c r="X4048" s="1"/>
      <c r="Y4048" s="1"/>
      <c r="Z4048" s="1"/>
      <c r="AA4048" s="1"/>
      <c r="AB4048" s="1"/>
    </row>
    <row r="4049" ht="50.25" customHeight="1">
      <c r="A4049" s="12">
        <v>4045.0</v>
      </c>
      <c r="B4049" s="13" t="s">
        <v>3778</v>
      </c>
      <c r="C4049" s="14" t="s">
        <v>4067</v>
      </c>
      <c r="D4049" s="1"/>
      <c r="E4049" s="1"/>
      <c r="F4049" s="1" t="str">
        <f>IFERROR(__xludf.DUMMYFUNCTION("GOOGLETRANSLATE(B4049, ""en"", ""fa"")
"),"برنامه ریز عروسی")</f>
        <v>برنامه ریز عروسی</v>
      </c>
      <c r="G4049" s="1" t="str">
        <f>IFERROR(__xludf.DUMMYFUNCTION("GOOGLETRANSLATE(C4049, ""en"", ""fa"")
"),"چگونه زوج ها می توانند جزئیات شخصی یا گلدوزی را در لباس عروسی خود بگنجانند؟")</f>
        <v>چگونه زوج ها می توانند جزئیات شخصی یا گلدوزی را در لباس عروسی خود بگنجانند؟</v>
      </c>
      <c r="H4049" s="1"/>
      <c r="I4049" s="1"/>
      <c r="J4049" s="1"/>
      <c r="K4049" s="1"/>
      <c r="L4049" s="1"/>
      <c r="M4049" s="1"/>
      <c r="N4049" s="1"/>
      <c r="O4049" s="1"/>
      <c r="P4049" s="1"/>
      <c r="Q4049" s="1"/>
      <c r="R4049" s="1"/>
      <c r="S4049" s="1"/>
      <c r="T4049" s="1"/>
      <c r="U4049" s="1"/>
      <c r="V4049" s="1"/>
      <c r="W4049" s="1"/>
      <c r="X4049" s="1"/>
      <c r="Y4049" s="1"/>
      <c r="Z4049" s="1"/>
      <c r="AA4049" s="1"/>
      <c r="AB4049" s="1"/>
    </row>
    <row r="4050" ht="50.25" customHeight="1">
      <c r="A4050" s="12">
        <v>4046.0</v>
      </c>
      <c r="B4050" s="13" t="s">
        <v>3778</v>
      </c>
      <c r="C4050" s="14" t="s">
        <v>4068</v>
      </c>
      <c r="D4050" s="1"/>
      <c r="E4050" s="1"/>
      <c r="F4050" s="1" t="str">
        <f>IFERROR(__xludf.DUMMYFUNCTION("GOOGLETRANSLATE(B4050, ""en"", ""fa"")
"),"برنامه ریز عروسی")</f>
        <v>برنامه ریز عروسی</v>
      </c>
      <c r="G4050" s="1" t="str">
        <f>IFERROR(__xludf.DUMMYFUNCTION("GOOGLETRANSLATE(C4050, ""en"", ""fa"")
"),"ملاحظات کلیدی برای انتخاب لباس مناسب برای مکان های مختلف عروسی، مانند انبارهای روستایی یا سالن های رقص زیبا چیست؟")</f>
        <v>ملاحظات کلیدی برای انتخاب لباس مناسب برای مکان های مختلف عروسی، مانند انبارهای روستایی یا سالن های رقص زیبا چیست؟</v>
      </c>
      <c r="H4050" s="1"/>
      <c r="I4050" s="1"/>
      <c r="J4050" s="1"/>
      <c r="K4050" s="1"/>
      <c r="L4050" s="1"/>
      <c r="M4050" s="1"/>
      <c r="N4050" s="1"/>
      <c r="O4050" s="1"/>
      <c r="P4050" s="1"/>
      <c r="Q4050" s="1"/>
      <c r="R4050" s="1"/>
      <c r="S4050" s="1"/>
      <c r="T4050" s="1"/>
      <c r="U4050" s="1"/>
      <c r="V4050" s="1"/>
      <c r="W4050" s="1"/>
      <c r="X4050" s="1"/>
      <c r="Y4050" s="1"/>
      <c r="Z4050" s="1"/>
      <c r="AA4050" s="1"/>
      <c r="AB4050" s="1"/>
    </row>
    <row r="4051" ht="50.25" customHeight="1">
      <c r="A4051" s="12">
        <v>4047.0</v>
      </c>
      <c r="B4051" s="13" t="s">
        <v>3778</v>
      </c>
      <c r="C4051" s="14" t="s">
        <v>4069</v>
      </c>
      <c r="D4051" s="1"/>
      <c r="E4051" s="1"/>
      <c r="F4051" s="1" t="str">
        <f>IFERROR(__xludf.DUMMYFUNCTION("GOOGLETRANSLATE(B4051, ""en"", ""fa"")
"),"برنامه ریز عروسی")</f>
        <v>برنامه ریز عروسی</v>
      </c>
      <c r="G4051" s="1" t="str">
        <f>IFERROR(__xludf.DUMMYFUNCTION("GOOGLETRANSLATE(C4051, ""en"", ""fa"")
"),"نکاتی را برای هماهنگی لباس والدین زوج با جشن عروسی کلی به اشتراک بگذارید.")</f>
        <v>نکاتی را برای هماهنگی لباس والدین زوج با جشن عروسی کلی به اشتراک بگذارید.</v>
      </c>
      <c r="H4051" s="1"/>
      <c r="I4051" s="1"/>
      <c r="J4051" s="1"/>
      <c r="K4051" s="1"/>
      <c r="L4051" s="1"/>
      <c r="M4051" s="1"/>
      <c r="N4051" s="1"/>
      <c r="O4051" s="1"/>
      <c r="P4051" s="1"/>
      <c r="Q4051" s="1"/>
      <c r="R4051" s="1"/>
      <c r="S4051" s="1"/>
      <c r="T4051" s="1"/>
      <c r="U4051" s="1"/>
      <c r="V4051" s="1"/>
      <c r="W4051" s="1"/>
      <c r="X4051" s="1"/>
      <c r="Y4051" s="1"/>
      <c r="Z4051" s="1"/>
      <c r="AA4051" s="1"/>
      <c r="AB4051" s="1"/>
    </row>
    <row r="4052" ht="50.25" customHeight="1">
      <c r="A4052" s="12">
        <v>4048.0</v>
      </c>
      <c r="B4052" s="13" t="s">
        <v>3778</v>
      </c>
      <c r="C4052" s="14" t="s">
        <v>4070</v>
      </c>
      <c r="D4052" s="1"/>
      <c r="E4052" s="1"/>
      <c r="F4052" s="1" t="str">
        <f>IFERROR(__xludf.DUMMYFUNCTION("GOOGLETRANSLATE(B4052, ""en"", ""fa"")
"),"برنامه ریز عروسی")</f>
        <v>برنامه ریز عروسی</v>
      </c>
      <c r="G4052" s="1" t="str">
        <f>IFERROR(__xludf.DUMMYFUNCTION("GOOGLETRANSLATE(C4052, ""en"", ""fa"")
"),"برنامه ریزان عروسی چگونه می توانند به زوج ها در مدیریت تدارکات خرید لباس و یراق آلات برای کل جشن عروسی کمک کنند؟")</f>
        <v>برنامه ریزان عروسی چگونه می توانند به زوج ها در مدیریت تدارکات خرید لباس و یراق آلات برای کل جشن عروسی کمک کنند؟</v>
      </c>
      <c r="H4052" s="1"/>
      <c r="I4052" s="1"/>
      <c r="J4052" s="1"/>
      <c r="K4052" s="1"/>
      <c r="L4052" s="1"/>
      <c r="M4052" s="1"/>
      <c r="N4052" s="1"/>
      <c r="O4052" s="1"/>
      <c r="P4052" s="1"/>
      <c r="Q4052" s="1"/>
      <c r="R4052" s="1"/>
      <c r="S4052" s="1"/>
      <c r="T4052" s="1"/>
      <c r="U4052" s="1"/>
      <c r="V4052" s="1"/>
      <c r="W4052" s="1"/>
      <c r="X4052" s="1"/>
      <c r="Y4052" s="1"/>
      <c r="Z4052" s="1"/>
      <c r="AA4052" s="1"/>
      <c r="AB4052" s="1"/>
    </row>
    <row r="4053" ht="50.25" customHeight="1">
      <c r="A4053" s="12">
        <v>4049.0</v>
      </c>
      <c r="B4053" s="13" t="s">
        <v>3778</v>
      </c>
      <c r="C4053" s="14" t="s">
        <v>4071</v>
      </c>
      <c r="D4053" s="1"/>
      <c r="E4053" s="1"/>
      <c r="F4053" s="1" t="str">
        <f>IFERROR(__xludf.DUMMYFUNCTION("GOOGLETRANSLATE(B4053, ""en"", ""fa"")
"),"برنامه ریز عروسی")</f>
        <v>برنامه ریز عروسی</v>
      </c>
      <c r="G4053" s="1" t="str">
        <f>IFERROR(__xludf.DUMMYFUNCTION("GOOGLETRANSLATE(C4053, ""en"", ""fa"")
"),"هنگام ارزیابی تطبیق پذیری و قابلیت استفاده مجدد از لباس های عروسی چه عواملی ضروری است؟")</f>
        <v>هنگام ارزیابی تطبیق پذیری و قابلیت استفاده مجدد از لباس های عروسی چه عواملی ضروری است؟</v>
      </c>
      <c r="H4053" s="1"/>
      <c r="I4053" s="1"/>
      <c r="J4053" s="1"/>
      <c r="K4053" s="1"/>
      <c r="L4053" s="1"/>
      <c r="M4053" s="1"/>
      <c r="N4053" s="1"/>
      <c r="O4053" s="1"/>
      <c r="P4053" s="1"/>
      <c r="Q4053" s="1"/>
      <c r="R4053" s="1"/>
      <c r="S4053" s="1"/>
      <c r="T4053" s="1"/>
      <c r="U4053" s="1"/>
      <c r="V4053" s="1"/>
      <c r="W4053" s="1"/>
      <c r="X4053" s="1"/>
      <c r="Y4053" s="1"/>
      <c r="Z4053" s="1"/>
      <c r="AA4053" s="1"/>
      <c r="AB4053" s="1"/>
    </row>
    <row r="4054" ht="50.25" customHeight="1">
      <c r="A4054" s="12">
        <v>4050.0</v>
      </c>
      <c r="B4054" s="13" t="s">
        <v>3778</v>
      </c>
      <c r="C4054" s="14" t="s">
        <v>4072</v>
      </c>
      <c r="D4054" s="1"/>
      <c r="E4054" s="1"/>
      <c r="F4054" s="1" t="str">
        <f>IFERROR(__xludf.DUMMYFUNCTION("GOOGLETRANSLATE(B4054, ""en"", ""fa"")
"),"برنامه ریز عروسی")</f>
        <v>برنامه ریز عروسی</v>
      </c>
      <c r="G4054" s="1" t="str">
        <f>IFERROR(__xludf.DUMMYFUNCTION("GOOGLETRANSLATE(C4054, ""en"", ""fa"")
"),"ایده هایی برای ترکیب سرپیچ ها یا اکسسوری های غیر سنتی در لباس عروس به اشتراک بگذارید.")</f>
        <v>ایده هایی برای ترکیب سرپیچ ها یا اکسسوری های غیر سنتی در لباس عروس به اشتراک بگذارید.</v>
      </c>
      <c r="H4054" s="1"/>
      <c r="I4054" s="1"/>
      <c r="J4054" s="1"/>
      <c r="K4054" s="1"/>
      <c r="L4054" s="1"/>
      <c r="M4054" s="1"/>
      <c r="N4054" s="1"/>
      <c r="O4054" s="1"/>
      <c r="P4054" s="1"/>
      <c r="Q4054" s="1"/>
      <c r="R4054" s="1"/>
      <c r="S4054" s="1"/>
      <c r="T4054" s="1"/>
      <c r="U4054" s="1"/>
      <c r="V4054" s="1"/>
      <c r="W4054" s="1"/>
      <c r="X4054" s="1"/>
      <c r="Y4054" s="1"/>
      <c r="Z4054" s="1"/>
      <c r="AA4054" s="1"/>
      <c r="AB4054" s="1"/>
    </row>
    <row r="4055" ht="50.25" customHeight="1">
      <c r="A4055" s="12">
        <v>4051.0</v>
      </c>
      <c r="B4055" s="13" t="s">
        <v>3778</v>
      </c>
      <c r="C4055" s="14" t="s">
        <v>4073</v>
      </c>
      <c r="D4055" s="1"/>
      <c r="E4055" s="1"/>
      <c r="F4055" s="1" t="str">
        <f>IFERROR(__xludf.DUMMYFUNCTION("GOOGLETRANSLATE(B4055, ""en"", ""fa"")
"),"برنامه ریز عروسی")</f>
        <v>برنامه ریز عروسی</v>
      </c>
      <c r="G4055" s="1" t="str">
        <f>IFERROR(__xludf.DUMMYFUNCTION("GOOGLETRANSLATE(C4055, ""en"", ""fa"")
"),"چگونه زوج ها می توانند لباسی را انتخاب کنند که مکمل رنگ های فصلی و فضای عروسی باشد؟")</f>
        <v>چگونه زوج ها می توانند لباسی را انتخاب کنند که مکمل رنگ های فصلی و فضای عروسی باشد؟</v>
      </c>
      <c r="H4055" s="1"/>
      <c r="I4055" s="1"/>
      <c r="J4055" s="1"/>
      <c r="K4055" s="1"/>
      <c r="L4055" s="1"/>
      <c r="M4055" s="1"/>
      <c r="N4055" s="1"/>
      <c r="O4055" s="1"/>
      <c r="P4055" s="1"/>
      <c r="Q4055" s="1"/>
      <c r="R4055" s="1"/>
      <c r="S4055" s="1"/>
      <c r="T4055" s="1"/>
      <c r="U4055" s="1"/>
      <c r="V4055" s="1"/>
      <c r="W4055" s="1"/>
      <c r="X4055" s="1"/>
      <c r="Y4055" s="1"/>
      <c r="Z4055" s="1"/>
      <c r="AA4055" s="1"/>
      <c r="AB4055" s="1"/>
    </row>
    <row r="4056" ht="50.25" customHeight="1">
      <c r="A4056" s="12">
        <v>4052.0</v>
      </c>
      <c r="B4056" s="13" t="s">
        <v>3778</v>
      </c>
      <c r="C4056" s="14" t="s">
        <v>4074</v>
      </c>
      <c r="D4056" s="1"/>
      <c r="E4056" s="1"/>
      <c r="F4056" s="1" t="str">
        <f>IFERROR(__xludf.DUMMYFUNCTION("GOOGLETRANSLATE(B4056, ""en"", ""fa"")
"),"برنامه ریز عروسی")</f>
        <v>برنامه ریز عروسی</v>
      </c>
      <c r="G4056" s="1" t="str">
        <f>IFERROR(__xludf.DUMMYFUNCTION("GOOGLETRANSLATE(C4056, ""en"", ""fa"")
"),"ملاحظات کلیدی برای انتخاب لباس مناسب برای عروسی در فضای باز با شرایط آب و هوایی متفاوت چیست؟")</f>
        <v>ملاحظات کلیدی برای انتخاب لباس مناسب برای عروسی در فضای باز با شرایط آب و هوایی متفاوت چیست؟</v>
      </c>
      <c r="H4056" s="1"/>
      <c r="I4056" s="1"/>
      <c r="J4056" s="1"/>
      <c r="K4056" s="1"/>
      <c r="L4056" s="1"/>
      <c r="M4056" s="1"/>
      <c r="N4056" s="1"/>
      <c r="O4056" s="1"/>
      <c r="P4056" s="1"/>
      <c r="Q4056" s="1"/>
      <c r="R4056" s="1"/>
      <c r="S4056" s="1"/>
      <c r="T4056" s="1"/>
      <c r="U4056" s="1"/>
      <c r="V4056" s="1"/>
      <c r="W4056" s="1"/>
      <c r="X4056" s="1"/>
      <c r="Y4056" s="1"/>
      <c r="Z4056" s="1"/>
      <c r="AA4056" s="1"/>
      <c r="AB4056" s="1"/>
    </row>
    <row r="4057" ht="50.25" customHeight="1">
      <c r="A4057" s="12">
        <v>4053.0</v>
      </c>
      <c r="B4057" s="13" t="s">
        <v>3778</v>
      </c>
      <c r="C4057" s="14" t="s">
        <v>4075</v>
      </c>
      <c r="D4057" s="1"/>
      <c r="E4057" s="1"/>
      <c r="F4057" s="1" t="str">
        <f>IFERROR(__xludf.DUMMYFUNCTION("GOOGLETRANSLATE(B4057, ""en"", ""fa"")
"),"برنامه ریز عروسی")</f>
        <v>برنامه ریز عروسی</v>
      </c>
      <c r="G4057" s="1" t="str">
        <f>IFERROR(__xludf.DUMMYFUNCTION("GOOGLETRANSLATE(C4057, ""en"", ""fa"")
"),"چند استراتژی برای گنجاندن نمادهای شخصی یا فرهنگی در لباس عروسی به اشتراک بگذارید.")</f>
        <v>چند استراتژی برای گنجاندن نمادهای شخصی یا فرهنگی در لباس عروسی به اشتراک بگذارید.</v>
      </c>
      <c r="H4057" s="1"/>
      <c r="I4057" s="1"/>
      <c r="J4057" s="1"/>
      <c r="K4057" s="1"/>
      <c r="L4057" s="1"/>
      <c r="M4057" s="1"/>
      <c r="N4057" s="1"/>
      <c r="O4057" s="1"/>
      <c r="P4057" s="1"/>
      <c r="Q4057" s="1"/>
      <c r="R4057" s="1"/>
      <c r="S4057" s="1"/>
      <c r="T4057" s="1"/>
      <c r="U4057" s="1"/>
      <c r="V4057" s="1"/>
      <c r="W4057" s="1"/>
      <c r="X4057" s="1"/>
      <c r="Y4057" s="1"/>
      <c r="Z4057" s="1"/>
      <c r="AA4057" s="1"/>
      <c r="AB4057" s="1"/>
    </row>
    <row r="4058" ht="50.25" customHeight="1">
      <c r="A4058" s="12">
        <v>4054.0</v>
      </c>
      <c r="B4058" s="13" t="s">
        <v>3778</v>
      </c>
      <c r="C4058" s="14" t="s">
        <v>4076</v>
      </c>
      <c r="D4058" s="1"/>
      <c r="E4058" s="1"/>
      <c r="F4058" s="1" t="str">
        <f>IFERROR(__xludf.DUMMYFUNCTION("GOOGLETRANSLATE(B4058, ""en"", ""fa"")
"),"برنامه ریز عروسی")</f>
        <v>برنامه ریز عروسی</v>
      </c>
      <c r="G4058" s="1" t="str">
        <f>IFERROR(__xludf.DUMMYFUNCTION("GOOGLETRANSLATE(C4058, ""en"", ""fa"")
"),"برنامه ریزان عروسی چگونه می توانند به زوج ها در مدیریت هماهنگی و ابلاغ دستورالعمل های کد لباس به مهمانان عروسی کمک کنند؟")</f>
        <v>برنامه ریزان عروسی چگونه می توانند به زوج ها در مدیریت هماهنگی و ابلاغ دستورالعمل های کد لباس به مهمانان عروسی کمک کنند؟</v>
      </c>
      <c r="H4058" s="1"/>
      <c r="I4058" s="1"/>
      <c r="J4058" s="1"/>
      <c r="K4058" s="1"/>
      <c r="L4058" s="1"/>
      <c r="M4058" s="1"/>
      <c r="N4058" s="1"/>
      <c r="O4058" s="1"/>
      <c r="P4058" s="1"/>
      <c r="Q4058" s="1"/>
      <c r="R4058" s="1"/>
      <c r="S4058" s="1"/>
      <c r="T4058" s="1"/>
      <c r="U4058" s="1"/>
      <c r="V4058" s="1"/>
      <c r="W4058" s="1"/>
      <c r="X4058" s="1"/>
      <c r="Y4058" s="1"/>
      <c r="Z4058" s="1"/>
      <c r="AA4058" s="1"/>
      <c r="AB4058" s="1"/>
    </row>
    <row r="4059" ht="50.25" customHeight="1">
      <c r="A4059" s="12">
        <v>4055.0</v>
      </c>
      <c r="B4059" s="13" t="s">
        <v>3778</v>
      </c>
      <c r="C4059" s="14" t="s">
        <v>4077</v>
      </c>
      <c r="D4059" s="1"/>
      <c r="E4059" s="1"/>
      <c r="F4059" s="1" t="str">
        <f>IFERROR(__xludf.DUMMYFUNCTION("GOOGLETRANSLATE(B4059, ""en"", ""fa"")
"),"برنامه ریز عروسی")</f>
        <v>برنامه ریز عروسی</v>
      </c>
      <c r="G4059" s="1" t="str">
        <f>IFERROR(__xludf.DUMMYFUNCTION("GOOGLETRANSLATE(C4059, ""en"", ""fa"")
"),"در ارزیابی تناسب و حیا بودن لباس عروسی برای مراسم مختلف فرهنگی یا مذهبی چه عواملی ضروری است؟")</f>
        <v>در ارزیابی تناسب و حیا بودن لباس عروسی برای مراسم مختلف فرهنگی یا مذهبی چه عواملی ضروری است؟</v>
      </c>
      <c r="H4059" s="1"/>
      <c r="I4059" s="1"/>
      <c r="J4059" s="1"/>
      <c r="K4059" s="1"/>
      <c r="L4059" s="1"/>
      <c r="M4059" s="1"/>
      <c r="N4059" s="1"/>
      <c r="O4059" s="1"/>
      <c r="P4059" s="1"/>
      <c r="Q4059" s="1"/>
      <c r="R4059" s="1"/>
      <c r="S4059" s="1"/>
      <c r="T4059" s="1"/>
      <c r="U4059" s="1"/>
      <c r="V4059" s="1"/>
      <c r="W4059" s="1"/>
      <c r="X4059" s="1"/>
      <c r="Y4059" s="1"/>
      <c r="Z4059" s="1"/>
      <c r="AA4059" s="1"/>
      <c r="AB4059" s="1"/>
    </row>
    <row r="4060" ht="50.25" customHeight="1">
      <c r="A4060" s="12">
        <v>4056.0</v>
      </c>
      <c r="B4060" s="13" t="s">
        <v>3778</v>
      </c>
      <c r="C4060" s="14" t="s">
        <v>4078</v>
      </c>
      <c r="D4060" s="1"/>
      <c r="E4060" s="1"/>
      <c r="F4060" s="1" t="str">
        <f>IFERROR(__xludf.DUMMYFUNCTION("GOOGLETRANSLATE(B4060, ""en"", ""fa"")
"),"برنامه ریز عروسی")</f>
        <v>برنامه ریز عروسی</v>
      </c>
      <c r="G4060" s="1" t="str">
        <f>IFERROR(__xludf.DUMMYFUNCTION("GOOGLETRANSLATE(C4060, ""en"", ""fa"")
"),"نکاتی را برای هماهنگ کردن لباس جشن عروسی با تم و دکور کلی عروسی به اشتراک بگذارید.")</f>
        <v>نکاتی را برای هماهنگ کردن لباس جشن عروسی با تم و دکور کلی عروسی به اشتراک بگذارید.</v>
      </c>
      <c r="H4060" s="1"/>
      <c r="I4060" s="1"/>
      <c r="J4060" s="1"/>
      <c r="K4060" s="1"/>
      <c r="L4060" s="1"/>
      <c r="M4060" s="1"/>
      <c r="N4060" s="1"/>
      <c r="O4060" s="1"/>
      <c r="P4060" s="1"/>
      <c r="Q4060" s="1"/>
      <c r="R4060" s="1"/>
      <c r="S4060" s="1"/>
      <c r="T4060" s="1"/>
      <c r="U4060" s="1"/>
      <c r="V4060" s="1"/>
      <c r="W4060" s="1"/>
      <c r="X4060" s="1"/>
      <c r="Y4060" s="1"/>
      <c r="Z4060" s="1"/>
      <c r="AA4060" s="1"/>
      <c r="AB4060" s="1"/>
    </row>
    <row r="4061" ht="50.25" customHeight="1">
      <c r="A4061" s="12">
        <v>4057.0</v>
      </c>
      <c r="B4061" s="13" t="s">
        <v>3778</v>
      </c>
      <c r="C4061" s="14" t="s">
        <v>4079</v>
      </c>
      <c r="D4061" s="1"/>
      <c r="E4061" s="1"/>
      <c r="F4061" s="1" t="str">
        <f>IFERROR(__xludf.DUMMYFUNCTION("GOOGLETRANSLATE(B4061, ""en"", ""fa"")
"),"برنامه ریز عروسی")</f>
        <v>برنامه ریز عروسی</v>
      </c>
      <c r="G4061" s="1" t="str">
        <f>IFERROR(__xludf.DUMMYFUNCTION("GOOGLETRANSLATE(C4061, ""en"", ""fa"")
"),"چگونه زوج ها می توانند لباسی را انتخاب کنند که امکان انتقال آسان بین فعالیت های مختلف عروسی مانند نشستن، ایستادن و رقصیدن را فراهم کند؟")</f>
        <v>چگونه زوج ها می توانند لباسی را انتخاب کنند که امکان انتقال آسان بین فعالیت های مختلف عروسی مانند نشستن، ایستادن و رقصیدن را فراهم کند؟</v>
      </c>
      <c r="H4061" s="1"/>
      <c r="I4061" s="1"/>
      <c r="J4061" s="1"/>
      <c r="K4061" s="1"/>
      <c r="L4061" s="1"/>
      <c r="M4061" s="1"/>
      <c r="N4061" s="1"/>
      <c r="O4061" s="1"/>
      <c r="P4061" s="1"/>
      <c r="Q4061" s="1"/>
      <c r="R4061" s="1"/>
      <c r="S4061" s="1"/>
      <c r="T4061" s="1"/>
      <c r="U4061" s="1"/>
      <c r="V4061" s="1"/>
      <c r="W4061" s="1"/>
      <c r="X4061" s="1"/>
      <c r="Y4061" s="1"/>
      <c r="Z4061" s="1"/>
      <c r="AA4061" s="1"/>
      <c r="AB4061" s="1"/>
    </row>
    <row r="4062" ht="50.25" customHeight="1">
      <c r="A4062" s="12">
        <v>4058.0</v>
      </c>
      <c r="B4062" s="13" t="s">
        <v>3778</v>
      </c>
      <c r="C4062" s="14" t="s">
        <v>4080</v>
      </c>
      <c r="D4062" s="1"/>
      <c r="E4062" s="1"/>
      <c r="F4062" s="1" t="str">
        <f>IFERROR(__xludf.DUMMYFUNCTION("GOOGLETRANSLATE(B4062, ""en"", ""fa"")
"),"برنامه ریز عروسی")</f>
        <v>برنامه ریز عروسی</v>
      </c>
      <c r="G4062" s="1" t="str">
        <f>IFERROR(__xludf.DUMMYFUNCTION("GOOGLETRANSLATE(C4062, ""en"", ""fa"")
"),"ملاحظات کلیدی برای انتخاب لباس مناسب برای مراسم عروسی یا مراسم طولانی چیست؟")</f>
        <v>ملاحظات کلیدی برای انتخاب لباس مناسب برای مراسم عروسی یا مراسم طولانی چیست؟</v>
      </c>
      <c r="H4062" s="1"/>
      <c r="I4062" s="1"/>
      <c r="J4062" s="1"/>
      <c r="K4062" s="1"/>
      <c r="L4062" s="1"/>
      <c r="M4062" s="1"/>
      <c r="N4062" s="1"/>
      <c r="O4062" s="1"/>
      <c r="P4062" s="1"/>
      <c r="Q4062" s="1"/>
      <c r="R4062" s="1"/>
      <c r="S4062" s="1"/>
      <c r="T4062" s="1"/>
      <c r="U4062" s="1"/>
      <c r="V4062" s="1"/>
      <c r="W4062" s="1"/>
      <c r="X4062" s="1"/>
      <c r="Y4062" s="1"/>
      <c r="Z4062" s="1"/>
      <c r="AA4062" s="1"/>
      <c r="AB4062" s="1"/>
    </row>
    <row r="4063" ht="50.25" customHeight="1">
      <c r="A4063" s="12">
        <v>4059.0</v>
      </c>
      <c r="B4063" s="13" t="s">
        <v>3778</v>
      </c>
      <c r="C4063" s="14" t="s">
        <v>4081</v>
      </c>
      <c r="D4063" s="1"/>
      <c r="E4063" s="1"/>
      <c r="F4063" s="1" t="str">
        <f>IFERROR(__xludf.DUMMYFUNCTION("GOOGLETRANSLATE(B4063, ""en"", ""fa"")
"),"برنامه ریز عروسی")</f>
        <v>برنامه ریز عروسی</v>
      </c>
      <c r="G4063" s="1" t="str">
        <f>IFERROR(__xludf.DUMMYFUNCTION("GOOGLETRANSLATE(C4063, ""en"", ""fa"")
"),"ایده هایی برای گنجاندن لوازم جانبی منحصر به فرد و شخصی در لباس داماد به اشتراک بگذارید.")</f>
        <v>ایده هایی برای گنجاندن لوازم جانبی منحصر به فرد و شخصی در لباس داماد به اشتراک بگذارید.</v>
      </c>
      <c r="H4063" s="1"/>
      <c r="I4063" s="1"/>
      <c r="J4063" s="1"/>
      <c r="K4063" s="1"/>
      <c r="L4063" s="1"/>
      <c r="M4063" s="1"/>
      <c r="N4063" s="1"/>
      <c r="O4063" s="1"/>
      <c r="P4063" s="1"/>
      <c r="Q4063" s="1"/>
      <c r="R4063" s="1"/>
      <c r="S4063" s="1"/>
      <c r="T4063" s="1"/>
      <c r="U4063" s="1"/>
      <c r="V4063" s="1"/>
      <c r="W4063" s="1"/>
      <c r="X4063" s="1"/>
      <c r="Y4063" s="1"/>
      <c r="Z4063" s="1"/>
      <c r="AA4063" s="1"/>
      <c r="AB4063" s="1"/>
    </row>
    <row r="4064" ht="50.25" customHeight="1">
      <c r="A4064" s="12">
        <v>4060.0</v>
      </c>
      <c r="B4064" s="13" t="s">
        <v>3778</v>
      </c>
      <c r="C4064" s="14" t="s">
        <v>4082</v>
      </c>
      <c r="D4064" s="1"/>
      <c r="E4064" s="1"/>
      <c r="F4064" s="1" t="str">
        <f>IFERROR(__xludf.DUMMYFUNCTION("GOOGLETRANSLATE(B4064, ""en"", ""fa"")
"),"برنامه ریز عروسی")</f>
        <v>برنامه ریز عروسی</v>
      </c>
      <c r="G4064" s="1" t="str">
        <f>IFERROR(__xludf.DUMMYFUNCTION("GOOGLETRANSLATE(C4064, ""en"", ""fa"")
"),"برنامه ریزان عروسی چگونه می توانند به زوج ها در مدیریت تدارکات لباس برای عروسی مقصد با فضای محدود چمدان کمک کنند؟")</f>
        <v>برنامه ریزان عروسی چگونه می توانند به زوج ها در مدیریت تدارکات لباس برای عروسی مقصد با فضای محدود چمدان کمک کنند؟</v>
      </c>
      <c r="H4064" s="1"/>
      <c r="I4064" s="1"/>
      <c r="J4064" s="1"/>
      <c r="K4064" s="1"/>
      <c r="L4064" s="1"/>
      <c r="M4064" s="1"/>
      <c r="N4064" s="1"/>
      <c r="O4064" s="1"/>
      <c r="P4064" s="1"/>
      <c r="Q4064" s="1"/>
      <c r="R4064" s="1"/>
      <c r="S4064" s="1"/>
      <c r="T4064" s="1"/>
      <c r="U4064" s="1"/>
      <c r="V4064" s="1"/>
      <c r="W4064" s="1"/>
      <c r="X4064" s="1"/>
      <c r="Y4064" s="1"/>
      <c r="Z4064" s="1"/>
      <c r="AA4064" s="1"/>
      <c r="AB4064" s="1"/>
    </row>
    <row r="4065" ht="50.25" customHeight="1">
      <c r="A4065" s="12">
        <v>4061.0</v>
      </c>
      <c r="B4065" s="13" t="s">
        <v>3778</v>
      </c>
      <c r="C4065" s="14" t="s">
        <v>4083</v>
      </c>
      <c r="D4065" s="1"/>
      <c r="E4065" s="1"/>
      <c r="F4065" s="1" t="str">
        <f>IFERROR(__xludf.DUMMYFUNCTION("GOOGLETRANSLATE(B4065, ""en"", ""fa"")
"),"برنامه ریز عروسی")</f>
        <v>برنامه ریز عروسی</v>
      </c>
      <c r="G4065" s="1" t="str">
        <f>IFERROR(__xludf.DUMMYFUNCTION("GOOGLETRANSLATE(C4065, ""en"", ""fa"")
"),"هنگام ارزیابی تطبیق پذیری و ترکیب و تطبیق گزینه های لباس ساقدوش عروس چه فاکتورهای اساسی را باید در نظر گرفت؟")</f>
        <v>هنگام ارزیابی تطبیق پذیری و ترکیب و تطبیق گزینه های لباس ساقدوش عروس چه فاکتورهای اساسی را باید در نظر گرفت؟</v>
      </c>
      <c r="H4065" s="1"/>
      <c r="I4065" s="1"/>
      <c r="J4065" s="1"/>
      <c r="K4065" s="1"/>
      <c r="L4065" s="1"/>
      <c r="M4065" s="1"/>
      <c r="N4065" s="1"/>
      <c r="O4065" s="1"/>
      <c r="P4065" s="1"/>
      <c r="Q4065" s="1"/>
      <c r="R4065" s="1"/>
      <c r="S4065" s="1"/>
      <c r="T4065" s="1"/>
      <c r="U4065" s="1"/>
      <c r="V4065" s="1"/>
      <c r="W4065" s="1"/>
      <c r="X4065" s="1"/>
      <c r="Y4065" s="1"/>
      <c r="Z4065" s="1"/>
      <c r="AA4065" s="1"/>
      <c r="AB4065" s="1"/>
    </row>
    <row r="4066" ht="50.25" customHeight="1">
      <c r="A4066" s="12">
        <v>4062.0</v>
      </c>
      <c r="B4066" s="13" t="s">
        <v>3778</v>
      </c>
      <c r="C4066" s="14" t="s">
        <v>4084</v>
      </c>
      <c r="D4066" s="1"/>
      <c r="E4066" s="1"/>
      <c r="F4066" s="1" t="str">
        <f>IFERROR(__xludf.DUMMYFUNCTION("GOOGLETRANSLATE(B4066, ""en"", ""fa"")
"),"برنامه ریز عروسی")</f>
        <v>برنامه ریز عروسی</v>
      </c>
      <c r="G4066" s="1" t="str">
        <f>IFERROR(__xludf.DUMMYFUNCTION("GOOGLETRANSLATE(C4066, ""en"", ""fa"")
"),"چند استراتژی برای گنجاندن انتخاب های مد پایدار و اخلاقی در لباس عروسی به اشتراک بگذارید.")</f>
        <v>چند استراتژی برای گنجاندن انتخاب های مد پایدار و اخلاقی در لباس عروسی به اشتراک بگذارید.</v>
      </c>
      <c r="H4066" s="1"/>
      <c r="I4066" s="1"/>
      <c r="J4066" s="1"/>
      <c r="K4066" s="1"/>
      <c r="L4066" s="1"/>
      <c r="M4066" s="1"/>
      <c r="N4066" s="1"/>
      <c r="O4066" s="1"/>
      <c r="P4066" s="1"/>
      <c r="Q4066" s="1"/>
      <c r="R4066" s="1"/>
      <c r="S4066" s="1"/>
      <c r="T4066" s="1"/>
      <c r="U4066" s="1"/>
      <c r="V4066" s="1"/>
      <c r="W4066" s="1"/>
      <c r="X4066" s="1"/>
      <c r="Y4066" s="1"/>
      <c r="Z4066" s="1"/>
      <c r="AA4066" s="1"/>
      <c r="AB4066" s="1"/>
    </row>
    <row r="4067" ht="50.25" customHeight="1">
      <c r="A4067" s="12">
        <v>4063.0</v>
      </c>
      <c r="B4067" s="13" t="s">
        <v>3778</v>
      </c>
      <c r="C4067" s="14" t="s">
        <v>4085</v>
      </c>
      <c r="D4067" s="1"/>
      <c r="E4067" s="1"/>
      <c r="F4067" s="1" t="str">
        <f>IFERROR(__xludf.DUMMYFUNCTION("GOOGLETRANSLATE(B4067, ""en"", ""fa"")
"),"برنامه ریز عروسی")</f>
        <v>برنامه ریز عروسی</v>
      </c>
      <c r="G4067" s="1" t="str">
        <f>IFERROR(__xludf.DUMMYFUNCTION("GOOGLETRANSLATE(C4067, ""en"", ""fa"")
"),"چگونه زوج ها می توانند لباسی را انتخاب کنند که مکمل پالت رنگی و دکوراسیون کلی محل برگزاری عروسی باشد؟")</f>
        <v>چگونه زوج ها می توانند لباسی را انتخاب کنند که مکمل پالت رنگی و دکوراسیون کلی محل برگزاری عروسی باشد؟</v>
      </c>
      <c r="H4067" s="1"/>
      <c r="I4067" s="1"/>
      <c r="J4067" s="1"/>
      <c r="K4067" s="1"/>
      <c r="L4067" s="1"/>
      <c r="M4067" s="1"/>
      <c r="N4067" s="1"/>
      <c r="O4067" s="1"/>
      <c r="P4067" s="1"/>
      <c r="Q4067" s="1"/>
      <c r="R4067" s="1"/>
      <c r="S4067" s="1"/>
      <c r="T4067" s="1"/>
      <c r="U4067" s="1"/>
      <c r="V4067" s="1"/>
      <c r="W4067" s="1"/>
      <c r="X4067" s="1"/>
      <c r="Y4067" s="1"/>
      <c r="Z4067" s="1"/>
      <c r="AA4067" s="1"/>
      <c r="AB4067" s="1"/>
    </row>
    <row r="4068" ht="50.25" customHeight="1">
      <c r="A4068" s="12">
        <v>4064.0</v>
      </c>
      <c r="B4068" s="13" t="s">
        <v>3778</v>
      </c>
      <c r="C4068" s="14" t="s">
        <v>4086</v>
      </c>
      <c r="D4068" s="1"/>
      <c r="E4068" s="1"/>
      <c r="F4068" s="1" t="str">
        <f>IFERROR(__xludf.DUMMYFUNCTION("GOOGLETRANSLATE(B4068, ""en"", ""fa"")
"),"برنامه ریز عروسی")</f>
        <v>برنامه ریز عروسی</v>
      </c>
      <c r="G4068" s="1" t="str">
        <f>IFERROR(__xludf.DUMMYFUNCTION("GOOGLETRANSLATE(C4068, ""en"", ""fa"")
"),"ملاحظات کلیدی برای انتخاب لباسی که امکان تنظیم یا تغییرات آسان را در صورت نیاز فراهم می کند چیست؟")</f>
        <v>ملاحظات کلیدی برای انتخاب لباسی که امکان تنظیم یا تغییرات آسان را در صورت نیاز فراهم می کند چیست؟</v>
      </c>
      <c r="H4068" s="1"/>
      <c r="I4068" s="1"/>
      <c r="J4068" s="1"/>
      <c r="K4068" s="1"/>
      <c r="L4068" s="1"/>
      <c r="M4068" s="1"/>
      <c r="N4068" s="1"/>
      <c r="O4068" s="1"/>
      <c r="P4068" s="1"/>
      <c r="Q4068" s="1"/>
      <c r="R4068" s="1"/>
      <c r="S4068" s="1"/>
      <c r="T4068" s="1"/>
      <c r="U4068" s="1"/>
      <c r="V4068" s="1"/>
      <c r="W4068" s="1"/>
      <c r="X4068" s="1"/>
      <c r="Y4068" s="1"/>
      <c r="Z4068" s="1"/>
      <c r="AA4068" s="1"/>
      <c r="AB4068" s="1"/>
    </row>
    <row r="4069" ht="50.25" customHeight="1">
      <c r="A4069" s="12">
        <v>4065.0</v>
      </c>
      <c r="B4069" s="13" t="s">
        <v>3778</v>
      </c>
      <c r="C4069" s="14" t="s">
        <v>4087</v>
      </c>
      <c r="D4069" s="1"/>
      <c r="E4069" s="1"/>
      <c r="F4069" s="1" t="str">
        <f>IFERROR(__xludf.DUMMYFUNCTION("GOOGLETRANSLATE(B4069, ""en"", ""fa"")
"),"برنامه ریز عروسی")</f>
        <v>برنامه ریز عروسی</v>
      </c>
      <c r="G4069" s="1" t="str">
        <f>IFERROR(__xludf.DUMMYFUNCTION("GOOGLETRANSLATE(C4069, ""en"", ""fa"")
"),"نکاتی را برای مدیریت هماهنگی و برنامه ریزی مناسب برای جشن عروسی با اعضای ساکن در شهرها یا کشورهای مختلف به اشتراک بگذارید.")</f>
        <v>نکاتی را برای مدیریت هماهنگی و برنامه ریزی مناسب برای جشن عروسی با اعضای ساکن در شهرها یا کشورهای مختلف به اشتراک بگذارید.</v>
      </c>
      <c r="H4069" s="1"/>
      <c r="I4069" s="1"/>
      <c r="J4069" s="1"/>
      <c r="K4069" s="1"/>
      <c r="L4069" s="1"/>
      <c r="M4069" s="1"/>
      <c r="N4069" s="1"/>
      <c r="O4069" s="1"/>
      <c r="P4069" s="1"/>
      <c r="Q4069" s="1"/>
      <c r="R4069" s="1"/>
      <c r="S4069" s="1"/>
      <c r="T4069" s="1"/>
      <c r="U4069" s="1"/>
      <c r="V4069" s="1"/>
      <c r="W4069" s="1"/>
      <c r="X4069" s="1"/>
      <c r="Y4069" s="1"/>
      <c r="Z4069" s="1"/>
      <c r="AA4069" s="1"/>
      <c r="AB4069" s="1"/>
    </row>
    <row r="4070" ht="50.25" customHeight="1">
      <c r="A4070" s="12">
        <v>4066.0</v>
      </c>
      <c r="B4070" s="13" t="s">
        <v>3778</v>
      </c>
      <c r="C4070" s="14" t="s">
        <v>4088</v>
      </c>
      <c r="D4070" s="1"/>
      <c r="E4070" s="1"/>
      <c r="F4070" s="1" t="str">
        <f>IFERROR(__xludf.DUMMYFUNCTION("GOOGLETRANSLATE(B4070, ""en"", ""fa"")
"),"برنامه ریز عروسی")</f>
        <v>برنامه ریز عروسی</v>
      </c>
      <c r="G4070" s="1" t="str">
        <f>IFERROR(__xludf.DUMMYFUNCTION("GOOGLETRANSLATE(C4070, ""en"", ""fa"")
"),"عناصر ضروری برای گنجاندن در مجموعه دعوت عروسی چیست؟")</f>
        <v>عناصر ضروری برای گنجاندن در مجموعه دعوت عروسی چیست؟</v>
      </c>
      <c r="H4070" s="1"/>
      <c r="I4070" s="1"/>
      <c r="J4070" s="1"/>
      <c r="K4070" s="1"/>
      <c r="L4070" s="1"/>
      <c r="M4070" s="1"/>
      <c r="N4070" s="1"/>
      <c r="O4070" s="1"/>
      <c r="P4070" s="1"/>
      <c r="Q4070" s="1"/>
      <c r="R4070" s="1"/>
      <c r="S4070" s="1"/>
      <c r="T4070" s="1"/>
      <c r="U4070" s="1"/>
      <c r="V4070" s="1"/>
      <c r="W4070" s="1"/>
      <c r="X4070" s="1"/>
      <c r="Y4070" s="1"/>
      <c r="Z4070" s="1"/>
      <c r="AA4070" s="1"/>
      <c r="AB4070" s="1"/>
    </row>
    <row r="4071" ht="50.25" customHeight="1">
      <c r="A4071" s="12">
        <v>4067.0</v>
      </c>
      <c r="B4071" s="13" t="s">
        <v>3778</v>
      </c>
      <c r="C4071" s="14" t="s">
        <v>4089</v>
      </c>
      <c r="D4071" s="1"/>
      <c r="E4071" s="1"/>
      <c r="F4071" s="1" t="str">
        <f>IFERROR(__xludf.DUMMYFUNCTION("GOOGLETRANSLATE(B4071, ""en"", ""fa"")
"),"برنامه ریز عروسی")</f>
        <v>برنامه ریز عروسی</v>
      </c>
      <c r="G4071" s="1" t="str">
        <f>IFERROR(__xludf.DUMMYFUNCTION("GOOGLETRANSLATE(C4071, ""en"", ""fa"")
"),"نکاتی را برای ایجاد یک مجموعه لوازم التحریر عروسی منسجم و جذاب از نظر بصری به اشتراک بگذارید.")</f>
        <v>نکاتی را برای ایجاد یک مجموعه لوازم التحریر عروسی منسجم و جذاب از نظر بصری به اشتراک بگذارید.</v>
      </c>
      <c r="H4071" s="1"/>
      <c r="I4071" s="1"/>
      <c r="J4071" s="1"/>
      <c r="K4071" s="1"/>
      <c r="L4071" s="1"/>
      <c r="M4071" s="1"/>
      <c r="N4071" s="1"/>
      <c r="O4071" s="1"/>
      <c r="P4071" s="1"/>
      <c r="Q4071" s="1"/>
      <c r="R4071" s="1"/>
      <c r="S4071" s="1"/>
      <c r="T4071" s="1"/>
      <c r="U4071" s="1"/>
      <c r="V4071" s="1"/>
      <c r="W4071" s="1"/>
      <c r="X4071" s="1"/>
      <c r="Y4071" s="1"/>
      <c r="Z4071" s="1"/>
      <c r="AA4071" s="1"/>
      <c r="AB4071" s="1"/>
    </row>
    <row r="4072" ht="50.25" customHeight="1">
      <c r="A4072" s="12">
        <v>4068.0</v>
      </c>
      <c r="B4072" s="13" t="s">
        <v>3778</v>
      </c>
      <c r="C4072" s="14" t="s">
        <v>4090</v>
      </c>
      <c r="D4072" s="1"/>
      <c r="E4072" s="1"/>
      <c r="F4072" s="1" t="str">
        <f>IFERROR(__xludf.DUMMYFUNCTION("GOOGLETRANSLATE(B4072, ""en"", ""fa"")
"),"برنامه ریز عروسی")</f>
        <v>برنامه ریز عروسی</v>
      </c>
      <c r="G4072" s="1" t="str">
        <f>IFERROR(__xludf.DUMMYFUNCTION("GOOGLETRANSLATE(C4072, ""en"", ""fa"")
"),"برنامه ریزان عروسی چگونه می توانند به زوج ها در انتخاب سبک و طراحی مناسب برای دعوت عروسی خود کمک کنند؟")</f>
        <v>برنامه ریزان عروسی چگونه می توانند به زوج ها در انتخاب سبک و طراحی مناسب برای دعوت عروسی خود کمک کنند؟</v>
      </c>
      <c r="H4072" s="1"/>
      <c r="I4072" s="1"/>
      <c r="J4072" s="1"/>
      <c r="K4072" s="1"/>
      <c r="L4072" s="1"/>
      <c r="M4072" s="1"/>
      <c r="N4072" s="1"/>
      <c r="O4072" s="1"/>
      <c r="P4072" s="1"/>
      <c r="Q4072" s="1"/>
      <c r="R4072" s="1"/>
      <c r="S4072" s="1"/>
      <c r="T4072" s="1"/>
      <c r="U4072" s="1"/>
      <c r="V4072" s="1"/>
      <c r="W4072" s="1"/>
      <c r="X4072" s="1"/>
      <c r="Y4072" s="1"/>
      <c r="Z4072" s="1"/>
      <c r="AA4072" s="1"/>
      <c r="AB4072" s="1"/>
    </row>
    <row r="4073" ht="50.25" customHeight="1">
      <c r="A4073" s="12">
        <v>4069.0</v>
      </c>
      <c r="B4073" s="13" t="s">
        <v>3778</v>
      </c>
      <c r="C4073" s="14" t="s">
        <v>4091</v>
      </c>
      <c r="D4073" s="1"/>
      <c r="E4073" s="1"/>
      <c r="F4073" s="1" t="str">
        <f>IFERROR(__xludf.DUMMYFUNCTION("GOOGLETRANSLATE(B4073, ""en"", ""fa"")
"),"برنامه ریز عروسی")</f>
        <v>برنامه ریز عروسی</v>
      </c>
      <c r="G4073" s="1" t="str">
        <f>IFERROR(__xludf.DUMMYFUNCTION("GOOGLETRANSLATE(C4073, ""en"", ""fa"")
"),"جدیدترین گرایش ها در طراحی و تایپوگرافی دعوت عروسی چیست؟")</f>
        <v>جدیدترین گرایش ها در طراحی و تایپوگرافی دعوت عروسی چیست؟</v>
      </c>
      <c r="H4073" s="1"/>
      <c r="I4073" s="1"/>
      <c r="J4073" s="1"/>
      <c r="K4073" s="1"/>
      <c r="L4073" s="1"/>
      <c r="M4073" s="1"/>
      <c r="N4073" s="1"/>
      <c r="O4073" s="1"/>
      <c r="P4073" s="1"/>
      <c r="Q4073" s="1"/>
      <c r="R4073" s="1"/>
      <c r="S4073" s="1"/>
      <c r="T4073" s="1"/>
      <c r="U4073" s="1"/>
      <c r="V4073" s="1"/>
      <c r="W4073" s="1"/>
      <c r="X4073" s="1"/>
      <c r="Y4073" s="1"/>
      <c r="Z4073" s="1"/>
      <c r="AA4073" s="1"/>
      <c r="AB4073" s="1"/>
    </row>
    <row r="4074" ht="50.25" customHeight="1">
      <c r="A4074" s="12">
        <v>4070.0</v>
      </c>
      <c r="B4074" s="13" t="s">
        <v>3778</v>
      </c>
      <c r="C4074" s="14" t="s">
        <v>4092</v>
      </c>
      <c r="D4074" s="1"/>
      <c r="E4074" s="1"/>
      <c r="F4074" s="1" t="str">
        <f>IFERROR(__xludf.DUMMYFUNCTION("GOOGLETRANSLATE(B4074, ""en"", ""fa"")
"),"برنامه ریز عروسی")</f>
        <v>برنامه ریز عروسی</v>
      </c>
      <c r="G4074" s="1" t="str">
        <f>IFERROR(__xludf.DUMMYFUNCTION("GOOGLETRANSLATE(C4074, ""en"", ""fa"")
"),"ایده هایی برای گنجاندن نکات منحصر به فرد و شخصی در دعوت نامه عروسی به اشتراک بگذارید.")</f>
        <v>ایده هایی برای گنجاندن نکات منحصر به فرد و شخصی در دعوت نامه عروسی به اشتراک بگذارید.</v>
      </c>
      <c r="H4074" s="1"/>
      <c r="I4074" s="1"/>
      <c r="J4074" s="1"/>
      <c r="K4074" s="1"/>
      <c r="L4074" s="1"/>
      <c r="M4074" s="1"/>
      <c r="N4074" s="1"/>
      <c r="O4074" s="1"/>
      <c r="P4074" s="1"/>
      <c r="Q4074" s="1"/>
      <c r="R4074" s="1"/>
      <c r="S4074" s="1"/>
      <c r="T4074" s="1"/>
      <c r="U4074" s="1"/>
      <c r="V4074" s="1"/>
      <c r="W4074" s="1"/>
      <c r="X4074" s="1"/>
      <c r="Y4074" s="1"/>
      <c r="Z4074" s="1"/>
      <c r="AA4074" s="1"/>
      <c r="AB4074" s="1"/>
    </row>
    <row r="4075" ht="50.25" customHeight="1">
      <c r="A4075" s="12">
        <v>4071.0</v>
      </c>
      <c r="B4075" s="13" t="s">
        <v>3778</v>
      </c>
      <c r="C4075" s="14" t="s">
        <v>4093</v>
      </c>
      <c r="D4075" s="1"/>
      <c r="E4075" s="1"/>
      <c r="F4075" s="1" t="str">
        <f>IFERROR(__xludf.DUMMYFUNCTION("GOOGLETRANSLATE(B4075, ""en"", ""fa"")
"),"برنامه ریز عروسی")</f>
        <v>برنامه ریز عروسی</v>
      </c>
      <c r="G4075" s="1" t="str">
        <f>IFERROR(__xludf.DUMMYFUNCTION("GOOGLETRANSLATE(C4075, ""en"", ""fa"")
"),"چگونه زوج ها می توانند پالت رنگ و کاغذ مناسب را برای لوازم التحریر عروسی خود انتخاب کنند؟")</f>
        <v>چگونه زوج ها می توانند پالت رنگ و کاغذ مناسب را برای لوازم التحریر عروسی خود انتخاب کنند؟</v>
      </c>
      <c r="H4075" s="1"/>
      <c r="I4075" s="1"/>
      <c r="J4075" s="1"/>
      <c r="K4075" s="1"/>
      <c r="L4075" s="1"/>
      <c r="M4075" s="1"/>
      <c r="N4075" s="1"/>
      <c r="O4075" s="1"/>
      <c r="P4075" s="1"/>
      <c r="Q4075" s="1"/>
      <c r="R4075" s="1"/>
      <c r="S4075" s="1"/>
      <c r="T4075" s="1"/>
      <c r="U4075" s="1"/>
      <c r="V4075" s="1"/>
      <c r="W4075" s="1"/>
      <c r="X4075" s="1"/>
      <c r="Y4075" s="1"/>
      <c r="Z4075" s="1"/>
      <c r="AA4075" s="1"/>
      <c r="AB4075" s="1"/>
    </row>
    <row r="4076" ht="50.25" customHeight="1">
      <c r="A4076" s="12">
        <v>4072.0</v>
      </c>
      <c r="B4076" s="13" t="s">
        <v>3778</v>
      </c>
      <c r="C4076" s="14" t="s">
        <v>4094</v>
      </c>
      <c r="D4076" s="1"/>
      <c r="E4076" s="1"/>
      <c r="F4076" s="1" t="str">
        <f>IFERROR(__xludf.DUMMYFUNCTION("GOOGLETRANSLATE(B4076, ""en"", ""fa"")
"),"برنامه ریز عروسی")</f>
        <v>برنامه ریز عروسی</v>
      </c>
      <c r="G4076" s="1" t="str">
        <f>IFERROR(__xludf.DUMMYFUNCTION("GOOGLETRANSLATE(C4076, ""en"", ""fa"")
"),"اطلاعات ضروری که باید در کارت ذخیره تاریخ گنجانده شود چیست؟")</f>
        <v>اطلاعات ضروری که باید در کارت ذخیره تاریخ گنجانده شود چیست؟</v>
      </c>
      <c r="H4076" s="1"/>
      <c r="I4076" s="1"/>
      <c r="J4076" s="1"/>
      <c r="K4076" s="1"/>
      <c r="L4076" s="1"/>
      <c r="M4076" s="1"/>
      <c r="N4076" s="1"/>
      <c r="O4076" s="1"/>
      <c r="P4076" s="1"/>
      <c r="Q4076" s="1"/>
      <c r="R4076" s="1"/>
      <c r="S4076" s="1"/>
      <c r="T4076" s="1"/>
      <c r="U4076" s="1"/>
      <c r="V4076" s="1"/>
      <c r="W4076" s="1"/>
      <c r="X4076" s="1"/>
      <c r="Y4076" s="1"/>
      <c r="Z4076" s="1"/>
      <c r="AA4076" s="1"/>
      <c r="AB4076" s="1"/>
    </row>
    <row r="4077" ht="50.25" customHeight="1">
      <c r="A4077" s="12">
        <v>4073.0</v>
      </c>
      <c r="B4077" s="13" t="s">
        <v>3778</v>
      </c>
      <c r="C4077" s="14" t="s">
        <v>4095</v>
      </c>
      <c r="D4077" s="1"/>
      <c r="E4077" s="1"/>
      <c r="F4077" s="1" t="str">
        <f>IFERROR(__xludf.DUMMYFUNCTION("GOOGLETRANSLATE(B4077, ""en"", ""fa"")
"),"برنامه ریز عروسی")</f>
        <v>برنامه ریز عروسی</v>
      </c>
      <c r="G4077" s="1" t="str">
        <f>IFERROR(__xludf.DUMMYFUNCTION("GOOGLETRANSLATE(C4077, ""en"", ""fa"")
"),"چند استراتژی برای مدیریت لیست مهمانان و آدرس پاکت برای دعوت عروسی به اشتراک بگذارید.")</f>
        <v>چند استراتژی برای مدیریت لیست مهمانان و آدرس پاکت برای دعوت عروسی به اشتراک بگذارید.</v>
      </c>
      <c r="H4077" s="1"/>
      <c r="I4077" s="1"/>
      <c r="J4077" s="1"/>
      <c r="K4077" s="1"/>
      <c r="L4077" s="1"/>
      <c r="M4077" s="1"/>
      <c r="N4077" s="1"/>
      <c r="O4077" s="1"/>
      <c r="P4077" s="1"/>
      <c r="Q4077" s="1"/>
      <c r="R4077" s="1"/>
      <c r="S4077" s="1"/>
      <c r="T4077" s="1"/>
      <c r="U4077" s="1"/>
      <c r="V4077" s="1"/>
      <c r="W4077" s="1"/>
      <c r="X4077" s="1"/>
      <c r="Y4077" s="1"/>
      <c r="Z4077" s="1"/>
      <c r="AA4077" s="1"/>
      <c r="AB4077" s="1"/>
    </row>
    <row r="4078" ht="50.25" customHeight="1">
      <c r="A4078" s="12">
        <v>4074.0</v>
      </c>
      <c r="B4078" s="13" t="s">
        <v>3778</v>
      </c>
      <c r="C4078" s="14" t="s">
        <v>4096</v>
      </c>
      <c r="D4078" s="1"/>
      <c r="E4078" s="1"/>
      <c r="F4078" s="1" t="str">
        <f>IFERROR(__xludf.DUMMYFUNCTION("GOOGLETRANSLATE(B4078, ""en"", ""fa"")
"),"برنامه ریز عروسی")</f>
        <v>برنامه ریز عروسی</v>
      </c>
      <c r="G4078" s="1" t="str">
        <f>IFERROR(__xludf.DUMMYFUNCTION("GOOGLETRANSLATE(C4078, ""en"", ""fa"")
"),"چگونه برنامه ریزان عروسی می توانند به زوج ها در ایجاد یک موضوع و زیبایی شناسی ثابت در سراسر مجموعه دعوت خود کمک کنند؟")</f>
        <v>چگونه برنامه ریزان عروسی می توانند به زوج ها در ایجاد یک موضوع و زیبایی شناسی ثابت در سراسر مجموعه دعوت خود کمک کنند؟</v>
      </c>
      <c r="H4078" s="1"/>
      <c r="I4078" s="1"/>
      <c r="J4078" s="1"/>
      <c r="K4078" s="1"/>
      <c r="L4078" s="1"/>
      <c r="M4078" s="1"/>
      <c r="N4078" s="1"/>
      <c r="O4078" s="1"/>
      <c r="P4078" s="1"/>
      <c r="Q4078" s="1"/>
      <c r="R4078" s="1"/>
      <c r="S4078" s="1"/>
      <c r="T4078" s="1"/>
      <c r="U4078" s="1"/>
      <c r="V4078" s="1"/>
      <c r="W4078" s="1"/>
      <c r="X4078" s="1"/>
      <c r="Y4078" s="1"/>
      <c r="Z4078" s="1"/>
      <c r="AA4078" s="1"/>
      <c r="AB4078" s="1"/>
    </row>
    <row r="4079" ht="50.25" customHeight="1">
      <c r="A4079" s="12">
        <v>4075.0</v>
      </c>
      <c r="B4079" s="13" t="s">
        <v>3778</v>
      </c>
      <c r="C4079" s="14" t="s">
        <v>4097</v>
      </c>
      <c r="D4079" s="1"/>
      <c r="E4079" s="1"/>
      <c r="F4079" s="1" t="str">
        <f>IFERROR(__xludf.DUMMYFUNCTION("GOOGLETRANSLATE(B4079, ""en"", ""fa"")
"),"برنامه ریز عروسی")</f>
        <v>برنامه ریز عروسی</v>
      </c>
      <c r="G4079" s="1" t="str">
        <f>IFERROR(__xludf.DUMMYFUNCTION("GOOGLETRANSLATE(C4079, ""en"", ""fa"")
"),"ملاحظات کلیدی برای انتخاب بین دعوتنامه عروسی چاپ دیجیتال و سنتی چیست؟")</f>
        <v>ملاحظات کلیدی برای انتخاب بین دعوتنامه عروسی چاپ دیجیتال و سنتی چیست؟</v>
      </c>
      <c r="H4079" s="1"/>
      <c r="I4079" s="1"/>
      <c r="J4079" s="1"/>
      <c r="K4079" s="1"/>
      <c r="L4079" s="1"/>
      <c r="M4079" s="1"/>
      <c r="N4079" s="1"/>
      <c r="O4079" s="1"/>
      <c r="P4079" s="1"/>
      <c r="Q4079" s="1"/>
      <c r="R4079" s="1"/>
      <c r="S4079" s="1"/>
      <c r="T4079" s="1"/>
      <c r="U4079" s="1"/>
      <c r="V4079" s="1"/>
      <c r="W4079" s="1"/>
      <c r="X4079" s="1"/>
      <c r="Y4079" s="1"/>
      <c r="Z4079" s="1"/>
      <c r="AA4079" s="1"/>
      <c r="AB4079" s="1"/>
    </row>
    <row r="4080" ht="50.25" customHeight="1">
      <c r="A4080" s="12">
        <v>4076.0</v>
      </c>
      <c r="B4080" s="13" t="s">
        <v>3778</v>
      </c>
      <c r="C4080" s="14" t="s">
        <v>4098</v>
      </c>
      <c r="D4080" s="1"/>
      <c r="E4080" s="1"/>
      <c r="F4080" s="1" t="str">
        <f>IFERROR(__xludf.DUMMYFUNCTION("GOOGLETRANSLATE(B4080, ""en"", ""fa"")
"),"برنامه ریز عروسی")</f>
        <v>برنامه ریز عروسی</v>
      </c>
      <c r="G4080" s="1" t="str">
        <f>IFERROR(__xludf.DUMMYFUNCTION("GOOGLETRANSLATE(C4080, ""en"", ""fa"")
"),"نکاتی را برای بیان دعوت نامه عروسی به اشتراک بگذارید تا سبک و رسمی بودن مراسم زوج را منعکس کند.")</f>
        <v>نکاتی را برای بیان دعوت نامه عروسی به اشتراک بگذارید تا سبک و رسمی بودن مراسم زوج را منعکس کند.</v>
      </c>
      <c r="H4080" s="1"/>
      <c r="I4080" s="1"/>
      <c r="J4080" s="1"/>
      <c r="K4080" s="1"/>
      <c r="L4080" s="1"/>
      <c r="M4080" s="1"/>
      <c r="N4080" s="1"/>
      <c r="O4080" s="1"/>
      <c r="P4080" s="1"/>
      <c r="Q4080" s="1"/>
      <c r="R4080" s="1"/>
      <c r="S4080" s="1"/>
      <c r="T4080" s="1"/>
      <c r="U4080" s="1"/>
      <c r="V4080" s="1"/>
      <c r="W4080" s="1"/>
      <c r="X4080" s="1"/>
      <c r="Y4080" s="1"/>
      <c r="Z4080" s="1"/>
      <c r="AA4080" s="1"/>
      <c r="AB4080" s="1"/>
    </row>
    <row r="4081" ht="50.25" customHeight="1">
      <c r="A4081" s="12">
        <v>4077.0</v>
      </c>
      <c r="B4081" s="13" t="s">
        <v>3778</v>
      </c>
      <c r="C4081" s="14" t="s">
        <v>4099</v>
      </c>
      <c r="D4081" s="1"/>
      <c r="E4081" s="1"/>
      <c r="F4081" s="1" t="str">
        <f>IFERROR(__xludf.DUMMYFUNCTION("GOOGLETRANSLATE(B4081, ""en"", ""fa"")
"),"برنامه ریز عروسی")</f>
        <v>برنامه ریز عروسی</v>
      </c>
      <c r="G4081" s="1" t="str">
        <f>IFERROR(__xludf.DUMMYFUNCTION("GOOGLETRANSLATE(C4081, ""en"", ""fa"")
"),"چگونه زوج ها می توانند نمادهای فرهنگی یا مذهبی را در لوازم التحریر عروسی خود بگنجانند؟")</f>
        <v>چگونه زوج ها می توانند نمادهای فرهنگی یا مذهبی را در لوازم التحریر عروسی خود بگنجانند؟</v>
      </c>
      <c r="H4081" s="1"/>
      <c r="I4081" s="1"/>
      <c r="J4081" s="1"/>
      <c r="K4081" s="1"/>
      <c r="L4081" s="1"/>
      <c r="M4081" s="1"/>
      <c r="N4081" s="1"/>
      <c r="O4081" s="1"/>
      <c r="P4081" s="1"/>
      <c r="Q4081" s="1"/>
      <c r="R4081" s="1"/>
      <c r="S4081" s="1"/>
      <c r="T4081" s="1"/>
      <c r="U4081" s="1"/>
      <c r="V4081" s="1"/>
      <c r="W4081" s="1"/>
      <c r="X4081" s="1"/>
      <c r="Y4081" s="1"/>
      <c r="Z4081" s="1"/>
      <c r="AA4081" s="1"/>
      <c r="AB4081" s="1"/>
    </row>
    <row r="4082" ht="50.25" customHeight="1">
      <c r="A4082" s="12">
        <v>4078.0</v>
      </c>
      <c r="B4082" s="13" t="s">
        <v>3778</v>
      </c>
      <c r="C4082" s="14" t="s">
        <v>4100</v>
      </c>
      <c r="D4082" s="1"/>
      <c r="E4082" s="1"/>
      <c r="F4082" s="1" t="str">
        <f>IFERROR(__xludf.DUMMYFUNCTION("GOOGLETRANSLATE(B4082, ""en"", ""fa"")
"),"برنامه ریز عروسی")</f>
        <v>برنامه ریز عروسی</v>
      </c>
      <c r="G4082" s="1" t="str">
        <f>IFERROR(__xludf.DUMMYFUNCTION("GOOGLETRANSLATE(C4082, ""en"", ""fa"")
"),"بهترین روش‌ها برای مدیریت RSVP و ردیابی پاسخ‌های مهمان چیست؟")</f>
        <v>بهترین روش‌ها برای مدیریت RSVP و ردیابی پاسخ‌های مهمان چیست؟</v>
      </c>
      <c r="H4082" s="1"/>
      <c r="I4082" s="1"/>
      <c r="J4082" s="1"/>
      <c r="K4082" s="1"/>
      <c r="L4082" s="1"/>
      <c r="M4082" s="1"/>
      <c r="N4082" s="1"/>
      <c r="O4082" s="1"/>
      <c r="P4082" s="1"/>
      <c r="Q4082" s="1"/>
      <c r="R4082" s="1"/>
      <c r="S4082" s="1"/>
      <c r="T4082" s="1"/>
      <c r="U4082" s="1"/>
      <c r="V4082" s="1"/>
      <c r="W4082" s="1"/>
      <c r="X4082" s="1"/>
      <c r="Y4082" s="1"/>
      <c r="Z4082" s="1"/>
      <c r="AA4082" s="1"/>
      <c r="AB4082" s="1"/>
    </row>
    <row r="4083" ht="50.25" customHeight="1">
      <c r="A4083" s="12">
        <v>4079.0</v>
      </c>
      <c r="B4083" s="13" t="s">
        <v>3778</v>
      </c>
      <c r="C4083" s="14" t="s">
        <v>4101</v>
      </c>
      <c r="D4083" s="1"/>
      <c r="E4083" s="1"/>
      <c r="F4083" s="1" t="str">
        <f>IFERROR(__xludf.DUMMYFUNCTION("GOOGLETRANSLATE(B4083, ""en"", ""fa"")
"),"برنامه ریز عروسی")</f>
        <v>برنامه ریز عروسی</v>
      </c>
      <c r="G4083" s="1" t="str">
        <f>IFERROR(__xludf.DUMMYFUNCTION("GOOGLETRANSLATE(C4083, ""en"", ""fa"")
"),"ایده هایی برای ترکیب مواد سازگار با محیط زیست و پایدار در دعوت نامه عروسی و لوازم التحریر به اشتراک بگذارید.")</f>
        <v>ایده هایی برای ترکیب مواد سازگار با محیط زیست و پایدار در دعوت نامه عروسی و لوازم التحریر به اشتراک بگذارید.</v>
      </c>
      <c r="H4083" s="1"/>
      <c r="I4083" s="1"/>
      <c r="J4083" s="1"/>
      <c r="K4083" s="1"/>
      <c r="L4083" s="1"/>
      <c r="M4083" s="1"/>
      <c r="N4083" s="1"/>
      <c r="O4083" s="1"/>
      <c r="P4083" s="1"/>
      <c r="Q4083" s="1"/>
      <c r="R4083" s="1"/>
      <c r="S4083" s="1"/>
      <c r="T4083" s="1"/>
      <c r="U4083" s="1"/>
      <c r="V4083" s="1"/>
      <c r="W4083" s="1"/>
      <c r="X4083" s="1"/>
      <c r="Y4083" s="1"/>
      <c r="Z4083" s="1"/>
      <c r="AA4083" s="1"/>
      <c r="AB4083" s="1"/>
    </row>
    <row r="4084" ht="50.25" customHeight="1">
      <c r="A4084" s="12">
        <v>4080.0</v>
      </c>
      <c r="B4084" s="13" t="s">
        <v>3778</v>
      </c>
      <c r="C4084" s="14" t="s">
        <v>4102</v>
      </c>
      <c r="D4084" s="1"/>
      <c r="E4084" s="1"/>
      <c r="F4084" s="1" t="str">
        <f>IFERROR(__xludf.DUMMYFUNCTION("GOOGLETRANSLATE(B4084, ""en"", ""fa"")
"),"برنامه ریز عروسی")</f>
        <v>برنامه ریز عروسی</v>
      </c>
      <c r="G4084" s="1" t="str">
        <f>IFERROR(__xludf.DUMMYFUNCTION("GOOGLETRANSLATE(C4084, ""en"", ""fa"")
"),"برنامه ریزان عروسی چگونه می توانند به زوج ها در هماهنگی طراحی دعوت عروسی خود با سایر عناصر عروسی مانند دکور یا تم کمک کنند؟")</f>
        <v>برنامه ریزان عروسی چگونه می توانند به زوج ها در هماهنگی طراحی دعوت عروسی خود با سایر عناصر عروسی مانند دکور یا تم کمک کنند؟</v>
      </c>
      <c r="H4084" s="1"/>
      <c r="I4084" s="1"/>
      <c r="J4084" s="1"/>
      <c r="K4084" s="1"/>
      <c r="L4084" s="1"/>
      <c r="M4084" s="1"/>
      <c r="N4084" s="1"/>
      <c r="O4084" s="1"/>
      <c r="P4084" s="1"/>
      <c r="Q4084" s="1"/>
      <c r="R4084" s="1"/>
      <c r="S4084" s="1"/>
      <c r="T4084" s="1"/>
      <c r="U4084" s="1"/>
      <c r="V4084" s="1"/>
      <c r="W4084" s="1"/>
      <c r="X4084" s="1"/>
      <c r="Y4084" s="1"/>
      <c r="Z4084" s="1"/>
      <c r="AA4084" s="1"/>
      <c r="AB4084" s="1"/>
    </row>
    <row r="4085" ht="50.25" customHeight="1">
      <c r="A4085" s="12">
        <v>4081.0</v>
      </c>
      <c r="B4085" s="13" t="s">
        <v>3778</v>
      </c>
      <c r="C4085" s="14" t="s">
        <v>4103</v>
      </c>
      <c r="D4085" s="1"/>
      <c r="E4085" s="1"/>
      <c r="F4085" s="1" t="str">
        <f>IFERROR(__xludf.DUMMYFUNCTION("GOOGLETRANSLATE(B4085, ""en"", ""fa"")
"),"برنامه ریز عروسی")</f>
        <v>برنامه ریز عروسی</v>
      </c>
      <c r="G4085" s="1" t="str">
        <f>IFERROR(__xludf.DUMMYFUNCTION("GOOGLETRANSLATE(C4085, ""en"", ""fa"")
"),"برای ارزیابی کیفیت و بافت کاغذ لوازم التحریر عروسی چه فاکتورهای ضروری را باید در نظر گرفت؟")</f>
        <v>برای ارزیابی کیفیت و بافت کاغذ لوازم التحریر عروسی چه فاکتورهای ضروری را باید در نظر گرفت؟</v>
      </c>
      <c r="H4085" s="1"/>
      <c r="I4085" s="1"/>
      <c r="J4085" s="1"/>
      <c r="K4085" s="1"/>
      <c r="L4085" s="1"/>
      <c r="M4085" s="1"/>
      <c r="N4085" s="1"/>
      <c r="O4085" s="1"/>
      <c r="P4085" s="1"/>
      <c r="Q4085" s="1"/>
      <c r="R4085" s="1"/>
      <c r="S4085" s="1"/>
      <c r="T4085" s="1"/>
      <c r="U4085" s="1"/>
      <c r="V4085" s="1"/>
      <c r="W4085" s="1"/>
      <c r="X4085" s="1"/>
      <c r="Y4085" s="1"/>
      <c r="Z4085" s="1"/>
      <c r="AA4085" s="1"/>
      <c r="AB4085" s="1"/>
    </row>
    <row r="4086" ht="50.25" customHeight="1">
      <c r="A4086" s="12">
        <v>4082.0</v>
      </c>
      <c r="B4086" s="13" t="s">
        <v>3778</v>
      </c>
      <c r="C4086" s="14" t="s">
        <v>4104</v>
      </c>
      <c r="D4086" s="1"/>
      <c r="E4086" s="1"/>
      <c r="F4086" s="1" t="str">
        <f>IFERROR(__xludf.DUMMYFUNCTION("GOOGLETRANSLATE(B4086, ""en"", ""fa"")
"),"برنامه ریز عروسی")</f>
        <v>برنامه ریز عروسی</v>
      </c>
      <c r="G4086" s="1" t="str">
        <f>IFERROR(__xludf.DUMMYFUNCTION("GOOGLETRANSLATE(C4086, ""en"", ""fa"")
"),"چند استراتژی برای مدیریت چاپ و مونتاژ دعوت نامه های عروسی در یک بودجه خاص به اشتراک بگذارید.")</f>
        <v>چند استراتژی برای مدیریت چاپ و مونتاژ دعوت نامه های عروسی در یک بودجه خاص به اشتراک بگذارید.</v>
      </c>
      <c r="H4086" s="1"/>
      <c r="I4086" s="1"/>
      <c r="J4086" s="1"/>
      <c r="K4086" s="1"/>
      <c r="L4086" s="1"/>
      <c r="M4086" s="1"/>
      <c r="N4086" s="1"/>
      <c r="O4086" s="1"/>
      <c r="P4086" s="1"/>
      <c r="Q4086" s="1"/>
      <c r="R4086" s="1"/>
      <c r="S4086" s="1"/>
      <c r="T4086" s="1"/>
      <c r="U4086" s="1"/>
      <c r="V4086" s="1"/>
      <c r="W4086" s="1"/>
      <c r="X4086" s="1"/>
      <c r="Y4086" s="1"/>
      <c r="Z4086" s="1"/>
      <c r="AA4086" s="1"/>
      <c r="AB4086" s="1"/>
    </row>
    <row r="4087" ht="50.25" customHeight="1">
      <c r="A4087" s="12">
        <v>4083.0</v>
      </c>
      <c r="B4087" s="13" t="s">
        <v>3778</v>
      </c>
      <c r="C4087" s="14" t="s">
        <v>4105</v>
      </c>
      <c r="D4087" s="1"/>
      <c r="E4087" s="1"/>
      <c r="F4087" s="1" t="str">
        <f>IFERROR(__xludf.DUMMYFUNCTION("GOOGLETRANSLATE(B4087, ""en"", ""fa"")
"),"برنامه ریز عروسی")</f>
        <v>برنامه ریز عروسی</v>
      </c>
      <c r="G4087" s="1" t="str">
        <f>IFERROR(__xludf.DUMMYFUNCTION("GOOGLETRANSLATE(C4087, ""en"", ""fa"")
"),"چگونه زوج ها می توانند طرح های دعوت را انتخاب کنند که نشان دهنده مکان یا مکان عروسی آنها باشد؟")</f>
        <v>چگونه زوج ها می توانند طرح های دعوت را انتخاب کنند که نشان دهنده مکان یا مکان عروسی آنها باشد؟</v>
      </c>
      <c r="H4087" s="1"/>
      <c r="I4087" s="1"/>
      <c r="J4087" s="1"/>
      <c r="K4087" s="1"/>
      <c r="L4087" s="1"/>
      <c r="M4087" s="1"/>
      <c r="N4087" s="1"/>
      <c r="O4087" s="1"/>
      <c r="P4087" s="1"/>
      <c r="Q4087" s="1"/>
      <c r="R4087" s="1"/>
      <c r="S4087" s="1"/>
      <c r="T4087" s="1"/>
      <c r="U4087" s="1"/>
      <c r="V4087" s="1"/>
      <c r="W4087" s="1"/>
      <c r="X4087" s="1"/>
      <c r="Y4087" s="1"/>
      <c r="Z4087" s="1"/>
      <c r="AA4087" s="1"/>
      <c r="AB4087" s="1"/>
    </row>
    <row r="4088" ht="50.25" customHeight="1">
      <c r="A4088" s="12">
        <v>4084.0</v>
      </c>
      <c r="B4088" s="13" t="s">
        <v>3778</v>
      </c>
      <c r="C4088" s="14" t="s">
        <v>4106</v>
      </c>
      <c r="D4088" s="1"/>
      <c r="E4088" s="1"/>
      <c r="F4088" s="1" t="str">
        <f>IFERROR(__xludf.DUMMYFUNCTION("GOOGLETRANSLATE(B4088, ""en"", ""fa"")
"),"برنامه ریز عروسی")</f>
        <v>برنامه ریز عروسی</v>
      </c>
      <c r="G4088" s="1" t="str">
        <f>IFERROR(__xludf.DUMMYFUNCTION("GOOGLETRANSLATE(C4088, ""en"", ""fa"")
"),"ملاحظات کلیدی برای انتخاب فونت و سبک های تایپوگرافی برای لوازم التحریر عروسی چیست؟")</f>
        <v>ملاحظات کلیدی برای انتخاب فونت و سبک های تایپوگرافی برای لوازم التحریر عروسی چیست؟</v>
      </c>
      <c r="H4088" s="1"/>
      <c r="I4088" s="1"/>
      <c r="J4088" s="1"/>
      <c r="K4088" s="1"/>
      <c r="L4088" s="1"/>
      <c r="M4088" s="1"/>
      <c r="N4088" s="1"/>
      <c r="O4088" s="1"/>
      <c r="P4088" s="1"/>
      <c r="Q4088" s="1"/>
      <c r="R4088" s="1"/>
      <c r="S4088" s="1"/>
      <c r="T4088" s="1"/>
      <c r="U4088" s="1"/>
      <c r="V4088" s="1"/>
      <c r="W4088" s="1"/>
      <c r="X4088" s="1"/>
      <c r="Y4088" s="1"/>
      <c r="Z4088" s="1"/>
      <c r="AA4088" s="1"/>
      <c r="AB4088" s="1"/>
    </row>
    <row r="4089" ht="50.25" customHeight="1">
      <c r="A4089" s="12">
        <v>4085.0</v>
      </c>
      <c r="B4089" s="13" t="s">
        <v>3778</v>
      </c>
      <c r="C4089" s="14" t="s">
        <v>4107</v>
      </c>
      <c r="D4089" s="1"/>
      <c r="E4089" s="1"/>
      <c r="F4089" s="1" t="str">
        <f>IFERROR(__xludf.DUMMYFUNCTION("GOOGLETRANSLATE(B4089, ""en"", ""fa"")
"),"برنامه ریز عروسی")</f>
        <v>برنامه ریز عروسی</v>
      </c>
      <c r="G4089" s="1" t="str">
        <f>IFERROR(__xludf.DUMMYFUNCTION("GOOGLETRANSLATE(C4089, ""en"", ""fa"")
"),"نکاتی را برای ایجاد یک وب سایت عروسی جذاب و آموزنده یا دعوتنامه دیجیتال به اشتراک بگذارید.")</f>
        <v>نکاتی را برای ایجاد یک وب سایت عروسی جذاب و آموزنده یا دعوتنامه دیجیتال به اشتراک بگذارید.</v>
      </c>
      <c r="H4089" s="1"/>
      <c r="I4089" s="1"/>
      <c r="J4089" s="1"/>
      <c r="K4089" s="1"/>
      <c r="L4089" s="1"/>
      <c r="M4089" s="1"/>
      <c r="N4089" s="1"/>
      <c r="O4089" s="1"/>
      <c r="P4089" s="1"/>
      <c r="Q4089" s="1"/>
      <c r="R4089" s="1"/>
      <c r="S4089" s="1"/>
      <c r="T4089" s="1"/>
      <c r="U4089" s="1"/>
      <c r="V4089" s="1"/>
      <c r="W4089" s="1"/>
      <c r="X4089" s="1"/>
      <c r="Y4089" s="1"/>
      <c r="Z4089" s="1"/>
      <c r="AA4089" s="1"/>
      <c r="AB4089" s="1"/>
    </row>
    <row r="4090" ht="50.25" customHeight="1">
      <c r="A4090" s="12">
        <v>4086.0</v>
      </c>
      <c r="B4090" s="13" t="s">
        <v>3778</v>
      </c>
      <c r="C4090" s="14" t="s">
        <v>4108</v>
      </c>
      <c r="D4090" s="1"/>
      <c r="E4090" s="1"/>
      <c r="F4090" s="1" t="str">
        <f>IFERROR(__xludf.DUMMYFUNCTION("GOOGLETRANSLATE(B4090, ""en"", ""fa"")
"),"برنامه ریز عروسی")</f>
        <v>برنامه ریز عروسی</v>
      </c>
      <c r="G4090" s="1" t="str">
        <f>IFERROR(__xludf.DUMMYFUNCTION("GOOGLETRANSLATE(C4090, ""en"", ""fa"")
"),"برنامه ریزان عروسی چگونه می توانند به زوج ها در مدیریت توزیع و تحویل دعوت نامه کمک کنند؟")</f>
        <v>برنامه ریزان عروسی چگونه می توانند به زوج ها در مدیریت توزیع و تحویل دعوت نامه کمک کنند؟</v>
      </c>
      <c r="H4090" s="1"/>
      <c r="I4090" s="1"/>
      <c r="J4090" s="1"/>
      <c r="K4090" s="1"/>
      <c r="L4090" s="1"/>
      <c r="M4090" s="1"/>
      <c r="N4090" s="1"/>
      <c r="O4090" s="1"/>
      <c r="P4090" s="1"/>
      <c r="Q4090" s="1"/>
      <c r="R4090" s="1"/>
      <c r="S4090" s="1"/>
      <c r="T4090" s="1"/>
      <c r="U4090" s="1"/>
      <c r="V4090" s="1"/>
      <c r="W4090" s="1"/>
      <c r="X4090" s="1"/>
      <c r="Y4090" s="1"/>
      <c r="Z4090" s="1"/>
      <c r="AA4090" s="1"/>
      <c r="AB4090" s="1"/>
    </row>
    <row r="4091" ht="50.25" customHeight="1">
      <c r="A4091" s="12">
        <v>4087.0</v>
      </c>
      <c r="B4091" s="13" t="s">
        <v>3778</v>
      </c>
      <c r="C4091" s="14" t="s">
        <v>4109</v>
      </c>
      <c r="D4091" s="1"/>
      <c r="E4091" s="1"/>
      <c r="F4091" s="1" t="str">
        <f>IFERROR(__xludf.DUMMYFUNCTION("GOOGLETRANSLATE(B4091, ""en"", ""fa"")
"),"برنامه ریز عروسی")</f>
        <v>برنامه ریز عروسی</v>
      </c>
      <c r="G4091" s="1" t="str">
        <f>IFERROR(__xludf.DUMMYFUNCTION("GOOGLETRANSLATE(C4091, ""en"", ""fa"")
"),"اطلاعات ضروری برای درج کارت اقامت یا سفر برای مهمانان خارج از شهر چیست؟")</f>
        <v>اطلاعات ضروری برای درج کارت اقامت یا سفر برای مهمانان خارج از شهر چیست؟</v>
      </c>
      <c r="H4091" s="1"/>
      <c r="I4091" s="1"/>
      <c r="J4091" s="1"/>
      <c r="K4091" s="1"/>
      <c r="L4091" s="1"/>
      <c r="M4091" s="1"/>
      <c r="N4091" s="1"/>
      <c r="O4091" s="1"/>
      <c r="P4091" s="1"/>
      <c r="Q4091" s="1"/>
      <c r="R4091" s="1"/>
      <c r="S4091" s="1"/>
      <c r="T4091" s="1"/>
      <c r="U4091" s="1"/>
      <c r="V4091" s="1"/>
      <c r="W4091" s="1"/>
      <c r="X4091" s="1"/>
      <c r="Y4091" s="1"/>
      <c r="Z4091" s="1"/>
      <c r="AA4091" s="1"/>
      <c r="AB4091" s="1"/>
    </row>
    <row r="4092" ht="50.25" customHeight="1">
      <c r="A4092" s="12">
        <v>4088.0</v>
      </c>
      <c r="B4092" s="13" t="s">
        <v>3778</v>
      </c>
      <c r="C4092" s="14" t="s">
        <v>4110</v>
      </c>
      <c r="D4092" s="1"/>
      <c r="E4092" s="1"/>
      <c r="F4092" s="1" t="str">
        <f>IFERROR(__xludf.DUMMYFUNCTION("GOOGLETRANSLATE(B4092, ""en"", ""fa"")
"),"برنامه ریز عروسی")</f>
        <v>برنامه ریز عروسی</v>
      </c>
      <c r="G4092" s="1" t="str">
        <f>IFERROR(__xludf.DUMMYFUNCTION("GOOGLETRANSLATE(C4092, ""en"", ""fa"")
"),"ایده هایی برای گنجاندن مهرهای مومی شخصی، روبان ها، یا سایر تزیینات در دعوت نامه عروسی به اشتراک بگذارید.")</f>
        <v>ایده هایی برای گنجاندن مهرهای مومی شخصی، روبان ها، یا سایر تزیینات در دعوت نامه عروسی به اشتراک بگذارید.</v>
      </c>
      <c r="H4092" s="1"/>
      <c r="I4092" s="1"/>
      <c r="J4092" s="1"/>
      <c r="K4092" s="1"/>
      <c r="L4092" s="1"/>
      <c r="M4092" s="1"/>
      <c r="N4092" s="1"/>
      <c r="O4092" s="1"/>
      <c r="P4092" s="1"/>
      <c r="Q4092" s="1"/>
      <c r="R4092" s="1"/>
      <c r="S4092" s="1"/>
      <c r="T4092" s="1"/>
      <c r="U4092" s="1"/>
      <c r="V4092" s="1"/>
      <c r="W4092" s="1"/>
      <c r="X4092" s="1"/>
      <c r="Y4092" s="1"/>
      <c r="Z4092" s="1"/>
      <c r="AA4092" s="1"/>
      <c r="AB4092" s="1"/>
    </row>
    <row r="4093" ht="50.25" customHeight="1">
      <c r="A4093" s="12">
        <v>4089.0</v>
      </c>
      <c r="B4093" s="13" t="s">
        <v>3778</v>
      </c>
      <c r="C4093" s="14" t="s">
        <v>4111</v>
      </c>
      <c r="D4093" s="1"/>
      <c r="E4093" s="1"/>
      <c r="F4093" s="1" t="str">
        <f>IFERROR(__xludf.DUMMYFUNCTION("GOOGLETRANSLATE(B4093, ""en"", ""fa"")
"),"برنامه ریز عروسی")</f>
        <v>برنامه ریز عروسی</v>
      </c>
      <c r="G4093" s="1" t="str">
        <f>IFERROR(__xludf.DUMMYFUNCTION("GOOGLETRANSLATE(C4093, ""en"", ""fa"")
"),"چگونه زوج ها می توانند عکس ها یا تصاویر نامزدی خود را در لوازم التحریر عروسی خود بگنجانند؟")</f>
        <v>چگونه زوج ها می توانند عکس ها یا تصاویر نامزدی خود را در لوازم التحریر عروسی خود بگنجانند؟</v>
      </c>
      <c r="H4093" s="1"/>
      <c r="I4093" s="1"/>
      <c r="J4093" s="1"/>
      <c r="K4093" s="1"/>
      <c r="L4093" s="1"/>
      <c r="M4093" s="1"/>
      <c r="N4093" s="1"/>
      <c r="O4093" s="1"/>
      <c r="P4093" s="1"/>
      <c r="Q4093" s="1"/>
      <c r="R4093" s="1"/>
      <c r="S4093" s="1"/>
      <c r="T4093" s="1"/>
      <c r="U4093" s="1"/>
      <c r="V4093" s="1"/>
      <c r="W4093" s="1"/>
      <c r="X4093" s="1"/>
      <c r="Y4093" s="1"/>
      <c r="Z4093" s="1"/>
      <c r="AA4093" s="1"/>
      <c r="AB4093" s="1"/>
    </row>
    <row r="4094" ht="50.25" customHeight="1">
      <c r="A4094" s="12">
        <v>4090.0</v>
      </c>
      <c r="B4094" s="13" t="s">
        <v>3778</v>
      </c>
      <c r="C4094" s="14" t="s">
        <v>4112</v>
      </c>
      <c r="D4094" s="1"/>
      <c r="E4094" s="1"/>
      <c r="F4094" s="1" t="str">
        <f>IFERROR(__xludf.DUMMYFUNCTION("GOOGLETRANSLATE(B4094, ""en"", ""fa"")
"),"برنامه ریز عروسی")</f>
        <v>برنامه ریز عروسی</v>
      </c>
      <c r="G4094" s="1" t="str">
        <f>IFERROR(__xludf.DUMMYFUNCTION("GOOGLETRANSLATE(C4094, ""en"", ""fa"")
"),"بهترین روش ها برای مدیریت جدول زمانی و مهلت های طراحی و ارسال دعوت نامه عروسی چیست؟")</f>
        <v>بهترین روش ها برای مدیریت جدول زمانی و مهلت های طراحی و ارسال دعوت نامه عروسی چیست؟</v>
      </c>
      <c r="H4094" s="1"/>
      <c r="I4094" s="1"/>
      <c r="J4094" s="1"/>
      <c r="K4094" s="1"/>
      <c r="L4094" s="1"/>
      <c r="M4094" s="1"/>
      <c r="N4094" s="1"/>
      <c r="O4094" s="1"/>
      <c r="P4094" s="1"/>
      <c r="Q4094" s="1"/>
      <c r="R4094" s="1"/>
      <c r="S4094" s="1"/>
      <c r="T4094" s="1"/>
      <c r="U4094" s="1"/>
      <c r="V4094" s="1"/>
      <c r="W4094" s="1"/>
      <c r="X4094" s="1"/>
      <c r="Y4094" s="1"/>
      <c r="Z4094" s="1"/>
      <c r="AA4094" s="1"/>
      <c r="AB4094" s="1"/>
    </row>
    <row r="4095" ht="50.25" customHeight="1">
      <c r="A4095" s="12">
        <v>4091.0</v>
      </c>
      <c r="B4095" s="13" t="s">
        <v>3778</v>
      </c>
      <c r="C4095" s="14" t="s">
        <v>4113</v>
      </c>
      <c r="D4095" s="1"/>
      <c r="E4095" s="1"/>
      <c r="F4095" s="1" t="str">
        <f>IFERROR(__xludf.DUMMYFUNCTION("GOOGLETRANSLATE(B4095, ""en"", ""fa"")
"),"برنامه ریز عروسی")</f>
        <v>برنامه ریز عروسی</v>
      </c>
      <c r="G4095" s="1" t="str">
        <f>IFERROR(__xludf.DUMMYFUNCTION("GOOGLETRANSLATE(C4095, ""en"", ""fa"")
"),"برخی از استراتژی‌ها را برای انتخاب جمله‌بندی دعوت‌نامه که شامل انواع مختلف مهمانان می‌شود، به اشتراک بگذارید.")</f>
        <v>برخی از استراتژی‌ها را برای انتخاب جمله‌بندی دعوت‌نامه که شامل انواع مختلف مهمانان می‌شود، به اشتراک بگذارید.</v>
      </c>
      <c r="H4095" s="1"/>
      <c r="I4095" s="1"/>
      <c r="J4095" s="1"/>
      <c r="K4095" s="1"/>
      <c r="L4095" s="1"/>
      <c r="M4095" s="1"/>
      <c r="N4095" s="1"/>
      <c r="O4095" s="1"/>
      <c r="P4095" s="1"/>
      <c r="Q4095" s="1"/>
      <c r="R4095" s="1"/>
      <c r="S4095" s="1"/>
      <c r="T4095" s="1"/>
      <c r="U4095" s="1"/>
      <c r="V4095" s="1"/>
      <c r="W4095" s="1"/>
      <c r="X4095" s="1"/>
      <c r="Y4095" s="1"/>
      <c r="Z4095" s="1"/>
      <c r="AA4095" s="1"/>
      <c r="AB4095" s="1"/>
    </row>
    <row r="4096" ht="50.25" customHeight="1">
      <c r="A4096" s="12">
        <v>4092.0</v>
      </c>
      <c r="B4096" s="13" t="s">
        <v>3778</v>
      </c>
      <c r="C4096" s="14" t="s">
        <v>4114</v>
      </c>
      <c r="D4096" s="1"/>
      <c r="E4096" s="1"/>
      <c r="F4096" s="1" t="str">
        <f>IFERROR(__xludf.DUMMYFUNCTION("GOOGLETRANSLATE(B4096, ""en"", ""fa"")
"),"برنامه ریز عروسی")</f>
        <v>برنامه ریز عروسی</v>
      </c>
      <c r="G4096" s="1" t="str">
        <f>IFERROR(__xludf.DUMMYFUNCTION("GOOGLETRANSLATE(C4096, ""en"", ""fa"")
"),"چگونه برنامه ریزان عروسی می توانند به زوج ها در ایجاد نقشه ها یا مسیرهای سفارشی برای دعوت عروسی خود کمک کنند؟")</f>
        <v>چگونه برنامه ریزان عروسی می توانند به زوج ها در ایجاد نقشه ها یا مسیرهای سفارشی برای دعوت عروسی خود کمک کنند؟</v>
      </c>
      <c r="H4096" s="1"/>
      <c r="I4096" s="1"/>
      <c r="J4096" s="1"/>
      <c r="K4096" s="1"/>
      <c r="L4096" s="1"/>
      <c r="M4096" s="1"/>
      <c r="N4096" s="1"/>
      <c r="O4096" s="1"/>
      <c r="P4096" s="1"/>
      <c r="Q4096" s="1"/>
      <c r="R4096" s="1"/>
      <c r="S4096" s="1"/>
      <c r="T4096" s="1"/>
      <c r="U4096" s="1"/>
      <c r="V4096" s="1"/>
      <c r="W4096" s="1"/>
      <c r="X4096" s="1"/>
      <c r="Y4096" s="1"/>
      <c r="Z4096" s="1"/>
      <c r="AA4096" s="1"/>
      <c r="AB4096" s="1"/>
    </row>
    <row r="4097" ht="50.25" customHeight="1">
      <c r="A4097" s="12">
        <v>4093.0</v>
      </c>
      <c r="B4097" s="13" t="s">
        <v>3778</v>
      </c>
      <c r="C4097" s="14" t="s">
        <v>4115</v>
      </c>
      <c r="D4097" s="1"/>
      <c r="E4097" s="1"/>
      <c r="F4097" s="1" t="str">
        <f>IFERROR(__xludf.DUMMYFUNCTION("GOOGLETRANSLATE(B4097, ""en"", ""fa"")
"),"برنامه ریز عروسی")</f>
        <v>برنامه ریز عروسی</v>
      </c>
      <c r="G4097" s="1" t="str">
        <f>IFERROR(__xludf.DUMMYFUNCTION("GOOGLETRANSLATE(C4097, ""en"", ""fa"")
"),"ملاحظات کلیدی برای انتخاب طرح‌ها و رنگ‌های پاکت نامه که تاثیر اولیه را بر جای می‌گذارد چیست؟")</f>
        <v>ملاحظات کلیدی برای انتخاب طرح‌ها و رنگ‌های پاکت نامه که تاثیر اولیه را بر جای می‌گذارد چیست؟</v>
      </c>
      <c r="H4097" s="1"/>
      <c r="I4097" s="1"/>
      <c r="J4097" s="1"/>
      <c r="K4097" s="1"/>
      <c r="L4097" s="1"/>
      <c r="M4097" s="1"/>
      <c r="N4097" s="1"/>
      <c r="O4097" s="1"/>
      <c r="P4097" s="1"/>
      <c r="Q4097" s="1"/>
      <c r="R4097" s="1"/>
      <c r="S4097" s="1"/>
      <c r="T4097" s="1"/>
      <c r="U4097" s="1"/>
      <c r="V4097" s="1"/>
      <c r="W4097" s="1"/>
      <c r="X4097" s="1"/>
      <c r="Y4097" s="1"/>
      <c r="Z4097" s="1"/>
      <c r="AA4097" s="1"/>
      <c r="AB4097" s="1"/>
    </row>
    <row r="4098" ht="50.25" customHeight="1">
      <c r="A4098" s="12">
        <v>4094.0</v>
      </c>
      <c r="B4098" s="13" t="s">
        <v>3778</v>
      </c>
      <c r="C4098" s="14" t="s">
        <v>4116</v>
      </c>
      <c r="D4098" s="1"/>
      <c r="E4098" s="1"/>
      <c r="F4098" s="1" t="str">
        <f>IFERROR(__xludf.DUMMYFUNCTION("GOOGLETRANSLATE(B4098, ""en"", ""fa"")
"),"برنامه ریز عروسی")</f>
        <v>برنامه ریز عروسی</v>
      </c>
      <c r="G4098" s="1" t="str">
        <f>IFERROR(__xludf.DUMMYFUNCTION("GOOGLETRANSLATE(C4098, ""en"", ""fa"")
"),"نکاتی را برای طراحی و نوشتن برنامه های عروسی یا جزوه های مراسم به اشتراک بگذارید.")</f>
        <v>نکاتی را برای طراحی و نوشتن برنامه های عروسی یا جزوه های مراسم به اشتراک بگذارید.</v>
      </c>
      <c r="H4098" s="1"/>
      <c r="I4098" s="1"/>
      <c r="J4098" s="1"/>
      <c r="K4098" s="1"/>
      <c r="L4098" s="1"/>
      <c r="M4098" s="1"/>
      <c r="N4098" s="1"/>
      <c r="O4098" s="1"/>
      <c r="P4098" s="1"/>
      <c r="Q4098" s="1"/>
      <c r="R4098" s="1"/>
      <c r="S4098" s="1"/>
      <c r="T4098" s="1"/>
      <c r="U4098" s="1"/>
      <c r="V4098" s="1"/>
      <c r="W4098" s="1"/>
      <c r="X4098" s="1"/>
      <c r="Y4098" s="1"/>
      <c r="Z4098" s="1"/>
      <c r="AA4098" s="1"/>
      <c r="AB4098" s="1"/>
    </row>
    <row r="4099" ht="50.25" customHeight="1">
      <c r="A4099" s="12">
        <v>4095.0</v>
      </c>
      <c r="B4099" s="13" t="s">
        <v>3778</v>
      </c>
      <c r="C4099" s="14" t="s">
        <v>4117</v>
      </c>
      <c r="D4099" s="1"/>
      <c r="E4099" s="1"/>
      <c r="F4099" s="1" t="str">
        <f>IFERROR(__xludf.DUMMYFUNCTION("GOOGLETRANSLATE(B4099, ""en"", ""fa"")
"),"برنامه ریز عروسی")</f>
        <v>برنامه ریز عروسی</v>
      </c>
      <c r="G4099" s="1" t="str">
        <f>IFERROR(__xludf.DUMMYFUNCTION("GOOGLETRANSLATE(C4099, ""en"", ""fa"")
"),"چگونه زوج ها می توانند تم یا موتیف عروسی خود را در طراحی کارت های RSVP خود بگنجانند؟")</f>
        <v>چگونه زوج ها می توانند تم یا موتیف عروسی خود را در طراحی کارت های RSVP خود بگنجانند؟</v>
      </c>
      <c r="H4099" s="1"/>
      <c r="I4099" s="1"/>
      <c r="J4099" s="1"/>
      <c r="K4099" s="1"/>
      <c r="L4099" s="1"/>
      <c r="M4099" s="1"/>
      <c r="N4099" s="1"/>
      <c r="O4099" s="1"/>
      <c r="P4099" s="1"/>
      <c r="Q4099" s="1"/>
      <c r="R4099" s="1"/>
      <c r="S4099" s="1"/>
      <c r="T4099" s="1"/>
      <c r="U4099" s="1"/>
      <c r="V4099" s="1"/>
      <c r="W4099" s="1"/>
      <c r="X4099" s="1"/>
      <c r="Y4099" s="1"/>
      <c r="Z4099" s="1"/>
      <c r="AA4099" s="1"/>
      <c r="AB4099" s="1"/>
    </row>
    <row r="4100" ht="50.25" customHeight="1">
      <c r="A4100" s="12">
        <v>4096.0</v>
      </c>
      <c r="B4100" s="13" t="s">
        <v>3778</v>
      </c>
      <c r="C4100" s="14" t="s">
        <v>4118</v>
      </c>
      <c r="D4100" s="1"/>
      <c r="E4100" s="1"/>
      <c r="F4100" s="1" t="str">
        <f>IFERROR(__xludf.DUMMYFUNCTION("GOOGLETRANSLATE(B4100, ""en"", ""fa"")
"),"برنامه ریز عروسی")</f>
        <v>برنامه ریز عروسی</v>
      </c>
      <c r="G4100" s="1" t="str">
        <f>IFERROR(__xludf.DUMMYFUNCTION("GOOGLETRANSLATE(C4100, ""en"", ""fa"")
"),"هنگام ارزیابی خوانایی و خوانایی فونت دعوت چه عواملی ضروری است؟")</f>
        <v>هنگام ارزیابی خوانایی و خوانایی فونت دعوت چه عواملی ضروری است؟</v>
      </c>
      <c r="H4100" s="1"/>
      <c r="I4100" s="1"/>
      <c r="J4100" s="1"/>
      <c r="K4100" s="1"/>
      <c r="L4100" s="1"/>
      <c r="M4100" s="1"/>
      <c r="N4100" s="1"/>
      <c r="O4100" s="1"/>
      <c r="P4100" s="1"/>
      <c r="Q4100" s="1"/>
      <c r="R4100" s="1"/>
      <c r="S4100" s="1"/>
      <c r="T4100" s="1"/>
      <c r="U4100" s="1"/>
      <c r="V4100" s="1"/>
      <c r="W4100" s="1"/>
      <c r="X4100" s="1"/>
      <c r="Y4100" s="1"/>
      <c r="Z4100" s="1"/>
      <c r="AA4100" s="1"/>
      <c r="AB4100" s="1"/>
    </row>
    <row r="4101" ht="50.25" customHeight="1">
      <c r="A4101" s="12">
        <v>4097.0</v>
      </c>
      <c r="B4101" s="13" t="s">
        <v>3778</v>
      </c>
      <c r="C4101" s="14" t="s">
        <v>4119</v>
      </c>
      <c r="D4101" s="1"/>
      <c r="E4101" s="1"/>
      <c r="F4101" s="1" t="str">
        <f>IFERROR(__xludf.DUMMYFUNCTION("GOOGLETRANSLATE(B4101, ""en"", ""fa"")
"),"برنامه ریز عروسی")</f>
        <v>برنامه ریز عروسی</v>
      </c>
      <c r="G4101" s="1" t="str">
        <f>IFERROR(__xludf.DUMMYFUNCTION("GOOGLETRANSLATE(C4101, ""en"", ""fa"")
"),"ایده هایی را برای ترکیب عناصر منحصر به فرد و تعاملی در لوازم التحریر عروسی، مانند ویژگی های پاپ آپ یا جزئیات خراش، به اشتراک بگذارید.")</f>
        <v>ایده هایی را برای ترکیب عناصر منحصر به فرد و تعاملی در لوازم التحریر عروسی، مانند ویژگی های پاپ آپ یا جزئیات خراش، به اشتراک بگذارید.</v>
      </c>
      <c r="H4101" s="1"/>
      <c r="I4101" s="1"/>
      <c r="J4101" s="1"/>
      <c r="K4101" s="1"/>
      <c r="L4101" s="1"/>
      <c r="M4101" s="1"/>
      <c r="N4101" s="1"/>
      <c r="O4101" s="1"/>
      <c r="P4101" s="1"/>
      <c r="Q4101" s="1"/>
      <c r="R4101" s="1"/>
      <c r="S4101" s="1"/>
      <c r="T4101" s="1"/>
      <c r="U4101" s="1"/>
      <c r="V4101" s="1"/>
      <c r="W4101" s="1"/>
      <c r="X4101" s="1"/>
      <c r="Y4101" s="1"/>
      <c r="Z4101" s="1"/>
      <c r="AA4101" s="1"/>
      <c r="AB4101" s="1"/>
    </row>
    <row r="4102" ht="50.25" customHeight="1">
      <c r="A4102" s="12">
        <v>4098.0</v>
      </c>
      <c r="B4102" s="13" t="s">
        <v>3778</v>
      </c>
      <c r="C4102" s="14" t="s">
        <v>4120</v>
      </c>
      <c r="D4102" s="1"/>
      <c r="E4102" s="1"/>
      <c r="F4102" s="1" t="str">
        <f>IFERROR(__xludf.DUMMYFUNCTION("GOOGLETRANSLATE(B4102, ""en"", ""fa"")
"),"برنامه ریز عروسی")</f>
        <v>برنامه ریز عروسی</v>
      </c>
      <c r="G4102" s="1" t="str">
        <f>IFERROR(__xludf.DUMMYFUNCTION("GOOGLETRANSLATE(C4102, ""en"", ""fa"")
"),"برنامه ریزان عروسی چگونه می توانند به زوج ها در مدیریت چاپ و ارسال کارت های تشکر بعد از عروسی کمک کنند؟")</f>
        <v>برنامه ریزان عروسی چگونه می توانند به زوج ها در مدیریت چاپ و ارسال کارت های تشکر بعد از عروسی کمک کنند؟</v>
      </c>
      <c r="H4102" s="1"/>
      <c r="I4102" s="1"/>
      <c r="J4102" s="1"/>
      <c r="K4102" s="1"/>
      <c r="L4102" s="1"/>
      <c r="M4102" s="1"/>
      <c r="N4102" s="1"/>
      <c r="O4102" s="1"/>
      <c r="P4102" s="1"/>
      <c r="Q4102" s="1"/>
      <c r="R4102" s="1"/>
      <c r="S4102" s="1"/>
      <c r="T4102" s="1"/>
      <c r="U4102" s="1"/>
      <c r="V4102" s="1"/>
      <c r="W4102" s="1"/>
      <c r="X4102" s="1"/>
      <c r="Y4102" s="1"/>
      <c r="Z4102" s="1"/>
      <c r="AA4102" s="1"/>
      <c r="AB4102" s="1"/>
    </row>
    <row r="4103" ht="50.25" customHeight="1">
      <c r="A4103" s="12">
        <v>4099.0</v>
      </c>
      <c r="B4103" s="13" t="s">
        <v>3778</v>
      </c>
      <c r="C4103" s="14" t="s">
        <v>4121</v>
      </c>
      <c r="D4103" s="1"/>
      <c r="E4103" s="1"/>
      <c r="F4103" s="1" t="str">
        <f>IFERROR(__xludf.DUMMYFUNCTION("GOOGLETRANSLATE(B4103, ""en"", ""fa"")
"),"برنامه ریز عروسی")</f>
        <v>برنامه ریز عروسی</v>
      </c>
      <c r="G4103" s="1" t="str">
        <f>IFERROR(__xludf.DUMMYFUNCTION("GOOGLETRANSLATE(C4103, ""en"", ""fa"")
"),"ملاحظات کلیدی برای انتخاب طرح های دعوت که منعکس کننده شخصیت و علایق زوج هستند چیست؟")</f>
        <v>ملاحظات کلیدی برای انتخاب طرح های دعوت که منعکس کننده شخصیت و علایق زوج هستند چیست؟</v>
      </c>
      <c r="H4103" s="1"/>
      <c r="I4103" s="1"/>
      <c r="J4103" s="1"/>
      <c r="K4103" s="1"/>
      <c r="L4103" s="1"/>
      <c r="M4103" s="1"/>
      <c r="N4103" s="1"/>
      <c r="O4103" s="1"/>
      <c r="P4103" s="1"/>
      <c r="Q4103" s="1"/>
      <c r="R4103" s="1"/>
      <c r="S4103" s="1"/>
      <c r="T4103" s="1"/>
      <c r="U4103" s="1"/>
      <c r="V4103" s="1"/>
      <c r="W4103" s="1"/>
      <c r="X4103" s="1"/>
      <c r="Y4103" s="1"/>
      <c r="Z4103" s="1"/>
      <c r="AA4103" s="1"/>
      <c r="AB4103" s="1"/>
    </row>
    <row r="4104" ht="50.25" customHeight="1">
      <c r="A4104" s="12">
        <v>4100.0</v>
      </c>
      <c r="B4104" s="13" t="s">
        <v>3778</v>
      </c>
      <c r="C4104" s="14" t="s">
        <v>4122</v>
      </c>
      <c r="D4104" s="1"/>
      <c r="E4104" s="1"/>
      <c r="F4104" s="1" t="str">
        <f>IFERROR(__xludf.DUMMYFUNCTION("GOOGLETRANSLATE(B4104, ""en"", ""fa"")
"),"برنامه ریز عروسی")</f>
        <v>برنامه ریز عروسی</v>
      </c>
      <c r="G4104" s="1" t="str">
        <f>IFERROR(__xludf.DUMMYFUNCTION("GOOGLETRANSLATE(C4104, ""en"", ""fa"")
"),"برخی از استراتژی‌ها را برای مدیریت فهرست مهمانان و ترتیب نشستن از طریق کارت‌های محل عروسی یا کارت‌های اسکورت به اشتراک بگذارید.")</f>
        <v>برخی از استراتژی‌ها را برای مدیریت فهرست مهمانان و ترتیب نشستن از طریق کارت‌های محل عروسی یا کارت‌های اسکورت به اشتراک بگذارید.</v>
      </c>
      <c r="H4104" s="1"/>
      <c r="I4104" s="1"/>
      <c r="J4104" s="1"/>
      <c r="K4104" s="1"/>
      <c r="L4104" s="1"/>
      <c r="M4104" s="1"/>
      <c r="N4104" s="1"/>
      <c r="O4104" s="1"/>
      <c r="P4104" s="1"/>
      <c r="Q4104" s="1"/>
      <c r="R4104" s="1"/>
      <c r="S4104" s="1"/>
      <c r="T4104" s="1"/>
      <c r="U4104" s="1"/>
      <c r="V4104" s="1"/>
      <c r="W4104" s="1"/>
      <c r="X4104" s="1"/>
      <c r="Y4104" s="1"/>
      <c r="Z4104" s="1"/>
      <c r="AA4104" s="1"/>
      <c r="AB4104" s="1"/>
    </row>
    <row r="4105" ht="50.25" customHeight="1">
      <c r="A4105" s="12">
        <v>4101.0</v>
      </c>
      <c r="B4105" s="13" t="s">
        <v>3778</v>
      </c>
      <c r="C4105" s="14" t="s">
        <v>4123</v>
      </c>
      <c r="D4105" s="1"/>
      <c r="E4105" s="1"/>
      <c r="F4105" s="1" t="str">
        <f>IFERROR(__xludf.DUMMYFUNCTION("GOOGLETRANSLATE(B4105, ""en"", ""fa"")
"),"برنامه ریز عروسی")</f>
        <v>برنامه ریز عروسی</v>
      </c>
      <c r="G4105" s="1" t="str">
        <f>IFERROR(__xludf.DUMMYFUNCTION("GOOGLETRANSLATE(C4105, ""en"", ""fa"")
"),"چگونه زوج ها می توانند طرح های دعوتی را انتخاب کنند که رسمی یا غیر رسمی بودن مراسم عروسی خود را نشان دهد؟")</f>
        <v>چگونه زوج ها می توانند طرح های دعوتی را انتخاب کنند که رسمی یا غیر رسمی بودن مراسم عروسی خود را نشان دهد؟</v>
      </c>
      <c r="H4105" s="1"/>
      <c r="I4105" s="1"/>
      <c r="J4105" s="1"/>
      <c r="K4105" s="1"/>
      <c r="L4105" s="1"/>
      <c r="M4105" s="1"/>
      <c r="N4105" s="1"/>
      <c r="O4105" s="1"/>
      <c r="P4105" s="1"/>
      <c r="Q4105" s="1"/>
      <c r="R4105" s="1"/>
      <c r="S4105" s="1"/>
      <c r="T4105" s="1"/>
      <c r="U4105" s="1"/>
      <c r="V4105" s="1"/>
      <c r="W4105" s="1"/>
      <c r="X4105" s="1"/>
      <c r="Y4105" s="1"/>
      <c r="Z4105" s="1"/>
      <c r="AA4105" s="1"/>
      <c r="AB4105" s="1"/>
    </row>
    <row r="4106" ht="50.25" customHeight="1">
      <c r="A4106" s="12">
        <v>4102.0</v>
      </c>
      <c r="B4106" s="13" t="s">
        <v>3778</v>
      </c>
      <c r="C4106" s="14" t="s">
        <v>4124</v>
      </c>
      <c r="D4106" s="1"/>
      <c r="E4106" s="1"/>
      <c r="F4106" s="1" t="str">
        <f>IFERROR(__xludf.DUMMYFUNCTION("GOOGLETRANSLATE(B4106, ""en"", ""fa"")
"),"برنامه ریز عروسی")</f>
        <v>برنامه ریز عروسی</v>
      </c>
      <c r="G4106" s="1" t="str">
        <f>IFERROR(__xludf.DUMMYFUNCTION("GOOGLETRANSLATE(C4106, ""en"", ""fa"")
"),"بهترین روش ها برای مدیریت دعوت نامه های عروسی دو زبانه یا چند زبانه برای عروسی های بین المللی یا چند فرهنگی چیست؟")</f>
        <v>بهترین روش ها برای مدیریت دعوت نامه های عروسی دو زبانه یا چند زبانه برای عروسی های بین المللی یا چند فرهنگی چیست؟</v>
      </c>
      <c r="H4106" s="1"/>
      <c r="I4106" s="1"/>
      <c r="J4106" s="1"/>
      <c r="K4106" s="1"/>
      <c r="L4106" s="1"/>
      <c r="M4106" s="1"/>
      <c r="N4106" s="1"/>
      <c r="O4106" s="1"/>
      <c r="P4106" s="1"/>
      <c r="Q4106" s="1"/>
      <c r="R4106" s="1"/>
      <c r="S4106" s="1"/>
      <c r="T4106" s="1"/>
      <c r="U4106" s="1"/>
      <c r="V4106" s="1"/>
      <c r="W4106" s="1"/>
      <c r="X4106" s="1"/>
      <c r="Y4106" s="1"/>
      <c r="Z4106" s="1"/>
      <c r="AA4106" s="1"/>
      <c r="AB4106" s="1"/>
    </row>
    <row r="4107" ht="50.25" customHeight="1">
      <c r="A4107" s="12">
        <v>4103.0</v>
      </c>
      <c r="B4107" s="13" t="s">
        <v>3778</v>
      </c>
      <c r="C4107" s="14" t="s">
        <v>4125</v>
      </c>
      <c r="D4107" s="1"/>
      <c r="E4107" s="1"/>
      <c r="F4107" s="1" t="str">
        <f>IFERROR(__xludf.DUMMYFUNCTION("GOOGLETRANSLATE(B4107, ""en"", ""fa"")
"),"برنامه ریز عروسی")</f>
        <v>برنامه ریز عروسی</v>
      </c>
      <c r="G4107" s="1" t="str">
        <f>IFERROR(__xludf.DUMMYFUNCTION("GOOGLETRANSLATE(C4107, ""en"", ""fa"")
"),"نکاتی را برای ایجاد یک هویت بصری منسجم و منسجم در میان اقلام مختلف لوازم التحریر عروسی، مانند منوها و شماره میزها به اشتراک بگذارید.")</f>
        <v>نکاتی را برای ایجاد یک هویت بصری منسجم و منسجم در میان اقلام مختلف لوازم التحریر عروسی، مانند منوها و شماره میزها به اشتراک بگذارید.</v>
      </c>
      <c r="H4107" s="1"/>
      <c r="I4107" s="1"/>
      <c r="J4107" s="1"/>
      <c r="K4107" s="1"/>
      <c r="L4107" s="1"/>
      <c r="M4107" s="1"/>
      <c r="N4107" s="1"/>
      <c r="O4107" s="1"/>
      <c r="P4107" s="1"/>
      <c r="Q4107" s="1"/>
      <c r="R4107" s="1"/>
      <c r="S4107" s="1"/>
      <c r="T4107" s="1"/>
      <c r="U4107" s="1"/>
      <c r="V4107" s="1"/>
      <c r="W4107" s="1"/>
      <c r="X4107" s="1"/>
      <c r="Y4107" s="1"/>
      <c r="Z4107" s="1"/>
      <c r="AA4107" s="1"/>
      <c r="AB4107" s="1"/>
    </row>
    <row r="4108" ht="50.25" customHeight="1">
      <c r="A4108" s="12">
        <v>4104.0</v>
      </c>
      <c r="B4108" s="13" t="s">
        <v>3778</v>
      </c>
      <c r="C4108" s="14" t="s">
        <v>4126</v>
      </c>
      <c r="D4108" s="1"/>
      <c r="E4108" s="1"/>
      <c r="F4108" s="1" t="str">
        <f>IFERROR(__xludf.DUMMYFUNCTION("GOOGLETRANSLATE(B4108, ""en"", ""fa"")
"),"برنامه ریز عروسی")</f>
        <v>برنامه ریز عروسی</v>
      </c>
      <c r="G4108" s="1" t="str">
        <f>IFERROR(__xludf.DUMMYFUNCTION("GOOGLETRANSLATE(C4108, ""en"", ""fa"")
"),"برنامه ریزان عروسی چگونه می توانند به زوج ها در ایجاد آستر پاکت نامه سفارشی یا مهر و موم پاکت برای دعوت نامه هایشان کمک کنند؟")</f>
        <v>برنامه ریزان عروسی چگونه می توانند به زوج ها در ایجاد آستر پاکت نامه سفارشی یا مهر و موم پاکت برای دعوت نامه هایشان کمک کنند؟</v>
      </c>
      <c r="H4108" s="1"/>
      <c r="I4108" s="1"/>
      <c r="J4108" s="1"/>
      <c r="K4108" s="1"/>
      <c r="L4108" s="1"/>
      <c r="M4108" s="1"/>
      <c r="N4108" s="1"/>
      <c r="O4108" s="1"/>
      <c r="P4108" s="1"/>
      <c r="Q4108" s="1"/>
      <c r="R4108" s="1"/>
      <c r="S4108" s="1"/>
      <c r="T4108" s="1"/>
      <c r="U4108" s="1"/>
      <c r="V4108" s="1"/>
      <c r="W4108" s="1"/>
      <c r="X4108" s="1"/>
      <c r="Y4108" s="1"/>
      <c r="Z4108" s="1"/>
      <c r="AA4108" s="1"/>
      <c r="AB4108" s="1"/>
    </row>
    <row r="4109" ht="50.25" customHeight="1">
      <c r="A4109" s="12">
        <v>4105.0</v>
      </c>
      <c r="B4109" s="13" t="s">
        <v>3778</v>
      </c>
      <c r="C4109" s="14" t="s">
        <v>4127</v>
      </c>
      <c r="D4109" s="1"/>
      <c r="E4109" s="1"/>
      <c r="F4109" s="1" t="str">
        <f>IFERROR(__xludf.DUMMYFUNCTION("GOOGLETRANSLATE(B4109, ""en"", ""fa"")
"),"برنامه ریز عروسی")</f>
        <v>برنامه ریز عروسی</v>
      </c>
      <c r="G4109" s="1" t="str">
        <f>IFERROR(__xludf.DUMMYFUNCTION("GOOGLETRANSLATE(C4109, ""en"", ""fa"")
"),"هنگام ارزیابی خوانایی و در دسترس بودن متن دعوت برای مهمانان دارای اختلالات بینایی چه عواملی ضروری است؟")</f>
        <v>هنگام ارزیابی خوانایی و در دسترس بودن متن دعوت برای مهمانان دارای اختلالات بینایی چه عواملی ضروری است؟</v>
      </c>
      <c r="H4109" s="1"/>
      <c r="I4109" s="1"/>
      <c r="J4109" s="1"/>
      <c r="K4109" s="1"/>
      <c r="L4109" s="1"/>
      <c r="M4109" s="1"/>
      <c r="N4109" s="1"/>
      <c r="O4109" s="1"/>
      <c r="P4109" s="1"/>
      <c r="Q4109" s="1"/>
      <c r="R4109" s="1"/>
      <c r="S4109" s="1"/>
      <c r="T4109" s="1"/>
      <c r="U4109" s="1"/>
      <c r="V4109" s="1"/>
      <c r="W4109" s="1"/>
      <c r="X4109" s="1"/>
      <c r="Y4109" s="1"/>
      <c r="Z4109" s="1"/>
      <c r="AA4109" s="1"/>
      <c r="AB4109" s="1"/>
    </row>
    <row r="4110" ht="50.25" customHeight="1">
      <c r="A4110" s="12">
        <v>4106.0</v>
      </c>
      <c r="B4110" s="13" t="s">
        <v>3778</v>
      </c>
      <c r="C4110" s="14" t="s">
        <v>4128</v>
      </c>
      <c r="D4110" s="1"/>
      <c r="E4110" s="1"/>
      <c r="F4110" s="1" t="str">
        <f>IFERROR(__xludf.DUMMYFUNCTION("GOOGLETRANSLATE(B4110, ""en"", ""fa"")
"),"برنامه ریز عروسی")</f>
        <v>برنامه ریز عروسی</v>
      </c>
      <c r="G4110" s="1" t="str">
        <f>IFERROR(__xludf.DUMMYFUNCTION("GOOGLETRANSLATE(C4110, ""en"", ""fa"")
"),"ایده هایی برای گنجاندن اشکال و قالب های غیر سنتی یا غیر متعارف در دعوت نامه عروسی به اشتراک بگذارید.")</f>
        <v>ایده هایی برای گنجاندن اشکال و قالب های غیر سنتی یا غیر متعارف در دعوت نامه عروسی به اشتراک بگذارید.</v>
      </c>
      <c r="H4110" s="1"/>
      <c r="I4110" s="1"/>
      <c r="J4110" s="1"/>
      <c r="K4110" s="1"/>
      <c r="L4110" s="1"/>
      <c r="M4110" s="1"/>
      <c r="N4110" s="1"/>
      <c r="O4110" s="1"/>
      <c r="P4110" s="1"/>
      <c r="Q4110" s="1"/>
      <c r="R4110" s="1"/>
      <c r="S4110" s="1"/>
      <c r="T4110" s="1"/>
      <c r="U4110" s="1"/>
      <c r="V4110" s="1"/>
      <c r="W4110" s="1"/>
      <c r="X4110" s="1"/>
      <c r="Y4110" s="1"/>
      <c r="Z4110" s="1"/>
      <c r="AA4110" s="1"/>
      <c r="AB4110" s="1"/>
    </row>
    <row r="4111" ht="50.25" customHeight="1">
      <c r="A4111" s="12">
        <v>4107.0</v>
      </c>
      <c r="B4111" s="13" t="s">
        <v>3778</v>
      </c>
      <c r="C4111" s="14" t="s">
        <v>4129</v>
      </c>
      <c r="D4111" s="1"/>
      <c r="E4111" s="1"/>
      <c r="F4111" s="1" t="str">
        <f>IFERROR(__xludf.DUMMYFUNCTION("GOOGLETRANSLATE(B4111, ""en"", ""fa"")
"),"برنامه ریز عروسی")</f>
        <v>برنامه ریز عروسی</v>
      </c>
      <c r="G4111" s="1" t="str">
        <f>IFERROR(__xludf.DUMMYFUNCTION("GOOGLETRANSLATE(C4111, ""en"", ""fa"")
"),"چگونه زوج ها می توانند طرح های دعوتی را انتخاب کنند که منعکس کننده فصل یا زمان سال عروسی آنها باشد؟")</f>
        <v>چگونه زوج ها می توانند طرح های دعوتی را انتخاب کنند که منعکس کننده فصل یا زمان سال عروسی آنها باشد؟</v>
      </c>
      <c r="H4111" s="1"/>
      <c r="I4111" s="1"/>
      <c r="J4111" s="1"/>
      <c r="K4111" s="1"/>
      <c r="L4111" s="1"/>
      <c r="M4111" s="1"/>
      <c r="N4111" s="1"/>
      <c r="O4111" s="1"/>
      <c r="P4111" s="1"/>
      <c r="Q4111" s="1"/>
      <c r="R4111" s="1"/>
      <c r="S4111" s="1"/>
      <c r="T4111" s="1"/>
      <c r="U4111" s="1"/>
      <c r="V4111" s="1"/>
      <c r="W4111" s="1"/>
      <c r="X4111" s="1"/>
      <c r="Y4111" s="1"/>
      <c r="Z4111" s="1"/>
      <c r="AA4111" s="1"/>
      <c r="AB4111" s="1"/>
    </row>
    <row r="4112" ht="50.25" customHeight="1">
      <c r="A4112" s="12">
        <v>4108.0</v>
      </c>
      <c r="B4112" s="13" t="s">
        <v>3778</v>
      </c>
      <c r="C4112" s="14" t="s">
        <v>4130</v>
      </c>
      <c r="D4112" s="1"/>
      <c r="E4112" s="1"/>
      <c r="F4112" s="1" t="str">
        <f>IFERROR(__xludf.DUMMYFUNCTION("GOOGLETRANSLATE(B4112, ""en"", ""fa"")
"),"برنامه ریز عروسی")</f>
        <v>برنامه ریز عروسی</v>
      </c>
      <c r="G4112" s="1" t="str">
        <f>IFERROR(__xludf.DUMMYFUNCTION("GOOGLETRANSLATE(C4112, ""en"", ""fa"")
"),"ملاحظات کلیدی برای انتخاب محفظه های دعوت، مانند کارت های پذیرش یا کارت های مسیر چیست؟")</f>
        <v>ملاحظات کلیدی برای انتخاب محفظه های دعوت، مانند کارت های پذیرش یا کارت های مسیر چیست؟</v>
      </c>
      <c r="H4112" s="1"/>
      <c r="I4112" s="1"/>
      <c r="J4112" s="1"/>
      <c r="K4112" s="1"/>
      <c r="L4112" s="1"/>
      <c r="M4112" s="1"/>
      <c r="N4112" s="1"/>
      <c r="O4112" s="1"/>
      <c r="P4112" s="1"/>
      <c r="Q4112" s="1"/>
      <c r="R4112" s="1"/>
      <c r="S4112" s="1"/>
      <c r="T4112" s="1"/>
      <c r="U4112" s="1"/>
      <c r="V4112" s="1"/>
      <c r="W4112" s="1"/>
      <c r="X4112" s="1"/>
      <c r="Y4112" s="1"/>
      <c r="Z4112" s="1"/>
      <c r="AA4112" s="1"/>
      <c r="AB4112" s="1"/>
    </row>
    <row r="4113" ht="50.25" customHeight="1">
      <c r="A4113" s="12">
        <v>4109.0</v>
      </c>
      <c r="B4113" s="13" t="s">
        <v>3778</v>
      </c>
      <c r="C4113" s="14" t="s">
        <v>4131</v>
      </c>
      <c r="D4113" s="1"/>
      <c r="E4113" s="1"/>
      <c r="F4113" s="1" t="str">
        <f>IFERROR(__xludf.DUMMYFUNCTION("GOOGLETRANSLATE(B4113, ""en"", ""fa"")
"),"برنامه ریز عروسی")</f>
        <v>برنامه ریز عروسی</v>
      </c>
      <c r="G4113" s="1" t="str">
        <f>IFERROR(__xludf.DUMMYFUNCTION("GOOGLETRANSLATE(C4113, ""en"", ""fa"")
"),"چند استراتژی برای مدیریت سازماندهی و ذخیره سازی نمونه ها و نمونه های اولیه دعوت عروسی را به اشتراک بگذارید.")</f>
        <v>چند استراتژی برای مدیریت سازماندهی و ذخیره سازی نمونه ها و نمونه های اولیه دعوت عروسی را به اشتراک بگذارید.</v>
      </c>
      <c r="H4113" s="1"/>
      <c r="I4113" s="1"/>
      <c r="J4113" s="1"/>
      <c r="K4113" s="1"/>
      <c r="L4113" s="1"/>
      <c r="M4113" s="1"/>
      <c r="N4113" s="1"/>
      <c r="O4113" s="1"/>
      <c r="P4113" s="1"/>
      <c r="Q4113" s="1"/>
      <c r="R4113" s="1"/>
      <c r="S4113" s="1"/>
      <c r="T4113" s="1"/>
      <c r="U4113" s="1"/>
      <c r="V4113" s="1"/>
      <c r="W4113" s="1"/>
      <c r="X4113" s="1"/>
      <c r="Y4113" s="1"/>
      <c r="Z4113" s="1"/>
      <c r="AA4113" s="1"/>
      <c r="AB4113" s="1"/>
    </row>
    <row r="4114" ht="50.25" customHeight="1">
      <c r="A4114" s="12">
        <v>4110.0</v>
      </c>
      <c r="B4114" s="13" t="s">
        <v>3778</v>
      </c>
      <c r="C4114" s="14" t="s">
        <v>4132</v>
      </c>
      <c r="D4114" s="1"/>
      <c r="E4114" s="1"/>
      <c r="F4114" s="1" t="str">
        <f>IFERROR(__xludf.DUMMYFUNCTION("GOOGLETRANSLATE(B4114, ""en"", ""fa"")
"),"برنامه ریز عروسی")</f>
        <v>برنامه ریز عروسی</v>
      </c>
      <c r="G4114" s="1" t="str">
        <f>IFERROR(__xludf.DUMMYFUNCTION("GOOGLETRANSLATE(C4114, ""en"", ""fa"")
"),"چگونه برنامه ریزان عروسی می توانند به زوج ها در طراحی و سفارش تگ ها یا برچسب های سفارشی عروسی کمک کنند؟")</f>
        <v>چگونه برنامه ریزان عروسی می توانند به زوج ها در طراحی و سفارش تگ ها یا برچسب های سفارشی عروسی کمک کنند؟</v>
      </c>
      <c r="H4114" s="1"/>
      <c r="I4114" s="1"/>
      <c r="J4114" s="1"/>
      <c r="K4114" s="1"/>
      <c r="L4114" s="1"/>
      <c r="M4114" s="1"/>
      <c r="N4114" s="1"/>
      <c r="O4114" s="1"/>
      <c r="P4114" s="1"/>
      <c r="Q4114" s="1"/>
      <c r="R4114" s="1"/>
      <c r="S4114" s="1"/>
      <c r="T4114" s="1"/>
      <c r="U4114" s="1"/>
      <c r="V4114" s="1"/>
      <c r="W4114" s="1"/>
      <c r="X4114" s="1"/>
      <c r="Y4114" s="1"/>
      <c r="Z4114" s="1"/>
      <c r="AA4114" s="1"/>
      <c r="AB4114" s="1"/>
    </row>
    <row r="4115" ht="50.25" customHeight="1">
      <c r="A4115" s="12">
        <v>4111.0</v>
      </c>
      <c r="B4115" s="13" t="s">
        <v>3778</v>
      </c>
      <c r="C4115" s="14" t="s">
        <v>4133</v>
      </c>
      <c r="D4115" s="1"/>
      <c r="E4115" s="1"/>
      <c r="F4115" s="1" t="str">
        <f>IFERROR(__xludf.DUMMYFUNCTION("GOOGLETRANSLATE(B4115, ""en"", ""fa"")
"),"برنامه ریز عروسی")</f>
        <v>برنامه ریز عروسی</v>
      </c>
      <c r="G4115" s="1" t="str">
        <f>IFERROR(__xludf.DUMMYFUNCTION("GOOGLETRANSLATE(C4115, ""en"", ""fa"")
"),"چه عناصر ضروری برای درج در جدول زمانی دعوت عروسی یا برنامه کارت رویدادها وجود دارد؟")</f>
        <v>چه عناصر ضروری برای درج در جدول زمانی دعوت عروسی یا برنامه کارت رویدادها وجود دارد؟</v>
      </c>
      <c r="H4115" s="1"/>
      <c r="I4115" s="1"/>
      <c r="J4115" s="1"/>
      <c r="K4115" s="1"/>
      <c r="L4115" s="1"/>
      <c r="M4115" s="1"/>
      <c r="N4115" s="1"/>
      <c r="O4115" s="1"/>
      <c r="P4115" s="1"/>
      <c r="Q4115" s="1"/>
      <c r="R4115" s="1"/>
      <c r="S4115" s="1"/>
      <c r="T4115" s="1"/>
      <c r="U4115" s="1"/>
      <c r="V4115" s="1"/>
      <c r="W4115" s="1"/>
      <c r="X4115" s="1"/>
      <c r="Y4115" s="1"/>
      <c r="Z4115" s="1"/>
      <c r="AA4115" s="1"/>
      <c r="AB4115" s="1"/>
    </row>
    <row r="4116" ht="50.25" customHeight="1">
      <c r="A4116" s="12">
        <v>4112.0</v>
      </c>
      <c r="B4116" s="13" t="s">
        <v>3778</v>
      </c>
      <c r="C4116" s="14" t="s">
        <v>4134</v>
      </c>
      <c r="D4116" s="1"/>
      <c r="E4116" s="1"/>
      <c r="F4116" s="1" t="str">
        <f>IFERROR(__xludf.DUMMYFUNCTION("GOOGLETRANSLATE(B4116, ""en"", ""fa"")
"),"برنامه ریز عروسی")</f>
        <v>برنامه ریز عروسی</v>
      </c>
      <c r="G4116" s="1" t="str">
        <f>IFERROR(__xludf.DUMMYFUNCTION("GOOGLETRANSLATE(C4116, ""en"", ""fa"")
"),"نکاتی را برای مدیریت تصحیح و ویرایش متن دعوت نامه عروسی به اشتراک بگذارید.")</f>
        <v>نکاتی را برای مدیریت تصحیح و ویرایش متن دعوت نامه عروسی به اشتراک بگذارید.</v>
      </c>
      <c r="H4116" s="1"/>
      <c r="I4116" s="1"/>
      <c r="J4116" s="1"/>
      <c r="K4116" s="1"/>
      <c r="L4116" s="1"/>
      <c r="M4116" s="1"/>
      <c r="N4116" s="1"/>
      <c r="O4116" s="1"/>
      <c r="P4116" s="1"/>
      <c r="Q4116" s="1"/>
      <c r="R4116" s="1"/>
      <c r="S4116" s="1"/>
      <c r="T4116" s="1"/>
      <c r="U4116" s="1"/>
      <c r="V4116" s="1"/>
      <c r="W4116" s="1"/>
      <c r="X4116" s="1"/>
      <c r="Y4116" s="1"/>
      <c r="Z4116" s="1"/>
      <c r="AA4116" s="1"/>
      <c r="AB4116" s="1"/>
    </row>
    <row r="4117" ht="50.25" customHeight="1">
      <c r="A4117" s="12">
        <v>4113.0</v>
      </c>
      <c r="B4117" s="13" t="s">
        <v>3778</v>
      </c>
      <c r="C4117" s="14" t="s">
        <v>4135</v>
      </c>
      <c r="D4117" s="1"/>
      <c r="E4117" s="1"/>
      <c r="F4117" s="1" t="str">
        <f>IFERROR(__xludf.DUMMYFUNCTION("GOOGLETRANSLATE(B4117, ""en"", ""fa"")
"),"برنامه ریز عروسی")</f>
        <v>برنامه ریز عروسی</v>
      </c>
      <c r="G4117" s="1" t="str">
        <f>IFERROR(__xludf.DUMMYFUNCTION("GOOGLETRANSLATE(C4117, ""en"", ""fa"")
"),"چگونه زوج ها می توانند هشتگ عروسی یا اطلاعات رسانه های اجتماعی خود را در لوازم التحریر عروسی خود بگنجانند؟")</f>
        <v>چگونه زوج ها می توانند هشتگ عروسی یا اطلاعات رسانه های اجتماعی خود را در لوازم التحریر عروسی خود بگنجانند؟</v>
      </c>
      <c r="H4117" s="1"/>
      <c r="I4117" s="1"/>
      <c r="J4117" s="1"/>
      <c r="K4117" s="1"/>
      <c r="L4117" s="1"/>
      <c r="M4117" s="1"/>
      <c r="N4117" s="1"/>
      <c r="O4117" s="1"/>
      <c r="P4117" s="1"/>
      <c r="Q4117" s="1"/>
      <c r="R4117" s="1"/>
      <c r="S4117" s="1"/>
      <c r="T4117" s="1"/>
      <c r="U4117" s="1"/>
      <c r="V4117" s="1"/>
      <c r="W4117" s="1"/>
      <c r="X4117" s="1"/>
      <c r="Y4117" s="1"/>
      <c r="Z4117" s="1"/>
      <c r="AA4117" s="1"/>
      <c r="AB4117" s="1"/>
    </row>
    <row r="4118" ht="50.25" customHeight="1">
      <c r="A4118" s="12">
        <v>4114.0</v>
      </c>
      <c r="B4118" s="13" t="s">
        <v>3778</v>
      </c>
      <c r="C4118" s="14" t="s">
        <v>4136</v>
      </c>
      <c r="D4118" s="1"/>
      <c r="E4118" s="1"/>
      <c r="F4118" s="1" t="str">
        <f>IFERROR(__xludf.DUMMYFUNCTION("GOOGLETRANSLATE(B4118, ""en"", ""fa"")
"),"برنامه ریز عروسی")</f>
        <v>برنامه ریز عروسی</v>
      </c>
      <c r="G4118" s="1" t="str">
        <f>IFERROR(__xludf.DUMMYFUNCTION("GOOGLETRANSLATE(C4118, ""en"", ""fa"")
"),"بهترین روش ها برای مدیریت ارسال و ارسال دعوت نامه عروسی به مهمانان بین المللی چیست؟")</f>
        <v>بهترین روش ها برای مدیریت ارسال و ارسال دعوت نامه عروسی به مهمانان بین المللی چیست؟</v>
      </c>
      <c r="H4118" s="1"/>
      <c r="I4118" s="1"/>
      <c r="J4118" s="1"/>
      <c r="K4118" s="1"/>
      <c r="L4118" s="1"/>
      <c r="M4118" s="1"/>
      <c r="N4118" s="1"/>
      <c r="O4118" s="1"/>
      <c r="P4118" s="1"/>
      <c r="Q4118" s="1"/>
      <c r="R4118" s="1"/>
      <c r="S4118" s="1"/>
      <c r="T4118" s="1"/>
      <c r="U4118" s="1"/>
      <c r="V4118" s="1"/>
      <c r="W4118" s="1"/>
      <c r="X4118" s="1"/>
      <c r="Y4118" s="1"/>
      <c r="Z4118" s="1"/>
      <c r="AA4118" s="1"/>
      <c r="AB4118" s="1"/>
    </row>
    <row r="4119" ht="50.25" customHeight="1">
      <c r="A4119" s="12">
        <v>4115.0</v>
      </c>
      <c r="B4119" s="13" t="s">
        <v>3778</v>
      </c>
      <c r="C4119" s="14" t="s">
        <v>4137</v>
      </c>
      <c r="D4119" s="1"/>
      <c r="E4119" s="1"/>
      <c r="F4119" s="1" t="str">
        <f>IFERROR(__xludf.DUMMYFUNCTION("GOOGLETRANSLATE(B4119, ""en"", ""fa"")
"),"برنامه ریز عروسی")</f>
        <v>برنامه ریز عروسی</v>
      </c>
      <c r="G4119" s="1" t="str">
        <f>IFERROR(__xludf.DUMMYFUNCTION("GOOGLETRANSLATE(C4119, ""en"", ""fa"")
"),"ایده هایی برای ایجاد کارت های تشکر عروسی منحصر به فرد و به یاد ماندنی که بیانگر قدردانی زن و شوهر است را به اشتراک بگذارید.")</f>
        <v>ایده هایی برای ایجاد کارت های تشکر عروسی منحصر به فرد و به یاد ماندنی که بیانگر قدردانی زن و شوهر است را به اشتراک بگذارید.</v>
      </c>
      <c r="H4119" s="1"/>
      <c r="I4119" s="1"/>
      <c r="J4119" s="1"/>
      <c r="K4119" s="1"/>
      <c r="L4119" s="1"/>
      <c r="M4119" s="1"/>
      <c r="N4119" s="1"/>
      <c r="O4119" s="1"/>
      <c r="P4119" s="1"/>
      <c r="Q4119" s="1"/>
      <c r="R4119" s="1"/>
      <c r="S4119" s="1"/>
      <c r="T4119" s="1"/>
      <c r="U4119" s="1"/>
      <c r="V4119" s="1"/>
      <c r="W4119" s="1"/>
      <c r="X4119" s="1"/>
      <c r="Y4119" s="1"/>
      <c r="Z4119" s="1"/>
      <c r="AA4119" s="1"/>
      <c r="AB4119" s="1"/>
    </row>
    <row r="4120" ht="50.25" customHeight="1">
      <c r="A4120" s="12">
        <v>4116.0</v>
      </c>
      <c r="B4120" s="13" t="s">
        <v>3778</v>
      </c>
      <c r="C4120" s="14" t="s">
        <v>4138</v>
      </c>
      <c r="D4120" s="1"/>
      <c r="E4120" s="1"/>
      <c r="F4120" s="1" t="str">
        <f>IFERROR(__xludf.DUMMYFUNCTION("GOOGLETRANSLATE(B4120, ""en"", ""fa"")
"),"برنامه ریز عروسی")</f>
        <v>برنامه ریز عروسی</v>
      </c>
      <c r="G4120" s="1" t="str">
        <f>IFERROR(__xludf.DUMMYFUNCTION("GOOGLETRANSLATE(C4120, ""en"", ""fa"")
"),"برخی از آداب و رسوم منحصر به فرد و معنی دار مراسم عروسی که زوج ها می توانند در عروسی خود بگنجانند چیست؟")</f>
        <v>برخی از آداب و رسوم منحصر به فرد و معنی دار مراسم عروسی که زوج ها می توانند در عروسی خود بگنجانند چیست؟</v>
      </c>
      <c r="H4120" s="1"/>
      <c r="I4120" s="1"/>
      <c r="J4120" s="1"/>
      <c r="K4120" s="1"/>
      <c r="L4120" s="1"/>
      <c r="M4120" s="1"/>
      <c r="N4120" s="1"/>
      <c r="O4120" s="1"/>
      <c r="P4120" s="1"/>
      <c r="Q4120" s="1"/>
      <c r="R4120" s="1"/>
      <c r="S4120" s="1"/>
      <c r="T4120" s="1"/>
      <c r="U4120" s="1"/>
      <c r="V4120" s="1"/>
      <c r="W4120" s="1"/>
      <c r="X4120" s="1"/>
      <c r="Y4120" s="1"/>
      <c r="Z4120" s="1"/>
      <c r="AA4120" s="1"/>
      <c r="AB4120" s="1"/>
    </row>
    <row r="4121" ht="50.25" customHeight="1">
      <c r="A4121" s="12">
        <v>4117.0</v>
      </c>
      <c r="B4121" s="13" t="s">
        <v>3778</v>
      </c>
      <c r="C4121" s="14" t="s">
        <v>4139</v>
      </c>
      <c r="D4121" s="1"/>
      <c r="E4121" s="1"/>
      <c r="F4121" s="1" t="str">
        <f>IFERROR(__xludf.DUMMYFUNCTION("GOOGLETRANSLATE(B4121, ""en"", ""fa"")
"),"برنامه ریز عروسی")</f>
        <v>برنامه ریز عروسی</v>
      </c>
      <c r="G4121" s="1" t="str">
        <f>IFERROR(__xludf.DUMMYFUNCTION("GOOGLETRANSLATE(C4121, ""en"", ""fa"")
"),"ایده هایی برای شخصی سازی عهد عروسی سنتی به اشتراک بگذارید تا منعکس کننده ارزش ها و اعتقادات زوجین باشد.")</f>
        <v>ایده هایی برای شخصی سازی عهد عروسی سنتی به اشتراک بگذارید تا منعکس کننده ارزش ها و اعتقادات زوجین باشد.</v>
      </c>
      <c r="H4121" s="1"/>
      <c r="I4121" s="1"/>
      <c r="J4121" s="1"/>
      <c r="K4121" s="1"/>
      <c r="L4121" s="1"/>
      <c r="M4121" s="1"/>
      <c r="N4121" s="1"/>
      <c r="O4121" s="1"/>
      <c r="P4121" s="1"/>
      <c r="Q4121" s="1"/>
      <c r="R4121" s="1"/>
      <c r="S4121" s="1"/>
      <c r="T4121" s="1"/>
      <c r="U4121" s="1"/>
      <c r="V4121" s="1"/>
      <c r="W4121" s="1"/>
      <c r="X4121" s="1"/>
      <c r="Y4121" s="1"/>
      <c r="Z4121" s="1"/>
      <c r="AA4121" s="1"/>
      <c r="AB4121" s="1"/>
    </row>
    <row r="4122" ht="50.25" customHeight="1">
      <c r="A4122" s="12">
        <v>4118.0</v>
      </c>
      <c r="B4122" s="13" t="s">
        <v>3778</v>
      </c>
      <c r="C4122" s="14" t="s">
        <v>4140</v>
      </c>
      <c r="D4122" s="1"/>
      <c r="E4122" s="1"/>
      <c r="F4122" s="1" t="str">
        <f>IFERROR(__xludf.DUMMYFUNCTION("GOOGLETRANSLATE(B4122, ""en"", ""fa"")
"),"برنامه ریز عروسی")</f>
        <v>برنامه ریز عروسی</v>
      </c>
      <c r="G4122" s="1" t="str">
        <f>IFERROR(__xludf.DUMMYFUNCTION("GOOGLETRANSLATE(C4122, ""en"", ""fa"")
"),"برنامه ریزان عروسی چگونه می توانند به زوج ها در انتخاب مجری یا مجری مناسب برای مراسم عروسی کمک کنند؟")</f>
        <v>برنامه ریزان عروسی چگونه می توانند به زوج ها در انتخاب مجری یا مجری مناسب برای مراسم عروسی کمک کنند؟</v>
      </c>
      <c r="H4122" s="1"/>
      <c r="I4122" s="1"/>
      <c r="J4122" s="1"/>
      <c r="K4122" s="1"/>
      <c r="L4122" s="1"/>
      <c r="M4122" s="1"/>
      <c r="N4122" s="1"/>
      <c r="O4122" s="1"/>
      <c r="P4122" s="1"/>
      <c r="Q4122" s="1"/>
      <c r="R4122" s="1"/>
      <c r="S4122" s="1"/>
      <c r="T4122" s="1"/>
      <c r="U4122" s="1"/>
      <c r="V4122" s="1"/>
      <c r="W4122" s="1"/>
      <c r="X4122" s="1"/>
      <c r="Y4122" s="1"/>
      <c r="Z4122" s="1"/>
      <c r="AA4122" s="1"/>
      <c r="AB4122" s="1"/>
    </row>
    <row r="4123" ht="50.25" customHeight="1">
      <c r="A4123" s="12">
        <v>4119.0</v>
      </c>
      <c r="B4123" s="13" t="s">
        <v>3778</v>
      </c>
      <c r="C4123" s="14" t="s">
        <v>4141</v>
      </c>
      <c r="D4123" s="1"/>
      <c r="E4123" s="1"/>
      <c r="F4123" s="1" t="str">
        <f>IFERROR(__xludf.DUMMYFUNCTION("GOOGLETRANSLATE(B4123, ""en"", ""fa"")
"),"برنامه ریز عروسی")</f>
        <v>برنامه ریز عروسی</v>
      </c>
      <c r="G4123" s="1" t="str">
        <f>IFERROR(__xludf.DUMMYFUNCTION("GOOGLETRANSLATE(C4123, ""en"", ""fa"")
"),"عناصر ضروری برای گنجاندن در برنامه مراسم عروسی چیست؟")</f>
        <v>عناصر ضروری برای گنجاندن در برنامه مراسم عروسی چیست؟</v>
      </c>
      <c r="H4123" s="1"/>
      <c r="I4123" s="1"/>
      <c r="J4123" s="1"/>
      <c r="K4123" s="1"/>
      <c r="L4123" s="1"/>
      <c r="M4123" s="1"/>
      <c r="N4123" s="1"/>
      <c r="O4123" s="1"/>
      <c r="P4123" s="1"/>
      <c r="Q4123" s="1"/>
      <c r="R4123" s="1"/>
      <c r="S4123" s="1"/>
      <c r="T4123" s="1"/>
      <c r="U4123" s="1"/>
      <c r="V4123" s="1"/>
      <c r="W4123" s="1"/>
      <c r="X4123" s="1"/>
      <c r="Y4123" s="1"/>
      <c r="Z4123" s="1"/>
      <c r="AA4123" s="1"/>
      <c r="AB4123" s="1"/>
    </row>
    <row r="4124" ht="50.25" customHeight="1">
      <c r="A4124" s="12">
        <v>4120.0</v>
      </c>
      <c r="B4124" s="13" t="s">
        <v>3778</v>
      </c>
      <c r="C4124" s="14" t="s">
        <v>4142</v>
      </c>
      <c r="D4124" s="1"/>
      <c r="E4124" s="1"/>
      <c r="F4124" s="1" t="str">
        <f>IFERROR(__xludf.DUMMYFUNCTION("GOOGLETRANSLATE(B4124, ""en"", ""fa"")
"),"برنامه ریز عروسی")</f>
        <v>برنامه ریز عروسی</v>
      </c>
      <c r="G4124" s="1" t="str">
        <f>IFERROR(__xludf.DUMMYFUNCTION("GOOGLETRANSLATE(C4124, ""en"", ""fa"")
"),"برخی از راهکارها را برای ایجاد یک تشریفات یکپارچه و روان و رکود برای مراسم عروسی به اشتراک بگذارید.")</f>
        <v>برخی از راهکارها را برای ایجاد یک تشریفات یکپارچه و روان و رکود برای مراسم عروسی به اشتراک بگذارید.</v>
      </c>
      <c r="H4124" s="1"/>
      <c r="I4124" s="1"/>
      <c r="J4124" s="1"/>
      <c r="K4124" s="1"/>
      <c r="L4124" s="1"/>
      <c r="M4124" s="1"/>
      <c r="N4124" s="1"/>
      <c r="O4124" s="1"/>
      <c r="P4124" s="1"/>
      <c r="Q4124" s="1"/>
      <c r="R4124" s="1"/>
      <c r="S4124" s="1"/>
      <c r="T4124" s="1"/>
      <c r="U4124" s="1"/>
      <c r="V4124" s="1"/>
      <c r="W4124" s="1"/>
      <c r="X4124" s="1"/>
      <c r="Y4124" s="1"/>
      <c r="Z4124" s="1"/>
      <c r="AA4124" s="1"/>
      <c r="AB4124" s="1"/>
    </row>
    <row r="4125" ht="50.25" customHeight="1">
      <c r="A4125" s="12">
        <v>4121.0</v>
      </c>
      <c r="B4125" s="13" t="s">
        <v>3778</v>
      </c>
      <c r="C4125" s="14" t="s">
        <v>4143</v>
      </c>
      <c r="D4125" s="1"/>
      <c r="E4125" s="1"/>
      <c r="F4125" s="1" t="str">
        <f>IFERROR(__xludf.DUMMYFUNCTION("GOOGLETRANSLATE(B4125, ""en"", ""fa"")
"),"برنامه ریز عروسی")</f>
        <v>برنامه ریز عروسی</v>
      </c>
      <c r="G4125" s="1" t="str">
        <f>IFERROR(__xludf.DUMMYFUNCTION("GOOGLETRANSLATE(C4125, ""en"", ""fa"")
"),"چگونه زوج ها می توانند سنت های فرهنگی یا مذهبی را در مراسم عروسی خود بگنجانند؟")</f>
        <v>چگونه زوج ها می توانند سنت های فرهنگی یا مذهبی را در مراسم عروسی خود بگنجانند؟</v>
      </c>
      <c r="H4125" s="1"/>
      <c r="I4125" s="1"/>
      <c r="J4125" s="1"/>
      <c r="K4125" s="1"/>
      <c r="L4125" s="1"/>
      <c r="M4125" s="1"/>
      <c r="N4125" s="1"/>
      <c r="O4125" s="1"/>
      <c r="P4125" s="1"/>
      <c r="Q4125" s="1"/>
      <c r="R4125" s="1"/>
      <c r="S4125" s="1"/>
      <c r="T4125" s="1"/>
      <c r="U4125" s="1"/>
      <c r="V4125" s="1"/>
      <c r="W4125" s="1"/>
      <c r="X4125" s="1"/>
      <c r="Y4125" s="1"/>
      <c r="Z4125" s="1"/>
      <c r="AA4125" s="1"/>
      <c r="AB4125" s="1"/>
    </row>
    <row r="4126" ht="50.25" customHeight="1">
      <c r="A4126" s="12">
        <v>4122.0</v>
      </c>
      <c r="B4126" s="13" t="s">
        <v>3778</v>
      </c>
      <c r="C4126" s="14" t="s">
        <v>4144</v>
      </c>
      <c r="D4126" s="1"/>
      <c r="E4126" s="1"/>
      <c r="F4126" s="1" t="str">
        <f>IFERROR(__xludf.DUMMYFUNCTION("GOOGLETRANSLATE(B4126, ""en"", ""fa"")
"),"برنامه ریز عروسی")</f>
        <v>برنامه ریز عروسی</v>
      </c>
      <c r="G4126" s="1" t="str">
        <f>IFERROR(__xludf.DUMMYFUNCTION("GOOGLETRANSLATE(C4126, ""en"", ""fa"")
"),"برخی از ایده های جایگزین مراسم وحدت که فراتر از مراسم سنتی شمع یا مراسم شن و ماسه است چیست؟")</f>
        <v>برخی از ایده های جایگزین مراسم وحدت که فراتر از مراسم سنتی شمع یا مراسم شن و ماسه است چیست؟</v>
      </c>
      <c r="H4126" s="1"/>
      <c r="I4126" s="1"/>
      <c r="J4126" s="1"/>
      <c r="K4126" s="1"/>
      <c r="L4126" s="1"/>
      <c r="M4126" s="1"/>
      <c r="N4126" s="1"/>
      <c r="O4126" s="1"/>
      <c r="P4126" s="1"/>
      <c r="Q4126" s="1"/>
      <c r="R4126" s="1"/>
      <c r="S4126" s="1"/>
      <c r="T4126" s="1"/>
      <c r="U4126" s="1"/>
      <c r="V4126" s="1"/>
      <c r="W4126" s="1"/>
      <c r="X4126" s="1"/>
      <c r="Y4126" s="1"/>
      <c r="Z4126" s="1"/>
      <c r="AA4126" s="1"/>
      <c r="AB4126" s="1"/>
    </row>
    <row r="4127" ht="50.25" customHeight="1">
      <c r="A4127" s="12">
        <v>4123.0</v>
      </c>
      <c r="B4127" s="13" t="s">
        <v>3778</v>
      </c>
      <c r="C4127" s="14" t="s">
        <v>4145</v>
      </c>
      <c r="D4127" s="1"/>
      <c r="E4127" s="1"/>
      <c r="F4127" s="1" t="str">
        <f>IFERROR(__xludf.DUMMYFUNCTION("GOOGLETRANSLATE(B4127, ""en"", ""fa"")
"),"برنامه ریز عروسی")</f>
        <v>برنامه ریز عروسی</v>
      </c>
      <c r="G4127" s="1" t="str">
        <f>IFERROR(__xludf.DUMMYFUNCTION("GOOGLETRANSLATE(C4127, ""en"", ""fa"")
"),"نکاتی را برای ایجاد یک جدول زمانی مراسم به اشتراک بگذارید که امکان تجربه ای معنادار و تاثیرگذار را برای زوج و مهمانان فراهم کند.")</f>
        <v>نکاتی را برای ایجاد یک جدول زمانی مراسم به اشتراک بگذارید که امکان تجربه ای معنادار و تاثیرگذار را برای زوج و مهمانان فراهم کند.</v>
      </c>
      <c r="H4127" s="1"/>
      <c r="I4127" s="1"/>
      <c r="J4127" s="1"/>
      <c r="K4127" s="1"/>
      <c r="L4127" s="1"/>
      <c r="M4127" s="1"/>
      <c r="N4127" s="1"/>
      <c r="O4127" s="1"/>
      <c r="P4127" s="1"/>
      <c r="Q4127" s="1"/>
      <c r="R4127" s="1"/>
      <c r="S4127" s="1"/>
      <c r="T4127" s="1"/>
      <c r="U4127" s="1"/>
      <c r="V4127" s="1"/>
      <c r="W4127" s="1"/>
      <c r="X4127" s="1"/>
      <c r="Y4127" s="1"/>
      <c r="Z4127" s="1"/>
      <c r="AA4127" s="1"/>
      <c r="AB4127" s="1"/>
    </row>
    <row r="4128" ht="50.25" customHeight="1">
      <c r="A4128" s="12">
        <v>4124.0</v>
      </c>
      <c r="B4128" s="13" t="s">
        <v>3778</v>
      </c>
      <c r="C4128" s="14" t="s">
        <v>4146</v>
      </c>
      <c r="D4128" s="1"/>
      <c r="E4128" s="1"/>
      <c r="F4128" s="1" t="str">
        <f>IFERROR(__xludf.DUMMYFUNCTION("GOOGLETRANSLATE(B4128, ""en"", ""fa"")
"),"برنامه ریز عروسی")</f>
        <v>برنامه ریز عروسی</v>
      </c>
      <c r="G4128" s="1" t="str">
        <f>IFERROR(__xludf.DUMMYFUNCTION("GOOGLETRANSLATE(C4128, ""en"", ""fa"")
"),"برنامه ریزان عروسی چگونه می توانند به زوج ها در انتخاب موسیقی و آهنگ مناسب برای مراسم عروسی کمک کنند؟")</f>
        <v>برنامه ریزان عروسی چگونه می توانند به زوج ها در انتخاب موسیقی و آهنگ مناسب برای مراسم عروسی کمک کنند؟</v>
      </c>
      <c r="H4128" s="1"/>
      <c r="I4128" s="1"/>
      <c r="J4128" s="1"/>
      <c r="K4128" s="1"/>
      <c r="L4128" s="1"/>
      <c r="M4128" s="1"/>
      <c r="N4128" s="1"/>
      <c r="O4128" s="1"/>
      <c r="P4128" s="1"/>
      <c r="Q4128" s="1"/>
      <c r="R4128" s="1"/>
      <c r="S4128" s="1"/>
      <c r="T4128" s="1"/>
      <c r="U4128" s="1"/>
      <c r="V4128" s="1"/>
      <c r="W4128" s="1"/>
      <c r="X4128" s="1"/>
      <c r="Y4128" s="1"/>
      <c r="Z4128" s="1"/>
      <c r="AA4128" s="1"/>
      <c r="AB4128" s="1"/>
    </row>
    <row r="4129" ht="50.25" customHeight="1">
      <c r="A4129" s="12">
        <v>4125.0</v>
      </c>
      <c r="B4129" s="13" t="s">
        <v>3778</v>
      </c>
      <c r="C4129" s="14" t="s">
        <v>4147</v>
      </c>
      <c r="D4129" s="1"/>
      <c r="E4129" s="1"/>
      <c r="F4129" s="1" t="str">
        <f>IFERROR(__xludf.DUMMYFUNCTION("GOOGLETRANSLATE(B4129, ""en"", ""fa"")
"),"برنامه ریز عروسی")</f>
        <v>برنامه ریز عروسی</v>
      </c>
      <c r="G4129" s="1" t="str">
        <f>IFERROR(__xludf.DUMMYFUNCTION("GOOGLETRANSLATE(C4129, ""en"", ""fa"")
"),"ملاحظات کلیدی برای انتخاب مکان و چیدمان مراسم عروسی چیست؟")</f>
        <v>ملاحظات کلیدی برای انتخاب مکان و چیدمان مراسم عروسی چیست؟</v>
      </c>
      <c r="H4129" s="1"/>
      <c r="I4129" s="1"/>
      <c r="J4129" s="1"/>
      <c r="K4129" s="1"/>
      <c r="L4129" s="1"/>
      <c r="M4129" s="1"/>
      <c r="N4129" s="1"/>
      <c r="O4129" s="1"/>
      <c r="P4129" s="1"/>
      <c r="Q4129" s="1"/>
      <c r="R4129" s="1"/>
      <c r="S4129" s="1"/>
      <c r="T4129" s="1"/>
      <c r="U4129" s="1"/>
      <c r="V4129" s="1"/>
      <c r="W4129" s="1"/>
      <c r="X4129" s="1"/>
      <c r="Y4129" s="1"/>
      <c r="Z4129" s="1"/>
      <c r="AA4129" s="1"/>
      <c r="AB4129" s="1"/>
    </row>
    <row r="4130" ht="50.25" customHeight="1">
      <c r="A4130" s="12">
        <v>4126.0</v>
      </c>
      <c r="B4130" s="13" t="s">
        <v>3778</v>
      </c>
      <c r="C4130" s="14" t="s">
        <v>4148</v>
      </c>
      <c r="D4130" s="1"/>
      <c r="E4130" s="1"/>
      <c r="F4130" s="1" t="str">
        <f>IFERROR(__xludf.DUMMYFUNCTION("GOOGLETRANSLATE(B4130, ""en"", ""fa"")
"),"برنامه ریز عروسی")</f>
        <v>برنامه ریز عروسی</v>
      </c>
      <c r="G4130" s="1" t="str">
        <f>IFERROR(__xludf.DUMMYFUNCTION("GOOGLETRANSLATE(C4130, ""en"", ""fa"")
"),"ایده هایی برای گنجاندن خوانش ها یا شعرهای شخصی در مراسم عروسی به اشتراک بگذارید.")</f>
        <v>ایده هایی برای گنجاندن خوانش ها یا شعرهای شخصی در مراسم عروسی به اشتراک بگذارید.</v>
      </c>
      <c r="H4130" s="1"/>
      <c r="I4130" s="1"/>
      <c r="J4130" s="1"/>
      <c r="K4130" s="1"/>
      <c r="L4130" s="1"/>
      <c r="M4130" s="1"/>
      <c r="N4130" s="1"/>
      <c r="O4130" s="1"/>
      <c r="P4130" s="1"/>
      <c r="Q4130" s="1"/>
      <c r="R4130" s="1"/>
      <c r="S4130" s="1"/>
      <c r="T4130" s="1"/>
      <c r="U4130" s="1"/>
      <c r="V4130" s="1"/>
      <c r="W4130" s="1"/>
      <c r="X4130" s="1"/>
      <c r="Y4130" s="1"/>
      <c r="Z4130" s="1"/>
      <c r="AA4130" s="1"/>
      <c r="AB4130" s="1"/>
    </row>
    <row r="4131" ht="50.25" customHeight="1">
      <c r="A4131" s="12">
        <v>4127.0</v>
      </c>
      <c r="B4131" s="13" t="s">
        <v>3778</v>
      </c>
      <c r="C4131" s="14" t="s">
        <v>4149</v>
      </c>
      <c r="D4131" s="1"/>
      <c r="E4131" s="1"/>
      <c r="F4131" s="1" t="str">
        <f>IFERROR(__xludf.DUMMYFUNCTION("GOOGLETRANSLATE(B4131, ""en"", ""fa"")
"),"برنامه ریز عروسی")</f>
        <v>برنامه ریز عروسی</v>
      </c>
      <c r="G4131" s="1" t="str">
        <f>IFERROR(__xludf.DUMMYFUNCTION("GOOGLETRANSLATE(C4131, ""en"", ""fa"")
"),"چگونه زوج ها می توانند اعضای خانواده یا دوستان نزدیک خود را از طریق نقش ها یا تشریفات خاص در مراسم عروسی شرکت دهند؟")</f>
        <v>چگونه زوج ها می توانند اعضای خانواده یا دوستان نزدیک خود را از طریق نقش ها یا تشریفات خاص در مراسم عروسی شرکت دهند؟</v>
      </c>
      <c r="H4131" s="1"/>
      <c r="I4131" s="1"/>
      <c r="J4131" s="1"/>
      <c r="K4131" s="1"/>
      <c r="L4131" s="1"/>
      <c r="M4131" s="1"/>
      <c r="N4131" s="1"/>
      <c r="O4131" s="1"/>
      <c r="P4131" s="1"/>
      <c r="Q4131" s="1"/>
      <c r="R4131" s="1"/>
      <c r="S4131" s="1"/>
      <c r="T4131" s="1"/>
      <c r="U4131" s="1"/>
      <c r="V4131" s="1"/>
      <c r="W4131" s="1"/>
      <c r="X4131" s="1"/>
      <c r="Y4131" s="1"/>
      <c r="Z4131" s="1"/>
      <c r="AA4131" s="1"/>
      <c r="AB4131" s="1"/>
    </row>
    <row r="4132" ht="50.25" customHeight="1">
      <c r="A4132" s="12">
        <v>4128.0</v>
      </c>
      <c r="B4132" s="13" t="s">
        <v>3778</v>
      </c>
      <c r="C4132" s="14" t="s">
        <v>4150</v>
      </c>
      <c r="D4132" s="1"/>
      <c r="E4132" s="1"/>
      <c r="F4132" s="1" t="str">
        <f>IFERROR(__xludf.DUMMYFUNCTION("GOOGLETRANSLATE(B4132, ""en"", ""fa"")
"),"برنامه ریز عروسی")</f>
        <v>برنامه ریز عروسی</v>
      </c>
      <c r="G4132" s="1" t="str">
        <f>IFERROR(__xludf.DUMMYFUNCTION("GOOGLETRANSLATE(C4132, ""en"", ""fa"")
"),"بهترین روش ها برای مدیریت تدارکات برای اخذ جواز ازدواج و اسناد قانونی لازم چیست؟")</f>
        <v>بهترین روش ها برای مدیریت تدارکات برای اخذ جواز ازدواج و اسناد قانونی لازم چیست؟</v>
      </c>
      <c r="H4132" s="1"/>
      <c r="I4132" s="1"/>
      <c r="J4132" s="1"/>
      <c r="K4132" s="1"/>
      <c r="L4132" s="1"/>
      <c r="M4132" s="1"/>
      <c r="N4132" s="1"/>
      <c r="O4132" s="1"/>
      <c r="P4132" s="1"/>
      <c r="Q4132" s="1"/>
      <c r="R4132" s="1"/>
      <c r="S4132" s="1"/>
      <c r="T4132" s="1"/>
      <c r="U4132" s="1"/>
      <c r="V4132" s="1"/>
      <c r="W4132" s="1"/>
      <c r="X4132" s="1"/>
      <c r="Y4132" s="1"/>
      <c r="Z4132" s="1"/>
      <c r="AA4132" s="1"/>
      <c r="AB4132" s="1"/>
    </row>
    <row r="4133" ht="50.25" customHeight="1">
      <c r="A4133" s="12">
        <v>4129.0</v>
      </c>
      <c r="B4133" s="13" t="s">
        <v>3778</v>
      </c>
      <c r="C4133" s="14" t="s">
        <v>4151</v>
      </c>
      <c r="D4133" s="1"/>
      <c r="E4133" s="1"/>
      <c r="F4133" s="1" t="str">
        <f>IFERROR(__xludf.DUMMYFUNCTION("GOOGLETRANSLATE(B4133, ""en"", ""fa"")
"),"برنامه ریز عروسی")</f>
        <v>برنامه ریز عروسی</v>
      </c>
      <c r="G4133" s="1" t="str">
        <f>IFERROR(__xludf.DUMMYFUNCTION("GOOGLETRANSLATE(C4133, ""en"", ""fa"")
"),"برخی از استراتژی‌ها را برای ایجاد یک طرح نشستن مراسم که دید و راحتی بهینه را برای مهمانان تضمین می‌کند، به اشتراک بگذارید.")</f>
        <v>برخی از استراتژی‌ها را برای ایجاد یک طرح نشستن مراسم که دید و راحتی بهینه را برای مهمانان تضمین می‌کند، به اشتراک بگذارید.</v>
      </c>
      <c r="H4133" s="1"/>
      <c r="I4133" s="1"/>
      <c r="J4133" s="1"/>
      <c r="K4133" s="1"/>
      <c r="L4133" s="1"/>
      <c r="M4133" s="1"/>
      <c r="N4133" s="1"/>
      <c r="O4133" s="1"/>
      <c r="P4133" s="1"/>
      <c r="Q4133" s="1"/>
      <c r="R4133" s="1"/>
      <c r="S4133" s="1"/>
      <c r="T4133" s="1"/>
      <c r="U4133" s="1"/>
      <c r="V4133" s="1"/>
      <c r="W4133" s="1"/>
      <c r="X4133" s="1"/>
      <c r="Y4133" s="1"/>
      <c r="Z4133" s="1"/>
      <c r="AA4133" s="1"/>
      <c r="AB4133" s="1"/>
    </row>
    <row r="4134" ht="50.25" customHeight="1">
      <c r="A4134" s="12">
        <v>4130.0</v>
      </c>
      <c r="B4134" s="13" t="s">
        <v>3778</v>
      </c>
      <c r="C4134" s="14" t="s">
        <v>4152</v>
      </c>
      <c r="D4134" s="1"/>
      <c r="E4134" s="1"/>
      <c r="F4134" s="1" t="str">
        <f>IFERROR(__xludf.DUMMYFUNCTION("GOOGLETRANSLATE(B4134, ""en"", ""fa"")
"),"برنامه ریز عروسی")</f>
        <v>برنامه ریز عروسی</v>
      </c>
      <c r="G4134" s="1" t="str">
        <f>IFERROR(__xludf.DUMMYFUNCTION("GOOGLETRANSLATE(C4134, ""en"", ""fa"")
"),"چگونه زوج ها می توانند سرگرمی ها یا علایق مشترک خود را در مراسم عروسی خود بگنجانند؟")</f>
        <v>چگونه زوج ها می توانند سرگرمی ها یا علایق مشترک خود را در مراسم عروسی خود بگنجانند؟</v>
      </c>
      <c r="H4134" s="1"/>
      <c r="I4134" s="1"/>
      <c r="J4134" s="1"/>
      <c r="K4134" s="1"/>
      <c r="L4134" s="1"/>
      <c r="M4134" s="1"/>
      <c r="N4134" s="1"/>
      <c r="O4134" s="1"/>
      <c r="P4134" s="1"/>
      <c r="Q4134" s="1"/>
      <c r="R4134" s="1"/>
      <c r="S4134" s="1"/>
      <c r="T4134" s="1"/>
      <c r="U4134" s="1"/>
      <c r="V4134" s="1"/>
      <c r="W4134" s="1"/>
      <c r="X4134" s="1"/>
      <c r="Y4134" s="1"/>
      <c r="Z4134" s="1"/>
      <c r="AA4134" s="1"/>
      <c r="AB4134" s="1"/>
    </row>
    <row r="4135" ht="50.25" customHeight="1">
      <c r="A4135" s="12">
        <v>4131.0</v>
      </c>
      <c r="B4135" s="13" t="s">
        <v>3778</v>
      </c>
      <c r="C4135" s="14" t="s">
        <v>4153</v>
      </c>
      <c r="D4135" s="1"/>
      <c r="E4135" s="1"/>
      <c r="F4135" s="1" t="str">
        <f>IFERROR(__xludf.DUMMYFUNCTION("GOOGLETRANSLATE(B4135, ""en"", ""fa"")
"),"برنامه ریز عروسی")</f>
        <v>برنامه ریز عروسی</v>
      </c>
      <c r="G4135" s="1" t="str">
        <f>IFERROR(__xludf.DUMMYFUNCTION("GOOGLETRANSLATE(C4135, ""en"", ""fa"")
"),"چه عناصر ضروری برای خوش آمد گویی یا مقدمه مراسم عروسی باید لحاظ شود؟")</f>
        <v>چه عناصر ضروری برای خوش آمد گویی یا مقدمه مراسم عروسی باید لحاظ شود؟</v>
      </c>
      <c r="H4135" s="1"/>
      <c r="I4135" s="1"/>
      <c r="J4135" s="1"/>
      <c r="K4135" s="1"/>
      <c r="L4135" s="1"/>
      <c r="M4135" s="1"/>
      <c r="N4135" s="1"/>
      <c r="O4135" s="1"/>
      <c r="P4135" s="1"/>
      <c r="Q4135" s="1"/>
      <c r="R4135" s="1"/>
      <c r="S4135" s="1"/>
      <c r="T4135" s="1"/>
      <c r="U4135" s="1"/>
      <c r="V4135" s="1"/>
      <c r="W4135" s="1"/>
      <c r="X4135" s="1"/>
      <c r="Y4135" s="1"/>
      <c r="Z4135" s="1"/>
      <c r="AA4135" s="1"/>
      <c r="AB4135" s="1"/>
    </row>
    <row r="4136" ht="50.25" customHeight="1">
      <c r="A4136" s="12">
        <v>4132.0</v>
      </c>
      <c r="B4136" s="13" t="s">
        <v>3778</v>
      </c>
      <c r="C4136" s="14" t="s">
        <v>4154</v>
      </c>
      <c r="D4136" s="1"/>
      <c r="E4136" s="1"/>
      <c r="F4136" s="1" t="str">
        <f>IFERROR(__xludf.DUMMYFUNCTION("GOOGLETRANSLATE(B4136, ""en"", ""fa"")
"),"برنامه ریز عروسی")</f>
        <v>برنامه ریز عروسی</v>
      </c>
      <c r="G4136" s="1" t="str">
        <f>IFERROR(__xludf.DUMMYFUNCTION("GOOGLETRANSLATE(C4136, ""en"", ""fa"")
"),"نکاتی را برای طراحی و تزیین فضای مراسم برای ایجاد فضایی گرم و دلپذیر به اشتراک بگذارید.")</f>
        <v>نکاتی را برای طراحی و تزیین فضای مراسم برای ایجاد فضایی گرم و دلپذیر به اشتراک بگذارید.</v>
      </c>
      <c r="H4136" s="1"/>
      <c r="I4136" s="1"/>
      <c r="J4136" s="1"/>
      <c r="K4136" s="1"/>
      <c r="L4136" s="1"/>
      <c r="M4136" s="1"/>
      <c r="N4136" s="1"/>
      <c r="O4136" s="1"/>
      <c r="P4136" s="1"/>
      <c r="Q4136" s="1"/>
      <c r="R4136" s="1"/>
      <c r="S4136" s="1"/>
      <c r="T4136" s="1"/>
      <c r="U4136" s="1"/>
      <c r="V4136" s="1"/>
      <c r="W4136" s="1"/>
      <c r="X4136" s="1"/>
      <c r="Y4136" s="1"/>
      <c r="Z4136" s="1"/>
      <c r="AA4136" s="1"/>
      <c r="AB4136" s="1"/>
    </row>
    <row r="4137" ht="50.25" customHeight="1">
      <c r="A4137" s="12">
        <v>4133.0</v>
      </c>
      <c r="B4137" s="13" t="s">
        <v>3778</v>
      </c>
      <c r="C4137" s="14" t="s">
        <v>4155</v>
      </c>
      <c r="D4137" s="1"/>
      <c r="E4137" s="1"/>
      <c r="F4137" s="1" t="str">
        <f>IFERROR(__xludf.DUMMYFUNCTION("GOOGLETRANSLATE(B4137, ""en"", ""fa"")
"),"برنامه ریز عروسی")</f>
        <v>برنامه ریز عروسی</v>
      </c>
      <c r="G4137" s="1" t="str">
        <f>IFERROR(__xludf.DUMMYFUNCTION("GOOGLETRANSLATE(C4137, ""en"", ""fa"")
"),"برنامه ریزان عروسی چگونه می توانند به زوج ها در هماهنگی و تمرین مراسم موکب و تعطیلات کمک کنند؟")</f>
        <v>برنامه ریزان عروسی چگونه می توانند به زوج ها در هماهنگی و تمرین مراسم موکب و تعطیلات کمک کنند؟</v>
      </c>
      <c r="H4137" s="1"/>
      <c r="I4137" s="1"/>
      <c r="J4137" s="1"/>
      <c r="K4137" s="1"/>
      <c r="L4137" s="1"/>
      <c r="M4137" s="1"/>
      <c r="N4137" s="1"/>
      <c r="O4137" s="1"/>
      <c r="P4137" s="1"/>
      <c r="Q4137" s="1"/>
      <c r="R4137" s="1"/>
      <c r="S4137" s="1"/>
      <c r="T4137" s="1"/>
      <c r="U4137" s="1"/>
      <c r="V4137" s="1"/>
      <c r="W4137" s="1"/>
      <c r="X4137" s="1"/>
      <c r="Y4137" s="1"/>
      <c r="Z4137" s="1"/>
      <c r="AA4137" s="1"/>
      <c r="AB4137" s="1"/>
    </row>
    <row r="4138" ht="50.25" customHeight="1">
      <c r="A4138" s="12">
        <v>4134.0</v>
      </c>
      <c r="B4138" s="13" t="s">
        <v>3778</v>
      </c>
      <c r="C4138" s="14" t="s">
        <v>4156</v>
      </c>
      <c r="D4138" s="1"/>
      <c r="E4138" s="1"/>
      <c r="F4138" s="1" t="str">
        <f>IFERROR(__xludf.DUMMYFUNCTION("GOOGLETRANSLATE(B4138, ""en"", ""fa"")
"),"برنامه ریز عروسی")</f>
        <v>برنامه ریز عروسی</v>
      </c>
      <c r="G4138" s="1" t="str">
        <f>IFERROR(__xludf.DUMMYFUNCTION("GOOGLETRANSLATE(C4138, ""en"", ""fa"")
"),"ملاحظات کلیدی برای انتخاب خوانش‌ها یا قسمت‌هایی که با داستان و سفر عاشقانه زوج طنین‌انداز می‌شوند، چیست؟")</f>
        <v>ملاحظات کلیدی برای انتخاب خوانش‌ها یا قسمت‌هایی که با داستان و سفر عاشقانه زوج طنین‌انداز می‌شوند، چیست؟</v>
      </c>
      <c r="H4138" s="1"/>
      <c r="I4138" s="1"/>
      <c r="J4138" s="1"/>
      <c r="K4138" s="1"/>
      <c r="L4138" s="1"/>
      <c r="M4138" s="1"/>
      <c r="N4138" s="1"/>
      <c r="O4138" s="1"/>
      <c r="P4138" s="1"/>
      <c r="Q4138" s="1"/>
      <c r="R4138" s="1"/>
      <c r="S4138" s="1"/>
      <c r="T4138" s="1"/>
      <c r="U4138" s="1"/>
      <c r="V4138" s="1"/>
      <c r="W4138" s="1"/>
      <c r="X4138" s="1"/>
      <c r="Y4138" s="1"/>
      <c r="Z4138" s="1"/>
      <c r="AA4138" s="1"/>
      <c r="AB4138" s="1"/>
    </row>
    <row r="4139" ht="50.25" customHeight="1">
      <c r="A4139" s="12">
        <v>4135.0</v>
      </c>
      <c r="B4139" s="13" t="s">
        <v>3778</v>
      </c>
      <c r="C4139" s="14" t="s">
        <v>4157</v>
      </c>
      <c r="D4139" s="1"/>
      <c r="E4139" s="1"/>
      <c r="F4139" s="1" t="str">
        <f>IFERROR(__xludf.DUMMYFUNCTION("GOOGLETRANSLATE(B4139, ""en"", ""fa"")
"),"برنامه ریز عروسی")</f>
        <v>برنامه ریز عروسی</v>
      </c>
      <c r="G4139" s="1" t="str">
        <f>IFERROR(__xludf.DUMMYFUNCTION("GOOGLETRANSLATE(C4139, ""en"", ""fa"")
"),"ایده هایی برای گنجاندن ژست ها یا تشریفات نمادین در مراسم عروسی مانند روزه داری یا کاشت درخت به اشتراک بگذارید.")</f>
        <v>ایده هایی برای گنجاندن ژست ها یا تشریفات نمادین در مراسم عروسی مانند روزه داری یا کاشت درخت به اشتراک بگذارید.</v>
      </c>
      <c r="H4139" s="1"/>
      <c r="I4139" s="1"/>
      <c r="J4139" s="1"/>
      <c r="K4139" s="1"/>
      <c r="L4139" s="1"/>
      <c r="M4139" s="1"/>
      <c r="N4139" s="1"/>
      <c r="O4139" s="1"/>
      <c r="P4139" s="1"/>
      <c r="Q4139" s="1"/>
      <c r="R4139" s="1"/>
      <c r="S4139" s="1"/>
      <c r="T4139" s="1"/>
      <c r="U4139" s="1"/>
      <c r="V4139" s="1"/>
      <c r="W4139" s="1"/>
      <c r="X4139" s="1"/>
      <c r="Y4139" s="1"/>
      <c r="Z4139" s="1"/>
      <c r="AA4139" s="1"/>
      <c r="AB4139" s="1"/>
    </row>
    <row r="4140" ht="50.25" customHeight="1">
      <c r="A4140" s="12">
        <v>4136.0</v>
      </c>
      <c r="B4140" s="13" t="s">
        <v>3778</v>
      </c>
      <c r="C4140" s="14" t="s">
        <v>4158</v>
      </c>
      <c r="D4140" s="1"/>
      <c r="E4140" s="1"/>
      <c r="F4140" s="1" t="str">
        <f>IFERROR(__xludf.DUMMYFUNCTION("GOOGLETRANSLATE(B4140, ""en"", ""fa"")
"),"برنامه ریز عروسی")</f>
        <v>برنامه ریز عروسی</v>
      </c>
      <c r="G4140" s="1" t="str">
        <f>IFERROR(__xludf.DUMMYFUNCTION("GOOGLETRANSLATE(C4140, ""en"", ""fa"")
"),"چگونه زوج ها می توانند فیلمنامه مراسمی بسازند که شخصیت و رابطه منحصر به فرد آنها را منعکس کند؟")</f>
        <v>چگونه زوج ها می توانند فیلمنامه مراسمی بسازند که شخصیت و رابطه منحصر به فرد آنها را منعکس کند؟</v>
      </c>
      <c r="H4140" s="1"/>
      <c r="I4140" s="1"/>
      <c r="J4140" s="1"/>
      <c r="K4140" s="1"/>
      <c r="L4140" s="1"/>
      <c r="M4140" s="1"/>
      <c r="N4140" s="1"/>
      <c r="O4140" s="1"/>
      <c r="P4140" s="1"/>
      <c r="Q4140" s="1"/>
      <c r="R4140" s="1"/>
      <c r="S4140" s="1"/>
      <c r="T4140" s="1"/>
      <c r="U4140" s="1"/>
      <c r="V4140" s="1"/>
      <c r="W4140" s="1"/>
      <c r="X4140" s="1"/>
      <c r="Y4140" s="1"/>
      <c r="Z4140" s="1"/>
      <c r="AA4140" s="1"/>
      <c r="AB4140" s="1"/>
    </row>
    <row r="4141" ht="50.25" customHeight="1">
      <c r="A4141" s="12">
        <v>4137.0</v>
      </c>
      <c r="B4141" s="13" t="s">
        <v>3778</v>
      </c>
      <c r="C4141" s="14" t="s">
        <v>4159</v>
      </c>
      <c r="D4141" s="1"/>
      <c r="E4141" s="1"/>
      <c r="F4141" s="1" t="str">
        <f>IFERROR(__xludf.DUMMYFUNCTION("GOOGLETRANSLATE(B4141, ""en"", ""fa"")
"),"برنامه ریز عروسی")</f>
        <v>برنامه ریز عروسی</v>
      </c>
      <c r="G4141" s="1" t="str">
        <f>IFERROR(__xludf.DUMMYFUNCTION("GOOGLETRANSLATE(C4141, ""en"", ""fa"")
"),"هنگام انتخاب بین سالن های عروسی در فضای باز و سرپوشیده، چه فاکتورهای ضروری را باید در نظر گرفت؟")</f>
        <v>هنگام انتخاب بین سالن های عروسی در فضای باز و سرپوشیده، چه فاکتورهای ضروری را باید در نظر گرفت؟</v>
      </c>
      <c r="H4141" s="1"/>
      <c r="I4141" s="1"/>
      <c r="J4141" s="1"/>
      <c r="K4141" s="1"/>
      <c r="L4141" s="1"/>
      <c r="M4141" s="1"/>
      <c r="N4141" s="1"/>
      <c r="O4141" s="1"/>
      <c r="P4141" s="1"/>
      <c r="Q4141" s="1"/>
      <c r="R4141" s="1"/>
      <c r="S4141" s="1"/>
      <c r="T4141" s="1"/>
      <c r="U4141" s="1"/>
      <c r="V4141" s="1"/>
      <c r="W4141" s="1"/>
      <c r="X4141" s="1"/>
      <c r="Y4141" s="1"/>
      <c r="Z4141" s="1"/>
      <c r="AA4141" s="1"/>
      <c r="AB4141" s="1"/>
    </row>
    <row r="4142" ht="50.25" customHeight="1">
      <c r="A4142" s="12">
        <v>4138.0</v>
      </c>
      <c r="B4142" s="13" t="s">
        <v>3778</v>
      </c>
      <c r="C4142" s="14" t="s">
        <v>4160</v>
      </c>
      <c r="D4142" s="1"/>
      <c r="E4142" s="1"/>
      <c r="F4142" s="1" t="str">
        <f>IFERROR(__xludf.DUMMYFUNCTION("GOOGLETRANSLATE(B4142, ""en"", ""fa"")
"),"برنامه ریز عروسی")</f>
        <v>برنامه ریز عروسی</v>
      </c>
      <c r="G4142" s="1" t="str">
        <f>IFERROR(__xludf.DUMMYFUNCTION("GOOGLETRANSLATE(C4142, ""en"", ""fa"")
"),"برخی از استراتژی‌ها را برای مدیریت تدارکات مراسم، مانند ترتیب نشستن و راهنمایی مهمانان، به اشتراک بگذارید.")</f>
        <v>برخی از استراتژی‌ها را برای مدیریت تدارکات مراسم، مانند ترتیب نشستن و راهنمایی مهمانان، به اشتراک بگذارید.</v>
      </c>
      <c r="H4142" s="1"/>
      <c r="I4142" s="1"/>
      <c r="J4142" s="1"/>
      <c r="K4142" s="1"/>
      <c r="L4142" s="1"/>
      <c r="M4142" s="1"/>
      <c r="N4142" s="1"/>
      <c r="O4142" s="1"/>
      <c r="P4142" s="1"/>
      <c r="Q4142" s="1"/>
      <c r="R4142" s="1"/>
      <c r="S4142" s="1"/>
      <c r="T4142" s="1"/>
      <c r="U4142" s="1"/>
      <c r="V4142" s="1"/>
      <c r="W4142" s="1"/>
      <c r="X4142" s="1"/>
      <c r="Y4142" s="1"/>
      <c r="Z4142" s="1"/>
      <c r="AA4142" s="1"/>
      <c r="AB4142" s="1"/>
    </row>
    <row r="4143" ht="50.25" customHeight="1">
      <c r="A4143" s="12">
        <v>4139.0</v>
      </c>
      <c r="B4143" s="13" t="s">
        <v>3778</v>
      </c>
      <c r="C4143" s="14" t="s">
        <v>4161</v>
      </c>
      <c r="D4143" s="1"/>
      <c r="E4143" s="1"/>
      <c r="F4143" s="1" t="str">
        <f>IFERROR(__xludf.DUMMYFUNCTION("GOOGLETRANSLATE(B4143, ""en"", ""fa"")
"),"برنامه ریز عروسی")</f>
        <v>برنامه ریز عروسی</v>
      </c>
      <c r="G4143" s="1" t="str">
        <f>IFERROR(__xludf.DUMMYFUNCTION("GOOGLETRANSLATE(C4143, ""en"", ""fa"")
"),"چگونه زوج ها می توانند عزیزانی را که دیگر در کنارشان نیستند در مراسم عروسی گرامی بدارند و یاد کنند؟")</f>
        <v>چگونه زوج ها می توانند عزیزانی را که دیگر در کنارشان نیستند در مراسم عروسی گرامی بدارند و یاد کنند؟</v>
      </c>
      <c r="H4143" s="1"/>
      <c r="I4143" s="1"/>
      <c r="J4143" s="1"/>
      <c r="K4143" s="1"/>
      <c r="L4143" s="1"/>
      <c r="M4143" s="1"/>
      <c r="N4143" s="1"/>
      <c r="O4143" s="1"/>
      <c r="P4143" s="1"/>
      <c r="Q4143" s="1"/>
      <c r="R4143" s="1"/>
      <c r="S4143" s="1"/>
      <c r="T4143" s="1"/>
      <c r="U4143" s="1"/>
      <c r="V4143" s="1"/>
      <c r="W4143" s="1"/>
      <c r="X4143" s="1"/>
      <c r="Y4143" s="1"/>
      <c r="Z4143" s="1"/>
      <c r="AA4143" s="1"/>
      <c r="AB4143" s="1"/>
    </row>
    <row r="4144" ht="50.25" customHeight="1">
      <c r="A4144" s="12">
        <v>4140.0</v>
      </c>
      <c r="B4144" s="13" t="s">
        <v>3778</v>
      </c>
      <c r="C4144" s="14" t="s">
        <v>4162</v>
      </c>
      <c r="D4144" s="1"/>
      <c r="E4144" s="1"/>
      <c r="F4144" s="1" t="str">
        <f>IFERROR(__xludf.DUMMYFUNCTION("GOOGLETRANSLATE(B4144, ""en"", ""fa"")
"),"برنامه ریز عروسی")</f>
        <v>برنامه ریز عروسی</v>
      </c>
      <c r="G4144" s="1" t="str">
        <f>IFERROR(__xludf.DUMMYFUNCTION("GOOGLETRANSLATE(C4144, ""en"", ""fa"")
"),"بهترین شیوه ها برای مدیریت زمان و جریان مراسم عروسی، از جمله انتقال بین بخش های مختلف چیست؟")</f>
        <v>بهترین شیوه ها برای مدیریت زمان و جریان مراسم عروسی، از جمله انتقال بین بخش های مختلف چیست؟</v>
      </c>
      <c r="H4144" s="1"/>
      <c r="I4144" s="1"/>
      <c r="J4144" s="1"/>
      <c r="K4144" s="1"/>
      <c r="L4144" s="1"/>
      <c r="M4144" s="1"/>
      <c r="N4144" s="1"/>
      <c r="O4144" s="1"/>
      <c r="P4144" s="1"/>
      <c r="Q4144" s="1"/>
      <c r="R4144" s="1"/>
      <c r="S4144" s="1"/>
      <c r="T4144" s="1"/>
      <c r="U4144" s="1"/>
      <c r="V4144" s="1"/>
      <c r="W4144" s="1"/>
      <c r="X4144" s="1"/>
      <c r="Y4144" s="1"/>
      <c r="Z4144" s="1"/>
      <c r="AA4144" s="1"/>
      <c r="AB4144" s="1"/>
    </row>
    <row r="4145" ht="50.25" customHeight="1">
      <c r="A4145" s="12">
        <v>4141.0</v>
      </c>
      <c r="B4145" s="13" t="s">
        <v>3778</v>
      </c>
      <c r="C4145" s="14" t="s">
        <v>4163</v>
      </c>
      <c r="D4145" s="1"/>
      <c r="E4145" s="1"/>
      <c r="F4145" s="1" t="str">
        <f>IFERROR(__xludf.DUMMYFUNCTION("GOOGLETRANSLATE(B4145, ""en"", ""fa"")
"),"برنامه ریز عروسی")</f>
        <v>برنامه ریز عروسی</v>
      </c>
      <c r="G4145" s="1" t="str">
        <f>IFERROR(__xludf.DUMMYFUNCTION("GOOGLETRANSLATE(C4145, ""en"", ""fa"")
"),"نکاتی را برای ایجاد فضایی فراگیر و پذیرای مهمانان با پیشینه های مختلف فرهنگی یا مذهبی به اشتراک بگذارید.")</f>
        <v>نکاتی را برای ایجاد فضایی فراگیر و پذیرای مهمانان با پیشینه های مختلف فرهنگی یا مذهبی به اشتراک بگذارید.</v>
      </c>
      <c r="H4145" s="1"/>
      <c r="I4145" s="1"/>
      <c r="J4145" s="1"/>
      <c r="K4145" s="1"/>
      <c r="L4145" s="1"/>
      <c r="M4145" s="1"/>
      <c r="N4145" s="1"/>
      <c r="O4145" s="1"/>
      <c r="P4145" s="1"/>
      <c r="Q4145" s="1"/>
      <c r="R4145" s="1"/>
      <c r="S4145" s="1"/>
      <c r="T4145" s="1"/>
      <c r="U4145" s="1"/>
      <c r="V4145" s="1"/>
      <c r="W4145" s="1"/>
      <c r="X4145" s="1"/>
      <c r="Y4145" s="1"/>
      <c r="Z4145" s="1"/>
      <c r="AA4145" s="1"/>
      <c r="AB4145" s="1"/>
    </row>
    <row r="4146" ht="50.25" customHeight="1">
      <c r="A4146" s="12">
        <v>4142.0</v>
      </c>
      <c r="B4146" s="13" t="s">
        <v>3778</v>
      </c>
      <c r="C4146" s="14" t="s">
        <v>4164</v>
      </c>
      <c r="D4146" s="1"/>
      <c r="E4146" s="1"/>
      <c r="F4146" s="1" t="str">
        <f>IFERROR(__xludf.DUMMYFUNCTION("GOOGLETRANSLATE(B4146, ""en"", ""fa"")
"),"برنامه ریز عروسی")</f>
        <v>برنامه ریز عروسی</v>
      </c>
      <c r="G4146" s="1" t="str">
        <f>IFERROR(__xludf.DUMMYFUNCTION("GOOGLETRANSLATE(C4146, ""en"", ""fa"")
"),"چگونه برنامه ریزان عروسی می توانند به زوج ها در انتخاب خوانش ها یا سخنرانی های مناسب برای مجری عروسی خود کمک کنند؟")</f>
        <v>چگونه برنامه ریزان عروسی می توانند به زوج ها در انتخاب خوانش ها یا سخنرانی های مناسب برای مجری عروسی خود کمک کنند؟</v>
      </c>
      <c r="H4146" s="1"/>
      <c r="I4146" s="1"/>
      <c r="J4146" s="1"/>
      <c r="K4146" s="1"/>
      <c r="L4146" s="1"/>
      <c r="M4146" s="1"/>
      <c r="N4146" s="1"/>
      <c r="O4146" s="1"/>
      <c r="P4146" s="1"/>
      <c r="Q4146" s="1"/>
      <c r="R4146" s="1"/>
      <c r="S4146" s="1"/>
      <c r="T4146" s="1"/>
      <c r="U4146" s="1"/>
      <c r="V4146" s="1"/>
      <c r="W4146" s="1"/>
      <c r="X4146" s="1"/>
      <c r="Y4146" s="1"/>
      <c r="Z4146" s="1"/>
      <c r="AA4146" s="1"/>
      <c r="AB4146" s="1"/>
    </row>
    <row r="4147" ht="50.25" customHeight="1">
      <c r="A4147" s="12">
        <v>4143.0</v>
      </c>
      <c r="B4147" s="13" t="s">
        <v>3778</v>
      </c>
      <c r="C4147" s="14" t="s">
        <v>4165</v>
      </c>
      <c r="D4147" s="1"/>
      <c r="E4147" s="1"/>
      <c r="F4147" s="1" t="str">
        <f>IFERROR(__xludf.DUMMYFUNCTION("GOOGLETRANSLATE(B4147, ""en"", ""fa"")
"),"برنامه ریز عروسی")</f>
        <v>برنامه ریز عروسی</v>
      </c>
      <c r="G4147" s="1" t="str">
        <f>IFERROR(__xludf.DUMMYFUNCTION("GOOGLETRANSLATE(C4147, ""en"", ""fa"")
"),"ملاحظات کلیدی برای گنجاندن موسیقی زنده یا نوازندگان در مراسم عروسی چیست؟")</f>
        <v>ملاحظات کلیدی برای گنجاندن موسیقی زنده یا نوازندگان در مراسم عروسی چیست؟</v>
      </c>
      <c r="H4147" s="1"/>
      <c r="I4147" s="1"/>
      <c r="J4147" s="1"/>
      <c r="K4147" s="1"/>
      <c r="L4147" s="1"/>
      <c r="M4147" s="1"/>
      <c r="N4147" s="1"/>
      <c r="O4147" s="1"/>
      <c r="P4147" s="1"/>
      <c r="Q4147" s="1"/>
      <c r="R4147" s="1"/>
      <c r="S4147" s="1"/>
      <c r="T4147" s="1"/>
      <c r="U4147" s="1"/>
      <c r="V4147" s="1"/>
      <c r="W4147" s="1"/>
      <c r="X4147" s="1"/>
      <c r="Y4147" s="1"/>
      <c r="Z4147" s="1"/>
      <c r="AA4147" s="1"/>
      <c r="AB4147" s="1"/>
    </row>
    <row r="4148" ht="50.25" customHeight="1">
      <c r="A4148" s="12">
        <v>4144.0</v>
      </c>
      <c r="B4148" s="13" t="s">
        <v>3778</v>
      </c>
      <c r="C4148" s="14" t="s">
        <v>4166</v>
      </c>
      <c r="D4148" s="1"/>
      <c r="E4148" s="1"/>
      <c r="F4148" s="1" t="str">
        <f>IFERROR(__xludf.DUMMYFUNCTION("GOOGLETRANSLATE(B4148, ""en"", ""fa"")
"),"برنامه ریز عروسی")</f>
        <v>برنامه ریز عروسی</v>
      </c>
      <c r="G4148" s="1" t="str">
        <f>IFERROR(__xludf.DUMMYFUNCTION("GOOGLETRANSLATE(C4148, ""en"", ""fa"")
"),"ایده هایی برای گنجاندن نذرها یا قول های شخصی در مراسم عروسی به اشتراک بگذارید.")</f>
        <v>ایده هایی برای گنجاندن نذرها یا قول های شخصی در مراسم عروسی به اشتراک بگذارید.</v>
      </c>
      <c r="H4148" s="1"/>
      <c r="I4148" s="1"/>
      <c r="J4148" s="1"/>
      <c r="K4148" s="1"/>
      <c r="L4148" s="1"/>
      <c r="M4148" s="1"/>
      <c r="N4148" s="1"/>
      <c r="O4148" s="1"/>
      <c r="P4148" s="1"/>
      <c r="Q4148" s="1"/>
      <c r="R4148" s="1"/>
      <c r="S4148" s="1"/>
      <c r="T4148" s="1"/>
      <c r="U4148" s="1"/>
      <c r="V4148" s="1"/>
      <c r="W4148" s="1"/>
      <c r="X4148" s="1"/>
      <c r="Y4148" s="1"/>
      <c r="Z4148" s="1"/>
      <c r="AA4148" s="1"/>
      <c r="AB4148" s="1"/>
    </row>
    <row r="4149" ht="50.25" customHeight="1">
      <c r="A4149" s="12">
        <v>4145.0</v>
      </c>
      <c r="B4149" s="13" t="s">
        <v>3778</v>
      </c>
      <c r="C4149" s="14" t="s">
        <v>4167</v>
      </c>
      <c r="D4149" s="1"/>
      <c r="E4149" s="1"/>
      <c r="F4149" s="1" t="str">
        <f>IFERROR(__xludf.DUMMYFUNCTION("GOOGLETRANSLATE(B4149, ""en"", ""fa"")
"),"برنامه ریز عروسی")</f>
        <v>برنامه ریز عروسی</v>
      </c>
      <c r="G4149" s="1" t="str">
        <f>IFERROR(__xludf.DUMMYFUNCTION("GOOGLETRANSLATE(C4149, ""en"", ""fa"")
"),"زوج ها چگونه می توانند خانواده یا والدین خود را در مراسم عروسی شرکت دهند؟")</f>
        <v>زوج ها چگونه می توانند خانواده یا والدین خود را در مراسم عروسی شرکت دهند؟</v>
      </c>
      <c r="H4149" s="1"/>
      <c r="I4149" s="1"/>
      <c r="J4149" s="1"/>
      <c r="K4149" s="1"/>
      <c r="L4149" s="1"/>
      <c r="M4149" s="1"/>
      <c r="N4149" s="1"/>
      <c r="O4149" s="1"/>
      <c r="P4149" s="1"/>
      <c r="Q4149" s="1"/>
      <c r="R4149" s="1"/>
      <c r="S4149" s="1"/>
      <c r="T4149" s="1"/>
      <c r="U4149" s="1"/>
      <c r="V4149" s="1"/>
      <c r="W4149" s="1"/>
      <c r="X4149" s="1"/>
      <c r="Y4149" s="1"/>
      <c r="Z4149" s="1"/>
      <c r="AA4149" s="1"/>
      <c r="AB4149" s="1"/>
    </row>
    <row r="4150" ht="50.25" customHeight="1">
      <c r="A4150" s="12">
        <v>4146.0</v>
      </c>
      <c r="B4150" s="13" t="s">
        <v>3778</v>
      </c>
      <c r="C4150" s="14" t="s">
        <v>4168</v>
      </c>
      <c r="D4150" s="1"/>
      <c r="E4150" s="1"/>
      <c r="F4150" s="1" t="str">
        <f>IFERROR(__xludf.DUMMYFUNCTION("GOOGLETRANSLATE(B4150, ""en"", ""fa"")
"),"برنامه ریز عروسی")</f>
        <v>برنامه ریز عروسی</v>
      </c>
      <c r="G4150" s="1" t="str">
        <f>IFERROR(__xludf.DUMMYFUNCTION("GOOGLETRANSLATE(C4150, ""en"", ""fa"")
"),"عناصر ضروری برای گنجاندن در پس زمینه مراسم عروسی یا طراحی محراب چیست؟")</f>
        <v>عناصر ضروری برای گنجاندن در پس زمینه مراسم عروسی یا طراحی محراب چیست؟</v>
      </c>
      <c r="H4150" s="1"/>
      <c r="I4150" s="1"/>
      <c r="J4150" s="1"/>
      <c r="K4150" s="1"/>
      <c r="L4150" s="1"/>
      <c r="M4150" s="1"/>
      <c r="N4150" s="1"/>
      <c r="O4150" s="1"/>
      <c r="P4150" s="1"/>
      <c r="Q4150" s="1"/>
      <c r="R4150" s="1"/>
      <c r="S4150" s="1"/>
      <c r="T4150" s="1"/>
      <c r="U4150" s="1"/>
      <c r="V4150" s="1"/>
      <c r="W4150" s="1"/>
      <c r="X4150" s="1"/>
      <c r="Y4150" s="1"/>
      <c r="Z4150" s="1"/>
      <c r="AA4150" s="1"/>
      <c r="AB4150" s="1"/>
    </row>
    <row r="4151" ht="50.25" customHeight="1">
      <c r="A4151" s="12">
        <v>4147.0</v>
      </c>
      <c r="B4151" s="13" t="s">
        <v>3778</v>
      </c>
      <c r="C4151" s="14" t="s">
        <v>4169</v>
      </c>
      <c r="D4151" s="1"/>
      <c r="E4151" s="1"/>
      <c r="F4151" s="1" t="str">
        <f>IFERROR(__xludf.DUMMYFUNCTION("GOOGLETRANSLATE(B4151, ""en"", ""fa"")
"),"برنامه ریز عروسی")</f>
        <v>برنامه ریز عروسی</v>
      </c>
      <c r="G4151" s="1" t="str">
        <f>IFERROR(__xludf.DUMMYFUNCTION("GOOGLETRANSLATE(C4151, ""en"", ""fa"")
"),"چند استراتژی برای مدیریت هماهنگی و زمان بندی نشانه های موسیقی در طول مراسم عروسی به اشتراک بگذارید.")</f>
        <v>چند استراتژی برای مدیریت هماهنگی و زمان بندی نشانه های موسیقی در طول مراسم عروسی به اشتراک بگذارید.</v>
      </c>
      <c r="H4151" s="1"/>
      <c r="I4151" s="1"/>
      <c r="J4151" s="1"/>
      <c r="K4151" s="1"/>
      <c r="L4151" s="1"/>
      <c r="M4151" s="1"/>
      <c r="N4151" s="1"/>
      <c r="O4151" s="1"/>
      <c r="P4151" s="1"/>
      <c r="Q4151" s="1"/>
      <c r="R4151" s="1"/>
      <c r="S4151" s="1"/>
      <c r="T4151" s="1"/>
      <c r="U4151" s="1"/>
      <c r="V4151" s="1"/>
      <c r="W4151" s="1"/>
      <c r="X4151" s="1"/>
      <c r="Y4151" s="1"/>
      <c r="Z4151" s="1"/>
      <c r="AA4151" s="1"/>
      <c r="AB4151" s="1"/>
    </row>
    <row r="4152" ht="50.25" customHeight="1">
      <c r="A4152" s="12">
        <v>4148.0</v>
      </c>
      <c r="B4152" s="13" t="s">
        <v>3778</v>
      </c>
      <c r="C4152" s="14" t="s">
        <v>4170</v>
      </c>
      <c r="D4152" s="1"/>
      <c r="E4152" s="1"/>
      <c r="F4152" s="1" t="str">
        <f>IFERROR(__xludf.DUMMYFUNCTION("GOOGLETRANSLATE(B4152, ""en"", ""fa"")
"),"برنامه ریز عروسی")</f>
        <v>برنامه ریز عروسی</v>
      </c>
      <c r="G4152" s="1" t="str">
        <f>IFERROR(__xludf.DUMMYFUNCTION("GOOGLETRANSLATE(C4152, ""en"", ""fa"")
"),"چگونه زوج ها می توانند عناصر طبیعت یا فضای باز را در مراسم عروسی خود بگنجانند؟")</f>
        <v>چگونه زوج ها می توانند عناصر طبیعت یا فضای باز را در مراسم عروسی خود بگنجانند؟</v>
      </c>
      <c r="H4152" s="1"/>
      <c r="I4152" s="1"/>
      <c r="J4152" s="1"/>
      <c r="K4152" s="1"/>
      <c r="L4152" s="1"/>
      <c r="M4152" s="1"/>
      <c r="N4152" s="1"/>
      <c r="O4152" s="1"/>
      <c r="P4152" s="1"/>
      <c r="Q4152" s="1"/>
      <c r="R4152" s="1"/>
      <c r="S4152" s="1"/>
      <c r="T4152" s="1"/>
      <c r="U4152" s="1"/>
      <c r="V4152" s="1"/>
      <c r="W4152" s="1"/>
      <c r="X4152" s="1"/>
      <c r="Y4152" s="1"/>
      <c r="Z4152" s="1"/>
      <c r="AA4152" s="1"/>
      <c r="AB4152" s="1"/>
    </row>
    <row r="4153" ht="50.25" customHeight="1">
      <c r="A4153" s="12">
        <v>4149.0</v>
      </c>
      <c r="B4153" s="13" t="s">
        <v>3778</v>
      </c>
      <c r="C4153" s="14" t="s">
        <v>4171</v>
      </c>
      <c r="D4153" s="1"/>
      <c r="E4153" s="1"/>
      <c r="F4153" s="1" t="str">
        <f>IFERROR(__xludf.DUMMYFUNCTION("GOOGLETRANSLATE(B4153, ""en"", ""fa"")
"),"برنامه ریز عروسی")</f>
        <v>برنامه ریز عروسی</v>
      </c>
      <c r="G4153" s="1" t="str">
        <f>IFERROR(__xludf.DUMMYFUNCTION("GOOGLETRANSLATE(C4153, ""en"", ""fa"")
"),"ملاحظات کلیدی برای انتخاب نور و تنظیم صدا مناسب برای محل برگزاری مراسم عروسی چیست؟")</f>
        <v>ملاحظات کلیدی برای انتخاب نور و تنظیم صدا مناسب برای محل برگزاری مراسم عروسی چیست؟</v>
      </c>
      <c r="H4153" s="1"/>
      <c r="I4153" s="1"/>
      <c r="J4153" s="1"/>
      <c r="K4153" s="1"/>
      <c r="L4153" s="1"/>
      <c r="M4153" s="1"/>
      <c r="N4153" s="1"/>
      <c r="O4153" s="1"/>
      <c r="P4153" s="1"/>
      <c r="Q4153" s="1"/>
      <c r="R4153" s="1"/>
      <c r="S4153" s="1"/>
      <c r="T4153" s="1"/>
      <c r="U4153" s="1"/>
      <c r="V4153" s="1"/>
      <c r="W4153" s="1"/>
      <c r="X4153" s="1"/>
      <c r="Y4153" s="1"/>
      <c r="Z4153" s="1"/>
      <c r="AA4153" s="1"/>
      <c r="AB4153" s="1"/>
    </row>
    <row r="4154" ht="50.25" customHeight="1">
      <c r="A4154" s="12">
        <v>4150.0</v>
      </c>
      <c r="B4154" s="13" t="s">
        <v>3778</v>
      </c>
      <c r="C4154" s="14" t="s">
        <v>4172</v>
      </c>
      <c r="D4154" s="1"/>
      <c r="E4154" s="1"/>
      <c r="F4154" s="1" t="str">
        <f>IFERROR(__xludf.DUMMYFUNCTION("GOOGLETRANSLATE(B4154, ""en"", ""fa"")
"),"برنامه ریز عروسی")</f>
        <v>برنامه ریز عروسی</v>
      </c>
      <c r="G4154" s="1" t="str">
        <f>IFERROR(__xludf.DUMMYFUNCTION("GOOGLETRANSLATE(C4154, ""en"", ""fa"")
"),"نکاتی را برای ایجاد فضای مراسمی که مشارکت و مشارکت مهمان را تشویق می کند، به اشتراک بگذارید.")</f>
        <v>نکاتی را برای ایجاد فضای مراسمی که مشارکت و مشارکت مهمان را تشویق می کند، به اشتراک بگذارید.</v>
      </c>
      <c r="H4154" s="1"/>
      <c r="I4154" s="1"/>
      <c r="J4154" s="1"/>
      <c r="K4154" s="1"/>
      <c r="L4154" s="1"/>
      <c r="M4154" s="1"/>
      <c r="N4154" s="1"/>
      <c r="O4154" s="1"/>
      <c r="P4154" s="1"/>
      <c r="Q4154" s="1"/>
      <c r="R4154" s="1"/>
      <c r="S4154" s="1"/>
      <c r="T4154" s="1"/>
      <c r="U4154" s="1"/>
      <c r="V4154" s="1"/>
      <c r="W4154" s="1"/>
      <c r="X4154" s="1"/>
      <c r="Y4154" s="1"/>
      <c r="Z4154" s="1"/>
      <c r="AA4154" s="1"/>
      <c r="AB4154" s="1"/>
    </row>
    <row r="4155" ht="50.25" customHeight="1">
      <c r="A4155" s="12">
        <v>4151.0</v>
      </c>
      <c r="B4155" s="13" t="s">
        <v>3778</v>
      </c>
      <c r="C4155" s="14" t="s">
        <v>4173</v>
      </c>
      <c r="D4155" s="1"/>
      <c r="E4155" s="1"/>
      <c r="F4155" s="1" t="str">
        <f>IFERROR(__xludf.DUMMYFUNCTION("GOOGLETRANSLATE(B4155, ""en"", ""fa"")
"),"برنامه ریز عروسی")</f>
        <v>برنامه ریز عروسی</v>
      </c>
      <c r="G4155" s="1" t="str">
        <f>IFERROR(__xludf.DUMMYFUNCTION("GOOGLETRANSLATE(C4155, ""en"", ""fa"")
"),"چگونه برنامه ریزان عروسی می توانند به زوج ها کمک کنند تا سنت های عروسی فرهنگی یا مذهبی خود را در کنار برگزاری یک مراسم مدرن و شخصی سازی شده به کار ببرند؟")</f>
        <v>چگونه برنامه ریزان عروسی می توانند به زوج ها کمک کنند تا سنت های عروسی فرهنگی یا مذهبی خود را در کنار برگزاری یک مراسم مدرن و شخصی سازی شده به کار ببرند؟</v>
      </c>
      <c r="H4155" s="1"/>
      <c r="I4155" s="1"/>
      <c r="J4155" s="1"/>
      <c r="K4155" s="1"/>
      <c r="L4155" s="1"/>
      <c r="M4155" s="1"/>
      <c r="N4155" s="1"/>
      <c r="O4155" s="1"/>
      <c r="P4155" s="1"/>
      <c r="Q4155" s="1"/>
      <c r="R4155" s="1"/>
      <c r="S4155" s="1"/>
      <c r="T4155" s="1"/>
      <c r="U4155" s="1"/>
      <c r="V4155" s="1"/>
      <c r="W4155" s="1"/>
      <c r="X4155" s="1"/>
      <c r="Y4155" s="1"/>
      <c r="Z4155" s="1"/>
      <c r="AA4155" s="1"/>
      <c r="AB4155" s="1"/>
    </row>
    <row r="4156" ht="50.25" customHeight="1">
      <c r="A4156" s="12">
        <v>4152.0</v>
      </c>
      <c r="B4156" s="13" t="s">
        <v>3778</v>
      </c>
      <c r="C4156" s="14" t="s">
        <v>4174</v>
      </c>
      <c r="D4156" s="1"/>
      <c r="E4156" s="1"/>
      <c r="F4156" s="1" t="str">
        <f>IFERROR(__xludf.DUMMYFUNCTION("GOOGLETRANSLATE(B4156, ""en"", ""fa"")
"),"برنامه ریز عروسی")</f>
        <v>برنامه ریز عروسی</v>
      </c>
      <c r="G4156" s="1" t="str">
        <f>IFERROR(__xludf.DUMMYFUNCTION("GOOGLETRANSLATE(C4156, ""en"", ""fa"")
"),"بهترین شیوه ها برای مدیریت ارتباط و هماهنگی با شرکت کنندگان مراسم، مانند خوانندگان یا نوازندگان چیست؟")</f>
        <v>بهترین شیوه ها برای مدیریت ارتباط و هماهنگی با شرکت کنندگان مراسم، مانند خوانندگان یا نوازندگان چیست؟</v>
      </c>
      <c r="H4156" s="1"/>
      <c r="I4156" s="1"/>
      <c r="J4156" s="1"/>
      <c r="K4156" s="1"/>
      <c r="L4156" s="1"/>
      <c r="M4156" s="1"/>
      <c r="N4156" s="1"/>
      <c r="O4156" s="1"/>
      <c r="P4156" s="1"/>
      <c r="Q4156" s="1"/>
      <c r="R4156" s="1"/>
      <c r="S4156" s="1"/>
      <c r="T4156" s="1"/>
      <c r="U4156" s="1"/>
      <c r="V4156" s="1"/>
      <c r="W4156" s="1"/>
      <c r="X4156" s="1"/>
      <c r="Y4156" s="1"/>
      <c r="Z4156" s="1"/>
      <c r="AA4156" s="1"/>
      <c r="AB4156" s="1"/>
    </row>
    <row r="4157" ht="50.25" customHeight="1">
      <c r="A4157" s="12">
        <v>4153.0</v>
      </c>
      <c r="B4157" s="13" t="s">
        <v>3778</v>
      </c>
      <c r="C4157" s="14" t="s">
        <v>4175</v>
      </c>
      <c r="D4157" s="1"/>
      <c r="E4157" s="1"/>
      <c r="F4157" s="1" t="str">
        <f>IFERROR(__xludf.DUMMYFUNCTION("GOOGLETRANSLATE(B4157, ""en"", ""fa"")
"),"برنامه ریز عروسی")</f>
        <v>برنامه ریز عروسی</v>
      </c>
      <c r="G4157" s="1" t="str">
        <f>IFERROR(__xludf.DUMMYFUNCTION("GOOGLETRANSLATE(C4157, ""en"", ""fa"")
"),"چند استراتژی برای ایجاد فضای مراسمی که برای مهمانان دارای اختلالات حرکتی یا حسی در دسترس و راحت باشد را به اشتراک بگذارید.")</f>
        <v>چند استراتژی برای ایجاد فضای مراسمی که برای مهمانان دارای اختلالات حرکتی یا حسی در دسترس و راحت باشد را به اشتراک بگذارید.</v>
      </c>
      <c r="H4157" s="1"/>
      <c r="I4157" s="1"/>
      <c r="J4157" s="1"/>
      <c r="K4157" s="1"/>
      <c r="L4157" s="1"/>
      <c r="M4157" s="1"/>
      <c r="N4157" s="1"/>
      <c r="O4157" s="1"/>
      <c r="P4157" s="1"/>
      <c r="Q4157" s="1"/>
      <c r="R4157" s="1"/>
      <c r="S4157" s="1"/>
      <c r="T4157" s="1"/>
      <c r="U4157" s="1"/>
      <c r="V4157" s="1"/>
      <c r="W4157" s="1"/>
      <c r="X4157" s="1"/>
      <c r="Y4157" s="1"/>
      <c r="Z4157" s="1"/>
      <c r="AA4157" s="1"/>
      <c r="AB4157" s="1"/>
    </row>
    <row r="4158" ht="50.25" customHeight="1">
      <c r="A4158" s="12">
        <v>4154.0</v>
      </c>
      <c r="B4158" s="13" t="s">
        <v>3778</v>
      </c>
      <c r="C4158" s="14" t="s">
        <v>4176</v>
      </c>
      <c r="D4158" s="1"/>
      <c r="E4158" s="1"/>
      <c r="F4158" s="1" t="str">
        <f>IFERROR(__xludf.DUMMYFUNCTION("GOOGLETRANSLATE(B4158, ""en"", ""fa"")
"),"برنامه ریز عروسی")</f>
        <v>برنامه ریز عروسی</v>
      </c>
      <c r="G4158" s="1" t="str">
        <f>IFERROR(__xludf.DUMMYFUNCTION("GOOGLETRANSLATE(C4158, ""en"", ""fa"")
"),"چگونه زوج ها می توانند جشن عروسی یا دوستان صمیمی خود را در مراسم عروسی درگیر تشریفات یا ژست های خاص کنند؟")</f>
        <v>چگونه زوج ها می توانند جشن عروسی یا دوستان صمیمی خود را در مراسم عروسی درگیر تشریفات یا ژست های خاص کنند؟</v>
      </c>
      <c r="H4158" s="1"/>
      <c r="I4158" s="1"/>
      <c r="J4158" s="1"/>
      <c r="K4158" s="1"/>
      <c r="L4158" s="1"/>
      <c r="M4158" s="1"/>
      <c r="N4158" s="1"/>
      <c r="O4158" s="1"/>
      <c r="P4158" s="1"/>
      <c r="Q4158" s="1"/>
      <c r="R4158" s="1"/>
      <c r="S4158" s="1"/>
      <c r="T4158" s="1"/>
      <c r="U4158" s="1"/>
      <c r="V4158" s="1"/>
      <c r="W4158" s="1"/>
      <c r="X4158" s="1"/>
      <c r="Y4158" s="1"/>
      <c r="Z4158" s="1"/>
      <c r="AA4158" s="1"/>
      <c r="AB4158" s="1"/>
    </row>
    <row r="4159" ht="50.25" customHeight="1">
      <c r="A4159" s="12">
        <v>4155.0</v>
      </c>
      <c r="B4159" s="13" t="s">
        <v>3778</v>
      </c>
      <c r="C4159" s="14" t="s">
        <v>4177</v>
      </c>
      <c r="D4159" s="1"/>
      <c r="E4159" s="1"/>
      <c r="F4159" s="1" t="str">
        <f>IFERROR(__xludf.DUMMYFUNCTION("GOOGLETRANSLATE(B4159, ""en"", ""fa"")
"),"برنامه ریز عروسی")</f>
        <v>برنامه ریز عروسی</v>
      </c>
      <c r="G4159" s="1" t="str">
        <f>IFERROR(__xludf.DUMMYFUNCTION("GOOGLETRANSLATE(C4159, ""en"", ""fa"")
"),"هنگام ارزیابی روند و ترتیب بخشهای مختلف مراسم، مانند تعویض حلقه یا اعلام ازدواج، چه عواملی ضروری است؟")</f>
        <v>هنگام ارزیابی روند و ترتیب بخشهای مختلف مراسم، مانند تعویض حلقه یا اعلام ازدواج، چه عواملی ضروری است؟</v>
      </c>
      <c r="H4159" s="1"/>
      <c r="I4159" s="1"/>
      <c r="J4159" s="1"/>
      <c r="K4159" s="1"/>
      <c r="L4159" s="1"/>
      <c r="M4159" s="1"/>
      <c r="N4159" s="1"/>
      <c r="O4159" s="1"/>
      <c r="P4159" s="1"/>
      <c r="Q4159" s="1"/>
      <c r="R4159" s="1"/>
      <c r="S4159" s="1"/>
      <c r="T4159" s="1"/>
      <c r="U4159" s="1"/>
      <c r="V4159" s="1"/>
      <c r="W4159" s="1"/>
      <c r="X4159" s="1"/>
      <c r="Y4159" s="1"/>
      <c r="Z4159" s="1"/>
      <c r="AA4159" s="1"/>
      <c r="AB4159" s="1"/>
    </row>
    <row r="4160" ht="50.25" customHeight="1">
      <c r="A4160" s="12">
        <v>4156.0</v>
      </c>
      <c r="B4160" s="13" t="s">
        <v>3778</v>
      </c>
      <c r="C4160" s="14" t="s">
        <v>4178</v>
      </c>
      <c r="D4160" s="1"/>
      <c r="E4160" s="1"/>
      <c r="F4160" s="1" t="str">
        <f>IFERROR(__xludf.DUMMYFUNCTION("GOOGLETRANSLATE(B4160, ""en"", ""fa"")
"),"برنامه ریز عروسی")</f>
        <v>برنامه ریز عروسی</v>
      </c>
      <c r="G4160" s="1" t="str">
        <f>IFERROR(__xludf.DUMMYFUNCTION("GOOGLETRANSLATE(C4160, ""en"", ""fa"")
"),"ایده هایی برای ایجاد فضایی صمیمی و صمیمی در مراسم، حتی برای عروسی های بزرگتر به اشتراک بگذارید.")</f>
        <v>ایده هایی برای ایجاد فضایی صمیمی و صمیمی در مراسم، حتی برای عروسی های بزرگتر به اشتراک بگذارید.</v>
      </c>
      <c r="H4160" s="1"/>
      <c r="I4160" s="1"/>
      <c r="J4160" s="1"/>
      <c r="K4160" s="1"/>
      <c r="L4160" s="1"/>
      <c r="M4160" s="1"/>
      <c r="N4160" s="1"/>
      <c r="O4160" s="1"/>
      <c r="P4160" s="1"/>
      <c r="Q4160" s="1"/>
      <c r="R4160" s="1"/>
      <c r="S4160" s="1"/>
      <c r="T4160" s="1"/>
      <c r="U4160" s="1"/>
      <c r="V4160" s="1"/>
      <c r="W4160" s="1"/>
      <c r="X4160" s="1"/>
      <c r="Y4160" s="1"/>
      <c r="Z4160" s="1"/>
      <c r="AA4160" s="1"/>
      <c r="AB4160" s="1"/>
    </row>
    <row r="4161" ht="50.25" customHeight="1">
      <c r="A4161" s="12">
        <v>4157.0</v>
      </c>
      <c r="B4161" s="13" t="s">
        <v>3778</v>
      </c>
      <c r="C4161" s="14" t="s">
        <v>4179</v>
      </c>
      <c r="D4161" s="1"/>
      <c r="E4161" s="1"/>
      <c r="F4161" s="1" t="str">
        <f>IFERROR(__xludf.DUMMYFUNCTION("GOOGLETRANSLATE(B4161, ""en"", ""fa"")
"),"برنامه ریز عروسی")</f>
        <v>برنامه ریز عروسی</v>
      </c>
      <c r="G4161" s="1" t="str">
        <f>IFERROR(__xludf.DUMMYFUNCTION("GOOGLETRANSLATE(C4161, ""en"", ""fa"")
"),"چگونه زوج ها می توانند عناصر میراث یا اصل و نسب خود را در مراسم عروسی خود بگنجانند؟")</f>
        <v>چگونه زوج ها می توانند عناصر میراث یا اصل و نسب خود را در مراسم عروسی خود بگنجانند؟</v>
      </c>
      <c r="H4161" s="1"/>
      <c r="I4161" s="1"/>
      <c r="J4161" s="1"/>
      <c r="K4161" s="1"/>
      <c r="L4161" s="1"/>
      <c r="M4161" s="1"/>
      <c r="N4161" s="1"/>
      <c r="O4161" s="1"/>
      <c r="P4161" s="1"/>
      <c r="Q4161" s="1"/>
      <c r="R4161" s="1"/>
      <c r="S4161" s="1"/>
      <c r="T4161" s="1"/>
      <c r="U4161" s="1"/>
      <c r="V4161" s="1"/>
      <c r="W4161" s="1"/>
      <c r="X4161" s="1"/>
      <c r="Y4161" s="1"/>
      <c r="Z4161" s="1"/>
      <c r="AA4161" s="1"/>
      <c r="AB4161" s="1"/>
    </row>
    <row r="4162" ht="50.25" customHeight="1">
      <c r="A4162" s="12">
        <v>4158.0</v>
      </c>
      <c r="B4162" s="13" t="s">
        <v>3778</v>
      </c>
      <c r="C4162" s="14" t="s">
        <v>4180</v>
      </c>
      <c r="D4162" s="1"/>
      <c r="E4162" s="1"/>
      <c r="F4162" s="1" t="str">
        <f>IFERROR(__xludf.DUMMYFUNCTION("GOOGLETRANSLATE(B4162, ""en"", ""fa"")
"),"برنامه ریز عروسی")</f>
        <v>برنامه ریز عروسی</v>
      </c>
      <c r="G4162" s="1" t="str">
        <f>IFERROR(__xludf.DUMMYFUNCTION("GOOGLETRANSLATE(C4162, ""en"", ""fa"")
"),"ملاحظات کلیدی برای انتخاب مجری مراسم مناسب که بتواند به طور موثر داستان عشق و دیدگاه زوجین را منتقل کند، چیست؟")</f>
        <v>ملاحظات کلیدی برای انتخاب مجری مراسم مناسب که بتواند به طور موثر داستان عشق و دیدگاه زوجین را منتقل کند، چیست؟</v>
      </c>
      <c r="H4162" s="1"/>
      <c r="I4162" s="1"/>
      <c r="J4162" s="1"/>
      <c r="K4162" s="1"/>
      <c r="L4162" s="1"/>
      <c r="M4162" s="1"/>
      <c r="N4162" s="1"/>
      <c r="O4162" s="1"/>
      <c r="P4162" s="1"/>
      <c r="Q4162" s="1"/>
      <c r="R4162" s="1"/>
      <c r="S4162" s="1"/>
      <c r="T4162" s="1"/>
      <c r="U4162" s="1"/>
      <c r="V4162" s="1"/>
      <c r="W4162" s="1"/>
      <c r="X4162" s="1"/>
      <c r="Y4162" s="1"/>
      <c r="Z4162" s="1"/>
      <c r="AA4162" s="1"/>
      <c r="AB4162" s="1"/>
    </row>
    <row r="4163" ht="50.25" customHeight="1">
      <c r="A4163" s="12">
        <v>4159.0</v>
      </c>
      <c r="B4163" s="13" t="s">
        <v>3778</v>
      </c>
      <c r="C4163" s="14" t="s">
        <v>4181</v>
      </c>
      <c r="D4163" s="1"/>
      <c r="E4163" s="1"/>
      <c r="F4163" s="1" t="str">
        <f>IFERROR(__xludf.DUMMYFUNCTION("GOOGLETRANSLATE(B4163, ""en"", ""fa"")
"),"برنامه ریز عروسی")</f>
        <v>برنامه ریز عروسی</v>
      </c>
      <c r="G4163" s="1" t="str">
        <f>IFERROR(__xludf.DUMMYFUNCTION("GOOGLETRANSLATE(C4163, ""en"", ""fa"")
"),"نکاتی را برای ایجاد یک جدول زمانی مراسم به اشتراک بگذارید تا لحظاتی از تأمل و ارتباط عاطفی بین زوج و مهمانانشان را فراهم کند.")</f>
        <v>نکاتی را برای ایجاد یک جدول زمانی مراسم به اشتراک بگذارید تا لحظاتی از تأمل و ارتباط عاطفی بین زوج و مهمانانشان را فراهم کند.</v>
      </c>
      <c r="H4163" s="1"/>
      <c r="I4163" s="1"/>
      <c r="J4163" s="1"/>
      <c r="K4163" s="1"/>
      <c r="L4163" s="1"/>
      <c r="M4163" s="1"/>
      <c r="N4163" s="1"/>
      <c r="O4163" s="1"/>
      <c r="P4163" s="1"/>
      <c r="Q4163" s="1"/>
      <c r="R4163" s="1"/>
      <c r="S4163" s="1"/>
      <c r="T4163" s="1"/>
      <c r="U4163" s="1"/>
      <c r="V4163" s="1"/>
      <c r="W4163" s="1"/>
      <c r="X4163" s="1"/>
      <c r="Y4163" s="1"/>
      <c r="Z4163" s="1"/>
      <c r="AA4163" s="1"/>
      <c r="AB4163" s="1"/>
    </row>
    <row r="4164" ht="50.25" customHeight="1">
      <c r="A4164" s="12">
        <v>4160.0</v>
      </c>
      <c r="B4164" s="13" t="s">
        <v>3778</v>
      </c>
      <c r="C4164" s="14" t="s">
        <v>4182</v>
      </c>
      <c r="D4164" s="1"/>
      <c r="E4164" s="1"/>
      <c r="F4164" s="1" t="str">
        <f>IFERROR(__xludf.DUMMYFUNCTION("GOOGLETRANSLATE(B4164, ""en"", ""fa"")
"),"برنامه ریز عروسی")</f>
        <v>برنامه ریز عروسی</v>
      </c>
      <c r="G4164" s="1" t="str">
        <f>IFERROR(__xludf.DUMMYFUNCTION("GOOGLETRANSLATE(C4164, ""en"", ""fa"")
"),"برنامه ریزان عروسی چگونه می توانند به زوج ها در ترکیب عناصر منحصر به فرد و غیر سنتی مراسم، مانند اجرای غافلگیرکننده یا عمل نمادین کمک کنند؟")</f>
        <v>برنامه ریزان عروسی چگونه می توانند به زوج ها در ترکیب عناصر منحصر به فرد و غیر سنتی مراسم، مانند اجرای غافلگیرکننده یا عمل نمادین کمک کنند؟</v>
      </c>
      <c r="H4164" s="1"/>
      <c r="I4164" s="1"/>
      <c r="J4164" s="1"/>
      <c r="K4164" s="1"/>
      <c r="L4164" s="1"/>
      <c r="M4164" s="1"/>
      <c r="N4164" s="1"/>
      <c r="O4164" s="1"/>
      <c r="P4164" s="1"/>
      <c r="Q4164" s="1"/>
      <c r="R4164" s="1"/>
      <c r="S4164" s="1"/>
      <c r="T4164" s="1"/>
      <c r="U4164" s="1"/>
      <c r="V4164" s="1"/>
      <c r="W4164" s="1"/>
      <c r="X4164" s="1"/>
      <c r="Y4164" s="1"/>
      <c r="Z4164" s="1"/>
      <c r="AA4164" s="1"/>
      <c r="AB4164" s="1"/>
    </row>
    <row r="4165" ht="50.25" customHeight="1">
      <c r="A4165" s="12">
        <v>4161.0</v>
      </c>
      <c r="B4165" s="13" t="s">
        <v>3778</v>
      </c>
      <c r="C4165" s="14" t="s">
        <v>4183</v>
      </c>
      <c r="D4165" s="1"/>
      <c r="E4165" s="1"/>
      <c r="F4165" s="1" t="str">
        <f>IFERROR(__xludf.DUMMYFUNCTION("GOOGLETRANSLATE(B4165, ""en"", ""fa"")
"),"برنامه ریز عروسی")</f>
        <v>برنامه ریز عروسی</v>
      </c>
      <c r="G4165" s="1" t="str">
        <f>IFERROR(__xludf.DUMMYFUNCTION("GOOGLETRANSLATE(C4165, ""en"", ""fa"")
"),"عناصر ضروری برای درج در برگه یا جدول زمانی مراسم عروسی برای جشن عروسی و فروشندگان چیست؟")</f>
        <v>عناصر ضروری برای درج در برگه یا جدول زمانی مراسم عروسی برای جشن عروسی و فروشندگان چیست؟</v>
      </c>
      <c r="H4165" s="1"/>
      <c r="I4165" s="1"/>
      <c r="J4165" s="1"/>
      <c r="K4165" s="1"/>
      <c r="L4165" s="1"/>
      <c r="M4165" s="1"/>
      <c r="N4165" s="1"/>
      <c r="O4165" s="1"/>
      <c r="P4165" s="1"/>
      <c r="Q4165" s="1"/>
      <c r="R4165" s="1"/>
      <c r="S4165" s="1"/>
      <c r="T4165" s="1"/>
      <c r="U4165" s="1"/>
      <c r="V4165" s="1"/>
      <c r="W4165" s="1"/>
      <c r="X4165" s="1"/>
      <c r="Y4165" s="1"/>
      <c r="Z4165" s="1"/>
      <c r="AA4165" s="1"/>
      <c r="AB4165" s="1"/>
    </row>
    <row r="4166" ht="50.25" customHeight="1">
      <c r="A4166" s="12">
        <v>4162.0</v>
      </c>
      <c r="B4166" s="13" t="s">
        <v>3778</v>
      </c>
      <c r="C4166" s="14" t="s">
        <v>4184</v>
      </c>
      <c r="D4166" s="1"/>
      <c r="E4166" s="1"/>
      <c r="F4166" s="1" t="str">
        <f>IFERROR(__xludf.DUMMYFUNCTION("GOOGLETRANSLATE(B4166, ""en"", ""fa"")
"),"برنامه ریز عروسی")</f>
        <v>برنامه ریز عروسی</v>
      </c>
      <c r="G4166" s="1" t="str">
        <f>IFERROR(__xludf.DUMMYFUNCTION("GOOGLETRANSLATE(C4166, ""en"", ""fa"")
"),"راهکارهایی را برای مدیریت هماهنگی و زمان بندی موسیقی دسته جمعی و دورهمی در مراسم عروسی به اشتراک بگذارید.")</f>
        <v>راهکارهایی را برای مدیریت هماهنگی و زمان بندی موسیقی دسته جمعی و دورهمی در مراسم عروسی به اشتراک بگذارید.</v>
      </c>
      <c r="H4166" s="1"/>
      <c r="I4166" s="1"/>
      <c r="J4166" s="1"/>
      <c r="K4166" s="1"/>
      <c r="L4166" s="1"/>
      <c r="M4166" s="1"/>
      <c r="N4166" s="1"/>
      <c r="O4166" s="1"/>
      <c r="P4166" s="1"/>
      <c r="Q4166" s="1"/>
      <c r="R4166" s="1"/>
      <c r="S4166" s="1"/>
      <c r="T4166" s="1"/>
      <c r="U4166" s="1"/>
      <c r="V4166" s="1"/>
      <c r="W4166" s="1"/>
      <c r="X4166" s="1"/>
      <c r="Y4166" s="1"/>
      <c r="Z4166" s="1"/>
      <c r="AA4166" s="1"/>
      <c r="AB4166" s="1"/>
    </row>
    <row r="4167" ht="50.25" customHeight="1">
      <c r="A4167" s="12">
        <v>4163.0</v>
      </c>
      <c r="B4167" s="13" t="s">
        <v>3778</v>
      </c>
      <c r="C4167" s="14" t="s">
        <v>4185</v>
      </c>
      <c r="D4167" s="1"/>
      <c r="E4167" s="1"/>
      <c r="F4167" s="1" t="str">
        <f>IFERROR(__xludf.DUMMYFUNCTION("GOOGLETRANSLATE(B4167, ""en"", ""fa"")
"),"برنامه ریز عروسی")</f>
        <v>برنامه ریز عروسی</v>
      </c>
      <c r="G4167" s="1" t="str">
        <f>IFERROR(__xludf.DUMMYFUNCTION("GOOGLETRANSLATE(C4167, ""en"", ""fa"")
"),"زوج ها چگونه می توانند مهمانان خود را در مراسم عروسی مشارکت دهند؟")</f>
        <v>زوج ها چگونه می توانند مهمانان خود را در مراسم عروسی مشارکت دهند؟</v>
      </c>
      <c r="H4167" s="1"/>
      <c r="I4167" s="1"/>
      <c r="J4167" s="1"/>
      <c r="K4167" s="1"/>
      <c r="L4167" s="1"/>
      <c r="M4167" s="1"/>
      <c r="N4167" s="1"/>
      <c r="O4167" s="1"/>
      <c r="P4167" s="1"/>
      <c r="Q4167" s="1"/>
      <c r="R4167" s="1"/>
      <c r="S4167" s="1"/>
      <c r="T4167" s="1"/>
      <c r="U4167" s="1"/>
      <c r="V4167" s="1"/>
      <c r="W4167" s="1"/>
      <c r="X4167" s="1"/>
      <c r="Y4167" s="1"/>
      <c r="Z4167" s="1"/>
      <c r="AA4167" s="1"/>
      <c r="AB4167" s="1"/>
    </row>
    <row r="4168" ht="50.25" customHeight="1">
      <c r="A4168" s="12">
        <v>4164.0</v>
      </c>
      <c r="B4168" s="13" t="s">
        <v>3778</v>
      </c>
      <c r="C4168" s="14" t="s">
        <v>4186</v>
      </c>
      <c r="D4168" s="1"/>
      <c r="E4168" s="1"/>
      <c r="F4168" s="1" t="str">
        <f>IFERROR(__xludf.DUMMYFUNCTION("GOOGLETRANSLATE(B4168, ""en"", ""fa"")
"),"برنامه ریز عروسی")</f>
        <v>برنامه ریز عروسی</v>
      </c>
      <c r="G4168" s="1" t="str">
        <f>IFERROR(__xludf.DUMMYFUNCTION("GOOGLETRANSLATE(C4168, ""en"", ""fa"")
"),"بهترین شیوه ها برای مدیریت چیدمان صندلی و جریان مهمان در فضای مراسم چیست؟")</f>
        <v>بهترین شیوه ها برای مدیریت چیدمان صندلی و جریان مهمان در فضای مراسم چیست؟</v>
      </c>
      <c r="H4168" s="1"/>
      <c r="I4168" s="1"/>
      <c r="J4168" s="1"/>
      <c r="K4168" s="1"/>
      <c r="L4168" s="1"/>
      <c r="M4168" s="1"/>
      <c r="N4168" s="1"/>
      <c r="O4168" s="1"/>
      <c r="P4168" s="1"/>
      <c r="Q4168" s="1"/>
      <c r="R4168" s="1"/>
      <c r="S4168" s="1"/>
      <c r="T4168" s="1"/>
      <c r="U4168" s="1"/>
      <c r="V4168" s="1"/>
      <c r="W4168" s="1"/>
      <c r="X4168" s="1"/>
      <c r="Y4168" s="1"/>
      <c r="Z4168" s="1"/>
      <c r="AA4168" s="1"/>
      <c r="AB4168" s="1"/>
    </row>
    <row r="4169" ht="50.25" customHeight="1">
      <c r="A4169" s="12">
        <v>4165.0</v>
      </c>
      <c r="B4169" s="13" t="s">
        <v>3778</v>
      </c>
      <c r="C4169" s="14" t="s">
        <v>4187</v>
      </c>
      <c r="D4169" s="1"/>
      <c r="E4169" s="1"/>
      <c r="F4169" s="1" t="str">
        <f>IFERROR(__xludf.DUMMYFUNCTION("GOOGLETRANSLATE(B4169, ""en"", ""fa"")
"),"برنامه ریز عروسی")</f>
        <v>برنامه ریز عروسی</v>
      </c>
      <c r="G4169" s="1" t="str">
        <f>IFERROR(__xludf.DUMMYFUNCTION("GOOGLETRANSLATE(C4169, ""en"", ""fa"")
"),"ایده هایی برای ایجاد یک تجربه مراسم که شامل ادیان، باورها و فرهنگ های مختلف باشد را به اشتراک بگذارید.")</f>
        <v>ایده هایی برای ایجاد یک تجربه مراسم که شامل ادیان، باورها و فرهنگ های مختلف باشد را به اشتراک بگذارید.</v>
      </c>
      <c r="H4169" s="1"/>
      <c r="I4169" s="1"/>
      <c r="J4169" s="1"/>
      <c r="K4169" s="1"/>
      <c r="L4169" s="1"/>
      <c r="M4169" s="1"/>
      <c r="N4169" s="1"/>
      <c r="O4169" s="1"/>
      <c r="P4169" s="1"/>
      <c r="Q4169" s="1"/>
      <c r="R4169" s="1"/>
      <c r="S4169" s="1"/>
      <c r="T4169" s="1"/>
      <c r="U4169" s="1"/>
      <c r="V4169" s="1"/>
      <c r="W4169" s="1"/>
      <c r="X4169" s="1"/>
      <c r="Y4169" s="1"/>
      <c r="Z4169" s="1"/>
      <c r="AA4169" s="1"/>
      <c r="AB4169" s="1"/>
    </row>
    <row r="4170" ht="50.25" customHeight="1">
      <c r="A4170" s="12">
        <v>4166.0</v>
      </c>
      <c r="B4170" s="13" t="s">
        <v>3778</v>
      </c>
      <c r="C4170" s="14" t="s">
        <v>4188</v>
      </c>
      <c r="D4170" s="1"/>
      <c r="E4170" s="1"/>
      <c r="F4170" s="1" t="str">
        <f>IFERROR(__xludf.DUMMYFUNCTION("GOOGLETRANSLATE(B4170, ""en"", ""fa"")
"),"برنامه ریز عروسی")</f>
        <v>برنامه ریز عروسی</v>
      </c>
      <c r="G4170" s="1" t="str">
        <f>IFERROR(__xludf.DUMMYFUNCTION("GOOGLETRANSLATE(C4170, ""en"", ""fa"")
"),"چگونه زوج ها می توانند منویی ایجاد کنند که منعکس کننده سلایق و ترجیحات شخصی آنها باشد؟")</f>
        <v>چگونه زوج ها می توانند منویی ایجاد کنند که منعکس کننده سلایق و ترجیحات شخصی آنها باشد؟</v>
      </c>
      <c r="H4170" s="1"/>
      <c r="I4170" s="1"/>
      <c r="J4170" s="1"/>
      <c r="K4170" s="1"/>
      <c r="L4170" s="1"/>
      <c r="M4170" s="1"/>
      <c r="N4170" s="1"/>
      <c r="O4170" s="1"/>
      <c r="P4170" s="1"/>
      <c r="Q4170" s="1"/>
      <c r="R4170" s="1"/>
      <c r="S4170" s="1"/>
      <c r="T4170" s="1"/>
      <c r="U4170" s="1"/>
      <c r="V4170" s="1"/>
      <c r="W4170" s="1"/>
      <c r="X4170" s="1"/>
      <c r="Y4170" s="1"/>
      <c r="Z4170" s="1"/>
      <c r="AA4170" s="1"/>
      <c r="AB4170" s="1"/>
    </row>
    <row r="4171" ht="50.25" customHeight="1">
      <c r="A4171" s="12">
        <v>4167.0</v>
      </c>
      <c r="B4171" s="13" t="s">
        <v>3778</v>
      </c>
      <c r="C4171" s="14" t="s">
        <v>4189</v>
      </c>
      <c r="D4171" s="1"/>
      <c r="E4171" s="1"/>
      <c r="F4171" s="1" t="str">
        <f>IFERROR(__xludf.DUMMYFUNCTION("GOOGLETRANSLATE(B4171, ""en"", ""fa"")
"),"برنامه ریز عروسی")</f>
        <v>برنامه ریز عروسی</v>
      </c>
      <c r="G4171" s="1" t="str">
        <f>IFERROR(__xludf.DUMMYFUNCTION("GOOGLETRANSLATE(C4171, ""en"", ""fa"")
"),"ایده هایی برای ترکیب مواد فصلی و محلی در منوی عروسی به اشتراک بگذارید.")</f>
        <v>ایده هایی برای ترکیب مواد فصلی و محلی در منوی عروسی به اشتراک بگذارید.</v>
      </c>
      <c r="H4171" s="1"/>
      <c r="I4171" s="1"/>
      <c r="J4171" s="1"/>
      <c r="K4171" s="1"/>
      <c r="L4171" s="1"/>
      <c r="M4171" s="1"/>
      <c r="N4171" s="1"/>
      <c r="O4171" s="1"/>
      <c r="P4171" s="1"/>
      <c r="Q4171" s="1"/>
      <c r="R4171" s="1"/>
      <c r="S4171" s="1"/>
      <c r="T4171" s="1"/>
      <c r="U4171" s="1"/>
      <c r="V4171" s="1"/>
      <c r="W4171" s="1"/>
      <c r="X4171" s="1"/>
      <c r="Y4171" s="1"/>
      <c r="Z4171" s="1"/>
      <c r="AA4171" s="1"/>
      <c r="AB4171" s="1"/>
    </row>
    <row r="4172" ht="50.25" customHeight="1">
      <c r="A4172" s="12">
        <v>4168.0</v>
      </c>
      <c r="B4172" s="13" t="s">
        <v>3778</v>
      </c>
      <c r="C4172" s="14" t="s">
        <v>4190</v>
      </c>
      <c r="D4172" s="1"/>
      <c r="E4172" s="1"/>
      <c r="F4172" s="1" t="str">
        <f>IFERROR(__xludf.DUMMYFUNCTION("GOOGLETRANSLATE(B4172, ""en"", ""fa"")
"),"برنامه ریز عروسی")</f>
        <v>برنامه ریز عروسی</v>
      </c>
      <c r="G4172" s="1" t="str">
        <f>IFERROR(__xludf.DUMMYFUNCTION("GOOGLETRANSLATE(C4172, ""en"", ""fa"")
"),"چه فاکتورهای ضروری برای انتخاب یک سرویس پذیرایی یا کیترینگ عروسی باید در نظر گرفته شود؟")</f>
        <v>چه فاکتورهای ضروری برای انتخاب یک سرویس پذیرایی یا کیترینگ عروسی باید در نظر گرفته شود؟</v>
      </c>
      <c r="H4172" s="1"/>
      <c r="I4172" s="1"/>
      <c r="J4172" s="1"/>
      <c r="K4172" s="1"/>
      <c r="L4172" s="1"/>
      <c r="M4172" s="1"/>
      <c r="N4172" s="1"/>
      <c r="O4172" s="1"/>
      <c r="P4172" s="1"/>
      <c r="Q4172" s="1"/>
      <c r="R4172" s="1"/>
      <c r="S4172" s="1"/>
      <c r="T4172" s="1"/>
      <c r="U4172" s="1"/>
      <c r="V4172" s="1"/>
      <c r="W4172" s="1"/>
      <c r="X4172" s="1"/>
      <c r="Y4172" s="1"/>
      <c r="Z4172" s="1"/>
      <c r="AA4172" s="1"/>
      <c r="AB4172" s="1"/>
    </row>
    <row r="4173" ht="50.25" customHeight="1">
      <c r="A4173" s="12">
        <v>4169.0</v>
      </c>
      <c r="B4173" s="13" t="s">
        <v>3778</v>
      </c>
      <c r="C4173" s="14" t="s">
        <v>4191</v>
      </c>
      <c r="D4173" s="1"/>
      <c r="E4173" s="1"/>
      <c r="F4173" s="1" t="str">
        <f>IFERROR(__xludf.DUMMYFUNCTION("GOOGLETRANSLATE(B4173, ""en"", ""fa"")
"),"برنامه ریز عروسی")</f>
        <v>برنامه ریز عروسی</v>
      </c>
      <c r="G4173" s="1" t="str">
        <f>IFERROR(__xludf.DUMMYFUNCTION("GOOGLETRANSLATE(C4173, ""en"", ""fa"")
"),"برنامه ریزان عروسی چگونه می توانند به زوج ها در طراحی منویی که محدودیت ها و ترجیحات غذایی مختلف را در بر می گیرد کمک کنند؟")</f>
        <v>برنامه ریزان عروسی چگونه می توانند به زوج ها در طراحی منویی که محدودیت ها و ترجیحات غذایی مختلف را در بر می گیرد کمک کنند؟</v>
      </c>
      <c r="H4173" s="1"/>
      <c r="I4173" s="1"/>
      <c r="J4173" s="1"/>
      <c r="K4173" s="1"/>
      <c r="L4173" s="1"/>
      <c r="M4173" s="1"/>
      <c r="N4173" s="1"/>
      <c r="O4173" s="1"/>
      <c r="P4173" s="1"/>
      <c r="Q4173" s="1"/>
      <c r="R4173" s="1"/>
      <c r="S4173" s="1"/>
      <c r="T4173" s="1"/>
      <c r="U4173" s="1"/>
      <c r="V4173" s="1"/>
      <c r="W4173" s="1"/>
      <c r="X4173" s="1"/>
      <c r="Y4173" s="1"/>
      <c r="Z4173" s="1"/>
      <c r="AA4173" s="1"/>
      <c r="AB4173" s="1"/>
    </row>
    <row r="4174" ht="50.25" customHeight="1">
      <c r="A4174" s="12">
        <v>4170.0</v>
      </c>
      <c r="B4174" s="13" t="s">
        <v>3778</v>
      </c>
      <c r="C4174" s="14" t="s">
        <v>4192</v>
      </c>
      <c r="D4174" s="1"/>
      <c r="E4174" s="1"/>
      <c r="F4174" s="1" t="str">
        <f>IFERROR(__xludf.DUMMYFUNCTION("GOOGLETRANSLATE(B4174, ""en"", ""fa"")
"),"برنامه ریز عروسی")</f>
        <v>برنامه ریز عروسی</v>
      </c>
      <c r="G4174" s="1" t="str">
        <f>IFERROR(__xludf.DUMMYFUNCTION("GOOGLETRANSLATE(C4174, ""en"", ""fa"")
"),"چند استراتژی برای ایجاد یک منوی منسجم و متعادل با در نظر گرفتن دوره‌ها و پروفایل‌های طعم مختلف به اشتراک بگذارید.")</f>
        <v>چند استراتژی برای ایجاد یک منوی منسجم و متعادل با در نظر گرفتن دوره‌ها و پروفایل‌های طعم مختلف به اشتراک بگذارید.</v>
      </c>
      <c r="H4174" s="1"/>
      <c r="I4174" s="1"/>
      <c r="J4174" s="1"/>
      <c r="K4174" s="1"/>
      <c r="L4174" s="1"/>
      <c r="M4174" s="1"/>
      <c r="N4174" s="1"/>
      <c r="O4174" s="1"/>
      <c r="P4174" s="1"/>
      <c r="Q4174" s="1"/>
      <c r="R4174" s="1"/>
      <c r="S4174" s="1"/>
      <c r="T4174" s="1"/>
      <c r="U4174" s="1"/>
      <c r="V4174" s="1"/>
      <c r="W4174" s="1"/>
      <c r="X4174" s="1"/>
      <c r="Y4174" s="1"/>
      <c r="Z4174" s="1"/>
      <c r="AA4174" s="1"/>
      <c r="AB4174" s="1"/>
    </row>
    <row r="4175" ht="50.25" customHeight="1">
      <c r="A4175" s="12">
        <v>4171.0</v>
      </c>
      <c r="B4175" s="13" t="s">
        <v>3778</v>
      </c>
      <c r="C4175" s="14" t="s">
        <v>4193</v>
      </c>
      <c r="D4175" s="1"/>
      <c r="E4175" s="1"/>
      <c r="F4175" s="1" t="str">
        <f>IFERROR(__xludf.DUMMYFUNCTION("GOOGLETRANSLATE(B4175, ""en"", ""fa"")
"),"برنامه ریز عروسی")</f>
        <v>برنامه ریز عروسی</v>
      </c>
      <c r="G4175" s="1" t="str">
        <f>IFERROR(__xludf.DUMMYFUNCTION("GOOGLETRANSLATE(C4175, ""en"", ""fa"")
"),"ملاحظات کلیدی برای انتخاب سبک مناسب برای پذیرایی عروسی، مانند بوفه، آبکاری یا سبک خانوادگی چیست؟")</f>
        <v>ملاحظات کلیدی برای انتخاب سبک مناسب برای پذیرایی عروسی، مانند بوفه، آبکاری یا سبک خانوادگی چیست؟</v>
      </c>
      <c r="H4175" s="1"/>
      <c r="I4175" s="1"/>
      <c r="J4175" s="1"/>
      <c r="K4175" s="1"/>
      <c r="L4175" s="1"/>
      <c r="M4175" s="1"/>
      <c r="N4175" s="1"/>
      <c r="O4175" s="1"/>
      <c r="P4175" s="1"/>
      <c r="Q4175" s="1"/>
      <c r="R4175" s="1"/>
      <c r="S4175" s="1"/>
      <c r="T4175" s="1"/>
      <c r="U4175" s="1"/>
      <c r="V4175" s="1"/>
      <c r="W4175" s="1"/>
      <c r="X4175" s="1"/>
      <c r="Y4175" s="1"/>
      <c r="Z4175" s="1"/>
      <c r="AA4175" s="1"/>
      <c r="AB4175" s="1"/>
    </row>
    <row r="4176" ht="50.25" customHeight="1">
      <c r="A4176" s="12">
        <v>4172.0</v>
      </c>
      <c r="B4176" s="13" t="s">
        <v>3778</v>
      </c>
      <c r="C4176" s="14" t="s">
        <v>4194</v>
      </c>
      <c r="D4176" s="1"/>
      <c r="E4176" s="1"/>
      <c r="F4176" s="1" t="str">
        <f>IFERROR(__xludf.DUMMYFUNCTION("GOOGLETRANSLATE(B4176, ""en"", ""fa"")
"),"برنامه ریز عروسی")</f>
        <v>برنامه ریز عروسی</v>
      </c>
      <c r="G4176" s="1" t="str">
        <f>IFERROR(__xludf.DUMMYFUNCTION("GOOGLETRANSLATE(C4176, ""en"", ""fa"")
"),"چگونه زوج ها می توانند غذاهای فرهنگی یا منطقه ای را در منوی عروسی خود برای جشن گرفتن میراث خود بگنجانند؟")</f>
        <v>چگونه زوج ها می توانند غذاهای فرهنگی یا منطقه ای را در منوی عروسی خود برای جشن گرفتن میراث خود بگنجانند؟</v>
      </c>
      <c r="H4176" s="1"/>
      <c r="I4176" s="1"/>
      <c r="J4176" s="1"/>
      <c r="K4176" s="1"/>
      <c r="L4176" s="1"/>
      <c r="M4176" s="1"/>
      <c r="N4176" s="1"/>
      <c r="O4176" s="1"/>
      <c r="P4176" s="1"/>
      <c r="Q4176" s="1"/>
      <c r="R4176" s="1"/>
      <c r="S4176" s="1"/>
      <c r="T4176" s="1"/>
      <c r="U4176" s="1"/>
      <c r="V4176" s="1"/>
      <c r="W4176" s="1"/>
      <c r="X4176" s="1"/>
      <c r="Y4176" s="1"/>
      <c r="Z4176" s="1"/>
      <c r="AA4176" s="1"/>
      <c r="AB4176" s="1"/>
    </row>
    <row r="4177" ht="50.25" customHeight="1">
      <c r="A4177" s="12">
        <v>4173.0</v>
      </c>
      <c r="B4177" s="13" t="s">
        <v>3778</v>
      </c>
      <c r="C4177" s="14" t="s">
        <v>4195</v>
      </c>
      <c r="D4177" s="1"/>
      <c r="E4177" s="1"/>
      <c r="F4177" s="1" t="str">
        <f>IFERROR(__xludf.DUMMYFUNCTION("GOOGLETRANSLATE(B4177, ""en"", ""fa"")
"),"برنامه ریز عروسی")</f>
        <v>برنامه ریز عروسی</v>
      </c>
      <c r="G4177" s="1" t="str">
        <f>IFERROR(__xludf.DUMMYFUNCTION("GOOGLETRANSLATE(C4177, ""en"", ""fa"")
"),"نکاتی را برای ایجاد یک تجربه غذا و نوشیدنی به یاد ماندنی و تعاملی، مانند ایستگاه های غذا یا کوکتل بارهای ویژه، به اشتراک بگذارید.")</f>
        <v>نکاتی را برای ایجاد یک تجربه غذا و نوشیدنی به یاد ماندنی و تعاملی، مانند ایستگاه های غذا یا کوکتل بارهای ویژه، به اشتراک بگذارید.</v>
      </c>
      <c r="H4177" s="1"/>
      <c r="I4177" s="1"/>
      <c r="J4177" s="1"/>
      <c r="K4177" s="1"/>
      <c r="L4177" s="1"/>
      <c r="M4177" s="1"/>
      <c r="N4177" s="1"/>
      <c r="O4177" s="1"/>
      <c r="P4177" s="1"/>
      <c r="Q4177" s="1"/>
      <c r="R4177" s="1"/>
      <c r="S4177" s="1"/>
      <c r="T4177" s="1"/>
      <c r="U4177" s="1"/>
      <c r="V4177" s="1"/>
      <c r="W4177" s="1"/>
      <c r="X4177" s="1"/>
      <c r="Y4177" s="1"/>
      <c r="Z4177" s="1"/>
      <c r="AA4177" s="1"/>
      <c r="AB4177" s="1"/>
    </row>
    <row r="4178" ht="50.25" customHeight="1">
      <c r="A4178" s="12">
        <v>4174.0</v>
      </c>
      <c r="B4178" s="13" t="s">
        <v>3778</v>
      </c>
      <c r="C4178" s="14" t="s">
        <v>4196</v>
      </c>
      <c r="D4178" s="1"/>
      <c r="E4178" s="1"/>
      <c r="F4178" s="1" t="str">
        <f>IFERROR(__xludf.DUMMYFUNCTION("GOOGLETRANSLATE(B4178, ""en"", ""fa"")
"),"برنامه ریز عروسی")</f>
        <v>برنامه ریز عروسی</v>
      </c>
      <c r="G4178" s="1" t="str">
        <f>IFERROR(__xludf.DUMMYFUNCTION("GOOGLETRANSLATE(C4178, ""en"", ""fa"")
"),"برنامه ریزان عروسی چگونه می توانند به زوج ها در مدیریت تدارکات مزه های منو و نهایی کردن منوی عروسی کمک کنند؟")</f>
        <v>برنامه ریزان عروسی چگونه می توانند به زوج ها در مدیریت تدارکات مزه های منو و نهایی کردن منوی عروسی کمک کنند؟</v>
      </c>
      <c r="H4178" s="1"/>
      <c r="I4178" s="1"/>
      <c r="J4178" s="1"/>
      <c r="K4178" s="1"/>
      <c r="L4178" s="1"/>
      <c r="M4178" s="1"/>
      <c r="N4178" s="1"/>
      <c r="O4178" s="1"/>
      <c r="P4178" s="1"/>
      <c r="Q4178" s="1"/>
      <c r="R4178" s="1"/>
      <c r="S4178" s="1"/>
      <c r="T4178" s="1"/>
      <c r="U4178" s="1"/>
      <c r="V4178" s="1"/>
      <c r="W4178" s="1"/>
      <c r="X4178" s="1"/>
      <c r="Y4178" s="1"/>
      <c r="Z4178" s="1"/>
      <c r="AA4178" s="1"/>
      <c r="AB4178" s="1"/>
    </row>
    <row r="4179" ht="50.25" customHeight="1">
      <c r="A4179" s="12">
        <v>4175.0</v>
      </c>
      <c r="B4179" s="13" t="s">
        <v>3778</v>
      </c>
      <c r="C4179" s="14" t="s">
        <v>4197</v>
      </c>
      <c r="D4179" s="1"/>
      <c r="E4179" s="1"/>
      <c r="F4179" s="1" t="str">
        <f>IFERROR(__xludf.DUMMYFUNCTION("GOOGLETRANSLATE(B4179, ""en"", ""fa"")
"),"برنامه ریز عروسی")</f>
        <v>برنامه ریز عروسی</v>
      </c>
      <c r="G4179" s="1" t="str">
        <f>IFERROR(__xludf.DUMMYFUNCTION("GOOGLETRANSLATE(C4179, ""en"", ""fa"")
"),"عناصر ضروری برای درج در کارت منوی عروسی یا نمایش برای مهمانان چیست؟")</f>
        <v>عناصر ضروری برای درج در کارت منوی عروسی یا نمایش برای مهمانان چیست؟</v>
      </c>
      <c r="H4179" s="1"/>
      <c r="I4179" s="1"/>
      <c r="J4179" s="1"/>
      <c r="K4179" s="1"/>
      <c r="L4179" s="1"/>
      <c r="M4179" s="1"/>
      <c r="N4179" s="1"/>
      <c r="O4179" s="1"/>
      <c r="P4179" s="1"/>
      <c r="Q4179" s="1"/>
      <c r="R4179" s="1"/>
      <c r="S4179" s="1"/>
      <c r="T4179" s="1"/>
      <c r="U4179" s="1"/>
      <c r="V4179" s="1"/>
      <c r="W4179" s="1"/>
      <c r="X4179" s="1"/>
      <c r="Y4179" s="1"/>
      <c r="Z4179" s="1"/>
      <c r="AA4179" s="1"/>
      <c r="AB4179" s="1"/>
    </row>
    <row r="4180" ht="50.25" customHeight="1">
      <c r="A4180" s="12">
        <v>4176.0</v>
      </c>
      <c r="B4180" s="13" t="s">
        <v>3778</v>
      </c>
      <c r="C4180" s="14" t="s">
        <v>4198</v>
      </c>
      <c r="D4180" s="1"/>
      <c r="E4180" s="1"/>
      <c r="F4180" s="1" t="str">
        <f>IFERROR(__xludf.DUMMYFUNCTION("GOOGLETRANSLATE(B4180, ""en"", ""fa"")
"),"برنامه ریز عروسی")</f>
        <v>برنامه ریز عروسی</v>
      </c>
      <c r="G4180" s="1" t="str">
        <f>IFERROR(__xludf.DUMMYFUNCTION("GOOGLETRANSLATE(C4180, ""en"", ""fa"")
"),"چند ایده برای ترکیب روش های ارائه غذا و آبکاری منحصر به فرد و خلاقانه به اشتراک بگذارید.")</f>
        <v>چند ایده برای ترکیب روش های ارائه غذا و آبکاری منحصر به فرد و خلاقانه به اشتراک بگذارید.</v>
      </c>
      <c r="H4180" s="1"/>
      <c r="I4180" s="1"/>
      <c r="J4180" s="1"/>
      <c r="K4180" s="1"/>
      <c r="L4180" s="1"/>
      <c r="M4180" s="1"/>
      <c r="N4180" s="1"/>
      <c r="O4180" s="1"/>
      <c r="P4180" s="1"/>
      <c r="Q4180" s="1"/>
      <c r="R4180" s="1"/>
      <c r="S4180" s="1"/>
      <c r="T4180" s="1"/>
      <c r="U4180" s="1"/>
      <c r="V4180" s="1"/>
      <c r="W4180" s="1"/>
      <c r="X4180" s="1"/>
      <c r="Y4180" s="1"/>
      <c r="Z4180" s="1"/>
      <c r="AA4180" s="1"/>
      <c r="AB4180" s="1"/>
    </row>
    <row r="4181" ht="50.25" customHeight="1">
      <c r="A4181" s="12">
        <v>4177.0</v>
      </c>
      <c r="B4181" s="13" t="s">
        <v>3778</v>
      </c>
      <c r="C4181" s="14" t="s">
        <v>4199</v>
      </c>
      <c r="D4181" s="1"/>
      <c r="E4181" s="1"/>
      <c r="F4181" s="1" t="str">
        <f>IFERROR(__xludf.DUMMYFUNCTION("GOOGLETRANSLATE(B4181, ""en"", ""fa"")
"),"برنامه ریز عروسی")</f>
        <v>برنامه ریز عروسی</v>
      </c>
      <c r="G4181" s="1" t="str">
        <f>IFERROR(__xludf.DUMMYFUNCTION("GOOGLETRANSLATE(C4181, ""en"", ""fa"")
"),"چگونه زوج ها می توانند شراب و نوشیدنی مناسب را برای منوی عروسی خود انتخاب کنند؟")</f>
        <v>چگونه زوج ها می توانند شراب و نوشیدنی مناسب را برای منوی عروسی خود انتخاب کنند؟</v>
      </c>
      <c r="H4181" s="1"/>
      <c r="I4181" s="1"/>
      <c r="J4181" s="1"/>
      <c r="K4181" s="1"/>
      <c r="L4181" s="1"/>
      <c r="M4181" s="1"/>
      <c r="N4181" s="1"/>
      <c r="O4181" s="1"/>
      <c r="P4181" s="1"/>
      <c r="Q4181" s="1"/>
      <c r="R4181" s="1"/>
      <c r="S4181" s="1"/>
      <c r="T4181" s="1"/>
      <c r="U4181" s="1"/>
      <c r="V4181" s="1"/>
      <c r="W4181" s="1"/>
      <c r="X4181" s="1"/>
      <c r="Y4181" s="1"/>
      <c r="Z4181" s="1"/>
      <c r="AA4181" s="1"/>
      <c r="AB4181" s="1"/>
    </row>
    <row r="4182" ht="50.25" customHeight="1">
      <c r="A4182" s="12">
        <v>4178.0</v>
      </c>
      <c r="B4182" s="13" t="s">
        <v>3778</v>
      </c>
      <c r="C4182" s="14" t="s">
        <v>4200</v>
      </c>
      <c r="D4182" s="1"/>
      <c r="E4182" s="1"/>
      <c r="F4182" s="1" t="str">
        <f>IFERROR(__xludf.DUMMYFUNCTION("GOOGLETRANSLATE(B4182, ""en"", ""fa"")
"),"برنامه ریز عروسی")</f>
        <v>برنامه ریز عروسی</v>
      </c>
      <c r="G4182" s="1" t="str">
        <f>IFERROR(__xludf.DUMMYFUNCTION("GOOGLETRANSLATE(C4182, ""en"", ""fa"")
"),"بهترین روش ها برای مدیریت هماهنگی و زمان بندی سرو غذا در طول پذیرایی عروسی چیست؟")</f>
        <v>بهترین روش ها برای مدیریت هماهنگی و زمان بندی سرو غذا در طول پذیرایی عروسی چیست؟</v>
      </c>
      <c r="H4182" s="1"/>
      <c r="I4182" s="1"/>
      <c r="J4182" s="1"/>
      <c r="K4182" s="1"/>
      <c r="L4182" s="1"/>
      <c r="M4182" s="1"/>
      <c r="N4182" s="1"/>
      <c r="O4182" s="1"/>
      <c r="P4182" s="1"/>
      <c r="Q4182" s="1"/>
      <c r="R4182" s="1"/>
      <c r="S4182" s="1"/>
      <c r="T4182" s="1"/>
      <c r="U4182" s="1"/>
      <c r="V4182" s="1"/>
      <c r="W4182" s="1"/>
      <c r="X4182" s="1"/>
      <c r="Y4182" s="1"/>
      <c r="Z4182" s="1"/>
      <c r="AA4182" s="1"/>
      <c r="AB4182" s="1"/>
    </row>
    <row r="4183" ht="50.25" customHeight="1">
      <c r="A4183" s="12">
        <v>4179.0</v>
      </c>
      <c r="B4183" s="13" t="s">
        <v>3778</v>
      </c>
      <c r="C4183" s="14" t="s">
        <v>4201</v>
      </c>
      <c r="D4183" s="1"/>
      <c r="E4183" s="1"/>
      <c r="F4183" s="1" t="str">
        <f>IFERROR(__xludf.DUMMYFUNCTION("GOOGLETRANSLATE(B4183, ""en"", ""fa"")
"),"برنامه ریز عروسی")</f>
        <v>برنامه ریز عروسی</v>
      </c>
      <c r="G4183" s="1" t="str">
        <f>IFERROR(__xludf.DUMMYFUNCTION("GOOGLETRANSLATE(C4183, ""en"", ""fa"")
"),"چند استراتژی برای مدیریت بودجه پذیرایی بدون به خطر انداختن کیفیت و رضایت مهمانان به اشتراک بگذارید.")</f>
        <v>چند استراتژی برای مدیریت بودجه پذیرایی بدون به خطر انداختن کیفیت و رضایت مهمانان به اشتراک بگذارید.</v>
      </c>
      <c r="H4183" s="1"/>
      <c r="I4183" s="1"/>
      <c r="J4183" s="1"/>
      <c r="K4183" s="1"/>
      <c r="L4183" s="1"/>
      <c r="M4183" s="1"/>
      <c r="N4183" s="1"/>
      <c r="O4183" s="1"/>
      <c r="P4183" s="1"/>
      <c r="Q4183" s="1"/>
      <c r="R4183" s="1"/>
      <c r="S4183" s="1"/>
      <c r="T4183" s="1"/>
      <c r="U4183" s="1"/>
      <c r="V4183" s="1"/>
      <c r="W4183" s="1"/>
      <c r="X4183" s="1"/>
      <c r="Y4183" s="1"/>
      <c r="Z4183" s="1"/>
      <c r="AA4183" s="1"/>
      <c r="AB4183" s="1"/>
    </row>
    <row r="4184" ht="50.25" customHeight="1">
      <c r="A4184" s="12">
        <v>4180.0</v>
      </c>
      <c r="B4184" s="13" t="s">
        <v>3778</v>
      </c>
      <c r="C4184" s="14" t="s">
        <v>4202</v>
      </c>
      <c r="D4184" s="1"/>
      <c r="E4184" s="1"/>
      <c r="F4184" s="1" t="str">
        <f>IFERROR(__xludf.DUMMYFUNCTION("GOOGLETRANSLATE(B4184, ""en"", ""fa"")
"),"برنامه ریز عروسی")</f>
        <v>برنامه ریز عروسی</v>
      </c>
      <c r="G4184" s="1" t="str">
        <f>IFERROR(__xludf.DUMMYFUNCTION("GOOGLETRANSLATE(C4184, ""en"", ""fa"")
"),"چگونه زوج ها می توانند غذاهای راحتی مورد علاقه خود یا غذاهای مورد علاقه دوران کودکی خود را در منوی عروسی خود بگنجانند؟")</f>
        <v>چگونه زوج ها می توانند غذاهای راحتی مورد علاقه خود یا غذاهای مورد علاقه دوران کودکی خود را در منوی عروسی خود بگنجانند؟</v>
      </c>
      <c r="H4184" s="1"/>
      <c r="I4184" s="1"/>
      <c r="J4184" s="1"/>
      <c r="K4184" s="1"/>
      <c r="L4184" s="1"/>
      <c r="M4184" s="1"/>
      <c r="N4184" s="1"/>
      <c r="O4184" s="1"/>
      <c r="P4184" s="1"/>
      <c r="Q4184" s="1"/>
      <c r="R4184" s="1"/>
      <c r="S4184" s="1"/>
      <c r="T4184" s="1"/>
      <c r="U4184" s="1"/>
      <c r="V4184" s="1"/>
      <c r="W4184" s="1"/>
      <c r="X4184" s="1"/>
      <c r="Y4184" s="1"/>
      <c r="Z4184" s="1"/>
      <c r="AA4184" s="1"/>
      <c r="AB4184" s="1"/>
    </row>
    <row r="4185" ht="50.25" customHeight="1">
      <c r="A4185" s="12">
        <v>4181.0</v>
      </c>
      <c r="B4185" s="13" t="s">
        <v>3778</v>
      </c>
      <c r="C4185" s="14" t="s">
        <v>4203</v>
      </c>
      <c r="D4185" s="1"/>
      <c r="E4185" s="1"/>
      <c r="F4185" s="1" t="str">
        <f>IFERROR(__xludf.DUMMYFUNCTION("GOOGLETRANSLATE(B4185, ""en"", ""fa"")
"),"برنامه ریز عروسی")</f>
        <v>برنامه ریز عروسی</v>
      </c>
      <c r="G4185" s="1" t="str">
        <f>IFERROR(__xludf.DUMMYFUNCTION("GOOGLETRANSLATE(C4185, ""en"", ""fa"")
"),"ملاحظات کلیدی برای ایجاد منوی مناسب برای بزرگسالان و کودکانی که در مراسم عروسی شرکت می کنند چیست؟")</f>
        <v>ملاحظات کلیدی برای ایجاد منوی مناسب برای بزرگسالان و کودکانی که در مراسم عروسی شرکت می کنند چیست؟</v>
      </c>
      <c r="H4185" s="1"/>
      <c r="I4185" s="1"/>
      <c r="J4185" s="1"/>
      <c r="K4185" s="1"/>
      <c r="L4185" s="1"/>
      <c r="M4185" s="1"/>
      <c r="N4185" s="1"/>
      <c r="O4185" s="1"/>
      <c r="P4185" s="1"/>
      <c r="Q4185" s="1"/>
      <c r="R4185" s="1"/>
      <c r="S4185" s="1"/>
      <c r="T4185" s="1"/>
      <c r="U4185" s="1"/>
      <c r="V4185" s="1"/>
      <c r="W4185" s="1"/>
      <c r="X4185" s="1"/>
      <c r="Y4185" s="1"/>
      <c r="Z4185" s="1"/>
      <c r="AA4185" s="1"/>
      <c r="AB4185" s="1"/>
    </row>
    <row r="4186" ht="50.25" customHeight="1">
      <c r="A4186" s="12">
        <v>4182.0</v>
      </c>
      <c r="B4186" s="13" t="s">
        <v>3778</v>
      </c>
      <c r="C4186" s="14" t="s">
        <v>4204</v>
      </c>
      <c r="D4186" s="1"/>
      <c r="E4186" s="1"/>
      <c r="F4186" s="1" t="str">
        <f>IFERROR(__xludf.DUMMYFUNCTION("GOOGLETRANSLATE(B4186, ""en"", ""fa"")
"),"برنامه ریز عروسی")</f>
        <v>برنامه ریز عروسی</v>
      </c>
      <c r="G4186" s="1" t="str">
        <f>IFERROR(__xludf.DUMMYFUNCTION("GOOGLETRANSLATE(C4186, ""en"", ""fa"")
"),"نکاتی را برای طراحی میز دسر یا نمایشگر شیرینی که غذاهای متنوعی را برای مهمانان ارائه می دهد، به اشتراک بگذارید.")</f>
        <v>نکاتی را برای طراحی میز دسر یا نمایشگر شیرینی که غذاهای متنوعی را برای مهمانان ارائه می دهد، به اشتراک بگذارید.</v>
      </c>
      <c r="H4186" s="1"/>
      <c r="I4186" s="1"/>
      <c r="J4186" s="1"/>
      <c r="K4186" s="1"/>
      <c r="L4186" s="1"/>
      <c r="M4186" s="1"/>
      <c r="N4186" s="1"/>
      <c r="O4186" s="1"/>
      <c r="P4186" s="1"/>
      <c r="Q4186" s="1"/>
      <c r="R4186" s="1"/>
      <c r="S4186" s="1"/>
      <c r="T4186" s="1"/>
      <c r="U4186" s="1"/>
      <c r="V4186" s="1"/>
      <c r="W4186" s="1"/>
      <c r="X4186" s="1"/>
      <c r="Y4186" s="1"/>
      <c r="Z4186" s="1"/>
      <c r="AA4186" s="1"/>
      <c r="AB4186" s="1"/>
    </row>
    <row r="4187" ht="50.25" customHeight="1">
      <c r="A4187" s="12">
        <v>4183.0</v>
      </c>
      <c r="B4187" s="13" t="s">
        <v>3778</v>
      </c>
      <c r="C4187" s="14" t="s">
        <v>4205</v>
      </c>
      <c r="D4187" s="1"/>
      <c r="E4187" s="1"/>
      <c r="F4187" s="1" t="str">
        <f>IFERROR(__xludf.DUMMYFUNCTION("GOOGLETRANSLATE(B4187, ""en"", ""fa"")
"),"برنامه ریز عروسی")</f>
        <v>برنامه ریز عروسی</v>
      </c>
      <c r="G4187" s="1" t="str">
        <f>IFERROR(__xludf.DUMMYFUNCTION("GOOGLETRANSLATE(C4187, ""en"", ""fa"")
"),"برنامه ریزان عروسی چگونه می توانند به زوج ها در برنامه ریزی و اجرای یک ساعت کوکتل به یاد ماندنی و شخصی کمک کنند؟")</f>
        <v>برنامه ریزان عروسی چگونه می توانند به زوج ها در برنامه ریزی و اجرای یک ساعت کوکتل به یاد ماندنی و شخصی کمک کنند؟</v>
      </c>
      <c r="H4187" s="1"/>
      <c r="I4187" s="1"/>
      <c r="J4187" s="1"/>
      <c r="K4187" s="1"/>
      <c r="L4187" s="1"/>
      <c r="M4187" s="1"/>
      <c r="N4187" s="1"/>
      <c r="O4187" s="1"/>
      <c r="P4187" s="1"/>
      <c r="Q4187" s="1"/>
      <c r="R4187" s="1"/>
      <c r="S4187" s="1"/>
      <c r="T4187" s="1"/>
      <c r="U4187" s="1"/>
      <c r="V4187" s="1"/>
      <c r="W4187" s="1"/>
      <c r="X4187" s="1"/>
      <c r="Y4187" s="1"/>
      <c r="Z4187" s="1"/>
      <c r="AA4187" s="1"/>
      <c r="AB4187" s="1"/>
    </row>
    <row r="4188" ht="50.25" customHeight="1">
      <c r="A4188" s="12">
        <v>4184.0</v>
      </c>
      <c r="B4188" s="13" t="s">
        <v>3778</v>
      </c>
      <c r="C4188" s="14" t="s">
        <v>4206</v>
      </c>
      <c r="D4188" s="1"/>
      <c r="E4188" s="1"/>
      <c r="F4188" s="1" t="str">
        <f>IFERROR(__xludf.DUMMYFUNCTION("GOOGLETRANSLATE(B4188, ""en"", ""fa"")
"),"برنامه ریز عروسی")</f>
        <v>برنامه ریز عروسی</v>
      </c>
      <c r="G4188" s="1" t="str">
        <f>IFERROR(__xludf.DUMMYFUNCTION("GOOGLETRANSLATE(C4188, ""en"", ""fa"")
"),"هنگام انتخاب کیک عروسی یا گزینه های دسر جایگزین چه فاکتورهای ضروری را باید در نظر گرفت؟")</f>
        <v>هنگام انتخاب کیک عروسی یا گزینه های دسر جایگزین چه فاکتورهای ضروری را باید در نظر گرفت؟</v>
      </c>
      <c r="H4188" s="1"/>
      <c r="I4188" s="1"/>
      <c r="J4188" s="1"/>
      <c r="K4188" s="1"/>
      <c r="L4188" s="1"/>
      <c r="M4188" s="1"/>
      <c r="N4188" s="1"/>
      <c r="O4188" s="1"/>
      <c r="P4188" s="1"/>
      <c r="Q4188" s="1"/>
      <c r="R4188" s="1"/>
      <c r="S4188" s="1"/>
      <c r="T4188" s="1"/>
      <c r="U4188" s="1"/>
      <c r="V4188" s="1"/>
      <c r="W4188" s="1"/>
      <c r="X4188" s="1"/>
      <c r="Y4188" s="1"/>
      <c r="Z4188" s="1"/>
      <c r="AA4188" s="1"/>
      <c r="AB4188" s="1"/>
    </row>
    <row r="4189" ht="50.25" customHeight="1">
      <c r="A4189" s="12">
        <v>4185.0</v>
      </c>
      <c r="B4189" s="13" t="s">
        <v>3778</v>
      </c>
      <c r="C4189" s="14" t="s">
        <v>4207</v>
      </c>
      <c r="D4189" s="1"/>
      <c r="E4189" s="1"/>
      <c r="F4189" s="1" t="str">
        <f>IFERROR(__xludf.DUMMYFUNCTION("GOOGLETRANSLATE(B4189, ""en"", ""fa"")
"),"برنامه ریز عروسی")</f>
        <v>برنامه ریز عروسی</v>
      </c>
      <c r="G4189" s="1" t="str">
        <f>IFERROR(__xludf.DUMMYFUNCTION("GOOGLETRANSLATE(C4189, ""en"", ""fa"")
"),"ایده هایی برای ترکیب ایستگاه های غذای تعاملی یا ایستگاه های سرآشپز در مراسم عروسی به اشتراک بگذارید.")</f>
        <v>ایده هایی برای ترکیب ایستگاه های غذای تعاملی یا ایستگاه های سرآشپز در مراسم عروسی به اشتراک بگذارید.</v>
      </c>
      <c r="H4189" s="1"/>
      <c r="I4189" s="1"/>
      <c r="J4189" s="1"/>
      <c r="K4189" s="1"/>
      <c r="L4189" s="1"/>
      <c r="M4189" s="1"/>
      <c r="N4189" s="1"/>
      <c r="O4189" s="1"/>
      <c r="P4189" s="1"/>
      <c r="Q4189" s="1"/>
      <c r="R4189" s="1"/>
      <c r="S4189" s="1"/>
      <c r="T4189" s="1"/>
      <c r="U4189" s="1"/>
      <c r="V4189" s="1"/>
      <c r="W4189" s="1"/>
      <c r="X4189" s="1"/>
      <c r="Y4189" s="1"/>
      <c r="Z4189" s="1"/>
      <c r="AA4189" s="1"/>
      <c r="AB4189" s="1"/>
    </row>
    <row r="4190" ht="50.25" customHeight="1">
      <c r="A4190" s="12">
        <v>4186.0</v>
      </c>
      <c r="B4190" s="13" t="s">
        <v>3778</v>
      </c>
      <c r="C4190" s="14" t="s">
        <v>4208</v>
      </c>
      <c r="D4190" s="1"/>
      <c r="E4190" s="1"/>
      <c r="F4190" s="1" t="str">
        <f>IFERROR(__xludf.DUMMYFUNCTION("GOOGLETRANSLATE(B4190, ""en"", ""fa"")
"),"برنامه ریز عروسی")</f>
        <v>برنامه ریز عروسی</v>
      </c>
      <c r="G4190" s="1" t="str">
        <f>IFERROR(__xludf.DUMMYFUNCTION("GOOGLETRANSLATE(C4190, ""en"", ""fa"")
"),"چگونه زوج ها می توانند کوکتل های منحصر به فرد و خاص را در منوی بار عروسی خود بگنجانند؟")</f>
        <v>چگونه زوج ها می توانند کوکتل های منحصر به فرد و خاص را در منوی بار عروسی خود بگنجانند؟</v>
      </c>
      <c r="H4190" s="1"/>
      <c r="I4190" s="1"/>
      <c r="J4190" s="1"/>
      <c r="K4190" s="1"/>
      <c r="L4190" s="1"/>
      <c r="M4190" s="1"/>
      <c r="N4190" s="1"/>
      <c r="O4190" s="1"/>
      <c r="P4190" s="1"/>
      <c r="Q4190" s="1"/>
      <c r="R4190" s="1"/>
      <c r="S4190" s="1"/>
      <c r="T4190" s="1"/>
      <c r="U4190" s="1"/>
      <c r="V4190" s="1"/>
      <c r="W4190" s="1"/>
      <c r="X4190" s="1"/>
      <c r="Y4190" s="1"/>
      <c r="Z4190" s="1"/>
      <c r="AA4190" s="1"/>
      <c r="AB4190" s="1"/>
    </row>
    <row r="4191" ht="50.25" customHeight="1">
      <c r="A4191" s="12">
        <v>4187.0</v>
      </c>
      <c r="B4191" s="13" t="s">
        <v>3778</v>
      </c>
      <c r="C4191" s="14" t="s">
        <v>4209</v>
      </c>
      <c r="D4191" s="1"/>
      <c r="E4191" s="1"/>
      <c r="F4191" s="1" t="str">
        <f>IFERROR(__xludf.DUMMYFUNCTION("GOOGLETRANSLATE(B4191, ""en"", ""fa"")
"),"برنامه ریز عروسی")</f>
        <v>برنامه ریز عروسی</v>
      </c>
      <c r="G4191" s="1" t="str">
        <f>IFERROR(__xludf.DUMMYFUNCTION("GOOGLETRANSLATE(C4191, ""en"", ""fa"")
"),"ملاحظات کلیدی برای مدیریت هماهنگی و تدارکات خدمات بار در طول پذیرایی عروسی چیست؟")</f>
        <v>ملاحظات کلیدی برای مدیریت هماهنگی و تدارکات خدمات بار در طول پذیرایی عروسی چیست؟</v>
      </c>
      <c r="H4191" s="1"/>
      <c r="I4191" s="1"/>
      <c r="J4191" s="1"/>
      <c r="K4191" s="1"/>
      <c r="L4191" s="1"/>
      <c r="M4191" s="1"/>
      <c r="N4191" s="1"/>
      <c r="O4191" s="1"/>
      <c r="P4191" s="1"/>
      <c r="Q4191" s="1"/>
      <c r="R4191" s="1"/>
      <c r="S4191" s="1"/>
      <c r="T4191" s="1"/>
      <c r="U4191" s="1"/>
      <c r="V4191" s="1"/>
      <c r="W4191" s="1"/>
      <c r="X4191" s="1"/>
      <c r="Y4191" s="1"/>
      <c r="Z4191" s="1"/>
      <c r="AA4191" s="1"/>
      <c r="AB4191" s="1"/>
    </row>
    <row r="4192" ht="50.25" customHeight="1">
      <c r="A4192" s="12">
        <v>4188.0</v>
      </c>
      <c r="B4192" s="13" t="s">
        <v>3778</v>
      </c>
      <c r="C4192" s="14" t="s">
        <v>4210</v>
      </c>
      <c r="D4192" s="1"/>
      <c r="E4192" s="1"/>
      <c r="F4192" s="1" t="str">
        <f>IFERROR(__xludf.DUMMYFUNCTION("GOOGLETRANSLATE(B4192, ""en"", ""fa"")
"),"برنامه ریز عروسی")</f>
        <v>برنامه ریز عروسی</v>
      </c>
      <c r="G4192" s="1" t="str">
        <f>IFERROR(__xludf.DUMMYFUNCTION("GOOGLETRANSLATE(C4192, ""en"", ""fa"")
"),"برخی از استراتژی‌ها را برای ایجاد منویی به اشتراک بگذارید که برای مهمانان با نیازهای غذایی خاص، مانند گزینه‌های بدون گلوتن یا وگان، پاسخگو باشد.")</f>
        <v>برخی از استراتژی‌ها را برای ایجاد منویی به اشتراک بگذارید که برای مهمانان با نیازهای غذایی خاص، مانند گزینه‌های بدون گلوتن یا وگان، پاسخگو باشد.</v>
      </c>
      <c r="H4192" s="1"/>
      <c r="I4192" s="1"/>
      <c r="J4192" s="1"/>
      <c r="K4192" s="1"/>
      <c r="L4192" s="1"/>
      <c r="M4192" s="1"/>
      <c r="N4192" s="1"/>
      <c r="O4192" s="1"/>
      <c r="P4192" s="1"/>
      <c r="Q4192" s="1"/>
      <c r="R4192" s="1"/>
      <c r="S4192" s="1"/>
      <c r="T4192" s="1"/>
      <c r="U4192" s="1"/>
      <c r="V4192" s="1"/>
      <c r="W4192" s="1"/>
      <c r="X4192" s="1"/>
      <c r="Y4192" s="1"/>
      <c r="Z4192" s="1"/>
      <c r="AA4192" s="1"/>
      <c r="AB4192" s="1"/>
    </row>
    <row r="4193" ht="50.25" customHeight="1">
      <c r="A4193" s="12">
        <v>4189.0</v>
      </c>
      <c r="B4193" s="13" t="s">
        <v>3778</v>
      </c>
      <c r="C4193" s="14" t="s">
        <v>4211</v>
      </c>
      <c r="D4193" s="1"/>
      <c r="E4193" s="1"/>
      <c r="F4193" s="1" t="str">
        <f>IFERROR(__xludf.DUMMYFUNCTION("GOOGLETRANSLATE(B4193, ""en"", ""fa"")
"),"برنامه ریز عروسی")</f>
        <v>برنامه ریز عروسی</v>
      </c>
      <c r="G4193" s="1" t="str">
        <f>IFERROR(__xludf.DUMMYFUNCTION("GOOGLETRANSLATE(C4193, ""en"", ""fa"")
"),"برنامه ریزان عروسی چگونه می توانند به زوج ها در انتخاب ظروف غذاخوری و سبک ارائه مناسب برای پذیرایی عروسی کمک کنند؟")</f>
        <v>برنامه ریزان عروسی چگونه می توانند به زوج ها در انتخاب ظروف غذاخوری و سبک ارائه مناسب برای پذیرایی عروسی کمک کنند؟</v>
      </c>
      <c r="H4193" s="1"/>
      <c r="I4193" s="1"/>
      <c r="J4193" s="1"/>
      <c r="K4193" s="1"/>
      <c r="L4193" s="1"/>
      <c r="M4193" s="1"/>
      <c r="N4193" s="1"/>
      <c r="O4193" s="1"/>
      <c r="P4193" s="1"/>
      <c r="Q4193" s="1"/>
      <c r="R4193" s="1"/>
      <c r="S4193" s="1"/>
      <c r="T4193" s="1"/>
      <c r="U4193" s="1"/>
      <c r="V4193" s="1"/>
      <c r="W4193" s="1"/>
      <c r="X4193" s="1"/>
      <c r="Y4193" s="1"/>
      <c r="Z4193" s="1"/>
      <c r="AA4193" s="1"/>
      <c r="AB4193" s="1"/>
    </row>
    <row r="4194" ht="50.25" customHeight="1">
      <c r="A4194" s="12">
        <v>4190.0</v>
      </c>
      <c r="B4194" s="13" t="s">
        <v>3778</v>
      </c>
      <c r="C4194" s="14" t="s">
        <v>4212</v>
      </c>
      <c r="D4194" s="1"/>
      <c r="E4194" s="1"/>
      <c r="F4194" s="1" t="str">
        <f>IFERROR(__xludf.DUMMYFUNCTION("GOOGLETRANSLATE(B4194, ""en"", ""fa"")
"),"برنامه ریز عروسی")</f>
        <v>برنامه ریز عروسی</v>
      </c>
      <c r="G4194" s="1" t="str">
        <f>IFERROR(__xludf.DUMMYFUNCTION("GOOGLETRANSLATE(C4194, ""en"", ""fa"")
"),"بهترین روش ها برای مدیریت مقدار و اندازه غذا و نوشیدنی ها برای جلوگیری از هدر رفتن چیست؟")</f>
        <v>بهترین روش ها برای مدیریت مقدار و اندازه غذا و نوشیدنی ها برای جلوگیری از هدر رفتن چیست؟</v>
      </c>
      <c r="H4194" s="1"/>
      <c r="I4194" s="1"/>
      <c r="J4194" s="1"/>
      <c r="K4194" s="1"/>
      <c r="L4194" s="1"/>
      <c r="M4194" s="1"/>
      <c r="N4194" s="1"/>
      <c r="O4194" s="1"/>
      <c r="P4194" s="1"/>
      <c r="Q4194" s="1"/>
      <c r="R4194" s="1"/>
      <c r="S4194" s="1"/>
      <c r="T4194" s="1"/>
      <c r="U4194" s="1"/>
      <c r="V4194" s="1"/>
      <c r="W4194" s="1"/>
      <c r="X4194" s="1"/>
      <c r="Y4194" s="1"/>
      <c r="Z4194" s="1"/>
      <c r="AA4194" s="1"/>
      <c r="AB4194" s="1"/>
    </row>
    <row r="4195" ht="50.25" customHeight="1">
      <c r="A4195" s="12">
        <v>4191.0</v>
      </c>
      <c r="B4195" s="13" t="s">
        <v>3778</v>
      </c>
      <c r="C4195" s="14" t="s">
        <v>4213</v>
      </c>
      <c r="D4195" s="1"/>
      <c r="E4195" s="1"/>
      <c r="F4195" s="1" t="str">
        <f>IFERROR(__xludf.DUMMYFUNCTION("GOOGLETRANSLATE(B4195, ""en"", ""fa"")
"),"برنامه ریز عروسی")</f>
        <v>برنامه ریز عروسی</v>
      </c>
      <c r="G4195" s="1" t="str">
        <f>IFERROR(__xludf.DUMMYFUNCTION("GOOGLETRANSLATE(C4195, ""en"", ""fa"")
"),"نکاتی را برای ایجاد منویی به اشتراک بگذارید که بین غذاهای دلخواه سنتی و غذاهای نوآورانه و مدرن تعادل برقرار کند.")</f>
        <v>نکاتی را برای ایجاد منویی به اشتراک بگذارید که بین غذاهای دلخواه سنتی و غذاهای نوآورانه و مدرن تعادل برقرار کند.</v>
      </c>
      <c r="H4195" s="1"/>
      <c r="I4195" s="1"/>
      <c r="J4195" s="1"/>
      <c r="K4195" s="1"/>
      <c r="L4195" s="1"/>
      <c r="M4195" s="1"/>
      <c r="N4195" s="1"/>
      <c r="O4195" s="1"/>
      <c r="P4195" s="1"/>
      <c r="Q4195" s="1"/>
      <c r="R4195" s="1"/>
      <c r="S4195" s="1"/>
      <c r="T4195" s="1"/>
      <c r="U4195" s="1"/>
      <c r="V4195" s="1"/>
      <c r="W4195" s="1"/>
      <c r="X4195" s="1"/>
      <c r="Y4195" s="1"/>
      <c r="Z4195" s="1"/>
      <c r="AA4195" s="1"/>
      <c r="AB4195" s="1"/>
    </row>
    <row r="4196" ht="50.25" customHeight="1">
      <c r="A4196" s="12">
        <v>4192.0</v>
      </c>
      <c r="B4196" s="13" t="s">
        <v>3778</v>
      </c>
      <c r="C4196" s="14" t="s">
        <v>4214</v>
      </c>
      <c r="D4196" s="1"/>
      <c r="E4196" s="1"/>
      <c r="F4196" s="1" t="str">
        <f>IFERROR(__xludf.DUMMYFUNCTION("GOOGLETRANSLATE(B4196, ""en"", ""fa"")
"),"برنامه ریز عروسی")</f>
        <v>برنامه ریز عروسی</v>
      </c>
      <c r="G4196" s="1" t="str">
        <f>IFERROR(__xludf.DUMMYFUNCTION("GOOGLETRANSLATE(C4196, ""en"", ""fa"")
"),"چگونه زوج‌ها می‌توانند عناصر غذایی و نوشیدنی‌هایی را که منعکس‌کننده تم یا طرح رنگ عروسی هستند، ترکیب کنند؟")</f>
        <v>چگونه زوج‌ها می‌توانند عناصر غذایی و نوشیدنی‌هایی را که منعکس‌کننده تم یا طرح رنگ عروسی هستند، ترکیب کنند؟</v>
      </c>
      <c r="H4196" s="1"/>
      <c r="I4196" s="1"/>
      <c r="J4196" s="1"/>
      <c r="K4196" s="1"/>
      <c r="L4196" s="1"/>
      <c r="M4196" s="1"/>
      <c r="N4196" s="1"/>
      <c r="O4196" s="1"/>
      <c r="P4196" s="1"/>
      <c r="Q4196" s="1"/>
      <c r="R4196" s="1"/>
      <c r="S4196" s="1"/>
      <c r="T4196" s="1"/>
      <c r="U4196" s="1"/>
      <c r="V4196" s="1"/>
      <c r="W4196" s="1"/>
      <c r="X4196" s="1"/>
      <c r="Y4196" s="1"/>
      <c r="Z4196" s="1"/>
      <c r="AA4196" s="1"/>
      <c r="AB4196" s="1"/>
    </row>
    <row r="4197" ht="50.25" customHeight="1">
      <c r="A4197" s="12">
        <v>4193.0</v>
      </c>
      <c r="B4197" s="13" t="s">
        <v>3778</v>
      </c>
      <c r="C4197" s="14" t="s">
        <v>4215</v>
      </c>
      <c r="D4197" s="1"/>
      <c r="E4197" s="1"/>
      <c r="F4197" s="1" t="str">
        <f>IFERROR(__xludf.DUMMYFUNCTION("GOOGLETRANSLATE(B4197, ""en"", ""fa"")
"),"برنامه ریز عروسی")</f>
        <v>برنامه ریز عروسی</v>
      </c>
      <c r="G4197" s="1" t="str">
        <f>IFERROR(__xludf.DUMMYFUNCTION("GOOGLETRANSLATE(C4197, ""en"", ""fa"")
"),"عناصر ضروری برای گنجاندن در منوی نوشیدنی عروسی یا تابلوی بار چیست؟")</f>
        <v>عناصر ضروری برای گنجاندن در منوی نوشیدنی عروسی یا تابلوی بار چیست؟</v>
      </c>
      <c r="H4197" s="1"/>
      <c r="I4197" s="1"/>
      <c r="J4197" s="1"/>
      <c r="K4197" s="1"/>
      <c r="L4197" s="1"/>
      <c r="M4197" s="1"/>
      <c r="N4197" s="1"/>
      <c r="O4197" s="1"/>
      <c r="P4197" s="1"/>
      <c r="Q4197" s="1"/>
      <c r="R4197" s="1"/>
      <c r="S4197" s="1"/>
      <c r="T4197" s="1"/>
      <c r="U4197" s="1"/>
      <c r="V4197" s="1"/>
      <c r="W4197" s="1"/>
      <c r="X4197" s="1"/>
      <c r="Y4197" s="1"/>
      <c r="Z4197" s="1"/>
      <c r="AA4197" s="1"/>
      <c r="AB4197" s="1"/>
    </row>
    <row r="4198" ht="50.25" customHeight="1">
      <c r="A4198" s="12">
        <v>4194.0</v>
      </c>
      <c r="B4198" s="13" t="s">
        <v>3778</v>
      </c>
      <c r="C4198" s="14" t="s">
        <v>4216</v>
      </c>
      <c r="D4198" s="1"/>
      <c r="E4198" s="1"/>
      <c r="F4198" s="1" t="str">
        <f>IFERROR(__xludf.DUMMYFUNCTION("GOOGLETRANSLATE(B4198, ""en"", ""fa"")
"),"برنامه ریز عروسی")</f>
        <v>برنامه ریز عروسی</v>
      </c>
      <c r="G4198" s="1" t="str">
        <f>IFERROR(__xludf.DUMMYFUNCTION("GOOGLETRANSLATE(C4198, ""en"", ""fa"")
"),"ایده هایی را برای ایجاد منویی به اشتراک بگذارید که ایستگاه های غذا و نوشیدنی تعاملی را در خود جای دهد، مانند یک تاکو بار برای خودتان یا یک ایستگاه کوکتل DIY.")</f>
        <v>ایده هایی را برای ایجاد منویی به اشتراک بگذارید که ایستگاه های غذا و نوشیدنی تعاملی را در خود جای دهد، مانند یک تاکو بار برای خودتان یا یک ایستگاه کوکتل DIY.</v>
      </c>
      <c r="H4198" s="1"/>
      <c r="I4198" s="1"/>
      <c r="J4198" s="1"/>
      <c r="K4198" s="1"/>
      <c r="L4198" s="1"/>
      <c r="M4198" s="1"/>
      <c r="N4198" s="1"/>
      <c r="O4198" s="1"/>
      <c r="P4198" s="1"/>
      <c r="Q4198" s="1"/>
      <c r="R4198" s="1"/>
      <c r="S4198" s="1"/>
      <c r="T4198" s="1"/>
      <c r="U4198" s="1"/>
      <c r="V4198" s="1"/>
      <c r="W4198" s="1"/>
      <c r="X4198" s="1"/>
      <c r="Y4198" s="1"/>
      <c r="Z4198" s="1"/>
      <c r="AA4198" s="1"/>
      <c r="AB4198" s="1"/>
    </row>
    <row r="4199" ht="50.25" customHeight="1">
      <c r="A4199" s="12">
        <v>4195.0</v>
      </c>
      <c r="B4199" s="13" t="s">
        <v>3778</v>
      </c>
      <c r="C4199" s="14" t="s">
        <v>4217</v>
      </c>
      <c r="D4199" s="1"/>
      <c r="E4199" s="1"/>
      <c r="F4199" s="1" t="str">
        <f>IFERROR(__xludf.DUMMYFUNCTION("GOOGLETRANSLATE(B4199, ""en"", ""fa"")
"),"برنامه ریز عروسی")</f>
        <v>برنامه ریز عروسی</v>
      </c>
      <c r="G4199" s="1" t="str">
        <f>IFERROR(__xludf.DUMMYFUNCTION("GOOGLETRANSLATE(C4199, ""en"", ""fa"")
"),"برنامه ریزان عروسی چگونه می توانند به زوج ها در هماهنگی زمان و جریان سرویس غذا با سایر رویدادهای پذیرایی، مانند سخنرانی یا رقص کمک کنند؟")</f>
        <v>برنامه ریزان عروسی چگونه می توانند به زوج ها در هماهنگی زمان و جریان سرویس غذا با سایر رویدادهای پذیرایی، مانند سخنرانی یا رقص کمک کنند؟</v>
      </c>
      <c r="H4199" s="1"/>
      <c r="I4199" s="1"/>
      <c r="J4199" s="1"/>
      <c r="K4199" s="1"/>
      <c r="L4199" s="1"/>
      <c r="M4199" s="1"/>
      <c r="N4199" s="1"/>
      <c r="O4199" s="1"/>
      <c r="P4199" s="1"/>
      <c r="Q4199" s="1"/>
      <c r="R4199" s="1"/>
      <c r="S4199" s="1"/>
      <c r="T4199" s="1"/>
      <c r="U4199" s="1"/>
      <c r="V4199" s="1"/>
      <c r="W4199" s="1"/>
      <c r="X4199" s="1"/>
      <c r="Y4199" s="1"/>
      <c r="Z4199" s="1"/>
      <c r="AA4199" s="1"/>
      <c r="AB4199" s="1"/>
    </row>
    <row r="4200" ht="50.25" customHeight="1">
      <c r="A4200" s="12">
        <v>4196.0</v>
      </c>
      <c r="B4200" s="13" t="s">
        <v>3778</v>
      </c>
      <c r="C4200" s="14" t="s">
        <v>4218</v>
      </c>
      <c r="D4200" s="1"/>
      <c r="E4200" s="1"/>
      <c r="F4200" s="1" t="str">
        <f>IFERROR(__xludf.DUMMYFUNCTION("GOOGLETRANSLATE(B4200, ""en"", ""fa"")
"),"برنامه ریز عروسی")</f>
        <v>برنامه ریز عروسی</v>
      </c>
      <c r="G4200" s="1" t="str">
        <f>IFERROR(__xludf.DUMMYFUNCTION("GOOGLETRANSLATE(C4200, ""en"", ""fa"")
"),"ملاحظات کلیدی برای انتخاب سبک سرو مناسب برای آیتم های مختلف منو، مانند روکش یا بوفه چیست؟")</f>
        <v>ملاحظات کلیدی برای انتخاب سبک سرو مناسب برای آیتم های مختلف منو، مانند روکش یا بوفه چیست؟</v>
      </c>
      <c r="H4200" s="1"/>
      <c r="I4200" s="1"/>
      <c r="J4200" s="1"/>
      <c r="K4200" s="1"/>
      <c r="L4200" s="1"/>
      <c r="M4200" s="1"/>
      <c r="N4200" s="1"/>
      <c r="O4200" s="1"/>
      <c r="P4200" s="1"/>
      <c r="Q4200" s="1"/>
      <c r="R4200" s="1"/>
      <c r="S4200" s="1"/>
      <c r="T4200" s="1"/>
      <c r="U4200" s="1"/>
      <c r="V4200" s="1"/>
      <c r="W4200" s="1"/>
      <c r="X4200" s="1"/>
      <c r="Y4200" s="1"/>
      <c r="Z4200" s="1"/>
      <c r="AA4200" s="1"/>
      <c r="AB4200" s="1"/>
    </row>
    <row r="4201" ht="50.25" customHeight="1">
      <c r="A4201" s="12">
        <v>4197.0</v>
      </c>
      <c r="B4201" s="13" t="s">
        <v>3778</v>
      </c>
      <c r="C4201" s="14" t="s">
        <v>4219</v>
      </c>
      <c r="D4201" s="1"/>
      <c r="E4201" s="1"/>
      <c r="F4201" s="1" t="str">
        <f>IFERROR(__xludf.DUMMYFUNCTION("GOOGLETRANSLATE(B4201, ""en"", ""fa"")
"),"برنامه ریز عروسی")</f>
        <v>برنامه ریز عروسی</v>
      </c>
      <c r="G4201" s="1" t="str">
        <f>IFERROR(__xludf.DUMMYFUNCTION("GOOGLETRANSLATE(C4201, ""en"", ""fa"")
"),"راهکارهایی برای مدیریت هماهنگی و ارتباط با کارکنان پذیرایی در هنگام پذیرایی عروسی به اشتراک بگذارید.")</f>
        <v>راهکارهایی برای مدیریت هماهنگی و ارتباط با کارکنان پذیرایی در هنگام پذیرایی عروسی به اشتراک بگذارید.</v>
      </c>
      <c r="H4201" s="1"/>
      <c r="I4201" s="1"/>
      <c r="J4201" s="1"/>
      <c r="K4201" s="1"/>
      <c r="L4201" s="1"/>
      <c r="M4201" s="1"/>
      <c r="N4201" s="1"/>
      <c r="O4201" s="1"/>
      <c r="P4201" s="1"/>
      <c r="Q4201" s="1"/>
      <c r="R4201" s="1"/>
      <c r="S4201" s="1"/>
      <c r="T4201" s="1"/>
      <c r="U4201" s="1"/>
      <c r="V4201" s="1"/>
      <c r="W4201" s="1"/>
      <c r="X4201" s="1"/>
      <c r="Y4201" s="1"/>
      <c r="Z4201" s="1"/>
      <c r="AA4201" s="1"/>
      <c r="AB4201" s="1"/>
    </row>
    <row r="4202" ht="50.25" customHeight="1">
      <c r="A4202" s="12">
        <v>4198.0</v>
      </c>
      <c r="B4202" s="13" t="s">
        <v>3778</v>
      </c>
      <c r="C4202" s="14" t="s">
        <v>4220</v>
      </c>
      <c r="D4202" s="1"/>
      <c r="E4202" s="1"/>
      <c r="F4202" s="1" t="str">
        <f>IFERROR(__xludf.DUMMYFUNCTION("GOOGLETRANSLATE(B4202, ""en"", ""fa"")
"),"برنامه ریز عروسی")</f>
        <v>برنامه ریز عروسی</v>
      </c>
      <c r="G4202" s="1" t="str">
        <f>IFERROR(__xludf.DUMMYFUNCTION("GOOGLETRANSLATE(C4202, ""en"", ""fa"")
"),"چگونه زوج ها می توانند دسرهای دلخواه دوران کودکی یا خوراکی های نوستالژیک خود را در منوی عروسی بگنجانند؟")</f>
        <v>چگونه زوج ها می توانند دسرهای دلخواه دوران کودکی یا خوراکی های نوستالژیک خود را در منوی عروسی بگنجانند؟</v>
      </c>
      <c r="H4202" s="1"/>
      <c r="I4202" s="1"/>
      <c r="J4202" s="1"/>
      <c r="K4202" s="1"/>
      <c r="L4202" s="1"/>
      <c r="M4202" s="1"/>
      <c r="N4202" s="1"/>
      <c r="O4202" s="1"/>
      <c r="P4202" s="1"/>
      <c r="Q4202" s="1"/>
      <c r="R4202" s="1"/>
      <c r="S4202" s="1"/>
      <c r="T4202" s="1"/>
      <c r="U4202" s="1"/>
      <c r="V4202" s="1"/>
      <c r="W4202" s="1"/>
      <c r="X4202" s="1"/>
      <c r="Y4202" s="1"/>
      <c r="Z4202" s="1"/>
      <c r="AA4202" s="1"/>
      <c r="AB4202" s="1"/>
    </row>
    <row r="4203" ht="50.25" customHeight="1">
      <c r="A4203" s="12">
        <v>4199.0</v>
      </c>
      <c r="B4203" s="13" t="s">
        <v>3778</v>
      </c>
      <c r="C4203" s="14" t="s">
        <v>4221</v>
      </c>
      <c r="D4203" s="1"/>
      <c r="E4203" s="1"/>
      <c r="F4203" s="1" t="str">
        <f>IFERROR(__xludf.DUMMYFUNCTION("GOOGLETRANSLATE(B4203, ""en"", ""fa"")
"),"برنامه ریز عروسی")</f>
        <v>برنامه ریز عروسی</v>
      </c>
      <c r="G4203" s="1" t="str">
        <f>IFERROR(__xludf.DUMMYFUNCTION("GOOGLETRANSLATE(C4203, ""en"", ""fa"")
"),"هنگام برنامه ریزی برای میان وعده های آخر شب یا گزینه های غذایی برای مهمانانی که ممکن است تا پایان پذیرایی در آنجا بمانند، چه عواملی ضروری است؟")</f>
        <v>هنگام برنامه ریزی برای میان وعده های آخر شب یا گزینه های غذایی برای مهمانانی که ممکن است تا پایان پذیرایی در آنجا بمانند، چه عواملی ضروری است؟</v>
      </c>
      <c r="H4203" s="1"/>
      <c r="I4203" s="1"/>
      <c r="J4203" s="1"/>
      <c r="K4203" s="1"/>
      <c r="L4203" s="1"/>
      <c r="M4203" s="1"/>
      <c r="N4203" s="1"/>
      <c r="O4203" s="1"/>
      <c r="P4203" s="1"/>
      <c r="Q4203" s="1"/>
      <c r="R4203" s="1"/>
      <c r="S4203" s="1"/>
      <c r="T4203" s="1"/>
      <c r="U4203" s="1"/>
      <c r="V4203" s="1"/>
      <c r="W4203" s="1"/>
      <c r="X4203" s="1"/>
      <c r="Y4203" s="1"/>
      <c r="Z4203" s="1"/>
      <c r="AA4203" s="1"/>
      <c r="AB4203" s="1"/>
    </row>
    <row r="4204" ht="50.25" customHeight="1">
      <c r="A4204" s="12">
        <v>4200.0</v>
      </c>
      <c r="B4204" s="13" t="s">
        <v>3778</v>
      </c>
      <c r="C4204" s="14" t="s">
        <v>4222</v>
      </c>
      <c r="D4204" s="1"/>
      <c r="E4204" s="1"/>
      <c r="F4204" s="1" t="str">
        <f>IFERROR(__xludf.DUMMYFUNCTION("GOOGLETRANSLATE(B4204, ""en"", ""fa"")
"),"برنامه ریز عروسی")</f>
        <v>برنامه ریز عروسی</v>
      </c>
      <c r="G4204" s="1" t="str">
        <f>IFERROR(__xludf.DUMMYFUNCTION("GOOGLETRANSLATE(C4204, ""en"", ""fa"")
"),"نکاتی را برای گنجاندن علائم یا برچسب های منحصر به فرد و شخصی برای ایستگاه های غذا و نوشیدنی به اشتراک بگذارید.")</f>
        <v>نکاتی را برای گنجاندن علائم یا برچسب های منحصر به فرد و شخصی برای ایستگاه های غذا و نوشیدنی به اشتراک بگذارید.</v>
      </c>
      <c r="H4204" s="1"/>
      <c r="I4204" s="1"/>
      <c r="J4204" s="1"/>
      <c r="K4204" s="1"/>
      <c r="L4204" s="1"/>
      <c r="M4204" s="1"/>
      <c r="N4204" s="1"/>
      <c r="O4204" s="1"/>
      <c r="P4204" s="1"/>
      <c r="Q4204" s="1"/>
      <c r="R4204" s="1"/>
      <c r="S4204" s="1"/>
      <c r="T4204" s="1"/>
      <c r="U4204" s="1"/>
      <c r="V4204" s="1"/>
      <c r="W4204" s="1"/>
      <c r="X4204" s="1"/>
      <c r="Y4204" s="1"/>
      <c r="Z4204" s="1"/>
      <c r="AA4204" s="1"/>
      <c r="AB4204" s="1"/>
    </row>
    <row r="4205" ht="50.25" customHeight="1">
      <c r="A4205" s="12">
        <v>4201.0</v>
      </c>
      <c r="B4205" s="13" t="s">
        <v>3778</v>
      </c>
      <c r="C4205" s="14" t="s">
        <v>4223</v>
      </c>
      <c r="D4205" s="1"/>
      <c r="E4205" s="1"/>
      <c r="F4205" s="1" t="str">
        <f>IFERROR(__xludf.DUMMYFUNCTION("GOOGLETRANSLATE(B4205, ""en"", ""fa"")
"),"برنامه ریز عروسی")</f>
        <v>برنامه ریز عروسی</v>
      </c>
      <c r="G4205" s="1" t="str">
        <f>IFERROR(__xludf.DUMMYFUNCTION("GOOGLETRANSLATE(C4205, ""en"", ""fa"")
"),"برنامه ریزان عروسی چگونه می توانند به زوج ها در مدیریت تدارکات اجاره و تجهیزات مورد نیاز برای خدمات غذا و نوشیدنی کمک کنند؟")</f>
        <v>برنامه ریزان عروسی چگونه می توانند به زوج ها در مدیریت تدارکات اجاره و تجهیزات مورد نیاز برای خدمات غذا و نوشیدنی کمک کنند؟</v>
      </c>
      <c r="H4205" s="1"/>
      <c r="I4205" s="1"/>
      <c r="J4205" s="1"/>
      <c r="K4205" s="1"/>
      <c r="L4205" s="1"/>
      <c r="M4205" s="1"/>
      <c r="N4205" s="1"/>
      <c r="O4205" s="1"/>
      <c r="P4205" s="1"/>
      <c r="Q4205" s="1"/>
      <c r="R4205" s="1"/>
      <c r="S4205" s="1"/>
      <c r="T4205" s="1"/>
      <c r="U4205" s="1"/>
      <c r="V4205" s="1"/>
      <c r="W4205" s="1"/>
      <c r="X4205" s="1"/>
      <c r="Y4205" s="1"/>
      <c r="Z4205" s="1"/>
      <c r="AA4205" s="1"/>
      <c r="AB4205" s="1"/>
    </row>
    <row r="4206" ht="50.25" customHeight="1">
      <c r="A4206" s="12">
        <v>4202.0</v>
      </c>
      <c r="B4206" s="13" t="s">
        <v>3778</v>
      </c>
      <c r="C4206" s="14" t="s">
        <v>4224</v>
      </c>
      <c r="D4206" s="1"/>
      <c r="E4206" s="1"/>
      <c r="F4206" s="1" t="str">
        <f>IFERROR(__xludf.DUMMYFUNCTION("GOOGLETRANSLATE(B4206, ""en"", ""fa"")
"),"برنامه ریز عروسی")</f>
        <v>برنامه ریز عروسی</v>
      </c>
      <c r="G4206" s="1" t="str">
        <f>IFERROR(__xludf.DUMMYFUNCTION("GOOGLETRANSLATE(C4206, ""en"", ""fa"")
"),"بهترین شیوه‌ها برای مدیریت هماهنگی و ارائه وعده‌های غذایی ویژه، مانند گزینه‌های کوشر یا حلال چیست؟")</f>
        <v>بهترین شیوه‌ها برای مدیریت هماهنگی و ارائه وعده‌های غذایی ویژه، مانند گزینه‌های کوشر یا حلال چیست؟</v>
      </c>
      <c r="H4206" s="1"/>
      <c r="I4206" s="1"/>
      <c r="J4206" s="1"/>
      <c r="K4206" s="1"/>
      <c r="L4206" s="1"/>
      <c r="M4206" s="1"/>
      <c r="N4206" s="1"/>
      <c r="O4206" s="1"/>
      <c r="P4206" s="1"/>
      <c r="Q4206" s="1"/>
      <c r="R4206" s="1"/>
      <c r="S4206" s="1"/>
      <c r="T4206" s="1"/>
      <c r="U4206" s="1"/>
      <c r="V4206" s="1"/>
      <c r="W4206" s="1"/>
      <c r="X4206" s="1"/>
      <c r="Y4206" s="1"/>
      <c r="Z4206" s="1"/>
      <c r="AA4206" s="1"/>
      <c r="AB4206" s="1"/>
    </row>
    <row r="4207" ht="50.25" customHeight="1">
      <c r="A4207" s="12">
        <v>4203.0</v>
      </c>
      <c r="B4207" s="13" t="s">
        <v>3778</v>
      </c>
      <c r="C4207" s="14" t="s">
        <v>4225</v>
      </c>
      <c r="D4207" s="1"/>
      <c r="E4207" s="1"/>
      <c r="F4207" s="1" t="str">
        <f>IFERROR(__xludf.DUMMYFUNCTION("GOOGLETRANSLATE(B4207, ""en"", ""fa"")
"),"برنامه ریز عروسی")</f>
        <v>برنامه ریز عروسی</v>
      </c>
      <c r="G4207" s="1" t="str">
        <f>IFERROR(__xludf.DUMMYFUNCTION("GOOGLETRANSLATE(C4207, ""en"", ""fa"")
"),"چند استراتژی برای ایجاد منویی که تعادلی از گزینه های گیاهی و غیر گیاهخواری را برای مهمانان ارائه می دهد، به اشتراک بگذارید.")</f>
        <v>چند استراتژی برای ایجاد منویی که تعادلی از گزینه های گیاهی و غیر گیاهخواری را برای مهمانان ارائه می دهد، به اشتراک بگذارید.</v>
      </c>
      <c r="H4207" s="1"/>
      <c r="I4207" s="1"/>
      <c r="J4207" s="1"/>
      <c r="K4207" s="1"/>
      <c r="L4207" s="1"/>
      <c r="M4207" s="1"/>
      <c r="N4207" s="1"/>
      <c r="O4207" s="1"/>
      <c r="P4207" s="1"/>
      <c r="Q4207" s="1"/>
      <c r="R4207" s="1"/>
      <c r="S4207" s="1"/>
      <c r="T4207" s="1"/>
      <c r="U4207" s="1"/>
      <c r="V4207" s="1"/>
      <c r="W4207" s="1"/>
      <c r="X4207" s="1"/>
      <c r="Y4207" s="1"/>
      <c r="Z4207" s="1"/>
      <c r="AA4207" s="1"/>
      <c r="AB4207" s="1"/>
    </row>
    <row r="4208" ht="50.25" customHeight="1">
      <c r="A4208" s="12">
        <v>4204.0</v>
      </c>
      <c r="B4208" s="13" t="s">
        <v>3778</v>
      </c>
      <c r="C4208" s="14" t="s">
        <v>4226</v>
      </c>
      <c r="D4208" s="1"/>
      <c r="E4208" s="1"/>
      <c r="F4208" s="1" t="str">
        <f>IFERROR(__xludf.DUMMYFUNCTION("GOOGLETRANSLATE(B4208, ""en"", ""fa"")
"),"برنامه ریز عروسی")</f>
        <v>برنامه ریز عروسی</v>
      </c>
      <c r="G4208" s="1" t="str">
        <f>IFERROR(__xludf.DUMMYFUNCTION("GOOGLETRANSLATE(C4208, ""en"", ""fa"")
"),"چگونه زوج ها می توانند عناصر تعاملی را در منوی عروسی بگنجانند، مانند ایستگاه های آشپزی زنده یا نمایش سرآشپز؟")</f>
        <v>چگونه زوج ها می توانند عناصر تعاملی را در منوی عروسی بگنجانند، مانند ایستگاه های آشپزی زنده یا نمایش سرآشپز؟</v>
      </c>
      <c r="H4208" s="1"/>
      <c r="I4208" s="1"/>
      <c r="J4208" s="1"/>
      <c r="K4208" s="1"/>
      <c r="L4208" s="1"/>
      <c r="M4208" s="1"/>
      <c r="N4208" s="1"/>
      <c r="O4208" s="1"/>
      <c r="P4208" s="1"/>
      <c r="Q4208" s="1"/>
      <c r="R4208" s="1"/>
      <c r="S4208" s="1"/>
      <c r="T4208" s="1"/>
      <c r="U4208" s="1"/>
      <c r="V4208" s="1"/>
      <c r="W4208" s="1"/>
      <c r="X4208" s="1"/>
      <c r="Y4208" s="1"/>
      <c r="Z4208" s="1"/>
      <c r="AA4208" s="1"/>
      <c r="AB4208" s="1"/>
    </row>
    <row r="4209" ht="50.25" customHeight="1">
      <c r="A4209" s="12">
        <v>4205.0</v>
      </c>
      <c r="B4209" s="13" t="s">
        <v>3778</v>
      </c>
      <c r="C4209" s="14" t="s">
        <v>4227</v>
      </c>
      <c r="D4209" s="1"/>
      <c r="E4209" s="1"/>
      <c r="F4209" s="1" t="str">
        <f>IFERROR(__xludf.DUMMYFUNCTION("GOOGLETRANSLATE(B4209, ""en"", ""fa"")
"),"برنامه ریز عروسی")</f>
        <v>برنامه ریز عروسی</v>
      </c>
      <c r="G4209" s="1" t="str">
        <f>IFERROR(__xludf.DUMMYFUNCTION("GOOGLETRANSLATE(C4209, ""en"", ""fa"")
"),"ملاحظات کلیدی برای انتخاب بسته بندی نوار مناسب یا گزینه های نوشیدنی در یک بودجه خاص چیست؟")</f>
        <v>ملاحظات کلیدی برای انتخاب بسته بندی نوار مناسب یا گزینه های نوشیدنی در یک بودجه خاص چیست؟</v>
      </c>
      <c r="H4209" s="1"/>
      <c r="I4209" s="1"/>
      <c r="J4209" s="1"/>
      <c r="K4209" s="1"/>
      <c r="L4209" s="1"/>
      <c r="M4209" s="1"/>
      <c r="N4209" s="1"/>
      <c r="O4209" s="1"/>
      <c r="P4209" s="1"/>
      <c r="Q4209" s="1"/>
      <c r="R4209" s="1"/>
      <c r="S4209" s="1"/>
      <c r="T4209" s="1"/>
      <c r="U4209" s="1"/>
      <c r="V4209" s="1"/>
      <c r="W4209" s="1"/>
      <c r="X4209" s="1"/>
      <c r="Y4209" s="1"/>
      <c r="Z4209" s="1"/>
      <c r="AA4209" s="1"/>
      <c r="AB4209" s="1"/>
    </row>
    <row r="4210" ht="50.25" customHeight="1">
      <c r="A4210" s="12">
        <v>4206.0</v>
      </c>
      <c r="B4210" s="13" t="s">
        <v>3778</v>
      </c>
      <c r="C4210" s="14" t="s">
        <v>4228</v>
      </c>
      <c r="D4210" s="1"/>
      <c r="E4210" s="1"/>
      <c r="F4210" s="1" t="str">
        <f>IFERROR(__xludf.DUMMYFUNCTION("GOOGLETRANSLATE(B4210, ""en"", ""fa"")
"),"برنامه ریز عروسی")</f>
        <v>برنامه ریز عروسی</v>
      </c>
      <c r="G4210" s="1" t="str">
        <f>IFERROR(__xludf.DUMMYFUNCTION("GOOGLETRANSLATE(C4210, ""en"", ""fa"")
"),"ایده هایی برای ایجاد منویی که ترکیب فرهنگی یا غذاهای تلفیقی را برای نشان دادن پیشینه های متنوع زوج ها در خود دارد به اشتراک بگذارید.")</f>
        <v>ایده هایی برای ایجاد منویی که ترکیب فرهنگی یا غذاهای تلفیقی را برای نشان دادن پیشینه های متنوع زوج ها در خود دارد به اشتراک بگذارید.</v>
      </c>
      <c r="H4210" s="1"/>
      <c r="I4210" s="1"/>
      <c r="J4210" s="1"/>
      <c r="K4210" s="1"/>
      <c r="L4210" s="1"/>
      <c r="M4210" s="1"/>
      <c r="N4210" s="1"/>
      <c r="O4210" s="1"/>
      <c r="P4210" s="1"/>
      <c r="Q4210" s="1"/>
      <c r="R4210" s="1"/>
      <c r="S4210" s="1"/>
      <c r="T4210" s="1"/>
      <c r="U4210" s="1"/>
      <c r="V4210" s="1"/>
      <c r="W4210" s="1"/>
      <c r="X4210" s="1"/>
      <c r="Y4210" s="1"/>
      <c r="Z4210" s="1"/>
      <c r="AA4210" s="1"/>
      <c r="AB4210" s="1"/>
    </row>
    <row r="4211" ht="50.25" customHeight="1">
      <c r="A4211" s="12">
        <v>4207.0</v>
      </c>
      <c r="B4211" s="13" t="s">
        <v>3778</v>
      </c>
      <c r="C4211" s="14" t="s">
        <v>4229</v>
      </c>
      <c r="D4211" s="1"/>
      <c r="E4211" s="1"/>
      <c r="F4211" s="1" t="str">
        <f>IFERROR(__xludf.DUMMYFUNCTION("GOOGLETRANSLATE(B4211, ""en"", ""fa"")
"),"برنامه ریز عروسی")</f>
        <v>برنامه ریز عروسی</v>
      </c>
      <c r="G4211" s="1" t="str">
        <f>IFERROR(__xludf.DUMMYFUNCTION("GOOGLETRANSLATE(C4211, ""en"", ""fa"")
"),"چگونه برنامه ریزان عروسی می توانند به زوج ها در هماهنگی و اجرای تغییرات یا تنظیمات منو بر اساس اولویت ها و اولویت های مهمان کمک کنند؟")</f>
        <v>چگونه برنامه ریزان عروسی می توانند به زوج ها در هماهنگی و اجرای تغییرات یا تنظیمات منو بر اساس اولویت ها و اولویت های مهمان کمک کنند؟</v>
      </c>
      <c r="H4211" s="1"/>
      <c r="I4211" s="1"/>
      <c r="J4211" s="1"/>
      <c r="K4211" s="1"/>
      <c r="L4211" s="1"/>
      <c r="M4211" s="1"/>
      <c r="N4211" s="1"/>
      <c r="O4211" s="1"/>
      <c r="P4211" s="1"/>
      <c r="Q4211" s="1"/>
      <c r="R4211" s="1"/>
      <c r="S4211" s="1"/>
      <c r="T4211" s="1"/>
      <c r="U4211" s="1"/>
      <c r="V4211" s="1"/>
      <c r="W4211" s="1"/>
      <c r="X4211" s="1"/>
      <c r="Y4211" s="1"/>
      <c r="Z4211" s="1"/>
      <c r="AA4211" s="1"/>
      <c r="AB4211" s="1"/>
    </row>
    <row r="4212" ht="50.25" customHeight="1">
      <c r="A4212" s="12">
        <v>4208.0</v>
      </c>
      <c r="B4212" s="13" t="s">
        <v>3778</v>
      </c>
      <c r="C4212" s="14" t="s">
        <v>4230</v>
      </c>
      <c r="D4212" s="1"/>
      <c r="E4212" s="1"/>
      <c r="F4212" s="1" t="str">
        <f>IFERROR(__xludf.DUMMYFUNCTION("GOOGLETRANSLATE(B4212, ""en"", ""fa"")
"),"برنامه ریز عروسی")</f>
        <v>برنامه ریز عروسی</v>
      </c>
      <c r="G4212" s="1" t="str">
        <f>IFERROR(__xludf.DUMMYFUNCTION("GOOGLETRANSLATE(C4212, ""en"", ""fa"")
"),"چه عناصر ضروری در بودجه غذا و نوشیدنی عروسی گنجانده شده است و برنامه ریزان عروسی چگونه می توانند به زوج ها کمک کنند تا در بودجه اختصاص داده شده خود باقی بمانند؟")</f>
        <v>چه عناصر ضروری در بودجه غذا و نوشیدنی عروسی گنجانده شده است و برنامه ریزان عروسی چگونه می توانند به زوج ها کمک کنند تا در بودجه اختصاص داده شده خود باقی بمانند؟</v>
      </c>
      <c r="H4212" s="1"/>
      <c r="I4212" s="1"/>
      <c r="J4212" s="1"/>
      <c r="K4212" s="1"/>
      <c r="L4212" s="1"/>
      <c r="M4212" s="1"/>
      <c r="N4212" s="1"/>
      <c r="O4212" s="1"/>
      <c r="P4212" s="1"/>
      <c r="Q4212" s="1"/>
      <c r="R4212" s="1"/>
      <c r="S4212" s="1"/>
      <c r="T4212" s="1"/>
      <c r="U4212" s="1"/>
      <c r="V4212" s="1"/>
      <c r="W4212" s="1"/>
      <c r="X4212" s="1"/>
      <c r="Y4212" s="1"/>
      <c r="Z4212" s="1"/>
      <c r="AA4212" s="1"/>
      <c r="AB4212" s="1"/>
    </row>
    <row r="4213" ht="50.25" customHeight="1">
      <c r="A4213" s="12">
        <v>4209.0</v>
      </c>
      <c r="B4213" s="13" t="s">
        <v>3778</v>
      </c>
      <c r="C4213" s="14" t="s">
        <v>4231</v>
      </c>
      <c r="D4213" s="1"/>
      <c r="E4213" s="1"/>
      <c r="F4213" s="1" t="str">
        <f>IFERROR(__xludf.DUMMYFUNCTION("GOOGLETRANSLATE(B4213, ""en"", ""fa"")
"),"برنامه ریز عروسی")</f>
        <v>برنامه ریز عروسی</v>
      </c>
      <c r="G4213" s="1" t="str">
        <f>IFERROR(__xludf.DUMMYFUNCTION("GOOGLETRANSLATE(C4213, ""en"", ""fa"")
"),"نکاتی را برای طراحی و چیدمان راه‌اندازی بار و ایستگاه‌های نوشیدنی برای اطمینان از خدمات کارآمد و جریان مهمان به اشتراک بگذارید.")</f>
        <v>نکاتی را برای طراحی و چیدمان راه‌اندازی بار و ایستگاه‌های نوشیدنی برای اطمینان از خدمات کارآمد و جریان مهمان به اشتراک بگذارید.</v>
      </c>
      <c r="H4213" s="1"/>
      <c r="I4213" s="1"/>
      <c r="J4213" s="1"/>
      <c r="K4213" s="1"/>
      <c r="L4213" s="1"/>
      <c r="M4213" s="1"/>
      <c r="N4213" s="1"/>
      <c r="O4213" s="1"/>
      <c r="P4213" s="1"/>
      <c r="Q4213" s="1"/>
      <c r="R4213" s="1"/>
      <c r="S4213" s="1"/>
      <c r="T4213" s="1"/>
      <c r="U4213" s="1"/>
      <c r="V4213" s="1"/>
      <c r="W4213" s="1"/>
      <c r="X4213" s="1"/>
      <c r="Y4213" s="1"/>
      <c r="Z4213" s="1"/>
      <c r="AA4213" s="1"/>
      <c r="AB4213" s="1"/>
    </row>
    <row r="4214" ht="50.25" customHeight="1">
      <c r="A4214" s="12">
        <v>4210.0</v>
      </c>
      <c r="B4214" s="13" t="s">
        <v>3778</v>
      </c>
      <c r="C4214" s="14" t="s">
        <v>4232</v>
      </c>
      <c r="D4214" s="1"/>
      <c r="E4214" s="1"/>
      <c r="F4214" s="1" t="str">
        <f>IFERROR(__xludf.DUMMYFUNCTION("GOOGLETRANSLATE(B4214, ""en"", ""fa"")
"),"برنامه ریز عروسی")</f>
        <v>برنامه ریز عروسی</v>
      </c>
      <c r="G4214" s="1" t="str">
        <f>IFERROR(__xludf.DUMMYFUNCTION("GOOGLETRANSLATE(C4214, ""en"", ""fa"")
"),"چگونه زوج ها می توانند غذاهای منطقه ای یا بین المللی مورد علاقه خود را در منوی عروسی بگنجانند؟")</f>
        <v>چگونه زوج ها می توانند غذاهای منطقه ای یا بین المللی مورد علاقه خود را در منوی عروسی بگنجانند؟</v>
      </c>
      <c r="H4214" s="1"/>
      <c r="I4214" s="1"/>
      <c r="J4214" s="1"/>
      <c r="K4214" s="1"/>
      <c r="L4214" s="1"/>
      <c r="M4214" s="1"/>
      <c r="N4214" s="1"/>
      <c r="O4214" s="1"/>
      <c r="P4214" s="1"/>
      <c r="Q4214" s="1"/>
      <c r="R4214" s="1"/>
      <c r="S4214" s="1"/>
      <c r="T4214" s="1"/>
      <c r="U4214" s="1"/>
      <c r="V4214" s="1"/>
      <c r="W4214" s="1"/>
      <c r="X4214" s="1"/>
      <c r="Y4214" s="1"/>
      <c r="Z4214" s="1"/>
      <c r="AA4214" s="1"/>
      <c r="AB4214" s="1"/>
    </row>
    <row r="4215" ht="50.25" customHeight="1">
      <c r="A4215" s="12">
        <v>4211.0</v>
      </c>
      <c r="B4215" s="13" t="s">
        <v>3778</v>
      </c>
      <c r="C4215" s="14" t="s">
        <v>4233</v>
      </c>
      <c r="D4215" s="1"/>
      <c r="E4215" s="1"/>
      <c r="F4215" s="1" t="str">
        <f>IFERROR(__xludf.DUMMYFUNCTION("GOOGLETRANSLATE(B4215, ""en"", ""fa"")
"),"برنامه ریز عروسی")</f>
        <v>برنامه ریز عروسی</v>
      </c>
      <c r="G4215" s="1" t="str">
        <f>IFERROR(__xludf.DUMMYFUNCTION("GOOGLETRANSLATE(C4215, ""en"", ""fa"")
"),"بهترین روش ها برای مدیریت هماهنگی و زمان بندی سرویس غذا و نوشیدنی با برنامه سرگرمی یا موسیقی در طول پذیرایی چیست؟")</f>
        <v>بهترین روش ها برای مدیریت هماهنگی و زمان بندی سرویس غذا و نوشیدنی با برنامه سرگرمی یا موسیقی در طول پذیرایی چیست؟</v>
      </c>
      <c r="H4215" s="1"/>
      <c r="I4215" s="1"/>
      <c r="J4215" s="1"/>
      <c r="K4215" s="1"/>
      <c r="L4215" s="1"/>
      <c r="M4215" s="1"/>
      <c r="N4215" s="1"/>
      <c r="O4215" s="1"/>
      <c r="P4215" s="1"/>
      <c r="Q4215" s="1"/>
      <c r="R4215" s="1"/>
      <c r="S4215" s="1"/>
      <c r="T4215" s="1"/>
      <c r="U4215" s="1"/>
      <c r="V4215" s="1"/>
      <c r="W4215" s="1"/>
      <c r="X4215" s="1"/>
      <c r="Y4215" s="1"/>
      <c r="Z4215" s="1"/>
      <c r="AA4215" s="1"/>
      <c r="AB4215" s="1"/>
    </row>
    <row r="4216" ht="50.25" customHeight="1">
      <c r="A4216" s="12">
        <v>4212.0</v>
      </c>
      <c r="B4216" s="13" t="s">
        <v>3778</v>
      </c>
      <c r="C4216" s="14" t="s">
        <v>4234</v>
      </c>
      <c r="D4216" s="1"/>
      <c r="E4216" s="1"/>
      <c r="F4216" s="1" t="str">
        <f>IFERROR(__xludf.DUMMYFUNCTION("GOOGLETRANSLATE(B4216, ""en"", ""fa"")
"),"برنامه ریز عروسی")</f>
        <v>برنامه ریز عروسی</v>
      </c>
      <c r="G4216" s="1" t="str">
        <f>IFERROR(__xludf.DUMMYFUNCTION("GOOGLETRANSLATE(C4216, ""en"", ""fa"")
"),"برخی از استراتژی‌ها را برای ترکیب ایستگاه‌های غذایی منحصربه‌فرد و مضمون، مانند یک بار سوشی یا یک ایستگاه مزه مدیترانه‌ای به اشتراک بگذارید.")</f>
        <v>برخی از استراتژی‌ها را برای ترکیب ایستگاه‌های غذایی منحصربه‌فرد و مضمون، مانند یک بار سوشی یا یک ایستگاه مزه مدیترانه‌ای به اشتراک بگذارید.</v>
      </c>
      <c r="H4216" s="1"/>
      <c r="I4216" s="1"/>
      <c r="J4216" s="1"/>
      <c r="K4216" s="1"/>
      <c r="L4216" s="1"/>
      <c r="M4216" s="1"/>
      <c r="N4216" s="1"/>
      <c r="O4216" s="1"/>
      <c r="P4216" s="1"/>
      <c r="Q4216" s="1"/>
      <c r="R4216" s="1"/>
      <c r="S4216" s="1"/>
      <c r="T4216" s="1"/>
      <c r="U4216" s="1"/>
      <c r="V4216" s="1"/>
      <c r="W4216" s="1"/>
      <c r="X4216" s="1"/>
      <c r="Y4216" s="1"/>
      <c r="Z4216" s="1"/>
      <c r="AA4216" s="1"/>
      <c r="AB4216" s="1"/>
    </row>
    <row r="4217" ht="50.25" customHeight="1">
      <c r="A4217" s="12">
        <v>4213.0</v>
      </c>
      <c r="B4217" s="13" t="s">
        <v>3778</v>
      </c>
      <c r="C4217" s="14" t="s">
        <v>4235</v>
      </c>
      <c r="D4217" s="1"/>
      <c r="E4217" s="1"/>
      <c r="F4217" s="1" t="str">
        <f>IFERROR(__xludf.DUMMYFUNCTION("GOOGLETRANSLATE(B4217, ""en"", ""fa"")
"),"برنامه ریز عروسی")</f>
        <v>برنامه ریز عروسی</v>
      </c>
      <c r="G4217" s="1" t="str">
        <f>IFERROR(__xludf.DUMMYFUNCTION("GOOGLETRANSLATE(C4217, ""en"", ""fa"")
"),"چگونه زوج‌ها می‌توانند منویی ایجاد کنند که برای مهمانانی که حساسیت‌ها یا حساسیت‌های خاصی دارند، مانند گزینه‌های بدون آجیل یا لبنیات، آماده شوند؟")</f>
        <v>چگونه زوج‌ها می‌توانند منویی ایجاد کنند که برای مهمانانی که حساسیت‌ها یا حساسیت‌های خاصی دارند، مانند گزینه‌های بدون آجیل یا لبنیات، آماده شوند؟</v>
      </c>
      <c r="H4217" s="1"/>
      <c r="I4217" s="1"/>
      <c r="J4217" s="1"/>
      <c r="K4217" s="1"/>
      <c r="L4217" s="1"/>
      <c r="M4217" s="1"/>
      <c r="N4217" s="1"/>
      <c r="O4217" s="1"/>
      <c r="P4217" s="1"/>
      <c r="Q4217" s="1"/>
      <c r="R4217" s="1"/>
      <c r="S4217" s="1"/>
      <c r="T4217" s="1"/>
      <c r="U4217" s="1"/>
      <c r="V4217" s="1"/>
      <c r="W4217" s="1"/>
      <c r="X4217" s="1"/>
      <c r="Y4217" s="1"/>
      <c r="Z4217" s="1"/>
      <c r="AA4217" s="1"/>
      <c r="AB4217" s="1"/>
    </row>
    <row r="4218" ht="50.25" customHeight="1">
      <c r="A4218" s="12">
        <v>4214.0</v>
      </c>
      <c r="B4218" s="13" t="s">
        <v>3778</v>
      </c>
      <c r="C4218" s="14" t="s">
        <v>4236</v>
      </c>
      <c r="D4218" s="1"/>
      <c r="E4218" s="1"/>
      <c r="F4218" s="1" t="str">
        <f>IFERROR(__xludf.DUMMYFUNCTION("GOOGLETRANSLATE(B4218, ""en"", ""fa"")
"),"برنامه ریز عروسی")</f>
        <v>برنامه ریز عروسی</v>
      </c>
      <c r="G4218" s="1" t="str">
        <f>IFERROR(__xludf.DUMMYFUNCTION("GOOGLETRANSLATE(C4218, ""en"", ""fa"")
"),"ملاحظات کلیدی برای انتخاب ظروف شیشه ای و سرو مناسب برای انواع نوشیدنی چیست؟")</f>
        <v>ملاحظات کلیدی برای انتخاب ظروف شیشه ای و سرو مناسب برای انواع نوشیدنی چیست؟</v>
      </c>
      <c r="H4218" s="1"/>
      <c r="I4218" s="1"/>
      <c r="J4218" s="1"/>
      <c r="K4218" s="1"/>
      <c r="L4218" s="1"/>
      <c r="M4218" s="1"/>
      <c r="N4218" s="1"/>
      <c r="O4218" s="1"/>
      <c r="P4218" s="1"/>
      <c r="Q4218" s="1"/>
      <c r="R4218" s="1"/>
      <c r="S4218" s="1"/>
      <c r="T4218" s="1"/>
      <c r="U4218" s="1"/>
      <c r="V4218" s="1"/>
      <c r="W4218" s="1"/>
      <c r="X4218" s="1"/>
      <c r="Y4218" s="1"/>
      <c r="Z4218" s="1"/>
      <c r="AA4218" s="1"/>
      <c r="AB4218" s="1"/>
    </row>
    <row r="4219" ht="50.25" customHeight="1">
      <c r="A4219" s="12">
        <v>4215.0</v>
      </c>
      <c r="B4219" s="13" t="s">
        <v>3778</v>
      </c>
      <c r="C4219" s="14" t="s">
        <v>4237</v>
      </c>
      <c r="D4219" s="1"/>
      <c r="E4219" s="1"/>
      <c r="F4219" s="1" t="str">
        <f>IFERROR(__xludf.DUMMYFUNCTION("GOOGLETRANSLATE(B4219, ""en"", ""fa"")
"),"برنامه ریز عروسی")</f>
        <v>برنامه ریز عروسی</v>
      </c>
      <c r="G4219" s="1" t="str">
        <f>IFERROR(__xludf.DUMMYFUNCTION("GOOGLETRANSLATE(C4219, ""en"", ""fa"")
"),"ایده هایی برای ایجاد منویی که تعادلی از غذاهای راحت آشنا و تجربیات آشپزی ماجراجویانه را ارائه می دهد، به اشتراک بگذارید.")</f>
        <v>ایده هایی برای ایجاد منویی که تعادلی از غذاهای راحت آشنا و تجربیات آشپزی ماجراجویانه را ارائه می دهد، به اشتراک بگذارید.</v>
      </c>
      <c r="H4219" s="1"/>
      <c r="I4219" s="1"/>
      <c r="J4219" s="1"/>
      <c r="K4219" s="1"/>
      <c r="L4219" s="1"/>
      <c r="M4219" s="1"/>
      <c r="N4219" s="1"/>
      <c r="O4219" s="1"/>
      <c r="P4219" s="1"/>
      <c r="Q4219" s="1"/>
      <c r="R4219" s="1"/>
      <c r="S4219" s="1"/>
      <c r="T4219" s="1"/>
      <c r="U4219" s="1"/>
      <c r="V4219" s="1"/>
      <c r="W4219" s="1"/>
      <c r="X4219" s="1"/>
      <c r="Y4219" s="1"/>
      <c r="Z4219" s="1"/>
      <c r="AA4219" s="1"/>
      <c r="AB4219" s="1"/>
    </row>
    <row r="4220" ht="50.25" customHeight="1">
      <c r="A4220" s="12">
        <v>4216.0</v>
      </c>
      <c r="B4220" s="13" t="s">
        <v>3778</v>
      </c>
      <c r="C4220" s="14" t="s">
        <v>4238</v>
      </c>
      <c r="D4220" s="1"/>
      <c r="E4220" s="1"/>
      <c r="F4220" s="1" t="str">
        <f>IFERROR(__xludf.DUMMYFUNCTION("GOOGLETRANSLATE(B4220, ""en"", ""fa"")
"),"برنامه ریز عروسی")</f>
        <v>برنامه ریز عروسی</v>
      </c>
      <c r="G4220" s="1" t="str">
        <f>IFERROR(__xludf.DUMMYFUNCTION("GOOGLETRANSLATE(C4220, ""en"", ""fa"")
"),"چگونه زوج ها می توانند یک تجربه خوشامدگویی و به یاد ماندنی برای مهمانان عروسی خود ایجاد کنند؟")</f>
        <v>چگونه زوج ها می توانند یک تجربه خوشامدگویی و به یاد ماندنی برای مهمانان عروسی خود ایجاد کنند؟</v>
      </c>
      <c r="H4220" s="1"/>
      <c r="I4220" s="1"/>
      <c r="J4220" s="1"/>
      <c r="K4220" s="1"/>
      <c r="L4220" s="1"/>
      <c r="M4220" s="1"/>
      <c r="N4220" s="1"/>
      <c r="O4220" s="1"/>
      <c r="P4220" s="1"/>
      <c r="Q4220" s="1"/>
      <c r="R4220" s="1"/>
      <c r="S4220" s="1"/>
      <c r="T4220" s="1"/>
      <c r="U4220" s="1"/>
      <c r="V4220" s="1"/>
      <c r="W4220" s="1"/>
      <c r="X4220" s="1"/>
      <c r="Y4220" s="1"/>
      <c r="Z4220" s="1"/>
      <c r="AA4220" s="1"/>
      <c r="AB4220" s="1"/>
    </row>
    <row r="4221" ht="50.25" customHeight="1">
      <c r="A4221" s="12">
        <v>4217.0</v>
      </c>
      <c r="B4221" s="13" t="s">
        <v>3778</v>
      </c>
      <c r="C4221" s="14" t="s">
        <v>4239</v>
      </c>
      <c r="D4221" s="1"/>
      <c r="E4221" s="1"/>
      <c r="F4221" s="1" t="str">
        <f>IFERROR(__xludf.DUMMYFUNCTION("GOOGLETRANSLATE(B4221, ""en"", ""fa"")
"),"برنامه ریز عروسی")</f>
        <v>برنامه ریز عروسی</v>
      </c>
      <c r="G4221" s="1" t="str">
        <f>IFERROR(__xludf.DUMMYFUNCTION("GOOGLETRANSLATE(C4221, ""en"", ""fa"")
"),"ایده هایی برای ترکیب هدایای خوش آمدگویی شخصی یا کیسه های خوش آمدگویی برای مهمانان هنگام ورود به اشتراک بگذارید.")</f>
        <v>ایده هایی برای ترکیب هدایای خوش آمدگویی شخصی یا کیسه های خوش آمدگویی برای مهمانان هنگام ورود به اشتراک بگذارید.</v>
      </c>
      <c r="H4221" s="1"/>
      <c r="I4221" s="1"/>
      <c r="J4221" s="1"/>
      <c r="K4221" s="1"/>
      <c r="L4221" s="1"/>
      <c r="M4221" s="1"/>
      <c r="N4221" s="1"/>
      <c r="O4221" s="1"/>
      <c r="P4221" s="1"/>
      <c r="Q4221" s="1"/>
      <c r="R4221" s="1"/>
      <c r="S4221" s="1"/>
      <c r="T4221" s="1"/>
      <c r="U4221" s="1"/>
      <c r="V4221" s="1"/>
      <c r="W4221" s="1"/>
      <c r="X4221" s="1"/>
      <c r="Y4221" s="1"/>
      <c r="Z4221" s="1"/>
      <c r="AA4221" s="1"/>
      <c r="AB4221" s="1"/>
    </row>
    <row r="4222" ht="50.25" customHeight="1">
      <c r="A4222" s="12">
        <v>4218.0</v>
      </c>
      <c r="B4222" s="13" t="s">
        <v>3778</v>
      </c>
      <c r="C4222" s="14" t="s">
        <v>4240</v>
      </c>
      <c r="D4222" s="1"/>
      <c r="E4222" s="1"/>
      <c r="F4222" s="1" t="str">
        <f>IFERROR(__xludf.DUMMYFUNCTION("GOOGLETRANSLATE(B4222, ""en"", ""fa"")
"),"برنامه ریز عروسی")</f>
        <v>برنامه ریز عروسی</v>
      </c>
      <c r="G4222" s="1" t="str">
        <f>IFERROR(__xludf.DUMMYFUNCTION("GOOGLETRANSLATE(C4222, ""en"", ""fa"")
"),"در انتخاب اقامتگاه برای مهمانان خارج از شهر چه عواملی ضروری است؟")</f>
        <v>در انتخاب اقامتگاه برای مهمانان خارج از شهر چه عواملی ضروری است؟</v>
      </c>
      <c r="H4222" s="1"/>
      <c r="I4222" s="1"/>
      <c r="J4222" s="1"/>
      <c r="K4222" s="1"/>
      <c r="L4222" s="1"/>
      <c r="M4222" s="1"/>
      <c r="N4222" s="1"/>
      <c r="O4222" s="1"/>
      <c r="P4222" s="1"/>
      <c r="Q4222" s="1"/>
      <c r="R4222" s="1"/>
      <c r="S4222" s="1"/>
      <c r="T4222" s="1"/>
      <c r="U4222" s="1"/>
      <c r="V4222" s="1"/>
      <c r="W4222" s="1"/>
      <c r="X4222" s="1"/>
      <c r="Y4222" s="1"/>
      <c r="Z4222" s="1"/>
      <c r="AA4222" s="1"/>
      <c r="AB4222" s="1"/>
    </row>
    <row r="4223" ht="50.25" customHeight="1">
      <c r="A4223" s="12">
        <v>4219.0</v>
      </c>
      <c r="B4223" s="13" t="s">
        <v>3778</v>
      </c>
      <c r="C4223" s="14" t="s">
        <v>4241</v>
      </c>
      <c r="D4223" s="1"/>
      <c r="E4223" s="1"/>
      <c r="F4223" s="1" t="str">
        <f>IFERROR(__xludf.DUMMYFUNCTION("GOOGLETRANSLATE(B4223, ""en"", ""fa"")
"),"برنامه ریز عروسی")</f>
        <v>برنامه ریز عروسی</v>
      </c>
      <c r="G4223" s="1" t="str">
        <f>IFERROR(__xludf.DUMMYFUNCTION("GOOGLETRANSLATE(C4223, ""en"", ""fa"")
"),"چگونه برنامه ریزان عروسی می توانند به زوج ها در مدیریت تدارکات حمل و نقل برای مهمانان، مانند خدمات شاتل یا ماشین کمک کنند؟")</f>
        <v>چگونه برنامه ریزان عروسی می توانند به زوج ها در مدیریت تدارکات حمل و نقل برای مهمانان، مانند خدمات شاتل یا ماشین کمک کنند؟</v>
      </c>
      <c r="H4223" s="1"/>
      <c r="I4223" s="1"/>
      <c r="J4223" s="1"/>
      <c r="K4223" s="1"/>
      <c r="L4223" s="1"/>
      <c r="M4223" s="1"/>
      <c r="N4223" s="1"/>
      <c r="O4223" s="1"/>
      <c r="P4223" s="1"/>
      <c r="Q4223" s="1"/>
      <c r="R4223" s="1"/>
      <c r="S4223" s="1"/>
      <c r="T4223" s="1"/>
      <c r="U4223" s="1"/>
      <c r="V4223" s="1"/>
      <c r="W4223" s="1"/>
      <c r="X4223" s="1"/>
      <c r="Y4223" s="1"/>
      <c r="Z4223" s="1"/>
      <c r="AA4223" s="1"/>
      <c r="AB4223" s="1"/>
    </row>
    <row r="4224" ht="50.25" customHeight="1">
      <c r="A4224" s="12">
        <v>4220.0</v>
      </c>
      <c r="B4224" s="13" t="s">
        <v>3778</v>
      </c>
      <c r="C4224" s="14" t="s">
        <v>4242</v>
      </c>
      <c r="D4224" s="1"/>
      <c r="E4224" s="1"/>
      <c r="F4224" s="1" t="str">
        <f>IFERROR(__xludf.DUMMYFUNCTION("GOOGLETRANSLATE(B4224, ""en"", ""fa"")
"),"برنامه ریز عروسی")</f>
        <v>برنامه ریز عروسی</v>
      </c>
      <c r="G4224" s="1" t="str">
        <f>IFERROR(__xludf.DUMMYFUNCTION("GOOGLETRANSLATE(C4224, ""en"", ""fa"")
"),"چند استراتژی برای ایجاد یک فرآیند ثبت نام و ورود مهمان بدون درز و لذت بخش به اشتراک بگذارید.")</f>
        <v>چند استراتژی برای ایجاد یک فرآیند ثبت نام و ورود مهمان بدون درز و لذت بخش به اشتراک بگذارید.</v>
      </c>
      <c r="H4224" s="1"/>
      <c r="I4224" s="1"/>
      <c r="J4224" s="1"/>
      <c r="K4224" s="1"/>
      <c r="L4224" s="1"/>
      <c r="M4224" s="1"/>
      <c r="N4224" s="1"/>
      <c r="O4224" s="1"/>
      <c r="P4224" s="1"/>
      <c r="Q4224" s="1"/>
      <c r="R4224" s="1"/>
      <c r="S4224" s="1"/>
      <c r="T4224" s="1"/>
      <c r="U4224" s="1"/>
      <c r="V4224" s="1"/>
      <c r="W4224" s="1"/>
      <c r="X4224" s="1"/>
      <c r="Y4224" s="1"/>
      <c r="Z4224" s="1"/>
      <c r="AA4224" s="1"/>
      <c r="AB4224" s="1"/>
    </row>
    <row r="4225" ht="50.25" customHeight="1">
      <c r="A4225" s="12">
        <v>4221.0</v>
      </c>
      <c r="B4225" s="13" t="s">
        <v>3778</v>
      </c>
      <c r="C4225" s="14" t="s">
        <v>4243</v>
      </c>
      <c r="D4225" s="1"/>
      <c r="E4225" s="1"/>
      <c r="F4225" s="1" t="str">
        <f>IFERROR(__xludf.DUMMYFUNCTION("GOOGLETRANSLATE(B4225, ""en"", ""fa"")
"),"برنامه ریز عروسی")</f>
        <v>برنامه ریز عروسی</v>
      </c>
      <c r="G4225" s="1" t="str">
        <f>IFERROR(__xludf.DUMMYFUNCTION("GOOGLETRANSLATE(C4225, ""en"", ""fa"")
"),"چگونه زوج ها می توانند برنامه ها یا برنامه های مفید و آموزنده عروسی را به مهمانان ارائه دهند؟")</f>
        <v>چگونه زوج ها می توانند برنامه ها یا برنامه های مفید و آموزنده عروسی را به مهمانان ارائه دهند؟</v>
      </c>
      <c r="H4225" s="1"/>
      <c r="I4225" s="1"/>
      <c r="J4225" s="1"/>
      <c r="K4225" s="1"/>
      <c r="L4225" s="1"/>
      <c r="M4225" s="1"/>
      <c r="N4225" s="1"/>
      <c r="O4225" s="1"/>
      <c r="P4225" s="1"/>
      <c r="Q4225" s="1"/>
      <c r="R4225" s="1"/>
      <c r="S4225" s="1"/>
      <c r="T4225" s="1"/>
      <c r="U4225" s="1"/>
      <c r="V4225" s="1"/>
      <c r="W4225" s="1"/>
      <c r="X4225" s="1"/>
      <c r="Y4225" s="1"/>
      <c r="Z4225" s="1"/>
      <c r="AA4225" s="1"/>
      <c r="AB4225" s="1"/>
    </row>
    <row r="4226" ht="50.25" customHeight="1">
      <c r="A4226" s="12">
        <v>4222.0</v>
      </c>
      <c r="B4226" s="13" t="s">
        <v>3778</v>
      </c>
      <c r="C4226" s="14" t="s">
        <v>4244</v>
      </c>
      <c r="D4226" s="1"/>
      <c r="E4226" s="1"/>
      <c r="F4226" s="1" t="str">
        <f>IFERROR(__xludf.DUMMYFUNCTION("GOOGLETRANSLATE(B4226, ""en"", ""fa"")
"),"برنامه ریز عروسی")</f>
        <v>برنامه ریز عروسی</v>
      </c>
      <c r="G4226" s="1" t="str">
        <f>IFERROR(__xludf.DUMMYFUNCTION("GOOGLETRANSLATE(C4226, ""en"", ""fa"")
"),"ملاحظات کلیدی برای ایجاد یک نشیمنگاه راحت و خوب برای پذیرایی عروسی چیست؟")</f>
        <v>ملاحظات کلیدی برای ایجاد یک نشیمنگاه راحت و خوب برای پذیرایی عروسی چیست؟</v>
      </c>
      <c r="H4226" s="1"/>
      <c r="I4226" s="1"/>
      <c r="J4226" s="1"/>
      <c r="K4226" s="1"/>
      <c r="L4226" s="1"/>
      <c r="M4226" s="1"/>
      <c r="N4226" s="1"/>
      <c r="O4226" s="1"/>
      <c r="P4226" s="1"/>
      <c r="Q4226" s="1"/>
      <c r="R4226" s="1"/>
      <c r="S4226" s="1"/>
      <c r="T4226" s="1"/>
      <c r="U4226" s="1"/>
      <c r="V4226" s="1"/>
      <c r="W4226" s="1"/>
      <c r="X4226" s="1"/>
      <c r="Y4226" s="1"/>
      <c r="Z4226" s="1"/>
      <c r="AA4226" s="1"/>
      <c r="AB4226" s="1"/>
    </row>
    <row r="4227" ht="50.25" customHeight="1">
      <c r="A4227" s="12">
        <v>4223.0</v>
      </c>
      <c r="B4227" s="13" t="s">
        <v>3778</v>
      </c>
      <c r="C4227" s="14" t="s">
        <v>4245</v>
      </c>
      <c r="D4227" s="1"/>
      <c r="E4227" s="1"/>
      <c r="F4227" s="1" t="str">
        <f>IFERROR(__xludf.DUMMYFUNCTION("GOOGLETRANSLATE(B4227, ""en"", ""fa"")
"),"برنامه ریز عروسی")</f>
        <v>برنامه ریز عروسی</v>
      </c>
      <c r="G4227" s="1" t="str">
        <f>IFERROR(__xludf.DUMMYFUNCTION("GOOGLETRANSLATE(C4227, ""en"", ""fa"")
"),"نکاتی را برای طراحی و چیدمان یک سالن استراحت یا محل استراحت مهمان در محل برگزاری عروسی به اشتراک بگذارید.")</f>
        <v>نکاتی را برای طراحی و چیدمان یک سالن استراحت یا محل استراحت مهمان در محل برگزاری عروسی به اشتراک بگذارید.</v>
      </c>
      <c r="H4227" s="1"/>
      <c r="I4227" s="1"/>
      <c r="J4227" s="1"/>
      <c r="K4227" s="1"/>
      <c r="L4227" s="1"/>
      <c r="M4227" s="1"/>
      <c r="N4227" s="1"/>
      <c r="O4227" s="1"/>
      <c r="P4227" s="1"/>
      <c r="Q4227" s="1"/>
      <c r="R4227" s="1"/>
      <c r="S4227" s="1"/>
      <c r="T4227" s="1"/>
      <c r="U4227" s="1"/>
      <c r="V4227" s="1"/>
      <c r="W4227" s="1"/>
      <c r="X4227" s="1"/>
      <c r="Y4227" s="1"/>
      <c r="Z4227" s="1"/>
      <c r="AA4227" s="1"/>
      <c r="AB4227" s="1"/>
    </row>
    <row r="4228" ht="50.25" customHeight="1">
      <c r="A4228" s="12">
        <v>4224.0</v>
      </c>
      <c r="B4228" s="13" t="s">
        <v>3778</v>
      </c>
      <c r="C4228" s="14" t="s">
        <v>4246</v>
      </c>
      <c r="D4228" s="1"/>
      <c r="E4228" s="1"/>
      <c r="F4228" s="1" t="str">
        <f>IFERROR(__xludf.DUMMYFUNCTION("GOOGLETRANSLATE(B4228, ""en"", ""fa"")
"),"برنامه ریز عروسی")</f>
        <v>برنامه ریز عروسی</v>
      </c>
      <c r="G4228" s="1" t="str">
        <f>IFERROR(__xludf.DUMMYFUNCTION("GOOGLETRANSLATE(C4228, ""en"", ""fa"")
"),"چگونه برنامه‌ریزان عروسی می‌توانند به زوج‌ها در ایجاد یک سیستم مدیریت فهرست مهمان‌ها کمک کنند که درخواست‌های ویژه، محدودیت‌های غذایی، و درخواست‌های ویژه را ردیابی کند؟")</f>
        <v>چگونه برنامه‌ریزان عروسی می‌توانند به زوج‌ها در ایجاد یک سیستم مدیریت فهرست مهمان‌ها کمک کنند که درخواست‌های ویژه، محدودیت‌های غذایی، و درخواست‌های ویژه را ردیابی کند؟</v>
      </c>
      <c r="H4228" s="1"/>
      <c r="I4228" s="1"/>
      <c r="J4228" s="1"/>
      <c r="K4228" s="1"/>
      <c r="L4228" s="1"/>
      <c r="M4228" s="1"/>
      <c r="N4228" s="1"/>
      <c r="O4228" s="1"/>
      <c r="P4228" s="1"/>
      <c r="Q4228" s="1"/>
      <c r="R4228" s="1"/>
      <c r="S4228" s="1"/>
      <c r="T4228" s="1"/>
      <c r="U4228" s="1"/>
      <c r="V4228" s="1"/>
      <c r="W4228" s="1"/>
      <c r="X4228" s="1"/>
      <c r="Y4228" s="1"/>
      <c r="Z4228" s="1"/>
      <c r="AA4228" s="1"/>
      <c r="AB4228" s="1"/>
    </row>
    <row r="4229" ht="50.25" customHeight="1">
      <c r="A4229" s="12">
        <v>4225.0</v>
      </c>
      <c r="B4229" s="13" t="s">
        <v>3778</v>
      </c>
      <c r="C4229" s="14" t="s">
        <v>4247</v>
      </c>
      <c r="D4229" s="1"/>
      <c r="E4229" s="1"/>
      <c r="F4229" s="1" t="str">
        <f>IFERROR(__xludf.DUMMYFUNCTION("GOOGLETRANSLATE(B4229, ""en"", ""fa"")
"),"برنامه ریز عروسی")</f>
        <v>برنامه ریز عروسی</v>
      </c>
      <c r="G4229" s="1" t="str">
        <f>IFERROR(__xludf.DUMMYFUNCTION("GOOGLETRANSLATE(C4229, ""en"", ""fa"")
"),"عناصر ضروری برای گنجاندن در یک وب سایت عروسی یا پلت فرم دیجیتال برای بهبود تجربه مهمان چیست؟")</f>
        <v>عناصر ضروری برای گنجاندن در یک وب سایت عروسی یا پلت فرم دیجیتال برای بهبود تجربه مهمان چیست؟</v>
      </c>
      <c r="H4229" s="1"/>
      <c r="I4229" s="1"/>
      <c r="J4229" s="1"/>
      <c r="K4229" s="1"/>
      <c r="L4229" s="1"/>
      <c r="M4229" s="1"/>
      <c r="N4229" s="1"/>
      <c r="O4229" s="1"/>
      <c r="P4229" s="1"/>
      <c r="Q4229" s="1"/>
      <c r="R4229" s="1"/>
      <c r="S4229" s="1"/>
      <c r="T4229" s="1"/>
      <c r="U4229" s="1"/>
      <c r="V4229" s="1"/>
      <c r="W4229" s="1"/>
      <c r="X4229" s="1"/>
      <c r="Y4229" s="1"/>
      <c r="Z4229" s="1"/>
      <c r="AA4229" s="1"/>
      <c r="AB4229" s="1"/>
    </row>
    <row r="4230" ht="50.25" customHeight="1">
      <c r="A4230" s="12">
        <v>4226.0</v>
      </c>
      <c r="B4230" s="13" t="s">
        <v>3778</v>
      </c>
      <c r="C4230" s="14" t="s">
        <v>4248</v>
      </c>
      <c r="D4230" s="1"/>
      <c r="E4230" s="1"/>
      <c r="F4230" s="1" t="str">
        <f>IFERROR(__xludf.DUMMYFUNCTION("GOOGLETRANSLATE(B4230, ""en"", ""fa"")
"),"برنامه ریز عروسی")</f>
        <v>برنامه ریز عروسی</v>
      </c>
      <c r="G4230" s="1" t="str">
        <f>IFERROR(__xludf.DUMMYFUNCTION("GOOGLETRANSLATE(C4230, ""en"", ""fa"")
"),"ایده هایی برای ترکیب عناصر تعاملی، مانند غرفه های عکس یا بازی، برای سرگرم کردن و جذب مهمانان به اشتراک بگذارید.")</f>
        <v>ایده هایی برای ترکیب عناصر تعاملی، مانند غرفه های عکس یا بازی، برای سرگرم کردن و جذب مهمانان به اشتراک بگذارید.</v>
      </c>
      <c r="H4230" s="1"/>
      <c r="I4230" s="1"/>
      <c r="J4230" s="1"/>
      <c r="K4230" s="1"/>
      <c r="L4230" s="1"/>
      <c r="M4230" s="1"/>
      <c r="N4230" s="1"/>
      <c r="O4230" s="1"/>
      <c r="P4230" s="1"/>
      <c r="Q4230" s="1"/>
      <c r="R4230" s="1"/>
      <c r="S4230" s="1"/>
      <c r="T4230" s="1"/>
      <c r="U4230" s="1"/>
      <c r="V4230" s="1"/>
      <c r="W4230" s="1"/>
      <c r="X4230" s="1"/>
      <c r="Y4230" s="1"/>
      <c r="Z4230" s="1"/>
      <c r="AA4230" s="1"/>
      <c r="AB4230" s="1"/>
    </row>
    <row r="4231" ht="50.25" customHeight="1">
      <c r="A4231" s="12">
        <v>4227.0</v>
      </c>
      <c r="B4231" s="13" t="s">
        <v>3778</v>
      </c>
      <c r="C4231" s="14" t="s">
        <v>4249</v>
      </c>
      <c r="D4231" s="1"/>
      <c r="E4231" s="1"/>
      <c r="F4231" s="1" t="str">
        <f>IFERROR(__xludf.DUMMYFUNCTION("GOOGLETRANSLATE(B4231, ""en"", ""fa"")
"),"برنامه ریز عروسی")</f>
        <v>برنامه ریز عروسی</v>
      </c>
      <c r="G4231" s="1" t="str">
        <f>IFERROR(__xludf.DUMMYFUNCTION("GOOGLETRANSLATE(C4231, ""en"", ""fa"")
"),"چگونه زوج ها می توانند یک برنامه نشستن متفکرانه و فراگیر ایجاد کنند که روابط و ترجیحات مهمانان را در نظر بگیرد؟")</f>
        <v>چگونه زوج ها می توانند یک برنامه نشستن متفکرانه و فراگیر ایجاد کنند که روابط و ترجیحات مهمانان را در نظر بگیرد؟</v>
      </c>
      <c r="H4231" s="1"/>
      <c r="I4231" s="1"/>
      <c r="J4231" s="1"/>
      <c r="K4231" s="1"/>
      <c r="L4231" s="1"/>
      <c r="M4231" s="1"/>
      <c r="N4231" s="1"/>
      <c r="O4231" s="1"/>
      <c r="P4231" s="1"/>
      <c r="Q4231" s="1"/>
      <c r="R4231" s="1"/>
      <c r="S4231" s="1"/>
      <c r="T4231" s="1"/>
      <c r="U4231" s="1"/>
      <c r="V4231" s="1"/>
      <c r="W4231" s="1"/>
      <c r="X4231" s="1"/>
      <c r="Y4231" s="1"/>
      <c r="Z4231" s="1"/>
      <c r="AA4231" s="1"/>
      <c r="AB4231" s="1"/>
    </row>
    <row r="4232" ht="50.25" customHeight="1">
      <c r="A4232" s="12">
        <v>4228.0</v>
      </c>
      <c r="B4232" s="13" t="s">
        <v>3778</v>
      </c>
      <c r="C4232" s="14" t="s">
        <v>4250</v>
      </c>
      <c r="D4232" s="1"/>
      <c r="E4232" s="1"/>
      <c r="F4232" s="1" t="str">
        <f>IFERROR(__xludf.DUMMYFUNCTION("GOOGLETRANSLATE(B4232, ""en"", ""fa"")
"),"برنامه ریز عروسی")</f>
        <v>برنامه ریز عروسی</v>
      </c>
      <c r="G4232" s="1" t="str">
        <f>IFERROR(__xludf.DUMMYFUNCTION("GOOGLETRANSLATE(C4232, ""en"", ""fa"")
"),"بهترین روش ها برای مدیریت حمل و نقل مهمان به و از محل برگزاری مراسم عروسی و پذیرایی چیست؟")</f>
        <v>بهترین روش ها برای مدیریت حمل و نقل مهمان به و از محل برگزاری مراسم عروسی و پذیرایی چیست؟</v>
      </c>
      <c r="H4232" s="1"/>
      <c r="I4232" s="1"/>
      <c r="J4232" s="1"/>
      <c r="K4232" s="1"/>
      <c r="L4232" s="1"/>
      <c r="M4232" s="1"/>
      <c r="N4232" s="1"/>
      <c r="O4232" s="1"/>
      <c r="P4232" s="1"/>
      <c r="Q4232" s="1"/>
      <c r="R4232" s="1"/>
      <c r="S4232" s="1"/>
      <c r="T4232" s="1"/>
      <c r="U4232" s="1"/>
      <c r="V4232" s="1"/>
      <c r="W4232" s="1"/>
      <c r="X4232" s="1"/>
      <c r="Y4232" s="1"/>
      <c r="Z4232" s="1"/>
      <c r="AA4232" s="1"/>
      <c r="AB4232" s="1"/>
    </row>
    <row r="4233" ht="50.25" customHeight="1">
      <c r="A4233" s="12">
        <v>4229.0</v>
      </c>
      <c r="B4233" s="13" t="s">
        <v>3778</v>
      </c>
      <c r="C4233" s="14" t="s">
        <v>4251</v>
      </c>
      <c r="D4233" s="1"/>
      <c r="E4233" s="1"/>
      <c r="F4233" s="1" t="str">
        <f>IFERROR(__xludf.DUMMYFUNCTION("GOOGLETRANSLATE(B4233, ""en"", ""fa"")
"),"برنامه ریز عروسی")</f>
        <v>برنامه ریز عروسی</v>
      </c>
      <c r="G4233" s="1" t="str">
        <f>IFERROR(__xludf.DUMMYFUNCTION("GOOGLETRANSLATE(C4233, ""en"", ""fa"")
"),"برخی از استراتژی ها را برای ارائه مسیرها و نقشه های واضح و دقیق برای راهنمایی مهمانان به مکان های عروسی به اشتراک بگذارید.")</f>
        <v>برخی از استراتژی ها را برای ارائه مسیرها و نقشه های واضح و دقیق برای راهنمایی مهمانان به مکان های عروسی به اشتراک بگذارید.</v>
      </c>
      <c r="H4233" s="1"/>
      <c r="I4233" s="1"/>
      <c r="J4233" s="1"/>
      <c r="K4233" s="1"/>
      <c r="L4233" s="1"/>
      <c r="M4233" s="1"/>
      <c r="N4233" s="1"/>
      <c r="O4233" s="1"/>
      <c r="P4233" s="1"/>
      <c r="Q4233" s="1"/>
      <c r="R4233" s="1"/>
      <c r="S4233" s="1"/>
      <c r="T4233" s="1"/>
      <c r="U4233" s="1"/>
      <c r="V4233" s="1"/>
      <c r="W4233" s="1"/>
      <c r="X4233" s="1"/>
      <c r="Y4233" s="1"/>
      <c r="Z4233" s="1"/>
      <c r="AA4233" s="1"/>
      <c r="AB4233" s="1"/>
    </row>
    <row r="4234" ht="50.25" customHeight="1">
      <c r="A4234" s="12">
        <v>4230.0</v>
      </c>
      <c r="B4234" s="13" t="s">
        <v>3778</v>
      </c>
      <c r="C4234" s="14" t="s">
        <v>4252</v>
      </c>
      <c r="D4234" s="1"/>
      <c r="E4234" s="1"/>
      <c r="F4234" s="1" t="str">
        <f>IFERROR(__xludf.DUMMYFUNCTION("GOOGLETRANSLATE(B4234, ""en"", ""fa"")
"),"برنامه ریز عروسی")</f>
        <v>برنامه ریز عروسی</v>
      </c>
      <c r="G4234" s="1" t="str">
        <f>IFERROR(__xludf.DUMMYFUNCTION("GOOGLETRANSLATE(C4234, ""en"", ""fa"")
"),"چگونه زوج‌ها می‌توانند لمس‌ها یا شگفتی‌های شخصی‌شده را در طول روز عروسی برای شادی مهمانان خود بگنجانند؟")</f>
        <v>چگونه زوج‌ها می‌توانند لمس‌ها یا شگفتی‌های شخصی‌شده را در طول روز عروسی برای شادی مهمانان خود بگنجانند؟</v>
      </c>
      <c r="H4234" s="1"/>
      <c r="I4234" s="1"/>
      <c r="J4234" s="1"/>
      <c r="K4234" s="1"/>
      <c r="L4234" s="1"/>
      <c r="M4234" s="1"/>
      <c r="N4234" s="1"/>
      <c r="O4234" s="1"/>
      <c r="P4234" s="1"/>
      <c r="Q4234" s="1"/>
      <c r="R4234" s="1"/>
      <c r="S4234" s="1"/>
      <c r="T4234" s="1"/>
      <c r="U4234" s="1"/>
      <c r="V4234" s="1"/>
      <c r="W4234" s="1"/>
      <c r="X4234" s="1"/>
      <c r="Y4234" s="1"/>
      <c r="Z4234" s="1"/>
      <c r="AA4234" s="1"/>
      <c r="AB4234" s="1"/>
    </row>
    <row r="4235" ht="50.25" customHeight="1">
      <c r="A4235" s="12">
        <v>4231.0</v>
      </c>
      <c r="B4235" s="13" t="s">
        <v>3778</v>
      </c>
      <c r="C4235" s="14" t="s">
        <v>4253</v>
      </c>
      <c r="D4235" s="1"/>
      <c r="E4235" s="1"/>
      <c r="F4235" s="1" t="str">
        <f>IFERROR(__xludf.DUMMYFUNCTION("GOOGLETRANSLATE(B4235, ""en"", ""fa"")
"),"برنامه ریز عروسی")</f>
        <v>برنامه ریز عروسی</v>
      </c>
      <c r="G4235" s="1" t="str">
        <f>IFERROR(__xludf.DUMMYFUNCTION("GOOGLETRANSLATE(C4235, ""en"", ""fa"")
"),"ملاحظات کلیدی برای مدیریت محل اقامت مهمان و بلوک اتاق در هتل ها یا اقامتگاه ها چیست؟")</f>
        <v>ملاحظات کلیدی برای مدیریت محل اقامت مهمان و بلوک اتاق در هتل ها یا اقامتگاه ها چیست؟</v>
      </c>
      <c r="H4235" s="1"/>
      <c r="I4235" s="1"/>
      <c r="J4235" s="1"/>
      <c r="K4235" s="1"/>
      <c r="L4235" s="1"/>
      <c r="M4235" s="1"/>
      <c r="N4235" s="1"/>
      <c r="O4235" s="1"/>
      <c r="P4235" s="1"/>
      <c r="Q4235" s="1"/>
      <c r="R4235" s="1"/>
      <c r="S4235" s="1"/>
      <c r="T4235" s="1"/>
      <c r="U4235" s="1"/>
      <c r="V4235" s="1"/>
      <c r="W4235" s="1"/>
      <c r="X4235" s="1"/>
      <c r="Y4235" s="1"/>
      <c r="Z4235" s="1"/>
      <c r="AA4235" s="1"/>
      <c r="AB4235" s="1"/>
    </row>
    <row r="4236" ht="50.25" customHeight="1">
      <c r="A4236" s="12">
        <v>4232.0</v>
      </c>
      <c r="B4236" s="13" t="s">
        <v>3778</v>
      </c>
      <c r="C4236" s="14" t="s">
        <v>4254</v>
      </c>
      <c r="D4236" s="1"/>
      <c r="E4236" s="1"/>
      <c r="F4236" s="1" t="str">
        <f>IFERROR(__xludf.DUMMYFUNCTION("GOOGLETRANSLATE(B4236, ""en"", ""fa"")
"),"برنامه ریز عروسی")</f>
        <v>برنامه ریز عروسی</v>
      </c>
      <c r="G4236" s="1" t="str">
        <f>IFERROR(__xludf.DUMMYFUNCTION("GOOGLETRANSLATE(C4236, ""en"", ""fa"")
"),"نکاتی را برای ایجاد فضایی راحت و دلپذیر در مراسم عروسی و مکان های پذیرایی به اشتراک بگذارید.")</f>
        <v>نکاتی را برای ایجاد فضایی راحت و دلپذیر در مراسم عروسی و مکان های پذیرایی به اشتراک بگذارید.</v>
      </c>
      <c r="H4236" s="1"/>
      <c r="I4236" s="1"/>
      <c r="J4236" s="1"/>
      <c r="K4236" s="1"/>
      <c r="L4236" s="1"/>
      <c r="M4236" s="1"/>
      <c r="N4236" s="1"/>
      <c r="O4236" s="1"/>
      <c r="P4236" s="1"/>
      <c r="Q4236" s="1"/>
      <c r="R4236" s="1"/>
      <c r="S4236" s="1"/>
      <c r="T4236" s="1"/>
      <c r="U4236" s="1"/>
      <c r="V4236" s="1"/>
      <c r="W4236" s="1"/>
      <c r="X4236" s="1"/>
      <c r="Y4236" s="1"/>
      <c r="Z4236" s="1"/>
      <c r="AA4236" s="1"/>
      <c r="AB4236" s="1"/>
    </row>
    <row r="4237" ht="50.25" customHeight="1">
      <c r="A4237" s="12">
        <v>4233.0</v>
      </c>
      <c r="B4237" s="13" t="s">
        <v>3778</v>
      </c>
      <c r="C4237" s="14" t="s">
        <v>4255</v>
      </c>
      <c r="D4237" s="1"/>
      <c r="E4237" s="1"/>
      <c r="F4237" s="1" t="str">
        <f>IFERROR(__xludf.DUMMYFUNCTION("GOOGLETRANSLATE(B4237, ""en"", ""fa"")
"),"برنامه ریز عروسی")</f>
        <v>برنامه ریز عروسی</v>
      </c>
      <c r="G4237" s="1" t="str">
        <f>IFERROR(__xludf.DUMMYFUNCTION("GOOGLETRANSLATE(C4237, ""en"", ""fa"")
"),"چگونه برنامه ریزان عروسی می توانند به زوج ها در مدیریت ارتباطات مهمان و پاسخ به سوالات متداول منتهی به عروسی کمک کنند؟")</f>
        <v>چگونه برنامه ریزان عروسی می توانند به زوج ها در مدیریت ارتباطات مهمان و پاسخ به سوالات متداول منتهی به عروسی کمک کنند؟</v>
      </c>
      <c r="H4237" s="1"/>
      <c r="I4237" s="1"/>
      <c r="J4237" s="1"/>
      <c r="K4237" s="1"/>
      <c r="L4237" s="1"/>
      <c r="M4237" s="1"/>
      <c r="N4237" s="1"/>
      <c r="O4237" s="1"/>
      <c r="P4237" s="1"/>
      <c r="Q4237" s="1"/>
      <c r="R4237" s="1"/>
      <c r="S4237" s="1"/>
      <c r="T4237" s="1"/>
      <c r="U4237" s="1"/>
      <c r="V4237" s="1"/>
      <c r="W4237" s="1"/>
      <c r="X4237" s="1"/>
      <c r="Y4237" s="1"/>
      <c r="Z4237" s="1"/>
      <c r="AA4237" s="1"/>
      <c r="AB4237" s="1"/>
    </row>
    <row r="4238" ht="50.25" customHeight="1">
      <c r="A4238" s="12">
        <v>4234.0</v>
      </c>
      <c r="B4238" s="13" t="s">
        <v>3778</v>
      </c>
      <c r="C4238" s="14" t="s">
        <v>4256</v>
      </c>
      <c r="D4238" s="1"/>
      <c r="E4238" s="1"/>
      <c r="F4238" s="1" t="str">
        <f>IFERROR(__xludf.DUMMYFUNCTION("GOOGLETRANSLATE(B4238, ""en"", ""fa"")
"),"برنامه ریز عروسی")</f>
        <v>برنامه ریز عروسی</v>
      </c>
      <c r="G4238" s="1" t="str">
        <f>IFERROR(__xludf.DUMMYFUNCTION("GOOGLETRANSLATE(C4238, ""en"", ""fa"")
"),"چه عواملی را باید در هنگام ایجاد یک مکان یا فعالیت های مشخص برای کودکانی که در مراسم عروسی شرکت می کنند در نظر گرفت؟")</f>
        <v>چه عواملی را باید در هنگام ایجاد یک مکان یا فعالیت های مشخص برای کودکانی که در مراسم عروسی شرکت می کنند در نظر گرفت؟</v>
      </c>
      <c r="H4238" s="1"/>
      <c r="I4238" s="1"/>
      <c r="J4238" s="1"/>
      <c r="K4238" s="1"/>
      <c r="L4238" s="1"/>
      <c r="M4238" s="1"/>
      <c r="N4238" s="1"/>
      <c r="O4238" s="1"/>
      <c r="P4238" s="1"/>
      <c r="Q4238" s="1"/>
      <c r="R4238" s="1"/>
      <c r="S4238" s="1"/>
      <c r="T4238" s="1"/>
      <c r="U4238" s="1"/>
      <c r="V4238" s="1"/>
      <c r="W4238" s="1"/>
      <c r="X4238" s="1"/>
      <c r="Y4238" s="1"/>
      <c r="Z4238" s="1"/>
      <c r="AA4238" s="1"/>
      <c r="AB4238" s="1"/>
    </row>
    <row r="4239" ht="50.25" customHeight="1">
      <c r="A4239" s="12">
        <v>4235.0</v>
      </c>
      <c r="B4239" s="13" t="s">
        <v>3778</v>
      </c>
      <c r="C4239" s="14" t="s">
        <v>4257</v>
      </c>
      <c r="D4239" s="1"/>
      <c r="E4239" s="1"/>
      <c r="F4239" s="1" t="str">
        <f>IFERROR(__xludf.DUMMYFUNCTION("GOOGLETRANSLATE(B4239, ""en"", ""fa"")
"),"برنامه ریز عروسی")</f>
        <v>برنامه ریز عروسی</v>
      </c>
      <c r="G4239" s="1" t="str">
        <f>IFERROR(__xludf.DUMMYFUNCTION("GOOGLETRANSLATE(C4239, ""en"", ""fa"")
"),"ایده هایی را برای ایجاد یک کتاب مهمان یا سیستم پیام رسانی جایگزین مهمان به اشتراک بگذارید که به مهمانان اجازه می دهد آرزوها و خاطرات خوبی از خود به جای بگذارند.")</f>
        <v>ایده هایی را برای ایجاد یک کتاب مهمان یا سیستم پیام رسانی جایگزین مهمان به اشتراک بگذارید که به مهمانان اجازه می دهد آرزوها و خاطرات خوبی از خود به جای بگذارند.</v>
      </c>
      <c r="H4239" s="1"/>
      <c r="I4239" s="1"/>
      <c r="J4239" s="1"/>
      <c r="K4239" s="1"/>
      <c r="L4239" s="1"/>
      <c r="M4239" s="1"/>
      <c r="N4239" s="1"/>
      <c r="O4239" s="1"/>
      <c r="P4239" s="1"/>
      <c r="Q4239" s="1"/>
      <c r="R4239" s="1"/>
      <c r="S4239" s="1"/>
      <c r="T4239" s="1"/>
      <c r="U4239" s="1"/>
      <c r="V4239" s="1"/>
      <c r="W4239" s="1"/>
      <c r="X4239" s="1"/>
      <c r="Y4239" s="1"/>
      <c r="Z4239" s="1"/>
      <c r="AA4239" s="1"/>
      <c r="AB4239" s="1"/>
    </row>
    <row r="4240" ht="50.25" customHeight="1">
      <c r="A4240" s="12">
        <v>4236.0</v>
      </c>
      <c r="B4240" s="13" t="s">
        <v>3778</v>
      </c>
      <c r="C4240" s="14" t="s">
        <v>4258</v>
      </c>
      <c r="D4240" s="1"/>
      <c r="E4240" s="1"/>
      <c r="F4240" s="1" t="str">
        <f>IFERROR(__xludf.DUMMYFUNCTION("GOOGLETRANSLATE(B4240, ""en"", ""fa"")
"),"برنامه ریز عروسی")</f>
        <v>برنامه ریز عروسی</v>
      </c>
      <c r="G4240" s="1" t="str">
        <f>IFERROR(__xludf.DUMMYFUNCTION("GOOGLETRANSLATE(C4240, ""en"", ""fa"")
"),"چگونه زوج ها می توانند داستان عشق و نقاط عطف رابطه خود را در دکوراسیون عروسی و تجربه مهمان بگنجانند؟")</f>
        <v>چگونه زوج ها می توانند داستان عشق و نقاط عطف رابطه خود را در دکوراسیون عروسی و تجربه مهمان بگنجانند؟</v>
      </c>
      <c r="H4240" s="1"/>
      <c r="I4240" s="1"/>
      <c r="J4240" s="1"/>
      <c r="K4240" s="1"/>
      <c r="L4240" s="1"/>
      <c r="M4240" s="1"/>
      <c r="N4240" s="1"/>
      <c r="O4240" s="1"/>
      <c r="P4240" s="1"/>
      <c r="Q4240" s="1"/>
      <c r="R4240" s="1"/>
      <c r="S4240" s="1"/>
      <c r="T4240" s="1"/>
      <c r="U4240" s="1"/>
      <c r="V4240" s="1"/>
      <c r="W4240" s="1"/>
      <c r="X4240" s="1"/>
      <c r="Y4240" s="1"/>
      <c r="Z4240" s="1"/>
      <c r="AA4240" s="1"/>
      <c r="AB4240" s="1"/>
    </row>
    <row r="4241" ht="50.25" customHeight="1">
      <c r="A4241" s="12">
        <v>4237.0</v>
      </c>
      <c r="B4241" s="13" t="s">
        <v>3778</v>
      </c>
      <c r="C4241" s="14" t="s">
        <v>4259</v>
      </c>
      <c r="D4241" s="1"/>
      <c r="E4241" s="1"/>
      <c r="F4241" s="1" t="str">
        <f>IFERROR(__xludf.DUMMYFUNCTION("GOOGLETRANSLATE(B4241, ""en"", ""fa"")
"),"برنامه ریز عروسی")</f>
        <v>برنامه ریز عروسی</v>
      </c>
      <c r="G4241" s="1" t="str">
        <f>IFERROR(__xludf.DUMMYFUNCTION("GOOGLETRANSLATE(C4241, ""en"", ""fa"")
"),"ملاحظات کلیدی برای ارائه امکانات مناسب و در دسترس برای مهمانان دارای معلولیت یا نیازهای ویژه چیست؟")</f>
        <v>ملاحظات کلیدی برای ارائه امکانات مناسب و در دسترس برای مهمانان دارای معلولیت یا نیازهای ویژه چیست؟</v>
      </c>
      <c r="H4241" s="1"/>
      <c r="I4241" s="1"/>
      <c r="J4241" s="1"/>
      <c r="K4241" s="1"/>
      <c r="L4241" s="1"/>
      <c r="M4241" s="1"/>
      <c r="N4241" s="1"/>
      <c r="O4241" s="1"/>
      <c r="P4241" s="1"/>
      <c r="Q4241" s="1"/>
      <c r="R4241" s="1"/>
      <c r="S4241" s="1"/>
      <c r="T4241" s="1"/>
      <c r="U4241" s="1"/>
      <c r="V4241" s="1"/>
      <c r="W4241" s="1"/>
      <c r="X4241" s="1"/>
      <c r="Y4241" s="1"/>
      <c r="Z4241" s="1"/>
      <c r="AA4241" s="1"/>
      <c r="AB4241" s="1"/>
    </row>
    <row r="4242" ht="50.25" customHeight="1">
      <c r="A4242" s="12">
        <v>4238.0</v>
      </c>
      <c r="B4242" s="13" t="s">
        <v>3778</v>
      </c>
      <c r="C4242" s="14" t="s">
        <v>4260</v>
      </c>
      <c r="D4242" s="1"/>
      <c r="E4242" s="1"/>
      <c r="F4242" s="1" t="str">
        <f>IFERROR(__xludf.DUMMYFUNCTION("GOOGLETRANSLATE(B4242, ""en"", ""fa"")
"),"برنامه ریز عروسی")</f>
        <v>برنامه ریز عروسی</v>
      </c>
      <c r="G4242" s="1" t="str">
        <f>IFERROR(__xludf.DUMMYFUNCTION("GOOGLETRANSLATE(C4242, ""en"", ""fa"")
"),"چند استراتژی برای مدیریت و هماهنگی توزیع نذورات عروسی یا هدایای تشکر برای مهمانان به اشتراک بگذارید.")</f>
        <v>چند استراتژی برای مدیریت و هماهنگی توزیع نذورات عروسی یا هدایای تشکر برای مهمانان به اشتراک بگذارید.</v>
      </c>
      <c r="H4242" s="1"/>
      <c r="I4242" s="1"/>
      <c r="J4242" s="1"/>
      <c r="K4242" s="1"/>
      <c r="L4242" s="1"/>
      <c r="M4242" s="1"/>
      <c r="N4242" s="1"/>
      <c r="O4242" s="1"/>
      <c r="P4242" s="1"/>
      <c r="Q4242" s="1"/>
      <c r="R4242" s="1"/>
      <c r="S4242" s="1"/>
      <c r="T4242" s="1"/>
      <c r="U4242" s="1"/>
      <c r="V4242" s="1"/>
      <c r="W4242" s="1"/>
      <c r="X4242" s="1"/>
      <c r="Y4242" s="1"/>
      <c r="Z4242" s="1"/>
      <c r="AA4242" s="1"/>
      <c r="AB4242" s="1"/>
    </row>
    <row r="4243" ht="50.25" customHeight="1">
      <c r="A4243" s="12">
        <v>4239.0</v>
      </c>
      <c r="B4243" s="13" t="s">
        <v>3778</v>
      </c>
      <c r="C4243" s="14" t="s">
        <v>4261</v>
      </c>
      <c r="D4243" s="1"/>
      <c r="E4243" s="1"/>
      <c r="F4243" s="1" t="str">
        <f>IFERROR(__xludf.DUMMYFUNCTION("GOOGLETRANSLATE(B4243, ""en"", ""fa"")
"),"برنامه ریز عروسی")</f>
        <v>برنامه ریز عروسی</v>
      </c>
      <c r="G4243" s="1" t="str">
        <f>IFERROR(__xludf.DUMMYFUNCTION("GOOGLETRANSLATE(C4243, ""en"", ""fa"")
"),"چگونه زوج ها می توانند یک برنامه نشستن مهمان ایجاد کنند که اجتماعی شدن و تعامل بین گروه های مختلف مهمان را تشویق کند؟")</f>
        <v>چگونه زوج ها می توانند یک برنامه نشستن مهمان ایجاد کنند که اجتماعی شدن و تعامل بین گروه های مختلف مهمان را تشویق کند؟</v>
      </c>
      <c r="H4243" s="1"/>
      <c r="I4243" s="1"/>
      <c r="J4243" s="1"/>
      <c r="K4243" s="1"/>
      <c r="L4243" s="1"/>
      <c r="M4243" s="1"/>
      <c r="N4243" s="1"/>
      <c r="O4243" s="1"/>
      <c r="P4243" s="1"/>
      <c r="Q4243" s="1"/>
      <c r="R4243" s="1"/>
      <c r="S4243" s="1"/>
      <c r="T4243" s="1"/>
      <c r="U4243" s="1"/>
      <c r="V4243" s="1"/>
      <c r="W4243" s="1"/>
      <c r="X4243" s="1"/>
      <c r="Y4243" s="1"/>
      <c r="Z4243" s="1"/>
      <c r="AA4243" s="1"/>
      <c r="AB4243" s="1"/>
    </row>
    <row r="4244" ht="50.25" customHeight="1">
      <c r="A4244" s="12">
        <v>4240.0</v>
      </c>
      <c r="B4244" s="13" t="s">
        <v>3778</v>
      </c>
      <c r="C4244" s="14" t="s">
        <v>4262</v>
      </c>
      <c r="D4244" s="1"/>
      <c r="E4244" s="1"/>
      <c r="F4244" s="1" t="str">
        <f>IFERROR(__xludf.DUMMYFUNCTION("GOOGLETRANSLATE(B4244, ""en"", ""fa"")
"),"برنامه ریز عروسی")</f>
        <v>برنامه ریز عروسی</v>
      </c>
      <c r="G4244" s="1" t="str">
        <f>IFERROR(__xludf.DUMMYFUNCTION("GOOGLETRANSLATE(C4244, ""en"", ""fa"")
"),"بهترین شیوه‌ها برای مدیریت زمان‌بندی و جریان رویدادها و فعالیت‌های مختلف در طول روز عروسی برای اطمینان از یک تجربه راحت مهمان چیست؟")</f>
        <v>بهترین شیوه‌ها برای مدیریت زمان‌بندی و جریان رویدادها و فعالیت‌های مختلف در طول روز عروسی برای اطمینان از یک تجربه راحت مهمان چیست؟</v>
      </c>
      <c r="H4244" s="1"/>
      <c r="I4244" s="1"/>
      <c r="J4244" s="1"/>
      <c r="K4244" s="1"/>
      <c r="L4244" s="1"/>
      <c r="M4244" s="1"/>
      <c r="N4244" s="1"/>
      <c r="O4244" s="1"/>
      <c r="P4244" s="1"/>
      <c r="Q4244" s="1"/>
      <c r="R4244" s="1"/>
      <c r="S4244" s="1"/>
      <c r="T4244" s="1"/>
      <c r="U4244" s="1"/>
      <c r="V4244" s="1"/>
      <c r="W4244" s="1"/>
      <c r="X4244" s="1"/>
      <c r="Y4244" s="1"/>
      <c r="Z4244" s="1"/>
      <c r="AA4244" s="1"/>
      <c r="AB4244" s="1"/>
    </row>
    <row r="4245" ht="50.25" customHeight="1">
      <c r="A4245" s="12">
        <v>4241.0</v>
      </c>
      <c r="B4245" s="13" t="s">
        <v>3778</v>
      </c>
      <c r="C4245" s="14" t="s">
        <v>4263</v>
      </c>
      <c r="D4245" s="1"/>
      <c r="E4245" s="1"/>
      <c r="F4245" s="1" t="str">
        <f>IFERROR(__xludf.DUMMYFUNCTION("GOOGLETRANSLATE(B4245, ""en"", ""fa"")
"),"برنامه ریز عروسی")</f>
        <v>برنامه ریز عروسی</v>
      </c>
      <c r="G4245" s="1" t="str">
        <f>IFERROR(__xludf.DUMMYFUNCTION("GOOGLETRANSLATE(C4245, ""en"", ""fa"")
"),"نکاتی را برای ارائه علائم روشن و آموزنده یا سیستم های راهیابی برای راهنمایی مهمانان در مکان های عروسی به اشتراک بگذارید.")</f>
        <v>نکاتی را برای ارائه علائم روشن و آموزنده یا سیستم های راهیابی برای راهنمایی مهمانان در مکان های عروسی به اشتراک بگذارید.</v>
      </c>
      <c r="H4245" s="1"/>
      <c r="I4245" s="1"/>
      <c r="J4245" s="1"/>
      <c r="K4245" s="1"/>
      <c r="L4245" s="1"/>
      <c r="M4245" s="1"/>
      <c r="N4245" s="1"/>
      <c r="O4245" s="1"/>
      <c r="P4245" s="1"/>
      <c r="Q4245" s="1"/>
      <c r="R4245" s="1"/>
      <c r="S4245" s="1"/>
      <c r="T4245" s="1"/>
      <c r="U4245" s="1"/>
      <c r="V4245" s="1"/>
      <c r="W4245" s="1"/>
      <c r="X4245" s="1"/>
      <c r="Y4245" s="1"/>
      <c r="Z4245" s="1"/>
      <c r="AA4245" s="1"/>
      <c r="AB4245" s="1"/>
    </row>
    <row r="4246" ht="50.25" customHeight="1">
      <c r="A4246" s="12">
        <v>4242.0</v>
      </c>
      <c r="B4246" s="13" t="s">
        <v>3778</v>
      </c>
      <c r="C4246" s="14" t="s">
        <v>4264</v>
      </c>
      <c r="D4246" s="1"/>
      <c r="E4246" s="1"/>
      <c r="F4246" s="1" t="str">
        <f>IFERROR(__xludf.DUMMYFUNCTION("GOOGLETRANSLATE(B4246, ""en"", ""fa"")
"),"برنامه ریز عروسی")</f>
        <v>برنامه ریز عروسی</v>
      </c>
      <c r="G4246" s="1" t="str">
        <f>IFERROR(__xludf.DUMMYFUNCTION("GOOGLETRANSLATE(C4246, ""en"", ""fa"")
"),"برنامه ریزان عروسی چگونه می توانند به زوج ها در مدیریت و ردیابی محدودیت های غذایی مهمان، آلرژی ها و درخواست های ویژه غذا کمک کنند؟")</f>
        <v>برنامه ریزان عروسی چگونه می توانند به زوج ها در مدیریت و ردیابی محدودیت های غذایی مهمان، آلرژی ها و درخواست های ویژه غذا کمک کنند؟</v>
      </c>
      <c r="H4246" s="1"/>
      <c r="I4246" s="1"/>
      <c r="J4246" s="1"/>
      <c r="K4246" s="1"/>
      <c r="L4246" s="1"/>
      <c r="M4246" s="1"/>
      <c r="N4246" s="1"/>
      <c r="O4246" s="1"/>
      <c r="P4246" s="1"/>
      <c r="Q4246" s="1"/>
      <c r="R4246" s="1"/>
      <c r="S4246" s="1"/>
      <c r="T4246" s="1"/>
      <c r="U4246" s="1"/>
      <c r="V4246" s="1"/>
      <c r="W4246" s="1"/>
      <c r="X4246" s="1"/>
      <c r="Y4246" s="1"/>
      <c r="Z4246" s="1"/>
      <c r="AA4246" s="1"/>
      <c r="AB4246" s="1"/>
    </row>
    <row r="4247" ht="50.25" customHeight="1">
      <c r="A4247" s="12">
        <v>4243.0</v>
      </c>
      <c r="B4247" s="13" t="s">
        <v>3778</v>
      </c>
      <c r="C4247" s="14" t="s">
        <v>4265</v>
      </c>
      <c r="D4247" s="1"/>
      <c r="E4247" s="1"/>
      <c r="F4247" s="1" t="str">
        <f>IFERROR(__xludf.DUMMYFUNCTION("GOOGLETRANSLATE(B4247, ""en"", ""fa"")
"),"برنامه ریز عروسی")</f>
        <v>برنامه ریز عروسی</v>
      </c>
      <c r="G4247" s="1" t="str">
        <f>IFERROR(__xludf.DUMMYFUNCTION("GOOGLETRANSLATE(C4247, ""en"", ""fa"")
"),"چه عناصر ضروری در بسته خوش آمدگویی عروسی یا بسته اطلاعاتی برای مهمانان خارج از شهر وجود دارد؟")</f>
        <v>چه عناصر ضروری در بسته خوش آمدگویی عروسی یا بسته اطلاعاتی برای مهمانان خارج از شهر وجود دارد؟</v>
      </c>
      <c r="H4247" s="1"/>
      <c r="I4247" s="1"/>
      <c r="J4247" s="1"/>
      <c r="K4247" s="1"/>
      <c r="L4247" s="1"/>
      <c r="M4247" s="1"/>
      <c r="N4247" s="1"/>
      <c r="O4247" s="1"/>
      <c r="P4247" s="1"/>
      <c r="Q4247" s="1"/>
      <c r="R4247" s="1"/>
      <c r="S4247" s="1"/>
      <c r="T4247" s="1"/>
      <c r="U4247" s="1"/>
      <c r="V4247" s="1"/>
      <c r="W4247" s="1"/>
      <c r="X4247" s="1"/>
      <c r="Y4247" s="1"/>
      <c r="Z4247" s="1"/>
      <c r="AA4247" s="1"/>
      <c r="AB4247" s="1"/>
    </row>
    <row r="4248" ht="50.25" customHeight="1">
      <c r="A4248" s="12">
        <v>4244.0</v>
      </c>
      <c r="B4248" s="13" t="s">
        <v>3778</v>
      </c>
      <c r="C4248" s="14" t="s">
        <v>4266</v>
      </c>
      <c r="D4248" s="1"/>
      <c r="E4248" s="1"/>
      <c r="F4248" s="1" t="str">
        <f>IFERROR(__xludf.DUMMYFUNCTION("GOOGLETRANSLATE(B4248, ""en"", ""fa"")
"),"برنامه ریز عروسی")</f>
        <v>برنامه ریز عروسی</v>
      </c>
      <c r="G4248" s="1" t="str">
        <f>IFERROR(__xludf.DUMMYFUNCTION("GOOGLETRANSLATE(C4248, ""en"", ""fa"")
"),"ایده هایی برای ایجاد یک سوئیت عروس راحت و شیک یا محل آماده سازی برای جشن عروسی و اعضای نزدیک خانواده به اشتراک بگذارید.")</f>
        <v>ایده هایی برای ایجاد یک سوئیت عروس راحت و شیک یا محل آماده سازی برای جشن عروسی و اعضای نزدیک خانواده به اشتراک بگذارید.</v>
      </c>
      <c r="H4248" s="1"/>
      <c r="I4248" s="1"/>
      <c r="J4248" s="1"/>
      <c r="K4248" s="1"/>
      <c r="L4248" s="1"/>
      <c r="M4248" s="1"/>
      <c r="N4248" s="1"/>
      <c r="O4248" s="1"/>
      <c r="P4248" s="1"/>
      <c r="Q4248" s="1"/>
      <c r="R4248" s="1"/>
      <c r="S4248" s="1"/>
      <c r="T4248" s="1"/>
      <c r="U4248" s="1"/>
      <c r="V4248" s="1"/>
      <c r="W4248" s="1"/>
      <c r="X4248" s="1"/>
      <c r="Y4248" s="1"/>
      <c r="Z4248" s="1"/>
      <c r="AA4248" s="1"/>
      <c r="AB4248" s="1"/>
    </row>
    <row r="4249" ht="50.25" customHeight="1">
      <c r="A4249" s="12">
        <v>4245.0</v>
      </c>
      <c r="B4249" s="13" t="s">
        <v>3778</v>
      </c>
      <c r="C4249" s="14" t="s">
        <v>4267</v>
      </c>
      <c r="D4249" s="1"/>
      <c r="E4249" s="1"/>
      <c r="F4249" s="1" t="str">
        <f>IFERROR(__xludf.DUMMYFUNCTION("GOOGLETRANSLATE(B4249, ""en"", ""fa"")
"),"برنامه ریز عروسی")</f>
        <v>برنامه ریز عروسی</v>
      </c>
      <c r="G4249" s="1" t="str">
        <f>IFERROR(__xludf.DUMMYFUNCTION("GOOGLETRANSLATE(C4249, ""en"", ""fa"")
"),"چگونه زوج‌ها می‌توانند عناصر تعاملی، مانند چالش عکس مهمان یا اشتراک‌گذاری رسانه‌های اجتماعی را برای بهبود تجربه مهمان ترکیب کنند؟")</f>
        <v>چگونه زوج‌ها می‌توانند عناصر تعاملی، مانند چالش عکس مهمان یا اشتراک‌گذاری رسانه‌های اجتماعی را برای بهبود تجربه مهمان ترکیب کنند؟</v>
      </c>
      <c r="H4249" s="1"/>
      <c r="I4249" s="1"/>
      <c r="J4249" s="1"/>
      <c r="K4249" s="1"/>
      <c r="L4249" s="1"/>
      <c r="M4249" s="1"/>
      <c r="N4249" s="1"/>
      <c r="O4249" s="1"/>
      <c r="P4249" s="1"/>
      <c r="Q4249" s="1"/>
      <c r="R4249" s="1"/>
      <c r="S4249" s="1"/>
      <c r="T4249" s="1"/>
      <c r="U4249" s="1"/>
      <c r="V4249" s="1"/>
      <c r="W4249" s="1"/>
      <c r="X4249" s="1"/>
      <c r="Y4249" s="1"/>
      <c r="Z4249" s="1"/>
      <c r="AA4249" s="1"/>
      <c r="AB4249" s="1"/>
    </row>
    <row r="4250" ht="50.25" customHeight="1">
      <c r="A4250" s="12">
        <v>4246.0</v>
      </c>
      <c r="B4250" s="13" t="s">
        <v>3778</v>
      </c>
      <c r="C4250" s="14" t="s">
        <v>4268</v>
      </c>
      <c r="D4250" s="1"/>
      <c r="E4250" s="1"/>
      <c r="F4250" s="1" t="str">
        <f>IFERROR(__xludf.DUMMYFUNCTION("GOOGLETRANSLATE(B4250, ""en"", ""fa"")
"),"برنامه ریز عروسی")</f>
        <v>برنامه ریز عروسی</v>
      </c>
      <c r="G4250" s="1" t="str">
        <f>IFERROR(__xludf.DUMMYFUNCTION("GOOGLETRANSLATE(C4250, ""en"", ""fa"")
"),"ملاحظات کلیدی برای ایجاد یک برنامه صندلی مهمان که دید و راحتی بهینه را برای همه مهمانان تضمین می کند چیست؟")</f>
        <v>ملاحظات کلیدی برای ایجاد یک برنامه صندلی مهمان که دید و راحتی بهینه را برای همه مهمانان تضمین می کند چیست؟</v>
      </c>
      <c r="H4250" s="1"/>
      <c r="I4250" s="1"/>
      <c r="J4250" s="1"/>
      <c r="K4250" s="1"/>
      <c r="L4250" s="1"/>
      <c r="M4250" s="1"/>
      <c r="N4250" s="1"/>
      <c r="O4250" s="1"/>
      <c r="P4250" s="1"/>
      <c r="Q4250" s="1"/>
      <c r="R4250" s="1"/>
      <c r="S4250" s="1"/>
      <c r="T4250" s="1"/>
      <c r="U4250" s="1"/>
      <c r="V4250" s="1"/>
      <c r="W4250" s="1"/>
      <c r="X4250" s="1"/>
      <c r="Y4250" s="1"/>
      <c r="Z4250" s="1"/>
      <c r="AA4250" s="1"/>
      <c r="AB4250" s="1"/>
    </row>
    <row r="4251" ht="50.25" customHeight="1">
      <c r="A4251" s="12">
        <v>4247.0</v>
      </c>
      <c r="B4251" s="13" t="s">
        <v>3778</v>
      </c>
      <c r="C4251" s="14" t="s">
        <v>4269</v>
      </c>
      <c r="D4251" s="1"/>
      <c r="E4251" s="1"/>
      <c r="F4251" s="1" t="str">
        <f>IFERROR(__xludf.DUMMYFUNCTION("GOOGLETRANSLATE(B4251, ""en"", ""fa"")
"),"برنامه ریز عروسی")</f>
        <v>برنامه ریز عروسی</v>
      </c>
      <c r="G4251" s="1" t="str">
        <f>IFERROR(__xludf.DUMMYFUNCTION("GOOGLETRANSLATE(C4251, ""en"", ""fa"")
"),"برای اطمینان از ورود و خروج به موقع، چند استراتژی برای مدیریت هماهنگی و ارتباط با ارائه دهندگان حمل و نقل مهمان به اشتراک بگذارید.")</f>
        <v>برای اطمینان از ورود و خروج به موقع، چند استراتژی برای مدیریت هماهنگی و ارتباط با ارائه دهندگان حمل و نقل مهمان به اشتراک بگذارید.</v>
      </c>
      <c r="H4251" s="1"/>
      <c r="I4251" s="1"/>
      <c r="J4251" s="1"/>
      <c r="K4251" s="1"/>
      <c r="L4251" s="1"/>
      <c r="M4251" s="1"/>
      <c r="N4251" s="1"/>
      <c r="O4251" s="1"/>
      <c r="P4251" s="1"/>
      <c r="Q4251" s="1"/>
      <c r="R4251" s="1"/>
      <c r="S4251" s="1"/>
      <c r="T4251" s="1"/>
      <c r="U4251" s="1"/>
      <c r="V4251" s="1"/>
      <c r="W4251" s="1"/>
      <c r="X4251" s="1"/>
      <c r="Y4251" s="1"/>
      <c r="Z4251" s="1"/>
      <c r="AA4251" s="1"/>
      <c r="AB4251" s="1"/>
    </row>
    <row r="4252" ht="50.25" customHeight="1">
      <c r="A4252" s="12">
        <v>4248.0</v>
      </c>
      <c r="B4252" s="13" t="s">
        <v>3778</v>
      </c>
      <c r="C4252" s="14" t="s">
        <v>4270</v>
      </c>
      <c r="D4252" s="1"/>
      <c r="E4252" s="1"/>
      <c r="F4252" s="1" t="str">
        <f>IFERROR(__xludf.DUMMYFUNCTION("GOOGLETRANSLATE(B4252, ""en"", ""fa"")
"),"برنامه ریز عروسی")</f>
        <v>برنامه ریز عروسی</v>
      </c>
      <c r="G4252" s="1" t="str">
        <f>IFERROR(__xludf.DUMMYFUNCTION("GOOGLETRANSLATE(C4252, ""en"", ""fa"")
"),"چگونه زوج ها می توانند یک تجربه مهمان ایجاد کنند که منعکس کننده علایق و سرگرمی های مشترک آنها باشد؟")</f>
        <v>چگونه زوج ها می توانند یک تجربه مهمان ایجاد کنند که منعکس کننده علایق و سرگرمی های مشترک آنها باشد؟</v>
      </c>
      <c r="H4252" s="1"/>
      <c r="I4252" s="1"/>
      <c r="J4252" s="1"/>
      <c r="K4252" s="1"/>
      <c r="L4252" s="1"/>
      <c r="M4252" s="1"/>
      <c r="N4252" s="1"/>
      <c r="O4252" s="1"/>
      <c r="P4252" s="1"/>
      <c r="Q4252" s="1"/>
      <c r="R4252" s="1"/>
      <c r="S4252" s="1"/>
      <c r="T4252" s="1"/>
      <c r="U4252" s="1"/>
      <c r="V4252" s="1"/>
      <c r="W4252" s="1"/>
      <c r="X4252" s="1"/>
      <c r="Y4252" s="1"/>
      <c r="Z4252" s="1"/>
      <c r="AA4252" s="1"/>
      <c r="AB4252" s="1"/>
    </row>
    <row r="4253" ht="50.25" customHeight="1">
      <c r="A4253" s="12">
        <v>4249.0</v>
      </c>
      <c r="B4253" s="13" t="s">
        <v>3778</v>
      </c>
      <c r="C4253" s="14" t="s">
        <v>4271</v>
      </c>
      <c r="D4253" s="1"/>
      <c r="E4253" s="1"/>
      <c r="F4253" s="1" t="str">
        <f>IFERROR(__xludf.DUMMYFUNCTION("GOOGLETRANSLATE(B4253, ""en"", ""fa"")
"),"برنامه ریز عروسی")</f>
        <v>برنامه ریز عروسی</v>
      </c>
      <c r="G4253" s="1" t="str">
        <f>IFERROR(__xludf.DUMMYFUNCTION("GOOGLETRANSLATE(C4253, ""en"", ""fa"")
"),"هنگام انتخاب و تنظیم تابلوهای خوشامدگویی و راهنمایی برای مهمانان در مکان عروسی چه عواملی ضروری است؟")</f>
        <v>هنگام انتخاب و تنظیم تابلوهای خوشامدگویی و راهنمایی برای مهمانان در مکان عروسی چه عواملی ضروری است؟</v>
      </c>
      <c r="H4253" s="1"/>
      <c r="I4253" s="1"/>
      <c r="J4253" s="1"/>
      <c r="K4253" s="1"/>
      <c r="L4253" s="1"/>
      <c r="M4253" s="1"/>
      <c r="N4253" s="1"/>
      <c r="O4253" s="1"/>
      <c r="P4253" s="1"/>
      <c r="Q4253" s="1"/>
      <c r="R4253" s="1"/>
      <c r="S4253" s="1"/>
      <c r="T4253" s="1"/>
      <c r="U4253" s="1"/>
      <c r="V4253" s="1"/>
      <c r="W4253" s="1"/>
      <c r="X4253" s="1"/>
      <c r="Y4253" s="1"/>
      <c r="Z4253" s="1"/>
      <c r="AA4253" s="1"/>
      <c r="AB4253" s="1"/>
    </row>
    <row r="4254" ht="50.25" customHeight="1">
      <c r="A4254" s="12">
        <v>4250.0</v>
      </c>
      <c r="B4254" s="13" t="s">
        <v>3778</v>
      </c>
      <c r="C4254" s="14" t="s">
        <v>4272</v>
      </c>
      <c r="D4254" s="1"/>
      <c r="E4254" s="1"/>
      <c r="F4254" s="1" t="str">
        <f>IFERROR(__xludf.DUMMYFUNCTION("GOOGLETRANSLATE(B4254, ""en"", ""fa"")
"),"برنامه ریز عروسی")</f>
        <v>برنامه ریز عروسی</v>
      </c>
      <c r="G4254" s="1" t="str">
        <f>IFERROR(__xludf.DUMMYFUNCTION("GOOGLETRANSLATE(C4254, ""en"", ""fa"")
"),"نکاتی را برای ایجاد جدول زمانی عروسی مهمان پسند به اشتراک بگذارید که امکان استراحت، اختلاط و آرامش بین رویدادهای مختلف را فراهم کند.")</f>
        <v>نکاتی را برای ایجاد جدول زمانی عروسی مهمان پسند به اشتراک بگذارید که امکان استراحت، اختلاط و آرامش بین رویدادهای مختلف را فراهم کند.</v>
      </c>
      <c r="H4254" s="1"/>
      <c r="I4254" s="1"/>
      <c r="J4254" s="1"/>
      <c r="K4254" s="1"/>
      <c r="L4254" s="1"/>
      <c r="M4254" s="1"/>
      <c r="N4254" s="1"/>
      <c r="O4254" s="1"/>
      <c r="P4254" s="1"/>
      <c r="Q4254" s="1"/>
      <c r="R4254" s="1"/>
      <c r="S4254" s="1"/>
      <c r="T4254" s="1"/>
      <c r="U4254" s="1"/>
      <c r="V4254" s="1"/>
      <c r="W4254" s="1"/>
      <c r="X4254" s="1"/>
      <c r="Y4254" s="1"/>
      <c r="Z4254" s="1"/>
      <c r="AA4254" s="1"/>
      <c r="AB4254" s="1"/>
    </row>
    <row r="4255" ht="50.25" customHeight="1">
      <c r="A4255" s="12">
        <v>4251.0</v>
      </c>
      <c r="B4255" s="13" t="s">
        <v>3778</v>
      </c>
      <c r="C4255" s="14" t="s">
        <v>4273</v>
      </c>
      <c r="D4255" s="1"/>
      <c r="E4255" s="1"/>
      <c r="F4255" s="1" t="str">
        <f>IFERROR(__xludf.DUMMYFUNCTION("GOOGLETRANSLATE(B4255, ""en"", ""fa"")
"),"برنامه ریز عروسی")</f>
        <v>برنامه ریز عروسی</v>
      </c>
      <c r="G4255" s="1" t="str">
        <f>IFERROR(__xludf.DUMMYFUNCTION("GOOGLETRANSLATE(C4255, ""en"", ""fa"")
"),"چگونه برنامه‌ریزان عروسی می‌توانند به زوج‌ها در ایجاد یک برنامه جامع ارتباطی مهمان که اطلاعات قبل از عروسی، به‌روزرسانی‌ها و تشکر بعد از عروسی را پوشش می‌دهد، کمک کنند؟")</f>
        <v>چگونه برنامه‌ریزان عروسی می‌توانند به زوج‌ها در ایجاد یک برنامه جامع ارتباطی مهمان که اطلاعات قبل از عروسی، به‌روزرسانی‌ها و تشکر بعد از عروسی را پوشش می‌دهد، کمک کنند؟</v>
      </c>
      <c r="H4255" s="1"/>
      <c r="I4255" s="1"/>
      <c r="J4255" s="1"/>
      <c r="K4255" s="1"/>
      <c r="L4255" s="1"/>
      <c r="M4255" s="1"/>
      <c r="N4255" s="1"/>
      <c r="O4255" s="1"/>
      <c r="P4255" s="1"/>
      <c r="Q4255" s="1"/>
      <c r="R4255" s="1"/>
      <c r="S4255" s="1"/>
      <c r="T4255" s="1"/>
      <c r="U4255" s="1"/>
      <c r="V4255" s="1"/>
      <c r="W4255" s="1"/>
      <c r="X4255" s="1"/>
      <c r="Y4255" s="1"/>
      <c r="Z4255" s="1"/>
      <c r="AA4255" s="1"/>
      <c r="AB4255" s="1"/>
    </row>
    <row r="4256" ht="50.25" customHeight="1">
      <c r="A4256" s="12">
        <v>4252.0</v>
      </c>
      <c r="B4256" s="13" t="s">
        <v>3778</v>
      </c>
      <c r="C4256" s="14" t="s">
        <v>4274</v>
      </c>
      <c r="D4256" s="1"/>
      <c r="E4256" s="1"/>
      <c r="F4256" s="1" t="str">
        <f>IFERROR(__xludf.DUMMYFUNCTION("GOOGLETRANSLATE(B4256, ""en"", ""fa"")
"),"برنامه ریز عروسی")</f>
        <v>برنامه ریز عروسی</v>
      </c>
      <c r="G4256" s="1" t="str">
        <f>IFERROR(__xludf.DUMMYFUNCTION("GOOGLETRANSLATE(C4256, ""en"", ""fa"")
"),"بهترین روش‌ها برای مدیریت تکالیف صندلی مهمان و کارت‌های اسکورت برای اطمینان از روند ورود مهمانان آرام و سازمان‌یافته چیست؟")</f>
        <v>بهترین روش‌ها برای مدیریت تکالیف صندلی مهمان و کارت‌های اسکورت برای اطمینان از روند ورود مهمانان آرام و سازمان‌یافته چیست؟</v>
      </c>
      <c r="H4256" s="1"/>
      <c r="I4256" s="1"/>
      <c r="J4256" s="1"/>
      <c r="K4256" s="1"/>
      <c r="L4256" s="1"/>
      <c r="M4256" s="1"/>
      <c r="N4256" s="1"/>
      <c r="O4256" s="1"/>
      <c r="P4256" s="1"/>
      <c r="Q4256" s="1"/>
      <c r="R4256" s="1"/>
      <c r="S4256" s="1"/>
      <c r="T4256" s="1"/>
      <c r="U4256" s="1"/>
      <c r="V4256" s="1"/>
      <c r="W4256" s="1"/>
      <c r="X4256" s="1"/>
      <c r="Y4256" s="1"/>
      <c r="Z4256" s="1"/>
      <c r="AA4256" s="1"/>
      <c r="AB4256" s="1"/>
    </row>
    <row r="4257" ht="50.25" customHeight="1">
      <c r="A4257" s="12">
        <v>4253.0</v>
      </c>
      <c r="B4257" s="13" t="s">
        <v>3778</v>
      </c>
      <c r="C4257" s="14" t="s">
        <v>4275</v>
      </c>
      <c r="D4257" s="1"/>
      <c r="E4257" s="1"/>
      <c r="F4257" s="1" t="str">
        <f>IFERROR(__xludf.DUMMYFUNCTION("GOOGLETRANSLATE(B4257, ""en"", ""fa"")
"),"برنامه ریز عروسی")</f>
        <v>برنامه ریز عروسی</v>
      </c>
      <c r="G4257" s="1" t="str">
        <f>IFERROR(__xludf.DUMMYFUNCTION("GOOGLETRANSLATE(C4257, ""en"", ""fa"")
"),"برخی از استراتژی‌ها را برای مدیریت انتظارات مهمانان و ارائه دستورالعمل‌های روشن برای کد لباس و آداب عروسی به اشتراک بگذارید.")</f>
        <v>برخی از استراتژی‌ها را برای مدیریت انتظارات مهمانان و ارائه دستورالعمل‌های روشن برای کد لباس و آداب عروسی به اشتراک بگذارید.</v>
      </c>
      <c r="H4257" s="1"/>
      <c r="I4257" s="1"/>
      <c r="J4257" s="1"/>
      <c r="K4257" s="1"/>
      <c r="L4257" s="1"/>
      <c r="M4257" s="1"/>
      <c r="N4257" s="1"/>
      <c r="O4257" s="1"/>
      <c r="P4257" s="1"/>
      <c r="Q4257" s="1"/>
      <c r="R4257" s="1"/>
      <c r="S4257" s="1"/>
      <c r="T4257" s="1"/>
      <c r="U4257" s="1"/>
      <c r="V4257" s="1"/>
      <c r="W4257" s="1"/>
      <c r="X4257" s="1"/>
      <c r="Y4257" s="1"/>
      <c r="Z4257" s="1"/>
      <c r="AA4257" s="1"/>
      <c r="AB4257" s="1"/>
    </row>
    <row r="4258" ht="50.25" customHeight="1">
      <c r="A4258" s="12">
        <v>4254.0</v>
      </c>
      <c r="B4258" s="13" t="s">
        <v>3778</v>
      </c>
      <c r="C4258" s="14" t="s">
        <v>4276</v>
      </c>
      <c r="D4258" s="1"/>
      <c r="E4258" s="1"/>
      <c r="F4258" s="1" t="str">
        <f>IFERROR(__xludf.DUMMYFUNCTION("GOOGLETRANSLATE(B4258, ""en"", ""fa"")
"),"برنامه ریز عروسی")</f>
        <v>برنامه ریز عروسی</v>
      </c>
      <c r="G4258" s="1" t="str">
        <f>IFERROR(__xludf.DUMMYFUNCTION("GOOGLETRANSLATE(C4258, ""en"", ""fa"")
"),"چگونه زوج ها می توانند عناصر منحصر به فرد و تعاملی مانند درخت آرزوی مهمان یا ایستگاه مشاوره را برای جذب مهمانان و ایجاد خاطرات ماندگار ترکیب کنند؟")</f>
        <v>چگونه زوج ها می توانند عناصر منحصر به فرد و تعاملی مانند درخت آرزوی مهمان یا ایستگاه مشاوره را برای جذب مهمانان و ایجاد خاطرات ماندگار ترکیب کنند؟</v>
      </c>
      <c r="H4258" s="1"/>
      <c r="I4258" s="1"/>
      <c r="J4258" s="1"/>
      <c r="K4258" s="1"/>
      <c r="L4258" s="1"/>
      <c r="M4258" s="1"/>
      <c r="N4258" s="1"/>
      <c r="O4258" s="1"/>
      <c r="P4258" s="1"/>
      <c r="Q4258" s="1"/>
      <c r="R4258" s="1"/>
      <c r="S4258" s="1"/>
      <c r="T4258" s="1"/>
      <c r="U4258" s="1"/>
      <c r="V4258" s="1"/>
      <c r="W4258" s="1"/>
      <c r="X4258" s="1"/>
      <c r="Y4258" s="1"/>
      <c r="Z4258" s="1"/>
      <c r="AA4258" s="1"/>
      <c r="AB4258" s="1"/>
    </row>
    <row r="4259" ht="50.25" customHeight="1">
      <c r="A4259" s="12">
        <v>4255.0</v>
      </c>
      <c r="B4259" s="13" t="s">
        <v>3778</v>
      </c>
      <c r="C4259" s="14" t="s">
        <v>4277</v>
      </c>
      <c r="D4259" s="1"/>
      <c r="E4259" s="1"/>
      <c r="F4259" s="1" t="str">
        <f>IFERROR(__xludf.DUMMYFUNCTION("GOOGLETRANSLATE(B4259, ""en"", ""fa"")
"),"برنامه ریز عروسی")</f>
        <v>برنامه ریز عروسی</v>
      </c>
      <c r="G4259" s="1" t="str">
        <f>IFERROR(__xludf.DUMMYFUNCTION("GOOGLETRANSLATE(C4259, ""en"", ""fa"")
"),"ملاحظات کلیدی برای مدیریت ترتیبات پارک مهمان و ارائه گزینه های پارکینگ راحت برای شرکت کنندگان چیست؟")</f>
        <v>ملاحظات کلیدی برای مدیریت ترتیبات پارک مهمان و ارائه گزینه های پارکینگ راحت برای شرکت کنندگان چیست؟</v>
      </c>
      <c r="H4259" s="1"/>
      <c r="I4259" s="1"/>
      <c r="J4259" s="1"/>
      <c r="K4259" s="1"/>
      <c r="L4259" s="1"/>
      <c r="M4259" s="1"/>
      <c r="N4259" s="1"/>
      <c r="O4259" s="1"/>
      <c r="P4259" s="1"/>
      <c r="Q4259" s="1"/>
      <c r="R4259" s="1"/>
      <c r="S4259" s="1"/>
      <c r="T4259" s="1"/>
      <c r="U4259" s="1"/>
      <c r="V4259" s="1"/>
      <c r="W4259" s="1"/>
      <c r="X4259" s="1"/>
      <c r="Y4259" s="1"/>
      <c r="Z4259" s="1"/>
      <c r="AA4259" s="1"/>
      <c r="AB4259" s="1"/>
    </row>
    <row r="4260" ht="50.25" customHeight="1">
      <c r="A4260" s="12">
        <v>4256.0</v>
      </c>
      <c r="B4260" s="13" t="s">
        <v>3778</v>
      </c>
      <c r="C4260" s="14" t="s">
        <v>4278</v>
      </c>
      <c r="D4260" s="1"/>
      <c r="E4260" s="1"/>
      <c r="F4260" s="1" t="str">
        <f>IFERROR(__xludf.DUMMYFUNCTION("GOOGLETRANSLATE(B4260, ""en"", ""fa"")
"),"برنامه ریز عروسی")</f>
        <v>برنامه ریز عروسی</v>
      </c>
      <c r="G4260" s="1" t="str">
        <f>IFERROR(__xludf.DUMMYFUNCTION("GOOGLETRANSLATE(C4260, ""en"", ""fa"")
"),"ایده هایی را برای ایجاد یک تجربه به یاد ماندنی و شخصی سازی شده از سفر مهمان به اشتراک بگذارید.")</f>
        <v>ایده هایی را برای ایجاد یک تجربه به یاد ماندنی و شخصی سازی شده از سفر مهمان به اشتراک بگذارید.</v>
      </c>
      <c r="H4260" s="1"/>
      <c r="I4260" s="1"/>
      <c r="J4260" s="1"/>
      <c r="K4260" s="1"/>
      <c r="L4260" s="1"/>
      <c r="M4260" s="1"/>
      <c r="N4260" s="1"/>
      <c r="O4260" s="1"/>
      <c r="P4260" s="1"/>
      <c r="Q4260" s="1"/>
      <c r="R4260" s="1"/>
      <c r="S4260" s="1"/>
      <c r="T4260" s="1"/>
      <c r="U4260" s="1"/>
      <c r="V4260" s="1"/>
      <c r="W4260" s="1"/>
      <c r="X4260" s="1"/>
      <c r="Y4260" s="1"/>
      <c r="Z4260" s="1"/>
      <c r="AA4260" s="1"/>
      <c r="AB4260" s="1"/>
    </row>
    <row r="4261" ht="50.25" customHeight="1">
      <c r="A4261" s="12">
        <v>4257.0</v>
      </c>
      <c r="B4261" s="13" t="s">
        <v>3778</v>
      </c>
      <c r="C4261" s="14" t="s">
        <v>4279</v>
      </c>
      <c r="D4261" s="1"/>
      <c r="E4261" s="1"/>
      <c r="F4261" s="1" t="str">
        <f>IFERROR(__xludf.DUMMYFUNCTION("GOOGLETRANSLATE(B4261, ""en"", ""fa"")
"),"برنامه ریز عروسی")</f>
        <v>برنامه ریز عروسی</v>
      </c>
      <c r="G4261" s="1" t="str">
        <f>IFERROR(__xludf.DUMMYFUNCTION("GOOGLETRANSLATE(C4261, ""en"", ""fa"")
"),"چگونه زوج‌ها می‌توانند سنت‌ها یا آداب و رسوم فرهنگی خود را در تجربه مهمان بگنجانند تا جشنی معنادار و همه‌جانبه فراهم کنند؟")</f>
        <v>چگونه زوج‌ها می‌توانند سنت‌ها یا آداب و رسوم فرهنگی خود را در تجربه مهمان بگنجانند تا جشنی معنادار و همه‌جانبه فراهم کنند؟</v>
      </c>
      <c r="H4261" s="1"/>
      <c r="I4261" s="1"/>
      <c r="J4261" s="1"/>
      <c r="K4261" s="1"/>
      <c r="L4261" s="1"/>
      <c r="M4261" s="1"/>
      <c r="N4261" s="1"/>
      <c r="O4261" s="1"/>
      <c r="P4261" s="1"/>
      <c r="Q4261" s="1"/>
      <c r="R4261" s="1"/>
      <c r="S4261" s="1"/>
      <c r="T4261" s="1"/>
      <c r="U4261" s="1"/>
      <c r="V4261" s="1"/>
      <c r="W4261" s="1"/>
      <c r="X4261" s="1"/>
      <c r="Y4261" s="1"/>
      <c r="Z4261" s="1"/>
      <c r="AA4261" s="1"/>
      <c r="AB4261" s="1"/>
    </row>
    <row r="4262" ht="50.25" customHeight="1">
      <c r="A4262" s="12">
        <v>4258.0</v>
      </c>
      <c r="B4262" s="13" t="s">
        <v>3778</v>
      </c>
      <c r="C4262" s="14" t="s">
        <v>4280</v>
      </c>
      <c r="D4262" s="1"/>
      <c r="E4262" s="1"/>
      <c r="F4262" s="1" t="str">
        <f>IFERROR(__xludf.DUMMYFUNCTION("GOOGLETRANSLATE(B4262, ""en"", ""fa"")
"),"برنامه ریز عروسی")</f>
        <v>برنامه ریز عروسی</v>
      </c>
      <c r="G4262" s="1" t="str">
        <f>IFERROR(__xludf.DUMMYFUNCTION("GOOGLETRANSLATE(C4262, ""en"", ""fa"")
"),"چه عناصر ضروری در سخنرانی یا پیام خوش آمدگویی عروسی برای ابراز قدردانی و تنظیم لحن برای تجربه مهمان وجود دارد؟")</f>
        <v>چه عناصر ضروری در سخنرانی یا پیام خوش آمدگویی عروسی برای ابراز قدردانی و تنظیم لحن برای تجربه مهمان وجود دارد؟</v>
      </c>
      <c r="H4262" s="1"/>
      <c r="I4262" s="1"/>
      <c r="J4262" s="1"/>
      <c r="K4262" s="1"/>
      <c r="L4262" s="1"/>
      <c r="M4262" s="1"/>
      <c r="N4262" s="1"/>
      <c r="O4262" s="1"/>
      <c r="P4262" s="1"/>
      <c r="Q4262" s="1"/>
      <c r="R4262" s="1"/>
      <c r="S4262" s="1"/>
      <c r="T4262" s="1"/>
      <c r="U4262" s="1"/>
      <c r="V4262" s="1"/>
      <c r="W4262" s="1"/>
      <c r="X4262" s="1"/>
      <c r="Y4262" s="1"/>
      <c r="Z4262" s="1"/>
      <c r="AA4262" s="1"/>
      <c r="AB4262" s="1"/>
    </row>
    <row r="4263" ht="50.25" customHeight="1">
      <c r="A4263" s="12">
        <v>4259.0</v>
      </c>
      <c r="B4263" s="13" t="s">
        <v>3778</v>
      </c>
      <c r="C4263" s="14" t="s">
        <v>4281</v>
      </c>
      <c r="D4263" s="1"/>
      <c r="E4263" s="1"/>
      <c r="F4263" s="1" t="str">
        <f>IFERROR(__xludf.DUMMYFUNCTION("GOOGLETRANSLATE(B4263, ""en"", ""fa"")
"),"برنامه ریز عروسی")</f>
        <v>برنامه ریز عروسی</v>
      </c>
      <c r="G4263" s="1" t="str">
        <f>IFERROR(__xludf.DUMMYFUNCTION("GOOGLETRANSLATE(C4263, ""en"", ""fa"")
"),"نکاتی را برای مدیریت هماهنگی و زمان ورود مهمان و ورود به محل برگزاری عروسی به اشتراک بگذارید.")</f>
        <v>نکاتی را برای مدیریت هماهنگی و زمان ورود مهمان و ورود به محل برگزاری عروسی به اشتراک بگذارید.</v>
      </c>
      <c r="H4263" s="1"/>
      <c r="I4263" s="1"/>
      <c r="J4263" s="1"/>
      <c r="K4263" s="1"/>
      <c r="L4263" s="1"/>
      <c r="M4263" s="1"/>
      <c r="N4263" s="1"/>
      <c r="O4263" s="1"/>
      <c r="P4263" s="1"/>
      <c r="Q4263" s="1"/>
      <c r="R4263" s="1"/>
      <c r="S4263" s="1"/>
      <c r="T4263" s="1"/>
      <c r="U4263" s="1"/>
      <c r="V4263" s="1"/>
      <c r="W4263" s="1"/>
      <c r="X4263" s="1"/>
      <c r="Y4263" s="1"/>
      <c r="Z4263" s="1"/>
      <c r="AA4263" s="1"/>
      <c r="AB4263" s="1"/>
    </row>
    <row r="4264" ht="50.25" customHeight="1">
      <c r="A4264" s="12">
        <v>4260.0</v>
      </c>
      <c r="B4264" s="13" t="s">
        <v>3778</v>
      </c>
      <c r="C4264" s="14" t="s">
        <v>4282</v>
      </c>
      <c r="D4264" s="1"/>
      <c r="E4264" s="1"/>
      <c r="F4264" s="1" t="str">
        <f>IFERROR(__xludf.DUMMYFUNCTION("GOOGLETRANSLATE(B4264, ""en"", ""fa"")
"),"برنامه ریز عروسی")</f>
        <v>برنامه ریز عروسی</v>
      </c>
      <c r="G4264" s="1" t="str">
        <f>IFERROR(__xludf.DUMMYFUNCTION("GOOGLETRANSLATE(C4264, ""en"", ""fa"")
"),"برنامه ریزان عروسی چگونه می توانند به زوج ها در هماهنگی و سازماندهی فعالیت های گروهی یا گردش برای مهمانان در آخر هفته عروسی کمک کنند؟")</f>
        <v>برنامه ریزان عروسی چگونه می توانند به زوج ها در هماهنگی و سازماندهی فعالیت های گروهی یا گردش برای مهمانان در آخر هفته عروسی کمک کنند؟</v>
      </c>
      <c r="H4264" s="1"/>
      <c r="I4264" s="1"/>
      <c r="J4264" s="1"/>
      <c r="K4264" s="1"/>
      <c r="L4264" s="1"/>
      <c r="M4264" s="1"/>
      <c r="N4264" s="1"/>
      <c r="O4264" s="1"/>
      <c r="P4264" s="1"/>
      <c r="Q4264" s="1"/>
      <c r="R4264" s="1"/>
      <c r="S4264" s="1"/>
      <c r="T4264" s="1"/>
      <c r="U4264" s="1"/>
      <c r="V4264" s="1"/>
      <c r="W4264" s="1"/>
      <c r="X4264" s="1"/>
      <c r="Y4264" s="1"/>
      <c r="Z4264" s="1"/>
      <c r="AA4264" s="1"/>
      <c r="AB4264" s="1"/>
    </row>
    <row r="4265" ht="50.25" customHeight="1">
      <c r="A4265" s="12">
        <v>4261.0</v>
      </c>
      <c r="B4265" s="13" t="s">
        <v>3778</v>
      </c>
      <c r="C4265" s="14" t="s">
        <v>4283</v>
      </c>
      <c r="D4265" s="1"/>
      <c r="E4265" s="1"/>
      <c r="F4265" s="1" t="str">
        <f>IFERROR(__xludf.DUMMYFUNCTION("GOOGLETRANSLATE(B4265, ""en"", ""fa"")
"),"برنامه ریز عروسی")</f>
        <v>برنامه ریز عروسی</v>
      </c>
      <c r="G4265" s="1" t="str">
        <f>IFERROR(__xludf.DUMMYFUNCTION("GOOGLETRANSLATE(C4265, ""en"", ""fa"")
"),"بهترین روش ها برای مدیریت محدودیت های غذایی و آلرژی مهمان هنگام برنامه ریزی منوی عروسی چیست؟")</f>
        <v>بهترین روش ها برای مدیریت محدودیت های غذایی و آلرژی مهمان هنگام برنامه ریزی منوی عروسی چیست؟</v>
      </c>
      <c r="H4265" s="1"/>
      <c r="I4265" s="1"/>
      <c r="J4265" s="1"/>
      <c r="K4265" s="1"/>
      <c r="L4265" s="1"/>
      <c r="M4265" s="1"/>
      <c r="N4265" s="1"/>
      <c r="O4265" s="1"/>
      <c r="P4265" s="1"/>
      <c r="Q4265" s="1"/>
      <c r="R4265" s="1"/>
      <c r="S4265" s="1"/>
      <c r="T4265" s="1"/>
      <c r="U4265" s="1"/>
      <c r="V4265" s="1"/>
      <c r="W4265" s="1"/>
      <c r="X4265" s="1"/>
      <c r="Y4265" s="1"/>
      <c r="Z4265" s="1"/>
      <c r="AA4265" s="1"/>
      <c r="AB4265" s="1"/>
    </row>
    <row r="4266" ht="50.25" customHeight="1">
      <c r="A4266" s="12">
        <v>4262.0</v>
      </c>
      <c r="B4266" s="13" t="s">
        <v>3778</v>
      </c>
      <c r="C4266" s="14" t="s">
        <v>4284</v>
      </c>
      <c r="D4266" s="1"/>
      <c r="E4266" s="1"/>
      <c r="F4266" s="1" t="str">
        <f>IFERROR(__xludf.DUMMYFUNCTION("GOOGLETRANSLATE(B4266, ""en"", ""fa"")
"),"برنامه ریز عروسی")</f>
        <v>برنامه ریز عروسی</v>
      </c>
      <c r="G4266" s="1" t="str">
        <f>IFERROR(__xludf.DUMMYFUNCTION("GOOGLETRANSLATE(C4266, ""en"", ""fa"")
"),"برخی از استراتژی‌ها را برای ایجاد یک تجربه مهمان به اشتراک بگذارید که برای گروه‌های سنی مختلف مناسب باشد و لذت آن‌ها را در طول روز تضمین کند.")</f>
        <v>برخی از استراتژی‌ها را برای ایجاد یک تجربه مهمان به اشتراک بگذارید که برای گروه‌های سنی مختلف مناسب باشد و لذت آن‌ها را در طول روز تضمین کند.</v>
      </c>
      <c r="H4266" s="1"/>
      <c r="I4266" s="1"/>
      <c r="J4266" s="1"/>
      <c r="K4266" s="1"/>
      <c r="L4266" s="1"/>
      <c r="M4266" s="1"/>
      <c r="N4266" s="1"/>
      <c r="O4266" s="1"/>
      <c r="P4266" s="1"/>
      <c r="Q4266" s="1"/>
      <c r="R4266" s="1"/>
      <c r="S4266" s="1"/>
      <c r="T4266" s="1"/>
      <c r="U4266" s="1"/>
      <c r="V4266" s="1"/>
      <c r="W4266" s="1"/>
      <c r="X4266" s="1"/>
      <c r="Y4266" s="1"/>
      <c r="Z4266" s="1"/>
      <c r="AA4266" s="1"/>
      <c r="AB4266" s="1"/>
    </row>
    <row r="4267" ht="50.25" customHeight="1">
      <c r="A4267" s="12">
        <v>4263.0</v>
      </c>
      <c r="B4267" s="13" t="s">
        <v>3778</v>
      </c>
      <c r="C4267" s="14" t="s">
        <v>4285</v>
      </c>
      <c r="D4267" s="1"/>
      <c r="E4267" s="1"/>
      <c r="F4267" s="1" t="str">
        <f>IFERROR(__xludf.DUMMYFUNCTION("GOOGLETRANSLATE(B4267, ""en"", ""fa"")
"),"برنامه ریز عروسی")</f>
        <v>برنامه ریز عروسی</v>
      </c>
      <c r="G4267" s="1" t="str">
        <f>IFERROR(__xludf.DUMMYFUNCTION("GOOGLETRANSLATE(C4267, ""en"", ""fa"")
"),"چگونه زوج ها می توانند عناصر غافلگیرکننده یا سرگرمی را در طول روز عروسی به کار ببرند تا مهمانان را درگیر و هیجان زده نگه دارند؟")</f>
        <v>چگونه زوج ها می توانند عناصر غافلگیرکننده یا سرگرمی را در طول روز عروسی به کار ببرند تا مهمانان را درگیر و هیجان زده نگه دارند؟</v>
      </c>
      <c r="H4267" s="1"/>
      <c r="I4267" s="1"/>
      <c r="J4267" s="1"/>
      <c r="K4267" s="1"/>
      <c r="L4267" s="1"/>
      <c r="M4267" s="1"/>
      <c r="N4267" s="1"/>
      <c r="O4267" s="1"/>
      <c r="P4267" s="1"/>
      <c r="Q4267" s="1"/>
      <c r="R4267" s="1"/>
      <c r="S4267" s="1"/>
      <c r="T4267" s="1"/>
      <c r="U4267" s="1"/>
      <c r="V4267" s="1"/>
      <c r="W4267" s="1"/>
      <c r="X4267" s="1"/>
      <c r="Y4267" s="1"/>
      <c r="Z4267" s="1"/>
      <c r="AA4267" s="1"/>
      <c r="AB4267" s="1"/>
    </row>
    <row r="4268" ht="50.25" customHeight="1">
      <c r="A4268" s="12">
        <v>4264.0</v>
      </c>
      <c r="B4268" s="13" t="s">
        <v>3778</v>
      </c>
      <c r="C4268" s="14" t="s">
        <v>4286</v>
      </c>
      <c r="D4268" s="1"/>
      <c r="E4268" s="1"/>
      <c r="F4268" s="1" t="str">
        <f>IFERROR(__xludf.DUMMYFUNCTION("GOOGLETRANSLATE(B4268, ""en"", ""fa"")
"),"برنامه ریز عروسی")</f>
        <v>برنامه ریز عروسی</v>
      </c>
      <c r="G4268" s="1" t="str">
        <f>IFERROR(__xludf.DUMMYFUNCTION("GOOGLETRANSLATE(C4268, ""en"", ""fa"")
"),"ملاحظات کلیدی برای ارائه سرویس های بهداشتی راحت و در دسترس برای مهمانان در مکان های عروسی چیست؟")</f>
        <v>ملاحظات کلیدی برای ارائه سرویس های بهداشتی راحت و در دسترس برای مهمانان در مکان های عروسی چیست؟</v>
      </c>
      <c r="H4268" s="1"/>
      <c r="I4268" s="1"/>
      <c r="J4268" s="1"/>
      <c r="K4268" s="1"/>
      <c r="L4268" s="1"/>
      <c r="M4268" s="1"/>
      <c r="N4268" s="1"/>
      <c r="O4268" s="1"/>
      <c r="P4268" s="1"/>
      <c r="Q4268" s="1"/>
      <c r="R4268" s="1"/>
      <c r="S4268" s="1"/>
      <c r="T4268" s="1"/>
      <c r="U4268" s="1"/>
      <c r="V4268" s="1"/>
      <c r="W4268" s="1"/>
      <c r="X4268" s="1"/>
      <c r="Y4268" s="1"/>
      <c r="Z4268" s="1"/>
      <c r="AA4268" s="1"/>
      <c r="AB4268" s="1"/>
    </row>
    <row r="4269" ht="50.25" customHeight="1">
      <c r="A4269" s="12">
        <v>4265.0</v>
      </c>
      <c r="B4269" s="13" t="s">
        <v>3778</v>
      </c>
      <c r="C4269" s="14" t="s">
        <v>4287</v>
      </c>
      <c r="D4269" s="1"/>
      <c r="E4269" s="1"/>
      <c r="F4269" s="1" t="str">
        <f>IFERROR(__xludf.DUMMYFUNCTION("GOOGLETRANSLATE(B4269, ""en"", ""fa"")
"),"برنامه ریز عروسی")</f>
        <v>برنامه ریز عروسی</v>
      </c>
      <c r="G4269" s="1" t="str">
        <f>IFERROR(__xludf.DUMMYFUNCTION("GOOGLETRANSLATE(C4269, ""en"", ""fa"")
"),"ایده هایی برای ایجاد یک تجربه مهمان که منعکس کننده ارزش های مشترک و تلاش های بشردوستانه زوجین است، مانند کمک های خیریه به جای لطف سنتی، به اشتراک بگذارید.")</f>
        <v>ایده هایی برای ایجاد یک تجربه مهمان که منعکس کننده ارزش های مشترک و تلاش های بشردوستانه زوجین است، مانند کمک های خیریه به جای لطف سنتی، به اشتراک بگذارید.</v>
      </c>
      <c r="H4269" s="1"/>
      <c r="I4269" s="1"/>
      <c r="J4269" s="1"/>
      <c r="K4269" s="1"/>
      <c r="L4269" s="1"/>
      <c r="M4269" s="1"/>
      <c r="N4269" s="1"/>
      <c r="O4269" s="1"/>
      <c r="P4269" s="1"/>
      <c r="Q4269" s="1"/>
      <c r="R4269" s="1"/>
      <c r="S4269" s="1"/>
      <c r="T4269" s="1"/>
      <c r="U4269" s="1"/>
      <c r="V4269" s="1"/>
      <c r="W4269" s="1"/>
      <c r="X4269" s="1"/>
      <c r="Y4269" s="1"/>
      <c r="Z4269" s="1"/>
      <c r="AA4269" s="1"/>
      <c r="AB4269" s="1"/>
    </row>
    <row r="4270" ht="50.25" customHeight="1">
      <c r="A4270" s="12">
        <v>4266.0</v>
      </c>
      <c r="B4270" s="13" t="s">
        <v>3778</v>
      </c>
      <c r="C4270" s="14" t="s">
        <v>4288</v>
      </c>
      <c r="D4270" s="1"/>
      <c r="E4270" s="1"/>
      <c r="F4270" s="1" t="str">
        <f>IFERROR(__xludf.DUMMYFUNCTION("GOOGLETRANSLATE(B4270, ""en"", ""fa"")
"),"برنامه ریز عروسی")</f>
        <v>برنامه ریز عروسی</v>
      </c>
      <c r="G4270" s="1" t="str">
        <f>IFERROR(__xludf.DUMMYFUNCTION("GOOGLETRANSLATE(C4270, ""en"", ""fa"")
"),"چگونه زوج ها می توانند از وب سایت ها و برنامه های برنامه ریزی عروسی برای ساده سازی روند برنامه ریزی عروسی خود استفاده کنند؟")</f>
        <v>چگونه زوج ها می توانند از وب سایت ها و برنامه های برنامه ریزی عروسی برای ساده سازی روند برنامه ریزی عروسی خود استفاده کنند؟</v>
      </c>
      <c r="H4270" s="1"/>
      <c r="I4270" s="1"/>
      <c r="J4270" s="1"/>
      <c r="K4270" s="1"/>
      <c r="L4270" s="1"/>
      <c r="M4270" s="1"/>
      <c r="N4270" s="1"/>
      <c r="O4270" s="1"/>
      <c r="P4270" s="1"/>
      <c r="Q4270" s="1"/>
      <c r="R4270" s="1"/>
      <c r="S4270" s="1"/>
      <c r="T4270" s="1"/>
      <c r="U4270" s="1"/>
      <c r="V4270" s="1"/>
      <c r="W4270" s="1"/>
      <c r="X4270" s="1"/>
      <c r="Y4270" s="1"/>
      <c r="Z4270" s="1"/>
      <c r="AA4270" s="1"/>
      <c r="AB4270" s="1"/>
    </row>
    <row r="4271" ht="50.25" customHeight="1">
      <c r="A4271" s="12">
        <v>4267.0</v>
      </c>
      <c r="B4271" s="13" t="s">
        <v>3778</v>
      </c>
      <c r="C4271" s="14" t="s">
        <v>4289</v>
      </c>
      <c r="D4271" s="1"/>
      <c r="E4271" s="1"/>
      <c r="F4271" s="1" t="str">
        <f>IFERROR(__xludf.DUMMYFUNCTION("GOOGLETRANSLATE(B4271, ""en"", ""fa"")
"),"برنامه ریز عروسی")</f>
        <v>برنامه ریز عروسی</v>
      </c>
      <c r="G4271" s="1" t="str">
        <f>IFERROR(__xludf.DUMMYFUNCTION("GOOGLETRANSLATE(C4271, ""en"", ""fa"")
"),"ایده هایی برای ترکیب سیستم های RSVP دیجیتال برای ردیابی و مدیریت موثر پاسخ های مهمان به اشتراک بگذارید.")</f>
        <v>ایده هایی برای ترکیب سیستم های RSVP دیجیتال برای ردیابی و مدیریت موثر پاسخ های مهمان به اشتراک بگذارید.</v>
      </c>
      <c r="H4271" s="1"/>
      <c r="I4271" s="1"/>
      <c r="J4271" s="1"/>
      <c r="K4271" s="1"/>
      <c r="L4271" s="1"/>
      <c r="M4271" s="1"/>
      <c r="N4271" s="1"/>
      <c r="O4271" s="1"/>
      <c r="P4271" s="1"/>
      <c r="Q4271" s="1"/>
      <c r="R4271" s="1"/>
      <c r="S4271" s="1"/>
      <c r="T4271" s="1"/>
      <c r="U4271" s="1"/>
      <c r="V4271" s="1"/>
      <c r="W4271" s="1"/>
      <c r="X4271" s="1"/>
      <c r="Y4271" s="1"/>
      <c r="Z4271" s="1"/>
      <c r="AA4271" s="1"/>
      <c r="AB4271" s="1"/>
    </row>
    <row r="4272" ht="50.25" customHeight="1">
      <c r="A4272" s="12">
        <v>4268.0</v>
      </c>
      <c r="B4272" s="13" t="s">
        <v>3778</v>
      </c>
      <c r="C4272" s="14" t="s">
        <v>4290</v>
      </c>
      <c r="D4272" s="1"/>
      <c r="E4272" s="1"/>
      <c r="F4272" s="1" t="str">
        <f>IFERROR(__xludf.DUMMYFUNCTION("GOOGLETRANSLATE(B4272, ""en"", ""fa"")
"),"برنامه ریز عروسی")</f>
        <v>برنامه ریز عروسی</v>
      </c>
      <c r="G4272" s="1" t="str">
        <f>IFERROR(__xludf.DUMMYFUNCTION("GOOGLETRANSLATE(C4272, ""en"", ""fa"")
"),"هنگام انتخاب پلتفرم یا سازنده وب سایت عروسی چه فاکتورهای ضروری را باید در نظر گرفت؟")</f>
        <v>هنگام انتخاب پلتفرم یا سازنده وب سایت عروسی چه فاکتورهای ضروری را باید در نظر گرفت؟</v>
      </c>
      <c r="H4272" s="1"/>
      <c r="I4272" s="1"/>
      <c r="J4272" s="1"/>
      <c r="K4272" s="1"/>
      <c r="L4272" s="1"/>
      <c r="M4272" s="1"/>
      <c r="N4272" s="1"/>
      <c r="O4272" s="1"/>
      <c r="P4272" s="1"/>
      <c r="Q4272" s="1"/>
      <c r="R4272" s="1"/>
      <c r="S4272" s="1"/>
      <c r="T4272" s="1"/>
      <c r="U4272" s="1"/>
      <c r="V4272" s="1"/>
      <c r="W4272" s="1"/>
      <c r="X4272" s="1"/>
      <c r="Y4272" s="1"/>
      <c r="Z4272" s="1"/>
      <c r="AA4272" s="1"/>
      <c r="AB4272" s="1"/>
    </row>
    <row r="4273" ht="50.25" customHeight="1">
      <c r="A4273" s="12">
        <v>4269.0</v>
      </c>
      <c r="B4273" s="13" t="s">
        <v>3778</v>
      </c>
      <c r="C4273" s="14" t="s">
        <v>4291</v>
      </c>
      <c r="D4273" s="1"/>
      <c r="E4273" s="1"/>
      <c r="F4273" s="1" t="str">
        <f>IFERROR(__xludf.DUMMYFUNCTION("GOOGLETRANSLATE(B4273, ""en"", ""fa"")
"),"برنامه ریز عروسی")</f>
        <v>برنامه ریز عروسی</v>
      </c>
      <c r="G4273" s="1" t="str">
        <f>IFERROR(__xludf.DUMMYFUNCTION("GOOGLETRANSLATE(C4273, ""en"", ""fa"")
"),"چگونه برنامه ریزان عروسی می توانند به زوج ها در ایجاد یک وب سایت عروسی شخصی کمک کنند که داستان عشق آنها را به نمایش بگذارد و جزئیات مهم عروسی را ارائه دهد؟")</f>
        <v>چگونه برنامه ریزان عروسی می توانند به زوج ها در ایجاد یک وب سایت عروسی شخصی کمک کنند که داستان عشق آنها را به نمایش بگذارد و جزئیات مهم عروسی را ارائه دهد؟</v>
      </c>
      <c r="H4273" s="1"/>
      <c r="I4273" s="1"/>
      <c r="J4273" s="1"/>
      <c r="K4273" s="1"/>
      <c r="L4273" s="1"/>
      <c r="M4273" s="1"/>
      <c r="N4273" s="1"/>
      <c r="O4273" s="1"/>
      <c r="P4273" s="1"/>
      <c r="Q4273" s="1"/>
      <c r="R4273" s="1"/>
      <c r="S4273" s="1"/>
      <c r="T4273" s="1"/>
      <c r="U4273" s="1"/>
      <c r="V4273" s="1"/>
      <c r="W4273" s="1"/>
      <c r="X4273" s="1"/>
      <c r="Y4273" s="1"/>
      <c r="Z4273" s="1"/>
      <c r="AA4273" s="1"/>
      <c r="AB4273" s="1"/>
    </row>
    <row r="4274" ht="50.25" customHeight="1">
      <c r="A4274" s="12">
        <v>4270.0</v>
      </c>
      <c r="B4274" s="13" t="s">
        <v>3778</v>
      </c>
      <c r="C4274" s="14" t="s">
        <v>4292</v>
      </c>
      <c r="D4274" s="1"/>
      <c r="E4274" s="1"/>
      <c r="F4274" s="1" t="str">
        <f>IFERROR(__xludf.DUMMYFUNCTION("GOOGLETRANSLATE(B4274, ""en"", ""fa"")
"),"برنامه ریز عروسی")</f>
        <v>برنامه ریز عروسی</v>
      </c>
      <c r="G4274" s="1" t="str">
        <f>IFERROR(__xludf.DUMMYFUNCTION("GOOGLETRANSLATE(C4274, ""en"", ""fa"")
"),"چند استراتژی برای استفاده از سیستم عامل های رسانه های اجتماعی برای برقراری ارتباط و اشتراک گذاری به روز رسانی ها با مهمانان عروسی را به اشتراک بگذارید.")</f>
        <v>چند استراتژی برای استفاده از سیستم عامل های رسانه های اجتماعی برای برقراری ارتباط و اشتراک گذاری به روز رسانی ها با مهمانان عروسی را به اشتراک بگذارید.</v>
      </c>
      <c r="H4274" s="1"/>
      <c r="I4274" s="1"/>
      <c r="J4274" s="1"/>
      <c r="K4274" s="1"/>
      <c r="L4274" s="1"/>
      <c r="M4274" s="1"/>
      <c r="N4274" s="1"/>
      <c r="O4274" s="1"/>
      <c r="P4274" s="1"/>
      <c r="Q4274" s="1"/>
      <c r="R4274" s="1"/>
      <c r="S4274" s="1"/>
      <c r="T4274" s="1"/>
      <c r="U4274" s="1"/>
      <c r="V4274" s="1"/>
      <c r="W4274" s="1"/>
      <c r="X4274" s="1"/>
      <c r="Y4274" s="1"/>
      <c r="Z4274" s="1"/>
      <c r="AA4274" s="1"/>
      <c r="AB4274" s="1"/>
    </row>
    <row r="4275" ht="50.25" customHeight="1">
      <c r="A4275" s="12">
        <v>4271.0</v>
      </c>
      <c r="B4275" s="13" t="s">
        <v>3778</v>
      </c>
      <c r="C4275" s="14" t="s">
        <v>4293</v>
      </c>
      <c r="D4275" s="1"/>
      <c r="E4275" s="1"/>
      <c r="F4275" s="1" t="str">
        <f>IFERROR(__xludf.DUMMYFUNCTION("GOOGLETRANSLATE(B4275, ""en"", ""fa"")
"),"برنامه ریز عروسی")</f>
        <v>برنامه ریز عروسی</v>
      </c>
      <c r="G4275" s="1" t="str">
        <f>IFERROR(__xludf.DUMMYFUNCTION("GOOGLETRANSLATE(C4275, ""en"", ""fa"")
"),"چگونه زوج ها می توانند از ثبت عروسی آنلاین استفاده کنند تا فرآیند انتخاب هدیه برای مهمانان آسان تر شود؟")</f>
        <v>چگونه زوج ها می توانند از ثبت عروسی آنلاین استفاده کنند تا فرآیند انتخاب هدیه برای مهمانان آسان تر شود؟</v>
      </c>
      <c r="H4275" s="1"/>
      <c r="I4275" s="1"/>
      <c r="J4275" s="1"/>
      <c r="K4275" s="1"/>
      <c r="L4275" s="1"/>
      <c r="M4275" s="1"/>
      <c r="N4275" s="1"/>
      <c r="O4275" s="1"/>
      <c r="P4275" s="1"/>
      <c r="Q4275" s="1"/>
      <c r="R4275" s="1"/>
      <c r="S4275" s="1"/>
      <c r="T4275" s="1"/>
      <c r="U4275" s="1"/>
      <c r="V4275" s="1"/>
      <c r="W4275" s="1"/>
      <c r="X4275" s="1"/>
      <c r="Y4275" s="1"/>
      <c r="Z4275" s="1"/>
      <c r="AA4275" s="1"/>
      <c r="AB4275" s="1"/>
    </row>
    <row r="4276" ht="50.25" customHeight="1">
      <c r="A4276" s="12">
        <v>4272.0</v>
      </c>
      <c r="B4276" s="13" t="s">
        <v>3778</v>
      </c>
      <c r="C4276" s="14" t="s">
        <v>4294</v>
      </c>
      <c r="D4276" s="1"/>
      <c r="E4276" s="1"/>
      <c r="F4276" s="1" t="str">
        <f>IFERROR(__xludf.DUMMYFUNCTION("GOOGLETRANSLATE(B4276, ""en"", ""fa"")
"),"برنامه ریز عروسی")</f>
        <v>برنامه ریز عروسی</v>
      </c>
      <c r="G4276" s="1" t="str">
        <f>IFERROR(__xludf.DUMMYFUNCTION("GOOGLETRANSLATE(C4276, ""en"", ""fa"")
"),"ملاحظات کلیدی برای استفاده از ابزارهای همکاری آنلاین و مدیریت پروژه برای سازماندهی ماندن در طول فرآیند برنامه ریزی عروسی چیست؟")</f>
        <v>ملاحظات کلیدی برای استفاده از ابزارهای همکاری آنلاین و مدیریت پروژه برای سازماندهی ماندن در طول فرآیند برنامه ریزی عروسی چیست؟</v>
      </c>
      <c r="H4276" s="1"/>
      <c r="I4276" s="1"/>
      <c r="J4276" s="1"/>
      <c r="K4276" s="1"/>
      <c r="L4276" s="1"/>
      <c r="M4276" s="1"/>
      <c r="N4276" s="1"/>
      <c r="O4276" s="1"/>
      <c r="P4276" s="1"/>
      <c r="Q4276" s="1"/>
      <c r="R4276" s="1"/>
      <c r="S4276" s="1"/>
      <c r="T4276" s="1"/>
      <c r="U4276" s="1"/>
      <c r="V4276" s="1"/>
      <c r="W4276" s="1"/>
      <c r="X4276" s="1"/>
      <c r="Y4276" s="1"/>
      <c r="Z4276" s="1"/>
      <c r="AA4276" s="1"/>
      <c r="AB4276" s="1"/>
    </row>
    <row r="4277" ht="50.25" customHeight="1">
      <c r="A4277" s="12">
        <v>4273.0</v>
      </c>
      <c r="B4277" s="13" t="s">
        <v>3778</v>
      </c>
      <c r="C4277" s="14" t="s">
        <v>4295</v>
      </c>
      <c r="D4277" s="1"/>
      <c r="E4277" s="1"/>
      <c r="F4277" s="1" t="str">
        <f>IFERROR(__xludf.DUMMYFUNCTION("GOOGLETRANSLATE(B4277, ""en"", ""fa"")
"),"برنامه ریز عروسی")</f>
        <v>برنامه ریز عروسی</v>
      </c>
      <c r="G4277" s="1" t="str">
        <f>IFERROR(__xludf.DUMMYFUNCTION("GOOGLETRANSLATE(C4277, ""en"", ""fa"")
"),"نکاتی را برای ایجاد و مدیریت فهرست‌های دیجیتال مهمان و نمودارهای صندلی برای ساده‌تر کردن روند چیدمان صندلی‌ها به اشتراک بگذارید.")</f>
        <v>نکاتی را برای ایجاد و مدیریت فهرست‌های دیجیتال مهمان و نمودارهای صندلی برای ساده‌تر کردن روند چیدمان صندلی‌ها به اشتراک بگذارید.</v>
      </c>
      <c r="H4277" s="1"/>
      <c r="I4277" s="1"/>
      <c r="J4277" s="1"/>
      <c r="K4277" s="1"/>
      <c r="L4277" s="1"/>
      <c r="M4277" s="1"/>
      <c r="N4277" s="1"/>
      <c r="O4277" s="1"/>
      <c r="P4277" s="1"/>
      <c r="Q4277" s="1"/>
      <c r="R4277" s="1"/>
      <c r="S4277" s="1"/>
      <c r="T4277" s="1"/>
      <c r="U4277" s="1"/>
      <c r="V4277" s="1"/>
      <c r="W4277" s="1"/>
      <c r="X4277" s="1"/>
      <c r="Y4277" s="1"/>
      <c r="Z4277" s="1"/>
      <c r="AA4277" s="1"/>
      <c r="AB4277" s="1"/>
    </row>
    <row r="4278" ht="50.25" customHeight="1">
      <c r="A4278" s="12">
        <v>4274.0</v>
      </c>
      <c r="B4278" s="13" t="s">
        <v>3778</v>
      </c>
      <c r="C4278" s="14" t="s">
        <v>4296</v>
      </c>
      <c r="D4278" s="1"/>
      <c r="E4278" s="1"/>
      <c r="F4278" s="1" t="str">
        <f>IFERROR(__xludf.DUMMYFUNCTION("GOOGLETRANSLATE(B4278, ""en"", ""fa"")
"),"برنامه ریز عروسی")</f>
        <v>برنامه ریز عروسی</v>
      </c>
      <c r="G4278" s="1" t="str">
        <f>IFERROR(__xludf.DUMMYFUNCTION("GOOGLETRANSLATE(C4278, ""en"", ""fa"")
"),"چگونه زوج‌ها می‌توانند عناصر مجازی عروسی، مانند پخش زنده یا شرکت مهمان آنلاین را برای شرکت دادن عزیزان دور در جشن ترکیب کنند؟")</f>
        <v>چگونه زوج‌ها می‌توانند عناصر مجازی عروسی، مانند پخش زنده یا شرکت مهمان آنلاین را برای شرکت دادن عزیزان دور در جشن ترکیب کنند؟</v>
      </c>
      <c r="H4278" s="1"/>
      <c r="I4278" s="1"/>
      <c r="J4278" s="1"/>
      <c r="K4278" s="1"/>
      <c r="L4278" s="1"/>
      <c r="M4278" s="1"/>
      <c r="N4278" s="1"/>
      <c r="O4278" s="1"/>
      <c r="P4278" s="1"/>
      <c r="Q4278" s="1"/>
      <c r="R4278" s="1"/>
      <c r="S4278" s="1"/>
      <c r="T4278" s="1"/>
      <c r="U4278" s="1"/>
      <c r="V4278" s="1"/>
      <c r="W4278" s="1"/>
      <c r="X4278" s="1"/>
      <c r="Y4278" s="1"/>
      <c r="Z4278" s="1"/>
      <c r="AA4278" s="1"/>
      <c r="AB4278" s="1"/>
    </row>
    <row r="4279" ht="50.25" customHeight="1">
      <c r="A4279" s="12">
        <v>4275.0</v>
      </c>
      <c r="B4279" s="13" t="s">
        <v>3778</v>
      </c>
      <c r="C4279" s="14" t="s">
        <v>4297</v>
      </c>
      <c r="D4279" s="1"/>
      <c r="E4279" s="1"/>
      <c r="F4279" s="1" t="str">
        <f>IFERROR(__xludf.DUMMYFUNCTION("GOOGLETRANSLATE(B4279, ""en"", ""fa"")
"),"برنامه ریز عروسی")</f>
        <v>برنامه ریز عروسی</v>
      </c>
      <c r="G4279" s="1" t="str">
        <f>IFERROR(__xludf.DUMMYFUNCTION("GOOGLETRANSLATE(C4279, ""en"", ""fa"")
"),"عناصر ضروری برای درج در جدول زمانی برنامه ریزی عروسی یا چک لیست با استفاده از ابزارهای دیجیتال چیست؟")</f>
        <v>عناصر ضروری برای درج در جدول زمانی برنامه ریزی عروسی یا چک لیست با استفاده از ابزارهای دیجیتال چیست؟</v>
      </c>
      <c r="H4279" s="1"/>
      <c r="I4279" s="1"/>
      <c r="J4279" s="1"/>
      <c r="K4279" s="1"/>
      <c r="L4279" s="1"/>
      <c r="M4279" s="1"/>
      <c r="N4279" s="1"/>
      <c r="O4279" s="1"/>
      <c r="P4279" s="1"/>
      <c r="Q4279" s="1"/>
      <c r="R4279" s="1"/>
      <c r="S4279" s="1"/>
      <c r="T4279" s="1"/>
      <c r="U4279" s="1"/>
      <c r="V4279" s="1"/>
      <c r="W4279" s="1"/>
      <c r="X4279" s="1"/>
      <c r="Y4279" s="1"/>
      <c r="Z4279" s="1"/>
      <c r="AA4279" s="1"/>
      <c r="AB4279" s="1"/>
    </row>
    <row r="4280" ht="50.25" customHeight="1">
      <c r="A4280" s="12">
        <v>4276.0</v>
      </c>
      <c r="B4280" s="13" t="s">
        <v>3778</v>
      </c>
      <c r="C4280" s="14" t="s">
        <v>4298</v>
      </c>
      <c r="D4280" s="1"/>
      <c r="E4280" s="1"/>
      <c r="F4280" s="1" t="str">
        <f>IFERROR(__xludf.DUMMYFUNCTION("GOOGLETRANSLATE(B4280, ""en"", ""fa"")
"),"برنامه ریز عروسی")</f>
        <v>برنامه ریز عروسی</v>
      </c>
      <c r="G4280" s="1" t="str">
        <f>IFERROR(__xludf.DUMMYFUNCTION("GOOGLETRANSLATE(C4280, ""en"", ""fa"")
"),"ایده هایی برای ایجاد هشتگ عروسی شخصی سازی شده برای تشویق مهمانان به اشتراک گذاری تجربیات خود در رسانه های اجتماعی به اشتراک بگذارید.")</f>
        <v>ایده هایی برای ایجاد هشتگ عروسی شخصی سازی شده برای تشویق مهمانان به اشتراک گذاری تجربیات خود در رسانه های اجتماعی به اشتراک بگذارید.</v>
      </c>
      <c r="H4280" s="1"/>
      <c r="I4280" s="1"/>
      <c r="J4280" s="1"/>
      <c r="K4280" s="1"/>
      <c r="L4280" s="1"/>
      <c r="M4280" s="1"/>
      <c r="N4280" s="1"/>
      <c r="O4280" s="1"/>
      <c r="P4280" s="1"/>
      <c r="Q4280" s="1"/>
      <c r="R4280" s="1"/>
      <c r="S4280" s="1"/>
      <c r="T4280" s="1"/>
      <c r="U4280" s="1"/>
      <c r="V4280" s="1"/>
      <c r="W4280" s="1"/>
      <c r="X4280" s="1"/>
      <c r="Y4280" s="1"/>
      <c r="Z4280" s="1"/>
      <c r="AA4280" s="1"/>
      <c r="AB4280" s="1"/>
    </row>
    <row r="4281" ht="50.25" customHeight="1">
      <c r="A4281" s="12">
        <v>4277.0</v>
      </c>
      <c r="B4281" s="13" t="s">
        <v>3778</v>
      </c>
      <c r="C4281" s="14" t="s">
        <v>4299</v>
      </c>
      <c r="D4281" s="1"/>
      <c r="E4281" s="1"/>
      <c r="F4281" s="1" t="str">
        <f>IFERROR(__xludf.DUMMYFUNCTION("GOOGLETRANSLATE(B4281, ""en"", ""fa"")
"),"برنامه ریز عروسی")</f>
        <v>برنامه ریز عروسی</v>
      </c>
      <c r="G4281" s="1" t="str">
        <f>IFERROR(__xludf.DUMMYFUNCTION("GOOGLETRANSLATE(C4281, ""en"", ""fa"")
"),"برنامه ریزان عروسی چگونه می توانند به زوج ها در انتخاب و استفاده از نرم افزارهای برنامه ریزی عروسی یا ابزارهای آنلاین برای پیگیری بودجه و هزینه ها کمک کنند؟")</f>
        <v>برنامه ریزان عروسی چگونه می توانند به زوج ها در انتخاب و استفاده از نرم افزارهای برنامه ریزی عروسی یا ابزارهای آنلاین برای پیگیری بودجه و هزینه ها کمک کنند؟</v>
      </c>
      <c r="H4281" s="1"/>
      <c r="I4281" s="1"/>
      <c r="J4281" s="1"/>
      <c r="K4281" s="1"/>
      <c r="L4281" s="1"/>
      <c r="M4281" s="1"/>
      <c r="N4281" s="1"/>
      <c r="O4281" s="1"/>
      <c r="P4281" s="1"/>
      <c r="Q4281" s="1"/>
      <c r="R4281" s="1"/>
      <c r="S4281" s="1"/>
      <c r="T4281" s="1"/>
      <c r="U4281" s="1"/>
      <c r="V4281" s="1"/>
      <c r="W4281" s="1"/>
      <c r="X4281" s="1"/>
      <c r="Y4281" s="1"/>
      <c r="Z4281" s="1"/>
      <c r="AA4281" s="1"/>
      <c r="AB4281" s="1"/>
    </row>
    <row r="4282" ht="50.25" customHeight="1">
      <c r="A4282" s="12">
        <v>4278.0</v>
      </c>
      <c r="B4282" s="13" t="s">
        <v>3778</v>
      </c>
      <c r="C4282" s="14" t="s">
        <v>4300</v>
      </c>
      <c r="D4282" s="1"/>
      <c r="E4282" s="1"/>
      <c r="F4282" s="1" t="str">
        <f>IFERROR(__xludf.DUMMYFUNCTION("GOOGLETRANSLATE(B4282, ""en"", ""fa"")
"),"برنامه ریز عروسی")</f>
        <v>برنامه ریز عروسی</v>
      </c>
      <c r="G4282" s="1" t="str">
        <f>IFERROR(__xludf.DUMMYFUNCTION("GOOGLETRANSLATE(C4282, ""en"", ""fa"")
"),"بهترین روش ها برای استفاده از پلتفرم های بازاریابی ایمیلی برای ارسال به روز رسانی ها و یادآوری های عروسی به مهمانان چیست؟")</f>
        <v>بهترین روش ها برای استفاده از پلتفرم های بازاریابی ایمیلی برای ارسال به روز رسانی ها و یادآوری های عروسی به مهمانان چیست؟</v>
      </c>
      <c r="H4282" s="1"/>
      <c r="I4282" s="1"/>
      <c r="J4282" s="1"/>
      <c r="K4282" s="1"/>
      <c r="L4282" s="1"/>
      <c r="M4282" s="1"/>
      <c r="N4282" s="1"/>
      <c r="O4282" s="1"/>
      <c r="P4282" s="1"/>
      <c r="Q4282" s="1"/>
      <c r="R4282" s="1"/>
      <c r="S4282" s="1"/>
      <c r="T4282" s="1"/>
      <c r="U4282" s="1"/>
      <c r="V4282" s="1"/>
      <c r="W4282" s="1"/>
      <c r="X4282" s="1"/>
      <c r="Y4282" s="1"/>
      <c r="Z4282" s="1"/>
      <c r="AA4282" s="1"/>
      <c r="AB4282" s="1"/>
    </row>
    <row r="4283" ht="50.25" customHeight="1">
      <c r="A4283" s="12">
        <v>4279.0</v>
      </c>
      <c r="B4283" s="13" t="s">
        <v>3778</v>
      </c>
      <c r="C4283" s="14" t="s">
        <v>4301</v>
      </c>
      <c r="D4283" s="1"/>
      <c r="E4283" s="1"/>
      <c r="F4283" s="1" t="str">
        <f>IFERROR(__xludf.DUMMYFUNCTION("GOOGLETRANSLATE(B4283, ""en"", ""fa"")
"),"برنامه ریز عروسی")</f>
        <v>برنامه ریز عروسی</v>
      </c>
      <c r="G4283" s="1" t="str">
        <f>IFERROR(__xludf.DUMMYFUNCTION("GOOGLETRANSLATE(C4283, ""en"", ""fa"")
"),"چند استراتژی برای استفاده از دعوت نامه های دیجیتال و کارت های الکترونیکی برای کاهش ضایعات کاغذ و ساده کردن فرآیند دعوت به اشتراک بگذارید.")</f>
        <v>چند استراتژی برای استفاده از دعوت نامه های دیجیتال و کارت های الکترونیکی برای کاهش ضایعات کاغذ و ساده کردن فرآیند دعوت به اشتراک بگذارید.</v>
      </c>
      <c r="H4283" s="1"/>
      <c r="I4283" s="1"/>
      <c r="J4283" s="1"/>
      <c r="K4283" s="1"/>
      <c r="L4283" s="1"/>
      <c r="M4283" s="1"/>
      <c r="N4283" s="1"/>
      <c r="O4283" s="1"/>
      <c r="P4283" s="1"/>
      <c r="Q4283" s="1"/>
      <c r="R4283" s="1"/>
      <c r="S4283" s="1"/>
      <c r="T4283" s="1"/>
      <c r="U4283" s="1"/>
      <c r="V4283" s="1"/>
      <c r="W4283" s="1"/>
      <c r="X4283" s="1"/>
      <c r="Y4283" s="1"/>
      <c r="Z4283" s="1"/>
      <c r="AA4283" s="1"/>
      <c r="AB4283" s="1"/>
    </row>
    <row r="4284" ht="50.25" customHeight="1">
      <c r="A4284" s="12">
        <v>4280.0</v>
      </c>
      <c r="B4284" s="13" t="s">
        <v>3778</v>
      </c>
      <c r="C4284" s="14" t="s">
        <v>4302</v>
      </c>
      <c r="D4284" s="1"/>
      <c r="E4284" s="1"/>
      <c r="F4284" s="1" t="str">
        <f>IFERROR(__xludf.DUMMYFUNCTION("GOOGLETRANSLATE(B4284, ""en"", ""fa"")
"),"برنامه ریز عروسی")</f>
        <v>برنامه ریز عروسی</v>
      </c>
      <c r="G4284" s="1" t="str">
        <f>IFERROR(__xludf.DUMMYFUNCTION("GOOGLETRANSLATE(C4284, ""en"", ""fa"")
"),"چگونه زوج ها می توانند از انجمن ها و انجمن های عروسی آنلاین برای دریافت مشاوره، الهام گرفتن و توصیه های فروشنده استفاده کنند؟")</f>
        <v>چگونه زوج ها می توانند از انجمن ها و انجمن های عروسی آنلاین برای دریافت مشاوره، الهام گرفتن و توصیه های فروشنده استفاده کنند؟</v>
      </c>
      <c r="H4284" s="1"/>
      <c r="I4284" s="1"/>
      <c r="J4284" s="1"/>
      <c r="K4284" s="1"/>
      <c r="L4284" s="1"/>
      <c r="M4284" s="1"/>
      <c r="N4284" s="1"/>
      <c r="O4284" s="1"/>
      <c r="P4284" s="1"/>
      <c r="Q4284" s="1"/>
      <c r="R4284" s="1"/>
      <c r="S4284" s="1"/>
      <c r="T4284" s="1"/>
      <c r="U4284" s="1"/>
      <c r="V4284" s="1"/>
      <c r="W4284" s="1"/>
      <c r="X4284" s="1"/>
      <c r="Y4284" s="1"/>
      <c r="Z4284" s="1"/>
      <c r="AA4284" s="1"/>
      <c r="AB4284" s="1"/>
    </row>
    <row r="4285" ht="50.25" customHeight="1">
      <c r="A4285" s="12">
        <v>4281.0</v>
      </c>
      <c r="B4285" s="13" t="s">
        <v>3778</v>
      </c>
      <c r="C4285" s="14" t="s">
        <v>4303</v>
      </c>
      <c r="D4285" s="1"/>
      <c r="E4285" s="1"/>
      <c r="F4285" s="1" t="str">
        <f>IFERROR(__xludf.DUMMYFUNCTION("GOOGLETRANSLATE(B4285, ""en"", ""fa"")
"),"برنامه ریز عروسی")</f>
        <v>برنامه ریز عروسی</v>
      </c>
      <c r="G4285" s="1" t="str">
        <f>IFERROR(__xludf.DUMMYFUNCTION("GOOGLETRANSLATE(C4285, ""en"", ""fa"")
"),"ملاحظات کلیدی برای استفاده از ابزارهای همکاری آنلاین برای برقراری ارتباط و هماهنگی با تیم برنامه ریزی عروسی، از جمله فروشندگان و جشن عروسی چیست؟")</f>
        <v>ملاحظات کلیدی برای استفاده از ابزارهای همکاری آنلاین برای برقراری ارتباط و هماهنگی با تیم برنامه ریزی عروسی، از جمله فروشندگان و جشن عروسی چیست؟</v>
      </c>
      <c r="H4285" s="1"/>
      <c r="I4285" s="1"/>
      <c r="J4285" s="1"/>
      <c r="K4285" s="1"/>
      <c r="L4285" s="1"/>
      <c r="M4285" s="1"/>
      <c r="N4285" s="1"/>
      <c r="O4285" s="1"/>
      <c r="P4285" s="1"/>
      <c r="Q4285" s="1"/>
      <c r="R4285" s="1"/>
      <c r="S4285" s="1"/>
      <c r="T4285" s="1"/>
      <c r="U4285" s="1"/>
      <c r="V4285" s="1"/>
      <c r="W4285" s="1"/>
      <c r="X4285" s="1"/>
      <c r="Y4285" s="1"/>
      <c r="Z4285" s="1"/>
      <c r="AA4285" s="1"/>
      <c r="AB4285" s="1"/>
    </row>
    <row r="4286" ht="50.25" customHeight="1">
      <c r="A4286" s="12">
        <v>4282.0</v>
      </c>
      <c r="B4286" s="13" t="s">
        <v>3778</v>
      </c>
      <c r="C4286" s="14" t="s">
        <v>4304</v>
      </c>
      <c r="D4286" s="1"/>
      <c r="E4286" s="1"/>
      <c r="F4286" s="1" t="str">
        <f>IFERROR(__xludf.DUMMYFUNCTION("GOOGLETRANSLATE(B4286, ""en"", ""fa"")
"),"برنامه ریز عروسی")</f>
        <v>برنامه ریز عروسی</v>
      </c>
      <c r="G4286" s="1" t="str">
        <f>IFERROR(__xludf.DUMMYFUNCTION("GOOGLETRANSLATE(C4286, ""en"", ""fa"")
"),"نکاتی برای ایجاد و به اشتراک گذاری آلبوم عروسی دیجیتال و گالری عکس برای حفظ و به اشتراک گذاری خاطرات عروسی به اشتراک بگذارید.")</f>
        <v>نکاتی برای ایجاد و به اشتراک گذاری آلبوم عروسی دیجیتال و گالری عکس برای حفظ و به اشتراک گذاری خاطرات عروسی به اشتراک بگذارید.</v>
      </c>
      <c r="H4286" s="1"/>
      <c r="I4286" s="1"/>
      <c r="J4286" s="1"/>
      <c r="K4286" s="1"/>
      <c r="L4286" s="1"/>
      <c r="M4286" s="1"/>
      <c r="N4286" s="1"/>
      <c r="O4286" s="1"/>
      <c r="P4286" s="1"/>
      <c r="Q4286" s="1"/>
      <c r="R4286" s="1"/>
      <c r="S4286" s="1"/>
      <c r="T4286" s="1"/>
      <c r="U4286" s="1"/>
      <c r="V4286" s="1"/>
      <c r="W4286" s="1"/>
      <c r="X4286" s="1"/>
      <c r="Y4286" s="1"/>
      <c r="Z4286" s="1"/>
      <c r="AA4286" s="1"/>
      <c r="AB4286" s="1"/>
    </row>
    <row r="4287" ht="50.25" customHeight="1">
      <c r="A4287" s="12">
        <v>4283.0</v>
      </c>
      <c r="B4287" s="13" t="s">
        <v>3778</v>
      </c>
      <c r="C4287" s="14" t="s">
        <v>4305</v>
      </c>
      <c r="D4287" s="1"/>
      <c r="E4287" s="1"/>
      <c r="F4287" s="1" t="str">
        <f>IFERROR(__xludf.DUMMYFUNCTION("GOOGLETRANSLATE(B4287, ""en"", ""fa"")
"),"برنامه ریز عروسی")</f>
        <v>برنامه ریز عروسی</v>
      </c>
      <c r="G4287" s="1" t="str">
        <f>IFERROR(__xludf.DUMMYFUNCTION("GOOGLETRANSLATE(C4287, ""en"", ""fa"")
"),"چگونه زوج‌ها می‌توانند عناصر تعاملی مانند غرفه‌های عکس مجازی یا کتاب‌های مهمان دیجیتال را برای جذب مهمانان در طول جشن عروسی ترکیب کنند؟")</f>
        <v>چگونه زوج‌ها می‌توانند عناصر تعاملی مانند غرفه‌های عکس مجازی یا کتاب‌های مهمان دیجیتال را برای جذب مهمانان در طول جشن عروسی ترکیب کنند؟</v>
      </c>
      <c r="H4287" s="1"/>
      <c r="I4287" s="1"/>
      <c r="J4287" s="1"/>
      <c r="K4287" s="1"/>
      <c r="L4287" s="1"/>
      <c r="M4287" s="1"/>
      <c r="N4287" s="1"/>
      <c r="O4287" s="1"/>
      <c r="P4287" s="1"/>
      <c r="Q4287" s="1"/>
      <c r="R4287" s="1"/>
      <c r="S4287" s="1"/>
      <c r="T4287" s="1"/>
      <c r="U4287" s="1"/>
      <c r="V4287" s="1"/>
      <c r="W4287" s="1"/>
      <c r="X4287" s="1"/>
      <c r="Y4287" s="1"/>
      <c r="Z4287" s="1"/>
      <c r="AA4287" s="1"/>
      <c r="AB4287" s="1"/>
    </row>
    <row r="4288" ht="50.25" customHeight="1">
      <c r="A4288" s="12">
        <v>4284.0</v>
      </c>
      <c r="B4288" s="13" t="s">
        <v>3778</v>
      </c>
      <c r="C4288" s="14" t="s">
        <v>4306</v>
      </c>
      <c r="D4288" s="1"/>
      <c r="E4288" s="1"/>
      <c r="F4288" s="1" t="str">
        <f>IFERROR(__xludf.DUMMYFUNCTION("GOOGLETRANSLATE(B4288, ""en"", ""fa"")
"),"برنامه ریز عروسی")</f>
        <v>برنامه ریز عروسی</v>
      </c>
      <c r="G4288" s="1" t="str">
        <f>IFERROR(__xludf.DUMMYFUNCTION("GOOGLETRANSLATE(C4288, ""en"", ""fa"")
"),"هنگام انتخاب و استفاده از برنامه های برنامه ریزی عروسی برای مدیریت وظایف، قرار ملاقات ها و ضرب الاجل ها چه عواملی ضروری است؟")</f>
        <v>هنگام انتخاب و استفاده از برنامه های برنامه ریزی عروسی برای مدیریت وظایف، قرار ملاقات ها و ضرب الاجل ها چه عواملی ضروری است؟</v>
      </c>
      <c r="H4288" s="1"/>
      <c r="I4288" s="1"/>
      <c r="J4288" s="1"/>
      <c r="K4288" s="1"/>
      <c r="L4288" s="1"/>
      <c r="M4288" s="1"/>
      <c r="N4288" s="1"/>
      <c r="O4288" s="1"/>
      <c r="P4288" s="1"/>
      <c r="Q4288" s="1"/>
      <c r="R4288" s="1"/>
      <c r="S4288" s="1"/>
      <c r="T4288" s="1"/>
      <c r="U4288" s="1"/>
      <c r="V4288" s="1"/>
      <c r="W4288" s="1"/>
      <c r="X4288" s="1"/>
      <c r="Y4288" s="1"/>
      <c r="Z4288" s="1"/>
      <c r="AA4288" s="1"/>
      <c r="AB4288" s="1"/>
    </row>
    <row r="4289" ht="50.25" customHeight="1">
      <c r="A4289" s="12">
        <v>4285.0</v>
      </c>
      <c r="B4289" s="13" t="s">
        <v>3778</v>
      </c>
      <c r="C4289" s="14" t="s">
        <v>4307</v>
      </c>
      <c r="D4289" s="1"/>
      <c r="E4289" s="1"/>
      <c r="F4289" s="1" t="str">
        <f>IFERROR(__xludf.DUMMYFUNCTION("GOOGLETRANSLATE(B4289, ""en"", ""fa"")
"),"برنامه ریز عروسی")</f>
        <v>برنامه ریز عروسی</v>
      </c>
      <c r="G4289" s="1" t="str">
        <f>IFERROR(__xludf.DUMMYFUNCTION("GOOGLETRANSLATE(C4289, ""en"", ""fa"")
"),"ایده هایی برای ایجاد لیست های پخش عروسی شخصی با استفاده از پلتفرم های پخش جریانی یا برنامه های موسیقی به اشتراک بگذارید.")</f>
        <v>ایده هایی برای ایجاد لیست های پخش عروسی شخصی با استفاده از پلتفرم های پخش جریانی یا برنامه های موسیقی به اشتراک بگذارید.</v>
      </c>
      <c r="H4289" s="1"/>
      <c r="I4289" s="1"/>
      <c r="J4289" s="1"/>
      <c r="K4289" s="1"/>
      <c r="L4289" s="1"/>
      <c r="M4289" s="1"/>
      <c r="N4289" s="1"/>
      <c r="O4289" s="1"/>
      <c r="P4289" s="1"/>
      <c r="Q4289" s="1"/>
      <c r="R4289" s="1"/>
      <c r="S4289" s="1"/>
      <c r="T4289" s="1"/>
      <c r="U4289" s="1"/>
      <c r="V4289" s="1"/>
      <c r="W4289" s="1"/>
      <c r="X4289" s="1"/>
      <c r="Y4289" s="1"/>
      <c r="Z4289" s="1"/>
      <c r="AA4289" s="1"/>
      <c r="AB4289" s="1"/>
    </row>
    <row r="4290" ht="50.25" customHeight="1">
      <c r="A4290" s="12">
        <v>4286.0</v>
      </c>
      <c r="B4290" s="13" t="s">
        <v>3778</v>
      </c>
      <c r="C4290" s="14" t="s">
        <v>4308</v>
      </c>
      <c r="D4290" s="1"/>
      <c r="E4290" s="1"/>
      <c r="F4290" s="1" t="str">
        <f>IFERROR(__xludf.DUMMYFUNCTION("GOOGLETRANSLATE(B4290, ""en"", ""fa"")
"),"برنامه ریز عروسی")</f>
        <v>برنامه ریز عروسی</v>
      </c>
      <c r="G4290" s="1" t="str">
        <f>IFERROR(__xludf.DUMMYFUNCTION("GOOGLETRANSLATE(C4290, ""en"", ""fa"")
"),"چگونه برنامه‌ریزان عروسی می‌توانند به زوج‌ها در استفاده از پلتفرم‌های مدیریت رویداد برای ردیابی و مدیریت درخواست‌ها، لیست مهمانان و ترتیبات صندلی کمک کنند؟")</f>
        <v>چگونه برنامه‌ریزان عروسی می‌توانند به زوج‌ها در استفاده از پلتفرم‌های مدیریت رویداد برای ردیابی و مدیریت درخواست‌ها، لیست مهمانان و ترتیبات صندلی کمک کنند؟</v>
      </c>
      <c r="H4290" s="1"/>
      <c r="I4290" s="1"/>
      <c r="J4290" s="1"/>
      <c r="K4290" s="1"/>
      <c r="L4290" s="1"/>
      <c r="M4290" s="1"/>
      <c r="N4290" s="1"/>
      <c r="O4290" s="1"/>
      <c r="P4290" s="1"/>
      <c r="Q4290" s="1"/>
      <c r="R4290" s="1"/>
      <c r="S4290" s="1"/>
      <c r="T4290" s="1"/>
      <c r="U4290" s="1"/>
      <c r="V4290" s="1"/>
      <c r="W4290" s="1"/>
      <c r="X4290" s="1"/>
      <c r="Y4290" s="1"/>
      <c r="Z4290" s="1"/>
      <c r="AA4290" s="1"/>
      <c r="AB4290" s="1"/>
    </row>
    <row r="4291" ht="50.25" customHeight="1">
      <c r="A4291" s="12">
        <v>4287.0</v>
      </c>
      <c r="B4291" s="13" t="s">
        <v>3778</v>
      </c>
      <c r="C4291" s="14" t="s">
        <v>4309</v>
      </c>
      <c r="D4291" s="1"/>
      <c r="E4291" s="1"/>
      <c r="F4291" s="1" t="str">
        <f>IFERROR(__xludf.DUMMYFUNCTION("GOOGLETRANSLATE(B4291, ""en"", ""fa"")
"),"برنامه ریز عروسی")</f>
        <v>برنامه ریز عروسی</v>
      </c>
      <c r="G4291" s="1" t="str">
        <f>IFERROR(__xludf.DUMMYFUNCTION("GOOGLETRANSLATE(C4291, ""en"", ""fa"")
"),"بهترین روش ها برای استفاده از دایرکتوری های آنلاین فروشندگان عروسی و پلت فرم های بررسی برای تحقیق و انتخاب فروشندگان قابل اعتماد چیست؟")</f>
        <v>بهترین روش ها برای استفاده از دایرکتوری های آنلاین فروشندگان عروسی و پلت فرم های بررسی برای تحقیق و انتخاب فروشندگان قابل اعتماد چیست؟</v>
      </c>
      <c r="H4291" s="1"/>
      <c r="I4291" s="1"/>
      <c r="J4291" s="1"/>
      <c r="K4291" s="1"/>
      <c r="L4291" s="1"/>
      <c r="M4291" s="1"/>
      <c r="N4291" s="1"/>
      <c r="O4291" s="1"/>
      <c r="P4291" s="1"/>
      <c r="Q4291" s="1"/>
      <c r="R4291" s="1"/>
      <c r="S4291" s="1"/>
      <c r="T4291" s="1"/>
      <c r="U4291" s="1"/>
      <c r="V4291" s="1"/>
      <c r="W4291" s="1"/>
      <c r="X4291" s="1"/>
      <c r="Y4291" s="1"/>
      <c r="Z4291" s="1"/>
      <c r="AA4291" s="1"/>
      <c r="AB4291" s="1"/>
    </row>
    <row r="4292" ht="50.25" customHeight="1">
      <c r="A4292" s="12">
        <v>4288.0</v>
      </c>
      <c r="B4292" s="13" t="s">
        <v>3778</v>
      </c>
      <c r="C4292" s="14" t="s">
        <v>4310</v>
      </c>
      <c r="D4292" s="1"/>
      <c r="E4292" s="1"/>
      <c r="F4292" s="1" t="str">
        <f>IFERROR(__xludf.DUMMYFUNCTION("GOOGLETRANSLATE(B4292, ""en"", ""fa"")
"),"برنامه ریز عروسی")</f>
        <v>برنامه ریز عروسی</v>
      </c>
      <c r="G4292" s="1" t="str">
        <f>IFERROR(__xludf.DUMMYFUNCTION("GOOGLETRANSLATE(C4292, ""en"", ""fa"")
"),"برای تجسم و برنامه ریزی جزئیات عروسی، چند استراتژی برای استفاده از ابزارهای برنامه ریزی مجازی عروسی، مانند بازدید از محل برگزاری سه بعدی یا تجربیات برنامه ریزی واقعیت مجازی، به اشتراک بگذارید.")</f>
        <v>برای تجسم و برنامه ریزی جزئیات عروسی، چند استراتژی برای استفاده از ابزارهای برنامه ریزی مجازی عروسی، مانند بازدید از محل برگزاری سه بعدی یا تجربیات برنامه ریزی واقعیت مجازی، به اشتراک بگذارید.</v>
      </c>
      <c r="H4292" s="1"/>
      <c r="I4292" s="1"/>
      <c r="J4292" s="1"/>
      <c r="K4292" s="1"/>
      <c r="L4292" s="1"/>
      <c r="M4292" s="1"/>
      <c r="N4292" s="1"/>
      <c r="O4292" s="1"/>
      <c r="P4292" s="1"/>
      <c r="Q4292" s="1"/>
      <c r="R4292" s="1"/>
      <c r="S4292" s="1"/>
      <c r="T4292" s="1"/>
      <c r="U4292" s="1"/>
      <c r="V4292" s="1"/>
      <c r="W4292" s="1"/>
      <c r="X4292" s="1"/>
      <c r="Y4292" s="1"/>
      <c r="Z4292" s="1"/>
      <c r="AA4292" s="1"/>
      <c r="AB4292" s="1"/>
    </row>
    <row r="4293" ht="50.25" customHeight="1">
      <c r="A4293" s="12">
        <v>4289.0</v>
      </c>
      <c r="B4293" s="13" t="s">
        <v>3778</v>
      </c>
      <c r="C4293" s="14" t="s">
        <v>4311</v>
      </c>
      <c r="D4293" s="1"/>
      <c r="E4293" s="1"/>
      <c r="F4293" s="1" t="str">
        <f>IFERROR(__xludf.DUMMYFUNCTION("GOOGLETRANSLATE(B4293, ""en"", ""fa"")
"),"برنامه ریز عروسی")</f>
        <v>برنامه ریز عروسی</v>
      </c>
      <c r="G4293" s="1" t="str">
        <f>IFERROR(__xludf.DUMMYFUNCTION("GOOGLETRANSLATE(C4293, ""en"", ""fa"")
"),"چگونه زوج‌ها می‌توانند عناصر تعاملی، مانند نظرسنجی یا نظرسنجی آنلاین را برای مشارکت مهمانان در فرآیندهای تصمیم‌گیری، مانند انتخاب منو یا درخواست آهنگ، ترکیب کنند؟")</f>
        <v>چگونه زوج‌ها می‌توانند عناصر تعاملی، مانند نظرسنجی یا نظرسنجی آنلاین را برای مشارکت مهمانان در فرآیندهای تصمیم‌گیری، مانند انتخاب منو یا درخواست آهنگ، ترکیب کنند؟</v>
      </c>
      <c r="H4293" s="1"/>
      <c r="I4293" s="1"/>
      <c r="J4293" s="1"/>
      <c r="K4293" s="1"/>
      <c r="L4293" s="1"/>
      <c r="M4293" s="1"/>
      <c r="N4293" s="1"/>
      <c r="O4293" s="1"/>
      <c r="P4293" s="1"/>
      <c r="Q4293" s="1"/>
      <c r="R4293" s="1"/>
      <c r="S4293" s="1"/>
      <c r="T4293" s="1"/>
      <c r="U4293" s="1"/>
      <c r="V4293" s="1"/>
      <c r="W4293" s="1"/>
      <c r="X4293" s="1"/>
      <c r="Y4293" s="1"/>
      <c r="Z4293" s="1"/>
      <c r="AA4293" s="1"/>
      <c r="AB4293" s="1"/>
    </row>
    <row r="4294" ht="50.25" customHeight="1">
      <c r="A4294" s="12">
        <v>4290.0</v>
      </c>
      <c r="B4294" s="13" t="s">
        <v>3778</v>
      </c>
      <c r="C4294" s="14" t="s">
        <v>4312</v>
      </c>
      <c r="D4294" s="1"/>
      <c r="E4294" s="1"/>
      <c r="F4294" s="1" t="str">
        <f>IFERROR(__xludf.DUMMYFUNCTION("GOOGLETRANSLATE(B4294, ""en"", ""fa"")
"),"برنامه ریز عروسی")</f>
        <v>برنامه ریز عروسی</v>
      </c>
      <c r="G4294" s="1" t="str">
        <f>IFERROR(__xludf.DUMMYFUNCTION("GOOGLETRANSLATE(C4294, ""en"", ""fa"")
"),"ملاحظات کلیدی برای استفاده از صفحات گسترده و الگوهای برنامه ریزی عروسی آنلاین برای سازماندهی و پیگیری بودجه، مخاطبین فروشنده و مهلت های زمانی چیست؟")</f>
        <v>ملاحظات کلیدی برای استفاده از صفحات گسترده و الگوهای برنامه ریزی عروسی آنلاین برای سازماندهی و پیگیری بودجه، مخاطبین فروشنده و مهلت های زمانی چیست؟</v>
      </c>
      <c r="H4294" s="1"/>
      <c r="I4294" s="1"/>
      <c r="J4294" s="1"/>
      <c r="K4294" s="1"/>
      <c r="L4294" s="1"/>
      <c r="M4294" s="1"/>
      <c r="N4294" s="1"/>
      <c r="O4294" s="1"/>
      <c r="P4294" s="1"/>
      <c r="Q4294" s="1"/>
      <c r="R4294" s="1"/>
      <c r="S4294" s="1"/>
      <c r="T4294" s="1"/>
      <c r="U4294" s="1"/>
      <c r="V4294" s="1"/>
      <c r="W4294" s="1"/>
      <c r="X4294" s="1"/>
      <c r="Y4294" s="1"/>
      <c r="Z4294" s="1"/>
      <c r="AA4294" s="1"/>
      <c r="AB4294" s="1"/>
    </row>
    <row r="4295" ht="50.25" customHeight="1">
      <c r="A4295" s="12">
        <v>4291.0</v>
      </c>
      <c r="B4295" s="13" t="s">
        <v>3778</v>
      </c>
      <c r="C4295" s="14" t="s">
        <v>4313</v>
      </c>
      <c r="D4295" s="1"/>
      <c r="E4295" s="1"/>
      <c r="F4295" s="1" t="str">
        <f>IFERROR(__xludf.DUMMYFUNCTION("GOOGLETRANSLATE(B4295, ""en"", ""fa"")
"),"برنامه ریز عروسی")</f>
        <v>برنامه ریز عروسی</v>
      </c>
      <c r="G4295" s="1" t="str">
        <f>IFERROR(__xludf.DUMMYFUNCTION("GOOGLETRANSLATE(C4295, ""en"", ""fa"")
"),"نکاتی را برای استفاده از تابلوهای الهام بخش عروسی آنلاین و ابزارهای دیجیتالی برای جمع آوری و سازماندهی ایده ها و الهامات عروسی به اشتراک بگذارید.")</f>
        <v>نکاتی را برای استفاده از تابلوهای الهام بخش عروسی آنلاین و ابزارهای دیجیتالی برای جمع آوری و سازماندهی ایده ها و الهامات عروسی به اشتراک بگذارید.</v>
      </c>
      <c r="H4295" s="1"/>
      <c r="I4295" s="1"/>
      <c r="J4295" s="1"/>
      <c r="K4295" s="1"/>
      <c r="L4295" s="1"/>
      <c r="M4295" s="1"/>
      <c r="N4295" s="1"/>
      <c r="O4295" s="1"/>
      <c r="P4295" s="1"/>
      <c r="Q4295" s="1"/>
      <c r="R4295" s="1"/>
      <c r="S4295" s="1"/>
      <c r="T4295" s="1"/>
      <c r="U4295" s="1"/>
      <c r="V4295" s="1"/>
      <c r="W4295" s="1"/>
      <c r="X4295" s="1"/>
      <c r="Y4295" s="1"/>
      <c r="Z4295" s="1"/>
      <c r="AA4295" s="1"/>
      <c r="AB4295" s="1"/>
    </row>
    <row r="4296" ht="50.25" customHeight="1">
      <c r="A4296" s="12">
        <v>4292.0</v>
      </c>
      <c r="B4296" s="13" t="s">
        <v>3778</v>
      </c>
      <c r="C4296" s="14" t="s">
        <v>4314</v>
      </c>
      <c r="D4296" s="1"/>
      <c r="E4296" s="1"/>
      <c r="F4296" s="1" t="str">
        <f>IFERROR(__xludf.DUMMYFUNCTION("GOOGLETRANSLATE(B4296, ""en"", ""fa"")
"),"برنامه ریز عروسی")</f>
        <v>برنامه ریز عروسی</v>
      </c>
      <c r="G4296" s="1" t="str">
        <f>IFERROR(__xludf.DUMMYFUNCTION("GOOGLETRANSLATE(C4296, ""en"", ""fa"")
"),"چگونه زوج ها می توانند مشاوره برنامه ریزی عروسی مجازی و جلسات با فروشندگان را برای صرفه جویی در زمان و انجام برنامه های شلوغ انجام دهند؟")</f>
        <v>چگونه زوج ها می توانند مشاوره برنامه ریزی عروسی مجازی و جلسات با فروشندگان را برای صرفه جویی در زمان و انجام برنامه های شلوغ انجام دهند؟</v>
      </c>
      <c r="H4296" s="1"/>
      <c r="I4296" s="1"/>
      <c r="J4296" s="1"/>
      <c r="K4296" s="1"/>
      <c r="L4296" s="1"/>
      <c r="M4296" s="1"/>
      <c r="N4296" s="1"/>
      <c r="O4296" s="1"/>
      <c r="P4296" s="1"/>
      <c r="Q4296" s="1"/>
      <c r="R4296" s="1"/>
      <c r="S4296" s="1"/>
      <c r="T4296" s="1"/>
      <c r="U4296" s="1"/>
      <c r="V4296" s="1"/>
      <c r="W4296" s="1"/>
      <c r="X4296" s="1"/>
      <c r="Y4296" s="1"/>
      <c r="Z4296" s="1"/>
      <c r="AA4296" s="1"/>
      <c r="AB4296" s="1"/>
    </row>
    <row r="4297" ht="50.25" customHeight="1">
      <c r="A4297" s="12">
        <v>4293.0</v>
      </c>
      <c r="B4297" s="13" t="s">
        <v>3778</v>
      </c>
      <c r="C4297" s="14" t="s">
        <v>4315</v>
      </c>
      <c r="D4297" s="1"/>
      <c r="E4297" s="1"/>
      <c r="F4297" s="1" t="str">
        <f>IFERROR(__xludf.DUMMYFUNCTION("GOOGLETRANSLATE(B4297, ""en"", ""fa"")
"),"برنامه ریز عروسی")</f>
        <v>برنامه ریز عروسی</v>
      </c>
      <c r="G4297" s="1" t="str">
        <f>IFERROR(__xludf.DUMMYFUNCTION("GOOGLETRANSLATE(C4297, ""en"", ""fa"")
"),"چه عناصر ضروری را باید در برنامه یا داشبورد برنامه ریزی عروسی گنجانید تا یک پلت فرم متمرکز برای مدیریت تمام وظایف و اطلاعات مربوط به عروسی به زوج ها ارائه شود؟")</f>
        <v>چه عناصر ضروری را باید در برنامه یا داشبورد برنامه ریزی عروسی گنجانید تا یک پلت فرم متمرکز برای مدیریت تمام وظایف و اطلاعات مربوط به عروسی به زوج ها ارائه شود؟</v>
      </c>
      <c r="H4297" s="1"/>
      <c r="I4297" s="1"/>
      <c r="J4297" s="1"/>
      <c r="K4297" s="1"/>
      <c r="L4297" s="1"/>
      <c r="M4297" s="1"/>
      <c r="N4297" s="1"/>
      <c r="O4297" s="1"/>
      <c r="P4297" s="1"/>
      <c r="Q4297" s="1"/>
      <c r="R4297" s="1"/>
      <c r="S4297" s="1"/>
      <c r="T4297" s="1"/>
      <c r="U4297" s="1"/>
      <c r="V4297" s="1"/>
      <c r="W4297" s="1"/>
      <c r="X4297" s="1"/>
      <c r="Y4297" s="1"/>
      <c r="Z4297" s="1"/>
      <c r="AA4297" s="1"/>
      <c r="AB4297" s="1"/>
    </row>
    <row r="4298" ht="50.25" customHeight="1">
      <c r="A4298" s="12">
        <v>4294.0</v>
      </c>
      <c r="B4298" s="13" t="s">
        <v>3778</v>
      </c>
      <c r="C4298" s="14" t="s">
        <v>4316</v>
      </c>
      <c r="D4298" s="1"/>
      <c r="E4298" s="1"/>
      <c r="F4298" s="1" t="str">
        <f>IFERROR(__xludf.DUMMYFUNCTION("GOOGLETRANSLATE(B4298, ""en"", ""fa"")
"),"برنامه ریز عروسی")</f>
        <v>برنامه ریز عروسی</v>
      </c>
      <c r="G4298" s="1" t="str">
        <f>IFERROR(__xludf.DUMMYFUNCTION("GOOGLETRANSLATE(C4298, ""en"", ""fa"")
"),"ایده هایی برای استفاده از تجربیات واقعیت افزوده (AR) یا واقعیت مجازی (VR) برای بهبود فرآیند برنامه ریزی عروسی، مانند تورهای مکان مجازی یا یراق آلات مجازی لباس عروس به اشتراک بگذارید.")</f>
        <v>ایده هایی برای استفاده از تجربیات واقعیت افزوده (AR) یا واقعیت مجازی (VR) برای بهبود فرآیند برنامه ریزی عروسی، مانند تورهای مکان مجازی یا یراق آلات مجازی لباس عروس به اشتراک بگذارید.</v>
      </c>
      <c r="H4298" s="1"/>
      <c r="I4298" s="1"/>
      <c r="J4298" s="1"/>
      <c r="K4298" s="1"/>
      <c r="L4298" s="1"/>
      <c r="M4298" s="1"/>
      <c r="N4298" s="1"/>
      <c r="O4298" s="1"/>
      <c r="P4298" s="1"/>
      <c r="Q4298" s="1"/>
      <c r="R4298" s="1"/>
      <c r="S4298" s="1"/>
      <c r="T4298" s="1"/>
      <c r="U4298" s="1"/>
      <c r="V4298" s="1"/>
      <c r="W4298" s="1"/>
      <c r="X4298" s="1"/>
      <c r="Y4298" s="1"/>
      <c r="Z4298" s="1"/>
      <c r="AA4298" s="1"/>
      <c r="AB4298" s="1"/>
    </row>
    <row r="4299" ht="50.25" customHeight="1">
      <c r="A4299" s="12">
        <v>4295.0</v>
      </c>
      <c r="B4299" s="13" t="s">
        <v>3778</v>
      </c>
      <c r="C4299" s="14" t="s">
        <v>4317</v>
      </c>
      <c r="D4299" s="1"/>
      <c r="E4299" s="1"/>
      <c r="F4299" s="1" t="str">
        <f>IFERROR(__xludf.DUMMYFUNCTION("GOOGLETRANSLATE(B4299, ""en"", ""fa"")
"),"برنامه ریز عروسی")</f>
        <v>برنامه ریز عروسی</v>
      </c>
      <c r="G4299" s="1" t="str">
        <f>IFERROR(__xludf.DUMMYFUNCTION("GOOGLETRANSLATE(C4299, ""en"", ""fa"")
"),"چگونه برنامه ریزان عروسی می توانند به زوج ها در استفاده از ابزارهای همکاری آنلاین و به اشتراک گذاری اسناد کمک کنند تا ارتباطات و مدیریت اسناد با فروشندگان را ساده تر کنند؟")</f>
        <v>چگونه برنامه ریزان عروسی می توانند به زوج ها در استفاده از ابزارهای همکاری آنلاین و به اشتراک گذاری اسناد کمک کنند تا ارتباطات و مدیریت اسناد با فروشندگان را ساده تر کنند؟</v>
      </c>
      <c r="H4299" s="1"/>
      <c r="I4299" s="1"/>
      <c r="J4299" s="1"/>
      <c r="K4299" s="1"/>
      <c r="L4299" s="1"/>
      <c r="M4299" s="1"/>
      <c r="N4299" s="1"/>
      <c r="O4299" s="1"/>
      <c r="P4299" s="1"/>
      <c r="Q4299" s="1"/>
      <c r="R4299" s="1"/>
      <c r="S4299" s="1"/>
      <c r="T4299" s="1"/>
      <c r="U4299" s="1"/>
      <c r="V4299" s="1"/>
      <c r="W4299" s="1"/>
      <c r="X4299" s="1"/>
      <c r="Y4299" s="1"/>
      <c r="Z4299" s="1"/>
      <c r="AA4299" s="1"/>
      <c r="AB4299" s="1"/>
    </row>
    <row r="4300" ht="50.25" customHeight="1">
      <c r="A4300" s="12">
        <v>4296.0</v>
      </c>
      <c r="B4300" s="13" t="s">
        <v>3778</v>
      </c>
      <c r="C4300" s="14" t="s">
        <v>4318</v>
      </c>
      <c r="D4300" s="1"/>
      <c r="E4300" s="1"/>
      <c r="F4300" s="1" t="str">
        <f>IFERROR(__xludf.DUMMYFUNCTION("GOOGLETRANSLATE(B4300, ""en"", ""fa"")
"),"برنامه ریز عروسی")</f>
        <v>برنامه ریز عروسی</v>
      </c>
      <c r="G4300" s="1" t="str">
        <f>IFERROR(__xludf.DUMMYFUNCTION("GOOGLETRANSLATE(C4300, ""en"", ""fa"")
"),"بهترین شیوه ها برای استفاده از انجمن ها و انجمن های برنامه ریزی عروسی آنلاین برای جمع آوری بازخورد و توصیه از عروس و دامادهای همکار چیست؟")</f>
        <v>بهترین شیوه ها برای استفاده از انجمن ها و انجمن های برنامه ریزی عروسی آنلاین برای جمع آوری بازخورد و توصیه از عروس و دامادهای همکار چیست؟</v>
      </c>
      <c r="H4300" s="1"/>
      <c r="I4300" s="1"/>
      <c r="J4300" s="1"/>
      <c r="K4300" s="1"/>
      <c r="L4300" s="1"/>
      <c r="M4300" s="1"/>
      <c r="N4300" s="1"/>
      <c r="O4300" s="1"/>
      <c r="P4300" s="1"/>
      <c r="Q4300" s="1"/>
      <c r="R4300" s="1"/>
      <c r="S4300" s="1"/>
      <c r="T4300" s="1"/>
      <c r="U4300" s="1"/>
      <c r="V4300" s="1"/>
      <c r="W4300" s="1"/>
      <c r="X4300" s="1"/>
      <c r="Y4300" s="1"/>
      <c r="Z4300" s="1"/>
      <c r="AA4300" s="1"/>
      <c r="AB4300" s="1"/>
    </row>
    <row r="4301" ht="50.25" customHeight="1">
      <c r="A4301" s="12">
        <v>4297.0</v>
      </c>
      <c r="B4301" s="13" t="s">
        <v>3778</v>
      </c>
      <c r="C4301" s="14" t="s">
        <v>4319</v>
      </c>
      <c r="D4301" s="1"/>
      <c r="E4301" s="1"/>
      <c r="F4301" s="1" t="str">
        <f>IFERROR(__xludf.DUMMYFUNCTION("GOOGLETRANSLATE(B4301, ""en"", ""fa"")
"),"برنامه ریز عروسی")</f>
        <v>برنامه ریز عروسی</v>
      </c>
      <c r="G4301" s="1" t="str">
        <f>IFERROR(__xludf.DUMMYFUNCTION("GOOGLETRANSLATE(C4301, ""en"", ""fa"")
"),"برخی از استراتژی‌های استفاده از پلتفرم‌های کنفرانس ویدیویی برای برگزاری جلسات مجازی و مشاوره با فروشندگان عروسی و تیم برنامه‌ریزی عروسی را به اشتراک بگذارید.")</f>
        <v>برخی از استراتژی‌های استفاده از پلتفرم‌های کنفرانس ویدیویی برای برگزاری جلسات مجازی و مشاوره با فروشندگان عروسی و تیم برنامه‌ریزی عروسی را به اشتراک بگذارید.</v>
      </c>
      <c r="H4301" s="1"/>
      <c r="I4301" s="1"/>
      <c r="J4301" s="1"/>
      <c r="K4301" s="1"/>
      <c r="L4301" s="1"/>
      <c r="M4301" s="1"/>
      <c r="N4301" s="1"/>
      <c r="O4301" s="1"/>
      <c r="P4301" s="1"/>
      <c r="Q4301" s="1"/>
      <c r="R4301" s="1"/>
      <c r="S4301" s="1"/>
      <c r="T4301" s="1"/>
      <c r="U4301" s="1"/>
      <c r="V4301" s="1"/>
      <c r="W4301" s="1"/>
      <c r="X4301" s="1"/>
      <c r="Y4301" s="1"/>
      <c r="Z4301" s="1"/>
      <c r="AA4301" s="1"/>
      <c r="AB4301" s="1"/>
    </row>
    <row r="4302" ht="50.25" customHeight="1">
      <c r="A4302" s="12">
        <v>4298.0</v>
      </c>
      <c r="B4302" s="13" t="s">
        <v>3778</v>
      </c>
      <c r="C4302" s="14" t="s">
        <v>4320</v>
      </c>
      <c r="D4302" s="1"/>
      <c r="E4302" s="1"/>
      <c r="F4302" s="1" t="str">
        <f>IFERROR(__xludf.DUMMYFUNCTION("GOOGLETRANSLATE(B4302, ""en"", ""fa"")
"),"برنامه ریز عروسی")</f>
        <v>برنامه ریز عروسی</v>
      </c>
      <c r="G4302" s="1" t="str">
        <f>IFERROR(__xludf.DUMMYFUNCTION("GOOGLETRANSLATE(C4302, ""en"", ""fa"")
"),"چگونه زوج‌ها می‌توانند کتاب‌های مهمان دیجیتال یا پلتفرم‌های آنلاین خوشبختی را برای جمع‌آوری و حفظ پیام‌های صمیمانه مهمانان عروسی ترکیب کنند؟")</f>
        <v>چگونه زوج‌ها می‌توانند کتاب‌های مهمان دیجیتال یا پلتفرم‌های آنلاین خوشبختی را برای جمع‌آوری و حفظ پیام‌های صمیمانه مهمانان عروسی ترکیب کنند؟</v>
      </c>
      <c r="H4302" s="1"/>
      <c r="I4302" s="1"/>
      <c r="J4302" s="1"/>
      <c r="K4302" s="1"/>
      <c r="L4302" s="1"/>
      <c r="M4302" s="1"/>
      <c r="N4302" s="1"/>
      <c r="O4302" s="1"/>
      <c r="P4302" s="1"/>
      <c r="Q4302" s="1"/>
      <c r="R4302" s="1"/>
      <c r="S4302" s="1"/>
      <c r="T4302" s="1"/>
      <c r="U4302" s="1"/>
      <c r="V4302" s="1"/>
      <c r="W4302" s="1"/>
      <c r="X4302" s="1"/>
      <c r="Y4302" s="1"/>
      <c r="Z4302" s="1"/>
      <c r="AA4302" s="1"/>
      <c r="AB4302" s="1"/>
    </row>
    <row r="4303" ht="50.25" customHeight="1">
      <c r="A4303" s="12">
        <v>4299.0</v>
      </c>
      <c r="B4303" s="13" t="s">
        <v>3778</v>
      </c>
      <c r="C4303" s="14" t="s">
        <v>4321</v>
      </c>
      <c r="D4303" s="1"/>
      <c r="E4303" s="1"/>
      <c r="F4303" s="1" t="str">
        <f>IFERROR(__xludf.DUMMYFUNCTION("GOOGLETRANSLATE(B4303, ""en"", ""fa"")
"),"برنامه ریز عروسی")</f>
        <v>برنامه ریز عروسی</v>
      </c>
      <c r="G4303" s="1" t="str">
        <f>IFERROR(__xludf.DUMMYFUNCTION("GOOGLETRANSLATE(C4303, ""en"", ""fa"")
"),"ملاحظات کلیدی برای استفاده از پلتفرم‌های فروش بلیط رویداد آنلاین برای مدیریت ثبت نام مهمان و فروش بلیط برای رویدادهای مربوط به عروسی، مانند مهمانی‌های قبل از عروسی یا برانچ‌های بعد از عروسی چیست؟")</f>
        <v>ملاحظات کلیدی برای استفاده از پلتفرم‌های فروش بلیط رویداد آنلاین برای مدیریت ثبت نام مهمان و فروش بلیط برای رویدادهای مربوط به عروسی، مانند مهمانی‌های قبل از عروسی یا برانچ‌های بعد از عروسی چیست؟</v>
      </c>
      <c r="H4303" s="1"/>
      <c r="I4303" s="1"/>
      <c r="J4303" s="1"/>
      <c r="K4303" s="1"/>
      <c r="L4303" s="1"/>
      <c r="M4303" s="1"/>
      <c r="N4303" s="1"/>
      <c r="O4303" s="1"/>
      <c r="P4303" s="1"/>
      <c r="Q4303" s="1"/>
      <c r="R4303" s="1"/>
      <c r="S4303" s="1"/>
      <c r="T4303" s="1"/>
      <c r="U4303" s="1"/>
      <c r="V4303" s="1"/>
      <c r="W4303" s="1"/>
      <c r="X4303" s="1"/>
      <c r="Y4303" s="1"/>
      <c r="Z4303" s="1"/>
      <c r="AA4303" s="1"/>
      <c r="AB4303" s="1"/>
    </row>
    <row r="4304" ht="50.25" customHeight="1">
      <c r="A4304" s="12">
        <v>4300.0</v>
      </c>
      <c r="B4304" s="13" t="s">
        <v>3778</v>
      </c>
      <c r="C4304" s="14" t="s">
        <v>4322</v>
      </c>
      <c r="D4304" s="1"/>
      <c r="E4304" s="1"/>
      <c r="F4304" s="1" t="str">
        <f>IFERROR(__xludf.DUMMYFUNCTION("GOOGLETRANSLATE(B4304, ""en"", ""fa"")
"),"برنامه ریز عروسی")</f>
        <v>برنامه ریز عروسی</v>
      </c>
      <c r="G4304" s="1" t="str">
        <f>IFERROR(__xludf.DUMMYFUNCTION("GOOGLETRANSLATE(C4304, ""en"", ""fa"")
"),"نکاتی را برای استفاده از ابزارها و پلتفرم های آنلاین برنامه ریزی سفر برای هماهنگی و رزرو اقامتگاه برای مهمانان خارج از شهر به اشتراک بگذارید.")</f>
        <v>نکاتی را برای استفاده از ابزارها و پلتفرم های آنلاین برنامه ریزی سفر برای هماهنگی و رزرو اقامتگاه برای مهمانان خارج از شهر به اشتراک بگذارید.</v>
      </c>
      <c r="H4304" s="1"/>
      <c r="I4304" s="1"/>
      <c r="J4304" s="1"/>
      <c r="K4304" s="1"/>
      <c r="L4304" s="1"/>
      <c r="M4304" s="1"/>
      <c r="N4304" s="1"/>
      <c r="O4304" s="1"/>
      <c r="P4304" s="1"/>
      <c r="Q4304" s="1"/>
      <c r="R4304" s="1"/>
      <c r="S4304" s="1"/>
      <c r="T4304" s="1"/>
      <c r="U4304" s="1"/>
      <c r="V4304" s="1"/>
      <c r="W4304" s="1"/>
      <c r="X4304" s="1"/>
      <c r="Y4304" s="1"/>
      <c r="Z4304" s="1"/>
      <c r="AA4304" s="1"/>
      <c r="AB4304" s="1"/>
    </row>
    <row r="4305" ht="50.25" customHeight="1">
      <c r="A4305" s="12">
        <v>4301.0</v>
      </c>
      <c r="B4305" s="13" t="s">
        <v>3778</v>
      </c>
      <c r="C4305" s="14" t="s">
        <v>4323</v>
      </c>
      <c r="D4305" s="1"/>
      <c r="E4305" s="1"/>
      <c r="F4305" s="1" t="str">
        <f>IFERROR(__xludf.DUMMYFUNCTION("GOOGLETRANSLATE(B4305, ""en"", ""fa"")
"),"برنامه ریز عروسی")</f>
        <v>برنامه ریز عروسی</v>
      </c>
      <c r="G4305" s="1" t="str">
        <f>IFERROR(__xludf.DUMMYFUNCTION("GOOGLETRANSLATE(C4305, ""en"", ""fa"")
"),"چگونه زوج ها می توانند از پلتفرم های رسانه های اجتماعی و تبلیغات هدفمند برای به اشتراک گذاشتن به روز رسانی ها و اطلاعات مربوط به عروسی با مهمانان استفاده کنند؟")</f>
        <v>چگونه زوج ها می توانند از پلتفرم های رسانه های اجتماعی و تبلیغات هدفمند برای به اشتراک گذاشتن به روز رسانی ها و اطلاعات مربوط به عروسی با مهمانان استفاده کنند؟</v>
      </c>
      <c r="H4305" s="1"/>
      <c r="I4305" s="1"/>
      <c r="J4305" s="1"/>
      <c r="K4305" s="1"/>
      <c r="L4305" s="1"/>
      <c r="M4305" s="1"/>
      <c r="N4305" s="1"/>
      <c r="O4305" s="1"/>
      <c r="P4305" s="1"/>
      <c r="Q4305" s="1"/>
      <c r="R4305" s="1"/>
      <c r="S4305" s="1"/>
      <c r="T4305" s="1"/>
      <c r="U4305" s="1"/>
      <c r="V4305" s="1"/>
      <c r="W4305" s="1"/>
      <c r="X4305" s="1"/>
      <c r="Y4305" s="1"/>
      <c r="Z4305" s="1"/>
      <c r="AA4305" s="1"/>
      <c r="AB4305" s="1"/>
    </row>
    <row r="4306" ht="50.25" customHeight="1">
      <c r="A4306" s="12">
        <v>4302.0</v>
      </c>
      <c r="B4306" s="13" t="s">
        <v>3778</v>
      </c>
      <c r="C4306" s="14" t="s">
        <v>4324</v>
      </c>
      <c r="D4306" s="1"/>
      <c r="E4306" s="1"/>
      <c r="F4306" s="1" t="str">
        <f>IFERROR(__xludf.DUMMYFUNCTION("GOOGLETRANSLATE(B4306, ""en"", ""fa"")
"),"برنامه ریز عروسی")</f>
        <v>برنامه ریز عروسی</v>
      </c>
      <c r="G4306" s="1" t="str">
        <f>IFERROR(__xludf.DUMMYFUNCTION("GOOGLETRANSLATE(C4306, ""en"", ""fa"")
"),"هنگام انتخاب و استفاده از لوازم التحریر و ابزار طراحی عروسی آنلاین برای ایجاد تاریخ‌ها، دعوت‌نامه‌ها و برنامه‌های شخصی‌سازی شده، چه عواملی ضروری است؟")</f>
        <v>هنگام انتخاب و استفاده از لوازم التحریر و ابزار طراحی عروسی آنلاین برای ایجاد تاریخ‌ها، دعوت‌نامه‌ها و برنامه‌های شخصی‌سازی شده، چه عواملی ضروری است؟</v>
      </c>
      <c r="H4306" s="1"/>
      <c r="I4306" s="1"/>
      <c r="J4306" s="1"/>
      <c r="K4306" s="1"/>
      <c r="L4306" s="1"/>
      <c r="M4306" s="1"/>
      <c r="N4306" s="1"/>
      <c r="O4306" s="1"/>
      <c r="P4306" s="1"/>
      <c r="Q4306" s="1"/>
      <c r="R4306" s="1"/>
      <c r="S4306" s="1"/>
      <c r="T4306" s="1"/>
      <c r="U4306" s="1"/>
      <c r="V4306" s="1"/>
      <c r="W4306" s="1"/>
      <c r="X4306" s="1"/>
      <c r="Y4306" s="1"/>
      <c r="Z4306" s="1"/>
      <c r="AA4306" s="1"/>
      <c r="AB4306" s="1"/>
    </row>
    <row r="4307" ht="50.25" customHeight="1">
      <c r="A4307" s="12">
        <v>4303.0</v>
      </c>
      <c r="B4307" s="13" t="s">
        <v>3778</v>
      </c>
      <c r="C4307" s="14" t="s">
        <v>4325</v>
      </c>
      <c r="D4307" s="1"/>
      <c r="E4307" s="1"/>
      <c r="F4307" s="1" t="str">
        <f>IFERROR(__xludf.DUMMYFUNCTION("GOOGLETRANSLATE(B4307, ""en"", ""fa"")
"),"برنامه ریز عروسی")</f>
        <v>برنامه ریز عروسی</v>
      </c>
      <c r="G4307" s="1" t="str">
        <f>IFERROR(__xludf.DUMMYFUNCTION("GOOGLETRANSLATE(C4307, ""en"", ""fa"")
"),"ایده هایی را برای ترکیب واقعیت مجازی (VR) یا فناوری ویدیوی 360 درجه به اشتراک بگذارید تا تجربیات عروسی همه جانبه ای را برای مهمانانی که نمی توانند حضوراً در آن شرکت کنند، به اشتراک بگذارید.")</f>
        <v>ایده هایی را برای ترکیب واقعیت مجازی (VR) یا فناوری ویدیوی 360 درجه به اشتراک بگذارید تا تجربیات عروسی همه جانبه ای را برای مهمانانی که نمی توانند حضوراً در آن شرکت کنند، به اشتراک بگذارید.</v>
      </c>
      <c r="H4307" s="1"/>
      <c r="I4307" s="1"/>
      <c r="J4307" s="1"/>
      <c r="K4307" s="1"/>
      <c r="L4307" s="1"/>
      <c r="M4307" s="1"/>
      <c r="N4307" s="1"/>
      <c r="O4307" s="1"/>
      <c r="P4307" s="1"/>
      <c r="Q4307" s="1"/>
      <c r="R4307" s="1"/>
      <c r="S4307" s="1"/>
      <c r="T4307" s="1"/>
      <c r="U4307" s="1"/>
      <c r="V4307" s="1"/>
      <c r="W4307" s="1"/>
      <c r="X4307" s="1"/>
      <c r="Y4307" s="1"/>
      <c r="Z4307" s="1"/>
      <c r="AA4307" s="1"/>
      <c r="AB4307" s="1"/>
    </row>
    <row r="4308" ht="50.25" customHeight="1">
      <c r="A4308" s="12">
        <v>4304.0</v>
      </c>
      <c r="B4308" s="13" t="s">
        <v>3778</v>
      </c>
      <c r="C4308" s="14" t="s">
        <v>4326</v>
      </c>
      <c r="D4308" s="1"/>
      <c r="E4308" s="1"/>
      <c r="F4308" s="1" t="str">
        <f>IFERROR(__xludf.DUMMYFUNCTION("GOOGLETRANSLATE(B4308, ""en"", ""fa"")
"),"برنامه ریز عروسی")</f>
        <v>برنامه ریز عروسی</v>
      </c>
      <c r="G4308" s="1" t="str">
        <f>IFERROR(__xludf.DUMMYFUNCTION("GOOGLETRANSLATE(C4308, ""en"", ""fa"")
"),"چگونه برنامه‌ریزان عروسی می‌توانند به زوج‌ها در استفاده از سیستم‌های ثبت رویداد آنلاین و فروش بلیط برای مدیریت درخواست‌های مهمان و حضور در رویدادهای مختلف مرتبط با عروسی کمک کنند؟")</f>
        <v>چگونه برنامه‌ریزان عروسی می‌توانند به زوج‌ها در استفاده از سیستم‌های ثبت رویداد آنلاین و فروش بلیط برای مدیریت درخواست‌های مهمان و حضور در رویدادهای مختلف مرتبط با عروسی کمک کنند؟</v>
      </c>
      <c r="H4308" s="1"/>
      <c r="I4308" s="1"/>
      <c r="J4308" s="1"/>
      <c r="K4308" s="1"/>
      <c r="L4308" s="1"/>
      <c r="M4308" s="1"/>
      <c r="N4308" s="1"/>
      <c r="O4308" s="1"/>
      <c r="P4308" s="1"/>
      <c r="Q4308" s="1"/>
      <c r="R4308" s="1"/>
      <c r="S4308" s="1"/>
      <c r="T4308" s="1"/>
      <c r="U4308" s="1"/>
      <c r="V4308" s="1"/>
      <c r="W4308" s="1"/>
      <c r="X4308" s="1"/>
      <c r="Y4308" s="1"/>
      <c r="Z4308" s="1"/>
      <c r="AA4308" s="1"/>
      <c r="AB4308" s="1"/>
    </row>
    <row r="4309" ht="50.25" customHeight="1">
      <c r="A4309" s="12">
        <v>4305.0</v>
      </c>
      <c r="B4309" s="13" t="s">
        <v>3778</v>
      </c>
      <c r="C4309" s="14" t="s">
        <v>4327</v>
      </c>
      <c r="D4309" s="1"/>
      <c r="E4309" s="1"/>
      <c r="F4309" s="1" t="str">
        <f>IFERROR(__xludf.DUMMYFUNCTION("GOOGLETRANSLATE(B4309, ""en"", ""fa"")
"),"برنامه ریز عروسی")</f>
        <v>برنامه ریز عروسی</v>
      </c>
      <c r="G4309" s="1" t="str">
        <f>IFERROR(__xludf.DUMMYFUNCTION("GOOGLETRANSLATE(C4309, ""en"", ""fa"")
"),"بهترین روش ها برای استفاده از ابزارهای همکاری آنلاین برای هماهنگی و ارتباط با فروشندگان و مکان های عروسی مقصد چیست؟")</f>
        <v>بهترین روش ها برای استفاده از ابزارهای همکاری آنلاین برای هماهنگی و ارتباط با فروشندگان و مکان های عروسی مقصد چیست؟</v>
      </c>
      <c r="H4309" s="1"/>
      <c r="I4309" s="1"/>
      <c r="J4309" s="1"/>
      <c r="K4309" s="1"/>
      <c r="L4309" s="1"/>
      <c r="M4309" s="1"/>
      <c r="N4309" s="1"/>
      <c r="O4309" s="1"/>
      <c r="P4309" s="1"/>
      <c r="Q4309" s="1"/>
      <c r="R4309" s="1"/>
      <c r="S4309" s="1"/>
      <c r="T4309" s="1"/>
      <c r="U4309" s="1"/>
      <c r="V4309" s="1"/>
      <c r="W4309" s="1"/>
      <c r="X4309" s="1"/>
      <c r="Y4309" s="1"/>
      <c r="Z4309" s="1"/>
      <c r="AA4309" s="1"/>
      <c r="AB4309" s="1"/>
    </row>
    <row r="4310" ht="50.25" customHeight="1">
      <c r="A4310" s="12">
        <v>4306.0</v>
      </c>
      <c r="B4310" s="13" t="s">
        <v>3778</v>
      </c>
      <c r="C4310" s="14" t="s">
        <v>4328</v>
      </c>
      <c r="D4310" s="1"/>
      <c r="E4310" s="1"/>
      <c r="F4310" s="1" t="str">
        <f>IFERROR(__xludf.DUMMYFUNCTION("GOOGLETRANSLATE(B4310, ""en"", ""fa"")
"),"برنامه ریز عروسی")</f>
        <v>برنامه ریز عروسی</v>
      </c>
      <c r="G4310" s="1" t="str">
        <f>IFERROR(__xludf.DUMMYFUNCTION("GOOGLETRANSLATE(C4310, ""en"", ""fa"")
"),"برخی از استراتژی‌های استفاده از پلتفرم‌های اشتراک‌گذاری ویدیو برای ایجاد و اشتراک‌گذاری ویدیوهای قبل از عروسی، مانند ویدیوهای ذخیره‌شده یا مونتاژ داستان عشق را به اشتراک بگذارید.")</f>
        <v>برخی از استراتژی‌های استفاده از پلتفرم‌های اشتراک‌گذاری ویدیو برای ایجاد و اشتراک‌گذاری ویدیوهای قبل از عروسی، مانند ویدیوهای ذخیره‌شده یا مونتاژ داستان عشق را به اشتراک بگذارید.</v>
      </c>
      <c r="H4310" s="1"/>
      <c r="I4310" s="1"/>
      <c r="J4310" s="1"/>
      <c r="K4310" s="1"/>
      <c r="L4310" s="1"/>
      <c r="M4310" s="1"/>
      <c r="N4310" s="1"/>
      <c r="O4310" s="1"/>
      <c r="P4310" s="1"/>
      <c r="Q4310" s="1"/>
      <c r="R4310" s="1"/>
      <c r="S4310" s="1"/>
      <c r="T4310" s="1"/>
      <c r="U4310" s="1"/>
      <c r="V4310" s="1"/>
      <c r="W4310" s="1"/>
      <c r="X4310" s="1"/>
      <c r="Y4310" s="1"/>
      <c r="Z4310" s="1"/>
      <c r="AA4310" s="1"/>
      <c r="AB4310" s="1"/>
    </row>
    <row r="4311" ht="50.25" customHeight="1">
      <c r="A4311" s="12">
        <v>4307.0</v>
      </c>
      <c r="B4311" s="13" t="s">
        <v>3778</v>
      </c>
      <c r="C4311" s="14" t="s">
        <v>4329</v>
      </c>
      <c r="D4311" s="1"/>
      <c r="E4311" s="1"/>
      <c r="F4311" s="1" t="str">
        <f>IFERROR(__xludf.DUMMYFUNCTION("GOOGLETRANSLATE(B4311, ""en"", ""fa"")
"),"برنامه ریز عروسی")</f>
        <v>برنامه ریز عروسی</v>
      </c>
      <c r="G4311" s="1" t="str">
        <f>IFERROR(__xludf.DUMMYFUNCTION("GOOGLETRANSLATE(C4311, ""en"", ""fa"")
"),"چگونه زوج ها می توانند منابع و دوره های آنلاین برنامه ریزی عروسی را برای افزایش دانش و مهارت های خود در برنامه ریزی و طراحی عروسی ترکیب کنند؟")</f>
        <v>چگونه زوج ها می توانند منابع و دوره های آنلاین برنامه ریزی عروسی را برای افزایش دانش و مهارت های خود در برنامه ریزی و طراحی عروسی ترکیب کنند؟</v>
      </c>
      <c r="H4311" s="1"/>
      <c r="I4311" s="1"/>
      <c r="J4311" s="1"/>
      <c r="K4311" s="1"/>
      <c r="L4311" s="1"/>
      <c r="M4311" s="1"/>
      <c r="N4311" s="1"/>
      <c r="O4311" s="1"/>
      <c r="P4311" s="1"/>
      <c r="Q4311" s="1"/>
      <c r="R4311" s="1"/>
      <c r="S4311" s="1"/>
      <c r="T4311" s="1"/>
      <c r="U4311" s="1"/>
      <c r="V4311" s="1"/>
      <c r="W4311" s="1"/>
      <c r="X4311" s="1"/>
      <c r="Y4311" s="1"/>
      <c r="Z4311" s="1"/>
      <c r="AA4311" s="1"/>
      <c r="AB4311" s="1"/>
    </row>
    <row r="4312" ht="50.25" customHeight="1">
      <c r="A4312" s="12">
        <v>4308.0</v>
      </c>
      <c r="B4312" s="13" t="s">
        <v>3778</v>
      </c>
      <c r="C4312" s="14" t="s">
        <v>4330</v>
      </c>
      <c r="D4312" s="1"/>
      <c r="E4312" s="1"/>
      <c r="F4312" s="1" t="str">
        <f>IFERROR(__xludf.DUMMYFUNCTION("GOOGLETRANSLATE(B4312, ""en"", ""fa"")
"),"برنامه ریز عروسی")</f>
        <v>برنامه ریز عروسی</v>
      </c>
      <c r="G4312" s="1" t="str">
        <f>IFERROR(__xludf.DUMMYFUNCTION("GOOGLETRANSLATE(C4312, ""en"", ""fa"")
"),"ملاحظات کلیدی برای استفاده از ابزارهای ردیابی بودجه و مدیریت مالی آنلاین برای حفظ هزینه های عروسی چیست؟")</f>
        <v>ملاحظات کلیدی برای استفاده از ابزارهای ردیابی بودجه و مدیریت مالی آنلاین برای حفظ هزینه های عروسی چیست؟</v>
      </c>
      <c r="H4312" s="1"/>
      <c r="I4312" s="1"/>
      <c r="J4312" s="1"/>
      <c r="K4312" s="1"/>
      <c r="L4312" s="1"/>
      <c r="M4312" s="1"/>
      <c r="N4312" s="1"/>
      <c r="O4312" s="1"/>
      <c r="P4312" s="1"/>
      <c r="Q4312" s="1"/>
      <c r="R4312" s="1"/>
      <c r="S4312" s="1"/>
      <c r="T4312" s="1"/>
      <c r="U4312" s="1"/>
      <c r="V4312" s="1"/>
      <c r="W4312" s="1"/>
      <c r="X4312" s="1"/>
      <c r="Y4312" s="1"/>
      <c r="Z4312" s="1"/>
      <c r="AA4312" s="1"/>
      <c r="AB4312" s="1"/>
    </row>
    <row r="4313" ht="50.25" customHeight="1">
      <c r="A4313" s="12">
        <v>4309.0</v>
      </c>
      <c r="B4313" s="13" t="s">
        <v>3778</v>
      </c>
      <c r="C4313" s="14" t="s">
        <v>4331</v>
      </c>
      <c r="D4313" s="1"/>
      <c r="E4313" s="1"/>
      <c r="F4313" s="1" t="str">
        <f>IFERROR(__xludf.DUMMYFUNCTION("GOOGLETRANSLATE(B4313, ""en"", ""fa"")
"),"برنامه ریز عروسی")</f>
        <v>برنامه ریز عروسی</v>
      </c>
      <c r="G4313" s="1" t="str">
        <f>IFERROR(__xludf.DUMMYFUNCTION("GOOGLETRANSLATE(C4313, ""en"", ""fa"")
"),"نکاتی را برای استفاده از نرم افزار برنامه ریزی عروسی یا برنامه های موبایل برای ایجاد و مدیریت نمودارهای دیجیتالی صندلی برای پذیرایی عروسی به اشتراک بگذارید.")</f>
        <v>نکاتی را برای استفاده از نرم افزار برنامه ریزی عروسی یا برنامه های موبایل برای ایجاد و مدیریت نمودارهای دیجیتالی صندلی برای پذیرایی عروسی به اشتراک بگذارید.</v>
      </c>
      <c r="H4313" s="1"/>
      <c r="I4313" s="1"/>
      <c r="J4313" s="1"/>
      <c r="K4313" s="1"/>
      <c r="L4313" s="1"/>
      <c r="M4313" s="1"/>
      <c r="N4313" s="1"/>
      <c r="O4313" s="1"/>
      <c r="P4313" s="1"/>
      <c r="Q4313" s="1"/>
      <c r="R4313" s="1"/>
      <c r="S4313" s="1"/>
      <c r="T4313" s="1"/>
      <c r="U4313" s="1"/>
      <c r="V4313" s="1"/>
      <c r="W4313" s="1"/>
      <c r="X4313" s="1"/>
      <c r="Y4313" s="1"/>
      <c r="Z4313" s="1"/>
      <c r="AA4313" s="1"/>
      <c r="AB4313" s="1"/>
    </row>
    <row r="4314" ht="50.25" customHeight="1">
      <c r="A4314" s="12">
        <v>4310.0</v>
      </c>
      <c r="B4314" s="13" t="s">
        <v>3778</v>
      </c>
      <c r="C4314" s="14" t="s">
        <v>4332</v>
      </c>
      <c r="D4314" s="1"/>
      <c r="E4314" s="1"/>
      <c r="F4314" s="1" t="str">
        <f>IFERROR(__xludf.DUMMYFUNCTION("GOOGLETRANSLATE(B4314, ""en"", ""fa"")
"),"برنامه ریز عروسی")</f>
        <v>برنامه ریز عروسی</v>
      </c>
      <c r="G4314" s="1" t="str">
        <f>IFERROR(__xludf.DUMMYFUNCTION("GOOGLETRANSLATE(C4314, ""en"", ""fa"")
"),"چگونه زوج‌ها می‌توانند از پلتفرم‌های پخش زنده برای پخش مراسم عروسی و پذیرایی خود برای مهمانانی که قادر به حضور حضوری نیستند، استفاده کنند؟")</f>
        <v>چگونه زوج‌ها می‌توانند از پلتفرم‌های پخش زنده برای پخش مراسم عروسی و پذیرایی خود برای مهمانانی که قادر به حضور حضوری نیستند، استفاده کنند؟</v>
      </c>
      <c r="H4314" s="1"/>
      <c r="I4314" s="1"/>
      <c r="J4314" s="1"/>
      <c r="K4314" s="1"/>
      <c r="L4314" s="1"/>
      <c r="M4314" s="1"/>
      <c r="N4314" s="1"/>
      <c r="O4314" s="1"/>
      <c r="P4314" s="1"/>
      <c r="Q4314" s="1"/>
      <c r="R4314" s="1"/>
      <c r="S4314" s="1"/>
      <c r="T4314" s="1"/>
      <c r="U4314" s="1"/>
      <c r="V4314" s="1"/>
      <c r="W4314" s="1"/>
      <c r="X4314" s="1"/>
      <c r="Y4314" s="1"/>
      <c r="Z4314" s="1"/>
      <c r="AA4314" s="1"/>
      <c r="AB4314" s="1"/>
    </row>
    <row r="4315" ht="50.25" customHeight="1">
      <c r="A4315" s="12">
        <v>4311.0</v>
      </c>
      <c r="B4315" s="13" t="s">
        <v>3778</v>
      </c>
      <c r="C4315" s="14" t="s">
        <v>4333</v>
      </c>
      <c r="D4315" s="1"/>
      <c r="E4315" s="1"/>
      <c r="F4315" s="1" t="str">
        <f>IFERROR(__xludf.DUMMYFUNCTION("GOOGLETRANSLATE(B4315, ""en"", ""fa"")
"),"برنامه ریز عروسی")</f>
        <v>برنامه ریز عروسی</v>
      </c>
      <c r="G4315" s="1" t="str">
        <f>IFERROR(__xludf.DUMMYFUNCTION("GOOGLETRANSLATE(C4315, ""en"", ""fa"")
"),"چه عناصر ضروری را باید در یک وب سایت یا برنامه برنامه ریزی عروسی گنجانید تا مهمانان با دسترسی آسان به جزئیات مهم عروسی، مانند مکان محل برگزاری و اطلاعات محل اقامت، دسترسی داشته باشند؟")</f>
        <v>چه عناصر ضروری را باید در یک وب سایت یا برنامه برنامه ریزی عروسی گنجانید تا مهمانان با دسترسی آسان به جزئیات مهم عروسی، مانند مکان محل برگزاری و اطلاعات محل اقامت، دسترسی داشته باشند؟</v>
      </c>
      <c r="H4315" s="1"/>
      <c r="I4315" s="1"/>
      <c r="J4315" s="1"/>
      <c r="K4315" s="1"/>
      <c r="L4315" s="1"/>
      <c r="M4315" s="1"/>
      <c r="N4315" s="1"/>
      <c r="O4315" s="1"/>
      <c r="P4315" s="1"/>
      <c r="Q4315" s="1"/>
      <c r="R4315" s="1"/>
      <c r="S4315" s="1"/>
      <c r="T4315" s="1"/>
      <c r="U4315" s="1"/>
      <c r="V4315" s="1"/>
      <c r="W4315" s="1"/>
      <c r="X4315" s="1"/>
      <c r="Y4315" s="1"/>
      <c r="Z4315" s="1"/>
      <c r="AA4315" s="1"/>
      <c r="AB4315" s="1"/>
    </row>
    <row r="4316" ht="50.25" customHeight="1">
      <c r="A4316" s="12">
        <v>4312.0</v>
      </c>
      <c r="B4316" s="13" t="s">
        <v>3778</v>
      </c>
      <c r="C4316" s="14" t="s">
        <v>4334</v>
      </c>
      <c r="D4316" s="1"/>
      <c r="E4316" s="1"/>
      <c r="F4316" s="1" t="str">
        <f>IFERROR(__xludf.DUMMYFUNCTION("GOOGLETRANSLATE(B4316, ""en"", ""fa"")
"),"برنامه ریز عروسی")</f>
        <v>برنامه ریز عروسی</v>
      </c>
      <c r="G4316" s="1" t="str">
        <f>IFERROR(__xludf.DUMMYFUNCTION("GOOGLETRANSLATE(C4316, ""en"", ""fa"")
"),"ایده هایی برای استفاده از پلتفرم های رویداد مجازی برای میزبانی رویدادهای عروسی مجازی تعاملی و جذاب، مانند دوش عروسی آنلاین یا مهمانی های رقص مجازی به اشتراک بگذارید.")</f>
        <v>ایده هایی برای استفاده از پلتفرم های رویداد مجازی برای میزبانی رویدادهای عروسی مجازی تعاملی و جذاب، مانند دوش عروسی آنلاین یا مهمانی های رقص مجازی به اشتراک بگذارید.</v>
      </c>
      <c r="H4316" s="1"/>
      <c r="I4316" s="1"/>
      <c r="J4316" s="1"/>
      <c r="K4316" s="1"/>
      <c r="L4316" s="1"/>
      <c r="M4316" s="1"/>
      <c r="N4316" s="1"/>
      <c r="O4316" s="1"/>
      <c r="P4316" s="1"/>
      <c r="Q4316" s="1"/>
      <c r="R4316" s="1"/>
      <c r="S4316" s="1"/>
      <c r="T4316" s="1"/>
      <c r="U4316" s="1"/>
      <c r="V4316" s="1"/>
      <c r="W4316" s="1"/>
      <c r="X4316" s="1"/>
      <c r="Y4316" s="1"/>
      <c r="Z4316" s="1"/>
      <c r="AA4316" s="1"/>
      <c r="AB4316" s="1"/>
    </row>
    <row r="4317" ht="50.25" customHeight="1">
      <c r="A4317" s="12">
        <v>4313.0</v>
      </c>
      <c r="B4317" s="13" t="s">
        <v>3778</v>
      </c>
      <c r="C4317" s="14" t="s">
        <v>4335</v>
      </c>
      <c r="D4317" s="1"/>
      <c r="E4317" s="1"/>
      <c r="F4317" s="1" t="str">
        <f>IFERROR(__xludf.DUMMYFUNCTION("GOOGLETRANSLATE(B4317, ""en"", ""fa"")
"),"برنامه ریز عروسی")</f>
        <v>برنامه ریز عروسی</v>
      </c>
      <c r="G4317" s="1" t="str">
        <f>IFERROR(__xludf.DUMMYFUNCTION("GOOGLETRANSLATE(C4317, ""en"", ""fa"")
"),"برنامه ریزان عروسی چگونه می توانند به زوج ها در استفاده از ابزارهای آنلاین همکاری و نرم افزار مدیریت پروژه کمک کنند تا به طور موثر با تیم برنامه ریزی عروسی ارتباط برقرار کنند و همکاری کنند؟")</f>
        <v>برنامه ریزان عروسی چگونه می توانند به زوج ها در استفاده از ابزارهای آنلاین همکاری و نرم افزار مدیریت پروژه کمک کنند تا به طور موثر با تیم برنامه ریزی عروسی ارتباط برقرار کنند و همکاری کنند؟</v>
      </c>
      <c r="H4317" s="1"/>
      <c r="I4317" s="1"/>
      <c r="J4317" s="1"/>
      <c r="K4317" s="1"/>
      <c r="L4317" s="1"/>
      <c r="M4317" s="1"/>
      <c r="N4317" s="1"/>
      <c r="O4317" s="1"/>
      <c r="P4317" s="1"/>
      <c r="Q4317" s="1"/>
      <c r="R4317" s="1"/>
      <c r="S4317" s="1"/>
      <c r="T4317" s="1"/>
      <c r="U4317" s="1"/>
      <c r="V4317" s="1"/>
      <c r="W4317" s="1"/>
      <c r="X4317" s="1"/>
      <c r="Y4317" s="1"/>
      <c r="Z4317" s="1"/>
      <c r="AA4317" s="1"/>
      <c r="AB4317" s="1"/>
    </row>
    <row r="4318" ht="50.25" customHeight="1">
      <c r="A4318" s="12">
        <v>4314.0</v>
      </c>
      <c r="B4318" s="13" t="s">
        <v>3778</v>
      </c>
      <c r="C4318" s="14" t="s">
        <v>4336</v>
      </c>
      <c r="D4318" s="1"/>
      <c r="E4318" s="1"/>
      <c r="F4318" s="1" t="str">
        <f>IFERROR(__xludf.DUMMYFUNCTION("GOOGLETRANSLATE(B4318, ""en"", ""fa"")
"),"برنامه ریز عروسی")</f>
        <v>برنامه ریز عروسی</v>
      </c>
      <c r="G4318" s="1" t="str">
        <f>IFERROR(__xludf.DUMMYFUNCTION("GOOGLETRANSLATE(C4318, ""en"", ""fa"")
"),"بهترین روش ها برای استفاده از سیستم های مدیریت مهمان آنلاین برای ارسال یادآوری ها و به روز رسانی های خودکار به مهمانان قبل از روز عروسی چیست؟")</f>
        <v>بهترین روش ها برای استفاده از سیستم های مدیریت مهمان آنلاین برای ارسال یادآوری ها و به روز رسانی های خودکار به مهمانان قبل از روز عروسی چیست؟</v>
      </c>
      <c r="H4318" s="1"/>
      <c r="I4318" s="1"/>
      <c r="J4318" s="1"/>
      <c r="K4318" s="1"/>
      <c r="L4318" s="1"/>
      <c r="M4318" s="1"/>
      <c r="N4318" s="1"/>
      <c r="O4318" s="1"/>
      <c r="P4318" s="1"/>
      <c r="Q4318" s="1"/>
      <c r="R4318" s="1"/>
      <c r="S4318" s="1"/>
      <c r="T4318" s="1"/>
      <c r="U4318" s="1"/>
      <c r="V4318" s="1"/>
      <c r="W4318" s="1"/>
      <c r="X4318" s="1"/>
      <c r="Y4318" s="1"/>
      <c r="Z4318" s="1"/>
      <c r="AA4318" s="1"/>
      <c r="AB4318" s="1"/>
    </row>
    <row r="4319" ht="50.25" customHeight="1">
      <c r="A4319" s="12">
        <v>4315.0</v>
      </c>
      <c r="B4319" s="13" t="s">
        <v>3778</v>
      </c>
      <c r="C4319" s="14" t="s">
        <v>4337</v>
      </c>
      <c r="D4319" s="1"/>
      <c r="E4319" s="1"/>
      <c r="F4319" s="1" t="str">
        <f>IFERROR(__xludf.DUMMYFUNCTION("GOOGLETRANSLATE(B4319, ""en"", ""fa"")
"),"برنامه ریز عروسی")</f>
        <v>برنامه ریز عروسی</v>
      </c>
      <c r="G4319" s="1" t="str">
        <f>IFERROR(__xludf.DUMMYFUNCTION("GOOGLETRANSLATE(C4319, ""en"", ""fa"")
"),"چگونه می توانم اعتماد به نفس خود را در زمینه آشنایی تقویت کنم؟")</f>
        <v>چگونه می توانم اعتماد به نفس خود را در زمینه آشنایی تقویت کنم؟</v>
      </c>
      <c r="H4319" s="1"/>
      <c r="I4319" s="1"/>
      <c r="J4319" s="1"/>
      <c r="K4319" s="1"/>
      <c r="L4319" s="1"/>
      <c r="M4319" s="1"/>
      <c r="N4319" s="1"/>
      <c r="O4319" s="1"/>
      <c r="P4319" s="1"/>
      <c r="Q4319" s="1"/>
      <c r="R4319" s="1"/>
      <c r="S4319" s="1"/>
      <c r="T4319" s="1"/>
      <c r="U4319" s="1"/>
      <c r="V4319" s="1"/>
      <c r="W4319" s="1"/>
      <c r="X4319" s="1"/>
      <c r="Y4319" s="1"/>
      <c r="Z4319" s="1"/>
      <c r="AA4319" s="1"/>
      <c r="AB4319" s="1"/>
    </row>
    <row r="4320" ht="50.25" customHeight="1">
      <c r="A4320" s="12">
        <v>4316.0</v>
      </c>
      <c r="B4320" s="13" t="s">
        <v>3778</v>
      </c>
      <c r="C4320" s="14" t="s">
        <v>4338</v>
      </c>
      <c r="D4320" s="1"/>
      <c r="E4320" s="1"/>
      <c r="F4320" s="1" t="str">
        <f>IFERROR(__xludf.DUMMYFUNCTION("GOOGLETRANSLATE(B4320, ""en"", ""fa"")
"),"برنامه ریز عروسی")</f>
        <v>برنامه ریز عروسی</v>
      </c>
      <c r="G4320" s="1" t="str">
        <f>IFERROR(__xludf.DUMMYFUNCTION("GOOGLETRANSLATE(C4320, ""en"", ""fa"")
"),"چند نکته عملی برای غلبه بر ناامنی های مربوط به قرار ملاقات چیست؟")</f>
        <v>چند نکته عملی برای غلبه بر ناامنی های مربوط به قرار ملاقات چیست؟</v>
      </c>
      <c r="H4320" s="1"/>
      <c r="I4320" s="1"/>
      <c r="J4320" s="1"/>
      <c r="K4320" s="1"/>
      <c r="L4320" s="1"/>
      <c r="M4320" s="1"/>
      <c r="N4320" s="1"/>
      <c r="O4320" s="1"/>
      <c r="P4320" s="1"/>
      <c r="Q4320" s="1"/>
      <c r="R4320" s="1"/>
      <c r="S4320" s="1"/>
      <c r="T4320" s="1"/>
      <c r="U4320" s="1"/>
      <c r="V4320" s="1"/>
      <c r="W4320" s="1"/>
      <c r="X4320" s="1"/>
      <c r="Y4320" s="1"/>
      <c r="Z4320" s="1"/>
      <c r="AA4320" s="1"/>
      <c r="AB4320" s="1"/>
    </row>
    <row r="4321" ht="50.25" customHeight="1">
      <c r="A4321" s="12">
        <v>4317.0</v>
      </c>
      <c r="B4321" s="13" t="s">
        <v>3778</v>
      </c>
      <c r="C4321" s="14" t="s">
        <v>4339</v>
      </c>
      <c r="D4321" s="1"/>
      <c r="E4321" s="1"/>
      <c r="F4321" s="1" t="str">
        <f>IFERROR(__xludf.DUMMYFUNCTION("GOOGLETRANSLATE(B4321, ""en"", ""fa"")
"),"برنامه ریز عروسی")</f>
        <v>برنامه ریز عروسی</v>
      </c>
      <c r="G4321" s="1" t="str">
        <f>IFERROR(__xludf.DUMMYFUNCTION("GOOGLETRANSLATE(C4321, ""en"", ""fa"")
"),"چگونه می توانم یک ذهنیت مثبت ایجاد کنم و اعتماد به نفس خود را در طول فرآیند دوستیابی حفظ کنم؟")</f>
        <v>چگونه می توانم یک ذهنیت مثبت ایجاد کنم و اعتماد به نفس خود را در طول فرآیند دوستیابی حفظ کنم؟</v>
      </c>
      <c r="H4321" s="1"/>
      <c r="I4321" s="1"/>
      <c r="J4321" s="1"/>
      <c r="K4321" s="1"/>
      <c r="L4321" s="1"/>
      <c r="M4321" s="1"/>
      <c r="N4321" s="1"/>
      <c r="O4321" s="1"/>
      <c r="P4321" s="1"/>
      <c r="Q4321" s="1"/>
      <c r="R4321" s="1"/>
      <c r="S4321" s="1"/>
      <c r="T4321" s="1"/>
      <c r="U4321" s="1"/>
      <c r="V4321" s="1"/>
      <c r="W4321" s="1"/>
      <c r="X4321" s="1"/>
      <c r="Y4321" s="1"/>
      <c r="Z4321" s="1"/>
      <c r="AA4321" s="1"/>
      <c r="AB4321" s="1"/>
    </row>
    <row r="4322" ht="50.25" customHeight="1">
      <c r="A4322" s="12">
        <v>4318.0</v>
      </c>
      <c r="B4322" s="13" t="s">
        <v>3778</v>
      </c>
      <c r="C4322" s="14" t="s">
        <v>4340</v>
      </c>
      <c r="D4322" s="1"/>
      <c r="E4322" s="1"/>
      <c r="F4322" s="1" t="str">
        <f>IFERROR(__xludf.DUMMYFUNCTION("GOOGLETRANSLATE(B4322, ""en"", ""fa"")
"),"برنامه ریز عروسی")</f>
        <v>برنامه ریز عروسی</v>
      </c>
      <c r="G4322" s="1" t="str">
        <f>IFERROR(__xludf.DUMMYFUNCTION("GOOGLETRANSLATE(C4322, ""en"", ""fa"")
"),"چند استراتژی موثر برای ایجاد عزت نفس و عزت نفس چیست؟")</f>
        <v>چند استراتژی موثر برای ایجاد عزت نفس و عزت نفس چیست؟</v>
      </c>
      <c r="H4322" s="1"/>
      <c r="I4322" s="1"/>
      <c r="J4322" s="1"/>
      <c r="K4322" s="1"/>
      <c r="L4322" s="1"/>
      <c r="M4322" s="1"/>
      <c r="N4322" s="1"/>
      <c r="O4322" s="1"/>
      <c r="P4322" s="1"/>
      <c r="Q4322" s="1"/>
      <c r="R4322" s="1"/>
      <c r="S4322" s="1"/>
      <c r="T4322" s="1"/>
      <c r="U4322" s="1"/>
      <c r="V4322" s="1"/>
      <c r="W4322" s="1"/>
      <c r="X4322" s="1"/>
      <c r="Y4322" s="1"/>
      <c r="Z4322" s="1"/>
      <c r="AA4322" s="1"/>
      <c r="AB4322" s="1"/>
    </row>
    <row r="4323" ht="50.25" customHeight="1">
      <c r="A4323" s="12">
        <v>4319.0</v>
      </c>
      <c r="B4323" s="13" t="s">
        <v>3778</v>
      </c>
      <c r="C4323" s="14" t="s">
        <v>4341</v>
      </c>
      <c r="D4323" s="1"/>
      <c r="E4323" s="1"/>
      <c r="F4323" s="1" t="str">
        <f>IFERROR(__xludf.DUMMYFUNCTION("GOOGLETRANSLATE(B4323, ""en"", ""fa"")
"),"برنامه ریز عروسی")</f>
        <v>برنامه ریز عروسی</v>
      </c>
      <c r="G4323" s="1" t="str">
        <f>IFERROR(__xludf.DUMMYFUNCTION("GOOGLETRANSLATE(C4323, ""en"", ""fa"")
"),"چگونه می توانم بر ترس از طرد شدن غلبه کنم و با اطمینان به دوستیابی نزدیک شوم؟")</f>
        <v>چگونه می توانم بر ترس از طرد شدن غلبه کنم و با اطمینان به دوستیابی نزدیک شوم؟</v>
      </c>
      <c r="H4323" s="1"/>
      <c r="I4323" s="1"/>
      <c r="J4323" s="1"/>
      <c r="K4323" s="1"/>
      <c r="L4323" s="1"/>
      <c r="M4323" s="1"/>
      <c r="N4323" s="1"/>
      <c r="O4323" s="1"/>
      <c r="P4323" s="1"/>
      <c r="Q4323" s="1"/>
      <c r="R4323" s="1"/>
      <c r="S4323" s="1"/>
      <c r="T4323" s="1"/>
      <c r="U4323" s="1"/>
      <c r="V4323" s="1"/>
      <c r="W4323" s="1"/>
      <c r="X4323" s="1"/>
      <c r="Y4323" s="1"/>
      <c r="Z4323" s="1"/>
      <c r="AA4323" s="1"/>
      <c r="AB4323" s="1"/>
    </row>
    <row r="4324" ht="50.25" customHeight="1">
      <c r="A4324" s="12">
        <v>4320.0</v>
      </c>
      <c r="B4324" s="13" t="s">
        <v>3778</v>
      </c>
      <c r="C4324" s="14" t="s">
        <v>4342</v>
      </c>
      <c r="D4324" s="1"/>
      <c r="E4324" s="1"/>
      <c r="F4324" s="1" t="str">
        <f>IFERROR(__xludf.DUMMYFUNCTION("GOOGLETRANSLATE(B4324, ""en"", ""fa"")
"),"برنامه ریز عروسی")</f>
        <v>برنامه ریز عروسی</v>
      </c>
      <c r="G4324" s="1" t="str">
        <f>IFERROR(__xludf.DUMMYFUNCTION("GOOGLETRANSLATE(C4324, ""en"", ""fa"")
"),"چند تکنیک برای تمرین مراقبت از خود و عشق به خود در هنگام جستجو در دنیای دوستیابی چیست؟")</f>
        <v>چند تکنیک برای تمرین مراقبت از خود و عشق به خود در هنگام جستجو در دنیای دوستیابی چیست؟</v>
      </c>
      <c r="H4324" s="1"/>
      <c r="I4324" s="1"/>
      <c r="J4324" s="1"/>
      <c r="K4324" s="1"/>
      <c r="L4324" s="1"/>
      <c r="M4324" s="1"/>
      <c r="N4324" s="1"/>
      <c r="O4324" s="1"/>
      <c r="P4324" s="1"/>
      <c r="Q4324" s="1"/>
      <c r="R4324" s="1"/>
      <c r="S4324" s="1"/>
      <c r="T4324" s="1"/>
      <c r="U4324" s="1"/>
      <c r="V4324" s="1"/>
      <c r="W4324" s="1"/>
      <c r="X4324" s="1"/>
      <c r="Y4324" s="1"/>
      <c r="Z4324" s="1"/>
      <c r="AA4324" s="1"/>
      <c r="AB4324" s="1"/>
    </row>
    <row r="4325" ht="50.25" customHeight="1">
      <c r="A4325" s="12">
        <v>4321.0</v>
      </c>
      <c r="B4325" s="13" t="s">
        <v>3778</v>
      </c>
      <c r="C4325" s="14" t="s">
        <v>4343</v>
      </c>
      <c r="D4325" s="1"/>
      <c r="E4325" s="1"/>
      <c r="F4325" s="1" t="str">
        <f>IFERROR(__xludf.DUMMYFUNCTION("GOOGLETRANSLATE(B4325, ""en"", ""fa"")
"),"برنامه ریز عروسی")</f>
        <v>برنامه ریز عروسی</v>
      </c>
      <c r="G4325" s="1" t="str">
        <f>IFERROR(__xludf.DUMMYFUNCTION("GOOGLETRANSLATE(C4325, ""en"", ""fa"")
"),"چگونه می توانم زمینه های رشد شخصی خود را شناسایی کرده و روی آنها کار کنم تا اعتماد به نفس خود را بهبود بخشم؟")</f>
        <v>چگونه می توانم زمینه های رشد شخصی خود را شناسایی کرده و روی آنها کار کنم تا اعتماد به نفس خود را بهبود بخشم؟</v>
      </c>
      <c r="H4325" s="1"/>
      <c r="I4325" s="1"/>
      <c r="J4325" s="1"/>
      <c r="K4325" s="1"/>
      <c r="L4325" s="1"/>
      <c r="M4325" s="1"/>
      <c r="N4325" s="1"/>
      <c r="O4325" s="1"/>
      <c r="P4325" s="1"/>
      <c r="Q4325" s="1"/>
      <c r="R4325" s="1"/>
      <c r="S4325" s="1"/>
      <c r="T4325" s="1"/>
      <c r="U4325" s="1"/>
      <c r="V4325" s="1"/>
      <c r="W4325" s="1"/>
      <c r="X4325" s="1"/>
      <c r="Y4325" s="1"/>
      <c r="Z4325" s="1"/>
      <c r="AA4325" s="1"/>
      <c r="AB4325" s="1"/>
    </row>
    <row r="4326" ht="50.25" customHeight="1">
      <c r="A4326" s="12">
        <v>4322.0</v>
      </c>
      <c r="B4326" s="13" t="s">
        <v>3778</v>
      </c>
      <c r="C4326" s="14" t="s">
        <v>4344</v>
      </c>
      <c r="D4326" s="1"/>
      <c r="E4326" s="1"/>
      <c r="F4326" s="1" t="str">
        <f>IFERROR(__xludf.DUMMYFUNCTION("GOOGLETRANSLATE(B4326, ""en"", ""fa"")
"),"برنامه ریز عروسی")</f>
        <v>برنامه ریز عروسی</v>
      </c>
      <c r="G4326" s="1" t="str">
        <f>IFERROR(__xludf.DUMMYFUNCTION("GOOGLETRANSLATE(C4326, ""en"", ""fa"")
"),"پذیرش خود چه نقشی در ایجاد اعتماد به نفس دارد و چگونه می توانم آن را پرورش دهم؟")</f>
        <v>پذیرش خود چه نقشی در ایجاد اعتماد به نفس دارد و چگونه می توانم آن را پرورش دهم؟</v>
      </c>
      <c r="H4326" s="1"/>
      <c r="I4326" s="1"/>
      <c r="J4326" s="1"/>
      <c r="K4326" s="1"/>
      <c r="L4326" s="1"/>
      <c r="M4326" s="1"/>
      <c r="N4326" s="1"/>
      <c r="O4326" s="1"/>
      <c r="P4326" s="1"/>
      <c r="Q4326" s="1"/>
      <c r="R4326" s="1"/>
      <c r="S4326" s="1"/>
      <c r="T4326" s="1"/>
      <c r="U4326" s="1"/>
      <c r="V4326" s="1"/>
      <c r="W4326" s="1"/>
      <c r="X4326" s="1"/>
      <c r="Y4326" s="1"/>
      <c r="Z4326" s="1"/>
      <c r="AA4326" s="1"/>
      <c r="AB4326" s="1"/>
    </row>
    <row r="4327" ht="50.25" customHeight="1">
      <c r="A4327" s="12">
        <v>4323.0</v>
      </c>
      <c r="B4327" s="13" t="s">
        <v>3778</v>
      </c>
      <c r="C4327" s="14" t="s">
        <v>4345</v>
      </c>
      <c r="D4327" s="1"/>
      <c r="E4327" s="1"/>
      <c r="F4327" s="1" t="str">
        <f>IFERROR(__xludf.DUMMYFUNCTION("GOOGLETRANSLATE(B4327, ""en"", ""fa"")
"),"برنامه ریز عروسی")</f>
        <v>برنامه ریز عروسی</v>
      </c>
      <c r="G4327" s="1" t="str">
        <f>IFERROR(__xludf.DUMMYFUNCTION("GOOGLETRANSLATE(C4327, ""en"", ""fa"")
"),"چگونه می توانم از نقاط قوت و ویژگی های منحصر به فرد خود برای افزایش اعتماد به نفس خود در رابطه استفاده کنم؟")</f>
        <v>چگونه می توانم از نقاط قوت و ویژگی های منحصر به فرد خود برای افزایش اعتماد به نفس خود در رابطه استفاده کنم؟</v>
      </c>
      <c r="H4327" s="1"/>
      <c r="I4327" s="1"/>
      <c r="J4327" s="1"/>
      <c r="K4327" s="1"/>
      <c r="L4327" s="1"/>
      <c r="M4327" s="1"/>
      <c r="N4327" s="1"/>
      <c r="O4327" s="1"/>
      <c r="P4327" s="1"/>
      <c r="Q4327" s="1"/>
      <c r="R4327" s="1"/>
      <c r="S4327" s="1"/>
      <c r="T4327" s="1"/>
      <c r="U4327" s="1"/>
      <c r="V4327" s="1"/>
      <c r="W4327" s="1"/>
      <c r="X4327" s="1"/>
      <c r="Y4327" s="1"/>
      <c r="Z4327" s="1"/>
      <c r="AA4327" s="1"/>
      <c r="AB4327" s="1"/>
    </row>
    <row r="4328" ht="50.25" customHeight="1">
      <c r="A4328" s="12">
        <v>4324.0</v>
      </c>
      <c r="B4328" s="13" t="s">
        <v>3778</v>
      </c>
      <c r="C4328" s="14" t="s">
        <v>4346</v>
      </c>
      <c r="D4328" s="1"/>
      <c r="E4328" s="1"/>
      <c r="F4328" s="1" t="str">
        <f>IFERROR(__xludf.DUMMYFUNCTION("GOOGLETRANSLATE(B4328, ""en"", ""fa"")
"),"برنامه ریز عروسی")</f>
        <v>برنامه ریز عروسی</v>
      </c>
      <c r="G4328" s="1" t="str">
        <f>IFERROR(__xludf.DUMMYFUNCTION("GOOGLETRANSLATE(C4328, ""en"", ""fa"")
"),"چند راه برای ایجاد یک تصویر مثبت از بدن و احساس اطمینان نسبت به پوست خود چیست؟")</f>
        <v>چند راه برای ایجاد یک تصویر مثبت از بدن و احساس اطمینان نسبت به پوست خود چیست؟</v>
      </c>
      <c r="H4328" s="1"/>
      <c r="I4328" s="1"/>
      <c r="J4328" s="1"/>
      <c r="K4328" s="1"/>
      <c r="L4328" s="1"/>
      <c r="M4328" s="1"/>
      <c r="N4328" s="1"/>
      <c r="O4328" s="1"/>
      <c r="P4328" s="1"/>
      <c r="Q4328" s="1"/>
      <c r="R4328" s="1"/>
      <c r="S4328" s="1"/>
      <c r="T4328" s="1"/>
      <c r="U4328" s="1"/>
      <c r="V4328" s="1"/>
      <c r="W4328" s="1"/>
      <c r="X4328" s="1"/>
      <c r="Y4328" s="1"/>
      <c r="Z4328" s="1"/>
      <c r="AA4328" s="1"/>
      <c r="AB4328" s="1"/>
    </row>
    <row r="4329" ht="50.25" customHeight="1">
      <c r="A4329" s="12">
        <v>4325.0</v>
      </c>
      <c r="B4329" s="13" t="s">
        <v>3778</v>
      </c>
      <c r="C4329" s="14" t="s">
        <v>4347</v>
      </c>
      <c r="D4329" s="1"/>
      <c r="E4329" s="1"/>
      <c r="F4329" s="1" t="str">
        <f>IFERROR(__xludf.DUMMYFUNCTION("GOOGLETRANSLATE(B4329, ""en"", ""fa"")
"),"برنامه ریز عروسی")</f>
        <v>برنامه ریز عروسی</v>
      </c>
      <c r="G4329" s="1" t="str">
        <f>IFERROR(__xludf.DUMMYFUNCTION("GOOGLETRANSLATE(C4329, ""en"", ""fa"")
"),"چگونه می توانم بر شک و تردید خود غلبه کنم و در روند آشنایی بیشتر به خودم اعتماد کنم؟")</f>
        <v>چگونه می توانم بر شک و تردید خود غلبه کنم و در روند آشنایی بیشتر به خودم اعتماد کنم؟</v>
      </c>
      <c r="H4329" s="1"/>
      <c r="I4329" s="1"/>
      <c r="J4329" s="1"/>
      <c r="K4329" s="1"/>
      <c r="L4329" s="1"/>
      <c r="M4329" s="1"/>
      <c r="N4329" s="1"/>
      <c r="O4329" s="1"/>
      <c r="P4329" s="1"/>
      <c r="Q4329" s="1"/>
      <c r="R4329" s="1"/>
      <c r="S4329" s="1"/>
      <c r="T4329" s="1"/>
      <c r="U4329" s="1"/>
      <c r="V4329" s="1"/>
      <c r="W4329" s="1"/>
      <c r="X4329" s="1"/>
      <c r="Y4329" s="1"/>
      <c r="Z4329" s="1"/>
      <c r="AA4329" s="1"/>
      <c r="AB4329" s="1"/>
    </row>
    <row r="4330" ht="50.25" customHeight="1">
      <c r="A4330" s="12">
        <v>4326.0</v>
      </c>
      <c r="B4330" s="13" t="s">
        <v>3778</v>
      </c>
      <c r="C4330" s="14" t="s">
        <v>4348</v>
      </c>
      <c r="D4330" s="1"/>
      <c r="E4330" s="1"/>
      <c r="F4330" s="1" t="str">
        <f>IFERROR(__xludf.DUMMYFUNCTION("GOOGLETRANSLATE(B4330, ""en"", ""fa"")
"),"برنامه ریز عروسی")</f>
        <v>برنامه ریز عروسی</v>
      </c>
      <c r="G4330" s="1" t="str">
        <f>IFERROR(__xludf.DUMMYFUNCTION("GOOGLETRANSLATE(C4330, ""en"", ""fa"")
"),"چند استراتژی موثر برای تعیین مرزها و اولویت بندی نیازها و خواسته های خودم چیست؟")</f>
        <v>چند استراتژی موثر برای تعیین مرزها و اولویت بندی نیازها و خواسته های خودم چیست؟</v>
      </c>
      <c r="H4330" s="1"/>
      <c r="I4330" s="1"/>
      <c r="J4330" s="1"/>
      <c r="K4330" s="1"/>
      <c r="L4330" s="1"/>
      <c r="M4330" s="1"/>
      <c r="N4330" s="1"/>
      <c r="O4330" s="1"/>
      <c r="P4330" s="1"/>
      <c r="Q4330" s="1"/>
      <c r="R4330" s="1"/>
      <c r="S4330" s="1"/>
      <c r="T4330" s="1"/>
      <c r="U4330" s="1"/>
      <c r="V4330" s="1"/>
      <c r="W4330" s="1"/>
      <c r="X4330" s="1"/>
      <c r="Y4330" s="1"/>
      <c r="Z4330" s="1"/>
      <c r="AA4330" s="1"/>
      <c r="AB4330" s="1"/>
    </row>
    <row r="4331" ht="50.25" customHeight="1">
      <c r="A4331" s="12">
        <v>4327.0</v>
      </c>
      <c r="B4331" s="13" t="s">
        <v>3778</v>
      </c>
      <c r="C4331" s="14" t="s">
        <v>4349</v>
      </c>
      <c r="D4331" s="1"/>
      <c r="E4331" s="1"/>
      <c r="F4331" s="1" t="str">
        <f>IFERROR(__xludf.DUMMYFUNCTION("GOOGLETRANSLATE(B4331, ""en"", ""fa"")
"),"برنامه ریز عروسی")</f>
        <v>برنامه ریز عروسی</v>
      </c>
      <c r="G4331" s="1" t="str">
        <f>IFERROR(__xludf.DUMMYFUNCTION("GOOGLETRANSLATE(C4331, ""en"", ""fa"")
"),"چگونه می توانم انعطاف پذیری ایجاد کنم و با اعتماد به نفس از شکست های دوستیابی عقب نشینی کنم؟")</f>
        <v>چگونه می توانم انعطاف پذیری ایجاد کنم و با اعتماد به نفس از شکست های دوستیابی عقب نشینی کنم؟</v>
      </c>
      <c r="H4331" s="1"/>
      <c r="I4331" s="1"/>
      <c r="J4331" s="1"/>
      <c r="K4331" s="1"/>
      <c r="L4331" s="1"/>
      <c r="M4331" s="1"/>
      <c r="N4331" s="1"/>
      <c r="O4331" s="1"/>
      <c r="P4331" s="1"/>
      <c r="Q4331" s="1"/>
      <c r="R4331" s="1"/>
      <c r="S4331" s="1"/>
      <c r="T4331" s="1"/>
      <c r="U4331" s="1"/>
      <c r="V4331" s="1"/>
      <c r="W4331" s="1"/>
      <c r="X4331" s="1"/>
      <c r="Y4331" s="1"/>
      <c r="Z4331" s="1"/>
      <c r="AA4331" s="1"/>
      <c r="AB4331" s="1"/>
    </row>
    <row r="4332" ht="50.25" customHeight="1">
      <c r="A4332" s="12">
        <v>4328.0</v>
      </c>
      <c r="B4332" s="13" t="s">
        <v>3778</v>
      </c>
      <c r="C4332" s="14" t="s">
        <v>4350</v>
      </c>
      <c r="D4332" s="1"/>
      <c r="E4332" s="1"/>
      <c r="F4332" s="1" t="str">
        <f>IFERROR(__xludf.DUMMYFUNCTION("GOOGLETRANSLATE(B4332, ""en"", ""fa"")
"),"برنامه ریز عروسی")</f>
        <v>برنامه ریز عروسی</v>
      </c>
      <c r="G4332" s="1" t="str">
        <f>IFERROR(__xludf.DUMMYFUNCTION("GOOGLETRANSLATE(C4332, ""en"", ""fa"")
"),"چند تمرین یا فعالیت عملی که می تواند به من در ایجاد اعتماد به نفس کمک کند چیست؟")</f>
        <v>چند تمرین یا فعالیت عملی که می تواند به من در ایجاد اعتماد به نفس کمک کند چیست؟</v>
      </c>
      <c r="H4332" s="1"/>
      <c r="I4332" s="1"/>
      <c r="J4332" s="1"/>
      <c r="K4332" s="1"/>
      <c r="L4332" s="1"/>
      <c r="M4332" s="1"/>
      <c r="N4332" s="1"/>
      <c r="O4332" s="1"/>
      <c r="P4332" s="1"/>
      <c r="Q4332" s="1"/>
      <c r="R4332" s="1"/>
      <c r="S4332" s="1"/>
      <c r="T4332" s="1"/>
      <c r="U4332" s="1"/>
      <c r="V4332" s="1"/>
      <c r="W4332" s="1"/>
      <c r="X4332" s="1"/>
      <c r="Y4332" s="1"/>
      <c r="Z4332" s="1"/>
      <c r="AA4332" s="1"/>
      <c r="AB4332" s="1"/>
    </row>
    <row r="4333" ht="50.25" customHeight="1">
      <c r="A4333" s="12">
        <v>4329.0</v>
      </c>
      <c r="B4333" s="13" t="s">
        <v>3778</v>
      </c>
      <c r="C4333" s="14" t="s">
        <v>4351</v>
      </c>
      <c r="D4333" s="1"/>
      <c r="E4333" s="1"/>
      <c r="F4333" s="1" t="str">
        <f>IFERROR(__xludf.DUMMYFUNCTION("GOOGLETRANSLATE(B4333, ""en"", ""fa"")
"),"برنامه ریز عروسی")</f>
        <v>برنامه ریز عروسی</v>
      </c>
      <c r="G4333" s="1" t="str">
        <f>IFERROR(__xludf.DUMMYFUNCTION("GOOGLETRANSLATE(C4333, ""en"", ""fa"")
"),"چگونه می توانم احساس قوی از خود داشته باشم و ارزش خود را در دنیای دوستیابی بدانم؟")</f>
        <v>چگونه می توانم احساس قوی از خود داشته باشم و ارزش خود را در دنیای دوستیابی بدانم؟</v>
      </c>
      <c r="H4333" s="1"/>
      <c r="I4333" s="1"/>
      <c r="J4333" s="1"/>
      <c r="K4333" s="1"/>
      <c r="L4333" s="1"/>
      <c r="M4333" s="1"/>
      <c r="N4333" s="1"/>
      <c r="O4333" s="1"/>
      <c r="P4333" s="1"/>
      <c r="Q4333" s="1"/>
      <c r="R4333" s="1"/>
      <c r="S4333" s="1"/>
      <c r="T4333" s="1"/>
      <c r="U4333" s="1"/>
      <c r="V4333" s="1"/>
      <c r="W4333" s="1"/>
      <c r="X4333" s="1"/>
      <c r="Y4333" s="1"/>
      <c r="Z4333" s="1"/>
      <c r="AA4333" s="1"/>
      <c r="AB4333" s="1"/>
    </row>
    <row r="4334" ht="50.25" customHeight="1">
      <c r="A4334" s="12">
        <v>4330.0</v>
      </c>
      <c r="B4334" s="13" t="s">
        <v>3778</v>
      </c>
      <c r="C4334" s="14" t="s">
        <v>4352</v>
      </c>
      <c r="D4334" s="1"/>
      <c r="E4334" s="1"/>
      <c r="F4334" s="1" t="str">
        <f>IFERROR(__xludf.DUMMYFUNCTION("GOOGLETRANSLATE(B4334, ""en"", ""fa"")
"),"برنامه ریز عروسی")</f>
        <v>برنامه ریز عروسی</v>
      </c>
      <c r="G4334" s="1" t="str">
        <f>IFERROR(__xludf.DUMMYFUNCTION("GOOGLETRANSLATE(C4334, ""en"", ""fa"")
"),"چند تکنیک برای تمرین شفقت به خود و مهربان تر بودن با خودم چیست؟")</f>
        <v>چند تکنیک برای تمرین شفقت به خود و مهربان تر بودن با خودم چیست؟</v>
      </c>
      <c r="H4334" s="1"/>
      <c r="I4334" s="1"/>
      <c r="J4334" s="1"/>
      <c r="K4334" s="1"/>
      <c r="L4334" s="1"/>
      <c r="M4334" s="1"/>
      <c r="N4334" s="1"/>
      <c r="O4334" s="1"/>
      <c r="P4334" s="1"/>
      <c r="Q4334" s="1"/>
      <c r="R4334" s="1"/>
      <c r="S4334" s="1"/>
      <c r="T4334" s="1"/>
      <c r="U4334" s="1"/>
      <c r="V4334" s="1"/>
      <c r="W4334" s="1"/>
      <c r="X4334" s="1"/>
      <c r="Y4334" s="1"/>
      <c r="Z4334" s="1"/>
      <c r="AA4334" s="1"/>
      <c r="AB4334" s="1"/>
    </row>
    <row r="4335" ht="50.25" customHeight="1">
      <c r="A4335" s="12">
        <v>4331.0</v>
      </c>
      <c r="B4335" s="13" t="s">
        <v>3778</v>
      </c>
      <c r="C4335" s="14" t="s">
        <v>4353</v>
      </c>
      <c r="D4335" s="1"/>
      <c r="E4335" s="1"/>
      <c r="F4335" s="1" t="str">
        <f>IFERROR(__xludf.DUMMYFUNCTION("GOOGLETRANSLATE(B4335, ""en"", ""fa"")
"),"برنامه ریز عروسی")</f>
        <v>برنامه ریز عروسی</v>
      </c>
      <c r="G4335" s="1" t="str">
        <f>IFERROR(__xludf.DUMMYFUNCTION("GOOGLETRANSLATE(C4335, ""en"", ""fa"")
"),"چگونه می توانم از جملات تاکیدی و تجسم مثبت برای تقویت اعتماد به نفس خود در قرار ملاقات استفاده کنم؟")</f>
        <v>چگونه می توانم از جملات تاکیدی و تجسم مثبت برای تقویت اعتماد به نفس خود در قرار ملاقات استفاده کنم؟</v>
      </c>
      <c r="H4335" s="1"/>
      <c r="I4335" s="1"/>
      <c r="J4335" s="1"/>
      <c r="K4335" s="1"/>
      <c r="L4335" s="1"/>
      <c r="M4335" s="1"/>
      <c r="N4335" s="1"/>
      <c r="O4335" s="1"/>
      <c r="P4335" s="1"/>
      <c r="Q4335" s="1"/>
      <c r="R4335" s="1"/>
      <c r="S4335" s="1"/>
      <c r="T4335" s="1"/>
      <c r="U4335" s="1"/>
      <c r="V4335" s="1"/>
      <c r="W4335" s="1"/>
      <c r="X4335" s="1"/>
      <c r="Y4335" s="1"/>
      <c r="Z4335" s="1"/>
      <c r="AA4335" s="1"/>
      <c r="AB4335" s="1"/>
    </row>
    <row r="4336" ht="50.25" customHeight="1">
      <c r="A4336" s="12">
        <v>4332.0</v>
      </c>
      <c r="B4336" s="13" t="s">
        <v>3778</v>
      </c>
      <c r="C4336" s="14" t="s">
        <v>4354</v>
      </c>
      <c r="D4336" s="1"/>
      <c r="E4336" s="1"/>
      <c r="F4336" s="1" t="str">
        <f>IFERROR(__xludf.DUMMYFUNCTION("GOOGLETRANSLATE(B4336, ""en"", ""fa"")
"),"برنامه ریز عروسی")</f>
        <v>برنامه ریز عروسی</v>
      </c>
      <c r="G4336" s="1" t="str">
        <f>IFERROR(__xludf.DUMMYFUNCTION("GOOGLETRANSLATE(C4336, ""en"", ""fa"")
"),"چند راه برای ایجاد اعتماد به نفس در شروع و حفظ مکالمات با موارد مشابه چیست؟")</f>
        <v>چند راه برای ایجاد اعتماد به نفس در شروع و حفظ مکالمات با موارد مشابه چیست؟</v>
      </c>
      <c r="H4336" s="1"/>
      <c r="I4336" s="1"/>
      <c r="J4336" s="1"/>
      <c r="K4336" s="1"/>
      <c r="L4336" s="1"/>
      <c r="M4336" s="1"/>
      <c r="N4336" s="1"/>
      <c r="O4336" s="1"/>
      <c r="P4336" s="1"/>
      <c r="Q4336" s="1"/>
      <c r="R4336" s="1"/>
      <c r="S4336" s="1"/>
      <c r="T4336" s="1"/>
      <c r="U4336" s="1"/>
      <c r="V4336" s="1"/>
      <c r="W4336" s="1"/>
      <c r="X4336" s="1"/>
      <c r="Y4336" s="1"/>
      <c r="Z4336" s="1"/>
      <c r="AA4336" s="1"/>
      <c r="AB4336" s="1"/>
    </row>
    <row r="4337" ht="50.25" customHeight="1">
      <c r="A4337" s="12">
        <v>4333.0</v>
      </c>
      <c r="B4337" s="13" t="s">
        <v>3778</v>
      </c>
      <c r="C4337" s="14" t="s">
        <v>4355</v>
      </c>
      <c r="D4337" s="1"/>
      <c r="E4337" s="1"/>
      <c r="F4337" s="1" t="str">
        <f>IFERROR(__xludf.DUMMYFUNCTION("GOOGLETRANSLATE(B4337, ""en"", ""fa"")
"),"برنامه ریز عروسی")</f>
        <v>برنامه ریز عروسی</v>
      </c>
      <c r="G4337" s="1" t="str">
        <f>IFERROR(__xludf.DUMMYFUNCTION("GOOGLETRANSLATE(C4337, ""en"", ""fa"")
"),"چگونه می توانم بر اضطراب اجتماعی غلبه کنم و در موقعیت های قرار ملاقات احساس راحتی بیشتری داشته باشم؟")</f>
        <v>چگونه می توانم بر اضطراب اجتماعی غلبه کنم و در موقعیت های قرار ملاقات احساس راحتی بیشتری داشته باشم؟</v>
      </c>
      <c r="H4337" s="1"/>
      <c r="I4337" s="1"/>
      <c r="J4337" s="1"/>
      <c r="K4337" s="1"/>
      <c r="L4337" s="1"/>
      <c r="M4337" s="1"/>
      <c r="N4337" s="1"/>
      <c r="O4337" s="1"/>
      <c r="P4337" s="1"/>
      <c r="Q4337" s="1"/>
      <c r="R4337" s="1"/>
      <c r="S4337" s="1"/>
      <c r="T4337" s="1"/>
      <c r="U4337" s="1"/>
      <c r="V4337" s="1"/>
      <c r="W4337" s="1"/>
      <c r="X4337" s="1"/>
      <c r="Y4337" s="1"/>
      <c r="Z4337" s="1"/>
      <c r="AA4337" s="1"/>
      <c r="AB4337" s="1"/>
    </row>
    <row r="4338" ht="50.25" customHeight="1">
      <c r="A4338" s="12">
        <v>4334.0</v>
      </c>
      <c r="B4338" s="13" t="s">
        <v>3778</v>
      </c>
      <c r="C4338" s="14" t="s">
        <v>4356</v>
      </c>
      <c r="D4338" s="1"/>
      <c r="E4338" s="1"/>
      <c r="F4338" s="1" t="str">
        <f>IFERROR(__xludf.DUMMYFUNCTION("GOOGLETRANSLATE(B4338, ""en"", ""fa"")
"),"برنامه ریز عروسی")</f>
        <v>برنامه ریز عروسی</v>
      </c>
      <c r="G4338" s="1" t="str">
        <f>IFERROR(__xludf.DUMMYFUNCTION("GOOGLETRANSLATE(C4338, ""en"", ""fa"")
"),"چه مهارت های ارتباطی موثری وجود دارد که می توانم آن را ایجاد کنم تا در بیان خود احساس اطمینان بیشتری کنم؟")</f>
        <v>چه مهارت های ارتباطی موثری وجود دارد که می توانم آن را ایجاد کنم تا در بیان خود احساس اطمینان بیشتری کنم؟</v>
      </c>
      <c r="H4338" s="1"/>
      <c r="I4338" s="1"/>
      <c r="J4338" s="1"/>
      <c r="K4338" s="1"/>
      <c r="L4338" s="1"/>
      <c r="M4338" s="1"/>
      <c r="N4338" s="1"/>
      <c r="O4338" s="1"/>
      <c r="P4338" s="1"/>
      <c r="Q4338" s="1"/>
      <c r="R4338" s="1"/>
      <c r="S4338" s="1"/>
      <c r="T4338" s="1"/>
      <c r="U4338" s="1"/>
      <c r="V4338" s="1"/>
      <c r="W4338" s="1"/>
      <c r="X4338" s="1"/>
      <c r="Y4338" s="1"/>
      <c r="Z4338" s="1"/>
      <c r="AA4338" s="1"/>
      <c r="AB4338" s="1"/>
    </row>
    <row r="4339" ht="50.25" customHeight="1">
      <c r="A4339" s="12">
        <v>4335.0</v>
      </c>
      <c r="B4339" s="13" t="s">
        <v>3778</v>
      </c>
      <c r="C4339" s="14" t="s">
        <v>4357</v>
      </c>
      <c r="D4339" s="1"/>
      <c r="E4339" s="1"/>
      <c r="F4339" s="1" t="str">
        <f>IFERROR(__xludf.DUMMYFUNCTION("GOOGLETRANSLATE(B4339, ""en"", ""fa"")
"),"برنامه ریز عروسی")</f>
        <v>برنامه ریز عروسی</v>
      </c>
      <c r="G4339" s="1" t="str">
        <f>IFERROR(__xludf.DUMMYFUNCTION("GOOGLETRANSLATE(C4339, ""en"", ""fa"")
"),"چگونه می توانم در تعیین و دستیابی به اهداف شخصی در زندگی دوستی خود اعتماد به نفس ایجاد کنم؟")</f>
        <v>چگونه می توانم در تعیین و دستیابی به اهداف شخصی در زندگی دوستی خود اعتماد به نفس ایجاد کنم؟</v>
      </c>
      <c r="H4339" s="1"/>
      <c r="I4339" s="1"/>
      <c r="J4339" s="1"/>
      <c r="K4339" s="1"/>
      <c r="L4339" s="1"/>
      <c r="M4339" s="1"/>
      <c r="N4339" s="1"/>
      <c r="O4339" s="1"/>
      <c r="P4339" s="1"/>
      <c r="Q4339" s="1"/>
      <c r="R4339" s="1"/>
      <c r="S4339" s="1"/>
      <c r="T4339" s="1"/>
      <c r="U4339" s="1"/>
      <c r="V4339" s="1"/>
      <c r="W4339" s="1"/>
      <c r="X4339" s="1"/>
      <c r="Y4339" s="1"/>
      <c r="Z4339" s="1"/>
      <c r="AA4339" s="1"/>
      <c r="AB4339" s="1"/>
    </row>
    <row r="4340" ht="50.25" customHeight="1">
      <c r="A4340" s="12">
        <v>4336.0</v>
      </c>
      <c r="B4340" s="13" t="s">
        <v>3778</v>
      </c>
      <c r="C4340" s="14" t="s">
        <v>4358</v>
      </c>
      <c r="D4340" s="1"/>
      <c r="E4340" s="1"/>
      <c r="F4340" s="1" t="str">
        <f>IFERROR(__xludf.DUMMYFUNCTION("GOOGLETRANSLATE(B4340, ""en"", ""fa"")
"),"برنامه ریز عروسی")</f>
        <v>برنامه ریز عروسی</v>
      </c>
      <c r="G4340" s="1" t="str">
        <f>IFERROR(__xludf.DUMMYFUNCTION("GOOGLETRANSLATE(C4340, ""en"", ""fa"")
"),"چند راهبرد برای رسیدگی به طرد شدن و حفظ عزت نفس من چیست؟")</f>
        <v>چند راهبرد برای رسیدگی به طرد شدن و حفظ عزت نفس من چیست؟</v>
      </c>
      <c r="H4340" s="1"/>
      <c r="I4340" s="1"/>
      <c r="J4340" s="1"/>
      <c r="K4340" s="1"/>
      <c r="L4340" s="1"/>
      <c r="M4340" s="1"/>
      <c r="N4340" s="1"/>
      <c r="O4340" s="1"/>
      <c r="P4340" s="1"/>
      <c r="Q4340" s="1"/>
      <c r="R4340" s="1"/>
      <c r="S4340" s="1"/>
      <c r="T4340" s="1"/>
      <c r="U4340" s="1"/>
      <c r="V4340" s="1"/>
      <c r="W4340" s="1"/>
      <c r="X4340" s="1"/>
      <c r="Y4340" s="1"/>
      <c r="Z4340" s="1"/>
      <c r="AA4340" s="1"/>
      <c r="AB4340" s="1"/>
    </row>
    <row r="4341" ht="50.25" customHeight="1">
      <c r="A4341" s="12">
        <v>4337.0</v>
      </c>
      <c r="B4341" s="13" t="s">
        <v>3778</v>
      </c>
      <c r="C4341" s="14" t="s">
        <v>4359</v>
      </c>
      <c r="D4341" s="1"/>
      <c r="E4341" s="1"/>
      <c r="F4341" s="1" t="str">
        <f>IFERROR(__xludf.DUMMYFUNCTION("GOOGLETRANSLATE(B4341, ""en"", ""fa"")
"),"برنامه ریز عروسی")</f>
        <v>برنامه ریز عروسی</v>
      </c>
      <c r="G4341" s="1" t="str">
        <f>IFERROR(__xludf.DUMMYFUNCTION("GOOGLETRANSLATE(C4341, ""en"", ""fa"")
"),"چگونه می توانم ذهنیت رشد را پرورش دهم و چالش های دوستیابی را فرصت هایی برای پیشرفت شخصی بدانم؟")</f>
        <v>چگونه می توانم ذهنیت رشد را پرورش دهم و چالش های دوستیابی را فرصت هایی برای پیشرفت شخصی بدانم؟</v>
      </c>
      <c r="H4341" s="1"/>
      <c r="I4341" s="1"/>
      <c r="J4341" s="1"/>
      <c r="K4341" s="1"/>
      <c r="L4341" s="1"/>
      <c r="M4341" s="1"/>
      <c r="N4341" s="1"/>
      <c r="O4341" s="1"/>
      <c r="P4341" s="1"/>
      <c r="Q4341" s="1"/>
      <c r="R4341" s="1"/>
      <c r="S4341" s="1"/>
      <c r="T4341" s="1"/>
      <c r="U4341" s="1"/>
      <c r="V4341" s="1"/>
      <c r="W4341" s="1"/>
      <c r="X4341" s="1"/>
      <c r="Y4341" s="1"/>
      <c r="Z4341" s="1"/>
      <c r="AA4341" s="1"/>
      <c r="AB4341" s="1"/>
    </row>
    <row r="4342" ht="50.25" customHeight="1">
      <c r="A4342" s="12">
        <v>4338.0</v>
      </c>
      <c r="B4342" s="13" t="s">
        <v>3778</v>
      </c>
      <c r="C4342" s="14" t="s">
        <v>4360</v>
      </c>
      <c r="D4342" s="1"/>
      <c r="E4342" s="1"/>
      <c r="F4342" s="1" t="str">
        <f>IFERROR(__xludf.DUMMYFUNCTION("GOOGLETRANSLATE(B4342, ""en"", ""fa"")
"),"برنامه ریز عروسی")</f>
        <v>برنامه ریز عروسی</v>
      </c>
      <c r="G4342" s="1" t="str">
        <f>IFERROR(__xludf.DUMMYFUNCTION("GOOGLETRANSLATE(C4342, ""en"", ""fa"")
"),"چند راه برای ایجاد اعتماد به نفس در پیمایش پلتفرم ها و برنامه های دوستیابی آنلاین چیست؟")</f>
        <v>چند راه برای ایجاد اعتماد به نفس در پیمایش پلتفرم ها و برنامه های دوستیابی آنلاین چیست؟</v>
      </c>
      <c r="H4342" s="1"/>
      <c r="I4342" s="1"/>
      <c r="J4342" s="1"/>
      <c r="K4342" s="1"/>
      <c r="L4342" s="1"/>
      <c r="M4342" s="1"/>
      <c r="N4342" s="1"/>
      <c r="O4342" s="1"/>
      <c r="P4342" s="1"/>
      <c r="Q4342" s="1"/>
      <c r="R4342" s="1"/>
      <c r="S4342" s="1"/>
      <c r="T4342" s="1"/>
      <c r="U4342" s="1"/>
      <c r="V4342" s="1"/>
      <c r="W4342" s="1"/>
      <c r="X4342" s="1"/>
      <c r="Y4342" s="1"/>
      <c r="Z4342" s="1"/>
      <c r="AA4342" s="1"/>
      <c r="AB4342" s="1"/>
    </row>
    <row r="4343" ht="50.25" customHeight="1">
      <c r="A4343" s="12">
        <v>4339.0</v>
      </c>
      <c r="B4343" s="13" t="s">
        <v>3778</v>
      </c>
      <c r="C4343" s="14" t="s">
        <v>4361</v>
      </c>
      <c r="D4343" s="1"/>
      <c r="E4343" s="1"/>
      <c r="F4343" s="1" t="str">
        <f>IFERROR(__xludf.DUMMYFUNCTION("GOOGLETRANSLATE(B4343, ""en"", ""fa"")
"),"برنامه ریز عروسی")</f>
        <v>برنامه ریز عروسی</v>
      </c>
      <c r="G4343" s="1" t="str">
        <f>IFERROR(__xludf.DUMMYFUNCTION("GOOGLETRANSLATE(C4343, ""en"", ""fa"")
"),"چگونه می توانم در اولین حرکت و برقراری ارتباط با کسی که به او علاقه دارم اعتماد به نفس ایجاد کنم؟")</f>
        <v>چگونه می توانم در اولین حرکت و برقراری ارتباط با کسی که به او علاقه دارم اعتماد به نفس ایجاد کنم؟</v>
      </c>
      <c r="H4343" s="1"/>
      <c r="I4343" s="1"/>
      <c r="J4343" s="1"/>
      <c r="K4343" s="1"/>
      <c r="L4343" s="1"/>
      <c r="M4343" s="1"/>
      <c r="N4343" s="1"/>
      <c r="O4343" s="1"/>
      <c r="P4343" s="1"/>
      <c r="Q4343" s="1"/>
      <c r="R4343" s="1"/>
      <c r="S4343" s="1"/>
      <c r="T4343" s="1"/>
      <c r="U4343" s="1"/>
      <c r="V4343" s="1"/>
      <c r="W4343" s="1"/>
      <c r="X4343" s="1"/>
      <c r="Y4343" s="1"/>
      <c r="Z4343" s="1"/>
      <c r="AA4343" s="1"/>
      <c r="AB4343" s="1"/>
    </row>
    <row r="4344" ht="50.25" customHeight="1">
      <c r="A4344" s="12">
        <v>4340.0</v>
      </c>
      <c r="B4344" s="13" t="s">
        <v>3778</v>
      </c>
      <c r="C4344" s="14" t="s">
        <v>4362</v>
      </c>
      <c r="D4344" s="1"/>
      <c r="E4344" s="1"/>
      <c r="F4344" s="1" t="str">
        <f>IFERROR(__xludf.DUMMYFUNCTION("GOOGLETRANSLATE(B4344, ""en"", ""fa"")
"),"برنامه ریز عروسی")</f>
        <v>برنامه ریز عروسی</v>
      </c>
      <c r="G4344" s="1" t="str">
        <f>IFERROR(__xludf.DUMMYFUNCTION("GOOGLETRANSLATE(C4344, ""en"", ""fa"")
"),"چند تکنیک برای ایجاد اعتماد به نفس در معاشقه و ایجاد ارتباط با مسابقات احتمالی چیست؟")</f>
        <v>چند تکنیک برای ایجاد اعتماد به نفس در معاشقه و ایجاد ارتباط با مسابقات احتمالی چیست؟</v>
      </c>
      <c r="H4344" s="1"/>
      <c r="I4344" s="1"/>
      <c r="J4344" s="1"/>
      <c r="K4344" s="1"/>
      <c r="L4344" s="1"/>
      <c r="M4344" s="1"/>
      <c r="N4344" s="1"/>
      <c r="O4344" s="1"/>
      <c r="P4344" s="1"/>
      <c r="Q4344" s="1"/>
      <c r="R4344" s="1"/>
      <c r="S4344" s="1"/>
      <c r="T4344" s="1"/>
      <c r="U4344" s="1"/>
      <c r="V4344" s="1"/>
      <c r="W4344" s="1"/>
      <c r="X4344" s="1"/>
      <c r="Y4344" s="1"/>
      <c r="Z4344" s="1"/>
      <c r="AA4344" s="1"/>
      <c r="AB4344" s="1"/>
    </row>
    <row r="4345" ht="50.25" customHeight="1">
      <c r="A4345" s="12">
        <v>4341.0</v>
      </c>
      <c r="B4345" s="13" t="s">
        <v>3778</v>
      </c>
      <c r="C4345" s="14" t="s">
        <v>4363</v>
      </c>
      <c r="D4345" s="1"/>
      <c r="E4345" s="1"/>
      <c r="F4345" s="1" t="str">
        <f>IFERROR(__xludf.DUMMYFUNCTION("GOOGLETRANSLATE(B4345, ""en"", ""fa"")
"),"برنامه ریز عروسی")</f>
        <v>برنامه ریز عروسی</v>
      </c>
      <c r="G4345" s="1" t="str">
        <f>IFERROR(__xludf.DUMMYFUNCTION("GOOGLETRANSLATE(C4345, ""en"", ""fa"")
"),"چگونه می توانم قاطعیت را توسعه دهم و برای نیازها و مرزهایم با اعتماد به نفس صحبت کنم؟")</f>
        <v>چگونه می توانم قاطعیت را توسعه دهم و برای نیازها و مرزهایم با اعتماد به نفس صحبت کنم؟</v>
      </c>
      <c r="H4345" s="1"/>
      <c r="I4345" s="1"/>
      <c r="J4345" s="1"/>
      <c r="K4345" s="1"/>
      <c r="L4345" s="1"/>
      <c r="M4345" s="1"/>
      <c r="N4345" s="1"/>
      <c r="O4345" s="1"/>
      <c r="P4345" s="1"/>
      <c r="Q4345" s="1"/>
      <c r="R4345" s="1"/>
      <c r="S4345" s="1"/>
      <c r="T4345" s="1"/>
      <c r="U4345" s="1"/>
      <c r="V4345" s="1"/>
      <c r="W4345" s="1"/>
      <c r="X4345" s="1"/>
      <c r="Y4345" s="1"/>
      <c r="Z4345" s="1"/>
      <c r="AA4345" s="1"/>
      <c r="AB4345" s="1"/>
    </row>
    <row r="4346" ht="50.25" customHeight="1">
      <c r="A4346" s="12">
        <v>4342.0</v>
      </c>
      <c r="B4346" s="13" t="s">
        <v>3778</v>
      </c>
      <c r="C4346" s="14" t="s">
        <v>4364</v>
      </c>
      <c r="D4346" s="1"/>
      <c r="E4346" s="1"/>
      <c r="F4346" s="1" t="str">
        <f>IFERROR(__xludf.DUMMYFUNCTION("GOOGLETRANSLATE(B4346, ""en"", ""fa"")
"),"برنامه ریز عروسی")</f>
        <v>برنامه ریز عروسی</v>
      </c>
      <c r="G4346" s="1" t="str">
        <f>IFERROR(__xludf.DUMMYFUNCTION("GOOGLETRANSLATE(C4346, ""en"", ""fa"")
"),"چند راه برای ایجاد اعتماد به نفس در برنامه ریزی و سازماندهی تاریخ های به یاد ماندنی چیست؟")</f>
        <v>چند راه برای ایجاد اعتماد به نفس در برنامه ریزی و سازماندهی تاریخ های به یاد ماندنی چیست؟</v>
      </c>
      <c r="H4346" s="1"/>
      <c r="I4346" s="1"/>
      <c r="J4346" s="1"/>
      <c r="K4346" s="1"/>
      <c r="L4346" s="1"/>
      <c r="M4346" s="1"/>
      <c r="N4346" s="1"/>
      <c r="O4346" s="1"/>
      <c r="P4346" s="1"/>
      <c r="Q4346" s="1"/>
      <c r="R4346" s="1"/>
      <c r="S4346" s="1"/>
      <c r="T4346" s="1"/>
      <c r="U4346" s="1"/>
      <c r="V4346" s="1"/>
      <c r="W4346" s="1"/>
      <c r="X4346" s="1"/>
      <c r="Y4346" s="1"/>
      <c r="Z4346" s="1"/>
      <c r="AA4346" s="1"/>
      <c r="AB4346" s="1"/>
    </row>
    <row r="4347" ht="50.25" customHeight="1">
      <c r="A4347" s="12">
        <v>4343.0</v>
      </c>
      <c r="B4347" s="13" t="s">
        <v>3778</v>
      </c>
      <c r="C4347" s="14" t="s">
        <v>4365</v>
      </c>
      <c r="D4347" s="1"/>
      <c r="E4347" s="1"/>
      <c r="F4347" s="1" t="str">
        <f>IFERROR(__xludf.DUMMYFUNCTION("GOOGLETRANSLATE(B4347, ""en"", ""fa"")
"),"برنامه ریز عروسی")</f>
        <v>برنامه ریز عروسی</v>
      </c>
      <c r="G4347" s="1" t="str">
        <f>IFERROR(__xludf.DUMMYFUNCTION("GOOGLETRANSLATE(C4347, ""en"", ""fa"")
"),"چگونه می توانم در توانایی خود برای مدیریت درگیری های دوستیابی و انتقال موثر احساساتم اعتماد به نفس ایجاد کنم؟")</f>
        <v>چگونه می توانم در توانایی خود برای مدیریت درگیری های دوستیابی و انتقال موثر احساساتم اعتماد به نفس ایجاد کنم؟</v>
      </c>
      <c r="H4347" s="1"/>
      <c r="I4347" s="1"/>
      <c r="J4347" s="1"/>
      <c r="K4347" s="1"/>
      <c r="L4347" s="1"/>
      <c r="M4347" s="1"/>
      <c r="N4347" s="1"/>
      <c r="O4347" s="1"/>
      <c r="P4347" s="1"/>
      <c r="Q4347" s="1"/>
      <c r="R4347" s="1"/>
      <c r="S4347" s="1"/>
      <c r="T4347" s="1"/>
      <c r="U4347" s="1"/>
      <c r="V4347" s="1"/>
      <c r="W4347" s="1"/>
      <c r="X4347" s="1"/>
      <c r="Y4347" s="1"/>
      <c r="Z4347" s="1"/>
      <c r="AA4347" s="1"/>
      <c r="AB4347" s="1"/>
    </row>
    <row r="4348" ht="50.25" customHeight="1">
      <c r="A4348" s="12">
        <v>4344.0</v>
      </c>
      <c r="B4348" s="13" t="s">
        <v>3778</v>
      </c>
      <c r="C4348" s="14" t="s">
        <v>4366</v>
      </c>
      <c r="D4348" s="1"/>
      <c r="E4348" s="1"/>
      <c r="F4348" s="1" t="str">
        <f>IFERROR(__xludf.DUMMYFUNCTION("GOOGLETRANSLATE(B4348, ""en"", ""fa"")
"),"برنامه ریز عروسی")</f>
        <v>برنامه ریز عروسی</v>
      </c>
      <c r="G4348" s="1" t="str">
        <f>IFERROR(__xludf.DUMMYFUNCTION("GOOGLETRANSLATE(C4348, ""en"", ""fa"")
"),"چند تکنیک برای ایجاد اعتماد به نفس در پذیرش آسیب پذیری و صمیمیت در روابط چیست؟")</f>
        <v>چند تکنیک برای ایجاد اعتماد به نفس در پذیرش آسیب پذیری و صمیمیت در روابط چیست؟</v>
      </c>
      <c r="H4348" s="1"/>
      <c r="I4348" s="1"/>
      <c r="J4348" s="1"/>
      <c r="K4348" s="1"/>
      <c r="L4348" s="1"/>
      <c r="M4348" s="1"/>
      <c r="N4348" s="1"/>
      <c r="O4348" s="1"/>
      <c r="P4348" s="1"/>
      <c r="Q4348" s="1"/>
      <c r="R4348" s="1"/>
      <c r="S4348" s="1"/>
      <c r="T4348" s="1"/>
      <c r="U4348" s="1"/>
      <c r="V4348" s="1"/>
      <c r="W4348" s="1"/>
      <c r="X4348" s="1"/>
      <c r="Y4348" s="1"/>
      <c r="Z4348" s="1"/>
      <c r="AA4348" s="1"/>
      <c r="AB4348" s="1"/>
    </row>
    <row r="4349" ht="50.25" customHeight="1">
      <c r="A4349" s="12">
        <v>4345.0</v>
      </c>
      <c r="B4349" s="13" t="s">
        <v>3778</v>
      </c>
      <c r="C4349" s="14" t="s">
        <v>4367</v>
      </c>
      <c r="D4349" s="1"/>
      <c r="E4349" s="1"/>
      <c r="F4349" s="1" t="str">
        <f>IFERROR(__xludf.DUMMYFUNCTION("GOOGLETRANSLATE(B4349, ""en"", ""fa"")
"),"برنامه ریز عروسی")</f>
        <v>برنامه ریز عروسی</v>
      </c>
      <c r="G4349" s="1" t="str">
        <f>IFERROR(__xludf.DUMMYFUNCTION("GOOGLETRANSLATE(C4349, ""en"", ""fa"")
"),"چگونه می توانم در پیمایش سناریوهای دوستیابی فرهنگی و نژادی اعتماد به نفس داشته باشم؟")</f>
        <v>چگونه می توانم در پیمایش سناریوهای دوستیابی فرهنگی و نژادی اعتماد به نفس داشته باشم؟</v>
      </c>
      <c r="H4349" s="1"/>
      <c r="I4349" s="1"/>
      <c r="J4349" s="1"/>
      <c r="K4349" s="1"/>
      <c r="L4349" s="1"/>
      <c r="M4349" s="1"/>
      <c r="N4349" s="1"/>
      <c r="O4349" s="1"/>
      <c r="P4349" s="1"/>
      <c r="Q4349" s="1"/>
      <c r="R4349" s="1"/>
      <c r="S4349" s="1"/>
      <c r="T4349" s="1"/>
      <c r="U4349" s="1"/>
      <c r="V4349" s="1"/>
      <c r="W4349" s="1"/>
      <c r="X4349" s="1"/>
      <c r="Y4349" s="1"/>
      <c r="Z4349" s="1"/>
      <c r="AA4349" s="1"/>
      <c r="AB4349" s="1"/>
    </row>
    <row r="4350" ht="50.25" customHeight="1">
      <c r="A4350" s="12">
        <v>4346.0</v>
      </c>
      <c r="B4350" s="13" t="s">
        <v>3778</v>
      </c>
      <c r="C4350" s="14" t="s">
        <v>4368</v>
      </c>
      <c r="D4350" s="1"/>
      <c r="E4350" s="1"/>
      <c r="F4350" s="1" t="str">
        <f>IFERROR(__xludf.DUMMYFUNCTION("GOOGLETRANSLATE(B4350, ""en"", ""fa"")
"),"برنامه ریز عروسی")</f>
        <v>برنامه ریز عروسی</v>
      </c>
      <c r="G4350" s="1" t="str">
        <f>IFERROR(__xludf.DUMMYFUNCTION("GOOGLETRANSLATE(C4350, ""en"", ""fa"")
"),"چند استراتژی برای ایجاد اعتماد به نفس در حفظ تعادل سالم بین تعاملات آنلاین و آفلاین چیست؟")</f>
        <v>چند استراتژی برای ایجاد اعتماد به نفس در حفظ تعادل سالم بین تعاملات آنلاین و آفلاین چیست؟</v>
      </c>
      <c r="H4350" s="1"/>
      <c r="I4350" s="1"/>
      <c r="J4350" s="1"/>
      <c r="K4350" s="1"/>
      <c r="L4350" s="1"/>
      <c r="M4350" s="1"/>
      <c r="N4350" s="1"/>
      <c r="O4350" s="1"/>
      <c r="P4350" s="1"/>
      <c r="Q4350" s="1"/>
      <c r="R4350" s="1"/>
      <c r="S4350" s="1"/>
      <c r="T4350" s="1"/>
      <c r="U4350" s="1"/>
      <c r="V4350" s="1"/>
      <c r="W4350" s="1"/>
      <c r="X4350" s="1"/>
      <c r="Y4350" s="1"/>
      <c r="Z4350" s="1"/>
      <c r="AA4350" s="1"/>
      <c r="AB4350" s="1"/>
    </row>
    <row r="4351" ht="50.25" customHeight="1">
      <c r="A4351" s="12">
        <v>4347.0</v>
      </c>
      <c r="B4351" s="13" t="s">
        <v>3778</v>
      </c>
      <c r="C4351" s="14" t="s">
        <v>4369</v>
      </c>
      <c r="D4351" s="1"/>
      <c r="E4351" s="1"/>
      <c r="F4351" s="1" t="str">
        <f>IFERROR(__xludf.DUMMYFUNCTION("GOOGLETRANSLATE(B4351, ""en"", ""fa"")
"),"برنامه ریز عروسی")</f>
        <v>برنامه ریز عروسی</v>
      </c>
      <c r="G4351" s="1" t="str">
        <f>IFERROR(__xludf.DUMMYFUNCTION("GOOGLETRANSLATE(C4351, ""en"", ""fa"")
"),"چگونه می توانم بر خستگی دوستیابی غلبه کنم و با نگرش مثبت انگیزه خود را حفظ کنم؟")</f>
        <v>چگونه می توانم بر خستگی دوستیابی غلبه کنم و با نگرش مثبت انگیزه خود را حفظ کنم؟</v>
      </c>
      <c r="H4351" s="1"/>
      <c r="I4351" s="1"/>
      <c r="J4351" s="1"/>
      <c r="K4351" s="1"/>
      <c r="L4351" s="1"/>
      <c r="M4351" s="1"/>
      <c r="N4351" s="1"/>
      <c r="O4351" s="1"/>
      <c r="P4351" s="1"/>
      <c r="Q4351" s="1"/>
      <c r="R4351" s="1"/>
      <c r="S4351" s="1"/>
      <c r="T4351" s="1"/>
      <c r="U4351" s="1"/>
      <c r="V4351" s="1"/>
      <c r="W4351" s="1"/>
      <c r="X4351" s="1"/>
      <c r="Y4351" s="1"/>
      <c r="Z4351" s="1"/>
      <c r="AA4351" s="1"/>
      <c r="AB4351" s="1"/>
    </row>
    <row r="4352" ht="50.25" customHeight="1">
      <c r="A4352" s="12">
        <v>4348.0</v>
      </c>
      <c r="B4352" s="13" t="s">
        <v>3778</v>
      </c>
      <c r="C4352" s="14" t="s">
        <v>4370</v>
      </c>
      <c r="D4352" s="1"/>
      <c r="E4352" s="1"/>
      <c r="F4352" s="1" t="str">
        <f>IFERROR(__xludf.DUMMYFUNCTION("GOOGLETRANSLATE(B4352, ""en"", ""fa"")
"),"برنامه ریز عروسی")</f>
        <v>برنامه ریز عروسی</v>
      </c>
      <c r="G4352" s="1" t="str">
        <f>IFERROR(__xludf.DUMMYFUNCTION("GOOGLETRANSLATE(C4352, ""en"", ""fa"")
"),"چند راه برای ایجاد اعتماد به نفس در پذیرش اصالتم و صادق بودن با خودم در قرار ملاقات چیست؟")</f>
        <v>چند راه برای ایجاد اعتماد به نفس در پذیرش اصالتم و صادق بودن با خودم در قرار ملاقات چیست؟</v>
      </c>
      <c r="H4352" s="1"/>
      <c r="I4352" s="1"/>
      <c r="J4352" s="1"/>
      <c r="K4352" s="1"/>
      <c r="L4352" s="1"/>
      <c r="M4352" s="1"/>
      <c r="N4352" s="1"/>
      <c r="O4352" s="1"/>
      <c r="P4352" s="1"/>
      <c r="Q4352" s="1"/>
      <c r="R4352" s="1"/>
      <c r="S4352" s="1"/>
      <c r="T4352" s="1"/>
      <c r="U4352" s="1"/>
      <c r="V4352" s="1"/>
      <c r="W4352" s="1"/>
      <c r="X4352" s="1"/>
      <c r="Y4352" s="1"/>
      <c r="Z4352" s="1"/>
      <c r="AA4352" s="1"/>
      <c r="AB4352" s="1"/>
    </row>
    <row r="4353" ht="50.25" customHeight="1">
      <c r="A4353" s="12">
        <v>4349.0</v>
      </c>
      <c r="B4353" s="13" t="s">
        <v>3778</v>
      </c>
      <c r="C4353" s="14" t="s">
        <v>4371</v>
      </c>
      <c r="D4353" s="1"/>
      <c r="E4353" s="1"/>
      <c r="F4353" s="1" t="str">
        <f>IFERROR(__xludf.DUMMYFUNCTION("GOOGLETRANSLATE(B4353, ""en"", ""fa"")
"),"برنامه ریز عروسی")</f>
        <v>برنامه ریز عروسی</v>
      </c>
      <c r="G4353" s="1" t="str">
        <f>IFERROR(__xludf.DUMMYFUNCTION("GOOGLETRANSLATE(C4353, ""en"", ""fa"")
"),"چگونه می توانم مهارت های خودآگاهی و خود انعکاس را برای افزایش اعتماد به نفس خود در قرار ملاقات توسعه دهم؟")</f>
        <v>چگونه می توانم مهارت های خودآگاهی و خود انعکاس را برای افزایش اعتماد به نفس خود در قرار ملاقات توسعه دهم؟</v>
      </c>
      <c r="H4353" s="1"/>
      <c r="I4353" s="1"/>
      <c r="J4353" s="1"/>
      <c r="K4353" s="1"/>
      <c r="L4353" s="1"/>
      <c r="M4353" s="1"/>
      <c r="N4353" s="1"/>
      <c r="O4353" s="1"/>
      <c r="P4353" s="1"/>
      <c r="Q4353" s="1"/>
      <c r="R4353" s="1"/>
      <c r="S4353" s="1"/>
      <c r="T4353" s="1"/>
      <c r="U4353" s="1"/>
      <c r="V4353" s="1"/>
      <c r="W4353" s="1"/>
      <c r="X4353" s="1"/>
      <c r="Y4353" s="1"/>
      <c r="Z4353" s="1"/>
      <c r="AA4353" s="1"/>
      <c r="AB4353" s="1"/>
    </row>
    <row r="4354" ht="50.25" customHeight="1">
      <c r="A4354" s="12">
        <v>4350.0</v>
      </c>
      <c r="B4354" s="13" t="s">
        <v>3778</v>
      </c>
      <c r="C4354" s="14" t="s">
        <v>4372</v>
      </c>
      <c r="D4354" s="1"/>
      <c r="E4354" s="1"/>
      <c r="F4354" s="1" t="str">
        <f>IFERROR(__xludf.DUMMYFUNCTION("GOOGLETRANSLATE(B4354, ""en"", ""fa"")
"),"برنامه ریز عروسی")</f>
        <v>برنامه ریز عروسی</v>
      </c>
      <c r="G4354" s="1" t="str">
        <f>IFERROR(__xludf.DUMMYFUNCTION("GOOGLETRANSLATE(C4354, ""en"", ""fa"")
"),"چند تکنیک برای ایجاد اعتماد به نفس در برخورد با نیات و انتظارات مختلف قرار ملاقات چیست؟")</f>
        <v>چند تکنیک برای ایجاد اعتماد به نفس در برخورد با نیات و انتظارات مختلف قرار ملاقات چیست؟</v>
      </c>
      <c r="H4354" s="1"/>
      <c r="I4354" s="1"/>
      <c r="J4354" s="1"/>
      <c r="K4354" s="1"/>
      <c r="L4354" s="1"/>
      <c r="M4354" s="1"/>
      <c r="N4354" s="1"/>
      <c r="O4354" s="1"/>
      <c r="P4354" s="1"/>
      <c r="Q4354" s="1"/>
      <c r="R4354" s="1"/>
      <c r="S4354" s="1"/>
      <c r="T4354" s="1"/>
      <c r="U4354" s="1"/>
      <c r="V4354" s="1"/>
      <c r="W4354" s="1"/>
      <c r="X4354" s="1"/>
      <c r="Y4354" s="1"/>
      <c r="Z4354" s="1"/>
      <c r="AA4354" s="1"/>
      <c r="AB4354" s="1"/>
    </row>
    <row r="4355" ht="50.25" customHeight="1">
      <c r="A4355" s="12">
        <v>4351.0</v>
      </c>
      <c r="B4355" s="13" t="s">
        <v>3778</v>
      </c>
      <c r="C4355" s="14" t="s">
        <v>4373</v>
      </c>
      <c r="D4355" s="1"/>
      <c r="E4355" s="1"/>
      <c r="F4355" s="1" t="str">
        <f>IFERROR(__xludf.DUMMYFUNCTION("GOOGLETRANSLATE(B4355, ""en"", ""fa"")
"),"برنامه ریز عروسی")</f>
        <v>برنامه ریز عروسی</v>
      </c>
      <c r="G4355" s="1" t="str">
        <f>IFERROR(__xludf.DUMMYFUNCTION("GOOGLETRANSLATE(C4355, ""en"", ""fa"")
"),"چگونه می توانم در پذیرش و جشن گرفتن منحصر به فرد بودن خود در دنیای دوستیابی اعتماد به نفس ایجاد کنم؟")</f>
        <v>چگونه می توانم در پذیرش و جشن گرفتن منحصر به فرد بودن خود در دنیای دوستیابی اعتماد به نفس ایجاد کنم؟</v>
      </c>
      <c r="H4355" s="1"/>
      <c r="I4355" s="1"/>
      <c r="J4355" s="1"/>
      <c r="K4355" s="1"/>
      <c r="L4355" s="1"/>
      <c r="M4355" s="1"/>
      <c r="N4355" s="1"/>
      <c r="O4355" s="1"/>
      <c r="P4355" s="1"/>
      <c r="Q4355" s="1"/>
      <c r="R4355" s="1"/>
      <c r="S4355" s="1"/>
      <c r="T4355" s="1"/>
      <c r="U4355" s="1"/>
      <c r="V4355" s="1"/>
      <c r="W4355" s="1"/>
      <c r="X4355" s="1"/>
      <c r="Y4355" s="1"/>
      <c r="Z4355" s="1"/>
      <c r="AA4355" s="1"/>
      <c r="AB4355" s="1"/>
    </row>
    <row r="4356" ht="50.25" customHeight="1">
      <c r="A4356" s="12">
        <v>4352.0</v>
      </c>
      <c r="B4356" s="13" t="s">
        <v>3778</v>
      </c>
      <c r="C4356" s="14" t="s">
        <v>4374</v>
      </c>
      <c r="D4356" s="1"/>
      <c r="E4356" s="1"/>
      <c r="F4356" s="1" t="str">
        <f>IFERROR(__xludf.DUMMYFUNCTION("GOOGLETRANSLATE(B4356, ""en"", ""fa"")
"),"برنامه ریز عروسی")</f>
        <v>برنامه ریز عروسی</v>
      </c>
      <c r="G4356" s="1" t="str">
        <f>IFERROR(__xludf.DUMMYFUNCTION("GOOGLETRANSLATE(C4356, ""en"", ""fa"")
"),"چند استراتژی برای ایجاد اعتماد به نفس در مدیریت روابط از راه دور از طریق برنامه های دوستیابی چیست؟")</f>
        <v>چند استراتژی برای ایجاد اعتماد به نفس در مدیریت روابط از راه دور از طریق برنامه های دوستیابی چیست؟</v>
      </c>
      <c r="H4356" s="1"/>
      <c r="I4356" s="1"/>
      <c r="J4356" s="1"/>
      <c r="K4356" s="1"/>
      <c r="L4356" s="1"/>
      <c r="M4356" s="1"/>
      <c r="N4356" s="1"/>
      <c r="O4356" s="1"/>
      <c r="P4356" s="1"/>
      <c r="Q4356" s="1"/>
      <c r="R4356" s="1"/>
      <c r="S4356" s="1"/>
      <c r="T4356" s="1"/>
      <c r="U4356" s="1"/>
      <c r="V4356" s="1"/>
      <c r="W4356" s="1"/>
      <c r="X4356" s="1"/>
      <c r="Y4356" s="1"/>
      <c r="Z4356" s="1"/>
      <c r="AA4356" s="1"/>
      <c r="AB4356" s="1"/>
    </row>
    <row r="4357" ht="50.25" customHeight="1">
      <c r="A4357" s="12">
        <v>4353.0</v>
      </c>
      <c r="B4357" s="13" t="s">
        <v>3778</v>
      </c>
      <c r="C4357" s="14" t="s">
        <v>4375</v>
      </c>
      <c r="D4357" s="1"/>
      <c r="E4357" s="1"/>
      <c r="F4357" s="1" t="str">
        <f>IFERROR(__xludf.DUMMYFUNCTION("GOOGLETRANSLATE(B4357, ""en"", ""fa"")
"),"برنامه ریز عروسی")</f>
        <v>برنامه ریز عروسی</v>
      </c>
      <c r="G4357" s="1" t="str">
        <f>IFERROR(__xludf.DUMMYFUNCTION("GOOGLETRANSLATE(C4357, ""en"", ""fa"")
"),"چگونه می توانم حس اعتماد را ایجاد کنم و از ایمنی خود در هنگام مشارکت در قرار آنلاین اطمینان حاصل کنم؟")</f>
        <v>چگونه می توانم حس اعتماد را ایجاد کنم و از ایمنی خود در هنگام مشارکت در قرار آنلاین اطمینان حاصل کنم؟</v>
      </c>
      <c r="H4357" s="1"/>
      <c r="I4357" s="1"/>
      <c r="J4357" s="1"/>
      <c r="K4357" s="1"/>
      <c r="L4357" s="1"/>
      <c r="M4357" s="1"/>
      <c r="N4357" s="1"/>
      <c r="O4357" s="1"/>
      <c r="P4357" s="1"/>
      <c r="Q4357" s="1"/>
      <c r="R4357" s="1"/>
      <c r="S4357" s="1"/>
      <c r="T4357" s="1"/>
      <c r="U4357" s="1"/>
      <c r="V4357" s="1"/>
      <c r="W4357" s="1"/>
      <c r="X4357" s="1"/>
      <c r="Y4357" s="1"/>
      <c r="Z4357" s="1"/>
      <c r="AA4357" s="1"/>
      <c r="AB4357" s="1"/>
    </row>
    <row r="4358" ht="50.25" customHeight="1">
      <c r="A4358" s="12">
        <v>4354.0</v>
      </c>
      <c r="B4358" s="13" t="s">
        <v>3778</v>
      </c>
      <c r="C4358" s="14" t="s">
        <v>4376</v>
      </c>
      <c r="D4358" s="1"/>
      <c r="E4358" s="1"/>
      <c r="F4358" s="1" t="str">
        <f>IFERROR(__xludf.DUMMYFUNCTION("GOOGLETRANSLATE(B4358, ""en"", ""fa"")
"),"برنامه ریز عروسی")</f>
        <v>برنامه ریز عروسی</v>
      </c>
      <c r="G4358" s="1" t="str">
        <f>IFERROR(__xludf.DUMMYFUNCTION("GOOGLETRANSLATE(C4358, ""en"", ""fa"")
"),"چند راه برای ایجاد اعتماد به نفس در بازگشت از تجربیات گذشته و یادگیری از آنها چیست؟")</f>
        <v>چند راه برای ایجاد اعتماد به نفس در بازگشت از تجربیات گذشته و یادگیری از آنها چیست؟</v>
      </c>
      <c r="H4358" s="1"/>
      <c r="I4358" s="1"/>
      <c r="J4358" s="1"/>
      <c r="K4358" s="1"/>
      <c r="L4358" s="1"/>
      <c r="M4358" s="1"/>
      <c r="N4358" s="1"/>
      <c r="O4358" s="1"/>
      <c r="P4358" s="1"/>
      <c r="Q4358" s="1"/>
      <c r="R4358" s="1"/>
      <c r="S4358" s="1"/>
      <c r="T4358" s="1"/>
      <c r="U4358" s="1"/>
      <c r="V4358" s="1"/>
      <c r="W4358" s="1"/>
      <c r="X4358" s="1"/>
      <c r="Y4358" s="1"/>
      <c r="Z4358" s="1"/>
      <c r="AA4358" s="1"/>
      <c r="AB4358" s="1"/>
    </row>
    <row r="4359" ht="50.25" customHeight="1">
      <c r="A4359" s="12">
        <v>4355.0</v>
      </c>
      <c r="B4359" s="13" t="s">
        <v>3778</v>
      </c>
      <c r="C4359" s="14" t="s">
        <v>4377</v>
      </c>
      <c r="D4359" s="1"/>
      <c r="E4359" s="1"/>
      <c r="F4359" s="1" t="str">
        <f>IFERROR(__xludf.DUMMYFUNCTION("GOOGLETRANSLATE(B4359, ""en"", ""fa"")
"),"برنامه ریز عروسی")</f>
        <v>برنامه ریز عروسی</v>
      </c>
      <c r="G4359" s="1" t="str">
        <f>IFERROR(__xludf.DUMMYFUNCTION("GOOGLETRANSLATE(C4359, ""en"", ""fa"")
"),"چگونه می توانم در مواجهه با چالش های دوستیابی، طرز فکر مثبت و خوش بینی را پرورش دهم؟")</f>
        <v>چگونه می توانم در مواجهه با چالش های دوستیابی، طرز فکر مثبت و خوش بینی را پرورش دهم؟</v>
      </c>
      <c r="H4359" s="1"/>
      <c r="I4359" s="1"/>
      <c r="J4359" s="1"/>
      <c r="K4359" s="1"/>
      <c r="L4359" s="1"/>
      <c r="M4359" s="1"/>
      <c r="N4359" s="1"/>
      <c r="O4359" s="1"/>
      <c r="P4359" s="1"/>
      <c r="Q4359" s="1"/>
      <c r="R4359" s="1"/>
      <c r="S4359" s="1"/>
      <c r="T4359" s="1"/>
      <c r="U4359" s="1"/>
      <c r="V4359" s="1"/>
      <c r="W4359" s="1"/>
      <c r="X4359" s="1"/>
      <c r="Y4359" s="1"/>
      <c r="Z4359" s="1"/>
      <c r="AA4359" s="1"/>
      <c r="AB4359" s="1"/>
    </row>
    <row r="4360" ht="50.25" customHeight="1">
      <c r="A4360" s="12">
        <v>4356.0</v>
      </c>
      <c r="B4360" s="13" t="s">
        <v>3778</v>
      </c>
      <c r="C4360" s="14" t="s">
        <v>4378</v>
      </c>
      <c r="D4360" s="1"/>
      <c r="E4360" s="1"/>
      <c r="F4360" s="1" t="str">
        <f>IFERROR(__xludf.DUMMYFUNCTION("GOOGLETRANSLATE(B4360, ""en"", ""fa"")
"),"برنامه ریز عروسی")</f>
        <v>برنامه ریز عروسی</v>
      </c>
      <c r="G4360" s="1" t="str">
        <f>IFERROR(__xludf.DUMMYFUNCTION("GOOGLETRANSLATE(C4360, ""en"", ""fa"")
"),"چند تکنیک برای ایجاد اعتماد به نفس در انعکاس تجربیات دوستیابی و استفاده از آنها برای رشد چیست؟")</f>
        <v>چند تکنیک برای ایجاد اعتماد به نفس در انعکاس تجربیات دوستیابی و استفاده از آنها برای رشد چیست؟</v>
      </c>
      <c r="H4360" s="1"/>
      <c r="I4360" s="1"/>
      <c r="J4360" s="1"/>
      <c r="K4360" s="1"/>
      <c r="L4360" s="1"/>
      <c r="M4360" s="1"/>
      <c r="N4360" s="1"/>
      <c r="O4360" s="1"/>
      <c r="P4360" s="1"/>
      <c r="Q4360" s="1"/>
      <c r="R4360" s="1"/>
      <c r="S4360" s="1"/>
      <c r="T4360" s="1"/>
      <c r="U4360" s="1"/>
      <c r="V4360" s="1"/>
      <c r="W4360" s="1"/>
      <c r="X4360" s="1"/>
      <c r="Y4360" s="1"/>
      <c r="Z4360" s="1"/>
      <c r="AA4360" s="1"/>
      <c r="AB4360" s="1"/>
    </row>
    <row r="4361" ht="50.25" customHeight="1">
      <c r="A4361" s="12">
        <v>4357.0</v>
      </c>
      <c r="B4361" s="13" t="s">
        <v>4379</v>
      </c>
      <c r="C4361" s="14" t="s">
        <v>4380</v>
      </c>
      <c r="D4361" s="1"/>
      <c r="E4361" s="1"/>
      <c r="F4361" s="1" t="str">
        <f>IFERROR(__xludf.DUMMYFUNCTION("GOOGLETRANSLATE(B4361, ""en"", ""fa"")
"),"مشاوره دوستیابی")</f>
        <v>مشاوره دوستیابی</v>
      </c>
      <c r="G4361" s="1" t="str">
        <f>IFERROR(__xludf.DUMMYFUNCTION("GOOGLETRANSLATE(C4361, ""en"", ""fa"")
"),"چگونه می توانم اعتماد به نفس و اعتماد به نفس خود را در دنبال کردن علاقه مندی های خاص یا تخصصی ایجاد کنم؟")</f>
        <v>چگونه می توانم اعتماد به نفس و اعتماد به نفس خود را در دنبال کردن علاقه مندی های خاص یا تخصصی ایجاد کنم؟</v>
      </c>
      <c r="H4361" s="1"/>
      <c r="I4361" s="1"/>
      <c r="J4361" s="1"/>
      <c r="K4361" s="1"/>
      <c r="L4361" s="1"/>
      <c r="M4361" s="1"/>
      <c r="N4361" s="1"/>
      <c r="O4361" s="1"/>
      <c r="P4361" s="1"/>
      <c r="Q4361" s="1"/>
      <c r="R4361" s="1"/>
      <c r="S4361" s="1"/>
      <c r="T4361" s="1"/>
      <c r="U4361" s="1"/>
      <c r="V4361" s="1"/>
      <c r="W4361" s="1"/>
      <c r="X4361" s="1"/>
      <c r="Y4361" s="1"/>
      <c r="Z4361" s="1"/>
      <c r="AA4361" s="1"/>
      <c r="AB4361" s="1"/>
    </row>
    <row r="4362" ht="50.25" customHeight="1">
      <c r="A4362" s="12">
        <v>4358.0</v>
      </c>
      <c r="B4362" s="13" t="s">
        <v>4379</v>
      </c>
      <c r="C4362" s="14" t="s">
        <v>4381</v>
      </c>
      <c r="D4362" s="1"/>
      <c r="E4362" s="1"/>
      <c r="F4362" s="1" t="str">
        <f>IFERROR(__xludf.DUMMYFUNCTION("GOOGLETRANSLATE(B4362, ""en"", ""fa"")
"),"مشاوره دوستیابی")</f>
        <v>مشاوره دوستیابی</v>
      </c>
      <c r="G4362" s="1" t="str">
        <f>IFERROR(__xludf.DUMMYFUNCTION("GOOGLETRANSLATE(C4362, ""en"", ""fa"")
"),"چند راهبرد برای ایجاد اعتماد به نفس در کشف و پذیرش تجربیات جدید فرهنگی از طریق دوستیابی چیست؟")</f>
        <v>چند راهبرد برای ایجاد اعتماد به نفس در کشف و پذیرش تجربیات جدید فرهنگی از طریق دوستیابی چیست؟</v>
      </c>
      <c r="H4362" s="1"/>
      <c r="I4362" s="1"/>
      <c r="J4362" s="1"/>
      <c r="K4362" s="1"/>
      <c r="L4362" s="1"/>
      <c r="M4362" s="1"/>
      <c r="N4362" s="1"/>
      <c r="O4362" s="1"/>
      <c r="P4362" s="1"/>
      <c r="Q4362" s="1"/>
      <c r="R4362" s="1"/>
      <c r="S4362" s="1"/>
      <c r="T4362" s="1"/>
      <c r="U4362" s="1"/>
      <c r="V4362" s="1"/>
      <c r="W4362" s="1"/>
      <c r="X4362" s="1"/>
      <c r="Y4362" s="1"/>
      <c r="Z4362" s="1"/>
      <c r="AA4362" s="1"/>
      <c r="AB4362" s="1"/>
    </row>
    <row r="4363" ht="50.25" customHeight="1">
      <c r="A4363" s="12">
        <v>4359.0</v>
      </c>
      <c r="B4363" s="13" t="s">
        <v>4379</v>
      </c>
      <c r="C4363" s="14" t="s">
        <v>4382</v>
      </c>
      <c r="D4363" s="1"/>
      <c r="E4363" s="1"/>
      <c r="F4363" s="1" t="str">
        <f>IFERROR(__xludf.DUMMYFUNCTION("GOOGLETRANSLATE(B4363, ""en"", ""fa"")
"),"مشاوره دوستیابی")</f>
        <v>مشاوره دوستیابی</v>
      </c>
      <c r="G4363" s="1" t="str">
        <f>IFERROR(__xludf.DUMMYFUNCTION("GOOGLETRANSLATE(C4363, ""en"", ""fa"")
"),"چگونه می توانم بر مقایسه غلبه کنم و در سفر خود اعتماد به نفس ایجاد کنم بدون اینکه از موفقیت های دیگران دلسرد شوم؟")</f>
        <v>چگونه می توانم بر مقایسه غلبه کنم و در سفر خود اعتماد به نفس ایجاد کنم بدون اینکه از موفقیت های دیگران دلسرد شوم؟</v>
      </c>
      <c r="H4363" s="1"/>
      <c r="I4363" s="1"/>
      <c r="J4363" s="1"/>
      <c r="K4363" s="1"/>
      <c r="L4363" s="1"/>
      <c r="M4363" s="1"/>
      <c r="N4363" s="1"/>
      <c r="O4363" s="1"/>
      <c r="P4363" s="1"/>
      <c r="Q4363" s="1"/>
      <c r="R4363" s="1"/>
      <c r="S4363" s="1"/>
      <c r="T4363" s="1"/>
      <c r="U4363" s="1"/>
      <c r="V4363" s="1"/>
      <c r="W4363" s="1"/>
      <c r="X4363" s="1"/>
      <c r="Y4363" s="1"/>
      <c r="Z4363" s="1"/>
      <c r="AA4363" s="1"/>
      <c r="AB4363" s="1"/>
    </row>
    <row r="4364" ht="50.25" customHeight="1">
      <c r="A4364" s="12">
        <v>4360.0</v>
      </c>
      <c r="B4364" s="13" t="s">
        <v>4379</v>
      </c>
      <c r="C4364" s="14" t="s">
        <v>4383</v>
      </c>
      <c r="D4364" s="1"/>
      <c r="E4364" s="1"/>
      <c r="F4364" s="1" t="str">
        <f>IFERROR(__xludf.DUMMYFUNCTION("GOOGLETRANSLATE(B4364, ""en"", ""fa"")
"),"مشاوره دوستیابی")</f>
        <v>مشاوره دوستیابی</v>
      </c>
      <c r="G4364" s="1" t="str">
        <f>IFERROR(__xludf.DUMMYFUNCTION("GOOGLETRANSLATE(C4364, ""en"", ""fa"")
"),"چند راه برای ایجاد اعتماد به نفس در پیمایش پیچیدگی‌های آداب قرار ملاقات آنلاین چیست؟")</f>
        <v>چند راه برای ایجاد اعتماد به نفس در پیمایش پیچیدگی‌های آداب قرار ملاقات آنلاین چیست؟</v>
      </c>
      <c r="H4364" s="1"/>
      <c r="I4364" s="1"/>
      <c r="J4364" s="1"/>
      <c r="K4364" s="1"/>
      <c r="L4364" s="1"/>
      <c r="M4364" s="1"/>
      <c r="N4364" s="1"/>
      <c r="O4364" s="1"/>
      <c r="P4364" s="1"/>
      <c r="Q4364" s="1"/>
      <c r="R4364" s="1"/>
      <c r="S4364" s="1"/>
      <c r="T4364" s="1"/>
      <c r="U4364" s="1"/>
      <c r="V4364" s="1"/>
      <c r="W4364" s="1"/>
      <c r="X4364" s="1"/>
      <c r="Y4364" s="1"/>
      <c r="Z4364" s="1"/>
      <c r="AA4364" s="1"/>
      <c r="AB4364" s="1"/>
    </row>
    <row r="4365" ht="50.25" customHeight="1">
      <c r="A4365" s="12">
        <v>4361.0</v>
      </c>
      <c r="B4365" s="13" t="s">
        <v>4379</v>
      </c>
      <c r="C4365" s="14" t="s">
        <v>4384</v>
      </c>
      <c r="D4365" s="1"/>
      <c r="E4365" s="1"/>
      <c r="F4365" s="1" t="str">
        <f>IFERROR(__xludf.DUMMYFUNCTION("GOOGLETRANSLATE(B4365, ""en"", ""fa"")
"),"مشاوره دوستیابی")</f>
        <v>مشاوره دوستیابی</v>
      </c>
      <c r="G4365" s="1" t="str">
        <f>IFERROR(__xludf.DUMMYFUNCTION("GOOGLETRANSLATE(C4365, ""en"", ""fa"")
"),"چگونه می توانم بدون ترس از قضاوت در بیان خواسته ها و نیازهایم اعتماد به نفس خود را تقویت کنم؟")</f>
        <v>چگونه می توانم بدون ترس از قضاوت در بیان خواسته ها و نیازهایم اعتماد به نفس خود را تقویت کنم؟</v>
      </c>
      <c r="H4365" s="1"/>
      <c r="I4365" s="1"/>
      <c r="J4365" s="1"/>
      <c r="K4365" s="1"/>
      <c r="L4365" s="1"/>
      <c r="M4365" s="1"/>
      <c r="N4365" s="1"/>
      <c r="O4365" s="1"/>
      <c r="P4365" s="1"/>
      <c r="Q4365" s="1"/>
      <c r="R4365" s="1"/>
      <c r="S4365" s="1"/>
      <c r="T4365" s="1"/>
      <c r="U4365" s="1"/>
      <c r="V4365" s="1"/>
      <c r="W4365" s="1"/>
      <c r="X4365" s="1"/>
      <c r="Y4365" s="1"/>
      <c r="Z4365" s="1"/>
      <c r="AA4365" s="1"/>
      <c r="AB4365" s="1"/>
    </row>
    <row r="4366" ht="50.25" customHeight="1">
      <c r="A4366" s="12">
        <v>4362.0</v>
      </c>
      <c r="B4366" s="13" t="s">
        <v>4379</v>
      </c>
      <c r="C4366" s="14" t="s">
        <v>4385</v>
      </c>
      <c r="D4366" s="1"/>
      <c r="E4366" s="1"/>
      <c r="F4366" s="1" t="str">
        <f>IFERROR(__xludf.DUMMYFUNCTION("GOOGLETRANSLATE(B4366, ""en"", ""fa"")
"),"مشاوره دوستیابی")</f>
        <v>مشاوره دوستیابی</v>
      </c>
      <c r="G4366" s="1" t="str">
        <f>IFERROR(__xludf.DUMMYFUNCTION("GOOGLETRANSLATE(C4366, ""en"", ""fa"")
"),"چند تکنیک برای ایجاد اعتماد به نفس در پذیرش تمایلات جنسی و بحث راحت آن با شرکای بالقوه چیست؟")</f>
        <v>چند تکنیک برای ایجاد اعتماد به نفس در پذیرش تمایلات جنسی و بحث راحت آن با شرکای بالقوه چیست؟</v>
      </c>
      <c r="H4366" s="1"/>
      <c r="I4366" s="1"/>
      <c r="J4366" s="1"/>
      <c r="K4366" s="1"/>
      <c r="L4366" s="1"/>
      <c r="M4366" s="1"/>
      <c r="N4366" s="1"/>
      <c r="O4366" s="1"/>
      <c r="P4366" s="1"/>
      <c r="Q4366" s="1"/>
      <c r="R4366" s="1"/>
      <c r="S4366" s="1"/>
      <c r="T4366" s="1"/>
      <c r="U4366" s="1"/>
      <c r="V4366" s="1"/>
      <c r="W4366" s="1"/>
      <c r="X4366" s="1"/>
      <c r="Y4366" s="1"/>
      <c r="Z4366" s="1"/>
      <c r="AA4366" s="1"/>
      <c r="AB4366" s="1"/>
    </row>
    <row r="4367" ht="50.25" customHeight="1">
      <c r="A4367" s="12">
        <v>4363.0</v>
      </c>
      <c r="B4367" s="13" t="s">
        <v>4379</v>
      </c>
      <c r="C4367" s="14" t="s">
        <v>4386</v>
      </c>
      <c r="D4367" s="1"/>
      <c r="E4367" s="1"/>
      <c r="F4367" s="1" t="str">
        <f>IFERROR(__xludf.DUMMYFUNCTION("GOOGLETRANSLATE(B4367, ""en"", ""fa"")
"),"مشاوره دوستیابی")</f>
        <v>مشاوره دوستیابی</v>
      </c>
      <c r="G4367" s="1" t="str">
        <f>IFERROR(__xludf.DUMMYFUNCTION("GOOGLETRANSLATE(C4367, ""en"", ""fa"")
"),"چگونه می توانم اعتماد به نفس خود را در در آغوش گرفتن و بیان واقعی احساسات خود در موقعیت های قرار ایجاد کنم؟")</f>
        <v>چگونه می توانم اعتماد به نفس خود را در در آغوش گرفتن و بیان واقعی احساسات خود در موقعیت های قرار ایجاد کنم؟</v>
      </c>
      <c r="H4367" s="1"/>
      <c r="I4367" s="1"/>
      <c r="J4367" s="1"/>
      <c r="K4367" s="1"/>
      <c r="L4367" s="1"/>
      <c r="M4367" s="1"/>
      <c r="N4367" s="1"/>
      <c r="O4367" s="1"/>
      <c r="P4367" s="1"/>
      <c r="Q4367" s="1"/>
      <c r="R4367" s="1"/>
      <c r="S4367" s="1"/>
      <c r="T4367" s="1"/>
      <c r="U4367" s="1"/>
      <c r="V4367" s="1"/>
      <c r="W4367" s="1"/>
      <c r="X4367" s="1"/>
      <c r="Y4367" s="1"/>
      <c r="Z4367" s="1"/>
      <c r="AA4367" s="1"/>
      <c r="AB4367" s="1"/>
    </row>
    <row r="4368" ht="50.25" customHeight="1">
      <c r="A4368" s="12">
        <v>4364.0</v>
      </c>
      <c r="B4368" s="13" t="s">
        <v>4379</v>
      </c>
      <c r="C4368" s="14" t="s">
        <v>4387</v>
      </c>
      <c r="D4368" s="1"/>
      <c r="E4368" s="1"/>
      <c r="F4368" s="1" t="str">
        <f>IFERROR(__xludf.DUMMYFUNCTION("GOOGLETRANSLATE(B4368, ""en"", ""fa"")
"),"مشاوره دوستیابی")</f>
        <v>مشاوره دوستیابی</v>
      </c>
      <c r="G4368" s="1" t="str">
        <f>IFERROR(__xludf.DUMMYFUNCTION("GOOGLETRANSLATE(C4368, ""en"", ""fa"")
"),"چند استراتژی برای ایجاد اعتماد به نفس در پذیرش ناشناخته ها و ریسک کردن در دنیای دوستیابی چیست؟")</f>
        <v>چند استراتژی برای ایجاد اعتماد به نفس در پذیرش ناشناخته ها و ریسک کردن در دنیای دوستیابی چیست؟</v>
      </c>
      <c r="H4368" s="1"/>
      <c r="I4368" s="1"/>
      <c r="J4368" s="1"/>
      <c r="K4368" s="1"/>
      <c r="L4368" s="1"/>
      <c r="M4368" s="1"/>
      <c r="N4368" s="1"/>
      <c r="O4368" s="1"/>
      <c r="P4368" s="1"/>
      <c r="Q4368" s="1"/>
      <c r="R4368" s="1"/>
      <c r="S4368" s="1"/>
      <c r="T4368" s="1"/>
      <c r="U4368" s="1"/>
      <c r="V4368" s="1"/>
      <c r="W4368" s="1"/>
      <c r="X4368" s="1"/>
      <c r="Y4368" s="1"/>
      <c r="Z4368" s="1"/>
      <c r="AA4368" s="1"/>
      <c r="AB4368" s="1"/>
    </row>
    <row r="4369" ht="50.25" customHeight="1">
      <c r="A4369" s="12">
        <v>4365.0</v>
      </c>
      <c r="B4369" s="13" t="s">
        <v>4379</v>
      </c>
      <c r="C4369" s="14" t="s">
        <v>4388</v>
      </c>
      <c r="D4369" s="1"/>
      <c r="E4369" s="1"/>
      <c r="F4369" s="1" t="str">
        <f>IFERROR(__xludf.DUMMYFUNCTION("GOOGLETRANSLATE(B4369, ""en"", ""fa"")
"),"مشاوره دوستیابی")</f>
        <v>مشاوره دوستیابی</v>
      </c>
      <c r="G4369" s="1" t="str">
        <f>IFERROR(__xludf.DUMMYFUNCTION("GOOGLETRANSLATE(C4369, ""en"", ""fa"")
"),"چند نکته برای انتخاب بهترین عکس پروفایل که جلب توجه می کند چیست؟")</f>
        <v>چند نکته برای انتخاب بهترین عکس پروفایل که جلب توجه می کند چیست؟</v>
      </c>
      <c r="H4369" s="1"/>
      <c r="I4369" s="1"/>
      <c r="J4369" s="1"/>
      <c r="K4369" s="1"/>
      <c r="L4369" s="1"/>
      <c r="M4369" s="1"/>
      <c r="N4369" s="1"/>
      <c r="O4369" s="1"/>
      <c r="P4369" s="1"/>
      <c r="Q4369" s="1"/>
      <c r="R4369" s="1"/>
      <c r="S4369" s="1"/>
      <c r="T4369" s="1"/>
      <c r="U4369" s="1"/>
      <c r="V4369" s="1"/>
      <c r="W4369" s="1"/>
      <c r="X4369" s="1"/>
      <c r="Y4369" s="1"/>
      <c r="Z4369" s="1"/>
      <c r="AA4369" s="1"/>
      <c r="AB4369" s="1"/>
    </row>
    <row r="4370" ht="50.25" customHeight="1">
      <c r="A4370" s="12">
        <v>4366.0</v>
      </c>
      <c r="B4370" s="13" t="s">
        <v>4379</v>
      </c>
      <c r="C4370" s="14" t="s">
        <v>4389</v>
      </c>
      <c r="D4370" s="1"/>
      <c r="E4370" s="1"/>
      <c r="F4370" s="1" t="str">
        <f>IFERROR(__xludf.DUMMYFUNCTION("GOOGLETRANSLATE(B4370, ""en"", ""fa"")
"),"مشاوره دوستیابی")</f>
        <v>مشاوره دوستیابی</v>
      </c>
      <c r="G4370" s="1" t="str">
        <f>IFERROR(__xludf.DUMMYFUNCTION("GOOGLETRANSLATE(C4370, ""en"", ""fa"")
"),"چگونه می توانم شخصیت خود را از طریق بیوگرافی خود به شیوه ای خلاقانه و جذاب به نمایش بگذارم؟")</f>
        <v>چگونه می توانم شخصیت خود را از طریق بیوگرافی خود به شیوه ای خلاقانه و جذاب به نمایش بگذارم؟</v>
      </c>
      <c r="H4370" s="1"/>
      <c r="I4370" s="1"/>
      <c r="J4370" s="1"/>
      <c r="K4370" s="1"/>
      <c r="L4370" s="1"/>
      <c r="M4370" s="1"/>
      <c r="N4370" s="1"/>
      <c r="O4370" s="1"/>
      <c r="P4370" s="1"/>
      <c r="Q4370" s="1"/>
      <c r="R4370" s="1"/>
      <c r="S4370" s="1"/>
      <c r="T4370" s="1"/>
      <c r="U4370" s="1"/>
      <c r="V4370" s="1"/>
      <c r="W4370" s="1"/>
      <c r="X4370" s="1"/>
      <c r="Y4370" s="1"/>
      <c r="Z4370" s="1"/>
      <c r="AA4370" s="1"/>
      <c r="AB4370" s="1"/>
    </row>
    <row r="4371" ht="50.25" customHeight="1">
      <c r="A4371" s="12">
        <v>4367.0</v>
      </c>
      <c r="B4371" s="13" t="s">
        <v>4379</v>
      </c>
      <c r="C4371" s="14" t="s">
        <v>4390</v>
      </c>
      <c r="D4371" s="1"/>
      <c r="E4371" s="1"/>
      <c r="F4371" s="1" t="str">
        <f>IFERROR(__xludf.DUMMYFUNCTION("GOOGLETRANSLATE(B4371, ""en"", ""fa"")
"),"مشاوره دوستیابی")</f>
        <v>مشاوره دوستیابی</v>
      </c>
      <c r="G4371" s="1" t="str">
        <f>IFERROR(__xludf.DUMMYFUNCTION("GOOGLETRANSLATE(C4371, ""en"", ""fa"")
"),"چند استراتژی برای برجسته کردن علایق و سرگرمی های من در نمایه من چیست؟")</f>
        <v>چند استراتژی برای برجسته کردن علایق و سرگرمی های من در نمایه من چیست؟</v>
      </c>
      <c r="H4371" s="1"/>
      <c r="I4371" s="1"/>
      <c r="J4371" s="1"/>
      <c r="K4371" s="1"/>
      <c r="L4371" s="1"/>
      <c r="M4371" s="1"/>
      <c r="N4371" s="1"/>
      <c r="O4371" s="1"/>
      <c r="P4371" s="1"/>
      <c r="Q4371" s="1"/>
      <c r="R4371" s="1"/>
      <c r="S4371" s="1"/>
      <c r="T4371" s="1"/>
      <c r="U4371" s="1"/>
      <c r="V4371" s="1"/>
      <c r="W4371" s="1"/>
      <c r="X4371" s="1"/>
      <c r="Y4371" s="1"/>
      <c r="Z4371" s="1"/>
      <c r="AA4371" s="1"/>
      <c r="AB4371" s="1"/>
    </row>
    <row r="4372" ht="50.25" customHeight="1">
      <c r="A4372" s="12">
        <v>4368.0</v>
      </c>
      <c r="B4372" s="13" t="s">
        <v>4379</v>
      </c>
      <c r="C4372" s="14" t="s">
        <v>4391</v>
      </c>
      <c r="D4372" s="1"/>
      <c r="E4372" s="1"/>
      <c r="F4372" s="1" t="str">
        <f>IFERROR(__xludf.DUMMYFUNCTION("GOOGLETRANSLATE(B4372, ""en"", ""fa"")
"),"مشاوره دوستیابی")</f>
        <v>مشاوره دوستیابی</v>
      </c>
      <c r="G4372" s="1" t="str">
        <f>IFERROR(__xludf.DUMMYFUNCTION("GOOGLETRANSLATE(C4372, ""en"", ""fa"")
"),"چگونه می توانم یک خط آغازین جذاب ایجاد کنم که توجه بیننده را جلب کند؟")</f>
        <v>چگونه می توانم یک خط آغازین جذاب ایجاد کنم که توجه بیننده را جلب کند؟</v>
      </c>
      <c r="H4372" s="1"/>
      <c r="I4372" s="1"/>
      <c r="J4372" s="1"/>
      <c r="K4372" s="1"/>
      <c r="L4372" s="1"/>
      <c r="M4372" s="1"/>
      <c r="N4372" s="1"/>
      <c r="O4372" s="1"/>
      <c r="P4372" s="1"/>
      <c r="Q4372" s="1"/>
      <c r="R4372" s="1"/>
      <c r="S4372" s="1"/>
      <c r="T4372" s="1"/>
      <c r="U4372" s="1"/>
      <c r="V4372" s="1"/>
      <c r="W4372" s="1"/>
      <c r="X4372" s="1"/>
      <c r="Y4372" s="1"/>
      <c r="Z4372" s="1"/>
      <c r="AA4372" s="1"/>
      <c r="AB4372" s="1"/>
    </row>
    <row r="4373" ht="50.25" customHeight="1">
      <c r="A4373" s="12">
        <v>4369.0</v>
      </c>
      <c r="B4373" s="13" t="s">
        <v>4379</v>
      </c>
      <c r="C4373" s="14" t="s">
        <v>4392</v>
      </c>
      <c r="D4373" s="1"/>
      <c r="E4373" s="1"/>
      <c r="F4373" s="1" t="str">
        <f>IFERROR(__xludf.DUMMYFUNCTION("GOOGLETRANSLATE(B4373, ""en"", ""fa"")
"),"مشاوره دوستیابی")</f>
        <v>مشاوره دوستیابی</v>
      </c>
      <c r="G4373" s="1" t="str">
        <f>IFERROR(__xludf.DUMMYFUNCTION("GOOGLETRANSLATE(C4373, ""en"", ""fa"")
"),"چند راه برای گنجاندن طنز در نمایه من برای جذاب تر کردن آن چیست؟")</f>
        <v>چند راه برای گنجاندن طنز در نمایه من برای جذاب تر کردن آن چیست؟</v>
      </c>
      <c r="H4373" s="1"/>
      <c r="I4373" s="1"/>
      <c r="J4373" s="1"/>
      <c r="K4373" s="1"/>
      <c r="L4373" s="1"/>
      <c r="M4373" s="1"/>
      <c r="N4373" s="1"/>
      <c r="O4373" s="1"/>
      <c r="P4373" s="1"/>
      <c r="Q4373" s="1"/>
      <c r="R4373" s="1"/>
      <c r="S4373" s="1"/>
      <c r="T4373" s="1"/>
      <c r="U4373" s="1"/>
      <c r="V4373" s="1"/>
      <c r="W4373" s="1"/>
      <c r="X4373" s="1"/>
      <c r="Y4373" s="1"/>
      <c r="Z4373" s="1"/>
      <c r="AA4373" s="1"/>
      <c r="AB4373" s="1"/>
    </row>
    <row r="4374" ht="50.25" customHeight="1">
      <c r="A4374" s="12">
        <v>4370.0</v>
      </c>
      <c r="B4374" s="13" t="s">
        <v>4379</v>
      </c>
      <c r="C4374" s="14" t="s">
        <v>4393</v>
      </c>
      <c r="D4374" s="1"/>
      <c r="E4374" s="1"/>
      <c r="F4374" s="1" t="str">
        <f>IFERROR(__xludf.DUMMYFUNCTION("GOOGLETRANSLATE(B4374, ""en"", ""fa"")
"),"مشاوره دوستیابی")</f>
        <v>مشاوره دوستیابی</v>
      </c>
      <c r="G4374" s="1" t="str">
        <f>IFERROR(__xludf.DUMMYFUNCTION("GOOGLETRANSLATE(C4374, ""en"", ""fa"")
"),"چگونه می توانم بین معتبر بودن و ارائه بهترین خود در پروفایلم تعادل برقرار کنم؟")</f>
        <v>چگونه می توانم بین معتبر بودن و ارائه بهترین خود در پروفایلم تعادل برقرار کنم؟</v>
      </c>
      <c r="H4374" s="1"/>
      <c r="I4374" s="1"/>
      <c r="J4374" s="1"/>
      <c r="K4374" s="1"/>
      <c r="L4374" s="1"/>
      <c r="M4374" s="1"/>
      <c r="N4374" s="1"/>
      <c r="O4374" s="1"/>
      <c r="P4374" s="1"/>
      <c r="Q4374" s="1"/>
      <c r="R4374" s="1"/>
      <c r="S4374" s="1"/>
      <c r="T4374" s="1"/>
      <c r="U4374" s="1"/>
      <c r="V4374" s="1"/>
      <c r="W4374" s="1"/>
      <c r="X4374" s="1"/>
      <c r="Y4374" s="1"/>
      <c r="Z4374" s="1"/>
      <c r="AA4374" s="1"/>
      <c r="AB4374" s="1"/>
    </row>
    <row r="4375" ht="50.25" customHeight="1">
      <c r="A4375" s="12">
        <v>4371.0</v>
      </c>
      <c r="B4375" s="13" t="s">
        <v>4379</v>
      </c>
      <c r="C4375" s="14" t="s">
        <v>4394</v>
      </c>
      <c r="D4375" s="1"/>
      <c r="E4375" s="1"/>
      <c r="F4375" s="1" t="str">
        <f>IFERROR(__xludf.DUMMYFUNCTION("GOOGLETRANSLATE(B4375, ""en"", ""fa"")
"),"مشاوره دوستیابی")</f>
        <v>مشاوره دوستیابی</v>
      </c>
      <c r="G4375" s="1" t="str">
        <f>IFERROR(__xludf.DUMMYFUNCTION("GOOGLETRANSLATE(C4375, ""en"", ""fa"")
"),"چند نکته برای انتخاب نام کاربری مناسب که نشان دهنده شخصیت من است چیست؟")</f>
        <v>چند نکته برای انتخاب نام کاربری مناسب که نشان دهنده شخصیت من است چیست؟</v>
      </c>
      <c r="H4375" s="1"/>
      <c r="I4375" s="1"/>
      <c r="J4375" s="1"/>
      <c r="K4375" s="1"/>
      <c r="L4375" s="1"/>
      <c r="M4375" s="1"/>
      <c r="N4375" s="1"/>
      <c r="O4375" s="1"/>
      <c r="P4375" s="1"/>
      <c r="Q4375" s="1"/>
      <c r="R4375" s="1"/>
      <c r="S4375" s="1"/>
      <c r="T4375" s="1"/>
      <c r="U4375" s="1"/>
      <c r="V4375" s="1"/>
      <c r="W4375" s="1"/>
      <c r="X4375" s="1"/>
      <c r="Y4375" s="1"/>
      <c r="Z4375" s="1"/>
      <c r="AA4375" s="1"/>
      <c r="AB4375" s="1"/>
    </row>
    <row r="4376" ht="50.25" customHeight="1">
      <c r="A4376" s="12">
        <v>4372.0</v>
      </c>
      <c r="B4376" s="13" t="s">
        <v>4379</v>
      </c>
      <c r="C4376" s="14" t="s">
        <v>4395</v>
      </c>
      <c r="D4376" s="1"/>
      <c r="E4376" s="1"/>
      <c r="F4376" s="1" t="str">
        <f>IFERROR(__xludf.DUMMYFUNCTION("GOOGLETRANSLATE(B4376, ""en"", ""fa"")
"),"مشاوره دوستیابی")</f>
        <v>مشاوره دوستیابی</v>
      </c>
      <c r="G4376" s="1" t="str">
        <f>IFERROR(__xludf.DUMMYFUNCTION("GOOGLETRANSLATE(C4376, ""en"", ""fa"")
"),"چگونه می توانم ارزش های خود و آنچه را که در شریک زندگی به دنبال آن هستم به نمایش بگذارم بدون اینکه خیلی سخت به نظر برسند؟")</f>
        <v>چگونه می توانم ارزش های خود و آنچه را که در شریک زندگی به دنبال آن هستم به نمایش بگذارم بدون اینکه خیلی سخت به نظر برسند؟</v>
      </c>
      <c r="H4376" s="1"/>
      <c r="I4376" s="1"/>
      <c r="J4376" s="1"/>
      <c r="K4376" s="1"/>
      <c r="L4376" s="1"/>
      <c r="M4376" s="1"/>
      <c r="N4376" s="1"/>
      <c r="O4376" s="1"/>
      <c r="P4376" s="1"/>
      <c r="Q4376" s="1"/>
      <c r="R4376" s="1"/>
      <c r="S4376" s="1"/>
      <c r="T4376" s="1"/>
      <c r="U4376" s="1"/>
      <c r="V4376" s="1"/>
      <c r="W4376" s="1"/>
      <c r="X4376" s="1"/>
      <c r="Y4376" s="1"/>
      <c r="Z4376" s="1"/>
      <c r="AA4376" s="1"/>
      <c r="AB4376" s="1"/>
    </row>
    <row r="4377" ht="50.25" customHeight="1">
      <c r="A4377" s="12">
        <v>4373.0</v>
      </c>
      <c r="B4377" s="13" t="s">
        <v>4379</v>
      </c>
      <c r="C4377" s="14" t="s">
        <v>4396</v>
      </c>
      <c r="D4377" s="1"/>
      <c r="E4377" s="1"/>
      <c r="F4377" s="1" t="str">
        <f>IFERROR(__xludf.DUMMYFUNCTION("GOOGLETRANSLATE(B4377, ""en"", ""fa"")
"),"مشاوره دوستیابی")</f>
        <v>مشاوره دوستیابی</v>
      </c>
      <c r="G4377" s="1" t="str">
        <f>IFERROR(__xludf.DUMMYFUNCTION("GOOGLETRANSLATE(C4377, ""en"", ""fa"")
"),"چند تکنیک موثر برای نوشتن یک بخش جذاب و منحصر به فرد درباره من چیست؟")</f>
        <v>چند تکنیک موثر برای نوشتن یک بخش جذاب و منحصر به فرد درباره من چیست؟</v>
      </c>
      <c r="H4377" s="1"/>
      <c r="I4377" s="1"/>
      <c r="J4377" s="1"/>
      <c r="K4377" s="1"/>
      <c r="L4377" s="1"/>
      <c r="M4377" s="1"/>
      <c r="N4377" s="1"/>
      <c r="O4377" s="1"/>
      <c r="P4377" s="1"/>
      <c r="Q4377" s="1"/>
      <c r="R4377" s="1"/>
      <c r="S4377" s="1"/>
      <c r="T4377" s="1"/>
      <c r="U4377" s="1"/>
      <c r="V4377" s="1"/>
      <c r="W4377" s="1"/>
      <c r="X4377" s="1"/>
      <c r="Y4377" s="1"/>
      <c r="Z4377" s="1"/>
      <c r="AA4377" s="1"/>
      <c r="AB4377" s="1"/>
    </row>
    <row r="4378" ht="50.25" customHeight="1">
      <c r="A4378" s="12">
        <v>4374.0</v>
      </c>
      <c r="B4378" s="13" t="s">
        <v>4379</v>
      </c>
      <c r="C4378" s="14" t="s">
        <v>4397</v>
      </c>
      <c r="D4378" s="1"/>
      <c r="E4378" s="1"/>
      <c r="F4378" s="1" t="str">
        <f>IFERROR(__xludf.DUMMYFUNCTION("GOOGLETRANSLATE(B4378, ""en"", ""fa"")
"),"مشاوره دوستیابی")</f>
        <v>مشاوره دوستیابی</v>
      </c>
      <c r="G4378" s="1" t="str">
        <f>IFERROR(__xludf.DUMMYFUNCTION("GOOGLETRANSLATE(C4378, ""en"", ""fa"")
"),"چگونه می توانم از داستان سرایی استفاده کنم تا نمایه خود را جذاب تر و خاطره انگیزتر کنم؟")</f>
        <v>چگونه می توانم از داستان سرایی استفاده کنم تا نمایه خود را جذاب تر و خاطره انگیزتر کنم؟</v>
      </c>
      <c r="H4378" s="1"/>
      <c r="I4378" s="1"/>
      <c r="J4378" s="1"/>
      <c r="K4378" s="1"/>
      <c r="L4378" s="1"/>
      <c r="M4378" s="1"/>
      <c r="N4378" s="1"/>
      <c r="O4378" s="1"/>
      <c r="P4378" s="1"/>
      <c r="Q4378" s="1"/>
      <c r="R4378" s="1"/>
      <c r="S4378" s="1"/>
      <c r="T4378" s="1"/>
      <c r="U4378" s="1"/>
      <c r="V4378" s="1"/>
      <c r="W4378" s="1"/>
      <c r="X4378" s="1"/>
      <c r="Y4378" s="1"/>
      <c r="Z4378" s="1"/>
      <c r="AA4378" s="1"/>
      <c r="AB4378" s="1"/>
    </row>
    <row r="4379" ht="50.25" customHeight="1">
      <c r="A4379" s="12">
        <v>4375.0</v>
      </c>
      <c r="B4379" s="13" t="s">
        <v>4379</v>
      </c>
      <c r="C4379" s="14" t="s">
        <v>4398</v>
      </c>
      <c r="D4379" s="1"/>
      <c r="E4379" s="1"/>
      <c r="F4379" s="1" t="str">
        <f>IFERROR(__xludf.DUMMYFUNCTION("GOOGLETRANSLATE(B4379, ""en"", ""fa"")
"),"مشاوره دوستیابی")</f>
        <v>مشاوره دوستیابی</v>
      </c>
      <c r="G4379" s="1" t="str">
        <f>IFERROR(__xludf.DUMMYFUNCTION("GOOGLETRANSLATE(C4379, ""en"", ""fa"")
"),"چند روش خلاقانه برای گنجاندن نقل قول ها یا خطوط مورد علاقه من از فیلم ها / کتاب ها در نمایه من چیست؟")</f>
        <v>چند روش خلاقانه برای گنجاندن نقل قول ها یا خطوط مورد علاقه من از فیلم ها / کتاب ها در نمایه من چیست؟</v>
      </c>
      <c r="H4379" s="1"/>
      <c r="I4379" s="1"/>
      <c r="J4379" s="1"/>
      <c r="K4379" s="1"/>
      <c r="L4379" s="1"/>
      <c r="M4379" s="1"/>
      <c r="N4379" s="1"/>
      <c r="O4379" s="1"/>
      <c r="P4379" s="1"/>
      <c r="Q4379" s="1"/>
      <c r="R4379" s="1"/>
      <c r="S4379" s="1"/>
      <c r="T4379" s="1"/>
      <c r="U4379" s="1"/>
      <c r="V4379" s="1"/>
      <c r="W4379" s="1"/>
      <c r="X4379" s="1"/>
      <c r="Y4379" s="1"/>
      <c r="Z4379" s="1"/>
      <c r="AA4379" s="1"/>
      <c r="AB4379" s="1"/>
    </row>
    <row r="4380" ht="50.25" customHeight="1">
      <c r="A4380" s="12">
        <v>4376.0</v>
      </c>
      <c r="B4380" s="13" t="s">
        <v>4379</v>
      </c>
      <c r="C4380" s="14" t="s">
        <v>4399</v>
      </c>
      <c r="D4380" s="1"/>
      <c r="E4380" s="1"/>
      <c r="F4380" s="1" t="str">
        <f>IFERROR(__xludf.DUMMYFUNCTION("GOOGLETRANSLATE(B4380, ""en"", ""fa"")
"),"مشاوره دوستیابی")</f>
        <v>مشاوره دوستیابی</v>
      </c>
      <c r="G4380" s="1" t="str">
        <f>IFERROR(__xludf.DUMMYFUNCTION("GOOGLETRANSLATE(C4380, ""en"", ""fa"")
"),"چگونه می توانم از زبان توصیفی برای ترسیم تصویری واضح از اینکه چه کسی هستم و از چه چیزی لذت می برم استفاده کنم؟")</f>
        <v>چگونه می توانم از زبان توصیفی برای ترسیم تصویری واضح از اینکه چه کسی هستم و از چه چیزی لذت می برم استفاده کنم؟</v>
      </c>
      <c r="H4380" s="1"/>
      <c r="I4380" s="1"/>
      <c r="J4380" s="1"/>
      <c r="K4380" s="1"/>
      <c r="L4380" s="1"/>
      <c r="M4380" s="1"/>
      <c r="N4380" s="1"/>
      <c r="O4380" s="1"/>
      <c r="P4380" s="1"/>
      <c r="Q4380" s="1"/>
      <c r="R4380" s="1"/>
      <c r="S4380" s="1"/>
      <c r="T4380" s="1"/>
      <c r="U4380" s="1"/>
      <c r="V4380" s="1"/>
      <c r="W4380" s="1"/>
      <c r="X4380" s="1"/>
      <c r="Y4380" s="1"/>
      <c r="Z4380" s="1"/>
      <c r="AA4380" s="1"/>
      <c r="AB4380" s="1"/>
    </row>
    <row r="4381" ht="50.25" customHeight="1">
      <c r="A4381" s="12">
        <v>4377.0</v>
      </c>
      <c r="B4381" s="13" t="s">
        <v>4379</v>
      </c>
      <c r="C4381" s="14" t="s">
        <v>4400</v>
      </c>
      <c r="D4381" s="1"/>
      <c r="E4381" s="1"/>
      <c r="F4381" s="1" t="str">
        <f>IFERROR(__xludf.DUMMYFUNCTION("GOOGLETRANSLATE(B4381, ""en"", ""fa"")
"),"مشاوره دوستیابی")</f>
        <v>مشاوره دوستیابی</v>
      </c>
      <c r="G4381" s="1" t="str">
        <f>IFERROR(__xludf.DUMMYFUNCTION("GOOGLETRANSLATE(C4381, ""en"", ""fa"")
"),"چه راهکارهایی برای پرهیز از کلیشه ها و ایجاد نمایه ای متمایز از دیگران وجود دارد؟")</f>
        <v>چه راهکارهایی برای پرهیز از کلیشه ها و ایجاد نمایه ای متمایز از دیگران وجود دارد؟</v>
      </c>
      <c r="H4381" s="1"/>
      <c r="I4381" s="1"/>
      <c r="J4381" s="1"/>
      <c r="K4381" s="1"/>
      <c r="L4381" s="1"/>
      <c r="M4381" s="1"/>
      <c r="N4381" s="1"/>
      <c r="O4381" s="1"/>
      <c r="P4381" s="1"/>
      <c r="Q4381" s="1"/>
      <c r="R4381" s="1"/>
      <c r="S4381" s="1"/>
      <c r="T4381" s="1"/>
      <c r="U4381" s="1"/>
      <c r="V4381" s="1"/>
      <c r="W4381" s="1"/>
      <c r="X4381" s="1"/>
      <c r="Y4381" s="1"/>
      <c r="Z4381" s="1"/>
      <c r="AA4381" s="1"/>
      <c r="AB4381" s="1"/>
    </row>
    <row r="4382" ht="50.25" customHeight="1">
      <c r="A4382" s="12">
        <v>4378.0</v>
      </c>
      <c r="B4382" s="13" t="s">
        <v>4379</v>
      </c>
      <c r="C4382" s="14" t="s">
        <v>4401</v>
      </c>
      <c r="D4382" s="1"/>
      <c r="E4382" s="1"/>
      <c r="F4382" s="1" t="str">
        <f>IFERROR(__xludf.DUMMYFUNCTION("GOOGLETRANSLATE(B4382, ""en"", ""fa"")
"),"مشاوره دوستیابی")</f>
        <v>مشاوره دوستیابی</v>
      </c>
      <c r="G4382" s="1" t="str">
        <f>IFERROR(__xludf.DUMMYFUNCTION("GOOGLETRANSLATE(C4382, ""en"", ""fa"")
"),"چگونه می توانم عناصر فرهنگ یا میراث خود را در نمایه خود بگنجانم تا هویت خود را به نمایش بگذارم؟")</f>
        <v>چگونه می توانم عناصر فرهنگ یا میراث خود را در نمایه خود بگنجانم تا هویت خود را به نمایش بگذارم؟</v>
      </c>
      <c r="H4382" s="1"/>
      <c r="I4382" s="1"/>
      <c r="J4382" s="1"/>
      <c r="K4382" s="1"/>
      <c r="L4382" s="1"/>
      <c r="M4382" s="1"/>
      <c r="N4382" s="1"/>
      <c r="O4382" s="1"/>
      <c r="P4382" s="1"/>
      <c r="Q4382" s="1"/>
      <c r="R4382" s="1"/>
      <c r="S4382" s="1"/>
      <c r="T4382" s="1"/>
      <c r="U4382" s="1"/>
      <c r="V4382" s="1"/>
      <c r="W4382" s="1"/>
      <c r="X4382" s="1"/>
      <c r="Y4382" s="1"/>
      <c r="Z4382" s="1"/>
      <c r="AA4382" s="1"/>
      <c r="AB4382" s="1"/>
    </row>
    <row r="4383" ht="50.25" customHeight="1">
      <c r="A4383" s="12">
        <v>4379.0</v>
      </c>
      <c r="B4383" s="13" t="s">
        <v>4379</v>
      </c>
      <c r="C4383" s="14" t="s">
        <v>4402</v>
      </c>
      <c r="D4383" s="1"/>
      <c r="E4383" s="1"/>
      <c r="F4383" s="1" t="str">
        <f>IFERROR(__xludf.DUMMYFUNCTION("GOOGLETRANSLATE(B4383, ""en"", ""fa"")
"),"مشاوره دوستیابی")</f>
        <v>مشاوره دوستیابی</v>
      </c>
      <c r="G4383" s="1" t="str">
        <f>IFERROR(__xludf.DUMMYFUNCTION("GOOGLETRANSLATE(C4383, ""en"", ""fa"")
"),"چند نکته برای نوشتن یک عنوان پروفایل جذاب و معنادار چیست؟")</f>
        <v>چند نکته برای نوشتن یک عنوان پروفایل جذاب و معنادار چیست؟</v>
      </c>
      <c r="H4383" s="1"/>
      <c r="I4383" s="1"/>
      <c r="J4383" s="1"/>
      <c r="K4383" s="1"/>
      <c r="L4383" s="1"/>
      <c r="M4383" s="1"/>
      <c r="N4383" s="1"/>
      <c r="O4383" s="1"/>
      <c r="P4383" s="1"/>
      <c r="Q4383" s="1"/>
      <c r="R4383" s="1"/>
      <c r="S4383" s="1"/>
      <c r="T4383" s="1"/>
      <c r="U4383" s="1"/>
      <c r="V4383" s="1"/>
      <c r="W4383" s="1"/>
      <c r="X4383" s="1"/>
      <c r="Y4383" s="1"/>
      <c r="Z4383" s="1"/>
      <c r="AA4383" s="1"/>
      <c r="AB4383" s="1"/>
    </row>
    <row r="4384" ht="50.25" customHeight="1">
      <c r="A4384" s="12">
        <v>4380.0</v>
      </c>
      <c r="B4384" s="13" t="s">
        <v>4379</v>
      </c>
      <c r="C4384" s="14" t="s">
        <v>4403</v>
      </c>
      <c r="D4384" s="1"/>
      <c r="E4384" s="1"/>
      <c r="F4384" s="1" t="str">
        <f>IFERROR(__xludf.DUMMYFUNCTION("GOOGLETRANSLATE(B4384, ""en"", ""fa"")
"),"مشاوره دوستیابی")</f>
        <v>مشاوره دوستیابی</v>
      </c>
      <c r="G4384" s="1" t="str">
        <f>IFERROR(__xludf.DUMMYFUNCTION("GOOGLETRANSLATE(C4384, ""en"", ""fa"")
"),"چگونه می توانم از ایموجی ها به طور موثر برای افزودن شخصیت و جذابیت بصری به نمایه خود استفاده کنم؟")</f>
        <v>چگونه می توانم از ایموجی ها به طور موثر برای افزودن شخصیت و جذابیت بصری به نمایه خود استفاده کنم؟</v>
      </c>
      <c r="H4384" s="1"/>
      <c r="I4384" s="1"/>
      <c r="J4384" s="1"/>
      <c r="K4384" s="1"/>
      <c r="L4384" s="1"/>
      <c r="M4384" s="1"/>
      <c r="N4384" s="1"/>
      <c r="O4384" s="1"/>
      <c r="P4384" s="1"/>
      <c r="Q4384" s="1"/>
      <c r="R4384" s="1"/>
      <c r="S4384" s="1"/>
      <c r="T4384" s="1"/>
      <c r="U4384" s="1"/>
      <c r="V4384" s="1"/>
      <c r="W4384" s="1"/>
      <c r="X4384" s="1"/>
      <c r="Y4384" s="1"/>
      <c r="Z4384" s="1"/>
      <c r="AA4384" s="1"/>
      <c r="AB4384" s="1"/>
    </row>
    <row r="4385" ht="50.25" customHeight="1">
      <c r="A4385" s="12">
        <v>4381.0</v>
      </c>
      <c r="B4385" s="13" t="s">
        <v>4379</v>
      </c>
      <c r="C4385" s="14" t="s">
        <v>4404</v>
      </c>
      <c r="D4385" s="1"/>
      <c r="E4385" s="1"/>
      <c r="F4385" s="1" t="str">
        <f>IFERROR(__xludf.DUMMYFUNCTION("GOOGLETRANSLATE(B4385, ""en"", ""fa"")
"),"مشاوره دوستیابی")</f>
        <v>مشاوره دوستیابی</v>
      </c>
      <c r="G4385" s="1" t="str">
        <f>IFERROR(__xludf.DUMMYFUNCTION("GOOGLETRANSLATE(C4385, ""en"", ""fa"")
"),"چند راه برای نشان دادن حس ماجراجویی و عشق به سفر در پروفایلم چیست؟")</f>
        <v>چند راه برای نشان دادن حس ماجراجویی و عشق به سفر در پروفایلم چیست؟</v>
      </c>
      <c r="H4385" s="1"/>
      <c r="I4385" s="1"/>
      <c r="J4385" s="1"/>
      <c r="K4385" s="1"/>
      <c r="L4385" s="1"/>
      <c r="M4385" s="1"/>
      <c r="N4385" s="1"/>
      <c r="O4385" s="1"/>
      <c r="P4385" s="1"/>
      <c r="Q4385" s="1"/>
      <c r="R4385" s="1"/>
      <c r="S4385" s="1"/>
      <c r="T4385" s="1"/>
      <c r="U4385" s="1"/>
      <c r="V4385" s="1"/>
      <c r="W4385" s="1"/>
      <c r="X4385" s="1"/>
      <c r="Y4385" s="1"/>
      <c r="Z4385" s="1"/>
      <c r="AA4385" s="1"/>
      <c r="AB4385" s="1"/>
    </row>
    <row r="4386" ht="50.25" customHeight="1">
      <c r="A4386" s="12">
        <v>4382.0</v>
      </c>
      <c r="B4386" s="13" t="s">
        <v>4379</v>
      </c>
      <c r="C4386" s="14" t="s">
        <v>4405</v>
      </c>
      <c r="D4386" s="1"/>
      <c r="E4386" s="1"/>
      <c r="F4386" s="1" t="str">
        <f>IFERROR(__xludf.DUMMYFUNCTION("GOOGLETRANSLATE(B4386, ""en"", ""fa"")
"),"مشاوره دوستیابی")</f>
        <v>مشاوره دوستیابی</v>
      </c>
      <c r="G4386" s="1" t="str">
        <f>IFERROR(__xludf.DUMMYFUNCTION("GOOGLETRANSLATE(C4386, ""en"", ""fa"")
"),"چگونه می توانم از مثال ها و حکایات خاص برای نشان دادن علایق و علایقم استفاده کنم؟")</f>
        <v>چگونه می توانم از مثال ها و حکایات خاص برای نشان دادن علایق و علایقم استفاده کنم؟</v>
      </c>
      <c r="H4386" s="1"/>
      <c r="I4386" s="1"/>
      <c r="J4386" s="1"/>
      <c r="K4386" s="1"/>
      <c r="L4386" s="1"/>
      <c r="M4386" s="1"/>
      <c r="N4386" s="1"/>
      <c r="O4386" s="1"/>
      <c r="P4386" s="1"/>
      <c r="Q4386" s="1"/>
      <c r="R4386" s="1"/>
      <c r="S4386" s="1"/>
      <c r="T4386" s="1"/>
      <c r="U4386" s="1"/>
      <c r="V4386" s="1"/>
      <c r="W4386" s="1"/>
      <c r="X4386" s="1"/>
      <c r="Y4386" s="1"/>
      <c r="Z4386" s="1"/>
      <c r="AA4386" s="1"/>
      <c r="AB4386" s="1"/>
    </row>
    <row r="4387" ht="50.25" customHeight="1">
      <c r="A4387" s="12">
        <v>4383.0</v>
      </c>
      <c r="B4387" s="13" t="s">
        <v>4379</v>
      </c>
      <c r="C4387" s="14" t="s">
        <v>4406</v>
      </c>
      <c r="D4387" s="1"/>
      <c r="E4387" s="1"/>
      <c r="F4387" s="1" t="str">
        <f>IFERROR(__xludf.DUMMYFUNCTION("GOOGLETRANSLATE(B4387, ""en"", ""fa"")
"),"مشاوره دوستیابی")</f>
        <v>مشاوره دوستیابی</v>
      </c>
      <c r="G4387" s="1" t="str">
        <f>IFERROR(__xludf.DUMMYFUNCTION("GOOGLETRANSLATE(C4387, ""en"", ""fa"")
"),"چند تکنیک برای جذاب کردن نمایه من با استفاده از عکس ها و قالب بندی چیست؟")</f>
        <v>چند تکنیک برای جذاب کردن نمایه من با استفاده از عکس ها و قالب بندی چیست؟</v>
      </c>
      <c r="H4387" s="1"/>
      <c r="I4387" s="1"/>
      <c r="J4387" s="1"/>
      <c r="K4387" s="1"/>
      <c r="L4387" s="1"/>
      <c r="M4387" s="1"/>
      <c r="N4387" s="1"/>
      <c r="O4387" s="1"/>
      <c r="P4387" s="1"/>
      <c r="Q4387" s="1"/>
      <c r="R4387" s="1"/>
      <c r="S4387" s="1"/>
      <c r="T4387" s="1"/>
      <c r="U4387" s="1"/>
      <c r="V4387" s="1"/>
      <c r="W4387" s="1"/>
      <c r="X4387" s="1"/>
      <c r="Y4387" s="1"/>
      <c r="Z4387" s="1"/>
      <c r="AA4387" s="1"/>
      <c r="AB4387" s="1"/>
    </row>
    <row r="4388" ht="50.25" customHeight="1">
      <c r="A4388" s="12">
        <v>4384.0</v>
      </c>
      <c r="B4388" s="13" t="s">
        <v>4379</v>
      </c>
      <c r="C4388" s="14" t="s">
        <v>4407</v>
      </c>
      <c r="D4388" s="1"/>
      <c r="E4388" s="1"/>
      <c r="F4388" s="1" t="str">
        <f>IFERROR(__xludf.DUMMYFUNCTION("GOOGLETRANSLATE(B4388, ""en"", ""fa"")
"),"مشاوره دوستیابی")</f>
        <v>مشاوره دوستیابی</v>
      </c>
      <c r="G4388" s="1" t="str">
        <f>IFERROR(__xludf.DUMMYFUNCTION("GOOGLETRANSLATE(C4388, ""en"", ""fa"")
"),"چگونه می توانم با گذاشتن کمی رمز و راز در پروفایلم کنجکاوی بیننده را درگیر کنم؟")</f>
        <v>چگونه می توانم با گذاشتن کمی رمز و راز در پروفایلم کنجکاوی بیننده را درگیر کنم؟</v>
      </c>
      <c r="H4388" s="1"/>
      <c r="I4388" s="1"/>
      <c r="J4388" s="1"/>
      <c r="K4388" s="1"/>
      <c r="L4388" s="1"/>
      <c r="M4388" s="1"/>
      <c r="N4388" s="1"/>
      <c r="O4388" s="1"/>
      <c r="P4388" s="1"/>
      <c r="Q4388" s="1"/>
      <c r="R4388" s="1"/>
      <c r="S4388" s="1"/>
      <c r="T4388" s="1"/>
      <c r="U4388" s="1"/>
      <c r="V4388" s="1"/>
      <c r="W4388" s="1"/>
      <c r="X4388" s="1"/>
      <c r="Y4388" s="1"/>
      <c r="Z4388" s="1"/>
      <c r="AA4388" s="1"/>
      <c r="AB4388" s="1"/>
    </row>
    <row r="4389" ht="50.25" customHeight="1">
      <c r="A4389" s="12">
        <v>4385.0</v>
      </c>
      <c r="B4389" s="13" t="s">
        <v>4379</v>
      </c>
      <c r="C4389" s="14" t="s">
        <v>4408</v>
      </c>
      <c r="D4389" s="1"/>
      <c r="E4389" s="1"/>
      <c r="F4389" s="1" t="str">
        <f>IFERROR(__xludf.DUMMYFUNCTION("GOOGLETRANSLATE(B4389, ""en"", ""fa"")
"),"مشاوره دوستیابی")</f>
        <v>مشاوره دوستیابی</v>
      </c>
      <c r="G4389" s="1" t="str">
        <f>IFERROR(__xludf.DUMMYFUNCTION("GOOGLETRANSLATE(C4389, ""en"", ""fa"")
"),"چند نکته برای بیان حس استایل و مد در عکس های پروفایلم چیست؟")</f>
        <v>چند نکته برای بیان حس استایل و مد در عکس های پروفایلم چیست؟</v>
      </c>
      <c r="H4389" s="1"/>
      <c r="I4389" s="1"/>
      <c r="J4389" s="1"/>
      <c r="K4389" s="1"/>
      <c r="L4389" s="1"/>
      <c r="M4389" s="1"/>
      <c r="N4389" s="1"/>
      <c r="O4389" s="1"/>
      <c r="P4389" s="1"/>
      <c r="Q4389" s="1"/>
      <c r="R4389" s="1"/>
      <c r="S4389" s="1"/>
      <c r="T4389" s="1"/>
      <c r="U4389" s="1"/>
      <c r="V4389" s="1"/>
      <c r="W4389" s="1"/>
      <c r="X4389" s="1"/>
      <c r="Y4389" s="1"/>
      <c r="Z4389" s="1"/>
      <c r="AA4389" s="1"/>
      <c r="AB4389" s="1"/>
    </row>
    <row r="4390" ht="50.25" customHeight="1">
      <c r="A4390" s="12">
        <v>4386.0</v>
      </c>
      <c r="B4390" s="13" t="s">
        <v>4379</v>
      </c>
      <c r="C4390" s="14" t="s">
        <v>4409</v>
      </c>
      <c r="D4390" s="1"/>
      <c r="E4390" s="1"/>
      <c r="F4390" s="1" t="str">
        <f>IFERROR(__xludf.DUMMYFUNCTION("GOOGLETRANSLATE(B4390, ""en"", ""fa"")
"),"مشاوره دوستیابی")</f>
        <v>مشاوره دوستیابی</v>
      </c>
      <c r="G4390" s="1" t="str">
        <f>IFERROR(__xludf.DUMMYFUNCTION("GOOGLETRANSLATE(C4390, ""en"", ""fa"")
"),"چگونه می توانم یک نمایه فراگیر و خوشایند ایجاد کنم که به تنوع احترام بگذارد و آن را جشن بگیرد؟")</f>
        <v>چگونه می توانم یک نمایه فراگیر و خوشایند ایجاد کنم که به تنوع احترام بگذارد و آن را جشن بگیرد؟</v>
      </c>
      <c r="H4390" s="1"/>
      <c r="I4390" s="1"/>
      <c r="J4390" s="1"/>
      <c r="K4390" s="1"/>
      <c r="L4390" s="1"/>
      <c r="M4390" s="1"/>
      <c r="N4390" s="1"/>
      <c r="O4390" s="1"/>
      <c r="P4390" s="1"/>
      <c r="Q4390" s="1"/>
      <c r="R4390" s="1"/>
      <c r="S4390" s="1"/>
      <c r="T4390" s="1"/>
      <c r="U4390" s="1"/>
      <c r="V4390" s="1"/>
      <c r="W4390" s="1"/>
      <c r="X4390" s="1"/>
      <c r="Y4390" s="1"/>
      <c r="Z4390" s="1"/>
      <c r="AA4390" s="1"/>
      <c r="AB4390" s="1"/>
    </row>
    <row r="4391" ht="50.25" customHeight="1">
      <c r="A4391" s="12">
        <v>4387.0</v>
      </c>
      <c r="B4391" s="13" t="s">
        <v>4379</v>
      </c>
      <c r="C4391" s="14" t="s">
        <v>4410</v>
      </c>
      <c r="D4391" s="1"/>
      <c r="E4391" s="1"/>
      <c r="F4391" s="1" t="str">
        <f>IFERROR(__xludf.DUMMYFUNCTION("GOOGLETRANSLATE(B4391, ""en"", ""fa"")
"),"مشاوره دوستیابی")</f>
        <v>مشاوره دوستیابی</v>
      </c>
      <c r="G4391" s="1" t="str">
        <f>IFERROR(__xludf.DUMMYFUNCTION("GOOGLETRANSLATE(C4391, ""en"", ""fa"")
"),"چند استراتژی برای گنجاندن دستاوردهای شغلی و حرفه ای من در پروفایلم چیست؟")</f>
        <v>چند استراتژی برای گنجاندن دستاوردهای شغلی و حرفه ای من در پروفایلم چیست؟</v>
      </c>
      <c r="H4391" s="1"/>
      <c r="I4391" s="1"/>
      <c r="J4391" s="1"/>
      <c r="K4391" s="1"/>
      <c r="L4391" s="1"/>
      <c r="M4391" s="1"/>
      <c r="N4391" s="1"/>
      <c r="O4391" s="1"/>
      <c r="P4391" s="1"/>
      <c r="Q4391" s="1"/>
      <c r="R4391" s="1"/>
      <c r="S4391" s="1"/>
      <c r="T4391" s="1"/>
      <c r="U4391" s="1"/>
      <c r="V4391" s="1"/>
      <c r="W4391" s="1"/>
      <c r="X4391" s="1"/>
      <c r="Y4391" s="1"/>
      <c r="Z4391" s="1"/>
      <c r="AA4391" s="1"/>
      <c r="AB4391" s="1"/>
    </row>
    <row r="4392" ht="50.25" customHeight="1">
      <c r="A4392" s="12">
        <v>4388.0</v>
      </c>
      <c r="B4392" s="13" t="s">
        <v>4379</v>
      </c>
      <c r="C4392" s="14" t="s">
        <v>4411</v>
      </c>
      <c r="D4392" s="1"/>
      <c r="E4392" s="1"/>
      <c r="F4392" s="1" t="str">
        <f>IFERROR(__xludf.DUMMYFUNCTION("GOOGLETRANSLATE(B4392, ""en"", ""fa"")
"),"مشاوره دوستیابی")</f>
        <v>مشاوره دوستیابی</v>
      </c>
      <c r="G4392" s="1" t="str">
        <f>IFERROR(__xludf.DUMMYFUNCTION("GOOGLETRANSLATE(C4392, ""en"", ""fa"")
"),"چگونه می توانم از طنز و شوخ طبعی استفاده کنم تا نمایه خود را به یاد ماندنی کنم و اثری ماندگار از خود به جای بگذارم؟")</f>
        <v>چگونه می توانم از طنز و شوخ طبعی استفاده کنم تا نمایه خود را به یاد ماندنی کنم و اثری ماندگار از خود به جای بگذارم؟</v>
      </c>
      <c r="H4392" s="1"/>
      <c r="I4392" s="1"/>
      <c r="J4392" s="1"/>
      <c r="K4392" s="1"/>
      <c r="L4392" s="1"/>
      <c r="M4392" s="1"/>
      <c r="N4392" s="1"/>
      <c r="O4392" s="1"/>
      <c r="P4392" s="1"/>
      <c r="Q4392" s="1"/>
      <c r="R4392" s="1"/>
      <c r="S4392" s="1"/>
      <c r="T4392" s="1"/>
      <c r="U4392" s="1"/>
      <c r="V4392" s="1"/>
      <c r="W4392" s="1"/>
      <c r="X4392" s="1"/>
      <c r="Y4392" s="1"/>
      <c r="Z4392" s="1"/>
      <c r="AA4392" s="1"/>
      <c r="AB4392" s="1"/>
    </row>
    <row r="4393" ht="50.25" customHeight="1">
      <c r="A4393" s="12">
        <v>4389.0</v>
      </c>
      <c r="B4393" s="13" t="s">
        <v>4379</v>
      </c>
      <c r="C4393" s="14" t="s">
        <v>4412</v>
      </c>
      <c r="D4393" s="1"/>
      <c r="E4393" s="1"/>
      <c r="F4393" s="1" t="str">
        <f>IFERROR(__xludf.DUMMYFUNCTION("GOOGLETRANSLATE(B4393, ""en"", ""fa"")
"),"مشاوره دوستیابی")</f>
        <v>مشاوره دوستیابی</v>
      </c>
      <c r="G4393" s="1" t="str">
        <f>IFERROR(__xludf.DUMMYFUNCTION("GOOGLETRANSLATE(C4393, ""en"", ""fa"")
"),"چند راه برای نشان دادن عشق من به غذا و ماجراجویی های آشپزی در پروفایلم چیست؟")</f>
        <v>چند راه برای نشان دادن عشق من به غذا و ماجراجویی های آشپزی در پروفایلم چیست؟</v>
      </c>
      <c r="H4393" s="1"/>
      <c r="I4393" s="1"/>
      <c r="J4393" s="1"/>
      <c r="K4393" s="1"/>
      <c r="L4393" s="1"/>
      <c r="M4393" s="1"/>
      <c r="N4393" s="1"/>
      <c r="O4393" s="1"/>
      <c r="P4393" s="1"/>
      <c r="Q4393" s="1"/>
      <c r="R4393" s="1"/>
      <c r="S4393" s="1"/>
      <c r="T4393" s="1"/>
      <c r="U4393" s="1"/>
      <c r="V4393" s="1"/>
      <c r="W4393" s="1"/>
      <c r="X4393" s="1"/>
      <c r="Y4393" s="1"/>
      <c r="Z4393" s="1"/>
      <c r="AA4393" s="1"/>
      <c r="AB4393" s="1"/>
    </row>
    <row r="4394" ht="50.25" customHeight="1">
      <c r="A4394" s="12">
        <v>4390.0</v>
      </c>
      <c r="B4394" s="13" t="s">
        <v>4379</v>
      </c>
      <c r="C4394" s="14" t="s">
        <v>4413</v>
      </c>
      <c r="D4394" s="1"/>
      <c r="E4394" s="1"/>
      <c r="F4394" s="1" t="str">
        <f>IFERROR(__xludf.DUMMYFUNCTION("GOOGLETRANSLATE(B4394, ""en"", ""fa"")
"),"مشاوره دوستیابی")</f>
        <v>مشاوره دوستیابی</v>
      </c>
      <c r="G4394" s="1" t="str">
        <f>IFERROR(__xludf.DUMMYFUNCTION("GOOGLETRANSLATE(C4394, ""en"", ""fa"")
"),"چگونه می توانم از پیام ها یا سؤالات در نمایه خود برای ایجاد مکالمات جالب با موارد مشابه استفاده کنم؟")</f>
        <v>چگونه می توانم از پیام ها یا سؤالات در نمایه خود برای ایجاد مکالمات جالب با موارد مشابه استفاده کنم؟</v>
      </c>
      <c r="H4394" s="1"/>
      <c r="I4394" s="1"/>
      <c r="J4394" s="1"/>
      <c r="K4394" s="1"/>
      <c r="L4394" s="1"/>
      <c r="M4394" s="1"/>
      <c r="N4394" s="1"/>
      <c r="O4394" s="1"/>
      <c r="P4394" s="1"/>
      <c r="Q4394" s="1"/>
      <c r="R4394" s="1"/>
      <c r="S4394" s="1"/>
      <c r="T4394" s="1"/>
      <c r="U4394" s="1"/>
      <c r="V4394" s="1"/>
      <c r="W4394" s="1"/>
      <c r="X4394" s="1"/>
      <c r="Y4394" s="1"/>
      <c r="Z4394" s="1"/>
      <c r="AA4394" s="1"/>
      <c r="AB4394" s="1"/>
    </row>
    <row r="4395" ht="50.25" customHeight="1">
      <c r="A4395" s="12">
        <v>4391.0</v>
      </c>
      <c r="B4395" s="13" t="s">
        <v>4379</v>
      </c>
      <c r="C4395" s="14" t="s">
        <v>4414</v>
      </c>
      <c r="D4395" s="1"/>
      <c r="E4395" s="1"/>
      <c r="F4395" s="1" t="str">
        <f>IFERROR(__xludf.DUMMYFUNCTION("GOOGLETRANSLATE(B4395, ""en"", ""fa"")
"),"مشاوره دوستیابی")</f>
        <v>مشاوره دوستیابی</v>
      </c>
      <c r="G4395" s="1" t="str">
        <f>IFERROR(__xludf.DUMMYFUNCTION("GOOGLETRANSLATE(C4395, ""en"", ""fa"")
"),"نکاتی برای ایجاد نمایه ای که برای یک گروه خاص یا گروه مورد علاقه جذاب باشد چیست؟")</f>
        <v>نکاتی برای ایجاد نمایه ای که برای یک گروه خاص یا گروه مورد علاقه جذاب باشد چیست؟</v>
      </c>
      <c r="H4395" s="1"/>
      <c r="I4395" s="1"/>
      <c r="J4395" s="1"/>
      <c r="K4395" s="1"/>
      <c r="L4395" s="1"/>
      <c r="M4395" s="1"/>
      <c r="N4395" s="1"/>
      <c r="O4395" s="1"/>
      <c r="P4395" s="1"/>
      <c r="Q4395" s="1"/>
      <c r="R4395" s="1"/>
      <c r="S4395" s="1"/>
      <c r="T4395" s="1"/>
      <c r="U4395" s="1"/>
      <c r="V4395" s="1"/>
      <c r="W4395" s="1"/>
      <c r="X4395" s="1"/>
      <c r="Y4395" s="1"/>
      <c r="Z4395" s="1"/>
      <c r="AA4395" s="1"/>
      <c r="AB4395" s="1"/>
    </row>
    <row r="4396" ht="50.25" customHeight="1">
      <c r="A4396" s="12">
        <v>4392.0</v>
      </c>
      <c r="B4396" s="13" t="s">
        <v>4379</v>
      </c>
      <c r="C4396" s="14" t="s">
        <v>4415</v>
      </c>
      <c r="D4396" s="1"/>
      <c r="E4396" s="1"/>
      <c r="F4396" s="1" t="str">
        <f>IFERROR(__xludf.DUMMYFUNCTION("GOOGLETRANSLATE(B4396, ""en"", ""fa"")
"),"مشاوره دوستیابی")</f>
        <v>مشاوره دوستیابی</v>
      </c>
      <c r="G4396" s="1" t="str">
        <f>IFERROR(__xludf.DUMMYFUNCTION("GOOGLETRANSLATE(C4396, ""en"", ""fa"")
"),"چگونه می توانم استعدادهای هنری یا سرگرمی های خلاقانه خود را از طریق نمایه خود به نمایش بگذارم؟")</f>
        <v>چگونه می توانم استعدادهای هنری یا سرگرمی های خلاقانه خود را از طریق نمایه خود به نمایش بگذارم؟</v>
      </c>
      <c r="H4396" s="1"/>
      <c r="I4396" s="1"/>
      <c r="J4396" s="1"/>
      <c r="K4396" s="1"/>
      <c r="L4396" s="1"/>
      <c r="M4396" s="1"/>
      <c r="N4396" s="1"/>
      <c r="O4396" s="1"/>
      <c r="P4396" s="1"/>
      <c r="Q4396" s="1"/>
      <c r="R4396" s="1"/>
      <c r="S4396" s="1"/>
      <c r="T4396" s="1"/>
      <c r="U4396" s="1"/>
      <c r="V4396" s="1"/>
      <c r="W4396" s="1"/>
      <c r="X4396" s="1"/>
      <c r="Y4396" s="1"/>
      <c r="Z4396" s="1"/>
      <c r="AA4396" s="1"/>
      <c r="AB4396" s="1"/>
    </row>
    <row r="4397" ht="50.25" customHeight="1">
      <c r="A4397" s="12">
        <v>4393.0</v>
      </c>
      <c r="B4397" s="13" t="s">
        <v>4379</v>
      </c>
      <c r="C4397" s="14" t="s">
        <v>4416</v>
      </c>
      <c r="D4397" s="1"/>
      <c r="E4397" s="1"/>
      <c r="F4397" s="1" t="str">
        <f>IFERROR(__xludf.DUMMYFUNCTION("GOOGLETRANSLATE(B4397, ""en"", ""fa"")
"),"مشاوره دوستیابی")</f>
        <v>مشاوره دوستیابی</v>
      </c>
      <c r="G4397" s="1" t="str">
        <f>IFERROR(__xludf.DUMMYFUNCTION("GOOGLETRANSLATE(C4397, ""en"", ""fa"")
"),"چند تکنیک برای بیان ارزش ها و باورهایم بدون اینکه موعظه یا قضاوت به نظر برسند چیست؟")</f>
        <v>چند تکنیک برای بیان ارزش ها و باورهایم بدون اینکه موعظه یا قضاوت به نظر برسند چیست؟</v>
      </c>
      <c r="H4397" s="1"/>
      <c r="I4397" s="1"/>
      <c r="J4397" s="1"/>
      <c r="K4397" s="1"/>
      <c r="L4397" s="1"/>
      <c r="M4397" s="1"/>
      <c r="N4397" s="1"/>
      <c r="O4397" s="1"/>
      <c r="P4397" s="1"/>
      <c r="Q4397" s="1"/>
      <c r="R4397" s="1"/>
      <c r="S4397" s="1"/>
      <c r="T4397" s="1"/>
      <c r="U4397" s="1"/>
      <c r="V4397" s="1"/>
      <c r="W4397" s="1"/>
      <c r="X4397" s="1"/>
      <c r="Y4397" s="1"/>
      <c r="Z4397" s="1"/>
      <c r="AA4397" s="1"/>
      <c r="AB4397" s="1"/>
    </row>
    <row r="4398" ht="50.25" customHeight="1">
      <c r="A4398" s="12">
        <v>4394.0</v>
      </c>
      <c r="B4398" s="13" t="s">
        <v>4379</v>
      </c>
      <c r="C4398" s="14" t="s">
        <v>4417</v>
      </c>
      <c r="D4398" s="1"/>
      <c r="E4398" s="1"/>
      <c r="F4398" s="1" t="str">
        <f>IFERROR(__xludf.DUMMYFUNCTION("GOOGLETRANSLATE(B4398, ""en"", ""fa"")
"),"مشاوره دوستیابی")</f>
        <v>مشاوره دوستیابی</v>
      </c>
      <c r="G4398" s="1" t="str">
        <f>IFERROR(__xludf.DUMMYFUNCTION("GOOGLETRANSLATE(C4398, ""en"", ""fa"")
"),"چگونه می توانم از زبان مثبت و اظهارات خوش بینانه برای ایجاد نمایه ای نشاط آور استفاده کنم؟")</f>
        <v>چگونه می توانم از زبان مثبت و اظهارات خوش بینانه برای ایجاد نمایه ای نشاط آور استفاده کنم؟</v>
      </c>
      <c r="H4398" s="1"/>
      <c r="I4398" s="1"/>
      <c r="J4398" s="1"/>
      <c r="K4398" s="1"/>
      <c r="L4398" s="1"/>
      <c r="M4398" s="1"/>
      <c r="N4398" s="1"/>
      <c r="O4398" s="1"/>
      <c r="P4398" s="1"/>
      <c r="Q4398" s="1"/>
      <c r="R4398" s="1"/>
      <c r="S4398" s="1"/>
      <c r="T4398" s="1"/>
      <c r="U4398" s="1"/>
      <c r="V4398" s="1"/>
      <c r="W4398" s="1"/>
      <c r="X4398" s="1"/>
      <c r="Y4398" s="1"/>
      <c r="Z4398" s="1"/>
      <c r="AA4398" s="1"/>
      <c r="AB4398" s="1"/>
    </row>
    <row r="4399" ht="50.25" customHeight="1">
      <c r="A4399" s="12">
        <v>4395.0</v>
      </c>
      <c r="B4399" s="13" t="s">
        <v>4379</v>
      </c>
      <c r="C4399" s="14" t="s">
        <v>4418</v>
      </c>
      <c r="D4399" s="1"/>
      <c r="E4399" s="1"/>
      <c r="F4399" s="1" t="str">
        <f>IFERROR(__xludf.DUMMYFUNCTION("GOOGLETRANSLATE(B4399, ""en"", ""fa"")
"),"مشاوره دوستیابی")</f>
        <v>مشاوره دوستیابی</v>
      </c>
      <c r="G4399" s="1" t="str">
        <f>IFERROR(__xludf.DUMMYFUNCTION("GOOGLETRANSLATE(C4399, ""en"", ""fa"")
"),"چند راه برای نشان دادن سبک زندگی فعال و عشق به تناسب اندام در پروفایلم چیست؟")</f>
        <v>چند راه برای نشان دادن سبک زندگی فعال و عشق به تناسب اندام در پروفایلم چیست؟</v>
      </c>
      <c r="H4399" s="1"/>
      <c r="I4399" s="1"/>
      <c r="J4399" s="1"/>
      <c r="K4399" s="1"/>
      <c r="L4399" s="1"/>
      <c r="M4399" s="1"/>
      <c r="N4399" s="1"/>
      <c r="O4399" s="1"/>
      <c r="P4399" s="1"/>
      <c r="Q4399" s="1"/>
      <c r="R4399" s="1"/>
      <c r="S4399" s="1"/>
      <c r="T4399" s="1"/>
      <c r="U4399" s="1"/>
      <c r="V4399" s="1"/>
      <c r="W4399" s="1"/>
      <c r="X4399" s="1"/>
      <c r="Y4399" s="1"/>
      <c r="Z4399" s="1"/>
      <c r="AA4399" s="1"/>
      <c r="AB4399" s="1"/>
    </row>
    <row r="4400" ht="50.25" customHeight="1">
      <c r="A4400" s="12">
        <v>4396.0</v>
      </c>
      <c r="B4400" s="13" t="s">
        <v>4379</v>
      </c>
      <c r="C4400" s="14" t="s">
        <v>4419</v>
      </c>
      <c r="D4400" s="1"/>
      <c r="E4400" s="1"/>
      <c r="F4400" s="1" t="str">
        <f>IFERROR(__xludf.DUMMYFUNCTION("GOOGLETRANSLATE(B4400, ""en"", ""fa"")
"),"مشاوره دوستیابی")</f>
        <v>مشاوره دوستیابی</v>
      </c>
      <c r="G4400" s="1" t="str">
        <f>IFERROR(__xludf.DUMMYFUNCTION("GOOGLETRANSLATE(C4400, ""en"", ""fa"")
"),"چگونه می توانم عشق خود را به حیوانات یا حیوانات خانگی در نمایه خود به گونه ای نشان دهم که با دیگران طنین انداز شود؟")</f>
        <v>چگونه می توانم عشق خود را به حیوانات یا حیوانات خانگی در نمایه خود به گونه ای نشان دهم که با دیگران طنین انداز شود؟</v>
      </c>
      <c r="H4400" s="1"/>
      <c r="I4400" s="1"/>
      <c r="J4400" s="1"/>
      <c r="K4400" s="1"/>
      <c r="L4400" s="1"/>
      <c r="M4400" s="1"/>
      <c r="N4400" s="1"/>
      <c r="O4400" s="1"/>
      <c r="P4400" s="1"/>
      <c r="Q4400" s="1"/>
      <c r="R4400" s="1"/>
      <c r="S4400" s="1"/>
      <c r="T4400" s="1"/>
      <c r="U4400" s="1"/>
      <c r="V4400" s="1"/>
      <c r="W4400" s="1"/>
      <c r="X4400" s="1"/>
      <c r="Y4400" s="1"/>
      <c r="Z4400" s="1"/>
      <c r="AA4400" s="1"/>
      <c r="AB4400" s="1"/>
    </row>
    <row r="4401" ht="50.25" customHeight="1">
      <c r="A4401" s="12">
        <v>4397.0</v>
      </c>
      <c r="B4401" s="13" t="s">
        <v>4379</v>
      </c>
      <c r="C4401" s="14" t="s">
        <v>4420</v>
      </c>
      <c r="D4401" s="1"/>
      <c r="E4401" s="1"/>
      <c r="F4401" s="1" t="str">
        <f>IFERROR(__xludf.DUMMYFUNCTION("GOOGLETRANSLATE(B4401, ""en"", ""fa"")
"),"مشاوره دوستیابی")</f>
        <v>مشاوره دوستیابی</v>
      </c>
      <c r="G4401" s="1" t="str">
        <f>IFERROR(__xludf.DUMMYFUNCTION("GOOGLETRANSLATE(C4401, ""en"", ""fa"")
"),"نکاتی برای ایجاد نمایه ای که افراد همفکر با علایق مشابه را جذب می کند، چیست؟")</f>
        <v>نکاتی برای ایجاد نمایه ای که افراد همفکر با علایق مشابه را جذب می کند، چیست؟</v>
      </c>
      <c r="H4401" s="1"/>
      <c r="I4401" s="1"/>
      <c r="J4401" s="1"/>
      <c r="K4401" s="1"/>
      <c r="L4401" s="1"/>
      <c r="M4401" s="1"/>
      <c r="N4401" s="1"/>
      <c r="O4401" s="1"/>
      <c r="P4401" s="1"/>
      <c r="Q4401" s="1"/>
      <c r="R4401" s="1"/>
      <c r="S4401" s="1"/>
      <c r="T4401" s="1"/>
      <c r="U4401" s="1"/>
      <c r="V4401" s="1"/>
      <c r="W4401" s="1"/>
      <c r="X4401" s="1"/>
      <c r="Y4401" s="1"/>
      <c r="Z4401" s="1"/>
      <c r="AA4401" s="1"/>
      <c r="AB4401" s="1"/>
    </row>
    <row r="4402" ht="50.25" customHeight="1">
      <c r="A4402" s="12">
        <v>4398.0</v>
      </c>
      <c r="B4402" s="13" t="s">
        <v>4379</v>
      </c>
      <c r="C4402" s="14" t="s">
        <v>4421</v>
      </c>
      <c r="D4402" s="1"/>
      <c r="E4402" s="1"/>
      <c r="F4402" s="1" t="str">
        <f>IFERROR(__xludf.DUMMYFUNCTION("GOOGLETRANSLATE(B4402, ""en"", ""fa"")
"),"مشاوره دوستیابی")</f>
        <v>مشاوره دوستیابی</v>
      </c>
      <c r="G4402" s="1" t="str">
        <f>IFERROR(__xludf.DUMMYFUNCTION("GOOGLETRANSLATE(C4402, ""en"", ""fa"")
"),"چگونه می توانم از داستان سرایی یا حکایات برای انتقال شخصیت و ارزش هایم در پروفایلم استفاده کنم؟")</f>
        <v>چگونه می توانم از داستان سرایی یا حکایات برای انتقال شخصیت و ارزش هایم در پروفایلم استفاده کنم؟</v>
      </c>
      <c r="H4402" s="1"/>
      <c r="I4402" s="1"/>
      <c r="J4402" s="1"/>
      <c r="K4402" s="1"/>
      <c r="L4402" s="1"/>
      <c r="M4402" s="1"/>
      <c r="N4402" s="1"/>
      <c r="O4402" s="1"/>
      <c r="P4402" s="1"/>
      <c r="Q4402" s="1"/>
      <c r="R4402" s="1"/>
      <c r="S4402" s="1"/>
      <c r="T4402" s="1"/>
      <c r="U4402" s="1"/>
      <c r="V4402" s="1"/>
      <c r="W4402" s="1"/>
      <c r="X4402" s="1"/>
      <c r="Y4402" s="1"/>
      <c r="Z4402" s="1"/>
      <c r="AA4402" s="1"/>
      <c r="AB4402" s="1"/>
    </row>
    <row r="4403" ht="50.25" customHeight="1">
      <c r="A4403" s="12">
        <v>4399.0</v>
      </c>
      <c r="B4403" s="13" t="s">
        <v>4379</v>
      </c>
      <c r="C4403" s="14" t="s">
        <v>4422</v>
      </c>
      <c r="D4403" s="1"/>
      <c r="E4403" s="1"/>
      <c r="F4403" s="1" t="str">
        <f>IFERROR(__xludf.DUMMYFUNCTION("GOOGLETRANSLATE(B4403, ""en"", ""fa"")
"),"مشاوره دوستیابی")</f>
        <v>مشاوره دوستیابی</v>
      </c>
      <c r="G4403" s="1" t="str">
        <f>IFERROR(__xludf.DUMMYFUNCTION("GOOGLETRANSLATE(C4403, ""en"", ""fa"")
"),"چند استراتژی برای گنجاندن عناصر سرگرمی ها یا فعالیت های مورد علاقه من در نمایه من چیست؟")</f>
        <v>چند استراتژی برای گنجاندن عناصر سرگرمی ها یا فعالیت های مورد علاقه من در نمایه من چیست؟</v>
      </c>
      <c r="H4403" s="1"/>
      <c r="I4403" s="1"/>
      <c r="J4403" s="1"/>
      <c r="K4403" s="1"/>
      <c r="L4403" s="1"/>
      <c r="M4403" s="1"/>
      <c r="N4403" s="1"/>
      <c r="O4403" s="1"/>
      <c r="P4403" s="1"/>
      <c r="Q4403" s="1"/>
      <c r="R4403" s="1"/>
      <c r="S4403" s="1"/>
      <c r="T4403" s="1"/>
      <c r="U4403" s="1"/>
      <c r="V4403" s="1"/>
      <c r="W4403" s="1"/>
      <c r="X4403" s="1"/>
      <c r="Y4403" s="1"/>
      <c r="Z4403" s="1"/>
      <c r="AA4403" s="1"/>
      <c r="AB4403" s="1"/>
    </row>
    <row r="4404" ht="50.25" customHeight="1">
      <c r="A4404" s="12">
        <v>4400.0</v>
      </c>
      <c r="B4404" s="13" t="s">
        <v>4379</v>
      </c>
      <c r="C4404" s="14" t="s">
        <v>4423</v>
      </c>
      <c r="D4404" s="1"/>
      <c r="E4404" s="1"/>
      <c r="F4404" s="1" t="str">
        <f>IFERROR(__xludf.DUMMYFUNCTION("GOOGLETRANSLATE(B4404, ""en"", ""fa"")
"),"مشاوره دوستیابی")</f>
        <v>مشاوره دوستیابی</v>
      </c>
      <c r="G4404" s="1" t="str">
        <f>IFERROR(__xludf.DUMMYFUNCTION("GOOGLETRANSLATE(C4404, ""en"", ""fa"")
"),"چگونه می توانم قدردانی خود را از هنر (موسیقی، ادبیات، تئاتر و غیره) در پروفایلم نشان دهم؟")</f>
        <v>چگونه می توانم قدردانی خود را از هنر (موسیقی، ادبیات، تئاتر و غیره) در پروفایلم نشان دهم؟</v>
      </c>
      <c r="H4404" s="1"/>
      <c r="I4404" s="1"/>
      <c r="J4404" s="1"/>
      <c r="K4404" s="1"/>
      <c r="L4404" s="1"/>
      <c r="M4404" s="1"/>
      <c r="N4404" s="1"/>
      <c r="O4404" s="1"/>
      <c r="P4404" s="1"/>
      <c r="Q4404" s="1"/>
      <c r="R4404" s="1"/>
      <c r="S4404" s="1"/>
      <c r="T4404" s="1"/>
      <c r="U4404" s="1"/>
      <c r="V4404" s="1"/>
      <c r="W4404" s="1"/>
      <c r="X4404" s="1"/>
      <c r="Y4404" s="1"/>
      <c r="Z4404" s="1"/>
      <c r="AA4404" s="1"/>
      <c r="AB4404" s="1"/>
    </row>
    <row r="4405" ht="50.25" customHeight="1">
      <c r="A4405" s="12">
        <v>4401.0</v>
      </c>
      <c r="B4405" s="13" t="s">
        <v>4379</v>
      </c>
      <c r="C4405" s="14" t="s">
        <v>4424</v>
      </c>
      <c r="D4405" s="1"/>
      <c r="E4405" s="1"/>
      <c r="F4405" s="1" t="str">
        <f>IFERROR(__xludf.DUMMYFUNCTION("GOOGLETRANSLATE(B4405, ""en"", ""fa"")
"),"مشاوره دوستیابی")</f>
        <v>مشاوره دوستیابی</v>
      </c>
      <c r="G4405" s="1" t="str">
        <f>IFERROR(__xludf.DUMMYFUNCTION("GOOGLETRANSLATE(C4405, ""en"", ""fa"")
"),"چند راه برای نشان دادن حس شوخ طبعی خود از طریق زیرنویس های هوشمندانه یا اظهارات شوخ در نمایه من چیست؟")</f>
        <v>چند راه برای نشان دادن حس شوخ طبعی خود از طریق زیرنویس های هوشمندانه یا اظهارات شوخ در نمایه من چیست؟</v>
      </c>
      <c r="H4405" s="1"/>
      <c r="I4405" s="1"/>
      <c r="J4405" s="1"/>
      <c r="K4405" s="1"/>
      <c r="L4405" s="1"/>
      <c r="M4405" s="1"/>
      <c r="N4405" s="1"/>
      <c r="O4405" s="1"/>
      <c r="P4405" s="1"/>
      <c r="Q4405" s="1"/>
      <c r="R4405" s="1"/>
      <c r="S4405" s="1"/>
      <c r="T4405" s="1"/>
      <c r="U4405" s="1"/>
      <c r="V4405" s="1"/>
      <c r="W4405" s="1"/>
      <c r="X4405" s="1"/>
      <c r="Y4405" s="1"/>
      <c r="Z4405" s="1"/>
      <c r="AA4405" s="1"/>
      <c r="AB4405" s="1"/>
    </row>
    <row r="4406" ht="50.25" customHeight="1">
      <c r="A4406" s="12">
        <v>4402.0</v>
      </c>
      <c r="B4406" s="13" t="s">
        <v>4379</v>
      </c>
      <c r="C4406" s="14" t="s">
        <v>4425</v>
      </c>
      <c r="D4406" s="1"/>
      <c r="E4406" s="1"/>
      <c r="F4406" s="1" t="str">
        <f>IFERROR(__xludf.DUMMYFUNCTION("GOOGLETRANSLATE(B4406, ""en"", ""fa"")
"),"مشاوره دوستیابی")</f>
        <v>مشاوره دوستیابی</v>
      </c>
      <c r="G4406" s="1" t="str">
        <f>IFERROR(__xludf.DUMMYFUNCTION("GOOGLETRANSLATE(C4406, ""en"", ""fa"")
"),"چگونه می توانم از زبان توصیفی برای ایجاد تصویری واضح از نوع رابطه ای که به دنبال آن هستم استفاده کنم؟")</f>
        <v>چگونه می توانم از زبان توصیفی برای ایجاد تصویری واضح از نوع رابطه ای که به دنبال آن هستم استفاده کنم؟</v>
      </c>
      <c r="H4406" s="1"/>
      <c r="I4406" s="1"/>
      <c r="J4406" s="1"/>
      <c r="K4406" s="1"/>
      <c r="L4406" s="1"/>
      <c r="M4406" s="1"/>
      <c r="N4406" s="1"/>
      <c r="O4406" s="1"/>
      <c r="P4406" s="1"/>
      <c r="Q4406" s="1"/>
      <c r="R4406" s="1"/>
      <c r="S4406" s="1"/>
      <c r="T4406" s="1"/>
      <c r="U4406" s="1"/>
      <c r="V4406" s="1"/>
      <c r="W4406" s="1"/>
      <c r="X4406" s="1"/>
      <c r="Y4406" s="1"/>
      <c r="Z4406" s="1"/>
      <c r="AA4406" s="1"/>
      <c r="AB4406" s="1"/>
    </row>
    <row r="4407" ht="50.25" customHeight="1">
      <c r="A4407" s="12">
        <v>4403.0</v>
      </c>
      <c r="B4407" s="13" t="s">
        <v>4379</v>
      </c>
      <c r="C4407" s="14" t="s">
        <v>4426</v>
      </c>
      <c r="D4407" s="1"/>
      <c r="E4407" s="1"/>
      <c r="F4407" s="1" t="str">
        <f>IFERROR(__xludf.DUMMYFUNCTION("GOOGLETRANSLATE(B4407, ""en"", ""fa"")
"),"مشاوره دوستیابی")</f>
        <v>مشاوره دوستیابی</v>
      </c>
      <c r="G4407" s="1" t="str">
        <f>IFERROR(__xludf.DUMMYFUNCTION("GOOGLETRANSLATE(C4407, ""en"", ""fa"")
"),"چند نکته برای ایجاد نمایه ای که نشان دهنده نیات و صداقت واقعی من باشد چیست؟")</f>
        <v>چند نکته برای ایجاد نمایه ای که نشان دهنده نیات و صداقت واقعی من باشد چیست؟</v>
      </c>
      <c r="H4407" s="1"/>
      <c r="I4407" s="1"/>
      <c r="J4407" s="1"/>
      <c r="K4407" s="1"/>
      <c r="L4407" s="1"/>
      <c r="M4407" s="1"/>
      <c r="N4407" s="1"/>
      <c r="O4407" s="1"/>
      <c r="P4407" s="1"/>
      <c r="Q4407" s="1"/>
      <c r="R4407" s="1"/>
      <c r="S4407" s="1"/>
      <c r="T4407" s="1"/>
      <c r="U4407" s="1"/>
      <c r="V4407" s="1"/>
      <c r="W4407" s="1"/>
      <c r="X4407" s="1"/>
      <c r="Y4407" s="1"/>
      <c r="Z4407" s="1"/>
      <c r="AA4407" s="1"/>
      <c r="AB4407" s="1"/>
    </row>
    <row r="4408" ht="50.25" customHeight="1">
      <c r="A4408" s="12">
        <v>4404.0</v>
      </c>
      <c r="B4408" s="13" t="s">
        <v>4379</v>
      </c>
      <c r="C4408" s="14" t="s">
        <v>4427</v>
      </c>
      <c r="D4408" s="1"/>
      <c r="E4408" s="1"/>
      <c r="F4408" s="1" t="str">
        <f>IFERROR(__xludf.DUMMYFUNCTION("GOOGLETRANSLATE(B4408, ""en"", ""fa"")
"),"مشاوره دوستیابی")</f>
        <v>مشاوره دوستیابی</v>
      </c>
      <c r="G4408" s="1" t="str">
        <f>IFERROR(__xludf.DUMMYFUNCTION("GOOGLETRANSLATE(C4408, ""en"", ""fa"")
"),"چگونه می توانم عناصر برنامه های تلویزیونی یا فیلم های مورد علاقه خود را در نمایه خود بگنجانم تا علایق مشترک را ایجاد کنم؟")</f>
        <v>چگونه می توانم عناصر برنامه های تلویزیونی یا فیلم های مورد علاقه خود را در نمایه خود بگنجانم تا علایق مشترک را ایجاد کنم؟</v>
      </c>
      <c r="H4408" s="1"/>
      <c r="I4408" s="1"/>
      <c r="J4408" s="1"/>
      <c r="K4408" s="1"/>
      <c r="L4408" s="1"/>
      <c r="M4408" s="1"/>
      <c r="N4408" s="1"/>
      <c r="O4408" s="1"/>
      <c r="P4408" s="1"/>
      <c r="Q4408" s="1"/>
      <c r="R4408" s="1"/>
      <c r="S4408" s="1"/>
      <c r="T4408" s="1"/>
      <c r="U4408" s="1"/>
      <c r="V4408" s="1"/>
      <c r="W4408" s="1"/>
      <c r="X4408" s="1"/>
      <c r="Y4408" s="1"/>
      <c r="Z4408" s="1"/>
      <c r="AA4408" s="1"/>
      <c r="AB4408" s="1"/>
    </row>
    <row r="4409" ht="50.25" customHeight="1">
      <c r="A4409" s="12">
        <v>4405.0</v>
      </c>
      <c r="B4409" s="13" t="s">
        <v>4379</v>
      </c>
      <c r="C4409" s="14" t="s">
        <v>4428</v>
      </c>
      <c r="D4409" s="1"/>
      <c r="E4409" s="1"/>
      <c r="F4409" s="1" t="str">
        <f>IFERROR(__xludf.DUMMYFUNCTION("GOOGLETRANSLATE(B4409, ""en"", ""fa"")
"),"مشاوره دوستیابی")</f>
        <v>مشاوره دوستیابی</v>
      </c>
      <c r="G4409" s="1" t="str">
        <f>IFERROR(__xludf.DUMMYFUNCTION("GOOGLETRANSLATE(C4409, ""en"", ""fa"")
"),"چند تکنیک برای نشان دادن عشق من به طبیعت و فعالیت های خارج از منزل در پروفایلم چیست؟")</f>
        <v>چند تکنیک برای نشان دادن عشق من به طبیعت و فعالیت های خارج از منزل در پروفایلم چیست؟</v>
      </c>
      <c r="H4409" s="1"/>
      <c r="I4409" s="1"/>
      <c r="J4409" s="1"/>
      <c r="K4409" s="1"/>
      <c r="L4409" s="1"/>
      <c r="M4409" s="1"/>
      <c r="N4409" s="1"/>
      <c r="O4409" s="1"/>
      <c r="P4409" s="1"/>
      <c r="Q4409" s="1"/>
      <c r="R4409" s="1"/>
      <c r="S4409" s="1"/>
      <c r="T4409" s="1"/>
      <c r="U4409" s="1"/>
      <c r="V4409" s="1"/>
      <c r="W4409" s="1"/>
      <c r="X4409" s="1"/>
      <c r="Y4409" s="1"/>
      <c r="Z4409" s="1"/>
      <c r="AA4409" s="1"/>
      <c r="AB4409" s="1"/>
    </row>
    <row r="4410" ht="50.25" customHeight="1">
      <c r="A4410" s="12">
        <v>4406.0</v>
      </c>
      <c r="B4410" s="13" t="s">
        <v>4379</v>
      </c>
      <c r="C4410" s="14" t="s">
        <v>4429</v>
      </c>
      <c r="D4410" s="1"/>
      <c r="E4410" s="1"/>
      <c r="F4410" s="1" t="str">
        <f>IFERROR(__xludf.DUMMYFUNCTION("GOOGLETRANSLATE(B4410, ""en"", ""fa"")
"),"مشاوره دوستیابی")</f>
        <v>مشاوره دوستیابی</v>
      </c>
      <c r="G4410" s="1" t="str">
        <f>IFERROR(__xludf.DUMMYFUNCTION("GOOGLETRANSLATE(C4410, ""en"", ""fa"")
"),"چگونه می توانم از داستان سرایی برای به اشتراک گذاشتن تجربیات و ماجراهای به یاد ماندنی در نمایه خود استفاده کنم؟")</f>
        <v>چگونه می توانم از داستان سرایی برای به اشتراک گذاشتن تجربیات و ماجراهای به یاد ماندنی در نمایه خود استفاده کنم؟</v>
      </c>
      <c r="H4410" s="1"/>
      <c r="I4410" s="1"/>
      <c r="J4410" s="1"/>
      <c r="K4410" s="1"/>
      <c r="L4410" s="1"/>
      <c r="M4410" s="1"/>
      <c r="N4410" s="1"/>
      <c r="O4410" s="1"/>
      <c r="P4410" s="1"/>
      <c r="Q4410" s="1"/>
      <c r="R4410" s="1"/>
      <c r="S4410" s="1"/>
      <c r="T4410" s="1"/>
      <c r="U4410" s="1"/>
      <c r="V4410" s="1"/>
      <c r="W4410" s="1"/>
      <c r="X4410" s="1"/>
      <c r="Y4410" s="1"/>
      <c r="Z4410" s="1"/>
      <c r="AA4410" s="1"/>
      <c r="AB4410" s="1"/>
    </row>
    <row r="4411" ht="50.25" customHeight="1">
      <c r="A4411" s="12">
        <v>4407.0</v>
      </c>
      <c r="B4411" s="13" t="s">
        <v>4379</v>
      </c>
      <c r="C4411" s="14" t="s">
        <v>4430</v>
      </c>
      <c r="D4411" s="1"/>
      <c r="E4411" s="1"/>
      <c r="F4411" s="1" t="str">
        <f>IFERROR(__xludf.DUMMYFUNCTION("GOOGLETRANSLATE(B4411, ""en"", ""fa"")
"),"مشاوره دوستیابی")</f>
        <v>مشاوره دوستیابی</v>
      </c>
      <c r="G4411" s="1" t="str">
        <f>IFERROR(__xludf.DUMMYFUNCTION("GOOGLETRANSLATE(C4411, ""en"", ""fa"")
"),"چند راه برای نشان دادن عشق من به موسیقی و هنرمندان مورد علاقه در نمایه ام چیست؟")</f>
        <v>چند راه برای نشان دادن عشق من به موسیقی و هنرمندان مورد علاقه در نمایه ام چیست؟</v>
      </c>
      <c r="H4411" s="1"/>
      <c r="I4411" s="1"/>
      <c r="J4411" s="1"/>
      <c r="K4411" s="1"/>
      <c r="L4411" s="1"/>
      <c r="M4411" s="1"/>
      <c r="N4411" s="1"/>
      <c r="O4411" s="1"/>
      <c r="P4411" s="1"/>
      <c r="Q4411" s="1"/>
      <c r="R4411" s="1"/>
      <c r="S4411" s="1"/>
      <c r="T4411" s="1"/>
      <c r="U4411" s="1"/>
      <c r="V4411" s="1"/>
      <c r="W4411" s="1"/>
      <c r="X4411" s="1"/>
      <c r="Y4411" s="1"/>
      <c r="Z4411" s="1"/>
      <c r="AA4411" s="1"/>
      <c r="AB4411" s="1"/>
    </row>
    <row r="4412" ht="50.25" customHeight="1">
      <c r="A4412" s="12">
        <v>4408.0</v>
      </c>
      <c r="B4412" s="13" t="s">
        <v>4379</v>
      </c>
      <c r="C4412" s="14" t="s">
        <v>4431</v>
      </c>
      <c r="D4412" s="1"/>
      <c r="E4412" s="1"/>
      <c r="F4412" s="1" t="str">
        <f>IFERROR(__xludf.DUMMYFUNCTION("GOOGLETRANSLATE(B4412, ""en"", ""fa"")
"),"مشاوره دوستیابی")</f>
        <v>مشاوره دوستیابی</v>
      </c>
      <c r="G4412" s="1" t="str">
        <f>IFERROR(__xludf.DUMMYFUNCTION("GOOGLETRANSLATE(C4412, ""en"", ""fa"")
"),"چگونه می توانم نمایه ای ایجاد کنم که کنجکاوی را برانگیزد و مطابقت های احتمالی را برای پرسیدن سؤال ترغیب کند؟")</f>
        <v>چگونه می توانم نمایه ای ایجاد کنم که کنجکاوی را برانگیزد و مطابقت های احتمالی را برای پرسیدن سؤال ترغیب کند؟</v>
      </c>
      <c r="H4412" s="1"/>
      <c r="I4412" s="1"/>
      <c r="J4412" s="1"/>
      <c r="K4412" s="1"/>
      <c r="L4412" s="1"/>
      <c r="M4412" s="1"/>
      <c r="N4412" s="1"/>
      <c r="O4412" s="1"/>
      <c r="P4412" s="1"/>
      <c r="Q4412" s="1"/>
      <c r="R4412" s="1"/>
      <c r="S4412" s="1"/>
      <c r="T4412" s="1"/>
      <c r="U4412" s="1"/>
      <c r="V4412" s="1"/>
      <c r="W4412" s="1"/>
      <c r="X4412" s="1"/>
      <c r="Y4412" s="1"/>
      <c r="Z4412" s="1"/>
      <c r="AA4412" s="1"/>
      <c r="AB4412" s="1"/>
    </row>
    <row r="4413" ht="50.25" customHeight="1">
      <c r="A4413" s="12">
        <v>4409.0</v>
      </c>
      <c r="B4413" s="13" t="s">
        <v>4379</v>
      </c>
      <c r="C4413" s="14" t="s">
        <v>4432</v>
      </c>
      <c r="D4413" s="1"/>
      <c r="E4413" s="1"/>
      <c r="F4413" s="1" t="str">
        <f>IFERROR(__xludf.DUMMYFUNCTION("GOOGLETRANSLATE(B4413, ""en"", ""fa"")
"),"مشاوره دوستیابی")</f>
        <v>مشاوره دوستیابی</v>
      </c>
      <c r="G4413" s="1" t="str">
        <f>IFERROR(__xludf.DUMMYFUNCTION("GOOGLETRANSLATE(C4413, ""en"", ""fa"")
"),"چند نکته برای انتخاب فیلترهای مناسب و تکنیک های ویرایش عکس های پروفایل من چیست؟")</f>
        <v>چند نکته برای انتخاب فیلترهای مناسب و تکنیک های ویرایش عکس های پروفایل من چیست؟</v>
      </c>
      <c r="H4413" s="1"/>
      <c r="I4413" s="1"/>
      <c r="J4413" s="1"/>
      <c r="K4413" s="1"/>
      <c r="L4413" s="1"/>
      <c r="M4413" s="1"/>
      <c r="N4413" s="1"/>
      <c r="O4413" s="1"/>
      <c r="P4413" s="1"/>
      <c r="Q4413" s="1"/>
      <c r="R4413" s="1"/>
      <c r="S4413" s="1"/>
      <c r="T4413" s="1"/>
      <c r="U4413" s="1"/>
      <c r="V4413" s="1"/>
      <c r="W4413" s="1"/>
      <c r="X4413" s="1"/>
      <c r="Y4413" s="1"/>
      <c r="Z4413" s="1"/>
      <c r="AA4413" s="1"/>
      <c r="AB4413" s="1"/>
    </row>
    <row r="4414" ht="50.25" customHeight="1">
      <c r="A4414" s="12">
        <v>4410.0</v>
      </c>
      <c r="B4414" s="13" t="s">
        <v>4379</v>
      </c>
      <c r="C4414" s="14" t="s">
        <v>4433</v>
      </c>
      <c r="D4414" s="1"/>
      <c r="E4414" s="1"/>
      <c r="F4414" s="1" t="str">
        <f>IFERROR(__xludf.DUMMYFUNCTION("GOOGLETRANSLATE(B4414, ""en"", ""fa"")
"),"مشاوره دوستیابی")</f>
        <v>مشاوره دوستیابی</v>
      </c>
      <c r="G4414" s="1" t="str">
        <f>IFERROR(__xludf.DUMMYFUNCTION("GOOGLETRANSLATE(C4414, ""en"", ""fa"")
"),"چگونه می توانم از شوخ طبعی و بازیگوشی در نمایه خود برای ایجاد یک احساس سبک و سرگرم کننده استفاده کنم؟")</f>
        <v>چگونه می توانم از شوخ طبعی و بازیگوشی در نمایه خود برای ایجاد یک احساس سبک و سرگرم کننده استفاده کنم؟</v>
      </c>
      <c r="H4414" s="1"/>
      <c r="I4414" s="1"/>
      <c r="J4414" s="1"/>
      <c r="K4414" s="1"/>
      <c r="L4414" s="1"/>
      <c r="M4414" s="1"/>
      <c r="N4414" s="1"/>
      <c r="O4414" s="1"/>
      <c r="P4414" s="1"/>
      <c r="Q4414" s="1"/>
      <c r="R4414" s="1"/>
      <c r="S4414" s="1"/>
      <c r="T4414" s="1"/>
      <c r="U4414" s="1"/>
      <c r="V4414" s="1"/>
      <c r="W4414" s="1"/>
      <c r="X4414" s="1"/>
      <c r="Y4414" s="1"/>
      <c r="Z4414" s="1"/>
      <c r="AA4414" s="1"/>
      <c r="AB4414" s="1"/>
    </row>
    <row r="4415" ht="50.25" customHeight="1">
      <c r="A4415" s="12">
        <v>4411.0</v>
      </c>
      <c r="B4415" s="13" t="s">
        <v>4379</v>
      </c>
      <c r="C4415" s="14" t="s">
        <v>4434</v>
      </c>
      <c r="D4415" s="1"/>
      <c r="E4415" s="1"/>
      <c r="F4415" s="1" t="str">
        <f>IFERROR(__xludf.DUMMYFUNCTION("GOOGLETRANSLATE(B4415, ""en"", ""fa"")
"),"مشاوره دوستیابی")</f>
        <v>مشاوره دوستیابی</v>
      </c>
      <c r="G4415" s="1" t="str">
        <f>IFERROR(__xludf.DUMMYFUNCTION("GOOGLETRANSLATE(C4415, ""en"", ""fa"")
"),"چند استراتژی برای ایجاد نمایه ای که برای افراد با پیشینه های مختلف مورد استقبال و استقبال قرار گیرد چیست؟")</f>
        <v>چند استراتژی برای ایجاد نمایه ای که برای افراد با پیشینه های مختلف مورد استقبال و استقبال قرار گیرد چیست؟</v>
      </c>
      <c r="H4415" s="1"/>
      <c r="I4415" s="1"/>
      <c r="J4415" s="1"/>
      <c r="K4415" s="1"/>
      <c r="L4415" s="1"/>
      <c r="M4415" s="1"/>
      <c r="N4415" s="1"/>
      <c r="O4415" s="1"/>
      <c r="P4415" s="1"/>
      <c r="Q4415" s="1"/>
      <c r="R4415" s="1"/>
      <c r="S4415" s="1"/>
      <c r="T4415" s="1"/>
      <c r="U4415" s="1"/>
      <c r="V4415" s="1"/>
      <c r="W4415" s="1"/>
      <c r="X4415" s="1"/>
      <c r="Y4415" s="1"/>
      <c r="Z4415" s="1"/>
      <c r="AA4415" s="1"/>
      <c r="AB4415" s="1"/>
    </row>
    <row r="4416" ht="50.25" customHeight="1">
      <c r="A4416" s="12">
        <v>4412.0</v>
      </c>
      <c r="B4416" s="13" t="s">
        <v>4379</v>
      </c>
      <c r="C4416" s="14" t="s">
        <v>4435</v>
      </c>
      <c r="D4416" s="1"/>
      <c r="E4416" s="1"/>
      <c r="F4416" s="1" t="str">
        <f>IFERROR(__xludf.DUMMYFUNCTION("GOOGLETRANSLATE(B4416, ""en"", ""fa"")
"),"مشاوره دوستیابی")</f>
        <v>مشاوره دوستیابی</v>
      </c>
      <c r="G4416" s="1" t="str">
        <f>IFERROR(__xludf.DUMMYFUNCTION("GOOGLETRANSLATE(C4416, ""en"", ""fa"")
"),"چگونه می توانم تعهد خود را به رشد شخصی و بهبود خود در نمایه خود نشان دهم؟")</f>
        <v>چگونه می توانم تعهد خود را به رشد شخصی و بهبود خود در نمایه خود نشان دهم؟</v>
      </c>
      <c r="H4416" s="1"/>
      <c r="I4416" s="1"/>
      <c r="J4416" s="1"/>
      <c r="K4416" s="1"/>
      <c r="L4416" s="1"/>
      <c r="M4416" s="1"/>
      <c r="N4416" s="1"/>
      <c r="O4416" s="1"/>
      <c r="P4416" s="1"/>
      <c r="Q4416" s="1"/>
      <c r="R4416" s="1"/>
      <c r="S4416" s="1"/>
      <c r="T4416" s="1"/>
      <c r="U4416" s="1"/>
      <c r="V4416" s="1"/>
      <c r="W4416" s="1"/>
      <c r="X4416" s="1"/>
      <c r="Y4416" s="1"/>
      <c r="Z4416" s="1"/>
      <c r="AA4416" s="1"/>
      <c r="AB4416" s="1"/>
    </row>
    <row r="4417" ht="50.25" customHeight="1">
      <c r="A4417" s="12">
        <v>4413.0</v>
      </c>
      <c r="B4417" s="13" t="s">
        <v>4379</v>
      </c>
      <c r="C4417" s="14" t="s">
        <v>4436</v>
      </c>
      <c r="D4417" s="1"/>
      <c r="E4417" s="1"/>
      <c r="F4417" s="1" t="str">
        <f>IFERROR(__xludf.DUMMYFUNCTION("GOOGLETRANSLATE(B4417, ""en"", ""fa"")
"),"مشاوره دوستیابی")</f>
        <v>مشاوره دوستیابی</v>
      </c>
      <c r="G4417" s="1" t="str">
        <f>IFERROR(__xludf.DUMMYFUNCTION("GOOGLETRANSLATE(C4417, ""en"", ""fa"")
"),"چند تکنیک برای ایجاد نمایه ای که حس ماجراجویی و اکتشاف را ایجاد می کند چیست؟")</f>
        <v>چند تکنیک برای ایجاد نمایه ای که حس ماجراجویی و اکتشاف را ایجاد می کند چیست؟</v>
      </c>
      <c r="H4417" s="1"/>
      <c r="I4417" s="1"/>
      <c r="J4417" s="1"/>
      <c r="K4417" s="1"/>
      <c r="L4417" s="1"/>
      <c r="M4417" s="1"/>
      <c r="N4417" s="1"/>
      <c r="O4417" s="1"/>
      <c r="P4417" s="1"/>
      <c r="Q4417" s="1"/>
      <c r="R4417" s="1"/>
      <c r="S4417" s="1"/>
      <c r="T4417" s="1"/>
      <c r="U4417" s="1"/>
      <c r="V4417" s="1"/>
      <c r="W4417" s="1"/>
      <c r="X4417" s="1"/>
      <c r="Y4417" s="1"/>
      <c r="Z4417" s="1"/>
      <c r="AA4417" s="1"/>
      <c r="AB4417" s="1"/>
    </row>
    <row r="4418" ht="50.25" customHeight="1">
      <c r="A4418" s="12">
        <v>4414.0</v>
      </c>
      <c r="B4418" s="13" t="s">
        <v>4379</v>
      </c>
      <c r="C4418" s="14" t="s">
        <v>4437</v>
      </c>
      <c r="D4418" s="1"/>
      <c r="E4418" s="1"/>
      <c r="F4418" s="1" t="str">
        <f>IFERROR(__xludf.DUMMYFUNCTION("GOOGLETRANSLATE(B4418, ""en"", ""fa"")
"),"مشاوره دوستیابی")</f>
        <v>مشاوره دوستیابی</v>
      </c>
      <c r="G4418" s="1" t="str">
        <f>IFERROR(__xludf.DUMMYFUNCTION("GOOGLETRANSLATE(C4418, ""en"", ""fa"")
"),"چگونه می توانم از قدرت داستان سرایی برای ایجاد ارتباط عاطفی با موارد بالقوه از طریق نمایه خود استفاده کنم؟")</f>
        <v>چگونه می توانم از قدرت داستان سرایی برای ایجاد ارتباط عاطفی با موارد بالقوه از طریق نمایه خود استفاده کنم؟</v>
      </c>
      <c r="H4418" s="1"/>
      <c r="I4418" s="1"/>
      <c r="J4418" s="1"/>
      <c r="K4418" s="1"/>
      <c r="L4418" s="1"/>
      <c r="M4418" s="1"/>
      <c r="N4418" s="1"/>
      <c r="O4418" s="1"/>
      <c r="P4418" s="1"/>
      <c r="Q4418" s="1"/>
      <c r="R4418" s="1"/>
      <c r="S4418" s="1"/>
      <c r="T4418" s="1"/>
      <c r="U4418" s="1"/>
      <c r="V4418" s="1"/>
      <c r="W4418" s="1"/>
      <c r="X4418" s="1"/>
      <c r="Y4418" s="1"/>
      <c r="Z4418" s="1"/>
      <c r="AA4418" s="1"/>
      <c r="AB4418" s="1"/>
    </row>
    <row r="4419" ht="50.25" customHeight="1">
      <c r="A4419" s="12">
        <v>4415.0</v>
      </c>
      <c r="B4419" s="13" t="s">
        <v>4379</v>
      </c>
      <c r="C4419" s="14" t="s">
        <v>4438</v>
      </c>
      <c r="D4419" s="1"/>
      <c r="E4419" s="1"/>
      <c r="F4419" s="1" t="str">
        <f>IFERROR(__xludf.DUMMYFUNCTION("GOOGLETRANSLATE(B4419, ""en"", ""fa"")
"),"مشاوره دوستیابی")</f>
        <v>مشاوره دوستیابی</v>
      </c>
      <c r="G4419" s="1" t="str">
        <f>IFERROR(__xludf.DUMMYFUNCTION("GOOGLETRANSLATE(C4419, ""en"", ""fa"")
"),"برخی از خطوط آغازین موثر برای شروع مکالمه در برنامه دوستیابی چیست؟")</f>
        <v>برخی از خطوط آغازین موثر برای شروع مکالمه در برنامه دوستیابی چیست؟</v>
      </c>
      <c r="H4419" s="1"/>
      <c r="I4419" s="1"/>
      <c r="J4419" s="1"/>
      <c r="K4419" s="1"/>
      <c r="L4419" s="1"/>
      <c r="M4419" s="1"/>
      <c r="N4419" s="1"/>
      <c r="O4419" s="1"/>
      <c r="P4419" s="1"/>
      <c r="Q4419" s="1"/>
      <c r="R4419" s="1"/>
      <c r="S4419" s="1"/>
      <c r="T4419" s="1"/>
      <c r="U4419" s="1"/>
      <c r="V4419" s="1"/>
      <c r="W4419" s="1"/>
      <c r="X4419" s="1"/>
      <c r="Y4419" s="1"/>
      <c r="Z4419" s="1"/>
      <c r="AA4419" s="1"/>
      <c r="AB4419" s="1"/>
    </row>
    <row r="4420" ht="50.25" customHeight="1">
      <c r="A4420" s="12">
        <v>4416.0</v>
      </c>
      <c r="B4420" s="13" t="s">
        <v>4379</v>
      </c>
      <c r="C4420" s="14" t="s">
        <v>4439</v>
      </c>
      <c r="D4420" s="1"/>
      <c r="E4420" s="1"/>
      <c r="F4420" s="1" t="str">
        <f>IFERROR(__xludf.DUMMYFUNCTION("GOOGLETRANSLATE(B4420, ""en"", ""fa"")
"),"مشاوره دوستیابی")</f>
        <v>مشاوره دوستیابی</v>
      </c>
      <c r="G4420" s="1" t="str">
        <f>IFERROR(__xludf.DUMMYFUNCTION("GOOGLETRANSLATE(C4420, ""en"", ""fa"")
"),"چگونه می توانم اولین پیام خود را به گونه ای شخصی سازی کنم که از احوالپرسی های عمومی متمایز شود؟")</f>
        <v>چگونه می توانم اولین پیام خود را به گونه ای شخصی سازی کنم که از احوالپرسی های عمومی متمایز شود؟</v>
      </c>
      <c r="H4420" s="1"/>
      <c r="I4420" s="1"/>
      <c r="J4420" s="1"/>
      <c r="K4420" s="1"/>
      <c r="L4420" s="1"/>
      <c r="M4420" s="1"/>
      <c r="N4420" s="1"/>
      <c r="O4420" s="1"/>
      <c r="P4420" s="1"/>
      <c r="Q4420" s="1"/>
      <c r="R4420" s="1"/>
      <c r="S4420" s="1"/>
      <c r="T4420" s="1"/>
      <c r="U4420" s="1"/>
      <c r="V4420" s="1"/>
      <c r="W4420" s="1"/>
      <c r="X4420" s="1"/>
      <c r="Y4420" s="1"/>
      <c r="Z4420" s="1"/>
      <c r="AA4420" s="1"/>
      <c r="AB4420" s="1"/>
    </row>
    <row r="4421" ht="50.25" customHeight="1">
      <c r="A4421" s="12">
        <v>4417.0</v>
      </c>
      <c r="B4421" s="13" t="s">
        <v>4379</v>
      </c>
      <c r="C4421" s="14" t="s">
        <v>4440</v>
      </c>
      <c r="D4421" s="1"/>
      <c r="E4421" s="1"/>
      <c r="F4421" s="1" t="str">
        <f>IFERROR(__xludf.DUMMYFUNCTION("GOOGLETRANSLATE(B4421, ""en"", ""fa"")
"),"مشاوره دوستیابی")</f>
        <v>مشاوره دوستیابی</v>
      </c>
      <c r="G4421" s="1" t="str">
        <f>IFERROR(__xludf.DUMMYFUNCTION("GOOGLETRANSLATE(C4421, ""en"", ""fa"")
"),"برخی از سوالات یخ شکن که می تواند باعث ایجاد مکالمات جالب شود چیست؟")</f>
        <v>برخی از سوالات یخ شکن که می تواند باعث ایجاد مکالمات جالب شود چیست؟</v>
      </c>
      <c r="H4421" s="1"/>
      <c r="I4421" s="1"/>
      <c r="J4421" s="1"/>
      <c r="K4421" s="1"/>
      <c r="L4421" s="1"/>
      <c r="M4421" s="1"/>
      <c r="N4421" s="1"/>
      <c r="O4421" s="1"/>
      <c r="P4421" s="1"/>
      <c r="Q4421" s="1"/>
      <c r="R4421" s="1"/>
      <c r="S4421" s="1"/>
      <c r="T4421" s="1"/>
      <c r="U4421" s="1"/>
      <c r="V4421" s="1"/>
      <c r="W4421" s="1"/>
      <c r="X4421" s="1"/>
      <c r="Y4421" s="1"/>
      <c r="Z4421" s="1"/>
      <c r="AA4421" s="1"/>
      <c r="AB4421" s="1"/>
    </row>
    <row r="4422" ht="50.25" customHeight="1">
      <c r="A4422" s="12">
        <v>4418.0</v>
      </c>
      <c r="B4422" s="13" t="s">
        <v>4379</v>
      </c>
      <c r="C4422" s="14" t="s">
        <v>4441</v>
      </c>
      <c r="D4422" s="1"/>
      <c r="E4422" s="1"/>
      <c r="F4422" s="1" t="str">
        <f>IFERROR(__xludf.DUMMYFUNCTION("GOOGLETRANSLATE(B4422, ""en"", ""fa"")
"),"مشاوره دوستیابی")</f>
        <v>مشاوره دوستیابی</v>
      </c>
      <c r="G4422" s="1" t="str">
        <f>IFERROR(__xludf.DUMMYFUNCTION("GOOGLETRANSLATE(C4422, ""en"", ""fa"")
"),"چگونه می توانم به نمایه شخص دیگر علاقه واقعی نشان دهم و بر اساس آن گفتگو را آغاز کنم؟")</f>
        <v>چگونه می توانم به نمایه شخص دیگر علاقه واقعی نشان دهم و بر اساس آن گفتگو را آغاز کنم؟</v>
      </c>
      <c r="H4422" s="1"/>
      <c r="I4422" s="1"/>
      <c r="J4422" s="1"/>
      <c r="K4422" s="1"/>
      <c r="L4422" s="1"/>
      <c r="M4422" s="1"/>
      <c r="N4422" s="1"/>
      <c r="O4422" s="1"/>
      <c r="P4422" s="1"/>
      <c r="Q4422" s="1"/>
      <c r="R4422" s="1"/>
      <c r="S4422" s="1"/>
      <c r="T4422" s="1"/>
      <c r="U4422" s="1"/>
      <c r="V4422" s="1"/>
      <c r="W4422" s="1"/>
      <c r="X4422" s="1"/>
      <c r="Y4422" s="1"/>
      <c r="Z4422" s="1"/>
      <c r="AA4422" s="1"/>
      <c r="AB4422" s="1"/>
    </row>
    <row r="4423" ht="50.25" customHeight="1">
      <c r="A4423" s="12">
        <v>4419.0</v>
      </c>
      <c r="B4423" s="13" t="s">
        <v>4379</v>
      </c>
      <c r="C4423" s="14" t="s">
        <v>4442</v>
      </c>
      <c r="D4423" s="1"/>
      <c r="E4423" s="1"/>
      <c r="F4423" s="1" t="str">
        <f>IFERROR(__xludf.DUMMYFUNCTION("GOOGLETRANSLATE(B4423, ""en"", ""fa"")
"),"مشاوره دوستیابی")</f>
        <v>مشاوره دوستیابی</v>
      </c>
      <c r="G4423" s="1" t="str">
        <f>IFERROR(__xludf.DUMMYFUNCTION("GOOGLETRANSLATE(C4423, ""en"", ""fa"")
"),"چه راه هایی برای تکمیل علایق یا سرگرمی های یک فرد برای شروع مکالمه وجود دارد؟")</f>
        <v>چه راه هایی برای تکمیل علایق یا سرگرمی های یک فرد برای شروع مکالمه وجود دارد؟</v>
      </c>
      <c r="H4423" s="1"/>
      <c r="I4423" s="1"/>
      <c r="J4423" s="1"/>
      <c r="K4423" s="1"/>
      <c r="L4423" s="1"/>
      <c r="M4423" s="1"/>
      <c r="N4423" s="1"/>
      <c r="O4423" s="1"/>
      <c r="P4423" s="1"/>
      <c r="Q4423" s="1"/>
      <c r="R4423" s="1"/>
      <c r="S4423" s="1"/>
      <c r="T4423" s="1"/>
      <c r="U4423" s="1"/>
      <c r="V4423" s="1"/>
      <c r="W4423" s="1"/>
      <c r="X4423" s="1"/>
      <c r="Y4423" s="1"/>
      <c r="Z4423" s="1"/>
      <c r="AA4423" s="1"/>
      <c r="AB4423" s="1"/>
    </row>
    <row r="4424" ht="50.25" customHeight="1">
      <c r="A4424" s="12">
        <v>4420.0</v>
      </c>
      <c r="B4424" s="13" t="s">
        <v>4379</v>
      </c>
      <c r="C4424" s="14" t="s">
        <v>4443</v>
      </c>
      <c r="D4424" s="1"/>
      <c r="E4424" s="1"/>
      <c r="F4424" s="1" t="str">
        <f>IFERROR(__xludf.DUMMYFUNCTION("GOOGLETRANSLATE(B4424, ""en"", ""fa"")
"),"مشاوره دوستیابی")</f>
        <v>مشاوره دوستیابی</v>
      </c>
      <c r="G4424" s="1" t="str">
        <f>IFERROR(__xludf.DUMMYFUNCTION("GOOGLETRANSLATE(C4424, ""en"", ""fa"")
"),"چگونه می توانم از طنز برای شکستن یخ و ساده کردن گفتگو استفاده کنم؟")</f>
        <v>چگونه می توانم از طنز برای شکستن یخ و ساده کردن گفتگو استفاده کنم؟</v>
      </c>
      <c r="H4424" s="1"/>
      <c r="I4424" s="1"/>
      <c r="J4424" s="1"/>
      <c r="K4424" s="1"/>
      <c r="L4424" s="1"/>
      <c r="M4424" s="1"/>
      <c r="N4424" s="1"/>
      <c r="O4424" s="1"/>
      <c r="P4424" s="1"/>
      <c r="Q4424" s="1"/>
      <c r="R4424" s="1"/>
      <c r="S4424" s="1"/>
      <c r="T4424" s="1"/>
      <c r="U4424" s="1"/>
      <c r="V4424" s="1"/>
      <c r="W4424" s="1"/>
      <c r="X4424" s="1"/>
      <c r="Y4424" s="1"/>
      <c r="Z4424" s="1"/>
      <c r="AA4424" s="1"/>
      <c r="AB4424" s="1"/>
    </row>
    <row r="4425" ht="50.25" customHeight="1">
      <c r="A4425" s="12">
        <v>4421.0</v>
      </c>
      <c r="B4425" s="13" t="s">
        <v>4379</v>
      </c>
      <c r="C4425" s="14" t="s">
        <v>4444</v>
      </c>
      <c r="D4425" s="1"/>
      <c r="E4425" s="1"/>
      <c r="F4425" s="1" t="str">
        <f>IFERROR(__xludf.DUMMYFUNCTION("GOOGLETRANSLATE(B4425, ""en"", ""fa"")
"),"مشاوره دوستیابی")</f>
        <v>مشاوره دوستیابی</v>
      </c>
      <c r="G4425" s="1" t="str">
        <f>IFERROR(__xludf.DUMMYFUNCTION("GOOGLETRANSLATE(C4425, ""en"", ""fa"")
"),"چند راهبرد برای پرسیدن سؤالات تفکر برانگیز برای درگیر کردن طرف مقابل در گفتگوی عمیق تر چیست؟")</f>
        <v>چند راهبرد برای پرسیدن سؤالات تفکر برانگیز برای درگیر کردن طرف مقابل در گفتگوی عمیق تر چیست؟</v>
      </c>
      <c r="H4425" s="1"/>
      <c r="I4425" s="1"/>
      <c r="J4425" s="1"/>
      <c r="K4425" s="1"/>
      <c r="L4425" s="1"/>
      <c r="M4425" s="1"/>
      <c r="N4425" s="1"/>
      <c r="O4425" s="1"/>
      <c r="P4425" s="1"/>
      <c r="Q4425" s="1"/>
      <c r="R4425" s="1"/>
      <c r="S4425" s="1"/>
      <c r="T4425" s="1"/>
      <c r="U4425" s="1"/>
      <c r="V4425" s="1"/>
      <c r="W4425" s="1"/>
      <c r="X4425" s="1"/>
      <c r="Y4425" s="1"/>
      <c r="Z4425" s="1"/>
      <c r="AA4425" s="1"/>
      <c r="AB4425" s="1"/>
    </row>
    <row r="4426" ht="50.25" customHeight="1">
      <c r="A4426" s="12">
        <v>4422.0</v>
      </c>
      <c r="B4426" s="13" t="s">
        <v>4379</v>
      </c>
      <c r="C4426" s="14" t="s">
        <v>4445</v>
      </c>
      <c r="D4426" s="1"/>
      <c r="E4426" s="1"/>
      <c r="F4426" s="1" t="str">
        <f>IFERROR(__xludf.DUMMYFUNCTION("GOOGLETRANSLATE(B4426, ""en"", ""fa"")
"),"مشاوره دوستیابی")</f>
        <v>مشاوره دوستیابی</v>
      </c>
      <c r="G4426" s="1" t="str">
        <f>IFERROR(__xludf.DUMMYFUNCTION("GOOGLETRANSLATE(C4426, ""en"", ""fa"")
"),"چگونه می توانم با به اشتراک گذاشتن یک حکایت یا داستان شخصی مرتبط با موضوع مورد علاقه، گفتگو را شروع کنم؟")</f>
        <v>چگونه می توانم با به اشتراک گذاشتن یک حکایت یا داستان شخصی مرتبط با موضوع مورد علاقه، گفتگو را شروع کنم؟</v>
      </c>
      <c r="H4426" s="1"/>
      <c r="I4426" s="1"/>
      <c r="J4426" s="1"/>
      <c r="K4426" s="1"/>
      <c r="L4426" s="1"/>
      <c r="M4426" s="1"/>
      <c r="N4426" s="1"/>
      <c r="O4426" s="1"/>
      <c r="P4426" s="1"/>
      <c r="Q4426" s="1"/>
      <c r="R4426" s="1"/>
      <c r="S4426" s="1"/>
      <c r="T4426" s="1"/>
      <c r="U4426" s="1"/>
      <c r="V4426" s="1"/>
      <c r="W4426" s="1"/>
      <c r="X4426" s="1"/>
      <c r="Y4426" s="1"/>
      <c r="Z4426" s="1"/>
      <c r="AA4426" s="1"/>
      <c r="AB4426" s="1"/>
    </row>
    <row r="4427" ht="50.25" customHeight="1">
      <c r="A4427" s="12">
        <v>4423.0</v>
      </c>
      <c r="B4427" s="13" t="s">
        <v>4379</v>
      </c>
      <c r="C4427" s="14" t="s">
        <v>4446</v>
      </c>
      <c r="D4427" s="1"/>
      <c r="E4427" s="1"/>
      <c r="F4427" s="1" t="str">
        <f>IFERROR(__xludf.DUMMYFUNCTION("GOOGLETRANSLATE(B4427, ""en"", ""fa"")
"),"مشاوره دوستیابی")</f>
        <v>مشاوره دوستیابی</v>
      </c>
      <c r="G4427" s="1" t="str">
        <f>IFERROR(__xludf.DUMMYFUNCTION("GOOGLETRANSLATE(C4427, ""en"", ""fa"")
"),"چند تکنیک برای استفاده از ایموجی ها یا GIF ها برای افزودن سرگرمی و بیان به مکالمه چیست؟")</f>
        <v>چند تکنیک برای استفاده از ایموجی ها یا GIF ها برای افزودن سرگرمی و بیان به مکالمه چیست؟</v>
      </c>
      <c r="H4427" s="1"/>
      <c r="I4427" s="1"/>
      <c r="J4427" s="1"/>
      <c r="K4427" s="1"/>
      <c r="L4427" s="1"/>
      <c r="M4427" s="1"/>
      <c r="N4427" s="1"/>
      <c r="O4427" s="1"/>
      <c r="P4427" s="1"/>
      <c r="Q4427" s="1"/>
      <c r="R4427" s="1"/>
      <c r="S4427" s="1"/>
      <c r="T4427" s="1"/>
      <c r="U4427" s="1"/>
      <c r="V4427" s="1"/>
      <c r="W4427" s="1"/>
      <c r="X4427" s="1"/>
      <c r="Y4427" s="1"/>
      <c r="Z4427" s="1"/>
      <c r="AA4427" s="1"/>
      <c r="AB4427" s="1"/>
    </row>
    <row r="4428" ht="50.25" customHeight="1">
      <c r="A4428" s="12">
        <v>4424.0</v>
      </c>
      <c r="B4428" s="13" t="s">
        <v>4379</v>
      </c>
      <c r="C4428" s="14" t="s">
        <v>4447</v>
      </c>
      <c r="D4428" s="1"/>
      <c r="E4428" s="1"/>
      <c r="F4428" s="1" t="str">
        <f>IFERROR(__xludf.DUMMYFUNCTION("GOOGLETRANSLATE(B4428, ""en"", ""fa"")
"),"مشاوره دوستیابی")</f>
        <v>مشاوره دوستیابی</v>
      </c>
      <c r="G4428" s="1" t="str">
        <f>IFERROR(__xludf.DUMMYFUNCTION("GOOGLETRANSLATE(C4428, ""en"", ""fa"")
"),"چگونه می توانم مکالمه ای را بر اساس علاقه مشترک یا ارتباط متقابل آغاز کنم؟")</f>
        <v>چگونه می توانم مکالمه ای را بر اساس علاقه مشترک یا ارتباط متقابل آغاز کنم؟</v>
      </c>
      <c r="H4428" s="1"/>
      <c r="I4428" s="1"/>
      <c r="J4428" s="1"/>
      <c r="K4428" s="1"/>
      <c r="L4428" s="1"/>
      <c r="M4428" s="1"/>
      <c r="N4428" s="1"/>
      <c r="O4428" s="1"/>
      <c r="P4428" s="1"/>
      <c r="Q4428" s="1"/>
      <c r="R4428" s="1"/>
      <c r="S4428" s="1"/>
      <c r="T4428" s="1"/>
      <c r="U4428" s="1"/>
      <c r="V4428" s="1"/>
      <c r="W4428" s="1"/>
      <c r="X4428" s="1"/>
      <c r="Y4428" s="1"/>
      <c r="Z4428" s="1"/>
      <c r="AA4428" s="1"/>
      <c r="AB4428" s="1"/>
    </row>
    <row r="4429" ht="50.25" customHeight="1">
      <c r="A4429" s="12">
        <v>4425.0</v>
      </c>
      <c r="B4429" s="13" t="s">
        <v>4379</v>
      </c>
      <c r="C4429" s="14" t="s">
        <v>4448</v>
      </c>
      <c r="D4429" s="1"/>
      <c r="E4429" s="1"/>
      <c r="F4429" s="1" t="str">
        <f>IFERROR(__xludf.DUMMYFUNCTION("GOOGLETRANSLATE(B4429, ""en"", ""fa"")
"),"مشاوره دوستیابی")</f>
        <v>مشاوره دوستیابی</v>
      </c>
      <c r="G4429" s="1" t="str">
        <f>IFERROR(__xludf.DUMMYFUNCTION("GOOGLETRANSLATE(C4429, ""en"", ""fa"")
"),"چند نکته برای شروع مکالمه با فردی که نمایه حداقلی دارد چیست؟")</f>
        <v>چند نکته برای شروع مکالمه با فردی که نمایه حداقلی دارد چیست؟</v>
      </c>
      <c r="H4429" s="1"/>
      <c r="I4429" s="1"/>
      <c r="J4429" s="1"/>
      <c r="K4429" s="1"/>
      <c r="L4429" s="1"/>
      <c r="M4429" s="1"/>
      <c r="N4429" s="1"/>
      <c r="O4429" s="1"/>
      <c r="P4429" s="1"/>
      <c r="Q4429" s="1"/>
      <c r="R4429" s="1"/>
      <c r="S4429" s="1"/>
      <c r="T4429" s="1"/>
      <c r="U4429" s="1"/>
      <c r="V4429" s="1"/>
      <c r="W4429" s="1"/>
      <c r="X4429" s="1"/>
      <c r="Y4429" s="1"/>
      <c r="Z4429" s="1"/>
      <c r="AA4429" s="1"/>
      <c r="AB4429" s="1"/>
    </row>
    <row r="4430" ht="50.25" customHeight="1">
      <c r="A4430" s="12">
        <v>4426.0</v>
      </c>
      <c r="B4430" s="13" t="s">
        <v>4379</v>
      </c>
      <c r="C4430" s="14" t="s">
        <v>4449</v>
      </c>
      <c r="D4430" s="1"/>
      <c r="E4430" s="1"/>
      <c r="F4430" s="1" t="str">
        <f>IFERROR(__xludf.DUMMYFUNCTION("GOOGLETRANSLATE(B4430, ""en"", ""fa"")
"),"مشاوره دوستیابی")</f>
        <v>مشاوره دوستیابی</v>
      </c>
      <c r="G4430" s="1" t="str">
        <f>IFERROR(__xludf.DUMMYFUNCTION("GOOGLETRANSLATE(C4430, ""en"", ""fa"")
"),"چگونه می توانم یک سوال باز ایجاد کنم که طرف مقابل را ترغیب کند تا بیشتر درباره خودش به اشتراک بگذارد؟")</f>
        <v>چگونه می توانم یک سوال باز ایجاد کنم که طرف مقابل را ترغیب کند تا بیشتر درباره خودش به اشتراک بگذارد؟</v>
      </c>
      <c r="H4430" s="1"/>
      <c r="I4430" s="1"/>
      <c r="J4430" s="1"/>
      <c r="K4430" s="1"/>
      <c r="L4430" s="1"/>
      <c r="M4430" s="1"/>
      <c r="N4430" s="1"/>
      <c r="O4430" s="1"/>
      <c r="P4430" s="1"/>
      <c r="Q4430" s="1"/>
      <c r="R4430" s="1"/>
      <c r="S4430" s="1"/>
      <c r="T4430" s="1"/>
      <c r="U4430" s="1"/>
      <c r="V4430" s="1"/>
      <c r="W4430" s="1"/>
      <c r="X4430" s="1"/>
      <c r="Y4430" s="1"/>
      <c r="Z4430" s="1"/>
      <c r="AA4430" s="1"/>
      <c r="AB4430" s="1"/>
    </row>
    <row r="4431" ht="50.25" customHeight="1">
      <c r="A4431" s="12">
        <v>4427.0</v>
      </c>
      <c r="B4431" s="13" t="s">
        <v>4379</v>
      </c>
      <c r="C4431" s="14" t="s">
        <v>4450</v>
      </c>
      <c r="D4431" s="1"/>
      <c r="E4431" s="1"/>
      <c r="F4431" s="1" t="str">
        <f>IFERROR(__xludf.DUMMYFUNCTION("GOOGLETRANSLATE(B4431, ""en"", ""fa"")
"),"مشاوره دوستیابی")</f>
        <v>مشاوره دوستیابی</v>
      </c>
      <c r="G4431" s="1" t="str">
        <f>IFERROR(__xludf.DUMMYFUNCTION("GOOGLETRANSLATE(C4431, ""en"", ""fa"")
"),"برای شروع مکالمه چه راه هایی برای اظهار نظر در مورد عکس یا فعالیت اخیر به اشتراک گذاشته شده توسط طرف مقابل وجود دارد؟")</f>
        <v>برای شروع مکالمه چه راه هایی برای اظهار نظر در مورد عکس یا فعالیت اخیر به اشتراک گذاشته شده توسط طرف مقابل وجود دارد؟</v>
      </c>
      <c r="H4431" s="1"/>
      <c r="I4431" s="1"/>
      <c r="J4431" s="1"/>
      <c r="K4431" s="1"/>
      <c r="L4431" s="1"/>
      <c r="M4431" s="1"/>
      <c r="N4431" s="1"/>
      <c r="O4431" s="1"/>
      <c r="P4431" s="1"/>
      <c r="Q4431" s="1"/>
      <c r="R4431" s="1"/>
      <c r="S4431" s="1"/>
      <c r="T4431" s="1"/>
      <c r="U4431" s="1"/>
      <c r="V4431" s="1"/>
      <c r="W4431" s="1"/>
      <c r="X4431" s="1"/>
      <c r="Y4431" s="1"/>
      <c r="Z4431" s="1"/>
      <c r="AA4431" s="1"/>
      <c r="AB4431" s="1"/>
    </row>
    <row r="4432" ht="50.25" customHeight="1">
      <c r="A4432" s="12">
        <v>4428.0</v>
      </c>
      <c r="B4432" s="13" t="s">
        <v>4379</v>
      </c>
      <c r="C4432" s="14" t="s">
        <v>4451</v>
      </c>
      <c r="D4432" s="1"/>
      <c r="E4432" s="1"/>
      <c r="F4432" s="1" t="str">
        <f>IFERROR(__xludf.DUMMYFUNCTION("GOOGLETRANSLATE(B4432, ""en"", ""fa"")
"),"مشاوره دوستیابی")</f>
        <v>مشاوره دوستیابی</v>
      </c>
      <c r="G4432" s="1" t="str">
        <f>IFERROR(__xludf.DUMMYFUNCTION("GOOGLETRANSLATE(C4432, ""en"", ""fa"")
"),"چگونه می توانم با درخواست توصیه ها یا نظرات در مورد یک موضوع خاص، گفتگو را آغاز کنم؟")</f>
        <v>چگونه می توانم با درخواست توصیه ها یا نظرات در مورد یک موضوع خاص، گفتگو را آغاز کنم؟</v>
      </c>
      <c r="H4432" s="1"/>
      <c r="I4432" s="1"/>
      <c r="J4432" s="1"/>
      <c r="K4432" s="1"/>
      <c r="L4432" s="1"/>
      <c r="M4432" s="1"/>
      <c r="N4432" s="1"/>
      <c r="O4432" s="1"/>
      <c r="P4432" s="1"/>
      <c r="Q4432" s="1"/>
      <c r="R4432" s="1"/>
      <c r="S4432" s="1"/>
      <c r="T4432" s="1"/>
      <c r="U4432" s="1"/>
      <c r="V4432" s="1"/>
      <c r="W4432" s="1"/>
      <c r="X4432" s="1"/>
      <c r="Y4432" s="1"/>
      <c r="Z4432" s="1"/>
      <c r="AA4432" s="1"/>
      <c r="AB4432" s="1"/>
    </row>
    <row r="4433" ht="50.25" customHeight="1">
      <c r="A4433" s="12">
        <v>4429.0</v>
      </c>
      <c r="B4433" s="13" t="s">
        <v>4379</v>
      </c>
      <c r="C4433" s="14" t="s">
        <v>4452</v>
      </c>
      <c r="D4433" s="1"/>
      <c r="E4433" s="1"/>
      <c r="F4433" s="1" t="str">
        <f>IFERROR(__xludf.DUMMYFUNCTION("GOOGLETRANSLATE(B4433, ""en"", ""fa"")
"),"مشاوره دوستیابی")</f>
        <v>مشاوره دوستیابی</v>
      </c>
      <c r="G4433" s="1" t="str">
        <f>IFERROR(__xludf.DUMMYFUNCTION("GOOGLETRANSLATE(C4433, ""en"", ""fa"")
"),"چند استراتژی برای شروع گفتگو با ارائه دیدگاه یا بینش منحصر به فرد در مورد علاقه مشترک چیست؟")</f>
        <v>چند استراتژی برای شروع گفتگو با ارائه دیدگاه یا بینش منحصر به فرد در مورد علاقه مشترک چیست؟</v>
      </c>
      <c r="H4433" s="1"/>
      <c r="I4433" s="1"/>
      <c r="J4433" s="1"/>
      <c r="K4433" s="1"/>
      <c r="L4433" s="1"/>
      <c r="M4433" s="1"/>
      <c r="N4433" s="1"/>
      <c r="O4433" s="1"/>
      <c r="P4433" s="1"/>
      <c r="Q4433" s="1"/>
      <c r="R4433" s="1"/>
      <c r="S4433" s="1"/>
      <c r="T4433" s="1"/>
      <c r="U4433" s="1"/>
      <c r="V4433" s="1"/>
      <c r="W4433" s="1"/>
      <c r="X4433" s="1"/>
      <c r="Y4433" s="1"/>
      <c r="Z4433" s="1"/>
      <c r="AA4433" s="1"/>
      <c r="AB4433" s="1"/>
    </row>
    <row r="4434" ht="50.25" customHeight="1">
      <c r="A4434" s="12">
        <v>4430.0</v>
      </c>
      <c r="B4434" s="13" t="s">
        <v>4379</v>
      </c>
      <c r="C4434" s="14" t="s">
        <v>4453</v>
      </c>
      <c r="D4434" s="1"/>
      <c r="E4434" s="1"/>
      <c r="F4434" s="1" t="str">
        <f>IFERROR(__xludf.DUMMYFUNCTION("GOOGLETRANSLATE(B4434, ""en"", ""fa"")
"),"مشاوره دوستیابی")</f>
        <v>مشاوره دوستیابی</v>
      </c>
      <c r="G4434" s="1" t="str">
        <f>IFERROR(__xludf.DUMMYFUNCTION("GOOGLETRANSLATE(C4434, ""en"", ""fa"")
"),"چگونه می توانم کنجکاوی نشان دهم و سؤالات بعدی بپرسم تا مکالمه جریان داشته باشد؟")</f>
        <v>چگونه می توانم کنجکاوی نشان دهم و سؤالات بعدی بپرسم تا مکالمه جریان داشته باشد؟</v>
      </c>
      <c r="H4434" s="1"/>
      <c r="I4434" s="1"/>
      <c r="J4434" s="1"/>
      <c r="K4434" s="1"/>
      <c r="L4434" s="1"/>
      <c r="M4434" s="1"/>
      <c r="N4434" s="1"/>
      <c r="O4434" s="1"/>
      <c r="P4434" s="1"/>
      <c r="Q4434" s="1"/>
      <c r="R4434" s="1"/>
      <c r="S4434" s="1"/>
      <c r="T4434" s="1"/>
      <c r="U4434" s="1"/>
      <c r="V4434" s="1"/>
      <c r="W4434" s="1"/>
      <c r="X4434" s="1"/>
      <c r="Y4434" s="1"/>
      <c r="Z4434" s="1"/>
      <c r="AA4434" s="1"/>
      <c r="AB4434" s="1"/>
    </row>
    <row r="4435" ht="50.25" customHeight="1">
      <c r="A4435" s="12">
        <v>4431.0</v>
      </c>
      <c r="B4435" s="13" t="s">
        <v>4379</v>
      </c>
      <c r="C4435" s="14" t="s">
        <v>4454</v>
      </c>
      <c r="D4435" s="1"/>
      <c r="E4435" s="1"/>
      <c r="F4435" s="1" t="str">
        <f>IFERROR(__xludf.DUMMYFUNCTION("GOOGLETRANSLATE(B4435, ""en"", ""fa"")
"),"مشاوره دوستیابی")</f>
        <v>مشاوره دوستیابی</v>
      </c>
      <c r="G4435" s="1" t="str">
        <f>IFERROR(__xludf.DUMMYFUNCTION("GOOGLETRANSLATE(C4435, ""en"", ""fa"")
"),"چند تکنیک برای شروع مکالمه با به اشتراک گذاشتن یک واقعیت خنده دار یا جالب مرتبط با موضوع چیست؟")</f>
        <v>چند تکنیک برای شروع مکالمه با به اشتراک گذاشتن یک واقعیت خنده دار یا جالب مرتبط با موضوع چیست؟</v>
      </c>
      <c r="H4435" s="1"/>
      <c r="I4435" s="1"/>
      <c r="J4435" s="1"/>
      <c r="K4435" s="1"/>
      <c r="L4435" s="1"/>
      <c r="M4435" s="1"/>
      <c r="N4435" s="1"/>
      <c r="O4435" s="1"/>
      <c r="P4435" s="1"/>
      <c r="Q4435" s="1"/>
      <c r="R4435" s="1"/>
      <c r="S4435" s="1"/>
      <c r="T4435" s="1"/>
      <c r="U4435" s="1"/>
      <c r="V4435" s="1"/>
      <c r="W4435" s="1"/>
      <c r="X4435" s="1"/>
      <c r="Y4435" s="1"/>
      <c r="Z4435" s="1"/>
      <c r="AA4435" s="1"/>
      <c r="AB4435" s="1"/>
    </row>
    <row r="4436" ht="50.25" customHeight="1">
      <c r="A4436" s="12">
        <v>4432.0</v>
      </c>
      <c r="B4436" s="13" t="s">
        <v>4379</v>
      </c>
      <c r="C4436" s="14" t="s">
        <v>4455</v>
      </c>
      <c r="D4436" s="1"/>
      <c r="E4436" s="1"/>
      <c r="F4436" s="1" t="str">
        <f>IFERROR(__xludf.DUMMYFUNCTION("GOOGLETRANSLATE(B4436, ""en"", ""fa"")
"),"مشاوره دوستیابی")</f>
        <v>مشاوره دوستیابی</v>
      </c>
      <c r="G4436" s="1" t="str">
        <f>IFERROR(__xludf.DUMMYFUNCTION("GOOGLETRANSLATE(C4436, ""en"", ""fa"")
"),"چگونه می توانم از یک چالش یا بازی سرگرم کننده برای درگیر کردن طرف مقابل در مکالمه استفاده کنم؟")</f>
        <v>چگونه می توانم از یک چالش یا بازی سرگرم کننده برای درگیر کردن طرف مقابل در مکالمه استفاده کنم؟</v>
      </c>
      <c r="H4436" s="1"/>
      <c r="I4436" s="1"/>
      <c r="J4436" s="1"/>
      <c r="K4436" s="1"/>
      <c r="L4436" s="1"/>
      <c r="M4436" s="1"/>
      <c r="N4436" s="1"/>
      <c r="O4436" s="1"/>
      <c r="P4436" s="1"/>
      <c r="Q4436" s="1"/>
      <c r="R4436" s="1"/>
      <c r="S4436" s="1"/>
      <c r="T4436" s="1"/>
      <c r="U4436" s="1"/>
      <c r="V4436" s="1"/>
      <c r="W4436" s="1"/>
      <c r="X4436" s="1"/>
      <c r="Y4436" s="1"/>
      <c r="Z4436" s="1"/>
      <c r="AA4436" s="1"/>
      <c r="AB4436" s="1"/>
    </row>
    <row r="4437" ht="50.25" customHeight="1">
      <c r="A4437" s="12">
        <v>4433.0</v>
      </c>
      <c r="B4437" s="13" t="s">
        <v>4379</v>
      </c>
      <c r="C4437" s="14" t="s">
        <v>4456</v>
      </c>
      <c r="D4437" s="1"/>
      <c r="E4437" s="1"/>
      <c r="F4437" s="1" t="str">
        <f>IFERROR(__xludf.DUMMYFUNCTION("GOOGLETRANSLATE(B4437, ""en"", ""fa"")
"),"مشاوره دوستیابی")</f>
        <v>مشاوره دوستیابی</v>
      </c>
      <c r="G4437" s="1" t="str">
        <f>IFERROR(__xludf.DUMMYFUNCTION("GOOGLETRANSLATE(C4437, ""en"", ""fa"")
"),"چند نکته برای شروع مکالمه با تعارف واقعی و محترمانه چیست؟")</f>
        <v>چند نکته برای شروع مکالمه با تعارف واقعی و محترمانه چیست؟</v>
      </c>
      <c r="H4437" s="1"/>
      <c r="I4437" s="1"/>
      <c r="J4437" s="1"/>
      <c r="K4437" s="1"/>
      <c r="L4437" s="1"/>
      <c r="M4437" s="1"/>
      <c r="N4437" s="1"/>
      <c r="O4437" s="1"/>
      <c r="P4437" s="1"/>
      <c r="Q4437" s="1"/>
      <c r="R4437" s="1"/>
      <c r="S4437" s="1"/>
      <c r="T4437" s="1"/>
      <c r="U4437" s="1"/>
      <c r="V4437" s="1"/>
      <c r="W4437" s="1"/>
      <c r="X4437" s="1"/>
      <c r="Y4437" s="1"/>
      <c r="Z4437" s="1"/>
      <c r="AA4437" s="1"/>
      <c r="AB4437" s="1"/>
    </row>
    <row r="4438" ht="50.25" customHeight="1">
      <c r="A4438" s="12">
        <v>4434.0</v>
      </c>
      <c r="B4438" s="13" t="s">
        <v>4379</v>
      </c>
      <c r="C4438" s="14" t="s">
        <v>4457</v>
      </c>
      <c r="D4438" s="1"/>
      <c r="E4438" s="1"/>
      <c r="F4438" s="1" t="str">
        <f>IFERROR(__xludf.DUMMYFUNCTION("GOOGLETRANSLATE(B4438, ""en"", ""fa"")
"),"مشاوره دوستیابی")</f>
        <v>مشاوره دوستیابی</v>
      </c>
      <c r="G4438" s="1" t="str">
        <f>IFERROR(__xludf.DUMMYFUNCTION("GOOGLETRANSLATE(C4438, ""en"", ""fa"")
"),"چگونه می توانم با ارجاع به یک تجربه یا رویداد مشترک ذکر شده در نمایه شخص دیگر، یک مکالمه را آغاز کنم؟")</f>
        <v>چگونه می توانم با ارجاع به یک تجربه یا رویداد مشترک ذکر شده در نمایه شخص دیگر، یک مکالمه را آغاز کنم؟</v>
      </c>
      <c r="H4438" s="1"/>
      <c r="I4438" s="1"/>
      <c r="J4438" s="1"/>
      <c r="K4438" s="1"/>
      <c r="L4438" s="1"/>
      <c r="M4438" s="1"/>
      <c r="N4438" s="1"/>
      <c r="O4438" s="1"/>
      <c r="P4438" s="1"/>
      <c r="Q4438" s="1"/>
      <c r="R4438" s="1"/>
      <c r="S4438" s="1"/>
      <c r="T4438" s="1"/>
      <c r="U4438" s="1"/>
      <c r="V4438" s="1"/>
      <c r="W4438" s="1"/>
      <c r="X4438" s="1"/>
      <c r="Y4438" s="1"/>
      <c r="Z4438" s="1"/>
      <c r="AA4438" s="1"/>
      <c r="AB4438" s="1"/>
    </row>
    <row r="4439" ht="50.25" customHeight="1">
      <c r="A4439" s="12">
        <v>4435.0</v>
      </c>
      <c r="B4439" s="13" t="s">
        <v>4379</v>
      </c>
      <c r="C4439" s="14" t="s">
        <v>4458</v>
      </c>
      <c r="D4439" s="1"/>
      <c r="E4439" s="1"/>
      <c r="F4439" s="1" t="str">
        <f>IFERROR(__xludf.DUMMYFUNCTION("GOOGLETRANSLATE(B4439, ""en"", ""fa"")
"),"مشاوره دوستیابی")</f>
        <v>مشاوره دوستیابی</v>
      </c>
      <c r="G4439" s="1" t="str">
        <f>IFERROR(__xludf.DUMMYFUNCTION("GOOGLETRANSLATE(C4439, ""en"", ""fa"")
"),"چند راه برای شروع یک مکالمه با به اشتراک گذاشتن یک تجربه یا داستان مرتبط با دوستیابی چیست؟")</f>
        <v>چند راه برای شروع یک مکالمه با به اشتراک گذاشتن یک تجربه یا داستان مرتبط با دوستیابی چیست؟</v>
      </c>
      <c r="H4439" s="1"/>
      <c r="I4439" s="1"/>
      <c r="J4439" s="1"/>
      <c r="K4439" s="1"/>
      <c r="L4439" s="1"/>
      <c r="M4439" s="1"/>
      <c r="N4439" s="1"/>
      <c r="O4439" s="1"/>
      <c r="P4439" s="1"/>
      <c r="Q4439" s="1"/>
      <c r="R4439" s="1"/>
      <c r="S4439" s="1"/>
      <c r="T4439" s="1"/>
      <c r="U4439" s="1"/>
      <c r="V4439" s="1"/>
      <c r="W4439" s="1"/>
      <c r="X4439" s="1"/>
      <c r="Y4439" s="1"/>
      <c r="Z4439" s="1"/>
      <c r="AA4439" s="1"/>
      <c r="AB4439" s="1"/>
    </row>
    <row r="4440" ht="50.25" customHeight="1">
      <c r="A4440" s="12">
        <v>4436.0</v>
      </c>
      <c r="B4440" s="13" t="s">
        <v>4379</v>
      </c>
      <c r="C4440" s="14" t="s">
        <v>4459</v>
      </c>
      <c r="D4440" s="1"/>
      <c r="E4440" s="1"/>
      <c r="F4440" s="1" t="str">
        <f>IFERROR(__xludf.DUMMYFUNCTION("GOOGLETRANSLATE(B4440, ""en"", ""fa"")
"),"مشاوره دوستیابی")</f>
        <v>مشاوره دوستیابی</v>
      </c>
      <c r="G4440" s="1" t="str">
        <f>IFERROR(__xludf.DUMMYFUNCTION("GOOGLETRANSLATE(C4440, ""en"", ""fa"")
"),"چگونه می توانم از یک موضوع خلاقانه و جلب توجه برای شروع مکالمه در پیام برنامه دوستیابی استفاده کنم؟")</f>
        <v>چگونه می توانم از یک موضوع خلاقانه و جلب توجه برای شروع مکالمه در پیام برنامه دوستیابی استفاده کنم؟</v>
      </c>
      <c r="H4440" s="1"/>
      <c r="I4440" s="1"/>
      <c r="J4440" s="1"/>
      <c r="K4440" s="1"/>
      <c r="L4440" s="1"/>
      <c r="M4440" s="1"/>
      <c r="N4440" s="1"/>
      <c r="O4440" s="1"/>
      <c r="P4440" s="1"/>
      <c r="Q4440" s="1"/>
      <c r="R4440" s="1"/>
      <c r="S4440" s="1"/>
      <c r="T4440" s="1"/>
      <c r="U4440" s="1"/>
      <c r="V4440" s="1"/>
      <c r="W4440" s="1"/>
      <c r="X4440" s="1"/>
      <c r="Y4440" s="1"/>
      <c r="Z4440" s="1"/>
      <c r="AA4440" s="1"/>
      <c r="AB4440" s="1"/>
    </row>
    <row r="4441" ht="50.25" customHeight="1">
      <c r="A4441" s="12">
        <v>4437.0</v>
      </c>
      <c r="B4441" s="13" t="s">
        <v>4379</v>
      </c>
      <c r="C4441" s="14" t="s">
        <v>4460</v>
      </c>
      <c r="D4441" s="1"/>
      <c r="E4441" s="1"/>
      <c r="F4441" s="1" t="str">
        <f>IFERROR(__xludf.DUMMYFUNCTION("GOOGLETRANSLATE(B4441, ""en"", ""fa"")
"),"مشاوره دوستیابی")</f>
        <v>مشاوره دوستیابی</v>
      </c>
      <c r="G4441" s="1" t="str">
        <f>IFERROR(__xludf.DUMMYFUNCTION("GOOGLETRANSLATE(C4441, ""en"", ""fa"")
"),"چند راهبرد برای شروع گفتگو با پرسیدن در مورد آرزوها یا اهداف طرف مقابل چیست؟")</f>
        <v>چند راهبرد برای شروع گفتگو با پرسیدن در مورد آرزوها یا اهداف طرف مقابل چیست؟</v>
      </c>
      <c r="H4441" s="1"/>
      <c r="I4441" s="1"/>
      <c r="J4441" s="1"/>
      <c r="K4441" s="1"/>
      <c r="L4441" s="1"/>
      <c r="M4441" s="1"/>
      <c r="N4441" s="1"/>
      <c r="O4441" s="1"/>
      <c r="P4441" s="1"/>
      <c r="Q4441" s="1"/>
      <c r="R4441" s="1"/>
      <c r="S4441" s="1"/>
      <c r="T4441" s="1"/>
      <c r="U4441" s="1"/>
      <c r="V4441" s="1"/>
      <c r="W4441" s="1"/>
      <c r="X4441" s="1"/>
      <c r="Y4441" s="1"/>
      <c r="Z4441" s="1"/>
      <c r="AA4441" s="1"/>
      <c r="AB4441" s="1"/>
    </row>
    <row r="4442" ht="50.25" customHeight="1">
      <c r="A4442" s="12">
        <v>4438.0</v>
      </c>
      <c r="B4442" s="13" t="s">
        <v>4379</v>
      </c>
      <c r="C4442" s="14" t="s">
        <v>4461</v>
      </c>
      <c r="D4442" s="1"/>
      <c r="E4442" s="1"/>
      <c r="F4442" s="1" t="str">
        <f>IFERROR(__xludf.DUMMYFUNCTION("GOOGLETRANSLATE(B4442, ""en"", ""fa"")
"),"مشاوره دوستیابی")</f>
        <v>مشاوره دوستیابی</v>
      </c>
      <c r="G4442" s="1" t="str">
        <f>IFERROR(__xludf.DUMMYFUNCTION("GOOGLETRANSLATE(C4442, ""en"", ""fa"")
"),"چگونه می توانم با پاسخگویی متفکرانه به پیام های طرف مقابل، گوش دادن فعال و همدلی را در گفتگو نشان دهم؟")</f>
        <v>چگونه می توانم با پاسخگویی متفکرانه به پیام های طرف مقابل، گوش دادن فعال و همدلی را در گفتگو نشان دهم؟</v>
      </c>
      <c r="H4442" s="1"/>
      <c r="I4442" s="1"/>
      <c r="J4442" s="1"/>
      <c r="K4442" s="1"/>
      <c r="L4442" s="1"/>
      <c r="M4442" s="1"/>
      <c r="N4442" s="1"/>
      <c r="O4442" s="1"/>
      <c r="P4442" s="1"/>
      <c r="Q4442" s="1"/>
      <c r="R4442" s="1"/>
      <c r="S4442" s="1"/>
      <c r="T4442" s="1"/>
      <c r="U4442" s="1"/>
      <c r="V4442" s="1"/>
      <c r="W4442" s="1"/>
      <c r="X4442" s="1"/>
      <c r="Y4442" s="1"/>
      <c r="Z4442" s="1"/>
      <c r="AA4442" s="1"/>
      <c r="AB4442" s="1"/>
    </row>
    <row r="4443" ht="50.25" customHeight="1">
      <c r="A4443" s="12">
        <v>4439.0</v>
      </c>
      <c r="B4443" s="13" t="s">
        <v>4379</v>
      </c>
      <c r="C4443" s="14" t="s">
        <v>4462</v>
      </c>
      <c r="D4443" s="1"/>
      <c r="E4443" s="1"/>
      <c r="F4443" s="1" t="str">
        <f>IFERROR(__xludf.DUMMYFUNCTION("GOOGLETRANSLATE(B4443, ""en"", ""fa"")
"),"مشاوره دوستیابی")</f>
        <v>مشاوره دوستیابی</v>
      </c>
      <c r="G4443" s="1" t="str">
        <f>IFERROR(__xludf.DUMMYFUNCTION("GOOGLETRANSLATE(C4443, ""en"", ""fa"")
"),"چند تکنیک برای شروع مکالمه با درخواست مشاوره یا پیشنهاد در مورد یک موضوع خاص چیست؟")</f>
        <v>چند تکنیک برای شروع مکالمه با درخواست مشاوره یا پیشنهاد در مورد یک موضوع خاص چیست؟</v>
      </c>
      <c r="H4443" s="1"/>
      <c r="I4443" s="1"/>
      <c r="J4443" s="1"/>
      <c r="K4443" s="1"/>
      <c r="L4443" s="1"/>
      <c r="M4443" s="1"/>
      <c r="N4443" s="1"/>
      <c r="O4443" s="1"/>
      <c r="P4443" s="1"/>
      <c r="Q4443" s="1"/>
      <c r="R4443" s="1"/>
      <c r="S4443" s="1"/>
      <c r="T4443" s="1"/>
      <c r="U4443" s="1"/>
      <c r="V4443" s="1"/>
      <c r="W4443" s="1"/>
      <c r="X4443" s="1"/>
      <c r="Y4443" s="1"/>
      <c r="Z4443" s="1"/>
      <c r="AA4443" s="1"/>
      <c r="AB4443" s="1"/>
    </row>
    <row r="4444" ht="50.25" customHeight="1">
      <c r="A4444" s="12">
        <v>4440.0</v>
      </c>
      <c r="B4444" s="13" t="s">
        <v>4379</v>
      </c>
      <c r="C4444" s="14" t="s">
        <v>4463</v>
      </c>
      <c r="D4444" s="1"/>
      <c r="E4444" s="1"/>
      <c r="F4444" s="1" t="str">
        <f>IFERROR(__xludf.DUMMYFUNCTION("GOOGLETRANSLATE(B4444, ""en"", ""fa"")
"),"مشاوره دوستیابی")</f>
        <v>مشاوره دوستیابی</v>
      </c>
      <c r="G4444" s="1" t="str">
        <f>IFERROR(__xludf.DUMMYFUNCTION("GOOGLETRANSLATE(C4444, ""en"", ""fa"")
"),"چگونه می توانم با به اشتراک گذاشتن یک تعریف واقعی در مورد مشخصات یا ویژگی های شخص دیگر، گفتگو را آغاز کنم؟")</f>
        <v>چگونه می توانم با به اشتراک گذاشتن یک تعریف واقعی در مورد مشخصات یا ویژگی های شخص دیگر، گفتگو را آغاز کنم؟</v>
      </c>
      <c r="H4444" s="1"/>
      <c r="I4444" s="1"/>
      <c r="J4444" s="1"/>
      <c r="K4444" s="1"/>
      <c r="L4444" s="1"/>
      <c r="M4444" s="1"/>
      <c r="N4444" s="1"/>
      <c r="O4444" s="1"/>
      <c r="P4444" s="1"/>
      <c r="Q4444" s="1"/>
      <c r="R4444" s="1"/>
      <c r="S4444" s="1"/>
      <c r="T4444" s="1"/>
      <c r="U4444" s="1"/>
      <c r="V4444" s="1"/>
      <c r="W4444" s="1"/>
      <c r="X4444" s="1"/>
      <c r="Y4444" s="1"/>
      <c r="Z4444" s="1"/>
      <c r="AA4444" s="1"/>
      <c r="AB4444" s="1"/>
    </row>
    <row r="4445" ht="50.25" customHeight="1">
      <c r="A4445" s="12">
        <v>4441.0</v>
      </c>
      <c r="B4445" s="13" t="s">
        <v>4379</v>
      </c>
      <c r="C4445" s="14" t="s">
        <v>4464</v>
      </c>
      <c r="D4445" s="1"/>
      <c r="E4445" s="1"/>
      <c r="F4445" s="1" t="str">
        <f>IFERROR(__xludf.DUMMYFUNCTION("GOOGLETRANSLATE(B4445, ""en"", ""fa"")
"),"مشاوره دوستیابی")</f>
        <v>مشاوره دوستیابی</v>
      </c>
      <c r="G4445" s="1" t="str">
        <f>IFERROR(__xludf.DUMMYFUNCTION("GOOGLETRANSLATE(C4445, ""en"", ""fa"")
"),"چند راه برای شروع گفتگو با بحث در مورد یک مقاله خبری اخیر یا موضوع پرطرفدار چیست؟")</f>
        <v>چند راه برای شروع گفتگو با بحث در مورد یک مقاله خبری اخیر یا موضوع پرطرفدار چیست؟</v>
      </c>
      <c r="H4445" s="1"/>
      <c r="I4445" s="1"/>
      <c r="J4445" s="1"/>
      <c r="K4445" s="1"/>
      <c r="L4445" s="1"/>
      <c r="M4445" s="1"/>
      <c r="N4445" s="1"/>
      <c r="O4445" s="1"/>
      <c r="P4445" s="1"/>
      <c r="Q4445" s="1"/>
      <c r="R4445" s="1"/>
      <c r="S4445" s="1"/>
      <c r="T4445" s="1"/>
      <c r="U4445" s="1"/>
      <c r="V4445" s="1"/>
      <c r="W4445" s="1"/>
      <c r="X4445" s="1"/>
      <c r="Y4445" s="1"/>
      <c r="Z4445" s="1"/>
      <c r="AA4445" s="1"/>
      <c r="AB4445" s="1"/>
    </row>
    <row r="4446" ht="50.25" customHeight="1">
      <c r="A4446" s="12">
        <v>4442.0</v>
      </c>
      <c r="B4446" s="13" t="s">
        <v>4379</v>
      </c>
      <c r="C4446" s="14" t="s">
        <v>4465</v>
      </c>
      <c r="D4446" s="1"/>
      <c r="E4446" s="1"/>
      <c r="F4446" s="1" t="str">
        <f>IFERROR(__xludf.DUMMYFUNCTION("GOOGLETRANSLATE(B4446, ""en"", ""fa"")
"),"مشاوره دوستیابی")</f>
        <v>مشاوره دوستیابی</v>
      </c>
      <c r="G4446" s="1" t="str">
        <f>IFERROR(__xludf.DUMMYFUNCTION("GOOGLETRANSLATE(C4446, ""en"", ""fa"")
"),"چگونه می توانم از یک سوال بازیگوش و غیرمنتظره برای جلب توجه طرف مقابل و شروع گفتگو استفاده کنم؟")</f>
        <v>چگونه می توانم از یک سوال بازیگوش و غیرمنتظره برای جلب توجه طرف مقابل و شروع گفتگو استفاده کنم؟</v>
      </c>
      <c r="H4446" s="1"/>
      <c r="I4446" s="1"/>
      <c r="J4446" s="1"/>
      <c r="K4446" s="1"/>
      <c r="L4446" s="1"/>
      <c r="M4446" s="1"/>
      <c r="N4446" s="1"/>
      <c r="O4446" s="1"/>
      <c r="P4446" s="1"/>
      <c r="Q4446" s="1"/>
      <c r="R4446" s="1"/>
      <c r="S4446" s="1"/>
      <c r="T4446" s="1"/>
      <c r="U4446" s="1"/>
      <c r="V4446" s="1"/>
      <c r="W4446" s="1"/>
      <c r="X4446" s="1"/>
      <c r="Y4446" s="1"/>
      <c r="Z4446" s="1"/>
      <c r="AA4446" s="1"/>
      <c r="AB4446" s="1"/>
    </row>
    <row r="4447" ht="50.25" customHeight="1">
      <c r="A4447" s="12">
        <v>4443.0</v>
      </c>
      <c r="B4447" s="13" t="s">
        <v>4379</v>
      </c>
      <c r="C4447" s="14" t="s">
        <v>4466</v>
      </c>
      <c r="D4447" s="1"/>
      <c r="E4447" s="1"/>
      <c r="F4447" s="1" t="str">
        <f>IFERROR(__xludf.DUMMYFUNCTION("GOOGLETRANSLATE(B4447, ""en"", ""fa"")
"),"مشاوره دوستیابی")</f>
        <v>مشاوره دوستیابی</v>
      </c>
      <c r="G4447" s="1" t="str">
        <f>IFERROR(__xludf.DUMMYFUNCTION("GOOGLETRANSLATE(C4447, ""en"", ""fa"")
"),"چند نکته برای شروع مکالمه با به اشتراک گذاشتن یک مشاهدات خنده دار یا جالب در مورد تجربه برنامه دوستیابی چیست؟")</f>
        <v>چند نکته برای شروع مکالمه با به اشتراک گذاشتن یک مشاهدات خنده دار یا جالب در مورد تجربه برنامه دوستیابی چیست؟</v>
      </c>
      <c r="H4447" s="1"/>
      <c r="I4447" s="1"/>
      <c r="J4447" s="1"/>
      <c r="K4447" s="1"/>
      <c r="L4447" s="1"/>
      <c r="M4447" s="1"/>
      <c r="N4447" s="1"/>
      <c r="O4447" s="1"/>
      <c r="P4447" s="1"/>
      <c r="Q4447" s="1"/>
      <c r="R4447" s="1"/>
      <c r="S4447" s="1"/>
      <c r="T4447" s="1"/>
      <c r="U4447" s="1"/>
      <c r="V4447" s="1"/>
      <c r="W4447" s="1"/>
      <c r="X4447" s="1"/>
      <c r="Y4447" s="1"/>
      <c r="Z4447" s="1"/>
      <c r="AA4447" s="1"/>
      <c r="AB4447" s="1"/>
    </row>
    <row r="4448" ht="50.25" customHeight="1">
      <c r="A4448" s="12">
        <v>4444.0</v>
      </c>
      <c r="B4448" s="13" t="s">
        <v>4379</v>
      </c>
      <c r="C4448" s="14" t="s">
        <v>4467</v>
      </c>
      <c r="D4448" s="1"/>
      <c r="E4448" s="1"/>
      <c r="F4448" s="1" t="str">
        <f>IFERROR(__xludf.DUMMYFUNCTION("GOOGLETRANSLATE(B4448, ""en"", ""fa"")
"),"مشاوره دوستیابی")</f>
        <v>مشاوره دوستیابی</v>
      </c>
      <c r="G4448" s="1" t="str">
        <f>IFERROR(__xludf.DUMMYFUNCTION("GOOGLETRANSLATE(C4448, ""en"", ""fa"")
"),"چگونه می توانم با پرسیدن از طرف مقابل در مورد کتاب ها، فیلم ها یا برنامه های تلویزیونی مورد علاقه اش، گفتگو را آغاز کنم؟")</f>
        <v>چگونه می توانم با پرسیدن از طرف مقابل در مورد کتاب ها، فیلم ها یا برنامه های تلویزیونی مورد علاقه اش، گفتگو را آغاز کنم؟</v>
      </c>
      <c r="H4448" s="1"/>
      <c r="I4448" s="1"/>
      <c r="J4448" s="1"/>
      <c r="K4448" s="1"/>
      <c r="L4448" s="1"/>
      <c r="M4448" s="1"/>
      <c r="N4448" s="1"/>
      <c r="O4448" s="1"/>
      <c r="P4448" s="1"/>
      <c r="Q4448" s="1"/>
      <c r="R4448" s="1"/>
      <c r="S4448" s="1"/>
      <c r="T4448" s="1"/>
      <c r="U4448" s="1"/>
      <c r="V4448" s="1"/>
      <c r="W4448" s="1"/>
      <c r="X4448" s="1"/>
      <c r="Y4448" s="1"/>
      <c r="Z4448" s="1"/>
      <c r="AA4448" s="1"/>
      <c r="AB4448" s="1"/>
    </row>
    <row r="4449" ht="50.25" customHeight="1">
      <c r="A4449" s="12">
        <v>4445.0</v>
      </c>
      <c r="B4449" s="13" t="s">
        <v>4379</v>
      </c>
      <c r="C4449" s="14" t="s">
        <v>4468</v>
      </c>
      <c r="D4449" s="1"/>
      <c r="E4449" s="1"/>
      <c r="F4449" s="1" t="str">
        <f>IFERROR(__xludf.DUMMYFUNCTION("GOOGLETRANSLATE(B4449, ""en"", ""fa"")
"),"مشاوره دوستیابی")</f>
        <v>مشاوره دوستیابی</v>
      </c>
      <c r="G4449" s="1" t="str">
        <f>IFERROR(__xludf.DUMMYFUNCTION("GOOGLETRANSLATE(C4449, ""en"", ""fa"")
"),"چه راهکارهایی برای شروع مکالمه با پرسیدن در مورد مقصد سفر یا تعطیلات رویایی طرف مقابل وجود دارد؟")</f>
        <v>چه راهکارهایی برای شروع مکالمه با پرسیدن در مورد مقصد سفر یا تعطیلات رویایی طرف مقابل وجود دارد؟</v>
      </c>
      <c r="H4449" s="1"/>
      <c r="I4449" s="1"/>
      <c r="J4449" s="1"/>
      <c r="K4449" s="1"/>
      <c r="L4449" s="1"/>
      <c r="M4449" s="1"/>
      <c r="N4449" s="1"/>
      <c r="O4449" s="1"/>
      <c r="P4449" s="1"/>
      <c r="Q4449" s="1"/>
      <c r="R4449" s="1"/>
      <c r="S4449" s="1"/>
      <c r="T4449" s="1"/>
      <c r="U4449" s="1"/>
      <c r="V4449" s="1"/>
      <c r="W4449" s="1"/>
      <c r="X4449" s="1"/>
      <c r="Y4449" s="1"/>
      <c r="Z4449" s="1"/>
      <c r="AA4449" s="1"/>
      <c r="AB4449" s="1"/>
    </row>
    <row r="4450" ht="50.25" customHeight="1">
      <c r="A4450" s="12">
        <v>4446.0</v>
      </c>
      <c r="B4450" s="13" t="s">
        <v>4379</v>
      </c>
      <c r="C4450" s="14" t="s">
        <v>4469</v>
      </c>
      <c r="D4450" s="1"/>
      <c r="E4450" s="1"/>
      <c r="F4450" s="1" t="str">
        <f>IFERROR(__xludf.DUMMYFUNCTION("GOOGLETRANSLATE(B4450, ""en"", ""fa"")
"),"مشاوره دوستیابی")</f>
        <v>مشاوره دوستیابی</v>
      </c>
      <c r="G4450" s="1" t="str">
        <f>IFERROR(__xludf.DUMMYFUNCTION("GOOGLETRANSLATE(C4450, ""en"", ""fa"")
"),"چگونه می توانم با پرسیدن سؤالات باز که طرف مقابل را تشویق می کند تا احساسات یا علایق خود را به اشتراک بگذارد، کنجکاوی واقعی نشان دهم؟")</f>
        <v>چگونه می توانم با پرسیدن سؤالات باز که طرف مقابل را تشویق می کند تا احساسات یا علایق خود را به اشتراک بگذارد، کنجکاوی واقعی نشان دهم؟</v>
      </c>
      <c r="H4450" s="1"/>
      <c r="I4450" s="1"/>
      <c r="J4450" s="1"/>
      <c r="K4450" s="1"/>
      <c r="L4450" s="1"/>
      <c r="M4450" s="1"/>
      <c r="N4450" s="1"/>
      <c r="O4450" s="1"/>
      <c r="P4450" s="1"/>
      <c r="Q4450" s="1"/>
      <c r="R4450" s="1"/>
      <c r="S4450" s="1"/>
      <c r="T4450" s="1"/>
      <c r="U4450" s="1"/>
      <c r="V4450" s="1"/>
      <c r="W4450" s="1"/>
      <c r="X4450" s="1"/>
      <c r="Y4450" s="1"/>
      <c r="Z4450" s="1"/>
      <c r="AA4450" s="1"/>
      <c r="AB4450" s="1"/>
    </row>
    <row r="4451" ht="50.25" customHeight="1">
      <c r="A4451" s="12">
        <v>4447.0</v>
      </c>
      <c r="B4451" s="13" t="s">
        <v>4379</v>
      </c>
      <c r="C4451" s="14" t="s">
        <v>4470</v>
      </c>
      <c r="D4451" s="1"/>
      <c r="E4451" s="1"/>
      <c r="F4451" s="1" t="str">
        <f>IFERROR(__xludf.DUMMYFUNCTION("GOOGLETRANSLATE(B4451, ""en"", ""fa"")
"),"مشاوره دوستیابی")</f>
        <v>مشاوره دوستیابی</v>
      </c>
      <c r="G4451" s="1" t="str">
        <f>IFERROR(__xludf.DUMMYFUNCTION("GOOGLETRANSLATE(C4451, ""en"", ""fa"")
"),"چند تکنیک برای شروع گفتگو با ابراز کنجکاوی در مورد پیشینه یا میراث فرهنگی طرف مقابل چیست؟")</f>
        <v>چند تکنیک برای شروع گفتگو با ابراز کنجکاوی در مورد پیشینه یا میراث فرهنگی طرف مقابل چیست؟</v>
      </c>
      <c r="H4451" s="1"/>
      <c r="I4451" s="1"/>
      <c r="J4451" s="1"/>
      <c r="K4451" s="1"/>
      <c r="L4451" s="1"/>
      <c r="M4451" s="1"/>
      <c r="N4451" s="1"/>
      <c r="O4451" s="1"/>
      <c r="P4451" s="1"/>
      <c r="Q4451" s="1"/>
      <c r="R4451" s="1"/>
      <c r="S4451" s="1"/>
      <c r="T4451" s="1"/>
      <c r="U4451" s="1"/>
      <c r="V4451" s="1"/>
      <c r="W4451" s="1"/>
      <c r="X4451" s="1"/>
      <c r="Y4451" s="1"/>
      <c r="Z4451" s="1"/>
      <c r="AA4451" s="1"/>
      <c r="AB4451" s="1"/>
    </row>
    <row r="4452" ht="50.25" customHeight="1">
      <c r="A4452" s="12">
        <v>4448.0</v>
      </c>
      <c r="B4452" s="13" t="s">
        <v>4379</v>
      </c>
      <c r="C4452" s="14" t="s">
        <v>4471</v>
      </c>
      <c r="D4452" s="1"/>
      <c r="E4452" s="1"/>
      <c r="F4452" s="1" t="str">
        <f>IFERROR(__xludf.DUMMYFUNCTION("GOOGLETRANSLATE(B4452, ""en"", ""fa"")
"),"مشاوره دوستیابی")</f>
        <v>مشاوره دوستیابی</v>
      </c>
      <c r="G4452" s="1" t="str">
        <f>IFERROR(__xludf.DUMMYFUNCTION("GOOGLETRANSLATE(C4452, ""en"", ""fa"")
"),"چگونه می توانم با به اشتراک گذاشتن یک واقعیت منحصر به فرد یا غیرمنتظره در مورد خودم که می تواند حس کنجکاوی را برانگیزد، گفتگو را آغاز کنم؟")</f>
        <v>چگونه می توانم با به اشتراک گذاشتن یک واقعیت منحصر به فرد یا غیرمنتظره در مورد خودم که می تواند حس کنجکاوی را برانگیزد، گفتگو را آغاز کنم؟</v>
      </c>
      <c r="H4452" s="1"/>
      <c r="I4452" s="1"/>
      <c r="J4452" s="1"/>
      <c r="K4452" s="1"/>
      <c r="L4452" s="1"/>
      <c r="M4452" s="1"/>
      <c r="N4452" s="1"/>
      <c r="O4452" s="1"/>
      <c r="P4452" s="1"/>
      <c r="Q4452" s="1"/>
      <c r="R4452" s="1"/>
      <c r="S4452" s="1"/>
      <c r="T4452" s="1"/>
      <c r="U4452" s="1"/>
      <c r="V4452" s="1"/>
      <c r="W4452" s="1"/>
      <c r="X4452" s="1"/>
      <c r="Y4452" s="1"/>
      <c r="Z4452" s="1"/>
      <c r="AA4452" s="1"/>
      <c r="AB4452" s="1"/>
    </row>
    <row r="4453" ht="50.25" customHeight="1">
      <c r="A4453" s="12">
        <v>4449.0</v>
      </c>
      <c r="B4453" s="13" t="s">
        <v>4379</v>
      </c>
      <c r="C4453" s="14" t="s">
        <v>4472</v>
      </c>
      <c r="D4453" s="1"/>
      <c r="E4453" s="1"/>
      <c r="F4453" s="1" t="str">
        <f>IFERROR(__xludf.DUMMYFUNCTION("GOOGLETRANSLATE(B4453, ""en"", ""fa"")
"),"مشاوره دوستیابی")</f>
        <v>مشاوره دوستیابی</v>
      </c>
      <c r="G4453" s="1" t="str">
        <f>IFERROR(__xludf.DUMMYFUNCTION("GOOGLETRANSLATE(C4453, ""en"", ""fa"")
"),"چند راه برای شروع گفتگو با پرسیدن در مورد سرگرمی ها یا فعالیت های مورد علاقه طرف مقابل چیست؟")</f>
        <v>چند راه برای شروع گفتگو با پرسیدن در مورد سرگرمی ها یا فعالیت های مورد علاقه طرف مقابل چیست؟</v>
      </c>
      <c r="H4453" s="1"/>
      <c r="I4453" s="1"/>
      <c r="J4453" s="1"/>
      <c r="K4453" s="1"/>
      <c r="L4453" s="1"/>
      <c r="M4453" s="1"/>
      <c r="N4453" s="1"/>
      <c r="O4453" s="1"/>
      <c r="P4453" s="1"/>
      <c r="Q4453" s="1"/>
      <c r="R4453" s="1"/>
      <c r="S4453" s="1"/>
      <c r="T4453" s="1"/>
      <c r="U4453" s="1"/>
      <c r="V4453" s="1"/>
      <c r="W4453" s="1"/>
      <c r="X4453" s="1"/>
      <c r="Y4453" s="1"/>
      <c r="Z4453" s="1"/>
      <c r="AA4453" s="1"/>
      <c r="AB4453" s="1"/>
    </row>
    <row r="4454" ht="50.25" customHeight="1">
      <c r="A4454" s="12">
        <v>4450.0</v>
      </c>
      <c r="B4454" s="13" t="s">
        <v>4379</v>
      </c>
      <c r="C4454" s="14" t="s">
        <v>4473</v>
      </c>
      <c r="D4454" s="1"/>
      <c r="E4454" s="1"/>
      <c r="F4454" s="1" t="str">
        <f>IFERROR(__xludf.DUMMYFUNCTION("GOOGLETRANSLATE(B4454, ""en"", ""fa"")
"),"مشاوره دوستیابی")</f>
        <v>مشاوره دوستیابی</v>
      </c>
      <c r="G4454" s="1" t="str">
        <f>IFERROR(__xludf.DUMMYFUNCTION("GOOGLETRANSLATE(C4454, ""en"", ""fa"")
"),"چگونه می توانم از یک تعریف واقعی و صمیمانه در مورد عکس پروفایل طرف مقابل برای شروع گفتگو استفاده کنم؟")</f>
        <v>چگونه می توانم از یک تعریف واقعی و صمیمانه در مورد عکس پروفایل طرف مقابل برای شروع گفتگو استفاده کنم؟</v>
      </c>
      <c r="H4454" s="1"/>
      <c r="I4454" s="1"/>
      <c r="J4454" s="1"/>
      <c r="K4454" s="1"/>
      <c r="L4454" s="1"/>
      <c r="M4454" s="1"/>
      <c r="N4454" s="1"/>
      <c r="O4454" s="1"/>
      <c r="P4454" s="1"/>
      <c r="Q4454" s="1"/>
      <c r="R4454" s="1"/>
      <c r="S4454" s="1"/>
      <c r="T4454" s="1"/>
      <c r="U4454" s="1"/>
      <c r="V4454" s="1"/>
      <c r="W4454" s="1"/>
      <c r="X4454" s="1"/>
      <c r="Y4454" s="1"/>
      <c r="Z4454" s="1"/>
      <c r="AA4454" s="1"/>
      <c r="AB4454" s="1"/>
    </row>
    <row r="4455" ht="50.25" customHeight="1">
      <c r="A4455" s="12">
        <v>4451.0</v>
      </c>
      <c r="B4455" s="13" t="s">
        <v>4379</v>
      </c>
      <c r="C4455" s="14" t="s">
        <v>4474</v>
      </c>
      <c r="D4455" s="1"/>
      <c r="E4455" s="1"/>
      <c r="F4455" s="1" t="str">
        <f>IFERROR(__xludf.DUMMYFUNCTION("GOOGLETRANSLATE(B4455, ""en"", ""fa"")
"),"مشاوره دوستیابی")</f>
        <v>مشاوره دوستیابی</v>
      </c>
      <c r="G4455" s="1" t="str">
        <f>IFERROR(__xludf.DUMMYFUNCTION("GOOGLETRANSLATE(C4455, ""en"", ""fa"")
"),"چند نکته برای شروع مکالمه با به اشتراک گذاشتن داستان موفقیت یا شکست برنامه دوستیابی خنده دار یا جالب چیست؟")</f>
        <v>چند نکته برای شروع مکالمه با به اشتراک گذاشتن داستان موفقیت یا شکست برنامه دوستیابی خنده دار یا جالب چیست؟</v>
      </c>
      <c r="H4455" s="1"/>
      <c r="I4455" s="1"/>
      <c r="J4455" s="1"/>
      <c r="K4455" s="1"/>
      <c r="L4455" s="1"/>
      <c r="M4455" s="1"/>
      <c r="N4455" s="1"/>
      <c r="O4455" s="1"/>
      <c r="P4455" s="1"/>
      <c r="Q4455" s="1"/>
      <c r="R4455" s="1"/>
      <c r="S4455" s="1"/>
      <c r="T4455" s="1"/>
      <c r="U4455" s="1"/>
      <c r="V4455" s="1"/>
      <c r="W4455" s="1"/>
      <c r="X4455" s="1"/>
      <c r="Y4455" s="1"/>
      <c r="Z4455" s="1"/>
      <c r="AA4455" s="1"/>
      <c r="AB4455" s="1"/>
    </row>
    <row r="4456" ht="50.25" customHeight="1">
      <c r="A4456" s="12">
        <v>4452.0</v>
      </c>
      <c r="B4456" s="13" t="s">
        <v>4379</v>
      </c>
      <c r="C4456" s="14" t="s">
        <v>4475</v>
      </c>
      <c r="D4456" s="1"/>
      <c r="E4456" s="1"/>
      <c r="F4456" s="1" t="str">
        <f>IFERROR(__xludf.DUMMYFUNCTION("GOOGLETRANSLATE(B4456, ""en"", ""fa"")
"),"مشاوره دوستیابی")</f>
        <v>مشاوره دوستیابی</v>
      </c>
      <c r="G4456" s="1" t="str">
        <f>IFERROR(__xludf.DUMMYFUNCTION("GOOGLETRANSLATE(C4456, ""en"", ""fa"")
"),"چگونه می توانم با پرسیدن از طرف مقابل در مورد رستوران های مورد علاقه یا ترجیحات آشپزی، گفتگو را آغاز کنم؟")</f>
        <v>چگونه می توانم با پرسیدن از طرف مقابل در مورد رستوران های مورد علاقه یا ترجیحات آشپزی، گفتگو را آغاز کنم؟</v>
      </c>
      <c r="H4456" s="1"/>
      <c r="I4456" s="1"/>
      <c r="J4456" s="1"/>
      <c r="K4456" s="1"/>
      <c r="L4456" s="1"/>
      <c r="M4456" s="1"/>
      <c r="N4456" s="1"/>
      <c r="O4456" s="1"/>
      <c r="P4456" s="1"/>
      <c r="Q4456" s="1"/>
      <c r="R4456" s="1"/>
      <c r="S4456" s="1"/>
      <c r="T4456" s="1"/>
      <c r="U4456" s="1"/>
      <c r="V4456" s="1"/>
      <c r="W4456" s="1"/>
      <c r="X4456" s="1"/>
      <c r="Y4456" s="1"/>
      <c r="Z4456" s="1"/>
      <c r="AA4456" s="1"/>
      <c r="AB4456" s="1"/>
    </row>
    <row r="4457" ht="50.25" customHeight="1">
      <c r="A4457" s="12">
        <v>4453.0</v>
      </c>
      <c r="B4457" s="13" t="s">
        <v>4379</v>
      </c>
      <c r="C4457" s="14" t="s">
        <v>4476</v>
      </c>
      <c r="D4457" s="1"/>
      <c r="E4457" s="1"/>
      <c r="F4457" s="1" t="str">
        <f>IFERROR(__xludf.DUMMYFUNCTION("GOOGLETRANSLATE(B4457, ""en"", ""fa"")
"),"مشاوره دوستیابی")</f>
        <v>مشاوره دوستیابی</v>
      </c>
      <c r="G4457" s="1" t="str">
        <f>IFERROR(__xludf.DUMMYFUNCTION("GOOGLETRANSLATE(C4457, ""en"", ""fa"")
"),"چند راهبرد برای شروع مکالمه با پرسش در مورد موسیقی مورد علاقه طرف مقابل یا کنسرت هایی که شرکت کرده اند چیست؟")</f>
        <v>چند راهبرد برای شروع مکالمه با پرسش در مورد موسیقی مورد علاقه طرف مقابل یا کنسرت هایی که شرکت کرده اند چیست؟</v>
      </c>
      <c r="H4457" s="1"/>
      <c r="I4457" s="1"/>
      <c r="J4457" s="1"/>
      <c r="K4457" s="1"/>
      <c r="L4457" s="1"/>
      <c r="M4457" s="1"/>
      <c r="N4457" s="1"/>
      <c r="O4457" s="1"/>
      <c r="P4457" s="1"/>
      <c r="Q4457" s="1"/>
      <c r="R4457" s="1"/>
      <c r="S4457" s="1"/>
      <c r="T4457" s="1"/>
      <c r="U4457" s="1"/>
      <c r="V4457" s="1"/>
      <c r="W4457" s="1"/>
      <c r="X4457" s="1"/>
      <c r="Y4457" s="1"/>
      <c r="Z4457" s="1"/>
      <c r="AA4457" s="1"/>
      <c r="AB4457" s="1"/>
    </row>
    <row r="4458" ht="50.25" customHeight="1">
      <c r="A4458" s="12">
        <v>4454.0</v>
      </c>
      <c r="B4458" s="13" t="s">
        <v>4379</v>
      </c>
      <c r="C4458" s="14" t="s">
        <v>4477</v>
      </c>
      <c r="D4458" s="1"/>
      <c r="E4458" s="1"/>
      <c r="F4458" s="1" t="str">
        <f>IFERROR(__xludf.DUMMYFUNCTION("GOOGLETRANSLATE(B4458, ""en"", ""fa"")
"),"مشاوره دوستیابی")</f>
        <v>مشاوره دوستیابی</v>
      </c>
      <c r="G4458" s="1" t="str">
        <f>IFERROR(__xludf.DUMMYFUNCTION("GOOGLETRANSLATE(C4458, ""en"", ""fa"")
"),"چگونه می توانم به شغل یا حرفه طرف مقابل علاقه واقعی نشان دهم و بر اساس آن گفتگو را شروع کنم؟")</f>
        <v>چگونه می توانم به شغل یا حرفه طرف مقابل علاقه واقعی نشان دهم و بر اساس آن گفتگو را شروع کنم؟</v>
      </c>
      <c r="H4458" s="1"/>
      <c r="I4458" s="1"/>
      <c r="J4458" s="1"/>
      <c r="K4458" s="1"/>
      <c r="L4458" s="1"/>
      <c r="M4458" s="1"/>
      <c r="N4458" s="1"/>
      <c r="O4458" s="1"/>
      <c r="P4458" s="1"/>
      <c r="Q4458" s="1"/>
      <c r="R4458" s="1"/>
      <c r="S4458" s="1"/>
      <c r="T4458" s="1"/>
      <c r="U4458" s="1"/>
      <c r="V4458" s="1"/>
      <c r="W4458" s="1"/>
      <c r="X4458" s="1"/>
      <c r="Y4458" s="1"/>
      <c r="Z4458" s="1"/>
      <c r="AA4458" s="1"/>
      <c r="AB4458" s="1"/>
    </row>
    <row r="4459" ht="50.25" customHeight="1">
      <c r="A4459" s="12">
        <v>4455.0</v>
      </c>
      <c r="B4459" s="13" t="s">
        <v>4379</v>
      </c>
      <c r="C4459" s="14" t="s">
        <v>4478</v>
      </c>
      <c r="D4459" s="1"/>
      <c r="E4459" s="1"/>
      <c r="F4459" s="1" t="str">
        <f>IFERROR(__xludf.DUMMYFUNCTION("GOOGLETRANSLATE(B4459, ""en"", ""fa"")
"),"مشاوره دوستیابی")</f>
        <v>مشاوره دوستیابی</v>
      </c>
      <c r="G4459" s="1" t="str">
        <f>IFERROR(__xludf.DUMMYFUNCTION("GOOGLETRANSLATE(C4459, ""en"", ""fa"")
"),"چند تکنیک برای شروع یک مکالمه با به اشتراک گذاشتن یک نقل قول جذاب یا جمله تفکر برانگیز چیست؟")</f>
        <v>چند تکنیک برای شروع یک مکالمه با به اشتراک گذاشتن یک نقل قول جذاب یا جمله تفکر برانگیز چیست؟</v>
      </c>
      <c r="H4459" s="1"/>
      <c r="I4459" s="1"/>
      <c r="J4459" s="1"/>
      <c r="K4459" s="1"/>
      <c r="L4459" s="1"/>
      <c r="M4459" s="1"/>
      <c r="N4459" s="1"/>
      <c r="O4459" s="1"/>
      <c r="P4459" s="1"/>
      <c r="Q4459" s="1"/>
      <c r="R4459" s="1"/>
      <c r="S4459" s="1"/>
      <c r="T4459" s="1"/>
      <c r="U4459" s="1"/>
      <c r="V4459" s="1"/>
      <c r="W4459" s="1"/>
      <c r="X4459" s="1"/>
      <c r="Y4459" s="1"/>
      <c r="Z4459" s="1"/>
      <c r="AA4459" s="1"/>
      <c r="AB4459" s="1"/>
    </row>
    <row r="4460" ht="50.25" customHeight="1">
      <c r="A4460" s="12">
        <v>4456.0</v>
      </c>
      <c r="B4460" s="13" t="s">
        <v>4379</v>
      </c>
      <c r="C4460" s="14" t="s">
        <v>4479</v>
      </c>
      <c r="D4460" s="1"/>
      <c r="E4460" s="1"/>
      <c r="F4460" s="1" t="str">
        <f>IFERROR(__xludf.DUMMYFUNCTION("GOOGLETRANSLATE(B4460, ""en"", ""fa"")
"),"مشاوره دوستیابی")</f>
        <v>مشاوره دوستیابی</v>
      </c>
      <c r="G4460" s="1" t="str">
        <f>IFERROR(__xludf.DUMMYFUNCTION("GOOGLETRANSLATE(C4460, ""en"", ""fa"")
"),"چگونه می توانم با پرسیدن از طرف مقابل در مورد فعالیت ها یا ورزش های مورد علاقه در فضای باز، گفتگو را آغاز کنم؟")</f>
        <v>چگونه می توانم با پرسیدن از طرف مقابل در مورد فعالیت ها یا ورزش های مورد علاقه در فضای باز، گفتگو را آغاز کنم؟</v>
      </c>
      <c r="H4460" s="1"/>
      <c r="I4460" s="1"/>
      <c r="J4460" s="1"/>
      <c r="K4460" s="1"/>
      <c r="L4460" s="1"/>
      <c r="M4460" s="1"/>
      <c r="N4460" s="1"/>
      <c r="O4460" s="1"/>
      <c r="P4460" s="1"/>
      <c r="Q4460" s="1"/>
      <c r="R4460" s="1"/>
      <c r="S4460" s="1"/>
      <c r="T4460" s="1"/>
      <c r="U4460" s="1"/>
      <c r="V4460" s="1"/>
      <c r="W4460" s="1"/>
      <c r="X4460" s="1"/>
      <c r="Y4460" s="1"/>
      <c r="Z4460" s="1"/>
      <c r="AA4460" s="1"/>
      <c r="AB4460" s="1"/>
    </row>
    <row r="4461" ht="50.25" customHeight="1">
      <c r="A4461" s="12">
        <v>4457.0</v>
      </c>
      <c r="B4461" s="13" t="s">
        <v>4379</v>
      </c>
      <c r="C4461" s="14" t="s">
        <v>4480</v>
      </c>
      <c r="D4461" s="1"/>
      <c r="E4461" s="1"/>
      <c r="F4461" s="1" t="str">
        <f>IFERROR(__xludf.DUMMYFUNCTION("GOOGLETRANSLATE(B4461, ""en"", ""fa"")
"),"مشاوره دوستیابی")</f>
        <v>مشاوره دوستیابی</v>
      </c>
      <c r="G4461" s="1" t="str">
        <f>IFERROR(__xludf.DUMMYFUNCTION("GOOGLETRANSLATE(C4461, ""en"", ""fa"")
"),"چه راه هایی برای شروع یک مکالمه با به اشتراک گذاشتن یک واقعیت سرگرم کننده یا چیزهای بی اهمیت مرتبط با علایق طرف مقابل وجود دارد؟")</f>
        <v>چه راه هایی برای شروع یک مکالمه با به اشتراک گذاشتن یک واقعیت سرگرم کننده یا چیزهای بی اهمیت مرتبط با علایق طرف مقابل وجود دارد؟</v>
      </c>
      <c r="H4461" s="1"/>
      <c r="I4461" s="1"/>
      <c r="J4461" s="1"/>
      <c r="K4461" s="1"/>
      <c r="L4461" s="1"/>
      <c r="M4461" s="1"/>
      <c r="N4461" s="1"/>
      <c r="O4461" s="1"/>
      <c r="P4461" s="1"/>
      <c r="Q4461" s="1"/>
      <c r="R4461" s="1"/>
      <c r="S4461" s="1"/>
      <c r="T4461" s="1"/>
      <c r="U4461" s="1"/>
      <c r="V4461" s="1"/>
      <c r="W4461" s="1"/>
      <c r="X4461" s="1"/>
      <c r="Y4461" s="1"/>
      <c r="Z4461" s="1"/>
      <c r="AA4461" s="1"/>
      <c r="AB4461" s="1"/>
    </row>
    <row r="4462" ht="50.25" customHeight="1">
      <c r="A4462" s="12">
        <v>4458.0</v>
      </c>
      <c r="B4462" s="13" t="s">
        <v>4379</v>
      </c>
      <c r="C4462" s="14" t="s">
        <v>4481</v>
      </c>
      <c r="D4462" s="1"/>
      <c r="E4462" s="1"/>
      <c r="F4462" s="1" t="str">
        <f>IFERROR(__xludf.DUMMYFUNCTION("GOOGLETRANSLATE(B4462, ""en"", ""fa"")
"),"مشاوره دوستیابی")</f>
        <v>مشاوره دوستیابی</v>
      </c>
      <c r="G4462" s="1" t="str">
        <f>IFERROR(__xludf.DUMMYFUNCTION("GOOGLETRANSLATE(C4462, ""en"", ""fa"")
"),"چگونه می توانم از یک کامنت متلک آمیز و بازیگوش برای شروع یک مکالمه دوستانه استفاده کنم؟")</f>
        <v>چگونه می توانم از یک کامنت متلک آمیز و بازیگوش برای شروع یک مکالمه دوستانه استفاده کنم؟</v>
      </c>
      <c r="H4462" s="1"/>
      <c r="I4462" s="1"/>
      <c r="J4462" s="1"/>
      <c r="K4462" s="1"/>
      <c r="L4462" s="1"/>
      <c r="M4462" s="1"/>
      <c r="N4462" s="1"/>
      <c r="O4462" s="1"/>
      <c r="P4462" s="1"/>
      <c r="Q4462" s="1"/>
      <c r="R4462" s="1"/>
      <c r="S4462" s="1"/>
      <c r="T4462" s="1"/>
      <c r="U4462" s="1"/>
      <c r="V4462" s="1"/>
      <c r="W4462" s="1"/>
      <c r="X4462" s="1"/>
      <c r="Y4462" s="1"/>
      <c r="Z4462" s="1"/>
      <c r="AA4462" s="1"/>
      <c r="AB4462" s="1"/>
    </row>
    <row r="4463" ht="50.25" customHeight="1">
      <c r="A4463" s="12">
        <v>4459.0</v>
      </c>
      <c r="B4463" s="13" t="s">
        <v>4379</v>
      </c>
      <c r="C4463" s="14" t="s">
        <v>4482</v>
      </c>
      <c r="D4463" s="1"/>
      <c r="E4463" s="1"/>
      <c r="F4463" s="1" t="str">
        <f>IFERROR(__xludf.DUMMYFUNCTION("GOOGLETRANSLATE(B4463, ""en"", ""fa"")
"),"مشاوره دوستیابی")</f>
        <v>مشاوره دوستیابی</v>
      </c>
      <c r="G4463" s="1" t="str">
        <f>IFERROR(__xludf.DUMMYFUNCTION("GOOGLETRANSLATE(C4463, ""en"", ""fa"")
"),"چه نکاتی برای شروع یک مکالمه با پرسیدن از طرف مقابل در مورد سبک مد یا برند مورد علاقه او وجود دارد؟")</f>
        <v>چه نکاتی برای شروع یک مکالمه با پرسیدن از طرف مقابل در مورد سبک مد یا برند مورد علاقه او وجود دارد؟</v>
      </c>
      <c r="H4463" s="1"/>
      <c r="I4463" s="1"/>
      <c r="J4463" s="1"/>
      <c r="K4463" s="1"/>
      <c r="L4463" s="1"/>
      <c r="M4463" s="1"/>
      <c r="N4463" s="1"/>
      <c r="O4463" s="1"/>
      <c r="P4463" s="1"/>
      <c r="Q4463" s="1"/>
      <c r="R4463" s="1"/>
      <c r="S4463" s="1"/>
      <c r="T4463" s="1"/>
      <c r="U4463" s="1"/>
      <c r="V4463" s="1"/>
      <c r="W4463" s="1"/>
      <c r="X4463" s="1"/>
      <c r="Y4463" s="1"/>
      <c r="Z4463" s="1"/>
      <c r="AA4463" s="1"/>
      <c r="AB4463" s="1"/>
    </row>
    <row r="4464" ht="50.25" customHeight="1">
      <c r="A4464" s="12">
        <v>4460.0</v>
      </c>
      <c r="B4464" s="13" t="s">
        <v>4379</v>
      </c>
      <c r="C4464" s="14" t="s">
        <v>4483</v>
      </c>
      <c r="D4464" s="1"/>
      <c r="E4464" s="1"/>
      <c r="F4464" s="1" t="str">
        <f>IFERROR(__xludf.DUMMYFUNCTION("GOOGLETRANSLATE(B4464, ""en"", ""fa"")
"),"مشاوره دوستیابی")</f>
        <v>مشاوره دوستیابی</v>
      </c>
      <c r="G4464" s="1" t="str">
        <f>IFERROR(__xludf.DUMMYFUNCTION("GOOGLETRANSLATE(C4464, ""en"", ""fa"")
"),"چگونه می توانم با به اشتراک گذاشتن یک ایده تاریخی منحصر به فرد یا غیر متعارف، یک مکالمه را آغاز کنم؟")</f>
        <v>چگونه می توانم با به اشتراک گذاشتن یک ایده تاریخی منحصر به فرد یا غیر متعارف، یک مکالمه را آغاز کنم؟</v>
      </c>
      <c r="H4464" s="1"/>
      <c r="I4464" s="1"/>
      <c r="J4464" s="1"/>
      <c r="K4464" s="1"/>
      <c r="L4464" s="1"/>
      <c r="M4464" s="1"/>
      <c r="N4464" s="1"/>
      <c r="O4464" s="1"/>
      <c r="P4464" s="1"/>
      <c r="Q4464" s="1"/>
      <c r="R4464" s="1"/>
      <c r="S4464" s="1"/>
      <c r="T4464" s="1"/>
      <c r="U4464" s="1"/>
      <c r="V4464" s="1"/>
      <c r="W4464" s="1"/>
      <c r="X4464" s="1"/>
      <c r="Y4464" s="1"/>
      <c r="Z4464" s="1"/>
      <c r="AA4464" s="1"/>
      <c r="AB4464" s="1"/>
    </row>
    <row r="4465" ht="50.25" customHeight="1">
      <c r="A4465" s="12">
        <v>4461.0</v>
      </c>
      <c r="B4465" s="13" t="s">
        <v>4379</v>
      </c>
      <c r="C4465" s="14" t="s">
        <v>4484</v>
      </c>
      <c r="D4465" s="1"/>
      <c r="E4465" s="1"/>
      <c r="F4465" s="1" t="str">
        <f>IFERROR(__xludf.DUMMYFUNCTION("GOOGLETRANSLATE(B4465, ""en"", ""fa"")
"),"مشاوره دوستیابی")</f>
        <v>مشاوره دوستیابی</v>
      </c>
      <c r="G4465" s="1" t="str">
        <f>IFERROR(__xludf.DUMMYFUNCTION("GOOGLETRANSLATE(C4465, ""en"", ""fa"")
"),"چند راهبرد برای شروع گفتگو با پرسیدن از طرف مقابل در مورد نقل قول ها یا الهامات مورد علاقه او چیست؟")</f>
        <v>چند راهبرد برای شروع گفتگو با پرسیدن از طرف مقابل در مورد نقل قول ها یا الهامات مورد علاقه او چیست؟</v>
      </c>
      <c r="H4465" s="1"/>
      <c r="I4465" s="1"/>
      <c r="J4465" s="1"/>
      <c r="K4465" s="1"/>
      <c r="L4465" s="1"/>
      <c r="M4465" s="1"/>
      <c r="N4465" s="1"/>
      <c r="O4465" s="1"/>
      <c r="P4465" s="1"/>
      <c r="Q4465" s="1"/>
      <c r="R4465" s="1"/>
      <c r="S4465" s="1"/>
      <c r="T4465" s="1"/>
      <c r="U4465" s="1"/>
      <c r="V4465" s="1"/>
      <c r="W4465" s="1"/>
      <c r="X4465" s="1"/>
      <c r="Y4465" s="1"/>
      <c r="Z4465" s="1"/>
      <c r="AA4465" s="1"/>
      <c r="AB4465" s="1"/>
    </row>
    <row r="4466" ht="50.25" customHeight="1">
      <c r="A4466" s="12">
        <v>4462.0</v>
      </c>
      <c r="B4466" s="13" t="s">
        <v>4379</v>
      </c>
      <c r="C4466" s="14" t="s">
        <v>4485</v>
      </c>
      <c r="D4466" s="1"/>
      <c r="E4466" s="1"/>
      <c r="F4466" s="1" t="str">
        <f>IFERROR(__xludf.DUMMYFUNCTION("GOOGLETRANSLATE(B4466, ""en"", ""fa"")
"),"مشاوره دوستیابی")</f>
        <v>مشاوره دوستیابی</v>
      </c>
      <c r="G4466" s="1" t="str">
        <f>IFERROR(__xludf.DUMMYFUNCTION("GOOGLETRANSLATE(C4466, ""en"", ""fa"")
"),"چگونه می توانم با پرسیدن از طرف مقابل در مورد اشکال هنری یا ترجیحات هنری مورد علاقه اش، کنجکاوی واقعی نشان دهم؟")</f>
        <v>چگونه می توانم با پرسیدن از طرف مقابل در مورد اشکال هنری یا ترجیحات هنری مورد علاقه اش، کنجکاوی واقعی نشان دهم؟</v>
      </c>
      <c r="H4466" s="1"/>
      <c r="I4466" s="1"/>
      <c r="J4466" s="1"/>
      <c r="K4466" s="1"/>
      <c r="L4466" s="1"/>
      <c r="M4466" s="1"/>
      <c r="N4466" s="1"/>
      <c r="O4466" s="1"/>
      <c r="P4466" s="1"/>
      <c r="Q4466" s="1"/>
      <c r="R4466" s="1"/>
      <c r="S4466" s="1"/>
      <c r="T4466" s="1"/>
      <c r="U4466" s="1"/>
      <c r="V4466" s="1"/>
      <c r="W4466" s="1"/>
      <c r="X4466" s="1"/>
      <c r="Y4466" s="1"/>
      <c r="Z4466" s="1"/>
      <c r="AA4466" s="1"/>
      <c r="AB4466" s="1"/>
    </row>
    <row r="4467" ht="50.25" customHeight="1">
      <c r="A4467" s="12">
        <v>4463.0</v>
      </c>
      <c r="B4467" s="13" t="s">
        <v>4379</v>
      </c>
      <c r="C4467" s="14" t="s">
        <v>4486</v>
      </c>
      <c r="D4467" s="1"/>
      <c r="E4467" s="1"/>
      <c r="F4467" s="1" t="str">
        <f>IFERROR(__xludf.DUMMYFUNCTION("GOOGLETRANSLATE(B4467, ""en"", ""fa"")
"),"مشاوره دوستیابی")</f>
        <v>مشاوره دوستیابی</v>
      </c>
      <c r="G4467" s="1" t="str">
        <f>IFERROR(__xludf.DUMMYFUNCTION("GOOGLETRANSLATE(C4467, ""en"", ""fa"")
"),"چند تکنیک برای شروع یک مکالمه با پرسیدن از طرف مقابل در مورد فعالیت های تناسب اندام یا روال سلامتی مورد علاقه او چیست؟")</f>
        <v>چند تکنیک برای شروع یک مکالمه با پرسیدن از طرف مقابل در مورد فعالیت های تناسب اندام یا روال سلامتی مورد علاقه او چیست؟</v>
      </c>
      <c r="H4467" s="1"/>
      <c r="I4467" s="1"/>
      <c r="J4467" s="1"/>
      <c r="K4467" s="1"/>
      <c r="L4467" s="1"/>
      <c r="M4467" s="1"/>
      <c r="N4467" s="1"/>
      <c r="O4467" s="1"/>
      <c r="P4467" s="1"/>
      <c r="Q4467" s="1"/>
      <c r="R4467" s="1"/>
      <c r="S4467" s="1"/>
      <c r="T4467" s="1"/>
      <c r="U4467" s="1"/>
      <c r="V4467" s="1"/>
      <c r="W4467" s="1"/>
      <c r="X4467" s="1"/>
      <c r="Y4467" s="1"/>
      <c r="Z4467" s="1"/>
      <c r="AA4467" s="1"/>
      <c r="AB4467" s="1"/>
    </row>
    <row r="4468" ht="50.25" customHeight="1">
      <c r="A4468" s="12">
        <v>4464.0</v>
      </c>
      <c r="B4468" s="13" t="s">
        <v>4379</v>
      </c>
      <c r="C4468" s="14" t="s">
        <v>4487</v>
      </c>
      <c r="D4468" s="1"/>
      <c r="E4468" s="1"/>
      <c r="F4468" s="1" t="str">
        <f>IFERROR(__xludf.DUMMYFUNCTION("GOOGLETRANSLATE(B4468, ""en"", ""fa"")
"),"مشاوره دوستیابی")</f>
        <v>مشاوره دوستیابی</v>
      </c>
      <c r="G4468" s="1" t="str">
        <f>IFERROR(__xludf.DUMMYFUNCTION("GOOGLETRANSLATE(C4468, ""en"", ""fa"")
"),"چگونه می توانم با به اشتراک گذاشتن یک مشاهدات خنده دار یا جالب در مورد منطقه محلی یا شهری که طرف مقابل اهل آن است، گفتگو را آغاز کنم؟")</f>
        <v>چگونه می توانم با به اشتراک گذاشتن یک مشاهدات خنده دار یا جالب در مورد منطقه محلی یا شهری که طرف مقابل اهل آن است، گفتگو را آغاز کنم؟</v>
      </c>
      <c r="H4468" s="1"/>
      <c r="I4468" s="1"/>
      <c r="J4468" s="1"/>
      <c r="K4468" s="1"/>
      <c r="L4468" s="1"/>
      <c r="M4468" s="1"/>
      <c r="N4468" s="1"/>
      <c r="O4468" s="1"/>
      <c r="P4468" s="1"/>
      <c r="Q4468" s="1"/>
      <c r="R4468" s="1"/>
      <c r="S4468" s="1"/>
      <c r="T4468" s="1"/>
      <c r="U4468" s="1"/>
      <c r="V4468" s="1"/>
      <c r="W4468" s="1"/>
      <c r="X4468" s="1"/>
      <c r="Y4468" s="1"/>
      <c r="Z4468" s="1"/>
      <c r="AA4468" s="1"/>
      <c r="AB4468" s="1"/>
    </row>
    <row r="4469" ht="50.25" customHeight="1">
      <c r="A4469" s="12">
        <v>4465.0</v>
      </c>
      <c r="B4469" s="13" t="s">
        <v>4379</v>
      </c>
      <c r="C4469" s="14" t="s">
        <v>4488</v>
      </c>
      <c r="D4469" s="1"/>
      <c r="E4469" s="1"/>
      <c r="F4469" s="1" t="str">
        <f>IFERROR(__xludf.DUMMYFUNCTION("GOOGLETRANSLATE(B4469, ""en"", ""fa"")
"),"مشاوره دوستیابی")</f>
        <v>مشاوره دوستیابی</v>
      </c>
      <c r="G4469" s="1" t="str">
        <f>IFERROR(__xludf.DUMMYFUNCTION("GOOGLETRANSLATE(C4469, ""en"", ""fa"")
"),"چند راه موثر برای شروع مکالمه با شخصی در یک پلت فرم دوستیابی آنلاین چیست؟")</f>
        <v>چند راه موثر برای شروع مکالمه با شخصی در یک پلت فرم دوستیابی آنلاین چیست؟</v>
      </c>
      <c r="H4469" s="1"/>
      <c r="I4469" s="1"/>
      <c r="J4469" s="1"/>
      <c r="K4469" s="1"/>
      <c r="L4469" s="1"/>
      <c r="M4469" s="1"/>
      <c r="N4469" s="1"/>
      <c r="O4469" s="1"/>
      <c r="P4469" s="1"/>
      <c r="Q4469" s="1"/>
      <c r="R4469" s="1"/>
      <c r="S4469" s="1"/>
      <c r="T4469" s="1"/>
      <c r="U4469" s="1"/>
      <c r="V4469" s="1"/>
      <c r="W4469" s="1"/>
      <c r="X4469" s="1"/>
      <c r="Y4469" s="1"/>
      <c r="Z4469" s="1"/>
      <c r="AA4469" s="1"/>
      <c r="AB4469" s="1"/>
    </row>
    <row r="4470" ht="50.25" customHeight="1">
      <c r="A4470" s="12">
        <v>4466.0</v>
      </c>
      <c r="B4470" s="13" t="s">
        <v>4379</v>
      </c>
      <c r="C4470" s="14" t="s">
        <v>4489</v>
      </c>
      <c r="D4470" s="1"/>
      <c r="E4470" s="1"/>
      <c r="F4470" s="1" t="str">
        <f>IFERROR(__xludf.DUMMYFUNCTION("GOOGLETRANSLATE(B4470, ""en"", ""fa"")
"),"مشاوره دوستیابی")</f>
        <v>مشاوره دوستیابی</v>
      </c>
      <c r="G4470" s="1" t="str">
        <f>IFERROR(__xludf.DUMMYFUNCTION("GOOGLETRANSLATE(C4470, ""en"", ""fa"")
"),"چگونه می توانم یک مکالمه را جذاب و درگیرکننده با یک مسابقه احتمالی نگه دارم؟")</f>
        <v>چگونه می توانم یک مکالمه را جذاب و درگیرکننده با یک مسابقه احتمالی نگه دارم؟</v>
      </c>
      <c r="H4470" s="1"/>
      <c r="I4470" s="1"/>
      <c r="J4470" s="1"/>
      <c r="K4470" s="1"/>
      <c r="L4470" s="1"/>
      <c r="M4470" s="1"/>
      <c r="N4470" s="1"/>
      <c r="O4470" s="1"/>
      <c r="P4470" s="1"/>
      <c r="Q4470" s="1"/>
      <c r="R4470" s="1"/>
      <c r="S4470" s="1"/>
      <c r="T4470" s="1"/>
      <c r="U4470" s="1"/>
      <c r="V4470" s="1"/>
      <c r="W4470" s="1"/>
      <c r="X4470" s="1"/>
      <c r="Y4470" s="1"/>
      <c r="Z4470" s="1"/>
      <c r="AA4470" s="1"/>
      <c r="AB4470" s="1"/>
    </row>
    <row r="4471" ht="50.25" customHeight="1">
      <c r="A4471" s="12">
        <v>4467.0</v>
      </c>
      <c r="B4471" s="13" t="s">
        <v>4379</v>
      </c>
      <c r="C4471" s="14" t="s">
        <v>4490</v>
      </c>
      <c r="D4471" s="1"/>
      <c r="E4471" s="1"/>
      <c r="F4471" s="1" t="str">
        <f>IFERROR(__xludf.DUMMYFUNCTION("GOOGLETRANSLATE(B4471, ""en"", ""fa"")
"),"مشاوره دوستیابی")</f>
        <v>مشاوره دوستیابی</v>
      </c>
      <c r="G4471" s="1" t="str">
        <f>IFERROR(__xludf.DUMMYFUNCTION("GOOGLETRANSLATE(C4471, ""en"", ""fa"")
"),"چند استراتژی برای یافتن علایق و موضوعات مشترک برای بحث با یک همتای احتمالی چیست؟")</f>
        <v>چند استراتژی برای یافتن علایق و موضوعات مشترک برای بحث با یک همتای احتمالی چیست؟</v>
      </c>
      <c r="H4471" s="1"/>
      <c r="I4471" s="1"/>
      <c r="J4471" s="1"/>
      <c r="K4471" s="1"/>
      <c r="L4471" s="1"/>
      <c r="M4471" s="1"/>
      <c r="N4471" s="1"/>
      <c r="O4471" s="1"/>
      <c r="P4471" s="1"/>
      <c r="Q4471" s="1"/>
      <c r="R4471" s="1"/>
      <c r="S4471" s="1"/>
      <c r="T4471" s="1"/>
      <c r="U4471" s="1"/>
      <c r="V4471" s="1"/>
      <c r="W4471" s="1"/>
      <c r="X4471" s="1"/>
      <c r="Y4471" s="1"/>
      <c r="Z4471" s="1"/>
      <c r="AA4471" s="1"/>
      <c r="AB4471" s="1"/>
    </row>
    <row r="4472" ht="50.25" customHeight="1">
      <c r="A4472" s="12">
        <v>4468.0</v>
      </c>
      <c r="B4472" s="13" t="s">
        <v>4379</v>
      </c>
      <c r="C4472" s="14" t="s">
        <v>4491</v>
      </c>
      <c r="D4472" s="1"/>
      <c r="E4472" s="1"/>
      <c r="F4472" s="1" t="str">
        <f>IFERROR(__xludf.DUMMYFUNCTION("GOOGLETRANSLATE(B4472, ""en"", ""fa"")
"),"مشاوره دوستیابی")</f>
        <v>مشاوره دوستیابی</v>
      </c>
      <c r="G4472" s="1" t="str">
        <f>IFERROR(__xludf.DUMMYFUNCTION("GOOGLETRANSLATE(C4472, ""en"", ""fa"")
"),"چگونه می توانم کنجکاوی و علاقه واقعی به زندگی و تجربیات یک مسابقه بالقوه نشان دهم؟")</f>
        <v>چگونه می توانم کنجکاوی و علاقه واقعی به زندگی و تجربیات یک مسابقه بالقوه نشان دهم؟</v>
      </c>
      <c r="H4472" s="1"/>
      <c r="I4472" s="1"/>
      <c r="J4472" s="1"/>
      <c r="K4472" s="1"/>
      <c r="L4472" s="1"/>
      <c r="M4472" s="1"/>
      <c r="N4472" s="1"/>
      <c r="O4472" s="1"/>
      <c r="P4472" s="1"/>
      <c r="Q4472" s="1"/>
      <c r="R4472" s="1"/>
      <c r="S4472" s="1"/>
      <c r="T4472" s="1"/>
      <c r="U4472" s="1"/>
      <c r="V4472" s="1"/>
      <c r="W4472" s="1"/>
      <c r="X4472" s="1"/>
      <c r="Y4472" s="1"/>
      <c r="Z4472" s="1"/>
      <c r="AA4472" s="1"/>
      <c r="AB4472" s="1"/>
    </row>
    <row r="4473" ht="50.25" customHeight="1">
      <c r="A4473" s="12">
        <v>4469.0</v>
      </c>
      <c r="B4473" s="13" t="s">
        <v>4379</v>
      </c>
      <c r="C4473" s="14" t="s">
        <v>4492</v>
      </c>
      <c r="D4473" s="1"/>
      <c r="E4473" s="1"/>
      <c r="F4473" s="1" t="str">
        <f>IFERROR(__xludf.DUMMYFUNCTION("GOOGLETRANSLATE(B4473, ""en"", ""fa"")
"),"مشاوره دوستیابی")</f>
        <v>مشاوره دوستیابی</v>
      </c>
      <c r="G4473" s="1" t="str">
        <f>IFERROR(__xludf.DUMMYFUNCTION("GOOGLETRANSLATE(C4473, ""en"", ""fa"")
"),"چه نکاتی برای پرسیدن سؤالات باز وجود دارد که مکالمه معنادار را تشویق می کند؟")</f>
        <v>چه نکاتی برای پرسیدن سؤالات باز وجود دارد که مکالمه معنادار را تشویق می کند؟</v>
      </c>
      <c r="H4473" s="1"/>
      <c r="I4473" s="1"/>
      <c r="J4473" s="1"/>
      <c r="K4473" s="1"/>
      <c r="L4473" s="1"/>
      <c r="M4473" s="1"/>
      <c r="N4473" s="1"/>
      <c r="O4473" s="1"/>
      <c r="P4473" s="1"/>
      <c r="Q4473" s="1"/>
      <c r="R4473" s="1"/>
      <c r="S4473" s="1"/>
      <c r="T4473" s="1"/>
      <c r="U4473" s="1"/>
      <c r="V4473" s="1"/>
      <c r="W4473" s="1"/>
      <c r="X4473" s="1"/>
      <c r="Y4473" s="1"/>
      <c r="Z4473" s="1"/>
      <c r="AA4473" s="1"/>
      <c r="AB4473" s="1"/>
    </row>
    <row r="4474" ht="50.25" customHeight="1">
      <c r="A4474" s="12">
        <v>4470.0</v>
      </c>
      <c r="B4474" s="13" t="s">
        <v>4379</v>
      </c>
      <c r="C4474" s="14" t="s">
        <v>4493</v>
      </c>
      <c r="D4474" s="1"/>
      <c r="E4474" s="1"/>
      <c r="F4474" s="1" t="str">
        <f>IFERROR(__xludf.DUMMYFUNCTION("GOOGLETRANSLATE(B4474, ""en"", ""fa"")
"),"مشاوره دوستیابی")</f>
        <v>مشاوره دوستیابی</v>
      </c>
      <c r="G4474" s="1" t="str">
        <f>IFERROR(__xludf.DUMMYFUNCTION("GOOGLETRANSLATE(C4474, ""en"", ""fa"")
"),"چگونه می توانم از دام های رایج مکالمه، مانند استفاده از خطوط ابتدایی عمومی یا خسته کننده جلوگیری کنم؟")</f>
        <v>چگونه می توانم از دام های رایج مکالمه، مانند استفاده از خطوط ابتدایی عمومی یا خسته کننده جلوگیری کنم؟</v>
      </c>
      <c r="H4474" s="1"/>
      <c r="I4474" s="1"/>
      <c r="J4474" s="1"/>
      <c r="K4474" s="1"/>
      <c r="L4474" s="1"/>
      <c r="M4474" s="1"/>
      <c r="N4474" s="1"/>
      <c r="O4474" s="1"/>
      <c r="P4474" s="1"/>
      <c r="Q4474" s="1"/>
      <c r="R4474" s="1"/>
      <c r="S4474" s="1"/>
      <c r="T4474" s="1"/>
      <c r="U4474" s="1"/>
      <c r="V4474" s="1"/>
      <c r="W4474" s="1"/>
      <c r="X4474" s="1"/>
      <c r="Y4474" s="1"/>
      <c r="Z4474" s="1"/>
      <c r="AA4474" s="1"/>
      <c r="AB4474" s="1"/>
    </row>
    <row r="4475" ht="50.25" customHeight="1">
      <c r="A4475" s="12">
        <v>4471.0</v>
      </c>
      <c r="B4475" s="13" t="s">
        <v>4379</v>
      </c>
      <c r="C4475" s="14" t="s">
        <v>4494</v>
      </c>
      <c r="D4475" s="1"/>
      <c r="E4475" s="1"/>
      <c r="F4475" s="1" t="str">
        <f>IFERROR(__xludf.DUMMYFUNCTION("GOOGLETRANSLATE(B4475, ""en"", ""fa"")
"),"مشاوره دوستیابی")</f>
        <v>مشاوره دوستیابی</v>
      </c>
      <c r="G4475" s="1" t="str">
        <f>IFERROR(__xludf.DUMMYFUNCTION("GOOGLETRANSLATE(C4475, ""en"", ""fa"")
"),"چند تکنیک برای استفاده از شوخ طبعی و شوخ طبعی برای ایجاد ارتباط در مکالمات آنلاین چیست؟")</f>
        <v>چند تکنیک برای استفاده از شوخ طبعی و شوخ طبعی برای ایجاد ارتباط در مکالمات آنلاین چیست؟</v>
      </c>
      <c r="H4475" s="1"/>
      <c r="I4475" s="1"/>
      <c r="J4475" s="1"/>
      <c r="K4475" s="1"/>
      <c r="L4475" s="1"/>
      <c r="M4475" s="1"/>
      <c r="N4475" s="1"/>
      <c r="O4475" s="1"/>
      <c r="P4475" s="1"/>
      <c r="Q4475" s="1"/>
      <c r="R4475" s="1"/>
      <c r="S4475" s="1"/>
      <c r="T4475" s="1"/>
      <c r="U4475" s="1"/>
      <c r="V4475" s="1"/>
      <c r="W4475" s="1"/>
      <c r="X4475" s="1"/>
      <c r="Y4475" s="1"/>
      <c r="Z4475" s="1"/>
      <c r="AA4475" s="1"/>
      <c r="AB4475" s="1"/>
    </row>
    <row r="4476" ht="50.25" customHeight="1">
      <c r="A4476" s="12">
        <v>4472.0</v>
      </c>
      <c r="B4476" s="13" t="s">
        <v>4379</v>
      </c>
      <c r="C4476" s="14" t="s">
        <v>4495</v>
      </c>
      <c r="D4476" s="1"/>
      <c r="E4476" s="1"/>
      <c r="F4476" s="1" t="str">
        <f>IFERROR(__xludf.DUMMYFUNCTION("GOOGLETRANSLATE(B4476, ""en"", ""fa"")
"),"مشاوره دوستیابی")</f>
        <v>مشاوره دوستیابی</v>
      </c>
      <c r="G4476" s="1" t="str">
        <f>IFERROR(__xludf.DUMMYFUNCTION("GOOGLETRANSLATE(C4476, ""en"", ""fa"")
"),"چگونه می توانم بین اشتراک گذاری اطلاعات در مورد خودم تعادل برقرار کنم و در عین حال به طرف مقابل علاقه نشان دهم؟")</f>
        <v>چگونه می توانم بین اشتراک گذاری اطلاعات در مورد خودم تعادل برقرار کنم و در عین حال به طرف مقابل علاقه نشان دهم؟</v>
      </c>
      <c r="H4476" s="1"/>
      <c r="I4476" s="1"/>
      <c r="J4476" s="1"/>
      <c r="K4476" s="1"/>
      <c r="L4476" s="1"/>
      <c r="M4476" s="1"/>
      <c r="N4476" s="1"/>
      <c r="O4476" s="1"/>
      <c r="P4476" s="1"/>
      <c r="Q4476" s="1"/>
      <c r="R4476" s="1"/>
      <c r="S4476" s="1"/>
      <c r="T4476" s="1"/>
      <c r="U4476" s="1"/>
      <c r="V4476" s="1"/>
      <c r="W4476" s="1"/>
      <c r="X4476" s="1"/>
      <c r="Y4476" s="1"/>
      <c r="Z4476" s="1"/>
      <c r="AA4476" s="1"/>
      <c r="AB4476" s="1"/>
    </row>
    <row r="4477" ht="50.25" customHeight="1">
      <c r="A4477" s="12">
        <v>4473.0</v>
      </c>
      <c r="B4477" s="13" t="s">
        <v>4379</v>
      </c>
      <c r="C4477" s="14" t="s">
        <v>4496</v>
      </c>
      <c r="D4477" s="1"/>
      <c r="E4477" s="1"/>
      <c r="F4477" s="1" t="str">
        <f>IFERROR(__xludf.DUMMYFUNCTION("GOOGLETRANSLATE(B4477, ""en"", ""fa"")
"),"مشاوره دوستیابی")</f>
        <v>مشاوره دوستیابی</v>
      </c>
      <c r="G4477" s="1" t="str">
        <f>IFERROR(__xludf.DUMMYFUNCTION("GOOGLETRANSLATE(C4477, ""en"", ""fa"")
"),"چند استراتژی برای گوش دادن فعالانه و نشان دادن همدلی در طول مکالمات آنلاین چیست؟")</f>
        <v>چند استراتژی برای گوش دادن فعالانه و نشان دادن همدلی در طول مکالمات آنلاین چیست؟</v>
      </c>
      <c r="H4477" s="1"/>
      <c r="I4477" s="1"/>
      <c r="J4477" s="1"/>
      <c r="K4477" s="1"/>
      <c r="L4477" s="1"/>
      <c r="M4477" s="1"/>
      <c r="N4477" s="1"/>
      <c r="O4477" s="1"/>
      <c r="P4477" s="1"/>
      <c r="Q4477" s="1"/>
      <c r="R4477" s="1"/>
      <c r="S4477" s="1"/>
      <c r="T4477" s="1"/>
      <c r="U4477" s="1"/>
      <c r="V4477" s="1"/>
      <c r="W4477" s="1"/>
      <c r="X4477" s="1"/>
      <c r="Y4477" s="1"/>
      <c r="Z4477" s="1"/>
      <c r="AA4477" s="1"/>
      <c r="AB4477" s="1"/>
    </row>
    <row r="4478" ht="50.25" customHeight="1">
      <c r="A4478" s="12">
        <v>4474.0</v>
      </c>
      <c r="B4478" s="13" t="s">
        <v>4379</v>
      </c>
      <c r="C4478" s="14" t="s">
        <v>4497</v>
      </c>
      <c r="D4478" s="1"/>
      <c r="E4478" s="1"/>
      <c r="F4478" s="1" t="str">
        <f>IFERROR(__xludf.DUMMYFUNCTION("GOOGLETRANSLATE(B4478, ""en"", ""fa"")
"),"مشاوره دوستیابی")</f>
        <v>مشاوره دوستیابی</v>
      </c>
      <c r="G4478" s="1" t="str">
        <f>IFERROR(__xludf.DUMMYFUNCTION("GOOGLETRANSLATE(C4478, ""en"", ""fa"")
"),"چگونه می توانم مکالمات را حول موضوعات حساس یا تجربیات شخصی با درایت و احترام هدایت کنم؟")</f>
        <v>چگونه می توانم مکالمات را حول موضوعات حساس یا تجربیات شخصی با درایت و احترام هدایت کنم؟</v>
      </c>
      <c r="H4478" s="1"/>
      <c r="I4478" s="1"/>
      <c r="J4478" s="1"/>
      <c r="K4478" s="1"/>
      <c r="L4478" s="1"/>
      <c r="M4478" s="1"/>
      <c r="N4478" s="1"/>
      <c r="O4478" s="1"/>
      <c r="P4478" s="1"/>
      <c r="Q4478" s="1"/>
      <c r="R4478" s="1"/>
      <c r="S4478" s="1"/>
      <c r="T4478" s="1"/>
      <c r="U4478" s="1"/>
      <c r="V4478" s="1"/>
      <c r="W4478" s="1"/>
      <c r="X4478" s="1"/>
      <c r="Y4478" s="1"/>
      <c r="Z4478" s="1"/>
      <c r="AA4478" s="1"/>
      <c r="AB4478" s="1"/>
    </row>
    <row r="4479" ht="50.25" customHeight="1">
      <c r="A4479" s="12">
        <v>4475.0</v>
      </c>
      <c r="B4479" s="13" t="s">
        <v>4379</v>
      </c>
      <c r="C4479" s="14" t="s">
        <v>4498</v>
      </c>
      <c r="D4479" s="1"/>
      <c r="E4479" s="1"/>
      <c r="F4479" s="1" t="str">
        <f>IFERROR(__xludf.DUMMYFUNCTION("GOOGLETRANSLATE(B4479, ""en"", ""fa"")
"),"مشاوره دوستیابی")</f>
        <v>مشاوره دوستیابی</v>
      </c>
      <c r="G4479" s="1" t="str">
        <f>IFERROR(__xludf.DUMMYFUNCTION("GOOGLETRANSLATE(C4479, ""en"", ""fa"")
"),"چند نکته برای حفظ لحن مثبت و خوش بینانه در مکالمات آنلاین چیست؟")</f>
        <v>چند نکته برای حفظ لحن مثبت و خوش بینانه در مکالمات آنلاین چیست؟</v>
      </c>
      <c r="H4479" s="1"/>
      <c r="I4479" s="1"/>
      <c r="J4479" s="1"/>
      <c r="K4479" s="1"/>
      <c r="L4479" s="1"/>
      <c r="M4479" s="1"/>
      <c r="N4479" s="1"/>
      <c r="O4479" s="1"/>
      <c r="P4479" s="1"/>
      <c r="Q4479" s="1"/>
      <c r="R4479" s="1"/>
      <c r="S4479" s="1"/>
      <c r="T4479" s="1"/>
      <c r="U4479" s="1"/>
      <c r="V4479" s="1"/>
      <c r="W4479" s="1"/>
      <c r="X4479" s="1"/>
      <c r="Y4479" s="1"/>
      <c r="Z4479" s="1"/>
      <c r="AA4479" s="1"/>
      <c r="AB4479" s="1"/>
    </row>
    <row r="4480" ht="50.25" customHeight="1">
      <c r="A4480" s="12">
        <v>4476.0</v>
      </c>
      <c r="B4480" s="13" t="s">
        <v>4379</v>
      </c>
      <c r="C4480" s="14" t="s">
        <v>4499</v>
      </c>
      <c r="D4480" s="1"/>
      <c r="E4480" s="1"/>
      <c r="F4480" s="1" t="str">
        <f>IFERROR(__xludf.DUMMYFUNCTION("GOOGLETRANSLATE(B4480, ""en"", ""fa"")
"),"مشاوره دوستیابی")</f>
        <v>مشاوره دوستیابی</v>
      </c>
      <c r="G4480" s="1" t="str">
        <f>IFERROR(__xludf.DUMMYFUNCTION("GOOGLETRANSLATE(C4480, ""en"", ""fa"")
"),"چگونه می توانم از یک گفتگوی کوچک به گفتگوهای عمیق تر و معنادارتر با یک تطابق بالقوه گذار کنم؟")</f>
        <v>چگونه می توانم از یک گفتگوی کوچک به گفتگوهای عمیق تر و معنادارتر با یک تطابق بالقوه گذار کنم؟</v>
      </c>
      <c r="H4480" s="1"/>
      <c r="I4480" s="1"/>
      <c r="J4480" s="1"/>
      <c r="K4480" s="1"/>
      <c r="L4480" s="1"/>
      <c r="M4480" s="1"/>
      <c r="N4480" s="1"/>
      <c r="O4480" s="1"/>
      <c r="P4480" s="1"/>
      <c r="Q4480" s="1"/>
      <c r="R4480" s="1"/>
      <c r="S4480" s="1"/>
      <c r="T4480" s="1"/>
      <c r="U4480" s="1"/>
      <c r="V4480" s="1"/>
      <c r="W4480" s="1"/>
      <c r="X4480" s="1"/>
      <c r="Y4480" s="1"/>
      <c r="Z4480" s="1"/>
      <c r="AA4480" s="1"/>
      <c r="AB4480" s="1"/>
    </row>
    <row r="4481" ht="50.25" customHeight="1">
      <c r="A4481" s="12">
        <v>4477.0</v>
      </c>
      <c r="B4481" s="13" t="s">
        <v>4379</v>
      </c>
      <c r="C4481" s="14" t="s">
        <v>4500</v>
      </c>
      <c r="D4481" s="1"/>
      <c r="E4481" s="1"/>
      <c r="F4481" s="1" t="str">
        <f>IFERROR(__xludf.DUMMYFUNCTION("GOOGLETRANSLATE(B4481, ""en"", ""fa"")
"),"مشاوره دوستیابی")</f>
        <v>مشاوره دوستیابی</v>
      </c>
      <c r="G4481" s="1" t="str">
        <f>IFERROR(__xludf.DUMMYFUNCTION("GOOGLETRANSLATE(C4481, ""en"", ""fa"")
"),"چند تکنیک برای استفاده از ایموجی ها و GIF ها برای افزودن شخصیت و احساسات به مکالمات آنلاین چیست؟")</f>
        <v>چند تکنیک برای استفاده از ایموجی ها و GIF ها برای افزودن شخصیت و احساسات به مکالمات آنلاین چیست؟</v>
      </c>
      <c r="H4481" s="1"/>
      <c r="I4481" s="1"/>
      <c r="J4481" s="1"/>
      <c r="K4481" s="1"/>
      <c r="L4481" s="1"/>
      <c r="M4481" s="1"/>
      <c r="N4481" s="1"/>
      <c r="O4481" s="1"/>
      <c r="P4481" s="1"/>
      <c r="Q4481" s="1"/>
      <c r="R4481" s="1"/>
      <c r="S4481" s="1"/>
      <c r="T4481" s="1"/>
      <c r="U4481" s="1"/>
      <c r="V4481" s="1"/>
      <c r="W4481" s="1"/>
      <c r="X4481" s="1"/>
      <c r="Y4481" s="1"/>
      <c r="Z4481" s="1"/>
      <c r="AA4481" s="1"/>
      <c r="AB4481" s="1"/>
    </row>
    <row r="4482" ht="50.25" customHeight="1">
      <c r="A4482" s="12">
        <v>4478.0</v>
      </c>
      <c r="B4482" s="13" t="s">
        <v>4379</v>
      </c>
      <c r="C4482" s="14" t="s">
        <v>4501</v>
      </c>
      <c r="D4482" s="1"/>
      <c r="E4482" s="1"/>
      <c r="F4482" s="1" t="str">
        <f>IFERROR(__xludf.DUMMYFUNCTION("GOOGLETRANSLATE(B4482, ""en"", ""fa"")
"),"مشاوره دوستیابی")</f>
        <v>مشاوره دوستیابی</v>
      </c>
      <c r="G4482" s="1" t="str">
        <f>IFERROR(__xludf.DUMMYFUNCTION("GOOGLETRANSLATE(C4482, ""en"", ""fa"")
"),"چگونه می توانم در مکالمات آنلاین تحسین و قدردانی واقعی خود را بیان کنم، بدون اینکه آن را غیر صادقانه بدانم؟")</f>
        <v>چگونه می توانم در مکالمات آنلاین تحسین و قدردانی واقعی خود را بیان کنم، بدون اینکه آن را غیر صادقانه بدانم؟</v>
      </c>
      <c r="H4482" s="1"/>
      <c r="I4482" s="1"/>
      <c r="J4482" s="1"/>
      <c r="K4482" s="1"/>
      <c r="L4482" s="1"/>
      <c r="M4482" s="1"/>
      <c r="N4482" s="1"/>
      <c r="O4482" s="1"/>
      <c r="P4482" s="1"/>
      <c r="Q4482" s="1"/>
      <c r="R4482" s="1"/>
      <c r="S4482" s="1"/>
      <c r="T4482" s="1"/>
      <c r="U4482" s="1"/>
      <c r="V4482" s="1"/>
      <c r="W4482" s="1"/>
      <c r="X4482" s="1"/>
      <c r="Y4482" s="1"/>
      <c r="Z4482" s="1"/>
      <c r="AA4482" s="1"/>
      <c r="AB4482" s="1"/>
    </row>
    <row r="4483" ht="50.25" customHeight="1">
      <c r="A4483" s="12">
        <v>4479.0</v>
      </c>
      <c r="B4483" s="13" t="s">
        <v>4379</v>
      </c>
      <c r="C4483" s="14" t="s">
        <v>4502</v>
      </c>
      <c r="D4483" s="1"/>
      <c r="E4483" s="1"/>
      <c r="F4483" s="1" t="str">
        <f>IFERROR(__xludf.DUMMYFUNCTION("GOOGLETRANSLATE(B4483, ""en"", ""fa"")
"),"مشاوره دوستیابی")</f>
        <v>مشاوره دوستیابی</v>
      </c>
      <c r="G4483" s="1" t="str">
        <f>IFERROR(__xludf.DUMMYFUNCTION("GOOGLETRANSLATE(C4483, ""en"", ""fa"")
"),"چند استراتژی برای یافتن تعادل بین اشتراک گذاری اطلاعات شخصی و حفظ حریم خصوصی در مکالمات آنلاین چیست؟")</f>
        <v>چند استراتژی برای یافتن تعادل بین اشتراک گذاری اطلاعات شخصی و حفظ حریم خصوصی در مکالمات آنلاین چیست؟</v>
      </c>
      <c r="H4483" s="1"/>
      <c r="I4483" s="1"/>
      <c r="J4483" s="1"/>
      <c r="K4483" s="1"/>
      <c r="L4483" s="1"/>
      <c r="M4483" s="1"/>
      <c r="N4483" s="1"/>
      <c r="O4483" s="1"/>
      <c r="P4483" s="1"/>
      <c r="Q4483" s="1"/>
      <c r="R4483" s="1"/>
      <c r="S4483" s="1"/>
      <c r="T4483" s="1"/>
      <c r="U4483" s="1"/>
      <c r="V4483" s="1"/>
      <c r="W4483" s="1"/>
      <c r="X4483" s="1"/>
      <c r="Y4483" s="1"/>
      <c r="Z4483" s="1"/>
      <c r="AA4483" s="1"/>
      <c r="AB4483" s="1"/>
    </row>
    <row r="4484" ht="50.25" customHeight="1">
      <c r="A4484" s="12">
        <v>4480.0</v>
      </c>
      <c r="B4484" s="13" t="s">
        <v>4379</v>
      </c>
      <c r="C4484" s="14" t="s">
        <v>4503</v>
      </c>
      <c r="D4484" s="1"/>
      <c r="E4484" s="1"/>
      <c r="F4484" s="1" t="str">
        <f>IFERROR(__xludf.DUMMYFUNCTION("GOOGLETRANSLATE(B4484, ""en"", ""fa"")
"),"مشاوره دوستیابی")</f>
        <v>مشاوره دوستیابی</v>
      </c>
      <c r="G4484" s="1" t="str">
        <f>IFERROR(__xludf.DUMMYFUNCTION("GOOGLETRANSLATE(C4484, ""en"", ""fa"")
"),"چگونه می توانم مکالمه را سبک و مفرح نگه دارم بدون اینکه احساسی سطحی یا فاقد عمق داشته باشد؟")</f>
        <v>چگونه می توانم مکالمه را سبک و مفرح نگه دارم بدون اینکه احساسی سطحی یا فاقد عمق داشته باشد؟</v>
      </c>
      <c r="H4484" s="1"/>
      <c r="I4484" s="1"/>
      <c r="J4484" s="1"/>
      <c r="K4484" s="1"/>
      <c r="L4484" s="1"/>
      <c r="M4484" s="1"/>
      <c r="N4484" s="1"/>
      <c r="O4484" s="1"/>
      <c r="P4484" s="1"/>
      <c r="Q4484" s="1"/>
      <c r="R4484" s="1"/>
      <c r="S4484" s="1"/>
      <c r="T4484" s="1"/>
      <c r="U4484" s="1"/>
      <c r="V4484" s="1"/>
      <c r="W4484" s="1"/>
      <c r="X4484" s="1"/>
      <c r="Y4484" s="1"/>
      <c r="Z4484" s="1"/>
      <c r="AA4484" s="1"/>
      <c r="AB4484" s="1"/>
    </row>
    <row r="4485" ht="50.25" customHeight="1">
      <c r="A4485" s="12">
        <v>4481.0</v>
      </c>
      <c r="B4485" s="13" t="s">
        <v>4379</v>
      </c>
      <c r="C4485" s="14" t="s">
        <v>4504</v>
      </c>
      <c r="D4485" s="1"/>
      <c r="E4485" s="1"/>
      <c r="F4485" s="1" t="str">
        <f>IFERROR(__xludf.DUMMYFUNCTION("GOOGLETRANSLATE(B4485, ""en"", ""fa"")
"),"مشاوره دوستیابی")</f>
        <v>مشاوره دوستیابی</v>
      </c>
      <c r="G4485" s="1" t="str">
        <f>IFERROR(__xludf.DUMMYFUNCTION("GOOGLETRANSLATE(C4485, ""en"", ""fa"")
"),"چند نکته برای استفاده از تکنیک‌های گوش دادن فعال برای ایجاد احساس شنیده شدن و درک شدن طرف مقابل چیست؟")</f>
        <v>چند نکته برای استفاده از تکنیک‌های گوش دادن فعال برای ایجاد احساس شنیده شدن و درک شدن طرف مقابل چیست؟</v>
      </c>
      <c r="H4485" s="1"/>
      <c r="I4485" s="1"/>
      <c r="J4485" s="1"/>
      <c r="K4485" s="1"/>
      <c r="L4485" s="1"/>
      <c r="M4485" s="1"/>
      <c r="N4485" s="1"/>
      <c r="O4485" s="1"/>
      <c r="P4485" s="1"/>
      <c r="Q4485" s="1"/>
      <c r="R4485" s="1"/>
      <c r="S4485" s="1"/>
      <c r="T4485" s="1"/>
      <c r="U4485" s="1"/>
      <c r="V4485" s="1"/>
      <c r="W4485" s="1"/>
      <c r="X4485" s="1"/>
      <c r="Y4485" s="1"/>
      <c r="Z4485" s="1"/>
      <c r="AA4485" s="1"/>
      <c r="AB4485" s="1"/>
    </row>
    <row r="4486" ht="50.25" customHeight="1">
      <c r="A4486" s="12">
        <v>4482.0</v>
      </c>
      <c r="B4486" s="13" t="s">
        <v>4379</v>
      </c>
      <c r="C4486" s="14" t="s">
        <v>4505</v>
      </c>
      <c r="D4486" s="1"/>
      <c r="E4486" s="1"/>
      <c r="F4486" s="1" t="str">
        <f>IFERROR(__xludf.DUMMYFUNCTION("GOOGLETRANSLATE(B4486, ""en"", ""fa"")
"),"مشاوره دوستیابی")</f>
        <v>مشاوره دوستیابی</v>
      </c>
      <c r="G4486" s="1" t="str">
        <f>IFERROR(__xludf.DUMMYFUNCTION("GOOGLETRANSLATE(C4486, ""en"", ""fa"")
"),"چگونه می توانم آسیب پذیری و اعتبار را در مکالمات آنلاین بدون اشتراک گذاری بیش از حد یا ایجاد ناراحتی برای طرف مقابل نشان دهم؟")</f>
        <v>چگونه می توانم آسیب پذیری و اعتبار را در مکالمات آنلاین بدون اشتراک گذاری بیش از حد یا ایجاد ناراحتی برای طرف مقابل نشان دهم؟</v>
      </c>
      <c r="H4486" s="1"/>
      <c r="I4486" s="1"/>
      <c r="J4486" s="1"/>
      <c r="K4486" s="1"/>
      <c r="L4486" s="1"/>
      <c r="M4486" s="1"/>
      <c r="N4486" s="1"/>
      <c r="O4486" s="1"/>
      <c r="P4486" s="1"/>
      <c r="Q4486" s="1"/>
      <c r="R4486" s="1"/>
      <c r="S4486" s="1"/>
      <c r="T4486" s="1"/>
      <c r="U4486" s="1"/>
      <c r="V4486" s="1"/>
      <c r="W4486" s="1"/>
      <c r="X4486" s="1"/>
      <c r="Y4486" s="1"/>
      <c r="Z4486" s="1"/>
      <c r="AA4486" s="1"/>
      <c r="AB4486" s="1"/>
    </row>
    <row r="4487" ht="50.25" customHeight="1">
      <c r="A4487" s="12">
        <v>4483.0</v>
      </c>
      <c r="B4487" s="13" t="s">
        <v>4379</v>
      </c>
      <c r="C4487" s="14" t="s">
        <v>4506</v>
      </c>
      <c r="D4487" s="1"/>
      <c r="E4487" s="1"/>
      <c r="F4487" s="1" t="str">
        <f>IFERROR(__xludf.DUMMYFUNCTION("GOOGLETRANSLATE(B4487, ""en"", ""fa"")
"),"مشاوره دوستیابی")</f>
        <v>مشاوره دوستیابی</v>
      </c>
      <c r="G4487" s="1" t="str">
        <f>IFERROR(__xludf.DUMMYFUNCTION("GOOGLETRANSLATE(C4487, ""en"", ""fa"")
"),"برخی از تکنیک‌ها برای حفظ جریان گفتگو در مواقعی که آرامش یا لحظات سکوت وجود دارد چیست؟")</f>
        <v>برخی از تکنیک‌ها برای حفظ جریان گفتگو در مواقعی که آرامش یا لحظات سکوت وجود دارد چیست؟</v>
      </c>
      <c r="H4487" s="1"/>
      <c r="I4487" s="1"/>
      <c r="J4487" s="1"/>
      <c r="K4487" s="1"/>
      <c r="L4487" s="1"/>
      <c r="M4487" s="1"/>
      <c r="N4487" s="1"/>
      <c r="O4487" s="1"/>
      <c r="P4487" s="1"/>
      <c r="Q4487" s="1"/>
      <c r="R4487" s="1"/>
      <c r="S4487" s="1"/>
      <c r="T4487" s="1"/>
      <c r="U4487" s="1"/>
      <c r="V4487" s="1"/>
      <c r="W4487" s="1"/>
      <c r="X4487" s="1"/>
      <c r="Y4487" s="1"/>
      <c r="Z4487" s="1"/>
      <c r="AA4487" s="1"/>
      <c r="AB4487" s="1"/>
    </row>
    <row r="4488" ht="50.25" customHeight="1">
      <c r="A4488" s="12">
        <v>4484.0</v>
      </c>
      <c r="B4488" s="13" t="s">
        <v>4379</v>
      </c>
      <c r="C4488" s="14" t="s">
        <v>4507</v>
      </c>
      <c r="D4488" s="1"/>
      <c r="E4488" s="1"/>
      <c r="F4488" s="1" t="str">
        <f>IFERROR(__xludf.DUMMYFUNCTION("GOOGLETRANSLATE(B4488, ""en"", ""fa"")
"),"مشاوره دوستیابی")</f>
        <v>مشاوره دوستیابی</v>
      </c>
      <c r="G4488" s="1" t="str">
        <f>IFERROR(__xludf.DUMMYFUNCTION("GOOGLETRANSLATE(C4488, ""en"", ""fa"")
"),"چگونه می توانم از تکنیک های داستان سرایی برای درگیر کردن یک مسابقه بالقوه و ایجاد یک مکالمه به یاد ماندنی استفاده کنم؟")</f>
        <v>چگونه می توانم از تکنیک های داستان سرایی برای درگیر کردن یک مسابقه بالقوه و ایجاد یک مکالمه به یاد ماندنی استفاده کنم؟</v>
      </c>
      <c r="H4488" s="1"/>
      <c r="I4488" s="1"/>
      <c r="J4488" s="1"/>
      <c r="K4488" s="1"/>
      <c r="L4488" s="1"/>
      <c r="M4488" s="1"/>
      <c r="N4488" s="1"/>
      <c r="O4488" s="1"/>
      <c r="P4488" s="1"/>
      <c r="Q4488" s="1"/>
      <c r="R4488" s="1"/>
      <c r="S4488" s="1"/>
      <c r="T4488" s="1"/>
      <c r="U4488" s="1"/>
      <c r="V4488" s="1"/>
      <c r="W4488" s="1"/>
      <c r="X4488" s="1"/>
      <c r="Y4488" s="1"/>
      <c r="Z4488" s="1"/>
      <c r="AA4488" s="1"/>
      <c r="AB4488" s="1"/>
    </row>
    <row r="4489" ht="50.25" customHeight="1">
      <c r="A4489" s="12">
        <v>4485.0</v>
      </c>
      <c r="B4489" s="13" t="s">
        <v>4379</v>
      </c>
      <c r="C4489" s="14" t="s">
        <v>4508</v>
      </c>
      <c r="D4489" s="1"/>
      <c r="E4489" s="1"/>
      <c r="F4489" s="1" t="str">
        <f>IFERROR(__xludf.DUMMYFUNCTION("GOOGLETRANSLATE(B4489, ""en"", ""fa"")
"),"مشاوره دوستیابی")</f>
        <v>مشاوره دوستیابی</v>
      </c>
      <c r="G4489" s="1" t="str">
        <f>IFERROR(__xludf.DUMMYFUNCTION("GOOGLETRANSLATE(C4489, ""en"", ""fa"")
"),"چند استراتژی برای تشخیص و پاسخ به نشانه های بی علاقگی یا عدم مشارکت در مکالمات آنلاین چیست؟")</f>
        <v>چند استراتژی برای تشخیص و پاسخ به نشانه های بی علاقگی یا عدم مشارکت در مکالمات آنلاین چیست؟</v>
      </c>
      <c r="H4489" s="1"/>
      <c r="I4489" s="1"/>
      <c r="J4489" s="1"/>
      <c r="K4489" s="1"/>
      <c r="L4489" s="1"/>
      <c r="M4489" s="1"/>
      <c r="N4489" s="1"/>
      <c r="O4489" s="1"/>
      <c r="P4489" s="1"/>
      <c r="Q4489" s="1"/>
      <c r="R4489" s="1"/>
      <c r="S4489" s="1"/>
      <c r="T4489" s="1"/>
      <c r="U4489" s="1"/>
      <c r="V4489" s="1"/>
      <c r="W4489" s="1"/>
      <c r="X4489" s="1"/>
      <c r="Y4489" s="1"/>
      <c r="Z4489" s="1"/>
      <c r="AA4489" s="1"/>
      <c r="AB4489" s="1"/>
    </row>
    <row r="4490" ht="50.25" customHeight="1">
      <c r="A4490" s="12">
        <v>4486.0</v>
      </c>
      <c r="B4490" s="13" t="s">
        <v>4379</v>
      </c>
      <c r="C4490" s="14" t="s">
        <v>4509</v>
      </c>
      <c r="D4490" s="1"/>
      <c r="E4490" s="1"/>
      <c r="F4490" s="1" t="str">
        <f>IFERROR(__xludf.DUMMYFUNCTION("GOOGLETRANSLATE(B4490, ""en"", ""fa"")
"),"مشاوره دوستیابی")</f>
        <v>مشاوره دوستیابی</v>
      </c>
      <c r="G4490" s="1" t="str">
        <f>IFERROR(__xludf.DUMMYFUNCTION("GOOGLETRANSLATE(C4490, ""en"", ""fa"")
"),"چگونه می توانم از سوالات کنجکاوی برای تعمیق ارتباط و کشف ارزش ها و اهداف مشترک استفاده کنم؟")</f>
        <v>چگونه می توانم از سوالات کنجکاوی برای تعمیق ارتباط و کشف ارزش ها و اهداف مشترک استفاده کنم؟</v>
      </c>
      <c r="H4490" s="1"/>
      <c r="I4490" s="1"/>
      <c r="J4490" s="1"/>
      <c r="K4490" s="1"/>
      <c r="L4490" s="1"/>
      <c r="M4490" s="1"/>
      <c r="N4490" s="1"/>
      <c r="O4490" s="1"/>
      <c r="P4490" s="1"/>
      <c r="Q4490" s="1"/>
      <c r="R4490" s="1"/>
      <c r="S4490" s="1"/>
      <c r="T4490" s="1"/>
      <c r="U4490" s="1"/>
      <c r="V4490" s="1"/>
      <c r="W4490" s="1"/>
      <c r="X4490" s="1"/>
      <c r="Y4490" s="1"/>
      <c r="Z4490" s="1"/>
      <c r="AA4490" s="1"/>
      <c r="AB4490" s="1"/>
    </row>
    <row r="4491" ht="50.25" customHeight="1">
      <c r="A4491" s="12">
        <v>4487.0</v>
      </c>
      <c r="B4491" s="13" t="s">
        <v>4379</v>
      </c>
      <c r="C4491" s="14" t="s">
        <v>4510</v>
      </c>
      <c r="D4491" s="1"/>
      <c r="E4491" s="1"/>
      <c r="F4491" s="1" t="str">
        <f>IFERROR(__xludf.DUMMYFUNCTION("GOOGLETRANSLATE(B4491, ""en"", ""fa"")
"),"مشاوره دوستیابی")</f>
        <v>مشاوره دوستیابی</v>
      </c>
      <c r="G4491" s="1" t="str">
        <f>IFERROR(__xludf.DUMMYFUNCTION("GOOGLETRANSLATE(C4491, ""en"", ""fa"")
"),"نکاتی برای حفظ یک مکالمه محترمانه و فراگیر که از موضوعات حساس یا بحث برانگیز جلوگیری می کند چیست؟")</f>
        <v>نکاتی برای حفظ یک مکالمه محترمانه و فراگیر که از موضوعات حساس یا بحث برانگیز جلوگیری می کند چیست؟</v>
      </c>
      <c r="H4491" s="1"/>
      <c r="I4491" s="1"/>
      <c r="J4491" s="1"/>
      <c r="K4491" s="1"/>
      <c r="L4491" s="1"/>
      <c r="M4491" s="1"/>
      <c r="N4491" s="1"/>
      <c r="O4491" s="1"/>
      <c r="P4491" s="1"/>
      <c r="Q4491" s="1"/>
      <c r="R4491" s="1"/>
      <c r="S4491" s="1"/>
      <c r="T4491" s="1"/>
      <c r="U4491" s="1"/>
      <c r="V4491" s="1"/>
      <c r="W4491" s="1"/>
      <c r="X4491" s="1"/>
      <c r="Y4491" s="1"/>
      <c r="Z4491" s="1"/>
      <c r="AA4491" s="1"/>
      <c r="AB4491" s="1"/>
    </row>
    <row r="4492" ht="50.25" customHeight="1">
      <c r="A4492" s="12">
        <v>4488.0</v>
      </c>
      <c r="B4492" s="13" t="s">
        <v>4379</v>
      </c>
      <c r="C4492" s="14" t="s">
        <v>4511</v>
      </c>
      <c r="D4492" s="1"/>
      <c r="E4492" s="1"/>
      <c r="F4492" s="1" t="str">
        <f>IFERROR(__xludf.DUMMYFUNCTION("GOOGLETRANSLATE(B4492, ""en"", ""fa"")
"),"مشاوره دوستیابی")</f>
        <v>مشاوره دوستیابی</v>
      </c>
      <c r="G4492" s="1" t="str">
        <f>IFERROR(__xludf.DUMMYFUNCTION("GOOGLETRANSLATE(C4492, ""en"", ""fa"")
"),"چگونه می توانم در طول یک مکالمه آنلاین قدردانی واقعی از دیدگاه یا نظر یک مسابقه بالقوه نشان دهم؟")</f>
        <v>چگونه می توانم در طول یک مکالمه آنلاین قدردانی واقعی از دیدگاه یا نظر یک مسابقه بالقوه نشان دهم؟</v>
      </c>
      <c r="H4492" s="1"/>
      <c r="I4492" s="1"/>
      <c r="J4492" s="1"/>
      <c r="K4492" s="1"/>
      <c r="L4492" s="1"/>
      <c r="M4492" s="1"/>
      <c r="N4492" s="1"/>
      <c r="O4492" s="1"/>
      <c r="P4492" s="1"/>
      <c r="Q4492" s="1"/>
      <c r="R4492" s="1"/>
      <c r="S4492" s="1"/>
      <c r="T4492" s="1"/>
      <c r="U4492" s="1"/>
      <c r="V4492" s="1"/>
      <c r="W4492" s="1"/>
      <c r="X4492" s="1"/>
      <c r="Y4492" s="1"/>
      <c r="Z4492" s="1"/>
      <c r="AA4492" s="1"/>
      <c r="AB4492" s="1"/>
    </row>
    <row r="4493" ht="50.25" customHeight="1">
      <c r="A4493" s="12">
        <v>4489.0</v>
      </c>
      <c r="B4493" s="13" t="s">
        <v>4379</v>
      </c>
      <c r="C4493" s="14" t="s">
        <v>4512</v>
      </c>
      <c r="D4493" s="1"/>
      <c r="E4493" s="1"/>
      <c r="F4493" s="1" t="str">
        <f>IFERROR(__xludf.DUMMYFUNCTION("GOOGLETRANSLATE(B4493, ""en"", ""fa"")
"),"مشاوره دوستیابی")</f>
        <v>مشاوره دوستیابی</v>
      </c>
      <c r="G4493" s="1" t="str">
        <f>IFERROR(__xludf.DUMMYFUNCTION("GOOGLETRANSLATE(C4493, ""en"", ""fa"")
"),"چند تکنیک برای استفاده از زبان فعال و تقویت مثبت در مکالمات آنلاین چیست؟")</f>
        <v>چند تکنیک برای استفاده از زبان فعال و تقویت مثبت در مکالمات آنلاین چیست؟</v>
      </c>
      <c r="H4493" s="1"/>
      <c r="I4493" s="1"/>
      <c r="J4493" s="1"/>
      <c r="K4493" s="1"/>
      <c r="L4493" s="1"/>
      <c r="M4493" s="1"/>
      <c r="N4493" s="1"/>
      <c r="O4493" s="1"/>
      <c r="P4493" s="1"/>
      <c r="Q4493" s="1"/>
      <c r="R4493" s="1"/>
      <c r="S4493" s="1"/>
      <c r="T4493" s="1"/>
      <c r="U4493" s="1"/>
      <c r="V4493" s="1"/>
      <c r="W4493" s="1"/>
      <c r="X4493" s="1"/>
      <c r="Y4493" s="1"/>
      <c r="Z4493" s="1"/>
      <c r="AA4493" s="1"/>
      <c r="AB4493" s="1"/>
    </row>
    <row r="4494" ht="50.25" customHeight="1">
      <c r="A4494" s="12">
        <v>4490.0</v>
      </c>
      <c r="B4494" s="13" t="s">
        <v>4379</v>
      </c>
      <c r="C4494" s="14" t="s">
        <v>4513</v>
      </c>
      <c r="D4494" s="1"/>
      <c r="E4494" s="1"/>
      <c r="F4494" s="1" t="str">
        <f>IFERROR(__xludf.DUMMYFUNCTION("GOOGLETRANSLATE(B4494, ""en"", ""fa"")
"),"مشاوره دوستیابی")</f>
        <v>مشاوره دوستیابی</v>
      </c>
      <c r="G4494" s="1" t="str">
        <f>IFERROR(__xludf.DUMMYFUNCTION("GOOGLETRANSLATE(C4494, ""en"", ""fa"")
"),"چگونه می توانم شوخی و شوخی های بازیگوشانه را به مکالمات آنلاین تزریق کنم تا فضایی آرام و معاشقه ایجاد کنم؟")</f>
        <v>چگونه می توانم شوخی و شوخی های بازیگوشانه را به مکالمات آنلاین تزریق کنم تا فضایی آرام و معاشقه ایجاد کنم؟</v>
      </c>
      <c r="H4494" s="1"/>
      <c r="I4494" s="1"/>
      <c r="J4494" s="1"/>
      <c r="K4494" s="1"/>
      <c r="L4494" s="1"/>
      <c r="M4494" s="1"/>
      <c r="N4494" s="1"/>
      <c r="O4494" s="1"/>
      <c r="P4494" s="1"/>
      <c r="Q4494" s="1"/>
      <c r="R4494" s="1"/>
      <c r="S4494" s="1"/>
      <c r="T4494" s="1"/>
      <c r="U4494" s="1"/>
      <c r="V4494" s="1"/>
      <c r="W4494" s="1"/>
      <c r="X4494" s="1"/>
      <c r="Y4494" s="1"/>
      <c r="Z4494" s="1"/>
      <c r="AA4494" s="1"/>
      <c r="AB4494" s="1"/>
    </row>
    <row r="4495" ht="50.25" customHeight="1">
      <c r="A4495" s="12">
        <v>4491.0</v>
      </c>
      <c r="B4495" s="13" t="s">
        <v>4379</v>
      </c>
      <c r="C4495" s="14" t="s">
        <v>4514</v>
      </c>
      <c r="D4495" s="1"/>
      <c r="E4495" s="1"/>
      <c r="F4495" s="1" t="str">
        <f>IFERROR(__xludf.DUMMYFUNCTION("GOOGLETRANSLATE(B4495, ""en"", ""fa"")
"),"مشاوره دوستیابی")</f>
        <v>مشاوره دوستیابی</v>
      </c>
      <c r="G4495" s="1" t="str">
        <f>IFERROR(__xludf.DUMMYFUNCTION("GOOGLETRANSLATE(C4495, ""en"", ""fa"")
"),"چند استراتژی برای یافتن تعادل بین پاسخگو بودن و زیاد مشتاق یا ناامید نشدن در مکالمات آنلاین چیست؟")</f>
        <v>چند استراتژی برای یافتن تعادل بین پاسخگو بودن و زیاد مشتاق یا ناامید نشدن در مکالمات آنلاین چیست؟</v>
      </c>
      <c r="H4495" s="1"/>
      <c r="I4495" s="1"/>
      <c r="J4495" s="1"/>
      <c r="K4495" s="1"/>
      <c r="L4495" s="1"/>
      <c r="M4495" s="1"/>
      <c r="N4495" s="1"/>
      <c r="O4495" s="1"/>
      <c r="P4495" s="1"/>
      <c r="Q4495" s="1"/>
      <c r="R4495" s="1"/>
      <c r="S4495" s="1"/>
      <c r="T4495" s="1"/>
      <c r="U4495" s="1"/>
      <c r="V4495" s="1"/>
      <c r="W4495" s="1"/>
      <c r="X4495" s="1"/>
      <c r="Y4495" s="1"/>
      <c r="Z4495" s="1"/>
      <c r="AA4495" s="1"/>
      <c r="AB4495" s="1"/>
    </row>
    <row r="4496" ht="50.25" customHeight="1">
      <c r="A4496" s="12">
        <v>4492.0</v>
      </c>
      <c r="B4496" s="13" t="s">
        <v>4379</v>
      </c>
      <c r="C4496" s="14" t="s">
        <v>4515</v>
      </c>
      <c r="D4496" s="1"/>
      <c r="E4496" s="1"/>
      <c r="F4496" s="1" t="str">
        <f>IFERROR(__xludf.DUMMYFUNCTION("GOOGLETRANSLATE(B4496, ""en"", ""fa"")
"),"مشاوره دوستیابی")</f>
        <v>مشاوره دوستیابی</v>
      </c>
      <c r="G4496" s="1" t="str">
        <f>IFERROR(__xludf.DUMMYFUNCTION("GOOGLETRANSLATE(C4496, ""en"", ""fa"")
"),"چگونه می توانم تأثیری ماندگار بر جای بگذارم و از دیگر مکالماتی که ممکن است یک مسابقه بالقوه انجام دهد متمایز شوم؟")</f>
        <v>چگونه می توانم تأثیری ماندگار بر جای بگذارم و از دیگر مکالماتی که ممکن است یک مسابقه بالقوه انجام دهد متمایز شوم؟</v>
      </c>
      <c r="H4496" s="1"/>
      <c r="I4496" s="1"/>
      <c r="J4496" s="1"/>
      <c r="K4496" s="1"/>
      <c r="L4496" s="1"/>
      <c r="M4496" s="1"/>
      <c r="N4496" s="1"/>
      <c r="O4496" s="1"/>
      <c r="P4496" s="1"/>
      <c r="Q4496" s="1"/>
      <c r="R4496" s="1"/>
      <c r="S4496" s="1"/>
      <c r="T4496" s="1"/>
      <c r="U4496" s="1"/>
      <c r="V4496" s="1"/>
      <c r="W4496" s="1"/>
      <c r="X4496" s="1"/>
      <c r="Y4496" s="1"/>
      <c r="Z4496" s="1"/>
      <c r="AA4496" s="1"/>
      <c r="AB4496" s="1"/>
    </row>
    <row r="4497" ht="50.25" customHeight="1">
      <c r="A4497" s="12">
        <v>4493.0</v>
      </c>
      <c r="B4497" s="13" t="s">
        <v>4379</v>
      </c>
      <c r="C4497" s="14" t="s">
        <v>4516</v>
      </c>
      <c r="D4497" s="1"/>
      <c r="E4497" s="1"/>
      <c r="F4497" s="1" t="str">
        <f>IFERROR(__xludf.DUMMYFUNCTION("GOOGLETRANSLATE(B4497, ""en"", ""fa"")
"),"مشاوره دوستیابی")</f>
        <v>مشاوره دوستیابی</v>
      </c>
      <c r="G4497" s="1" t="str">
        <f>IFERROR(__xludf.DUMMYFUNCTION("GOOGLETRANSLATE(C4497, ""en"", ""fa"")
"),"چند نکته برای تنظیم سرعت مکالمه برای مطابقت با سبک ارتباطی طرف مقابل چیست؟")</f>
        <v>چند نکته برای تنظیم سرعت مکالمه برای مطابقت با سبک ارتباطی طرف مقابل چیست؟</v>
      </c>
      <c r="H4497" s="1"/>
      <c r="I4497" s="1"/>
      <c r="J4497" s="1"/>
      <c r="K4497" s="1"/>
      <c r="L4497" s="1"/>
      <c r="M4497" s="1"/>
      <c r="N4497" s="1"/>
      <c r="O4497" s="1"/>
      <c r="P4497" s="1"/>
      <c r="Q4497" s="1"/>
      <c r="R4497" s="1"/>
      <c r="S4497" s="1"/>
      <c r="T4497" s="1"/>
      <c r="U4497" s="1"/>
      <c r="V4497" s="1"/>
      <c r="W4497" s="1"/>
      <c r="X4497" s="1"/>
      <c r="Y4497" s="1"/>
      <c r="Z4497" s="1"/>
      <c r="AA4497" s="1"/>
      <c r="AB4497" s="1"/>
    </row>
    <row r="4498" ht="50.25" customHeight="1">
      <c r="A4498" s="12">
        <v>4494.0</v>
      </c>
      <c r="B4498" s="13" t="s">
        <v>4379</v>
      </c>
      <c r="C4498" s="14" t="s">
        <v>4517</v>
      </c>
      <c r="D4498" s="1"/>
      <c r="E4498" s="1"/>
      <c r="F4498" s="1" t="str">
        <f>IFERROR(__xludf.DUMMYFUNCTION("GOOGLETRANSLATE(B4498, ""en"", ""fa"")
"),"مشاوره دوستیابی")</f>
        <v>مشاوره دوستیابی</v>
      </c>
      <c r="G4498" s="1" t="str">
        <f>IFERROR(__xludf.DUMMYFUNCTION("GOOGLETRANSLATE(C4498, ""en"", ""fa"")
"),"چگونه می توانم مکالماتی را که به موضوعات حساس یا دشوار منحرف می شوند، با لطف و همدلی هدایت کنم؟")</f>
        <v>چگونه می توانم مکالماتی را که به موضوعات حساس یا دشوار منحرف می شوند، با لطف و همدلی هدایت کنم؟</v>
      </c>
      <c r="H4498" s="1"/>
      <c r="I4498" s="1"/>
      <c r="J4498" s="1"/>
      <c r="K4498" s="1"/>
      <c r="L4498" s="1"/>
      <c r="M4498" s="1"/>
      <c r="N4498" s="1"/>
      <c r="O4498" s="1"/>
      <c r="P4498" s="1"/>
      <c r="Q4498" s="1"/>
      <c r="R4498" s="1"/>
      <c r="S4498" s="1"/>
      <c r="T4498" s="1"/>
      <c r="U4498" s="1"/>
      <c r="V4498" s="1"/>
      <c r="W4498" s="1"/>
      <c r="X4498" s="1"/>
      <c r="Y4498" s="1"/>
      <c r="Z4498" s="1"/>
      <c r="AA4498" s="1"/>
      <c r="AB4498" s="1"/>
    </row>
    <row r="4499" ht="50.25" customHeight="1">
      <c r="A4499" s="12">
        <v>4495.0</v>
      </c>
      <c r="B4499" s="13" t="s">
        <v>4379</v>
      </c>
      <c r="C4499" s="14" t="s">
        <v>4518</v>
      </c>
      <c r="D4499" s="1"/>
      <c r="E4499" s="1"/>
      <c r="F4499" s="1" t="str">
        <f>IFERROR(__xludf.DUMMYFUNCTION("GOOGLETRANSLATE(B4499, ""en"", ""fa"")
"),"مشاوره دوستیابی")</f>
        <v>مشاوره دوستیابی</v>
      </c>
      <c r="G4499" s="1" t="str">
        <f>IFERROR(__xludf.DUMMYFUNCTION("GOOGLETRANSLATE(C4499, ""en"", ""fa"")
"),"چند تکنیک برای استفاده از گوش دادن فعال برای درک نشانه ها و نکات ظریف در مکالمات آنلاین چیست؟")</f>
        <v>چند تکنیک برای استفاده از گوش دادن فعال برای درک نشانه ها و نکات ظریف در مکالمات آنلاین چیست؟</v>
      </c>
      <c r="H4499" s="1"/>
      <c r="I4499" s="1"/>
      <c r="J4499" s="1"/>
      <c r="K4499" s="1"/>
      <c r="L4499" s="1"/>
      <c r="M4499" s="1"/>
      <c r="N4499" s="1"/>
      <c r="O4499" s="1"/>
      <c r="P4499" s="1"/>
      <c r="Q4499" s="1"/>
      <c r="R4499" s="1"/>
      <c r="S4499" s="1"/>
      <c r="T4499" s="1"/>
      <c r="U4499" s="1"/>
      <c r="V4499" s="1"/>
      <c r="W4499" s="1"/>
      <c r="X4499" s="1"/>
      <c r="Y4499" s="1"/>
      <c r="Z4499" s="1"/>
      <c r="AA4499" s="1"/>
      <c r="AB4499" s="1"/>
    </row>
    <row r="4500" ht="50.25" customHeight="1">
      <c r="A4500" s="12">
        <v>4496.0</v>
      </c>
      <c r="B4500" s="13" t="s">
        <v>4379</v>
      </c>
      <c r="C4500" s="14" t="s">
        <v>4519</v>
      </c>
      <c r="D4500" s="1"/>
      <c r="E4500" s="1"/>
      <c r="F4500" s="1" t="str">
        <f>IFERROR(__xludf.DUMMYFUNCTION("GOOGLETRANSLATE(B4500, ""en"", ""fa"")
"),"مشاوره دوستیابی")</f>
        <v>مشاوره دوستیابی</v>
      </c>
      <c r="G4500" s="1" t="str">
        <f>IFERROR(__xludf.DUMMYFUNCTION("GOOGLETRANSLATE(C4500, ""en"", ""fa"")
"),"چگونه می توانم از سرگرمی ها یا علایق یک مسابقه بالقوه قدردانی کنم و راه هایی برای برقراری ارتباط بر سر علایق مشترک پیدا کنم؟")</f>
        <v>چگونه می توانم از سرگرمی ها یا علایق یک مسابقه بالقوه قدردانی کنم و راه هایی برای برقراری ارتباط بر سر علایق مشترک پیدا کنم؟</v>
      </c>
      <c r="H4500" s="1"/>
      <c r="I4500" s="1"/>
      <c r="J4500" s="1"/>
      <c r="K4500" s="1"/>
      <c r="L4500" s="1"/>
      <c r="M4500" s="1"/>
      <c r="N4500" s="1"/>
      <c r="O4500" s="1"/>
      <c r="P4500" s="1"/>
      <c r="Q4500" s="1"/>
      <c r="R4500" s="1"/>
      <c r="S4500" s="1"/>
      <c r="T4500" s="1"/>
      <c r="U4500" s="1"/>
      <c r="V4500" s="1"/>
      <c r="W4500" s="1"/>
      <c r="X4500" s="1"/>
      <c r="Y4500" s="1"/>
      <c r="Z4500" s="1"/>
      <c r="AA4500" s="1"/>
      <c r="AB4500" s="1"/>
    </row>
    <row r="4501" ht="50.25" customHeight="1">
      <c r="A4501" s="12">
        <v>4497.0</v>
      </c>
      <c r="B4501" s="13" t="s">
        <v>4379</v>
      </c>
      <c r="C4501" s="14" t="s">
        <v>4520</v>
      </c>
      <c r="D4501" s="1"/>
      <c r="E4501" s="1"/>
      <c r="F4501" s="1" t="str">
        <f>IFERROR(__xludf.DUMMYFUNCTION("GOOGLETRANSLATE(B4501, ""en"", ""fa"")
"),"مشاوره دوستیابی")</f>
        <v>مشاوره دوستیابی</v>
      </c>
      <c r="G4501" s="1" t="str">
        <f>IFERROR(__xludf.DUMMYFUNCTION("GOOGLETRANSLATE(C4501, ""en"", ""fa"")
"),"چند راهبرد برای یافتن تعادل مناسب بین مسخره بازی و ارتباط محترمانه در مکالمات آنلاین چیست؟")</f>
        <v>چند راهبرد برای یافتن تعادل مناسب بین مسخره بازی و ارتباط محترمانه در مکالمات آنلاین چیست؟</v>
      </c>
      <c r="H4501" s="1"/>
      <c r="I4501" s="1"/>
      <c r="J4501" s="1"/>
      <c r="K4501" s="1"/>
      <c r="L4501" s="1"/>
      <c r="M4501" s="1"/>
      <c r="N4501" s="1"/>
      <c r="O4501" s="1"/>
      <c r="P4501" s="1"/>
      <c r="Q4501" s="1"/>
      <c r="R4501" s="1"/>
      <c r="S4501" s="1"/>
      <c r="T4501" s="1"/>
      <c r="U4501" s="1"/>
      <c r="V4501" s="1"/>
      <c r="W4501" s="1"/>
      <c r="X4501" s="1"/>
      <c r="Y4501" s="1"/>
      <c r="Z4501" s="1"/>
      <c r="AA4501" s="1"/>
      <c r="AB4501" s="1"/>
    </row>
    <row r="4502" ht="50.25" customHeight="1">
      <c r="A4502" s="12">
        <v>4498.0</v>
      </c>
      <c r="B4502" s="13" t="s">
        <v>4379</v>
      </c>
      <c r="C4502" s="14" t="s">
        <v>4521</v>
      </c>
      <c r="D4502" s="1"/>
      <c r="E4502" s="1"/>
      <c r="F4502" s="1" t="str">
        <f>IFERROR(__xludf.DUMMYFUNCTION("GOOGLETRANSLATE(B4502, ""en"", ""fa"")
"),"مشاوره دوستیابی")</f>
        <v>مشاوره دوستیابی</v>
      </c>
      <c r="G4502" s="1" t="str">
        <f>IFERROR(__xludf.DUMMYFUNCTION("GOOGLETRANSLATE(C4502, ""en"", ""fa"")
"),"چگونه می توانم از داستان سرایی و حکایات برای ایجاد مکالمات آنلاین جذاب و به یاد ماندنی استفاده کنم؟")</f>
        <v>چگونه می توانم از داستان سرایی و حکایات برای ایجاد مکالمات آنلاین جذاب و به یاد ماندنی استفاده کنم؟</v>
      </c>
      <c r="H4502" s="1"/>
      <c r="I4502" s="1"/>
      <c r="J4502" s="1"/>
      <c r="K4502" s="1"/>
      <c r="L4502" s="1"/>
      <c r="M4502" s="1"/>
      <c r="N4502" s="1"/>
      <c r="O4502" s="1"/>
      <c r="P4502" s="1"/>
      <c r="Q4502" s="1"/>
      <c r="R4502" s="1"/>
      <c r="S4502" s="1"/>
      <c r="T4502" s="1"/>
      <c r="U4502" s="1"/>
      <c r="V4502" s="1"/>
      <c r="W4502" s="1"/>
      <c r="X4502" s="1"/>
      <c r="Y4502" s="1"/>
      <c r="Z4502" s="1"/>
      <c r="AA4502" s="1"/>
      <c r="AB4502" s="1"/>
    </row>
    <row r="4503" ht="50.25" customHeight="1">
      <c r="A4503" s="12">
        <v>4499.0</v>
      </c>
      <c r="B4503" s="13" t="s">
        <v>4379</v>
      </c>
      <c r="C4503" s="14" t="s">
        <v>4522</v>
      </c>
      <c r="D4503" s="1"/>
      <c r="E4503" s="1"/>
      <c r="F4503" s="1" t="str">
        <f>IFERROR(__xludf.DUMMYFUNCTION("GOOGLETRANSLATE(B4503, ""en"", ""fa"")
"),"مشاوره دوستیابی")</f>
        <v>مشاوره دوستیابی</v>
      </c>
      <c r="G4503" s="1" t="str">
        <f>IFERROR(__xludf.DUMMYFUNCTION("GOOGLETRANSLATE(C4503, ""en"", ""fa"")
"),"چه نکاتی برای پاسخگویی سریع به پیام‌ها وجود دارد، بدون اینکه خیلی در دسترس یا ناامید ظاهر شوید؟")</f>
        <v>چه نکاتی برای پاسخگویی سریع به پیام‌ها وجود دارد، بدون اینکه خیلی در دسترس یا ناامید ظاهر شوید؟</v>
      </c>
      <c r="H4503" s="1"/>
      <c r="I4503" s="1"/>
      <c r="J4503" s="1"/>
      <c r="K4503" s="1"/>
      <c r="L4503" s="1"/>
      <c r="M4503" s="1"/>
      <c r="N4503" s="1"/>
      <c r="O4503" s="1"/>
      <c r="P4503" s="1"/>
      <c r="Q4503" s="1"/>
      <c r="R4503" s="1"/>
      <c r="S4503" s="1"/>
      <c r="T4503" s="1"/>
      <c r="U4503" s="1"/>
      <c r="V4503" s="1"/>
      <c r="W4503" s="1"/>
      <c r="X4503" s="1"/>
      <c r="Y4503" s="1"/>
      <c r="Z4503" s="1"/>
      <c r="AA4503" s="1"/>
      <c r="AB4503" s="1"/>
    </row>
    <row r="4504" ht="50.25" customHeight="1">
      <c r="A4504" s="12">
        <v>4500.0</v>
      </c>
      <c r="B4504" s="13" t="s">
        <v>4379</v>
      </c>
      <c r="C4504" s="14" t="s">
        <v>4523</v>
      </c>
      <c r="D4504" s="1"/>
      <c r="E4504" s="1"/>
      <c r="F4504" s="1" t="str">
        <f>IFERROR(__xludf.DUMMYFUNCTION("GOOGLETRANSLATE(B4504, ""en"", ""fa"")
"),"مشاوره دوستیابی")</f>
        <v>مشاوره دوستیابی</v>
      </c>
      <c r="G4504" s="1" t="str">
        <f>IFERROR(__xludf.DUMMYFUNCTION("GOOGLETRANSLATE(C4504, ""en"", ""fa"")
"),"چگونه می توانم مکالمات مربوط به مرزها و انتظارات شخصی را به شیوه ای محترمانه و باز هدایت کنم؟")</f>
        <v>چگونه می توانم مکالمات مربوط به مرزها و انتظارات شخصی را به شیوه ای محترمانه و باز هدایت کنم؟</v>
      </c>
      <c r="H4504" s="1"/>
      <c r="I4504" s="1"/>
      <c r="J4504" s="1"/>
      <c r="K4504" s="1"/>
      <c r="L4504" s="1"/>
      <c r="M4504" s="1"/>
      <c r="N4504" s="1"/>
      <c r="O4504" s="1"/>
      <c r="P4504" s="1"/>
      <c r="Q4504" s="1"/>
      <c r="R4504" s="1"/>
      <c r="S4504" s="1"/>
      <c r="T4504" s="1"/>
      <c r="U4504" s="1"/>
      <c r="V4504" s="1"/>
      <c r="W4504" s="1"/>
      <c r="X4504" s="1"/>
      <c r="Y4504" s="1"/>
      <c r="Z4504" s="1"/>
      <c r="AA4504" s="1"/>
      <c r="AB4504" s="1"/>
    </row>
    <row r="4505" ht="50.25" customHeight="1">
      <c r="A4505" s="12">
        <v>4501.0</v>
      </c>
      <c r="B4505" s="13" t="s">
        <v>4379</v>
      </c>
      <c r="C4505" s="14" t="s">
        <v>4524</v>
      </c>
      <c r="D4505" s="1"/>
      <c r="E4505" s="1"/>
      <c r="F4505" s="1" t="str">
        <f>IFERROR(__xludf.DUMMYFUNCTION("GOOGLETRANSLATE(B4505, ""en"", ""fa"")
"),"مشاوره دوستیابی")</f>
        <v>مشاوره دوستیابی</v>
      </c>
      <c r="G4505" s="1" t="str">
        <f>IFERROR(__xludf.DUMMYFUNCTION("GOOGLETRANSLATE(C4505, ""en"", ""fa"")
"),"چند تکنیک برای القای شوخ طبعی و شوخ طبعی در مکالمات آنلاین بدون تلاش زیاد چیست؟")</f>
        <v>چند تکنیک برای القای شوخ طبعی و شوخ طبعی در مکالمات آنلاین بدون تلاش زیاد چیست؟</v>
      </c>
      <c r="H4505" s="1"/>
      <c r="I4505" s="1"/>
      <c r="J4505" s="1"/>
      <c r="K4505" s="1"/>
      <c r="L4505" s="1"/>
      <c r="M4505" s="1"/>
      <c r="N4505" s="1"/>
      <c r="O4505" s="1"/>
      <c r="P4505" s="1"/>
      <c r="Q4505" s="1"/>
      <c r="R4505" s="1"/>
      <c r="S4505" s="1"/>
      <c r="T4505" s="1"/>
      <c r="U4505" s="1"/>
      <c r="V4505" s="1"/>
      <c r="W4505" s="1"/>
      <c r="X4505" s="1"/>
      <c r="Y4505" s="1"/>
      <c r="Z4505" s="1"/>
      <c r="AA4505" s="1"/>
      <c r="AB4505" s="1"/>
    </row>
    <row r="4506" ht="50.25" customHeight="1">
      <c r="A4506" s="12">
        <v>4502.0</v>
      </c>
      <c r="B4506" s="13" t="s">
        <v>4379</v>
      </c>
      <c r="C4506" s="14" t="s">
        <v>4525</v>
      </c>
      <c r="D4506" s="1"/>
      <c r="E4506" s="1"/>
      <c r="F4506" s="1" t="str">
        <f>IFERROR(__xludf.DUMMYFUNCTION("GOOGLETRANSLATE(B4506, ""en"", ""fa"")
"),"مشاوره دوستیابی")</f>
        <v>مشاوره دوستیابی</v>
      </c>
      <c r="G4506" s="1" t="str">
        <f>IFERROR(__xludf.DUMMYFUNCTION("GOOGLETRANSLATE(C4506, ""en"", ""fa"")
"),"چگونه می توانم از گوش دادن فعال برای درک ارزش ها و علایق طرف مقابل و تنظیم مکالمه بر اساس آن استفاده کنم؟")</f>
        <v>چگونه می توانم از گوش دادن فعال برای درک ارزش ها و علایق طرف مقابل و تنظیم مکالمه بر اساس آن استفاده کنم؟</v>
      </c>
      <c r="H4506" s="1"/>
      <c r="I4506" s="1"/>
      <c r="J4506" s="1"/>
      <c r="K4506" s="1"/>
      <c r="L4506" s="1"/>
      <c r="M4506" s="1"/>
      <c r="N4506" s="1"/>
      <c r="O4506" s="1"/>
      <c r="P4506" s="1"/>
      <c r="Q4506" s="1"/>
      <c r="R4506" s="1"/>
      <c r="S4506" s="1"/>
      <c r="T4506" s="1"/>
      <c r="U4506" s="1"/>
      <c r="V4506" s="1"/>
      <c r="W4506" s="1"/>
      <c r="X4506" s="1"/>
      <c r="Y4506" s="1"/>
      <c r="Z4506" s="1"/>
      <c r="AA4506" s="1"/>
      <c r="AB4506" s="1"/>
    </row>
    <row r="4507" ht="50.25" customHeight="1">
      <c r="A4507" s="12">
        <v>4503.0</v>
      </c>
      <c r="B4507" s="13" t="s">
        <v>4379</v>
      </c>
      <c r="C4507" s="14" t="s">
        <v>4526</v>
      </c>
      <c r="D4507" s="1"/>
      <c r="E4507" s="1"/>
      <c r="F4507" s="1" t="str">
        <f>IFERROR(__xludf.DUMMYFUNCTION("GOOGLETRANSLATE(B4507, ""en"", ""fa"")
"),"مشاوره دوستیابی")</f>
        <v>مشاوره دوستیابی</v>
      </c>
      <c r="G4507" s="1" t="str">
        <f>IFERROR(__xludf.DUMMYFUNCTION("GOOGLETRANSLATE(C4507, ""en"", ""fa"")
"),"چه راهکارهایی برای هدایت مکالمه به سمت برنامه ریزی برای ملاقات حضوری بدون عجله یا تحت فشار قرار دادن طرف مقابل وجود دارد؟")</f>
        <v>چه راهکارهایی برای هدایت مکالمه به سمت برنامه ریزی برای ملاقات حضوری بدون عجله یا تحت فشار قرار دادن طرف مقابل وجود دارد؟</v>
      </c>
      <c r="H4507" s="1"/>
      <c r="I4507" s="1"/>
      <c r="J4507" s="1"/>
      <c r="K4507" s="1"/>
      <c r="L4507" s="1"/>
      <c r="M4507" s="1"/>
      <c r="N4507" s="1"/>
      <c r="O4507" s="1"/>
      <c r="P4507" s="1"/>
      <c r="Q4507" s="1"/>
      <c r="R4507" s="1"/>
      <c r="S4507" s="1"/>
      <c r="T4507" s="1"/>
      <c r="U4507" s="1"/>
      <c r="V4507" s="1"/>
      <c r="W4507" s="1"/>
      <c r="X4507" s="1"/>
      <c r="Y4507" s="1"/>
      <c r="Z4507" s="1"/>
      <c r="AA4507" s="1"/>
      <c r="AB4507" s="1"/>
    </row>
    <row r="4508" ht="50.25" customHeight="1">
      <c r="A4508" s="12">
        <v>4504.0</v>
      </c>
      <c r="B4508" s="13" t="s">
        <v>4379</v>
      </c>
      <c r="C4508" s="14" t="s">
        <v>4527</v>
      </c>
      <c r="D4508" s="1"/>
      <c r="E4508" s="1"/>
      <c r="F4508" s="1" t="str">
        <f>IFERROR(__xludf.DUMMYFUNCTION("GOOGLETRANSLATE(B4508, ""en"", ""fa"")
"),"مشاوره دوستیابی")</f>
        <v>مشاوره دوستیابی</v>
      </c>
      <c r="G4508" s="1" t="str">
        <f>IFERROR(__xludf.DUMMYFUNCTION("GOOGLETRANSLATE(C4508, ""en"", ""fa"")
"),"چگونه می توانم در طول مکالمات آنلاین اشتیاق و علاقه واقعی به تجربیات زندگی طرف مقابل نشان دهم؟")</f>
        <v>چگونه می توانم در طول مکالمات آنلاین اشتیاق و علاقه واقعی به تجربیات زندگی طرف مقابل نشان دهم؟</v>
      </c>
      <c r="H4508" s="1"/>
      <c r="I4508" s="1"/>
      <c r="J4508" s="1"/>
      <c r="K4508" s="1"/>
      <c r="L4508" s="1"/>
      <c r="M4508" s="1"/>
      <c r="N4508" s="1"/>
      <c r="O4508" s="1"/>
      <c r="P4508" s="1"/>
      <c r="Q4508" s="1"/>
      <c r="R4508" s="1"/>
      <c r="S4508" s="1"/>
      <c r="T4508" s="1"/>
      <c r="U4508" s="1"/>
      <c r="V4508" s="1"/>
      <c r="W4508" s="1"/>
      <c r="X4508" s="1"/>
      <c r="Y4508" s="1"/>
      <c r="Z4508" s="1"/>
      <c r="AA4508" s="1"/>
      <c r="AB4508" s="1"/>
    </row>
    <row r="4509" ht="50.25" customHeight="1">
      <c r="A4509" s="12">
        <v>4505.0</v>
      </c>
      <c r="B4509" s="13" t="s">
        <v>4379</v>
      </c>
      <c r="C4509" s="14" t="s">
        <v>4528</v>
      </c>
      <c r="D4509" s="1"/>
      <c r="E4509" s="1"/>
      <c r="F4509" s="1" t="str">
        <f>IFERROR(__xludf.DUMMYFUNCTION("GOOGLETRANSLATE(B4509, ""en"", ""fa"")
"),"مشاوره دوستیابی")</f>
        <v>مشاوره دوستیابی</v>
      </c>
      <c r="G4509" s="1" t="str">
        <f>IFERROR(__xludf.DUMMYFUNCTION("GOOGLETRANSLATE(C4509, ""en"", ""fa"")
"),"نکاتی برای پاسخگویی مهربانانه به تعریف ها و استفاده از آنها به عنوان سکوی پرشی برای گفتگوی بیشتر چیست؟")</f>
        <v>نکاتی برای پاسخگویی مهربانانه به تعریف ها و استفاده از آنها به عنوان سکوی پرشی برای گفتگوی بیشتر چیست؟</v>
      </c>
      <c r="H4509" s="1"/>
      <c r="I4509" s="1"/>
      <c r="J4509" s="1"/>
      <c r="K4509" s="1"/>
      <c r="L4509" s="1"/>
      <c r="M4509" s="1"/>
      <c r="N4509" s="1"/>
      <c r="O4509" s="1"/>
      <c r="P4509" s="1"/>
      <c r="Q4509" s="1"/>
      <c r="R4509" s="1"/>
      <c r="S4509" s="1"/>
      <c r="T4509" s="1"/>
      <c r="U4509" s="1"/>
      <c r="V4509" s="1"/>
      <c r="W4509" s="1"/>
      <c r="X4509" s="1"/>
      <c r="Y4509" s="1"/>
      <c r="Z4509" s="1"/>
      <c r="AA4509" s="1"/>
      <c r="AB4509" s="1"/>
    </row>
    <row r="4510" ht="50.25" customHeight="1">
      <c r="A4510" s="12">
        <v>4506.0</v>
      </c>
      <c r="B4510" s="13" t="s">
        <v>4379</v>
      </c>
      <c r="C4510" s="14" t="s">
        <v>4529</v>
      </c>
      <c r="D4510" s="1"/>
      <c r="E4510" s="1"/>
      <c r="F4510" s="1" t="str">
        <f>IFERROR(__xludf.DUMMYFUNCTION("GOOGLETRANSLATE(B4510, ""en"", ""fa"")
"),"مشاوره دوستیابی")</f>
        <v>مشاوره دوستیابی</v>
      </c>
      <c r="G4510" s="1" t="str">
        <f>IFERROR(__xludf.DUMMYFUNCTION("GOOGLETRANSLATE(C4510, ""en"", ""fa"")
"),"چگونه می توانم گفتگوها را حول موضوعات حساس یا نظرات متفاوت با همدلی و احترام هدایت کنم؟")</f>
        <v>چگونه می توانم گفتگوها را حول موضوعات حساس یا نظرات متفاوت با همدلی و احترام هدایت کنم؟</v>
      </c>
      <c r="H4510" s="1"/>
      <c r="I4510" s="1"/>
      <c r="J4510" s="1"/>
      <c r="K4510" s="1"/>
      <c r="L4510" s="1"/>
      <c r="M4510" s="1"/>
      <c r="N4510" s="1"/>
      <c r="O4510" s="1"/>
      <c r="P4510" s="1"/>
      <c r="Q4510" s="1"/>
      <c r="R4510" s="1"/>
      <c r="S4510" s="1"/>
      <c r="T4510" s="1"/>
      <c r="U4510" s="1"/>
      <c r="V4510" s="1"/>
      <c r="W4510" s="1"/>
      <c r="X4510" s="1"/>
      <c r="Y4510" s="1"/>
      <c r="Z4510" s="1"/>
      <c r="AA4510" s="1"/>
      <c r="AB4510" s="1"/>
    </row>
    <row r="4511" ht="50.25" customHeight="1">
      <c r="A4511" s="12">
        <v>4507.0</v>
      </c>
      <c r="B4511" s="13" t="s">
        <v>4379</v>
      </c>
      <c r="C4511" s="14" t="s">
        <v>4530</v>
      </c>
      <c r="D4511" s="1"/>
      <c r="E4511" s="1"/>
      <c r="F4511" s="1" t="str">
        <f>IFERROR(__xludf.DUMMYFUNCTION("GOOGLETRANSLATE(B4511, ""en"", ""fa"")
"),"مشاوره دوستیابی")</f>
        <v>مشاوره دوستیابی</v>
      </c>
      <c r="G4511" s="1" t="str">
        <f>IFERROR(__xludf.DUMMYFUNCTION("GOOGLETRANSLATE(C4511, ""en"", ""fa"")
"),"چند تکنیک برای ایجاد حس انتظار و هیجان در مکالمات آنلاین چیست؟")</f>
        <v>چند تکنیک برای ایجاد حس انتظار و هیجان در مکالمات آنلاین چیست؟</v>
      </c>
      <c r="H4511" s="1"/>
      <c r="I4511" s="1"/>
      <c r="J4511" s="1"/>
      <c r="K4511" s="1"/>
      <c r="L4511" s="1"/>
      <c r="M4511" s="1"/>
      <c r="N4511" s="1"/>
      <c r="O4511" s="1"/>
      <c r="P4511" s="1"/>
      <c r="Q4511" s="1"/>
      <c r="R4511" s="1"/>
      <c r="S4511" s="1"/>
      <c r="T4511" s="1"/>
      <c r="U4511" s="1"/>
      <c r="V4511" s="1"/>
      <c r="W4511" s="1"/>
      <c r="X4511" s="1"/>
      <c r="Y4511" s="1"/>
      <c r="Z4511" s="1"/>
      <c r="AA4511" s="1"/>
      <c r="AB4511" s="1"/>
    </row>
    <row r="4512" ht="50.25" customHeight="1">
      <c r="A4512" s="12">
        <v>4508.0</v>
      </c>
      <c r="B4512" s="13" t="s">
        <v>4379</v>
      </c>
      <c r="C4512" s="14" t="s">
        <v>4531</v>
      </c>
      <c r="D4512" s="1"/>
      <c r="E4512" s="1"/>
      <c r="F4512" s="1" t="str">
        <f>IFERROR(__xludf.DUMMYFUNCTION("GOOGLETRANSLATE(B4512, ""en"", ""fa"")
"),"مشاوره دوستیابی")</f>
        <v>مشاوره دوستیابی</v>
      </c>
      <c r="G4512" s="1" t="str">
        <f>IFERROR(__xludf.DUMMYFUNCTION("GOOGLETRANSLATE(C4512, ""en"", ""fa"")
"),"چگونه می توانم از تکنیک های انعکاسی و بازتاب برای ایجاد رابطه و ارتباط با یک مسابقه بالقوه استفاده کنم؟")</f>
        <v>چگونه می توانم از تکنیک های انعکاسی و بازتاب برای ایجاد رابطه و ارتباط با یک مسابقه بالقوه استفاده کنم؟</v>
      </c>
      <c r="H4512" s="1"/>
      <c r="I4512" s="1"/>
      <c r="J4512" s="1"/>
      <c r="K4512" s="1"/>
      <c r="L4512" s="1"/>
      <c r="M4512" s="1"/>
      <c r="N4512" s="1"/>
      <c r="O4512" s="1"/>
      <c r="P4512" s="1"/>
      <c r="Q4512" s="1"/>
      <c r="R4512" s="1"/>
      <c r="S4512" s="1"/>
      <c r="T4512" s="1"/>
      <c r="U4512" s="1"/>
      <c r="V4512" s="1"/>
      <c r="W4512" s="1"/>
      <c r="X4512" s="1"/>
      <c r="Y4512" s="1"/>
      <c r="Z4512" s="1"/>
      <c r="AA4512" s="1"/>
      <c r="AB4512" s="1"/>
    </row>
    <row r="4513" ht="50.25" customHeight="1">
      <c r="A4513" s="12">
        <v>4509.0</v>
      </c>
      <c r="B4513" s="13" t="s">
        <v>4379</v>
      </c>
      <c r="C4513" s="14" t="s">
        <v>4532</v>
      </c>
      <c r="D4513" s="1"/>
      <c r="E4513" s="1"/>
      <c r="F4513" s="1" t="str">
        <f>IFERROR(__xludf.DUMMYFUNCTION("GOOGLETRANSLATE(B4513, ""en"", ""fa"")
"),"مشاوره دوستیابی")</f>
        <v>مشاوره دوستیابی</v>
      </c>
      <c r="G4513" s="1" t="str">
        <f>IFERROR(__xludf.DUMMYFUNCTION("GOOGLETRANSLATE(C4513, ""en"", ""fa"")
"),"چه راهکارهایی برای تزریق بازیگوشی و معاشقه به مکالمات آنلاین بدون عبور از مرزها یا ایجاد ناراحتی در طرف مقابل وجود دارد؟")</f>
        <v>چه راهکارهایی برای تزریق بازیگوشی و معاشقه به مکالمات آنلاین بدون عبور از مرزها یا ایجاد ناراحتی در طرف مقابل وجود دارد؟</v>
      </c>
      <c r="H4513" s="1"/>
      <c r="I4513" s="1"/>
      <c r="J4513" s="1"/>
      <c r="K4513" s="1"/>
      <c r="L4513" s="1"/>
      <c r="M4513" s="1"/>
      <c r="N4513" s="1"/>
      <c r="O4513" s="1"/>
      <c r="P4513" s="1"/>
      <c r="Q4513" s="1"/>
      <c r="R4513" s="1"/>
      <c r="S4513" s="1"/>
      <c r="T4513" s="1"/>
      <c r="U4513" s="1"/>
      <c r="V4513" s="1"/>
      <c r="W4513" s="1"/>
      <c r="X4513" s="1"/>
      <c r="Y4513" s="1"/>
      <c r="Z4513" s="1"/>
      <c r="AA4513" s="1"/>
      <c r="AB4513" s="1"/>
    </row>
    <row r="4514" ht="50.25" customHeight="1">
      <c r="A4514" s="12">
        <v>4510.0</v>
      </c>
      <c r="B4514" s="13" t="s">
        <v>4379</v>
      </c>
      <c r="C4514" s="14" t="s">
        <v>4533</v>
      </c>
      <c r="D4514" s="1"/>
      <c r="E4514" s="1"/>
      <c r="F4514" s="1" t="str">
        <f>IFERROR(__xludf.DUMMYFUNCTION("GOOGLETRANSLATE(B4514, ""en"", ""fa"")
"),"مشاوره دوستیابی")</f>
        <v>مشاوره دوستیابی</v>
      </c>
      <c r="G4514" s="1" t="str">
        <f>IFERROR(__xludf.DUMMYFUNCTION("GOOGLETRANSLATE(C4514, ""en"", ""fa"")
"),"چگونه می توانم کنجکاوی خود را ابراز کنم و سؤالات عمیق تری بپرسم که فراتر از مکالمه سطحی در تعاملات آنلاین است؟")</f>
        <v>چگونه می توانم کنجکاوی خود را ابراز کنم و سؤالات عمیق تری بپرسم که فراتر از مکالمه سطحی در تعاملات آنلاین است؟</v>
      </c>
      <c r="H4514" s="1"/>
      <c r="I4514" s="1"/>
      <c r="J4514" s="1"/>
      <c r="K4514" s="1"/>
      <c r="L4514" s="1"/>
      <c r="M4514" s="1"/>
      <c r="N4514" s="1"/>
      <c r="O4514" s="1"/>
      <c r="P4514" s="1"/>
      <c r="Q4514" s="1"/>
      <c r="R4514" s="1"/>
      <c r="S4514" s="1"/>
      <c r="T4514" s="1"/>
      <c r="U4514" s="1"/>
      <c r="V4514" s="1"/>
      <c r="W4514" s="1"/>
      <c r="X4514" s="1"/>
      <c r="Y4514" s="1"/>
      <c r="Z4514" s="1"/>
      <c r="AA4514" s="1"/>
      <c r="AB4514" s="1"/>
    </row>
    <row r="4515" ht="50.25" customHeight="1">
      <c r="A4515" s="12">
        <v>4511.0</v>
      </c>
      <c r="B4515" s="13" t="s">
        <v>4379</v>
      </c>
      <c r="C4515" s="14" t="s">
        <v>4534</v>
      </c>
      <c r="D4515" s="1"/>
      <c r="E4515" s="1"/>
      <c r="F4515" s="1" t="str">
        <f>IFERROR(__xludf.DUMMYFUNCTION("GOOGLETRANSLATE(B4515, ""en"", ""fa"")
"),"مشاوره دوستیابی")</f>
        <v>مشاوره دوستیابی</v>
      </c>
      <c r="G4515" s="1" t="str">
        <f>IFERROR(__xludf.DUMMYFUNCTION("GOOGLETRANSLATE(C4515, ""en"", ""fa"")
"),"چند نکته برای استفاده از جملات تاکیدی و تشویقی مثبت برای ایجاد یک محیط گفتگوی حمایتی و نشاط بخش چیست؟")</f>
        <v>چند نکته برای استفاده از جملات تاکیدی و تشویقی مثبت برای ایجاد یک محیط گفتگوی حمایتی و نشاط بخش چیست؟</v>
      </c>
      <c r="H4515" s="1"/>
      <c r="I4515" s="1"/>
      <c r="J4515" s="1"/>
      <c r="K4515" s="1"/>
      <c r="L4515" s="1"/>
      <c r="M4515" s="1"/>
      <c r="N4515" s="1"/>
      <c r="O4515" s="1"/>
      <c r="P4515" s="1"/>
      <c r="Q4515" s="1"/>
      <c r="R4515" s="1"/>
      <c r="S4515" s="1"/>
      <c r="T4515" s="1"/>
      <c r="U4515" s="1"/>
      <c r="V4515" s="1"/>
      <c r="W4515" s="1"/>
      <c r="X4515" s="1"/>
      <c r="Y4515" s="1"/>
      <c r="Z4515" s="1"/>
      <c r="AA4515" s="1"/>
      <c r="AB4515" s="1"/>
    </row>
    <row r="4516" ht="50.25" customHeight="1">
      <c r="A4516" s="12">
        <v>4512.0</v>
      </c>
      <c r="B4516" s="13" t="s">
        <v>4379</v>
      </c>
      <c r="C4516" s="14" t="s">
        <v>4535</v>
      </c>
      <c r="D4516" s="1"/>
      <c r="E4516" s="1"/>
      <c r="F4516" s="1" t="str">
        <f>IFERROR(__xludf.DUMMYFUNCTION("GOOGLETRANSLATE(B4516, ""en"", ""fa"")
"),"مشاوره دوستیابی")</f>
        <v>مشاوره دوستیابی</v>
      </c>
      <c r="G4516" s="1" t="str">
        <f>IFERROR(__xludf.DUMMYFUNCTION("GOOGLETRANSLATE(C4516, ""en"", ""fa"")
"),"چگونه می توانم از گوش دادن فعال برای درک احساسات طرف مقابل و پاسخ دادن با همدلی و درک استفاده کنم؟")</f>
        <v>چگونه می توانم از گوش دادن فعال برای درک احساسات طرف مقابل و پاسخ دادن با همدلی و درک استفاده کنم؟</v>
      </c>
      <c r="H4516" s="1"/>
      <c r="I4516" s="1"/>
      <c r="J4516" s="1"/>
      <c r="K4516" s="1"/>
      <c r="L4516" s="1"/>
      <c r="M4516" s="1"/>
      <c r="N4516" s="1"/>
      <c r="O4516" s="1"/>
      <c r="P4516" s="1"/>
      <c r="Q4516" s="1"/>
      <c r="R4516" s="1"/>
      <c r="S4516" s="1"/>
      <c r="T4516" s="1"/>
      <c r="U4516" s="1"/>
      <c r="V4516" s="1"/>
      <c r="W4516" s="1"/>
      <c r="X4516" s="1"/>
      <c r="Y4516" s="1"/>
      <c r="Z4516" s="1"/>
      <c r="AA4516" s="1"/>
      <c r="AB4516" s="1"/>
    </row>
    <row r="4517" ht="50.25" customHeight="1">
      <c r="A4517" s="12">
        <v>4513.0</v>
      </c>
      <c r="B4517" s="13" t="s">
        <v>4379</v>
      </c>
      <c r="C4517" s="14" t="s">
        <v>4536</v>
      </c>
      <c r="D4517" s="1"/>
      <c r="E4517" s="1"/>
      <c r="F4517" s="1" t="str">
        <f>IFERROR(__xludf.DUMMYFUNCTION("GOOGLETRANSLATE(B4517, ""en"", ""fa"")
"),"مشاوره دوستیابی")</f>
        <v>مشاوره دوستیابی</v>
      </c>
      <c r="G4517" s="1" t="str">
        <f>IFERROR(__xludf.DUMMYFUNCTION("GOOGLETRANSLATE(C4517, ""en"", ""fa"")
"),"چند تکنیک برای ترکیب تجربیات یا مراجع مشترک در مکالمات آنلاین برای ایجاد حس آشنایی و ارتباط چیست؟")</f>
        <v>چند تکنیک برای ترکیب تجربیات یا مراجع مشترک در مکالمات آنلاین برای ایجاد حس آشنایی و ارتباط چیست؟</v>
      </c>
      <c r="H4517" s="1"/>
      <c r="I4517" s="1"/>
      <c r="J4517" s="1"/>
      <c r="K4517" s="1"/>
      <c r="L4517" s="1"/>
      <c r="M4517" s="1"/>
      <c r="N4517" s="1"/>
      <c r="O4517" s="1"/>
      <c r="P4517" s="1"/>
      <c r="Q4517" s="1"/>
      <c r="R4517" s="1"/>
      <c r="S4517" s="1"/>
      <c r="T4517" s="1"/>
      <c r="U4517" s="1"/>
      <c r="V4517" s="1"/>
      <c r="W4517" s="1"/>
      <c r="X4517" s="1"/>
      <c r="Y4517" s="1"/>
      <c r="Z4517" s="1"/>
      <c r="AA4517" s="1"/>
      <c r="AB4517" s="1"/>
    </row>
    <row r="4518" ht="50.25" customHeight="1">
      <c r="A4518" s="12">
        <v>4514.0</v>
      </c>
      <c r="B4518" s="13" t="s">
        <v>4379</v>
      </c>
      <c r="C4518" s="14" t="s">
        <v>4537</v>
      </c>
      <c r="D4518" s="1"/>
      <c r="E4518" s="1"/>
      <c r="F4518" s="1" t="str">
        <f>IFERROR(__xludf.DUMMYFUNCTION("GOOGLETRANSLATE(B4518, ""en"", ""fa"")
"),"مشاوره دوستیابی")</f>
        <v>مشاوره دوستیابی</v>
      </c>
      <c r="G4518" s="1" t="str">
        <f>IFERROR(__xludf.DUMMYFUNCTION("GOOGLETRANSLATE(C4518, ""en"", ""fa"")
"),"چگونه می توانم از زمان و توجه یک مسابقه بالقوه در مکالمات آنلاین تشکر و قدردانی کنم؟")</f>
        <v>چگونه می توانم از زمان و توجه یک مسابقه بالقوه در مکالمات آنلاین تشکر و قدردانی کنم؟</v>
      </c>
      <c r="H4518" s="1"/>
      <c r="I4518" s="1"/>
      <c r="J4518" s="1"/>
      <c r="K4518" s="1"/>
      <c r="L4518" s="1"/>
      <c r="M4518" s="1"/>
      <c r="N4518" s="1"/>
      <c r="O4518" s="1"/>
      <c r="P4518" s="1"/>
      <c r="Q4518" s="1"/>
      <c r="R4518" s="1"/>
      <c r="S4518" s="1"/>
      <c r="T4518" s="1"/>
      <c r="U4518" s="1"/>
      <c r="V4518" s="1"/>
      <c r="W4518" s="1"/>
      <c r="X4518" s="1"/>
      <c r="Y4518" s="1"/>
      <c r="Z4518" s="1"/>
      <c r="AA4518" s="1"/>
      <c r="AB4518" s="1"/>
    </row>
    <row r="4519" ht="50.25" customHeight="1">
      <c r="A4519" s="12">
        <v>4515.0</v>
      </c>
      <c r="B4519" s="13" t="s">
        <v>4379</v>
      </c>
      <c r="C4519" s="14" t="s">
        <v>4538</v>
      </c>
      <c r="D4519" s="1"/>
      <c r="E4519" s="1"/>
      <c r="F4519" s="1" t="str">
        <f>IFERROR(__xludf.DUMMYFUNCTION("GOOGLETRANSLATE(B4519, ""en"", ""fa"")
"),"مشاوره دوستیابی")</f>
        <v>مشاوره دوستیابی</v>
      </c>
      <c r="G4519" s="1" t="str">
        <f>IFERROR(__xludf.DUMMYFUNCTION("GOOGLETRANSLATE(C4519, ""en"", ""fa"")
"),"چند نکته ضروری برای انتخاب بهترین عکس پروفایل که توجه را به خود جلب می کند و شخصیت من را به نمایش می گذارد چیست؟")</f>
        <v>چند نکته ضروری برای انتخاب بهترین عکس پروفایل که توجه را به خود جلب می کند و شخصیت من را به نمایش می گذارد چیست؟</v>
      </c>
      <c r="H4519" s="1"/>
      <c r="I4519" s="1"/>
      <c r="J4519" s="1"/>
      <c r="K4519" s="1"/>
      <c r="L4519" s="1"/>
      <c r="M4519" s="1"/>
      <c r="N4519" s="1"/>
      <c r="O4519" s="1"/>
      <c r="P4519" s="1"/>
      <c r="Q4519" s="1"/>
      <c r="R4519" s="1"/>
      <c r="S4519" s="1"/>
      <c r="T4519" s="1"/>
      <c r="U4519" s="1"/>
      <c r="V4519" s="1"/>
      <c r="W4519" s="1"/>
      <c r="X4519" s="1"/>
      <c r="Y4519" s="1"/>
      <c r="Z4519" s="1"/>
      <c r="AA4519" s="1"/>
      <c r="AB4519" s="1"/>
    </row>
    <row r="4520" ht="50.25" customHeight="1">
      <c r="A4520" s="12">
        <v>4516.0</v>
      </c>
      <c r="B4520" s="13" t="s">
        <v>4379</v>
      </c>
      <c r="C4520" s="14" t="s">
        <v>4539</v>
      </c>
      <c r="D4520" s="1"/>
      <c r="E4520" s="1"/>
      <c r="F4520" s="1" t="str">
        <f>IFERROR(__xludf.DUMMYFUNCTION("GOOGLETRANSLATE(B4520, ""en"", ""fa"")
"),"مشاوره دوستیابی")</f>
        <v>مشاوره دوستیابی</v>
      </c>
      <c r="G4520" s="1" t="str">
        <f>IFERROR(__xludf.DUMMYFUNCTION("GOOGLETRANSLATE(C4520, ""en"", ""fa"")
"),"چگونه می توانم از نور به نفع خود برای ایجاد عکس های پروفایل جذاب و چشم نواز استفاده کنم؟")</f>
        <v>چگونه می توانم از نور به نفع خود برای ایجاد عکس های پروفایل جذاب و چشم نواز استفاده کنم؟</v>
      </c>
      <c r="H4520" s="1"/>
      <c r="I4520" s="1"/>
      <c r="J4520" s="1"/>
      <c r="K4520" s="1"/>
      <c r="L4520" s="1"/>
      <c r="M4520" s="1"/>
      <c r="N4520" s="1"/>
      <c r="O4520" s="1"/>
      <c r="P4520" s="1"/>
      <c r="Q4520" s="1"/>
      <c r="R4520" s="1"/>
      <c r="S4520" s="1"/>
      <c r="T4520" s="1"/>
      <c r="U4520" s="1"/>
      <c r="V4520" s="1"/>
      <c r="W4520" s="1"/>
      <c r="X4520" s="1"/>
      <c r="Y4520" s="1"/>
      <c r="Z4520" s="1"/>
      <c r="AA4520" s="1"/>
      <c r="AB4520" s="1"/>
    </row>
    <row r="4521" ht="50.25" customHeight="1">
      <c r="A4521" s="12">
        <v>4517.0</v>
      </c>
      <c r="B4521" s="13" t="s">
        <v>4379</v>
      </c>
      <c r="C4521" s="14" t="s">
        <v>4540</v>
      </c>
      <c r="D4521" s="1"/>
      <c r="E4521" s="1"/>
      <c r="F4521" s="1" t="str">
        <f>IFERROR(__xludf.DUMMYFUNCTION("GOOGLETRANSLATE(B4521, ""en"", ""fa"")
"),"مشاوره دوستیابی")</f>
        <v>مشاوره دوستیابی</v>
      </c>
      <c r="G4521" s="1" t="str">
        <f>IFERROR(__xludf.DUMMYFUNCTION("GOOGLETRANSLATE(C4521, ""en"", ""fa"")
"),"چند تکنیک ترکیب بندی که می تواند به جذابیت و جذابیت بصری عکس های نمایه من کمک کند چیست؟")</f>
        <v>چند تکنیک ترکیب بندی که می تواند به جذابیت و جذابیت بصری عکس های نمایه من کمک کند چیست؟</v>
      </c>
      <c r="H4521" s="1"/>
      <c r="I4521" s="1"/>
      <c r="J4521" s="1"/>
      <c r="K4521" s="1"/>
      <c r="L4521" s="1"/>
      <c r="M4521" s="1"/>
      <c r="N4521" s="1"/>
      <c r="O4521" s="1"/>
      <c r="P4521" s="1"/>
      <c r="Q4521" s="1"/>
      <c r="R4521" s="1"/>
      <c r="S4521" s="1"/>
      <c r="T4521" s="1"/>
      <c r="U4521" s="1"/>
      <c r="V4521" s="1"/>
      <c r="W4521" s="1"/>
      <c r="X4521" s="1"/>
      <c r="Y4521" s="1"/>
      <c r="Z4521" s="1"/>
      <c r="AA4521" s="1"/>
      <c r="AB4521" s="1"/>
    </row>
    <row r="4522" ht="50.25" customHeight="1">
      <c r="A4522" s="12">
        <v>4518.0</v>
      </c>
      <c r="B4522" s="13" t="s">
        <v>4379</v>
      </c>
      <c r="C4522" s="14" t="s">
        <v>4541</v>
      </c>
      <c r="D4522" s="1"/>
      <c r="E4522" s="1"/>
      <c r="F4522" s="1" t="str">
        <f>IFERROR(__xludf.DUMMYFUNCTION("GOOGLETRANSLATE(B4522, ""en"", ""fa"")
"),"مشاوره دوستیابی")</f>
        <v>مشاوره دوستیابی</v>
      </c>
      <c r="G4522" s="1" t="str">
        <f>IFERROR(__xludf.DUMMYFUNCTION("GOOGLETRANSLATE(C4522, ""en"", ""fa"")
"),"چگونه می توانم بین طبیعی به نظر رسیدن و نشان دادن بهترین ویژگی هایم در عکس های نمایه ام تعادل برقرار کنم؟")</f>
        <v>چگونه می توانم بین طبیعی به نظر رسیدن و نشان دادن بهترین ویژگی هایم در عکس های نمایه ام تعادل برقرار کنم؟</v>
      </c>
      <c r="H4522" s="1"/>
      <c r="I4522" s="1"/>
      <c r="J4522" s="1"/>
      <c r="K4522" s="1"/>
      <c r="L4522" s="1"/>
      <c r="M4522" s="1"/>
      <c r="N4522" s="1"/>
      <c r="O4522" s="1"/>
      <c r="P4522" s="1"/>
      <c r="Q4522" s="1"/>
      <c r="R4522" s="1"/>
      <c r="S4522" s="1"/>
      <c r="T4522" s="1"/>
      <c r="U4522" s="1"/>
      <c r="V4522" s="1"/>
      <c r="W4522" s="1"/>
      <c r="X4522" s="1"/>
      <c r="Y4522" s="1"/>
      <c r="Z4522" s="1"/>
      <c r="AA4522" s="1"/>
      <c r="AB4522" s="1"/>
    </row>
    <row r="4523" ht="50.25" customHeight="1">
      <c r="A4523" s="12">
        <v>4519.0</v>
      </c>
      <c r="B4523" s="13" t="s">
        <v>4379</v>
      </c>
      <c r="C4523" s="14" t="s">
        <v>4542</v>
      </c>
      <c r="D4523" s="1"/>
      <c r="E4523" s="1"/>
      <c r="F4523" s="1" t="str">
        <f>IFERROR(__xludf.DUMMYFUNCTION("GOOGLETRANSLATE(B4523, ""en"", ""fa"")
"),"مشاوره دوستیابی")</f>
        <v>مشاوره دوستیابی</v>
      </c>
      <c r="G4523" s="1" t="str">
        <f>IFERROR(__xludf.DUMMYFUNCTION("GOOGLETRANSLATE(C4523, ""en"", ""fa"")
"),"چند راه موثر برای انتقال علایق و سرگرمی هایم از طریق عکس های نمایه ام چیست؟")</f>
        <v>چند راه موثر برای انتقال علایق و سرگرمی هایم از طریق عکس های نمایه ام چیست؟</v>
      </c>
      <c r="H4523" s="1"/>
      <c r="I4523" s="1"/>
      <c r="J4523" s="1"/>
      <c r="K4523" s="1"/>
      <c r="L4523" s="1"/>
      <c r="M4523" s="1"/>
      <c r="N4523" s="1"/>
      <c r="O4523" s="1"/>
      <c r="P4523" s="1"/>
      <c r="Q4523" s="1"/>
      <c r="R4523" s="1"/>
      <c r="S4523" s="1"/>
      <c r="T4523" s="1"/>
      <c r="U4523" s="1"/>
      <c r="V4523" s="1"/>
      <c r="W4523" s="1"/>
      <c r="X4523" s="1"/>
      <c r="Y4523" s="1"/>
      <c r="Z4523" s="1"/>
      <c r="AA4523" s="1"/>
      <c r="AB4523" s="1"/>
    </row>
    <row r="4524" ht="50.25" customHeight="1">
      <c r="A4524" s="12">
        <v>4520.0</v>
      </c>
      <c r="B4524" s="13" t="s">
        <v>4379</v>
      </c>
      <c r="C4524" s="14" t="s">
        <v>4543</v>
      </c>
      <c r="D4524" s="1"/>
      <c r="E4524" s="1"/>
      <c r="F4524" s="1" t="str">
        <f>IFERROR(__xludf.DUMMYFUNCTION("GOOGLETRANSLATE(B4524, ""en"", ""fa"")
"),"مشاوره دوستیابی")</f>
        <v>مشاوره دوستیابی</v>
      </c>
      <c r="G4524" s="1" t="str">
        <f>IFERROR(__xludf.DUMMYFUNCTION("GOOGLETRANSLATE(C4524, ""en"", ""fa"")
"),"چگونه می توانم مطمئن شوم که عکس های نمایه من به طور دقیق ظاهر فعلی من را نشان می دهد؟")</f>
        <v>چگونه می توانم مطمئن شوم که عکس های نمایه من به طور دقیق ظاهر فعلی من را نشان می دهد؟</v>
      </c>
      <c r="H4524" s="1"/>
      <c r="I4524" s="1"/>
      <c r="J4524" s="1"/>
      <c r="K4524" s="1"/>
      <c r="L4524" s="1"/>
      <c r="M4524" s="1"/>
      <c r="N4524" s="1"/>
      <c r="O4524" s="1"/>
      <c r="P4524" s="1"/>
      <c r="Q4524" s="1"/>
      <c r="R4524" s="1"/>
      <c r="S4524" s="1"/>
      <c r="T4524" s="1"/>
      <c r="U4524" s="1"/>
      <c r="V4524" s="1"/>
      <c r="W4524" s="1"/>
      <c r="X4524" s="1"/>
      <c r="Y4524" s="1"/>
      <c r="Z4524" s="1"/>
      <c r="AA4524" s="1"/>
      <c r="AB4524" s="1"/>
    </row>
    <row r="4525" ht="50.25" customHeight="1">
      <c r="A4525" s="12">
        <v>4521.0</v>
      </c>
      <c r="B4525" s="13" t="s">
        <v>4379</v>
      </c>
      <c r="C4525" s="14" t="s">
        <v>4544</v>
      </c>
      <c r="D4525" s="1"/>
      <c r="E4525" s="1"/>
      <c r="F4525" s="1" t="str">
        <f>IFERROR(__xludf.DUMMYFUNCTION("GOOGLETRANSLATE(B4525, ""en"", ""fa"")
"),"مشاوره دوستیابی")</f>
        <v>مشاوره دوستیابی</v>
      </c>
      <c r="G4525" s="1" t="str">
        <f>IFERROR(__xludf.DUMMYFUNCTION("GOOGLETRANSLATE(C4525, ""en"", ""fa"")
"),"چه نکاتی برای انتخاب عکس پروفایلی وجود دارد که از بین مردم متمایز باشد و تاثیری ماندگار بر جای بگذارد؟")</f>
        <v>چه نکاتی برای انتخاب عکس پروفایلی وجود دارد که از بین مردم متمایز باشد و تاثیری ماندگار بر جای بگذارد؟</v>
      </c>
      <c r="H4525" s="1"/>
      <c r="I4525" s="1"/>
      <c r="J4525" s="1"/>
      <c r="K4525" s="1"/>
      <c r="L4525" s="1"/>
      <c r="M4525" s="1"/>
      <c r="N4525" s="1"/>
      <c r="O4525" s="1"/>
      <c r="P4525" s="1"/>
      <c r="Q4525" s="1"/>
      <c r="R4525" s="1"/>
      <c r="S4525" s="1"/>
      <c r="T4525" s="1"/>
      <c r="U4525" s="1"/>
      <c r="V4525" s="1"/>
      <c r="W4525" s="1"/>
      <c r="X4525" s="1"/>
      <c r="Y4525" s="1"/>
      <c r="Z4525" s="1"/>
      <c r="AA4525" s="1"/>
      <c r="AB4525" s="1"/>
    </row>
    <row r="4526" ht="50.25" customHeight="1">
      <c r="A4526" s="12">
        <v>4522.0</v>
      </c>
      <c r="B4526" s="13" t="s">
        <v>4379</v>
      </c>
      <c r="C4526" s="14" t="s">
        <v>4545</v>
      </c>
      <c r="D4526" s="1"/>
      <c r="E4526" s="1"/>
      <c r="F4526" s="1" t="str">
        <f>IFERROR(__xludf.DUMMYFUNCTION("GOOGLETRANSLATE(B4526, ""en"", ""fa"")
"),"مشاوره دوستیابی")</f>
        <v>مشاوره دوستیابی</v>
      </c>
      <c r="G4526" s="1" t="str">
        <f>IFERROR(__xludf.DUMMYFUNCTION("GOOGLETRANSLATE(C4526, ""en"", ""fa"")
"),"چگونه می توانم از زبان بدن و حالات چهره برای انتقال اعتماد به نفس و قابلیت دسترسی در عکس های نمایه خود استفاده کنم؟")</f>
        <v>چگونه می توانم از زبان بدن و حالات چهره برای انتقال اعتماد به نفس و قابلیت دسترسی در عکس های نمایه خود استفاده کنم؟</v>
      </c>
      <c r="H4526" s="1"/>
      <c r="I4526" s="1"/>
      <c r="J4526" s="1"/>
      <c r="K4526" s="1"/>
      <c r="L4526" s="1"/>
      <c r="M4526" s="1"/>
      <c r="N4526" s="1"/>
      <c r="O4526" s="1"/>
      <c r="P4526" s="1"/>
      <c r="Q4526" s="1"/>
      <c r="R4526" s="1"/>
      <c r="S4526" s="1"/>
      <c r="T4526" s="1"/>
      <c r="U4526" s="1"/>
      <c r="V4526" s="1"/>
      <c r="W4526" s="1"/>
      <c r="X4526" s="1"/>
      <c r="Y4526" s="1"/>
      <c r="Z4526" s="1"/>
      <c r="AA4526" s="1"/>
      <c r="AB4526" s="1"/>
    </row>
    <row r="4527" ht="50.25" customHeight="1">
      <c r="A4527" s="12">
        <v>4523.0</v>
      </c>
      <c r="B4527" s="13" t="s">
        <v>4379</v>
      </c>
      <c r="C4527" s="14" t="s">
        <v>4546</v>
      </c>
      <c r="D4527" s="1"/>
      <c r="E4527" s="1"/>
      <c r="F4527" s="1" t="str">
        <f>IFERROR(__xludf.DUMMYFUNCTION("GOOGLETRANSLATE(B4527, ""en"", ""fa"")
"),"مشاوره دوستیابی")</f>
        <v>مشاوره دوستیابی</v>
      </c>
      <c r="G4527" s="1" t="str">
        <f>IFERROR(__xludf.DUMMYFUNCTION("GOOGLETRANSLATE(C4527, ""en"", ""fa"")
"),"چند استراتژی برای انتخاب پس‌زمینه یا تنظیمات مناسب برای عکس‌های نمایه‌ام چیست؟")</f>
        <v>چند استراتژی برای انتخاب پس‌زمینه یا تنظیمات مناسب برای عکس‌های نمایه‌ام چیست؟</v>
      </c>
      <c r="H4527" s="1"/>
      <c r="I4527" s="1"/>
      <c r="J4527" s="1"/>
      <c r="K4527" s="1"/>
      <c r="L4527" s="1"/>
      <c r="M4527" s="1"/>
      <c r="N4527" s="1"/>
      <c r="O4527" s="1"/>
      <c r="P4527" s="1"/>
      <c r="Q4527" s="1"/>
      <c r="R4527" s="1"/>
      <c r="S4527" s="1"/>
      <c r="T4527" s="1"/>
      <c r="U4527" s="1"/>
      <c r="V4527" s="1"/>
      <c r="W4527" s="1"/>
      <c r="X4527" s="1"/>
      <c r="Y4527" s="1"/>
      <c r="Z4527" s="1"/>
      <c r="AA4527" s="1"/>
      <c r="AB4527" s="1"/>
    </row>
    <row r="4528" ht="50.25" customHeight="1">
      <c r="A4528" s="12">
        <v>4524.0</v>
      </c>
      <c r="B4528" s="13" t="s">
        <v>4379</v>
      </c>
      <c r="C4528" s="14" t="s">
        <v>4547</v>
      </c>
      <c r="D4528" s="1"/>
      <c r="E4528" s="1"/>
      <c r="F4528" s="1" t="str">
        <f>IFERROR(__xludf.DUMMYFUNCTION("GOOGLETRANSLATE(B4528, ""en"", ""fa"")
"),"مشاوره دوستیابی")</f>
        <v>مشاوره دوستیابی</v>
      </c>
      <c r="G4528" s="1" t="str">
        <f>IFERROR(__xludf.DUMMYFUNCTION("GOOGLETRANSLATE(C4528, ""en"", ""fa"")
"),"چگونه می توانم سبک شخصی و شخصیت خود را از طریق عکس های نمایه خود به نمایش بگذارم؟")</f>
        <v>چگونه می توانم سبک شخصی و شخصیت خود را از طریق عکس های نمایه خود به نمایش بگذارم؟</v>
      </c>
      <c r="H4528" s="1"/>
      <c r="I4528" s="1"/>
      <c r="J4528" s="1"/>
      <c r="K4528" s="1"/>
      <c r="L4528" s="1"/>
      <c r="M4528" s="1"/>
      <c r="N4528" s="1"/>
      <c r="O4528" s="1"/>
      <c r="P4528" s="1"/>
      <c r="Q4528" s="1"/>
      <c r="R4528" s="1"/>
      <c r="S4528" s="1"/>
      <c r="T4528" s="1"/>
      <c r="U4528" s="1"/>
      <c r="V4528" s="1"/>
      <c r="W4528" s="1"/>
      <c r="X4528" s="1"/>
      <c r="Y4528" s="1"/>
      <c r="Z4528" s="1"/>
      <c r="AA4528" s="1"/>
      <c r="AB4528" s="1"/>
    </row>
    <row r="4529" ht="50.25" customHeight="1">
      <c r="A4529" s="12">
        <v>4525.0</v>
      </c>
      <c r="B4529" s="13" t="s">
        <v>4379</v>
      </c>
      <c r="C4529" s="14" t="s">
        <v>4548</v>
      </c>
      <c r="D4529" s="1"/>
      <c r="E4529" s="1"/>
      <c r="F4529" s="1" t="str">
        <f>IFERROR(__xludf.DUMMYFUNCTION("GOOGLETRANSLATE(B4529, ""en"", ""fa"")
"),"مشاوره دوستیابی")</f>
        <v>مشاوره دوستیابی</v>
      </c>
      <c r="G4529" s="1" t="str">
        <f>IFERROR(__xludf.DUMMYFUNCTION("GOOGLETRANSLATE(C4529, ""en"", ""fa"")
"),"برای استفاده از فیلترها و ابزارهای ویرایش عکس های نمایه من چه بایدها و نبایدهایی وجود دارد؟")</f>
        <v>برای استفاده از فیلترها و ابزارهای ویرایش عکس های نمایه من چه بایدها و نبایدهایی وجود دارد؟</v>
      </c>
      <c r="H4529" s="1"/>
      <c r="I4529" s="1"/>
      <c r="J4529" s="1"/>
      <c r="K4529" s="1"/>
      <c r="L4529" s="1"/>
      <c r="M4529" s="1"/>
      <c r="N4529" s="1"/>
      <c r="O4529" s="1"/>
      <c r="P4529" s="1"/>
      <c r="Q4529" s="1"/>
      <c r="R4529" s="1"/>
      <c r="S4529" s="1"/>
      <c r="T4529" s="1"/>
      <c r="U4529" s="1"/>
      <c r="V4529" s="1"/>
      <c r="W4529" s="1"/>
      <c r="X4529" s="1"/>
      <c r="Y4529" s="1"/>
      <c r="Z4529" s="1"/>
      <c r="AA4529" s="1"/>
      <c r="AB4529" s="1"/>
    </row>
    <row r="4530" ht="50.25" customHeight="1">
      <c r="A4530" s="12">
        <v>4526.0</v>
      </c>
      <c r="B4530" s="13" t="s">
        <v>4379</v>
      </c>
      <c r="C4530" s="14" t="s">
        <v>4549</v>
      </c>
      <c r="D4530" s="1"/>
      <c r="E4530" s="1"/>
      <c r="F4530" s="1" t="str">
        <f>IFERROR(__xludf.DUMMYFUNCTION("GOOGLETRANSLATE(B4530, ""en"", ""fa"")
"),"مشاوره دوستیابی")</f>
        <v>مشاوره دوستیابی</v>
      </c>
      <c r="G4530" s="1" t="str">
        <f>IFERROR(__xludf.DUMMYFUNCTION("GOOGLETRANSLATE(C4530, ""en"", ""fa"")
"),"چگونه می توانم از رنگ ها و کنتراست ها به طور موثر استفاده کنم تا عکس های نمایه خود را از نظر بصری جذاب کنم؟")</f>
        <v>چگونه می توانم از رنگ ها و کنتراست ها به طور موثر استفاده کنم تا عکس های نمایه خود را از نظر بصری جذاب کنم؟</v>
      </c>
      <c r="H4530" s="1"/>
      <c r="I4530" s="1"/>
      <c r="J4530" s="1"/>
      <c r="K4530" s="1"/>
      <c r="L4530" s="1"/>
      <c r="M4530" s="1"/>
      <c r="N4530" s="1"/>
      <c r="O4530" s="1"/>
      <c r="P4530" s="1"/>
      <c r="Q4530" s="1"/>
      <c r="R4530" s="1"/>
      <c r="S4530" s="1"/>
      <c r="T4530" s="1"/>
      <c r="U4530" s="1"/>
      <c r="V4530" s="1"/>
      <c r="W4530" s="1"/>
      <c r="X4530" s="1"/>
      <c r="Y4530" s="1"/>
      <c r="Z4530" s="1"/>
      <c r="AA4530" s="1"/>
      <c r="AB4530" s="1"/>
    </row>
    <row r="4531" ht="50.25" customHeight="1">
      <c r="A4531" s="12">
        <v>4527.0</v>
      </c>
      <c r="B4531" s="13" t="s">
        <v>4379</v>
      </c>
      <c r="C4531" s="14" t="s">
        <v>4550</v>
      </c>
      <c r="D4531" s="1"/>
      <c r="E4531" s="1"/>
      <c r="F4531" s="1" t="str">
        <f>IFERROR(__xludf.DUMMYFUNCTION("GOOGLETRANSLATE(B4531, ""en"", ""fa"")
"),"مشاوره دوستیابی")</f>
        <v>مشاوره دوستیابی</v>
      </c>
      <c r="G4531" s="1" t="str">
        <f>IFERROR(__xludf.DUMMYFUNCTION("GOOGLETRANSLATE(C4531, ""en"", ""fa"")
"),"چند نکته برای انتخاب عکس های پروفایل که نشان دهنده نوع رابطه مورد نظر من است چیست؟")</f>
        <v>چند نکته برای انتخاب عکس های پروفایل که نشان دهنده نوع رابطه مورد نظر من است چیست؟</v>
      </c>
      <c r="H4531" s="1"/>
      <c r="I4531" s="1"/>
      <c r="J4531" s="1"/>
      <c r="K4531" s="1"/>
      <c r="L4531" s="1"/>
      <c r="M4531" s="1"/>
      <c r="N4531" s="1"/>
      <c r="O4531" s="1"/>
      <c r="P4531" s="1"/>
      <c r="Q4531" s="1"/>
      <c r="R4531" s="1"/>
      <c r="S4531" s="1"/>
      <c r="T4531" s="1"/>
      <c r="U4531" s="1"/>
      <c r="V4531" s="1"/>
      <c r="W4531" s="1"/>
      <c r="X4531" s="1"/>
      <c r="Y4531" s="1"/>
      <c r="Z4531" s="1"/>
      <c r="AA4531" s="1"/>
      <c r="AB4531" s="1"/>
    </row>
    <row r="4532" ht="50.25" customHeight="1">
      <c r="A4532" s="12">
        <v>4528.0</v>
      </c>
      <c r="B4532" s="13" t="s">
        <v>4379</v>
      </c>
      <c r="C4532" s="14" t="s">
        <v>4551</v>
      </c>
      <c r="D4532" s="1"/>
      <c r="E4532" s="1"/>
      <c r="F4532" s="1" t="str">
        <f>IFERROR(__xludf.DUMMYFUNCTION("GOOGLETRANSLATE(B4532, ""en"", ""fa"")
"),"مشاوره دوستیابی")</f>
        <v>مشاوره دوستیابی</v>
      </c>
      <c r="G4532" s="1" t="str">
        <f>IFERROR(__xludf.DUMMYFUNCTION("GOOGLETRANSLATE(C4532, ""en"", ""fa"")
"),"چگونه می توانم عکس هایی را با دوستان یا حیوانات خانگی در نمایه خود قرار دهم بدون اینکه از تمرکز روی خودم کم کنم؟")</f>
        <v>چگونه می توانم عکس هایی را با دوستان یا حیوانات خانگی در نمایه خود قرار دهم بدون اینکه از تمرکز روی خودم کم کنم؟</v>
      </c>
      <c r="H4532" s="1"/>
      <c r="I4532" s="1"/>
      <c r="J4532" s="1"/>
      <c r="K4532" s="1"/>
      <c r="L4532" s="1"/>
      <c r="M4532" s="1"/>
      <c r="N4532" s="1"/>
      <c r="O4532" s="1"/>
      <c r="P4532" s="1"/>
      <c r="Q4532" s="1"/>
      <c r="R4532" s="1"/>
      <c r="S4532" s="1"/>
      <c r="T4532" s="1"/>
      <c r="U4532" s="1"/>
      <c r="V4532" s="1"/>
      <c r="W4532" s="1"/>
      <c r="X4532" s="1"/>
      <c r="Y4532" s="1"/>
      <c r="Z4532" s="1"/>
      <c r="AA4532" s="1"/>
      <c r="AB4532" s="1"/>
    </row>
    <row r="4533" ht="50.25" customHeight="1">
      <c r="A4533" s="12">
        <v>4529.0</v>
      </c>
      <c r="B4533" s="13" t="s">
        <v>4379</v>
      </c>
      <c r="C4533" s="14" t="s">
        <v>4552</v>
      </c>
      <c r="D4533" s="1"/>
      <c r="E4533" s="1"/>
      <c r="F4533" s="1" t="str">
        <f>IFERROR(__xludf.DUMMYFUNCTION("GOOGLETRANSLATE(B4533, ""en"", ""fa"")
"),"مشاوره دوستیابی")</f>
        <v>مشاوره دوستیابی</v>
      </c>
      <c r="G4533" s="1" t="str">
        <f>IFERROR(__xludf.DUMMYFUNCTION("GOOGLETRANSLATE(C4533, ""en"", ""fa"")
"),"چند تکنیک برای ثبت لحظات صادقانه و واقعی در عکس های پروفایل من چیست؟")</f>
        <v>چند تکنیک برای ثبت لحظات صادقانه و واقعی در عکس های پروفایل من چیست؟</v>
      </c>
      <c r="H4533" s="1"/>
      <c r="I4533" s="1"/>
      <c r="J4533" s="1"/>
      <c r="K4533" s="1"/>
      <c r="L4533" s="1"/>
      <c r="M4533" s="1"/>
      <c r="N4533" s="1"/>
      <c r="O4533" s="1"/>
      <c r="P4533" s="1"/>
      <c r="Q4533" s="1"/>
      <c r="R4533" s="1"/>
      <c r="S4533" s="1"/>
      <c r="T4533" s="1"/>
      <c r="U4533" s="1"/>
      <c r="V4533" s="1"/>
      <c r="W4533" s="1"/>
      <c r="X4533" s="1"/>
      <c r="Y4533" s="1"/>
      <c r="Z4533" s="1"/>
      <c r="AA4533" s="1"/>
      <c r="AB4533" s="1"/>
    </row>
    <row r="4534" ht="50.25" customHeight="1">
      <c r="A4534" s="12">
        <v>4530.0</v>
      </c>
      <c r="B4534" s="13" t="s">
        <v>4379</v>
      </c>
      <c r="C4534" s="14" t="s">
        <v>4553</v>
      </c>
      <c r="D4534" s="1"/>
      <c r="E4534" s="1"/>
      <c r="F4534" s="1" t="str">
        <f>IFERROR(__xludf.DUMMYFUNCTION("GOOGLETRANSLATE(B4534, ""en"", ""fa"")
"),"مشاوره دوستیابی")</f>
        <v>مشاوره دوستیابی</v>
      </c>
      <c r="G4534" s="1" t="str">
        <f>IFERROR(__xludf.DUMMYFUNCTION("GOOGLETRANSLATE(C4534, ""en"", ""fa"")
"),"چگونه می توانم مطمئن شوم که عکس های نمایه من از نظر کیفیت و سبک سازگار هستند؟")</f>
        <v>چگونه می توانم مطمئن شوم که عکس های نمایه من از نظر کیفیت و سبک سازگار هستند؟</v>
      </c>
      <c r="H4534" s="1"/>
      <c r="I4534" s="1"/>
      <c r="J4534" s="1"/>
      <c r="K4534" s="1"/>
      <c r="L4534" s="1"/>
      <c r="M4534" s="1"/>
      <c r="N4534" s="1"/>
      <c r="O4534" s="1"/>
      <c r="P4534" s="1"/>
      <c r="Q4534" s="1"/>
      <c r="R4534" s="1"/>
      <c r="S4534" s="1"/>
      <c r="T4534" s="1"/>
      <c r="U4534" s="1"/>
      <c r="V4534" s="1"/>
      <c r="W4534" s="1"/>
      <c r="X4534" s="1"/>
      <c r="Y4534" s="1"/>
      <c r="Z4534" s="1"/>
      <c r="AA4534" s="1"/>
      <c r="AB4534" s="1"/>
    </row>
    <row r="4535" ht="50.25" customHeight="1">
      <c r="A4535" s="12">
        <v>4531.0</v>
      </c>
      <c r="B4535" s="13" t="s">
        <v>4379</v>
      </c>
      <c r="C4535" s="14" t="s">
        <v>4554</v>
      </c>
      <c r="D4535" s="1"/>
      <c r="E4535" s="1"/>
      <c r="F4535" s="1" t="str">
        <f>IFERROR(__xludf.DUMMYFUNCTION("GOOGLETRANSLATE(B4535, ""en"", ""fa"")
"),"مشاوره دوستیابی")</f>
        <v>مشاوره دوستیابی</v>
      </c>
      <c r="G4535" s="1" t="str">
        <f>IFERROR(__xludf.DUMMYFUNCTION("GOOGLETRANSLATE(C4535, ""en"", ""fa"")
"),"چند استراتژی برای انتخاب لباس و آرایش مناسب برای عکس پروفایل من چیست؟")</f>
        <v>چند استراتژی برای انتخاب لباس و آرایش مناسب برای عکس پروفایل من چیست؟</v>
      </c>
      <c r="H4535" s="1"/>
      <c r="I4535" s="1"/>
      <c r="J4535" s="1"/>
      <c r="K4535" s="1"/>
      <c r="L4535" s="1"/>
      <c r="M4535" s="1"/>
      <c r="N4535" s="1"/>
      <c r="O4535" s="1"/>
      <c r="P4535" s="1"/>
      <c r="Q4535" s="1"/>
      <c r="R4535" s="1"/>
      <c r="S4535" s="1"/>
      <c r="T4535" s="1"/>
      <c r="U4535" s="1"/>
      <c r="V4535" s="1"/>
      <c r="W4535" s="1"/>
      <c r="X4535" s="1"/>
      <c r="Y4535" s="1"/>
      <c r="Z4535" s="1"/>
      <c r="AA4535" s="1"/>
      <c r="AB4535" s="1"/>
    </row>
    <row r="4536" ht="50.25" customHeight="1">
      <c r="A4536" s="12">
        <v>4532.0</v>
      </c>
      <c r="B4536" s="13" t="s">
        <v>4379</v>
      </c>
      <c r="C4536" s="14" t="s">
        <v>4555</v>
      </c>
      <c r="D4536" s="1"/>
      <c r="E4536" s="1"/>
      <c r="F4536" s="1" t="str">
        <f>IFERROR(__xludf.DUMMYFUNCTION("GOOGLETRANSLATE(B4536, ""en"", ""fa"")
"),"مشاوره دوستیابی")</f>
        <v>مشاوره دوستیابی</v>
      </c>
      <c r="G4536" s="1" t="str">
        <f>IFERROR(__xludf.DUMMYFUNCTION("GOOGLETRANSLATE(C4536, ""en"", ""fa"")
"),"چگونه می توانم از وسایل یا لوازم جانبی برای اضافه کردن شخصیت و جذابیت به عکس های نمایه خود استفاده کنم؟")</f>
        <v>چگونه می توانم از وسایل یا لوازم جانبی برای اضافه کردن شخصیت و جذابیت به عکس های نمایه خود استفاده کنم؟</v>
      </c>
      <c r="H4536" s="1"/>
      <c r="I4536" s="1"/>
      <c r="J4536" s="1"/>
      <c r="K4536" s="1"/>
      <c r="L4536" s="1"/>
      <c r="M4536" s="1"/>
      <c r="N4536" s="1"/>
      <c r="O4536" s="1"/>
      <c r="P4536" s="1"/>
      <c r="Q4536" s="1"/>
      <c r="R4536" s="1"/>
      <c r="S4536" s="1"/>
      <c r="T4536" s="1"/>
      <c r="U4536" s="1"/>
      <c r="V4536" s="1"/>
      <c r="W4536" s="1"/>
      <c r="X4536" s="1"/>
      <c r="Y4536" s="1"/>
      <c r="Z4536" s="1"/>
      <c r="AA4536" s="1"/>
      <c r="AB4536" s="1"/>
    </row>
    <row r="4537" ht="50.25" customHeight="1">
      <c r="A4537" s="12">
        <v>4533.0</v>
      </c>
      <c r="B4537" s="13" t="s">
        <v>4379</v>
      </c>
      <c r="C4537" s="14" t="s">
        <v>4556</v>
      </c>
      <c r="D4537" s="1"/>
      <c r="E4537" s="1"/>
      <c r="F4537" s="1" t="str">
        <f>IFERROR(__xludf.DUMMYFUNCTION("GOOGLETRANSLATE(B4537, ""en"", ""fa"")
"),"مشاوره دوستیابی")</f>
        <v>مشاوره دوستیابی</v>
      </c>
      <c r="G4537" s="1" t="str">
        <f>IFERROR(__xludf.DUMMYFUNCTION("GOOGLETRANSLATE(C4537, ""en"", ""fa"")
"),"چند نکته برای انتخاب عکس های پروفایل که احساسات مثبت را برانگیخته و مطابق بالقوه را جذب می کند چیست؟")</f>
        <v>چند نکته برای انتخاب عکس های پروفایل که احساسات مثبت را برانگیخته و مطابق بالقوه را جذب می کند چیست؟</v>
      </c>
      <c r="H4537" s="1"/>
      <c r="I4537" s="1"/>
      <c r="J4537" s="1"/>
      <c r="K4537" s="1"/>
      <c r="L4537" s="1"/>
      <c r="M4537" s="1"/>
      <c r="N4537" s="1"/>
      <c r="O4537" s="1"/>
      <c r="P4537" s="1"/>
      <c r="Q4537" s="1"/>
      <c r="R4537" s="1"/>
      <c r="S4537" s="1"/>
      <c r="T4537" s="1"/>
      <c r="U4537" s="1"/>
      <c r="V4537" s="1"/>
      <c r="W4537" s="1"/>
      <c r="X4537" s="1"/>
      <c r="Y4537" s="1"/>
      <c r="Z4537" s="1"/>
      <c r="AA4537" s="1"/>
      <c r="AB4537" s="1"/>
    </row>
    <row r="4538" ht="50.25" customHeight="1">
      <c r="A4538" s="12">
        <v>4534.0</v>
      </c>
      <c r="B4538" s="13" t="s">
        <v>4379</v>
      </c>
      <c r="C4538" s="14" t="s">
        <v>4557</v>
      </c>
      <c r="D4538" s="1"/>
      <c r="E4538" s="1"/>
      <c r="F4538" s="1" t="str">
        <f>IFERROR(__xludf.DUMMYFUNCTION("GOOGLETRANSLATE(B4538, ""en"", ""fa"")
"),"مشاوره دوستیابی")</f>
        <v>مشاوره دوستیابی</v>
      </c>
      <c r="G4538" s="1" t="str">
        <f>IFERROR(__xludf.DUMMYFUNCTION("GOOGLETRANSLATE(C4538, ""en"", ""fa"")
"),"چگونه می توانم حس ماجراجویی یا اشتیاق را در عکس های نمایه خود بگنجانم تا علاقه را برانگیزم؟")</f>
        <v>چگونه می توانم حس ماجراجویی یا اشتیاق را در عکس های نمایه خود بگنجانم تا علاقه را برانگیزم؟</v>
      </c>
      <c r="H4538" s="1"/>
      <c r="I4538" s="1"/>
      <c r="J4538" s="1"/>
      <c r="K4538" s="1"/>
      <c r="L4538" s="1"/>
      <c r="M4538" s="1"/>
      <c r="N4538" s="1"/>
      <c r="O4538" s="1"/>
      <c r="P4538" s="1"/>
      <c r="Q4538" s="1"/>
      <c r="R4538" s="1"/>
      <c r="S4538" s="1"/>
      <c r="T4538" s="1"/>
      <c r="U4538" s="1"/>
      <c r="V4538" s="1"/>
      <c r="W4538" s="1"/>
      <c r="X4538" s="1"/>
      <c r="Y4538" s="1"/>
      <c r="Z4538" s="1"/>
      <c r="AA4538" s="1"/>
      <c r="AB4538" s="1"/>
    </row>
    <row r="4539" ht="50.25" customHeight="1">
      <c r="A4539" s="12">
        <v>4535.0</v>
      </c>
      <c r="B4539" s="13" t="s">
        <v>4379</v>
      </c>
      <c r="C4539" s="14" t="s">
        <v>4558</v>
      </c>
      <c r="D4539" s="1"/>
      <c r="E4539" s="1"/>
      <c r="F4539" s="1" t="str">
        <f>IFERROR(__xludf.DUMMYFUNCTION("GOOGLETRANSLATE(B4539, ""en"", ""fa"")
"),"مشاوره دوستیابی")</f>
        <v>مشاوره دوستیابی</v>
      </c>
      <c r="G4539" s="1" t="str">
        <f>IFERROR(__xludf.DUMMYFUNCTION("GOOGLETRANSLATE(C4539, ""en"", ""fa"")
"),"برای قرار دادن عکس های گروهی در نمایه من چه بایدها و نبایدهایی وجود دارد؟")</f>
        <v>برای قرار دادن عکس های گروهی در نمایه من چه بایدها و نبایدهایی وجود دارد؟</v>
      </c>
      <c r="H4539" s="1"/>
      <c r="I4539" s="1"/>
      <c r="J4539" s="1"/>
      <c r="K4539" s="1"/>
      <c r="L4539" s="1"/>
      <c r="M4539" s="1"/>
      <c r="N4539" s="1"/>
      <c r="O4539" s="1"/>
      <c r="P4539" s="1"/>
      <c r="Q4539" s="1"/>
      <c r="R4539" s="1"/>
      <c r="S4539" s="1"/>
      <c r="T4539" s="1"/>
      <c r="U4539" s="1"/>
      <c r="V4539" s="1"/>
      <c r="W4539" s="1"/>
      <c r="X4539" s="1"/>
      <c r="Y4539" s="1"/>
      <c r="Z4539" s="1"/>
      <c r="AA4539" s="1"/>
      <c r="AB4539" s="1"/>
    </row>
    <row r="4540" ht="50.25" customHeight="1">
      <c r="A4540" s="12">
        <v>4536.0</v>
      </c>
      <c r="B4540" s="13" t="s">
        <v>4379</v>
      </c>
      <c r="C4540" s="14" t="s">
        <v>4559</v>
      </c>
      <c r="D4540" s="1"/>
      <c r="E4540" s="1"/>
      <c r="F4540" s="1" t="str">
        <f>IFERROR(__xludf.DUMMYFUNCTION("GOOGLETRANSLATE(B4540, ""en"", ""fa"")
"),"مشاوره دوستیابی")</f>
        <v>مشاوره دوستیابی</v>
      </c>
      <c r="G4540" s="1" t="str">
        <f>IFERROR(__xludf.DUMMYFUNCTION("GOOGLETRANSLATE(C4540, ""en"", ""fa"")
"),"چگونه می توانم مطمئن شوم که عکس های نمایه من با نمایه کلی دوستیابی و برند شخصی من مطابقت دارد؟")</f>
        <v>چگونه می توانم مطمئن شوم که عکس های نمایه من با نمایه کلی دوستیابی و برند شخصی من مطابقت دارد؟</v>
      </c>
      <c r="H4540" s="1"/>
      <c r="I4540" s="1"/>
      <c r="J4540" s="1"/>
      <c r="K4540" s="1"/>
      <c r="L4540" s="1"/>
      <c r="M4540" s="1"/>
      <c r="N4540" s="1"/>
      <c r="O4540" s="1"/>
      <c r="P4540" s="1"/>
      <c r="Q4540" s="1"/>
      <c r="R4540" s="1"/>
      <c r="S4540" s="1"/>
      <c r="T4540" s="1"/>
      <c r="U4540" s="1"/>
      <c r="V4540" s="1"/>
      <c r="W4540" s="1"/>
      <c r="X4540" s="1"/>
      <c r="Y4540" s="1"/>
      <c r="Z4540" s="1"/>
      <c r="AA4540" s="1"/>
      <c r="AB4540" s="1"/>
    </row>
    <row r="4541" ht="50.25" customHeight="1">
      <c r="A4541" s="12">
        <v>4537.0</v>
      </c>
      <c r="B4541" s="13" t="s">
        <v>4379</v>
      </c>
      <c r="C4541" s="14" t="s">
        <v>4560</v>
      </c>
      <c r="D4541" s="1"/>
      <c r="E4541" s="1"/>
      <c r="F4541" s="1" t="str">
        <f>IFERROR(__xludf.DUMMYFUNCTION("GOOGLETRANSLATE(B4541, ""en"", ""fa"")
"),"مشاوره دوستیابی")</f>
        <v>مشاوره دوستیابی</v>
      </c>
      <c r="G4541" s="1" t="str">
        <f>IFERROR(__xludf.DUMMYFUNCTION("GOOGLETRANSLATE(C4541, ""en"", ""fa"")
"),"چند تکنیک برای ثبت زوایای و ژست های چاپلوس در عکس های پروفایل من چیست؟")</f>
        <v>چند تکنیک برای ثبت زوایای و ژست های چاپلوس در عکس های پروفایل من چیست؟</v>
      </c>
      <c r="H4541" s="1"/>
      <c r="I4541" s="1"/>
      <c r="J4541" s="1"/>
      <c r="K4541" s="1"/>
      <c r="L4541" s="1"/>
      <c r="M4541" s="1"/>
      <c r="N4541" s="1"/>
      <c r="O4541" s="1"/>
      <c r="P4541" s="1"/>
      <c r="Q4541" s="1"/>
      <c r="R4541" s="1"/>
      <c r="S4541" s="1"/>
      <c r="T4541" s="1"/>
      <c r="U4541" s="1"/>
      <c r="V4541" s="1"/>
      <c r="W4541" s="1"/>
      <c r="X4541" s="1"/>
      <c r="Y4541" s="1"/>
      <c r="Z4541" s="1"/>
      <c r="AA4541" s="1"/>
      <c r="AB4541" s="1"/>
    </row>
    <row r="4542" ht="50.25" customHeight="1">
      <c r="A4542" s="12">
        <v>4538.0</v>
      </c>
      <c r="B4542" s="13" t="s">
        <v>4379</v>
      </c>
      <c r="C4542" s="14" t="s">
        <v>4561</v>
      </c>
      <c r="D4542" s="1"/>
      <c r="E4542" s="1"/>
      <c r="F4542" s="1" t="str">
        <f>IFERROR(__xludf.DUMMYFUNCTION("GOOGLETRANSLATE(B4542, ""en"", ""fa"")
"),"مشاوره دوستیابی")</f>
        <v>مشاوره دوستیابی</v>
      </c>
      <c r="G4542" s="1" t="str">
        <f>IFERROR(__xludf.DUMMYFUNCTION("GOOGLETRANSLATE(C4542, ""en"", ""fa"")
"),"چگونه می‌توانم از داستان‌گویی از طریق عکس‌های نمایه‌ام استفاده کنم تا منطبق‌های بالقوه را به زندگی‌ام نگاه کنم؟")</f>
        <v>چگونه می‌توانم از داستان‌گویی از طریق عکس‌های نمایه‌ام استفاده کنم تا منطبق‌های بالقوه را به زندگی‌ام نگاه کنم؟</v>
      </c>
      <c r="H4542" s="1"/>
      <c r="I4542" s="1"/>
      <c r="J4542" s="1"/>
      <c r="K4542" s="1"/>
      <c r="L4542" s="1"/>
      <c r="M4542" s="1"/>
      <c r="N4542" s="1"/>
      <c r="O4542" s="1"/>
      <c r="P4542" s="1"/>
      <c r="Q4542" s="1"/>
      <c r="R4542" s="1"/>
      <c r="S4542" s="1"/>
      <c r="T4542" s="1"/>
      <c r="U4542" s="1"/>
      <c r="V4542" s="1"/>
      <c r="W4542" s="1"/>
      <c r="X4542" s="1"/>
      <c r="Y4542" s="1"/>
      <c r="Z4542" s="1"/>
      <c r="AA4542" s="1"/>
      <c r="AB4542" s="1"/>
    </row>
    <row r="4543" ht="50.25" customHeight="1">
      <c r="A4543" s="12">
        <v>4539.0</v>
      </c>
      <c r="B4543" s="13" t="s">
        <v>4379</v>
      </c>
      <c r="C4543" s="14" t="s">
        <v>4562</v>
      </c>
      <c r="D4543" s="1"/>
      <c r="E4543" s="1"/>
      <c r="F4543" s="1" t="str">
        <f>IFERROR(__xludf.DUMMYFUNCTION("GOOGLETRANSLATE(B4543, ""en"", ""fa"")
"),"مشاوره دوستیابی")</f>
        <v>مشاوره دوستیابی</v>
      </c>
      <c r="G4543" s="1" t="str">
        <f>IFERROR(__xludf.DUMMYFUNCTION("GOOGLETRANSLATE(C4543, ""en"", ""fa"")
"),"چند نکته برای انتخاب عکس های نمایه که ارزش ها و ویژگی های شخصیتی من را نشان می دهند چیست؟")</f>
        <v>چند نکته برای انتخاب عکس های نمایه که ارزش ها و ویژگی های شخصیتی من را نشان می دهند چیست؟</v>
      </c>
      <c r="H4543" s="1"/>
      <c r="I4543" s="1"/>
      <c r="J4543" s="1"/>
      <c r="K4543" s="1"/>
      <c r="L4543" s="1"/>
      <c r="M4543" s="1"/>
      <c r="N4543" s="1"/>
      <c r="O4543" s="1"/>
      <c r="P4543" s="1"/>
      <c r="Q4543" s="1"/>
      <c r="R4543" s="1"/>
      <c r="S4543" s="1"/>
      <c r="T4543" s="1"/>
      <c r="U4543" s="1"/>
      <c r="V4543" s="1"/>
      <c r="W4543" s="1"/>
      <c r="X4543" s="1"/>
      <c r="Y4543" s="1"/>
      <c r="Z4543" s="1"/>
      <c r="AA4543" s="1"/>
      <c r="AB4543" s="1"/>
    </row>
    <row r="4544" ht="50.25" customHeight="1">
      <c r="A4544" s="12">
        <v>4540.0</v>
      </c>
      <c r="B4544" s="13" t="s">
        <v>4379</v>
      </c>
      <c r="C4544" s="14" t="s">
        <v>4563</v>
      </c>
      <c r="D4544" s="1"/>
      <c r="E4544" s="1"/>
      <c r="F4544" s="1" t="str">
        <f>IFERROR(__xludf.DUMMYFUNCTION("GOOGLETRANSLATE(B4544, ""en"", ""fa"")
"),"مشاوره دوستیابی")</f>
        <v>مشاوره دوستیابی</v>
      </c>
      <c r="G4544" s="1" t="str">
        <f>IFERROR(__xludf.DUMMYFUNCTION("GOOGLETRANSLATE(C4544, ""en"", ""fa"")
"),"چگونه می توانم مجموعه ای متنوع و کامل از عکس های پروفایل ایجاد کنم که جنبه های مختلف زندگی من را به نمایش بگذارد؟")</f>
        <v>چگونه می توانم مجموعه ای متنوع و کامل از عکس های پروفایل ایجاد کنم که جنبه های مختلف زندگی من را به نمایش بگذارد؟</v>
      </c>
      <c r="H4544" s="1"/>
      <c r="I4544" s="1"/>
      <c r="J4544" s="1"/>
      <c r="K4544" s="1"/>
      <c r="L4544" s="1"/>
      <c r="M4544" s="1"/>
      <c r="N4544" s="1"/>
      <c r="O4544" s="1"/>
      <c r="P4544" s="1"/>
      <c r="Q4544" s="1"/>
      <c r="R4544" s="1"/>
      <c r="S4544" s="1"/>
      <c r="T4544" s="1"/>
      <c r="U4544" s="1"/>
      <c r="V4544" s="1"/>
      <c r="W4544" s="1"/>
      <c r="X4544" s="1"/>
      <c r="Y4544" s="1"/>
      <c r="Z4544" s="1"/>
      <c r="AA4544" s="1"/>
      <c r="AB4544" s="1"/>
    </row>
    <row r="4545" ht="50.25" customHeight="1">
      <c r="A4545" s="12">
        <v>4541.0</v>
      </c>
      <c r="B4545" s="13" t="s">
        <v>4379</v>
      </c>
      <c r="C4545" s="14" t="s">
        <v>4564</v>
      </c>
      <c r="D4545" s="1"/>
      <c r="E4545" s="1"/>
      <c r="F4545" s="1" t="str">
        <f>IFERROR(__xludf.DUMMYFUNCTION("GOOGLETRANSLATE(B4545, ""en"", ""fa"")
"),"مشاوره دوستیابی")</f>
        <v>مشاوره دوستیابی</v>
      </c>
      <c r="G4545" s="1" t="str">
        <f>IFERROR(__xludf.DUMMYFUNCTION("GOOGLETRANSLATE(C4545, ""en"", ""fa"")
"),"چند استراتژی برای گرفتن عکس های پروفایل که حس اعتماد به نفس و اعتماد به نفس را منتقل می کند چیست؟")</f>
        <v>چند استراتژی برای گرفتن عکس های پروفایل که حس اعتماد به نفس و اعتماد به نفس را منتقل می کند چیست؟</v>
      </c>
      <c r="H4545" s="1"/>
      <c r="I4545" s="1"/>
      <c r="J4545" s="1"/>
      <c r="K4545" s="1"/>
      <c r="L4545" s="1"/>
      <c r="M4545" s="1"/>
      <c r="N4545" s="1"/>
      <c r="O4545" s="1"/>
      <c r="P4545" s="1"/>
      <c r="Q4545" s="1"/>
      <c r="R4545" s="1"/>
      <c r="S4545" s="1"/>
      <c r="T4545" s="1"/>
      <c r="U4545" s="1"/>
      <c r="V4545" s="1"/>
      <c r="W4545" s="1"/>
      <c r="X4545" s="1"/>
      <c r="Y4545" s="1"/>
      <c r="Z4545" s="1"/>
      <c r="AA4545" s="1"/>
      <c r="AB4545" s="1"/>
    </row>
    <row r="4546" ht="50.25" customHeight="1">
      <c r="A4546" s="12">
        <v>4542.0</v>
      </c>
      <c r="B4546" s="13" t="s">
        <v>4379</v>
      </c>
      <c r="C4546" s="14" t="s">
        <v>4565</v>
      </c>
      <c r="D4546" s="1"/>
      <c r="E4546" s="1"/>
      <c r="F4546" s="1" t="str">
        <f>IFERROR(__xludf.DUMMYFUNCTION("GOOGLETRANSLATE(B4546, ""en"", ""fa"")
"),"مشاوره دوستیابی")</f>
        <v>مشاوره دوستیابی</v>
      </c>
      <c r="G4546" s="1" t="str">
        <f>IFERROR(__xludf.DUMMYFUNCTION("GOOGLETRANSLATE(C4546, ""en"", ""fa"")
"),"چگونه می توانم از دیدگاه ها و ترکیب بندی های مختلف برای افزودن عمق و علاقه بصری به عکس های نمایه خود استفاده کنم؟")</f>
        <v>چگونه می توانم از دیدگاه ها و ترکیب بندی های مختلف برای افزودن عمق و علاقه بصری به عکس های نمایه خود استفاده کنم؟</v>
      </c>
      <c r="H4546" s="1"/>
      <c r="I4546" s="1"/>
      <c r="J4546" s="1"/>
      <c r="K4546" s="1"/>
      <c r="L4546" s="1"/>
      <c r="M4546" s="1"/>
      <c r="N4546" s="1"/>
      <c r="O4546" s="1"/>
      <c r="P4546" s="1"/>
      <c r="Q4546" s="1"/>
      <c r="R4546" s="1"/>
      <c r="S4546" s="1"/>
      <c r="T4546" s="1"/>
      <c r="U4546" s="1"/>
      <c r="V4546" s="1"/>
      <c r="W4546" s="1"/>
      <c r="X4546" s="1"/>
      <c r="Y4546" s="1"/>
      <c r="Z4546" s="1"/>
      <c r="AA4546" s="1"/>
      <c r="AB4546" s="1"/>
    </row>
    <row r="4547" ht="50.25" customHeight="1">
      <c r="A4547" s="12">
        <v>4543.0</v>
      </c>
      <c r="B4547" s="13" t="s">
        <v>4379</v>
      </c>
      <c r="C4547" s="14" t="s">
        <v>4566</v>
      </c>
      <c r="D4547" s="1"/>
      <c r="E4547" s="1"/>
      <c r="F4547" s="1" t="str">
        <f>IFERROR(__xludf.DUMMYFUNCTION("GOOGLETRANSLATE(B4547, ""en"", ""fa"")
"),"مشاوره دوستیابی")</f>
        <v>مشاوره دوستیابی</v>
      </c>
      <c r="G4547" s="1" t="str">
        <f>IFERROR(__xludf.DUMMYFUNCTION("GOOGLETRANSLATE(C4547, ""en"", ""fa"")
"),"برای انتخاب عکس های نمایه که نوع مناسبی از توجه را به خود جلب می کند، بایدها و نبایدها چیست؟")</f>
        <v>برای انتخاب عکس های نمایه که نوع مناسبی از توجه را به خود جلب می کند، بایدها و نبایدها چیست؟</v>
      </c>
      <c r="H4547" s="1"/>
      <c r="I4547" s="1"/>
      <c r="J4547" s="1"/>
      <c r="K4547" s="1"/>
      <c r="L4547" s="1"/>
      <c r="M4547" s="1"/>
      <c r="N4547" s="1"/>
      <c r="O4547" s="1"/>
      <c r="P4547" s="1"/>
      <c r="Q4547" s="1"/>
      <c r="R4547" s="1"/>
      <c r="S4547" s="1"/>
      <c r="T4547" s="1"/>
      <c r="U4547" s="1"/>
      <c r="V4547" s="1"/>
      <c r="W4547" s="1"/>
      <c r="X4547" s="1"/>
      <c r="Y4547" s="1"/>
      <c r="Z4547" s="1"/>
      <c r="AA4547" s="1"/>
      <c r="AB4547" s="1"/>
    </row>
    <row r="4548" ht="50.25" customHeight="1">
      <c r="A4548" s="12">
        <v>4544.0</v>
      </c>
      <c r="B4548" s="13" t="s">
        <v>4379</v>
      </c>
      <c r="C4548" s="14" t="s">
        <v>4567</v>
      </c>
      <c r="D4548" s="1"/>
      <c r="E4548" s="1"/>
      <c r="F4548" s="1" t="str">
        <f>IFERROR(__xludf.DUMMYFUNCTION("GOOGLETRANSLATE(B4548, ""en"", ""fa"")
"),"مشاوره دوستیابی")</f>
        <v>مشاوره دوستیابی</v>
      </c>
      <c r="G4548" s="1" t="str">
        <f>IFERROR(__xludf.DUMMYFUNCTION("GOOGLETRANSLATE(C4548, ""en"", ""fa"")
"),"چگونه می‌توانم عکس‌های نمایه‌ای را انتخاب کنم که برای جمعیت هدف من جذاب باشد و با موارد بالقوه منطبق باشد؟")</f>
        <v>چگونه می‌توانم عکس‌های نمایه‌ای را انتخاب کنم که برای جمعیت هدف من جذاب باشد و با موارد بالقوه منطبق باشد؟</v>
      </c>
      <c r="H4548" s="1"/>
      <c r="I4548" s="1"/>
      <c r="J4548" s="1"/>
      <c r="K4548" s="1"/>
      <c r="L4548" s="1"/>
      <c r="M4548" s="1"/>
      <c r="N4548" s="1"/>
      <c r="O4548" s="1"/>
      <c r="P4548" s="1"/>
      <c r="Q4548" s="1"/>
      <c r="R4548" s="1"/>
      <c r="S4548" s="1"/>
      <c r="T4548" s="1"/>
      <c r="U4548" s="1"/>
      <c r="V4548" s="1"/>
      <c r="W4548" s="1"/>
      <c r="X4548" s="1"/>
      <c r="Y4548" s="1"/>
      <c r="Z4548" s="1"/>
      <c r="AA4548" s="1"/>
      <c r="AB4548" s="1"/>
    </row>
    <row r="4549" ht="50.25" customHeight="1">
      <c r="A4549" s="12">
        <v>4545.0</v>
      </c>
      <c r="B4549" s="13" t="s">
        <v>4379</v>
      </c>
      <c r="C4549" s="14" t="s">
        <v>4568</v>
      </c>
      <c r="D4549" s="1"/>
      <c r="E4549" s="1"/>
      <c r="F4549" s="1" t="str">
        <f>IFERROR(__xludf.DUMMYFUNCTION("GOOGLETRANSLATE(B4549, ""en"", ""fa"")
"),"مشاوره دوستیابی")</f>
        <v>مشاوره دوستیابی</v>
      </c>
      <c r="G4549" s="1" t="str">
        <f>IFERROR(__xludf.DUMMYFUNCTION("GOOGLETRANSLATE(C4549, ""en"", ""fa"")
"),"چند تکنیک برای گرفتن عکس های پروفایل عالی با گوشی هوشمند یا تایمر خودکار چیست؟")</f>
        <v>چند تکنیک برای گرفتن عکس های پروفایل عالی با گوشی هوشمند یا تایمر خودکار چیست؟</v>
      </c>
      <c r="H4549" s="1"/>
      <c r="I4549" s="1"/>
      <c r="J4549" s="1"/>
      <c r="K4549" s="1"/>
      <c r="L4549" s="1"/>
      <c r="M4549" s="1"/>
      <c r="N4549" s="1"/>
      <c r="O4549" s="1"/>
      <c r="P4549" s="1"/>
      <c r="Q4549" s="1"/>
      <c r="R4549" s="1"/>
      <c r="S4549" s="1"/>
      <c r="T4549" s="1"/>
      <c r="U4549" s="1"/>
      <c r="V4549" s="1"/>
      <c r="W4549" s="1"/>
      <c r="X4549" s="1"/>
      <c r="Y4549" s="1"/>
      <c r="Z4549" s="1"/>
      <c r="AA4549" s="1"/>
      <c r="AB4549" s="1"/>
    </row>
    <row r="4550" ht="50.25" customHeight="1">
      <c r="A4550" s="12">
        <v>4546.0</v>
      </c>
      <c r="B4550" s="13" t="s">
        <v>4379</v>
      </c>
      <c r="C4550" s="14" t="s">
        <v>4569</v>
      </c>
      <c r="D4550" s="1"/>
      <c r="E4550" s="1"/>
      <c r="F4550" s="1" t="str">
        <f>IFERROR(__xludf.DUMMYFUNCTION("GOOGLETRANSLATE(B4550, ""en"", ""fa"")
"),"مشاوره دوستیابی")</f>
        <v>مشاوره دوستیابی</v>
      </c>
      <c r="G4550" s="1" t="str">
        <f>IFERROR(__xludf.DUMMYFUNCTION("GOOGLETRANSLATE(C4550, ""en"", ""fa"")
"),"چگونه می توانم از شرح یا توضیحات برای افزودن زمینه و شخصیت به عکس های نمایه خود استفاده کنم؟")</f>
        <v>چگونه می توانم از شرح یا توضیحات برای افزودن زمینه و شخصیت به عکس های نمایه خود استفاده کنم؟</v>
      </c>
      <c r="H4550" s="1"/>
      <c r="I4550" s="1"/>
      <c r="J4550" s="1"/>
      <c r="K4550" s="1"/>
      <c r="L4550" s="1"/>
      <c r="M4550" s="1"/>
      <c r="N4550" s="1"/>
      <c r="O4550" s="1"/>
      <c r="P4550" s="1"/>
      <c r="Q4550" s="1"/>
      <c r="R4550" s="1"/>
      <c r="S4550" s="1"/>
      <c r="T4550" s="1"/>
      <c r="U4550" s="1"/>
      <c r="V4550" s="1"/>
      <c r="W4550" s="1"/>
      <c r="X4550" s="1"/>
      <c r="Y4550" s="1"/>
      <c r="Z4550" s="1"/>
      <c r="AA4550" s="1"/>
      <c r="AB4550" s="1"/>
    </row>
    <row r="4551" ht="50.25" customHeight="1">
      <c r="A4551" s="12">
        <v>4547.0</v>
      </c>
      <c r="B4551" s="13" t="s">
        <v>4379</v>
      </c>
      <c r="C4551" s="14" t="s">
        <v>4570</v>
      </c>
      <c r="D4551" s="1"/>
      <c r="E4551" s="1"/>
      <c r="F4551" s="1" t="str">
        <f>IFERROR(__xludf.DUMMYFUNCTION("GOOGLETRANSLATE(B4551, ""en"", ""fa"")
"),"مشاوره دوستیابی")</f>
        <v>مشاوره دوستیابی</v>
      </c>
      <c r="G4551" s="1" t="str">
        <f>IFERROR(__xludf.DUMMYFUNCTION("GOOGLETRANSLATE(C4551, ""en"", ""fa"")
"),"چه نکاتی برای انتخاب عکس های نمایه وجود دارد که باعث ایجاد حس فتنه و تطابق بالقوه برای کسب اطلاعات بیشتر شود؟")</f>
        <v>چه نکاتی برای انتخاب عکس های نمایه وجود دارد که باعث ایجاد حس فتنه و تطابق بالقوه برای کسب اطلاعات بیشتر شود؟</v>
      </c>
      <c r="H4551" s="1"/>
      <c r="I4551" s="1"/>
      <c r="J4551" s="1"/>
      <c r="K4551" s="1"/>
      <c r="L4551" s="1"/>
      <c r="M4551" s="1"/>
      <c r="N4551" s="1"/>
      <c r="O4551" s="1"/>
      <c r="P4551" s="1"/>
      <c r="Q4551" s="1"/>
      <c r="R4551" s="1"/>
      <c r="S4551" s="1"/>
      <c r="T4551" s="1"/>
      <c r="U4551" s="1"/>
      <c r="V4551" s="1"/>
      <c r="W4551" s="1"/>
      <c r="X4551" s="1"/>
      <c r="Y4551" s="1"/>
      <c r="Z4551" s="1"/>
      <c r="AA4551" s="1"/>
      <c r="AB4551" s="1"/>
    </row>
    <row r="4552" ht="50.25" customHeight="1">
      <c r="A4552" s="12">
        <v>4548.0</v>
      </c>
      <c r="B4552" s="13" t="s">
        <v>4379</v>
      </c>
      <c r="C4552" s="14" t="s">
        <v>4571</v>
      </c>
      <c r="D4552" s="1"/>
      <c r="E4552" s="1"/>
      <c r="F4552" s="1" t="str">
        <f>IFERROR(__xludf.DUMMYFUNCTION("GOOGLETRANSLATE(B4552, ""en"", ""fa"")
"),"مشاوره دوستیابی")</f>
        <v>مشاوره دوستیابی</v>
      </c>
      <c r="G4552" s="1" t="str">
        <f>IFERROR(__xludf.DUMMYFUNCTION("GOOGLETRANSLATE(C4552, ""en"", ""fa"")
"),"چگونه می توانم مطمئن شوم که عکس های نمایه من نشان دهنده دقیق سبک زندگی و علایق من است؟")</f>
        <v>چگونه می توانم مطمئن شوم که عکس های نمایه من نشان دهنده دقیق سبک زندگی و علایق من است؟</v>
      </c>
      <c r="H4552" s="1"/>
      <c r="I4552" s="1"/>
      <c r="J4552" s="1"/>
      <c r="K4552" s="1"/>
      <c r="L4552" s="1"/>
      <c r="M4552" s="1"/>
      <c r="N4552" s="1"/>
      <c r="O4552" s="1"/>
      <c r="P4552" s="1"/>
      <c r="Q4552" s="1"/>
      <c r="R4552" s="1"/>
      <c r="S4552" s="1"/>
      <c r="T4552" s="1"/>
      <c r="U4552" s="1"/>
      <c r="V4552" s="1"/>
      <c r="W4552" s="1"/>
      <c r="X4552" s="1"/>
      <c r="Y4552" s="1"/>
      <c r="Z4552" s="1"/>
      <c r="AA4552" s="1"/>
      <c r="AB4552" s="1"/>
    </row>
    <row r="4553" ht="50.25" customHeight="1">
      <c r="A4553" s="12">
        <v>4549.0</v>
      </c>
      <c r="B4553" s="13" t="s">
        <v>4379</v>
      </c>
      <c r="C4553" s="14" t="s">
        <v>4572</v>
      </c>
      <c r="D4553" s="1"/>
      <c r="E4553" s="1"/>
      <c r="F4553" s="1" t="str">
        <f>IFERROR(__xludf.DUMMYFUNCTION("GOOGLETRANSLATE(B4553, ""en"", ""fa"")
"),"مشاوره دوستیابی")</f>
        <v>مشاوره دوستیابی</v>
      </c>
      <c r="G4553" s="1" t="str">
        <f>IFERROR(__xludf.DUMMYFUNCTION("GOOGLETRANSLATE(C4553, ""en"", ""fa"")
"),"چند استراتژی برای جلوگیری از اشتباهات رایج عکس نمایه که ممکن است مطابقت های احتمالی را خاموش کند، چیست؟")</f>
        <v>چند استراتژی برای جلوگیری از اشتباهات رایج عکس نمایه که ممکن است مطابقت های احتمالی را خاموش کند، چیست؟</v>
      </c>
      <c r="H4553" s="1"/>
      <c r="I4553" s="1"/>
      <c r="J4553" s="1"/>
      <c r="K4553" s="1"/>
      <c r="L4553" s="1"/>
      <c r="M4553" s="1"/>
      <c r="N4553" s="1"/>
      <c r="O4553" s="1"/>
      <c r="P4553" s="1"/>
      <c r="Q4553" s="1"/>
      <c r="R4553" s="1"/>
      <c r="S4553" s="1"/>
      <c r="T4553" s="1"/>
      <c r="U4553" s="1"/>
      <c r="V4553" s="1"/>
      <c r="W4553" s="1"/>
      <c r="X4553" s="1"/>
      <c r="Y4553" s="1"/>
      <c r="Z4553" s="1"/>
      <c r="AA4553" s="1"/>
      <c r="AB4553" s="1"/>
    </row>
    <row r="4554" ht="50.25" customHeight="1">
      <c r="A4554" s="12">
        <v>4550.0</v>
      </c>
      <c r="B4554" s="13" t="s">
        <v>4379</v>
      </c>
      <c r="C4554" s="14" t="s">
        <v>4573</v>
      </c>
      <c r="D4554" s="1"/>
      <c r="E4554" s="1"/>
      <c r="F4554" s="1" t="str">
        <f>IFERROR(__xludf.DUMMYFUNCTION("GOOGLETRANSLATE(B4554, ""en"", ""fa"")
"),"مشاوره دوستیابی")</f>
        <v>مشاوره دوستیابی</v>
      </c>
      <c r="G4554" s="1" t="str">
        <f>IFERROR(__xludf.DUMMYFUNCTION("GOOGLETRANSLATE(C4554, ""en"", ""fa"")
"),"چگونه می توانم از ژست ها و عبارات مختلف برای نشان دادن تطبیق پذیری و دامنه خود در عکس های نمایه خود استفاده کنم؟")</f>
        <v>چگونه می توانم از ژست ها و عبارات مختلف برای نشان دادن تطبیق پذیری و دامنه خود در عکس های نمایه خود استفاده کنم؟</v>
      </c>
      <c r="H4554" s="1"/>
      <c r="I4554" s="1"/>
      <c r="J4554" s="1"/>
      <c r="K4554" s="1"/>
      <c r="L4554" s="1"/>
      <c r="M4554" s="1"/>
      <c r="N4554" s="1"/>
      <c r="O4554" s="1"/>
      <c r="P4554" s="1"/>
      <c r="Q4554" s="1"/>
      <c r="R4554" s="1"/>
      <c r="S4554" s="1"/>
      <c r="T4554" s="1"/>
      <c r="U4554" s="1"/>
      <c r="V4554" s="1"/>
      <c r="W4554" s="1"/>
      <c r="X4554" s="1"/>
      <c r="Y4554" s="1"/>
      <c r="Z4554" s="1"/>
      <c r="AA4554" s="1"/>
      <c r="AB4554" s="1"/>
    </row>
    <row r="4555" ht="50.25" customHeight="1">
      <c r="A4555" s="12">
        <v>4551.0</v>
      </c>
      <c r="B4555" s="13" t="s">
        <v>4379</v>
      </c>
      <c r="C4555" s="14" t="s">
        <v>4574</v>
      </c>
      <c r="D4555" s="1"/>
      <c r="E4555" s="1"/>
      <c r="F4555" s="1" t="str">
        <f>IFERROR(__xludf.DUMMYFUNCTION("GOOGLETRANSLATE(B4555, ""en"", ""fa"")
"),"مشاوره دوستیابی")</f>
        <v>مشاوره دوستیابی</v>
      </c>
      <c r="G4555" s="1" t="str">
        <f>IFERROR(__xludf.DUMMYFUNCTION("GOOGLETRANSLATE(C4555, ""en"", ""fa"")
"),"برای قرار دادن عکس های سفر در نمایه من چه بایدها و نبایدهایی وجود دارد؟")</f>
        <v>برای قرار دادن عکس های سفر در نمایه من چه بایدها و نبایدهایی وجود دارد؟</v>
      </c>
      <c r="H4555" s="1"/>
      <c r="I4555" s="1"/>
      <c r="J4555" s="1"/>
      <c r="K4555" s="1"/>
      <c r="L4555" s="1"/>
      <c r="M4555" s="1"/>
      <c r="N4555" s="1"/>
      <c r="O4555" s="1"/>
      <c r="P4555" s="1"/>
      <c r="Q4555" s="1"/>
      <c r="R4555" s="1"/>
      <c r="S4555" s="1"/>
      <c r="T4555" s="1"/>
      <c r="U4555" s="1"/>
      <c r="V4555" s="1"/>
      <c r="W4555" s="1"/>
      <c r="X4555" s="1"/>
      <c r="Y4555" s="1"/>
      <c r="Z4555" s="1"/>
      <c r="AA4555" s="1"/>
      <c r="AB4555" s="1"/>
    </row>
    <row r="4556" ht="50.25" customHeight="1">
      <c r="A4556" s="12">
        <v>4552.0</v>
      </c>
      <c r="B4556" s="13" t="s">
        <v>4379</v>
      </c>
      <c r="C4556" s="14" t="s">
        <v>4575</v>
      </c>
      <c r="D4556" s="1"/>
      <c r="E4556" s="1"/>
      <c r="F4556" s="1" t="str">
        <f>IFERROR(__xludf.DUMMYFUNCTION("GOOGLETRANSLATE(B4556, ""en"", ""fa"")
"),"مشاوره دوستیابی")</f>
        <v>مشاوره دوستیابی</v>
      </c>
      <c r="G4556" s="1" t="str">
        <f>IFERROR(__xludf.DUMMYFUNCTION("GOOGLETRANSLATE(C4556, ""en"", ""fa"")
"),"چگونه می توانم از داستان سرایی تصویری برای ایجاد یک روایت از طریق عکس های نمایه خود استفاده کنم؟")</f>
        <v>چگونه می توانم از داستان سرایی تصویری برای ایجاد یک روایت از طریق عکس های نمایه خود استفاده کنم؟</v>
      </c>
      <c r="H4556" s="1"/>
      <c r="I4556" s="1"/>
      <c r="J4556" s="1"/>
      <c r="K4556" s="1"/>
      <c r="L4556" s="1"/>
      <c r="M4556" s="1"/>
      <c r="N4556" s="1"/>
      <c r="O4556" s="1"/>
      <c r="P4556" s="1"/>
      <c r="Q4556" s="1"/>
      <c r="R4556" s="1"/>
      <c r="S4556" s="1"/>
      <c r="T4556" s="1"/>
      <c r="U4556" s="1"/>
      <c r="V4556" s="1"/>
      <c r="W4556" s="1"/>
      <c r="X4556" s="1"/>
      <c r="Y4556" s="1"/>
      <c r="Z4556" s="1"/>
      <c r="AA4556" s="1"/>
      <c r="AB4556" s="1"/>
    </row>
    <row r="4557" ht="50.25" customHeight="1">
      <c r="A4557" s="12">
        <v>4553.0</v>
      </c>
      <c r="B4557" s="13" t="s">
        <v>4379</v>
      </c>
      <c r="C4557" s="14" t="s">
        <v>4576</v>
      </c>
      <c r="D4557" s="1"/>
      <c r="E4557" s="1"/>
      <c r="F4557" s="1" t="str">
        <f>IFERROR(__xludf.DUMMYFUNCTION("GOOGLETRANSLATE(B4557, ""en"", ""fa"")
"),"مشاوره دوستیابی")</f>
        <v>مشاوره دوستیابی</v>
      </c>
      <c r="G4557" s="1" t="str">
        <f>IFERROR(__xludf.DUMMYFUNCTION("GOOGLETRANSLATE(C4557, ""en"", ""fa"")
"),"چند تکنیک برای گرفتن عکس های پروفایل که گرما و نزدیک بودن را منتقل می کند چیست؟")</f>
        <v>چند تکنیک برای گرفتن عکس های پروفایل که گرما و نزدیک بودن را منتقل می کند چیست؟</v>
      </c>
      <c r="H4557" s="1"/>
      <c r="I4557" s="1"/>
      <c r="J4557" s="1"/>
      <c r="K4557" s="1"/>
      <c r="L4557" s="1"/>
      <c r="M4557" s="1"/>
      <c r="N4557" s="1"/>
      <c r="O4557" s="1"/>
      <c r="P4557" s="1"/>
      <c r="Q4557" s="1"/>
      <c r="R4557" s="1"/>
      <c r="S4557" s="1"/>
      <c r="T4557" s="1"/>
      <c r="U4557" s="1"/>
      <c r="V4557" s="1"/>
      <c r="W4557" s="1"/>
      <c r="X4557" s="1"/>
      <c r="Y4557" s="1"/>
      <c r="Z4557" s="1"/>
      <c r="AA4557" s="1"/>
      <c r="AB4557" s="1"/>
    </row>
    <row r="4558" ht="50.25" customHeight="1">
      <c r="A4558" s="12">
        <v>4554.0</v>
      </c>
      <c r="B4558" s="13" t="s">
        <v>4379</v>
      </c>
      <c r="C4558" s="14" t="s">
        <v>4577</v>
      </c>
      <c r="D4558" s="1"/>
      <c r="E4558" s="1"/>
      <c r="F4558" s="1" t="str">
        <f>IFERROR(__xludf.DUMMYFUNCTION("GOOGLETRANSLATE(B4558, ""en"", ""fa"")
"),"مشاوره دوستیابی")</f>
        <v>مشاوره دوستیابی</v>
      </c>
      <c r="G4558" s="1" t="str">
        <f>IFERROR(__xludf.DUMMYFUNCTION("GOOGLETRANSLATE(C4558, ""en"", ""fa"")
"),"چگونه می‌توانم عکس‌های نمایه‌ای را انتخاب کنم که با حال و هوا و فضایی که می‌خواهم در نمایه دوستیابی خود ایجاد کنم، همسو باشد؟")</f>
        <v>چگونه می‌توانم عکس‌های نمایه‌ای را انتخاب کنم که با حال و هوا و فضایی که می‌خواهم در نمایه دوستیابی خود ایجاد کنم، همسو باشد؟</v>
      </c>
      <c r="H4558" s="1"/>
      <c r="I4558" s="1"/>
      <c r="J4558" s="1"/>
      <c r="K4558" s="1"/>
      <c r="L4558" s="1"/>
      <c r="M4558" s="1"/>
      <c r="N4558" s="1"/>
      <c r="O4558" s="1"/>
      <c r="P4558" s="1"/>
      <c r="Q4558" s="1"/>
      <c r="R4558" s="1"/>
      <c r="S4558" s="1"/>
      <c r="T4558" s="1"/>
      <c r="U4558" s="1"/>
      <c r="V4558" s="1"/>
      <c r="W4558" s="1"/>
      <c r="X4558" s="1"/>
      <c r="Y4558" s="1"/>
      <c r="Z4558" s="1"/>
      <c r="AA4558" s="1"/>
      <c r="AB4558" s="1"/>
    </row>
    <row r="4559" ht="50.25" customHeight="1">
      <c r="A4559" s="12">
        <v>4555.0</v>
      </c>
      <c r="B4559" s="13" t="s">
        <v>4379</v>
      </c>
      <c r="C4559" s="14" t="s">
        <v>4578</v>
      </c>
      <c r="D4559" s="1"/>
      <c r="E4559" s="1"/>
      <c r="F4559" s="1" t="str">
        <f>IFERROR(__xludf.DUMMYFUNCTION("GOOGLETRANSLATE(B4559, ""en"", ""fa"")
"),"مشاوره دوستیابی")</f>
        <v>مشاوره دوستیابی</v>
      </c>
      <c r="G4559" s="1" t="str">
        <f>IFERROR(__xludf.DUMMYFUNCTION("GOOGLETRANSLATE(C4559, ""en"", ""fa"")
"),"نکاتی برای انتخاب عکس های پروفایل که حس اعتماد و اصالت را ایجاد می کند چیست؟")</f>
        <v>نکاتی برای انتخاب عکس های پروفایل که حس اعتماد و اصالت را ایجاد می کند چیست؟</v>
      </c>
      <c r="H4559" s="1"/>
      <c r="I4559" s="1"/>
      <c r="J4559" s="1"/>
      <c r="K4559" s="1"/>
      <c r="L4559" s="1"/>
      <c r="M4559" s="1"/>
      <c r="N4559" s="1"/>
      <c r="O4559" s="1"/>
      <c r="P4559" s="1"/>
      <c r="Q4559" s="1"/>
      <c r="R4559" s="1"/>
      <c r="S4559" s="1"/>
      <c r="T4559" s="1"/>
      <c r="U4559" s="1"/>
      <c r="V4559" s="1"/>
      <c r="W4559" s="1"/>
      <c r="X4559" s="1"/>
      <c r="Y4559" s="1"/>
      <c r="Z4559" s="1"/>
      <c r="AA4559" s="1"/>
      <c r="AB4559" s="1"/>
    </row>
    <row r="4560" ht="50.25" customHeight="1">
      <c r="A4560" s="12">
        <v>4556.0</v>
      </c>
      <c r="B4560" s="13" t="s">
        <v>4379</v>
      </c>
      <c r="C4560" s="14" t="s">
        <v>4579</v>
      </c>
      <c r="D4560" s="1"/>
      <c r="E4560" s="1"/>
      <c r="F4560" s="1" t="str">
        <f>IFERROR(__xludf.DUMMYFUNCTION("GOOGLETRANSLATE(B4560, ""en"", ""fa"")
"),"مشاوره دوستیابی")</f>
        <v>مشاوره دوستیابی</v>
      </c>
      <c r="G4560" s="1" t="str">
        <f>IFERROR(__xludf.DUMMYFUNCTION("GOOGLETRANSLATE(C4560, ""en"", ""fa"")
"),"چگونه می توانم از عکس ها و جزئیات نزدیک برای اضافه کردن جذابیت و جلب توجه در عکس های نمایه خود استفاده کنم؟")</f>
        <v>چگونه می توانم از عکس ها و جزئیات نزدیک برای اضافه کردن جذابیت و جلب توجه در عکس های نمایه خود استفاده کنم؟</v>
      </c>
      <c r="H4560" s="1"/>
      <c r="I4560" s="1"/>
      <c r="J4560" s="1"/>
      <c r="K4560" s="1"/>
      <c r="L4560" s="1"/>
      <c r="M4560" s="1"/>
      <c r="N4560" s="1"/>
      <c r="O4560" s="1"/>
      <c r="P4560" s="1"/>
      <c r="Q4560" s="1"/>
      <c r="R4560" s="1"/>
      <c r="S4560" s="1"/>
      <c r="T4560" s="1"/>
      <c r="U4560" s="1"/>
      <c r="V4560" s="1"/>
      <c r="W4560" s="1"/>
      <c r="X4560" s="1"/>
      <c r="Y4560" s="1"/>
      <c r="Z4560" s="1"/>
      <c r="AA4560" s="1"/>
      <c r="AB4560" s="1"/>
    </row>
    <row r="4561" ht="50.25" customHeight="1">
      <c r="A4561" s="12">
        <v>4557.0</v>
      </c>
      <c r="B4561" s="13" t="s">
        <v>4379</v>
      </c>
      <c r="C4561" s="14" t="s">
        <v>4580</v>
      </c>
      <c r="D4561" s="1"/>
      <c r="E4561" s="1"/>
      <c r="F4561" s="1" t="str">
        <f>IFERROR(__xludf.DUMMYFUNCTION("GOOGLETRANSLATE(B4561, ""en"", ""fa"")
"),"مشاوره دوستیابی")</f>
        <v>مشاوره دوستیابی</v>
      </c>
      <c r="G4561" s="1" t="str">
        <f>IFERROR(__xludf.DUMMYFUNCTION("GOOGLETRANSLATE(C4561, ""en"", ""fa"")
"),"چند استراتژی برای انتخاب عکس های نمایه ای که حس شوخ طبعی و بازیگوشی من را نشان می دهد چیست؟")</f>
        <v>چند استراتژی برای انتخاب عکس های نمایه ای که حس شوخ طبعی و بازیگوشی من را نشان می دهد چیست؟</v>
      </c>
      <c r="H4561" s="1"/>
      <c r="I4561" s="1"/>
      <c r="J4561" s="1"/>
      <c r="K4561" s="1"/>
      <c r="L4561" s="1"/>
      <c r="M4561" s="1"/>
      <c r="N4561" s="1"/>
      <c r="O4561" s="1"/>
      <c r="P4561" s="1"/>
      <c r="Q4561" s="1"/>
      <c r="R4561" s="1"/>
      <c r="S4561" s="1"/>
      <c r="T4561" s="1"/>
      <c r="U4561" s="1"/>
      <c r="V4561" s="1"/>
      <c r="W4561" s="1"/>
      <c r="X4561" s="1"/>
      <c r="Y4561" s="1"/>
      <c r="Z4561" s="1"/>
      <c r="AA4561" s="1"/>
      <c r="AB4561" s="1"/>
    </row>
    <row r="4562" ht="50.25" customHeight="1">
      <c r="A4562" s="12">
        <v>4558.0</v>
      </c>
      <c r="B4562" s="13" t="s">
        <v>4379</v>
      </c>
      <c r="C4562" s="14" t="s">
        <v>4581</v>
      </c>
      <c r="D4562" s="1"/>
      <c r="E4562" s="1"/>
      <c r="F4562" s="1" t="str">
        <f>IFERROR(__xludf.DUMMYFUNCTION("GOOGLETRANSLATE(B4562, ""en"", ""fa"")
"),"مشاوره دوستیابی")</f>
        <v>مشاوره دوستیابی</v>
      </c>
      <c r="G4562" s="1" t="str">
        <f>IFERROR(__xludf.DUMMYFUNCTION("GOOGLETRANSLATE(C4562, ""en"", ""fa"")
"),"چگونه می توانم علایق و سرگرمی های خود را در عکس های نمایه خود به شیوه ای جذاب بنویسم؟")</f>
        <v>چگونه می توانم علایق و سرگرمی های خود را در عکس های نمایه خود به شیوه ای جذاب بنویسم؟</v>
      </c>
      <c r="H4562" s="1"/>
      <c r="I4562" s="1"/>
      <c r="J4562" s="1"/>
      <c r="K4562" s="1"/>
      <c r="L4562" s="1"/>
      <c r="M4562" s="1"/>
      <c r="N4562" s="1"/>
      <c r="O4562" s="1"/>
      <c r="P4562" s="1"/>
      <c r="Q4562" s="1"/>
      <c r="R4562" s="1"/>
      <c r="S4562" s="1"/>
      <c r="T4562" s="1"/>
      <c r="U4562" s="1"/>
      <c r="V4562" s="1"/>
      <c r="W4562" s="1"/>
      <c r="X4562" s="1"/>
      <c r="Y4562" s="1"/>
      <c r="Z4562" s="1"/>
      <c r="AA4562" s="1"/>
      <c r="AB4562" s="1"/>
    </row>
    <row r="4563" ht="50.25" customHeight="1">
      <c r="A4563" s="12">
        <v>4559.0</v>
      </c>
      <c r="B4563" s="13" t="s">
        <v>4379</v>
      </c>
      <c r="C4563" s="14" t="s">
        <v>4582</v>
      </c>
      <c r="D4563" s="1"/>
      <c r="E4563" s="1"/>
      <c r="F4563" s="1" t="str">
        <f>IFERROR(__xludf.DUMMYFUNCTION("GOOGLETRANSLATE(B4563, ""en"", ""fa"")
"),"مشاوره دوستیابی")</f>
        <v>مشاوره دوستیابی</v>
      </c>
      <c r="G4563" s="1" t="str">
        <f>IFERROR(__xludf.DUMMYFUNCTION("GOOGLETRANSLATE(C4563, ""en"", ""fa"")
"),"برای قرار دادن سلفی های آینه ای در نمایه من چه بایدها و نبایدهایی وجود دارد؟")</f>
        <v>برای قرار دادن سلفی های آینه ای در نمایه من چه بایدها و نبایدهایی وجود دارد؟</v>
      </c>
      <c r="H4563" s="1"/>
      <c r="I4563" s="1"/>
      <c r="J4563" s="1"/>
      <c r="K4563" s="1"/>
      <c r="L4563" s="1"/>
      <c r="M4563" s="1"/>
      <c r="N4563" s="1"/>
      <c r="O4563" s="1"/>
      <c r="P4563" s="1"/>
      <c r="Q4563" s="1"/>
      <c r="R4563" s="1"/>
      <c r="S4563" s="1"/>
      <c r="T4563" s="1"/>
      <c r="U4563" s="1"/>
      <c r="V4563" s="1"/>
      <c r="W4563" s="1"/>
      <c r="X4563" s="1"/>
      <c r="Y4563" s="1"/>
      <c r="Z4563" s="1"/>
      <c r="AA4563" s="1"/>
      <c r="AB4563" s="1"/>
    </row>
    <row r="4564" ht="50.25" customHeight="1">
      <c r="A4564" s="12">
        <v>4560.0</v>
      </c>
      <c r="B4564" s="13" t="s">
        <v>4379</v>
      </c>
      <c r="C4564" s="14" t="s">
        <v>4583</v>
      </c>
      <c r="D4564" s="1"/>
      <c r="E4564" s="1"/>
      <c r="F4564" s="1" t="str">
        <f>IFERROR(__xludf.DUMMYFUNCTION("GOOGLETRANSLATE(B4564, ""en"", ""fa"")
"),"مشاوره دوستیابی")</f>
        <v>مشاوره دوستیابی</v>
      </c>
      <c r="G4564" s="1" t="str">
        <f>IFERROR(__xludf.DUMMYFUNCTION("GOOGLETRANSLATE(C4564, ""en"", ""fa"")
"),"چگونه می توانم از وسایل یا اشیاء مرتبط با علایقم برای بهبود عکس های نمایه خود استفاده کنم؟")</f>
        <v>چگونه می توانم از وسایل یا اشیاء مرتبط با علایقم برای بهبود عکس های نمایه خود استفاده کنم؟</v>
      </c>
      <c r="H4564" s="1"/>
      <c r="I4564" s="1"/>
      <c r="J4564" s="1"/>
      <c r="K4564" s="1"/>
      <c r="L4564" s="1"/>
      <c r="M4564" s="1"/>
      <c r="N4564" s="1"/>
      <c r="O4564" s="1"/>
      <c r="P4564" s="1"/>
      <c r="Q4564" s="1"/>
      <c r="R4564" s="1"/>
      <c r="S4564" s="1"/>
      <c r="T4564" s="1"/>
      <c r="U4564" s="1"/>
      <c r="V4564" s="1"/>
      <c r="W4564" s="1"/>
      <c r="X4564" s="1"/>
      <c r="Y4564" s="1"/>
      <c r="Z4564" s="1"/>
      <c r="AA4564" s="1"/>
      <c r="AB4564" s="1"/>
    </row>
    <row r="4565" ht="50.25" customHeight="1">
      <c r="A4565" s="12">
        <v>4561.0</v>
      </c>
      <c r="B4565" s="13" t="s">
        <v>4379</v>
      </c>
      <c r="C4565" s="14" t="s">
        <v>4584</v>
      </c>
      <c r="D4565" s="1"/>
      <c r="E4565" s="1"/>
      <c r="F4565" s="1" t="str">
        <f>IFERROR(__xludf.DUMMYFUNCTION("GOOGLETRANSLATE(B4565, ""en"", ""fa"")
"),"مشاوره دوستیابی")</f>
        <v>مشاوره دوستیابی</v>
      </c>
      <c r="G4565" s="1" t="str">
        <f>IFERROR(__xludf.DUMMYFUNCTION("GOOGLETRANSLATE(C4565, ""en"", ""fa"")
"),"چند نکته برای انتخاب عکس های پروفایل که حس ماجراجویی و خودانگیختگی را منتقل می کند چیست؟")</f>
        <v>چند نکته برای انتخاب عکس های پروفایل که حس ماجراجویی و خودانگیختگی را منتقل می کند چیست؟</v>
      </c>
      <c r="H4565" s="1"/>
      <c r="I4565" s="1"/>
      <c r="J4565" s="1"/>
      <c r="K4565" s="1"/>
      <c r="L4565" s="1"/>
      <c r="M4565" s="1"/>
      <c r="N4565" s="1"/>
      <c r="O4565" s="1"/>
      <c r="P4565" s="1"/>
      <c r="Q4565" s="1"/>
      <c r="R4565" s="1"/>
      <c r="S4565" s="1"/>
      <c r="T4565" s="1"/>
      <c r="U4565" s="1"/>
      <c r="V4565" s="1"/>
      <c r="W4565" s="1"/>
      <c r="X4565" s="1"/>
      <c r="Y4565" s="1"/>
      <c r="Z4565" s="1"/>
      <c r="AA4565" s="1"/>
      <c r="AB4565" s="1"/>
    </row>
    <row r="4566" ht="50.25" customHeight="1">
      <c r="A4566" s="12">
        <v>4562.0</v>
      </c>
      <c r="B4566" s="13" t="s">
        <v>4379</v>
      </c>
      <c r="C4566" s="14" t="s">
        <v>4585</v>
      </c>
      <c r="D4566" s="1"/>
      <c r="E4566" s="1"/>
      <c r="F4566" s="1" t="str">
        <f>IFERROR(__xludf.DUMMYFUNCTION("GOOGLETRANSLATE(B4566, ""en"", ""fa"")
"),"مشاوره دوستیابی")</f>
        <v>مشاوره دوستیابی</v>
      </c>
      <c r="G4566" s="1" t="str">
        <f>IFERROR(__xludf.DUMMYFUNCTION("GOOGLETRANSLATE(C4566, ""en"", ""fa"")
"),"چگونه می توانم از محیط ها و مکان های مختلف برای ایجاد تنوع و علاقه در عکس های پروفایلم استفاده کنم؟")</f>
        <v>چگونه می توانم از محیط ها و مکان های مختلف برای ایجاد تنوع و علاقه در عکس های پروفایلم استفاده کنم؟</v>
      </c>
      <c r="H4566" s="1"/>
      <c r="I4566" s="1"/>
      <c r="J4566" s="1"/>
      <c r="K4566" s="1"/>
      <c r="L4566" s="1"/>
      <c r="M4566" s="1"/>
      <c r="N4566" s="1"/>
      <c r="O4566" s="1"/>
      <c r="P4566" s="1"/>
      <c r="Q4566" s="1"/>
      <c r="R4566" s="1"/>
      <c r="S4566" s="1"/>
      <c r="T4566" s="1"/>
      <c r="U4566" s="1"/>
      <c r="V4566" s="1"/>
      <c r="W4566" s="1"/>
      <c r="X4566" s="1"/>
      <c r="Y4566" s="1"/>
      <c r="Z4566" s="1"/>
      <c r="AA4566" s="1"/>
      <c r="AB4566" s="1"/>
    </row>
    <row r="4567" ht="50.25" customHeight="1">
      <c r="A4567" s="12">
        <v>4563.0</v>
      </c>
      <c r="B4567" s="13" t="s">
        <v>4379</v>
      </c>
      <c r="C4567" s="14" t="s">
        <v>4586</v>
      </c>
      <c r="D4567" s="1"/>
      <c r="E4567" s="1"/>
      <c r="F4567" s="1" t="str">
        <f>IFERROR(__xludf.DUMMYFUNCTION("GOOGLETRANSLATE(B4567, ""en"", ""fa"")
"),"مشاوره دوستیابی")</f>
        <v>مشاوره دوستیابی</v>
      </c>
      <c r="G4567" s="1" t="str">
        <f>IFERROR(__xludf.DUMMYFUNCTION("GOOGLETRANSLATE(C4567, ""en"", ""fa"")
"),"چند تکنیک برای گرفتن عکس های پروفایل که احساسات مثبت را برانگیخته و مطابق بالقوه را جذب می کند چیست؟")</f>
        <v>چند تکنیک برای گرفتن عکس های پروفایل که احساسات مثبت را برانگیخته و مطابق بالقوه را جذب می کند چیست؟</v>
      </c>
      <c r="H4567" s="1"/>
      <c r="I4567" s="1"/>
      <c r="J4567" s="1"/>
      <c r="K4567" s="1"/>
      <c r="L4567" s="1"/>
      <c r="M4567" s="1"/>
      <c r="N4567" s="1"/>
      <c r="O4567" s="1"/>
      <c r="P4567" s="1"/>
      <c r="Q4567" s="1"/>
      <c r="R4567" s="1"/>
      <c r="S4567" s="1"/>
      <c r="T4567" s="1"/>
      <c r="U4567" s="1"/>
      <c r="V4567" s="1"/>
      <c r="W4567" s="1"/>
      <c r="X4567" s="1"/>
      <c r="Y4567" s="1"/>
      <c r="Z4567" s="1"/>
      <c r="AA4567" s="1"/>
      <c r="AB4567" s="1"/>
    </row>
    <row r="4568" ht="50.25" customHeight="1">
      <c r="A4568" s="12">
        <v>4564.0</v>
      </c>
      <c r="B4568" s="13" t="s">
        <v>4379</v>
      </c>
      <c r="C4568" s="14" t="s">
        <v>4587</v>
      </c>
      <c r="D4568" s="1"/>
      <c r="E4568" s="1"/>
      <c r="F4568" s="1" t="str">
        <f>IFERROR(__xludf.DUMMYFUNCTION("GOOGLETRANSLATE(B4568, ""en"", ""fa"")
"),"مشاوره دوستیابی")</f>
        <v>مشاوره دوستیابی</v>
      </c>
      <c r="G4568" s="1" t="str">
        <f>IFERROR(__xludf.DUMMYFUNCTION("GOOGLETRANSLATE(C4568, ""en"", ""fa"")
"),"چگونه می‌توانم مطمئن شوم که عکس‌های نمایه‌ام نشان‌دهنده برند شخصی من است و پیامی را که می‌خواهم به موارد مشابه ارسال کنم، منتقل می‌کند؟")</f>
        <v>چگونه می‌توانم مطمئن شوم که عکس‌های نمایه‌ام نشان‌دهنده برند شخصی من است و پیامی را که می‌خواهم به موارد مشابه ارسال کنم، منتقل می‌کند؟</v>
      </c>
      <c r="H4568" s="1"/>
      <c r="I4568" s="1"/>
      <c r="J4568" s="1"/>
      <c r="K4568" s="1"/>
      <c r="L4568" s="1"/>
      <c r="M4568" s="1"/>
      <c r="N4568" s="1"/>
      <c r="O4568" s="1"/>
      <c r="P4568" s="1"/>
      <c r="Q4568" s="1"/>
      <c r="R4568" s="1"/>
      <c r="S4568" s="1"/>
      <c r="T4568" s="1"/>
      <c r="U4568" s="1"/>
      <c r="V4568" s="1"/>
      <c r="W4568" s="1"/>
      <c r="X4568" s="1"/>
      <c r="Y4568" s="1"/>
      <c r="Z4568" s="1"/>
      <c r="AA4568" s="1"/>
      <c r="AB4568" s="1"/>
    </row>
    <row r="4569" ht="50.25" customHeight="1">
      <c r="A4569" s="12">
        <v>4565.0</v>
      </c>
      <c r="B4569" s="13" t="s">
        <v>4379</v>
      </c>
      <c r="C4569" s="14" t="s">
        <v>4588</v>
      </c>
      <c r="D4569" s="1"/>
      <c r="E4569" s="1"/>
      <c r="F4569" s="1" t="str">
        <f>IFERROR(__xludf.DUMMYFUNCTION("GOOGLETRANSLATE(B4569, ""en"", ""fa"")
"),"مشاوره دوستیابی")</f>
        <v>مشاوره دوستیابی</v>
      </c>
      <c r="G4569" s="1" t="str">
        <f>IFERROR(__xludf.DUMMYFUNCTION("GOOGLETRANSLATE(C4569, ""en"", ""fa"")
"),"برخی از خطوط آغازین موثر که می تواند توجه کسی را جلب کند و علاقه او را برانگیزد چیست؟")</f>
        <v>برخی از خطوط آغازین موثر که می تواند توجه کسی را جلب کند و علاقه او را برانگیزد چیست؟</v>
      </c>
      <c r="H4569" s="1"/>
      <c r="I4569" s="1"/>
      <c r="J4569" s="1"/>
      <c r="K4569" s="1"/>
      <c r="L4569" s="1"/>
      <c r="M4569" s="1"/>
      <c r="N4569" s="1"/>
      <c r="O4569" s="1"/>
      <c r="P4569" s="1"/>
      <c r="Q4569" s="1"/>
      <c r="R4569" s="1"/>
      <c r="S4569" s="1"/>
      <c r="T4569" s="1"/>
      <c r="U4569" s="1"/>
      <c r="V4569" s="1"/>
      <c r="W4569" s="1"/>
      <c r="X4569" s="1"/>
      <c r="Y4569" s="1"/>
      <c r="Z4569" s="1"/>
      <c r="AA4569" s="1"/>
      <c r="AB4569" s="1"/>
    </row>
    <row r="4570" ht="50.25" customHeight="1">
      <c r="A4570" s="12">
        <v>4566.0</v>
      </c>
      <c r="B4570" s="13" t="s">
        <v>4379</v>
      </c>
      <c r="C4570" s="14" t="s">
        <v>4589</v>
      </c>
      <c r="D4570" s="1"/>
      <c r="E4570" s="1"/>
      <c r="F4570" s="1" t="str">
        <f>IFERROR(__xludf.DUMMYFUNCTION("GOOGLETRANSLATE(B4570, ""en"", ""fa"")
"),"مشاوره دوستیابی")</f>
        <v>مشاوره دوستیابی</v>
      </c>
      <c r="G4570" s="1" t="str">
        <f>IFERROR(__xludf.DUMMYFUNCTION("GOOGLETRANSLATE(C4570, ""en"", ""fa"")
"),"چگونه می‌توانم بازکننده‌های خود را شخصی‌سازی کنم تا نشان دهم نمایه دوستیابی آن شخص را خوانده‌ام و واقعاً می‌خواهم یک مکالمه را شروع کنم؟")</f>
        <v>چگونه می‌توانم بازکننده‌های خود را شخصی‌سازی کنم تا نشان دهم نمایه دوستیابی آن شخص را خوانده‌ام و واقعاً می‌خواهم یک مکالمه را شروع کنم؟</v>
      </c>
      <c r="H4570" s="1"/>
      <c r="I4570" s="1"/>
      <c r="J4570" s="1"/>
      <c r="K4570" s="1"/>
      <c r="L4570" s="1"/>
      <c r="M4570" s="1"/>
      <c r="N4570" s="1"/>
      <c r="O4570" s="1"/>
      <c r="P4570" s="1"/>
      <c r="Q4570" s="1"/>
      <c r="R4570" s="1"/>
      <c r="S4570" s="1"/>
      <c r="T4570" s="1"/>
      <c r="U4570" s="1"/>
      <c r="V4570" s="1"/>
      <c r="W4570" s="1"/>
      <c r="X4570" s="1"/>
      <c r="Y4570" s="1"/>
      <c r="Z4570" s="1"/>
      <c r="AA4570" s="1"/>
      <c r="AB4570" s="1"/>
    </row>
    <row r="4571" ht="50.25" customHeight="1">
      <c r="A4571" s="12">
        <v>4567.0</v>
      </c>
      <c r="B4571" s="13" t="s">
        <v>4379</v>
      </c>
      <c r="C4571" s="14" t="s">
        <v>4590</v>
      </c>
      <c r="D4571" s="1"/>
      <c r="E4571" s="1"/>
      <c r="F4571" s="1" t="str">
        <f>IFERROR(__xludf.DUMMYFUNCTION("GOOGLETRANSLATE(B4571, ""en"", ""fa"")
"),"مشاوره دوستیابی")</f>
        <v>مشاوره دوستیابی</v>
      </c>
      <c r="G4571" s="1" t="str">
        <f>IFERROR(__xludf.DUMMYFUNCTION("GOOGLETRANSLATE(C4571, ""en"", ""fa"")
"),"چند راه خلاقانه برای شکستن یخ و ایجاد یک تاثیر اولیه به یاد ماندنی با بازکننده های دوستیابی آنلاین من چیست؟")</f>
        <v>چند راه خلاقانه برای شکستن یخ و ایجاد یک تاثیر اولیه به یاد ماندنی با بازکننده های دوستیابی آنلاین من چیست؟</v>
      </c>
      <c r="H4571" s="1"/>
      <c r="I4571" s="1"/>
      <c r="J4571" s="1"/>
      <c r="K4571" s="1"/>
      <c r="L4571" s="1"/>
      <c r="M4571" s="1"/>
      <c r="N4571" s="1"/>
      <c r="O4571" s="1"/>
      <c r="P4571" s="1"/>
      <c r="Q4571" s="1"/>
      <c r="R4571" s="1"/>
      <c r="S4571" s="1"/>
      <c r="T4571" s="1"/>
      <c r="U4571" s="1"/>
      <c r="V4571" s="1"/>
      <c r="W4571" s="1"/>
      <c r="X4571" s="1"/>
      <c r="Y4571" s="1"/>
      <c r="Z4571" s="1"/>
      <c r="AA4571" s="1"/>
      <c r="AB4571" s="1"/>
    </row>
    <row r="4572" ht="50.25" customHeight="1">
      <c r="A4572" s="12">
        <v>4568.0</v>
      </c>
      <c r="B4572" s="13" t="s">
        <v>4379</v>
      </c>
      <c r="C4572" s="14" t="s">
        <v>4591</v>
      </c>
      <c r="D4572" s="1"/>
      <c r="E4572" s="1"/>
      <c r="F4572" s="1" t="str">
        <f>IFERROR(__xludf.DUMMYFUNCTION("GOOGLETRANSLATE(B4572, ""en"", ""fa"")
"),"مشاوره دوستیابی")</f>
        <v>مشاوره دوستیابی</v>
      </c>
      <c r="G4572" s="1" t="str">
        <f>IFERROR(__xludf.DUMMYFUNCTION("GOOGLETRANSLATE(C4572, ""en"", ""fa"")
"),"چگونه می توانم از طنز در بازکن های خود برای ایجاد یک فضای سبک و بازی از همان ابتدا استفاده کنم؟")</f>
        <v>چگونه می توانم از طنز در بازکن های خود برای ایجاد یک فضای سبک و بازی از همان ابتدا استفاده کنم؟</v>
      </c>
      <c r="H4572" s="1"/>
      <c r="I4572" s="1"/>
      <c r="J4572" s="1"/>
      <c r="K4572" s="1"/>
      <c r="L4572" s="1"/>
      <c r="M4572" s="1"/>
      <c r="N4572" s="1"/>
      <c r="O4572" s="1"/>
      <c r="P4572" s="1"/>
      <c r="Q4572" s="1"/>
      <c r="R4572" s="1"/>
      <c r="S4572" s="1"/>
      <c r="T4572" s="1"/>
      <c r="U4572" s="1"/>
      <c r="V4572" s="1"/>
      <c r="W4572" s="1"/>
      <c r="X4572" s="1"/>
      <c r="Y4572" s="1"/>
      <c r="Z4572" s="1"/>
      <c r="AA4572" s="1"/>
      <c r="AB4572" s="1"/>
    </row>
    <row r="4573" ht="50.25" customHeight="1">
      <c r="A4573" s="12">
        <v>4569.0</v>
      </c>
      <c r="B4573" s="13" t="s">
        <v>4379</v>
      </c>
      <c r="C4573" s="14" t="s">
        <v>4592</v>
      </c>
      <c r="D4573" s="1"/>
      <c r="E4573" s="1"/>
      <c r="F4573" s="1" t="str">
        <f>IFERROR(__xludf.DUMMYFUNCTION("GOOGLETRANSLATE(B4573, ""en"", ""fa"")
"),"مشاوره دوستیابی")</f>
        <v>مشاوره دوستیابی</v>
      </c>
      <c r="G4573" s="1" t="str">
        <f>IFERROR(__xludf.DUMMYFUNCTION("GOOGLETRANSLATE(C4573, ""en"", ""fa"")
"),"چند راهبرد برای استفاده از سؤالات باز به عنوان آغازگر مکالمه برای تشویق گفتگوی معنادار چیست؟")</f>
        <v>چند راهبرد برای استفاده از سؤالات باز به عنوان آغازگر مکالمه برای تشویق گفتگوی معنادار چیست؟</v>
      </c>
      <c r="H4573" s="1"/>
      <c r="I4573" s="1"/>
      <c r="J4573" s="1"/>
      <c r="K4573" s="1"/>
      <c r="L4573" s="1"/>
      <c r="M4573" s="1"/>
      <c r="N4573" s="1"/>
      <c r="O4573" s="1"/>
      <c r="P4573" s="1"/>
      <c r="Q4573" s="1"/>
      <c r="R4573" s="1"/>
      <c r="S4573" s="1"/>
      <c r="T4573" s="1"/>
      <c r="U4573" s="1"/>
      <c r="V4573" s="1"/>
      <c r="W4573" s="1"/>
      <c r="X4573" s="1"/>
      <c r="Y4573" s="1"/>
      <c r="Z4573" s="1"/>
      <c r="AA4573" s="1"/>
      <c r="AB4573" s="1"/>
    </row>
    <row r="4574" ht="50.25" customHeight="1">
      <c r="A4574" s="12">
        <v>4570.0</v>
      </c>
      <c r="B4574" s="13" t="s">
        <v>4379</v>
      </c>
      <c r="C4574" s="14" t="s">
        <v>4593</v>
      </c>
      <c r="D4574" s="1"/>
      <c r="E4574" s="1"/>
      <c r="F4574" s="1" t="str">
        <f>IFERROR(__xludf.DUMMYFUNCTION("GOOGLETRANSLATE(B4574, ""en"", ""fa"")
"),"مشاوره دوستیابی")</f>
        <v>مشاوره دوستیابی</v>
      </c>
      <c r="G4574" s="1" t="str">
        <f>IFERROR(__xludf.DUMMYFUNCTION("GOOGLETRANSLATE(C4574, ""en"", ""fa"")
"),"چگونه می توانم در بازکن های دوستیابی آنلاین خود اعتماد به نفس و صحت خود را نشان دهم تا تأثیر مثبتی بگذارم؟")</f>
        <v>چگونه می توانم در بازکن های دوستیابی آنلاین خود اعتماد به نفس و صحت خود را نشان دهم تا تأثیر مثبتی بگذارم؟</v>
      </c>
      <c r="H4574" s="1"/>
      <c r="I4574" s="1"/>
      <c r="J4574" s="1"/>
      <c r="K4574" s="1"/>
      <c r="L4574" s="1"/>
      <c r="M4574" s="1"/>
      <c r="N4574" s="1"/>
      <c r="O4574" s="1"/>
      <c r="P4574" s="1"/>
      <c r="Q4574" s="1"/>
      <c r="R4574" s="1"/>
      <c r="S4574" s="1"/>
      <c r="T4574" s="1"/>
      <c r="U4574" s="1"/>
      <c r="V4574" s="1"/>
      <c r="W4574" s="1"/>
      <c r="X4574" s="1"/>
      <c r="Y4574" s="1"/>
      <c r="Z4574" s="1"/>
      <c r="AA4574" s="1"/>
      <c r="AB4574" s="1"/>
    </row>
    <row r="4575" ht="50.25" customHeight="1">
      <c r="A4575" s="12">
        <v>4571.0</v>
      </c>
      <c r="B4575" s="13" t="s">
        <v>4379</v>
      </c>
      <c r="C4575" s="14" t="s">
        <v>4594</v>
      </c>
      <c r="D4575" s="1"/>
      <c r="E4575" s="1"/>
      <c r="F4575" s="1" t="str">
        <f>IFERROR(__xludf.DUMMYFUNCTION("GOOGLETRANSLATE(B4575, ""en"", ""fa"")
"),"مشاوره دوستیابی")</f>
        <v>مشاوره دوستیابی</v>
      </c>
      <c r="G4575" s="1" t="str">
        <f>IFERROR(__xludf.DUMMYFUNCTION("GOOGLETRANSLATE(C4575, ""en"", ""fa"")
"),"چند تکنیک برای خیاطی بازکن های من برای مطابقت با علایق یا سرگرمی های فرد چیست؟")</f>
        <v>چند تکنیک برای خیاطی بازکن های من برای مطابقت با علایق یا سرگرمی های فرد چیست؟</v>
      </c>
      <c r="H4575" s="1"/>
      <c r="I4575" s="1"/>
      <c r="J4575" s="1"/>
      <c r="K4575" s="1"/>
      <c r="L4575" s="1"/>
      <c r="M4575" s="1"/>
      <c r="N4575" s="1"/>
      <c r="O4575" s="1"/>
      <c r="P4575" s="1"/>
      <c r="Q4575" s="1"/>
      <c r="R4575" s="1"/>
      <c r="S4575" s="1"/>
      <c r="T4575" s="1"/>
      <c r="U4575" s="1"/>
      <c r="V4575" s="1"/>
      <c r="W4575" s="1"/>
      <c r="X4575" s="1"/>
      <c r="Y4575" s="1"/>
      <c r="Z4575" s="1"/>
      <c r="AA4575" s="1"/>
      <c r="AB4575" s="1"/>
    </row>
    <row r="4576" ht="50.25" customHeight="1">
      <c r="A4576" s="12">
        <v>4572.0</v>
      </c>
      <c r="B4576" s="13" t="s">
        <v>4379</v>
      </c>
      <c r="C4576" s="14" t="s">
        <v>4595</v>
      </c>
      <c r="D4576" s="1"/>
      <c r="E4576" s="1"/>
      <c r="F4576" s="1" t="str">
        <f>IFERROR(__xludf.DUMMYFUNCTION("GOOGLETRANSLATE(B4576, ""en"", ""fa"")
"),"مشاوره دوستیابی")</f>
        <v>مشاوره دوستیابی</v>
      </c>
      <c r="G4576" s="1" t="str">
        <f>IFERROR(__xludf.DUMMYFUNCTION("GOOGLETRANSLATE(C4576, ""en"", ""fa"")
"),"چگونه می توانم از تعارف در بازکن های خود استفاده کنم بدون اینکه عمومی یا غیر صادقانه به نظر برسند؟")</f>
        <v>چگونه می توانم از تعارف در بازکن های خود استفاده کنم بدون اینکه عمومی یا غیر صادقانه به نظر برسند؟</v>
      </c>
      <c r="H4576" s="1"/>
      <c r="I4576" s="1"/>
      <c r="J4576" s="1"/>
      <c r="K4576" s="1"/>
      <c r="L4576" s="1"/>
      <c r="M4576" s="1"/>
      <c r="N4576" s="1"/>
      <c r="O4576" s="1"/>
      <c r="P4576" s="1"/>
      <c r="Q4576" s="1"/>
      <c r="R4576" s="1"/>
      <c r="S4576" s="1"/>
      <c r="T4576" s="1"/>
      <c r="U4576" s="1"/>
      <c r="V4576" s="1"/>
      <c r="W4576" s="1"/>
      <c r="X4576" s="1"/>
      <c r="Y4576" s="1"/>
      <c r="Z4576" s="1"/>
      <c r="AA4576" s="1"/>
      <c r="AB4576" s="1"/>
    </row>
    <row r="4577" ht="50.25" customHeight="1">
      <c r="A4577" s="12">
        <v>4573.0</v>
      </c>
      <c r="B4577" s="13" t="s">
        <v>4379</v>
      </c>
      <c r="C4577" s="14" t="s">
        <v>4596</v>
      </c>
      <c r="D4577" s="1"/>
      <c r="E4577" s="1"/>
      <c r="F4577" s="1" t="str">
        <f>IFERROR(__xludf.DUMMYFUNCTION("GOOGLETRANSLATE(B4577, ""en"", ""fa"")
"),"مشاوره دوستیابی")</f>
        <v>مشاوره دوستیابی</v>
      </c>
      <c r="G4577" s="1" t="str">
        <f>IFERROR(__xludf.DUMMYFUNCTION("GOOGLETRANSLATE(C4577, ""en"", ""fa"")
"),"چه نکاتی برای استفاده از کنجکاوی و دسیسه در بازکنان من وجود دارد تا علاقه فرد را برانگیزد و او را وادار به پاسخگویی کند؟")</f>
        <v>چه نکاتی برای استفاده از کنجکاوی و دسیسه در بازکنان من وجود دارد تا علاقه فرد را برانگیزد و او را وادار به پاسخگویی کند؟</v>
      </c>
      <c r="H4577" s="1"/>
      <c r="I4577" s="1"/>
      <c r="J4577" s="1"/>
      <c r="K4577" s="1"/>
      <c r="L4577" s="1"/>
      <c r="M4577" s="1"/>
      <c r="N4577" s="1"/>
      <c r="O4577" s="1"/>
      <c r="P4577" s="1"/>
      <c r="Q4577" s="1"/>
      <c r="R4577" s="1"/>
      <c r="S4577" s="1"/>
      <c r="T4577" s="1"/>
      <c r="U4577" s="1"/>
      <c r="V4577" s="1"/>
      <c r="W4577" s="1"/>
      <c r="X4577" s="1"/>
      <c r="Y4577" s="1"/>
      <c r="Z4577" s="1"/>
      <c r="AA4577" s="1"/>
      <c r="AB4577" s="1"/>
    </row>
    <row r="4578" ht="50.25" customHeight="1">
      <c r="A4578" s="12">
        <v>4574.0</v>
      </c>
      <c r="B4578" s="13" t="s">
        <v>4379</v>
      </c>
      <c r="C4578" s="14" t="s">
        <v>4597</v>
      </c>
      <c r="D4578" s="1"/>
      <c r="E4578" s="1"/>
      <c r="F4578" s="1" t="str">
        <f>IFERROR(__xludf.DUMMYFUNCTION("GOOGLETRANSLATE(B4578, ""en"", ""fa"")
"),"مشاوره دوستیابی")</f>
        <v>مشاوره دوستیابی</v>
      </c>
      <c r="G4578" s="1" t="str">
        <f>IFERROR(__xludf.DUMMYFUNCTION("GOOGLETRANSLATE(C4578, ""en"", ""fa"")
"),"چگونه می توانم به تجربیات یا ارتباطات مشترک در بازکننده های خود اشاره کنم تا حس ارتباط فوری ایجاد کنم؟")</f>
        <v>چگونه می توانم به تجربیات یا ارتباطات مشترک در بازکننده های خود اشاره کنم تا حس ارتباط فوری ایجاد کنم؟</v>
      </c>
      <c r="H4578" s="1"/>
      <c r="I4578" s="1"/>
      <c r="J4578" s="1"/>
      <c r="K4578" s="1"/>
      <c r="L4578" s="1"/>
      <c r="M4578" s="1"/>
      <c r="N4578" s="1"/>
      <c r="O4578" s="1"/>
      <c r="P4578" s="1"/>
      <c r="Q4578" s="1"/>
      <c r="R4578" s="1"/>
      <c r="S4578" s="1"/>
      <c r="T4578" s="1"/>
      <c r="U4578" s="1"/>
      <c r="V4578" s="1"/>
      <c r="W4578" s="1"/>
      <c r="X4578" s="1"/>
      <c r="Y4578" s="1"/>
      <c r="Z4578" s="1"/>
      <c r="AA4578" s="1"/>
      <c r="AB4578" s="1"/>
    </row>
    <row r="4579" ht="50.25" customHeight="1">
      <c r="A4579" s="12">
        <v>4575.0</v>
      </c>
      <c r="B4579" s="13" t="s">
        <v>4379</v>
      </c>
      <c r="C4579" s="14" t="s">
        <v>4598</v>
      </c>
      <c r="D4579" s="1"/>
      <c r="E4579" s="1"/>
      <c r="F4579" s="1" t="str">
        <f>IFERROR(__xludf.DUMMYFUNCTION("GOOGLETRANSLATE(B4579, ""en"", ""fa"")
"),"مشاوره دوستیابی")</f>
        <v>مشاوره دوستیابی</v>
      </c>
      <c r="G4579" s="1" t="str">
        <f>IFERROR(__xludf.DUMMYFUNCTION("GOOGLETRANSLATE(C4579, ""en"", ""fa"")
"),"برخی از بایدها و نبایدها برای استفاده از خطوط پیکاپ در بازکننده های دوستیابی آنلاین چیست؟")</f>
        <v>برخی از بایدها و نبایدها برای استفاده از خطوط پیکاپ در بازکننده های دوستیابی آنلاین چیست؟</v>
      </c>
      <c r="H4579" s="1"/>
      <c r="I4579" s="1"/>
      <c r="J4579" s="1"/>
      <c r="K4579" s="1"/>
      <c r="L4579" s="1"/>
      <c r="M4579" s="1"/>
      <c r="N4579" s="1"/>
      <c r="O4579" s="1"/>
      <c r="P4579" s="1"/>
      <c r="Q4579" s="1"/>
      <c r="R4579" s="1"/>
      <c r="S4579" s="1"/>
      <c r="T4579" s="1"/>
      <c r="U4579" s="1"/>
      <c r="V4579" s="1"/>
      <c r="W4579" s="1"/>
      <c r="X4579" s="1"/>
      <c r="Y4579" s="1"/>
      <c r="Z4579" s="1"/>
      <c r="AA4579" s="1"/>
      <c r="AB4579" s="1"/>
    </row>
    <row r="4580" ht="50.25" customHeight="1">
      <c r="A4580" s="12">
        <v>4576.0</v>
      </c>
      <c r="B4580" s="13" t="s">
        <v>4379</v>
      </c>
      <c r="C4580" s="14" t="s">
        <v>4599</v>
      </c>
      <c r="D4580" s="1"/>
      <c r="E4580" s="1"/>
      <c r="F4580" s="1" t="str">
        <f>IFERROR(__xludf.DUMMYFUNCTION("GOOGLETRANSLATE(B4580, ""en"", ""fa"")
"),"مشاوره دوستیابی")</f>
        <v>مشاوره دوستیابی</v>
      </c>
      <c r="G4580" s="1" t="str">
        <f>IFERROR(__xludf.DUMMYFUNCTION("GOOGLETRANSLATE(C4580, ""en"", ""fa"")
"),"چگونه می‌توانم از ایموجی‌ها یا GIF‌ها در بازکننده‌های خود استفاده کنم تا حسی از سرگرمی و بیان را اضافه کنم؟")</f>
        <v>چگونه می‌توانم از ایموجی‌ها یا GIF‌ها در بازکننده‌های خود استفاده کنم تا حسی از سرگرمی و بیان را اضافه کنم؟</v>
      </c>
      <c r="H4580" s="1"/>
      <c r="I4580" s="1"/>
      <c r="J4580" s="1"/>
      <c r="K4580" s="1"/>
      <c r="L4580" s="1"/>
      <c r="M4580" s="1"/>
      <c r="N4580" s="1"/>
      <c r="O4580" s="1"/>
      <c r="P4580" s="1"/>
      <c r="Q4580" s="1"/>
      <c r="R4580" s="1"/>
      <c r="S4580" s="1"/>
      <c r="T4580" s="1"/>
      <c r="U4580" s="1"/>
      <c r="V4580" s="1"/>
      <c r="W4580" s="1"/>
      <c r="X4580" s="1"/>
      <c r="Y4580" s="1"/>
      <c r="Z4580" s="1"/>
      <c r="AA4580" s="1"/>
      <c r="AB4580" s="1"/>
    </row>
    <row r="4581" ht="50.25" customHeight="1">
      <c r="A4581" s="12">
        <v>4577.0</v>
      </c>
      <c r="B4581" s="13" t="s">
        <v>4379</v>
      </c>
      <c r="C4581" s="14" t="s">
        <v>4600</v>
      </c>
      <c r="D4581" s="1"/>
      <c r="E4581" s="1"/>
      <c r="F4581" s="1" t="str">
        <f>IFERROR(__xludf.DUMMYFUNCTION("GOOGLETRANSLATE(B4581, ""en"", ""fa"")
"),"مشاوره دوستیابی")</f>
        <v>مشاوره دوستیابی</v>
      </c>
      <c r="G4581" s="1" t="str">
        <f>IFERROR(__xludf.DUMMYFUNCTION("GOOGLETRANSLATE(C4581, ""en"", ""fa"")
"),"چند راهبرد برای استفاده از بازکننده‌هایی که شروع کننده یک شوخی بازیگوش یا پویایی متلک هستند چیست؟")</f>
        <v>چند راهبرد برای استفاده از بازکننده‌هایی که شروع کننده یک شوخی بازیگوش یا پویایی متلک هستند چیست؟</v>
      </c>
      <c r="H4581" s="1"/>
      <c r="I4581" s="1"/>
      <c r="J4581" s="1"/>
      <c r="K4581" s="1"/>
      <c r="L4581" s="1"/>
      <c r="M4581" s="1"/>
      <c r="N4581" s="1"/>
      <c r="O4581" s="1"/>
      <c r="P4581" s="1"/>
      <c r="Q4581" s="1"/>
      <c r="R4581" s="1"/>
      <c r="S4581" s="1"/>
      <c r="T4581" s="1"/>
      <c r="U4581" s="1"/>
      <c r="V4581" s="1"/>
      <c r="W4581" s="1"/>
      <c r="X4581" s="1"/>
      <c r="Y4581" s="1"/>
      <c r="Z4581" s="1"/>
      <c r="AA4581" s="1"/>
      <c r="AB4581" s="1"/>
    </row>
    <row r="4582" ht="50.25" customHeight="1">
      <c r="A4582" s="12">
        <v>4578.0</v>
      </c>
      <c r="B4582" s="13" t="s">
        <v>4379</v>
      </c>
      <c r="C4582" s="14" t="s">
        <v>4601</v>
      </c>
      <c r="D4582" s="1"/>
      <c r="E4582" s="1"/>
      <c r="F4582" s="1" t="str">
        <f>IFERROR(__xludf.DUMMYFUNCTION("GOOGLETRANSLATE(B4582, ""en"", ""fa"")
"),"مشاوره دوستیابی")</f>
        <v>مشاوره دوستیابی</v>
      </c>
      <c r="G4582" s="1" t="str">
        <f>IFERROR(__xludf.DUMMYFUNCTION("GOOGLETRANSLATE(C4582, ""en"", ""fa"")
"),"چگونه می توانم به نمایه شخص علاقه واقعی نشان دهم و سوالات جذابی را در بازکننده های خود بپرسم؟")</f>
        <v>چگونه می توانم به نمایه شخص علاقه واقعی نشان دهم و سوالات جذابی را در بازکننده های خود بپرسم؟</v>
      </c>
      <c r="H4582" s="1"/>
      <c r="I4582" s="1"/>
      <c r="J4582" s="1"/>
      <c r="K4582" s="1"/>
      <c r="L4582" s="1"/>
      <c r="M4582" s="1"/>
      <c r="N4582" s="1"/>
      <c r="O4582" s="1"/>
      <c r="P4582" s="1"/>
      <c r="Q4582" s="1"/>
      <c r="R4582" s="1"/>
      <c r="S4582" s="1"/>
      <c r="T4582" s="1"/>
      <c r="U4582" s="1"/>
      <c r="V4582" s="1"/>
      <c r="W4582" s="1"/>
      <c r="X4582" s="1"/>
      <c r="Y4582" s="1"/>
      <c r="Z4582" s="1"/>
      <c r="AA4582" s="1"/>
      <c r="AB4582" s="1"/>
    </row>
    <row r="4583" ht="50.25" customHeight="1">
      <c r="A4583" s="12">
        <v>4579.0</v>
      </c>
      <c r="B4583" s="13" t="s">
        <v>4379</v>
      </c>
      <c r="C4583" s="14" t="s">
        <v>4602</v>
      </c>
      <c r="D4583" s="1"/>
      <c r="E4583" s="1"/>
      <c r="F4583" s="1" t="str">
        <f>IFERROR(__xludf.DUMMYFUNCTION("GOOGLETRANSLATE(B4583, ""en"", ""fa"")
"),"مشاوره دوستیابی")</f>
        <v>مشاوره دوستیابی</v>
      </c>
      <c r="G4583" s="1" t="str">
        <f>IFERROR(__xludf.DUMMYFUNCTION("GOOGLETRANSLATE(C4583, ""en"", ""fa"")
"),"چه تکنیک هایی برای استفاده از بازکننده های مشاهده ای وجود دارد که در مورد چیزی منحصر به فرد یا جذاب در عکس ها یا نمایه فرد نظر می دهند؟")</f>
        <v>چه تکنیک هایی برای استفاده از بازکننده های مشاهده ای وجود دارد که در مورد چیزی منحصر به فرد یا جذاب در عکس ها یا نمایه فرد نظر می دهند؟</v>
      </c>
      <c r="H4583" s="1"/>
      <c r="I4583" s="1"/>
      <c r="J4583" s="1"/>
      <c r="K4583" s="1"/>
      <c r="L4583" s="1"/>
      <c r="M4583" s="1"/>
      <c r="N4583" s="1"/>
      <c r="O4583" s="1"/>
      <c r="P4583" s="1"/>
      <c r="Q4583" s="1"/>
      <c r="R4583" s="1"/>
      <c r="S4583" s="1"/>
      <c r="T4583" s="1"/>
      <c r="U4583" s="1"/>
      <c r="V4583" s="1"/>
      <c r="W4583" s="1"/>
      <c r="X4583" s="1"/>
      <c r="Y4583" s="1"/>
      <c r="Z4583" s="1"/>
      <c r="AA4583" s="1"/>
      <c r="AB4583" s="1"/>
    </row>
    <row r="4584" ht="50.25" customHeight="1">
      <c r="A4584" s="12">
        <v>4580.0</v>
      </c>
      <c r="B4584" s="13" t="s">
        <v>4379</v>
      </c>
      <c r="C4584" s="14" t="s">
        <v>4603</v>
      </c>
      <c r="D4584" s="1"/>
      <c r="E4584" s="1"/>
      <c r="F4584" s="1" t="str">
        <f>IFERROR(__xludf.DUMMYFUNCTION("GOOGLETRANSLATE(B4584, ""en"", ""fa"")
"),"مشاوره دوستیابی")</f>
        <v>مشاوره دوستیابی</v>
      </c>
      <c r="G4584" s="1" t="str">
        <f>IFERROR(__xludf.DUMMYFUNCTION("GOOGLETRANSLATE(C4584, ""en"", ""fa"")
"),"چگونه می توانم از لحنی جسورانه و مطمئن در بازکن های خود استفاده کنم بدون اینکه متکبرانه برخورد کنم؟")</f>
        <v>چگونه می توانم از لحنی جسورانه و مطمئن در بازکن های خود استفاده کنم بدون اینکه متکبرانه برخورد کنم؟</v>
      </c>
      <c r="H4584" s="1"/>
      <c r="I4584" s="1"/>
      <c r="J4584" s="1"/>
      <c r="K4584" s="1"/>
      <c r="L4584" s="1"/>
      <c r="M4584" s="1"/>
      <c r="N4584" s="1"/>
      <c r="O4584" s="1"/>
      <c r="P4584" s="1"/>
      <c r="Q4584" s="1"/>
      <c r="R4584" s="1"/>
      <c r="S4584" s="1"/>
      <c r="T4584" s="1"/>
      <c r="U4584" s="1"/>
      <c r="V4584" s="1"/>
      <c r="W4584" s="1"/>
      <c r="X4584" s="1"/>
      <c r="Y4584" s="1"/>
      <c r="Z4584" s="1"/>
      <c r="AA4584" s="1"/>
      <c r="AB4584" s="1"/>
    </row>
    <row r="4585" ht="50.25" customHeight="1">
      <c r="A4585" s="12">
        <v>4581.0</v>
      </c>
      <c r="B4585" s="13" t="s">
        <v>4379</v>
      </c>
      <c r="C4585" s="14" t="s">
        <v>4604</v>
      </c>
      <c r="D4585" s="1"/>
      <c r="E4585" s="1"/>
      <c r="F4585" s="1" t="str">
        <f>IFERROR(__xludf.DUMMYFUNCTION("GOOGLETRANSLATE(B4585, ""en"", ""fa"")
"),"مشاوره دوستیابی")</f>
        <v>مشاوره دوستیابی</v>
      </c>
      <c r="G4585" s="1" t="str">
        <f>IFERROR(__xludf.DUMMYFUNCTION("GOOGLETRANSLATE(C4585, ""en"", ""fa"")
"),"نکاتی برای استفاده از بازکن های کوتاه، ساده و دقیق چیست؟")</f>
        <v>نکاتی برای استفاده از بازکن های کوتاه، ساده و دقیق چیست؟</v>
      </c>
      <c r="H4585" s="1"/>
      <c r="I4585" s="1"/>
      <c r="J4585" s="1"/>
      <c r="K4585" s="1"/>
      <c r="L4585" s="1"/>
      <c r="M4585" s="1"/>
      <c r="N4585" s="1"/>
      <c r="O4585" s="1"/>
      <c r="P4585" s="1"/>
      <c r="Q4585" s="1"/>
      <c r="R4585" s="1"/>
      <c r="S4585" s="1"/>
      <c r="T4585" s="1"/>
      <c r="U4585" s="1"/>
      <c r="V4585" s="1"/>
      <c r="W4585" s="1"/>
      <c r="X4585" s="1"/>
      <c r="Y4585" s="1"/>
      <c r="Z4585" s="1"/>
      <c r="AA4585" s="1"/>
      <c r="AB4585" s="1"/>
    </row>
    <row r="4586" ht="50.25" customHeight="1">
      <c r="A4586" s="12">
        <v>4582.0</v>
      </c>
      <c r="B4586" s="13" t="s">
        <v>4379</v>
      </c>
      <c r="C4586" s="14" t="s">
        <v>4605</v>
      </c>
      <c r="D4586" s="1"/>
      <c r="E4586" s="1"/>
      <c r="F4586" s="1" t="str">
        <f>IFERROR(__xludf.DUMMYFUNCTION("GOOGLETRANSLATE(B4586, ""en"", ""fa"")
"),"مشاوره دوستیابی")</f>
        <v>مشاوره دوستیابی</v>
      </c>
      <c r="G4586" s="1" t="str">
        <f>IFERROR(__xludf.DUMMYFUNCTION("GOOGLETRANSLATE(C4586, ""en"", ""fa"")
"),"چگونه می توانم کمی رمز و راز یا فتنه را در بازکننده های خود بگنجانم تا فرد کنجکاو و مایل به دانستن بیشتر باشد؟")</f>
        <v>چگونه می توانم کمی رمز و راز یا فتنه را در بازکننده های خود بگنجانم تا فرد کنجکاو و مایل به دانستن بیشتر باشد؟</v>
      </c>
      <c r="H4586" s="1"/>
      <c r="I4586" s="1"/>
      <c r="J4586" s="1"/>
      <c r="K4586" s="1"/>
      <c r="L4586" s="1"/>
      <c r="M4586" s="1"/>
      <c r="N4586" s="1"/>
      <c r="O4586" s="1"/>
      <c r="P4586" s="1"/>
      <c r="Q4586" s="1"/>
      <c r="R4586" s="1"/>
      <c r="S4586" s="1"/>
      <c r="T4586" s="1"/>
      <c r="U4586" s="1"/>
      <c r="V4586" s="1"/>
      <c r="W4586" s="1"/>
      <c r="X4586" s="1"/>
      <c r="Y4586" s="1"/>
      <c r="Z4586" s="1"/>
      <c r="AA4586" s="1"/>
      <c r="AB4586" s="1"/>
    </row>
    <row r="4587" ht="50.25" customHeight="1">
      <c r="A4587" s="12">
        <v>4583.0</v>
      </c>
      <c r="B4587" s="13" t="s">
        <v>4379</v>
      </c>
      <c r="C4587" s="14" t="s">
        <v>4606</v>
      </c>
      <c r="D4587" s="1"/>
      <c r="E4587" s="1"/>
      <c r="F4587" s="1" t="str">
        <f>IFERROR(__xludf.DUMMYFUNCTION("GOOGLETRANSLATE(B4587, ""en"", ""fa"")
"),"مشاوره دوستیابی")</f>
        <v>مشاوره دوستیابی</v>
      </c>
      <c r="G4587" s="1" t="str">
        <f>IFERROR(__xludf.DUMMYFUNCTION("GOOGLETRANSLATE(C4587, ""en"", ""fa"")
"),"چند راهبرد برای استفاده از بازکننده هایی که نشان دهنده همدلی و درک نسبت به تجربیات یا احساسات فرد است چیست؟")</f>
        <v>چند راهبرد برای استفاده از بازکننده هایی که نشان دهنده همدلی و درک نسبت به تجربیات یا احساسات فرد است چیست؟</v>
      </c>
      <c r="H4587" s="1"/>
      <c r="I4587" s="1"/>
      <c r="J4587" s="1"/>
      <c r="K4587" s="1"/>
      <c r="L4587" s="1"/>
      <c r="M4587" s="1"/>
      <c r="N4587" s="1"/>
      <c r="O4587" s="1"/>
      <c r="P4587" s="1"/>
      <c r="Q4587" s="1"/>
      <c r="R4587" s="1"/>
      <c r="S4587" s="1"/>
      <c r="T4587" s="1"/>
      <c r="U4587" s="1"/>
      <c r="V4587" s="1"/>
      <c r="W4587" s="1"/>
      <c r="X4587" s="1"/>
      <c r="Y4587" s="1"/>
      <c r="Z4587" s="1"/>
      <c r="AA4587" s="1"/>
      <c r="AB4587" s="1"/>
    </row>
    <row r="4588" ht="50.25" customHeight="1">
      <c r="A4588" s="12">
        <v>4584.0</v>
      </c>
      <c r="B4588" s="13" t="s">
        <v>4379</v>
      </c>
      <c r="C4588" s="14" t="s">
        <v>4607</v>
      </c>
      <c r="D4588" s="1"/>
      <c r="E4588" s="1"/>
      <c r="F4588" s="1" t="str">
        <f>IFERROR(__xludf.DUMMYFUNCTION("GOOGLETRANSLATE(B4588, ""en"", ""fa"")
"),"مشاوره دوستیابی")</f>
        <v>مشاوره دوستیابی</v>
      </c>
      <c r="G4588" s="1" t="str">
        <f>IFERROR(__xludf.DUMMYFUNCTION("GOOGLETRANSLATE(C4588, ""en"", ""fa"")
"),"چگونه می توانم از بازکننده هایی استفاده کنم که شخصیت منحصر به فرد من را به نمایش بگذارند و از پیام های عمومی متمایز شوند؟")</f>
        <v>چگونه می توانم از بازکننده هایی استفاده کنم که شخصیت منحصر به فرد من را به نمایش بگذارند و از پیام های عمومی متمایز شوند؟</v>
      </c>
      <c r="H4588" s="1"/>
      <c r="I4588" s="1"/>
      <c r="J4588" s="1"/>
      <c r="K4588" s="1"/>
      <c r="L4588" s="1"/>
      <c r="M4588" s="1"/>
      <c r="N4588" s="1"/>
      <c r="O4588" s="1"/>
      <c r="P4588" s="1"/>
      <c r="Q4588" s="1"/>
      <c r="R4588" s="1"/>
      <c r="S4588" s="1"/>
      <c r="T4588" s="1"/>
      <c r="U4588" s="1"/>
      <c r="V4588" s="1"/>
      <c r="W4588" s="1"/>
      <c r="X4588" s="1"/>
      <c r="Y4588" s="1"/>
      <c r="Z4588" s="1"/>
      <c r="AA4588" s="1"/>
      <c r="AB4588" s="1"/>
    </row>
    <row r="4589" ht="50.25" customHeight="1">
      <c r="A4589" s="12">
        <v>4585.0</v>
      </c>
      <c r="B4589" s="13" t="s">
        <v>4379</v>
      </c>
      <c r="C4589" s="14" t="s">
        <v>4608</v>
      </c>
      <c r="D4589" s="1"/>
      <c r="E4589" s="1"/>
      <c r="F4589" s="1" t="str">
        <f>IFERROR(__xludf.DUMMYFUNCTION("GOOGLETRANSLATE(B4589, ""en"", ""fa"")
"),"مشاوره دوستیابی")</f>
        <v>مشاوره دوستیابی</v>
      </c>
      <c r="G4589" s="1" t="str">
        <f>IFERROR(__xludf.DUMMYFUNCTION("GOOGLETRANSLATE(C4589, ""en"", ""fa"")
"),"برای استفاده از بازکن هایی که به ظاهر فیزیکی یا جذابیت اشاره دارند، چه بایدها و نبایدهایی وجود دارد؟")</f>
        <v>برای استفاده از بازکن هایی که به ظاهر فیزیکی یا جذابیت اشاره دارند، چه بایدها و نبایدهایی وجود دارد؟</v>
      </c>
      <c r="H4589" s="1"/>
      <c r="I4589" s="1"/>
      <c r="J4589" s="1"/>
      <c r="K4589" s="1"/>
      <c r="L4589" s="1"/>
      <c r="M4589" s="1"/>
      <c r="N4589" s="1"/>
      <c r="O4589" s="1"/>
      <c r="P4589" s="1"/>
      <c r="Q4589" s="1"/>
      <c r="R4589" s="1"/>
      <c r="S4589" s="1"/>
      <c r="T4589" s="1"/>
      <c r="U4589" s="1"/>
      <c r="V4589" s="1"/>
      <c r="W4589" s="1"/>
      <c r="X4589" s="1"/>
      <c r="Y4589" s="1"/>
      <c r="Z4589" s="1"/>
      <c r="AA4589" s="1"/>
      <c r="AB4589" s="1"/>
    </row>
    <row r="4590" ht="50.25" customHeight="1">
      <c r="A4590" s="12">
        <v>4586.0</v>
      </c>
      <c r="B4590" s="13" t="s">
        <v>4379</v>
      </c>
      <c r="C4590" s="14" t="s">
        <v>4609</v>
      </c>
      <c r="D4590" s="1"/>
      <c r="E4590" s="1"/>
      <c r="F4590" s="1" t="str">
        <f>IFERROR(__xludf.DUMMYFUNCTION("GOOGLETRANSLATE(B4590, ""en"", ""fa"")
"),"مشاوره دوستیابی")</f>
        <v>مشاوره دوستیابی</v>
      </c>
      <c r="G4590" s="1" t="str">
        <f>IFERROR(__xludf.DUMMYFUNCTION("GOOGLETRANSLATE(C4590, ""en"", ""fa"")
"),"چگونه می توانم از بازکننده هایی استفاده کنم که یک حکایت یا داستان شخصی را برای ایجاد ارتباط و تقویت مکالمه به اشتراک می گذارند؟")</f>
        <v>چگونه می توانم از بازکننده هایی استفاده کنم که یک حکایت یا داستان شخصی را برای ایجاد ارتباط و تقویت مکالمه به اشتراک می گذارند؟</v>
      </c>
      <c r="H4590" s="1"/>
      <c r="I4590" s="1"/>
      <c r="J4590" s="1"/>
      <c r="K4590" s="1"/>
      <c r="L4590" s="1"/>
      <c r="M4590" s="1"/>
      <c r="N4590" s="1"/>
      <c r="O4590" s="1"/>
      <c r="P4590" s="1"/>
      <c r="Q4590" s="1"/>
      <c r="R4590" s="1"/>
      <c r="S4590" s="1"/>
      <c r="T4590" s="1"/>
      <c r="U4590" s="1"/>
      <c r="V4590" s="1"/>
      <c r="W4590" s="1"/>
      <c r="X4590" s="1"/>
      <c r="Y4590" s="1"/>
      <c r="Z4590" s="1"/>
      <c r="AA4590" s="1"/>
      <c r="AB4590" s="1"/>
    </row>
    <row r="4591" ht="50.25" customHeight="1">
      <c r="A4591" s="12">
        <v>4587.0</v>
      </c>
      <c r="B4591" s="13" t="s">
        <v>4379</v>
      </c>
      <c r="C4591" s="14" t="s">
        <v>4610</v>
      </c>
      <c r="D4591" s="1"/>
      <c r="E4591" s="1"/>
      <c r="F4591" s="1" t="str">
        <f>IFERROR(__xludf.DUMMYFUNCTION("GOOGLETRANSLATE(B4591, ""en"", ""fa"")
"),"مشاوره دوستیابی")</f>
        <v>مشاوره دوستیابی</v>
      </c>
      <c r="G4591" s="1" t="str">
        <f>IFERROR(__xludf.DUMMYFUNCTION("GOOGLETRANSLATE(C4591, ""en"", ""fa"")
"),"نکاتی برای استفاده از درب بازکن هایی که سبک دل و بازیگوش هستند، بدون عبور از هیچ مرزی چیست؟")</f>
        <v>نکاتی برای استفاده از درب بازکن هایی که سبک دل و بازیگوش هستند، بدون عبور از هیچ مرزی چیست؟</v>
      </c>
      <c r="H4591" s="1"/>
      <c r="I4591" s="1"/>
      <c r="J4591" s="1"/>
      <c r="K4591" s="1"/>
      <c r="L4591" s="1"/>
      <c r="M4591" s="1"/>
      <c r="N4591" s="1"/>
      <c r="O4591" s="1"/>
      <c r="P4591" s="1"/>
      <c r="Q4591" s="1"/>
      <c r="R4591" s="1"/>
      <c r="S4591" s="1"/>
      <c r="T4591" s="1"/>
      <c r="U4591" s="1"/>
      <c r="V4591" s="1"/>
      <c r="W4591" s="1"/>
      <c r="X4591" s="1"/>
      <c r="Y4591" s="1"/>
      <c r="Z4591" s="1"/>
      <c r="AA4591" s="1"/>
      <c r="AB4591" s="1"/>
    </row>
    <row r="4592" ht="50.25" customHeight="1">
      <c r="A4592" s="12">
        <v>4588.0</v>
      </c>
      <c r="B4592" s="13" t="s">
        <v>4379</v>
      </c>
      <c r="C4592" s="14" t="s">
        <v>4611</v>
      </c>
      <c r="D4592" s="1"/>
      <c r="E4592" s="1"/>
      <c r="F4592" s="1" t="str">
        <f>IFERROR(__xludf.DUMMYFUNCTION("GOOGLETRANSLATE(B4592, ""en"", ""fa"")
"),"مشاوره دوستیابی")</f>
        <v>مشاوره دوستیابی</v>
      </c>
      <c r="G4592" s="1" t="str">
        <f>IFERROR(__xludf.DUMMYFUNCTION("GOOGLETRANSLATE(C4592, ""en"", ""fa"")
"),"چگونه می‌توانم از بازکننده‌هایی استفاده کنم که علاقه یا اشتیاق مشترک را برای ایجاد زمینه مشترک و شروع مکالمه برجسته می‌کنند؟")</f>
        <v>چگونه می‌توانم از بازکننده‌هایی استفاده کنم که علاقه یا اشتیاق مشترک را برای ایجاد زمینه مشترک و شروع مکالمه برجسته می‌کنند؟</v>
      </c>
      <c r="H4592" s="1"/>
      <c r="I4592" s="1"/>
      <c r="J4592" s="1"/>
      <c r="K4592" s="1"/>
      <c r="L4592" s="1"/>
      <c r="M4592" s="1"/>
      <c r="N4592" s="1"/>
      <c r="O4592" s="1"/>
      <c r="P4592" s="1"/>
      <c r="Q4592" s="1"/>
      <c r="R4592" s="1"/>
      <c r="S4592" s="1"/>
      <c r="T4592" s="1"/>
      <c r="U4592" s="1"/>
      <c r="V4592" s="1"/>
      <c r="W4592" s="1"/>
      <c r="X4592" s="1"/>
      <c r="Y4592" s="1"/>
      <c r="Z4592" s="1"/>
      <c r="AA4592" s="1"/>
      <c r="AB4592" s="1"/>
    </row>
    <row r="4593" ht="50.25" customHeight="1">
      <c r="A4593" s="12">
        <v>4589.0</v>
      </c>
      <c r="B4593" s="13" t="s">
        <v>4379</v>
      </c>
      <c r="C4593" s="14" t="s">
        <v>4612</v>
      </c>
      <c r="D4593" s="1"/>
      <c r="E4593" s="1"/>
      <c r="F4593" s="1" t="str">
        <f>IFERROR(__xludf.DUMMYFUNCTION("GOOGLETRANSLATE(B4593, ""en"", ""fa"")
"),"مشاوره دوستیابی")</f>
        <v>مشاوره دوستیابی</v>
      </c>
      <c r="G4593" s="1" t="str">
        <f>IFERROR(__xludf.DUMMYFUNCTION("GOOGLETRANSLATE(C4593, ""en"", ""fa"")
"),"چند تکنیک برای استفاده از بازکننده هایی که کنجکاوی را برمی انگیزند یا مفروضات فرد را به چالش می کشند چیست؟")</f>
        <v>چند تکنیک برای استفاده از بازکننده هایی که کنجکاوی را برمی انگیزند یا مفروضات فرد را به چالش می کشند چیست؟</v>
      </c>
      <c r="H4593" s="1"/>
      <c r="I4593" s="1"/>
      <c r="J4593" s="1"/>
      <c r="K4593" s="1"/>
      <c r="L4593" s="1"/>
      <c r="M4593" s="1"/>
      <c r="N4593" s="1"/>
      <c r="O4593" s="1"/>
      <c r="P4593" s="1"/>
      <c r="Q4593" s="1"/>
      <c r="R4593" s="1"/>
      <c r="S4593" s="1"/>
      <c r="T4593" s="1"/>
      <c r="U4593" s="1"/>
      <c r="V4593" s="1"/>
      <c r="W4593" s="1"/>
      <c r="X4593" s="1"/>
      <c r="Y4593" s="1"/>
      <c r="Z4593" s="1"/>
      <c r="AA4593" s="1"/>
      <c r="AB4593" s="1"/>
    </row>
    <row r="4594" ht="50.25" customHeight="1">
      <c r="A4594" s="12">
        <v>4590.0</v>
      </c>
      <c r="B4594" s="13" t="s">
        <v>4379</v>
      </c>
      <c r="C4594" s="14" t="s">
        <v>4613</v>
      </c>
      <c r="D4594" s="1"/>
      <c r="E4594" s="1"/>
      <c r="F4594" s="1" t="str">
        <f>IFERROR(__xludf.DUMMYFUNCTION("GOOGLETRANSLATE(B4594, ""en"", ""fa"")
"),"مشاوره دوستیابی")</f>
        <v>مشاوره دوستیابی</v>
      </c>
      <c r="G4594" s="1" t="str">
        <f>IFERROR(__xludf.DUMMYFUNCTION("GOOGLETRANSLATE(C4594, ""en"", ""fa"")
"),"چگونه می توانم بازکن های خود را طوری تنظیم کنم که با سبک یا لحن ارتباطی فرد مطابقت داشته باشد؟")</f>
        <v>چگونه می توانم بازکن های خود را طوری تنظیم کنم که با سبک یا لحن ارتباطی فرد مطابقت داشته باشد؟</v>
      </c>
      <c r="H4594" s="1"/>
      <c r="I4594" s="1"/>
      <c r="J4594" s="1"/>
      <c r="K4594" s="1"/>
      <c r="L4594" s="1"/>
      <c r="M4594" s="1"/>
      <c r="N4594" s="1"/>
      <c r="O4594" s="1"/>
      <c r="P4594" s="1"/>
      <c r="Q4594" s="1"/>
      <c r="R4594" s="1"/>
      <c r="S4594" s="1"/>
      <c r="T4594" s="1"/>
      <c r="U4594" s="1"/>
      <c r="V4594" s="1"/>
      <c r="W4594" s="1"/>
      <c r="X4594" s="1"/>
      <c r="Y4594" s="1"/>
      <c r="Z4594" s="1"/>
      <c r="AA4594" s="1"/>
      <c r="AB4594" s="1"/>
    </row>
    <row r="4595" ht="50.25" customHeight="1">
      <c r="A4595" s="12">
        <v>4591.0</v>
      </c>
      <c r="B4595" s="13" t="s">
        <v>4379</v>
      </c>
      <c r="C4595" s="14" t="s">
        <v>4614</v>
      </c>
      <c r="D4595" s="1"/>
      <c r="E4595" s="1"/>
      <c r="F4595" s="1" t="str">
        <f>IFERROR(__xludf.DUMMYFUNCTION("GOOGLETRANSLATE(B4595, ""en"", ""fa"")
"),"مشاوره دوستیابی")</f>
        <v>مشاوره دوستیابی</v>
      </c>
      <c r="G4595" s="1" t="str">
        <f>IFERROR(__xludf.DUMMYFUNCTION("GOOGLETRANSLATE(C4595, ""en"", ""fa"")
"),"چند استراتژی برای استفاده از بازکننده‌هایی که احترام و نیت واقعی را نشان می‌دهند چیست؟")</f>
        <v>چند استراتژی برای استفاده از بازکننده‌هایی که احترام و نیت واقعی را نشان می‌دهند چیست؟</v>
      </c>
      <c r="H4595" s="1"/>
      <c r="I4595" s="1"/>
      <c r="J4595" s="1"/>
      <c r="K4595" s="1"/>
      <c r="L4595" s="1"/>
      <c r="M4595" s="1"/>
      <c r="N4595" s="1"/>
      <c r="O4595" s="1"/>
      <c r="P4595" s="1"/>
      <c r="Q4595" s="1"/>
      <c r="R4595" s="1"/>
      <c r="S4595" s="1"/>
      <c r="T4595" s="1"/>
      <c r="U4595" s="1"/>
      <c r="V4595" s="1"/>
      <c r="W4595" s="1"/>
      <c r="X4595" s="1"/>
      <c r="Y4595" s="1"/>
      <c r="Z4595" s="1"/>
      <c r="AA4595" s="1"/>
      <c r="AB4595" s="1"/>
    </row>
    <row r="4596" ht="50.25" customHeight="1">
      <c r="A4596" s="12">
        <v>4592.0</v>
      </c>
      <c r="B4596" s="13" t="s">
        <v>4379</v>
      </c>
      <c r="C4596" s="14" t="s">
        <v>4615</v>
      </c>
      <c r="D4596" s="1"/>
      <c r="E4596" s="1"/>
      <c r="F4596" s="1" t="str">
        <f>IFERROR(__xludf.DUMMYFUNCTION("GOOGLETRANSLATE(B4596, ""en"", ""fa"")
"),"مشاوره دوستیابی")</f>
        <v>مشاوره دوستیابی</v>
      </c>
      <c r="G4596" s="1" t="str">
        <f>IFERROR(__xludf.DUMMYFUNCTION("GOOGLETRANSLATE(C4596, ""en"", ""fa"")
"),"چگونه می توانم از بازکننده هایی استفاده کنم که جرقه واکنش عاطفی را برانگیزد یا احساس مثبتی را در فرد ایجاد کند؟")</f>
        <v>چگونه می توانم از بازکننده هایی استفاده کنم که جرقه واکنش عاطفی را برانگیزد یا احساس مثبتی را در فرد ایجاد کند؟</v>
      </c>
      <c r="H4596" s="1"/>
      <c r="I4596" s="1"/>
      <c r="J4596" s="1"/>
      <c r="K4596" s="1"/>
      <c r="L4596" s="1"/>
      <c r="M4596" s="1"/>
      <c r="N4596" s="1"/>
      <c r="O4596" s="1"/>
      <c r="P4596" s="1"/>
      <c r="Q4596" s="1"/>
      <c r="R4596" s="1"/>
      <c r="S4596" s="1"/>
      <c r="T4596" s="1"/>
      <c r="U4596" s="1"/>
      <c r="V4596" s="1"/>
      <c r="W4596" s="1"/>
      <c r="X4596" s="1"/>
      <c r="Y4596" s="1"/>
      <c r="Z4596" s="1"/>
      <c r="AA4596" s="1"/>
      <c r="AB4596" s="1"/>
    </row>
    <row r="4597" ht="50.25" customHeight="1">
      <c r="A4597" s="12">
        <v>4593.0</v>
      </c>
      <c r="B4597" s="13" t="s">
        <v>4379</v>
      </c>
      <c r="C4597" s="14" t="s">
        <v>4616</v>
      </c>
      <c r="D4597" s="1"/>
      <c r="E4597" s="1"/>
      <c r="F4597" s="1" t="str">
        <f>IFERROR(__xludf.DUMMYFUNCTION("GOOGLETRANSLATE(B4597, ""en"", ""fa"")
"),"مشاوره دوستیابی")</f>
        <v>مشاوره دوستیابی</v>
      </c>
      <c r="G4597" s="1" t="str">
        <f>IFERROR(__xludf.DUMMYFUNCTION("GOOGLETRANSLATE(C4597, ""en"", ""fa"")
"),"چند نکته برای استفاده از بازکننده هایی که حس شوخ طبعی و شوخ طبعی من را نشان می دهد چیست؟")</f>
        <v>چند نکته برای استفاده از بازکننده هایی که حس شوخ طبعی و شوخ طبعی من را نشان می دهد چیست؟</v>
      </c>
      <c r="H4597" s="1"/>
      <c r="I4597" s="1"/>
      <c r="J4597" s="1"/>
      <c r="K4597" s="1"/>
      <c r="L4597" s="1"/>
      <c r="M4597" s="1"/>
      <c r="N4597" s="1"/>
      <c r="O4597" s="1"/>
      <c r="P4597" s="1"/>
      <c r="Q4597" s="1"/>
      <c r="R4597" s="1"/>
      <c r="S4597" s="1"/>
      <c r="T4597" s="1"/>
      <c r="U4597" s="1"/>
      <c r="V4597" s="1"/>
      <c r="W4597" s="1"/>
      <c r="X4597" s="1"/>
      <c r="Y4597" s="1"/>
      <c r="Z4597" s="1"/>
      <c r="AA4597" s="1"/>
      <c r="AB4597" s="1"/>
    </row>
    <row r="4598" ht="50.25" customHeight="1">
      <c r="A4598" s="12">
        <v>4594.0</v>
      </c>
      <c r="B4598" s="13" t="s">
        <v>4379</v>
      </c>
      <c r="C4598" s="14" t="s">
        <v>4617</v>
      </c>
      <c r="D4598" s="1"/>
      <c r="E4598" s="1"/>
      <c r="F4598" s="1" t="str">
        <f>IFERROR(__xludf.DUMMYFUNCTION("GOOGLETRANSLATE(B4598, ""en"", ""fa"")
"),"مشاوره دوستیابی")</f>
        <v>مشاوره دوستیابی</v>
      </c>
      <c r="G4598" s="1" t="str">
        <f>IFERROR(__xludf.DUMMYFUNCTION("GOOGLETRANSLATE(C4598, ""en"", ""fa"")
"),"چگونه می توانم از بازکننده هایی استفاده کنم که شروع کننده مکالمه در مورد یک رویداد فعلی یا موضوع محبوب برای تعامل با شخص است؟")</f>
        <v>چگونه می توانم از بازکننده هایی استفاده کنم که شروع کننده مکالمه در مورد یک رویداد فعلی یا موضوع محبوب برای تعامل با شخص است؟</v>
      </c>
      <c r="H4598" s="1"/>
      <c r="I4598" s="1"/>
      <c r="J4598" s="1"/>
      <c r="K4598" s="1"/>
      <c r="L4598" s="1"/>
      <c r="M4598" s="1"/>
      <c r="N4598" s="1"/>
      <c r="O4598" s="1"/>
      <c r="P4598" s="1"/>
      <c r="Q4598" s="1"/>
      <c r="R4598" s="1"/>
      <c r="S4598" s="1"/>
      <c r="T4598" s="1"/>
      <c r="U4598" s="1"/>
      <c r="V4598" s="1"/>
      <c r="W4598" s="1"/>
      <c r="X4598" s="1"/>
      <c r="Y4598" s="1"/>
      <c r="Z4598" s="1"/>
      <c r="AA4598" s="1"/>
      <c r="AB4598" s="1"/>
    </row>
    <row r="4599" ht="50.25" customHeight="1">
      <c r="A4599" s="12">
        <v>4595.0</v>
      </c>
      <c r="B4599" s="13" t="s">
        <v>4379</v>
      </c>
      <c r="C4599" s="14" t="s">
        <v>4618</v>
      </c>
      <c r="D4599" s="1"/>
      <c r="E4599" s="1"/>
      <c r="F4599" s="1" t="str">
        <f>IFERROR(__xludf.DUMMYFUNCTION("GOOGLETRANSLATE(B4599, ""en"", ""fa"")
"),"مشاوره دوستیابی")</f>
        <v>مشاوره دوستیابی</v>
      </c>
      <c r="G4599" s="1" t="str">
        <f>IFERROR(__xludf.DUMMYFUNCTION("GOOGLETRANSLATE(C4599, ""en"", ""fa"")
"),"چه تکنیک هایی برای استفاده از بازکننده ها وجود دارد که از فرد دعوت می کند نظر یا دیدگاه خود را در مورد یک موضوع مرتبط به اشتراک بگذارد؟")</f>
        <v>چه تکنیک هایی برای استفاده از بازکننده ها وجود دارد که از فرد دعوت می کند نظر یا دیدگاه خود را در مورد یک موضوع مرتبط به اشتراک بگذارد؟</v>
      </c>
      <c r="H4599" s="1"/>
      <c r="I4599" s="1"/>
      <c r="J4599" s="1"/>
      <c r="K4599" s="1"/>
      <c r="L4599" s="1"/>
      <c r="M4599" s="1"/>
      <c r="N4599" s="1"/>
      <c r="O4599" s="1"/>
      <c r="P4599" s="1"/>
      <c r="Q4599" s="1"/>
      <c r="R4599" s="1"/>
      <c r="S4599" s="1"/>
      <c r="T4599" s="1"/>
      <c r="U4599" s="1"/>
      <c r="V4599" s="1"/>
      <c r="W4599" s="1"/>
      <c r="X4599" s="1"/>
      <c r="Y4599" s="1"/>
      <c r="Z4599" s="1"/>
      <c r="AA4599" s="1"/>
      <c r="AB4599" s="1"/>
    </row>
    <row r="4600" ht="50.25" customHeight="1">
      <c r="A4600" s="12">
        <v>4596.0</v>
      </c>
      <c r="B4600" s="13" t="s">
        <v>4379</v>
      </c>
      <c r="C4600" s="14" t="s">
        <v>4619</v>
      </c>
      <c r="D4600" s="1"/>
      <c r="E4600" s="1"/>
      <c r="F4600" s="1" t="str">
        <f>IFERROR(__xludf.DUMMYFUNCTION("GOOGLETRANSLATE(B4600, ""en"", ""fa"")
"),"مشاوره دوستیابی")</f>
        <v>مشاوره دوستیابی</v>
      </c>
      <c r="G4600" s="1" t="str">
        <f>IFERROR(__xludf.DUMMYFUNCTION("GOOGLETRANSLATE(C4600, ""en"", ""fa"")
"),"چگونه می توانم با اعتراف به چالش ها یا تجربیات ذکر شده در نمایه شخص، همدلی و درک خود را در بازکنان خود نشان دهم؟")</f>
        <v>چگونه می توانم با اعتراف به چالش ها یا تجربیات ذکر شده در نمایه شخص، همدلی و درک خود را در بازکنان خود نشان دهم؟</v>
      </c>
      <c r="H4600" s="1"/>
      <c r="I4600" s="1"/>
      <c r="J4600" s="1"/>
      <c r="K4600" s="1"/>
      <c r="L4600" s="1"/>
      <c r="M4600" s="1"/>
      <c r="N4600" s="1"/>
      <c r="O4600" s="1"/>
      <c r="P4600" s="1"/>
      <c r="Q4600" s="1"/>
      <c r="R4600" s="1"/>
      <c r="S4600" s="1"/>
      <c r="T4600" s="1"/>
      <c r="U4600" s="1"/>
      <c r="V4600" s="1"/>
      <c r="W4600" s="1"/>
      <c r="X4600" s="1"/>
      <c r="Y4600" s="1"/>
      <c r="Z4600" s="1"/>
      <c r="AA4600" s="1"/>
      <c r="AB4600" s="1"/>
    </row>
    <row r="4601" ht="50.25" customHeight="1">
      <c r="A4601" s="12">
        <v>4597.0</v>
      </c>
      <c r="B4601" s="13" t="s">
        <v>4379</v>
      </c>
      <c r="C4601" s="14" t="s">
        <v>4620</v>
      </c>
      <c r="D4601" s="1"/>
      <c r="E4601" s="1"/>
      <c r="F4601" s="1" t="str">
        <f>IFERROR(__xludf.DUMMYFUNCTION("GOOGLETRANSLATE(B4601, ""en"", ""fa"")
"),"مشاوره دوستیابی")</f>
        <v>مشاوره دوستیابی</v>
      </c>
      <c r="G4601" s="1" t="str">
        <f>IFERROR(__xludf.DUMMYFUNCTION("GOOGLETRANSLATE(C4601, ""en"", ""fa"")
"),"چند استراتژی برای استفاده از بازکننده‌هایی که شروع کننده مکالمه در مورد سفر یا ماجراجویی، تقویت حس هیجان و تجربیات مشترک هستند، چیست؟")</f>
        <v>چند استراتژی برای استفاده از بازکننده‌هایی که شروع کننده مکالمه در مورد سفر یا ماجراجویی، تقویت حس هیجان و تجربیات مشترک هستند، چیست؟</v>
      </c>
      <c r="H4601" s="1"/>
      <c r="I4601" s="1"/>
      <c r="J4601" s="1"/>
      <c r="K4601" s="1"/>
      <c r="L4601" s="1"/>
      <c r="M4601" s="1"/>
      <c r="N4601" s="1"/>
      <c r="O4601" s="1"/>
      <c r="P4601" s="1"/>
      <c r="Q4601" s="1"/>
      <c r="R4601" s="1"/>
      <c r="S4601" s="1"/>
      <c r="T4601" s="1"/>
      <c r="U4601" s="1"/>
      <c r="V4601" s="1"/>
      <c r="W4601" s="1"/>
      <c r="X4601" s="1"/>
      <c r="Y4601" s="1"/>
      <c r="Z4601" s="1"/>
      <c r="AA4601" s="1"/>
      <c r="AB4601" s="1"/>
    </row>
    <row r="4602" ht="50.25" customHeight="1">
      <c r="A4602" s="12">
        <v>4598.0</v>
      </c>
      <c r="B4602" s="13" t="s">
        <v>4379</v>
      </c>
      <c r="C4602" s="14" t="s">
        <v>4621</v>
      </c>
      <c r="D4602" s="1"/>
      <c r="E4602" s="1"/>
      <c r="F4602" s="1" t="str">
        <f>IFERROR(__xludf.DUMMYFUNCTION("GOOGLETRANSLATE(B4602, ""en"", ""fa"")
"),"مشاوره دوستیابی")</f>
        <v>مشاوره دوستیابی</v>
      </c>
      <c r="G4602" s="1" t="str">
        <f>IFERROR(__xludf.DUMMYFUNCTION("GOOGLETRANSLATE(C4602, ""en"", ""fa"")
"),"چگونه می‌توانم از بازکننده‌هایی استفاده کنم که سرگرمی‌ها یا علایق منحصربه‌فرد من را برای برجسته کردن و ایجاد فتنه به نمایش بگذارند؟")</f>
        <v>چگونه می‌توانم از بازکننده‌هایی استفاده کنم که سرگرمی‌ها یا علایق منحصربه‌فرد من را برای برجسته کردن و ایجاد فتنه به نمایش بگذارند؟</v>
      </c>
      <c r="H4602" s="1"/>
      <c r="I4602" s="1"/>
      <c r="J4602" s="1"/>
      <c r="K4602" s="1"/>
      <c r="L4602" s="1"/>
      <c r="M4602" s="1"/>
      <c r="N4602" s="1"/>
      <c r="O4602" s="1"/>
      <c r="P4602" s="1"/>
      <c r="Q4602" s="1"/>
      <c r="R4602" s="1"/>
      <c r="S4602" s="1"/>
      <c r="T4602" s="1"/>
      <c r="U4602" s="1"/>
      <c r="V4602" s="1"/>
      <c r="W4602" s="1"/>
      <c r="X4602" s="1"/>
      <c r="Y4602" s="1"/>
      <c r="Z4602" s="1"/>
      <c r="AA4602" s="1"/>
      <c r="AB4602" s="1"/>
    </row>
    <row r="4603" ht="50.25" customHeight="1">
      <c r="A4603" s="12">
        <v>4599.0</v>
      </c>
      <c r="B4603" s="13" t="s">
        <v>4379</v>
      </c>
      <c r="C4603" s="14" t="s">
        <v>4622</v>
      </c>
      <c r="D4603" s="1"/>
      <c r="E4603" s="1"/>
      <c r="F4603" s="1" t="str">
        <f>IFERROR(__xludf.DUMMYFUNCTION("GOOGLETRANSLATE(B4603, ""en"", ""fa"")
"),"مشاوره دوستیابی")</f>
        <v>مشاوره دوستیابی</v>
      </c>
      <c r="G4603" s="1" t="str">
        <f>IFERROR(__xludf.DUMMYFUNCTION("GOOGLETRANSLATE(C4603, ""en"", ""fa"")
"),"برای استفاده از بازکننده هایی که به ظاهر بدنی فرد به شکلی محترمانه و غیر عینی اشاره می کنند، بایدها و نبایدها چیست؟")</f>
        <v>برای استفاده از بازکننده هایی که به ظاهر بدنی فرد به شکلی محترمانه و غیر عینی اشاره می کنند، بایدها و نبایدها چیست؟</v>
      </c>
      <c r="H4603" s="1"/>
      <c r="I4603" s="1"/>
      <c r="J4603" s="1"/>
      <c r="K4603" s="1"/>
      <c r="L4603" s="1"/>
      <c r="M4603" s="1"/>
      <c r="N4603" s="1"/>
      <c r="O4603" s="1"/>
      <c r="P4603" s="1"/>
      <c r="Q4603" s="1"/>
      <c r="R4603" s="1"/>
      <c r="S4603" s="1"/>
      <c r="T4603" s="1"/>
      <c r="U4603" s="1"/>
      <c r="V4603" s="1"/>
      <c r="W4603" s="1"/>
      <c r="X4603" s="1"/>
      <c r="Y4603" s="1"/>
      <c r="Z4603" s="1"/>
      <c r="AA4603" s="1"/>
      <c r="AB4603" s="1"/>
    </row>
    <row r="4604" ht="50.25" customHeight="1">
      <c r="A4604" s="12">
        <v>4600.0</v>
      </c>
      <c r="B4604" s="13" t="s">
        <v>4379</v>
      </c>
      <c r="C4604" s="14" t="s">
        <v>4623</v>
      </c>
      <c r="D4604" s="1"/>
      <c r="E4604" s="1"/>
      <c r="F4604" s="1" t="str">
        <f>IFERROR(__xludf.DUMMYFUNCTION("GOOGLETRANSLATE(B4604, ""en"", ""fa"")
"),"مشاوره دوستیابی")</f>
        <v>مشاوره دوستیابی</v>
      </c>
      <c r="G4604" s="1" t="str">
        <f>IFERROR(__xludf.DUMMYFUNCTION("GOOGLETRANSLATE(C4604, ""en"", ""fa"")
"),"چگونه می توانم از بازکننده هایی استفاده کنم که شروع کننده مکالمه در مورد غذا یا تجربیات آشپزی هستند تا با علایق فرد ارتباط برقرار کنم؟")</f>
        <v>چگونه می توانم از بازکننده هایی استفاده کنم که شروع کننده مکالمه در مورد غذا یا تجربیات آشپزی هستند تا با علایق فرد ارتباط برقرار کنم؟</v>
      </c>
      <c r="H4604" s="1"/>
      <c r="I4604" s="1"/>
      <c r="J4604" s="1"/>
      <c r="K4604" s="1"/>
      <c r="L4604" s="1"/>
      <c r="M4604" s="1"/>
      <c r="N4604" s="1"/>
      <c r="O4604" s="1"/>
      <c r="P4604" s="1"/>
      <c r="Q4604" s="1"/>
      <c r="R4604" s="1"/>
      <c r="S4604" s="1"/>
      <c r="T4604" s="1"/>
      <c r="U4604" s="1"/>
      <c r="V4604" s="1"/>
      <c r="W4604" s="1"/>
      <c r="X4604" s="1"/>
      <c r="Y4604" s="1"/>
      <c r="Z4604" s="1"/>
      <c r="AA4604" s="1"/>
      <c r="AB4604" s="1"/>
    </row>
    <row r="4605" ht="50.25" customHeight="1">
      <c r="A4605" s="12">
        <v>4601.0</v>
      </c>
      <c r="B4605" s="13" t="s">
        <v>4379</v>
      </c>
      <c r="C4605" s="14" t="s">
        <v>4624</v>
      </c>
      <c r="D4605" s="1"/>
      <c r="E4605" s="1"/>
      <c r="F4605" s="1" t="str">
        <f>IFERROR(__xludf.DUMMYFUNCTION("GOOGLETRANSLATE(B4605, ""en"", ""fa"")
"),"مشاوره دوستیابی")</f>
        <v>مشاوره دوستیابی</v>
      </c>
      <c r="G4605" s="1" t="str">
        <f>IFERROR(__xludf.DUMMYFUNCTION("GOOGLETRANSLATE(C4605, ""en"", ""fa"")
"),"نکاتی برای استفاده از بازکننده‌هایی که آسیب‌پذیری و اصالت را نشان می‌دهند و فرد را به انجام همین کار دعوت می‌کنند چیست؟")</f>
        <v>نکاتی برای استفاده از بازکننده‌هایی که آسیب‌پذیری و اصالت را نشان می‌دهند و فرد را به انجام همین کار دعوت می‌کنند چیست؟</v>
      </c>
      <c r="H4605" s="1"/>
      <c r="I4605" s="1"/>
      <c r="J4605" s="1"/>
      <c r="K4605" s="1"/>
      <c r="L4605" s="1"/>
      <c r="M4605" s="1"/>
      <c r="N4605" s="1"/>
      <c r="O4605" s="1"/>
      <c r="P4605" s="1"/>
      <c r="Q4605" s="1"/>
      <c r="R4605" s="1"/>
      <c r="S4605" s="1"/>
      <c r="T4605" s="1"/>
      <c r="U4605" s="1"/>
      <c r="V4605" s="1"/>
      <c r="W4605" s="1"/>
      <c r="X4605" s="1"/>
      <c r="Y4605" s="1"/>
      <c r="Z4605" s="1"/>
      <c r="AA4605" s="1"/>
      <c r="AB4605" s="1"/>
    </row>
    <row r="4606" ht="50.25" customHeight="1">
      <c r="A4606" s="12">
        <v>4602.0</v>
      </c>
      <c r="B4606" s="13" t="s">
        <v>4379</v>
      </c>
      <c r="C4606" s="14" t="s">
        <v>4625</v>
      </c>
      <c r="D4606" s="1"/>
      <c r="E4606" s="1"/>
      <c r="F4606" s="1" t="str">
        <f>IFERROR(__xludf.DUMMYFUNCTION("GOOGLETRANSLATE(B4606, ""en"", ""fa"")
"),"مشاوره دوستیابی")</f>
        <v>مشاوره دوستیابی</v>
      </c>
      <c r="G4606" s="1" t="str">
        <f>IFERROR(__xludf.DUMMYFUNCTION("GOOGLETRANSLATE(C4606, ""en"", ""fa"")
"),"چگونه می توانم از بازکن هایی استفاده کنم که شامل یک تعریف واقعی و خاص است تا به شخص احساس خاص بودن بدهد؟")</f>
        <v>چگونه می توانم از بازکن هایی استفاده کنم که شامل یک تعریف واقعی و خاص است تا به شخص احساس خاص بودن بدهد؟</v>
      </c>
      <c r="H4606" s="1"/>
      <c r="I4606" s="1"/>
      <c r="J4606" s="1"/>
      <c r="K4606" s="1"/>
      <c r="L4606" s="1"/>
      <c r="M4606" s="1"/>
      <c r="N4606" s="1"/>
      <c r="O4606" s="1"/>
      <c r="P4606" s="1"/>
      <c r="Q4606" s="1"/>
      <c r="R4606" s="1"/>
      <c r="S4606" s="1"/>
      <c r="T4606" s="1"/>
      <c r="U4606" s="1"/>
      <c r="V4606" s="1"/>
      <c r="W4606" s="1"/>
      <c r="X4606" s="1"/>
      <c r="Y4606" s="1"/>
      <c r="Z4606" s="1"/>
      <c r="AA4606" s="1"/>
      <c r="AB4606" s="1"/>
    </row>
    <row r="4607" ht="50.25" customHeight="1">
      <c r="A4607" s="12">
        <v>4603.0</v>
      </c>
      <c r="B4607" s="13" t="s">
        <v>4379</v>
      </c>
      <c r="C4607" s="14" t="s">
        <v>4626</v>
      </c>
      <c r="D4607" s="1"/>
      <c r="E4607" s="1"/>
      <c r="F4607" s="1" t="str">
        <f>IFERROR(__xludf.DUMMYFUNCTION("GOOGLETRANSLATE(B4607, ""en"", ""fa"")
"),"مشاوره دوستیابی")</f>
        <v>مشاوره دوستیابی</v>
      </c>
      <c r="G4607" s="1" t="str">
        <f>IFERROR(__xludf.DUMMYFUNCTION("GOOGLETRANSLATE(C4607, ""en"", ""fa"")
"),"چه تکنیک هایی برای استفاده از بازکن ها وجود دارد که با بازیگوشی فرد را به حدس زدن یا پاسخ به یک سوال یا معما سرگرم کننده دعوت می کند؟")</f>
        <v>چه تکنیک هایی برای استفاده از بازکن ها وجود دارد که با بازیگوشی فرد را به حدس زدن یا پاسخ به یک سوال یا معما سرگرم کننده دعوت می کند؟</v>
      </c>
      <c r="H4607" s="1"/>
      <c r="I4607" s="1"/>
      <c r="J4607" s="1"/>
      <c r="K4607" s="1"/>
      <c r="L4607" s="1"/>
      <c r="M4607" s="1"/>
      <c r="N4607" s="1"/>
      <c r="O4607" s="1"/>
      <c r="P4607" s="1"/>
      <c r="Q4607" s="1"/>
      <c r="R4607" s="1"/>
      <c r="S4607" s="1"/>
      <c r="T4607" s="1"/>
      <c r="U4607" s="1"/>
      <c r="V4607" s="1"/>
      <c r="W4607" s="1"/>
      <c r="X4607" s="1"/>
      <c r="Y4607" s="1"/>
      <c r="Z4607" s="1"/>
      <c r="AA4607" s="1"/>
      <c r="AB4607" s="1"/>
    </row>
    <row r="4608" ht="50.25" customHeight="1">
      <c r="A4608" s="12">
        <v>4604.0</v>
      </c>
      <c r="B4608" s="13" t="s">
        <v>4379</v>
      </c>
      <c r="C4608" s="14" t="s">
        <v>4627</v>
      </c>
      <c r="D4608" s="1"/>
      <c r="E4608" s="1"/>
      <c r="F4608" s="1" t="str">
        <f>IFERROR(__xludf.DUMMYFUNCTION("GOOGLETRANSLATE(B4608, ""en"", ""fa"")
"),"مشاوره دوستیابی")</f>
        <v>مشاوره دوستیابی</v>
      </c>
      <c r="G4608" s="1" t="str">
        <f>IFERROR(__xludf.DUMMYFUNCTION("GOOGLETRANSLATE(C4608, ""en"", ""fa"")
"),"چگونه می‌توانم بازکن‌هایم را طوری تنظیم کنم که با سبک ارتباطی ترجیحی افراد مطابقت داشته باشد، چه آنها شوخی‌های معمولی یا گفتگوهای عمیق را ترجیح دهند؟")</f>
        <v>چگونه می‌توانم بازکن‌هایم را طوری تنظیم کنم که با سبک ارتباطی ترجیحی افراد مطابقت داشته باشد، چه آنها شوخی‌های معمولی یا گفتگوهای عمیق را ترجیح دهند؟</v>
      </c>
      <c r="H4608" s="1"/>
      <c r="I4608" s="1"/>
      <c r="J4608" s="1"/>
      <c r="K4608" s="1"/>
      <c r="L4608" s="1"/>
      <c r="M4608" s="1"/>
      <c r="N4608" s="1"/>
      <c r="O4608" s="1"/>
      <c r="P4608" s="1"/>
      <c r="Q4608" s="1"/>
      <c r="R4608" s="1"/>
      <c r="S4608" s="1"/>
      <c r="T4608" s="1"/>
      <c r="U4608" s="1"/>
      <c r="V4608" s="1"/>
      <c r="W4608" s="1"/>
      <c r="X4608" s="1"/>
      <c r="Y4608" s="1"/>
      <c r="Z4608" s="1"/>
      <c r="AA4608" s="1"/>
      <c r="AB4608" s="1"/>
    </row>
    <row r="4609" ht="50.25" customHeight="1">
      <c r="A4609" s="12">
        <v>4605.0</v>
      </c>
      <c r="B4609" s="13" t="s">
        <v>4379</v>
      </c>
      <c r="C4609" s="14" t="s">
        <v>4628</v>
      </c>
      <c r="D4609" s="1"/>
      <c r="E4609" s="1"/>
      <c r="F4609" s="1" t="str">
        <f>IFERROR(__xludf.DUMMYFUNCTION("GOOGLETRANSLATE(B4609, ""en"", ""fa"")
"),"مشاوره دوستیابی")</f>
        <v>مشاوره دوستیابی</v>
      </c>
      <c r="G4609" s="1" t="str">
        <f>IFERROR(__xludf.DUMMYFUNCTION("GOOGLETRANSLATE(C4609, ""en"", ""fa"")
"),"چند استراتژی برای استفاده از بازکننده هایی که دانش یا تخصص من را در زمینه یا موضوع خاصی به نمایش می گذارند چیست؟")</f>
        <v>چند استراتژی برای استفاده از بازکننده هایی که دانش یا تخصص من را در زمینه یا موضوع خاصی به نمایش می گذارند چیست؟</v>
      </c>
      <c r="H4609" s="1"/>
      <c r="I4609" s="1"/>
      <c r="J4609" s="1"/>
      <c r="K4609" s="1"/>
      <c r="L4609" s="1"/>
      <c r="M4609" s="1"/>
      <c r="N4609" s="1"/>
      <c r="O4609" s="1"/>
      <c r="P4609" s="1"/>
      <c r="Q4609" s="1"/>
      <c r="R4609" s="1"/>
      <c r="S4609" s="1"/>
      <c r="T4609" s="1"/>
      <c r="U4609" s="1"/>
      <c r="V4609" s="1"/>
      <c r="W4609" s="1"/>
      <c r="X4609" s="1"/>
      <c r="Y4609" s="1"/>
      <c r="Z4609" s="1"/>
      <c r="AA4609" s="1"/>
      <c r="AB4609" s="1"/>
    </row>
    <row r="4610" ht="50.25" customHeight="1">
      <c r="A4610" s="12">
        <v>4606.0</v>
      </c>
      <c r="B4610" s="13" t="s">
        <v>4379</v>
      </c>
      <c r="C4610" s="14" t="s">
        <v>4629</v>
      </c>
      <c r="D4610" s="1"/>
      <c r="E4610" s="1"/>
      <c r="F4610" s="1" t="str">
        <f>IFERROR(__xludf.DUMMYFUNCTION("GOOGLETRANSLATE(B4610, ""en"", ""fa"")
"),"مشاوره دوستیابی")</f>
        <v>مشاوره دوستیابی</v>
      </c>
      <c r="G4610" s="1" t="str">
        <f>IFERROR(__xludf.DUMMYFUNCTION("GOOGLETRANSLATE(C4610, ""en"", ""fa"")
"),"چگونه می‌توانم از بازکننده‌هایی استفاده کنم که مکالمه‌ای درباره موسیقی یا سرگرمی را آغاز می‌کنند و از علایق و ترجیحات مشترک استفاده می‌کنند؟")</f>
        <v>چگونه می‌توانم از بازکننده‌هایی استفاده کنم که مکالمه‌ای درباره موسیقی یا سرگرمی را آغاز می‌کنند و از علایق و ترجیحات مشترک استفاده می‌کنند؟</v>
      </c>
      <c r="H4610" s="1"/>
      <c r="I4610" s="1"/>
      <c r="J4610" s="1"/>
      <c r="K4610" s="1"/>
      <c r="L4610" s="1"/>
      <c r="M4610" s="1"/>
      <c r="N4610" s="1"/>
      <c r="O4610" s="1"/>
      <c r="P4610" s="1"/>
      <c r="Q4610" s="1"/>
      <c r="R4610" s="1"/>
      <c r="S4610" s="1"/>
      <c r="T4610" s="1"/>
      <c r="U4610" s="1"/>
      <c r="V4610" s="1"/>
      <c r="W4610" s="1"/>
      <c r="X4610" s="1"/>
      <c r="Y4610" s="1"/>
      <c r="Z4610" s="1"/>
      <c r="AA4610" s="1"/>
      <c r="AB4610" s="1"/>
    </row>
    <row r="4611" ht="50.25" customHeight="1">
      <c r="A4611" s="12">
        <v>4607.0</v>
      </c>
      <c r="B4611" s="13" t="s">
        <v>4379</v>
      </c>
      <c r="C4611" s="14" t="s">
        <v>4630</v>
      </c>
      <c r="D4611" s="1"/>
      <c r="E4611" s="1"/>
      <c r="F4611" s="1" t="str">
        <f>IFERROR(__xludf.DUMMYFUNCTION("GOOGLETRANSLATE(B4611, ""en"", ""fa"")
"),"مشاوره دوستیابی")</f>
        <v>مشاوره دوستیابی</v>
      </c>
      <c r="G4611" s="1" t="str">
        <f>IFERROR(__xludf.DUMMYFUNCTION("GOOGLETRANSLATE(C4611, ""en"", ""fa"")
"),"چند نکته برای استفاده از بازکننده‌هایی که گوش دادن فعال را نشان می‌دهند، ارجاع دادن به چیزی که شخص در مکالمه قبلی به آن اشاره کرده یا نمایه‌اش چیست؟")</f>
        <v>چند نکته برای استفاده از بازکننده‌هایی که گوش دادن فعال را نشان می‌دهند، ارجاع دادن به چیزی که شخص در مکالمه قبلی به آن اشاره کرده یا نمایه‌اش چیست؟</v>
      </c>
      <c r="H4611" s="1"/>
      <c r="I4611" s="1"/>
      <c r="J4611" s="1"/>
      <c r="K4611" s="1"/>
      <c r="L4611" s="1"/>
      <c r="M4611" s="1"/>
      <c r="N4611" s="1"/>
      <c r="O4611" s="1"/>
      <c r="P4611" s="1"/>
      <c r="Q4611" s="1"/>
      <c r="R4611" s="1"/>
      <c r="S4611" s="1"/>
      <c r="T4611" s="1"/>
      <c r="U4611" s="1"/>
      <c r="V4611" s="1"/>
      <c r="W4611" s="1"/>
      <c r="X4611" s="1"/>
      <c r="Y4611" s="1"/>
      <c r="Z4611" s="1"/>
      <c r="AA4611" s="1"/>
      <c r="AB4611" s="1"/>
    </row>
    <row r="4612" ht="50.25" customHeight="1">
      <c r="A4612" s="12">
        <v>4608.0</v>
      </c>
      <c r="B4612" s="13" t="s">
        <v>4379</v>
      </c>
      <c r="C4612" s="14" t="s">
        <v>4631</v>
      </c>
      <c r="D4612" s="1"/>
      <c r="E4612" s="1"/>
      <c r="F4612" s="1" t="str">
        <f>IFERROR(__xludf.DUMMYFUNCTION("GOOGLETRANSLATE(B4612, ""en"", ""fa"")
"),"مشاوره دوستیابی")</f>
        <v>مشاوره دوستیابی</v>
      </c>
      <c r="G4612" s="1" t="str">
        <f>IFERROR(__xludf.DUMMYFUNCTION("GOOGLETRANSLATE(C4612, ""en"", ""fa"")
"),"چگونه می توانم از بازکننده هایی استفاده کنم که فرد را به اشتراک گذاری یک داستان خنده دار یا شرم آور دعوت می کند و لحنی سبک و طنز ایجاد می کند؟")</f>
        <v>چگونه می توانم از بازکننده هایی استفاده کنم که فرد را به اشتراک گذاری یک داستان خنده دار یا شرم آور دعوت می کند و لحنی سبک و طنز ایجاد می کند؟</v>
      </c>
      <c r="H4612" s="1"/>
      <c r="I4612" s="1"/>
      <c r="J4612" s="1"/>
      <c r="K4612" s="1"/>
      <c r="L4612" s="1"/>
      <c r="M4612" s="1"/>
      <c r="N4612" s="1"/>
      <c r="O4612" s="1"/>
      <c r="P4612" s="1"/>
      <c r="Q4612" s="1"/>
      <c r="R4612" s="1"/>
      <c r="S4612" s="1"/>
      <c r="T4612" s="1"/>
      <c r="U4612" s="1"/>
      <c r="V4612" s="1"/>
      <c r="W4612" s="1"/>
      <c r="X4612" s="1"/>
      <c r="Y4612" s="1"/>
      <c r="Z4612" s="1"/>
      <c r="AA4612" s="1"/>
      <c r="AB4612" s="1"/>
    </row>
    <row r="4613" ht="50.25" customHeight="1">
      <c r="A4613" s="12">
        <v>4609.0</v>
      </c>
      <c r="B4613" s="13" t="s">
        <v>4379</v>
      </c>
      <c r="C4613" s="14" t="s">
        <v>4632</v>
      </c>
      <c r="D4613" s="1"/>
      <c r="E4613" s="1"/>
      <c r="F4613" s="1" t="str">
        <f>IFERROR(__xludf.DUMMYFUNCTION("GOOGLETRANSLATE(B4613, ""en"", ""fa"")
"),"مشاوره دوستیابی")</f>
        <v>مشاوره دوستیابی</v>
      </c>
      <c r="G4613" s="1" t="str">
        <f>IFERROR(__xludf.DUMMYFUNCTION("GOOGLETRANSLATE(C4613, ""en"", ""fa"")
"),"چه تکنیک هایی برای استفاده از بازکننده ها وجود دارد که شروع کننده مکالمه درباره کتاب یا ادبیات است و عقل و کنجکاوی فرد را درگیر می کند؟")</f>
        <v>چه تکنیک هایی برای استفاده از بازکننده ها وجود دارد که شروع کننده مکالمه درباره کتاب یا ادبیات است و عقل و کنجکاوی فرد را درگیر می کند؟</v>
      </c>
      <c r="H4613" s="1"/>
      <c r="I4613" s="1"/>
      <c r="J4613" s="1"/>
      <c r="K4613" s="1"/>
      <c r="L4613" s="1"/>
      <c r="M4613" s="1"/>
      <c r="N4613" s="1"/>
      <c r="O4613" s="1"/>
      <c r="P4613" s="1"/>
      <c r="Q4613" s="1"/>
      <c r="R4613" s="1"/>
      <c r="S4613" s="1"/>
      <c r="T4613" s="1"/>
      <c r="U4613" s="1"/>
      <c r="V4613" s="1"/>
      <c r="W4613" s="1"/>
      <c r="X4613" s="1"/>
      <c r="Y4613" s="1"/>
      <c r="Z4613" s="1"/>
      <c r="AA4613" s="1"/>
      <c r="AB4613" s="1"/>
    </row>
    <row r="4614" ht="50.25" customHeight="1">
      <c r="A4614" s="12">
        <v>4610.0</v>
      </c>
      <c r="B4614" s="13" t="s">
        <v>4379</v>
      </c>
      <c r="C4614" s="14" t="s">
        <v>4633</v>
      </c>
      <c r="D4614" s="1"/>
      <c r="E4614" s="1"/>
      <c r="F4614" s="1" t="str">
        <f>IFERROR(__xludf.DUMMYFUNCTION("GOOGLETRANSLATE(B4614, ""en"", ""fa"")
"),"مشاوره دوستیابی")</f>
        <v>مشاوره دوستیابی</v>
      </c>
      <c r="G4614" s="1" t="str">
        <f>IFERROR(__xludf.DUMMYFUNCTION("GOOGLETRANSLATE(C4614, ""en"", ""fa"")
"),"چگونه می توانم از بازکننده هایی استفاده کنم که قدردانی من از هنر، فرهنگ یا خلاقیت را نشان می دهد و از فرد دعوت می کند تا علایق خود را در این زمینه ها به اشتراک بگذارد؟")</f>
        <v>چگونه می توانم از بازکننده هایی استفاده کنم که قدردانی من از هنر، فرهنگ یا خلاقیت را نشان می دهد و از فرد دعوت می کند تا علایق خود را در این زمینه ها به اشتراک بگذارد؟</v>
      </c>
      <c r="H4614" s="1"/>
      <c r="I4614" s="1"/>
      <c r="J4614" s="1"/>
      <c r="K4614" s="1"/>
      <c r="L4614" s="1"/>
      <c r="M4614" s="1"/>
      <c r="N4614" s="1"/>
      <c r="O4614" s="1"/>
      <c r="P4614" s="1"/>
      <c r="Q4614" s="1"/>
      <c r="R4614" s="1"/>
      <c r="S4614" s="1"/>
      <c r="T4614" s="1"/>
      <c r="U4614" s="1"/>
      <c r="V4614" s="1"/>
      <c r="W4614" s="1"/>
      <c r="X4614" s="1"/>
      <c r="Y4614" s="1"/>
      <c r="Z4614" s="1"/>
      <c r="AA4614" s="1"/>
      <c r="AB4614" s="1"/>
    </row>
    <row r="4615" ht="50.25" customHeight="1">
      <c r="A4615" s="12">
        <v>4611.0</v>
      </c>
      <c r="B4615" s="13" t="s">
        <v>4379</v>
      </c>
      <c r="C4615" s="14" t="s">
        <v>4634</v>
      </c>
      <c r="D4615" s="1"/>
      <c r="E4615" s="1"/>
      <c r="F4615" s="1" t="str">
        <f>IFERROR(__xludf.DUMMYFUNCTION("GOOGLETRANSLATE(B4615, ""en"", ""fa"")
"),"مشاوره دوستیابی")</f>
        <v>مشاوره دوستیابی</v>
      </c>
      <c r="G4615" s="1" t="str">
        <f>IFERROR(__xludf.DUMMYFUNCTION("GOOGLETRANSLATE(C4615, ""en"", ""fa"")
"),"برای استفاده از بازکننده هایی که به دستاوردها یا دستاوردهای شخصی فرد اشاره می کنند، بایدها و نبایدها چیست؟")</f>
        <v>برای استفاده از بازکننده هایی که به دستاوردها یا دستاوردهای شخصی فرد اشاره می کنند، بایدها و نبایدها چیست؟</v>
      </c>
      <c r="H4615" s="1"/>
      <c r="I4615" s="1"/>
      <c r="J4615" s="1"/>
      <c r="K4615" s="1"/>
      <c r="L4615" s="1"/>
      <c r="M4615" s="1"/>
      <c r="N4615" s="1"/>
      <c r="O4615" s="1"/>
      <c r="P4615" s="1"/>
      <c r="Q4615" s="1"/>
      <c r="R4615" s="1"/>
      <c r="S4615" s="1"/>
      <c r="T4615" s="1"/>
      <c r="U4615" s="1"/>
      <c r="V4615" s="1"/>
      <c r="W4615" s="1"/>
      <c r="X4615" s="1"/>
      <c r="Y4615" s="1"/>
      <c r="Z4615" s="1"/>
      <c r="AA4615" s="1"/>
      <c r="AB4615" s="1"/>
    </row>
    <row r="4616" ht="50.25" customHeight="1">
      <c r="A4616" s="12">
        <v>4612.0</v>
      </c>
      <c r="B4616" s="13" t="s">
        <v>4379</v>
      </c>
      <c r="C4616" s="14" t="s">
        <v>4635</v>
      </c>
      <c r="D4616" s="1"/>
      <c r="E4616" s="1"/>
      <c r="F4616" s="1" t="str">
        <f>IFERROR(__xludf.DUMMYFUNCTION("GOOGLETRANSLATE(B4616, ""en"", ""fa"")
"),"مشاوره دوستیابی")</f>
        <v>مشاوره دوستیابی</v>
      </c>
      <c r="G4616" s="1" t="str">
        <f>IFERROR(__xludf.DUMMYFUNCTION("GOOGLETRANSLATE(C4616, ""en"", ""fa"")
"),"چگونه می توانم از بازکننده هایی استفاده کنم که شروع کننده مکالمه در مورد تناسب اندام یا تناسب اندام است و نشان می دهد که برای سبک زندگی سالم ارزش قائل هستم؟")</f>
        <v>چگونه می توانم از بازکننده هایی استفاده کنم که شروع کننده مکالمه در مورد تناسب اندام یا تناسب اندام است و نشان می دهد که برای سبک زندگی سالم ارزش قائل هستم؟</v>
      </c>
      <c r="H4616" s="1"/>
      <c r="I4616" s="1"/>
      <c r="J4616" s="1"/>
      <c r="K4616" s="1"/>
      <c r="L4616" s="1"/>
      <c r="M4616" s="1"/>
      <c r="N4616" s="1"/>
      <c r="O4616" s="1"/>
      <c r="P4616" s="1"/>
      <c r="Q4616" s="1"/>
      <c r="R4616" s="1"/>
      <c r="S4616" s="1"/>
      <c r="T4616" s="1"/>
      <c r="U4616" s="1"/>
      <c r="V4616" s="1"/>
      <c r="W4616" s="1"/>
      <c r="X4616" s="1"/>
      <c r="Y4616" s="1"/>
      <c r="Z4616" s="1"/>
      <c r="AA4616" s="1"/>
      <c r="AB4616" s="1"/>
    </row>
    <row r="4617" ht="50.25" customHeight="1">
      <c r="A4617" s="12">
        <v>4613.0</v>
      </c>
      <c r="B4617" s="13" t="s">
        <v>4379</v>
      </c>
      <c r="C4617" s="14" t="s">
        <v>4636</v>
      </c>
      <c r="D4617" s="1"/>
      <c r="E4617" s="1"/>
      <c r="F4617" s="1" t="str">
        <f>IFERROR(__xludf.DUMMYFUNCTION("GOOGLETRANSLATE(B4617, ""en"", ""fa"")
"),"مشاوره دوستیابی")</f>
        <v>مشاوره دوستیابی</v>
      </c>
      <c r="G4617" s="1" t="str">
        <f>IFERROR(__xludf.DUMMYFUNCTION("GOOGLETRANSLATE(C4617, ""en"", ""fa"")
"),"چند استراتژی برای استفاده از بازکننده‌هایی که حس نوستالژی یا علاقه ایجاد می‌کنند، استفاده از تجربیات یا خاطرات مشترک چیست؟")</f>
        <v>چند استراتژی برای استفاده از بازکننده‌هایی که حس نوستالژی یا علاقه ایجاد می‌کنند، استفاده از تجربیات یا خاطرات مشترک چیست؟</v>
      </c>
      <c r="H4617" s="1"/>
      <c r="I4617" s="1"/>
      <c r="J4617" s="1"/>
      <c r="K4617" s="1"/>
      <c r="L4617" s="1"/>
      <c r="M4617" s="1"/>
      <c r="N4617" s="1"/>
      <c r="O4617" s="1"/>
      <c r="P4617" s="1"/>
      <c r="Q4617" s="1"/>
      <c r="R4617" s="1"/>
      <c r="S4617" s="1"/>
      <c r="T4617" s="1"/>
      <c r="U4617" s="1"/>
      <c r="V4617" s="1"/>
      <c r="W4617" s="1"/>
      <c r="X4617" s="1"/>
      <c r="Y4617" s="1"/>
      <c r="Z4617" s="1"/>
      <c r="AA4617" s="1"/>
      <c r="AB4617" s="1"/>
    </row>
    <row r="4618" ht="50.25" customHeight="1">
      <c r="A4618" s="12">
        <v>4614.0</v>
      </c>
      <c r="B4618" s="13" t="s">
        <v>4379</v>
      </c>
      <c r="C4618" s="14" t="s">
        <v>4637</v>
      </c>
      <c r="D4618" s="1"/>
      <c r="E4618" s="1"/>
      <c r="F4618" s="1" t="str">
        <f>IFERROR(__xludf.DUMMYFUNCTION("GOOGLETRANSLATE(B4618, ""en"", ""fa"")
"),"مشاوره دوستیابی")</f>
        <v>مشاوره دوستیابی</v>
      </c>
      <c r="G4618" s="1" t="str">
        <f>IFERROR(__xludf.DUMMYFUNCTION("GOOGLETRANSLATE(C4618, ""en"", ""fa"")
"),"چگونه می توانم از بازکننده هایی استفاده کنم که مثبت و خوش بینی را القا می کنند و لحن خوشامدگویی و نشاط بخشی را برای گفتگو ایجاد می کنند؟")</f>
        <v>چگونه می توانم از بازکننده هایی استفاده کنم که مثبت و خوش بینی را القا می کنند و لحن خوشامدگویی و نشاط بخشی را برای گفتگو ایجاد می کنند؟</v>
      </c>
      <c r="H4618" s="1"/>
      <c r="I4618" s="1"/>
      <c r="J4618" s="1"/>
      <c r="K4618" s="1"/>
      <c r="L4618" s="1"/>
      <c r="M4618" s="1"/>
      <c r="N4618" s="1"/>
      <c r="O4618" s="1"/>
      <c r="P4618" s="1"/>
      <c r="Q4618" s="1"/>
      <c r="R4618" s="1"/>
      <c r="S4618" s="1"/>
      <c r="T4618" s="1"/>
      <c r="U4618" s="1"/>
      <c r="V4618" s="1"/>
      <c r="W4618" s="1"/>
      <c r="X4618" s="1"/>
      <c r="Y4618" s="1"/>
      <c r="Z4618" s="1"/>
      <c r="AA4618" s="1"/>
      <c r="AB4618" s="1"/>
    </row>
    <row r="4619" ht="50.25" customHeight="1">
      <c r="A4619" s="12">
        <v>4615.0</v>
      </c>
      <c r="B4619" s="13" t="s">
        <v>4379</v>
      </c>
      <c r="C4619" s="14" t="s">
        <v>4638</v>
      </c>
      <c r="D4619" s="1"/>
      <c r="E4619" s="1"/>
      <c r="F4619" s="1" t="str">
        <f>IFERROR(__xludf.DUMMYFUNCTION("GOOGLETRANSLATE(B4619, ""en"", ""fa"")
"),"مشاوره دوستیابی")</f>
        <v>مشاوره دوستیابی</v>
      </c>
      <c r="G4619" s="1" t="str">
        <f>IFERROR(__xludf.DUMMYFUNCTION("GOOGLETRANSLATE(C4619, ""en"", ""fa"")
"),"چگونه می توانم شرح نمایه ای ایجاد کنم که شخصیت و علایق منحصر به فرد من را نشان دهد؟")</f>
        <v>چگونه می توانم شرح نمایه ای ایجاد کنم که شخصیت و علایق منحصر به فرد من را نشان دهد؟</v>
      </c>
      <c r="H4619" s="1"/>
      <c r="I4619" s="1"/>
      <c r="J4619" s="1"/>
      <c r="K4619" s="1"/>
      <c r="L4619" s="1"/>
      <c r="M4619" s="1"/>
      <c r="N4619" s="1"/>
      <c r="O4619" s="1"/>
      <c r="P4619" s="1"/>
      <c r="Q4619" s="1"/>
      <c r="R4619" s="1"/>
      <c r="S4619" s="1"/>
      <c r="T4619" s="1"/>
      <c r="U4619" s="1"/>
      <c r="V4619" s="1"/>
      <c r="W4619" s="1"/>
      <c r="X4619" s="1"/>
      <c r="Y4619" s="1"/>
      <c r="Z4619" s="1"/>
      <c r="AA4619" s="1"/>
      <c r="AB4619" s="1"/>
    </row>
    <row r="4620" ht="50.25" customHeight="1">
      <c r="A4620" s="12">
        <v>4616.0</v>
      </c>
      <c r="B4620" s="13" t="s">
        <v>4379</v>
      </c>
      <c r="C4620" s="14" t="s">
        <v>4639</v>
      </c>
      <c r="D4620" s="1"/>
      <c r="E4620" s="1"/>
      <c r="F4620" s="1" t="str">
        <f>IFERROR(__xludf.DUMMYFUNCTION("GOOGLETRANSLATE(B4620, ""en"", ""fa"")
"),"مشاوره دوستیابی")</f>
        <v>مشاوره دوستیابی</v>
      </c>
      <c r="G4620" s="1" t="str">
        <f>IFERROR(__xludf.DUMMYFUNCTION("GOOGLETRANSLATE(C4620, ""en"", ""fa"")
"),"چند راه موثر برای نشان دادن حس شوخ طبعی من در توضیحات نمایه من چیست؟")</f>
        <v>چند راه موثر برای نشان دادن حس شوخ طبعی من در توضیحات نمایه من چیست؟</v>
      </c>
      <c r="H4620" s="1"/>
      <c r="I4620" s="1"/>
      <c r="J4620" s="1"/>
      <c r="K4620" s="1"/>
      <c r="L4620" s="1"/>
      <c r="M4620" s="1"/>
      <c r="N4620" s="1"/>
      <c r="O4620" s="1"/>
      <c r="P4620" s="1"/>
      <c r="Q4620" s="1"/>
      <c r="R4620" s="1"/>
      <c r="S4620" s="1"/>
      <c r="T4620" s="1"/>
      <c r="U4620" s="1"/>
      <c r="V4620" s="1"/>
      <c r="W4620" s="1"/>
      <c r="X4620" s="1"/>
      <c r="Y4620" s="1"/>
      <c r="Z4620" s="1"/>
      <c r="AA4620" s="1"/>
      <c r="AB4620" s="1"/>
    </row>
    <row r="4621" ht="50.25" customHeight="1">
      <c r="A4621" s="12">
        <v>4617.0</v>
      </c>
      <c r="B4621" s="13" t="s">
        <v>4379</v>
      </c>
      <c r="C4621" s="14" t="s">
        <v>4640</v>
      </c>
      <c r="D4621" s="1"/>
      <c r="E4621" s="1"/>
      <c r="F4621" s="1" t="str">
        <f>IFERROR(__xludf.DUMMYFUNCTION("GOOGLETRANSLATE(B4621, ""en"", ""fa"")
"),"مشاوره دوستیابی")</f>
        <v>مشاوره دوستیابی</v>
      </c>
      <c r="G4621" s="1" t="str">
        <f>IFERROR(__xludf.DUMMYFUNCTION("GOOGLETRANSLATE(C4621, ""en"", ""fa"")
"),"چگونه می توانم از تکنیک های داستان سرایی استفاده کنم تا توضیحات نمایه خود را جذاب و به یاد ماندنی کنم؟")</f>
        <v>چگونه می توانم از تکنیک های داستان سرایی استفاده کنم تا توضیحات نمایه خود را جذاب و به یاد ماندنی کنم؟</v>
      </c>
      <c r="H4621" s="1"/>
      <c r="I4621" s="1"/>
      <c r="J4621" s="1"/>
      <c r="K4621" s="1"/>
      <c r="L4621" s="1"/>
      <c r="M4621" s="1"/>
      <c r="N4621" s="1"/>
      <c r="O4621" s="1"/>
      <c r="P4621" s="1"/>
      <c r="Q4621" s="1"/>
      <c r="R4621" s="1"/>
      <c r="S4621" s="1"/>
      <c r="T4621" s="1"/>
      <c r="U4621" s="1"/>
      <c r="V4621" s="1"/>
      <c r="W4621" s="1"/>
      <c r="X4621" s="1"/>
      <c r="Y4621" s="1"/>
      <c r="Z4621" s="1"/>
      <c r="AA4621" s="1"/>
      <c r="AB4621" s="1"/>
    </row>
    <row r="4622" ht="50.25" customHeight="1">
      <c r="A4622" s="12">
        <v>4618.0</v>
      </c>
      <c r="B4622" s="13" t="s">
        <v>4379</v>
      </c>
      <c r="C4622" s="14" t="s">
        <v>4641</v>
      </c>
      <c r="D4622" s="1"/>
      <c r="E4622" s="1"/>
      <c r="F4622" s="1" t="str">
        <f>IFERROR(__xludf.DUMMYFUNCTION("GOOGLETRANSLATE(B4622, ""en"", ""fa"")
"),"مشاوره دوستیابی")</f>
        <v>مشاوره دوستیابی</v>
      </c>
      <c r="G4622" s="1" t="str">
        <f>IFERROR(__xludf.DUMMYFUNCTION("GOOGLETRANSLATE(C4622, ""en"", ""fa"")
"),"چند نکته برای استفاده از زبان توصیفی و تصاویر واضح برای ترسیم تصویری از شخصیت من در توضیحات نمایه من چیست؟")</f>
        <v>چند نکته برای استفاده از زبان توصیفی و تصاویر واضح برای ترسیم تصویری از شخصیت من در توضیحات نمایه من چیست؟</v>
      </c>
      <c r="H4622" s="1"/>
      <c r="I4622" s="1"/>
      <c r="J4622" s="1"/>
      <c r="K4622" s="1"/>
      <c r="L4622" s="1"/>
      <c r="M4622" s="1"/>
      <c r="N4622" s="1"/>
      <c r="O4622" s="1"/>
      <c r="P4622" s="1"/>
      <c r="Q4622" s="1"/>
      <c r="R4622" s="1"/>
      <c r="S4622" s="1"/>
      <c r="T4622" s="1"/>
      <c r="U4622" s="1"/>
      <c r="V4622" s="1"/>
      <c r="W4622" s="1"/>
      <c r="X4622" s="1"/>
      <c r="Y4622" s="1"/>
      <c r="Z4622" s="1"/>
      <c r="AA4622" s="1"/>
      <c r="AB4622" s="1"/>
    </row>
    <row r="4623" ht="50.25" customHeight="1">
      <c r="A4623" s="12">
        <v>4619.0</v>
      </c>
      <c r="B4623" s="13" t="s">
        <v>4379</v>
      </c>
      <c r="C4623" s="14" t="s">
        <v>4642</v>
      </c>
      <c r="D4623" s="1"/>
      <c r="E4623" s="1"/>
      <c r="F4623" s="1" t="str">
        <f>IFERROR(__xludf.DUMMYFUNCTION("GOOGLETRANSLATE(B4623, ""en"", ""fa"")
"),"مشاوره دوستیابی")</f>
        <v>مشاوره دوستیابی</v>
      </c>
      <c r="G4623" s="1" t="str">
        <f>IFERROR(__xludf.DUMMYFUNCTION("GOOGLETRANSLATE(C4623, ""en"", ""fa"")
"),"چگونه می توانم علایق و سرگرمی های خود را در توضیحات نمایه خود به گونه ای نشان دهم که کنجکاوی و علاقه را برانگیزد؟")</f>
        <v>چگونه می توانم علایق و سرگرمی های خود را در توضیحات نمایه خود به گونه ای نشان دهم که کنجکاوی و علاقه را برانگیزد؟</v>
      </c>
      <c r="H4623" s="1"/>
      <c r="I4623" s="1"/>
      <c r="J4623" s="1"/>
      <c r="K4623" s="1"/>
      <c r="L4623" s="1"/>
      <c r="M4623" s="1"/>
      <c r="N4623" s="1"/>
      <c r="O4623" s="1"/>
      <c r="P4623" s="1"/>
      <c r="Q4623" s="1"/>
      <c r="R4623" s="1"/>
      <c r="S4623" s="1"/>
      <c r="T4623" s="1"/>
      <c r="U4623" s="1"/>
      <c r="V4623" s="1"/>
      <c r="W4623" s="1"/>
      <c r="X4623" s="1"/>
      <c r="Y4623" s="1"/>
      <c r="Z4623" s="1"/>
      <c r="AA4623" s="1"/>
      <c r="AB4623" s="1"/>
    </row>
    <row r="4624" ht="50.25" customHeight="1">
      <c r="A4624" s="12">
        <v>4620.0</v>
      </c>
      <c r="B4624" s="13" t="s">
        <v>4379</v>
      </c>
      <c r="C4624" s="14" t="s">
        <v>4643</v>
      </c>
      <c r="D4624" s="1"/>
      <c r="E4624" s="1"/>
      <c r="F4624" s="1" t="str">
        <f>IFERROR(__xludf.DUMMYFUNCTION("GOOGLETRANSLATE(B4624, ""en"", ""fa"")
"),"مشاوره دوستیابی")</f>
        <v>مشاوره دوستیابی</v>
      </c>
      <c r="G4624" s="1" t="str">
        <f>IFERROR(__xludf.DUMMYFUNCTION("GOOGLETRANSLATE(C4624, ""en"", ""fa"")
"),"چند استراتژی برای گنجاندن ارزش ها و باورهای من در توضیحات نمایه من چیست؟")</f>
        <v>چند استراتژی برای گنجاندن ارزش ها و باورهای من در توضیحات نمایه من چیست؟</v>
      </c>
      <c r="H4624" s="1"/>
      <c r="I4624" s="1"/>
      <c r="J4624" s="1"/>
      <c r="K4624" s="1"/>
      <c r="L4624" s="1"/>
      <c r="M4624" s="1"/>
      <c r="N4624" s="1"/>
      <c r="O4624" s="1"/>
      <c r="P4624" s="1"/>
      <c r="Q4624" s="1"/>
      <c r="R4624" s="1"/>
      <c r="S4624" s="1"/>
      <c r="T4624" s="1"/>
      <c r="U4624" s="1"/>
      <c r="V4624" s="1"/>
      <c r="W4624" s="1"/>
      <c r="X4624" s="1"/>
      <c r="Y4624" s="1"/>
      <c r="Z4624" s="1"/>
      <c r="AA4624" s="1"/>
      <c r="AB4624" s="1"/>
    </row>
    <row r="4625" ht="50.25" customHeight="1">
      <c r="A4625" s="12">
        <v>4621.0</v>
      </c>
      <c r="B4625" s="13" t="s">
        <v>4379</v>
      </c>
      <c r="C4625" s="14" t="s">
        <v>4644</v>
      </c>
      <c r="D4625" s="1"/>
      <c r="E4625" s="1"/>
      <c r="F4625" s="1" t="str">
        <f>IFERROR(__xludf.DUMMYFUNCTION("GOOGLETRANSLATE(B4625, ""en"", ""fa"")
"),"مشاوره دوستیابی")</f>
        <v>مشاوره دوستیابی</v>
      </c>
      <c r="G4625" s="1" t="str">
        <f>IFERROR(__xludf.DUMMYFUNCTION("GOOGLETRANSLATE(C4625, ""en"", ""fa"")
"),"چگونه می توانم دستاوردها و دستاوردهای خود را بدون اینکه در توضیحات نمایه خود مباهات به نظر برسانم برجسته کنم؟")</f>
        <v>چگونه می توانم دستاوردها و دستاوردهای خود را بدون اینکه در توضیحات نمایه خود مباهات به نظر برسانم برجسته کنم؟</v>
      </c>
      <c r="H4625" s="1"/>
      <c r="I4625" s="1"/>
      <c r="J4625" s="1"/>
      <c r="K4625" s="1"/>
      <c r="L4625" s="1"/>
      <c r="M4625" s="1"/>
      <c r="N4625" s="1"/>
      <c r="O4625" s="1"/>
      <c r="P4625" s="1"/>
      <c r="Q4625" s="1"/>
      <c r="R4625" s="1"/>
      <c r="S4625" s="1"/>
      <c r="T4625" s="1"/>
      <c r="U4625" s="1"/>
      <c r="V4625" s="1"/>
      <c r="W4625" s="1"/>
      <c r="X4625" s="1"/>
      <c r="Y4625" s="1"/>
      <c r="Z4625" s="1"/>
      <c r="AA4625" s="1"/>
      <c r="AB4625" s="1"/>
    </row>
    <row r="4626" ht="50.25" customHeight="1">
      <c r="A4626" s="12">
        <v>4622.0</v>
      </c>
      <c r="B4626" s="13" t="s">
        <v>4379</v>
      </c>
      <c r="C4626" s="14" t="s">
        <v>4645</v>
      </c>
      <c r="D4626" s="1"/>
      <c r="E4626" s="1"/>
      <c r="F4626" s="1" t="str">
        <f>IFERROR(__xludf.DUMMYFUNCTION("GOOGLETRANSLATE(B4626, ""en"", ""fa"")
"),"مشاوره دوستیابی")</f>
        <v>مشاوره دوستیابی</v>
      </c>
      <c r="G4626" s="1" t="str">
        <f>IFERROR(__xludf.DUMMYFUNCTION("GOOGLETRANSLATE(C4626, ""en"", ""fa"")
"),"چند تکنیک برای ایجاد یک توصیف مختصر و تاثیرگذار نمایه که توجه را به خود جلب می کند چیست؟")</f>
        <v>چند تکنیک برای ایجاد یک توصیف مختصر و تاثیرگذار نمایه که توجه را به خود جلب می کند چیست؟</v>
      </c>
      <c r="H4626" s="1"/>
      <c r="I4626" s="1"/>
      <c r="J4626" s="1"/>
      <c r="K4626" s="1"/>
      <c r="L4626" s="1"/>
      <c r="M4626" s="1"/>
      <c r="N4626" s="1"/>
      <c r="O4626" s="1"/>
      <c r="P4626" s="1"/>
      <c r="Q4626" s="1"/>
      <c r="R4626" s="1"/>
      <c r="S4626" s="1"/>
      <c r="T4626" s="1"/>
      <c r="U4626" s="1"/>
      <c r="V4626" s="1"/>
      <c r="W4626" s="1"/>
      <c r="X4626" s="1"/>
      <c r="Y4626" s="1"/>
      <c r="Z4626" s="1"/>
      <c r="AA4626" s="1"/>
      <c r="AB4626" s="1"/>
    </row>
    <row r="4627" ht="50.25" customHeight="1">
      <c r="A4627" s="12">
        <v>4623.0</v>
      </c>
      <c r="B4627" s="13" t="s">
        <v>4379</v>
      </c>
      <c r="C4627" s="14" t="s">
        <v>4646</v>
      </c>
      <c r="D4627" s="1"/>
      <c r="E4627" s="1"/>
      <c r="F4627" s="1" t="str">
        <f>IFERROR(__xludf.DUMMYFUNCTION("GOOGLETRANSLATE(B4627, ""en"", ""fa"")
"),"مشاوره دوستیابی")</f>
        <v>مشاوره دوستیابی</v>
      </c>
      <c r="G4627" s="1" t="str">
        <f>IFERROR(__xludf.DUMMYFUNCTION("GOOGLETRANSLATE(C4627, ""en"", ""fa"")
"),"چگونه می توانم از توضیحات نمایه خود برای بیان آنچه در یک مسابقه بالقوه به دنبال آن هستم استفاده کنم، بدون اینکه به عنوان خیلی خاص یا سخت تلقی شود؟")</f>
        <v>چگونه می توانم از توضیحات نمایه خود برای بیان آنچه در یک مسابقه بالقوه به دنبال آن هستم استفاده کنم، بدون اینکه به عنوان خیلی خاص یا سخت تلقی شود؟</v>
      </c>
      <c r="H4627" s="1"/>
      <c r="I4627" s="1"/>
      <c r="J4627" s="1"/>
      <c r="K4627" s="1"/>
      <c r="L4627" s="1"/>
      <c r="M4627" s="1"/>
      <c r="N4627" s="1"/>
      <c r="O4627" s="1"/>
      <c r="P4627" s="1"/>
      <c r="Q4627" s="1"/>
      <c r="R4627" s="1"/>
      <c r="S4627" s="1"/>
      <c r="T4627" s="1"/>
      <c r="U4627" s="1"/>
      <c r="V4627" s="1"/>
      <c r="W4627" s="1"/>
      <c r="X4627" s="1"/>
      <c r="Y4627" s="1"/>
      <c r="Z4627" s="1"/>
      <c r="AA4627" s="1"/>
      <c r="AB4627" s="1"/>
    </row>
    <row r="4628" ht="50.25" customHeight="1">
      <c r="A4628" s="12">
        <v>4624.0</v>
      </c>
      <c r="B4628" s="13" t="s">
        <v>4379</v>
      </c>
      <c r="C4628" s="14" t="s">
        <v>4647</v>
      </c>
      <c r="D4628" s="1"/>
      <c r="E4628" s="1"/>
      <c r="F4628" s="1" t="str">
        <f>IFERROR(__xludf.DUMMYFUNCTION("GOOGLETRANSLATE(B4628, ""en"", ""fa"")
"),"مشاوره دوستیابی")</f>
        <v>مشاوره دوستیابی</v>
      </c>
      <c r="G4628" s="1" t="str">
        <f>IFERROR(__xludf.DUMMYFUNCTION("GOOGLETRANSLATE(C4628, ""en"", ""fa"")
"),"برای استفاده از ایموجی ها و نمادها در توضیحات نمایه من چه بایدها و نبایدهایی وجود دارد؟")</f>
        <v>برای استفاده از ایموجی ها و نمادها در توضیحات نمایه من چه بایدها و نبایدهایی وجود دارد؟</v>
      </c>
      <c r="H4628" s="1"/>
      <c r="I4628" s="1"/>
      <c r="J4628" s="1"/>
      <c r="K4628" s="1"/>
      <c r="L4628" s="1"/>
      <c r="M4628" s="1"/>
      <c r="N4628" s="1"/>
      <c r="O4628" s="1"/>
      <c r="P4628" s="1"/>
      <c r="Q4628" s="1"/>
      <c r="R4628" s="1"/>
      <c r="S4628" s="1"/>
      <c r="T4628" s="1"/>
      <c r="U4628" s="1"/>
      <c r="V4628" s="1"/>
      <c r="W4628" s="1"/>
      <c r="X4628" s="1"/>
      <c r="Y4628" s="1"/>
      <c r="Z4628" s="1"/>
      <c r="AA4628" s="1"/>
      <c r="AB4628" s="1"/>
    </row>
    <row r="4629" ht="50.25" customHeight="1">
      <c r="A4629" s="12">
        <v>4625.0</v>
      </c>
      <c r="B4629" s="13" t="s">
        <v>4379</v>
      </c>
      <c r="C4629" s="14" t="s">
        <v>4648</v>
      </c>
      <c r="D4629" s="1"/>
      <c r="E4629" s="1"/>
      <c r="F4629" s="1" t="str">
        <f>IFERROR(__xludf.DUMMYFUNCTION("GOOGLETRANSLATE(B4629, ""en"", ""fa"")
"),"مشاوره دوستیابی")</f>
        <v>مشاوره دوستیابی</v>
      </c>
      <c r="G4629" s="1" t="str">
        <f>IFERROR(__xludf.DUMMYFUNCTION("GOOGLETRANSLATE(C4629, ""en"", ""fa"")
"),"چگونه می توانم شرح نمایه ای ایجاد کنم که از بین افراد متمایز باشد و تأثیری ماندگار بر جای بگذارد؟")</f>
        <v>چگونه می توانم شرح نمایه ای ایجاد کنم که از بین افراد متمایز باشد و تأثیری ماندگار بر جای بگذارد؟</v>
      </c>
      <c r="H4629" s="1"/>
      <c r="I4629" s="1"/>
      <c r="J4629" s="1"/>
      <c r="K4629" s="1"/>
      <c r="L4629" s="1"/>
      <c r="M4629" s="1"/>
      <c r="N4629" s="1"/>
      <c r="O4629" s="1"/>
      <c r="P4629" s="1"/>
      <c r="Q4629" s="1"/>
      <c r="R4629" s="1"/>
      <c r="S4629" s="1"/>
      <c r="T4629" s="1"/>
      <c r="U4629" s="1"/>
      <c r="V4629" s="1"/>
      <c r="W4629" s="1"/>
      <c r="X4629" s="1"/>
      <c r="Y4629" s="1"/>
      <c r="Z4629" s="1"/>
      <c r="AA4629" s="1"/>
      <c r="AB4629" s="1"/>
    </row>
    <row r="4630" ht="50.25" customHeight="1">
      <c r="A4630" s="12">
        <v>4626.0</v>
      </c>
      <c r="B4630" s="13" t="s">
        <v>4379</v>
      </c>
      <c r="C4630" s="14" t="s">
        <v>4649</v>
      </c>
      <c r="D4630" s="1"/>
      <c r="E4630" s="1"/>
      <c r="F4630" s="1" t="str">
        <f>IFERROR(__xludf.DUMMYFUNCTION("GOOGLETRANSLATE(B4630, ""en"", ""fa"")
"),"مشاوره دوستیابی")</f>
        <v>مشاوره دوستیابی</v>
      </c>
      <c r="G4630" s="1" t="str">
        <f>IFERROR(__xludf.DUMMYFUNCTION("GOOGLETRANSLATE(C4630, ""en"", ""fa"")
"),"چند نکته برای انتقال اصالت و آسیب پذیری در توضیحات نمایه من چیست؟")</f>
        <v>چند نکته برای انتقال اصالت و آسیب پذیری در توضیحات نمایه من چیست؟</v>
      </c>
      <c r="H4630" s="1"/>
      <c r="I4630" s="1"/>
      <c r="J4630" s="1"/>
      <c r="K4630" s="1"/>
      <c r="L4630" s="1"/>
      <c r="M4630" s="1"/>
      <c r="N4630" s="1"/>
      <c r="O4630" s="1"/>
      <c r="P4630" s="1"/>
      <c r="Q4630" s="1"/>
      <c r="R4630" s="1"/>
      <c r="S4630" s="1"/>
      <c r="T4630" s="1"/>
      <c r="U4630" s="1"/>
      <c r="V4630" s="1"/>
      <c r="W4630" s="1"/>
      <c r="X4630" s="1"/>
      <c r="Y4630" s="1"/>
      <c r="Z4630" s="1"/>
      <c r="AA4630" s="1"/>
      <c r="AB4630" s="1"/>
    </row>
    <row r="4631" ht="50.25" customHeight="1">
      <c r="A4631" s="12">
        <v>4627.0</v>
      </c>
      <c r="B4631" s="13" t="s">
        <v>4379</v>
      </c>
      <c r="C4631" s="14" t="s">
        <v>4650</v>
      </c>
      <c r="D4631" s="1"/>
      <c r="E4631" s="1"/>
      <c r="F4631" s="1" t="str">
        <f>IFERROR(__xludf.DUMMYFUNCTION("GOOGLETRANSLATE(B4631, ""en"", ""fa"")
"),"مشاوره دوستیابی")</f>
        <v>مشاوره دوستیابی</v>
      </c>
      <c r="G4631" s="1" t="str">
        <f>IFERROR(__xludf.DUMMYFUNCTION("GOOGLETRANSLATE(C4631, ""en"", ""fa"")
"),"چگونه می توانم از طنز و شوخ طبعی برای افزودن شخصیت به توضیحات نمایه خود استفاده کنم؟")</f>
        <v>چگونه می توانم از طنز و شوخ طبعی برای افزودن شخصیت به توضیحات نمایه خود استفاده کنم؟</v>
      </c>
      <c r="H4631" s="1"/>
      <c r="I4631" s="1"/>
      <c r="J4631" s="1"/>
      <c r="K4631" s="1"/>
      <c r="L4631" s="1"/>
      <c r="M4631" s="1"/>
      <c r="N4631" s="1"/>
      <c r="O4631" s="1"/>
      <c r="P4631" s="1"/>
      <c r="Q4631" s="1"/>
      <c r="R4631" s="1"/>
      <c r="S4631" s="1"/>
      <c r="T4631" s="1"/>
      <c r="U4631" s="1"/>
      <c r="V4631" s="1"/>
      <c r="W4631" s="1"/>
      <c r="X4631" s="1"/>
      <c r="Y4631" s="1"/>
      <c r="Z4631" s="1"/>
      <c r="AA4631" s="1"/>
      <c r="AB4631" s="1"/>
    </row>
    <row r="4632" ht="50.25" customHeight="1">
      <c r="A4632" s="12">
        <v>4628.0</v>
      </c>
      <c r="B4632" s="13" t="s">
        <v>4379</v>
      </c>
      <c r="C4632" s="14" t="s">
        <v>4651</v>
      </c>
      <c r="D4632" s="1"/>
      <c r="E4632" s="1"/>
      <c r="F4632" s="1" t="str">
        <f>IFERROR(__xludf.DUMMYFUNCTION("GOOGLETRANSLATE(B4632, ""en"", ""fa"")
"),"مشاوره دوستیابی")</f>
        <v>مشاوره دوستیابی</v>
      </c>
      <c r="G4632" s="1" t="str">
        <f>IFERROR(__xludf.DUMMYFUNCTION("GOOGLETRANSLATE(C4632, ""en"", ""fa"")
"),"چند استراتژی برای استفاده از نقل قول ها یا اشعار آهنگ برای بیان علایق و ارزش های من در توضیحات نمایه من چیست؟")</f>
        <v>چند استراتژی برای استفاده از نقل قول ها یا اشعار آهنگ برای بیان علایق و ارزش های من در توضیحات نمایه من چیست؟</v>
      </c>
      <c r="H4632" s="1"/>
      <c r="I4632" s="1"/>
      <c r="J4632" s="1"/>
      <c r="K4632" s="1"/>
      <c r="L4632" s="1"/>
      <c r="M4632" s="1"/>
      <c r="N4632" s="1"/>
      <c r="O4632" s="1"/>
      <c r="P4632" s="1"/>
      <c r="Q4632" s="1"/>
      <c r="R4632" s="1"/>
      <c r="S4632" s="1"/>
      <c r="T4632" s="1"/>
      <c r="U4632" s="1"/>
      <c r="V4632" s="1"/>
      <c r="W4632" s="1"/>
      <c r="X4632" s="1"/>
      <c r="Y4632" s="1"/>
      <c r="Z4632" s="1"/>
      <c r="AA4632" s="1"/>
      <c r="AB4632" s="1"/>
    </row>
    <row r="4633" ht="50.25" customHeight="1">
      <c r="A4633" s="12">
        <v>4629.0</v>
      </c>
      <c r="B4633" s="13" t="s">
        <v>4379</v>
      </c>
      <c r="C4633" s="14" t="s">
        <v>4652</v>
      </c>
      <c r="D4633" s="1"/>
      <c r="E4633" s="1"/>
      <c r="F4633" s="1" t="str">
        <f>IFERROR(__xludf.DUMMYFUNCTION("GOOGLETRANSLATE(B4633, ""en"", ""fa"")
"),"مشاوره دوستیابی")</f>
        <v>مشاوره دوستیابی</v>
      </c>
      <c r="G4633" s="1" t="str">
        <f>IFERROR(__xludf.DUMMYFUNCTION("GOOGLETRANSLATE(C4633, ""en"", ""fa"")
"),"چگونه می توانم جنبه ماجراجویانه و عشق به تجربیات جدید را در توضیحات نمایه خود نشان دهم؟")</f>
        <v>چگونه می توانم جنبه ماجراجویانه و عشق به تجربیات جدید را در توضیحات نمایه خود نشان دهم؟</v>
      </c>
      <c r="H4633" s="1"/>
      <c r="I4633" s="1"/>
      <c r="J4633" s="1"/>
      <c r="K4633" s="1"/>
      <c r="L4633" s="1"/>
      <c r="M4633" s="1"/>
      <c r="N4633" s="1"/>
      <c r="O4633" s="1"/>
      <c r="P4633" s="1"/>
      <c r="Q4633" s="1"/>
      <c r="R4633" s="1"/>
      <c r="S4633" s="1"/>
      <c r="T4633" s="1"/>
      <c r="U4633" s="1"/>
      <c r="V4633" s="1"/>
      <c r="W4633" s="1"/>
      <c r="X4633" s="1"/>
      <c r="Y4633" s="1"/>
      <c r="Z4633" s="1"/>
      <c r="AA4633" s="1"/>
      <c r="AB4633" s="1"/>
    </row>
    <row r="4634" ht="50.25" customHeight="1">
      <c r="A4634" s="12">
        <v>4630.0</v>
      </c>
      <c r="B4634" s="13" t="s">
        <v>4379</v>
      </c>
      <c r="C4634" s="14" t="s">
        <v>4653</v>
      </c>
      <c r="D4634" s="1"/>
      <c r="E4634" s="1"/>
      <c r="F4634" s="1" t="str">
        <f>IFERROR(__xludf.DUMMYFUNCTION("GOOGLETRANSLATE(B4634, ""en"", ""fa"")
"),"مشاوره دوستیابی")</f>
        <v>مشاوره دوستیابی</v>
      </c>
      <c r="G4634" s="1" t="str">
        <f>IFERROR(__xludf.DUMMYFUNCTION("GOOGLETRANSLATE(C4634, ""en"", ""fa"")
"),"چند تکنیک برای استفاده از استعاره یا تشبیه برای توصیف خودم در توضیحات نمایه من چیست؟")</f>
        <v>چند تکنیک برای استفاده از استعاره یا تشبیه برای توصیف خودم در توضیحات نمایه من چیست؟</v>
      </c>
      <c r="H4634" s="1"/>
      <c r="I4634" s="1"/>
      <c r="J4634" s="1"/>
      <c r="K4634" s="1"/>
      <c r="L4634" s="1"/>
      <c r="M4634" s="1"/>
      <c r="N4634" s="1"/>
      <c r="O4634" s="1"/>
      <c r="P4634" s="1"/>
      <c r="Q4634" s="1"/>
      <c r="R4634" s="1"/>
      <c r="S4634" s="1"/>
      <c r="T4634" s="1"/>
      <c r="U4634" s="1"/>
      <c r="V4634" s="1"/>
      <c r="W4634" s="1"/>
      <c r="X4634" s="1"/>
      <c r="Y4634" s="1"/>
      <c r="Z4634" s="1"/>
      <c r="AA4634" s="1"/>
      <c r="AB4634" s="1"/>
    </row>
    <row r="4635" ht="50.25" customHeight="1">
      <c r="A4635" s="12">
        <v>4631.0</v>
      </c>
      <c r="B4635" s="13" t="s">
        <v>4379</v>
      </c>
      <c r="C4635" s="14" t="s">
        <v>4654</v>
      </c>
      <c r="D4635" s="1"/>
      <c r="E4635" s="1"/>
      <c r="F4635" s="1" t="str">
        <f>IFERROR(__xludf.DUMMYFUNCTION("GOOGLETRANSLATE(B4635, ""en"", ""fa"")
"),"مشاوره دوستیابی")</f>
        <v>مشاوره دوستیابی</v>
      </c>
      <c r="G4635" s="1" t="str">
        <f>IFERROR(__xludf.DUMMYFUNCTION("GOOGLETRANSLATE(C4635, ""en"", ""fa"")
"),"چگونه می توانم عناصر رمز و راز و فتنه را در توضیحات نمایه خود بگنجانم تا حس کنجکاوی را برانگیزد؟")</f>
        <v>چگونه می توانم عناصر رمز و راز و فتنه را در توضیحات نمایه خود بگنجانم تا حس کنجکاوی را برانگیزد؟</v>
      </c>
      <c r="H4635" s="1"/>
      <c r="I4635" s="1"/>
      <c r="J4635" s="1"/>
      <c r="K4635" s="1"/>
      <c r="L4635" s="1"/>
      <c r="M4635" s="1"/>
      <c r="N4635" s="1"/>
      <c r="O4635" s="1"/>
      <c r="P4635" s="1"/>
      <c r="Q4635" s="1"/>
      <c r="R4635" s="1"/>
      <c r="S4635" s="1"/>
      <c r="T4635" s="1"/>
      <c r="U4635" s="1"/>
      <c r="V4635" s="1"/>
      <c r="W4635" s="1"/>
      <c r="X4635" s="1"/>
      <c r="Y4635" s="1"/>
      <c r="Z4635" s="1"/>
      <c r="AA4635" s="1"/>
      <c r="AB4635" s="1"/>
    </row>
    <row r="4636" ht="50.25" customHeight="1">
      <c r="A4636" s="12">
        <v>4632.0</v>
      </c>
      <c r="B4636" s="13" t="s">
        <v>4379</v>
      </c>
      <c r="C4636" s="14" t="s">
        <v>4655</v>
      </c>
      <c r="D4636" s="1"/>
      <c r="E4636" s="1"/>
      <c r="F4636" s="1" t="str">
        <f>IFERROR(__xludf.DUMMYFUNCTION("GOOGLETRANSLATE(B4636, ""en"", ""fa"")
"),"مشاوره دوستیابی")</f>
        <v>مشاوره دوستیابی</v>
      </c>
      <c r="G4636" s="1" t="str">
        <f>IFERROR(__xludf.DUMMYFUNCTION("GOOGLETRANSLATE(C4636, ""en"", ""fa"")
"),"چند نکته برای استفاده از زبان مثبت و لحن خوش بینانه در توضیحات نمایه من چیست؟")</f>
        <v>چند نکته برای استفاده از زبان مثبت و لحن خوش بینانه در توضیحات نمایه من چیست؟</v>
      </c>
      <c r="H4636" s="1"/>
      <c r="I4636" s="1"/>
      <c r="J4636" s="1"/>
      <c r="K4636" s="1"/>
      <c r="L4636" s="1"/>
      <c r="M4636" s="1"/>
      <c r="N4636" s="1"/>
      <c r="O4636" s="1"/>
      <c r="P4636" s="1"/>
      <c r="Q4636" s="1"/>
      <c r="R4636" s="1"/>
      <c r="S4636" s="1"/>
      <c r="T4636" s="1"/>
      <c r="U4636" s="1"/>
      <c r="V4636" s="1"/>
      <c r="W4636" s="1"/>
      <c r="X4636" s="1"/>
      <c r="Y4636" s="1"/>
      <c r="Z4636" s="1"/>
      <c r="AA4636" s="1"/>
      <c r="AB4636" s="1"/>
    </row>
    <row r="4637" ht="50.25" customHeight="1">
      <c r="A4637" s="12">
        <v>4633.0</v>
      </c>
      <c r="B4637" s="13" t="s">
        <v>4379</v>
      </c>
      <c r="C4637" s="14" t="s">
        <v>4656</v>
      </c>
      <c r="D4637" s="1"/>
      <c r="E4637" s="1"/>
      <c r="F4637" s="1" t="str">
        <f>IFERROR(__xludf.DUMMYFUNCTION("GOOGLETRANSLATE(B4637, ""en"", ""fa"")
"),"مشاوره دوستیابی")</f>
        <v>مشاوره دوستیابی</v>
      </c>
      <c r="G4637" s="1" t="str">
        <f>IFERROR(__xludf.DUMMYFUNCTION("GOOGLETRANSLATE(C4637, ""en"", ""fa"")
"),"چگونه می توانم آسیب پذیری و گشودگی خود را به اتصالات جدید در توضیحات نمایه خود به طور واقعی بیان کنم؟")</f>
        <v>چگونه می توانم آسیب پذیری و گشودگی خود را به اتصالات جدید در توضیحات نمایه خود به طور واقعی بیان کنم؟</v>
      </c>
      <c r="H4637" s="1"/>
      <c r="I4637" s="1"/>
      <c r="J4637" s="1"/>
      <c r="K4637" s="1"/>
      <c r="L4637" s="1"/>
      <c r="M4637" s="1"/>
      <c r="N4637" s="1"/>
      <c r="O4637" s="1"/>
      <c r="P4637" s="1"/>
      <c r="Q4637" s="1"/>
      <c r="R4637" s="1"/>
      <c r="S4637" s="1"/>
      <c r="T4637" s="1"/>
      <c r="U4637" s="1"/>
      <c r="V4637" s="1"/>
      <c r="W4637" s="1"/>
      <c r="X4637" s="1"/>
      <c r="Y4637" s="1"/>
      <c r="Z4637" s="1"/>
      <c r="AA4637" s="1"/>
      <c r="AB4637" s="1"/>
    </row>
    <row r="4638" ht="50.25" customHeight="1">
      <c r="A4638" s="12">
        <v>4634.0</v>
      </c>
      <c r="B4638" s="13" t="s">
        <v>4379</v>
      </c>
      <c r="C4638" s="14" t="s">
        <v>4657</v>
      </c>
      <c r="D4638" s="1"/>
      <c r="E4638" s="1"/>
      <c r="F4638" s="1" t="str">
        <f>IFERROR(__xludf.DUMMYFUNCTION("GOOGLETRANSLATE(B4638, ""en"", ""fa"")
"),"مشاوره دوستیابی")</f>
        <v>مشاوره دوستیابی</v>
      </c>
      <c r="G4638" s="1" t="str">
        <f>IFERROR(__xludf.DUMMYFUNCTION("GOOGLETRANSLATE(C4638, ""en"", ""fa"")
"),"چند استراتژی برای استفاده از داستان سرایی برای به اشتراک گذاشتن حکایات یا تجربیات معنادار در توضیحات نمایه من چیست؟")</f>
        <v>چند استراتژی برای استفاده از داستان سرایی برای به اشتراک گذاشتن حکایات یا تجربیات معنادار در توضیحات نمایه من چیست؟</v>
      </c>
      <c r="H4638" s="1"/>
      <c r="I4638" s="1"/>
      <c r="J4638" s="1"/>
      <c r="K4638" s="1"/>
      <c r="L4638" s="1"/>
      <c r="M4638" s="1"/>
      <c r="N4638" s="1"/>
      <c r="O4638" s="1"/>
      <c r="P4638" s="1"/>
      <c r="Q4638" s="1"/>
      <c r="R4638" s="1"/>
      <c r="S4638" s="1"/>
      <c r="T4638" s="1"/>
      <c r="U4638" s="1"/>
      <c r="V4638" s="1"/>
      <c r="W4638" s="1"/>
      <c r="X4638" s="1"/>
      <c r="Y4638" s="1"/>
      <c r="Z4638" s="1"/>
      <c r="AA4638" s="1"/>
      <c r="AB4638" s="1"/>
    </row>
    <row r="4639" ht="50.25" customHeight="1">
      <c r="A4639" s="12">
        <v>4635.0</v>
      </c>
      <c r="B4639" s="13" t="s">
        <v>4379</v>
      </c>
      <c r="C4639" s="14" t="s">
        <v>4658</v>
      </c>
      <c r="D4639" s="1"/>
      <c r="E4639" s="1"/>
      <c r="F4639" s="1" t="str">
        <f>IFERROR(__xludf.DUMMYFUNCTION("GOOGLETRANSLATE(B4639, ""en"", ""fa"")
"),"مشاوره دوستیابی")</f>
        <v>مشاوره دوستیابی</v>
      </c>
      <c r="G4639" s="1" t="str">
        <f>IFERROR(__xludf.DUMMYFUNCTION("GOOGLETRANSLATE(C4639, ""en"", ""fa"")
"),"چگونه می توانم از توضیحات نمایه خود برای نشان دادن استعدادها یا مهارت های منحصر به فرد خود استفاده کنم؟")</f>
        <v>چگونه می توانم از توضیحات نمایه خود برای نشان دادن استعدادها یا مهارت های منحصر به فرد خود استفاده کنم؟</v>
      </c>
      <c r="H4639" s="1"/>
      <c r="I4639" s="1"/>
      <c r="J4639" s="1"/>
      <c r="K4639" s="1"/>
      <c r="L4639" s="1"/>
      <c r="M4639" s="1"/>
      <c r="N4639" s="1"/>
      <c r="O4639" s="1"/>
      <c r="P4639" s="1"/>
      <c r="Q4639" s="1"/>
      <c r="R4639" s="1"/>
      <c r="S4639" s="1"/>
      <c r="T4639" s="1"/>
      <c r="U4639" s="1"/>
      <c r="V4639" s="1"/>
      <c r="W4639" s="1"/>
      <c r="X4639" s="1"/>
      <c r="Y4639" s="1"/>
      <c r="Z4639" s="1"/>
      <c r="AA4639" s="1"/>
      <c r="AB4639" s="1"/>
    </row>
    <row r="4640" ht="50.25" customHeight="1">
      <c r="A4640" s="12">
        <v>4636.0</v>
      </c>
      <c r="B4640" s="13" t="s">
        <v>4379</v>
      </c>
      <c r="C4640" s="14" t="s">
        <v>4659</v>
      </c>
      <c r="D4640" s="1"/>
      <c r="E4640" s="1"/>
      <c r="F4640" s="1" t="str">
        <f>IFERROR(__xludf.DUMMYFUNCTION("GOOGLETRANSLATE(B4640, ""en"", ""fa"")
"),"مشاوره دوستیابی")</f>
        <v>مشاوره دوستیابی</v>
      </c>
      <c r="G4640" s="1" t="str">
        <f>IFERROR(__xludf.DUMMYFUNCTION("GOOGLETRANSLATE(C4640, ""en"", ""fa"")
"),"چند تکنیک برای گنجاندن شوخ طبعی در توضیحات نمایه من بدون تضعیف صداقت نیات من چیست؟")</f>
        <v>چند تکنیک برای گنجاندن شوخ طبعی در توضیحات نمایه من بدون تضعیف صداقت نیات من چیست؟</v>
      </c>
      <c r="H4640" s="1"/>
      <c r="I4640" s="1"/>
      <c r="J4640" s="1"/>
      <c r="K4640" s="1"/>
      <c r="L4640" s="1"/>
      <c r="M4640" s="1"/>
      <c r="N4640" s="1"/>
      <c r="O4640" s="1"/>
      <c r="P4640" s="1"/>
      <c r="Q4640" s="1"/>
      <c r="R4640" s="1"/>
      <c r="S4640" s="1"/>
      <c r="T4640" s="1"/>
      <c r="U4640" s="1"/>
      <c r="V4640" s="1"/>
      <c r="W4640" s="1"/>
      <c r="X4640" s="1"/>
      <c r="Y4640" s="1"/>
      <c r="Z4640" s="1"/>
      <c r="AA4640" s="1"/>
      <c r="AB4640" s="1"/>
    </row>
    <row r="4641" ht="50.25" customHeight="1">
      <c r="A4641" s="12">
        <v>4637.0</v>
      </c>
      <c r="B4641" s="13" t="s">
        <v>4379</v>
      </c>
      <c r="C4641" s="14" t="s">
        <v>4660</v>
      </c>
      <c r="D4641" s="1"/>
      <c r="E4641" s="1"/>
      <c r="F4641" s="1" t="str">
        <f>IFERROR(__xludf.DUMMYFUNCTION("GOOGLETRANSLATE(B4641, ""en"", ""fa"")
"),"مشاوره دوستیابی")</f>
        <v>مشاوره دوستیابی</v>
      </c>
      <c r="G4641" s="1" t="str">
        <f>IFERROR(__xludf.DUMMYFUNCTION("GOOGLETRANSLATE(C4641, ""en"", ""fa"")
"),"چگونه می توانم شرح نمایه ای ایجاد کنم که منعکس کننده مسیر رشد شخصی و خودسازی من باشد؟")</f>
        <v>چگونه می توانم شرح نمایه ای ایجاد کنم که منعکس کننده مسیر رشد شخصی و خودسازی من باشد؟</v>
      </c>
      <c r="H4641" s="1"/>
      <c r="I4641" s="1"/>
      <c r="J4641" s="1"/>
      <c r="K4641" s="1"/>
      <c r="L4641" s="1"/>
      <c r="M4641" s="1"/>
      <c r="N4641" s="1"/>
      <c r="O4641" s="1"/>
      <c r="P4641" s="1"/>
      <c r="Q4641" s="1"/>
      <c r="R4641" s="1"/>
      <c r="S4641" s="1"/>
      <c r="T4641" s="1"/>
      <c r="U4641" s="1"/>
      <c r="V4641" s="1"/>
      <c r="W4641" s="1"/>
      <c r="X4641" s="1"/>
      <c r="Y4641" s="1"/>
      <c r="Z4641" s="1"/>
      <c r="AA4641" s="1"/>
      <c r="AB4641" s="1"/>
    </row>
    <row r="4642" ht="50.25" customHeight="1">
      <c r="A4642" s="12">
        <v>4638.0</v>
      </c>
      <c r="B4642" s="13" t="s">
        <v>4379</v>
      </c>
      <c r="C4642" s="14" t="s">
        <v>4661</v>
      </c>
      <c r="D4642" s="1"/>
      <c r="E4642" s="1"/>
      <c r="F4642" s="1" t="str">
        <f>IFERROR(__xludf.DUMMYFUNCTION("GOOGLETRANSLATE(B4642, ""en"", ""fa"")
"),"مشاوره دوستیابی")</f>
        <v>مشاوره دوستیابی</v>
      </c>
      <c r="G4642" s="1" t="str">
        <f>IFERROR(__xludf.DUMMYFUNCTION("GOOGLETRANSLATE(C4642, ""en"", ""fa"")
"),"چه نکاتی برای استفاده از نمونه‌ها یا جزئیات خاص در توضیحات نمایه‌ام وجود دارد تا آن را مرتبط‌تر کند؟")</f>
        <v>چه نکاتی برای استفاده از نمونه‌ها یا جزئیات خاص در توضیحات نمایه‌ام وجود دارد تا آن را مرتبط‌تر کند؟</v>
      </c>
      <c r="H4642" s="1"/>
      <c r="I4642" s="1"/>
      <c r="J4642" s="1"/>
      <c r="K4642" s="1"/>
      <c r="L4642" s="1"/>
      <c r="M4642" s="1"/>
      <c r="N4642" s="1"/>
      <c r="O4642" s="1"/>
      <c r="P4642" s="1"/>
      <c r="Q4642" s="1"/>
      <c r="R4642" s="1"/>
      <c r="S4642" s="1"/>
      <c r="T4642" s="1"/>
      <c r="U4642" s="1"/>
      <c r="V4642" s="1"/>
      <c r="W4642" s="1"/>
      <c r="X4642" s="1"/>
      <c r="Y4642" s="1"/>
      <c r="Z4642" s="1"/>
      <c r="AA4642" s="1"/>
      <c r="AB4642" s="1"/>
    </row>
    <row r="4643" ht="50.25" customHeight="1">
      <c r="A4643" s="12">
        <v>4639.0</v>
      </c>
      <c r="B4643" s="13" t="s">
        <v>4379</v>
      </c>
      <c r="C4643" s="14" t="s">
        <v>4662</v>
      </c>
      <c r="D4643" s="1"/>
      <c r="E4643" s="1"/>
      <c r="F4643" s="1" t="str">
        <f>IFERROR(__xludf.DUMMYFUNCTION("GOOGLETRANSLATE(B4643, ""en"", ""fa"")
"),"مشاوره دوستیابی")</f>
        <v>مشاوره دوستیابی</v>
      </c>
      <c r="G4643" s="1" t="str">
        <f>IFERROR(__xludf.DUMMYFUNCTION("GOOGLETRANSLATE(C4643, ""en"", ""fa"")
"),"چگونه می توانم از توضیحات نمایه خود برای انتقال ارزش های خود و آنچه در روابط اولویت دارم استفاده کنم؟")</f>
        <v>چگونه می توانم از توضیحات نمایه خود برای انتقال ارزش های خود و آنچه در روابط اولویت دارم استفاده کنم؟</v>
      </c>
      <c r="H4643" s="1"/>
      <c r="I4643" s="1"/>
      <c r="J4643" s="1"/>
      <c r="K4643" s="1"/>
      <c r="L4643" s="1"/>
      <c r="M4643" s="1"/>
      <c r="N4643" s="1"/>
      <c r="O4643" s="1"/>
      <c r="P4643" s="1"/>
      <c r="Q4643" s="1"/>
      <c r="R4643" s="1"/>
      <c r="S4643" s="1"/>
      <c r="T4643" s="1"/>
      <c r="U4643" s="1"/>
      <c r="V4643" s="1"/>
      <c r="W4643" s="1"/>
      <c r="X4643" s="1"/>
      <c r="Y4643" s="1"/>
      <c r="Z4643" s="1"/>
      <c r="AA4643" s="1"/>
      <c r="AB4643" s="1"/>
    </row>
    <row r="4644" ht="50.25" customHeight="1">
      <c r="A4644" s="12">
        <v>4640.0</v>
      </c>
      <c r="B4644" s="13" t="s">
        <v>4379</v>
      </c>
      <c r="C4644" s="14" t="s">
        <v>4663</v>
      </c>
      <c r="D4644" s="1"/>
      <c r="E4644" s="1"/>
      <c r="F4644" s="1" t="str">
        <f>IFERROR(__xludf.DUMMYFUNCTION("GOOGLETRANSLATE(B4644, ""en"", ""fa"")
"),"مشاوره دوستیابی")</f>
        <v>مشاوره دوستیابی</v>
      </c>
      <c r="G4644" s="1" t="str">
        <f>IFERROR(__xludf.DUMMYFUNCTION("GOOGLETRANSLATE(C4644, ""en"", ""fa"")
"),"چند استراتژی برای ایجاد یک شرح نمایه که حس کنجکاوی را برانگیزد و افراد بالقوه را وادار به پرسیدن سؤال کند، چیست؟")</f>
        <v>چند استراتژی برای ایجاد یک شرح نمایه که حس کنجکاوی را برانگیزد و افراد بالقوه را وادار به پرسیدن سؤال کند، چیست؟</v>
      </c>
      <c r="H4644" s="1"/>
      <c r="I4644" s="1"/>
      <c r="J4644" s="1"/>
      <c r="K4644" s="1"/>
      <c r="L4644" s="1"/>
      <c r="M4644" s="1"/>
      <c r="N4644" s="1"/>
      <c r="O4644" s="1"/>
      <c r="P4644" s="1"/>
      <c r="Q4644" s="1"/>
      <c r="R4644" s="1"/>
      <c r="S4644" s="1"/>
      <c r="T4644" s="1"/>
      <c r="U4644" s="1"/>
      <c r="V4644" s="1"/>
      <c r="W4644" s="1"/>
      <c r="X4644" s="1"/>
      <c r="Y4644" s="1"/>
      <c r="Z4644" s="1"/>
      <c r="AA4644" s="1"/>
      <c r="AB4644" s="1"/>
    </row>
    <row r="4645" ht="50.25" customHeight="1">
      <c r="A4645" s="12">
        <v>4641.0</v>
      </c>
      <c r="B4645" s="13" t="s">
        <v>4379</v>
      </c>
      <c r="C4645" s="14" t="s">
        <v>4664</v>
      </c>
      <c r="D4645" s="1"/>
      <c r="E4645" s="1"/>
      <c r="F4645" s="1" t="str">
        <f>IFERROR(__xludf.DUMMYFUNCTION("GOOGLETRANSLATE(B4645, ""en"", ""fa"")
"),"مشاوره دوستیابی")</f>
        <v>مشاوره دوستیابی</v>
      </c>
      <c r="G4645" s="1" t="str">
        <f>IFERROR(__xludf.DUMMYFUNCTION("GOOGLETRANSLATE(C4645, ""en"", ""fa"")
"),"چگونه می توانم عشق خود را به یادگیری و فعالیت های فکری در توضیحات نمایه خود نشان دهم؟")</f>
        <v>چگونه می توانم عشق خود را به یادگیری و فعالیت های فکری در توضیحات نمایه خود نشان دهم؟</v>
      </c>
      <c r="H4645" s="1"/>
      <c r="I4645" s="1"/>
      <c r="J4645" s="1"/>
      <c r="K4645" s="1"/>
      <c r="L4645" s="1"/>
      <c r="M4645" s="1"/>
      <c r="N4645" s="1"/>
      <c r="O4645" s="1"/>
      <c r="P4645" s="1"/>
      <c r="Q4645" s="1"/>
      <c r="R4645" s="1"/>
      <c r="S4645" s="1"/>
      <c r="T4645" s="1"/>
      <c r="U4645" s="1"/>
      <c r="V4645" s="1"/>
      <c r="W4645" s="1"/>
      <c r="X4645" s="1"/>
      <c r="Y4645" s="1"/>
      <c r="Z4645" s="1"/>
      <c r="AA4645" s="1"/>
      <c r="AB4645" s="1"/>
    </row>
    <row r="4646" ht="50.25" customHeight="1">
      <c r="A4646" s="12">
        <v>4642.0</v>
      </c>
      <c r="B4646" s="13" t="s">
        <v>4379</v>
      </c>
      <c r="C4646" s="14" t="s">
        <v>4665</v>
      </c>
      <c r="D4646" s="1"/>
      <c r="E4646" s="1"/>
      <c r="F4646" s="1" t="str">
        <f>IFERROR(__xludf.DUMMYFUNCTION("GOOGLETRANSLATE(B4646, ""en"", ""fa"")
"),"مشاوره دوستیابی")</f>
        <v>مشاوره دوستیابی</v>
      </c>
      <c r="G4646" s="1" t="str">
        <f>IFERROR(__xludf.DUMMYFUNCTION("GOOGLETRANSLATE(C4646, ""en"", ""fa"")
"),"چند تکنیک برای استفاده از استعاره یا تشبیه برای توصیف شریک ایده آل من در توضیحات نمایه من چیست؟")</f>
        <v>چند تکنیک برای استفاده از استعاره یا تشبیه برای توصیف شریک ایده آل من در توضیحات نمایه من چیست؟</v>
      </c>
      <c r="H4646" s="1"/>
      <c r="I4646" s="1"/>
      <c r="J4646" s="1"/>
      <c r="K4646" s="1"/>
      <c r="L4646" s="1"/>
      <c r="M4646" s="1"/>
      <c r="N4646" s="1"/>
      <c r="O4646" s="1"/>
      <c r="P4646" s="1"/>
      <c r="Q4646" s="1"/>
      <c r="R4646" s="1"/>
      <c r="S4646" s="1"/>
      <c r="T4646" s="1"/>
      <c r="U4646" s="1"/>
      <c r="V4646" s="1"/>
      <c r="W4646" s="1"/>
      <c r="X4646" s="1"/>
      <c r="Y4646" s="1"/>
      <c r="Z4646" s="1"/>
      <c r="AA4646" s="1"/>
      <c r="AB4646" s="1"/>
    </row>
    <row r="4647" ht="50.25" customHeight="1">
      <c r="A4647" s="12">
        <v>4643.0</v>
      </c>
      <c r="B4647" s="13" t="s">
        <v>4379</v>
      </c>
      <c r="C4647" s="14" t="s">
        <v>4666</v>
      </c>
      <c r="D4647" s="1"/>
      <c r="E4647" s="1"/>
      <c r="F4647" s="1" t="str">
        <f>IFERROR(__xludf.DUMMYFUNCTION("GOOGLETRANSLATE(B4647, ""en"", ""fa"")
"),"مشاوره دوستیابی")</f>
        <v>مشاوره دوستیابی</v>
      </c>
      <c r="G4647" s="1" t="str">
        <f>IFERROR(__xludf.DUMMYFUNCTION("GOOGLETRANSLATE(C4647, ""en"", ""fa"")
"),"چگونه می توانم از توضیحات نمایه خود برای بیان تعهد خود به رشد شخصی و مراقبت از خود استفاده کنم؟")</f>
        <v>چگونه می توانم از توضیحات نمایه خود برای بیان تعهد خود به رشد شخصی و مراقبت از خود استفاده کنم؟</v>
      </c>
      <c r="H4647" s="1"/>
      <c r="I4647" s="1"/>
      <c r="J4647" s="1"/>
      <c r="K4647" s="1"/>
      <c r="L4647" s="1"/>
      <c r="M4647" s="1"/>
      <c r="N4647" s="1"/>
      <c r="O4647" s="1"/>
      <c r="P4647" s="1"/>
      <c r="Q4647" s="1"/>
      <c r="R4647" s="1"/>
      <c r="S4647" s="1"/>
      <c r="T4647" s="1"/>
      <c r="U4647" s="1"/>
      <c r="V4647" s="1"/>
      <c r="W4647" s="1"/>
      <c r="X4647" s="1"/>
      <c r="Y4647" s="1"/>
      <c r="Z4647" s="1"/>
      <c r="AA4647" s="1"/>
      <c r="AB4647" s="1"/>
    </row>
    <row r="4648" ht="50.25" customHeight="1">
      <c r="A4648" s="12">
        <v>4644.0</v>
      </c>
      <c r="B4648" s="13" t="s">
        <v>4379</v>
      </c>
      <c r="C4648" s="14" t="s">
        <v>4667</v>
      </c>
      <c r="D4648" s="1"/>
      <c r="E4648" s="1"/>
      <c r="F4648" s="1" t="str">
        <f>IFERROR(__xludf.DUMMYFUNCTION("GOOGLETRANSLATE(B4648, ""en"", ""fa"")
"),"مشاوره دوستیابی")</f>
        <v>مشاوره دوستیابی</v>
      </c>
      <c r="G4648" s="1" t="str">
        <f>IFERROR(__xludf.DUMMYFUNCTION("GOOGLETRANSLATE(C4648, ""en"", ""fa"")
"),"چند نکته برای استفاده از زبان توصیفی برای ایجاد حس محیط یا جو در توضیحات نمایه من چیست؟")</f>
        <v>چند نکته برای استفاده از زبان توصیفی برای ایجاد حس محیط یا جو در توضیحات نمایه من چیست؟</v>
      </c>
      <c r="H4648" s="1"/>
      <c r="I4648" s="1"/>
      <c r="J4648" s="1"/>
      <c r="K4648" s="1"/>
      <c r="L4648" s="1"/>
      <c r="M4648" s="1"/>
      <c r="N4648" s="1"/>
      <c r="O4648" s="1"/>
      <c r="P4648" s="1"/>
      <c r="Q4648" s="1"/>
      <c r="R4648" s="1"/>
      <c r="S4648" s="1"/>
      <c r="T4648" s="1"/>
      <c r="U4648" s="1"/>
      <c r="V4648" s="1"/>
      <c r="W4648" s="1"/>
      <c r="X4648" s="1"/>
      <c r="Y4648" s="1"/>
      <c r="Z4648" s="1"/>
      <c r="AA4648" s="1"/>
      <c r="AB4648" s="1"/>
    </row>
    <row r="4649" ht="50.25" customHeight="1">
      <c r="A4649" s="12">
        <v>4645.0</v>
      </c>
      <c r="B4649" s="13" t="s">
        <v>4379</v>
      </c>
      <c r="C4649" s="14" t="s">
        <v>4668</v>
      </c>
      <c r="D4649" s="1"/>
      <c r="E4649" s="1"/>
      <c r="F4649" s="1" t="str">
        <f>IFERROR(__xludf.DUMMYFUNCTION("GOOGLETRANSLATE(B4649, ""en"", ""fa"")
"),"مشاوره دوستیابی")</f>
        <v>مشاوره دوستیابی</v>
      </c>
      <c r="G4649" s="1" t="str">
        <f>IFERROR(__xludf.DUMMYFUNCTION("GOOGLETRANSLATE(C4649, ""en"", ""fa"")
"),"چگونه می توانم حس ماجراجویی و عشق به سفر را در توضیحات نمایه خود منتقل کنم؟")</f>
        <v>چگونه می توانم حس ماجراجویی و عشق به سفر را در توضیحات نمایه خود منتقل کنم؟</v>
      </c>
      <c r="H4649" s="1"/>
      <c r="I4649" s="1"/>
      <c r="J4649" s="1"/>
      <c r="K4649" s="1"/>
      <c r="L4649" s="1"/>
      <c r="M4649" s="1"/>
      <c r="N4649" s="1"/>
      <c r="O4649" s="1"/>
      <c r="P4649" s="1"/>
      <c r="Q4649" s="1"/>
      <c r="R4649" s="1"/>
      <c r="S4649" s="1"/>
      <c r="T4649" s="1"/>
      <c r="U4649" s="1"/>
      <c r="V4649" s="1"/>
      <c r="W4649" s="1"/>
      <c r="X4649" s="1"/>
      <c r="Y4649" s="1"/>
      <c r="Z4649" s="1"/>
      <c r="AA4649" s="1"/>
      <c r="AB4649" s="1"/>
    </row>
    <row r="4650" ht="50.25" customHeight="1">
      <c r="A4650" s="12">
        <v>4646.0</v>
      </c>
      <c r="B4650" s="13" t="s">
        <v>4379</v>
      </c>
      <c r="C4650" s="14" t="s">
        <v>4669</v>
      </c>
      <c r="D4650" s="1"/>
      <c r="E4650" s="1"/>
      <c r="F4650" s="1" t="str">
        <f>IFERROR(__xludf.DUMMYFUNCTION("GOOGLETRANSLATE(B4650, ""en"", ""fa"")
"),"مشاوره دوستیابی")</f>
        <v>مشاوره دوستیابی</v>
      </c>
      <c r="G4650" s="1" t="str">
        <f>IFERROR(__xludf.DUMMYFUNCTION("GOOGLETRANSLATE(C4650, ""en"", ""fa"")
"),"چند استراتژی برای استفاده از تضادها یا کنار هم قرار دادن ها برای جذاب تر کردن توضیحات نمایه من چیست؟")</f>
        <v>چند استراتژی برای استفاده از تضادها یا کنار هم قرار دادن ها برای جذاب تر کردن توضیحات نمایه من چیست؟</v>
      </c>
      <c r="H4650" s="1"/>
      <c r="I4650" s="1"/>
      <c r="J4650" s="1"/>
      <c r="K4650" s="1"/>
      <c r="L4650" s="1"/>
      <c r="M4650" s="1"/>
      <c r="N4650" s="1"/>
      <c r="O4650" s="1"/>
      <c r="P4650" s="1"/>
      <c r="Q4650" s="1"/>
      <c r="R4650" s="1"/>
      <c r="S4650" s="1"/>
      <c r="T4650" s="1"/>
      <c r="U4650" s="1"/>
      <c r="V4650" s="1"/>
      <c r="W4650" s="1"/>
      <c r="X4650" s="1"/>
      <c r="Y4650" s="1"/>
      <c r="Z4650" s="1"/>
      <c r="AA4650" s="1"/>
      <c r="AB4650" s="1"/>
    </row>
    <row r="4651" ht="50.25" customHeight="1">
      <c r="A4651" s="12">
        <v>4647.0</v>
      </c>
      <c r="B4651" s="13" t="s">
        <v>4379</v>
      </c>
      <c r="C4651" s="14" t="s">
        <v>4670</v>
      </c>
      <c r="D4651" s="1"/>
      <c r="E4651" s="1"/>
      <c r="F4651" s="1" t="str">
        <f>IFERROR(__xludf.DUMMYFUNCTION("GOOGLETRANSLATE(B4651, ""en"", ""fa"")
"),"مشاوره دوستیابی")</f>
        <v>مشاوره دوستیابی</v>
      </c>
      <c r="G4651" s="1" t="str">
        <f>IFERROR(__xludf.DUMMYFUNCTION("GOOGLETRANSLATE(C4651, ""en"", ""fa"")
"),"چگونه می توانم از توضیحات نمایه خود برای ابراز قدردانی از هنر، موسیقی یا فرهنگ استفاده کنم؟")</f>
        <v>چگونه می توانم از توضیحات نمایه خود برای ابراز قدردانی از هنر، موسیقی یا فرهنگ استفاده کنم؟</v>
      </c>
      <c r="H4651" s="1"/>
      <c r="I4651" s="1"/>
      <c r="J4651" s="1"/>
      <c r="K4651" s="1"/>
      <c r="L4651" s="1"/>
      <c r="M4651" s="1"/>
      <c r="N4651" s="1"/>
      <c r="O4651" s="1"/>
      <c r="P4651" s="1"/>
      <c r="Q4651" s="1"/>
      <c r="R4651" s="1"/>
      <c r="S4651" s="1"/>
      <c r="T4651" s="1"/>
      <c r="U4651" s="1"/>
      <c r="V4651" s="1"/>
      <c r="W4651" s="1"/>
      <c r="X4651" s="1"/>
      <c r="Y4651" s="1"/>
      <c r="Z4651" s="1"/>
      <c r="AA4651" s="1"/>
      <c r="AB4651" s="1"/>
    </row>
    <row r="4652" ht="50.25" customHeight="1">
      <c r="A4652" s="12">
        <v>4648.0</v>
      </c>
      <c r="B4652" s="13" t="s">
        <v>4379</v>
      </c>
      <c r="C4652" s="14" t="s">
        <v>4671</v>
      </c>
      <c r="D4652" s="1"/>
      <c r="E4652" s="1"/>
      <c r="F4652" s="1" t="str">
        <f>IFERROR(__xludf.DUMMYFUNCTION("GOOGLETRANSLATE(B4652, ""en"", ""fa"")
"),"مشاوره دوستیابی")</f>
        <v>مشاوره دوستیابی</v>
      </c>
      <c r="G4652" s="1" t="str">
        <f>IFERROR(__xludf.DUMMYFUNCTION("GOOGLETRANSLATE(C4652, ""en"", ""fa"")
"),"چند تکنیک برای گنجاندن قدردانی و مثبت اندیشی در توضیحات نمایه من چیست؟")</f>
        <v>چند تکنیک برای گنجاندن قدردانی و مثبت اندیشی در توضیحات نمایه من چیست؟</v>
      </c>
      <c r="H4652" s="1"/>
      <c r="I4652" s="1"/>
      <c r="J4652" s="1"/>
      <c r="K4652" s="1"/>
      <c r="L4652" s="1"/>
      <c r="M4652" s="1"/>
      <c r="N4652" s="1"/>
      <c r="O4652" s="1"/>
      <c r="P4652" s="1"/>
      <c r="Q4652" s="1"/>
      <c r="R4652" s="1"/>
      <c r="S4652" s="1"/>
      <c r="T4652" s="1"/>
      <c r="U4652" s="1"/>
      <c r="V4652" s="1"/>
      <c r="W4652" s="1"/>
      <c r="X4652" s="1"/>
      <c r="Y4652" s="1"/>
      <c r="Z4652" s="1"/>
      <c r="AA4652" s="1"/>
      <c r="AB4652" s="1"/>
    </row>
    <row r="4653" ht="50.25" customHeight="1">
      <c r="A4653" s="12">
        <v>4649.0</v>
      </c>
      <c r="B4653" s="13" t="s">
        <v>4379</v>
      </c>
      <c r="C4653" s="14" t="s">
        <v>4672</v>
      </c>
      <c r="D4653" s="1"/>
      <c r="E4653" s="1"/>
      <c r="F4653" s="1" t="str">
        <f>IFERROR(__xludf.DUMMYFUNCTION("GOOGLETRANSLATE(B4653, ""en"", ""fa"")
"),"مشاوره دوستیابی")</f>
        <v>مشاوره دوستیابی</v>
      </c>
      <c r="G4653" s="1" t="str">
        <f>IFERROR(__xludf.DUMMYFUNCTION("GOOGLETRANSLATE(C4653, ""en"", ""fa"")
"),"چگونه می توانم یک توصیف نمایه ایجاد کنم که صمیمیت و بازیگوشی را متعادل کند؟")</f>
        <v>چگونه می توانم یک توصیف نمایه ایجاد کنم که صمیمیت و بازیگوشی را متعادل کند؟</v>
      </c>
      <c r="H4653" s="1"/>
      <c r="I4653" s="1"/>
      <c r="J4653" s="1"/>
      <c r="K4653" s="1"/>
      <c r="L4653" s="1"/>
      <c r="M4653" s="1"/>
      <c r="N4653" s="1"/>
      <c r="O4653" s="1"/>
      <c r="P4653" s="1"/>
      <c r="Q4653" s="1"/>
      <c r="R4653" s="1"/>
      <c r="S4653" s="1"/>
      <c r="T4653" s="1"/>
      <c r="U4653" s="1"/>
      <c r="V4653" s="1"/>
      <c r="W4653" s="1"/>
      <c r="X4653" s="1"/>
      <c r="Y4653" s="1"/>
      <c r="Z4653" s="1"/>
      <c r="AA4653" s="1"/>
      <c r="AB4653" s="1"/>
    </row>
    <row r="4654" ht="50.25" customHeight="1">
      <c r="A4654" s="12">
        <v>4650.0</v>
      </c>
      <c r="B4654" s="13" t="s">
        <v>4379</v>
      </c>
      <c r="C4654" s="14" t="s">
        <v>4673</v>
      </c>
      <c r="D4654" s="1"/>
      <c r="E4654" s="1"/>
      <c r="F4654" s="1" t="str">
        <f>IFERROR(__xludf.DUMMYFUNCTION("GOOGLETRANSLATE(B4654, ""en"", ""fa"")
"),"مشاوره دوستیابی")</f>
        <v>مشاوره دوستیابی</v>
      </c>
      <c r="G4654" s="1" t="str">
        <f>IFERROR(__xludf.DUMMYFUNCTION("GOOGLETRANSLATE(C4654, ""en"", ""fa"")
"),"چند نکته برای استفاده از حکایات یا داستان ها برای نشان دادن حس همدلی و درک خود در توضیحات نمایه من چیست؟")</f>
        <v>چند نکته برای استفاده از حکایات یا داستان ها برای نشان دادن حس همدلی و درک خود در توضیحات نمایه من چیست؟</v>
      </c>
      <c r="H4654" s="1"/>
      <c r="I4654" s="1"/>
      <c r="J4654" s="1"/>
      <c r="K4654" s="1"/>
      <c r="L4654" s="1"/>
      <c r="M4654" s="1"/>
      <c r="N4654" s="1"/>
      <c r="O4654" s="1"/>
      <c r="P4654" s="1"/>
      <c r="Q4654" s="1"/>
      <c r="R4654" s="1"/>
      <c r="S4654" s="1"/>
      <c r="T4654" s="1"/>
      <c r="U4654" s="1"/>
      <c r="V4654" s="1"/>
      <c r="W4654" s="1"/>
      <c r="X4654" s="1"/>
      <c r="Y4654" s="1"/>
      <c r="Z4654" s="1"/>
      <c r="AA4654" s="1"/>
      <c r="AB4654" s="1"/>
    </row>
    <row r="4655" ht="50.25" customHeight="1">
      <c r="A4655" s="12">
        <v>4651.0</v>
      </c>
      <c r="B4655" s="13" t="s">
        <v>4379</v>
      </c>
      <c r="C4655" s="14" t="s">
        <v>4674</v>
      </c>
      <c r="D4655" s="1"/>
      <c r="E4655" s="1"/>
      <c r="F4655" s="1" t="str">
        <f>IFERROR(__xludf.DUMMYFUNCTION("GOOGLETRANSLATE(B4655, ""en"", ""fa"")
"),"مشاوره دوستیابی")</f>
        <v>مشاوره دوستیابی</v>
      </c>
      <c r="G4655" s="1" t="str">
        <f>IFERROR(__xludf.DUMMYFUNCTION("GOOGLETRANSLATE(C4655, ""en"", ""fa"")
"),"چگونه می توانم سبک زندگی فعال و عشق به تناسب اندام را در توضیحات نمایه خود نشان دهم؟")</f>
        <v>چگونه می توانم سبک زندگی فعال و عشق به تناسب اندام را در توضیحات نمایه خود نشان دهم؟</v>
      </c>
      <c r="H4655" s="1"/>
      <c r="I4655" s="1"/>
      <c r="J4655" s="1"/>
      <c r="K4655" s="1"/>
      <c r="L4655" s="1"/>
      <c r="M4655" s="1"/>
      <c r="N4655" s="1"/>
      <c r="O4655" s="1"/>
      <c r="P4655" s="1"/>
      <c r="Q4655" s="1"/>
      <c r="R4655" s="1"/>
      <c r="S4655" s="1"/>
      <c r="T4655" s="1"/>
      <c r="U4655" s="1"/>
      <c r="V4655" s="1"/>
      <c r="W4655" s="1"/>
      <c r="X4655" s="1"/>
      <c r="Y4655" s="1"/>
      <c r="Z4655" s="1"/>
      <c r="AA4655" s="1"/>
      <c r="AB4655" s="1"/>
    </row>
    <row r="4656" ht="50.25" customHeight="1">
      <c r="A4656" s="12">
        <v>4652.0</v>
      </c>
      <c r="B4656" s="13" t="s">
        <v>4379</v>
      </c>
      <c r="C4656" s="14" t="s">
        <v>4675</v>
      </c>
      <c r="D4656" s="1"/>
      <c r="E4656" s="1"/>
      <c r="F4656" s="1" t="str">
        <f>IFERROR(__xludf.DUMMYFUNCTION("GOOGLETRANSLATE(B4656, ""en"", ""fa"")
"),"مشاوره دوستیابی")</f>
        <v>مشاوره دوستیابی</v>
      </c>
      <c r="G4656" s="1" t="str">
        <f>IFERROR(__xludf.DUMMYFUNCTION("GOOGLETRANSLATE(C4656, ""en"", ""fa"")
"),"چند استراتژی برای استفاده از لیست ها یا نقاط گلوله برای برجسته کردن جنبه های کلیدی شخصیت من در توضیحات نمایه من چیست؟")</f>
        <v>چند استراتژی برای استفاده از لیست ها یا نقاط گلوله برای برجسته کردن جنبه های کلیدی شخصیت من در توضیحات نمایه من چیست؟</v>
      </c>
      <c r="H4656" s="1"/>
      <c r="I4656" s="1"/>
      <c r="J4656" s="1"/>
      <c r="K4656" s="1"/>
      <c r="L4656" s="1"/>
      <c r="M4656" s="1"/>
      <c r="N4656" s="1"/>
      <c r="O4656" s="1"/>
      <c r="P4656" s="1"/>
      <c r="Q4656" s="1"/>
      <c r="R4656" s="1"/>
      <c r="S4656" s="1"/>
      <c r="T4656" s="1"/>
      <c r="U4656" s="1"/>
      <c r="V4656" s="1"/>
      <c r="W4656" s="1"/>
      <c r="X4656" s="1"/>
      <c r="Y4656" s="1"/>
      <c r="Z4656" s="1"/>
      <c r="AA4656" s="1"/>
      <c r="AB4656" s="1"/>
    </row>
    <row r="4657" ht="50.25" customHeight="1">
      <c r="A4657" s="12">
        <v>4653.0</v>
      </c>
      <c r="B4657" s="13" t="s">
        <v>4379</v>
      </c>
      <c r="C4657" s="14" t="s">
        <v>4676</v>
      </c>
      <c r="D4657" s="1"/>
      <c r="E4657" s="1"/>
      <c r="F4657" s="1" t="str">
        <f>IFERROR(__xludf.DUMMYFUNCTION("GOOGLETRANSLATE(B4657, ""en"", ""fa"")
"),"مشاوره دوستیابی")</f>
        <v>مشاوره دوستیابی</v>
      </c>
      <c r="G4657" s="1" t="str">
        <f>IFERROR(__xludf.DUMMYFUNCTION("GOOGLETRANSLATE(C4657, ""en"", ""fa"")
"),"چگونه می توانم عشق خود را به حیوانات یا حیوانات خانگی در توضیحات نمایه خود بیان کنم؟")</f>
        <v>چگونه می توانم عشق خود را به حیوانات یا حیوانات خانگی در توضیحات نمایه خود بیان کنم؟</v>
      </c>
      <c r="H4657" s="1"/>
      <c r="I4657" s="1"/>
      <c r="J4657" s="1"/>
      <c r="K4657" s="1"/>
      <c r="L4657" s="1"/>
      <c r="M4657" s="1"/>
      <c r="N4657" s="1"/>
      <c r="O4657" s="1"/>
      <c r="P4657" s="1"/>
      <c r="Q4657" s="1"/>
      <c r="R4657" s="1"/>
      <c r="S4657" s="1"/>
      <c r="T4657" s="1"/>
      <c r="U4657" s="1"/>
      <c r="V4657" s="1"/>
      <c r="W4657" s="1"/>
      <c r="X4657" s="1"/>
      <c r="Y4657" s="1"/>
      <c r="Z4657" s="1"/>
      <c r="AA4657" s="1"/>
      <c r="AB4657" s="1"/>
    </row>
    <row r="4658" ht="50.25" customHeight="1">
      <c r="A4658" s="12">
        <v>4654.0</v>
      </c>
      <c r="B4658" s="13" t="s">
        <v>4379</v>
      </c>
      <c r="C4658" s="14" t="s">
        <v>4677</v>
      </c>
      <c r="D4658" s="1"/>
      <c r="E4658" s="1"/>
      <c r="F4658" s="1" t="str">
        <f>IFERROR(__xludf.DUMMYFUNCTION("GOOGLETRANSLATE(B4658, ""en"", ""fa"")
"),"مشاوره دوستیابی")</f>
        <v>مشاوره دوستیابی</v>
      </c>
      <c r="G4658" s="1" t="str">
        <f>IFERROR(__xludf.DUMMYFUNCTION("GOOGLETRANSLATE(C4658, ""en"", ""fa"")
"),"چند تکنیک برای استفاده از سوالات بلاغی برای درگیر کردن موارد مشابه در توضیحات نمایه من چیست؟")</f>
        <v>چند تکنیک برای استفاده از سوالات بلاغی برای درگیر کردن موارد مشابه در توضیحات نمایه من چیست؟</v>
      </c>
      <c r="H4658" s="1"/>
      <c r="I4658" s="1"/>
      <c r="J4658" s="1"/>
      <c r="K4658" s="1"/>
      <c r="L4658" s="1"/>
      <c r="M4658" s="1"/>
      <c r="N4658" s="1"/>
      <c r="O4658" s="1"/>
      <c r="P4658" s="1"/>
      <c r="Q4658" s="1"/>
      <c r="R4658" s="1"/>
      <c r="S4658" s="1"/>
      <c r="T4658" s="1"/>
      <c r="U4658" s="1"/>
      <c r="V4658" s="1"/>
      <c r="W4658" s="1"/>
      <c r="X4658" s="1"/>
      <c r="Y4658" s="1"/>
      <c r="Z4658" s="1"/>
      <c r="AA4658" s="1"/>
      <c r="AB4658" s="1"/>
    </row>
    <row r="4659" ht="50.25" customHeight="1">
      <c r="A4659" s="12">
        <v>4655.0</v>
      </c>
      <c r="B4659" s="13" t="s">
        <v>4379</v>
      </c>
      <c r="C4659" s="14" t="s">
        <v>4678</v>
      </c>
      <c r="D4659" s="1"/>
      <c r="E4659" s="1"/>
      <c r="F4659" s="1" t="str">
        <f>IFERROR(__xludf.DUMMYFUNCTION("GOOGLETRANSLATE(B4659, ""en"", ""fa"")
"),"مشاوره دوستیابی")</f>
        <v>مشاوره دوستیابی</v>
      </c>
      <c r="G4659" s="1" t="str">
        <f>IFERROR(__xludf.DUMMYFUNCTION("GOOGLETRANSLATE(C4659, ""en"", ""fa"")
"),"چگونه می توانم از توضیحات نمایه خود برای انتقال ارزش های خود در مورد عدالت اجتماعی یا فعالیت استفاده کنم؟")</f>
        <v>چگونه می توانم از توضیحات نمایه خود برای انتقال ارزش های خود در مورد عدالت اجتماعی یا فعالیت استفاده کنم؟</v>
      </c>
      <c r="H4659" s="1"/>
      <c r="I4659" s="1"/>
      <c r="J4659" s="1"/>
      <c r="K4659" s="1"/>
      <c r="L4659" s="1"/>
      <c r="M4659" s="1"/>
      <c r="N4659" s="1"/>
      <c r="O4659" s="1"/>
      <c r="P4659" s="1"/>
      <c r="Q4659" s="1"/>
      <c r="R4659" s="1"/>
      <c r="S4659" s="1"/>
      <c r="T4659" s="1"/>
      <c r="U4659" s="1"/>
      <c r="V4659" s="1"/>
      <c r="W4659" s="1"/>
      <c r="X4659" s="1"/>
      <c r="Y4659" s="1"/>
      <c r="Z4659" s="1"/>
      <c r="AA4659" s="1"/>
      <c r="AB4659" s="1"/>
    </row>
    <row r="4660" ht="50.25" customHeight="1">
      <c r="A4660" s="12">
        <v>4656.0</v>
      </c>
      <c r="B4660" s="13" t="s">
        <v>4379</v>
      </c>
      <c r="C4660" s="14" t="s">
        <v>4679</v>
      </c>
      <c r="D4660" s="1"/>
      <c r="E4660" s="1"/>
      <c r="F4660" s="1" t="str">
        <f>IFERROR(__xludf.DUMMYFUNCTION("GOOGLETRANSLATE(B4660, ""en"", ""fa"")
"),"مشاوره دوستیابی")</f>
        <v>مشاوره دوستیابی</v>
      </c>
      <c r="G4660" s="1" t="str">
        <f>IFERROR(__xludf.DUMMYFUNCTION("GOOGLETRANSLATE(C4660, ""en"", ""fa"")
"),"چند نکته برای استفاده از طنز برای شکستن یخ و ایجاد لحن سبک دل در توضیحات نمایه من چیست؟")</f>
        <v>چند نکته برای استفاده از طنز برای شکستن یخ و ایجاد لحن سبک دل در توضیحات نمایه من چیست؟</v>
      </c>
      <c r="H4660" s="1"/>
      <c r="I4660" s="1"/>
      <c r="J4660" s="1"/>
      <c r="K4660" s="1"/>
      <c r="L4660" s="1"/>
      <c r="M4660" s="1"/>
      <c r="N4660" s="1"/>
      <c r="O4660" s="1"/>
      <c r="P4660" s="1"/>
      <c r="Q4660" s="1"/>
      <c r="R4660" s="1"/>
      <c r="S4660" s="1"/>
      <c r="T4660" s="1"/>
      <c r="U4660" s="1"/>
      <c r="V4660" s="1"/>
      <c r="W4660" s="1"/>
      <c r="X4660" s="1"/>
      <c r="Y4660" s="1"/>
      <c r="Z4660" s="1"/>
      <c r="AA4660" s="1"/>
      <c r="AB4660" s="1"/>
    </row>
    <row r="4661" ht="50.25" customHeight="1">
      <c r="A4661" s="12">
        <v>4657.0</v>
      </c>
      <c r="B4661" s="13" t="s">
        <v>4379</v>
      </c>
      <c r="C4661" s="14" t="s">
        <v>4680</v>
      </c>
      <c r="D4661" s="1"/>
      <c r="E4661" s="1"/>
      <c r="F4661" s="1" t="str">
        <f>IFERROR(__xludf.DUMMYFUNCTION("GOOGLETRANSLATE(B4661, ""en"", ""fa"")
"),"مشاوره دوستیابی")</f>
        <v>مشاوره دوستیابی</v>
      </c>
      <c r="G4661" s="1" t="str">
        <f>IFERROR(__xludf.DUMMYFUNCTION("GOOGLETRANSLATE(C4661, ""en"", ""fa"")
"),"چگونه می توانم خلاقیت و فعالیت های هنری خود را در توضیحات نمایه خود به نمایش بگذارم؟")</f>
        <v>چگونه می توانم خلاقیت و فعالیت های هنری خود را در توضیحات نمایه خود به نمایش بگذارم؟</v>
      </c>
      <c r="H4661" s="1"/>
      <c r="I4661" s="1"/>
      <c r="J4661" s="1"/>
      <c r="K4661" s="1"/>
      <c r="L4661" s="1"/>
      <c r="M4661" s="1"/>
      <c r="N4661" s="1"/>
      <c r="O4661" s="1"/>
      <c r="P4661" s="1"/>
      <c r="Q4661" s="1"/>
      <c r="R4661" s="1"/>
      <c r="S4661" s="1"/>
      <c r="T4661" s="1"/>
      <c r="U4661" s="1"/>
      <c r="V4661" s="1"/>
      <c r="W4661" s="1"/>
      <c r="X4661" s="1"/>
      <c r="Y4661" s="1"/>
      <c r="Z4661" s="1"/>
      <c r="AA4661" s="1"/>
      <c r="AB4661" s="1"/>
    </row>
    <row r="4662" ht="50.25" customHeight="1">
      <c r="A4662" s="12">
        <v>4658.0</v>
      </c>
      <c r="B4662" s="13" t="s">
        <v>4379</v>
      </c>
      <c r="C4662" s="14" t="s">
        <v>4681</v>
      </c>
      <c r="D4662" s="1"/>
      <c r="E4662" s="1"/>
      <c r="F4662" s="1" t="str">
        <f>IFERROR(__xludf.DUMMYFUNCTION("GOOGLETRANSLATE(B4662, ""en"", ""fa"")
"),"مشاوره دوستیابی")</f>
        <v>مشاوره دوستیابی</v>
      </c>
      <c r="G4662" s="1" t="str">
        <f>IFERROR(__xludf.DUMMYFUNCTION("GOOGLETRANSLATE(C4662, ""en"", ""fa"")
"),"چند استراتژی برای استفاده از استعاره یا تشبیه برای توصیف رابطه ایده آل من در توضیحات نمایه من چیست؟")</f>
        <v>چند استراتژی برای استفاده از استعاره یا تشبیه برای توصیف رابطه ایده آل من در توضیحات نمایه من چیست؟</v>
      </c>
      <c r="H4662" s="1"/>
      <c r="I4662" s="1"/>
      <c r="J4662" s="1"/>
      <c r="K4662" s="1"/>
      <c r="L4662" s="1"/>
      <c r="M4662" s="1"/>
      <c r="N4662" s="1"/>
      <c r="O4662" s="1"/>
      <c r="P4662" s="1"/>
      <c r="Q4662" s="1"/>
      <c r="R4662" s="1"/>
      <c r="S4662" s="1"/>
      <c r="T4662" s="1"/>
      <c r="U4662" s="1"/>
      <c r="V4662" s="1"/>
      <c r="W4662" s="1"/>
      <c r="X4662" s="1"/>
      <c r="Y4662" s="1"/>
      <c r="Z4662" s="1"/>
      <c r="AA4662" s="1"/>
      <c r="AB4662" s="1"/>
    </row>
    <row r="4663" ht="50.25" customHeight="1">
      <c r="A4663" s="12">
        <v>4659.0</v>
      </c>
      <c r="B4663" s="13" t="s">
        <v>4379</v>
      </c>
      <c r="C4663" s="14" t="s">
        <v>4682</v>
      </c>
      <c r="D4663" s="1"/>
      <c r="E4663" s="1"/>
      <c r="F4663" s="1" t="str">
        <f>IFERROR(__xludf.DUMMYFUNCTION("GOOGLETRANSLATE(B4663, ""en"", ""fa"")
"),"مشاوره دوستیابی")</f>
        <v>مشاوره دوستیابی</v>
      </c>
      <c r="G4663" s="1" t="str">
        <f>IFERROR(__xludf.DUMMYFUNCTION("GOOGLETRANSLATE(C4663, ""en"", ""fa"")
"),"چگونه می توانم شرح نمایه ای ایجاد کنم که عشق من به غذا و تجربیات آشپزی را نشان دهد؟")</f>
        <v>چگونه می توانم شرح نمایه ای ایجاد کنم که عشق من به غذا و تجربیات آشپزی را نشان دهد؟</v>
      </c>
      <c r="H4663" s="1"/>
      <c r="I4663" s="1"/>
      <c r="J4663" s="1"/>
      <c r="K4663" s="1"/>
      <c r="L4663" s="1"/>
      <c r="M4663" s="1"/>
      <c r="N4663" s="1"/>
      <c r="O4663" s="1"/>
      <c r="P4663" s="1"/>
      <c r="Q4663" s="1"/>
      <c r="R4663" s="1"/>
      <c r="S4663" s="1"/>
      <c r="T4663" s="1"/>
      <c r="U4663" s="1"/>
      <c r="V4663" s="1"/>
      <c r="W4663" s="1"/>
      <c r="X4663" s="1"/>
      <c r="Y4663" s="1"/>
      <c r="Z4663" s="1"/>
      <c r="AA4663" s="1"/>
      <c r="AB4663" s="1"/>
    </row>
    <row r="4664" ht="50.25" customHeight="1">
      <c r="A4664" s="12">
        <v>4660.0</v>
      </c>
      <c r="B4664" s="13" t="s">
        <v>4379</v>
      </c>
      <c r="C4664" s="14" t="s">
        <v>4683</v>
      </c>
      <c r="D4664" s="1"/>
      <c r="E4664" s="1"/>
      <c r="F4664" s="1" t="str">
        <f>IFERROR(__xludf.DUMMYFUNCTION("GOOGLETRANSLATE(B4664, ""en"", ""fa"")
"),"مشاوره دوستیابی")</f>
        <v>مشاوره دوستیابی</v>
      </c>
      <c r="G4664" s="1" t="str">
        <f>IFERROR(__xludf.DUMMYFUNCTION("GOOGLETRANSLATE(C4664, ""en"", ""fa"")
"),"چند تکنیک برای استفاده از زبان حسی برای برانگیختن احساسات و ایجاد یک تصور واضح در توضیحات نمایه من چیست؟")</f>
        <v>چند تکنیک برای استفاده از زبان حسی برای برانگیختن احساسات و ایجاد یک تصور واضح در توضیحات نمایه من چیست؟</v>
      </c>
      <c r="H4664" s="1"/>
      <c r="I4664" s="1"/>
      <c r="J4664" s="1"/>
      <c r="K4664" s="1"/>
      <c r="L4664" s="1"/>
      <c r="M4664" s="1"/>
      <c r="N4664" s="1"/>
      <c r="O4664" s="1"/>
      <c r="P4664" s="1"/>
      <c r="Q4664" s="1"/>
      <c r="R4664" s="1"/>
      <c r="S4664" s="1"/>
      <c r="T4664" s="1"/>
      <c r="U4664" s="1"/>
      <c r="V4664" s="1"/>
      <c r="W4664" s="1"/>
      <c r="X4664" s="1"/>
      <c r="Y4664" s="1"/>
      <c r="Z4664" s="1"/>
      <c r="AA4664" s="1"/>
      <c r="AB4664" s="1"/>
    </row>
    <row r="4665" ht="50.25" customHeight="1">
      <c r="A4665" s="12">
        <v>4661.0</v>
      </c>
      <c r="B4665" s="13" t="s">
        <v>4379</v>
      </c>
      <c r="C4665" s="14" t="s">
        <v>4684</v>
      </c>
      <c r="D4665" s="1"/>
      <c r="E4665" s="1"/>
      <c r="F4665" s="1" t="str">
        <f>IFERROR(__xludf.DUMMYFUNCTION("GOOGLETRANSLATE(B4665, ""en"", ""fa"")
"),"مشاوره دوستیابی")</f>
        <v>مشاوره دوستیابی</v>
      </c>
      <c r="G4665" s="1" t="str">
        <f>IFERROR(__xludf.DUMMYFUNCTION("GOOGLETRANSLATE(C4665, ""en"", ""fa"")
"),"چگونه می توانم از توضیحات نمایه خود برای بیان تمایل خود برای ارتباطات معنی دار و گفتگوهای عمیق استفاده کنم؟")</f>
        <v>چگونه می توانم از توضیحات نمایه خود برای بیان تمایل خود برای ارتباطات معنی دار و گفتگوهای عمیق استفاده کنم؟</v>
      </c>
      <c r="H4665" s="1"/>
      <c r="I4665" s="1"/>
      <c r="J4665" s="1"/>
      <c r="K4665" s="1"/>
      <c r="L4665" s="1"/>
      <c r="M4665" s="1"/>
      <c r="N4665" s="1"/>
      <c r="O4665" s="1"/>
      <c r="P4665" s="1"/>
      <c r="Q4665" s="1"/>
      <c r="R4665" s="1"/>
      <c r="S4665" s="1"/>
      <c r="T4665" s="1"/>
      <c r="U4665" s="1"/>
      <c r="V4665" s="1"/>
      <c r="W4665" s="1"/>
      <c r="X4665" s="1"/>
      <c r="Y4665" s="1"/>
      <c r="Z4665" s="1"/>
      <c r="AA4665" s="1"/>
      <c r="AB4665" s="1"/>
    </row>
    <row r="4666" ht="50.25" customHeight="1">
      <c r="A4666" s="12">
        <v>4662.0</v>
      </c>
      <c r="B4666" s="13" t="s">
        <v>4379</v>
      </c>
      <c r="C4666" s="14" t="s">
        <v>4685</v>
      </c>
      <c r="D4666" s="1"/>
      <c r="E4666" s="1"/>
      <c r="F4666" s="1" t="str">
        <f>IFERROR(__xludf.DUMMYFUNCTION("GOOGLETRANSLATE(B4666, ""en"", ""fa"")
"),"مشاوره دوستیابی")</f>
        <v>مشاوره دوستیابی</v>
      </c>
      <c r="G4666" s="1" t="str">
        <f>IFERROR(__xludf.DUMMYFUNCTION("GOOGLETRANSLATE(C4666, ""en"", ""fa"")
"),"چه نکاتی برای استفاده از طنز تحقیرآمیز خود در توضیحات نمایه‌ام بدون تضعیف اعتماد به نفسم وجود دارد؟")</f>
        <v>چه نکاتی برای استفاده از طنز تحقیرآمیز خود در توضیحات نمایه‌ام بدون تضعیف اعتماد به نفسم وجود دارد؟</v>
      </c>
      <c r="H4666" s="1"/>
      <c r="I4666" s="1"/>
      <c r="J4666" s="1"/>
      <c r="K4666" s="1"/>
      <c r="L4666" s="1"/>
      <c r="M4666" s="1"/>
      <c r="N4666" s="1"/>
      <c r="O4666" s="1"/>
      <c r="P4666" s="1"/>
      <c r="Q4666" s="1"/>
      <c r="R4666" s="1"/>
      <c r="S4666" s="1"/>
      <c r="T4666" s="1"/>
      <c r="U4666" s="1"/>
      <c r="V4666" s="1"/>
      <c r="W4666" s="1"/>
      <c r="X4666" s="1"/>
      <c r="Y4666" s="1"/>
      <c r="Z4666" s="1"/>
      <c r="AA4666" s="1"/>
      <c r="AB4666" s="1"/>
    </row>
    <row r="4667" ht="50.25" customHeight="1">
      <c r="A4667" s="12">
        <v>4663.0</v>
      </c>
      <c r="B4667" s="13" t="s">
        <v>4379</v>
      </c>
      <c r="C4667" s="14" t="s">
        <v>4686</v>
      </c>
      <c r="D4667" s="1"/>
      <c r="E4667" s="1"/>
      <c r="F4667" s="1" t="str">
        <f>IFERROR(__xludf.DUMMYFUNCTION("GOOGLETRANSLATE(B4667, ""en"", ""fa"")
"),"مشاوره دوستیابی")</f>
        <v>مشاوره دوستیابی</v>
      </c>
      <c r="G4667" s="1" t="str">
        <f>IFERROR(__xludf.DUMMYFUNCTION("GOOGLETRANSLATE(C4667, ""en"", ""fa"")
"),"چگونه می توانم عشق خود را به فضای باز و طبیعت در توضیحات نمایه خود بیان کنم؟")</f>
        <v>چگونه می توانم عشق خود را به فضای باز و طبیعت در توضیحات نمایه خود بیان کنم؟</v>
      </c>
      <c r="H4667" s="1"/>
      <c r="I4667" s="1"/>
      <c r="J4667" s="1"/>
      <c r="K4667" s="1"/>
      <c r="L4667" s="1"/>
      <c r="M4667" s="1"/>
      <c r="N4667" s="1"/>
      <c r="O4667" s="1"/>
      <c r="P4667" s="1"/>
      <c r="Q4667" s="1"/>
      <c r="R4667" s="1"/>
      <c r="S4667" s="1"/>
      <c r="T4667" s="1"/>
      <c r="U4667" s="1"/>
      <c r="V4667" s="1"/>
      <c r="W4667" s="1"/>
      <c r="X4667" s="1"/>
      <c r="Y4667" s="1"/>
      <c r="Z4667" s="1"/>
      <c r="AA4667" s="1"/>
      <c r="AB4667" s="1"/>
    </row>
    <row r="4668" ht="50.25" customHeight="1">
      <c r="A4668" s="12">
        <v>4664.0</v>
      </c>
      <c r="B4668" s="13" t="s">
        <v>4379</v>
      </c>
      <c r="C4668" s="14" t="s">
        <v>4687</v>
      </c>
      <c r="D4668" s="1"/>
      <c r="E4668" s="1"/>
      <c r="F4668" s="1" t="str">
        <f>IFERROR(__xludf.DUMMYFUNCTION("GOOGLETRANSLATE(B4668, ""en"", ""fa"")
"),"مشاوره دوستیابی")</f>
        <v>مشاوره دوستیابی</v>
      </c>
      <c r="G4668" s="1" t="str">
        <f>IFERROR(__xludf.DUMMYFUNCTION("GOOGLETRANSLATE(C4668, ""en"", ""fa"")
"),"چند استراتژی برای استفاده از لحن محاوره ای و دوستانه در توضیحات نمایه من چیست؟")</f>
        <v>چند استراتژی برای استفاده از لحن محاوره ای و دوستانه در توضیحات نمایه من چیست؟</v>
      </c>
      <c r="H4668" s="1"/>
      <c r="I4668" s="1"/>
      <c r="J4668" s="1"/>
      <c r="K4668" s="1"/>
      <c r="L4668" s="1"/>
      <c r="M4668" s="1"/>
      <c r="N4668" s="1"/>
      <c r="O4668" s="1"/>
      <c r="P4668" s="1"/>
      <c r="Q4668" s="1"/>
      <c r="R4668" s="1"/>
      <c r="S4668" s="1"/>
      <c r="T4668" s="1"/>
      <c r="U4668" s="1"/>
      <c r="V4668" s="1"/>
      <c r="W4668" s="1"/>
      <c r="X4668" s="1"/>
      <c r="Y4668" s="1"/>
      <c r="Z4668" s="1"/>
      <c r="AA4668" s="1"/>
      <c r="AB4668" s="1"/>
    </row>
    <row r="4669" ht="50.25" customHeight="1">
      <c r="A4669" s="12">
        <v>4665.0</v>
      </c>
      <c r="B4669" s="13" t="s">
        <v>4379</v>
      </c>
      <c r="C4669" s="14" t="s">
        <v>4688</v>
      </c>
      <c r="D4669" s="1"/>
      <c r="E4669" s="1"/>
      <c r="F4669" s="1" t="str">
        <f>IFERROR(__xludf.DUMMYFUNCTION("GOOGLETRANSLATE(B4669, ""en"", ""fa"")
"),"مشاوره دوستیابی")</f>
        <v>مشاوره دوستیابی</v>
      </c>
      <c r="G4669" s="1" t="str">
        <f>IFERROR(__xludf.DUMMYFUNCTION("GOOGLETRANSLATE(C4669, ""en"", ""fa"")
"),"چند استراتژی برای انتخاب برنامه یا پلتفرم مناسب دوستیابی که با اهداف دوستیابی من مطابقت دارد چیست؟")</f>
        <v>چند استراتژی برای انتخاب برنامه یا پلتفرم مناسب دوستیابی که با اهداف دوستیابی من مطابقت دارد چیست؟</v>
      </c>
      <c r="H4669" s="1"/>
      <c r="I4669" s="1"/>
      <c r="J4669" s="1"/>
      <c r="K4669" s="1"/>
      <c r="L4669" s="1"/>
      <c r="M4669" s="1"/>
      <c r="N4669" s="1"/>
      <c r="O4669" s="1"/>
      <c r="P4669" s="1"/>
      <c r="Q4669" s="1"/>
      <c r="R4669" s="1"/>
      <c r="S4669" s="1"/>
      <c r="T4669" s="1"/>
      <c r="U4669" s="1"/>
      <c r="V4669" s="1"/>
      <c r="W4669" s="1"/>
      <c r="X4669" s="1"/>
      <c r="Y4669" s="1"/>
      <c r="Z4669" s="1"/>
      <c r="AA4669" s="1"/>
      <c r="AB4669" s="1"/>
    </row>
    <row r="4670" ht="50.25" customHeight="1">
      <c r="A4670" s="12">
        <v>4666.0</v>
      </c>
      <c r="B4670" s="13" t="s">
        <v>4379</v>
      </c>
      <c r="C4670" s="14" t="s">
        <v>4689</v>
      </c>
      <c r="D4670" s="1"/>
      <c r="E4670" s="1"/>
      <c r="F4670" s="1" t="str">
        <f>IFERROR(__xludf.DUMMYFUNCTION("GOOGLETRANSLATE(B4670, ""en"", ""fa"")
"),"مشاوره دوستیابی")</f>
        <v>مشاوره دوستیابی</v>
      </c>
      <c r="G4670" s="1" t="str">
        <f>IFERROR(__xludf.DUMMYFUNCTION("GOOGLETRANSLATE(C4670, ""en"", ""fa"")
"),"چگونه می توانم به طور موثر مطابق با اولویت ها و سازگاری خود را فیلتر و اولویت بندی کنم؟")</f>
        <v>چگونه می توانم به طور موثر مطابق با اولویت ها و سازگاری خود را فیلتر و اولویت بندی کنم؟</v>
      </c>
      <c r="H4670" s="1"/>
      <c r="I4670" s="1"/>
      <c r="J4670" s="1"/>
      <c r="K4670" s="1"/>
      <c r="L4670" s="1"/>
      <c r="M4670" s="1"/>
      <c r="N4670" s="1"/>
      <c r="O4670" s="1"/>
      <c r="P4670" s="1"/>
      <c r="Q4670" s="1"/>
      <c r="R4670" s="1"/>
      <c r="S4670" s="1"/>
      <c r="T4670" s="1"/>
      <c r="U4670" s="1"/>
      <c r="V4670" s="1"/>
      <c r="W4670" s="1"/>
      <c r="X4670" s="1"/>
      <c r="Y4670" s="1"/>
      <c r="Z4670" s="1"/>
      <c r="AA4670" s="1"/>
      <c r="AB4670" s="1"/>
    </row>
    <row r="4671" ht="50.25" customHeight="1">
      <c r="A4671" s="12">
        <v>4667.0</v>
      </c>
      <c r="B4671" s="13" t="s">
        <v>4379</v>
      </c>
      <c r="C4671" s="14" t="s">
        <v>4690</v>
      </c>
      <c r="D4671" s="1"/>
      <c r="E4671" s="1"/>
      <c r="F4671" s="1" t="str">
        <f>IFERROR(__xludf.DUMMYFUNCTION("GOOGLETRANSLATE(B4671, ""en"", ""fa"")
"),"مشاوره دوستیابی")</f>
        <v>مشاوره دوستیابی</v>
      </c>
      <c r="G4671" s="1" t="str">
        <f>IFERROR(__xludf.DUMMYFUNCTION("GOOGLETRANSLATE(C4671, ""en"", ""fa"")
"),"چه بایدها و نبایدهایی برای ایجاد یک پروفایل دوستیابی آنلاین جذاب و جلب توجه وجود دارد؟")</f>
        <v>چه بایدها و نبایدهایی برای ایجاد یک پروفایل دوستیابی آنلاین جذاب و جلب توجه وجود دارد؟</v>
      </c>
      <c r="H4671" s="1"/>
      <c r="I4671" s="1"/>
      <c r="J4671" s="1"/>
      <c r="K4671" s="1"/>
      <c r="L4671" s="1"/>
      <c r="M4671" s="1"/>
      <c r="N4671" s="1"/>
      <c r="O4671" s="1"/>
      <c r="P4671" s="1"/>
      <c r="Q4671" s="1"/>
      <c r="R4671" s="1"/>
      <c r="S4671" s="1"/>
      <c r="T4671" s="1"/>
      <c r="U4671" s="1"/>
      <c r="V4671" s="1"/>
      <c r="W4671" s="1"/>
      <c r="X4671" s="1"/>
      <c r="Y4671" s="1"/>
      <c r="Z4671" s="1"/>
      <c r="AA4671" s="1"/>
      <c r="AB4671" s="1"/>
    </row>
    <row r="4672" ht="50.25" customHeight="1">
      <c r="A4672" s="12">
        <v>4668.0</v>
      </c>
      <c r="B4672" s="13" t="s">
        <v>4379</v>
      </c>
      <c r="C4672" s="14" t="s">
        <v>4691</v>
      </c>
      <c r="D4672" s="1"/>
      <c r="E4672" s="1"/>
      <c r="F4672" s="1" t="str">
        <f>IFERROR(__xludf.DUMMYFUNCTION("GOOGLETRANSLATE(B4672, ""en"", ""fa"")
"),"مشاوره دوستیابی")</f>
        <v>مشاوره دوستیابی</v>
      </c>
      <c r="G4672" s="1" t="str">
        <f>IFERROR(__xludf.DUMMYFUNCTION("GOOGLETRANSLATE(C4672, ""en"", ""fa"")
"),"چگونه می توانم روند تطبیق و پیام رسانی با موارد مشابه را به روشی واقعی و جذاب هدایت کنم؟")</f>
        <v>چگونه می توانم روند تطبیق و پیام رسانی با موارد مشابه را به روشی واقعی و جذاب هدایت کنم؟</v>
      </c>
      <c r="H4672" s="1"/>
      <c r="I4672" s="1"/>
      <c r="J4672" s="1"/>
      <c r="K4672" s="1"/>
      <c r="L4672" s="1"/>
      <c r="M4672" s="1"/>
      <c r="N4672" s="1"/>
      <c r="O4672" s="1"/>
      <c r="P4672" s="1"/>
      <c r="Q4672" s="1"/>
      <c r="R4672" s="1"/>
      <c r="S4672" s="1"/>
      <c r="T4672" s="1"/>
      <c r="U4672" s="1"/>
      <c r="V4672" s="1"/>
      <c r="W4672" s="1"/>
      <c r="X4672" s="1"/>
      <c r="Y4672" s="1"/>
      <c r="Z4672" s="1"/>
      <c r="AA4672" s="1"/>
      <c r="AB4672" s="1"/>
    </row>
    <row r="4673" ht="50.25" customHeight="1">
      <c r="A4673" s="12">
        <v>4669.0</v>
      </c>
      <c r="B4673" s="13" t="s">
        <v>4379</v>
      </c>
      <c r="C4673" s="14" t="s">
        <v>4692</v>
      </c>
      <c r="D4673" s="1"/>
      <c r="E4673" s="1"/>
      <c r="F4673" s="1" t="str">
        <f>IFERROR(__xludf.DUMMYFUNCTION("GOOGLETRANSLATE(B4673, ""en"", ""fa"")
"),"مشاوره دوستیابی")</f>
        <v>مشاوره دوستیابی</v>
      </c>
      <c r="G4673" s="1" t="str">
        <f>IFERROR(__xludf.DUMMYFUNCTION("GOOGLETRANSLATE(C4673, ""en"", ""fa"")
"),"نکاتی برای شناسایی و اجتناب از کلاهبرداری های دوستیابی آنلاین یا پروفایل های جعلی چیست؟")</f>
        <v>نکاتی برای شناسایی و اجتناب از کلاهبرداری های دوستیابی آنلاین یا پروفایل های جعلی چیست؟</v>
      </c>
      <c r="H4673" s="1"/>
      <c r="I4673" s="1"/>
      <c r="J4673" s="1"/>
      <c r="K4673" s="1"/>
      <c r="L4673" s="1"/>
      <c r="M4673" s="1"/>
      <c r="N4673" s="1"/>
      <c r="O4673" s="1"/>
      <c r="P4673" s="1"/>
      <c r="Q4673" s="1"/>
      <c r="R4673" s="1"/>
      <c r="S4673" s="1"/>
      <c r="T4673" s="1"/>
      <c r="U4673" s="1"/>
      <c r="V4673" s="1"/>
      <c r="W4673" s="1"/>
      <c r="X4673" s="1"/>
      <c r="Y4673" s="1"/>
      <c r="Z4673" s="1"/>
      <c r="AA4673" s="1"/>
      <c r="AB4673" s="1"/>
    </row>
    <row r="4674" ht="50.25" customHeight="1">
      <c r="A4674" s="12">
        <v>4670.0</v>
      </c>
      <c r="B4674" s="13" t="s">
        <v>4379</v>
      </c>
      <c r="C4674" s="14" t="s">
        <v>4693</v>
      </c>
      <c r="D4674" s="1"/>
      <c r="E4674" s="1"/>
      <c r="F4674" s="1" t="str">
        <f>IFERROR(__xludf.DUMMYFUNCTION("GOOGLETRANSLATE(B4674, ""en"", ""fa"")
"),"مشاوره دوستیابی")</f>
        <v>مشاوره دوستیابی</v>
      </c>
      <c r="G4674" s="1" t="str">
        <f>IFERROR(__xludf.DUMMYFUNCTION("GOOGLETRANSLATE(C4674, ""en"", ""fa"")
"),"چگونه می توانم انتظارات خود را مدیریت کنم و در طول سفر دوستیابی آنلاین مثبت بمانم؟")</f>
        <v>چگونه می توانم انتظارات خود را مدیریت کنم و در طول سفر دوستیابی آنلاین مثبت بمانم؟</v>
      </c>
      <c r="H4674" s="1"/>
      <c r="I4674" s="1"/>
      <c r="J4674" s="1"/>
      <c r="K4674" s="1"/>
      <c r="L4674" s="1"/>
      <c r="M4674" s="1"/>
      <c r="N4674" s="1"/>
      <c r="O4674" s="1"/>
      <c r="P4674" s="1"/>
      <c r="Q4674" s="1"/>
      <c r="R4674" s="1"/>
      <c r="S4674" s="1"/>
      <c r="T4674" s="1"/>
      <c r="U4674" s="1"/>
      <c r="V4674" s="1"/>
      <c r="W4674" s="1"/>
      <c r="X4674" s="1"/>
      <c r="Y4674" s="1"/>
      <c r="Z4674" s="1"/>
      <c r="AA4674" s="1"/>
      <c r="AB4674" s="1"/>
    </row>
    <row r="4675" ht="50.25" customHeight="1">
      <c r="A4675" s="12">
        <v>4671.0</v>
      </c>
      <c r="B4675" s="13" t="s">
        <v>4379</v>
      </c>
      <c r="C4675" s="14" t="s">
        <v>4694</v>
      </c>
      <c r="D4675" s="1"/>
      <c r="E4675" s="1"/>
      <c r="F4675" s="1" t="str">
        <f>IFERROR(__xludf.DUMMYFUNCTION("GOOGLETRANSLATE(B4675, ""en"", ""fa"")
"),"مشاوره دوستیابی")</f>
        <v>مشاوره دوستیابی</v>
      </c>
      <c r="G4675" s="1" t="str">
        <f>IFERROR(__xludf.DUMMYFUNCTION("GOOGLETRANSLATE(C4675, ""en"", ""fa"")
"),"چند استراتژی برای مقابله با طرد شدن یا شبح سازی در دوستیابی آنلاین چیست؟")</f>
        <v>چند استراتژی برای مقابله با طرد شدن یا شبح سازی در دوستیابی آنلاین چیست؟</v>
      </c>
      <c r="H4675" s="1"/>
      <c r="I4675" s="1"/>
      <c r="J4675" s="1"/>
      <c r="K4675" s="1"/>
      <c r="L4675" s="1"/>
      <c r="M4675" s="1"/>
      <c r="N4675" s="1"/>
      <c r="O4675" s="1"/>
      <c r="P4675" s="1"/>
      <c r="Q4675" s="1"/>
      <c r="R4675" s="1"/>
      <c r="S4675" s="1"/>
      <c r="T4675" s="1"/>
      <c r="U4675" s="1"/>
      <c r="V4675" s="1"/>
      <c r="W4675" s="1"/>
      <c r="X4675" s="1"/>
      <c r="Y4675" s="1"/>
      <c r="Z4675" s="1"/>
      <c r="AA4675" s="1"/>
      <c r="AB4675" s="1"/>
    </row>
    <row r="4676" ht="50.25" customHeight="1">
      <c r="A4676" s="12">
        <v>4672.0</v>
      </c>
      <c r="B4676" s="13" t="s">
        <v>4379</v>
      </c>
      <c r="C4676" s="14" t="s">
        <v>4695</v>
      </c>
      <c r="D4676" s="1"/>
      <c r="E4676" s="1"/>
      <c r="F4676" s="1" t="str">
        <f>IFERROR(__xludf.DUMMYFUNCTION("GOOGLETRANSLATE(B4676, ""en"", ""fa"")
"),"مشاوره دوستیابی")</f>
        <v>مشاوره دوستیابی</v>
      </c>
      <c r="G4676" s="1" t="str">
        <f>IFERROR(__xludf.DUMMYFUNCTION("GOOGLETRANSLATE(C4676, ""en"", ""fa"")
"),"چگونه می توانم تعادل سالمی بین قرار آنلاین و سایر جنبه های زندگی خود حفظ کنم؟")</f>
        <v>چگونه می توانم تعادل سالمی بین قرار آنلاین و سایر جنبه های زندگی خود حفظ کنم؟</v>
      </c>
      <c r="H4676" s="1"/>
      <c r="I4676" s="1"/>
      <c r="J4676" s="1"/>
      <c r="K4676" s="1"/>
      <c r="L4676" s="1"/>
      <c r="M4676" s="1"/>
      <c r="N4676" s="1"/>
      <c r="O4676" s="1"/>
      <c r="P4676" s="1"/>
      <c r="Q4676" s="1"/>
      <c r="R4676" s="1"/>
      <c r="S4676" s="1"/>
      <c r="T4676" s="1"/>
      <c r="U4676" s="1"/>
      <c r="V4676" s="1"/>
      <c r="W4676" s="1"/>
      <c r="X4676" s="1"/>
      <c r="Y4676" s="1"/>
      <c r="Z4676" s="1"/>
      <c r="AA4676" s="1"/>
      <c r="AB4676" s="1"/>
    </row>
    <row r="4677" ht="50.25" customHeight="1">
      <c r="A4677" s="12">
        <v>4673.0</v>
      </c>
      <c r="B4677" s="13" t="s">
        <v>4379</v>
      </c>
      <c r="C4677" s="14" t="s">
        <v>4696</v>
      </c>
      <c r="D4677" s="1"/>
      <c r="E4677" s="1"/>
      <c r="F4677" s="1" t="str">
        <f>IFERROR(__xludf.DUMMYFUNCTION("GOOGLETRANSLATE(B4677, ""en"", ""fa"")
"),"مشاوره دوستیابی")</f>
        <v>مشاوره دوستیابی</v>
      </c>
      <c r="G4677" s="1" t="str">
        <f>IFERROR(__xludf.DUMMYFUNCTION("GOOGLETRANSLATE(C4677, ""en"", ""fa"")
"),"برای شروع و برنامه ریزی قرارهای آفلاین با مسابقات آنلاین چه بایدها و نبایدهایی وجود دارد؟")</f>
        <v>برای شروع و برنامه ریزی قرارهای آفلاین با مسابقات آنلاین چه بایدها و نبایدهایی وجود دارد؟</v>
      </c>
      <c r="H4677" s="1"/>
      <c r="I4677" s="1"/>
      <c r="J4677" s="1"/>
      <c r="K4677" s="1"/>
      <c r="L4677" s="1"/>
      <c r="M4677" s="1"/>
      <c r="N4677" s="1"/>
      <c r="O4677" s="1"/>
      <c r="P4677" s="1"/>
      <c r="Q4677" s="1"/>
      <c r="R4677" s="1"/>
      <c r="S4677" s="1"/>
      <c r="T4677" s="1"/>
      <c r="U4677" s="1"/>
      <c r="V4677" s="1"/>
      <c r="W4677" s="1"/>
      <c r="X4677" s="1"/>
      <c r="Y4677" s="1"/>
      <c r="Z4677" s="1"/>
      <c r="AA4677" s="1"/>
      <c r="AB4677" s="1"/>
    </row>
    <row r="4678" ht="50.25" customHeight="1">
      <c r="A4678" s="12">
        <v>4674.0</v>
      </c>
      <c r="B4678" s="13" t="s">
        <v>4379</v>
      </c>
      <c r="C4678" s="14" t="s">
        <v>4697</v>
      </c>
      <c r="D4678" s="1"/>
      <c r="E4678" s="1"/>
      <c r="F4678" s="1" t="str">
        <f>IFERROR(__xludf.DUMMYFUNCTION("GOOGLETRANSLATE(B4678, ""en"", ""fa"")
"),"مشاوره دوستیابی")</f>
        <v>مشاوره دوستیابی</v>
      </c>
      <c r="G4678" s="1" t="str">
        <f>IFERROR(__xludf.DUMMYFUNCTION("GOOGLETRANSLATE(C4678, ""en"", ""fa"")
"),"چگونه می توانم به طور موثر اهداف و انتظارات دوستیابی خود را به مسابقات بالقوه انتقال دهم؟")</f>
        <v>چگونه می توانم به طور موثر اهداف و انتظارات دوستیابی خود را به مسابقات بالقوه انتقال دهم؟</v>
      </c>
      <c r="H4678" s="1"/>
      <c r="I4678" s="1"/>
      <c r="J4678" s="1"/>
      <c r="K4678" s="1"/>
      <c r="L4678" s="1"/>
      <c r="M4678" s="1"/>
      <c r="N4678" s="1"/>
      <c r="O4678" s="1"/>
      <c r="P4678" s="1"/>
      <c r="Q4678" s="1"/>
      <c r="R4678" s="1"/>
      <c r="S4678" s="1"/>
      <c r="T4678" s="1"/>
      <c r="U4678" s="1"/>
      <c r="V4678" s="1"/>
      <c r="W4678" s="1"/>
      <c r="X4678" s="1"/>
      <c r="Y4678" s="1"/>
      <c r="Z4678" s="1"/>
      <c r="AA4678" s="1"/>
      <c r="AB4678" s="1"/>
    </row>
    <row r="4679" ht="50.25" customHeight="1">
      <c r="A4679" s="12">
        <v>4675.0</v>
      </c>
      <c r="B4679" s="13" t="s">
        <v>4379</v>
      </c>
      <c r="C4679" s="14" t="s">
        <v>4698</v>
      </c>
      <c r="D4679" s="1"/>
      <c r="E4679" s="1"/>
      <c r="F4679" s="1" t="str">
        <f>IFERROR(__xludf.DUMMYFUNCTION("GOOGLETRANSLATE(B4679, ""en"", ""fa"")
"),"مشاوره دوستیابی")</f>
        <v>مشاوره دوستیابی</v>
      </c>
      <c r="G4679" s="1" t="str">
        <f>IFERROR(__xludf.DUMMYFUNCTION("GOOGLETRANSLATE(C4679, ""en"", ""fa"")
"),"چند نکته برای مدیریت و سازماندهی مکالمات و ارتباطات متعدد در دوستیابی آنلاین چیست؟")</f>
        <v>چند نکته برای مدیریت و سازماندهی مکالمات و ارتباطات متعدد در دوستیابی آنلاین چیست؟</v>
      </c>
      <c r="H4679" s="1"/>
      <c r="I4679" s="1"/>
      <c r="J4679" s="1"/>
      <c r="K4679" s="1"/>
      <c r="L4679" s="1"/>
      <c r="M4679" s="1"/>
      <c r="N4679" s="1"/>
      <c r="O4679" s="1"/>
      <c r="P4679" s="1"/>
      <c r="Q4679" s="1"/>
      <c r="R4679" s="1"/>
      <c r="S4679" s="1"/>
      <c r="T4679" s="1"/>
      <c r="U4679" s="1"/>
      <c r="V4679" s="1"/>
      <c r="W4679" s="1"/>
      <c r="X4679" s="1"/>
      <c r="Y4679" s="1"/>
      <c r="Z4679" s="1"/>
      <c r="AA4679" s="1"/>
      <c r="AB4679" s="1"/>
    </row>
    <row r="4680" ht="50.25" customHeight="1">
      <c r="A4680" s="12">
        <v>4676.0</v>
      </c>
      <c r="B4680" s="13" t="s">
        <v>4379</v>
      </c>
      <c r="C4680" s="14" t="s">
        <v>4699</v>
      </c>
      <c r="D4680" s="1"/>
      <c r="E4680" s="1"/>
      <c r="F4680" s="1" t="str">
        <f>IFERROR(__xludf.DUMMYFUNCTION("GOOGLETRANSLATE(B4680, ""en"", ""fa"")
"),"مشاوره دوستیابی")</f>
        <v>مشاوره دوستیابی</v>
      </c>
      <c r="G4680" s="1" t="str">
        <f>IFERROR(__xludf.DUMMYFUNCTION("GOOGLETRANSLATE(C4680, ""en"", ""fa"")
"),"چگونه می توانم فرآیند تبادل اطلاعات تماس و انتقال مکالمات را از برنامه دوستیابی انجام دهم؟")</f>
        <v>چگونه می توانم فرآیند تبادل اطلاعات تماس و انتقال مکالمات را از برنامه دوستیابی انجام دهم؟</v>
      </c>
      <c r="H4680" s="1"/>
      <c r="I4680" s="1"/>
      <c r="J4680" s="1"/>
      <c r="K4680" s="1"/>
      <c r="L4680" s="1"/>
      <c r="M4680" s="1"/>
      <c r="N4680" s="1"/>
      <c r="O4680" s="1"/>
      <c r="P4680" s="1"/>
      <c r="Q4680" s="1"/>
      <c r="R4680" s="1"/>
      <c r="S4680" s="1"/>
      <c r="T4680" s="1"/>
      <c r="U4680" s="1"/>
      <c r="V4680" s="1"/>
      <c r="W4680" s="1"/>
      <c r="X4680" s="1"/>
      <c r="Y4680" s="1"/>
      <c r="Z4680" s="1"/>
      <c r="AA4680" s="1"/>
      <c r="AB4680" s="1"/>
    </row>
    <row r="4681" ht="50.25" customHeight="1">
      <c r="A4681" s="12">
        <v>4677.0</v>
      </c>
      <c r="B4681" s="13" t="s">
        <v>4379</v>
      </c>
      <c r="C4681" s="14" t="s">
        <v>4700</v>
      </c>
      <c r="D4681" s="1"/>
      <c r="E4681" s="1"/>
      <c r="F4681" s="1" t="str">
        <f>IFERROR(__xludf.DUMMYFUNCTION("GOOGLETRANSLATE(B4681, ""en"", ""fa"")
"),"مشاوره دوستیابی")</f>
        <v>مشاوره دوستیابی</v>
      </c>
      <c r="G4681" s="1" t="str">
        <f>IFERROR(__xludf.DUMMYFUNCTION("GOOGLETRANSLATE(C4681, ""en"", ""fa"")
"),"چند استراتژی برای مدیریت زمان و انرژی در حین شرکت در قرار آنلاین چیست؟")</f>
        <v>چند استراتژی برای مدیریت زمان و انرژی در حین شرکت در قرار آنلاین چیست؟</v>
      </c>
      <c r="H4681" s="1"/>
      <c r="I4681" s="1"/>
      <c r="J4681" s="1"/>
      <c r="K4681" s="1"/>
      <c r="L4681" s="1"/>
      <c r="M4681" s="1"/>
      <c r="N4681" s="1"/>
      <c r="O4681" s="1"/>
      <c r="P4681" s="1"/>
      <c r="Q4681" s="1"/>
      <c r="R4681" s="1"/>
      <c r="S4681" s="1"/>
      <c r="T4681" s="1"/>
      <c r="U4681" s="1"/>
      <c r="V4681" s="1"/>
      <c r="W4681" s="1"/>
      <c r="X4681" s="1"/>
      <c r="Y4681" s="1"/>
      <c r="Z4681" s="1"/>
      <c r="AA4681" s="1"/>
      <c r="AB4681" s="1"/>
    </row>
    <row r="4682" ht="50.25" customHeight="1">
      <c r="A4682" s="12">
        <v>4678.0</v>
      </c>
      <c r="B4682" s="13" t="s">
        <v>4379</v>
      </c>
      <c r="C4682" s="14" t="s">
        <v>4701</v>
      </c>
      <c r="D4682" s="1"/>
      <c r="E4682" s="1"/>
      <c r="F4682" s="1" t="str">
        <f>IFERROR(__xludf.DUMMYFUNCTION("GOOGLETRANSLATE(B4682, ""en"", ""fa"")
"),"مشاوره دوستیابی")</f>
        <v>مشاوره دوستیابی</v>
      </c>
      <c r="G4682" s="1" t="str">
        <f>IFERROR(__xludf.DUMMYFUNCTION("GOOGLETRANSLATE(C4682, ""en"", ""fa"")
"),"چگونه می توانم با پیام های ناخواسته یا نامناسب در دوستیابی آنلاین برخورد کنم و به آنها پاسخ دهم؟")</f>
        <v>چگونه می توانم با پیام های ناخواسته یا نامناسب در دوستیابی آنلاین برخورد کنم و به آنها پاسخ دهم؟</v>
      </c>
      <c r="H4682" s="1"/>
      <c r="I4682" s="1"/>
      <c r="J4682" s="1"/>
      <c r="K4682" s="1"/>
      <c r="L4682" s="1"/>
      <c r="M4682" s="1"/>
      <c r="N4682" s="1"/>
      <c r="O4682" s="1"/>
      <c r="P4682" s="1"/>
      <c r="Q4682" s="1"/>
      <c r="R4682" s="1"/>
      <c r="S4682" s="1"/>
      <c r="T4682" s="1"/>
      <c r="U4682" s="1"/>
      <c r="V4682" s="1"/>
      <c r="W4682" s="1"/>
      <c r="X4682" s="1"/>
      <c r="Y4682" s="1"/>
      <c r="Z4682" s="1"/>
      <c r="AA4682" s="1"/>
      <c r="AB4682" s="1"/>
    </row>
    <row r="4683" ht="50.25" customHeight="1">
      <c r="A4683" s="12">
        <v>4679.0</v>
      </c>
      <c r="B4683" s="13" t="s">
        <v>4379</v>
      </c>
      <c r="C4683" s="14" t="s">
        <v>4702</v>
      </c>
      <c r="D4683" s="1"/>
      <c r="E4683" s="1"/>
      <c r="F4683" s="1" t="str">
        <f>IFERROR(__xludf.DUMMYFUNCTION("GOOGLETRANSLATE(B4683, ""en"", ""fa"")
"),"مشاوره دوستیابی")</f>
        <v>مشاوره دوستیابی</v>
      </c>
      <c r="G4683" s="1" t="str">
        <f>IFERROR(__xludf.DUMMYFUNCTION("GOOGLETRANSLATE(C4683, ""en"", ""fa"")
"),"چه بایدها و نبایدهایی برای استفاده از قرار آنلاین به عنوان پلتفرمی برای قرارهای غیررسمی یا پیوندها وجود دارد؟")</f>
        <v>چه بایدها و نبایدهایی برای استفاده از قرار آنلاین به عنوان پلتفرمی برای قرارهای غیررسمی یا پیوندها وجود دارد؟</v>
      </c>
      <c r="H4683" s="1"/>
      <c r="I4683" s="1"/>
      <c r="J4683" s="1"/>
      <c r="K4683" s="1"/>
      <c r="L4683" s="1"/>
      <c r="M4683" s="1"/>
      <c r="N4683" s="1"/>
      <c r="O4683" s="1"/>
      <c r="P4683" s="1"/>
      <c r="Q4683" s="1"/>
      <c r="R4683" s="1"/>
      <c r="S4683" s="1"/>
      <c r="T4683" s="1"/>
      <c r="U4683" s="1"/>
      <c r="V4683" s="1"/>
      <c r="W4683" s="1"/>
      <c r="X4683" s="1"/>
      <c r="Y4683" s="1"/>
      <c r="Z4683" s="1"/>
      <c r="AA4683" s="1"/>
      <c r="AB4683" s="1"/>
    </row>
    <row r="4684" ht="50.25" customHeight="1">
      <c r="A4684" s="12">
        <v>4680.0</v>
      </c>
      <c r="B4684" s="13" t="s">
        <v>4379</v>
      </c>
      <c r="C4684" s="14" t="s">
        <v>4703</v>
      </c>
      <c r="D4684" s="1"/>
      <c r="E4684" s="1"/>
      <c r="F4684" s="1" t="str">
        <f>IFERROR(__xludf.DUMMYFUNCTION("GOOGLETRANSLATE(B4684, ""en"", ""fa"")
"),"مشاوره دوستیابی")</f>
        <v>مشاوره دوستیابی</v>
      </c>
      <c r="G4684" s="1" t="str">
        <f>IFERROR(__xludf.DUMMYFUNCTION("GOOGLETRANSLATE(C4684, ""en"", ""fa"")
"),"چگونه می توانم روند انتقال از ارتباط آنلاین به یک جلسه حضوری را طی کنم؟")</f>
        <v>چگونه می توانم روند انتقال از ارتباط آنلاین به یک جلسه حضوری را طی کنم؟</v>
      </c>
      <c r="H4684" s="1"/>
      <c r="I4684" s="1"/>
      <c r="J4684" s="1"/>
      <c r="K4684" s="1"/>
      <c r="L4684" s="1"/>
      <c r="M4684" s="1"/>
      <c r="N4684" s="1"/>
      <c r="O4684" s="1"/>
      <c r="P4684" s="1"/>
      <c r="Q4684" s="1"/>
      <c r="R4684" s="1"/>
      <c r="S4684" s="1"/>
      <c r="T4684" s="1"/>
      <c r="U4684" s="1"/>
      <c r="V4684" s="1"/>
      <c r="W4684" s="1"/>
      <c r="X4684" s="1"/>
      <c r="Y4684" s="1"/>
      <c r="Z4684" s="1"/>
      <c r="AA4684" s="1"/>
      <c r="AB4684" s="1"/>
    </row>
    <row r="4685" ht="50.25" customHeight="1">
      <c r="A4685" s="12">
        <v>4681.0</v>
      </c>
      <c r="B4685" s="13" t="s">
        <v>4379</v>
      </c>
      <c r="C4685" s="14" t="s">
        <v>4704</v>
      </c>
      <c r="D4685" s="1"/>
      <c r="E4685" s="1"/>
      <c r="F4685" s="1" t="str">
        <f>IFERROR(__xludf.DUMMYFUNCTION("GOOGLETRANSLATE(B4685, ""en"", ""fa"")
"),"مشاوره دوستیابی")</f>
        <v>مشاوره دوستیابی</v>
      </c>
      <c r="G4685" s="1" t="str">
        <f>IFERROR(__xludf.DUMMYFUNCTION("GOOGLETRANSLATE(C4685, ""en"", ""fa"")
"),"نکاتی برای حفظ ایمنی و حریم خصوصی در هنگام استفاده از پلتفرم های دوستیابی آنلاین چیست؟")</f>
        <v>نکاتی برای حفظ ایمنی و حریم خصوصی در هنگام استفاده از پلتفرم های دوستیابی آنلاین چیست؟</v>
      </c>
      <c r="H4685" s="1"/>
      <c r="I4685" s="1"/>
      <c r="J4685" s="1"/>
      <c r="K4685" s="1"/>
      <c r="L4685" s="1"/>
      <c r="M4685" s="1"/>
      <c r="N4685" s="1"/>
      <c r="O4685" s="1"/>
      <c r="P4685" s="1"/>
      <c r="Q4685" s="1"/>
      <c r="R4685" s="1"/>
      <c r="S4685" s="1"/>
      <c r="T4685" s="1"/>
      <c r="U4685" s="1"/>
      <c r="V4685" s="1"/>
      <c r="W4685" s="1"/>
      <c r="X4685" s="1"/>
      <c r="Y4685" s="1"/>
      <c r="Z4685" s="1"/>
      <c r="AA4685" s="1"/>
      <c r="AB4685" s="1"/>
    </row>
    <row r="4686" ht="50.25" customHeight="1">
      <c r="A4686" s="12">
        <v>4682.0</v>
      </c>
      <c r="B4686" s="13" t="s">
        <v>4379</v>
      </c>
      <c r="C4686" s="14" t="s">
        <v>4705</v>
      </c>
      <c r="D4686" s="1"/>
      <c r="E4686" s="1"/>
      <c r="F4686" s="1" t="str">
        <f>IFERROR(__xludf.DUMMYFUNCTION("GOOGLETRANSLATE(B4686, ""en"", ""fa"")
"),"مشاوره دوستیابی")</f>
        <v>مشاوره دوستیابی</v>
      </c>
      <c r="G4686" s="1" t="str">
        <f>IFERROR(__xludf.DUMMYFUNCTION("GOOGLETRANSLATE(C4686, ""en"", ""fa"")
"),"چگونه می توانم بین خطوط را به طور مؤثر بخوانم و اهداف واقعی پروفایل ها یا پیام های مطابق بالقوه را تفسیر کنم؟")</f>
        <v>چگونه می توانم بین خطوط را به طور مؤثر بخوانم و اهداف واقعی پروفایل ها یا پیام های مطابق بالقوه را تفسیر کنم؟</v>
      </c>
      <c r="H4686" s="1"/>
      <c r="I4686" s="1"/>
      <c r="J4686" s="1"/>
      <c r="K4686" s="1"/>
      <c r="L4686" s="1"/>
      <c r="M4686" s="1"/>
      <c r="N4686" s="1"/>
      <c r="O4686" s="1"/>
      <c r="P4686" s="1"/>
      <c r="Q4686" s="1"/>
      <c r="R4686" s="1"/>
      <c r="S4686" s="1"/>
      <c r="T4686" s="1"/>
      <c r="U4686" s="1"/>
      <c r="V4686" s="1"/>
      <c r="W4686" s="1"/>
      <c r="X4686" s="1"/>
      <c r="Y4686" s="1"/>
      <c r="Z4686" s="1"/>
      <c r="AA4686" s="1"/>
      <c r="AB4686" s="1"/>
    </row>
    <row r="4687" ht="50.25" customHeight="1">
      <c r="A4687" s="12">
        <v>4683.0</v>
      </c>
      <c r="B4687" s="13" t="s">
        <v>4379</v>
      </c>
      <c r="C4687" s="14" t="s">
        <v>4706</v>
      </c>
      <c r="D4687" s="1"/>
      <c r="E4687" s="1"/>
      <c r="F4687" s="1" t="str">
        <f>IFERROR(__xludf.DUMMYFUNCTION("GOOGLETRANSLATE(B4687, ""en"", ""fa"")
"),"مشاوره دوستیابی")</f>
        <v>مشاوره دوستیابی</v>
      </c>
      <c r="G4687" s="1" t="str">
        <f>IFERROR(__xludf.DUMMYFUNCTION("GOOGLETRANSLATE(C4687, ""en"", ""fa"")
"),"چند استراتژی برای تعیین مرزها و ارتباط آنها با موارد بالقوه چیست؟")</f>
        <v>چند استراتژی برای تعیین مرزها و ارتباط آنها با موارد بالقوه چیست؟</v>
      </c>
      <c r="H4687" s="1"/>
      <c r="I4687" s="1"/>
      <c r="J4687" s="1"/>
      <c r="K4687" s="1"/>
      <c r="L4687" s="1"/>
      <c r="M4687" s="1"/>
      <c r="N4687" s="1"/>
      <c r="O4687" s="1"/>
      <c r="P4687" s="1"/>
      <c r="Q4687" s="1"/>
      <c r="R4687" s="1"/>
      <c r="S4687" s="1"/>
      <c r="T4687" s="1"/>
      <c r="U4687" s="1"/>
      <c r="V4687" s="1"/>
      <c r="W4687" s="1"/>
      <c r="X4687" s="1"/>
      <c r="Y4687" s="1"/>
      <c r="Z4687" s="1"/>
      <c r="AA4687" s="1"/>
      <c r="AB4687" s="1"/>
    </row>
    <row r="4688" ht="50.25" customHeight="1">
      <c r="A4688" s="12">
        <v>4684.0</v>
      </c>
      <c r="B4688" s="13" t="s">
        <v>4379</v>
      </c>
      <c r="C4688" s="14" t="s">
        <v>4707</v>
      </c>
      <c r="D4688" s="1"/>
      <c r="E4688" s="1"/>
      <c r="F4688" s="1" t="str">
        <f>IFERROR(__xludf.DUMMYFUNCTION("GOOGLETRANSLATE(B4688, ""en"", ""fa"")
"),"مشاوره دوستیابی")</f>
        <v>مشاوره دوستیابی</v>
      </c>
      <c r="G4688" s="1" t="str">
        <f>IFERROR(__xludf.DUMMYFUNCTION("GOOGLETRANSLATE(C4688, ""en"", ""fa"")
"),"چگونه می توانم فرآیند ارزیابی و بررسی موارد بالقوه برای سازگاری را هدایت کنم؟")</f>
        <v>چگونه می توانم فرآیند ارزیابی و بررسی موارد بالقوه برای سازگاری را هدایت کنم؟</v>
      </c>
      <c r="H4688" s="1"/>
      <c r="I4688" s="1"/>
      <c r="J4688" s="1"/>
      <c r="K4688" s="1"/>
      <c r="L4688" s="1"/>
      <c r="M4688" s="1"/>
      <c r="N4688" s="1"/>
      <c r="O4688" s="1"/>
      <c r="P4688" s="1"/>
      <c r="Q4688" s="1"/>
      <c r="R4688" s="1"/>
      <c r="S4688" s="1"/>
      <c r="T4688" s="1"/>
      <c r="U4688" s="1"/>
      <c r="V4688" s="1"/>
      <c r="W4688" s="1"/>
      <c r="X4688" s="1"/>
      <c r="Y4688" s="1"/>
      <c r="Z4688" s="1"/>
      <c r="AA4688" s="1"/>
      <c r="AB4688" s="1"/>
    </row>
    <row r="4689" ht="50.25" customHeight="1">
      <c r="A4689" s="12">
        <v>4685.0</v>
      </c>
      <c r="B4689" s="13" t="s">
        <v>4379</v>
      </c>
      <c r="C4689" s="14" t="s">
        <v>4708</v>
      </c>
      <c r="D4689" s="1"/>
      <c r="E4689" s="1"/>
      <c r="F4689" s="1" t="str">
        <f>IFERROR(__xludf.DUMMYFUNCTION("GOOGLETRANSLATE(B4689, ""en"", ""fa"")
"),"مشاوره دوستیابی")</f>
        <v>مشاوره دوستیابی</v>
      </c>
      <c r="G4689" s="1" t="str">
        <f>IFERROR(__xludf.DUMMYFUNCTION("GOOGLETRANSLATE(C4689, ""en"", ""fa"")
"),"برای شرکت در گفتگوهای دوستیابی آنلاین که منجر به ارتباطات معنی دار می شود، چه بایدها و چه نبایدهایی وجود دارد؟")</f>
        <v>برای شرکت در گفتگوهای دوستیابی آنلاین که منجر به ارتباطات معنی دار می شود، چه بایدها و چه نبایدهایی وجود دارد؟</v>
      </c>
      <c r="H4689" s="1"/>
      <c r="I4689" s="1"/>
      <c r="J4689" s="1"/>
      <c r="K4689" s="1"/>
      <c r="L4689" s="1"/>
      <c r="M4689" s="1"/>
      <c r="N4689" s="1"/>
      <c r="O4689" s="1"/>
      <c r="P4689" s="1"/>
      <c r="Q4689" s="1"/>
      <c r="R4689" s="1"/>
      <c r="S4689" s="1"/>
      <c r="T4689" s="1"/>
      <c r="U4689" s="1"/>
      <c r="V4689" s="1"/>
      <c r="W4689" s="1"/>
      <c r="X4689" s="1"/>
      <c r="Y4689" s="1"/>
      <c r="Z4689" s="1"/>
      <c r="AA4689" s="1"/>
      <c r="AB4689" s="1"/>
    </row>
    <row r="4690" ht="50.25" customHeight="1">
      <c r="A4690" s="12">
        <v>4686.0</v>
      </c>
      <c r="B4690" s="13" t="s">
        <v>4379</v>
      </c>
      <c r="C4690" s="14" t="s">
        <v>4709</v>
      </c>
      <c r="D4690" s="1"/>
      <c r="E4690" s="1"/>
      <c r="F4690" s="1" t="str">
        <f>IFERROR(__xludf.DUMMYFUNCTION("GOOGLETRANSLATE(B4690, ""en"", ""fa"")
"),"مشاوره دوستیابی")</f>
        <v>مشاوره دوستیابی</v>
      </c>
      <c r="G4690" s="1" t="str">
        <f>IFERROR(__xludf.DUMMYFUNCTION("GOOGLETRANSLATE(C4690, ""en"", ""fa"")
"),"چگونه می توانم چالش های دوستیابی آنلاین از راه دور را پشت سر بگذارم و ارتباط قوی برقرار کنم؟")</f>
        <v>چگونه می توانم چالش های دوستیابی آنلاین از راه دور را پشت سر بگذارم و ارتباط قوی برقرار کنم؟</v>
      </c>
      <c r="H4690" s="1"/>
      <c r="I4690" s="1"/>
      <c r="J4690" s="1"/>
      <c r="K4690" s="1"/>
      <c r="L4690" s="1"/>
      <c r="M4690" s="1"/>
      <c r="N4690" s="1"/>
      <c r="O4690" s="1"/>
      <c r="P4690" s="1"/>
      <c r="Q4690" s="1"/>
      <c r="R4690" s="1"/>
      <c r="S4690" s="1"/>
      <c r="T4690" s="1"/>
      <c r="U4690" s="1"/>
      <c r="V4690" s="1"/>
      <c r="W4690" s="1"/>
      <c r="X4690" s="1"/>
      <c r="Y4690" s="1"/>
      <c r="Z4690" s="1"/>
      <c r="AA4690" s="1"/>
      <c r="AB4690" s="1"/>
    </row>
    <row r="4691" ht="50.25" customHeight="1">
      <c r="A4691" s="12">
        <v>4687.0</v>
      </c>
      <c r="B4691" s="13" t="s">
        <v>4379</v>
      </c>
      <c r="C4691" s="14" t="s">
        <v>4710</v>
      </c>
      <c r="D4691" s="1"/>
      <c r="E4691" s="1"/>
      <c r="F4691" s="1" t="str">
        <f>IFERROR(__xludf.DUMMYFUNCTION("GOOGLETRANSLATE(B4691, ""en"", ""fa"")
"),"مشاوره دوستیابی")</f>
        <v>مشاوره دوستیابی</v>
      </c>
      <c r="G4691" s="1" t="str">
        <f>IFERROR(__xludf.DUMMYFUNCTION("GOOGLETRANSLATE(C4691, ""en"", ""fa"")
"),"چه نکاتی برای شناخت و اجتناب از دام های رایج دوستیابی آنلاین یا پرچم قرمز وجود دارد؟")</f>
        <v>چه نکاتی برای شناخت و اجتناب از دام های رایج دوستیابی آنلاین یا پرچم قرمز وجود دارد؟</v>
      </c>
      <c r="H4691" s="1"/>
      <c r="I4691" s="1"/>
      <c r="J4691" s="1"/>
      <c r="K4691" s="1"/>
      <c r="L4691" s="1"/>
      <c r="M4691" s="1"/>
      <c r="N4691" s="1"/>
      <c r="O4691" s="1"/>
      <c r="P4691" s="1"/>
      <c r="Q4691" s="1"/>
      <c r="R4691" s="1"/>
      <c r="S4691" s="1"/>
      <c r="T4691" s="1"/>
      <c r="U4691" s="1"/>
      <c r="V4691" s="1"/>
      <c r="W4691" s="1"/>
      <c r="X4691" s="1"/>
      <c r="Y4691" s="1"/>
      <c r="Z4691" s="1"/>
      <c r="AA4691" s="1"/>
      <c r="AB4691" s="1"/>
    </row>
    <row r="4692" ht="50.25" customHeight="1">
      <c r="A4692" s="12">
        <v>4688.0</v>
      </c>
      <c r="B4692" s="13" t="s">
        <v>4379</v>
      </c>
      <c r="C4692" s="14" t="s">
        <v>4711</v>
      </c>
      <c r="D4692" s="1"/>
      <c r="E4692" s="1"/>
      <c r="F4692" s="1" t="str">
        <f>IFERROR(__xludf.DUMMYFUNCTION("GOOGLETRANSLATE(B4692, ""en"", ""fa"")
"),"مشاوره دوستیابی")</f>
        <v>مشاوره دوستیابی</v>
      </c>
      <c r="G4692" s="1" t="str">
        <f>IFERROR(__xludf.DUMMYFUNCTION("GOOGLETRANSLATE(C4692, ""en"", ""fa"")
"),"چگونه می توانم به طور موثر حضور و فعالیت دوستیابی آنلاین خود را بدون احساس خستگی مدیریت کنم؟")</f>
        <v>چگونه می توانم به طور موثر حضور و فعالیت دوستیابی آنلاین خود را بدون احساس خستگی مدیریت کنم؟</v>
      </c>
      <c r="H4692" s="1"/>
      <c r="I4692" s="1"/>
      <c r="J4692" s="1"/>
      <c r="K4692" s="1"/>
      <c r="L4692" s="1"/>
      <c r="M4692" s="1"/>
      <c r="N4692" s="1"/>
      <c r="O4692" s="1"/>
      <c r="P4692" s="1"/>
      <c r="Q4692" s="1"/>
      <c r="R4692" s="1"/>
      <c r="S4692" s="1"/>
      <c r="T4692" s="1"/>
      <c r="U4692" s="1"/>
      <c r="V4692" s="1"/>
      <c r="W4692" s="1"/>
      <c r="X4692" s="1"/>
      <c r="Y4692" s="1"/>
      <c r="Z4692" s="1"/>
      <c r="AA4692" s="1"/>
      <c r="AB4692" s="1"/>
    </row>
    <row r="4693" ht="50.25" customHeight="1">
      <c r="A4693" s="12">
        <v>4689.0</v>
      </c>
      <c r="B4693" s="13" t="s">
        <v>4379</v>
      </c>
      <c r="C4693" s="14" t="s">
        <v>4712</v>
      </c>
      <c r="D4693" s="1"/>
      <c r="E4693" s="1"/>
      <c r="F4693" s="1" t="str">
        <f>IFERROR(__xludf.DUMMYFUNCTION("GOOGLETRANSLATE(B4693, ""en"", ""fa"")
"),"مشاوره دوستیابی")</f>
        <v>مشاوره دوستیابی</v>
      </c>
      <c r="G4693" s="1" t="str">
        <f>IFERROR(__xludf.DUMMYFUNCTION("GOOGLETRANSLATE(C4693, ""en"", ""fa"")
"),"چند استراتژی برای رسیدگی به تفاوت های فرهنگی یا زبانی در دوستیابی آنلاین چیست؟")</f>
        <v>چند استراتژی برای رسیدگی به تفاوت های فرهنگی یا زبانی در دوستیابی آنلاین چیست؟</v>
      </c>
      <c r="H4693" s="1"/>
      <c r="I4693" s="1"/>
      <c r="J4693" s="1"/>
      <c r="K4693" s="1"/>
      <c r="L4693" s="1"/>
      <c r="M4693" s="1"/>
      <c r="N4693" s="1"/>
      <c r="O4693" s="1"/>
      <c r="P4693" s="1"/>
      <c r="Q4693" s="1"/>
      <c r="R4693" s="1"/>
      <c r="S4693" s="1"/>
      <c r="T4693" s="1"/>
      <c r="U4693" s="1"/>
      <c r="V4693" s="1"/>
      <c r="W4693" s="1"/>
      <c r="X4693" s="1"/>
      <c r="Y4693" s="1"/>
      <c r="Z4693" s="1"/>
      <c r="AA4693" s="1"/>
      <c r="AB4693" s="1"/>
    </row>
    <row r="4694" ht="50.25" customHeight="1">
      <c r="A4694" s="12">
        <v>4690.0</v>
      </c>
      <c r="B4694" s="13" t="s">
        <v>4379</v>
      </c>
      <c r="C4694" s="14" t="s">
        <v>4713</v>
      </c>
      <c r="D4694" s="1"/>
      <c r="E4694" s="1"/>
      <c r="F4694" s="1" t="str">
        <f>IFERROR(__xludf.DUMMYFUNCTION("GOOGLETRANSLATE(B4694, ""en"", ""fa"")
"),"مشاوره دوستیابی")</f>
        <v>مشاوره دوستیابی</v>
      </c>
      <c r="G4694" s="1" t="str">
        <f>IFERROR(__xludf.DUMMYFUNCTION("GOOGLETRANSLATE(C4694, ""en"", ""fa"")
"),"چگونه می توانم روند معرفی مسابقات آنلاین به دوستان یا خانواده خود را طی کنم؟")</f>
        <v>چگونه می توانم روند معرفی مسابقات آنلاین به دوستان یا خانواده خود را طی کنم؟</v>
      </c>
      <c r="H4694" s="1"/>
      <c r="I4694" s="1"/>
      <c r="J4694" s="1"/>
      <c r="K4694" s="1"/>
      <c r="L4694" s="1"/>
      <c r="M4694" s="1"/>
      <c r="N4694" s="1"/>
      <c r="O4694" s="1"/>
      <c r="P4694" s="1"/>
      <c r="Q4694" s="1"/>
      <c r="R4694" s="1"/>
      <c r="S4694" s="1"/>
      <c r="T4694" s="1"/>
      <c r="U4694" s="1"/>
      <c r="V4694" s="1"/>
      <c r="W4694" s="1"/>
      <c r="X4694" s="1"/>
      <c r="Y4694" s="1"/>
      <c r="Z4694" s="1"/>
      <c r="AA4694" s="1"/>
      <c r="AB4694" s="1"/>
    </row>
    <row r="4695" ht="50.25" customHeight="1">
      <c r="A4695" s="12">
        <v>4691.0</v>
      </c>
      <c r="B4695" s="13" t="s">
        <v>4379</v>
      </c>
      <c r="C4695" s="14" t="s">
        <v>4714</v>
      </c>
      <c r="D4695" s="1"/>
      <c r="E4695" s="1"/>
      <c r="F4695" s="1" t="str">
        <f>IFERROR(__xludf.DUMMYFUNCTION("GOOGLETRANSLATE(B4695, ""en"", ""fa"")
"),"مشاوره دوستیابی")</f>
        <v>مشاوره دوستیابی</v>
      </c>
      <c r="G4695" s="1" t="str">
        <f>IFERROR(__xludf.DUMMYFUNCTION("GOOGLETRANSLATE(C4695, ""en"", ""fa"")
"),"برای استفاده از قرار آنلاین به عنوان بستری برای یافتن یک رابطه طولانی مدت، بایدها و نبایدها چیست؟")</f>
        <v>برای استفاده از قرار آنلاین به عنوان بستری برای یافتن یک رابطه طولانی مدت، بایدها و نبایدها چیست؟</v>
      </c>
      <c r="H4695" s="1"/>
      <c r="I4695" s="1"/>
      <c r="J4695" s="1"/>
      <c r="K4695" s="1"/>
      <c r="L4695" s="1"/>
      <c r="M4695" s="1"/>
      <c r="N4695" s="1"/>
      <c r="O4695" s="1"/>
      <c r="P4695" s="1"/>
      <c r="Q4695" s="1"/>
      <c r="R4695" s="1"/>
      <c r="S4695" s="1"/>
      <c r="T4695" s="1"/>
      <c r="U4695" s="1"/>
      <c r="V4695" s="1"/>
      <c r="W4695" s="1"/>
      <c r="X4695" s="1"/>
      <c r="Y4695" s="1"/>
      <c r="Z4695" s="1"/>
      <c r="AA4695" s="1"/>
      <c r="AB4695" s="1"/>
    </row>
    <row r="4696" ht="50.25" customHeight="1">
      <c r="A4696" s="12">
        <v>4692.0</v>
      </c>
      <c r="B4696" s="13" t="s">
        <v>4379</v>
      </c>
      <c r="C4696" s="14" t="s">
        <v>4715</v>
      </c>
      <c r="D4696" s="1"/>
      <c r="E4696" s="1"/>
      <c r="F4696" s="1" t="str">
        <f>IFERROR(__xludf.DUMMYFUNCTION("GOOGLETRANSLATE(B4696, ""en"", ""fa"")
"),"مشاوره دوستیابی")</f>
        <v>مشاوره دوستیابی</v>
      </c>
      <c r="G4696" s="1" t="str">
        <f>IFERROR(__xludf.DUMMYFUNCTION("GOOGLETRANSLATE(C4696, ""en"", ""fa"")
"),"چگونه می توانم اصالت خود را حفظ کنم و در حین شرکت در قرار ملاقات آنلاین به خودم وفادار بمانم؟")</f>
        <v>چگونه می توانم اصالت خود را حفظ کنم و در حین شرکت در قرار ملاقات آنلاین به خودم وفادار بمانم؟</v>
      </c>
      <c r="H4696" s="1"/>
      <c r="I4696" s="1"/>
      <c r="J4696" s="1"/>
      <c r="K4696" s="1"/>
      <c r="L4696" s="1"/>
      <c r="M4696" s="1"/>
      <c r="N4696" s="1"/>
      <c r="O4696" s="1"/>
      <c r="P4696" s="1"/>
      <c r="Q4696" s="1"/>
      <c r="R4696" s="1"/>
      <c r="S4696" s="1"/>
      <c r="T4696" s="1"/>
      <c r="U4696" s="1"/>
      <c r="V4696" s="1"/>
      <c r="W4696" s="1"/>
      <c r="X4696" s="1"/>
      <c r="Y4696" s="1"/>
      <c r="Z4696" s="1"/>
      <c r="AA4696" s="1"/>
      <c r="AB4696" s="1"/>
    </row>
    <row r="4697" ht="50.25" customHeight="1">
      <c r="A4697" s="12">
        <v>4693.0</v>
      </c>
      <c r="B4697" s="13" t="s">
        <v>4379</v>
      </c>
      <c r="C4697" s="14" t="s">
        <v>4716</v>
      </c>
      <c r="D4697" s="1"/>
      <c r="E4697" s="1"/>
      <c r="F4697" s="1" t="str">
        <f>IFERROR(__xludf.DUMMYFUNCTION("GOOGLETRANSLATE(B4697, ""en"", ""fa"")
"),"مشاوره دوستیابی")</f>
        <v>مشاوره دوستیابی</v>
      </c>
      <c r="G4697" s="1" t="str">
        <f>IFERROR(__xludf.DUMMYFUNCTION("GOOGLETRANSLATE(C4697, ""en"", ""fa"")
"),"نکاتی برای مدیریت اعصاب و اضطراب هنگام ملاقات با یک مسابقه آنلاین برای اولین بار چیست؟")</f>
        <v>نکاتی برای مدیریت اعصاب و اضطراب هنگام ملاقات با یک مسابقه آنلاین برای اولین بار چیست؟</v>
      </c>
      <c r="H4697" s="1"/>
      <c r="I4697" s="1"/>
      <c r="J4697" s="1"/>
      <c r="K4697" s="1"/>
      <c r="L4697" s="1"/>
      <c r="M4697" s="1"/>
      <c r="N4697" s="1"/>
      <c r="O4697" s="1"/>
      <c r="P4697" s="1"/>
      <c r="Q4697" s="1"/>
      <c r="R4697" s="1"/>
      <c r="S4697" s="1"/>
      <c r="T4697" s="1"/>
      <c r="U4697" s="1"/>
      <c r="V4697" s="1"/>
      <c r="W4697" s="1"/>
      <c r="X4697" s="1"/>
      <c r="Y4697" s="1"/>
      <c r="Z4697" s="1"/>
      <c r="AA4697" s="1"/>
      <c r="AB4697" s="1"/>
    </row>
    <row r="4698" ht="50.25" customHeight="1">
      <c r="A4698" s="12">
        <v>4694.0</v>
      </c>
      <c r="B4698" s="13" t="s">
        <v>4379</v>
      </c>
      <c r="C4698" s="14" t="s">
        <v>4717</v>
      </c>
      <c r="D4698" s="1"/>
      <c r="E4698" s="1"/>
      <c r="F4698" s="1" t="str">
        <f>IFERROR(__xludf.DUMMYFUNCTION("GOOGLETRANSLATE(B4698, ""en"", ""fa"")
"),"مشاوره دوستیابی")</f>
        <v>مشاوره دوستیابی</v>
      </c>
      <c r="G4698" s="1" t="str">
        <f>IFERROR(__xludf.DUMMYFUNCTION("GOOGLETRANSLATE(C4698, ""en"", ""fa"")
"),"چگونه می توانم روند تعریف رابطه و بحث در مورد انحصار با یک مسابقه آنلاین را طی کنم؟")</f>
        <v>چگونه می توانم روند تعریف رابطه و بحث در مورد انحصار با یک مسابقه آنلاین را طی کنم؟</v>
      </c>
      <c r="H4698" s="1"/>
      <c r="I4698" s="1"/>
      <c r="J4698" s="1"/>
      <c r="K4698" s="1"/>
      <c r="L4698" s="1"/>
      <c r="M4698" s="1"/>
      <c r="N4698" s="1"/>
      <c r="O4698" s="1"/>
      <c r="P4698" s="1"/>
      <c r="Q4698" s="1"/>
      <c r="R4698" s="1"/>
      <c r="S4698" s="1"/>
      <c r="T4698" s="1"/>
      <c r="U4698" s="1"/>
      <c r="V4698" s="1"/>
      <c r="W4698" s="1"/>
      <c r="X4698" s="1"/>
      <c r="Y4698" s="1"/>
      <c r="Z4698" s="1"/>
      <c r="AA4698" s="1"/>
      <c r="AB4698" s="1"/>
    </row>
    <row r="4699" ht="50.25" customHeight="1">
      <c r="A4699" s="12">
        <v>4695.0</v>
      </c>
      <c r="B4699" s="13" t="s">
        <v>4379</v>
      </c>
      <c r="C4699" s="14" t="s">
        <v>4718</v>
      </c>
      <c r="D4699" s="1"/>
      <c r="E4699" s="1"/>
      <c r="F4699" s="1" t="str">
        <f>IFERROR(__xludf.DUMMYFUNCTION("GOOGLETRANSLATE(B4699, ""en"", ""fa"")
"),"مشاوره دوستیابی")</f>
        <v>مشاوره دوستیابی</v>
      </c>
      <c r="G4699" s="1" t="str">
        <f>IFERROR(__xludf.DUMMYFUNCTION("GOOGLETRANSLATE(C4699, ""en"", ""fa"")
"),"چند استراتژی برای ایجاد تعادل موثر در چندین پلتفرم یا اپلیکیشن دوستیابی آنلاین چیست؟")</f>
        <v>چند استراتژی برای ایجاد تعادل موثر در چندین پلتفرم یا اپلیکیشن دوستیابی آنلاین چیست؟</v>
      </c>
      <c r="H4699" s="1"/>
      <c r="I4699" s="1"/>
      <c r="J4699" s="1"/>
      <c r="K4699" s="1"/>
      <c r="L4699" s="1"/>
      <c r="M4699" s="1"/>
      <c r="N4699" s="1"/>
      <c r="O4699" s="1"/>
      <c r="P4699" s="1"/>
      <c r="Q4699" s="1"/>
      <c r="R4699" s="1"/>
      <c r="S4699" s="1"/>
      <c r="T4699" s="1"/>
      <c r="U4699" s="1"/>
      <c r="V4699" s="1"/>
      <c r="W4699" s="1"/>
      <c r="X4699" s="1"/>
      <c r="Y4699" s="1"/>
      <c r="Z4699" s="1"/>
      <c r="AA4699" s="1"/>
      <c r="AB4699" s="1"/>
    </row>
    <row r="4700" ht="50.25" customHeight="1">
      <c r="A4700" s="12">
        <v>4696.0</v>
      </c>
      <c r="B4700" s="13" t="s">
        <v>4379</v>
      </c>
      <c r="C4700" s="14" t="s">
        <v>4719</v>
      </c>
      <c r="D4700" s="1"/>
      <c r="E4700" s="1"/>
      <c r="F4700" s="1" t="str">
        <f>IFERROR(__xludf.DUMMYFUNCTION("GOOGLETRANSLATE(B4700, ""en"", ""fa"")
"),"مشاوره دوستیابی")</f>
        <v>مشاوره دوستیابی</v>
      </c>
      <c r="G4700" s="1" t="str">
        <f>IFERROR(__xludf.DUMMYFUNCTION("GOOGLETRANSLATE(C4700, ""en"", ""fa"")
"),"چگونه می توانم به طور موثر با افراد معامله شکن و غیرقابل مذاکره خود در دوستیابی آنلاین ارتباط برقرار کنم؟")</f>
        <v>چگونه می توانم به طور موثر با افراد معامله شکن و غیرقابل مذاکره خود در دوستیابی آنلاین ارتباط برقرار کنم؟</v>
      </c>
      <c r="H4700" s="1"/>
      <c r="I4700" s="1"/>
      <c r="J4700" s="1"/>
      <c r="K4700" s="1"/>
      <c r="L4700" s="1"/>
      <c r="M4700" s="1"/>
      <c r="N4700" s="1"/>
      <c r="O4700" s="1"/>
      <c r="P4700" s="1"/>
      <c r="Q4700" s="1"/>
      <c r="R4700" s="1"/>
      <c r="S4700" s="1"/>
      <c r="T4700" s="1"/>
      <c r="U4700" s="1"/>
      <c r="V4700" s="1"/>
      <c r="W4700" s="1"/>
      <c r="X4700" s="1"/>
      <c r="Y4700" s="1"/>
      <c r="Z4700" s="1"/>
      <c r="AA4700" s="1"/>
      <c r="AB4700" s="1"/>
    </row>
    <row r="4701" ht="50.25" customHeight="1">
      <c r="A4701" s="12">
        <v>4697.0</v>
      </c>
      <c r="B4701" s="13" t="s">
        <v>4379</v>
      </c>
      <c r="C4701" s="14" t="s">
        <v>4720</v>
      </c>
      <c r="D4701" s="1"/>
      <c r="E4701" s="1"/>
      <c r="F4701" s="1" t="str">
        <f>IFERROR(__xludf.DUMMYFUNCTION("GOOGLETRANSLATE(B4701, ""en"", ""fa"")
"),"مشاوره دوستیابی")</f>
        <v>مشاوره دوستیابی</v>
      </c>
      <c r="G4701" s="1" t="str">
        <f>IFERROR(__xludf.DUMMYFUNCTION("GOOGLETRANSLATE(C4701, ""en"", ""fa"")
"),"بایدها و نبایدها برای رسیدگی به درگیری ها یا اختلاف نظرهایی که در دوستیابی آنلاین ایجاد می شود چیست؟")</f>
        <v>بایدها و نبایدها برای رسیدگی به درگیری ها یا اختلاف نظرهایی که در دوستیابی آنلاین ایجاد می شود چیست؟</v>
      </c>
      <c r="H4701" s="1"/>
      <c r="I4701" s="1"/>
      <c r="J4701" s="1"/>
      <c r="K4701" s="1"/>
      <c r="L4701" s="1"/>
      <c r="M4701" s="1"/>
      <c r="N4701" s="1"/>
      <c r="O4701" s="1"/>
      <c r="P4701" s="1"/>
      <c r="Q4701" s="1"/>
      <c r="R4701" s="1"/>
      <c r="S4701" s="1"/>
      <c r="T4701" s="1"/>
      <c r="U4701" s="1"/>
      <c r="V4701" s="1"/>
      <c r="W4701" s="1"/>
      <c r="X4701" s="1"/>
      <c r="Y4701" s="1"/>
      <c r="Z4701" s="1"/>
      <c r="AA4701" s="1"/>
      <c r="AB4701" s="1"/>
    </row>
    <row r="4702" ht="50.25" customHeight="1">
      <c r="A4702" s="12">
        <v>4698.0</v>
      </c>
      <c r="B4702" s="13" t="s">
        <v>4379</v>
      </c>
      <c r="C4702" s="14" t="s">
        <v>4721</v>
      </c>
      <c r="D4702" s="1"/>
      <c r="E4702" s="1"/>
      <c r="F4702" s="1" t="str">
        <f>IFERROR(__xludf.DUMMYFUNCTION("GOOGLETRANSLATE(B4702, ""en"", ""fa"")
"),"مشاوره دوستیابی")</f>
        <v>مشاوره دوستیابی</v>
      </c>
      <c r="G4702" s="1" t="str">
        <f>IFERROR(__xludf.DUMMYFUNCTION("GOOGLETRANSLATE(C4702, ""en"", ""fa"")
"),"چگونه می‌توانم به‌عنوان یک والدین مجرد، روند قراریابی آنلاین را طی کنم؟")</f>
        <v>چگونه می‌توانم به‌عنوان یک والدین مجرد، روند قراریابی آنلاین را طی کنم؟</v>
      </c>
      <c r="H4702" s="1"/>
      <c r="I4702" s="1"/>
      <c r="J4702" s="1"/>
      <c r="K4702" s="1"/>
      <c r="L4702" s="1"/>
      <c r="M4702" s="1"/>
      <c r="N4702" s="1"/>
      <c r="O4702" s="1"/>
      <c r="P4702" s="1"/>
      <c r="Q4702" s="1"/>
      <c r="R4702" s="1"/>
      <c r="S4702" s="1"/>
      <c r="T4702" s="1"/>
      <c r="U4702" s="1"/>
      <c r="V4702" s="1"/>
      <c r="W4702" s="1"/>
      <c r="X4702" s="1"/>
      <c r="Y4702" s="1"/>
      <c r="Z4702" s="1"/>
      <c r="AA4702" s="1"/>
      <c r="AB4702" s="1"/>
    </row>
    <row r="4703" ht="50.25" customHeight="1">
      <c r="A4703" s="12">
        <v>4699.0</v>
      </c>
      <c r="B4703" s="13" t="s">
        <v>4379</v>
      </c>
      <c r="C4703" s="14" t="s">
        <v>4722</v>
      </c>
      <c r="D4703" s="1"/>
      <c r="E4703" s="1"/>
      <c r="F4703" s="1" t="str">
        <f>IFERROR(__xludf.DUMMYFUNCTION("GOOGLETRANSLATE(B4703, ""en"", ""fa"")
"),"مشاوره دوستیابی")</f>
        <v>مشاوره دوستیابی</v>
      </c>
      <c r="G4703" s="1" t="str">
        <f>IFERROR(__xludf.DUMMYFUNCTION("GOOGLETRANSLATE(C4703, ""en"", ""fa"")
"),"چند نکته برای مدیریت و غلبه بر فرسودگی یا خستگی دوستیابی آنلاین چیست؟")</f>
        <v>چند نکته برای مدیریت و غلبه بر فرسودگی یا خستگی دوستیابی آنلاین چیست؟</v>
      </c>
      <c r="H4703" s="1"/>
      <c r="I4703" s="1"/>
      <c r="J4703" s="1"/>
      <c r="K4703" s="1"/>
      <c r="L4703" s="1"/>
      <c r="M4703" s="1"/>
      <c r="N4703" s="1"/>
      <c r="O4703" s="1"/>
      <c r="P4703" s="1"/>
      <c r="Q4703" s="1"/>
      <c r="R4703" s="1"/>
      <c r="S4703" s="1"/>
      <c r="T4703" s="1"/>
      <c r="U4703" s="1"/>
      <c r="V4703" s="1"/>
      <c r="W4703" s="1"/>
      <c r="X4703" s="1"/>
      <c r="Y4703" s="1"/>
      <c r="Z4703" s="1"/>
      <c r="AA4703" s="1"/>
      <c r="AB4703" s="1"/>
    </row>
    <row r="4704" ht="50.25" customHeight="1">
      <c r="A4704" s="12">
        <v>4700.0</v>
      </c>
      <c r="B4704" s="13" t="s">
        <v>4379</v>
      </c>
      <c r="C4704" s="14" t="s">
        <v>4723</v>
      </c>
      <c r="D4704" s="1"/>
      <c r="E4704" s="1"/>
      <c r="F4704" s="1" t="str">
        <f>IFERROR(__xludf.DUMMYFUNCTION("GOOGLETRANSLATE(B4704, ""en"", ""fa"")
"),"مشاوره دوستیابی")</f>
        <v>مشاوره دوستیابی</v>
      </c>
      <c r="G4704" s="1" t="str">
        <f>IFERROR(__xludf.DUMMYFUNCTION("GOOGLETRANSLATE(C4704, ""en"", ""fa"")
"),"چگونه می توانم روند افشای اطلاعات شخصی یا تجربیات گذشته در دوستیابی آنلاین را طی کنم؟")</f>
        <v>چگونه می توانم روند افشای اطلاعات شخصی یا تجربیات گذشته در دوستیابی آنلاین را طی کنم؟</v>
      </c>
      <c r="H4704" s="1"/>
      <c r="I4704" s="1"/>
      <c r="J4704" s="1"/>
      <c r="K4704" s="1"/>
      <c r="L4704" s="1"/>
      <c r="M4704" s="1"/>
      <c r="N4704" s="1"/>
      <c r="O4704" s="1"/>
      <c r="P4704" s="1"/>
      <c r="Q4704" s="1"/>
      <c r="R4704" s="1"/>
      <c r="S4704" s="1"/>
      <c r="T4704" s="1"/>
      <c r="U4704" s="1"/>
      <c r="V4704" s="1"/>
      <c r="W4704" s="1"/>
      <c r="X4704" s="1"/>
      <c r="Y4704" s="1"/>
      <c r="Z4704" s="1"/>
      <c r="AA4704" s="1"/>
      <c r="AB4704" s="1"/>
    </row>
    <row r="4705" ht="50.25" customHeight="1">
      <c r="A4705" s="12">
        <v>4701.0</v>
      </c>
      <c r="B4705" s="13" t="s">
        <v>4379</v>
      </c>
      <c r="C4705" s="14" t="s">
        <v>4724</v>
      </c>
      <c r="D4705" s="1"/>
      <c r="E4705" s="1"/>
      <c r="F4705" s="1" t="str">
        <f>IFERROR(__xludf.DUMMYFUNCTION("GOOGLETRANSLATE(B4705, ""en"", ""fa"")
"),"مشاوره دوستیابی")</f>
        <v>مشاوره دوستیابی</v>
      </c>
      <c r="G4705" s="1" t="str">
        <f>IFERROR(__xludf.DUMMYFUNCTION("GOOGLETRANSLATE(C4705, ""en"", ""fa"")
"),"چند استراتژی برای ارزیابی و بهبود نمایه دوستیابی آنلاین من برای جذب موارد سازگارتر چیست؟")</f>
        <v>چند استراتژی برای ارزیابی و بهبود نمایه دوستیابی آنلاین من برای جذب موارد سازگارتر چیست؟</v>
      </c>
      <c r="H4705" s="1"/>
      <c r="I4705" s="1"/>
      <c r="J4705" s="1"/>
      <c r="K4705" s="1"/>
      <c r="L4705" s="1"/>
      <c r="M4705" s="1"/>
      <c r="N4705" s="1"/>
      <c r="O4705" s="1"/>
      <c r="P4705" s="1"/>
      <c r="Q4705" s="1"/>
      <c r="R4705" s="1"/>
      <c r="S4705" s="1"/>
      <c r="T4705" s="1"/>
      <c r="U4705" s="1"/>
      <c r="V4705" s="1"/>
      <c r="W4705" s="1"/>
      <c r="X4705" s="1"/>
      <c r="Y4705" s="1"/>
      <c r="Z4705" s="1"/>
      <c r="AA4705" s="1"/>
      <c r="AB4705" s="1"/>
    </row>
    <row r="4706" ht="50.25" customHeight="1">
      <c r="A4706" s="12">
        <v>4702.0</v>
      </c>
      <c r="B4706" s="13" t="s">
        <v>4379</v>
      </c>
      <c r="C4706" s="14" t="s">
        <v>4725</v>
      </c>
      <c r="D4706" s="1"/>
      <c r="E4706" s="1"/>
      <c r="F4706" s="1" t="str">
        <f>IFERROR(__xludf.DUMMYFUNCTION("GOOGLETRANSLATE(B4706, ""en"", ""fa"")
"),"مشاوره دوستیابی")</f>
        <v>مشاوره دوستیابی</v>
      </c>
      <c r="G4706" s="1" t="str">
        <f>IFERROR(__xludf.DUMMYFUNCTION("GOOGLETRANSLATE(C4706, ""en"", ""fa"")
"),"چگونه می توانم به طور موثر به انواع مختلف پیام های دوستیابی آنلاین پاسخ دهم و با آنها تعامل داشته باشم؟")</f>
        <v>چگونه می توانم به طور موثر به انواع مختلف پیام های دوستیابی آنلاین پاسخ دهم و با آنها تعامل داشته باشم؟</v>
      </c>
      <c r="H4706" s="1"/>
      <c r="I4706" s="1"/>
      <c r="J4706" s="1"/>
      <c r="K4706" s="1"/>
      <c r="L4706" s="1"/>
      <c r="M4706" s="1"/>
      <c r="N4706" s="1"/>
      <c r="O4706" s="1"/>
      <c r="P4706" s="1"/>
      <c r="Q4706" s="1"/>
      <c r="R4706" s="1"/>
      <c r="S4706" s="1"/>
      <c r="T4706" s="1"/>
      <c r="U4706" s="1"/>
      <c r="V4706" s="1"/>
      <c r="W4706" s="1"/>
      <c r="X4706" s="1"/>
      <c r="Y4706" s="1"/>
      <c r="Z4706" s="1"/>
      <c r="AA4706" s="1"/>
      <c r="AB4706" s="1"/>
    </row>
    <row r="4707" ht="50.25" customHeight="1">
      <c r="A4707" s="12">
        <v>4703.0</v>
      </c>
      <c r="B4707" s="13" t="s">
        <v>4379</v>
      </c>
      <c r="C4707" s="14" t="s">
        <v>4726</v>
      </c>
      <c r="D4707" s="1"/>
      <c r="E4707" s="1"/>
      <c r="F4707" s="1" t="str">
        <f>IFERROR(__xludf.DUMMYFUNCTION("GOOGLETRANSLATE(B4707, ""en"", ""fa"")
"),"مشاوره دوستیابی")</f>
        <v>مشاوره دوستیابی</v>
      </c>
      <c r="G4707" s="1" t="str">
        <f>IFERROR(__xludf.DUMMYFUNCTION("GOOGLETRANSLATE(C4707, ""en"", ""fa"")
"),"برای حفظ مرزها و اجتناب از همبستگی در دوستیابی آنلاین چه بایدها و نبایدهایی وجود دارد؟")</f>
        <v>برای حفظ مرزها و اجتناب از همبستگی در دوستیابی آنلاین چه بایدها و نبایدهایی وجود دارد؟</v>
      </c>
      <c r="H4707" s="1"/>
      <c r="I4707" s="1"/>
      <c r="J4707" s="1"/>
      <c r="K4707" s="1"/>
      <c r="L4707" s="1"/>
      <c r="M4707" s="1"/>
      <c r="N4707" s="1"/>
      <c r="O4707" s="1"/>
      <c r="P4707" s="1"/>
      <c r="Q4707" s="1"/>
      <c r="R4707" s="1"/>
      <c r="S4707" s="1"/>
      <c r="T4707" s="1"/>
      <c r="U4707" s="1"/>
      <c r="V4707" s="1"/>
      <c r="W4707" s="1"/>
      <c r="X4707" s="1"/>
      <c r="Y4707" s="1"/>
      <c r="Z4707" s="1"/>
      <c r="AA4707" s="1"/>
      <c r="AB4707" s="1"/>
    </row>
    <row r="4708" ht="50.25" customHeight="1">
      <c r="A4708" s="12">
        <v>4704.0</v>
      </c>
      <c r="B4708" s="13" t="s">
        <v>4379</v>
      </c>
      <c r="C4708" s="14" t="s">
        <v>4727</v>
      </c>
      <c r="D4708" s="1"/>
      <c r="E4708" s="1"/>
      <c r="F4708" s="1" t="str">
        <f>IFERROR(__xludf.DUMMYFUNCTION("GOOGLETRANSLATE(B4708, ""en"", ""fa"")
"),"مشاوره دوستیابی")</f>
        <v>مشاوره دوستیابی</v>
      </c>
      <c r="G4708" s="1" t="str">
        <f>IFERROR(__xludf.DUMMYFUNCTION("GOOGLETRANSLATE(C4708, ""en"", ""fa"")
"),"چگونه می توانم پس از یک وقفه، روند ورود مجدد به صحنه دوستیابی آنلاین را طی کنم؟")</f>
        <v>چگونه می توانم پس از یک وقفه، روند ورود مجدد به صحنه دوستیابی آنلاین را طی کنم؟</v>
      </c>
      <c r="H4708" s="1"/>
      <c r="I4708" s="1"/>
      <c r="J4708" s="1"/>
      <c r="K4708" s="1"/>
      <c r="L4708" s="1"/>
      <c r="M4708" s="1"/>
      <c r="N4708" s="1"/>
      <c r="O4708" s="1"/>
      <c r="P4708" s="1"/>
      <c r="Q4708" s="1"/>
      <c r="R4708" s="1"/>
      <c r="S4708" s="1"/>
      <c r="T4708" s="1"/>
      <c r="U4708" s="1"/>
      <c r="V4708" s="1"/>
      <c r="W4708" s="1"/>
      <c r="X4708" s="1"/>
      <c r="Y4708" s="1"/>
      <c r="Z4708" s="1"/>
      <c r="AA4708" s="1"/>
      <c r="AB4708" s="1"/>
    </row>
    <row r="4709" ht="50.25" customHeight="1">
      <c r="A4709" s="12">
        <v>4705.0</v>
      </c>
      <c r="B4709" s="13" t="s">
        <v>4379</v>
      </c>
      <c r="C4709" s="14" t="s">
        <v>4728</v>
      </c>
      <c r="D4709" s="1"/>
      <c r="E4709" s="1"/>
      <c r="F4709" s="1" t="str">
        <f>IFERROR(__xludf.DUMMYFUNCTION("GOOGLETRANSLATE(B4709, ""en"", ""fa"")
"),"مشاوره دوستیابی")</f>
        <v>مشاوره دوستیابی</v>
      </c>
      <c r="G4709" s="1" t="str">
        <f>IFERROR(__xludf.DUMMYFUNCTION("GOOGLETRANSLATE(C4709, ""en"", ""fa"")
"),"نکاتی برای تشخیص و پاسخ به گربه‌ماهی‌گیری آنلاین یا ارائه نادرست چیست؟")</f>
        <v>نکاتی برای تشخیص و پاسخ به گربه‌ماهی‌گیری آنلاین یا ارائه نادرست چیست؟</v>
      </c>
      <c r="H4709" s="1"/>
      <c r="I4709" s="1"/>
      <c r="J4709" s="1"/>
      <c r="K4709" s="1"/>
      <c r="L4709" s="1"/>
      <c r="M4709" s="1"/>
      <c r="N4709" s="1"/>
      <c r="O4709" s="1"/>
      <c r="P4709" s="1"/>
      <c r="Q4709" s="1"/>
      <c r="R4709" s="1"/>
      <c r="S4709" s="1"/>
      <c r="T4709" s="1"/>
      <c r="U4709" s="1"/>
      <c r="V4709" s="1"/>
      <c r="W4709" s="1"/>
      <c r="X4709" s="1"/>
      <c r="Y4709" s="1"/>
      <c r="Z4709" s="1"/>
      <c r="AA4709" s="1"/>
      <c r="AB4709" s="1"/>
    </row>
    <row r="4710" ht="50.25" customHeight="1">
      <c r="A4710" s="12">
        <v>4706.0</v>
      </c>
      <c r="B4710" s="13" t="s">
        <v>4379</v>
      </c>
      <c r="C4710" s="14" t="s">
        <v>4729</v>
      </c>
      <c r="D4710" s="1"/>
      <c r="E4710" s="1"/>
      <c r="F4710" s="1" t="str">
        <f>IFERROR(__xludf.DUMMYFUNCTION("GOOGLETRANSLATE(B4710, ""en"", ""fa"")
"),"مشاوره دوستیابی")</f>
        <v>مشاوره دوستیابی</v>
      </c>
      <c r="G4710" s="1" t="str">
        <f>IFERROR(__xludf.DUMMYFUNCTION("GOOGLETRANSLATE(C4710, ""en"", ""fa"")
"),"چگونه می توانم به طور موثر ارزش ها و اهداف روابط مسابقات احتمالی را ارزیابی و اولویت بندی کنم؟")</f>
        <v>چگونه می توانم به طور موثر ارزش ها و اهداف روابط مسابقات احتمالی را ارزیابی و اولویت بندی کنم؟</v>
      </c>
      <c r="H4710" s="1"/>
      <c r="I4710" s="1"/>
      <c r="J4710" s="1"/>
      <c r="K4710" s="1"/>
      <c r="L4710" s="1"/>
      <c r="M4710" s="1"/>
      <c r="N4710" s="1"/>
      <c r="O4710" s="1"/>
      <c r="P4710" s="1"/>
      <c r="Q4710" s="1"/>
      <c r="R4710" s="1"/>
      <c r="S4710" s="1"/>
      <c r="T4710" s="1"/>
      <c r="U4710" s="1"/>
      <c r="V4710" s="1"/>
      <c r="W4710" s="1"/>
      <c r="X4710" s="1"/>
      <c r="Y4710" s="1"/>
      <c r="Z4710" s="1"/>
      <c r="AA4710" s="1"/>
      <c r="AB4710" s="1"/>
    </row>
    <row r="4711" ht="50.25" customHeight="1">
      <c r="A4711" s="12">
        <v>4707.0</v>
      </c>
      <c r="B4711" s="13" t="s">
        <v>4379</v>
      </c>
      <c r="C4711" s="14" t="s">
        <v>4730</v>
      </c>
      <c r="D4711" s="1"/>
      <c r="E4711" s="1"/>
      <c r="F4711" s="1" t="str">
        <f>IFERROR(__xludf.DUMMYFUNCTION("GOOGLETRANSLATE(B4711, ""en"", ""fa"")
"),"مشاوره دوستیابی")</f>
        <v>مشاوره دوستیابی</v>
      </c>
      <c r="G4711" s="1" t="str">
        <f>IFERROR(__xludf.DUMMYFUNCTION("GOOGLETRANSLATE(C4711, ""en"", ""fa"")
"),"چند استراتژی برای مدیریت انتظارات و پیمایش در مراحل اولیه قرار آنلاین چیست؟")</f>
        <v>چند استراتژی برای مدیریت انتظارات و پیمایش در مراحل اولیه قرار آنلاین چیست؟</v>
      </c>
      <c r="H4711" s="1"/>
      <c r="I4711" s="1"/>
      <c r="J4711" s="1"/>
      <c r="K4711" s="1"/>
      <c r="L4711" s="1"/>
      <c r="M4711" s="1"/>
      <c r="N4711" s="1"/>
      <c r="O4711" s="1"/>
      <c r="P4711" s="1"/>
      <c r="Q4711" s="1"/>
      <c r="R4711" s="1"/>
      <c r="S4711" s="1"/>
      <c r="T4711" s="1"/>
      <c r="U4711" s="1"/>
      <c r="V4711" s="1"/>
      <c r="W4711" s="1"/>
      <c r="X4711" s="1"/>
      <c r="Y4711" s="1"/>
      <c r="Z4711" s="1"/>
      <c r="AA4711" s="1"/>
      <c r="AB4711" s="1"/>
    </row>
    <row r="4712" ht="50.25" customHeight="1">
      <c r="A4712" s="12">
        <v>4708.0</v>
      </c>
      <c r="B4712" s="13" t="s">
        <v>4379</v>
      </c>
      <c r="C4712" s="14" t="s">
        <v>4731</v>
      </c>
      <c r="D4712" s="1"/>
      <c r="E4712" s="1"/>
      <c r="F4712" s="1" t="str">
        <f>IFERROR(__xludf.DUMMYFUNCTION("GOOGLETRANSLATE(B4712, ""en"", ""fa"")
"),"مشاوره دوستیابی")</f>
        <v>مشاوره دوستیابی</v>
      </c>
      <c r="G4712" s="1" t="str">
        <f>IFERROR(__xludf.DUMMYFUNCTION("GOOGLETRANSLATE(C4712, ""en"", ""fa"")
"),"چگونه می‌توانم فرآیند بحث و رسیدگی به معامله‌گران احتمالی را با یک مسابقه آنلاین هدایت کنم؟")</f>
        <v>چگونه می‌توانم فرآیند بحث و رسیدگی به معامله‌گران احتمالی را با یک مسابقه آنلاین هدایت کنم؟</v>
      </c>
      <c r="H4712" s="1"/>
      <c r="I4712" s="1"/>
      <c r="J4712" s="1"/>
      <c r="K4712" s="1"/>
      <c r="L4712" s="1"/>
      <c r="M4712" s="1"/>
      <c r="N4712" s="1"/>
      <c r="O4712" s="1"/>
      <c r="P4712" s="1"/>
      <c r="Q4712" s="1"/>
      <c r="R4712" s="1"/>
      <c r="S4712" s="1"/>
      <c r="T4712" s="1"/>
      <c r="U4712" s="1"/>
      <c r="V4712" s="1"/>
      <c r="W4712" s="1"/>
      <c r="X4712" s="1"/>
      <c r="Y4712" s="1"/>
      <c r="Z4712" s="1"/>
      <c r="AA4712" s="1"/>
      <c r="AB4712" s="1"/>
    </row>
    <row r="4713" ht="50.25" customHeight="1">
      <c r="A4713" s="12">
        <v>4709.0</v>
      </c>
      <c r="B4713" s="13" t="s">
        <v>4379</v>
      </c>
      <c r="C4713" s="14" t="s">
        <v>4732</v>
      </c>
      <c r="D4713" s="1"/>
      <c r="E4713" s="1"/>
      <c r="F4713" s="1" t="str">
        <f>IFERROR(__xludf.DUMMYFUNCTION("GOOGLETRANSLATE(B4713, ""en"", ""fa"")
"),"مشاوره دوستیابی")</f>
        <v>مشاوره دوستیابی</v>
      </c>
      <c r="G4713" s="1" t="str">
        <f>IFERROR(__xludf.DUMMYFUNCTION("GOOGLETRANSLATE(C4713, ""en"", ""fa"")
"),"برای شرکت در گفتگوهای دوستیابی آنلاین که منجر به ارتباطات عمیق تر می شود، چه بایدها و نبایدهایی وجود دارد؟")</f>
        <v>برای شرکت در گفتگوهای دوستیابی آنلاین که منجر به ارتباطات عمیق تر می شود، چه بایدها و نبایدهایی وجود دارد؟</v>
      </c>
      <c r="H4713" s="1"/>
      <c r="I4713" s="1"/>
      <c r="J4713" s="1"/>
      <c r="K4713" s="1"/>
      <c r="L4713" s="1"/>
      <c r="M4713" s="1"/>
      <c r="N4713" s="1"/>
      <c r="O4713" s="1"/>
      <c r="P4713" s="1"/>
      <c r="Q4713" s="1"/>
      <c r="R4713" s="1"/>
      <c r="S4713" s="1"/>
      <c r="T4713" s="1"/>
      <c r="U4713" s="1"/>
      <c r="V4713" s="1"/>
      <c r="W4713" s="1"/>
      <c r="X4713" s="1"/>
      <c r="Y4713" s="1"/>
      <c r="Z4713" s="1"/>
      <c r="AA4713" s="1"/>
      <c r="AB4713" s="1"/>
    </row>
    <row r="4714" ht="50.25" customHeight="1">
      <c r="A4714" s="12">
        <v>4710.0</v>
      </c>
      <c r="B4714" s="13" t="s">
        <v>4379</v>
      </c>
      <c r="C4714" s="14" t="s">
        <v>4733</v>
      </c>
      <c r="D4714" s="1"/>
      <c r="E4714" s="1"/>
      <c r="F4714" s="1" t="str">
        <f>IFERROR(__xludf.DUMMYFUNCTION("GOOGLETRANSLATE(B4714, ""en"", ""fa"")
"),"مشاوره دوستیابی")</f>
        <v>مشاوره دوستیابی</v>
      </c>
      <c r="G4714" s="1" t="str">
        <f>IFERROR(__xludf.DUMMYFUNCTION("GOOGLETRANSLATE(C4714, ""en"", ""fa"")
"),"چگونه می توانم به طور موثری با انعطاف پذیری و مهربانی با رد کردن دوستیابی آنلاین کنار بیایم؟")</f>
        <v>چگونه می توانم به طور موثری با انعطاف پذیری و مهربانی با رد کردن دوستیابی آنلاین کنار بیایم؟</v>
      </c>
      <c r="H4714" s="1"/>
      <c r="I4714" s="1"/>
      <c r="J4714" s="1"/>
      <c r="K4714" s="1"/>
      <c r="L4714" s="1"/>
      <c r="M4714" s="1"/>
      <c r="N4714" s="1"/>
      <c r="O4714" s="1"/>
      <c r="P4714" s="1"/>
      <c r="Q4714" s="1"/>
      <c r="R4714" s="1"/>
      <c r="S4714" s="1"/>
      <c r="T4714" s="1"/>
      <c r="U4714" s="1"/>
      <c r="V4714" s="1"/>
      <c r="W4714" s="1"/>
      <c r="X4714" s="1"/>
      <c r="Y4714" s="1"/>
      <c r="Z4714" s="1"/>
      <c r="AA4714" s="1"/>
      <c r="AB4714" s="1"/>
    </row>
    <row r="4715" ht="50.25" customHeight="1">
      <c r="A4715" s="12">
        <v>4711.0</v>
      </c>
      <c r="B4715" s="13" t="s">
        <v>4379</v>
      </c>
      <c r="C4715" s="14" t="s">
        <v>4734</v>
      </c>
      <c r="D4715" s="1"/>
      <c r="E4715" s="1"/>
      <c r="F4715" s="1" t="str">
        <f>IFERROR(__xludf.DUMMYFUNCTION("GOOGLETRANSLATE(B4715, ""en"", ""fa"")
"),"مشاوره دوستیابی")</f>
        <v>مشاوره دوستیابی</v>
      </c>
      <c r="G4715" s="1" t="str">
        <f>IFERROR(__xludf.DUMMYFUNCTION("GOOGLETRANSLATE(C4715, ""en"", ""fa"")
"),"نکاتی برای مدیریت و پاسخگویی به پیام های دوستیابی آنلاین از گروه های سنی یا جمعیتی مختلف چیست؟")</f>
        <v>نکاتی برای مدیریت و پاسخگویی به پیام های دوستیابی آنلاین از گروه های سنی یا جمعیتی مختلف چیست؟</v>
      </c>
      <c r="H4715" s="1"/>
      <c r="I4715" s="1"/>
      <c r="J4715" s="1"/>
      <c r="K4715" s="1"/>
      <c r="L4715" s="1"/>
      <c r="M4715" s="1"/>
      <c r="N4715" s="1"/>
      <c r="O4715" s="1"/>
      <c r="P4715" s="1"/>
      <c r="Q4715" s="1"/>
      <c r="R4715" s="1"/>
      <c r="S4715" s="1"/>
      <c r="T4715" s="1"/>
      <c r="U4715" s="1"/>
      <c r="V4715" s="1"/>
      <c r="W4715" s="1"/>
      <c r="X4715" s="1"/>
      <c r="Y4715" s="1"/>
      <c r="Z4715" s="1"/>
      <c r="AA4715" s="1"/>
      <c r="AB4715" s="1"/>
    </row>
    <row r="4716" ht="50.25" customHeight="1">
      <c r="A4716" s="12">
        <v>4712.0</v>
      </c>
      <c r="B4716" s="13" t="s">
        <v>4379</v>
      </c>
      <c r="C4716" s="14" t="s">
        <v>4735</v>
      </c>
      <c r="D4716" s="1"/>
      <c r="E4716" s="1"/>
      <c r="F4716" s="1" t="str">
        <f>IFERROR(__xludf.DUMMYFUNCTION("GOOGLETRANSLATE(B4716, ""en"", ""fa"")
"),"مشاوره دوستیابی")</f>
        <v>مشاوره دوستیابی</v>
      </c>
      <c r="G4716" s="1" t="str">
        <f>IFERROR(__xludf.DUMMYFUNCTION("GOOGLETRANSLATE(C4716, ""en"", ""fa"")
"),"چگونه می توانم روند شناسایی و رسیدگی به مشکلات سازگاری دوستیابی آنلاین را طی کنم؟")</f>
        <v>چگونه می توانم روند شناسایی و رسیدگی به مشکلات سازگاری دوستیابی آنلاین را طی کنم؟</v>
      </c>
      <c r="H4716" s="1"/>
      <c r="I4716" s="1"/>
      <c r="J4716" s="1"/>
      <c r="K4716" s="1"/>
      <c r="L4716" s="1"/>
      <c r="M4716" s="1"/>
      <c r="N4716" s="1"/>
      <c r="O4716" s="1"/>
      <c r="P4716" s="1"/>
      <c r="Q4716" s="1"/>
      <c r="R4716" s="1"/>
      <c r="S4716" s="1"/>
      <c r="T4716" s="1"/>
      <c r="U4716" s="1"/>
      <c r="V4716" s="1"/>
      <c r="W4716" s="1"/>
      <c r="X4716" s="1"/>
      <c r="Y4716" s="1"/>
      <c r="Z4716" s="1"/>
      <c r="AA4716" s="1"/>
      <c r="AB4716" s="1"/>
    </row>
    <row r="4717" ht="50.25" customHeight="1">
      <c r="A4717" s="12">
        <v>4713.0</v>
      </c>
      <c r="B4717" s="13" t="s">
        <v>4379</v>
      </c>
      <c r="C4717" s="14" t="s">
        <v>4736</v>
      </c>
      <c r="D4717" s="1"/>
      <c r="E4717" s="1"/>
      <c r="F4717" s="1" t="str">
        <f>IFERROR(__xludf.DUMMYFUNCTION("GOOGLETRANSLATE(B4717, ""en"", ""fa"")
"),"مشاوره دوستیابی")</f>
        <v>مشاوره دوستیابی</v>
      </c>
      <c r="G4717" s="1" t="str">
        <f>IFERROR(__xludf.DUMMYFUNCTION("GOOGLETRANSLATE(C4717, ""en"", ""fa"")
"),"چند استراتژی برای ایجاد اعتماد و ایجاد یک پایه محکم در روابط دوستیابی آنلاین چیست؟")</f>
        <v>چند استراتژی برای ایجاد اعتماد و ایجاد یک پایه محکم در روابط دوستیابی آنلاین چیست؟</v>
      </c>
      <c r="H4717" s="1"/>
      <c r="I4717" s="1"/>
      <c r="J4717" s="1"/>
      <c r="K4717" s="1"/>
      <c r="L4717" s="1"/>
      <c r="M4717" s="1"/>
      <c r="N4717" s="1"/>
      <c r="O4717" s="1"/>
      <c r="P4717" s="1"/>
      <c r="Q4717" s="1"/>
      <c r="R4717" s="1"/>
      <c r="S4717" s="1"/>
      <c r="T4717" s="1"/>
      <c r="U4717" s="1"/>
      <c r="V4717" s="1"/>
      <c r="W4717" s="1"/>
      <c r="X4717" s="1"/>
      <c r="Y4717" s="1"/>
      <c r="Z4717" s="1"/>
      <c r="AA4717" s="1"/>
      <c r="AB4717" s="1"/>
    </row>
    <row r="4718" ht="50.25" customHeight="1">
      <c r="A4718" s="12">
        <v>4714.0</v>
      </c>
      <c r="B4718" s="13" t="s">
        <v>4379</v>
      </c>
      <c r="C4718" s="14" t="s">
        <v>4737</v>
      </c>
      <c r="D4718" s="1"/>
      <c r="E4718" s="1"/>
      <c r="F4718" s="1" t="str">
        <f>IFERROR(__xludf.DUMMYFUNCTION("GOOGLETRANSLATE(B4718, ""en"", ""fa"")
"),"مشاوره دوستیابی")</f>
        <v>مشاوره دوستیابی</v>
      </c>
      <c r="G4718" s="1" t="str">
        <f>IFERROR(__xludf.DUMMYFUNCTION("GOOGLETRANSLATE(C4718, ""en"", ""fa"")
"),"چگونه می توانم به طور موثر در چشم انداز دوستیابی آنلاین حرکت کنم و در عین حال ذهنیتی مثبت و مطمئن داشته باشم؟")</f>
        <v>چگونه می توانم به طور موثر در چشم انداز دوستیابی آنلاین حرکت کنم و در عین حال ذهنیتی مثبت و مطمئن داشته باشم؟</v>
      </c>
      <c r="H4718" s="1"/>
      <c r="I4718" s="1"/>
      <c r="J4718" s="1"/>
      <c r="K4718" s="1"/>
      <c r="L4718" s="1"/>
      <c r="M4718" s="1"/>
      <c r="N4718" s="1"/>
      <c r="O4718" s="1"/>
      <c r="P4718" s="1"/>
      <c r="Q4718" s="1"/>
      <c r="R4718" s="1"/>
      <c r="S4718" s="1"/>
      <c r="T4718" s="1"/>
      <c r="U4718" s="1"/>
      <c r="V4718" s="1"/>
      <c r="W4718" s="1"/>
      <c r="X4718" s="1"/>
      <c r="Y4718" s="1"/>
      <c r="Z4718" s="1"/>
      <c r="AA4718" s="1"/>
      <c r="AB4718" s="1"/>
    </row>
    <row r="4719" ht="50.25" customHeight="1">
      <c r="A4719" s="12">
        <v>4715.0</v>
      </c>
      <c r="B4719" s="13" t="s">
        <v>4379</v>
      </c>
      <c r="C4719" s="14" t="s">
        <v>4738</v>
      </c>
      <c r="D4719" s="1"/>
      <c r="E4719" s="1"/>
      <c r="F4719" s="1" t="str">
        <f>IFERROR(__xludf.DUMMYFUNCTION("GOOGLETRANSLATE(B4719, ""en"", ""fa"")
"),"مشاوره دوستیابی")</f>
        <v>مشاوره دوستیابی</v>
      </c>
      <c r="G4719" s="1" t="str">
        <f>IFERROR(__xludf.DUMMYFUNCTION("GOOGLETRANSLATE(C4719, ""en"", ""fa"")
"),"برخی از بایدها و نبایدهای برقراری تماس در یک برنامه دوستیابی چیست؟")</f>
        <v>برخی از بایدها و نبایدهای برقراری تماس در یک برنامه دوستیابی چیست؟</v>
      </c>
      <c r="H4719" s="1"/>
      <c r="I4719" s="1"/>
      <c r="J4719" s="1"/>
      <c r="K4719" s="1"/>
      <c r="L4719" s="1"/>
      <c r="M4719" s="1"/>
      <c r="N4719" s="1"/>
      <c r="O4719" s="1"/>
      <c r="P4719" s="1"/>
      <c r="Q4719" s="1"/>
      <c r="R4719" s="1"/>
      <c r="S4719" s="1"/>
      <c r="T4719" s="1"/>
      <c r="U4719" s="1"/>
      <c r="V4719" s="1"/>
      <c r="W4719" s="1"/>
      <c r="X4719" s="1"/>
      <c r="Y4719" s="1"/>
      <c r="Z4719" s="1"/>
      <c r="AA4719" s="1"/>
      <c r="AB4719" s="1"/>
    </row>
    <row r="4720" ht="50.25" customHeight="1">
      <c r="A4720" s="12">
        <v>4716.0</v>
      </c>
      <c r="B4720" s="13" t="s">
        <v>4379</v>
      </c>
      <c r="C4720" s="14" t="s">
        <v>4739</v>
      </c>
      <c r="D4720" s="1"/>
      <c r="E4720" s="1"/>
      <c r="F4720" s="1" t="str">
        <f>IFERROR(__xludf.DUMMYFUNCTION("GOOGLETRANSLATE(B4720, ""en"", ""fa"")
"),"مشاوره دوستیابی")</f>
        <v>مشاوره دوستیابی</v>
      </c>
      <c r="G4720" s="1" t="str">
        <f>IFERROR(__xludf.DUMMYFUNCTION("GOOGLETRANSLATE(C4720, ""en"", ""fa"")
"),"چگونه می‌توانم زمان‌بندی پاسخ‌ها را در مکالمات آنلاین بدون اینکه خیلی مشتاق یا بی‌علاقه به نظر برسم حرکت کنم؟")</f>
        <v>چگونه می‌توانم زمان‌بندی پاسخ‌ها را در مکالمات آنلاین بدون اینکه خیلی مشتاق یا بی‌علاقه به نظر برسم حرکت کنم؟</v>
      </c>
      <c r="H4720" s="1"/>
      <c r="I4720" s="1"/>
      <c r="J4720" s="1"/>
      <c r="K4720" s="1"/>
      <c r="L4720" s="1"/>
      <c r="M4720" s="1"/>
      <c r="N4720" s="1"/>
      <c r="O4720" s="1"/>
      <c r="P4720" s="1"/>
      <c r="Q4720" s="1"/>
      <c r="R4720" s="1"/>
      <c r="S4720" s="1"/>
      <c r="T4720" s="1"/>
      <c r="U4720" s="1"/>
      <c r="V4720" s="1"/>
      <c r="W4720" s="1"/>
      <c r="X4720" s="1"/>
      <c r="Y4720" s="1"/>
      <c r="Z4720" s="1"/>
      <c r="AA4720" s="1"/>
      <c r="AB4720" s="1"/>
    </row>
    <row r="4721" ht="50.25" customHeight="1">
      <c r="A4721" s="12">
        <v>4717.0</v>
      </c>
      <c r="B4721" s="13" t="s">
        <v>4379</v>
      </c>
      <c r="C4721" s="14" t="s">
        <v>4740</v>
      </c>
      <c r="D4721" s="1"/>
      <c r="E4721" s="1"/>
      <c r="F4721" s="1" t="str">
        <f>IFERROR(__xludf.DUMMYFUNCTION("GOOGLETRANSLATE(B4721, ""en"", ""fa"")
"),"مشاوره دوستیابی")</f>
        <v>مشاوره دوستیابی</v>
      </c>
      <c r="G4721" s="1" t="str">
        <f>IFERROR(__xludf.DUMMYFUNCTION("GOOGLETRANSLATE(C4721, ""en"", ""fa"")
"),"چند استراتژی برای رد کردن مودبانه درخواست تاریخ یا پایان دادن به مکالمه چیست؟")</f>
        <v>چند استراتژی برای رد کردن مودبانه درخواست تاریخ یا پایان دادن به مکالمه چیست؟</v>
      </c>
      <c r="H4721" s="1"/>
      <c r="I4721" s="1"/>
      <c r="J4721" s="1"/>
      <c r="K4721" s="1"/>
      <c r="L4721" s="1"/>
      <c r="M4721" s="1"/>
      <c r="N4721" s="1"/>
      <c r="O4721" s="1"/>
      <c r="P4721" s="1"/>
      <c r="Q4721" s="1"/>
      <c r="R4721" s="1"/>
      <c r="S4721" s="1"/>
      <c r="T4721" s="1"/>
      <c r="U4721" s="1"/>
      <c r="V4721" s="1"/>
      <c r="W4721" s="1"/>
      <c r="X4721" s="1"/>
      <c r="Y4721" s="1"/>
      <c r="Z4721" s="1"/>
      <c r="AA4721" s="1"/>
      <c r="AB4721" s="1"/>
    </row>
    <row r="4722" ht="50.25" customHeight="1">
      <c r="A4722" s="12">
        <v>4718.0</v>
      </c>
      <c r="B4722" s="13" t="s">
        <v>4379</v>
      </c>
      <c r="C4722" s="14" t="s">
        <v>4741</v>
      </c>
      <c r="D4722" s="1"/>
      <c r="E4722" s="1"/>
      <c r="F4722" s="1" t="str">
        <f>IFERROR(__xludf.DUMMYFUNCTION("GOOGLETRANSLATE(B4722, ""en"", ""fa"")
"),"مشاوره دوستیابی")</f>
        <v>مشاوره دوستیابی</v>
      </c>
      <c r="G4722" s="1" t="str">
        <f>IFERROR(__xludf.DUMMYFUNCTION("GOOGLETRANSLATE(C4722, ""en"", ""fa"")
"),"چگونه می توانم انتظارات را مدیریت کنم و اهداف خود را به وضوح در قرار آنلاین بیان کنم؟")</f>
        <v>چگونه می توانم انتظارات را مدیریت کنم و اهداف خود را به وضوح در قرار آنلاین بیان کنم؟</v>
      </c>
      <c r="H4722" s="1"/>
      <c r="I4722" s="1"/>
      <c r="J4722" s="1"/>
      <c r="K4722" s="1"/>
      <c r="L4722" s="1"/>
      <c r="M4722" s="1"/>
      <c r="N4722" s="1"/>
      <c r="O4722" s="1"/>
      <c r="P4722" s="1"/>
      <c r="Q4722" s="1"/>
      <c r="R4722" s="1"/>
      <c r="S4722" s="1"/>
      <c r="T4722" s="1"/>
      <c r="U4722" s="1"/>
      <c r="V4722" s="1"/>
      <c r="W4722" s="1"/>
      <c r="X4722" s="1"/>
      <c r="Y4722" s="1"/>
      <c r="Z4722" s="1"/>
      <c r="AA4722" s="1"/>
      <c r="AB4722" s="1"/>
    </row>
    <row r="4723" ht="50.25" customHeight="1">
      <c r="A4723" s="12">
        <v>4719.0</v>
      </c>
      <c r="B4723" s="13" t="s">
        <v>4379</v>
      </c>
      <c r="C4723" s="14" t="s">
        <v>4742</v>
      </c>
      <c r="D4723" s="1"/>
      <c r="E4723" s="1"/>
      <c r="F4723" s="1" t="str">
        <f>IFERROR(__xludf.DUMMYFUNCTION("GOOGLETRANSLATE(B4723, ""en"", ""fa"")
"),"مشاوره دوستیابی")</f>
        <v>مشاوره دوستیابی</v>
      </c>
      <c r="G4723" s="1" t="str">
        <f>IFERROR(__xludf.DUMMYFUNCTION("GOOGLETRANSLATE(C4723, ""en"", ""fa"")
"),"نکاتی برای انتقال از پیام‌رسانی آنلاین به ترتیب دادن اولین قرار چیست؟")</f>
        <v>نکاتی برای انتقال از پیام‌رسانی آنلاین به ترتیب دادن اولین قرار چیست؟</v>
      </c>
      <c r="H4723" s="1"/>
      <c r="I4723" s="1"/>
      <c r="J4723" s="1"/>
      <c r="K4723" s="1"/>
      <c r="L4723" s="1"/>
      <c r="M4723" s="1"/>
      <c r="N4723" s="1"/>
      <c r="O4723" s="1"/>
      <c r="P4723" s="1"/>
      <c r="Q4723" s="1"/>
      <c r="R4723" s="1"/>
      <c r="S4723" s="1"/>
      <c r="T4723" s="1"/>
      <c r="U4723" s="1"/>
      <c r="V4723" s="1"/>
      <c r="W4723" s="1"/>
      <c r="X4723" s="1"/>
      <c r="Y4723" s="1"/>
      <c r="Z4723" s="1"/>
      <c r="AA4723" s="1"/>
      <c r="AB4723" s="1"/>
    </row>
    <row r="4724" ht="50.25" customHeight="1">
      <c r="A4724" s="12">
        <v>4720.0</v>
      </c>
      <c r="B4724" s="13" t="s">
        <v>4379</v>
      </c>
      <c r="C4724" s="14" t="s">
        <v>4743</v>
      </c>
      <c r="D4724" s="1"/>
      <c r="E4724" s="1"/>
      <c r="F4724" s="1" t="str">
        <f>IFERROR(__xludf.DUMMYFUNCTION("GOOGLETRANSLATE(B4724, ""en"", ""fa"")
"),"مشاوره دوستیابی")</f>
        <v>مشاوره دوستیابی</v>
      </c>
      <c r="G4724" s="1" t="str">
        <f>IFERROR(__xludf.DUMMYFUNCTION("GOOGLETRANSLATE(C4724, ""en"", ""fa"")
"),"چگونه می توانم با ارواح و یا شبح شدن در دوستیابی آنلاین با لطف و درک رفتار کنم؟")</f>
        <v>چگونه می توانم با ارواح و یا شبح شدن در دوستیابی آنلاین با لطف و درک رفتار کنم؟</v>
      </c>
      <c r="H4724" s="1"/>
      <c r="I4724" s="1"/>
      <c r="J4724" s="1"/>
      <c r="K4724" s="1"/>
      <c r="L4724" s="1"/>
      <c r="M4724" s="1"/>
      <c r="N4724" s="1"/>
      <c r="O4724" s="1"/>
      <c r="P4724" s="1"/>
      <c r="Q4724" s="1"/>
      <c r="R4724" s="1"/>
      <c r="S4724" s="1"/>
      <c r="T4724" s="1"/>
      <c r="U4724" s="1"/>
      <c r="V4724" s="1"/>
      <c r="W4724" s="1"/>
      <c r="X4724" s="1"/>
      <c r="Y4724" s="1"/>
      <c r="Z4724" s="1"/>
      <c r="AA4724" s="1"/>
      <c r="AB4724" s="1"/>
    </row>
    <row r="4725" ht="50.25" customHeight="1">
      <c r="A4725" s="12">
        <v>4721.0</v>
      </c>
      <c r="B4725" s="13" t="s">
        <v>4379</v>
      </c>
      <c r="C4725" s="14" t="s">
        <v>4744</v>
      </c>
      <c r="D4725" s="1"/>
      <c r="E4725" s="1"/>
      <c r="F4725" s="1" t="str">
        <f>IFERROR(__xludf.DUMMYFUNCTION("GOOGLETRANSLATE(B4725, ""en"", ""fa"")
"),"مشاوره دوستیابی")</f>
        <v>مشاوره دوستیابی</v>
      </c>
      <c r="G4725" s="1" t="str">
        <f>IFERROR(__xludf.DUMMYFUNCTION("GOOGLETRANSLATE(C4725, ""en"", ""fa"")
"),"چند تکنیک برای مدیریت مکالمات متعدد و تطابقات احتمالی بدون احساس خستگی چیست؟")</f>
        <v>چند تکنیک برای مدیریت مکالمات متعدد و تطابقات احتمالی بدون احساس خستگی چیست؟</v>
      </c>
      <c r="H4725" s="1"/>
      <c r="I4725" s="1"/>
      <c r="J4725" s="1"/>
      <c r="K4725" s="1"/>
      <c r="L4725" s="1"/>
      <c r="M4725" s="1"/>
      <c r="N4725" s="1"/>
      <c r="O4725" s="1"/>
      <c r="P4725" s="1"/>
      <c r="Q4725" s="1"/>
      <c r="R4725" s="1"/>
      <c r="S4725" s="1"/>
      <c r="T4725" s="1"/>
      <c r="U4725" s="1"/>
      <c r="V4725" s="1"/>
      <c r="W4725" s="1"/>
      <c r="X4725" s="1"/>
      <c r="Y4725" s="1"/>
      <c r="Z4725" s="1"/>
      <c r="AA4725" s="1"/>
      <c r="AB4725" s="1"/>
    </row>
    <row r="4726" ht="50.25" customHeight="1">
      <c r="A4726" s="12">
        <v>4722.0</v>
      </c>
      <c r="B4726" s="13" t="s">
        <v>4379</v>
      </c>
      <c r="C4726" s="14" t="s">
        <v>4745</v>
      </c>
      <c r="D4726" s="1"/>
      <c r="E4726" s="1"/>
      <c r="F4726" s="1" t="str">
        <f>IFERROR(__xludf.DUMMYFUNCTION("GOOGLETRANSLATE(B4726, ""en"", ""fa"")
"),"مشاوره دوستیابی")</f>
        <v>مشاوره دوستیابی</v>
      </c>
      <c r="G4726" s="1" t="str">
        <f>IFERROR(__xludf.DUMMYFUNCTION("GOOGLETRANSLATE(C4726, ""en"", ""fa"")
"),"چگونه می توانم تعادل بین مداوم بودن و احترام گذاشتن به مرزهای دیگران را رعایت کنم؟")</f>
        <v>چگونه می توانم تعادل بین مداوم بودن و احترام گذاشتن به مرزهای دیگران را رعایت کنم؟</v>
      </c>
      <c r="H4726" s="1"/>
      <c r="I4726" s="1"/>
      <c r="J4726" s="1"/>
      <c r="K4726" s="1"/>
      <c r="L4726" s="1"/>
      <c r="M4726" s="1"/>
      <c r="N4726" s="1"/>
      <c r="O4726" s="1"/>
      <c r="P4726" s="1"/>
      <c r="Q4726" s="1"/>
      <c r="R4726" s="1"/>
      <c r="S4726" s="1"/>
      <c r="T4726" s="1"/>
      <c r="U4726" s="1"/>
      <c r="V4726" s="1"/>
      <c r="W4726" s="1"/>
      <c r="X4726" s="1"/>
      <c r="Y4726" s="1"/>
      <c r="Z4726" s="1"/>
      <c r="AA4726" s="1"/>
      <c r="AB4726" s="1"/>
    </row>
    <row r="4727" ht="50.25" customHeight="1">
      <c r="A4727" s="12">
        <v>4723.0</v>
      </c>
      <c r="B4727" s="13" t="s">
        <v>4379</v>
      </c>
      <c r="C4727" s="14" t="s">
        <v>4746</v>
      </c>
      <c r="D4727" s="1"/>
      <c r="E4727" s="1"/>
      <c r="F4727" s="1" t="str">
        <f>IFERROR(__xludf.DUMMYFUNCTION("GOOGLETRANSLATE(B4727, ""en"", ""fa"")
"),"مشاوره دوستیابی")</f>
        <v>مشاوره دوستیابی</v>
      </c>
      <c r="G4727" s="1" t="str">
        <f>IFERROR(__xludf.DUMMYFUNCTION("GOOGLETRANSLATE(C4727, ""en"", ""fa"")
"),"چند استراتژی برای تعیین و برقراری ارتباط با مرزهای شخصی در دوستیابی آنلاین چیست؟")</f>
        <v>چند استراتژی برای تعیین و برقراری ارتباط با مرزهای شخصی در دوستیابی آنلاین چیست؟</v>
      </c>
      <c r="H4727" s="1"/>
      <c r="I4727" s="1"/>
      <c r="J4727" s="1"/>
      <c r="K4727" s="1"/>
      <c r="L4727" s="1"/>
      <c r="M4727" s="1"/>
      <c r="N4727" s="1"/>
      <c r="O4727" s="1"/>
      <c r="P4727" s="1"/>
      <c r="Q4727" s="1"/>
      <c r="R4727" s="1"/>
      <c r="S4727" s="1"/>
      <c r="T4727" s="1"/>
      <c r="U4727" s="1"/>
      <c r="V4727" s="1"/>
      <c r="W4727" s="1"/>
      <c r="X4727" s="1"/>
      <c r="Y4727" s="1"/>
      <c r="Z4727" s="1"/>
      <c r="AA4727" s="1"/>
      <c r="AB4727" s="1"/>
    </row>
    <row r="4728" ht="50.25" customHeight="1">
      <c r="A4728" s="12">
        <v>4724.0</v>
      </c>
      <c r="B4728" s="13" t="s">
        <v>4379</v>
      </c>
      <c r="C4728" s="14" t="s">
        <v>4747</v>
      </c>
      <c r="D4728" s="1"/>
      <c r="E4728" s="1"/>
      <c r="F4728" s="1" t="str">
        <f>IFERROR(__xludf.DUMMYFUNCTION("GOOGLETRANSLATE(B4728, ""en"", ""fa"")
"),"مشاوره دوستیابی")</f>
        <v>مشاوره دوستیابی</v>
      </c>
      <c r="G4728" s="1" t="str">
        <f>IFERROR(__xludf.DUMMYFUNCTION("GOOGLETRANSLATE(C4728, ""en"", ""fa"")
"),"چگونه می توانم با رد شدن در دوستیابی آنلاین بدون اینکه اجازه دهم بر عزت نفس من تأثیر بگذارد، برخورد کنم؟")</f>
        <v>چگونه می توانم با رد شدن در دوستیابی آنلاین بدون اینکه اجازه دهم بر عزت نفس من تأثیر بگذارد، برخورد کنم؟</v>
      </c>
      <c r="H4728" s="1"/>
      <c r="I4728" s="1"/>
      <c r="J4728" s="1"/>
      <c r="K4728" s="1"/>
      <c r="L4728" s="1"/>
      <c r="M4728" s="1"/>
      <c r="N4728" s="1"/>
      <c r="O4728" s="1"/>
      <c r="P4728" s="1"/>
      <c r="Q4728" s="1"/>
      <c r="R4728" s="1"/>
      <c r="S4728" s="1"/>
      <c r="T4728" s="1"/>
      <c r="U4728" s="1"/>
      <c r="V4728" s="1"/>
      <c r="W4728" s="1"/>
      <c r="X4728" s="1"/>
      <c r="Y4728" s="1"/>
      <c r="Z4728" s="1"/>
      <c r="AA4728" s="1"/>
      <c r="AB4728" s="1"/>
    </row>
    <row r="4729" ht="50.25" customHeight="1">
      <c r="A4729" s="12">
        <v>4725.0</v>
      </c>
      <c r="B4729" s="13" t="s">
        <v>4379</v>
      </c>
      <c r="C4729" s="14" t="s">
        <v>4748</v>
      </c>
      <c r="D4729" s="1"/>
      <c r="E4729" s="1"/>
      <c r="F4729" s="1" t="str">
        <f>IFERROR(__xludf.DUMMYFUNCTION("GOOGLETRANSLATE(B4729, ""en"", ""fa"")
"),"مشاوره دوستیابی")</f>
        <v>مشاوره دوستیابی</v>
      </c>
      <c r="G4729" s="1" t="str">
        <f>IFERROR(__xludf.DUMMYFUNCTION("GOOGLETRANSLATE(C4729, ""en"", ""fa"")
"),"چند نکته برای حفظ لحن مثبت و محترمانه در مکالمات آنلاین چیست؟")</f>
        <v>چند نکته برای حفظ لحن مثبت و محترمانه در مکالمات آنلاین چیست؟</v>
      </c>
      <c r="H4729" s="1"/>
      <c r="I4729" s="1"/>
      <c r="J4729" s="1"/>
      <c r="K4729" s="1"/>
      <c r="L4729" s="1"/>
      <c r="M4729" s="1"/>
      <c r="N4729" s="1"/>
      <c r="O4729" s="1"/>
      <c r="P4729" s="1"/>
      <c r="Q4729" s="1"/>
      <c r="R4729" s="1"/>
      <c r="S4729" s="1"/>
      <c r="T4729" s="1"/>
      <c r="U4729" s="1"/>
      <c r="V4729" s="1"/>
      <c r="W4729" s="1"/>
      <c r="X4729" s="1"/>
      <c r="Y4729" s="1"/>
      <c r="Z4729" s="1"/>
      <c r="AA4729" s="1"/>
      <c r="AB4729" s="1"/>
    </row>
    <row r="4730" ht="50.25" customHeight="1">
      <c r="A4730" s="12">
        <v>4726.0</v>
      </c>
      <c r="B4730" s="13" t="s">
        <v>4379</v>
      </c>
      <c r="C4730" s="14" t="s">
        <v>4749</v>
      </c>
      <c r="D4730" s="1"/>
      <c r="E4730" s="1"/>
      <c r="F4730" s="1" t="str">
        <f>IFERROR(__xludf.DUMMYFUNCTION("GOOGLETRANSLATE(B4730, ""en"", ""fa"")
"),"مشاوره دوستیابی")</f>
        <v>مشاوره دوستیابی</v>
      </c>
      <c r="G4730" s="1" t="str">
        <f>IFERROR(__xludf.DUMMYFUNCTION("GOOGLETRANSLATE(C4730, ""en"", ""fa"")
"),"چگونه می توانم مسئله حریم خصوصی و به اشتراک گذاری اطلاعات شخصی در دوستیابی آنلاین را بررسی کنم؟")</f>
        <v>چگونه می توانم مسئله حریم خصوصی و به اشتراک گذاری اطلاعات شخصی در دوستیابی آنلاین را بررسی کنم؟</v>
      </c>
      <c r="H4730" s="1"/>
      <c r="I4730" s="1"/>
      <c r="J4730" s="1"/>
      <c r="K4730" s="1"/>
      <c r="L4730" s="1"/>
      <c r="M4730" s="1"/>
      <c r="N4730" s="1"/>
      <c r="O4730" s="1"/>
      <c r="P4730" s="1"/>
      <c r="Q4730" s="1"/>
      <c r="R4730" s="1"/>
      <c r="S4730" s="1"/>
      <c r="T4730" s="1"/>
      <c r="U4730" s="1"/>
      <c r="V4730" s="1"/>
      <c r="W4730" s="1"/>
      <c r="X4730" s="1"/>
      <c r="Y4730" s="1"/>
      <c r="Z4730" s="1"/>
      <c r="AA4730" s="1"/>
      <c r="AB4730" s="1"/>
    </row>
    <row r="4731" ht="50.25" customHeight="1">
      <c r="A4731" s="12">
        <v>4727.0</v>
      </c>
      <c r="B4731" s="13" t="s">
        <v>4379</v>
      </c>
      <c r="C4731" s="14" t="s">
        <v>4750</v>
      </c>
      <c r="D4731" s="1"/>
      <c r="E4731" s="1"/>
      <c r="F4731" s="1" t="str">
        <f>IFERROR(__xludf.DUMMYFUNCTION("GOOGLETRANSLATE(B4731, ""en"", ""fa"")
"),"مشاوره دوستیابی")</f>
        <v>مشاوره دوستیابی</v>
      </c>
      <c r="G4731" s="1" t="str">
        <f>IFERROR(__xludf.DUMMYFUNCTION("GOOGLETRANSLATE(C4731, ""en"", ""fa"")
"),"چند تکنیک برای مدیریت پیام های نامناسب یا بی احترامی در قرار آنلاین چیست؟")</f>
        <v>چند تکنیک برای مدیریت پیام های نامناسب یا بی احترامی در قرار آنلاین چیست؟</v>
      </c>
      <c r="H4731" s="1"/>
      <c r="I4731" s="1"/>
      <c r="J4731" s="1"/>
      <c r="K4731" s="1"/>
      <c r="L4731" s="1"/>
      <c r="M4731" s="1"/>
      <c r="N4731" s="1"/>
      <c r="O4731" s="1"/>
      <c r="P4731" s="1"/>
      <c r="Q4731" s="1"/>
      <c r="R4731" s="1"/>
      <c r="S4731" s="1"/>
      <c r="T4731" s="1"/>
      <c r="U4731" s="1"/>
      <c r="V4731" s="1"/>
      <c r="W4731" s="1"/>
      <c r="X4731" s="1"/>
      <c r="Y4731" s="1"/>
      <c r="Z4731" s="1"/>
      <c r="AA4731" s="1"/>
      <c r="AB4731" s="1"/>
    </row>
    <row r="4732" ht="50.25" customHeight="1">
      <c r="A4732" s="12">
        <v>4728.0</v>
      </c>
      <c r="B4732" s="13" t="s">
        <v>4379</v>
      </c>
      <c r="C4732" s="14" t="s">
        <v>4751</v>
      </c>
      <c r="D4732" s="1"/>
      <c r="E4732" s="1"/>
      <c r="F4732" s="1" t="str">
        <f>IFERROR(__xludf.DUMMYFUNCTION("GOOGLETRANSLATE(B4732, ""en"", ""fa"")
"),"مشاوره دوستیابی")</f>
        <v>مشاوره دوستیابی</v>
      </c>
      <c r="G4732" s="1" t="str">
        <f>IFERROR(__xludf.DUMMYFUNCTION("GOOGLETRANSLATE(C4732, ""en"", ""fa"")
"),"چگونه می توانم فشار ناشی از ملاقات حضوری با شخصی را پس از برقراری ارتباط آنلاین مدیریت کنم؟")</f>
        <v>چگونه می توانم فشار ناشی از ملاقات حضوری با شخصی را پس از برقراری ارتباط آنلاین مدیریت کنم؟</v>
      </c>
      <c r="H4732" s="1"/>
      <c r="I4732" s="1"/>
      <c r="J4732" s="1"/>
      <c r="K4732" s="1"/>
      <c r="L4732" s="1"/>
      <c r="M4732" s="1"/>
      <c r="N4732" s="1"/>
      <c r="O4732" s="1"/>
      <c r="P4732" s="1"/>
      <c r="Q4732" s="1"/>
      <c r="R4732" s="1"/>
      <c r="S4732" s="1"/>
      <c r="T4732" s="1"/>
      <c r="U4732" s="1"/>
      <c r="V4732" s="1"/>
      <c r="W4732" s="1"/>
      <c r="X4732" s="1"/>
      <c r="Y4732" s="1"/>
      <c r="Z4732" s="1"/>
      <c r="AA4732" s="1"/>
      <c r="AB4732" s="1"/>
    </row>
    <row r="4733" ht="50.25" customHeight="1">
      <c r="A4733" s="12">
        <v>4729.0</v>
      </c>
      <c r="B4733" s="13" t="s">
        <v>4379</v>
      </c>
      <c r="C4733" s="14" t="s">
        <v>4752</v>
      </c>
      <c r="D4733" s="1"/>
      <c r="E4733" s="1"/>
      <c r="F4733" s="1" t="str">
        <f>IFERROR(__xludf.DUMMYFUNCTION("GOOGLETRANSLATE(B4733, ""en"", ""fa"")
"),"مشاوره دوستیابی")</f>
        <v>مشاوره دوستیابی</v>
      </c>
      <c r="G4733" s="1" t="str">
        <f>IFERROR(__xludf.DUMMYFUNCTION("GOOGLETRANSLATE(C4733, ""en"", ""fa"")
"),"چند استراتژی برای رسیدگی به اختلافات یا درگیری هایی که ممکن است در مکالمات آنلاین ایجاد شود چیست؟")</f>
        <v>چند استراتژی برای رسیدگی به اختلافات یا درگیری هایی که ممکن است در مکالمات آنلاین ایجاد شود چیست؟</v>
      </c>
      <c r="H4733" s="1"/>
      <c r="I4733" s="1"/>
      <c r="J4733" s="1"/>
      <c r="K4733" s="1"/>
      <c r="L4733" s="1"/>
      <c r="M4733" s="1"/>
      <c r="N4733" s="1"/>
      <c r="O4733" s="1"/>
      <c r="P4733" s="1"/>
      <c r="Q4733" s="1"/>
      <c r="R4733" s="1"/>
      <c r="S4733" s="1"/>
      <c r="T4733" s="1"/>
      <c r="U4733" s="1"/>
      <c r="V4733" s="1"/>
      <c r="W4733" s="1"/>
      <c r="X4733" s="1"/>
      <c r="Y4733" s="1"/>
      <c r="Z4733" s="1"/>
      <c r="AA4733" s="1"/>
      <c r="AB4733" s="1"/>
    </row>
    <row r="4734" ht="50.25" customHeight="1">
      <c r="A4734" s="12">
        <v>4730.0</v>
      </c>
      <c r="B4734" s="13" t="s">
        <v>4379</v>
      </c>
      <c r="C4734" s="14" t="s">
        <v>4753</v>
      </c>
      <c r="D4734" s="1"/>
      <c r="E4734" s="1"/>
      <c r="F4734" s="1" t="str">
        <f>IFERROR(__xludf.DUMMYFUNCTION("GOOGLETRANSLATE(B4734, ""en"", ""fa"")
"),"مشاوره دوستیابی")</f>
        <v>مشاوره دوستیابی</v>
      </c>
      <c r="G4734" s="1" t="str">
        <f>IFERROR(__xludf.DUMMYFUNCTION("GOOGLETRANSLATE(C4734, ""en"", ""fa"")
"),"چگونه می توانم موضوع آداب معاشقه آنلاین را در مورد تصاویر نمایه و اشتراک گذاری عکس دنبال کنم؟")</f>
        <v>چگونه می توانم موضوع آداب معاشقه آنلاین را در مورد تصاویر نمایه و اشتراک گذاری عکس دنبال کنم؟</v>
      </c>
      <c r="H4734" s="1"/>
      <c r="I4734" s="1"/>
      <c r="J4734" s="1"/>
      <c r="K4734" s="1"/>
      <c r="L4734" s="1"/>
      <c r="M4734" s="1"/>
      <c r="N4734" s="1"/>
      <c r="O4734" s="1"/>
      <c r="P4734" s="1"/>
      <c r="Q4734" s="1"/>
      <c r="R4734" s="1"/>
      <c r="S4734" s="1"/>
      <c r="T4734" s="1"/>
      <c r="U4734" s="1"/>
      <c r="V4734" s="1"/>
      <c r="W4734" s="1"/>
      <c r="X4734" s="1"/>
      <c r="Y4734" s="1"/>
      <c r="Z4734" s="1"/>
      <c r="AA4734" s="1"/>
      <c r="AB4734" s="1"/>
    </row>
    <row r="4735" ht="50.25" customHeight="1">
      <c r="A4735" s="12">
        <v>4731.0</v>
      </c>
      <c r="B4735" s="13" t="s">
        <v>4379</v>
      </c>
      <c r="C4735" s="14" t="s">
        <v>4754</v>
      </c>
      <c r="D4735" s="1"/>
      <c r="E4735" s="1"/>
      <c r="F4735" s="1" t="str">
        <f>IFERROR(__xludf.DUMMYFUNCTION("GOOGLETRANSLATE(B4735, ""en"", ""fa"")
"),"مشاوره دوستیابی")</f>
        <v>مشاوره دوستیابی</v>
      </c>
      <c r="G4735" s="1" t="str">
        <f>IFERROR(__xludf.DUMMYFUNCTION("GOOGLETRANSLATE(C4735, ""en"", ""fa"")
"),"نکاتی برای توجه به تفاوت ها و حساسیت های فرهنگی در قرار آنلاین چیست؟")</f>
        <v>نکاتی برای توجه به تفاوت ها و حساسیت های فرهنگی در قرار آنلاین چیست؟</v>
      </c>
      <c r="H4735" s="1"/>
      <c r="I4735" s="1"/>
      <c r="J4735" s="1"/>
      <c r="K4735" s="1"/>
      <c r="L4735" s="1"/>
      <c r="M4735" s="1"/>
      <c r="N4735" s="1"/>
      <c r="O4735" s="1"/>
      <c r="P4735" s="1"/>
      <c r="Q4735" s="1"/>
      <c r="R4735" s="1"/>
      <c r="S4735" s="1"/>
      <c r="T4735" s="1"/>
      <c r="U4735" s="1"/>
      <c r="V4735" s="1"/>
      <c r="W4735" s="1"/>
      <c r="X4735" s="1"/>
      <c r="Y4735" s="1"/>
      <c r="Z4735" s="1"/>
      <c r="AA4735" s="1"/>
      <c r="AB4735" s="1"/>
    </row>
    <row r="4736" ht="50.25" customHeight="1">
      <c r="A4736" s="12">
        <v>4732.0</v>
      </c>
      <c r="B4736" s="13" t="s">
        <v>4379</v>
      </c>
      <c r="C4736" s="14" t="s">
        <v>4755</v>
      </c>
      <c r="D4736" s="1"/>
      <c r="E4736" s="1"/>
      <c r="F4736" s="1" t="str">
        <f>IFERROR(__xludf.DUMMYFUNCTION("GOOGLETRANSLATE(B4736, ""en"", ""fa"")
"),"مشاوره دوستیابی")</f>
        <v>مشاوره دوستیابی</v>
      </c>
      <c r="G4736" s="1" t="str">
        <f>IFERROR(__xludf.DUMMYFUNCTION("GOOGLETRANSLATE(C4736, ""en"", ""fa"")
"),"چگونه می توانم با موضوع صداقت و اصالت در پروفایل ها و گفتگوهای دوستیابی آنلاین برخورد کنم؟")</f>
        <v>چگونه می توانم با موضوع صداقت و اصالت در پروفایل ها و گفتگوهای دوستیابی آنلاین برخورد کنم؟</v>
      </c>
      <c r="H4736" s="1"/>
      <c r="I4736" s="1"/>
      <c r="J4736" s="1"/>
      <c r="K4736" s="1"/>
      <c r="L4736" s="1"/>
      <c r="M4736" s="1"/>
      <c r="N4736" s="1"/>
      <c r="O4736" s="1"/>
      <c r="P4736" s="1"/>
      <c r="Q4736" s="1"/>
      <c r="R4736" s="1"/>
      <c r="S4736" s="1"/>
      <c r="T4736" s="1"/>
      <c r="U4736" s="1"/>
      <c r="V4736" s="1"/>
      <c r="W4736" s="1"/>
      <c r="X4736" s="1"/>
      <c r="Y4736" s="1"/>
      <c r="Z4736" s="1"/>
      <c r="AA4736" s="1"/>
      <c r="AB4736" s="1"/>
    </row>
    <row r="4737" ht="50.25" customHeight="1">
      <c r="A4737" s="12">
        <v>4733.0</v>
      </c>
      <c r="B4737" s="13" t="s">
        <v>4379</v>
      </c>
      <c r="C4737" s="14" t="s">
        <v>4756</v>
      </c>
      <c r="D4737" s="1"/>
      <c r="E4737" s="1"/>
      <c r="F4737" s="1" t="str">
        <f>IFERROR(__xludf.DUMMYFUNCTION("GOOGLETRANSLATE(B4737, ""en"", ""fa"")
"),"مشاوره دوستیابی")</f>
        <v>مشاوره دوستیابی</v>
      </c>
      <c r="G4737" s="1" t="str">
        <f>IFERROR(__xludf.DUMMYFUNCTION("GOOGLETRANSLATE(C4737, ""en"", ""fa"")
"),"چند تکنیک برای پایان دادن به مکالمه یا رد کردن مودبانه قرار دوم چیست؟")</f>
        <v>چند تکنیک برای پایان دادن به مکالمه یا رد کردن مودبانه قرار دوم چیست؟</v>
      </c>
      <c r="H4737" s="1"/>
      <c r="I4737" s="1"/>
      <c r="J4737" s="1"/>
      <c r="K4737" s="1"/>
      <c r="L4737" s="1"/>
      <c r="M4737" s="1"/>
      <c r="N4737" s="1"/>
      <c r="O4737" s="1"/>
      <c r="P4737" s="1"/>
      <c r="Q4737" s="1"/>
      <c r="R4737" s="1"/>
      <c r="S4737" s="1"/>
      <c r="T4737" s="1"/>
      <c r="U4737" s="1"/>
      <c r="V4737" s="1"/>
      <c r="W4737" s="1"/>
      <c r="X4737" s="1"/>
      <c r="Y4737" s="1"/>
      <c r="Z4737" s="1"/>
      <c r="AA4737" s="1"/>
      <c r="AB4737" s="1"/>
    </row>
    <row r="4738" ht="50.25" customHeight="1">
      <c r="A4738" s="12">
        <v>4734.0</v>
      </c>
      <c r="B4738" s="13" t="s">
        <v>4379</v>
      </c>
      <c r="C4738" s="14" t="s">
        <v>4757</v>
      </c>
      <c r="D4738" s="1"/>
      <c r="E4738" s="1"/>
      <c r="F4738" s="1" t="str">
        <f>IFERROR(__xludf.DUMMYFUNCTION("GOOGLETRANSLATE(B4738, ""en"", ""fa"")
"),"مشاوره دوستیابی")</f>
        <v>مشاوره دوستیابی</v>
      </c>
      <c r="G4738" s="1" t="str">
        <f>IFERROR(__xludf.DUMMYFUNCTION("GOOGLETRANSLATE(C4738, ""en"", ""fa"")
"),"چگونه می توانم موضوع انحصار و تعریف رابطه در دوستیابی آنلاین را بررسی کنم؟")</f>
        <v>چگونه می توانم موضوع انحصار و تعریف رابطه در دوستیابی آنلاین را بررسی کنم؟</v>
      </c>
      <c r="H4738" s="1"/>
      <c r="I4738" s="1"/>
      <c r="J4738" s="1"/>
      <c r="K4738" s="1"/>
      <c r="L4738" s="1"/>
      <c r="M4738" s="1"/>
      <c r="N4738" s="1"/>
      <c r="O4738" s="1"/>
      <c r="P4738" s="1"/>
      <c r="Q4738" s="1"/>
      <c r="R4738" s="1"/>
      <c r="S4738" s="1"/>
      <c r="T4738" s="1"/>
      <c r="U4738" s="1"/>
      <c r="V4738" s="1"/>
      <c r="W4738" s="1"/>
      <c r="X4738" s="1"/>
      <c r="Y4738" s="1"/>
      <c r="Z4738" s="1"/>
      <c r="AA4738" s="1"/>
      <c r="AB4738" s="1"/>
    </row>
    <row r="4739" ht="50.25" customHeight="1">
      <c r="A4739" s="12">
        <v>4735.0</v>
      </c>
      <c r="B4739" s="13" t="s">
        <v>4379</v>
      </c>
      <c r="C4739" s="14" t="s">
        <v>4758</v>
      </c>
      <c r="D4739" s="1"/>
      <c r="E4739" s="1"/>
      <c r="F4739" s="1" t="str">
        <f>IFERROR(__xludf.DUMMYFUNCTION("GOOGLETRANSLATE(B4739, ""en"", ""fa"")
"),"مشاوره دوستیابی")</f>
        <v>مشاوره دوستیابی</v>
      </c>
      <c r="G4739" s="1" t="str">
        <f>IFERROR(__xludf.DUMMYFUNCTION("GOOGLETRANSLATE(C4739, ""en"", ""fa"")
"),"چند استراتژی برای مدیریت انتظارات و ثابت ماندن در مراحل اولیه دوستیابی آنلاین چیست؟")</f>
        <v>چند استراتژی برای مدیریت انتظارات و ثابت ماندن در مراحل اولیه دوستیابی آنلاین چیست؟</v>
      </c>
      <c r="H4739" s="1"/>
      <c r="I4739" s="1"/>
      <c r="J4739" s="1"/>
      <c r="K4739" s="1"/>
      <c r="L4739" s="1"/>
      <c r="M4739" s="1"/>
      <c r="N4739" s="1"/>
      <c r="O4739" s="1"/>
      <c r="P4739" s="1"/>
      <c r="Q4739" s="1"/>
      <c r="R4739" s="1"/>
      <c r="S4739" s="1"/>
      <c r="T4739" s="1"/>
      <c r="U4739" s="1"/>
      <c r="V4739" s="1"/>
      <c r="W4739" s="1"/>
      <c r="X4739" s="1"/>
      <c r="Y4739" s="1"/>
      <c r="Z4739" s="1"/>
      <c r="AA4739" s="1"/>
      <c r="AB4739" s="1"/>
    </row>
    <row r="4740" ht="50.25" customHeight="1">
      <c r="A4740" s="12">
        <v>4736.0</v>
      </c>
      <c r="B4740" s="13" t="s">
        <v>4379</v>
      </c>
      <c r="C4740" s="14" t="s">
        <v>4759</v>
      </c>
      <c r="D4740" s="1"/>
      <c r="E4740" s="1"/>
      <c r="F4740" s="1" t="str">
        <f>IFERROR(__xludf.DUMMYFUNCTION("GOOGLETRANSLATE(B4740, ""en"", ""fa"")
"),"مشاوره دوستیابی")</f>
        <v>مشاوره دوستیابی</v>
      </c>
      <c r="G4740" s="1" t="str">
        <f>IFERROR(__xludf.DUMMYFUNCTION("GOOGLETRANSLATE(C4740, ""en"", ""fa"")
"),"چگونه می توانم با مسئله خرد شدن نان یا بند آمدن در قراریابی آنلاین کنار بیایم؟")</f>
        <v>چگونه می توانم با مسئله خرد شدن نان یا بند آمدن در قراریابی آنلاین کنار بیایم؟</v>
      </c>
      <c r="H4740" s="1"/>
      <c r="I4740" s="1"/>
      <c r="J4740" s="1"/>
      <c r="K4740" s="1"/>
      <c r="L4740" s="1"/>
      <c r="M4740" s="1"/>
      <c r="N4740" s="1"/>
      <c r="O4740" s="1"/>
      <c r="P4740" s="1"/>
      <c r="Q4740" s="1"/>
      <c r="R4740" s="1"/>
      <c r="S4740" s="1"/>
      <c r="T4740" s="1"/>
      <c r="U4740" s="1"/>
      <c r="V4740" s="1"/>
      <c r="W4740" s="1"/>
      <c r="X4740" s="1"/>
      <c r="Y4740" s="1"/>
      <c r="Z4740" s="1"/>
      <c r="AA4740" s="1"/>
      <c r="AB4740" s="1"/>
    </row>
    <row r="4741" ht="50.25" customHeight="1">
      <c r="A4741" s="12">
        <v>4737.0</v>
      </c>
      <c r="B4741" s="13" t="s">
        <v>4379</v>
      </c>
      <c r="C4741" s="14" t="s">
        <v>4760</v>
      </c>
      <c r="D4741" s="1"/>
      <c r="E4741" s="1"/>
      <c r="F4741" s="1" t="str">
        <f>IFERROR(__xludf.DUMMYFUNCTION("GOOGLETRANSLATE(B4741, ""en"", ""fa"")
"),"مشاوره دوستیابی")</f>
        <v>مشاوره دوستیابی</v>
      </c>
      <c r="G4741" s="1" t="str">
        <f>IFERROR(__xludf.DUMMYFUNCTION("GOOGLETRANSLATE(C4741, ""en"", ""fa"")
"),"نکاتی برای رعایت احترام و ملاحظه در هنگام لغو یا تغییر تاریخ چیست؟")</f>
        <v>نکاتی برای رعایت احترام و ملاحظه در هنگام لغو یا تغییر تاریخ چیست؟</v>
      </c>
      <c r="H4741" s="1"/>
      <c r="I4741" s="1"/>
      <c r="J4741" s="1"/>
      <c r="K4741" s="1"/>
      <c r="L4741" s="1"/>
      <c r="M4741" s="1"/>
      <c r="N4741" s="1"/>
      <c r="O4741" s="1"/>
      <c r="P4741" s="1"/>
      <c r="Q4741" s="1"/>
      <c r="R4741" s="1"/>
      <c r="S4741" s="1"/>
      <c r="T4741" s="1"/>
      <c r="U4741" s="1"/>
      <c r="V4741" s="1"/>
      <c r="W4741" s="1"/>
      <c r="X4741" s="1"/>
      <c r="Y4741" s="1"/>
      <c r="Z4741" s="1"/>
      <c r="AA4741" s="1"/>
      <c r="AB4741" s="1"/>
    </row>
    <row r="4742" ht="50.25" customHeight="1">
      <c r="A4742" s="12">
        <v>4738.0</v>
      </c>
      <c r="B4742" s="13" t="s">
        <v>4379</v>
      </c>
      <c r="C4742" s="14" t="s">
        <v>4761</v>
      </c>
      <c r="D4742" s="1"/>
      <c r="E4742" s="1"/>
      <c r="F4742" s="1" t="str">
        <f>IFERROR(__xludf.DUMMYFUNCTION("GOOGLETRANSLATE(B4742, ""en"", ""fa"")
"),"مشاوره دوستیابی")</f>
        <v>مشاوره دوستیابی</v>
      </c>
      <c r="G4742" s="1" t="str">
        <f>IFERROR(__xludf.DUMMYFUNCTION("GOOGLETRANSLATE(C4742, ""en"", ""fa"")
"),"چگونه می توانم موضوع آداب معاشرت آنلاین را در مورد شروع صمیمیت فیزیکی دنبال کنم؟")</f>
        <v>چگونه می توانم موضوع آداب معاشرت آنلاین را در مورد شروع صمیمیت فیزیکی دنبال کنم؟</v>
      </c>
      <c r="H4742" s="1"/>
      <c r="I4742" s="1"/>
      <c r="J4742" s="1"/>
      <c r="K4742" s="1"/>
      <c r="L4742" s="1"/>
      <c r="M4742" s="1"/>
      <c r="N4742" s="1"/>
      <c r="O4742" s="1"/>
      <c r="P4742" s="1"/>
      <c r="Q4742" s="1"/>
      <c r="R4742" s="1"/>
      <c r="S4742" s="1"/>
      <c r="T4742" s="1"/>
      <c r="U4742" s="1"/>
      <c r="V4742" s="1"/>
      <c r="W4742" s="1"/>
      <c r="X4742" s="1"/>
      <c r="Y4742" s="1"/>
      <c r="Z4742" s="1"/>
      <c r="AA4742" s="1"/>
      <c r="AB4742" s="1"/>
    </row>
    <row r="4743" ht="50.25" customHeight="1">
      <c r="A4743" s="12">
        <v>4739.0</v>
      </c>
      <c r="B4743" s="13" t="s">
        <v>4379</v>
      </c>
      <c r="C4743" s="14" t="s">
        <v>4762</v>
      </c>
      <c r="D4743" s="1"/>
      <c r="E4743" s="1"/>
      <c r="F4743" s="1" t="str">
        <f>IFERROR(__xludf.DUMMYFUNCTION("GOOGLETRANSLATE(B4743, ""en"", ""fa"")
"),"مشاوره دوستیابی")</f>
        <v>مشاوره دوستیابی</v>
      </c>
      <c r="G4743" s="1" t="str">
        <f>IFERROR(__xludf.DUMMYFUNCTION("GOOGLETRANSLATE(C4743, ""en"", ""fa"")
"),"چند تکنیک برای رسیدگی به موضوع کلاهبرداری های دوستیابی آنلاین و محافظت از اطلاعات شخصی من چیست؟")</f>
        <v>چند تکنیک برای رسیدگی به موضوع کلاهبرداری های دوستیابی آنلاین و محافظت از اطلاعات شخصی من چیست؟</v>
      </c>
      <c r="H4743" s="1"/>
      <c r="I4743" s="1"/>
      <c r="J4743" s="1"/>
      <c r="K4743" s="1"/>
      <c r="L4743" s="1"/>
      <c r="M4743" s="1"/>
      <c r="N4743" s="1"/>
      <c r="O4743" s="1"/>
      <c r="P4743" s="1"/>
      <c r="Q4743" s="1"/>
      <c r="R4743" s="1"/>
      <c r="S4743" s="1"/>
      <c r="T4743" s="1"/>
      <c r="U4743" s="1"/>
      <c r="V4743" s="1"/>
      <c r="W4743" s="1"/>
      <c r="X4743" s="1"/>
      <c r="Y4743" s="1"/>
      <c r="Z4743" s="1"/>
      <c r="AA4743" s="1"/>
      <c r="AB4743" s="1"/>
    </row>
    <row r="4744" ht="50.25" customHeight="1">
      <c r="A4744" s="12">
        <v>4740.0</v>
      </c>
      <c r="B4744" s="13" t="s">
        <v>4379</v>
      </c>
      <c r="C4744" s="14" t="s">
        <v>4763</v>
      </c>
      <c r="D4744" s="1"/>
      <c r="E4744" s="1"/>
      <c r="F4744" s="1" t="str">
        <f>IFERROR(__xludf.DUMMYFUNCTION("GOOGLETRANSLATE(B4744, ""en"", ""fa"")
"),"مشاوره دوستیابی")</f>
        <v>مشاوره دوستیابی</v>
      </c>
      <c r="G4744" s="1" t="str">
        <f>IFERROR(__xludf.DUMMYFUNCTION("GOOGLETRANSLATE(C4744, ""en"", ""fa"")
"),"چگونه می توانم مشکل خستگی و فرسودگی دوستیابی آنلاین را مدیریت کنم؟")</f>
        <v>چگونه می توانم مشکل خستگی و فرسودگی دوستیابی آنلاین را مدیریت کنم؟</v>
      </c>
      <c r="H4744" s="1"/>
      <c r="I4744" s="1"/>
      <c r="J4744" s="1"/>
      <c r="K4744" s="1"/>
      <c r="L4744" s="1"/>
      <c r="M4744" s="1"/>
      <c r="N4744" s="1"/>
      <c r="O4744" s="1"/>
      <c r="P4744" s="1"/>
      <c r="Q4744" s="1"/>
      <c r="R4744" s="1"/>
      <c r="S4744" s="1"/>
      <c r="T4744" s="1"/>
      <c r="U4744" s="1"/>
      <c r="V4744" s="1"/>
      <c r="W4744" s="1"/>
      <c r="X4744" s="1"/>
      <c r="Y4744" s="1"/>
      <c r="Z4744" s="1"/>
      <c r="AA4744" s="1"/>
      <c r="AB4744" s="1"/>
    </row>
    <row r="4745" ht="50.25" customHeight="1">
      <c r="A4745" s="12">
        <v>4741.0</v>
      </c>
      <c r="B4745" s="13" t="s">
        <v>4379</v>
      </c>
      <c r="C4745" s="14" t="s">
        <v>4764</v>
      </c>
      <c r="D4745" s="1"/>
      <c r="E4745" s="1"/>
      <c r="F4745" s="1" t="str">
        <f>IFERROR(__xludf.DUMMYFUNCTION("GOOGLETRANSLATE(B4745, ""en"", ""fa"")
"),"مشاوره دوستیابی")</f>
        <v>مشاوره دوستیابی</v>
      </c>
      <c r="G4745" s="1" t="str">
        <f>IFERROR(__xludf.DUMMYFUNCTION("GOOGLETRANSLATE(C4745, ""en"", ""fa"")
"),"چند استراتژی برای رسیدگی به موضوع گربه‌ماهی یا مواجهه با پروفایل‌های نادرست در دوستیابی آنلاین چیست؟")</f>
        <v>چند استراتژی برای رسیدگی به موضوع گربه‌ماهی یا مواجهه با پروفایل‌های نادرست در دوستیابی آنلاین چیست؟</v>
      </c>
      <c r="H4745" s="1"/>
      <c r="I4745" s="1"/>
      <c r="J4745" s="1"/>
      <c r="K4745" s="1"/>
      <c r="L4745" s="1"/>
      <c r="M4745" s="1"/>
      <c r="N4745" s="1"/>
      <c r="O4745" s="1"/>
      <c r="P4745" s="1"/>
      <c r="Q4745" s="1"/>
      <c r="R4745" s="1"/>
      <c r="S4745" s="1"/>
      <c r="T4745" s="1"/>
      <c r="U4745" s="1"/>
      <c r="V4745" s="1"/>
      <c r="W4745" s="1"/>
      <c r="X4745" s="1"/>
      <c r="Y4745" s="1"/>
      <c r="Z4745" s="1"/>
      <c r="AA4745" s="1"/>
      <c r="AB4745" s="1"/>
    </row>
    <row r="4746" ht="50.25" customHeight="1">
      <c r="A4746" s="12">
        <v>4742.0</v>
      </c>
      <c r="B4746" s="13" t="s">
        <v>4379</v>
      </c>
      <c r="C4746" s="14" t="s">
        <v>4765</v>
      </c>
      <c r="D4746" s="1"/>
      <c r="E4746" s="1"/>
      <c r="F4746" s="1" t="str">
        <f>IFERROR(__xludf.DUMMYFUNCTION("GOOGLETRANSLATE(B4746, ""en"", ""fa"")
"),"مشاوره دوستیابی")</f>
        <v>مشاوره دوستیابی</v>
      </c>
      <c r="G4746" s="1" t="str">
        <f>IFERROR(__xludf.DUMMYFUNCTION("GOOGLETRANSLATE(C4746, ""en"", ""fa"")
"),"چگونه می توانم تعادل بین مداوم بودن و احترام گذاشتن به میل شخصی برای مکان یا زمان را رعایت کنم؟")</f>
        <v>چگونه می توانم تعادل بین مداوم بودن و احترام گذاشتن به میل شخصی برای مکان یا زمان را رعایت کنم؟</v>
      </c>
      <c r="H4746" s="1"/>
      <c r="I4746" s="1"/>
      <c r="J4746" s="1"/>
      <c r="K4746" s="1"/>
      <c r="L4746" s="1"/>
      <c r="M4746" s="1"/>
      <c r="N4746" s="1"/>
      <c r="O4746" s="1"/>
      <c r="P4746" s="1"/>
      <c r="Q4746" s="1"/>
      <c r="R4746" s="1"/>
      <c r="S4746" s="1"/>
      <c r="T4746" s="1"/>
      <c r="U4746" s="1"/>
      <c r="V4746" s="1"/>
      <c r="W4746" s="1"/>
      <c r="X4746" s="1"/>
      <c r="Y4746" s="1"/>
      <c r="Z4746" s="1"/>
      <c r="AA4746" s="1"/>
      <c r="AB4746" s="1"/>
    </row>
    <row r="4747" ht="50.25" customHeight="1">
      <c r="A4747" s="12">
        <v>4743.0</v>
      </c>
      <c r="B4747" s="13" t="s">
        <v>4379</v>
      </c>
      <c r="C4747" s="14" t="s">
        <v>4766</v>
      </c>
      <c r="D4747" s="1"/>
      <c r="E4747" s="1"/>
      <c r="F4747" s="1" t="str">
        <f>IFERROR(__xludf.DUMMYFUNCTION("GOOGLETRANSLATE(B4747, ""en"", ""fa"")
"),"مشاوره دوستیابی")</f>
        <v>مشاوره دوستیابی</v>
      </c>
      <c r="G4747" s="1" t="str">
        <f>IFERROR(__xludf.DUMMYFUNCTION("GOOGLETRANSLATE(C4747, ""en"", ""fa"")
"),"نکاتی برای تمرین آداب قرار ملاقات آنلاین در مورد جریان گفتگو و زمان پاسخ چیست؟")</f>
        <v>نکاتی برای تمرین آداب قرار ملاقات آنلاین در مورد جریان گفتگو و زمان پاسخ چیست؟</v>
      </c>
      <c r="H4747" s="1"/>
      <c r="I4747" s="1"/>
      <c r="J4747" s="1"/>
      <c r="K4747" s="1"/>
      <c r="L4747" s="1"/>
      <c r="M4747" s="1"/>
      <c r="N4747" s="1"/>
      <c r="O4747" s="1"/>
      <c r="P4747" s="1"/>
      <c r="Q4747" s="1"/>
      <c r="R4747" s="1"/>
      <c r="S4747" s="1"/>
      <c r="T4747" s="1"/>
      <c r="U4747" s="1"/>
      <c r="V4747" s="1"/>
      <c r="W4747" s="1"/>
      <c r="X4747" s="1"/>
      <c r="Y4747" s="1"/>
      <c r="Z4747" s="1"/>
      <c r="AA4747" s="1"/>
      <c r="AB4747" s="1"/>
    </row>
    <row r="4748" ht="50.25" customHeight="1">
      <c r="A4748" s="12">
        <v>4744.0</v>
      </c>
      <c r="B4748" s="13" t="s">
        <v>4379</v>
      </c>
      <c r="C4748" s="14" t="s">
        <v>4767</v>
      </c>
      <c r="D4748" s="1"/>
      <c r="E4748" s="1"/>
      <c r="F4748" s="1" t="str">
        <f>IFERROR(__xludf.DUMMYFUNCTION("GOOGLETRANSLATE(B4748, ""en"", ""fa"")
"),"مشاوره دوستیابی")</f>
        <v>مشاوره دوستیابی</v>
      </c>
      <c r="G4748" s="1" t="str">
        <f>IFERROR(__xludf.DUMMYFUNCTION("GOOGLETRANSLATE(C4748, ""en"", ""fa"")
"),"چگونه می توانم با موضوع خرده نان یا هدایت شدن بدون قصد روشن در دوستیابی آنلاین مقابله کنم؟")</f>
        <v>چگونه می توانم با موضوع خرده نان یا هدایت شدن بدون قصد روشن در دوستیابی آنلاین مقابله کنم؟</v>
      </c>
      <c r="H4748" s="1"/>
      <c r="I4748" s="1"/>
      <c r="J4748" s="1"/>
      <c r="K4748" s="1"/>
      <c r="L4748" s="1"/>
      <c r="M4748" s="1"/>
      <c r="N4748" s="1"/>
      <c r="O4748" s="1"/>
      <c r="P4748" s="1"/>
      <c r="Q4748" s="1"/>
      <c r="R4748" s="1"/>
      <c r="S4748" s="1"/>
      <c r="T4748" s="1"/>
      <c r="U4748" s="1"/>
      <c r="V4748" s="1"/>
      <c r="W4748" s="1"/>
      <c r="X4748" s="1"/>
      <c r="Y4748" s="1"/>
      <c r="Z4748" s="1"/>
      <c r="AA4748" s="1"/>
      <c r="AB4748" s="1"/>
    </row>
    <row r="4749" ht="50.25" customHeight="1">
      <c r="A4749" s="12">
        <v>4745.0</v>
      </c>
      <c r="B4749" s="13" t="s">
        <v>4379</v>
      </c>
      <c r="C4749" s="14" t="s">
        <v>4768</v>
      </c>
      <c r="D4749" s="1"/>
      <c r="E4749" s="1"/>
      <c r="F4749" s="1" t="str">
        <f>IFERROR(__xludf.DUMMYFUNCTION("GOOGLETRANSLATE(B4749, ""en"", ""fa"")
"),"مشاوره دوستیابی")</f>
        <v>مشاوره دوستیابی</v>
      </c>
      <c r="G4749" s="1" t="str">
        <f>IFERROR(__xludf.DUMMYFUNCTION("GOOGLETRANSLATE(C4749, ""en"", ""fa"")
"),"چند تکنیک برای رد کردن مودبانه و محترمانه پیشرفت های ناخواسته یا نامناسب در قرار آنلاین چیست؟")</f>
        <v>چند تکنیک برای رد کردن مودبانه و محترمانه پیشرفت های ناخواسته یا نامناسب در قرار آنلاین چیست؟</v>
      </c>
      <c r="H4749" s="1"/>
      <c r="I4749" s="1"/>
      <c r="J4749" s="1"/>
      <c r="K4749" s="1"/>
      <c r="L4749" s="1"/>
      <c r="M4749" s="1"/>
      <c r="N4749" s="1"/>
      <c r="O4749" s="1"/>
      <c r="P4749" s="1"/>
      <c r="Q4749" s="1"/>
      <c r="R4749" s="1"/>
      <c r="S4749" s="1"/>
      <c r="T4749" s="1"/>
      <c r="U4749" s="1"/>
      <c r="V4749" s="1"/>
      <c r="W4749" s="1"/>
      <c r="X4749" s="1"/>
      <c r="Y4749" s="1"/>
      <c r="Z4749" s="1"/>
      <c r="AA4749" s="1"/>
      <c r="AB4749" s="1"/>
    </row>
    <row r="4750" ht="50.25" customHeight="1">
      <c r="A4750" s="12">
        <v>4746.0</v>
      </c>
      <c r="B4750" s="13" t="s">
        <v>4379</v>
      </c>
      <c r="C4750" s="14" t="s">
        <v>4769</v>
      </c>
      <c r="D4750" s="1"/>
      <c r="E4750" s="1"/>
      <c r="F4750" s="1" t="str">
        <f>IFERROR(__xludf.DUMMYFUNCTION("GOOGLETRANSLATE(B4750, ""en"", ""fa"")
"),"مشاوره دوستیابی")</f>
        <v>مشاوره دوستیابی</v>
      </c>
      <c r="G4750" s="1" t="str">
        <f>IFERROR(__xludf.DUMMYFUNCTION("GOOGLETRANSLATE(C4750, ""en"", ""fa"")
"),"وقتی صحبت از افشای اطلاعات شخصی یا تجربیات گذشته به میان می آید، چگونه می توانم موضوع آداب معاشقه آنلاین را بررسی کنم؟")</f>
        <v>وقتی صحبت از افشای اطلاعات شخصی یا تجربیات گذشته به میان می آید، چگونه می توانم موضوع آداب معاشقه آنلاین را بررسی کنم؟</v>
      </c>
      <c r="H4750" s="1"/>
      <c r="I4750" s="1"/>
      <c r="J4750" s="1"/>
      <c r="K4750" s="1"/>
      <c r="L4750" s="1"/>
      <c r="M4750" s="1"/>
      <c r="N4750" s="1"/>
      <c r="O4750" s="1"/>
      <c r="P4750" s="1"/>
      <c r="Q4750" s="1"/>
      <c r="R4750" s="1"/>
      <c r="S4750" s="1"/>
      <c r="T4750" s="1"/>
      <c r="U4750" s="1"/>
      <c r="V4750" s="1"/>
      <c r="W4750" s="1"/>
      <c r="X4750" s="1"/>
      <c r="Y4750" s="1"/>
      <c r="Z4750" s="1"/>
      <c r="AA4750" s="1"/>
      <c r="AB4750" s="1"/>
    </row>
    <row r="4751" ht="50.25" customHeight="1">
      <c r="A4751" s="12">
        <v>4747.0</v>
      </c>
      <c r="B4751" s="13" t="s">
        <v>4379</v>
      </c>
      <c r="C4751" s="14" t="s">
        <v>4770</v>
      </c>
      <c r="D4751" s="1"/>
      <c r="E4751" s="1"/>
      <c r="F4751" s="1" t="str">
        <f>IFERROR(__xludf.DUMMYFUNCTION("GOOGLETRANSLATE(B4751, ""en"", ""fa"")
"),"مشاوره دوستیابی")</f>
        <v>مشاوره دوستیابی</v>
      </c>
      <c r="G4751" s="1" t="str">
        <f>IFERROR(__xludf.DUMMYFUNCTION("GOOGLETRANSLATE(C4751, ""en"", ""fa"")
"),"چه راهکارهایی برای مدیریت مسئله آداب معاشرت آنلاین در مورد برخورد با شرکای سابق در یک پلتفرم وجود دارد؟")</f>
        <v>چه راهکارهایی برای مدیریت مسئله آداب معاشرت آنلاین در مورد برخورد با شرکای سابق در یک پلتفرم وجود دارد؟</v>
      </c>
      <c r="H4751" s="1"/>
      <c r="I4751" s="1"/>
      <c r="J4751" s="1"/>
      <c r="K4751" s="1"/>
      <c r="L4751" s="1"/>
      <c r="M4751" s="1"/>
      <c r="N4751" s="1"/>
      <c r="O4751" s="1"/>
      <c r="P4751" s="1"/>
      <c r="Q4751" s="1"/>
      <c r="R4751" s="1"/>
      <c r="S4751" s="1"/>
      <c r="T4751" s="1"/>
      <c r="U4751" s="1"/>
      <c r="V4751" s="1"/>
      <c r="W4751" s="1"/>
      <c r="X4751" s="1"/>
      <c r="Y4751" s="1"/>
      <c r="Z4751" s="1"/>
      <c r="AA4751" s="1"/>
      <c r="AB4751" s="1"/>
    </row>
    <row r="4752" ht="50.25" customHeight="1">
      <c r="A4752" s="12">
        <v>4748.0</v>
      </c>
      <c r="B4752" s="13" t="s">
        <v>4379</v>
      </c>
      <c r="C4752" s="14" t="s">
        <v>4771</v>
      </c>
      <c r="D4752" s="1"/>
      <c r="E4752" s="1"/>
      <c r="F4752" s="1" t="str">
        <f>IFERROR(__xludf.DUMMYFUNCTION("GOOGLETRANSLATE(B4752, ""en"", ""fa"")
"),"مشاوره دوستیابی")</f>
        <v>مشاوره دوستیابی</v>
      </c>
      <c r="G4752" s="1" t="str">
        <f>IFERROR(__xludf.DUMMYFUNCTION("GOOGLETRANSLATE(C4752, ""en"", ""fa"")
"),"چگونه می توانم با موضوع عدم ارتباط یا سوء تفاهم در مکالمات دوستیابی آنلاین برخورد کنم؟")</f>
        <v>چگونه می توانم با موضوع عدم ارتباط یا سوء تفاهم در مکالمات دوستیابی آنلاین برخورد کنم؟</v>
      </c>
      <c r="H4752" s="1"/>
      <c r="I4752" s="1"/>
      <c r="J4752" s="1"/>
      <c r="K4752" s="1"/>
      <c r="L4752" s="1"/>
      <c r="M4752" s="1"/>
      <c r="N4752" s="1"/>
      <c r="O4752" s="1"/>
      <c r="P4752" s="1"/>
      <c r="Q4752" s="1"/>
      <c r="R4752" s="1"/>
      <c r="S4752" s="1"/>
      <c r="T4752" s="1"/>
      <c r="U4752" s="1"/>
      <c r="V4752" s="1"/>
      <c r="W4752" s="1"/>
      <c r="X4752" s="1"/>
      <c r="Y4752" s="1"/>
      <c r="Z4752" s="1"/>
      <c r="AA4752" s="1"/>
      <c r="AB4752" s="1"/>
    </row>
    <row r="4753" ht="50.25" customHeight="1">
      <c r="A4753" s="12">
        <v>4749.0</v>
      </c>
      <c r="B4753" s="13" t="s">
        <v>4379</v>
      </c>
      <c r="C4753" s="14" t="s">
        <v>4772</v>
      </c>
      <c r="D4753" s="1"/>
      <c r="E4753" s="1"/>
      <c r="F4753" s="1" t="str">
        <f>IFERROR(__xludf.DUMMYFUNCTION("GOOGLETRANSLATE(B4753, ""en"", ""fa"")
"),"مشاوره دوستیابی")</f>
        <v>مشاوره دوستیابی</v>
      </c>
      <c r="G4753" s="1" t="str">
        <f>IFERROR(__xludf.DUMMYFUNCTION("GOOGLETRANSLATE(C4753, ""en"", ""fa"")
"),"نکاتی برای رعایت آداب قرار آنلاین در مورد برنامه ریزی و تأیید تاریخ چیست؟")</f>
        <v>نکاتی برای رعایت آداب قرار آنلاین در مورد برنامه ریزی و تأیید تاریخ چیست؟</v>
      </c>
      <c r="H4753" s="1"/>
      <c r="I4753" s="1"/>
      <c r="J4753" s="1"/>
      <c r="K4753" s="1"/>
      <c r="L4753" s="1"/>
      <c r="M4753" s="1"/>
      <c r="N4753" s="1"/>
      <c r="O4753" s="1"/>
      <c r="P4753" s="1"/>
      <c r="Q4753" s="1"/>
      <c r="R4753" s="1"/>
      <c r="S4753" s="1"/>
      <c r="T4753" s="1"/>
      <c r="U4753" s="1"/>
      <c r="V4753" s="1"/>
      <c r="W4753" s="1"/>
      <c r="X4753" s="1"/>
      <c r="Y4753" s="1"/>
      <c r="Z4753" s="1"/>
      <c r="AA4753" s="1"/>
      <c r="AB4753" s="1"/>
    </row>
    <row r="4754" ht="50.25" customHeight="1">
      <c r="A4754" s="12">
        <v>4750.0</v>
      </c>
      <c r="B4754" s="13" t="s">
        <v>4379</v>
      </c>
      <c r="C4754" s="14" t="s">
        <v>4773</v>
      </c>
      <c r="D4754" s="1"/>
      <c r="E4754" s="1"/>
      <c r="F4754" s="1" t="str">
        <f>IFERROR(__xludf.DUMMYFUNCTION("GOOGLETRANSLATE(B4754, ""en"", ""fa"")
"),"مشاوره دوستیابی")</f>
        <v>مشاوره دوستیابی</v>
      </c>
      <c r="G4754" s="1" t="str">
        <f>IFERROR(__xludf.DUMMYFUNCTION("GOOGLETRANSLATE(C4754, ""en"", ""fa"")
"),"چگونه می توانم موضوع آداب معاشرت آنلاین را در مورد بحث در مورد برنامه های آینده یا سازگاری طولانی مدت بررسی کنم؟")</f>
        <v>چگونه می توانم موضوع آداب معاشرت آنلاین را در مورد بحث در مورد برنامه های آینده یا سازگاری طولانی مدت بررسی کنم؟</v>
      </c>
      <c r="H4754" s="1"/>
      <c r="I4754" s="1"/>
      <c r="J4754" s="1"/>
      <c r="K4754" s="1"/>
      <c r="L4754" s="1"/>
      <c r="M4754" s="1"/>
      <c r="N4754" s="1"/>
      <c r="O4754" s="1"/>
      <c r="P4754" s="1"/>
      <c r="Q4754" s="1"/>
      <c r="R4754" s="1"/>
      <c r="S4754" s="1"/>
      <c r="T4754" s="1"/>
      <c r="U4754" s="1"/>
      <c r="V4754" s="1"/>
      <c r="W4754" s="1"/>
      <c r="X4754" s="1"/>
      <c r="Y4754" s="1"/>
      <c r="Z4754" s="1"/>
      <c r="AA4754" s="1"/>
      <c r="AB4754" s="1"/>
    </row>
    <row r="4755" ht="50.25" customHeight="1">
      <c r="A4755" s="12">
        <v>4751.0</v>
      </c>
      <c r="B4755" s="13" t="s">
        <v>4379</v>
      </c>
      <c r="C4755" s="14" t="s">
        <v>4774</v>
      </c>
      <c r="D4755" s="1"/>
      <c r="E4755" s="1"/>
      <c r="F4755" s="1" t="str">
        <f>IFERROR(__xludf.DUMMYFUNCTION("GOOGLETRANSLATE(B4755, ""en"", ""fa"")
"),"مشاوره دوستیابی")</f>
        <v>مشاوره دوستیابی</v>
      </c>
      <c r="G4755" s="1" t="str">
        <f>IFERROR(__xludf.DUMMYFUNCTION("GOOGLETRANSLATE(C4755, ""en"", ""fa"")
"),"چند تکنیک برای رسیدگی به مسئله شبح‌سازی یا قطع ارتباط ناگهانی در قرار آنلاین چیست؟")</f>
        <v>چند تکنیک برای رسیدگی به مسئله شبح‌سازی یا قطع ارتباط ناگهانی در قرار آنلاین چیست؟</v>
      </c>
      <c r="H4755" s="1"/>
      <c r="I4755" s="1"/>
      <c r="J4755" s="1"/>
      <c r="K4755" s="1"/>
      <c r="L4755" s="1"/>
      <c r="M4755" s="1"/>
      <c r="N4755" s="1"/>
      <c r="O4755" s="1"/>
      <c r="P4755" s="1"/>
      <c r="Q4755" s="1"/>
      <c r="R4755" s="1"/>
      <c r="S4755" s="1"/>
      <c r="T4755" s="1"/>
      <c r="U4755" s="1"/>
      <c r="V4755" s="1"/>
      <c r="W4755" s="1"/>
      <c r="X4755" s="1"/>
      <c r="Y4755" s="1"/>
      <c r="Z4755" s="1"/>
      <c r="AA4755" s="1"/>
      <c r="AB4755" s="1"/>
    </row>
    <row r="4756" ht="50.25" customHeight="1">
      <c r="A4756" s="12">
        <v>4752.0</v>
      </c>
      <c r="B4756" s="13" t="s">
        <v>4379</v>
      </c>
      <c r="C4756" s="14" t="s">
        <v>4775</v>
      </c>
      <c r="D4756" s="1"/>
      <c r="E4756" s="1"/>
      <c r="F4756" s="1" t="str">
        <f>IFERROR(__xludf.DUMMYFUNCTION("GOOGLETRANSLATE(B4756, ""en"", ""fa"")
"),"مشاوره دوستیابی")</f>
        <v>مشاوره دوستیابی</v>
      </c>
      <c r="G4756" s="1" t="str">
        <f>IFERROR(__xludf.DUMMYFUNCTION("GOOGLETRANSLATE(C4756, ""en"", ""fa"")
"),"چگونه می توانم موضوع آداب قرار آنلاین را در مورد ابراز علاقه یا جذابیت بدون عبور از مرزها مدیریت کنم؟")</f>
        <v>چگونه می توانم موضوع آداب قرار آنلاین را در مورد ابراز علاقه یا جذابیت بدون عبور از مرزها مدیریت کنم؟</v>
      </c>
      <c r="H4756" s="1"/>
      <c r="I4756" s="1"/>
      <c r="J4756" s="1"/>
      <c r="K4756" s="1"/>
      <c r="L4756" s="1"/>
      <c r="M4756" s="1"/>
      <c r="N4756" s="1"/>
      <c r="O4756" s="1"/>
      <c r="P4756" s="1"/>
      <c r="Q4756" s="1"/>
      <c r="R4756" s="1"/>
      <c r="S4756" s="1"/>
      <c r="T4756" s="1"/>
      <c r="U4756" s="1"/>
      <c r="V4756" s="1"/>
      <c r="W4756" s="1"/>
      <c r="X4756" s="1"/>
      <c r="Y4756" s="1"/>
      <c r="Z4756" s="1"/>
      <c r="AA4756" s="1"/>
      <c r="AB4756" s="1"/>
    </row>
    <row r="4757" ht="50.25" customHeight="1">
      <c r="A4757" s="12">
        <v>4753.0</v>
      </c>
      <c r="B4757" s="13" t="s">
        <v>4379</v>
      </c>
      <c r="C4757" s="14" t="s">
        <v>4776</v>
      </c>
      <c r="D4757" s="1"/>
      <c r="E4757" s="1"/>
      <c r="F4757" s="1" t="str">
        <f>IFERROR(__xludf.DUMMYFUNCTION("GOOGLETRANSLATE(B4757, ""en"", ""fa"")
"),"مشاوره دوستیابی")</f>
        <v>مشاوره دوستیابی</v>
      </c>
      <c r="G4757" s="1" t="str">
        <f>IFERROR(__xludf.DUMMYFUNCTION("GOOGLETRANSLATE(C4757, ""en"", ""fa"")
"),"چه راهکارهایی برای رسیدگی به موضوع آداب معاشقه آنلاین در رابطه با قرار ملاقات چند نفره به طور همزمان وجود دارد؟")</f>
        <v>چه راهکارهایی برای رسیدگی به موضوع آداب معاشقه آنلاین در رابطه با قرار ملاقات چند نفره به طور همزمان وجود دارد؟</v>
      </c>
      <c r="H4757" s="1"/>
      <c r="I4757" s="1"/>
      <c r="J4757" s="1"/>
      <c r="K4757" s="1"/>
      <c r="L4757" s="1"/>
      <c r="M4757" s="1"/>
      <c r="N4757" s="1"/>
      <c r="O4757" s="1"/>
      <c r="P4757" s="1"/>
      <c r="Q4757" s="1"/>
      <c r="R4757" s="1"/>
      <c r="S4757" s="1"/>
      <c r="T4757" s="1"/>
      <c r="U4757" s="1"/>
      <c r="V4757" s="1"/>
      <c r="W4757" s="1"/>
      <c r="X4757" s="1"/>
      <c r="Y4757" s="1"/>
      <c r="Z4757" s="1"/>
      <c r="AA4757" s="1"/>
      <c r="AB4757" s="1"/>
    </row>
    <row r="4758" ht="50.25" customHeight="1">
      <c r="A4758" s="12">
        <v>4754.0</v>
      </c>
      <c r="B4758" s="13" t="s">
        <v>4379</v>
      </c>
      <c r="C4758" s="14" t="s">
        <v>4777</v>
      </c>
      <c r="D4758" s="1"/>
      <c r="E4758" s="1"/>
      <c r="F4758" s="1" t="str">
        <f>IFERROR(__xludf.DUMMYFUNCTION("GOOGLETRANSLATE(B4758, ""en"", ""fa"")
"),"مشاوره دوستیابی")</f>
        <v>مشاوره دوستیابی</v>
      </c>
      <c r="G4758" s="1" t="str">
        <f>IFERROR(__xludf.DUMMYFUNCTION("GOOGLETRANSLATE(C4758, ""en"", ""fa"")
"),"چگونه می توانم با موضوع آداب معاشقه آنلاین در پاسخ به تعارف یا چاپلوسی برخورد کنم؟")</f>
        <v>چگونه می توانم با موضوع آداب معاشقه آنلاین در پاسخ به تعارف یا چاپلوسی برخورد کنم؟</v>
      </c>
      <c r="H4758" s="1"/>
      <c r="I4758" s="1"/>
      <c r="J4758" s="1"/>
      <c r="K4758" s="1"/>
      <c r="L4758" s="1"/>
      <c r="M4758" s="1"/>
      <c r="N4758" s="1"/>
      <c r="O4758" s="1"/>
      <c r="P4758" s="1"/>
      <c r="Q4758" s="1"/>
      <c r="R4758" s="1"/>
      <c r="S4758" s="1"/>
      <c r="T4758" s="1"/>
      <c r="U4758" s="1"/>
      <c r="V4758" s="1"/>
      <c r="W4758" s="1"/>
      <c r="X4758" s="1"/>
      <c r="Y4758" s="1"/>
      <c r="Z4758" s="1"/>
      <c r="AA4758" s="1"/>
      <c r="AB4758" s="1"/>
    </row>
    <row r="4759" ht="50.25" customHeight="1">
      <c r="A4759" s="12">
        <v>4755.0</v>
      </c>
      <c r="B4759" s="13" t="s">
        <v>4379</v>
      </c>
      <c r="C4759" s="14" t="s">
        <v>4778</v>
      </c>
      <c r="D4759" s="1"/>
      <c r="E4759" s="1"/>
      <c r="F4759" s="1" t="str">
        <f>IFERROR(__xludf.DUMMYFUNCTION("GOOGLETRANSLATE(B4759, ""en"", ""fa"")
"),"مشاوره دوستیابی")</f>
        <v>مشاوره دوستیابی</v>
      </c>
      <c r="G4759" s="1" t="str">
        <f>IFERROR(__xludf.DUMMYFUNCTION("GOOGLETRANSLATE(C4759, ""en"", ""fa"")
"),"نکاتی برای رعایت آداب معاشقه آنلاین در رابطه با برقراری تعادل بین در دسترس بودن و خیلی نیازمند به نظر نرسیدن چیست؟")</f>
        <v>نکاتی برای رعایت آداب معاشقه آنلاین در رابطه با برقراری تعادل بین در دسترس بودن و خیلی نیازمند به نظر نرسیدن چیست؟</v>
      </c>
      <c r="H4759" s="1"/>
      <c r="I4759" s="1"/>
      <c r="J4759" s="1"/>
      <c r="K4759" s="1"/>
      <c r="L4759" s="1"/>
      <c r="M4759" s="1"/>
      <c r="N4759" s="1"/>
      <c r="O4759" s="1"/>
      <c r="P4759" s="1"/>
      <c r="Q4759" s="1"/>
      <c r="R4759" s="1"/>
      <c r="S4759" s="1"/>
      <c r="T4759" s="1"/>
      <c r="U4759" s="1"/>
      <c r="V4759" s="1"/>
      <c r="W4759" s="1"/>
      <c r="X4759" s="1"/>
      <c r="Y4759" s="1"/>
      <c r="Z4759" s="1"/>
      <c r="AA4759" s="1"/>
      <c r="AB4759" s="1"/>
    </row>
    <row r="4760" ht="50.25" customHeight="1">
      <c r="A4760" s="12">
        <v>4756.0</v>
      </c>
      <c r="B4760" s="13" t="s">
        <v>4379</v>
      </c>
      <c r="C4760" s="14" t="s">
        <v>4779</v>
      </c>
      <c r="D4760" s="1"/>
      <c r="E4760" s="1"/>
      <c r="F4760" s="1" t="str">
        <f>IFERROR(__xludf.DUMMYFUNCTION("GOOGLETRANSLATE(B4760, ""en"", ""fa"")
"),"مشاوره دوستیابی")</f>
        <v>مشاوره دوستیابی</v>
      </c>
      <c r="G4760" s="1" t="str">
        <f>IFERROR(__xludf.DUMMYFUNCTION("GOOGLETRANSLATE(C4760, ""en"", ""fa"")
"),"چگونه می توانم موضوع آداب معاشقه آنلاین را در مورد بحث در مورد روابط گذشته یا چمدان بررسی کنم؟")</f>
        <v>چگونه می توانم موضوع آداب معاشقه آنلاین را در مورد بحث در مورد روابط گذشته یا چمدان بررسی کنم؟</v>
      </c>
      <c r="H4760" s="1"/>
      <c r="I4760" s="1"/>
      <c r="J4760" s="1"/>
      <c r="K4760" s="1"/>
      <c r="L4760" s="1"/>
      <c r="M4760" s="1"/>
      <c r="N4760" s="1"/>
      <c r="O4760" s="1"/>
      <c r="P4760" s="1"/>
      <c r="Q4760" s="1"/>
      <c r="R4760" s="1"/>
      <c r="S4760" s="1"/>
      <c r="T4760" s="1"/>
      <c r="U4760" s="1"/>
      <c r="V4760" s="1"/>
      <c r="W4760" s="1"/>
      <c r="X4760" s="1"/>
      <c r="Y4760" s="1"/>
      <c r="Z4760" s="1"/>
      <c r="AA4760" s="1"/>
      <c r="AB4760" s="1"/>
    </row>
    <row r="4761" ht="50.25" customHeight="1">
      <c r="A4761" s="12">
        <v>4757.0</v>
      </c>
      <c r="B4761" s="13" t="s">
        <v>4379</v>
      </c>
      <c r="C4761" s="14" t="s">
        <v>4780</v>
      </c>
      <c r="D4761" s="1"/>
      <c r="E4761" s="1"/>
      <c r="F4761" s="1" t="str">
        <f>IFERROR(__xludf.DUMMYFUNCTION("GOOGLETRANSLATE(B4761, ""en"", ""fa"")
"),"مشاوره دوستیابی")</f>
        <v>مشاوره دوستیابی</v>
      </c>
      <c r="G4761" s="1" t="str">
        <f>IFERROR(__xludf.DUMMYFUNCTION("GOOGLETRANSLATE(C4761, ""en"", ""fa"")
"),"برخی از تکنیک‌ها برای مدیریت مسئله آداب قرار ملاقات آنلاین در مورد تأیید صحت هویت شخصی چیست؟")</f>
        <v>برخی از تکنیک‌ها برای مدیریت مسئله آداب قرار ملاقات آنلاین در مورد تأیید صحت هویت شخصی چیست؟</v>
      </c>
      <c r="H4761" s="1"/>
      <c r="I4761" s="1"/>
      <c r="J4761" s="1"/>
      <c r="K4761" s="1"/>
      <c r="L4761" s="1"/>
      <c r="M4761" s="1"/>
      <c r="N4761" s="1"/>
      <c r="O4761" s="1"/>
      <c r="P4761" s="1"/>
      <c r="Q4761" s="1"/>
      <c r="R4761" s="1"/>
      <c r="S4761" s="1"/>
      <c r="T4761" s="1"/>
      <c r="U4761" s="1"/>
      <c r="V4761" s="1"/>
      <c r="W4761" s="1"/>
      <c r="X4761" s="1"/>
      <c r="Y4761" s="1"/>
      <c r="Z4761" s="1"/>
      <c r="AA4761" s="1"/>
      <c r="AB4761" s="1"/>
    </row>
    <row r="4762" ht="50.25" customHeight="1">
      <c r="A4762" s="12">
        <v>4758.0</v>
      </c>
      <c r="B4762" s="13" t="s">
        <v>4379</v>
      </c>
      <c r="C4762" s="14" t="s">
        <v>4781</v>
      </c>
      <c r="D4762" s="1"/>
      <c r="E4762" s="1"/>
      <c r="F4762" s="1" t="str">
        <f>IFERROR(__xludf.DUMMYFUNCTION("GOOGLETRANSLATE(B4762, ""en"", ""fa"")
"),"مشاوره دوستیابی")</f>
        <v>مشاوره دوستیابی</v>
      </c>
      <c r="G4762" s="1" t="str">
        <f>IFERROR(__xludf.DUMMYFUNCTION("GOOGLETRANSLATE(C4762, ""en"", ""fa"")
"),"چگونه می توانم با موضوع آداب قرار ملاقات آنلاین در هنگام مدیریت تضادها یا اختلاف نظرها در مکالمات آنلاین مقابله کنم؟")</f>
        <v>چگونه می توانم با موضوع آداب قرار ملاقات آنلاین در هنگام مدیریت تضادها یا اختلاف نظرها در مکالمات آنلاین مقابله کنم؟</v>
      </c>
      <c r="H4762" s="1"/>
      <c r="I4762" s="1"/>
      <c r="J4762" s="1"/>
      <c r="K4762" s="1"/>
      <c r="L4762" s="1"/>
      <c r="M4762" s="1"/>
      <c r="N4762" s="1"/>
      <c r="O4762" s="1"/>
      <c r="P4762" s="1"/>
      <c r="Q4762" s="1"/>
      <c r="R4762" s="1"/>
      <c r="S4762" s="1"/>
      <c r="T4762" s="1"/>
      <c r="U4762" s="1"/>
      <c r="V4762" s="1"/>
      <c r="W4762" s="1"/>
      <c r="X4762" s="1"/>
      <c r="Y4762" s="1"/>
      <c r="Z4762" s="1"/>
      <c r="AA4762" s="1"/>
      <c r="AB4762" s="1"/>
    </row>
    <row r="4763" ht="50.25" customHeight="1">
      <c r="A4763" s="12">
        <v>4759.0</v>
      </c>
      <c r="B4763" s="13" t="s">
        <v>4379</v>
      </c>
      <c r="C4763" s="14" t="s">
        <v>4782</v>
      </c>
      <c r="D4763" s="1"/>
      <c r="E4763" s="1"/>
      <c r="F4763" s="1" t="str">
        <f>IFERROR(__xludf.DUMMYFUNCTION("GOOGLETRANSLATE(B4763, ""en"", ""fa"")
"),"مشاوره دوستیابی")</f>
        <v>مشاوره دوستیابی</v>
      </c>
      <c r="G4763" s="1" t="str">
        <f>IFERROR(__xludf.DUMMYFUNCTION("GOOGLETRANSLATE(C4763, ""en"", ""fa"")
"),"برای رعایت آداب قرار ملاقات آنلاین در مورد احترام گذاشتن به زمان و در دسترس بودن دیگران، چه راهکارهایی وجود دارد؟")</f>
        <v>برای رعایت آداب قرار ملاقات آنلاین در مورد احترام گذاشتن به زمان و در دسترس بودن دیگران، چه راهکارهایی وجود دارد؟</v>
      </c>
      <c r="H4763" s="1"/>
      <c r="I4763" s="1"/>
      <c r="J4763" s="1"/>
      <c r="K4763" s="1"/>
      <c r="L4763" s="1"/>
      <c r="M4763" s="1"/>
      <c r="N4763" s="1"/>
      <c r="O4763" s="1"/>
      <c r="P4763" s="1"/>
      <c r="Q4763" s="1"/>
      <c r="R4763" s="1"/>
      <c r="S4763" s="1"/>
      <c r="T4763" s="1"/>
      <c r="U4763" s="1"/>
      <c r="V4763" s="1"/>
      <c r="W4763" s="1"/>
      <c r="X4763" s="1"/>
      <c r="Y4763" s="1"/>
      <c r="Z4763" s="1"/>
      <c r="AA4763" s="1"/>
      <c r="AB4763" s="1"/>
    </row>
    <row r="4764" ht="50.25" customHeight="1">
      <c r="A4764" s="12">
        <v>4760.0</v>
      </c>
      <c r="B4764" s="13" t="s">
        <v>4379</v>
      </c>
      <c r="C4764" s="14" t="s">
        <v>4783</v>
      </c>
      <c r="D4764" s="1"/>
      <c r="E4764" s="1"/>
      <c r="F4764" s="1" t="str">
        <f>IFERROR(__xludf.DUMMYFUNCTION("GOOGLETRANSLATE(B4764, ""en"", ""fa"")
"),"مشاوره دوستیابی")</f>
        <v>مشاوره دوستیابی</v>
      </c>
      <c r="G4764" s="1" t="str">
        <f>IFERROR(__xludf.DUMMYFUNCTION("GOOGLETRANSLATE(C4764, ""en"", ""fa"")
"),"چگونه می توانم موضوع آداب معاشرت آنلاین را در بحث درباره موضوعات حساس یا موضوعات بحث برانگیز دنبال کنم؟")</f>
        <v>چگونه می توانم موضوع آداب معاشرت آنلاین را در بحث درباره موضوعات حساس یا موضوعات بحث برانگیز دنبال کنم؟</v>
      </c>
      <c r="H4764" s="1"/>
      <c r="I4764" s="1"/>
      <c r="J4764" s="1"/>
      <c r="K4764" s="1"/>
      <c r="L4764" s="1"/>
      <c r="M4764" s="1"/>
      <c r="N4764" s="1"/>
      <c r="O4764" s="1"/>
      <c r="P4764" s="1"/>
      <c r="Q4764" s="1"/>
      <c r="R4764" s="1"/>
      <c r="S4764" s="1"/>
      <c r="T4764" s="1"/>
      <c r="U4764" s="1"/>
      <c r="V4764" s="1"/>
      <c r="W4764" s="1"/>
      <c r="X4764" s="1"/>
      <c r="Y4764" s="1"/>
      <c r="Z4764" s="1"/>
      <c r="AA4764" s="1"/>
      <c r="AB4764" s="1"/>
    </row>
    <row r="4765" ht="50.25" customHeight="1">
      <c r="A4765" s="12">
        <v>4761.0</v>
      </c>
      <c r="B4765" s="13" t="s">
        <v>4379</v>
      </c>
      <c r="C4765" s="14" t="s">
        <v>4784</v>
      </c>
      <c r="D4765" s="1"/>
      <c r="E4765" s="1"/>
      <c r="F4765" s="1" t="str">
        <f>IFERROR(__xludf.DUMMYFUNCTION("GOOGLETRANSLATE(B4765, ""en"", ""fa"")
"),"مشاوره دوستیابی")</f>
        <v>مشاوره دوستیابی</v>
      </c>
      <c r="G4765" s="1" t="str">
        <f>IFERROR(__xludf.DUMMYFUNCTION("GOOGLETRANSLATE(C4765, ""en"", ""fa"")
"),"نکاتی برای رسیدگی به موضوع آداب معاشقه آنلاین در مورد رسیدگی به تفاوت های سنی یا نگرانی های مربوط به سن چیست؟")</f>
        <v>نکاتی برای رسیدگی به موضوع آداب معاشقه آنلاین در مورد رسیدگی به تفاوت های سنی یا نگرانی های مربوط به سن چیست؟</v>
      </c>
      <c r="H4765" s="1"/>
      <c r="I4765" s="1"/>
      <c r="J4765" s="1"/>
      <c r="K4765" s="1"/>
      <c r="L4765" s="1"/>
      <c r="M4765" s="1"/>
      <c r="N4765" s="1"/>
      <c r="O4765" s="1"/>
      <c r="P4765" s="1"/>
      <c r="Q4765" s="1"/>
      <c r="R4765" s="1"/>
      <c r="S4765" s="1"/>
      <c r="T4765" s="1"/>
      <c r="U4765" s="1"/>
      <c r="V4765" s="1"/>
      <c r="W4765" s="1"/>
      <c r="X4765" s="1"/>
      <c r="Y4765" s="1"/>
      <c r="Z4765" s="1"/>
      <c r="AA4765" s="1"/>
      <c r="AB4765" s="1"/>
    </row>
    <row r="4766" ht="50.25" customHeight="1">
      <c r="A4766" s="12">
        <v>4762.0</v>
      </c>
      <c r="B4766" s="13" t="s">
        <v>4379</v>
      </c>
      <c r="C4766" s="14" t="s">
        <v>4785</v>
      </c>
      <c r="D4766" s="1"/>
      <c r="E4766" s="1"/>
      <c r="F4766" s="1" t="str">
        <f>IFERROR(__xludf.DUMMYFUNCTION("GOOGLETRANSLATE(B4766, ""en"", ""fa"")
"),"مشاوره دوستیابی")</f>
        <v>مشاوره دوستیابی</v>
      </c>
      <c r="G4766" s="1" t="str">
        <f>IFERROR(__xludf.DUMMYFUNCTION("GOOGLETRANSLATE(C4766, ""en"", ""fa"")
"),"چگونه می توانم موضوع آداب معاشرت آنلاین را در مورد مدیریت انتظارات پیرامون ظاهر فیزیکی یا جذابیت مدیریت کنم؟")</f>
        <v>چگونه می توانم موضوع آداب معاشرت آنلاین را در مورد مدیریت انتظارات پیرامون ظاهر فیزیکی یا جذابیت مدیریت کنم؟</v>
      </c>
      <c r="H4766" s="1"/>
      <c r="I4766" s="1"/>
      <c r="J4766" s="1"/>
      <c r="K4766" s="1"/>
      <c r="L4766" s="1"/>
      <c r="M4766" s="1"/>
      <c r="N4766" s="1"/>
      <c r="O4766" s="1"/>
      <c r="P4766" s="1"/>
      <c r="Q4766" s="1"/>
      <c r="R4766" s="1"/>
      <c r="S4766" s="1"/>
      <c r="T4766" s="1"/>
      <c r="U4766" s="1"/>
      <c r="V4766" s="1"/>
      <c r="W4766" s="1"/>
      <c r="X4766" s="1"/>
      <c r="Y4766" s="1"/>
      <c r="Z4766" s="1"/>
      <c r="AA4766" s="1"/>
      <c r="AB4766" s="1"/>
    </row>
    <row r="4767" ht="50.25" customHeight="1">
      <c r="A4767" s="12">
        <v>4763.0</v>
      </c>
      <c r="B4767" s="13" t="s">
        <v>4379</v>
      </c>
      <c r="C4767" s="14" t="s">
        <v>4786</v>
      </c>
      <c r="D4767" s="1"/>
      <c r="E4767" s="1"/>
      <c r="F4767" s="1" t="str">
        <f>IFERROR(__xludf.DUMMYFUNCTION("GOOGLETRANSLATE(B4767, ""en"", ""fa"")
"),"مشاوره دوستیابی")</f>
        <v>مشاوره دوستیابی</v>
      </c>
      <c r="G4767" s="1" t="str">
        <f>IFERROR(__xludf.DUMMYFUNCTION("GOOGLETRANSLATE(C4767, ""en"", ""fa"")
"),"چند تکنیک برای تمرین آداب معاشقه آنلاین در هنگام مدیریت تعادل بین مداوم و سختگیر نبودن چیست؟")</f>
        <v>چند تکنیک برای تمرین آداب معاشقه آنلاین در هنگام مدیریت تعادل بین مداوم و سختگیر نبودن چیست؟</v>
      </c>
      <c r="H4767" s="1"/>
      <c r="I4767" s="1"/>
      <c r="J4767" s="1"/>
      <c r="K4767" s="1"/>
      <c r="L4767" s="1"/>
      <c r="M4767" s="1"/>
      <c r="N4767" s="1"/>
      <c r="O4767" s="1"/>
      <c r="P4767" s="1"/>
      <c r="Q4767" s="1"/>
      <c r="R4767" s="1"/>
      <c r="S4767" s="1"/>
      <c r="T4767" s="1"/>
      <c r="U4767" s="1"/>
      <c r="V4767" s="1"/>
      <c r="W4767" s="1"/>
      <c r="X4767" s="1"/>
      <c r="Y4767" s="1"/>
      <c r="Z4767" s="1"/>
      <c r="AA4767" s="1"/>
      <c r="AB4767" s="1"/>
    </row>
    <row r="4768" ht="50.25" customHeight="1">
      <c r="A4768" s="12">
        <v>4764.0</v>
      </c>
      <c r="B4768" s="13" t="s">
        <v>4379</v>
      </c>
      <c r="C4768" s="14" t="s">
        <v>4787</v>
      </c>
      <c r="D4768" s="1"/>
      <c r="E4768" s="1"/>
      <c r="F4768" s="1" t="str">
        <f>IFERROR(__xludf.DUMMYFUNCTION("GOOGLETRANSLATE(B4768, ""en"", ""fa"")
"),"مشاوره دوستیابی")</f>
        <v>مشاوره دوستیابی</v>
      </c>
      <c r="G4768" s="1" t="str">
        <f>IFERROR(__xludf.DUMMYFUNCTION("GOOGLETRANSLATE(C4768, ""en"", ""fa"")
"),"چگونه می توانم موضوع آداب معاشرت آنلاین را در مورد شروع گفتگو با فردی که دارای اعتقادات فرهنگی یا مذهبی متفاوتی است هدایت کنم؟")</f>
        <v>چگونه می توانم موضوع آداب معاشرت آنلاین را در مورد شروع گفتگو با فردی که دارای اعتقادات فرهنگی یا مذهبی متفاوتی است هدایت کنم؟</v>
      </c>
      <c r="H4768" s="1"/>
      <c r="I4768" s="1"/>
      <c r="J4768" s="1"/>
      <c r="K4768" s="1"/>
      <c r="L4768" s="1"/>
      <c r="M4768" s="1"/>
      <c r="N4768" s="1"/>
      <c r="O4768" s="1"/>
      <c r="P4768" s="1"/>
      <c r="Q4768" s="1"/>
      <c r="R4768" s="1"/>
      <c r="S4768" s="1"/>
      <c r="T4768" s="1"/>
      <c r="U4768" s="1"/>
      <c r="V4768" s="1"/>
      <c r="W4768" s="1"/>
      <c r="X4768" s="1"/>
      <c r="Y4768" s="1"/>
      <c r="Z4768" s="1"/>
      <c r="AA4768" s="1"/>
      <c r="AB4768" s="1"/>
    </row>
    <row r="4769" ht="50.25" customHeight="1">
      <c r="A4769" s="12">
        <v>4765.0</v>
      </c>
      <c r="B4769" s="13" t="s">
        <v>4379</v>
      </c>
      <c r="C4769" s="14" t="s">
        <v>4788</v>
      </c>
      <c r="D4769" s="1"/>
      <c r="E4769" s="1"/>
      <c r="F4769" s="1" t="str">
        <f>IFERROR(__xludf.DUMMYFUNCTION("GOOGLETRANSLATE(B4769, ""en"", ""fa"")
"),"مشاوره دوستیابی")</f>
        <v>مشاوره دوستیابی</v>
      </c>
      <c r="G4769" s="1" t="str">
        <f>IFERROR(__xludf.DUMMYFUNCTION("GOOGLETRANSLATE(C4769, ""en"", ""fa"")
"),"چگونه می توانم مهارت های گوش دادن فعال خود را برای درک و ارتباط بهتر با تاریخ خود بهبود بخشم؟")</f>
        <v>چگونه می توانم مهارت های گوش دادن فعال خود را برای درک و ارتباط بهتر با تاریخ خود بهبود بخشم؟</v>
      </c>
      <c r="H4769" s="1"/>
      <c r="I4769" s="1"/>
      <c r="J4769" s="1"/>
      <c r="K4769" s="1"/>
      <c r="L4769" s="1"/>
      <c r="M4769" s="1"/>
      <c r="N4769" s="1"/>
      <c r="O4769" s="1"/>
      <c r="P4769" s="1"/>
      <c r="Q4769" s="1"/>
      <c r="R4769" s="1"/>
      <c r="S4769" s="1"/>
      <c r="T4769" s="1"/>
      <c r="U4769" s="1"/>
      <c r="V4769" s="1"/>
      <c r="W4769" s="1"/>
      <c r="X4769" s="1"/>
      <c r="Y4769" s="1"/>
      <c r="Z4769" s="1"/>
      <c r="AA4769" s="1"/>
      <c r="AB4769" s="1"/>
    </row>
    <row r="4770" ht="50.25" customHeight="1">
      <c r="A4770" s="12">
        <v>4766.0</v>
      </c>
      <c r="B4770" s="13" t="s">
        <v>4379</v>
      </c>
      <c r="C4770" s="14" t="s">
        <v>4789</v>
      </c>
      <c r="D4770" s="1"/>
      <c r="E4770" s="1"/>
      <c r="F4770" s="1" t="str">
        <f>IFERROR(__xludf.DUMMYFUNCTION("GOOGLETRANSLATE(B4770, ""en"", ""fa"")
"),"مشاوره دوستیابی")</f>
        <v>مشاوره دوستیابی</v>
      </c>
      <c r="G4770" s="1" t="str">
        <f>IFERROR(__xludf.DUMMYFUNCTION("GOOGLETRANSLATE(C4770, ""en"", ""fa"")
"),"چه راهکارهایی برای بیان واضح و مؤثر خود در مکالمات وجود دارد؟")</f>
        <v>چه راهکارهایی برای بیان واضح و مؤثر خود در مکالمات وجود دارد؟</v>
      </c>
      <c r="H4770" s="1"/>
      <c r="I4770" s="1"/>
      <c r="J4770" s="1"/>
      <c r="K4770" s="1"/>
      <c r="L4770" s="1"/>
      <c r="M4770" s="1"/>
      <c r="N4770" s="1"/>
      <c r="O4770" s="1"/>
      <c r="P4770" s="1"/>
      <c r="Q4770" s="1"/>
      <c r="R4770" s="1"/>
      <c r="S4770" s="1"/>
      <c r="T4770" s="1"/>
      <c r="U4770" s="1"/>
      <c r="V4770" s="1"/>
      <c r="W4770" s="1"/>
      <c r="X4770" s="1"/>
      <c r="Y4770" s="1"/>
      <c r="Z4770" s="1"/>
      <c r="AA4770" s="1"/>
      <c r="AB4770" s="1"/>
    </row>
    <row r="4771" ht="50.25" customHeight="1">
      <c r="A4771" s="12">
        <v>4767.0</v>
      </c>
      <c r="B4771" s="13" t="s">
        <v>4379</v>
      </c>
      <c r="C4771" s="14" t="s">
        <v>4790</v>
      </c>
      <c r="D4771" s="1"/>
      <c r="E4771" s="1"/>
      <c r="F4771" s="1" t="str">
        <f>IFERROR(__xludf.DUMMYFUNCTION("GOOGLETRANSLATE(B4771, ""en"", ""fa"")
"),"مشاوره دوستیابی")</f>
        <v>مشاوره دوستیابی</v>
      </c>
      <c r="G4771" s="1" t="str">
        <f>IFERROR(__xludf.DUMMYFUNCTION("GOOGLETRANSLATE(C4771, ""en"", ""fa"")
"),"چگونه می‌توانم همدلی و درک خود را نسبت به دیدگاه‌ها و تجربیات تاریخم نشان دهم؟")</f>
        <v>چگونه می‌توانم همدلی و درک خود را نسبت به دیدگاه‌ها و تجربیات تاریخم نشان دهم؟</v>
      </c>
      <c r="H4771" s="1"/>
      <c r="I4771" s="1"/>
      <c r="J4771" s="1"/>
      <c r="K4771" s="1"/>
      <c r="L4771" s="1"/>
      <c r="M4771" s="1"/>
      <c r="N4771" s="1"/>
      <c r="O4771" s="1"/>
      <c r="P4771" s="1"/>
      <c r="Q4771" s="1"/>
      <c r="R4771" s="1"/>
      <c r="S4771" s="1"/>
      <c r="T4771" s="1"/>
      <c r="U4771" s="1"/>
      <c r="V4771" s="1"/>
      <c r="W4771" s="1"/>
      <c r="X4771" s="1"/>
      <c r="Y4771" s="1"/>
      <c r="Z4771" s="1"/>
      <c r="AA4771" s="1"/>
      <c r="AB4771" s="1"/>
    </row>
    <row r="4772" ht="50.25" customHeight="1">
      <c r="A4772" s="12">
        <v>4768.0</v>
      </c>
      <c r="B4772" s="13" t="s">
        <v>4379</v>
      </c>
      <c r="C4772" s="14" t="s">
        <v>4791</v>
      </c>
      <c r="D4772" s="1"/>
      <c r="E4772" s="1"/>
      <c r="F4772" s="1" t="str">
        <f>IFERROR(__xludf.DUMMYFUNCTION("GOOGLETRANSLATE(B4772, ""en"", ""fa"")
"),"مشاوره دوستیابی")</f>
        <v>مشاوره دوستیابی</v>
      </c>
      <c r="G4772" s="1" t="str">
        <f>IFERROR(__xludf.DUMMYFUNCTION("GOOGLETRANSLATE(C4772, ""en"", ""fa"")
"),"چند تکنیک برای پرسیدن سؤالات باز وجود دارد که مکالمات عمیق تر را تشویق می کند؟")</f>
        <v>چند تکنیک برای پرسیدن سؤالات باز وجود دارد که مکالمات عمیق تر را تشویق می کند؟</v>
      </c>
      <c r="H4772" s="1"/>
      <c r="I4772" s="1"/>
      <c r="J4772" s="1"/>
      <c r="K4772" s="1"/>
      <c r="L4772" s="1"/>
      <c r="M4772" s="1"/>
      <c r="N4772" s="1"/>
      <c r="O4772" s="1"/>
      <c r="P4772" s="1"/>
      <c r="Q4772" s="1"/>
      <c r="R4772" s="1"/>
      <c r="S4772" s="1"/>
      <c r="T4772" s="1"/>
      <c r="U4772" s="1"/>
      <c r="V4772" s="1"/>
      <c r="W4772" s="1"/>
      <c r="X4772" s="1"/>
      <c r="Y4772" s="1"/>
      <c r="Z4772" s="1"/>
      <c r="AA4772" s="1"/>
      <c r="AB4772" s="1"/>
    </row>
    <row r="4773" ht="50.25" customHeight="1">
      <c r="A4773" s="12">
        <v>4769.0</v>
      </c>
      <c r="B4773" s="13" t="s">
        <v>4379</v>
      </c>
      <c r="C4773" s="14" t="s">
        <v>4792</v>
      </c>
      <c r="D4773" s="1"/>
      <c r="E4773" s="1"/>
      <c r="F4773" s="1" t="str">
        <f>IFERROR(__xludf.DUMMYFUNCTION("GOOGLETRANSLATE(B4773, ""en"", ""fa"")
"),"مشاوره دوستیابی")</f>
        <v>مشاوره دوستیابی</v>
      </c>
      <c r="G4773" s="1" t="str">
        <f>IFERROR(__xludf.DUMMYFUNCTION("GOOGLETRANSLATE(C4773, ""en"", ""fa"")
"),"چگونه می توانم مهارت های ارتباطی غیرکلامی خود را برای انتقال علاقه و تعامل بهبود بخشم؟")</f>
        <v>چگونه می توانم مهارت های ارتباطی غیرکلامی خود را برای انتقال علاقه و تعامل بهبود بخشم؟</v>
      </c>
      <c r="H4773" s="1"/>
      <c r="I4773" s="1"/>
      <c r="J4773" s="1"/>
      <c r="K4773" s="1"/>
      <c r="L4773" s="1"/>
      <c r="M4773" s="1"/>
      <c r="N4773" s="1"/>
      <c r="O4773" s="1"/>
      <c r="P4773" s="1"/>
      <c r="Q4773" s="1"/>
      <c r="R4773" s="1"/>
      <c r="S4773" s="1"/>
      <c r="T4773" s="1"/>
      <c r="U4773" s="1"/>
      <c r="V4773" s="1"/>
      <c r="W4773" s="1"/>
      <c r="X4773" s="1"/>
      <c r="Y4773" s="1"/>
      <c r="Z4773" s="1"/>
      <c r="AA4773" s="1"/>
      <c r="AB4773" s="1"/>
    </row>
    <row r="4774" ht="50.25" customHeight="1">
      <c r="A4774" s="12">
        <v>4770.0</v>
      </c>
      <c r="B4774" s="13" t="s">
        <v>4379</v>
      </c>
      <c r="C4774" s="14" t="s">
        <v>4793</v>
      </c>
      <c r="D4774" s="1"/>
      <c r="E4774" s="1"/>
      <c r="F4774" s="1" t="str">
        <f>IFERROR(__xludf.DUMMYFUNCTION("GOOGLETRANSLATE(B4774, ""en"", ""fa"")
"),"مشاوره دوستیابی")</f>
        <v>مشاوره دوستیابی</v>
      </c>
      <c r="G4774" s="1" t="str">
        <f>IFERROR(__xludf.DUMMYFUNCTION("GOOGLETRANSLATE(C4774, ""en"", ""fa"")
"),"نکاتی برای تمرین ذهن آگاهی و حضور کامل در طول مکالمه چیست؟")</f>
        <v>نکاتی برای تمرین ذهن آگاهی و حضور کامل در طول مکالمه چیست؟</v>
      </c>
      <c r="H4774" s="1"/>
      <c r="I4774" s="1"/>
      <c r="J4774" s="1"/>
      <c r="K4774" s="1"/>
      <c r="L4774" s="1"/>
      <c r="M4774" s="1"/>
      <c r="N4774" s="1"/>
      <c r="O4774" s="1"/>
      <c r="P4774" s="1"/>
      <c r="Q4774" s="1"/>
      <c r="R4774" s="1"/>
      <c r="S4774" s="1"/>
      <c r="T4774" s="1"/>
      <c r="U4774" s="1"/>
      <c r="V4774" s="1"/>
      <c r="W4774" s="1"/>
      <c r="X4774" s="1"/>
      <c r="Y4774" s="1"/>
      <c r="Z4774" s="1"/>
      <c r="AA4774" s="1"/>
      <c r="AB4774" s="1"/>
    </row>
    <row r="4775" ht="50.25" customHeight="1">
      <c r="A4775" s="12">
        <v>4771.0</v>
      </c>
      <c r="B4775" s="13" t="s">
        <v>4379</v>
      </c>
      <c r="C4775" s="14" t="s">
        <v>4794</v>
      </c>
      <c r="D4775" s="1"/>
      <c r="E4775" s="1"/>
      <c r="F4775" s="1" t="str">
        <f>IFERROR(__xludf.DUMMYFUNCTION("GOOGLETRANSLATE(B4775, ""en"", ""fa"")
"),"مشاوره دوستیابی")</f>
        <v>مشاوره دوستیابی</v>
      </c>
      <c r="G4775" s="1" t="str">
        <f>IFERROR(__xludf.DUMMYFUNCTION("GOOGLETRANSLATE(C4775, ""en"", ""fa"")
"),"چگونه می توانم مهارت های داستان سرایی خود را تقویت کنم تا تجربیاتم جذاب تر و قابل ربط تر شود؟")</f>
        <v>چگونه می توانم مهارت های داستان سرایی خود را تقویت کنم تا تجربیاتم جذاب تر و قابل ربط تر شود؟</v>
      </c>
      <c r="H4775" s="1"/>
      <c r="I4775" s="1"/>
      <c r="J4775" s="1"/>
      <c r="K4775" s="1"/>
      <c r="L4775" s="1"/>
      <c r="M4775" s="1"/>
      <c r="N4775" s="1"/>
      <c r="O4775" s="1"/>
      <c r="P4775" s="1"/>
      <c r="Q4775" s="1"/>
      <c r="R4775" s="1"/>
      <c r="S4775" s="1"/>
      <c r="T4775" s="1"/>
      <c r="U4775" s="1"/>
      <c r="V4775" s="1"/>
      <c r="W4775" s="1"/>
      <c r="X4775" s="1"/>
      <c r="Y4775" s="1"/>
      <c r="Z4775" s="1"/>
      <c r="AA4775" s="1"/>
      <c r="AB4775" s="1"/>
    </row>
    <row r="4776" ht="50.25" customHeight="1">
      <c r="A4776" s="12">
        <v>4772.0</v>
      </c>
      <c r="B4776" s="13" t="s">
        <v>4379</v>
      </c>
      <c r="C4776" s="14" t="s">
        <v>4795</v>
      </c>
      <c r="D4776" s="1"/>
      <c r="E4776" s="1"/>
      <c r="F4776" s="1" t="str">
        <f>IFERROR(__xludf.DUMMYFUNCTION("GOOGLETRANSLATE(B4776, ""en"", ""fa"")
"),"مشاوره دوستیابی")</f>
        <v>مشاوره دوستیابی</v>
      </c>
      <c r="G4776" s="1" t="str">
        <f>IFERROR(__xludf.DUMMYFUNCTION("GOOGLETRANSLATE(C4776, ""en"", ""fa"")
"),"چه راهکارهایی برای مدیریت تعارضات و اختلافات به شیوه ای محترمانه و سازنده وجود دارد؟")</f>
        <v>چه راهکارهایی برای مدیریت تعارضات و اختلافات به شیوه ای محترمانه و سازنده وجود دارد؟</v>
      </c>
      <c r="H4776" s="1"/>
      <c r="I4776" s="1"/>
      <c r="J4776" s="1"/>
      <c r="K4776" s="1"/>
      <c r="L4776" s="1"/>
      <c r="M4776" s="1"/>
      <c r="N4776" s="1"/>
      <c r="O4776" s="1"/>
      <c r="P4776" s="1"/>
      <c r="Q4776" s="1"/>
      <c r="R4776" s="1"/>
      <c r="S4776" s="1"/>
      <c r="T4776" s="1"/>
      <c r="U4776" s="1"/>
      <c r="V4776" s="1"/>
      <c r="W4776" s="1"/>
      <c r="X4776" s="1"/>
      <c r="Y4776" s="1"/>
      <c r="Z4776" s="1"/>
      <c r="AA4776" s="1"/>
      <c r="AB4776" s="1"/>
    </row>
    <row r="4777" ht="50.25" customHeight="1">
      <c r="A4777" s="12">
        <v>4773.0</v>
      </c>
      <c r="B4777" s="13" t="s">
        <v>4379</v>
      </c>
      <c r="C4777" s="14" t="s">
        <v>4796</v>
      </c>
      <c r="D4777" s="1"/>
      <c r="E4777" s="1"/>
      <c r="F4777" s="1" t="str">
        <f>IFERROR(__xludf.DUMMYFUNCTION("GOOGLETRANSLATE(B4777, ""en"", ""fa"")
"),"مشاوره دوستیابی")</f>
        <v>مشاوره دوستیابی</v>
      </c>
      <c r="G4777" s="1" t="str">
        <f>IFERROR(__xludf.DUMMYFUNCTION("GOOGLETRANSLATE(C4777, ""en"", ""fa"")
"),"چگونه می توانم قاطعیت را توسعه دهم و نیازها و مرزهای خود را در زمینه دوستیابی بیان کنم؟")</f>
        <v>چگونه می توانم قاطعیت را توسعه دهم و نیازها و مرزهای خود را در زمینه دوستیابی بیان کنم؟</v>
      </c>
      <c r="H4777" s="1"/>
      <c r="I4777" s="1"/>
      <c r="J4777" s="1"/>
      <c r="K4777" s="1"/>
      <c r="L4777" s="1"/>
      <c r="M4777" s="1"/>
      <c r="N4777" s="1"/>
      <c r="O4777" s="1"/>
      <c r="P4777" s="1"/>
      <c r="Q4777" s="1"/>
      <c r="R4777" s="1"/>
      <c r="S4777" s="1"/>
      <c r="T4777" s="1"/>
      <c r="U4777" s="1"/>
      <c r="V4777" s="1"/>
      <c r="W4777" s="1"/>
      <c r="X4777" s="1"/>
      <c r="Y4777" s="1"/>
      <c r="Z4777" s="1"/>
      <c r="AA4777" s="1"/>
      <c r="AB4777" s="1"/>
    </row>
    <row r="4778" ht="50.25" customHeight="1">
      <c r="A4778" s="12">
        <v>4774.0</v>
      </c>
      <c r="B4778" s="13" t="s">
        <v>4379</v>
      </c>
      <c r="C4778" s="14" t="s">
        <v>4797</v>
      </c>
      <c r="D4778" s="1"/>
      <c r="E4778" s="1"/>
      <c r="F4778" s="1" t="str">
        <f>IFERROR(__xludf.DUMMYFUNCTION("GOOGLETRANSLATE(B4778, ""en"", ""fa"")
"),"مشاوره دوستیابی")</f>
        <v>مشاوره دوستیابی</v>
      </c>
      <c r="G4778" s="1" t="str">
        <f>IFERROR(__xludf.DUMMYFUNCTION("GOOGLETRANSLATE(C4778, ""en"", ""fa"")
"),"چند تکنیک برای شناخت و مدیریت موانع ارتباطی در مکالمات چیست؟")</f>
        <v>چند تکنیک برای شناخت و مدیریت موانع ارتباطی در مکالمات چیست؟</v>
      </c>
      <c r="H4778" s="1"/>
      <c r="I4778" s="1"/>
      <c r="J4778" s="1"/>
      <c r="K4778" s="1"/>
      <c r="L4778" s="1"/>
      <c r="M4778" s="1"/>
      <c r="N4778" s="1"/>
      <c r="O4778" s="1"/>
      <c r="P4778" s="1"/>
      <c r="Q4778" s="1"/>
      <c r="R4778" s="1"/>
      <c r="S4778" s="1"/>
      <c r="T4778" s="1"/>
      <c r="U4778" s="1"/>
      <c r="V4778" s="1"/>
      <c r="W4778" s="1"/>
      <c r="X4778" s="1"/>
      <c r="Y4778" s="1"/>
      <c r="Z4778" s="1"/>
      <c r="AA4778" s="1"/>
      <c r="AB4778" s="1"/>
    </row>
    <row r="4779" ht="50.25" customHeight="1">
      <c r="A4779" s="12">
        <v>4775.0</v>
      </c>
      <c r="B4779" s="13" t="s">
        <v>4379</v>
      </c>
      <c r="C4779" s="14" t="s">
        <v>4798</v>
      </c>
      <c r="D4779" s="1"/>
      <c r="E4779" s="1"/>
      <c r="F4779" s="1" t="str">
        <f>IFERROR(__xludf.DUMMYFUNCTION("GOOGLETRANSLATE(B4779, ""en"", ""fa"")
"),"مشاوره دوستیابی")</f>
        <v>مشاوره دوستیابی</v>
      </c>
      <c r="G4779" s="1" t="str">
        <f>IFERROR(__xludf.DUMMYFUNCTION("GOOGLETRANSLATE(C4779, ""en"", ""fa"")
"),"چگونه می توانم جریان گفتگوی خود را بهبود بخشم و از سکوت های ناخوشایند جلوگیری کنم؟")</f>
        <v>چگونه می توانم جریان گفتگوی خود را بهبود بخشم و از سکوت های ناخوشایند جلوگیری کنم؟</v>
      </c>
      <c r="H4779" s="1"/>
      <c r="I4779" s="1"/>
      <c r="J4779" s="1"/>
      <c r="K4779" s="1"/>
      <c r="L4779" s="1"/>
      <c r="M4779" s="1"/>
      <c r="N4779" s="1"/>
      <c r="O4779" s="1"/>
      <c r="P4779" s="1"/>
      <c r="Q4779" s="1"/>
      <c r="R4779" s="1"/>
      <c r="S4779" s="1"/>
      <c r="T4779" s="1"/>
      <c r="U4779" s="1"/>
      <c r="V4779" s="1"/>
      <c r="W4779" s="1"/>
      <c r="X4779" s="1"/>
      <c r="Y4779" s="1"/>
      <c r="Z4779" s="1"/>
      <c r="AA4779" s="1"/>
      <c r="AB4779" s="1"/>
    </row>
    <row r="4780" ht="50.25" customHeight="1">
      <c r="A4780" s="12">
        <v>4776.0</v>
      </c>
      <c r="B4780" s="13" t="s">
        <v>4379</v>
      </c>
      <c r="C4780" s="14" t="s">
        <v>4799</v>
      </c>
      <c r="D4780" s="1"/>
      <c r="E4780" s="1"/>
      <c r="F4780" s="1" t="str">
        <f>IFERROR(__xludf.DUMMYFUNCTION("GOOGLETRANSLATE(B4780, ""en"", ""fa"")
"),"مشاوره دوستیابی")</f>
        <v>مشاوره دوستیابی</v>
      </c>
      <c r="G4780" s="1" t="str">
        <f>IFERROR(__xludf.DUMMYFUNCTION("GOOGLETRANSLATE(C4780, ""en"", ""fa"")
"),"نکاتی برای استفاده از زبان مثبت و اجتناب از اظهارات منفی یا قضاوتی چیست؟")</f>
        <v>نکاتی برای استفاده از زبان مثبت و اجتناب از اظهارات منفی یا قضاوتی چیست؟</v>
      </c>
      <c r="H4780" s="1"/>
      <c r="I4780" s="1"/>
      <c r="J4780" s="1"/>
      <c r="K4780" s="1"/>
      <c r="L4780" s="1"/>
      <c r="M4780" s="1"/>
      <c r="N4780" s="1"/>
      <c r="O4780" s="1"/>
      <c r="P4780" s="1"/>
      <c r="Q4780" s="1"/>
      <c r="R4780" s="1"/>
      <c r="S4780" s="1"/>
      <c r="T4780" s="1"/>
      <c r="U4780" s="1"/>
      <c r="V4780" s="1"/>
      <c r="W4780" s="1"/>
      <c r="X4780" s="1"/>
      <c r="Y4780" s="1"/>
      <c r="Z4780" s="1"/>
      <c r="AA4780" s="1"/>
      <c r="AB4780" s="1"/>
    </row>
    <row r="4781" ht="50.25" customHeight="1">
      <c r="A4781" s="12">
        <v>4777.0</v>
      </c>
      <c r="B4781" s="13" t="s">
        <v>4379</v>
      </c>
      <c r="C4781" s="14" t="s">
        <v>4800</v>
      </c>
      <c r="D4781" s="1"/>
      <c r="E4781" s="1"/>
      <c r="F4781" s="1" t="str">
        <f>IFERROR(__xludf.DUMMYFUNCTION("GOOGLETRANSLATE(B4781, ""en"", ""fa"")
"),"مشاوره دوستیابی")</f>
        <v>مشاوره دوستیابی</v>
      </c>
      <c r="G4781" s="1" t="str">
        <f>IFERROR(__xludf.DUMMYFUNCTION("GOOGLETRANSLATE(C4781, ""en"", ""fa"")
"),"چگونه می توانم هوش عاطفی خود را برای درک بهتر و پاسخگویی بهتر به احساسات قرارم توسعه دهم؟")</f>
        <v>چگونه می توانم هوش عاطفی خود را برای درک بهتر و پاسخگویی بهتر به احساسات قرارم توسعه دهم؟</v>
      </c>
      <c r="H4781" s="1"/>
      <c r="I4781" s="1"/>
      <c r="J4781" s="1"/>
      <c r="K4781" s="1"/>
      <c r="L4781" s="1"/>
      <c r="M4781" s="1"/>
      <c r="N4781" s="1"/>
      <c r="O4781" s="1"/>
      <c r="P4781" s="1"/>
      <c r="Q4781" s="1"/>
      <c r="R4781" s="1"/>
      <c r="S4781" s="1"/>
      <c r="T4781" s="1"/>
      <c r="U4781" s="1"/>
      <c r="V4781" s="1"/>
      <c r="W4781" s="1"/>
      <c r="X4781" s="1"/>
      <c r="Y4781" s="1"/>
      <c r="Z4781" s="1"/>
      <c r="AA4781" s="1"/>
      <c r="AB4781" s="1"/>
    </row>
    <row r="4782" ht="50.25" customHeight="1">
      <c r="A4782" s="12">
        <v>4778.0</v>
      </c>
      <c r="B4782" s="13" t="s">
        <v>4379</v>
      </c>
      <c r="C4782" s="14" t="s">
        <v>4801</v>
      </c>
      <c r="D4782" s="1"/>
      <c r="E4782" s="1"/>
      <c r="F4782" s="1" t="str">
        <f>IFERROR(__xludf.DUMMYFUNCTION("GOOGLETRANSLATE(B4782, ""en"", ""fa"")
"),"مشاوره دوستیابی")</f>
        <v>مشاوره دوستیابی</v>
      </c>
      <c r="G4782" s="1" t="str">
        <f>IFERROR(__xludf.DUMMYFUNCTION("GOOGLETRANSLATE(C4782, ""en"", ""fa"")
"),"چند راهکار برای ایجاد رابطه و ایجاد فضایی راحت در گفتگوها چیست؟")</f>
        <v>چند راهکار برای ایجاد رابطه و ایجاد فضایی راحت در گفتگوها چیست؟</v>
      </c>
      <c r="H4782" s="1"/>
      <c r="I4782" s="1"/>
      <c r="J4782" s="1"/>
      <c r="K4782" s="1"/>
      <c r="L4782" s="1"/>
      <c r="M4782" s="1"/>
      <c r="N4782" s="1"/>
      <c r="O4782" s="1"/>
      <c r="P4782" s="1"/>
      <c r="Q4782" s="1"/>
      <c r="R4782" s="1"/>
      <c r="S4782" s="1"/>
      <c r="T4782" s="1"/>
      <c r="U4782" s="1"/>
      <c r="V4782" s="1"/>
      <c r="W4782" s="1"/>
      <c r="X4782" s="1"/>
      <c r="Y4782" s="1"/>
      <c r="Z4782" s="1"/>
      <c r="AA4782" s="1"/>
      <c r="AB4782" s="1"/>
    </row>
    <row r="4783" ht="50.25" customHeight="1">
      <c r="A4783" s="12">
        <v>4779.0</v>
      </c>
      <c r="B4783" s="13" t="s">
        <v>4379</v>
      </c>
      <c r="C4783" s="14" t="s">
        <v>4802</v>
      </c>
      <c r="D4783" s="1"/>
      <c r="E4783" s="1"/>
      <c r="F4783" s="1" t="str">
        <f>IFERROR(__xludf.DUMMYFUNCTION("GOOGLETRANSLATE(B4783, ""en"", ""fa"")
"),"مشاوره دوستیابی")</f>
        <v>مشاوره دوستیابی</v>
      </c>
      <c r="G4783" s="1" t="str">
        <f>IFERROR(__xludf.DUMMYFUNCTION("GOOGLETRANSLATE(C4783, ""en"", ""fa"")
"),"چگونه می توانم توانایی خود را در ارائه و دریافت بازخورد به روشی سازنده و غیر دفاعی بهبود بخشم؟")</f>
        <v>چگونه می توانم توانایی خود را در ارائه و دریافت بازخورد به روشی سازنده و غیر دفاعی بهبود بخشم؟</v>
      </c>
      <c r="H4783" s="1"/>
      <c r="I4783" s="1"/>
      <c r="J4783" s="1"/>
      <c r="K4783" s="1"/>
      <c r="L4783" s="1"/>
      <c r="M4783" s="1"/>
      <c r="N4783" s="1"/>
      <c r="O4783" s="1"/>
      <c r="P4783" s="1"/>
      <c r="Q4783" s="1"/>
      <c r="R4783" s="1"/>
      <c r="S4783" s="1"/>
      <c r="T4783" s="1"/>
      <c r="U4783" s="1"/>
      <c r="V4783" s="1"/>
      <c r="W4783" s="1"/>
      <c r="X4783" s="1"/>
      <c r="Y4783" s="1"/>
      <c r="Z4783" s="1"/>
      <c r="AA4783" s="1"/>
      <c r="AB4783" s="1"/>
    </row>
    <row r="4784" ht="50.25" customHeight="1">
      <c r="A4784" s="12">
        <v>4780.0</v>
      </c>
      <c r="B4784" s="13" t="s">
        <v>4379</v>
      </c>
      <c r="C4784" s="14" t="s">
        <v>4803</v>
      </c>
      <c r="D4784" s="1"/>
      <c r="E4784" s="1"/>
      <c r="F4784" s="1" t="str">
        <f>IFERROR(__xludf.DUMMYFUNCTION("GOOGLETRANSLATE(B4784, ""en"", ""fa"")
"),"مشاوره دوستیابی")</f>
        <v>مشاوره دوستیابی</v>
      </c>
      <c r="G4784" s="1" t="str">
        <f>IFERROR(__xludf.DUMMYFUNCTION("GOOGLETRANSLATE(C4784, ""en"", ""fa"")
"),"چند تکنیک برای استفاده مناسب از طنز برای سبک کردن روحیه و ایجاد ارتباط مثبت چیست؟")</f>
        <v>چند تکنیک برای استفاده مناسب از طنز برای سبک کردن روحیه و ایجاد ارتباط مثبت چیست؟</v>
      </c>
      <c r="H4784" s="1"/>
      <c r="I4784" s="1"/>
      <c r="J4784" s="1"/>
      <c r="K4784" s="1"/>
      <c r="L4784" s="1"/>
      <c r="M4784" s="1"/>
      <c r="N4784" s="1"/>
      <c r="O4784" s="1"/>
      <c r="P4784" s="1"/>
      <c r="Q4784" s="1"/>
      <c r="R4784" s="1"/>
      <c r="S4784" s="1"/>
      <c r="T4784" s="1"/>
      <c r="U4784" s="1"/>
      <c r="V4784" s="1"/>
      <c r="W4784" s="1"/>
      <c r="X4784" s="1"/>
      <c r="Y4784" s="1"/>
      <c r="Z4784" s="1"/>
      <c r="AA4784" s="1"/>
      <c r="AB4784" s="1"/>
    </row>
    <row r="4785" ht="50.25" customHeight="1">
      <c r="A4785" s="12">
        <v>4781.0</v>
      </c>
      <c r="B4785" s="13" t="s">
        <v>4379</v>
      </c>
      <c r="C4785" s="14" t="s">
        <v>4804</v>
      </c>
      <c r="D4785" s="1"/>
      <c r="E4785" s="1"/>
      <c r="F4785" s="1" t="str">
        <f>IFERROR(__xludf.DUMMYFUNCTION("GOOGLETRANSLATE(B4785, ""en"", ""fa"")
"),"مشاوره دوستیابی")</f>
        <v>مشاوره دوستیابی</v>
      </c>
      <c r="G4785" s="1" t="str">
        <f>IFERROR(__xludf.DUMMYFUNCTION("GOOGLETRANSLATE(C4785, ""en"", ""fa"")
"),"چگونه می توانم واژگان فعال و مهارت های زبانی خود را برای بیان موثرتر خود توسعه دهم؟")</f>
        <v>چگونه می توانم واژگان فعال و مهارت های زبانی خود را برای بیان موثرتر خود توسعه دهم؟</v>
      </c>
      <c r="H4785" s="1"/>
      <c r="I4785" s="1"/>
      <c r="J4785" s="1"/>
      <c r="K4785" s="1"/>
      <c r="L4785" s="1"/>
      <c r="M4785" s="1"/>
      <c r="N4785" s="1"/>
      <c r="O4785" s="1"/>
      <c r="P4785" s="1"/>
      <c r="Q4785" s="1"/>
      <c r="R4785" s="1"/>
      <c r="S4785" s="1"/>
      <c r="T4785" s="1"/>
      <c r="U4785" s="1"/>
      <c r="V4785" s="1"/>
      <c r="W4785" s="1"/>
      <c r="X4785" s="1"/>
      <c r="Y4785" s="1"/>
      <c r="Z4785" s="1"/>
      <c r="AA4785" s="1"/>
      <c r="AB4785" s="1"/>
    </row>
    <row r="4786" ht="50.25" customHeight="1">
      <c r="A4786" s="12">
        <v>4782.0</v>
      </c>
      <c r="B4786" s="13" t="s">
        <v>4379</v>
      </c>
      <c r="C4786" s="14" t="s">
        <v>4805</v>
      </c>
      <c r="D4786" s="1"/>
      <c r="E4786" s="1"/>
      <c r="F4786" s="1" t="str">
        <f>IFERROR(__xludf.DUMMYFUNCTION("GOOGLETRANSLATE(B4786, ""en"", ""fa"")
"),"مشاوره دوستیابی")</f>
        <v>مشاوره دوستیابی</v>
      </c>
      <c r="G4786" s="1" t="str">
        <f>IFERROR(__xludf.DUMMYFUNCTION("GOOGLETRANSLATE(C4786, ""en"", ""fa"")
"),"چند نکته برای تمرین صبر و ایجاد فضایی برای ابراز وجود طرف مقابل چیست؟")</f>
        <v>چند نکته برای تمرین صبر و ایجاد فضایی برای ابراز وجود طرف مقابل چیست؟</v>
      </c>
      <c r="H4786" s="1"/>
      <c r="I4786" s="1"/>
      <c r="J4786" s="1"/>
      <c r="K4786" s="1"/>
      <c r="L4786" s="1"/>
      <c r="M4786" s="1"/>
      <c r="N4786" s="1"/>
      <c r="O4786" s="1"/>
      <c r="P4786" s="1"/>
      <c r="Q4786" s="1"/>
      <c r="R4786" s="1"/>
      <c r="S4786" s="1"/>
      <c r="T4786" s="1"/>
      <c r="U4786" s="1"/>
      <c r="V4786" s="1"/>
      <c r="W4786" s="1"/>
      <c r="X4786" s="1"/>
      <c r="Y4786" s="1"/>
      <c r="Z4786" s="1"/>
      <c r="AA4786" s="1"/>
      <c r="AB4786" s="1"/>
    </row>
    <row r="4787" ht="50.25" customHeight="1">
      <c r="A4787" s="12">
        <v>4783.0</v>
      </c>
      <c r="B4787" s="13" t="s">
        <v>4379</v>
      </c>
      <c r="C4787" s="14" t="s">
        <v>4806</v>
      </c>
      <c r="D4787" s="1"/>
      <c r="E4787" s="1"/>
      <c r="F4787" s="1" t="str">
        <f>IFERROR(__xludf.DUMMYFUNCTION("GOOGLETRANSLATE(B4787, ""en"", ""fa"")
"),"مشاوره دوستیابی")</f>
        <v>مشاوره دوستیابی</v>
      </c>
      <c r="G4787" s="1" t="str">
        <f>IFERROR(__xludf.DUMMYFUNCTION("GOOGLETRANSLATE(C4787, ""en"", ""fa"")
"),"چگونه می توانم توانایی خود را در خواندن زبان بدن و نشانه های غیرکلامی در مکالمات تقویت کنم؟")</f>
        <v>چگونه می توانم توانایی خود را در خواندن زبان بدن و نشانه های غیرکلامی در مکالمات تقویت کنم؟</v>
      </c>
      <c r="H4787" s="1"/>
      <c r="I4787" s="1"/>
      <c r="J4787" s="1"/>
      <c r="K4787" s="1"/>
      <c r="L4787" s="1"/>
      <c r="M4787" s="1"/>
      <c r="N4787" s="1"/>
      <c r="O4787" s="1"/>
      <c r="P4787" s="1"/>
      <c r="Q4787" s="1"/>
      <c r="R4787" s="1"/>
      <c r="S4787" s="1"/>
      <c r="T4787" s="1"/>
      <c r="U4787" s="1"/>
      <c r="V4787" s="1"/>
      <c r="W4787" s="1"/>
      <c r="X4787" s="1"/>
      <c r="Y4787" s="1"/>
      <c r="Z4787" s="1"/>
      <c r="AA4787" s="1"/>
      <c r="AB4787" s="1"/>
    </row>
    <row r="4788" ht="50.25" customHeight="1">
      <c r="A4788" s="12">
        <v>4784.0</v>
      </c>
      <c r="B4788" s="13" t="s">
        <v>4379</v>
      </c>
      <c r="C4788" s="14" t="s">
        <v>4807</v>
      </c>
      <c r="D4788" s="1"/>
      <c r="E4788" s="1"/>
      <c r="F4788" s="1" t="str">
        <f>IFERROR(__xludf.DUMMYFUNCTION("GOOGLETRANSLATE(B4788, ""en"", ""fa"")
"),"مشاوره دوستیابی")</f>
        <v>مشاوره دوستیابی</v>
      </c>
      <c r="G4788" s="1" t="str">
        <f>IFERROR(__xludf.DUMMYFUNCTION("GOOGLETRANSLATE(C4788, ""en"", ""fa"")
"),"چند استراتژی برای تطبیق سبک ارتباطی من با تیپ های مختلف شخصیتی و ترجیحات ارتباطی چیست؟")</f>
        <v>چند استراتژی برای تطبیق سبک ارتباطی من با تیپ های مختلف شخصیتی و ترجیحات ارتباطی چیست؟</v>
      </c>
      <c r="H4788" s="1"/>
      <c r="I4788" s="1"/>
      <c r="J4788" s="1"/>
      <c r="K4788" s="1"/>
      <c r="L4788" s="1"/>
      <c r="M4788" s="1"/>
      <c r="N4788" s="1"/>
      <c r="O4788" s="1"/>
      <c r="P4788" s="1"/>
      <c r="Q4788" s="1"/>
      <c r="R4788" s="1"/>
      <c r="S4788" s="1"/>
      <c r="T4788" s="1"/>
      <c r="U4788" s="1"/>
      <c r="V4788" s="1"/>
      <c r="W4788" s="1"/>
      <c r="X4788" s="1"/>
      <c r="Y4788" s="1"/>
      <c r="Z4788" s="1"/>
      <c r="AA4788" s="1"/>
      <c r="AB4788" s="1"/>
    </row>
    <row r="4789" ht="50.25" customHeight="1">
      <c r="A4789" s="12">
        <v>4785.0</v>
      </c>
      <c r="B4789" s="13" t="s">
        <v>4379</v>
      </c>
      <c r="C4789" s="14" t="s">
        <v>4808</v>
      </c>
      <c r="D4789" s="1"/>
      <c r="E4789" s="1"/>
      <c r="F4789" s="1" t="str">
        <f>IFERROR(__xludf.DUMMYFUNCTION("GOOGLETRANSLATE(B4789, ""en"", ""fa"")
"),"مشاوره دوستیابی")</f>
        <v>مشاوره دوستیابی</v>
      </c>
      <c r="G4789" s="1" t="str">
        <f>IFERROR(__xludf.DUMMYFUNCTION("GOOGLETRANSLATE(C4789, ""en"", ""fa"")
"),"چگونه می توانم مهارت های ارتباطی آنلاین خود را بهبود بخشم، از جمله پیام های متنی و تماس های ویدیویی؟")</f>
        <v>چگونه می توانم مهارت های ارتباطی آنلاین خود را بهبود بخشم، از جمله پیام های متنی و تماس های ویدیویی؟</v>
      </c>
      <c r="H4789" s="1"/>
      <c r="I4789" s="1"/>
      <c r="J4789" s="1"/>
      <c r="K4789" s="1"/>
      <c r="L4789" s="1"/>
      <c r="M4789" s="1"/>
      <c r="N4789" s="1"/>
      <c r="O4789" s="1"/>
      <c r="P4789" s="1"/>
      <c r="Q4789" s="1"/>
      <c r="R4789" s="1"/>
      <c r="S4789" s="1"/>
      <c r="T4789" s="1"/>
      <c r="U4789" s="1"/>
      <c r="V4789" s="1"/>
      <c r="W4789" s="1"/>
      <c r="X4789" s="1"/>
      <c r="Y4789" s="1"/>
      <c r="Z4789" s="1"/>
      <c r="AA4789" s="1"/>
      <c r="AB4789" s="1"/>
    </row>
    <row r="4790" ht="50.25" customHeight="1">
      <c r="A4790" s="12">
        <v>4786.0</v>
      </c>
      <c r="B4790" s="13" t="s">
        <v>4379</v>
      </c>
      <c r="C4790" s="14" t="s">
        <v>4809</v>
      </c>
      <c r="D4790" s="1"/>
      <c r="E4790" s="1"/>
      <c r="F4790" s="1" t="str">
        <f>IFERROR(__xludf.DUMMYFUNCTION("GOOGLETRANSLATE(B4790, ""en"", ""fa"")
"),"مشاوره دوستیابی")</f>
        <v>مشاوره دوستیابی</v>
      </c>
      <c r="G4790" s="1" t="str">
        <f>IFERROR(__xludf.DUMMYFUNCTION("GOOGLETRANSLATE(C4790, ""en"", ""fa"")
"),"چند تکنیک برای ابراز سپاس و قدردانی در گفتگوها چیست؟")</f>
        <v>چند تکنیک برای ابراز سپاس و قدردانی در گفتگوها چیست؟</v>
      </c>
      <c r="H4790" s="1"/>
      <c r="I4790" s="1"/>
      <c r="J4790" s="1"/>
      <c r="K4790" s="1"/>
      <c r="L4790" s="1"/>
      <c r="M4790" s="1"/>
      <c r="N4790" s="1"/>
      <c r="O4790" s="1"/>
      <c r="P4790" s="1"/>
      <c r="Q4790" s="1"/>
      <c r="R4790" s="1"/>
      <c r="S4790" s="1"/>
      <c r="T4790" s="1"/>
      <c r="U4790" s="1"/>
      <c r="V4790" s="1"/>
      <c r="W4790" s="1"/>
      <c r="X4790" s="1"/>
      <c r="Y4790" s="1"/>
      <c r="Z4790" s="1"/>
      <c r="AA4790" s="1"/>
      <c r="AB4790" s="1"/>
    </row>
    <row r="4791" ht="50.25" customHeight="1">
      <c r="A4791" s="12">
        <v>4787.0</v>
      </c>
      <c r="B4791" s="13" t="s">
        <v>4379</v>
      </c>
      <c r="C4791" s="14" t="s">
        <v>4810</v>
      </c>
      <c r="D4791" s="1"/>
      <c r="E4791" s="1"/>
      <c r="F4791" s="1" t="str">
        <f>IFERROR(__xludf.DUMMYFUNCTION("GOOGLETRANSLATE(B4791, ""en"", ""fa"")
"),"مشاوره دوستیابی")</f>
        <v>مشاوره دوستیابی</v>
      </c>
      <c r="G4791" s="1" t="str">
        <f>IFERROR(__xludf.DUMMYFUNCTION("GOOGLETRANSLATE(C4791, ""en"", ""fa"")
"),"چگونه می توانم مهارت های گوش دادن خود را برای به خاطر سپردن جزئیات مهم و نشان دادن علاقه واقعی توسعه دهم؟")</f>
        <v>چگونه می توانم مهارت های گوش دادن خود را برای به خاطر سپردن جزئیات مهم و نشان دادن علاقه واقعی توسعه دهم؟</v>
      </c>
      <c r="H4791" s="1"/>
      <c r="I4791" s="1"/>
      <c r="J4791" s="1"/>
      <c r="K4791" s="1"/>
      <c r="L4791" s="1"/>
      <c r="M4791" s="1"/>
      <c r="N4791" s="1"/>
      <c r="O4791" s="1"/>
      <c r="P4791" s="1"/>
      <c r="Q4791" s="1"/>
      <c r="R4791" s="1"/>
      <c r="S4791" s="1"/>
      <c r="T4791" s="1"/>
      <c r="U4791" s="1"/>
      <c r="V4791" s="1"/>
      <c r="W4791" s="1"/>
      <c r="X4791" s="1"/>
      <c r="Y4791" s="1"/>
      <c r="Z4791" s="1"/>
      <c r="AA4791" s="1"/>
      <c r="AB4791" s="1"/>
    </row>
    <row r="4792" ht="50.25" customHeight="1">
      <c r="A4792" s="12">
        <v>4788.0</v>
      </c>
      <c r="B4792" s="13" t="s">
        <v>4379</v>
      </c>
      <c r="C4792" s="14" t="s">
        <v>4811</v>
      </c>
      <c r="D4792" s="1"/>
      <c r="E4792" s="1"/>
      <c r="F4792" s="1" t="str">
        <f>IFERROR(__xludf.DUMMYFUNCTION("GOOGLETRANSLATE(B4792, ""en"", ""fa"")
"),"مشاوره دوستیابی")</f>
        <v>مشاوره دوستیابی</v>
      </c>
      <c r="G4792" s="1" t="str">
        <f>IFERROR(__xludf.DUMMYFUNCTION("GOOGLETRANSLATE(C4792, ""en"", ""fa"")
"),"چند نکته برای تمرین مشارکت فعال در مکالمات، مانند تکان دادن سر و استفاده از جملات تأییدکننده چیست؟")</f>
        <v>چند نکته برای تمرین مشارکت فعال در مکالمات، مانند تکان دادن سر و استفاده از جملات تأییدکننده چیست؟</v>
      </c>
      <c r="H4792" s="1"/>
      <c r="I4792" s="1"/>
      <c r="J4792" s="1"/>
      <c r="K4792" s="1"/>
      <c r="L4792" s="1"/>
      <c r="M4792" s="1"/>
      <c r="N4792" s="1"/>
      <c r="O4792" s="1"/>
      <c r="P4792" s="1"/>
      <c r="Q4792" s="1"/>
      <c r="R4792" s="1"/>
      <c r="S4792" s="1"/>
      <c r="T4792" s="1"/>
      <c r="U4792" s="1"/>
      <c r="V4792" s="1"/>
      <c r="W4792" s="1"/>
      <c r="X4792" s="1"/>
      <c r="Y4792" s="1"/>
      <c r="Z4792" s="1"/>
      <c r="AA4792" s="1"/>
      <c r="AB4792" s="1"/>
    </row>
    <row r="4793" ht="50.25" customHeight="1">
      <c r="A4793" s="12">
        <v>4789.0</v>
      </c>
      <c r="B4793" s="13" t="s">
        <v>4379</v>
      </c>
      <c r="C4793" s="14" t="s">
        <v>4812</v>
      </c>
      <c r="D4793" s="1"/>
      <c r="E4793" s="1"/>
      <c r="F4793" s="1" t="str">
        <f>IFERROR(__xludf.DUMMYFUNCTION("GOOGLETRANSLATE(B4793, ""en"", ""fa"")
"),"مشاوره دوستیابی")</f>
        <v>مشاوره دوستیابی</v>
      </c>
      <c r="G4793" s="1" t="str">
        <f>IFERROR(__xludf.DUMMYFUNCTION("GOOGLETRANSLATE(C4793, ""en"", ""fa"")
"),"چگونه می توانم توانایی خود را در تعریف کردن و ایجاد احساس ارزشمند بودن به طرف مقابل افزایش دهم؟")</f>
        <v>چگونه می توانم توانایی خود را در تعریف کردن و ایجاد احساس ارزشمند بودن به طرف مقابل افزایش دهم؟</v>
      </c>
      <c r="H4793" s="1"/>
      <c r="I4793" s="1"/>
      <c r="J4793" s="1"/>
      <c r="K4793" s="1"/>
      <c r="L4793" s="1"/>
      <c r="M4793" s="1"/>
      <c r="N4793" s="1"/>
      <c r="O4793" s="1"/>
      <c r="P4793" s="1"/>
      <c r="Q4793" s="1"/>
      <c r="R4793" s="1"/>
      <c r="S4793" s="1"/>
      <c r="T4793" s="1"/>
      <c r="U4793" s="1"/>
      <c r="V4793" s="1"/>
      <c r="W4793" s="1"/>
      <c r="X4793" s="1"/>
      <c r="Y4793" s="1"/>
      <c r="Z4793" s="1"/>
      <c r="AA4793" s="1"/>
      <c r="AB4793" s="1"/>
    </row>
    <row r="4794" ht="50.25" customHeight="1">
      <c r="A4794" s="12">
        <v>4790.0</v>
      </c>
      <c r="B4794" s="13" t="s">
        <v>4379</v>
      </c>
      <c r="C4794" s="14" t="s">
        <v>4813</v>
      </c>
      <c r="D4794" s="1"/>
      <c r="E4794" s="1"/>
      <c r="F4794" s="1" t="str">
        <f>IFERROR(__xludf.DUMMYFUNCTION("GOOGLETRANSLATE(B4794, ""en"", ""fa"")
"),"مشاوره دوستیابی")</f>
        <v>مشاوره دوستیابی</v>
      </c>
      <c r="G4794" s="1" t="str">
        <f>IFERROR(__xludf.DUMMYFUNCTION("GOOGLETRANSLATE(C4794, ""en"", ""fa"")
"),"چند استراتژی برای استفاده از زبان بدن موثر، مانند حفظ تماس چشمی و حالت باز چیست؟")</f>
        <v>چند استراتژی برای استفاده از زبان بدن موثر، مانند حفظ تماس چشمی و حالت باز چیست؟</v>
      </c>
      <c r="H4794" s="1"/>
      <c r="I4794" s="1"/>
      <c r="J4794" s="1"/>
      <c r="K4794" s="1"/>
      <c r="L4794" s="1"/>
      <c r="M4794" s="1"/>
      <c r="N4794" s="1"/>
      <c r="O4794" s="1"/>
      <c r="P4794" s="1"/>
      <c r="Q4794" s="1"/>
      <c r="R4794" s="1"/>
      <c r="S4794" s="1"/>
      <c r="T4794" s="1"/>
      <c r="U4794" s="1"/>
      <c r="V4794" s="1"/>
      <c r="W4794" s="1"/>
      <c r="X4794" s="1"/>
      <c r="Y4794" s="1"/>
      <c r="Z4794" s="1"/>
      <c r="AA4794" s="1"/>
      <c r="AB4794" s="1"/>
    </row>
    <row r="4795" ht="50.25" customHeight="1">
      <c r="A4795" s="12">
        <v>4791.0</v>
      </c>
      <c r="B4795" s="13" t="s">
        <v>4379</v>
      </c>
      <c r="C4795" s="14" t="s">
        <v>4814</v>
      </c>
      <c r="D4795" s="1"/>
      <c r="E4795" s="1"/>
      <c r="F4795" s="1" t="str">
        <f>IFERROR(__xludf.DUMMYFUNCTION("GOOGLETRANSLATE(B4795, ""en"", ""fa"")
"),"مشاوره دوستیابی")</f>
        <v>مشاوره دوستیابی</v>
      </c>
      <c r="G4795" s="1" t="str">
        <f>IFERROR(__xludf.DUMMYFUNCTION("GOOGLETRANSLATE(C4795, ""en"", ""fa"")
"),"چگونه می توانم توانایی خود را در دریافت نشانه های اجتماعی بهبود بخشم و ارتباطاتم را بر این اساس تنظیم کنم؟")</f>
        <v>چگونه می توانم توانایی خود را در دریافت نشانه های اجتماعی بهبود بخشم و ارتباطاتم را بر این اساس تنظیم کنم؟</v>
      </c>
      <c r="H4795" s="1"/>
      <c r="I4795" s="1"/>
      <c r="J4795" s="1"/>
      <c r="K4795" s="1"/>
      <c r="L4795" s="1"/>
      <c r="M4795" s="1"/>
      <c r="N4795" s="1"/>
      <c r="O4795" s="1"/>
      <c r="P4795" s="1"/>
      <c r="Q4795" s="1"/>
      <c r="R4795" s="1"/>
      <c r="S4795" s="1"/>
      <c r="T4795" s="1"/>
      <c r="U4795" s="1"/>
      <c r="V4795" s="1"/>
      <c r="W4795" s="1"/>
      <c r="X4795" s="1"/>
      <c r="Y4795" s="1"/>
      <c r="Z4795" s="1"/>
      <c r="AA4795" s="1"/>
      <c r="AB4795" s="1"/>
    </row>
    <row r="4796" ht="50.25" customHeight="1">
      <c r="A4796" s="12">
        <v>4792.0</v>
      </c>
      <c r="B4796" s="13" t="s">
        <v>4379</v>
      </c>
      <c r="C4796" s="14" t="s">
        <v>4815</v>
      </c>
      <c r="D4796" s="1"/>
      <c r="E4796" s="1"/>
      <c r="F4796" s="1" t="str">
        <f>IFERROR(__xludf.DUMMYFUNCTION("GOOGLETRANSLATE(B4796, ""en"", ""fa"")
"),"مشاوره دوستیابی")</f>
        <v>مشاوره دوستیابی</v>
      </c>
      <c r="G4796" s="1" t="str">
        <f>IFERROR(__xludf.DUMMYFUNCTION("GOOGLETRANSLATE(C4796, ""en"", ""fa"")
"),"چند تکنیک برای مدیریت عصبی بودن یا اضطراب در مکالمات و نشان دادن خودم با اطمینان چیست؟")</f>
        <v>چند تکنیک برای مدیریت عصبی بودن یا اضطراب در مکالمات و نشان دادن خودم با اطمینان چیست؟</v>
      </c>
      <c r="H4796" s="1"/>
      <c r="I4796" s="1"/>
      <c r="J4796" s="1"/>
      <c r="K4796" s="1"/>
      <c r="L4796" s="1"/>
      <c r="M4796" s="1"/>
      <c r="N4796" s="1"/>
      <c r="O4796" s="1"/>
      <c r="P4796" s="1"/>
      <c r="Q4796" s="1"/>
      <c r="R4796" s="1"/>
      <c r="S4796" s="1"/>
      <c r="T4796" s="1"/>
      <c r="U4796" s="1"/>
      <c r="V4796" s="1"/>
      <c r="W4796" s="1"/>
      <c r="X4796" s="1"/>
      <c r="Y4796" s="1"/>
      <c r="Z4796" s="1"/>
      <c r="AA4796" s="1"/>
      <c r="AB4796" s="1"/>
    </row>
    <row r="4797" ht="50.25" customHeight="1">
      <c r="A4797" s="12">
        <v>4793.0</v>
      </c>
      <c r="B4797" s="13" t="s">
        <v>4379</v>
      </c>
      <c r="C4797" s="14" t="s">
        <v>4816</v>
      </c>
      <c r="D4797" s="1"/>
      <c r="E4797" s="1"/>
      <c r="F4797" s="1" t="str">
        <f>IFERROR(__xludf.DUMMYFUNCTION("GOOGLETRANSLATE(B4797, ""en"", ""fa"")
"),"مشاوره دوستیابی")</f>
        <v>مشاوره دوستیابی</v>
      </c>
      <c r="G4797" s="1" t="str">
        <f>IFERROR(__xludf.DUMMYFUNCTION("GOOGLETRANSLATE(C4797, ""en"", ""fa"")
"),"چگونه می توانم مهارت خود را در خلاصه کردن و بازنویسی برای اطمینان از درک و جلوگیری از ارتباط نادرست توسعه دهم؟")</f>
        <v>چگونه می توانم مهارت خود را در خلاصه کردن و بازنویسی برای اطمینان از درک و جلوگیری از ارتباط نادرست توسعه دهم؟</v>
      </c>
      <c r="H4797" s="1"/>
      <c r="I4797" s="1"/>
      <c r="J4797" s="1"/>
      <c r="K4797" s="1"/>
      <c r="L4797" s="1"/>
      <c r="M4797" s="1"/>
      <c r="N4797" s="1"/>
      <c r="O4797" s="1"/>
      <c r="P4797" s="1"/>
      <c r="Q4797" s="1"/>
      <c r="R4797" s="1"/>
      <c r="S4797" s="1"/>
      <c r="T4797" s="1"/>
      <c r="U4797" s="1"/>
      <c r="V4797" s="1"/>
      <c r="W4797" s="1"/>
      <c r="X4797" s="1"/>
      <c r="Y4797" s="1"/>
      <c r="Z4797" s="1"/>
      <c r="AA4797" s="1"/>
      <c r="AB4797" s="1"/>
    </row>
    <row r="4798" ht="50.25" customHeight="1">
      <c r="A4798" s="12">
        <v>4794.0</v>
      </c>
      <c r="B4798" s="13" t="s">
        <v>4379</v>
      </c>
      <c r="C4798" s="14" t="s">
        <v>4817</v>
      </c>
      <c r="D4798" s="1"/>
      <c r="E4798" s="1"/>
      <c r="F4798" s="1" t="str">
        <f>IFERROR(__xludf.DUMMYFUNCTION("GOOGLETRANSLATE(B4798, ""en"", ""fa"")
"),"مشاوره دوستیابی")</f>
        <v>مشاوره دوستیابی</v>
      </c>
      <c r="G4798" s="1" t="str">
        <f>IFERROR(__xludf.DUMMYFUNCTION("GOOGLETRANSLATE(C4798, ""en"", ""fa"")
"),"نکاتی برای تمرین صبر و حوصله و گوش دادن فعال در زمانی که مکالمه شدید یا احساسی می شود چیست؟")</f>
        <v>نکاتی برای تمرین صبر و حوصله و گوش دادن فعال در زمانی که مکالمه شدید یا احساسی می شود چیست؟</v>
      </c>
      <c r="H4798" s="1"/>
      <c r="I4798" s="1"/>
      <c r="J4798" s="1"/>
      <c r="K4798" s="1"/>
      <c r="L4798" s="1"/>
      <c r="M4798" s="1"/>
      <c r="N4798" s="1"/>
      <c r="O4798" s="1"/>
      <c r="P4798" s="1"/>
      <c r="Q4798" s="1"/>
      <c r="R4798" s="1"/>
      <c r="S4798" s="1"/>
      <c r="T4798" s="1"/>
      <c r="U4798" s="1"/>
      <c r="V4798" s="1"/>
      <c r="W4798" s="1"/>
      <c r="X4798" s="1"/>
      <c r="Y4798" s="1"/>
      <c r="Z4798" s="1"/>
      <c r="AA4798" s="1"/>
      <c r="AB4798" s="1"/>
    </row>
    <row r="4799" ht="50.25" customHeight="1">
      <c r="A4799" s="12">
        <v>4795.0</v>
      </c>
      <c r="B4799" s="13" t="s">
        <v>4379</v>
      </c>
      <c r="C4799" s="14" t="s">
        <v>4818</v>
      </c>
      <c r="D4799" s="1"/>
      <c r="E4799" s="1"/>
      <c r="F4799" s="1" t="str">
        <f>IFERROR(__xludf.DUMMYFUNCTION("GOOGLETRANSLATE(B4799, ""en"", ""fa"")
"),"مشاوره دوستیابی")</f>
        <v>مشاوره دوستیابی</v>
      </c>
      <c r="G4799" s="1" t="str">
        <f>IFERROR(__xludf.DUMMYFUNCTION("GOOGLETRANSLATE(C4799, ""en"", ""fa"")
"),"چگونه می توانم توانایی خود را در ارائه حمایت عاطفی و شنونده خوبی برای قرار ملاقات خود افزایش دهم؟")</f>
        <v>چگونه می توانم توانایی خود را در ارائه حمایت عاطفی و شنونده خوبی برای قرار ملاقات خود افزایش دهم؟</v>
      </c>
      <c r="H4799" s="1"/>
      <c r="I4799" s="1"/>
      <c r="J4799" s="1"/>
      <c r="K4799" s="1"/>
      <c r="L4799" s="1"/>
      <c r="M4799" s="1"/>
      <c r="N4799" s="1"/>
      <c r="O4799" s="1"/>
      <c r="P4799" s="1"/>
      <c r="Q4799" s="1"/>
      <c r="R4799" s="1"/>
      <c r="S4799" s="1"/>
      <c r="T4799" s="1"/>
      <c r="U4799" s="1"/>
      <c r="V4799" s="1"/>
      <c r="W4799" s="1"/>
      <c r="X4799" s="1"/>
      <c r="Y4799" s="1"/>
      <c r="Z4799" s="1"/>
      <c r="AA4799" s="1"/>
      <c r="AB4799" s="1"/>
    </row>
    <row r="4800" ht="50.25" customHeight="1">
      <c r="A4800" s="12">
        <v>4796.0</v>
      </c>
      <c r="B4800" s="13" t="s">
        <v>4379</v>
      </c>
      <c r="C4800" s="14" t="s">
        <v>4819</v>
      </c>
      <c r="D4800" s="1"/>
      <c r="E4800" s="1"/>
      <c r="F4800" s="1" t="str">
        <f>IFERROR(__xludf.DUMMYFUNCTION("GOOGLETRANSLATE(B4800, ""en"", ""fa"")
"),"مشاوره دوستیابی")</f>
        <v>مشاوره دوستیابی</v>
      </c>
      <c r="G4800" s="1" t="str">
        <f>IFERROR(__xludf.DUMMYFUNCTION("GOOGLETRANSLATE(C4800, ""en"", ""fa"")
"),"چند راهکار برای استفاده از گوش دادن انعکاسی برای اعتبار بخشیدن به احساسات و تجربیات طرف مقابل چیست؟")</f>
        <v>چند راهکار برای استفاده از گوش دادن انعکاسی برای اعتبار بخشیدن به احساسات و تجربیات طرف مقابل چیست؟</v>
      </c>
      <c r="H4800" s="1"/>
      <c r="I4800" s="1"/>
      <c r="J4800" s="1"/>
      <c r="K4800" s="1"/>
      <c r="L4800" s="1"/>
      <c r="M4800" s="1"/>
      <c r="N4800" s="1"/>
      <c r="O4800" s="1"/>
      <c r="P4800" s="1"/>
      <c r="Q4800" s="1"/>
      <c r="R4800" s="1"/>
      <c r="S4800" s="1"/>
      <c r="T4800" s="1"/>
      <c r="U4800" s="1"/>
      <c r="V4800" s="1"/>
      <c r="W4800" s="1"/>
      <c r="X4800" s="1"/>
      <c r="Y4800" s="1"/>
      <c r="Z4800" s="1"/>
      <c r="AA4800" s="1"/>
      <c r="AB4800" s="1"/>
    </row>
    <row r="4801" ht="50.25" customHeight="1">
      <c r="A4801" s="12">
        <v>4797.0</v>
      </c>
      <c r="B4801" s="13" t="s">
        <v>4379</v>
      </c>
      <c r="C4801" s="14" t="s">
        <v>4820</v>
      </c>
      <c r="D4801" s="1"/>
      <c r="E4801" s="1"/>
      <c r="F4801" s="1" t="str">
        <f>IFERROR(__xludf.DUMMYFUNCTION("GOOGLETRANSLATE(B4801, ""en"", ""fa"")
"),"مشاوره دوستیابی")</f>
        <v>مشاوره دوستیابی</v>
      </c>
      <c r="G4801" s="1" t="str">
        <f>IFERROR(__xludf.DUMMYFUNCTION("GOOGLETRANSLATE(C4801, ""en"", ""fa"")
"),"چگونه می توانم توانایی خود را برای بیان آسیب پذیری و به اشتراک گذاشتن تجربیات شخصی به شیوه ای معنادار بهبود بخشم؟")</f>
        <v>چگونه می توانم توانایی خود را برای بیان آسیب پذیری و به اشتراک گذاشتن تجربیات شخصی به شیوه ای معنادار بهبود بخشم؟</v>
      </c>
      <c r="H4801" s="1"/>
      <c r="I4801" s="1"/>
      <c r="J4801" s="1"/>
      <c r="K4801" s="1"/>
      <c r="L4801" s="1"/>
      <c r="M4801" s="1"/>
      <c r="N4801" s="1"/>
      <c r="O4801" s="1"/>
      <c r="P4801" s="1"/>
      <c r="Q4801" s="1"/>
      <c r="R4801" s="1"/>
      <c r="S4801" s="1"/>
      <c r="T4801" s="1"/>
      <c r="U4801" s="1"/>
      <c r="V4801" s="1"/>
      <c r="W4801" s="1"/>
      <c r="X4801" s="1"/>
      <c r="Y4801" s="1"/>
      <c r="Z4801" s="1"/>
      <c r="AA4801" s="1"/>
      <c r="AB4801" s="1"/>
    </row>
    <row r="4802" ht="50.25" customHeight="1">
      <c r="A4802" s="12">
        <v>4798.0</v>
      </c>
      <c r="B4802" s="13" t="s">
        <v>4379</v>
      </c>
      <c r="C4802" s="14" t="s">
        <v>4821</v>
      </c>
      <c r="D4802" s="1"/>
      <c r="E4802" s="1"/>
      <c r="F4802" s="1" t="str">
        <f>IFERROR(__xludf.DUMMYFUNCTION("GOOGLETRANSLATE(B4802, ""en"", ""fa"")
"),"مشاوره دوستیابی")</f>
        <v>مشاوره دوستیابی</v>
      </c>
      <c r="G4802" s="1" t="str">
        <f>IFERROR(__xludf.DUMMYFUNCTION("GOOGLETRANSLATE(C4802, ""en"", ""fa"")
"),"چند تکنیک برای استفاده از تقویت مثبت و تأیید در مکالمات چیست؟")</f>
        <v>چند تکنیک برای استفاده از تقویت مثبت و تأیید در مکالمات چیست؟</v>
      </c>
      <c r="H4802" s="1"/>
      <c r="I4802" s="1"/>
      <c r="J4802" s="1"/>
      <c r="K4802" s="1"/>
      <c r="L4802" s="1"/>
      <c r="M4802" s="1"/>
      <c r="N4802" s="1"/>
      <c r="O4802" s="1"/>
      <c r="P4802" s="1"/>
      <c r="Q4802" s="1"/>
      <c r="R4802" s="1"/>
      <c r="S4802" s="1"/>
      <c r="T4802" s="1"/>
      <c r="U4802" s="1"/>
      <c r="V4802" s="1"/>
      <c r="W4802" s="1"/>
      <c r="X4802" s="1"/>
      <c r="Y4802" s="1"/>
      <c r="Z4802" s="1"/>
      <c r="AA4802" s="1"/>
      <c r="AB4802" s="1"/>
    </row>
    <row r="4803" ht="50.25" customHeight="1">
      <c r="A4803" s="12">
        <v>4799.0</v>
      </c>
      <c r="B4803" s="13" t="s">
        <v>4379</v>
      </c>
      <c r="C4803" s="14" t="s">
        <v>4822</v>
      </c>
      <c r="D4803" s="1"/>
      <c r="E4803" s="1"/>
      <c r="F4803" s="1" t="str">
        <f>IFERROR(__xludf.DUMMYFUNCTION("GOOGLETRANSLATE(B4803, ""en"", ""fa"")
"),"مشاوره دوستیابی")</f>
        <v>مشاوره دوستیابی</v>
      </c>
      <c r="G4803" s="1" t="str">
        <f>IFERROR(__xludf.DUMMYFUNCTION("GOOGLETRANSLATE(C4803, ""en"", ""fa"")
"),"چگونه می توانم مهارت خود را در ارائه بازخورد سازنده به شیوه ای درایت و محترمانه توسعه دهم؟")</f>
        <v>چگونه می توانم مهارت خود را در ارائه بازخورد سازنده به شیوه ای درایت و محترمانه توسعه دهم؟</v>
      </c>
      <c r="H4803" s="1"/>
      <c r="I4803" s="1"/>
      <c r="J4803" s="1"/>
      <c r="K4803" s="1"/>
      <c r="L4803" s="1"/>
      <c r="M4803" s="1"/>
      <c r="N4803" s="1"/>
      <c r="O4803" s="1"/>
      <c r="P4803" s="1"/>
      <c r="Q4803" s="1"/>
      <c r="R4803" s="1"/>
      <c r="S4803" s="1"/>
      <c r="T4803" s="1"/>
      <c r="U4803" s="1"/>
      <c r="V4803" s="1"/>
      <c r="W4803" s="1"/>
      <c r="X4803" s="1"/>
      <c r="Y4803" s="1"/>
      <c r="Z4803" s="1"/>
      <c r="AA4803" s="1"/>
      <c r="AB4803" s="1"/>
    </row>
    <row r="4804" ht="50.25" customHeight="1">
      <c r="A4804" s="12">
        <v>4800.0</v>
      </c>
      <c r="B4804" s="13" t="s">
        <v>4379</v>
      </c>
      <c r="C4804" s="14" t="s">
        <v>4823</v>
      </c>
      <c r="D4804" s="1"/>
      <c r="E4804" s="1"/>
      <c r="F4804" s="1" t="str">
        <f>IFERROR(__xludf.DUMMYFUNCTION("GOOGLETRANSLATE(B4804, ""en"", ""fa"")
"),"مشاوره دوستیابی")</f>
        <v>مشاوره دوستیابی</v>
      </c>
      <c r="G4804" s="1" t="str">
        <f>IFERROR(__xludf.DUMMYFUNCTION("GOOGLETRANSLATE(C4804, ""en"", ""fa"")
"),"نکاتی برای استفاده از زمان بندی و گام موثر در مکالمات، مانند اجازه مکث و عدم قطع صحبت چیست؟")</f>
        <v>نکاتی برای استفاده از زمان بندی و گام موثر در مکالمات، مانند اجازه مکث و عدم قطع صحبت چیست؟</v>
      </c>
      <c r="H4804" s="1"/>
      <c r="I4804" s="1"/>
      <c r="J4804" s="1"/>
      <c r="K4804" s="1"/>
      <c r="L4804" s="1"/>
      <c r="M4804" s="1"/>
      <c r="N4804" s="1"/>
      <c r="O4804" s="1"/>
      <c r="P4804" s="1"/>
      <c r="Q4804" s="1"/>
      <c r="R4804" s="1"/>
      <c r="S4804" s="1"/>
      <c r="T4804" s="1"/>
      <c r="U4804" s="1"/>
      <c r="V4804" s="1"/>
      <c r="W4804" s="1"/>
      <c r="X4804" s="1"/>
      <c r="Y4804" s="1"/>
      <c r="Z4804" s="1"/>
      <c r="AA4804" s="1"/>
      <c r="AB4804" s="1"/>
    </row>
    <row r="4805" ht="50.25" customHeight="1">
      <c r="A4805" s="12">
        <v>4801.0</v>
      </c>
      <c r="B4805" s="13" t="s">
        <v>4379</v>
      </c>
      <c r="C4805" s="14" t="s">
        <v>4824</v>
      </c>
      <c r="D4805" s="1"/>
      <c r="E4805" s="1"/>
      <c r="F4805" s="1" t="str">
        <f>IFERROR(__xludf.DUMMYFUNCTION("GOOGLETRANSLATE(B4805, ""en"", ""fa"")
"),"مشاوره دوستیابی")</f>
        <v>مشاوره دوستیابی</v>
      </c>
      <c r="G4805" s="1" t="str">
        <f>IFERROR(__xludf.DUMMYFUNCTION("GOOGLETRANSLATE(C4805, ""en"", ""fa"")
"),"چگونه می توانم توانایی خود را برای پرسیدن سؤالات بعدی که کنجکاوی واقعی را نشان می دهد و بحث های عمیق تر را تشویق می کند، افزایش دهم؟")</f>
        <v>چگونه می توانم توانایی خود را برای پرسیدن سؤالات بعدی که کنجکاوی واقعی را نشان می دهد و بحث های عمیق تر را تشویق می کند، افزایش دهم؟</v>
      </c>
      <c r="H4805" s="1"/>
      <c r="I4805" s="1"/>
      <c r="J4805" s="1"/>
      <c r="K4805" s="1"/>
      <c r="L4805" s="1"/>
      <c r="M4805" s="1"/>
      <c r="N4805" s="1"/>
      <c r="O4805" s="1"/>
      <c r="P4805" s="1"/>
      <c r="Q4805" s="1"/>
      <c r="R4805" s="1"/>
      <c r="S4805" s="1"/>
      <c r="T4805" s="1"/>
      <c r="U4805" s="1"/>
      <c r="V4805" s="1"/>
      <c r="W4805" s="1"/>
      <c r="X4805" s="1"/>
      <c r="Y4805" s="1"/>
      <c r="Z4805" s="1"/>
      <c r="AA4805" s="1"/>
      <c r="AB4805" s="1"/>
    </row>
    <row r="4806" ht="50.25" customHeight="1">
      <c r="A4806" s="12">
        <v>4802.0</v>
      </c>
      <c r="B4806" s="13" t="s">
        <v>4379</v>
      </c>
      <c r="C4806" s="14" t="s">
        <v>4825</v>
      </c>
      <c r="D4806" s="1"/>
      <c r="E4806" s="1"/>
      <c r="F4806" s="1" t="str">
        <f>IFERROR(__xludf.DUMMYFUNCTION("GOOGLETRANSLATE(B4806, ""en"", ""fa"")
"),"مشاوره دوستیابی")</f>
        <v>مشاوره دوستیابی</v>
      </c>
      <c r="G4806" s="1" t="str">
        <f>IFERROR(__xludf.DUMMYFUNCTION("GOOGLETRANSLATE(C4806, ""en"", ""fa"")
"),"چند راهکار برای استفاده از صدای فعال و زبان قاطعانه در مکالمات چیست؟")</f>
        <v>چند راهکار برای استفاده از صدای فعال و زبان قاطعانه در مکالمات چیست؟</v>
      </c>
      <c r="H4806" s="1"/>
      <c r="I4806" s="1"/>
      <c r="J4806" s="1"/>
      <c r="K4806" s="1"/>
      <c r="L4806" s="1"/>
      <c r="M4806" s="1"/>
      <c r="N4806" s="1"/>
      <c r="O4806" s="1"/>
      <c r="P4806" s="1"/>
      <c r="Q4806" s="1"/>
      <c r="R4806" s="1"/>
      <c r="S4806" s="1"/>
      <c r="T4806" s="1"/>
      <c r="U4806" s="1"/>
      <c r="V4806" s="1"/>
      <c r="W4806" s="1"/>
      <c r="X4806" s="1"/>
      <c r="Y4806" s="1"/>
      <c r="Z4806" s="1"/>
      <c r="AA4806" s="1"/>
      <c r="AB4806" s="1"/>
    </row>
    <row r="4807" ht="50.25" customHeight="1">
      <c r="A4807" s="12">
        <v>4803.0</v>
      </c>
      <c r="B4807" s="13" t="s">
        <v>4379</v>
      </c>
      <c r="C4807" s="14" t="s">
        <v>4826</v>
      </c>
      <c r="D4807" s="1"/>
      <c r="E4807" s="1"/>
      <c r="F4807" s="1" t="str">
        <f>IFERROR(__xludf.DUMMYFUNCTION("GOOGLETRANSLATE(B4807, ""en"", ""fa"")
"),"مشاوره دوستیابی")</f>
        <v>مشاوره دوستیابی</v>
      </c>
      <c r="G4807" s="1" t="str">
        <f>IFERROR(__xludf.DUMMYFUNCTION("GOOGLETRANSLATE(C4807, ""en"", ""fa"")
"),"چگونه می توانم مهارت بازنویسی خود را برای اطمینان از درک و روشن کردن هرگونه سوء تفاهم بالقوه بهبود بخشم؟")</f>
        <v>چگونه می توانم مهارت بازنویسی خود را برای اطمینان از درک و روشن کردن هرگونه سوء تفاهم بالقوه بهبود بخشم؟</v>
      </c>
      <c r="H4807" s="1"/>
      <c r="I4807" s="1"/>
      <c r="J4807" s="1"/>
      <c r="K4807" s="1"/>
      <c r="L4807" s="1"/>
      <c r="M4807" s="1"/>
      <c r="N4807" s="1"/>
      <c r="O4807" s="1"/>
      <c r="P4807" s="1"/>
      <c r="Q4807" s="1"/>
      <c r="R4807" s="1"/>
      <c r="S4807" s="1"/>
      <c r="T4807" s="1"/>
      <c r="U4807" s="1"/>
      <c r="V4807" s="1"/>
      <c r="W4807" s="1"/>
      <c r="X4807" s="1"/>
      <c r="Y4807" s="1"/>
      <c r="Z4807" s="1"/>
      <c r="AA4807" s="1"/>
      <c r="AB4807" s="1"/>
    </row>
    <row r="4808" ht="50.25" customHeight="1">
      <c r="A4808" s="12">
        <v>4804.0</v>
      </c>
      <c r="B4808" s="13" t="s">
        <v>4379</v>
      </c>
      <c r="C4808" s="14" t="s">
        <v>4827</v>
      </c>
      <c r="D4808" s="1"/>
      <c r="E4808" s="1"/>
      <c r="F4808" s="1" t="str">
        <f>IFERROR(__xludf.DUMMYFUNCTION("GOOGLETRANSLATE(B4808, ""en"", ""fa"")
"),"مشاوره دوستیابی")</f>
        <v>مشاوره دوستیابی</v>
      </c>
      <c r="G4808" s="1" t="str">
        <f>IFERROR(__xludf.DUMMYFUNCTION("GOOGLETRANSLATE(C4808, ""en"", ""fa"")
"),"چند تکنیک برای استفاده از همدلی و اعتبار برای حمایت از احساسات و تجربیات طرف مقابل چیست؟")</f>
        <v>چند تکنیک برای استفاده از همدلی و اعتبار برای حمایت از احساسات و تجربیات طرف مقابل چیست؟</v>
      </c>
      <c r="H4808" s="1"/>
      <c r="I4808" s="1"/>
      <c r="J4808" s="1"/>
      <c r="K4808" s="1"/>
      <c r="L4808" s="1"/>
      <c r="M4808" s="1"/>
      <c r="N4808" s="1"/>
      <c r="O4808" s="1"/>
      <c r="P4808" s="1"/>
      <c r="Q4808" s="1"/>
      <c r="R4808" s="1"/>
      <c r="S4808" s="1"/>
      <c r="T4808" s="1"/>
      <c r="U4808" s="1"/>
      <c r="V4808" s="1"/>
      <c r="W4808" s="1"/>
      <c r="X4808" s="1"/>
      <c r="Y4808" s="1"/>
      <c r="Z4808" s="1"/>
      <c r="AA4808" s="1"/>
      <c r="AB4808" s="1"/>
    </row>
    <row r="4809" ht="50.25" customHeight="1">
      <c r="A4809" s="12">
        <v>4805.0</v>
      </c>
      <c r="B4809" s="13" t="s">
        <v>4379</v>
      </c>
      <c r="C4809" s="14" t="s">
        <v>4828</v>
      </c>
      <c r="D4809" s="1"/>
      <c r="E4809" s="1"/>
      <c r="F4809" s="1" t="str">
        <f>IFERROR(__xludf.DUMMYFUNCTION("GOOGLETRANSLATE(B4809, ""en"", ""fa"")
"),"مشاوره دوستیابی")</f>
        <v>مشاوره دوستیابی</v>
      </c>
      <c r="G4809" s="1" t="str">
        <f>IFERROR(__xludf.DUMMYFUNCTION("GOOGLETRANSLATE(C4809, ""en"", ""fa"")
"),"چگونه می توانم مهارت خود را در یافتن زمینه های مشترک و ارتباط بر سر علایق یا ارزش های مشترک توسعه دهم؟")</f>
        <v>چگونه می توانم مهارت خود را در یافتن زمینه های مشترک و ارتباط بر سر علایق یا ارزش های مشترک توسعه دهم؟</v>
      </c>
      <c r="H4809" s="1"/>
      <c r="I4809" s="1"/>
      <c r="J4809" s="1"/>
      <c r="K4809" s="1"/>
      <c r="L4809" s="1"/>
      <c r="M4809" s="1"/>
      <c r="N4809" s="1"/>
      <c r="O4809" s="1"/>
      <c r="P4809" s="1"/>
      <c r="Q4809" s="1"/>
      <c r="R4809" s="1"/>
      <c r="S4809" s="1"/>
      <c r="T4809" s="1"/>
      <c r="U4809" s="1"/>
      <c r="V4809" s="1"/>
      <c r="W4809" s="1"/>
      <c r="X4809" s="1"/>
      <c r="Y4809" s="1"/>
      <c r="Z4809" s="1"/>
      <c r="AA4809" s="1"/>
      <c r="AB4809" s="1"/>
    </row>
    <row r="4810" ht="50.25" customHeight="1">
      <c r="A4810" s="12">
        <v>4806.0</v>
      </c>
      <c r="B4810" s="13" t="s">
        <v>4379</v>
      </c>
      <c r="C4810" s="14" t="s">
        <v>4829</v>
      </c>
      <c r="D4810" s="1"/>
      <c r="E4810" s="1"/>
      <c r="F4810" s="1" t="str">
        <f>IFERROR(__xludf.DUMMYFUNCTION("GOOGLETRANSLATE(B4810, ""en"", ""fa"")
"),"مشاوره دوستیابی")</f>
        <v>مشاوره دوستیابی</v>
      </c>
      <c r="G4810" s="1" t="str">
        <f>IFERROR(__xludf.DUMMYFUNCTION("GOOGLETRANSLATE(C4810, ""en"", ""fa"")
"),"چند نکته برای تمرین خودآگاهی و نظارت بر الگوهای ارتباطی و تمایلات خودم چیست؟")</f>
        <v>چند نکته برای تمرین خودآگاهی و نظارت بر الگوهای ارتباطی و تمایلات خودم چیست؟</v>
      </c>
      <c r="H4810" s="1"/>
      <c r="I4810" s="1"/>
      <c r="J4810" s="1"/>
      <c r="K4810" s="1"/>
      <c r="L4810" s="1"/>
      <c r="M4810" s="1"/>
      <c r="N4810" s="1"/>
      <c r="O4810" s="1"/>
      <c r="P4810" s="1"/>
      <c r="Q4810" s="1"/>
      <c r="R4810" s="1"/>
      <c r="S4810" s="1"/>
      <c r="T4810" s="1"/>
      <c r="U4810" s="1"/>
      <c r="V4810" s="1"/>
      <c r="W4810" s="1"/>
      <c r="X4810" s="1"/>
      <c r="Y4810" s="1"/>
      <c r="Z4810" s="1"/>
      <c r="AA4810" s="1"/>
      <c r="AB4810" s="1"/>
    </row>
    <row r="4811" ht="50.25" customHeight="1">
      <c r="A4811" s="12">
        <v>4807.0</v>
      </c>
      <c r="B4811" s="13" t="s">
        <v>4379</v>
      </c>
      <c r="C4811" s="14" t="s">
        <v>4830</v>
      </c>
      <c r="D4811" s="1"/>
      <c r="E4811" s="1"/>
      <c r="F4811" s="1" t="str">
        <f>IFERROR(__xludf.DUMMYFUNCTION("GOOGLETRANSLATE(B4811, ""en"", ""fa"")
"),"مشاوره دوستیابی")</f>
        <v>مشاوره دوستیابی</v>
      </c>
      <c r="G4811" s="1" t="str">
        <f>IFERROR(__xludf.DUMMYFUNCTION("GOOGLETRANSLATE(C4811, ""en"", ""fa"")
"),"چگونه می توانم توانایی خود را برای ارائه انتقاد سازنده بدون قضاوت یا تند بودن افزایش دهم؟")</f>
        <v>چگونه می توانم توانایی خود را برای ارائه انتقاد سازنده بدون قضاوت یا تند بودن افزایش دهم؟</v>
      </c>
      <c r="H4811" s="1"/>
      <c r="I4811" s="1"/>
      <c r="J4811" s="1"/>
      <c r="K4811" s="1"/>
      <c r="L4811" s="1"/>
      <c r="M4811" s="1"/>
      <c r="N4811" s="1"/>
      <c r="O4811" s="1"/>
      <c r="P4811" s="1"/>
      <c r="Q4811" s="1"/>
      <c r="R4811" s="1"/>
      <c r="S4811" s="1"/>
      <c r="T4811" s="1"/>
      <c r="U4811" s="1"/>
      <c r="V4811" s="1"/>
      <c r="W4811" s="1"/>
      <c r="X4811" s="1"/>
      <c r="Y4811" s="1"/>
      <c r="Z4811" s="1"/>
      <c r="AA4811" s="1"/>
      <c r="AB4811" s="1"/>
    </row>
    <row r="4812" ht="50.25" customHeight="1">
      <c r="A4812" s="12">
        <v>4808.0</v>
      </c>
      <c r="B4812" s="13" t="s">
        <v>4379</v>
      </c>
      <c r="C4812" s="14" t="s">
        <v>4831</v>
      </c>
      <c r="D4812" s="1"/>
      <c r="E4812" s="1"/>
      <c r="F4812" s="1" t="str">
        <f>IFERROR(__xludf.DUMMYFUNCTION("GOOGLETRANSLATE(B4812, ""en"", ""fa"")
"),"مشاوره دوستیابی")</f>
        <v>مشاوره دوستیابی</v>
      </c>
      <c r="G4812" s="1" t="str">
        <f>IFERROR(__xludf.DUMMYFUNCTION("GOOGLETRANSLATE(C4812, ""en"", ""fa"")
"),"چند استراتژی برای مدیریت عوامل حواس پرتی و درگیر ماندن کامل در مکالمات چیست؟")</f>
        <v>چند استراتژی برای مدیریت عوامل حواس پرتی و درگیر ماندن کامل در مکالمات چیست؟</v>
      </c>
      <c r="H4812" s="1"/>
      <c r="I4812" s="1"/>
      <c r="J4812" s="1"/>
      <c r="K4812" s="1"/>
      <c r="L4812" s="1"/>
      <c r="M4812" s="1"/>
      <c r="N4812" s="1"/>
      <c r="O4812" s="1"/>
      <c r="P4812" s="1"/>
      <c r="Q4812" s="1"/>
      <c r="R4812" s="1"/>
      <c r="S4812" s="1"/>
      <c r="T4812" s="1"/>
      <c r="U4812" s="1"/>
      <c r="V4812" s="1"/>
      <c r="W4812" s="1"/>
      <c r="X4812" s="1"/>
      <c r="Y4812" s="1"/>
      <c r="Z4812" s="1"/>
      <c r="AA4812" s="1"/>
      <c r="AB4812" s="1"/>
    </row>
    <row r="4813" ht="50.25" customHeight="1">
      <c r="A4813" s="12">
        <v>4809.0</v>
      </c>
      <c r="B4813" s="13" t="s">
        <v>4379</v>
      </c>
      <c r="C4813" s="14" t="s">
        <v>4832</v>
      </c>
      <c r="D4813" s="1"/>
      <c r="E4813" s="1"/>
      <c r="F4813" s="1" t="str">
        <f>IFERROR(__xludf.DUMMYFUNCTION("GOOGLETRANSLATE(B4813, ""en"", ""fa"")
"),"مشاوره دوستیابی")</f>
        <v>مشاوره دوستیابی</v>
      </c>
      <c r="G4813" s="1" t="str">
        <f>IFERROR(__xludf.DUMMYFUNCTION("GOOGLETRANSLATE(C4813, ""en"", ""fa"")
"),"چگونه می توانم مهارت های گوش دادن فعال خود را بهبود بخشم تا به نشانه های ظریف پی ببرم و معنای اساسی را درک کنم؟")</f>
        <v>چگونه می توانم مهارت های گوش دادن فعال خود را بهبود بخشم تا به نشانه های ظریف پی ببرم و معنای اساسی را درک کنم؟</v>
      </c>
      <c r="H4813" s="1"/>
      <c r="I4813" s="1"/>
      <c r="J4813" s="1"/>
      <c r="K4813" s="1"/>
      <c r="L4813" s="1"/>
      <c r="M4813" s="1"/>
      <c r="N4813" s="1"/>
      <c r="O4813" s="1"/>
      <c r="P4813" s="1"/>
      <c r="Q4813" s="1"/>
      <c r="R4813" s="1"/>
      <c r="S4813" s="1"/>
      <c r="T4813" s="1"/>
      <c r="U4813" s="1"/>
      <c r="V4813" s="1"/>
      <c r="W4813" s="1"/>
      <c r="X4813" s="1"/>
      <c r="Y4813" s="1"/>
      <c r="Z4813" s="1"/>
      <c r="AA4813" s="1"/>
      <c r="AB4813" s="1"/>
    </row>
    <row r="4814" ht="50.25" customHeight="1">
      <c r="A4814" s="12">
        <v>4810.0</v>
      </c>
      <c r="B4814" s="13" t="s">
        <v>4379</v>
      </c>
      <c r="C4814" s="14" t="s">
        <v>4833</v>
      </c>
      <c r="D4814" s="1"/>
      <c r="E4814" s="1"/>
      <c r="F4814" s="1" t="str">
        <f>IFERROR(__xludf.DUMMYFUNCTION("GOOGLETRANSLATE(B4814, ""en"", ""fa"")
"),"مشاوره دوستیابی")</f>
        <v>مشاوره دوستیابی</v>
      </c>
      <c r="G4814" s="1" t="str">
        <f>IFERROR(__xludf.DUMMYFUNCTION("GOOGLETRANSLATE(C4814, ""en"", ""fa"")
"),"چند تکنیک برای استفاده از تقویت و تشویق مثبت در گفتگوها چیست؟")</f>
        <v>چند تکنیک برای استفاده از تقویت و تشویق مثبت در گفتگوها چیست؟</v>
      </c>
      <c r="H4814" s="1"/>
      <c r="I4814" s="1"/>
      <c r="J4814" s="1"/>
      <c r="K4814" s="1"/>
      <c r="L4814" s="1"/>
      <c r="M4814" s="1"/>
      <c r="N4814" s="1"/>
      <c r="O4814" s="1"/>
      <c r="P4814" s="1"/>
      <c r="Q4814" s="1"/>
      <c r="R4814" s="1"/>
      <c r="S4814" s="1"/>
      <c r="T4814" s="1"/>
      <c r="U4814" s="1"/>
      <c r="V4814" s="1"/>
      <c r="W4814" s="1"/>
      <c r="X4814" s="1"/>
      <c r="Y4814" s="1"/>
      <c r="Z4814" s="1"/>
      <c r="AA4814" s="1"/>
      <c r="AB4814" s="1"/>
    </row>
    <row r="4815" ht="50.25" customHeight="1">
      <c r="A4815" s="12">
        <v>4811.0</v>
      </c>
      <c r="B4815" s="13" t="s">
        <v>4379</v>
      </c>
      <c r="C4815" s="14" t="s">
        <v>4834</v>
      </c>
      <c r="D4815" s="1"/>
      <c r="E4815" s="1"/>
      <c r="F4815" s="1" t="str">
        <f>IFERROR(__xludf.DUMMYFUNCTION("GOOGLETRANSLATE(B4815, ""en"", ""fa"")
"),"مشاوره دوستیابی")</f>
        <v>مشاوره دوستیابی</v>
      </c>
      <c r="G4815" s="1" t="str">
        <f>IFERROR(__xludf.DUMMYFUNCTION("GOOGLETRANSLATE(C4815, ""en"", ""fa"")
"),"چگونه می توانم مهارت خود را در دادن فضا و اجازه دادن به طرف مقابل برای بیان کامل خود توسعه دهم؟")</f>
        <v>چگونه می توانم مهارت خود را در دادن فضا و اجازه دادن به طرف مقابل برای بیان کامل خود توسعه دهم؟</v>
      </c>
      <c r="H4815" s="1"/>
      <c r="I4815" s="1"/>
      <c r="J4815" s="1"/>
      <c r="K4815" s="1"/>
      <c r="L4815" s="1"/>
      <c r="M4815" s="1"/>
      <c r="N4815" s="1"/>
      <c r="O4815" s="1"/>
      <c r="P4815" s="1"/>
      <c r="Q4815" s="1"/>
      <c r="R4815" s="1"/>
      <c r="S4815" s="1"/>
      <c r="T4815" s="1"/>
      <c r="U4815" s="1"/>
      <c r="V4815" s="1"/>
      <c r="W4815" s="1"/>
      <c r="X4815" s="1"/>
      <c r="Y4815" s="1"/>
      <c r="Z4815" s="1"/>
      <c r="AA4815" s="1"/>
      <c r="AB4815" s="1"/>
    </row>
    <row r="4816" ht="50.25" customHeight="1">
      <c r="A4816" s="12">
        <v>4812.0</v>
      </c>
      <c r="B4816" s="13" t="s">
        <v>4379</v>
      </c>
      <c r="C4816" s="14" t="s">
        <v>4835</v>
      </c>
      <c r="D4816" s="1"/>
      <c r="E4816" s="1"/>
      <c r="F4816" s="1" t="str">
        <f>IFERROR(__xludf.DUMMYFUNCTION("GOOGLETRANSLATE(B4816, ""en"", ""fa"")
"),"مشاوره دوستیابی")</f>
        <v>مشاوره دوستیابی</v>
      </c>
      <c r="G4816" s="1" t="str">
        <f>IFERROR(__xludf.DUMMYFUNCTION("GOOGLETRANSLATE(C4816, ""en"", ""fa"")
"),"چند نکته برای تمرین اصالت و صادق بودن با خودم در مکالمات چیست؟")</f>
        <v>چند نکته برای تمرین اصالت و صادق بودن با خودم در مکالمات چیست؟</v>
      </c>
      <c r="H4816" s="1"/>
      <c r="I4816" s="1"/>
      <c r="J4816" s="1"/>
      <c r="K4816" s="1"/>
      <c r="L4816" s="1"/>
      <c r="M4816" s="1"/>
      <c r="N4816" s="1"/>
      <c r="O4816" s="1"/>
      <c r="P4816" s="1"/>
      <c r="Q4816" s="1"/>
      <c r="R4816" s="1"/>
      <c r="S4816" s="1"/>
      <c r="T4816" s="1"/>
      <c r="U4816" s="1"/>
      <c r="V4816" s="1"/>
      <c r="W4816" s="1"/>
      <c r="X4816" s="1"/>
      <c r="Y4816" s="1"/>
      <c r="Z4816" s="1"/>
      <c r="AA4816" s="1"/>
      <c r="AB4816" s="1"/>
    </row>
    <row r="4817" ht="50.25" customHeight="1">
      <c r="A4817" s="12">
        <v>4813.0</v>
      </c>
      <c r="B4817" s="13" t="s">
        <v>4379</v>
      </c>
      <c r="C4817" s="14" t="s">
        <v>4836</v>
      </c>
      <c r="D4817" s="1"/>
      <c r="E4817" s="1"/>
      <c r="F4817" s="1" t="str">
        <f>IFERROR(__xludf.DUMMYFUNCTION("GOOGLETRANSLATE(B4817, ""en"", ""fa"")
"),"مشاوره دوستیابی")</f>
        <v>مشاوره دوستیابی</v>
      </c>
      <c r="G4817" s="1" t="str">
        <f>IFERROR(__xludf.DUMMYFUNCTION("GOOGLETRANSLATE(C4817, ""en"", ""fa"")
"),"چگونه می توانم توانایی خود را برای پیمایش موضوعات حساس یا دشوار به شیوه ای محترمانه و همدلانه افزایش دهم؟")</f>
        <v>چگونه می توانم توانایی خود را برای پیمایش موضوعات حساس یا دشوار به شیوه ای محترمانه و همدلانه افزایش دهم؟</v>
      </c>
      <c r="H4817" s="1"/>
      <c r="I4817" s="1"/>
      <c r="J4817" s="1"/>
      <c r="K4817" s="1"/>
      <c r="L4817" s="1"/>
      <c r="M4817" s="1"/>
      <c r="N4817" s="1"/>
      <c r="O4817" s="1"/>
      <c r="P4817" s="1"/>
      <c r="Q4817" s="1"/>
      <c r="R4817" s="1"/>
      <c r="S4817" s="1"/>
      <c r="T4817" s="1"/>
      <c r="U4817" s="1"/>
      <c r="V4817" s="1"/>
      <c r="W4817" s="1"/>
      <c r="X4817" s="1"/>
      <c r="Y4817" s="1"/>
      <c r="Z4817" s="1"/>
      <c r="AA4817" s="1"/>
      <c r="AB4817" s="1"/>
    </row>
    <row r="4818" ht="50.25" customHeight="1">
      <c r="A4818" s="12">
        <v>4814.0</v>
      </c>
      <c r="B4818" s="13" t="s">
        <v>4379</v>
      </c>
      <c r="C4818" s="14" t="s">
        <v>4837</v>
      </c>
      <c r="D4818" s="1"/>
      <c r="E4818" s="1"/>
      <c r="F4818" s="1" t="str">
        <f>IFERROR(__xludf.DUMMYFUNCTION("GOOGLETRANSLATE(B4818, ""en"", ""fa"")
"),"مشاوره دوستیابی")</f>
        <v>مشاوره دوستیابی</v>
      </c>
      <c r="G4818" s="1" t="str">
        <f>IFERROR(__xludf.DUMMYFUNCTION("GOOGLETRANSLATE(C4818, ""en"", ""fa"")
"),"چند راهکار برای استفاده از تکنیک‌های ارتباطی مؤثر در دوستیابی آنلاین، مانند استفاده از ایموجی‌ها و انتقال لحن از طریق متن چیست؟")</f>
        <v>چند راهکار برای استفاده از تکنیک‌های ارتباطی مؤثر در دوستیابی آنلاین، مانند استفاده از ایموجی‌ها و انتقال لحن از طریق متن چیست؟</v>
      </c>
      <c r="H4818" s="1"/>
      <c r="I4818" s="1"/>
      <c r="J4818" s="1"/>
      <c r="K4818" s="1"/>
      <c r="L4818" s="1"/>
      <c r="M4818" s="1"/>
      <c r="N4818" s="1"/>
      <c r="O4818" s="1"/>
      <c r="P4818" s="1"/>
      <c r="Q4818" s="1"/>
      <c r="R4818" s="1"/>
      <c r="S4818" s="1"/>
      <c r="T4818" s="1"/>
      <c r="U4818" s="1"/>
      <c r="V4818" s="1"/>
      <c r="W4818" s="1"/>
      <c r="X4818" s="1"/>
      <c r="Y4818" s="1"/>
      <c r="Z4818" s="1"/>
      <c r="AA4818" s="1"/>
      <c r="AB4818" s="1"/>
    </row>
    <row r="4819" ht="50.25" customHeight="1">
      <c r="A4819" s="12">
        <v>4815.0</v>
      </c>
      <c r="B4819" s="13" t="s">
        <v>4379</v>
      </c>
      <c r="C4819" s="14" t="s">
        <v>4838</v>
      </c>
      <c r="D4819" s="1"/>
      <c r="E4819" s="1"/>
      <c r="F4819" s="1" t="str">
        <f>IFERROR(__xludf.DUMMYFUNCTION("GOOGLETRANSLATE(B4819, ""en"", ""fa"")
"),"مشاوره دوستیابی")</f>
        <v>مشاوره دوستیابی</v>
      </c>
      <c r="G4819" s="1" t="str">
        <f>IFERROR(__xludf.DUMMYFUNCTION("GOOGLETRANSLATE(C4819, ""en"", ""fa"")
"),"برخی از خطوط آغازین بازیگوش و عشوه گر که می تواند توجه کسی را در برنامه دوستیابی جلب کند چیست؟")</f>
        <v>برخی از خطوط آغازین بازیگوش و عشوه گر که می تواند توجه کسی را در برنامه دوستیابی جلب کند چیست؟</v>
      </c>
      <c r="H4819" s="1"/>
      <c r="I4819" s="1"/>
      <c r="J4819" s="1"/>
      <c r="K4819" s="1"/>
      <c r="L4819" s="1"/>
      <c r="M4819" s="1"/>
      <c r="N4819" s="1"/>
      <c r="O4819" s="1"/>
      <c r="P4819" s="1"/>
      <c r="Q4819" s="1"/>
      <c r="R4819" s="1"/>
      <c r="S4819" s="1"/>
      <c r="T4819" s="1"/>
      <c r="U4819" s="1"/>
      <c r="V4819" s="1"/>
      <c r="W4819" s="1"/>
      <c r="X4819" s="1"/>
      <c r="Y4819" s="1"/>
      <c r="Z4819" s="1"/>
      <c r="AA4819" s="1"/>
      <c r="AB4819" s="1"/>
    </row>
    <row r="4820" ht="50.25" customHeight="1">
      <c r="A4820" s="12">
        <v>4816.0</v>
      </c>
      <c r="B4820" s="13" t="s">
        <v>4379</v>
      </c>
      <c r="C4820" s="14" t="s">
        <v>4839</v>
      </c>
      <c r="D4820" s="1"/>
      <c r="E4820" s="1"/>
      <c r="F4820" s="1" t="str">
        <f>IFERROR(__xludf.DUMMYFUNCTION("GOOGLETRANSLATE(B4820, ""en"", ""fa"")
"),"مشاوره دوستیابی")</f>
        <v>مشاوره دوستیابی</v>
      </c>
      <c r="G4820" s="1" t="str">
        <f>IFERROR(__xludf.DUMMYFUNCTION("GOOGLETRANSLATE(C4820, ""en"", ""fa"")
"),"چگونه می توانم از طنز برای ایجاد فضایی سبک و جذاب هنگام معاشقه استفاده کنم؟")</f>
        <v>چگونه می توانم از طنز برای ایجاد فضایی سبک و جذاب هنگام معاشقه استفاده کنم؟</v>
      </c>
      <c r="H4820" s="1"/>
      <c r="I4820" s="1"/>
      <c r="J4820" s="1"/>
      <c r="K4820" s="1"/>
      <c r="L4820" s="1"/>
      <c r="M4820" s="1"/>
      <c r="N4820" s="1"/>
      <c r="O4820" s="1"/>
      <c r="P4820" s="1"/>
      <c r="Q4820" s="1"/>
      <c r="R4820" s="1"/>
      <c r="S4820" s="1"/>
      <c r="T4820" s="1"/>
      <c r="U4820" s="1"/>
      <c r="V4820" s="1"/>
      <c r="W4820" s="1"/>
      <c r="X4820" s="1"/>
      <c r="Y4820" s="1"/>
      <c r="Z4820" s="1"/>
      <c r="AA4820" s="1"/>
      <c r="AB4820" s="1"/>
    </row>
    <row r="4821" ht="50.25" customHeight="1">
      <c r="A4821" s="12">
        <v>4817.0</v>
      </c>
      <c r="B4821" s="13" t="s">
        <v>4379</v>
      </c>
      <c r="C4821" s="14" t="s">
        <v>4840</v>
      </c>
      <c r="D4821" s="1"/>
      <c r="E4821" s="1"/>
      <c r="F4821" s="1" t="str">
        <f>IFERROR(__xludf.DUMMYFUNCTION("GOOGLETRANSLATE(B4821, ""en"", ""fa"")
"),"مشاوره دوستیابی")</f>
        <v>مشاوره دوستیابی</v>
      </c>
      <c r="G4821" s="1" t="str">
        <f>IFERROR(__xludf.DUMMYFUNCTION("GOOGLETRANSLATE(C4821, ""en"", ""fa"")
"),"چه تکنیک هایی برای استفاده از ایموجی ها و GIF ها برای تقویت مکالمات معاشقه وجود دارد؟")</f>
        <v>چه تکنیک هایی برای استفاده از ایموجی ها و GIF ها برای تقویت مکالمات معاشقه وجود دارد؟</v>
      </c>
      <c r="H4821" s="1"/>
      <c r="I4821" s="1"/>
      <c r="J4821" s="1"/>
      <c r="K4821" s="1"/>
      <c r="L4821" s="1"/>
      <c r="M4821" s="1"/>
      <c r="N4821" s="1"/>
      <c r="O4821" s="1"/>
      <c r="P4821" s="1"/>
      <c r="Q4821" s="1"/>
      <c r="R4821" s="1"/>
      <c r="S4821" s="1"/>
      <c r="T4821" s="1"/>
      <c r="U4821" s="1"/>
      <c r="V4821" s="1"/>
      <c r="W4821" s="1"/>
      <c r="X4821" s="1"/>
      <c r="Y4821" s="1"/>
      <c r="Z4821" s="1"/>
      <c r="AA4821" s="1"/>
      <c r="AB4821" s="1"/>
    </row>
    <row r="4822" ht="50.25" customHeight="1">
      <c r="A4822" s="12">
        <v>4818.0</v>
      </c>
      <c r="B4822" s="13" t="s">
        <v>4379</v>
      </c>
      <c r="C4822" s="14" t="s">
        <v>4841</v>
      </c>
      <c r="D4822" s="1"/>
      <c r="E4822" s="1"/>
      <c r="F4822" s="1" t="str">
        <f>IFERROR(__xludf.DUMMYFUNCTION("GOOGLETRANSLATE(B4822, ""en"", ""fa"")
"),"مشاوره دوستیابی")</f>
        <v>مشاوره دوستیابی</v>
      </c>
      <c r="G4822" s="1" t="str">
        <f>IFERROR(__xludf.DUMMYFUNCTION("GOOGLETRANSLATE(C4822, ""en"", ""fa"")
"),"چگونه می توانم با نشان دادن علاقه واقعی به علایق و سرگرمی های شخصی با کسی ارتباط قوی برقرار کنم؟")</f>
        <v>چگونه می توانم با نشان دادن علاقه واقعی به علایق و سرگرمی های شخصی با کسی ارتباط قوی برقرار کنم؟</v>
      </c>
      <c r="H4822" s="1"/>
      <c r="I4822" s="1"/>
      <c r="J4822" s="1"/>
      <c r="K4822" s="1"/>
      <c r="L4822" s="1"/>
      <c r="M4822" s="1"/>
      <c r="N4822" s="1"/>
      <c r="O4822" s="1"/>
      <c r="P4822" s="1"/>
      <c r="Q4822" s="1"/>
      <c r="R4822" s="1"/>
      <c r="S4822" s="1"/>
      <c r="T4822" s="1"/>
      <c r="U4822" s="1"/>
      <c r="V4822" s="1"/>
      <c r="W4822" s="1"/>
      <c r="X4822" s="1"/>
      <c r="Y4822" s="1"/>
      <c r="Z4822" s="1"/>
      <c r="AA4822" s="1"/>
      <c r="AB4822" s="1"/>
    </row>
    <row r="4823" ht="50.25" customHeight="1">
      <c r="A4823" s="12">
        <v>4819.0</v>
      </c>
      <c r="B4823" s="13" t="s">
        <v>4379</v>
      </c>
      <c r="C4823" s="14" t="s">
        <v>4842</v>
      </c>
      <c r="D4823" s="1"/>
      <c r="E4823" s="1"/>
      <c r="F4823" s="1" t="str">
        <f>IFERROR(__xludf.DUMMYFUNCTION("GOOGLETRANSLATE(B4823, ""en"", ""fa"")
"),"مشاوره دوستیابی")</f>
        <v>مشاوره دوستیابی</v>
      </c>
      <c r="G4823" s="1" t="str">
        <f>IFERROR(__xludf.DUMMYFUNCTION("GOOGLETRANSLATE(C4823, ""en"", ""fa"")
"),"چند نکته برای استفاده موثر از تعریف و تمجیدها برای ایجاد احساس خاص و قدردانی در طرف مقابل چیست؟")</f>
        <v>چند نکته برای استفاده موثر از تعریف و تمجیدها برای ایجاد احساس خاص و قدردانی در طرف مقابل چیست؟</v>
      </c>
      <c r="H4823" s="1"/>
      <c r="I4823" s="1"/>
      <c r="J4823" s="1"/>
      <c r="K4823" s="1"/>
      <c r="L4823" s="1"/>
      <c r="M4823" s="1"/>
      <c r="N4823" s="1"/>
      <c r="O4823" s="1"/>
      <c r="P4823" s="1"/>
      <c r="Q4823" s="1"/>
      <c r="R4823" s="1"/>
      <c r="S4823" s="1"/>
      <c r="T4823" s="1"/>
      <c r="U4823" s="1"/>
      <c r="V4823" s="1"/>
      <c r="W4823" s="1"/>
      <c r="X4823" s="1"/>
      <c r="Y4823" s="1"/>
      <c r="Z4823" s="1"/>
      <c r="AA4823" s="1"/>
      <c r="AB4823" s="1"/>
    </row>
    <row r="4824" ht="50.25" customHeight="1">
      <c r="A4824" s="12">
        <v>4820.0</v>
      </c>
      <c r="B4824" s="13" t="s">
        <v>4379</v>
      </c>
      <c r="C4824" s="14" t="s">
        <v>4843</v>
      </c>
      <c r="D4824" s="1"/>
      <c r="E4824" s="1"/>
      <c r="F4824" s="1" t="str">
        <f>IFERROR(__xludf.DUMMYFUNCTION("GOOGLETRANSLATE(B4824, ""en"", ""fa"")
"),"مشاوره دوستیابی")</f>
        <v>مشاوره دوستیابی</v>
      </c>
      <c r="G4824" s="1" t="str">
        <f>IFERROR(__xludf.DUMMYFUNCTION("GOOGLETRANSLATE(C4824, ""en"", ""fa"")
"),"چگونه می توانم حس دسیسه و رمز و راز ایجاد کنم تا مکالمه را هیجان انگیز نگه دارم و انتظار ایجاد کنم؟")</f>
        <v>چگونه می توانم حس دسیسه و رمز و راز ایجاد کنم تا مکالمه را هیجان انگیز نگه دارم و انتظار ایجاد کنم؟</v>
      </c>
      <c r="H4824" s="1"/>
      <c r="I4824" s="1"/>
      <c r="J4824" s="1"/>
      <c r="K4824" s="1"/>
      <c r="L4824" s="1"/>
      <c r="M4824" s="1"/>
      <c r="N4824" s="1"/>
      <c r="O4824" s="1"/>
      <c r="P4824" s="1"/>
      <c r="Q4824" s="1"/>
      <c r="R4824" s="1"/>
      <c r="S4824" s="1"/>
      <c r="T4824" s="1"/>
      <c r="U4824" s="1"/>
      <c r="V4824" s="1"/>
      <c r="W4824" s="1"/>
      <c r="X4824" s="1"/>
      <c r="Y4824" s="1"/>
      <c r="Z4824" s="1"/>
      <c r="AA4824" s="1"/>
      <c r="AB4824" s="1"/>
    </row>
    <row r="4825" ht="50.25" customHeight="1">
      <c r="A4825" s="12">
        <v>4821.0</v>
      </c>
      <c r="B4825" s="13" t="s">
        <v>4379</v>
      </c>
      <c r="C4825" s="14" t="s">
        <v>4844</v>
      </c>
      <c r="D4825" s="1"/>
      <c r="E4825" s="1"/>
      <c r="F4825" s="1" t="str">
        <f>IFERROR(__xludf.DUMMYFUNCTION("GOOGLETRANSLATE(B4825, ""en"", ""fa"")
"),"مشاوره دوستیابی")</f>
        <v>مشاوره دوستیابی</v>
      </c>
      <c r="G4825" s="1" t="str">
        <f>IFERROR(__xludf.DUMMYFUNCTION("GOOGLETRANSLATE(C4825, ""en"", ""fa"")
"),"چند استراتژی برای استفاده از شوخی و شوخی های بازیگوش برای ایجاد پویایی معاشقه و سرگرم کننده چیست؟")</f>
        <v>چند استراتژی برای استفاده از شوخی و شوخی های بازیگوش برای ایجاد پویایی معاشقه و سرگرم کننده چیست؟</v>
      </c>
      <c r="H4825" s="1"/>
      <c r="I4825" s="1"/>
      <c r="J4825" s="1"/>
      <c r="K4825" s="1"/>
      <c r="L4825" s="1"/>
      <c r="M4825" s="1"/>
      <c r="N4825" s="1"/>
      <c r="O4825" s="1"/>
      <c r="P4825" s="1"/>
      <c r="Q4825" s="1"/>
      <c r="R4825" s="1"/>
      <c r="S4825" s="1"/>
      <c r="T4825" s="1"/>
      <c r="U4825" s="1"/>
      <c r="V4825" s="1"/>
      <c r="W4825" s="1"/>
      <c r="X4825" s="1"/>
      <c r="Y4825" s="1"/>
      <c r="Z4825" s="1"/>
      <c r="AA4825" s="1"/>
      <c r="AB4825" s="1"/>
    </row>
    <row r="4826" ht="50.25" customHeight="1">
      <c r="A4826" s="12">
        <v>4822.0</v>
      </c>
      <c r="B4826" s="13" t="s">
        <v>4379</v>
      </c>
      <c r="C4826" s="14" t="s">
        <v>4845</v>
      </c>
      <c r="D4826" s="1"/>
      <c r="E4826" s="1"/>
      <c r="F4826" s="1" t="str">
        <f>IFERROR(__xludf.DUMMYFUNCTION("GOOGLETRANSLATE(B4826, ""en"", ""fa"")
"),"مشاوره دوستیابی")</f>
        <v>مشاوره دوستیابی</v>
      </c>
      <c r="G4826" s="1" t="str">
        <f>IFERROR(__xludf.DUMMYFUNCTION("GOOGLETRANSLATE(C4826, ""en"", ""fa"")
"),"چگونه می توانم از داستان سرایی برای به اشتراک گذاشتن تجربیات شخصی و ایجاد ارتباط عمیق تر استفاده کنم؟")</f>
        <v>چگونه می توانم از داستان سرایی برای به اشتراک گذاشتن تجربیات شخصی و ایجاد ارتباط عمیق تر استفاده کنم؟</v>
      </c>
      <c r="H4826" s="1"/>
      <c r="I4826" s="1"/>
      <c r="J4826" s="1"/>
      <c r="K4826" s="1"/>
      <c r="L4826" s="1"/>
      <c r="M4826" s="1"/>
      <c r="N4826" s="1"/>
      <c r="O4826" s="1"/>
      <c r="P4826" s="1"/>
      <c r="Q4826" s="1"/>
      <c r="R4826" s="1"/>
      <c r="S4826" s="1"/>
      <c r="T4826" s="1"/>
      <c r="U4826" s="1"/>
      <c r="V4826" s="1"/>
      <c r="W4826" s="1"/>
      <c r="X4826" s="1"/>
      <c r="Y4826" s="1"/>
      <c r="Z4826" s="1"/>
      <c r="AA4826" s="1"/>
      <c r="AB4826" s="1"/>
    </row>
    <row r="4827" ht="50.25" customHeight="1">
      <c r="A4827" s="12">
        <v>4823.0</v>
      </c>
      <c r="B4827" s="13" t="s">
        <v>4379</v>
      </c>
      <c r="C4827" s="14" t="s">
        <v>4846</v>
      </c>
      <c r="D4827" s="1"/>
      <c r="E4827" s="1"/>
      <c r="F4827" s="1" t="str">
        <f>IFERROR(__xludf.DUMMYFUNCTION("GOOGLETRANSLATE(B4827, ""en"", ""fa"")
"),"مشاوره دوستیابی")</f>
        <v>مشاوره دوستیابی</v>
      </c>
      <c r="G4827" s="1" t="str">
        <f>IFERROR(__xludf.DUMMYFUNCTION("GOOGLETRANSLATE(C4827, ""en"", ""fa"")
"),"چند تکنیک برای استفاده از زبان بدن عشوه گرانه، مانند تماس چشمی و لبخند زدن، در مکالمات آنلاین چیست؟")</f>
        <v>چند تکنیک برای استفاده از زبان بدن عشوه گرانه، مانند تماس چشمی و لبخند زدن، در مکالمات آنلاین چیست؟</v>
      </c>
      <c r="H4827" s="1"/>
      <c r="I4827" s="1"/>
      <c r="J4827" s="1"/>
      <c r="K4827" s="1"/>
      <c r="L4827" s="1"/>
      <c r="M4827" s="1"/>
      <c r="N4827" s="1"/>
      <c r="O4827" s="1"/>
      <c r="P4827" s="1"/>
      <c r="Q4827" s="1"/>
      <c r="R4827" s="1"/>
      <c r="S4827" s="1"/>
      <c r="T4827" s="1"/>
      <c r="U4827" s="1"/>
      <c r="V4827" s="1"/>
      <c r="W4827" s="1"/>
      <c r="X4827" s="1"/>
      <c r="Y4827" s="1"/>
      <c r="Z4827" s="1"/>
      <c r="AA4827" s="1"/>
      <c r="AB4827" s="1"/>
    </row>
    <row r="4828" ht="50.25" customHeight="1">
      <c r="A4828" s="12">
        <v>4824.0</v>
      </c>
      <c r="B4828" s="13" t="s">
        <v>4379</v>
      </c>
      <c r="C4828" s="14" t="s">
        <v>4847</v>
      </c>
      <c r="D4828" s="1"/>
      <c r="E4828" s="1"/>
      <c r="F4828" s="1" t="str">
        <f>IFERROR(__xludf.DUMMYFUNCTION("GOOGLETRANSLATE(B4828, ""en"", ""fa"")
"),"مشاوره دوستیابی")</f>
        <v>مشاوره دوستیابی</v>
      </c>
      <c r="G4828" s="1" t="str">
        <f>IFERROR(__xludf.DUMMYFUNCTION("GOOGLETRANSLATE(C4828, ""en"", ""fa"")
"),"چگونه می توانم احساس صمیمیت و آسیب پذیری در مکالمات ایجاد کنم تا ارتباط را عمیق تر کنم؟")</f>
        <v>چگونه می توانم احساس صمیمیت و آسیب پذیری در مکالمات ایجاد کنم تا ارتباط را عمیق تر کنم؟</v>
      </c>
      <c r="H4828" s="1"/>
      <c r="I4828" s="1"/>
      <c r="J4828" s="1"/>
      <c r="K4828" s="1"/>
      <c r="L4828" s="1"/>
      <c r="M4828" s="1"/>
      <c r="N4828" s="1"/>
      <c r="O4828" s="1"/>
      <c r="P4828" s="1"/>
      <c r="Q4828" s="1"/>
      <c r="R4828" s="1"/>
      <c r="S4828" s="1"/>
      <c r="T4828" s="1"/>
      <c r="U4828" s="1"/>
      <c r="V4828" s="1"/>
      <c r="W4828" s="1"/>
      <c r="X4828" s="1"/>
      <c r="Y4828" s="1"/>
      <c r="Z4828" s="1"/>
      <c r="AA4828" s="1"/>
      <c r="AB4828" s="1"/>
    </row>
    <row r="4829" ht="50.25" customHeight="1">
      <c r="A4829" s="12">
        <v>4825.0</v>
      </c>
      <c r="B4829" s="13" t="s">
        <v>4379</v>
      </c>
      <c r="C4829" s="14" t="s">
        <v>4848</v>
      </c>
      <c r="D4829" s="1"/>
      <c r="E4829" s="1"/>
      <c r="F4829" s="1" t="str">
        <f>IFERROR(__xludf.DUMMYFUNCTION("GOOGLETRANSLATE(B4829, ""en"", ""fa"")
"),"مشاوره دوستیابی")</f>
        <v>مشاوره دوستیابی</v>
      </c>
      <c r="G4829" s="1" t="str">
        <f>IFERROR(__xludf.DUMMYFUNCTION("GOOGLETRANSLATE(C4829, ""en"", ""fa"")
"),"چند نکته برای استفاده از معاشقه به عنوان راهی برای ایجاد اعتماد به نفس و ایجاد یک تصویر مثبت از خود چیست؟")</f>
        <v>چند نکته برای استفاده از معاشقه به عنوان راهی برای ایجاد اعتماد به نفس و ایجاد یک تصویر مثبت از خود چیست؟</v>
      </c>
      <c r="H4829" s="1"/>
      <c r="I4829" s="1"/>
      <c r="J4829" s="1"/>
      <c r="K4829" s="1"/>
      <c r="L4829" s="1"/>
      <c r="M4829" s="1"/>
      <c r="N4829" s="1"/>
      <c r="O4829" s="1"/>
      <c r="P4829" s="1"/>
      <c r="Q4829" s="1"/>
      <c r="R4829" s="1"/>
      <c r="S4829" s="1"/>
      <c r="T4829" s="1"/>
      <c r="U4829" s="1"/>
      <c r="V4829" s="1"/>
      <c r="W4829" s="1"/>
      <c r="X4829" s="1"/>
      <c r="Y4829" s="1"/>
      <c r="Z4829" s="1"/>
      <c r="AA4829" s="1"/>
      <c r="AB4829" s="1"/>
    </row>
    <row r="4830" ht="50.25" customHeight="1">
      <c r="A4830" s="12">
        <v>4826.0</v>
      </c>
      <c r="B4830" s="13" t="s">
        <v>4379</v>
      </c>
      <c r="C4830" s="14" t="s">
        <v>4849</v>
      </c>
      <c r="D4830" s="1"/>
      <c r="E4830" s="1"/>
      <c r="F4830" s="1" t="str">
        <f>IFERROR(__xludf.DUMMYFUNCTION("GOOGLETRANSLATE(B4830, ""en"", ""fa"")
"),"مشاوره دوستیابی")</f>
        <v>مشاوره دوستیابی</v>
      </c>
      <c r="G4830" s="1" t="str">
        <f>IFERROR(__xludf.DUMMYFUNCTION("GOOGLETRANSLATE(C4830, ""en"", ""fa"")
"),"چگونه می توانم از کنجکاوی و سوالات واقعی برای کشف افکار و احساسات طرف مقابل استفاده کنم؟")</f>
        <v>چگونه می توانم از کنجکاوی و سوالات واقعی برای کشف افکار و احساسات طرف مقابل استفاده کنم؟</v>
      </c>
      <c r="H4830" s="1"/>
      <c r="I4830" s="1"/>
      <c r="J4830" s="1"/>
      <c r="K4830" s="1"/>
      <c r="L4830" s="1"/>
      <c r="M4830" s="1"/>
      <c r="N4830" s="1"/>
      <c r="O4830" s="1"/>
      <c r="P4830" s="1"/>
      <c r="Q4830" s="1"/>
      <c r="R4830" s="1"/>
      <c r="S4830" s="1"/>
      <c r="T4830" s="1"/>
      <c r="U4830" s="1"/>
      <c r="V4830" s="1"/>
      <c r="W4830" s="1"/>
      <c r="X4830" s="1"/>
      <c r="Y4830" s="1"/>
      <c r="Z4830" s="1"/>
      <c r="AA4830" s="1"/>
      <c r="AB4830" s="1"/>
    </row>
    <row r="4831" ht="50.25" customHeight="1">
      <c r="A4831" s="12">
        <v>4827.0</v>
      </c>
      <c r="B4831" s="13" t="s">
        <v>4379</v>
      </c>
      <c r="C4831" s="14" t="s">
        <v>4850</v>
      </c>
      <c r="D4831" s="1"/>
      <c r="E4831" s="1"/>
      <c r="F4831" s="1" t="str">
        <f>IFERROR(__xludf.DUMMYFUNCTION("GOOGLETRANSLATE(B4831, ""en"", ""fa"")
"),"مشاوره دوستیابی")</f>
        <v>مشاوره دوستیابی</v>
      </c>
      <c r="G4831" s="1" t="str">
        <f>IFERROR(__xludf.DUMMYFUNCTION("GOOGLETRANSLATE(C4831, ""en"", ""fa"")
"),"چند راهبرد برای استفاده از بازی لغت‌آمیز و دوتایی برای سبک و بازیگوش نگه داشتن مکالمه چیست؟")</f>
        <v>چند راهبرد برای استفاده از بازی لغت‌آمیز و دوتایی برای سبک و بازیگوش نگه داشتن مکالمه چیست؟</v>
      </c>
      <c r="H4831" s="1"/>
      <c r="I4831" s="1"/>
      <c r="J4831" s="1"/>
      <c r="K4831" s="1"/>
      <c r="L4831" s="1"/>
      <c r="M4831" s="1"/>
      <c r="N4831" s="1"/>
      <c r="O4831" s="1"/>
      <c r="P4831" s="1"/>
      <c r="Q4831" s="1"/>
      <c r="R4831" s="1"/>
      <c r="S4831" s="1"/>
      <c r="T4831" s="1"/>
      <c r="U4831" s="1"/>
      <c r="V4831" s="1"/>
      <c r="W4831" s="1"/>
      <c r="X4831" s="1"/>
      <c r="Y4831" s="1"/>
      <c r="Z4831" s="1"/>
      <c r="AA4831" s="1"/>
      <c r="AB4831" s="1"/>
    </row>
    <row r="4832" ht="50.25" customHeight="1">
      <c r="A4832" s="12">
        <v>4828.0</v>
      </c>
      <c r="B4832" s="13" t="s">
        <v>4379</v>
      </c>
      <c r="C4832" s="14" t="s">
        <v>4851</v>
      </c>
      <c r="D4832" s="1"/>
      <c r="E4832" s="1"/>
      <c r="F4832" s="1" t="str">
        <f>IFERROR(__xludf.DUMMYFUNCTION("GOOGLETRANSLATE(B4832, ""en"", ""fa"")
"),"مشاوره دوستیابی")</f>
        <v>مشاوره دوستیابی</v>
      </c>
      <c r="G4832" s="1" t="str">
        <f>IFERROR(__xludf.DUMMYFUNCTION("GOOGLETRANSLATE(C4832, ""en"", ""fa"")
"),"چگونه می توانم جذابیت و علاقه خود را با احترام و بدون فشار بیان کنم؟")</f>
        <v>چگونه می توانم جذابیت و علاقه خود را با احترام و بدون فشار بیان کنم؟</v>
      </c>
      <c r="H4832" s="1"/>
      <c r="I4832" s="1"/>
      <c r="J4832" s="1"/>
      <c r="K4832" s="1"/>
      <c r="L4832" s="1"/>
      <c r="M4832" s="1"/>
      <c r="N4832" s="1"/>
      <c r="O4832" s="1"/>
      <c r="P4832" s="1"/>
      <c r="Q4832" s="1"/>
      <c r="R4832" s="1"/>
      <c r="S4832" s="1"/>
      <c r="T4832" s="1"/>
      <c r="U4832" s="1"/>
      <c r="V4832" s="1"/>
      <c r="W4832" s="1"/>
      <c r="X4832" s="1"/>
      <c r="Y4832" s="1"/>
      <c r="Z4832" s="1"/>
      <c r="AA4832" s="1"/>
      <c r="AB4832" s="1"/>
    </row>
    <row r="4833" ht="50.25" customHeight="1">
      <c r="A4833" s="12">
        <v>4829.0</v>
      </c>
      <c r="B4833" s="13" t="s">
        <v>4379</v>
      </c>
      <c r="C4833" s="14" t="s">
        <v>4852</v>
      </c>
      <c r="D4833" s="1"/>
      <c r="E4833" s="1"/>
      <c r="F4833" s="1" t="str">
        <f>IFERROR(__xludf.DUMMYFUNCTION("GOOGLETRANSLATE(B4833, ""en"", ""fa"")
"),"مشاوره دوستیابی")</f>
        <v>مشاوره دوستیابی</v>
      </c>
      <c r="G4833" s="1" t="str">
        <f>IFERROR(__xludf.DUMMYFUNCTION("GOOGLETRANSLATE(C4833, ""en"", ""fa"")
"),"چند تکنیک برای استفاده از گوش دادن فعال و اعتبارسنجی برای ایجاد احساس شنیده شدن و درک شدن طرف مقابل چیست؟")</f>
        <v>چند تکنیک برای استفاده از گوش دادن فعال و اعتبارسنجی برای ایجاد احساس شنیده شدن و درک شدن طرف مقابل چیست؟</v>
      </c>
      <c r="H4833" s="1"/>
      <c r="I4833" s="1"/>
      <c r="J4833" s="1"/>
      <c r="K4833" s="1"/>
      <c r="L4833" s="1"/>
      <c r="M4833" s="1"/>
      <c r="N4833" s="1"/>
      <c r="O4833" s="1"/>
      <c r="P4833" s="1"/>
      <c r="Q4833" s="1"/>
      <c r="R4833" s="1"/>
      <c r="S4833" s="1"/>
      <c r="T4833" s="1"/>
      <c r="U4833" s="1"/>
      <c r="V4833" s="1"/>
      <c r="W4833" s="1"/>
      <c r="X4833" s="1"/>
      <c r="Y4833" s="1"/>
      <c r="Z4833" s="1"/>
      <c r="AA4833" s="1"/>
      <c r="AB4833" s="1"/>
    </row>
    <row r="4834" ht="50.25" customHeight="1">
      <c r="A4834" s="12">
        <v>4830.0</v>
      </c>
      <c r="B4834" s="13" t="s">
        <v>4379</v>
      </c>
      <c r="C4834" s="14" t="s">
        <v>4853</v>
      </c>
      <c r="D4834" s="1"/>
      <c r="E4834" s="1"/>
      <c r="F4834" s="1" t="str">
        <f>IFERROR(__xludf.DUMMYFUNCTION("GOOGLETRANSLATE(B4834, ""en"", ""fa"")
"),"مشاوره دوستیابی")</f>
        <v>مشاوره دوستیابی</v>
      </c>
      <c r="G4834" s="1" t="str">
        <f>IFERROR(__xludf.DUMMYFUNCTION("GOOGLETRANSLATE(C4834, ""en"", ""fa"")
"),"چگونه می توانم حس شیمی و تنش جنسی را از طریق معاشقه در مکالمات آنلاین ایجاد کنم؟")</f>
        <v>چگونه می توانم حس شیمی و تنش جنسی را از طریق معاشقه در مکالمات آنلاین ایجاد کنم؟</v>
      </c>
      <c r="H4834" s="1"/>
      <c r="I4834" s="1"/>
      <c r="J4834" s="1"/>
      <c r="K4834" s="1"/>
      <c r="L4834" s="1"/>
      <c r="M4834" s="1"/>
      <c r="N4834" s="1"/>
      <c r="O4834" s="1"/>
      <c r="P4834" s="1"/>
      <c r="Q4834" s="1"/>
      <c r="R4834" s="1"/>
      <c r="S4834" s="1"/>
      <c r="T4834" s="1"/>
      <c r="U4834" s="1"/>
      <c r="V4834" s="1"/>
      <c r="W4834" s="1"/>
      <c r="X4834" s="1"/>
      <c r="Y4834" s="1"/>
      <c r="Z4834" s="1"/>
      <c r="AA4834" s="1"/>
      <c r="AB4834" s="1"/>
    </row>
    <row r="4835" ht="50.25" customHeight="1">
      <c r="A4835" s="12">
        <v>4831.0</v>
      </c>
      <c r="B4835" s="13" t="s">
        <v>4379</v>
      </c>
      <c r="C4835" s="14" t="s">
        <v>4854</v>
      </c>
      <c r="D4835" s="1"/>
      <c r="E4835" s="1"/>
      <c r="F4835" s="1" t="str">
        <f>IFERROR(__xludf.DUMMYFUNCTION("GOOGLETRANSLATE(B4835, ""en"", ""fa"")
"),"مشاوره دوستیابی")</f>
        <v>مشاوره دوستیابی</v>
      </c>
      <c r="G4835" s="1" t="str">
        <f>IFERROR(__xludf.DUMMYFUNCTION("GOOGLETRANSLATE(C4835, ""en"", ""fa"")
"),"چه نکاتی برای استفاده از تعریف و تمجیدهایی وجود دارد که فراتر از ظاهر فیزیکی است و بر ویژگی ها یا ویژگی های شخصیتی تمرکز دارد؟")</f>
        <v>چه نکاتی برای استفاده از تعریف و تمجیدهایی وجود دارد که فراتر از ظاهر فیزیکی است و بر ویژگی ها یا ویژگی های شخصیتی تمرکز دارد؟</v>
      </c>
      <c r="H4835" s="1"/>
      <c r="I4835" s="1"/>
      <c r="J4835" s="1"/>
      <c r="K4835" s="1"/>
      <c r="L4835" s="1"/>
      <c r="M4835" s="1"/>
      <c r="N4835" s="1"/>
      <c r="O4835" s="1"/>
      <c r="P4835" s="1"/>
      <c r="Q4835" s="1"/>
      <c r="R4835" s="1"/>
      <c r="S4835" s="1"/>
      <c r="T4835" s="1"/>
      <c r="U4835" s="1"/>
      <c r="V4835" s="1"/>
      <c r="W4835" s="1"/>
      <c r="X4835" s="1"/>
      <c r="Y4835" s="1"/>
      <c r="Z4835" s="1"/>
      <c r="AA4835" s="1"/>
      <c r="AB4835" s="1"/>
    </row>
    <row r="4836" ht="50.25" customHeight="1">
      <c r="A4836" s="12">
        <v>4832.0</v>
      </c>
      <c r="B4836" s="13" t="s">
        <v>4379</v>
      </c>
      <c r="C4836" s="14" t="s">
        <v>4855</v>
      </c>
      <c r="D4836" s="1"/>
      <c r="E4836" s="1"/>
      <c r="F4836" s="1" t="str">
        <f>IFERROR(__xludf.DUMMYFUNCTION("GOOGLETRANSLATE(B4836, ""en"", ""fa"")
"),"مشاوره دوستیابی")</f>
        <v>مشاوره دوستیابی</v>
      </c>
      <c r="G4836" s="1" t="str">
        <f>IFERROR(__xludf.DUMMYFUNCTION("GOOGLETRANSLATE(C4836, ""en"", ""fa"")
"),"چگونه می توانم از کنجکاوی واقعی و سؤالات بعدی برای نشان دادن علاقه عمیق تر به طرف مقابل استفاده کنم؟")</f>
        <v>چگونه می توانم از کنجکاوی واقعی و سؤالات بعدی برای نشان دادن علاقه عمیق تر به طرف مقابل استفاده کنم؟</v>
      </c>
      <c r="H4836" s="1"/>
      <c r="I4836" s="1"/>
      <c r="J4836" s="1"/>
      <c r="K4836" s="1"/>
      <c r="L4836" s="1"/>
      <c r="M4836" s="1"/>
      <c r="N4836" s="1"/>
      <c r="O4836" s="1"/>
      <c r="P4836" s="1"/>
      <c r="Q4836" s="1"/>
      <c r="R4836" s="1"/>
      <c r="S4836" s="1"/>
      <c r="T4836" s="1"/>
      <c r="U4836" s="1"/>
      <c r="V4836" s="1"/>
      <c r="W4836" s="1"/>
      <c r="X4836" s="1"/>
      <c r="Y4836" s="1"/>
      <c r="Z4836" s="1"/>
      <c r="AA4836" s="1"/>
      <c r="AB4836" s="1"/>
    </row>
    <row r="4837" ht="50.25" customHeight="1">
      <c r="A4837" s="12">
        <v>4833.0</v>
      </c>
      <c r="B4837" s="13" t="s">
        <v>4379</v>
      </c>
      <c r="C4837" s="14" t="s">
        <v>4856</v>
      </c>
      <c r="D4837" s="1"/>
      <c r="E4837" s="1"/>
      <c r="F4837" s="1" t="str">
        <f>IFERROR(__xludf.DUMMYFUNCTION("GOOGLETRANSLATE(B4837, ""en"", ""fa"")
"),"مشاوره دوستیابی")</f>
        <v>مشاوره دوستیابی</v>
      </c>
      <c r="G4837" s="1" t="str">
        <f>IFERROR(__xludf.DUMMYFUNCTION("GOOGLETRANSLATE(C4837, ""en"", ""fa"")
"),"برای ایجاد حس بازیگوشی و هیجان، چه راهکارهایی برای استفاده از چالش ها یا جرات های عشوه گر وجود دارد؟")</f>
        <v>برای ایجاد حس بازیگوشی و هیجان، چه راهکارهایی برای استفاده از چالش ها یا جرات های عشوه گر وجود دارد؟</v>
      </c>
      <c r="H4837" s="1"/>
      <c r="I4837" s="1"/>
      <c r="J4837" s="1"/>
      <c r="K4837" s="1"/>
      <c r="L4837" s="1"/>
      <c r="M4837" s="1"/>
      <c r="N4837" s="1"/>
      <c r="O4837" s="1"/>
      <c r="P4837" s="1"/>
      <c r="Q4837" s="1"/>
      <c r="R4837" s="1"/>
      <c r="S4837" s="1"/>
      <c r="T4837" s="1"/>
      <c r="U4837" s="1"/>
      <c r="V4837" s="1"/>
      <c r="W4837" s="1"/>
      <c r="X4837" s="1"/>
      <c r="Y4837" s="1"/>
      <c r="Z4837" s="1"/>
      <c r="AA4837" s="1"/>
      <c r="AB4837" s="1"/>
    </row>
    <row r="4838" ht="50.25" customHeight="1">
      <c r="A4838" s="12">
        <v>4834.0</v>
      </c>
      <c r="B4838" s="13" t="s">
        <v>4379</v>
      </c>
      <c r="C4838" s="14" t="s">
        <v>4857</v>
      </c>
      <c r="D4838" s="1"/>
      <c r="E4838" s="1"/>
      <c r="F4838" s="1" t="str">
        <f>IFERROR(__xludf.DUMMYFUNCTION("GOOGLETRANSLATE(B4838, ""en"", ""fa"")
"),"مشاوره دوستیابی")</f>
        <v>مشاوره دوستیابی</v>
      </c>
      <c r="G4838" s="1" t="str">
        <f>IFERROR(__xludf.DUMMYFUNCTION("GOOGLETRANSLATE(C4838, ""en"", ""fa"")
"),"چگونه می توانم حس شوخ طبعی و شوخ طبعی خود را در مکالمات آنلاین برای ایجاد خنده و ارتباط بیان کنم؟")</f>
        <v>چگونه می توانم حس شوخ طبعی و شوخ طبعی خود را در مکالمات آنلاین برای ایجاد خنده و ارتباط بیان کنم؟</v>
      </c>
      <c r="H4838" s="1"/>
      <c r="I4838" s="1"/>
      <c r="J4838" s="1"/>
      <c r="K4838" s="1"/>
      <c r="L4838" s="1"/>
      <c r="M4838" s="1"/>
      <c r="N4838" s="1"/>
      <c r="O4838" s="1"/>
      <c r="P4838" s="1"/>
      <c r="Q4838" s="1"/>
      <c r="R4838" s="1"/>
      <c r="S4838" s="1"/>
      <c r="T4838" s="1"/>
      <c r="U4838" s="1"/>
      <c r="V4838" s="1"/>
      <c r="W4838" s="1"/>
      <c r="X4838" s="1"/>
      <c r="Y4838" s="1"/>
      <c r="Z4838" s="1"/>
      <c r="AA4838" s="1"/>
      <c r="AB4838" s="1"/>
    </row>
    <row r="4839" ht="50.25" customHeight="1">
      <c r="A4839" s="12">
        <v>4835.0</v>
      </c>
      <c r="B4839" s="13" t="s">
        <v>4379</v>
      </c>
      <c r="C4839" s="14" t="s">
        <v>4858</v>
      </c>
      <c r="D4839" s="1"/>
      <c r="E4839" s="1"/>
      <c r="F4839" s="1" t="str">
        <f>IFERROR(__xludf.DUMMYFUNCTION("GOOGLETRANSLATE(B4839, ""en"", ""fa"")
"),"مشاوره دوستیابی")</f>
        <v>مشاوره دوستیابی</v>
      </c>
      <c r="G4839" s="1" t="str">
        <f>IFERROR(__xludf.DUMMYFUNCTION("GOOGLETRANSLATE(C4839, ""en"", ""fa"")
"),"چند تکنیک برای استفاده از تجربیات مشترک یا جوک های درونی برای ایجاد ارتباط و ایجاد پیوند وجود دارد؟")</f>
        <v>چند تکنیک برای استفاده از تجربیات مشترک یا جوک های درونی برای ایجاد ارتباط و ایجاد پیوند وجود دارد؟</v>
      </c>
      <c r="H4839" s="1"/>
      <c r="I4839" s="1"/>
      <c r="J4839" s="1"/>
      <c r="K4839" s="1"/>
      <c r="L4839" s="1"/>
      <c r="M4839" s="1"/>
      <c r="N4839" s="1"/>
      <c r="O4839" s="1"/>
      <c r="P4839" s="1"/>
      <c r="Q4839" s="1"/>
      <c r="R4839" s="1"/>
      <c r="S4839" s="1"/>
      <c r="T4839" s="1"/>
      <c r="U4839" s="1"/>
      <c r="V4839" s="1"/>
      <c r="W4839" s="1"/>
      <c r="X4839" s="1"/>
      <c r="Y4839" s="1"/>
      <c r="Z4839" s="1"/>
      <c r="AA4839" s="1"/>
      <c r="AB4839" s="1"/>
    </row>
    <row r="4840" ht="50.25" customHeight="1">
      <c r="A4840" s="12">
        <v>4836.0</v>
      </c>
      <c r="B4840" s="13" t="s">
        <v>4379</v>
      </c>
      <c r="C4840" s="14" t="s">
        <v>4859</v>
      </c>
      <c r="D4840" s="1"/>
      <c r="E4840" s="1"/>
      <c r="F4840" s="1" t="str">
        <f>IFERROR(__xludf.DUMMYFUNCTION("GOOGLETRANSLATE(B4840, ""en"", ""fa"")
"),"مشاوره دوستیابی")</f>
        <v>مشاوره دوستیابی</v>
      </c>
      <c r="G4840" s="1" t="str">
        <f>IFERROR(__xludf.DUMMYFUNCTION("GOOGLETRANSLATE(C4840, ""en"", ""fa"")
"),"چگونه می توانم از شروع کننده های مکالمه لاستیک و خلاقانه برای متمایز شدن از جمعیت استفاده کنم و تاثیری به یاد ماندنی بر جای بگذارم؟")</f>
        <v>چگونه می توانم از شروع کننده های مکالمه لاستیک و خلاقانه برای متمایز شدن از جمعیت استفاده کنم و تاثیری به یاد ماندنی بر جای بگذارم؟</v>
      </c>
      <c r="H4840" s="1"/>
      <c r="I4840" s="1"/>
      <c r="J4840" s="1"/>
      <c r="K4840" s="1"/>
      <c r="L4840" s="1"/>
      <c r="M4840" s="1"/>
      <c r="N4840" s="1"/>
      <c r="O4840" s="1"/>
      <c r="P4840" s="1"/>
      <c r="Q4840" s="1"/>
      <c r="R4840" s="1"/>
      <c r="S4840" s="1"/>
      <c r="T4840" s="1"/>
      <c r="U4840" s="1"/>
      <c r="V4840" s="1"/>
      <c r="W4840" s="1"/>
      <c r="X4840" s="1"/>
      <c r="Y4840" s="1"/>
      <c r="Z4840" s="1"/>
      <c r="AA4840" s="1"/>
      <c r="AB4840" s="1"/>
    </row>
    <row r="4841" ht="50.25" customHeight="1">
      <c r="A4841" s="12">
        <v>4837.0</v>
      </c>
      <c r="B4841" s="13" t="s">
        <v>4379</v>
      </c>
      <c r="C4841" s="14" t="s">
        <v>4860</v>
      </c>
      <c r="D4841" s="1"/>
      <c r="E4841" s="1"/>
      <c r="F4841" s="1" t="str">
        <f>IFERROR(__xludf.DUMMYFUNCTION("GOOGLETRANSLATE(B4841, ""en"", ""fa"")
"),"مشاوره دوستیابی")</f>
        <v>مشاوره دوستیابی</v>
      </c>
      <c r="G4841" s="1" t="str">
        <f>IFERROR(__xludf.DUMMYFUNCTION("GOOGLETRANSLATE(C4841, ""en"", ""fa"")
"),"چند نکته برای استفاده از گوش دادن فعال برای دریافت نشانه های طرف مقابل و تنظیم مکالمه بر اساس آن چیست؟")</f>
        <v>چند نکته برای استفاده از گوش دادن فعال برای دریافت نشانه های طرف مقابل و تنظیم مکالمه بر اساس آن چیست؟</v>
      </c>
      <c r="H4841" s="1"/>
      <c r="I4841" s="1"/>
      <c r="J4841" s="1"/>
      <c r="K4841" s="1"/>
      <c r="L4841" s="1"/>
      <c r="M4841" s="1"/>
      <c r="N4841" s="1"/>
      <c r="O4841" s="1"/>
      <c r="P4841" s="1"/>
      <c r="Q4841" s="1"/>
      <c r="R4841" s="1"/>
      <c r="S4841" s="1"/>
      <c r="T4841" s="1"/>
      <c r="U4841" s="1"/>
      <c r="V4841" s="1"/>
      <c r="W4841" s="1"/>
      <c r="X4841" s="1"/>
      <c r="Y4841" s="1"/>
      <c r="Z4841" s="1"/>
      <c r="AA4841" s="1"/>
      <c r="AB4841" s="1"/>
    </row>
    <row r="4842" ht="50.25" customHeight="1">
      <c r="A4842" s="12">
        <v>4838.0</v>
      </c>
      <c r="B4842" s="13" t="s">
        <v>4379</v>
      </c>
      <c r="C4842" s="14" t="s">
        <v>4861</v>
      </c>
      <c r="D4842" s="1"/>
      <c r="E4842" s="1"/>
      <c r="F4842" s="1" t="str">
        <f>IFERROR(__xludf.DUMMYFUNCTION("GOOGLETRANSLATE(B4842, ""en"", ""fa"")
"),"مشاوره دوستیابی")</f>
        <v>مشاوره دوستیابی</v>
      </c>
      <c r="G4842" s="1" t="str">
        <f>IFERROR(__xludf.DUMMYFUNCTION("GOOGLETRANSLATE(C4842, ""en"", ""fa"")
"),"چگونه می توانم در مکالمات احساس راحتی و اعتماد ایجاد کنم تا طرف مقابل را به باز شدن تشویق کنم؟")</f>
        <v>چگونه می توانم در مکالمات احساس راحتی و اعتماد ایجاد کنم تا طرف مقابل را به باز شدن تشویق کنم؟</v>
      </c>
      <c r="H4842" s="1"/>
      <c r="I4842" s="1"/>
      <c r="J4842" s="1"/>
      <c r="K4842" s="1"/>
      <c r="L4842" s="1"/>
      <c r="M4842" s="1"/>
      <c r="N4842" s="1"/>
      <c r="O4842" s="1"/>
      <c r="P4842" s="1"/>
      <c r="Q4842" s="1"/>
      <c r="R4842" s="1"/>
      <c r="S4842" s="1"/>
      <c r="T4842" s="1"/>
      <c r="U4842" s="1"/>
      <c r="V4842" s="1"/>
      <c r="W4842" s="1"/>
      <c r="X4842" s="1"/>
      <c r="Y4842" s="1"/>
      <c r="Z4842" s="1"/>
      <c r="AA4842" s="1"/>
      <c r="AB4842" s="1"/>
    </row>
    <row r="4843" ht="50.25" customHeight="1">
      <c r="A4843" s="12">
        <v>4839.0</v>
      </c>
      <c r="B4843" s="13" t="s">
        <v>4379</v>
      </c>
      <c r="C4843" s="14" t="s">
        <v>4862</v>
      </c>
      <c r="D4843" s="1"/>
      <c r="E4843" s="1"/>
      <c r="F4843" s="1" t="str">
        <f>IFERROR(__xludf.DUMMYFUNCTION("GOOGLETRANSLATE(B4843, ""en"", ""fa"")
"),"مشاوره دوستیابی")</f>
        <v>مشاوره دوستیابی</v>
      </c>
      <c r="G4843" s="1" t="str">
        <f>IFERROR(__xludf.DUMMYFUNCTION("GOOGLETRANSLATE(C4843, ""en"", ""fa"")
"),"چند استراتژی برای استفاده از چالش های عشوه گر یا مسابقات بازیگوش برای جذاب نگه داشتن گفتگو چیست؟")</f>
        <v>چند استراتژی برای استفاده از چالش های عشوه گر یا مسابقات بازیگوش برای جذاب نگه داشتن گفتگو چیست؟</v>
      </c>
      <c r="H4843" s="1"/>
      <c r="I4843" s="1"/>
      <c r="J4843" s="1"/>
      <c r="K4843" s="1"/>
      <c r="L4843" s="1"/>
      <c r="M4843" s="1"/>
      <c r="N4843" s="1"/>
      <c r="O4843" s="1"/>
      <c r="P4843" s="1"/>
      <c r="Q4843" s="1"/>
      <c r="R4843" s="1"/>
      <c r="S4843" s="1"/>
      <c r="T4843" s="1"/>
      <c r="U4843" s="1"/>
      <c r="V4843" s="1"/>
      <c r="W4843" s="1"/>
      <c r="X4843" s="1"/>
      <c r="Y4843" s="1"/>
      <c r="Z4843" s="1"/>
      <c r="AA4843" s="1"/>
      <c r="AB4843" s="1"/>
    </row>
    <row r="4844" ht="50.25" customHeight="1">
      <c r="A4844" s="12">
        <v>4840.0</v>
      </c>
      <c r="B4844" s="13" t="s">
        <v>4379</v>
      </c>
      <c r="C4844" s="14" t="s">
        <v>4863</v>
      </c>
      <c r="D4844" s="1"/>
      <c r="E4844" s="1"/>
      <c r="F4844" s="1" t="str">
        <f>IFERROR(__xludf.DUMMYFUNCTION("GOOGLETRANSLATE(B4844, ""en"", ""fa"")
"),"مشاوره دوستیابی")</f>
        <v>مشاوره دوستیابی</v>
      </c>
      <c r="G4844" s="1" t="str">
        <f>IFERROR(__xludf.DUMMYFUNCTION("GOOGLETRANSLATE(C4844, ""en"", ""fa"")
"),"چگونه می توانم تحسین خود را نسبت به ویژگی ها یا دستاوردهای طرف مقابل به شیوه ای صمیمانه و معنادار ابراز کنم؟")</f>
        <v>چگونه می توانم تحسین خود را نسبت به ویژگی ها یا دستاوردهای طرف مقابل به شیوه ای صمیمانه و معنادار ابراز کنم؟</v>
      </c>
      <c r="H4844" s="1"/>
      <c r="I4844" s="1"/>
      <c r="J4844" s="1"/>
      <c r="K4844" s="1"/>
      <c r="L4844" s="1"/>
      <c r="M4844" s="1"/>
      <c r="N4844" s="1"/>
      <c r="O4844" s="1"/>
      <c r="P4844" s="1"/>
      <c r="Q4844" s="1"/>
      <c r="R4844" s="1"/>
      <c r="S4844" s="1"/>
      <c r="T4844" s="1"/>
      <c r="U4844" s="1"/>
      <c r="V4844" s="1"/>
      <c r="W4844" s="1"/>
      <c r="X4844" s="1"/>
      <c r="Y4844" s="1"/>
      <c r="Z4844" s="1"/>
      <c r="AA4844" s="1"/>
      <c r="AB4844" s="1"/>
    </row>
    <row r="4845" ht="50.25" customHeight="1">
      <c r="A4845" s="12">
        <v>4841.0</v>
      </c>
      <c r="B4845" s="13" t="s">
        <v>4379</v>
      </c>
      <c r="C4845" s="14" t="s">
        <v>4864</v>
      </c>
      <c r="D4845" s="1"/>
      <c r="E4845" s="1"/>
      <c r="F4845" s="1" t="str">
        <f>IFERROR(__xludf.DUMMYFUNCTION("GOOGLETRANSLATE(B4845, ""en"", ""fa"")
"),"مشاوره دوستیابی")</f>
        <v>مشاوره دوستیابی</v>
      </c>
      <c r="G4845" s="1" t="str">
        <f>IFERROR(__xludf.DUMMYFUNCTION("GOOGLETRANSLATE(C4845, ""en"", ""fa"")
"),"چه تکنیک هایی برای استفاده از لمس فیزیکی سبک در مکالمات آنلاین، مانند بازی های آنلاین مجازی یا تلنگرهای بازیگوش وجود دارد؟")</f>
        <v>چه تکنیک هایی برای استفاده از لمس فیزیکی سبک در مکالمات آنلاین، مانند بازی های آنلاین مجازی یا تلنگرهای بازیگوش وجود دارد؟</v>
      </c>
      <c r="H4845" s="1"/>
      <c r="I4845" s="1"/>
      <c r="J4845" s="1"/>
      <c r="K4845" s="1"/>
      <c r="L4845" s="1"/>
      <c r="M4845" s="1"/>
      <c r="N4845" s="1"/>
      <c r="O4845" s="1"/>
      <c r="P4845" s="1"/>
      <c r="Q4845" s="1"/>
      <c r="R4845" s="1"/>
      <c r="S4845" s="1"/>
      <c r="T4845" s="1"/>
      <c r="U4845" s="1"/>
      <c r="V4845" s="1"/>
      <c r="W4845" s="1"/>
      <c r="X4845" s="1"/>
      <c r="Y4845" s="1"/>
      <c r="Z4845" s="1"/>
      <c r="AA4845" s="1"/>
      <c r="AB4845" s="1"/>
    </row>
    <row r="4846" ht="50.25" customHeight="1">
      <c r="A4846" s="12">
        <v>4842.0</v>
      </c>
      <c r="B4846" s="13" t="s">
        <v>4379</v>
      </c>
      <c r="C4846" s="14" t="s">
        <v>4865</v>
      </c>
      <c r="D4846" s="1"/>
      <c r="E4846" s="1"/>
      <c r="F4846" s="1" t="str">
        <f>IFERROR(__xludf.DUMMYFUNCTION("GOOGLETRANSLATE(B4846, ""en"", ""fa"")
"),"مشاوره دوستیابی")</f>
        <v>مشاوره دوستیابی</v>
      </c>
      <c r="G4846" s="1" t="str">
        <f>IFERROR(__xludf.DUMMYFUNCTION("GOOGLETRANSLATE(C4846, ""en"", ""fa"")
"),"چگونه می توانم از نقش آفرینی یا سناریوهای فرضی برای ایجاد حس ماجراجویی و هیجان استفاده کنم؟")</f>
        <v>چگونه می توانم از نقش آفرینی یا سناریوهای فرضی برای ایجاد حس ماجراجویی و هیجان استفاده کنم؟</v>
      </c>
      <c r="H4846" s="1"/>
      <c r="I4846" s="1"/>
      <c r="J4846" s="1"/>
      <c r="K4846" s="1"/>
      <c r="L4846" s="1"/>
      <c r="M4846" s="1"/>
      <c r="N4846" s="1"/>
      <c r="O4846" s="1"/>
      <c r="P4846" s="1"/>
      <c r="Q4846" s="1"/>
      <c r="R4846" s="1"/>
      <c r="S4846" s="1"/>
      <c r="T4846" s="1"/>
      <c r="U4846" s="1"/>
      <c r="V4846" s="1"/>
      <c r="W4846" s="1"/>
      <c r="X4846" s="1"/>
      <c r="Y4846" s="1"/>
      <c r="Z4846" s="1"/>
      <c r="AA4846" s="1"/>
      <c r="AB4846" s="1"/>
    </row>
    <row r="4847" ht="50.25" customHeight="1">
      <c r="A4847" s="12">
        <v>4843.0</v>
      </c>
      <c r="B4847" s="13" t="s">
        <v>4379</v>
      </c>
      <c r="C4847" s="14" t="s">
        <v>4866</v>
      </c>
      <c r="D4847" s="1"/>
      <c r="E4847" s="1"/>
      <c r="F4847" s="1" t="str">
        <f>IFERROR(__xludf.DUMMYFUNCTION("GOOGLETRANSLATE(B4847, ""en"", ""fa"")
"),"مشاوره دوستیابی")</f>
        <v>مشاوره دوستیابی</v>
      </c>
      <c r="G4847" s="1" t="str">
        <f>IFERROR(__xludf.DUMMYFUNCTION("GOOGLETRANSLATE(C4847, ""en"", ""fa"")
"),"چند نکته برای استفاده از تعریف و تمجید به عنوان راهی برای ایجاد عزت نفس و اعتماد به نفس طرف مقابل چیست؟")</f>
        <v>چند نکته برای استفاده از تعریف و تمجید به عنوان راهی برای ایجاد عزت نفس و اعتماد به نفس طرف مقابل چیست؟</v>
      </c>
      <c r="H4847" s="1"/>
      <c r="I4847" s="1"/>
      <c r="J4847" s="1"/>
      <c r="K4847" s="1"/>
      <c r="L4847" s="1"/>
      <c r="M4847" s="1"/>
      <c r="N4847" s="1"/>
      <c r="O4847" s="1"/>
      <c r="P4847" s="1"/>
      <c r="Q4847" s="1"/>
      <c r="R4847" s="1"/>
      <c r="S4847" s="1"/>
      <c r="T4847" s="1"/>
      <c r="U4847" s="1"/>
      <c r="V4847" s="1"/>
      <c r="W4847" s="1"/>
      <c r="X4847" s="1"/>
      <c r="Y4847" s="1"/>
      <c r="Z4847" s="1"/>
      <c r="AA4847" s="1"/>
      <c r="AB4847" s="1"/>
    </row>
    <row r="4848" ht="50.25" customHeight="1">
      <c r="A4848" s="12">
        <v>4844.0</v>
      </c>
      <c r="B4848" s="13" t="s">
        <v>4379</v>
      </c>
      <c r="C4848" s="14" t="s">
        <v>4867</v>
      </c>
      <c r="D4848" s="1"/>
      <c r="E4848" s="1"/>
      <c r="F4848" s="1" t="str">
        <f>IFERROR(__xludf.DUMMYFUNCTION("GOOGLETRANSLATE(B4848, ""en"", ""fa"")
"),"مشاوره دوستیابی")</f>
        <v>مشاوره دوستیابی</v>
      </c>
      <c r="G4848" s="1" t="str">
        <f>IFERROR(__xludf.DUMMYFUNCTION("GOOGLETRANSLATE(C4848, ""en"", ""fa"")
"),"چگونه می توانم از طریق معاشقه حس انتظار ایجاد کنم و به یک ملاقات یا قرار بالقوه برسم؟")</f>
        <v>چگونه می توانم از طریق معاشقه حس انتظار ایجاد کنم و به یک ملاقات یا قرار بالقوه برسم؟</v>
      </c>
      <c r="H4848" s="1"/>
      <c r="I4848" s="1"/>
      <c r="J4848" s="1"/>
      <c r="K4848" s="1"/>
      <c r="L4848" s="1"/>
      <c r="M4848" s="1"/>
      <c r="N4848" s="1"/>
      <c r="O4848" s="1"/>
      <c r="P4848" s="1"/>
      <c r="Q4848" s="1"/>
      <c r="R4848" s="1"/>
      <c r="S4848" s="1"/>
      <c r="T4848" s="1"/>
      <c r="U4848" s="1"/>
      <c r="V4848" s="1"/>
      <c r="W4848" s="1"/>
      <c r="X4848" s="1"/>
      <c r="Y4848" s="1"/>
      <c r="Z4848" s="1"/>
      <c r="AA4848" s="1"/>
      <c r="AB4848" s="1"/>
    </row>
    <row r="4849" ht="50.25" customHeight="1">
      <c r="A4849" s="12">
        <v>4845.0</v>
      </c>
      <c r="B4849" s="13" t="s">
        <v>4379</v>
      </c>
      <c r="C4849" s="14" t="s">
        <v>4868</v>
      </c>
      <c r="D4849" s="1"/>
      <c r="E4849" s="1"/>
      <c r="F4849" s="1" t="str">
        <f>IFERROR(__xludf.DUMMYFUNCTION("GOOGLETRANSLATE(B4849, ""en"", ""fa"")
"),"مشاوره دوستیابی")</f>
        <v>مشاوره دوستیابی</v>
      </c>
      <c r="G4849" s="1" t="str">
        <f>IFERROR(__xludf.DUMMYFUNCTION("GOOGLETRANSLATE(C4849, ""en"", ""fa"")
"),"چند راهبرد برای استفاده از چالش‌ها یا سؤالات عشوه‌گر برای کشف علایق و ارزش‌های مشترک چیست؟")</f>
        <v>چند راهبرد برای استفاده از چالش‌ها یا سؤالات عشوه‌گر برای کشف علایق و ارزش‌های مشترک چیست؟</v>
      </c>
      <c r="H4849" s="1"/>
      <c r="I4849" s="1"/>
      <c r="J4849" s="1"/>
      <c r="K4849" s="1"/>
      <c r="L4849" s="1"/>
      <c r="M4849" s="1"/>
      <c r="N4849" s="1"/>
      <c r="O4849" s="1"/>
      <c r="P4849" s="1"/>
      <c r="Q4849" s="1"/>
      <c r="R4849" s="1"/>
      <c r="S4849" s="1"/>
      <c r="T4849" s="1"/>
      <c r="U4849" s="1"/>
      <c r="V4849" s="1"/>
      <c r="W4849" s="1"/>
      <c r="X4849" s="1"/>
      <c r="Y4849" s="1"/>
      <c r="Z4849" s="1"/>
      <c r="AA4849" s="1"/>
      <c r="AB4849" s="1"/>
    </row>
    <row r="4850" ht="50.25" customHeight="1">
      <c r="A4850" s="12">
        <v>4846.0</v>
      </c>
      <c r="B4850" s="13" t="s">
        <v>4379</v>
      </c>
      <c r="C4850" s="14" t="s">
        <v>4869</v>
      </c>
      <c r="D4850" s="1"/>
      <c r="E4850" s="1"/>
      <c r="F4850" s="1" t="str">
        <f>IFERROR(__xludf.DUMMYFUNCTION("GOOGLETRANSLATE(B4850, ""en"", ""fa"")
"),"مشاوره دوستیابی")</f>
        <v>مشاوره دوستیابی</v>
      </c>
      <c r="G4850" s="1" t="str">
        <f>IFERROR(__xludf.DUMMYFUNCTION("GOOGLETRANSLATE(C4850, ""en"", ""fa"")
"),"چگونه می توانم آسیب پذیری خود را بیان کنم و داستان های شخصی را به عنوان راهی برای ایجاد ارتباط عمیق تر به اشتراک بگذارم؟")</f>
        <v>چگونه می توانم آسیب پذیری خود را بیان کنم و داستان های شخصی را به عنوان راهی برای ایجاد ارتباط عمیق تر به اشتراک بگذارم؟</v>
      </c>
      <c r="H4850" s="1"/>
      <c r="I4850" s="1"/>
      <c r="J4850" s="1"/>
      <c r="K4850" s="1"/>
      <c r="L4850" s="1"/>
      <c r="M4850" s="1"/>
      <c r="N4850" s="1"/>
      <c r="O4850" s="1"/>
      <c r="P4850" s="1"/>
      <c r="Q4850" s="1"/>
      <c r="R4850" s="1"/>
      <c r="S4850" s="1"/>
      <c r="T4850" s="1"/>
      <c r="U4850" s="1"/>
      <c r="V4850" s="1"/>
      <c r="W4850" s="1"/>
      <c r="X4850" s="1"/>
      <c r="Y4850" s="1"/>
      <c r="Z4850" s="1"/>
      <c r="AA4850" s="1"/>
      <c r="AB4850" s="1"/>
    </row>
    <row r="4851" ht="50.25" customHeight="1">
      <c r="A4851" s="12">
        <v>4847.0</v>
      </c>
      <c r="B4851" s="13" t="s">
        <v>4379</v>
      </c>
      <c r="C4851" s="14" t="s">
        <v>4870</v>
      </c>
      <c r="D4851" s="1"/>
      <c r="E4851" s="1"/>
      <c r="F4851" s="1" t="str">
        <f>IFERROR(__xludf.DUMMYFUNCTION("GOOGLETRANSLATE(B4851, ""en"", ""fa"")
"),"مشاوره دوستیابی")</f>
        <v>مشاوره دوستیابی</v>
      </c>
      <c r="G4851" s="1" t="str">
        <f>IFERROR(__xludf.DUMMYFUNCTION("GOOGLETRANSLATE(C4851, ""en"", ""fa"")
"),"چند تکنیک برای استفاده از زبان حسی برای برانگیختن احساسات و ایجاد یک تجربه زنده در مکالمات چیست؟")</f>
        <v>چند تکنیک برای استفاده از زبان حسی برای برانگیختن احساسات و ایجاد یک تجربه زنده در مکالمات چیست؟</v>
      </c>
      <c r="H4851" s="1"/>
      <c r="I4851" s="1"/>
      <c r="J4851" s="1"/>
      <c r="K4851" s="1"/>
      <c r="L4851" s="1"/>
      <c r="M4851" s="1"/>
      <c r="N4851" s="1"/>
      <c r="O4851" s="1"/>
      <c r="P4851" s="1"/>
      <c r="Q4851" s="1"/>
      <c r="R4851" s="1"/>
      <c r="S4851" s="1"/>
      <c r="T4851" s="1"/>
      <c r="U4851" s="1"/>
      <c r="V4851" s="1"/>
      <c r="W4851" s="1"/>
      <c r="X4851" s="1"/>
      <c r="Y4851" s="1"/>
      <c r="Z4851" s="1"/>
      <c r="AA4851" s="1"/>
      <c r="AB4851" s="1"/>
    </row>
    <row r="4852" ht="50.25" customHeight="1">
      <c r="A4852" s="12">
        <v>4848.0</v>
      </c>
      <c r="B4852" s="13" t="s">
        <v>4379</v>
      </c>
      <c r="C4852" s="14" t="s">
        <v>4871</v>
      </c>
      <c r="D4852" s="1"/>
      <c r="E4852" s="1"/>
      <c r="F4852" s="1" t="str">
        <f>IFERROR(__xludf.DUMMYFUNCTION("GOOGLETRANSLATE(B4852, ""en"", ""fa"")
"),"مشاوره دوستیابی")</f>
        <v>مشاوره دوستیابی</v>
      </c>
      <c r="G4852" s="1" t="str">
        <f>IFERROR(__xludf.DUMMYFUNCTION("GOOGLETRANSLATE(C4852, ""en"", ""fa"")
"),"چگونه می توانم از بازیگوشی و خودانگیختگی برای شکستن یخ و ایجاد فضایی آرام استفاده کنم؟")</f>
        <v>چگونه می توانم از بازیگوشی و خودانگیختگی برای شکستن یخ و ایجاد فضایی آرام استفاده کنم؟</v>
      </c>
      <c r="H4852" s="1"/>
      <c r="I4852" s="1"/>
      <c r="J4852" s="1"/>
      <c r="K4852" s="1"/>
      <c r="L4852" s="1"/>
      <c r="M4852" s="1"/>
      <c r="N4852" s="1"/>
      <c r="O4852" s="1"/>
      <c r="P4852" s="1"/>
      <c r="Q4852" s="1"/>
      <c r="R4852" s="1"/>
      <c r="S4852" s="1"/>
      <c r="T4852" s="1"/>
      <c r="U4852" s="1"/>
      <c r="V4852" s="1"/>
      <c r="W4852" s="1"/>
      <c r="X4852" s="1"/>
      <c r="Y4852" s="1"/>
      <c r="Z4852" s="1"/>
      <c r="AA4852" s="1"/>
      <c r="AB4852" s="1"/>
    </row>
    <row r="4853" ht="50.25" customHeight="1">
      <c r="A4853" s="12">
        <v>4849.0</v>
      </c>
      <c r="B4853" s="13" t="s">
        <v>4379</v>
      </c>
      <c r="C4853" s="14" t="s">
        <v>4872</v>
      </c>
      <c r="D4853" s="1"/>
      <c r="E4853" s="1"/>
      <c r="F4853" s="1" t="str">
        <f>IFERROR(__xludf.DUMMYFUNCTION("GOOGLETRANSLATE(B4853, ""en"", ""fa"")
"),"مشاوره دوستیابی")</f>
        <v>مشاوره دوستیابی</v>
      </c>
      <c r="G4853" s="1" t="str">
        <f>IFERROR(__xludf.DUMMYFUNCTION("GOOGLETRANSLATE(C4853, ""en"", ""fa"")
"),"چند نکته برای استفاده از تعارفات عشوه آمیز که خاص و متناسب با طرف مقابل هستند چیست؟")</f>
        <v>چند نکته برای استفاده از تعارفات عشوه آمیز که خاص و متناسب با طرف مقابل هستند چیست؟</v>
      </c>
      <c r="H4853" s="1"/>
      <c r="I4853" s="1"/>
      <c r="J4853" s="1"/>
      <c r="K4853" s="1"/>
      <c r="L4853" s="1"/>
      <c r="M4853" s="1"/>
      <c r="N4853" s="1"/>
      <c r="O4853" s="1"/>
      <c r="P4853" s="1"/>
      <c r="Q4853" s="1"/>
      <c r="R4853" s="1"/>
      <c r="S4853" s="1"/>
      <c r="T4853" s="1"/>
      <c r="U4853" s="1"/>
      <c r="V4853" s="1"/>
      <c r="W4853" s="1"/>
      <c r="X4853" s="1"/>
      <c r="Y4853" s="1"/>
      <c r="Z4853" s="1"/>
      <c r="AA4853" s="1"/>
      <c r="AB4853" s="1"/>
    </row>
    <row r="4854" ht="50.25" customHeight="1">
      <c r="A4854" s="12">
        <v>4850.0</v>
      </c>
      <c r="B4854" s="13" t="s">
        <v>4379</v>
      </c>
      <c r="C4854" s="14" t="s">
        <v>4873</v>
      </c>
      <c r="D4854" s="1"/>
      <c r="E4854" s="1"/>
      <c r="F4854" s="1" t="str">
        <f>IFERROR(__xludf.DUMMYFUNCTION("GOOGLETRANSLATE(B4854, ""en"", ""fa"")
"),"مشاوره دوستیابی")</f>
        <v>مشاوره دوستیابی</v>
      </c>
      <c r="G4854" s="1" t="str">
        <f>IFERROR(__xludf.DUMMYFUNCTION("GOOGLETRANSLATE(C4854, ""en"", ""fa"")
"),"چگونه می توانم با گذاشتن سؤالات باز و یا کلیدهای صخره ای در مکالمه، حس انتظار و رمز و راز ایجاد کنم؟")</f>
        <v>چگونه می توانم با گذاشتن سؤالات باز و یا کلیدهای صخره ای در مکالمه، حس انتظار و رمز و راز ایجاد کنم؟</v>
      </c>
      <c r="H4854" s="1"/>
      <c r="I4854" s="1"/>
      <c r="J4854" s="1"/>
      <c r="K4854" s="1"/>
      <c r="L4854" s="1"/>
      <c r="M4854" s="1"/>
      <c r="N4854" s="1"/>
      <c r="O4854" s="1"/>
      <c r="P4854" s="1"/>
      <c r="Q4854" s="1"/>
      <c r="R4854" s="1"/>
      <c r="S4854" s="1"/>
      <c r="T4854" s="1"/>
      <c r="U4854" s="1"/>
      <c r="V4854" s="1"/>
      <c r="W4854" s="1"/>
      <c r="X4854" s="1"/>
      <c r="Y4854" s="1"/>
      <c r="Z4854" s="1"/>
      <c r="AA4854" s="1"/>
      <c r="AB4854" s="1"/>
    </row>
    <row r="4855" ht="50.25" customHeight="1">
      <c r="A4855" s="12">
        <v>4851.0</v>
      </c>
      <c r="B4855" s="13" t="s">
        <v>4379</v>
      </c>
      <c r="C4855" s="14" t="s">
        <v>4874</v>
      </c>
      <c r="D4855" s="1"/>
      <c r="E4855" s="1"/>
      <c r="F4855" s="1" t="str">
        <f>IFERROR(__xludf.DUMMYFUNCTION("GOOGLETRANSLATE(B4855, ""en"", ""fa"")
"),"مشاوره دوستیابی")</f>
        <v>مشاوره دوستیابی</v>
      </c>
      <c r="G4855" s="1" t="str">
        <f>IFERROR(__xludf.DUMMYFUNCTION("GOOGLETRANSLATE(C4855, ""en"", ""fa"")
"),"چند راهبرد برای استفاده از چالش های عشوه گر یا سناریوهای فرضی برای کشف خواسته ها و خیال پردازی های طرف مقابل چیست؟")</f>
        <v>چند راهبرد برای استفاده از چالش های عشوه گر یا سناریوهای فرضی برای کشف خواسته ها و خیال پردازی های طرف مقابل چیست؟</v>
      </c>
      <c r="H4855" s="1"/>
      <c r="I4855" s="1"/>
      <c r="J4855" s="1"/>
      <c r="K4855" s="1"/>
      <c r="L4855" s="1"/>
      <c r="M4855" s="1"/>
      <c r="N4855" s="1"/>
      <c r="O4855" s="1"/>
      <c r="P4855" s="1"/>
      <c r="Q4855" s="1"/>
      <c r="R4855" s="1"/>
      <c r="S4855" s="1"/>
      <c r="T4855" s="1"/>
      <c r="U4855" s="1"/>
      <c r="V4855" s="1"/>
      <c r="W4855" s="1"/>
      <c r="X4855" s="1"/>
      <c r="Y4855" s="1"/>
      <c r="Z4855" s="1"/>
      <c r="AA4855" s="1"/>
      <c r="AB4855" s="1"/>
    </row>
    <row r="4856" ht="50.25" customHeight="1">
      <c r="A4856" s="12">
        <v>4852.0</v>
      </c>
      <c r="B4856" s="13" t="s">
        <v>4379</v>
      </c>
      <c r="C4856" s="14" t="s">
        <v>4875</v>
      </c>
      <c r="D4856" s="1"/>
      <c r="E4856" s="1"/>
      <c r="F4856" s="1" t="str">
        <f>IFERROR(__xludf.DUMMYFUNCTION("GOOGLETRANSLATE(B4856, ""en"", ""fa"")
"),"مشاوره دوستیابی")</f>
        <v>مشاوره دوستیابی</v>
      </c>
      <c r="G4856" s="1" t="str">
        <f>IFERROR(__xludf.DUMMYFUNCTION("GOOGLETRANSLATE(C4856, ""en"", ""fa"")
"),"چگونه می توانم قدردانی خود را از هوش یا دیدگاه های منحصر به فرد طرف مقابل به روشی عشوه گرانه ابراز کنم؟")</f>
        <v>چگونه می توانم قدردانی خود را از هوش یا دیدگاه های منحصر به فرد طرف مقابل به روشی عشوه گرانه ابراز کنم؟</v>
      </c>
      <c r="H4856" s="1"/>
      <c r="I4856" s="1"/>
      <c r="J4856" s="1"/>
      <c r="K4856" s="1"/>
      <c r="L4856" s="1"/>
      <c r="M4856" s="1"/>
      <c r="N4856" s="1"/>
      <c r="O4856" s="1"/>
      <c r="P4856" s="1"/>
      <c r="Q4856" s="1"/>
      <c r="R4856" s="1"/>
      <c r="S4856" s="1"/>
      <c r="T4856" s="1"/>
      <c r="U4856" s="1"/>
      <c r="V4856" s="1"/>
      <c r="W4856" s="1"/>
      <c r="X4856" s="1"/>
      <c r="Y4856" s="1"/>
      <c r="Z4856" s="1"/>
      <c r="AA4856" s="1"/>
      <c r="AB4856" s="1"/>
    </row>
    <row r="4857" ht="50.25" customHeight="1">
      <c r="A4857" s="12">
        <v>4853.0</v>
      </c>
      <c r="B4857" s="13" t="s">
        <v>4379</v>
      </c>
      <c r="C4857" s="14" t="s">
        <v>4876</v>
      </c>
      <c r="D4857" s="1"/>
      <c r="E4857" s="1"/>
      <c r="F4857" s="1" t="str">
        <f>IFERROR(__xludf.DUMMYFUNCTION("GOOGLETRANSLATE(B4857, ""en"", ""fa"")
"),"مشاوره دوستیابی")</f>
        <v>مشاوره دوستیابی</v>
      </c>
      <c r="G4857" s="1" t="str">
        <f>IFERROR(__xludf.DUMMYFUNCTION("GOOGLETRANSLATE(C4857, ""en"", ""fa"")
"),"چه تکنیک هایی برای استفاده از سوژه های لمسی یا اذیت کردن سبک برای ایجاد پویایی بازیگوش و عشوه گر وجود دارد؟")</f>
        <v>چه تکنیک هایی برای استفاده از سوژه های لمسی یا اذیت کردن سبک برای ایجاد پویایی بازیگوش و عشوه گر وجود دارد؟</v>
      </c>
      <c r="H4857" s="1"/>
      <c r="I4857" s="1"/>
      <c r="J4857" s="1"/>
      <c r="K4857" s="1"/>
      <c r="L4857" s="1"/>
      <c r="M4857" s="1"/>
      <c r="N4857" s="1"/>
      <c r="O4857" s="1"/>
      <c r="P4857" s="1"/>
      <c r="Q4857" s="1"/>
      <c r="R4857" s="1"/>
      <c r="S4857" s="1"/>
      <c r="T4857" s="1"/>
      <c r="U4857" s="1"/>
      <c r="V4857" s="1"/>
      <c r="W4857" s="1"/>
      <c r="X4857" s="1"/>
      <c r="Y4857" s="1"/>
      <c r="Z4857" s="1"/>
      <c r="AA4857" s="1"/>
      <c r="AB4857" s="1"/>
    </row>
    <row r="4858" ht="50.25" customHeight="1">
      <c r="A4858" s="12">
        <v>4854.0</v>
      </c>
      <c r="B4858" s="13" t="s">
        <v>4379</v>
      </c>
      <c r="C4858" s="14" t="s">
        <v>4877</v>
      </c>
      <c r="D4858" s="1"/>
      <c r="E4858" s="1"/>
      <c r="F4858" s="1" t="str">
        <f>IFERROR(__xludf.DUMMYFUNCTION("GOOGLETRANSLATE(B4858, ""en"", ""fa"")
"),"مشاوره دوستیابی")</f>
        <v>مشاوره دوستیابی</v>
      </c>
      <c r="G4858" s="1" t="str">
        <f>IFERROR(__xludf.DUMMYFUNCTION("GOOGLETRANSLATE(C4858, ""en"", ""fa"")
"),"چگونه می توانم از قدرت سکوت و مکث در مکالمات برای ایجاد تنش و انتظار استفاده کنم؟")</f>
        <v>چگونه می توانم از قدرت سکوت و مکث در مکالمات برای ایجاد تنش و انتظار استفاده کنم؟</v>
      </c>
      <c r="H4858" s="1"/>
      <c r="I4858" s="1"/>
      <c r="J4858" s="1"/>
      <c r="K4858" s="1"/>
      <c r="L4858" s="1"/>
      <c r="M4858" s="1"/>
      <c r="N4858" s="1"/>
      <c r="O4858" s="1"/>
      <c r="P4858" s="1"/>
      <c r="Q4858" s="1"/>
      <c r="R4858" s="1"/>
      <c r="S4858" s="1"/>
      <c r="T4858" s="1"/>
      <c r="U4858" s="1"/>
      <c r="V4858" s="1"/>
      <c r="W4858" s="1"/>
      <c r="X4858" s="1"/>
      <c r="Y4858" s="1"/>
      <c r="Z4858" s="1"/>
      <c r="AA4858" s="1"/>
      <c r="AB4858" s="1"/>
    </row>
    <row r="4859" ht="50.25" customHeight="1">
      <c r="A4859" s="12">
        <v>4855.0</v>
      </c>
      <c r="B4859" s="13" t="s">
        <v>4379</v>
      </c>
      <c r="C4859" s="14" t="s">
        <v>4878</v>
      </c>
      <c r="D4859" s="1"/>
      <c r="E4859" s="1"/>
      <c r="F4859" s="1" t="str">
        <f>IFERROR(__xludf.DUMMYFUNCTION("GOOGLETRANSLATE(B4859, ""en"", ""fa"")
"),"مشاوره دوستیابی")</f>
        <v>مشاوره دوستیابی</v>
      </c>
      <c r="G4859" s="1" t="str">
        <f>IFERROR(__xludf.DUMMYFUNCTION("GOOGLETRANSLATE(C4859, ""en"", ""fa"")
"),"برای ایجاد حس رفاقت و شوخ طبعی مشترک چه نکاتی برای استفاده از شوخی های عشوه گرانه وجود دارد؟")</f>
        <v>برای ایجاد حس رفاقت و شوخ طبعی مشترک چه نکاتی برای استفاده از شوخی های عشوه گرانه وجود دارد؟</v>
      </c>
      <c r="H4859" s="1"/>
      <c r="I4859" s="1"/>
      <c r="J4859" s="1"/>
      <c r="K4859" s="1"/>
      <c r="L4859" s="1"/>
      <c r="M4859" s="1"/>
      <c r="N4859" s="1"/>
      <c r="O4859" s="1"/>
      <c r="P4859" s="1"/>
      <c r="Q4859" s="1"/>
      <c r="R4859" s="1"/>
      <c r="S4859" s="1"/>
      <c r="T4859" s="1"/>
      <c r="U4859" s="1"/>
      <c r="V4859" s="1"/>
      <c r="W4859" s="1"/>
      <c r="X4859" s="1"/>
      <c r="Y4859" s="1"/>
      <c r="Z4859" s="1"/>
      <c r="AA4859" s="1"/>
      <c r="AB4859" s="1"/>
    </row>
    <row r="4860" ht="50.25" customHeight="1">
      <c r="A4860" s="12">
        <v>4856.0</v>
      </c>
      <c r="B4860" s="13" t="s">
        <v>4379</v>
      </c>
      <c r="C4860" s="14" t="s">
        <v>4879</v>
      </c>
      <c r="D4860" s="1"/>
      <c r="E4860" s="1"/>
      <c r="F4860" s="1" t="str">
        <f>IFERROR(__xludf.DUMMYFUNCTION("GOOGLETRANSLATE(B4860, ""en"", ""fa"")
"),"مشاوره دوستیابی")</f>
        <v>مشاوره دوستیابی</v>
      </c>
      <c r="G4860" s="1" t="str">
        <f>IFERROR(__xludf.DUMMYFUNCTION("GOOGLETRANSLATE(C4860, ""en"", ""fa"")
"),"چگونه می توانم با به اشتراک گذاشتن ارزش ها و باورهای شخصی احساس ارتباط عاطفی ایجاد کنم؟")</f>
        <v>چگونه می توانم با به اشتراک گذاشتن ارزش ها و باورهای شخصی احساس ارتباط عاطفی ایجاد کنم؟</v>
      </c>
      <c r="H4860" s="1"/>
      <c r="I4860" s="1"/>
      <c r="J4860" s="1"/>
      <c r="K4860" s="1"/>
      <c r="L4860" s="1"/>
      <c r="M4860" s="1"/>
      <c r="N4860" s="1"/>
      <c r="O4860" s="1"/>
      <c r="P4860" s="1"/>
      <c r="Q4860" s="1"/>
      <c r="R4860" s="1"/>
      <c r="S4860" s="1"/>
      <c r="T4860" s="1"/>
      <c r="U4860" s="1"/>
      <c r="V4860" s="1"/>
      <c r="W4860" s="1"/>
      <c r="X4860" s="1"/>
      <c r="Y4860" s="1"/>
      <c r="Z4860" s="1"/>
      <c r="AA4860" s="1"/>
      <c r="AB4860" s="1"/>
    </row>
    <row r="4861" ht="50.25" customHeight="1">
      <c r="A4861" s="12">
        <v>4857.0</v>
      </c>
      <c r="B4861" s="13" t="s">
        <v>4379</v>
      </c>
      <c r="C4861" s="14" t="s">
        <v>4880</v>
      </c>
      <c r="D4861" s="1"/>
      <c r="E4861" s="1"/>
      <c r="F4861" s="1" t="str">
        <f>IFERROR(__xludf.DUMMYFUNCTION("GOOGLETRANSLATE(B4861, ""en"", ""fa"")
"),"مشاوره دوستیابی")</f>
        <v>مشاوره دوستیابی</v>
      </c>
      <c r="G4861" s="1" t="str">
        <f>IFERROR(__xludf.DUMMYFUNCTION("GOOGLETRANSLATE(C4861, ""en"", ""fa"")
"),"چند راهبرد برای استفاده از چالش‌های عشوه‌گر یا شرط‌بندی بازیگوش برای افزودن هیجان و سرگرمی به مکالمه چیست؟")</f>
        <v>چند راهبرد برای استفاده از چالش‌های عشوه‌گر یا شرط‌بندی بازیگوش برای افزودن هیجان و سرگرمی به مکالمه چیست؟</v>
      </c>
      <c r="H4861" s="1"/>
      <c r="I4861" s="1"/>
      <c r="J4861" s="1"/>
      <c r="K4861" s="1"/>
      <c r="L4861" s="1"/>
      <c r="M4861" s="1"/>
      <c r="N4861" s="1"/>
      <c r="O4861" s="1"/>
      <c r="P4861" s="1"/>
      <c r="Q4861" s="1"/>
      <c r="R4861" s="1"/>
      <c r="S4861" s="1"/>
      <c r="T4861" s="1"/>
      <c r="U4861" s="1"/>
      <c r="V4861" s="1"/>
      <c r="W4861" s="1"/>
      <c r="X4861" s="1"/>
      <c r="Y4861" s="1"/>
      <c r="Z4861" s="1"/>
      <c r="AA4861" s="1"/>
      <c r="AB4861" s="1"/>
    </row>
    <row r="4862" ht="50.25" customHeight="1">
      <c r="A4862" s="12">
        <v>4858.0</v>
      </c>
      <c r="B4862" s="13" t="s">
        <v>4379</v>
      </c>
      <c r="C4862" s="14" t="s">
        <v>4881</v>
      </c>
      <c r="D4862" s="1"/>
      <c r="E4862" s="1"/>
      <c r="F4862" s="1" t="str">
        <f>IFERROR(__xludf.DUMMYFUNCTION("GOOGLETRANSLATE(B4862, ""en"", ""fa"")
"),"مشاوره دوستیابی")</f>
        <v>مشاوره دوستیابی</v>
      </c>
      <c r="G4862" s="1" t="str">
        <f>IFERROR(__xludf.DUMMYFUNCTION("GOOGLETRANSLATE(C4862, ""en"", ""fa"")
"),"چگونه می توانم علاقه واقعی خود را به نظرات و دیدگاه های طرف مقابل از طریق معاشقه ابراز کنم؟")</f>
        <v>چگونه می توانم علاقه واقعی خود را به نظرات و دیدگاه های طرف مقابل از طریق معاشقه ابراز کنم؟</v>
      </c>
      <c r="H4862" s="1"/>
      <c r="I4862" s="1"/>
      <c r="J4862" s="1"/>
      <c r="K4862" s="1"/>
      <c r="L4862" s="1"/>
      <c r="M4862" s="1"/>
      <c r="N4862" s="1"/>
      <c r="O4862" s="1"/>
      <c r="P4862" s="1"/>
      <c r="Q4862" s="1"/>
      <c r="R4862" s="1"/>
      <c r="S4862" s="1"/>
      <c r="T4862" s="1"/>
      <c r="U4862" s="1"/>
      <c r="V4862" s="1"/>
      <c r="W4862" s="1"/>
      <c r="X4862" s="1"/>
      <c r="Y4862" s="1"/>
      <c r="Z4862" s="1"/>
      <c r="AA4862" s="1"/>
      <c r="AB4862" s="1"/>
    </row>
    <row r="4863" ht="50.25" customHeight="1">
      <c r="A4863" s="12">
        <v>4859.0</v>
      </c>
      <c r="B4863" s="13" t="s">
        <v>4379</v>
      </c>
      <c r="C4863" s="14" t="s">
        <v>4882</v>
      </c>
      <c r="D4863" s="1"/>
      <c r="E4863" s="1"/>
      <c r="F4863" s="1" t="str">
        <f>IFERROR(__xludf.DUMMYFUNCTION("GOOGLETRANSLATE(B4863, ""en"", ""fa"")
"),"مشاوره دوستیابی")</f>
        <v>مشاوره دوستیابی</v>
      </c>
      <c r="G4863" s="1" t="str">
        <f>IFERROR(__xludf.DUMMYFUNCTION("GOOGLETRANSLATE(C4863, ""en"", ""fa"")
"),"چند تکنیک برای استفاده از نام مستعار بازیگوش یا نام حیوانات خانگی برای ایجاد حس نزدیکی چیست؟")</f>
        <v>چند تکنیک برای استفاده از نام مستعار بازیگوش یا نام حیوانات خانگی برای ایجاد حس نزدیکی چیست؟</v>
      </c>
      <c r="H4863" s="1"/>
      <c r="I4863" s="1"/>
      <c r="J4863" s="1"/>
      <c r="K4863" s="1"/>
      <c r="L4863" s="1"/>
      <c r="M4863" s="1"/>
      <c r="N4863" s="1"/>
      <c r="O4863" s="1"/>
      <c r="P4863" s="1"/>
      <c r="Q4863" s="1"/>
      <c r="R4863" s="1"/>
      <c r="S4863" s="1"/>
      <c r="T4863" s="1"/>
      <c r="U4863" s="1"/>
      <c r="V4863" s="1"/>
      <c r="W4863" s="1"/>
      <c r="X4863" s="1"/>
      <c r="Y4863" s="1"/>
      <c r="Z4863" s="1"/>
      <c r="AA4863" s="1"/>
      <c r="AB4863" s="1"/>
    </row>
    <row r="4864" ht="50.25" customHeight="1">
      <c r="A4864" s="12">
        <v>4860.0</v>
      </c>
      <c r="B4864" s="13" t="s">
        <v>4379</v>
      </c>
      <c r="C4864" s="14" t="s">
        <v>4883</v>
      </c>
      <c r="D4864" s="1"/>
      <c r="E4864" s="1"/>
      <c r="F4864" s="1" t="str">
        <f>IFERROR(__xludf.DUMMYFUNCTION("GOOGLETRANSLATE(B4864, ""en"", ""fa"")
"),"مشاوره دوستیابی")</f>
        <v>مشاوره دوستیابی</v>
      </c>
      <c r="G4864" s="1" t="str">
        <f>IFERROR(__xludf.DUMMYFUNCTION("GOOGLETRANSLATE(C4864, ""en"", ""fa"")
"),"چگونه می توانم از زبان حسی و توصیف های واضح برای ترسیم تصویر و درگیر کردن تخیل طرف مقابل استفاده کنم؟")</f>
        <v>چگونه می توانم از زبان حسی و توصیف های واضح برای ترسیم تصویر و درگیر کردن تخیل طرف مقابل استفاده کنم؟</v>
      </c>
      <c r="H4864" s="1"/>
      <c r="I4864" s="1"/>
      <c r="J4864" s="1"/>
      <c r="K4864" s="1"/>
      <c r="L4864" s="1"/>
      <c r="M4864" s="1"/>
      <c r="N4864" s="1"/>
      <c r="O4864" s="1"/>
      <c r="P4864" s="1"/>
      <c r="Q4864" s="1"/>
      <c r="R4864" s="1"/>
      <c r="S4864" s="1"/>
      <c r="T4864" s="1"/>
      <c r="U4864" s="1"/>
      <c r="V4864" s="1"/>
      <c r="W4864" s="1"/>
      <c r="X4864" s="1"/>
      <c r="Y4864" s="1"/>
      <c r="Z4864" s="1"/>
      <c r="AA4864" s="1"/>
      <c r="AB4864" s="1"/>
    </row>
    <row r="4865" ht="50.25" customHeight="1">
      <c r="A4865" s="12">
        <v>4861.0</v>
      </c>
      <c r="B4865" s="13" t="s">
        <v>4379</v>
      </c>
      <c r="C4865" s="14" t="s">
        <v>4884</v>
      </c>
      <c r="D4865" s="1"/>
      <c r="E4865" s="1"/>
      <c r="F4865" s="1" t="str">
        <f>IFERROR(__xludf.DUMMYFUNCTION("GOOGLETRANSLATE(B4865, ""en"", ""fa"")
"),"مشاوره دوستیابی")</f>
        <v>مشاوره دوستیابی</v>
      </c>
      <c r="G4865" s="1" t="str">
        <f>IFERROR(__xludf.DUMMYFUNCTION("GOOGLETRANSLATE(C4865, ""en"", ""fa"")
"),"نکاتی برای استفاده از تعارفات عشوه آمیز که بر ویژگی ها یا استعدادهای منحصر به فرد طرف مقابل متمرکز است چیست؟")</f>
        <v>نکاتی برای استفاده از تعارفات عشوه آمیز که بر ویژگی ها یا استعدادهای منحصر به فرد طرف مقابل متمرکز است چیست؟</v>
      </c>
      <c r="H4865" s="1"/>
      <c r="I4865" s="1"/>
      <c r="J4865" s="1"/>
      <c r="K4865" s="1"/>
      <c r="L4865" s="1"/>
      <c r="M4865" s="1"/>
      <c r="N4865" s="1"/>
      <c r="O4865" s="1"/>
      <c r="P4865" s="1"/>
      <c r="Q4865" s="1"/>
      <c r="R4865" s="1"/>
      <c r="S4865" s="1"/>
      <c r="T4865" s="1"/>
      <c r="U4865" s="1"/>
      <c r="V4865" s="1"/>
      <c r="W4865" s="1"/>
      <c r="X4865" s="1"/>
      <c r="Y4865" s="1"/>
      <c r="Z4865" s="1"/>
      <c r="AA4865" s="1"/>
      <c r="AB4865" s="1"/>
    </row>
    <row r="4866" ht="50.25" customHeight="1">
      <c r="A4866" s="12">
        <v>4862.0</v>
      </c>
      <c r="B4866" s="13" t="s">
        <v>4379</v>
      </c>
      <c r="C4866" s="14" t="s">
        <v>4885</v>
      </c>
      <c r="D4866" s="1"/>
      <c r="E4866" s="1"/>
      <c r="F4866" s="1" t="str">
        <f>IFERROR(__xludf.DUMMYFUNCTION("GOOGLETRANSLATE(B4866, ""en"", ""fa"")
"),"مشاوره دوستیابی")</f>
        <v>مشاوره دوستیابی</v>
      </c>
      <c r="G4866" s="1" t="str">
        <f>IFERROR(__xludf.DUMMYFUNCTION("GOOGLETRANSLATE(C4866, ""en"", ""fa"")
"),"چگونه می توانم با به اشتراک گذاشتن خاطرات دوران کودکی یا تجربیات مورد علاقه، حس نوستالژی و ارتباط ایجاد کنم؟")</f>
        <v>چگونه می توانم با به اشتراک گذاشتن خاطرات دوران کودکی یا تجربیات مورد علاقه، حس نوستالژی و ارتباط ایجاد کنم؟</v>
      </c>
      <c r="H4866" s="1"/>
      <c r="I4866" s="1"/>
      <c r="J4866" s="1"/>
      <c r="K4866" s="1"/>
      <c r="L4866" s="1"/>
      <c r="M4866" s="1"/>
      <c r="N4866" s="1"/>
      <c r="O4866" s="1"/>
      <c r="P4866" s="1"/>
      <c r="Q4866" s="1"/>
      <c r="R4866" s="1"/>
      <c r="S4866" s="1"/>
      <c r="T4866" s="1"/>
      <c r="U4866" s="1"/>
      <c r="V4866" s="1"/>
      <c r="W4866" s="1"/>
      <c r="X4866" s="1"/>
      <c r="Y4866" s="1"/>
      <c r="Z4866" s="1"/>
      <c r="AA4866" s="1"/>
      <c r="AB4866" s="1"/>
    </row>
    <row r="4867" ht="50.25" customHeight="1">
      <c r="A4867" s="12">
        <v>4863.0</v>
      </c>
      <c r="B4867" s="13" t="s">
        <v>4379</v>
      </c>
      <c r="C4867" s="14" t="s">
        <v>4886</v>
      </c>
      <c r="D4867" s="1"/>
      <c r="E4867" s="1"/>
      <c r="F4867" s="1" t="str">
        <f>IFERROR(__xludf.DUMMYFUNCTION("GOOGLETRANSLATE(B4867, ""en"", ""fa"")
"),"مشاوره دوستیابی")</f>
        <v>مشاوره دوستیابی</v>
      </c>
      <c r="G4867" s="1" t="str">
        <f>IFERROR(__xludf.DUMMYFUNCTION("GOOGLETRANSLATE(C4867, ""en"", ""fa"")
"),"چند استراتژی برای استفاده از چالش های معاشقه یا مسابقات بازیگوش برای ایجاد رقابت دوستانه و شوخی های عشوه آمیز چیست؟")</f>
        <v>چند استراتژی برای استفاده از چالش های معاشقه یا مسابقات بازیگوش برای ایجاد رقابت دوستانه و شوخی های عشوه آمیز چیست؟</v>
      </c>
      <c r="H4867" s="1"/>
      <c r="I4867" s="1"/>
      <c r="J4867" s="1"/>
      <c r="K4867" s="1"/>
      <c r="L4867" s="1"/>
      <c r="M4867" s="1"/>
      <c r="N4867" s="1"/>
      <c r="O4867" s="1"/>
      <c r="P4867" s="1"/>
      <c r="Q4867" s="1"/>
      <c r="R4867" s="1"/>
      <c r="S4867" s="1"/>
      <c r="T4867" s="1"/>
      <c r="U4867" s="1"/>
      <c r="V4867" s="1"/>
      <c r="W4867" s="1"/>
      <c r="X4867" s="1"/>
      <c r="Y4867" s="1"/>
      <c r="Z4867" s="1"/>
      <c r="AA4867" s="1"/>
      <c r="AB4867" s="1"/>
    </row>
    <row r="4868" ht="50.25" customHeight="1">
      <c r="A4868" s="12">
        <v>4864.0</v>
      </c>
      <c r="B4868" s="13" t="s">
        <v>4379</v>
      </c>
      <c r="C4868" s="14" t="s">
        <v>4887</v>
      </c>
      <c r="D4868" s="1"/>
      <c r="E4868" s="1"/>
      <c r="F4868" s="1" t="str">
        <f>IFERROR(__xludf.DUMMYFUNCTION("GOOGLETRANSLATE(B4868, ""en"", ""fa"")
"),"مشاوره دوستیابی")</f>
        <v>مشاوره دوستیابی</v>
      </c>
      <c r="G4868" s="1" t="str">
        <f>IFERROR(__xludf.DUMMYFUNCTION("GOOGLETRANSLATE(C4868, ""en"", ""fa"")
"),"چگونه می توانم با پرسیدن سوالات معنادار کنجکاوی و علاقه واقعی خود را به زندگی طرف مقابل ابراز کنم؟")</f>
        <v>چگونه می توانم با پرسیدن سوالات معنادار کنجکاوی و علاقه واقعی خود را به زندگی طرف مقابل ابراز کنم؟</v>
      </c>
      <c r="H4868" s="1"/>
      <c r="I4868" s="1"/>
      <c r="J4868" s="1"/>
      <c r="K4868" s="1"/>
      <c r="L4868" s="1"/>
      <c r="M4868" s="1"/>
      <c r="N4868" s="1"/>
      <c r="O4868" s="1"/>
      <c r="P4868" s="1"/>
      <c r="Q4868" s="1"/>
      <c r="R4868" s="1"/>
      <c r="S4868" s="1"/>
      <c r="T4868" s="1"/>
      <c r="U4868" s="1"/>
      <c r="V4868" s="1"/>
      <c r="W4868" s="1"/>
      <c r="X4868" s="1"/>
      <c r="Y4868" s="1"/>
      <c r="Z4868" s="1"/>
      <c r="AA4868" s="1"/>
      <c r="AB4868" s="1"/>
    </row>
    <row r="4869" ht="50.25" customHeight="1">
      <c r="A4869" s="12">
        <v>4865.0</v>
      </c>
      <c r="B4869" s="13" t="s">
        <v>4379</v>
      </c>
      <c r="C4869" s="14" t="s">
        <v>4888</v>
      </c>
      <c r="D4869" s="1"/>
      <c r="E4869" s="1"/>
      <c r="F4869" s="1" t="str">
        <f>IFERROR(__xludf.DUMMYFUNCTION("GOOGLETRANSLATE(B4869, ""en"", ""fa"")
"),"مشاوره دوستیابی")</f>
        <v>مشاوره دوستیابی</v>
      </c>
      <c r="G4869" s="1" t="str">
        <f>IFERROR(__xludf.DUMMYFUNCTION("GOOGLETRANSLATE(C4869, ""en"", ""fa"")
"),"چند ایده منحصر به فرد و خلاقانه برای قرار ملاقات وجود دارد که می تواند تأثیر ماندگاری داشته باشد؟")</f>
        <v>چند ایده منحصر به فرد و خلاقانه برای قرار ملاقات وجود دارد که می تواند تأثیر ماندگاری داشته باشد؟</v>
      </c>
      <c r="H4869" s="1"/>
      <c r="I4869" s="1"/>
      <c r="J4869" s="1"/>
      <c r="K4869" s="1"/>
      <c r="L4869" s="1"/>
      <c r="M4869" s="1"/>
      <c r="N4869" s="1"/>
      <c r="O4869" s="1"/>
      <c r="P4869" s="1"/>
      <c r="Q4869" s="1"/>
      <c r="R4869" s="1"/>
      <c r="S4869" s="1"/>
      <c r="T4869" s="1"/>
      <c r="U4869" s="1"/>
      <c r="V4869" s="1"/>
      <c r="W4869" s="1"/>
      <c r="X4869" s="1"/>
      <c r="Y4869" s="1"/>
      <c r="Z4869" s="1"/>
      <c r="AA4869" s="1"/>
      <c r="AB4869" s="1"/>
    </row>
    <row r="4870" ht="50.25" customHeight="1">
      <c r="A4870" s="12">
        <v>4866.0</v>
      </c>
      <c r="B4870" s="13" t="s">
        <v>4379</v>
      </c>
      <c r="C4870" s="14" t="s">
        <v>4889</v>
      </c>
      <c r="D4870" s="1"/>
      <c r="E4870" s="1"/>
      <c r="F4870" s="1" t="str">
        <f>IFERROR(__xludf.DUMMYFUNCTION("GOOGLETRANSLATE(B4870, ""en"", ""fa"")
"),"مشاوره دوستیابی")</f>
        <v>مشاوره دوستیابی</v>
      </c>
      <c r="G4870" s="1" t="str">
        <f>IFERROR(__xludf.DUMMYFUNCTION("GOOGLETRANSLATE(C4870, ""en"", ""fa"")
"),"چگونه می توانم یک پیک نیک رمانتیک در یک مکان زیبا برنامه ریزی کنم؟")</f>
        <v>چگونه می توانم یک پیک نیک رمانتیک در یک مکان زیبا برنامه ریزی کنم؟</v>
      </c>
      <c r="H4870" s="1"/>
      <c r="I4870" s="1"/>
      <c r="J4870" s="1"/>
      <c r="K4870" s="1"/>
      <c r="L4870" s="1"/>
      <c r="M4870" s="1"/>
      <c r="N4870" s="1"/>
      <c r="O4870" s="1"/>
      <c r="P4870" s="1"/>
      <c r="Q4870" s="1"/>
      <c r="R4870" s="1"/>
      <c r="S4870" s="1"/>
      <c r="T4870" s="1"/>
      <c r="U4870" s="1"/>
      <c r="V4870" s="1"/>
      <c r="W4870" s="1"/>
      <c r="X4870" s="1"/>
      <c r="Y4870" s="1"/>
      <c r="Z4870" s="1"/>
      <c r="AA4870" s="1"/>
      <c r="AB4870" s="1"/>
    </row>
    <row r="4871" ht="50.25" customHeight="1">
      <c r="A4871" s="12">
        <v>4867.0</v>
      </c>
      <c r="B4871" s="13" t="s">
        <v>4379</v>
      </c>
      <c r="C4871" s="14" t="s">
        <v>4890</v>
      </c>
      <c r="D4871" s="1"/>
      <c r="E4871" s="1"/>
      <c r="F4871" s="1" t="str">
        <f>IFERROR(__xludf.DUMMYFUNCTION("GOOGLETRANSLATE(B4871, ""en"", ""fa"")
"),"مشاوره دوستیابی")</f>
        <v>مشاوره دوستیابی</v>
      </c>
      <c r="G4871" s="1" t="str">
        <f>IFERROR(__xludf.DUMMYFUNCTION("GOOGLETRANSLATE(C4871, ""en"", ""fa"")
"),"چه ایده هایی برای سازماندهی یک تاریخ آشپزی سرگرم کننده و تعاملی وجود دارد؟")</f>
        <v>چه ایده هایی برای سازماندهی یک تاریخ آشپزی سرگرم کننده و تعاملی وجود دارد؟</v>
      </c>
      <c r="H4871" s="1"/>
      <c r="I4871" s="1"/>
      <c r="J4871" s="1"/>
      <c r="K4871" s="1"/>
      <c r="L4871" s="1"/>
      <c r="M4871" s="1"/>
      <c r="N4871" s="1"/>
      <c r="O4871" s="1"/>
      <c r="P4871" s="1"/>
      <c r="Q4871" s="1"/>
      <c r="R4871" s="1"/>
      <c r="S4871" s="1"/>
      <c r="T4871" s="1"/>
      <c r="U4871" s="1"/>
      <c r="V4871" s="1"/>
      <c r="W4871" s="1"/>
      <c r="X4871" s="1"/>
      <c r="Y4871" s="1"/>
      <c r="Z4871" s="1"/>
      <c r="AA4871" s="1"/>
      <c r="AB4871" s="1"/>
    </row>
    <row r="4872" ht="50.25" customHeight="1">
      <c r="A4872" s="12">
        <v>4868.0</v>
      </c>
      <c r="B4872" s="13" t="s">
        <v>4379</v>
      </c>
      <c r="C4872" s="14" t="s">
        <v>4891</v>
      </c>
      <c r="D4872" s="1"/>
      <c r="E4872" s="1"/>
      <c r="F4872" s="1" t="str">
        <f>IFERROR(__xludf.DUMMYFUNCTION("GOOGLETRANSLATE(B4872, ""en"", ""fa"")
"),"مشاوره دوستیابی")</f>
        <v>مشاوره دوستیابی</v>
      </c>
      <c r="G4872" s="1" t="str">
        <f>IFERROR(__xludf.DUMMYFUNCTION("GOOGLETRANSLATE(C4872, ""en"", ""fa"")
"),"چگونه می توانم یک شکار رفتگر شخصی برای یک تجربه تاریخی به یاد ماندنی ایجاد کنم؟")</f>
        <v>چگونه می توانم یک شکار رفتگر شخصی برای یک تجربه تاریخی به یاد ماندنی ایجاد کنم؟</v>
      </c>
      <c r="H4872" s="1"/>
      <c r="I4872" s="1"/>
      <c r="J4872" s="1"/>
      <c r="K4872" s="1"/>
      <c r="L4872" s="1"/>
      <c r="M4872" s="1"/>
      <c r="N4872" s="1"/>
      <c r="O4872" s="1"/>
      <c r="P4872" s="1"/>
      <c r="Q4872" s="1"/>
      <c r="R4872" s="1"/>
      <c r="S4872" s="1"/>
      <c r="T4872" s="1"/>
      <c r="U4872" s="1"/>
      <c r="V4872" s="1"/>
      <c r="W4872" s="1"/>
      <c r="X4872" s="1"/>
      <c r="Y4872" s="1"/>
      <c r="Z4872" s="1"/>
      <c r="AA4872" s="1"/>
      <c r="AB4872" s="1"/>
    </row>
    <row r="4873" ht="50.25" customHeight="1">
      <c r="A4873" s="12">
        <v>4869.0</v>
      </c>
      <c r="B4873" s="13" t="s">
        <v>4379</v>
      </c>
      <c r="C4873" s="14" t="s">
        <v>4892</v>
      </c>
      <c r="D4873" s="1"/>
      <c r="E4873" s="1"/>
      <c r="F4873" s="1" t="str">
        <f>IFERROR(__xludf.DUMMYFUNCTION("GOOGLETRANSLATE(B4873, ""en"", ""fa"")
"),"مشاوره دوستیابی")</f>
        <v>مشاوره دوستیابی</v>
      </c>
      <c r="G4873" s="1" t="str">
        <f>IFERROR(__xludf.DUMMYFUNCTION("GOOGLETRANSLATE(C4873, ""en"", ""fa"")
"),"چه نکاتی برای برنامه ریزی یک قرار غافلگیرکننده وجود دارد که تاثیر ماندگاری از خود به جا بگذارد؟")</f>
        <v>چه نکاتی برای برنامه ریزی یک قرار غافلگیرکننده وجود دارد که تاثیر ماندگاری از خود به جا بگذارد؟</v>
      </c>
      <c r="H4873" s="1"/>
      <c r="I4873" s="1"/>
      <c r="J4873" s="1"/>
      <c r="K4873" s="1"/>
      <c r="L4873" s="1"/>
      <c r="M4873" s="1"/>
      <c r="N4873" s="1"/>
      <c r="O4873" s="1"/>
      <c r="P4873" s="1"/>
      <c r="Q4873" s="1"/>
      <c r="R4873" s="1"/>
      <c r="S4873" s="1"/>
      <c r="T4873" s="1"/>
      <c r="U4873" s="1"/>
      <c r="V4873" s="1"/>
      <c r="W4873" s="1"/>
      <c r="X4873" s="1"/>
      <c r="Y4873" s="1"/>
      <c r="Z4873" s="1"/>
      <c r="AA4873" s="1"/>
      <c r="AB4873" s="1"/>
    </row>
    <row r="4874" ht="50.25" customHeight="1">
      <c r="A4874" s="12">
        <v>4870.0</v>
      </c>
      <c r="B4874" s="13" t="s">
        <v>4379</v>
      </c>
      <c r="C4874" s="14" t="s">
        <v>4893</v>
      </c>
      <c r="D4874" s="1"/>
      <c r="E4874" s="1"/>
      <c r="F4874" s="1" t="str">
        <f>IFERROR(__xludf.DUMMYFUNCTION("GOOGLETRANSLATE(B4874, ""en"", ""fa"")
"),"مشاوره دوستیابی")</f>
        <v>مشاوره دوستیابی</v>
      </c>
      <c r="G4874" s="1" t="str">
        <f>IFERROR(__xludf.DUMMYFUNCTION("GOOGLETRANSLATE(C4874, ""en"", ""fa"")
"),"چگونه می توانم یک سفر یک روزه به شهر یا شهر مجاور برای یک قرار ماجراجویی ترتیب دهم؟")</f>
        <v>چگونه می توانم یک سفر یک روزه به شهر یا شهر مجاور برای یک قرار ماجراجویی ترتیب دهم؟</v>
      </c>
      <c r="H4874" s="1"/>
      <c r="I4874" s="1"/>
      <c r="J4874" s="1"/>
      <c r="K4874" s="1"/>
      <c r="L4874" s="1"/>
      <c r="M4874" s="1"/>
      <c r="N4874" s="1"/>
      <c r="O4874" s="1"/>
      <c r="P4874" s="1"/>
      <c r="Q4874" s="1"/>
      <c r="R4874" s="1"/>
      <c r="S4874" s="1"/>
      <c r="T4874" s="1"/>
      <c r="U4874" s="1"/>
      <c r="V4874" s="1"/>
      <c r="W4874" s="1"/>
      <c r="X4874" s="1"/>
      <c r="Y4874" s="1"/>
      <c r="Z4874" s="1"/>
      <c r="AA4874" s="1"/>
      <c r="AB4874" s="1"/>
    </row>
    <row r="4875" ht="50.25" customHeight="1">
      <c r="A4875" s="12">
        <v>4871.0</v>
      </c>
      <c r="B4875" s="13" t="s">
        <v>4379</v>
      </c>
      <c r="C4875" s="14" t="s">
        <v>4894</v>
      </c>
      <c r="D4875" s="1"/>
      <c r="E4875" s="1"/>
      <c r="F4875" s="1" t="str">
        <f>IFERROR(__xludf.DUMMYFUNCTION("GOOGLETRANSLATE(B4875, ""en"", ""fa"")
"),"مشاوره دوستیابی")</f>
        <v>مشاوره دوستیابی</v>
      </c>
      <c r="G4875" s="1" t="str">
        <f>IFERROR(__xludf.DUMMYFUNCTION("GOOGLETRANSLATE(C4875, ""en"", ""fa"")
"),"چه ایده هایی برای برنامه ریزی یک شب فیلم با موضوع در خانه با پیچ و تاب خاص وجود دارد؟")</f>
        <v>چه ایده هایی برای برنامه ریزی یک شب فیلم با موضوع در خانه با پیچ و تاب خاص وجود دارد؟</v>
      </c>
      <c r="H4875" s="1"/>
      <c r="I4875" s="1"/>
      <c r="J4875" s="1"/>
      <c r="K4875" s="1"/>
      <c r="L4875" s="1"/>
      <c r="M4875" s="1"/>
      <c r="N4875" s="1"/>
      <c r="O4875" s="1"/>
      <c r="P4875" s="1"/>
      <c r="Q4875" s="1"/>
      <c r="R4875" s="1"/>
      <c r="S4875" s="1"/>
      <c r="T4875" s="1"/>
      <c r="U4875" s="1"/>
      <c r="V4875" s="1"/>
      <c r="W4875" s="1"/>
      <c r="X4875" s="1"/>
      <c r="Y4875" s="1"/>
      <c r="Z4875" s="1"/>
      <c r="AA4875" s="1"/>
      <c r="AB4875" s="1"/>
    </row>
    <row r="4876" ht="50.25" customHeight="1">
      <c r="A4876" s="12">
        <v>4872.0</v>
      </c>
      <c r="B4876" s="13" t="s">
        <v>4379</v>
      </c>
      <c r="C4876" s="14" t="s">
        <v>4895</v>
      </c>
      <c r="D4876" s="1"/>
      <c r="E4876" s="1"/>
      <c r="F4876" s="1" t="str">
        <f>IFERROR(__xludf.DUMMYFUNCTION("GOOGLETRANSLATE(B4876, ""en"", ""fa"")
"),"مشاوره دوستیابی")</f>
        <v>مشاوره دوستیابی</v>
      </c>
      <c r="G4876" s="1" t="str">
        <f>IFERROR(__xludf.DUMMYFUNCTION("GOOGLETRANSLATE(C4876, ""en"", ""fa"")
"),"چگونه می توانم یک کنسرت غافلگیرکننده یا تجربه موسیقی زنده را برای یک تاریخ به یاد ماندنی ترتیب دهم؟")</f>
        <v>چگونه می توانم یک کنسرت غافلگیرکننده یا تجربه موسیقی زنده را برای یک تاریخ به یاد ماندنی ترتیب دهم؟</v>
      </c>
      <c r="H4876" s="1"/>
      <c r="I4876" s="1"/>
      <c r="J4876" s="1"/>
      <c r="K4876" s="1"/>
      <c r="L4876" s="1"/>
      <c r="M4876" s="1"/>
      <c r="N4876" s="1"/>
      <c r="O4876" s="1"/>
      <c r="P4876" s="1"/>
      <c r="Q4876" s="1"/>
      <c r="R4876" s="1"/>
      <c r="S4876" s="1"/>
      <c r="T4876" s="1"/>
      <c r="U4876" s="1"/>
      <c r="V4876" s="1"/>
      <c r="W4876" s="1"/>
      <c r="X4876" s="1"/>
      <c r="Y4876" s="1"/>
      <c r="Z4876" s="1"/>
      <c r="AA4876" s="1"/>
      <c r="AB4876" s="1"/>
    </row>
    <row r="4877" ht="50.25" customHeight="1">
      <c r="A4877" s="12">
        <v>4873.0</v>
      </c>
      <c r="B4877" s="13" t="s">
        <v>4379</v>
      </c>
      <c r="C4877" s="14" t="s">
        <v>4896</v>
      </c>
      <c r="D4877" s="1"/>
      <c r="E4877" s="1"/>
      <c r="F4877" s="1" t="str">
        <f>IFERROR(__xludf.DUMMYFUNCTION("GOOGLETRANSLATE(B4877, ""en"", ""fa"")
"),"مشاوره دوستیابی")</f>
        <v>مشاوره دوستیابی</v>
      </c>
      <c r="G4877" s="1" t="str">
        <f>IFERROR(__xludf.DUMMYFUNCTION("GOOGLETRANSLATE(C4877, ""en"", ""fa"")
"),"چند نکته برای برنامه ریزی یک تعطیلات آخر هفته رمانتیک برای ایجاد خاطرات ماندگار چیست؟")</f>
        <v>چند نکته برای برنامه ریزی یک تعطیلات آخر هفته رمانتیک برای ایجاد خاطرات ماندگار چیست؟</v>
      </c>
      <c r="H4877" s="1"/>
      <c r="I4877" s="1"/>
      <c r="J4877" s="1"/>
      <c r="K4877" s="1"/>
      <c r="L4877" s="1"/>
      <c r="M4877" s="1"/>
      <c r="N4877" s="1"/>
      <c r="O4877" s="1"/>
      <c r="P4877" s="1"/>
      <c r="Q4877" s="1"/>
      <c r="R4877" s="1"/>
      <c r="S4877" s="1"/>
      <c r="T4877" s="1"/>
      <c r="U4877" s="1"/>
      <c r="V4877" s="1"/>
      <c r="W4877" s="1"/>
      <c r="X4877" s="1"/>
      <c r="Y4877" s="1"/>
      <c r="Z4877" s="1"/>
      <c r="AA4877" s="1"/>
      <c r="AB4877" s="1"/>
    </row>
    <row r="4878" ht="50.25" customHeight="1">
      <c r="A4878" s="12">
        <v>4874.0</v>
      </c>
      <c r="B4878" s="13" t="s">
        <v>4379</v>
      </c>
      <c r="C4878" s="14" t="s">
        <v>4897</v>
      </c>
      <c r="D4878" s="1"/>
      <c r="E4878" s="1"/>
      <c r="F4878" s="1" t="str">
        <f>IFERROR(__xludf.DUMMYFUNCTION("GOOGLETRANSLATE(B4878, ""en"", ""fa"")
"),"مشاوره دوستیابی")</f>
        <v>مشاوره دوستیابی</v>
      </c>
      <c r="G4878" s="1" t="str">
        <f>IFERROR(__xludf.DUMMYFUNCTION("GOOGLETRANSLATE(C4878, ""en"", ""fa"")
"),"چگونه می توانم یک تاریخ خلاقانه و عملی هنر و صنایع دستی برای یک تجربه منحصر به فرد ترتیب دهم؟")</f>
        <v>چگونه می توانم یک تاریخ خلاقانه و عملی هنر و صنایع دستی برای یک تجربه منحصر به فرد ترتیب دهم؟</v>
      </c>
      <c r="H4878" s="1"/>
      <c r="I4878" s="1"/>
      <c r="J4878" s="1"/>
      <c r="K4878" s="1"/>
      <c r="L4878" s="1"/>
      <c r="M4878" s="1"/>
      <c r="N4878" s="1"/>
      <c r="O4878" s="1"/>
      <c r="P4878" s="1"/>
      <c r="Q4878" s="1"/>
      <c r="R4878" s="1"/>
      <c r="S4878" s="1"/>
      <c r="T4878" s="1"/>
      <c r="U4878" s="1"/>
      <c r="V4878" s="1"/>
      <c r="W4878" s="1"/>
      <c r="X4878" s="1"/>
      <c r="Y4878" s="1"/>
      <c r="Z4878" s="1"/>
      <c r="AA4878" s="1"/>
      <c r="AB4878" s="1"/>
    </row>
    <row r="4879" ht="50.25" customHeight="1">
      <c r="A4879" s="12">
        <v>4875.0</v>
      </c>
      <c r="B4879" s="13" t="s">
        <v>4379</v>
      </c>
      <c r="C4879" s="14" t="s">
        <v>4898</v>
      </c>
      <c r="D4879" s="1"/>
      <c r="E4879" s="1"/>
      <c r="F4879" s="1" t="str">
        <f>IFERROR(__xludf.DUMMYFUNCTION("GOOGLETRANSLATE(B4879, ""en"", ""fa"")
"),"مشاوره دوستیابی")</f>
        <v>مشاوره دوستیابی</v>
      </c>
      <c r="G4879" s="1" t="str">
        <f>IFERROR(__xludf.DUMMYFUNCTION("GOOGLETRANSLATE(C4879, ""en"", ""fa"")
"),"چند ایده برای برنامه ریزی یک قرار ماجراجویی در فضای باز، مانند پیاده روی یا کایاک سواری چیست؟")</f>
        <v>چند ایده برای برنامه ریزی یک قرار ماجراجویی در فضای باز، مانند پیاده روی یا کایاک سواری چیست؟</v>
      </c>
      <c r="H4879" s="1"/>
      <c r="I4879" s="1"/>
      <c r="J4879" s="1"/>
      <c r="K4879" s="1"/>
      <c r="L4879" s="1"/>
      <c r="M4879" s="1"/>
      <c r="N4879" s="1"/>
      <c r="O4879" s="1"/>
      <c r="P4879" s="1"/>
      <c r="Q4879" s="1"/>
      <c r="R4879" s="1"/>
      <c r="S4879" s="1"/>
      <c r="T4879" s="1"/>
      <c r="U4879" s="1"/>
      <c r="V4879" s="1"/>
      <c r="W4879" s="1"/>
      <c r="X4879" s="1"/>
      <c r="Y4879" s="1"/>
      <c r="Z4879" s="1"/>
      <c r="AA4879" s="1"/>
      <c r="AB4879" s="1"/>
    </row>
    <row r="4880" ht="50.25" customHeight="1">
      <c r="A4880" s="12">
        <v>4876.0</v>
      </c>
      <c r="B4880" s="13" t="s">
        <v>4379</v>
      </c>
      <c r="C4880" s="14" t="s">
        <v>4899</v>
      </c>
      <c r="D4880" s="1"/>
      <c r="E4880" s="1"/>
      <c r="F4880" s="1" t="str">
        <f>IFERROR(__xludf.DUMMYFUNCTION("GOOGLETRANSLATE(B4880, ""en"", ""fa"")
"),"مشاوره دوستیابی")</f>
        <v>مشاوره دوستیابی</v>
      </c>
      <c r="G4880" s="1" t="str">
        <f>IFERROR(__xludf.DUMMYFUNCTION("GOOGLETRANSLATE(C4880, ""en"", ""fa"")
"),"چگونه می توانم بازدید از یک موزه یا گالری هنری محلی را برای یک تاریخ غنی و به یاد ماندنی ترتیب دهم؟")</f>
        <v>چگونه می توانم بازدید از یک موزه یا گالری هنری محلی را برای یک تاریخ غنی و به یاد ماندنی ترتیب دهم؟</v>
      </c>
      <c r="H4880" s="1"/>
      <c r="I4880" s="1"/>
      <c r="J4880" s="1"/>
      <c r="K4880" s="1"/>
      <c r="L4880" s="1"/>
      <c r="M4880" s="1"/>
      <c r="N4880" s="1"/>
      <c r="O4880" s="1"/>
      <c r="P4880" s="1"/>
      <c r="Q4880" s="1"/>
      <c r="R4880" s="1"/>
      <c r="S4880" s="1"/>
      <c r="T4880" s="1"/>
      <c r="U4880" s="1"/>
      <c r="V4880" s="1"/>
      <c r="W4880" s="1"/>
      <c r="X4880" s="1"/>
      <c r="Y4880" s="1"/>
      <c r="Z4880" s="1"/>
      <c r="AA4880" s="1"/>
      <c r="AB4880" s="1"/>
    </row>
    <row r="4881" ht="50.25" customHeight="1">
      <c r="A4881" s="12">
        <v>4877.0</v>
      </c>
      <c r="B4881" s="13" t="s">
        <v>4379</v>
      </c>
      <c r="C4881" s="14" t="s">
        <v>4900</v>
      </c>
      <c r="D4881" s="1"/>
      <c r="E4881" s="1"/>
      <c r="F4881" s="1" t="str">
        <f>IFERROR(__xludf.DUMMYFUNCTION("GOOGLETRANSLATE(B4881, ""en"", ""fa"")
"),"مشاوره دوستیابی")</f>
        <v>مشاوره دوستیابی</v>
      </c>
      <c r="G4881" s="1" t="str">
        <f>IFERROR(__xludf.DUMMYFUNCTION("GOOGLETRANSLATE(C4881, ""en"", ""fa"")
"),"چند نکته برای برنامه ریزی یک دوچرخه سواری خوش منظره یا قدم زدن آرام در یک پارک زیبا چیست؟")</f>
        <v>چند نکته برای برنامه ریزی یک دوچرخه سواری خوش منظره یا قدم زدن آرام در یک پارک زیبا چیست؟</v>
      </c>
      <c r="H4881" s="1"/>
      <c r="I4881" s="1"/>
      <c r="J4881" s="1"/>
      <c r="K4881" s="1"/>
      <c r="L4881" s="1"/>
      <c r="M4881" s="1"/>
      <c r="N4881" s="1"/>
      <c r="O4881" s="1"/>
      <c r="P4881" s="1"/>
      <c r="Q4881" s="1"/>
      <c r="R4881" s="1"/>
      <c r="S4881" s="1"/>
      <c r="T4881" s="1"/>
      <c r="U4881" s="1"/>
      <c r="V4881" s="1"/>
      <c r="W4881" s="1"/>
      <c r="X4881" s="1"/>
      <c r="Y4881" s="1"/>
      <c r="Z4881" s="1"/>
      <c r="AA4881" s="1"/>
      <c r="AB4881" s="1"/>
    </row>
    <row r="4882" ht="50.25" customHeight="1">
      <c r="A4882" s="12">
        <v>4878.0</v>
      </c>
      <c r="B4882" s="13" t="s">
        <v>4379</v>
      </c>
      <c r="C4882" s="14" t="s">
        <v>4901</v>
      </c>
      <c r="D4882" s="1"/>
      <c r="E4882" s="1"/>
      <c r="F4882" s="1" t="str">
        <f>IFERROR(__xludf.DUMMYFUNCTION("GOOGLETRANSLATE(B4882, ""en"", ""fa"")
"),"مشاوره دوستیابی")</f>
        <v>مشاوره دوستیابی</v>
      </c>
      <c r="G4882" s="1" t="str">
        <f>IFERROR(__xludf.DUMMYFUNCTION("GOOGLETRANSLATE(C4882, ""en"", ""fa"")
"),"چگونه می‌توانم یک تاریخ غافلگیرکننده که شامل یک فعالیت هیجان‌انگیز، مانند چتربازی یا بانجی جامپینگ است، ترتیب دهم؟")</f>
        <v>چگونه می‌توانم یک تاریخ غافلگیرکننده که شامل یک فعالیت هیجان‌انگیز، مانند چتربازی یا بانجی جامپینگ است، ترتیب دهم؟</v>
      </c>
      <c r="H4882" s="1"/>
      <c r="I4882" s="1"/>
      <c r="J4882" s="1"/>
      <c r="K4882" s="1"/>
      <c r="L4882" s="1"/>
      <c r="M4882" s="1"/>
      <c r="N4882" s="1"/>
      <c r="O4882" s="1"/>
      <c r="P4882" s="1"/>
      <c r="Q4882" s="1"/>
      <c r="R4882" s="1"/>
      <c r="S4882" s="1"/>
      <c r="T4882" s="1"/>
      <c r="U4882" s="1"/>
      <c r="V4882" s="1"/>
      <c r="W4882" s="1"/>
      <c r="X4882" s="1"/>
      <c r="Y4882" s="1"/>
      <c r="Z4882" s="1"/>
      <c r="AA4882" s="1"/>
      <c r="AB4882" s="1"/>
    </row>
    <row r="4883" ht="50.25" customHeight="1">
      <c r="A4883" s="12">
        <v>4879.0</v>
      </c>
      <c r="B4883" s="13" t="s">
        <v>4379</v>
      </c>
      <c r="C4883" s="14" t="s">
        <v>4902</v>
      </c>
      <c r="D4883" s="1"/>
      <c r="E4883" s="1"/>
      <c r="F4883" s="1" t="str">
        <f>IFERROR(__xludf.DUMMYFUNCTION("GOOGLETRANSLATE(B4883, ""en"", ""fa"")
"),"مشاوره دوستیابی")</f>
        <v>مشاوره دوستیابی</v>
      </c>
      <c r="G4883" s="1" t="str">
        <f>IFERROR(__xludf.DUMMYFUNCTION("GOOGLETRANSLATE(C4883, ""en"", ""fa"")
"),"چه ایده هایی برای برنامه ریزی یک قرار سرگرم کننده و نوستالژیک در یک شهربازی یا نمایشگاه وجود دارد؟")</f>
        <v>چه ایده هایی برای برنامه ریزی یک قرار سرگرم کننده و نوستالژیک در یک شهربازی یا نمایشگاه وجود دارد؟</v>
      </c>
      <c r="H4883" s="1"/>
      <c r="I4883" s="1"/>
      <c r="J4883" s="1"/>
      <c r="K4883" s="1"/>
      <c r="L4883" s="1"/>
      <c r="M4883" s="1"/>
      <c r="N4883" s="1"/>
      <c r="O4883" s="1"/>
      <c r="P4883" s="1"/>
      <c r="Q4883" s="1"/>
      <c r="R4883" s="1"/>
      <c r="S4883" s="1"/>
      <c r="T4883" s="1"/>
      <c r="U4883" s="1"/>
      <c r="V4883" s="1"/>
      <c r="W4883" s="1"/>
      <c r="X4883" s="1"/>
      <c r="Y4883" s="1"/>
      <c r="Z4883" s="1"/>
      <c r="AA4883" s="1"/>
      <c r="AB4883" s="1"/>
    </row>
    <row r="4884" ht="50.25" customHeight="1">
      <c r="A4884" s="12">
        <v>4880.0</v>
      </c>
      <c r="B4884" s="13" t="s">
        <v>4379</v>
      </c>
      <c r="C4884" s="14" t="s">
        <v>4903</v>
      </c>
      <c r="D4884" s="1"/>
      <c r="E4884" s="1"/>
      <c r="F4884" s="1" t="str">
        <f>IFERROR(__xludf.DUMMYFUNCTION("GOOGLETRANSLATE(B4884, ""en"", ""fa"")
"),"مشاوره دوستیابی")</f>
        <v>مشاوره دوستیابی</v>
      </c>
      <c r="G4884" s="1" t="str">
        <f>IFERROR(__xludf.DUMMYFUNCTION("GOOGLETRANSLATE(C4884, ""en"", ""fa"")
"),"چگونه می توانم یک کلاس آشپزی خصوصی یا جلسه کوکتل سازی برای یک تجربه تاریخی منحصر به فرد ترتیب دهم؟")</f>
        <v>چگونه می توانم یک کلاس آشپزی خصوصی یا جلسه کوکتل سازی برای یک تجربه تاریخی منحصر به فرد ترتیب دهم؟</v>
      </c>
      <c r="H4884" s="1"/>
      <c r="I4884" s="1"/>
      <c r="J4884" s="1"/>
      <c r="K4884" s="1"/>
      <c r="L4884" s="1"/>
      <c r="M4884" s="1"/>
      <c r="N4884" s="1"/>
      <c r="O4884" s="1"/>
      <c r="P4884" s="1"/>
      <c r="Q4884" s="1"/>
      <c r="R4884" s="1"/>
      <c r="S4884" s="1"/>
      <c r="T4884" s="1"/>
      <c r="U4884" s="1"/>
      <c r="V4884" s="1"/>
      <c r="W4884" s="1"/>
      <c r="X4884" s="1"/>
      <c r="Y4884" s="1"/>
      <c r="Z4884" s="1"/>
      <c r="AA4884" s="1"/>
      <c r="AB4884" s="1"/>
    </row>
    <row r="4885" ht="50.25" customHeight="1">
      <c r="A4885" s="12">
        <v>4881.0</v>
      </c>
      <c r="B4885" s="13" t="s">
        <v>4379</v>
      </c>
      <c r="C4885" s="14" t="s">
        <v>4904</v>
      </c>
      <c r="D4885" s="1"/>
      <c r="E4885" s="1"/>
      <c r="F4885" s="1" t="str">
        <f>IFERROR(__xludf.DUMMYFUNCTION("GOOGLETRANSLATE(B4885, ""en"", ""fa"")
"),"مشاوره دوستیابی")</f>
        <v>مشاوره دوستیابی</v>
      </c>
      <c r="G4885" s="1" t="str">
        <f>IFERROR(__xludf.DUMMYFUNCTION("GOOGLETRANSLATE(C4885, ""en"", ""fa"")
"),"چند نکته برای برنامه ریزی یک شام عاشقانه در خانه، همراه با شمع و یک وعده غذایی لذیذ چیست؟")</f>
        <v>چند نکته برای برنامه ریزی یک شام عاشقانه در خانه، همراه با شمع و یک وعده غذایی لذیذ چیست؟</v>
      </c>
      <c r="H4885" s="1"/>
      <c r="I4885" s="1"/>
      <c r="J4885" s="1"/>
      <c r="K4885" s="1"/>
      <c r="L4885" s="1"/>
      <c r="M4885" s="1"/>
      <c r="N4885" s="1"/>
      <c r="O4885" s="1"/>
      <c r="P4885" s="1"/>
      <c r="Q4885" s="1"/>
      <c r="R4885" s="1"/>
      <c r="S4885" s="1"/>
      <c r="T4885" s="1"/>
      <c r="U4885" s="1"/>
      <c r="V4885" s="1"/>
      <c r="W4885" s="1"/>
      <c r="X4885" s="1"/>
      <c r="Y4885" s="1"/>
      <c r="Z4885" s="1"/>
      <c r="AA4885" s="1"/>
      <c r="AB4885" s="1"/>
    </row>
    <row r="4886" ht="50.25" customHeight="1">
      <c r="A4886" s="12">
        <v>4882.0</v>
      </c>
      <c r="B4886" s="13" t="s">
        <v>4379</v>
      </c>
      <c r="C4886" s="14" t="s">
        <v>4905</v>
      </c>
      <c r="D4886" s="1"/>
      <c r="E4886" s="1"/>
      <c r="F4886" s="1" t="str">
        <f>IFERROR(__xludf.DUMMYFUNCTION("GOOGLETRANSLATE(B4886, ""en"", ""fa"")
"),"مشاوره دوستیابی")</f>
        <v>مشاوره دوستیابی</v>
      </c>
      <c r="G4886" s="1" t="str">
        <f>IFERROR(__xludf.DUMMYFUNCTION("GOOGLETRANSLATE(C4886, ""en"", ""fa"")
"),"چگونه می توانم یک بازدید غافلگیرکننده از یک باغ گیاه شناسی یا یک ذخیره گاه طبیعی آرام برای یک تاریخ به یاد ماندنی ترتیب دهم؟")</f>
        <v>چگونه می توانم یک بازدید غافلگیرکننده از یک باغ گیاه شناسی یا یک ذخیره گاه طبیعی آرام برای یک تاریخ به یاد ماندنی ترتیب دهم؟</v>
      </c>
      <c r="H4886" s="1"/>
      <c r="I4886" s="1"/>
      <c r="J4886" s="1"/>
      <c r="K4886" s="1"/>
      <c r="L4886" s="1"/>
      <c r="M4886" s="1"/>
      <c r="N4886" s="1"/>
      <c r="O4886" s="1"/>
      <c r="P4886" s="1"/>
      <c r="Q4886" s="1"/>
      <c r="R4886" s="1"/>
      <c r="S4886" s="1"/>
      <c r="T4886" s="1"/>
      <c r="U4886" s="1"/>
      <c r="V4886" s="1"/>
      <c r="W4886" s="1"/>
      <c r="X4886" s="1"/>
      <c r="Y4886" s="1"/>
      <c r="Z4886" s="1"/>
      <c r="AA4886" s="1"/>
      <c r="AB4886" s="1"/>
    </row>
    <row r="4887" ht="50.25" customHeight="1">
      <c r="A4887" s="12">
        <v>4883.0</v>
      </c>
      <c r="B4887" s="13" t="s">
        <v>4379</v>
      </c>
      <c r="C4887" s="14" t="s">
        <v>4906</v>
      </c>
      <c r="D4887" s="1"/>
      <c r="E4887" s="1"/>
      <c r="F4887" s="1" t="str">
        <f>IFERROR(__xludf.DUMMYFUNCTION("GOOGLETRANSLATE(B4887, ""en"", ""fa"")
"),"مشاوره دوستیابی")</f>
        <v>مشاوره دوستیابی</v>
      </c>
      <c r="G4887" s="1" t="str">
        <f>IFERROR(__xludf.DUMMYFUNCTION("GOOGLETRANSLATE(C4887, ""en"", ""fa"")
"),"چه ایده هایی برای برنامه ریزی یک شب بازی سرگرم کننده و رقابتی با بازی های رومیزی یا بازی های ویدیویی وجود دارد؟")</f>
        <v>چه ایده هایی برای برنامه ریزی یک شب بازی سرگرم کننده و رقابتی با بازی های رومیزی یا بازی های ویدیویی وجود دارد؟</v>
      </c>
      <c r="H4887" s="1"/>
      <c r="I4887" s="1"/>
      <c r="J4887" s="1"/>
      <c r="K4887" s="1"/>
      <c r="L4887" s="1"/>
      <c r="M4887" s="1"/>
      <c r="N4887" s="1"/>
      <c r="O4887" s="1"/>
      <c r="P4887" s="1"/>
      <c r="Q4887" s="1"/>
      <c r="R4887" s="1"/>
      <c r="S4887" s="1"/>
      <c r="T4887" s="1"/>
      <c r="U4887" s="1"/>
      <c r="V4887" s="1"/>
      <c r="W4887" s="1"/>
      <c r="X4887" s="1"/>
      <c r="Y4887" s="1"/>
      <c r="Z4887" s="1"/>
      <c r="AA4887" s="1"/>
      <c r="AB4887" s="1"/>
    </row>
    <row r="4888" ht="50.25" customHeight="1">
      <c r="A4888" s="12">
        <v>4884.0</v>
      </c>
      <c r="B4888" s="13" t="s">
        <v>4379</v>
      </c>
      <c r="C4888" s="14" t="s">
        <v>4907</v>
      </c>
      <c r="D4888" s="1"/>
      <c r="E4888" s="1"/>
      <c r="F4888" s="1" t="str">
        <f>IFERROR(__xludf.DUMMYFUNCTION("GOOGLETRANSLATE(B4888, ""en"", ""fa"")
"),"مشاوره دوستیابی")</f>
        <v>مشاوره دوستیابی</v>
      </c>
      <c r="G4888" s="1" t="str">
        <f>IFERROR(__xludf.DUMMYFUNCTION("GOOGLETRANSLATE(C4888, ""en"", ""fa"")
"),"چگونه می توانم یک تاریخ خاص ترتیب دهم که شامل یادگیری یک مهارت یا سرگرمی جدید با هم باشد، مانند نقاشی یا رقص؟")</f>
        <v>چگونه می توانم یک تاریخ خاص ترتیب دهم که شامل یادگیری یک مهارت یا سرگرمی جدید با هم باشد، مانند نقاشی یا رقص؟</v>
      </c>
      <c r="H4888" s="1"/>
      <c r="I4888" s="1"/>
      <c r="J4888" s="1"/>
      <c r="K4888" s="1"/>
      <c r="L4888" s="1"/>
      <c r="M4888" s="1"/>
      <c r="N4888" s="1"/>
      <c r="O4888" s="1"/>
      <c r="P4888" s="1"/>
      <c r="Q4888" s="1"/>
      <c r="R4888" s="1"/>
      <c r="S4888" s="1"/>
      <c r="T4888" s="1"/>
      <c r="U4888" s="1"/>
      <c r="V4888" s="1"/>
      <c r="W4888" s="1"/>
      <c r="X4888" s="1"/>
      <c r="Y4888" s="1"/>
      <c r="Z4888" s="1"/>
      <c r="AA4888" s="1"/>
      <c r="AB4888" s="1"/>
    </row>
    <row r="4889" ht="50.25" customHeight="1">
      <c r="A4889" s="12">
        <v>4885.0</v>
      </c>
      <c r="B4889" s="13" t="s">
        <v>4379</v>
      </c>
      <c r="C4889" s="14" t="s">
        <v>4908</v>
      </c>
      <c r="D4889" s="1"/>
      <c r="E4889" s="1"/>
      <c r="F4889" s="1" t="str">
        <f>IFERROR(__xludf.DUMMYFUNCTION("GOOGLETRANSLATE(B4889, ""en"", ""fa"")
"),"مشاوره دوستیابی")</f>
        <v>مشاوره دوستیابی</v>
      </c>
      <c r="G4889" s="1" t="str">
        <f>IFERROR(__xludf.DUMMYFUNCTION("GOOGLETRANSLATE(C4889, ""en"", ""fa"")
"),"چند نکته برای برنامه ریزی یک پیک نیک ساحلی غروب آفتاب یا آتش سوزی برای یک قرار عاشقانه و به یاد ماندنی چیست؟")</f>
        <v>چند نکته برای برنامه ریزی یک پیک نیک ساحلی غروب آفتاب یا آتش سوزی برای یک قرار عاشقانه و به یاد ماندنی چیست؟</v>
      </c>
      <c r="H4889" s="1"/>
      <c r="I4889" s="1"/>
      <c r="J4889" s="1"/>
      <c r="K4889" s="1"/>
      <c r="L4889" s="1"/>
      <c r="M4889" s="1"/>
      <c r="N4889" s="1"/>
      <c r="O4889" s="1"/>
      <c r="P4889" s="1"/>
      <c r="Q4889" s="1"/>
      <c r="R4889" s="1"/>
      <c r="S4889" s="1"/>
      <c r="T4889" s="1"/>
      <c r="U4889" s="1"/>
      <c r="V4889" s="1"/>
      <c r="W4889" s="1"/>
      <c r="X4889" s="1"/>
      <c r="Y4889" s="1"/>
      <c r="Z4889" s="1"/>
      <c r="AA4889" s="1"/>
      <c r="AB4889" s="1"/>
    </row>
    <row r="4890" ht="50.25" customHeight="1">
      <c r="A4890" s="12">
        <v>4886.0</v>
      </c>
      <c r="B4890" s="13" t="s">
        <v>4379</v>
      </c>
      <c r="C4890" s="14" t="s">
        <v>4909</v>
      </c>
      <c r="D4890" s="1"/>
      <c r="E4890" s="1"/>
      <c r="F4890" s="1" t="str">
        <f>IFERROR(__xludf.DUMMYFUNCTION("GOOGLETRANSLATE(B4890, ""en"", ""fa"")
"),"مشاوره دوستیابی")</f>
        <v>مشاوره دوستیابی</v>
      </c>
      <c r="G4890" s="1" t="str">
        <f>IFERROR(__xludf.DUMMYFUNCTION("GOOGLETRANSLATE(C4890, ""en"", ""fa"")
"),"چگونه می توانم یک تاریخ غافلگیرکننده که شامل حضور در یک رویداد ورزشی زنده یا تشویق یک تیم مورد علاقه است، ترتیب دهم؟")</f>
        <v>چگونه می توانم یک تاریخ غافلگیرکننده که شامل حضور در یک رویداد ورزشی زنده یا تشویق یک تیم مورد علاقه است، ترتیب دهم؟</v>
      </c>
      <c r="H4890" s="1"/>
      <c r="I4890" s="1"/>
      <c r="J4890" s="1"/>
      <c r="K4890" s="1"/>
      <c r="L4890" s="1"/>
      <c r="M4890" s="1"/>
      <c r="N4890" s="1"/>
      <c r="O4890" s="1"/>
      <c r="P4890" s="1"/>
      <c r="Q4890" s="1"/>
      <c r="R4890" s="1"/>
      <c r="S4890" s="1"/>
      <c r="T4890" s="1"/>
      <c r="U4890" s="1"/>
      <c r="V4890" s="1"/>
      <c r="W4890" s="1"/>
      <c r="X4890" s="1"/>
      <c r="Y4890" s="1"/>
      <c r="Z4890" s="1"/>
      <c r="AA4890" s="1"/>
      <c r="AB4890" s="1"/>
    </row>
    <row r="4891" ht="50.25" customHeight="1">
      <c r="A4891" s="12">
        <v>4887.0</v>
      </c>
      <c r="B4891" s="13" t="s">
        <v>4379</v>
      </c>
      <c r="C4891" s="14" t="s">
        <v>4910</v>
      </c>
      <c r="D4891" s="1"/>
      <c r="E4891" s="1"/>
      <c r="F4891" s="1" t="str">
        <f>IFERROR(__xludf.DUMMYFUNCTION("GOOGLETRANSLATE(B4891, ""en"", ""fa"")
"),"مشاوره دوستیابی")</f>
        <v>مشاوره دوستیابی</v>
      </c>
      <c r="G4891" s="1" t="str">
        <f>IFERROR(__xludf.DUMMYFUNCTION("GOOGLETRANSLATE(C4891, ""en"", ""fa"")
"),"چه ایده هایی برای برنامه ریزی یک قرار داوطلبانه وجود دارد، جایی که بتوانیم با هم به جامعه کمک کنیم؟")</f>
        <v>چه ایده هایی برای برنامه ریزی یک قرار داوطلبانه وجود دارد، جایی که بتوانیم با هم به جامعه کمک کنیم؟</v>
      </c>
      <c r="H4891" s="1"/>
      <c r="I4891" s="1"/>
      <c r="J4891" s="1"/>
      <c r="K4891" s="1"/>
      <c r="L4891" s="1"/>
      <c r="M4891" s="1"/>
      <c r="N4891" s="1"/>
      <c r="O4891" s="1"/>
      <c r="P4891" s="1"/>
      <c r="Q4891" s="1"/>
      <c r="R4891" s="1"/>
      <c r="S4891" s="1"/>
      <c r="T4891" s="1"/>
      <c r="U4891" s="1"/>
      <c r="V4891" s="1"/>
      <c r="W4891" s="1"/>
      <c r="X4891" s="1"/>
      <c r="Y4891" s="1"/>
      <c r="Z4891" s="1"/>
      <c r="AA4891" s="1"/>
      <c r="AB4891" s="1"/>
    </row>
    <row r="4892" ht="50.25" customHeight="1">
      <c r="A4892" s="12">
        <v>4888.0</v>
      </c>
      <c r="B4892" s="13" t="s">
        <v>4379</v>
      </c>
      <c r="C4892" s="14" t="s">
        <v>4911</v>
      </c>
      <c r="D4892" s="1"/>
      <c r="E4892" s="1"/>
      <c r="F4892" s="1" t="str">
        <f>IFERROR(__xludf.DUMMYFUNCTION("GOOGLETRANSLATE(B4892, ""en"", ""fa"")
"),"مشاوره دوستیابی")</f>
        <v>مشاوره دوستیابی</v>
      </c>
      <c r="G4892" s="1" t="str">
        <f>IFERROR(__xludf.DUMMYFUNCTION("GOOGLETRANSLATE(C4892, ""en"", ""fa"")
"),"چگونه می توانم یک تجربه مزه شراب یا ویسکی خصوصی برای یک تاریخ پیچیده و به یاد ماندنی ترتیب دهم؟")</f>
        <v>چگونه می توانم یک تجربه مزه شراب یا ویسکی خصوصی برای یک تاریخ پیچیده و به یاد ماندنی ترتیب دهم؟</v>
      </c>
      <c r="H4892" s="1"/>
      <c r="I4892" s="1"/>
      <c r="J4892" s="1"/>
      <c r="K4892" s="1"/>
      <c r="L4892" s="1"/>
      <c r="M4892" s="1"/>
      <c r="N4892" s="1"/>
      <c r="O4892" s="1"/>
      <c r="P4892" s="1"/>
      <c r="Q4892" s="1"/>
      <c r="R4892" s="1"/>
      <c r="S4892" s="1"/>
      <c r="T4892" s="1"/>
      <c r="U4892" s="1"/>
      <c r="V4892" s="1"/>
      <c r="W4892" s="1"/>
      <c r="X4892" s="1"/>
      <c r="Y4892" s="1"/>
      <c r="Z4892" s="1"/>
      <c r="AA4892" s="1"/>
      <c r="AB4892" s="1"/>
    </row>
    <row r="4893" ht="50.25" customHeight="1">
      <c r="A4893" s="12">
        <v>4889.0</v>
      </c>
      <c r="B4893" s="13" t="s">
        <v>4379</v>
      </c>
      <c r="C4893" s="14" t="s">
        <v>4912</v>
      </c>
      <c r="D4893" s="1"/>
      <c r="E4893" s="1"/>
      <c r="F4893" s="1" t="str">
        <f>IFERROR(__xludf.DUMMYFUNCTION("GOOGLETRANSLATE(B4893, ""en"", ""fa"")
"),"مشاوره دوستیابی")</f>
        <v>مشاوره دوستیابی</v>
      </c>
      <c r="G4893" s="1" t="str">
        <f>IFERROR(__xludf.DUMMYFUNCTION("GOOGLETRANSLATE(C4893, ""en"", ""fa"")
"),"نکاتی برای برنامه ریزی یک تاریخ فرهنگی، مانند بازدید از نمایشگاه هنری یا حضور در یک تئاتر چیست؟")</f>
        <v>نکاتی برای برنامه ریزی یک تاریخ فرهنگی، مانند بازدید از نمایشگاه هنری یا حضور در یک تئاتر چیست؟</v>
      </c>
      <c r="H4893" s="1"/>
      <c r="I4893" s="1"/>
      <c r="J4893" s="1"/>
      <c r="K4893" s="1"/>
      <c r="L4893" s="1"/>
      <c r="M4893" s="1"/>
      <c r="N4893" s="1"/>
      <c r="O4893" s="1"/>
      <c r="P4893" s="1"/>
      <c r="Q4893" s="1"/>
      <c r="R4893" s="1"/>
      <c r="S4893" s="1"/>
      <c r="T4893" s="1"/>
      <c r="U4893" s="1"/>
      <c r="V4893" s="1"/>
      <c r="W4893" s="1"/>
      <c r="X4893" s="1"/>
      <c r="Y4893" s="1"/>
      <c r="Z4893" s="1"/>
      <c r="AA4893" s="1"/>
      <c r="AB4893" s="1"/>
    </row>
    <row r="4894" ht="50.25" customHeight="1">
      <c r="A4894" s="12">
        <v>4890.0</v>
      </c>
      <c r="B4894" s="13" t="s">
        <v>4379</v>
      </c>
      <c r="C4894" s="14" t="s">
        <v>4913</v>
      </c>
      <c r="D4894" s="1"/>
      <c r="E4894" s="1"/>
      <c r="F4894" s="1" t="str">
        <f>IFERROR(__xludf.DUMMYFUNCTION("GOOGLETRANSLATE(B4894, ""en"", ""fa"")
"),"مشاوره دوستیابی")</f>
        <v>مشاوره دوستیابی</v>
      </c>
      <c r="G4894" s="1" t="str">
        <f>IFERROR(__xludf.DUMMYFUNCTION("GOOGLETRANSLATE(C4894, ""en"", ""fa"")
"),"چگونه می توانم یک تاریخ غافلگیرکننده که شامل بالون سواری یا تور هلیکوپتر است ترتیب دهم؟")</f>
        <v>چگونه می توانم یک تاریخ غافلگیرکننده که شامل بالون سواری یا تور هلیکوپتر است ترتیب دهم؟</v>
      </c>
      <c r="H4894" s="1"/>
      <c r="I4894" s="1"/>
      <c r="J4894" s="1"/>
      <c r="K4894" s="1"/>
      <c r="L4894" s="1"/>
      <c r="M4894" s="1"/>
      <c r="N4894" s="1"/>
      <c r="O4894" s="1"/>
      <c r="P4894" s="1"/>
      <c r="Q4894" s="1"/>
      <c r="R4894" s="1"/>
      <c r="S4894" s="1"/>
      <c r="T4894" s="1"/>
      <c r="U4894" s="1"/>
      <c r="V4894" s="1"/>
      <c r="W4894" s="1"/>
      <c r="X4894" s="1"/>
      <c r="Y4894" s="1"/>
      <c r="Z4894" s="1"/>
      <c r="AA4894" s="1"/>
      <c r="AB4894" s="1"/>
    </row>
    <row r="4895" ht="50.25" customHeight="1">
      <c r="A4895" s="12">
        <v>4891.0</v>
      </c>
      <c r="B4895" s="13" t="s">
        <v>4379</v>
      </c>
      <c r="C4895" s="14" t="s">
        <v>4914</v>
      </c>
      <c r="D4895" s="1"/>
      <c r="E4895" s="1"/>
      <c r="F4895" s="1" t="str">
        <f>IFERROR(__xludf.DUMMYFUNCTION("GOOGLETRANSLATE(B4895, ""en"", ""fa"")
"),"مشاوره دوستیابی")</f>
        <v>مشاوره دوستیابی</v>
      </c>
      <c r="G4895" s="1" t="str">
        <f>IFERROR(__xludf.DUMMYFUNCTION("GOOGLETRANSLATE(C4895, ""en"", ""fa"")
"),"چه ایده هایی برای برنامه ریزی یک قرار مینی گلف یا بولینگ سرگرم کننده و سبک وجود دارد؟")</f>
        <v>چه ایده هایی برای برنامه ریزی یک قرار مینی گلف یا بولینگ سرگرم کننده و سبک وجود دارد؟</v>
      </c>
      <c r="H4895" s="1"/>
      <c r="I4895" s="1"/>
      <c r="J4895" s="1"/>
      <c r="K4895" s="1"/>
      <c r="L4895" s="1"/>
      <c r="M4895" s="1"/>
      <c r="N4895" s="1"/>
      <c r="O4895" s="1"/>
      <c r="P4895" s="1"/>
      <c r="Q4895" s="1"/>
      <c r="R4895" s="1"/>
      <c r="S4895" s="1"/>
      <c r="T4895" s="1"/>
      <c r="U4895" s="1"/>
      <c r="V4895" s="1"/>
      <c r="W4895" s="1"/>
      <c r="X4895" s="1"/>
      <c r="Y4895" s="1"/>
      <c r="Z4895" s="1"/>
      <c r="AA4895" s="1"/>
      <c r="AB4895" s="1"/>
    </row>
    <row r="4896" ht="50.25" customHeight="1">
      <c r="A4896" s="12">
        <v>4892.0</v>
      </c>
      <c r="B4896" s="13" t="s">
        <v>4379</v>
      </c>
      <c r="C4896" s="14" t="s">
        <v>4915</v>
      </c>
      <c r="D4896" s="1"/>
      <c r="E4896" s="1"/>
      <c r="F4896" s="1" t="str">
        <f>IFERROR(__xludf.DUMMYFUNCTION("GOOGLETRANSLATE(B4896, ""en"", ""fa"")
"),"مشاوره دوستیابی")</f>
        <v>مشاوره دوستیابی</v>
      </c>
      <c r="G4896" s="1" t="str">
        <f>IFERROR(__xludf.DUMMYFUNCTION("GOOGLETRANSLATE(C4896, ""en"", ""fa"")
"),"چگونه می توانم بازدید از یک مزرعه یا باغ محلی را برای یک تاریخ جذاب و به یاد ماندنی ترتیب دهم؟")</f>
        <v>چگونه می توانم بازدید از یک مزرعه یا باغ محلی را برای یک تاریخ جذاب و به یاد ماندنی ترتیب دهم؟</v>
      </c>
      <c r="H4896" s="1"/>
      <c r="I4896" s="1"/>
      <c r="J4896" s="1"/>
      <c r="K4896" s="1"/>
      <c r="L4896" s="1"/>
      <c r="M4896" s="1"/>
      <c r="N4896" s="1"/>
      <c r="O4896" s="1"/>
      <c r="P4896" s="1"/>
      <c r="Q4896" s="1"/>
      <c r="R4896" s="1"/>
      <c r="S4896" s="1"/>
      <c r="T4896" s="1"/>
      <c r="U4896" s="1"/>
      <c r="V4896" s="1"/>
      <c r="W4896" s="1"/>
      <c r="X4896" s="1"/>
      <c r="Y4896" s="1"/>
      <c r="Z4896" s="1"/>
      <c r="AA4896" s="1"/>
      <c r="AB4896" s="1"/>
    </row>
    <row r="4897" ht="50.25" customHeight="1">
      <c r="A4897" s="12">
        <v>4893.0</v>
      </c>
      <c r="B4897" s="13" t="s">
        <v>4379</v>
      </c>
      <c r="C4897" s="14" t="s">
        <v>4916</v>
      </c>
      <c r="D4897" s="1"/>
      <c r="E4897" s="1"/>
      <c r="F4897" s="1" t="str">
        <f>IFERROR(__xludf.DUMMYFUNCTION("GOOGLETRANSLATE(B4897, ""en"", ""fa"")
"),"مشاوره دوستیابی")</f>
        <v>مشاوره دوستیابی</v>
      </c>
      <c r="G4897" s="1" t="str">
        <f>IFERROR(__xludf.DUMMYFUNCTION("GOOGLETRANSLATE(C4897, ""en"", ""fa"")
"),"چند نکته برای برنامه ریزی یک پیک نیک داخلی دنج و صمیمی یا ماراتن فیلم چیست؟")</f>
        <v>چند نکته برای برنامه ریزی یک پیک نیک داخلی دنج و صمیمی یا ماراتن فیلم چیست؟</v>
      </c>
      <c r="H4897" s="1"/>
      <c r="I4897" s="1"/>
      <c r="J4897" s="1"/>
      <c r="K4897" s="1"/>
      <c r="L4897" s="1"/>
      <c r="M4897" s="1"/>
      <c r="N4897" s="1"/>
      <c r="O4897" s="1"/>
      <c r="P4897" s="1"/>
      <c r="Q4897" s="1"/>
      <c r="R4897" s="1"/>
      <c r="S4897" s="1"/>
      <c r="T4897" s="1"/>
      <c r="U4897" s="1"/>
      <c r="V4897" s="1"/>
      <c r="W4897" s="1"/>
      <c r="X4897" s="1"/>
      <c r="Y4897" s="1"/>
      <c r="Z4897" s="1"/>
      <c r="AA4897" s="1"/>
      <c r="AB4897" s="1"/>
    </row>
    <row r="4898" ht="50.25" customHeight="1">
      <c r="A4898" s="12">
        <v>4894.0</v>
      </c>
      <c r="B4898" s="13" t="s">
        <v>4379</v>
      </c>
      <c r="C4898" s="14" t="s">
        <v>4917</v>
      </c>
      <c r="D4898" s="1"/>
      <c r="E4898" s="1"/>
      <c r="F4898" s="1" t="str">
        <f>IFERROR(__xludf.DUMMYFUNCTION("GOOGLETRANSLATE(B4898, ""en"", ""fa"")
"),"مشاوره دوستیابی")</f>
        <v>مشاوره دوستیابی</v>
      </c>
      <c r="G4898" s="1" t="str">
        <f>IFERROR(__xludf.DUMMYFUNCTION("GOOGLETRANSLATE(C4898, ""en"", ""fa"")
"),"چگونه می توانم یک تاریخ غافلگیرکننده که شامل سواری با قطار خوش منظره یا سفر با قایق است ترتیب دهم؟")</f>
        <v>چگونه می توانم یک تاریخ غافلگیرکننده که شامل سواری با قطار خوش منظره یا سفر با قایق است ترتیب دهم؟</v>
      </c>
      <c r="H4898" s="1"/>
      <c r="I4898" s="1"/>
      <c r="J4898" s="1"/>
      <c r="K4898" s="1"/>
      <c r="L4898" s="1"/>
      <c r="M4898" s="1"/>
      <c r="N4898" s="1"/>
      <c r="O4898" s="1"/>
      <c r="P4898" s="1"/>
      <c r="Q4898" s="1"/>
      <c r="R4898" s="1"/>
      <c r="S4898" s="1"/>
      <c r="T4898" s="1"/>
      <c r="U4898" s="1"/>
      <c r="V4898" s="1"/>
      <c r="W4898" s="1"/>
      <c r="X4898" s="1"/>
      <c r="Y4898" s="1"/>
      <c r="Z4898" s="1"/>
      <c r="AA4898" s="1"/>
      <c r="AB4898" s="1"/>
    </row>
    <row r="4899" ht="50.25" customHeight="1">
      <c r="A4899" s="12">
        <v>4895.0</v>
      </c>
      <c r="B4899" s="13" t="s">
        <v>4379</v>
      </c>
      <c r="C4899" s="14" t="s">
        <v>4918</v>
      </c>
      <c r="D4899" s="1"/>
      <c r="E4899" s="1"/>
      <c r="F4899" s="1" t="str">
        <f>IFERROR(__xludf.DUMMYFUNCTION("GOOGLETRANSLATE(B4899, ""en"", ""fa"")
"),"مشاوره دوستیابی")</f>
        <v>مشاوره دوستیابی</v>
      </c>
      <c r="G4899" s="1" t="str">
        <f>IFERROR(__xludf.DUMMYFUNCTION("GOOGLETRANSLATE(C4899, ""en"", ""fa"")
"),"چند ایده برای برنامه ریزی یک روز آبگرم DIY در خانه، همراه با ماساژ و نوازش چیست؟")</f>
        <v>چند ایده برای برنامه ریزی یک روز آبگرم DIY در خانه، همراه با ماساژ و نوازش چیست؟</v>
      </c>
      <c r="H4899" s="1"/>
      <c r="I4899" s="1"/>
      <c r="J4899" s="1"/>
      <c r="K4899" s="1"/>
      <c r="L4899" s="1"/>
      <c r="M4899" s="1"/>
      <c r="N4899" s="1"/>
      <c r="O4899" s="1"/>
      <c r="P4899" s="1"/>
      <c r="Q4899" s="1"/>
      <c r="R4899" s="1"/>
      <c r="S4899" s="1"/>
      <c r="T4899" s="1"/>
      <c r="U4899" s="1"/>
      <c r="V4899" s="1"/>
      <c r="W4899" s="1"/>
      <c r="X4899" s="1"/>
      <c r="Y4899" s="1"/>
      <c r="Z4899" s="1"/>
      <c r="AA4899" s="1"/>
      <c r="AB4899" s="1"/>
    </row>
    <row r="4900" ht="50.25" customHeight="1">
      <c r="A4900" s="12">
        <v>4896.0</v>
      </c>
      <c r="B4900" s="13" t="s">
        <v>4379</v>
      </c>
      <c r="C4900" s="14" t="s">
        <v>4919</v>
      </c>
      <c r="D4900" s="1"/>
      <c r="E4900" s="1"/>
      <c r="F4900" s="1" t="str">
        <f>IFERROR(__xludf.DUMMYFUNCTION("GOOGLETRANSLATE(B4900, ""en"", ""fa"")
"),"مشاوره دوستیابی")</f>
        <v>مشاوره دوستیابی</v>
      </c>
      <c r="G4900" s="1" t="str">
        <f>IFERROR(__xludf.DUMMYFUNCTION("GOOGLETRANSLATE(C4900, ""en"", ""fa"")
"),"چگونه می توانم یک جلسه خصوصی تماشای ستارگان یا بازدید از یک رصدخانه برای یک قرار عاشقانه و به یاد ماندنی ترتیب دهم؟")</f>
        <v>چگونه می توانم یک جلسه خصوصی تماشای ستارگان یا بازدید از یک رصدخانه برای یک قرار عاشقانه و به یاد ماندنی ترتیب دهم؟</v>
      </c>
      <c r="H4900" s="1"/>
      <c r="I4900" s="1"/>
      <c r="J4900" s="1"/>
      <c r="K4900" s="1"/>
      <c r="L4900" s="1"/>
      <c r="M4900" s="1"/>
      <c r="N4900" s="1"/>
      <c r="O4900" s="1"/>
      <c r="P4900" s="1"/>
      <c r="Q4900" s="1"/>
      <c r="R4900" s="1"/>
      <c r="S4900" s="1"/>
      <c r="T4900" s="1"/>
      <c r="U4900" s="1"/>
      <c r="V4900" s="1"/>
      <c r="W4900" s="1"/>
      <c r="X4900" s="1"/>
      <c r="Y4900" s="1"/>
      <c r="Z4900" s="1"/>
      <c r="AA4900" s="1"/>
      <c r="AB4900" s="1"/>
    </row>
    <row r="4901" ht="50.25" customHeight="1">
      <c r="A4901" s="12">
        <v>4897.0</v>
      </c>
      <c r="B4901" s="13" t="s">
        <v>4379</v>
      </c>
      <c r="C4901" s="14" t="s">
        <v>4920</v>
      </c>
      <c r="D4901" s="1"/>
      <c r="E4901" s="1"/>
      <c r="F4901" s="1" t="str">
        <f>IFERROR(__xludf.DUMMYFUNCTION("GOOGLETRANSLATE(B4901, ""en"", ""fa"")
"),"مشاوره دوستیابی")</f>
        <v>مشاوره دوستیابی</v>
      </c>
      <c r="G4901" s="1" t="str">
        <f>IFERROR(__xludf.DUMMYFUNCTION("GOOGLETRANSLATE(C4901, ""en"", ""fa"")
"),"چند نکته برای برنامه ریزی یک شب کارائوکه سرگرم کننده و تعاملی یا یک مهمانی رقص در خانه چیست؟")</f>
        <v>چند نکته برای برنامه ریزی یک شب کارائوکه سرگرم کننده و تعاملی یا یک مهمانی رقص در خانه چیست؟</v>
      </c>
      <c r="H4901" s="1"/>
      <c r="I4901" s="1"/>
      <c r="J4901" s="1"/>
      <c r="K4901" s="1"/>
      <c r="L4901" s="1"/>
      <c r="M4901" s="1"/>
      <c r="N4901" s="1"/>
      <c r="O4901" s="1"/>
      <c r="P4901" s="1"/>
      <c r="Q4901" s="1"/>
      <c r="R4901" s="1"/>
      <c r="S4901" s="1"/>
      <c r="T4901" s="1"/>
      <c r="U4901" s="1"/>
      <c r="V4901" s="1"/>
      <c r="W4901" s="1"/>
      <c r="X4901" s="1"/>
      <c r="Y4901" s="1"/>
      <c r="Z4901" s="1"/>
      <c r="AA4901" s="1"/>
      <c r="AB4901" s="1"/>
    </row>
    <row r="4902" ht="50.25" customHeight="1">
      <c r="A4902" s="12">
        <v>4898.0</v>
      </c>
      <c r="B4902" s="13" t="s">
        <v>4379</v>
      </c>
      <c r="C4902" s="14" t="s">
        <v>4921</v>
      </c>
      <c r="D4902" s="1"/>
      <c r="E4902" s="1"/>
      <c r="F4902" s="1" t="str">
        <f>IFERROR(__xludf.DUMMYFUNCTION("GOOGLETRANSLATE(B4902, ""en"", ""fa"")
"),"مشاوره دوستیابی")</f>
        <v>مشاوره دوستیابی</v>
      </c>
      <c r="G4902" s="1" t="str">
        <f>IFERROR(__xludf.DUMMYFUNCTION("GOOGLETRANSLATE(C4902, ""en"", ""fa"")
"),"چگونه می توانم یک تاریخ غافلگیرکننده که شامل حضور در یک نمایش کمدی یا اجرای زنده است ترتیب دهم؟")</f>
        <v>چگونه می توانم یک تاریخ غافلگیرکننده که شامل حضور در یک نمایش کمدی یا اجرای زنده است ترتیب دهم؟</v>
      </c>
      <c r="H4902" s="1"/>
      <c r="I4902" s="1"/>
      <c r="J4902" s="1"/>
      <c r="K4902" s="1"/>
      <c r="L4902" s="1"/>
      <c r="M4902" s="1"/>
      <c r="N4902" s="1"/>
      <c r="O4902" s="1"/>
      <c r="P4902" s="1"/>
      <c r="Q4902" s="1"/>
      <c r="R4902" s="1"/>
      <c r="S4902" s="1"/>
      <c r="T4902" s="1"/>
      <c r="U4902" s="1"/>
      <c r="V4902" s="1"/>
      <c r="W4902" s="1"/>
      <c r="X4902" s="1"/>
      <c r="Y4902" s="1"/>
      <c r="Z4902" s="1"/>
      <c r="AA4902" s="1"/>
      <c r="AB4902" s="1"/>
    </row>
    <row r="4903" ht="50.25" customHeight="1">
      <c r="A4903" s="12">
        <v>4899.0</v>
      </c>
      <c r="B4903" s="13" t="s">
        <v>4379</v>
      </c>
      <c r="C4903" s="14" t="s">
        <v>4922</v>
      </c>
      <c r="D4903" s="1"/>
      <c r="E4903" s="1"/>
      <c r="F4903" s="1" t="str">
        <f>IFERROR(__xludf.DUMMYFUNCTION("GOOGLETRANSLATE(B4903, ""en"", ""fa"")
"),"مشاوره دوستیابی")</f>
        <v>مشاوره دوستیابی</v>
      </c>
      <c r="G4903" s="1" t="str">
        <f>IFERROR(__xludf.DUMMYFUNCTION("GOOGLETRANSLATE(C4903, ""en"", ""fa"")
"),"چند ایده برای برنامه ریزی یک قرار قهوه معمولی و آرام در یک کافه مد روز یا یک کافی شاپ دنج چیست؟")</f>
        <v>چند ایده برای برنامه ریزی یک قرار قهوه معمولی و آرام در یک کافه مد روز یا یک کافی شاپ دنج چیست؟</v>
      </c>
      <c r="H4903" s="1"/>
      <c r="I4903" s="1"/>
      <c r="J4903" s="1"/>
      <c r="K4903" s="1"/>
      <c r="L4903" s="1"/>
      <c r="M4903" s="1"/>
      <c r="N4903" s="1"/>
      <c r="O4903" s="1"/>
      <c r="P4903" s="1"/>
      <c r="Q4903" s="1"/>
      <c r="R4903" s="1"/>
      <c r="S4903" s="1"/>
      <c r="T4903" s="1"/>
      <c r="U4903" s="1"/>
      <c r="V4903" s="1"/>
      <c r="W4903" s="1"/>
      <c r="X4903" s="1"/>
      <c r="Y4903" s="1"/>
      <c r="Z4903" s="1"/>
      <c r="AA4903" s="1"/>
      <c r="AB4903" s="1"/>
    </row>
    <row r="4904" ht="50.25" customHeight="1">
      <c r="A4904" s="12">
        <v>4900.0</v>
      </c>
      <c r="B4904" s="13" t="s">
        <v>4379</v>
      </c>
      <c r="C4904" s="14" t="s">
        <v>4923</v>
      </c>
      <c r="D4904" s="1"/>
      <c r="E4904" s="1"/>
      <c r="F4904" s="1" t="str">
        <f>IFERROR(__xludf.DUMMYFUNCTION("GOOGLETRANSLATE(B4904, ""en"", ""fa"")
"),"مشاوره دوستیابی")</f>
        <v>مشاوره دوستیابی</v>
      </c>
      <c r="G4904" s="1" t="str">
        <f>IFERROR(__xludf.DUMMYFUNCTION("GOOGLETRANSLATE(C4904, ""en"", ""fa"")
"),"چگونه می توانم بازدید از یک پناهگاه حیوانات محلی یا یک کافه حیوانات خانگی را برای یک قرار دلچسب و به یاد ماندنی ترتیب دهم؟")</f>
        <v>چگونه می توانم بازدید از یک پناهگاه حیوانات محلی یا یک کافه حیوانات خانگی را برای یک قرار دلچسب و به یاد ماندنی ترتیب دهم؟</v>
      </c>
      <c r="H4904" s="1"/>
      <c r="I4904" s="1"/>
      <c r="J4904" s="1"/>
      <c r="K4904" s="1"/>
      <c r="L4904" s="1"/>
      <c r="M4904" s="1"/>
      <c r="N4904" s="1"/>
      <c r="O4904" s="1"/>
      <c r="P4904" s="1"/>
      <c r="Q4904" s="1"/>
      <c r="R4904" s="1"/>
      <c r="S4904" s="1"/>
      <c r="T4904" s="1"/>
      <c r="U4904" s="1"/>
      <c r="V4904" s="1"/>
      <c r="W4904" s="1"/>
      <c r="X4904" s="1"/>
      <c r="Y4904" s="1"/>
      <c r="Z4904" s="1"/>
      <c r="AA4904" s="1"/>
      <c r="AB4904" s="1"/>
    </row>
    <row r="4905" ht="50.25" customHeight="1">
      <c r="A4905" s="12">
        <v>4901.0</v>
      </c>
      <c r="B4905" s="13" t="s">
        <v>4379</v>
      </c>
      <c r="C4905" s="14" t="s">
        <v>4924</v>
      </c>
      <c r="D4905" s="1"/>
      <c r="E4905" s="1"/>
      <c r="F4905" s="1" t="str">
        <f>IFERROR(__xludf.DUMMYFUNCTION("GOOGLETRANSLATE(B4905, ""en"", ""fa"")
"),"مشاوره دوستیابی")</f>
        <v>مشاوره دوستیابی</v>
      </c>
      <c r="G4905" s="1" t="str">
        <f>IFERROR(__xludf.DUMMYFUNCTION("GOOGLETRANSLATE(C4905, ""en"", ""fa"")
"),"نکاتی برای برنامه ریزی یک تاریخ ماجراجویی هیجان انگیز، مانند صخره نوردی در فضای داخلی یا زیپ لاین چیست؟")</f>
        <v>نکاتی برای برنامه ریزی یک تاریخ ماجراجویی هیجان انگیز، مانند صخره نوردی در فضای داخلی یا زیپ لاین چیست؟</v>
      </c>
      <c r="H4905" s="1"/>
      <c r="I4905" s="1"/>
      <c r="J4905" s="1"/>
      <c r="K4905" s="1"/>
      <c r="L4905" s="1"/>
      <c r="M4905" s="1"/>
      <c r="N4905" s="1"/>
      <c r="O4905" s="1"/>
      <c r="P4905" s="1"/>
      <c r="Q4905" s="1"/>
      <c r="R4905" s="1"/>
      <c r="S4905" s="1"/>
      <c r="T4905" s="1"/>
      <c r="U4905" s="1"/>
      <c r="V4905" s="1"/>
      <c r="W4905" s="1"/>
      <c r="X4905" s="1"/>
      <c r="Y4905" s="1"/>
      <c r="Z4905" s="1"/>
      <c r="AA4905" s="1"/>
      <c r="AB4905" s="1"/>
    </row>
    <row r="4906" ht="50.25" customHeight="1">
      <c r="A4906" s="12">
        <v>4902.0</v>
      </c>
      <c r="B4906" s="13" t="s">
        <v>4379</v>
      </c>
      <c r="C4906" s="14" t="s">
        <v>4925</v>
      </c>
      <c r="D4906" s="1"/>
      <c r="E4906" s="1"/>
      <c r="F4906" s="1" t="str">
        <f>IFERROR(__xludf.DUMMYFUNCTION("GOOGLETRANSLATE(B4906, ""en"", ""fa"")
"),"مشاوره دوستیابی")</f>
        <v>مشاوره دوستیابی</v>
      </c>
      <c r="G4906" s="1" t="str">
        <f>IFERROR(__xludf.DUMMYFUNCTION("GOOGLETRANSLATE(C4906, ""en"", ""fa"")
"),"چگونه می توانم یک تاریخ غافلگیرکننده که شامل یک هلیکوپتر خوش منظره یا بالون سواری است ترتیب دهم؟")</f>
        <v>چگونه می توانم یک تاریخ غافلگیرکننده که شامل یک هلیکوپتر خوش منظره یا بالون سواری است ترتیب دهم؟</v>
      </c>
      <c r="H4906" s="1"/>
      <c r="I4906" s="1"/>
      <c r="J4906" s="1"/>
      <c r="K4906" s="1"/>
      <c r="L4906" s="1"/>
      <c r="M4906" s="1"/>
      <c r="N4906" s="1"/>
      <c r="O4906" s="1"/>
      <c r="P4906" s="1"/>
      <c r="Q4906" s="1"/>
      <c r="R4906" s="1"/>
      <c r="S4906" s="1"/>
      <c r="T4906" s="1"/>
      <c r="U4906" s="1"/>
      <c r="V4906" s="1"/>
      <c r="W4906" s="1"/>
      <c r="X4906" s="1"/>
      <c r="Y4906" s="1"/>
      <c r="Z4906" s="1"/>
      <c r="AA4906" s="1"/>
      <c r="AB4906" s="1"/>
    </row>
    <row r="4907" ht="50.25" customHeight="1">
      <c r="A4907" s="12">
        <v>4903.0</v>
      </c>
      <c r="B4907" s="13" t="s">
        <v>4379</v>
      </c>
      <c r="C4907" s="14" t="s">
        <v>4926</v>
      </c>
      <c r="D4907" s="1"/>
      <c r="E4907" s="1"/>
      <c r="F4907" s="1" t="str">
        <f>IFERROR(__xludf.DUMMYFUNCTION("GOOGLETRANSLATE(B4907, ""en"", ""fa"")
"),"مشاوره دوستیابی")</f>
        <v>مشاوره دوستیابی</v>
      </c>
      <c r="G4907" s="1" t="str">
        <f>IFERROR(__xludf.DUMMYFUNCTION("GOOGLETRANSLATE(C4907, ""en"", ""fa"")
"),"چند ایده برای برنامه ریزی یک قرار سرگرم کننده و نوستالژیک در یک بازی آرکید یا یک بار بازی یکپارچهسازی با سیستمعامل چیست؟")</f>
        <v>چند ایده برای برنامه ریزی یک قرار سرگرم کننده و نوستالژیک در یک بازی آرکید یا یک بار بازی یکپارچهسازی با سیستمعامل چیست؟</v>
      </c>
      <c r="H4907" s="1"/>
      <c r="I4907" s="1"/>
      <c r="J4907" s="1"/>
      <c r="K4907" s="1"/>
      <c r="L4907" s="1"/>
      <c r="M4907" s="1"/>
      <c r="N4907" s="1"/>
      <c r="O4907" s="1"/>
      <c r="P4907" s="1"/>
      <c r="Q4907" s="1"/>
      <c r="R4907" s="1"/>
      <c r="S4907" s="1"/>
      <c r="T4907" s="1"/>
      <c r="U4907" s="1"/>
      <c r="V4907" s="1"/>
      <c r="W4907" s="1"/>
      <c r="X4907" s="1"/>
      <c r="Y4907" s="1"/>
      <c r="Z4907" s="1"/>
      <c r="AA4907" s="1"/>
      <c r="AB4907" s="1"/>
    </row>
    <row r="4908" ht="50.25" customHeight="1">
      <c r="A4908" s="12">
        <v>4904.0</v>
      </c>
      <c r="B4908" s="13" t="s">
        <v>4379</v>
      </c>
      <c r="C4908" s="14" t="s">
        <v>4927</v>
      </c>
      <c r="D4908" s="1"/>
      <c r="E4908" s="1"/>
      <c r="F4908" s="1" t="str">
        <f>IFERROR(__xludf.DUMMYFUNCTION("GOOGLETRANSLATE(B4908, ""en"", ""fa"")
"),"مشاوره دوستیابی")</f>
        <v>مشاوره دوستیابی</v>
      </c>
      <c r="G4908" s="1" t="str">
        <f>IFERROR(__xludf.DUMMYFUNCTION("GOOGLETRANSLATE(C4908, ""en"", ""fa"")
"),"چگونه می توانم یک جلسه یوگا یا مدیتیشن خصوصی برای یک قرار آرام و به یاد ماندنی ترتیب دهم؟")</f>
        <v>چگونه می توانم یک جلسه یوگا یا مدیتیشن خصوصی برای یک قرار آرام و به یاد ماندنی ترتیب دهم؟</v>
      </c>
      <c r="H4908" s="1"/>
      <c r="I4908" s="1"/>
      <c r="J4908" s="1"/>
      <c r="K4908" s="1"/>
      <c r="L4908" s="1"/>
      <c r="M4908" s="1"/>
      <c r="N4908" s="1"/>
      <c r="O4908" s="1"/>
      <c r="P4908" s="1"/>
      <c r="Q4908" s="1"/>
      <c r="R4908" s="1"/>
      <c r="S4908" s="1"/>
      <c r="T4908" s="1"/>
      <c r="U4908" s="1"/>
      <c r="V4908" s="1"/>
      <c r="W4908" s="1"/>
      <c r="X4908" s="1"/>
      <c r="Y4908" s="1"/>
      <c r="Z4908" s="1"/>
      <c r="AA4908" s="1"/>
      <c r="AB4908" s="1"/>
    </row>
    <row r="4909" ht="50.25" customHeight="1">
      <c r="A4909" s="12">
        <v>4905.0</v>
      </c>
      <c r="B4909" s="13" t="s">
        <v>4379</v>
      </c>
      <c r="C4909" s="14" t="s">
        <v>4928</v>
      </c>
      <c r="D4909" s="1"/>
      <c r="E4909" s="1"/>
      <c r="F4909" s="1" t="str">
        <f>IFERROR(__xludf.DUMMYFUNCTION("GOOGLETRANSLATE(B4909, ""en"", ""fa"")
"),"مشاوره دوستیابی")</f>
        <v>مشاوره دوستیابی</v>
      </c>
      <c r="G4909" s="1" t="str">
        <f>IFERROR(__xludf.DUMMYFUNCTION("GOOGLETRANSLATE(C4909, ""en"", ""fa"")
"),"نکاتی برای برنامه ریزی برای بازدید از بازار کشاورزان محلی یا جشنواره غذا برای یک تجربه خرمایی لذت بخش چیست؟")</f>
        <v>نکاتی برای برنامه ریزی برای بازدید از بازار کشاورزان محلی یا جشنواره غذا برای یک تجربه خرمایی لذت بخش چیست؟</v>
      </c>
      <c r="H4909" s="1"/>
      <c r="I4909" s="1"/>
      <c r="J4909" s="1"/>
      <c r="K4909" s="1"/>
      <c r="L4909" s="1"/>
      <c r="M4909" s="1"/>
      <c r="N4909" s="1"/>
      <c r="O4909" s="1"/>
      <c r="P4909" s="1"/>
      <c r="Q4909" s="1"/>
      <c r="R4909" s="1"/>
      <c r="S4909" s="1"/>
      <c r="T4909" s="1"/>
      <c r="U4909" s="1"/>
      <c r="V4909" s="1"/>
      <c r="W4909" s="1"/>
      <c r="X4909" s="1"/>
      <c r="Y4909" s="1"/>
      <c r="Z4909" s="1"/>
      <c r="AA4909" s="1"/>
      <c r="AB4909" s="1"/>
    </row>
    <row r="4910" ht="50.25" customHeight="1">
      <c r="A4910" s="12">
        <v>4906.0</v>
      </c>
      <c r="B4910" s="13" t="s">
        <v>4379</v>
      </c>
      <c r="C4910" s="14" t="s">
        <v>4929</v>
      </c>
      <c r="D4910" s="1"/>
      <c r="E4910" s="1"/>
      <c r="F4910" s="1" t="str">
        <f>IFERROR(__xludf.DUMMYFUNCTION("GOOGLETRANSLATE(B4910, ""en"", ""fa"")
"),"مشاوره دوستیابی")</f>
        <v>مشاوره دوستیابی</v>
      </c>
      <c r="G4910" s="1" t="str">
        <f>IFERROR(__xludf.DUMMYFUNCTION("GOOGLETRANSLATE(C4910, ""en"", ""fa"")
"),"چگونه می توانم یک تاریخ غافلگیرکننده که شامل بازدید از یک باشگاه کمدی یا یک نمایش بداهه است ترتیب دهم؟")</f>
        <v>چگونه می توانم یک تاریخ غافلگیرکننده که شامل بازدید از یک باشگاه کمدی یا یک نمایش بداهه است ترتیب دهم؟</v>
      </c>
      <c r="H4910" s="1"/>
      <c r="I4910" s="1"/>
      <c r="J4910" s="1"/>
      <c r="K4910" s="1"/>
      <c r="L4910" s="1"/>
      <c r="M4910" s="1"/>
      <c r="N4910" s="1"/>
      <c r="O4910" s="1"/>
      <c r="P4910" s="1"/>
      <c r="Q4910" s="1"/>
      <c r="R4910" s="1"/>
      <c r="S4910" s="1"/>
      <c r="T4910" s="1"/>
      <c r="U4910" s="1"/>
      <c r="V4910" s="1"/>
      <c r="W4910" s="1"/>
      <c r="X4910" s="1"/>
      <c r="Y4910" s="1"/>
      <c r="Z4910" s="1"/>
      <c r="AA4910" s="1"/>
      <c r="AB4910" s="1"/>
    </row>
    <row r="4911" ht="50.25" customHeight="1">
      <c r="A4911" s="12">
        <v>4907.0</v>
      </c>
      <c r="B4911" s="13" t="s">
        <v>4379</v>
      </c>
      <c r="C4911" s="14" t="s">
        <v>4930</v>
      </c>
      <c r="D4911" s="1"/>
      <c r="E4911" s="1"/>
      <c r="F4911" s="1" t="str">
        <f>IFERROR(__xludf.DUMMYFUNCTION("GOOGLETRANSLATE(B4911, ""en"", ""fa"")
"),"مشاوره دوستیابی")</f>
        <v>مشاوره دوستیابی</v>
      </c>
      <c r="G4911" s="1" t="str">
        <f>IFERROR(__xludf.DUMMYFUNCTION("GOOGLETRANSLATE(C4911, ""en"", ""fa"")
"),"چه ایده هایی برای برنامه ریزی یک شب فیلم در فضای باز DIY زیر ستاره ها وجود دارد؟")</f>
        <v>چه ایده هایی برای برنامه ریزی یک شب فیلم در فضای باز DIY زیر ستاره ها وجود دارد؟</v>
      </c>
      <c r="H4911" s="1"/>
      <c r="I4911" s="1"/>
      <c r="J4911" s="1"/>
      <c r="K4911" s="1"/>
      <c r="L4911" s="1"/>
      <c r="M4911" s="1"/>
      <c r="N4911" s="1"/>
      <c r="O4911" s="1"/>
      <c r="P4911" s="1"/>
      <c r="Q4911" s="1"/>
      <c r="R4911" s="1"/>
      <c r="S4911" s="1"/>
      <c r="T4911" s="1"/>
      <c r="U4911" s="1"/>
      <c r="V4911" s="1"/>
      <c r="W4911" s="1"/>
      <c r="X4911" s="1"/>
      <c r="Y4911" s="1"/>
      <c r="Z4911" s="1"/>
      <c r="AA4911" s="1"/>
      <c r="AB4911" s="1"/>
    </row>
    <row r="4912" ht="50.25" customHeight="1">
      <c r="A4912" s="12">
        <v>4908.0</v>
      </c>
      <c r="B4912" s="13" t="s">
        <v>4379</v>
      </c>
      <c r="C4912" s="14" t="s">
        <v>4931</v>
      </c>
      <c r="D4912" s="1"/>
      <c r="E4912" s="1"/>
      <c r="F4912" s="1" t="str">
        <f>IFERROR(__xludf.DUMMYFUNCTION("GOOGLETRANSLATE(B4912, ""en"", ""fa"")
"),"مشاوره دوستیابی")</f>
        <v>مشاوره دوستیابی</v>
      </c>
      <c r="G4912" s="1" t="str">
        <f>IFERROR(__xludf.DUMMYFUNCTION("GOOGLETRANSLATE(C4912, ""en"", ""fa"")
"),"چگونه می توانم یک کلاس خصوصی سفالگری یا نقاشی برای یک قرار خلاقانه و خاطره انگیز ترتیب دهم؟")</f>
        <v>چگونه می توانم یک کلاس خصوصی سفالگری یا نقاشی برای یک قرار خلاقانه و خاطره انگیز ترتیب دهم؟</v>
      </c>
      <c r="H4912" s="1"/>
      <c r="I4912" s="1"/>
      <c r="J4912" s="1"/>
      <c r="K4912" s="1"/>
      <c r="L4912" s="1"/>
      <c r="M4912" s="1"/>
      <c r="N4912" s="1"/>
      <c r="O4912" s="1"/>
      <c r="P4912" s="1"/>
      <c r="Q4912" s="1"/>
      <c r="R4912" s="1"/>
      <c r="S4912" s="1"/>
      <c r="T4912" s="1"/>
      <c r="U4912" s="1"/>
      <c r="V4912" s="1"/>
      <c r="W4912" s="1"/>
      <c r="X4912" s="1"/>
      <c r="Y4912" s="1"/>
      <c r="Z4912" s="1"/>
      <c r="AA4912" s="1"/>
      <c r="AB4912" s="1"/>
    </row>
    <row r="4913" ht="50.25" customHeight="1">
      <c r="A4913" s="12">
        <v>4909.0</v>
      </c>
      <c r="B4913" s="13" t="s">
        <v>4379</v>
      </c>
      <c r="C4913" s="14" t="s">
        <v>4932</v>
      </c>
      <c r="D4913" s="1"/>
      <c r="E4913" s="1"/>
      <c r="F4913" s="1" t="str">
        <f>IFERROR(__xludf.DUMMYFUNCTION("GOOGLETRANSLATE(B4913, ""en"", ""fa"")
"),"مشاوره دوستیابی")</f>
        <v>مشاوره دوستیابی</v>
      </c>
      <c r="G4913" s="1" t="str">
        <f>IFERROR(__xludf.DUMMYFUNCTION("GOOGLETRANSLATE(C4913, ""en"", ""fa"")
"),"نکاتی برای برنامه ریزی برای بازدید از باغ وحش یا آکواریوم محلی برای یک تاریخ لذت بخش و آموزشی چیست؟")</f>
        <v>نکاتی برای برنامه ریزی برای بازدید از باغ وحش یا آکواریوم محلی برای یک تاریخ لذت بخش و آموزشی چیست؟</v>
      </c>
      <c r="H4913" s="1"/>
      <c r="I4913" s="1"/>
      <c r="J4913" s="1"/>
      <c r="K4913" s="1"/>
      <c r="L4913" s="1"/>
      <c r="M4913" s="1"/>
      <c r="N4913" s="1"/>
      <c r="O4913" s="1"/>
      <c r="P4913" s="1"/>
      <c r="Q4913" s="1"/>
      <c r="R4913" s="1"/>
      <c r="S4913" s="1"/>
      <c r="T4913" s="1"/>
      <c r="U4913" s="1"/>
      <c r="V4913" s="1"/>
      <c r="W4913" s="1"/>
      <c r="X4913" s="1"/>
      <c r="Y4913" s="1"/>
      <c r="Z4913" s="1"/>
      <c r="AA4913" s="1"/>
      <c r="AB4913" s="1"/>
    </row>
    <row r="4914" ht="50.25" customHeight="1">
      <c r="A4914" s="12">
        <v>4910.0</v>
      </c>
      <c r="B4914" s="13" t="s">
        <v>4379</v>
      </c>
      <c r="C4914" s="14" t="s">
        <v>4933</v>
      </c>
      <c r="D4914" s="1"/>
      <c r="E4914" s="1"/>
      <c r="F4914" s="1" t="str">
        <f>IFERROR(__xludf.DUMMYFUNCTION("GOOGLETRANSLATE(B4914, ""en"", ""fa"")
"),"مشاوره دوستیابی")</f>
        <v>مشاوره دوستیابی</v>
      </c>
      <c r="G4914" s="1" t="str">
        <f>IFERROR(__xludf.DUMMYFUNCTION("GOOGLETRANSLATE(C4914, ""en"", ""fa"")
"),"چگونه می توانم یک تاریخ غافلگیرکننده که شامل شرکت در یک جشنواره موسیقی یا یک کنسرت زنده است ترتیب دهم؟")</f>
        <v>چگونه می توانم یک تاریخ غافلگیرکننده که شامل شرکت در یک جشنواره موسیقی یا یک کنسرت زنده است ترتیب دهم؟</v>
      </c>
      <c r="H4914" s="1"/>
      <c r="I4914" s="1"/>
      <c r="J4914" s="1"/>
      <c r="K4914" s="1"/>
      <c r="L4914" s="1"/>
      <c r="M4914" s="1"/>
      <c r="N4914" s="1"/>
      <c r="O4914" s="1"/>
      <c r="P4914" s="1"/>
      <c r="Q4914" s="1"/>
      <c r="R4914" s="1"/>
      <c r="S4914" s="1"/>
      <c r="T4914" s="1"/>
      <c r="U4914" s="1"/>
      <c r="V4914" s="1"/>
      <c r="W4914" s="1"/>
      <c r="X4914" s="1"/>
      <c r="Y4914" s="1"/>
      <c r="Z4914" s="1"/>
      <c r="AA4914" s="1"/>
      <c r="AB4914" s="1"/>
    </row>
    <row r="4915" ht="50.25" customHeight="1">
      <c r="A4915" s="12">
        <v>4911.0</v>
      </c>
      <c r="B4915" s="13" t="s">
        <v>4379</v>
      </c>
      <c r="C4915" s="14" t="s">
        <v>4934</v>
      </c>
      <c r="D4915" s="1"/>
      <c r="E4915" s="1"/>
      <c r="F4915" s="1" t="str">
        <f>IFERROR(__xludf.DUMMYFUNCTION("GOOGLETRANSLATE(B4915, ""en"", ""fa"")
"),"مشاوره دوستیابی")</f>
        <v>مشاوره دوستیابی</v>
      </c>
      <c r="G4915" s="1" t="str">
        <f>IFERROR(__xludf.DUMMYFUNCTION("GOOGLETRANSLATE(C4915, ""en"", ""fa"")
"),"چه ایده هایی برای برنامه ریزی یک تور دوچرخه سواری منظره یا یک پیاده روی آرام در یک محله جذاب وجود دارد؟")</f>
        <v>چه ایده هایی برای برنامه ریزی یک تور دوچرخه سواری منظره یا یک پیاده روی آرام در یک محله جذاب وجود دارد؟</v>
      </c>
      <c r="H4915" s="1"/>
      <c r="I4915" s="1"/>
      <c r="J4915" s="1"/>
      <c r="K4915" s="1"/>
      <c r="L4915" s="1"/>
      <c r="M4915" s="1"/>
      <c r="N4915" s="1"/>
      <c r="O4915" s="1"/>
      <c r="P4915" s="1"/>
      <c r="Q4915" s="1"/>
      <c r="R4915" s="1"/>
      <c r="S4915" s="1"/>
      <c r="T4915" s="1"/>
      <c r="U4915" s="1"/>
      <c r="V4915" s="1"/>
      <c r="W4915" s="1"/>
      <c r="X4915" s="1"/>
      <c r="Y4915" s="1"/>
      <c r="Z4915" s="1"/>
      <c r="AA4915" s="1"/>
      <c r="AB4915" s="1"/>
    </row>
    <row r="4916" ht="50.25" customHeight="1">
      <c r="A4916" s="12">
        <v>4912.0</v>
      </c>
      <c r="B4916" s="13" t="s">
        <v>4379</v>
      </c>
      <c r="C4916" s="14" t="s">
        <v>4935</v>
      </c>
      <c r="D4916" s="1"/>
      <c r="E4916" s="1"/>
      <c r="F4916" s="1" t="str">
        <f>IFERROR(__xludf.DUMMYFUNCTION("GOOGLETRANSLATE(B4916, ""en"", ""fa"")
"),"مشاوره دوستیابی")</f>
        <v>مشاوره دوستیابی</v>
      </c>
      <c r="G4916" s="1" t="str">
        <f>IFERROR(__xludf.DUMMYFUNCTION("GOOGLETRANSLATE(C4916, ""en"", ""fa"")
"),"چگونه می توانم یک جلسه یوگا یا تناسب اندام در فضای باز خصوصی برای یک قرار فعال و جوان کننده ترتیب دهم؟")</f>
        <v>چگونه می توانم یک جلسه یوگا یا تناسب اندام در فضای باز خصوصی برای یک قرار فعال و جوان کننده ترتیب دهم؟</v>
      </c>
      <c r="H4916" s="1"/>
      <c r="I4916" s="1"/>
      <c r="J4916" s="1"/>
      <c r="K4916" s="1"/>
      <c r="L4916" s="1"/>
      <c r="M4916" s="1"/>
      <c r="N4916" s="1"/>
      <c r="O4916" s="1"/>
      <c r="P4916" s="1"/>
      <c r="Q4916" s="1"/>
      <c r="R4916" s="1"/>
      <c r="S4916" s="1"/>
      <c r="T4916" s="1"/>
      <c r="U4916" s="1"/>
      <c r="V4916" s="1"/>
      <c r="W4916" s="1"/>
      <c r="X4916" s="1"/>
      <c r="Y4916" s="1"/>
      <c r="Z4916" s="1"/>
      <c r="AA4916" s="1"/>
      <c r="AB4916" s="1"/>
    </row>
    <row r="4917" ht="50.25" customHeight="1">
      <c r="A4917" s="12">
        <v>4913.0</v>
      </c>
      <c r="B4917" s="13" t="s">
        <v>4379</v>
      </c>
      <c r="C4917" s="14" t="s">
        <v>4936</v>
      </c>
      <c r="D4917" s="1"/>
      <c r="E4917" s="1"/>
      <c r="F4917" s="1" t="str">
        <f>IFERROR(__xludf.DUMMYFUNCTION("GOOGLETRANSLATE(B4917, ""en"", ""fa"")
"),"مشاوره دوستیابی")</f>
        <v>مشاوره دوستیابی</v>
      </c>
      <c r="G4917" s="1" t="str">
        <f>IFERROR(__xludf.DUMMYFUNCTION("GOOGLETRANSLATE(C4917, ""en"", ""fa"")
"),"چند نکته برای برنامه ریزی برای بازدید از یک شراب سازی یا آبجوسازی محلی برای یک تجربه مزه لذت بخش چیست؟")</f>
        <v>چند نکته برای برنامه ریزی برای بازدید از یک شراب سازی یا آبجوسازی محلی برای یک تجربه مزه لذت بخش چیست؟</v>
      </c>
      <c r="H4917" s="1"/>
      <c r="I4917" s="1"/>
      <c r="J4917" s="1"/>
      <c r="K4917" s="1"/>
      <c r="L4917" s="1"/>
      <c r="M4917" s="1"/>
      <c r="N4917" s="1"/>
      <c r="O4917" s="1"/>
      <c r="P4917" s="1"/>
      <c r="Q4917" s="1"/>
      <c r="R4917" s="1"/>
      <c r="S4917" s="1"/>
      <c r="T4917" s="1"/>
      <c r="U4917" s="1"/>
      <c r="V4917" s="1"/>
      <c r="W4917" s="1"/>
      <c r="X4917" s="1"/>
      <c r="Y4917" s="1"/>
      <c r="Z4917" s="1"/>
      <c r="AA4917" s="1"/>
      <c r="AB4917" s="1"/>
    </row>
    <row r="4918" ht="50.25" customHeight="1">
      <c r="A4918" s="12">
        <v>4914.0</v>
      </c>
      <c r="B4918" s="13" t="s">
        <v>4379</v>
      </c>
      <c r="C4918" s="14" t="s">
        <v>4937</v>
      </c>
      <c r="D4918" s="1"/>
      <c r="E4918" s="1"/>
      <c r="F4918" s="1" t="str">
        <f>IFERROR(__xludf.DUMMYFUNCTION("GOOGLETRANSLATE(B4918, ""en"", ""fa"")
"),"مشاوره دوستیابی")</f>
        <v>مشاوره دوستیابی</v>
      </c>
      <c r="G4918" s="1" t="str">
        <f>IFERROR(__xludf.DUMMYFUNCTION("GOOGLETRANSLATE(C4918, ""en"", ""fa"")
"),"چگونه می توانم یک قرار غافلگیرکننده را ترتیب دهم که شامل یک بالون سواری عاشقانه یا یک کالسکه اسب می شود؟")</f>
        <v>چگونه می توانم یک قرار غافلگیرکننده را ترتیب دهم که شامل یک بالون سواری عاشقانه یا یک کالسکه اسب می شود؟</v>
      </c>
      <c r="H4918" s="1"/>
      <c r="I4918" s="1"/>
      <c r="J4918" s="1"/>
      <c r="K4918" s="1"/>
      <c r="L4918" s="1"/>
      <c r="M4918" s="1"/>
      <c r="N4918" s="1"/>
      <c r="O4918" s="1"/>
      <c r="P4918" s="1"/>
      <c r="Q4918" s="1"/>
      <c r="R4918" s="1"/>
      <c r="S4918" s="1"/>
      <c r="T4918" s="1"/>
      <c r="U4918" s="1"/>
      <c r="V4918" s="1"/>
      <c r="W4918" s="1"/>
      <c r="X4918" s="1"/>
      <c r="Y4918" s="1"/>
      <c r="Z4918" s="1"/>
      <c r="AA4918" s="1"/>
      <c r="AB4918" s="1"/>
    </row>
    <row r="4919" ht="50.25" customHeight="1">
      <c r="A4919" s="12">
        <v>4915.0</v>
      </c>
      <c r="B4919" s="13" t="s">
        <v>4379</v>
      </c>
      <c r="C4919" s="14" t="s">
        <v>4938</v>
      </c>
      <c r="D4919" s="1"/>
      <c r="E4919" s="1"/>
      <c r="F4919" s="1" t="str">
        <f>IFERROR(__xludf.DUMMYFUNCTION("GOOGLETRANSLATE(B4919, ""en"", ""fa"")
"),"مشاوره دوستیابی")</f>
        <v>مشاوره دوستیابی</v>
      </c>
      <c r="G4919" s="1" t="str">
        <f>IFERROR(__xludf.DUMMYFUNCTION("GOOGLETRANSLATE(C4919, ""en"", ""fa"")
"),"چگونه می توانم بر ترس از طرد شدن در هنگام شروع گفتگو با شخص جدید غلبه کنم؟")</f>
        <v>چگونه می توانم بر ترس از طرد شدن در هنگام شروع گفتگو با شخص جدید غلبه کنم؟</v>
      </c>
      <c r="H4919" s="1"/>
      <c r="I4919" s="1"/>
      <c r="J4919" s="1"/>
      <c r="K4919" s="1"/>
      <c r="L4919" s="1"/>
      <c r="M4919" s="1"/>
      <c r="N4919" s="1"/>
      <c r="O4919" s="1"/>
      <c r="P4919" s="1"/>
      <c r="Q4919" s="1"/>
      <c r="R4919" s="1"/>
      <c r="S4919" s="1"/>
      <c r="T4919" s="1"/>
      <c r="U4919" s="1"/>
      <c r="V4919" s="1"/>
      <c r="W4919" s="1"/>
      <c r="X4919" s="1"/>
      <c r="Y4919" s="1"/>
      <c r="Z4919" s="1"/>
      <c r="AA4919" s="1"/>
      <c r="AB4919" s="1"/>
    </row>
    <row r="4920" ht="50.25" customHeight="1">
      <c r="A4920" s="12">
        <v>4916.0</v>
      </c>
      <c r="B4920" s="13" t="s">
        <v>4379</v>
      </c>
      <c r="C4920" s="14" t="s">
        <v>4939</v>
      </c>
      <c r="D4920" s="1"/>
      <c r="E4920" s="1"/>
      <c r="F4920" s="1" t="str">
        <f>IFERROR(__xludf.DUMMYFUNCTION("GOOGLETRANSLATE(B4920, ""en"", ""fa"")
"),"مشاوره دوستیابی")</f>
        <v>مشاوره دوستیابی</v>
      </c>
      <c r="G4920" s="1" t="str">
        <f>IFERROR(__xludf.DUMMYFUNCTION("GOOGLETRANSLATE(C4920, ""en"", ""fa"")
"),"چند استراتژی برای مقابله با شبح یا شکاف های ارتباطی ناگهانی در قرار آنلاین چیست؟")</f>
        <v>چند استراتژی برای مقابله با شبح یا شکاف های ارتباطی ناگهانی در قرار آنلاین چیست؟</v>
      </c>
      <c r="H4920" s="1"/>
      <c r="I4920" s="1"/>
      <c r="J4920" s="1"/>
      <c r="K4920" s="1"/>
      <c r="L4920" s="1"/>
      <c r="M4920" s="1"/>
      <c r="N4920" s="1"/>
      <c r="O4920" s="1"/>
      <c r="P4920" s="1"/>
      <c r="Q4920" s="1"/>
      <c r="R4920" s="1"/>
      <c r="S4920" s="1"/>
      <c r="T4920" s="1"/>
      <c r="U4920" s="1"/>
      <c r="V4920" s="1"/>
      <c r="W4920" s="1"/>
      <c r="X4920" s="1"/>
      <c r="Y4920" s="1"/>
      <c r="Z4920" s="1"/>
      <c r="AA4920" s="1"/>
      <c r="AB4920" s="1"/>
    </row>
    <row r="4921" ht="50.25" customHeight="1">
      <c r="A4921" s="12">
        <v>4917.0</v>
      </c>
      <c r="B4921" s="13" t="s">
        <v>4379</v>
      </c>
      <c r="C4921" s="14" t="s">
        <v>4940</v>
      </c>
      <c r="D4921" s="1"/>
      <c r="E4921" s="1"/>
      <c r="F4921" s="1" t="str">
        <f>IFERROR(__xludf.DUMMYFUNCTION("GOOGLETRANSLATE(B4921, ""en"", ""fa"")
"),"مشاوره دوستیابی")</f>
        <v>مشاوره دوستیابی</v>
      </c>
      <c r="G4921" s="1" t="str">
        <f>IFERROR(__xludf.DUMMYFUNCTION("GOOGLETRANSLATE(C4921, ""en"", ""fa"")
"),"چگونه می توانم ناامیدی ناشی از عدم دریافت تعداد زیادی مطابقت یا پاسخ در برنامه های دوستیابی را مدیریت کنم؟")</f>
        <v>چگونه می توانم ناامیدی ناشی از عدم دریافت تعداد زیادی مطابقت یا پاسخ در برنامه های دوستیابی را مدیریت کنم؟</v>
      </c>
      <c r="H4921" s="1"/>
      <c r="I4921" s="1"/>
      <c r="J4921" s="1"/>
      <c r="K4921" s="1"/>
      <c r="L4921" s="1"/>
      <c r="M4921" s="1"/>
      <c r="N4921" s="1"/>
      <c r="O4921" s="1"/>
      <c r="P4921" s="1"/>
      <c r="Q4921" s="1"/>
      <c r="R4921" s="1"/>
      <c r="S4921" s="1"/>
      <c r="T4921" s="1"/>
      <c r="U4921" s="1"/>
      <c r="V4921" s="1"/>
      <c r="W4921" s="1"/>
      <c r="X4921" s="1"/>
      <c r="Y4921" s="1"/>
      <c r="Z4921" s="1"/>
      <c r="AA4921" s="1"/>
      <c r="AB4921" s="1"/>
    </row>
    <row r="4922" ht="50.25" customHeight="1">
      <c r="A4922" s="12">
        <v>4918.0</v>
      </c>
      <c r="B4922" s="13" t="s">
        <v>4379</v>
      </c>
      <c r="C4922" s="14" t="s">
        <v>4941</v>
      </c>
      <c r="D4922" s="1"/>
      <c r="E4922" s="1"/>
      <c r="F4922" s="1" t="str">
        <f>IFERROR(__xludf.DUMMYFUNCTION("GOOGLETRANSLATE(B4922, ""en"", ""fa"")
"),"مشاوره دوستیابی")</f>
        <v>مشاوره دوستیابی</v>
      </c>
      <c r="G4922" s="1" t="str">
        <f>IFERROR(__xludf.DUMMYFUNCTION("GOOGLETRANSLATE(C4922, ""en"", ""fa"")
"),"نکاتی برای مثبت و با انگیزه ماندن در هنگام مواجهه با مشکلات دوستیابی آنلاین چیست؟")</f>
        <v>نکاتی برای مثبت و با انگیزه ماندن در هنگام مواجهه با مشکلات دوستیابی آنلاین چیست؟</v>
      </c>
      <c r="H4922" s="1"/>
      <c r="I4922" s="1"/>
      <c r="J4922" s="1"/>
      <c r="K4922" s="1"/>
      <c r="L4922" s="1"/>
      <c r="M4922" s="1"/>
      <c r="N4922" s="1"/>
      <c r="O4922" s="1"/>
      <c r="P4922" s="1"/>
      <c r="Q4922" s="1"/>
      <c r="R4922" s="1"/>
      <c r="S4922" s="1"/>
      <c r="T4922" s="1"/>
      <c r="U4922" s="1"/>
      <c r="V4922" s="1"/>
      <c r="W4922" s="1"/>
      <c r="X4922" s="1"/>
      <c r="Y4922" s="1"/>
      <c r="Z4922" s="1"/>
      <c r="AA4922" s="1"/>
      <c r="AB4922" s="1"/>
    </row>
    <row r="4923" ht="50.25" customHeight="1">
      <c r="A4923" s="12">
        <v>4919.0</v>
      </c>
      <c r="B4923" s="13" t="s">
        <v>4379</v>
      </c>
      <c r="C4923" s="14" t="s">
        <v>4942</v>
      </c>
      <c r="D4923" s="1"/>
      <c r="E4923" s="1"/>
      <c r="F4923" s="1" t="str">
        <f>IFERROR(__xludf.DUMMYFUNCTION("GOOGLETRANSLATE(B4923, ""en"", ""fa"")
"),"مشاوره دوستیابی")</f>
        <v>مشاوره دوستیابی</v>
      </c>
      <c r="G4923" s="1" t="str">
        <f>IFERROR(__xludf.DUMMYFUNCTION("GOOGLETRANSLATE(C4923, ""en"", ""fa"")
"),"چگونه می توانم بر شک و تردید خود غلبه کنم و اعتماد به نفس خود را در ارائه واقعی خود به صورت آنلاین ایجاد کنم؟")</f>
        <v>چگونه می توانم بر شک و تردید خود غلبه کنم و اعتماد به نفس خود را در ارائه واقعی خود به صورت آنلاین ایجاد کنم؟</v>
      </c>
      <c r="H4923" s="1"/>
      <c r="I4923" s="1"/>
      <c r="J4923" s="1"/>
      <c r="K4923" s="1"/>
      <c r="L4923" s="1"/>
      <c r="M4923" s="1"/>
      <c r="N4923" s="1"/>
      <c r="O4923" s="1"/>
      <c r="P4923" s="1"/>
      <c r="Q4923" s="1"/>
      <c r="R4923" s="1"/>
      <c r="S4923" s="1"/>
      <c r="T4923" s="1"/>
      <c r="U4923" s="1"/>
      <c r="V4923" s="1"/>
      <c r="W4923" s="1"/>
      <c r="X4923" s="1"/>
      <c r="Y4923" s="1"/>
      <c r="Z4923" s="1"/>
      <c r="AA4923" s="1"/>
      <c r="AB4923" s="1"/>
    </row>
    <row r="4924" ht="50.25" customHeight="1">
      <c r="A4924" s="12">
        <v>4920.0</v>
      </c>
      <c r="B4924" s="13" t="s">
        <v>4379</v>
      </c>
      <c r="C4924" s="14" t="s">
        <v>4943</v>
      </c>
      <c r="D4924" s="1"/>
      <c r="E4924" s="1"/>
      <c r="F4924" s="1" t="str">
        <f>IFERROR(__xludf.DUMMYFUNCTION("GOOGLETRANSLATE(B4924, ""en"", ""fa"")
"),"مشاوره دوستیابی")</f>
        <v>مشاوره دوستیابی</v>
      </c>
      <c r="G4924" s="1" t="str">
        <f>IFERROR(__xludf.DUMMYFUNCTION("GOOGLETRANSLATE(C4924, ""en"", ""fa"")
"),"چند استراتژی برای مقابله با خستگی و فرسودگی قرار ملاقات آنلاین چیست؟")</f>
        <v>چند استراتژی برای مقابله با خستگی و فرسودگی قرار ملاقات آنلاین چیست؟</v>
      </c>
      <c r="H4924" s="1"/>
      <c r="I4924" s="1"/>
      <c r="J4924" s="1"/>
      <c r="K4924" s="1"/>
      <c r="L4924" s="1"/>
      <c r="M4924" s="1"/>
      <c r="N4924" s="1"/>
      <c r="O4924" s="1"/>
      <c r="P4924" s="1"/>
      <c r="Q4924" s="1"/>
      <c r="R4924" s="1"/>
      <c r="S4924" s="1"/>
      <c r="T4924" s="1"/>
      <c r="U4924" s="1"/>
      <c r="V4924" s="1"/>
      <c r="W4924" s="1"/>
      <c r="X4924" s="1"/>
      <c r="Y4924" s="1"/>
      <c r="Z4924" s="1"/>
      <c r="AA4924" s="1"/>
      <c r="AB4924" s="1"/>
    </row>
    <row r="4925" ht="50.25" customHeight="1">
      <c r="A4925" s="12">
        <v>4921.0</v>
      </c>
      <c r="B4925" s="13" t="s">
        <v>4379</v>
      </c>
      <c r="C4925" s="14" t="s">
        <v>4944</v>
      </c>
      <c r="D4925" s="1"/>
      <c r="E4925" s="1"/>
      <c r="F4925" s="1" t="str">
        <f>IFERROR(__xludf.DUMMYFUNCTION("GOOGLETRANSLATE(B4925, ""en"", ""fa"")
"),"مشاوره دوستیابی")</f>
        <v>مشاوره دوستیابی</v>
      </c>
      <c r="G4925" s="1" t="str">
        <f>IFERROR(__xludf.DUMMYFUNCTION("GOOGLETRANSLATE(C4925, ""en"", ""fa"")
"),"چگونه می توانم در میان انبوهی از انتخاب ها و نمایه ها در برنامه های دوستیابی بدون احساس خستگی حرکت کنم؟")</f>
        <v>چگونه می توانم در میان انبوهی از انتخاب ها و نمایه ها در برنامه های دوستیابی بدون احساس خستگی حرکت کنم؟</v>
      </c>
      <c r="H4925" s="1"/>
      <c r="I4925" s="1"/>
      <c r="J4925" s="1"/>
      <c r="K4925" s="1"/>
      <c r="L4925" s="1"/>
      <c r="M4925" s="1"/>
      <c r="N4925" s="1"/>
      <c r="O4925" s="1"/>
      <c r="P4925" s="1"/>
      <c r="Q4925" s="1"/>
      <c r="R4925" s="1"/>
      <c r="S4925" s="1"/>
      <c r="T4925" s="1"/>
      <c r="U4925" s="1"/>
      <c r="V4925" s="1"/>
      <c r="W4925" s="1"/>
      <c r="X4925" s="1"/>
      <c r="Y4925" s="1"/>
      <c r="Z4925" s="1"/>
      <c r="AA4925" s="1"/>
      <c r="AB4925" s="1"/>
    </row>
    <row r="4926" ht="50.25" customHeight="1">
      <c r="A4926" s="12">
        <v>4922.0</v>
      </c>
      <c r="B4926" s="13" t="s">
        <v>4379</v>
      </c>
      <c r="C4926" s="14" t="s">
        <v>4945</v>
      </c>
      <c r="D4926" s="1"/>
      <c r="E4926" s="1"/>
      <c r="F4926" s="1" t="str">
        <f>IFERROR(__xludf.DUMMYFUNCTION("GOOGLETRANSLATE(B4926, ""en"", ""fa"")
"),"مشاوره دوستیابی")</f>
        <v>مشاوره دوستیابی</v>
      </c>
      <c r="G4926" s="1" t="str">
        <f>IFERROR(__xludf.DUMMYFUNCTION("GOOGLETRANSLATE(C4926, ""en"", ""fa"")
"),"چه نکاتی برای رسیدگی به رد قرار ملاقات آنلاین و شخصی نکردن آنها وجود دارد؟")</f>
        <v>چه نکاتی برای رسیدگی به رد قرار ملاقات آنلاین و شخصی نکردن آنها وجود دارد؟</v>
      </c>
      <c r="H4926" s="1"/>
      <c r="I4926" s="1"/>
      <c r="J4926" s="1"/>
      <c r="K4926" s="1"/>
      <c r="L4926" s="1"/>
      <c r="M4926" s="1"/>
      <c r="N4926" s="1"/>
      <c r="O4926" s="1"/>
      <c r="P4926" s="1"/>
      <c r="Q4926" s="1"/>
      <c r="R4926" s="1"/>
      <c r="S4926" s="1"/>
      <c r="T4926" s="1"/>
      <c r="U4926" s="1"/>
      <c r="V4926" s="1"/>
      <c r="W4926" s="1"/>
      <c r="X4926" s="1"/>
      <c r="Y4926" s="1"/>
      <c r="Z4926" s="1"/>
      <c r="AA4926" s="1"/>
      <c r="AB4926" s="1"/>
    </row>
    <row r="4927" ht="50.25" customHeight="1">
      <c r="A4927" s="12">
        <v>4923.0</v>
      </c>
      <c r="B4927" s="13" t="s">
        <v>4379</v>
      </c>
      <c r="C4927" s="14" t="s">
        <v>4946</v>
      </c>
      <c r="D4927" s="1"/>
      <c r="E4927" s="1"/>
      <c r="F4927" s="1" t="str">
        <f>IFERROR(__xludf.DUMMYFUNCTION("GOOGLETRANSLATE(B4927, ""en"", ""fa"")
"),"مشاوره دوستیابی")</f>
        <v>مشاوره دوستیابی</v>
      </c>
      <c r="G4927" s="1" t="str">
        <f>IFERROR(__xludf.DUMMYFUNCTION("GOOGLETRANSLATE(C4927, ""en"", ""fa"")
"),"چگونه می توانم فشار انتظارات دوستیابی آنلاین و هنجارهای اجتماعی را مدیریت کنم؟")</f>
        <v>چگونه می توانم فشار انتظارات دوستیابی آنلاین و هنجارهای اجتماعی را مدیریت کنم؟</v>
      </c>
      <c r="H4927" s="1"/>
      <c r="I4927" s="1"/>
      <c r="J4927" s="1"/>
      <c r="K4927" s="1"/>
      <c r="L4927" s="1"/>
      <c r="M4927" s="1"/>
      <c r="N4927" s="1"/>
      <c r="O4927" s="1"/>
      <c r="P4927" s="1"/>
      <c r="Q4927" s="1"/>
      <c r="R4927" s="1"/>
      <c r="S4927" s="1"/>
      <c r="T4927" s="1"/>
      <c r="U4927" s="1"/>
      <c r="V4927" s="1"/>
      <c r="W4927" s="1"/>
      <c r="X4927" s="1"/>
      <c r="Y4927" s="1"/>
      <c r="Z4927" s="1"/>
      <c r="AA4927" s="1"/>
      <c r="AB4927" s="1"/>
    </row>
    <row r="4928" ht="50.25" customHeight="1">
      <c r="A4928" s="12">
        <v>4924.0</v>
      </c>
      <c r="B4928" s="13" t="s">
        <v>4379</v>
      </c>
      <c r="C4928" s="14" t="s">
        <v>4947</v>
      </c>
      <c r="D4928" s="1"/>
      <c r="E4928" s="1"/>
      <c r="F4928" s="1" t="str">
        <f>IFERROR(__xludf.DUMMYFUNCTION("GOOGLETRANSLATE(B4928, ""en"", ""fa"")
"),"مشاوره دوستیابی")</f>
        <v>مشاوره دوستیابی</v>
      </c>
      <c r="G4928" s="1" t="str">
        <f>IFERROR(__xludf.DUMMYFUNCTION("GOOGLETRANSLATE(C4928, ""en"", ""fa"")
"),"چند استراتژی برای مقابله با گربه ماهیگیری یا ارائه نادرست در برنامه های دوستیابی چیست؟")</f>
        <v>چند استراتژی برای مقابله با گربه ماهیگیری یا ارائه نادرست در برنامه های دوستیابی چیست؟</v>
      </c>
      <c r="H4928" s="1"/>
      <c r="I4928" s="1"/>
      <c r="J4928" s="1"/>
      <c r="K4928" s="1"/>
      <c r="L4928" s="1"/>
      <c r="M4928" s="1"/>
      <c r="N4928" s="1"/>
      <c r="O4928" s="1"/>
      <c r="P4928" s="1"/>
      <c r="Q4928" s="1"/>
      <c r="R4928" s="1"/>
      <c r="S4928" s="1"/>
      <c r="T4928" s="1"/>
      <c r="U4928" s="1"/>
      <c r="V4928" s="1"/>
      <c r="W4928" s="1"/>
      <c r="X4928" s="1"/>
      <c r="Y4928" s="1"/>
      <c r="Z4928" s="1"/>
      <c r="AA4928" s="1"/>
      <c r="AB4928" s="1"/>
    </row>
    <row r="4929" ht="50.25" customHeight="1">
      <c r="A4929" s="12">
        <v>4925.0</v>
      </c>
      <c r="B4929" s="13" t="s">
        <v>4379</v>
      </c>
      <c r="C4929" s="14" t="s">
        <v>4948</v>
      </c>
      <c r="D4929" s="1"/>
      <c r="E4929" s="1"/>
      <c r="F4929" s="1" t="str">
        <f>IFERROR(__xludf.DUMMYFUNCTION("GOOGLETRANSLATE(B4929, ""en"", ""fa"")
"),"مشاوره دوستیابی")</f>
        <v>مشاوره دوستیابی</v>
      </c>
      <c r="G4929" s="1" t="str">
        <f>IFERROR(__xludf.DUMMYFUNCTION("GOOGLETRANSLATE(C4929, ""en"", ""fa"")
"),"چگونه می توانم بر ترس از اینکه به اندازه کافی جالب نبودم یا چیزهایی برای گفتن در مکالمات آنلاین تمام می شود غلبه کنم؟")</f>
        <v>چگونه می توانم بر ترس از اینکه به اندازه کافی جالب نبودم یا چیزهایی برای گفتن در مکالمات آنلاین تمام می شود غلبه کنم؟</v>
      </c>
      <c r="H4929" s="1"/>
      <c r="I4929" s="1"/>
      <c r="J4929" s="1"/>
      <c r="K4929" s="1"/>
      <c r="L4929" s="1"/>
      <c r="M4929" s="1"/>
      <c r="N4929" s="1"/>
      <c r="O4929" s="1"/>
      <c r="P4929" s="1"/>
      <c r="Q4929" s="1"/>
      <c r="R4929" s="1"/>
      <c r="S4929" s="1"/>
      <c r="T4929" s="1"/>
      <c r="U4929" s="1"/>
      <c r="V4929" s="1"/>
      <c r="W4929" s="1"/>
      <c r="X4929" s="1"/>
      <c r="Y4929" s="1"/>
      <c r="Z4929" s="1"/>
      <c r="AA4929" s="1"/>
      <c r="AB4929" s="1"/>
    </row>
    <row r="4930" ht="50.25" customHeight="1">
      <c r="A4930" s="12">
        <v>4926.0</v>
      </c>
      <c r="B4930" s="13" t="s">
        <v>4379</v>
      </c>
      <c r="C4930" s="14" t="s">
        <v>4949</v>
      </c>
      <c r="D4930" s="1"/>
      <c r="E4930" s="1"/>
      <c r="F4930" s="1" t="str">
        <f>IFERROR(__xludf.DUMMYFUNCTION("GOOGLETRANSLATE(B4930, ""en"", ""fa"")
"),"مشاوره دوستیابی")</f>
        <v>مشاوره دوستیابی</v>
      </c>
      <c r="G4930" s="1" t="str">
        <f>IFERROR(__xludf.DUMMYFUNCTION("GOOGLETRANSLATE(C4930, ""en"", ""fa"")
"),"چند نکته برای تعیین مرزهای سالم و مدیریت زمان صرف شده در برنامه های دوستیابی چیست؟")</f>
        <v>چند نکته برای تعیین مرزهای سالم و مدیریت زمان صرف شده در برنامه های دوستیابی چیست؟</v>
      </c>
      <c r="H4930" s="1"/>
      <c r="I4930" s="1"/>
      <c r="J4930" s="1"/>
      <c r="K4930" s="1"/>
      <c r="L4930" s="1"/>
      <c r="M4930" s="1"/>
      <c r="N4930" s="1"/>
      <c r="O4930" s="1"/>
      <c r="P4930" s="1"/>
      <c r="Q4930" s="1"/>
      <c r="R4930" s="1"/>
      <c r="S4930" s="1"/>
      <c r="T4930" s="1"/>
      <c r="U4930" s="1"/>
      <c r="V4930" s="1"/>
      <c r="W4930" s="1"/>
      <c r="X4930" s="1"/>
      <c r="Y4930" s="1"/>
      <c r="Z4930" s="1"/>
      <c r="AA4930" s="1"/>
      <c r="AB4930" s="1"/>
    </row>
    <row r="4931" ht="50.25" customHeight="1">
      <c r="A4931" s="12">
        <v>4927.0</v>
      </c>
      <c r="B4931" s="13" t="s">
        <v>4379</v>
      </c>
      <c r="C4931" s="14" t="s">
        <v>4950</v>
      </c>
      <c r="D4931" s="1"/>
      <c r="E4931" s="1"/>
      <c r="F4931" s="1" t="str">
        <f>IFERROR(__xludf.DUMMYFUNCTION("GOOGLETRANSLATE(B4931, ""en"", ""fa"")
"),"مشاوره دوستیابی")</f>
        <v>مشاوره دوستیابی</v>
      </c>
      <c r="G4931" s="1" t="str">
        <f>IFERROR(__xludf.DUMMYFUNCTION("GOOGLETRANSLATE(C4931, ""en"", ""fa"")
"),"چگونه می توانم موانع فرهنگی یا زبانی را در دوستیابی آنلاین مرور کنم و درک را تقویت کنم؟")</f>
        <v>چگونه می توانم موانع فرهنگی یا زبانی را در دوستیابی آنلاین مرور کنم و درک را تقویت کنم؟</v>
      </c>
      <c r="H4931" s="1"/>
      <c r="I4931" s="1"/>
      <c r="J4931" s="1"/>
      <c r="K4931" s="1"/>
      <c r="L4931" s="1"/>
      <c r="M4931" s="1"/>
      <c r="N4931" s="1"/>
      <c r="O4931" s="1"/>
      <c r="P4931" s="1"/>
      <c r="Q4931" s="1"/>
      <c r="R4931" s="1"/>
      <c r="S4931" s="1"/>
      <c r="T4931" s="1"/>
      <c r="U4931" s="1"/>
      <c r="V4931" s="1"/>
      <c r="W4931" s="1"/>
      <c r="X4931" s="1"/>
      <c r="Y4931" s="1"/>
      <c r="Z4931" s="1"/>
      <c r="AA4931" s="1"/>
      <c r="AB4931" s="1"/>
    </row>
    <row r="4932" ht="50.25" customHeight="1">
      <c r="A4932" s="12">
        <v>4928.0</v>
      </c>
      <c r="B4932" s="13" t="s">
        <v>4379</v>
      </c>
      <c r="C4932" s="14" t="s">
        <v>4951</v>
      </c>
      <c r="D4932" s="1"/>
      <c r="E4932" s="1"/>
      <c r="F4932" s="1" t="str">
        <f>IFERROR(__xludf.DUMMYFUNCTION("GOOGLETRANSLATE(B4932, ""en"", ""fa"")
"),"مشاوره دوستیابی")</f>
        <v>مشاوره دوستیابی</v>
      </c>
      <c r="G4932" s="1" t="str">
        <f>IFERROR(__xludf.DUMMYFUNCTION("GOOGLETRANSLATE(C4932, ""en"", ""fa"")
"),"چند استراتژی برای مقابله با کلاهبرداری های دوستیابی آنلاین یا پروفایل های مشکوک چیست؟")</f>
        <v>چند استراتژی برای مقابله با کلاهبرداری های دوستیابی آنلاین یا پروفایل های مشکوک چیست؟</v>
      </c>
      <c r="H4932" s="1"/>
      <c r="I4932" s="1"/>
      <c r="J4932" s="1"/>
      <c r="K4932" s="1"/>
      <c r="L4932" s="1"/>
      <c r="M4932" s="1"/>
      <c r="N4932" s="1"/>
      <c r="O4932" s="1"/>
      <c r="P4932" s="1"/>
      <c r="Q4932" s="1"/>
      <c r="R4932" s="1"/>
      <c r="S4932" s="1"/>
      <c r="T4932" s="1"/>
      <c r="U4932" s="1"/>
      <c r="V4932" s="1"/>
      <c r="W4932" s="1"/>
      <c r="X4932" s="1"/>
      <c r="Y4932" s="1"/>
      <c r="Z4932" s="1"/>
      <c r="AA4932" s="1"/>
      <c r="AB4932" s="1"/>
    </row>
    <row r="4933" ht="50.25" customHeight="1">
      <c r="A4933" s="12">
        <v>4929.0</v>
      </c>
      <c r="B4933" s="13" t="s">
        <v>4379</v>
      </c>
      <c r="C4933" s="14" t="s">
        <v>4952</v>
      </c>
      <c r="D4933" s="1"/>
      <c r="E4933" s="1"/>
      <c r="F4933" s="1" t="str">
        <f>IFERROR(__xludf.DUMMYFUNCTION("GOOGLETRANSLATE(B4933, ""en"", ""fa"")
"),"مشاوره دوستیابی")</f>
        <v>مشاوره دوستیابی</v>
      </c>
      <c r="G4933" s="1" t="str">
        <f>IFERROR(__xludf.DUMMYFUNCTION("GOOGLETRANSLATE(C4933, ""en"", ""fa"")
"),"چگونه می توانم اضطراب انتقال از مکالمات آنلاین به جلسات آفلاین را مدیریت کنم؟")</f>
        <v>چگونه می توانم اضطراب انتقال از مکالمات آنلاین به جلسات آفلاین را مدیریت کنم؟</v>
      </c>
      <c r="H4933" s="1"/>
      <c r="I4933" s="1"/>
      <c r="J4933" s="1"/>
      <c r="K4933" s="1"/>
      <c r="L4933" s="1"/>
      <c r="M4933" s="1"/>
      <c r="N4933" s="1"/>
      <c r="O4933" s="1"/>
      <c r="P4933" s="1"/>
      <c r="Q4933" s="1"/>
      <c r="R4933" s="1"/>
      <c r="S4933" s="1"/>
      <c r="T4933" s="1"/>
      <c r="U4933" s="1"/>
      <c r="V4933" s="1"/>
      <c r="W4933" s="1"/>
      <c r="X4933" s="1"/>
      <c r="Y4933" s="1"/>
      <c r="Z4933" s="1"/>
      <c r="AA4933" s="1"/>
      <c r="AB4933" s="1"/>
    </row>
    <row r="4934" ht="50.25" customHeight="1">
      <c r="A4934" s="12">
        <v>4930.0</v>
      </c>
      <c r="B4934" s="13" t="s">
        <v>4379</v>
      </c>
      <c r="C4934" s="14" t="s">
        <v>4953</v>
      </c>
      <c r="D4934" s="1"/>
      <c r="E4934" s="1"/>
      <c r="F4934" s="1" t="str">
        <f>IFERROR(__xludf.DUMMYFUNCTION("GOOGLETRANSLATE(B4934, ""en"", ""fa"")
"),"مشاوره دوستیابی")</f>
        <v>مشاوره دوستیابی</v>
      </c>
      <c r="G4934" s="1" t="str">
        <f>IFERROR(__xludf.DUMMYFUNCTION("GOOGLETRANSLATE(C4934, ""en"", ""fa"")
"),"چند نکته برای برخورد با ظرافت و حفظ ذهنیت مثبت چیست؟")</f>
        <v>چند نکته برای برخورد با ظرافت و حفظ ذهنیت مثبت چیست؟</v>
      </c>
      <c r="H4934" s="1"/>
      <c r="I4934" s="1"/>
      <c r="J4934" s="1"/>
      <c r="K4934" s="1"/>
      <c r="L4934" s="1"/>
      <c r="M4934" s="1"/>
      <c r="N4934" s="1"/>
      <c r="O4934" s="1"/>
      <c r="P4934" s="1"/>
      <c r="Q4934" s="1"/>
      <c r="R4934" s="1"/>
      <c r="S4934" s="1"/>
      <c r="T4934" s="1"/>
      <c r="U4934" s="1"/>
      <c r="V4934" s="1"/>
      <c r="W4934" s="1"/>
      <c r="X4934" s="1"/>
      <c r="Y4934" s="1"/>
      <c r="Z4934" s="1"/>
      <c r="AA4934" s="1"/>
      <c r="AB4934" s="1"/>
    </row>
    <row r="4935" ht="50.25" customHeight="1">
      <c r="A4935" s="12">
        <v>4931.0</v>
      </c>
      <c r="B4935" s="13" t="s">
        <v>4379</v>
      </c>
      <c r="C4935" s="14" t="s">
        <v>4954</v>
      </c>
      <c r="D4935" s="1"/>
      <c r="E4935" s="1"/>
      <c r="F4935" s="1" t="str">
        <f>IFERROR(__xludf.DUMMYFUNCTION("GOOGLETRANSLATE(B4935, ""en"", ""fa"")
"),"مشاوره دوستیابی")</f>
        <v>مشاوره دوستیابی</v>
      </c>
      <c r="G4935" s="1" t="str">
        <f>IFERROR(__xludf.DUMMYFUNCTION("GOOGLETRANSLATE(C4935, ""en"", ""fa"")
"),"چگونه می توانم بر فشار مقایسه مداوم خود با دیگران در برنامه های دوستیابی غلبه کنم؟")</f>
        <v>چگونه می توانم بر فشار مقایسه مداوم خود با دیگران در برنامه های دوستیابی غلبه کنم؟</v>
      </c>
      <c r="H4935" s="1"/>
      <c r="I4935" s="1"/>
      <c r="J4935" s="1"/>
      <c r="K4935" s="1"/>
      <c r="L4935" s="1"/>
      <c r="M4935" s="1"/>
      <c r="N4935" s="1"/>
      <c r="O4935" s="1"/>
      <c r="P4935" s="1"/>
      <c r="Q4935" s="1"/>
      <c r="R4935" s="1"/>
      <c r="S4935" s="1"/>
      <c r="T4935" s="1"/>
      <c r="U4935" s="1"/>
      <c r="V4935" s="1"/>
      <c r="W4935" s="1"/>
      <c r="X4935" s="1"/>
      <c r="Y4935" s="1"/>
      <c r="Z4935" s="1"/>
      <c r="AA4935" s="1"/>
      <c r="AB4935" s="1"/>
    </row>
    <row r="4936" ht="50.25" customHeight="1">
      <c r="A4936" s="12">
        <v>4932.0</v>
      </c>
      <c r="B4936" s="13" t="s">
        <v>4379</v>
      </c>
      <c r="C4936" s="14" t="s">
        <v>4955</v>
      </c>
      <c r="D4936" s="1"/>
      <c r="E4936" s="1"/>
      <c r="F4936" s="1" t="str">
        <f>IFERROR(__xludf.DUMMYFUNCTION("GOOGLETRANSLATE(B4936, ""en"", ""fa"")
"),"مشاوره دوستیابی")</f>
        <v>مشاوره دوستیابی</v>
      </c>
      <c r="G4936" s="1" t="str">
        <f>IFERROR(__xludf.DUMMYFUNCTION("GOOGLETRANSLATE(C4936, ""en"", ""fa"")
"),"چند استراتژی برای برخورد با پلتفرم‌های دوستیابی آنلاین که با ارزش‌ها یا ترجیحات من همسو نیستند چیست؟")</f>
        <v>چند استراتژی برای برخورد با پلتفرم‌های دوستیابی آنلاین که با ارزش‌ها یا ترجیحات من همسو نیستند چیست؟</v>
      </c>
      <c r="H4936" s="1"/>
      <c r="I4936" s="1"/>
      <c r="J4936" s="1"/>
      <c r="K4936" s="1"/>
      <c r="L4936" s="1"/>
      <c r="M4936" s="1"/>
      <c r="N4936" s="1"/>
      <c r="O4936" s="1"/>
      <c r="P4936" s="1"/>
      <c r="Q4936" s="1"/>
      <c r="R4936" s="1"/>
      <c r="S4936" s="1"/>
      <c r="T4936" s="1"/>
      <c r="U4936" s="1"/>
      <c r="V4936" s="1"/>
      <c r="W4936" s="1"/>
      <c r="X4936" s="1"/>
      <c r="Y4936" s="1"/>
      <c r="Z4936" s="1"/>
      <c r="AA4936" s="1"/>
      <c r="AB4936" s="1"/>
    </row>
    <row r="4937" ht="50.25" customHeight="1">
      <c r="A4937" s="12">
        <v>4933.0</v>
      </c>
      <c r="B4937" s="13" t="s">
        <v>4379</v>
      </c>
      <c r="C4937" s="14" t="s">
        <v>4956</v>
      </c>
      <c r="D4937" s="1"/>
      <c r="E4937" s="1"/>
      <c r="F4937" s="1" t="str">
        <f>IFERROR(__xludf.DUMMYFUNCTION("GOOGLETRANSLATE(B4937, ""en"", ""fa"")
"),"مشاوره دوستیابی")</f>
        <v>مشاوره دوستیابی</v>
      </c>
      <c r="G4937" s="1" t="str">
        <f>IFERROR(__xludf.DUMMYFUNCTION("GOOGLETRANSLATE(C4937, ""en"", ""fa"")
"),"چگونه می توانم ناامیدی ناشی از عدم برآورده شدن انتظارات من یا عدم تطابق آن ها را مدیریت کنم؟")</f>
        <v>چگونه می توانم ناامیدی ناشی از عدم برآورده شدن انتظارات من یا عدم تطابق آن ها را مدیریت کنم؟</v>
      </c>
      <c r="H4937" s="1"/>
      <c r="I4937" s="1"/>
      <c r="J4937" s="1"/>
      <c r="K4937" s="1"/>
      <c r="L4937" s="1"/>
      <c r="M4937" s="1"/>
      <c r="N4937" s="1"/>
      <c r="O4937" s="1"/>
      <c r="P4937" s="1"/>
      <c r="Q4937" s="1"/>
      <c r="R4937" s="1"/>
      <c r="S4937" s="1"/>
      <c r="T4937" s="1"/>
      <c r="U4937" s="1"/>
      <c r="V4937" s="1"/>
      <c r="W4937" s="1"/>
      <c r="X4937" s="1"/>
      <c r="Y4937" s="1"/>
      <c r="Z4937" s="1"/>
      <c r="AA4937" s="1"/>
      <c r="AB4937" s="1"/>
    </row>
    <row r="4938" ht="50.25" customHeight="1">
      <c r="A4938" s="12">
        <v>4934.0</v>
      </c>
      <c r="B4938" s="13" t="s">
        <v>4379</v>
      </c>
      <c r="C4938" s="14" t="s">
        <v>4957</v>
      </c>
      <c r="D4938" s="1"/>
      <c r="E4938" s="1"/>
      <c r="F4938" s="1" t="str">
        <f>IFERROR(__xludf.DUMMYFUNCTION("GOOGLETRANSLATE(B4938, ""en"", ""fa"")
"),"مشاوره دوستیابی")</f>
        <v>مشاوره دوستیابی</v>
      </c>
      <c r="G4938" s="1" t="str">
        <f>IFERROR(__xludf.DUMMYFUNCTION("GOOGLETRANSLATE(C4938, ""en"", ""fa"")
"),"نکاتی برای ایمن ماندن و محافظت از اطلاعات شخصی در هنگام قرار آنلاین چیست؟")</f>
        <v>نکاتی برای ایمن ماندن و محافظت از اطلاعات شخصی در هنگام قرار آنلاین چیست؟</v>
      </c>
      <c r="H4938" s="1"/>
      <c r="I4938" s="1"/>
      <c r="J4938" s="1"/>
      <c r="K4938" s="1"/>
      <c r="L4938" s="1"/>
      <c r="M4938" s="1"/>
      <c r="N4938" s="1"/>
      <c r="O4938" s="1"/>
      <c r="P4938" s="1"/>
      <c r="Q4938" s="1"/>
      <c r="R4938" s="1"/>
      <c r="S4938" s="1"/>
      <c r="T4938" s="1"/>
      <c r="U4938" s="1"/>
      <c r="V4938" s="1"/>
      <c r="W4938" s="1"/>
      <c r="X4938" s="1"/>
      <c r="Y4938" s="1"/>
      <c r="Z4938" s="1"/>
      <c r="AA4938" s="1"/>
      <c r="AB4938" s="1"/>
    </row>
    <row r="4939" ht="50.25" customHeight="1">
      <c r="A4939" s="12">
        <v>4935.0</v>
      </c>
      <c r="B4939" s="13" t="s">
        <v>4379</v>
      </c>
      <c r="C4939" s="14" t="s">
        <v>4958</v>
      </c>
      <c r="D4939" s="1"/>
      <c r="E4939" s="1"/>
      <c r="F4939" s="1" t="str">
        <f>IFERROR(__xludf.DUMMYFUNCTION("GOOGLETRANSLATE(B4939, ""en"", ""fa"")
"),"مشاوره دوستیابی")</f>
        <v>مشاوره دوستیابی</v>
      </c>
      <c r="G4939" s="1" t="str">
        <f>IFERROR(__xludf.DUMMYFUNCTION("GOOGLETRANSLATE(C4939, ""en"", ""fa"")
"),"چگونه می توانم بر ترس از آسیب پذیر بودن و باز شدن احساسی در دوستیابی آنلاین غلبه کنم؟")</f>
        <v>چگونه می توانم بر ترس از آسیب پذیر بودن و باز شدن احساسی در دوستیابی آنلاین غلبه کنم؟</v>
      </c>
      <c r="H4939" s="1"/>
      <c r="I4939" s="1"/>
      <c r="J4939" s="1"/>
      <c r="K4939" s="1"/>
      <c r="L4939" s="1"/>
      <c r="M4939" s="1"/>
      <c r="N4939" s="1"/>
      <c r="O4939" s="1"/>
      <c r="P4939" s="1"/>
      <c r="Q4939" s="1"/>
      <c r="R4939" s="1"/>
      <c r="S4939" s="1"/>
      <c r="T4939" s="1"/>
      <c r="U4939" s="1"/>
      <c r="V4939" s="1"/>
      <c r="W4939" s="1"/>
      <c r="X4939" s="1"/>
      <c r="Y4939" s="1"/>
      <c r="Z4939" s="1"/>
      <c r="AA4939" s="1"/>
      <c r="AB4939" s="1"/>
    </row>
    <row r="4940" ht="50.25" customHeight="1">
      <c r="A4940" s="12">
        <v>4936.0</v>
      </c>
      <c r="B4940" s="13" t="s">
        <v>4379</v>
      </c>
      <c r="C4940" s="14" t="s">
        <v>4959</v>
      </c>
      <c r="D4940" s="1"/>
      <c r="E4940" s="1"/>
      <c r="F4940" s="1" t="str">
        <f>IFERROR(__xludf.DUMMYFUNCTION("GOOGLETRANSLATE(B4940, ""en"", ""fa"")
"),"مشاوره دوستیابی")</f>
        <v>مشاوره دوستیابی</v>
      </c>
      <c r="G4940" s="1" t="str">
        <f>IFERROR(__xludf.DUMMYFUNCTION("GOOGLETRANSLATE(C4940, ""en"", ""fa"")
"),"چند استراتژی برای مقابله با ترول های دوستیابی آنلاین یا تعاملات منفی چیست؟")</f>
        <v>چند استراتژی برای مقابله با ترول های دوستیابی آنلاین یا تعاملات منفی چیست؟</v>
      </c>
      <c r="H4940" s="1"/>
      <c r="I4940" s="1"/>
      <c r="J4940" s="1"/>
      <c r="K4940" s="1"/>
      <c r="L4940" s="1"/>
      <c r="M4940" s="1"/>
      <c r="N4940" s="1"/>
      <c r="O4940" s="1"/>
      <c r="P4940" s="1"/>
      <c r="Q4940" s="1"/>
      <c r="R4940" s="1"/>
      <c r="S4940" s="1"/>
      <c r="T4940" s="1"/>
      <c r="U4940" s="1"/>
      <c r="V4940" s="1"/>
      <c r="W4940" s="1"/>
      <c r="X4940" s="1"/>
      <c r="Y4940" s="1"/>
      <c r="Z4940" s="1"/>
      <c r="AA4940" s="1"/>
      <c r="AB4940" s="1"/>
    </row>
    <row r="4941" ht="50.25" customHeight="1">
      <c r="A4941" s="12">
        <v>4937.0</v>
      </c>
      <c r="B4941" s="13" t="s">
        <v>4379</v>
      </c>
      <c r="C4941" s="14" t="s">
        <v>4960</v>
      </c>
      <c r="D4941" s="1"/>
      <c r="E4941" s="1"/>
      <c r="F4941" s="1" t="str">
        <f>IFERROR(__xludf.DUMMYFUNCTION("GOOGLETRANSLATE(B4941, ""en"", ""fa"")
"),"مشاوره دوستیابی")</f>
        <v>مشاوره دوستیابی</v>
      </c>
      <c r="G4941" s="1" t="str">
        <f>IFERROR(__xludf.DUMMYFUNCTION("GOOGLETRANSLATE(C4941, ""en"", ""fa"")
"),"چگونه می توانم ناامیدی ناشی از فرسودگی دوستیابی آنلاین و احساس پیشرفت نکردن را مدیریت کنم؟")</f>
        <v>چگونه می توانم ناامیدی ناشی از فرسودگی دوستیابی آنلاین و احساس پیشرفت نکردن را مدیریت کنم؟</v>
      </c>
      <c r="H4941" s="1"/>
      <c r="I4941" s="1"/>
      <c r="J4941" s="1"/>
      <c r="K4941" s="1"/>
      <c r="L4941" s="1"/>
      <c r="M4941" s="1"/>
      <c r="N4941" s="1"/>
      <c r="O4941" s="1"/>
      <c r="P4941" s="1"/>
      <c r="Q4941" s="1"/>
      <c r="R4941" s="1"/>
      <c r="S4941" s="1"/>
      <c r="T4941" s="1"/>
      <c r="U4941" s="1"/>
      <c r="V4941" s="1"/>
      <c r="W4941" s="1"/>
      <c r="X4941" s="1"/>
      <c r="Y4941" s="1"/>
      <c r="Z4941" s="1"/>
      <c r="AA4941" s="1"/>
      <c r="AB4941" s="1"/>
    </row>
    <row r="4942" ht="50.25" customHeight="1">
      <c r="A4942" s="12">
        <v>4938.0</v>
      </c>
      <c r="B4942" s="13" t="s">
        <v>4379</v>
      </c>
      <c r="C4942" s="14" t="s">
        <v>4961</v>
      </c>
      <c r="D4942" s="1"/>
      <c r="E4942" s="1"/>
      <c r="F4942" s="1" t="str">
        <f>IFERROR(__xludf.DUMMYFUNCTION("GOOGLETRANSLATE(B4942, ""en"", ""fa"")
"),"مشاوره دوستیابی")</f>
        <v>مشاوره دوستیابی</v>
      </c>
      <c r="G4942" s="1" t="str">
        <f>IFERROR(__xludf.DUMMYFUNCTION("GOOGLETRANSLATE(C4942, ""en"", ""fa"")
"),"چند نکته برای مدیریت دوستیابی آنلاین از راه دور و حفظ ارتباط چیست؟")</f>
        <v>چند نکته برای مدیریت دوستیابی آنلاین از راه دور و حفظ ارتباط چیست؟</v>
      </c>
      <c r="H4942" s="1"/>
      <c r="I4942" s="1"/>
      <c r="J4942" s="1"/>
      <c r="K4942" s="1"/>
      <c r="L4942" s="1"/>
      <c r="M4942" s="1"/>
      <c r="N4942" s="1"/>
      <c r="O4942" s="1"/>
      <c r="P4942" s="1"/>
      <c r="Q4942" s="1"/>
      <c r="R4942" s="1"/>
      <c r="S4942" s="1"/>
      <c r="T4942" s="1"/>
      <c r="U4942" s="1"/>
      <c r="V4942" s="1"/>
      <c r="W4942" s="1"/>
      <c r="X4942" s="1"/>
      <c r="Y4942" s="1"/>
      <c r="Z4942" s="1"/>
      <c r="AA4942" s="1"/>
      <c r="AB4942" s="1"/>
    </row>
    <row r="4943" ht="50.25" customHeight="1">
      <c r="A4943" s="12">
        <v>4939.0</v>
      </c>
      <c r="B4943" s="13" t="s">
        <v>4379</v>
      </c>
      <c r="C4943" s="14" t="s">
        <v>4962</v>
      </c>
      <c r="D4943" s="1"/>
      <c r="E4943" s="1"/>
      <c r="F4943" s="1" t="str">
        <f>IFERROR(__xludf.DUMMYFUNCTION("GOOGLETRANSLATE(B4943, ""en"", ""fa"")
"),"مشاوره دوستیابی")</f>
        <v>مشاوره دوستیابی</v>
      </c>
      <c r="G4943" s="1" t="str">
        <f>IFERROR(__xludf.DUMMYFUNCTION("GOOGLETRANSLATE(C4943, ""en"", ""fa"")
"),"چگونه می توانم بر ترس از قضاوت یا سوء تفاهم بر اساس نمایه دوستیابی آنلاین خود غلبه کنم؟")</f>
        <v>چگونه می توانم بر ترس از قضاوت یا سوء تفاهم بر اساس نمایه دوستیابی آنلاین خود غلبه کنم؟</v>
      </c>
      <c r="H4943" s="1"/>
      <c r="I4943" s="1"/>
      <c r="J4943" s="1"/>
      <c r="K4943" s="1"/>
      <c r="L4943" s="1"/>
      <c r="M4943" s="1"/>
      <c r="N4943" s="1"/>
      <c r="O4943" s="1"/>
      <c r="P4943" s="1"/>
      <c r="Q4943" s="1"/>
      <c r="R4943" s="1"/>
      <c r="S4943" s="1"/>
      <c r="T4943" s="1"/>
      <c r="U4943" s="1"/>
      <c r="V4943" s="1"/>
      <c r="W4943" s="1"/>
      <c r="X4943" s="1"/>
      <c r="Y4943" s="1"/>
      <c r="Z4943" s="1"/>
      <c r="AA4943" s="1"/>
      <c r="AB4943" s="1"/>
    </row>
    <row r="4944" ht="50.25" customHeight="1">
      <c r="A4944" s="12">
        <v>4940.0</v>
      </c>
      <c r="B4944" s="13" t="s">
        <v>4379</v>
      </c>
      <c r="C4944" s="14" t="s">
        <v>4963</v>
      </c>
      <c r="D4944" s="1"/>
      <c r="E4944" s="1"/>
      <c r="F4944" s="1" t="str">
        <f>IFERROR(__xludf.DUMMYFUNCTION("GOOGLETRANSLATE(B4944, ""en"", ""fa"")
"),"مشاوره دوستیابی")</f>
        <v>مشاوره دوستیابی</v>
      </c>
      <c r="G4944" s="1" t="str">
        <f>IFERROR(__xludf.DUMMYFUNCTION("GOOGLETRANSLATE(C4944, ""en"", ""fa"")
"),"چند استراتژی برای مقابله با درگیری ها یا اختلاف نظرهای دوستیابی آنلاین چیست؟")</f>
        <v>چند استراتژی برای مقابله با درگیری ها یا اختلاف نظرهای دوستیابی آنلاین چیست؟</v>
      </c>
      <c r="H4944" s="1"/>
      <c r="I4944" s="1"/>
      <c r="J4944" s="1"/>
      <c r="K4944" s="1"/>
      <c r="L4944" s="1"/>
      <c r="M4944" s="1"/>
      <c r="N4944" s="1"/>
      <c r="O4944" s="1"/>
      <c r="P4944" s="1"/>
      <c r="Q4944" s="1"/>
      <c r="R4944" s="1"/>
      <c r="S4944" s="1"/>
      <c r="T4944" s="1"/>
      <c r="U4944" s="1"/>
      <c r="V4944" s="1"/>
      <c r="W4944" s="1"/>
      <c r="X4944" s="1"/>
      <c r="Y4944" s="1"/>
      <c r="Z4944" s="1"/>
      <c r="AA4944" s="1"/>
      <c r="AB4944" s="1"/>
    </row>
    <row r="4945" ht="50.25" customHeight="1">
      <c r="A4945" s="12">
        <v>4941.0</v>
      </c>
      <c r="B4945" s="13" t="s">
        <v>4379</v>
      </c>
      <c r="C4945" s="14" t="s">
        <v>4964</v>
      </c>
      <c r="D4945" s="1"/>
      <c r="E4945" s="1"/>
      <c r="F4945" s="1" t="str">
        <f>IFERROR(__xludf.DUMMYFUNCTION("GOOGLETRANSLATE(B4945, ""en"", ""fa"")
"),"مشاوره دوستیابی")</f>
        <v>مشاوره دوستیابی</v>
      </c>
      <c r="G4945" s="1" t="str">
        <f>IFERROR(__xludf.DUMMYFUNCTION("GOOGLETRANSLATE(C4945, ""en"", ""fa"")
"),"چگونه می توانم فشار ناشی از ارائه نسخه ""بی نقص"" خود را در برنامه های دوستیابی مدیریت کنم؟")</f>
        <v>چگونه می توانم فشار ناشی از ارائه نسخه "بی نقص" خود را در برنامه های دوستیابی مدیریت کنم؟</v>
      </c>
      <c r="H4945" s="1"/>
      <c r="I4945" s="1"/>
      <c r="J4945" s="1"/>
      <c r="K4945" s="1"/>
      <c r="L4945" s="1"/>
      <c r="M4945" s="1"/>
      <c r="N4945" s="1"/>
      <c r="O4945" s="1"/>
      <c r="P4945" s="1"/>
      <c r="Q4945" s="1"/>
      <c r="R4945" s="1"/>
      <c r="S4945" s="1"/>
      <c r="T4945" s="1"/>
      <c r="U4945" s="1"/>
      <c r="V4945" s="1"/>
      <c r="W4945" s="1"/>
      <c r="X4945" s="1"/>
      <c r="Y4945" s="1"/>
      <c r="Z4945" s="1"/>
      <c r="AA4945" s="1"/>
      <c r="AB4945" s="1"/>
    </row>
    <row r="4946" ht="50.25" customHeight="1">
      <c r="A4946" s="12">
        <v>4942.0</v>
      </c>
      <c r="B4946" s="13" t="s">
        <v>4379</v>
      </c>
      <c r="C4946" s="14" t="s">
        <v>4965</v>
      </c>
      <c r="D4946" s="1"/>
      <c r="E4946" s="1"/>
      <c r="F4946" s="1" t="str">
        <f>IFERROR(__xludf.DUMMYFUNCTION("GOOGLETRANSLATE(B4946, ""en"", ""fa"")
"),"مشاوره دوستیابی")</f>
        <v>مشاوره دوستیابی</v>
      </c>
      <c r="G4946" s="1" t="str">
        <f>IFERROR(__xludf.DUMMYFUNCTION("GOOGLETRANSLATE(C4946, ""en"", ""fa"")
"),"نکاتی برای پیمایش در قرار آنلاین به عنوان یک فرد درونگرا یا شخصی که ارتباطات عمیق تر را ترجیح می دهد چیست؟")</f>
        <v>نکاتی برای پیمایش در قرار آنلاین به عنوان یک فرد درونگرا یا شخصی که ارتباطات عمیق تر را ترجیح می دهد چیست؟</v>
      </c>
      <c r="H4946" s="1"/>
      <c r="I4946" s="1"/>
      <c r="J4946" s="1"/>
      <c r="K4946" s="1"/>
      <c r="L4946" s="1"/>
      <c r="M4946" s="1"/>
      <c r="N4946" s="1"/>
      <c r="O4946" s="1"/>
      <c r="P4946" s="1"/>
      <c r="Q4946" s="1"/>
      <c r="R4946" s="1"/>
      <c r="S4946" s="1"/>
      <c r="T4946" s="1"/>
      <c r="U4946" s="1"/>
      <c r="V4946" s="1"/>
      <c r="W4946" s="1"/>
      <c r="X4946" s="1"/>
      <c r="Y4946" s="1"/>
      <c r="Z4946" s="1"/>
      <c r="AA4946" s="1"/>
      <c r="AB4946" s="1"/>
    </row>
    <row r="4947" ht="50.25" customHeight="1">
      <c r="A4947" s="12">
        <v>4943.0</v>
      </c>
      <c r="B4947" s="13" t="s">
        <v>4379</v>
      </c>
      <c r="C4947" s="14" t="s">
        <v>4966</v>
      </c>
      <c r="D4947" s="1"/>
      <c r="E4947" s="1"/>
      <c r="F4947" s="1" t="str">
        <f>IFERROR(__xludf.DUMMYFUNCTION("GOOGLETRANSLATE(B4947, ""en"", ""fa"")
"),"مشاوره دوستیابی")</f>
        <v>مشاوره دوستیابی</v>
      </c>
      <c r="G4947" s="1" t="str">
        <f>IFERROR(__xludf.DUMMYFUNCTION("GOOGLETRANSLATE(C4947, ""en"", ""fa"")
"),"چگونه می توانم بر ترس کلاهبرداری های دوستیابی آنلاین غلبه کنم و از خود در برابر کلاهبرداری احتمالی محافظت کنم؟")</f>
        <v>چگونه می توانم بر ترس کلاهبرداری های دوستیابی آنلاین غلبه کنم و از خود در برابر کلاهبرداری احتمالی محافظت کنم؟</v>
      </c>
      <c r="H4947" s="1"/>
      <c r="I4947" s="1"/>
      <c r="J4947" s="1"/>
      <c r="K4947" s="1"/>
      <c r="L4947" s="1"/>
      <c r="M4947" s="1"/>
      <c r="N4947" s="1"/>
      <c r="O4947" s="1"/>
      <c r="P4947" s="1"/>
      <c r="Q4947" s="1"/>
      <c r="R4947" s="1"/>
      <c r="S4947" s="1"/>
      <c r="T4947" s="1"/>
      <c r="U4947" s="1"/>
      <c r="V4947" s="1"/>
      <c r="W4947" s="1"/>
      <c r="X4947" s="1"/>
      <c r="Y4947" s="1"/>
      <c r="Z4947" s="1"/>
      <c r="AA4947" s="1"/>
      <c r="AB4947" s="1"/>
    </row>
    <row r="4948" ht="50.25" customHeight="1">
      <c r="A4948" s="12">
        <v>4944.0</v>
      </c>
      <c r="B4948" s="13" t="s">
        <v>4379</v>
      </c>
      <c r="C4948" s="14" t="s">
        <v>4967</v>
      </c>
      <c r="D4948" s="1"/>
      <c r="E4948" s="1"/>
      <c r="F4948" s="1" t="str">
        <f>IFERROR(__xludf.DUMMYFUNCTION("GOOGLETRANSLATE(B4948, ""en"", ""fa"")
"),"مشاوره دوستیابی")</f>
        <v>مشاوره دوستیابی</v>
      </c>
      <c r="G4948" s="1" t="str">
        <f>IFERROR(__xludf.DUMMYFUNCTION("GOOGLETRANSLATE(C4948, ""en"", ""fa"")
"),"چند استراتژی برای مقابله با فرسودگی دوستیابی آنلاین و استراحت در صورت نیاز چیست؟")</f>
        <v>چند استراتژی برای مقابله با فرسودگی دوستیابی آنلاین و استراحت در صورت نیاز چیست؟</v>
      </c>
      <c r="H4948" s="1"/>
      <c r="I4948" s="1"/>
      <c r="J4948" s="1"/>
      <c r="K4948" s="1"/>
      <c r="L4948" s="1"/>
      <c r="M4948" s="1"/>
      <c r="N4948" s="1"/>
      <c r="O4948" s="1"/>
      <c r="P4948" s="1"/>
      <c r="Q4948" s="1"/>
      <c r="R4948" s="1"/>
      <c r="S4948" s="1"/>
      <c r="T4948" s="1"/>
      <c r="U4948" s="1"/>
      <c r="V4948" s="1"/>
      <c r="W4948" s="1"/>
      <c r="X4948" s="1"/>
      <c r="Y4948" s="1"/>
      <c r="Z4948" s="1"/>
      <c r="AA4948" s="1"/>
      <c r="AB4948" s="1"/>
    </row>
    <row r="4949" ht="50.25" customHeight="1">
      <c r="A4949" s="12">
        <v>4945.0</v>
      </c>
      <c r="B4949" s="13" t="s">
        <v>4379</v>
      </c>
      <c r="C4949" s="14" t="s">
        <v>4968</v>
      </c>
      <c r="D4949" s="1"/>
      <c r="E4949" s="1"/>
      <c r="F4949" s="1" t="str">
        <f>IFERROR(__xludf.DUMMYFUNCTION("GOOGLETRANSLATE(B4949, ""en"", ""fa"")
"),"مشاوره دوستیابی")</f>
        <v>مشاوره دوستیابی</v>
      </c>
      <c r="G4949" s="1" t="str">
        <f>IFERROR(__xludf.DUMMYFUNCTION("GOOGLETRANSLATE(C4949, ""en"", ""fa"")
"),"چگونه می توانم ناامیدی ناشی از پیدا نکردن ارتباط فوری در برنامه های دوستیابی را مدیریت کنم؟")</f>
        <v>چگونه می توانم ناامیدی ناشی از پیدا نکردن ارتباط فوری در برنامه های دوستیابی را مدیریت کنم؟</v>
      </c>
      <c r="H4949" s="1"/>
      <c r="I4949" s="1"/>
      <c r="J4949" s="1"/>
      <c r="K4949" s="1"/>
      <c r="L4949" s="1"/>
      <c r="M4949" s="1"/>
      <c r="N4949" s="1"/>
      <c r="O4949" s="1"/>
      <c r="P4949" s="1"/>
      <c r="Q4949" s="1"/>
      <c r="R4949" s="1"/>
      <c r="S4949" s="1"/>
      <c r="T4949" s="1"/>
      <c r="U4949" s="1"/>
      <c r="V4949" s="1"/>
      <c r="W4949" s="1"/>
      <c r="X4949" s="1"/>
      <c r="Y4949" s="1"/>
      <c r="Z4949" s="1"/>
      <c r="AA4949" s="1"/>
      <c r="AB4949" s="1"/>
    </row>
    <row r="4950" ht="50.25" customHeight="1">
      <c r="A4950" s="12">
        <v>4946.0</v>
      </c>
      <c r="B4950" s="13" t="s">
        <v>4379</v>
      </c>
      <c r="C4950" s="14" t="s">
        <v>4969</v>
      </c>
      <c r="D4950" s="1"/>
      <c r="E4950" s="1"/>
      <c r="F4950" s="1" t="str">
        <f>IFERROR(__xludf.DUMMYFUNCTION("GOOGLETRANSLATE(B4950, ""en"", ""fa"")
"),"مشاوره دوستیابی")</f>
        <v>مشاوره دوستیابی</v>
      </c>
      <c r="G4950" s="1" t="str">
        <f>IFERROR(__xludf.DUMMYFUNCTION("GOOGLETRANSLATE(C4950, ""en"", ""fa"")
"),"چند نکته برای رسیدگی به رد قرار ملاقات آنلاین با لطف و انعطاف پذیری چیست؟")</f>
        <v>چند نکته برای رسیدگی به رد قرار ملاقات آنلاین با لطف و انعطاف پذیری چیست؟</v>
      </c>
      <c r="H4950" s="1"/>
      <c r="I4950" s="1"/>
      <c r="J4950" s="1"/>
      <c r="K4950" s="1"/>
      <c r="L4950" s="1"/>
      <c r="M4950" s="1"/>
      <c r="N4950" s="1"/>
      <c r="O4950" s="1"/>
      <c r="P4950" s="1"/>
      <c r="Q4950" s="1"/>
      <c r="R4950" s="1"/>
      <c r="S4950" s="1"/>
      <c r="T4950" s="1"/>
      <c r="U4950" s="1"/>
      <c r="V4950" s="1"/>
      <c r="W4950" s="1"/>
      <c r="X4950" s="1"/>
      <c r="Y4950" s="1"/>
      <c r="Z4950" s="1"/>
      <c r="AA4950" s="1"/>
      <c r="AB4950" s="1"/>
    </row>
    <row r="4951" ht="50.25" customHeight="1">
      <c r="A4951" s="12">
        <v>4947.0</v>
      </c>
      <c r="B4951" s="13" t="s">
        <v>4379</v>
      </c>
      <c r="C4951" s="14" t="s">
        <v>4970</v>
      </c>
      <c r="D4951" s="1"/>
      <c r="E4951" s="1"/>
      <c r="F4951" s="1" t="str">
        <f>IFERROR(__xludf.DUMMYFUNCTION("GOOGLETRANSLATE(B4951, ""en"", ""fa"")
"),"مشاوره دوستیابی")</f>
        <v>مشاوره دوستیابی</v>
      </c>
      <c r="G4951" s="1" t="str">
        <f>IFERROR(__xludf.DUMMYFUNCTION("GOOGLETRANSLATE(C4951, ""en"", ""fa"")
"),"چگونه می توانم بر ترس از آسیب پذیر بودن و بیان خواسته ها و مقاصد واقعی خود در دوستیابی آنلاین غلبه کنم؟")</f>
        <v>چگونه می توانم بر ترس از آسیب پذیر بودن و بیان خواسته ها و مقاصد واقعی خود در دوستیابی آنلاین غلبه کنم؟</v>
      </c>
      <c r="H4951" s="1"/>
      <c r="I4951" s="1"/>
      <c r="J4951" s="1"/>
      <c r="K4951" s="1"/>
      <c r="L4951" s="1"/>
      <c r="M4951" s="1"/>
      <c r="N4951" s="1"/>
      <c r="O4951" s="1"/>
      <c r="P4951" s="1"/>
      <c r="Q4951" s="1"/>
      <c r="R4951" s="1"/>
      <c r="S4951" s="1"/>
      <c r="T4951" s="1"/>
      <c r="U4951" s="1"/>
      <c r="V4951" s="1"/>
      <c r="W4951" s="1"/>
      <c r="X4951" s="1"/>
      <c r="Y4951" s="1"/>
      <c r="Z4951" s="1"/>
      <c r="AA4951" s="1"/>
      <c r="AB4951" s="1"/>
    </row>
    <row r="4952" ht="50.25" customHeight="1">
      <c r="A4952" s="12">
        <v>4948.0</v>
      </c>
      <c r="B4952" s="13" t="s">
        <v>4379</v>
      </c>
      <c r="C4952" s="14" t="s">
        <v>4971</v>
      </c>
      <c r="D4952" s="1"/>
      <c r="E4952" s="1"/>
      <c r="F4952" s="1" t="str">
        <f>IFERROR(__xludf.DUMMYFUNCTION("GOOGLETRANSLATE(B4952, ""en"", ""fa"")
"),"مشاوره دوستیابی")</f>
        <v>مشاوره دوستیابی</v>
      </c>
      <c r="G4952" s="1" t="str">
        <f>IFERROR(__xludf.DUMMYFUNCTION("GOOGLETRANSLATE(C4952, ""en"", ""fa"")
"),"چند استراتژی برای مقابله با پلتفرم های دوستیابی آنلاین که سطحی نگری یا عینیت را ترویج می کنند چیست؟")</f>
        <v>چند استراتژی برای مقابله با پلتفرم های دوستیابی آنلاین که سطحی نگری یا عینیت را ترویج می کنند چیست؟</v>
      </c>
      <c r="H4952" s="1"/>
      <c r="I4952" s="1"/>
      <c r="J4952" s="1"/>
      <c r="K4952" s="1"/>
      <c r="L4952" s="1"/>
      <c r="M4952" s="1"/>
      <c r="N4952" s="1"/>
      <c r="O4952" s="1"/>
      <c r="P4952" s="1"/>
      <c r="Q4952" s="1"/>
      <c r="R4952" s="1"/>
      <c r="S4952" s="1"/>
      <c r="T4952" s="1"/>
      <c r="U4952" s="1"/>
      <c r="V4952" s="1"/>
      <c r="W4952" s="1"/>
      <c r="X4952" s="1"/>
      <c r="Y4952" s="1"/>
      <c r="Z4952" s="1"/>
      <c r="AA4952" s="1"/>
      <c r="AB4952" s="1"/>
    </row>
    <row r="4953" ht="50.25" customHeight="1">
      <c r="A4953" s="12">
        <v>4949.0</v>
      </c>
      <c r="B4953" s="13" t="s">
        <v>4379</v>
      </c>
      <c r="C4953" s="14" t="s">
        <v>4972</v>
      </c>
      <c r="D4953" s="1"/>
      <c r="E4953" s="1"/>
      <c r="F4953" s="1" t="str">
        <f>IFERROR(__xludf.DUMMYFUNCTION("GOOGLETRANSLATE(B4953, ""en"", ""fa"")
"),"مشاوره دوستیابی")</f>
        <v>مشاوره دوستیابی</v>
      </c>
      <c r="G4953" s="1" t="str">
        <f>IFERROR(__xludf.DUMMYFUNCTION("GOOGLETRANSLATE(C4953, ""en"", ""fa"")
"),"چگونه می توانم فشار انتظارات دوستیابی آنلاین و استانداردهای اجتماعی زیبایی را مدیریت کنم؟")</f>
        <v>چگونه می توانم فشار انتظارات دوستیابی آنلاین و استانداردهای اجتماعی زیبایی را مدیریت کنم؟</v>
      </c>
      <c r="H4953" s="1"/>
      <c r="I4953" s="1"/>
      <c r="J4953" s="1"/>
      <c r="K4953" s="1"/>
      <c r="L4953" s="1"/>
      <c r="M4953" s="1"/>
      <c r="N4953" s="1"/>
      <c r="O4953" s="1"/>
      <c r="P4953" s="1"/>
      <c r="Q4953" s="1"/>
      <c r="R4953" s="1"/>
      <c r="S4953" s="1"/>
      <c r="T4953" s="1"/>
      <c r="U4953" s="1"/>
      <c r="V4953" s="1"/>
      <c r="W4953" s="1"/>
      <c r="X4953" s="1"/>
      <c r="Y4953" s="1"/>
      <c r="Z4953" s="1"/>
      <c r="AA4953" s="1"/>
      <c r="AB4953" s="1"/>
    </row>
    <row r="4954" ht="50.25" customHeight="1">
      <c r="A4954" s="12">
        <v>4950.0</v>
      </c>
      <c r="B4954" s="13" t="s">
        <v>4379</v>
      </c>
      <c r="C4954" s="14" t="s">
        <v>4973</v>
      </c>
      <c r="D4954" s="1"/>
      <c r="E4954" s="1"/>
      <c r="F4954" s="1" t="str">
        <f>IFERROR(__xludf.DUMMYFUNCTION("GOOGLETRANSLATE(B4954, ""en"", ""fa"")
"),"مشاوره دوستیابی")</f>
        <v>مشاوره دوستیابی</v>
      </c>
      <c r="G4954" s="1" t="str">
        <f>IFERROR(__xludf.DUMMYFUNCTION("GOOGLETRANSLATE(C4954, ""en"", ""fa"")
"),"چند نکته برای مدیریت درگیری ها یا سوء تفاهم های دوستیابی آنلاین به روشی سازنده چیست؟")</f>
        <v>چند نکته برای مدیریت درگیری ها یا سوء تفاهم های دوستیابی آنلاین به روشی سازنده چیست؟</v>
      </c>
      <c r="H4954" s="1"/>
      <c r="I4954" s="1"/>
      <c r="J4954" s="1"/>
      <c r="K4954" s="1"/>
      <c r="L4954" s="1"/>
      <c r="M4954" s="1"/>
      <c r="N4954" s="1"/>
      <c r="O4954" s="1"/>
      <c r="P4954" s="1"/>
      <c r="Q4954" s="1"/>
      <c r="R4954" s="1"/>
      <c r="S4954" s="1"/>
      <c r="T4954" s="1"/>
      <c r="U4954" s="1"/>
      <c r="V4954" s="1"/>
      <c r="W4954" s="1"/>
      <c r="X4954" s="1"/>
      <c r="Y4954" s="1"/>
      <c r="Z4954" s="1"/>
      <c r="AA4954" s="1"/>
      <c r="AB4954" s="1"/>
    </row>
    <row r="4955" ht="50.25" customHeight="1">
      <c r="A4955" s="12">
        <v>4951.0</v>
      </c>
      <c r="B4955" s="13" t="s">
        <v>4379</v>
      </c>
      <c r="C4955" s="14" t="s">
        <v>4974</v>
      </c>
      <c r="D4955" s="1"/>
      <c r="E4955" s="1"/>
      <c r="F4955" s="1" t="str">
        <f>IFERROR(__xludf.DUMMYFUNCTION("GOOGLETRANSLATE(B4955, ""en"", ""fa"")
"),"مشاوره دوستیابی")</f>
        <v>مشاوره دوستیابی</v>
      </c>
      <c r="G4955" s="1" t="str">
        <f>IFERROR(__xludf.DUMMYFUNCTION("GOOGLETRANSLATE(C4955, ""en"", ""fa"")
"),"چگونه می توانم بر ترس از قضاوت یا انتقاد بر اساس ظاهر یا نمایه خود در برنامه های دوستیابی غلبه کنم؟")</f>
        <v>چگونه می توانم بر ترس از قضاوت یا انتقاد بر اساس ظاهر یا نمایه خود در برنامه های دوستیابی غلبه کنم؟</v>
      </c>
      <c r="H4955" s="1"/>
      <c r="I4955" s="1"/>
      <c r="J4955" s="1"/>
      <c r="K4955" s="1"/>
      <c r="L4955" s="1"/>
      <c r="M4955" s="1"/>
      <c r="N4955" s="1"/>
      <c r="O4955" s="1"/>
      <c r="P4955" s="1"/>
      <c r="Q4955" s="1"/>
      <c r="R4955" s="1"/>
      <c r="S4955" s="1"/>
      <c r="T4955" s="1"/>
      <c r="U4955" s="1"/>
      <c r="V4955" s="1"/>
      <c r="W4955" s="1"/>
      <c r="X4955" s="1"/>
      <c r="Y4955" s="1"/>
      <c r="Z4955" s="1"/>
      <c r="AA4955" s="1"/>
      <c r="AB4955" s="1"/>
    </row>
    <row r="4956" ht="50.25" customHeight="1">
      <c r="A4956" s="12">
        <v>4952.0</v>
      </c>
      <c r="B4956" s="13" t="s">
        <v>4379</v>
      </c>
      <c r="C4956" s="14" t="s">
        <v>4975</v>
      </c>
      <c r="D4956" s="1"/>
      <c r="E4956" s="1"/>
      <c r="F4956" s="1" t="str">
        <f>IFERROR(__xludf.DUMMYFUNCTION("GOOGLETRANSLATE(B4956, ""en"", ""fa"")
"),"مشاوره دوستیابی")</f>
        <v>مشاوره دوستیابی</v>
      </c>
      <c r="G4956" s="1" t="str">
        <f>IFERROR(__xludf.DUMMYFUNCTION("GOOGLETRANSLATE(C4956, ""en"", ""fa"")
"),"چند استراتژی برای مقابله با خستگی دوستیابی آنلاین و حفظ انگیزه برای ادامه تلاش چیست؟")</f>
        <v>چند استراتژی برای مقابله با خستگی دوستیابی آنلاین و حفظ انگیزه برای ادامه تلاش چیست؟</v>
      </c>
      <c r="H4956" s="1"/>
      <c r="I4956" s="1"/>
      <c r="J4956" s="1"/>
      <c r="K4956" s="1"/>
      <c r="L4956" s="1"/>
      <c r="M4956" s="1"/>
      <c r="N4956" s="1"/>
      <c r="O4956" s="1"/>
      <c r="P4956" s="1"/>
      <c r="Q4956" s="1"/>
      <c r="R4956" s="1"/>
      <c r="S4956" s="1"/>
      <c r="T4956" s="1"/>
      <c r="U4956" s="1"/>
      <c r="V4956" s="1"/>
      <c r="W4956" s="1"/>
      <c r="X4956" s="1"/>
      <c r="Y4956" s="1"/>
      <c r="Z4956" s="1"/>
      <c r="AA4956" s="1"/>
      <c r="AB4956" s="1"/>
    </row>
    <row r="4957" ht="50.25" customHeight="1">
      <c r="A4957" s="12">
        <v>4953.0</v>
      </c>
      <c r="B4957" s="13" t="s">
        <v>4379</v>
      </c>
      <c r="C4957" s="14" t="s">
        <v>4976</v>
      </c>
      <c r="D4957" s="1"/>
      <c r="E4957" s="1"/>
      <c r="F4957" s="1" t="str">
        <f>IFERROR(__xludf.DUMMYFUNCTION("GOOGLETRANSLATE(B4957, ""en"", ""fa"")
"),"مشاوره دوستیابی")</f>
        <v>مشاوره دوستیابی</v>
      </c>
      <c r="G4957" s="1" t="str">
        <f>IFERROR(__xludf.DUMMYFUNCTION("GOOGLETRANSLATE(C4957, ""en"", ""fa"")
"),"چگونه می توانم ناامیدی از قرار آنلاین را مدیریت کنم، در حالی که با اهداف یا خواسته های عاشقانه من همسو نیست؟")</f>
        <v>چگونه می توانم ناامیدی از قرار آنلاین را مدیریت کنم، در حالی که با اهداف یا خواسته های عاشقانه من همسو نیست؟</v>
      </c>
      <c r="H4957" s="1"/>
      <c r="I4957" s="1"/>
      <c r="J4957" s="1"/>
      <c r="K4957" s="1"/>
      <c r="L4957" s="1"/>
      <c r="M4957" s="1"/>
      <c r="N4957" s="1"/>
      <c r="O4957" s="1"/>
      <c r="P4957" s="1"/>
      <c r="Q4957" s="1"/>
      <c r="R4957" s="1"/>
      <c r="S4957" s="1"/>
      <c r="T4957" s="1"/>
      <c r="U4957" s="1"/>
      <c r="V4957" s="1"/>
      <c r="W4957" s="1"/>
      <c r="X4957" s="1"/>
      <c r="Y4957" s="1"/>
      <c r="Z4957" s="1"/>
      <c r="AA4957" s="1"/>
      <c r="AB4957" s="1"/>
    </row>
    <row r="4958" ht="50.25" customHeight="1">
      <c r="A4958" s="12">
        <v>4954.0</v>
      </c>
      <c r="B4958" s="13" t="s">
        <v>4379</v>
      </c>
      <c r="C4958" s="14" t="s">
        <v>4977</v>
      </c>
      <c r="D4958" s="1"/>
      <c r="E4958" s="1"/>
      <c r="F4958" s="1" t="str">
        <f>IFERROR(__xludf.DUMMYFUNCTION("GOOGLETRANSLATE(B4958, ""en"", ""fa"")
"),"مشاوره دوستیابی")</f>
        <v>مشاوره دوستیابی</v>
      </c>
      <c r="G4958" s="1" t="str">
        <f>IFERROR(__xludf.DUMMYFUNCTION("GOOGLETRANSLATE(C4958, ""en"", ""fa"")
"),"نکاتی برای پیمایش در قرار آنلاین به عنوان یک فرد برونگرا یا شخصی که از تعاملات اجتماعی لذت می برد چیست؟")</f>
        <v>نکاتی برای پیمایش در قرار آنلاین به عنوان یک فرد برونگرا یا شخصی که از تعاملات اجتماعی لذت می برد چیست؟</v>
      </c>
      <c r="H4958" s="1"/>
      <c r="I4958" s="1"/>
      <c r="J4958" s="1"/>
      <c r="K4958" s="1"/>
      <c r="L4958" s="1"/>
      <c r="M4958" s="1"/>
      <c r="N4958" s="1"/>
      <c r="O4958" s="1"/>
      <c r="P4958" s="1"/>
      <c r="Q4958" s="1"/>
      <c r="R4958" s="1"/>
      <c r="S4958" s="1"/>
      <c r="T4958" s="1"/>
      <c r="U4958" s="1"/>
      <c r="V4958" s="1"/>
      <c r="W4958" s="1"/>
      <c r="X4958" s="1"/>
      <c r="Y4958" s="1"/>
      <c r="Z4958" s="1"/>
      <c r="AA4958" s="1"/>
      <c r="AB4958" s="1"/>
    </row>
    <row r="4959" ht="50.25" customHeight="1">
      <c r="A4959" s="12">
        <v>4955.0</v>
      </c>
      <c r="B4959" s="13" t="s">
        <v>4379</v>
      </c>
      <c r="C4959" s="14" t="s">
        <v>4978</v>
      </c>
      <c r="D4959" s="1"/>
      <c r="E4959" s="1"/>
      <c r="F4959" s="1" t="str">
        <f>IFERROR(__xludf.DUMMYFUNCTION("GOOGLETRANSLATE(B4959, ""en"", ""fa"")
"),"مشاوره دوستیابی")</f>
        <v>مشاوره دوستیابی</v>
      </c>
      <c r="G4959" s="1" t="str">
        <f>IFERROR(__xludf.DUMMYFUNCTION("GOOGLETRANSLATE(C4959, ""en"", ""fa"")
"),"چگونه می توانم بر ترس از آسیب پذیر بودن و بیان خود واقعی خود در مکالمات آنلاین غلبه کنم؟")</f>
        <v>چگونه می توانم بر ترس از آسیب پذیر بودن و بیان خود واقعی خود در مکالمات آنلاین غلبه کنم؟</v>
      </c>
      <c r="H4959" s="1"/>
      <c r="I4959" s="1"/>
      <c r="J4959" s="1"/>
      <c r="K4959" s="1"/>
      <c r="L4959" s="1"/>
      <c r="M4959" s="1"/>
      <c r="N4959" s="1"/>
      <c r="O4959" s="1"/>
      <c r="P4959" s="1"/>
      <c r="Q4959" s="1"/>
      <c r="R4959" s="1"/>
      <c r="S4959" s="1"/>
      <c r="T4959" s="1"/>
      <c r="U4959" s="1"/>
      <c r="V4959" s="1"/>
      <c r="W4959" s="1"/>
      <c r="X4959" s="1"/>
      <c r="Y4959" s="1"/>
      <c r="Z4959" s="1"/>
      <c r="AA4959" s="1"/>
      <c r="AB4959" s="1"/>
    </row>
    <row r="4960" ht="50.25" customHeight="1">
      <c r="A4960" s="12">
        <v>4956.0</v>
      </c>
      <c r="B4960" s="13" t="s">
        <v>4379</v>
      </c>
      <c r="C4960" s="14" t="s">
        <v>4979</v>
      </c>
      <c r="D4960" s="1"/>
      <c r="E4960" s="1"/>
      <c r="F4960" s="1" t="str">
        <f>IFERROR(__xludf.DUMMYFUNCTION("GOOGLETRANSLATE(B4960, ""en"", ""fa"")
"),"مشاوره دوستیابی")</f>
        <v>مشاوره دوستیابی</v>
      </c>
      <c r="G4960" s="1" t="str">
        <f>IFERROR(__xludf.DUMMYFUNCTION("GOOGLETRANSLATE(C4960, ""en"", ""fa"")
"),"چند استراتژی برای برخورد با پلتفرم های دوستیابی آنلاین که کمیت را بر کیفیت ترجیح می دهند چیست؟")</f>
        <v>چند استراتژی برای برخورد با پلتفرم های دوستیابی آنلاین که کمیت را بر کیفیت ترجیح می دهند چیست؟</v>
      </c>
      <c r="H4960" s="1"/>
      <c r="I4960" s="1"/>
      <c r="J4960" s="1"/>
      <c r="K4960" s="1"/>
      <c r="L4960" s="1"/>
      <c r="M4960" s="1"/>
      <c r="N4960" s="1"/>
      <c r="O4960" s="1"/>
      <c r="P4960" s="1"/>
      <c r="Q4960" s="1"/>
      <c r="R4960" s="1"/>
      <c r="S4960" s="1"/>
      <c r="T4960" s="1"/>
      <c r="U4960" s="1"/>
      <c r="V4960" s="1"/>
      <c r="W4960" s="1"/>
      <c r="X4960" s="1"/>
      <c r="Y4960" s="1"/>
      <c r="Z4960" s="1"/>
      <c r="AA4960" s="1"/>
      <c r="AB4960" s="1"/>
    </row>
    <row r="4961" ht="50.25" customHeight="1">
      <c r="A4961" s="12">
        <v>4957.0</v>
      </c>
      <c r="B4961" s="13" t="s">
        <v>4379</v>
      </c>
      <c r="C4961" s="14" t="s">
        <v>4980</v>
      </c>
      <c r="D4961" s="1"/>
      <c r="E4961" s="1"/>
      <c r="F4961" s="1" t="str">
        <f>IFERROR(__xludf.DUMMYFUNCTION("GOOGLETRANSLATE(B4961, ""en"", ""fa"")
"),"مشاوره دوستیابی")</f>
        <v>مشاوره دوستیابی</v>
      </c>
      <c r="G4961" s="1" t="str">
        <f>IFERROR(__xludf.DUMMYFUNCTION("GOOGLETRANSLATE(C4961, ""en"", ""fa"")
"),"چگونه می توانم فشار انتظارات دوستیابی آنلاین و احساس نیاز به تحت تاثیر قرار دادن دائمی دیگران را مدیریت کنم؟")</f>
        <v>چگونه می توانم فشار انتظارات دوستیابی آنلاین و احساس نیاز به تحت تاثیر قرار دادن دائمی دیگران را مدیریت کنم؟</v>
      </c>
      <c r="H4961" s="1"/>
      <c r="I4961" s="1"/>
      <c r="J4961" s="1"/>
      <c r="K4961" s="1"/>
      <c r="L4961" s="1"/>
      <c r="M4961" s="1"/>
      <c r="N4961" s="1"/>
      <c r="O4961" s="1"/>
      <c r="P4961" s="1"/>
      <c r="Q4961" s="1"/>
      <c r="R4961" s="1"/>
      <c r="S4961" s="1"/>
      <c r="T4961" s="1"/>
      <c r="U4961" s="1"/>
      <c r="V4961" s="1"/>
      <c r="W4961" s="1"/>
      <c r="X4961" s="1"/>
      <c r="Y4961" s="1"/>
      <c r="Z4961" s="1"/>
      <c r="AA4961" s="1"/>
      <c r="AB4961" s="1"/>
    </row>
    <row r="4962" ht="50.25" customHeight="1">
      <c r="A4962" s="12">
        <v>4958.0</v>
      </c>
      <c r="B4962" s="13" t="s">
        <v>4379</v>
      </c>
      <c r="C4962" s="18" t="s">
        <v>4981</v>
      </c>
      <c r="D4962" s="1"/>
      <c r="E4962" s="1"/>
      <c r="F4962" s="1" t="str">
        <f>IFERROR(__xludf.DUMMYFUNCTION("GOOGLETRANSLATE(B4962, ""en"", ""fa"")
"),"مشاوره دوستیابی")</f>
        <v>مشاوره دوستیابی</v>
      </c>
      <c r="G4962" s="1" t="str">
        <f>IFERROR(__xludf.DUMMYFUNCTION("GOOGLETRANSLATE(C4962, ""en"", ""fa"")
"),"نکاتی برای رسیدگی به تعارضات دوستیابی آنلاین یا ارزش های ناسازگار با احترام و همدلی چیست؟")</f>
        <v>نکاتی برای رسیدگی به تعارضات دوستیابی آنلاین یا ارزش های ناسازگار با احترام و همدلی چیست؟</v>
      </c>
      <c r="H4962" s="1"/>
      <c r="I4962" s="1"/>
      <c r="J4962" s="1"/>
      <c r="K4962" s="1"/>
      <c r="L4962" s="1"/>
      <c r="M4962" s="1"/>
      <c r="N4962" s="1"/>
      <c r="O4962" s="1"/>
      <c r="P4962" s="1"/>
      <c r="Q4962" s="1"/>
      <c r="R4962" s="1"/>
      <c r="S4962" s="1"/>
      <c r="T4962" s="1"/>
      <c r="U4962" s="1"/>
      <c r="V4962" s="1"/>
      <c r="W4962" s="1"/>
      <c r="X4962" s="1"/>
      <c r="Y4962" s="1"/>
      <c r="Z4962" s="1"/>
      <c r="AA4962" s="1"/>
      <c r="AB4962" s="1"/>
    </row>
    <row r="4963" ht="50.25" customHeight="1">
      <c r="A4963" s="12">
        <v>4959.0</v>
      </c>
      <c r="B4963" s="13" t="s">
        <v>4379</v>
      </c>
      <c r="C4963" s="18" t="s">
        <v>4982</v>
      </c>
      <c r="D4963" s="1"/>
      <c r="E4963" s="1"/>
      <c r="F4963" s="1" t="str">
        <f>IFERROR(__xludf.DUMMYFUNCTION("GOOGLETRANSLATE(B4963, ""en"", ""fa"")
"),"مشاوره دوستیابی")</f>
        <v>مشاوره دوستیابی</v>
      </c>
      <c r="G4963" s="1" t="str">
        <f>IFERROR(__xludf.DUMMYFUNCTION("GOOGLETRANSLATE(C4963, ""en"", ""fa"")
"),"چگونه می توانم رد شدن را به عنوان بخشی طبیعی از روند قرار ملاقات پذیرفتم و آن را شخصی ندانم؟")</f>
        <v>چگونه می توانم رد شدن را به عنوان بخشی طبیعی از روند قرار ملاقات پذیرفتم و آن را شخصی ندانم؟</v>
      </c>
      <c r="H4963" s="1"/>
      <c r="I4963" s="1"/>
      <c r="J4963" s="1"/>
      <c r="K4963" s="1"/>
      <c r="L4963" s="1"/>
      <c r="M4963" s="1"/>
      <c r="N4963" s="1"/>
      <c r="O4963" s="1"/>
      <c r="P4963" s="1"/>
      <c r="Q4963" s="1"/>
      <c r="R4963" s="1"/>
      <c r="S4963" s="1"/>
      <c r="T4963" s="1"/>
      <c r="U4963" s="1"/>
      <c r="V4963" s="1"/>
      <c r="W4963" s="1"/>
      <c r="X4963" s="1"/>
      <c r="Y4963" s="1"/>
      <c r="Z4963" s="1"/>
      <c r="AA4963" s="1"/>
      <c r="AB4963" s="1"/>
    </row>
    <row r="4964" ht="50.25" customHeight="1">
      <c r="A4964" s="12">
        <v>4960.0</v>
      </c>
      <c r="B4964" s="13" t="s">
        <v>4379</v>
      </c>
      <c r="C4964" s="18" t="s">
        <v>4983</v>
      </c>
      <c r="D4964" s="1"/>
      <c r="E4964" s="1"/>
      <c r="F4964" s="1" t="str">
        <f>IFERROR(__xludf.DUMMYFUNCTION("GOOGLETRANSLATE(B4964, ""en"", ""fa"")
"),"مشاوره دوستیابی")</f>
        <v>مشاوره دوستیابی</v>
      </c>
      <c r="G4964" s="1" t="str">
        <f>IFERROR(__xludf.DUMMYFUNCTION("GOOGLETRANSLATE(C4964, ""en"", ""fa"")
"),"چند نکته برای یادگیری از تجربیات گذشته و استفاده از آنها برای بهبود رویکردم چیست؟")</f>
        <v>چند نکته برای یادگیری از تجربیات گذشته و استفاده از آنها برای بهبود رویکردم چیست؟</v>
      </c>
      <c r="H4964" s="1"/>
      <c r="I4964" s="1"/>
      <c r="J4964" s="1"/>
      <c r="K4964" s="1"/>
      <c r="L4964" s="1"/>
      <c r="M4964" s="1"/>
      <c r="N4964" s="1"/>
      <c r="O4964" s="1"/>
      <c r="P4964" s="1"/>
      <c r="Q4964" s="1"/>
      <c r="R4964" s="1"/>
      <c r="S4964" s="1"/>
      <c r="T4964" s="1"/>
      <c r="U4964" s="1"/>
      <c r="V4964" s="1"/>
      <c r="W4964" s="1"/>
      <c r="X4964" s="1"/>
      <c r="Y4964" s="1"/>
      <c r="Z4964" s="1"/>
      <c r="AA4964" s="1"/>
      <c r="AB4964" s="1"/>
    </row>
    <row r="4965" ht="50.25" customHeight="1">
      <c r="A4965" s="12">
        <v>4961.0</v>
      </c>
      <c r="B4965" s="13" t="s">
        <v>4379</v>
      </c>
      <c r="C4965" s="18" t="s">
        <v>4984</v>
      </c>
      <c r="D4965" s="1"/>
      <c r="E4965" s="1"/>
      <c r="F4965" s="1" t="str">
        <f>IFERROR(__xludf.DUMMYFUNCTION("GOOGLETRANSLATE(B4965, ""en"", ""fa"")
"),"مشاوره دوستیابی")</f>
        <v>مشاوره دوستیابی</v>
      </c>
      <c r="G4965" s="1" t="str">
        <f>IFERROR(__xludf.DUMMYFUNCTION("GOOGLETRANSLATE(C4965, ""en"", ""fa"")
"),"چگونه می توانم بر ترس از طرد شدن غلبه کنم و با اطمینان به مسابقات احتمالی نزدیک شوم؟")</f>
        <v>چگونه می توانم بر ترس از طرد شدن غلبه کنم و با اطمینان به مسابقات احتمالی نزدیک شوم؟</v>
      </c>
      <c r="H4965" s="1"/>
      <c r="I4965" s="1"/>
      <c r="J4965" s="1"/>
      <c r="K4965" s="1"/>
      <c r="L4965" s="1"/>
      <c r="M4965" s="1"/>
      <c r="N4965" s="1"/>
      <c r="O4965" s="1"/>
      <c r="P4965" s="1"/>
      <c r="Q4965" s="1"/>
      <c r="R4965" s="1"/>
      <c r="S4965" s="1"/>
      <c r="T4965" s="1"/>
      <c r="U4965" s="1"/>
      <c r="V4965" s="1"/>
      <c r="W4965" s="1"/>
      <c r="X4965" s="1"/>
      <c r="Y4965" s="1"/>
      <c r="Z4965" s="1"/>
      <c r="AA4965" s="1"/>
      <c r="AB4965" s="1"/>
    </row>
    <row r="4966" ht="50.25" customHeight="1">
      <c r="A4966" s="12">
        <v>4962.0</v>
      </c>
      <c r="B4966" s="13" t="s">
        <v>4379</v>
      </c>
      <c r="C4966" s="18" t="s">
        <v>4985</v>
      </c>
      <c r="D4966" s="1"/>
      <c r="E4966" s="1"/>
      <c r="F4966" s="1" t="str">
        <f>IFERROR(__xludf.DUMMYFUNCTION("GOOGLETRANSLATE(B4966, ""en"", ""fa"")
"),"مشاوره دوستیابی")</f>
        <v>مشاوره دوستیابی</v>
      </c>
      <c r="G4966" s="1" t="str">
        <f>IFERROR(__xludf.DUMMYFUNCTION("GOOGLETRANSLATE(C4966, ""en"", ""fa"")
"),"چند استراتژی برای بازتاب خود پس از رد قرار ملاقات برای به دست آوردن بینش ارزشمند چیست؟")</f>
        <v>چند استراتژی برای بازتاب خود پس از رد قرار ملاقات برای به دست آوردن بینش ارزشمند چیست؟</v>
      </c>
      <c r="H4966" s="1"/>
      <c r="I4966" s="1"/>
      <c r="J4966" s="1"/>
      <c r="K4966" s="1"/>
      <c r="L4966" s="1"/>
      <c r="M4966" s="1"/>
      <c r="N4966" s="1"/>
      <c r="O4966" s="1"/>
      <c r="P4966" s="1"/>
      <c r="Q4966" s="1"/>
      <c r="R4966" s="1"/>
      <c r="S4966" s="1"/>
      <c r="T4966" s="1"/>
      <c r="U4966" s="1"/>
      <c r="V4966" s="1"/>
      <c r="W4966" s="1"/>
      <c r="X4966" s="1"/>
      <c r="Y4966" s="1"/>
      <c r="Z4966" s="1"/>
      <c r="AA4966" s="1"/>
      <c r="AB4966" s="1"/>
    </row>
    <row r="4967" ht="50.25" customHeight="1">
      <c r="A4967" s="12">
        <v>4963.0</v>
      </c>
      <c r="B4967" s="13" t="s">
        <v>4379</v>
      </c>
      <c r="C4967" s="18" t="s">
        <v>4986</v>
      </c>
      <c r="D4967" s="1"/>
      <c r="E4967" s="1"/>
      <c r="F4967" s="1" t="str">
        <f>IFERROR(__xludf.DUMMYFUNCTION("GOOGLETRANSLATE(B4967, ""en"", ""fa"")
"),"مشاوره دوستیابی")</f>
        <v>مشاوره دوستیابی</v>
      </c>
      <c r="G4967" s="1" t="str">
        <f>IFERROR(__xludf.DUMMYFUNCTION("GOOGLETRANSLATE(C4967, ""en"", ""fa"")
"),"چگونه می توانم از طرد شدن به عنوان انگیزه ای برای تبدیل شدن به نسخه بهتری از خودم استفاده کنم؟")</f>
        <v>چگونه می توانم از طرد شدن به عنوان انگیزه ای برای تبدیل شدن به نسخه بهتری از خودم استفاده کنم؟</v>
      </c>
      <c r="H4967" s="1"/>
      <c r="I4967" s="1"/>
      <c r="J4967" s="1"/>
      <c r="K4967" s="1"/>
      <c r="L4967" s="1"/>
      <c r="M4967" s="1"/>
      <c r="N4967" s="1"/>
      <c r="O4967" s="1"/>
      <c r="P4967" s="1"/>
      <c r="Q4967" s="1"/>
      <c r="R4967" s="1"/>
      <c r="S4967" s="1"/>
      <c r="T4967" s="1"/>
      <c r="U4967" s="1"/>
      <c r="V4967" s="1"/>
      <c r="W4967" s="1"/>
      <c r="X4967" s="1"/>
      <c r="Y4967" s="1"/>
      <c r="Z4967" s="1"/>
      <c r="AA4967" s="1"/>
      <c r="AB4967" s="1"/>
    </row>
    <row r="4968" ht="50.25" customHeight="1">
      <c r="A4968" s="12">
        <v>4964.0</v>
      </c>
      <c r="B4968" s="13" t="s">
        <v>4379</v>
      </c>
      <c r="C4968" s="18" t="s">
        <v>4987</v>
      </c>
      <c r="D4968" s="1"/>
      <c r="E4968" s="1"/>
      <c r="F4968" s="1" t="str">
        <f>IFERROR(__xludf.DUMMYFUNCTION("GOOGLETRANSLATE(B4968, ""en"", ""fa"")
"),"مشاوره دوستیابی")</f>
        <v>مشاوره دوستیابی</v>
      </c>
      <c r="G4968" s="1" t="str">
        <f>IFERROR(__xludf.DUMMYFUNCTION("GOOGLETRANSLATE(C4968, ""en"", ""fa"")
"),"چه نکاتی برای حفظ عزت نفس و عزت نفس در مواجهه با طرد شدن وجود دارد؟")</f>
        <v>چه نکاتی برای حفظ عزت نفس و عزت نفس در مواجهه با طرد شدن وجود دارد؟</v>
      </c>
      <c r="H4968" s="1"/>
      <c r="I4968" s="1"/>
      <c r="J4968" s="1"/>
      <c r="K4968" s="1"/>
      <c r="L4968" s="1"/>
      <c r="M4968" s="1"/>
      <c r="N4968" s="1"/>
      <c r="O4968" s="1"/>
      <c r="P4968" s="1"/>
      <c r="Q4968" s="1"/>
      <c r="R4968" s="1"/>
      <c r="S4968" s="1"/>
      <c r="T4968" s="1"/>
      <c r="U4968" s="1"/>
      <c r="V4968" s="1"/>
      <c r="W4968" s="1"/>
      <c r="X4968" s="1"/>
      <c r="Y4968" s="1"/>
      <c r="Z4968" s="1"/>
      <c r="AA4968" s="1"/>
      <c r="AB4968" s="1"/>
    </row>
    <row r="4969" ht="50.25" customHeight="1">
      <c r="A4969" s="12">
        <v>4965.0</v>
      </c>
      <c r="B4969" s="13" t="s">
        <v>4379</v>
      </c>
      <c r="C4969" s="18" t="s">
        <v>4988</v>
      </c>
      <c r="D4969" s="1"/>
      <c r="E4969" s="1"/>
      <c r="F4969" s="1" t="str">
        <f>IFERROR(__xludf.DUMMYFUNCTION("GOOGLETRANSLATE(B4969, ""en"", ""fa"")
"),"مشاوره دوستیابی")</f>
        <v>مشاوره دوستیابی</v>
      </c>
      <c r="G4969" s="1" t="str">
        <f>IFERROR(__xludf.DUMMYFUNCTION("GOOGLETRANSLATE(C4969, ""en"", ""fa"")
"),"چگونه می توانم یک ذهنیت رشد ایجاد کنم تا طرد شدن را پله ای برای موفقیت بدانم؟")</f>
        <v>چگونه می توانم یک ذهنیت رشد ایجاد کنم تا طرد شدن را پله ای برای موفقیت بدانم؟</v>
      </c>
      <c r="H4969" s="1"/>
      <c r="I4969" s="1"/>
      <c r="J4969" s="1"/>
      <c r="K4969" s="1"/>
      <c r="L4969" s="1"/>
      <c r="M4969" s="1"/>
      <c r="N4969" s="1"/>
      <c r="O4969" s="1"/>
      <c r="P4969" s="1"/>
      <c r="Q4969" s="1"/>
      <c r="R4969" s="1"/>
      <c r="S4969" s="1"/>
      <c r="T4969" s="1"/>
      <c r="U4969" s="1"/>
      <c r="V4969" s="1"/>
      <c r="W4969" s="1"/>
      <c r="X4969" s="1"/>
      <c r="Y4969" s="1"/>
      <c r="Z4969" s="1"/>
      <c r="AA4969" s="1"/>
      <c r="AB4969" s="1"/>
    </row>
    <row r="4970" ht="50.25" customHeight="1">
      <c r="A4970" s="12">
        <v>4966.0</v>
      </c>
      <c r="B4970" s="13" t="s">
        <v>4379</v>
      </c>
      <c r="C4970" s="18" t="s">
        <v>4989</v>
      </c>
      <c r="D4970" s="1"/>
      <c r="E4970" s="1"/>
      <c r="F4970" s="1" t="str">
        <f>IFERROR(__xludf.DUMMYFUNCTION("GOOGLETRANSLATE(B4970, ""en"", ""fa"")
"),"مشاوره دوستیابی")</f>
        <v>مشاوره دوستیابی</v>
      </c>
      <c r="G4970" s="1" t="str">
        <f>IFERROR(__xludf.DUMMYFUNCTION("GOOGLETRANSLATE(C4970, ""en"", ""fa"")
"),"چند استراتژی برای مثبت و خوش بین ماندن پس از تجربه طرد شدن چیست؟")</f>
        <v>چند استراتژی برای مثبت و خوش بین ماندن پس از تجربه طرد شدن چیست؟</v>
      </c>
      <c r="H4970" s="1"/>
      <c r="I4970" s="1"/>
      <c r="J4970" s="1"/>
      <c r="K4970" s="1"/>
      <c r="L4970" s="1"/>
      <c r="M4970" s="1"/>
      <c r="N4970" s="1"/>
      <c r="O4970" s="1"/>
      <c r="P4970" s="1"/>
      <c r="Q4970" s="1"/>
      <c r="R4970" s="1"/>
      <c r="S4970" s="1"/>
      <c r="T4970" s="1"/>
      <c r="U4970" s="1"/>
      <c r="V4970" s="1"/>
      <c r="W4970" s="1"/>
      <c r="X4970" s="1"/>
      <c r="Y4970" s="1"/>
      <c r="Z4970" s="1"/>
      <c r="AA4970" s="1"/>
      <c r="AB4970" s="1"/>
    </row>
    <row r="4971" ht="50.25" customHeight="1">
      <c r="A4971" s="12">
        <v>4967.0</v>
      </c>
      <c r="B4971" s="13" t="s">
        <v>4379</v>
      </c>
      <c r="C4971" s="18" t="s">
        <v>4990</v>
      </c>
      <c r="D4971" s="1"/>
      <c r="E4971" s="1"/>
      <c r="F4971" s="1" t="str">
        <f>IFERROR(__xludf.DUMMYFUNCTION("GOOGLETRANSLATE(B4971, ""en"", ""fa"")
"),"مشاوره دوستیابی")</f>
        <v>مشاوره دوستیابی</v>
      </c>
      <c r="G4971" s="1" t="str">
        <f>IFERROR(__xludf.DUMMYFUNCTION("GOOGLETRANSLATE(C4971, ""en"", ""fa"")
"),"چگونه می توانم یاد بگیرم که ارزش خود را از نتایج تجربیات دوستیابی ام جدا کنم؟")</f>
        <v>چگونه می توانم یاد بگیرم که ارزش خود را از نتایج تجربیات دوستیابی ام جدا کنم؟</v>
      </c>
      <c r="H4971" s="1"/>
      <c r="I4971" s="1"/>
      <c r="J4971" s="1"/>
      <c r="K4971" s="1"/>
      <c r="L4971" s="1"/>
      <c r="M4971" s="1"/>
      <c r="N4971" s="1"/>
      <c r="O4971" s="1"/>
      <c r="P4971" s="1"/>
      <c r="Q4971" s="1"/>
      <c r="R4971" s="1"/>
      <c r="S4971" s="1"/>
      <c r="T4971" s="1"/>
      <c r="U4971" s="1"/>
      <c r="V4971" s="1"/>
      <c r="W4971" s="1"/>
      <c r="X4971" s="1"/>
      <c r="Y4971" s="1"/>
      <c r="Z4971" s="1"/>
      <c r="AA4971" s="1"/>
      <c r="AB4971" s="1"/>
    </row>
    <row r="4972" ht="50.25" customHeight="1">
      <c r="A4972" s="12">
        <v>4968.0</v>
      </c>
      <c r="B4972" s="13" t="s">
        <v>4379</v>
      </c>
      <c r="C4972" s="18" t="s">
        <v>4991</v>
      </c>
      <c r="D4972" s="1"/>
      <c r="E4972" s="1"/>
      <c r="F4972" s="1" t="str">
        <f>IFERROR(__xludf.DUMMYFUNCTION("GOOGLETRANSLATE(B4972, ""en"", ""fa"")
"),"مشاوره دوستیابی")</f>
        <v>مشاوره دوستیابی</v>
      </c>
      <c r="G4972" s="1" t="str">
        <f>IFERROR(__xludf.DUMMYFUNCTION("GOOGLETRANSLATE(C4972, ""en"", ""fa"")
"),"چند نکته برای جستجوی بازخورد سازنده پس از رد قرار ملاقات چیست؟")</f>
        <v>چند نکته برای جستجوی بازخورد سازنده پس از رد قرار ملاقات چیست؟</v>
      </c>
      <c r="H4972" s="1"/>
      <c r="I4972" s="1"/>
      <c r="J4972" s="1"/>
      <c r="K4972" s="1"/>
      <c r="L4972" s="1"/>
      <c r="M4972" s="1"/>
      <c r="N4972" s="1"/>
      <c r="O4972" s="1"/>
      <c r="P4972" s="1"/>
      <c r="Q4972" s="1"/>
      <c r="R4972" s="1"/>
      <c r="S4972" s="1"/>
      <c r="T4972" s="1"/>
      <c r="U4972" s="1"/>
      <c r="V4972" s="1"/>
      <c r="W4972" s="1"/>
      <c r="X4972" s="1"/>
      <c r="Y4972" s="1"/>
      <c r="Z4972" s="1"/>
      <c r="AA4972" s="1"/>
      <c r="AB4972" s="1"/>
    </row>
    <row r="4973" ht="50.25" customHeight="1">
      <c r="A4973" s="12">
        <v>4969.0</v>
      </c>
      <c r="B4973" s="13" t="s">
        <v>4379</v>
      </c>
      <c r="C4973" s="18" t="s">
        <v>4992</v>
      </c>
      <c r="D4973" s="1"/>
      <c r="E4973" s="1"/>
      <c r="F4973" s="1" t="str">
        <f>IFERROR(__xludf.DUMMYFUNCTION("GOOGLETRANSLATE(B4973, ""en"", ""fa"")
"),"مشاوره دوستیابی")</f>
        <v>مشاوره دوستیابی</v>
      </c>
      <c r="G4973" s="1" t="str">
        <f>IFERROR(__xludf.DUMMYFUNCTION("GOOGLETRANSLATE(C4973, ""en"", ""fa"")
"),"چگونه می توانم از رد شدن به عنوان فرصتی برای اصلاح ترجیحات و معیارهای دوستیابی خود استفاده کنم؟")</f>
        <v>چگونه می توانم از رد شدن به عنوان فرصتی برای اصلاح ترجیحات و معیارهای دوستیابی خود استفاده کنم؟</v>
      </c>
      <c r="H4973" s="1"/>
      <c r="I4973" s="1"/>
      <c r="J4973" s="1"/>
      <c r="K4973" s="1"/>
      <c r="L4973" s="1"/>
      <c r="M4973" s="1"/>
      <c r="N4973" s="1"/>
      <c r="O4973" s="1"/>
      <c r="P4973" s="1"/>
      <c r="Q4973" s="1"/>
      <c r="R4973" s="1"/>
      <c r="S4973" s="1"/>
      <c r="T4973" s="1"/>
      <c r="U4973" s="1"/>
      <c r="V4973" s="1"/>
      <c r="W4973" s="1"/>
      <c r="X4973" s="1"/>
      <c r="Y4973" s="1"/>
      <c r="Z4973" s="1"/>
      <c r="AA4973" s="1"/>
      <c r="AB4973" s="1"/>
    </row>
    <row r="4974" ht="50.25" customHeight="1">
      <c r="A4974" s="12">
        <v>4970.0</v>
      </c>
      <c r="B4974" s="13" t="s">
        <v>4379</v>
      </c>
      <c r="C4974" s="18" t="s">
        <v>4993</v>
      </c>
      <c r="D4974" s="1"/>
      <c r="E4974" s="1"/>
      <c r="F4974" s="1" t="str">
        <f>IFERROR(__xludf.DUMMYFUNCTION("GOOGLETRANSLATE(B4974, ""en"", ""fa"")
"),"مشاوره دوستیابی")</f>
        <v>مشاوره دوستیابی</v>
      </c>
      <c r="G4974" s="1" t="str">
        <f>IFERROR(__xludf.DUMMYFUNCTION("GOOGLETRANSLATE(C4974, ""en"", ""fa"")
"),"چند استراتژی برای کنار گذاشتن طردهای گذشته و حرکت به جلو با ذهنی باز چیست؟")</f>
        <v>چند استراتژی برای کنار گذاشتن طردهای گذشته و حرکت به جلو با ذهنی باز چیست؟</v>
      </c>
      <c r="H4974" s="1"/>
      <c r="I4974" s="1"/>
      <c r="J4974" s="1"/>
      <c r="K4974" s="1"/>
      <c r="L4974" s="1"/>
      <c r="M4974" s="1"/>
      <c r="N4974" s="1"/>
      <c r="O4974" s="1"/>
      <c r="P4974" s="1"/>
      <c r="Q4974" s="1"/>
      <c r="R4974" s="1"/>
      <c r="S4974" s="1"/>
      <c r="T4974" s="1"/>
      <c r="U4974" s="1"/>
      <c r="V4974" s="1"/>
      <c r="W4974" s="1"/>
      <c r="X4974" s="1"/>
      <c r="Y4974" s="1"/>
      <c r="Z4974" s="1"/>
      <c r="AA4974" s="1"/>
      <c r="AB4974" s="1"/>
    </row>
    <row r="4975" ht="50.25" customHeight="1">
      <c r="A4975" s="12">
        <v>4971.0</v>
      </c>
      <c r="B4975" s="13" t="s">
        <v>4379</v>
      </c>
      <c r="C4975" s="18" t="s">
        <v>4994</v>
      </c>
      <c r="D4975" s="1"/>
      <c r="E4975" s="1"/>
      <c r="F4975" s="1" t="str">
        <f>IFERROR(__xludf.DUMMYFUNCTION("GOOGLETRANSLATE(B4975, ""en"", ""fa"")
"),"مشاوره دوستیابی")</f>
        <v>مشاوره دوستیابی</v>
      </c>
      <c r="G4975" s="1" t="str">
        <f>IFERROR(__xludf.DUMMYFUNCTION("GOOGLETRANSLATE(C4975, ""en"", ""fa"")
"),"چگونه می توانم طرد شدن را به عنوان فرصتی برای کشف احتمالات جدید و ملاقات با افراد مختلف در آغوش بگیرم؟")</f>
        <v>چگونه می توانم طرد شدن را به عنوان فرصتی برای کشف احتمالات جدید و ملاقات با افراد مختلف در آغوش بگیرم؟</v>
      </c>
      <c r="H4975" s="1"/>
      <c r="I4975" s="1"/>
      <c r="J4975" s="1"/>
      <c r="K4975" s="1"/>
      <c r="L4975" s="1"/>
      <c r="M4975" s="1"/>
      <c r="N4975" s="1"/>
      <c r="O4975" s="1"/>
      <c r="P4975" s="1"/>
      <c r="Q4975" s="1"/>
      <c r="R4975" s="1"/>
      <c r="S4975" s="1"/>
      <c r="T4975" s="1"/>
      <c r="U4975" s="1"/>
      <c r="V4975" s="1"/>
      <c r="W4975" s="1"/>
      <c r="X4975" s="1"/>
      <c r="Y4975" s="1"/>
      <c r="Z4975" s="1"/>
      <c r="AA4975" s="1"/>
      <c r="AB4975" s="1"/>
    </row>
    <row r="4976" ht="50.25" customHeight="1">
      <c r="A4976" s="12">
        <v>4972.0</v>
      </c>
      <c r="B4976" s="13" t="s">
        <v>4379</v>
      </c>
      <c r="C4976" s="18" t="s">
        <v>4995</v>
      </c>
      <c r="D4976" s="1"/>
      <c r="E4976" s="1"/>
      <c r="F4976" s="1" t="str">
        <f>IFERROR(__xludf.DUMMYFUNCTION("GOOGLETRANSLATE(B4976, ""en"", ""fa"")
"),"مشاوره دوستیابی")</f>
        <v>مشاوره دوستیابی</v>
      </c>
      <c r="G4976" s="1" t="str">
        <f>IFERROR(__xludf.DUMMYFUNCTION("GOOGLETRANSLATE(C4976, ""en"", ""fa"")
"),"چند نکته برای تمرین شفقت به خود و مراقبت از خود در مواجهه با طرد شدن چیست؟")</f>
        <v>چند نکته برای تمرین شفقت به خود و مراقبت از خود در مواجهه با طرد شدن چیست؟</v>
      </c>
      <c r="H4976" s="1"/>
      <c r="I4976" s="1"/>
      <c r="J4976" s="1"/>
      <c r="K4976" s="1"/>
      <c r="L4976" s="1"/>
      <c r="M4976" s="1"/>
      <c r="N4976" s="1"/>
      <c r="O4976" s="1"/>
      <c r="P4976" s="1"/>
      <c r="Q4976" s="1"/>
      <c r="R4976" s="1"/>
      <c r="S4976" s="1"/>
      <c r="T4976" s="1"/>
      <c r="U4976" s="1"/>
      <c r="V4976" s="1"/>
      <c r="W4976" s="1"/>
      <c r="X4976" s="1"/>
      <c r="Y4976" s="1"/>
      <c r="Z4976" s="1"/>
      <c r="AA4976" s="1"/>
      <c r="AB4976" s="1"/>
    </row>
    <row r="4977" ht="50.25" customHeight="1">
      <c r="A4977" s="12">
        <v>4973.0</v>
      </c>
      <c r="B4977" s="13" t="s">
        <v>4379</v>
      </c>
      <c r="C4977" s="18" t="s">
        <v>4996</v>
      </c>
      <c r="D4977" s="1"/>
      <c r="E4977" s="1"/>
      <c r="F4977" s="1" t="str">
        <f>IFERROR(__xludf.DUMMYFUNCTION("GOOGLETRANSLATE(B4977, ""en"", ""fa"")
"),"مشاوره دوستیابی")</f>
        <v>مشاوره دوستیابی</v>
      </c>
      <c r="G4977" s="1" t="str">
        <f>IFERROR(__xludf.DUMMYFUNCTION("GOOGLETRANSLATE(C4977, ""en"", ""fa"")
"),"چگونه می توانم از طرد شدن به عنوان یک کاتالیزور برای رشد شخصی و خودسازی استفاده کنم؟")</f>
        <v>چگونه می توانم از طرد شدن به عنوان یک کاتالیزور برای رشد شخصی و خودسازی استفاده کنم؟</v>
      </c>
      <c r="H4977" s="1"/>
      <c r="I4977" s="1"/>
      <c r="J4977" s="1"/>
      <c r="K4977" s="1"/>
      <c r="L4977" s="1"/>
      <c r="M4977" s="1"/>
      <c r="N4977" s="1"/>
      <c r="O4977" s="1"/>
      <c r="P4977" s="1"/>
      <c r="Q4977" s="1"/>
      <c r="R4977" s="1"/>
      <c r="S4977" s="1"/>
      <c r="T4977" s="1"/>
      <c r="U4977" s="1"/>
      <c r="V4977" s="1"/>
      <c r="W4977" s="1"/>
      <c r="X4977" s="1"/>
      <c r="Y4977" s="1"/>
      <c r="Z4977" s="1"/>
      <c r="AA4977" s="1"/>
      <c r="AB4977" s="1"/>
    </row>
    <row r="4978" ht="50.25" customHeight="1">
      <c r="A4978" s="12">
        <v>4974.0</v>
      </c>
      <c r="B4978" s="13" t="s">
        <v>4379</v>
      </c>
      <c r="C4978" s="18" t="s">
        <v>4997</v>
      </c>
      <c r="D4978" s="1"/>
      <c r="E4978" s="1"/>
      <c r="F4978" s="1" t="str">
        <f>IFERROR(__xludf.DUMMYFUNCTION("GOOGLETRANSLATE(B4978, ""en"", ""fa"")
"),"مشاوره دوستیابی")</f>
        <v>مشاوره دوستیابی</v>
      </c>
      <c r="G4978" s="1" t="str">
        <f>IFERROR(__xludf.DUMMYFUNCTION("GOOGLETRANSLATE(C4978, ""en"", ""fa"")
"),"چند استراتژی برای ایجاد انعطاف‌پذیری و بازگشت قوی‌تر پس از رد شدن چیست؟")</f>
        <v>چند استراتژی برای ایجاد انعطاف‌پذیری و بازگشت قوی‌تر پس از رد شدن چیست؟</v>
      </c>
      <c r="H4978" s="1"/>
      <c r="I4978" s="1"/>
      <c r="J4978" s="1"/>
      <c r="K4978" s="1"/>
      <c r="L4978" s="1"/>
      <c r="M4978" s="1"/>
      <c r="N4978" s="1"/>
      <c r="O4978" s="1"/>
      <c r="P4978" s="1"/>
      <c r="Q4978" s="1"/>
      <c r="R4978" s="1"/>
      <c r="S4978" s="1"/>
      <c r="T4978" s="1"/>
      <c r="U4978" s="1"/>
      <c r="V4978" s="1"/>
      <c r="W4978" s="1"/>
      <c r="X4978" s="1"/>
      <c r="Y4978" s="1"/>
      <c r="Z4978" s="1"/>
      <c r="AA4978" s="1"/>
      <c r="AB4978" s="1"/>
    </row>
    <row r="4979" ht="50.25" customHeight="1">
      <c r="A4979" s="12">
        <v>4975.0</v>
      </c>
      <c r="B4979" s="13" t="s">
        <v>4379</v>
      </c>
      <c r="C4979" s="18" t="s">
        <v>4998</v>
      </c>
      <c r="D4979" s="1"/>
      <c r="E4979" s="1"/>
      <c r="F4979" s="1" t="str">
        <f>IFERROR(__xludf.DUMMYFUNCTION("GOOGLETRANSLATE(B4979, ""en"", ""fa"")
"),"مشاوره دوستیابی")</f>
        <v>مشاوره دوستیابی</v>
      </c>
      <c r="G4979" s="1" t="str">
        <f>IFERROR(__xludf.DUMMYFUNCTION("GOOGLETRANSLATE(C4979, ""en"", ""fa"")
"),"چگونه می توانم رد را به عنوان یک هدایت مجدد به سمت یافتن یک تطابق سازگارتر مجدداً در نظر بگیرم؟")</f>
        <v>چگونه می توانم رد را به عنوان یک هدایت مجدد به سمت یافتن یک تطابق سازگارتر مجدداً در نظر بگیرم؟</v>
      </c>
      <c r="H4979" s="1"/>
      <c r="I4979" s="1"/>
      <c r="J4979" s="1"/>
      <c r="K4979" s="1"/>
      <c r="L4979" s="1"/>
      <c r="M4979" s="1"/>
      <c r="N4979" s="1"/>
      <c r="O4979" s="1"/>
      <c r="P4979" s="1"/>
      <c r="Q4979" s="1"/>
      <c r="R4979" s="1"/>
      <c r="S4979" s="1"/>
      <c r="T4979" s="1"/>
      <c r="U4979" s="1"/>
      <c r="V4979" s="1"/>
      <c r="W4979" s="1"/>
      <c r="X4979" s="1"/>
      <c r="Y4979" s="1"/>
      <c r="Z4979" s="1"/>
      <c r="AA4979" s="1"/>
      <c r="AB4979" s="1"/>
    </row>
    <row r="4980" ht="50.25" customHeight="1">
      <c r="A4980" s="12">
        <v>4976.0</v>
      </c>
      <c r="B4980" s="13" t="s">
        <v>4379</v>
      </c>
      <c r="C4980" s="18" t="s">
        <v>4999</v>
      </c>
      <c r="D4980" s="1"/>
      <c r="E4980" s="1"/>
      <c r="F4980" s="1" t="str">
        <f>IFERROR(__xludf.DUMMYFUNCTION("GOOGLETRANSLATE(B4980, ""en"", ""fa"")
"),"مشاوره دوستیابی")</f>
        <v>مشاوره دوستیابی</v>
      </c>
      <c r="G4980" s="1" t="str">
        <f>IFERROR(__xludf.DUMMYFUNCTION("GOOGLETRANSLATE(C4980, ""en"", ""fa"")
"),"نکاتی برای شناخت و قدردانی از درس هایی که از رد شدن از قرار ملاقات گرفته شده است چیست؟")</f>
        <v>نکاتی برای شناخت و قدردانی از درس هایی که از رد شدن از قرار ملاقات گرفته شده است چیست؟</v>
      </c>
      <c r="H4980" s="1"/>
      <c r="I4980" s="1"/>
      <c r="J4980" s="1"/>
      <c r="K4980" s="1"/>
      <c r="L4980" s="1"/>
      <c r="M4980" s="1"/>
      <c r="N4980" s="1"/>
      <c r="O4980" s="1"/>
      <c r="P4980" s="1"/>
      <c r="Q4980" s="1"/>
      <c r="R4980" s="1"/>
      <c r="S4980" s="1"/>
      <c r="T4980" s="1"/>
      <c r="U4980" s="1"/>
      <c r="V4980" s="1"/>
      <c r="W4980" s="1"/>
      <c r="X4980" s="1"/>
      <c r="Y4980" s="1"/>
      <c r="Z4980" s="1"/>
      <c r="AA4980" s="1"/>
      <c r="AB4980" s="1"/>
    </row>
    <row r="4981" ht="50.25" customHeight="1">
      <c r="A4981" s="12">
        <v>4977.0</v>
      </c>
      <c r="B4981" s="13" t="s">
        <v>4379</v>
      </c>
      <c r="C4981" s="18" t="s">
        <v>5000</v>
      </c>
      <c r="D4981" s="1"/>
      <c r="E4981" s="1"/>
      <c r="F4981" s="1" t="str">
        <f>IFERROR(__xludf.DUMMYFUNCTION("GOOGLETRANSLATE(B4981, ""en"", ""fa"")
"),"مشاوره دوستیابی")</f>
        <v>مشاوره دوستیابی</v>
      </c>
      <c r="G4981" s="1" t="str">
        <f>IFERROR(__xludf.DUMMYFUNCTION("GOOGLETRANSLATE(C4981, ""en"", ""fa"")
"),"چگونه می توانم ذهنیت فراوانی را برای غلبه بر ترس از طرد شدن پرورش دهم؟")</f>
        <v>چگونه می توانم ذهنیت فراوانی را برای غلبه بر ترس از طرد شدن پرورش دهم؟</v>
      </c>
      <c r="H4981" s="1"/>
      <c r="I4981" s="1"/>
      <c r="J4981" s="1"/>
      <c r="K4981" s="1"/>
      <c r="L4981" s="1"/>
      <c r="M4981" s="1"/>
      <c r="N4981" s="1"/>
      <c r="O4981" s="1"/>
      <c r="P4981" s="1"/>
      <c r="Q4981" s="1"/>
      <c r="R4981" s="1"/>
      <c r="S4981" s="1"/>
      <c r="T4981" s="1"/>
      <c r="U4981" s="1"/>
      <c r="V4981" s="1"/>
      <c r="W4981" s="1"/>
      <c r="X4981" s="1"/>
      <c r="Y4981" s="1"/>
      <c r="Z4981" s="1"/>
      <c r="AA4981" s="1"/>
      <c r="AB4981" s="1"/>
    </row>
    <row r="4982" ht="50.25" customHeight="1">
      <c r="A4982" s="12">
        <v>4978.0</v>
      </c>
      <c r="B4982" s="13" t="s">
        <v>4379</v>
      </c>
      <c r="C4982" s="18" t="s">
        <v>5001</v>
      </c>
      <c r="D4982" s="1"/>
      <c r="E4982" s="1"/>
      <c r="F4982" s="1" t="str">
        <f>IFERROR(__xludf.DUMMYFUNCTION("GOOGLETRANSLATE(B4982, ""en"", ""fa"")
"),"مشاوره دوستیابی")</f>
        <v>مشاوره دوستیابی</v>
      </c>
      <c r="G4982" s="1" t="str">
        <f>IFERROR(__xludf.DUMMYFUNCTION("GOOGLETRANSLATE(C4982, ""en"", ""fa"")
"),"چه راهکارهایی برای حفظ انگیزه و خوش بین بودن در مواجهه با طردهای مکرر وجود دارد؟")</f>
        <v>چه راهکارهایی برای حفظ انگیزه و خوش بین بودن در مواجهه با طردهای مکرر وجود دارد؟</v>
      </c>
      <c r="H4982" s="1"/>
      <c r="I4982" s="1"/>
      <c r="J4982" s="1"/>
      <c r="K4982" s="1"/>
      <c r="L4982" s="1"/>
      <c r="M4982" s="1"/>
      <c r="N4982" s="1"/>
      <c r="O4982" s="1"/>
      <c r="P4982" s="1"/>
      <c r="Q4982" s="1"/>
      <c r="R4982" s="1"/>
      <c r="S4982" s="1"/>
      <c r="T4982" s="1"/>
      <c r="U4982" s="1"/>
      <c r="V4982" s="1"/>
      <c r="W4982" s="1"/>
      <c r="X4982" s="1"/>
      <c r="Y4982" s="1"/>
      <c r="Z4982" s="1"/>
      <c r="AA4982" s="1"/>
      <c r="AB4982" s="1"/>
    </row>
    <row r="4983" ht="50.25" customHeight="1">
      <c r="A4983" s="12">
        <v>4979.0</v>
      </c>
      <c r="B4983" s="13" t="s">
        <v>4379</v>
      </c>
      <c r="C4983" s="18" t="s">
        <v>5002</v>
      </c>
      <c r="D4983" s="1"/>
      <c r="E4983" s="1"/>
      <c r="F4983" s="1" t="str">
        <f>IFERROR(__xludf.DUMMYFUNCTION("GOOGLETRANSLATE(B4983, ""en"", ""fa"")
"),"مشاوره دوستیابی")</f>
        <v>مشاوره دوستیابی</v>
      </c>
      <c r="G4983" s="1" t="str">
        <f>IFERROR(__xludf.DUMMYFUNCTION("GOOGLETRANSLATE(C4983, ""en"", ""fa"")
"),"چگونه می‌توانم طرد شدن را به عنوان فرصتی برای کشف راه‌های دوستیابی مختلف و گسترش افق‌هایم بپذیرم؟")</f>
        <v>چگونه می‌توانم طرد شدن را به عنوان فرصتی برای کشف راه‌های دوستیابی مختلف و گسترش افق‌هایم بپذیرم؟</v>
      </c>
      <c r="H4983" s="1"/>
      <c r="I4983" s="1"/>
      <c r="J4983" s="1"/>
      <c r="K4983" s="1"/>
      <c r="L4983" s="1"/>
      <c r="M4983" s="1"/>
      <c r="N4983" s="1"/>
      <c r="O4983" s="1"/>
      <c r="P4983" s="1"/>
      <c r="Q4983" s="1"/>
      <c r="R4983" s="1"/>
      <c r="S4983" s="1"/>
      <c r="T4983" s="1"/>
      <c r="U4983" s="1"/>
      <c r="V4983" s="1"/>
      <c r="W4983" s="1"/>
      <c r="X4983" s="1"/>
      <c r="Y4983" s="1"/>
      <c r="Z4983" s="1"/>
      <c r="AA4983" s="1"/>
      <c r="AB4983" s="1"/>
    </row>
    <row r="4984" ht="50.25" customHeight="1">
      <c r="A4984" s="12">
        <v>4980.0</v>
      </c>
      <c r="B4984" s="13" t="s">
        <v>4379</v>
      </c>
      <c r="C4984" s="18" t="s">
        <v>5003</v>
      </c>
      <c r="D4984" s="1"/>
      <c r="E4984" s="1"/>
      <c r="F4984" s="1" t="str">
        <f>IFERROR(__xludf.DUMMYFUNCTION("GOOGLETRANSLATE(B4984, ""en"", ""fa"")
"),"مشاوره دوستیابی")</f>
        <v>مشاوره دوستیابی</v>
      </c>
      <c r="G4984" s="1" t="str">
        <f>IFERROR(__xludf.DUMMYFUNCTION("GOOGLETRANSLATE(C4984, ""en"", ""fa"")
"),"چه نکاتی برای احاطه کردن خودم با یک شبکه حمایتی از دوستان و عزیزان در زمان طرد شدن وجود دارد؟")</f>
        <v>چه نکاتی برای احاطه کردن خودم با یک شبکه حمایتی از دوستان و عزیزان در زمان طرد شدن وجود دارد؟</v>
      </c>
      <c r="H4984" s="1"/>
      <c r="I4984" s="1"/>
      <c r="J4984" s="1"/>
      <c r="K4984" s="1"/>
      <c r="L4984" s="1"/>
      <c r="M4984" s="1"/>
      <c r="N4984" s="1"/>
      <c r="O4984" s="1"/>
      <c r="P4984" s="1"/>
      <c r="Q4984" s="1"/>
      <c r="R4984" s="1"/>
      <c r="S4984" s="1"/>
      <c r="T4984" s="1"/>
      <c r="U4984" s="1"/>
      <c r="V4984" s="1"/>
      <c r="W4984" s="1"/>
      <c r="X4984" s="1"/>
      <c r="Y4984" s="1"/>
      <c r="Z4984" s="1"/>
      <c r="AA4984" s="1"/>
      <c r="AB4984" s="1"/>
    </row>
    <row r="4985" ht="50.25" customHeight="1">
      <c r="A4985" s="12">
        <v>4981.0</v>
      </c>
      <c r="B4985" s="13" t="s">
        <v>4379</v>
      </c>
      <c r="C4985" s="18" t="s">
        <v>5004</v>
      </c>
      <c r="D4985" s="1"/>
      <c r="E4985" s="1"/>
      <c r="F4985" s="1" t="str">
        <f>IFERROR(__xludf.DUMMYFUNCTION("GOOGLETRANSLATE(B4985, ""en"", ""fa"")
"),"مشاوره دوستیابی")</f>
        <v>مشاوره دوستیابی</v>
      </c>
      <c r="G4985" s="1" t="str">
        <f>IFERROR(__xludf.DUMMYFUNCTION("GOOGLETRANSLATE(C4985, ""en"", ""fa"")
"),"چگونه می توانم از رد شدن به عنوان فرصتی برای ارزیابی مجدد و اصلاح اهداف و اولویت های دوستیابی خود استفاده کنم؟")</f>
        <v>چگونه می توانم از رد شدن به عنوان فرصتی برای ارزیابی مجدد و اصلاح اهداف و اولویت های دوستیابی خود استفاده کنم؟</v>
      </c>
      <c r="H4985" s="1"/>
      <c r="I4985" s="1"/>
      <c r="J4985" s="1"/>
      <c r="K4985" s="1"/>
      <c r="L4985" s="1"/>
      <c r="M4985" s="1"/>
      <c r="N4985" s="1"/>
      <c r="O4985" s="1"/>
      <c r="P4985" s="1"/>
      <c r="Q4985" s="1"/>
      <c r="R4985" s="1"/>
      <c r="S4985" s="1"/>
      <c r="T4985" s="1"/>
      <c r="U4985" s="1"/>
      <c r="V4985" s="1"/>
      <c r="W4985" s="1"/>
      <c r="X4985" s="1"/>
      <c r="Y4985" s="1"/>
      <c r="Z4985" s="1"/>
      <c r="AA4985" s="1"/>
      <c r="AB4985" s="1"/>
    </row>
    <row r="4986" ht="50.25" customHeight="1">
      <c r="A4986" s="12">
        <v>4982.0</v>
      </c>
      <c r="B4986" s="13" t="s">
        <v>4379</v>
      </c>
      <c r="C4986" s="18" t="s">
        <v>5005</v>
      </c>
      <c r="D4986" s="1"/>
      <c r="E4986" s="1"/>
      <c r="F4986" s="1" t="str">
        <f>IFERROR(__xludf.DUMMYFUNCTION("GOOGLETRANSLATE(B4986, ""en"", ""fa"")
"),"مشاوره دوستیابی")</f>
        <v>مشاوره دوستیابی</v>
      </c>
      <c r="G4986" s="1" t="str">
        <f>IFERROR(__xludf.DUMMYFUNCTION("GOOGLETRANSLATE(C4986, ""en"", ""fa"")
"),"چند استراتژی برای حفظ دیدگاه مثبت و اجازه ندادن طرد شدن من را دلسرد کند چیست؟")</f>
        <v>چند استراتژی برای حفظ دیدگاه مثبت و اجازه ندادن طرد شدن من را دلسرد کند چیست؟</v>
      </c>
      <c r="H4986" s="1"/>
      <c r="I4986" s="1"/>
      <c r="J4986" s="1"/>
      <c r="K4986" s="1"/>
      <c r="L4986" s="1"/>
      <c r="M4986" s="1"/>
      <c r="N4986" s="1"/>
      <c r="O4986" s="1"/>
      <c r="P4986" s="1"/>
      <c r="Q4986" s="1"/>
      <c r="R4986" s="1"/>
      <c r="S4986" s="1"/>
      <c r="T4986" s="1"/>
      <c r="U4986" s="1"/>
      <c r="V4986" s="1"/>
      <c r="W4986" s="1"/>
      <c r="X4986" s="1"/>
      <c r="Y4986" s="1"/>
      <c r="Z4986" s="1"/>
      <c r="AA4986" s="1"/>
      <c r="AB4986" s="1"/>
    </row>
    <row r="4987" ht="50.25" customHeight="1">
      <c r="A4987" s="12">
        <v>4983.0</v>
      </c>
      <c r="B4987" s="13" t="s">
        <v>4379</v>
      </c>
      <c r="C4987" s="18" t="s">
        <v>5006</v>
      </c>
      <c r="D4987" s="1"/>
      <c r="E4987" s="1"/>
      <c r="F4987" s="1" t="str">
        <f>IFERROR(__xludf.DUMMYFUNCTION("GOOGLETRANSLATE(B4987, ""en"", ""fa"")
"),"مشاوره دوستیابی")</f>
        <v>مشاوره دوستیابی</v>
      </c>
      <c r="G4987" s="1" t="str">
        <f>IFERROR(__xludf.DUMMYFUNCTION("GOOGLETRANSLATE(C4987, ""en"", ""fa"")
"),"چگونه می توانم رد را به عنوان یک فرآیند انتخابی که من را به یافتن منطبق مناسب نزدیکتر می کند، دوباره چارچوب بندی کنم؟")</f>
        <v>چگونه می توانم رد را به عنوان یک فرآیند انتخابی که من را به یافتن منطبق مناسب نزدیکتر می کند، دوباره چارچوب بندی کنم؟</v>
      </c>
      <c r="H4987" s="1"/>
      <c r="I4987" s="1"/>
      <c r="J4987" s="1"/>
      <c r="K4987" s="1"/>
      <c r="L4987" s="1"/>
      <c r="M4987" s="1"/>
      <c r="N4987" s="1"/>
      <c r="O4987" s="1"/>
      <c r="P4987" s="1"/>
      <c r="Q4987" s="1"/>
      <c r="R4987" s="1"/>
      <c r="S4987" s="1"/>
      <c r="T4987" s="1"/>
      <c r="U4987" s="1"/>
      <c r="V4987" s="1"/>
      <c r="W4987" s="1"/>
      <c r="X4987" s="1"/>
      <c r="Y4987" s="1"/>
      <c r="Z4987" s="1"/>
      <c r="AA4987" s="1"/>
      <c r="AB4987" s="1"/>
    </row>
    <row r="4988" ht="50.25" customHeight="1">
      <c r="A4988" s="12">
        <v>4984.0</v>
      </c>
      <c r="B4988" s="13" t="s">
        <v>4379</v>
      </c>
      <c r="C4988" s="18" t="s">
        <v>5007</v>
      </c>
      <c r="D4988" s="1"/>
      <c r="E4988" s="1"/>
      <c r="F4988" s="1" t="str">
        <f>IFERROR(__xludf.DUMMYFUNCTION("GOOGLETRANSLATE(B4988, ""en"", ""fa"")
"),"مشاوره دوستیابی")</f>
        <v>مشاوره دوستیابی</v>
      </c>
      <c r="G4988" s="1" t="str">
        <f>IFERROR(__xludf.DUMMYFUNCTION("GOOGLETRANSLATE(C4988, ""en"", ""fa"")
"),"چند نکته برای تمرین شفقت به خود و پذیرش خود پس از تجربه طرد شدن چیست؟")</f>
        <v>چند نکته برای تمرین شفقت به خود و پذیرش خود پس از تجربه طرد شدن چیست؟</v>
      </c>
      <c r="H4988" s="1"/>
      <c r="I4988" s="1"/>
      <c r="J4988" s="1"/>
      <c r="K4988" s="1"/>
      <c r="L4988" s="1"/>
      <c r="M4988" s="1"/>
      <c r="N4988" s="1"/>
      <c r="O4988" s="1"/>
      <c r="P4988" s="1"/>
      <c r="Q4988" s="1"/>
      <c r="R4988" s="1"/>
      <c r="S4988" s="1"/>
      <c r="T4988" s="1"/>
      <c r="U4988" s="1"/>
      <c r="V4988" s="1"/>
      <c r="W4988" s="1"/>
      <c r="X4988" s="1"/>
      <c r="Y4988" s="1"/>
      <c r="Z4988" s="1"/>
      <c r="AA4988" s="1"/>
      <c r="AB4988" s="1"/>
    </row>
    <row r="4989" ht="50.25" customHeight="1">
      <c r="A4989" s="12">
        <v>4985.0</v>
      </c>
      <c r="B4989" s="13" t="s">
        <v>4379</v>
      </c>
      <c r="C4989" s="18" t="s">
        <v>5008</v>
      </c>
      <c r="D4989" s="1"/>
      <c r="E4989" s="1"/>
      <c r="F4989" s="1" t="str">
        <f>IFERROR(__xludf.DUMMYFUNCTION("GOOGLETRANSLATE(B4989, ""en"", ""fa"")
"),"مشاوره دوستیابی")</f>
        <v>مشاوره دوستیابی</v>
      </c>
      <c r="G4989" s="1" t="str">
        <f>IFERROR(__xludf.DUMMYFUNCTION("GOOGLETRANSLATE(C4989, ""en"", ""fa"")
"),"چگونه می توانم طرد شدن را به عنوان فرصتی برای ایجاد انعطاف پذیری و تقویت شخصیت خود بپذیرم؟")</f>
        <v>چگونه می توانم طرد شدن را به عنوان فرصتی برای ایجاد انعطاف پذیری و تقویت شخصیت خود بپذیرم؟</v>
      </c>
      <c r="H4989" s="1"/>
      <c r="I4989" s="1"/>
      <c r="J4989" s="1"/>
      <c r="K4989" s="1"/>
      <c r="L4989" s="1"/>
      <c r="M4989" s="1"/>
      <c r="N4989" s="1"/>
      <c r="O4989" s="1"/>
      <c r="P4989" s="1"/>
      <c r="Q4989" s="1"/>
      <c r="R4989" s="1"/>
      <c r="S4989" s="1"/>
      <c r="T4989" s="1"/>
      <c r="U4989" s="1"/>
      <c r="V4989" s="1"/>
      <c r="W4989" s="1"/>
      <c r="X4989" s="1"/>
      <c r="Y4989" s="1"/>
      <c r="Z4989" s="1"/>
      <c r="AA4989" s="1"/>
      <c r="AB4989" s="1"/>
    </row>
    <row r="4990" ht="50.25" customHeight="1">
      <c r="A4990" s="12">
        <v>4986.0</v>
      </c>
      <c r="B4990" s="13" t="s">
        <v>4379</v>
      </c>
      <c r="C4990" s="18" t="s">
        <v>5009</v>
      </c>
      <c r="D4990" s="1"/>
      <c r="E4990" s="1"/>
      <c r="F4990" s="1" t="str">
        <f>IFERROR(__xludf.DUMMYFUNCTION("GOOGLETRANSLATE(B4990, ""en"", ""fa"")
"),"مشاوره دوستیابی")</f>
        <v>مشاوره دوستیابی</v>
      </c>
      <c r="G4990" s="1" t="str">
        <f>IFERROR(__xludf.DUMMYFUNCTION("GOOGLETRANSLATE(C4990, ""en"", ""fa"")
"),"چند راهکار برای جلوگیری از سرزنش خود و خودگویی منفی پس از رد قرار ملاقات چیست؟")</f>
        <v>چند راهکار برای جلوگیری از سرزنش خود و خودگویی منفی پس از رد قرار ملاقات چیست؟</v>
      </c>
      <c r="H4990" s="1"/>
      <c r="I4990" s="1"/>
      <c r="J4990" s="1"/>
      <c r="K4990" s="1"/>
      <c r="L4990" s="1"/>
      <c r="M4990" s="1"/>
      <c r="N4990" s="1"/>
      <c r="O4990" s="1"/>
      <c r="P4990" s="1"/>
      <c r="Q4990" s="1"/>
      <c r="R4990" s="1"/>
      <c r="S4990" s="1"/>
      <c r="T4990" s="1"/>
      <c r="U4990" s="1"/>
      <c r="V4990" s="1"/>
      <c r="W4990" s="1"/>
      <c r="X4990" s="1"/>
      <c r="Y4990" s="1"/>
      <c r="Z4990" s="1"/>
      <c r="AA4990" s="1"/>
      <c r="AB4990" s="1"/>
    </row>
    <row r="4991" ht="50.25" customHeight="1">
      <c r="A4991" s="12">
        <v>4987.0</v>
      </c>
      <c r="B4991" s="13" t="s">
        <v>4379</v>
      </c>
      <c r="C4991" s="18" t="s">
        <v>5010</v>
      </c>
      <c r="D4991" s="1"/>
      <c r="E4991" s="1"/>
      <c r="F4991" s="1" t="str">
        <f>IFERROR(__xludf.DUMMYFUNCTION("GOOGLETRANSLATE(B4991, ""en"", ""fa"")
"),"مشاوره دوستیابی")</f>
        <v>مشاوره دوستیابی</v>
      </c>
      <c r="G4991" s="1" t="str">
        <f>IFERROR(__xludf.DUMMYFUNCTION("GOOGLETRANSLATE(C4991, ""en"", ""fa"")
"),"چگونه می توانم از طرد شدن به عنوان یک کاتالیزور برای بهبود خود و توسعه شخصی استفاده کنم؟")</f>
        <v>چگونه می توانم از طرد شدن به عنوان یک کاتالیزور برای بهبود خود و توسعه شخصی استفاده کنم؟</v>
      </c>
      <c r="H4991" s="1"/>
      <c r="I4991" s="1"/>
      <c r="J4991" s="1"/>
      <c r="K4991" s="1"/>
      <c r="L4991" s="1"/>
      <c r="M4991" s="1"/>
      <c r="N4991" s="1"/>
      <c r="O4991" s="1"/>
      <c r="P4991" s="1"/>
      <c r="Q4991" s="1"/>
      <c r="R4991" s="1"/>
      <c r="S4991" s="1"/>
      <c r="T4991" s="1"/>
      <c r="U4991" s="1"/>
      <c r="V4991" s="1"/>
      <c r="W4991" s="1"/>
      <c r="X4991" s="1"/>
      <c r="Y4991" s="1"/>
      <c r="Z4991" s="1"/>
      <c r="AA4991" s="1"/>
      <c r="AB4991" s="1"/>
    </row>
    <row r="4992" ht="50.25" customHeight="1">
      <c r="A4992" s="12">
        <v>4988.0</v>
      </c>
      <c r="B4992" s="13" t="s">
        <v>4379</v>
      </c>
      <c r="C4992" s="18" t="s">
        <v>5011</v>
      </c>
      <c r="D4992" s="1"/>
      <c r="E4992" s="1"/>
      <c r="F4992" s="1" t="str">
        <f>IFERROR(__xludf.DUMMYFUNCTION("GOOGLETRANSLATE(B4992, ""en"", ""fa"")
"),"مشاوره دوستیابی")</f>
        <v>مشاوره دوستیابی</v>
      </c>
      <c r="G4992" s="1" t="str">
        <f>IFERROR(__xludf.DUMMYFUNCTION("GOOGLETRANSLATE(C4992, ""en"", ""fa"")
"),"چه نکاتی برای جستجوی حمایت و راهنمایی از مربیان یا مربیان دوستیابی برای رد شدن وجود دارد؟")</f>
        <v>چه نکاتی برای جستجوی حمایت و راهنمایی از مربیان یا مربیان دوستیابی برای رد شدن وجود دارد؟</v>
      </c>
      <c r="H4992" s="1"/>
      <c r="I4992" s="1"/>
      <c r="J4992" s="1"/>
      <c r="K4992" s="1"/>
      <c r="L4992" s="1"/>
      <c r="M4992" s="1"/>
      <c r="N4992" s="1"/>
      <c r="O4992" s="1"/>
      <c r="P4992" s="1"/>
      <c r="Q4992" s="1"/>
      <c r="R4992" s="1"/>
      <c r="S4992" s="1"/>
      <c r="T4992" s="1"/>
      <c r="U4992" s="1"/>
      <c r="V4992" s="1"/>
      <c r="W4992" s="1"/>
      <c r="X4992" s="1"/>
      <c r="Y4992" s="1"/>
      <c r="Z4992" s="1"/>
      <c r="AA4992" s="1"/>
      <c r="AB4992" s="1"/>
    </row>
    <row r="4993" ht="50.25" customHeight="1">
      <c r="A4993" s="12">
        <v>4989.0</v>
      </c>
      <c r="B4993" s="13" t="s">
        <v>4379</v>
      </c>
      <c r="C4993" s="18" t="s">
        <v>5012</v>
      </c>
      <c r="D4993" s="1"/>
      <c r="E4993" s="1"/>
      <c r="F4993" s="1" t="str">
        <f>IFERROR(__xludf.DUMMYFUNCTION("GOOGLETRANSLATE(B4993, ""en"", ""fa"")
"),"مشاوره دوستیابی")</f>
        <v>مشاوره دوستیابی</v>
      </c>
      <c r="G4993" s="1" t="str">
        <f>IFERROR(__xludf.DUMMYFUNCTION("GOOGLETRANSLATE(C4993, ""en"", ""fa"")
"),"چگونه می توانم دیدگاهی سالم داشته باشم و اجازه ندهم که طرد شدن ارزش خود را تعیین کند؟")</f>
        <v>چگونه می توانم دیدگاهی سالم داشته باشم و اجازه ندهم که طرد شدن ارزش خود را تعیین کند؟</v>
      </c>
      <c r="H4993" s="1"/>
      <c r="I4993" s="1"/>
      <c r="J4993" s="1"/>
      <c r="K4993" s="1"/>
      <c r="L4993" s="1"/>
      <c r="M4993" s="1"/>
      <c r="N4993" s="1"/>
      <c r="O4993" s="1"/>
      <c r="P4993" s="1"/>
      <c r="Q4993" s="1"/>
      <c r="R4993" s="1"/>
      <c r="S4993" s="1"/>
      <c r="T4993" s="1"/>
      <c r="U4993" s="1"/>
      <c r="V4993" s="1"/>
      <c r="W4993" s="1"/>
      <c r="X4993" s="1"/>
      <c r="Y4993" s="1"/>
      <c r="Z4993" s="1"/>
      <c r="AA4993" s="1"/>
      <c r="AB4993" s="1"/>
    </row>
    <row r="4994" ht="50.25" customHeight="1">
      <c r="A4994" s="12">
        <v>4990.0</v>
      </c>
      <c r="B4994" s="13" t="s">
        <v>4379</v>
      </c>
      <c r="C4994" s="18" t="s">
        <v>5013</v>
      </c>
      <c r="D4994" s="1"/>
      <c r="E4994" s="1"/>
      <c r="F4994" s="1" t="str">
        <f>IFERROR(__xludf.DUMMYFUNCTION("GOOGLETRANSLATE(B4994, ""en"", ""fa"")
"),"مشاوره دوستیابی")</f>
        <v>مشاوره دوستیابی</v>
      </c>
      <c r="G4994" s="1" t="str">
        <f>IFERROR(__xludf.DUMMYFUNCTION("GOOGLETRANSLATE(C4994, ""en"", ""fa"")
"),"چند استراتژی برای بازخورد رد شدن به عنوان بازخورد رشد و خودآگاهی چیست؟")</f>
        <v>چند استراتژی برای بازخورد رد شدن به عنوان بازخورد رشد و خودآگاهی چیست؟</v>
      </c>
      <c r="H4994" s="1"/>
      <c r="I4994" s="1"/>
      <c r="J4994" s="1"/>
      <c r="K4994" s="1"/>
      <c r="L4994" s="1"/>
      <c r="M4994" s="1"/>
      <c r="N4994" s="1"/>
      <c r="O4994" s="1"/>
      <c r="P4994" s="1"/>
      <c r="Q4994" s="1"/>
      <c r="R4994" s="1"/>
      <c r="S4994" s="1"/>
      <c r="T4994" s="1"/>
      <c r="U4994" s="1"/>
      <c r="V4994" s="1"/>
      <c r="W4994" s="1"/>
      <c r="X4994" s="1"/>
      <c r="Y4994" s="1"/>
      <c r="Z4994" s="1"/>
      <c r="AA4994" s="1"/>
      <c r="AB4994" s="1"/>
    </row>
    <row r="4995" ht="50.25" customHeight="1">
      <c r="A4995" s="12">
        <v>4991.0</v>
      </c>
      <c r="B4995" s="13" t="s">
        <v>4379</v>
      </c>
      <c r="C4995" s="18" t="s">
        <v>5014</v>
      </c>
      <c r="D4995" s="1"/>
      <c r="E4995" s="1"/>
      <c r="F4995" s="1" t="str">
        <f>IFERROR(__xludf.DUMMYFUNCTION("GOOGLETRANSLATE(B4995, ""en"", ""fa"")
"),"مشاوره دوستیابی")</f>
        <v>مشاوره دوستیابی</v>
      </c>
      <c r="G4995" s="1" t="str">
        <f>IFERROR(__xludf.DUMMYFUNCTION("GOOGLETRANSLATE(C4995, ""en"", ""fa"")
"),"چگونه می توانم رد شدن را به عنوان فرصتی برای کشف رویکردها و استراتژی های مختلف دوستیابی بپذیرم؟")</f>
        <v>چگونه می توانم رد شدن را به عنوان فرصتی برای کشف رویکردها و استراتژی های مختلف دوستیابی بپذیرم؟</v>
      </c>
      <c r="H4995" s="1"/>
      <c r="I4995" s="1"/>
      <c r="J4995" s="1"/>
      <c r="K4995" s="1"/>
      <c r="L4995" s="1"/>
      <c r="M4995" s="1"/>
      <c r="N4995" s="1"/>
      <c r="O4995" s="1"/>
      <c r="P4995" s="1"/>
      <c r="Q4995" s="1"/>
      <c r="R4995" s="1"/>
      <c r="S4995" s="1"/>
      <c r="T4995" s="1"/>
      <c r="U4995" s="1"/>
      <c r="V4995" s="1"/>
      <c r="W4995" s="1"/>
      <c r="X4995" s="1"/>
      <c r="Y4995" s="1"/>
      <c r="Z4995" s="1"/>
      <c r="AA4995" s="1"/>
      <c r="AB4995" s="1"/>
    </row>
    <row r="4996" ht="50.25" customHeight="1">
      <c r="A4996" s="12">
        <v>4992.0</v>
      </c>
      <c r="B4996" s="13" t="s">
        <v>4379</v>
      </c>
      <c r="C4996" s="18" t="s">
        <v>5015</v>
      </c>
      <c r="D4996" s="1"/>
      <c r="E4996" s="1"/>
      <c r="F4996" s="1" t="str">
        <f>IFERROR(__xludf.DUMMYFUNCTION("GOOGLETRANSLATE(B4996, ""en"", ""fa"")
"),"مشاوره دوستیابی")</f>
        <v>مشاوره دوستیابی</v>
      </c>
      <c r="G4996" s="1" t="str">
        <f>IFERROR(__xludf.DUMMYFUNCTION("GOOGLETRANSLATE(C4996, ""en"", ""fa"")
"),"چند نکته برای تمرین مراقبت از خود و عشق به خود در زمان رد قرار ملاقات چیست؟")</f>
        <v>چند نکته برای تمرین مراقبت از خود و عشق به خود در زمان رد قرار ملاقات چیست؟</v>
      </c>
      <c r="H4996" s="1"/>
      <c r="I4996" s="1"/>
      <c r="J4996" s="1"/>
      <c r="K4996" s="1"/>
      <c r="L4996" s="1"/>
      <c r="M4996" s="1"/>
      <c r="N4996" s="1"/>
      <c r="O4996" s="1"/>
      <c r="P4996" s="1"/>
      <c r="Q4996" s="1"/>
      <c r="R4996" s="1"/>
      <c r="S4996" s="1"/>
      <c r="T4996" s="1"/>
      <c r="U4996" s="1"/>
      <c r="V4996" s="1"/>
      <c r="W4996" s="1"/>
      <c r="X4996" s="1"/>
      <c r="Y4996" s="1"/>
      <c r="Z4996" s="1"/>
      <c r="AA4996" s="1"/>
      <c r="AB4996" s="1"/>
    </row>
    <row r="4997" ht="50.25" customHeight="1">
      <c r="A4997" s="12">
        <v>4993.0</v>
      </c>
      <c r="B4997" s="13" t="s">
        <v>4379</v>
      </c>
      <c r="C4997" s="18" t="s">
        <v>5016</v>
      </c>
      <c r="D4997" s="1"/>
      <c r="E4997" s="1"/>
      <c r="F4997" s="1" t="str">
        <f>IFERROR(__xludf.DUMMYFUNCTION("GOOGLETRANSLATE(B4997, ""en"", ""fa"")
"),"مشاوره دوستیابی")</f>
        <v>مشاوره دوستیابی</v>
      </c>
      <c r="G4997" s="1" t="str">
        <f>IFERROR(__xludf.DUMMYFUNCTION("GOOGLETRANSLATE(C4997, ""en"", ""fa"")
"),"چگونه می توانم از طرد شدن به عنوان فرصتی برای تنظیم دقیق مهارت های ارتباطی و اجتماعی خود استفاده کنم؟")</f>
        <v>چگونه می توانم از طرد شدن به عنوان فرصتی برای تنظیم دقیق مهارت های ارتباطی و اجتماعی خود استفاده کنم؟</v>
      </c>
      <c r="H4997" s="1"/>
      <c r="I4997" s="1"/>
      <c r="J4997" s="1"/>
      <c r="K4997" s="1"/>
      <c r="L4997" s="1"/>
      <c r="M4997" s="1"/>
      <c r="N4997" s="1"/>
      <c r="O4997" s="1"/>
      <c r="P4997" s="1"/>
      <c r="Q4997" s="1"/>
      <c r="R4997" s="1"/>
      <c r="S4997" s="1"/>
      <c r="T4997" s="1"/>
      <c r="U4997" s="1"/>
      <c r="V4997" s="1"/>
      <c r="W4997" s="1"/>
      <c r="X4997" s="1"/>
      <c r="Y4997" s="1"/>
      <c r="Z4997" s="1"/>
      <c r="AA4997" s="1"/>
      <c r="AB4997" s="1"/>
    </row>
    <row r="4998" ht="50.25" customHeight="1">
      <c r="A4998" s="12">
        <v>4994.0</v>
      </c>
      <c r="B4998" s="13" t="s">
        <v>4379</v>
      </c>
      <c r="C4998" s="18" t="s">
        <v>5017</v>
      </c>
      <c r="D4998" s="1"/>
      <c r="E4998" s="1"/>
      <c r="F4998" s="1" t="str">
        <f>IFERROR(__xludf.DUMMYFUNCTION("GOOGLETRANSLATE(B4998, ""en"", ""fa"")
"),"مشاوره دوستیابی")</f>
        <v>مشاوره دوستیابی</v>
      </c>
      <c r="G4998" s="1" t="str">
        <f>IFERROR(__xludf.DUMMYFUNCTION("GOOGLETRANSLATE(C4998, ""en"", ""fa"")
"),"چند استراتژی برای تاب آور و پایدار ماندن در مواجهه با طردهای متعدد چیست؟")</f>
        <v>چند استراتژی برای تاب آور و پایدار ماندن در مواجهه با طردهای متعدد چیست؟</v>
      </c>
      <c r="H4998" s="1"/>
      <c r="I4998" s="1"/>
      <c r="J4998" s="1"/>
      <c r="K4998" s="1"/>
      <c r="L4998" s="1"/>
      <c r="M4998" s="1"/>
      <c r="N4998" s="1"/>
      <c r="O4998" s="1"/>
      <c r="P4998" s="1"/>
      <c r="Q4998" s="1"/>
      <c r="R4998" s="1"/>
      <c r="S4998" s="1"/>
      <c r="T4998" s="1"/>
      <c r="U4998" s="1"/>
      <c r="V4998" s="1"/>
      <c r="W4998" s="1"/>
      <c r="X4998" s="1"/>
      <c r="Y4998" s="1"/>
      <c r="Z4998" s="1"/>
      <c r="AA4998" s="1"/>
      <c r="AB4998" s="1"/>
    </row>
    <row r="4999" ht="50.25" customHeight="1">
      <c r="A4999" s="12">
        <v>4995.0</v>
      </c>
      <c r="B4999" s="13" t="s">
        <v>4379</v>
      </c>
      <c r="C4999" s="18" t="s">
        <v>5018</v>
      </c>
      <c r="D4999" s="1"/>
      <c r="E4999" s="1"/>
      <c r="F4999" s="1" t="str">
        <f>IFERROR(__xludf.DUMMYFUNCTION("GOOGLETRANSLATE(B4999, ""en"", ""fa"")
"),"مشاوره دوستیابی")</f>
        <v>مشاوره دوستیابی</v>
      </c>
      <c r="G4999" s="1" t="str">
        <f>IFERROR(__xludf.DUMMYFUNCTION("GOOGLETRANSLATE(C4999, ""en"", ""fa"")
"),"چگونه می توانم رد را به عنوان یک فرآیند فیلتر طبیعی که من را به سمت شخص مناسب هدایت می کند، مجدداً در نظر بگیرم؟")</f>
        <v>چگونه می توانم رد را به عنوان یک فرآیند فیلتر طبیعی که من را به سمت شخص مناسب هدایت می کند، مجدداً در نظر بگیرم؟</v>
      </c>
      <c r="H4999" s="1"/>
      <c r="I4999" s="1"/>
      <c r="J4999" s="1"/>
      <c r="K4999" s="1"/>
      <c r="L4999" s="1"/>
      <c r="M4999" s="1"/>
      <c r="N4999" s="1"/>
      <c r="O4999" s="1"/>
      <c r="P4999" s="1"/>
      <c r="Q4999" s="1"/>
      <c r="R4999" s="1"/>
      <c r="S4999" s="1"/>
      <c r="T4999" s="1"/>
      <c r="U4999" s="1"/>
      <c r="V4999" s="1"/>
      <c r="W4999" s="1"/>
      <c r="X4999" s="1"/>
      <c r="Y4999" s="1"/>
      <c r="Z4999" s="1"/>
      <c r="AA4999" s="1"/>
      <c r="AB4999" s="1"/>
    </row>
    <row r="5000" ht="50.25" customHeight="1">
      <c r="A5000" s="12">
        <v>4996.0</v>
      </c>
      <c r="B5000" s="13" t="s">
        <v>4379</v>
      </c>
      <c r="C5000" s="18" t="s">
        <v>5019</v>
      </c>
      <c r="D5000" s="1"/>
      <c r="E5000" s="1"/>
      <c r="F5000" s="1" t="str">
        <f>IFERROR(__xludf.DUMMYFUNCTION("GOOGLETRANSLATE(B5000, ""en"", ""fa"")
"),"مشاوره دوستیابی")</f>
        <v>مشاوره دوستیابی</v>
      </c>
      <c r="G5000" s="1" t="str">
        <f>IFERROR(__xludf.DUMMYFUNCTION("GOOGLETRANSLATE(C5000, ""en"", ""fa"")
"),"چه نکاتی برای تمرکز بر اهداف بلندمدت قرار ملاقات با وجود تجربه طرد شدن وجود دارد؟")</f>
        <v>چه نکاتی برای تمرکز بر اهداف بلندمدت قرار ملاقات با وجود تجربه طرد شدن وجود دارد؟</v>
      </c>
      <c r="H5000" s="1"/>
      <c r="I5000" s="1"/>
      <c r="J5000" s="1"/>
      <c r="K5000" s="1"/>
      <c r="L5000" s="1"/>
      <c r="M5000" s="1"/>
      <c r="N5000" s="1"/>
      <c r="O5000" s="1"/>
      <c r="P5000" s="1"/>
      <c r="Q5000" s="1"/>
      <c r="R5000" s="1"/>
      <c r="S5000" s="1"/>
      <c r="T5000" s="1"/>
      <c r="U5000" s="1"/>
      <c r="V5000" s="1"/>
      <c r="W5000" s="1"/>
      <c r="X5000" s="1"/>
      <c r="Y5000" s="1"/>
      <c r="Z5000" s="1"/>
      <c r="AA5000" s="1"/>
      <c r="AB5000" s="1"/>
    </row>
    <row r="5001" ht="50.25" customHeight="1">
      <c r="A5001" s="12">
        <v>4997.0</v>
      </c>
      <c r="B5001" s="13" t="s">
        <v>4379</v>
      </c>
      <c r="C5001" s="18" t="s">
        <v>5020</v>
      </c>
      <c r="D5001" s="1"/>
      <c r="E5001" s="1"/>
      <c r="F5001" s="1" t="str">
        <f>IFERROR(__xludf.DUMMYFUNCTION("GOOGLETRANSLATE(B5001, ""en"", ""fa"")
"),"مشاوره دوستیابی")</f>
        <v>مشاوره دوستیابی</v>
      </c>
      <c r="G5001" s="1" t="str">
        <f>IFERROR(__xludf.DUMMYFUNCTION("GOOGLETRANSLATE(C5001, ""en"", ""fa"")
"),"چگونه می توانم طرد شدن را به عنوان یک فرصت یادگیری بپذیرم و اجازه ندهم که من را دلسرد کند؟")</f>
        <v>چگونه می توانم طرد شدن را به عنوان یک فرصت یادگیری بپذیرم و اجازه ندهم که من را دلسرد کند؟</v>
      </c>
      <c r="H5001" s="1"/>
      <c r="I5001" s="1"/>
      <c r="J5001" s="1"/>
      <c r="K5001" s="1"/>
      <c r="L5001" s="1"/>
      <c r="M5001" s="1"/>
      <c r="N5001" s="1"/>
      <c r="O5001" s="1"/>
      <c r="P5001" s="1"/>
      <c r="Q5001" s="1"/>
      <c r="R5001" s="1"/>
      <c r="S5001" s="1"/>
      <c r="T5001" s="1"/>
      <c r="U5001" s="1"/>
      <c r="V5001" s="1"/>
      <c r="W5001" s="1"/>
      <c r="X5001" s="1"/>
      <c r="Y5001" s="1"/>
      <c r="Z5001" s="1"/>
      <c r="AA5001" s="1"/>
      <c r="AB5001" s="1"/>
    </row>
    <row r="5002" ht="50.25" customHeight="1">
      <c r="A5002" s="12">
        <v>4998.0</v>
      </c>
      <c r="B5002" s="13" t="s">
        <v>4379</v>
      </c>
      <c r="C5002" s="18" t="s">
        <v>5021</v>
      </c>
      <c r="D5002" s="1"/>
      <c r="E5002" s="1"/>
      <c r="F5002" s="1" t="str">
        <f>IFERROR(__xludf.DUMMYFUNCTION("GOOGLETRANSLATE(B5002, ""en"", ""fa"")
"),"مشاوره دوستیابی")</f>
        <v>مشاوره دوستیابی</v>
      </c>
      <c r="G5002" s="1" t="str">
        <f>IFERROR(__xludf.DUMMYFUNCTION("GOOGLETRANSLATE(C5002, ""en"", ""fa"")
"),"چند استراتژی برای حفظ ذهن باز و اجازه ندادن رد شدن های گذشته بر ارتباطات آینده چیست؟")</f>
        <v>چند استراتژی برای حفظ ذهن باز و اجازه ندادن رد شدن های گذشته بر ارتباطات آینده چیست؟</v>
      </c>
      <c r="H5002" s="1"/>
      <c r="I5002" s="1"/>
      <c r="J5002" s="1"/>
      <c r="K5002" s="1"/>
      <c r="L5002" s="1"/>
      <c r="M5002" s="1"/>
      <c r="N5002" s="1"/>
      <c r="O5002" s="1"/>
      <c r="P5002" s="1"/>
      <c r="Q5002" s="1"/>
      <c r="R5002" s="1"/>
      <c r="S5002" s="1"/>
      <c r="T5002" s="1"/>
      <c r="U5002" s="1"/>
      <c r="V5002" s="1"/>
      <c r="W5002" s="1"/>
      <c r="X5002" s="1"/>
      <c r="Y5002" s="1"/>
      <c r="Z5002" s="1"/>
      <c r="AA5002" s="1"/>
      <c r="AB5002" s="1"/>
    </row>
    <row r="5003" ht="50.25" customHeight="1">
      <c r="A5003" s="12">
        <v>4999.0</v>
      </c>
      <c r="B5003" s="13" t="s">
        <v>4379</v>
      </c>
      <c r="C5003" s="18" t="s">
        <v>5022</v>
      </c>
      <c r="D5003" s="1"/>
      <c r="E5003" s="1"/>
      <c r="F5003" s="1" t="str">
        <f>IFERROR(__xludf.DUMMYFUNCTION("GOOGLETRANSLATE(B5003, ""en"", ""fa"")
"),"مشاوره دوستیابی")</f>
        <v>مشاوره دوستیابی</v>
      </c>
      <c r="G5003" s="1" t="str">
        <f>IFERROR(__xludf.DUMMYFUNCTION("GOOGLETRANSLATE(C5003, ""en"", ""fa"")
"),"چگونه می توانم از طرد شدن به عنوان فرصتی برای ارزیابی مجدد خواسته ها و نیازهای خود در یک رابطه استفاده کنم؟")</f>
        <v>چگونه می توانم از طرد شدن به عنوان فرصتی برای ارزیابی مجدد خواسته ها و نیازهای خود در یک رابطه استفاده کنم؟</v>
      </c>
      <c r="H5003" s="1"/>
      <c r="I5003" s="1"/>
      <c r="J5003" s="1"/>
      <c r="K5003" s="1"/>
      <c r="L5003" s="1"/>
      <c r="M5003" s="1"/>
      <c r="N5003" s="1"/>
      <c r="O5003" s="1"/>
      <c r="P5003" s="1"/>
      <c r="Q5003" s="1"/>
      <c r="R5003" s="1"/>
      <c r="S5003" s="1"/>
      <c r="T5003" s="1"/>
      <c r="U5003" s="1"/>
      <c r="V5003" s="1"/>
      <c r="W5003" s="1"/>
      <c r="X5003" s="1"/>
      <c r="Y5003" s="1"/>
      <c r="Z5003" s="1"/>
      <c r="AA5003" s="1"/>
      <c r="AB5003" s="1"/>
    </row>
    <row r="5004" ht="50.25" customHeight="1">
      <c r="A5004" s="12">
        <v>5000.0</v>
      </c>
      <c r="B5004" s="13" t="s">
        <v>4379</v>
      </c>
      <c r="C5004" s="18" t="s">
        <v>5023</v>
      </c>
      <c r="D5004" s="1"/>
      <c r="E5004" s="1"/>
      <c r="F5004" s="1" t="str">
        <f>IFERROR(__xludf.DUMMYFUNCTION("GOOGLETRANSLATE(B5004, ""en"", ""fa"")
"),"مشاوره دوستیابی")</f>
        <v>مشاوره دوستیابی</v>
      </c>
      <c r="G5004" s="1" t="str">
        <f>IFERROR(__xludf.DUMMYFUNCTION("GOOGLETRANSLATE(C5004, ""en"", ""fa"")
"),"چگونه می توانم در هنگام مواجهه با طرد شدن، شفقت و مهربانی را نسبت به خود پرورش دهم؟")</f>
        <v>چگونه می توانم در هنگام مواجهه با طرد شدن، شفقت و مهربانی را نسبت به خود پرورش دهم؟</v>
      </c>
      <c r="H5004" s="1"/>
      <c r="I5004" s="1"/>
      <c r="J5004" s="1"/>
      <c r="K5004" s="1"/>
      <c r="L5004" s="1"/>
      <c r="M5004" s="1"/>
      <c r="N5004" s="1"/>
      <c r="O5004" s="1"/>
      <c r="P5004" s="1"/>
      <c r="Q5004" s="1"/>
      <c r="R5004" s="1"/>
      <c r="S5004" s="1"/>
      <c r="T5004" s="1"/>
      <c r="U5004" s="1"/>
      <c r="V5004" s="1"/>
      <c r="W5004" s="1"/>
      <c r="X5004" s="1"/>
      <c r="Y5004" s="1"/>
      <c r="Z5004" s="1"/>
      <c r="AA5004" s="1"/>
      <c r="AB5004" s="1"/>
    </row>
    <row r="5005" ht="50.25" customHeight="1">
      <c r="A5005" s="12">
        <v>5001.0</v>
      </c>
      <c r="B5005" s="13" t="s">
        <v>4379</v>
      </c>
      <c r="C5005" s="18" t="s">
        <v>5024</v>
      </c>
      <c r="D5005" s="1"/>
      <c r="E5005" s="1"/>
      <c r="F5005" s="1" t="str">
        <f>IFERROR(__xludf.DUMMYFUNCTION("GOOGLETRANSLATE(B5005, ""en"", ""fa"")
"),"مشاوره دوستیابی")</f>
        <v>مشاوره دوستیابی</v>
      </c>
      <c r="G5005" s="1" t="str">
        <f>IFERROR(__xludf.DUMMYFUNCTION("GOOGLETRANSLATE(C5005, ""en"", ""fa"")
"),"چند استراتژی برای ایجاد ذهنیت رشد و نپذیرفتن به عنوان پله ای برای موفقیت چیست؟")</f>
        <v>چند استراتژی برای ایجاد ذهنیت رشد و نپذیرفتن به عنوان پله ای برای موفقیت چیست؟</v>
      </c>
      <c r="H5005" s="1"/>
      <c r="I5005" s="1"/>
      <c r="J5005" s="1"/>
      <c r="K5005" s="1"/>
      <c r="L5005" s="1"/>
      <c r="M5005" s="1"/>
      <c r="N5005" s="1"/>
      <c r="O5005" s="1"/>
      <c r="P5005" s="1"/>
      <c r="Q5005" s="1"/>
      <c r="R5005" s="1"/>
      <c r="S5005" s="1"/>
      <c r="T5005" s="1"/>
      <c r="U5005" s="1"/>
      <c r="V5005" s="1"/>
      <c r="W5005" s="1"/>
      <c r="X5005" s="1"/>
      <c r="Y5005" s="1"/>
      <c r="Z5005" s="1"/>
      <c r="AA5005" s="1"/>
      <c r="AB5005" s="1"/>
    </row>
    <row r="5006" ht="50.25" customHeight="1">
      <c r="A5006" s="12">
        <v>5002.0</v>
      </c>
      <c r="B5006" s="13" t="s">
        <v>4379</v>
      </c>
      <c r="C5006" s="18" t="s">
        <v>5025</v>
      </c>
      <c r="D5006" s="1"/>
      <c r="E5006" s="1"/>
      <c r="F5006" s="1" t="str">
        <f>IFERROR(__xludf.DUMMYFUNCTION("GOOGLETRANSLATE(B5006, ""en"", ""fa"")
"),"مشاوره دوستیابی")</f>
        <v>مشاوره دوستیابی</v>
      </c>
      <c r="G5006" s="1" t="str">
        <f>IFERROR(__xludf.DUMMYFUNCTION("GOOGLETRANSLATE(C5006, ""en"", ""fa"")
"),"چگونه می توانم رد را به عنوان راهی برای اصلاح استراتژی و رویکرد دوستیابی خود در نظر بگیرم؟")</f>
        <v>چگونه می توانم رد را به عنوان راهی برای اصلاح استراتژی و رویکرد دوستیابی خود در نظر بگیرم؟</v>
      </c>
      <c r="H5006" s="1"/>
      <c r="I5006" s="1"/>
      <c r="J5006" s="1"/>
      <c r="K5006" s="1"/>
      <c r="L5006" s="1"/>
      <c r="M5006" s="1"/>
      <c r="N5006" s="1"/>
      <c r="O5006" s="1"/>
      <c r="P5006" s="1"/>
      <c r="Q5006" s="1"/>
      <c r="R5006" s="1"/>
      <c r="S5006" s="1"/>
      <c r="T5006" s="1"/>
      <c r="U5006" s="1"/>
      <c r="V5006" s="1"/>
      <c r="W5006" s="1"/>
      <c r="X5006" s="1"/>
      <c r="Y5006" s="1"/>
      <c r="Z5006" s="1"/>
      <c r="AA5006" s="1"/>
      <c r="AB5006" s="1"/>
    </row>
    <row r="5007" ht="50.25" customHeight="1">
      <c r="A5007" s="12">
        <v>5003.0</v>
      </c>
      <c r="B5007" s="13" t="s">
        <v>4379</v>
      </c>
      <c r="C5007" s="18" t="s">
        <v>5026</v>
      </c>
      <c r="D5007" s="1"/>
      <c r="E5007" s="1"/>
      <c r="F5007" s="1" t="str">
        <f>IFERROR(__xludf.DUMMYFUNCTION("GOOGLETRANSLATE(B5007, ""en"", ""fa"")
"),"مشاوره دوستیابی")</f>
        <v>مشاوره دوستیابی</v>
      </c>
      <c r="G5007" s="1" t="str">
        <f>IFERROR(__xludf.DUMMYFUNCTION("GOOGLETRANSLATE(C5007, ""en"", ""fa"")
"),"چگونه می توانم طرد شدن را به عنوان یک تجربه یادگیری با ارزش که به من کمک می کند ترجیحات خودم را بهتر درک کنم، بپذیرم؟")</f>
        <v>چگونه می توانم طرد شدن را به عنوان یک تجربه یادگیری با ارزش که به من کمک می کند ترجیحات خودم را بهتر درک کنم، بپذیرم؟</v>
      </c>
      <c r="H5007" s="1"/>
      <c r="I5007" s="1"/>
      <c r="J5007" s="1"/>
      <c r="K5007" s="1"/>
      <c r="L5007" s="1"/>
      <c r="M5007" s="1"/>
      <c r="N5007" s="1"/>
      <c r="O5007" s="1"/>
      <c r="P5007" s="1"/>
      <c r="Q5007" s="1"/>
      <c r="R5007" s="1"/>
      <c r="S5007" s="1"/>
      <c r="T5007" s="1"/>
      <c r="U5007" s="1"/>
      <c r="V5007" s="1"/>
      <c r="W5007" s="1"/>
      <c r="X5007" s="1"/>
      <c r="Y5007" s="1"/>
      <c r="Z5007" s="1"/>
      <c r="AA5007" s="1"/>
      <c r="AB5007" s="1"/>
    </row>
    <row r="5008" ht="50.25" customHeight="1">
      <c r="A5008" s="12">
        <v>5004.0</v>
      </c>
      <c r="B5008" s="13" t="s">
        <v>5027</v>
      </c>
      <c r="C5008" s="18" t="s">
        <v>5028</v>
      </c>
      <c r="D5008" s="1"/>
      <c r="E5008" s="1"/>
      <c r="F5008" s="1" t="str">
        <f>IFERROR(__xludf.DUMMYFUNCTION("GOOGLETRANSLATE(B5008, ""en"", ""fa"")
"),"املاک و مستغلات برای حرفه ای ها")</f>
        <v>املاک و مستغلات برای حرفه ای ها</v>
      </c>
      <c r="G5008" s="1" t="str">
        <f>IFERROR(__xludf.DUMMYFUNCTION("GOOGLETRANSLATE(C5008, ""en"", ""fa"")
"),"استراتژی های کلیدی برای شبکه سازی و ایجاد روابط با سایر متخصصان در صنعت املاک و مستغلات چیست؟")</f>
        <v>استراتژی های کلیدی برای شبکه سازی و ایجاد روابط با سایر متخصصان در صنعت املاک و مستغلات چیست؟</v>
      </c>
      <c r="H5008" s="1"/>
      <c r="I5008" s="1"/>
      <c r="J5008" s="1"/>
      <c r="K5008" s="1"/>
      <c r="L5008" s="1"/>
      <c r="M5008" s="1"/>
      <c r="N5008" s="1"/>
      <c r="O5008" s="1"/>
      <c r="P5008" s="1"/>
      <c r="Q5008" s="1"/>
      <c r="R5008" s="1"/>
      <c r="S5008" s="1"/>
      <c r="T5008" s="1"/>
      <c r="U5008" s="1"/>
      <c r="V5008" s="1"/>
      <c r="W5008" s="1"/>
      <c r="X5008" s="1"/>
      <c r="Y5008" s="1"/>
      <c r="Z5008" s="1"/>
      <c r="AA5008" s="1"/>
      <c r="AB5008" s="1"/>
    </row>
    <row r="5009" ht="50.25" customHeight="1">
      <c r="A5009" s="12">
        <v>5005.0</v>
      </c>
      <c r="B5009" s="13" t="s">
        <v>5027</v>
      </c>
      <c r="C5009" s="18" t="s">
        <v>5029</v>
      </c>
      <c r="D5009" s="1"/>
      <c r="E5009" s="1"/>
      <c r="F5009" s="1" t="str">
        <f>IFERROR(__xludf.DUMMYFUNCTION("GOOGLETRANSLATE(B5009, ""en"", ""fa"")
"),"املاک و مستغلات برای حرفه ای ها")</f>
        <v>املاک و مستغلات برای حرفه ای ها</v>
      </c>
      <c r="G5009" s="1" t="str">
        <f>IFERROR(__xludf.DUMMYFUNCTION("GOOGLETRANSLATE(C5009, ""en"", ""fa"")
"),"چگونه متخصصان املاک و مستغلات می توانند به طور موثر از بازاریابی پستی مستقیم برای هدف قرار دادن محله ها یا جمعیت های خاص استفاده کنند؟")</f>
        <v>چگونه متخصصان املاک و مستغلات می توانند به طور موثر از بازاریابی پستی مستقیم برای هدف قرار دادن محله ها یا جمعیت های خاص استفاده کنند؟</v>
      </c>
      <c r="H5009" s="1"/>
      <c r="I5009" s="1"/>
      <c r="J5009" s="1"/>
      <c r="K5009" s="1"/>
      <c r="L5009" s="1"/>
      <c r="M5009" s="1"/>
      <c r="N5009" s="1"/>
      <c r="O5009" s="1"/>
      <c r="P5009" s="1"/>
      <c r="Q5009" s="1"/>
      <c r="R5009" s="1"/>
      <c r="S5009" s="1"/>
      <c r="T5009" s="1"/>
      <c r="U5009" s="1"/>
      <c r="V5009" s="1"/>
      <c r="W5009" s="1"/>
      <c r="X5009" s="1"/>
      <c r="Y5009" s="1"/>
      <c r="Z5009" s="1"/>
      <c r="AA5009" s="1"/>
      <c r="AB5009" s="1"/>
    </row>
    <row r="5010" ht="50.25" customHeight="1">
      <c r="A5010" s="12">
        <v>5006.0</v>
      </c>
      <c r="B5010" s="13" t="s">
        <v>5027</v>
      </c>
      <c r="C5010" s="18" t="s">
        <v>5030</v>
      </c>
      <c r="D5010" s="1"/>
      <c r="E5010" s="1"/>
      <c r="F5010" s="1" t="str">
        <f>IFERROR(__xludf.DUMMYFUNCTION("GOOGLETRANSLATE(B5010, ""en"", ""fa"")
"),"املاک و مستغلات برای حرفه ای ها")</f>
        <v>املاک و مستغلات برای حرفه ای ها</v>
      </c>
      <c r="G5010" s="1" t="str">
        <f>IFERROR(__xludf.DUMMYFUNCTION("GOOGLETRANSLATE(C5010, ""en"", ""fa"")
"),"بهترین روش ها برای میزبانی خانه های باز موفق و جذب خریداران واجد شرایط چیست؟")</f>
        <v>بهترین روش ها برای میزبانی خانه های باز موفق و جذب خریداران واجد شرایط چیست؟</v>
      </c>
      <c r="H5010" s="1"/>
      <c r="I5010" s="1"/>
      <c r="J5010" s="1"/>
      <c r="K5010" s="1"/>
      <c r="L5010" s="1"/>
      <c r="M5010" s="1"/>
      <c r="N5010" s="1"/>
      <c r="O5010" s="1"/>
      <c r="P5010" s="1"/>
      <c r="Q5010" s="1"/>
      <c r="R5010" s="1"/>
      <c r="S5010" s="1"/>
      <c r="T5010" s="1"/>
      <c r="U5010" s="1"/>
      <c r="V5010" s="1"/>
      <c r="W5010" s="1"/>
      <c r="X5010" s="1"/>
      <c r="Y5010" s="1"/>
      <c r="Z5010" s="1"/>
      <c r="AA5010" s="1"/>
      <c r="AB5010" s="1"/>
    </row>
    <row r="5011" ht="50.25" customHeight="1">
      <c r="A5011" s="12">
        <v>5007.0</v>
      </c>
      <c r="B5011" s="13" t="s">
        <v>5027</v>
      </c>
      <c r="C5011" s="18" t="s">
        <v>5031</v>
      </c>
      <c r="D5011" s="1"/>
      <c r="E5011" s="1"/>
      <c r="F5011" s="1" t="str">
        <f>IFERROR(__xludf.DUMMYFUNCTION("GOOGLETRANSLATE(B5011, ""en"", ""fa"")
"),"املاک و مستغلات برای حرفه ای ها")</f>
        <v>املاک و مستغلات برای حرفه ای ها</v>
      </c>
      <c r="G5011" s="1" t="str">
        <f>IFERROR(__xludf.DUMMYFUNCTION("GOOGLETRANSLATE(C5011, ""en"", ""fa"")
"),"چگونه متخصصان املاک و مستغلات می توانند از اینفلوئنسر مارکتینگ برای گسترش دامنه خود و تعامل با مخاطبان بیشتر استفاده کنند؟")</f>
        <v>چگونه متخصصان املاک و مستغلات می توانند از اینفلوئنسر مارکتینگ برای گسترش دامنه خود و تعامل با مخاطبان بیشتر استفاده کنند؟</v>
      </c>
      <c r="H5011" s="1"/>
      <c r="I5011" s="1"/>
      <c r="J5011" s="1"/>
      <c r="K5011" s="1"/>
      <c r="L5011" s="1"/>
      <c r="M5011" s="1"/>
      <c r="N5011" s="1"/>
      <c r="O5011" s="1"/>
      <c r="P5011" s="1"/>
      <c r="Q5011" s="1"/>
      <c r="R5011" s="1"/>
      <c r="S5011" s="1"/>
      <c r="T5011" s="1"/>
      <c r="U5011" s="1"/>
      <c r="V5011" s="1"/>
      <c r="W5011" s="1"/>
      <c r="X5011" s="1"/>
      <c r="Y5011" s="1"/>
      <c r="Z5011" s="1"/>
      <c r="AA5011" s="1"/>
      <c r="AB5011" s="1"/>
    </row>
    <row r="5012" ht="50.25" customHeight="1">
      <c r="A5012" s="12">
        <v>5008.0</v>
      </c>
      <c r="B5012" s="13" t="s">
        <v>5027</v>
      </c>
      <c r="C5012" s="18" t="s">
        <v>5032</v>
      </c>
      <c r="D5012" s="1"/>
      <c r="E5012" s="1"/>
      <c r="F5012" s="1" t="str">
        <f>IFERROR(__xludf.DUMMYFUNCTION("GOOGLETRANSLATE(B5012, ""en"", ""fa"")
"),"املاک و مستغلات برای حرفه ای ها")</f>
        <v>املاک و مستغلات برای حرفه ای ها</v>
      </c>
      <c r="G5012" s="1" t="str">
        <f>IFERROR(__xludf.DUMMYFUNCTION("GOOGLETRANSLATE(C5012, ""en"", ""fa"")
"),"مراحل ضروری برای ایجاد یک بودجه بازاریابی جامع برای متخصصان املاک چیست؟")</f>
        <v>مراحل ضروری برای ایجاد یک بودجه بازاریابی جامع برای متخصصان املاک چیست؟</v>
      </c>
      <c r="H5012" s="1"/>
      <c r="I5012" s="1"/>
      <c r="J5012" s="1"/>
      <c r="K5012" s="1"/>
      <c r="L5012" s="1"/>
      <c r="M5012" s="1"/>
      <c r="N5012" s="1"/>
      <c r="O5012" s="1"/>
      <c r="P5012" s="1"/>
      <c r="Q5012" s="1"/>
      <c r="R5012" s="1"/>
      <c r="S5012" s="1"/>
      <c r="T5012" s="1"/>
      <c r="U5012" s="1"/>
      <c r="V5012" s="1"/>
      <c r="W5012" s="1"/>
      <c r="X5012" s="1"/>
      <c r="Y5012" s="1"/>
      <c r="Z5012" s="1"/>
      <c r="AA5012" s="1"/>
      <c r="AB5012" s="1"/>
    </row>
    <row r="5013" ht="50.25" customHeight="1">
      <c r="A5013" s="12">
        <v>5009.0</v>
      </c>
      <c r="B5013" s="13" t="s">
        <v>5027</v>
      </c>
      <c r="C5013" s="18" t="s">
        <v>5033</v>
      </c>
      <c r="D5013" s="1"/>
      <c r="E5013" s="1"/>
      <c r="F5013" s="1" t="str">
        <f>IFERROR(__xludf.DUMMYFUNCTION("GOOGLETRANSLATE(B5013, ""en"", ""fa"")
"),"املاک و مستغلات برای حرفه ای ها")</f>
        <v>املاک و مستغلات برای حرفه ای ها</v>
      </c>
      <c r="G5013" s="1" t="str">
        <f>IFERROR(__xludf.DUMMYFUNCTION("GOOGLETRANSLATE(C5013, ""en"", ""fa"")
"),"چگونه متخصصان املاک و مستغلات می توانند از تجزیه و تحلیل داده ها و ابزارهای ردیابی برای اندازه گیری اثربخشی کمپین های بازاریابی خود استفاده کنند؟")</f>
        <v>چگونه متخصصان املاک و مستغلات می توانند از تجزیه و تحلیل داده ها و ابزارهای ردیابی برای اندازه گیری اثربخشی کمپین های بازاریابی خود استفاده کنند؟</v>
      </c>
      <c r="H5013" s="1"/>
      <c r="I5013" s="1"/>
      <c r="J5013" s="1"/>
      <c r="K5013" s="1"/>
      <c r="L5013" s="1"/>
      <c r="M5013" s="1"/>
      <c r="N5013" s="1"/>
      <c r="O5013" s="1"/>
      <c r="P5013" s="1"/>
      <c r="Q5013" s="1"/>
      <c r="R5013" s="1"/>
      <c r="S5013" s="1"/>
      <c r="T5013" s="1"/>
      <c r="U5013" s="1"/>
      <c r="V5013" s="1"/>
      <c r="W5013" s="1"/>
      <c r="X5013" s="1"/>
      <c r="Y5013" s="1"/>
      <c r="Z5013" s="1"/>
      <c r="AA5013" s="1"/>
      <c r="AB5013" s="1"/>
    </row>
    <row r="5014" ht="50.25" customHeight="1">
      <c r="A5014" s="12">
        <v>5010.0</v>
      </c>
      <c r="B5014" s="13" t="s">
        <v>5027</v>
      </c>
      <c r="C5014" s="18" t="s">
        <v>5034</v>
      </c>
      <c r="D5014" s="1"/>
      <c r="E5014" s="1"/>
      <c r="F5014" s="1" t="str">
        <f>IFERROR(__xludf.DUMMYFUNCTION("GOOGLETRANSLATE(B5014, ""en"", ""fa"")
"),"املاک و مستغلات برای حرفه ای ها")</f>
        <v>املاک و مستغلات برای حرفه ای ها</v>
      </c>
      <c r="G5014" s="1" t="str">
        <f>IFERROR(__xludf.DUMMYFUNCTION("GOOGLETRANSLATE(C5014, ""en"", ""fa"")
"),"چه فاکتورهای مهمی را باید در هنگام توسعه استراتژی موقعیت یابی برند برای یک تجارت املاک در نظر گرفت؟")</f>
        <v>چه فاکتورهای مهمی را باید در هنگام توسعه استراتژی موقعیت یابی برند برای یک تجارت املاک در نظر گرفت؟</v>
      </c>
      <c r="H5014" s="1"/>
      <c r="I5014" s="1"/>
      <c r="J5014" s="1"/>
      <c r="K5014" s="1"/>
      <c r="L5014" s="1"/>
      <c r="M5014" s="1"/>
      <c r="N5014" s="1"/>
      <c r="O5014" s="1"/>
      <c r="P5014" s="1"/>
      <c r="Q5014" s="1"/>
      <c r="R5014" s="1"/>
      <c r="S5014" s="1"/>
      <c r="T5014" s="1"/>
      <c r="U5014" s="1"/>
      <c r="V5014" s="1"/>
      <c r="W5014" s="1"/>
      <c r="X5014" s="1"/>
      <c r="Y5014" s="1"/>
      <c r="Z5014" s="1"/>
      <c r="AA5014" s="1"/>
      <c r="AB5014" s="1"/>
    </row>
    <row r="5015" ht="50.25" customHeight="1">
      <c r="A5015" s="12">
        <v>5011.0</v>
      </c>
      <c r="B5015" s="13" t="s">
        <v>5027</v>
      </c>
      <c r="C5015" s="18" t="s">
        <v>5035</v>
      </c>
      <c r="D5015" s="1"/>
      <c r="E5015" s="1"/>
      <c r="F5015" s="1" t="str">
        <f>IFERROR(__xludf.DUMMYFUNCTION("GOOGLETRANSLATE(B5015, ""en"", ""fa"")
"),"املاک و مستغلات برای حرفه ای ها")</f>
        <v>املاک و مستغلات برای حرفه ای ها</v>
      </c>
      <c r="G5015" s="1" t="str">
        <f>IFERROR(__xludf.DUMMYFUNCTION("GOOGLETRANSLATE(C5015, ""en"", ""fa"")
"),"چگونه متخصصان املاک و مستغلات می توانند از تاکتیک های بازاریابی محلی برای ایجاد حضور قوی در بازار هدف خود استفاده کنند؟")</f>
        <v>چگونه متخصصان املاک و مستغلات می توانند از تاکتیک های بازاریابی محلی برای ایجاد حضور قوی در بازار هدف خود استفاده کنند؟</v>
      </c>
      <c r="H5015" s="1"/>
      <c r="I5015" s="1"/>
      <c r="J5015" s="1"/>
      <c r="K5015" s="1"/>
      <c r="L5015" s="1"/>
      <c r="M5015" s="1"/>
      <c r="N5015" s="1"/>
      <c r="O5015" s="1"/>
      <c r="P5015" s="1"/>
      <c r="Q5015" s="1"/>
      <c r="R5015" s="1"/>
      <c r="S5015" s="1"/>
      <c r="T5015" s="1"/>
      <c r="U5015" s="1"/>
      <c r="V5015" s="1"/>
      <c r="W5015" s="1"/>
      <c r="X5015" s="1"/>
      <c r="Y5015" s="1"/>
      <c r="Z5015" s="1"/>
      <c r="AA5015" s="1"/>
      <c r="AB5015" s="1"/>
    </row>
    <row r="5016" ht="50.25" customHeight="1">
      <c r="A5016" s="12">
        <v>5012.0</v>
      </c>
      <c r="B5016" s="13" t="s">
        <v>5027</v>
      </c>
      <c r="C5016" s="18" t="s">
        <v>5036</v>
      </c>
      <c r="D5016" s="1"/>
      <c r="E5016" s="1"/>
      <c r="F5016" s="1" t="str">
        <f>IFERROR(__xludf.DUMMYFUNCTION("GOOGLETRANSLATE(B5016, ""en"", ""fa"")
"),"املاک و مستغلات برای حرفه ای ها")</f>
        <v>املاک و مستغلات برای حرفه ای ها</v>
      </c>
      <c r="G5016" s="1" t="str">
        <f>IFERROR(__xludf.DUMMYFUNCTION("GOOGLETRANSLATE(C5016, ""en"", ""fa"")
"),"استراتژی های کلیدی برای استفاده از نرم افزار مدیریت ارتباط با مشتری (CRM) برای ساده سازی تلاش های بازاریابی و بهبود ارتباطات مشتری چیست؟")</f>
        <v>استراتژی های کلیدی برای استفاده از نرم افزار مدیریت ارتباط با مشتری (CRM) برای ساده سازی تلاش های بازاریابی و بهبود ارتباطات مشتری چیست؟</v>
      </c>
      <c r="H5016" s="1"/>
      <c r="I5016" s="1"/>
      <c r="J5016" s="1"/>
      <c r="K5016" s="1"/>
      <c r="L5016" s="1"/>
      <c r="M5016" s="1"/>
      <c r="N5016" s="1"/>
      <c r="O5016" s="1"/>
      <c r="P5016" s="1"/>
      <c r="Q5016" s="1"/>
      <c r="R5016" s="1"/>
      <c r="S5016" s="1"/>
      <c r="T5016" s="1"/>
      <c r="U5016" s="1"/>
      <c r="V5016" s="1"/>
      <c r="W5016" s="1"/>
      <c r="X5016" s="1"/>
      <c r="Y5016" s="1"/>
      <c r="Z5016" s="1"/>
      <c r="AA5016" s="1"/>
      <c r="AB5016" s="1"/>
    </row>
    <row r="5017" ht="50.25" customHeight="1">
      <c r="A5017" s="12">
        <v>5013.0</v>
      </c>
      <c r="B5017" s="13" t="s">
        <v>5027</v>
      </c>
      <c r="C5017" s="18" t="s">
        <v>5037</v>
      </c>
      <c r="D5017" s="1"/>
      <c r="E5017" s="1"/>
      <c r="F5017" s="1" t="str">
        <f>IFERROR(__xludf.DUMMYFUNCTION("GOOGLETRANSLATE(B5017, ""en"", ""fa"")
"),"املاک و مستغلات برای حرفه ای ها")</f>
        <v>املاک و مستغلات برای حرفه ای ها</v>
      </c>
      <c r="G5017" s="1" t="str">
        <f>IFERROR(__xludf.DUMMYFUNCTION("GOOGLETRANSLATE(C5017, ""en"", ""fa"")
"),"چگونه متخصصان املاک و مستغلات می توانند به طور موثر از پورتال های لیست آنلاین و وب سایت های جستجوی ملک برای به حداکثر رساندن قرار گرفتن در معرض لیست خود استفاده کنند؟")</f>
        <v>چگونه متخصصان املاک و مستغلات می توانند به طور موثر از پورتال های لیست آنلاین و وب سایت های جستجوی ملک برای به حداکثر رساندن قرار گرفتن در معرض لیست خود استفاده کنند؟</v>
      </c>
      <c r="H5017" s="1"/>
      <c r="I5017" s="1"/>
      <c r="J5017" s="1"/>
      <c r="K5017" s="1"/>
      <c r="L5017" s="1"/>
      <c r="M5017" s="1"/>
      <c r="N5017" s="1"/>
      <c r="O5017" s="1"/>
      <c r="P5017" s="1"/>
      <c r="Q5017" s="1"/>
      <c r="R5017" s="1"/>
      <c r="S5017" s="1"/>
      <c r="T5017" s="1"/>
      <c r="U5017" s="1"/>
      <c r="V5017" s="1"/>
      <c r="W5017" s="1"/>
      <c r="X5017" s="1"/>
      <c r="Y5017" s="1"/>
      <c r="Z5017" s="1"/>
      <c r="AA5017" s="1"/>
      <c r="AB5017" s="1"/>
    </row>
    <row r="5018" ht="50.25" customHeight="1">
      <c r="A5018" s="12">
        <v>5014.0</v>
      </c>
      <c r="B5018" s="13" t="s">
        <v>5027</v>
      </c>
      <c r="C5018" s="18" t="s">
        <v>5038</v>
      </c>
      <c r="D5018" s="1"/>
      <c r="E5018" s="1"/>
      <c r="F5018" s="1" t="str">
        <f>IFERROR(__xludf.DUMMYFUNCTION("GOOGLETRANSLATE(B5018, ""en"", ""fa"")
"),"املاک و مستغلات برای حرفه ای ها")</f>
        <v>املاک و مستغلات برای حرفه ای ها</v>
      </c>
      <c r="G5018" s="1" t="str">
        <f>IFERROR(__xludf.DUMMYFUNCTION("GOOGLETRANSLATE(C5018, ""en"", ""fa"")
"),"بهترین شیوه ها برای ایجاد محتوای جذاب و آموزنده وبلاگ املاک و مستغلات برای جذب و آموزش مشتریان بالقوه چیست؟")</f>
        <v>بهترین شیوه ها برای ایجاد محتوای جذاب و آموزنده وبلاگ املاک و مستغلات برای جذب و آموزش مشتریان بالقوه چیست؟</v>
      </c>
      <c r="H5018" s="1"/>
      <c r="I5018" s="1"/>
      <c r="J5018" s="1"/>
      <c r="K5018" s="1"/>
      <c r="L5018" s="1"/>
      <c r="M5018" s="1"/>
      <c r="N5018" s="1"/>
      <c r="O5018" s="1"/>
      <c r="P5018" s="1"/>
      <c r="Q5018" s="1"/>
      <c r="R5018" s="1"/>
      <c r="S5018" s="1"/>
      <c r="T5018" s="1"/>
      <c r="U5018" s="1"/>
      <c r="V5018" s="1"/>
      <c r="W5018" s="1"/>
      <c r="X5018" s="1"/>
      <c r="Y5018" s="1"/>
      <c r="Z5018" s="1"/>
      <c r="AA5018" s="1"/>
      <c r="AB5018" s="1"/>
    </row>
    <row r="5019" ht="50.25" customHeight="1">
      <c r="A5019" s="12">
        <v>5015.0</v>
      </c>
      <c r="B5019" s="13" t="s">
        <v>5027</v>
      </c>
      <c r="C5019" s="18" t="s">
        <v>5039</v>
      </c>
      <c r="D5019" s="1"/>
      <c r="E5019" s="1"/>
      <c r="F5019" s="1" t="str">
        <f>IFERROR(__xludf.DUMMYFUNCTION("GOOGLETRANSLATE(B5019, ""en"", ""fa"")
"),"املاک و مستغلات برای حرفه ای ها")</f>
        <v>املاک و مستغلات برای حرفه ای ها</v>
      </c>
      <c r="G5019" s="1" t="str">
        <f>IFERROR(__xludf.DUMMYFUNCTION("GOOGLETRANSLATE(C5019, ""en"", ""fa"")
"),"چگونه متخصصان املاک و مستغلات می توانند از تکنیک های داستان سرایی در مواد بازاریابی خود برای ایجاد ارتباط عاطفی با خریداران استفاده کنند؟")</f>
        <v>چگونه متخصصان املاک و مستغلات می توانند از تکنیک های داستان سرایی در مواد بازاریابی خود برای ایجاد ارتباط عاطفی با خریداران استفاده کنند؟</v>
      </c>
      <c r="H5019" s="1"/>
      <c r="I5019" s="1"/>
      <c r="J5019" s="1"/>
      <c r="K5019" s="1"/>
      <c r="L5019" s="1"/>
      <c r="M5019" s="1"/>
      <c r="N5019" s="1"/>
      <c r="O5019" s="1"/>
      <c r="P5019" s="1"/>
      <c r="Q5019" s="1"/>
      <c r="R5019" s="1"/>
      <c r="S5019" s="1"/>
      <c r="T5019" s="1"/>
      <c r="U5019" s="1"/>
      <c r="V5019" s="1"/>
      <c r="W5019" s="1"/>
      <c r="X5019" s="1"/>
      <c r="Y5019" s="1"/>
      <c r="Z5019" s="1"/>
      <c r="AA5019" s="1"/>
      <c r="AB5019" s="1"/>
    </row>
    <row r="5020" ht="50.25" customHeight="1">
      <c r="A5020" s="12">
        <v>5016.0</v>
      </c>
      <c r="B5020" s="13" t="s">
        <v>5027</v>
      </c>
      <c r="C5020" s="18" t="s">
        <v>5040</v>
      </c>
      <c r="D5020" s="1"/>
      <c r="E5020" s="1"/>
      <c r="F5020" s="1" t="str">
        <f>IFERROR(__xludf.DUMMYFUNCTION("GOOGLETRANSLATE(B5020, ""en"", ""fa"")
"),"املاک و مستغلات برای حرفه ای ها")</f>
        <v>املاک و مستغلات برای حرفه ای ها</v>
      </c>
      <c r="G5020" s="1" t="str">
        <f>IFERROR(__xludf.DUMMYFUNCTION("GOOGLETRANSLATE(C5020, ""en"", ""fa"")
"),"مراحل ضروری برای ایجاد یک آهنربای سرنخ قانع کننده یا منبع رایگان برای جذب سرنخ ها و ایجاد یک لیست ایمیل چیست؟")</f>
        <v>مراحل ضروری برای ایجاد یک آهنربای سرنخ قانع کننده یا منبع رایگان برای جذب سرنخ ها و ایجاد یک لیست ایمیل چیست؟</v>
      </c>
      <c r="H5020" s="1"/>
      <c r="I5020" s="1"/>
      <c r="J5020" s="1"/>
      <c r="K5020" s="1"/>
      <c r="L5020" s="1"/>
      <c r="M5020" s="1"/>
      <c r="N5020" s="1"/>
      <c r="O5020" s="1"/>
      <c r="P5020" s="1"/>
      <c r="Q5020" s="1"/>
      <c r="R5020" s="1"/>
      <c r="S5020" s="1"/>
      <c r="T5020" s="1"/>
      <c r="U5020" s="1"/>
      <c r="V5020" s="1"/>
      <c r="W5020" s="1"/>
      <c r="X5020" s="1"/>
      <c r="Y5020" s="1"/>
      <c r="Z5020" s="1"/>
      <c r="AA5020" s="1"/>
      <c r="AB5020" s="1"/>
    </row>
    <row r="5021" ht="50.25" customHeight="1">
      <c r="A5021" s="12">
        <v>5017.0</v>
      </c>
      <c r="B5021" s="13" t="s">
        <v>5027</v>
      </c>
      <c r="C5021" s="18" t="s">
        <v>5041</v>
      </c>
      <c r="D5021" s="1"/>
      <c r="E5021" s="1"/>
      <c r="F5021" s="1" t="str">
        <f>IFERROR(__xludf.DUMMYFUNCTION("GOOGLETRANSLATE(B5021, ""en"", ""fa"")
"),"املاک و مستغلات برای حرفه ای ها")</f>
        <v>املاک و مستغلات برای حرفه ای ها</v>
      </c>
      <c r="G5021" s="1" t="str">
        <f>IFERROR(__xludf.DUMMYFUNCTION("GOOGLETRANSLATE(C5021, ""en"", ""fa"")
"),"چگونه متخصصان املاک و مستغلات می توانند از رویدادهای محلی و حمایت های مالی برای افزایش دیده شدن برند و ایجاد سرنخ استفاده کنند؟")</f>
        <v>چگونه متخصصان املاک و مستغلات می توانند از رویدادهای محلی و حمایت های مالی برای افزایش دیده شدن برند و ایجاد سرنخ استفاده کنند؟</v>
      </c>
      <c r="H5021" s="1"/>
      <c r="I5021" s="1"/>
      <c r="J5021" s="1"/>
      <c r="K5021" s="1"/>
      <c r="L5021" s="1"/>
      <c r="M5021" s="1"/>
      <c r="N5021" s="1"/>
      <c r="O5021" s="1"/>
      <c r="P5021" s="1"/>
      <c r="Q5021" s="1"/>
      <c r="R5021" s="1"/>
      <c r="S5021" s="1"/>
      <c r="T5021" s="1"/>
      <c r="U5021" s="1"/>
      <c r="V5021" s="1"/>
      <c r="W5021" s="1"/>
      <c r="X5021" s="1"/>
      <c r="Y5021" s="1"/>
      <c r="Z5021" s="1"/>
      <c r="AA5021" s="1"/>
      <c r="AB5021" s="1"/>
    </row>
    <row r="5022" ht="50.25" customHeight="1">
      <c r="A5022" s="12">
        <v>5018.0</v>
      </c>
      <c r="B5022" s="13" t="s">
        <v>5027</v>
      </c>
      <c r="C5022" s="18" t="s">
        <v>5042</v>
      </c>
      <c r="D5022" s="1"/>
      <c r="E5022" s="1"/>
      <c r="F5022" s="1" t="str">
        <f>IFERROR(__xludf.DUMMYFUNCTION("GOOGLETRANSLATE(B5022, ""en"", ""fa"")
"),"املاک و مستغلات برای حرفه ای ها")</f>
        <v>املاک و مستغلات برای حرفه ای ها</v>
      </c>
      <c r="G5022" s="1" t="str">
        <f>IFERROR(__xludf.DUMMYFUNCTION("GOOGLETRANSLATE(C5022, ""en"", ""fa"")
"),"استراتژی‌های کلیدی برای استفاده از پلتفرم‌های تبلیغات پولی، مانند تبلیغات گوگل یا فیس‌بوک، برای دستیابی به مخاطبان هدفمند از خریداران بالقوه چیست؟")</f>
        <v>استراتژی‌های کلیدی برای استفاده از پلتفرم‌های تبلیغات پولی، مانند تبلیغات گوگل یا فیس‌بوک، برای دستیابی به مخاطبان هدفمند از خریداران بالقوه چیست؟</v>
      </c>
      <c r="H5022" s="1"/>
      <c r="I5022" s="1"/>
      <c r="J5022" s="1"/>
      <c r="K5022" s="1"/>
      <c r="L5022" s="1"/>
      <c r="M5022" s="1"/>
      <c r="N5022" s="1"/>
      <c r="O5022" s="1"/>
      <c r="P5022" s="1"/>
      <c r="Q5022" s="1"/>
      <c r="R5022" s="1"/>
      <c r="S5022" s="1"/>
      <c r="T5022" s="1"/>
      <c r="U5022" s="1"/>
      <c r="V5022" s="1"/>
      <c r="W5022" s="1"/>
      <c r="X5022" s="1"/>
      <c r="Y5022" s="1"/>
      <c r="Z5022" s="1"/>
      <c r="AA5022" s="1"/>
      <c r="AB5022" s="1"/>
    </row>
    <row r="5023" ht="50.25" customHeight="1">
      <c r="A5023" s="12">
        <v>5019.0</v>
      </c>
      <c r="B5023" s="13" t="s">
        <v>5027</v>
      </c>
      <c r="C5023" s="18" t="s">
        <v>5043</v>
      </c>
      <c r="D5023" s="1"/>
      <c r="E5023" s="1"/>
      <c r="F5023" s="1" t="str">
        <f>IFERROR(__xludf.DUMMYFUNCTION("GOOGLETRANSLATE(B5023, ""en"", ""fa"")
"),"املاک و مستغلات برای حرفه ای ها")</f>
        <v>املاک و مستغلات برای حرفه ای ها</v>
      </c>
      <c r="G5023" s="1" t="str">
        <f>IFERROR(__xludf.DUMMYFUNCTION("GOOGLETRANSLATE(C5023, ""en"", ""fa"")
"),"چگونه متخصصان املاک و مستغلات می توانند به طور موثر از توصیفات مشتری و داستان های موفقیت برای ایجاد اثبات اجتماعی و اعتبار استفاده کنند؟")</f>
        <v>چگونه متخصصان املاک و مستغلات می توانند به طور موثر از توصیفات مشتری و داستان های موفقیت برای ایجاد اثبات اجتماعی و اعتبار استفاده کنند؟</v>
      </c>
      <c r="H5023" s="1"/>
      <c r="I5023" s="1"/>
      <c r="J5023" s="1"/>
      <c r="K5023" s="1"/>
      <c r="L5023" s="1"/>
      <c r="M5023" s="1"/>
      <c r="N5023" s="1"/>
      <c r="O5023" s="1"/>
      <c r="P5023" s="1"/>
      <c r="Q5023" s="1"/>
      <c r="R5023" s="1"/>
      <c r="S5023" s="1"/>
      <c r="T5023" s="1"/>
      <c r="U5023" s="1"/>
      <c r="V5023" s="1"/>
      <c r="W5023" s="1"/>
      <c r="X5023" s="1"/>
      <c r="Y5023" s="1"/>
      <c r="Z5023" s="1"/>
      <c r="AA5023" s="1"/>
      <c r="AB5023" s="1"/>
    </row>
    <row r="5024" ht="50.25" customHeight="1">
      <c r="A5024" s="12">
        <v>5020.0</v>
      </c>
      <c r="B5024" s="13" t="s">
        <v>5027</v>
      </c>
      <c r="C5024" s="18" t="s">
        <v>5044</v>
      </c>
      <c r="D5024" s="1"/>
      <c r="E5024" s="1"/>
      <c r="F5024" s="1" t="str">
        <f>IFERROR(__xludf.DUMMYFUNCTION("GOOGLETRANSLATE(B5024, ""en"", ""fa"")
"),"املاک و مستغلات برای حرفه ای ها")</f>
        <v>املاک و مستغلات برای حرفه ای ها</v>
      </c>
      <c r="G5024" s="1" t="str">
        <f>IFERROR(__xludf.DUMMYFUNCTION("GOOGLETRANSLATE(C5024, ""en"", ""fa"")
"),"هنگام ایجاد یک تقویم محتوا برای بازاریابی رسانه های اجتماعی در صنعت املاک و مستغلات، چه فاکتورهای حیاتی را باید در نظر گرفت؟")</f>
        <v>هنگام ایجاد یک تقویم محتوا برای بازاریابی رسانه های اجتماعی در صنعت املاک و مستغلات، چه فاکتورهای حیاتی را باید در نظر گرفت؟</v>
      </c>
      <c r="H5024" s="1"/>
      <c r="I5024" s="1"/>
      <c r="J5024" s="1"/>
      <c r="K5024" s="1"/>
      <c r="L5024" s="1"/>
      <c r="M5024" s="1"/>
      <c r="N5024" s="1"/>
      <c r="O5024" s="1"/>
      <c r="P5024" s="1"/>
      <c r="Q5024" s="1"/>
      <c r="R5024" s="1"/>
      <c r="S5024" s="1"/>
      <c r="T5024" s="1"/>
      <c r="U5024" s="1"/>
      <c r="V5024" s="1"/>
      <c r="W5024" s="1"/>
      <c r="X5024" s="1"/>
      <c r="Y5024" s="1"/>
      <c r="Z5024" s="1"/>
      <c r="AA5024" s="1"/>
      <c r="AB5024" s="1"/>
    </row>
    <row r="5025" ht="50.25" customHeight="1">
      <c r="A5025" s="12">
        <v>5021.0</v>
      </c>
      <c r="B5025" s="13" t="s">
        <v>5027</v>
      </c>
      <c r="C5025" s="18" t="s">
        <v>5045</v>
      </c>
      <c r="D5025" s="1"/>
      <c r="E5025" s="1"/>
      <c r="F5025" s="1" t="str">
        <f>IFERROR(__xludf.DUMMYFUNCTION("GOOGLETRANSLATE(B5025, ""en"", ""fa"")
"),"املاک و مستغلات برای حرفه ای ها")</f>
        <v>املاک و مستغلات برای حرفه ای ها</v>
      </c>
      <c r="G5025" s="1" t="str">
        <f>IFERROR(__xludf.DUMMYFUNCTION("GOOGLETRANSLATE(C5025, ""en"", ""fa"")
"),"چگونه متخصصان املاک و مستغلات می توانند از بازارهای آنلاین و وب سایت های طبقه بندی شده برای گسترش دامنه دسترسی خود و جذب مشتریان بالقوه استفاده کنند؟")</f>
        <v>چگونه متخصصان املاک و مستغلات می توانند از بازارهای آنلاین و وب سایت های طبقه بندی شده برای گسترش دامنه دسترسی خود و جذب مشتریان بالقوه استفاده کنند؟</v>
      </c>
      <c r="H5025" s="1"/>
      <c r="I5025" s="1"/>
      <c r="J5025" s="1"/>
      <c r="K5025" s="1"/>
      <c r="L5025" s="1"/>
      <c r="M5025" s="1"/>
      <c r="N5025" s="1"/>
      <c r="O5025" s="1"/>
      <c r="P5025" s="1"/>
      <c r="Q5025" s="1"/>
      <c r="R5025" s="1"/>
      <c r="S5025" s="1"/>
      <c r="T5025" s="1"/>
      <c r="U5025" s="1"/>
      <c r="V5025" s="1"/>
      <c r="W5025" s="1"/>
      <c r="X5025" s="1"/>
      <c r="Y5025" s="1"/>
      <c r="Z5025" s="1"/>
      <c r="AA5025" s="1"/>
      <c r="AB5025" s="1"/>
    </row>
    <row r="5026" ht="50.25" customHeight="1">
      <c r="A5026" s="12">
        <v>5022.0</v>
      </c>
      <c r="B5026" s="13" t="s">
        <v>5027</v>
      </c>
      <c r="C5026" s="18" t="s">
        <v>5046</v>
      </c>
      <c r="D5026" s="1"/>
      <c r="E5026" s="1"/>
      <c r="F5026" s="1" t="str">
        <f>IFERROR(__xludf.DUMMYFUNCTION("GOOGLETRANSLATE(B5026, ""en"", ""fa"")
"),"املاک و مستغلات برای حرفه ای ها")</f>
        <v>املاک و مستغلات برای حرفه ای ها</v>
      </c>
      <c r="G5026" s="1" t="str">
        <f>IFERROR(__xludf.DUMMYFUNCTION("GOOGLETRANSLATE(C5026, ""en"", ""fa"")
"),"بهترین روش ها برای ایجاد توضیحات جذاب فهرست املاک که نقاط فروش منحصر به فرد را برجسته می کند و خریداران را وادار به اقدام می کند چیست؟")</f>
        <v>بهترین روش ها برای ایجاد توضیحات جذاب فهرست املاک که نقاط فروش منحصر به فرد را برجسته می کند و خریداران را وادار به اقدام می کند چیست؟</v>
      </c>
      <c r="H5026" s="1"/>
      <c r="I5026" s="1"/>
      <c r="J5026" s="1"/>
      <c r="K5026" s="1"/>
      <c r="L5026" s="1"/>
      <c r="M5026" s="1"/>
      <c r="N5026" s="1"/>
      <c r="O5026" s="1"/>
      <c r="P5026" s="1"/>
      <c r="Q5026" s="1"/>
      <c r="R5026" s="1"/>
      <c r="S5026" s="1"/>
      <c r="T5026" s="1"/>
      <c r="U5026" s="1"/>
      <c r="V5026" s="1"/>
      <c r="W5026" s="1"/>
      <c r="X5026" s="1"/>
      <c r="Y5026" s="1"/>
      <c r="Z5026" s="1"/>
      <c r="AA5026" s="1"/>
      <c r="AB5026" s="1"/>
    </row>
    <row r="5027" ht="50.25" customHeight="1">
      <c r="A5027" s="12">
        <v>5023.0</v>
      </c>
      <c r="B5027" s="13" t="s">
        <v>5027</v>
      </c>
      <c r="C5027" s="18" t="s">
        <v>5047</v>
      </c>
      <c r="D5027" s="1"/>
      <c r="E5027" s="1"/>
      <c r="F5027" s="1" t="str">
        <f>IFERROR(__xludf.DUMMYFUNCTION("GOOGLETRANSLATE(B5027, ""en"", ""fa"")
"),"املاک و مستغلات برای حرفه ای ها")</f>
        <v>املاک و مستغلات برای حرفه ای ها</v>
      </c>
      <c r="G5027" s="1" t="str">
        <f>IFERROR(__xludf.DUMMYFUNCTION("GOOGLETRANSLATE(C5027, ""en"", ""fa"")
"),"چگونه متخصصان املاک و مستغلات می توانند از مشارکت ها و همکاری های محلی برای افزایش تلاش های بازاریابی خود استفاده کنند؟")</f>
        <v>چگونه متخصصان املاک و مستغلات می توانند از مشارکت ها و همکاری های محلی برای افزایش تلاش های بازاریابی خود استفاده کنند؟</v>
      </c>
      <c r="H5027" s="1"/>
      <c r="I5027" s="1"/>
      <c r="J5027" s="1"/>
      <c r="K5027" s="1"/>
      <c r="L5027" s="1"/>
      <c r="M5027" s="1"/>
      <c r="N5027" s="1"/>
      <c r="O5027" s="1"/>
      <c r="P5027" s="1"/>
      <c r="Q5027" s="1"/>
      <c r="R5027" s="1"/>
      <c r="S5027" s="1"/>
      <c r="T5027" s="1"/>
      <c r="U5027" s="1"/>
      <c r="V5027" s="1"/>
      <c r="W5027" s="1"/>
      <c r="X5027" s="1"/>
      <c r="Y5027" s="1"/>
      <c r="Z5027" s="1"/>
      <c r="AA5027" s="1"/>
      <c r="AB5027" s="1"/>
    </row>
    <row r="5028" ht="50.25" customHeight="1">
      <c r="A5028" s="12">
        <v>5024.0</v>
      </c>
      <c r="B5028" s="13" t="s">
        <v>5027</v>
      </c>
      <c r="C5028" s="18" t="s">
        <v>5048</v>
      </c>
      <c r="D5028" s="1"/>
      <c r="E5028" s="1"/>
      <c r="F5028" s="1" t="str">
        <f>IFERROR(__xludf.DUMMYFUNCTION("GOOGLETRANSLATE(B5028, ""en"", ""fa"")
"),"املاک و مستغلات برای حرفه ای ها")</f>
        <v>املاک و مستغلات برای حرفه ای ها</v>
      </c>
      <c r="G5028" s="1" t="str">
        <f>IFERROR(__xludf.DUMMYFUNCTION("GOOGLETRANSLATE(C5028, ""en"", ""fa"")
"),"مراحل ضروری برای بهینه سازی لیست املاک و مستغلات برای دستگاه های تلفن همراه و اطمینان از تجربه کاربری یکپارچه چیست؟")</f>
        <v>مراحل ضروری برای بهینه سازی لیست املاک و مستغلات برای دستگاه های تلفن همراه و اطمینان از تجربه کاربری یکپارچه چیست؟</v>
      </c>
      <c r="H5028" s="1"/>
      <c r="I5028" s="1"/>
      <c r="J5028" s="1"/>
      <c r="K5028" s="1"/>
      <c r="L5028" s="1"/>
      <c r="M5028" s="1"/>
      <c r="N5028" s="1"/>
      <c r="O5028" s="1"/>
      <c r="P5028" s="1"/>
      <c r="Q5028" s="1"/>
      <c r="R5028" s="1"/>
      <c r="S5028" s="1"/>
      <c r="T5028" s="1"/>
      <c r="U5028" s="1"/>
      <c r="V5028" s="1"/>
      <c r="W5028" s="1"/>
      <c r="X5028" s="1"/>
      <c r="Y5028" s="1"/>
      <c r="Z5028" s="1"/>
      <c r="AA5028" s="1"/>
      <c r="AB5028" s="1"/>
    </row>
    <row r="5029" ht="50.25" customHeight="1">
      <c r="A5029" s="12">
        <v>5025.0</v>
      </c>
      <c r="B5029" s="13" t="s">
        <v>5027</v>
      </c>
      <c r="C5029" s="18" t="s">
        <v>5049</v>
      </c>
      <c r="D5029" s="1"/>
      <c r="E5029" s="1"/>
      <c r="F5029" s="1" t="str">
        <f>IFERROR(__xludf.DUMMYFUNCTION("GOOGLETRANSLATE(B5029, ""en"", ""fa"")
"),"املاک و مستغلات برای حرفه ای ها")</f>
        <v>املاک و مستغلات برای حرفه ای ها</v>
      </c>
      <c r="G5029" s="1" t="str">
        <f>IFERROR(__xludf.DUMMYFUNCTION("GOOGLETRANSLATE(C5029, ""en"", ""fa"")
"),"چگونه متخصصان املاک و مستغلات می توانند از انجمن های آنلاین و پلت فرم های اجتماعی استفاده کنند تا خود را به عنوان مقامات قابل اعتماد در بازار محلی خود معرفی کنند؟")</f>
        <v>چگونه متخصصان املاک و مستغلات می توانند از انجمن های آنلاین و پلت فرم های اجتماعی استفاده کنند تا خود را به عنوان مقامات قابل اعتماد در بازار محلی خود معرفی کنند؟</v>
      </c>
      <c r="H5029" s="1"/>
      <c r="I5029" s="1"/>
      <c r="J5029" s="1"/>
      <c r="K5029" s="1"/>
      <c r="L5029" s="1"/>
      <c r="M5029" s="1"/>
      <c r="N5029" s="1"/>
      <c r="O5029" s="1"/>
      <c r="P5029" s="1"/>
      <c r="Q5029" s="1"/>
      <c r="R5029" s="1"/>
      <c r="S5029" s="1"/>
      <c r="T5029" s="1"/>
      <c r="U5029" s="1"/>
      <c r="V5029" s="1"/>
      <c r="W5029" s="1"/>
      <c r="X5029" s="1"/>
      <c r="Y5029" s="1"/>
      <c r="Z5029" s="1"/>
      <c r="AA5029" s="1"/>
      <c r="AB5029" s="1"/>
    </row>
    <row r="5030" ht="50.25" customHeight="1">
      <c r="A5030" s="12">
        <v>5026.0</v>
      </c>
      <c r="B5030" s="13" t="s">
        <v>5027</v>
      </c>
      <c r="C5030" s="18" t="s">
        <v>5050</v>
      </c>
      <c r="D5030" s="1"/>
      <c r="E5030" s="1"/>
      <c r="F5030" s="1" t="str">
        <f>IFERROR(__xludf.DUMMYFUNCTION("GOOGLETRANSLATE(B5030, ""en"", ""fa"")
"),"املاک و مستغلات برای حرفه ای ها")</f>
        <v>املاک و مستغلات برای حرفه ای ها</v>
      </c>
      <c r="G5030" s="1" t="str">
        <f>IFERROR(__xludf.DUMMYFUNCTION("GOOGLETRANSLATE(C5030, ""en"", ""fa"")
"),"استراتژی های کلیدی برای استفاده از تبلیغات آنلاین هدفمند برای دستیابی به بخش های خاص خریداران و افزایش تولید سرنخ چیست؟")</f>
        <v>استراتژی های کلیدی برای استفاده از تبلیغات آنلاین هدفمند برای دستیابی به بخش های خاص خریداران و افزایش تولید سرنخ چیست؟</v>
      </c>
      <c r="H5030" s="1"/>
      <c r="I5030" s="1"/>
      <c r="J5030" s="1"/>
      <c r="K5030" s="1"/>
      <c r="L5030" s="1"/>
      <c r="M5030" s="1"/>
      <c r="N5030" s="1"/>
      <c r="O5030" s="1"/>
      <c r="P5030" s="1"/>
      <c r="Q5030" s="1"/>
      <c r="R5030" s="1"/>
      <c r="S5030" s="1"/>
      <c r="T5030" s="1"/>
      <c r="U5030" s="1"/>
      <c r="V5030" s="1"/>
      <c r="W5030" s="1"/>
      <c r="X5030" s="1"/>
      <c r="Y5030" s="1"/>
      <c r="Z5030" s="1"/>
      <c r="AA5030" s="1"/>
      <c r="AB5030" s="1"/>
    </row>
    <row r="5031" ht="50.25" customHeight="1">
      <c r="A5031" s="12">
        <v>5027.0</v>
      </c>
      <c r="B5031" s="13" t="s">
        <v>5027</v>
      </c>
      <c r="C5031" s="18" t="s">
        <v>5051</v>
      </c>
      <c r="D5031" s="1"/>
      <c r="E5031" s="1"/>
      <c r="F5031" s="1" t="str">
        <f>IFERROR(__xludf.DUMMYFUNCTION("GOOGLETRANSLATE(B5031, ""en"", ""fa"")
"),"املاک و مستغلات برای حرفه ای ها")</f>
        <v>املاک و مستغلات برای حرفه ای ها</v>
      </c>
      <c r="G5031" s="1" t="str">
        <f>IFERROR(__xludf.DUMMYFUNCTION("GOOGLETRANSLATE(C5031, ""en"", ""fa"")
"),"چگونه متخصصان املاک و مستغلات می توانند به طور موثر از همکاری ها و تاییدیه های اینفلوئنسرها برای تقویت دامنه برند خود استفاده کنند؟")</f>
        <v>چگونه متخصصان املاک و مستغلات می توانند به طور موثر از همکاری ها و تاییدیه های اینفلوئنسرها برای تقویت دامنه برند خود استفاده کنند؟</v>
      </c>
      <c r="H5031" s="1"/>
      <c r="I5031" s="1"/>
      <c r="J5031" s="1"/>
      <c r="K5031" s="1"/>
      <c r="L5031" s="1"/>
      <c r="M5031" s="1"/>
      <c r="N5031" s="1"/>
      <c r="O5031" s="1"/>
      <c r="P5031" s="1"/>
      <c r="Q5031" s="1"/>
      <c r="R5031" s="1"/>
      <c r="S5031" s="1"/>
      <c r="T5031" s="1"/>
      <c r="U5031" s="1"/>
      <c r="V5031" s="1"/>
      <c r="W5031" s="1"/>
      <c r="X5031" s="1"/>
      <c r="Y5031" s="1"/>
      <c r="Z5031" s="1"/>
      <c r="AA5031" s="1"/>
      <c r="AB5031" s="1"/>
    </row>
    <row r="5032" ht="50.25" customHeight="1">
      <c r="A5032" s="12">
        <v>5028.0</v>
      </c>
      <c r="B5032" s="13" t="s">
        <v>5027</v>
      </c>
      <c r="C5032" s="18" t="s">
        <v>5052</v>
      </c>
      <c r="D5032" s="1"/>
      <c r="E5032" s="1"/>
      <c r="F5032" s="1" t="str">
        <f>IFERROR(__xludf.DUMMYFUNCTION("GOOGLETRANSLATE(B5032, ""en"", ""fa"")
"),"املاک و مستغلات برای حرفه ای ها")</f>
        <v>املاک و مستغلات برای حرفه ای ها</v>
      </c>
      <c r="G5032" s="1" t="str">
        <f>IFERROR(__xludf.DUMMYFUNCTION("GOOGLETRANSLATE(C5032, ""en"", ""fa"")
"),"هنگام طراحی یک وب سایت املاک و مستغلات از نظر بصری جذاب و کاربر پسند چه عواملی را باید در نظر گرفت؟")</f>
        <v>هنگام طراحی یک وب سایت املاک و مستغلات از نظر بصری جذاب و کاربر پسند چه عواملی را باید در نظر گرفت؟</v>
      </c>
      <c r="H5032" s="1"/>
      <c r="I5032" s="1"/>
      <c r="J5032" s="1"/>
      <c r="K5032" s="1"/>
      <c r="L5032" s="1"/>
      <c r="M5032" s="1"/>
      <c r="N5032" s="1"/>
      <c r="O5032" s="1"/>
      <c r="P5032" s="1"/>
      <c r="Q5032" s="1"/>
      <c r="R5032" s="1"/>
      <c r="S5032" s="1"/>
      <c r="T5032" s="1"/>
      <c r="U5032" s="1"/>
      <c r="V5032" s="1"/>
      <c r="W5032" s="1"/>
      <c r="X5032" s="1"/>
      <c r="Y5032" s="1"/>
      <c r="Z5032" s="1"/>
      <c r="AA5032" s="1"/>
      <c r="AB5032" s="1"/>
    </row>
    <row r="5033" ht="50.25" customHeight="1">
      <c r="A5033" s="12">
        <v>5029.0</v>
      </c>
      <c r="B5033" s="13" t="s">
        <v>5027</v>
      </c>
      <c r="C5033" s="18" t="s">
        <v>5053</v>
      </c>
      <c r="D5033" s="1"/>
      <c r="E5033" s="1"/>
      <c r="F5033" s="1" t="str">
        <f>IFERROR(__xludf.DUMMYFUNCTION("GOOGLETRANSLATE(B5033, ""en"", ""fa"")
"),"املاک و مستغلات برای حرفه ای ها")</f>
        <v>املاک و مستغلات برای حرفه ای ها</v>
      </c>
      <c r="G5033" s="1" t="str">
        <f>IFERROR(__xludf.DUMMYFUNCTION("GOOGLETRANSLATE(C5033, ""en"", ""fa"")
"),"چگونه متخصصان املاک و مستغلات می توانند از قدرت داستان سرایی در توصیف ملک برای برانگیختن احساسات و جذب خریداران بالقوه استفاده کنند؟")</f>
        <v>چگونه متخصصان املاک و مستغلات می توانند از قدرت داستان سرایی در توصیف ملک برای برانگیختن احساسات و جذب خریداران بالقوه استفاده کنند؟</v>
      </c>
      <c r="H5033" s="1"/>
      <c r="I5033" s="1"/>
      <c r="J5033" s="1"/>
      <c r="K5033" s="1"/>
      <c r="L5033" s="1"/>
      <c r="M5033" s="1"/>
      <c r="N5033" s="1"/>
      <c r="O5033" s="1"/>
      <c r="P5033" s="1"/>
      <c r="Q5033" s="1"/>
      <c r="R5033" s="1"/>
      <c r="S5033" s="1"/>
      <c r="T5033" s="1"/>
      <c r="U5033" s="1"/>
      <c r="V5033" s="1"/>
      <c r="W5033" s="1"/>
      <c r="X5033" s="1"/>
      <c r="Y5033" s="1"/>
      <c r="Z5033" s="1"/>
      <c r="AA5033" s="1"/>
      <c r="AB5033" s="1"/>
    </row>
    <row r="5034" ht="50.25" customHeight="1">
      <c r="A5034" s="12">
        <v>5030.0</v>
      </c>
      <c r="B5034" s="13" t="s">
        <v>5027</v>
      </c>
      <c r="C5034" s="18" t="s">
        <v>5054</v>
      </c>
      <c r="D5034" s="1"/>
      <c r="E5034" s="1"/>
      <c r="F5034" s="1" t="str">
        <f>IFERROR(__xludf.DUMMYFUNCTION("GOOGLETRANSLATE(B5034, ""en"", ""fa"")
"),"املاک و مستغلات برای حرفه ای ها")</f>
        <v>املاک و مستغلات برای حرفه ای ها</v>
      </c>
      <c r="G5034" s="1" t="str">
        <f>IFERROR(__xludf.DUMMYFUNCTION("GOOGLETRANSLATE(C5034, ""en"", ""fa"")
"),"بهترین روش ها برای استفاده از خبرنامه های ایمیل برای حفظ ارتباط با مشتریان قبلی و پرورش روابط طولانی مدت چیست؟")</f>
        <v>بهترین روش ها برای استفاده از خبرنامه های ایمیل برای حفظ ارتباط با مشتریان قبلی و پرورش روابط طولانی مدت چیست؟</v>
      </c>
      <c r="H5034" s="1"/>
      <c r="I5034" s="1"/>
      <c r="J5034" s="1"/>
      <c r="K5034" s="1"/>
      <c r="L5034" s="1"/>
      <c r="M5034" s="1"/>
      <c r="N5034" s="1"/>
      <c r="O5034" s="1"/>
      <c r="P5034" s="1"/>
      <c r="Q5034" s="1"/>
      <c r="R5034" s="1"/>
      <c r="S5034" s="1"/>
      <c r="T5034" s="1"/>
      <c r="U5034" s="1"/>
      <c r="V5034" s="1"/>
      <c r="W5034" s="1"/>
      <c r="X5034" s="1"/>
      <c r="Y5034" s="1"/>
      <c r="Z5034" s="1"/>
      <c r="AA5034" s="1"/>
      <c r="AB5034" s="1"/>
    </row>
    <row r="5035" ht="50.25" customHeight="1">
      <c r="A5035" s="12">
        <v>5031.0</v>
      </c>
      <c r="B5035" s="13" t="s">
        <v>5027</v>
      </c>
      <c r="C5035" s="18" t="s">
        <v>5055</v>
      </c>
      <c r="D5035" s="1"/>
      <c r="E5035" s="1"/>
      <c r="F5035" s="1" t="str">
        <f>IFERROR(__xludf.DUMMYFUNCTION("GOOGLETRANSLATE(B5035, ""en"", ""fa"")
"),"املاک و مستغلات برای حرفه ای ها")</f>
        <v>املاک و مستغلات برای حرفه ای ها</v>
      </c>
      <c r="G5035" s="1" t="str">
        <f>IFERROR(__xludf.DUMMYFUNCTION("GOOGLETRANSLATE(C5035, ""en"", ""fa"")
"),"چگونه متخصصان املاک و مستغلات می توانند عناصر تعاملی، مانند آزمون ها یا ماشین حساب ها را در مواد بازاریابی خود بگنجانند تا تعامل را افزایش دهند؟")</f>
        <v>چگونه متخصصان املاک و مستغلات می توانند عناصر تعاملی، مانند آزمون ها یا ماشین حساب ها را در مواد بازاریابی خود بگنجانند تا تعامل را افزایش دهند؟</v>
      </c>
      <c r="H5035" s="1"/>
      <c r="I5035" s="1"/>
      <c r="J5035" s="1"/>
      <c r="K5035" s="1"/>
      <c r="L5035" s="1"/>
      <c r="M5035" s="1"/>
      <c r="N5035" s="1"/>
      <c r="O5035" s="1"/>
      <c r="P5035" s="1"/>
      <c r="Q5035" s="1"/>
      <c r="R5035" s="1"/>
      <c r="S5035" s="1"/>
      <c r="T5035" s="1"/>
      <c r="U5035" s="1"/>
      <c r="V5035" s="1"/>
      <c r="W5035" s="1"/>
      <c r="X5035" s="1"/>
      <c r="Y5035" s="1"/>
      <c r="Z5035" s="1"/>
      <c r="AA5035" s="1"/>
      <c r="AB5035" s="1"/>
    </row>
    <row r="5036" ht="50.25" customHeight="1">
      <c r="A5036" s="12">
        <v>5032.0</v>
      </c>
      <c r="B5036" s="13" t="s">
        <v>5027</v>
      </c>
      <c r="C5036" s="18" t="s">
        <v>5056</v>
      </c>
      <c r="D5036" s="1"/>
      <c r="E5036" s="1"/>
      <c r="F5036" s="1" t="str">
        <f>IFERROR(__xludf.DUMMYFUNCTION("GOOGLETRANSLATE(B5036, ""en"", ""fa"")
"),"املاک و مستغلات برای حرفه ای ها")</f>
        <v>املاک و مستغلات برای حرفه ای ها</v>
      </c>
      <c r="G5036" s="1" t="str">
        <f>IFERROR(__xludf.DUMMYFUNCTION("GOOGLETRANSLATE(C5036, ""en"", ""fa"")
"),"مراحل ضروری برای ایجاد یک حضور قوی در رسانه های اجتماعی به عنوان یک متخصص املاک و مستغلات، از جمله انتخاب پلت فرم های مناسب و ایجاد محتوای جذاب چیست؟")</f>
        <v>مراحل ضروری برای ایجاد یک حضور قوی در رسانه های اجتماعی به عنوان یک متخصص املاک و مستغلات، از جمله انتخاب پلت فرم های مناسب و ایجاد محتوای جذاب چیست؟</v>
      </c>
      <c r="H5036" s="1"/>
      <c r="I5036" s="1"/>
      <c r="J5036" s="1"/>
      <c r="K5036" s="1"/>
      <c r="L5036" s="1"/>
      <c r="M5036" s="1"/>
      <c r="N5036" s="1"/>
      <c r="O5036" s="1"/>
      <c r="P5036" s="1"/>
      <c r="Q5036" s="1"/>
      <c r="R5036" s="1"/>
      <c r="S5036" s="1"/>
      <c r="T5036" s="1"/>
      <c r="U5036" s="1"/>
      <c r="V5036" s="1"/>
      <c r="W5036" s="1"/>
      <c r="X5036" s="1"/>
      <c r="Y5036" s="1"/>
      <c r="Z5036" s="1"/>
      <c r="AA5036" s="1"/>
      <c r="AB5036" s="1"/>
    </row>
    <row r="5037" ht="50.25" customHeight="1">
      <c r="A5037" s="12">
        <v>5033.0</v>
      </c>
      <c r="B5037" s="13" t="s">
        <v>5027</v>
      </c>
      <c r="C5037" s="18" t="s">
        <v>5057</v>
      </c>
      <c r="D5037" s="1"/>
      <c r="E5037" s="1"/>
      <c r="F5037" s="1" t="str">
        <f>IFERROR(__xludf.DUMMYFUNCTION("GOOGLETRANSLATE(B5037, ""en"", ""fa"")
"),"املاک و مستغلات برای حرفه ای ها")</f>
        <v>املاک و مستغلات برای حرفه ای ها</v>
      </c>
      <c r="G5037" s="1" t="str">
        <f>IFERROR(__xludf.DUMMYFUNCTION("GOOGLETRANSLATE(C5037, ""en"", ""fa"")
"),"چگونه متخصصان املاک و مستغلات می توانند از استراتژی های بازاریابی داده محور برای شناسایی و هدف قرار دادن بخش های خریداران با پتانسیل بالا استفاده کنند؟")</f>
        <v>چگونه متخصصان املاک و مستغلات می توانند از استراتژی های بازاریابی داده محور برای شناسایی و هدف قرار دادن بخش های خریداران با پتانسیل بالا استفاده کنند؟</v>
      </c>
      <c r="H5037" s="1"/>
      <c r="I5037" s="1"/>
      <c r="J5037" s="1"/>
      <c r="K5037" s="1"/>
      <c r="L5037" s="1"/>
      <c r="M5037" s="1"/>
      <c r="N5037" s="1"/>
      <c r="O5037" s="1"/>
      <c r="P5037" s="1"/>
      <c r="Q5037" s="1"/>
      <c r="R5037" s="1"/>
      <c r="S5037" s="1"/>
      <c r="T5037" s="1"/>
      <c r="U5037" s="1"/>
      <c r="V5037" s="1"/>
      <c r="W5037" s="1"/>
      <c r="X5037" s="1"/>
      <c r="Y5037" s="1"/>
      <c r="Z5037" s="1"/>
      <c r="AA5037" s="1"/>
      <c r="AB5037" s="1"/>
    </row>
    <row r="5038" ht="50.25" customHeight="1">
      <c r="A5038" s="12">
        <v>5034.0</v>
      </c>
      <c r="B5038" s="13" t="s">
        <v>5027</v>
      </c>
      <c r="C5038" s="18" t="s">
        <v>5058</v>
      </c>
      <c r="D5038" s="1"/>
      <c r="E5038" s="1"/>
      <c r="F5038" s="1" t="str">
        <f>IFERROR(__xludf.DUMMYFUNCTION("GOOGLETRANSLATE(B5038, ""en"", ""fa"")
"),"املاک و مستغلات برای حرفه ای ها")</f>
        <v>املاک و مستغلات برای حرفه ای ها</v>
      </c>
      <c r="G5038" s="1" t="str">
        <f>IFERROR(__xludf.DUMMYFUNCTION("GOOGLETRANSLATE(C5038, ""en"", ""fa"")
"),"استراتژی‌های کلیدی برای استفاده از خدمات صحنه‌پردازی مجازی و طراحی خانه برای افزایش بازاریابی و تجسم ملک چیست؟")</f>
        <v>استراتژی‌های کلیدی برای استفاده از خدمات صحنه‌پردازی مجازی و طراحی خانه برای افزایش بازاریابی و تجسم ملک چیست؟</v>
      </c>
      <c r="H5038" s="1"/>
      <c r="I5038" s="1"/>
      <c r="J5038" s="1"/>
      <c r="K5038" s="1"/>
      <c r="L5038" s="1"/>
      <c r="M5038" s="1"/>
      <c r="N5038" s="1"/>
      <c r="O5038" s="1"/>
      <c r="P5038" s="1"/>
      <c r="Q5038" s="1"/>
      <c r="R5038" s="1"/>
      <c r="S5038" s="1"/>
      <c r="T5038" s="1"/>
      <c r="U5038" s="1"/>
      <c r="V5038" s="1"/>
      <c r="W5038" s="1"/>
      <c r="X5038" s="1"/>
      <c r="Y5038" s="1"/>
      <c r="Z5038" s="1"/>
      <c r="AA5038" s="1"/>
      <c r="AB5038" s="1"/>
    </row>
    <row r="5039" ht="50.25" customHeight="1">
      <c r="A5039" s="12">
        <v>5035.0</v>
      </c>
      <c r="B5039" s="13" t="s">
        <v>5027</v>
      </c>
      <c r="C5039" s="18" t="s">
        <v>5059</v>
      </c>
      <c r="D5039" s="1"/>
      <c r="E5039" s="1"/>
      <c r="F5039" s="1" t="str">
        <f>IFERROR(__xludf.DUMMYFUNCTION("GOOGLETRANSLATE(B5039, ""en"", ""fa"")
"),"املاک و مستغلات برای حرفه ای ها")</f>
        <v>املاک و مستغلات برای حرفه ای ها</v>
      </c>
      <c r="G5039" s="1" t="str">
        <f>IFERROR(__xludf.DUMMYFUNCTION("GOOGLETRANSLATE(C5039, ""en"", ""fa"")
"),"چگونه متخصصان املاک و مستغلات می توانند به طور موثر از ابزارهای رزرو و زمان بندی آنلاین برای ساده کردن روند مشاهده ملک و بهبود تجربه مشتری استفاده کنند؟")</f>
        <v>چگونه متخصصان املاک و مستغلات می توانند به طور موثر از ابزارهای رزرو و زمان بندی آنلاین برای ساده کردن روند مشاهده ملک و بهبود تجربه مشتری استفاده کنند؟</v>
      </c>
      <c r="H5039" s="1"/>
      <c r="I5039" s="1"/>
      <c r="J5039" s="1"/>
      <c r="K5039" s="1"/>
      <c r="L5039" s="1"/>
      <c r="M5039" s="1"/>
      <c r="N5039" s="1"/>
      <c r="O5039" s="1"/>
      <c r="P5039" s="1"/>
      <c r="Q5039" s="1"/>
      <c r="R5039" s="1"/>
      <c r="S5039" s="1"/>
      <c r="T5039" s="1"/>
      <c r="U5039" s="1"/>
      <c r="V5039" s="1"/>
      <c r="W5039" s="1"/>
      <c r="X5039" s="1"/>
      <c r="Y5039" s="1"/>
      <c r="Z5039" s="1"/>
      <c r="AA5039" s="1"/>
      <c r="AB5039" s="1"/>
    </row>
    <row r="5040" ht="50.25" customHeight="1">
      <c r="A5040" s="12">
        <v>5036.0</v>
      </c>
      <c r="B5040" s="13" t="s">
        <v>5027</v>
      </c>
      <c r="C5040" s="18" t="s">
        <v>5060</v>
      </c>
      <c r="D5040" s="1"/>
      <c r="E5040" s="1"/>
      <c r="F5040" s="1" t="str">
        <f>IFERROR(__xludf.DUMMYFUNCTION("GOOGLETRANSLATE(B5040, ""en"", ""fa"")
"),"املاک و مستغلات برای حرفه ای ها")</f>
        <v>املاک و مستغلات برای حرفه ای ها</v>
      </c>
      <c r="G5040" s="1" t="str">
        <f>IFERROR(__xludf.DUMMYFUNCTION("GOOGLETRANSLATE(C5040, ""en"", ""fa"")
"),"فاکتورهای مهمی که باید در هنگام ایجاد صدای یک برند منسجم و منسجم در تمام کانال های بازاریابی در نظر گرفت، چیست؟")</f>
        <v>فاکتورهای مهمی که باید در هنگام ایجاد صدای یک برند منسجم و منسجم در تمام کانال های بازاریابی در نظر گرفت، چیست؟</v>
      </c>
      <c r="H5040" s="1"/>
      <c r="I5040" s="1"/>
      <c r="J5040" s="1"/>
      <c r="K5040" s="1"/>
      <c r="L5040" s="1"/>
      <c r="M5040" s="1"/>
      <c r="N5040" s="1"/>
      <c r="O5040" s="1"/>
      <c r="P5040" s="1"/>
      <c r="Q5040" s="1"/>
      <c r="R5040" s="1"/>
      <c r="S5040" s="1"/>
      <c r="T5040" s="1"/>
      <c r="U5040" s="1"/>
      <c r="V5040" s="1"/>
      <c r="W5040" s="1"/>
      <c r="X5040" s="1"/>
      <c r="Y5040" s="1"/>
      <c r="Z5040" s="1"/>
      <c r="AA5040" s="1"/>
      <c r="AB5040" s="1"/>
    </row>
    <row r="5041" ht="50.25" customHeight="1">
      <c r="A5041" s="12">
        <v>5037.0</v>
      </c>
      <c r="B5041" s="13" t="s">
        <v>5027</v>
      </c>
      <c r="C5041" s="18" t="s">
        <v>5061</v>
      </c>
      <c r="D5041" s="1"/>
      <c r="E5041" s="1"/>
      <c r="F5041" s="1" t="str">
        <f>IFERROR(__xludf.DUMMYFUNCTION("GOOGLETRANSLATE(B5041, ""en"", ""fa"")
"),"املاک و مستغلات برای حرفه ای ها")</f>
        <v>املاک و مستغلات برای حرفه ای ها</v>
      </c>
      <c r="G5041" s="1" t="str">
        <f>IFERROR(__xludf.DUMMYFUNCTION("GOOGLETRANSLATE(C5041, ""en"", ""fa"")
"),"چگونه متخصصان املاک و مستغلات می توانند از قدرت بهینه سازی موتور جستجوی محلی (SEO) استفاده کنند تا در نتایج جستجوی محلی به طور برجسته ظاهر شوند؟")</f>
        <v>چگونه متخصصان املاک و مستغلات می توانند از قدرت بهینه سازی موتور جستجوی محلی (SEO) استفاده کنند تا در نتایج جستجوی محلی به طور برجسته ظاهر شوند؟</v>
      </c>
      <c r="H5041" s="1"/>
      <c r="I5041" s="1"/>
      <c r="J5041" s="1"/>
      <c r="K5041" s="1"/>
      <c r="L5041" s="1"/>
      <c r="M5041" s="1"/>
      <c r="N5041" s="1"/>
      <c r="O5041" s="1"/>
      <c r="P5041" s="1"/>
      <c r="Q5041" s="1"/>
      <c r="R5041" s="1"/>
      <c r="S5041" s="1"/>
      <c r="T5041" s="1"/>
      <c r="U5041" s="1"/>
      <c r="V5041" s="1"/>
      <c r="W5041" s="1"/>
      <c r="X5041" s="1"/>
      <c r="Y5041" s="1"/>
      <c r="Z5041" s="1"/>
      <c r="AA5041" s="1"/>
      <c r="AB5041" s="1"/>
    </row>
    <row r="5042" ht="50.25" customHeight="1">
      <c r="A5042" s="12">
        <v>5038.0</v>
      </c>
      <c r="B5042" s="13" t="s">
        <v>5027</v>
      </c>
      <c r="C5042" s="18" t="s">
        <v>5062</v>
      </c>
      <c r="D5042" s="1"/>
      <c r="E5042" s="1"/>
      <c r="F5042" s="1" t="str">
        <f>IFERROR(__xludf.DUMMYFUNCTION("GOOGLETRANSLATE(B5042, ""en"", ""fa"")
"),"املاک و مستغلات برای حرفه ای ها")</f>
        <v>املاک و مستغلات برای حرفه ای ها</v>
      </c>
      <c r="G5042" s="1" t="str">
        <f>IFERROR(__xludf.DUMMYFUNCTION("GOOGLETRANSLATE(C5042, ""en"", ""fa"")
"),"بهترین شیوه ها برای استفاده از داستان سرایی از طریق بازاریابی ویدیویی برای ایجاد ارتباط عاطفی با خریداران بالقوه چیست؟")</f>
        <v>بهترین شیوه ها برای استفاده از داستان سرایی از طریق بازاریابی ویدیویی برای ایجاد ارتباط عاطفی با خریداران بالقوه چیست؟</v>
      </c>
      <c r="H5042" s="1"/>
      <c r="I5042" s="1"/>
      <c r="J5042" s="1"/>
      <c r="K5042" s="1"/>
      <c r="L5042" s="1"/>
      <c r="M5042" s="1"/>
      <c r="N5042" s="1"/>
      <c r="O5042" s="1"/>
      <c r="P5042" s="1"/>
      <c r="Q5042" s="1"/>
      <c r="R5042" s="1"/>
      <c r="S5042" s="1"/>
      <c r="T5042" s="1"/>
      <c r="U5042" s="1"/>
      <c r="V5042" s="1"/>
      <c r="W5042" s="1"/>
      <c r="X5042" s="1"/>
      <c r="Y5042" s="1"/>
      <c r="Z5042" s="1"/>
      <c r="AA5042" s="1"/>
      <c r="AB5042" s="1"/>
    </row>
    <row r="5043" ht="50.25" customHeight="1">
      <c r="A5043" s="12">
        <v>5039.0</v>
      </c>
      <c r="B5043" s="13" t="s">
        <v>5027</v>
      </c>
      <c r="C5043" s="18" t="s">
        <v>5063</v>
      </c>
      <c r="D5043" s="1"/>
      <c r="E5043" s="1"/>
      <c r="F5043" s="1" t="str">
        <f>IFERROR(__xludf.DUMMYFUNCTION("GOOGLETRANSLATE(B5043, ""en"", ""fa"")
"),"املاک و مستغلات برای حرفه ای ها")</f>
        <v>املاک و مستغلات برای حرفه ای ها</v>
      </c>
      <c r="G5043" s="1" t="str">
        <f>IFERROR(__xludf.DUMMYFUNCTION("GOOGLETRANSLATE(C5043, ""en"", ""fa"")
"),"چگونه متخصصان املاک و مستغلات می توانند از برنامه های توسعه جامعه و ابتکارات بشردوستانه برای ایجاد حسن نیت و شناخت برند استفاده کنند؟")</f>
        <v>چگونه متخصصان املاک و مستغلات می توانند از برنامه های توسعه جامعه و ابتکارات بشردوستانه برای ایجاد حسن نیت و شناخت برند استفاده کنند؟</v>
      </c>
      <c r="H5043" s="1"/>
      <c r="I5043" s="1"/>
      <c r="J5043" s="1"/>
      <c r="K5043" s="1"/>
      <c r="L5043" s="1"/>
      <c r="M5043" s="1"/>
      <c r="N5043" s="1"/>
      <c r="O5043" s="1"/>
      <c r="P5043" s="1"/>
      <c r="Q5043" s="1"/>
      <c r="R5043" s="1"/>
      <c r="S5043" s="1"/>
      <c r="T5043" s="1"/>
      <c r="U5043" s="1"/>
      <c r="V5043" s="1"/>
      <c r="W5043" s="1"/>
      <c r="X5043" s="1"/>
      <c r="Y5043" s="1"/>
      <c r="Z5043" s="1"/>
      <c r="AA5043" s="1"/>
      <c r="AB5043" s="1"/>
    </row>
    <row r="5044" ht="50.25" customHeight="1">
      <c r="A5044" s="12">
        <v>5040.0</v>
      </c>
      <c r="B5044" s="13" t="s">
        <v>5027</v>
      </c>
      <c r="C5044" s="18" t="s">
        <v>5064</v>
      </c>
      <c r="D5044" s="1"/>
      <c r="E5044" s="1"/>
      <c r="F5044" s="1" t="str">
        <f>IFERROR(__xludf.DUMMYFUNCTION("GOOGLETRANSLATE(B5044, ""en"", ""fa"")
"),"املاک و مستغلات برای حرفه ای ها")</f>
        <v>املاک و مستغلات برای حرفه ای ها</v>
      </c>
      <c r="G5044" s="1" t="str">
        <f>IFERROR(__xludf.DUMMYFUNCTION("GOOGLETRANSLATE(C5044, ""en"", ""fa"")
"),"مراحل اساسی برای ایجاد بروشورهای ملکی و مواد بازاریابی قانع کننده که به طور موثر ویژگی ها و مزایای دارایی را به نمایش می گذارد چیست؟")</f>
        <v>مراحل اساسی برای ایجاد بروشورهای ملکی و مواد بازاریابی قانع کننده که به طور موثر ویژگی ها و مزایای دارایی را به نمایش می گذارد چیست؟</v>
      </c>
      <c r="H5044" s="1"/>
      <c r="I5044" s="1"/>
      <c r="J5044" s="1"/>
      <c r="K5044" s="1"/>
      <c r="L5044" s="1"/>
      <c r="M5044" s="1"/>
      <c r="N5044" s="1"/>
      <c r="O5044" s="1"/>
      <c r="P5044" s="1"/>
      <c r="Q5044" s="1"/>
      <c r="R5044" s="1"/>
      <c r="S5044" s="1"/>
      <c r="T5044" s="1"/>
      <c r="U5044" s="1"/>
      <c r="V5044" s="1"/>
      <c r="W5044" s="1"/>
      <c r="X5044" s="1"/>
      <c r="Y5044" s="1"/>
      <c r="Z5044" s="1"/>
      <c r="AA5044" s="1"/>
      <c r="AB5044" s="1"/>
    </row>
    <row r="5045" ht="50.25" customHeight="1">
      <c r="A5045" s="12">
        <v>5041.0</v>
      </c>
      <c r="B5045" s="13" t="s">
        <v>5027</v>
      </c>
      <c r="C5045" s="18" t="s">
        <v>5065</v>
      </c>
      <c r="D5045" s="1"/>
      <c r="E5045" s="1"/>
      <c r="F5045" s="1" t="str">
        <f>IFERROR(__xludf.DUMMYFUNCTION("GOOGLETRANSLATE(B5045, ""en"", ""fa"")
"),"املاک و مستغلات برای حرفه ای ها")</f>
        <v>املاک و مستغلات برای حرفه ای ها</v>
      </c>
      <c r="G5045" s="1" t="str">
        <f>IFERROR(__xludf.DUMMYFUNCTION("GOOGLETRANSLATE(C5045, ""en"", ""fa"")
"),"چگونه متخصصان املاک و مستغلات می توانند به طور موثر از چت ربات های آنلاین و سیستم های پیام رسانی خودکار برای ارائه پشتیبانی فوری و تعامل با بازدیدکنندگان وب سایت استفاده کنند؟")</f>
        <v>چگونه متخصصان املاک و مستغلات می توانند به طور موثر از چت ربات های آنلاین و سیستم های پیام رسانی خودکار برای ارائه پشتیبانی فوری و تعامل با بازدیدکنندگان وب سایت استفاده کنند؟</v>
      </c>
      <c r="H5045" s="1"/>
      <c r="I5045" s="1"/>
      <c r="J5045" s="1"/>
      <c r="K5045" s="1"/>
      <c r="L5045" s="1"/>
      <c r="M5045" s="1"/>
      <c r="N5045" s="1"/>
      <c r="O5045" s="1"/>
      <c r="P5045" s="1"/>
      <c r="Q5045" s="1"/>
      <c r="R5045" s="1"/>
      <c r="S5045" s="1"/>
      <c r="T5045" s="1"/>
      <c r="U5045" s="1"/>
      <c r="V5045" s="1"/>
      <c r="W5045" s="1"/>
      <c r="X5045" s="1"/>
      <c r="Y5045" s="1"/>
      <c r="Z5045" s="1"/>
      <c r="AA5045" s="1"/>
      <c r="AB5045" s="1"/>
    </row>
    <row r="5046" ht="50.25" customHeight="1">
      <c r="A5046" s="12">
        <v>5042.0</v>
      </c>
      <c r="B5046" s="13" t="s">
        <v>5027</v>
      </c>
      <c r="C5046" s="18" t="s">
        <v>5066</v>
      </c>
      <c r="D5046" s="1"/>
      <c r="E5046" s="1"/>
      <c r="F5046" s="1" t="str">
        <f>IFERROR(__xludf.DUMMYFUNCTION("GOOGLETRANSLATE(B5046, ""en"", ""fa"")
"),"املاک و مستغلات برای حرفه ای ها")</f>
        <v>املاک و مستغلات برای حرفه ای ها</v>
      </c>
      <c r="G5046" s="1" t="str">
        <f>IFERROR(__xludf.DUMMYFUNCTION("GOOGLETRANSLATE(C5046, ""en"", ""fa"")
"),"استراتژی های کلیدی برای استفاده از پلتفرم های مدیریت بررسی آنلاین برای نظارت و پاسخ به نظرات و بازخورد مشتریان چیست؟")</f>
        <v>استراتژی های کلیدی برای استفاده از پلتفرم های مدیریت بررسی آنلاین برای نظارت و پاسخ به نظرات و بازخورد مشتریان چیست؟</v>
      </c>
      <c r="H5046" s="1"/>
      <c r="I5046" s="1"/>
      <c r="J5046" s="1"/>
      <c r="K5046" s="1"/>
      <c r="L5046" s="1"/>
      <c r="M5046" s="1"/>
      <c r="N5046" s="1"/>
      <c r="O5046" s="1"/>
      <c r="P5046" s="1"/>
      <c r="Q5046" s="1"/>
      <c r="R5046" s="1"/>
      <c r="S5046" s="1"/>
      <c r="T5046" s="1"/>
      <c r="U5046" s="1"/>
      <c r="V5046" s="1"/>
      <c r="W5046" s="1"/>
      <c r="X5046" s="1"/>
      <c r="Y5046" s="1"/>
      <c r="Z5046" s="1"/>
      <c r="AA5046" s="1"/>
      <c r="AB5046" s="1"/>
    </row>
    <row r="5047" ht="50.25" customHeight="1">
      <c r="A5047" s="12">
        <v>5043.0</v>
      </c>
      <c r="B5047" s="13" t="s">
        <v>5027</v>
      </c>
      <c r="C5047" s="18" t="s">
        <v>5067</v>
      </c>
      <c r="D5047" s="1"/>
      <c r="E5047" s="1"/>
      <c r="F5047" s="1" t="str">
        <f>IFERROR(__xludf.DUMMYFUNCTION("GOOGLETRANSLATE(B5047, ""en"", ""fa"")
"),"املاک و مستغلات برای حرفه ای ها")</f>
        <v>املاک و مستغلات برای حرفه ای ها</v>
      </c>
      <c r="G5047" s="1" t="str">
        <f>IFERROR(__xludf.DUMMYFUNCTION("GOOGLETRANSLATE(C5047, ""en"", ""fa"")
"),"چگونه متخصصان املاک و مستغلات می توانند محتوای تولید شده توسط کاربر، مانند توصیفات یا داستان های موفقیت مشتری را در مواد بازاریابی خود بگنجانند؟")</f>
        <v>چگونه متخصصان املاک و مستغلات می توانند محتوای تولید شده توسط کاربر، مانند توصیفات یا داستان های موفقیت مشتری را در مواد بازاریابی خود بگنجانند؟</v>
      </c>
      <c r="H5047" s="1"/>
      <c r="I5047" s="1"/>
      <c r="J5047" s="1"/>
      <c r="K5047" s="1"/>
      <c r="L5047" s="1"/>
      <c r="M5047" s="1"/>
      <c r="N5047" s="1"/>
      <c r="O5047" s="1"/>
      <c r="P5047" s="1"/>
      <c r="Q5047" s="1"/>
      <c r="R5047" s="1"/>
      <c r="S5047" s="1"/>
      <c r="T5047" s="1"/>
      <c r="U5047" s="1"/>
      <c r="V5047" s="1"/>
      <c r="W5047" s="1"/>
      <c r="X5047" s="1"/>
      <c r="Y5047" s="1"/>
      <c r="Z5047" s="1"/>
      <c r="AA5047" s="1"/>
      <c r="AB5047" s="1"/>
    </row>
    <row r="5048" ht="50.25" customHeight="1">
      <c r="A5048" s="12">
        <v>5044.0</v>
      </c>
      <c r="B5048" s="13" t="s">
        <v>5027</v>
      </c>
      <c r="C5048" s="18" t="s">
        <v>5068</v>
      </c>
      <c r="D5048" s="1"/>
      <c r="E5048" s="1"/>
      <c r="F5048" s="1" t="str">
        <f>IFERROR(__xludf.DUMMYFUNCTION("GOOGLETRANSLATE(B5048, ""en"", ""fa"")
"),"املاک و مستغلات برای حرفه ای ها")</f>
        <v>املاک و مستغلات برای حرفه ای ها</v>
      </c>
      <c r="G5048" s="1" t="str">
        <f>IFERROR(__xludf.DUMMYFUNCTION("GOOGLETRANSLATE(C5048, ""en"", ""fa"")
"),"هنگام طراحی و بهینه سازی صفحات فرود برای کمپین های بازاریابی املاک و مستغلات، چه فاکتورهای حیاتی باید در نظر گرفته شود؟")</f>
        <v>هنگام طراحی و بهینه سازی صفحات فرود برای کمپین های بازاریابی املاک و مستغلات، چه فاکتورهای حیاتی باید در نظر گرفته شود؟</v>
      </c>
      <c r="H5048" s="1"/>
      <c r="I5048" s="1"/>
      <c r="J5048" s="1"/>
      <c r="K5048" s="1"/>
      <c r="L5048" s="1"/>
      <c r="M5048" s="1"/>
      <c r="N5048" s="1"/>
      <c r="O5048" s="1"/>
      <c r="P5048" s="1"/>
      <c r="Q5048" s="1"/>
      <c r="R5048" s="1"/>
      <c r="S5048" s="1"/>
      <c r="T5048" s="1"/>
      <c r="U5048" s="1"/>
      <c r="V5048" s="1"/>
      <c r="W5048" s="1"/>
      <c r="X5048" s="1"/>
      <c r="Y5048" s="1"/>
      <c r="Z5048" s="1"/>
      <c r="AA5048" s="1"/>
      <c r="AB5048" s="1"/>
    </row>
    <row r="5049" ht="50.25" customHeight="1">
      <c r="A5049" s="12">
        <v>5045.0</v>
      </c>
      <c r="B5049" s="13" t="s">
        <v>5027</v>
      </c>
      <c r="C5049" s="18" t="s">
        <v>5069</v>
      </c>
      <c r="D5049" s="1"/>
      <c r="E5049" s="1"/>
      <c r="F5049" s="1" t="str">
        <f>IFERROR(__xludf.DUMMYFUNCTION("GOOGLETRANSLATE(B5049, ""en"", ""fa"")
"),"املاک و مستغلات برای حرفه ای ها")</f>
        <v>املاک و مستغلات برای حرفه ای ها</v>
      </c>
      <c r="G5049" s="1" t="str">
        <f>IFERROR(__xludf.DUMMYFUNCTION("GOOGLETRANSLATE(C5049, ""en"", ""fa"")
"),"چگونه متخصصان املاک و مستغلات می توانند از قدرت رسانه های محلی و بیانیه های مطبوعاتی برای ایجاد پوشش رسانه ای و افزایش دیده شدن برند استفاده کنند؟")</f>
        <v>چگونه متخصصان املاک و مستغلات می توانند از قدرت رسانه های محلی و بیانیه های مطبوعاتی برای ایجاد پوشش رسانه ای و افزایش دیده شدن برند استفاده کنند؟</v>
      </c>
      <c r="H5049" s="1"/>
      <c r="I5049" s="1"/>
      <c r="J5049" s="1"/>
      <c r="K5049" s="1"/>
      <c r="L5049" s="1"/>
      <c r="M5049" s="1"/>
      <c r="N5049" s="1"/>
      <c r="O5049" s="1"/>
      <c r="P5049" s="1"/>
      <c r="Q5049" s="1"/>
      <c r="R5049" s="1"/>
      <c r="S5049" s="1"/>
      <c r="T5049" s="1"/>
      <c r="U5049" s="1"/>
      <c r="V5049" s="1"/>
      <c r="W5049" s="1"/>
      <c r="X5049" s="1"/>
      <c r="Y5049" s="1"/>
      <c r="Z5049" s="1"/>
      <c r="AA5049" s="1"/>
      <c r="AB5049" s="1"/>
    </row>
    <row r="5050" ht="50.25" customHeight="1">
      <c r="A5050" s="12">
        <v>5046.0</v>
      </c>
      <c r="B5050" s="13" t="s">
        <v>5027</v>
      </c>
      <c r="C5050" s="18" t="s">
        <v>5070</v>
      </c>
      <c r="D5050" s="1"/>
      <c r="E5050" s="1"/>
      <c r="F5050" s="1" t="str">
        <f>IFERROR(__xludf.DUMMYFUNCTION("GOOGLETRANSLATE(B5050, ""en"", ""fa"")
"),"املاک و مستغلات برای حرفه ای ها")</f>
        <v>املاک و مستغلات برای حرفه ای ها</v>
      </c>
      <c r="G5050" s="1" t="str">
        <f>IFERROR(__xludf.DUMMYFUNCTION("GOOGLETRANSLATE(C5050, ""en"", ""fa"")
"),"بهترین شیوه‌ها برای استفاده از نظرسنجی‌های مشتری و فرم‌های بازخورد برای جمع‌آوری بینش و بهبود کیفیت خدمات ارائه‌شده چیست؟")</f>
        <v>بهترین شیوه‌ها برای استفاده از نظرسنجی‌های مشتری و فرم‌های بازخورد برای جمع‌آوری بینش و بهبود کیفیت خدمات ارائه‌شده چیست؟</v>
      </c>
      <c r="H5050" s="1"/>
      <c r="I5050" s="1"/>
      <c r="J5050" s="1"/>
      <c r="K5050" s="1"/>
      <c r="L5050" s="1"/>
      <c r="M5050" s="1"/>
      <c r="N5050" s="1"/>
      <c r="O5050" s="1"/>
      <c r="P5050" s="1"/>
      <c r="Q5050" s="1"/>
      <c r="R5050" s="1"/>
      <c r="S5050" s="1"/>
      <c r="T5050" s="1"/>
      <c r="U5050" s="1"/>
      <c r="V5050" s="1"/>
      <c r="W5050" s="1"/>
      <c r="X5050" s="1"/>
      <c r="Y5050" s="1"/>
      <c r="Z5050" s="1"/>
      <c r="AA5050" s="1"/>
      <c r="AB5050" s="1"/>
    </row>
    <row r="5051" ht="50.25" customHeight="1">
      <c r="A5051" s="12">
        <v>5047.0</v>
      </c>
      <c r="B5051" s="13" t="s">
        <v>5027</v>
      </c>
      <c r="C5051" s="18" t="s">
        <v>5071</v>
      </c>
      <c r="D5051" s="1"/>
      <c r="E5051" s="1"/>
      <c r="F5051" s="1" t="str">
        <f>IFERROR(__xludf.DUMMYFUNCTION("GOOGLETRANSLATE(B5051, ""en"", ""fa"")
"),"املاک و مستغلات برای حرفه ای ها")</f>
        <v>املاک و مستغلات برای حرفه ای ها</v>
      </c>
      <c r="G5051" s="1" t="str">
        <f>IFERROR(__xludf.DUMMYFUNCTION("GOOGLETRANSLATE(C5051, ""en"", ""fa"")
"),"چگونه متخصصان املاک و مستغلات می توانند به طور موثر از تبلیغات هدفمند مجدد برای تعامل مجدد با بازدیدکنندگان وب سایت و تبدیل آنها به سرنخ استفاده کنند؟")</f>
        <v>چگونه متخصصان املاک و مستغلات می توانند به طور موثر از تبلیغات هدفمند مجدد برای تعامل مجدد با بازدیدکنندگان وب سایت و تبدیل آنها به سرنخ استفاده کنند؟</v>
      </c>
      <c r="H5051" s="1"/>
      <c r="I5051" s="1"/>
      <c r="J5051" s="1"/>
      <c r="K5051" s="1"/>
      <c r="L5051" s="1"/>
      <c r="M5051" s="1"/>
      <c r="N5051" s="1"/>
      <c r="O5051" s="1"/>
      <c r="P5051" s="1"/>
      <c r="Q5051" s="1"/>
      <c r="R5051" s="1"/>
      <c r="S5051" s="1"/>
      <c r="T5051" s="1"/>
      <c r="U5051" s="1"/>
      <c r="V5051" s="1"/>
      <c r="W5051" s="1"/>
      <c r="X5051" s="1"/>
      <c r="Y5051" s="1"/>
      <c r="Z5051" s="1"/>
      <c r="AA5051" s="1"/>
      <c r="AB5051" s="1"/>
    </row>
    <row r="5052" ht="50.25" customHeight="1">
      <c r="A5052" s="12">
        <v>5048.0</v>
      </c>
      <c r="B5052" s="13" t="s">
        <v>5027</v>
      </c>
      <c r="C5052" s="18" t="s">
        <v>5072</v>
      </c>
      <c r="D5052" s="1"/>
      <c r="E5052" s="1"/>
      <c r="F5052" s="1" t="str">
        <f>IFERROR(__xludf.DUMMYFUNCTION("GOOGLETRANSLATE(B5052, ""en"", ""fa"")
"),"املاک و مستغلات برای حرفه ای ها")</f>
        <v>املاک و مستغلات برای حرفه ای ها</v>
      </c>
      <c r="G5052" s="1" t="str">
        <f>IFERROR(__xludf.DUMMYFUNCTION("GOOGLETRANSLATE(C5052, ""en"", ""fa"")
"),"مراحل ضروری برای ایجاد یک برنامه بازاریابی محتوای استراتژیک که با نیازها و ترجیحات مخاطبان هدف هماهنگ باشد چیست؟")</f>
        <v>مراحل ضروری برای ایجاد یک برنامه بازاریابی محتوای استراتژیک که با نیازها و ترجیحات مخاطبان هدف هماهنگ باشد چیست؟</v>
      </c>
      <c r="H5052" s="1"/>
      <c r="I5052" s="1"/>
      <c r="J5052" s="1"/>
      <c r="K5052" s="1"/>
      <c r="L5052" s="1"/>
      <c r="M5052" s="1"/>
      <c r="N5052" s="1"/>
      <c r="O5052" s="1"/>
      <c r="P5052" s="1"/>
      <c r="Q5052" s="1"/>
      <c r="R5052" s="1"/>
      <c r="S5052" s="1"/>
      <c r="T5052" s="1"/>
      <c r="U5052" s="1"/>
      <c r="V5052" s="1"/>
      <c r="W5052" s="1"/>
      <c r="X5052" s="1"/>
      <c r="Y5052" s="1"/>
      <c r="Z5052" s="1"/>
      <c r="AA5052" s="1"/>
      <c r="AB5052" s="1"/>
    </row>
    <row r="5053" ht="50.25" customHeight="1">
      <c r="A5053" s="12">
        <v>5049.0</v>
      </c>
      <c r="B5053" s="13" t="s">
        <v>5027</v>
      </c>
      <c r="C5053" s="18" t="s">
        <v>5073</v>
      </c>
      <c r="D5053" s="1"/>
      <c r="E5053" s="1"/>
      <c r="F5053" s="1" t="str">
        <f>IFERROR(__xludf.DUMMYFUNCTION("GOOGLETRANSLATE(B5053, ""en"", ""fa"")
"),"املاک و مستغلات برای حرفه ای ها")</f>
        <v>املاک و مستغلات برای حرفه ای ها</v>
      </c>
      <c r="G5053" s="1" t="str">
        <f>IFERROR(__xludf.DUMMYFUNCTION("GOOGLETRANSLATE(C5053, ""en"", ""fa"")
"),"چگونه متخصصان املاک و مستغلات می توانند از پادکست یا میزبانی وبینارها استفاده کنند تا خود را به عنوان رهبران فکری صنعت قرار دهند و مخاطبان اختصاصی را جذب کنند؟")</f>
        <v>چگونه متخصصان املاک و مستغلات می توانند از پادکست یا میزبانی وبینارها استفاده کنند تا خود را به عنوان رهبران فکری صنعت قرار دهند و مخاطبان اختصاصی را جذب کنند؟</v>
      </c>
      <c r="H5053" s="1"/>
      <c r="I5053" s="1"/>
      <c r="J5053" s="1"/>
      <c r="K5053" s="1"/>
      <c r="L5053" s="1"/>
      <c r="M5053" s="1"/>
      <c r="N5053" s="1"/>
      <c r="O5053" s="1"/>
      <c r="P5053" s="1"/>
      <c r="Q5053" s="1"/>
      <c r="R5053" s="1"/>
      <c r="S5053" s="1"/>
      <c r="T5053" s="1"/>
      <c r="U5053" s="1"/>
      <c r="V5053" s="1"/>
      <c r="W5053" s="1"/>
      <c r="X5053" s="1"/>
      <c r="Y5053" s="1"/>
      <c r="Z5053" s="1"/>
      <c r="AA5053" s="1"/>
      <c r="AB5053" s="1"/>
    </row>
    <row r="5054" ht="50.25" customHeight="1">
      <c r="A5054" s="12">
        <v>5050.0</v>
      </c>
      <c r="B5054" s="13" t="s">
        <v>5027</v>
      </c>
      <c r="C5054" s="18" t="s">
        <v>5074</v>
      </c>
      <c r="D5054" s="1"/>
      <c r="E5054" s="1"/>
      <c r="F5054" s="1" t="str">
        <f>IFERROR(__xludf.DUMMYFUNCTION("GOOGLETRANSLATE(B5054, ""en"", ""fa"")
"),"املاک و مستغلات برای حرفه ای ها")</f>
        <v>املاک و مستغلات برای حرفه ای ها</v>
      </c>
      <c r="G5054" s="1" t="str">
        <f>IFERROR(__xludf.DUMMYFUNCTION("GOOGLETRANSLATE(C5054, ""en"", ""fa"")
"),"استراتژی های کلیدی برای استفاده از مشارکت ها و همکاری های تأثیرگذار برای دستیابی به مخاطبان گسترده تر و کسب اعتبار در صنعت املاک و مستغلات چیست؟")</f>
        <v>استراتژی های کلیدی برای استفاده از مشارکت ها و همکاری های تأثیرگذار برای دستیابی به مخاطبان گسترده تر و کسب اعتبار در صنعت املاک و مستغلات چیست؟</v>
      </c>
      <c r="H5054" s="1"/>
      <c r="I5054" s="1"/>
      <c r="J5054" s="1"/>
      <c r="K5054" s="1"/>
      <c r="L5054" s="1"/>
      <c r="M5054" s="1"/>
      <c r="N5054" s="1"/>
      <c r="O5054" s="1"/>
      <c r="P5054" s="1"/>
      <c r="Q5054" s="1"/>
      <c r="R5054" s="1"/>
      <c r="S5054" s="1"/>
      <c r="T5054" s="1"/>
      <c r="U5054" s="1"/>
      <c r="V5054" s="1"/>
      <c r="W5054" s="1"/>
      <c r="X5054" s="1"/>
      <c r="Y5054" s="1"/>
      <c r="Z5054" s="1"/>
      <c r="AA5054" s="1"/>
      <c r="AB5054" s="1"/>
    </row>
    <row r="5055" ht="50.25" customHeight="1">
      <c r="A5055" s="12">
        <v>5051.0</v>
      </c>
      <c r="B5055" s="13" t="s">
        <v>5027</v>
      </c>
      <c r="C5055" s="18" t="s">
        <v>5075</v>
      </c>
      <c r="D5055" s="1"/>
      <c r="E5055" s="1"/>
      <c r="F5055" s="1" t="str">
        <f>IFERROR(__xludf.DUMMYFUNCTION("GOOGLETRANSLATE(B5055, ""en"", ""fa"")
"),"املاک و مستغلات برای حرفه ای ها")</f>
        <v>املاک و مستغلات برای حرفه ای ها</v>
      </c>
      <c r="G5055" s="1" t="str">
        <f>IFERROR(__xludf.DUMMYFUNCTION("GOOGLETRANSLATE(C5055, ""en"", ""fa"")
"),"چگونه متخصصان املاک و مستغلات می توانند به طور موثر از Google My Business و فهرست راهنمای محلی برای بهبود دید آنلاین خود در نتایج جستجوی محلی استفاده کنند؟")</f>
        <v>چگونه متخصصان املاک و مستغلات می توانند به طور موثر از Google My Business و فهرست راهنمای محلی برای بهبود دید آنلاین خود در نتایج جستجوی محلی استفاده کنند؟</v>
      </c>
      <c r="H5055" s="1"/>
      <c r="I5055" s="1"/>
      <c r="J5055" s="1"/>
      <c r="K5055" s="1"/>
      <c r="L5055" s="1"/>
      <c r="M5055" s="1"/>
      <c r="N5055" s="1"/>
      <c r="O5055" s="1"/>
      <c r="P5055" s="1"/>
      <c r="Q5055" s="1"/>
      <c r="R5055" s="1"/>
      <c r="S5055" s="1"/>
      <c r="T5055" s="1"/>
      <c r="U5055" s="1"/>
      <c r="V5055" s="1"/>
      <c r="W5055" s="1"/>
      <c r="X5055" s="1"/>
      <c r="Y5055" s="1"/>
      <c r="Z5055" s="1"/>
      <c r="AA5055" s="1"/>
      <c r="AB5055" s="1"/>
    </row>
    <row r="5056" ht="50.25" customHeight="1">
      <c r="A5056" s="12">
        <v>5052.0</v>
      </c>
      <c r="B5056" s="13" t="s">
        <v>5027</v>
      </c>
      <c r="C5056" s="18" t="s">
        <v>5076</v>
      </c>
      <c r="D5056" s="1"/>
      <c r="E5056" s="1"/>
      <c r="F5056" s="1" t="str">
        <f>IFERROR(__xludf.DUMMYFUNCTION("GOOGLETRANSLATE(B5056, ""en"", ""fa"")
"),"املاک و مستغلات برای حرفه ای ها")</f>
        <v>املاک و مستغلات برای حرفه ای ها</v>
      </c>
      <c r="G5056" s="1" t="str">
        <f>IFERROR(__xludf.DUMMYFUNCTION("GOOGLETRANSLATE(C5056, ""en"", ""fa"")
"),"عوامل مهمی که باید در هنگام توسعه یک استراتژی جامع بازاریابی رسانه های اجتماعی برای متخصصان املاک و مستغلات در نظر گرفت، چیست؟")</f>
        <v>عوامل مهمی که باید در هنگام توسعه یک استراتژی جامع بازاریابی رسانه های اجتماعی برای متخصصان املاک و مستغلات در نظر گرفت، چیست؟</v>
      </c>
      <c r="H5056" s="1"/>
      <c r="I5056" s="1"/>
      <c r="J5056" s="1"/>
      <c r="K5056" s="1"/>
      <c r="L5056" s="1"/>
      <c r="M5056" s="1"/>
      <c r="N5056" s="1"/>
      <c r="O5056" s="1"/>
      <c r="P5056" s="1"/>
      <c r="Q5056" s="1"/>
      <c r="R5056" s="1"/>
      <c r="S5056" s="1"/>
      <c r="T5056" s="1"/>
      <c r="U5056" s="1"/>
      <c r="V5056" s="1"/>
      <c r="W5056" s="1"/>
      <c r="X5056" s="1"/>
      <c r="Y5056" s="1"/>
      <c r="Z5056" s="1"/>
      <c r="AA5056" s="1"/>
      <c r="AB5056" s="1"/>
    </row>
    <row r="5057" ht="50.25" customHeight="1">
      <c r="A5057" s="12">
        <v>5053.0</v>
      </c>
      <c r="B5057" s="13" t="s">
        <v>5027</v>
      </c>
      <c r="C5057" s="18" t="s">
        <v>5077</v>
      </c>
      <c r="D5057" s="1"/>
      <c r="E5057" s="1"/>
      <c r="F5057" s="1" t="str">
        <f>IFERROR(__xludf.DUMMYFUNCTION("GOOGLETRANSLATE(B5057, ""en"", ""fa"")
"),"املاک و مستغلات برای حرفه ای ها")</f>
        <v>املاک و مستغلات برای حرفه ای ها</v>
      </c>
      <c r="G5057" s="1" t="str">
        <f>IFERROR(__xludf.DUMMYFUNCTION("GOOGLETRANSLATE(C5057, ""en"", ""fa"")
"),"چگونه متخصصان املاک و مستغلات می توانند از قدرت فناوری واقعیت افزوده (AR) یا واقعیت مجازی (VR) برای ارائه تجربیات ملکی همهجانبه برای خریداران بالقوه استفاده کنند؟")</f>
        <v>چگونه متخصصان املاک و مستغلات می توانند از قدرت فناوری واقعیت افزوده (AR) یا واقعیت مجازی (VR) برای ارائه تجربیات ملکی همهجانبه برای خریداران بالقوه استفاده کنند؟</v>
      </c>
      <c r="H5057" s="1"/>
      <c r="I5057" s="1"/>
      <c r="J5057" s="1"/>
      <c r="K5057" s="1"/>
      <c r="L5057" s="1"/>
      <c r="M5057" s="1"/>
      <c r="N5057" s="1"/>
      <c r="O5057" s="1"/>
      <c r="P5057" s="1"/>
      <c r="Q5057" s="1"/>
      <c r="R5057" s="1"/>
      <c r="S5057" s="1"/>
      <c r="T5057" s="1"/>
      <c r="U5057" s="1"/>
      <c r="V5057" s="1"/>
      <c r="W5057" s="1"/>
      <c r="X5057" s="1"/>
      <c r="Y5057" s="1"/>
      <c r="Z5057" s="1"/>
      <c r="AA5057" s="1"/>
      <c r="AB5057" s="1"/>
    </row>
    <row r="5058" ht="50.25" customHeight="1">
      <c r="A5058" s="12">
        <v>5054.0</v>
      </c>
      <c r="B5058" s="13" t="s">
        <v>5027</v>
      </c>
      <c r="C5058" s="18" t="s">
        <v>5078</v>
      </c>
      <c r="D5058" s="1"/>
      <c r="E5058" s="1"/>
      <c r="F5058" s="1" t="str">
        <f>IFERROR(__xludf.DUMMYFUNCTION("GOOGLETRANSLATE(B5058, ""en"", ""fa"")
"),"املاک و مستغلات برای حرفه ای ها")</f>
        <v>املاک و مستغلات برای حرفه ای ها</v>
      </c>
      <c r="G5058" s="1" t="str">
        <f>IFERROR(__xludf.DUMMYFUNCTION("GOOGLETRANSLATE(C5058, ""en"", ""fa"")
"),"بهترین روش ها برای استفاده از توصیفات مشتری و داستان های موفقیت در قالب ویدیویی برای افزایش اعتبار و اعتماد یک برند املاک و مستغلات چیست؟")</f>
        <v>بهترین روش ها برای استفاده از توصیفات مشتری و داستان های موفقیت در قالب ویدیویی برای افزایش اعتبار و اعتماد یک برند املاک و مستغلات چیست؟</v>
      </c>
      <c r="H5058" s="1"/>
      <c r="I5058" s="1"/>
      <c r="J5058" s="1"/>
      <c r="K5058" s="1"/>
      <c r="L5058" s="1"/>
      <c r="M5058" s="1"/>
      <c r="N5058" s="1"/>
      <c r="O5058" s="1"/>
      <c r="P5058" s="1"/>
      <c r="Q5058" s="1"/>
      <c r="R5058" s="1"/>
      <c r="S5058" s="1"/>
      <c r="T5058" s="1"/>
      <c r="U5058" s="1"/>
      <c r="V5058" s="1"/>
      <c r="W5058" s="1"/>
      <c r="X5058" s="1"/>
      <c r="Y5058" s="1"/>
      <c r="Z5058" s="1"/>
      <c r="AA5058" s="1"/>
      <c r="AB5058" s="1"/>
    </row>
    <row r="5059" ht="50.25" customHeight="1">
      <c r="A5059" s="12">
        <v>5055.0</v>
      </c>
      <c r="B5059" s="13" t="s">
        <v>5027</v>
      </c>
      <c r="C5059" s="18" t="s">
        <v>5079</v>
      </c>
      <c r="D5059" s="1"/>
      <c r="E5059" s="1"/>
      <c r="F5059" s="1" t="str">
        <f>IFERROR(__xludf.DUMMYFUNCTION("GOOGLETRANSLATE(B5059, ""en"", ""fa"")
"),"املاک و مستغلات برای حرفه ای ها")</f>
        <v>املاک و مستغلات برای حرفه ای ها</v>
      </c>
      <c r="G5059" s="1" t="str">
        <f>IFERROR(__xludf.DUMMYFUNCTION("GOOGLETRANSLATE(C5059, ""en"", ""fa"")
"),"چگونه متخصصان املاک و مستغلات می توانند به طور موثر از وبینارها یا کارگاه های آنلاین برای آموزش مشتریان بالقوه و ایجاد سرنخ استفاده کنند؟")</f>
        <v>چگونه متخصصان املاک و مستغلات می توانند به طور موثر از وبینارها یا کارگاه های آنلاین برای آموزش مشتریان بالقوه و ایجاد سرنخ استفاده کنند؟</v>
      </c>
      <c r="H5059" s="1"/>
      <c r="I5059" s="1"/>
      <c r="J5059" s="1"/>
      <c r="K5059" s="1"/>
      <c r="L5059" s="1"/>
      <c r="M5059" s="1"/>
      <c r="N5059" s="1"/>
      <c r="O5059" s="1"/>
      <c r="P5059" s="1"/>
      <c r="Q5059" s="1"/>
      <c r="R5059" s="1"/>
      <c r="S5059" s="1"/>
      <c r="T5059" s="1"/>
      <c r="U5059" s="1"/>
      <c r="V5059" s="1"/>
      <c r="W5059" s="1"/>
      <c r="X5059" s="1"/>
      <c r="Y5059" s="1"/>
      <c r="Z5059" s="1"/>
      <c r="AA5059" s="1"/>
      <c r="AB5059" s="1"/>
    </row>
    <row r="5060" ht="50.25" customHeight="1">
      <c r="A5060" s="12">
        <v>5056.0</v>
      </c>
      <c r="B5060" s="13" t="s">
        <v>5027</v>
      </c>
      <c r="C5060" s="18" t="s">
        <v>5080</v>
      </c>
      <c r="D5060" s="1"/>
      <c r="E5060" s="1"/>
      <c r="F5060" s="1" t="str">
        <f>IFERROR(__xludf.DUMMYFUNCTION("GOOGLETRANSLATE(B5060, ""en"", ""fa"")
"),"املاک و مستغلات برای حرفه ای ها")</f>
        <v>املاک و مستغلات برای حرفه ای ها</v>
      </c>
      <c r="G5060" s="1" t="str">
        <f>IFERROR(__xludf.DUMMYFUNCTION("GOOGLETRANSLATE(C5060, ""en"", ""fa"")
"),"استراتژی‌های کلیدی برای استفاده از عکاسی و فیلم‌برداری هواپیمای بدون سرنشین برای گرفتن تصاویری خیره‌کننده از خواص و جلب توجه خریداران چیست؟")</f>
        <v>استراتژی‌های کلیدی برای استفاده از عکاسی و فیلم‌برداری هواپیمای بدون سرنشین برای گرفتن تصاویری خیره‌کننده از خواص و جلب توجه خریداران چیست؟</v>
      </c>
      <c r="H5060" s="1"/>
      <c r="I5060" s="1"/>
      <c r="J5060" s="1"/>
      <c r="K5060" s="1"/>
      <c r="L5060" s="1"/>
      <c r="M5060" s="1"/>
      <c r="N5060" s="1"/>
      <c r="O5060" s="1"/>
      <c r="P5060" s="1"/>
      <c r="Q5060" s="1"/>
      <c r="R5060" s="1"/>
      <c r="S5060" s="1"/>
      <c r="T5060" s="1"/>
      <c r="U5060" s="1"/>
      <c r="V5060" s="1"/>
      <c r="W5060" s="1"/>
      <c r="X5060" s="1"/>
      <c r="Y5060" s="1"/>
      <c r="Z5060" s="1"/>
      <c r="AA5060" s="1"/>
      <c r="AB5060" s="1"/>
    </row>
    <row r="5061" ht="50.25" customHeight="1">
      <c r="A5061" s="12">
        <v>5057.0</v>
      </c>
      <c r="B5061" s="13" t="s">
        <v>5027</v>
      </c>
      <c r="C5061" s="18" t="s">
        <v>5081</v>
      </c>
      <c r="D5061" s="1"/>
      <c r="E5061" s="1"/>
      <c r="F5061" s="1" t="str">
        <f>IFERROR(__xludf.DUMMYFUNCTION("GOOGLETRANSLATE(B5061, ""en"", ""fa"")
"),"املاک و مستغلات برای حرفه ای ها")</f>
        <v>املاک و مستغلات برای حرفه ای ها</v>
      </c>
      <c r="G5061" s="1" t="str">
        <f>IFERROR(__xludf.DUMMYFUNCTION("GOOGLETRANSLATE(C5061, ""en"", ""fa"")
"),"چگونه متخصصان املاک و مستغلات می توانند چت بات ها و قابلیت چت زنده را در وب سایت خود برای ارائه پشتیبانی فوری و تعامل با بازدیدکنندگان وب سایت قرار دهند؟")</f>
        <v>چگونه متخصصان املاک و مستغلات می توانند چت بات ها و قابلیت چت زنده را در وب سایت خود برای ارائه پشتیبانی فوری و تعامل با بازدیدکنندگان وب سایت قرار دهند؟</v>
      </c>
      <c r="H5061" s="1"/>
      <c r="I5061" s="1"/>
      <c r="J5061" s="1"/>
      <c r="K5061" s="1"/>
      <c r="L5061" s="1"/>
      <c r="M5061" s="1"/>
      <c r="N5061" s="1"/>
      <c r="O5061" s="1"/>
      <c r="P5061" s="1"/>
      <c r="Q5061" s="1"/>
      <c r="R5061" s="1"/>
      <c r="S5061" s="1"/>
      <c r="T5061" s="1"/>
      <c r="U5061" s="1"/>
      <c r="V5061" s="1"/>
      <c r="W5061" s="1"/>
      <c r="X5061" s="1"/>
      <c r="Y5061" s="1"/>
      <c r="Z5061" s="1"/>
      <c r="AA5061" s="1"/>
      <c r="AB5061" s="1"/>
    </row>
    <row r="5062" ht="50.25" customHeight="1">
      <c r="A5062" s="12">
        <v>5058.0</v>
      </c>
      <c r="B5062" s="13" t="s">
        <v>5027</v>
      </c>
      <c r="C5062" s="18" t="s">
        <v>5082</v>
      </c>
      <c r="D5062" s="1"/>
      <c r="E5062" s="1"/>
      <c r="F5062" s="1" t="str">
        <f>IFERROR(__xludf.DUMMYFUNCTION("GOOGLETRANSLATE(B5062, ""en"", ""fa"")
"),"املاک و مستغلات برای حرفه ای ها")</f>
        <v>املاک و مستغلات برای حرفه ای ها</v>
      </c>
      <c r="G5062" s="1" t="str">
        <f>IFERROR(__xludf.DUMMYFUNCTION("GOOGLETRANSLATE(C5062, ""en"", ""fa"")
"),"هنگام طراحی و بهینه سازی صفحات فرود املاک و مستغلات برای به حداکثر رساندن تولید سرنخ و نرخ تبدیل، چه فاکتورهای حیاتی را باید در نظر گرفت؟")</f>
        <v>هنگام طراحی و بهینه سازی صفحات فرود املاک و مستغلات برای به حداکثر رساندن تولید سرنخ و نرخ تبدیل، چه فاکتورهای حیاتی را باید در نظر گرفت؟</v>
      </c>
      <c r="H5062" s="1"/>
      <c r="I5062" s="1"/>
      <c r="J5062" s="1"/>
      <c r="K5062" s="1"/>
      <c r="L5062" s="1"/>
      <c r="M5062" s="1"/>
      <c r="N5062" s="1"/>
      <c r="O5062" s="1"/>
      <c r="P5062" s="1"/>
      <c r="Q5062" s="1"/>
      <c r="R5062" s="1"/>
      <c r="S5062" s="1"/>
      <c r="T5062" s="1"/>
      <c r="U5062" s="1"/>
      <c r="V5062" s="1"/>
      <c r="W5062" s="1"/>
      <c r="X5062" s="1"/>
      <c r="Y5062" s="1"/>
      <c r="Z5062" s="1"/>
      <c r="AA5062" s="1"/>
      <c r="AB5062" s="1"/>
    </row>
    <row r="5063" ht="50.25" customHeight="1">
      <c r="A5063" s="12">
        <v>5059.0</v>
      </c>
      <c r="B5063" s="13" t="s">
        <v>5027</v>
      </c>
      <c r="C5063" s="18" t="s">
        <v>5083</v>
      </c>
      <c r="D5063" s="1"/>
      <c r="E5063" s="1"/>
      <c r="F5063" s="1" t="str">
        <f>IFERROR(__xludf.DUMMYFUNCTION("GOOGLETRANSLATE(B5063, ""en"", ""fa"")
"),"املاک و مستغلات برای حرفه ای ها")</f>
        <v>املاک و مستغلات برای حرفه ای ها</v>
      </c>
      <c r="G5063" s="1" t="str">
        <f>IFERROR(__xludf.DUMMYFUNCTION("GOOGLETRANSLATE(C5063, ""en"", ""fa"")
"),"چگونه متخصصان املاک و مستغلات می‌توانند از قدرت مشارکت‌ها و حمایت‌های محلی برای افزایش دیده شدن نام تجاری خود و کسب در معرض دید در جامعه استفاده کنند؟")</f>
        <v>چگونه متخصصان املاک و مستغلات می‌توانند از قدرت مشارکت‌ها و حمایت‌های محلی برای افزایش دیده شدن نام تجاری خود و کسب در معرض دید در جامعه استفاده کنند؟</v>
      </c>
      <c r="H5063" s="1"/>
      <c r="I5063" s="1"/>
      <c r="J5063" s="1"/>
      <c r="K5063" s="1"/>
      <c r="L5063" s="1"/>
      <c r="M5063" s="1"/>
      <c r="N5063" s="1"/>
      <c r="O5063" s="1"/>
      <c r="P5063" s="1"/>
      <c r="Q5063" s="1"/>
      <c r="R5063" s="1"/>
      <c r="S5063" s="1"/>
      <c r="T5063" s="1"/>
      <c r="U5063" s="1"/>
      <c r="V5063" s="1"/>
      <c r="W5063" s="1"/>
      <c r="X5063" s="1"/>
      <c r="Y5063" s="1"/>
      <c r="Z5063" s="1"/>
      <c r="AA5063" s="1"/>
      <c r="AB5063" s="1"/>
    </row>
    <row r="5064" ht="50.25" customHeight="1">
      <c r="A5064" s="12">
        <v>5060.0</v>
      </c>
      <c r="B5064" s="13" t="s">
        <v>5027</v>
      </c>
      <c r="C5064" s="18" t="s">
        <v>5084</v>
      </c>
      <c r="D5064" s="1"/>
      <c r="E5064" s="1"/>
      <c r="F5064" s="1" t="str">
        <f>IFERROR(__xludf.DUMMYFUNCTION("GOOGLETRANSLATE(B5064, ""en"", ""fa"")
"),"املاک و مستغلات برای حرفه ای ها")</f>
        <v>املاک و مستغلات برای حرفه ای ها</v>
      </c>
      <c r="G5064" s="1" t="str">
        <f>IFERROR(__xludf.DUMMYFUNCTION("GOOGLETRANSLATE(C5064, ""en"", ""fa"")
"),"بهترین شیوه ها برای استفاده از بخش بندی مشتری و کمپین های بازاریابی شخصی شده برای ارائه پیام های هدفمند و افزایش نرخ تبدیل چیست؟")</f>
        <v>بهترین شیوه ها برای استفاده از بخش بندی مشتری و کمپین های بازاریابی شخصی شده برای ارائه پیام های هدفمند و افزایش نرخ تبدیل چیست؟</v>
      </c>
      <c r="H5064" s="1"/>
      <c r="I5064" s="1"/>
      <c r="J5064" s="1"/>
      <c r="K5064" s="1"/>
      <c r="L5064" s="1"/>
      <c r="M5064" s="1"/>
      <c r="N5064" s="1"/>
      <c r="O5064" s="1"/>
      <c r="P5064" s="1"/>
      <c r="Q5064" s="1"/>
      <c r="R5064" s="1"/>
      <c r="S5064" s="1"/>
      <c r="T5064" s="1"/>
      <c r="U5064" s="1"/>
      <c r="V5064" s="1"/>
      <c r="W5064" s="1"/>
      <c r="X5064" s="1"/>
      <c r="Y5064" s="1"/>
      <c r="Z5064" s="1"/>
      <c r="AA5064" s="1"/>
      <c r="AB5064" s="1"/>
    </row>
    <row r="5065" ht="50.25" customHeight="1">
      <c r="A5065" s="12">
        <v>5061.0</v>
      </c>
      <c r="B5065" s="13" t="s">
        <v>5027</v>
      </c>
      <c r="C5065" s="18" t="s">
        <v>5085</v>
      </c>
      <c r="D5065" s="1"/>
      <c r="E5065" s="1"/>
      <c r="F5065" s="1" t="str">
        <f>IFERROR(__xludf.DUMMYFUNCTION("GOOGLETRANSLATE(B5065, ""en"", ""fa"")
"),"املاک و مستغلات برای حرفه ای ها")</f>
        <v>املاک و مستغلات برای حرفه ای ها</v>
      </c>
      <c r="G5065" s="1" t="str">
        <f>IFERROR(__xludf.DUMMYFUNCTION("GOOGLETRANSLATE(C5065, ""en"", ""fa"")
"),"چگونه متخصصان املاک و مستغلات می توانند به طور موثر از صحنه سازی مجازی و رندر سه بعدی برای افزایش جذابیت بصری املاک و تسهیل تجسم خریدار استفاده کنند؟")</f>
        <v>چگونه متخصصان املاک و مستغلات می توانند به طور موثر از صحنه سازی مجازی و رندر سه بعدی برای افزایش جذابیت بصری املاک و تسهیل تجسم خریدار استفاده کنند؟</v>
      </c>
      <c r="H5065" s="1"/>
      <c r="I5065" s="1"/>
      <c r="J5065" s="1"/>
      <c r="K5065" s="1"/>
      <c r="L5065" s="1"/>
      <c r="M5065" s="1"/>
      <c r="N5065" s="1"/>
      <c r="O5065" s="1"/>
      <c r="P5065" s="1"/>
      <c r="Q5065" s="1"/>
      <c r="R5065" s="1"/>
      <c r="S5065" s="1"/>
      <c r="T5065" s="1"/>
      <c r="U5065" s="1"/>
      <c r="V5065" s="1"/>
      <c r="W5065" s="1"/>
      <c r="X5065" s="1"/>
      <c r="Y5065" s="1"/>
      <c r="Z5065" s="1"/>
      <c r="AA5065" s="1"/>
      <c r="AB5065" s="1"/>
    </row>
    <row r="5066" ht="50.25" customHeight="1">
      <c r="A5066" s="12">
        <v>5062.0</v>
      </c>
      <c r="B5066" s="13" t="s">
        <v>5027</v>
      </c>
      <c r="C5066" s="18" t="s">
        <v>5086</v>
      </c>
      <c r="D5066" s="1"/>
      <c r="E5066" s="1"/>
      <c r="F5066" s="1" t="str">
        <f>IFERROR(__xludf.DUMMYFUNCTION("GOOGLETRANSLATE(B5066, ""en"", ""fa"")
"),"املاک و مستغلات برای حرفه ای ها")</f>
        <v>املاک و مستغلات برای حرفه ای ها</v>
      </c>
      <c r="G5066" s="1" t="str">
        <f>IFERROR(__xludf.DUMMYFUNCTION("GOOGLETRANSLATE(C5066, ""en"", ""fa"")
"),"مراحل ضروری برای ایجاد هویت برند منسجم و منسجم برای یک تجارت املاک، از جمله طراحی لوگو و عناصر بصری چیست؟")</f>
        <v>مراحل ضروری برای ایجاد هویت برند منسجم و منسجم برای یک تجارت املاک، از جمله طراحی لوگو و عناصر بصری چیست؟</v>
      </c>
      <c r="H5066" s="1"/>
      <c r="I5066" s="1"/>
      <c r="J5066" s="1"/>
      <c r="K5066" s="1"/>
      <c r="L5066" s="1"/>
      <c r="M5066" s="1"/>
      <c r="N5066" s="1"/>
      <c r="O5066" s="1"/>
      <c r="P5066" s="1"/>
      <c r="Q5066" s="1"/>
      <c r="R5066" s="1"/>
      <c r="S5066" s="1"/>
      <c r="T5066" s="1"/>
      <c r="U5066" s="1"/>
      <c r="V5066" s="1"/>
      <c r="W5066" s="1"/>
      <c r="X5066" s="1"/>
      <c r="Y5066" s="1"/>
      <c r="Z5066" s="1"/>
      <c r="AA5066" s="1"/>
      <c r="AB5066" s="1"/>
    </row>
    <row r="5067" ht="50.25" customHeight="1">
      <c r="A5067" s="12">
        <v>5063.0</v>
      </c>
      <c r="B5067" s="13" t="s">
        <v>5027</v>
      </c>
      <c r="C5067" s="18" t="s">
        <v>5087</v>
      </c>
      <c r="D5067" s="1"/>
      <c r="E5067" s="1"/>
      <c r="F5067" s="1" t="str">
        <f>IFERROR(__xludf.DUMMYFUNCTION("GOOGLETRANSLATE(B5067, ""en"", ""fa"")
"),"املاک و مستغلات برای حرفه ای ها")</f>
        <v>املاک و مستغلات برای حرفه ای ها</v>
      </c>
      <c r="G5067" s="1" t="str">
        <f>IFERROR(__xludf.DUMMYFUNCTION("GOOGLETRANSLATE(C5067, ""en"", ""fa"")
"),"چگونه متخصصان املاک و مستغلات می توانند از شواهد اجتماعی، مانند توصیفات مشتری و مطالعات موردی، برای ایجاد اعتماد و اعتبار در بین خریداران بالقوه استفاده کنند؟")</f>
        <v>چگونه متخصصان املاک و مستغلات می توانند از شواهد اجتماعی، مانند توصیفات مشتری و مطالعات موردی، برای ایجاد اعتماد و اعتبار در بین خریداران بالقوه استفاده کنند؟</v>
      </c>
      <c r="H5067" s="1"/>
      <c r="I5067" s="1"/>
      <c r="J5067" s="1"/>
      <c r="K5067" s="1"/>
      <c r="L5067" s="1"/>
      <c r="M5067" s="1"/>
      <c r="N5067" s="1"/>
      <c r="O5067" s="1"/>
      <c r="P5067" s="1"/>
      <c r="Q5067" s="1"/>
      <c r="R5067" s="1"/>
      <c r="S5067" s="1"/>
      <c r="T5067" s="1"/>
      <c r="U5067" s="1"/>
      <c r="V5067" s="1"/>
      <c r="W5067" s="1"/>
      <c r="X5067" s="1"/>
      <c r="Y5067" s="1"/>
      <c r="Z5067" s="1"/>
      <c r="AA5067" s="1"/>
      <c r="AB5067" s="1"/>
    </row>
    <row r="5068" ht="50.25" customHeight="1">
      <c r="A5068" s="12">
        <v>5064.0</v>
      </c>
      <c r="B5068" s="13" t="s">
        <v>5027</v>
      </c>
      <c r="C5068" s="18" t="s">
        <v>5088</v>
      </c>
      <c r="D5068" s="1"/>
      <c r="E5068" s="1"/>
      <c r="F5068" s="1" t="str">
        <f>IFERROR(__xludf.DUMMYFUNCTION("GOOGLETRANSLATE(B5068, ""en"", ""fa"")
"),"املاک و مستغلات برای حرفه ای ها")</f>
        <v>املاک و مستغلات برای حرفه ای ها</v>
      </c>
      <c r="G5068" s="1" t="str">
        <f>IFERROR(__xludf.DUMMYFUNCTION("GOOGLETRANSLATE(C5068, ""en"", ""fa"")
"),"استراتژی های کلیدی برای استفاده از geofencing و بازاریابی مبتنی بر مکان برای هدف قرار دادن خریداران بالقوه در مناطق یا محله های خاص چیست؟")</f>
        <v>استراتژی های کلیدی برای استفاده از geofencing و بازاریابی مبتنی بر مکان برای هدف قرار دادن خریداران بالقوه در مناطق یا محله های خاص چیست؟</v>
      </c>
      <c r="H5068" s="1"/>
      <c r="I5068" s="1"/>
      <c r="J5068" s="1"/>
      <c r="K5068" s="1"/>
      <c r="L5068" s="1"/>
      <c r="M5068" s="1"/>
      <c r="N5068" s="1"/>
      <c r="O5068" s="1"/>
      <c r="P5068" s="1"/>
      <c r="Q5068" s="1"/>
      <c r="R5068" s="1"/>
      <c r="S5068" s="1"/>
      <c r="T5068" s="1"/>
      <c r="U5068" s="1"/>
      <c r="V5068" s="1"/>
      <c r="W5068" s="1"/>
      <c r="X5068" s="1"/>
      <c r="Y5068" s="1"/>
      <c r="Z5068" s="1"/>
      <c r="AA5068" s="1"/>
      <c r="AB5068" s="1"/>
    </row>
    <row r="5069" ht="50.25" customHeight="1">
      <c r="A5069" s="12">
        <v>5065.0</v>
      </c>
      <c r="B5069" s="13" t="s">
        <v>5027</v>
      </c>
      <c r="C5069" s="18" t="s">
        <v>5089</v>
      </c>
      <c r="D5069" s="1"/>
      <c r="E5069" s="1"/>
      <c r="F5069" s="1" t="str">
        <f>IFERROR(__xludf.DUMMYFUNCTION("GOOGLETRANSLATE(B5069, ""en"", ""fa"")
"),"املاک و مستغلات برای حرفه ای ها")</f>
        <v>املاک و مستغلات برای حرفه ای ها</v>
      </c>
      <c r="G5069" s="1" t="str">
        <f>IFERROR(__xludf.DUMMYFUNCTION("GOOGLETRANSLATE(C5069, ""en"", ""fa"")
"),"چگونه متخصصان املاک و مستغلات می توانند تکنیک های داستان سرایی را در توضیحات فهرست املاک خود بگنجانند تا حس ارتباط و تمایل عاطفی ایجاد کنند؟")</f>
        <v>چگونه متخصصان املاک و مستغلات می توانند تکنیک های داستان سرایی را در توضیحات فهرست املاک خود بگنجانند تا حس ارتباط و تمایل عاطفی ایجاد کنند؟</v>
      </c>
      <c r="H5069" s="1"/>
      <c r="I5069" s="1"/>
      <c r="J5069" s="1"/>
      <c r="K5069" s="1"/>
      <c r="L5069" s="1"/>
      <c r="M5069" s="1"/>
      <c r="N5069" s="1"/>
      <c r="O5069" s="1"/>
      <c r="P5069" s="1"/>
      <c r="Q5069" s="1"/>
      <c r="R5069" s="1"/>
      <c r="S5069" s="1"/>
      <c r="T5069" s="1"/>
      <c r="U5069" s="1"/>
      <c r="V5069" s="1"/>
      <c r="W5069" s="1"/>
      <c r="X5069" s="1"/>
      <c r="Y5069" s="1"/>
      <c r="Z5069" s="1"/>
      <c r="AA5069" s="1"/>
      <c r="AB5069" s="1"/>
    </row>
    <row r="5070" ht="50.25" customHeight="1">
      <c r="A5070" s="12">
        <v>5066.0</v>
      </c>
      <c r="B5070" s="13" t="s">
        <v>5027</v>
      </c>
      <c r="C5070" s="18" t="s">
        <v>5090</v>
      </c>
      <c r="D5070" s="1"/>
      <c r="E5070" s="1"/>
      <c r="F5070" s="1" t="str">
        <f>IFERROR(__xludf.DUMMYFUNCTION("GOOGLETRANSLATE(B5070, ""en"", ""fa"")
"),"املاک و مستغلات برای حرفه ای ها")</f>
        <v>املاک و مستغلات برای حرفه ای ها</v>
      </c>
      <c r="G5070" s="1" t="str">
        <f>IFERROR(__xludf.DUMMYFUNCTION("GOOGLETRANSLATE(C5070, ""en"", ""fa"")
"),"هنگام بهینه‌سازی وب‌سایت‌های املاک و مستغلات برای دستگاه‌های تلفن همراه، اطمینان از تجربه کاربری و دسترسی یکپارچه، چه عواملی حیاتی باید در نظر گرفته شود؟")</f>
        <v>هنگام بهینه‌سازی وب‌سایت‌های املاک و مستغلات برای دستگاه‌های تلفن همراه، اطمینان از تجربه کاربری و دسترسی یکپارچه، چه عواملی حیاتی باید در نظر گرفته شود؟</v>
      </c>
      <c r="H5070" s="1"/>
      <c r="I5070" s="1"/>
      <c r="J5070" s="1"/>
      <c r="K5070" s="1"/>
      <c r="L5070" s="1"/>
      <c r="M5070" s="1"/>
      <c r="N5070" s="1"/>
      <c r="O5070" s="1"/>
      <c r="P5070" s="1"/>
      <c r="Q5070" s="1"/>
      <c r="R5070" s="1"/>
      <c r="S5070" s="1"/>
      <c r="T5070" s="1"/>
      <c r="U5070" s="1"/>
      <c r="V5070" s="1"/>
      <c r="W5070" s="1"/>
      <c r="X5070" s="1"/>
      <c r="Y5070" s="1"/>
      <c r="Z5070" s="1"/>
      <c r="AA5070" s="1"/>
      <c r="AB5070" s="1"/>
    </row>
    <row r="5071" ht="50.25" customHeight="1">
      <c r="A5071" s="12">
        <v>5067.0</v>
      </c>
      <c r="B5071" s="13" t="s">
        <v>5027</v>
      </c>
      <c r="C5071" s="18" t="s">
        <v>5091</v>
      </c>
      <c r="D5071" s="1"/>
      <c r="E5071" s="1"/>
      <c r="F5071" s="1" t="str">
        <f>IFERROR(__xludf.DUMMYFUNCTION("GOOGLETRANSLATE(B5071, ""en"", ""fa"")
"),"املاک و مستغلات برای حرفه ای ها")</f>
        <v>املاک و مستغلات برای حرفه ای ها</v>
      </c>
      <c r="G5071" s="1" t="str">
        <f>IFERROR(__xludf.DUMMYFUNCTION("GOOGLETRANSLATE(C5071, ""en"", ""fa"")
"),"چگونه متخصصان املاک و مستغلات می‌توانند از بازارهای آنلاین و فهرست‌بندی گردآورنده‌ها برای گسترش دامنه خود و جذب خریداران بالقوه استفاده کنند؟")</f>
        <v>چگونه متخصصان املاک و مستغلات می‌توانند از بازارهای آنلاین و فهرست‌بندی گردآورنده‌ها برای گسترش دامنه خود و جذب خریداران بالقوه استفاده کنند؟</v>
      </c>
      <c r="H5071" s="1"/>
      <c r="I5071" s="1"/>
      <c r="J5071" s="1"/>
      <c r="K5071" s="1"/>
      <c r="L5071" s="1"/>
      <c r="M5071" s="1"/>
      <c r="N5071" s="1"/>
      <c r="O5071" s="1"/>
      <c r="P5071" s="1"/>
      <c r="Q5071" s="1"/>
      <c r="R5071" s="1"/>
      <c r="S5071" s="1"/>
      <c r="T5071" s="1"/>
      <c r="U5071" s="1"/>
      <c r="V5071" s="1"/>
      <c r="W5071" s="1"/>
      <c r="X5071" s="1"/>
      <c r="Y5071" s="1"/>
      <c r="Z5071" s="1"/>
      <c r="AA5071" s="1"/>
      <c r="AB5071" s="1"/>
    </row>
    <row r="5072" ht="50.25" customHeight="1">
      <c r="A5072" s="12">
        <v>5068.0</v>
      </c>
      <c r="B5072" s="13" t="s">
        <v>5027</v>
      </c>
      <c r="C5072" s="18" t="s">
        <v>5092</v>
      </c>
      <c r="D5072" s="1"/>
      <c r="E5072" s="1"/>
      <c r="F5072" s="1" t="str">
        <f>IFERROR(__xludf.DUMMYFUNCTION("GOOGLETRANSLATE(B5072, ""en"", ""fa"")
"),"املاک و مستغلات برای حرفه ای ها")</f>
        <v>املاک و مستغلات برای حرفه ای ها</v>
      </c>
      <c r="G5072" s="1" t="str">
        <f>IFERROR(__xludf.DUMMYFUNCTION("GOOGLETRANSLATE(C5072, ""en"", ""fa"")
"),"بهترین شیوه ها برای ایجاد ویدئوهای ملکی جذاب و بصری که به طور موثر ویژگی ها و مزایای یک ملک را به نمایش می گذارد چیست؟")</f>
        <v>بهترین شیوه ها برای ایجاد ویدئوهای ملکی جذاب و بصری که به طور موثر ویژگی ها و مزایای یک ملک را به نمایش می گذارد چیست؟</v>
      </c>
      <c r="H5072" s="1"/>
      <c r="I5072" s="1"/>
      <c r="J5072" s="1"/>
      <c r="K5072" s="1"/>
      <c r="L5072" s="1"/>
      <c r="M5072" s="1"/>
      <c r="N5072" s="1"/>
      <c r="O5072" s="1"/>
      <c r="P5072" s="1"/>
      <c r="Q5072" s="1"/>
      <c r="R5072" s="1"/>
      <c r="S5072" s="1"/>
      <c r="T5072" s="1"/>
      <c r="U5072" s="1"/>
      <c r="V5072" s="1"/>
      <c r="W5072" s="1"/>
      <c r="X5072" s="1"/>
      <c r="Y5072" s="1"/>
      <c r="Z5072" s="1"/>
      <c r="AA5072" s="1"/>
      <c r="AB5072" s="1"/>
    </row>
    <row r="5073" ht="50.25" customHeight="1">
      <c r="A5073" s="12">
        <v>5069.0</v>
      </c>
      <c r="B5073" s="13" t="s">
        <v>5027</v>
      </c>
      <c r="C5073" s="18" t="s">
        <v>5093</v>
      </c>
      <c r="D5073" s="1"/>
      <c r="E5073" s="1"/>
      <c r="F5073" s="1" t="str">
        <f>IFERROR(__xludf.DUMMYFUNCTION("GOOGLETRANSLATE(B5073, ""en"", ""fa"")
"),"املاک و مستغلات برای حرفه ای ها")</f>
        <v>املاک و مستغلات برای حرفه ای ها</v>
      </c>
      <c r="G5073" s="1" t="str">
        <f>IFERROR(__xludf.DUMMYFUNCTION("GOOGLETRANSLATE(C5073, ""en"", ""fa"")
"),"چگونه متخصصان املاک و مستغلات می توانند به طور موثر از پیوند محتوا و وبلاگ نویسی مهمان برای دستیابی به مخاطبان گسترده تر و هدایت ترافیک به وب سایت خود استفاده کنند؟")</f>
        <v>چگونه متخصصان املاک و مستغلات می توانند به طور موثر از پیوند محتوا و وبلاگ نویسی مهمان برای دستیابی به مخاطبان گسترده تر و هدایت ترافیک به وب سایت خود استفاده کنند؟</v>
      </c>
      <c r="H5073" s="1"/>
      <c r="I5073" s="1"/>
      <c r="J5073" s="1"/>
      <c r="K5073" s="1"/>
      <c r="L5073" s="1"/>
      <c r="M5073" s="1"/>
      <c r="N5073" s="1"/>
      <c r="O5073" s="1"/>
      <c r="P5073" s="1"/>
      <c r="Q5073" s="1"/>
      <c r="R5073" s="1"/>
      <c r="S5073" s="1"/>
      <c r="T5073" s="1"/>
      <c r="U5073" s="1"/>
      <c r="V5073" s="1"/>
      <c r="W5073" s="1"/>
      <c r="X5073" s="1"/>
      <c r="Y5073" s="1"/>
      <c r="Z5073" s="1"/>
      <c r="AA5073" s="1"/>
      <c r="AB5073" s="1"/>
    </row>
    <row r="5074" ht="50.25" customHeight="1">
      <c r="A5074" s="12">
        <v>5070.0</v>
      </c>
      <c r="B5074" s="13" t="s">
        <v>5027</v>
      </c>
      <c r="C5074" s="18" t="s">
        <v>5094</v>
      </c>
      <c r="D5074" s="1"/>
      <c r="E5074" s="1"/>
      <c r="F5074" s="1" t="str">
        <f>IFERROR(__xludf.DUMMYFUNCTION("GOOGLETRANSLATE(B5074, ""en"", ""fa"")
"),"املاک و مستغلات برای حرفه ای ها")</f>
        <v>املاک و مستغلات برای حرفه ای ها</v>
      </c>
      <c r="G5074" s="1" t="str">
        <f>IFERROR(__xludf.DUMMYFUNCTION("GOOGLETRANSLATE(C5074, ""en"", ""fa"")
"),"استراتژی‌های کلیدی برای استفاده از تبلیغات رسانه‌های اجتماعی برای هدف قرار دادن اطلاعات جمعیتی خریداران خاص و ایجاد سرنخ برای املاک و مستغلات چیست؟")</f>
        <v>استراتژی‌های کلیدی برای استفاده از تبلیغات رسانه‌های اجتماعی برای هدف قرار دادن اطلاعات جمعیتی خریداران خاص و ایجاد سرنخ برای املاک و مستغلات چیست؟</v>
      </c>
      <c r="H5074" s="1"/>
      <c r="I5074" s="1"/>
      <c r="J5074" s="1"/>
      <c r="K5074" s="1"/>
      <c r="L5074" s="1"/>
      <c r="M5074" s="1"/>
      <c r="N5074" s="1"/>
      <c r="O5074" s="1"/>
      <c r="P5074" s="1"/>
      <c r="Q5074" s="1"/>
      <c r="R5074" s="1"/>
      <c r="S5074" s="1"/>
      <c r="T5074" s="1"/>
      <c r="U5074" s="1"/>
      <c r="V5074" s="1"/>
      <c r="W5074" s="1"/>
      <c r="X5074" s="1"/>
      <c r="Y5074" s="1"/>
      <c r="Z5074" s="1"/>
      <c r="AA5074" s="1"/>
      <c r="AB5074" s="1"/>
    </row>
    <row r="5075" ht="50.25" customHeight="1">
      <c r="A5075" s="12">
        <v>5071.0</v>
      </c>
      <c r="B5075" s="13" t="s">
        <v>5027</v>
      </c>
      <c r="C5075" s="18" t="s">
        <v>5095</v>
      </c>
      <c r="D5075" s="1"/>
      <c r="E5075" s="1"/>
      <c r="F5075" s="1" t="str">
        <f>IFERROR(__xludf.DUMMYFUNCTION("GOOGLETRANSLATE(B5075, ""en"", ""fa"")
"),"املاک و مستغلات برای حرفه ای ها")</f>
        <v>املاک و مستغلات برای حرفه ای ها</v>
      </c>
      <c r="G5075" s="1" t="str">
        <f>IFERROR(__xludf.DUMMYFUNCTION("GOOGLETRANSLATE(C5075, ""en"", ""fa"")
"),"چگونه متخصصان املاک و مستغلات می توانند بازاریابی تأثیرگذار را در استراتژی های خود بگنجانند تا از نفوذ و نفوذ کارشناسان و شخصیت های صنعت استفاده کنند؟")</f>
        <v>چگونه متخصصان املاک و مستغلات می توانند بازاریابی تأثیرگذار را در استراتژی های خود بگنجانند تا از نفوذ و نفوذ کارشناسان و شخصیت های صنعت استفاده کنند؟</v>
      </c>
      <c r="H5075" s="1"/>
      <c r="I5075" s="1"/>
      <c r="J5075" s="1"/>
      <c r="K5075" s="1"/>
      <c r="L5075" s="1"/>
      <c r="M5075" s="1"/>
      <c r="N5075" s="1"/>
      <c r="O5075" s="1"/>
      <c r="P5075" s="1"/>
      <c r="Q5075" s="1"/>
      <c r="R5075" s="1"/>
      <c r="S5075" s="1"/>
      <c r="T5075" s="1"/>
      <c r="U5075" s="1"/>
      <c r="V5075" s="1"/>
      <c r="W5075" s="1"/>
      <c r="X5075" s="1"/>
      <c r="Y5075" s="1"/>
      <c r="Z5075" s="1"/>
      <c r="AA5075" s="1"/>
      <c r="AB5075" s="1"/>
    </row>
    <row r="5076" ht="50.25" customHeight="1">
      <c r="A5076" s="12">
        <v>5072.0</v>
      </c>
      <c r="B5076" s="13" t="s">
        <v>5027</v>
      </c>
      <c r="C5076" s="18" t="s">
        <v>5096</v>
      </c>
      <c r="D5076" s="1"/>
      <c r="E5076" s="1"/>
      <c r="F5076" s="1" t="str">
        <f>IFERROR(__xludf.DUMMYFUNCTION("GOOGLETRANSLATE(B5076, ""en"", ""fa"")
"),"املاک و مستغلات برای حرفه ای ها")</f>
        <v>املاک و مستغلات برای حرفه ای ها</v>
      </c>
      <c r="G5076" s="1" t="str">
        <f>IFERROR(__xludf.DUMMYFUNCTION("GOOGLETRANSLATE(C5076, ""en"", ""fa"")
"),"هنگام طراحی و بهینه‌سازی خبرنامه‌های ایمیل املاک و مستغلات برای به حداکثر رساندن نرخ باز و تعامل، چه عواملی را باید در نظر گرفت؟")</f>
        <v>هنگام طراحی و بهینه‌سازی خبرنامه‌های ایمیل املاک و مستغلات برای به حداکثر رساندن نرخ باز و تعامل، چه عواملی را باید در نظر گرفت؟</v>
      </c>
      <c r="H5076" s="1"/>
      <c r="I5076" s="1"/>
      <c r="J5076" s="1"/>
      <c r="K5076" s="1"/>
      <c r="L5076" s="1"/>
      <c r="M5076" s="1"/>
      <c r="N5076" s="1"/>
      <c r="O5076" s="1"/>
      <c r="P5076" s="1"/>
      <c r="Q5076" s="1"/>
      <c r="R5076" s="1"/>
      <c r="S5076" s="1"/>
      <c r="T5076" s="1"/>
      <c r="U5076" s="1"/>
      <c r="V5076" s="1"/>
      <c r="W5076" s="1"/>
      <c r="X5076" s="1"/>
      <c r="Y5076" s="1"/>
      <c r="Z5076" s="1"/>
      <c r="AA5076" s="1"/>
      <c r="AB5076" s="1"/>
    </row>
    <row r="5077" ht="50.25" customHeight="1">
      <c r="A5077" s="12">
        <v>5073.0</v>
      </c>
      <c r="B5077" s="13" t="s">
        <v>5027</v>
      </c>
      <c r="C5077" s="18" t="s">
        <v>5097</v>
      </c>
      <c r="D5077" s="1"/>
      <c r="E5077" s="1"/>
      <c r="F5077" s="1" t="str">
        <f>IFERROR(__xludf.DUMMYFUNCTION("GOOGLETRANSLATE(B5077, ""en"", ""fa"")
"),"املاک و مستغلات برای حرفه ای ها")</f>
        <v>املاک و مستغلات برای حرفه ای ها</v>
      </c>
      <c r="G5077" s="1" t="str">
        <f>IFERROR(__xludf.DUMMYFUNCTION("GOOGLETRANSLATE(C5077, ""en"", ""fa"")
"),"چگونه متخصصان املاک و مستغلات می توانند از قدرت محتوای تولید شده توسط کاربر، مانند بررسی ها و توصیفات رسانه های اجتماعی، برای افزایش شهرت برند خود استفاده کنند؟")</f>
        <v>چگونه متخصصان املاک و مستغلات می توانند از قدرت محتوای تولید شده توسط کاربر، مانند بررسی ها و توصیفات رسانه های اجتماعی، برای افزایش شهرت برند خود استفاده کنند؟</v>
      </c>
      <c r="H5077" s="1"/>
      <c r="I5077" s="1"/>
      <c r="J5077" s="1"/>
      <c r="K5077" s="1"/>
      <c r="L5077" s="1"/>
      <c r="M5077" s="1"/>
      <c r="N5077" s="1"/>
      <c r="O5077" s="1"/>
      <c r="P5077" s="1"/>
      <c r="Q5077" s="1"/>
      <c r="R5077" s="1"/>
      <c r="S5077" s="1"/>
      <c r="T5077" s="1"/>
      <c r="U5077" s="1"/>
      <c r="V5077" s="1"/>
      <c r="W5077" s="1"/>
      <c r="X5077" s="1"/>
      <c r="Y5077" s="1"/>
      <c r="Z5077" s="1"/>
      <c r="AA5077" s="1"/>
      <c r="AB5077" s="1"/>
    </row>
    <row r="5078" ht="50.25" customHeight="1">
      <c r="A5078" s="12">
        <v>5074.0</v>
      </c>
      <c r="B5078" s="13" t="s">
        <v>5027</v>
      </c>
      <c r="C5078" s="18" t="s">
        <v>5098</v>
      </c>
      <c r="D5078" s="1"/>
      <c r="E5078" s="1"/>
      <c r="F5078" s="1" t="str">
        <f>IFERROR(__xludf.DUMMYFUNCTION("GOOGLETRANSLATE(B5078, ""en"", ""fa"")
"),"املاک و مستغلات برای حرفه ای ها")</f>
        <v>املاک و مستغلات برای حرفه ای ها</v>
      </c>
      <c r="G5078" s="1" t="str">
        <f>IFERROR(__xludf.DUMMYFUNCTION("GOOGLETRANSLATE(C5078, ""en"", ""fa"")
"),"بهترین شیوه ها برای استفاده از فناوری واقعیت مجازی (VR) یا واقعیت افزوده (AR) برای ارائه تجربیات ملکی همهجانبه برای خریداران بالقوه چیست؟")</f>
        <v>بهترین شیوه ها برای استفاده از فناوری واقعیت مجازی (VR) یا واقعیت افزوده (AR) برای ارائه تجربیات ملکی همهجانبه برای خریداران بالقوه چیست؟</v>
      </c>
      <c r="H5078" s="1"/>
      <c r="I5078" s="1"/>
      <c r="J5078" s="1"/>
      <c r="K5078" s="1"/>
      <c r="L5078" s="1"/>
      <c r="M5078" s="1"/>
      <c r="N5078" s="1"/>
      <c r="O5078" s="1"/>
      <c r="P5078" s="1"/>
      <c r="Q5078" s="1"/>
      <c r="R5078" s="1"/>
      <c r="S5078" s="1"/>
      <c r="T5078" s="1"/>
      <c r="U5078" s="1"/>
      <c r="V5078" s="1"/>
      <c r="W5078" s="1"/>
      <c r="X5078" s="1"/>
      <c r="Y5078" s="1"/>
      <c r="Z5078" s="1"/>
      <c r="AA5078" s="1"/>
      <c r="AB5078" s="1"/>
    </row>
    <row r="5079" ht="50.25" customHeight="1">
      <c r="A5079" s="12">
        <v>5075.0</v>
      </c>
      <c r="B5079" s="13" t="s">
        <v>5027</v>
      </c>
      <c r="C5079" s="18" t="s">
        <v>5099</v>
      </c>
      <c r="D5079" s="1"/>
      <c r="E5079" s="1"/>
      <c r="F5079" s="1" t="str">
        <f>IFERROR(__xludf.DUMMYFUNCTION("GOOGLETRANSLATE(B5079, ""en"", ""fa"")
"),"املاک و مستغلات برای حرفه ای ها")</f>
        <v>املاک و مستغلات برای حرفه ای ها</v>
      </c>
      <c r="G5079" s="1" t="str">
        <f>IFERROR(__xludf.DUMMYFUNCTION("GOOGLETRANSLATE(C5079, ""en"", ""fa"")
"),"چگونه متخصصان املاک و مستغلات می توانند به طور موثر از چت بات ها و پیام های مبتنی بر هوش مصنوعی برای ارائه پشتیبانی فوری مشتری و تعامل با بازدیدکنندگان وب سایت استفاده کنند؟")</f>
        <v>چگونه متخصصان املاک و مستغلات می توانند به طور موثر از چت بات ها و پیام های مبتنی بر هوش مصنوعی برای ارائه پشتیبانی فوری مشتری و تعامل با بازدیدکنندگان وب سایت استفاده کنند؟</v>
      </c>
      <c r="H5079" s="1"/>
      <c r="I5079" s="1"/>
      <c r="J5079" s="1"/>
      <c r="K5079" s="1"/>
      <c r="L5079" s="1"/>
      <c r="M5079" s="1"/>
      <c r="N5079" s="1"/>
      <c r="O5079" s="1"/>
      <c r="P5079" s="1"/>
      <c r="Q5079" s="1"/>
      <c r="R5079" s="1"/>
      <c r="S5079" s="1"/>
      <c r="T5079" s="1"/>
      <c r="U5079" s="1"/>
      <c r="V5079" s="1"/>
      <c r="W5079" s="1"/>
      <c r="X5079" s="1"/>
      <c r="Y5079" s="1"/>
      <c r="Z5079" s="1"/>
      <c r="AA5079" s="1"/>
      <c r="AB5079" s="1"/>
    </row>
    <row r="5080" ht="50.25" customHeight="1">
      <c r="A5080" s="12">
        <v>5076.0</v>
      </c>
      <c r="B5080" s="13" t="s">
        <v>5027</v>
      </c>
      <c r="C5080" s="18" t="s">
        <v>5100</v>
      </c>
      <c r="D5080" s="1"/>
      <c r="E5080" s="1"/>
      <c r="F5080" s="1" t="str">
        <f>IFERROR(__xludf.DUMMYFUNCTION("GOOGLETRANSLATE(B5080, ""en"", ""fa"")
"),"املاک و مستغلات برای حرفه ای ها")</f>
        <v>املاک و مستغلات برای حرفه ای ها</v>
      </c>
      <c r="G5080" s="1" t="str">
        <f>IFERROR(__xludf.DUMMYFUNCTION("GOOGLETRANSLATE(C5080, ""en"", ""fa"")
"),"استراتژی های کلیدی برای استفاده از تجزیه و تحلیل داده ها و ابزارهای ردیابی برای سنجش موفقیت کمپین های بازاریابی املاک و مستغلات و بهینه سازی تلاش های آینده چیست؟")</f>
        <v>استراتژی های کلیدی برای استفاده از تجزیه و تحلیل داده ها و ابزارهای ردیابی برای سنجش موفقیت کمپین های بازاریابی املاک و مستغلات و بهینه سازی تلاش های آینده چیست؟</v>
      </c>
      <c r="H5080" s="1"/>
      <c r="I5080" s="1"/>
      <c r="J5080" s="1"/>
      <c r="K5080" s="1"/>
      <c r="L5080" s="1"/>
      <c r="M5080" s="1"/>
      <c r="N5080" s="1"/>
      <c r="O5080" s="1"/>
      <c r="P5080" s="1"/>
      <c r="Q5080" s="1"/>
      <c r="R5080" s="1"/>
      <c r="S5080" s="1"/>
      <c r="T5080" s="1"/>
      <c r="U5080" s="1"/>
      <c r="V5080" s="1"/>
      <c r="W5080" s="1"/>
      <c r="X5080" s="1"/>
      <c r="Y5080" s="1"/>
      <c r="Z5080" s="1"/>
      <c r="AA5080" s="1"/>
      <c r="AB5080" s="1"/>
    </row>
    <row r="5081" ht="50.25" customHeight="1">
      <c r="A5081" s="12">
        <v>5077.0</v>
      </c>
      <c r="B5081" s="13" t="s">
        <v>5027</v>
      </c>
      <c r="C5081" s="18" t="s">
        <v>5101</v>
      </c>
      <c r="D5081" s="1"/>
      <c r="E5081" s="1"/>
      <c r="F5081" s="1" t="str">
        <f>IFERROR(__xludf.DUMMYFUNCTION("GOOGLETRANSLATE(B5081, ""en"", ""fa"")
"),"املاک و مستغلات برای حرفه ای ها")</f>
        <v>املاک و مستغلات برای حرفه ای ها</v>
      </c>
      <c r="G5081" s="1" t="str">
        <f>IFERROR(__xludf.DUMMYFUNCTION("GOOGLETRANSLATE(C5081, ""en"", ""fa"")
"),"چگونه متخصصان املاک و مستغلات می توانند همکاری ها و مشارکت های تأثیرگذار را در استراتژی های بازاریابی خود بگنجانند تا دامنه برند خود را تقویت کنند و اعتبار کسب کنند؟")</f>
        <v>چگونه متخصصان املاک و مستغلات می توانند همکاری ها و مشارکت های تأثیرگذار را در استراتژی های بازاریابی خود بگنجانند تا دامنه برند خود را تقویت کنند و اعتبار کسب کنند؟</v>
      </c>
      <c r="H5081" s="1"/>
      <c r="I5081" s="1"/>
      <c r="J5081" s="1"/>
      <c r="K5081" s="1"/>
      <c r="L5081" s="1"/>
      <c r="M5081" s="1"/>
      <c r="N5081" s="1"/>
      <c r="O5081" s="1"/>
      <c r="P5081" s="1"/>
      <c r="Q5081" s="1"/>
      <c r="R5081" s="1"/>
      <c r="S5081" s="1"/>
      <c r="T5081" s="1"/>
      <c r="U5081" s="1"/>
      <c r="V5081" s="1"/>
      <c r="W5081" s="1"/>
      <c r="X5081" s="1"/>
      <c r="Y5081" s="1"/>
      <c r="Z5081" s="1"/>
      <c r="AA5081" s="1"/>
      <c r="AB5081" s="1"/>
    </row>
    <row r="5082" ht="50.25" customHeight="1">
      <c r="A5082" s="12">
        <v>5078.0</v>
      </c>
      <c r="B5082" s="13" t="s">
        <v>5027</v>
      </c>
      <c r="C5082" s="18" t="s">
        <v>5102</v>
      </c>
      <c r="D5082" s="1"/>
      <c r="E5082" s="1"/>
      <c r="F5082" s="1" t="str">
        <f>IFERROR(__xludf.DUMMYFUNCTION("GOOGLETRANSLATE(B5082, ""en"", ""fa"")
"),"املاک و مستغلات برای حرفه ای ها")</f>
        <v>املاک و مستغلات برای حرفه ای ها</v>
      </c>
      <c r="G5082" s="1" t="str">
        <f>IFERROR(__xludf.DUMMYFUNCTION("GOOGLETRANSLATE(C5082, ""en"", ""fa"")
"),"عوامل مهمی که باید در هنگام توسعه یک استراتژی بازاریابی محتوا برای متخصصان املاک و مستغلات، از جمله انتخاب موضوعات و کانال‌های مرتبط، در نظر گرفت؟")</f>
        <v>عوامل مهمی که باید در هنگام توسعه یک استراتژی بازاریابی محتوا برای متخصصان املاک و مستغلات، از جمله انتخاب موضوعات و کانال‌های مرتبط، در نظر گرفت؟</v>
      </c>
      <c r="H5082" s="1"/>
      <c r="I5082" s="1"/>
      <c r="J5082" s="1"/>
      <c r="K5082" s="1"/>
      <c r="L5082" s="1"/>
      <c r="M5082" s="1"/>
      <c r="N5082" s="1"/>
      <c r="O5082" s="1"/>
      <c r="P5082" s="1"/>
      <c r="Q5082" s="1"/>
      <c r="R5082" s="1"/>
      <c r="S5082" s="1"/>
      <c r="T5082" s="1"/>
      <c r="U5082" s="1"/>
      <c r="V5082" s="1"/>
      <c r="W5082" s="1"/>
      <c r="X5082" s="1"/>
      <c r="Y5082" s="1"/>
      <c r="Z5082" s="1"/>
      <c r="AA5082" s="1"/>
      <c r="AB5082" s="1"/>
    </row>
    <row r="5083" ht="50.25" customHeight="1">
      <c r="A5083" s="12">
        <v>5079.0</v>
      </c>
      <c r="B5083" s="13" t="s">
        <v>5027</v>
      </c>
      <c r="C5083" s="18" t="s">
        <v>5103</v>
      </c>
      <c r="D5083" s="1"/>
      <c r="E5083" s="1"/>
      <c r="F5083" s="1" t="str">
        <f>IFERROR(__xludf.DUMMYFUNCTION("GOOGLETRANSLATE(B5083, ""en"", ""fa"")
"),"املاک و مستغلات برای حرفه ای ها")</f>
        <v>املاک و مستغلات برای حرفه ای ها</v>
      </c>
      <c r="G5083" s="1" t="str">
        <f>IFERROR(__xludf.DUMMYFUNCTION("GOOGLETRANSLATE(C5083, ""en"", ""fa"")
"),"چگونه متخصصان املاک و مستغلات می توانند از قدرت تأثیرگذاران رسانه های اجتماعی برای تبلیغ لیست خود و جذب مخاطبان وسیع تری از خریداران بالقوه استفاده کنند؟")</f>
        <v>چگونه متخصصان املاک و مستغلات می توانند از قدرت تأثیرگذاران رسانه های اجتماعی برای تبلیغ لیست خود و جذب مخاطبان وسیع تری از خریداران بالقوه استفاده کنند؟</v>
      </c>
      <c r="H5083" s="1"/>
      <c r="I5083" s="1"/>
      <c r="J5083" s="1"/>
      <c r="K5083" s="1"/>
      <c r="L5083" s="1"/>
      <c r="M5083" s="1"/>
      <c r="N5083" s="1"/>
      <c r="O5083" s="1"/>
      <c r="P5083" s="1"/>
      <c r="Q5083" s="1"/>
      <c r="R5083" s="1"/>
      <c r="S5083" s="1"/>
      <c r="T5083" s="1"/>
      <c r="U5083" s="1"/>
      <c r="V5083" s="1"/>
      <c r="W5083" s="1"/>
      <c r="X5083" s="1"/>
      <c r="Y5083" s="1"/>
      <c r="Z5083" s="1"/>
      <c r="AA5083" s="1"/>
      <c r="AB5083" s="1"/>
    </row>
    <row r="5084" ht="50.25" customHeight="1">
      <c r="A5084" s="12">
        <v>5080.0</v>
      </c>
      <c r="B5084" s="13" t="s">
        <v>5027</v>
      </c>
      <c r="C5084" s="18" t="s">
        <v>5104</v>
      </c>
      <c r="D5084" s="1"/>
      <c r="E5084" s="1"/>
      <c r="F5084" s="1" t="str">
        <f>IFERROR(__xludf.DUMMYFUNCTION("GOOGLETRANSLATE(B5084, ""en"", ""fa"")
"),"املاک و مستغلات برای حرفه ای ها")</f>
        <v>املاک و مستغلات برای حرفه ای ها</v>
      </c>
      <c r="G5084" s="1" t="str">
        <f>IFERROR(__xludf.DUMMYFUNCTION("GOOGLETRANSLATE(C5084, ""en"", ""fa"")
"),"بهترین روش ها برای استفاده از تبلیغات هدفمند مجدد و تکنیک های بازاریابی مجدد برای تعامل مجدد با بازدیدکنندگان وب سایت و تبدیل آنها به سرنخ چیست؟")</f>
        <v>بهترین روش ها برای استفاده از تبلیغات هدفمند مجدد و تکنیک های بازاریابی مجدد برای تعامل مجدد با بازدیدکنندگان وب سایت و تبدیل آنها به سرنخ چیست؟</v>
      </c>
      <c r="H5084" s="1"/>
      <c r="I5084" s="1"/>
      <c r="J5084" s="1"/>
      <c r="K5084" s="1"/>
      <c r="L5084" s="1"/>
      <c r="M5084" s="1"/>
      <c r="N5084" s="1"/>
      <c r="O5084" s="1"/>
      <c r="P5084" s="1"/>
      <c r="Q5084" s="1"/>
      <c r="R5084" s="1"/>
      <c r="S5084" s="1"/>
      <c r="T5084" s="1"/>
      <c r="U5084" s="1"/>
      <c r="V5084" s="1"/>
      <c r="W5084" s="1"/>
      <c r="X5084" s="1"/>
      <c r="Y5084" s="1"/>
      <c r="Z5084" s="1"/>
      <c r="AA5084" s="1"/>
      <c r="AB5084" s="1"/>
    </row>
    <row r="5085" ht="50.25" customHeight="1">
      <c r="A5085" s="12">
        <v>5081.0</v>
      </c>
      <c r="B5085" s="13" t="s">
        <v>5027</v>
      </c>
      <c r="C5085" s="18" t="s">
        <v>5105</v>
      </c>
      <c r="D5085" s="1"/>
      <c r="E5085" s="1"/>
      <c r="F5085" s="1" t="str">
        <f>IFERROR(__xludf.DUMMYFUNCTION("GOOGLETRANSLATE(B5085, ""en"", ""fa"")
"),"املاک و مستغلات برای حرفه ای ها")</f>
        <v>املاک و مستغلات برای حرفه ای ها</v>
      </c>
      <c r="G5085" s="1" t="str">
        <f>IFERROR(__xludf.DUMMYFUNCTION("GOOGLETRANSLATE(C5085, ""en"", ""fa"")
"),"چگونه متخصصان املاک و مستغلات می توانند به طور موثر از پلتفرم های پخش زنده مانند فیس بوک لایو یا اینستاگرام لایو برای نمایش املاک و تعامل با خریداران بالقوه در زمان واقعی استفاده کنند؟")</f>
        <v>چگونه متخصصان املاک و مستغلات می توانند به طور موثر از پلتفرم های پخش زنده مانند فیس بوک لایو یا اینستاگرام لایو برای نمایش املاک و تعامل با خریداران بالقوه در زمان واقعی استفاده کنند؟</v>
      </c>
      <c r="H5085" s="1"/>
      <c r="I5085" s="1"/>
      <c r="J5085" s="1"/>
      <c r="K5085" s="1"/>
      <c r="L5085" s="1"/>
      <c r="M5085" s="1"/>
      <c r="N5085" s="1"/>
      <c r="O5085" s="1"/>
      <c r="P5085" s="1"/>
      <c r="Q5085" s="1"/>
      <c r="R5085" s="1"/>
      <c r="S5085" s="1"/>
      <c r="T5085" s="1"/>
      <c r="U5085" s="1"/>
      <c r="V5085" s="1"/>
      <c r="W5085" s="1"/>
      <c r="X5085" s="1"/>
      <c r="Y5085" s="1"/>
      <c r="Z5085" s="1"/>
      <c r="AA5085" s="1"/>
      <c r="AB5085" s="1"/>
    </row>
    <row r="5086" ht="50.25" customHeight="1">
      <c r="A5086" s="12">
        <v>5082.0</v>
      </c>
      <c r="B5086" s="13" t="s">
        <v>5027</v>
      </c>
      <c r="C5086" s="18" t="s">
        <v>5106</v>
      </c>
      <c r="D5086" s="1"/>
      <c r="E5086" s="1"/>
      <c r="F5086" s="1" t="str">
        <f>IFERROR(__xludf.DUMMYFUNCTION("GOOGLETRANSLATE(B5086, ""en"", ""fa"")
"),"املاک و مستغلات برای حرفه ای ها")</f>
        <v>املاک و مستغلات برای حرفه ای ها</v>
      </c>
      <c r="G5086" s="1" t="str">
        <f>IFERROR(__xludf.DUMMYFUNCTION("GOOGLETRANSLATE(C5086, ""en"", ""fa"")
"),"استراتژی های کلیدی برای استفاده از تکنیک های بهینه سازی موتور جستجو (SEO) برای بهبود دید وب سایت های املاک و جذب ترافیک ارگانیک چیست؟")</f>
        <v>استراتژی های کلیدی برای استفاده از تکنیک های بهینه سازی موتور جستجو (SEO) برای بهبود دید وب سایت های املاک و جذب ترافیک ارگانیک چیست؟</v>
      </c>
      <c r="H5086" s="1"/>
      <c r="I5086" s="1"/>
      <c r="J5086" s="1"/>
      <c r="K5086" s="1"/>
      <c r="L5086" s="1"/>
      <c r="M5086" s="1"/>
      <c r="N5086" s="1"/>
      <c r="O5086" s="1"/>
      <c r="P5086" s="1"/>
      <c r="Q5086" s="1"/>
      <c r="R5086" s="1"/>
      <c r="S5086" s="1"/>
      <c r="T5086" s="1"/>
      <c r="U5086" s="1"/>
      <c r="V5086" s="1"/>
      <c r="W5086" s="1"/>
      <c r="X5086" s="1"/>
      <c r="Y5086" s="1"/>
      <c r="Z5086" s="1"/>
      <c r="AA5086" s="1"/>
      <c r="AB5086" s="1"/>
    </row>
    <row r="5087" ht="50.25" customHeight="1">
      <c r="A5087" s="12">
        <v>5083.0</v>
      </c>
      <c r="B5087" s="13" t="s">
        <v>5027</v>
      </c>
      <c r="C5087" s="18" t="s">
        <v>5107</v>
      </c>
      <c r="D5087" s="1"/>
      <c r="E5087" s="1"/>
      <c r="F5087" s="1" t="str">
        <f>IFERROR(__xludf.DUMMYFUNCTION("GOOGLETRANSLATE(B5087, ""en"", ""fa"")
"),"املاک و مستغلات برای حرفه ای ها")</f>
        <v>املاک و مستغلات برای حرفه ای ها</v>
      </c>
      <c r="G5087" s="1" t="str">
        <f>IFERROR(__xludf.DUMMYFUNCTION("GOOGLETRANSLATE(C5087, ""en"", ""fa"")
"),"چگونه متخصصان املاک و مستغلات می توانند عناصر تعاملی، مانند آزمون ها یا ماشین حساب ها را در مواد بازاریابی خود بگنجانند تا تعامل کاربر و تولید سرنخ را افزایش دهند؟")</f>
        <v>چگونه متخصصان املاک و مستغلات می توانند عناصر تعاملی، مانند آزمون ها یا ماشین حساب ها را در مواد بازاریابی خود بگنجانند تا تعامل کاربر و تولید سرنخ را افزایش دهند؟</v>
      </c>
      <c r="H5087" s="1"/>
      <c r="I5087" s="1"/>
      <c r="J5087" s="1"/>
      <c r="K5087" s="1"/>
      <c r="L5087" s="1"/>
      <c r="M5087" s="1"/>
      <c r="N5087" s="1"/>
      <c r="O5087" s="1"/>
      <c r="P5087" s="1"/>
      <c r="Q5087" s="1"/>
      <c r="R5087" s="1"/>
      <c r="S5087" s="1"/>
      <c r="T5087" s="1"/>
      <c r="U5087" s="1"/>
      <c r="V5087" s="1"/>
      <c r="W5087" s="1"/>
      <c r="X5087" s="1"/>
      <c r="Y5087" s="1"/>
      <c r="Z5087" s="1"/>
      <c r="AA5087" s="1"/>
      <c r="AB5087" s="1"/>
    </row>
    <row r="5088" ht="50.25" customHeight="1">
      <c r="A5088" s="12">
        <v>5084.0</v>
      </c>
      <c r="B5088" s="13" t="s">
        <v>5027</v>
      </c>
      <c r="C5088" s="18" t="s">
        <v>5108</v>
      </c>
      <c r="D5088" s="1"/>
      <c r="E5088" s="1"/>
      <c r="F5088" s="1" t="str">
        <f>IFERROR(__xludf.DUMMYFUNCTION("GOOGLETRANSLATE(B5088, ""en"", ""fa"")
"),"املاک و مستغلات برای حرفه ای ها")</f>
        <v>املاک و مستغلات برای حرفه ای ها</v>
      </c>
      <c r="G5088" s="1" t="str">
        <f>IFERROR(__xludf.DUMMYFUNCTION("GOOGLETRANSLATE(C5088, ""en"", ""fa"")
"),"هنگام طراحی و بهینه سازی تابلوها و تابلوهای تبلیغاتی املاک و مستغلات برای به حداکثر رساندن دید و جلب توجه چه عواملی را باید در نظر گرفت؟")</f>
        <v>هنگام طراحی و بهینه سازی تابلوها و تابلوهای تبلیغاتی املاک و مستغلات برای به حداکثر رساندن دید و جلب توجه چه عواملی را باید در نظر گرفت؟</v>
      </c>
      <c r="H5088" s="1"/>
      <c r="I5088" s="1"/>
      <c r="J5088" s="1"/>
      <c r="K5088" s="1"/>
      <c r="L5088" s="1"/>
      <c r="M5088" s="1"/>
      <c r="N5088" s="1"/>
      <c r="O5088" s="1"/>
      <c r="P5088" s="1"/>
      <c r="Q5088" s="1"/>
      <c r="R5088" s="1"/>
      <c r="S5088" s="1"/>
      <c r="T5088" s="1"/>
      <c r="U5088" s="1"/>
      <c r="V5088" s="1"/>
      <c r="W5088" s="1"/>
      <c r="X5088" s="1"/>
      <c r="Y5088" s="1"/>
      <c r="Z5088" s="1"/>
      <c r="AA5088" s="1"/>
      <c r="AB5088" s="1"/>
    </row>
    <row r="5089" ht="50.25" customHeight="1">
      <c r="A5089" s="12">
        <v>5085.0</v>
      </c>
      <c r="B5089" s="13" t="s">
        <v>5027</v>
      </c>
      <c r="C5089" s="18" t="s">
        <v>5109</v>
      </c>
      <c r="D5089" s="1"/>
      <c r="E5089" s="1"/>
      <c r="F5089" s="1" t="str">
        <f>IFERROR(__xludf.DUMMYFUNCTION("GOOGLETRANSLATE(B5089, ""en"", ""fa"")
"),"املاک و مستغلات برای حرفه ای ها")</f>
        <v>املاک و مستغلات برای حرفه ای ها</v>
      </c>
      <c r="G5089" s="1" t="str">
        <f>IFERROR(__xludf.DUMMYFUNCTION("GOOGLETRANSLATE(C5089, ""en"", ""fa"")
"),"چگونه متخصصان املاک و مستغلات می توانند از محتوای تولید شده توسط کاربر، مانند نظرات و نظرات مشتریان، برای ایجاد اثبات اجتماعی و افزایش شهرت برند خود استفاده کنند؟")</f>
        <v>چگونه متخصصان املاک و مستغلات می توانند از محتوای تولید شده توسط کاربر، مانند نظرات و نظرات مشتریان، برای ایجاد اثبات اجتماعی و افزایش شهرت برند خود استفاده کنند؟</v>
      </c>
      <c r="H5089" s="1"/>
      <c r="I5089" s="1"/>
      <c r="J5089" s="1"/>
      <c r="K5089" s="1"/>
      <c r="L5089" s="1"/>
      <c r="M5089" s="1"/>
      <c r="N5089" s="1"/>
      <c r="O5089" s="1"/>
      <c r="P5089" s="1"/>
      <c r="Q5089" s="1"/>
      <c r="R5089" s="1"/>
      <c r="S5089" s="1"/>
      <c r="T5089" s="1"/>
      <c r="U5089" s="1"/>
      <c r="V5089" s="1"/>
      <c r="W5089" s="1"/>
      <c r="X5089" s="1"/>
      <c r="Y5089" s="1"/>
      <c r="Z5089" s="1"/>
      <c r="AA5089" s="1"/>
      <c r="AB5089" s="1"/>
    </row>
    <row r="5090" ht="50.25" customHeight="1">
      <c r="A5090" s="12">
        <v>5086.0</v>
      </c>
      <c r="B5090" s="13" t="s">
        <v>5027</v>
      </c>
      <c r="C5090" s="18" t="s">
        <v>5110</v>
      </c>
      <c r="D5090" s="1"/>
      <c r="E5090" s="1"/>
      <c r="F5090" s="1" t="str">
        <f>IFERROR(__xludf.DUMMYFUNCTION("GOOGLETRANSLATE(B5090, ""en"", ""fa"")
"),"املاک و مستغلات برای حرفه ای ها")</f>
        <v>املاک و مستغلات برای حرفه ای ها</v>
      </c>
      <c r="G5090" s="1" t="str">
        <f>IFERROR(__xludf.DUMMYFUNCTION("GOOGLETRANSLATE(C5090, ""en"", ""fa"")
"),"بهترین روش‌ها برای استفاده از پلتفرم‌های تبلیغات موبایلی، مانند تبلیغات درون برنامه‌ای یا هدف‌گیری مبتنی بر مکان، برای دستیابی به خریداران بالقوه در دستگاه‌های تلفن همراهشان چیست؟")</f>
        <v>بهترین روش‌ها برای استفاده از پلتفرم‌های تبلیغات موبایلی، مانند تبلیغات درون برنامه‌ای یا هدف‌گیری مبتنی بر مکان، برای دستیابی به خریداران بالقوه در دستگاه‌های تلفن همراهشان چیست؟</v>
      </c>
      <c r="H5090" s="1"/>
      <c r="I5090" s="1"/>
      <c r="J5090" s="1"/>
      <c r="K5090" s="1"/>
      <c r="L5090" s="1"/>
      <c r="M5090" s="1"/>
      <c r="N5090" s="1"/>
      <c r="O5090" s="1"/>
      <c r="P5090" s="1"/>
      <c r="Q5090" s="1"/>
      <c r="R5090" s="1"/>
      <c r="S5090" s="1"/>
      <c r="T5090" s="1"/>
      <c r="U5090" s="1"/>
      <c r="V5090" s="1"/>
      <c r="W5090" s="1"/>
      <c r="X5090" s="1"/>
      <c r="Y5090" s="1"/>
      <c r="Z5090" s="1"/>
      <c r="AA5090" s="1"/>
      <c r="AB5090" s="1"/>
    </row>
    <row r="5091" ht="50.25" customHeight="1">
      <c r="A5091" s="12">
        <v>5087.0</v>
      </c>
      <c r="B5091" s="13" t="s">
        <v>5027</v>
      </c>
      <c r="C5091" s="18" t="s">
        <v>5111</v>
      </c>
      <c r="D5091" s="1"/>
      <c r="E5091" s="1"/>
      <c r="F5091" s="1" t="str">
        <f>IFERROR(__xludf.DUMMYFUNCTION("GOOGLETRANSLATE(B5091, ""en"", ""fa"")
"),"املاک و مستغلات برای حرفه ای ها")</f>
        <v>املاک و مستغلات برای حرفه ای ها</v>
      </c>
      <c r="G5091" s="1" t="str">
        <f>IFERROR(__xludf.DUMMYFUNCTION("GOOGLETRANSLATE(C5091, ""en"", ""fa"")
"),"چگونه متخصصان املاک و مستغلات می توانند به طور موثر از استراتژی های بازاریابی مبتنی بر داده، مانند تقسیم بندی مخاطبان و هدف گیری رفتاری، برای ارائه پیام های شخصی به خریداران بالقوه استفاده کنند؟")</f>
        <v>چگونه متخصصان املاک و مستغلات می توانند به طور موثر از استراتژی های بازاریابی مبتنی بر داده، مانند تقسیم بندی مخاطبان و هدف گیری رفتاری، برای ارائه پیام های شخصی به خریداران بالقوه استفاده کنند؟</v>
      </c>
      <c r="H5091" s="1"/>
      <c r="I5091" s="1"/>
      <c r="J5091" s="1"/>
      <c r="K5091" s="1"/>
      <c r="L5091" s="1"/>
      <c r="M5091" s="1"/>
      <c r="N5091" s="1"/>
      <c r="O5091" s="1"/>
      <c r="P5091" s="1"/>
      <c r="Q5091" s="1"/>
      <c r="R5091" s="1"/>
      <c r="S5091" s="1"/>
      <c r="T5091" s="1"/>
      <c r="U5091" s="1"/>
      <c r="V5091" s="1"/>
      <c r="W5091" s="1"/>
      <c r="X5091" s="1"/>
      <c r="Y5091" s="1"/>
      <c r="Z5091" s="1"/>
      <c r="AA5091" s="1"/>
      <c r="AB5091" s="1"/>
    </row>
    <row r="5092" ht="50.25" customHeight="1">
      <c r="A5092" s="12">
        <v>5088.0</v>
      </c>
      <c r="B5092" s="13" t="s">
        <v>5027</v>
      </c>
      <c r="C5092" s="18" t="s">
        <v>5112</v>
      </c>
      <c r="D5092" s="1"/>
      <c r="E5092" s="1"/>
      <c r="F5092" s="1" t="str">
        <f>IFERROR(__xludf.DUMMYFUNCTION("GOOGLETRANSLATE(B5092, ""en"", ""fa"")
"),"املاک و مستغلات برای حرفه ای ها")</f>
        <v>املاک و مستغلات برای حرفه ای ها</v>
      </c>
      <c r="G5092" s="1" t="str">
        <f>IFERROR(__xludf.DUMMYFUNCTION("GOOGLETRANSLATE(C5092, ""en"", ""fa"")
"),"چگونه متخصصان املاک و مستغلات می توانند به طور موثر برای مذاکره با خریدار یا فروشنده بالقوه آماده شوند؟")</f>
        <v>چگونه متخصصان املاک و مستغلات می توانند به طور موثر برای مذاکره با خریدار یا فروشنده بالقوه آماده شوند؟</v>
      </c>
      <c r="H5092" s="1"/>
      <c r="I5092" s="1"/>
      <c r="J5092" s="1"/>
      <c r="K5092" s="1"/>
      <c r="L5092" s="1"/>
      <c r="M5092" s="1"/>
      <c r="N5092" s="1"/>
      <c r="O5092" s="1"/>
      <c r="P5092" s="1"/>
      <c r="Q5092" s="1"/>
      <c r="R5092" s="1"/>
      <c r="S5092" s="1"/>
      <c r="T5092" s="1"/>
      <c r="U5092" s="1"/>
      <c r="V5092" s="1"/>
      <c r="W5092" s="1"/>
      <c r="X5092" s="1"/>
      <c r="Y5092" s="1"/>
      <c r="Z5092" s="1"/>
      <c r="AA5092" s="1"/>
      <c r="AB5092" s="1"/>
    </row>
    <row r="5093" ht="50.25" customHeight="1">
      <c r="A5093" s="12">
        <v>5089.0</v>
      </c>
      <c r="B5093" s="13" t="s">
        <v>5027</v>
      </c>
      <c r="C5093" s="18" t="s">
        <v>5113</v>
      </c>
      <c r="D5093" s="1"/>
      <c r="E5093" s="1"/>
      <c r="F5093" s="1" t="str">
        <f>IFERROR(__xludf.DUMMYFUNCTION("GOOGLETRANSLATE(B5093, ""en"", ""fa"")
"),"املاک و مستغلات برای حرفه ای ها")</f>
        <v>املاک و مستغلات برای حرفه ای ها</v>
      </c>
      <c r="G5093" s="1" t="str">
        <f>IFERROR(__xludf.DUMMYFUNCTION("GOOGLETRANSLATE(C5093, ""en"", ""fa"")
"),"راهبردهای کلیدی برای ایجاد رابطه و ایجاد رابطه مثبت با طرف مقابل در طول مذاکره چیست؟")</f>
        <v>راهبردهای کلیدی برای ایجاد رابطه و ایجاد رابطه مثبت با طرف مقابل در طول مذاکره چیست؟</v>
      </c>
      <c r="H5093" s="1"/>
      <c r="I5093" s="1"/>
      <c r="J5093" s="1"/>
      <c r="K5093" s="1"/>
      <c r="L5093" s="1"/>
      <c r="M5093" s="1"/>
      <c r="N5093" s="1"/>
      <c r="O5093" s="1"/>
      <c r="P5093" s="1"/>
      <c r="Q5093" s="1"/>
      <c r="R5093" s="1"/>
      <c r="S5093" s="1"/>
      <c r="T5093" s="1"/>
      <c r="U5093" s="1"/>
      <c r="V5093" s="1"/>
      <c r="W5093" s="1"/>
      <c r="X5093" s="1"/>
      <c r="Y5093" s="1"/>
      <c r="Z5093" s="1"/>
      <c r="AA5093" s="1"/>
      <c r="AB5093" s="1"/>
    </row>
    <row r="5094" ht="50.25" customHeight="1">
      <c r="A5094" s="12">
        <v>5090.0</v>
      </c>
      <c r="B5094" s="13" t="s">
        <v>5027</v>
      </c>
      <c r="C5094" s="18" t="s">
        <v>5114</v>
      </c>
      <c r="D5094" s="1"/>
      <c r="E5094" s="1"/>
      <c r="F5094" s="1" t="str">
        <f>IFERROR(__xludf.DUMMYFUNCTION("GOOGLETRANSLATE(B5094, ""en"", ""fa"")
"),"املاک و مستغلات برای حرفه ای ها")</f>
        <v>املاک و مستغلات برای حرفه ای ها</v>
      </c>
      <c r="G5094" s="1" t="str">
        <f>IFERROR(__xludf.DUMMYFUNCTION("GOOGLETRANSLATE(C5094, ""en"", ""fa"")
"),"چگونه متخصصان املاک و مستغلات می توانند از مهارت های گوش دادن فعال برای درک نیازها و انگیزه های طرف مقابل استفاده کنند؟")</f>
        <v>چگونه متخصصان املاک و مستغلات می توانند از مهارت های گوش دادن فعال برای درک نیازها و انگیزه های طرف مقابل استفاده کنند؟</v>
      </c>
      <c r="H5094" s="1"/>
      <c r="I5094" s="1"/>
      <c r="J5094" s="1"/>
      <c r="K5094" s="1"/>
      <c r="L5094" s="1"/>
      <c r="M5094" s="1"/>
      <c r="N5094" s="1"/>
      <c r="O5094" s="1"/>
      <c r="P5094" s="1"/>
      <c r="Q5094" s="1"/>
      <c r="R5094" s="1"/>
      <c r="S5094" s="1"/>
      <c r="T5094" s="1"/>
      <c r="U5094" s="1"/>
      <c r="V5094" s="1"/>
      <c r="W5094" s="1"/>
      <c r="X5094" s="1"/>
      <c r="Y5094" s="1"/>
      <c r="Z5094" s="1"/>
      <c r="AA5094" s="1"/>
      <c r="AB5094" s="1"/>
    </row>
    <row r="5095" ht="50.25" customHeight="1">
      <c r="A5095" s="12">
        <v>5091.0</v>
      </c>
      <c r="B5095" s="13" t="s">
        <v>5027</v>
      </c>
      <c r="C5095" s="18" t="s">
        <v>5115</v>
      </c>
      <c r="D5095" s="1"/>
      <c r="E5095" s="1"/>
      <c r="F5095" s="1" t="str">
        <f>IFERROR(__xludf.DUMMYFUNCTION("GOOGLETRANSLATE(B5095, ""en"", ""fa"")
"),"املاک و مستغلات برای حرفه ای ها")</f>
        <v>املاک و مستغلات برای حرفه ای ها</v>
      </c>
      <c r="G5095" s="1" t="str">
        <f>IFERROR(__xludf.DUMMYFUNCTION("GOOGLETRANSLATE(C5095, ""en"", ""fa"")
"),"هنگام تعیین رویکرد مذاکره بهینه برای یک معامله ملکی خاص، چه عوامل مهمی باید در نظر گرفته شود؟")</f>
        <v>هنگام تعیین رویکرد مذاکره بهینه برای یک معامله ملکی خاص، چه عوامل مهمی باید در نظر گرفته شود؟</v>
      </c>
      <c r="H5095" s="1"/>
      <c r="I5095" s="1"/>
      <c r="J5095" s="1"/>
      <c r="K5095" s="1"/>
      <c r="L5095" s="1"/>
      <c r="M5095" s="1"/>
      <c r="N5095" s="1"/>
      <c r="O5095" s="1"/>
      <c r="P5095" s="1"/>
      <c r="Q5095" s="1"/>
      <c r="R5095" s="1"/>
      <c r="S5095" s="1"/>
      <c r="T5095" s="1"/>
      <c r="U5095" s="1"/>
      <c r="V5095" s="1"/>
      <c r="W5095" s="1"/>
      <c r="X5095" s="1"/>
      <c r="Y5095" s="1"/>
      <c r="Z5095" s="1"/>
      <c r="AA5095" s="1"/>
      <c r="AB5095" s="1"/>
    </row>
    <row r="5096" ht="50.25" customHeight="1">
      <c r="A5096" s="12">
        <v>5092.0</v>
      </c>
      <c r="B5096" s="13" t="s">
        <v>5027</v>
      </c>
      <c r="C5096" s="18" t="s">
        <v>5116</v>
      </c>
      <c r="D5096" s="1"/>
      <c r="E5096" s="1"/>
      <c r="F5096" s="1" t="str">
        <f>IFERROR(__xludf.DUMMYFUNCTION("GOOGLETRANSLATE(B5096, ""en"", ""fa"")
"),"املاک و مستغلات برای حرفه ای ها")</f>
        <v>املاک و مستغلات برای حرفه ای ها</v>
      </c>
      <c r="G5096" s="1" t="str">
        <f>IFERROR(__xludf.DUMMYFUNCTION("GOOGLETRANSLATE(C5096, ""en"", ""fa"")
"),"چگونه متخصصان املاک و مستغلات می توانند به طور موثر ارزش پیشنهادی و نقاط فروش منحصر به فرد خود را در طول یک مذاکره بیان کنند؟")</f>
        <v>چگونه متخصصان املاک و مستغلات می توانند به طور موثر ارزش پیشنهادی و نقاط فروش منحصر به فرد خود را در طول یک مذاکره بیان کنند؟</v>
      </c>
      <c r="H5096" s="1"/>
      <c r="I5096" s="1"/>
      <c r="J5096" s="1"/>
      <c r="K5096" s="1"/>
      <c r="L5096" s="1"/>
      <c r="M5096" s="1"/>
      <c r="N5096" s="1"/>
      <c r="O5096" s="1"/>
      <c r="P5096" s="1"/>
      <c r="Q5096" s="1"/>
      <c r="R5096" s="1"/>
      <c r="S5096" s="1"/>
      <c r="T5096" s="1"/>
      <c r="U5096" s="1"/>
      <c r="V5096" s="1"/>
      <c r="W5096" s="1"/>
      <c r="X5096" s="1"/>
      <c r="Y5096" s="1"/>
      <c r="Z5096" s="1"/>
      <c r="AA5096" s="1"/>
      <c r="AB5096" s="1"/>
    </row>
    <row r="5097" ht="50.25" customHeight="1">
      <c r="A5097" s="12">
        <v>5093.0</v>
      </c>
      <c r="B5097" s="13" t="s">
        <v>5027</v>
      </c>
      <c r="C5097" s="18" t="s">
        <v>5117</v>
      </c>
      <c r="D5097" s="1"/>
      <c r="E5097" s="1"/>
      <c r="F5097" s="1" t="str">
        <f>IFERROR(__xludf.DUMMYFUNCTION("GOOGLETRANSLATE(B5097, ""en"", ""fa"")
"),"املاک و مستغلات برای حرفه ای ها")</f>
        <v>املاک و مستغلات برای حرفه ای ها</v>
      </c>
      <c r="G5097" s="1" t="str">
        <f>IFERROR(__xludf.DUMMYFUNCTION("GOOGLETRANSLATE(C5097, ""en"", ""fa"")
"),"بهترین روش ها برای شناسایی و استفاده از نقاط اهرمی در مذاکره املاک چیست؟")</f>
        <v>بهترین روش ها برای شناسایی و استفاده از نقاط اهرمی در مذاکره املاک چیست؟</v>
      </c>
      <c r="H5097" s="1"/>
      <c r="I5097" s="1"/>
      <c r="J5097" s="1"/>
      <c r="K5097" s="1"/>
      <c r="L5097" s="1"/>
      <c r="M5097" s="1"/>
      <c r="N5097" s="1"/>
      <c r="O5097" s="1"/>
      <c r="P5097" s="1"/>
      <c r="Q5097" s="1"/>
      <c r="R5097" s="1"/>
      <c r="S5097" s="1"/>
      <c r="T5097" s="1"/>
      <c r="U5097" s="1"/>
      <c r="V5097" s="1"/>
      <c r="W5097" s="1"/>
      <c r="X5097" s="1"/>
      <c r="Y5097" s="1"/>
      <c r="Z5097" s="1"/>
      <c r="AA5097" s="1"/>
      <c r="AB5097" s="1"/>
    </row>
    <row r="5098" ht="50.25" customHeight="1">
      <c r="A5098" s="12">
        <v>5094.0</v>
      </c>
      <c r="B5098" s="13" t="s">
        <v>5027</v>
      </c>
      <c r="C5098" s="18" t="s">
        <v>5118</v>
      </c>
      <c r="D5098" s="1"/>
      <c r="E5098" s="1"/>
      <c r="F5098" s="1" t="str">
        <f>IFERROR(__xludf.DUMMYFUNCTION("GOOGLETRANSLATE(B5098, ""en"", ""fa"")
"),"املاک و مستغلات برای حرفه ای ها")</f>
        <v>املاک و مستغلات برای حرفه ای ها</v>
      </c>
      <c r="G5098" s="1" t="str">
        <f>IFERROR(__xludf.DUMMYFUNCTION("GOOGLETRANSLATE(C5098, ""en"", ""fa"")
"),"چگونه متخصصان املاک و مستغلات می توانند به طور موثری با اعتراضات و پیشنهادات متقابل در طول مذاکره برخورد کنند؟")</f>
        <v>چگونه متخصصان املاک و مستغلات می توانند به طور موثری با اعتراضات و پیشنهادات متقابل در طول مذاکره برخورد کنند؟</v>
      </c>
      <c r="H5098" s="1"/>
      <c r="I5098" s="1"/>
      <c r="J5098" s="1"/>
      <c r="K5098" s="1"/>
      <c r="L5098" s="1"/>
      <c r="M5098" s="1"/>
      <c r="N5098" s="1"/>
      <c r="O5098" s="1"/>
      <c r="P5098" s="1"/>
      <c r="Q5098" s="1"/>
      <c r="R5098" s="1"/>
      <c r="S5098" s="1"/>
      <c r="T5098" s="1"/>
      <c r="U5098" s="1"/>
      <c r="V5098" s="1"/>
      <c r="W5098" s="1"/>
      <c r="X5098" s="1"/>
      <c r="Y5098" s="1"/>
      <c r="Z5098" s="1"/>
      <c r="AA5098" s="1"/>
      <c r="AB5098" s="1"/>
    </row>
    <row r="5099" ht="50.25" customHeight="1">
      <c r="A5099" s="12">
        <v>5095.0</v>
      </c>
      <c r="B5099" s="13" t="s">
        <v>5027</v>
      </c>
      <c r="C5099" s="18" t="s">
        <v>5119</v>
      </c>
      <c r="D5099" s="1"/>
      <c r="E5099" s="1"/>
      <c r="F5099" s="1" t="str">
        <f>IFERROR(__xludf.DUMMYFUNCTION("GOOGLETRANSLATE(B5099, ""en"", ""fa"")
"),"املاک و مستغلات برای حرفه ای ها")</f>
        <v>املاک و مستغلات برای حرفه ای ها</v>
      </c>
      <c r="G5099" s="1" t="str">
        <f>IFERROR(__xludf.DUMMYFUNCTION("GOOGLETRANSLATE(C5099, ""en"", ""fa"")
"),"استراتژی های کلیدی برای حفظ ذهنیت برد-برد و یافتن راه حل های سودمند متقابل در مذاکرات املاک چیست؟")</f>
        <v>استراتژی های کلیدی برای حفظ ذهنیت برد-برد و یافتن راه حل های سودمند متقابل در مذاکرات املاک چیست؟</v>
      </c>
      <c r="H5099" s="1"/>
      <c r="I5099" s="1"/>
      <c r="J5099" s="1"/>
      <c r="K5099" s="1"/>
      <c r="L5099" s="1"/>
      <c r="M5099" s="1"/>
      <c r="N5099" s="1"/>
      <c r="O5099" s="1"/>
      <c r="P5099" s="1"/>
      <c r="Q5099" s="1"/>
      <c r="R5099" s="1"/>
      <c r="S5099" s="1"/>
      <c r="T5099" s="1"/>
      <c r="U5099" s="1"/>
      <c r="V5099" s="1"/>
      <c r="W5099" s="1"/>
      <c r="X5099" s="1"/>
      <c r="Y5099" s="1"/>
      <c r="Z5099" s="1"/>
      <c r="AA5099" s="1"/>
      <c r="AB5099" s="1"/>
    </row>
    <row r="5100" ht="50.25" customHeight="1">
      <c r="A5100" s="12">
        <v>5096.0</v>
      </c>
      <c r="B5100" s="13" t="s">
        <v>5027</v>
      </c>
      <c r="C5100" s="18" t="s">
        <v>5120</v>
      </c>
      <c r="D5100" s="1"/>
      <c r="E5100" s="1"/>
      <c r="F5100" s="1" t="str">
        <f>IFERROR(__xludf.DUMMYFUNCTION("GOOGLETRANSLATE(B5100, ""en"", ""fa"")
"),"املاک و مستغلات برای حرفه ای ها")</f>
        <v>املاک و مستغلات برای حرفه ای ها</v>
      </c>
      <c r="G5100" s="1" t="str">
        <f>IFERROR(__xludf.DUMMYFUNCTION("GOOGLETRANSLATE(C5100, ""en"", ""fa"")
"),"چگونه متخصصان املاک و مستغلات می توانند به طور موثر مذاکرات پیچیده ای را که شامل چندین طرف است، مانند معاملات املاک تجاری انجام دهند؟")</f>
        <v>چگونه متخصصان املاک و مستغلات می توانند به طور موثر مذاکرات پیچیده ای را که شامل چندین طرف است، مانند معاملات املاک تجاری انجام دهند؟</v>
      </c>
      <c r="H5100" s="1"/>
      <c r="I5100" s="1"/>
      <c r="J5100" s="1"/>
      <c r="K5100" s="1"/>
      <c r="L5100" s="1"/>
      <c r="M5100" s="1"/>
      <c r="N5100" s="1"/>
      <c r="O5100" s="1"/>
      <c r="P5100" s="1"/>
      <c r="Q5100" s="1"/>
      <c r="R5100" s="1"/>
      <c r="S5100" s="1"/>
      <c r="T5100" s="1"/>
      <c r="U5100" s="1"/>
      <c r="V5100" s="1"/>
      <c r="W5100" s="1"/>
      <c r="X5100" s="1"/>
      <c r="Y5100" s="1"/>
      <c r="Z5100" s="1"/>
      <c r="AA5100" s="1"/>
      <c r="AB5100" s="1"/>
    </row>
    <row r="5101" ht="50.25" customHeight="1">
      <c r="A5101" s="12">
        <v>5097.0</v>
      </c>
      <c r="B5101" s="13" t="s">
        <v>5027</v>
      </c>
      <c r="C5101" s="18" t="s">
        <v>5121</v>
      </c>
      <c r="D5101" s="1"/>
      <c r="E5101" s="1"/>
      <c r="F5101" s="1" t="str">
        <f>IFERROR(__xludf.DUMMYFUNCTION("GOOGLETRANSLATE(B5101, ""en"", ""fa"")
"),"املاک و مستغلات برای حرفه ای ها")</f>
        <v>املاک و مستغلات برای حرفه ای ها</v>
      </c>
      <c r="G5101" s="1" t="str">
        <f>IFERROR(__xludf.DUMMYFUNCTION("GOOGLETRANSLATE(C5101, ""en"", ""fa"")
"),"هنگام تعیین اهداف مذاکره و تعیین نتایج قابل قبول برای یک معامله املاک، چه عوامل مهمی باید در نظر گرفته شود؟")</f>
        <v>هنگام تعیین اهداف مذاکره و تعیین نتایج قابل قبول برای یک معامله املاک، چه عوامل مهمی باید در نظر گرفته شود؟</v>
      </c>
      <c r="H5101" s="1"/>
      <c r="I5101" s="1"/>
      <c r="J5101" s="1"/>
      <c r="K5101" s="1"/>
      <c r="L5101" s="1"/>
      <c r="M5101" s="1"/>
      <c r="N5101" s="1"/>
      <c r="O5101" s="1"/>
      <c r="P5101" s="1"/>
      <c r="Q5101" s="1"/>
      <c r="R5101" s="1"/>
      <c r="S5101" s="1"/>
      <c r="T5101" s="1"/>
      <c r="U5101" s="1"/>
      <c r="V5101" s="1"/>
      <c r="W5101" s="1"/>
      <c r="X5101" s="1"/>
      <c r="Y5101" s="1"/>
      <c r="Z5101" s="1"/>
      <c r="AA5101" s="1"/>
      <c r="AB5101" s="1"/>
    </row>
    <row r="5102" ht="50.25" customHeight="1">
      <c r="A5102" s="12">
        <v>5098.0</v>
      </c>
      <c r="B5102" s="13" t="s">
        <v>5027</v>
      </c>
      <c r="C5102" s="18" t="s">
        <v>5122</v>
      </c>
      <c r="D5102" s="1"/>
      <c r="E5102" s="1"/>
      <c r="F5102" s="1" t="str">
        <f>IFERROR(__xludf.DUMMYFUNCTION("GOOGLETRANSLATE(B5102, ""en"", ""fa"")
"),"املاک و مستغلات برای حرفه ای ها")</f>
        <v>املاک و مستغلات برای حرفه ای ها</v>
      </c>
      <c r="G5102" s="1" t="str">
        <f>IFERROR(__xludf.DUMMYFUNCTION("GOOGLETRANSLATE(C5102, ""en"", ""fa"")
"),"چگونه متخصصان املاک و مستغلات می توانند به طور موثر احساسات را مدیریت کنند و در طول مذاکره رفتاری آرام و متین داشته باشند؟")</f>
        <v>چگونه متخصصان املاک و مستغلات می توانند به طور موثر احساسات را مدیریت کنند و در طول مذاکره رفتاری آرام و متین داشته باشند؟</v>
      </c>
      <c r="H5102" s="1"/>
      <c r="I5102" s="1"/>
      <c r="J5102" s="1"/>
      <c r="K5102" s="1"/>
      <c r="L5102" s="1"/>
      <c r="M5102" s="1"/>
      <c r="N5102" s="1"/>
      <c r="O5102" s="1"/>
      <c r="P5102" s="1"/>
      <c r="Q5102" s="1"/>
      <c r="R5102" s="1"/>
      <c r="S5102" s="1"/>
      <c r="T5102" s="1"/>
      <c r="U5102" s="1"/>
      <c r="V5102" s="1"/>
      <c r="W5102" s="1"/>
      <c r="X5102" s="1"/>
      <c r="Y5102" s="1"/>
      <c r="Z5102" s="1"/>
      <c r="AA5102" s="1"/>
      <c r="AB5102" s="1"/>
    </row>
    <row r="5103" ht="50.25" customHeight="1">
      <c r="A5103" s="12">
        <v>5099.0</v>
      </c>
      <c r="B5103" s="13" t="s">
        <v>5027</v>
      </c>
      <c r="C5103" s="18" t="s">
        <v>5123</v>
      </c>
      <c r="D5103" s="1"/>
      <c r="E5103" s="1"/>
      <c r="F5103" s="1" t="str">
        <f>IFERROR(__xludf.DUMMYFUNCTION("GOOGLETRANSLATE(B5103, ""en"", ""fa"")
"),"املاک و مستغلات برای حرفه ای ها")</f>
        <v>املاک و مستغلات برای حرفه ای ها</v>
      </c>
      <c r="G5103" s="1" t="str">
        <f>IFERROR(__xludf.DUMMYFUNCTION("GOOGLETRANSLATE(C5103, ""en"", ""fa"")
"),"بهترین شیوه ها برای انجام تحقیقات کامل و جمع آوری اطلاعات مرتبط قبل از مذاکره چیست؟")</f>
        <v>بهترین شیوه ها برای انجام تحقیقات کامل و جمع آوری اطلاعات مرتبط قبل از مذاکره چیست؟</v>
      </c>
      <c r="H5103" s="1"/>
      <c r="I5103" s="1"/>
      <c r="J5103" s="1"/>
      <c r="K5103" s="1"/>
      <c r="L5103" s="1"/>
      <c r="M5103" s="1"/>
      <c r="N5103" s="1"/>
      <c r="O5103" s="1"/>
      <c r="P5103" s="1"/>
      <c r="Q5103" s="1"/>
      <c r="R5103" s="1"/>
      <c r="S5103" s="1"/>
      <c r="T5103" s="1"/>
      <c r="U5103" s="1"/>
      <c r="V5103" s="1"/>
      <c r="W5103" s="1"/>
      <c r="X5103" s="1"/>
      <c r="Y5103" s="1"/>
      <c r="Z5103" s="1"/>
      <c r="AA5103" s="1"/>
      <c r="AB5103" s="1"/>
    </row>
    <row r="5104" ht="50.25" customHeight="1">
      <c r="A5104" s="12">
        <v>5100.0</v>
      </c>
      <c r="B5104" s="13" t="s">
        <v>5027</v>
      </c>
      <c r="C5104" s="18" t="s">
        <v>5124</v>
      </c>
      <c r="D5104" s="1"/>
      <c r="E5104" s="1"/>
      <c r="F5104" s="1" t="str">
        <f>IFERROR(__xludf.DUMMYFUNCTION("GOOGLETRANSLATE(B5104, ""en"", ""fa"")
"),"املاک و مستغلات برای حرفه ای ها")</f>
        <v>املاک و مستغلات برای حرفه ای ها</v>
      </c>
      <c r="G5104" s="1" t="str">
        <f>IFERROR(__xludf.DUMMYFUNCTION("GOOGLETRANSLATE(C5104, ""en"", ""fa"")
"),"چگونه متخصصان املاک و مستغلات می توانند از تکنیک های خلاقانه حل مسئله برای غلبه بر موانع و رسیدن به توافقات مطلوب در مذاکرات استفاده کنند؟")</f>
        <v>چگونه متخصصان املاک و مستغلات می توانند از تکنیک های خلاقانه حل مسئله برای غلبه بر موانع و رسیدن به توافقات مطلوب در مذاکرات استفاده کنند؟</v>
      </c>
      <c r="H5104" s="1"/>
      <c r="I5104" s="1"/>
      <c r="J5104" s="1"/>
      <c r="K5104" s="1"/>
      <c r="L5104" s="1"/>
      <c r="M5104" s="1"/>
      <c r="N5104" s="1"/>
      <c r="O5104" s="1"/>
      <c r="P5104" s="1"/>
      <c r="Q5104" s="1"/>
      <c r="R5104" s="1"/>
      <c r="S5104" s="1"/>
      <c r="T5104" s="1"/>
      <c r="U5104" s="1"/>
      <c r="V5104" s="1"/>
      <c r="W5104" s="1"/>
      <c r="X5104" s="1"/>
      <c r="Y5104" s="1"/>
      <c r="Z5104" s="1"/>
      <c r="AA5104" s="1"/>
      <c r="AB5104" s="1"/>
    </row>
    <row r="5105" ht="50.25" customHeight="1">
      <c r="A5105" s="12">
        <v>5101.0</v>
      </c>
      <c r="B5105" s="13" t="s">
        <v>5027</v>
      </c>
      <c r="C5105" s="18" t="s">
        <v>5125</v>
      </c>
      <c r="D5105" s="1"/>
      <c r="E5105" s="1"/>
      <c r="F5105" s="1" t="str">
        <f>IFERROR(__xludf.DUMMYFUNCTION("GOOGLETRANSLATE(B5105, ""en"", ""fa"")
"),"املاک و مستغلات برای حرفه ای ها")</f>
        <v>املاک و مستغلات برای حرفه ای ها</v>
      </c>
      <c r="G5105" s="1" t="str">
        <f>IFERROR(__xludf.DUMMYFUNCTION("GOOGLETRANSLATE(C5105, ""en"", ""fa"")
"),"استراتژی های کلیدی برای ارائه و توجیه موثر قیمت یا پیشنهاد پیشنهادی در طول مذاکره املاک چیست؟")</f>
        <v>استراتژی های کلیدی برای ارائه و توجیه موثر قیمت یا پیشنهاد پیشنهادی در طول مذاکره املاک چیست؟</v>
      </c>
      <c r="H5105" s="1"/>
      <c r="I5105" s="1"/>
      <c r="J5105" s="1"/>
      <c r="K5105" s="1"/>
      <c r="L5105" s="1"/>
      <c r="M5105" s="1"/>
      <c r="N5105" s="1"/>
      <c r="O5105" s="1"/>
      <c r="P5105" s="1"/>
      <c r="Q5105" s="1"/>
      <c r="R5105" s="1"/>
      <c r="S5105" s="1"/>
      <c r="T5105" s="1"/>
      <c r="U5105" s="1"/>
      <c r="V5105" s="1"/>
      <c r="W5105" s="1"/>
      <c r="X5105" s="1"/>
      <c r="Y5105" s="1"/>
      <c r="Z5105" s="1"/>
      <c r="AA5105" s="1"/>
      <c r="AB5105" s="1"/>
    </row>
    <row r="5106" ht="50.25" customHeight="1">
      <c r="A5106" s="12">
        <v>5102.0</v>
      </c>
      <c r="B5106" s="13" t="s">
        <v>5027</v>
      </c>
      <c r="C5106" s="18" t="s">
        <v>5126</v>
      </c>
      <c r="D5106" s="1"/>
      <c r="E5106" s="1"/>
      <c r="F5106" s="1" t="str">
        <f>IFERROR(__xludf.DUMMYFUNCTION("GOOGLETRANSLATE(B5106, ""en"", ""fa"")
"),"املاک و مستغلات برای حرفه ای ها")</f>
        <v>املاک و مستغلات برای حرفه ای ها</v>
      </c>
      <c r="G5106" s="1" t="str">
        <f>IFERROR(__xludf.DUMMYFUNCTION("GOOGLETRANSLATE(C5106, ""en"", ""fa"")
"),"چگونه متخصصان املاک و مستغلات می توانند به طور موثر از امتیازات و مبادلات برای تسهیل مذاکرات موفقیت آمیز استفاده کنند؟")</f>
        <v>چگونه متخصصان املاک و مستغلات می توانند به طور موثر از امتیازات و مبادلات برای تسهیل مذاکرات موفقیت آمیز استفاده کنند؟</v>
      </c>
      <c r="H5106" s="1"/>
      <c r="I5106" s="1"/>
      <c r="J5106" s="1"/>
      <c r="K5106" s="1"/>
      <c r="L5106" s="1"/>
      <c r="M5106" s="1"/>
      <c r="N5106" s="1"/>
      <c r="O5106" s="1"/>
      <c r="P5106" s="1"/>
      <c r="Q5106" s="1"/>
      <c r="R5106" s="1"/>
      <c r="S5106" s="1"/>
      <c r="T5106" s="1"/>
      <c r="U5106" s="1"/>
      <c r="V5106" s="1"/>
      <c r="W5106" s="1"/>
      <c r="X5106" s="1"/>
      <c r="Y5106" s="1"/>
      <c r="Z5106" s="1"/>
      <c r="AA5106" s="1"/>
      <c r="AB5106" s="1"/>
    </row>
    <row r="5107" ht="50.25" customHeight="1">
      <c r="A5107" s="12">
        <v>5103.0</v>
      </c>
      <c r="B5107" s="13" t="s">
        <v>5027</v>
      </c>
      <c r="C5107" s="18" t="s">
        <v>5127</v>
      </c>
      <c r="D5107" s="1"/>
      <c r="E5107" s="1"/>
      <c r="F5107" s="1" t="str">
        <f>IFERROR(__xludf.DUMMYFUNCTION("GOOGLETRANSLATE(B5107, ""en"", ""fa"")
"),"املاک و مستغلات برای حرفه ای ها")</f>
        <v>املاک و مستغلات برای حرفه ای ها</v>
      </c>
      <c r="G5107" s="1" t="str">
        <f>IFERROR(__xludf.DUMMYFUNCTION("GOOGLETRANSLATE(C5107, ""en"", ""fa"")
"),"هنگام تعیین زمان بندی و ترتیب مناسب تاکتیک های مذاکره در یک معامله املاک، چه عوامل مهمی باید در نظر گرفته شود؟")</f>
        <v>هنگام تعیین زمان بندی و ترتیب مناسب تاکتیک های مذاکره در یک معامله املاک، چه عوامل مهمی باید در نظر گرفته شود؟</v>
      </c>
      <c r="H5107" s="1"/>
      <c r="I5107" s="1"/>
      <c r="J5107" s="1"/>
      <c r="K5107" s="1"/>
      <c r="L5107" s="1"/>
      <c r="M5107" s="1"/>
      <c r="N5107" s="1"/>
      <c r="O5107" s="1"/>
      <c r="P5107" s="1"/>
      <c r="Q5107" s="1"/>
      <c r="R5107" s="1"/>
      <c r="S5107" s="1"/>
      <c r="T5107" s="1"/>
      <c r="U5107" s="1"/>
      <c r="V5107" s="1"/>
      <c r="W5107" s="1"/>
      <c r="X5107" s="1"/>
      <c r="Y5107" s="1"/>
      <c r="Z5107" s="1"/>
      <c r="AA5107" s="1"/>
      <c r="AB5107" s="1"/>
    </row>
    <row r="5108" ht="50.25" customHeight="1">
      <c r="A5108" s="12">
        <v>5104.0</v>
      </c>
      <c r="B5108" s="13" t="s">
        <v>5027</v>
      </c>
      <c r="C5108" s="18" t="s">
        <v>5128</v>
      </c>
      <c r="D5108" s="1"/>
      <c r="E5108" s="1"/>
      <c r="F5108" s="1" t="str">
        <f>IFERROR(__xludf.DUMMYFUNCTION("GOOGLETRANSLATE(B5108, ""en"", ""fa"")
"),"املاک و مستغلات برای حرفه ای ها")</f>
        <v>املاک و مستغلات برای حرفه ای ها</v>
      </c>
      <c r="G5108" s="1" t="str">
        <f>IFERROR(__xludf.DUMMYFUNCTION("GOOGLETRANSLATE(C5108, ""en"", ""fa"")
"),"چگونه متخصصان املاک و مستغلات می توانند به طور موثر بن بست ها و بن بست های مذاکره را مدیریت کنند تا گفتگو را به جلو نگه دارند؟")</f>
        <v>چگونه متخصصان املاک و مستغلات می توانند به طور موثر بن بست ها و بن بست های مذاکره را مدیریت کنند تا گفتگو را به جلو نگه دارند؟</v>
      </c>
      <c r="H5108" s="1"/>
      <c r="I5108" s="1"/>
      <c r="J5108" s="1"/>
      <c r="K5108" s="1"/>
      <c r="L5108" s="1"/>
      <c r="M5108" s="1"/>
      <c r="N5108" s="1"/>
      <c r="O5108" s="1"/>
      <c r="P5108" s="1"/>
      <c r="Q5108" s="1"/>
      <c r="R5108" s="1"/>
      <c r="S5108" s="1"/>
      <c r="T5108" s="1"/>
      <c r="U5108" s="1"/>
      <c r="V5108" s="1"/>
      <c r="W5108" s="1"/>
      <c r="X5108" s="1"/>
      <c r="Y5108" s="1"/>
      <c r="Z5108" s="1"/>
      <c r="AA5108" s="1"/>
      <c r="AB5108" s="1"/>
    </row>
    <row r="5109" ht="50.25" customHeight="1">
      <c r="A5109" s="12">
        <v>5105.0</v>
      </c>
      <c r="B5109" s="13" t="s">
        <v>5027</v>
      </c>
      <c r="C5109" s="18" t="s">
        <v>5129</v>
      </c>
      <c r="D5109" s="1"/>
      <c r="E5109" s="1"/>
      <c r="F5109" s="1" t="str">
        <f>IFERROR(__xludf.DUMMYFUNCTION("GOOGLETRANSLATE(B5109, ""en"", ""fa"")
"),"املاک و مستغلات برای حرفه ای ها")</f>
        <v>املاک و مستغلات برای حرفه ای ها</v>
      </c>
      <c r="G5109" s="1" t="str">
        <f>IFERROR(__xludf.DUMMYFUNCTION("GOOGLETRANSLATE(C5109, ""en"", ""fa"")
"),"بهترین شیوه ها برای پیش بینی و پرداختن به تاکتیک های مذاکره رایج که توسط طرف مقابل در معاملات املاک و مستغلات استفاده می شود چیست؟")</f>
        <v>بهترین شیوه ها برای پیش بینی و پرداختن به تاکتیک های مذاکره رایج که توسط طرف مقابل در معاملات املاک و مستغلات استفاده می شود چیست؟</v>
      </c>
      <c r="H5109" s="1"/>
      <c r="I5109" s="1"/>
      <c r="J5109" s="1"/>
      <c r="K5109" s="1"/>
      <c r="L5109" s="1"/>
      <c r="M5109" s="1"/>
      <c r="N5109" s="1"/>
      <c r="O5109" s="1"/>
      <c r="P5109" s="1"/>
      <c r="Q5109" s="1"/>
      <c r="R5109" s="1"/>
      <c r="S5109" s="1"/>
      <c r="T5109" s="1"/>
      <c r="U5109" s="1"/>
      <c r="V5109" s="1"/>
      <c r="W5109" s="1"/>
      <c r="X5109" s="1"/>
      <c r="Y5109" s="1"/>
      <c r="Z5109" s="1"/>
      <c r="AA5109" s="1"/>
      <c r="AB5109" s="1"/>
    </row>
    <row r="5110" ht="50.25" customHeight="1">
      <c r="A5110" s="12">
        <v>5106.0</v>
      </c>
      <c r="B5110" s="13" t="s">
        <v>5027</v>
      </c>
      <c r="C5110" s="18" t="s">
        <v>5130</v>
      </c>
      <c r="D5110" s="1"/>
      <c r="E5110" s="1"/>
      <c r="F5110" s="1" t="str">
        <f>IFERROR(__xludf.DUMMYFUNCTION("GOOGLETRANSLATE(B5110, ""en"", ""fa"")
"),"املاک و مستغلات برای حرفه ای ها")</f>
        <v>املاک و مستغلات برای حرفه ای ها</v>
      </c>
      <c r="G5110" s="1" t="str">
        <f>IFERROR(__xludf.DUMMYFUNCTION("GOOGLETRANSLATE(C5110, ""en"", ""fa"")
"),"چگونه متخصصان املاک و مستغلات می توانند از تکنیک های ارتباطی متقاعدکننده برای تأثیرگذاری بر تصمیم گیری طرف مقابل در طول مذاکره استفاده کنند؟")</f>
        <v>چگونه متخصصان املاک و مستغلات می توانند از تکنیک های ارتباطی متقاعدکننده برای تأثیرگذاری بر تصمیم گیری طرف مقابل در طول مذاکره استفاده کنند؟</v>
      </c>
      <c r="H5110" s="1"/>
      <c r="I5110" s="1"/>
      <c r="J5110" s="1"/>
      <c r="K5110" s="1"/>
      <c r="L5110" s="1"/>
      <c r="M5110" s="1"/>
      <c r="N5110" s="1"/>
      <c r="O5110" s="1"/>
      <c r="P5110" s="1"/>
      <c r="Q5110" s="1"/>
      <c r="R5110" s="1"/>
      <c r="S5110" s="1"/>
      <c r="T5110" s="1"/>
      <c r="U5110" s="1"/>
      <c r="V5110" s="1"/>
      <c r="W5110" s="1"/>
      <c r="X5110" s="1"/>
      <c r="Y5110" s="1"/>
      <c r="Z5110" s="1"/>
      <c r="AA5110" s="1"/>
      <c r="AB5110" s="1"/>
    </row>
    <row r="5111" ht="50.25" customHeight="1">
      <c r="A5111" s="12">
        <v>5107.0</v>
      </c>
      <c r="B5111" s="13" t="s">
        <v>5027</v>
      </c>
      <c r="C5111" s="18" t="s">
        <v>5131</v>
      </c>
      <c r="D5111" s="1"/>
      <c r="E5111" s="1"/>
      <c r="F5111" s="1" t="str">
        <f>IFERROR(__xludf.DUMMYFUNCTION("GOOGLETRANSLATE(B5111, ""en"", ""fa"")
"),"املاک و مستغلات برای حرفه ای ها")</f>
        <v>املاک و مستغلات برای حرفه ای ها</v>
      </c>
      <c r="G5111" s="1" t="str">
        <f>IFERROR(__xludf.DUMMYFUNCTION("GOOGLETRANSLATE(C5111, ""en"", ""fa"")
"),"استراتژی های کلیدی برای مدیریت موثر دینامیک قدرت و حفظ کنترل در مذاکره املاک چیست؟")</f>
        <v>استراتژی های کلیدی برای مدیریت موثر دینامیک قدرت و حفظ کنترل در مذاکره املاک چیست؟</v>
      </c>
      <c r="H5111" s="1"/>
      <c r="I5111" s="1"/>
      <c r="J5111" s="1"/>
      <c r="K5111" s="1"/>
      <c r="L5111" s="1"/>
      <c r="M5111" s="1"/>
      <c r="N5111" s="1"/>
      <c r="O5111" s="1"/>
      <c r="P5111" s="1"/>
      <c r="Q5111" s="1"/>
      <c r="R5111" s="1"/>
      <c r="S5111" s="1"/>
      <c r="T5111" s="1"/>
      <c r="U5111" s="1"/>
      <c r="V5111" s="1"/>
      <c r="W5111" s="1"/>
      <c r="X5111" s="1"/>
      <c r="Y5111" s="1"/>
      <c r="Z5111" s="1"/>
      <c r="AA5111" s="1"/>
      <c r="AB5111" s="1"/>
    </row>
    <row r="5112" ht="50.25" customHeight="1">
      <c r="A5112" s="12">
        <v>5108.0</v>
      </c>
      <c r="B5112" s="13" t="s">
        <v>5027</v>
      </c>
      <c r="C5112" s="18" t="s">
        <v>5132</v>
      </c>
      <c r="D5112" s="1"/>
      <c r="E5112" s="1"/>
      <c r="F5112" s="1" t="str">
        <f>IFERROR(__xludf.DUMMYFUNCTION("GOOGLETRANSLATE(B5112, ""en"", ""fa"")
"),"املاک و مستغلات برای حرفه ای ها")</f>
        <v>املاک و مستغلات برای حرفه ای ها</v>
      </c>
      <c r="G5112" s="1" t="str">
        <f>IFERROR(__xludf.DUMMYFUNCTION("GOOGLETRANSLATE(C5112, ""en"", ""fa"")
"),"چگونه متخصصان املاک و مستغلات می توانند به طور موثر درگیری هایی را که در طول یک فرآیند مذاکره ایجاد می شود مدیریت و حل کنند؟")</f>
        <v>چگونه متخصصان املاک و مستغلات می توانند به طور موثر درگیری هایی را که در طول یک فرآیند مذاکره ایجاد می شود مدیریت و حل کنند؟</v>
      </c>
      <c r="H5112" s="1"/>
      <c r="I5112" s="1"/>
      <c r="J5112" s="1"/>
      <c r="K5112" s="1"/>
      <c r="L5112" s="1"/>
      <c r="M5112" s="1"/>
      <c r="N5112" s="1"/>
      <c r="O5112" s="1"/>
      <c r="P5112" s="1"/>
      <c r="Q5112" s="1"/>
      <c r="R5112" s="1"/>
      <c r="S5112" s="1"/>
      <c r="T5112" s="1"/>
      <c r="U5112" s="1"/>
      <c r="V5112" s="1"/>
      <c r="W5112" s="1"/>
      <c r="X5112" s="1"/>
      <c r="Y5112" s="1"/>
      <c r="Z5112" s="1"/>
      <c r="AA5112" s="1"/>
      <c r="AB5112" s="1"/>
    </row>
    <row r="5113" ht="50.25" customHeight="1">
      <c r="A5113" s="12">
        <v>5109.0</v>
      </c>
      <c r="B5113" s="13" t="s">
        <v>5027</v>
      </c>
      <c r="C5113" s="18" t="s">
        <v>5133</v>
      </c>
      <c r="D5113" s="1"/>
      <c r="E5113" s="1"/>
      <c r="F5113" s="1" t="str">
        <f>IFERROR(__xludf.DUMMYFUNCTION("GOOGLETRANSLATE(B5113, ""en"", ""fa"")
"),"املاک و مستغلات برای حرفه ای ها")</f>
        <v>املاک و مستغلات برای حرفه ای ها</v>
      </c>
      <c r="G5113" s="1" t="str">
        <f>IFERROR(__xludf.DUMMYFUNCTION("GOOGLETRANSLATE(C5113, ""en"", ""fa"")
"),"هنگام تعیین سطح مناسب انعطاف پذیری و سازگاری در یک مذاکره املاک، چه عوامل مهمی باید در نظر گرفته شود؟")</f>
        <v>هنگام تعیین سطح مناسب انعطاف پذیری و سازگاری در یک مذاکره املاک، چه عوامل مهمی باید در نظر گرفته شود؟</v>
      </c>
      <c r="H5113" s="1"/>
      <c r="I5113" s="1"/>
      <c r="J5113" s="1"/>
      <c r="K5113" s="1"/>
      <c r="L5113" s="1"/>
      <c r="M5113" s="1"/>
      <c r="N5113" s="1"/>
      <c r="O5113" s="1"/>
      <c r="P5113" s="1"/>
      <c r="Q5113" s="1"/>
      <c r="R5113" s="1"/>
      <c r="S5113" s="1"/>
      <c r="T5113" s="1"/>
      <c r="U5113" s="1"/>
      <c r="V5113" s="1"/>
      <c r="W5113" s="1"/>
      <c r="X5113" s="1"/>
      <c r="Y5113" s="1"/>
      <c r="Z5113" s="1"/>
      <c r="AA5113" s="1"/>
      <c r="AB5113" s="1"/>
    </row>
    <row r="5114" ht="50.25" customHeight="1">
      <c r="A5114" s="12">
        <v>5110.0</v>
      </c>
      <c r="B5114" s="13" t="s">
        <v>5027</v>
      </c>
      <c r="C5114" s="18" t="s">
        <v>5134</v>
      </c>
      <c r="D5114" s="1"/>
      <c r="E5114" s="1"/>
      <c r="F5114" s="1" t="str">
        <f>IFERROR(__xludf.DUMMYFUNCTION("GOOGLETRANSLATE(B5114, ""en"", ""fa"")
"),"املاک و مستغلات برای حرفه ای ها")</f>
        <v>املاک و مستغلات برای حرفه ای ها</v>
      </c>
      <c r="G5114" s="1" t="str">
        <f>IFERROR(__xludf.DUMMYFUNCTION("GOOGLETRANSLATE(C5114, ""en"", ""fa"")
"),"چگونه متخصصان املاک و مستغلات می توانند به طور موثر از روندها و داده های بازار برای تقویت موقعیت مذاکره خود استفاده کنند؟")</f>
        <v>چگونه متخصصان املاک و مستغلات می توانند به طور موثر از روندها و داده های بازار برای تقویت موقعیت مذاکره خود استفاده کنند؟</v>
      </c>
      <c r="H5114" s="1"/>
      <c r="I5114" s="1"/>
      <c r="J5114" s="1"/>
      <c r="K5114" s="1"/>
      <c r="L5114" s="1"/>
      <c r="M5114" s="1"/>
      <c r="N5114" s="1"/>
      <c r="O5114" s="1"/>
      <c r="P5114" s="1"/>
      <c r="Q5114" s="1"/>
      <c r="R5114" s="1"/>
      <c r="S5114" s="1"/>
      <c r="T5114" s="1"/>
      <c r="U5114" s="1"/>
      <c r="V5114" s="1"/>
      <c r="W5114" s="1"/>
      <c r="X5114" s="1"/>
      <c r="Y5114" s="1"/>
      <c r="Z5114" s="1"/>
      <c r="AA5114" s="1"/>
      <c r="AB5114" s="1"/>
    </row>
    <row r="5115" ht="50.25" customHeight="1">
      <c r="A5115" s="12">
        <v>5111.0</v>
      </c>
      <c r="B5115" s="13" t="s">
        <v>5027</v>
      </c>
      <c r="C5115" s="18" t="s">
        <v>5135</v>
      </c>
      <c r="D5115" s="1"/>
      <c r="E5115" s="1"/>
      <c r="F5115" s="1" t="str">
        <f>IFERROR(__xludf.DUMMYFUNCTION("GOOGLETRANSLATE(B5115, ""en"", ""fa"")
"),"املاک و مستغلات برای حرفه ای ها")</f>
        <v>املاک و مستغلات برای حرفه ای ها</v>
      </c>
      <c r="G5115" s="1" t="str">
        <f>IFERROR(__xludf.DUMMYFUNCTION("GOOGLETRANSLATE(C5115, ""en"", ""fa"")
"),"بهترین شیوه ها برای مدیریت ریسک های مذاکره و دام های احتمالی در معاملات املاک چیست؟")</f>
        <v>بهترین شیوه ها برای مدیریت ریسک های مذاکره و دام های احتمالی در معاملات املاک چیست؟</v>
      </c>
      <c r="H5115" s="1"/>
      <c r="I5115" s="1"/>
      <c r="J5115" s="1"/>
      <c r="K5115" s="1"/>
      <c r="L5115" s="1"/>
      <c r="M5115" s="1"/>
      <c r="N5115" s="1"/>
      <c r="O5115" s="1"/>
      <c r="P5115" s="1"/>
      <c r="Q5115" s="1"/>
      <c r="R5115" s="1"/>
      <c r="S5115" s="1"/>
      <c r="T5115" s="1"/>
      <c r="U5115" s="1"/>
      <c r="V5115" s="1"/>
      <c r="W5115" s="1"/>
      <c r="X5115" s="1"/>
      <c r="Y5115" s="1"/>
      <c r="Z5115" s="1"/>
      <c r="AA5115" s="1"/>
      <c r="AB5115" s="1"/>
    </row>
    <row r="5116" ht="50.25" customHeight="1">
      <c r="A5116" s="12">
        <v>5112.0</v>
      </c>
      <c r="B5116" s="13" t="s">
        <v>5027</v>
      </c>
      <c r="C5116" s="18" t="s">
        <v>5136</v>
      </c>
      <c r="D5116" s="1"/>
      <c r="E5116" s="1"/>
      <c r="F5116" s="1" t="str">
        <f>IFERROR(__xludf.DUMMYFUNCTION("GOOGLETRANSLATE(B5116, ""en"", ""fa"")
"),"املاک و مستغلات برای حرفه ای ها")</f>
        <v>املاک و مستغلات برای حرفه ای ها</v>
      </c>
      <c r="G5116" s="1" t="str">
        <f>IFERROR(__xludf.DUMMYFUNCTION("GOOGLETRANSLATE(C5116, ""en"", ""fa"")
"),"چگونه متخصصان املاک و مستغلات می توانند از شبیه سازی های مذاکره و تمرین های نقش آفرینی برای افزایش مهارت ها و اعتماد به نفس خود استفاده کنند؟")</f>
        <v>چگونه متخصصان املاک و مستغلات می توانند از شبیه سازی های مذاکره و تمرین های نقش آفرینی برای افزایش مهارت ها و اعتماد به نفس خود استفاده کنند؟</v>
      </c>
      <c r="H5116" s="1"/>
      <c r="I5116" s="1"/>
      <c r="J5116" s="1"/>
      <c r="K5116" s="1"/>
      <c r="L5116" s="1"/>
      <c r="M5116" s="1"/>
      <c r="N5116" s="1"/>
      <c r="O5116" s="1"/>
      <c r="P5116" s="1"/>
      <c r="Q5116" s="1"/>
      <c r="R5116" s="1"/>
      <c r="S5116" s="1"/>
      <c r="T5116" s="1"/>
      <c r="U5116" s="1"/>
      <c r="V5116" s="1"/>
      <c r="W5116" s="1"/>
      <c r="X5116" s="1"/>
      <c r="Y5116" s="1"/>
      <c r="Z5116" s="1"/>
      <c r="AA5116" s="1"/>
      <c r="AB5116" s="1"/>
    </row>
    <row r="5117" ht="50.25" customHeight="1">
      <c r="A5117" s="12">
        <v>5113.0</v>
      </c>
      <c r="B5117" s="13" t="s">
        <v>5027</v>
      </c>
      <c r="C5117" s="18" t="s">
        <v>5137</v>
      </c>
      <c r="D5117" s="1"/>
      <c r="E5117" s="1"/>
      <c r="F5117" s="1" t="str">
        <f>IFERROR(__xludf.DUMMYFUNCTION("GOOGLETRANSLATE(B5117, ""en"", ""fa"")
"),"املاک و مستغلات برای حرفه ای ها")</f>
        <v>املاک و مستغلات برای حرفه ای ها</v>
      </c>
      <c r="G5117" s="1" t="str">
        <f>IFERROR(__xludf.DUMMYFUNCTION("GOOGLETRANSLATE(C5117, ""en"", ""fa"")
"),"استراتژی های کلیدی برای استفاده موثر از سکوت به عنوان یک تاکتیک مذاکره در معاملات املاک چیست؟")</f>
        <v>استراتژی های کلیدی برای استفاده موثر از سکوت به عنوان یک تاکتیک مذاکره در معاملات املاک چیست؟</v>
      </c>
      <c r="H5117" s="1"/>
      <c r="I5117" s="1"/>
      <c r="J5117" s="1"/>
      <c r="K5117" s="1"/>
      <c r="L5117" s="1"/>
      <c r="M5117" s="1"/>
      <c r="N5117" s="1"/>
      <c r="O5117" s="1"/>
      <c r="P5117" s="1"/>
      <c r="Q5117" s="1"/>
      <c r="R5117" s="1"/>
      <c r="S5117" s="1"/>
      <c r="T5117" s="1"/>
      <c r="U5117" s="1"/>
      <c r="V5117" s="1"/>
      <c r="W5117" s="1"/>
      <c r="X5117" s="1"/>
      <c r="Y5117" s="1"/>
      <c r="Z5117" s="1"/>
      <c r="AA5117" s="1"/>
      <c r="AB5117" s="1"/>
    </row>
    <row r="5118" ht="50.25" customHeight="1">
      <c r="A5118" s="12">
        <v>5114.0</v>
      </c>
      <c r="B5118" s="13" t="s">
        <v>5027</v>
      </c>
      <c r="C5118" s="18" t="s">
        <v>5138</v>
      </c>
      <c r="D5118" s="1"/>
      <c r="E5118" s="1"/>
      <c r="F5118" s="1" t="str">
        <f>IFERROR(__xludf.DUMMYFUNCTION("GOOGLETRANSLATE(B5118, ""en"", ""fa"")
"),"املاک و مستغلات برای حرفه ای ها")</f>
        <v>املاک و مستغلات برای حرفه ای ها</v>
      </c>
      <c r="G5118" s="1" t="str">
        <f>IFERROR(__xludf.DUMMYFUNCTION("GOOGLETRANSLATE(C5118, ""en"", ""fa"")
"),"چگونه متخصصان املاک و مستغلات می توانند به طور موثر فرآیند مذاکره را در صورت مواجهه با چندین پیشنهاد یا خریداران رقیب مدیریت کنند؟")</f>
        <v>چگونه متخصصان املاک و مستغلات می توانند به طور موثر فرآیند مذاکره را در صورت مواجهه با چندین پیشنهاد یا خریداران رقیب مدیریت کنند؟</v>
      </c>
      <c r="H5118" s="1"/>
      <c r="I5118" s="1"/>
      <c r="J5118" s="1"/>
      <c r="K5118" s="1"/>
      <c r="L5118" s="1"/>
      <c r="M5118" s="1"/>
      <c r="N5118" s="1"/>
      <c r="O5118" s="1"/>
      <c r="P5118" s="1"/>
      <c r="Q5118" s="1"/>
      <c r="R5118" s="1"/>
      <c r="S5118" s="1"/>
      <c r="T5118" s="1"/>
      <c r="U5118" s="1"/>
      <c r="V5118" s="1"/>
      <c r="W5118" s="1"/>
      <c r="X5118" s="1"/>
      <c r="Y5118" s="1"/>
      <c r="Z5118" s="1"/>
      <c r="AA5118" s="1"/>
      <c r="AB5118" s="1"/>
    </row>
    <row r="5119" ht="50.25" customHeight="1">
      <c r="A5119" s="12">
        <v>5115.0</v>
      </c>
      <c r="B5119" s="13" t="s">
        <v>5027</v>
      </c>
      <c r="C5119" s="18" t="s">
        <v>5139</v>
      </c>
      <c r="D5119" s="1"/>
      <c r="E5119" s="1"/>
      <c r="F5119" s="1" t="str">
        <f>IFERROR(__xludf.DUMMYFUNCTION("GOOGLETRANSLATE(B5119, ""en"", ""fa"")
"),"املاک و مستغلات برای حرفه ای ها")</f>
        <v>املاک و مستغلات برای حرفه ای ها</v>
      </c>
      <c r="G5119" s="1" t="str">
        <f>IFERROR(__xludf.DUMMYFUNCTION("GOOGLETRANSLATE(C5119, ""en"", ""fa"")
"),"هنگام تعیین جدول زمانی مذاکره و تعیین ضرب الاجل برای دستیابی به توافق در معاملات املاک و مستغلات، چه عوامل مهمی باید در نظر گرفته شود؟")</f>
        <v>هنگام تعیین جدول زمانی مذاکره و تعیین ضرب الاجل برای دستیابی به توافق در معاملات املاک و مستغلات، چه عوامل مهمی باید در نظر گرفته شود؟</v>
      </c>
      <c r="H5119" s="1"/>
      <c r="I5119" s="1"/>
      <c r="J5119" s="1"/>
      <c r="K5119" s="1"/>
      <c r="L5119" s="1"/>
      <c r="M5119" s="1"/>
      <c r="N5119" s="1"/>
      <c r="O5119" s="1"/>
      <c r="P5119" s="1"/>
      <c r="Q5119" s="1"/>
      <c r="R5119" s="1"/>
      <c r="S5119" s="1"/>
      <c r="T5119" s="1"/>
      <c r="U5119" s="1"/>
      <c r="V5119" s="1"/>
      <c r="W5119" s="1"/>
      <c r="X5119" s="1"/>
      <c r="Y5119" s="1"/>
      <c r="Z5119" s="1"/>
      <c r="AA5119" s="1"/>
      <c r="AB5119" s="1"/>
    </row>
    <row r="5120" ht="50.25" customHeight="1">
      <c r="A5120" s="12">
        <v>5116.0</v>
      </c>
      <c r="B5120" s="13" t="s">
        <v>5027</v>
      </c>
      <c r="C5120" s="18" t="s">
        <v>5140</v>
      </c>
      <c r="D5120" s="1"/>
      <c r="E5120" s="1"/>
      <c r="F5120" s="1" t="str">
        <f>IFERROR(__xludf.DUMMYFUNCTION("GOOGLETRANSLATE(B5120, ""en"", ""fa"")
"),"املاک و مستغلات برای حرفه ای ها")</f>
        <v>املاک و مستغلات برای حرفه ای ها</v>
      </c>
      <c r="G5120" s="1" t="str">
        <f>IFERROR(__xludf.DUMMYFUNCTION("GOOGLETRANSLATE(C5120, ""en"", ""fa"")
"),"چگونه متخصصان املاک و مستغلات می توانند به طور موثر همدلی و درک را در طول مذاکره برای ایجاد رابطه با طرف مقابل منتقل کنند؟")</f>
        <v>چگونه متخصصان املاک و مستغلات می توانند به طور موثر همدلی و درک را در طول مذاکره برای ایجاد رابطه با طرف مقابل منتقل کنند؟</v>
      </c>
      <c r="H5120" s="1"/>
      <c r="I5120" s="1"/>
      <c r="J5120" s="1"/>
      <c r="K5120" s="1"/>
      <c r="L5120" s="1"/>
      <c r="M5120" s="1"/>
      <c r="N5120" s="1"/>
      <c r="O5120" s="1"/>
      <c r="P5120" s="1"/>
      <c r="Q5120" s="1"/>
      <c r="R5120" s="1"/>
      <c r="S5120" s="1"/>
      <c r="T5120" s="1"/>
      <c r="U5120" s="1"/>
      <c r="V5120" s="1"/>
      <c r="W5120" s="1"/>
      <c r="X5120" s="1"/>
      <c r="Y5120" s="1"/>
      <c r="Z5120" s="1"/>
      <c r="AA5120" s="1"/>
      <c r="AB5120" s="1"/>
    </row>
    <row r="5121" ht="50.25" customHeight="1">
      <c r="A5121" s="12">
        <v>5117.0</v>
      </c>
      <c r="B5121" s="13" t="s">
        <v>5027</v>
      </c>
      <c r="C5121" s="18" t="s">
        <v>5141</v>
      </c>
      <c r="D5121" s="1"/>
      <c r="E5121" s="1"/>
      <c r="F5121" s="1" t="str">
        <f>IFERROR(__xludf.DUMMYFUNCTION("GOOGLETRANSLATE(B5121, ""en"", ""fa"")
"),"املاک و مستغلات برای حرفه ای ها")</f>
        <v>املاک و مستغلات برای حرفه ای ها</v>
      </c>
      <c r="G5121" s="1" t="str">
        <f>IFERROR(__xludf.DUMMYFUNCTION("GOOGLETRANSLATE(C5121, ""en"", ""fa"")
"),"بهترین شیوه ها برای مستندسازی و رسمی کردن توافقات مذاکره شده در معاملات املاک و مستغلات چیست؟")</f>
        <v>بهترین شیوه ها برای مستندسازی و رسمی کردن توافقات مذاکره شده در معاملات املاک و مستغلات چیست؟</v>
      </c>
      <c r="H5121" s="1"/>
      <c r="I5121" s="1"/>
      <c r="J5121" s="1"/>
      <c r="K5121" s="1"/>
      <c r="L5121" s="1"/>
      <c r="M5121" s="1"/>
      <c r="N5121" s="1"/>
      <c r="O5121" s="1"/>
      <c r="P5121" s="1"/>
      <c r="Q5121" s="1"/>
      <c r="R5121" s="1"/>
      <c r="S5121" s="1"/>
      <c r="T5121" s="1"/>
      <c r="U5121" s="1"/>
      <c r="V5121" s="1"/>
      <c r="W5121" s="1"/>
      <c r="X5121" s="1"/>
      <c r="Y5121" s="1"/>
      <c r="Z5121" s="1"/>
      <c r="AA5121" s="1"/>
      <c r="AB5121" s="1"/>
    </row>
    <row r="5122" ht="50.25" customHeight="1">
      <c r="A5122" s="12">
        <v>5118.0</v>
      </c>
      <c r="B5122" s="13" t="s">
        <v>5027</v>
      </c>
      <c r="C5122" s="18" t="s">
        <v>5142</v>
      </c>
      <c r="D5122" s="1"/>
      <c r="E5122" s="1"/>
      <c r="F5122" s="1" t="str">
        <f>IFERROR(__xludf.DUMMYFUNCTION("GOOGLETRANSLATE(B5122, ""en"", ""fa"")
"),"املاک و مستغلات برای حرفه ای ها")</f>
        <v>املاک و مستغلات برای حرفه ای ها</v>
      </c>
      <c r="G5122" s="1" t="str">
        <f>IFERROR(__xludf.DUMMYFUNCTION("GOOGLETRANSLATE(C5122, ""en"", ""fa"")
"),"چگونه متخصصان املاک و مستغلات می توانند از امتیازات مذاکره به عنوان یک ابزار استراتژیک برای دستیابی به نتایج مطلوب استفاده کنند؟")</f>
        <v>چگونه متخصصان املاک و مستغلات می توانند از امتیازات مذاکره به عنوان یک ابزار استراتژیک برای دستیابی به نتایج مطلوب استفاده کنند؟</v>
      </c>
      <c r="H5122" s="1"/>
      <c r="I5122" s="1"/>
      <c r="J5122" s="1"/>
      <c r="K5122" s="1"/>
      <c r="L5122" s="1"/>
      <c r="M5122" s="1"/>
      <c r="N5122" s="1"/>
      <c r="O5122" s="1"/>
      <c r="P5122" s="1"/>
      <c r="Q5122" s="1"/>
      <c r="R5122" s="1"/>
      <c r="S5122" s="1"/>
      <c r="T5122" s="1"/>
      <c r="U5122" s="1"/>
      <c r="V5122" s="1"/>
      <c r="W5122" s="1"/>
      <c r="X5122" s="1"/>
      <c r="Y5122" s="1"/>
      <c r="Z5122" s="1"/>
      <c r="AA5122" s="1"/>
      <c r="AB5122" s="1"/>
    </row>
    <row r="5123" ht="50.25" customHeight="1">
      <c r="A5123" s="12">
        <v>5119.0</v>
      </c>
      <c r="B5123" s="13" t="s">
        <v>5027</v>
      </c>
      <c r="C5123" s="18" t="s">
        <v>5143</v>
      </c>
      <c r="D5123" s="1"/>
      <c r="E5123" s="1"/>
      <c r="F5123" s="1" t="str">
        <f>IFERROR(__xludf.DUMMYFUNCTION("GOOGLETRANSLATE(B5123, ""en"", ""fa"")
"),"املاک و مستغلات برای حرفه ای ها")</f>
        <v>املاک و مستغلات برای حرفه ای ها</v>
      </c>
      <c r="G5123" s="1" t="str">
        <f>IFERROR(__xludf.DUMMYFUNCTION("GOOGLETRANSLATE(C5123, ""en"", ""fa"")
"),"استراتژی های کلیدی برای مدیریت شخصیت های دشوار یا رفتارهای چالش برانگیز در طول مذاکره املاک چیست؟")</f>
        <v>استراتژی های کلیدی برای مدیریت شخصیت های دشوار یا رفتارهای چالش برانگیز در طول مذاکره املاک چیست؟</v>
      </c>
      <c r="H5123" s="1"/>
      <c r="I5123" s="1"/>
      <c r="J5123" s="1"/>
      <c r="K5123" s="1"/>
      <c r="L5123" s="1"/>
      <c r="M5123" s="1"/>
      <c r="N5123" s="1"/>
      <c r="O5123" s="1"/>
      <c r="P5123" s="1"/>
      <c r="Q5123" s="1"/>
      <c r="R5123" s="1"/>
      <c r="S5123" s="1"/>
      <c r="T5123" s="1"/>
      <c r="U5123" s="1"/>
      <c r="V5123" s="1"/>
      <c r="W5123" s="1"/>
      <c r="X5123" s="1"/>
      <c r="Y5123" s="1"/>
      <c r="Z5123" s="1"/>
      <c r="AA5123" s="1"/>
      <c r="AB5123" s="1"/>
    </row>
    <row r="5124" ht="50.25" customHeight="1">
      <c r="A5124" s="12">
        <v>5120.0</v>
      </c>
      <c r="B5124" s="13" t="s">
        <v>5027</v>
      </c>
      <c r="C5124" s="18" t="s">
        <v>5144</v>
      </c>
      <c r="D5124" s="1"/>
      <c r="E5124" s="1"/>
      <c r="F5124" s="1" t="str">
        <f>IFERROR(__xludf.DUMMYFUNCTION("GOOGLETRANSLATE(B5124, ""en"", ""fa"")
"),"املاک و مستغلات برای حرفه ای ها")</f>
        <v>املاک و مستغلات برای حرفه ای ها</v>
      </c>
      <c r="G5124" s="1" t="str">
        <f>IFERROR(__xludf.DUMMYFUNCTION("GOOGLETRANSLATE(C5124, ""en"", ""fa"")
"),"چگونه متخصصان املاک و مستغلات می توانند به طور موثر از نشانه های ارتباط غیرکلامی و زبان بدن برای افزایش اثربخشی مذاکره خود استفاده کنند؟")</f>
        <v>چگونه متخصصان املاک و مستغلات می توانند به طور موثر از نشانه های ارتباط غیرکلامی و زبان بدن برای افزایش اثربخشی مذاکره خود استفاده کنند؟</v>
      </c>
      <c r="H5124" s="1"/>
      <c r="I5124" s="1"/>
      <c r="J5124" s="1"/>
      <c r="K5124" s="1"/>
      <c r="L5124" s="1"/>
      <c r="M5124" s="1"/>
      <c r="N5124" s="1"/>
      <c r="O5124" s="1"/>
      <c r="P5124" s="1"/>
      <c r="Q5124" s="1"/>
      <c r="R5124" s="1"/>
      <c r="S5124" s="1"/>
      <c r="T5124" s="1"/>
      <c r="U5124" s="1"/>
      <c r="V5124" s="1"/>
      <c r="W5124" s="1"/>
      <c r="X5124" s="1"/>
      <c r="Y5124" s="1"/>
      <c r="Z5124" s="1"/>
      <c r="AA5124" s="1"/>
      <c r="AB5124" s="1"/>
    </row>
    <row r="5125" ht="50.25" customHeight="1">
      <c r="A5125" s="12">
        <v>5121.0</v>
      </c>
      <c r="B5125" s="13" t="s">
        <v>5027</v>
      </c>
      <c r="C5125" s="18" t="s">
        <v>5145</v>
      </c>
      <c r="D5125" s="1"/>
      <c r="E5125" s="1"/>
      <c r="F5125" s="1" t="str">
        <f>IFERROR(__xludf.DUMMYFUNCTION("GOOGLETRANSLATE(B5125, ""en"", ""fa"")
"),"املاک و مستغلات برای حرفه ای ها")</f>
        <v>املاک و مستغلات برای حرفه ای ها</v>
      </c>
      <c r="G5125" s="1" t="str">
        <f>IFERROR(__xludf.DUMMYFUNCTION("GOOGLETRANSLATE(C5125, ""en"", ""fa"")
"),"هنگام تعیین سطح مناسب قاطعیت و ارتباط قاطعانه در یک مذاکره املاک، چه عوامل مهمی باید در نظر گرفته شود؟")</f>
        <v>هنگام تعیین سطح مناسب قاطعیت و ارتباط قاطعانه در یک مذاکره املاک، چه عوامل مهمی باید در نظر گرفته شود؟</v>
      </c>
      <c r="H5125" s="1"/>
      <c r="I5125" s="1"/>
      <c r="J5125" s="1"/>
      <c r="K5125" s="1"/>
      <c r="L5125" s="1"/>
      <c r="M5125" s="1"/>
      <c r="N5125" s="1"/>
      <c r="O5125" s="1"/>
      <c r="P5125" s="1"/>
      <c r="Q5125" s="1"/>
      <c r="R5125" s="1"/>
      <c r="S5125" s="1"/>
      <c r="T5125" s="1"/>
      <c r="U5125" s="1"/>
      <c r="V5125" s="1"/>
      <c r="W5125" s="1"/>
      <c r="X5125" s="1"/>
      <c r="Y5125" s="1"/>
      <c r="Z5125" s="1"/>
      <c r="AA5125" s="1"/>
      <c r="AB5125" s="1"/>
    </row>
    <row r="5126" ht="50.25" customHeight="1">
      <c r="A5126" s="12">
        <v>5122.0</v>
      </c>
      <c r="B5126" s="13" t="s">
        <v>5027</v>
      </c>
      <c r="C5126" s="18" t="s">
        <v>5146</v>
      </c>
      <c r="D5126" s="1"/>
      <c r="E5126" s="1"/>
      <c r="F5126" s="1" t="str">
        <f>IFERROR(__xludf.DUMMYFUNCTION("GOOGLETRANSLATE(B5126, ""en"", ""fa"")
"),"املاک و مستغلات برای حرفه ای ها")</f>
        <v>املاک و مستغلات برای حرفه ای ها</v>
      </c>
      <c r="G5126" s="1" t="str">
        <f>IFERROR(__xludf.DUMMYFUNCTION("GOOGLETRANSLATE(C5126, ""en"", ""fa"")
"),"چگونه متخصصان املاک و مستغلات می توانند به طور موثر مذاکرات را با چندین تصمیم گیرنده یا سهامداران درگیر انجام دهند؟")</f>
        <v>چگونه متخصصان املاک و مستغلات می توانند به طور موثر مذاکرات را با چندین تصمیم گیرنده یا سهامداران درگیر انجام دهند؟</v>
      </c>
      <c r="H5126" s="1"/>
      <c r="I5126" s="1"/>
      <c r="J5126" s="1"/>
      <c r="K5126" s="1"/>
      <c r="L5126" s="1"/>
      <c r="M5126" s="1"/>
      <c r="N5126" s="1"/>
      <c r="O5126" s="1"/>
      <c r="P5126" s="1"/>
      <c r="Q5126" s="1"/>
      <c r="R5126" s="1"/>
      <c r="S5126" s="1"/>
      <c r="T5126" s="1"/>
      <c r="U5126" s="1"/>
      <c r="V5126" s="1"/>
      <c r="W5126" s="1"/>
      <c r="X5126" s="1"/>
      <c r="Y5126" s="1"/>
      <c r="Z5126" s="1"/>
      <c r="AA5126" s="1"/>
      <c r="AB5126" s="1"/>
    </row>
    <row r="5127" ht="50.25" customHeight="1">
      <c r="A5127" s="12">
        <v>5123.0</v>
      </c>
      <c r="B5127" s="13" t="s">
        <v>5027</v>
      </c>
      <c r="C5127" s="18" t="s">
        <v>5147</v>
      </c>
      <c r="D5127" s="1"/>
      <c r="E5127" s="1"/>
      <c r="F5127" s="1" t="str">
        <f>IFERROR(__xludf.DUMMYFUNCTION("GOOGLETRANSLATE(B5127, ""en"", ""fa"")
"),"املاک و مستغلات برای حرفه ای ها")</f>
        <v>املاک و مستغلات برای حرفه ای ها</v>
      </c>
      <c r="G5127" s="1" t="str">
        <f>IFERROR(__xludf.DUMMYFUNCTION("GOOGLETRANSLATE(C5127, ""en"", ""fa"")
"),"بهترین شیوه ها برای مدیریت خستگی از مذاکره و حفظ تمرکز و تمرکز در طول فرآیند مذاکره چیست؟")</f>
        <v>بهترین شیوه ها برای مدیریت خستگی از مذاکره و حفظ تمرکز و تمرکز در طول فرآیند مذاکره چیست؟</v>
      </c>
      <c r="H5127" s="1"/>
      <c r="I5127" s="1"/>
      <c r="J5127" s="1"/>
      <c r="K5127" s="1"/>
      <c r="L5127" s="1"/>
      <c r="M5127" s="1"/>
      <c r="N5127" s="1"/>
      <c r="O5127" s="1"/>
      <c r="P5127" s="1"/>
      <c r="Q5127" s="1"/>
      <c r="R5127" s="1"/>
      <c r="S5127" s="1"/>
      <c r="T5127" s="1"/>
      <c r="U5127" s="1"/>
      <c r="V5127" s="1"/>
      <c r="W5127" s="1"/>
      <c r="X5127" s="1"/>
      <c r="Y5127" s="1"/>
      <c r="Z5127" s="1"/>
      <c r="AA5127" s="1"/>
      <c r="AB5127" s="1"/>
    </row>
    <row r="5128" ht="50.25" customHeight="1">
      <c r="A5128" s="12">
        <v>5124.0</v>
      </c>
      <c r="B5128" s="13" t="s">
        <v>5027</v>
      </c>
      <c r="C5128" s="18" t="s">
        <v>5148</v>
      </c>
      <c r="D5128" s="1"/>
      <c r="E5128" s="1"/>
      <c r="F5128" s="1" t="str">
        <f>IFERROR(__xludf.DUMMYFUNCTION("GOOGLETRANSLATE(B5128, ""en"", ""fa"")
"),"املاک و مستغلات برای حرفه ای ها")</f>
        <v>املاک و مستغلات برای حرفه ای ها</v>
      </c>
      <c r="G5128" s="1" t="str">
        <f>IFERROR(__xludf.DUMMYFUNCTION("GOOGLETRANSLATE(C5128, ""en"", ""fa"")
"),"چگونه متخصصان املاک و مستغلات می توانند به طور موثر بر اعتراضات رایج مربوط به قیمت، شرایط یا شرایط ملک در طول مذاکره رسیدگی کنند و بر آنها غلبه کنند؟")</f>
        <v>چگونه متخصصان املاک و مستغلات می توانند به طور موثر بر اعتراضات رایج مربوط به قیمت، شرایط یا شرایط ملک در طول مذاکره رسیدگی کنند و بر آنها غلبه کنند؟</v>
      </c>
      <c r="H5128" s="1"/>
      <c r="I5128" s="1"/>
      <c r="J5128" s="1"/>
      <c r="K5128" s="1"/>
      <c r="L5128" s="1"/>
      <c r="M5128" s="1"/>
      <c r="N5128" s="1"/>
      <c r="O5128" s="1"/>
      <c r="P5128" s="1"/>
      <c r="Q5128" s="1"/>
      <c r="R5128" s="1"/>
      <c r="S5128" s="1"/>
      <c r="T5128" s="1"/>
      <c r="U5128" s="1"/>
      <c r="V5128" s="1"/>
      <c r="W5128" s="1"/>
      <c r="X5128" s="1"/>
      <c r="Y5128" s="1"/>
      <c r="Z5128" s="1"/>
      <c r="AA5128" s="1"/>
      <c r="AB5128" s="1"/>
    </row>
    <row r="5129" ht="50.25" customHeight="1">
      <c r="A5129" s="12">
        <v>5125.0</v>
      </c>
      <c r="B5129" s="13" t="s">
        <v>5027</v>
      </c>
      <c r="C5129" s="18" t="s">
        <v>5149</v>
      </c>
      <c r="D5129" s="1"/>
      <c r="E5129" s="1"/>
      <c r="F5129" s="1" t="str">
        <f>IFERROR(__xludf.DUMMYFUNCTION("GOOGLETRANSLATE(B5129, ""en"", ""fa"")
"),"املاک و مستغلات برای حرفه ای ها")</f>
        <v>املاک و مستغلات برای حرفه ای ها</v>
      </c>
      <c r="G5129" s="1" t="str">
        <f>IFERROR(__xludf.DUMMYFUNCTION("GOOGLETRANSLATE(C5129, ""en"", ""fa"")
"),"استراتژی های کلیدی برای استفاده از تکنیک های مذاکره خاص برای انواع مختلف معاملات املاک، مانند املاک مسکونی، تجاری، یا سرمایه گذاری چیست؟")</f>
        <v>استراتژی های کلیدی برای استفاده از تکنیک های مذاکره خاص برای انواع مختلف معاملات املاک، مانند املاک مسکونی، تجاری، یا سرمایه گذاری چیست؟</v>
      </c>
      <c r="H5129" s="1"/>
      <c r="I5129" s="1"/>
      <c r="J5129" s="1"/>
      <c r="K5129" s="1"/>
      <c r="L5129" s="1"/>
      <c r="M5129" s="1"/>
      <c r="N5129" s="1"/>
      <c r="O5129" s="1"/>
      <c r="P5129" s="1"/>
      <c r="Q5129" s="1"/>
      <c r="R5129" s="1"/>
      <c r="S5129" s="1"/>
      <c r="T5129" s="1"/>
      <c r="U5129" s="1"/>
      <c r="V5129" s="1"/>
      <c r="W5129" s="1"/>
      <c r="X5129" s="1"/>
      <c r="Y5129" s="1"/>
      <c r="Z5129" s="1"/>
      <c r="AA5129" s="1"/>
      <c r="AB5129" s="1"/>
    </row>
    <row r="5130" ht="50.25" customHeight="1">
      <c r="A5130" s="12">
        <v>5126.0</v>
      </c>
      <c r="B5130" s="13" t="s">
        <v>5027</v>
      </c>
      <c r="C5130" s="18" t="s">
        <v>5150</v>
      </c>
      <c r="D5130" s="1"/>
      <c r="E5130" s="1"/>
      <c r="F5130" s="1" t="str">
        <f>IFERROR(__xludf.DUMMYFUNCTION("GOOGLETRANSLATE(B5130, ""en"", ""fa"")
"),"املاک و مستغلات برای حرفه ای ها")</f>
        <v>املاک و مستغلات برای حرفه ای ها</v>
      </c>
      <c r="G5130" s="1" t="str">
        <f>IFERROR(__xludf.DUMMYFUNCTION("GOOGLETRANSLATE(C5130, ""en"", ""fa"")
"),"چگونه متخصصان املاک و مستغلات می توانند به طور مؤثر احساسات خود را مدیریت کنند و رفتار حرفه ای خود را در هنگام مواجهه با موقعیت های چالش برانگیز یا متخاصم در طول مذاکره حفظ کنند؟")</f>
        <v>چگونه متخصصان املاک و مستغلات می توانند به طور مؤثر احساسات خود را مدیریت کنند و رفتار حرفه ای خود را در هنگام مواجهه با موقعیت های چالش برانگیز یا متخاصم در طول مذاکره حفظ کنند؟</v>
      </c>
      <c r="H5130" s="1"/>
      <c r="I5130" s="1"/>
      <c r="J5130" s="1"/>
      <c r="K5130" s="1"/>
      <c r="L5130" s="1"/>
      <c r="M5130" s="1"/>
      <c r="N5130" s="1"/>
      <c r="O5130" s="1"/>
      <c r="P5130" s="1"/>
      <c r="Q5130" s="1"/>
      <c r="R5130" s="1"/>
      <c r="S5130" s="1"/>
      <c r="T5130" s="1"/>
      <c r="U5130" s="1"/>
      <c r="V5130" s="1"/>
      <c r="W5130" s="1"/>
      <c r="X5130" s="1"/>
      <c r="Y5130" s="1"/>
      <c r="Z5130" s="1"/>
      <c r="AA5130" s="1"/>
      <c r="AB5130" s="1"/>
    </row>
    <row r="5131" ht="50.25" customHeight="1">
      <c r="A5131" s="12">
        <v>5127.0</v>
      </c>
      <c r="B5131" s="13" t="s">
        <v>5027</v>
      </c>
      <c r="C5131" s="18" t="s">
        <v>5151</v>
      </c>
      <c r="D5131" s="1"/>
      <c r="E5131" s="1"/>
      <c r="F5131" s="1" t="str">
        <f>IFERROR(__xludf.DUMMYFUNCTION("GOOGLETRANSLATE(B5131, ""en"", ""fa"")
"),"املاک و مستغلات برای حرفه ای ها")</f>
        <v>املاک و مستغلات برای حرفه ای ها</v>
      </c>
      <c r="G5131" s="1" t="str">
        <f>IFERROR(__xludf.DUMMYFUNCTION("GOOGLETRANSLATE(C5131, ""en"", ""fa"")
"),"هنگام تعیین سطح مناسب قاطعیت و حل مشکل مشارکتی در یک مذاکره املاک، چه عوامل مهمی باید در نظر گرفته شود؟")</f>
        <v>هنگام تعیین سطح مناسب قاطعیت و حل مشکل مشارکتی در یک مذاکره املاک، چه عوامل مهمی باید در نظر گرفته شود؟</v>
      </c>
      <c r="H5131" s="1"/>
      <c r="I5131" s="1"/>
      <c r="J5131" s="1"/>
      <c r="K5131" s="1"/>
      <c r="L5131" s="1"/>
      <c r="M5131" s="1"/>
      <c r="N5131" s="1"/>
      <c r="O5131" s="1"/>
      <c r="P5131" s="1"/>
      <c r="Q5131" s="1"/>
      <c r="R5131" s="1"/>
      <c r="S5131" s="1"/>
      <c r="T5131" s="1"/>
      <c r="U5131" s="1"/>
      <c r="V5131" s="1"/>
      <c r="W5131" s="1"/>
      <c r="X5131" s="1"/>
      <c r="Y5131" s="1"/>
      <c r="Z5131" s="1"/>
      <c r="AA5131" s="1"/>
      <c r="AB5131" s="1"/>
    </row>
    <row r="5132" ht="50.25" customHeight="1">
      <c r="A5132" s="12">
        <v>5128.0</v>
      </c>
      <c r="B5132" s="13" t="s">
        <v>5027</v>
      </c>
      <c r="C5132" s="18" t="s">
        <v>5152</v>
      </c>
      <c r="D5132" s="1"/>
      <c r="E5132" s="1"/>
      <c r="F5132" s="1" t="str">
        <f>IFERROR(__xludf.DUMMYFUNCTION("GOOGLETRANSLATE(B5132, ""en"", ""fa"")
"),"املاک و مستغلات برای حرفه ای ها")</f>
        <v>املاک و مستغلات برای حرفه ای ها</v>
      </c>
      <c r="G5132" s="1" t="str">
        <f>IFERROR(__xludf.DUMMYFUNCTION("GOOGLETRANSLATE(C5132, ""en"", ""fa"")
"),"چگونه متخصصان املاک و مستغلات می توانند به طور موثر در مورد تعمیرات یا موارد احتمالی در یک معامله املاک مذاکره کنند تا از منافع مشتریان خود محافظت کنند؟")</f>
        <v>چگونه متخصصان املاک و مستغلات می توانند به طور موثر در مورد تعمیرات یا موارد احتمالی در یک معامله املاک مذاکره کنند تا از منافع مشتریان خود محافظت کنند؟</v>
      </c>
      <c r="H5132" s="1"/>
      <c r="I5132" s="1"/>
      <c r="J5132" s="1"/>
      <c r="K5132" s="1"/>
      <c r="L5132" s="1"/>
      <c r="M5132" s="1"/>
      <c r="N5132" s="1"/>
      <c r="O5132" s="1"/>
      <c r="P5132" s="1"/>
      <c r="Q5132" s="1"/>
      <c r="R5132" s="1"/>
      <c r="S5132" s="1"/>
      <c r="T5132" s="1"/>
      <c r="U5132" s="1"/>
      <c r="V5132" s="1"/>
      <c r="W5132" s="1"/>
      <c r="X5132" s="1"/>
      <c r="Y5132" s="1"/>
      <c r="Z5132" s="1"/>
      <c r="AA5132" s="1"/>
      <c r="AB5132" s="1"/>
    </row>
    <row r="5133" ht="50.25" customHeight="1">
      <c r="A5133" s="12">
        <v>5129.0</v>
      </c>
      <c r="B5133" s="13" t="s">
        <v>5027</v>
      </c>
      <c r="C5133" s="18" t="s">
        <v>5153</v>
      </c>
      <c r="D5133" s="1"/>
      <c r="E5133" s="1"/>
      <c r="F5133" s="1" t="str">
        <f>IFERROR(__xludf.DUMMYFUNCTION("GOOGLETRANSLATE(B5133, ""en"", ""fa"")
"),"املاک و مستغلات برای حرفه ای ها")</f>
        <v>املاک و مستغلات برای حرفه ای ها</v>
      </c>
      <c r="G5133" s="1" t="str">
        <f>IFERROR(__xludf.DUMMYFUNCTION("GOOGLETRANSLATE(C5133, ""en"", ""fa"")
"),"بهترین شیوه ها برای مدیریت انتظارات و برقراری ارتباط موثر با مشتریان در طول فرآیند مذاکره چیست؟")</f>
        <v>بهترین شیوه ها برای مدیریت انتظارات و برقراری ارتباط موثر با مشتریان در طول فرآیند مذاکره چیست؟</v>
      </c>
      <c r="H5133" s="1"/>
      <c r="I5133" s="1"/>
      <c r="J5133" s="1"/>
      <c r="K5133" s="1"/>
      <c r="L5133" s="1"/>
      <c r="M5133" s="1"/>
      <c r="N5133" s="1"/>
      <c r="O5133" s="1"/>
      <c r="P5133" s="1"/>
      <c r="Q5133" s="1"/>
      <c r="R5133" s="1"/>
      <c r="S5133" s="1"/>
      <c r="T5133" s="1"/>
      <c r="U5133" s="1"/>
      <c r="V5133" s="1"/>
      <c r="W5133" s="1"/>
      <c r="X5133" s="1"/>
      <c r="Y5133" s="1"/>
      <c r="Z5133" s="1"/>
      <c r="AA5133" s="1"/>
      <c r="AB5133" s="1"/>
    </row>
    <row r="5134" ht="50.25" customHeight="1">
      <c r="A5134" s="12">
        <v>5130.0</v>
      </c>
      <c r="B5134" s="13" t="s">
        <v>5027</v>
      </c>
      <c r="C5134" s="18" t="s">
        <v>5154</v>
      </c>
      <c r="D5134" s="1"/>
      <c r="E5134" s="1"/>
      <c r="F5134" s="1" t="str">
        <f>IFERROR(__xludf.DUMMYFUNCTION("GOOGLETRANSLATE(B5134, ""en"", ""fa"")
"),"املاک و مستغلات برای حرفه ای ها")</f>
        <v>املاک و مستغلات برای حرفه ای ها</v>
      </c>
      <c r="G5134" s="1" t="str">
        <f>IFERROR(__xludf.DUMMYFUNCTION("GOOGLETRANSLATE(C5134, ""en"", ""fa"")
"),"چگونه متخصصان املاک و مستغلات می توانند از تاکتیک های مذاکره برای رسیدگی به معامله شکنان احتمالی و دستیابی به راه حل های سودمند متقابل استفاده کنند؟")</f>
        <v>چگونه متخصصان املاک و مستغلات می توانند از تاکتیک های مذاکره برای رسیدگی به معامله شکنان احتمالی و دستیابی به راه حل های سودمند متقابل استفاده کنند؟</v>
      </c>
      <c r="H5134" s="1"/>
      <c r="I5134" s="1"/>
      <c r="J5134" s="1"/>
      <c r="K5134" s="1"/>
      <c r="L5134" s="1"/>
      <c r="M5134" s="1"/>
      <c r="N5134" s="1"/>
      <c r="O5134" s="1"/>
      <c r="P5134" s="1"/>
      <c r="Q5134" s="1"/>
      <c r="R5134" s="1"/>
      <c r="S5134" s="1"/>
      <c r="T5134" s="1"/>
      <c r="U5134" s="1"/>
      <c r="V5134" s="1"/>
      <c r="W5134" s="1"/>
      <c r="X5134" s="1"/>
      <c r="Y5134" s="1"/>
      <c r="Z5134" s="1"/>
      <c r="AA5134" s="1"/>
      <c r="AB5134" s="1"/>
    </row>
    <row r="5135" ht="50.25" customHeight="1">
      <c r="A5135" s="12">
        <v>5131.0</v>
      </c>
      <c r="B5135" s="13" t="s">
        <v>5027</v>
      </c>
      <c r="C5135" s="18" t="s">
        <v>5155</v>
      </c>
      <c r="D5135" s="1"/>
      <c r="E5135" s="1"/>
      <c r="F5135" s="1" t="str">
        <f>IFERROR(__xludf.DUMMYFUNCTION("GOOGLETRANSLATE(B5135, ""en"", ""fa"")
"),"املاک و مستغلات برای حرفه ای ها")</f>
        <v>املاک و مستغلات برای حرفه ای ها</v>
      </c>
      <c r="G5135" s="1" t="str">
        <f>IFERROR(__xludf.DUMMYFUNCTION("GOOGLETRANSLATE(C5135, ""en"", ""fa"")
"),"استراتژی های کلیدی برای مدیریت مذاکرات حساس به زمان و تصمیم گیری سریع برای جلوگیری از از دست دادن فرصت ها چیست؟")</f>
        <v>استراتژی های کلیدی برای مدیریت مذاکرات حساس به زمان و تصمیم گیری سریع برای جلوگیری از از دست دادن فرصت ها چیست؟</v>
      </c>
      <c r="H5135" s="1"/>
      <c r="I5135" s="1"/>
      <c r="J5135" s="1"/>
      <c r="K5135" s="1"/>
      <c r="L5135" s="1"/>
      <c r="M5135" s="1"/>
      <c r="N5135" s="1"/>
      <c r="O5135" s="1"/>
      <c r="P5135" s="1"/>
      <c r="Q5135" s="1"/>
      <c r="R5135" s="1"/>
      <c r="S5135" s="1"/>
      <c r="T5135" s="1"/>
      <c r="U5135" s="1"/>
      <c r="V5135" s="1"/>
      <c r="W5135" s="1"/>
      <c r="X5135" s="1"/>
      <c r="Y5135" s="1"/>
      <c r="Z5135" s="1"/>
      <c r="AA5135" s="1"/>
      <c r="AB5135" s="1"/>
    </row>
    <row r="5136" ht="50.25" customHeight="1">
      <c r="A5136" s="12">
        <v>5132.0</v>
      </c>
      <c r="B5136" s="13" t="s">
        <v>5027</v>
      </c>
      <c r="C5136" s="18" t="s">
        <v>5156</v>
      </c>
      <c r="D5136" s="1"/>
      <c r="E5136" s="1"/>
      <c r="F5136" s="1" t="str">
        <f>IFERROR(__xludf.DUMMYFUNCTION("GOOGLETRANSLATE(B5136, ""en"", ""fa"")
"),"املاک و مستغلات برای حرفه ای ها")</f>
        <v>املاک و مستغلات برای حرفه ای ها</v>
      </c>
      <c r="G5136" s="1" t="str">
        <f>IFERROR(__xludf.DUMMYFUNCTION("GOOGLETRANSLATE(C5136, ""en"", ""fa"")
"),"چگونه متخصصان املاک و مستغلات می توانند به طور موثر از مهارت های همدلی و گوش دادن فعال برای درک انگیزه ها و نیازهای طرف مقابل استفاده کنند؟")</f>
        <v>چگونه متخصصان املاک و مستغلات می توانند به طور موثر از مهارت های همدلی و گوش دادن فعال برای درک انگیزه ها و نیازهای طرف مقابل استفاده کنند؟</v>
      </c>
      <c r="H5136" s="1"/>
      <c r="I5136" s="1"/>
      <c r="J5136" s="1"/>
      <c r="K5136" s="1"/>
      <c r="L5136" s="1"/>
      <c r="M5136" s="1"/>
      <c r="N5136" s="1"/>
      <c r="O5136" s="1"/>
      <c r="P5136" s="1"/>
      <c r="Q5136" s="1"/>
      <c r="R5136" s="1"/>
      <c r="S5136" s="1"/>
      <c r="T5136" s="1"/>
      <c r="U5136" s="1"/>
      <c r="V5136" s="1"/>
      <c r="W5136" s="1"/>
      <c r="X5136" s="1"/>
      <c r="Y5136" s="1"/>
      <c r="Z5136" s="1"/>
      <c r="AA5136" s="1"/>
      <c r="AB5136" s="1"/>
    </row>
    <row r="5137" ht="50.25" customHeight="1">
      <c r="A5137" s="12">
        <v>5133.0</v>
      </c>
      <c r="B5137" s="13" t="s">
        <v>5027</v>
      </c>
      <c r="C5137" s="18" t="s">
        <v>5157</v>
      </c>
      <c r="D5137" s="1"/>
      <c r="E5137" s="1"/>
      <c r="F5137" s="1" t="str">
        <f>IFERROR(__xludf.DUMMYFUNCTION("GOOGLETRANSLATE(B5137, ""en"", ""fa"")
"),"املاک و مستغلات برای حرفه ای ها")</f>
        <v>املاک و مستغلات برای حرفه ای ها</v>
      </c>
      <c r="G5137" s="1" t="str">
        <f>IFERROR(__xludf.DUMMYFUNCTION("GOOGLETRANSLATE(C5137, ""en"", ""fa"")
"),"هنگام تعیین سطح مناسب انعطاف و سازش در یک مذاکره املاک، چه عوامل مهمی باید در نظر گرفته شود؟")</f>
        <v>هنگام تعیین سطح مناسب انعطاف و سازش در یک مذاکره املاک، چه عوامل مهمی باید در نظر گرفته شود؟</v>
      </c>
      <c r="H5137" s="1"/>
      <c r="I5137" s="1"/>
      <c r="J5137" s="1"/>
      <c r="K5137" s="1"/>
      <c r="L5137" s="1"/>
      <c r="M5137" s="1"/>
      <c r="N5137" s="1"/>
      <c r="O5137" s="1"/>
      <c r="P5137" s="1"/>
      <c r="Q5137" s="1"/>
      <c r="R5137" s="1"/>
      <c r="S5137" s="1"/>
      <c r="T5137" s="1"/>
      <c r="U5137" s="1"/>
      <c r="V5137" s="1"/>
      <c r="W5137" s="1"/>
      <c r="X5137" s="1"/>
      <c r="Y5137" s="1"/>
      <c r="Z5137" s="1"/>
      <c r="AA5137" s="1"/>
      <c r="AB5137" s="1"/>
    </row>
    <row r="5138" ht="50.25" customHeight="1">
      <c r="A5138" s="12">
        <v>5134.0</v>
      </c>
      <c r="B5138" s="13" t="s">
        <v>5027</v>
      </c>
      <c r="C5138" s="18" t="s">
        <v>5158</v>
      </c>
      <c r="D5138" s="1"/>
      <c r="E5138" s="1"/>
      <c r="F5138" s="1" t="str">
        <f>IFERROR(__xludf.DUMMYFUNCTION("GOOGLETRANSLATE(B5138, ""en"", ""fa"")
"),"املاک و مستغلات برای حرفه ای ها")</f>
        <v>املاک و مستغلات برای حرفه ای ها</v>
      </c>
      <c r="G5138" s="1" t="str">
        <f>IFERROR(__xludf.DUMMYFUNCTION("GOOGLETRANSLATE(C5138, ""en"", ""fa"")
"),"چگونه متخصصان املاک و مستغلات می توانند به طور مؤثر در مورد شرایط و ضوابط مطلوب در قراردادها و توافقات مربوط به معاملات املاک مذاکره کنند؟")</f>
        <v>چگونه متخصصان املاک و مستغلات می توانند به طور مؤثر در مورد شرایط و ضوابط مطلوب در قراردادها و توافقات مربوط به معاملات املاک مذاکره کنند؟</v>
      </c>
      <c r="H5138" s="1"/>
      <c r="I5138" s="1"/>
      <c r="J5138" s="1"/>
      <c r="K5138" s="1"/>
      <c r="L5138" s="1"/>
      <c r="M5138" s="1"/>
      <c r="N5138" s="1"/>
      <c r="O5138" s="1"/>
      <c r="P5138" s="1"/>
      <c r="Q5138" s="1"/>
      <c r="R5138" s="1"/>
      <c r="S5138" s="1"/>
      <c r="T5138" s="1"/>
      <c r="U5138" s="1"/>
      <c r="V5138" s="1"/>
      <c r="W5138" s="1"/>
      <c r="X5138" s="1"/>
      <c r="Y5138" s="1"/>
      <c r="Z5138" s="1"/>
      <c r="AA5138" s="1"/>
      <c r="AB5138" s="1"/>
    </row>
    <row r="5139" ht="50.25" customHeight="1">
      <c r="A5139" s="12">
        <v>5135.0</v>
      </c>
      <c r="B5139" s="13" t="s">
        <v>5027</v>
      </c>
      <c r="C5139" s="18" t="s">
        <v>5159</v>
      </c>
      <c r="D5139" s="1"/>
      <c r="E5139" s="1"/>
      <c r="F5139" s="1" t="str">
        <f>IFERROR(__xludf.DUMMYFUNCTION("GOOGLETRANSLATE(B5139, ""en"", ""fa"")
"),"املاک و مستغلات برای حرفه ای ها")</f>
        <v>املاک و مستغلات برای حرفه ای ها</v>
      </c>
      <c r="G5139" s="1" t="str">
        <f>IFERROR(__xludf.DUMMYFUNCTION("GOOGLETRANSLATE(C5139, ""en"", ""fa"")
"),"بهترین شیوه ها برای مدیریت تاکتیک ها و استراتژی های مذاکره هنگام نمایندگی خریدار و فروشنده در معامله املاک چیست؟")</f>
        <v>بهترین شیوه ها برای مدیریت تاکتیک ها و استراتژی های مذاکره هنگام نمایندگی خریدار و فروشنده در معامله املاک چیست؟</v>
      </c>
      <c r="H5139" s="1"/>
      <c r="I5139" s="1"/>
      <c r="J5139" s="1"/>
      <c r="K5139" s="1"/>
      <c r="L5139" s="1"/>
      <c r="M5139" s="1"/>
      <c r="N5139" s="1"/>
      <c r="O5139" s="1"/>
      <c r="P5139" s="1"/>
      <c r="Q5139" s="1"/>
      <c r="R5139" s="1"/>
      <c r="S5139" s="1"/>
      <c r="T5139" s="1"/>
      <c r="U5139" s="1"/>
      <c r="V5139" s="1"/>
      <c r="W5139" s="1"/>
      <c r="X5139" s="1"/>
      <c r="Y5139" s="1"/>
      <c r="Z5139" s="1"/>
      <c r="AA5139" s="1"/>
      <c r="AB5139" s="1"/>
    </row>
    <row r="5140" ht="50.25" customHeight="1">
      <c r="A5140" s="12">
        <v>5136.0</v>
      </c>
      <c r="B5140" s="13" t="s">
        <v>5027</v>
      </c>
      <c r="C5140" s="18" t="s">
        <v>5160</v>
      </c>
      <c r="D5140" s="1"/>
      <c r="E5140" s="1"/>
      <c r="F5140" s="1" t="str">
        <f>IFERROR(__xludf.DUMMYFUNCTION("GOOGLETRANSLATE(B5140, ""en"", ""fa"")
"),"املاک و مستغلات برای حرفه ای ها")</f>
        <v>املاک و مستغلات برای حرفه ای ها</v>
      </c>
      <c r="G5140" s="1" t="str">
        <f>IFERROR(__xludf.DUMMYFUNCTION("GOOGLETRANSLATE(C5140, ""en"", ""fa"")
"),"چگونه متخصصان املاک و مستغلات می توانند از تکنیک های مذاکره برای مذاکره با شرایط مالی مطلوب برای مشتریان خود استفاده کنند؟")</f>
        <v>چگونه متخصصان املاک و مستغلات می توانند از تکنیک های مذاکره برای مذاکره با شرایط مالی مطلوب برای مشتریان خود استفاده کنند؟</v>
      </c>
      <c r="H5140" s="1"/>
      <c r="I5140" s="1"/>
      <c r="J5140" s="1"/>
      <c r="K5140" s="1"/>
      <c r="L5140" s="1"/>
      <c r="M5140" s="1"/>
      <c r="N5140" s="1"/>
      <c r="O5140" s="1"/>
      <c r="P5140" s="1"/>
      <c r="Q5140" s="1"/>
      <c r="R5140" s="1"/>
      <c r="S5140" s="1"/>
      <c r="T5140" s="1"/>
      <c r="U5140" s="1"/>
      <c r="V5140" s="1"/>
      <c r="W5140" s="1"/>
      <c r="X5140" s="1"/>
      <c r="Y5140" s="1"/>
      <c r="Z5140" s="1"/>
      <c r="AA5140" s="1"/>
      <c r="AB5140" s="1"/>
    </row>
    <row r="5141" ht="50.25" customHeight="1">
      <c r="A5141" s="12">
        <v>5137.0</v>
      </c>
      <c r="B5141" s="13" t="s">
        <v>5027</v>
      </c>
      <c r="C5141" s="18" t="s">
        <v>5161</v>
      </c>
      <c r="D5141" s="1"/>
      <c r="E5141" s="1"/>
      <c r="F5141" s="1" t="str">
        <f>IFERROR(__xludf.DUMMYFUNCTION("GOOGLETRANSLATE(B5141, ""en"", ""fa"")
"),"املاک و مستغلات برای حرفه ای ها")</f>
        <v>املاک و مستغلات برای حرفه ای ها</v>
      </c>
      <c r="G5141" s="1" t="str">
        <f>IFERROR(__xludf.DUMMYFUNCTION("GOOGLETRANSLATE(C5141, ""en"", ""fa"")
"),"استراتژی های کلیدی برای استفاده موثر از اهرم مذاکره در شرایطی که تقاضای بالا یا عرضه محدود در بازار املاک وجود دارد چیست؟")</f>
        <v>استراتژی های کلیدی برای استفاده موثر از اهرم مذاکره در شرایطی که تقاضای بالا یا عرضه محدود در بازار املاک وجود دارد چیست؟</v>
      </c>
      <c r="H5141" s="1"/>
      <c r="I5141" s="1"/>
      <c r="J5141" s="1"/>
      <c r="K5141" s="1"/>
      <c r="L5141" s="1"/>
      <c r="M5141" s="1"/>
      <c r="N5141" s="1"/>
      <c r="O5141" s="1"/>
      <c r="P5141" s="1"/>
      <c r="Q5141" s="1"/>
      <c r="R5141" s="1"/>
      <c r="S5141" s="1"/>
      <c r="T5141" s="1"/>
      <c r="U5141" s="1"/>
      <c r="V5141" s="1"/>
      <c r="W5141" s="1"/>
      <c r="X5141" s="1"/>
      <c r="Y5141" s="1"/>
      <c r="Z5141" s="1"/>
      <c r="AA5141" s="1"/>
      <c r="AB5141" s="1"/>
    </row>
    <row r="5142" ht="50.25" customHeight="1">
      <c r="A5142" s="12">
        <v>5138.0</v>
      </c>
      <c r="B5142" s="13" t="s">
        <v>5027</v>
      </c>
      <c r="C5142" s="18" t="s">
        <v>5162</v>
      </c>
      <c r="D5142" s="1"/>
      <c r="E5142" s="1"/>
      <c r="F5142" s="1" t="str">
        <f>IFERROR(__xludf.DUMMYFUNCTION("GOOGLETRANSLATE(B5142, ""en"", ""fa"")
"),"املاک و مستغلات برای حرفه ای ها")</f>
        <v>املاک و مستغلات برای حرفه ای ها</v>
      </c>
      <c r="G5142" s="1" t="str">
        <f>IFERROR(__xludf.DUMMYFUNCTION("GOOGLETRANSLATE(C5142, ""en"", ""fa"")
"),"چگونه متخصصان املاک و مستغلات می توانند به طور موثر موارد احتمالی مربوط به بازرسی املاک، ارزیابی ها، یا تامین مالی در یک معامله املاک را مدیریت و مذاکره کنند؟")</f>
        <v>چگونه متخصصان املاک و مستغلات می توانند به طور موثر موارد احتمالی مربوط به بازرسی املاک، ارزیابی ها، یا تامین مالی در یک معامله املاک را مدیریت و مذاکره کنند؟</v>
      </c>
      <c r="H5142" s="1"/>
      <c r="I5142" s="1"/>
      <c r="J5142" s="1"/>
      <c r="K5142" s="1"/>
      <c r="L5142" s="1"/>
      <c r="M5142" s="1"/>
      <c r="N5142" s="1"/>
      <c r="O5142" s="1"/>
      <c r="P5142" s="1"/>
      <c r="Q5142" s="1"/>
      <c r="R5142" s="1"/>
      <c r="S5142" s="1"/>
      <c r="T5142" s="1"/>
      <c r="U5142" s="1"/>
      <c r="V5142" s="1"/>
      <c r="W5142" s="1"/>
      <c r="X5142" s="1"/>
      <c r="Y5142" s="1"/>
      <c r="Z5142" s="1"/>
      <c r="AA5142" s="1"/>
      <c r="AB5142" s="1"/>
    </row>
    <row r="5143" ht="50.25" customHeight="1">
      <c r="A5143" s="12">
        <v>5139.0</v>
      </c>
      <c r="B5143" s="13" t="s">
        <v>5027</v>
      </c>
      <c r="C5143" s="18" t="s">
        <v>5163</v>
      </c>
      <c r="D5143" s="1"/>
      <c r="E5143" s="1"/>
      <c r="F5143" s="1" t="str">
        <f>IFERROR(__xludf.DUMMYFUNCTION("GOOGLETRANSLATE(B5143, ""en"", ""fa"")
"),"املاک و مستغلات برای حرفه ای ها")</f>
        <v>املاک و مستغلات برای حرفه ای ها</v>
      </c>
      <c r="G5143" s="1" t="str">
        <f>IFERROR(__xludf.DUMMYFUNCTION("GOOGLETRANSLATE(C5143, ""en"", ""fa"")
"),"هنگام تعیین سطح مناسب شفافیت و افشا در مذاکرات املاک، چه فاکتورهای حیاتی باید در نظر گرفته شود؟")</f>
        <v>هنگام تعیین سطح مناسب شفافیت و افشا در مذاکرات املاک، چه فاکتورهای حیاتی باید در نظر گرفته شود؟</v>
      </c>
      <c r="H5143" s="1"/>
      <c r="I5143" s="1"/>
      <c r="J5143" s="1"/>
      <c r="K5143" s="1"/>
      <c r="L5143" s="1"/>
      <c r="M5143" s="1"/>
      <c r="N5143" s="1"/>
      <c r="O5143" s="1"/>
      <c r="P5143" s="1"/>
      <c r="Q5143" s="1"/>
      <c r="R5143" s="1"/>
      <c r="S5143" s="1"/>
      <c r="T5143" s="1"/>
      <c r="U5143" s="1"/>
      <c r="V5143" s="1"/>
      <c r="W5143" s="1"/>
      <c r="X5143" s="1"/>
      <c r="Y5143" s="1"/>
      <c r="Z5143" s="1"/>
      <c r="AA5143" s="1"/>
      <c r="AB5143" s="1"/>
    </row>
    <row r="5144" ht="50.25" customHeight="1">
      <c r="A5144" s="12">
        <v>5140.0</v>
      </c>
      <c r="B5144" s="13" t="s">
        <v>5027</v>
      </c>
      <c r="C5144" s="18" t="s">
        <v>5164</v>
      </c>
      <c r="D5144" s="1"/>
      <c r="E5144" s="1"/>
      <c r="F5144" s="1" t="str">
        <f>IFERROR(__xludf.DUMMYFUNCTION("GOOGLETRANSLATE(B5144, ""en"", ""fa"")
"),"املاک و مستغلات برای حرفه ای ها")</f>
        <v>املاک و مستغلات برای حرفه ای ها</v>
      </c>
      <c r="G5144" s="1" t="str">
        <f>IFERROR(__xludf.DUMMYFUNCTION("GOOGLETRANSLATE(C5144, ""en"", ""fa"")
"),"چگونه متخصصان املاک و مستغلات می توانند به طور موثر از تکنیک های مذاکره برای رسیدگی به مسائل مربوط به مرزهای دارایی، حق ارتفاق یا تجاوزات استفاده کنند؟")</f>
        <v>چگونه متخصصان املاک و مستغلات می توانند به طور موثر از تکنیک های مذاکره برای رسیدگی به مسائل مربوط به مرزهای دارایی، حق ارتفاق یا تجاوزات استفاده کنند؟</v>
      </c>
      <c r="H5144" s="1"/>
      <c r="I5144" s="1"/>
      <c r="J5144" s="1"/>
      <c r="K5144" s="1"/>
      <c r="L5144" s="1"/>
      <c r="M5144" s="1"/>
      <c r="N5144" s="1"/>
      <c r="O5144" s="1"/>
      <c r="P5144" s="1"/>
      <c r="Q5144" s="1"/>
      <c r="R5144" s="1"/>
      <c r="S5144" s="1"/>
      <c r="T5144" s="1"/>
      <c r="U5144" s="1"/>
      <c r="V5144" s="1"/>
      <c r="W5144" s="1"/>
      <c r="X5144" s="1"/>
      <c r="Y5144" s="1"/>
      <c r="Z5144" s="1"/>
      <c r="AA5144" s="1"/>
      <c r="AB5144" s="1"/>
    </row>
    <row r="5145" ht="50.25" customHeight="1">
      <c r="A5145" s="12">
        <v>5141.0</v>
      </c>
      <c r="B5145" s="13" t="s">
        <v>5027</v>
      </c>
      <c r="C5145" s="18" t="s">
        <v>5165</v>
      </c>
      <c r="D5145" s="1"/>
      <c r="E5145" s="1"/>
      <c r="F5145" s="1" t="str">
        <f>IFERROR(__xludf.DUMMYFUNCTION("GOOGLETRANSLATE(B5145, ""en"", ""fa"")
"),"املاک و مستغلات برای حرفه ای ها")</f>
        <v>املاک و مستغلات برای حرفه ای ها</v>
      </c>
      <c r="G5145" s="1" t="str">
        <f>IFERROR(__xludf.DUMMYFUNCTION("GOOGLETRANSLATE(C5145, ""en"", ""fa"")
"),"بهترین شیوه ها برای مدیریت پویایی قدرت مذاکره هنگام نمایندگی مشتریان با سطوح مختلف دانش یا تجربه در معاملات املاک چیست؟")</f>
        <v>بهترین شیوه ها برای مدیریت پویایی قدرت مذاکره هنگام نمایندگی مشتریان با سطوح مختلف دانش یا تجربه در معاملات املاک چیست؟</v>
      </c>
      <c r="H5145" s="1"/>
      <c r="I5145" s="1"/>
      <c r="J5145" s="1"/>
      <c r="K5145" s="1"/>
      <c r="L5145" s="1"/>
      <c r="M5145" s="1"/>
      <c r="N5145" s="1"/>
      <c r="O5145" s="1"/>
      <c r="P5145" s="1"/>
      <c r="Q5145" s="1"/>
      <c r="R5145" s="1"/>
      <c r="S5145" s="1"/>
      <c r="T5145" s="1"/>
      <c r="U5145" s="1"/>
      <c r="V5145" s="1"/>
      <c r="W5145" s="1"/>
      <c r="X5145" s="1"/>
      <c r="Y5145" s="1"/>
      <c r="Z5145" s="1"/>
      <c r="AA5145" s="1"/>
      <c r="AB5145" s="1"/>
    </row>
    <row r="5146" ht="50.25" customHeight="1">
      <c r="A5146" s="12">
        <v>5142.0</v>
      </c>
      <c r="B5146" s="13" t="s">
        <v>5027</v>
      </c>
      <c r="C5146" s="18" t="s">
        <v>5166</v>
      </c>
      <c r="D5146" s="1"/>
      <c r="E5146" s="1"/>
      <c r="F5146" s="1" t="str">
        <f>IFERROR(__xludf.DUMMYFUNCTION("GOOGLETRANSLATE(B5146, ""en"", ""fa"")
"),"املاک و مستغلات برای حرفه ای ها")</f>
        <v>املاک و مستغلات برای حرفه ای ها</v>
      </c>
      <c r="G5146" s="1" t="str">
        <f>IFERROR(__xludf.DUMMYFUNCTION("GOOGLETRANSLATE(C5146, ""en"", ""fa"")
"),"چگونه متخصصان املاک و مستغلات می توانند به طور موثر با شخصیت های دشوار یا چالش برانگیز برای دستیابی به نتایج موفق مذاکره کنند؟")</f>
        <v>چگونه متخصصان املاک و مستغلات می توانند به طور موثر با شخصیت های دشوار یا چالش برانگیز برای دستیابی به نتایج موفق مذاکره کنند؟</v>
      </c>
      <c r="H5146" s="1"/>
      <c r="I5146" s="1"/>
      <c r="J5146" s="1"/>
      <c r="K5146" s="1"/>
      <c r="L5146" s="1"/>
      <c r="M5146" s="1"/>
      <c r="N5146" s="1"/>
      <c r="O5146" s="1"/>
      <c r="P5146" s="1"/>
      <c r="Q5146" s="1"/>
      <c r="R5146" s="1"/>
      <c r="S5146" s="1"/>
      <c r="T5146" s="1"/>
      <c r="U5146" s="1"/>
      <c r="V5146" s="1"/>
      <c r="W5146" s="1"/>
      <c r="X5146" s="1"/>
      <c r="Y5146" s="1"/>
      <c r="Z5146" s="1"/>
      <c r="AA5146" s="1"/>
      <c r="AB5146" s="1"/>
    </row>
    <row r="5147" ht="50.25" customHeight="1">
      <c r="A5147" s="12">
        <v>5143.0</v>
      </c>
      <c r="B5147" s="13" t="s">
        <v>5027</v>
      </c>
      <c r="C5147" s="18" t="s">
        <v>5167</v>
      </c>
      <c r="D5147" s="1"/>
      <c r="E5147" s="1"/>
      <c r="F5147" s="1" t="str">
        <f>IFERROR(__xludf.DUMMYFUNCTION("GOOGLETRANSLATE(B5147, ""en"", ""fa"")
"),"املاک و مستغلات برای حرفه ای ها")</f>
        <v>املاک و مستغلات برای حرفه ای ها</v>
      </c>
      <c r="G5147" s="1" t="str">
        <f>IFERROR(__xludf.DUMMYFUNCTION("GOOGLETRANSLATE(C5147, ""en"", ""fa"")
"),"استراتژی‌های کلیدی برای مدیریت مؤثر و مذاکره با پیشنهادات و پیشنهادات متقابل در یک بازار رقابتی املاک و مستغلات چیست؟")</f>
        <v>استراتژی‌های کلیدی برای مدیریت مؤثر و مذاکره با پیشنهادات و پیشنهادات متقابل در یک بازار رقابتی املاک و مستغلات چیست؟</v>
      </c>
      <c r="H5147" s="1"/>
      <c r="I5147" s="1"/>
      <c r="J5147" s="1"/>
      <c r="K5147" s="1"/>
      <c r="L5147" s="1"/>
      <c r="M5147" s="1"/>
      <c r="N5147" s="1"/>
      <c r="O5147" s="1"/>
      <c r="P5147" s="1"/>
      <c r="Q5147" s="1"/>
      <c r="R5147" s="1"/>
      <c r="S5147" s="1"/>
      <c r="T5147" s="1"/>
      <c r="U5147" s="1"/>
      <c r="V5147" s="1"/>
      <c r="W5147" s="1"/>
      <c r="X5147" s="1"/>
      <c r="Y5147" s="1"/>
      <c r="Z5147" s="1"/>
      <c r="AA5147" s="1"/>
      <c r="AB5147" s="1"/>
    </row>
    <row r="5148" ht="50.25" customHeight="1">
      <c r="A5148" s="12">
        <v>5144.0</v>
      </c>
      <c r="B5148" s="13" t="s">
        <v>5027</v>
      </c>
      <c r="C5148" s="18" t="s">
        <v>5168</v>
      </c>
      <c r="D5148" s="1"/>
      <c r="E5148" s="1"/>
      <c r="F5148" s="1" t="str">
        <f>IFERROR(__xludf.DUMMYFUNCTION("GOOGLETRANSLATE(B5148, ""en"", ""fa"")
"),"املاک و مستغلات برای حرفه ای ها")</f>
        <v>املاک و مستغلات برای حرفه ای ها</v>
      </c>
      <c r="G5148" s="1" t="str">
        <f>IFERROR(__xludf.DUMMYFUNCTION("GOOGLETRANSLATE(C5148, ""en"", ""fa"")
"),"چگونه متخصصان املاک و مستغلات می توانند از تکنیک های مذاکره برای مذاکره در مورد شرایط و ضوابط مطلوب در قراردادهای اجاره املاک اجاره ای استفاده کنند؟")</f>
        <v>چگونه متخصصان املاک و مستغلات می توانند از تکنیک های مذاکره برای مذاکره در مورد شرایط و ضوابط مطلوب در قراردادهای اجاره املاک اجاره ای استفاده کنند؟</v>
      </c>
      <c r="H5148" s="1"/>
      <c r="I5148" s="1"/>
      <c r="J5148" s="1"/>
      <c r="K5148" s="1"/>
      <c r="L5148" s="1"/>
      <c r="M5148" s="1"/>
      <c r="N5148" s="1"/>
      <c r="O5148" s="1"/>
      <c r="P5148" s="1"/>
      <c r="Q5148" s="1"/>
      <c r="R5148" s="1"/>
      <c r="S5148" s="1"/>
      <c r="T5148" s="1"/>
      <c r="U5148" s="1"/>
      <c r="V5148" s="1"/>
      <c r="W5148" s="1"/>
      <c r="X5148" s="1"/>
      <c r="Y5148" s="1"/>
      <c r="Z5148" s="1"/>
      <c r="AA5148" s="1"/>
      <c r="AB5148" s="1"/>
    </row>
    <row r="5149" ht="50.25" customHeight="1">
      <c r="A5149" s="12">
        <v>5145.0</v>
      </c>
      <c r="B5149" s="13" t="s">
        <v>5027</v>
      </c>
      <c r="C5149" s="18" t="s">
        <v>5169</v>
      </c>
      <c r="D5149" s="1"/>
      <c r="E5149" s="1"/>
      <c r="F5149" s="1" t="str">
        <f>IFERROR(__xludf.DUMMYFUNCTION("GOOGLETRANSLATE(B5149, ""en"", ""fa"")
"),"املاک و مستغلات برای حرفه ای ها")</f>
        <v>املاک و مستغلات برای حرفه ای ها</v>
      </c>
      <c r="G5149" s="1" t="str">
        <f>IFERROR(__xludf.DUMMYFUNCTION("GOOGLETRANSLATE(C5149, ""en"", ""fa"")
"),"هنگام تعیین سطح مناسب پایداری و پشتکار در مذاکره املاک، چه عوامل مهمی باید در نظر گرفته شود؟")</f>
        <v>هنگام تعیین سطح مناسب پایداری و پشتکار در مذاکره املاک، چه عوامل مهمی باید در نظر گرفته شود؟</v>
      </c>
      <c r="H5149" s="1"/>
      <c r="I5149" s="1"/>
      <c r="J5149" s="1"/>
      <c r="K5149" s="1"/>
      <c r="L5149" s="1"/>
      <c r="M5149" s="1"/>
      <c r="N5149" s="1"/>
      <c r="O5149" s="1"/>
      <c r="P5149" s="1"/>
      <c r="Q5149" s="1"/>
      <c r="R5149" s="1"/>
      <c r="S5149" s="1"/>
      <c r="T5149" s="1"/>
      <c r="U5149" s="1"/>
      <c r="V5149" s="1"/>
      <c r="W5149" s="1"/>
      <c r="X5149" s="1"/>
      <c r="Y5149" s="1"/>
      <c r="Z5149" s="1"/>
      <c r="AA5149" s="1"/>
      <c r="AB5149" s="1"/>
    </row>
    <row r="5150" ht="50.25" customHeight="1">
      <c r="A5150" s="12">
        <v>5146.0</v>
      </c>
      <c r="B5150" s="13" t="s">
        <v>5027</v>
      </c>
      <c r="C5150" s="18" t="s">
        <v>5170</v>
      </c>
      <c r="D5150" s="1"/>
      <c r="E5150" s="1"/>
      <c r="F5150" s="1" t="str">
        <f>IFERROR(__xludf.DUMMYFUNCTION("GOOGLETRANSLATE(B5150, ""en"", ""fa"")
"),"املاک و مستغلات برای حرفه ای ها")</f>
        <v>املاک و مستغلات برای حرفه ای ها</v>
      </c>
      <c r="G5150" s="1" t="str">
        <f>IFERROR(__xludf.DUMMYFUNCTION("GOOGLETRANSLATE(C5150, ""en"", ""fa"")
"),"چگونه متخصصان املاک و مستغلات می توانند به طور موثر در مورد کاهش قیمت یا امتیازات در هنگام نمایندگی خریداران در یک معامله املاک مذاکره کنند؟")</f>
        <v>چگونه متخصصان املاک و مستغلات می توانند به طور موثر در مورد کاهش قیمت یا امتیازات در هنگام نمایندگی خریداران در یک معامله املاک مذاکره کنند؟</v>
      </c>
      <c r="H5150" s="1"/>
      <c r="I5150" s="1"/>
      <c r="J5150" s="1"/>
      <c r="K5150" s="1"/>
      <c r="L5150" s="1"/>
      <c r="M5150" s="1"/>
      <c r="N5150" s="1"/>
      <c r="O5150" s="1"/>
      <c r="P5150" s="1"/>
      <c r="Q5150" s="1"/>
      <c r="R5150" s="1"/>
      <c r="S5150" s="1"/>
      <c r="T5150" s="1"/>
      <c r="U5150" s="1"/>
      <c r="V5150" s="1"/>
      <c r="W5150" s="1"/>
      <c r="X5150" s="1"/>
      <c r="Y5150" s="1"/>
      <c r="Z5150" s="1"/>
      <c r="AA5150" s="1"/>
      <c r="AB5150" s="1"/>
    </row>
    <row r="5151" ht="50.25" customHeight="1">
      <c r="A5151" s="12">
        <v>5147.0</v>
      </c>
      <c r="B5151" s="13" t="s">
        <v>5027</v>
      </c>
      <c r="C5151" s="18" t="s">
        <v>5171</v>
      </c>
      <c r="D5151" s="1"/>
      <c r="E5151" s="1"/>
      <c r="F5151" s="1" t="str">
        <f>IFERROR(__xludf.DUMMYFUNCTION("GOOGLETRANSLATE(B5151, ""en"", ""fa"")
"),"املاک و مستغلات برای حرفه ای ها")</f>
        <v>املاک و مستغلات برای حرفه ای ها</v>
      </c>
      <c r="G5151" s="1" t="str">
        <f>IFERROR(__xludf.DUMMYFUNCTION("GOOGLETRANSLATE(C5151, ""en"", ""fa"")
"),"بهترین شیوه ها برای مدیریت انتظارات مذاکره و انتقال نتایج واقع بینانه به مشتریان در معاملات املاک چیست؟")</f>
        <v>بهترین شیوه ها برای مدیریت انتظارات مذاکره و انتقال نتایج واقع بینانه به مشتریان در معاملات املاک چیست؟</v>
      </c>
      <c r="H5151" s="1"/>
      <c r="I5151" s="1"/>
      <c r="J5151" s="1"/>
      <c r="K5151" s="1"/>
      <c r="L5151" s="1"/>
      <c r="M5151" s="1"/>
      <c r="N5151" s="1"/>
      <c r="O5151" s="1"/>
      <c r="P5151" s="1"/>
      <c r="Q5151" s="1"/>
      <c r="R5151" s="1"/>
      <c r="S5151" s="1"/>
      <c r="T5151" s="1"/>
      <c r="U5151" s="1"/>
      <c r="V5151" s="1"/>
      <c r="W5151" s="1"/>
      <c r="X5151" s="1"/>
      <c r="Y5151" s="1"/>
      <c r="Z5151" s="1"/>
      <c r="AA5151" s="1"/>
      <c r="AB5151" s="1"/>
    </row>
    <row r="5152" ht="50.25" customHeight="1">
      <c r="A5152" s="12">
        <v>5148.0</v>
      </c>
      <c r="B5152" s="13" t="s">
        <v>5027</v>
      </c>
      <c r="C5152" s="18" t="s">
        <v>5172</v>
      </c>
      <c r="D5152" s="1"/>
      <c r="E5152" s="1"/>
      <c r="F5152" s="1" t="str">
        <f>IFERROR(__xludf.DUMMYFUNCTION("GOOGLETRANSLATE(B5152, ""en"", ""fa"")
"),"املاک و مستغلات برای حرفه ای ها")</f>
        <v>املاک و مستغلات برای حرفه ای ها</v>
      </c>
      <c r="G5152" s="1" t="str">
        <f>IFERROR(__xludf.DUMMYFUNCTION("GOOGLETRANSLATE(C5152, ""en"", ""fa"")
"),"چگونه متخصصان املاک و مستغلات می توانند به طور موثری در فرآیند بازرسی خانه با موارد احتمالی یا درخواست های تعمیر رسیدگی و مذاکره کنند؟")</f>
        <v>چگونه متخصصان املاک و مستغلات می توانند به طور موثری در فرآیند بازرسی خانه با موارد احتمالی یا درخواست های تعمیر رسیدگی و مذاکره کنند؟</v>
      </c>
      <c r="H5152" s="1"/>
      <c r="I5152" s="1"/>
      <c r="J5152" s="1"/>
      <c r="K5152" s="1"/>
      <c r="L5152" s="1"/>
      <c r="M5152" s="1"/>
      <c r="N5152" s="1"/>
      <c r="O5152" s="1"/>
      <c r="P5152" s="1"/>
      <c r="Q5152" s="1"/>
      <c r="R5152" s="1"/>
      <c r="S5152" s="1"/>
      <c r="T5152" s="1"/>
      <c r="U5152" s="1"/>
      <c r="V5152" s="1"/>
      <c r="W5152" s="1"/>
      <c r="X5152" s="1"/>
      <c r="Y5152" s="1"/>
      <c r="Z5152" s="1"/>
      <c r="AA5152" s="1"/>
      <c r="AB5152" s="1"/>
    </row>
    <row r="5153" ht="50.25" customHeight="1">
      <c r="A5153" s="12">
        <v>5149.0</v>
      </c>
      <c r="B5153" s="13" t="s">
        <v>5027</v>
      </c>
      <c r="C5153" s="18" t="s">
        <v>5173</v>
      </c>
      <c r="D5153" s="1"/>
      <c r="E5153" s="1"/>
      <c r="F5153" s="1" t="str">
        <f>IFERROR(__xludf.DUMMYFUNCTION("GOOGLETRANSLATE(B5153, ""en"", ""fa"")
"),"املاک و مستغلات برای حرفه ای ها")</f>
        <v>املاک و مستغلات برای حرفه ای ها</v>
      </c>
      <c r="G5153" s="1" t="str">
        <f>IFERROR(__xludf.DUMMYFUNCTION("GOOGLETRANSLATE(C5153, ""en"", ""fa"")
"),"استراتژی های کلیدی برای استفاده از تکنیک های مذاکره برای رسیدگی به مسائل مربوط به عنوان مالکیت، حق حبس یا اختلافات قانونی در معاملات املاک چیست؟")</f>
        <v>استراتژی های کلیدی برای استفاده از تکنیک های مذاکره برای رسیدگی به مسائل مربوط به عنوان مالکیت، حق حبس یا اختلافات قانونی در معاملات املاک چیست؟</v>
      </c>
      <c r="H5153" s="1"/>
      <c r="I5153" s="1"/>
      <c r="J5153" s="1"/>
      <c r="K5153" s="1"/>
      <c r="L5153" s="1"/>
      <c r="M5153" s="1"/>
      <c r="N5153" s="1"/>
      <c r="O5153" s="1"/>
      <c r="P5153" s="1"/>
      <c r="Q5153" s="1"/>
      <c r="R5153" s="1"/>
      <c r="S5153" s="1"/>
      <c r="T5153" s="1"/>
      <c r="U5153" s="1"/>
      <c r="V5153" s="1"/>
      <c r="W5153" s="1"/>
      <c r="X5153" s="1"/>
      <c r="Y5153" s="1"/>
      <c r="Z5153" s="1"/>
      <c r="AA5153" s="1"/>
      <c r="AB5153" s="1"/>
    </row>
    <row r="5154" ht="50.25" customHeight="1">
      <c r="A5154" s="12">
        <v>5150.0</v>
      </c>
      <c r="B5154" s="13" t="s">
        <v>5027</v>
      </c>
      <c r="C5154" s="18" t="s">
        <v>5174</v>
      </c>
      <c r="D5154" s="1"/>
      <c r="E5154" s="1"/>
      <c r="F5154" s="1" t="str">
        <f>IFERROR(__xludf.DUMMYFUNCTION("GOOGLETRANSLATE(B5154, ""en"", ""fa"")
"),"املاک و مستغلات برای حرفه ای ها")</f>
        <v>املاک و مستغلات برای حرفه ای ها</v>
      </c>
      <c r="G5154" s="1" t="str">
        <f>IFERROR(__xludf.DUMMYFUNCTION("GOOGLETRANSLATE(C5154, ""en"", ""fa"")
"),"چگونه متخصصان املاک و مستغلات می توانند به طور موثر در مورد شرایط و ضوابط مطلوب در قراردادهای اجاره تجاری برای فضاهای خرده فروشی یا اداری مذاکره کنند؟")</f>
        <v>چگونه متخصصان املاک و مستغلات می توانند به طور موثر در مورد شرایط و ضوابط مطلوب در قراردادهای اجاره تجاری برای فضاهای خرده فروشی یا اداری مذاکره کنند؟</v>
      </c>
      <c r="H5154" s="1"/>
      <c r="I5154" s="1"/>
      <c r="J5154" s="1"/>
      <c r="K5154" s="1"/>
      <c r="L5154" s="1"/>
      <c r="M5154" s="1"/>
      <c r="N5154" s="1"/>
      <c r="O5154" s="1"/>
      <c r="P5154" s="1"/>
      <c r="Q5154" s="1"/>
      <c r="R5154" s="1"/>
      <c r="S5154" s="1"/>
      <c r="T5154" s="1"/>
      <c r="U5154" s="1"/>
      <c r="V5154" s="1"/>
      <c r="W5154" s="1"/>
      <c r="X5154" s="1"/>
      <c r="Y5154" s="1"/>
      <c r="Z5154" s="1"/>
      <c r="AA5154" s="1"/>
      <c r="AB5154" s="1"/>
    </row>
    <row r="5155" ht="50.25" customHeight="1">
      <c r="A5155" s="12">
        <v>5151.0</v>
      </c>
      <c r="B5155" s="13" t="s">
        <v>5027</v>
      </c>
      <c r="C5155" s="18" t="s">
        <v>5175</v>
      </c>
      <c r="D5155" s="1"/>
      <c r="E5155" s="1"/>
      <c r="F5155" s="1" t="str">
        <f>IFERROR(__xludf.DUMMYFUNCTION("GOOGLETRANSLATE(B5155, ""en"", ""fa"")
"),"املاک و مستغلات برای حرفه ای ها")</f>
        <v>املاک و مستغلات برای حرفه ای ها</v>
      </c>
      <c r="G5155" s="1" t="str">
        <f>IFERROR(__xludf.DUMMYFUNCTION("GOOGLETRANSLATE(C5155, ""en"", ""fa"")
"),"هنگام تعیین سطح مناسب قاطعیت و همکاری در یک مذاکره املاک و مستغلات که شامل چندین طرف است، چه عوامل مهمی باید در نظر گرفته شود؟")</f>
        <v>هنگام تعیین سطح مناسب قاطعیت و همکاری در یک مذاکره املاک و مستغلات که شامل چندین طرف است، چه عوامل مهمی باید در نظر گرفته شود؟</v>
      </c>
      <c r="H5155" s="1"/>
      <c r="I5155" s="1"/>
      <c r="J5155" s="1"/>
      <c r="K5155" s="1"/>
      <c r="L5155" s="1"/>
      <c r="M5155" s="1"/>
      <c r="N5155" s="1"/>
      <c r="O5155" s="1"/>
      <c r="P5155" s="1"/>
      <c r="Q5155" s="1"/>
      <c r="R5155" s="1"/>
      <c r="S5155" s="1"/>
      <c r="T5155" s="1"/>
      <c r="U5155" s="1"/>
      <c r="V5155" s="1"/>
      <c r="W5155" s="1"/>
      <c r="X5155" s="1"/>
      <c r="Y5155" s="1"/>
      <c r="Z5155" s="1"/>
      <c r="AA5155" s="1"/>
      <c r="AB5155" s="1"/>
    </row>
    <row r="5156" ht="50.25" customHeight="1">
      <c r="A5156" s="12">
        <v>5152.0</v>
      </c>
      <c r="B5156" s="13" t="s">
        <v>5027</v>
      </c>
      <c r="C5156" s="18" t="s">
        <v>5176</v>
      </c>
      <c r="D5156" s="1"/>
      <c r="E5156" s="1"/>
      <c r="F5156" s="1" t="str">
        <f>IFERROR(__xludf.DUMMYFUNCTION("GOOGLETRANSLATE(B5156, ""en"", ""fa"")
"),"املاک و مستغلات برای حرفه ای ها")</f>
        <v>املاک و مستغلات برای حرفه ای ها</v>
      </c>
      <c r="G5156" s="1" t="str">
        <f>IFERROR(__xludf.DUMMYFUNCTION("GOOGLETRANSLATE(C5156, ""en"", ""fa"")
"),"چگونه متخصصان املاک و مستغلات می توانند از تکنیک های مذاکره برای رسیدگی به نگرانی ها یا اعتراضات مربوط به افشای ملک یا عوامل محیطی استفاده کنند؟")</f>
        <v>چگونه متخصصان املاک و مستغلات می توانند از تکنیک های مذاکره برای رسیدگی به نگرانی ها یا اعتراضات مربوط به افشای ملک یا عوامل محیطی استفاده کنند؟</v>
      </c>
      <c r="H5156" s="1"/>
      <c r="I5156" s="1"/>
      <c r="J5156" s="1"/>
      <c r="K5156" s="1"/>
      <c r="L5156" s="1"/>
      <c r="M5156" s="1"/>
      <c r="N5156" s="1"/>
      <c r="O5156" s="1"/>
      <c r="P5156" s="1"/>
      <c r="Q5156" s="1"/>
      <c r="R5156" s="1"/>
      <c r="S5156" s="1"/>
      <c r="T5156" s="1"/>
      <c r="U5156" s="1"/>
      <c r="V5156" s="1"/>
      <c r="W5156" s="1"/>
      <c r="X5156" s="1"/>
      <c r="Y5156" s="1"/>
      <c r="Z5156" s="1"/>
      <c r="AA5156" s="1"/>
      <c r="AB5156" s="1"/>
    </row>
    <row r="5157" ht="50.25" customHeight="1">
      <c r="A5157" s="12">
        <v>5153.0</v>
      </c>
      <c r="B5157" s="13" t="s">
        <v>5027</v>
      </c>
      <c r="C5157" s="18" t="s">
        <v>5177</v>
      </c>
      <c r="D5157" s="1"/>
      <c r="E5157" s="1"/>
      <c r="F5157" s="1" t="str">
        <f>IFERROR(__xludf.DUMMYFUNCTION("GOOGLETRANSLATE(B5157, ""en"", ""fa"")
"),"املاک و مستغلات برای حرفه ای ها")</f>
        <v>املاک و مستغلات برای حرفه ای ها</v>
      </c>
      <c r="G5157" s="1" t="str">
        <f>IFERROR(__xludf.DUMMYFUNCTION("GOOGLETRANSLATE(C5157, ""en"", ""fa"")
"),"بهترین روش ها برای مدیریت ضرب الاجل های مذاکره و پیشنهادات حساس به زمان در معاملات املاک چیست؟")</f>
        <v>بهترین روش ها برای مدیریت ضرب الاجل های مذاکره و پیشنهادات حساس به زمان در معاملات املاک چیست؟</v>
      </c>
      <c r="H5157" s="1"/>
      <c r="I5157" s="1"/>
      <c r="J5157" s="1"/>
      <c r="K5157" s="1"/>
      <c r="L5157" s="1"/>
      <c r="M5157" s="1"/>
      <c r="N5157" s="1"/>
      <c r="O5157" s="1"/>
      <c r="P5157" s="1"/>
      <c r="Q5157" s="1"/>
      <c r="R5157" s="1"/>
      <c r="S5157" s="1"/>
      <c r="T5157" s="1"/>
      <c r="U5157" s="1"/>
      <c r="V5157" s="1"/>
      <c r="W5157" s="1"/>
      <c r="X5157" s="1"/>
      <c r="Y5157" s="1"/>
      <c r="Z5157" s="1"/>
      <c r="AA5157" s="1"/>
      <c r="AB5157" s="1"/>
    </row>
    <row r="5158" ht="50.25" customHeight="1">
      <c r="A5158" s="12">
        <v>5154.0</v>
      </c>
      <c r="B5158" s="13" t="s">
        <v>5027</v>
      </c>
      <c r="C5158" s="18" t="s">
        <v>5178</v>
      </c>
      <c r="D5158" s="1"/>
      <c r="E5158" s="1"/>
      <c r="F5158" s="1" t="str">
        <f>IFERROR(__xludf.DUMMYFUNCTION("GOOGLETRANSLATE(B5158, ""en"", ""fa"")
"),"املاک و مستغلات برای حرفه ای ها")</f>
        <v>املاک و مستغلات برای حرفه ای ها</v>
      </c>
      <c r="G5158" s="1" t="str">
        <f>IFERROR(__xludf.DUMMYFUNCTION("GOOGLETRANSLATE(C5158, ""en"", ""fa"")
"),"چگونه متخصصان املاک و مستغلات می توانند به طور موثر در مورد شرایط قرارداد و موارد احتمالی برای محافظت از منافع مشتریان خود در پروژه های ساخت و ساز جدید یا توسعه مذاکره کنند؟")</f>
        <v>چگونه متخصصان املاک و مستغلات می توانند به طور موثر در مورد شرایط قرارداد و موارد احتمالی برای محافظت از منافع مشتریان خود در پروژه های ساخت و ساز جدید یا توسعه مذاکره کنند؟</v>
      </c>
      <c r="H5158" s="1"/>
      <c r="I5158" s="1"/>
      <c r="J5158" s="1"/>
      <c r="K5158" s="1"/>
      <c r="L5158" s="1"/>
      <c r="M5158" s="1"/>
      <c r="N5158" s="1"/>
      <c r="O5158" s="1"/>
      <c r="P5158" s="1"/>
      <c r="Q5158" s="1"/>
      <c r="R5158" s="1"/>
      <c r="S5158" s="1"/>
      <c r="T5158" s="1"/>
      <c r="U5158" s="1"/>
      <c r="V5158" s="1"/>
      <c r="W5158" s="1"/>
      <c r="X5158" s="1"/>
      <c r="Y5158" s="1"/>
      <c r="Z5158" s="1"/>
      <c r="AA5158" s="1"/>
      <c r="AB5158" s="1"/>
    </row>
    <row r="5159" ht="50.25" customHeight="1">
      <c r="A5159" s="12">
        <v>5155.0</v>
      </c>
      <c r="B5159" s="13" t="s">
        <v>5027</v>
      </c>
      <c r="C5159" s="18" t="s">
        <v>5179</v>
      </c>
      <c r="D5159" s="1"/>
      <c r="E5159" s="1"/>
      <c r="F5159" s="1" t="str">
        <f>IFERROR(__xludf.DUMMYFUNCTION("GOOGLETRANSLATE(B5159, ""en"", ""fa"")
"),"املاک و مستغلات برای حرفه ای ها")</f>
        <v>املاک و مستغلات برای حرفه ای ها</v>
      </c>
      <c r="G5159" s="1" t="str">
        <f>IFERROR(__xludf.DUMMYFUNCTION("GOOGLETRANSLATE(C5159, ""en"", ""fa"")
"),"استراتژی‌های کلیدی برای استفاده از تاکتیک‌های مذاکره برای رسیدگی به چالش‌ها یا محدودیت‌های تامین مالی در معاملات املاک چیست؟")</f>
        <v>استراتژی‌های کلیدی برای استفاده از تاکتیک‌های مذاکره برای رسیدگی به چالش‌ها یا محدودیت‌های تامین مالی در معاملات املاک چیست؟</v>
      </c>
      <c r="H5159" s="1"/>
      <c r="I5159" s="1"/>
      <c r="J5159" s="1"/>
      <c r="K5159" s="1"/>
      <c r="L5159" s="1"/>
      <c r="M5159" s="1"/>
      <c r="N5159" s="1"/>
      <c r="O5159" s="1"/>
      <c r="P5159" s="1"/>
      <c r="Q5159" s="1"/>
      <c r="R5159" s="1"/>
      <c r="S5159" s="1"/>
      <c r="T5159" s="1"/>
      <c r="U5159" s="1"/>
      <c r="V5159" s="1"/>
      <c r="W5159" s="1"/>
      <c r="X5159" s="1"/>
      <c r="Y5159" s="1"/>
      <c r="Z5159" s="1"/>
      <c r="AA5159" s="1"/>
      <c r="AB5159" s="1"/>
    </row>
    <row r="5160" ht="50.25" customHeight="1">
      <c r="A5160" s="12">
        <v>5156.0</v>
      </c>
      <c r="B5160" s="13" t="s">
        <v>5027</v>
      </c>
      <c r="C5160" s="18" t="s">
        <v>5180</v>
      </c>
      <c r="D5160" s="1"/>
      <c r="E5160" s="1"/>
      <c r="F5160" s="1" t="str">
        <f>IFERROR(__xludf.DUMMYFUNCTION("GOOGLETRANSLATE(B5160, ""en"", ""fa"")
"),"املاک و مستغلات برای حرفه ای ها")</f>
        <v>املاک و مستغلات برای حرفه ای ها</v>
      </c>
      <c r="G5160" s="1" t="str">
        <f>IFERROR(__xludf.DUMMYFUNCTION("GOOGLETRANSLATE(C5160, ""en"", ""fa"")
"),"چگونه متخصصان املاک و مستغلات می توانند به طور موثر مذاکرات قیمت را در شرایط مناقصه رقابتی مدیریت و مذاکره کنند؟")</f>
        <v>چگونه متخصصان املاک و مستغلات می توانند به طور موثر مذاکرات قیمت را در شرایط مناقصه رقابتی مدیریت و مذاکره کنند؟</v>
      </c>
      <c r="H5160" s="1"/>
      <c r="I5160" s="1"/>
      <c r="J5160" s="1"/>
      <c r="K5160" s="1"/>
      <c r="L5160" s="1"/>
      <c r="M5160" s="1"/>
      <c r="N5160" s="1"/>
      <c r="O5160" s="1"/>
      <c r="P5160" s="1"/>
      <c r="Q5160" s="1"/>
      <c r="R5160" s="1"/>
      <c r="S5160" s="1"/>
      <c r="T5160" s="1"/>
      <c r="U5160" s="1"/>
      <c r="V5160" s="1"/>
      <c r="W5160" s="1"/>
      <c r="X5160" s="1"/>
      <c r="Y5160" s="1"/>
      <c r="Z5160" s="1"/>
      <c r="AA5160" s="1"/>
      <c r="AB5160" s="1"/>
    </row>
    <row r="5161" ht="50.25" customHeight="1">
      <c r="A5161" s="12">
        <v>5157.0</v>
      </c>
      <c r="B5161" s="13" t="s">
        <v>5027</v>
      </c>
      <c r="C5161" s="18" t="s">
        <v>5181</v>
      </c>
      <c r="D5161" s="1"/>
      <c r="E5161" s="1"/>
      <c r="F5161" s="1" t="str">
        <f>IFERROR(__xludf.DUMMYFUNCTION("GOOGLETRANSLATE(B5161, ""en"", ""fa"")
"),"املاک و مستغلات برای حرفه ای ها")</f>
        <v>املاک و مستغلات برای حرفه ای ها</v>
      </c>
      <c r="G5161" s="1" t="str">
        <f>IFERROR(__xludf.DUMMYFUNCTION("GOOGLETRANSLATE(C5161, ""en"", ""fa"")
"),"هنگام تعیین سطح مناسب مصالحه و همکاری در یک مذاکره املاک و مستغلات که شامل چندین پیشنهاد یا طرف های ذینفع می شود، چه عواملی را باید در نظر گرفت؟")</f>
        <v>هنگام تعیین سطح مناسب مصالحه و همکاری در یک مذاکره املاک و مستغلات که شامل چندین پیشنهاد یا طرف های ذینفع می شود، چه عواملی را باید در نظر گرفت؟</v>
      </c>
      <c r="H5161" s="1"/>
      <c r="I5161" s="1"/>
      <c r="J5161" s="1"/>
      <c r="K5161" s="1"/>
      <c r="L5161" s="1"/>
      <c r="M5161" s="1"/>
      <c r="N5161" s="1"/>
      <c r="O5161" s="1"/>
      <c r="P5161" s="1"/>
      <c r="Q5161" s="1"/>
      <c r="R5161" s="1"/>
      <c r="S5161" s="1"/>
      <c r="T5161" s="1"/>
      <c r="U5161" s="1"/>
      <c r="V5161" s="1"/>
      <c r="W5161" s="1"/>
      <c r="X5161" s="1"/>
      <c r="Y5161" s="1"/>
      <c r="Z5161" s="1"/>
      <c r="AA5161" s="1"/>
      <c r="AB5161" s="1"/>
    </row>
    <row r="5162" ht="50.25" customHeight="1">
      <c r="A5162" s="12">
        <v>5158.0</v>
      </c>
      <c r="B5162" s="13" t="s">
        <v>5027</v>
      </c>
      <c r="C5162" s="18" t="s">
        <v>5182</v>
      </c>
      <c r="D5162" s="1"/>
      <c r="E5162" s="1"/>
      <c r="F5162" s="1" t="str">
        <f>IFERROR(__xludf.DUMMYFUNCTION("GOOGLETRANSLATE(B5162, ""en"", ""fa"")
"),"املاک و مستغلات برای حرفه ای ها")</f>
        <v>املاک و مستغلات برای حرفه ای ها</v>
      </c>
      <c r="G5162" s="1" t="str">
        <f>IFERROR(__xludf.DUMMYFUNCTION("GOOGLETRANSLATE(C5162, ""en"", ""fa"")
"),"چگونه متخصصان املاک و مستغلات می توانند از تکنیک های مذاکره برای رسیدگی به نگرانی ها یا اعتراضات مربوط به منطقه بندی املاک، مجوزها یا مقررات کاربری زمین استفاده کنند؟")</f>
        <v>چگونه متخصصان املاک و مستغلات می توانند از تکنیک های مذاکره برای رسیدگی به نگرانی ها یا اعتراضات مربوط به منطقه بندی املاک، مجوزها یا مقررات کاربری زمین استفاده کنند؟</v>
      </c>
      <c r="H5162" s="1"/>
      <c r="I5162" s="1"/>
      <c r="J5162" s="1"/>
      <c r="K5162" s="1"/>
      <c r="L5162" s="1"/>
      <c r="M5162" s="1"/>
      <c r="N5162" s="1"/>
      <c r="O5162" s="1"/>
      <c r="P5162" s="1"/>
      <c r="Q5162" s="1"/>
      <c r="R5162" s="1"/>
      <c r="S5162" s="1"/>
      <c r="T5162" s="1"/>
      <c r="U5162" s="1"/>
      <c r="V5162" s="1"/>
      <c r="W5162" s="1"/>
      <c r="X5162" s="1"/>
      <c r="Y5162" s="1"/>
      <c r="Z5162" s="1"/>
      <c r="AA5162" s="1"/>
      <c r="AB5162" s="1"/>
    </row>
    <row r="5163" ht="50.25" customHeight="1">
      <c r="A5163" s="12">
        <v>5159.0</v>
      </c>
      <c r="B5163" s="13" t="s">
        <v>5027</v>
      </c>
      <c r="C5163" s="18" t="s">
        <v>5183</v>
      </c>
      <c r="D5163" s="1"/>
      <c r="E5163" s="1"/>
      <c r="F5163" s="1" t="str">
        <f>IFERROR(__xludf.DUMMYFUNCTION("GOOGLETRANSLATE(B5163, ""en"", ""fa"")
"),"املاک و مستغلات برای حرفه ای ها")</f>
        <v>املاک و مستغلات برای حرفه ای ها</v>
      </c>
      <c r="G5163" s="1" t="str">
        <f>IFERROR(__xludf.DUMMYFUNCTION("GOOGLETRANSLATE(C5163, ""en"", ""fa"")
"),"بهترین شیوه ها برای مدیریت انتظارات مذاکره و حفظ خطوط باز ارتباط با طرف مقابل در طول فرآیند مذاکره چیست؟")</f>
        <v>بهترین شیوه ها برای مدیریت انتظارات مذاکره و حفظ خطوط باز ارتباط با طرف مقابل در طول فرآیند مذاکره چیست؟</v>
      </c>
      <c r="H5163" s="1"/>
      <c r="I5163" s="1"/>
      <c r="J5163" s="1"/>
      <c r="K5163" s="1"/>
      <c r="L5163" s="1"/>
      <c r="M5163" s="1"/>
      <c r="N5163" s="1"/>
      <c r="O5163" s="1"/>
      <c r="P5163" s="1"/>
      <c r="Q5163" s="1"/>
      <c r="R5163" s="1"/>
      <c r="S5163" s="1"/>
      <c r="T5163" s="1"/>
      <c r="U5163" s="1"/>
      <c r="V5163" s="1"/>
      <c r="W5163" s="1"/>
      <c r="X5163" s="1"/>
      <c r="Y5163" s="1"/>
      <c r="Z5163" s="1"/>
      <c r="AA5163" s="1"/>
      <c r="AB5163" s="1"/>
    </row>
    <row r="5164" ht="50.25" customHeight="1">
      <c r="A5164" s="12">
        <v>5160.0</v>
      </c>
      <c r="B5164" s="13" t="s">
        <v>5027</v>
      </c>
      <c r="C5164" s="18" t="s">
        <v>5184</v>
      </c>
      <c r="D5164" s="1"/>
      <c r="E5164" s="1"/>
      <c r="F5164" s="1" t="str">
        <f>IFERROR(__xludf.DUMMYFUNCTION("GOOGLETRANSLATE(B5164, ""en"", ""fa"")
"),"املاک و مستغلات برای حرفه ای ها")</f>
        <v>املاک و مستغلات برای حرفه ای ها</v>
      </c>
      <c r="G5164" s="1" t="str">
        <f>IFERROR(__xludf.DUMMYFUNCTION("GOOGLETRANSLATE(C5164, ""en"", ""fa"")
"),"چگونه متخصصان املاک و مستغلات می توانند به طور موثر در مورد شرایط و ضوابط مطلوب در قراردادهای اجاره املاک تجاری مذاکره کنند؟")</f>
        <v>چگونه متخصصان املاک و مستغلات می توانند به طور موثر در مورد شرایط و ضوابط مطلوب در قراردادهای اجاره املاک تجاری مذاکره کنند؟</v>
      </c>
      <c r="H5164" s="1"/>
      <c r="I5164" s="1"/>
      <c r="J5164" s="1"/>
      <c r="K5164" s="1"/>
      <c r="L5164" s="1"/>
      <c r="M5164" s="1"/>
      <c r="N5164" s="1"/>
      <c r="O5164" s="1"/>
      <c r="P5164" s="1"/>
      <c r="Q5164" s="1"/>
      <c r="R5164" s="1"/>
      <c r="S5164" s="1"/>
      <c r="T5164" s="1"/>
      <c r="U5164" s="1"/>
      <c r="V5164" s="1"/>
      <c r="W5164" s="1"/>
      <c r="X5164" s="1"/>
      <c r="Y5164" s="1"/>
      <c r="Z5164" s="1"/>
      <c r="AA5164" s="1"/>
      <c r="AB5164" s="1"/>
    </row>
    <row r="5165" ht="50.25" customHeight="1">
      <c r="A5165" s="12">
        <v>5161.0</v>
      </c>
      <c r="B5165" s="13" t="s">
        <v>5027</v>
      </c>
      <c r="C5165" s="18" t="s">
        <v>5185</v>
      </c>
      <c r="D5165" s="1"/>
      <c r="E5165" s="1"/>
      <c r="F5165" s="1" t="str">
        <f>IFERROR(__xludf.DUMMYFUNCTION("GOOGLETRANSLATE(B5165, ""en"", ""fa"")
"),"املاک و مستغلات برای حرفه ای ها")</f>
        <v>املاک و مستغلات برای حرفه ای ها</v>
      </c>
      <c r="G5165" s="1" t="str">
        <f>IFERROR(__xludf.DUMMYFUNCTION("GOOGLETRANSLATE(C5165, ""en"", ""fa"")
"),"استراتژی‌های کلیدی برای استفاده از تاکتیک‌های مذاکره برای رسیدگی به مسائل مربوط به بازرسی، تعمیرات یا نگهداری املاک در معامله املاک چیست؟")</f>
        <v>استراتژی‌های کلیدی برای استفاده از تاکتیک‌های مذاکره برای رسیدگی به مسائل مربوط به بازرسی، تعمیرات یا نگهداری املاک در معامله املاک چیست؟</v>
      </c>
      <c r="H5165" s="1"/>
      <c r="I5165" s="1"/>
      <c r="J5165" s="1"/>
      <c r="K5165" s="1"/>
      <c r="L5165" s="1"/>
      <c r="M5165" s="1"/>
      <c r="N5165" s="1"/>
      <c r="O5165" s="1"/>
      <c r="P5165" s="1"/>
      <c r="Q5165" s="1"/>
      <c r="R5165" s="1"/>
      <c r="S5165" s="1"/>
      <c r="T5165" s="1"/>
      <c r="U5165" s="1"/>
      <c r="V5165" s="1"/>
      <c r="W5165" s="1"/>
      <c r="X5165" s="1"/>
      <c r="Y5165" s="1"/>
      <c r="Z5165" s="1"/>
      <c r="AA5165" s="1"/>
      <c r="AB5165" s="1"/>
    </row>
    <row r="5166" ht="50.25" customHeight="1">
      <c r="A5166" s="12">
        <v>5162.0</v>
      </c>
      <c r="B5166" s="13" t="s">
        <v>5027</v>
      </c>
      <c r="C5166" s="18" t="s">
        <v>5186</v>
      </c>
      <c r="D5166" s="1"/>
      <c r="E5166" s="1"/>
      <c r="F5166" s="1" t="str">
        <f>IFERROR(__xludf.DUMMYFUNCTION("GOOGLETRANSLATE(B5166, ""en"", ""fa"")
"),"املاک و مستغلات برای حرفه ای ها")</f>
        <v>املاک و مستغلات برای حرفه ای ها</v>
      </c>
      <c r="G5166" s="1" t="str">
        <f>IFERROR(__xludf.DUMMYFUNCTION("GOOGLETRANSLATE(C5166, ""en"", ""fa"")
"),"چگونه متخصصان املاک و مستغلات می توانند به طور موثری در شرایط تغییر بازار، تنظیم قیمت یا امتیازات را مدیریت کرده و با آن مذاکره کنند؟")</f>
        <v>چگونه متخصصان املاک و مستغلات می توانند به طور موثری در شرایط تغییر بازار، تنظیم قیمت یا امتیازات را مدیریت کرده و با آن مذاکره کنند؟</v>
      </c>
      <c r="H5166" s="1"/>
      <c r="I5166" s="1"/>
      <c r="J5166" s="1"/>
      <c r="K5166" s="1"/>
      <c r="L5166" s="1"/>
      <c r="M5166" s="1"/>
      <c r="N5166" s="1"/>
      <c r="O5166" s="1"/>
      <c r="P5166" s="1"/>
      <c r="Q5166" s="1"/>
      <c r="R5166" s="1"/>
      <c r="S5166" s="1"/>
      <c r="T5166" s="1"/>
      <c r="U5166" s="1"/>
      <c r="V5166" s="1"/>
      <c r="W5166" s="1"/>
      <c r="X5166" s="1"/>
      <c r="Y5166" s="1"/>
      <c r="Z5166" s="1"/>
      <c r="AA5166" s="1"/>
      <c r="AB5166" s="1"/>
    </row>
    <row r="5167" ht="50.25" customHeight="1">
      <c r="A5167" s="12">
        <v>5163.0</v>
      </c>
      <c r="B5167" s="13" t="s">
        <v>5027</v>
      </c>
      <c r="C5167" s="18" t="s">
        <v>5187</v>
      </c>
      <c r="D5167" s="1"/>
      <c r="E5167" s="1"/>
      <c r="F5167" s="1" t="str">
        <f>IFERROR(__xludf.DUMMYFUNCTION("GOOGLETRANSLATE(B5167, ""en"", ""fa"")
"),"املاک و مستغلات برای حرفه ای ها")</f>
        <v>املاک و مستغلات برای حرفه ای ها</v>
      </c>
      <c r="G5167" s="1" t="str">
        <f>IFERROR(__xludf.DUMMYFUNCTION("GOOGLETRANSLATE(C5167, ""en"", ""fa"")
"),"هنگام تعیین سطح مناسب قاطعیت و همکاری در یک مذاکره املاک و مستغلات که شامل پیمانکاران یا ارائه دهندگان خدمات می شود، چه عوامل مهمی باید در نظر گرفته شود؟")</f>
        <v>هنگام تعیین سطح مناسب قاطعیت و همکاری در یک مذاکره املاک و مستغلات که شامل پیمانکاران یا ارائه دهندگان خدمات می شود، چه عوامل مهمی باید در نظر گرفته شود؟</v>
      </c>
      <c r="H5167" s="1"/>
      <c r="I5167" s="1"/>
      <c r="J5167" s="1"/>
      <c r="K5167" s="1"/>
      <c r="L5167" s="1"/>
      <c r="M5167" s="1"/>
      <c r="N5167" s="1"/>
      <c r="O5167" s="1"/>
      <c r="P5167" s="1"/>
      <c r="Q5167" s="1"/>
      <c r="R5167" s="1"/>
      <c r="S5167" s="1"/>
      <c r="T5167" s="1"/>
      <c r="U5167" s="1"/>
      <c r="V5167" s="1"/>
      <c r="W5167" s="1"/>
      <c r="X5167" s="1"/>
      <c r="Y5167" s="1"/>
      <c r="Z5167" s="1"/>
      <c r="AA5167" s="1"/>
      <c r="AB5167" s="1"/>
    </row>
    <row r="5168" ht="50.25" customHeight="1">
      <c r="A5168" s="12">
        <v>5164.0</v>
      </c>
      <c r="B5168" s="13" t="s">
        <v>5027</v>
      </c>
      <c r="C5168" s="18" t="s">
        <v>5188</v>
      </c>
      <c r="D5168" s="1"/>
      <c r="E5168" s="1"/>
      <c r="F5168" s="1" t="str">
        <f>IFERROR(__xludf.DUMMYFUNCTION("GOOGLETRANSLATE(B5168, ""en"", ""fa"")
"),"املاک و مستغلات برای حرفه ای ها")</f>
        <v>املاک و مستغلات برای حرفه ای ها</v>
      </c>
      <c r="G5168" s="1" t="str">
        <f>IFERROR(__xludf.DUMMYFUNCTION("GOOGLETRANSLATE(C5168, ""en"", ""fa"")
"),"چگونه متخصصان املاک و مستغلات می توانند از تکنیک های مذاکره برای رسیدگی به نگرانی ها یا اعتراضات مربوط به بیمه اموال یا پوشش ضمانت استفاده کنند؟")</f>
        <v>چگونه متخصصان املاک و مستغلات می توانند از تکنیک های مذاکره برای رسیدگی به نگرانی ها یا اعتراضات مربوط به بیمه اموال یا پوشش ضمانت استفاده کنند؟</v>
      </c>
      <c r="H5168" s="1"/>
      <c r="I5168" s="1"/>
      <c r="J5168" s="1"/>
      <c r="K5168" s="1"/>
      <c r="L5168" s="1"/>
      <c r="M5168" s="1"/>
      <c r="N5168" s="1"/>
      <c r="O5168" s="1"/>
      <c r="P5168" s="1"/>
      <c r="Q5168" s="1"/>
      <c r="R5168" s="1"/>
      <c r="S5168" s="1"/>
      <c r="T5168" s="1"/>
      <c r="U5168" s="1"/>
      <c r="V5168" s="1"/>
      <c r="W5168" s="1"/>
      <c r="X5168" s="1"/>
      <c r="Y5168" s="1"/>
      <c r="Z5168" s="1"/>
      <c r="AA5168" s="1"/>
      <c r="AB5168" s="1"/>
    </row>
    <row r="5169" ht="50.25" customHeight="1">
      <c r="A5169" s="12">
        <v>5165.0</v>
      </c>
      <c r="B5169" s="13" t="s">
        <v>5027</v>
      </c>
      <c r="C5169" s="18" t="s">
        <v>5189</v>
      </c>
      <c r="D5169" s="1"/>
      <c r="E5169" s="1"/>
      <c r="F5169" s="1" t="str">
        <f>IFERROR(__xludf.DUMMYFUNCTION("GOOGLETRANSLATE(B5169, ""en"", ""fa"")
"),"املاک و مستغلات برای حرفه ای ها")</f>
        <v>املاک و مستغلات برای حرفه ای ها</v>
      </c>
      <c r="G5169" s="1" t="str">
        <f>IFERROR(__xludf.DUMMYFUNCTION("GOOGLETRANSLATE(C5169, ""en"", ""fa"")
"),"بهترین روش ها برای مدیریت ضرب الاجل های مذاکره و پیشنهادات حساس به زمان در معاملات املاک تجاری چیست؟")</f>
        <v>بهترین روش ها برای مدیریت ضرب الاجل های مذاکره و پیشنهادات حساس به زمان در معاملات املاک تجاری چیست؟</v>
      </c>
      <c r="H5169" s="1"/>
      <c r="I5169" s="1"/>
      <c r="J5169" s="1"/>
      <c r="K5169" s="1"/>
      <c r="L5169" s="1"/>
      <c r="M5169" s="1"/>
      <c r="N5169" s="1"/>
      <c r="O5169" s="1"/>
      <c r="P5169" s="1"/>
      <c r="Q5169" s="1"/>
      <c r="R5169" s="1"/>
      <c r="S5169" s="1"/>
      <c r="T5169" s="1"/>
      <c r="U5169" s="1"/>
      <c r="V5169" s="1"/>
      <c r="W5169" s="1"/>
      <c r="X5169" s="1"/>
      <c r="Y5169" s="1"/>
      <c r="Z5169" s="1"/>
      <c r="AA5169" s="1"/>
      <c r="AB5169" s="1"/>
    </row>
    <row r="5170" ht="50.25" customHeight="1">
      <c r="A5170" s="12">
        <v>5166.0</v>
      </c>
      <c r="B5170" s="13" t="s">
        <v>5027</v>
      </c>
      <c r="C5170" s="18" t="s">
        <v>5190</v>
      </c>
      <c r="D5170" s="1"/>
      <c r="E5170" s="1"/>
      <c r="F5170" s="1" t="str">
        <f>IFERROR(__xludf.DUMMYFUNCTION("GOOGLETRANSLATE(B5170, ""en"", ""fa"")
"),"املاک و مستغلات برای حرفه ای ها")</f>
        <v>املاک و مستغلات برای حرفه ای ها</v>
      </c>
      <c r="G5170" s="1" t="str">
        <f>IFERROR(__xludf.DUMMYFUNCTION("GOOGLETRANSLATE(C5170, ""en"", ""fa"")
"),"چگونه متخصصان املاک و مستغلات می توانند به طور موثر در مورد شرایط قرارداد و موارد احتمالی مذاکره کنند تا از منافع مشتریان خود در شرایط سلب مالکیت یا فروش کوتاه مدت محافظت کنند؟")</f>
        <v>چگونه متخصصان املاک و مستغلات می توانند به طور موثر در مورد شرایط قرارداد و موارد احتمالی مذاکره کنند تا از منافع مشتریان خود در شرایط سلب مالکیت یا فروش کوتاه مدت محافظت کنند؟</v>
      </c>
      <c r="H5170" s="1"/>
      <c r="I5170" s="1"/>
      <c r="J5170" s="1"/>
      <c r="K5170" s="1"/>
      <c r="L5170" s="1"/>
      <c r="M5170" s="1"/>
      <c r="N5170" s="1"/>
      <c r="O5170" s="1"/>
      <c r="P5170" s="1"/>
      <c r="Q5170" s="1"/>
      <c r="R5170" s="1"/>
      <c r="S5170" s="1"/>
      <c r="T5170" s="1"/>
      <c r="U5170" s="1"/>
      <c r="V5170" s="1"/>
      <c r="W5170" s="1"/>
      <c r="X5170" s="1"/>
      <c r="Y5170" s="1"/>
      <c r="Z5170" s="1"/>
      <c r="AA5170" s="1"/>
      <c r="AB5170" s="1"/>
    </row>
    <row r="5171" ht="50.25" customHeight="1">
      <c r="A5171" s="12">
        <v>5167.0</v>
      </c>
      <c r="B5171" s="13" t="s">
        <v>5027</v>
      </c>
      <c r="C5171" s="18" t="s">
        <v>5191</v>
      </c>
      <c r="D5171" s="1"/>
      <c r="E5171" s="1"/>
      <c r="F5171" s="1" t="str">
        <f>IFERROR(__xludf.DUMMYFUNCTION("GOOGLETRANSLATE(B5171, ""en"", ""fa"")
"),"املاک و مستغلات برای حرفه ای ها")</f>
        <v>املاک و مستغلات برای حرفه ای ها</v>
      </c>
      <c r="G5171" s="1" t="str">
        <f>IFERROR(__xludf.DUMMYFUNCTION("GOOGLETRANSLATE(C5171, ""en"", ""fa"")
"),"استراتژی های کلیدی برای استفاده از تاکتیک های مذاکره برای رفع چالش ها یا محدودیت های تامین مالی در معاملات املاک تجاری چیست؟")</f>
        <v>استراتژی های کلیدی برای استفاده از تاکتیک های مذاکره برای رفع چالش ها یا محدودیت های تامین مالی در معاملات املاک تجاری چیست؟</v>
      </c>
      <c r="H5171" s="1"/>
      <c r="I5171" s="1"/>
      <c r="J5171" s="1"/>
      <c r="K5171" s="1"/>
      <c r="L5171" s="1"/>
      <c r="M5171" s="1"/>
      <c r="N5171" s="1"/>
      <c r="O5171" s="1"/>
      <c r="P5171" s="1"/>
      <c r="Q5171" s="1"/>
      <c r="R5171" s="1"/>
      <c r="S5171" s="1"/>
      <c r="T5171" s="1"/>
      <c r="U5171" s="1"/>
      <c r="V5171" s="1"/>
      <c r="W5171" s="1"/>
      <c r="X5171" s="1"/>
      <c r="Y5171" s="1"/>
      <c r="Z5171" s="1"/>
      <c r="AA5171" s="1"/>
      <c r="AB5171" s="1"/>
    </row>
    <row r="5172" ht="50.25" customHeight="1">
      <c r="A5172" s="12">
        <v>5168.0</v>
      </c>
      <c r="B5172" s="13" t="s">
        <v>5027</v>
      </c>
      <c r="C5172" s="18" t="s">
        <v>5192</v>
      </c>
      <c r="D5172" s="1"/>
      <c r="E5172" s="1"/>
      <c r="F5172" s="1" t="str">
        <f>IFERROR(__xludf.DUMMYFUNCTION("GOOGLETRANSLATE(B5172, ""en"", ""fa"")
"),"املاک و مستغلات برای حرفه ای ها")</f>
        <v>املاک و مستغلات برای حرفه ای ها</v>
      </c>
      <c r="G5172" s="1" t="str">
        <f>IFERROR(__xludf.DUMMYFUNCTION("GOOGLETRANSLATE(C5172, ""en"", ""fa"")
"),"چگونه متخصصان املاک و مستغلات می توانند به طور موثر شرایط و ضوابط اجاره را برای فضاهای خرده فروشی یا اداری مدیریت و مذاکره کنند؟")</f>
        <v>چگونه متخصصان املاک و مستغلات می توانند به طور موثر شرایط و ضوابط اجاره را برای فضاهای خرده فروشی یا اداری مدیریت و مذاکره کنند؟</v>
      </c>
      <c r="H5172" s="1"/>
      <c r="I5172" s="1"/>
      <c r="J5172" s="1"/>
      <c r="K5172" s="1"/>
      <c r="L5172" s="1"/>
      <c r="M5172" s="1"/>
      <c r="N5172" s="1"/>
      <c r="O5172" s="1"/>
      <c r="P5172" s="1"/>
      <c r="Q5172" s="1"/>
      <c r="R5172" s="1"/>
      <c r="S5172" s="1"/>
      <c r="T5172" s="1"/>
      <c r="U5172" s="1"/>
      <c r="V5172" s="1"/>
      <c r="W5172" s="1"/>
      <c r="X5172" s="1"/>
      <c r="Y5172" s="1"/>
      <c r="Z5172" s="1"/>
      <c r="AA5172" s="1"/>
      <c r="AB5172" s="1"/>
    </row>
    <row r="5173" ht="50.25" customHeight="1">
      <c r="A5173" s="12">
        <v>5169.0</v>
      </c>
      <c r="B5173" s="13" t="s">
        <v>5027</v>
      </c>
      <c r="C5173" s="18" t="s">
        <v>5193</v>
      </c>
      <c r="D5173" s="1"/>
      <c r="E5173" s="1"/>
      <c r="F5173" s="1" t="str">
        <f>IFERROR(__xludf.DUMMYFUNCTION("GOOGLETRANSLATE(B5173, ""en"", ""fa"")
"),"املاک و مستغلات برای حرفه ای ها")</f>
        <v>املاک و مستغلات برای حرفه ای ها</v>
      </c>
      <c r="G5173" s="1" t="str">
        <f>IFERROR(__xludf.DUMMYFUNCTION("GOOGLETRANSLATE(C5173, ""en"", ""fa"")
"),"هنگام تعیین سطح مناسب مصالحه و همکاری در مذاکرات املاک و مستغلات که شامل املاک سرمایه گذاری یا خرید پرتفولیو می شود، چه عوامل مهمی باید در نظر گرفته شود؟")</f>
        <v>هنگام تعیین سطح مناسب مصالحه و همکاری در مذاکرات املاک و مستغلات که شامل املاک سرمایه گذاری یا خرید پرتفولیو می شود، چه عوامل مهمی باید در نظر گرفته شود؟</v>
      </c>
      <c r="H5173" s="1"/>
      <c r="I5173" s="1"/>
      <c r="J5173" s="1"/>
      <c r="K5173" s="1"/>
      <c r="L5173" s="1"/>
      <c r="M5173" s="1"/>
      <c r="N5173" s="1"/>
      <c r="O5173" s="1"/>
      <c r="P5173" s="1"/>
      <c r="Q5173" s="1"/>
      <c r="R5173" s="1"/>
      <c r="S5173" s="1"/>
      <c r="T5173" s="1"/>
      <c r="U5173" s="1"/>
      <c r="V5173" s="1"/>
      <c r="W5173" s="1"/>
      <c r="X5173" s="1"/>
      <c r="Y5173" s="1"/>
      <c r="Z5173" s="1"/>
      <c r="AA5173" s="1"/>
      <c r="AB5173" s="1"/>
    </row>
    <row r="5174" ht="50.25" customHeight="1">
      <c r="A5174" s="12">
        <v>5170.0</v>
      </c>
      <c r="B5174" s="13" t="s">
        <v>5027</v>
      </c>
      <c r="C5174" s="18" t="s">
        <v>5194</v>
      </c>
      <c r="D5174" s="1"/>
      <c r="E5174" s="1"/>
      <c r="F5174" s="1" t="str">
        <f>IFERROR(__xludf.DUMMYFUNCTION("GOOGLETRANSLATE(B5174, ""en"", ""fa"")
"),"املاک و مستغلات برای حرفه ای ها")</f>
        <v>املاک و مستغلات برای حرفه ای ها</v>
      </c>
      <c r="G5174" s="1" t="str">
        <f>IFERROR(__xludf.DUMMYFUNCTION("GOOGLETRANSLATE(C5174, ""en"", ""fa"")
"),"چگونه متخصصان املاک و مستغلات می توانند از تکنیک های مذاکره برای رسیدگی به نگرانی ها یا اعتراضات مربوط به حق ارتفاق ملک، حقوق دسترسی یا امکانات مشترک استفاده کنند؟")</f>
        <v>چگونه متخصصان املاک و مستغلات می توانند از تکنیک های مذاکره برای رسیدگی به نگرانی ها یا اعتراضات مربوط به حق ارتفاق ملک، حقوق دسترسی یا امکانات مشترک استفاده کنند؟</v>
      </c>
      <c r="H5174" s="1"/>
      <c r="I5174" s="1"/>
      <c r="J5174" s="1"/>
      <c r="K5174" s="1"/>
      <c r="L5174" s="1"/>
      <c r="M5174" s="1"/>
      <c r="N5174" s="1"/>
      <c r="O5174" s="1"/>
      <c r="P5174" s="1"/>
      <c r="Q5174" s="1"/>
      <c r="R5174" s="1"/>
      <c r="S5174" s="1"/>
      <c r="T5174" s="1"/>
      <c r="U5174" s="1"/>
      <c r="V5174" s="1"/>
      <c r="W5174" s="1"/>
      <c r="X5174" s="1"/>
      <c r="Y5174" s="1"/>
      <c r="Z5174" s="1"/>
      <c r="AA5174" s="1"/>
      <c r="AB5174" s="1"/>
    </row>
    <row r="5175" ht="50.25" customHeight="1">
      <c r="A5175" s="12">
        <v>5171.0</v>
      </c>
      <c r="B5175" s="13" t="s">
        <v>5027</v>
      </c>
      <c r="C5175" s="18" t="s">
        <v>5195</v>
      </c>
      <c r="D5175" s="1"/>
      <c r="E5175" s="1"/>
      <c r="F5175" s="1" t="str">
        <f>IFERROR(__xludf.DUMMYFUNCTION("GOOGLETRANSLATE(B5175, ""en"", ""fa"")
"),"املاک و مستغلات برای حرفه ای ها")</f>
        <v>املاک و مستغلات برای حرفه ای ها</v>
      </c>
      <c r="G5175" s="1" t="str">
        <f>IFERROR(__xludf.DUMMYFUNCTION("GOOGLETRANSLATE(C5175, ""en"", ""fa"")
"),"بهترین شیوه ها برای مدیریت انتظارات مذاکره و حفظ شفافیت با مشتریان در معاملات سرمایه گذاری املاک چیست؟")</f>
        <v>بهترین شیوه ها برای مدیریت انتظارات مذاکره و حفظ شفافیت با مشتریان در معاملات سرمایه گذاری املاک چیست؟</v>
      </c>
      <c r="H5175" s="1"/>
      <c r="I5175" s="1"/>
      <c r="J5175" s="1"/>
      <c r="K5175" s="1"/>
      <c r="L5175" s="1"/>
      <c r="M5175" s="1"/>
      <c r="N5175" s="1"/>
      <c r="O5175" s="1"/>
      <c r="P5175" s="1"/>
      <c r="Q5175" s="1"/>
      <c r="R5175" s="1"/>
      <c r="S5175" s="1"/>
      <c r="T5175" s="1"/>
      <c r="U5175" s="1"/>
      <c r="V5175" s="1"/>
      <c r="W5175" s="1"/>
      <c r="X5175" s="1"/>
      <c r="Y5175" s="1"/>
      <c r="Z5175" s="1"/>
      <c r="AA5175" s="1"/>
      <c r="AB5175" s="1"/>
    </row>
    <row r="5176" ht="50.25" customHeight="1">
      <c r="A5176" s="12">
        <v>5172.0</v>
      </c>
      <c r="B5176" s="13" t="s">
        <v>5027</v>
      </c>
      <c r="C5176" s="18" t="s">
        <v>5196</v>
      </c>
      <c r="D5176" s="1"/>
      <c r="E5176" s="1"/>
      <c r="F5176" s="1" t="str">
        <f>IFERROR(__xludf.DUMMYFUNCTION("GOOGLETRANSLATE(B5176, ""en"", ""fa"")
"),"املاک و مستغلات برای حرفه ای ها")</f>
        <v>املاک و مستغلات برای حرفه ای ها</v>
      </c>
      <c r="G5176" s="1" t="str">
        <f>IFERROR(__xludf.DUMMYFUNCTION("GOOGLETRANSLATE(C5176, ""en"", ""fa"")
"),"چگونه متخصصان املاک و مستغلات می توانند به طور مؤثر در مورد شرایط و ضوابط مطلوب در قراردادهای خرید برای املاک چند خانواری یا درآمدزا مذاکره کنند؟")</f>
        <v>چگونه متخصصان املاک و مستغلات می توانند به طور مؤثر در مورد شرایط و ضوابط مطلوب در قراردادهای خرید برای املاک چند خانواری یا درآمدزا مذاکره کنند؟</v>
      </c>
      <c r="H5176" s="1"/>
      <c r="I5176" s="1"/>
      <c r="J5176" s="1"/>
      <c r="K5176" s="1"/>
      <c r="L5176" s="1"/>
      <c r="M5176" s="1"/>
      <c r="N5176" s="1"/>
      <c r="O5176" s="1"/>
      <c r="P5176" s="1"/>
      <c r="Q5176" s="1"/>
      <c r="R5176" s="1"/>
      <c r="S5176" s="1"/>
      <c r="T5176" s="1"/>
      <c r="U5176" s="1"/>
      <c r="V5176" s="1"/>
      <c r="W5176" s="1"/>
      <c r="X5176" s="1"/>
      <c r="Y5176" s="1"/>
      <c r="Z5176" s="1"/>
      <c r="AA5176" s="1"/>
      <c r="AB5176" s="1"/>
    </row>
    <row r="5177" ht="50.25" customHeight="1">
      <c r="A5177" s="12">
        <v>5173.0</v>
      </c>
      <c r="B5177" s="13" t="s">
        <v>5027</v>
      </c>
      <c r="C5177" s="18" t="s">
        <v>5197</v>
      </c>
      <c r="D5177" s="1"/>
      <c r="E5177" s="1"/>
      <c r="F5177" s="1" t="str">
        <f>IFERROR(__xludf.DUMMYFUNCTION("GOOGLETRANSLATE(B5177, ""en"", ""fa"")
"),"املاک و مستغلات برای حرفه ای ها")</f>
        <v>املاک و مستغلات برای حرفه ای ها</v>
      </c>
      <c r="G5177" s="1" t="str">
        <f>IFERROR(__xludf.DUMMYFUNCTION("GOOGLETRANSLATE(C5177, ""en"", ""fa"")
"),"استراتژی‌های کلیدی برای استفاده از تاکتیک‌های مذاکره برای رسیدگی به مسائل مربوط به بررسی اموال، مرزها، یا مقررات تقسیم‌بندی در معاملات املاک چیست؟")</f>
        <v>استراتژی‌های کلیدی برای استفاده از تاکتیک‌های مذاکره برای رسیدگی به مسائل مربوط به بررسی اموال، مرزها، یا مقررات تقسیم‌بندی در معاملات املاک چیست؟</v>
      </c>
      <c r="H5177" s="1"/>
      <c r="I5177" s="1"/>
      <c r="J5177" s="1"/>
      <c r="K5177" s="1"/>
      <c r="L5177" s="1"/>
      <c r="M5177" s="1"/>
      <c r="N5177" s="1"/>
      <c r="O5177" s="1"/>
      <c r="P5177" s="1"/>
      <c r="Q5177" s="1"/>
      <c r="R5177" s="1"/>
      <c r="S5177" s="1"/>
      <c r="T5177" s="1"/>
      <c r="U5177" s="1"/>
      <c r="V5177" s="1"/>
      <c r="W5177" s="1"/>
      <c r="X5177" s="1"/>
      <c r="Y5177" s="1"/>
      <c r="Z5177" s="1"/>
      <c r="AA5177" s="1"/>
      <c r="AB5177" s="1"/>
    </row>
    <row r="5178" ht="50.25" customHeight="1">
      <c r="A5178" s="12">
        <v>5174.0</v>
      </c>
      <c r="B5178" s="13" t="s">
        <v>5027</v>
      </c>
      <c r="C5178" s="18" t="s">
        <v>5198</v>
      </c>
      <c r="D5178" s="1"/>
      <c r="E5178" s="1"/>
      <c r="F5178" s="1" t="str">
        <f>IFERROR(__xludf.DUMMYFUNCTION("GOOGLETRANSLATE(B5178, ""en"", ""fa"")
"),"املاک و مستغلات برای حرفه ای ها")</f>
        <v>املاک و مستغلات برای حرفه ای ها</v>
      </c>
      <c r="G5178" s="1" t="str">
        <f>IFERROR(__xludf.DUMMYFUNCTION("GOOGLETRANSLATE(C5178, ""en"", ""fa"")
"),"چگونه متخصصان املاک و مستغلات می توانند مذاکرات قیمت را هنگام نمایندگی سرمایه گذاران یا خریداران نهادی در معاملات املاک تجاری انجام دهند و مذاکره کنند؟")</f>
        <v>چگونه متخصصان املاک و مستغلات می توانند مذاکرات قیمت را هنگام نمایندگی سرمایه گذاران یا خریداران نهادی در معاملات املاک تجاری انجام دهند و مذاکره کنند؟</v>
      </c>
      <c r="H5178" s="1"/>
      <c r="I5178" s="1"/>
      <c r="J5178" s="1"/>
      <c r="K5178" s="1"/>
      <c r="L5178" s="1"/>
      <c r="M5178" s="1"/>
      <c r="N5178" s="1"/>
      <c r="O5178" s="1"/>
      <c r="P5178" s="1"/>
      <c r="Q5178" s="1"/>
      <c r="R5178" s="1"/>
      <c r="S5178" s="1"/>
      <c r="T5178" s="1"/>
      <c r="U5178" s="1"/>
      <c r="V5178" s="1"/>
      <c r="W5178" s="1"/>
      <c r="X5178" s="1"/>
      <c r="Y5178" s="1"/>
      <c r="Z5178" s="1"/>
      <c r="AA5178" s="1"/>
      <c r="AB5178" s="1"/>
    </row>
    <row r="5179" ht="50.25" customHeight="1">
      <c r="A5179" s="12">
        <v>5175.0</v>
      </c>
      <c r="B5179" s="13" t="s">
        <v>5027</v>
      </c>
      <c r="C5179" s="18" t="s">
        <v>5199</v>
      </c>
      <c r="D5179" s="1"/>
      <c r="E5179" s="1"/>
      <c r="F5179" s="1" t="str">
        <f>IFERROR(__xludf.DUMMYFUNCTION("GOOGLETRANSLATE(B5179, ""en"", ""fa"")
"),"املاک و مستغلات برای حرفه ای ها")</f>
        <v>املاک و مستغلات برای حرفه ای ها</v>
      </c>
      <c r="G5179" s="1" t="str">
        <f>IFERROR(__xludf.DUMMYFUNCTION("GOOGLETRANSLATE(C5179, ""en"", ""fa"")
"),"هنگام تعیین سطح مناسب قاطعیت و همکاری در یک مذاکره املاک و مستغلات که شامل معاملات بین‌المللی یا فرامرزی می‌شود، چه عوامل مهمی باید در نظر گرفته شود؟")</f>
        <v>هنگام تعیین سطح مناسب قاطعیت و همکاری در یک مذاکره املاک و مستغلات که شامل معاملات بین‌المللی یا فرامرزی می‌شود، چه عوامل مهمی باید در نظر گرفته شود؟</v>
      </c>
      <c r="H5179" s="1"/>
      <c r="I5179" s="1"/>
      <c r="J5179" s="1"/>
      <c r="K5179" s="1"/>
      <c r="L5179" s="1"/>
      <c r="M5179" s="1"/>
      <c r="N5179" s="1"/>
      <c r="O5179" s="1"/>
      <c r="P5179" s="1"/>
      <c r="Q5179" s="1"/>
      <c r="R5179" s="1"/>
      <c r="S5179" s="1"/>
      <c r="T5179" s="1"/>
      <c r="U5179" s="1"/>
      <c r="V5179" s="1"/>
      <c r="W5179" s="1"/>
      <c r="X5179" s="1"/>
      <c r="Y5179" s="1"/>
      <c r="Z5179" s="1"/>
      <c r="AA5179" s="1"/>
      <c r="AB5179" s="1"/>
    </row>
    <row r="5180" ht="50.25" customHeight="1">
      <c r="A5180" s="12">
        <v>5176.0</v>
      </c>
      <c r="B5180" s="13" t="s">
        <v>5027</v>
      </c>
      <c r="C5180" s="18" t="s">
        <v>5200</v>
      </c>
      <c r="D5180" s="1"/>
      <c r="E5180" s="1"/>
      <c r="F5180" s="1" t="str">
        <f>IFERROR(__xludf.DUMMYFUNCTION("GOOGLETRANSLATE(B5180, ""en"", ""fa"")
"),"املاک و مستغلات برای حرفه ای ها")</f>
        <v>املاک و مستغلات برای حرفه ای ها</v>
      </c>
      <c r="G5180" s="1" t="str">
        <f>IFERROR(__xludf.DUMMYFUNCTION("GOOGLETRANSLATE(C5180, ""en"", ""fa"")
"),"چگونه متخصصان املاک و مستغلات می توانند از تکنیک های مذاکره برای رسیدگی به نگرانی ها یا اعتراضات مربوط به تغییرات منطقه بندی املاک یا تاییدیه های توسعه استفاده کنند؟")</f>
        <v>چگونه متخصصان املاک و مستغلات می توانند از تکنیک های مذاکره برای رسیدگی به نگرانی ها یا اعتراضات مربوط به تغییرات منطقه بندی املاک یا تاییدیه های توسعه استفاده کنند؟</v>
      </c>
      <c r="H5180" s="1"/>
      <c r="I5180" s="1"/>
      <c r="J5180" s="1"/>
      <c r="K5180" s="1"/>
      <c r="L5180" s="1"/>
      <c r="M5180" s="1"/>
      <c r="N5180" s="1"/>
      <c r="O5180" s="1"/>
      <c r="P5180" s="1"/>
      <c r="Q5180" s="1"/>
      <c r="R5180" s="1"/>
      <c r="S5180" s="1"/>
      <c r="T5180" s="1"/>
      <c r="U5180" s="1"/>
      <c r="V5180" s="1"/>
      <c r="W5180" s="1"/>
      <c r="X5180" s="1"/>
      <c r="Y5180" s="1"/>
      <c r="Z5180" s="1"/>
      <c r="AA5180" s="1"/>
      <c r="AB5180" s="1"/>
    </row>
    <row r="5181" ht="50.25" customHeight="1">
      <c r="A5181" s="12">
        <v>5177.0</v>
      </c>
      <c r="B5181" s="13" t="s">
        <v>5027</v>
      </c>
      <c r="C5181" s="18" t="s">
        <v>5201</v>
      </c>
      <c r="D5181" s="1"/>
      <c r="E5181" s="1"/>
      <c r="F5181" s="1" t="str">
        <f>IFERROR(__xludf.DUMMYFUNCTION("GOOGLETRANSLATE(B5181, ""en"", ""fa"")
"),"املاک و مستغلات برای حرفه ای ها")</f>
        <v>املاک و مستغلات برای حرفه ای ها</v>
      </c>
      <c r="G5181" s="1" t="str">
        <f>IFERROR(__xludf.DUMMYFUNCTION("GOOGLETRANSLATE(C5181, ""en"", ""fa"")
"),"بهترین شیوه‌ها برای مدیریت ضرب‌الاجل‌های مذاکره و موارد احتمالی در معاملات املاک و مستغلات مربوط به املاک یا مزایده‌های مضطرب چیست؟")</f>
        <v>بهترین شیوه‌ها برای مدیریت ضرب‌الاجل‌های مذاکره و موارد احتمالی در معاملات املاک و مستغلات مربوط به املاک یا مزایده‌های مضطرب چیست؟</v>
      </c>
      <c r="H5181" s="1"/>
      <c r="I5181" s="1"/>
      <c r="J5181" s="1"/>
      <c r="K5181" s="1"/>
      <c r="L5181" s="1"/>
      <c r="M5181" s="1"/>
      <c r="N5181" s="1"/>
      <c r="O5181" s="1"/>
      <c r="P5181" s="1"/>
      <c r="Q5181" s="1"/>
      <c r="R5181" s="1"/>
      <c r="S5181" s="1"/>
      <c r="T5181" s="1"/>
      <c r="U5181" s="1"/>
      <c r="V5181" s="1"/>
      <c r="W5181" s="1"/>
      <c r="X5181" s="1"/>
      <c r="Y5181" s="1"/>
      <c r="Z5181" s="1"/>
      <c r="AA5181" s="1"/>
      <c r="AB5181" s="1"/>
    </row>
    <row r="5182" ht="50.25" customHeight="1">
      <c r="A5182" s="12">
        <v>5178.0</v>
      </c>
      <c r="B5182" s="13" t="s">
        <v>5027</v>
      </c>
      <c r="C5182" s="18" t="s">
        <v>5202</v>
      </c>
      <c r="D5182" s="1"/>
      <c r="E5182" s="1"/>
      <c r="F5182" s="1" t="str">
        <f>IFERROR(__xludf.DUMMYFUNCTION("GOOGLETRANSLATE(B5182, ""en"", ""fa"")
"),"املاک و مستغلات برای حرفه ای ها")</f>
        <v>املاک و مستغلات برای حرفه ای ها</v>
      </c>
      <c r="G5182" s="1" t="str">
        <f>IFERROR(__xludf.DUMMYFUNCTION("GOOGLETRANSLATE(C5182, ""en"", ""fa"")
"),"چگونه متخصصان املاک و مستغلات می توانند به طور موثر در مورد شرایط قرارداد و موارد احتمالی برای محافظت از منافع مشتریان خود در مبادلات 1031 یا معاملات معوق مالیاتی مذاکره کنند؟")</f>
        <v>چگونه متخصصان املاک و مستغلات می توانند به طور موثر در مورد شرایط قرارداد و موارد احتمالی برای محافظت از منافع مشتریان خود در مبادلات 1031 یا معاملات معوق مالیاتی مذاکره کنند؟</v>
      </c>
      <c r="H5182" s="1"/>
      <c r="I5182" s="1"/>
      <c r="J5182" s="1"/>
      <c r="K5182" s="1"/>
      <c r="L5182" s="1"/>
      <c r="M5182" s="1"/>
      <c r="N5182" s="1"/>
      <c r="O5182" s="1"/>
      <c r="P5182" s="1"/>
      <c r="Q5182" s="1"/>
      <c r="R5182" s="1"/>
      <c r="S5182" s="1"/>
      <c r="T5182" s="1"/>
      <c r="U5182" s="1"/>
      <c r="V5182" s="1"/>
      <c r="W5182" s="1"/>
      <c r="X5182" s="1"/>
      <c r="Y5182" s="1"/>
      <c r="Z5182" s="1"/>
      <c r="AA5182" s="1"/>
      <c r="AB5182" s="1"/>
    </row>
    <row r="5183" ht="50.25" customHeight="1">
      <c r="A5183" s="12">
        <v>5179.0</v>
      </c>
      <c r="B5183" s="13" t="s">
        <v>5027</v>
      </c>
      <c r="C5183" s="18" t="s">
        <v>5203</v>
      </c>
      <c r="D5183" s="1"/>
      <c r="E5183" s="1"/>
      <c r="F5183" s="1" t="str">
        <f>IFERROR(__xludf.DUMMYFUNCTION("GOOGLETRANSLATE(B5183, ""en"", ""fa"")
"),"املاک و مستغلات برای حرفه ای ها")</f>
        <v>املاک و مستغلات برای حرفه ای ها</v>
      </c>
      <c r="G5183" s="1" t="str">
        <f>IFERROR(__xludf.DUMMYFUNCTION("GOOGLETRANSLATE(C5183, ""en"", ""fa"")
"),"استراتژی‌های کلیدی برای استفاده از تاکتیک‌های مذاکره برای رسیدگی به چالش‌ها یا محدودیت‌های تامین مالی در معاملات املاک لوکس یا گران‌قیمت چیست؟")</f>
        <v>استراتژی‌های کلیدی برای استفاده از تاکتیک‌های مذاکره برای رسیدگی به چالش‌ها یا محدودیت‌های تامین مالی در معاملات املاک لوکس یا گران‌قیمت چیست؟</v>
      </c>
      <c r="H5183" s="1"/>
      <c r="I5183" s="1"/>
      <c r="J5183" s="1"/>
      <c r="K5183" s="1"/>
      <c r="L5183" s="1"/>
      <c r="M5183" s="1"/>
      <c r="N5183" s="1"/>
      <c r="O5183" s="1"/>
      <c r="P5183" s="1"/>
      <c r="Q5183" s="1"/>
      <c r="R5183" s="1"/>
      <c r="S5183" s="1"/>
      <c r="T5183" s="1"/>
      <c r="U5183" s="1"/>
      <c r="V5183" s="1"/>
      <c r="W5183" s="1"/>
      <c r="X5183" s="1"/>
      <c r="Y5183" s="1"/>
      <c r="Z5183" s="1"/>
      <c r="AA5183" s="1"/>
      <c r="AB5183" s="1"/>
    </row>
    <row r="5184" ht="50.25" customHeight="1">
      <c r="A5184" s="12">
        <v>5180.0</v>
      </c>
      <c r="B5184" s="13" t="s">
        <v>5027</v>
      </c>
      <c r="C5184" s="18" t="s">
        <v>5204</v>
      </c>
      <c r="D5184" s="1"/>
      <c r="E5184" s="1"/>
      <c r="F5184" s="1" t="str">
        <f>IFERROR(__xludf.DUMMYFUNCTION("GOOGLETRANSLATE(B5184, ""en"", ""fa"")
"),"املاک و مستغلات برای حرفه ای ها")</f>
        <v>املاک و مستغلات برای حرفه ای ها</v>
      </c>
      <c r="G5184" s="1" t="str">
        <f>IFERROR(__xludf.DUMMYFUNCTION("GOOGLETRANSLATE(C5184, ""en"", ""fa"")
"),"چگونه متخصصان املاک و مستغلات می توانند شرایط و ضوابط اجاره املاک صنعتی یا انباری را مدیریت و مذاکره کنند؟")</f>
        <v>چگونه متخصصان املاک و مستغلات می توانند شرایط و ضوابط اجاره املاک صنعتی یا انباری را مدیریت و مذاکره کنند؟</v>
      </c>
      <c r="H5184" s="1"/>
      <c r="I5184" s="1"/>
      <c r="J5184" s="1"/>
      <c r="K5184" s="1"/>
      <c r="L5184" s="1"/>
      <c r="M5184" s="1"/>
      <c r="N5184" s="1"/>
      <c r="O5184" s="1"/>
      <c r="P5184" s="1"/>
      <c r="Q5184" s="1"/>
      <c r="R5184" s="1"/>
      <c r="S5184" s="1"/>
      <c r="T5184" s="1"/>
      <c r="U5184" s="1"/>
      <c r="V5184" s="1"/>
      <c r="W5184" s="1"/>
      <c r="X5184" s="1"/>
      <c r="Y5184" s="1"/>
      <c r="Z5184" s="1"/>
      <c r="AA5184" s="1"/>
      <c r="AB5184" s="1"/>
    </row>
    <row r="5185" ht="50.25" customHeight="1">
      <c r="A5185" s="12">
        <v>5181.0</v>
      </c>
      <c r="B5185" s="13" t="s">
        <v>5027</v>
      </c>
      <c r="C5185" s="18" t="s">
        <v>5205</v>
      </c>
      <c r="D5185" s="1"/>
      <c r="E5185" s="1"/>
      <c r="F5185" s="1" t="str">
        <f>IFERROR(__xludf.DUMMYFUNCTION("GOOGLETRANSLATE(B5185, ""en"", ""fa"")
"),"املاک و مستغلات برای حرفه ای ها")</f>
        <v>املاک و مستغلات برای حرفه ای ها</v>
      </c>
      <c r="G5185" s="1" t="str">
        <f>IFERROR(__xludf.DUMMYFUNCTION("GOOGLETRANSLATE(C5185, ""en"", ""fa"")
"),"هنگام تعیین سطح مناسب سازش و همکاری در یک مذاکره املاک و مستغلات که شامل جابجایی یا مشتریان شرکتی است، چه عوامل مهمی باید در نظر گرفته شود؟")</f>
        <v>هنگام تعیین سطح مناسب سازش و همکاری در یک مذاکره املاک و مستغلات که شامل جابجایی یا مشتریان شرکتی است، چه عوامل مهمی باید در نظر گرفته شود؟</v>
      </c>
      <c r="H5185" s="1"/>
      <c r="I5185" s="1"/>
      <c r="J5185" s="1"/>
      <c r="K5185" s="1"/>
      <c r="L5185" s="1"/>
      <c r="M5185" s="1"/>
      <c r="N5185" s="1"/>
      <c r="O5185" s="1"/>
      <c r="P5185" s="1"/>
      <c r="Q5185" s="1"/>
      <c r="R5185" s="1"/>
      <c r="S5185" s="1"/>
      <c r="T5185" s="1"/>
      <c r="U5185" s="1"/>
      <c r="V5185" s="1"/>
      <c r="W5185" s="1"/>
      <c r="X5185" s="1"/>
      <c r="Y5185" s="1"/>
      <c r="Z5185" s="1"/>
      <c r="AA5185" s="1"/>
      <c r="AB5185" s="1"/>
    </row>
    <row r="5186" ht="50.25" customHeight="1">
      <c r="A5186" s="12">
        <v>5182.0</v>
      </c>
      <c r="B5186" s="13" t="s">
        <v>5027</v>
      </c>
      <c r="C5186" s="18" t="s">
        <v>5206</v>
      </c>
      <c r="D5186" s="1"/>
      <c r="E5186" s="1"/>
      <c r="F5186" s="1" t="str">
        <f>IFERROR(__xludf.DUMMYFUNCTION("GOOGLETRANSLATE(B5186, ""en"", ""fa"")
"),"املاک و مستغلات برای حرفه ای ها")</f>
        <v>املاک و مستغلات برای حرفه ای ها</v>
      </c>
      <c r="G5186" s="1" t="str">
        <f>IFERROR(__xludf.DUMMYFUNCTION("GOOGLETRANSLATE(C5186, ""en"", ""fa"")
"),"چگونه متخصصان املاک و مستغلات می توانند از تکنیک های مذاکره برای رسیدگی به نگرانی ها یا اعتراضات مربوط به حفظ تاریخی املاک، حفاظت، یا دستورالعمل های معماری استفاده کنند؟")</f>
        <v>چگونه متخصصان املاک و مستغلات می توانند از تکنیک های مذاکره برای رسیدگی به نگرانی ها یا اعتراضات مربوط به حفظ تاریخی املاک، حفاظت، یا دستورالعمل های معماری استفاده کنند؟</v>
      </c>
      <c r="H5186" s="1"/>
      <c r="I5186" s="1"/>
      <c r="J5186" s="1"/>
      <c r="K5186" s="1"/>
      <c r="L5186" s="1"/>
      <c r="M5186" s="1"/>
      <c r="N5186" s="1"/>
      <c r="O5186" s="1"/>
      <c r="P5186" s="1"/>
      <c r="Q5186" s="1"/>
      <c r="R5186" s="1"/>
      <c r="S5186" s="1"/>
      <c r="T5186" s="1"/>
      <c r="U5186" s="1"/>
      <c r="V5186" s="1"/>
      <c r="W5186" s="1"/>
      <c r="X5186" s="1"/>
      <c r="Y5186" s="1"/>
      <c r="Z5186" s="1"/>
      <c r="AA5186" s="1"/>
      <c r="AB5186" s="1"/>
    </row>
    <row r="5187" ht="50.25" customHeight="1">
      <c r="A5187" s="12">
        <v>5183.0</v>
      </c>
      <c r="B5187" s="13" t="s">
        <v>5027</v>
      </c>
      <c r="C5187" s="18" t="s">
        <v>5207</v>
      </c>
      <c r="D5187" s="1"/>
      <c r="E5187" s="1"/>
      <c r="F5187" s="1" t="str">
        <f>IFERROR(__xludf.DUMMYFUNCTION("GOOGLETRANSLATE(B5187, ""en"", ""fa"")
"),"املاک و مستغلات برای حرفه ای ها")</f>
        <v>املاک و مستغلات برای حرفه ای ها</v>
      </c>
      <c r="G5187" s="1" t="str">
        <f>IFERROR(__xludf.DUMMYFUNCTION("GOOGLETRANSLATE(C5187, ""en"", ""fa"")
"),"بهترین شیوه‌ها برای مدیریت انتظارات مذاکره و حفظ حرفه‌ای بودن در هنگام نمایندگی مشتریان در مناقشات بسیار عاطفی یا مشاجره‌آمیز املاک چیست؟")</f>
        <v>بهترین شیوه‌ها برای مدیریت انتظارات مذاکره و حفظ حرفه‌ای بودن در هنگام نمایندگی مشتریان در مناقشات بسیار عاطفی یا مشاجره‌آمیز املاک چیست؟</v>
      </c>
      <c r="H5187" s="1"/>
      <c r="I5187" s="1"/>
      <c r="J5187" s="1"/>
      <c r="K5187" s="1"/>
      <c r="L5187" s="1"/>
      <c r="M5187" s="1"/>
      <c r="N5187" s="1"/>
      <c r="O5187" s="1"/>
      <c r="P5187" s="1"/>
      <c r="Q5187" s="1"/>
      <c r="R5187" s="1"/>
      <c r="S5187" s="1"/>
      <c r="T5187" s="1"/>
      <c r="U5187" s="1"/>
      <c r="V5187" s="1"/>
      <c r="W5187" s="1"/>
      <c r="X5187" s="1"/>
      <c r="Y5187" s="1"/>
      <c r="Z5187" s="1"/>
      <c r="AA5187" s="1"/>
      <c r="AB5187" s="1"/>
    </row>
    <row r="5188" ht="50.25" customHeight="1">
      <c r="A5188" s="12">
        <v>5184.0</v>
      </c>
      <c r="B5188" s="13" t="s">
        <v>5027</v>
      </c>
      <c r="C5188" s="18" t="s">
        <v>5208</v>
      </c>
      <c r="D5188" s="1"/>
      <c r="E5188" s="1"/>
      <c r="F5188" s="1" t="str">
        <f>IFERROR(__xludf.DUMMYFUNCTION("GOOGLETRANSLATE(B5188, ""en"", ""fa"")
"),"املاک و مستغلات برای حرفه ای ها")</f>
        <v>املاک و مستغلات برای حرفه ای ها</v>
      </c>
      <c r="G5188" s="1" t="str">
        <f>IFERROR(__xludf.DUMMYFUNCTION("GOOGLETRANSLATE(C5188, ""en"", ""fa"")
"),"چگونه متخصصان املاک و مستغلات می توانند به طور موثر در مورد شرایط و ضوابط مطلوب در قراردادهای خرید برای تعطیلات یا خانه دوم مذاکره کنند؟")</f>
        <v>چگونه متخصصان املاک و مستغلات می توانند به طور موثر در مورد شرایط و ضوابط مطلوب در قراردادهای خرید برای تعطیلات یا خانه دوم مذاکره کنند؟</v>
      </c>
      <c r="H5188" s="1"/>
      <c r="I5188" s="1"/>
      <c r="J5188" s="1"/>
      <c r="K5188" s="1"/>
      <c r="L5188" s="1"/>
      <c r="M5188" s="1"/>
      <c r="N5188" s="1"/>
      <c r="O5188" s="1"/>
      <c r="P5188" s="1"/>
      <c r="Q5188" s="1"/>
      <c r="R5188" s="1"/>
      <c r="S5188" s="1"/>
      <c r="T5188" s="1"/>
      <c r="U5188" s="1"/>
      <c r="V5188" s="1"/>
      <c r="W5188" s="1"/>
      <c r="X5188" s="1"/>
      <c r="Y5188" s="1"/>
      <c r="Z5188" s="1"/>
      <c r="AA5188" s="1"/>
      <c r="AB5188" s="1"/>
    </row>
    <row r="5189" ht="50.25" customHeight="1">
      <c r="A5189" s="12">
        <v>5185.0</v>
      </c>
      <c r="B5189" s="13" t="s">
        <v>5027</v>
      </c>
      <c r="C5189" s="18" t="s">
        <v>5209</v>
      </c>
      <c r="D5189" s="1"/>
      <c r="E5189" s="1"/>
      <c r="F5189" s="1" t="str">
        <f>IFERROR(__xludf.DUMMYFUNCTION("GOOGLETRANSLATE(B5189, ""en"", ""fa"")
"),"املاک و مستغلات برای حرفه ای ها")</f>
        <v>املاک و مستغلات برای حرفه ای ها</v>
      </c>
      <c r="G5189" s="1" t="str">
        <f>IFERROR(__xludf.DUMMYFUNCTION("GOOGLETRANSLATE(C5189, ""en"", ""fa"")
"),"استراتژی‌های کلیدی برای استفاده از تاکتیک‌های مذاکره برای رسیدگی به مسائل مربوط به حقوق معدنی مالکیت، حقوق آب، یا اجاره منابع طبیعی در معاملات املاک چیست؟")</f>
        <v>استراتژی‌های کلیدی برای استفاده از تاکتیک‌های مذاکره برای رسیدگی به مسائل مربوط به حقوق معدنی مالکیت، حقوق آب، یا اجاره منابع طبیعی در معاملات املاک چیست؟</v>
      </c>
      <c r="H5189" s="1"/>
      <c r="I5189" s="1"/>
      <c r="J5189" s="1"/>
      <c r="K5189" s="1"/>
      <c r="L5189" s="1"/>
      <c r="M5189" s="1"/>
      <c r="N5189" s="1"/>
      <c r="O5189" s="1"/>
      <c r="P5189" s="1"/>
      <c r="Q5189" s="1"/>
      <c r="R5189" s="1"/>
      <c r="S5189" s="1"/>
      <c r="T5189" s="1"/>
      <c r="U5189" s="1"/>
      <c r="V5189" s="1"/>
      <c r="W5189" s="1"/>
      <c r="X5189" s="1"/>
      <c r="Y5189" s="1"/>
      <c r="Z5189" s="1"/>
      <c r="AA5189" s="1"/>
      <c r="AB5189" s="1"/>
    </row>
    <row r="5190" ht="50.25" customHeight="1">
      <c r="A5190" s="12">
        <v>5186.0</v>
      </c>
      <c r="B5190" s="13" t="s">
        <v>5027</v>
      </c>
      <c r="C5190" s="18" t="s">
        <v>5210</v>
      </c>
      <c r="D5190" s="1"/>
      <c r="E5190" s="1"/>
      <c r="F5190" s="1" t="str">
        <f>IFERROR(__xludf.DUMMYFUNCTION("GOOGLETRANSLATE(B5190, ""en"", ""fa"")
"),"املاک و مستغلات برای حرفه ای ها")</f>
        <v>املاک و مستغلات برای حرفه ای ها</v>
      </c>
      <c r="G5190" s="1" t="str">
        <f>IFERROR(__xludf.DUMMYFUNCTION("GOOGLETRANSLATE(C5190, ""en"", ""fa"")
"),"چگونه متخصصان املاک و مستغلات می توانند مذاکرات قیمت را در هنگام نمایندگی توسعه دهندگان یا مالکان در خرید یا تقسیم زمین در مقیاس بزرگ انجام دهند و مذاکره کنند؟")</f>
        <v>چگونه متخصصان املاک و مستغلات می توانند مذاکرات قیمت را در هنگام نمایندگی توسعه دهندگان یا مالکان در خرید یا تقسیم زمین در مقیاس بزرگ انجام دهند و مذاکره کنند؟</v>
      </c>
      <c r="H5190" s="1"/>
      <c r="I5190" s="1"/>
      <c r="J5190" s="1"/>
      <c r="K5190" s="1"/>
      <c r="L5190" s="1"/>
      <c r="M5190" s="1"/>
      <c r="N5190" s="1"/>
      <c r="O5190" s="1"/>
      <c r="P5190" s="1"/>
      <c r="Q5190" s="1"/>
      <c r="R5190" s="1"/>
      <c r="S5190" s="1"/>
      <c r="T5190" s="1"/>
      <c r="U5190" s="1"/>
      <c r="V5190" s="1"/>
      <c r="W5190" s="1"/>
      <c r="X5190" s="1"/>
      <c r="Y5190" s="1"/>
      <c r="Z5190" s="1"/>
      <c r="AA5190" s="1"/>
      <c r="AB5190" s="1"/>
    </row>
    <row r="5191" ht="50.25" customHeight="1">
      <c r="A5191" s="12">
        <v>5187.0</v>
      </c>
      <c r="B5191" s="13" t="s">
        <v>5027</v>
      </c>
      <c r="C5191" s="18" t="s">
        <v>5211</v>
      </c>
      <c r="D5191" s="1"/>
      <c r="E5191" s="1"/>
      <c r="F5191" s="1" t="str">
        <f>IFERROR(__xludf.DUMMYFUNCTION("GOOGLETRANSLATE(B5191, ""en"", ""fa"")
"),"املاک و مستغلات برای حرفه ای ها")</f>
        <v>املاک و مستغلات برای حرفه ای ها</v>
      </c>
      <c r="G5191" s="1" t="str">
        <f>IFERROR(__xludf.DUMMYFUNCTION("GOOGLETRANSLATE(C5191, ""en"", ""fa"")
"),"هنگام تعیین سطح مناسب قاطعیت و همکاری در مذاکرات املاک و مستغلات که شامل املاک تاریخی یا شاخص است، چه عواملی حیاتی باید در نظر گرفته شود؟")</f>
        <v>هنگام تعیین سطح مناسب قاطعیت و همکاری در مذاکرات املاک و مستغلات که شامل املاک تاریخی یا شاخص است، چه عواملی حیاتی باید در نظر گرفته شود؟</v>
      </c>
      <c r="H5191" s="1"/>
      <c r="I5191" s="1"/>
      <c r="J5191" s="1"/>
      <c r="K5191" s="1"/>
      <c r="L5191" s="1"/>
      <c r="M5191" s="1"/>
      <c r="N5191" s="1"/>
      <c r="O5191" s="1"/>
      <c r="P5191" s="1"/>
      <c r="Q5191" s="1"/>
      <c r="R5191" s="1"/>
      <c r="S5191" s="1"/>
      <c r="T5191" s="1"/>
      <c r="U5191" s="1"/>
      <c r="V5191" s="1"/>
      <c r="W5191" s="1"/>
      <c r="X5191" s="1"/>
      <c r="Y5191" s="1"/>
      <c r="Z5191" s="1"/>
      <c r="AA5191" s="1"/>
      <c r="AB5191" s="1"/>
    </row>
    <row r="5192" ht="50.25" customHeight="1">
      <c r="A5192" s="12">
        <v>5188.0</v>
      </c>
      <c r="B5192" s="13" t="s">
        <v>5027</v>
      </c>
      <c r="C5192" s="18" t="s">
        <v>5212</v>
      </c>
      <c r="D5192" s="1"/>
      <c r="E5192" s="1"/>
      <c r="F5192" s="1" t="str">
        <f>IFERROR(__xludf.DUMMYFUNCTION("GOOGLETRANSLATE(B5192, ""en"", ""fa"")
"),"املاک و مستغلات برای حرفه ای ها")</f>
        <v>املاک و مستغلات برای حرفه ای ها</v>
      </c>
      <c r="G5192" s="1" t="str">
        <f>IFERROR(__xludf.DUMMYFUNCTION("GOOGLETRANSLATE(C5192, ""en"", ""fa"")
"),"هنگام ارزیابی گزینه های مختلف تامین مالی برای سرمایه گذاری در املاک و مستغلات، چه عوامل کلیدی باید در نظر گرفته شود؟")</f>
        <v>هنگام ارزیابی گزینه های مختلف تامین مالی برای سرمایه گذاری در املاک و مستغلات، چه عوامل کلیدی باید در نظر گرفته شود؟</v>
      </c>
      <c r="H5192" s="1"/>
      <c r="I5192" s="1"/>
      <c r="J5192" s="1"/>
      <c r="K5192" s="1"/>
      <c r="L5192" s="1"/>
      <c r="M5192" s="1"/>
      <c r="N5192" s="1"/>
      <c r="O5192" s="1"/>
      <c r="P5192" s="1"/>
      <c r="Q5192" s="1"/>
      <c r="R5192" s="1"/>
      <c r="S5192" s="1"/>
      <c r="T5192" s="1"/>
      <c r="U5192" s="1"/>
      <c r="V5192" s="1"/>
      <c r="W5192" s="1"/>
      <c r="X5192" s="1"/>
      <c r="Y5192" s="1"/>
      <c r="Z5192" s="1"/>
      <c r="AA5192" s="1"/>
      <c r="AB5192" s="1"/>
    </row>
    <row r="5193" ht="50.25" customHeight="1">
      <c r="A5193" s="12">
        <v>5189.0</v>
      </c>
      <c r="B5193" s="13" t="s">
        <v>5027</v>
      </c>
      <c r="C5193" s="18" t="s">
        <v>5213</v>
      </c>
      <c r="D5193" s="1"/>
      <c r="E5193" s="1"/>
      <c r="F5193" s="1" t="str">
        <f>IFERROR(__xludf.DUMMYFUNCTION("GOOGLETRANSLATE(B5193, ""en"", ""fa"")
"),"املاک و مستغلات برای حرفه ای ها")</f>
        <v>املاک و مستغلات برای حرفه ای ها</v>
      </c>
      <c r="G5193" s="1" t="str">
        <f>IFERROR(__xludf.DUMMYFUNCTION("GOOGLETRANSLATE(C5193, ""en"", ""fa"")
"),"چگونه متخصصان املاک و مستغلات می توانند برنامه ها یا مشوق های تامین مالی موجود برای انواع خاصی از املاک، مانند مسکن مقرون به صرفه یا ساختمان های کم مصرف را شناسایی و از آنها استفاده کنند؟")</f>
        <v>چگونه متخصصان املاک و مستغلات می توانند برنامه ها یا مشوق های تامین مالی موجود برای انواع خاصی از املاک، مانند مسکن مقرون به صرفه یا ساختمان های کم مصرف را شناسایی و از آنها استفاده کنند؟</v>
      </c>
      <c r="H5193" s="1"/>
      <c r="I5193" s="1"/>
      <c r="J5193" s="1"/>
      <c r="K5193" s="1"/>
      <c r="L5193" s="1"/>
      <c r="M5193" s="1"/>
      <c r="N5193" s="1"/>
      <c r="O5193" s="1"/>
      <c r="P5193" s="1"/>
      <c r="Q5193" s="1"/>
      <c r="R5193" s="1"/>
      <c r="S5193" s="1"/>
      <c r="T5193" s="1"/>
      <c r="U5193" s="1"/>
      <c r="V5193" s="1"/>
      <c r="W5193" s="1"/>
      <c r="X5193" s="1"/>
      <c r="Y5193" s="1"/>
      <c r="Z5193" s="1"/>
      <c r="AA5193" s="1"/>
      <c r="AB5193" s="1"/>
    </row>
    <row r="5194" ht="50.25" customHeight="1">
      <c r="A5194" s="12">
        <v>5190.0</v>
      </c>
      <c r="B5194" s="13" t="s">
        <v>5027</v>
      </c>
      <c r="C5194" s="18" t="s">
        <v>5214</v>
      </c>
      <c r="D5194" s="1"/>
      <c r="E5194" s="1"/>
      <c r="F5194" s="1" t="str">
        <f>IFERROR(__xludf.DUMMYFUNCTION("GOOGLETRANSLATE(B5194, ""en"", ""fa"")
"),"املاک و مستغلات برای حرفه ای ها")</f>
        <v>املاک و مستغلات برای حرفه ای ها</v>
      </c>
      <c r="G5194" s="1" t="str">
        <f>IFERROR(__xludf.DUMMYFUNCTION("GOOGLETRANSLATE(C5194, ""en"", ""fa"")
"),"هنگام انجام یک تحلیل کامل از قابلیت مالی و بازده بالقوه یک فرصت سرمایه گذاری در املاک و مستغلات، چه گام های اساسی باید برداشته شود؟")</f>
        <v>هنگام انجام یک تحلیل کامل از قابلیت مالی و بازده بالقوه یک فرصت سرمایه گذاری در املاک و مستغلات، چه گام های اساسی باید برداشته شود؟</v>
      </c>
      <c r="H5194" s="1"/>
      <c r="I5194" s="1"/>
      <c r="J5194" s="1"/>
      <c r="K5194" s="1"/>
      <c r="L5194" s="1"/>
      <c r="M5194" s="1"/>
      <c r="N5194" s="1"/>
      <c r="O5194" s="1"/>
      <c r="P5194" s="1"/>
      <c r="Q5194" s="1"/>
      <c r="R5194" s="1"/>
      <c r="S5194" s="1"/>
      <c r="T5194" s="1"/>
      <c r="U5194" s="1"/>
      <c r="V5194" s="1"/>
      <c r="W5194" s="1"/>
      <c r="X5194" s="1"/>
      <c r="Y5194" s="1"/>
      <c r="Z5194" s="1"/>
      <c r="AA5194" s="1"/>
      <c r="AB5194" s="1"/>
    </row>
    <row r="5195" ht="50.25" customHeight="1">
      <c r="A5195" s="12">
        <v>5191.0</v>
      </c>
      <c r="B5195" s="13" t="s">
        <v>5027</v>
      </c>
      <c r="C5195" s="18" t="s">
        <v>5215</v>
      </c>
      <c r="D5195" s="1"/>
      <c r="E5195" s="1"/>
      <c r="F5195" s="1" t="str">
        <f>IFERROR(__xludf.DUMMYFUNCTION("GOOGLETRANSLATE(B5195, ""en"", ""fa"")
"),"املاک و مستغلات برای حرفه ای ها")</f>
        <v>املاک و مستغلات برای حرفه ای ها</v>
      </c>
      <c r="G5195" s="1" t="str">
        <f>IFERROR(__xludf.DUMMYFUNCTION("GOOGLETRANSLATE(C5195, ""en"", ""fa"")
"),"چگونه متخصصان املاک و مستغلات می توانند به طور موثر یک معامله را برای جذب سرمایه گذاران و تامین مالی برای یک پروژه املاک در مقیاس بزرگتر ساختار دهند؟")</f>
        <v>چگونه متخصصان املاک و مستغلات می توانند به طور موثر یک معامله را برای جذب سرمایه گذاران و تامین مالی برای یک پروژه املاک در مقیاس بزرگتر ساختار دهند؟</v>
      </c>
      <c r="H5195" s="1"/>
      <c r="I5195" s="1"/>
      <c r="J5195" s="1"/>
      <c r="K5195" s="1"/>
      <c r="L5195" s="1"/>
      <c r="M5195" s="1"/>
      <c r="N5195" s="1"/>
      <c r="O5195" s="1"/>
      <c r="P5195" s="1"/>
      <c r="Q5195" s="1"/>
      <c r="R5195" s="1"/>
      <c r="S5195" s="1"/>
      <c r="T5195" s="1"/>
      <c r="U5195" s="1"/>
      <c r="V5195" s="1"/>
      <c r="W5195" s="1"/>
      <c r="X5195" s="1"/>
      <c r="Y5195" s="1"/>
      <c r="Z5195" s="1"/>
      <c r="AA5195" s="1"/>
      <c r="AB5195" s="1"/>
    </row>
    <row r="5196" ht="50.25" customHeight="1">
      <c r="A5196" s="12">
        <v>5192.0</v>
      </c>
      <c r="B5196" s="13" t="s">
        <v>5027</v>
      </c>
      <c r="C5196" s="18" t="s">
        <v>5216</v>
      </c>
      <c r="D5196" s="1"/>
      <c r="E5196" s="1"/>
      <c r="F5196" s="1" t="str">
        <f>IFERROR(__xludf.DUMMYFUNCTION("GOOGLETRANSLATE(B5196, ""en"", ""fa"")
"),"املاک و مستغلات برای حرفه ای ها")</f>
        <v>املاک و مستغلات برای حرفه ای ها</v>
      </c>
      <c r="G5196" s="1" t="str">
        <f>IFERROR(__xludf.DUMMYFUNCTION("GOOGLETRANSLATE(C5196, ""en"", ""fa"")
"),"بهترین شیوه ها برای مدیریت و به حداقل رساندن ریسک های مرتبط با تامین مالی املاک، مانند نوسانات نرخ بهره یا تغییرات در شرایط بازار چیست؟")</f>
        <v>بهترین شیوه ها برای مدیریت و به حداقل رساندن ریسک های مرتبط با تامین مالی املاک، مانند نوسانات نرخ بهره یا تغییرات در شرایط بازار چیست؟</v>
      </c>
      <c r="H5196" s="1"/>
      <c r="I5196" s="1"/>
      <c r="J5196" s="1"/>
      <c r="K5196" s="1"/>
      <c r="L5196" s="1"/>
      <c r="M5196" s="1"/>
      <c r="N5196" s="1"/>
      <c r="O5196" s="1"/>
      <c r="P5196" s="1"/>
      <c r="Q5196" s="1"/>
      <c r="R5196" s="1"/>
      <c r="S5196" s="1"/>
      <c r="T5196" s="1"/>
      <c r="U5196" s="1"/>
      <c r="V5196" s="1"/>
      <c r="W5196" s="1"/>
      <c r="X5196" s="1"/>
      <c r="Y5196" s="1"/>
      <c r="Z5196" s="1"/>
      <c r="AA5196" s="1"/>
      <c r="AB5196" s="1"/>
    </row>
    <row r="5197" ht="50.25" customHeight="1">
      <c r="A5197" s="12">
        <v>5193.0</v>
      </c>
      <c r="B5197" s="13" t="s">
        <v>5027</v>
      </c>
      <c r="C5197" s="18" t="s">
        <v>5217</v>
      </c>
      <c r="D5197" s="1"/>
      <c r="E5197" s="1"/>
      <c r="F5197" s="1" t="str">
        <f>IFERROR(__xludf.DUMMYFUNCTION("GOOGLETRANSLATE(B5197, ""en"", ""fa"")
"),"املاک و مستغلات برای حرفه ای ها")</f>
        <v>املاک و مستغلات برای حرفه ای ها</v>
      </c>
      <c r="G5197" s="1" t="str">
        <f>IFERROR(__xludf.DUMMYFUNCTION("GOOGLETRANSLATE(C5197, ""en"", ""fa"")
"),"چگونه متخصصان املاک و مستغلات می توانند از استراتژی های تامین مالی خلاقانه، مانند تامین مالی فروشنده یا گزینه های اجاره، برای تسهیل معاملات و گسترش فرصت های سرمایه گذاری استفاده کنند؟")</f>
        <v>چگونه متخصصان املاک و مستغلات می توانند از استراتژی های تامین مالی خلاقانه، مانند تامین مالی فروشنده یا گزینه های اجاره، برای تسهیل معاملات و گسترش فرصت های سرمایه گذاری استفاده کنند؟</v>
      </c>
      <c r="H5197" s="1"/>
      <c r="I5197" s="1"/>
      <c r="J5197" s="1"/>
      <c r="K5197" s="1"/>
      <c r="L5197" s="1"/>
      <c r="M5197" s="1"/>
      <c r="N5197" s="1"/>
      <c r="O5197" s="1"/>
      <c r="P5197" s="1"/>
      <c r="Q5197" s="1"/>
      <c r="R5197" s="1"/>
      <c r="S5197" s="1"/>
      <c r="T5197" s="1"/>
      <c r="U5197" s="1"/>
      <c r="V5197" s="1"/>
      <c r="W5197" s="1"/>
      <c r="X5197" s="1"/>
      <c r="Y5197" s="1"/>
      <c r="Z5197" s="1"/>
      <c r="AA5197" s="1"/>
      <c r="AB5197" s="1"/>
    </row>
    <row r="5198" ht="50.25" customHeight="1">
      <c r="A5198" s="12">
        <v>5194.0</v>
      </c>
      <c r="B5198" s="13" t="s">
        <v>5027</v>
      </c>
      <c r="C5198" s="18" t="s">
        <v>5218</v>
      </c>
      <c r="D5198" s="1"/>
      <c r="E5198" s="1"/>
      <c r="F5198" s="1" t="str">
        <f>IFERROR(__xludf.DUMMYFUNCTION("GOOGLETRANSLATE(B5198, ""en"", ""fa"")
"),"املاک و مستغلات برای حرفه ای ها")</f>
        <v>املاک و مستغلات برای حرفه ای ها</v>
      </c>
      <c r="G5198" s="1" t="str">
        <f>IFERROR(__xludf.DUMMYFUNCTION("GOOGLETRANSLATE(C5198, ""en"", ""fa"")
"),"ملاحظات کلیدی هنگام تعیین نسبت بهینه وام به ارزش (LTV) و نسبت بدهی به درآمد (DTI) برای سرمایه گذاری در املاک چیست؟")</f>
        <v>ملاحظات کلیدی هنگام تعیین نسبت بهینه وام به ارزش (LTV) و نسبت بدهی به درآمد (DTI) برای سرمایه گذاری در املاک چیست؟</v>
      </c>
      <c r="H5198" s="1"/>
      <c r="I5198" s="1"/>
      <c r="J5198" s="1"/>
      <c r="K5198" s="1"/>
      <c r="L5198" s="1"/>
      <c r="M5198" s="1"/>
      <c r="N5198" s="1"/>
      <c r="O5198" s="1"/>
      <c r="P5198" s="1"/>
      <c r="Q5198" s="1"/>
      <c r="R5198" s="1"/>
      <c r="S5198" s="1"/>
      <c r="T5198" s="1"/>
      <c r="U5198" s="1"/>
      <c r="V5198" s="1"/>
      <c r="W5198" s="1"/>
      <c r="X5198" s="1"/>
      <c r="Y5198" s="1"/>
      <c r="Z5198" s="1"/>
      <c r="AA5198" s="1"/>
      <c r="AB5198" s="1"/>
    </row>
    <row r="5199" ht="50.25" customHeight="1">
      <c r="A5199" s="12">
        <v>5195.0</v>
      </c>
      <c r="B5199" s="13" t="s">
        <v>5027</v>
      </c>
      <c r="C5199" s="18" t="s">
        <v>5219</v>
      </c>
      <c r="D5199" s="1"/>
      <c r="E5199" s="1"/>
      <c r="F5199" s="1" t="str">
        <f>IFERROR(__xludf.DUMMYFUNCTION("GOOGLETRANSLATE(B5199, ""en"", ""fa"")
"),"املاک و مستغلات برای حرفه ای ها")</f>
        <v>املاک و مستغلات برای حرفه ای ها</v>
      </c>
      <c r="G5199" s="1" t="str">
        <f>IFERROR(__xludf.DUMMYFUNCTION("GOOGLETRANSLATE(C5199, ""en"", ""fa"")
"),"چگونه متخصصان املاک و مستغلات می توانند به طور موثر در مورد شرایط وام مطلوب، نرخ بهره و برنامه بازپرداخت با وام دهندگان مذاکره کنند؟")</f>
        <v>چگونه متخصصان املاک و مستغلات می توانند به طور موثر در مورد شرایط وام مطلوب، نرخ بهره و برنامه بازپرداخت با وام دهندگان مذاکره کنند؟</v>
      </c>
      <c r="H5199" s="1"/>
      <c r="I5199" s="1"/>
      <c r="J5199" s="1"/>
      <c r="K5199" s="1"/>
      <c r="L5199" s="1"/>
      <c r="M5199" s="1"/>
      <c r="N5199" s="1"/>
      <c r="O5199" s="1"/>
      <c r="P5199" s="1"/>
      <c r="Q5199" s="1"/>
      <c r="R5199" s="1"/>
      <c r="S5199" s="1"/>
      <c r="T5199" s="1"/>
      <c r="U5199" s="1"/>
      <c r="V5199" s="1"/>
      <c r="W5199" s="1"/>
      <c r="X5199" s="1"/>
      <c r="Y5199" s="1"/>
      <c r="Z5199" s="1"/>
      <c r="AA5199" s="1"/>
      <c r="AB5199" s="1"/>
    </row>
    <row r="5200" ht="50.25" customHeight="1">
      <c r="A5200" s="12">
        <v>5196.0</v>
      </c>
      <c r="B5200" s="13" t="s">
        <v>5027</v>
      </c>
      <c r="C5200" s="18" t="s">
        <v>5220</v>
      </c>
      <c r="D5200" s="1"/>
      <c r="E5200" s="1"/>
      <c r="F5200" s="1" t="str">
        <f>IFERROR(__xludf.DUMMYFUNCTION("GOOGLETRANSLATE(B5200, ""en"", ""fa"")
"),"املاک و مستغلات برای حرفه ای ها")</f>
        <v>املاک و مستغلات برای حرفه ای ها</v>
      </c>
      <c r="G5200" s="1" t="str">
        <f>IFERROR(__xludf.DUMMYFUNCTION("GOOGLETRANSLATE(C5200, ""en"", ""fa"")
"),"هنگام ارزیابی تأثیر بالقوه هزینه‌های تأمین مالی، از جمله کارمزد اعطای وام، هزینه‌های بسته شدن، و پرداخت‌های بهره مداوم، بر سودآوری کلی سرمایه‌گذاری در املاک، چه عوامل مهمی باید در نظر گرفته شود؟")</f>
        <v>هنگام ارزیابی تأثیر بالقوه هزینه‌های تأمین مالی، از جمله کارمزد اعطای وام، هزینه‌های بسته شدن، و پرداخت‌های بهره مداوم، بر سودآوری کلی سرمایه‌گذاری در املاک، چه عوامل مهمی باید در نظر گرفته شود؟</v>
      </c>
      <c r="H5200" s="1"/>
      <c r="I5200" s="1"/>
      <c r="J5200" s="1"/>
      <c r="K5200" s="1"/>
      <c r="L5200" s="1"/>
      <c r="M5200" s="1"/>
      <c r="N5200" s="1"/>
      <c r="O5200" s="1"/>
      <c r="P5200" s="1"/>
      <c r="Q5200" s="1"/>
      <c r="R5200" s="1"/>
      <c r="S5200" s="1"/>
      <c r="T5200" s="1"/>
      <c r="U5200" s="1"/>
      <c r="V5200" s="1"/>
      <c r="W5200" s="1"/>
      <c r="X5200" s="1"/>
      <c r="Y5200" s="1"/>
      <c r="Z5200" s="1"/>
      <c r="AA5200" s="1"/>
      <c r="AB5200" s="1"/>
    </row>
    <row r="5201" ht="50.25" customHeight="1">
      <c r="A5201" s="12">
        <v>5197.0</v>
      </c>
      <c r="B5201" s="13" t="s">
        <v>5027</v>
      </c>
      <c r="C5201" s="18" t="s">
        <v>5221</v>
      </c>
      <c r="D5201" s="1"/>
      <c r="E5201" s="1"/>
      <c r="F5201" s="1" t="str">
        <f>IFERROR(__xludf.DUMMYFUNCTION("GOOGLETRANSLATE(B5201, ""en"", ""fa"")
"),"املاک و مستغلات برای حرفه ای ها")</f>
        <v>املاک و مستغلات برای حرفه ای ها</v>
      </c>
      <c r="G5201" s="1" t="str">
        <f>IFERROR(__xludf.DUMMYFUNCTION("GOOGLETRANSLATE(C5201, ""en"", ""fa"")
"),"چگونه متخصصان املاک و مستغلات می توانند از شراکت یا سرمایه گذاری مشترک برای دسترسی به سرمایه و منابع مالی اضافی برای پروژه های سرمایه گذاری استفاده کنند؟")</f>
        <v>چگونه متخصصان املاک و مستغلات می توانند از شراکت یا سرمایه گذاری مشترک برای دسترسی به سرمایه و منابع مالی اضافی برای پروژه های سرمایه گذاری استفاده کنند؟</v>
      </c>
      <c r="H5201" s="1"/>
      <c r="I5201" s="1"/>
      <c r="J5201" s="1"/>
      <c r="K5201" s="1"/>
      <c r="L5201" s="1"/>
      <c r="M5201" s="1"/>
      <c r="N5201" s="1"/>
      <c r="O5201" s="1"/>
      <c r="P5201" s="1"/>
      <c r="Q5201" s="1"/>
      <c r="R5201" s="1"/>
      <c r="S5201" s="1"/>
      <c r="T5201" s="1"/>
      <c r="U5201" s="1"/>
      <c r="V5201" s="1"/>
      <c r="W5201" s="1"/>
      <c r="X5201" s="1"/>
      <c r="Y5201" s="1"/>
      <c r="Z5201" s="1"/>
      <c r="AA5201" s="1"/>
      <c r="AB5201" s="1"/>
    </row>
    <row r="5202" ht="50.25" customHeight="1">
      <c r="A5202" s="12">
        <v>5198.0</v>
      </c>
      <c r="B5202" s="13" t="s">
        <v>5027</v>
      </c>
      <c r="C5202" s="18" t="s">
        <v>5222</v>
      </c>
      <c r="D5202" s="1"/>
      <c r="E5202" s="1"/>
      <c r="F5202" s="1" t="str">
        <f>IFERROR(__xludf.DUMMYFUNCTION("GOOGLETRANSLATE(B5202, ""en"", ""fa"")
"),"املاک و مستغلات برای حرفه ای ها")</f>
        <v>املاک و مستغلات برای حرفه ای ها</v>
      </c>
      <c r="G5202" s="1" t="str">
        <f>IFERROR(__xludf.DUMMYFUNCTION("GOOGLETRANSLATE(C5202, ""en"", ""fa"")
"),"بهترین شیوه ها برای هدایت فرآیند اخذ وام مسکن یا تامین مالی برای املاک اجاره ای یا دارایی های درآمدزا چیست؟")</f>
        <v>بهترین شیوه ها برای هدایت فرآیند اخذ وام مسکن یا تامین مالی برای املاک اجاره ای یا دارایی های درآمدزا چیست؟</v>
      </c>
      <c r="H5202" s="1"/>
      <c r="I5202" s="1"/>
      <c r="J5202" s="1"/>
      <c r="K5202" s="1"/>
      <c r="L5202" s="1"/>
      <c r="M5202" s="1"/>
      <c r="N5202" s="1"/>
      <c r="O5202" s="1"/>
      <c r="P5202" s="1"/>
      <c r="Q5202" s="1"/>
      <c r="R5202" s="1"/>
      <c r="S5202" s="1"/>
      <c r="T5202" s="1"/>
      <c r="U5202" s="1"/>
      <c r="V5202" s="1"/>
      <c r="W5202" s="1"/>
      <c r="X5202" s="1"/>
      <c r="Y5202" s="1"/>
      <c r="Z5202" s="1"/>
      <c r="AA5202" s="1"/>
      <c r="AB5202" s="1"/>
    </row>
    <row r="5203" ht="50.25" customHeight="1">
      <c r="A5203" s="12">
        <v>5199.0</v>
      </c>
      <c r="B5203" s="13" t="s">
        <v>5027</v>
      </c>
      <c r="C5203" s="18" t="s">
        <v>5223</v>
      </c>
      <c r="D5203" s="1"/>
      <c r="E5203" s="1"/>
      <c r="F5203" s="1" t="str">
        <f>IFERROR(__xludf.DUMMYFUNCTION("GOOGLETRANSLATE(B5203, ""en"", ""fa"")
"),"املاک و مستغلات برای حرفه ای ها")</f>
        <v>املاک و مستغلات برای حرفه ای ها</v>
      </c>
      <c r="G5203" s="1" t="str">
        <f>IFERROR(__xludf.DUMMYFUNCTION("GOOGLETRANSLATE(C5203, ""en"", ""fa"")
"),"چگونه متخصصان املاک و مستغلات می توانند خطرات و مزایای مرتبط با گزینه های مختلف تامین مالی دارایی سرمایه گذاری مانند وام های متعارف، وام های پول سخت یا تامین مالی خصوصی را به طور موثر تجزیه و تحلیل و ارزیابی کنند؟")</f>
        <v>چگونه متخصصان املاک و مستغلات می توانند خطرات و مزایای مرتبط با گزینه های مختلف تامین مالی دارایی سرمایه گذاری مانند وام های متعارف، وام های پول سخت یا تامین مالی خصوصی را به طور موثر تجزیه و تحلیل و ارزیابی کنند؟</v>
      </c>
      <c r="H5203" s="1"/>
      <c r="I5203" s="1"/>
      <c r="J5203" s="1"/>
      <c r="K5203" s="1"/>
      <c r="L5203" s="1"/>
      <c r="M5203" s="1"/>
      <c r="N5203" s="1"/>
      <c r="O5203" s="1"/>
      <c r="P5203" s="1"/>
      <c r="Q5203" s="1"/>
      <c r="R5203" s="1"/>
      <c r="S5203" s="1"/>
      <c r="T5203" s="1"/>
      <c r="U5203" s="1"/>
      <c r="V5203" s="1"/>
      <c r="W5203" s="1"/>
      <c r="X5203" s="1"/>
      <c r="Y5203" s="1"/>
      <c r="Z5203" s="1"/>
      <c r="AA5203" s="1"/>
      <c r="AB5203" s="1"/>
    </row>
    <row r="5204" ht="50.25" customHeight="1">
      <c r="A5204" s="12">
        <v>5200.0</v>
      </c>
      <c r="B5204" s="13" t="s">
        <v>5027</v>
      </c>
      <c r="C5204" s="18" t="s">
        <v>5224</v>
      </c>
      <c r="D5204" s="1"/>
      <c r="E5204" s="1"/>
      <c r="F5204" s="1" t="str">
        <f>IFERROR(__xludf.DUMMYFUNCTION("GOOGLETRANSLATE(B5204, ""en"", ""fa"")
"),"املاک و مستغلات برای حرفه ای ها")</f>
        <v>املاک و مستغلات برای حرفه ای ها</v>
      </c>
      <c r="G5204" s="1" t="str">
        <f>IFERROR(__xludf.DUMMYFUNCTION("GOOGLETRANSLATE(C5204, ""en"", ""fa"")
"),"استراتژی های کلیدی برای بهینه سازی استفاده از اهرم در سرمایه گذاری املاک و مستغلات در عین کاهش خطرات احتمالی چیست؟")</f>
        <v>استراتژی های کلیدی برای بهینه سازی استفاده از اهرم در سرمایه گذاری املاک و مستغلات در عین کاهش خطرات احتمالی چیست؟</v>
      </c>
      <c r="H5204" s="1"/>
      <c r="I5204" s="1"/>
      <c r="J5204" s="1"/>
      <c r="K5204" s="1"/>
      <c r="L5204" s="1"/>
      <c r="M5204" s="1"/>
      <c r="N5204" s="1"/>
      <c r="O5204" s="1"/>
      <c r="P5204" s="1"/>
      <c r="Q5204" s="1"/>
      <c r="R5204" s="1"/>
      <c r="S5204" s="1"/>
      <c r="T5204" s="1"/>
      <c r="U5204" s="1"/>
      <c r="V5204" s="1"/>
      <c r="W5204" s="1"/>
      <c r="X5204" s="1"/>
      <c r="Y5204" s="1"/>
      <c r="Z5204" s="1"/>
      <c r="AA5204" s="1"/>
      <c r="AB5204" s="1"/>
    </row>
    <row r="5205" ht="50.25" customHeight="1">
      <c r="A5205" s="12">
        <v>5201.0</v>
      </c>
      <c r="B5205" s="13" t="s">
        <v>5027</v>
      </c>
      <c r="C5205" s="18" t="s">
        <v>5225</v>
      </c>
      <c r="D5205" s="1"/>
      <c r="E5205" s="1"/>
      <c r="F5205" s="1" t="str">
        <f>IFERROR(__xludf.DUMMYFUNCTION("GOOGLETRANSLATE(B5205, ""en"", ""fa"")
"),"املاک و مستغلات برای حرفه ای ها")</f>
        <v>املاک و مستغلات برای حرفه ای ها</v>
      </c>
      <c r="G5205" s="1" t="str">
        <f>IFERROR(__xludf.DUMMYFUNCTION("GOOGLETRANSLATE(C5205, ""en"", ""fa"")
"),"چگونه متخصصان املاک و مستغلات می توانند شرایط مختلف تامین مالی مانند وام مسکن با نرخ ثابت، وام مسکن با نرخ قابل تنظیم یا وام های تنها با بهره را ارزیابی و مقایسه کنند تا مناسب ترین گزینه را برای اهداف سرمایه گذاری خود تعیین کنند؟")</f>
        <v>چگونه متخصصان املاک و مستغلات می توانند شرایط مختلف تامین مالی مانند وام مسکن با نرخ ثابت، وام مسکن با نرخ قابل تنظیم یا وام های تنها با بهره را ارزیابی و مقایسه کنند تا مناسب ترین گزینه را برای اهداف سرمایه گذاری خود تعیین کنند؟</v>
      </c>
      <c r="H5205" s="1"/>
      <c r="I5205" s="1"/>
      <c r="J5205" s="1"/>
      <c r="K5205" s="1"/>
      <c r="L5205" s="1"/>
      <c r="M5205" s="1"/>
      <c r="N5205" s="1"/>
      <c r="O5205" s="1"/>
      <c r="P5205" s="1"/>
      <c r="Q5205" s="1"/>
      <c r="R5205" s="1"/>
      <c r="S5205" s="1"/>
      <c r="T5205" s="1"/>
      <c r="U5205" s="1"/>
      <c r="V5205" s="1"/>
      <c r="W5205" s="1"/>
      <c r="X5205" s="1"/>
      <c r="Y5205" s="1"/>
      <c r="Z5205" s="1"/>
      <c r="AA5205" s="1"/>
      <c r="AB5205" s="1"/>
    </row>
    <row r="5206" ht="50.25" customHeight="1">
      <c r="A5206" s="12">
        <v>5202.0</v>
      </c>
      <c r="B5206" s="13" t="s">
        <v>5027</v>
      </c>
      <c r="C5206" s="18" t="s">
        <v>5226</v>
      </c>
      <c r="D5206" s="1"/>
      <c r="E5206" s="1"/>
      <c r="F5206" s="1" t="str">
        <f>IFERROR(__xludf.DUMMYFUNCTION("GOOGLETRANSLATE(B5206, ""en"", ""fa"")
"),"املاک و مستغلات برای حرفه ای ها")</f>
        <v>املاک و مستغلات برای حرفه ای ها</v>
      </c>
      <c r="G5206" s="1" t="str">
        <f>IFERROR(__xludf.DUMMYFUNCTION("GOOGLETRANSLATE(C5206, ""en"", ""fa"")
"),"هنگام تعیین دوره مناسب استهلاک وام و استراتژی بازپرداخت برای سرمایه گذاری در املاک چه عوامل مهمی باید در نظر گرفته شود؟")</f>
        <v>هنگام تعیین دوره مناسب استهلاک وام و استراتژی بازپرداخت برای سرمایه گذاری در املاک چه عوامل مهمی باید در نظر گرفته شود؟</v>
      </c>
      <c r="H5206" s="1"/>
      <c r="I5206" s="1"/>
      <c r="J5206" s="1"/>
      <c r="K5206" s="1"/>
      <c r="L5206" s="1"/>
      <c r="M5206" s="1"/>
      <c r="N5206" s="1"/>
      <c r="O5206" s="1"/>
      <c r="P5206" s="1"/>
      <c r="Q5206" s="1"/>
      <c r="R5206" s="1"/>
      <c r="S5206" s="1"/>
      <c r="T5206" s="1"/>
      <c r="U5206" s="1"/>
      <c r="V5206" s="1"/>
      <c r="W5206" s="1"/>
      <c r="X5206" s="1"/>
      <c r="Y5206" s="1"/>
      <c r="Z5206" s="1"/>
      <c r="AA5206" s="1"/>
      <c r="AB5206" s="1"/>
    </row>
    <row r="5207" ht="50.25" customHeight="1">
      <c r="A5207" s="12">
        <v>5203.0</v>
      </c>
      <c r="B5207" s="13" t="s">
        <v>5027</v>
      </c>
      <c r="C5207" s="18" t="s">
        <v>5227</v>
      </c>
      <c r="D5207" s="1"/>
      <c r="E5207" s="1"/>
      <c r="F5207" s="1" t="str">
        <f>IFERROR(__xludf.DUMMYFUNCTION("GOOGLETRANSLATE(B5207, ""en"", ""fa"")
"),"املاک و مستغلات برای حرفه ای ها")</f>
        <v>املاک و مستغلات برای حرفه ای ها</v>
      </c>
      <c r="G5207" s="1" t="str">
        <f>IFERROR(__xludf.DUMMYFUNCTION("GOOGLETRANSLATE(C5207, ""en"", ""fa"")
"),"چگونه متخصصان املاک و مستغلات می توانند به طور موثر از مدل سازی مالی و ابزارهای تحلیل سرمایه گذاری برای ارزیابی جریان نقدی بالقوه، بازگشت سرمایه (ROI) و نرخ بازده داخلی (IRR) یک فرصت سرمایه گذاری در املاک و مستغلات استفاده کنند؟")</f>
        <v>چگونه متخصصان املاک و مستغلات می توانند به طور موثر از مدل سازی مالی و ابزارهای تحلیل سرمایه گذاری برای ارزیابی جریان نقدی بالقوه، بازگشت سرمایه (ROI) و نرخ بازده داخلی (IRR) یک فرصت سرمایه گذاری در املاک و مستغلات استفاده کنند؟</v>
      </c>
      <c r="H5207" s="1"/>
      <c r="I5207" s="1"/>
      <c r="J5207" s="1"/>
      <c r="K5207" s="1"/>
      <c r="L5207" s="1"/>
      <c r="M5207" s="1"/>
      <c r="N5207" s="1"/>
      <c r="O5207" s="1"/>
      <c r="P5207" s="1"/>
      <c r="Q5207" s="1"/>
      <c r="R5207" s="1"/>
      <c r="S5207" s="1"/>
      <c r="T5207" s="1"/>
      <c r="U5207" s="1"/>
      <c r="V5207" s="1"/>
      <c r="W5207" s="1"/>
      <c r="X5207" s="1"/>
      <c r="Y5207" s="1"/>
      <c r="Z5207" s="1"/>
      <c r="AA5207" s="1"/>
      <c r="AB5207" s="1"/>
    </row>
    <row r="5208" ht="50.25" customHeight="1">
      <c r="A5208" s="12">
        <v>5204.0</v>
      </c>
      <c r="B5208" s="13" t="s">
        <v>5027</v>
      </c>
      <c r="C5208" s="18" t="s">
        <v>5228</v>
      </c>
      <c r="D5208" s="1"/>
      <c r="E5208" s="1"/>
      <c r="F5208" s="1" t="str">
        <f>IFERROR(__xludf.DUMMYFUNCTION("GOOGLETRANSLATE(B5208, ""en"", ""fa"")
"),"املاک و مستغلات برای حرفه ای ها")</f>
        <v>املاک و مستغلات برای حرفه ای ها</v>
      </c>
      <c r="G5208" s="1" t="str">
        <f>IFERROR(__xludf.DUMMYFUNCTION("GOOGLETRANSLATE(C5208, ""en"", ""fa"")
"),"چگونه متخصصان املاک و مستغلات می توانند از روش جریان نقدی تنزیل شده (DCF) برای ارزش گذاری املاک سرمایه گذاری استفاده کنند؟")</f>
        <v>چگونه متخصصان املاک و مستغلات می توانند از روش جریان نقدی تنزیل شده (DCF) برای ارزش گذاری املاک سرمایه گذاری استفاده کنند؟</v>
      </c>
      <c r="H5208" s="1"/>
      <c r="I5208" s="1"/>
      <c r="J5208" s="1"/>
      <c r="K5208" s="1"/>
      <c r="L5208" s="1"/>
      <c r="M5208" s="1"/>
      <c r="N5208" s="1"/>
      <c r="O5208" s="1"/>
      <c r="P5208" s="1"/>
      <c r="Q5208" s="1"/>
      <c r="R5208" s="1"/>
      <c r="S5208" s="1"/>
      <c r="T5208" s="1"/>
      <c r="U5208" s="1"/>
      <c r="V5208" s="1"/>
      <c r="W5208" s="1"/>
      <c r="X5208" s="1"/>
      <c r="Y5208" s="1"/>
      <c r="Z5208" s="1"/>
      <c r="AA5208" s="1"/>
      <c r="AB5208" s="1"/>
    </row>
    <row r="5209" ht="50.25" customHeight="1">
      <c r="A5209" s="12">
        <v>5205.0</v>
      </c>
      <c r="B5209" s="13" t="s">
        <v>5027</v>
      </c>
      <c r="C5209" s="18" t="s">
        <v>5229</v>
      </c>
      <c r="D5209" s="1"/>
      <c r="E5209" s="1"/>
      <c r="F5209" s="1" t="str">
        <f>IFERROR(__xludf.DUMMYFUNCTION("GOOGLETRANSLATE(B5209, ""en"", ""fa"")
"),"املاک و مستغلات برای حرفه ای ها")</f>
        <v>املاک و مستغلات برای حرفه ای ها</v>
      </c>
      <c r="G5209" s="1" t="str">
        <f>IFERROR(__xludf.DUMMYFUNCTION("GOOGLETRANSLATE(C5209, ""en"", ""fa"")
"),"هنگام ارزیابی بالاترین و بهترین استفاده از یک ملک چه فاکتورهای حیاتی را باید در نظر گرفت؟")</f>
        <v>هنگام ارزیابی بالاترین و بهترین استفاده از یک ملک چه فاکتورهای حیاتی را باید در نظر گرفت؟</v>
      </c>
      <c r="H5209" s="1"/>
      <c r="I5209" s="1"/>
      <c r="J5209" s="1"/>
      <c r="K5209" s="1"/>
      <c r="L5209" s="1"/>
      <c r="M5209" s="1"/>
      <c r="N5209" s="1"/>
      <c r="O5209" s="1"/>
      <c r="P5209" s="1"/>
      <c r="Q5209" s="1"/>
      <c r="R5209" s="1"/>
      <c r="S5209" s="1"/>
      <c r="T5209" s="1"/>
      <c r="U5209" s="1"/>
      <c r="V5209" s="1"/>
      <c r="W5209" s="1"/>
      <c r="X5209" s="1"/>
      <c r="Y5209" s="1"/>
      <c r="Z5209" s="1"/>
      <c r="AA5209" s="1"/>
      <c r="AB5209" s="1"/>
    </row>
    <row r="5210" ht="50.25" customHeight="1">
      <c r="A5210" s="12">
        <v>5206.0</v>
      </c>
      <c r="B5210" s="13" t="s">
        <v>5027</v>
      </c>
      <c r="C5210" s="18" t="s">
        <v>5230</v>
      </c>
      <c r="D5210" s="1"/>
      <c r="E5210" s="1"/>
      <c r="F5210" s="1" t="str">
        <f>IFERROR(__xludf.DUMMYFUNCTION("GOOGLETRANSLATE(B5210, ""en"", ""fa"")
"),"املاک و مستغلات برای حرفه ای ها")</f>
        <v>املاک و مستغلات برای حرفه ای ها</v>
      </c>
      <c r="G5210" s="1" t="str">
        <f>IFERROR(__xludf.DUMMYFUNCTION("GOOGLETRANSLATE(C5210, ""en"", ""fa"")
"),"چگونه متخصصان املاک و مستغلات می توانند عملکرد مالی املاک سرمایه گذاری مختلف را با استفاده از معیارهایی مانند جریان نقدی و ROI تجزیه و تحلیل و مقایسه کنند؟")</f>
        <v>چگونه متخصصان املاک و مستغلات می توانند عملکرد مالی املاک سرمایه گذاری مختلف را با استفاده از معیارهایی مانند جریان نقدی و ROI تجزیه و تحلیل و مقایسه کنند؟</v>
      </c>
      <c r="H5210" s="1"/>
      <c r="I5210" s="1"/>
      <c r="J5210" s="1"/>
      <c r="K5210" s="1"/>
      <c r="L5210" s="1"/>
      <c r="M5210" s="1"/>
      <c r="N5210" s="1"/>
      <c r="O5210" s="1"/>
      <c r="P5210" s="1"/>
      <c r="Q5210" s="1"/>
      <c r="R5210" s="1"/>
      <c r="S5210" s="1"/>
      <c r="T5210" s="1"/>
      <c r="U5210" s="1"/>
      <c r="V5210" s="1"/>
      <c r="W5210" s="1"/>
      <c r="X5210" s="1"/>
      <c r="Y5210" s="1"/>
      <c r="Z5210" s="1"/>
      <c r="AA5210" s="1"/>
      <c r="AB5210" s="1"/>
    </row>
    <row r="5211" ht="50.25" customHeight="1">
      <c r="A5211" s="12">
        <v>5207.0</v>
      </c>
      <c r="B5211" s="13" t="s">
        <v>5027</v>
      </c>
      <c r="C5211" s="18" t="s">
        <v>5231</v>
      </c>
      <c r="D5211" s="1"/>
      <c r="E5211" s="1"/>
      <c r="F5211" s="1" t="str">
        <f>IFERROR(__xludf.DUMMYFUNCTION("GOOGLETRANSLATE(B5211, ""en"", ""fa"")
"),"املاک و مستغلات برای حرفه ای ها")</f>
        <v>املاک و مستغلات برای حرفه ای ها</v>
      </c>
      <c r="G5211" s="1" t="str">
        <f>IFERROR(__xludf.DUMMYFUNCTION("GOOGLETRANSLATE(C5211, ""en"", ""fa"")
"),"ملاحظات کلیدی هنگام ارزیابی ارزش بالقوه و قابلیت های درآمدزایی املاک اجاره ای برای تعطیلات چیست؟")</f>
        <v>ملاحظات کلیدی هنگام ارزیابی ارزش بالقوه و قابلیت های درآمدزایی املاک اجاره ای برای تعطیلات چیست؟</v>
      </c>
      <c r="H5211" s="1"/>
      <c r="I5211" s="1"/>
      <c r="J5211" s="1"/>
      <c r="K5211" s="1"/>
      <c r="L5211" s="1"/>
      <c r="M5211" s="1"/>
      <c r="N5211" s="1"/>
      <c r="O5211" s="1"/>
      <c r="P5211" s="1"/>
      <c r="Q5211" s="1"/>
      <c r="R5211" s="1"/>
      <c r="S5211" s="1"/>
      <c r="T5211" s="1"/>
      <c r="U5211" s="1"/>
      <c r="V5211" s="1"/>
      <c r="W5211" s="1"/>
      <c r="X5211" s="1"/>
      <c r="Y5211" s="1"/>
      <c r="Z5211" s="1"/>
      <c r="AA5211" s="1"/>
      <c r="AB5211" s="1"/>
    </row>
    <row r="5212" ht="50.25" customHeight="1">
      <c r="A5212" s="12">
        <v>5208.0</v>
      </c>
      <c r="B5212" s="13" t="s">
        <v>5027</v>
      </c>
      <c r="C5212" s="18" t="s">
        <v>5232</v>
      </c>
      <c r="D5212" s="1"/>
      <c r="E5212" s="1"/>
      <c r="F5212" s="1" t="str">
        <f>IFERROR(__xludf.DUMMYFUNCTION("GOOGLETRANSLATE(B5212, ""en"", ""fa"")
"),"املاک و مستغلات برای حرفه ای ها")</f>
        <v>املاک و مستغلات برای حرفه ای ها</v>
      </c>
      <c r="G5212" s="1" t="str">
        <f>IFERROR(__xludf.DUMMYFUNCTION("GOOGLETRANSLATE(C5212, ""en"", ""fa"")
"),"چگونه متخصصان املاک و مستغلات می توانند از تحلیل رگرسیون برای شناسایی و تجزیه و تحلیل روند بازار و ارزش ملک استفاده کنند؟")</f>
        <v>چگونه متخصصان املاک و مستغلات می توانند از تحلیل رگرسیون برای شناسایی و تجزیه و تحلیل روند بازار و ارزش ملک استفاده کنند؟</v>
      </c>
      <c r="H5212" s="1"/>
      <c r="I5212" s="1"/>
      <c r="J5212" s="1"/>
      <c r="K5212" s="1"/>
      <c r="L5212" s="1"/>
      <c r="M5212" s="1"/>
      <c r="N5212" s="1"/>
      <c r="O5212" s="1"/>
      <c r="P5212" s="1"/>
      <c r="Q5212" s="1"/>
      <c r="R5212" s="1"/>
      <c r="S5212" s="1"/>
      <c r="T5212" s="1"/>
      <c r="U5212" s="1"/>
      <c r="V5212" s="1"/>
      <c r="W5212" s="1"/>
      <c r="X5212" s="1"/>
      <c r="Y5212" s="1"/>
      <c r="Z5212" s="1"/>
      <c r="AA5212" s="1"/>
      <c r="AB5212" s="1"/>
    </row>
    <row r="5213" ht="50.25" customHeight="1">
      <c r="A5213" s="12">
        <v>5209.0</v>
      </c>
      <c r="B5213" s="13" t="s">
        <v>5027</v>
      </c>
      <c r="C5213" s="18" t="s">
        <v>5233</v>
      </c>
      <c r="D5213" s="1"/>
      <c r="E5213" s="1"/>
      <c r="F5213" s="1" t="str">
        <f>IFERROR(__xludf.DUMMYFUNCTION("GOOGLETRANSLATE(B5213, ""en"", ""fa"")
"),"املاک و مستغلات برای حرفه ای ها")</f>
        <v>املاک و مستغلات برای حرفه ای ها</v>
      </c>
      <c r="G5213" s="1" t="str">
        <f>IFERROR(__xludf.DUMMYFUNCTION("GOOGLETRANSLATE(C5213, ""en"", ""fa"")
"),"مراحل ضروری برای انجام یک فرآیند بررسی دقیق در هنگام ارزش گذاری یک ملک تجاری چیست؟")</f>
        <v>مراحل ضروری برای انجام یک فرآیند بررسی دقیق در هنگام ارزش گذاری یک ملک تجاری چیست؟</v>
      </c>
      <c r="H5213" s="1"/>
      <c r="I5213" s="1"/>
      <c r="J5213" s="1"/>
      <c r="K5213" s="1"/>
      <c r="L5213" s="1"/>
      <c r="M5213" s="1"/>
      <c r="N5213" s="1"/>
      <c r="O5213" s="1"/>
      <c r="P5213" s="1"/>
      <c r="Q5213" s="1"/>
      <c r="R5213" s="1"/>
      <c r="S5213" s="1"/>
      <c r="T5213" s="1"/>
      <c r="U5213" s="1"/>
      <c r="V5213" s="1"/>
      <c r="W5213" s="1"/>
      <c r="X5213" s="1"/>
      <c r="Y5213" s="1"/>
      <c r="Z5213" s="1"/>
      <c r="AA5213" s="1"/>
      <c r="AB5213" s="1"/>
    </row>
    <row r="5214" ht="50.25" customHeight="1">
      <c r="A5214" s="12">
        <v>5210.0</v>
      </c>
      <c r="B5214" s="13" t="s">
        <v>5027</v>
      </c>
      <c r="C5214" s="18" t="s">
        <v>5234</v>
      </c>
      <c r="D5214" s="1"/>
      <c r="E5214" s="1"/>
      <c r="F5214" s="1" t="str">
        <f>IFERROR(__xludf.DUMMYFUNCTION("GOOGLETRANSLATE(B5214, ""en"", ""fa"")
"),"املاک و مستغلات برای حرفه ای ها")</f>
        <v>املاک و مستغلات برای حرفه ای ها</v>
      </c>
      <c r="G5214" s="1" t="str">
        <f>IFERROR(__xludf.DUMMYFUNCTION("GOOGLETRANSLATE(C5214, ""en"", ""fa"")
"),"چگونه متخصصان املاک و مستغلات می توانند تأثیر روندهای جمعیتی و جمعیتی را بر ارزش املاک تجزیه و تحلیل کنند؟")</f>
        <v>چگونه متخصصان املاک و مستغلات می توانند تأثیر روندهای جمعیتی و جمعیتی را بر ارزش املاک تجزیه و تحلیل کنند؟</v>
      </c>
      <c r="H5214" s="1"/>
      <c r="I5214" s="1"/>
      <c r="J5214" s="1"/>
      <c r="K5214" s="1"/>
      <c r="L5214" s="1"/>
      <c r="M5214" s="1"/>
      <c r="N5214" s="1"/>
      <c r="O5214" s="1"/>
      <c r="P5214" s="1"/>
      <c r="Q5214" s="1"/>
      <c r="R5214" s="1"/>
      <c r="S5214" s="1"/>
      <c r="T5214" s="1"/>
      <c r="U5214" s="1"/>
      <c r="V5214" s="1"/>
      <c r="W5214" s="1"/>
      <c r="X5214" s="1"/>
      <c r="Y5214" s="1"/>
      <c r="Z5214" s="1"/>
      <c r="AA5214" s="1"/>
      <c r="AB5214" s="1"/>
    </row>
    <row r="5215" ht="50.25" customHeight="1">
      <c r="A5215" s="12">
        <v>5211.0</v>
      </c>
      <c r="B5215" s="13" t="s">
        <v>5027</v>
      </c>
      <c r="C5215" s="18" t="s">
        <v>5235</v>
      </c>
      <c r="D5215" s="1"/>
      <c r="E5215" s="1"/>
      <c r="F5215" s="1" t="str">
        <f>IFERROR(__xludf.DUMMYFUNCTION("GOOGLETRANSLATE(B5215, ""en"", ""fa"")
"),"املاک و مستغلات برای حرفه ای ها")</f>
        <v>املاک و مستغلات برای حرفه ای ها</v>
      </c>
      <c r="G5215" s="1" t="str">
        <f>IFERROR(__xludf.DUMMYFUNCTION("GOOGLETRANSLATE(C5215, ""en"", ""fa"")
"),"بهترین روش برای محاسبه درآمد خالص عملیاتی (NOI) و نرخ سرمایه (نرخ سقف) برای املاک تجاری چیست؟")</f>
        <v>بهترین روش برای محاسبه درآمد خالص عملیاتی (NOI) و نرخ سرمایه (نرخ سقف) برای املاک تجاری چیست؟</v>
      </c>
      <c r="H5215" s="1"/>
      <c r="I5215" s="1"/>
      <c r="J5215" s="1"/>
      <c r="K5215" s="1"/>
      <c r="L5215" s="1"/>
      <c r="M5215" s="1"/>
      <c r="N5215" s="1"/>
      <c r="O5215" s="1"/>
      <c r="P5215" s="1"/>
      <c r="Q5215" s="1"/>
      <c r="R5215" s="1"/>
      <c r="S5215" s="1"/>
      <c r="T5215" s="1"/>
      <c r="U5215" s="1"/>
      <c r="V5215" s="1"/>
      <c r="W5215" s="1"/>
      <c r="X5215" s="1"/>
      <c r="Y5215" s="1"/>
      <c r="Z5215" s="1"/>
      <c r="AA5215" s="1"/>
      <c r="AB5215" s="1"/>
    </row>
    <row r="5216" ht="50.25" customHeight="1">
      <c r="A5216" s="12">
        <v>5212.0</v>
      </c>
      <c r="B5216" s="13" t="s">
        <v>5027</v>
      </c>
      <c r="C5216" s="18" t="s">
        <v>5236</v>
      </c>
      <c r="D5216" s="1"/>
      <c r="E5216" s="1"/>
      <c r="F5216" s="1" t="str">
        <f>IFERROR(__xludf.DUMMYFUNCTION("GOOGLETRANSLATE(B5216, ""en"", ""fa"")
"),"املاک و مستغلات برای حرفه ای ها")</f>
        <v>املاک و مستغلات برای حرفه ای ها</v>
      </c>
      <c r="G5216" s="1" t="str">
        <f>IFERROR(__xludf.DUMMYFUNCTION("GOOGLETRANSLATE(C5216, ""en"", ""fa"")
"),"چگونه متخصصان املاک و مستغلات می توانند ارزش املاک تاریخی یا میراثی را ارزیابی کنند؟")</f>
        <v>چگونه متخصصان املاک و مستغلات می توانند ارزش املاک تاریخی یا میراثی را ارزیابی کنند؟</v>
      </c>
      <c r="H5216" s="1"/>
      <c r="I5216" s="1"/>
      <c r="J5216" s="1"/>
      <c r="K5216" s="1"/>
      <c r="L5216" s="1"/>
      <c r="M5216" s="1"/>
      <c r="N5216" s="1"/>
      <c r="O5216" s="1"/>
      <c r="P5216" s="1"/>
      <c r="Q5216" s="1"/>
      <c r="R5216" s="1"/>
      <c r="S5216" s="1"/>
      <c r="T5216" s="1"/>
      <c r="U5216" s="1"/>
      <c r="V5216" s="1"/>
      <c r="W5216" s="1"/>
      <c r="X5216" s="1"/>
      <c r="Y5216" s="1"/>
      <c r="Z5216" s="1"/>
      <c r="AA5216" s="1"/>
      <c r="AB5216" s="1"/>
    </row>
    <row r="5217" ht="50.25" customHeight="1">
      <c r="A5217" s="12">
        <v>5213.0</v>
      </c>
      <c r="B5217" s="13" t="s">
        <v>5027</v>
      </c>
      <c r="C5217" s="18" t="s">
        <v>5237</v>
      </c>
      <c r="D5217" s="1"/>
      <c r="E5217" s="1"/>
      <c r="F5217" s="1" t="str">
        <f>IFERROR(__xludf.DUMMYFUNCTION("GOOGLETRANSLATE(B5217, ""en"", ""fa"")
"),"املاک و مستغلات برای حرفه ای ها")</f>
        <v>املاک و مستغلات برای حرفه ای ها</v>
      </c>
      <c r="G5217" s="1" t="str">
        <f>IFERROR(__xludf.DUMMYFUNCTION("GOOGLETRANSLATE(C5217, ""en"", ""fa"")
"),"هنگام ارزیابی ارزش بالقوه املاک در بازار املاک و مستغلات در حال تغییر، چه عوامل مهمی باید در نظر گرفته شود؟")</f>
        <v>هنگام ارزیابی ارزش بالقوه املاک در بازار املاک و مستغلات در حال تغییر، چه عوامل مهمی باید در نظر گرفته شود؟</v>
      </c>
      <c r="H5217" s="1"/>
      <c r="I5217" s="1"/>
      <c r="J5217" s="1"/>
      <c r="K5217" s="1"/>
      <c r="L5217" s="1"/>
      <c r="M5217" s="1"/>
      <c r="N5217" s="1"/>
      <c r="O5217" s="1"/>
      <c r="P5217" s="1"/>
      <c r="Q5217" s="1"/>
      <c r="R5217" s="1"/>
      <c r="S5217" s="1"/>
      <c r="T5217" s="1"/>
      <c r="U5217" s="1"/>
      <c r="V5217" s="1"/>
      <c r="W5217" s="1"/>
      <c r="X5217" s="1"/>
      <c r="Y5217" s="1"/>
      <c r="Z5217" s="1"/>
      <c r="AA5217" s="1"/>
      <c r="AB5217" s="1"/>
    </row>
    <row r="5218" ht="50.25" customHeight="1">
      <c r="A5218" s="12">
        <v>5214.0</v>
      </c>
      <c r="B5218" s="13" t="s">
        <v>5027</v>
      </c>
      <c r="C5218" s="18" t="s">
        <v>5238</v>
      </c>
      <c r="D5218" s="1"/>
      <c r="E5218" s="1"/>
      <c r="F5218" s="1" t="str">
        <f>IFERROR(__xludf.DUMMYFUNCTION("GOOGLETRANSLATE(B5218, ""en"", ""fa"")
"),"املاک و مستغلات برای حرفه ای ها")</f>
        <v>املاک و مستغلات برای حرفه ای ها</v>
      </c>
      <c r="G5218" s="1" t="str">
        <f>IFERROR(__xludf.DUMMYFUNCTION("GOOGLETRANSLATE(C5218, ""en"", ""fa"")
"),"چگونه متخصصان املاک و مستغلات می توانند تأثیر امکانات و زیرساخت های محلی را بر ارزش املاک تجزیه و تحلیل کنند؟")</f>
        <v>چگونه متخصصان املاک و مستغلات می توانند تأثیر امکانات و زیرساخت های محلی را بر ارزش املاک تجزیه و تحلیل کنند؟</v>
      </c>
      <c r="H5218" s="1"/>
      <c r="I5218" s="1"/>
      <c r="J5218" s="1"/>
      <c r="K5218" s="1"/>
      <c r="L5218" s="1"/>
      <c r="M5218" s="1"/>
      <c r="N5218" s="1"/>
      <c r="O5218" s="1"/>
      <c r="P5218" s="1"/>
      <c r="Q5218" s="1"/>
      <c r="R5218" s="1"/>
      <c r="S5218" s="1"/>
      <c r="T5218" s="1"/>
      <c r="U5218" s="1"/>
      <c r="V5218" s="1"/>
      <c r="W5218" s="1"/>
      <c r="X5218" s="1"/>
      <c r="Y5218" s="1"/>
      <c r="Z5218" s="1"/>
      <c r="AA5218" s="1"/>
      <c r="AB5218" s="1"/>
    </row>
    <row r="5219" ht="50.25" customHeight="1">
      <c r="A5219" s="12">
        <v>5215.0</v>
      </c>
      <c r="B5219" s="13" t="s">
        <v>5027</v>
      </c>
      <c r="C5219" s="18" t="s">
        <v>5239</v>
      </c>
      <c r="D5219" s="1"/>
      <c r="E5219" s="1"/>
      <c r="F5219" s="1" t="str">
        <f>IFERROR(__xludf.DUMMYFUNCTION("GOOGLETRANSLATE(B5219, ""en"", ""fa"")
"),"املاک و مستغلات برای حرفه ای ها")</f>
        <v>املاک و مستغلات برای حرفه ای ها</v>
      </c>
      <c r="G5219" s="1" t="str">
        <f>IFERROR(__xludf.DUMMYFUNCTION("GOOGLETRANSLATE(C5219, ""en"", ""fa"")
"),"مراحل ضروری برای انجام تحلیل بازار اجاره و تعیین نرخ بهینه اجاره برای املاک سرمایه گذاری چیست؟")</f>
        <v>مراحل ضروری برای انجام تحلیل بازار اجاره و تعیین نرخ بهینه اجاره برای املاک سرمایه گذاری چیست؟</v>
      </c>
      <c r="H5219" s="1"/>
      <c r="I5219" s="1"/>
      <c r="J5219" s="1"/>
      <c r="K5219" s="1"/>
      <c r="L5219" s="1"/>
      <c r="M5219" s="1"/>
      <c r="N5219" s="1"/>
      <c r="O5219" s="1"/>
      <c r="P5219" s="1"/>
      <c r="Q5219" s="1"/>
      <c r="R5219" s="1"/>
      <c r="S5219" s="1"/>
      <c r="T5219" s="1"/>
      <c r="U5219" s="1"/>
      <c r="V5219" s="1"/>
      <c r="W5219" s="1"/>
      <c r="X5219" s="1"/>
      <c r="Y5219" s="1"/>
      <c r="Z5219" s="1"/>
      <c r="AA5219" s="1"/>
      <c r="AB5219" s="1"/>
    </row>
    <row r="5220" ht="50.25" customHeight="1">
      <c r="A5220" s="12">
        <v>5216.0</v>
      </c>
      <c r="B5220" s="13" t="s">
        <v>5027</v>
      </c>
      <c r="C5220" s="18" t="s">
        <v>5240</v>
      </c>
      <c r="D5220" s="1"/>
      <c r="E5220" s="1"/>
      <c r="F5220" s="1" t="str">
        <f>IFERROR(__xludf.DUMMYFUNCTION("GOOGLETRANSLATE(B5220, ""en"", ""fa"")
"),"املاک و مستغلات برای حرفه ای ها")</f>
        <v>املاک و مستغلات برای حرفه ای ها</v>
      </c>
      <c r="G5220" s="1" t="str">
        <f>IFERROR(__xludf.DUMMYFUNCTION("GOOGLETRANSLATE(C5220, ""en"", ""fa"")
"),"چگونه متخصصان املاک و مستغلات می توانند از روش رویکرد هزینه برای ارزش گذاری املاک، به ویژه برای املاک منحصر به فرد یا تخصصی استفاده کنند؟")</f>
        <v>چگونه متخصصان املاک و مستغلات می توانند از روش رویکرد هزینه برای ارزش گذاری املاک، به ویژه برای املاک منحصر به فرد یا تخصصی استفاده کنند؟</v>
      </c>
      <c r="H5220" s="1"/>
      <c r="I5220" s="1"/>
      <c r="J5220" s="1"/>
      <c r="K5220" s="1"/>
      <c r="L5220" s="1"/>
      <c r="M5220" s="1"/>
      <c r="N5220" s="1"/>
      <c r="O5220" s="1"/>
      <c r="P5220" s="1"/>
      <c r="Q5220" s="1"/>
      <c r="R5220" s="1"/>
      <c r="S5220" s="1"/>
      <c r="T5220" s="1"/>
      <c r="U5220" s="1"/>
      <c r="V5220" s="1"/>
      <c r="W5220" s="1"/>
      <c r="X5220" s="1"/>
      <c r="Y5220" s="1"/>
      <c r="Z5220" s="1"/>
      <c r="AA5220" s="1"/>
      <c r="AB5220" s="1"/>
    </row>
    <row r="5221" ht="50.25" customHeight="1">
      <c r="A5221" s="12">
        <v>5217.0</v>
      </c>
      <c r="B5221" s="13" t="s">
        <v>5027</v>
      </c>
      <c r="C5221" s="18" t="s">
        <v>5241</v>
      </c>
      <c r="D5221" s="1"/>
      <c r="E5221" s="1"/>
      <c r="F5221" s="1" t="str">
        <f>IFERROR(__xludf.DUMMYFUNCTION("GOOGLETRANSLATE(B5221, ""en"", ""fa"")
"),"املاک و مستغلات برای حرفه ای ها")</f>
        <v>املاک و مستغلات برای حرفه ای ها</v>
      </c>
      <c r="G5221" s="1" t="str">
        <f>IFERROR(__xludf.DUMMYFUNCTION("GOOGLETRANSLATE(C5221, ""en"", ""fa"")
"),"ملاحظات کلیدی هنگام ارزیابی ارزش بالقوه و سودآوری املاک با کاربری مختلط چیست؟")</f>
        <v>ملاحظات کلیدی هنگام ارزیابی ارزش بالقوه و سودآوری املاک با کاربری مختلط چیست؟</v>
      </c>
      <c r="H5221" s="1"/>
      <c r="I5221" s="1"/>
      <c r="J5221" s="1"/>
      <c r="K5221" s="1"/>
      <c r="L5221" s="1"/>
      <c r="M5221" s="1"/>
      <c r="N5221" s="1"/>
      <c r="O5221" s="1"/>
      <c r="P5221" s="1"/>
      <c r="Q5221" s="1"/>
      <c r="R5221" s="1"/>
      <c r="S5221" s="1"/>
      <c r="T5221" s="1"/>
      <c r="U5221" s="1"/>
      <c r="V5221" s="1"/>
      <c r="W5221" s="1"/>
      <c r="X5221" s="1"/>
      <c r="Y5221" s="1"/>
      <c r="Z5221" s="1"/>
      <c r="AA5221" s="1"/>
      <c r="AB5221" s="1"/>
    </row>
    <row r="5222" ht="50.25" customHeight="1">
      <c r="A5222" s="12">
        <v>5218.0</v>
      </c>
      <c r="B5222" s="13" t="s">
        <v>5027</v>
      </c>
      <c r="C5222" s="18" t="s">
        <v>5242</v>
      </c>
      <c r="D5222" s="1"/>
      <c r="E5222" s="1"/>
      <c r="F5222" s="1" t="str">
        <f>IFERROR(__xludf.DUMMYFUNCTION("GOOGLETRANSLATE(B5222, ""en"", ""fa"")
"),"املاک و مستغلات برای حرفه ای ها")</f>
        <v>املاک و مستغلات برای حرفه ای ها</v>
      </c>
      <c r="G5222" s="1" t="str">
        <f>IFERROR(__xludf.DUMMYFUNCTION("GOOGLETRANSLATE(C5222, ""en"", ""fa"")
"),"چگونه متخصصان املاک و مستغلات می توانند ارزش املاک را در یک منطقه مدرسه خاص یا نزدیکی به موسسات آموزشی ارزیابی کنند؟")</f>
        <v>چگونه متخصصان املاک و مستغلات می توانند ارزش املاک را در یک منطقه مدرسه خاص یا نزدیکی به موسسات آموزشی ارزیابی کنند؟</v>
      </c>
      <c r="H5222" s="1"/>
      <c r="I5222" s="1"/>
      <c r="J5222" s="1"/>
      <c r="K5222" s="1"/>
      <c r="L5222" s="1"/>
      <c r="M5222" s="1"/>
      <c r="N5222" s="1"/>
      <c r="O5222" s="1"/>
      <c r="P5222" s="1"/>
      <c r="Q5222" s="1"/>
      <c r="R5222" s="1"/>
      <c r="S5222" s="1"/>
      <c r="T5222" s="1"/>
      <c r="U5222" s="1"/>
      <c r="V5222" s="1"/>
      <c r="W5222" s="1"/>
      <c r="X5222" s="1"/>
      <c r="Y5222" s="1"/>
      <c r="Z5222" s="1"/>
      <c r="AA5222" s="1"/>
      <c r="AB5222" s="1"/>
    </row>
    <row r="5223" ht="50.25" customHeight="1">
      <c r="A5223" s="12">
        <v>5219.0</v>
      </c>
      <c r="B5223" s="13" t="s">
        <v>5027</v>
      </c>
      <c r="C5223" s="18" t="s">
        <v>5243</v>
      </c>
      <c r="D5223" s="1"/>
      <c r="E5223" s="1"/>
      <c r="F5223" s="1" t="str">
        <f>IFERROR(__xludf.DUMMYFUNCTION("GOOGLETRANSLATE(B5223, ""en"", ""fa"")
"),"املاک و مستغلات برای حرفه ای ها")</f>
        <v>املاک و مستغلات برای حرفه ای ها</v>
      </c>
      <c r="G5223" s="1" t="str">
        <f>IFERROR(__xludf.DUMMYFUNCTION("GOOGLETRANSLATE(C5223, ""en"", ""fa"")
"),"بهترین روش ها برای تجزیه و تحلیل خطرات و مزایای بالقوه سرمایه گذاری در املاک تجاری در بخش های مختلف، مانند خرده فروشی، اداری یا صنعتی چیست؟")</f>
        <v>بهترین روش ها برای تجزیه و تحلیل خطرات و مزایای بالقوه سرمایه گذاری در املاک تجاری در بخش های مختلف، مانند خرده فروشی، اداری یا صنعتی چیست؟</v>
      </c>
      <c r="H5223" s="1"/>
      <c r="I5223" s="1"/>
      <c r="J5223" s="1"/>
      <c r="K5223" s="1"/>
      <c r="L5223" s="1"/>
      <c r="M5223" s="1"/>
      <c r="N5223" s="1"/>
      <c r="O5223" s="1"/>
      <c r="P5223" s="1"/>
      <c r="Q5223" s="1"/>
      <c r="R5223" s="1"/>
      <c r="S5223" s="1"/>
      <c r="T5223" s="1"/>
      <c r="U5223" s="1"/>
      <c r="V5223" s="1"/>
      <c r="W5223" s="1"/>
      <c r="X5223" s="1"/>
      <c r="Y5223" s="1"/>
      <c r="Z5223" s="1"/>
      <c r="AA5223" s="1"/>
      <c r="AB5223" s="1"/>
    </row>
    <row r="5224" ht="50.25" customHeight="1">
      <c r="A5224" s="12">
        <v>5220.0</v>
      </c>
      <c r="B5224" s="13" t="s">
        <v>5027</v>
      </c>
      <c r="C5224" s="18" t="s">
        <v>5244</v>
      </c>
      <c r="D5224" s="1"/>
      <c r="E5224" s="1"/>
      <c r="F5224" s="1" t="str">
        <f>IFERROR(__xludf.DUMMYFUNCTION("GOOGLETRANSLATE(B5224, ""en"", ""fa"")
"),"املاک و مستغلات برای حرفه ای ها")</f>
        <v>املاک و مستغلات برای حرفه ای ها</v>
      </c>
      <c r="G5224" s="1" t="str">
        <f>IFERROR(__xludf.DUMMYFUNCTION("GOOGLETRANSLATE(C5224, ""en"", ""fa"")
"),"چگونه متخصصان املاک و مستغلات می توانند از تحلیل رگرسیون و داده های بازار برای تعیین ارزش املاک مسکونی استفاده کنند؟")</f>
        <v>چگونه متخصصان املاک و مستغلات می توانند از تحلیل رگرسیون و داده های بازار برای تعیین ارزش املاک مسکونی استفاده کنند؟</v>
      </c>
      <c r="H5224" s="1"/>
      <c r="I5224" s="1"/>
      <c r="J5224" s="1"/>
      <c r="K5224" s="1"/>
      <c r="L5224" s="1"/>
      <c r="M5224" s="1"/>
      <c r="N5224" s="1"/>
      <c r="O5224" s="1"/>
      <c r="P5224" s="1"/>
      <c r="Q5224" s="1"/>
      <c r="R5224" s="1"/>
      <c r="S5224" s="1"/>
      <c r="T5224" s="1"/>
      <c r="U5224" s="1"/>
      <c r="V5224" s="1"/>
      <c r="W5224" s="1"/>
      <c r="X5224" s="1"/>
      <c r="Y5224" s="1"/>
      <c r="Z5224" s="1"/>
      <c r="AA5224" s="1"/>
      <c r="AB5224" s="1"/>
    </row>
    <row r="5225" ht="50.25" customHeight="1">
      <c r="A5225" s="12">
        <v>5221.0</v>
      </c>
      <c r="B5225" s="13" t="s">
        <v>5027</v>
      </c>
      <c r="C5225" s="18" t="s">
        <v>5245</v>
      </c>
      <c r="D5225" s="1"/>
      <c r="E5225" s="1"/>
      <c r="F5225" s="1" t="str">
        <f>IFERROR(__xludf.DUMMYFUNCTION("GOOGLETRANSLATE(B5225, ""en"", ""fa"")
"),"املاک و مستغلات برای حرفه ای ها")</f>
        <v>املاک و مستغلات برای حرفه ای ها</v>
      </c>
      <c r="G5225" s="1" t="str">
        <f>IFERROR(__xludf.DUMMYFUNCTION("GOOGLETRANSLATE(C5225, ""en"", ""fa"")
"),"هنگام ارزیابی ارزش بالقوه املاک در یک اسکله یا مکان دیدنی، چه عوامل مهمی باید در نظر گرفته شود؟")</f>
        <v>هنگام ارزیابی ارزش بالقوه املاک در یک اسکله یا مکان دیدنی، چه عوامل مهمی باید در نظر گرفته شود؟</v>
      </c>
      <c r="H5225" s="1"/>
      <c r="I5225" s="1"/>
      <c r="J5225" s="1"/>
      <c r="K5225" s="1"/>
      <c r="L5225" s="1"/>
      <c r="M5225" s="1"/>
      <c r="N5225" s="1"/>
      <c r="O5225" s="1"/>
      <c r="P5225" s="1"/>
      <c r="Q5225" s="1"/>
      <c r="R5225" s="1"/>
      <c r="S5225" s="1"/>
      <c r="T5225" s="1"/>
      <c r="U5225" s="1"/>
      <c r="V5225" s="1"/>
      <c r="W5225" s="1"/>
      <c r="X5225" s="1"/>
      <c r="Y5225" s="1"/>
      <c r="Z5225" s="1"/>
      <c r="AA5225" s="1"/>
      <c r="AB5225" s="1"/>
    </row>
    <row r="5226" ht="50.25" customHeight="1">
      <c r="A5226" s="12">
        <v>5222.0</v>
      </c>
      <c r="B5226" s="13" t="s">
        <v>5027</v>
      </c>
      <c r="C5226" s="18" t="s">
        <v>5246</v>
      </c>
      <c r="D5226" s="1"/>
      <c r="E5226" s="1"/>
      <c r="F5226" s="1" t="str">
        <f>IFERROR(__xludf.DUMMYFUNCTION("GOOGLETRANSLATE(B5226, ""en"", ""fa"")
"),"املاک و مستغلات برای حرفه ای ها")</f>
        <v>املاک و مستغلات برای حرفه ای ها</v>
      </c>
      <c r="G5226" s="1" t="str">
        <f>IFERROR(__xludf.DUMMYFUNCTION("GOOGLETRANSLATE(C5226, ""en"", ""fa"")
"),"چگونه متخصصان املاک و مستغلات می توانند درآمد اجاره املاک مسکونی چند خانواده را تجزیه و تحلیل و طرح ریزی کنند؟")</f>
        <v>چگونه متخصصان املاک و مستغلات می توانند درآمد اجاره املاک مسکونی چند خانواده را تجزیه و تحلیل و طرح ریزی کنند؟</v>
      </c>
      <c r="H5226" s="1"/>
      <c r="I5226" s="1"/>
      <c r="J5226" s="1"/>
      <c r="K5226" s="1"/>
      <c r="L5226" s="1"/>
      <c r="M5226" s="1"/>
      <c r="N5226" s="1"/>
      <c r="O5226" s="1"/>
      <c r="P5226" s="1"/>
      <c r="Q5226" s="1"/>
      <c r="R5226" s="1"/>
      <c r="S5226" s="1"/>
      <c r="T5226" s="1"/>
      <c r="U5226" s="1"/>
      <c r="V5226" s="1"/>
      <c r="W5226" s="1"/>
      <c r="X5226" s="1"/>
      <c r="Y5226" s="1"/>
      <c r="Z5226" s="1"/>
      <c r="AA5226" s="1"/>
      <c r="AB5226" s="1"/>
    </row>
    <row r="5227" ht="50.25" customHeight="1">
      <c r="A5227" s="12">
        <v>5223.0</v>
      </c>
      <c r="B5227" s="13" t="s">
        <v>5027</v>
      </c>
      <c r="C5227" s="18" t="s">
        <v>5247</v>
      </c>
      <c r="D5227" s="1"/>
      <c r="E5227" s="1"/>
      <c r="F5227" s="1" t="str">
        <f>IFERROR(__xludf.DUMMYFUNCTION("GOOGLETRANSLATE(B5227, ""en"", ""fa"")
"),"املاک و مستغلات برای حرفه ای ها")</f>
        <v>املاک و مستغلات برای حرفه ای ها</v>
      </c>
      <c r="G5227" s="1" t="str">
        <f>IFERROR(__xludf.DUMMYFUNCTION("GOOGLETRANSLATE(C5227, ""en"", ""fa"")
"),"مراحل ضروری برای انجام تحلیل هزینه و تعیین ارزش املاک ساختمانی جدید چیست؟")</f>
        <v>مراحل ضروری برای انجام تحلیل هزینه و تعیین ارزش املاک ساختمانی جدید چیست؟</v>
      </c>
      <c r="H5227" s="1"/>
      <c r="I5227" s="1"/>
      <c r="J5227" s="1"/>
      <c r="K5227" s="1"/>
      <c r="L5227" s="1"/>
      <c r="M5227" s="1"/>
      <c r="N5227" s="1"/>
      <c r="O5227" s="1"/>
      <c r="P5227" s="1"/>
      <c r="Q5227" s="1"/>
      <c r="R5227" s="1"/>
      <c r="S5227" s="1"/>
      <c r="T5227" s="1"/>
      <c r="U5227" s="1"/>
      <c r="V5227" s="1"/>
      <c r="W5227" s="1"/>
      <c r="X5227" s="1"/>
      <c r="Y5227" s="1"/>
      <c r="Z5227" s="1"/>
      <c r="AA5227" s="1"/>
      <c r="AB5227" s="1"/>
    </row>
    <row r="5228" ht="50.25" customHeight="1">
      <c r="A5228" s="12">
        <v>5224.0</v>
      </c>
      <c r="B5228" s="13" t="s">
        <v>5027</v>
      </c>
      <c r="C5228" s="18" t="s">
        <v>5248</v>
      </c>
      <c r="D5228" s="1"/>
      <c r="E5228" s="1"/>
      <c r="F5228" s="1" t="str">
        <f>IFERROR(__xludf.DUMMYFUNCTION("GOOGLETRANSLATE(B5228, ""en"", ""fa"")
"),"املاک و مستغلات برای حرفه ای ها")</f>
        <v>املاک و مستغلات برای حرفه ای ها</v>
      </c>
      <c r="G5228" s="1" t="str">
        <f>IFERROR(__xludf.DUMMYFUNCTION("GOOGLETRANSLATE(C5228, ""en"", ""fa"")
"),"چگونه متخصصان املاک و مستغلات می توانند ارزش املاک را در یک منطقه آب و هوایی خاص یا مستعد آب و هوا ارزیابی کنند؟")</f>
        <v>چگونه متخصصان املاک و مستغلات می توانند ارزش املاک را در یک منطقه آب و هوایی خاص یا مستعد آب و هوا ارزیابی کنند؟</v>
      </c>
      <c r="H5228" s="1"/>
      <c r="I5228" s="1"/>
      <c r="J5228" s="1"/>
      <c r="K5228" s="1"/>
      <c r="L5228" s="1"/>
      <c r="M5228" s="1"/>
      <c r="N5228" s="1"/>
      <c r="O5228" s="1"/>
      <c r="P5228" s="1"/>
      <c r="Q5228" s="1"/>
      <c r="R5228" s="1"/>
      <c r="S5228" s="1"/>
      <c r="T5228" s="1"/>
      <c r="U5228" s="1"/>
      <c r="V5228" s="1"/>
      <c r="W5228" s="1"/>
      <c r="X5228" s="1"/>
      <c r="Y5228" s="1"/>
      <c r="Z5228" s="1"/>
      <c r="AA5228" s="1"/>
      <c r="AB5228" s="1"/>
    </row>
    <row r="5229" ht="50.25" customHeight="1">
      <c r="A5229" s="12">
        <v>5225.0</v>
      </c>
      <c r="B5229" s="13" t="s">
        <v>5027</v>
      </c>
      <c r="C5229" s="18" t="s">
        <v>5249</v>
      </c>
      <c r="D5229" s="1"/>
      <c r="E5229" s="1"/>
      <c r="F5229" s="1" t="str">
        <f>IFERROR(__xludf.DUMMYFUNCTION("GOOGLETRANSLATE(B5229, ""en"", ""fa"")
"),"املاک و مستغلات برای حرفه ای ها")</f>
        <v>املاک و مستغلات برای حرفه ای ها</v>
      </c>
      <c r="G5229" s="1" t="str">
        <f>IFERROR(__xludf.DUMMYFUNCTION("GOOGLETRANSLATE(C5229, ""en"", ""fa"")
"),"ملاحظات کلیدی هنگام ارزیابی ارزش بالقوه و قابلیت‌های درآمدزای دارایی‌های زندگی سالمندان یا املاک زندگی کمکی چیست؟")</f>
        <v>ملاحظات کلیدی هنگام ارزیابی ارزش بالقوه و قابلیت‌های درآمدزای دارایی‌های زندگی سالمندان یا املاک زندگی کمکی چیست؟</v>
      </c>
      <c r="H5229" s="1"/>
      <c r="I5229" s="1"/>
      <c r="J5229" s="1"/>
      <c r="K5229" s="1"/>
      <c r="L5229" s="1"/>
      <c r="M5229" s="1"/>
      <c r="N5229" s="1"/>
      <c r="O5229" s="1"/>
      <c r="P5229" s="1"/>
      <c r="Q5229" s="1"/>
      <c r="R5229" s="1"/>
      <c r="S5229" s="1"/>
      <c r="T5229" s="1"/>
      <c r="U5229" s="1"/>
      <c r="V5229" s="1"/>
      <c r="W5229" s="1"/>
      <c r="X5229" s="1"/>
      <c r="Y5229" s="1"/>
      <c r="Z5229" s="1"/>
      <c r="AA5229" s="1"/>
      <c r="AB5229" s="1"/>
    </row>
    <row r="5230" ht="50.25" customHeight="1">
      <c r="A5230" s="12">
        <v>5226.0</v>
      </c>
      <c r="B5230" s="13" t="s">
        <v>5027</v>
      </c>
      <c r="C5230" s="18" t="s">
        <v>5250</v>
      </c>
      <c r="D5230" s="1"/>
      <c r="E5230" s="1"/>
      <c r="F5230" s="1" t="str">
        <f>IFERROR(__xludf.DUMMYFUNCTION("GOOGLETRANSLATE(B5230, ""en"", ""fa"")
"),"املاک و مستغلات برای حرفه ای ها")</f>
        <v>املاک و مستغلات برای حرفه ای ها</v>
      </c>
      <c r="G5230" s="1" t="str">
        <f>IFERROR(__xludf.DUMMYFUNCTION("GOOGLETRANSLATE(C5230, ""en"", ""fa"")
"),"چگونه متخصصان املاک و مستغلات می توانند از روش سرمایه گذاری درآمد برای ارزش گذاری املاک تجاری استفاده کنند؟")</f>
        <v>چگونه متخصصان املاک و مستغلات می توانند از روش سرمایه گذاری درآمد برای ارزش گذاری املاک تجاری استفاده کنند؟</v>
      </c>
      <c r="H5230" s="1"/>
      <c r="I5230" s="1"/>
      <c r="J5230" s="1"/>
      <c r="K5230" s="1"/>
      <c r="L5230" s="1"/>
      <c r="M5230" s="1"/>
      <c r="N5230" s="1"/>
      <c r="O5230" s="1"/>
      <c r="P5230" s="1"/>
      <c r="Q5230" s="1"/>
      <c r="R5230" s="1"/>
      <c r="S5230" s="1"/>
      <c r="T5230" s="1"/>
      <c r="U5230" s="1"/>
      <c r="V5230" s="1"/>
      <c r="W5230" s="1"/>
      <c r="X5230" s="1"/>
      <c r="Y5230" s="1"/>
      <c r="Z5230" s="1"/>
      <c r="AA5230" s="1"/>
      <c r="AB5230" s="1"/>
    </row>
    <row r="5231" ht="50.25" customHeight="1">
      <c r="A5231" s="12">
        <v>5227.0</v>
      </c>
      <c r="B5231" s="13" t="s">
        <v>5027</v>
      </c>
      <c r="C5231" s="18" t="s">
        <v>5251</v>
      </c>
      <c r="D5231" s="1"/>
      <c r="E5231" s="1"/>
      <c r="F5231" s="1" t="str">
        <f>IFERROR(__xludf.DUMMYFUNCTION("GOOGLETRANSLATE(B5231, ""en"", ""fa"")
"),"املاک و مستغلات برای حرفه ای ها")</f>
        <v>املاک و مستغلات برای حرفه ای ها</v>
      </c>
      <c r="G5231" s="1" t="str">
        <f>IFERROR(__xludf.DUMMYFUNCTION("GOOGLETRANSLATE(C5231, ""en"", ""fa"")
"),"بهترین روش ها برای تجزیه و تحلیل و ارزش گذاری املاک با ویژگی های منحصر به فرد معماری یا اهمیت تاریخی چیست؟")</f>
        <v>بهترین روش ها برای تجزیه و تحلیل و ارزش گذاری املاک با ویژگی های منحصر به فرد معماری یا اهمیت تاریخی چیست؟</v>
      </c>
      <c r="H5231" s="1"/>
      <c r="I5231" s="1"/>
      <c r="J5231" s="1"/>
      <c r="K5231" s="1"/>
      <c r="L5231" s="1"/>
      <c r="M5231" s="1"/>
      <c r="N5231" s="1"/>
      <c r="O5231" s="1"/>
      <c r="P5231" s="1"/>
      <c r="Q5231" s="1"/>
      <c r="R5231" s="1"/>
      <c r="S5231" s="1"/>
      <c r="T5231" s="1"/>
      <c r="U5231" s="1"/>
      <c r="V5231" s="1"/>
      <c r="W5231" s="1"/>
      <c r="X5231" s="1"/>
      <c r="Y5231" s="1"/>
      <c r="Z5231" s="1"/>
      <c r="AA5231" s="1"/>
      <c r="AB5231" s="1"/>
    </row>
    <row r="5232" ht="50.25" customHeight="1">
      <c r="A5232" s="12">
        <v>5228.0</v>
      </c>
      <c r="B5232" s="13" t="s">
        <v>5027</v>
      </c>
      <c r="C5232" s="18" t="s">
        <v>5252</v>
      </c>
      <c r="D5232" s="1"/>
      <c r="E5232" s="1"/>
      <c r="F5232" s="1" t="str">
        <f>IFERROR(__xludf.DUMMYFUNCTION("GOOGLETRANSLATE(B5232, ""en"", ""fa"")
"),"املاک و مستغلات برای حرفه ای ها")</f>
        <v>املاک و مستغلات برای حرفه ای ها</v>
      </c>
      <c r="G5232" s="1" t="str">
        <f>IFERROR(__xludf.DUMMYFUNCTION("GOOGLETRANSLATE(C5232, ""en"", ""fa"")
"),"چگونه متخصصان املاک و مستغلات می توانند ارزش املاک را در یک مقصد خاص توریستی یا تعطیلات ارزیابی کنند؟")</f>
        <v>چگونه متخصصان املاک و مستغلات می توانند ارزش املاک را در یک مقصد خاص توریستی یا تعطیلات ارزیابی کنند؟</v>
      </c>
      <c r="H5232" s="1"/>
      <c r="I5232" s="1"/>
      <c r="J5232" s="1"/>
      <c r="K5232" s="1"/>
      <c r="L5232" s="1"/>
      <c r="M5232" s="1"/>
      <c r="N5232" s="1"/>
      <c r="O5232" s="1"/>
      <c r="P5232" s="1"/>
      <c r="Q5232" s="1"/>
      <c r="R5232" s="1"/>
      <c r="S5232" s="1"/>
      <c r="T5232" s="1"/>
      <c r="U5232" s="1"/>
      <c r="V5232" s="1"/>
      <c r="W5232" s="1"/>
      <c r="X5232" s="1"/>
      <c r="Y5232" s="1"/>
      <c r="Z5232" s="1"/>
      <c r="AA5232" s="1"/>
      <c r="AB5232" s="1"/>
    </row>
    <row r="5233" ht="50.25" customHeight="1">
      <c r="A5233" s="12">
        <v>5229.0</v>
      </c>
      <c r="B5233" s="13" t="s">
        <v>5027</v>
      </c>
      <c r="C5233" s="18" t="s">
        <v>5253</v>
      </c>
      <c r="D5233" s="1"/>
      <c r="E5233" s="1"/>
      <c r="F5233" s="1" t="str">
        <f>IFERROR(__xludf.DUMMYFUNCTION("GOOGLETRANSLATE(B5233, ""en"", ""fa"")
"),"املاک و مستغلات برای حرفه ای ها")</f>
        <v>املاک و مستغلات برای حرفه ای ها</v>
      </c>
      <c r="G5233" s="1" t="str">
        <f>IFERROR(__xludf.DUMMYFUNCTION("GOOGLETRANSLATE(C5233, ""en"", ""fa"")
"),"هنگام ارزیابی ارزش بالقوه و قابلیت‌های درآمدزایی تسهیلات خودذخیره‌سازی، چه عوامل مهمی باید در نظر گرفته شود؟")</f>
        <v>هنگام ارزیابی ارزش بالقوه و قابلیت‌های درآمدزایی تسهیلات خودذخیره‌سازی، چه عوامل مهمی باید در نظر گرفته شود؟</v>
      </c>
      <c r="H5233" s="1"/>
      <c r="I5233" s="1"/>
      <c r="J5233" s="1"/>
      <c r="K5233" s="1"/>
      <c r="L5233" s="1"/>
      <c r="M5233" s="1"/>
      <c r="N5233" s="1"/>
      <c r="O5233" s="1"/>
      <c r="P5233" s="1"/>
      <c r="Q5233" s="1"/>
      <c r="R5233" s="1"/>
      <c r="S5233" s="1"/>
      <c r="T5233" s="1"/>
      <c r="U5233" s="1"/>
      <c r="V5233" s="1"/>
      <c r="W5233" s="1"/>
      <c r="X5233" s="1"/>
      <c r="Y5233" s="1"/>
      <c r="Z5233" s="1"/>
      <c r="AA5233" s="1"/>
      <c r="AB5233" s="1"/>
    </row>
    <row r="5234" ht="50.25" customHeight="1">
      <c r="A5234" s="12">
        <v>5230.0</v>
      </c>
      <c r="B5234" s="13" t="s">
        <v>5027</v>
      </c>
      <c r="C5234" s="18" t="s">
        <v>5254</v>
      </c>
      <c r="D5234" s="1"/>
      <c r="E5234" s="1"/>
      <c r="F5234" s="1" t="str">
        <f>IFERROR(__xludf.DUMMYFUNCTION("GOOGLETRANSLATE(B5234, ""en"", ""fa"")
"),"املاک و مستغلات برای حرفه ای ها")</f>
        <v>املاک و مستغلات برای حرفه ای ها</v>
      </c>
      <c r="G5234" s="1" t="str">
        <f>IFERROR(__xludf.DUMMYFUNCTION("GOOGLETRANSLATE(C5234, ""en"", ""fa"")
"),"چگونه متخصصان املاک و مستغلات می توانند ارزش و عملکرد وسایل نقلیه مختلف سرمایه گذاری املاک، مانند REIT یا سندیکای املاک و مستغلات را تجزیه و تحلیل و مقایسه کنند؟")</f>
        <v>چگونه متخصصان املاک و مستغلات می توانند ارزش و عملکرد وسایل نقلیه مختلف سرمایه گذاری املاک، مانند REIT یا سندیکای املاک و مستغلات را تجزیه و تحلیل و مقایسه کنند؟</v>
      </c>
      <c r="H5234" s="1"/>
      <c r="I5234" s="1"/>
      <c r="J5234" s="1"/>
      <c r="K5234" s="1"/>
      <c r="L5234" s="1"/>
      <c r="M5234" s="1"/>
      <c r="N5234" s="1"/>
      <c r="O5234" s="1"/>
      <c r="P5234" s="1"/>
      <c r="Q5234" s="1"/>
      <c r="R5234" s="1"/>
      <c r="S5234" s="1"/>
      <c r="T5234" s="1"/>
      <c r="U5234" s="1"/>
      <c r="V5234" s="1"/>
      <c r="W5234" s="1"/>
      <c r="X5234" s="1"/>
      <c r="Y5234" s="1"/>
      <c r="Z5234" s="1"/>
      <c r="AA5234" s="1"/>
      <c r="AB5234" s="1"/>
    </row>
    <row r="5235" ht="50.25" customHeight="1">
      <c r="A5235" s="12">
        <v>5231.0</v>
      </c>
      <c r="B5235" s="13" t="s">
        <v>5027</v>
      </c>
      <c r="C5235" s="18" t="s">
        <v>5255</v>
      </c>
      <c r="D5235" s="1"/>
      <c r="E5235" s="1"/>
      <c r="F5235" s="1" t="str">
        <f>IFERROR(__xludf.DUMMYFUNCTION("GOOGLETRANSLATE(B5235, ""en"", ""fa"")
"),"املاک و مستغلات برای حرفه ای ها")</f>
        <v>املاک و مستغلات برای حرفه ای ها</v>
      </c>
      <c r="G5235" s="1" t="str">
        <f>IFERROR(__xludf.DUMMYFUNCTION("GOOGLETRANSLATE(C5235, ""en"", ""fa"")
"),"مراحل ضروری برای انجام مطالعات امکان سنجی زمین و تعیین پتانسیل توسعه آن چیست؟")</f>
        <v>مراحل ضروری برای انجام مطالعات امکان سنجی زمین و تعیین پتانسیل توسعه آن چیست؟</v>
      </c>
      <c r="H5235" s="1"/>
      <c r="I5235" s="1"/>
      <c r="J5235" s="1"/>
      <c r="K5235" s="1"/>
      <c r="L5235" s="1"/>
      <c r="M5235" s="1"/>
      <c r="N5235" s="1"/>
      <c r="O5235" s="1"/>
      <c r="P5235" s="1"/>
      <c r="Q5235" s="1"/>
      <c r="R5235" s="1"/>
      <c r="S5235" s="1"/>
      <c r="T5235" s="1"/>
      <c r="U5235" s="1"/>
      <c r="V5235" s="1"/>
      <c r="W5235" s="1"/>
      <c r="X5235" s="1"/>
      <c r="Y5235" s="1"/>
      <c r="Z5235" s="1"/>
      <c r="AA5235" s="1"/>
      <c r="AB5235" s="1"/>
    </row>
    <row r="5236" ht="50.25" customHeight="1">
      <c r="A5236" s="12">
        <v>5232.0</v>
      </c>
      <c r="B5236" s="13" t="s">
        <v>5027</v>
      </c>
      <c r="C5236" s="18" t="s">
        <v>5256</v>
      </c>
      <c r="D5236" s="1"/>
      <c r="E5236" s="1"/>
      <c r="F5236" s="1" t="str">
        <f>IFERROR(__xludf.DUMMYFUNCTION("GOOGLETRANSLATE(B5236, ""en"", ""fa"")
"),"املاک و مستغلات برای حرفه ای ها")</f>
        <v>املاک و مستغلات برای حرفه ای ها</v>
      </c>
      <c r="G5236" s="1" t="str">
        <f>IFERROR(__xludf.DUMMYFUNCTION("GOOGLETRANSLATE(C5236, ""en"", ""fa"")
"),"چگونه متخصصان املاک و مستغلات می توانند ارزش املاک را در یک بازار خاص که اعیانی شدن سریع را تجربه می کند، ارزیابی کنند؟")</f>
        <v>چگونه متخصصان املاک و مستغلات می توانند ارزش املاک را در یک بازار خاص که اعیانی شدن سریع را تجربه می کند، ارزیابی کنند؟</v>
      </c>
      <c r="H5236" s="1"/>
      <c r="I5236" s="1"/>
      <c r="J5236" s="1"/>
      <c r="K5236" s="1"/>
      <c r="L5236" s="1"/>
      <c r="M5236" s="1"/>
      <c r="N5236" s="1"/>
      <c r="O5236" s="1"/>
      <c r="P5236" s="1"/>
      <c r="Q5236" s="1"/>
      <c r="R5236" s="1"/>
      <c r="S5236" s="1"/>
      <c r="T5236" s="1"/>
      <c r="U5236" s="1"/>
      <c r="V5236" s="1"/>
      <c r="W5236" s="1"/>
      <c r="X5236" s="1"/>
      <c r="Y5236" s="1"/>
      <c r="Z5236" s="1"/>
      <c r="AA5236" s="1"/>
      <c r="AB5236" s="1"/>
    </row>
    <row r="5237" ht="50.25" customHeight="1">
      <c r="A5237" s="12">
        <v>5233.0</v>
      </c>
      <c r="B5237" s="13" t="s">
        <v>5027</v>
      </c>
      <c r="C5237" s="18" t="s">
        <v>5257</v>
      </c>
      <c r="D5237" s="1"/>
      <c r="E5237" s="1"/>
      <c r="F5237" s="1" t="str">
        <f>IFERROR(__xludf.DUMMYFUNCTION("GOOGLETRANSLATE(B5237, ""en"", ""fa"")
"),"املاک و مستغلات برای حرفه ای ها")</f>
        <v>املاک و مستغلات برای حرفه ای ها</v>
      </c>
      <c r="G5237" s="1" t="str">
        <f>IFERROR(__xludf.DUMMYFUNCTION("GOOGLETRANSLATE(C5237, ""en"", ""fa"")
"),"ملاحظات کلیدی هنگام ارزیابی ارزش بالقوه و قابلیت‌های درآمدزایی پارک‌های خانه سیار چیست؟")</f>
        <v>ملاحظات کلیدی هنگام ارزیابی ارزش بالقوه و قابلیت‌های درآمدزایی پارک‌های خانه سیار چیست؟</v>
      </c>
      <c r="H5237" s="1"/>
      <c r="I5237" s="1"/>
      <c r="J5237" s="1"/>
      <c r="K5237" s="1"/>
      <c r="L5237" s="1"/>
      <c r="M5237" s="1"/>
      <c r="N5237" s="1"/>
      <c r="O5237" s="1"/>
      <c r="P5237" s="1"/>
      <c r="Q5237" s="1"/>
      <c r="R5237" s="1"/>
      <c r="S5237" s="1"/>
      <c r="T5237" s="1"/>
      <c r="U5237" s="1"/>
      <c r="V5237" s="1"/>
      <c r="W5237" s="1"/>
      <c r="X5237" s="1"/>
      <c r="Y5237" s="1"/>
      <c r="Z5237" s="1"/>
      <c r="AA5237" s="1"/>
      <c r="AB5237" s="1"/>
    </row>
    <row r="5238" ht="50.25" customHeight="1">
      <c r="A5238" s="12">
        <v>5234.0</v>
      </c>
      <c r="B5238" s="13" t="s">
        <v>5027</v>
      </c>
      <c r="C5238" s="18" t="s">
        <v>5258</v>
      </c>
      <c r="D5238" s="1"/>
      <c r="E5238" s="1"/>
      <c r="F5238" s="1" t="str">
        <f>IFERROR(__xludf.DUMMYFUNCTION("GOOGLETRANSLATE(B5238, ""en"", ""fa"")
"),"املاک و مستغلات برای حرفه ای ها")</f>
        <v>املاک و مستغلات برای حرفه ای ها</v>
      </c>
      <c r="G5238" s="1" t="str">
        <f>IFERROR(__xludf.DUMMYFUNCTION("GOOGLETRANSLATE(C5238, ""en"", ""fa"")
"),"چگونه متخصصان املاک و مستغلات می توانند تأثیر زیرساخت های حمل و نقل، مانند بزرگراه ها یا حمل و نقل عمومی را بر ارزش املاک تجزیه و تحلیل کنند؟")</f>
        <v>چگونه متخصصان املاک و مستغلات می توانند تأثیر زیرساخت های حمل و نقل، مانند بزرگراه ها یا حمل و نقل عمومی را بر ارزش املاک تجزیه و تحلیل کنند؟</v>
      </c>
      <c r="H5238" s="1"/>
      <c r="I5238" s="1"/>
      <c r="J5238" s="1"/>
      <c r="K5238" s="1"/>
      <c r="L5238" s="1"/>
      <c r="M5238" s="1"/>
      <c r="N5238" s="1"/>
      <c r="O5238" s="1"/>
      <c r="P5238" s="1"/>
      <c r="Q5238" s="1"/>
      <c r="R5238" s="1"/>
      <c r="S5238" s="1"/>
      <c r="T5238" s="1"/>
      <c r="U5238" s="1"/>
      <c r="V5238" s="1"/>
      <c r="W5238" s="1"/>
      <c r="X5238" s="1"/>
      <c r="Y5238" s="1"/>
      <c r="Z5238" s="1"/>
      <c r="AA5238" s="1"/>
      <c r="AB5238" s="1"/>
    </row>
    <row r="5239" ht="50.25" customHeight="1">
      <c r="A5239" s="12">
        <v>5235.0</v>
      </c>
      <c r="B5239" s="13" t="s">
        <v>5027</v>
      </c>
      <c r="C5239" s="18" t="s">
        <v>5259</v>
      </c>
      <c r="D5239" s="1"/>
      <c r="E5239" s="1"/>
      <c r="F5239" s="1" t="str">
        <f>IFERROR(__xludf.DUMMYFUNCTION("GOOGLETRANSLATE(B5239, ""en"", ""fa"")
"),"املاک و مستغلات برای حرفه ای ها")</f>
        <v>املاک و مستغلات برای حرفه ای ها</v>
      </c>
      <c r="G5239" s="1" t="str">
        <f>IFERROR(__xludf.DUMMYFUNCTION("GOOGLETRANSLATE(C5239, ""en"", ""fa"")
"),"بهترین روش ها برای تجزیه و تحلیل و ارزش گذاری املاک تجاری با اجاره بلندمدت یا مستاجران لنگر چیست؟")</f>
        <v>بهترین روش ها برای تجزیه و تحلیل و ارزش گذاری املاک تجاری با اجاره بلندمدت یا مستاجران لنگر چیست؟</v>
      </c>
      <c r="H5239" s="1"/>
      <c r="I5239" s="1"/>
      <c r="J5239" s="1"/>
      <c r="K5239" s="1"/>
      <c r="L5239" s="1"/>
      <c r="M5239" s="1"/>
      <c r="N5239" s="1"/>
      <c r="O5239" s="1"/>
      <c r="P5239" s="1"/>
      <c r="Q5239" s="1"/>
      <c r="R5239" s="1"/>
      <c r="S5239" s="1"/>
      <c r="T5239" s="1"/>
      <c r="U5239" s="1"/>
      <c r="V5239" s="1"/>
      <c r="W5239" s="1"/>
      <c r="X5239" s="1"/>
      <c r="Y5239" s="1"/>
      <c r="Z5239" s="1"/>
      <c r="AA5239" s="1"/>
      <c r="AB5239" s="1"/>
    </row>
    <row r="5240" ht="50.25" customHeight="1">
      <c r="A5240" s="12">
        <v>5236.0</v>
      </c>
      <c r="B5240" s="13" t="s">
        <v>5027</v>
      </c>
      <c r="C5240" s="18" t="s">
        <v>5260</v>
      </c>
      <c r="D5240" s="1"/>
      <c r="E5240" s="1"/>
      <c r="F5240" s="1" t="str">
        <f>IFERROR(__xludf.DUMMYFUNCTION("GOOGLETRANSLATE(B5240, ""en"", ""fa"")
"),"املاک و مستغلات برای حرفه ای ها")</f>
        <v>املاک و مستغلات برای حرفه ای ها</v>
      </c>
      <c r="G5240" s="1" t="str">
        <f>IFERROR(__xludf.DUMMYFUNCTION("GOOGLETRANSLATE(C5240, ""en"", ""fa"")
"),"چگونه متخصصان املاک و مستغلات می توانند ارزش املاک را در یک بازار خاص که به دلیل فرصت های تفریحی در فضای باز شناخته شده است ارزیابی کنند؟")</f>
        <v>چگونه متخصصان املاک و مستغلات می توانند ارزش املاک را در یک بازار خاص که به دلیل فرصت های تفریحی در فضای باز شناخته شده است ارزیابی کنند؟</v>
      </c>
      <c r="H5240" s="1"/>
      <c r="I5240" s="1"/>
      <c r="J5240" s="1"/>
      <c r="K5240" s="1"/>
      <c r="L5240" s="1"/>
      <c r="M5240" s="1"/>
      <c r="N5240" s="1"/>
      <c r="O5240" s="1"/>
      <c r="P5240" s="1"/>
      <c r="Q5240" s="1"/>
      <c r="R5240" s="1"/>
      <c r="S5240" s="1"/>
      <c r="T5240" s="1"/>
      <c r="U5240" s="1"/>
      <c r="V5240" s="1"/>
      <c r="W5240" s="1"/>
      <c r="X5240" s="1"/>
      <c r="Y5240" s="1"/>
      <c r="Z5240" s="1"/>
      <c r="AA5240" s="1"/>
      <c r="AB5240" s="1"/>
    </row>
    <row r="5241" ht="50.25" customHeight="1">
      <c r="A5241" s="12">
        <v>5237.0</v>
      </c>
      <c r="B5241" s="13" t="s">
        <v>5027</v>
      </c>
      <c r="C5241" s="18" t="s">
        <v>5261</v>
      </c>
      <c r="D5241" s="1"/>
      <c r="E5241" s="1"/>
      <c r="F5241" s="1" t="str">
        <f>IFERROR(__xludf.DUMMYFUNCTION("GOOGLETRANSLATE(B5241, ""en"", ""fa"")
"),"املاک و مستغلات برای حرفه ای ها")</f>
        <v>املاک و مستغلات برای حرفه ای ها</v>
      </c>
      <c r="G5241" s="1" t="str">
        <f>IFERROR(__xludf.DUMMYFUNCTION("GOOGLETRANSLATE(C5241, ""en"", ""fa"")
"),"هنگام ارزیابی ارزش بالقوه و قابلیت‌های درآمدزایی تأسیسات ذخیره‌سازی یا انبارها، چه عوامل مهمی باید در نظر گرفته شود؟")</f>
        <v>هنگام ارزیابی ارزش بالقوه و قابلیت‌های درآمدزایی تأسیسات ذخیره‌سازی یا انبارها، چه عوامل مهمی باید در نظر گرفته شود؟</v>
      </c>
      <c r="H5241" s="1"/>
      <c r="I5241" s="1"/>
      <c r="J5241" s="1"/>
      <c r="K5241" s="1"/>
      <c r="L5241" s="1"/>
      <c r="M5241" s="1"/>
      <c r="N5241" s="1"/>
      <c r="O5241" s="1"/>
      <c r="P5241" s="1"/>
      <c r="Q5241" s="1"/>
      <c r="R5241" s="1"/>
      <c r="S5241" s="1"/>
      <c r="T5241" s="1"/>
      <c r="U5241" s="1"/>
      <c r="V5241" s="1"/>
      <c r="W5241" s="1"/>
      <c r="X5241" s="1"/>
      <c r="Y5241" s="1"/>
      <c r="Z5241" s="1"/>
      <c r="AA5241" s="1"/>
      <c r="AB5241" s="1"/>
    </row>
    <row r="5242" ht="50.25" customHeight="1">
      <c r="A5242" s="12">
        <v>5238.0</v>
      </c>
      <c r="B5242" s="13" t="s">
        <v>5027</v>
      </c>
      <c r="C5242" s="18" t="s">
        <v>5262</v>
      </c>
      <c r="D5242" s="1"/>
      <c r="E5242" s="1"/>
      <c r="F5242" s="1" t="str">
        <f>IFERROR(__xludf.DUMMYFUNCTION("GOOGLETRANSLATE(B5242, ""en"", ""fa"")
"),"املاک و مستغلات برای حرفه ای ها")</f>
        <v>املاک و مستغلات برای حرفه ای ها</v>
      </c>
      <c r="G5242" s="1" t="str">
        <f>IFERROR(__xludf.DUMMYFUNCTION("GOOGLETRANSLATE(C5242, ""en"", ""fa"")
"),"چگونه متخصصان املاک و مستغلات می توانند از روش هزینه جایگزینی برای ارزش گذاری املاک، به ویژه برای املاک تخصصی یا منحصر به فرد استفاده کنند؟")</f>
        <v>چگونه متخصصان املاک و مستغلات می توانند از روش هزینه جایگزینی برای ارزش گذاری املاک، به ویژه برای املاک تخصصی یا منحصر به فرد استفاده کنند؟</v>
      </c>
      <c r="H5242" s="1"/>
      <c r="I5242" s="1"/>
      <c r="J5242" s="1"/>
      <c r="K5242" s="1"/>
      <c r="L5242" s="1"/>
      <c r="M5242" s="1"/>
      <c r="N5242" s="1"/>
      <c r="O5242" s="1"/>
      <c r="P5242" s="1"/>
      <c r="Q5242" s="1"/>
      <c r="R5242" s="1"/>
      <c r="S5242" s="1"/>
      <c r="T5242" s="1"/>
      <c r="U5242" s="1"/>
      <c r="V5242" s="1"/>
      <c r="W5242" s="1"/>
      <c r="X5242" s="1"/>
      <c r="Y5242" s="1"/>
      <c r="Z5242" s="1"/>
      <c r="AA5242" s="1"/>
      <c r="AB5242" s="1"/>
    </row>
    <row r="5243" ht="50.25" customHeight="1">
      <c r="A5243" s="12">
        <v>5239.0</v>
      </c>
      <c r="B5243" s="13" t="s">
        <v>5027</v>
      </c>
      <c r="C5243" s="18" t="s">
        <v>5263</v>
      </c>
      <c r="D5243" s="1"/>
      <c r="E5243" s="1"/>
      <c r="F5243" s="1" t="str">
        <f>IFERROR(__xludf.DUMMYFUNCTION("GOOGLETRANSLATE(B5243, ""en"", ""fa"")
"),"املاک و مستغلات برای حرفه ای ها")</f>
        <v>املاک و مستغلات برای حرفه ای ها</v>
      </c>
      <c r="G5243" s="1" t="str">
        <f>IFERROR(__xludf.DUMMYFUNCTION("GOOGLETRANSLATE(C5243, ""en"", ""fa"")
"),"ملاحظات کلیدی هنگام ارزیابی ارزش بالقوه و قابلیت‌های درآمدزای هتل‌ها یا هتل‌ها چیست؟")</f>
        <v>ملاحظات کلیدی هنگام ارزیابی ارزش بالقوه و قابلیت‌های درآمدزای هتل‌ها یا هتل‌ها چیست؟</v>
      </c>
      <c r="H5243" s="1"/>
      <c r="I5243" s="1"/>
      <c r="J5243" s="1"/>
      <c r="K5243" s="1"/>
      <c r="L5243" s="1"/>
      <c r="M5243" s="1"/>
      <c r="N5243" s="1"/>
      <c r="O5243" s="1"/>
      <c r="P5243" s="1"/>
      <c r="Q5243" s="1"/>
      <c r="R5243" s="1"/>
      <c r="S5243" s="1"/>
      <c r="T5243" s="1"/>
      <c r="U5243" s="1"/>
      <c r="V5243" s="1"/>
      <c r="W5243" s="1"/>
      <c r="X5243" s="1"/>
      <c r="Y5243" s="1"/>
      <c r="Z5243" s="1"/>
      <c r="AA5243" s="1"/>
      <c r="AB5243" s="1"/>
    </row>
    <row r="5244" ht="50.25" customHeight="1">
      <c r="A5244" s="12">
        <v>5240.0</v>
      </c>
      <c r="B5244" s="13" t="s">
        <v>5027</v>
      </c>
      <c r="C5244" s="18" t="s">
        <v>5264</v>
      </c>
      <c r="D5244" s="1"/>
      <c r="E5244" s="1"/>
      <c r="F5244" s="1" t="str">
        <f>IFERROR(__xludf.DUMMYFUNCTION("GOOGLETRANSLATE(B5244, ""en"", ""fa"")
"),"املاک و مستغلات برای حرفه ای ها")</f>
        <v>املاک و مستغلات برای حرفه ای ها</v>
      </c>
      <c r="G5244" s="1" t="str">
        <f>IFERROR(__xludf.DUMMYFUNCTION("GOOGLETRANSLATE(C5244, ""en"", ""fa"")
"),"متخصصان املاک و مستغلات چگونه می توانند تأثیر عوامل اقتصادی مانند رشد شغل یا تورم را بر ارزش املاک تحلیل کنند؟")</f>
        <v>متخصصان املاک و مستغلات چگونه می توانند تأثیر عوامل اقتصادی مانند رشد شغل یا تورم را بر ارزش املاک تحلیل کنند؟</v>
      </c>
      <c r="H5244" s="1"/>
      <c r="I5244" s="1"/>
      <c r="J5244" s="1"/>
      <c r="K5244" s="1"/>
      <c r="L5244" s="1"/>
      <c r="M5244" s="1"/>
      <c r="N5244" s="1"/>
      <c r="O5244" s="1"/>
      <c r="P5244" s="1"/>
      <c r="Q5244" s="1"/>
      <c r="R5244" s="1"/>
      <c r="S5244" s="1"/>
      <c r="T5244" s="1"/>
      <c r="U5244" s="1"/>
      <c r="V5244" s="1"/>
      <c r="W5244" s="1"/>
      <c r="X5244" s="1"/>
      <c r="Y5244" s="1"/>
      <c r="Z5244" s="1"/>
      <c r="AA5244" s="1"/>
      <c r="AB5244" s="1"/>
    </row>
    <row r="5245" ht="50.25" customHeight="1">
      <c r="A5245" s="12">
        <v>5241.0</v>
      </c>
      <c r="B5245" s="13" t="s">
        <v>5027</v>
      </c>
      <c r="C5245" s="18" t="s">
        <v>5265</v>
      </c>
      <c r="D5245" s="1"/>
      <c r="E5245" s="1"/>
      <c r="F5245" s="1" t="str">
        <f>IFERROR(__xludf.DUMMYFUNCTION("GOOGLETRANSLATE(B5245, ""en"", ""fa"")
"),"املاک و مستغلات برای حرفه ای ها")</f>
        <v>املاک و مستغلات برای حرفه ای ها</v>
      </c>
      <c r="G5245" s="1" t="str">
        <f>IFERROR(__xludf.DUMMYFUNCTION("GOOGLETRANSLATE(C5245, ""en"", ""fa"")
"),"مراحل ضروری برای انجام تجزیه و تحلیل منطقه بندی و درک پتانسیل توسعه یک ملک چیست؟")</f>
        <v>مراحل ضروری برای انجام تجزیه و تحلیل منطقه بندی و درک پتانسیل توسعه یک ملک چیست؟</v>
      </c>
      <c r="H5245" s="1"/>
      <c r="I5245" s="1"/>
      <c r="J5245" s="1"/>
      <c r="K5245" s="1"/>
      <c r="L5245" s="1"/>
      <c r="M5245" s="1"/>
      <c r="N5245" s="1"/>
      <c r="O5245" s="1"/>
      <c r="P5245" s="1"/>
      <c r="Q5245" s="1"/>
      <c r="R5245" s="1"/>
      <c r="S5245" s="1"/>
      <c r="T5245" s="1"/>
      <c r="U5245" s="1"/>
      <c r="V5245" s="1"/>
      <c r="W5245" s="1"/>
      <c r="X5245" s="1"/>
      <c r="Y5245" s="1"/>
      <c r="Z5245" s="1"/>
      <c r="AA5245" s="1"/>
      <c r="AB5245" s="1"/>
    </row>
    <row r="5246" ht="50.25" customHeight="1">
      <c r="A5246" s="12">
        <v>5242.0</v>
      </c>
      <c r="B5246" s="13" t="s">
        <v>5027</v>
      </c>
      <c r="C5246" s="18" t="s">
        <v>5266</v>
      </c>
      <c r="D5246" s="1"/>
      <c r="E5246" s="1"/>
      <c r="F5246" s="1" t="str">
        <f>IFERROR(__xludf.DUMMYFUNCTION("GOOGLETRANSLATE(B5246, ""en"", ""fa"")
"),"املاک و مستغلات برای حرفه ای ها")</f>
        <v>املاک و مستغلات برای حرفه ای ها</v>
      </c>
      <c r="G5246" s="1" t="str">
        <f>IFERROR(__xludf.DUMMYFUNCTION("GOOGLETRANSLATE(C5246, ""en"", ""fa"")
"),"چگونه متخصصان املاک و مستغلات می توانند ارزش املاک را در یک بازار خاص که به خاطر صحنه هنری و فرهنگی آن شناخته شده است ارزیابی کنند؟")</f>
        <v>چگونه متخصصان املاک و مستغلات می توانند ارزش املاک را در یک بازار خاص که به خاطر صحنه هنری و فرهنگی آن شناخته شده است ارزیابی کنند؟</v>
      </c>
      <c r="H5246" s="1"/>
      <c r="I5246" s="1"/>
      <c r="J5246" s="1"/>
      <c r="K5246" s="1"/>
      <c r="L5246" s="1"/>
      <c r="M5246" s="1"/>
      <c r="N5246" s="1"/>
      <c r="O5246" s="1"/>
      <c r="P5246" s="1"/>
      <c r="Q5246" s="1"/>
      <c r="R5246" s="1"/>
      <c r="S5246" s="1"/>
      <c r="T5246" s="1"/>
      <c r="U5246" s="1"/>
      <c r="V5246" s="1"/>
      <c r="W5246" s="1"/>
      <c r="X5246" s="1"/>
      <c r="Y5246" s="1"/>
      <c r="Z5246" s="1"/>
      <c r="AA5246" s="1"/>
      <c r="AB5246" s="1"/>
    </row>
    <row r="5247" ht="50.25" customHeight="1">
      <c r="A5247" s="12">
        <v>5243.0</v>
      </c>
      <c r="B5247" s="13" t="s">
        <v>5027</v>
      </c>
      <c r="C5247" s="18" t="s">
        <v>5267</v>
      </c>
      <c r="D5247" s="1"/>
      <c r="E5247" s="1"/>
      <c r="F5247" s="1" t="str">
        <f>IFERROR(__xludf.DUMMYFUNCTION("GOOGLETRANSLATE(B5247, ""en"", ""fa"")
"),"املاک و مستغلات برای حرفه ای ها")</f>
        <v>املاک و مستغلات برای حرفه ای ها</v>
      </c>
      <c r="G5247" s="1" t="str">
        <f>IFERROR(__xludf.DUMMYFUNCTION("GOOGLETRANSLATE(C5247, ""en"", ""fa"")
"),"بهترین روش ها برای تجزیه و تحلیل و ارزش گذاری خواص با پتانسیل توسعه مجدد یا استفاده مجدد تطبیقی ​​چیست؟")</f>
        <v>بهترین روش ها برای تجزیه و تحلیل و ارزش گذاری خواص با پتانسیل توسعه مجدد یا استفاده مجدد تطبیقی ​​چیست؟</v>
      </c>
      <c r="H5247" s="1"/>
      <c r="I5247" s="1"/>
      <c r="J5247" s="1"/>
      <c r="K5247" s="1"/>
      <c r="L5247" s="1"/>
      <c r="M5247" s="1"/>
      <c r="N5247" s="1"/>
      <c r="O5247" s="1"/>
      <c r="P5247" s="1"/>
      <c r="Q5247" s="1"/>
      <c r="R5247" s="1"/>
      <c r="S5247" s="1"/>
      <c r="T5247" s="1"/>
      <c r="U5247" s="1"/>
      <c r="V5247" s="1"/>
      <c r="W5247" s="1"/>
      <c r="X5247" s="1"/>
      <c r="Y5247" s="1"/>
      <c r="Z5247" s="1"/>
      <c r="AA5247" s="1"/>
      <c r="AB5247" s="1"/>
    </row>
    <row r="5248" ht="50.25" customHeight="1">
      <c r="A5248" s="12">
        <v>5244.0</v>
      </c>
      <c r="B5248" s="13" t="s">
        <v>5027</v>
      </c>
      <c r="C5248" s="18" t="s">
        <v>5268</v>
      </c>
      <c r="D5248" s="1"/>
      <c r="E5248" s="1"/>
      <c r="F5248" s="1" t="str">
        <f>IFERROR(__xludf.DUMMYFUNCTION("GOOGLETRANSLATE(B5248, ""en"", ""fa"")
"),"املاک و مستغلات برای حرفه ای ها")</f>
        <v>املاک و مستغلات برای حرفه ای ها</v>
      </c>
      <c r="G5248" s="1" t="str">
        <f>IFERROR(__xludf.DUMMYFUNCTION("GOOGLETRANSLATE(C5248, ""en"", ""fa"")
"),"چگونه متخصصان املاک و مستغلات می توانند ارزش و بازگشت سرمایه بالقوه (ROI) املاک اجاره ای برای تعطیلات در مقاصد گردشگری محبوب را ارزیابی کنند؟")</f>
        <v>چگونه متخصصان املاک و مستغلات می توانند ارزش و بازگشت سرمایه بالقوه (ROI) املاک اجاره ای برای تعطیلات در مقاصد گردشگری محبوب را ارزیابی کنند؟</v>
      </c>
      <c r="H5248" s="1"/>
      <c r="I5248" s="1"/>
      <c r="J5248" s="1"/>
      <c r="K5248" s="1"/>
      <c r="L5248" s="1"/>
      <c r="M5248" s="1"/>
      <c r="N5248" s="1"/>
      <c r="O5248" s="1"/>
      <c r="P5248" s="1"/>
      <c r="Q5248" s="1"/>
      <c r="R5248" s="1"/>
      <c r="S5248" s="1"/>
      <c r="T5248" s="1"/>
      <c r="U5248" s="1"/>
      <c r="V5248" s="1"/>
      <c r="W5248" s="1"/>
      <c r="X5248" s="1"/>
      <c r="Y5248" s="1"/>
      <c r="Z5248" s="1"/>
      <c r="AA5248" s="1"/>
      <c r="AB5248" s="1"/>
    </row>
    <row r="5249" ht="50.25" customHeight="1">
      <c r="A5249" s="12">
        <v>5245.0</v>
      </c>
      <c r="B5249" s="13" t="s">
        <v>5027</v>
      </c>
      <c r="C5249" s="18" t="s">
        <v>5269</v>
      </c>
      <c r="D5249" s="1"/>
      <c r="E5249" s="1"/>
      <c r="F5249" s="1" t="str">
        <f>IFERROR(__xludf.DUMMYFUNCTION("GOOGLETRANSLATE(B5249, ""en"", ""fa"")
"),"املاک و مستغلات برای حرفه ای ها")</f>
        <v>املاک و مستغلات برای حرفه ای ها</v>
      </c>
      <c r="G5249" s="1" t="str">
        <f>IFERROR(__xludf.DUMMYFUNCTION("GOOGLETRANSLATE(C5249, ""en"", ""fa"")
"),"هنگام ارزیابی ارزش بالقوه و قابلیت‌های درآمدزایی دارایی‌های پزشکی یا مراقبت‌های بهداشتی، چه عوامل مهمی باید در نظر گرفته شود؟")</f>
        <v>هنگام ارزیابی ارزش بالقوه و قابلیت‌های درآمدزایی دارایی‌های پزشکی یا مراقبت‌های بهداشتی، چه عوامل مهمی باید در نظر گرفته شود؟</v>
      </c>
      <c r="H5249" s="1"/>
      <c r="I5249" s="1"/>
      <c r="J5249" s="1"/>
      <c r="K5249" s="1"/>
      <c r="L5249" s="1"/>
      <c r="M5249" s="1"/>
      <c r="N5249" s="1"/>
      <c r="O5249" s="1"/>
      <c r="P5249" s="1"/>
      <c r="Q5249" s="1"/>
      <c r="R5249" s="1"/>
      <c r="S5249" s="1"/>
      <c r="T5249" s="1"/>
      <c r="U5249" s="1"/>
      <c r="V5249" s="1"/>
      <c r="W5249" s="1"/>
      <c r="X5249" s="1"/>
      <c r="Y5249" s="1"/>
      <c r="Z5249" s="1"/>
      <c r="AA5249" s="1"/>
      <c r="AB5249" s="1"/>
    </row>
    <row r="5250" ht="50.25" customHeight="1">
      <c r="A5250" s="12">
        <v>5246.0</v>
      </c>
      <c r="B5250" s="13" t="s">
        <v>5027</v>
      </c>
      <c r="C5250" s="18" t="s">
        <v>5270</v>
      </c>
      <c r="D5250" s="1"/>
      <c r="E5250" s="1"/>
      <c r="F5250" s="1" t="str">
        <f>IFERROR(__xludf.DUMMYFUNCTION("GOOGLETRANSLATE(B5250, ""en"", ""fa"")
"),"املاک و مستغلات برای حرفه ای ها")</f>
        <v>املاک و مستغلات برای حرفه ای ها</v>
      </c>
      <c r="G5250" s="1" t="str">
        <f>IFERROR(__xludf.DUMMYFUNCTION("GOOGLETRANSLATE(C5250, ""en"", ""fa"")
"),"چگونه متخصصان املاک و مستغلات می توانند تأثیر بلایای طبیعی یا خطرات تغییرات آب و هوایی را بر ارزش املاک تجزیه و تحلیل کنند؟")</f>
        <v>چگونه متخصصان املاک و مستغلات می توانند تأثیر بلایای طبیعی یا خطرات تغییرات آب و هوایی را بر ارزش املاک تجزیه و تحلیل کنند؟</v>
      </c>
      <c r="H5250" s="1"/>
      <c r="I5250" s="1"/>
      <c r="J5250" s="1"/>
      <c r="K5250" s="1"/>
      <c r="L5250" s="1"/>
      <c r="M5250" s="1"/>
      <c r="N5250" s="1"/>
      <c r="O5250" s="1"/>
      <c r="P5250" s="1"/>
      <c r="Q5250" s="1"/>
      <c r="R5250" s="1"/>
      <c r="S5250" s="1"/>
      <c r="T5250" s="1"/>
      <c r="U5250" s="1"/>
      <c r="V5250" s="1"/>
      <c r="W5250" s="1"/>
      <c r="X5250" s="1"/>
      <c r="Y5250" s="1"/>
      <c r="Z5250" s="1"/>
      <c r="AA5250" s="1"/>
      <c r="AB5250" s="1"/>
    </row>
    <row r="5251" ht="50.25" customHeight="1">
      <c r="A5251" s="12">
        <v>5247.0</v>
      </c>
      <c r="B5251" s="13" t="s">
        <v>5027</v>
      </c>
      <c r="C5251" s="18" t="s">
        <v>5271</v>
      </c>
      <c r="D5251" s="1"/>
      <c r="E5251" s="1"/>
      <c r="F5251" s="1" t="str">
        <f>IFERROR(__xludf.DUMMYFUNCTION("GOOGLETRANSLATE(B5251, ""en"", ""fa"")
"),"املاک و مستغلات برای حرفه ای ها")</f>
        <v>املاک و مستغلات برای حرفه ای ها</v>
      </c>
      <c r="G5251" s="1" t="str">
        <f>IFERROR(__xludf.DUMMYFUNCTION("GOOGLETRANSLATE(C5251, ""en"", ""fa"")
"),"ملاحظات کلیدی هنگام ارزیابی ارزش بالقوه و قابلیت های درآمدزایی املاک با کاربری مختلط با اجزای خرده فروشی و مسکونی چیست؟")</f>
        <v>ملاحظات کلیدی هنگام ارزیابی ارزش بالقوه و قابلیت های درآمدزایی املاک با کاربری مختلط با اجزای خرده فروشی و مسکونی چیست؟</v>
      </c>
      <c r="H5251" s="1"/>
      <c r="I5251" s="1"/>
      <c r="J5251" s="1"/>
      <c r="K5251" s="1"/>
      <c r="L5251" s="1"/>
      <c r="M5251" s="1"/>
      <c r="N5251" s="1"/>
      <c r="O5251" s="1"/>
      <c r="P5251" s="1"/>
      <c r="Q5251" s="1"/>
      <c r="R5251" s="1"/>
      <c r="S5251" s="1"/>
      <c r="T5251" s="1"/>
      <c r="U5251" s="1"/>
      <c r="V5251" s="1"/>
      <c r="W5251" s="1"/>
      <c r="X5251" s="1"/>
      <c r="Y5251" s="1"/>
      <c r="Z5251" s="1"/>
      <c r="AA5251" s="1"/>
      <c r="AB5251" s="1"/>
    </row>
    <row r="5252" ht="50.25" customHeight="1">
      <c r="A5252" s="12">
        <v>5248.0</v>
      </c>
      <c r="B5252" s="13" t="s">
        <v>5027</v>
      </c>
      <c r="C5252" s="18" t="s">
        <v>5272</v>
      </c>
      <c r="D5252" s="1"/>
      <c r="E5252" s="1"/>
      <c r="F5252" s="1" t="str">
        <f>IFERROR(__xludf.DUMMYFUNCTION("GOOGLETRANSLATE(B5252, ""en"", ""fa"")
"),"املاک و مستغلات برای حرفه ای ها")</f>
        <v>املاک و مستغلات برای حرفه ای ها</v>
      </c>
      <c r="G5252" s="1" t="str">
        <f>IFERROR(__xludf.DUMMYFUNCTION("GOOGLETRANSLATE(C5252, ""en"", ""fa"")
"),"چگونه متخصصان املاک و مستغلات می توانند ارزش املاک را در یک بازار خاص که به دلیل بخش فناوری یا نوآوری آن شناخته شده است ارزیابی کنند؟")</f>
        <v>چگونه متخصصان املاک و مستغلات می توانند ارزش املاک را در یک بازار خاص که به دلیل بخش فناوری یا نوآوری آن شناخته شده است ارزیابی کنند؟</v>
      </c>
      <c r="H5252" s="1"/>
      <c r="I5252" s="1"/>
      <c r="J5252" s="1"/>
      <c r="K5252" s="1"/>
      <c r="L5252" s="1"/>
      <c r="M5252" s="1"/>
      <c r="N5252" s="1"/>
      <c r="O5252" s="1"/>
      <c r="P5252" s="1"/>
      <c r="Q5252" s="1"/>
      <c r="R5252" s="1"/>
      <c r="S5252" s="1"/>
      <c r="T5252" s="1"/>
      <c r="U5252" s="1"/>
      <c r="V5252" s="1"/>
      <c r="W5252" s="1"/>
      <c r="X5252" s="1"/>
      <c r="Y5252" s="1"/>
      <c r="Z5252" s="1"/>
      <c r="AA5252" s="1"/>
      <c r="AB5252" s="1"/>
    </row>
    <row r="5253" ht="50.25" customHeight="1">
      <c r="A5253" s="12">
        <v>5249.0</v>
      </c>
      <c r="B5253" s="13" t="s">
        <v>5027</v>
      </c>
      <c r="C5253" s="18" t="s">
        <v>5273</v>
      </c>
      <c r="D5253" s="1"/>
      <c r="E5253" s="1"/>
      <c r="F5253" s="1" t="str">
        <f>IFERROR(__xludf.DUMMYFUNCTION("GOOGLETRANSLATE(B5253, ""en"", ""fa"")
"),"املاک و مستغلات برای حرفه ای ها")</f>
        <v>املاک و مستغلات برای حرفه ای ها</v>
      </c>
      <c r="G5253" s="1" t="str">
        <f>IFERROR(__xludf.DUMMYFUNCTION("GOOGLETRANSLATE(C5253, ""en"", ""fa"")
"),"مراحل ضروری برای انجام تجزیه و تحلیل مبادله 1031 و درک پیامدهای مالیاتی معاملات دارایی چیست؟")</f>
        <v>مراحل ضروری برای انجام تجزیه و تحلیل مبادله 1031 و درک پیامدهای مالیاتی معاملات دارایی چیست؟</v>
      </c>
      <c r="H5253" s="1"/>
      <c r="I5253" s="1"/>
      <c r="J5253" s="1"/>
      <c r="K5253" s="1"/>
      <c r="L5253" s="1"/>
      <c r="M5253" s="1"/>
      <c r="N5253" s="1"/>
      <c r="O5253" s="1"/>
      <c r="P5253" s="1"/>
      <c r="Q5253" s="1"/>
      <c r="R5253" s="1"/>
      <c r="S5253" s="1"/>
      <c r="T5253" s="1"/>
      <c r="U5253" s="1"/>
      <c r="V5253" s="1"/>
      <c r="W5253" s="1"/>
      <c r="X5253" s="1"/>
      <c r="Y5253" s="1"/>
      <c r="Z5253" s="1"/>
      <c r="AA5253" s="1"/>
      <c r="AB5253" s="1"/>
    </row>
    <row r="5254" ht="50.25" customHeight="1">
      <c r="A5254" s="12">
        <v>5250.0</v>
      </c>
      <c r="B5254" s="13" t="s">
        <v>5027</v>
      </c>
      <c r="C5254" s="18" t="s">
        <v>5274</v>
      </c>
      <c r="D5254" s="1"/>
      <c r="E5254" s="1"/>
      <c r="F5254" s="1" t="str">
        <f>IFERROR(__xludf.DUMMYFUNCTION("GOOGLETRANSLATE(B5254, ""en"", ""fa"")
"),"املاک و مستغلات برای حرفه ای ها")</f>
        <v>املاک و مستغلات برای حرفه ای ها</v>
      </c>
      <c r="G5254" s="1" t="str">
        <f>IFERROR(__xludf.DUMMYFUNCTION("GOOGLETRANSLATE(C5254, ""en"", ""fa"")
"),"چگونه متخصصان املاک و مستغلات می توانند ارزش و پتانسیل درآمد املاک را در یک بازار خاص که برای مؤسسات آموزشی آن شناخته شده است ارزیابی کنند؟")</f>
        <v>چگونه متخصصان املاک و مستغلات می توانند ارزش و پتانسیل درآمد املاک را در یک بازار خاص که برای مؤسسات آموزشی آن شناخته شده است ارزیابی کنند؟</v>
      </c>
      <c r="H5254" s="1"/>
      <c r="I5254" s="1"/>
      <c r="J5254" s="1"/>
      <c r="K5254" s="1"/>
      <c r="L5254" s="1"/>
      <c r="M5254" s="1"/>
      <c r="N5254" s="1"/>
      <c r="O5254" s="1"/>
      <c r="P5254" s="1"/>
      <c r="Q5254" s="1"/>
      <c r="R5254" s="1"/>
      <c r="S5254" s="1"/>
      <c r="T5254" s="1"/>
      <c r="U5254" s="1"/>
      <c r="V5254" s="1"/>
      <c r="W5254" s="1"/>
      <c r="X5254" s="1"/>
      <c r="Y5254" s="1"/>
      <c r="Z5254" s="1"/>
      <c r="AA5254" s="1"/>
      <c r="AB5254" s="1"/>
    </row>
    <row r="5255" ht="50.25" customHeight="1">
      <c r="A5255" s="12">
        <v>5251.0</v>
      </c>
      <c r="B5255" s="13" t="s">
        <v>5027</v>
      </c>
      <c r="C5255" s="18" t="s">
        <v>5275</v>
      </c>
      <c r="D5255" s="1"/>
      <c r="E5255" s="1"/>
      <c r="F5255" s="1" t="str">
        <f>IFERROR(__xludf.DUMMYFUNCTION("GOOGLETRANSLATE(B5255, ""en"", ""fa"")
"),"املاک و مستغلات برای حرفه ای ها")</f>
        <v>املاک و مستغلات برای حرفه ای ها</v>
      </c>
      <c r="G5255" s="1" t="str">
        <f>IFERROR(__xludf.DUMMYFUNCTION("GOOGLETRANSLATE(C5255, ""en"", ""fa"")
"),"بهترین روش ها برای تجزیه و تحلیل و ارزش گذاری املاک دارای پتانسیل برای قراردادهای اجاره مجدد یا معاملات بیع-اجاره ای چیست؟")</f>
        <v>بهترین روش ها برای تجزیه و تحلیل و ارزش گذاری املاک دارای پتانسیل برای قراردادهای اجاره مجدد یا معاملات بیع-اجاره ای چیست؟</v>
      </c>
      <c r="H5255" s="1"/>
      <c r="I5255" s="1"/>
      <c r="J5255" s="1"/>
      <c r="K5255" s="1"/>
      <c r="L5255" s="1"/>
      <c r="M5255" s="1"/>
      <c r="N5255" s="1"/>
      <c r="O5255" s="1"/>
      <c r="P5255" s="1"/>
      <c r="Q5255" s="1"/>
      <c r="R5255" s="1"/>
      <c r="S5255" s="1"/>
      <c r="T5255" s="1"/>
      <c r="U5255" s="1"/>
      <c r="V5255" s="1"/>
      <c r="W5255" s="1"/>
      <c r="X5255" s="1"/>
      <c r="Y5255" s="1"/>
      <c r="Z5255" s="1"/>
      <c r="AA5255" s="1"/>
      <c r="AB5255" s="1"/>
    </row>
    <row r="5256" ht="50.25" customHeight="1">
      <c r="A5256" s="12">
        <v>5252.0</v>
      </c>
      <c r="B5256" s="13" t="s">
        <v>5027</v>
      </c>
      <c r="C5256" s="18" t="s">
        <v>5276</v>
      </c>
      <c r="D5256" s="1"/>
      <c r="E5256" s="1"/>
      <c r="F5256" s="1" t="str">
        <f>IFERROR(__xludf.DUMMYFUNCTION("GOOGLETRANSLATE(B5256, ""en"", ""fa"")
"),"املاک و مستغلات برای حرفه ای ها")</f>
        <v>املاک و مستغلات برای حرفه ای ها</v>
      </c>
      <c r="G5256" s="1" t="str">
        <f>IFERROR(__xludf.DUMMYFUNCTION("GOOGLETRANSLATE(C5256, ""en"", ""fa"")
"),"چگونه متخصصان املاک و مستغلات می توانند ارزش املاک را در یک بازار خاص که به خاطر صحنه سرگرمی یا زندگی شبانه آن شناخته شده است ارزیابی کنند؟")</f>
        <v>چگونه متخصصان املاک و مستغلات می توانند ارزش املاک را در یک بازار خاص که به خاطر صحنه سرگرمی یا زندگی شبانه آن شناخته شده است ارزیابی کنند؟</v>
      </c>
      <c r="H5256" s="1"/>
      <c r="I5256" s="1"/>
      <c r="J5256" s="1"/>
      <c r="K5256" s="1"/>
      <c r="L5256" s="1"/>
      <c r="M5256" s="1"/>
      <c r="N5256" s="1"/>
      <c r="O5256" s="1"/>
      <c r="P5256" s="1"/>
      <c r="Q5256" s="1"/>
      <c r="R5256" s="1"/>
      <c r="S5256" s="1"/>
      <c r="T5256" s="1"/>
      <c r="U5256" s="1"/>
      <c r="V5256" s="1"/>
      <c r="W5256" s="1"/>
      <c r="X5256" s="1"/>
      <c r="Y5256" s="1"/>
      <c r="Z5256" s="1"/>
      <c r="AA5256" s="1"/>
      <c r="AB5256" s="1"/>
    </row>
    <row r="5257" ht="50.25" customHeight="1">
      <c r="A5257" s="12">
        <v>5253.0</v>
      </c>
      <c r="B5257" s="13" t="s">
        <v>5027</v>
      </c>
      <c r="C5257" s="18" t="s">
        <v>5277</v>
      </c>
      <c r="D5257" s="1"/>
      <c r="E5257" s="1"/>
      <c r="F5257" s="1" t="str">
        <f>IFERROR(__xludf.DUMMYFUNCTION("GOOGLETRANSLATE(B5257, ""en"", ""fa"")
"),"املاک و مستغلات برای حرفه ای ها")</f>
        <v>املاک و مستغلات برای حرفه ای ها</v>
      </c>
      <c r="G5257" s="1" t="str">
        <f>IFERROR(__xludf.DUMMYFUNCTION("GOOGLETRANSLATE(C5257, ""en"", ""fa"")
"),"هنگام ارزیابی ارزش بالقوه و قابلیت‌های درآمدزایی مراکز داده یا ویژگی‌های زیرساخت فناوری، چه عوامل مهمی باید در نظر گرفته شود؟")</f>
        <v>هنگام ارزیابی ارزش بالقوه و قابلیت‌های درآمدزایی مراکز داده یا ویژگی‌های زیرساخت فناوری، چه عوامل مهمی باید در نظر گرفته شود؟</v>
      </c>
      <c r="H5257" s="1"/>
      <c r="I5257" s="1"/>
      <c r="J5257" s="1"/>
      <c r="K5257" s="1"/>
      <c r="L5257" s="1"/>
      <c r="M5257" s="1"/>
      <c r="N5257" s="1"/>
      <c r="O5257" s="1"/>
      <c r="P5257" s="1"/>
      <c r="Q5257" s="1"/>
      <c r="R5257" s="1"/>
      <c r="S5257" s="1"/>
      <c r="T5257" s="1"/>
      <c r="U5257" s="1"/>
      <c r="V5257" s="1"/>
      <c r="W5257" s="1"/>
      <c r="X5257" s="1"/>
      <c r="Y5257" s="1"/>
      <c r="Z5257" s="1"/>
      <c r="AA5257" s="1"/>
      <c r="AB5257" s="1"/>
    </row>
    <row r="5258" ht="50.25" customHeight="1">
      <c r="A5258" s="12">
        <v>5254.0</v>
      </c>
      <c r="B5258" s="13" t="s">
        <v>5027</v>
      </c>
      <c r="C5258" s="18" t="s">
        <v>5278</v>
      </c>
      <c r="D5258" s="1"/>
      <c r="E5258" s="1"/>
      <c r="F5258" s="1" t="str">
        <f>IFERROR(__xludf.DUMMYFUNCTION("GOOGLETRANSLATE(B5258, ""en"", ""fa"")
"),"املاک و مستغلات برای حرفه ای ها")</f>
        <v>املاک و مستغلات برای حرفه ای ها</v>
      </c>
      <c r="G5258" s="1" t="str">
        <f>IFERROR(__xludf.DUMMYFUNCTION("GOOGLETRANSLATE(C5258, ""en"", ""fa"")
"),"چگونه متخصصان املاک و مستغلات می توانند تأثیر عوامل محیطی مانند نزدیکی به پارک ها یا فضاهای سبز را بر ارزش املاک تجزیه و تحلیل کنند؟")</f>
        <v>چگونه متخصصان املاک و مستغلات می توانند تأثیر عوامل محیطی مانند نزدیکی به پارک ها یا فضاهای سبز را بر ارزش املاک تجزیه و تحلیل کنند؟</v>
      </c>
      <c r="H5258" s="1"/>
      <c r="I5258" s="1"/>
      <c r="J5258" s="1"/>
      <c r="K5258" s="1"/>
      <c r="L5258" s="1"/>
      <c r="M5258" s="1"/>
      <c r="N5258" s="1"/>
      <c r="O5258" s="1"/>
      <c r="P5258" s="1"/>
      <c r="Q5258" s="1"/>
      <c r="R5258" s="1"/>
      <c r="S5258" s="1"/>
      <c r="T5258" s="1"/>
      <c r="U5258" s="1"/>
      <c r="V5258" s="1"/>
      <c r="W5258" s="1"/>
      <c r="X5258" s="1"/>
      <c r="Y5258" s="1"/>
      <c r="Z5258" s="1"/>
      <c r="AA5258" s="1"/>
      <c r="AB5258" s="1"/>
    </row>
    <row r="5259" ht="50.25" customHeight="1">
      <c r="A5259" s="12">
        <v>5255.0</v>
      </c>
      <c r="B5259" s="13" t="s">
        <v>5027</v>
      </c>
      <c r="C5259" s="18" t="s">
        <v>5279</v>
      </c>
      <c r="D5259" s="1"/>
      <c r="E5259" s="1"/>
      <c r="F5259" s="1" t="str">
        <f>IFERROR(__xludf.DUMMYFUNCTION("GOOGLETRANSLATE(B5259, ""en"", ""fa"")
"),"املاک و مستغلات برای حرفه ای ها")</f>
        <v>املاک و مستغلات برای حرفه ای ها</v>
      </c>
      <c r="G5259" s="1" t="str">
        <f>IFERROR(__xludf.DUMMYFUNCTION("GOOGLETRANSLATE(C5259, ""en"", ""fa"")
"),"ملاحظات کلیدی هنگام ارزیابی ارزش بالقوه و قابلیت‌های درآمدزایی املاک با کاربری مختلط با اجزای اداری و مسکونی چیست؟")</f>
        <v>ملاحظات کلیدی هنگام ارزیابی ارزش بالقوه و قابلیت‌های درآمدزایی املاک با کاربری مختلط با اجزای اداری و مسکونی چیست؟</v>
      </c>
      <c r="H5259" s="1"/>
      <c r="I5259" s="1"/>
      <c r="J5259" s="1"/>
      <c r="K5259" s="1"/>
      <c r="L5259" s="1"/>
      <c r="M5259" s="1"/>
      <c r="N5259" s="1"/>
      <c r="O5259" s="1"/>
      <c r="P5259" s="1"/>
      <c r="Q5259" s="1"/>
      <c r="R5259" s="1"/>
      <c r="S5259" s="1"/>
      <c r="T5259" s="1"/>
      <c r="U5259" s="1"/>
      <c r="V5259" s="1"/>
      <c r="W5259" s="1"/>
      <c r="X5259" s="1"/>
      <c r="Y5259" s="1"/>
      <c r="Z5259" s="1"/>
      <c r="AA5259" s="1"/>
      <c r="AB5259" s="1"/>
    </row>
    <row r="5260" ht="50.25" customHeight="1">
      <c r="A5260" s="12">
        <v>5256.0</v>
      </c>
      <c r="B5260" s="13" t="s">
        <v>5027</v>
      </c>
      <c r="C5260" s="18" t="s">
        <v>5280</v>
      </c>
      <c r="D5260" s="1"/>
      <c r="E5260" s="1"/>
      <c r="F5260" s="1" t="str">
        <f>IFERROR(__xludf.DUMMYFUNCTION("GOOGLETRANSLATE(B5260, ""en"", ""fa"")
"),"املاک و مستغلات برای حرفه ای ها")</f>
        <v>املاک و مستغلات برای حرفه ای ها</v>
      </c>
      <c r="G5260" s="1" t="str">
        <f>IFERROR(__xludf.DUMMYFUNCTION("GOOGLETRANSLATE(C5260, ""en"", ""fa"")
"),"چگونه متخصصان املاک و مستغلات می توانند ارزش املاک را در یک بازار خاص که به دلیل امکانات ورزشی یا استادیوم آن شناخته شده است ارزیابی کنند؟")</f>
        <v>چگونه متخصصان املاک و مستغلات می توانند ارزش املاک را در یک بازار خاص که به دلیل امکانات ورزشی یا استادیوم آن شناخته شده است ارزیابی کنند؟</v>
      </c>
      <c r="H5260" s="1"/>
      <c r="I5260" s="1"/>
      <c r="J5260" s="1"/>
      <c r="K5260" s="1"/>
      <c r="L5260" s="1"/>
      <c r="M5260" s="1"/>
      <c r="N5260" s="1"/>
      <c r="O5260" s="1"/>
      <c r="P5260" s="1"/>
      <c r="Q5260" s="1"/>
      <c r="R5260" s="1"/>
      <c r="S5260" s="1"/>
      <c r="T5260" s="1"/>
      <c r="U5260" s="1"/>
      <c r="V5260" s="1"/>
      <c r="W5260" s="1"/>
      <c r="X5260" s="1"/>
      <c r="Y5260" s="1"/>
      <c r="Z5260" s="1"/>
      <c r="AA5260" s="1"/>
      <c r="AB5260" s="1"/>
    </row>
    <row r="5261" ht="50.25" customHeight="1">
      <c r="A5261" s="12">
        <v>5257.0</v>
      </c>
      <c r="B5261" s="13" t="s">
        <v>5027</v>
      </c>
      <c r="C5261" s="18" t="s">
        <v>5281</v>
      </c>
      <c r="D5261" s="1"/>
      <c r="E5261" s="1"/>
      <c r="F5261" s="1" t="str">
        <f>IFERROR(__xludf.DUMMYFUNCTION("GOOGLETRANSLATE(B5261, ""en"", ""fa"")
"),"املاک و مستغلات برای حرفه ای ها")</f>
        <v>املاک و مستغلات برای حرفه ای ها</v>
      </c>
      <c r="G5261" s="1" t="str">
        <f>IFERROR(__xludf.DUMMYFUNCTION("GOOGLETRANSLATE(C5261, ""en"", ""fa"")
"),"مراحل ضروری برای انجام یک تحلیل تاریخی و درک روندها و چرخه های بازار یک نوع ملک یا مکان خاص چیست؟")</f>
        <v>مراحل ضروری برای انجام یک تحلیل تاریخی و درک روندها و چرخه های بازار یک نوع ملک یا مکان خاص چیست؟</v>
      </c>
      <c r="H5261" s="1"/>
      <c r="I5261" s="1"/>
      <c r="J5261" s="1"/>
      <c r="K5261" s="1"/>
      <c r="L5261" s="1"/>
      <c r="M5261" s="1"/>
      <c r="N5261" s="1"/>
      <c r="O5261" s="1"/>
      <c r="P5261" s="1"/>
      <c r="Q5261" s="1"/>
      <c r="R5261" s="1"/>
      <c r="S5261" s="1"/>
      <c r="T5261" s="1"/>
      <c r="U5261" s="1"/>
      <c r="V5261" s="1"/>
      <c r="W5261" s="1"/>
      <c r="X5261" s="1"/>
      <c r="Y5261" s="1"/>
      <c r="Z5261" s="1"/>
      <c r="AA5261" s="1"/>
      <c r="AB5261" s="1"/>
    </row>
    <row r="5262" ht="50.25" customHeight="1">
      <c r="A5262" s="12">
        <v>5258.0</v>
      </c>
      <c r="B5262" s="13" t="s">
        <v>5027</v>
      </c>
      <c r="C5262" s="18" t="s">
        <v>5282</v>
      </c>
      <c r="D5262" s="1"/>
      <c r="E5262" s="1"/>
      <c r="F5262" s="1" t="str">
        <f>IFERROR(__xludf.DUMMYFUNCTION("GOOGLETRANSLATE(B5262, ""en"", ""fa"")
"),"املاک و مستغلات برای حرفه ای ها")</f>
        <v>املاک و مستغلات برای حرفه ای ها</v>
      </c>
      <c r="G5262" s="1" t="str">
        <f>IFERROR(__xludf.DUMMYFUNCTION("GOOGLETRANSLATE(C5262, ""en"", ""fa"")
"),"چگونه متخصصان املاک و مستغلات می توانند ارزش و بازگشت سرمایه بالقوه (ROI) املاک مسکن دانشجویی را در مجاورت کالج ها و دانشگاه ها ارزیابی کنند؟")</f>
        <v>چگونه متخصصان املاک و مستغلات می توانند ارزش و بازگشت سرمایه بالقوه (ROI) املاک مسکن دانشجویی را در مجاورت کالج ها و دانشگاه ها ارزیابی کنند؟</v>
      </c>
      <c r="H5262" s="1"/>
      <c r="I5262" s="1"/>
      <c r="J5262" s="1"/>
      <c r="K5262" s="1"/>
      <c r="L5262" s="1"/>
      <c r="M5262" s="1"/>
      <c r="N5262" s="1"/>
      <c r="O5262" s="1"/>
      <c r="P5262" s="1"/>
      <c r="Q5262" s="1"/>
      <c r="R5262" s="1"/>
      <c r="S5262" s="1"/>
      <c r="T5262" s="1"/>
      <c r="U5262" s="1"/>
      <c r="V5262" s="1"/>
      <c r="W5262" s="1"/>
      <c r="X5262" s="1"/>
      <c r="Y5262" s="1"/>
      <c r="Z5262" s="1"/>
      <c r="AA5262" s="1"/>
      <c r="AB5262" s="1"/>
    </row>
    <row r="5263" ht="50.25" customHeight="1">
      <c r="A5263" s="12">
        <v>5259.0</v>
      </c>
      <c r="B5263" s="13" t="s">
        <v>5027</v>
      </c>
      <c r="C5263" s="18" t="s">
        <v>5283</v>
      </c>
      <c r="D5263" s="1"/>
      <c r="E5263" s="1"/>
      <c r="F5263" s="1" t="str">
        <f>IFERROR(__xludf.DUMMYFUNCTION("GOOGLETRANSLATE(B5263, ""en"", ""fa"")
"),"املاک و مستغلات برای حرفه ای ها")</f>
        <v>املاک و مستغلات برای حرفه ای ها</v>
      </c>
      <c r="G5263" s="1" t="str">
        <f>IFERROR(__xludf.DUMMYFUNCTION("GOOGLETRANSLATE(C5263, ""en"", ""fa"")
"),"بهترین روش ها برای تجزیه و تحلیل و ارزش گذاری املاک با پتانسیل درآمد airbnb یا اجاره کوتاه مدت چیست؟")</f>
        <v>بهترین روش ها برای تجزیه و تحلیل و ارزش گذاری املاک با پتانسیل درآمد airbnb یا اجاره کوتاه مدت چیست؟</v>
      </c>
      <c r="H5263" s="1"/>
      <c r="I5263" s="1"/>
      <c r="J5263" s="1"/>
      <c r="K5263" s="1"/>
      <c r="L5263" s="1"/>
      <c r="M5263" s="1"/>
      <c r="N5263" s="1"/>
      <c r="O5263" s="1"/>
      <c r="P5263" s="1"/>
      <c r="Q5263" s="1"/>
      <c r="R5263" s="1"/>
      <c r="S5263" s="1"/>
      <c r="T5263" s="1"/>
      <c r="U5263" s="1"/>
      <c r="V5263" s="1"/>
      <c r="W5263" s="1"/>
      <c r="X5263" s="1"/>
      <c r="Y5263" s="1"/>
      <c r="Z5263" s="1"/>
      <c r="AA5263" s="1"/>
      <c r="AB5263" s="1"/>
    </row>
    <row r="5264" ht="50.25" customHeight="1">
      <c r="A5264" s="12">
        <v>5260.0</v>
      </c>
      <c r="B5264" s="13" t="s">
        <v>5027</v>
      </c>
      <c r="C5264" s="18" t="s">
        <v>5284</v>
      </c>
      <c r="D5264" s="1"/>
      <c r="E5264" s="1"/>
      <c r="F5264" s="1" t="str">
        <f>IFERROR(__xludf.DUMMYFUNCTION("GOOGLETRANSLATE(B5264, ""en"", ""fa"")
"),"املاک و مستغلات برای حرفه ای ها")</f>
        <v>املاک و مستغلات برای حرفه ای ها</v>
      </c>
      <c r="G5264" s="1" t="str">
        <f>IFERROR(__xludf.DUMMYFUNCTION("GOOGLETRANSLATE(C5264, ""en"", ""fa"")
"),"چگونه متخصصان املاک و مستغلات می توانند ارزش املاک را در یک بازار خاص که به خاطر صحنه آشپزی یا غذایی آن شناخته شده است ارزیابی کنند؟")</f>
        <v>چگونه متخصصان املاک و مستغلات می توانند ارزش املاک را در یک بازار خاص که به خاطر صحنه آشپزی یا غذایی آن شناخته شده است ارزیابی کنند؟</v>
      </c>
      <c r="H5264" s="1"/>
      <c r="I5264" s="1"/>
      <c r="J5264" s="1"/>
      <c r="K5264" s="1"/>
      <c r="L5264" s="1"/>
      <c r="M5264" s="1"/>
      <c r="N5264" s="1"/>
      <c r="O5264" s="1"/>
      <c r="P5264" s="1"/>
      <c r="Q5264" s="1"/>
      <c r="R5264" s="1"/>
      <c r="S5264" s="1"/>
      <c r="T5264" s="1"/>
      <c r="U5264" s="1"/>
      <c r="V5264" s="1"/>
      <c r="W5264" s="1"/>
      <c r="X5264" s="1"/>
      <c r="Y5264" s="1"/>
      <c r="Z5264" s="1"/>
      <c r="AA5264" s="1"/>
      <c r="AB5264" s="1"/>
    </row>
    <row r="5265" ht="50.25" customHeight="1">
      <c r="A5265" s="12">
        <v>5261.0</v>
      </c>
      <c r="B5265" s="13" t="s">
        <v>5027</v>
      </c>
      <c r="C5265" s="18" t="s">
        <v>5285</v>
      </c>
      <c r="D5265" s="1"/>
      <c r="E5265" s="1"/>
      <c r="F5265" s="1" t="str">
        <f>IFERROR(__xludf.DUMMYFUNCTION("GOOGLETRANSLATE(B5265, ""en"", ""fa"")
"),"املاک و مستغلات برای حرفه ای ها")</f>
        <v>املاک و مستغلات برای حرفه ای ها</v>
      </c>
      <c r="G5265" s="1" t="str">
        <f>IFERROR(__xludf.DUMMYFUNCTION("GOOGLETRANSLATE(C5265, ""en"", ""fa"")
"),"هنگام ارزیابی ارزش بالقوه و قابلیت‌های درآمدزایی دارایی‌های فضای اداری مشترک یا مشترک چه عواملی را باید در نظر گرفت؟")</f>
        <v>هنگام ارزیابی ارزش بالقوه و قابلیت‌های درآمدزایی دارایی‌های فضای اداری مشترک یا مشترک چه عواملی را باید در نظر گرفت؟</v>
      </c>
      <c r="H5265" s="1"/>
      <c r="I5265" s="1"/>
      <c r="J5265" s="1"/>
      <c r="K5265" s="1"/>
      <c r="L5265" s="1"/>
      <c r="M5265" s="1"/>
      <c r="N5265" s="1"/>
      <c r="O5265" s="1"/>
      <c r="P5265" s="1"/>
      <c r="Q5265" s="1"/>
      <c r="R5265" s="1"/>
      <c r="S5265" s="1"/>
      <c r="T5265" s="1"/>
      <c r="U5265" s="1"/>
      <c r="V5265" s="1"/>
      <c r="W5265" s="1"/>
      <c r="X5265" s="1"/>
      <c r="Y5265" s="1"/>
      <c r="Z5265" s="1"/>
      <c r="AA5265" s="1"/>
      <c r="AB5265" s="1"/>
    </row>
    <row r="5266" ht="50.25" customHeight="1">
      <c r="A5266" s="12">
        <v>5262.0</v>
      </c>
      <c r="B5266" s="13" t="s">
        <v>5027</v>
      </c>
      <c r="C5266" s="18" t="s">
        <v>5286</v>
      </c>
      <c r="D5266" s="1"/>
      <c r="E5266" s="1"/>
      <c r="F5266" s="1" t="str">
        <f>IFERROR(__xludf.DUMMYFUNCTION("GOOGLETRANSLATE(B5266, ""en"", ""fa"")
"),"املاک و مستغلات برای حرفه ای ها")</f>
        <v>املاک و مستغلات برای حرفه ای ها</v>
      </c>
      <c r="G5266" s="1" t="str">
        <f>IFERROR(__xludf.DUMMYFUNCTION("GOOGLETRANSLATE(C5266, ""en"", ""fa"")
"),"چگونه متخصصان املاک و مستغلات می توانند تأثیر عوامل اجتماعی مانند نرخ جرم و جنایت یا کیفیت مدرسه را بر ارزش اموال تجزیه و تحلیل کنند؟")</f>
        <v>چگونه متخصصان املاک و مستغلات می توانند تأثیر عوامل اجتماعی مانند نرخ جرم و جنایت یا کیفیت مدرسه را بر ارزش اموال تجزیه و تحلیل کنند؟</v>
      </c>
      <c r="H5266" s="1"/>
      <c r="I5266" s="1"/>
      <c r="J5266" s="1"/>
      <c r="K5266" s="1"/>
      <c r="L5266" s="1"/>
      <c r="M5266" s="1"/>
      <c r="N5266" s="1"/>
      <c r="O5266" s="1"/>
      <c r="P5266" s="1"/>
      <c r="Q5266" s="1"/>
      <c r="R5266" s="1"/>
      <c r="S5266" s="1"/>
      <c r="T5266" s="1"/>
      <c r="U5266" s="1"/>
      <c r="V5266" s="1"/>
      <c r="W5266" s="1"/>
      <c r="X5266" s="1"/>
      <c r="Y5266" s="1"/>
      <c r="Z5266" s="1"/>
      <c r="AA5266" s="1"/>
      <c r="AB5266" s="1"/>
    </row>
    <row r="5267" ht="50.25" customHeight="1">
      <c r="A5267" s="12">
        <v>5263.0</v>
      </c>
      <c r="B5267" s="13" t="s">
        <v>5027</v>
      </c>
      <c r="C5267" s="18" t="s">
        <v>5287</v>
      </c>
      <c r="D5267" s="1"/>
      <c r="E5267" s="1"/>
      <c r="F5267" s="1" t="str">
        <f>IFERROR(__xludf.DUMMYFUNCTION("GOOGLETRANSLATE(B5267, ""en"", ""fa"")
"),"املاک و مستغلات برای حرفه ای ها")</f>
        <v>املاک و مستغلات برای حرفه ای ها</v>
      </c>
      <c r="G5267" s="1" t="str">
        <f>IFERROR(__xludf.DUMMYFUNCTION("GOOGLETRANSLATE(C5267, ""en"", ""fa"")
"),"ملاحظات کلیدی هنگام ارزیابی ارزش بالقوه و قابلیت‌های درآمدزایی املاک در یک بازار خاص که به دلیل بخش لوکس یا گران‌قیمت آن شناخته شده است، چیست؟")</f>
        <v>ملاحظات کلیدی هنگام ارزیابی ارزش بالقوه و قابلیت‌های درآمدزایی املاک در یک بازار خاص که به دلیل بخش لوکس یا گران‌قیمت آن شناخته شده است، چیست؟</v>
      </c>
      <c r="H5267" s="1"/>
      <c r="I5267" s="1"/>
      <c r="J5267" s="1"/>
      <c r="K5267" s="1"/>
      <c r="L5267" s="1"/>
      <c r="M5267" s="1"/>
      <c r="N5267" s="1"/>
      <c r="O5267" s="1"/>
      <c r="P5267" s="1"/>
      <c r="Q5267" s="1"/>
      <c r="R5267" s="1"/>
      <c r="S5267" s="1"/>
      <c r="T5267" s="1"/>
      <c r="U5267" s="1"/>
      <c r="V5267" s="1"/>
      <c r="W5267" s="1"/>
      <c r="X5267" s="1"/>
      <c r="Y5267" s="1"/>
      <c r="Z5267" s="1"/>
      <c r="AA5267" s="1"/>
      <c r="AB5267" s="1"/>
    </row>
    <row r="5268" ht="50.25" customHeight="1">
      <c r="A5268" s="12">
        <v>5264.0</v>
      </c>
      <c r="B5268" s="13" t="s">
        <v>5027</v>
      </c>
      <c r="C5268" s="18" t="s">
        <v>5288</v>
      </c>
      <c r="D5268" s="1"/>
      <c r="E5268" s="1"/>
      <c r="F5268" s="1" t="str">
        <f>IFERROR(__xludf.DUMMYFUNCTION("GOOGLETRANSLATE(B5268, ""en"", ""fa"")
"),"املاک و مستغلات برای حرفه ای ها")</f>
        <v>املاک و مستغلات برای حرفه ای ها</v>
      </c>
      <c r="G5268" s="1" t="str">
        <f>IFERROR(__xludf.DUMMYFUNCTION("GOOGLETRANSLATE(C5268, ""en"", ""fa"")
"),"چگونه متخصصان املاک و مستغلات می توانند ارزش املاک را در یک بازار خاص که به خاطر انرژی های تجدیدپذیر یا طرح های پایداری آن شناخته شده است، ارزیابی کنند؟")</f>
        <v>چگونه متخصصان املاک و مستغلات می توانند ارزش املاک را در یک بازار خاص که به خاطر انرژی های تجدیدپذیر یا طرح های پایداری آن شناخته شده است، ارزیابی کنند؟</v>
      </c>
      <c r="H5268" s="1"/>
      <c r="I5268" s="1"/>
      <c r="J5268" s="1"/>
      <c r="K5268" s="1"/>
      <c r="L5268" s="1"/>
      <c r="M5268" s="1"/>
      <c r="N5268" s="1"/>
      <c r="O5268" s="1"/>
      <c r="P5268" s="1"/>
      <c r="Q5268" s="1"/>
      <c r="R5268" s="1"/>
      <c r="S5268" s="1"/>
      <c r="T5268" s="1"/>
      <c r="U5268" s="1"/>
      <c r="V5268" s="1"/>
      <c r="W5268" s="1"/>
      <c r="X5268" s="1"/>
      <c r="Y5268" s="1"/>
      <c r="Z5268" s="1"/>
      <c r="AA5268" s="1"/>
      <c r="AB5268" s="1"/>
    </row>
    <row r="5269" ht="50.25" customHeight="1">
      <c r="A5269" s="12">
        <v>5265.0</v>
      </c>
      <c r="B5269" s="13" t="s">
        <v>5027</v>
      </c>
      <c r="C5269" s="18" t="s">
        <v>5289</v>
      </c>
      <c r="D5269" s="1"/>
      <c r="E5269" s="1"/>
      <c r="F5269" s="1" t="str">
        <f>IFERROR(__xludf.DUMMYFUNCTION("GOOGLETRANSLATE(B5269, ""en"", ""fa"")
"),"املاک و مستغلات برای حرفه ای ها")</f>
        <v>املاک و مستغلات برای حرفه ای ها</v>
      </c>
      <c r="G5269" s="1" t="str">
        <f>IFERROR(__xludf.DUMMYFUNCTION("GOOGLETRANSLATE(C5269, ""en"", ""fa"")
"),"مراحل ضروری برای انجام تجزیه و تحلیل سودآوری و درک پتانسیل جریان نقدی یک ملک تجاری چیست؟")</f>
        <v>مراحل ضروری برای انجام تجزیه و تحلیل سودآوری و درک پتانسیل جریان نقدی یک ملک تجاری چیست؟</v>
      </c>
      <c r="H5269" s="1"/>
      <c r="I5269" s="1"/>
      <c r="J5269" s="1"/>
      <c r="K5269" s="1"/>
      <c r="L5269" s="1"/>
      <c r="M5269" s="1"/>
      <c r="N5269" s="1"/>
      <c r="O5269" s="1"/>
      <c r="P5269" s="1"/>
      <c r="Q5269" s="1"/>
      <c r="R5269" s="1"/>
      <c r="S5269" s="1"/>
      <c r="T5269" s="1"/>
      <c r="U5269" s="1"/>
      <c r="V5269" s="1"/>
      <c r="W5269" s="1"/>
      <c r="X5269" s="1"/>
      <c r="Y5269" s="1"/>
      <c r="Z5269" s="1"/>
      <c r="AA5269" s="1"/>
      <c r="AB5269" s="1"/>
    </row>
    <row r="5270" ht="50.25" customHeight="1">
      <c r="A5270" s="12">
        <v>5266.0</v>
      </c>
      <c r="B5270" s="13" t="s">
        <v>5027</v>
      </c>
      <c r="C5270" s="18" t="s">
        <v>5290</v>
      </c>
      <c r="D5270" s="1"/>
      <c r="E5270" s="1"/>
      <c r="F5270" s="1" t="str">
        <f>IFERROR(__xludf.DUMMYFUNCTION("GOOGLETRANSLATE(B5270, ""en"", ""fa"")
"),"املاک و مستغلات برای حرفه ای ها")</f>
        <v>املاک و مستغلات برای حرفه ای ها</v>
      </c>
      <c r="G5270" s="1" t="str">
        <f>IFERROR(__xludf.DUMMYFUNCTION("GOOGLETRANSLATE(C5270, ""en"", ""fa"")
"),"چگونه متخصصان املاک و مستغلات می توانند ارزش و بازگشت سرمایه بالقوه (ROI) املاک را در یک بازار خاص که به دلیل صنعت گردشگری یا هتلداری آن شناخته شده است، ارزیابی کنند؟")</f>
        <v>چگونه متخصصان املاک و مستغلات می توانند ارزش و بازگشت سرمایه بالقوه (ROI) املاک را در یک بازار خاص که به دلیل صنعت گردشگری یا هتلداری آن شناخته شده است، ارزیابی کنند؟</v>
      </c>
      <c r="H5270" s="1"/>
      <c r="I5270" s="1"/>
      <c r="J5270" s="1"/>
      <c r="K5270" s="1"/>
      <c r="L5270" s="1"/>
      <c r="M5270" s="1"/>
      <c r="N5270" s="1"/>
      <c r="O5270" s="1"/>
      <c r="P5270" s="1"/>
      <c r="Q5270" s="1"/>
      <c r="R5270" s="1"/>
      <c r="S5270" s="1"/>
      <c r="T5270" s="1"/>
      <c r="U5270" s="1"/>
      <c r="V5270" s="1"/>
      <c r="W5270" s="1"/>
      <c r="X5270" s="1"/>
      <c r="Y5270" s="1"/>
      <c r="Z5270" s="1"/>
      <c r="AA5270" s="1"/>
      <c r="AB5270" s="1"/>
    </row>
    <row r="5271" ht="50.25" customHeight="1">
      <c r="A5271" s="12">
        <v>5267.0</v>
      </c>
      <c r="B5271" s="13" t="s">
        <v>5027</v>
      </c>
      <c r="C5271" s="18" t="s">
        <v>5291</v>
      </c>
      <c r="D5271" s="1"/>
      <c r="E5271" s="1"/>
      <c r="F5271" s="1" t="str">
        <f>IFERROR(__xludf.DUMMYFUNCTION("GOOGLETRANSLATE(B5271, ""en"", ""fa"")
"),"املاک و مستغلات برای حرفه ای ها")</f>
        <v>املاک و مستغلات برای حرفه ای ها</v>
      </c>
      <c r="G5271" s="1" t="str">
        <f>IFERROR(__xludf.DUMMYFUNCTION("GOOGLETRANSLATE(C5271, ""en"", ""fa"")
"),"بهترین شیوه ها برای تجزیه و تحلیل و ارزش گذاری املاک با پتانسیل برای مسکن ارزان قیمت یا درآمد اجاره یارانه ای چیست؟")</f>
        <v>بهترین شیوه ها برای تجزیه و تحلیل و ارزش گذاری املاک با پتانسیل برای مسکن ارزان قیمت یا درآمد اجاره یارانه ای چیست؟</v>
      </c>
      <c r="H5271" s="1"/>
      <c r="I5271" s="1"/>
      <c r="J5271" s="1"/>
      <c r="K5271" s="1"/>
      <c r="L5271" s="1"/>
      <c r="M5271" s="1"/>
      <c r="N5271" s="1"/>
      <c r="O5271" s="1"/>
      <c r="P5271" s="1"/>
      <c r="Q5271" s="1"/>
      <c r="R5271" s="1"/>
      <c r="S5271" s="1"/>
      <c r="T5271" s="1"/>
      <c r="U5271" s="1"/>
      <c r="V5271" s="1"/>
      <c r="W5271" s="1"/>
      <c r="X5271" s="1"/>
      <c r="Y5271" s="1"/>
      <c r="Z5271" s="1"/>
      <c r="AA5271" s="1"/>
      <c r="AB5271" s="1"/>
    </row>
    <row r="5272" ht="50.25" customHeight="1">
      <c r="A5272" s="12">
        <v>5268.0</v>
      </c>
      <c r="B5272" s="13" t="s">
        <v>5027</v>
      </c>
      <c r="C5272" s="18" t="s">
        <v>5292</v>
      </c>
      <c r="D5272" s="1"/>
      <c r="E5272" s="1"/>
      <c r="F5272" s="1" t="str">
        <f>IFERROR(__xludf.DUMMYFUNCTION("GOOGLETRANSLATE(B5272, ""en"", ""fa"")
"),"املاک و مستغلات برای حرفه ای ها")</f>
        <v>املاک و مستغلات برای حرفه ای ها</v>
      </c>
      <c r="G5272" s="1" t="str">
        <f>IFERROR(__xludf.DUMMYFUNCTION("GOOGLETRANSLATE(C5272, ""en"", ""fa"")
"),"چگونه متخصصان املاک و مستغلات می توانند ارزش املاک را در یک بازار خاص که به دلیل مد یا منطقه خرید آن شناخته شده است ارزیابی کنند؟")</f>
        <v>چگونه متخصصان املاک و مستغلات می توانند ارزش املاک را در یک بازار خاص که به دلیل مد یا منطقه خرید آن شناخته شده است ارزیابی کنند؟</v>
      </c>
      <c r="H5272" s="1"/>
      <c r="I5272" s="1"/>
      <c r="J5272" s="1"/>
      <c r="K5272" s="1"/>
      <c r="L5272" s="1"/>
      <c r="M5272" s="1"/>
      <c r="N5272" s="1"/>
      <c r="O5272" s="1"/>
      <c r="P5272" s="1"/>
      <c r="Q5272" s="1"/>
      <c r="R5272" s="1"/>
      <c r="S5272" s="1"/>
      <c r="T5272" s="1"/>
      <c r="U5272" s="1"/>
      <c r="V5272" s="1"/>
      <c r="W5272" s="1"/>
      <c r="X5272" s="1"/>
      <c r="Y5272" s="1"/>
      <c r="Z5272" s="1"/>
      <c r="AA5272" s="1"/>
      <c r="AB5272" s="1"/>
    </row>
    <row r="5273" ht="50.25" customHeight="1">
      <c r="A5273" s="12">
        <v>5269.0</v>
      </c>
      <c r="B5273" s="13" t="s">
        <v>5027</v>
      </c>
      <c r="C5273" s="18" t="s">
        <v>5293</v>
      </c>
      <c r="D5273" s="1"/>
      <c r="E5273" s="1"/>
      <c r="F5273" s="1" t="str">
        <f>IFERROR(__xludf.DUMMYFUNCTION("GOOGLETRANSLATE(B5273, ""en"", ""fa"")
"),"املاک و مستغلات برای حرفه ای ها")</f>
        <v>املاک و مستغلات برای حرفه ای ها</v>
      </c>
      <c r="G5273" s="1" t="str">
        <f>IFERROR(__xludf.DUMMYFUNCTION("GOOGLETRANSLATE(C5273, ""en"", ""fa"")
"),"هنگام ارزیابی ارزش بالقوه و قابلیت‌های درآمدزایی املاک با کاربری مختلط با اجزای مسکونی و هتلی، چه فاکتورهای حیاتی باید در نظر گرفته شود؟")</f>
        <v>هنگام ارزیابی ارزش بالقوه و قابلیت‌های درآمدزایی املاک با کاربری مختلط با اجزای مسکونی و هتلی، چه فاکتورهای حیاتی باید در نظر گرفته شود؟</v>
      </c>
      <c r="H5273" s="1"/>
      <c r="I5273" s="1"/>
      <c r="J5273" s="1"/>
      <c r="K5273" s="1"/>
      <c r="L5273" s="1"/>
      <c r="M5273" s="1"/>
      <c r="N5273" s="1"/>
      <c r="O5273" s="1"/>
      <c r="P5273" s="1"/>
      <c r="Q5273" s="1"/>
      <c r="R5273" s="1"/>
      <c r="S5273" s="1"/>
      <c r="T5273" s="1"/>
      <c r="U5273" s="1"/>
      <c r="V5273" s="1"/>
      <c r="W5273" s="1"/>
      <c r="X5273" s="1"/>
      <c r="Y5273" s="1"/>
      <c r="Z5273" s="1"/>
      <c r="AA5273" s="1"/>
      <c r="AB5273" s="1"/>
    </row>
    <row r="5274" ht="50.25" customHeight="1">
      <c r="A5274" s="12">
        <v>5270.0</v>
      </c>
      <c r="B5274" s="13" t="s">
        <v>5027</v>
      </c>
      <c r="C5274" s="18" t="s">
        <v>5294</v>
      </c>
      <c r="D5274" s="1"/>
      <c r="E5274" s="1"/>
      <c r="F5274" s="1" t="str">
        <f>IFERROR(__xludf.DUMMYFUNCTION("GOOGLETRANSLATE(B5274, ""en"", ""fa"")
"),"املاک و مستغلات برای حرفه ای ها")</f>
        <v>املاک و مستغلات برای حرفه ای ها</v>
      </c>
      <c r="G5274" s="1" t="str">
        <f>IFERROR(__xludf.DUMMYFUNCTION("GOOGLETRANSLATE(C5274, ""en"", ""fa"")
"),"چگونه متخصصان املاک و مستغلات می توانند تأثیر زیرساخت های حمل و نقل مانند فرودگاه ها یا بزرگراه های اصلی را بر ارزش املاک تجزیه و تحلیل کنند؟")</f>
        <v>چگونه متخصصان املاک و مستغلات می توانند تأثیر زیرساخت های حمل و نقل مانند فرودگاه ها یا بزرگراه های اصلی را بر ارزش املاک تجزیه و تحلیل کنند؟</v>
      </c>
      <c r="H5274" s="1"/>
      <c r="I5274" s="1"/>
      <c r="J5274" s="1"/>
      <c r="K5274" s="1"/>
      <c r="L5274" s="1"/>
      <c r="M5274" s="1"/>
      <c r="N5274" s="1"/>
      <c r="O5274" s="1"/>
      <c r="P5274" s="1"/>
      <c r="Q5274" s="1"/>
      <c r="R5274" s="1"/>
      <c r="S5274" s="1"/>
      <c r="T5274" s="1"/>
      <c r="U5274" s="1"/>
      <c r="V5274" s="1"/>
      <c r="W5274" s="1"/>
      <c r="X5274" s="1"/>
      <c r="Y5274" s="1"/>
      <c r="Z5274" s="1"/>
      <c r="AA5274" s="1"/>
      <c r="AB5274" s="1"/>
    </row>
    <row r="5275" ht="50.25" customHeight="1">
      <c r="A5275" s="12">
        <v>5271.0</v>
      </c>
      <c r="B5275" s="13" t="s">
        <v>5027</v>
      </c>
      <c r="C5275" s="18" t="s">
        <v>5295</v>
      </c>
      <c r="D5275" s="1"/>
      <c r="E5275" s="1"/>
      <c r="F5275" s="1" t="str">
        <f>IFERROR(__xludf.DUMMYFUNCTION("GOOGLETRANSLATE(B5275, ""en"", ""fa"")
"),"املاک و مستغلات برای حرفه ای ها")</f>
        <v>املاک و مستغلات برای حرفه ای ها</v>
      </c>
      <c r="G5275" s="1" t="str">
        <f>IFERROR(__xludf.DUMMYFUNCTION("GOOGLETRANSLATE(C5275, ""en"", ""fa"")
"),"عناصر ضروری یک طرح بازاریابی موثر املاک و مستغلات چیست؟")</f>
        <v>عناصر ضروری یک طرح بازاریابی موثر املاک و مستغلات چیست؟</v>
      </c>
      <c r="H5275" s="1"/>
      <c r="I5275" s="1"/>
      <c r="J5275" s="1"/>
      <c r="K5275" s="1"/>
      <c r="L5275" s="1"/>
      <c r="M5275" s="1"/>
      <c r="N5275" s="1"/>
      <c r="O5275" s="1"/>
      <c r="P5275" s="1"/>
      <c r="Q5275" s="1"/>
      <c r="R5275" s="1"/>
      <c r="S5275" s="1"/>
      <c r="T5275" s="1"/>
      <c r="U5275" s="1"/>
      <c r="V5275" s="1"/>
      <c r="W5275" s="1"/>
      <c r="X5275" s="1"/>
      <c r="Y5275" s="1"/>
      <c r="Z5275" s="1"/>
      <c r="AA5275" s="1"/>
      <c r="AB5275" s="1"/>
    </row>
    <row r="5276" ht="50.25" customHeight="1">
      <c r="A5276" s="12">
        <v>5272.0</v>
      </c>
      <c r="B5276" s="13" t="s">
        <v>5027</v>
      </c>
      <c r="C5276" s="18" t="s">
        <v>5296</v>
      </c>
      <c r="D5276" s="1"/>
      <c r="E5276" s="1"/>
      <c r="F5276" s="1" t="str">
        <f>IFERROR(__xludf.DUMMYFUNCTION("GOOGLETRANSLATE(B5276, ""en"", ""fa"")
"),"املاک و مستغلات برای حرفه ای ها")</f>
        <v>املاک و مستغلات برای حرفه ای ها</v>
      </c>
      <c r="G5276" s="1" t="str">
        <f>IFERROR(__xludf.DUMMYFUNCTION("GOOGLETRANSLATE(C5276, ""en"", ""fa"")
"),"چگونه متخصصان املاک و مستغلات می توانند یک داستان برند قانع کننده ایجاد کنند که با مخاطبان هدف آنها طنین انداز شود؟")</f>
        <v>چگونه متخصصان املاک و مستغلات می توانند یک داستان برند قانع کننده ایجاد کنند که با مخاطبان هدف آنها طنین انداز شود؟</v>
      </c>
      <c r="H5276" s="1"/>
      <c r="I5276" s="1"/>
      <c r="J5276" s="1"/>
      <c r="K5276" s="1"/>
      <c r="L5276" s="1"/>
      <c r="M5276" s="1"/>
      <c r="N5276" s="1"/>
      <c r="O5276" s="1"/>
      <c r="P5276" s="1"/>
      <c r="Q5276" s="1"/>
      <c r="R5276" s="1"/>
      <c r="S5276" s="1"/>
      <c r="T5276" s="1"/>
      <c r="U5276" s="1"/>
      <c r="V5276" s="1"/>
      <c r="W5276" s="1"/>
      <c r="X5276" s="1"/>
      <c r="Y5276" s="1"/>
      <c r="Z5276" s="1"/>
      <c r="AA5276" s="1"/>
      <c r="AB5276" s="1"/>
    </row>
    <row r="5277" ht="50.25" customHeight="1">
      <c r="A5277" s="12">
        <v>5273.0</v>
      </c>
      <c r="B5277" s="13" t="s">
        <v>5027</v>
      </c>
      <c r="C5277" s="18" t="s">
        <v>5297</v>
      </c>
      <c r="D5277" s="1"/>
      <c r="E5277" s="1"/>
      <c r="F5277" s="1" t="str">
        <f>IFERROR(__xludf.DUMMYFUNCTION("GOOGLETRANSLATE(B5277, ""en"", ""fa"")
"),"املاک و مستغلات برای حرفه ای ها")</f>
        <v>املاک و مستغلات برای حرفه ای ها</v>
      </c>
      <c r="G5277" s="1" t="str">
        <f>IFERROR(__xludf.DUMMYFUNCTION("GOOGLETRANSLATE(C5277, ""en"", ""fa"")
"),"استراتژی های کلیدی برای استفاده از رسانه های اجتماعی برای تبلیغ لیست املاک و تعامل با خریداران بالقوه چیست؟")</f>
        <v>استراتژی های کلیدی برای استفاده از رسانه های اجتماعی برای تبلیغ لیست املاک و تعامل با خریداران بالقوه چیست؟</v>
      </c>
      <c r="H5277" s="1"/>
      <c r="I5277" s="1"/>
      <c r="J5277" s="1"/>
      <c r="K5277" s="1"/>
      <c r="L5277" s="1"/>
      <c r="M5277" s="1"/>
      <c r="N5277" s="1"/>
      <c r="O5277" s="1"/>
      <c r="P5277" s="1"/>
      <c r="Q5277" s="1"/>
      <c r="R5277" s="1"/>
      <c r="S5277" s="1"/>
      <c r="T5277" s="1"/>
      <c r="U5277" s="1"/>
      <c r="V5277" s="1"/>
      <c r="W5277" s="1"/>
      <c r="X5277" s="1"/>
      <c r="Y5277" s="1"/>
      <c r="Z5277" s="1"/>
      <c r="AA5277" s="1"/>
      <c r="AB5277" s="1"/>
    </row>
    <row r="5278" ht="50.25" customHeight="1">
      <c r="A5278" s="12">
        <v>5274.0</v>
      </c>
      <c r="B5278" s="13" t="s">
        <v>5027</v>
      </c>
      <c r="C5278" s="18" t="s">
        <v>5298</v>
      </c>
      <c r="D5278" s="1"/>
      <c r="E5278" s="1"/>
      <c r="F5278" s="1" t="str">
        <f>IFERROR(__xludf.DUMMYFUNCTION("GOOGLETRANSLATE(B5278, ""en"", ""fa"")
"),"املاک و مستغلات برای حرفه ای ها")</f>
        <v>املاک و مستغلات برای حرفه ای ها</v>
      </c>
      <c r="G5278" s="1" t="str">
        <f>IFERROR(__xludf.DUMMYFUNCTION("GOOGLETRANSLATE(C5278, ""en"", ""fa"")
"),"چگونه متخصصان املاک و مستغلات می توانند وب سایت خود را برای ایجاد سرنخ بیشتر و افزایش تبدیل بهینه کنند؟")</f>
        <v>چگونه متخصصان املاک و مستغلات می توانند وب سایت خود را برای ایجاد سرنخ بیشتر و افزایش تبدیل بهینه کنند؟</v>
      </c>
      <c r="H5278" s="1"/>
      <c r="I5278" s="1"/>
      <c r="J5278" s="1"/>
      <c r="K5278" s="1"/>
      <c r="L5278" s="1"/>
      <c r="M5278" s="1"/>
      <c r="N5278" s="1"/>
      <c r="O5278" s="1"/>
      <c r="P5278" s="1"/>
      <c r="Q5278" s="1"/>
      <c r="R5278" s="1"/>
      <c r="S5278" s="1"/>
      <c r="T5278" s="1"/>
      <c r="U5278" s="1"/>
      <c r="V5278" s="1"/>
      <c r="W5278" s="1"/>
      <c r="X5278" s="1"/>
      <c r="Y5278" s="1"/>
      <c r="Z5278" s="1"/>
      <c r="AA5278" s="1"/>
      <c r="AB5278" s="1"/>
    </row>
    <row r="5279" ht="50.25" customHeight="1">
      <c r="A5279" s="12">
        <v>5275.0</v>
      </c>
      <c r="B5279" s="13" t="s">
        <v>5027</v>
      </c>
      <c r="C5279" s="18" t="s">
        <v>5299</v>
      </c>
      <c r="D5279" s="1"/>
      <c r="E5279" s="1"/>
      <c r="F5279" s="1" t="str">
        <f>IFERROR(__xludf.DUMMYFUNCTION("GOOGLETRANSLATE(B5279, ""en"", ""fa"")
"),"املاک و مستغلات برای حرفه ای ها")</f>
        <v>املاک و مستغلات برای حرفه ای ها</v>
      </c>
      <c r="G5279" s="1" t="str">
        <f>IFERROR(__xludf.DUMMYFUNCTION("GOOGLETRANSLATE(C5279, ""en"", ""fa"")
"),"بهترین روش ها برای ایجاد فهرست املاک از نظر بصری جذاب که توجه خریداران را به خود جلب می کند چیست؟")</f>
        <v>بهترین روش ها برای ایجاد فهرست املاک از نظر بصری جذاب که توجه خریداران را به خود جلب می کند چیست؟</v>
      </c>
      <c r="H5279" s="1"/>
      <c r="I5279" s="1"/>
      <c r="J5279" s="1"/>
      <c r="K5279" s="1"/>
      <c r="L5279" s="1"/>
      <c r="M5279" s="1"/>
      <c r="N5279" s="1"/>
      <c r="O5279" s="1"/>
      <c r="P5279" s="1"/>
      <c r="Q5279" s="1"/>
      <c r="R5279" s="1"/>
      <c r="S5279" s="1"/>
      <c r="T5279" s="1"/>
      <c r="U5279" s="1"/>
      <c r="V5279" s="1"/>
      <c r="W5279" s="1"/>
      <c r="X5279" s="1"/>
      <c r="Y5279" s="1"/>
      <c r="Z5279" s="1"/>
      <c r="AA5279" s="1"/>
      <c r="AB5279" s="1"/>
    </row>
    <row r="5280" ht="50.25" customHeight="1">
      <c r="A5280" s="12">
        <v>5276.0</v>
      </c>
      <c r="B5280" s="13" t="s">
        <v>5027</v>
      </c>
      <c r="C5280" s="18" t="s">
        <v>5300</v>
      </c>
      <c r="D5280" s="1"/>
      <c r="E5280" s="1"/>
      <c r="F5280" s="1" t="str">
        <f>IFERROR(__xludf.DUMMYFUNCTION("GOOGLETRANSLATE(B5280, ""en"", ""fa"")
"),"املاک و مستغلات برای حرفه ای ها")</f>
        <v>املاک و مستغلات برای حرفه ای ها</v>
      </c>
      <c r="G5280" s="1" t="str">
        <f>IFERROR(__xludf.DUMMYFUNCTION("GOOGLETRANSLATE(C5280, ""en"", ""fa"")
"),"چگونه متخصصان املاک و مستغلات می توانند از بازاریابی ایمیلی برای پرورش سرنخ ها استفاده کنند و در ذهن مشتریان بالقوه قرار بگیرند؟")</f>
        <v>چگونه متخصصان املاک و مستغلات می توانند از بازاریابی ایمیلی برای پرورش سرنخ ها استفاده کنند و در ذهن مشتریان بالقوه قرار بگیرند؟</v>
      </c>
      <c r="H5280" s="1"/>
      <c r="I5280" s="1"/>
      <c r="J5280" s="1"/>
      <c r="K5280" s="1"/>
      <c r="L5280" s="1"/>
      <c r="M5280" s="1"/>
      <c r="N5280" s="1"/>
      <c r="O5280" s="1"/>
      <c r="P5280" s="1"/>
      <c r="Q5280" s="1"/>
      <c r="R5280" s="1"/>
      <c r="S5280" s="1"/>
      <c r="T5280" s="1"/>
      <c r="U5280" s="1"/>
      <c r="V5280" s="1"/>
      <c r="W5280" s="1"/>
      <c r="X5280" s="1"/>
      <c r="Y5280" s="1"/>
      <c r="Z5280" s="1"/>
      <c r="AA5280" s="1"/>
      <c r="AB5280" s="1"/>
    </row>
    <row r="5281" ht="50.25" customHeight="1">
      <c r="A5281" s="12">
        <v>5277.0</v>
      </c>
      <c r="B5281" s="13" t="s">
        <v>5027</v>
      </c>
      <c r="C5281" s="18" t="s">
        <v>5301</v>
      </c>
      <c r="D5281" s="1"/>
      <c r="E5281" s="1"/>
      <c r="F5281" s="1" t="str">
        <f>IFERROR(__xludf.DUMMYFUNCTION("GOOGLETRANSLATE(B5281, ""en"", ""fa"")
"),"املاک و مستغلات برای حرفه ای ها")</f>
        <v>املاک و مستغلات برای حرفه ای ها</v>
      </c>
      <c r="G5281" s="1" t="str">
        <f>IFERROR(__xludf.DUMMYFUNCTION("GOOGLETRANSLATE(C5281, ""en"", ""fa"")
"),"عوامل مهمی که باید در هنگام ایجاد یک نمایه بازار هدف برای کمپین های بازاریابی املاک و مستغلات در نظر گرفت چیست؟")</f>
        <v>عوامل مهمی که باید در هنگام ایجاد یک نمایه بازار هدف برای کمپین های بازاریابی املاک و مستغلات در نظر گرفت چیست؟</v>
      </c>
      <c r="H5281" s="1"/>
      <c r="I5281" s="1"/>
      <c r="J5281" s="1"/>
      <c r="K5281" s="1"/>
      <c r="L5281" s="1"/>
      <c r="M5281" s="1"/>
      <c r="N5281" s="1"/>
      <c r="O5281" s="1"/>
      <c r="P5281" s="1"/>
      <c r="Q5281" s="1"/>
      <c r="R5281" s="1"/>
      <c r="S5281" s="1"/>
      <c r="T5281" s="1"/>
      <c r="U5281" s="1"/>
      <c r="V5281" s="1"/>
      <c r="W5281" s="1"/>
      <c r="X5281" s="1"/>
      <c r="Y5281" s="1"/>
      <c r="Z5281" s="1"/>
      <c r="AA5281" s="1"/>
      <c r="AB5281" s="1"/>
    </row>
    <row r="5282" ht="50.25" customHeight="1">
      <c r="A5282" s="12">
        <v>5278.0</v>
      </c>
      <c r="B5282" s="13" t="s">
        <v>5027</v>
      </c>
      <c r="C5282" s="18" t="s">
        <v>5302</v>
      </c>
      <c r="D5282" s="1"/>
      <c r="E5282" s="1"/>
      <c r="F5282" s="1" t="str">
        <f>IFERROR(__xludf.DUMMYFUNCTION("GOOGLETRANSLATE(B5282, ""en"", ""fa"")
"),"املاک و مستغلات برای حرفه ای ها")</f>
        <v>املاک و مستغلات برای حرفه ای ها</v>
      </c>
      <c r="G5282" s="1" t="str">
        <f>IFERROR(__xludf.DUMMYFUNCTION("GOOGLETRANSLATE(C5282, ""en"", ""fa"")
"),"چگونه متخصصان املاک و مستغلات می توانند به طور موثر از بازاریابی ویدئویی برای نمایش املاک و جذب خریداران استفاده کنند؟")</f>
        <v>چگونه متخصصان املاک و مستغلات می توانند به طور موثر از بازاریابی ویدئویی برای نمایش املاک و جذب خریداران استفاده کنند؟</v>
      </c>
      <c r="H5282" s="1"/>
      <c r="I5282" s="1"/>
      <c r="J5282" s="1"/>
      <c r="K5282" s="1"/>
      <c r="L5282" s="1"/>
      <c r="M5282" s="1"/>
      <c r="N5282" s="1"/>
      <c r="O5282" s="1"/>
      <c r="P5282" s="1"/>
      <c r="Q5282" s="1"/>
      <c r="R5282" s="1"/>
      <c r="S5282" s="1"/>
      <c r="T5282" s="1"/>
      <c r="U5282" s="1"/>
      <c r="V5282" s="1"/>
      <c r="W5282" s="1"/>
      <c r="X5282" s="1"/>
      <c r="Y5282" s="1"/>
      <c r="Z5282" s="1"/>
      <c r="AA5282" s="1"/>
      <c r="AB5282" s="1"/>
    </row>
    <row r="5283" ht="50.25" customHeight="1">
      <c r="A5283" s="12">
        <v>5279.0</v>
      </c>
      <c r="B5283" s="13" t="s">
        <v>5027</v>
      </c>
      <c r="C5283" s="18" t="s">
        <v>5303</v>
      </c>
      <c r="D5283" s="1"/>
      <c r="E5283" s="1"/>
      <c r="F5283" s="1" t="str">
        <f>IFERROR(__xludf.DUMMYFUNCTION("GOOGLETRANSLATE(B5283, ""en"", ""fa"")
"),"املاک و مستغلات برای حرفه ای ها")</f>
        <v>املاک و مستغلات برای حرفه ای ها</v>
      </c>
      <c r="G5283" s="1" t="str">
        <f>IFERROR(__xludf.DUMMYFUNCTION("GOOGLETRANSLATE(C5283, ""en"", ""fa"")
"),"اجزای کلیدی یک کمپین تبلیغاتی موفق املاک چه آنلاین و چه آفلاین چیست؟")</f>
        <v>اجزای کلیدی یک کمپین تبلیغاتی موفق املاک چه آنلاین و چه آفلاین چیست؟</v>
      </c>
      <c r="H5283" s="1"/>
      <c r="I5283" s="1"/>
      <c r="J5283" s="1"/>
      <c r="K5283" s="1"/>
      <c r="L5283" s="1"/>
      <c r="M5283" s="1"/>
      <c r="N5283" s="1"/>
      <c r="O5283" s="1"/>
      <c r="P5283" s="1"/>
      <c r="Q5283" s="1"/>
      <c r="R5283" s="1"/>
      <c r="S5283" s="1"/>
      <c r="T5283" s="1"/>
      <c r="U5283" s="1"/>
      <c r="V5283" s="1"/>
      <c r="W5283" s="1"/>
      <c r="X5283" s="1"/>
      <c r="Y5283" s="1"/>
      <c r="Z5283" s="1"/>
      <c r="AA5283" s="1"/>
      <c r="AB5283" s="1"/>
    </row>
    <row r="5284" ht="50.25" customHeight="1">
      <c r="A5284" s="12">
        <v>5280.0</v>
      </c>
      <c r="B5284" s="13" t="s">
        <v>5027</v>
      </c>
      <c r="C5284" s="18" t="s">
        <v>5304</v>
      </c>
      <c r="D5284" s="1"/>
      <c r="E5284" s="1"/>
      <c r="F5284" s="1" t="str">
        <f>IFERROR(__xludf.DUMMYFUNCTION("GOOGLETRANSLATE(B5284, ""en"", ""fa"")
"),"املاک و مستغلات برای حرفه ای ها")</f>
        <v>املاک و مستغلات برای حرفه ای ها</v>
      </c>
      <c r="G5284" s="1" t="str">
        <f>IFERROR(__xludf.DUMMYFUNCTION("GOOGLETRANSLATE(C5284, ""en"", ""fa"")
"),"چگونه متخصصان املاک و مستغلات می توانند از بازاریابی محتوا برای تثبیت خود به عنوان متخصص صنعت و جذب سرنخ های واجد شرایط استفاده کنند؟")</f>
        <v>چگونه متخصصان املاک و مستغلات می توانند از بازاریابی محتوا برای تثبیت خود به عنوان متخصص صنعت و جذب سرنخ های واجد شرایط استفاده کنند؟</v>
      </c>
      <c r="H5284" s="1"/>
      <c r="I5284" s="1"/>
      <c r="J5284" s="1"/>
      <c r="K5284" s="1"/>
      <c r="L5284" s="1"/>
      <c r="M5284" s="1"/>
      <c r="N5284" s="1"/>
      <c r="O5284" s="1"/>
      <c r="P5284" s="1"/>
      <c r="Q5284" s="1"/>
      <c r="R5284" s="1"/>
      <c r="S5284" s="1"/>
      <c r="T5284" s="1"/>
      <c r="U5284" s="1"/>
      <c r="V5284" s="1"/>
      <c r="W5284" s="1"/>
      <c r="X5284" s="1"/>
      <c r="Y5284" s="1"/>
      <c r="Z5284" s="1"/>
      <c r="AA5284" s="1"/>
      <c r="AB5284" s="1"/>
    </row>
    <row r="5285" ht="50.25" customHeight="1">
      <c r="A5285" s="12">
        <v>5281.0</v>
      </c>
      <c r="B5285" s="13" t="s">
        <v>5027</v>
      </c>
      <c r="C5285" s="18" t="s">
        <v>5305</v>
      </c>
      <c r="D5285" s="1"/>
      <c r="E5285" s="1"/>
      <c r="F5285" s="1" t="str">
        <f>IFERROR(__xludf.DUMMYFUNCTION("GOOGLETRANSLATE(B5285, ""en"", ""fa"")
"),"املاک و مستغلات برای حرفه ای ها")</f>
        <v>املاک و مستغلات برای حرفه ای ها</v>
      </c>
      <c r="G5285" s="1" t="str">
        <f>IFERROR(__xludf.DUMMYFUNCTION("GOOGLETRANSLATE(C5285, ""en"", ""fa"")
"),"مراحل ضروری برای ایجاد یک برند شخصی قوی به عنوان یک متخصص املاک چیست؟")</f>
        <v>مراحل ضروری برای ایجاد یک برند شخصی قوی به عنوان یک متخصص املاک چیست؟</v>
      </c>
      <c r="H5285" s="1"/>
      <c r="I5285" s="1"/>
      <c r="J5285" s="1"/>
      <c r="K5285" s="1"/>
      <c r="L5285" s="1"/>
      <c r="M5285" s="1"/>
      <c r="N5285" s="1"/>
      <c r="O5285" s="1"/>
      <c r="P5285" s="1"/>
      <c r="Q5285" s="1"/>
      <c r="R5285" s="1"/>
      <c r="S5285" s="1"/>
      <c r="T5285" s="1"/>
      <c r="U5285" s="1"/>
      <c r="V5285" s="1"/>
      <c r="W5285" s="1"/>
      <c r="X5285" s="1"/>
      <c r="Y5285" s="1"/>
      <c r="Z5285" s="1"/>
      <c r="AA5285" s="1"/>
      <c r="AB5285" s="1"/>
    </row>
    <row r="5286" ht="50.25" customHeight="1">
      <c r="A5286" s="12">
        <v>5282.0</v>
      </c>
      <c r="B5286" s="13" t="s">
        <v>5027</v>
      </c>
      <c r="C5286" s="18" t="s">
        <v>5306</v>
      </c>
      <c r="D5286" s="1"/>
      <c r="E5286" s="1"/>
      <c r="F5286" s="1" t="str">
        <f>IFERROR(__xludf.DUMMYFUNCTION("GOOGLETRANSLATE(B5286, ""en"", ""fa"")
"),"املاک و مستغلات برای حرفه ای ها")</f>
        <v>املاک و مستغلات برای حرفه ای ها</v>
      </c>
      <c r="G5286" s="1" t="str">
        <f>IFERROR(__xludf.DUMMYFUNCTION("GOOGLETRANSLATE(C5286, ""en"", ""fa"")
"),"چگونه متخصصان املاک و مستغلات می توانند از بهینه سازی موتور جستجو (SEO) برای بهبود دید آنلاین خود و جذب ترافیک ارگانیک استفاده کنند؟")</f>
        <v>چگونه متخصصان املاک و مستغلات می توانند از بهینه سازی موتور جستجو (SEO) برای بهبود دید آنلاین خود و جذب ترافیک ارگانیک استفاده کنند؟</v>
      </c>
      <c r="H5286" s="1"/>
      <c r="I5286" s="1"/>
      <c r="J5286" s="1"/>
      <c r="K5286" s="1"/>
      <c r="L5286" s="1"/>
      <c r="M5286" s="1"/>
      <c r="N5286" s="1"/>
      <c r="O5286" s="1"/>
      <c r="P5286" s="1"/>
      <c r="Q5286" s="1"/>
      <c r="R5286" s="1"/>
      <c r="S5286" s="1"/>
      <c r="T5286" s="1"/>
      <c r="U5286" s="1"/>
      <c r="V5286" s="1"/>
      <c r="W5286" s="1"/>
      <c r="X5286" s="1"/>
      <c r="Y5286" s="1"/>
      <c r="Z5286" s="1"/>
      <c r="AA5286" s="1"/>
      <c r="AB5286" s="1"/>
    </row>
    <row r="5287" ht="50.25" customHeight="1">
      <c r="A5287" s="12">
        <v>5283.0</v>
      </c>
      <c r="B5287" s="13" t="s">
        <v>5027</v>
      </c>
      <c r="C5287" s="18" t="s">
        <v>5307</v>
      </c>
      <c r="D5287" s="1"/>
      <c r="E5287" s="1"/>
      <c r="F5287" s="1" t="str">
        <f>IFERROR(__xludf.DUMMYFUNCTION("GOOGLETRANSLATE(B5287, ""en"", ""fa"")
"),"املاک و مستغلات برای حرفه ای ها")</f>
        <v>املاک و مستغلات برای حرفه ای ها</v>
      </c>
      <c r="G5287" s="1" t="str">
        <f>IFERROR(__xludf.DUMMYFUNCTION("GOOGLETRANSLATE(C5287, ""en"", ""fa"")
"),"بهترین شیوه ها برای استفاده از پلتفرم های بررسی آنلاین و توصیفات برای ایجاد اعتماد و اعتبار با مشتریان بالقوه چیست؟")</f>
        <v>بهترین شیوه ها برای استفاده از پلتفرم های بررسی آنلاین و توصیفات برای ایجاد اعتماد و اعتبار با مشتریان بالقوه چیست؟</v>
      </c>
      <c r="H5287" s="1"/>
      <c r="I5287" s="1"/>
      <c r="J5287" s="1"/>
      <c r="K5287" s="1"/>
      <c r="L5287" s="1"/>
      <c r="M5287" s="1"/>
      <c r="N5287" s="1"/>
      <c r="O5287" s="1"/>
      <c r="P5287" s="1"/>
      <c r="Q5287" s="1"/>
      <c r="R5287" s="1"/>
      <c r="S5287" s="1"/>
      <c r="T5287" s="1"/>
      <c r="U5287" s="1"/>
      <c r="V5287" s="1"/>
      <c r="W5287" s="1"/>
      <c r="X5287" s="1"/>
      <c r="Y5287" s="1"/>
      <c r="Z5287" s="1"/>
      <c r="AA5287" s="1"/>
      <c r="AB5287" s="1"/>
    </row>
    <row r="5288" ht="50.25" customHeight="1">
      <c r="A5288" s="12">
        <v>5284.0</v>
      </c>
      <c r="B5288" s="13" t="s">
        <v>5027</v>
      </c>
      <c r="C5288" s="18" t="s">
        <v>5308</v>
      </c>
      <c r="D5288" s="1"/>
      <c r="E5288" s="1"/>
      <c r="F5288" s="1" t="str">
        <f>IFERROR(__xludf.DUMMYFUNCTION("GOOGLETRANSLATE(B5288, ""en"", ""fa"")
"),"املاک و مستغلات برای حرفه ای ها")</f>
        <v>املاک و مستغلات برای حرفه ای ها</v>
      </c>
      <c r="G5288" s="1" t="str">
        <f>IFERROR(__xludf.DUMMYFUNCTION("GOOGLETRANSLATE(C5288, ""en"", ""fa"")
"),"چگونه متخصصان املاک و مستغلات می توانند یک برنامه ارجاع برای تشویق مشتریان فعلی برای ارجاع سرنخ های جدید ایجاد کنند؟")</f>
        <v>چگونه متخصصان املاک و مستغلات می توانند یک برنامه ارجاع برای تشویق مشتریان فعلی برای ارجاع سرنخ های جدید ایجاد کنند؟</v>
      </c>
      <c r="H5288" s="1"/>
      <c r="I5288" s="1"/>
      <c r="J5288" s="1"/>
      <c r="K5288" s="1"/>
      <c r="L5288" s="1"/>
      <c r="M5288" s="1"/>
      <c r="N5288" s="1"/>
      <c r="O5288" s="1"/>
      <c r="P5288" s="1"/>
      <c r="Q5288" s="1"/>
      <c r="R5288" s="1"/>
      <c r="S5288" s="1"/>
      <c r="T5288" s="1"/>
      <c r="U5288" s="1"/>
      <c r="V5288" s="1"/>
      <c r="W5288" s="1"/>
      <c r="X5288" s="1"/>
      <c r="Y5288" s="1"/>
      <c r="Z5288" s="1"/>
      <c r="AA5288" s="1"/>
      <c r="AB5288" s="1"/>
    </row>
    <row r="5289" ht="50.25" customHeight="1">
      <c r="A5289" s="12">
        <v>5285.0</v>
      </c>
      <c r="B5289" s="13" t="s">
        <v>5027</v>
      </c>
      <c r="C5289" s="18" t="s">
        <v>5309</v>
      </c>
      <c r="D5289" s="1"/>
      <c r="E5289" s="1"/>
      <c r="F5289" s="1" t="str">
        <f>IFERROR(__xludf.DUMMYFUNCTION("GOOGLETRANSLATE(B5289, ""en"", ""fa"")
"),"املاک و مستغلات برای حرفه ای ها")</f>
        <v>املاک و مستغلات برای حرفه ای ها</v>
      </c>
      <c r="G5289" s="1" t="str">
        <f>IFERROR(__xludf.DUMMYFUNCTION("GOOGLETRANSLATE(C5289, ""en"", ""fa"")
"),"هنگام ایجاد یک لوگو و هویت بصری املاک و مستغلات به یاد ماندنی و تاثیرگذار چه عواملی را باید در نظر گرفت؟")</f>
        <v>هنگام ایجاد یک لوگو و هویت بصری املاک و مستغلات به یاد ماندنی و تاثیرگذار چه عواملی را باید در نظر گرفت؟</v>
      </c>
      <c r="H5289" s="1"/>
      <c r="I5289" s="1"/>
      <c r="J5289" s="1"/>
      <c r="K5289" s="1"/>
      <c r="L5289" s="1"/>
      <c r="M5289" s="1"/>
      <c r="N5289" s="1"/>
      <c r="O5289" s="1"/>
      <c r="P5289" s="1"/>
      <c r="Q5289" s="1"/>
      <c r="R5289" s="1"/>
      <c r="S5289" s="1"/>
      <c r="T5289" s="1"/>
      <c r="U5289" s="1"/>
      <c r="V5289" s="1"/>
      <c r="W5289" s="1"/>
      <c r="X5289" s="1"/>
      <c r="Y5289" s="1"/>
      <c r="Z5289" s="1"/>
      <c r="AA5289" s="1"/>
      <c r="AB5289" s="1"/>
    </row>
    <row r="5290" ht="50.25" customHeight="1">
      <c r="A5290" s="12">
        <v>5286.0</v>
      </c>
      <c r="B5290" s="13" t="s">
        <v>5027</v>
      </c>
      <c r="C5290" s="18" t="s">
        <v>5310</v>
      </c>
      <c r="D5290" s="1"/>
      <c r="E5290" s="1"/>
      <c r="F5290" s="1" t="str">
        <f>IFERROR(__xludf.DUMMYFUNCTION("GOOGLETRANSLATE(B5290, ""en"", ""fa"")
"),"املاک و مستغلات برای حرفه ای ها")</f>
        <v>املاک و مستغلات برای حرفه ای ها</v>
      </c>
      <c r="G5290" s="1" t="str">
        <f>IFERROR(__xludf.DUMMYFUNCTION("GOOGLETRANSLATE(C5290, ""en"", ""fa"")
"),"چگونه متخصصان املاک و مستغلات می توانند از تورهای مجازی و فناوری سه بعدی برای بهبود بازاریابی ملک استفاده کنند؟")</f>
        <v>چگونه متخصصان املاک و مستغلات می توانند از تورهای مجازی و فناوری سه بعدی برای بهبود بازاریابی ملک استفاده کنند؟</v>
      </c>
      <c r="H5290" s="1"/>
      <c r="I5290" s="1"/>
      <c r="J5290" s="1"/>
      <c r="K5290" s="1"/>
      <c r="L5290" s="1"/>
      <c r="M5290" s="1"/>
      <c r="N5290" s="1"/>
      <c r="O5290" s="1"/>
      <c r="P5290" s="1"/>
      <c r="Q5290" s="1"/>
      <c r="R5290" s="1"/>
      <c r="S5290" s="1"/>
      <c r="T5290" s="1"/>
      <c r="U5290" s="1"/>
      <c r="V5290" s="1"/>
      <c r="W5290" s="1"/>
      <c r="X5290" s="1"/>
      <c r="Y5290" s="1"/>
      <c r="Z5290" s="1"/>
      <c r="AA5290" s="1"/>
      <c r="AB5290" s="1"/>
    </row>
    <row r="5291" ht="50.25" customHeight="1">
      <c r="A5291" s="12">
        <v>5287.0</v>
      </c>
      <c r="B5291" s="13" t="s">
        <v>5027</v>
      </c>
      <c r="C5291" s="18" t="s">
        <v>5311</v>
      </c>
      <c r="D5291" s="1"/>
      <c r="E5291" s="1"/>
      <c r="F5291" s="1" t="str">
        <f>IFERROR(__xludf.DUMMYFUNCTION("GOOGLETRANSLATE(B5291, ""en"", ""fa"")
"),"املاک و مستغلات برای حرفه ای ها")</f>
        <v>املاک و مستغلات برای حرفه ای ها</v>
      </c>
      <c r="G5291" s="1" t="str">
        <f>IFERROR(__xludf.DUMMYFUNCTION("GOOGLETRANSLATE(C5291, ""en"", ""fa"")
"),"چگونه متخصصان املاک و مستغلات می توانند پتانسیل درآمد اجاره ای را در فصول کم بار یا دوره های فعالیت کم توریستی برای املاک تعطیلات ارزیابی کنند؟")</f>
        <v>چگونه متخصصان املاک و مستغلات می توانند پتانسیل درآمد اجاره ای را در فصول کم بار یا دوره های فعالیت کم توریستی برای املاک تعطیلات ارزیابی کنند؟</v>
      </c>
      <c r="H5291" s="1"/>
      <c r="I5291" s="1"/>
      <c r="J5291" s="1"/>
      <c r="K5291" s="1"/>
      <c r="L5291" s="1"/>
      <c r="M5291" s="1"/>
      <c r="N5291" s="1"/>
      <c r="O5291" s="1"/>
      <c r="P5291" s="1"/>
      <c r="Q5291" s="1"/>
      <c r="R5291" s="1"/>
      <c r="S5291" s="1"/>
      <c r="T5291" s="1"/>
      <c r="U5291" s="1"/>
      <c r="V5291" s="1"/>
      <c r="W5291" s="1"/>
      <c r="X5291" s="1"/>
      <c r="Y5291" s="1"/>
      <c r="Z5291" s="1"/>
      <c r="AA5291" s="1"/>
      <c r="AB5291" s="1"/>
    </row>
    <row r="5292" ht="50.25" customHeight="1">
      <c r="A5292" s="12">
        <v>5288.0</v>
      </c>
      <c r="B5292" s="13" t="s">
        <v>5027</v>
      </c>
      <c r="C5292" s="18" t="s">
        <v>5312</v>
      </c>
      <c r="D5292" s="1"/>
      <c r="E5292" s="1"/>
      <c r="F5292" s="1" t="str">
        <f>IFERROR(__xludf.DUMMYFUNCTION("GOOGLETRANSLATE(B5292, ""en"", ""fa"")
"),"املاک و مستغلات برای حرفه ای ها")</f>
        <v>املاک و مستغلات برای حرفه ای ها</v>
      </c>
      <c r="G5292" s="1" t="str">
        <f>IFERROR(__xludf.DUMMYFUNCTION("GOOGLETRANSLATE(C5292, ""en"", ""fa"")
"),"متخصصان املاک و مستغلات از چه تکنیک هایی می توانند برای مذاکره در مورد شرایط اجاره مطلوب و قراردادهای اجاره املاک اجاره بلندمدت استفاده کنند؟")</f>
        <v>متخصصان املاک و مستغلات از چه تکنیک هایی می توانند برای مذاکره در مورد شرایط اجاره مطلوب و قراردادهای اجاره املاک اجاره بلندمدت استفاده کنند؟</v>
      </c>
      <c r="H5292" s="1"/>
      <c r="I5292" s="1"/>
      <c r="J5292" s="1"/>
      <c r="K5292" s="1"/>
      <c r="L5292" s="1"/>
      <c r="M5292" s="1"/>
      <c r="N5292" s="1"/>
      <c r="O5292" s="1"/>
      <c r="P5292" s="1"/>
      <c r="Q5292" s="1"/>
      <c r="R5292" s="1"/>
      <c r="S5292" s="1"/>
      <c r="T5292" s="1"/>
      <c r="U5292" s="1"/>
      <c r="V5292" s="1"/>
      <c r="W5292" s="1"/>
      <c r="X5292" s="1"/>
      <c r="Y5292" s="1"/>
      <c r="Z5292" s="1"/>
      <c r="AA5292" s="1"/>
      <c r="AB5292" s="1"/>
    </row>
    <row r="5293" ht="50.25" customHeight="1">
      <c r="A5293" s="12">
        <v>5289.0</v>
      </c>
      <c r="B5293" s="13" t="s">
        <v>5027</v>
      </c>
      <c r="C5293" s="18" t="s">
        <v>5313</v>
      </c>
      <c r="D5293" s="1"/>
      <c r="E5293" s="1"/>
      <c r="F5293" s="1" t="str">
        <f>IFERROR(__xludf.DUMMYFUNCTION("GOOGLETRANSLATE(B5293, ""en"", ""fa"")
"),"املاک و مستغلات برای حرفه ای ها")</f>
        <v>املاک و مستغلات برای حرفه ای ها</v>
      </c>
      <c r="G5293" s="1" t="str">
        <f>IFERROR(__xludf.DUMMYFUNCTION("GOOGLETRANSLATE(C5293, ""en"", ""fa"")
"),"چگونه متخصصان املاک و مستغلات می توانند از پلتفرم های رسانه های اجتماعی و مشارکت تأثیرگذاران برای تبلیغ و بازاریابی املاک تعطیلات یا اجاره استفاده کنند؟")</f>
        <v>چگونه متخصصان املاک و مستغلات می توانند از پلتفرم های رسانه های اجتماعی و مشارکت تأثیرگذاران برای تبلیغ و بازاریابی املاک تعطیلات یا اجاره استفاده کنند؟</v>
      </c>
      <c r="H5293" s="1"/>
      <c r="I5293" s="1"/>
      <c r="J5293" s="1"/>
      <c r="K5293" s="1"/>
      <c r="L5293" s="1"/>
      <c r="M5293" s="1"/>
      <c r="N5293" s="1"/>
      <c r="O5293" s="1"/>
      <c r="P5293" s="1"/>
      <c r="Q5293" s="1"/>
      <c r="R5293" s="1"/>
      <c r="S5293" s="1"/>
      <c r="T5293" s="1"/>
      <c r="U5293" s="1"/>
      <c r="V5293" s="1"/>
      <c r="W5293" s="1"/>
      <c r="X5293" s="1"/>
      <c r="Y5293" s="1"/>
      <c r="Z5293" s="1"/>
      <c r="AA5293" s="1"/>
      <c r="AB5293" s="1"/>
    </row>
    <row r="5294" ht="50.25" customHeight="1">
      <c r="A5294" s="12">
        <v>5290.0</v>
      </c>
      <c r="B5294" s="13" t="s">
        <v>5027</v>
      </c>
      <c r="C5294" s="18" t="s">
        <v>5314</v>
      </c>
      <c r="D5294" s="1"/>
      <c r="E5294" s="1"/>
      <c r="F5294" s="1" t="str">
        <f>IFERROR(__xludf.DUMMYFUNCTION("GOOGLETRANSLATE(B5294, ""en"", ""fa"")
"),"املاک و مستغلات برای حرفه ای ها")</f>
        <v>املاک و مستغلات برای حرفه ای ها</v>
      </c>
      <c r="G5294" s="1" t="str">
        <f>IFERROR(__xludf.DUMMYFUNCTION("GOOGLETRANSLATE(C5294, ""en"", ""fa"")
"),"متخصصان املاک و مستغلات چه استراتژی هایی می توانند برای بهینه سازی حضور آنلاین و مشاهده فهرست املاک اجاره ای یا تعطیلات در موتورهای جستجو به کار گیرند؟")</f>
        <v>متخصصان املاک و مستغلات چه استراتژی هایی می توانند برای بهینه سازی حضور آنلاین و مشاهده فهرست املاک اجاره ای یا تعطیلات در موتورهای جستجو به کار گیرند؟</v>
      </c>
      <c r="H5294" s="1"/>
      <c r="I5294" s="1"/>
      <c r="J5294" s="1"/>
      <c r="K5294" s="1"/>
      <c r="L5294" s="1"/>
      <c r="M5294" s="1"/>
      <c r="N5294" s="1"/>
      <c r="O5294" s="1"/>
      <c r="P5294" s="1"/>
      <c r="Q5294" s="1"/>
      <c r="R5294" s="1"/>
      <c r="S5294" s="1"/>
      <c r="T5294" s="1"/>
      <c r="U5294" s="1"/>
      <c r="V5294" s="1"/>
      <c r="W5294" s="1"/>
      <c r="X5294" s="1"/>
      <c r="Y5294" s="1"/>
      <c r="Z5294" s="1"/>
      <c r="AA5294" s="1"/>
      <c r="AB5294" s="1"/>
    </row>
    <row r="5295" ht="50.25" customHeight="1">
      <c r="A5295" s="12">
        <v>5291.0</v>
      </c>
      <c r="B5295" s="13" t="s">
        <v>5027</v>
      </c>
      <c r="C5295" s="18" t="s">
        <v>5315</v>
      </c>
      <c r="D5295" s="1"/>
      <c r="E5295" s="1"/>
      <c r="F5295" s="1" t="str">
        <f>IFERROR(__xludf.DUMMYFUNCTION("GOOGLETRANSLATE(B5295, ""en"", ""fa"")
"),"املاک و مستغلات برای حرفه ای ها")</f>
        <v>املاک و مستغلات برای حرفه ای ها</v>
      </c>
      <c r="G5295" s="1" t="str">
        <f>IFERROR(__xludf.DUMMYFUNCTION("GOOGLETRANSLATE(C5295, ""en"", ""fa"")
"),"چگونه متخصصان املاک و مستغلات می توانند خطرات و تعهدات بالقوه مرتبط با اجاره املاک اجاره ای یا تعطیلات را ارزیابی کنند؟")</f>
        <v>چگونه متخصصان املاک و مستغلات می توانند خطرات و تعهدات بالقوه مرتبط با اجاره املاک اجاره ای یا تعطیلات را ارزیابی کنند؟</v>
      </c>
      <c r="H5295" s="1"/>
      <c r="I5295" s="1"/>
      <c r="J5295" s="1"/>
      <c r="K5295" s="1"/>
      <c r="L5295" s="1"/>
      <c r="M5295" s="1"/>
      <c r="N5295" s="1"/>
      <c r="O5295" s="1"/>
      <c r="P5295" s="1"/>
      <c r="Q5295" s="1"/>
      <c r="R5295" s="1"/>
      <c r="S5295" s="1"/>
      <c r="T5295" s="1"/>
      <c r="U5295" s="1"/>
      <c r="V5295" s="1"/>
      <c r="W5295" s="1"/>
      <c r="X5295" s="1"/>
      <c r="Y5295" s="1"/>
      <c r="Z5295" s="1"/>
      <c r="AA5295" s="1"/>
      <c r="AB5295" s="1"/>
    </row>
    <row r="5296" ht="50.25" customHeight="1">
      <c r="A5296" s="12">
        <v>5292.0</v>
      </c>
      <c r="B5296" s="13" t="s">
        <v>5027</v>
      </c>
      <c r="C5296" s="18" t="s">
        <v>5316</v>
      </c>
      <c r="D5296" s="1"/>
      <c r="E5296" s="1"/>
      <c r="F5296" s="1" t="str">
        <f>IFERROR(__xludf.DUMMYFUNCTION("GOOGLETRANSLATE(B5296, ""en"", ""fa"")
"),"املاک و مستغلات برای حرفه ای ها")</f>
        <v>املاک و مستغلات برای حرفه ای ها</v>
      </c>
      <c r="G5296" s="1" t="str">
        <f>IFERROR(__xludf.DUMMYFUNCTION("GOOGLETRANSLATE(C5296, ""en"", ""fa"")
"),"ملاحظات کلیدی برای اجرای فرآیند غربالگری مهمان، از جمله بررسی پیشینه و بررسی اعتبار، برای تعطیلات یا املاک اجاره ای چیست؟")</f>
        <v>ملاحظات کلیدی برای اجرای فرآیند غربالگری مهمان، از جمله بررسی پیشینه و بررسی اعتبار، برای تعطیلات یا املاک اجاره ای چیست؟</v>
      </c>
      <c r="H5296" s="1"/>
      <c r="I5296" s="1"/>
      <c r="J5296" s="1"/>
      <c r="K5296" s="1"/>
      <c r="L5296" s="1"/>
      <c r="M5296" s="1"/>
      <c r="N5296" s="1"/>
      <c r="O5296" s="1"/>
      <c r="P5296" s="1"/>
      <c r="Q5296" s="1"/>
      <c r="R5296" s="1"/>
      <c r="S5296" s="1"/>
      <c r="T5296" s="1"/>
      <c r="U5296" s="1"/>
      <c r="V5296" s="1"/>
      <c r="W5296" s="1"/>
      <c r="X5296" s="1"/>
      <c r="Y5296" s="1"/>
      <c r="Z5296" s="1"/>
      <c r="AA5296" s="1"/>
      <c r="AB5296" s="1"/>
    </row>
    <row r="5297" ht="50.25" customHeight="1">
      <c r="A5297" s="12">
        <v>5293.0</v>
      </c>
      <c r="B5297" s="13" t="s">
        <v>5027</v>
      </c>
      <c r="C5297" s="18" t="s">
        <v>5317</v>
      </c>
      <c r="D5297" s="1"/>
      <c r="E5297" s="1"/>
      <c r="F5297" s="1" t="str">
        <f>IFERROR(__xludf.DUMMYFUNCTION("GOOGLETRANSLATE(B5297, ""en"", ""fa"")
"),"املاک و مستغلات برای حرفه ای ها")</f>
        <v>املاک و مستغلات برای حرفه ای ها</v>
      </c>
      <c r="G5297" s="1" t="str">
        <f>IFERROR(__xludf.DUMMYFUNCTION("GOOGLETRANSLATE(C5297, ""en"", ""fa"")
"),"چگونه متخصصان املاک و مستغلات می توانند به طور مؤثر تعمیر و نگهداری و تعمیرات املاک تعطیلات یا اجاره ای را برای به حداقل رساندن زمان خرابی و اطمینان از رضایت مهمانان مدیریت و هماهنگ کنند؟")</f>
        <v>چگونه متخصصان املاک و مستغلات می توانند به طور مؤثر تعمیر و نگهداری و تعمیرات املاک تعطیلات یا اجاره ای را برای به حداقل رساندن زمان خرابی و اطمینان از رضایت مهمانان مدیریت و هماهنگ کنند؟</v>
      </c>
      <c r="H5297" s="1"/>
      <c r="I5297" s="1"/>
      <c r="J5297" s="1"/>
      <c r="K5297" s="1"/>
      <c r="L5297" s="1"/>
      <c r="M5297" s="1"/>
      <c r="N5297" s="1"/>
      <c r="O5297" s="1"/>
      <c r="P5297" s="1"/>
      <c r="Q5297" s="1"/>
      <c r="R5297" s="1"/>
      <c r="S5297" s="1"/>
      <c r="T5297" s="1"/>
      <c r="U5297" s="1"/>
      <c r="V5297" s="1"/>
      <c r="W5297" s="1"/>
      <c r="X5297" s="1"/>
      <c r="Y5297" s="1"/>
      <c r="Z5297" s="1"/>
      <c r="AA5297" s="1"/>
      <c r="AB5297" s="1"/>
    </row>
    <row r="5298" ht="50.25" customHeight="1">
      <c r="A5298" s="12">
        <v>5294.0</v>
      </c>
      <c r="B5298" s="13" t="s">
        <v>5027</v>
      </c>
      <c r="C5298" s="18" t="s">
        <v>5318</v>
      </c>
      <c r="D5298" s="1"/>
      <c r="E5298" s="1"/>
      <c r="F5298" s="1" t="str">
        <f>IFERROR(__xludf.DUMMYFUNCTION("GOOGLETRANSLATE(B5298, ""en"", ""fa"")
"),"املاک و مستغلات برای حرفه ای ها")</f>
        <v>املاک و مستغلات برای حرفه ای ها</v>
      </c>
      <c r="G5298" s="1" t="str">
        <f>IFERROR(__xludf.DUMMYFUNCTION("GOOGLETRANSLATE(C5298, ""en"", ""fa"")
"),"متخصصان املاک و مستغلات چه استراتژی هایی می توانند برای جذب مشتریان شرکتی و مسافران تجاری به تعطیلات یا املاک اجاره ای خود به کار گیرند؟")</f>
        <v>متخصصان املاک و مستغلات چه استراتژی هایی می توانند برای جذب مشتریان شرکتی و مسافران تجاری به تعطیلات یا املاک اجاره ای خود به کار گیرند؟</v>
      </c>
      <c r="H5298" s="1"/>
      <c r="I5298" s="1"/>
      <c r="J5298" s="1"/>
      <c r="K5298" s="1"/>
      <c r="L5298" s="1"/>
      <c r="M5298" s="1"/>
      <c r="N5298" s="1"/>
      <c r="O5298" s="1"/>
      <c r="P5298" s="1"/>
      <c r="Q5298" s="1"/>
      <c r="R5298" s="1"/>
      <c r="S5298" s="1"/>
      <c r="T5298" s="1"/>
      <c r="U5298" s="1"/>
      <c r="V5298" s="1"/>
      <c r="W5298" s="1"/>
      <c r="X5298" s="1"/>
      <c r="Y5298" s="1"/>
      <c r="Z5298" s="1"/>
      <c r="AA5298" s="1"/>
      <c r="AB5298" s="1"/>
    </row>
    <row r="5299" ht="50.25" customHeight="1">
      <c r="A5299" s="12">
        <v>5295.0</v>
      </c>
      <c r="B5299" s="13" t="s">
        <v>5027</v>
      </c>
      <c r="C5299" s="18" t="s">
        <v>5319</v>
      </c>
      <c r="D5299" s="1"/>
      <c r="E5299" s="1"/>
      <c r="F5299" s="1" t="str">
        <f>IFERROR(__xludf.DUMMYFUNCTION("GOOGLETRANSLATE(B5299, ""en"", ""fa"")
"),"املاک و مستغلات برای حرفه ای ها")</f>
        <v>املاک و مستغلات برای حرفه ای ها</v>
      </c>
      <c r="G5299" s="1" t="str">
        <f>IFERROR(__xludf.DUMMYFUNCTION("GOOGLETRANSLATE(C5299, ""en"", ""fa"")
"),"چگونه متخصصان املاک و مستغلات می توانند تأثیر روندهای گردشگری و مهمان نوازی محلی را بر عملکرد املاک تعطیلات یا اجاره ارزیابی کنند؟")</f>
        <v>چگونه متخصصان املاک و مستغلات می توانند تأثیر روندهای گردشگری و مهمان نوازی محلی را بر عملکرد املاک تعطیلات یا اجاره ارزیابی کنند؟</v>
      </c>
      <c r="H5299" s="1"/>
      <c r="I5299" s="1"/>
      <c r="J5299" s="1"/>
      <c r="K5299" s="1"/>
      <c r="L5299" s="1"/>
      <c r="M5299" s="1"/>
      <c r="N5299" s="1"/>
      <c r="O5299" s="1"/>
      <c r="P5299" s="1"/>
      <c r="Q5299" s="1"/>
      <c r="R5299" s="1"/>
      <c r="S5299" s="1"/>
      <c r="T5299" s="1"/>
      <c r="U5299" s="1"/>
      <c r="V5299" s="1"/>
      <c r="W5299" s="1"/>
      <c r="X5299" s="1"/>
      <c r="Y5299" s="1"/>
      <c r="Z5299" s="1"/>
      <c r="AA5299" s="1"/>
      <c r="AB5299" s="1"/>
    </row>
    <row r="5300" ht="50.25" customHeight="1">
      <c r="A5300" s="12">
        <v>5296.0</v>
      </c>
      <c r="B5300" s="13" t="s">
        <v>5027</v>
      </c>
      <c r="C5300" s="18" t="s">
        <v>5320</v>
      </c>
      <c r="D5300" s="1"/>
      <c r="E5300" s="1"/>
      <c r="F5300" s="1" t="str">
        <f>IFERROR(__xludf.DUMMYFUNCTION("GOOGLETRANSLATE(B5300, ""en"", ""fa"")
"),"املاک و مستغلات برای حرفه ای ها")</f>
        <v>املاک و مستغلات برای حرفه ای ها</v>
      </c>
      <c r="G5300" s="1" t="str">
        <f>IFERROR(__xludf.DUMMYFUNCTION("GOOGLETRANSLATE(C5300, ""en"", ""fa"")
"),"متخصصان املاک و مستغلات از چه تکنیک هایی می توانند برای تجزیه و تحلیل اشباع بازار اجاره و رقابت در یک منطقه خاص برای املاک تعطیلات استفاده کنند؟")</f>
        <v>متخصصان املاک و مستغلات از چه تکنیک هایی می توانند برای تجزیه و تحلیل اشباع بازار اجاره و رقابت در یک منطقه خاص برای املاک تعطیلات استفاده کنند؟</v>
      </c>
      <c r="H5300" s="1"/>
      <c r="I5300" s="1"/>
      <c r="J5300" s="1"/>
      <c r="K5300" s="1"/>
      <c r="L5300" s="1"/>
      <c r="M5300" s="1"/>
      <c r="N5300" s="1"/>
      <c r="O5300" s="1"/>
      <c r="P5300" s="1"/>
      <c r="Q5300" s="1"/>
      <c r="R5300" s="1"/>
      <c r="S5300" s="1"/>
      <c r="T5300" s="1"/>
      <c r="U5300" s="1"/>
      <c r="V5300" s="1"/>
      <c r="W5300" s="1"/>
      <c r="X5300" s="1"/>
      <c r="Y5300" s="1"/>
      <c r="Z5300" s="1"/>
      <c r="AA5300" s="1"/>
      <c r="AB5300" s="1"/>
    </row>
    <row r="5301" ht="50.25" customHeight="1">
      <c r="A5301" s="12">
        <v>5297.0</v>
      </c>
      <c r="B5301" s="13" t="s">
        <v>5027</v>
      </c>
      <c r="C5301" s="18" t="s">
        <v>5321</v>
      </c>
      <c r="D5301" s="1"/>
      <c r="E5301" s="1"/>
      <c r="F5301" s="1" t="str">
        <f>IFERROR(__xludf.DUMMYFUNCTION("GOOGLETRANSLATE(B5301, ""en"", ""fa"")
"),"املاک و مستغلات برای حرفه ای ها")</f>
        <v>املاک و مستغلات برای حرفه ای ها</v>
      </c>
      <c r="G5301" s="1" t="str">
        <f>IFERROR(__xludf.DUMMYFUNCTION("GOOGLETRANSLATE(C5301, ""en"", ""fa"")
"),"چگونه متخصصان املاک و مستغلات می توانند از بازخورد و نظرات مشتریان برای بهبود مستمر تجربه مهمان و افزایش نرخ اشغال برای تعطیلات یا املاک اجاره استفاده کنند؟")</f>
        <v>چگونه متخصصان املاک و مستغلات می توانند از بازخورد و نظرات مشتریان برای بهبود مستمر تجربه مهمان و افزایش نرخ اشغال برای تعطیلات یا املاک اجاره استفاده کنند؟</v>
      </c>
      <c r="H5301" s="1"/>
      <c r="I5301" s="1"/>
      <c r="J5301" s="1"/>
      <c r="K5301" s="1"/>
      <c r="L5301" s="1"/>
      <c r="M5301" s="1"/>
      <c r="N5301" s="1"/>
      <c r="O5301" s="1"/>
      <c r="P5301" s="1"/>
      <c r="Q5301" s="1"/>
      <c r="R5301" s="1"/>
      <c r="S5301" s="1"/>
      <c r="T5301" s="1"/>
      <c r="U5301" s="1"/>
      <c r="V5301" s="1"/>
      <c r="W5301" s="1"/>
      <c r="X5301" s="1"/>
      <c r="Y5301" s="1"/>
      <c r="Z5301" s="1"/>
      <c r="AA5301" s="1"/>
      <c r="AB5301" s="1"/>
    </row>
    <row r="5302" ht="50.25" customHeight="1">
      <c r="A5302" s="12">
        <v>5298.0</v>
      </c>
      <c r="B5302" s="13" t="s">
        <v>5027</v>
      </c>
      <c r="C5302" s="18" t="s">
        <v>5322</v>
      </c>
      <c r="D5302" s="1"/>
      <c r="E5302" s="1"/>
      <c r="F5302" s="1" t="str">
        <f>IFERROR(__xludf.DUMMYFUNCTION("GOOGLETRANSLATE(B5302, ""en"", ""fa"")
"),"املاک و مستغلات برای حرفه ای ها")</f>
        <v>املاک و مستغلات برای حرفه ای ها</v>
      </c>
      <c r="G5302" s="1" t="str">
        <f>IFERROR(__xludf.DUMMYFUNCTION("GOOGLETRANSLATE(C5302, ""en"", ""fa"")
"),"مزایای جذب یک طراح داخلی حرفه ای یا کارشناس صحنه برای افزایش جذابیت بصری و بازارپسندی املاک تعطیلات یا اجاره چیست؟")</f>
        <v>مزایای جذب یک طراح داخلی حرفه ای یا کارشناس صحنه برای افزایش جذابیت بصری و بازارپسندی املاک تعطیلات یا اجاره چیست؟</v>
      </c>
      <c r="H5302" s="1"/>
      <c r="I5302" s="1"/>
      <c r="J5302" s="1"/>
      <c r="K5302" s="1"/>
      <c r="L5302" s="1"/>
      <c r="M5302" s="1"/>
      <c r="N5302" s="1"/>
      <c r="O5302" s="1"/>
      <c r="P5302" s="1"/>
      <c r="Q5302" s="1"/>
      <c r="R5302" s="1"/>
      <c r="S5302" s="1"/>
      <c r="T5302" s="1"/>
      <c r="U5302" s="1"/>
      <c r="V5302" s="1"/>
      <c r="W5302" s="1"/>
      <c r="X5302" s="1"/>
      <c r="Y5302" s="1"/>
      <c r="Z5302" s="1"/>
      <c r="AA5302" s="1"/>
      <c r="AB5302" s="1"/>
    </row>
    <row r="5303" ht="50.25" customHeight="1">
      <c r="A5303" s="12">
        <v>5299.0</v>
      </c>
      <c r="B5303" s="13" t="s">
        <v>5027</v>
      </c>
      <c r="C5303" s="18" t="s">
        <v>5323</v>
      </c>
      <c r="D5303" s="1"/>
      <c r="E5303" s="1"/>
      <c r="F5303" s="1" t="str">
        <f>IFERROR(__xludf.DUMMYFUNCTION("GOOGLETRANSLATE(B5303, ""en"", ""fa"")
"),"املاک و مستغلات برای حرفه ای ها")</f>
        <v>املاک و مستغلات برای حرفه ای ها</v>
      </c>
      <c r="G5303" s="1" t="str">
        <f>IFERROR(__xludf.DUMMYFUNCTION("GOOGLETRANSLATE(C5303, ""en"", ""fa"")
"),"چگونه متخصصان املاک و مستغلات می توانند پتانسیل تنوع درآمد اجاره را با هدف قرار دادن بخش های مختلف مشتریان، مانند خانواده ها، زوج ها، یا مسافران انفرادی ارزیابی کنند؟")</f>
        <v>چگونه متخصصان املاک و مستغلات می توانند پتانسیل تنوع درآمد اجاره را با هدف قرار دادن بخش های مختلف مشتریان، مانند خانواده ها، زوج ها، یا مسافران انفرادی ارزیابی کنند؟</v>
      </c>
      <c r="H5303" s="1"/>
      <c r="I5303" s="1"/>
      <c r="J5303" s="1"/>
      <c r="K5303" s="1"/>
      <c r="L5303" s="1"/>
      <c r="M5303" s="1"/>
      <c r="N5303" s="1"/>
      <c r="O5303" s="1"/>
      <c r="P5303" s="1"/>
      <c r="Q5303" s="1"/>
      <c r="R5303" s="1"/>
      <c r="S5303" s="1"/>
      <c r="T5303" s="1"/>
      <c r="U5303" s="1"/>
      <c r="V5303" s="1"/>
      <c r="W5303" s="1"/>
      <c r="X5303" s="1"/>
      <c r="Y5303" s="1"/>
      <c r="Z5303" s="1"/>
      <c r="AA5303" s="1"/>
      <c r="AB5303" s="1"/>
    </row>
    <row r="5304" ht="50.25" customHeight="1">
      <c r="A5304" s="12">
        <v>5300.0</v>
      </c>
      <c r="B5304" s="13" t="s">
        <v>5027</v>
      </c>
      <c r="C5304" s="18" t="s">
        <v>5324</v>
      </c>
      <c r="D5304" s="1"/>
      <c r="E5304" s="1"/>
      <c r="F5304" s="1" t="str">
        <f>IFERROR(__xludf.DUMMYFUNCTION("GOOGLETRANSLATE(B5304, ""en"", ""fa"")
"),"املاک و مستغلات برای حرفه ای ها")</f>
        <v>املاک و مستغلات برای حرفه ای ها</v>
      </c>
      <c r="G5304" s="1" t="str">
        <f>IFERROR(__xludf.DUMMYFUNCTION("GOOGLETRANSLATE(C5304, ""en"", ""fa"")
"),"متخصصان املاک و مستغلات چه استراتژی هایی را می توانند برای مدیریت موثر درخواست های مهمان، رزرو و قراردادهای اجاره برای تعطیلات یا املاک اجاره ای به کار گیرند؟")</f>
        <v>متخصصان املاک و مستغلات چه استراتژی هایی را می توانند برای مدیریت موثر درخواست های مهمان، رزرو و قراردادهای اجاره برای تعطیلات یا املاک اجاره ای به کار گیرند؟</v>
      </c>
      <c r="H5304" s="1"/>
      <c r="I5304" s="1"/>
      <c r="J5304" s="1"/>
      <c r="K5304" s="1"/>
      <c r="L5304" s="1"/>
      <c r="M5304" s="1"/>
      <c r="N5304" s="1"/>
      <c r="O5304" s="1"/>
      <c r="P5304" s="1"/>
      <c r="Q5304" s="1"/>
      <c r="R5304" s="1"/>
      <c r="S5304" s="1"/>
      <c r="T5304" s="1"/>
      <c r="U5304" s="1"/>
      <c r="V5304" s="1"/>
      <c r="W5304" s="1"/>
      <c r="X5304" s="1"/>
      <c r="Y5304" s="1"/>
      <c r="Z5304" s="1"/>
      <c r="AA5304" s="1"/>
      <c r="AB5304" s="1"/>
    </row>
    <row r="5305" ht="50.25" customHeight="1">
      <c r="A5305" s="12">
        <v>5301.0</v>
      </c>
      <c r="B5305" s="13" t="s">
        <v>5027</v>
      </c>
      <c r="C5305" s="18" t="s">
        <v>5325</v>
      </c>
      <c r="D5305" s="1"/>
      <c r="E5305" s="1"/>
      <c r="F5305" s="1" t="str">
        <f>IFERROR(__xludf.DUMMYFUNCTION("GOOGLETRANSLATE(B5305, ""en"", ""fa"")
"),"املاک و مستغلات برای حرفه ای ها")</f>
        <v>املاک و مستغلات برای حرفه ای ها</v>
      </c>
      <c r="G5305" s="1" t="str">
        <f>IFERROR(__xludf.DUMMYFUNCTION("GOOGLETRANSLATE(C5305, ""en"", ""fa"")
"),"چگونه متخصصان املاک و مستغلات می توانند پتانسیل برون سپاری مدیریت املاک یا استخدام یک تیم داخلی برای تعطیلات یا اجاره ملک را ارزیابی کنند؟")</f>
        <v>چگونه متخصصان املاک و مستغلات می توانند پتانسیل برون سپاری مدیریت املاک یا استخدام یک تیم داخلی برای تعطیلات یا اجاره ملک را ارزیابی کنند؟</v>
      </c>
      <c r="H5305" s="1"/>
      <c r="I5305" s="1"/>
      <c r="J5305" s="1"/>
      <c r="K5305" s="1"/>
      <c r="L5305" s="1"/>
      <c r="M5305" s="1"/>
      <c r="N5305" s="1"/>
      <c r="O5305" s="1"/>
      <c r="P5305" s="1"/>
      <c r="Q5305" s="1"/>
      <c r="R5305" s="1"/>
      <c r="S5305" s="1"/>
      <c r="T5305" s="1"/>
      <c r="U5305" s="1"/>
      <c r="V5305" s="1"/>
      <c r="W5305" s="1"/>
      <c r="X5305" s="1"/>
      <c r="Y5305" s="1"/>
      <c r="Z5305" s="1"/>
      <c r="AA5305" s="1"/>
      <c r="AB5305" s="1"/>
    </row>
    <row r="5306" ht="50.25" customHeight="1">
      <c r="A5306" s="12">
        <v>5302.0</v>
      </c>
      <c r="B5306" s="13" t="s">
        <v>5027</v>
      </c>
      <c r="C5306" s="18" t="s">
        <v>5326</v>
      </c>
      <c r="D5306" s="1"/>
      <c r="E5306" s="1"/>
      <c r="F5306" s="1" t="str">
        <f>IFERROR(__xludf.DUMMYFUNCTION("GOOGLETRANSLATE(B5306, ""en"", ""fa"")
"),"املاک و مستغلات برای حرفه ای ها")</f>
        <v>املاک و مستغلات برای حرفه ای ها</v>
      </c>
      <c r="G5306" s="1" t="str">
        <f>IFERROR(__xludf.DUMMYFUNCTION("GOOGLETRANSLATE(C5306, ""en"", ""fa"")
"),"متخصصان املاک و مستغلات از چه تکنیک هایی می توانند برای تجزیه و تحلیل عملکرد مالی و پیش بینی جریان نقدی برای املاک تعطیلات یا اجاره استفاده کنند؟")</f>
        <v>متخصصان املاک و مستغلات از چه تکنیک هایی می توانند برای تجزیه و تحلیل عملکرد مالی و پیش بینی جریان نقدی برای املاک تعطیلات یا اجاره استفاده کنند؟</v>
      </c>
      <c r="H5306" s="1"/>
      <c r="I5306" s="1"/>
      <c r="J5306" s="1"/>
      <c r="K5306" s="1"/>
      <c r="L5306" s="1"/>
      <c r="M5306" s="1"/>
      <c r="N5306" s="1"/>
      <c r="O5306" s="1"/>
      <c r="P5306" s="1"/>
      <c r="Q5306" s="1"/>
      <c r="R5306" s="1"/>
      <c r="S5306" s="1"/>
      <c r="T5306" s="1"/>
      <c r="U5306" s="1"/>
      <c r="V5306" s="1"/>
      <c r="W5306" s="1"/>
      <c r="X5306" s="1"/>
      <c r="Y5306" s="1"/>
      <c r="Z5306" s="1"/>
      <c r="AA5306" s="1"/>
      <c r="AB5306" s="1"/>
    </row>
    <row r="5307" ht="50.25" customHeight="1">
      <c r="A5307" s="12">
        <v>5303.0</v>
      </c>
      <c r="B5307" s="13" t="s">
        <v>5027</v>
      </c>
      <c r="C5307" s="18" t="s">
        <v>5327</v>
      </c>
      <c r="D5307" s="1"/>
      <c r="E5307" s="1"/>
      <c r="F5307" s="1" t="str">
        <f>IFERROR(__xludf.DUMMYFUNCTION("GOOGLETRANSLATE(B5307, ""en"", ""fa"")
"),"املاک و مستغلات برای حرفه ای ها")</f>
        <v>املاک و مستغلات برای حرفه ای ها</v>
      </c>
      <c r="G5307" s="1" t="str">
        <f>IFERROR(__xludf.DUMMYFUNCTION("GOOGLETRANSLATE(C5307, ""en"", ""fa"")
"),"چگونه متخصصان املاک و مستغلات می توانند چالش ها و ملاحظات مالکیت و مدیریت املاک تعطیلات یا اجاره ای در مکان های جغرافیایی مختلف را بررسی کنند؟")</f>
        <v>چگونه متخصصان املاک و مستغلات می توانند چالش ها و ملاحظات مالکیت و مدیریت املاک تعطیلات یا اجاره ای در مکان های جغرافیایی مختلف را بررسی کنند؟</v>
      </c>
      <c r="H5307" s="1"/>
      <c r="I5307" s="1"/>
      <c r="J5307" s="1"/>
      <c r="K5307" s="1"/>
      <c r="L5307" s="1"/>
      <c r="M5307" s="1"/>
      <c r="N5307" s="1"/>
      <c r="O5307" s="1"/>
      <c r="P5307" s="1"/>
      <c r="Q5307" s="1"/>
      <c r="R5307" s="1"/>
      <c r="S5307" s="1"/>
      <c r="T5307" s="1"/>
      <c r="U5307" s="1"/>
      <c r="V5307" s="1"/>
      <c r="W5307" s="1"/>
      <c r="X5307" s="1"/>
      <c r="Y5307" s="1"/>
      <c r="Z5307" s="1"/>
      <c r="AA5307" s="1"/>
      <c r="AB5307" s="1"/>
    </row>
    <row r="5308" ht="50.25" customHeight="1">
      <c r="A5308" s="12">
        <v>5304.0</v>
      </c>
      <c r="B5308" s="13" t="s">
        <v>5027</v>
      </c>
      <c r="C5308" s="18" t="s">
        <v>5328</v>
      </c>
      <c r="D5308" s="1"/>
      <c r="E5308" s="1"/>
      <c r="F5308" s="1" t="str">
        <f>IFERROR(__xludf.DUMMYFUNCTION("GOOGLETRANSLATE(B5308, ""en"", ""fa"")
"),"املاک و مستغلات برای حرفه ای ها")</f>
        <v>املاک و مستغلات برای حرفه ای ها</v>
      </c>
      <c r="G5308" s="1" t="str">
        <f>IFERROR(__xludf.DUMMYFUNCTION("GOOGLETRANSLATE(C5308, ""en"", ""fa"")
"),"متخصصان املاک و مستغلات چه استراتژی هایی می توانند برای جذب مهمانان بین المللی و هدف قرار دادن بازار جهانی برای تعطیلات یا املاک اجاره ای به کار گیرند؟")</f>
        <v>متخصصان املاک و مستغلات چه استراتژی هایی می توانند برای جذب مهمانان بین المللی و هدف قرار دادن بازار جهانی برای تعطیلات یا املاک اجاره ای به کار گیرند؟</v>
      </c>
      <c r="H5308" s="1"/>
      <c r="I5308" s="1"/>
      <c r="J5308" s="1"/>
      <c r="K5308" s="1"/>
      <c r="L5308" s="1"/>
      <c r="M5308" s="1"/>
      <c r="N5308" s="1"/>
      <c r="O5308" s="1"/>
      <c r="P5308" s="1"/>
      <c r="Q5308" s="1"/>
      <c r="R5308" s="1"/>
      <c r="S5308" s="1"/>
      <c r="T5308" s="1"/>
      <c r="U5308" s="1"/>
      <c r="V5308" s="1"/>
      <c r="W5308" s="1"/>
      <c r="X5308" s="1"/>
      <c r="Y5308" s="1"/>
      <c r="Z5308" s="1"/>
      <c r="AA5308" s="1"/>
      <c r="AB5308" s="1"/>
    </row>
    <row r="5309" ht="50.25" customHeight="1">
      <c r="A5309" s="12">
        <v>5305.0</v>
      </c>
      <c r="B5309" s="13" t="s">
        <v>5027</v>
      </c>
      <c r="C5309" s="18" t="s">
        <v>5329</v>
      </c>
      <c r="D5309" s="1"/>
      <c r="E5309" s="1"/>
      <c r="F5309" s="1" t="str">
        <f>IFERROR(__xludf.DUMMYFUNCTION("GOOGLETRANSLATE(B5309, ""en"", ""fa"")
"),"املاک و مستغلات برای حرفه ای ها")</f>
        <v>املاک و مستغلات برای حرفه ای ها</v>
      </c>
      <c r="G5309" s="1" t="str">
        <f>IFERROR(__xludf.DUMMYFUNCTION("GOOGLETRANSLATE(C5309, ""en"", ""fa"")
"),"چگونه متخصصان املاک و مستغلات می توانند پتانسیل ارائه امکانات یا تجربیات منحصر به فرد مانند استخرهای خصوصی یا تورهای راهنما را برای متمایز کردن تعطیلات یا املاک اجاره ای خود ارزیابی کنند؟")</f>
        <v>چگونه متخصصان املاک و مستغلات می توانند پتانسیل ارائه امکانات یا تجربیات منحصر به فرد مانند استخرهای خصوصی یا تورهای راهنما را برای متمایز کردن تعطیلات یا املاک اجاره ای خود ارزیابی کنند؟</v>
      </c>
      <c r="H5309" s="1"/>
      <c r="I5309" s="1"/>
      <c r="J5309" s="1"/>
      <c r="K5309" s="1"/>
      <c r="L5309" s="1"/>
      <c r="M5309" s="1"/>
      <c r="N5309" s="1"/>
      <c r="O5309" s="1"/>
      <c r="P5309" s="1"/>
      <c r="Q5309" s="1"/>
      <c r="R5309" s="1"/>
      <c r="S5309" s="1"/>
      <c r="T5309" s="1"/>
      <c r="U5309" s="1"/>
      <c r="V5309" s="1"/>
      <c r="W5309" s="1"/>
      <c r="X5309" s="1"/>
      <c r="Y5309" s="1"/>
      <c r="Z5309" s="1"/>
      <c r="AA5309" s="1"/>
      <c r="AB5309" s="1"/>
    </row>
    <row r="5310" ht="50.25" customHeight="1">
      <c r="A5310" s="12">
        <v>5306.0</v>
      </c>
      <c r="B5310" s="13" t="s">
        <v>5027</v>
      </c>
      <c r="C5310" s="18" t="s">
        <v>5330</v>
      </c>
      <c r="D5310" s="1"/>
      <c r="E5310" s="1"/>
      <c r="F5310" s="1" t="str">
        <f>IFERROR(__xludf.DUMMYFUNCTION("GOOGLETRANSLATE(B5310, ""en"", ""fa"")
"),"املاک و مستغلات برای حرفه ای ها")</f>
        <v>املاک و مستغلات برای حرفه ای ها</v>
      </c>
      <c r="G5310" s="1" t="str">
        <f>IFERROR(__xludf.DUMMYFUNCTION("GOOGLETRANSLATE(C5310, ""en"", ""fa"")
"),"متخصصان املاک و مستغلات از چه تکنیک هایی می توانند برای مدیریت موثر نظرات و رتبه بندی مهمانان استفاده کنند تا شهرت مثبتی برای تعطیلات یا املاک اجاره ای خود حفظ کنند؟")</f>
        <v>متخصصان املاک و مستغلات از چه تکنیک هایی می توانند برای مدیریت موثر نظرات و رتبه بندی مهمانان استفاده کنند تا شهرت مثبتی برای تعطیلات یا املاک اجاره ای خود حفظ کنند؟</v>
      </c>
      <c r="H5310" s="1"/>
      <c r="I5310" s="1"/>
      <c r="J5310" s="1"/>
      <c r="K5310" s="1"/>
      <c r="L5310" s="1"/>
      <c r="M5310" s="1"/>
      <c r="N5310" s="1"/>
      <c r="O5310" s="1"/>
      <c r="P5310" s="1"/>
      <c r="Q5310" s="1"/>
      <c r="R5310" s="1"/>
      <c r="S5310" s="1"/>
      <c r="T5310" s="1"/>
      <c r="U5310" s="1"/>
      <c r="V5310" s="1"/>
      <c r="W5310" s="1"/>
      <c r="X5310" s="1"/>
      <c r="Y5310" s="1"/>
      <c r="Z5310" s="1"/>
      <c r="AA5310" s="1"/>
      <c r="AB5310" s="1"/>
    </row>
    <row r="5311" ht="50.25" customHeight="1">
      <c r="A5311" s="12">
        <v>5307.0</v>
      </c>
      <c r="B5311" s="13" t="s">
        <v>5027</v>
      </c>
      <c r="C5311" s="18" t="s">
        <v>5331</v>
      </c>
      <c r="D5311" s="1"/>
      <c r="E5311" s="1"/>
      <c r="F5311" s="1" t="str">
        <f>IFERROR(__xludf.DUMMYFUNCTION("GOOGLETRANSLATE(B5311, ""en"", ""fa"")
"),"املاک و مستغلات برای حرفه ای ها")</f>
        <v>املاک و مستغلات برای حرفه ای ها</v>
      </c>
      <c r="G5311" s="1" t="str">
        <f>IFERROR(__xludf.DUMMYFUNCTION("GOOGLETRANSLATE(C5311, ""en"", ""fa"")
"),"چگونه متخصصان املاک و مستغلات می توانند پتانسیل اجرای شیوه های سازگار با محیط زیست و ابتکارات پایداری در تعطیلات یا املاک اجاره ای را برای جذب مهمانان آگاه به محیط زیست ارزیابی کنند؟")</f>
        <v>چگونه متخصصان املاک و مستغلات می توانند پتانسیل اجرای شیوه های سازگار با محیط زیست و ابتکارات پایداری در تعطیلات یا املاک اجاره ای را برای جذب مهمانان آگاه به محیط زیست ارزیابی کنند؟</v>
      </c>
      <c r="H5311" s="1"/>
      <c r="I5311" s="1"/>
      <c r="J5311" s="1"/>
      <c r="K5311" s="1"/>
      <c r="L5311" s="1"/>
      <c r="M5311" s="1"/>
      <c r="N5311" s="1"/>
      <c r="O5311" s="1"/>
      <c r="P5311" s="1"/>
      <c r="Q5311" s="1"/>
      <c r="R5311" s="1"/>
      <c r="S5311" s="1"/>
      <c r="T5311" s="1"/>
      <c r="U5311" s="1"/>
      <c r="V5311" s="1"/>
      <c r="W5311" s="1"/>
      <c r="X5311" s="1"/>
      <c r="Y5311" s="1"/>
      <c r="Z5311" s="1"/>
      <c r="AA5311" s="1"/>
      <c r="AB5311" s="1"/>
    </row>
    <row r="5312" ht="50.25" customHeight="1">
      <c r="A5312" s="12">
        <v>5308.0</v>
      </c>
      <c r="B5312" s="13" t="s">
        <v>5027</v>
      </c>
      <c r="C5312" s="18" t="s">
        <v>5332</v>
      </c>
      <c r="D5312" s="1"/>
      <c r="E5312" s="1"/>
      <c r="F5312" s="1" t="str">
        <f>IFERROR(__xludf.DUMMYFUNCTION("GOOGLETRANSLATE(B5312, ""en"", ""fa"")
"),"املاک و مستغلات برای حرفه ای ها")</f>
        <v>املاک و مستغلات برای حرفه ای ها</v>
      </c>
      <c r="G5312" s="1" t="str">
        <f>IFERROR(__xludf.DUMMYFUNCTION("GOOGLETRANSLATE(C5312, ""en"", ""fa"")
"),"مزایای استخدام یک بازرس املاک حرفه ای یا تیم تعمیر و نگهداری برای اطمینان از ایمنی و انطباق املاک تعطیلات یا اجاره چیست؟")</f>
        <v>مزایای استخدام یک بازرس املاک حرفه ای یا تیم تعمیر و نگهداری برای اطمینان از ایمنی و انطباق املاک تعطیلات یا اجاره چیست؟</v>
      </c>
      <c r="H5312" s="1"/>
      <c r="I5312" s="1"/>
      <c r="J5312" s="1"/>
      <c r="K5312" s="1"/>
      <c r="L5312" s="1"/>
      <c r="M5312" s="1"/>
      <c r="N5312" s="1"/>
      <c r="O5312" s="1"/>
      <c r="P5312" s="1"/>
      <c r="Q5312" s="1"/>
      <c r="R5312" s="1"/>
      <c r="S5312" s="1"/>
      <c r="T5312" s="1"/>
      <c r="U5312" s="1"/>
      <c r="V5312" s="1"/>
      <c r="W5312" s="1"/>
      <c r="X5312" s="1"/>
      <c r="Y5312" s="1"/>
      <c r="Z5312" s="1"/>
      <c r="AA5312" s="1"/>
      <c r="AB5312" s="1"/>
    </row>
    <row r="5313" ht="50.25" customHeight="1">
      <c r="A5313" s="12">
        <v>5309.0</v>
      </c>
      <c r="B5313" s="13" t="s">
        <v>5027</v>
      </c>
      <c r="C5313" s="18" t="s">
        <v>5333</v>
      </c>
      <c r="D5313" s="1"/>
      <c r="E5313" s="1"/>
      <c r="F5313" s="1" t="str">
        <f>IFERROR(__xludf.DUMMYFUNCTION("GOOGLETRANSLATE(B5313, ""en"", ""fa"")
"),"املاک و مستغلات برای حرفه ای ها")</f>
        <v>املاک و مستغلات برای حرفه ای ها</v>
      </c>
      <c r="G5313" s="1" t="str">
        <f>IFERROR(__xludf.DUMMYFUNCTION("GOOGLETRANSLATE(C5313, ""en"", ""fa"")
"),"چگونه متخصصان املاک و مستغلات می توانند امکان سرمایه گذاری در تعطیلات یا املاک اجاره ای در مقاصد نوظهور یا آینده را ارزیابی کنند؟")</f>
        <v>چگونه متخصصان املاک و مستغلات می توانند امکان سرمایه گذاری در تعطیلات یا املاک اجاره ای در مقاصد نوظهور یا آینده را ارزیابی کنند؟</v>
      </c>
      <c r="H5313" s="1"/>
      <c r="I5313" s="1"/>
      <c r="J5313" s="1"/>
      <c r="K5313" s="1"/>
      <c r="L5313" s="1"/>
      <c r="M5313" s="1"/>
      <c r="N5313" s="1"/>
      <c r="O5313" s="1"/>
      <c r="P5313" s="1"/>
      <c r="Q5313" s="1"/>
      <c r="R5313" s="1"/>
      <c r="S5313" s="1"/>
      <c r="T5313" s="1"/>
      <c r="U5313" s="1"/>
      <c r="V5313" s="1"/>
      <c r="W5313" s="1"/>
      <c r="X5313" s="1"/>
      <c r="Y5313" s="1"/>
      <c r="Z5313" s="1"/>
      <c r="AA5313" s="1"/>
      <c r="AB5313" s="1"/>
    </row>
    <row r="5314" ht="50.25" customHeight="1">
      <c r="A5314" s="12">
        <v>5310.0</v>
      </c>
      <c r="B5314" s="13" t="s">
        <v>5027</v>
      </c>
      <c r="C5314" s="18" t="s">
        <v>5334</v>
      </c>
      <c r="D5314" s="1"/>
      <c r="E5314" s="1"/>
      <c r="F5314" s="1" t="str">
        <f>IFERROR(__xludf.DUMMYFUNCTION("GOOGLETRANSLATE(B5314, ""en"", ""fa"")
"),"املاک و مستغلات برای حرفه ای ها")</f>
        <v>املاک و مستغلات برای حرفه ای ها</v>
      </c>
      <c r="G5314" s="1" t="str">
        <f>IFERROR(__xludf.DUMMYFUNCTION("GOOGLETRANSLATE(C5314, ""en"", ""fa"")
"),"متخصصان املاک و مستغلات چه استراتژی هایی می توانند برای ایجاد روابط طولانی مدت و وفاداری با مهمانان مکرر برای تعطیلات یا املاک اجاره ای خود به کار گیرند؟")</f>
        <v>متخصصان املاک و مستغلات چه استراتژی هایی می توانند برای ایجاد روابط طولانی مدت و وفاداری با مهمانان مکرر برای تعطیلات یا املاک اجاره ای خود به کار گیرند؟</v>
      </c>
      <c r="H5314" s="1"/>
      <c r="I5314" s="1"/>
      <c r="J5314" s="1"/>
      <c r="K5314" s="1"/>
      <c r="L5314" s="1"/>
      <c r="M5314" s="1"/>
      <c r="N5314" s="1"/>
      <c r="O5314" s="1"/>
      <c r="P5314" s="1"/>
      <c r="Q5314" s="1"/>
      <c r="R5314" s="1"/>
      <c r="S5314" s="1"/>
      <c r="T5314" s="1"/>
      <c r="U5314" s="1"/>
      <c r="V5314" s="1"/>
      <c r="W5314" s="1"/>
      <c r="X5314" s="1"/>
      <c r="Y5314" s="1"/>
      <c r="Z5314" s="1"/>
      <c r="AA5314" s="1"/>
      <c r="AB5314" s="1"/>
    </row>
    <row r="5315" ht="50.25" customHeight="1">
      <c r="A5315" s="12">
        <v>5311.0</v>
      </c>
      <c r="B5315" s="13" t="s">
        <v>5027</v>
      </c>
      <c r="C5315" s="18" t="s">
        <v>5335</v>
      </c>
      <c r="D5315" s="1"/>
      <c r="E5315" s="1"/>
      <c r="F5315" s="1" t="str">
        <f>IFERROR(__xludf.DUMMYFUNCTION("GOOGLETRANSLATE(B5315, ""en"", ""fa"")
"),"املاک و مستغلات برای حرفه ای ها")</f>
        <v>املاک و مستغلات برای حرفه ای ها</v>
      </c>
      <c r="G5315" s="1" t="str">
        <f>IFERROR(__xludf.DUMMYFUNCTION("GOOGLETRANSLATE(C5315, ""en"", ""fa"")
"),"چگونه متخصصان املاک و مستغلات می توانند پتانسیل ارائه گزینه های اقامت طولانی مدت یا خدمات مسکن شرکتی را برای تعطیلات یا املاک اجاره ای خود ارزیابی کنند؟")</f>
        <v>چگونه متخصصان املاک و مستغلات می توانند پتانسیل ارائه گزینه های اقامت طولانی مدت یا خدمات مسکن شرکتی را برای تعطیلات یا املاک اجاره ای خود ارزیابی کنند؟</v>
      </c>
      <c r="H5315" s="1"/>
      <c r="I5315" s="1"/>
      <c r="J5315" s="1"/>
      <c r="K5315" s="1"/>
      <c r="L5315" s="1"/>
      <c r="M5315" s="1"/>
      <c r="N5315" s="1"/>
      <c r="O5315" s="1"/>
      <c r="P5315" s="1"/>
      <c r="Q5315" s="1"/>
      <c r="R5315" s="1"/>
      <c r="S5315" s="1"/>
      <c r="T5315" s="1"/>
      <c r="U5315" s="1"/>
      <c r="V5315" s="1"/>
      <c r="W5315" s="1"/>
      <c r="X5315" s="1"/>
      <c r="Y5315" s="1"/>
      <c r="Z5315" s="1"/>
      <c r="AA5315" s="1"/>
      <c r="AB5315" s="1"/>
    </row>
    <row r="5316" ht="50.25" customHeight="1">
      <c r="A5316" s="12">
        <v>5312.0</v>
      </c>
      <c r="B5316" s="13" t="s">
        <v>5027</v>
      </c>
      <c r="C5316" s="18" t="s">
        <v>5336</v>
      </c>
      <c r="D5316" s="1"/>
      <c r="E5316" s="1"/>
      <c r="F5316" s="1" t="str">
        <f>IFERROR(__xludf.DUMMYFUNCTION("GOOGLETRANSLATE(B5316, ""en"", ""fa"")
"),"املاک و مستغلات برای حرفه ای ها")</f>
        <v>املاک و مستغلات برای حرفه ای ها</v>
      </c>
      <c r="G5316" s="1" t="str">
        <f>IFERROR(__xludf.DUMMYFUNCTION("GOOGLETRANSLATE(C5316, ""en"", ""fa"")
"),"متخصصان املاک و مستغلات از چه تکنیک هایی می توانند برای تحلیل و پیش بینی تأثیر رویدادها یا جشنواره های محلی بر تقاضا و قیمت املاک اجاره ای یا تعطیلات استفاده کنند؟")</f>
        <v>متخصصان املاک و مستغلات از چه تکنیک هایی می توانند برای تحلیل و پیش بینی تأثیر رویدادها یا جشنواره های محلی بر تقاضا و قیمت املاک اجاره ای یا تعطیلات استفاده کنند؟</v>
      </c>
      <c r="H5316" s="1"/>
      <c r="I5316" s="1"/>
      <c r="J5316" s="1"/>
      <c r="K5316" s="1"/>
      <c r="L5316" s="1"/>
      <c r="M5316" s="1"/>
      <c r="N5316" s="1"/>
      <c r="O5316" s="1"/>
      <c r="P5316" s="1"/>
      <c r="Q5316" s="1"/>
      <c r="R5316" s="1"/>
      <c r="S5316" s="1"/>
      <c r="T5316" s="1"/>
      <c r="U5316" s="1"/>
      <c r="V5316" s="1"/>
      <c r="W5316" s="1"/>
      <c r="X5316" s="1"/>
      <c r="Y5316" s="1"/>
      <c r="Z5316" s="1"/>
      <c r="AA5316" s="1"/>
      <c r="AB5316" s="1"/>
    </row>
    <row r="5317" ht="50.25" customHeight="1">
      <c r="A5317" s="12">
        <v>5313.0</v>
      </c>
      <c r="B5317" s="13" t="s">
        <v>5027</v>
      </c>
      <c r="C5317" s="18" t="s">
        <v>5337</v>
      </c>
      <c r="D5317" s="1"/>
      <c r="E5317" s="1"/>
      <c r="F5317" s="1" t="str">
        <f>IFERROR(__xludf.DUMMYFUNCTION("GOOGLETRANSLATE(B5317, ""en"", ""fa"")
"),"املاک و مستغلات برای حرفه ای ها")</f>
        <v>املاک و مستغلات برای حرفه ای ها</v>
      </c>
      <c r="G5317" s="1" t="str">
        <f>IFERROR(__xludf.DUMMYFUNCTION("GOOGLETRANSLATE(C5317, ""en"", ""fa"")
"),"چگونه متخصصان املاک و مستغلات می توانند به طور موثری برای تعطیلات یا املاک اجاره ای خود به گروه های جمعیتی خاص مانند هزاره ها یا بازنشستگان بازاریابی و تبلیغ کنند؟")</f>
        <v>چگونه متخصصان املاک و مستغلات می توانند به طور موثری برای تعطیلات یا املاک اجاره ای خود به گروه های جمعیتی خاص مانند هزاره ها یا بازنشستگان بازاریابی و تبلیغ کنند؟</v>
      </c>
      <c r="H5317" s="1"/>
      <c r="I5317" s="1"/>
      <c r="J5317" s="1"/>
      <c r="K5317" s="1"/>
      <c r="L5317" s="1"/>
      <c r="M5317" s="1"/>
      <c r="N5317" s="1"/>
      <c r="O5317" s="1"/>
      <c r="P5317" s="1"/>
      <c r="Q5317" s="1"/>
      <c r="R5317" s="1"/>
      <c r="S5317" s="1"/>
      <c r="T5317" s="1"/>
      <c r="U5317" s="1"/>
      <c r="V5317" s="1"/>
      <c r="W5317" s="1"/>
      <c r="X5317" s="1"/>
      <c r="Y5317" s="1"/>
      <c r="Z5317" s="1"/>
      <c r="AA5317" s="1"/>
      <c r="AB5317" s="1"/>
    </row>
    <row r="5318" ht="50.25" customHeight="1">
      <c r="A5318" s="12">
        <v>5314.0</v>
      </c>
      <c r="B5318" s="13" t="s">
        <v>5027</v>
      </c>
      <c r="C5318" s="18" t="s">
        <v>5338</v>
      </c>
      <c r="D5318" s="1"/>
      <c r="E5318" s="1"/>
      <c r="F5318" s="1" t="str">
        <f>IFERROR(__xludf.DUMMYFUNCTION("GOOGLETRANSLATE(B5318, ""en"", ""fa"")
"),"املاک و مستغلات برای حرفه ای ها")</f>
        <v>املاک و مستغلات برای حرفه ای ها</v>
      </c>
      <c r="G5318" s="1" t="str">
        <f>IFERROR(__xludf.DUMMYFUNCTION("GOOGLETRANSLATE(C5318, ""en"", ""fa"")
"),"متخصصان املاک و مستغلات چه استراتژی هایی می توانند برای بهینه سازی فرآیند رزرو آنلاین و ساده کردن مدیریت رزرو برای تعطیلات یا املاک اجاره ای خود به کار گیرند؟")</f>
        <v>متخصصان املاک و مستغلات چه استراتژی هایی می توانند برای بهینه سازی فرآیند رزرو آنلاین و ساده کردن مدیریت رزرو برای تعطیلات یا املاک اجاره ای خود به کار گیرند؟</v>
      </c>
      <c r="H5318" s="1"/>
      <c r="I5318" s="1"/>
      <c r="J5318" s="1"/>
      <c r="K5318" s="1"/>
      <c r="L5318" s="1"/>
      <c r="M5318" s="1"/>
      <c r="N5318" s="1"/>
      <c r="O5318" s="1"/>
      <c r="P5318" s="1"/>
      <c r="Q5318" s="1"/>
      <c r="R5318" s="1"/>
      <c r="S5318" s="1"/>
      <c r="T5318" s="1"/>
      <c r="U5318" s="1"/>
      <c r="V5318" s="1"/>
      <c r="W5318" s="1"/>
      <c r="X5318" s="1"/>
      <c r="Y5318" s="1"/>
      <c r="Z5318" s="1"/>
      <c r="AA5318" s="1"/>
      <c r="AB5318" s="1"/>
    </row>
    <row r="5319" ht="50.25" customHeight="1">
      <c r="A5319" s="12">
        <v>5315.0</v>
      </c>
      <c r="B5319" s="13" t="s">
        <v>5027</v>
      </c>
      <c r="C5319" s="18" t="s">
        <v>5339</v>
      </c>
      <c r="D5319" s="1"/>
      <c r="E5319" s="1"/>
      <c r="F5319" s="1" t="str">
        <f>IFERROR(__xludf.DUMMYFUNCTION("GOOGLETRANSLATE(B5319, ""en"", ""fa"")
"),"املاک و مستغلات برای حرفه ای ها")</f>
        <v>املاک و مستغلات برای حرفه ای ها</v>
      </c>
      <c r="G5319" s="1" t="str">
        <f>IFERROR(__xludf.DUMMYFUNCTION("GOOGLETRANSLATE(C5319, ""en"", ""fa"")
"),"چگونه متخصصان املاک و مستغلات می توانند پتانسیل پیاده سازی فناوری خانه های هوشمند و سیستم های اتوماسیون در تعطیلات یا املاک اجاره ای را برای افزایش تجربه مهمان ارزیابی کنند؟")</f>
        <v>چگونه متخصصان املاک و مستغلات می توانند پتانسیل پیاده سازی فناوری خانه های هوشمند و سیستم های اتوماسیون در تعطیلات یا املاک اجاره ای را برای افزایش تجربه مهمان ارزیابی کنند؟</v>
      </c>
      <c r="H5319" s="1"/>
      <c r="I5319" s="1"/>
      <c r="J5319" s="1"/>
      <c r="K5319" s="1"/>
      <c r="L5319" s="1"/>
      <c r="M5319" s="1"/>
      <c r="N5319" s="1"/>
      <c r="O5319" s="1"/>
      <c r="P5319" s="1"/>
      <c r="Q5319" s="1"/>
      <c r="R5319" s="1"/>
      <c r="S5319" s="1"/>
      <c r="T5319" s="1"/>
      <c r="U5319" s="1"/>
      <c r="V5319" s="1"/>
      <c r="W5319" s="1"/>
      <c r="X5319" s="1"/>
      <c r="Y5319" s="1"/>
      <c r="Z5319" s="1"/>
      <c r="AA5319" s="1"/>
      <c r="AB5319" s="1"/>
    </row>
    <row r="5320" ht="50.25" customHeight="1">
      <c r="A5320" s="12">
        <v>5316.0</v>
      </c>
      <c r="B5320" s="13" t="s">
        <v>5027</v>
      </c>
      <c r="C5320" s="18" t="s">
        <v>5340</v>
      </c>
      <c r="D5320" s="1"/>
      <c r="E5320" s="1"/>
      <c r="F5320" s="1" t="str">
        <f>IFERROR(__xludf.DUMMYFUNCTION("GOOGLETRANSLATE(B5320, ""en"", ""fa"")
"),"املاک و مستغلات برای حرفه ای ها")</f>
        <v>املاک و مستغلات برای حرفه ای ها</v>
      </c>
      <c r="G5320" s="1" t="str">
        <f>IFERROR(__xludf.DUMMYFUNCTION("GOOGLETRANSLATE(C5320, ""en"", ""fa"")
"),"مزایای استخدام یک ارزیاب حرفه ای املاک یا کارشناس ارزیابی برای تعیین ارزش بازار منصفانه املاک تعطیل یا اجاره چیست؟")</f>
        <v>مزایای استخدام یک ارزیاب حرفه ای املاک یا کارشناس ارزیابی برای تعیین ارزش بازار منصفانه املاک تعطیل یا اجاره چیست؟</v>
      </c>
      <c r="H5320" s="1"/>
      <c r="I5320" s="1"/>
      <c r="J5320" s="1"/>
      <c r="K5320" s="1"/>
      <c r="L5320" s="1"/>
      <c r="M5320" s="1"/>
      <c r="N5320" s="1"/>
      <c r="O5320" s="1"/>
      <c r="P5320" s="1"/>
      <c r="Q5320" s="1"/>
      <c r="R5320" s="1"/>
      <c r="S5320" s="1"/>
      <c r="T5320" s="1"/>
      <c r="U5320" s="1"/>
      <c r="V5320" s="1"/>
      <c r="W5320" s="1"/>
      <c r="X5320" s="1"/>
      <c r="Y5320" s="1"/>
      <c r="Z5320" s="1"/>
      <c r="AA5320" s="1"/>
      <c r="AB5320" s="1"/>
    </row>
    <row r="5321" ht="50.25" customHeight="1">
      <c r="A5321" s="12">
        <v>5317.0</v>
      </c>
      <c r="B5321" s="13" t="s">
        <v>5027</v>
      </c>
      <c r="C5321" s="18" t="s">
        <v>5341</v>
      </c>
      <c r="D5321" s="1"/>
      <c r="E5321" s="1"/>
      <c r="F5321" s="1" t="str">
        <f>IFERROR(__xludf.DUMMYFUNCTION("GOOGLETRANSLATE(B5321, ""en"", ""fa"")
"),"املاک و مستغلات برای حرفه ای ها")</f>
        <v>املاک و مستغلات برای حرفه ای ها</v>
      </c>
      <c r="G5321" s="1" t="str">
        <f>IFERROR(__xludf.DUMMYFUNCTION("GOOGLETRANSLATE(C5321, ""en"", ""fa"")
"),"متخصصان املاک و مستغلات چگونه می توانند پتانسیل ارائه خدمات با ارزش افزوده مانند خانه داری یا کمک دربان را برای تعطیلات یا املاک اجاره ای خود ارزیابی کنند؟")</f>
        <v>متخصصان املاک و مستغلات چگونه می توانند پتانسیل ارائه خدمات با ارزش افزوده مانند خانه داری یا کمک دربان را برای تعطیلات یا املاک اجاره ای خود ارزیابی کنند؟</v>
      </c>
      <c r="H5321" s="1"/>
      <c r="I5321" s="1"/>
      <c r="J5321" s="1"/>
      <c r="K5321" s="1"/>
      <c r="L5321" s="1"/>
      <c r="M5321" s="1"/>
      <c r="N5321" s="1"/>
      <c r="O5321" s="1"/>
      <c r="P5321" s="1"/>
      <c r="Q5321" s="1"/>
      <c r="R5321" s="1"/>
      <c r="S5321" s="1"/>
      <c r="T5321" s="1"/>
      <c r="U5321" s="1"/>
      <c r="V5321" s="1"/>
      <c r="W5321" s="1"/>
      <c r="X5321" s="1"/>
      <c r="Y5321" s="1"/>
      <c r="Z5321" s="1"/>
      <c r="AA5321" s="1"/>
      <c r="AB5321" s="1"/>
    </row>
    <row r="5322" ht="50.25" customHeight="1">
      <c r="A5322" s="12">
        <v>5318.0</v>
      </c>
      <c r="B5322" s="13" t="s">
        <v>5027</v>
      </c>
      <c r="C5322" s="18" t="s">
        <v>5342</v>
      </c>
      <c r="D5322" s="1"/>
      <c r="E5322" s="1"/>
      <c r="F5322" s="1" t="str">
        <f>IFERROR(__xludf.DUMMYFUNCTION("GOOGLETRANSLATE(B5322, ""en"", ""fa"")
"),"املاک و مستغلات برای حرفه ای ها")</f>
        <v>املاک و مستغلات برای حرفه ای ها</v>
      </c>
      <c r="G5322" s="1" t="str">
        <f>IFERROR(__xludf.DUMMYFUNCTION("GOOGLETRANSLATE(C5322, ""en"", ""fa"")
"),"متخصصان املاک و مستغلات از چه تکنیک هایی می توانند برای تجزیه و تحلیل و مقایسه عملکرد پلتفرم های مختلف رزرو آنلاین و لیست وب سایت ها برای تعطیلات یا املاک اجاره ای استفاده کنند؟")</f>
        <v>متخصصان املاک و مستغلات از چه تکنیک هایی می توانند برای تجزیه و تحلیل و مقایسه عملکرد پلتفرم های مختلف رزرو آنلاین و لیست وب سایت ها برای تعطیلات یا املاک اجاره ای استفاده کنند؟</v>
      </c>
      <c r="H5322" s="1"/>
      <c r="I5322" s="1"/>
      <c r="J5322" s="1"/>
      <c r="K5322" s="1"/>
      <c r="L5322" s="1"/>
      <c r="M5322" s="1"/>
      <c r="N5322" s="1"/>
      <c r="O5322" s="1"/>
      <c r="P5322" s="1"/>
      <c r="Q5322" s="1"/>
      <c r="R5322" s="1"/>
      <c r="S5322" s="1"/>
      <c r="T5322" s="1"/>
      <c r="U5322" s="1"/>
      <c r="V5322" s="1"/>
      <c r="W5322" s="1"/>
      <c r="X5322" s="1"/>
      <c r="Y5322" s="1"/>
      <c r="Z5322" s="1"/>
      <c r="AA5322" s="1"/>
      <c r="AB5322" s="1"/>
    </row>
    <row r="5323" ht="50.25" customHeight="1">
      <c r="A5323" s="12">
        <v>5319.0</v>
      </c>
      <c r="B5323" s="13" t="s">
        <v>5027</v>
      </c>
      <c r="C5323" s="18" t="s">
        <v>5343</v>
      </c>
      <c r="D5323" s="1"/>
      <c r="E5323" s="1"/>
      <c r="F5323" s="1" t="str">
        <f>IFERROR(__xludf.DUMMYFUNCTION("GOOGLETRANSLATE(B5323, ""en"", ""fa"")
"),"املاک و مستغلات برای حرفه ای ها")</f>
        <v>املاک و مستغلات برای حرفه ای ها</v>
      </c>
      <c r="G5323" s="1" t="str">
        <f>IFERROR(__xludf.DUMMYFUNCTION("GOOGLETRANSLATE(C5323, ""en"", ""fa"")
"),"چگونه متخصصان املاک و مستغلات می توانند پتانسیل اجرای سیاست های لغو انعطاف پذیر یا گزینه های بیمه مسافرتی را برای جذب رزرو بیشتر برای تعطیلات یا املاک اجاره ای خود ارزیابی کنند؟")</f>
        <v>چگونه متخصصان املاک و مستغلات می توانند پتانسیل اجرای سیاست های لغو انعطاف پذیر یا گزینه های بیمه مسافرتی را برای جذب رزرو بیشتر برای تعطیلات یا املاک اجاره ای خود ارزیابی کنند؟</v>
      </c>
      <c r="H5323" s="1"/>
      <c r="I5323" s="1"/>
      <c r="J5323" s="1"/>
      <c r="K5323" s="1"/>
      <c r="L5323" s="1"/>
      <c r="M5323" s="1"/>
      <c r="N5323" s="1"/>
      <c r="O5323" s="1"/>
      <c r="P5323" s="1"/>
      <c r="Q5323" s="1"/>
      <c r="R5323" s="1"/>
      <c r="S5323" s="1"/>
      <c r="T5323" s="1"/>
      <c r="U5323" s="1"/>
      <c r="V5323" s="1"/>
      <c r="W5323" s="1"/>
      <c r="X5323" s="1"/>
      <c r="Y5323" s="1"/>
      <c r="Z5323" s="1"/>
      <c r="AA5323" s="1"/>
      <c r="AB5323" s="1"/>
    </row>
    <row r="5324" ht="50.25" customHeight="1">
      <c r="A5324" s="12">
        <v>5320.0</v>
      </c>
      <c r="B5324" s="13" t="s">
        <v>5027</v>
      </c>
      <c r="C5324" s="18" t="s">
        <v>5344</v>
      </c>
      <c r="D5324" s="1"/>
      <c r="E5324" s="1"/>
      <c r="F5324" s="1" t="str">
        <f>IFERROR(__xludf.DUMMYFUNCTION("GOOGLETRANSLATE(B5324, ""en"", ""fa"")
"),"املاک و مستغلات برای حرفه ای ها")</f>
        <v>املاک و مستغلات برای حرفه ای ها</v>
      </c>
      <c r="G5324" s="1" t="str">
        <f>IFERROR(__xludf.DUMMYFUNCTION("GOOGLETRANSLATE(C5324, ""en"", ""fa"")
"),"متخصصان املاک و مستغلات چه استراتژی هایی می توانند برای به روز ماندن در مورد مقررات اجاره تعطیلات و الزامات انطباق در حوزه های قضایی مختلف به کار گیرند؟")</f>
        <v>متخصصان املاک و مستغلات چه استراتژی هایی می توانند برای به روز ماندن در مورد مقررات اجاره تعطیلات و الزامات انطباق در حوزه های قضایی مختلف به کار گیرند؟</v>
      </c>
      <c r="H5324" s="1"/>
      <c r="I5324" s="1"/>
      <c r="J5324" s="1"/>
      <c r="K5324" s="1"/>
      <c r="L5324" s="1"/>
      <c r="M5324" s="1"/>
      <c r="N5324" s="1"/>
      <c r="O5324" s="1"/>
      <c r="P5324" s="1"/>
      <c r="Q5324" s="1"/>
      <c r="R5324" s="1"/>
      <c r="S5324" s="1"/>
      <c r="T5324" s="1"/>
      <c r="U5324" s="1"/>
      <c r="V5324" s="1"/>
      <c r="W5324" s="1"/>
      <c r="X5324" s="1"/>
      <c r="Y5324" s="1"/>
      <c r="Z5324" s="1"/>
      <c r="AA5324" s="1"/>
      <c r="AB5324" s="1"/>
    </row>
    <row r="5325" ht="50.25" customHeight="1">
      <c r="A5325" s="12">
        <v>5321.0</v>
      </c>
      <c r="B5325" s="13" t="s">
        <v>5027</v>
      </c>
      <c r="C5325" s="18" t="s">
        <v>5345</v>
      </c>
      <c r="D5325" s="1"/>
      <c r="E5325" s="1"/>
      <c r="F5325" s="1" t="str">
        <f>IFERROR(__xludf.DUMMYFUNCTION("GOOGLETRANSLATE(B5325, ""en"", ""fa"")
"),"املاک و مستغلات برای حرفه ای ها")</f>
        <v>املاک و مستغلات برای حرفه ای ها</v>
      </c>
      <c r="G5325" s="1" t="str">
        <f>IFERROR(__xludf.DUMMYFUNCTION("GOOGLETRANSLATE(C5325, ""en"", ""fa"")
"),"چگونه متخصصان املاک و مستغلات می توانند به طور موثر از بازاریابی ایمیلی و خبرنامه ها برای تقویت روابط با مهمانان گذشته و ترویج تعطیلات یا املاک اجاره ای آنها استفاده کنند؟")</f>
        <v>چگونه متخصصان املاک و مستغلات می توانند به طور موثر از بازاریابی ایمیلی و خبرنامه ها برای تقویت روابط با مهمانان گذشته و ترویج تعطیلات یا املاک اجاره ای آنها استفاده کنند؟</v>
      </c>
      <c r="H5325" s="1"/>
      <c r="I5325" s="1"/>
      <c r="J5325" s="1"/>
      <c r="K5325" s="1"/>
      <c r="L5325" s="1"/>
      <c r="M5325" s="1"/>
      <c r="N5325" s="1"/>
      <c r="O5325" s="1"/>
      <c r="P5325" s="1"/>
      <c r="Q5325" s="1"/>
      <c r="R5325" s="1"/>
      <c r="S5325" s="1"/>
      <c r="T5325" s="1"/>
      <c r="U5325" s="1"/>
      <c r="V5325" s="1"/>
      <c r="W5325" s="1"/>
      <c r="X5325" s="1"/>
      <c r="Y5325" s="1"/>
      <c r="Z5325" s="1"/>
      <c r="AA5325" s="1"/>
      <c r="AB5325" s="1"/>
    </row>
    <row r="5326" ht="50.25" customHeight="1">
      <c r="A5326" s="12">
        <v>5322.0</v>
      </c>
      <c r="B5326" s="13" t="s">
        <v>5027</v>
      </c>
      <c r="C5326" s="18" t="s">
        <v>5346</v>
      </c>
      <c r="D5326" s="1"/>
      <c r="E5326" s="1"/>
      <c r="F5326" s="1" t="str">
        <f>IFERROR(__xludf.DUMMYFUNCTION("GOOGLETRANSLATE(B5326, ""en"", ""fa"")
"),"املاک و مستغلات برای حرفه ای ها")</f>
        <v>املاک و مستغلات برای حرفه ای ها</v>
      </c>
      <c r="G5326" s="1" t="str">
        <f>IFERROR(__xludf.DUMMYFUNCTION("GOOGLETRANSLATE(C5326, ""en"", ""fa"")
"),"ملاحظات کلیدی برای اجرای یک استراتژی قیمت گذاری پویا که نرخ ها را بر اساس عواملی مانند فصلی بودن، تقاضا و رویدادهای محلی برای تعطیلات یا املاک اجاره ای تنظیم می کند، چیست؟")</f>
        <v>ملاحظات کلیدی برای اجرای یک استراتژی قیمت گذاری پویا که نرخ ها را بر اساس عواملی مانند فصلی بودن، تقاضا و رویدادهای محلی برای تعطیلات یا املاک اجاره ای تنظیم می کند، چیست؟</v>
      </c>
      <c r="H5326" s="1"/>
      <c r="I5326" s="1"/>
      <c r="J5326" s="1"/>
      <c r="K5326" s="1"/>
      <c r="L5326" s="1"/>
      <c r="M5326" s="1"/>
      <c r="N5326" s="1"/>
      <c r="O5326" s="1"/>
      <c r="P5326" s="1"/>
      <c r="Q5326" s="1"/>
      <c r="R5326" s="1"/>
      <c r="S5326" s="1"/>
      <c r="T5326" s="1"/>
      <c r="U5326" s="1"/>
      <c r="V5326" s="1"/>
      <c r="W5326" s="1"/>
      <c r="X5326" s="1"/>
      <c r="Y5326" s="1"/>
      <c r="Z5326" s="1"/>
      <c r="AA5326" s="1"/>
      <c r="AB5326" s="1"/>
    </row>
    <row r="5327" ht="50.25" customHeight="1">
      <c r="A5327" s="12">
        <v>5323.0</v>
      </c>
      <c r="B5327" s="13" t="s">
        <v>5027</v>
      </c>
      <c r="C5327" s="18" t="s">
        <v>5347</v>
      </c>
      <c r="D5327" s="1"/>
      <c r="E5327" s="1"/>
      <c r="F5327" s="1" t="str">
        <f>IFERROR(__xludf.DUMMYFUNCTION("GOOGLETRANSLATE(B5327, ""en"", ""fa"")
"),"املاک و مستغلات برای حرفه ای ها")</f>
        <v>املاک و مستغلات برای حرفه ای ها</v>
      </c>
      <c r="G5327" s="1" t="str">
        <f>IFERROR(__xludf.DUMMYFUNCTION("GOOGLETRANSLATE(C5327, ""en"", ""fa"")
"),"چگونه متخصصان املاک و مستغلات می توانند پتانسیل ارائه اقامتگاه ها یا امکانات رفاهی مناسب برای حیوانات خانگی را برای ارائه خدمات به طیف وسیع تری از مهمانان برای تعطیلات یا املاک اجاره ای خود ارزیابی کنند؟")</f>
        <v>چگونه متخصصان املاک و مستغلات می توانند پتانسیل ارائه اقامتگاه ها یا امکانات رفاهی مناسب برای حیوانات خانگی را برای ارائه خدمات به طیف وسیع تری از مهمانان برای تعطیلات یا املاک اجاره ای خود ارزیابی کنند؟</v>
      </c>
      <c r="H5327" s="1"/>
      <c r="I5327" s="1"/>
      <c r="J5327" s="1"/>
      <c r="K5327" s="1"/>
      <c r="L5327" s="1"/>
      <c r="M5327" s="1"/>
      <c r="N5327" s="1"/>
      <c r="O5327" s="1"/>
      <c r="P5327" s="1"/>
      <c r="Q5327" s="1"/>
      <c r="R5327" s="1"/>
      <c r="S5327" s="1"/>
      <c r="T5327" s="1"/>
      <c r="U5327" s="1"/>
      <c r="V5327" s="1"/>
      <c r="W5327" s="1"/>
      <c r="X5327" s="1"/>
      <c r="Y5327" s="1"/>
      <c r="Z5327" s="1"/>
      <c r="AA5327" s="1"/>
      <c r="AB5327" s="1"/>
    </row>
    <row r="5328" ht="50.25" customHeight="1">
      <c r="A5328" s="12">
        <v>5324.0</v>
      </c>
      <c r="B5328" s="13" t="s">
        <v>5027</v>
      </c>
      <c r="C5328" s="18" t="s">
        <v>5348</v>
      </c>
      <c r="D5328" s="1"/>
      <c r="E5328" s="1"/>
      <c r="F5328" s="1" t="str">
        <f>IFERROR(__xludf.DUMMYFUNCTION("GOOGLETRANSLATE(B5328, ""en"", ""fa"")
"),"املاک و مستغلات برای حرفه ای ها")</f>
        <v>املاک و مستغلات برای حرفه ای ها</v>
      </c>
      <c r="G5328" s="1" t="str">
        <f>IFERROR(__xludf.DUMMYFUNCTION("GOOGLETRANSLATE(C5328, ""en"", ""fa"")
"),"متخصصان املاک و مستغلات از چه تکنیک هایی می توانند برای تجزیه و تحلیل سودآوری و پتانسیل جریان نقدی سرمایه گذاری در املاک تعطیلات یا اجاره در محدوده قیمت یا نوع ملک خاص استفاده کنند؟")</f>
        <v>متخصصان املاک و مستغلات از چه تکنیک هایی می توانند برای تجزیه و تحلیل سودآوری و پتانسیل جریان نقدی سرمایه گذاری در املاک تعطیلات یا اجاره در محدوده قیمت یا نوع ملک خاص استفاده کنند؟</v>
      </c>
      <c r="H5328" s="1"/>
      <c r="I5328" s="1"/>
      <c r="J5328" s="1"/>
      <c r="K5328" s="1"/>
      <c r="L5328" s="1"/>
      <c r="M5328" s="1"/>
      <c r="N5328" s="1"/>
      <c r="O5328" s="1"/>
      <c r="P5328" s="1"/>
      <c r="Q5328" s="1"/>
      <c r="R5328" s="1"/>
      <c r="S5328" s="1"/>
      <c r="T5328" s="1"/>
      <c r="U5328" s="1"/>
      <c r="V5328" s="1"/>
      <c r="W5328" s="1"/>
      <c r="X5328" s="1"/>
      <c r="Y5328" s="1"/>
      <c r="Z5328" s="1"/>
      <c r="AA5328" s="1"/>
      <c r="AB5328" s="1"/>
    </row>
    <row r="5329" ht="50.25" customHeight="1">
      <c r="A5329" s="12">
        <v>5325.0</v>
      </c>
      <c r="B5329" s="13" t="s">
        <v>5027</v>
      </c>
      <c r="C5329" s="18" t="s">
        <v>5349</v>
      </c>
      <c r="D5329" s="1"/>
      <c r="E5329" s="1"/>
      <c r="F5329" s="1" t="str">
        <f>IFERROR(__xludf.DUMMYFUNCTION("GOOGLETRANSLATE(B5329, ""en"", ""fa"")
"),"املاک و مستغلات برای حرفه ای ها")</f>
        <v>املاک و مستغلات برای حرفه ای ها</v>
      </c>
      <c r="G5329" s="1" t="str">
        <f>IFERROR(__xludf.DUMMYFUNCTION("GOOGLETRANSLATE(C5329, ""en"", ""fa"")
"),"چگونه متخصصان املاک و مستغلات می توانند پتانسیل مشارکت با مشاغل محلی یا اپراتورهای تور را برای ایجاد بسته های ارزش افزوده برای مهمانانی که در تعطیلات یا املاک اجاره ای خود اقامت می کنند ارزیابی کنند؟")</f>
        <v>چگونه متخصصان املاک و مستغلات می توانند پتانسیل مشارکت با مشاغل محلی یا اپراتورهای تور را برای ایجاد بسته های ارزش افزوده برای مهمانانی که در تعطیلات یا املاک اجاره ای خود اقامت می کنند ارزیابی کنند؟</v>
      </c>
      <c r="H5329" s="1"/>
      <c r="I5329" s="1"/>
      <c r="J5329" s="1"/>
      <c r="K5329" s="1"/>
      <c r="L5329" s="1"/>
      <c r="M5329" s="1"/>
      <c r="N5329" s="1"/>
      <c r="O5329" s="1"/>
      <c r="P5329" s="1"/>
      <c r="Q5329" s="1"/>
      <c r="R5329" s="1"/>
      <c r="S5329" s="1"/>
      <c r="T5329" s="1"/>
      <c r="U5329" s="1"/>
      <c r="V5329" s="1"/>
      <c r="W5329" s="1"/>
      <c r="X5329" s="1"/>
      <c r="Y5329" s="1"/>
      <c r="Z5329" s="1"/>
      <c r="AA5329" s="1"/>
      <c r="AB5329" s="1"/>
    </row>
    <row r="5330" ht="50.25" customHeight="1">
      <c r="A5330" s="12">
        <v>5326.0</v>
      </c>
      <c r="B5330" s="13" t="s">
        <v>5027</v>
      </c>
      <c r="C5330" s="18" t="s">
        <v>5350</v>
      </c>
      <c r="D5330" s="1"/>
      <c r="E5330" s="1"/>
      <c r="F5330" s="1" t="str">
        <f>IFERROR(__xludf.DUMMYFUNCTION("GOOGLETRANSLATE(B5330, ""en"", ""fa"")
"),"املاک و مستغلات برای حرفه ای ها")</f>
        <v>املاک و مستغلات برای حرفه ای ها</v>
      </c>
      <c r="G5330" s="1" t="str">
        <f>IFERROR(__xludf.DUMMYFUNCTION("GOOGLETRANSLATE(C5330, ""en"", ""fa"")
"),"متخصصان املاک و مستغلات چه استراتژی هایی می توانند برای به حداقل رساندن جای خالی و به حداکثر رساندن نرخ اشغال برای تعطیلات یا املاک اجاره ای خود در طول سال به کار گیرند؟")</f>
        <v>متخصصان املاک و مستغلات چه استراتژی هایی می توانند برای به حداقل رساندن جای خالی و به حداکثر رساندن نرخ اشغال برای تعطیلات یا املاک اجاره ای خود در طول سال به کار گیرند؟</v>
      </c>
      <c r="H5330" s="1"/>
      <c r="I5330" s="1"/>
      <c r="J5330" s="1"/>
      <c r="K5330" s="1"/>
      <c r="L5330" s="1"/>
      <c r="M5330" s="1"/>
      <c r="N5330" s="1"/>
      <c r="O5330" s="1"/>
      <c r="P5330" s="1"/>
      <c r="Q5330" s="1"/>
      <c r="R5330" s="1"/>
      <c r="S5330" s="1"/>
      <c r="T5330" s="1"/>
      <c r="U5330" s="1"/>
      <c r="V5330" s="1"/>
      <c r="W5330" s="1"/>
      <c r="X5330" s="1"/>
      <c r="Y5330" s="1"/>
      <c r="Z5330" s="1"/>
      <c r="AA5330" s="1"/>
      <c r="AB5330" s="1"/>
    </row>
    <row r="5331" ht="50.25" customHeight="1">
      <c r="A5331" s="12">
        <v>5327.0</v>
      </c>
      <c r="B5331" s="13" t="s">
        <v>5027</v>
      </c>
      <c r="C5331" s="18" t="s">
        <v>5351</v>
      </c>
      <c r="D5331" s="1"/>
      <c r="E5331" s="1"/>
      <c r="F5331" s="1" t="str">
        <f>IFERROR(__xludf.DUMMYFUNCTION("GOOGLETRANSLATE(B5331, ""en"", ""fa"")
"),"املاک و مستغلات برای حرفه ای ها")</f>
        <v>املاک و مستغلات برای حرفه ای ها</v>
      </c>
      <c r="G5331" s="1" t="str">
        <f>IFERROR(__xludf.DUMMYFUNCTION("GOOGLETRANSLATE(C5331, ""en"", ""fa"")
"),"چگونه متخصصان املاک و مستغلات می توانند پتانسیل سرمایه گذاری در روندهای نوظهور سفر، مانند کار از راه دور یا کوچ نشینی دیجیتال را برای تعطیلات یا املاک اجاره ای خود ارزیابی کنند؟")</f>
        <v>چگونه متخصصان املاک و مستغلات می توانند پتانسیل سرمایه گذاری در روندهای نوظهور سفر، مانند کار از راه دور یا کوچ نشینی دیجیتال را برای تعطیلات یا املاک اجاره ای خود ارزیابی کنند؟</v>
      </c>
      <c r="H5331" s="1"/>
      <c r="I5331" s="1"/>
      <c r="J5331" s="1"/>
      <c r="K5331" s="1"/>
      <c r="L5331" s="1"/>
      <c r="M5331" s="1"/>
      <c r="N5331" s="1"/>
      <c r="O5331" s="1"/>
      <c r="P5331" s="1"/>
      <c r="Q5331" s="1"/>
      <c r="R5331" s="1"/>
      <c r="S5331" s="1"/>
      <c r="T5331" s="1"/>
      <c r="U5331" s="1"/>
      <c r="V5331" s="1"/>
      <c r="W5331" s="1"/>
      <c r="X5331" s="1"/>
      <c r="Y5331" s="1"/>
      <c r="Z5331" s="1"/>
      <c r="AA5331" s="1"/>
      <c r="AB5331" s="1"/>
    </row>
    <row r="5332" ht="50.25" customHeight="1">
      <c r="A5332" s="12">
        <v>5328.0</v>
      </c>
      <c r="B5332" s="13" t="s">
        <v>5027</v>
      </c>
      <c r="C5332" s="18" t="s">
        <v>5352</v>
      </c>
      <c r="D5332" s="1"/>
      <c r="E5332" s="1"/>
      <c r="F5332" s="1" t="str">
        <f>IFERROR(__xludf.DUMMYFUNCTION("GOOGLETRANSLATE(B5332, ""en"", ""fa"")
"),"املاک و مستغلات برای حرفه ای ها")</f>
        <v>املاک و مستغلات برای حرفه ای ها</v>
      </c>
      <c r="G5332" s="1" t="str">
        <f>IFERROR(__xludf.DUMMYFUNCTION("GOOGLETRANSLATE(C5332, ""en"", ""fa"")
"),"مزایای جذب یک عکاس یا فیلمبردار حرفه ای اجاره تعطیلات برای ثبت تصاویری با کیفیت بالا که ویژگی های منحصر به فرد املاک اجاره ای یا تعطیلات را به نمایش می گذارد، چیست؟")</f>
        <v>مزایای جذب یک عکاس یا فیلمبردار حرفه ای اجاره تعطیلات برای ثبت تصاویری با کیفیت بالا که ویژگی های منحصر به فرد املاک اجاره ای یا تعطیلات را به نمایش می گذارد، چیست؟</v>
      </c>
      <c r="H5332" s="1"/>
      <c r="I5332" s="1"/>
      <c r="J5332" s="1"/>
      <c r="K5332" s="1"/>
      <c r="L5332" s="1"/>
      <c r="M5332" s="1"/>
      <c r="N5332" s="1"/>
      <c r="O5332" s="1"/>
      <c r="P5332" s="1"/>
      <c r="Q5332" s="1"/>
      <c r="R5332" s="1"/>
      <c r="S5332" s="1"/>
      <c r="T5332" s="1"/>
      <c r="U5332" s="1"/>
      <c r="V5332" s="1"/>
      <c r="W5332" s="1"/>
      <c r="X5332" s="1"/>
      <c r="Y5332" s="1"/>
      <c r="Z5332" s="1"/>
      <c r="AA5332" s="1"/>
      <c r="AB5332" s="1"/>
    </row>
    <row r="5333" ht="50.25" customHeight="1">
      <c r="A5333" s="12">
        <v>5329.0</v>
      </c>
      <c r="B5333" s="13" t="s">
        <v>5027</v>
      </c>
      <c r="C5333" s="18" t="s">
        <v>5353</v>
      </c>
      <c r="D5333" s="1"/>
      <c r="E5333" s="1"/>
      <c r="F5333" s="1" t="str">
        <f>IFERROR(__xludf.DUMMYFUNCTION("GOOGLETRANSLATE(B5333, ""en"", ""fa"")
"),"املاک و مستغلات برای حرفه ای ها")</f>
        <v>املاک و مستغلات برای حرفه ای ها</v>
      </c>
      <c r="G5333" s="1" t="str">
        <f>IFERROR(__xludf.DUMMYFUNCTION("GOOGLETRANSLATE(C5333, ""en"", ""fa"")
"),"چگونه متخصصان املاک و مستغلات می توانند پتانسیل ارائه خدمات یا امکانات اضافی مانند ترانسفر فرودگاهی یا خرید مواد غذایی قبل از ورود را برای بهبود تجربه مهمان در تعطیلات یا املاک اجاره ای خود ارزیابی کنند؟")</f>
        <v>چگونه متخصصان املاک و مستغلات می توانند پتانسیل ارائه خدمات یا امکانات اضافی مانند ترانسفر فرودگاهی یا خرید مواد غذایی قبل از ورود را برای بهبود تجربه مهمان در تعطیلات یا املاک اجاره ای خود ارزیابی کنند؟</v>
      </c>
      <c r="H5333" s="1"/>
      <c r="I5333" s="1"/>
      <c r="J5333" s="1"/>
      <c r="K5333" s="1"/>
      <c r="L5333" s="1"/>
      <c r="M5333" s="1"/>
      <c r="N5333" s="1"/>
      <c r="O5333" s="1"/>
      <c r="P5333" s="1"/>
      <c r="Q5333" s="1"/>
      <c r="R5333" s="1"/>
      <c r="S5333" s="1"/>
      <c r="T5333" s="1"/>
      <c r="U5333" s="1"/>
      <c r="V5333" s="1"/>
      <c r="W5333" s="1"/>
      <c r="X5333" s="1"/>
      <c r="Y5333" s="1"/>
      <c r="Z5333" s="1"/>
      <c r="AA5333" s="1"/>
      <c r="AB5333" s="1"/>
    </row>
    <row r="5334" ht="50.25" customHeight="1">
      <c r="A5334" s="12">
        <v>5330.0</v>
      </c>
      <c r="B5334" s="13" t="s">
        <v>5027</v>
      </c>
      <c r="C5334" s="18" t="s">
        <v>5354</v>
      </c>
      <c r="D5334" s="1"/>
      <c r="E5334" s="1"/>
      <c r="F5334" s="1" t="str">
        <f>IFERROR(__xludf.DUMMYFUNCTION("GOOGLETRANSLATE(B5334, ""en"", ""fa"")
"),"املاک و مستغلات برای حرفه ای ها")</f>
        <v>املاک و مستغلات برای حرفه ای ها</v>
      </c>
      <c r="G5334" s="1" t="str">
        <f>IFERROR(__xludf.DUMMYFUNCTION("GOOGLETRANSLATE(C5334, ""en"", ""fa"")
"),"متخصصان املاک و مستغلات از چه تکنیک هایی می توانند برای تجزیه و تحلیل مشخصات جمعیت شناختی و روانشناختی بخش های مهمان هدف خود برای استراتژی های بازاریابی و ارتباط موثر استفاده کنند؟")</f>
        <v>متخصصان املاک و مستغلات از چه تکنیک هایی می توانند برای تجزیه و تحلیل مشخصات جمعیت شناختی و روانشناختی بخش های مهمان هدف خود برای استراتژی های بازاریابی و ارتباط موثر استفاده کنند؟</v>
      </c>
      <c r="H5334" s="1"/>
      <c r="I5334" s="1"/>
      <c r="J5334" s="1"/>
      <c r="K5334" s="1"/>
      <c r="L5334" s="1"/>
      <c r="M5334" s="1"/>
      <c r="N5334" s="1"/>
      <c r="O5334" s="1"/>
      <c r="P5334" s="1"/>
      <c r="Q5334" s="1"/>
      <c r="R5334" s="1"/>
      <c r="S5334" s="1"/>
      <c r="T5334" s="1"/>
      <c r="U5334" s="1"/>
      <c r="V5334" s="1"/>
      <c r="W5334" s="1"/>
      <c r="X5334" s="1"/>
      <c r="Y5334" s="1"/>
      <c r="Z5334" s="1"/>
      <c r="AA5334" s="1"/>
      <c r="AB5334" s="1"/>
    </row>
    <row r="5335" ht="50.25" customHeight="1">
      <c r="A5335" s="12">
        <v>5331.0</v>
      </c>
      <c r="B5335" s="13" t="s">
        <v>5027</v>
      </c>
      <c r="C5335" s="18" t="s">
        <v>5355</v>
      </c>
      <c r="D5335" s="1"/>
      <c r="E5335" s="1"/>
      <c r="F5335" s="1" t="str">
        <f>IFERROR(__xludf.DUMMYFUNCTION("GOOGLETRANSLATE(B5335, ""en"", ""fa"")
"),"املاک و مستغلات برای حرفه ای ها")</f>
        <v>املاک و مستغلات برای حرفه ای ها</v>
      </c>
      <c r="G5335" s="1" t="str">
        <f>IFERROR(__xludf.DUMMYFUNCTION("GOOGLETRANSLATE(C5335, ""en"", ""fa"")
"),"چگونه متخصصان املاک و مستغلات می توانند پتانسیل ترکیب ویژگی های پایدار و کم مصرف، مانند پنل های خورشیدی یا وسایل صرفه جویی در مصرف آب را در تعطیلات یا املاک اجاره ای ارزیابی کنند؟")</f>
        <v>چگونه متخصصان املاک و مستغلات می توانند پتانسیل ترکیب ویژگی های پایدار و کم مصرف، مانند پنل های خورشیدی یا وسایل صرفه جویی در مصرف آب را در تعطیلات یا املاک اجاره ای ارزیابی کنند؟</v>
      </c>
      <c r="H5335" s="1"/>
      <c r="I5335" s="1"/>
      <c r="J5335" s="1"/>
      <c r="K5335" s="1"/>
      <c r="L5335" s="1"/>
      <c r="M5335" s="1"/>
      <c r="N5335" s="1"/>
      <c r="O5335" s="1"/>
      <c r="P5335" s="1"/>
      <c r="Q5335" s="1"/>
      <c r="R5335" s="1"/>
      <c r="S5335" s="1"/>
      <c r="T5335" s="1"/>
      <c r="U5335" s="1"/>
      <c r="V5335" s="1"/>
      <c r="W5335" s="1"/>
      <c r="X5335" s="1"/>
      <c r="Y5335" s="1"/>
      <c r="Z5335" s="1"/>
      <c r="AA5335" s="1"/>
      <c r="AB5335" s="1"/>
    </row>
    <row r="5336" ht="50.25" customHeight="1">
      <c r="A5336" s="12">
        <v>5332.0</v>
      </c>
      <c r="B5336" s="13" t="s">
        <v>5027</v>
      </c>
      <c r="C5336" s="18" t="s">
        <v>5356</v>
      </c>
      <c r="D5336" s="1"/>
      <c r="E5336" s="1"/>
      <c r="F5336" s="1" t="str">
        <f>IFERROR(__xludf.DUMMYFUNCTION("GOOGLETRANSLATE(B5336, ""en"", ""fa"")
"),"املاک و مستغلات برای حرفه ای ها")</f>
        <v>املاک و مستغلات برای حرفه ای ها</v>
      </c>
      <c r="G5336" s="1" t="str">
        <f>IFERROR(__xludf.DUMMYFUNCTION("GOOGLETRANSLATE(C5336, ""en"", ""fa"")
"),"متخصصان املاک و مستغلات چه استراتژی هایی می توانند برای ایجاد مشارکت با سازمان دهندگان رویدادهای محلی یا برنامه ریزان کنفرانس برای جذب شرکت کنندگان و رزرو امن برای تعطیلات یا املاک اجاره ای خود به کار گیرند؟")</f>
        <v>متخصصان املاک و مستغلات چه استراتژی هایی می توانند برای ایجاد مشارکت با سازمان دهندگان رویدادهای محلی یا برنامه ریزان کنفرانس برای جذب شرکت کنندگان و رزرو امن برای تعطیلات یا املاک اجاره ای خود به کار گیرند؟</v>
      </c>
      <c r="H5336" s="1"/>
      <c r="I5336" s="1"/>
      <c r="J5336" s="1"/>
      <c r="K5336" s="1"/>
      <c r="L5336" s="1"/>
      <c r="M5336" s="1"/>
      <c r="N5336" s="1"/>
      <c r="O5336" s="1"/>
      <c r="P5336" s="1"/>
      <c r="Q5336" s="1"/>
      <c r="R5336" s="1"/>
      <c r="S5336" s="1"/>
      <c r="T5336" s="1"/>
      <c r="U5336" s="1"/>
      <c r="V5336" s="1"/>
      <c r="W5336" s="1"/>
      <c r="X5336" s="1"/>
      <c r="Y5336" s="1"/>
      <c r="Z5336" s="1"/>
      <c r="AA5336" s="1"/>
      <c r="AB5336" s="1"/>
    </row>
    <row r="5337" ht="50.25" customHeight="1">
      <c r="A5337" s="12">
        <v>5333.0</v>
      </c>
      <c r="B5337" s="13" t="s">
        <v>5027</v>
      </c>
      <c r="C5337" s="18" t="s">
        <v>5357</v>
      </c>
      <c r="D5337" s="1"/>
      <c r="E5337" s="1"/>
      <c r="F5337" s="1" t="str">
        <f>IFERROR(__xludf.DUMMYFUNCTION("GOOGLETRANSLATE(B5337, ""en"", ""fa"")
"),"املاک و مستغلات برای حرفه ای ها")</f>
        <v>املاک و مستغلات برای حرفه ای ها</v>
      </c>
      <c r="G5337" s="1" t="str">
        <f>IFERROR(__xludf.DUMMYFUNCTION("GOOGLETRANSLATE(C5337, ""en"", ""fa"")
"),"چگونه متخصصان املاک و مستغلات می توانند به طور موثر از فناوری واقعیت مجازی (VR) یا تورهای سه بعدی برای ارائه تجربیات همه جانبه و نمایش طرح و ویژگی های تعطیلات یا املاک اجاره ای خود استفاده کنند؟")</f>
        <v>چگونه متخصصان املاک و مستغلات می توانند به طور موثر از فناوری واقعیت مجازی (VR) یا تورهای سه بعدی برای ارائه تجربیات همه جانبه و نمایش طرح و ویژگی های تعطیلات یا املاک اجاره ای خود استفاده کنند؟</v>
      </c>
      <c r="H5337" s="1"/>
      <c r="I5337" s="1"/>
      <c r="J5337" s="1"/>
      <c r="K5337" s="1"/>
      <c r="L5337" s="1"/>
      <c r="M5337" s="1"/>
      <c r="N5337" s="1"/>
      <c r="O5337" s="1"/>
      <c r="P5337" s="1"/>
      <c r="Q5337" s="1"/>
      <c r="R5337" s="1"/>
      <c r="S5337" s="1"/>
      <c r="T5337" s="1"/>
      <c r="U5337" s="1"/>
      <c r="V5337" s="1"/>
      <c r="W5337" s="1"/>
      <c r="X5337" s="1"/>
      <c r="Y5337" s="1"/>
      <c r="Z5337" s="1"/>
      <c r="AA5337" s="1"/>
      <c r="AB5337" s="1"/>
    </row>
    <row r="5338" ht="50.25" customHeight="1">
      <c r="A5338" s="12">
        <v>5334.0</v>
      </c>
      <c r="B5338" s="13" t="s">
        <v>5027</v>
      </c>
      <c r="C5338" s="18" t="s">
        <v>5358</v>
      </c>
      <c r="D5338" s="1"/>
      <c r="E5338" s="1"/>
      <c r="F5338" s="1" t="str">
        <f>IFERROR(__xludf.DUMMYFUNCTION("GOOGLETRANSLATE(B5338, ""en"", ""fa"")
"),"املاک و مستغلات برای حرفه ای ها")</f>
        <v>املاک و مستغلات برای حرفه ای ها</v>
      </c>
      <c r="G5338" s="1" t="str">
        <f>IFERROR(__xludf.DUMMYFUNCTION("GOOGLETRANSLATE(C5338, ""en"", ""fa"")
"),"مولفه های کلیدی در یک گزارش جامع ارزیابی املاک و مستغلات کدامند؟")</f>
        <v>مولفه های کلیدی در یک گزارش جامع ارزیابی املاک و مستغلات کدامند؟</v>
      </c>
      <c r="H5338" s="1"/>
      <c r="I5338" s="1"/>
      <c r="J5338" s="1"/>
      <c r="K5338" s="1"/>
      <c r="L5338" s="1"/>
      <c r="M5338" s="1"/>
      <c r="N5338" s="1"/>
      <c r="O5338" s="1"/>
      <c r="P5338" s="1"/>
      <c r="Q5338" s="1"/>
      <c r="R5338" s="1"/>
      <c r="S5338" s="1"/>
      <c r="T5338" s="1"/>
      <c r="U5338" s="1"/>
      <c r="V5338" s="1"/>
      <c r="W5338" s="1"/>
      <c r="X5338" s="1"/>
      <c r="Y5338" s="1"/>
      <c r="Z5338" s="1"/>
      <c r="AA5338" s="1"/>
      <c r="AB5338" s="1"/>
    </row>
    <row r="5339" ht="50.25" customHeight="1">
      <c r="A5339" s="12">
        <v>5335.0</v>
      </c>
      <c r="B5339" s="13" t="s">
        <v>5027</v>
      </c>
      <c r="C5339" s="18" t="s">
        <v>5359</v>
      </c>
      <c r="D5339" s="1"/>
      <c r="E5339" s="1"/>
      <c r="F5339" s="1" t="str">
        <f>IFERROR(__xludf.DUMMYFUNCTION("GOOGLETRANSLATE(B5339, ""en"", ""fa"")
"),"املاک و مستغلات برای حرفه ای ها")</f>
        <v>املاک و مستغلات برای حرفه ای ها</v>
      </c>
      <c r="G5339" s="1" t="str">
        <f>IFERROR(__xludf.DUMMYFUNCTION("GOOGLETRANSLATE(C5339, ""en"", ""fa"")
"),"چگونه متخصصان املاک و مستغلات می توانند صحت و قابلیت اطمینان ارزیابی املاک انجام شده توسط ارزیابان را ارزیابی کنند؟")</f>
        <v>چگونه متخصصان املاک و مستغلات می توانند صحت و قابلیت اطمینان ارزیابی املاک انجام شده توسط ارزیابان را ارزیابی کنند؟</v>
      </c>
      <c r="H5339" s="1"/>
      <c r="I5339" s="1"/>
      <c r="J5339" s="1"/>
      <c r="K5339" s="1"/>
      <c r="L5339" s="1"/>
      <c r="M5339" s="1"/>
      <c r="N5339" s="1"/>
      <c r="O5339" s="1"/>
      <c r="P5339" s="1"/>
      <c r="Q5339" s="1"/>
      <c r="R5339" s="1"/>
      <c r="S5339" s="1"/>
      <c r="T5339" s="1"/>
      <c r="U5339" s="1"/>
      <c r="V5339" s="1"/>
      <c r="W5339" s="1"/>
      <c r="X5339" s="1"/>
      <c r="Y5339" s="1"/>
      <c r="Z5339" s="1"/>
      <c r="AA5339" s="1"/>
      <c r="AB5339" s="1"/>
    </row>
    <row r="5340" ht="50.25" customHeight="1">
      <c r="A5340" s="12">
        <v>5336.0</v>
      </c>
      <c r="B5340" s="13" t="s">
        <v>5027</v>
      </c>
      <c r="C5340" s="18" t="s">
        <v>5360</v>
      </c>
      <c r="D5340" s="1"/>
      <c r="E5340" s="1"/>
      <c r="F5340" s="1" t="str">
        <f>IFERROR(__xludf.DUMMYFUNCTION("GOOGLETRANSLATE(B5340, ""en"", ""fa"")
"),"املاک و مستغلات برای حرفه ای ها")</f>
        <v>املاک و مستغلات برای حرفه ای ها</v>
      </c>
      <c r="G5340" s="1" t="str">
        <f>IFERROR(__xludf.DUMMYFUNCTION("GOOGLETRANSLATE(C5340, ""en"", ""fa"")
"),"متخصصان املاک و مستغلات چه استراتژی هایی می توانند برای جمع آوری و تجزیه و تحلیل داده های بازار مربوطه برای انجام ارزیابی املاک به کار گیرند؟")</f>
        <v>متخصصان املاک و مستغلات چه استراتژی هایی می توانند برای جمع آوری و تجزیه و تحلیل داده های بازار مربوطه برای انجام ارزیابی املاک به کار گیرند؟</v>
      </c>
      <c r="H5340" s="1"/>
      <c r="I5340" s="1"/>
      <c r="J5340" s="1"/>
      <c r="K5340" s="1"/>
      <c r="L5340" s="1"/>
      <c r="M5340" s="1"/>
      <c r="N5340" s="1"/>
      <c r="O5340" s="1"/>
      <c r="P5340" s="1"/>
      <c r="Q5340" s="1"/>
      <c r="R5340" s="1"/>
      <c r="S5340" s="1"/>
      <c r="T5340" s="1"/>
      <c r="U5340" s="1"/>
      <c r="V5340" s="1"/>
      <c r="W5340" s="1"/>
      <c r="X5340" s="1"/>
      <c r="Y5340" s="1"/>
      <c r="Z5340" s="1"/>
      <c r="AA5340" s="1"/>
      <c r="AB5340" s="1"/>
    </row>
    <row r="5341" ht="50.25" customHeight="1">
      <c r="A5341" s="12">
        <v>5337.0</v>
      </c>
      <c r="B5341" s="13" t="s">
        <v>5027</v>
      </c>
      <c r="C5341" s="18" t="s">
        <v>5361</v>
      </c>
      <c r="D5341" s="1"/>
      <c r="E5341" s="1"/>
      <c r="F5341" s="1" t="str">
        <f>IFERROR(__xludf.DUMMYFUNCTION("GOOGLETRANSLATE(B5341, ""en"", ""fa"")
"),"املاک و مستغلات برای حرفه ای ها")</f>
        <v>املاک و مستغلات برای حرفه ای ها</v>
      </c>
      <c r="G5341" s="1" t="str">
        <f>IFERROR(__xludf.DUMMYFUNCTION("GOOGLETRANSLATE(C5341, ""en"", ""fa"")
"),"متخصصان املاک و مستغلات چگونه می توانند تأثیر عوامل اقتصادی مانند نرخ بهره یا روند اشتغال را بر ارزیابی املاک ارزیابی کنند؟")</f>
        <v>متخصصان املاک و مستغلات چگونه می توانند تأثیر عوامل اقتصادی مانند نرخ بهره یا روند اشتغال را بر ارزیابی املاک ارزیابی کنند؟</v>
      </c>
      <c r="H5341" s="1"/>
      <c r="I5341" s="1"/>
      <c r="J5341" s="1"/>
      <c r="K5341" s="1"/>
      <c r="L5341" s="1"/>
      <c r="M5341" s="1"/>
      <c r="N5341" s="1"/>
      <c r="O5341" s="1"/>
      <c r="P5341" s="1"/>
      <c r="Q5341" s="1"/>
      <c r="R5341" s="1"/>
      <c r="S5341" s="1"/>
      <c r="T5341" s="1"/>
      <c r="U5341" s="1"/>
      <c r="V5341" s="1"/>
      <c r="W5341" s="1"/>
      <c r="X5341" s="1"/>
      <c r="Y5341" s="1"/>
      <c r="Z5341" s="1"/>
      <c r="AA5341" s="1"/>
      <c r="AB5341" s="1"/>
    </row>
    <row r="5342" ht="50.25" customHeight="1">
      <c r="A5342" s="12">
        <v>5338.0</v>
      </c>
      <c r="B5342" s="13" t="s">
        <v>5027</v>
      </c>
      <c r="C5342" s="18" t="s">
        <v>5362</v>
      </c>
      <c r="D5342" s="1"/>
      <c r="E5342" s="1"/>
      <c r="F5342" s="1" t="str">
        <f>IFERROR(__xludf.DUMMYFUNCTION("GOOGLETRANSLATE(B5342, ""en"", ""fa"")
"),"املاک و مستغلات برای حرفه ای ها")</f>
        <v>املاک و مستغلات برای حرفه ای ها</v>
      </c>
      <c r="G5342" s="1" t="str">
        <f>IFERROR(__xludf.DUMMYFUNCTION("GOOGLETRANSLATE(C5342, ""en"", ""fa"")
"),"متخصصان املاک و مستغلات از چه تکنیک هایی می توانند برای تعیین روش های ارزیابی مناسب برای انواع مختلف املاک مانند مسکونی، تجاری یا صنعتی استفاده کنند؟")</f>
        <v>متخصصان املاک و مستغلات از چه تکنیک هایی می توانند برای تعیین روش های ارزیابی مناسب برای انواع مختلف املاک مانند مسکونی، تجاری یا صنعتی استفاده کنند؟</v>
      </c>
      <c r="H5342" s="1"/>
      <c r="I5342" s="1"/>
      <c r="J5342" s="1"/>
      <c r="K5342" s="1"/>
      <c r="L5342" s="1"/>
      <c r="M5342" s="1"/>
      <c r="N5342" s="1"/>
      <c r="O5342" s="1"/>
      <c r="P5342" s="1"/>
      <c r="Q5342" s="1"/>
      <c r="R5342" s="1"/>
      <c r="S5342" s="1"/>
      <c r="T5342" s="1"/>
      <c r="U5342" s="1"/>
      <c r="V5342" s="1"/>
      <c r="W5342" s="1"/>
      <c r="X5342" s="1"/>
      <c r="Y5342" s="1"/>
      <c r="Z5342" s="1"/>
      <c r="AA5342" s="1"/>
      <c r="AB5342" s="1"/>
    </row>
    <row r="5343" ht="50.25" customHeight="1">
      <c r="A5343" s="12">
        <v>5339.0</v>
      </c>
      <c r="B5343" s="13" t="s">
        <v>5027</v>
      </c>
      <c r="C5343" s="18" t="s">
        <v>5363</v>
      </c>
      <c r="D5343" s="1"/>
      <c r="E5343" s="1"/>
      <c r="F5343" s="1" t="str">
        <f>IFERROR(__xludf.DUMMYFUNCTION("GOOGLETRANSLATE(B5343, ""en"", ""fa"")
"),"املاک و مستغلات برای حرفه ای ها")</f>
        <v>املاک و مستغلات برای حرفه ای ها</v>
      </c>
      <c r="G5343" s="1" t="str">
        <f>IFERROR(__xludf.DUMMYFUNCTION("GOOGLETRANSLATE(C5343, ""en"", ""fa"")
"),"چگونه متخصصان املاک و مستغلات می توانند خطرات و چالش های بالقوه مرتبط با ارزیابی املاک منحصر به فرد یا تخصصی، مانند ساختمان های تاریخی یا قطعات زمین با پتانسیل توسعه را ارزیابی کنند؟")</f>
        <v>چگونه متخصصان املاک و مستغلات می توانند خطرات و چالش های بالقوه مرتبط با ارزیابی املاک منحصر به فرد یا تخصصی، مانند ساختمان های تاریخی یا قطعات زمین با پتانسیل توسعه را ارزیابی کنند؟</v>
      </c>
      <c r="H5343" s="1"/>
      <c r="I5343" s="1"/>
      <c r="J5343" s="1"/>
      <c r="K5343" s="1"/>
      <c r="L5343" s="1"/>
      <c r="M5343" s="1"/>
      <c r="N5343" s="1"/>
      <c r="O5343" s="1"/>
      <c r="P5343" s="1"/>
      <c r="Q5343" s="1"/>
      <c r="R5343" s="1"/>
      <c r="S5343" s="1"/>
      <c r="T5343" s="1"/>
      <c r="U5343" s="1"/>
      <c r="V5343" s="1"/>
      <c r="W5343" s="1"/>
      <c r="X5343" s="1"/>
      <c r="Y5343" s="1"/>
      <c r="Z5343" s="1"/>
      <c r="AA5343" s="1"/>
      <c r="AB5343" s="1"/>
    </row>
    <row r="5344" ht="50.25" customHeight="1">
      <c r="A5344" s="12">
        <v>5340.0</v>
      </c>
      <c r="B5344" s="13" t="s">
        <v>5027</v>
      </c>
      <c r="C5344" s="18" t="s">
        <v>5364</v>
      </c>
      <c r="D5344" s="1"/>
      <c r="E5344" s="1"/>
      <c r="F5344" s="1" t="str">
        <f>IFERROR(__xludf.DUMMYFUNCTION("GOOGLETRANSLATE(B5344, ""en"", ""fa"")
"),"املاک و مستغلات برای حرفه ای ها")</f>
        <v>املاک و مستغلات برای حرفه ای ها</v>
      </c>
      <c r="G5344" s="1" t="str">
        <f>IFERROR(__xludf.DUMMYFUNCTION("GOOGLETRANSLATE(C5344, ""en"", ""fa"")
"),"مزایای استخدام یک ارزیاب خبره با تخصص در یک منطقه جغرافیایی خاص یا نوع ملک برای انجام ارزیابی املاک چیست؟")</f>
        <v>مزایای استخدام یک ارزیاب خبره با تخصص در یک منطقه جغرافیایی خاص یا نوع ملک برای انجام ارزیابی املاک چیست؟</v>
      </c>
      <c r="H5344" s="1"/>
      <c r="I5344" s="1"/>
      <c r="J5344" s="1"/>
      <c r="K5344" s="1"/>
      <c r="L5344" s="1"/>
      <c r="M5344" s="1"/>
      <c r="N5344" s="1"/>
      <c r="O5344" s="1"/>
      <c r="P5344" s="1"/>
      <c r="Q5344" s="1"/>
      <c r="R5344" s="1"/>
      <c r="S5344" s="1"/>
      <c r="T5344" s="1"/>
      <c r="U5344" s="1"/>
      <c r="V5344" s="1"/>
      <c r="W5344" s="1"/>
      <c r="X5344" s="1"/>
      <c r="Y5344" s="1"/>
      <c r="Z5344" s="1"/>
      <c r="AA5344" s="1"/>
      <c r="AB5344" s="1"/>
    </row>
    <row r="5345" ht="50.25" customHeight="1">
      <c r="A5345" s="12">
        <v>5341.0</v>
      </c>
      <c r="B5345" s="13" t="s">
        <v>5027</v>
      </c>
      <c r="C5345" s="18" t="s">
        <v>5365</v>
      </c>
      <c r="D5345" s="1"/>
      <c r="E5345" s="1"/>
      <c r="F5345" s="1" t="str">
        <f>IFERROR(__xludf.DUMMYFUNCTION("GOOGLETRANSLATE(B5345, ""en"", ""fa"")
"),"املاک و مستغلات برای حرفه ای ها")</f>
        <v>املاک و مستغلات برای حرفه ای ها</v>
      </c>
      <c r="G5345" s="1" t="str">
        <f>IFERROR(__xludf.DUMMYFUNCTION("GOOGLETRANSLATE(C5345, ""en"", ""fa"")
"),"چگونه متخصصان املاک و مستغلات می توانند به طور موثر نتایج ارزیابی ملک را برای اطلاع از تصمیمات خرید یا فروش تجزیه و تحلیل و تفسیر کنند؟")</f>
        <v>چگونه متخصصان املاک و مستغلات می توانند به طور موثر نتایج ارزیابی ملک را برای اطلاع از تصمیمات خرید یا فروش تجزیه و تحلیل و تفسیر کنند؟</v>
      </c>
      <c r="H5345" s="1"/>
      <c r="I5345" s="1"/>
      <c r="J5345" s="1"/>
      <c r="K5345" s="1"/>
      <c r="L5345" s="1"/>
      <c r="M5345" s="1"/>
      <c r="N5345" s="1"/>
      <c r="O5345" s="1"/>
      <c r="P5345" s="1"/>
      <c r="Q5345" s="1"/>
      <c r="R5345" s="1"/>
      <c r="S5345" s="1"/>
      <c r="T5345" s="1"/>
      <c r="U5345" s="1"/>
      <c r="V5345" s="1"/>
      <c r="W5345" s="1"/>
      <c r="X5345" s="1"/>
      <c r="Y5345" s="1"/>
      <c r="Z5345" s="1"/>
      <c r="AA5345" s="1"/>
      <c r="AB5345" s="1"/>
    </row>
    <row r="5346" ht="50.25" customHeight="1">
      <c r="A5346" s="12">
        <v>5342.0</v>
      </c>
      <c r="B5346" s="13" t="s">
        <v>5027</v>
      </c>
      <c r="C5346" s="18" t="s">
        <v>5366</v>
      </c>
      <c r="D5346" s="1"/>
      <c r="E5346" s="1"/>
      <c r="F5346" s="1" t="str">
        <f>IFERROR(__xludf.DUMMYFUNCTION("GOOGLETRANSLATE(B5346, ""en"", ""fa"")
"),"املاک و مستغلات برای حرفه ای ها")</f>
        <v>املاک و مستغلات برای حرفه ای ها</v>
      </c>
      <c r="G5346" s="1" t="str">
        <f>IFERROR(__xludf.DUMMYFUNCTION("GOOGLETRANSLATE(C5346, ""en"", ""fa"")
"),"متخصصان املاک و مستغلات در شرایطی که ممکن است ارزش گذاری با نتیجه مطلوب مطابقت نداشته باشد، چه استراتژی هایی می توانند برای مذاکره با ارزیاب ها به کار گیرند؟")</f>
        <v>متخصصان املاک و مستغلات در شرایطی که ممکن است ارزش گذاری با نتیجه مطلوب مطابقت نداشته باشد، چه استراتژی هایی می توانند برای مذاکره با ارزیاب ها به کار گیرند؟</v>
      </c>
      <c r="H5346" s="1"/>
      <c r="I5346" s="1"/>
      <c r="J5346" s="1"/>
      <c r="K5346" s="1"/>
      <c r="L5346" s="1"/>
      <c r="M5346" s="1"/>
      <c r="N5346" s="1"/>
      <c r="O5346" s="1"/>
      <c r="P5346" s="1"/>
      <c r="Q5346" s="1"/>
      <c r="R5346" s="1"/>
      <c r="S5346" s="1"/>
      <c r="T5346" s="1"/>
      <c r="U5346" s="1"/>
      <c r="V5346" s="1"/>
      <c r="W5346" s="1"/>
      <c r="X5346" s="1"/>
      <c r="Y5346" s="1"/>
      <c r="Z5346" s="1"/>
      <c r="AA5346" s="1"/>
      <c r="AB5346" s="1"/>
    </row>
    <row r="5347" ht="50.25" customHeight="1">
      <c r="A5347" s="12">
        <v>5343.0</v>
      </c>
      <c r="B5347" s="13" t="s">
        <v>5027</v>
      </c>
      <c r="C5347" s="18" t="s">
        <v>5367</v>
      </c>
      <c r="D5347" s="1"/>
      <c r="E5347" s="1"/>
      <c r="F5347" s="1" t="str">
        <f>IFERROR(__xludf.DUMMYFUNCTION("GOOGLETRANSLATE(B5347, ""en"", ""fa"")
"),"املاک و مستغلات برای حرفه ای ها")</f>
        <v>املاک و مستغلات برای حرفه ای ها</v>
      </c>
      <c r="G5347" s="1" t="str">
        <f>IFERROR(__xludf.DUMMYFUNCTION("GOOGLETRANSLATE(C5347, ""en"", ""fa"")
"),"چگونه متخصصان املاک و مستغلات می توانند اعتبار و صلاحیت ارزیاب ها را برای اطمینان از ارزیابی دقیق و بی طرفانه املاک ارزیابی کنند؟")</f>
        <v>چگونه متخصصان املاک و مستغلات می توانند اعتبار و صلاحیت ارزیاب ها را برای اطمینان از ارزیابی دقیق و بی طرفانه املاک ارزیابی کنند؟</v>
      </c>
      <c r="H5347" s="1"/>
      <c r="I5347" s="1"/>
      <c r="J5347" s="1"/>
      <c r="K5347" s="1"/>
      <c r="L5347" s="1"/>
      <c r="M5347" s="1"/>
      <c r="N5347" s="1"/>
      <c r="O5347" s="1"/>
      <c r="P5347" s="1"/>
      <c r="Q5347" s="1"/>
      <c r="R5347" s="1"/>
      <c r="S5347" s="1"/>
      <c r="T5347" s="1"/>
      <c r="U5347" s="1"/>
      <c r="V5347" s="1"/>
      <c r="W5347" s="1"/>
      <c r="X5347" s="1"/>
      <c r="Y5347" s="1"/>
      <c r="Z5347" s="1"/>
      <c r="AA5347" s="1"/>
      <c r="AB5347" s="1"/>
    </row>
    <row r="5348" ht="50.25" customHeight="1">
      <c r="A5348" s="12">
        <v>5344.0</v>
      </c>
      <c r="B5348" s="13" t="s">
        <v>5027</v>
      </c>
      <c r="C5348" s="18" t="s">
        <v>5368</v>
      </c>
      <c r="D5348" s="1"/>
      <c r="E5348" s="1"/>
      <c r="F5348" s="1" t="str">
        <f>IFERROR(__xludf.DUMMYFUNCTION("GOOGLETRANSLATE(B5348, ""en"", ""fa"")
"),"املاک و مستغلات برای حرفه ای ها")</f>
        <v>املاک و مستغلات برای حرفه ای ها</v>
      </c>
      <c r="G5348" s="1" t="str">
        <f>IFERROR(__xludf.DUMMYFUNCTION("GOOGLETRANSLATE(C5348, ""en"", ""fa"")
"),"متخصصان املاک و مستغلات از چه تکنیک هایی می توانند برای انجام بررسی های لازم در مورد ارزیابی املاک که توسط فروشندگان یا نمایندگان لیست به دست می آید استفاده کنند؟")</f>
        <v>متخصصان املاک و مستغلات از چه تکنیک هایی می توانند برای انجام بررسی های لازم در مورد ارزیابی املاک که توسط فروشندگان یا نمایندگان لیست به دست می آید استفاده کنند؟</v>
      </c>
      <c r="H5348" s="1"/>
      <c r="I5348" s="1"/>
      <c r="J5348" s="1"/>
      <c r="K5348" s="1"/>
      <c r="L5348" s="1"/>
      <c r="M5348" s="1"/>
      <c r="N5348" s="1"/>
      <c r="O5348" s="1"/>
      <c r="P5348" s="1"/>
      <c r="Q5348" s="1"/>
      <c r="R5348" s="1"/>
      <c r="S5348" s="1"/>
      <c r="T5348" s="1"/>
      <c r="U5348" s="1"/>
      <c r="V5348" s="1"/>
      <c r="W5348" s="1"/>
      <c r="X5348" s="1"/>
      <c r="Y5348" s="1"/>
      <c r="Z5348" s="1"/>
      <c r="AA5348" s="1"/>
      <c r="AB5348" s="1"/>
    </row>
    <row r="5349" ht="50.25" customHeight="1">
      <c r="A5349" s="12">
        <v>5345.0</v>
      </c>
      <c r="B5349" s="13" t="s">
        <v>5027</v>
      </c>
      <c r="C5349" s="18" t="s">
        <v>5369</v>
      </c>
      <c r="D5349" s="1"/>
      <c r="E5349" s="1"/>
      <c r="F5349" s="1" t="str">
        <f>IFERROR(__xludf.DUMMYFUNCTION("GOOGLETRANSLATE(B5349, ""en"", ""fa"")
"),"املاک و مستغلات برای حرفه ای ها")</f>
        <v>املاک و مستغلات برای حرفه ای ها</v>
      </c>
      <c r="G5349" s="1" t="str">
        <f>IFERROR(__xludf.DUMMYFUNCTION("GOOGLETRANSLATE(C5349, ""en"", ""fa"")
"),"چگونه متخصصان املاک و مستغلات می توانند تاثیر شرایط و روند بازار محلی را بر ارزش گذاری املاک ارزیابی کنند؟")</f>
        <v>چگونه متخصصان املاک و مستغلات می توانند تاثیر شرایط و روند بازار محلی را بر ارزش گذاری املاک ارزیابی کنند؟</v>
      </c>
      <c r="H5349" s="1"/>
      <c r="I5349" s="1"/>
      <c r="J5349" s="1"/>
      <c r="K5349" s="1"/>
      <c r="L5349" s="1"/>
      <c r="M5349" s="1"/>
      <c r="N5349" s="1"/>
      <c r="O5349" s="1"/>
      <c r="P5349" s="1"/>
      <c r="Q5349" s="1"/>
      <c r="R5349" s="1"/>
      <c r="S5349" s="1"/>
      <c r="T5349" s="1"/>
      <c r="U5349" s="1"/>
      <c r="V5349" s="1"/>
      <c r="W5349" s="1"/>
      <c r="X5349" s="1"/>
      <c r="Y5349" s="1"/>
      <c r="Z5349" s="1"/>
      <c r="AA5349" s="1"/>
      <c r="AB5349" s="1"/>
    </row>
    <row r="5350" ht="50.25" customHeight="1">
      <c r="A5350" s="12">
        <v>5346.0</v>
      </c>
      <c r="B5350" s="13" t="s">
        <v>5027</v>
      </c>
      <c r="C5350" s="18" t="s">
        <v>5370</v>
      </c>
      <c r="D5350" s="1"/>
      <c r="E5350" s="1"/>
      <c r="F5350" s="1" t="str">
        <f>IFERROR(__xludf.DUMMYFUNCTION("GOOGLETRANSLATE(B5350, ""en"", ""fa"")
"),"املاک و مستغلات برای حرفه ای ها")</f>
        <v>املاک و مستغلات برای حرفه ای ها</v>
      </c>
      <c r="G5350" s="1" t="str">
        <f>IFERROR(__xludf.DUMMYFUNCTION("GOOGLETRANSLATE(C5350, ""en"", ""fa"")
"),"ملاحظات کلیدی برای انجام بازرسی اموال و جمع آوری اطلاعات مربوطه در طول فرآیند ارزیابی چیست؟")</f>
        <v>ملاحظات کلیدی برای انجام بازرسی اموال و جمع آوری اطلاعات مربوطه در طول فرآیند ارزیابی چیست؟</v>
      </c>
      <c r="H5350" s="1"/>
      <c r="I5350" s="1"/>
      <c r="J5350" s="1"/>
      <c r="K5350" s="1"/>
      <c r="L5350" s="1"/>
      <c r="M5350" s="1"/>
      <c r="N5350" s="1"/>
      <c r="O5350" s="1"/>
      <c r="P5350" s="1"/>
      <c r="Q5350" s="1"/>
      <c r="R5350" s="1"/>
      <c r="S5350" s="1"/>
      <c r="T5350" s="1"/>
      <c r="U5350" s="1"/>
      <c r="V5350" s="1"/>
      <c r="W5350" s="1"/>
      <c r="X5350" s="1"/>
      <c r="Y5350" s="1"/>
      <c r="Z5350" s="1"/>
      <c r="AA5350" s="1"/>
      <c r="AB5350" s="1"/>
    </row>
    <row r="5351" ht="50.25" customHeight="1">
      <c r="A5351" s="12">
        <v>5347.0</v>
      </c>
      <c r="B5351" s="13" t="s">
        <v>5027</v>
      </c>
      <c r="C5351" s="18" t="s">
        <v>5371</v>
      </c>
      <c r="D5351" s="1"/>
      <c r="E5351" s="1"/>
      <c r="F5351" s="1" t="str">
        <f>IFERROR(__xludf.DUMMYFUNCTION("GOOGLETRANSLATE(B5351, ""en"", ""fa"")
"),"املاک و مستغلات برای حرفه ای ها")</f>
        <v>املاک و مستغلات برای حرفه ای ها</v>
      </c>
      <c r="G5351" s="1" t="str">
        <f>IFERROR(__xludf.DUMMYFUNCTION("GOOGLETRANSLATE(C5351, ""en"", ""fa"")
"),"چگونه متخصصان املاک و مستغلات می توانند خطرات و بدهی های بالقوه مرتبط با تکیه بر ارزیابی های قدیمی یا نادرست املاک را ارزیابی کنند؟")</f>
        <v>چگونه متخصصان املاک و مستغلات می توانند خطرات و بدهی های بالقوه مرتبط با تکیه بر ارزیابی های قدیمی یا نادرست املاک را ارزیابی کنند؟</v>
      </c>
      <c r="H5351" s="1"/>
      <c r="I5351" s="1"/>
      <c r="J5351" s="1"/>
      <c r="K5351" s="1"/>
      <c r="L5351" s="1"/>
      <c r="M5351" s="1"/>
      <c r="N5351" s="1"/>
      <c r="O5351" s="1"/>
      <c r="P5351" s="1"/>
      <c r="Q5351" s="1"/>
      <c r="R5351" s="1"/>
      <c r="S5351" s="1"/>
      <c r="T5351" s="1"/>
      <c r="U5351" s="1"/>
      <c r="V5351" s="1"/>
      <c r="W5351" s="1"/>
      <c r="X5351" s="1"/>
      <c r="Y5351" s="1"/>
      <c r="Z5351" s="1"/>
      <c r="AA5351" s="1"/>
      <c r="AB5351" s="1"/>
    </row>
    <row r="5352" ht="50.25" customHeight="1">
      <c r="A5352" s="12">
        <v>5348.0</v>
      </c>
      <c r="B5352" s="13" t="s">
        <v>5027</v>
      </c>
      <c r="C5352" s="18" t="s">
        <v>5372</v>
      </c>
      <c r="D5352" s="1"/>
      <c r="E5352" s="1"/>
      <c r="F5352" s="1" t="str">
        <f>IFERROR(__xludf.DUMMYFUNCTION("GOOGLETRANSLATE(B5352, ""en"", ""fa"")
"),"املاک و مستغلات برای حرفه ای ها")</f>
        <v>املاک و مستغلات برای حرفه ای ها</v>
      </c>
      <c r="G5352" s="1" t="str">
        <f>IFERROR(__xludf.DUMMYFUNCTION("GOOGLETRANSLATE(C5352, ""en"", ""fa"")
"),"متخصصان املاک و مستغلات چه استراتژی هایی را می توانند برای به چالش کشیدن یا درخواست تجدید نظر ارزیابی کنند که معتقدند ارزش بازار یک ملک را به درستی منعکس نمی کند؟")</f>
        <v>متخصصان املاک و مستغلات چه استراتژی هایی را می توانند برای به چالش کشیدن یا درخواست تجدید نظر ارزیابی کنند که معتقدند ارزش بازار یک ملک را به درستی منعکس نمی کند؟</v>
      </c>
      <c r="H5352" s="1"/>
      <c r="I5352" s="1"/>
      <c r="J5352" s="1"/>
      <c r="K5352" s="1"/>
      <c r="L5352" s="1"/>
      <c r="M5352" s="1"/>
      <c r="N5352" s="1"/>
      <c r="O5352" s="1"/>
      <c r="P5352" s="1"/>
      <c r="Q5352" s="1"/>
      <c r="R5352" s="1"/>
      <c r="S5352" s="1"/>
      <c r="T5352" s="1"/>
      <c r="U5352" s="1"/>
      <c r="V5352" s="1"/>
      <c r="W5352" s="1"/>
      <c r="X5352" s="1"/>
      <c r="Y5352" s="1"/>
      <c r="Z5352" s="1"/>
      <c r="AA5352" s="1"/>
      <c r="AB5352" s="1"/>
    </row>
    <row r="5353" ht="50.25" customHeight="1">
      <c r="A5353" s="12">
        <v>5349.0</v>
      </c>
      <c r="B5353" s="13" t="s">
        <v>5027</v>
      </c>
      <c r="C5353" s="18" t="s">
        <v>5373</v>
      </c>
      <c r="D5353" s="1"/>
      <c r="E5353" s="1"/>
      <c r="F5353" s="1" t="str">
        <f>IFERROR(__xludf.DUMMYFUNCTION("GOOGLETRANSLATE(B5353, ""en"", ""fa"")
"),"املاک و مستغلات برای حرفه ای ها")</f>
        <v>املاک و مستغلات برای حرفه ای ها</v>
      </c>
      <c r="G5353" s="1" t="str">
        <f>IFERROR(__xludf.DUMMYFUNCTION("GOOGLETRANSLATE(C5353, ""en"", ""fa"")
"),"چگونه متخصصان املاک و مستغلات می توانند به طور موثر با ارزیاب ها ارتباط برقرار کنند تا اطلاعات مربوطه را ارائه دهند و از فرآیند ارزیابی حمایت کنند؟")</f>
        <v>چگونه متخصصان املاک و مستغلات می توانند به طور موثر با ارزیاب ها ارتباط برقرار کنند تا اطلاعات مربوطه را ارائه دهند و از فرآیند ارزیابی حمایت کنند؟</v>
      </c>
      <c r="H5353" s="1"/>
      <c r="I5353" s="1"/>
      <c r="J5353" s="1"/>
      <c r="K5353" s="1"/>
      <c r="L5353" s="1"/>
      <c r="M5353" s="1"/>
      <c r="N5353" s="1"/>
      <c r="O5353" s="1"/>
      <c r="P5353" s="1"/>
      <c r="Q5353" s="1"/>
      <c r="R5353" s="1"/>
      <c r="S5353" s="1"/>
      <c r="T5353" s="1"/>
      <c r="U5353" s="1"/>
      <c r="V5353" s="1"/>
      <c r="W5353" s="1"/>
      <c r="X5353" s="1"/>
      <c r="Y5353" s="1"/>
      <c r="Z5353" s="1"/>
      <c r="AA5353" s="1"/>
      <c r="AB5353" s="1"/>
    </row>
    <row r="5354" ht="50.25" customHeight="1">
      <c r="A5354" s="12">
        <v>5350.0</v>
      </c>
      <c r="B5354" s="13" t="s">
        <v>5027</v>
      </c>
      <c r="C5354" s="18" t="s">
        <v>5374</v>
      </c>
      <c r="D5354" s="1"/>
      <c r="E5354" s="1"/>
      <c r="F5354" s="1" t="str">
        <f>IFERROR(__xludf.DUMMYFUNCTION("GOOGLETRANSLATE(B5354, ""en"", ""fa"")
"),"املاک و مستغلات برای حرفه ای ها")</f>
        <v>املاک و مستغلات برای حرفه ای ها</v>
      </c>
      <c r="G5354" s="1" t="str">
        <f>IFERROR(__xludf.DUMMYFUNCTION("GOOGLETRANSLATE(C5354, ""en"", ""fa"")
"),"متخصصان املاک و مستغلات از چه تکنیک هایی می توانند برای تجزیه و تحلیل و مقایسه داده های فروش قابل مقایسه اخیر برای تعیین ارزش ملک استفاده کنند؟")</f>
        <v>متخصصان املاک و مستغلات از چه تکنیک هایی می توانند برای تجزیه و تحلیل و مقایسه داده های فروش قابل مقایسه اخیر برای تعیین ارزش ملک استفاده کنند؟</v>
      </c>
      <c r="H5354" s="1"/>
      <c r="I5354" s="1"/>
      <c r="J5354" s="1"/>
      <c r="K5354" s="1"/>
      <c r="L5354" s="1"/>
      <c r="M5354" s="1"/>
      <c r="N5354" s="1"/>
      <c r="O5354" s="1"/>
      <c r="P5354" s="1"/>
      <c r="Q5354" s="1"/>
      <c r="R5354" s="1"/>
      <c r="S5354" s="1"/>
      <c r="T5354" s="1"/>
      <c r="U5354" s="1"/>
      <c r="V5354" s="1"/>
      <c r="W5354" s="1"/>
      <c r="X5354" s="1"/>
      <c r="Y5354" s="1"/>
      <c r="Z5354" s="1"/>
      <c r="AA5354" s="1"/>
      <c r="AB5354" s="1"/>
    </row>
    <row r="5355" ht="50.25" customHeight="1">
      <c r="A5355" s="12">
        <v>5351.0</v>
      </c>
      <c r="B5355" s="13" t="s">
        <v>5027</v>
      </c>
      <c r="C5355" s="18" t="s">
        <v>5375</v>
      </c>
      <c r="D5355" s="1"/>
      <c r="E5355" s="1"/>
      <c r="F5355" s="1" t="str">
        <f>IFERROR(__xludf.DUMMYFUNCTION("GOOGLETRANSLATE(B5355, ""en"", ""fa"")
"),"املاک و مستغلات برای حرفه ای ها")</f>
        <v>املاک و مستغلات برای حرفه ای ها</v>
      </c>
      <c r="G5355" s="1" t="str">
        <f>IFERROR(__xludf.DUMMYFUNCTION("GOOGLETRANSLATE(C5355, ""en"", ""fa"")
"),"چگونه متخصصان املاک و مستغلات می توانند تأثیر بالقوه عوامل محیطی، محدودیت های منطقه بندی یا حق ارتفاق بر ارزش گذاری املاک را ارزیابی کنند؟")</f>
        <v>چگونه متخصصان املاک و مستغلات می توانند تأثیر بالقوه عوامل محیطی، محدودیت های منطقه بندی یا حق ارتفاق بر ارزش گذاری املاک را ارزیابی کنند؟</v>
      </c>
      <c r="H5355" s="1"/>
      <c r="I5355" s="1"/>
      <c r="J5355" s="1"/>
      <c r="K5355" s="1"/>
      <c r="L5355" s="1"/>
      <c r="M5355" s="1"/>
      <c r="N5355" s="1"/>
      <c r="O5355" s="1"/>
      <c r="P5355" s="1"/>
      <c r="Q5355" s="1"/>
      <c r="R5355" s="1"/>
      <c r="S5355" s="1"/>
      <c r="T5355" s="1"/>
      <c r="U5355" s="1"/>
      <c r="V5355" s="1"/>
      <c r="W5355" s="1"/>
      <c r="X5355" s="1"/>
      <c r="Y5355" s="1"/>
      <c r="Z5355" s="1"/>
      <c r="AA5355" s="1"/>
      <c r="AB5355" s="1"/>
    </row>
    <row r="5356" ht="50.25" customHeight="1">
      <c r="A5356" s="12">
        <v>5352.0</v>
      </c>
      <c r="B5356" s="13" t="s">
        <v>5027</v>
      </c>
      <c r="C5356" s="18" t="s">
        <v>5376</v>
      </c>
      <c r="D5356" s="1"/>
      <c r="E5356" s="1"/>
      <c r="F5356" s="1" t="str">
        <f>IFERROR(__xludf.DUMMYFUNCTION("GOOGLETRANSLATE(B5356, ""en"", ""fa"")
"),"املاک و مستغلات برای حرفه ای ها")</f>
        <v>املاک و مستغلات برای حرفه ای ها</v>
      </c>
      <c r="G5356" s="1" t="str">
        <f>IFERROR(__xludf.DUMMYFUNCTION("GOOGLETRANSLATE(C5356, ""en"", ""fa"")
"),"مزایای مشارکت یک شرکت مدیریت ارزیابی شخص ثالث برای نظارت و هماهنگی فرآیند ارزیابی معاملات املاک چیست؟")</f>
        <v>مزایای مشارکت یک شرکت مدیریت ارزیابی شخص ثالث برای نظارت و هماهنگی فرآیند ارزیابی معاملات املاک چیست؟</v>
      </c>
      <c r="H5356" s="1"/>
      <c r="I5356" s="1"/>
      <c r="J5356" s="1"/>
      <c r="K5356" s="1"/>
      <c r="L5356" s="1"/>
      <c r="M5356" s="1"/>
      <c r="N5356" s="1"/>
      <c r="O5356" s="1"/>
      <c r="P5356" s="1"/>
      <c r="Q5356" s="1"/>
      <c r="R5356" s="1"/>
      <c r="S5356" s="1"/>
      <c r="T5356" s="1"/>
      <c r="U5356" s="1"/>
      <c r="V5356" s="1"/>
      <c r="W5356" s="1"/>
      <c r="X5356" s="1"/>
      <c r="Y5356" s="1"/>
      <c r="Z5356" s="1"/>
      <c r="AA5356" s="1"/>
      <c r="AB5356" s="1"/>
    </row>
    <row r="5357" ht="50.25" customHeight="1">
      <c r="A5357" s="12">
        <v>5353.0</v>
      </c>
      <c r="B5357" s="13" t="s">
        <v>5027</v>
      </c>
      <c r="C5357" s="18" t="s">
        <v>5377</v>
      </c>
      <c r="D5357" s="1"/>
      <c r="E5357" s="1"/>
      <c r="F5357" s="1" t="str">
        <f>IFERROR(__xludf.DUMMYFUNCTION("GOOGLETRANSLATE(B5357, ""en"", ""fa"")
"),"املاک و مستغلات برای حرفه ای ها")</f>
        <v>املاک و مستغلات برای حرفه ای ها</v>
      </c>
      <c r="G5357" s="1" t="str">
        <f>IFERROR(__xludf.DUMMYFUNCTION("GOOGLETRANSLATE(C5357, ""en"", ""fa"")
"),"چگونه متخصصان املاک و مستغلات می توانند پتانسیل انجام ارزیابی های مبتنی بر درآمد را برای املاک تجاری، مانند استفاده از رویکرد نرخ سرمایه، ارزیابی کنند؟")</f>
        <v>چگونه متخصصان املاک و مستغلات می توانند پتانسیل انجام ارزیابی های مبتنی بر درآمد را برای املاک تجاری، مانند استفاده از رویکرد نرخ سرمایه، ارزیابی کنند؟</v>
      </c>
      <c r="H5357" s="1"/>
      <c r="I5357" s="1"/>
      <c r="J5357" s="1"/>
      <c r="K5357" s="1"/>
      <c r="L5357" s="1"/>
      <c r="M5357" s="1"/>
      <c r="N5357" s="1"/>
      <c r="O5357" s="1"/>
      <c r="P5357" s="1"/>
      <c r="Q5357" s="1"/>
      <c r="R5357" s="1"/>
      <c r="S5357" s="1"/>
      <c r="T5357" s="1"/>
      <c r="U5357" s="1"/>
      <c r="V5357" s="1"/>
      <c r="W5357" s="1"/>
      <c r="X5357" s="1"/>
      <c r="Y5357" s="1"/>
      <c r="Z5357" s="1"/>
      <c r="AA5357" s="1"/>
      <c r="AB5357" s="1"/>
    </row>
    <row r="5358" ht="50.25" customHeight="1">
      <c r="A5358" s="12">
        <v>5354.0</v>
      </c>
      <c r="B5358" s="13" t="s">
        <v>5027</v>
      </c>
      <c r="C5358" s="18" t="s">
        <v>5378</v>
      </c>
      <c r="D5358" s="1"/>
      <c r="E5358" s="1"/>
      <c r="F5358" s="1" t="str">
        <f>IFERROR(__xludf.DUMMYFUNCTION("GOOGLETRANSLATE(B5358, ""en"", ""fa"")
"),"املاک و مستغلات برای حرفه ای ها")</f>
        <v>املاک و مستغلات برای حرفه ای ها</v>
      </c>
      <c r="G5358" s="1" t="str">
        <f>IFERROR(__xludf.DUMMYFUNCTION("GOOGLETRANSLATE(C5358, ""en"", ""fa"")
"),"متخصصان املاک و مستغلات چه استراتژی هایی را می توانند برای جمع آوری و تجزیه و تحلیل داده های تاریخی بازار برای تعیین نرخ های ارزش گذاری ملک و پیش بینی ارزش های آتی به کار گیرند؟")</f>
        <v>متخصصان املاک و مستغلات چه استراتژی هایی را می توانند برای جمع آوری و تجزیه و تحلیل داده های تاریخی بازار برای تعیین نرخ های ارزش گذاری ملک و پیش بینی ارزش های آتی به کار گیرند؟</v>
      </c>
      <c r="H5358" s="1"/>
      <c r="I5358" s="1"/>
      <c r="J5358" s="1"/>
      <c r="K5358" s="1"/>
      <c r="L5358" s="1"/>
      <c r="M5358" s="1"/>
      <c r="N5358" s="1"/>
      <c r="O5358" s="1"/>
      <c r="P5358" s="1"/>
      <c r="Q5358" s="1"/>
      <c r="R5358" s="1"/>
      <c r="S5358" s="1"/>
      <c r="T5358" s="1"/>
      <c r="U5358" s="1"/>
      <c r="V5358" s="1"/>
      <c r="W5358" s="1"/>
      <c r="X5358" s="1"/>
      <c r="Y5358" s="1"/>
      <c r="Z5358" s="1"/>
      <c r="AA5358" s="1"/>
      <c r="AB5358" s="1"/>
    </row>
    <row r="5359" ht="50.25" customHeight="1">
      <c r="A5359" s="12">
        <v>5355.0</v>
      </c>
      <c r="B5359" s="13" t="s">
        <v>5027</v>
      </c>
      <c r="C5359" s="18" t="s">
        <v>5379</v>
      </c>
      <c r="D5359" s="1"/>
      <c r="E5359" s="1"/>
      <c r="F5359" s="1" t="str">
        <f>IFERROR(__xludf.DUMMYFUNCTION("GOOGLETRANSLATE(B5359, ""en"", ""fa"")
"),"املاک و مستغلات برای حرفه ای ها")</f>
        <v>املاک و مستغلات برای حرفه ای ها</v>
      </c>
      <c r="G5359" s="1" t="str">
        <f>IFERROR(__xludf.DUMMYFUNCTION("GOOGLETRANSLATE(C5359, ""en"", ""fa"")
"),"متخصصان املاک و مستغلات چگونه می‌توانند تأثیر بالقوه عوامل خارجی، مانند توسعه‌های زیرساختی یا پروژه‌های اقتصادی بزرگ را بر ارزیابی املاک ارزیابی کنند؟")</f>
        <v>متخصصان املاک و مستغلات چگونه می‌توانند تأثیر بالقوه عوامل خارجی، مانند توسعه‌های زیرساختی یا پروژه‌های اقتصادی بزرگ را بر ارزیابی املاک ارزیابی کنند؟</v>
      </c>
      <c r="H5359" s="1"/>
      <c r="I5359" s="1"/>
      <c r="J5359" s="1"/>
      <c r="K5359" s="1"/>
      <c r="L5359" s="1"/>
      <c r="M5359" s="1"/>
      <c r="N5359" s="1"/>
      <c r="O5359" s="1"/>
      <c r="P5359" s="1"/>
      <c r="Q5359" s="1"/>
      <c r="R5359" s="1"/>
      <c r="S5359" s="1"/>
      <c r="T5359" s="1"/>
      <c r="U5359" s="1"/>
      <c r="V5359" s="1"/>
      <c r="W5359" s="1"/>
      <c r="X5359" s="1"/>
      <c r="Y5359" s="1"/>
      <c r="Z5359" s="1"/>
      <c r="AA5359" s="1"/>
      <c r="AB5359" s="1"/>
    </row>
    <row r="5360" ht="50.25" customHeight="1">
      <c r="A5360" s="12">
        <v>5356.0</v>
      </c>
      <c r="B5360" s="13" t="s">
        <v>5027</v>
      </c>
      <c r="C5360" s="18" t="s">
        <v>5380</v>
      </c>
      <c r="D5360" s="1"/>
      <c r="E5360" s="1"/>
      <c r="F5360" s="1" t="str">
        <f>IFERROR(__xludf.DUMMYFUNCTION("GOOGLETRANSLATE(B5360, ""en"", ""fa"")
"),"املاک و مستغلات برای حرفه ای ها")</f>
        <v>املاک و مستغلات برای حرفه ای ها</v>
      </c>
      <c r="G5360" s="1" t="str">
        <f>IFERROR(__xludf.DUMMYFUNCTION("GOOGLETRANSLATE(C5360, ""en"", ""fa"")
"),"متخصصان املاک و مستغلات از چه تکنیک هایی می توانند برای تجزیه و تحلیل وضعیت و تاریخچه نگهداری یک ملک به عنوان بخشی از فرآیند ارزیابی استفاده کنند؟")</f>
        <v>متخصصان املاک و مستغلات از چه تکنیک هایی می توانند برای تجزیه و تحلیل وضعیت و تاریخچه نگهداری یک ملک به عنوان بخشی از فرآیند ارزیابی استفاده کنند؟</v>
      </c>
      <c r="H5360" s="1"/>
      <c r="I5360" s="1"/>
      <c r="J5360" s="1"/>
      <c r="K5360" s="1"/>
      <c r="L5360" s="1"/>
      <c r="M5360" s="1"/>
      <c r="N5360" s="1"/>
      <c r="O5360" s="1"/>
      <c r="P5360" s="1"/>
      <c r="Q5360" s="1"/>
      <c r="R5360" s="1"/>
      <c r="S5360" s="1"/>
      <c r="T5360" s="1"/>
      <c r="U5360" s="1"/>
      <c r="V5360" s="1"/>
      <c r="W5360" s="1"/>
      <c r="X5360" s="1"/>
      <c r="Y5360" s="1"/>
      <c r="Z5360" s="1"/>
      <c r="AA5360" s="1"/>
      <c r="AB5360" s="1"/>
    </row>
    <row r="5361" ht="50.25" customHeight="1">
      <c r="A5361" s="12">
        <v>5357.0</v>
      </c>
      <c r="B5361" s="13" t="s">
        <v>5027</v>
      </c>
      <c r="C5361" s="18" t="s">
        <v>5381</v>
      </c>
      <c r="D5361" s="1"/>
      <c r="E5361" s="1"/>
      <c r="F5361" s="1" t="str">
        <f>IFERROR(__xludf.DUMMYFUNCTION("GOOGLETRANSLATE(B5361, ""en"", ""fa"")
"),"املاک و مستغلات برای حرفه ای ها")</f>
        <v>املاک و مستغلات برای حرفه ای ها</v>
      </c>
      <c r="G5361" s="1" t="str">
        <f>IFERROR(__xludf.DUMMYFUNCTION("GOOGLETRANSLATE(C5361, ""en"", ""fa"")
"),"چگونه متخصصان املاک و مستغلات می توانند خطرات و محدودیت های بالقوه مدل های ارزیابی خودکار (AVM) را برای ارزیابی املاک ارزیابی کنند؟")</f>
        <v>چگونه متخصصان املاک و مستغلات می توانند خطرات و محدودیت های بالقوه مدل های ارزیابی خودکار (AVM) را برای ارزیابی املاک ارزیابی کنند؟</v>
      </c>
      <c r="H5361" s="1"/>
      <c r="I5361" s="1"/>
      <c r="J5361" s="1"/>
      <c r="K5361" s="1"/>
      <c r="L5361" s="1"/>
      <c r="M5361" s="1"/>
      <c r="N5361" s="1"/>
      <c r="O5361" s="1"/>
      <c r="P5361" s="1"/>
      <c r="Q5361" s="1"/>
      <c r="R5361" s="1"/>
      <c r="S5361" s="1"/>
      <c r="T5361" s="1"/>
      <c r="U5361" s="1"/>
      <c r="V5361" s="1"/>
      <c r="W5361" s="1"/>
      <c r="X5361" s="1"/>
      <c r="Y5361" s="1"/>
      <c r="Z5361" s="1"/>
      <c r="AA5361" s="1"/>
      <c r="AB5361" s="1"/>
    </row>
    <row r="5362" ht="50.25" customHeight="1">
      <c r="A5362" s="12">
        <v>5358.0</v>
      </c>
      <c r="B5362" s="13" t="s">
        <v>5027</v>
      </c>
      <c r="C5362" s="18" t="s">
        <v>5382</v>
      </c>
      <c r="D5362" s="1"/>
      <c r="E5362" s="1"/>
      <c r="F5362" s="1" t="str">
        <f>IFERROR(__xludf.DUMMYFUNCTION("GOOGLETRANSLATE(B5362, ""en"", ""fa"")
"),"املاک و مستغلات برای حرفه ای ها")</f>
        <v>املاک و مستغلات برای حرفه ای ها</v>
      </c>
      <c r="G5362" s="1" t="str">
        <f>IFERROR(__xludf.DUMMYFUNCTION("GOOGLETRANSLATE(C5362, ""en"", ""fa"")
"),"ملاحظات کلیدی برای انجام جستجوی عنوان دارایی و ارزیابی وضعیت حقوقی و بارهای یک ملک در طی بررسی لازم چیست؟")</f>
        <v>ملاحظات کلیدی برای انجام جستجوی عنوان دارایی و ارزیابی وضعیت حقوقی و بارهای یک ملک در طی بررسی لازم چیست؟</v>
      </c>
      <c r="H5362" s="1"/>
      <c r="I5362" s="1"/>
      <c r="J5362" s="1"/>
      <c r="K5362" s="1"/>
      <c r="L5362" s="1"/>
      <c r="M5362" s="1"/>
      <c r="N5362" s="1"/>
      <c r="O5362" s="1"/>
      <c r="P5362" s="1"/>
      <c r="Q5362" s="1"/>
      <c r="R5362" s="1"/>
      <c r="S5362" s="1"/>
      <c r="T5362" s="1"/>
      <c r="U5362" s="1"/>
      <c r="V5362" s="1"/>
      <c r="W5362" s="1"/>
      <c r="X5362" s="1"/>
      <c r="Y5362" s="1"/>
      <c r="Z5362" s="1"/>
      <c r="AA5362" s="1"/>
      <c r="AB5362" s="1"/>
    </row>
    <row r="5363" ht="50.25" customHeight="1">
      <c r="A5363" s="12">
        <v>5359.0</v>
      </c>
      <c r="B5363" s="13" t="s">
        <v>5027</v>
      </c>
      <c r="C5363" s="18" t="s">
        <v>5383</v>
      </c>
      <c r="D5363" s="1"/>
      <c r="E5363" s="1"/>
      <c r="F5363" s="1" t="str">
        <f>IFERROR(__xludf.DUMMYFUNCTION("GOOGLETRANSLATE(B5363, ""en"", ""fa"")
"),"املاک و مستغلات برای حرفه ای ها")</f>
        <v>املاک و مستغلات برای حرفه ای ها</v>
      </c>
      <c r="G5363" s="1" t="str">
        <f>IFERROR(__xludf.DUMMYFUNCTION("GOOGLETRANSLATE(C5363, ""en"", ""fa"")
"),"چگونه متخصصان املاک و مستغلات می توانند خطرات و چالش های بالقوه مرتبط با انجام ارزیابی برای املاک واقع در مناطق پرخطر، مانند مناطق سیل یا مناطق زلزله خیز را ارزیابی کنند؟")</f>
        <v>چگونه متخصصان املاک و مستغلات می توانند خطرات و چالش های بالقوه مرتبط با انجام ارزیابی برای املاک واقع در مناطق پرخطر، مانند مناطق سیل یا مناطق زلزله خیز را ارزیابی کنند؟</v>
      </c>
      <c r="H5363" s="1"/>
      <c r="I5363" s="1"/>
      <c r="J5363" s="1"/>
      <c r="K5363" s="1"/>
      <c r="L5363" s="1"/>
      <c r="M5363" s="1"/>
      <c r="N5363" s="1"/>
      <c r="O5363" s="1"/>
      <c r="P5363" s="1"/>
      <c r="Q5363" s="1"/>
      <c r="R5363" s="1"/>
      <c r="S5363" s="1"/>
      <c r="T5363" s="1"/>
      <c r="U5363" s="1"/>
      <c r="V5363" s="1"/>
      <c r="W5363" s="1"/>
      <c r="X5363" s="1"/>
      <c r="Y5363" s="1"/>
      <c r="Z5363" s="1"/>
      <c r="AA5363" s="1"/>
      <c r="AB5363" s="1"/>
    </row>
    <row r="5364" ht="50.25" customHeight="1">
      <c r="A5364" s="12">
        <v>5360.0</v>
      </c>
      <c r="B5364" s="13" t="s">
        <v>5027</v>
      </c>
      <c r="C5364" s="18" t="s">
        <v>5384</v>
      </c>
      <c r="D5364" s="1"/>
      <c r="E5364" s="1"/>
      <c r="F5364" s="1" t="str">
        <f>IFERROR(__xludf.DUMMYFUNCTION("GOOGLETRANSLATE(B5364, ""en"", ""fa"")
"),"املاک و مستغلات برای حرفه ای ها")</f>
        <v>املاک و مستغلات برای حرفه ای ها</v>
      </c>
      <c r="G5364" s="1" t="str">
        <f>IFERROR(__xludf.DUMMYFUNCTION("GOOGLETRANSLATE(C5364, ""en"", ""fa"")
"),"متخصصان املاک و مستغلات چه استراتژی هایی می توانند برای جمع آوری و تجزیه و تحلیل داده های جمعیتی و روندهای بازار به عنوان بخشی از فرآیند ارزیابی به کار گیرند؟")</f>
        <v>متخصصان املاک و مستغلات چه استراتژی هایی می توانند برای جمع آوری و تجزیه و تحلیل داده های جمعیتی و روندهای بازار به عنوان بخشی از فرآیند ارزیابی به کار گیرند؟</v>
      </c>
      <c r="H5364" s="1"/>
      <c r="I5364" s="1"/>
      <c r="J5364" s="1"/>
      <c r="K5364" s="1"/>
      <c r="L5364" s="1"/>
      <c r="M5364" s="1"/>
      <c r="N5364" s="1"/>
      <c r="O5364" s="1"/>
      <c r="P5364" s="1"/>
      <c r="Q5364" s="1"/>
      <c r="R5364" s="1"/>
      <c r="S5364" s="1"/>
      <c r="T5364" s="1"/>
      <c r="U5364" s="1"/>
      <c r="V5364" s="1"/>
      <c r="W5364" s="1"/>
      <c r="X5364" s="1"/>
      <c r="Y5364" s="1"/>
      <c r="Z5364" s="1"/>
      <c r="AA5364" s="1"/>
      <c r="AB5364" s="1"/>
    </row>
    <row r="5365" ht="50.25" customHeight="1">
      <c r="A5365" s="12">
        <v>5361.0</v>
      </c>
      <c r="B5365" s="13" t="s">
        <v>5027</v>
      </c>
      <c r="C5365" s="18" t="s">
        <v>5385</v>
      </c>
      <c r="D5365" s="1"/>
      <c r="E5365" s="1"/>
      <c r="F5365" s="1" t="str">
        <f>IFERROR(__xludf.DUMMYFUNCTION("GOOGLETRANSLATE(B5365, ""en"", ""fa"")
"),"املاک و مستغلات برای حرفه ای ها")</f>
        <v>املاک و مستغلات برای حرفه ای ها</v>
      </c>
      <c r="G5365" s="1" t="str">
        <f>IFERROR(__xludf.DUMMYFUNCTION("GOOGLETRANSLATE(C5365, ""en"", ""fa"")
"),"چگونه متخصصان املاک و مستغلات می توانند تأثیر بالقوه بهبود یا نوسازی ملک را بر ارزش کلی یک ملک ارزیابی کنند؟")</f>
        <v>چگونه متخصصان املاک و مستغلات می توانند تأثیر بالقوه بهبود یا نوسازی ملک را بر ارزش کلی یک ملک ارزیابی کنند؟</v>
      </c>
      <c r="H5365" s="1"/>
      <c r="I5365" s="1"/>
      <c r="J5365" s="1"/>
      <c r="K5365" s="1"/>
      <c r="L5365" s="1"/>
      <c r="M5365" s="1"/>
      <c r="N5365" s="1"/>
      <c r="O5365" s="1"/>
      <c r="P5365" s="1"/>
      <c r="Q5365" s="1"/>
      <c r="R5365" s="1"/>
      <c r="S5365" s="1"/>
      <c r="T5365" s="1"/>
      <c r="U5365" s="1"/>
      <c r="V5365" s="1"/>
      <c r="W5365" s="1"/>
      <c r="X5365" s="1"/>
      <c r="Y5365" s="1"/>
      <c r="Z5365" s="1"/>
      <c r="AA5365" s="1"/>
      <c r="AB5365" s="1"/>
    </row>
    <row r="5366" ht="50.25" customHeight="1">
      <c r="A5366" s="12">
        <v>5362.0</v>
      </c>
      <c r="B5366" s="13" t="s">
        <v>5027</v>
      </c>
      <c r="C5366" s="18" t="s">
        <v>5386</v>
      </c>
      <c r="D5366" s="1"/>
      <c r="E5366" s="1"/>
      <c r="F5366" s="1" t="str">
        <f>IFERROR(__xludf.DUMMYFUNCTION("GOOGLETRANSLATE(B5366, ""en"", ""fa"")
"),"املاک و مستغلات برای حرفه ای ها")</f>
        <v>املاک و مستغلات برای حرفه ای ها</v>
      </c>
      <c r="G5366" s="1" t="str">
        <f>IFERROR(__xludf.DUMMYFUNCTION("GOOGLETRANSLATE(C5366, ""en"", ""fa"")
"),"متخصصان املاک و مستغلات از چه تکنیک هایی می توانند برای تحلیل بازار اجاره محلی و ارزیابی ظرفیت بالقوه درآمدزایی املاک سرمایه گذاری استفاده کنند؟")</f>
        <v>متخصصان املاک و مستغلات از چه تکنیک هایی می توانند برای تحلیل بازار اجاره محلی و ارزیابی ظرفیت بالقوه درآمدزایی املاک سرمایه گذاری استفاده کنند؟</v>
      </c>
      <c r="H5366" s="1"/>
      <c r="I5366" s="1"/>
      <c r="J5366" s="1"/>
      <c r="K5366" s="1"/>
      <c r="L5366" s="1"/>
      <c r="M5366" s="1"/>
      <c r="N5366" s="1"/>
      <c r="O5366" s="1"/>
      <c r="P5366" s="1"/>
      <c r="Q5366" s="1"/>
      <c r="R5366" s="1"/>
      <c r="S5366" s="1"/>
      <c r="T5366" s="1"/>
      <c r="U5366" s="1"/>
      <c r="V5366" s="1"/>
      <c r="W5366" s="1"/>
      <c r="X5366" s="1"/>
      <c r="Y5366" s="1"/>
      <c r="Z5366" s="1"/>
      <c r="AA5366" s="1"/>
      <c r="AB5366" s="1"/>
    </row>
    <row r="5367" ht="50.25" customHeight="1">
      <c r="A5367" s="12">
        <v>5363.0</v>
      </c>
      <c r="B5367" s="13" t="s">
        <v>5027</v>
      </c>
      <c r="C5367" s="18" t="s">
        <v>5387</v>
      </c>
      <c r="D5367" s="1"/>
      <c r="E5367" s="1"/>
      <c r="F5367" s="1" t="str">
        <f>IFERROR(__xludf.DUMMYFUNCTION("GOOGLETRANSLATE(B5367, ""en"", ""fa"")
"),"املاک و مستغلات برای حرفه ای ها")</f>
        <v>املاک و مستغلات برای حرفه ای ها</v>
      </c>
      <c r="G5367" s="1" t="str">
        <f>IFERROR(__xludf.DUMMYFUNCTION("GOOGLETRANSLATE(C5367, ""en"", ""fa"")
"),"چگونه متخصصان املاک و مستغلات می توانند خطرات و محدودیت های بالقوه استفاده از مدل های ارزیابی خودکار (AVMs) را برای ارزیابی املاک ارزیابی کنند؟")</f>
        <v>چگونه متخصصان املاک و مستغلات می توانند خطرات و محدودیت های بالقوه استفاده از مدل های ارزیابی خودکار (AVMs) را برای ارزیابی املاک ارزیابی کنند؟</v>
      </c>
      <c r="H5367" s="1"/>
      <c r="I5367" s="1"/>
      <c r="J5367" s="1"/>
      <c r="K5367" s="1"/>
      <c r="L5367" s="1"/>
      <c r="M5367" s="1"/>
      <c r="N5367" s="1"/>
      <c r="O5367" s="1"/>
      <c r="P5367" s="1"/>
      <c r="Q5367" s="1"/>
      <c r="R5367" s="1"/>
      <c r="S5367" s="1"/>
      <c r="T5367" s="1"/>
      <c r="U5367" s="1"/>
      <c r="V5367" s="1"/>
      <c r="W5367" s="1"/>
      <c r="X5367" s="1"/>
      <c r="Y5367" s="1"/>
      <c r="Z5367" s="1"/>
      <c r="AA5367" s="1"/>
      <c r="AB5367" s="1"/>
    </row>
    <row r="5368" ht="50.25" customHeight="1">
      <c r="A5368" s="12">
        <v>5364.0</v>
      </c>
      <c r="B5368" s="13" t="s">
        <v>5027</v>
      </c>
      <c r="C5368" s="18" t="s">
        <v>5388</v>
      </c>
      <c r="D5368" s="1"/>
      <c r="E5368" s="1"/>
      <c r="F5368" s="1" t="str">
        <f>IFERROR(__xludf.DUMMYFUNCTION("GOOGLETRANSLATE(B5368, ""en"", ""fa"")
"),"املاک و مستغلات برای حرفه ای ها")</f>
        <v>املاک و مستغلات برای حرفه ای ها</v>
      </c>
      <c r="G5368" s="1" t="str">
        <f>IFERROR(__xludf.DUMMYFUNCTION("GOOGLETRANSLATE(C5368, ""en"", ""fa"")
"),"شاخص های کلیدی و منابع داده ای که برای پیش بینی روند بازار املاک و مستغلات استفاده می شود چیست؟")</f>
        <v>شاخص های کلیدی و منابع داده ای که برای پیش بینی روند بازار املاک و مستغلات استفاده می شود چیست؟</v>
      </c>
      <c r="H5368" s="1"/>
      <c r="I5368" s="1"/>
      <c r="J5368" s="1"/>
      <c r="K5368" s="1"/>
      <c r="L5368" s="1"/>
      <c r="M5368" s="1"/>
      <c r="N5368" s="1"/>
      <c r="O5368" s="1"/>
      <c r="P5368" s="1"/>
      <c r="Q5368" s="1"/>
      <c r="R5368" s="1"/>
      <c r="S5368" s="1"/>
      <c r="T5368" s="1"/>
      <c r="U5368" s="1"/>
      <c r="V5368" s="1"/>
      <c r="W5368" s="1"/>
      <c r="X5368" s="1"/>
      <c r="Y5368" s="1"/>
      <c r="Z5368" s="1"/>
      <c r="AA5368" s="1"/>
      <c r="AB5368" s="1"/>
    </row>
    <row r="5369" ht="50.25" customHeight="1">
      <c r="A5369" s="12">
        <v>5365.0</v>
      </c>
      <c r="B5369" s="13" t="s">
        <v>5027</v>
      </c>
      <c r="C5369" s="18" t="s">
        <v>5389</v>
      </c>
      <c r="D5369" s="1"/>
      <c r="E5369" s="1"/>
      <c r="F5369" s="1" t="str">
        <f>IFERROR(__xludf.DUMMYFUNCTION("GOOGLETRANSLATE(B5369, ""en"", ""fa"")
"),"املاک و مستغلات برای حرفه ای ها")</f>
        <v>املاک و مستغلات برای حرفه ای ها</v>
      </c>
      <c r="G5369" s="1" t="str">
        <f>IFERROR(__xludf.DUMMYFUNCTION("GOOGLETRANSLATE(C5369, ""en"", ""fa"")
"),"چگونه متخصصان املاک و مستغلات می توانند داده های تاریخی بازار را برای شناسایی الگوها و روندها برای پیش بینی شرایط بازار آینده تجزیه و تحلیل کنند؟")</f>
        <v>چگونه متخصصان املاک و مستغلات می توانند داده های تاریخی بازار را برای شناسایی الگوها و روندها برای پیش بینی شرایط بازار آینده تجزیه و تحلیل کنند؟</v>
      </c>
      <c r="H5369" s="1"/>
      <c r="I5369" s="1"/>
      <c r="J5369" s="1"/>
      <c r="K5369" s="1"/>
      <c r="L5369" s="1"/>
      <c r="M5369" s="1"/>
      <c r="N5369" s="1"/>
      <c r="O5369" s="1"/>
      <c r="P5369" s="1"/>
      <c r="Q5369" s="1"/>
      <c r="R5369" s="1"/>
      <c r="S5369" s="1"/>
      <c r="T5369" s="1"/>
      <c r="U5369" s="1"/>
      <c r="V5369" s="1"/>
      <c r="W5369" s="1"/>
      <c r="X5369" s="1"/>
      <c r="Y5369" s="1"/>
      <c r="Z5369" s="1"/>
      <c r="AA5369" s="1"/>
      <c r="AB5369" s="1"/>
    </row>
    <row r="5370" ht="50.25" customHeight="1">
      <c r="A5370" s="12">
        <v>5366.0</v>
      </c>
      <c r="B5370" s="13" t="s">
        <v>5027</v>
      </c>
      <c r="C5370" s="18" t="s">
        <v>5390</v>
      </c>
      <c r="D5370" s="1"/>
      <c r="E5370" s="1"/>
      <c r="F5370" s="1" t="str">
        <f>IFERROR(__xludf.DUMMYFUNCTION("GOOGLETRANSLATE(B5370, ""en"", ""fa"")
"),"املاک و مستغلات برای حرفه ای ها")</f>
        <v>املاک و مستغلات برای حرفه ای ها</v>
      </c>
      <c r="G5370" s="1" t="str">
        <f>IFERROR(__xludf.DUMMYFUNCTION("GOOGLETRANSLATE(C5370, ""en"", ""fa"")
"),"متخصصان املاک و مستغلات چه استراتژی هایی می توانند برای ارزیابی تاثیر عوامل کلان اقتصادی، مانند نرخ بهره یا رشد تولید ناخالص داخلی، بر پیش بینی های بازار املاک و مستغلات به کار گیرند؟")</f>
        <v>متخصصان املاک و مستغلات چه استراتژی هایی می توانند برای ارزیابی تاثیر عوامل کلان اقتصادی، مانند نرخ بهره یا رشد تولید ناخالص داخلی، بر پیش بینی های بازار املاک و مستغلات به کار گیرند؟</v>
      </c>
      <c r="H5370" s="1"/>
      <c r="I5370" s="1"/>
      <c r="J5370" s="1"/>
      <c r="K5370" s="1"/>
      <c r="L5370" s="1"/>
      <c r="M5370" s="1"/>
      <c r="N5370" s="1"/>
      <c r="O5370" s="1"/>
      <c r="P5370" s="1"/>
      <c r="Q5370" s="1"/>
      <c r="R5370" s="1"/>
      <c r="S5370" s="1"/>
      <c r="T5370" s="1"/>
      <c r="U5370" s="1"/>
      <c r="V5370" s="1"/>
      <c r="W5370" s="1"/>
      <c r="X5370" s="1"/>
      <c r="Y5370" s="1"/>
      <c r="Z5370" s="1"/>
      <c r="AA5370" s="1"/>
      <c r="AB5370" s="1"/>
    </row>
    <row r="5371" ht="50.25" customHeight="1">
      <c r="A5371" s="12">
        <v>5367.0</v>
      </c>
      <c r="B5371" s="13" t="s">
        <v>5027</v>
      </c>
      <c r="C5371" s="18" t="s">
        <v>5391</v>
      </c>
      <c r="D5371" s="1"/>
      <c r="E5371" s="1"/>
      <c r="F5371" s="1" t="str">
        <f>IFERROR(__xludf.DUMMYFUNCTION("GOOGLETRANSLATE(B5371, ""en"", ""fa"")
"),"املاک و مستغلات برای حرفه ای ها")</f>
        <v>املاک و مستغلات برای حرفه ای ها</v>
      </c>
      <c r="G5371" s="1" t="str">
        <f>IFERROR(__xludf.DUMMYFUNCTION("GOOGLETRANSLATE(C5371, ""en"", ""fa"")
"),"چگونه متخصصان املاک و مستغلات می توانند خطرات و چالش های بالقوه مرتبط با پیش بینی شرایط بازار را برای انواع خاص ملک یا مناطق جغرافیایی ارزیابی کنند؟")</f>
        <v>چگونه متخصصان املاک و مستغلات می توانند خطرات و چالش های بالقوه مرتبط با پیش بینی شرایط بازار را برای انواع خاص ملک یا مناطق جغرافیایی ارزیابی کنند؟</v>
      </c>
      <c r="H5371" s="1"/>
      <c r="I5371" s="1"/>
      <c r="J5371" s="1"/>
      <c r="K5371" s="1"/>
      <c r="L5371" s="1"/>
      <c r="M5371" s="1"/>
      <c r="N5371" s="1"/>
      <c r="O5371" s="1"/>
      <c r="P5371" s="1"/>
      <c r="Q5371" s="1"/>
      <c r="R5371" s="1"/>
      <c r="S5371" s="1"/>
      <c r="T5371" s="1"/>
      <c r="U5371" s="1"/>
      <c r="V5371" s="1"/>
      <c r="W5371" s="1"/>
      <c r="X5371" s="1"/>
      <c r="Y5371" s="1"/>
      <c r="Z5371" s="1"/>
      <c r="AA5371" s="1"/>
      <c r="AB5371" s="1"/>
    </row>
    <row r="5372" ht="50.25" customHeight="1">
      <c r="A5372" s="12">
        <v>5368.0</v>
      </c>
      <c r="B5372" s="13" t="s">
        <v>5027</v>
      </c>
      <c r="C5372" s="18" t="s">
        <v>5392</v>
      </c>
      <c r="D5372" s="1"/>
      <c r="E5372" s="1"/>
      <c r="F5372" s="1" t="str">
        <f>IFERROR(__xludf.DUMMYFUNCTION("GOOGLETRANSLATE(B5372, ""en"", ""fa"")
"),"املاک و مستغلات برای حرفه ای ها")</f>
        <v>املاک و مستغلات برای حرفه ای ها</v>
      </c>
      <c r="G5372" s="1" t="str">
        <f>IFERROR(__xludf.DUMMYFUNCTION("GOOGLETRANSLATE(C5372, ""en"", ""fa"")
"),"متخصصان املاک و مستغلات از چه تکنیک هایی می توانند برای انجام تحلیل عرضه و تقاضا برای پیش بینی شرایط آینده بازار استفاده کنند؟")</f>
        <v>متخصصان املاک و مستغلات از چه تکنیک هایی می توانند برای انجام تحلیل عرضه و تقاضا برای پیش بینی شرایط آینده بازار استفاده کنند؟</v>
      </c>
      <c r="H5372" s="1"/>
      <c r="I5372" s="1"/>
      <c r="J5372" s="1"/>
      <c r="K5372" s="1"/>
      <c r="L5372" s="1"/>
      <c r="M5372" s="1"/>
      <c r="N5372" s="1"/>
      <c r="O5372" s="1"/>
      <c r="P5372" s="1"/>
      <c r="Q5372" s="1"/>
      <c r="R5372" s="1"/>
      <c r="S5372" s="1"/>
      <c r="T5372" s="1"/>
      <c r="U5372" s="1"/>
      <c r="V5372" s="1"/>
      <c r="W5372" s="1"/>
      <c r="X5372" s="1"/>
      <c r="Y5372" s="1"/>
      <c r="Z5372" s="1"/>
      <c r="AA5372" s="1"/>
      <c r="AB5372" s="1"/>
    </row>
    <row r="5373" ht="50.25" customHeight="1">
      <c r="A5373" s="12">
        <v>5369.0</v>
      </c>
      <c r="B5373" s="13" t="s">
        <v>5027</v>
      </c>
      <c r="C5373" s="18" t="s">
        <v>5393</v>
      </c>
      <c r="D5373" s="1"/>
      <c r="E5373" s="1"/>
      <c r="F5373" s="1" t="str">
        <f>IFERROR(__xludf.DUMMYFUNCTION("GOOGLETRANSLATE(B5373, ""en"", ""fa"")
"),"املاک و مستغلات برای حرفه ای ها")</f>
        <v>املاک و مستغلات برای حرفه ای ها</v>
      </c>
      <c r="G5373" s="1" t="str">
        <f>IFERROR(__xludf.DUMMYFUNCTION("GOOGLETRANSLATE(C5373, ""en"", ""fa"")
"),"متخصصان املاک و مستغلات چگونه می توانند تأثیر تغییرات جمعیتی، مانند رشد جمعیت یا پیری جمعیت را بر پیش بینی های بازار املاک ارزیابی کنند؟")</f>
        <v>متخصصان املاک و مستغلات چگونه می توانند تأثیر تغییرات جمعیتی، مانند رشد جمعیت یا پیری جمعیت را بر پیش بینی های بازار املاک ارزیابی کنند؟</v>
      </c>
      <c r="H5373" s="1"/>
      <c r="I5373" s="1"/>
      <c r="J5373" s="1"/>
      <c r="K5373" s="1"/>
      <c r="L5373" s="1"/>
      <c r="M5373" s="1"/>
      <c r="N5373" s="1"/>
      <c r="O5373" s="1"/>
      <c r="P5373" s="1"/>
      <c r="Q5373" s="1"/>
      <c r="R5373" s="1"/>
      <c r="S5373" s="1"/>
      <c r="T5373" s="1"/>
      <c r="U5373" s="1"/>
      <c r="V5373" s="1"/>
      <c r="W5373" s="1"/>
      <c r="X5373" s="1"/>
      <c r="Y5373" s="1"/>
      <c r="Z5373" s="1"/>
      <c r="AA5373" s="1"/>
      <c r="AB5373" s="1"/>
    </row>
    <row r="5374" ht="50.25" customHeight="1">
      <c r="A5374" s="12">
        <v>5370.0</v>
      </c>
      <c r="B5374" s="13" t="s">
        <v>5027</v>
      </c>
      <c r="C5374" s="18" t="s">
        <v>5394</v>
      </c>
      <c r="D5374" s="1"/>
      <c r="E5374" s="1"/>
      <c r="F5374" s="1" t="str">
        <f>IFERROR(__xludf.DUMMYFUNCTION("GOOGLETRANSLATE(B5374, ""en"", ""fa"")
"),"املاک و مستغلات برای حرفه ای ها")</f>
        <v>املاک و مستغلات برای حرفه ای ها</v>
      </c>
      <c r="G5374" s="1" t="str">
        <f>IFERROR(__xludf.DUMMYFUNCTION("GOOGLETRANSLATE(C5374, ""en"", ""fa"")
"),"مزایای استفاده از مدل های آماری مانند تحلیل رگرسیون یا تحلیل سری های زمانی برای پیش بینی بازار املاک و مستغلات چیست؟")</f>
        <v>مزایای استفاده از مدل های آماری مانند تحلیل رگرسیون یا تحلیل سری های زمانی برای پیش بینی بازار املاک و مستغلات چیست؟</v>
      </c>
      <c r="H5374" s="1"/>
      <c r="I5374" s="1"/>
      <c r="J5374" s="1"/>
      <c r="K5374" s="1"/>
      <c r="L5374" s="1"/>
      <c r="M5374" s="1"/>
      <c r="N5374" s="1"/>
      <c r="O5374" s="1"/>
      <c r="P5374" s="1"/>
      <c r="Q5374" s="1"/>
      <c r="R5374" s="1"/>
      <c r="S5374" s="1"/>
      <c r="T5374" s="1"/>
      <c r="U5374" s="1"/>
      <c r="V5374" s="1"/>
      <c r="W5374" s="1"/>
      <c r="X5374" s="1"/>
      <c r="Y5374" s="1"/>
      <c r="Z5374" s="1"/>
      <c r="AA5374" s="1"/>
      <c r="AB5374" s="1"/>
    </row>
    <row r="5375" ht="50.25" customHeight="1">
      <c r="A5375" s="12">
        <v>5371.0</v>
      </c>
      <c r="B5375" s="13" t="s">
        <v>5027</v>
      </c>
      <c r="C5375" s="18" t="s">
        <v>5395</v>
      </c>
      <c r="D5375" s="1"/>
      <c r="E5375" s="1"/>
      <c r="F5375" s="1" t="str">
        <f>IFERROR(__xludf.DUMMYFUNCTION("GOOGLETRANSLATE(B5375, ""en"", ""fa"")
"),"املاک و مستغلات برای حرفه ای ها")</f>
        <v>املاک و مستغلات برای حرفه ای ها</v>
      </c>
      <c r="G5375" s="1" t="str">
        <f>IFERROR(__xludf.DUMMYFUNCTION("GOOGLETRANSLATE(C5375, ""en"", ""fa"")
"),"چگونه متخصصان املاک و مستغلات می توانند صحت و قابلیت اطمینان پیش بینی های بازار املاک را که توسط شرکت های تحقیقاتی یا کارشناسان صنعت ارائه می شود ارزیابی کنند؟")</f>
        <v>چگونه متخصصان املاک و مستغلات می توانند صحت و قابلیت اطمینان پیش بینی های بازار املاک را که توسط شرکت های تحقیقاتی یا کارشناسان صنعت ارائه می شود ارزیابی کنند؟</v>
      </c>
      <c r="H5375" s="1"/>
      <c r="I5375" s="1"/>
      <c r="J5375" s="1"/>
      <c r="K5375" s="1"/>
      <c r="L5375" s="1"/>
      <c r="M5375" s="1"/>
      <c r="N5375" s="1"/>
      <c r="O5375" s="1"/>
      <c r="P5375" s="1"/>
      <c r="Q5375" s="1"/>
      <c r="R5375" s="1"/>
      <c r="S5375" s="1"/>
      <c r="T5375" s="1"/>
      <c r="U5375" s="1"/>
      <c r="V5375" s="1"/>
      <c r="W5375" s="1"/>
      <c r="X5375" s="1"/>
      <c r="Y5375" s="1"/>
      <c r="Z5375" s="1"/>
      <c r="AA5375" s="1"/>
      <c r="AB5375" s="1"/>
    </row>
    <row r="5376" ht="50.25" customHeight="1">
      <c r="A5376" s="12">
        <v>5372.0</v>
      </c>
      <c r="B5376" s="13" t="s">
        <v>5027</v>
      </c>
      <c r="C5376" s="18" t="s">
        <v>5396</v>
      </c>
      <c r="D5376" s="1"/>
      <c r="E5376" s="1"/>
      <c r="F5376" s="1" t="str">
        <f>IFERROR(__xludf.DUMMYFUNCTION("GOOGLETRANSLATE(B5376, ""en"", ""fa"")
"),"املاک و مستغلات برای حرفه ای ها")</f>
        <v>املاک و مستغلات برای حرفه ای ها</v>
      </c>
      <c r="G5376" s="1" t="str">
        <f>IFERROR(__xludf.DUMMYFUNCTION("GOOGLETRANSLATE(C5376, ""en"", ""fa"")
"),"متخصصان املاک و مستغلات چه استراتژی هایی می توانند به کار گیرند تا از روندها و شاخص های فعلی بازار برای پیش بینی دقیق تر به روز بمانند؟")</f>
        <v>متخصصان املاک و مستغلات چه استراتژی هایی می توانند به کار گیرند تا از روندها و شاخص های فعلی بازار برای پیش بینی دقیق تر به روز بمانند؟</v>
      </c>
      <c r="H5376" s="1"/>
      <c r="I5376" s="1"/>
      <c r="J5376" s="1"/>
      <c r="K5376" s="1"/>
      <c r="L5376" s="1"/>
      <c r="M5376" s="1"/>
      <c r="N5376" s="1"/>
      <c r="O5376" s="1"/>
      <c r="P5376" s="1"/>
      <c r="Q5376" s="1"/>
      <c r="R5376" s="1"/>
      <c r="S5376" s="1"/>
      <c r="T5376" s="1"/>
      <c r="U5376" s="1"/>
      <c r="V5376" s="1"/>
      <c r="W5376" s="1"/>
      <c r="X5376" s="1"/>
      <c r="Y5376" s="1"/>
      <c r="Z5376" s="1"/>
      <c r="AA5376" s="1"/>
      <c r="AB5376" s="1"/>
    </row>
    <row r="5377" ht="50.25" customHeight="1">
      <c r="A5377" s="12">
        <v>5373.0</v>
      </c>
      <c r="B5377" s="13" t="s">
        <v>5027</v>
      </c>
      <c r="C5377" s="18" t="s">
        <v>5397</v>
      </c>
      <c r="D5377" s="1"/>
      <c r="E5377" s="1"/>
      <c r="F5377" s="1" t="str">
        <f>IFERROR(__xludf.DUMMYFUNCTION("GOOGLETRANSLATE(B5377, ""en"", ""fa"")
"),"املاک و مستغلات برای حرفه ای ها")</f>
        <v>املاک و مستغلات برای حرفه ای ها</v>
      </c>
      <c r="G5377" s="1" t="str">
        <f>IFERROR(__xludf.DUMMYFUNCTION("GOOGLETRANSLATE(C5377, ""en"", ""fa"")
"),"چگونه متخصصان املاک و مستغلات می توانند تأثیر بالقوه سیاست ها یا مقررات دولتی را بر پیش بینی های بازار املاک ارزیابی کنند؟")</f>
        <v>چگونه متخصصان املاک و مستغلات می توانند تأثیر بالقوه سیاست ها یا مقررات دولتی را بر پیش بینی های بازار املاک ارزیابی کنند؟</v>
      </c>
      <c r="H5377" s="1"/>
      <c r="I5377" s="1"/>
      <c r="J5377" s="1"/>
      <c r="K5377" s="1"/>
      <c r="L5377" s="1"/>
      <c r="M5377" s="1"/>
      <c r="N5377" s="1"/>
      <c r="O5377" s="1"/>
      <c r="P5377" s="1"/>
      <c r="Q5377" s="1"/>
      <c r="R5377" s="1"/>
      <c r="S5377" s="1"/>
      <c r="T5377" s="1"/>
      <c r="U5377" s="1"/>
      <c r="V5377" s="1"/>
      <c r="W5377" s="1"/>
      <c r="X5377" s="1"/>
      <c r="Y5377" s="1"/>
      <c r="Z5377" s="1"/>
      <c r="AA5377" s="1"/>
      <c r="AB5377" s="1"/>
    </row>
    <row r="5378" ht="50.25" customHeight="1">
      <c r="A5378" s="12">
        <v>5374.0</v>
      </c>
      <c r="B5378" s="13" t="s">
        <v>5027</v>
      </c>
      <c r="C5378" s="18" t="s">
        <v>5398</v>
      </c>
      <c r="D5378" s="1"/>
      <c r="E5378" s="1"/>
      <c r="F5378" s="1" t="str">
        <f>IFERROR(__xludf.DUMMYFUNCTION("GOOGLETRANSLATE(B5378, ""en"", ""fa"")
"),"املاک و مستغلات برای حرفه ای ها")</f>
        <v>املاک و مستغلات برای حرفه ای ها</v>
      </c>
      <c r="G5378" s="1" t="str">
        <f>IFERROR(__xludf.DUMMYFUNCTION("GOOGLETRANSLATE(C5378, ""en"", ""fa"")
"),"متخصصان املاک و مستغلات از چه تکنیک هایی می توانند برای تجزیه و تحلیل داده های بازار محلی، مانند معاملات فروش یا نرخ اجاره، برای پیش بینی روند بازار استفاده کنند؟")</f>
        <v>متخصصان املاک و مستغلات از چه تکنیک هایی می توانند برای تجزیه و تحلیل داده های بازار محلی، مانند معاملات فروش یا نرخ اجاره، برای پیش بینی روند بازار استفاده کنند؟</v>
      </c>
      <c r="H5378" s="1"/>
      <c r="I5378" s="1"/>
      <c r="J5378" s="1"/>
      <c r="K5378" s="1"/>
      <c r="L5378" s="1"/>
      <c r="M5378" s="1"/>
      <c r="N5378" s="1"/>
      <c r="O5378" s="1"/>
      <c r="P5378" s="1"/>
      <c r="Q5378" s="1"/>
      <c r="R5378" s="1"/>
      <c r="S5378" s="1"/>
      <c r="T5378" s="1"/>
      <c r="U5378" s="1"/>
      <c r="V5378" s="1"/>
      <c r="W5378" s="1"/>
      <c r="X5378" s="1"/>
      <c r="Y5378" s="1"/>
      <c r="Z5378" s="1"/>
      <c r="AA5378" s="1"/>
      <c r="AB5378" s="1"/>
    </row>
    <row r="5379" ht="50.25" customHeight="1">
      <c r="A5379" s="12">
        <v>5375.0</v>
      </c>
      <c r="B5379" s="13" t="s">
        <v>5027</v>
      </c>
      <c r="C5379" s="18" t="s">
        <v>5399</v>
      </c>
      <c r="D5379" s="1"/>
      <c r="E5379" s="1"/>
      <c r="F5379" s="1" t="str">
        <f>IFERROR(__xludf.DUMMYFUNCTION("GOOGLETRANSLATE(B5379, ""en"", ""fa"")
"),"املاک و مستغلات برای حرفه ای ها")</f>
        <v>املاک و مستغلات برای حرفه ای ها</v>
      </c>
      <c r="G5379" s="1" t="str">
        <f>IFERROR(__xludf.DUMMYFUNCTION("GOOGLETRANSLATE(C5379, ""en"", ""fa"")
"),"چگونه متخصصان املاک و مستغلات می توانند خطرات و فرصت های بالقوه مرتبط با فناوری های نوظهور مانند بلاک چین یا هوش مصنوعی را در پیش بینی های بازار املاک ارزیابی کنند؟")</f>
        <v>چگونه متخصصان املاک و مستغلات می توانند خطرات و فرصت های بالقوه مرتبط با فناوری های نوظهور مانند بلاک چین یا هوش مصنوعی را در پیش بینی های بازار املاک ارزیابی کنند؟</v>
      </c>
      <c r="H5379" s="1"/>
      <c r="I5379" s="1"/>
      <c r="J5379" s="1"/>
      <c r="K5379" s="1"/>
      <c r="L5379" s="1"/>
      <c r="M5379" s="1"/>
      <c r="N5379" s="1"/>
      <c r="O5379" s="1"/>
      <c r="P5379" s="1"/>
      <c r="Q5379" s="1"/>
      <c r="R5379" s="1"/>
      <c r="S5379" s="1"/>
      <c r="T5379" s="1"/>
      <c r="U5379" s="1"/>
      <c r="V5379" s="1"/>
      <c r="W5379" s="1"/>
      <c r="X5379" s="1"/>
      <c r="Y5379" s="1"/>
      <c r="Z5379" s="1"/>
      <c r="AA5379" s="1"/>
      <c r="AB5379" s="1"/>
    </row>
    <row r="5380" ht="50.25" customHeight="1">
      <c r="A5380" s="12">
        <v>5376.0</v>
      </c>
      <c r="B5380" s="13" t="s">
        <v>5027</v>
      </c>
      <c r="C5380" s="18" t="s">
        <v>5400</v>
      </c>
      <c r="D5380" s="1"/>
      <c r="E5380" s="1"/>
      <c r="F5380" s="1" t="str">
        <f>IFERROR(__xludf.DUMMYFUNCTION("GOOGLETRANSLATE(B5380, ""en"", ""fa"")
"),"املاک و مستغلات برای حرفه ای ها")</f>
        <v>املاک و مستغلات برای حرفه ای ها</v>
      </c>
      <c r="G5380" s="1" t="str">
        <f>IFERROR(__xludf.DUMMYFUNCTION("GOOGLETRANSLATE(C5380, ""en"", ""fa"")
"),"ملاحظات کلیدی برای گنجاندن عوامل محیطی و پایداری در پیش‌بینی‌های بازار املاک چیست؟")</f>
        <v>ملاحظات کلیدی برای گنجاندن عوامل محیطی و پایداری در پیش‌بینی‌های بازار املاک چیست؟</v>
      </c>
      <c r="H5380" s="1"/>
      <c r="I5380" s="1"/>
      <c r="J5380" s="1"/>
      <c r="K5380" s="1"/>
      <c r="L5380" s="1"/>
      <c r="M5380" s="1"/>
      <c r="N5380" s="1"/>
      <c r="O5380" s="1"/>
      <c r="P5380" s="1"/>
      <c r="Q5380" s="1"/>
      <c r="R5380" s="1"/>
      <c r="S5380" s="1"/>
      <c r="T5380" s="1"/>
      <c r="U5380" s="1"/>
      <c r="V5380" s="1"/>
      <c r="W5380" s="1"/>
      <c r="X5380" s="1"/>
      <c r="Y5380" s="1"/>
      <c r="Z5380" s="1"/>
      <c r="AA5380" s="1"/>
      <c r="AB5380" s="1"/>
    </row>
    <row r="5381" ht="50.25" customHeight="1">
      <c r="A5381" s="12">
        <v>5377.0</v>
      </c>
      <c r="B5381" s="13" t="s">
        <v>5027</v>
      </c>
      <c r="C5381" s="18" t="s">
        <v>5401</v>
      </c>
      <c r="D5381" s="1"/>
      <c r="E5381" s="1"/>
      <c r="F5381" s="1" t="str">
        <f>IFERROR(__xludf.DUMMYFUNCTION("GOOGLETRANSLATE(B5381, ""en"", ""fa"")
"),"املاک و مستغلات برای حرفه ای ها")</f>
        <v>املاک و مستغلات برای حرفه ای ها</v>
      </c>
      <c r="G5381" s="1" t="str">
        <f>IFERROR(__xludf.DUMMYFUNCTION("GOOGLETRANSLATE(C5381, ""en"", ""fa"")
"),"چگونه متخصصان املاک و مستغلات می توانند تأثیر بالقوه رویدادهای ژئوپلیتیکی، مانند توافق نامه های تجاری یا بی ثباتی سیاسی را بر پیش بینی های بازار املاک ارزیابی کنند؟")</f>
        <v>چگونه متخصصان املاک و مستغلات می توانند تأثیر بالقوه رویدادهای ژئوپلیتیکی، مانند توافق نامه های تجاری یا بی ثباتی سیاسی را بر پیش بینی های بازار املاک ارزیابی کنند؟</v>
      </c>
      <c r="H5381" s="1"/>
      <c r="I5381" s="1"/>
      <c r="J5381" s="1"/>
      <c r="K5381" s="1"/>
      <c r="L5381" s="1"/>
      <c r="M5381" s="1"/>
      <c r="N5381" s="1"/>
      <c r="O5381" s="1"/>
      <c r="P5381" s="1"/>
      <c r="Q5381" s="1"/>
      <c r="R5381" s="1"/>
      <c r="S5381" s="1"/>
      <c r="T5381" s="1"/>
      <c r="U5381" s="1"/>
      <c r="V5381" s="1"/>
      <c r="W5381" s="1"/>
      <c r="X5381" s="1"/>
      <c r="Y5381" s="1"/>
      <c r="Z5381" s="1"/>
      <c r="AA5381" s="1"/>
      <c r="AB5381" s="1"/>
    </row>
    <row r="5382" ht="50.25" customHeight="1">
      <c r="A5382" s="12">
        <v>5378.0</v>
      </c>
      <c r="B5382" s="13" t="s">
        <v>5027</v>
      </c>
      <c r="C5382" s="18" t="s">
        <v>5402</v>
      </c>
      <c r="D5382" s="1"/>
      <c r="E5382" s="1"/>
      <c r="F5382" s="1" t="str">
        <f>IFERROR(__xludf.DUMMYFUNCTION("GOOGLETRANSLATE(B5382, ""en"", ""fa"")
"),"املاک و مستغلات برای حرفه ای ها")</f>
        <v>املاک و مستغلات برای حرفه ای ها</v>
      </c>
      <c r="G5382" s="1" t="str">
        <f>IFERROR(__xludf.DUMMYFUNCTION("GOOGLETRANSLATE(C5382, ""en"", ""fa"")
"),"متخصصان املاک و مستغلات چه استراتژی هایی می توانند برای جمع آوری و تجزیه و تحلیل داده های کیفی، مانند نظرسنجی ها یا نظرات کارشناسان، برای پیش بینی های جامع تر بازار به کار گیرند؟")</f>
        <v>متخصصان املاک و مستغلات چه استراتژی هایی می توانند برای جمع آوری و تجزیه و تحلیل داده های کیفی، مانند نظرسنجی ها یا نظرات کارشناسان، برای پیش بینی های جامع تر بازار به کار گیرند؟</v>
      </c>
      <c r="H5382" s="1"/>
      <c r="I5382" s="1"/>
      <c r="J5382" s="1"/>
      <c r="K5382" s="1"/>
      <c r="L5382" s="1"/>
      <c r="M5382" s="1"/>
      <c r="N5382" s="1"/>
      <c r="O5382" s="1"/>
      <c r="P5382" s="1"/>
      <c r="Q5382" s="1"/>
      <c r="R5382" s="1"/>
      <c r="S5382" s="1"/>
      <c r="T5382" s="1"/>
      <c r="U5382" s="1"/>
      <c r="V5382" s="1"/>
      <c r="W5382" s="1"/>
      <c r="X5382" s="1"/>
      <c r="Y5382" s="1"/>
      <c r="Z5382" s="1"/>
      <c r="AA5382" s="1"/>
      <c r="AB5382" s="1"/>
    </row>
    <row r="5383" ht="50.25" customHeight="1">
      <c r="A5383" s="12">
        <v>5379.0</v>
      </c>
      <c r="B5383" s="13" t="s">
        <v>5027</v>
      </c>
      <c r="C5383" s="18" t="s">
        <v>5403</v>
      </c>
      <c r="D5383" s="1"/>
      <c r="E5383" s="1"/>
      <c r="F5383" s="1" t="str">
        <f>IFERROR(__xludf.DUMMYFUNCTION("GOOGLETRANSLATE(B5383, ""en"", ""fa"")
"),"املاک و مستغلات برای حرفه ای ها")</f>
        <v>املاک و مستغلات برای حرفه ای ها</v>
      </c>
      <c r="G5383" s="1" t="str">
        <f>IFERROR(__xludf.DUMMYFUNCTION("GOOGLETRANSLATE(C5383, ""en"", ""fa"")
"),"چگونه متخصصان املاک و مستغلات می توانند تأثیر بالقوه گرایش های فرهنگی یا اجتماعی، مانند تغییر ترجیحات مصرف کننده یا تغییر سبک زندگی، را بر پیش بینی های بازار املاک ارزیابی کنند؟")</f>
        <v>چگونه متخصصان املاک و مستغلات می توانند تأثیر بالقوه گرایش های فرهنگی یا اجتماعی، مانند تغییر ترجیحات مصرف کننده یا تغییر سبک زندگی، را بر پیش بینی های بازار املاک ارزیابی کنند؟</v>
      </c>
      <c r="H5383" s="1"/>
      <c r="I5383" s="1"/>
      <c r="J5383" s="1"/>
      <c r="K5383" s="1"/>
      <c r="L5383" s="1"/>
      <c r="M5383" s="1"/>
      <c r="N5383" s="1"/>
      <c r="O5383" s="1"/>
      <c r="P5383" s="1"/>
      <c r="Q5383" s="1"/>
      <c r="R5383" s="1"/>
      <c r="S5383" s="1"/>
      <c r="T5383" s="1"/>
      <c r="U5383" s="1"/>
      <c r="V5383" s="1"/>
      <c r="W5383" s="1"/>
      <c r="X5383" s="1"/>
      <c r="Y5383" s="1"/>
      <c r="Z5383" s="1"/>
      <c r="AA5383" s="1"/>
      <c r="AB5383" s="1"/>
    </row>
    <row r="5384" ht="50.25" customHeight="1">
      <c r="A5384" s="12">
        <v>5380.0</v>
      </c>
      <c r="B5384" s="13" t="s">
        <v>5027</v>
      </c>
      <c r="C5384" s="18" t="s">
        <v>5404</v>
      </c>
      <c r="D5384" s="1"/>
      <c r="E5384" s="1"/>
      <c r="F5384" s="1" t="str">
        <f>IFERROR(__xludf.DUMMYFUNCTION("GOOGLETRANSLATE(B5384, ""en"", ""fa"")
"),"املاک و مستغلات برای حرفه ای ها")</f>
        <v>املاک و مستغلات برای حرفه ای ها</v>
      </c>
      <c r="G5384" s="1" t="str">
        <f>IFERROR(__xludf.DUMMYFUNCTION("GOOGLETRANSLATE(C5384, ""en"", ""fa"")
"),"متخصصان املاک و مستغلات از چه تکنیک هایی می توانند برای ارزیابی چشم انداز رقابتی و موقعیت بازار برای پیش بینی دقیق بازار استفاده کنند؟")</f>
        <v>متخصصان املاک و مستغلات از چه تکنیک هایی می توانند برای ارزیابی چشم انداز رقابتی و موقعیت بازار برای پیش بینی دقیق بازار استفاده کنند؟</v>
      </c>
      <c r="H5384" s="1"/>
      <c r="I5384" s="1"/>
      <c r="J5384" s="1"/>
      <c r="K5384" s="1"/>
      <c r="L5384" s="1"/>
      <c r="M5384" s="1"/>
      <c r="N5384" s="1"/>
      <c r="O5384" s="1"/>
      <c r="P5384" s="1"/>
      <c r="Q5384" s="1"/>
      <c r="R5384" s="1"/>
      <c r="S5384" s="1"/>
      <c r="T5384" s="1"/>
      <c r="U5384" s="1"/>
      <c r="V5384" s="1"/>
      <c r="W5384" s="1"/>
      <c r="X5384" s="1"/>
      <c r="Y5384" s="1"/>
      <c r="Z5384" s="1"/>
      <c r="AA5384" s="1"/>
      <c r="AB5384" s="1"/>
    </row>
    <row r="5385" ht="50.25" customHeight="1">
      <c r="A5385" s="12">
        <v>5381.0</v>
      </c>
      <c r="B5385" s="13" t="s">
        <v>5027</v>
      </c>
      <c r="C5385" s="18" t="s">
        <v>5405</v>
      </c>
      <c r="D5385" s="1"/>
      <c r="E5385" s="1"/>
      <c r="F5385" s="1" t="str">
        <f>IFERROR(__xludf.DUMMYFUNCTION("GOOGLETRANSLATE(B5385, ""en"", ""fa"")
"),"املاک و مستغلات برای حرفه ای ها")</f>
        <v>املاک و مستغلات برای حرفه ای ها</v>
      </c>
      <c r="G5385" s="1" t="str">
        <f>IFERROR(__xludf.DUMMYFUNCTION("GOOGLETRANSLATE(C5385, ""en"", ""fa"")
"),"چگونه متخصصان املاک و مستغلات می توانند از داده های بزرگ و ابزارهای تحلیل پیش بینی برای پیش بینی های دقیق تر بازار املاک و مستغلات استفاده کنند؟")</f>
        <v>چگونه متخصصان املاک و مستغلات می توانند از داده های بزرگ و ابزارهای تحلیل پیش بینی برای پیش بینی های دقیق تر بازار املاک و مستغلات استفاده کنند؟</v>
      </c>
      <c r="H5385" s="1"/>
      <c r="I5385" s="1"/>
      <c r="J5385" s="1"/>
      <c r="K5385" s="1"/>
      <c r="L5385" s="1"/>
      <c r="M5385" s="1"/>
      <c r="N5385" s="1"/>
      <c r="O5385" s="1"/>
      <c r="P5385" s="1"/>
      <c r="Q5385" s="1"/>
      <c r="R5385" s="1"/>
      <c r="S5385" s="1"/>
      <c r="T5385" s="1"/>
      <c r="U5385" s="1"/>
      <c r="V5385" s="1"/>
      <c r="W5385" s="1"/>
      <c r="X5385" s="1"/>
      <c r="Y5385" s="1"/>
      <c r="Z5385" s="1"/>
      <c r="AA5385" s="1"/>
      <c r="AB5385" s="1"/>
    </row>
    <row r="5386" ht="50.25" customHeight="1">
      <c r="A5386" s="12">
        <v>5382.0</v>
      </c>
      <c r="B5386" s="13" t="s">
        <v>5027</v>
      </c>
      <c r="C5386" s="18" t="s">
        <v>5406</v>
      </c>
      <c r="D5386" s="1"/>
      <c r="E5386" s="1"/>
      <c r="F5386" s="1" t="str">
        <f>IFERROR(__xludf.DUMMYFUNCTION("GOOGLETRANSLATE(B5386, ""en"", ""fa"")
"),"املاک و مستغلات برای حرفه ای ها")</f>
        <v>املاک و مستغلات برای حرفه ای ها</v>
      </c>
      <c r="G5386" s="1" t="str">
        <f>IFERROR(__xludf.DUMMYFUNCTION("GOOGLETRANSLATE(C5386, ""en"", ""fa"")
"),"مزایای استفاده از تحلیل سناریو یا تحلیل حساسیت در پیش‌بینی بازار املاک و مستغلات برای محاسبه نتایج احتمالی مختلف چیست؟")</f>
        <v>مزایای استفاده از تحلیل سناریو یا تحلیل حساسیت در پیش‌بینی بازار املاک و مستغلات برای محاسبه نتایج احتمالی مختلف چیست؟</v>
      </c>
      <c r="H5386" s="1"/>
      <c r="I5386" s="1"/>
      <c r="J5386" s="1"/>
      <c r="K5386" s="1"/>
      <c r="L5386" s="1"/>
      <c r="M5386" s="1"/>
      <c r="N5386" s="1"/>
      <c r="O5386" s="1"/>
      <c r="P5386" s="1"/>
      <c r="Q5386" s="1"/>
      <c r="R5386" s="1"/>
      <c r="S5386" s="1"/>
      <c r="T5386" s="1"/>
      <c r="U5386" s="1"/>
      <c r="V5386" s="1"/>
      <c r="W5386" s="1"/>
      <c r="X5386" s="1"/>
      <c r="Y5386" s="1"/>
      <c r="Z5386" s="1"/>
      <c r="AA5386" s="1"/>
      <c r="AB5386" s="1"/>
    </row>
    <row r="5387" ht="50.25" customHeight="1">
      <c r="A5387" s="12">
        <v>5383.0</v>
      </c>
      <c r="B5387" s="13" t="s">
        <v>5027</v>
      </c>
      <c r="C5387" s="18" t="s">
        <v>5407</v>
      </c>
      <c r="D5387" s="1"/>
      <c r="E5387" s="1"/>
      <c r="F5387" s="1" t="str">
        <f>IFERROR(__xludf.DUMMYFUNCTION("GOOGLETRANSLATE(B5387, ""en"", ""fa"")
"),"املاک و مستغلات برای حرفه ای ها")</f>
        <v>املاک و مستغلات برای حرفه ای ها</v>
      </c>
      <c r="G5387" s="1" t="str">
        <f>IFERROR(__xludf.DUMMYFUNCTION("GOOGLETRANSLATE(C5387, ""en"", ""fa"")
"),"چگونه متخصصان املاک و مستغلات می توانند خطرات و محدودیت های بالقوه تکیه بر داده های تاریخی را برای پیش بینی بازار در بازارهایی که به سرعت در حال تغییر هستند، ارزیابی کنند؟")</f>
        <v>چگونه متخصصان املاک و مستغلات می توانند خطرات و محدودیت های بالقوه تکیه بر داده های تاریخی را برای پیش بینی بازار در بازارهایی که به سرعت در حال تغییر هستند، ارزیابی کنند؟</v>
      </c>
      <c r="H5387" s="1"/>
      <c r="I5387" s="1"/>
      <c r="J5387" s="1"/>
      <c r="K5387" s="1"/>
      <c r="L5387" s="1"/>
      <c r="M5387" s="1"/>
      <c r="N5387" s="1"/>
      <c r="O5387" s="1"/>
      <c r="P5387" s="1"/>
      <c r="Q5387" s="1"/>
      <c r="R5387" s="1"/>
      <c r="S5387" s="1"/>
      <c r="T5387" s="1"/>
      <c r="U5387" s="1"/>
      <c r="V5387" s="1"/>
      <c r="W5387" s="1"/>
      <c r="X5387" s="1"/>
      <c r="Y5387" s="1"/>
      <c r="Z5387" s="1"/>
      <c r="AA5387" s="1"/>
      <c r="AB5387" s="1"/>
    </row>
    <row r="5388" ht="50.25" customHeight="1">
      <c r="A5388" s="12">
        <v>5384.0</v>
      </c>
      <c r="B5388" s="13" t="s">
        <v>5027</v>
      </c>
      <c r="C5388" s="18" t="s">
        <v>5408</v>
      </c>
      <c r="D5388" s="1"/>
      <c r="E5388" s="1"/>
      <c r="F5388" s="1" t="str">
        <f>IFERROR(__xludf.DUMMYFUNCTION("GOOGLETRANSLATE(B5388, ""en"", ""fa"")
"),"املاک و مستغلات برای حرفه ای ها")</f>
        <v>املاک و مستغلات برای حرفه ای ها</v>
      </c>
      <c r="G5388" s="1" t="str">
        <f>IFERROR(__xludf.DUMMYFUNCTION("GOOGLETRANSLATE(C5388, ""en"", ""fa"")
"),"متخصصان املاک و مستغلات چه استراتژی هایی می توانند برای گنجاندن احساسات بازار و شاخص های اطمینان سرمایه گذار در پیش بینی های بازار املاک و مستغلات به کار گیرند؟")</f>
        <v>متخصصان املاک و مستغلات چه استراتژی هایی می توانند برای گنجاندن احساسات بازار و شاخص های اطمینان سرمایه گذار در پیش بینی های بازار املاک و مستغلات به کار گیرند؟</v>
      </c>
      <c r="H5388" s="1"/>
      <c r="I5388" s="1"/>
      <c r="J5388" s="1"/>
      <c r="K5388" s="1"/>
      <c r="L5388" s="1"/>
      <c r="M5388" s="1"/>
      <c r="N5388" s="1"/>
      <c r="O5388" s="1"/>
      <c r="P5388" s="1"/>
      <c r="Q5388" s="1"/>
      <c r="R5388" s="1"/>
      <c r="S5388" s="1"/>
      <c r="T5388" s="1"/>
      <c r="U5388" s="1"/>
      <c r="V5388" s="1"/>
      <c r="W5388" s="1"/>
      <c r="X5388" s="1"/>
      <c r="Y5388" s="1"/>
      <c r="Z5388" s="1"/>
      <c r="AA5388" s="1"/>
      <c r="AB5388" s="1"/>
    </row>
    <row r="5389" ht="50.25" customHeight="1">
      <c r="A5389" s="12">
        <v>5385.0</v>
      </c>
      <c r="B5389" s="13" t="s">
        <v>5027</v>
      </c>
      <c r="C5389" s="18" t="s">
        <v>5409</v>
      </c>
      <c r="D5389" s="1"/>
      <c r="E5389" s="1"/>
      <c r="F5389" s="1" t="str">
        <f>IFERROR(__xludf.DUMMYFUNCTION("GOOGLETRANSLATE(B5389, ""en"", ""fa"")
"),"املاک و مستغلات برای حرفه ای ها")</f>
        <v>املاک و مستغلات برای حرفه ای ها</v>
      </c>
      <c r="G5389" s="1" t="str">
        <f>IFERROR(__xludf.DUMMYFUNCTION("GOOGLETRANSLATE(C5389, ""en"", ""fa"")
"),"متخصصان املاک و مستغلات چگونه می توانند تأثیر بالقوه پیشرفت های فناوری، مانند دستگاه های خانه هوشمند یا تورهای واقعیت مجازی را بر پیش بینی های بازار املاک ارزیابی کنند؟")</f>
        <v>متخصصان املاک و مستغلات چگونه می توانند تأثیر بالقوه پیشرفت های فناوری، مانند دستگاه های خانه هوشمند یا تورهای واقعیت مجازی را بر پیش بینی های بازار املاک ارزیابی کنند؟</v>
      </c>
      <c r="H5389" s="1"/>
      <c r="I5389" s="1"/>
      <c r="J5389" s="1"/>
      <c r="K5389" s="1"/>
      <c r="L5389" s="1"/>
      <c r="M5389" s="1"/>
      <c r="N5389" s="1"/>
      <c r="O5389" s="1"/>
      <c r="P5389" s="1"/>
      <c r="Q5389" s="1"/>
      <c r="R5389" s="1"/>
      <c r="S5389" s="1"/>
      <c r="T5389" s="1"/>
      <c r="U5389" s="1"/>
      <c r="V5389" s="1"/>
      <c r="W5389" s="1"/>
      <c r="X5389" s="1"/>
      <c r="Y5389" s="1"/>
      <c r="Z5389" s="1"/>
      <c r="AA5389" s="1"/>
      <c r="AB5389" s="1"/>
    </row>
    <row r="5390" ht="50.25" customHeight="1">
      <c r="A5390" s="12">
        <v>5386.0</v>
      </c>
      <c r="B5390" s="13" t="s">
        <v>5027</v>
      </c>
      <c r="C5390" s="18" t="s">
        <v>5410</v>
      </c>
      <c r="D5390" s="1"/>
      <c r="E5390" s="1"/>
      <c r="F5390" s="1" t="str">
        <f>IFERROR(__xludf.DUMMYFUNCTION("GOOGLETRANSLATE(B5390, ""en"", ""fa"")
"),"املاک و مستغلات برای حرفه ای ها")</f>
        <v>املاک و مستغلات برای حرفه ای ها</v>
      </c>
      <c r="G5390" s="1" t="str">
        <f>IFERROR(__xludf.DUMMYFUNCTION("GOOGLETRANSLATE(C5390, ""en"", ""fa"")
"),"متخصصان املاک و مستغلات از چه تکنیک هایی می توانند برای تحلیل تاثیر توسعه زیرساخت های حمل و نقل یا طرح های برنامه ریزی شهری بر پیش بینی های بازار املاک استفاده کنند؟")</f>
        <v>متخصصان املاک و مستغلات از چه تکنیک هایی می توانند برای تحلیل تاثیر توسعه زیرساخت های حمل و نقل یا طرح های برنامه ریزی شهری بر پیش بینی های بازار املاک استفاده کنند؟</v>
      </c>
      <c r="H5390" s="1"/>
      <c r="I5390" s="1"/>
      <c r="J5390" s="1"/>
      <c r="K5390" s="1"/>
      <c r="L5390" s="1"/>
      <c r="M5390" s="1"/>
      <c r="N5390" s="1"/>
      <c r="O5390" s="1"/>
      <c r="P5390" s="1"/>
      <c r="Q5390" s="1"/>
      <c r="R5390" s="1"/>
      <c r="S5390" s="1"/>
      <c r="T5390" s="1"/>
      <c r="U5390" s="1"/>
      <c r="V5390" s="1"/>
      <c r="W5390" s="1"/>
      <c r="X5390" s="1"/>
      <c r="Y5390" s="1"/>
      <c r="Z5390" s="1"/>
      <c r="AA5390" s="1"/>
      <c r="AB5390" s="1"/>
    </row>
    <row r="5391" ht="50.25" customHeight="1">
      <c r="A5391" s="12">
        <v>5387.0</v>
      </c>
      <c r="B5391" s="13" t="s">
        <v>5027</v>
      </c>
      <c r="C5391" s="18" t="s">
        <v>5411</v>
      </c>
      <c r="D5391" s="1"/>
      <c r="E5391" s="1"/>
      <c r="F5391" s="1" t="str">
        <f>IFERROR(__xludf.DUMMYFUNCTION("GOOGLETRANSLATE(B5391, ""en"", ""fa"")
"),"املاک و مستغلات برای حرفه ای ها")</f>
        <v>املاک و مستغلات برای حرفه ای ها</v>
      </c>
      <c r="G5391" s="1" t="str">
        <f>IFERROR(__xludf.DUMMYFUNCTION("GOOGLETRANSLATE(C5391, ""en"", ""fa"")
"),"چگونه متخصصان املاک و مستغلات می توانند خطرات و چالش های بالقوه مرتبط با پیش بینی شرایط بازار برای بخش های خاص یا تخصصی املاک، مانند املاک و مستغلات لوکس یا مسکن سالمندان را ارزیابی کنند؟")</f>
        <v>چگونه متخصصان املاک و مستغلات می توانند خطرات و چالش های بالقوه مرتبط با پیش بینی شرایط بازار برای بخش های خاص یا تخصصی املاک، مانند املاک و مستغلات لوکس یا مسکن سالمندان را ارزیابی کنند؟</v>
      </c>
      <c r="H5391" s="1"/>
      <c r="I5391" s="1"/>
      <c r="J5391" s="1"/>
      <c r="K5391" s="1"/>
      <c r="L5391" s="1"/>
      <c r="M5391" s="1"/>
      <c r="N5391" s="1"/>
      <c r="O5391" s="1"/>
      <c r="P5391" s="1"/>
      <c r="Q5391" s="1"/>
      <c r="R5391" s="1"/>
      <c r="S5391" s="1"/>
      <c r="T5391" s="1"/>
      <c r="U5391" s="1"/>
      <c r="V5391" s="1"/>
      <c r="W5391" s="1"/>
      <c r="X5391" s="1"/>
      <c r="Y5391" s="1"/>
      <c r="Z5391" s="1"/>
      <c r="AA5391" s="1"/>
      <c r="AB5391" s="1"/>
    </row>
    <row r="5392" ht="50.25" customHeight="1">
      <c r="A5392" s="12">
        <v>5388.0</v>
      </c>
      <c r="B5392" s="13" t="s">
        <v>5027</v>
      </c>
      <c r="C5392" s="18" t="s">
        <v>5412</v>
      </c>
      <c r="D5392" s="1"/>
      <c r="E5392" s="1"/>
      <c r="F5392" s="1" t="str">
        <f>IFERROR(__xludf.DUMMYFUNCTION("GOOGLETRANSLATE(B5392, ""en"", ""fa"")
"),"املاک و مستغلات برای حرفه ای ها")</f>
        <v>املاک و مستغلات برای حرفه ای ها</v>
      </c>
      <c r="G5392" s="1" t="str">
        <f>IFERROR(__xludf.DUMMYFUNCTION("GOOGLETRANSLATE(C5392, ""en"", ""fa"")
"),"متخصصان املاک و مستغلات چه استراتژی هایی را می توانند برای انتقال موثر پیش بینی های بازار املاک و مستغلات به مشتریان یا ذینفعان برای تصمیم گیری آگاهانه به کار گیرند؟")</f>
        <v>متخصصان املاک و مستغلات چه استراتژی هایی را می توانند برای انتقال موثر پیش بینی های بازار املاک و مستغلات به مشتریان یا ذینفعان برای تصمیم گیری آگاهانه به کار گیرند؟</v>
      </c>
      <c r="H5392" s="1"/>
      <c r="I5392" s="1"/>
      <c r="J5392" s="1"/>
      <c r="K5392" s="1"/>
      <c r="L5392" s="1"/>
      <c r="M5392" s="1"/>
      <c r="N5392" s="1"/>
      <c r="O5392" s="1"/>
      <c r="P5392" s="1"/>
      <c r="Q5392" s="1"/>
      <c r="R5392" s="1"/>
      <c r="S5392" s="1"/>
      <c r="T5392" s="1"/>
      <c r="U5392" s="1"/>
      <c r="V5392" s="1"/>
      <c r="W5392" s="1"/>
      <c r="X5392" s="1"/>
      <c r="Y5392" s="1"/>
      <c r="Z5392" s="1"/>
      <c r="AA5392" s="1"/>
      <c r="AB5392" s="1"/>
    </row>
    <row r="5393" ht="50.25" customHeight="1">
      <c r="A5393" s="12">
        <v>5389.0</v>
      </c>
      <c r="B5393" s="13" t="s">
        <v>5027</v>
      </c>
      <c r="C5393" s="18" t="s">
        <v>5413</v>
      </c>
      <c r="D5393" s="1"/>
      <c r="E5393" s="1"/>
      <c r="F5393" s="1" t="str">
        <f>IFERROR(__xludf.DUMMYFUNCTION("GOOGLETRANSLATE(B5393, ""en"", ""fa"")
"),"املاک و مستغلات برای حرفه ای ها")</f>
        <v>املاک و مستغلات برای حرفه ای ها</v>
      </c>
      <c r="G5393" s="1" t="str">
        <f>IFERROR(__xludf.DUMMYFUNCTION("GOOGLETRANSLATE(C5393, ""en"", ""fa"")
"),"چگونه متخصصان املاک و مستغلات می توانند تأثیر بالقوه بلایای طبیعی یا خطرات مربوط به تغییرات آب و هوایی را بر پیش بینی های بازار املاک ارزیابی کنند؟")</f>
        <v>چگونه متخصصان املاک و مستغلات می توانند تأثیر بالقوه بلایای طبیعی یا خطرات مربوط به تغییرات آب و هوایی را بر پیش بینی های بازار املاک ارزیابی کنند؟</v>
      </c>
      <c r="H5393" s="1"/>
      <c r="I5393" s="1"/>
      <c r="J5393" s="1"/>
      <c r="K5393" s="1"/>
      <c r="L5393" s="1"/>
      <c r="M5393" s="1"/>
      <c r="N5393" s="1"/>
      <c r="O5393" s="1"/>
      <c r="P5393" s="1"/>
      <c r="Q5393" s="1"/>
      <c r="R5393" s="1"/>
      <c r="S5393" s="1"/>
      <c r="T5393" s="1"/>
      <c r="U5393" s="1"/>
      <c r="V5393" s="1"/>
      <c r="W5393" s="1"/>
      <c r="X5393" s="1"/>
      <c r="Y5393" s="1"/>
      <c r="Z5393" s="1"/>
      <c r="AA5393" s="1"/>
      <c r="AB5393" s="1"/>
    </row>
    <row r="5394" ht="50.25" customHeight="1">
      <c r="A5394" s="12">
        <v>5390.0</v>
      </c>
      <c r="B5394" s="13" t="s">
        <v>5027</v>
      </c>
      <c r="C5394" s="18" t="s">
        <v>5414</v>
      </c>
      <c r="D5394" s="1"/>
      <c r="E5394" s="1"/>
      <c r="F5394" s="1" t="str">
        <f>IFERROR(__xludf.DUMMYFUNCTION("GOOGLETRANSLATE(B5394, ""en"", ""fa"")
"),"املاک و مستغلات برای حرفه ای ها")</f>
        <v>املاک و مستغلات برای حرفه ای ها</v>
      </c>
      <c r="G5394" s="1" t="str">
        <f>IFERROR(__xludf.DUMMYFUNCTION("GOOGLETRANSLATE(C5394, ""en"", ""fa"")
"),"متخصصان املاک و مستغلات از چه تکنیک هایی می توانند برای ارزیابی تأثیر بالقوه تغییر نرخ بهره یا سیاست های وام بر پیش بینی های بازار املاک استفاده کنند؟")</f>
        <v>متخصصان املاک و مستغلات از چه تکنیک هایی می توانند برای ارزیابی تأثیر بالقوه تغییر نرخ بهره یا سیاست های وام بر پیش بینی های بازار املاک استفاده کنند؟</v>
      </c>
      <c r="H5394" s="1"/>
      <c r="I5394" s="1"/>
      <c r="J5394" s="1"/>
      <c r="K5394" s="1"/>
      <c r="L5394" s="1"/>
      <c r="M5394" s="1"/>
      <c r="N5394" s="1"/>
      <c r="O5394" s="1"/>
      <c r="P5394" s="1"/>
      <c r="Q5394" s="1"/>
      <c r="R5394" s="1"/>
      <c r="S5394" s="1"/>
      <c r="T5394" s="1"/>
      <c r="U5394" s="1"/>
      <c r="V5394" s="1"/>
      <c r="W5394" s="1"/>
      <c r="X5394" s="1"/>
      <c r="Y5394" s="1"/>
      <c r="Z5394" s="1"/>
      <c r="AA5394" s="1"/>
      <c r="AB5394" s="1"/>
    </row>
    <row r="5395" ht="50.25" customHeight="1">
      <c r="A5395" s="12">
        <v>5391.0</v>
      </c>
      <c r="B5395" s="13" t="s">
        <v>5027</v>
      </c>
      <c r="C5395" s="18" t="s">
        <v>5415</v>
      </c>
      <c r="D5395" s="1"/>
      <c r="E5395" s="1"/>
      <c r="F5395" s="1" t="str">
        <f>IFERROR(__xludf.DUMMYFUNCTION("GOOGLETRANSLATE(B5395, ""en"", ""fa"")
"),"املاک و مستغلات برای حرفه ای ها")</f>
        <v>املاک و مستغلات برای حرفه ای ها</v>
      </c>
      <c r="G5395" s="1" t="str">
        <f>IFERROR(__xludf.DUMMYFUNCTION("GOOGLETRANSLATE(C5395, ""en"", ""fa"")
"),"چگونه متخصصان املاک و مستغلات می توانند خطرات و فرصت های بالقوه مرتبط با تغییرات جمعیتی، مانند شهرنشینی یا مهاجرت را در پیش بینی های بازار املاک ارزیابی کنند؟")</f>
        <v>چگونه متخصصان املاک و مستغلات می توانند خطرات و فرصت های بالقوه مرتبط با تغییرات جمعیتی، مانند شهرنشینی یا مهاجرت را در پیش بینی های بازار املاک ارزیابی کنند؟</v>
      </c>
      <c r="H5395" s="1"/>
      <c r="I5395" s="1"/>
      <c r="J5395" s="1"/>
      <c r="K5395" s="1"/>
      <c r="L5395" s="1"/>
      <c r="M5395" s="1"/>
      <c r="N5395" s="1"/>
      <c r="O5395" s="1"/>
      <c r="P5395" s="1"/>
      <c r="Q5395" s="1"/>
      <c r="R5395" s="1"/>
      <c r="S5395" s="1"/>
      <c r="T5395" s="1"/>
      <c r="U5395" s="1"/>
      <c r="V5395" s="1"/>
      <c r="W5395" s="1"/>
      <c r="X5395" s="1"/>
      <c r="Y5395" s="1"/>
      <c r="Z5395" s="1"/>
      <c r="AA5395" s="1"/>
      <c r="AB5395" s="1"/>
    </row>
    <row r="5396" ht="50.25" customHeight="1">
      <c r="A5396" s="12">
        <v>5392.0</v>
      </c>
      <c r="B5396" s="13" t="s">
        <v>5027</v>
      </c>
      <c r="C5396" s="18" t="s">
        <v>5416</v>
      </c>
      <c r="D5396" s="1"/>
      <c r="E5396" s="1"/>
      <c r="F5396" s="1" t="str">
        <f>IFERROR(__xludf.DUMMYFUNCTION("GOOGLETRANSLATE(B5396, ""en"", ""fa"")
"),"املاک و مستغلات برای حرفه ای ها")</f>
        <v>املاک و مستغلات برای حرفه ای ها</v>
      </c>
      <c r="G5396" s="1" t="str">
        <f>IFERROR(__xludf.DUMMYFUNCTION("GOOGLETRANSLATE(C5396, ""en"", ""fa"")
"),"متخصصان املاک و مستغلات چه استراتژی هایی می توانند برای جمع آوری و تجزیه و تحلیل داده ها در مورد پویایی بازار اجاره، مانند نرخ های خالی یا بازده اجاره، برای پیش بینی دقیق بازار به کار گیرند؟")</f>
        <v>متخصصان املاک و مستغلات چه استراتژی هایی می توانند برای جمع آوری و تجزیه و تحلیل داده ها در مورد پویایی بازار اجاره، مانند نرخ های خالی یا بازده اجاره، برای پیش بینی دقیق بازار به کار گیرند؟</v>
      </c>
      <c r="H5396" s="1"/>
      <c r="I5396" s="1"/>
      <c r="J5396" s="1"/>
      <c r="K5396" s="1"/>
      <c r="L5396" s="1"/>
      <c r="M5396" s="1"/>
      <c r="N5396" s="1"/>
      <c r="O5396" s="1"/>
      <c r="P5396" s="1"/>
      <c r="Q5396" s="1"/>
      <c r="R5396" s="1"/>
      <c r="S5396" s="1"/>
      <c r="T5396" s="1"/>
      <c r="U5396" s="1"/>
      <c r="V5396" s="1"/>
      <c r="W5396" s="1"/>
      <c r="X5396" s="1"/>
      <c r="Y5396" s="1"/>
      <c r="Z5396" s="1"/>
      <c r="AA5396" s="1"/>
      <c r="AB5396" s="1"/>
    </row>
    <row r="5397" ht="50.25" customHeight="1">
      <c r="A5397" s="12">
        <v>5393.0</v>
      </c>
      <c r="B5397" s="13" t="s">
        <v>5027</v>
      </c>
      <c r="C5397" s="18" t="s">
        <v>5417</v>
      </c>
      <c r="D5397" s="1"/>
      <c r="E5397" s="1"/>
      <c r="F5397" s="1" t="str">
        <f>IFERROR(__xludf.DUMMYFUNCTION("GOOGLETRANSLATE(B5397, ""en"", ""fa"")
"),"املاک و مستغلات برای حرفه ای ها")</f>
        <v>املاک و مستغلات برای حرفه ای ها</v>
      </c>
      <c r="G5397" s="1" t="str">
        <f>IFERROR(__xludf.DUMMYFUNCTION("GOOGLETRANSLATE(C5397, ""en"", ""fa"")
"),"متخصصان املاک و مستغلات چگونه می توانند تأثیر بالقوه تغییر رفتار مصرف کننده، مانند افزایش کار از راه دور یا تجارت الکترونیک را بر پیش بینی های بازار املاک ارزیابی کنند؟")</f>
        <v>متخصصان املاک و مستغلات چگونه می توانند تأثیر بالقوه تغییر رفتار مصرف کننده، مانند افزایش کار از راه دور یا تجارت الکترونیک را بر پیش بینی های بازار املاک ارزیابی کنند؟</v>
      </c>
      <c r="H5397" s="1"/>
      <c r="I5397" s="1"/>
      <c r="J5397" s="1"/>
      <c r="K5397" s="1"/>
      <c r="L5397" s="1"/>
      <c r="M5397" s="1"/>
      <c r="N5397" s="1"/>
      <c r="O5397" s="1"/>
      <c r="P5397" s="1"/>
      <c r="Q5397" s="1"/>
      <c r="R5397" s="1"/>
      <c r="S5397" s="1"/>
      <c r="T5397" s="1"/>
      <c r="U5397" s="1"/>
      <c r="V5397" s="1"/>
      <c r="W5397" s="1"/>
      <c r="X5397" s="1"/>
      <c r="Y5397" s="1"/>
      <c r="Z5397" s="1"/>
      <c r="AA5397" s="1"/>
      <c r="AB5397" s="1"/>
    </row>
    <row r="5398" ht="50.25" customHeight="1">
      <c r="A5398" s="12">
        <v>5394.0</v>
      </c>
      <c r="B5398" s="13" t="s">
        <v>5027</v>
      </c>
      <c r="C5398" s="18" t="s">
        <v>5418</v>
      </c>
      <c r="D5398" s="1"/>
      <c r="E5398" s="1"/>
      <c r="F5398" s="1" t="str">
        <f>IFERROR(__xludf.DUMMYFUNCTION("GOOGLETRANSLATE(B5398, ""en"", ""fa"")
"),"املاک و مستغلات برای حرفه ای ها")</f>
        <v>املاک و مستغلات برای حرفه ای ها</v>
      </c>
      <c r="G5398" s="1" t="str">
        <f>IFERROR(__xludf.DUMMYFUNCTION("GOOGLETRANSLATE(C5398, ""en"", ""fa"")
"),"متخصصان املاک و مستغلات از چه تکنیک هایی می توانند برای ارزیابی تأثیر بالقوه تغییر مقررات منطقه بندی یا سیاست های کاربری زمین بر پیش بینی های بازار املاک استفاده کنند؟")</f>
        <v>متخصصان املاک و مستغلات از چه تکنیک هایی می توانند برای ارزیابی تأثیر بالقوه تغییر مقررات منطقه بندی یا سیاست های کاربری زمین بر پیش بینی های بازار املاک استفاده کنند؟</v>
      </c>
      <c r="H5398" s="1"/>
      <c r="I5398" s="1"/>
      <c r="J5398" s="1"/>
      <c r="K5398" s="1"/>
      <c r="L5398" s="1"/>
      <c r="M5398" s="1"/>
      <c r="N5398" s="1"/>
      <c r="O5398" s="1"/>
      <c r="P5398" s="1"/>
      <c r="Q5398" s="1"/>
      <c r="R5398" s="1"/>
      <c r="S5398" s="1"/>
      <c r="T5398" s="1"/>
      <c r="U5398" s="1"/>
      <c r="V5398" s="1"/>
      <c r="W5398" s="1"/>
      <c r="X5398" s="1"/>
      <c r="Y5398" s="1"/>
      <c r="Z5398" s="1"/>
      <c r="AA5398" s="1"/>
      <c r="AB5398" s="1"/>
    </row>
    <row r="5399" ht="50.25" customHeight="1">
      <c r="A5399" s="12">
        <v>5395.0</v>
      </c>
      <c r="B5399" s="13" t="s">
        <v>5027</v>
      </c>
      <c r="C5399" s="18" t="s">
        <v>5419</v>
      </c>
      <c r="D5399" s="1"/>
      <c r="E5399" s="1"/>
      <c r="F5399" s="1" t="str">
        <f>IFERROR(__xludf.DUMMYFUNCTION("GOOGLETRANSLATE(B5399, ""en"", ""fa"")
"),"املاک و مستغلات برای حرفه ای ها")</f>
        <v>املاک و مستغلات برای حرفه ای ها</v>
      </c>
      <c r="G5399" s="1" t="str">
        <f>IFERROR(__xludf.DUMMYFUNCTION("GOOGLETRANSLATE(C5399, ""en"", ""fa"")
"),"چگونه متخصصان املاک و مستغلات می توانند خطرات و چالش های بالقوه مرتبط با پیش بینی شرایط بازار را برای بازارهای بین المللی یا جهانی املاک و مستغلات ارزیابی کنند؟")</f>
        <v>چگونه متخصصان املاک و مستغلات می توانند خطرات و چالش های بالقوه مرتبط با پیش بینی شرایط بازار را برای بازارهای بین المللی یا جهانی املاک و مستغلات ارزیابی کنند؟</v>
      </c>
      <c r="H5399" s="1"/>
      <c r="I5399" s="1"/>
      <c r="J5399" s="1"/>
      <c r="K5399" s="1"/>
      <c r="L5399" s="1"/>
      <c r="M5399" s="1"/>
      <c r="N5399" s="1"/>
      <c r="O5399" s="1"/>
      <c r="P5399" s="1"/>
      <c r="Q5399" s="1"/>
      <c r="R5399" s="1"/>
      <c r="S5399" s="1"/>
      <c r="T5399" s="1"/>
      <c r="U5399" s="1"/>
      <c r="V5399" s="1"/>
      <c r="W5399" s="1"/>
      <c r="X5399" s="1"/>
      <c r="Y5399" s="1"/>
      <c r="Z5399" s="1"/>
      <c r="AA5399" s="1"/>
      <c r="AB5399" s="1"/>
    </row>
    <row r="5400" ht="50.25" customHeight="1">
      <c r="A5400" s="12">
        <v>5396.0</v>
      </c>
      <c r="B5400" s="13" t="s">
        <v>5027</v>
      </c>
      <c r="C5400" s="18" t="s">
        <v>5420</v>
      </c>
      <c r="D5400" s="1"/>
      <c r="E5400" s="1"/>
      <c r="F5400" s="1" t="str">
        <f>IFERROR(__xludf.DUMMYFUNCTION("GOOGLETRANSLATE(B5400, ""en"", ""fa"")
"),"املاک و مستغلات برای حرفه ای ها")</f>
        <v>املاک و مستغلات برای حرفه ای ها</v>
      </c>
      <c r="G5400" s="1" t="str">
        <f>IFERROR(__xludf.DUMMYFUNCTION("GOOGLETRANSLATE(C5400, ""en"", ""fa"")
"),"متخصصان املاک و مستغلات چه استراتژی هایی می توانند برای ارزیابی تأثیر عوامل خاص صنعت، مانند پیشرفت های فناوری یا اصلاحات مراقبت های بهداشتی، بر پیش بینی های بازار املاک و مستغلات به کار گیرند؟")</f>
        <v>متخصصان املاک و مستغلات چه استراتژی هایی می توانند برای ارزیابی تأثیر عوامل خاص صنعت، مانند پیشرفت های فناوری یا اصلاحات مراقبت های بهداشتی، بر پیش بینی های بازار املاک و مستغلات به کار گیرند؟</v>
      </c>
      <c r="H5400" s="1"/>
      <c r="I5400" s="1"/>
      <c r="J5400" s="1"/>
      <c r="K5400" s="1"/>
      <c r="L5400" s="1"/>
      <c r="M5400" s="1"/>
      <c r="N5400" s="1"/>
      <c r="O5400" s="1"/>
      <c r="P5400" s="1"/>
      <c r="Q5400" s="1"/>
      <c r="R5400" s="1"/>
      <c r="S5400" s="1"/>
      <c r="T5400" s="1"/>
      <c r="U5400" s="1"/>
      <c r="V5400" s="1"/>
      <c r="W5400" s="1"/>
      <c r="X5400" s="1"/>
      <c r="Y5400" s="1"/>
      <c r="Z5400" s="1"/>
      <c r="AA5400" s="1"/>
      <c r="AB5400" s="1"/>
    </row>
    <row r="5401" ht="50.25" customHeight="1">
      <c r="A5401" s="12">
        <v>5397.0</v>
      </c>
      <c r="B5401" s="13" t="s">
        <v>5027</v>
      </c>
      <c r="C5401" s="18" t="s">
        <v>5421</v>
      </c>
      <c r="D5401" s="1"/>
      <c r="E5401" s="1"/>
      <c r="F5401" s="1" t="str">
        <f>IFERROR(__xludf.DUMMYFUNCTION("GOOGLETRANSLATE(B5401, ""en"", ""fa"")
"),"املاک و مستغلات برای حرفه ای ها")</f>
        <v>املاک و مستغلات برای حرفه ای ها</v>
      </c>
      <c r="G5401" s="1" t="str">
        <f>IFERROR(__xludf.DUMMYFUNCTION("GOOGLETRANSLATE(C5401, ""en"", ""fa"")
"),"چگونه متخصصان املاک و مستغلات می توانند از الگوریتم های مدل سازی پیش بینی یا یادگیری ماشین برای پیش بینی های دقیق تر بازار املاک و مستغلات استفاده کنند؟")</f>
        <v>چگونه متخصصان املاک و مستغلات می توانند از الگوریتم های مدل سازی پیش بینی یا یادگیری ماشین برای پیش بینی های دقیق تر بازار املاک و مستغلات استفاده کنند؟</v>
      </c>
      <c r="H5401" s="1"/>
      <c r="I5401" s="1"/>
      <c r="J5401" s="1"/>
      <c r="K5401" s="1"/>
      <c r="L5401" s="1"/>
      <c r="M5401" s="1"/>
      <c r="N5401" s="1"/>
      <c r="O5401" s="1"/>
      <c r="P5401" s="1"/>
      <c r="Q5401" s="1"/>
      <c r="R5401" s="1"/>
      <c r="S5401" s="1"/>
      <c r="T5401" s="1"/>
      <c r="U5401" s="1"/>
      <c r="V5401" s="1"/>
      <c r="W5401" s="1"/>
      <c r="X5401" s="1"/>
      <c r="Y5401" s="1"/>
      <c r="Z5401" s="1"/>
      <c r="AA5401" s="1"/>
      <c r="AB5401" s="1"/>
    </row>
    <row r="5402" ht="50.25" customHeight="1">
      <c r="A5402" s="12">
        <v>5398.0</v>
      </c>
      <c r="B5402" s="13" t="s">
        <v>5027</v>
      </c>
      <c r="C5402" s="18" t="s">
        <v>5422</v>
      </c>
      <c r="D5402" s="1"/>
      <c r="E5402" s="1"/>
      <c r="F5402" s="1" t="str">
        <f>IFERROR(__xludf.DUMMYFUNCTION("GOOGLETRANSLATE(B5402, ""en"", ""fa"")
"),"املاک و مستغلات برای حرفه ای ها")</f>
        <v>املاک و مستغلات برای حرفه ای ها</v>
      </c>
      <c r="G5402" s="1" t="str">
        <f>IFERROR(__xludf.DUMMYFUNCTION("GOOGLETRANSLATE(C5402, ""en"", ""fa"")
"),"ملاحظات کلیدی برای گنجاندن پیش‌بینی‌های اقتصادی، مانند رشد تولید ناخالص داخلی یا نرخ تورم، در پیش‌بینی‌های بازار املاک چیست؟")</f>
        <v>ملاحظات کلیدی برای گنجاندن پیش‌بینی‌های اقتصادی، مانند رشد تولید ناخالص داخلی یا نرخ تورم، در پیش‌بینی‌های بازار املاک چیست؟</v>
      </c>
      <c r="H5402" s="1"/>
      <c r="I5402" s="1"/>
      <c r="J5402" s="1"/>
      <c r="K5402" s="1"/>
      <c r="L5402" s="1"/>
      <c r="M5402" s="1"/>
      <c r="N5402" s="1"/>
      <c r="O5402" s="1"/>
      <c r="P5402" s="1"/>
      <c r="Q5402" s="1"/>
      <c r="R5402" s="1"/>
      <c r="S5402" s="1"/>
      <c r="T5402" s="1"/>
      <c r="U5402" s="1"/>
      <c r="V5402" s="1"/>
      <c r="W5402" s="1"/>
      <c r="X5402" s="1"/>
      <c r="Y5402" s="1"/>
      <c r="Z5402" s="1"/>
      <c r="AA5402" s="1"/>
      <c r="AB5402" s="1"/>
    </row>
    <row r="5403" ht="50.25" customHeight="1">
      <c r="A5403" s="12">
        <v>5399.0</v>
      </c>
      <c r="B5403" s="13" t="s">
        <v>5027</v>
      </c>
      <c r="C5403" s="18" t="s">
        <v>5423</v>
      </c>
      <c r="D5403" s="1"/>
      <c r="E5403" s="1"/>
      <c r="F5403" s="1" t="str">
        <f>IFERROR(__xludf.DUMMYFUNCTION("GOOGLETRANSLATE(B5403, ""en"", ""fa"")
"),"املاک و مستغلات برای حرفه ای ها")</f>
        <v>املاک و مستغلات برای حرفه ای ها</v>
      </c>
      <c r="G5403" s="1" t="str">
        <f>IFERROR(__xludf.DUMMYFUNCTION("GOOGLETRANSLATE(C5403, ""en"", ""fa"")
"),"چگونه متخصصان املاک و مستغلات می توانند تأثیر بالقوه تغییر ترجیحات مصرف کننده یا روند سبک زندگی را بر پیش بینی های بازار املاک ارزیابی کنند؟")</f>
        <v>چگونه متخصصان املاک و مستغلات می توانند تأثیر بالقوه تغییر ترجیحات مصرف کننده یا روند سبک زندگی را بر پیش بینی های بازار املاک ارزیابی کنند؟</v>
      </c>
      <c r="H5403" s="1"/>
      <c r="I5403" s="1"/>
      <c r="J5403" s="1"/>
      <c r="K5403" s="1"/>
      <c r="L5403" s="1"/>
      <c r="M5403" s="1"/>
      <c r="N5403" s="1"/>
      <c r="O5403" s="1"/>
      <c r="P5403" s="1"/>
      <c r="Q5403" s="1"/>
      <c r="R5403" s="1"/>
      <c r="S5403" s="1"/>
      <c r="T5403" s="1"/>
      <c r="U5403" s="1"/>
      <c r="V5403" s="1"/>
      <c r="W5403" s="1"/>
      <c r="X5403" s="1"/>
      <c r="Y5403" s="1"/>
      <c r="Z5403" s="1"/>
      <c r="AA5403" s="1"/>
      <c r="AB5403" s="1"/>
    </row>
    <row r="5404" ht="50.25" customHeight="1">
      <c r="A5404" s="12">
        <v>5400.0</v>
      </c>
      <c r="B5404" s="13" t="s">
        <v>5027</v>
      </c>
      <c r="C5404" s="18" t="s">
        <v>5424</v>
      </c>
      <c r="D5404" s="1"/>
      <c r="E5404" s="1"/>
      <c r="F5404" s="1" t="str">
        <f>IFERROR(__xludf.DUMMYFUNCTION("GOOGLETRANSLATE(B5404, ""en"", ""fa"")
"),"املاک و مستغلات برای حرفه ای ها")</f>
        <v>املاک و مستغلات برای حرفه ای ها</v>
      </c>
      <c r="G5404" s="1" t="str">
        <f>IFERROR(__xludf.DUMMYFUNCTION("GOOGLETRANSLATE(C5404, ""en"", ""fa"")
"),"متخصصان املاک و مستغلات از چه تکنیک هایی می توانند برای تحلیل تاثیر تنوع فرهنگی یا جمعیتی بر پیش بینی های بازار املاک استفاده کنند؟")</f>
        <v>متخصصان املاک و مستغلات از چه تکنیک هایی می توانند برای تحلیل تاثیر تنوع فرهنگی یا جمعیتی بر پیش بینی های بازار املاک استفاده کنند؟</v>
      </c>
      <c r="H5404" s="1"/>
      <c r="I5404" s="1"/>
      <c r="J5404" s="1"/>
      <c r="K5404" s="1"/>
      <c r="L5404" s="1"/>
      <c r="M5404" s="1"/>
      <c r="N5404" s="1"/>
      <c r="O5404" s="1"/>
      <c r="P5404" s="1"/>
      <c r="Q5404" s="1"/>
      <c r="R5404" s="1"/>
      <c r="S5404" s="1"/>
      <c r="T5404" s="1"/>
      <c r="U5404" s="1"/>
      <c r="V5404" s="1"/>
      <c r="W5404" s="1"/>
      <c r="X5404" s="1"/>
      <c r="Y5404" s="1"/>
      <c r="Z5404" s="1"/>
      <c r="AA5404" s="1"/>
      <c r="AB5404" s="1"/>
    </row>
    <row r="5405" ht="50.25" customHeight="1">
      <c r="A5405" s="12">
        <v>5401.0</v>
      </c>
      <c r="B5405" s="13" t="s">
        <v>5027</v>
      </c>
      <c r="C5405" s="18" t="s">
        <v>5425</v>
      </c>
      <c r="D5405" s="1"/>
      <c r="E5405" s="1"/>
      <c r="F5405" s="1" t="str">
        <f>IFERROR(__xludf.DUMMYFUNCTION("GOOGLETRANSLATE(B5405, ""en"", ""fa"")
"),"املاک و مستغلات برای حرفه ای ها")</f>
        <v>املاک و مستغلات برای حرفه ای ها</v>
      </c>
      <c r="G5405" s="1" t="str">
        <f>IFERROR(__xludf.DUMMYFUNCTION("GOOGLETRANSLATE(C5405, ""en"", ""fa"")
"),"چگونه متخصصان املاک و مستغلات می توانند خطرات و محدودیت های بالقوه تکیه بر نظرات کارشناسان یا پیش بینی های ارائه شده توسط متخصصان صنعت برای پیش بینی بازار را ارزیابی کنند؟")</f>
        <v>چگونه متخصصان املاک و مستغلات می توانند خطرات و محدودیت های بالقوه تکیه بر نظرات کارشناسان یا پیش بینی های ارائه شده توسط متخصصان صنعت برای پیش بینی بازار را ارزیابی کنند؟</v>
      </c>
      <c r="H5405" s="1"/>
      <c r="I5405" s="1"/>
      <c r="J5405" s="1"/>
      <c r="K5405" s="1"/>
      <c r="L5405" s="1"/>
      <c r="M5405" s="1"/>
      <c r="N5405" s="1"/>
      <c r="O5405" s="1"/>
      <c r="P5405" s="1"/>
      <c r="Q5405" s="1"/>
      <c r="R5405" s="1"/>
      <c r="S5405" s="1"/>
      <c r="T5405" s="1"/>
      <c r="U5405" s="1"/>
      <c r="V5405" s="1"/>
      <c r="W5405" s="1"/>
      <c r="X5405" s="1"/>
      <c r="Y5405" s="1"/>
      <c r="Z5405" s="1"/>
      <c r="AA5405" s="1"/>
      <c r="AB5405" s="1"/>
    </row>
    <row r="5406" ht="50.25" customHeight="1">
      <c r="A5406" s="12">
        <v>5402.0</v>
      </c>
      <c r="B5406" s="13" t="s">
        <v>5027</v>
      </c>
      <c r="C5406" s="18" t="s">
        <v>5426</v>
      </c>
      <c r="D5406" s="1"/>
      <c r="E5406" s="1"/>
      <c r="F5406" s="1" t="str">
        <f>IFERROR(__xludf.DUMMYFUNCTION("GOOGLETRANSLATE(B5406, ""en"", ""fa"")
"),"املاک و مستغلات برای حرفه ای ها")</f>
        <v>املاک و مستغلات برای حرفه ای ها</v>
      </c>
      <c r="G5406" s="1" t="str">
        <f>IFERROR(__xludf.DUMMYFUNCTION("GOOGLETRANSLATE(C5406, ""en"", ""fa"")
"),"متخصصان املاک و مستغلات چه استراتژی هایی را می توانند برای جمع آوری و تجزیه و تحلیل داده ها در مورد پویایی بازار املاک تجاری، مانند نرخ جذب یا نرخ سقف، برای پیش بینی دقیق بازار به کار گیرند؟")</f>
        <v>متخصصان املاک و مستغلات چه استراتژی هایی را می توانند برای جمع آوری و تجزیه و تحلیل داده ها در مورد پویایی بازار املاک تجاری، مانند نرخ جذب یا نرخ سقف، برای پیش بینی دقیق بازار به کار گیرند؟</v>
      </c>
      <c r="H5406" s="1"/>
      <c r="I5406" s="1"/>
      <c r="J5406" s="1"/>
      <c r="K5406" s="1"/>
      <c r="L5406" s="1"/>
      <c r="M5406" s="1"/>
      <c r="N5406" s="1"/>
      <c r="O5406" s="1"/>
      <c r="P5406" s="1"/>
      <c r="Q5406" s="1"/>
      <c r="R5406" s="1"/>
      <c r="S5406" s="1"/>
      <c r="T5406" s="1"/>
      <c r="U5406" s="1"/>
      <c r="V5406" s="1"/>
      <c r="W5406" s="1"/>
      <c r="X5406" s="1"/>
      <c r="Y5406" s="1"/>
      <c r="Z5406" s="1"/>
      <c r="AA5406" s="1"/>
      <c r="AB5406" s="1"/>
    </row>
    <row r="5407" ht="50.25" customHeight="1">
      <c r="A5407" s="12">
        <v>5403.0</v>
      </c>
      <c r="B5407" s="13" t="s">
        <v>5027</v>
      </c>
      <c r="C5407" s="18" t="s">
        <v>5427</v>
      </c>
      <c r="D5407" s="1"/>
      <c r="E5407" s="1"/>
      <c r="F5407" s="1" t="str">
        <f>IFERROR(__xludf.DUMMYFUNCTION("GOOGLETRANSLATE(B5407, ""en"", ""fa"")
"),"املاک و مستغلات برای حرفه ای ها")</f>
        <v>املاک و مستغلات برای حرفه ای ها</v>
      </c>
      <c r="G5407" s="1" t="str">
        <f>IFERROR(__xludf.DUMMYFUNCTION("GOOGLETRANSLATE(C5407, ""en"", ""fa"")
"),"چگونه متخصصان املاک و مستغلات می توانند تأثیر بالقوه تغییر مقررات یا سیاست های مالیاتی را بر پیش بینی های بازار املاک ارزیابی کنند؟")</f>
        <v>چگونه متخصصان املاک و مستغلات می توانند تأثیر بالقوه تغییر مقررات یا سیاست های مالیاتی را بر پیش بینی های بازار املاک ارزیابی کنند؟</v>
      </c>
      <c r="H5407" s="1"/>
      <c r="I5407" s="1"/>
      <c r="J5407" s="1"/>
      <c r="K5407" s="1"/>
      <c r="L5407" s="1"/>
      <c r="M5407" s="1"/>
      <c r="N5407" s="1"/>
      <c r="O5407" s="1"/>
      <c r="P5407" s="1"/>
      <c r="Q5407" s="1"/>
      <c r="R5407" s="1"/>
      <c r="S5407" s="1"/>
      <c r="T5407" s="1"/>
      <c r="U5407" s="1"/>
      <c r="V5407" s="1"/>
      <c r="W5407" s="1"/>
      <c r="X5407" s="1"/>
      <c r="Y5407" s="1"/>
      <c r="Z5407" s="1"/>
      <c r="AA5407" s="1"/>
      <c r="AB5407" s="1"/>
    </row>
    <row r="5408" ht="50.25" customHeight="1">
      <c r="A5408" s="12">
        <v>5404.0</v>
      </c>
      <c r="B5408" s="13" t="s">
        <v>5027</v>
      </c>
      <c r="C5408" s="18" t="s">
        <v>5428</v>
      </c>
      <c r="D5408" s="1"/>
      <c r="E5408" s="1"/>
      <c r="F5408" s="1" t="str">
        <f>IFERROR(__xludf.DUMMYFUNCTION("GOOGLETRANSLATE(B5408, ""en"", ""fa"")
"),"املاک و مستغلات برای حرفه ای ها")</f>
        <v>املاک و مستغلات برای حرفه ای ها</v>
      </c>
      <c r="G5408" s="1" t="str">
        <f>IFERROR(__xludf.DUMMYFUNCTION("GOOGLETRANSLATE(C5408, ""en"", ""fa"")
"),"متخصصان املاک و مستغلات از چه تکنیک هایی می توانند برای ارزیابی تأثیر بالقوه تغییر زیرساخت حمل و نقل یا اتصال بر پیش بینی های بازار املاک استفاده کنند؟")</f>
        <v>متخصصان املاک و مستغلات از چه تکنیک هایی می توانند برای ارزیابی تأثیر بالقوه تغییر زیرساخت حمل و نقل یا اتصال بر پیش بینی های بازار املاک استفاده کنند؟</v>
      </c>
      <c r="H5408" s="1"/>
      <c r="I5408" s="1"/>
      <c r="J5408" s="1"/>
      <c r="K5408" s="1"/>
      <c r="L5408" s="1"/>
      <c r="M5408" s="1"/>
      <c r="N5408" s="1"/>
      <c r="O5408" s="1"/>
      <c r="P5408" s="1"/>
      <c r="Q5408" s="1"/>
      <c r="R5408" s="1"/>
      <c r="S5408" s="1"/>
      <c r="T5408" s="1"/>
      <c r="U5408" s="1"/>
      <c r="V5408" s="1"/>
      <c r="W5408" s="1"/>
      <c r="X5408" s="1"/>
      <c r="Y5408" s="1"/>
      <c r="Z5408" s="1"/>
      <c r="AA5408" s="1"/>
      <c r="AB5408" s="1"/>
    </row>
    <row r="5409" ht="50.25" customHeight="1">
      <c r="A5409" s="12">
        <v>5405.0</v>
      </c>
      <c r="B5409" s="13" t="s">
        <v>5027</v>
      </c>
      <c r="C5409" s="18" t="s">
        <v>5429</v>
      </c>
      <c r="D5409" s="1"/>
      <c r="E5409" s="1"/>
      <c r="F5409" s="1" t="str">
        <f>IFERROR(__xludf.DUMMYFUNCTION("GOOGLETRANSLATE(B5409, ""en"", ""fa"")
"),"املاک و مستغلات برای حرفه ای ها")</f>
        <v>املاک و مستغلات برای حرفه ای ها</v>
      </c>
      <c r="G5409" s="1" t="str">
        <f>IFERROR(__xludf.DUMMYFUNCTION("GOOGLETRANSLATE(C5409, ""en"", ""fa"")
"),"متخصصان املاک و مستغلات چگونه می‌توانند خطرات و چالش‌های بالقوه مرتبط با پیش‌بینی شرایط بازار برای انواع خاصی از املاک، مانند آپارتمان‌های مسکونی یا انبارهای صنعتی را ارزیابی کنند؟")</f>
        <v>متخصصان املاک و مستغلات چگونه می‌توانند خطرات و چالش‌های بالقوه مرتبط با پیش‌بینی شرایط بازار برای انواع خاصی از املاک، مانند آپارتمان‌های مسکونی یا انبارهای صنعتی را ارزیابی کنند؟</v>
      </c>
      <c r="H5409" s="1"/>
      <c r="I5409" s="1"/>
      <c r="J5409" s="1"/>
      <c r="K5409" s="1"/>
      <c r="L5409" s="1"/>
      <c r="M5409" s="1"/>
      <c r="N5409" s="1"/>
      <c r="O5409" s="1"/>
      <c r="P5409" s="1"/>
      <c r="Q5409" s="1"/>
      <c r="R5409" s="1"/>
      <c r="S5409" s="1"/>
      <c r="T5409" s="1"/>
      <c r="U5409" s="1"/>
      <c r="V5409" s="1"/>
      <c r="W5409" s="1"/>
      <c r="X5409" s="1"/>
      <c r="Y5409" s="1"/>
      <c r="Z5409" s="1"/>
      <c r="AA5409" s="1"/>
      <c r="AB5409" s="1"/>
    </row>
    <row r="5410" ht="50.25" customHeight="1">
      <c r="A5410" s="12">
        <v>5406.0</v>
      </c>
      <c r="B5410" s="13" t="s">
        <v>5027</v>
      </c>
      <c r="C5410" s="18" t="s">
        <v>5430</v>
      </c>
      <c r="D5410" s="1"/>
      <c r="E5410" s="1"/>
      <c r="F5410" s="1" t="str">
        <f>IFERROR(__xludf.DUMMYFUNCTION("GOOGLETRANSLATE(B5410, ""en"", ""fa"")
"),"املاک و مستغلات برای حرفه ای ها")</f>
        <v>املاک و مستغلات برای حرفه ای ها</v>
      </c>
      <c r="G5410" s="1" t="str">
        <f>IFERROR(__xludf.DUMMYFUNCTION("GOOGLETRANSLATE(C5410, ""en"", ""fa"")
"),"متخصصان املاک و مستغلات چه استراتژی هایی می توانند برای تجسم موثر و ارائه پیش بینی های بازار املاک به مشتریان یا ذینفعان به کار گیرند؟")</f>
        <v>متخصصان املاک و مستغلات چه استراتژی هایی می توانند برای تجسم موثر و ارائه پیش بینی های بازار املاک به مشتریان یا ذینفعان به کار گیرند؟</v>
      </c>
      <c r="H5410" s="1"/>
      <c r="I5410" s="1"/>
      <c r="J5410" s="1"/>
      <c r="K5410" s="1"/>
      <c r="L5410" s="1"/>
      <c r="M5410" s="1"/>
      <c r="N5410" s="1"/>
      <c r="O5410" s="1"/>
      <c r="P5410" s="1"/>
      <c r="Q5410" s="1"/>
      <c r="R5410" s="1"/>
      <c r="S5410" s="1"/>
      <c r="T5410" s="1"/>
      <c r="U5410" s="1"/>
      <c r="V5410" s="1"/>
      <c r="W5410" s="1"/>
      <c r="X5410" s="1"/>
      <c r="Y5410" s="1"/>
      <c r="Z5410" s="1"/>
      <c r="AA5410" s="1"/>
      <c r="AB5410" s="1"/>
    </row>
    <row r="5411" ht="50.25" customHeight="1">
      <c r="A5411" s="12">
        <v>5407.0</v>
      </c>
      <c r="B5411" s="13" t="s">
        <v>5027</v>
      </c>
      <c r="C5411" s="18" t="s">
        <v>5431</v>
      </c>
      <c r="D5411" s="1"/>
      <c r="E5411" s="1"/>
      <c r="F5411" s="1" t="str">
        <f>IFERROR(__xludf.DUMMYFUNCTION("GOOGLETRANSLATE(B5411, ""en"", ""fa"")
"),"املاک و مستغلات برای حرفه ای ها")</f>
        <v>املاک و مستغلات برای حرفه ای ها</v>
      </c>
      <c r="G5411" s="1" t="str">
        <f>IFERROR(__xludf.DUMMYFUNCTION("GOOGLETRANSLATE(C5411, ""en"", ""fa"")
"),"چگونه متخصصان املاک و مستغلات می توانند تأثیر بالقوه تغییر مقررات زیست محیطی یا استانداردهای پایداری را بر پیش بینی های بازار املاک ارزیابی کنند؟")</f>
        <v>چگونه متخصصان املاک و مستغلات می توانند تأثیر بالقوه تغییر مقررات زیست محیطی یا استانداردهای پایداری را بر پیش بینی های بازار املاک ارزیابی کنند؟</v>
      </c>
      <c r="H5411" s="1"/>
      <c r="I5411" s="1"/>
      <c r="J5411" s="1"/>
      <c r="K5411" s="1"/>
      <c r="L5411" s="1"/>
      <c r="M5411" s="1"/>
      <c r="N5411" s="1"/>
      <c r="O5411" s="1"/>
      <c r="P5411" s="1"/>
      <c r="Q5411" s="1"/>
      <c r="R5411" s="1"/>
      <c r="S5411" s="1"/>
      <c r="T5411" s="1"/>
      <c r="U5411" s="1"/>
      <c r="V5411" s="1"/>
      <c r="W5411" s="1"/>
      <c r="X5411" s="1"/>
      <c r="Y5411" s="1"/>
      <c r="Z5411" s="1"/>
      <c r="AA5411" s="1"/>
      <c r="AB5411" s="1"/>
    </row>
    <row r="5412" ht="50.25" customHeight="1">
      <c r="A5412" s="12">
        <v>5408.0</v>
      </c>
      <c r="B5412" s="13" t="s">
        <v>5027</v>
      </c>
      <c r="C5412" s="18" t="s">
        <v>5432</v>
      </c>
      <c r="D5412" s="1"/>
      <c r="E5412" s="1"/>
      <c r="F5412" s="1" t="str">
        <f>IFERROR(__xludf.DUMMYFUNCTION("GOOGLETRANSLATE(B5412, ""en"", ""fa"")
"),"املاک و مستغلات برای حرفه ای ها")</f>
        <v>املاک و مستغلات برای حرفه ای ها</v>
      </c>
      <c r="G5412" s="1" t="str">
        <f>IFERROR(__xludf.DUMMYFUNCTION("GOOGLETRANSLATE(C5412, ""en"", ""fa"")
"),"متخصصان املاک و مستغلات از چه تکنیک هایی می توانند برای ارزیابی تأثیر بالقوه تغییر شیوه های وام دهی یا در دسترس بودن اعتبار بر پیش بینی های بازار املاک استفاده کنند؟")</f>
        <v>متخصصان املاک و مستغلات از چه تکنیک هایی می توانند برای ارزیابی تأثیر بالقوه تغییر شیوه های وام دهی یا در دسترس بودن اعتبار بر پیش بینی های بازار املاک استفاده کنند؟</v>
      </c>
      <c r="H5412" s="1"/>
      <c r="I5412" s="1"/>
      <c r="J5412" s="1"/>
      <c r="K5412" s="1"/>
      <c r="L5412" s="1"/>
      <c r="M5412" s="1"/>
      <c r="N5412" s="1"/>
      <c r="O5412" s="1"/>
      <c r="P5412" s="1"/>
      <c r="Q5412" s="1"/>
      <c r="R5412" s="1"/>
      <c r="S5412" s="1"/>
      <c r="T5412" s="1"/>
      <c r="U5412" s="1"/>
      <c r="V5412" s="1"/>
      <c r="W5412" s="1"/>
      <c r="X5412" s="1"/>
      <c r="Y5412" s="1"/>
      <c r="Z5412" s="1"/>
      <c r="AA5412" s="1"/>
      <c r="AB5412" s="1"/>
    </row>
    <row r="5413" ht="50.25" customHeight="1">
      <c r="A5413" s="12">
        <v>5409.0</v>
      </c>
      <c r="B5413" s="13" t="s">
        <v>5027</v>
      </c>
      <c r="C5413" s="18" t="s">
        <v>5433</v>
      </c>
      <c r="D5413" s="1"/>
      <c r="E5413" s="1"/>
      <c r="F5413" s="1" t="str">
        <f>IFERROR(__xludf.DUMMYFUNCTION("GOOGLETRANSLATE(B5413, ""en"", ""fa"")
"),"املاک و مستغلات برای حرفه ای ها")</f>
        <v>املاک و مستغلات برای حرفه ای ها</v>
      </c>
      <c r="G5413" s="1" t="str">
        <f>IFERROR(__xludf.DUMMYFUNCTION("GOOGLETRANSLATE(C5413, ""en"", ""fa"")
"),"چگونه متخصصان املاک و مستغلات می توانند خطرات و فرصت های بالقوه مرتبط با اختلالات تکنولوژیکی مانند پروتک یا بلاک چین را در پیش بینی های بازار املاک ارزیابی کنند؟")</f>
        <v>چگونه متخصصان املاک و مستغلات می توانند خطرات و فرصت های بالقوه مرتبط با اختلالات تکنولوژیکی مانند پروتک یا بلاک چین را در پیش بینی های بازار املاک ارزیابی کنند؟</v>
      </c>
      <c r="H5413" s="1"/>
      <c r="I5413" s="1"/>
      <c r="J5413" s="1"/>
      <c r="K5413" s="1"/>
      <c r="L5413" s="1"/>
      <c r="M5413" s="1"/>
      <c r="N5413" s="1"/>
      <c r="O5413" s="1"/>
      <c r="P5413" s="1"/>
      <c r="Q5413" s="1"/>
      <c r="R5413" s="1"/>
      <c r="S5413" s="1"/>
      <c r="T5413" s="1"/>
      <c r="U5413" s="1"/>
      <c r="V5413" s="1"/>
      <c r="W5413" s="1"/>
      <c r="X5413" s="1"/>
      <c r="Y5413" s="1"/>
      <c r="Z5413" s="1"/>
      <c r="AA5413" s="1"/>
      <c r="AB5413" s="1"/>
    </row>
    <row r="5414" ht="50.25" customHeight="1">
      <c r="A5414" s="12">
        <v>5410.0</v>
      </c>
      <c r="B5414" s="13" t="s">
        <v>5027</v>
      </c>
      <c r="C5414" s="18" t="s">
        <v>5434</v>
      </c>
      <c r="D5414" s="1"/>
      <c r="E5414" s="1"/>
      <c r="F5414" s="1" t="str">
        <f>IFERROR(__xludf.DUMMYFUNCTION("GOOGLETRANSLATE(B5414, ""en"", ""fa"")
"),"املاک و مستغلات برای حرفه ای ها")</f>
        <v>املاک و مستغلات برای حرفه ای ها</v>
      </c>
      <c r="G5414" s="1" t="str">
        <f>IFERROR(__xludf.DUMMYFUNCTION("GOOGLETRANSLATE(C5414, ""en"", ""fa"")
"),"متخصصان املاک و مستغلات چه استراتژی هایی می توانند برای جمع آوری و تجزیه و تحلیل داده ها در مورد محرک های تقاضای اجاره، مانند رشد اشتغال یا الگوهای مهاجرت، برای پیش بینی دقیق بازار به کار گیرند؟")</f>
        <v>متخصصان املاک و مستغلات چه استراتژی هایی می توانند برای جمع آوری و تجزیه و تحلیل داده ها در مورد محرک های تقاضای اجاره، مانند رشد اشتغال یا الگوهای مهاجرت، برای پیش بینی دقیق بازار به کار گیرند؟</v>
      </c>
      <c r="H5414" s="1"/>
      <c r="I5414" s="1"/>
      <c r="J5414" s="1"/>
      <c r="K5414" s="1"/>
      <c r="L5414" s="1"/>
      <c r="M5414" s="1"/>
      <c r="N5414" s="1"/>
      <c r="O5414" s="1"/>
      <c r="P5414" s="1"/>
      <c r="Q5414" s="1"/>
      <c r="R5414" s="1"/>
      <c r="S5414" s="1"/>
      <c r="T5414" s="1"/>
      <c r="U5414" s="1"/>
      <c r="V5414" s="1"/>
      <c r="W5414" s="1"/>
      <c r="X5414" s="1"/>
      <c r="Y5414" s="1"/>
      <c r="Z5414" s="1"/>
      <c r="AA5414" s="1"/>
      <c r="AB5414" s="1"/>
    </row>
    <row r="5415" ht="50.25" customHeight="1">
      <c r="A5415" s="12">
        <v>5411.0</v>
      </c>
      <c r="B5415" s="13" t="s">
        <v>5027</v>
      </c>
      <c r="C5415" s="18" t="s">
        <v>5435</v>
      </c>
      <c r="D5415" s="1"/>
      <c r="E5415" s="1"/>
      <c r="F5415" s="1" t="str">
        <f>IFERROR(__xludf.DUMMYFUNCTION("GOOGLETRANSLATE(B5415, ""en"", ""fa"")
"),"املاک و مستغلات برای حرفه ای ها")</f>
        <v>املاک و مستغلات برای حرفه ای ها</v>
      </c>
      <c r="G5415" s="1" t="str">
        <f>IFERROR(__xludf.DUMMYFUNCTION("GOOGLETRANSLATE(C5415, ""en"", ""fa"")
"),"چگونه متخصصان املاک و مستغلات می توانند تأثیر بالقوه تغییر برنامه ریزی شهری یا سیاست های توسعه را بر پیش بینی های بازار املاک ارزیابی کنند؟")</f>
        <v>چگونه متخصصان املاک و مستغلات می توانند تأثیر بالقوه تغییر برنامه ریزی شهری یا سیاست های توسعه را بر پیش بینی های بازار املاک ارزیابی کنند؟</v>
      </c>
      <c r="H5415" s="1"/>
      <c r="I5415" s="1"/>
      <c r="J5415" s="1"/>
      <c r="K5415" s="1"/>
      <c r="L5415" s="1"/>
      <c r="M5415" s="1"/>
      <c r="N5415" s="1"/>
      <c r="O5415" s="1"/>
      <c r="P5415" s="1"/>
      <c r="Q5415" s="1"/>
      <c r="R5415" s="1"/>
      <c r="S5415" s="1"/>
      <c r="T5415" s="1"/>
      <c r="U5415" s="1"/>
      <c r="V5415" s="1"/>
      <c r="W5415" s="1"/>
      <c r="X5415" s="1"/>
      <c r="Y5415" s="1"/>
      <c r="Z5415" s="1"/>
      <c r="AA5415" s="1"/>
      <c r="AB5415" s="1"/>
    </row>
    <row r="5416" ht="50.25" customHeight="1">
      <c r="A5416" s="12">
        <v>5412.0</v>
      </c>
      <c r="B5416" s="13" t="s">
        <v>5027</v>
      </c>
      <c r="C5416" s="18" t="s">
        <v>5436</v>
      </c>
      <c r="D5416" s="1"/>
      <c r="E5416" s="1"/>
      <c r="F5416" s="1" t="str">
        <f>IFERROR(__xludf.DUMMYFUNCTION("GOOGLETRANSLATE(B5416, ""en"", ""fa"")
"),"املاک و مستغلات برای حرفه ای ها")</f>
        <v>املاک و مستغلات برای حرفه ای ها</v>
      </c>
      <c r="G5416" s="1" t="str">
        <f>IFERROR(__xludf.DUMMYFUNCTION("GOOGLETRANSLATE(C5416, ""en"", ""fa"")
"),"متخصصان املاک و مستغلات از چه تکنیک هایی می توانند برای تحلیل تأثیر ترجیحات سبک زندگی یا تغییرات فرهنگی بر پیش بینی های بازار املاک استفاده کنند؟")</f>
        <v>متخصصان املاک و مستغلات از چه تکنیک هایی می توانند برای تحلیل تأثیر ترجیحات سبک زندگی یا تغییرات فرهنگی بر پیش بینی های بازار املاک استفاده کنند؟</v>
      </c>
      <c r="H5416" s="1"/>
      <c r="I5416" s="1"/>
      <c r="J5416" s="1"/>
      <c r="K5416" s="1"/>
      <c r="L5416" s="1"/>
      <c r="M5416" s="1"/>
      <c r="N5416" s="1"/>
      <c r="O5416" s="1"/>
      <c r="P5416" s="1"/>
      <c r="Q5416" s="1"/>
      <c r="R5416" s="1"/>
      <c r="S5416" s="1"/>
      <c r="T5416" s="1"/>
      <c r="U5416" s="1"/>
      <c r="V5416" s="1"/>
      <c r="W5416" s="1"/>
      <c r="X5416" s="1"/>
      <c r="Y5416" s="1"/>
      <c r="Z5416" s="1"/>
      <c r="AA5416" s="1"/>
      <c r="AB5416" s="1"/>
    </row>
    <row r="5417" ht="50.25" customHeight="1">
      <c r="A5417" s="12">
        <v>5413.0</v>
      </c>
      <c r="B5417" s="13" t="s">
        <v>5027</v>
      </c>
      <c r="C5417" s="18" t="s">
        <v>5437</v>
      </c>
      <c r="D5417" s="1"/>
      <c r="E5417" s="1"/>
      <c r="F5417" s="1" t="str">
        <f>IFERROR(__xludf.DUMMYFUNCTION("GOOGLETRANSLATE(B5417, ""en"", ""fa"")
"),"املاک و مستغلات برای حرفه ای ها")</f>
        <v>املاک و مستغلات برای حرفه ای ها</v>
      </c>
      <c r="G5417" s="1" t="str">
        <f>IFERROR(__xludf.DUMMYFUNCTION("GOOGLETRANSLATE(C5417, ""en"", ""fa"")
"),"چگونه متخصصان املاک و مستغلات می توانند خطرات و محدودیت های بالقوه تکیه بر داده های کمی را برای پیش بینی بازار در بازارهای پویا ارزیابی کنند؟")</f>
        <v>چگونه متخصصان املاک و مستغلات می توانند خطرات و محدودیت های بالقوه تکیه بر داده های کمی را برای پیش بینی بازار در بازارهای پویا ارزیابی کنند؟</v>
      </c>
      <c r="H5417" s="1"/>
      <c r="I5417" s="1"/>
      <c r="J5417" s="1"/>
      <c r="K5417" s="1"/>
      <c r="L5417" s="1"/>
      <c r="M5417" s="1"/>
      <c r="N5417" s="1"/>
      <c r="O5417" s="1"/>
      <c r="P5417" s="1"/>
      <c r="Q5417" s="1"/>
      <c r="R5417" s="1"/>
      <c r="S5417" s="1"/>
      <c r="T5417" s="1"/>
      <c r="U5417" s="1"/>
      <c r="V5417" s="1"/>
      <c r="W5417" s="1"/>
      <c r="X5417" s="1"/>
      <c r="Y5417" s="1"/>
      <c r="Z5417" s="1"/>
      <c r="AA5417" s="1"/>
      <c r="AB5417" s="1"/>
    </row>
    <row r="5418" ht="50.25" customHeight="1">
      <c r="A5418" s="12">
        <v>5414.0</v>
      </c>
      <c r="B5418" s="13" t="s">
        <v>5027</v>
      </c>
      <c r="C5418" s="18" t="s">
        <v>5438</v>
      </c>
      <c r="D5418" s="1"/>
      <c r="E5418" s="1"/>
      <c r="F5418" s="1" t="str">
        <f>IFERROR(__xludf.DUMMYFUNCTION("GOOGLETRANSLATE(B5418, ""en"", ""fa"")
"),"املاک و مستغلات برای حرفه ای ها")</f>
        <v>املاک و مستغلات برای حرفه ای ها</v>
      </c>
      <c r="G5418" s="1" t="str">
        <f>IFERROR(__xludf.DUMMYFUNCTION("GOOGLETRANSLATE(C5418, ""en"", ""fa"")
"),"متخصصان املاک و مستغلات چه استراتژی هایی می توانند برای ترکیب تحلیل احساسات یا داده های رسانه های اجتماعی در پیش بینی های بازار املاک و مستغلات به کار گیرند؟")</f>
        <v>متخصصان املاک و مستغلات چه استراتژی هایی می توانند برای ترکیب تحلیل احساسات یا داده های رسانه های اجتماعی در پیش بینی های بازار املاک و مستغلات به کار گیرند؟</v>
      </c>
      <c r="H5418" s="1"/>
      <c r="I5418" s="1"/>
      <c r="J5418" s="1"/>
      <c r="K5418" s="1"/>
      <c r="L5418" s="1"/>
      <c r="M5418" s="1"/>
      <c r="N5418" s="1"/>
      <c r="O5418" s="1"/>
      <c r="P5418" s="1"/>
      <c r="Q5418" s="1"/>
      <c r="R5418" s="1"/>
      <c r="S5418" s="1"/>
      <c r="T5418" s="1"/>
      <c r="U5418" s="1"/>
      <c r="V5418" s="1"/>
      <c r="W5418" s="1"/>
      <c r="X5418" s="1"/>
      <c r="Y5418" s="1"/>
      <c r="Z5418" s="1"/>
      <c r="AA5418" s="1"/>
      <c r="AB5418" s="1"/>
    </row>
    <row r="5419" ht="50.25" customHeight="1">
      <c r="A5419" s="12">
        <v>5415.0</v>
      </c>
      <c r="B5419" s="13" t="s">
        <v>5027</v>
      </c>
      <c r="C5419" s="18" t="s">
        <v>5439</v>
      </c>
      <c r="D5419" s="1"/>
      <c r="E5419" s="1"/>
      <c r="F5419" s="1" t="str">
        <f>IFERROR(__xludf.DUMMYFUNCTION("GOOGLETRANSLATE(B5419, ""en"", ""fa"")
"),"املاک و مستغلات برای حرفه ای ها")</f>
        <v>املاک و مستغلات برای حرفه ای ها</v>
      </c>
      <c r="G5419" s="1" t="str">
        <f>IFERROR(__xludf.DUMMYFUNCTION("GOOGLETRANSLATE(C5419, ""en"", ""fa"")
"),"چگونه متخصصان املاک و مستغلات می توانند تأثیر بالقوه تغییر نوآوری های فناوری یا اختلالات را بر پیش بینی های بازار املاک ارزیابی کنند؟")</f>
        <v>چگونه متخصصان املاک و مستغلات می توانند تأثیر بالقوه تغییر نوآوری های فناوری یا اختلالات را بر پیش بینی های بازار املاک ارزیابی کنند؟</v>
      </c>
      <c r="H5419" s="1"/>
      <c r="I5419" s="1"/>
      <c r="J5419" s="1"/>
      <c r="K5419" s="1"/>
      <c r="L5419" s="1"/>
      <c r="M5419" s="1"/>
      <c r="N5419" s="1"/>
      <c r="O5419" s="1"/>
      <c r="P5419" s="1"/>
      <c r="Q5419" s="1"/>
      <c r="R5419" s="1"/>
      <c r="S5419" s="1"/>
      <c r="T5419" s="1"/>
      <c r="U5419" s="1"/>
      <c r="V5419" s="1"/>
      <c r="W5419" s="1"/>
      <c r="X5419" s="1"/>
      <c r="Y5419" s="1"/>
      <c r="Z5419" s="1"/>
      <c r="AA5419" s="1"/>
      <c r="AB5419" s="1"/>
    </row>
    <row r="5420" ht="50.25" customHeight="1">
      <c r="A5420" s="12">
        <v>5416.0</v>
      </c>
      <c r="B5420" s="13" t="s">
        <v>5027</v>
      </c>
      <c r="C5420" s="18" t="s">
        <v>5440</v>
      </c>
      <c r="D5420" s="1"/>
      <c r="E5420" s="1"/>
      <c r="F5420" s="1" t="str">
        <f>IFERROR(__xludf.DUMMYFUNCTION("GOOGLETRANSLATE(B5420, ""en"", ""fa"")
"),"املاک و مستغلات برای حرفه ای ها")</f>
        <v>املاک و مستغلات برای حرفه ای ها</v>
      </c>
      <c r="G5420" s="1" t="str">
        <f>IFERROR(__xludf.DUMMYFUNCTION("GOOGLETRANSLATE(C5420, ""en"", ""fa"")
"),"متخصصان املاک و مستغلات از چه تکنیک هایی می توانند برای ارزیابی تأثیر بالقوه تغییر پروژه های زیرساختی یا تحولات حمل و نقل بر پیش بینی های بازار املاک استفاده کنند؟")</f>
        <v>متخصصان املاک و مستغلات از چه تکنیک هایی می توانند برای ارزیابی تأثیر بالقوه تغییر پروژه های زیرساختی یا تحولات حمل و نقل بر پیش بینی های بازار املاک استفاده کنند؟</v>
      </c>
      <c r="H5420" s="1"/>
      <c r="I5420" s="1"/>
      <c r="J5420" s="1"/>
      <c r="K5420" s="1"/>
      <c r="L5420" s="1"/>
      <c r="M5420" s="1"/>
      <c r="N5420" s="1"/>
      <c r="O5420" s="1"/>
      <c r="P5420" s="1"/>
      <c r="Q5420" s="1"/>
      <c r="R5420" s="1"/>
      <c r="S5420" s="1"/>
      <c r="T5420" s="1"/>
      <c r="U5420" s="1"/>
      <c r="V5420" s="1"/>
      <c r="W5420" s="1"/>
      <c r="X5420" s="1"/>
      <c r="Y5420" s="1"/>
      <c r="Z5420" s="1"/>
      <c r="AA5420" s="1"/>
      <c r="AB5420" s="1"/>
    </row>
    <row r="5421" ht="50.25" customHeight="1">
      <c r="A5421" s="12">
        <v>5417.0</v>
      </c>
      <c r="B5421" s="13" t="s">
        <v>5027</v>
      </c>
      <c r="C5421" s="18" t="s">
        <v>5441</v>
      </c>
      <c r="D5421" s="1"/>
      <c r="E5421" s="1"/>
      <c r="F5421" s="1" t="str">
        <f>IFERROR(__xludf.DUMMYFUNCTION("GOOGLETRANSLATE(B5421, ""en"", ""fa"")
"),"املاک و مستغلات برای حرفه ای ها")</f>
        <v>املاک و مستغلات برای حرفه ای ها</v>
      </c>
      <c r="G5421" s="1" t="str">
        <f>IFERROR(__xludf.DUMMYFUNCTION("GOOGLETRANSLATE(C5421, ""en"", ""fa"")
"),"چگونه متخصصان املاک و مستغلات می توانند خطرات و چالش های بالقوه مرتبط با پیش بینی شرایط بازار برای بخش های تخصصی املاک، مانند مهمان نوازی یا مسکن دانشجویی را ارزیابی کنند؟")</f>
        <v>چگونه متخصصان املاک و مستغلات می توانند خطرات و چالش های بالقوه مرتبط با پیش بینی شرایط بازار برای بخش های تخصصی املاک، مانند مهمان نوازی یا مسکن دانشجویی را ارزیابی کنند؟</v>
      </c>
      <c r="H5421" s="1"/>
      <c r="I5421" s="1"/>
      <c r="J5421" s="1"/>
      <c r="K5421" s="1"/>
      <c r="L5421" s="1"/>
      <c r="M5421" s="1"/>
      <c r="N5421" s="1"/>
      <c r="O5421" s="1"/>
      <c r="P5421" s="1"/>
      <c r="Q5421" s="1"/>
      <c r="R5421" s="1"/>
      <c r="S5421" s="1"/>
      <c r="T5421" s="1"/>
      <c r="U5421" s="1"/>
      <c r="V5421" s="1"/>
      <c r="W5421" s="1"/>
      <c r="X5421" s="1"/>
      <c r="Y5421" s="1"/>
      <c r="Z5421" s="1"/>
      <c r="AA5421" s="1"/>
      <c r="AB5421" s="1"/>
    </row>
    <row r="5422" ht="50.25" customHeight="1">
      <c r="A5422" s="12">
        <v>5418.0</v>
      </c>
      <c r="B5422" s="13" t="s">
        <v>5027</v>
      </c>
      <c r="C5422" s="18" t="s">
        <v>5442</v>
      </c>
      <c r="D5422" s="1"/>
      <c r="E5422" s="1"/>
      <c r="F5422" s="1" t="str">
        <f>IFERROR(__xludf.DUMMYFUNCTION("GOOGLETRANSLATE(B5422, ""en"", ""fa"")
"),"املاک و مستغلات برای حرفه ای ها")</f>
        <v>املاک و مستغلات برای حرفه ای ها</v>
      </c>
      <c r="G5422" s="1" t="str">
        <f>IFERROR(__xludf.DUMMYFUNCTION("GOOGLETRANSLATE(C5422, ""en"", ""fa"")
"),"چگونه متخصصان املاک و مستغلات می توانند تأثیر بالقوه تغییر الگوهای آب و هوایی یا خطرات زیست محیطی را بر پیش بینی های بازار املاک ارزیابی کنند؟")</f>
        <v>چگونه متخصصان املاک و مستغلات می توانند تأثیر بالقوه تغییر الگوهای آب و هوایی یا خطرات زیست محیطی را بر پیش بینی های بازار املاک ارزیابی کنند؟</v>
      </c>
      <c r="H5422" s="1"/>
      <c r="I5422" s="1"/>
      <c r="J5422" s="1"/>
      <c r="K5422" s="1"/>
      <c r="L5422" s="1"/>
      <c r="M5422" s="1"/>
      <c r="N5422" s="1"/>
      <c r="O5422" s="1"/>
      <c r="P5422" s="1"/>
      <c r="Q5422" s="1"/>
      <c r="R5422" s="1"/>
      <c r="S5422" s="1"/>
      <c r="T5422" s="1"/>
      <c r="U5422" s="1"/>
      <c r="V5422" s="1"/>
      <c r="W5422" s="1"/>
      <c r="X5422" s="1"/>
      <c r="Y5422" s="1"/>
      <c r="Z5422" s="1"/>
      <c r="AA5422" s="1"/>
      <c r="AB5422" s="1"/>
    </row>
    <row r="5423" ht="50.25" customHeight="1">
      <c r="A5423" s="12">
        <v>5419.0</v>
      </c>
      <c r="B5423" s="13" t="s">
        <v>5027</v>
      </c>
      <c r="C5423" s="18" t="s">
        <v>5443</v>
      </c>
      <c r="D5423" s="1"/>
      <c r="E5423" s="1"/>
      <c r="F5423" s="1" t="str">
        <f>IFERROR(__xludf.DUMMYFUNCTION("GOOGLETRANSLATE(B5423, ""en"", ""fa"")
"),"املاک و مستغلات برای حرفه ای ها")</f>
        <v>املاک و مستغلات برای حرفه ای ها</v>
      </c>
      <c r="G5423" s="1" t="str">
        <f>IFERROR(__xludf.DUMMYFUNCTION("GOOGLETRANSLATE(C5423, ""en"", ""fa"")
"),"متخصصان املاک و مستغلات از چه تکنیک هایی می توانند برای ارزیابی تاثیر بالقوه تغییر گزینه های تامین مالی یا نرخ وام مسکن بر پیش بینی های بازار املاک استفاده کنند؟")</f>
        <v>متخصصان املاک و مستغلات از چه تکنیک هایی می توانند برای ارزیابی تاثیر بالقوه تغییر گزینه های تامین مالی یا نرخ وام مسکن بر پیش بینی های بازار املاک استفاده کنند؟</v>
      </c>
      <c r="H5423" s="1"/>
      <c r="I5423" s="1"/>
      <c r="J5423" s="1"/>
      <c r="K5423" s="1"/>
      <c r="L5423" s="1"/>
      <c r="M5423" s="1"/>
      <c r="N5423" s="1"/>
      <c r="O5423" s="1"/>
      <c r="P5423" s="1"/>
      <c r="Q5423" s="1"/>
      <c r="R5423" s="1"/>
      <c r="S5423" s="1"/>
      <c r="T5423" s="1"/>
      <c r="U5423" s="1"/>
      <c r="V5423" s="1"/>
      <c r="W5423" s="1"/>
      <c r="X5423" s="1"/>
      <c r="Y5423" s="1"/>
      <c r="Z5423" s="1"/>
      <c r="AA5423" s="1"/>
      <c r="AB5423" s="1"/>
    </row>
    <row r="5424" ht="50.25" customHeight="1">
      <c r="A5424" s="12">
        <v>5420.0</v>
      </c>
      <c r="B5424" s="13" t="s">
        <v>5027</v>
      </c>
      <c r="C5424" s="18" t="s">
        <v>5444</v>
      </c>
      <c r="D5424" s="1"/>
      <c r="E5424" s="1"/>
      <c r="F5424" s="1" t="str">
        <f>IFERROR(__xludf.DUMMYFUNCTION("GOOGLETRANSLATE(B5424, ""en"", ""fa"")
"),"املاک و مستغلات برای حرفه ای ها")</f>
        <v>املاک و مستغلات برای حرفه ای ها</v>
      </c>
      <c r="G5424" s="1" t="str">
        <f>IFERROR(__xludf.DUMMYFUNCTION("GOOGLETRANSLATE(C5424, ""en"", ""fa"")
"),"چگونه متخصصان املاک و مستغلات می توانند خطرات و فرصت های بالقوه مرتبط با تغییرات جمعیتی، مانند شهرنشینی یا پیری جمعیت را در پیش بینی های بازار املاک ارزیابی کنند؟")</f>
        <v>چگونه متخصصان املاک و مستغلات می توانند خطرات و فرصت های بالقوه مرتبط با تغییرات جمعیتی، مانند شهرنشینی یا پیری جمعیت را در پیش بینی های بازار املاک ارزیابی کنند؟</v>
      </c>
      <c r="H5424" s="1"/>
      <c r="I5424" s="1"/>
      <c r="J5424" s="1"/>
      <c r="K5424" s="1"/>
      <c r="L5424" s="1"/>
      <c r="M5424" s="1"/>
      <c r="N5424" s="1"/>
      <c r="O5424" s="1"/>
      <c r="P5424" s="1"/>
      <c r="Q5424" s="1"/>
      <c r="R5424" s="1"/>
      <c r="S5424" s="1"/>
      <c r="T5424" s="1"/>
      <c r="U5424" s="1"/>
      <c r="V5424" s="1"/>
      <c r="W5424" s="1"/>
      <c r="X5424" s="1"/>
      <c r="Y5424" s="1"/>
      <c r="Z5424" s="1"/>
      <c r="AA5424" s="1"/>
      <c r="AB5424" s="1"/>
    </row>
    <row r="5425" ht="50.25" customHeight="1">
      <c r="A5425" s="12">
        <v>5421.0</v>
      </c>
      <c r="B5425" s="13" t="s">
        <v>5027</v>
      </c>
      <c r="C5425" s="18" t="s">
        <v>5445</v>
      </c>
      <c r="D5425" s="1"/>
      <c r="E5425" s="1"/>
      <c r="F5425" s="1" t="str">
        <f>IFERROR(__xludf.DUMMYFUNCTION("GOOGLETRANSLATE(B5425, ""en"", ""fa"")
"),"املاک و مستغلات برای حرفه ای ها")</f>
        <v>املاک و مستغلات برای حرفه ای ها</v>
      </c>
      <c r="G5425" s="1" t="str">
        <f>IFERROR(__xludf.DUMMYFUNCTION("GOOGLETRANSLATE(C5425, ""en"", ""fa"")
"),"چگونه متخصصان املاک و مستغلات می توانند تاثیر بالقوه تغییر رفتار مصرف کننده، مانند افزایش کار از راه دور یا تجارت الکترونیک را بر پیش بینی های بازار املاک ارزیابی کنند؟")</f>
        <v>چگونه متخصصان املاک و مستغلات می توانند تاثیر بالقوه تغییر رفتار مصرف کننده، مانند افزایش کار از راه دور یا تجارت الکترونیک را بر پیش بینی های بازار املاک ارزیابی کنند؟</v>
      </c>
      <c r="H5425" s="1"/>
      <c r="I5425" s="1"/>
      <c r="J5425" s="1"/>
      <c r="K5425" s="1"/>
      <c r="L5425" s="1"/>
      <c r="M5425" s="1"/>
      <c r="N5425" s="1"/>
      <c r="O5425" s="1"/>
      <c r="P5425" s="1"/>
      <c r="Q5425" s="1"/>
      <c r="R5425" s="1"/>
      <c r="S5425" s="1"/>
      <c r="T5425" s="1"/>
      <c r="U5425" s="1"/>
      <c r="V5425" s="1"/>
      <c r="W5425" s="1"/>
      <c r="X5425" s="1"/>
      <c r="Y5425" s="1"/>
      <c r="Z5425" s="1"/>
      <c r="AA5425" s="1"/>
      <c r="AB5425" s="1"/>
    </row>
    <row r="5426" ht="50.25" customHeight="1">
      <c r="A5426" s="12">
        <v>5422.0</v>
      </c>
      <c r="B5426" s="13" t="s">
        <v>5027</v>
      </c>
      <c r="C5426" s="18" t="s">
        <v>5446</v>
      </c>
      <c r="D5426" s="1"/>
      <c r="E5426" s="1"/>
      <c r="F5426" s="1" t="str">
        <f>IFERROR(__xludf.DUMMYFUNCTION("GOOGLETRANSLATE(B5426, ""en"", ""fa"")
"),"املاک و مستغلات برای حرفه ای ها")</f>
        <v>املاک و مستغلات برای حرفه ای ها</v>
      </c>
      <c r="G5426" s="1" t="str">
        <f>IFERROR(__xludf.DUMMYFUNCTION("GOOGLETRANSLATE(C5426, ""en"", ""fa"")
"),"مزیت های کلیدی فروش املاک و مستغلات از طریق مزایده در مقایسه با روش های سنتی فهرست بندی چیست؟")</f>
        <v>مزیت های کلیدی فروش املاک و مستغلات از طریق مزایده در مقایسه با روش های سنتی فهرست بندی چیست؟</v>
      </c>
      <c r="H5426" s="1"/>
      <c r="I5426" s="1"/>
      <c r="J5426" s="1"/>
      <c r="K5426" s="1"/>
      <c r="L5426" s="1"/>
      <c r="M5426" s="1"/>
      <c r="N5426" s="1"/>
      <c r="O5426" s="1"/>
      <c r="P5426" s="1"/>
      <c r="Q5426" s="1"/>
      <c r="R5426" s="1"/>
      <c r="S5426" s="1"/>
      <c r="T5426" s="1"/>
      <c r="U5426" s="1"/>
      <c r="V5426" s="1"/>
      <c r="W5426" s="1"/>
      <c r="X5426" s="1"/>
      <c r="Y5426" s="1"/>
      <c r="Z5426" s="1"/>
      <c r="AA5426" s="1"/>
      <c r="AB5426" s="1"/>
    </row>
    <row r="5427" ht="50.25" customHeight="1">
      <c r="A5427" s="12">
        <v>5423.0</v>
      </c>
      <c r="B5427" s="13" t="s">
        <v>5027</v>
      </c>
      <c r="C5427" s="18" t="s">
        <v>5447</v>
      </c>
      <c r="D5427" s="1"/>
      <c r="E5427" s="1"/>
      <c r="F5427" s="1" t="str">
        <f>IFERROR(__xludf.DUMMYFUNCTION("GOOGLETRANSLATE(B5427, ""en"", ""fa"")
"),"املاک و مستغلات برای حرفه ای ها")</f>
        <v>املاک و مستغلات برای حرفه ای ها</v>
      </c>
      <c r="G5427" s="1" t="str">
        <f>IFERROR(__xludf.DUMMYFUNCTION("GOOGLETRANSLATE(C5427, ""en"", ""fa"")
"),"چگونه متخصصان املاک و مستغلات می توانند به طور موثری املاک را برای به حداکثر رساندن مشارکت و پیشنهاد در مزایده املاک بازاریابی و ترویج کنند؟")</f>
        <v>چگونه متخصصان املاک و مستغلات می توانند به طور موثری املاک را برای به حداکثر رساندن مشارکت و پیشنهاد در مزایده املاک بازاریابی و ترویج کنند؟</v>
      </c>
      <c r="H5427" s="1"/>
      <c r="I5427" s="1"/>
      <c r="J5427" s="1"/>
      <c r="K5427" s="1"/>
      <c r="L5427" s="1"/>
      <c r="M5427" s="1"/>
      <c r="N5427" s="1"/>
      <c r="O5427" s="1"/>
      <c r="P5427" s="1"/>
      <c r="Q5427" s="1"/>
      <c r="R5427" s="1"/>
      <c r="S5427" s="1"/>
      <c r="T5427" s="1"/>
      <c r="U5427" s="1"/>
      <c r="V5427" s="1"/>
      <c r="W5427" s="1"/>
      <c r="X5427" s="1"/>
      <c r="Y5427" s="1"/>
      <c r="Z5427" s="1"/>
      <c r="AA5427" s="1"/>
      <c r="AB5427" s="1"/>
    </row>
    <row r="5428" ht="50.25" customHeight="1">
      <c r="A5428" s="12">
        <v>5424.0</v>
      </c>
      <c r="B5428" s="13" t="s">
        <v>5027</v>
      </c>
      <c r="C5428" s="18" t="s">
        <v>5448</v>
      </c>
      <c r="D5428" s="1"/>
      <c r="E5428" s="1"/>
      <c r="F5428" s="1" t="str">
        <f>IFERROR(__xludf.DUMMYFUNCTION("GOOGLETRANSLATE(B5428, ""en"", ""fa"")
"),"املاک و مستغلات برای حرفه ای ها")</f>
        <v>املاک و مستغلات برای حرفه ای ها</v>
      </c>
      <c r="G5428" s="1" t="str">
        <f>IFERROR(__xludf.DUMMYFUNCTION("GOOGLETRANSLATE(C5428, ""en"", ""fa"")
"),"متخصصان املاک و مستغلات چه استراتژی هایی می توانند برای شناسایی و هدف قرار دادن خریداران یا سرمایه گذاران بالقوه برای حراج املاک به کار گیرند؟")</f>
        <v>متخصصان املاک و مستغلات چه استراتژی هایی می توانند برای شناسایی و هدف قرار دادن خریداران یا سرمایه گذاران بالقوه برای حراج املاک به کار گیرند؟</v>
      </c>
      <c r="H5428" s="1"/>
      <c r="I5428" s="1"/>
      <c r="J5428" s="1"/>
      <c r="K5428" s="1"/>
      <c r="L5428" s="1"/>
      <c r="M5428" s="1"/>
      <c r="N5428" s="1"/>
      <c r="O5428" s="1"/>
      <c r="P5428" s="1"/>
      <c r="Q5428" s="1"/>
      <c r="R5428" s="1"/>
      <c r="S5428" s="1"/>
      <c r="T5428" s="1"/>
      <c r="U5428" s="1"/>
      <c r="V5428" s="1"/>
      <c r="W5428" s="1"/>
      <c r="X5428" s="1"/>
      <c r="Y5428" s="1"/>
      <c r="Z5428" s="1"/>
      <c r="AA5428" s="1"/>
      <c r="AB5428" s="1"/>
    </row>
    <row r="5429" ht="50.25" customHeight="1">
      <c r="A5429" s="12">
        <v>5425.0</v>
      </c>
      <c r="B5429" s="13" t="s">
        <v>5027</v>
      </c>
      <c r="C5429" s="18" t="s">
        <v>5449</v>
      </c>
      <c r="D5429" s="1"/>
      <c r="E5429" s="1"/>
      <c r="F5429" s="1" t="str">
        <f>IFERROR(__xludf.DUMMYFUNCTION("GOOGLETRANSLATE(B5429, ""en"", ""fa"")
"),"املاک و مستغلات برای حرفه ای ها")</f>
        <v>املاک و مستغلات برای حرفه ای ها</v>
      </c>
      <c r="G5429" s="1" t="str">
        <f>IFERROR(__xludf.DUMMYFUNCTION("GOOGLETRANSLATE(C5429, ""en"", ""fa"")
"),"چگونه متخصصان املاک و مستغلات می توانند پیشنهاد اولیه و رزرو مناسب برای املاک در حراج را تعیین کنند؟")</f>
        <v>چگونه متخصصان املاک و مستغلات می توانند پیشنهاد اولیه و رزرو مناسب برای املاک در حراج را تعیین کنند؟</v>
      </c>
      <c r="H5429" s="1"/>
      <c r="I5429" s="1"/>
      <c r="J5429" s="1"/>
      <c r="K5429" s="1"/>
      <c r="L5429" s="1"/>
      <c r="M5429" s="1"/>
      <c r="N5429" s="1"/>
      <c r="O5429" s="1"/>
      <c r="P5429" s="1"/>
      <c r="Q5429" s="1"/>
      <c r="R5429" s="1"/>
      <c r="S5429" s="1"/>
      <c r="T5429" s="1"/>
      <c r="U5429" s="1"/>
      <c r="V5429" s="1"/>
      <c r="W5429" s="1"/>
      <c r="X5429" s="1"/>
      <c r="Y5429" s="1"/>
      <c r="Z5429" s="1"/>
      <c r="AA5429" s="1"/>
      <c r="AB5429" s="1"/>
    </row>
    <row r="5430" ht="50.25" customHeight="1">
      <c r="A5430" s="12">
        <v>5426.0</v>
      </c>
      <c r="B5430" s="13" t="s">
        <v>5027</v>
      </c>
      <c r="C5430" s="18" t="s">
        <v>5450</v>
      </c>
      <c r="D5430" s="1"/>
      <c r="E5430" s="1"/>
      <c r="F5430" s="1" t="str">
        <f>IFERROR(__xludf.DUMMYFUNCTION("GOOGLETRANSLATE(B5430, ""en"", ""fa"")
"),"املاک و مستغلات برای حرفه ای ها")</f>
        <v>املاک و مستغلات برای حرفه ای ها</v>
      </c>
      <c r="G5430" s="1" t="str">
        <f>IFERROR(__xludf.DUMMYFUNCTION("GOOGLETRANSLATE(C5430, ""en"", ""fa"")
"),"ملاحظات کلیدی برای انجام بررسی دقیق و بازرسی اموال قبل از حراج املاک چیست؟")</f>
        <v>ملاحظات کلیدی برای انجام بررسی دقیق و بازرسی اموال قبل از حراج املاک چیست؟</v>
      </c>
      <c r="H5430" s="1"/>
      <c r="I5430" s="1"/>
      <c r="J5430" s="1"/>
      <c r="K5430" s="1"/>
      <c r="L5430" s="1"/>
      <c r="M5430" s="1"/>
      <c r="N5430" s="1"/>
      <c r="O5430" s="1"/>
      <c r="P5430" s="1"/>
      <c r="Q5430" s="1"/>
      <c r="R5430" s="1"/>
      <c r="S5430" s="1"/>
      <c r="T5430" s="1"/>
      <c r="U5430" s="1"/>
      <c r="V5430" s="1"/>
      <c r="W5430" s="1"/>
      <c r="X5430" s="1"/>
      <c r="Y5430" s="1"/>
      <c r="Z5430" s="1"/>
      <c r="AA5430" s="1"/>
      <c r="AB5430" s="1"/>
    </row>
    <row r="5431" ht="50.25" customHeight="1">
      <c r="A5431" s="12">
        <v>5427.0</v>
      </c>
      <c r="B5431" s="13" t="s">
        <v>5027</v>
      </c>
      <c r="C5431" s="18" t="s">
        <v>5451</v>
      </c>
      <c r="D5431" s="1"/>
      <c r="E5431" s="1"/>
      <c r="F5431" s="1" t="str">
        <f>IFERROR(__xludf.DUMMYFUNCTION("GOOGLETRANSLATE(B5431, ""en"", ""fa"")
"),"املاک و مستغلات برای حرفه ای ها")</f>
        <v>املاک و مستغلات برای حرفه ای ها</v>
      </c>
      <c r="G5431" s="1" t="str">
        <f>IFERROR(__xludf.DUMMYFUNCTION("GOOGLETRANSLATE(C5431, ""en"", ""fa"")
"),"چگونه متخصصان املاک و مستغلات می توانند از پلتفرم ها و فناوری حراج آنلاین برای دستیابی به مخاطبان بیشتری برای حراج املاک استفاده کنند؟")</f>
        <v>چگونه متخصصان املاک و مستغلات می توانند از پلتفرم ها و فناوری حراج آنلاین برای دستیابی به مخاطبان بیشتری برای حراج املاک استفاده کنند؟</v>
      </c>
      <c r="H5431" s="1"/>
      <c r="I5431" s="1"/>
      <c r="J5431" s="1"/>
      <c r="K5431" s="1"/>
      <c r="L5431" s="1"/>
      <c r="M5431" s="1"/>
      <c r="N5431" s="1"/>
      <c r="O5431" s="1"/>
      <c r="P5431" s="1"/>
      <c r="Q5431" s="1"/>
      <c r="R5431" s="1"/>
      <c r="S5431" s="1"/>
      <c r="T5431" s="1"/>
      <c r="U5431" s="1"/>
      <c r="V5431" s="1"/>
      <c r="W5431" s="1"/>
      <c r="X5431" s="1"/>
      <c r="Y5431" s="1"/>
      <c r="Z5431" s="1"/>
      <c r="AA5431" s="1"/>
      <c r="AB5431" s="1"/>
    </row>
    <row r="5432" ht="50.25" customHeight="1">
      <c r="A5432" s="12">
        <v>5428.0</v>
      </c>
      <c r="B5432" s="13" t="s">
        <v>5027</v>
      </c>
      <c r="C5432" s="18" t="s">
        <v>5452</v>
      </c>
      <c r="D5432" s="1"/>
      <c r="E5432" s="1"/>
      <c r="F5432" s="1" t="str">
        <f>IFERROR(__xludf.DUMMYFUNCTION("GOOGLETRANSLATE(B5432, ""en"", ""fa"")
"),"املاک و مستغلات برای حرفه ای ها")</f>
        <v>املاک و مستغلات برای حرفه ای ها</v>
      </c>
      <c r="G5432" s="1" t="str">
        <f>IFERROR(__xludf.DUMMYFUNCTION("GOOGLETRANSLATE(C5432, ""en"", ""fa"")
"),"متخصصان املاک از چه تکنیک هایی می توانند برای ایجاد حس فوریت و رقابت در بین داوطلبان در مزایده املاک استفاده کنند؟")</f>
        <v>متخصصان املاک از چه تکنیک هایی می توانند برای ایجاد حس فوریت و رقابت در بین داوطلبان در مزایده املاک استفاده کنند؟</v>
      </c>
      <c r="H5432" s="1"/>
      <c r="I5432" s="1"/>
      <c r="J5432" s="1"/>
      <c r="K5432" s="1"/>
      <c r="L5432" s="1"/>
      <c r="M5432" s="1"/>
      <c r="N5432" s="1"/>
      <c r="O5432" s="1"/>
      <c r="P5432" s="1"/>
      <c r="Q5432" s="1"/>
      <c r="R5432" s="1"/>
      <c r="S5432" s="1"/>
      <c r="T5432" s="1"/>
      <c r="U5432" s="1"/>
      <c r="V5432" s="1"/>
      <c r="W5432" s="1"/>
      <c r="X5432" s="1"/>
      <c r="Y5432" s="1"/>
      <c r="Z5432" s="1"/>
      <c r="AA5432" s="1"/>
      <c r="AB5432" s="1"/>
    </row>
    <row r="5433" ht="50.25" customHeight="1">
      <c r="A5433" s="12">
        <v>5429.0</v>
      </c>
      <c r="B5433" s="13" t="s">
        <v>5027</v>
      </c>
      <c r="C5433" s="18" t="s">
        <v>5453</v>
      </c>
      <c r="D5433" s="1"/>
      <c r="E5433" s="1"/>
      <c r="F5433" s="1" t="str">
        <f>IFERROR(__xludf.DUMMYFUNCTION("GOOGLETRANSLATE(B5433, ""en"", ""fa"")
"),"املاک و مستغلات برای حرفه ای ها")</f>
        <v>املاک و مستغلات برای حرفه ای ها</v>
      </c>
      <c r="G5433" s="1" t="str">
        <f>IFERROR(__xludf.DUMMYFUNCTION("GOOGLETRANSLATE(C5433, ""en"", ""fa"")
"),"چگونه متخصصان املاک و مستغلات می توانند به طور موثر شرایط حراج، شرایط و روش های مناقصه را به خریداران بالقوه انتقال دهند؟")</f>
        <v>چگونه متخصصان املاک و مستغلات می توانند به طور موثر شرایط حراج، شرایط و روش های مناقصه را به خریداران بالقوه انتقال دهند؟</v>
      </c>
      <c r="H5433" s="1"/>
      <c r="I5433" s="1"/>
      <c r="J5433" s="1"/>
      <c r="K5433" s="1"/>
      <c r="L5433" s="1"/>
      <c r="M5433" s="1"/>
      <c r="N5433" s="1"/>
      <c r="O5433" s="1"/>
      <c r="P5433" s="1"/>
      <c r="Q5433" s="1"/>
      <c r="R5433" s="1"/>
      <c r="S5433" s="1"/>
      <c r="T5433" s="1"/>
      <c r="U5433" s="1"/>
      <c r="V5433" s="1"/>
      <c r="W5433" s="1"/>
      <c r="X5433" s="1"/>
      <c r="Y5433" s="1"/>
      <c r="Z5433" s="1"/>
      <c r="AA5433" s="1"/>
      <c r="AB5433" s="1"/>
    </row>
    <row r="5434" ht="50.25" customHeight="1">
      <c r="A5434" s="12">
        <v>5430.0</v>
      </c>
      <c r="B5434" s="13" t="s">
        <v>5027</v>
      </c>
      <c r="C5434" s="18" t="s">
        <v>5454</v>
      </c>
      <c r="D5434" s="1"/>
      <c r="E5434" s="1"/>
      <c r="F5434" s="1" t="str">
        <f>IFERROR(__xludf.DUMMYFUNCTION("GOOGLETRANSLATE(B5434, ""en"", ""fa"")
"),"املاک و مستغلات برای حرفه ای ها")</f>
        <v>املاک و مستغلات برای حرفه ای ها</v>
      </c>
      <c r="G5434" s="1" t="str">
        <f>IFERROR(__xludf.DUMMYFUNCTION("GOOGLETRANSLATE(C5434, ""en"", ""fa"")
"),"متخصصان املاک و مستغلات چه استراتژی هایی می توانند برای رسیدگی و مذاکره با پیشنهادات یا پیشنهادات دریافت شده در طول فرآیند حراج به کار گیرند؟")</f>
        <v>متخصصان املاک و مستغلات چه استراتژی هایی می توانند برای رسیدگی و مذاکره با پیشنهادات یا پیشنهادات دریافت شده در طول فرآیند حراج به کار گیرند؟</v>
      </c>
      <c r="H5434" s="1"/>
      <c r="I5434" s="1"/>
      <c r="J5434" s="1"/>
      <c r="K5434" s="1"/>
      <c r="L5434" s="1"/>
      <c r="M5434" s="1"/>
      <c r="N5434" s="1"/>
      <c r="O5434" s="1"/>
      <c r="P5434" s="1"/>
      <c r="Q5434" s="1"/>
      <c r="R5434" s="1"/>
      <c r="S5434" s="1"/>
      <c r="T5434" s="1"/>
      <c r="U5434" s="1"/>
      <c r="V5434" s="1"/>
      <c r="W5434" s="1"/>
      <c r="X5434" s="1"/>
      <c r="Y5434" s="1"/>
      <c r="Z5434" s="1"/>
      <c r="AA5434" s="1"/>
      <c r="AB5434" s="1"/>
    </row>
    <row r="5435" ht="50.25" customHeight="1">
      <c r="A5435" s="12">
        <v>5431.0</v>
      </c>
      <c r="B5435" s="13" t="s">
        <v>5027</v>
      </c>
      <c r="C5435" s="18" t="s">
        <v>5455</v>
      </c>
      <c r="D5435" s="1"/>
      <c r="E5435" s="1"/>
      <c r="F5435" s="1" t="str">
        <f>IFERROR(__xludf.DUMMYFUNCTION("GOOGLETRANSLATE(B5435, ""en"", ""fa"")
"),"املاک و مستغلات برای حرفه ای ها")</f>
        <v>املاک و مستغلات برای حرفه ای ها</v>
      </c>
      <c r="G5435" s="1" t="str">
        <f>IFERROR(__xludf.DUMMYFUNCTION("GOOGLETRANSLATE(C5435, ""en"", ""fa"")
"),"چگونه متخصصان املاک و مستغلات می توانند خطرات و چالش های بالقوه مرتبط با فروش املاک مضطر یا مصادره شده را از طریق مزایده ارزیابی کنند؟")</f>
        <v>چگونه متخصصان املاک و مستغلات می توانند خطرات و چالش های بالقوه مرتبط با فروش املاک مضطر یا مصادره شده را از طریق مزایده ارزیابی کنند؟</v>
      </c>
      <c r="H5435" s="1"/>
      <c r="I5435" s="1"/>
      <c r="J5435" s="1"/>
      <c r="K5435" s="1"/>
      <c r="L5435" s="1"/>
      <c r="M5435" s="1"/>
      <c r="N5435" s="1"/>
      <c r="O5435" s="1"/>
      <c r="P5435" s="1"/>
      <c r="Q5435" s="1"/>
      <c r="R5435" s="1"/>
      <c r="S5435" s="1"/>
      <c r="T5435" s="1"/>
      <c r="U5435" s="1"/>
      <c r="V5435" s="1"/>
      <c r="W5435" s="1"/>
      <c r="X5435" s="1"/>
      <c r="Y5435" s="1"/>
      <c r="Z5435" s="1"/>
      <c r="AA5435" s="1"/>
      <c r="AB5435" s="1"/>
    </row>
    <row r="5436" ht="50.25" customHeight="1">
      <c r="A5436" s="12">
        <v>5432.0</v>
      </c>
      <c r="B5436" s="13" t="s">
        <v>5027</v>
      </c>
      <c r="C5436" s="18" t="s">
        <v>5456</v>
      </c>
      <c r="D5436" s="1"/>
      <c r="E5436" s="1"/>
      <c r="F5436" s="1" t="str">
        <f>IFERROR(__xludf.DUMMYFUNCTION("GOOGLETRANSLATE(B5436, ""en"", ""fa"")
"),"املاک و مستغلات برای حرفه ای ها")</f>
        <v>املاک و مستغلات برای حرفه ای ها</v>
      </c>
      <c r="G5436" s="1" t="str">
        <f>IFERROR(__xludf.DUMMYFUNCTION("GOOGLETRANSLATE(C5436, ""en"", ""fa"")
"),"متخصصان املاک و مستغلات هنگام انجام حراج املاک باید از چه ملاحظات قانونی و انطباق با آن آگاه باشند؟")</f>
        <v>متخصصان املاک و مستغلات هنگام انجام حراج املاک باید از چه ملاحظات قانونی و انطباق با آن آگاه باشند؟</v>
      </c>
      <c r="H5436" s="1"/>
      <c r="I5436" s="1"/>
      <c r="J5436" s="1"/>
      <c r="K5436" s="1"/>
      <c r="L5436" s="1"/>
      <c r="M5436" s="1"/>
      <c r="N5436" s="1"/>
      <c r="O5436" s="1"/>
      <c r="P5436" s="1"/>
      <c r="Q5436" s="1"/>
      <c r="R5436" s="1"/>
      <c r="S5436" s="1"/>
      <c r="T5436" s="1"/>
      <c r="U5436" s="1"/>
      <c r="V5436" s="1"/>
      <c r="W5436" s="1"/>
      <c r="X5436" s="1"/>
      <c r="Y5436" s="1"/>
      <c r="Z5436" s="1"/>
      <c r="AA5436" s="1"/>
      <c r="AB5436" s="1"/>
    </row>
    <row r="5437" ht="50.25" customHeight="1">
      <c r="A5437" s="12">
        <v>5433.0</v>
      </c>
      <c r="B5437" s="13" t="s">
        <v>5027</v>
      </c>
      <c r="C5437" s="18" t="s">
        <v>5457</v>
      </c>
      <c r="D5437" s="1"/>
      <c r="E5437" s="1"/>
      <c r="F5437" s="1" t="str">
        <f>IFERROR(__xludf.DUMMYFUNCTION("GOOGLETRANSLATE(B5437, ""en"", ""fa"")
"),"املاک و مستغلات برای حرفه ای ها")</f>
        <v>املاک و مستغلات برای حرفه ای ها</v>
      </c>
      <c r="G5437" s="1" t="str">
        <f>IFERROR(__xludf.DUMMYFUNCTION("GOOGLETRANSLATE(C5437, ""en"", ""fa"")
"),"متخصصان املاک چگونه می توانند تاثیر بالقوه شرایط بازار و تقاضای خریدار را بر موفقیت مزایده املاک ارزیابی کنند؟")</f>
        <v>متخصصان املاک چگونه می توانند تاثیر بالقوه شرایط بازار و تقاضای خریدار را بر موفقیت مزایده املاک ارزیابی کنند؟</v>
      </c>
      <c r="H5437" s="1"/>
      <c r="I5437" s="1"/>
      <c r="J5437" s="1"/>
      <c r="K5437" s="1"/>
      <c r="L5437" s="1"/>
      <c r="M5437" s="1"/>
      <c r="N5437" s="1"/>
      <c r="O5437" s="1"/>
      <c r="P5437" s="1"/>
      <c r="Q5437" s="1"/>
      <c r="R5437" s="1"/>
      <c r="S5437" s="1"/>
      <c r="T5437" s="1"/>
      <c r="U5437" s="1"/>
      <c r="V5437" s="1"/>
      <c r="W5437" s="1"/>
      <c r="X5437" s="1"/>
      <c r="Y5437" s="1"/>
      <c r="Z5437" s="1"/>
      <c r="AA5437" s="1"/>
      <c r="AB5437" s="1"/>
    </row>
    <row r="5438" ht="50.25" customHeight="1">
      <c r="A5438" s="12">
        <v>5434.0</v>
      </c>
      <c r="B5438" s="13" t="s">
        <v>5027</v>
      </c>
      <c r="C5438" s="18" t="s">
        <v>5458</v>
      </c>
      <c r="D5438" s="1"/>
      <c r="E5438" s="1"/>
      <c r="F5438" s="1" t="str">
        <f>IFERROR(__xludf.DUMMYFUNCTION("GOOGLETRANSLATE(B5438, ""en"", ""fa"")
"),"املاک و مستغلات برای حرفه ای ها")</f>
        <v>املاک و مستغلات برای حرفه ای ها</v>
      </c>
      <c r="G5438" s="1" t="str">
        <f>IFERROR(__xludf.DUMMYFUNCTION("GOOGLETRANSLATE(C5438, ""en"", ""fa"")
"),"متخصصان املاک و مستغلات از چه تکنیک هایی می توانند برای تعیین انتظارات واقع بینانه و راهنمایی فروشندگان در مورد نتایج بالقوه حراج املاک استفاده کنند؟")</f>
        <v>متخصصان املاک و مستغلات از چه تکنیک هایی می توانند برای تعیین انتظارات واقع بینانه و راهنمایی فروشندگان در مورد نتایج بالقوه حراج املاک استفاده کنند؟</v>
      </c>
      <c r="H5438" s="1"/>
      <c r="I5438" s="1"/>
      <c r="J5438" s="1"/>
      <c r="K5438" s="1"/>
      <c r="L5438" s="1"/>
      <c r="M5438" s="1"/>
      <c r="N5438" s="1"/>
      <c r="O5438" s="1"/>
      <c r="P5438" s="1"/>
      <c r="Q5438" s="1"/>
      <c r="R5438" s="1"/>
      <c r="S5438" s="1"/>
      <c r="T5438" s="1"/>
      <c r="U5438" s="1"/>
      <c r="V5438" s="1"/>
      <c r="W5438" s="1"/>
      <c r="X5438" s="1"/>
      <c r="Y5438" s="1"/>
      <c r="Z5438" s="1"/>
      <c r="AA5438" s="1"/>
      <c r="AB5438" s="1"/>
    </row>
    <row r="5439" ht="50.25" customHeight="1">
      <c r="A5439" s="12">
        <v>5435.0</v>
      </c>
      <c r="B5439" s="13" t="s">
        <v>5027</v>
      </c>
      <c r="C5439" s="18" t="s">
        <v>5459</v>
      </c>
      <c r="D5439" s="1"/>
      <c r="E5439" s="1"/>
      <c r="F5439" s="1" t="str">
        <f>IFERROR(__xludf.DUMMYFUNCTION("GOOGLETRANSLATE(B5439, ""en"", ""fa"")
"),"املاک و مستغلات برای حرفه ای ها")</f>
        <v>املاک و مستغلات برای حرفه ای ها</v>
      </c>
      <c r="G5439" s="1" t="str">
        <f>IFERROR(__xludf.DUMMYFUNCTION("GOOGLETRANSLATE(C5439, ""en"", ""fa"")
"),"چگونه متخصصان املاک می توانند فرآیند شفاف و منصفانه مناقصه را در مزایده املاک تسهیل کنند؟")</f>
        <v>چگونه متخصصان املاک می توانند فرآیند شفاف و منصفانه مناقصه را در مزایده املاک تسهیل کنند؟</v>
      </c>
      <c r="H5439" s="1"/>
      <c r="I5439" s="1"/>
      <c r="J5439" s="1"/>
      <c r="K5439" s="1"/>
      <c r="L5439" s="1"/>
      <c r="M5439" s="1"/>
      <c r="N5439" s="1"/>
      <c r="O5439" s="1"/>
      <c r="P5439" s="1"/>
      <c r="Q5439" s="1"/>
      <c r="R5439" s="1"/>
      <c r="S5439" s="1"/>
      <c r="T5439" s="1"/>
      <c r="U5439" s="1"/>
      <c r="V5439" s="1"/>
      <c r="W5439" s="1"/>
      <c r="X5439" s="1"/>
      <c r="Y5439" s="1"/>
      <c r="Z5439" s="1"/>
      <c r="AA5439" s="1"/>
      <c r="AB5439" s="1"/>
    </row>
    <row r="5440" ht="50.25" customHeight="1">
      <c r="A5440" s="12">
        <v>5436.0</v>
      </c>
      <c r="B5440" s="13" t="s">
        <v>5027</v>
      </c>
      <c r="C5440" s="18" t="s">
        <v>5460</v>
      </c>
      <c r="D5440" s="1"/>
      <c r="E5440" s="1"/>
      <c r="F5440" s="1" t="str">
        <f>IFERROR(__xludf.DUMMYFUNCTION("GOOGLETRANSLATE(B5440, ""en"", ""fa"")
"),"املاک و مستغلات برای حرفه ای ها")</f>
        <v>املاک و مستغلات برای حرفه ای ها</v>
      </c>
      <c r="G5440" s="1" t="str">
        <f>IFERROR(__xludf.DUMMYFUNCTION("GOOGLETRANSLATE(C5440, ""en"", ""fa"")
"),"تفاوت های کلیدی بین حراج های مطلق، حراج های رزرو و حراج های حداقل پیشنهاد چیست و چه زمانی مناسب ترین آنهاست؟")</f>
        <v>تفاوت های کلیدی بین حراج های مطلق، حراج های رزرو و حراج های حداقل پیشنهاد چیست و چه زمانی مناسب ترین آنهاست؟</v>
      </c>
      <c r="H5440" s="1"/>
      <c r="I5440" s="1"/>
      <c r="J5440" s="1"/>
      <c r="K5440" s="1"/>
      <c r="L5440" s="1"/>
      <c r="M5440" s="1"/>
      <c r="N5440" s="1"/>
      <c r="O5440" s="1"/>
      <c r="P5440" s="1"/>
      <c r="Q5440" s="1"/>
      <c r="R5440" s="1"/>
      <c r="S5440" s="1"/>
      <c r="T5440" s="1"/>
      <c r="U5440" s="1"/>
      <c r="V5440" s="1"/>
      <c r="W5440" s="1"/>
      <c r="X5440" s="1"/>
      <c r="Y5440" s="1"/>
      <c r="Z5440" s="1"/>
      <c r="AA5440" s="1"/>
      <c r="AB5440" s="1"/>
    </row>
    <row r="5441" ht="50.25" customHeight="1">
      <c r="A5441" s="12">
        <v>5437.0</v>
      </c>
      <c r="B5441" s="13" t="s">
        <v>5027</v>
      </c>
      <c r="C5441" s="18" t="s">
        <v>5461</v>
      </c>
      <c r="D5441" s="1"/>
      <c r="E5441" s="1"/>
      <c r="F5441" s="1" t="str">
        <f>IFERROR(__xludf.DUMMYFUNCTION("GOOGLETRANSLATE(B5441, ""en"", ""fa"")
"),"املاک و مستغلات برای حرفه ای ها")</f>
        <v>املاک و مستغلات برای حرفه ای ها</v>
      </c>
      <c r="G5441" s="1" t="str">
        <f>IFERROR(__xludf.DUMMYFUNCTION("GOOGLETRANSLATE(C5441, ""en"", ""fa"")
"),"چگونه متخصصان املاک و مستغلات می توانند به طور موثر سوالات و سوالات مناقصه گران را در طول فرآیند حراج مدیریت کرده و به آنها پاسخ دهند؟")</f>
        <v>چگونه متخصصان املاک و مستغلات می توانند به طور موثر سوالات و سوالات مناقصه گران را در طول فرآیند حراج مدیریت کرده و به آنها پاسخ دهند؟</v>
      </c>
      <c r="H5441" s="1"/>
      <c r="I5441" s="1"/>
      <c r="J5441" s="1"/>
      <c r="K5441" s="1"/>
      <c r="L5441" s="1"/>
      <c r="M5441" s="1"/>
      <c r="N5441" s="1"/>
      <c r="O5441" s="1"/>
      <c r="P5441" s="1"/>
      <c r="Q5441" s="1"/>
      <c r="R5441" s="1"/>
      <c r="S5441" s="1"/>
      <c r="T5441" s="1"/>
      <c r="U5441" s="1"/>
      <c r="V5441" s="1"/>
      <c r="W5441" s="1"/>
      <c r="X5441" s="1"/>
      <c r="Y5441" s="1"/>
      <c r="Z5441" s="1"/>
      <c r="AA5441" s="1"/>
      <c r="AB5441" s="1"/>
    </row>
    <row r="5442" ht="50.25" customHeight="1">
      <c r="A5442" s="12">
        <v>5438.0</v>
      </c>
      <c r="B5442" s="13" t="s">
        <v>5027</v>
      </c>
      <c r="C5442" s="18" t="s">
        <v>5462</v>
      </c>
      <c r="D5442" s="1"/>
      <c r="E5442" s="1"/>
      <c r="F5442" s="1" t="str">
        <f>IFERROR(__xludf.DUMMYFUNCTION("GOOGLETRANSLATE(B5442, ""en"", ""fa"")
"),"املاک و مستغلات برای حرفه ای ها")</f>
        <v>املاک و مستغلات برای حرفه ای ها</v>
      </c>
      <c r="G5442" s="1" t="str">
        <f>IFERROR(__xludf.DUMMYFUNCTION("GOOGLETRANSLATE(C5442, ""en"", ""fa"")
"),"متخصصان املاک و مستغلات چه استراتژی هایی می توانند برای ایجاد لیست های حراج قانع کننده و مواد بازاریابی برای جذب خریداران بالقوه به کار گیرند؟")</f>
        <v>متخصصان املاک و مستغلات چه استراتژی هایی می توانند برای ایجاد لیست های حراج قانع کننده و مواد بازاریابی برای جذب خریداران بالقوه به کار گیرند؟</v>
      </c>
      <c r="H5442" s="1"/>
      <c r="I5442" s="1"/>
      <c r="J5442" s="1"/>
      <c r="K5442" s="1"/>
      <c r="L5442" s="1"/>
      <c r="M5442" s="1"/>
      <c r="N5442" s="1"/>
      <c r="O5442" s="1"/>
      <c r="P5442" s="1"/>
      <c r="Q5442" s="1"/>
      <c r="R5442" s="1"/>
      <c r="S5442" s="1"/>
      <c r="T5442" s="1"/>
      <c r="U5442" s="1"/>
      <c r="V5442" s="1"/>
      <c r="W5442" s="1"/>
      <c r="X5442" s="1"/>
      <c r="Y5442" s="1"/>
      <c r="Z5442" s="1"/>
      <c r="AA5442" s="1"/>
      <c r="AB5442" s="1"/>
    </row>
    <row r="5443" ht="50.25" customHeight="1">
      <c r="A5443" s="12">
        <v>5439.0</v>
      </c>
      <c r="B5443" s="13" t="s">
        <v>5027</v>
      </c>
      <c r="C5443" s="18" t="s">
        <v>5463</v>
      </c>
      <c r="D5443" s="1"/>
      <c r="E5443" s="1"/>
      <c r="F5443" s="1" t="str">
        <f>IFERROR(__xludf.DUMMYFUNCTION("GOOGLETRANSLATE(B5443, ""en"", ""fa"")
"),"املاک و مستغلات برای حرفه ای ها")</f>
        <v>املاک و مستغلات برای حرفه ای ها</v>
      </c>
      <c r="G5443" s="1" t="str">
        <f>IFERROR(__xludf.DUMMYFUNCTION("GOOGLETRANSLATE(C5443, ""en"", ""fa"")
"),"چگونه متخصصان املاک و مستغلات می توانند از رسانه های اجتماعی و تبلیغات دیجیتال برای ایجاد علاقه و تعامل برای حراج املاک استفاده کنند؟")</f>
        <v>چگونه متخصصان املاک و مستغلات می توانند از رسانه های اجتماعی و تبلیغات دیجیتال برای ایجاد علاقه و تعامل برای حراج املاک استفاده کنند؟</v>
      </c>
      <c r="H5443" s="1"/>
      <c r="I5443" s="1"/>
      <c r="J5443" s="1"/>
      <c r="K5443" s="1"/>
      <c r="L5443" s="1"/>
      <c r="M5443" s="1"/>
      <c r="N5443" s="1"/>
      <c r="O5443" s="1"/>
      <c r="P5443" s="1"/>
      <c r="Q5443" s="1"/>
      <c r="R5443" s="1"/>
      <c r="S5443" s="1"/>
      <c r="T5443" s="1"/>
      <c r="U5443" s="1"/>
      <c r="V5443" s="1"/>
      <c r="W5443" s="1"/>
      <c r="X5443" s="1"/>
      <c r="Y5443" s="1"/>
      <c r="Z5443" s="1"/>
      <c r="AA5443" s="1"/>
      <c r="AB5443" s="1"/>
    </row>
    <row r="5444" ht="50.25" customHeight="1">
      <c r="A5444" s="12">
        <v>5440.0</v>
      </c>
      <c r="B5444" s="13" t="s">
        <v>5027</v>
      </c>
      <c r="C5444" s="18" t="s">
        <v>5464</v>
      </c>
      <c r="D5444" s="1"/>
      <c r="E5444" s="1"/>
      <c r="F5444" s="1" t="str">
        <f>IFERROR(__xludf.DUMMYFUNCTION("GOOGLETRANSLATE(B5444, ""en"", ""fa"")
"),"املاک و مستغلات برای حرفه ای ها")</f>
        <v>املاک و مستغلات برای حرفه ای ها</v>
      </c>
      <c r="G5444" s="1" t="str">
        <f>IFERROR(__xludf.DUMMYFUNCTION("GOOGLETRANSLATE(C5444, ""en"", ""fa"")
"),"متخصصان املاک و مستغلات از چه تکنیک هایی می توانند برای غلبه بر اعتراضات و نگرانی های رایج فروشندگان در مورد حراج املاک استفاده کنند؟")</f>
        <v>متخصصان املاک و مستغلات از چه تکنیک هایی می توانند برای غلبه بر اعتراضات و نگرانی های رایج فروشندگان در مورد حراج املاک استفاده کنند؟</v>
      </c>
      <c r="H5444" s="1"/>
      <c r="I5444" s="1"/>
      <c r="J5444" s="1"/>
      <c r="K5444" s="1"/>
      <c r="L5444" s="1"/>
      <c r="M5444" s="1"/>
      <c r="N5444" s="1"/>
      <c r="O5444" s="1"/>
      <c r="P5444" s="1"/>
      <c r="Q5444" s="1"/>
      <c r="R5444" s="1"/>
      <c r="S5444" s="1"/>
      <c r="T5444" s="1"/>
      <c r="U5444" s="1"/>
      <c r="V5444" s="1"/>
      <c r="W5444" s="1"/>
      <c r="X5444" s="1"/>
      <c r="Y5444" s="1"/>
      <c r="Z5444" s="1"/>
      <c r="AA5444" s="1"/>
      <c r="AB5444" s="1"/>
    </row>
    <row r="5445" ht="50.25" customHeight="1">
      <c r="A5445" s="12">
        <v>5441.0</v>
      </c>
      <c r="B5445" s="13" t="s">
        <v>5027</v>
      </c>
      <c r="C5445" s="18" t="s">
        <v>5465</v>
      </c>
      <c r="D5445" s="1"/>
      <c r="E5445" s="1"/>
      <c r="F5445" s="1" t="str">
        <f>IFERROR(__xludf.DUMMYFUNCTION("GOOGLETRANSLATE(B5445, ""en"", ""fa"")
"),"املاک و مستغلات برای حرفه ای ها")</f>
        <v>املاک و مستغلات برای حرفه ای ها</v>
      </c>
      <c r="G5445" s="1" t="str">
        <f>IFERROR(__xludf.DUMMYFUNCTION("GOOGLETRANSLATE(C5445, ""en"", ""fa"")
"),"چگونه متخصصان املاک و مستغلات می توانند خطرات و چالش های بالقوه مرتبط با انجام حراج های حضوری زنده در مقابل حراج های آنلاین را ارزیابی کنند؟")</f>
        <v>چگونه متخصصان املاک و مستغلات می توانند خطرات و چالش های بالقوه مرتبط با انجام حراج های حضوری زنده در مقابل حراج های آنلاین را ارزیابی کنند؟</v>
      </c>
      <c r="H5445" s="1"/>
      <c r="I5445" s="1"/>
      <c r="J5445" s="1"/>
      <c r="K5445" s="1"/>
      <c r="L5445" s="1"/>
      <c r="M5445" s="1"/>
      <c r="N5445" s="1"/>
      <c r="O5445" s="1"/>
      <c r="P5445" s="1"/>
      <c r="Q5445" s="1"/>
      <c r="R5445" s="1"/>
      <c r="S5445" s="1"/>
      <c r="T5445" s="1"/>
      <c r="U5445" s="1"/>
      <c r="V5445" s="1"/>
      <c r="W5445" s="1"/>
      <c r="X5445" s="1"/>
      <c r="Y5445" s="1"/>
      <c r="Z5445" s="1"/>
      <c r="AA5445" s="1"/>
      <c r="AB5445" s="1"/>
    </row>
    <row r="5446" ht="50.25" customHeight="1">
      <c r="A5446" s="12">
        <v>5442.0</v>
      </c>
      <c r="B5446" s="13" t="s">
        <v>5027</v>
      </c>
      <c r="C5446" s="18" t="s">
        <v>5466</v>
      </c>
      <c r="D5446" s="1"/>
      <c r="E5446" s="1"/>
      <c r="F5446" s="1" t="str">
        <f>IFERROR(__xludf.DUMMYFUNCTION("GOOGLETRANSLATE(B5446, ""en"", ""fa"")
"),"املاک و مستغلات برای حرفه ای ها")</f>
        <v>املاک و مستغلات برای حرفه ای ها</v>
      </c>
      <c r="G5446" s="1" t="str">
        <f>IFERROR(__xludf.DUMMYFUNCTION("GOOGLETRANSLATE(C5446, ""en"", ""fa"")
"),"ملاحظات کلیدی برای انتخاب حراجدار یا شرکت حراج مناسب برای حراج املاک چیست؟")</f>
        <v>ملاحظات کلیدی برای انتخاب حراجدار یا شرکت حراج مناسب برای حراج املاک چیست؟</v>
      </c>
      <c r="H5446" s="1"/>
      <c r="I5446" s="1"/>
      <c r="J5446" s="1"/>
      <c r="K5446" s="1"/>
      <c r="L5446" s="1"/>
      <c r="M5446" s="1"/>
      <c r="N5446" s="1"/>
      <c r="O5446" s="1"/>
      <c r="P5446" s="1"/>
      <c r="Q5446" s="1"/>
      <c r="R5446" s="1"/>
      <c r="S5446" s="1"/>
      <c r="T5446" s="1"/>
      <c r="U5446" s="1"/>
      <c r="V5446" s="1"/>
      <c r="W5446" s="1"/>
      <c r="X5446" s="1"/>
      <c r="Y5446" s="1"/>
      <c r="Z5446" s="1"/>
      <c r="AA5446" s="1"/>
      <c r="AB5446" s="1"/>
    </row>
    <row r="5447" ht="50.25" customHeight="1">
      <c r="A5447" s="12">
        <v>5443.0</v>
      </c>
      <c r="B5447" s="13" t="s">
        <v>5027</v>
      </c>
      <c r="C5447" s="18" t="s">
        <v>5467</v>
      </c>
      <c r="D5447" s="1"/>
      <c r="E5447" s="1"/>
      <c r="F5447" s="1" t="str">
        <f>IFERROR(__xludf.DUMMYFUNCTION("GOOGLETRANSLATE(B5447, ""en"", ""fa"")
"),"املاک و مستغلات برای حرفه ای ها")</f>
        <v>املاک و مستغلات برای حرفه ای ها</v>
      </c>
      <c r="G5447" s="1" t="str">
        <f>IFERROR(__xludf.DUMMYFUNCTION("GOOGLETRANSLATE(C5447, ""en"", ""fa"")
"),"چگونه متخصصان املاک و مستغلات می توانند تأثیر بالقوه انگیزه های فروشنده و جدول زمانی را بر تصمیم برای استفاده از مزایده املاک ارزیابی کنند؟")</f>
        <v>چگونه متخصصان املاک و مستغلات می توانند تأثیر بالقوه انگیزه های فروشنده و جدول زمانی را بر تصمیم برای استفاده از مزایده املاک ارزیابی کنند؟</v>
      </c>
      <c r="H5447" s="1"/>
      <c r="I5447" s="1"/>
      <c r="J5447" s="1"/>
      <c r="K5447" s="1"/>
      <c r="L5447" s="1"/>
      <c r="M5447" s="1"/>
      <c r="N5447" s="1"/>
      <c r="O5447" s="1"/>
      <c r="P5447" s="1"/>
      <c r="Q5447" s="1"/>
      <c r="R5447" s="1"/>
      <c r="S5447" s="1"/>
      <c r="T5447" s="1"/>
      <c r="U5447" s="1"/>
      <c r="V5447" s="1"/>
      <c r="W5447" s="1"/>
      <c r="X5447" s="1"/>
      <c r="Y5447" s="1"/>
      <c r="Z5447" s="1"/>
      <c r="AA5447" s="1"/>
      <c r="AB5447" s="1"/>
    </row>
    <row r="5448" ht="50.25" customHeight="1">
      <c r="A5448" s="12">
        <v>5444.0</v>
      </c>
      <c r="B5448" s="13" t="s">
        <v>5027</v>
      </c>
      <c r="C5448" s="18" t="s">
        <v>5468</v>
      </c>
      <c r="D5448" s="1"/>
      <c r="E5448" s="1"/>
      <c r="F5448" s="1" t="str">
        <f>IFERROR(__xludf.DUMMYFUNCTION("GOOGLETRANSLATE(B5448, ""en"", ""fa"")
"),"املاک و مستغلات برای حرفه ای ها")</f>
        <v>املاک و مستغلات برای حرفه ای ها</v>
      </c>
      <c r="G5448" s="1" t="str">
        <f>IFERROR(__xludf.DUMMYFUNCTION("GOOGLETRANSLATE(C5448, ""en"", ""fa"")
"),"متخصصان املاک و مستغلات چه استراتژی هایی می توانند برای ایجاد روابط با مناقصه گران و سرمایه گذاران واجد شرایط برای مزایده های مکرر املاک به کار گیرند؟")</f>
        <v>متخصصان املاک و مستغلات چه استراتژی هایی می توانند برای ایجاد روابط با مناقصه گران و سرمایه گذاران واجد شرایط برای مزایده های مکرر املاک به کار گیرند؟</v>
      </c>
      <c r="H5448" s="1"/>
      <c r="I5448" s="1"/>
      <c r="J5448" s="1"/>
      <c r="K5448" s="1"/>
      <c r="L5448" s="1"/>
      <c r="M5448" s="1"/>
      <c r="N5448" s="1"/>
      <c r="O5448" s="1"/>
      <c r="P5448" s="1"/>
      <c r="Q5448" s="1"/>
      <c r="R5448" s="1"/>
      <c r="S5448" s="1"/>
      <c r="T5448" s="1"/>
      <c r="U5448" s="1"/>
      <c r="V5448" s="1"/>
      <c r="W5448" s="1"/>
      <c r="X5448" s="1"/>
      <c r="Y5448" s="1"/>
      <c r="Z5448" s="1"/>
      <c r="AA5448" s="1"/>
      <c r="AB5448" s="1"/>
    </row>
    <row r="5449" ht="50.25" customHeight="1">
      <c r="A5449" s="12">
        <v>5445.0</v>
      </c>
      <c r="B5449" s="13" t="s">
        <v>5027</v>
      </c>
      <c r="C5449" s="18" t="s">
        <v>5469</v>
      </c>
      <c r="D5449" s="1"/>
      <c r="E5449" s="1"/>
      <c r="F5449" s="1" t="str">
        <f>IFERROR(__xludf.DUMMYFUNCTION("GOOGLETRANSLATE(B5449, ""en"", ""fa"")
"),"املاک و مستغلات برای حرفه ای ها")</f>
        <v>املاک و مستغلات برای حرفه ای ها</v>
      </c>
      <c r="G5449" s="1" t="str">
        <f>IFERROR(__xludf.DUMMYFUNCTION("GOOGLETRANSLATE(C5449, ""en"", ""fa"")
"),"چگونه متخصصان املاک و مستغلات می توانند به طور موثر ویژگی های منحصر به فرد و نقاط فروش املاک در حراج را بازاریابی و به نمایش بگذارند؟")</f>
        <v>چگونه متخصصان املاک و مستغلات می توانند به طور موثر ویژگی های منحصر به فرد و نقاط فروش املاک در حراج را بازاریابی و به نمایش بگذارند؟</v>
      </c>
      <c r="H5449" s="1"/>
      <c r="I5449" s="1"/>
      <c r="J5449" s="1"/>
      <c r="K5449" s="1"/>
      <c r="L5449" s="1"/>
      <c r="M5449" s="1"/>
      <c r="N5449" s="1"/>
      <c r="O5449" s="1"/>
      <c r="P5449" s="1"/>
      <c r="Q5449" s="1"/>
      <c r="R5449" s="1"/>
      <c r="S5449" s="1"/>
      <c r="T5449" s="1"/>
      <c r="U5449" s="1"/>
      <c r="V5449" s="1"/>
      <c r="W5449" s="1"/>
      <c r="X5449" s="1"/>
      <c r="Y5449" s="1"/>
      <c r="Z5449" s="1"/>
      <c r="AA5449" s="1"/>
      <c r="AB5449" s="1"/>
    </row>
    <row r="5450" ht="50.25" customHeight="1">
      <c r="A5450" s="12">
        <v>5446.0</v>
      </c>
      <c r="B5450" s="13" t="s">
        <v>5027</v>
      </c>
      <c r="C5450" s="18" t="s">
        <v>5470</v>
      </c>
      <c r="D5450" s="1"/>
      <c r="E5450" s="1"/>
      <c r="F5450" s="1" t="str">
        <f>IFERROR(__xludf.DUMMYFUNCTION("GOOGLETRANSLATE(B5450, ""en"", ""fa"")
"),"املاک و مستغلات برای حرفه ای ها")</f>
        <v>املاک و مستغلات برای حرفه ای ها</v>
      </c>
      <c r="G5450" s="1" t="str">
        <f>IFERROR(__xludf.DUMMYFUNCTION("GOOGLETRANSLATE(C5450, ""en"", ""fa"")
"),"متخصصان املاک و مستغلات از چه تکنیک هایی می توانند برای ایجاد یک محیط مناقصه رقابتی در مزایده املاک، حتی برای املاک با بهره محدود استفاده کنند؟")</f>
        <v>متخصصان املاک و مستغلات از چه تکنیک هایی می توانند برای ایجاد یک محیط مناقصه رقابتی در مزایده املاک، حتی برای املاک با بهره محدود استفاده کنند؟</v>
      </c>
      <c r="H5450" s="1"/>
      <c r="I5450" s="1"/>
      <c r="J5450" s="1"/>
      <c r="K5450" s="1"/>
      <c r="L5450" s="1"/>
      <c r="M5450" s="1"/>
      <c r="N5450" s="1"/>
      <c r="O5450" s="1"/>
      <c r="P5450" s="1"/>
      <c r="Q5450" s="1"/>
      <c r="R5450" s="1"/>
      <c r="S5450" s="1"/>
      <c r="T5450" s="1"/>
      <c r="U5450" s="1"/>
      <c r="V5450" s="1"/>
      <c r="W5450" s="1"/>
      <c r="X5450" s="1"/>
      <c r="Y5450" s="1"/>
      <c r="Z5450" s="1"/>
      <c r="AA5450" s="1"/>
      <c r="AB5450" s="1"/>
    </row>
    <row r="5451" ht="50.25" customHeight="1">
      <c r="A5451" s="12">
        <v>5447.0</v>
      </c>
      <c r="B5451" s="13" t="s">
        <v>5027</v>
      </c>
      <c r="C5451" s="18" t="s">
        <v>5471</v>
      </c>
      <c r="D5451" s="1"/>
      <c r="E5451" s="1"/>
      <c r="F5451" s="1" t="str">
        <f>IFERROR(__xludf.DUMMYFUNCTION("GOOGLETRANSLATE(B5451, ""en"", ""fa"")
"),"املاک و مستغلات برای حرفه ای ها")</f>
        <v>املاک و مستغلات برای حرفه ای ها</v>
      </c>
      <c r="G5451" s="1" t="str">
        <f>IFERROR(__xludf.DUMMYFUNCTION("GOOGLETRANSLATE(C5451, ""en"", ""fa"")
"),"چگونه متخصصان املاک و مستغلات می توانند خطرات و فرصت های بالقوه مرتبط با ارائه گزینه های تامین مالی یا تامین مالی فروشنده در حراج املاک را ارزیابی کنند؟")</f>
        <v>چگونه متخصصان املاک و مستغلات می توانند خطرات و فرصت های بالقوه مرتبط با ارائه گزینه های تامین مالی یا تامین مالی فروشنده در حراج املاک را ارزیابی کنند؟</v>
      </c>
      <c r="H5451" s="1"/>
      <c r="I5451" s="1"/>
      <c r="J5451" s="1"/>
      <c r="K5451" s="1"/>
      <c r="L5451" s="1"/>
      <c r="M5451" s="1"/>
      <c r="N5451" s="1"/>
      <c r="O5451" s="1"/>
      <c r="P5451" s="1"/>
      <c r="Q5451" s="1"/>
      <c r="R5451" s="1"/>
      <c r="S5451" s="1"/>
      <c r="T5451" s="1"/>
      <c r="U5451" s="1"/>
      <c r="V5451" s="1"/>
      <c r="W5451" s="1"/>
      <c r="X5451" s="1"/>
      <c r="Y5451" s="1"/>
      <c r="Z5451" s="1"/>
      <c r="AA5451" s="1"/>
      <c r="AB5451" s="1"/>
    </row>
    <row r="5452" ht="50.25" customHeight="1">
      <c r="A5452" s="12">
        <v>5448.0</v>
      </c>
      <c r="B5452" s="13" t="s">
        <v>5027</v>
      </c>
      <c r="C5452" s="18" t="s">
        <v>5472</v>
      </c>
      <c r="D5452" s="1"/>
      <c r="E5452" s="1"/>
      <c r="F5452" s="1" t="str">
        <f>IFERROR(__xludf.DUMMYFUNCTION("GOOGLETRANSLATE(B5452, ""en"", ""fa"")
"),"املاک و مستغلات برای حرفه ای ها")</f>
        <v>املاک و مستغلات برای حرفه ای ها</v>
      </c>
      <c r="G5452" s="1" t="str">
        <f>IFERROR(__xludf.DUMMYFUNCTION("GOOGLETRANSLATE(C5452, ""en"", ""fa"")
"),"متخصصان املاک و مستغلات هنگام رسیدگی به سپرده‌های پولی جدی و فرآیندهای بسته شدن در مزایده‌های املاک باید از چه ملاحظات قانونی و انطباق با آن آگاه باشند؟")</f>
        <v>متخصصان املاک و مستغلات هنگام رسیدگی به سپرده‌های پولی جدی و فرآیندهای بسته شدن در مزایده‌های املاک باید از چه ملاحظات قانونی و انطباق با آن آگاه باشند؟</v>
      </c>
      <c r="H5452" s="1"/>
      <c r="I5452" s="1"/>
      <c r="J5452" s="1"/>
      <c r="K5452" s="1"/>
      <c r="L5452" s="1"/>
      <c r="M5452" s="1"/>
      <c r="N5452" s="1"/>
      <c r="O5452" s="1"/>
      <c r="P5452" s="1"/>
      <c r="Q5452" s="1"/>
      <c r="R5452" s="1"/>
      <c r="S5452" s="1"/>
      <c r="T5452" s="1"/>
      <c r="U5452" s="1"/>
      <c r="V5452" s="1"/>
      <c r="W5452" s="1"/>
      <c r="X5452" s="1"/>
      <c r="Y5452" s="1"/>
      <c r="Z5452" s="1"/>
      <c r="AA5452" s="1"/>
      <c r="AB5452" s="1"/>
    </row>
    <row r="5453" ht="50.25" customHeight="1">
      <c r="A5453" s="12">
        <v>5449.0</v>
      </c>
      <c r="B5453" s="13" t="s">
        <v>5027</v>
      </c>
      <c r="C5453" s="18" t="s">
        <v>5473</v>
      </c>
      <c r="D5453" s="1"/>
      <c r="E5453" s="1"/>
      <c r="F5453" s="1" t="str">
        <f>IFERROR(__xludf.DUMMYFUNCTION("GOOGLETRANSLATE(B5453, ""en"", ""fa"")
"),"املاک و مستغلات برای حرفه ای ها")</f>
        <v>املاک و مستغلات برای حرفه ای ها</v>
      </c>
      <c r="G5453" s="1" t="str">
        <f>IFERROR(__xludf.DUMMYFUNCTION("GOOGLETRANSLATE(C5453, ""en"", ""fa"")
"),"متخصصان املاک و مستغلات چگونه می توانند تأثیر بالقوه عوامل اقتصادی مانند نرخ بهره یا تورم را بر تقاضای خریداران و فعالیت های پیشنهادی در مزایده املاک ارزیابی کنند؟")</f>
        <v>متخصصان املاک و مستغلات چگونه می توانند تأثیر بالقوه عوامل اقتصادی مانند نرخ بهره یا تورم را بر تقاضای خریداران و فعالیت های پیشنهادی در مزایده املاک ارزیابی کنند؟</v>
      </c>
      <c r="H5453" s="1"/>
      <c r="I5453" s="1"/>
      <c r="J5453" s="1"/>
      <c r="K5453" s="1"/>
      <c r="L5453" s="1"/>
      <c r="M5453" s="1"/>
      <c r="N5453" s="1"/>
      <c r="O5453" s="1"/>
      <c r="P5453" s="1"/>
      <c r="Q5453" s="1"/>
      <c r="R5453" s="1"/>
      <c r="S5453" s="1"/>
      <c r="T5453" s="1"/>
      <c r="U5453" s="1"/>
      <c r="V5453" s="1"/>
      <c r="W5453" s="1"/>
      <c r="X5453" s="1"/>
      <c r="Y5453" s="1"/>
      <c r="Z5453" s="1"/>
      <c r="AA5453" s="1"/>
      <c r="AB5453" s="1"/>
    </row>
    <row r="5454" ht="50.25" customHeight="1">
      <c r="A5454" s="12">
        <v>5450.0</v>
      </c>
      <c r="B5454" s="13" t="s">
        <v>5027</v>
      </c>
      <c r="C5454" s="18" t="s">
        <v>5474</v>
      </c>
      <c r="D5454" s="1"/>
      <c r="E5454" s="1"/>
      <c r="F5454" s="1" t="str">
        <f>IFERROR(__xludf.DUMMYFUNCTION("GOOGLETRANSLATE(B5454, ""en"", ""fa"")
"),"املاک و مستغلات برای حرفه ای ها")</f>
        <v>املاک و مستغلات برای حرفه ای ها</v>
      </c>
      <c r="G5454" s="1" t="str">
        <f>IFERROR(__xludf.DUMMYFUNCTION("GOOGLETRANSLATE(C5454, ""en"", ""fa"")
"),"متخصصان املاک و مستغلات چه استراتژی هایی را می توانند برای مدیریت موثر چندین ملک در حراج همزمان به کار گیرند؟")</f>
        <v>متخصصان املاک و مستغلات چه استراتژی هایی را می توانند برای مدیریت موثر چندین ملک در حراج همزمان به کار گیرند؟</v>
      </c>
      <c r="H5454" s="1"/>
      <c r="I5454" s="1"/>
      <c r="J5454" s="1"/>
      <c r="K5454" s="1"/>
      <c r="L5454" s="1"/>
      <c r="M5454" s="1"/>
      <c r="N5454" s="1"/>
      <c r="O5454" s="1"/>
      <c r="P5454" s="1"/>
      <c r="Q5454" s="1"/>
      <c r="R5454" s="1"/>
      <c r="S5454" s="1"/>
      <c r="T5454" s="1"/>
      <c r="U5454" s="1"/>
      <c r="V5454" s="1"/>
      <c r="W5454" s="1"/>
      <c r="X5454" s="1"/>
      <c r="Y5454" s="1"/>
      <c r="Z5454" s="1"/>
      <c r="AA5454" s="1"/>
      <c r="AB5454" s="1"/>
    </row>
    <row r="5455" ht="50.25" customHeight="1">
      <c r="A5455" s="12">
        <v>5451.0</v>
      </c>
      <c r="B5455" s="13" t="s">
        <v>5027</v>
      </c>
      <c r="C5455" s="18" t="s">
        <v>5475</v>
      </c>
      <c r="D5455" s="1"/>
      <c r="E5455" s="1"/>
      <c r="F5455" s="1" t="str">
        <f>IFERROR(__xludf.DUMMYFUNCTION("GOOGLETRANSLATE(B5455, ""en"", ""fa"")
"),"املاک و مستغلات برای حرفه ای ها")</f>
        <v>املاک و مستغلات برای حرفه ای ها</v>
      </c>
      <c r="G5455" s="1" t="str">
        <f>IFERROR(__xludf.DUMMYFUNCTION("GOOGLETRANSLATE(C5455, ""en"", ""fa"")
"),"چگونه متخصصان املاک و مستغلات می توانند خطرات و چالش های بالقوه مرتبط با فروش املاک منحصر به فرد یا تخصصی مانند خانه های تاریخی یا ساختمان های تجاری را از طریق مزایده ارزیابی کنند؟")</f>
        <v>چگونه متخصصان املاک و مستغلات می توانند خطرات و چالش های بالقوه مرتبط با فروش املاک منحصر به فرد یا تخصصی مانند خانه های تاریخی یا ساختمان های تجاری را از طریق مزایده ارزیابی کنند؟</v>
      </c>
      <c r="H5455" s="1"/>
      <c r="I5455" s="1"/>
      <c r="J5455" s="1"/>
      <c r="K5455" s="1"/>
      <c r="L5455" s="1"/>
      <c r="M5455" s="1"/>
      <c r="N5455" s="1"/>
      <c r="O5455" s="1"/>
      <c r="P5455" s="1"/>
      <c r="Q5455" s="1"/>
      <c r="R5455" s="1"/>
      <c r="S5455" s="1"/>
      <c r="T5455" s="1"/>
      <c r="U5455" s="1"/>
      <c r="V5455" s="1"/>
      <c r="W5455" s="1"/>
      <c r="X5455" s="1"/>
      <c r="Y5455" s="1"/>
      <c r="Z5455" s="1"/>
      <c r="AA5455" s="1"/>
      <c r="AB5455" s="1"/>
    </row>
    <row r="5456" ht="50.25" customHeight="1">
      <c r="A5456" s="12">
        <v>5452.0</v>
      </c>
      <c r="B5456" s="13" t="s">
        <v>5027</v>
      </c>
      <c r="C5456" s="18" t="s">
        <v>5476</v>
      </c>
      <c r="D5456" s="1"/>
      <c r="E5456" s="1"/>
      <c r="F5456" s="1" t="str">
        <f>IFERROR(__xludf.DUMMYFUNCTION("GOOGLETRANSLATE(B5456, ""en"", ""fa"")
"),"املاک و مستغلات برای حرفه ای ها")</f>
        <v>املاک و مستغلات برای حرفه ای ها</v>
      </c>
      <c r="G5456" s="1" t="str">
        <f>IFERROR(__xludf.DUMMYFUNCTION("GOOGLETRANSLATE(C5456, ""en"", ""fa"")
"),"متخصصان املاک و مستغلات از چه تکنیک هایی می توانند برای ایجاد سر و صدای قبل از حراج و پیش بینی برای حراج املاک آتی استفاده کنند؟")</f>
        <v>متخصصان املاک و مستغلات از چه تکنیک هایی می توانند برای ایجاد سر و صدای قبل از حراج و پیش بینی برای حراج املاک آتی استفاده کنند؟</v>
      </c>
      <c r="H5456" s="1"/>
      <c r="I5456" s="1"/>
      <c r="J5456" s="1"/>
      <c r="K5456" s="1"/>
      <c r="L5456" s="1"/>
      <c r="M5456" s="1"/>
      <c r="N5456" s="1"/>
      <c r="O5456" s="1"/>
      <c r="P5456" s="1"/>
      <c r="Q5456" s="1"/>
      <c r="R5456" s="1"/>
      <c r="S5456" s="1"/>
      <c r="T5456" s="1"/>
      <c r="U5456" s="1"/>
      <c r="V5456" s="1"/>
      <c r="W5456" s="1"/>
      <c r="X5456" s="1"/>
      <c r="Y5456" s="1"/>
      <c r="Z5456" s="1"/>
      <c r="AA5456" s="1"/>
      <c r="AB5456" s="1"/>
    </row>
    <row r="5457" ht="50.25" customHeight="1">
      <c r="A5457" s="12">
        <v>5453.0</v>
      </c>
      <c r="B5457" s="13" t="s">
        <v>5027</v>
      </c>
      <c r="C5457" s="18" t="s">
        <v>5477</v>
      </c>
      <c r="D5457" s="1"/>
      <c r="E5457" s="1"/>
      <c r="F5457" s="1" t="str">
        <f>IFERROR(__xludf.DUMMYFUNCTION("GOOGLETRANSLATE(B5457, ""en"", ""fa"")
"),"املاک و مستغلات برای حرفه ای ها")</f>
        <v>املاک و مستغلات برای حرفه ای ها</v>
      </c>
      <c r="G5457" s="1" t="str">
        <f>IFERROR(__xludf.DUMMYFUNCTION("GOOGLETRANSLATE(C5457, ""en"", ""fa"")
"),"چگونه متخصصان املاک و مستغلات می توانند به طور موثر با فروشندگان، وکلا و سایر ذینفعان برای اطمینان از روند آرام و موفق حراج همکاری کنند؟")</f>
        <v>چگونه متخصصان املاک و مستغلات می توانند به طور موثر با فروشندگان، وکلا و سایر ذینفعان برای اطمینان از روند آرام و موفق حراج همکاری کنند؟</v>
      </c>
      <c r="H5457" s="1"/>
      <c r="I5457" s="1"/>
      <c r="J5457" s="1"/>
      <c r="K5457" s="1"/>
      <c r="L5457" s="1"/>
      <c r="M5457" s="1"/>
      <c r="N5457" s="1"/>
      <c r="O5457" s="1"/>
      <c r="P5457" s="1"/>
      <c r="Q5457" s="1"/>
      <c r="R5457" s="1"/>
      <c r="S5457" s="1"/>
      <c r="T5457" s="1"/>
      <c r="U5457" s="1"/>
      <c r="V5457" s="1"/>
      <c r="W5457" s="1"/>
      <c r="X5457" s="1"/>
      <c r="Y5457" s="1"/>
      <c r="Z5457" s="1"/>
      <c r="AA5457" s="1"/>
      <c r="AB5457" s="1"/>
    </row>
    <row r="5458" ht="50.25" customHeight="1">
      <c r="A5458" s="12">
        <v>5454.0</v>
      </c>
      <c r="B5458" s="13" t="s">
        <v>5027</v>
      </c>
      <c r="C5458" s="18" t="s">
        <v>5478</v>
      </c>
      <c r="D5458" s="1"/>
      <c r="E5458" s="1"/>
      <c r="F5458" s="1" t="str">
        <f>IFERROR(__xludf.DUMMYFUNCTION("GOOGLETRANSLATE(B5458, ""en"", ""fa"")
"),"املاک و مستغلات برای حرفه ای ها")</f>
        <v>املاک و مستغلات برای حرفه ای ها</v>
      </c>
      <c r="G5458" s="1" t="str">
        <f>IFERROR(__xludf.DUMMYFUNCTION("GOOGLETRANSLATE(C5458, ""en"", ""fa"")
"),"ملاحظات کلیدی برای تعیین جدول زمانی و مهلت حراج برای ایجاد حس فوریت برای خریداران بالقوه چیست؟")</f>
        <v>ملاحظات کلیدی برای تعیین جدول زمانی و مهلت حراج برای ایجاد حس فوریت برای خریداران بالقوه چیست؟</v>
      </c>
      <c r="H5458" s="1"/>
      <c r="I5458" s="1"/>
      <c r="J5458" s="1"/>
      <c r="K5458" s="1"/>
      <c r="L5458" s="1"/>
      <c r="M5458" s="1"/>
      <c r="N5458" s="1"/>
      <c r="O5458" s="1"/>
      <c r="P5458" s="1"/>
      <c r="Q5458" s="1"/>
      <c r="R5458" s="1"/>
      <c r="S5458" s="1"/>
      <c r="T5458" s="1"/>
      <c r="U5458" s="1"/>
      <c r="V5458" s="1"/>
      <c r="W5458" s="1"/>
      <c r="X5458" s="1"/>
      <c r="Y5458" s="1"/>
      <c r="Z5458" s="1"/>
      <c r="AA5458" s="1"/>
      <c r="AB5458" s="1"/>
    </row>
    <row r="5459" ht="50.25" customHeight="1">
      <c r="A5459" s="12">
        <v>5455.0</v>
      </c>
      <c r="B5459" s="13" t="s">
        <v>5027</v>
      </c>
      <c r="C5459" s="18" t="s">
        <v>5479</v>
      </c>
      <c r="D5459" s="1"/>
      <c r="E5459" s="1"/>
      <c r="F5459" s="1" t="str">
        <f>IFERROR(__xludf.DUMMYFUNCTION("GOOGLETRANSLATE(B5459, ""en"", ""fa"")
"),"املاک و مستغلات برای حرفه ای ها")</f>
        <v>املاک و مستغلات برای حرفه ای ها</v>
      </c>
      <c r="G5459" s="1" t="str">
        <f>IFERROR(__xludf.DUMMYFUNCTION("GOOGLETRANSLATE(C5459, ""en"", ""fa"")
"),"چگونه متخصصان املاک و مستغلات می توانند تأثیر بالقوه شرایط بازار محلی و رقابت را بر موفقیت مزایده املاک ارزیابی کنند؟")</f>
        <v>چگونه متخصصان املاک و مستغلات می توانند تأثیر بالقوه شرایط بازار محلی و رقابت را بر موفقیت مزایده املاک ارزیابی کنند؟</v>
      </c>
      <c r="H5459" s="1"/>
      <c r="I5459" s="1"/>
      <c r="J5459" s="1"/>
      <c r="K5459" s="1"/>
      <c r="L5459" s="1"/>
      <c r="M5459" s="1"/>
      <c r="N5459" s="1"/>
      <c r="O5459" s="1"/>
      <c r="P5459" s="1"/>
      <c r="Q5459" s="1"/>
      <c r="R5459" s="1"/>
      <c r="S5459" s="1"/>
      <c r="T5459" s="1"/>
      <c r="U5459" s="1"/>
      <c r="V5459" s="1"/>
      <c r="W5459" s="1"/>
      <c r="X5459" s="1"/>
      <c r="Y5459" s="1"/>
      <c r="Z5459" s="1"/>
      <c r="AA5459" s="1"/>
      <c r="AB5459" s="1"/>
    </row>
    <row r="5460" ht="50.25" customHeight="1">
      <c r="A5460" s="12">
        <v>5456.0</v>
      </c>
      <c r="B5460" s="13" t="s">
        <v>5027</v>
      </c>
      <c r="C5460" s="18" t="s">
        <v>5480</v>
      </c>
      <c r="D5460" s="1"/>
      <c r="E5460" s="1"/>
      <c r="F5460" s="1" t="str">
        <f>IFERROR(__xludf.DUMMYFUNCTION("GOOGLETRANSLATE(B5460, ""en"", ""fa"")
"),"املاک و مستغلات برای حرفه ای ها")</f>
        <v>املاک و مستغلات برای حرفه ای ها</v>
      </c>
      <c r="G5460" s="1" t="str">
        <f>IFERROR(__xludf.DUMMYFUNCTION("GOOGLETRANSLATE(C5460, ""en"", ""fa"")
"),"متخصصان املاک و مستغلات چه استراتژی هایی را می توانند برای رسیدگی و مذاکره با پیشنهادات یا پیشنهادات متقابل از خریداران علاقه مند به کار گیرند؟")</f>
        <v>متخصصان املاک و مستغلات چه استراتژی هایی را می توانند برای رسیدگی و مذاکره با پیشنهادات یا پیشنهادات متقابل از خریداران علاقه مند به کار گیرند؟</v>
      </c>
      <c r="H5460" s="1"/>
      <c r="I5460" s="1"/>
      <c r="J5460" s="1"/>
      <c r="K5460" s="1"/>
      <c r="L5460" s="1"/>
      <c r="M5460" s="1"/>
      <c r="N5460" s="1"/>
      <c r="O5460" s="1"/>
      <c r="P5460" s="1"/>
      <c r="Q5460" s="1"/>
      <c r="R5460" s="1"/>
      <c r="S5460" s="1"/>
      <c r="T5460" s="1"/>
      <c r="U5460" s="1"/>
      <c r="V5460" s="1"/>
      <c r="W5460" s="1"/>
      <c r="X5460" s="1"/>
      <c r="Y5460" s="1"/>
      <c r="Z5460" s="1"/>
      <c r="AA5460" s="1"/>
      <c r="AB5460" s="1"/>
    </row>
    <row r="5461" ht="50.25" customHeight="1">
      <c r="A5461" s="12">
        <v>5457.0</v>
      </c>
      <c r="B5461" s="13" t="s">
        <v>5027</v>
      </c>
      <c r="C5461" s="18" t="s">
        <v>5481</v>
      </c>
      <c r="D5461" s="1"/>
      <c r="E5461" s="1"/>
      <c r="F5461" s="1" t="str">
        <f>IFERROR(__xludf.DUMMYFUNCTION("GOOGLETRANSLATE(B5461, ""en"", ""fa"")
"),"املاک و مستغلات برای حرفه ای ها")</f>
        <v>املاک و مستغلات برای حرفه ای ها</v>
      </c>
      <c r="G5461" s="1" t="str">
        <f>IFERROR(__xludf.DUMMYFUNCTION("GOOGLETRANSLATE(C5461, ""en"", ""fa"")
"),"چگونه متخصصان املاک و مستغلات می توانند از تجزیه و تحلیل داده ها و تحقیقات بازار برای تعیین زمان بندی و فصلی بهینه برای حراج املاک استفاده کنند؟")</f>
        <v>چگونه متخصصان املاک و مستغلات می توانند از تجزیه و تحلیل داده ها و تحقیقات بازار برای تعیین زمان بندی و فصلی بهینه برای حراج املاک استفاده کنند؟</v>
      </c>
      <c r="H5461" s="1"/>
      <c r="I5461" s="1"/>
      <c r="J5461" s="1"/>
      <c r="K5461" s="1"/>
      <c r="L5461" s="1"/>
      <c r="M5461" s="1"/>
      <c r="N5461" s="1"/>
      <c r="O5461" s="1"/>
      <c r="P5461" s="1"/>
      <c r="Q5461" s="1"/>
      <c r="R5461" s="1"/>
      <c r="S5461" s="1"/>
      <c r="T5461" s="1"/>
      <c r="U5461" s="1"/>
      <c r="V5461" s="1"/>
      <c r="W5461" s="1"/>
      <c r="X5461" s="1"/>
      <c r="Y5461" s="1"/>
      <c r="Z5461" s="1"/>
      <c r="AA5461" s="1"/>
      <c r="AB5461" s="1"/>
    </row>
    <row r="5462" ht="50.25" customHeight="1">
      <c r="A5462" s="12">
        <v>5458.0</v>
      </c>
      <c r="B5462" s="13" t="s">
        <v>5027</v>
      </c>
      <c r="C5462" s="18" t="s">
        <v>5482</v>
      </c>
      <c r="D5462" s="1"/>
      <c r="E5462" s="1"/>
      <c r="F5462" s="1" t="str">
        <f>IFERROR(__xludf.DUMMYFUNCTION("GOOGLETRANSLATE(B5462, ""en"", ""fa"")
"),"املاک و مستغلات برای حرفه ای ها")</f>
        <v>املاک و مستغلات برای حرفه ای ها</v>
      </c>
      <c r="G5462" s="1" t="str">
        <f>IFERROR(__xludf.DUMMYFUNCTION("GOOGLETRANSLATE(C5462, ""en"", ""fa"")
"),"متخصصان املاک و مستغلات از چه تکنیک هایی می توانند برای تعامل و آموزش خریداران بالقوه در مورد مزایا و مزایای شرکت در مزایده املاک استفاده کنند؟")</f>
        <v>متخصصان املاک و مستغلات از چه تکنیک هایی می توانند برای تعامل و آموزش خریداران بالقوه در مورد مزایا و مزایای شرکت در مزایده املاک استفاده کنند؟</v>
      </c>
      <c r="H5462" s="1"/>
      <c r="I5462" s="1"/>
      <c r="J5462" s="1"/>
      <c r="K5462" s="1"/>
      <c r="L5462" s="1"/>
      <c r="M5462" s="1"/>
      <c r="N5462" s="1"/>
      <c r="O5462" s="1"/>
      <c r="P5462" s="1"/>
      <c r="Q5462" s="1"/>
      <c r="R5462" s="1"/>
      <c r="S5462" s="1"/>
      <c r="T5462" s="1"/>
      <c r="U5462" s="1"/>
      <c r="V5462" s="1"/>
      <c r="W5462" s="1"/>
      <c r="X5462" s="1"/>
      <c r="Y5462" s="1"/>
      <c r="Z5462" s="1"/>
      <c r="AA5462" s="1"/>
      <c r="AB5462" s="1"/>
    </row>
    <row r="5463" ht="50.25" customHeight="1">
      <c r="A5463" s="12">
        <v>5459.0</v>
      </c>
      <c r="B5463" s="13" t="s">
        <v>5027</v>
      </c>
      <c r="C5463" s="18" t="s">
        <v>5483</v>
      </c>
      <c r="D5463" s="1"/>
      <c r="E5463" s="1"/>
      <c r="F5463" s="1" t="str">
        <f>IFERROR(__xludf.DUMMYFUNCTION("GOOGLETRANSLATE(B5463, ""en"", ""fa"")
"),"املاک و مستغلات برای حرفه ای ها")</f>
        <v>املاک و مستغلات برای حرفه ای ها</v>
      </c>
      <c r="G5463" s="1" t="str">
        <f>IFERROR(__xludf.DUMMYFUNCTION("GOOGLETRANSLATE(C5463, ""en"", ""fa"")
"),"چگونه متخصصان املاک و مستغلات می توانند خطرات و فرصت های بالقوه مرتبط با مشارکت با سایر متخصصان صنعت یا خانه های حراج برای حراج های مشترک را ارزیابی کنند؟")</f>
        <v>چگونه متخصصان املاک و مستغلات می توانند خطرات و فرصت های بالقوه مرتبط با مشارکت با سایر متخصصان صنعت یا خانه های حراج برای حراج های مشترک را ارزیابی کنند؟</v>
      </c>
      <c r="H5463" s="1"/>
      <c r="I5463" s="1"/>
      <c r="J5463" s="1"/>
      <c r="K5463" s="1"/>
      <c r="L5463" s="1"/>
      <c r="M5463" s="1"/>
      <c r="N5463" s="1"/>
      <c r="O5463" s="1"/>
      <c r="P5463" s="1"/>
      <c r="Q5463" s="1"/>
      <c r="R5463" s="1"/>
      <c r="S5463" s="1"/>
      <c r="T5463" s="1"/>
      <c r="U5463" s="1"/>
      <c r="V5463" s="1"/>
      <c r="W5463" s="1"/>
      <c r="X5463" s="1"/>
      <c r="Y5463" s="1"/>
      <c r="Z5463" s="1"/>
      <c r="AA5463" s="1"/>
      <c r="AB5463" s="1"/>
    </row>
    <row r="5464" ht="50.25" customHeight="1">
      <c r="A5464" s="12">
        <v>5460.0</v>
      </c>
      <c r="B5464" s="13" t="s">
        <v>5027</v>
      </c>
      <c r="C5464" s="18" t="s">
        <v>5484</v>
      </c>
      <c r="D5464" s="1"/>
      <c r="E5464" s="1"/>
      <c r="F5464" s="1" t="str">
        <f>IFERROR(__xludf.DUMMYFUNCTION("GOOGLETRANSLATE(B5464, ""en"", ""fa"")
"),"املاک و مستغلات برای حرفه ای ها")</f>
        <v>املاک و مستغلات برای حرفه ای ها</v>
      </c>
      <c r="G5464" s="1" t="str">
        <f>IFERROR(__xludf.DUMMYFUNCTION("GOOGLETRANSLATE(C5464, ""en"", ""fa"")
"),"متخصصان املاک و مستغلات هنگام انجام حراج های آنلاین، به ویژه در حوزه های قضایی مختلف، باید از چه ملاحظات قانونی و انطباق با آن آگاه باشند؟")</f>
        <v>متخصصان املاک و مستغلات هنگام انجام حراج های آنلاین، به ویژه در حوزه های قضایی مختلف، باید از چه ملاحظات قانونی و انطباق با آن آگاه باشند؟</v>
      </c>
      <c r="H5464" s="1"/>
      <c r="I5464" s="1"/>
      <c r="J5464" s="1"/>
      <c r="K5464" s="1"/>
      <c r="L5464" s="1"/>
      <c r="M5464" s="1"/>
      <c r="N5464" s="1"/>
      <c r="O5464" s="1"/>
      <c r="P5464" s="1"/>
      <c r="Q5464" s="1"/>
      <c r="R5464" s="1"/>
      <c r="S5464" s="1"/>
      <c r="T5464" s="1"/>
      <c r="U5464" s="1"/>
      <c r="V5464" s="1"/>
      <c r="W5464" s="1"/>
      <c r="X5464" s="1"/>
      <c r="Y5464" s="1"/>
      <c r="Z5464" s="1"/>
      <c r="AA5464" s="1"/>
      <c r="AB5464" s="1"/>
    </row>
    <row r="5465" ht="50.25" customHeight="1">
      <c r="A5465" s="12">
        <v>5461.0</v>
      </c>
      <c r="B5465" s="13" t="s">
        <v>5027</v>
      </c>
      <c r="C5465" s="18" t="s">
        <v>5485</v>
      </c>
      <c r="D5465" s="1"/>
      <c r="E5465" s="1"/>
      <c r="F5465" s="1" t="str">
        <f>IFERROR(__xludf.DUMMYFUNCTION("GOOGLETRANSLATE(B5465, ""en"", ""fa"")
"),"املاک و مستغلات برای حرفه ای ها")</f>
        <v>املاک و مستغلات برای حرفه ای ها</v>
      </c>
      <c r="G5465" s="1" t="str">
        <f>IFERROR(__xludf.DUMMYFUNCTION("GOOGLETRANSLATE(C5465, ""en"", ""fa"")
"),"چگونه متخصصان املاک و مستغلات می توانند تأثیر بالقوه احساسات بازار و اعتماد سرمایه گذاران را بر فعالیت های پیشنهادی و قیمت های فروش نهایی در مزایده املاک ارزیابی کنند؟")</f>
        <v>چگونه متخصصان املاک و مستغلات می توانند تأثیر بالقوه احساسات بازار و اعتماد سرمایه گذاران را بر فعالیت های پیشنهادی و قیمت های فروش نهایی در مزایده املاک ارزیابی کنند؟</v>
      </c>
      <c r="H5465" s="1"/>
      <c r="I5465" s="1"/>
      <c r="J5465" s="1"/>
      <c r="K5465" s="1"/>
      <c r="L5465" s="1"/>
      <c r="M5465" s="1"/>
      <c r="N5465" s="1"/>
      <c r="O5465" s="1"/>
      <c r="P5465" s="1"/>
      <c r="Q5465" s="1"/>
      <c r="R5465" s="1"/>
      <c r="S5465" s="1"/>
      <c r="T5465" s="1"/>
      <c r="U5465" s="1"/>
      <c r="V5465" s="1"/>
      <c r="W5465" s="1"/>
      <c r="X5465" s="1"/>
      <c r="Y5465" s="1"/>
      <c r="Z5465" s="1"/>
      <c r="AA5465" s="1"/>
      <c r="AB5465" s="1"/>
    </row>
    <row r="5466" ht="50.25" customHeight="1">
      <c r="A5466" s="12">
        <v>5462.0</v>
      </c>
      <c r="B5466" s="13" t="s">
        <v>5027</v>
      </c>
      <c r="C5466" s="18" t="s">
        <v>5486</v>
      </c>
      <c r="D5466" s="1"/>
      <c r="E5466" s="1"/>
      <c r="F5466" s="1" t="str">
        <f>IFERROR(__xludf.DUMMYFUNCTION("GOOGLETRANSLATE(B5466, ""en"", ""fa"")
"),"املاک و مستغلات برای حرفه ای ها")</f>
        <v>املاک و مستغلات برای حرفه ای ها</v>
      </c>
      <c r="G5466" s="1" t="str">
        <f>IFERROR(__xludf.DUMMYFUNCTION("GOOGLETRANSLATE(C5466, ""en"", ""fa"")
"),"متخصصان املاک چه استراتژی هایی می توانند برای مدیریت و کاهش تضاد منافع احتمالی یا نگرانی های اخلاقی در حراج املاک به کار گیرند؟")</f>
        <v>متخصصان املاک چه استراتژی هایی می توانند برای مدیریت و کاهش تضاد منافع احتمالی یا نگرانی های اخلاقی در حراج املاک به کار گیرند؟</v>
      </c>
      <c r="H5466" s="1"/>
      <c r="I5466" s="1"/>
      <c r="J5466" s="1"/>
      <c r="K5466" s="1"/>
      <c r="L5466" s="1"/>
      <c r="M5466" s="1"/>
      <c r="N5466" s="1"/>
      <c r="O5466" s="1"/>
      <c r="P5466" s="1"/>
      <c r="Q5466" s="1"/>
      <c r="R5466" s="1"/>
      <c r="S5466" s="1"/>
      <c r="T5466" s="1"/>
      <c r="U5466" s="1"/>
      <c r="V5466" s="1"/>
      <c r="W5466" s="1"/>
      <c r="X5466" s="1"/>
      <c r="Y5466" s="1"/>
      <c r="Z5466" s="1"/>
      <c r="AA5466" s="1"/>
      <c r="AB5466" s="1"/>
    </row>
    <row r="5467" ht="50.25" customHeight="1">
      <c r="A5467" s="12">
        <v>5463.0</v>
      </c>
      <c r="B5467" s="13" t="s">
        <v>5027</v>
      </c>
      <c r="C5467" s="18" t="s">
        <v>5487</v>
      </c>
      <c r="D5467" s="1"/>
      <c r="E5467" s="1"/>
      <c r="F5467" s="1" t="str">
        <f>IFERROR(__xludf.DUMMYFUNCTION("GOOGLETRANSLATE(B5467, ""en"", ""fa"")
"),"املاک و مستغلات برای حرفه ای ها")</f>
        <v>املاک و مستغلات برای حرفه ای ها</v>
      </c>
      <c r="G5467" s="1" t="str">
        <f>IFERROR(__xludf.DUMMYFUNCTION("GOOGLETRANSLATE(C5467, ""en"", ""fa"")
"),"چگونه متخصصان املاک و مستغلات می توانند به طور موثر شرایط قرارداد را با برنده مناقصه در مزایده املاک مذاکره و نهایی کنند؟")</f>
        <v>چگونه متخصصان املاک و مستغلات می توانند به طور موثر شرایط قرارداد را با برنده مناقصه در مزایده املاک مذاکره و نهایی کنند؟</v>
      </c>
      <c r="H5467" s="1"/>
      <c r="I5467" s="1"/>
      <c r="J5467" s="1"/>
      <c r="K5467" s="1"/>
      <c r="L5467" s="1"/>
      <c r="M5467" s="1"/>
      <c r="N5467" s="1"/>
      <c r="O5467" s="1"/>
      <c r="P5467" s="1"/>
      <c r="Q5467" s="1"/>
      <c r="R5467" s="1"/>
      <c r="S5467" s="1"/>
      <c r="T5467" s="1"/>
      <c r="U5467" s="1"/>
      <c r="V5467" s="1"/>
      <c r="W5467" s="1"/>
      <c r="X5467" s="1"/>
      <c r="Y5467" s="1"/>
      <c r="Z5467" s="1"/>
      <c r="AA5467" s="1"/>
      <c r="AB5467" s="1"/>
    </row>
    <row r="5468" ht="50.25" customHeight="1">
      <c r="A5468" s="12">
        <v>5464.0</v>
      </c>
      <c r="B5468" s="13" t="s">
        <v>5027</v>
      </c>
      <c r="C5468" s="18" t="s">
        <v>5488</v>
      </c>
      <c r="D5468" s="1"/>
      <c r="E5468" s="1"/>
      <c r="F5468" s="1" t="str">
        <f>IFERROR(__xludf.DUMMYFUNCTION("GOOGLETRANSLATE(B5468, ""en"", ""fa"")
"),"املاک و مستغلات برای حرفه ای ها")</f>
        <v>املاک و مستغلات برای حرفه ای ها</v>
      </c>
      <c r="G5468" s="1" t="str">
        <f>IFERROR(__xludf.DUMMYFUNCTION("GOOGLETRANSLATE(C5468, ""en"", ""fa"")
"),"متخصصان املاک و مستغلات از چه تکنیک هایی می توانند برای ایجاد یک مزایده جذاب و به یاد ماندنی برای شرکت کنندگان، چه حضوری و چه آنلاین استفاده کنند؟")</f>
        <v>متخصصان املاک و مستغلات از چه تکنیک هایی می توانند برای ایجاد یک مزایده جذاب و به یاد ماندنی برای شرکت کنندگان، چه حضوری و چه آنلاین استفاده کنند؟</v>
      </c>
      <c r="H5468" s="1"/>
      <c r="I5468" s="1"/>
      <c r="J5468" s="1"/>
      <c r="K5468" s="1"/>
      <c r="L5468" s="1"/>
      <c r="M5468" s="1"/>
      <c r="N5468" s="1"/>
      <c r="O5468" s="1"/>
      <c r="P5468" s="1"/>
      <c r="Q5468" s="1"/>
      <c r="R5468" s="1"/>
      <c r="S5468" s="1"/>
      <c r="T5468" s="1"/>
      <c r="U5468" s="1"/>
      <c r="V5468" s="1"/>
      <c r="W5468" s="1"/>
      <c r="X5468" s="1"/>
      <c r="Y5468" s="1"/>
      <c r="Z5468" s="1"/>
      <c r="AA5468" s="1"/>
      <c r="AB5468" s="1"/>
    </row>
    <row r="5469" ht="50.25" customHeight="1">
      <c r="A5469" s="12">
        <v>5465.0</v>
      </c>
      <c r="B5469" s="13" t="s">
        <v>5027</v>
      </c>
      <c r="C5469" s="18" t="s">
        <v>5489</v>
      </c>
      <c r="D5469" s="1"/>
      <c r="E5469" s="1"/>
      <c r="F5469" s="1" t="str">
        <f>IFERROR(__xludf.DUMMYFUNCTION("GOOGLETRANSLATE(B5469, ""en"", ""fa"")
"),"املاک و مستغلات برای حرفه ای ها")</f>
        <v>املاک و مستغلات برای حرفه ای ها</v>
      </c>
      <c r="G5469" s="1" t="str">
        <f>IFERROR(__xludf.DUMMYFUNCTION("GOOGLETRANSLATE(C5469, ""en"", ""fa"")
"),"چگونه متخصصان املاک و مستغلات می توانند خطرات و چالش های بالقوه مربوط به فروش املاک با واحدهای تحت اشغال مستاجر یا اجاره از طریق مزایده را ارزیابی کنند؟")</f>
        <v>چگونه متخصصان املاک و مستغلات می توانند خطرات و چالش های بالقوه مربوط به فروش املاک با واحدهای تحت اشغال مستاجر یا اجاره از طریق مزایده را ارزیابی کنند؟</v>
      </c>
      <c r="H5469" s="1"/>
      <c r="I5469" s="1"/>
      <c r="J5469" s="1"/>
      <c r="K5469" s="1"/>
      <c r="L5469" s="1"/>
      <c r="M5469" s="1"/>
      <c r="N5469" s="1"/>
      <c r="O5469" s="1"/>
      <c r="P5469" s="1"/>
      <c r="Q5469" s="1"/>
      <c r="R5469" s="1"/>
      <c r="S5469" s="1"/>
      <c r="T5469" s="1"/>
      <c r="U5469" s="1"/>
      <c r="V5469" s="1"/>
      <c r="W5469" s="1"/>
      <c r="X5469" s="1"/>
      <c r="Y5469" s="1"/>
      <c r="Z5469" s="1"/>
      <c r="AA5469" s="1"/>
      <c r="AB5469" s="1"/>
    </row>
    <row r="5470" ht="50.25" customHeight="1">
      <c r="A5470" s="12">
        <v>5466.0</v>
      </c>
      <c r="B5470" s="13" t="s">
        <v>5027</v>
      </c>
      <c r="C5470" s="18" t="s">
        <v>5490</v>
      </c>
      <c r="D5470" s="1"/>
      <c r="E5470" s="1"/>
      <c r="F5470" s="1" t="str">
        <f>IFERROR(__xludf.DUMMYFUNCTION("GOOGLETRANSLATE(B5470, ""en"", ""fa"")
"),"املاک و مستغلات برای حرفه ای ها")</f>
        <v>املاک و مستغلات برای حرفه ای ها</v>
      </c>
      <c r="G5470" s="1" t="str">
        <f>IFERROR(__xludf.DUMMYFUNCTION("GOOGLETRANSLATE(C5470, ""en"", ""fa"")
"),"ملاحظات کلیدی برای انتخاب قالب مناسب حراج، مانند مزایده های اعتراضی باز، مزایده های پیشنهادی مهر و موم شده، یا حراج های فقط آنلاین، بر اساس نوع ملک و پویایی بازار چیست؟")</f>
        <v>ملاحظات کلیدی برای انتخاب قالب مناسب حراج، مانند مزایده های اعتراضی باز، مزایده های پیشنهادی مهر و موم شده، یا حراج های فقط آنلاین، بر اساس نوع ملک و پویایی بازار چیست؟</v>
      </c>
      <c r="H5470" s="1"/>
      <c r="I5470" s="1"/>
      <c r="J5470" s="1"/>
      <c r="K5470" s="1"/>
      <c r="L5470" s="1"/>
      <c r="M5470" s="1"/>
      <c r="N5470" s="1"/>
      <c r="O5470" s="1"/>
      <c r="P5470" s="1"/>
      <c r="Q5470" s="1"/>
      <c r="R5470" s="1"/>
      <c r="S5470" s="1"/>
      <c r="T5470" s="1"/>
      <c r="U5470" s="1"/>
      <c r="V5470" s="1"/>
      <c r="W5470" s="1"/>
      <c r="X5470" s="1"/>
      <c r="Y5470" s="1"/>
      <c r="Z5470" s="1"/>
      <c r="AA5470" s="1"/>
      <c r="AB5470" s="1"/>
    </row>
    <row r="5471" ht="50.25" customHeight="1">
      <c r="A5471" s="12">
        <v>5467.0</v>
      </c>
      <c r="B5471" s="13" t="s">
        <v>5027</v>
      </c>
      <c r="C5471" s="18" t="s">
        <v>5491</v>
      </c>
      <c r="D5471" s="1"/>
      <c r="E5471" s="1"/>
      <c r="F5471" s="1" t="str">
        <f>IFERROR(__xludf.DUMMYFUNCTION("GOOGLETRANSLATE(B5471, ""en"", ""fa"")
"),"املاک و مستغلات برای حرفه ای ها")</f>
        <v>املاک و مستغلات برای حرفه ای ها</v>
      </c>
      <c r="G5471" s="1" t="str">
        <f>IFERROR(__xludf.DUMMYFUNCTION("GOOGLETRANSLATE(C5471, ""en"", ""fa"")
"),"چگونه متخصصان املاک و مستغلات می توانند تأثیر بالقوه تغییر فناوری و نوآوری های دیجیتال را بر آینده حراج های املاک ارزیابی کنند؟")</f>
        <v>چگونه متخصصان املاک و مستغلات می توانند تأثیر بالقوه تغییر فناوری و نوآوری های دیجیتال را بر آینده حراج های املاک ارزیابی کنند؟</v>
      </c>
      <c r="H5471" s="1"/>
      <c r="I5471" s="1"/>
      <c r="J5471" s="1"/>
      <c r="K5471" s="1"/>
      <c r="L5471" s="1"/>
      <c r="M5471" s="1"/>
      <c r="N5471" s="1"/>
      <c r="O5471" s="1"/>
      <c r="P5471" s="1"/>
      <c r="Q5471" s="1"/>
      <c r="R5471" s="1"/>
      <c r="S5471" s="1"/>
      <c r="T5471" s="1"/>
      <c r="U5471" s="1"/>
      <c r="V5471" s="1"/>
      <c r="W5471" s="1"/>
      <c r="X5471" s="1"/>
      <c r="Y5471" s="1"/>
      <c r="Z5471" s="1"/>
      <c r="AA5471" s="1"/>
      <c r="AB5471" s="1"/>
    </row>
    <row r="5472" ht="50.25" customHeight="1">
      <c r="A5472" s="12">
        <v>5468.0</v>
      </c>
      <c r="B5472" s="13" t="s">
        <v>5027</v>
      </c>
      <c r="C5472" s="18" t="s">
        <v>5492</v>
      </c>
      <c r="D5472" s="1"/>
      <c r="E5472" s="1"/>
      <c r="F5472" s="1" t="str">
        <f>IFERROR(__xludf.DUMMYFUNCTION("GOOGLETRANSLATE(B5472, ""en"", ""fa"")
"),"املاک و مستغلات برای حرفه ای ها")</f>
        <v>املاک و مستغلات برای حرفه ای ها</v>
      </c>
      <c r="G5472" s="1" t="str">
        <f>IFERROR(__xludf.DUMMYFUNCTION("GOOGLETRANSLATE(C5472, ""en"", ""fa"")
"),"متخصصان املاک و مستغلات چه استراتژی هایی را می توانند برای مدیریت موثر افزایش قیمت پیشنهادی، تمدید مناقصه و محدودیت های زمانی حراج برای بهینه سازی نتایج به کار گیرند؟")</f>
        <v>متخصصان املاک و مستغلات چه استراتژی هایی را می توانند برای مدیریت موثر افزایش قیمت پیشنهادی، تمدید مناقصه و محدودیت های زمانی حراج برای بهینه سازی نتایج به کار گیرند؟</v>
      </c>
      <c r="H5472" s="1"/>
      <c r="I5472" s="1"/>
      <c r="J5472" s="1"/>
      <c r="K5472" s="1"/>
      <c r="L5472" s="1"/>
      <c r="M5472" s="1"/>
      <c r="N5472" s="1"/>
      <c r="O5472" s="1"/>
      <c r="P5472" s="1"/>
      <c r="Q5472" s="1"/>
      <c r="R5472" s="1"/>
      <c r="S5472" s="1"/>
      <c r="T5472" s="1"/>
      <c r="U5472" s="1"/>
      <c r="V5472" s="1"/>
      <c r="W5472" s="1"/>
      <c r="X5472" s="1"/>
      <c r="Y5472" s="1"/>
      <c r="Z5472" s="1"/>
      <c r="AA5472" s="1"/>
      <c r="AB5472" s="1"/>
    </row>
    <row r="5473" ht="50.25" customHeight="1">
      <c r="A5473" s="12">
        <v>5469.0</v>
      </c>
      <c r="B5473" s="13" t="s">
        <v>5027</v>
      </c>
      <c r="C5473" s="18" t="s">
        <v>5493</v>
      </c>
      <c r="D5473" s="1"/>
      <c r="E5473" s="1"/>
      <c r="F5473" s="1" t="str">
        <f>IFERROR(__xludf.DUMMYFUNCTION("GOOGLETRANSLATE(B5473, ""en"", ""fa"")
"),"املاک و مستغلات برای حرفه ای ها")</f>
        <v>املاک و مستغلات برای حرفه ای ها</v>
      </c>
      <c r="G5473" s="1" t="str">
        <f>IFERROR(__xludf.DUMMYFUNCTION("GOOGLETRANSLATE(C5473, ""en"", ""fa"")
"),"چگونه متخصصان املاک و مستغلات می توانند از توصیفات و داستان های موفقیت مشتریان حراج های قبلی برای ایجاد اعتبار و اعتماد در بین فروشندگان بالقوه استفاده کنند؟")</f>
        <v>چگونه متخصصان املاک و مستغلات می توانند از توصیفات و داستان های موفقیت مشتریان حراج های قبلی برای ایجاد اعتبار و اعتماد در بین فروشندگان بالقوه استفاده کنند؟</v>
      </c>
      <c r="H5473" s="1"/>
      <c r="I5473" s="1"/>
      <c r="J5473" s="1"/>
      <c r="K5473" s="1"/>
      <c r="L5473" s="1"/>
      <c r="M5473" s="1"/>
      <c r="N5473" s="1"/>
      <c r="O5473" s="1"/>
      <c r="P5473" s="1"/>
      <c r="Q5473" s="1"/>
      <c r="R5473" s="1"/>
      <c r="S5473" s="1"/>
      <c r="T5473" s="1"/>
      <c r="U5473" s="1"/>
      <c r="V5473" s="1"/>
      <c r="W5473" s="1"/>
      <c r="X5473" s="1"/>
      <c r="Y5473" s="1"/>
      <c r="Z5473" s="1"/>
      <c r="AA5473" s="1"/>
      <c r="AB5473" s="1"/>
    </row>
    <row r="5474" ht="50.25" customHeight="1">
      <c r="A5474" s="12">
        <v>5470.0</v>
      </c>
      <c r="B5474" s="13" t="s">
        <v>5027</v>
      </c>
      <c r="C5474" s="18" t="s">
        <v>5494</v>
      </c>
      <c r="D5474" s="1"/>
      <c r="E5474" s="1"/>
      <c r="F5474" s="1" t="str">
        <f>IFERROR(__xludf.DUMMYFUNCTION("GOOGLETRANSLATE(B5474, ""en"", ""fa"")
"),"املاک و مستغلات برای حرفه ای ها")</f>
        <v>املاک و مستغلات برای حرفه ای ها</v>
      </c>
      <c r="G5474" s="1" t="str">
        <f>IFERROR(__xludf.DUMMYFUNCTION("GOOGLETRANSLATE(C5474, ""en"", ""fa"")
"),"متخصصان املاک و مستغلات از چه تکنیک هایی می توانند برای شناسایی و رسیدگی به باورهای غلط یا افسانه های رایج در مورد حراج املاک استفاده کنند؟")</f>
        <v>متخصصان املاک و مستغلات از چه تکنیک هایی می توانند برای شناسایی و رسیدگی به باورهای غلط یا افسانه های رایج در مورد حراج املاک استفاده کنند؟</v>
      </c>
      <c r="H5474" s="1"/>
      <c r="I5474" s="1"/>
      <c r="J5474" s="1"/>
      <c r="K5474" s="1"/>
      <c r="L5474" s="1"/>
      <c r="M5474" s="1"/>
      <c r="N5474" s="1"/>
      <c r="O5474" s="1"/>
      <c r="P5474" s="1"/>
      <c r="Q5474" s="1"/>
      <c r="R5474" s="1"/>
      <c r="S5474" s="1"/>
      <c r="T5474" s="1"/>
      <c r="U5474" s="1"/>
      <c r="V5474" s="1"/>
      <c r="W5474" s="1"/>
      <c r="X5474" s="1"/>
      <c r="Y5474" s="1"/>
      <c r="Z5474" s="1"/>
      <c r="AA5474" s="1"/>
      <c r="AB5474" s="1"/>
    </row>
    <row r="5475" ht="50.25" customHeight="1">
      <c r="A5475" s="12">
        <v>5471.0</v>
      </c>
      <c r="B5475" s="13" t="s">
        <v>5027</v>
      </c>
      <c r="C5475" s="18" t="s">
        <v>5495</v>
      </c>
      <c r="D5475" s="1"/>
      <c r="E5475" s="1"/>
      <c r="F5475" s="1" t="str">
        <f>IFERROR(__xludf.DUMMYFUNCTION("GOOGLETRANSLATE(B5475, ""en"", ""fa"")
"),"املاک و مستغلات برای حرفه ای ها")</f>
        <v>املاک و مستغلات برای حرفه ای ها</v>
      </c>
      <c r="G5475" s="1" t="str">
        <f>IFERROR(__xludf.DUMMYFUNCTION("GOOGLETRANSLATE(C5475, ""en"", ""fa"")
"),"چگونه متخصصان املاک و مستغلات می توانند خطرات و فرصت های بالقوه مرتبط با ارائه مشوق ها یا امتیازات به خریداران بالقوه در حراج املاک را ارزیابی کنند؟")</f>
        <v>چگونه متخصصان املاک و مستغلات می توانند خطرات و فرصت های بالقوه مرتبط با ارائه مشوق ها یا امتیازات به خریداران بالقوه در حراج املاک را ارزیابی کنند؟</v>
      </c>
      <c r="H5475" s="1"/>
      <c r="I5475" s="1"/>
      <c r="J5475" s="1"/>
      <c r="K5475" s="1"/>
      <c r="L5475" s="1"/>
      <c r="M5475" s="1"/>
      <c r="N5475" s="1"/>
      <c r="O5475" s="1"/>
      <c r="P5475" s="1"/>
      <c r="Q5475" s="1"/>
      <c r="R5475" s="1"/>
      <c r="S5475" s="1"/>
      <c r="T5475" s="1"/>
      <c r="U5475" s="1"/>
      <c r="V5475" s="1"/>
      <c r="W5475" s="1"/>
      <c r="X5475" s="1"/>
      <c r="Y5475" s="1"/>
      <c r="Z5475" s="1"/>
      <c r="AA5475" s="1"/>
      <c r="AB5475" s="1"/>
    </row>
    <row r="5476" ht="50.25" customHeight="1">
      <c r="A5476" s="12">
        <v>5472.0</v>
      </c>
      <c r="B5476" s="13" t="s">
        <v>5027</v>
      </c>
      <c r="C5476" s="18" t="s">
        <v>5496</v>
      </c>
      <c r="D5476" s="1"/>
      <c r="E5476" s="1"/>
      <c r="F5476" s="1" t="str">
        <f>IFERROR(__xludf.DUMMYFUNCTION("GOOGLETRANSLATE(B5476, ""en"", ""fa"")
"),"املاک و مستغلات برای حرفه ای ها")</f>
        <v>املاک و مستغلات برای حرفه ای ها</v>
      </c>
      <c r="G5476" s="1" t="str">
        <f>IFERROR(__xludf.DUMMYFUNCTION("GOOGLETRANSLATE(C5476, ""en"", ""fa"")
"),"هنگام برخورد با تقلب در مناقصه یا اقدامات ضدرقابتی در مزایده املاک، متخصصان املاک باید از چه ملاحظات قانونی و انطباق با آن آگاه باشند؟")</f>
        <v>هنگام برخورد با تقلب در مناقصه یا اقدامات ضدرقابتی در مزایده املاک، متخصصان املاک باید از چه ملاحظات قانونی و انطباق با آن آگاه باشند؟</v>
      </c>
      <c r="H5476" s="1"/>
      <c r="I5476" s="1"/>
      <c r="J5476" s="1"/>
      <c r="K5476" s="1"/>
      <c r="L5476" s="1"/>
      <c r="M5476" s="1"/>
      <c r="N5476" s="1"/>
      <c r="O5476" s="1"/>
      <c r="P5476" s="1"/>
      <c r="Q5476" s="1"/>
      <c r="R5476" s="1"/>
      <c r="S5476" s="1"/>
      <c r="T5476" s="1"/>
      <c r="U5476" s="1"/>
      <c r="V5476" s="1"/>
      <c r="W5476" s="1"/>
      <c r="X5476" s="1"/>
      <c r="Y5476" s="1"/>
      <c r="Z5476" s="1"/>
      <c r="AA5476" s="1"/>
      <c r="AB5476" s="1"/>
    </row>
    <row r="5477" ht="50.25" customHeight="1">
      <c r="A5477" s="12">
        <v>5473.0</v>
      </c>
      <c r="B5477" s="13" t="s">
        <v>5027</v>
      </c>
      <c r="C5477" s="18" t="s">
        <v>5497</v>
      </c>
      <c r="D5477" s="1"/>
      <c r="E5477" s="1"/>
      <c r="F5477" s="1" t="str">
        <f>IFERROR(__xludf.DUMMYFUNCTION("GOOGLETRANSLATE(B5477, ""en"", ""fa"")
"),"املاک و مستغلات برای حرفه ای ها")</f>
        <v>املاک و مستغلات برای حرفه ای ها</v>
      </c>
      <c r="G5477" s="1" t="str">
        <f>IFERROR(__xludf.DUMMYFUNCTION("GOOGLETRANSLATE(C5477, ""en"", ""fa"")
"),"چگونه متخصصان املاک و مستغلات می توانند تأثیر بالقوه صحنه سازی و ارائه ملک را بر علاقه خریدار و فعالیت های مناقصه در مزایده املاک ارزیابی کنند؟")</f>
        <v>چگونه متخصصان املاک و مستغلات می توانند تأثیر بالقوه صحنه سازی و ارائه ملک را بر علاقه خریدار و فعالیت های مناقصه در مزایده املاک ارزیابی کنند؟</v>
      </c>
      <c r="H5477" s="1"/>
      <c r="I5477" s="1"/>
      <c r="J5477" s="1"/>
      <c r="K5477" s="1"/>
      <c r="L5477" s="1"/>
      <c r="M5477" s="1"/>
      <c r="N5477" s="1"/>
      <c r="O5477" s="1"/>
      <c r="P5477" s="1"/>
      <c r="Q5477" s="1"/>
      <c r="R5477" s="1"/>
      <c r="S5477" s="1"/>
      <c r="T5477" s="1"/>
      <c r="U5477" s="1"/>
      <c r="V5477" s="1"/>
      <c r="W5477" s="1"/>
      <c r="X5477" s="1"/>
      <c r="Y5477" s="1"/>
      <c r="Z5477" s="1"/>
      <c r="AA5477" s="1"/>
      <c r="AB5477" s="1"/>
    </row>
    <row r="5478" ht="50.25" customHeight="1">
      <c r="A5478" s="12">
        <v>5474.0</v>
      </c>
      <c r="B5478" s="13" t="s">
        <v>5027</v>
      </c>
      <c r="C5478" s="18" t="s">
        <v>5498</v>
      </c>
      <c r="D5478" s="1"/>
      <c r="E5478" s="1"/>
      <c r="F5478" s="1" t="str">
        <f>IFERROR(__xludf.DUMMYFUNCTION("GOOGLETRANSLATE(B5478, ""en"", ""fa"")
"),"املاک و مستغلات برای حرفه ای ها")</f>
        <v>املاک و مستغلات برای حرفه ای ها</v>
      </c>
      <c r="G5478" s="1" t="str">
        <f>IFERROR(__xludf.DUMMYFUNCTION("GOOGLETRANSLATE(C5478, ""en"", ""fa"")
"),"متخصصان املاک و مستغلات چه استراتژی هایی را می توانند برای مدیریت و ارتباط موثر افشای املاک و گزارش های وضعیت در حراج املاک به کار گیرند؟")</f>
        <v>متخصصان املاک و مستغلات چه استراتژی هایی را می توانند برای مدیریت و ارتباط موثر افشای املاک و گزارش های وضعیت در حراج املاک به کار گیرند؟</v>
      </c>
      <c r="H5478" s="1"/>
      <c r="I5478" s="1"/>
      <c r="J5478" s="1"/>
      <c r="K5478" s="1"/>
      <c r="L5478" s="1"/>
      <c r="M5478" s="1"/>
      <c r="N5478" s="1"/>
      <c r="O5478" s="1"/>
      <c r="P5478" s="1"/>
      <c r="Q5478" s="1"/>
      <c r="R5478" s="1"/>
      <c r="S5478" s="1"/>
      <c r="T5478" s="1"/>
      <c r="U5478" s="1"/>
      <c r="V5478" s="1"/>
      <c r="W5478" s="1"/>
      <c r="X5478" s="1"/>
      <c r="Y5478" s="1"/>
      <c r="Z5478" s="1"/>
      <c r="AA5478" s="1"/>
      <c r="AB5478" s="1"/>
    </row>
    <row r="5479" ht="50.25" customHeight="1">
      <c r="A5479" s="12">
        <v>5475.0</v>
      </c>
      <c r="B5479" s="13" t="s">
        <v>5027</v>
      </c>
      <c r="C5479" s="18" t="s">
        <v>5499</v>
      </c>
      <c r="D5479" s="1"/>
      <c r="E5479" s="1"/>
      <c r="F5479" s="1" t="str">
        <f>IFERROR(__xludf.DUMMYFUNCTION("GOOGLETRANSLATE(B5479, ""en"", ""fa"")
"),"املاک و مستغلات برای حرفه ای ها")</f>
        <v>املاک و مستغلات برای حرفه ای ها</v>
      </c>
      <c r="G5479" s="1" t="str">
        <f>IFERROR(__xludf.DUMMYFUNCTION("GOOGLETRANSLATE(C5479, ""en"", ""fa"")
"),"چگونه متخصصان املاک و مستغلات می توانند از شبکه و مشارکت با دیگر متخصصان صنعت برای جذب مجموعه متنوعی از پیشنهاد دهندگان برای مزایده املاک استفاده کنند؟")</f>
        <v>چگونه متخصصان املاک و مستغلات می توانند از شبکه و مشارکت با دیگر متخصصان صنعت برای جذب مجموعه متنوعی از پیشنهاد دهندگان برای مزایده املاک استفاده کنند؟</v>
      </c>
      <c r="H5479" s="1"/>
      <c r="I5479" s="1"/>
      <c r="J5479" s="1"/>
      <c r="K5479" s="1"/>
      <c r="L5479" s="1"/>
      <c r="M5479" s="1"/>
      <c r="N5479" s="1"/>
      <c r="O5479" s="1"/>
      <c r="P5479" s="1"/>
      <c r="Q5479" s="1"/>
      <c r="R5479" s="1"/>
      <c r="S5479" s="1"/>
      <c r="T5479" s="1"/>
      <c r="U5479" s="1"/>
      <c r="V5479" s="1"/>
      <c r="W5479" s="1"/>
      <c r="X5479" s="1"/>
      <c r="Y5479" s="1"/>
      <c r="Z5479" s="1"/>
      <c r="AA5479" s="1"/>
      <c r="AB5479" s="1"/>
    </row>
    <row r="5480" ht="50.25" customHeight="1">
      <c r="A5480" s="12">
        <v>5476.0</v>
      </c>
      <c r="B5480" s="13" t="s">
        <v>5027</v>
      </c>
      <c r="C5480" s="18" t="s">
        <v>5500</v>
      </c>
      <c r="D5480" s="1"/>
      <c r="E5480" s="1"/>
      <c r="F5480" s="1" t="str">
        <f>IFERROR(__xludf.DUMMYFUNCTION("GOOGLETRANSLATE(B5480, ""en"", ""fa"")
"),"املاک و مستغلات برای حرفه ای ها")</f>
        <v>املاک و مستغلات برای حرفه ای ها</v>
      </c>
      <c r="G5480" s="1" t="str">
        <f>IFERROR(__xludf.DUMMYFUNCTION("GOOGLETRANSLATE(C5480, ""en"", ""fa"")
"),"متخصصان املاک و مستغلات از چه تکنیک هایی می توانند برای تجزیه و تحلیل و تفسیر الگوها و رفتارهای مناقصه استفاده کنند تا بینشی در مورد ترجیحات و استراتژی های خریدار در مزایده املاک به دست آورند؟")</f>
        <v>متخصصان املاک و مستغلات از چه تکنیک هایی می توانند برای تجزیه و تحلیل و تفسیر الگوها و رفتارهای مناقصه استفاده کنند تا بینشی در مورد ترجیحات و استراتژی های خریدار در مزایده املاک به دست آورند؟</v>
      </c>
      <c r="H5480" s="1"/>
      <c r="I5480" s="1"/>
      <c r="J5480" s="1"/>
      <c r="K5480" s="1"/>
      <c r="L5480" s="1"/>
      <c r="M5480" s="1"/>
      <c r="N5480" s="1"/>
      <c r="O5480" s="1"/>
      <c r="P5480" s="1"/>
      <c r="Q5480" s="1"/>
      <c r="R5480" s="1"/>
      <c r="S5480" s="1"/>
      <c r="T5480" s="1"/>
      <c r="U5480" s="1"/>
      <c r="V5480" s="1"/>
      <c r="W5480" s="1"/>
      <c r="X5480" s="1"/>
      <c r="Y5480" s="1"/>
      <c r="Z5480" s="1"/>
      <c r="AA5480" s="1"/>
      <c r="AB5480" s="1"/>
    </row>
    <row r="5481" ht="50.25" customHeight="1">
      <c r="A5481" s="12">
        <v>5477.0</v>
      </c>
      <c r="B5481" s="13" t="s">
        <v>5027</v>
      </c>
      <c r="C5481" s="18" t="s">
        <v>5501</v>
      </c>
      <c r="D5481" s="1"/>
      <c r="E5481" s="1"/>
      <c r="F5481" s="1" t="str">
        <f>IFERROR(__xludf.DUMMYFUNCTION("GOOGLETRANSLATE(B5481, ""en"", ""fa"")
"),"املاک و مستغلات برای حرفه ای ها")</f>
        <v>املاک و مستغلات برای حرفه ای ها</v>
      </c>
      <c r="G5481" s="1" t="str">
        <f>IFERROR(__xludf.DUMMYFUNCTION("GOOGLETRANSLATE(C5481, ""en"", ""fa"")
"),"چگونه متخصصان املاک و مستغلات می توانند خطرات و چالش های بالقوه مرتبط با فروش املاک با ساختارهای مالکیت پیچیده یا اختلافات قانونی را از طریق مزایده ارزیابی کنند؟")</f>
        <v>چگونه متخصصان املاک و مستغلات می توانند خطرات و چالش های بالقوه مرتبط با فروش املاک با ساختارهای مالکیت پیچیده یا اختلافات قانونی را از طریق مزایده ارزیابی کنند؟</v>
      </c>
      <c r="H5481" s="1"/>
      <c r="I5481" s="1"/>
      <c r="J5481" s="1"/>
      <c r="K5481" s="1"/>
      <c r="L5481" s="1"/>
      <c r="M5481" s="1"/>
      <c r="N5481" s="1"/>
      <c r="O5481" s="1"/>
      <c r="P5481" s="1"/>
      <c r="Q5481" s="1"/>
      <c r="R5481" s="1"/>
      <c r="S5481" s="1"/>
      <c r="T5481" s="1"/>
      <c r="U5481" s="1"/>
      <c r="V5481" s="1"/>
      <c r="W5481" s="1"/>
      <c r="X5481" s="1"/>
      <c r="Y5481" s="1"/>
      <c r="Z5481" s="1"/>
      <c r="AA5481" s="1"/>
      <c r="AB5481" s="1"/>
    </row>
    <row r="5482" ht="50.25" customHeight="1">
      <c r="A5482" s="12">
        <v>5478.0</v>
      </c>
      <c r="B5482" s="13" t="s">
        <v>5027</v>
      </c>
      <c r="C5482" s="18" t="s">
        <v>5502</v>
      </c>
      <c r="D5482" s="1"/>
      <c r="E5482" s="1"/>
      <c r="F5482" s="1" t="str">
        <f>IFERROR(__xludf.DUMMYFUNCTION("GOOGLETRANSLATE(B5482, ""en"", ""fa"")
"),"املاک و مستغلات برای حرفه ای ها")</f>
        <v>املاک و مستغلات برای حرفه ای ها</v>
      </c>
      <c r="G5482" s="1" t="str">
        <f>IFERROR(__xludf.DUMMYFUNCTION("GOOGLETRANSLATE(C5482, ""en"", ""fa"")
"),"ملاحظات کلیدی برای رسیدگی به مذاکرات پس از حراج، موارد احتمالی، و اصلاحات قرارداد برای اطمینان از روند بسته شدن آرام برای مزایده املاک چیست؟")</f>
        <v>ملاحظات کلیدی برای رسیدگی به مذاکرات پس از حراج، موارد احتمالی، و اصلاحات قرارداد برای اطمینان از روند بسته شدن آرام برای مزایده املاک چیست؟</v>
      </c>
      <c r="H5482" s="1"/>
      <c r="I5482" s="1"/>
      <c r="J5482" s="1"/>
      <c r="K5482" s="1"/>
      <c r="L5482" s="1"/>
      <c r="M5482" s="1"/>
      <c r="N5482" s="1"/>
      <c r="O5482" s="1"/>
      <c r="P5482" s="1"/>
      <c r="Q5482" s="1"/>
      <c r="R5482" s="1"/>
      <c r="S5482" s="1"/>
      <c r="T5482" s="1"/>
      <c r="U5482" s="1"/>
      <c r="V5482" s="1"/>
      <c r="W5482" s="1"/>
      <c r="X5482" s="1"/>
      <c r="Y5482" s="1"/>
      <c r="Z5482" s="1"/>
      <c r="AA5482" s="1"/>
      <c r="AB5482" s="1"/>
    </row>
    <row r="5483" ht="50.25" customHeight="1">
      <c r="A5483" s="12">
        <v>5479.0</v>
      </c>
      <c r="B5483" s="13" t="s">
        <v>5027</v>
      </c>
      <c r="C5483" s="18" t="s">
        <v>5503</v>
      </c>
      <c r="D5483" s="1"/>
      <c r="E5483" s="1"/>
      <c r="F5483" s="1" t="str">
        <f>IFERROR(__xludf.DUMMYFUNCTION("GOOGLETRANSLATE(B5483, ""en"", ""fa"")
"),"املاک و مستغلات برای حرفه ای ها")</f>
        <v>املاک و مستغلات برای حرفه ای ها</v>
      </c>
      <c r="G5483" s="1" t="str">
        <f>IFERROR(__xludf.DUMMYFUNCTION("GOOGLETRANSLATE(C5483, ""en"", ""fa"")
"),"چگونه متخصصان املاک و مستغلات می توانند تأثیر بالقوه تغییر قوانین یا مقررات مالیاتی را بر جذابیت و سودآوری مزایده املاک ارزیابی کنند؟")</f>
        <v>چگونه متخصصان املاک و مستغلات می توانند تأثیر بالقوه تغییر قوانین یا مقررات مالیاتی را بر جذابیت و سودآوری مزایده املاک ارزیابی کنند؟</v>
      </c>
      <c r="H5483" s="1"/>
      <c r="I5483" s="1"/>
      <c r="J5483" s="1"/>
      <c r="K5483" s="1"/>
      <c r="L5483" s="1"/>
      <c r="M5483" s="1"/>
      <c r="N5483" s="1"/>
      <c r="O5483" s="1"/>
      <c r="P5483" s="1"/>
      <c r="Q5483" s="1"/>
      <c r="R5483" s="1"/>
      <c r="S5483" s="1"/>
      <c r="T5483" s="1"/>
      <c r="U5483" s="1"/>
      <c r="V5483" s="1"/>
      <c r="W5483" s="1"/>
      <c r="X5483" s="1"/>
      <c r="Y5483" s="1"/>
      <c r="Z5483" s="1"/>
      <c r="AA5483" s="1"/>
      <c r="AB5483" s="1"/>
    </row>
    <row r="5484" ht="50.25" customHeight="1">
      <c r="A5484" s="12">
        <v>5480.0</v>
      </c>
      <c r="B5484" s="13" t="s">
        <v>5027</v>
      </c>
      <c r="C5484" s="18" t="s">
        <v>5504</v>
      </c>
      <c r="D5484" s="1"/>
      <c r="E5484" s="1"/>
      <c r="F5484" s="1" t="str">
        <f>IFERROR(__xludf.DUMMYFUNCTION("GOOGLETRANSLATE(B5484, ""en"", ""fa"")
"),"املاک و مستغلات برای حرفه ای ها")</f>
        <v>املاک و مستغلات برای حرفه ای ها</v>
      </c>
      <c r="G5484" s="1" t="str">
        <f>IFERROR(__xludf.DUMMYFUNCTION("GOOGLETRANSLATE(C5484, ""en"", ""fa"")
"),"متخصصان املاک و مستغلات چه استراتژی هایی می توانند برای برقراری ارتباط موثر و مدیریت انتظارات فروشندگان در طول فرآیند حراج به کار گیرند؟")</f>
        <v>متخصصان املاک و مستغلات چه استراتژی هایی می توانند برای برقراری ارتباط موثر و مدیریت انتظارات فروشندگان در طول فرآیند حراج به کار گیرند؟</v>
      </c>
      <c r="H5484" s="1"/>
      <c r="I5484" s="1"/>
      <c r="J5484" s="1"/>
      <c r="K5484" s="1"/>
      <c r="L5484" s="1"/>
      <c r="M5484" s="1"/>
      <c r="N5484" s="1"/>
      <c r="O5484" s="1"/>
      <c r="P5484" s="1"/>
      <c r="Q5484" s="1"/>
      <c r="R5484" s="1"/>
      <c r="S5484" s="1"/>
      <c r="T5484" s="1"/>
      <c r="U5484" s="1"/>
      <c r="V5484" s="1"/>
      <c r="W5484" s="1"/>
      <c r="X5484" s="1"/>
      <c r="Y5484" s="1"/>
      <c r="Z5484" s="1"/>
      <c r="AA5484" s="1"/>
      <c r="AB5484" s="1"/>
    </row>
    <row r="5485" ht="50.25" customHeight="1">
      <c r="A5485" s="12">
        <v>5481.0</v>
      </c>
      <c r="B5485" s="13" t="s">
        <v>5027</v>
      </c>
      <c r="C5485" s="18" t="s">
        <v>5505</v>
      </c>
      <c r="D5485" s="1"/>
      <c r="E5485" s="1"/>
      <c r="F5485" s="1" t="str">
        <f>IFERROR(__xludf.DUMMYFUNCTION("GOOGLETRANSLATE(B5485, ""en"", ""fa"")
"),"املاک و مستغلات برای حرفه ای ها")</f>
        <v>املاک و مستغلات برای حرفه ای ها</v>
      </c>
      <c r="G5485" s="1" t="str">
        <f>IFERROR(__xludf.DUMMYFUNCTION("GOOGLETRANSLATE(C5485, ""en"", ""fa"")
"),"چگونه متخصصان املاک و مستغلات می توانند از بازاریابی ویدئویی و تورهای مجازی برای نمایش املاک و جذب پیشنهاد دهندگان از راه دور در مزایده املاک استفاده کنند؟")</f>
        <v>چگونه متخصصان املاک و مستغلات می توانند از بازاریابی ویدئویی و تورهای مجازی برای نمایش املاک و جذب پیشنهاد دهندگان از راه دور در مزایده املاک استفاده کنند؟</v>
      </c>
      <c r="H5485" s="1"/>
      <c r="I5485" s="1"/>
      <c r="J5485" s="1"/>
      <c r="K5485" s="1"/>
      <c r="L5485" s="1"/>
      <c r="M5485" s="1"/>
      <c r="N5485" s="1"/>
      <c r="O5485" s="1"/>
      <c r="P5485" s="1"/>
      <c r="Q5485" s="1"/>
      <c r="R5485" s="1"/>
      <c r="S5485" s="1"/>
      <c r="T5485" s="1"/>
      <c r="U5485" s="1"/>
      <c r="V5485" s="1"/>
      <c r="W5485" s="1"/>
      <c r="X5485" s="1"/>
      <c r="Y5485" s="1"/>
      <c r="Z5485" s="1"/>
      <c r="AA5485" s="1"/>
      <c r="AB5485" s="1"/>
    </row>
    <row r="5486" ht="50.25" customHeight="1">
      <c r="A5486" s="12">
        <v>5482.0</v>
      </c>
      <c r="B5486" s="13" t="s">
        <v>5027</v>
      </c>
      <c r="C5486" s="18" t="s">
        <v>5506</v>
      </c>
      <c r="D5486" s="1"/>
      <c r="E5486" s="1"/>
      <c r="F5486" s="1" t="str">
        <f>IFERROR(__xludf.DUMMYFUNCTION("GOOGLETRANSLATE(B5486, ""en"", ""fa"")
"),"املاک و مستغلات برای حرفه ای ها")</f>
        <v>املاک و مستغلات برای حرفه ای ها</v>
      </c>
      <c r="G5486" s="1" t="str">
        <f>IFERROR(__xludf.DUMMYFUNCTION("GOOGLETRANSLATE(C5486, ""en"", ""fa"")
"),"متخصصان املاک و مستغلات از چه تکنیک هایی می توانند برای ایجاد حس انحصار و کمبود برای املاک در حراج استفاده کنند و انگیزه خریدار و رقابت را افزایش دهند؟")</f>
        <v>متخصصان املاک و مستغلات از چه تکنیک هایی می توانند برای ایجاد حس انحصار و کمبود برای املاک در حراج استفاده کنند و انگیزه خریدار و رقابت را افزایش دهند؟</v>
      </c>
      <c r="H5486" s="1"/>
      <c r="I5486" s="1"/>
      <c r="J5486" s="1"/>
      <c r="K5486" s="1"/>
      <c r="L5486" s="1"/>
      <c r="M5486" s="1"/>
      <c r="N5486" s="1"/>
      <c r="O5486" s="1"/>
      <c r="P5486" s="1"/>
      <c r="Q5486" s="1"/>
      <c r="R5486" s="1"/>
      <c r="S5486" s="1"/>
      <c r="T5486" s="1"/>
      <c r="U5486" s="1"/>
      <c r="V5486" s="1"/>
      <c r="W5486" s="1"/>
      <c r="X5486" s="1"/>
      <c r="Y5486" s="1"/>
      <c r="Z5486" s="1"/>
      <c r="AA5486" s="1"/>
      <c r="AB5486" s="1"/>
    </row>
    <row r="5487" ht="50.25" customHeight="1">
      <c r="A5487" s="12">
        <v>5483.0</v>
      </c>
      <c r="B5487" s="13" t="s">
        <v>5027</v>
      </c>
      <c r="C5487" s="18" t="s">
        <v>5507</v>
      </c>
      <c r="D5487" s="1"/>
      <c r="E5487" s="1"/>
      <c r="F5487" s="1" t="str">
        <f>IFERROR(__xludf.DUMMYFUNCTION("GOOGLETRANSLATE(B5487, ""en"", ""fa"")
"),"املاک و مستغلات برای حرفه ای ها")</f>
        <v>املاک و مستغلات برای حرفه ای ها</v>
      </c>
      <c r="G5487" s="1" t="str">
        <f>IFERROR(__xludf.DUMMYFUNCTION("GOOGLETRANSLATE(C5487, ""en"", ""fa"")
"),"چگونه متخصصان املاک و مستغلات می توانند خطرات و فرصت های بالقوه مرتبط با ارائه مشوق های فروشنده، مانند کاهش کمیسیون یا کمک هزینه بسته شدن، را در مزایده املاک ارزیابی کنند؟")</f>
        <v>چگونه متخصصان املاک و مستغلات می توانند خطرات و فرصت های بالقوه مرتبط با ارائه مشوق های فروشنده، مانند کاهش کمیسیون یا کمک هزینه بسته شدن، را در مزایده املاک ارزیابی کنند؟</v>
      </c>
      <c r="H5487" s="1"/>
      <c r="I5487" s="1"/>
      <c r="J5487" s="1"/>
      <c r="K5487" s="1"/>
      <c r="L5487" s="1"/>
      <c r="M5487" s="1"/>
      <c r="N5487" s="1"/>
      <c r="O5487" s="1"/>
      <c r="P5487" s="1"/>
      <c r="Q5487" s="1"/>
      <c r="R5487" s="1"/>
      <c r="S5487" s="1"/>
      <c r="T5487" s="1"/>
      <c r="U5487" s="1"/>
      <c r="V5487" s="1"/>
      <c r="W5487" s="1"/>
      <c r="X5487" s="1"/>
      <c r="Y5487" s="1"/>
      <c r="Z5487" s="1"/>
      <c r="AA5487" s="1"/>
      <c r="AB5487" s="1"/>
    </row>
    <row r="5488" ht="50.25" customHeight="1">
      <c r="A5488" s="12">
        <v>5484.0</v>
      </c>
      <c r="B5488" s="13" t="s">
        <v>5027</v>
      </c>
      <c r="C5488" s="18" t="s">
        <v>5508</v>
      </c>
      <c r="D5488" s="1"/>
      <c r="E5488" s="1"/>
      <c r="F5488" s="1" t="str">
        <f>IFERROR(__xludf.DUMMYFUNCTION("GOOGLETRANSLATE(B5488, ""en"", ""fa"")
"),"املاک و مستغلات برای حرفه ای ها")</f>
        <v>املاک و مستغلات برای حرفه ای ها</v>
      </c>
      <c r="G5488" s="1" t="str">
        <f>IFERROR(__xludf.DUMMYFUNCTION("GOOGLETRANSLATE(C5488, ""en"", ""fa"")
"),"متخصصان املاک و مستغلات هنگام انجام مزایده های خیریه یا جمع آوری کمک های مالی مربوط به املاک و مستغلات باید از چه ملاحظات قانونی و انطباق با آنها آگاه باشند؟")</f>
        <v>متخصصان املاک و مستغلات هنگام انجام مزایده های خیریه یا جمع آوری کمک های مالی مربوط به املاک و مستغلات باید از چه ملاحظات قانونی و انطباق با آنها آگاه باشند؟</v>
      </c>
      <c r="H5488" s="1"/>
      <c r="I5488" s="1"/>
      <c r="J5488" s="1"/>
      <c r="K5488" s="1"/>
      <c r="L5488" s="1"/>
      <c r="M5488" s="1"/>
      <c r="N5488" s="1"/>
      <c r="O5488" s="1"/>
      <c r="P5488" s="1"/>
      <c r="Q5488" s="1"/>
      <c r="R5488" s="1"/>
      <c r="S5488" s="1"/>
      <c r="T5488" s="1"/>
      <c r="U5488" s="1"/>
      <c r="V5488" s="1"/>
      <c r="W5488" s="1"/>
      <c r="X5488" s="1"/>
      <c r="Y5488" s="1"/>
      <c r="Z5488" s="1"/>
      <c r="AA5488" s="1"/>
      <c r="AB5488" s="1"/>
    </row>
    <row r="5489" ht="50.25" customHeight="1">
      <c r="A5489" s="12">
        <v>5485.0</v>
      </c>
      <c r="B5489" s="13" t="s">
        <v>5027</v>
      </c>
      <c r="C5489" s="18" t="s">
        <v>5509</v>
      </c>
      <c r="D5489" s="1"/>
      <c r="E5489" s="1"/>
      <c r="F5489" s="1" t="str">
        <f>IFERROR(__xludf.DUMMYFUNCTION("GOOGLETRANSLATE(B5489, ""en"", ""fa"")
"),"املاک و مستغلات برای حرفه ای ها")</f>
        <v>املاک و مستغلات برای حرفه ای ها</v>
      </c>
      <c r="G5489" s="1" t="str">
        <f>IFERROR(__xludf.DUMMYFUNCTION("GOOGLETRANSLATE(C5489, ""en"", ""fa"")
"),"متخصصان املاک و مستغلات چگونه می توانند تأثیر بالقوه عوامل محیطی مانند بلایای طبیعی یا تغییرات آب و هوایی را بر بازارپذیری و ارزش املاک در حراج ارزیابی کنند؟")</f>
        <v>متخصصان املاک و مستغلات چگونه می توانند تأثیر بالقوه عوامل محیطی مانند بلایای طبیعی یا تغییرات آب و هوایی را بر بازارپذیری و ارزش املاک در حراج ارزیابی کنند؟</v>
      </c>
      <c r="H5489" s="1"/>
      <c r="I5489" s="1"/>
      <c r="J5489" s="1"/>
      <c r="K5489" s="1"/>
      <c r="L5489" s="1"/>
      <c r="M5489" s="1"/>
      <c r="N5489" s="1"/>
      <c r="O5489" s="1"/>
      <c r="P5489" s="1"/>
      <c r="Q5489" s="1"/>
      <c r="R5489" s="1"/>
      <c r="S5489" s="1"/>
      <c r="T5489" s="1"/>
      <c r="U5489" s="1"/>
      <c r="V5489" s="1"/>
      <c r="W5489" s="1"/>
      <c r="X5489" s="1"/>
      <c r="Y5489" s="1"/>
      <c r="Z5489" s="1"/>
      <c r="AA5489" s="1"/>
      <c r="AB5489" s="1"/>
    </row>
    <row r="5490" ht="50.25" customHeight="1">
      <c r="A5490" s="12">
        <v>5486.0</v>
      </c>
      <c r="B5490" s="13" t="s">
        <v>5027</v>
      </c>
      <c r="C5490" s="18" t="s">
        <v>5510</v>
      </c>
      <c r="D5490" s="1"/>
      <c r="E5490" s="1"/>
      <c r="F5490" s="1" t="str">
        <f>IFERROR(__xludf.DUMMYFUNCTION("GOOGLETRANSLATE(B5490, ""en"", ""fa"")
"),"املاک و مستغلات برای حرفه ای ها")</f>
        <v>املاک و مستغلات برای حرفه ای ها</v>
      </c>
      <c r="G5490" s="1" t="str">
        <f>IFERROR(__xludf.DUMMYFUNCTION("GOOGLETRANSLATE(C5490, ""en"", ""fa"")
"),"متخصصان املاک و مستغلات چه استراتژی هایی می توانند برای مدیریت موثر و رسیدگی به اعتراضات و نگرانی های خریداران در طول فرآیند حراج به کار گیرند؟")</f>
        <v>متخصصان املاک و مستغلات چه استراتژی هایی می توانند برای مدیریت موثر و رسیدگی به اعتراضات و نگرانی های خریداران در طول فرآیند حراج به کار گیرند؟</v>
      </c>
      <c r="H5490" s="1"/>
      <c r="I5490" s="1"/>
      <c r="J5490" s="1"/>
      <c r="K5490" s="1"/>
      <c r="L5490" s="1"/>
      <c r="M5490" s="1"/>
      <c r="N5490" s="1"/>
      <c r="O5490" s="1"/>
      <c r="P5490" s="1"/>
      <c r="Q5490" s="1"/>
      <c r="R5490" s="1"/>
      <c r="S5490" s="1"/>
      <c r="T5490" s="1"/>
      <c r="U5490" s="1"/>
      <c r="V5490" s="1"/>
      <c r="W5490" s="1"/>
      <c r="X5490" s="1"/>
      <c r="Y5490" s="1"/>
      <c r="Z5490" s="1"/>
      <c r="AA5490" s="1"/>
      <c r="AB5490" s="1"/>
    </row>
    <row r="5491" ht="50.25" customHeight="1">
      <c r="A5491" s="12">
        <v>5487.0</v>
      </c>
      <c r="B5491" s="13" t="s">
        <v>5027</v>
      </c>
      <c r="C5491" s="18" t="s">
        <v>5511</v>
      </c>
      <c r="D5491" s="1"/>
      <c r="E5491" s="1"/>
      <c r="F5491" s="1" t="str">
        <f>IFERROR(__xludf.DUMMYFUNCTION("GOOGLETRANSLATE(B5491, ""en"", ""fa"")
"),"املاک و مستغلات برای حرفه ای ها")</f>
        <v>املاک و مستغلات برای حرفه ای ها</v>
      </c>
      <c r="G5491" s="1" t="str">
        <f>IFERROR(__xludf.DUMMYFUNCTION("GOOGLETRANSLATE(C5491, ""en"", ""fa"")
"),"چگونه متخصصان املاک و مستغلات می توانند از شراکت با مشاغل و سازمان های محلی برای ترویج حراج املاک و جذب مخاطبان گسترده تر استفاده کنند؟")</f>
        <v>چگونه متخصصان املاک و مستغلات می توانند از شراکت با مشاغل و سازمان های محلی برای ترویج حراج املاک و جذب مخاطبان گسترده تر استفاده کنند؟</v>
      </c>
      <c r="H5491" s="1"/>
      <c r="I5491" s="1"/>
      <c r="J5491" s="1"/>
      <c r="K5491" s="1"/>
      <c r="L5491" s="1"/>
      <c r="M5491" s="1"/>
      <c r="N5491" s="1"/>
      <c r="O5491" s="1"/>
      <c r="P5491" s="1"/>
      <c r="Q5491" s="1"/>
      <c r="R5491" s="1"/>
      <c r="S5491" s="1"/>
      <c r="T5491" s="1"/>
      <c r="U5491" s="1"/>
      <c r="V5491" s="1"/>
      <c r="W5491" s="1"/>
      <c r="X5491" s="1"/>
      <c r="Y5491" s="1"/>
      <c r="Z5491" s="1"/>
      <c r="AA5491" s="1"/>
      <c r="AB5491" s="1"/>
    </row>
    <row r="5492" ht="50.25" customHeight="1">
      <c r="A5492" s="12">
        <v>5488.0</v>
      </c>
      <c r="B5492" s="13" t="s">
        <v>5027</v>
      </c>
      <c r="C5492" s="18" t="s">
        <v>5512</v>
      </c>
      <c r="D5492" s="1"/>
      <c r="E5492" s="1"/>
      <c r="F5492" s="1" t="str">
        <f>IFERROR(__xludf.DUMMYFUNCTION("GOOGLETRANSLATE(B5492, ""en"", ""fa"")
"),"املاک و مستغلات برای حرفه ای ها")</f>
        <v>املاک و مستغلات برای حرفه ای ها</v>
      </c>
      <c r="G5492" s="1" t="str">
        <f>IFERROR(__xludf.DUMMYFUNCTION("GOOGLETRANSLATE(C5492, ""en"", ""fa"")
"),"متخصصان املاک و مستغلات از چه تکنیک هایی می توانند برای برگزاری تورهای ملکی قبل از حراج یا خانه های باز برای ایجاد علاقه و اطمینان خریداران استفاده کنند؟")</f>
        <v>متخصصان املاک و مستغلات از چه تکنیک هایی می توانند برای برگزاری تورهای ملکی قبل از حراج یا خانه های باز برای ایجاد علاقه و اطمینان خریداران استفاده کنند؟</v>
      </c>
      <c r="H5492" s="1"/>
      <c r="I5492" s="1"/>
      <c r="J5492" s="1"/>
      <c r="K5492" s="1"/>
      <c r="L5492" s="1"/>
      <c r="M5492" s="1"/>
      <c r="N5492" s="1"/>
      <c r="O5492" s="1"/>
      <c r="P5492" s="1"/>
      <c r="Q5492" s="1"/>
      <c r="R5492" s="1"/>
      <c r="S5492" s="1"/>
      <c r="T5492" s="1"/>
      <c r="U5492" s="1"/>
      <c r="V5492" s="1"/>
      <c r="W5492" s="1"/>
      <c r="X5492" s="1"/>
      <c r="Y5492" s="1"/>
      <c r="Z5492" s="1"/>
      <c r="AA5492" s="1"/>
      <c r="AB5492" s="1"/>
    </row>
    <row r="5493" ht="50.25" customHeight="1">
      <c r="A5493" s="12">
        <v>5489.0</v>
      </c>
      <c r="B5493" s="13" t="s">
        <v>5027</v>
      </c>
      <c r="C5493" s="18" t="s">
        <v>5513</v>
      </c>
      <c r="D5493" s="1"/>
      <c r="E5493" s="1"/>
      <c r="F5493" s="1" t="str">
        <f>IFERROR(__xludf.DUMMYFUNCTION("GOOGLETRANSLATE(B5493, ""en"", ""fa"")
"),"املاک و مستغلات برای حرفه ای ها")</f>
        <v>املاک و مستغلات برای حرفه ای ها</v>
      </c>
      <c r="G5493" s="1" t="str">
        <f>IFERROR(__xludf.DUMMYFUNCTION("GOOGLETRANSLATE(C5493, ""en"", ""fa"")
"),"چگونه متخصصان املاک و مستغلات می توانند خطرات و چالش های بالقوه مرتبط با فروش املاک با مشکلات ساختاری یا تعمیراتی را از طریق مزایده ارزیابی کنند؟")</f>
        <v>چگونه متخصصان املاک و مستغلات می توانند خطرات و چالش های بالقوه مرتبط با فروش املاک با مشکلات ساختاری یا تعمیراتی را از طریق مزایده ارزیابی کنند؟</v>
      </c>
      <c r="H5493" s="1"/>
      <c r="I5493" s="1"/>
      <c r="J5493" s="1"/>
      <c r="K5493" s="1"/>
      <c r="L5493" s="1"/>
      <c r="M5493" s="1"/>
      <c r="N5493" s="1"/>
      <c r="O5493" s="1"/>
      <c r="P5493" s="1"/>
      <c r="Q5493" s="1"/>
      <c r="R5493" s="1"/>
      <c r="S5493" s="1"/>
      <c r="T5493" s="1"/>
      <c r="U5493" s="1"/>
      <c r="V5493" s="1"/>
      <c r="W5493" s="1"/>
      <c r="X5493" s="1"/>
      <c r="Y5493" s="1"/>
      <c r="Z5493" s="1"/>
      <c r="AA5493" s="1"/>
      <c r="AB5493" s="1"/>
    </row>
    <row r="5494" ht="50.25" customHeight="1">
      <c r="A5494" s="12">
        <v>5490.0</v>
      </c>
      <c r="B5494" s="13" t="s">
        <v>5027</v>
      </c>
      <c r="C5494" s="18" t="s">
        <v>5514</v>
      </c>
      <c r="D5494" s="1"/>
      <c r="E5494" s="1"/>
      <c r="F5494" s="1" t="str">
        <f>IFERROR(__xludf.DUMMYFUNCTION("GOOGLETRANSLATE(B5494, ""en"", ""fa"")
"),"املاک و مستغلات برای حرفه ای ها")</f>
        <v>املاک و مستغلات برای حرفه ای ها</v>
      </c>
      <c r="G5494" s="1" t="str">
        <f>IFERROR(__xludf.DUMMYFUNCTION("GOOGLETRANSLATE(C5494, ""en"", ""fa"")
"),"ملاحظات کلیدی برای انتخاب روش حراج مناسب، مانند حراج مطلق، حراج حداقل پیشنهاد یا حراج چند ملک، بر اساس ویژگی های ملک و شرایط بازار چیست؟")</f>
        <v>ملاحظات کلیدی برای انتخاب روش حراج مناسب، مانند حراج مطلق، حراج حداقل پیشنهاد یا حراج چند ملک، بر اساس ویژگی های ملک و شرایط بازار چیست؟</v>
      </c>
      <c r="H5494" s="1"/>
      <c r="I5494" s="1"/>
      <c r="J5494" s="1"/>
      <c r="K5494" s="1"/>
      <c r="L5494" s="1"/>
      <c r="M5494" s="1"/>
      <c r="N5494" s="1"/>
      <c r="O5494" s="1"/>
      <c r="P5494" s="1"/>
      <c r="Q5494" s="1"/>
      <c r="R5494" s="1"/>
      <c r="S5494" s="1"/>
      <c r="T5494" s="1"/>
      <c r="U5494" s="1"/>
      <c r="V5494" s="1"/>
      <c r="W5494" s="1"/>
      <c r="X5494" s="1"/>
      <c r="Y5494" s="1"/>
      <c r="Z5494" s="1"/>
      <c r="AA5494" s="1"/>
      <c r="AB5494" s="1"/>
    </row>
    <row r="5495" ht="50.25" customHeight="1">
      <c r="A5495" s="12">
        <v>5491.0</v>
      </c>
      <c r="B5495" s="13" t="s">
        <v>5027</v>
      </c>
      <c r="C5495" s="18" t="s">
        <v>5515</v>
      </c>
      <c r="D5495" s="1"/>
      <c r="E5495" s="1"/>
      <c r="F5495" s="1" t="str">
        <f>IFERROR(__xludf.DUMMYFUNCTION("GOOGLETRANSLATE(B5495, ""en"", ""fa"")
"),"املاک و مستغلات برای حرفه ای ها")</f>
        <v>املاک و مستغلات برای حرفه ای ها</v>
      </c>
      <c r="G5495" s="1" t="str">
        <f>IFERROR(__xludf.DUMMYFUNCTION("GOOGLETRANSLATE(C5495, ""en"", ""fa"")
"),"چگونه متخصصان املاک و مستغلات می توانند تأثیر بالقوه پوشش رسانه ای و تلاش های روابط عمومی را بر ایجاد سر و صدا و مشارکت در حراج املاک ارزیابی کنند؟")</f>
        <v>چگونه متخصصان املاک و مستغلات می توانند تأثیر بالقوه پوشش رسانه ای و تلاش های روابط عمومی را بر ایجاد سر و صدا و مشارکت در حراج املاک ارزیابی کنند؟</v>
      </c>
      <c r="H5495" s="1"/>
      <c r="I5495" s="1"/>
      <c r="J5495" s="1"/>
      <c r="K5495" s="1"/>
      <c r="L5495" s="1"/>
      <c r="M5495" s="1"/>
      <c r="N5495" s="1"/>
      <c r="O5495" s="1"/>
      <c r="P5495" s="1"/>
      <c r="Q5495" s="1"/>
      <c r="R5495" s="1"/>
      <c r="S5495" s="1"/>
      <c r="T5495" s="1"/>
      <c r="U5495" s="1"/>
      <c r="V5495" s="1"/>
      <c r="W5495" s="1"/>
      <c r="X5495" s="1"/>
      <c r="Y5495" s="1"/>
      <c r="Z5495" s="1"/>
      <c r="AA5495" s="1"/>
      <c r="AB5495" s="1"/>
    </row>
    <row r="5496" ht="50.25" customHeight="1">
      <c r="A5496" s="12">
        <v>5492.0</v>
      </c>
      <c r="B5496" s="13" t="s">
        <v>5027</v>
      </c>
      <c r="C5496" s="18" t="s">
        <v>5516</v>
      </c>
      <c r="D5496" s="1"/>
      <c r="E5496" s="1"/>
      <c r="F5496" s="1" t="str">
        <f>IFERROR(__xludf.DUMMYFUNCTION("GOOGLETRANSLATE(B5496, ""en"", ""fa"")
"),"املاک و مستغلات برای حرفه ای ها")</f>
        <v>املاک و مستغلات برای حرفه ای ها</v>
      </c>
      <c r="G5496" s="1" t="str">
        <f>IFERROR(__xludf.DUMMYFUNCTION("GOOGLETRANSLATE(C5496, ""en"", ""fa"")
"),"فاکتورهای کلیدی برای انتخاب یک سایت توسعه املاک و مستغلات بالقوه چیست؟")</f>
        <v>فاکتورهای کلیدی برای انتخاب یک سایت توسعه املاک و مستغلات بالقوه چیست؟</v>
      </c>
      <c r="H5496" s="1"/>
      <c r="I5496" s="1"/>
      <c r="J5496" s="1"/>
      <c r="K5496" s="1"/>
      <c r="L5496" s="1"/>
      <c r="M5496" s="1"/>
      <c r="N5496" s="1"/>
      <c r="O5496" s="1"/>
      <c r="P5496" s="1"/>
      <c r="Q5496" s="1"/>
      <c r="R5496" s="1"/>
      <c r="S5496" s="1"/>
      <c r="T5496" s="1"/>
      <c r="U5496" s="1"/>
      <c r="V5496" s="1"/>
      <c r="W5496" s="1"/>
      <c r="X5496" s="1"/>
      <c r="Y5496" s="1"/>
      <c r="Z5496" s="1"/>
      <c r="AA5496" s="1"/>
      <c r="AB5496" s="1"/>
    </row>
    <row r="5497" ht="50.25" customHeight="1">
      <c r="A5497" s="12">
        <v>5493.0</v>
      </c>
      <c r="B5497" s="13" t="s">
        <v>5027</v>
      </c>
      <c r="C5497" s="18" t="s">
        <v>5517</v>
      </c>
      <c r="D5497" s="1"/>
      <c r="E5497" s="1"/>
      <c r="F5497" s="1" t="str">
        <f>IFERROR(__xludf.DUMMYFUNCTION("GOOGLETRANSLATE(B5497, ""en"", ""fa"")
"),"املاک و مستغلات برای حرفه ای ها")</f>
        <v>املاک و مستغلات برای حرفه ای ها</v>
      </c>
      <c r="G5497" s="1" t="str">
        <f>IFERROR(__xludf.DUMMYFUNCTION("GOOGLETRANSLATE(C5497, ""en"", ""fa"")
"),"توسعه دهندگان املاک و مستغلات چگونه می توانند امکان سنجی و سودآوری یک پروژه توسعه پیشنهادی را ارزیابی کنند؟")</f>
        <v>توسعه دهندگان املاک و مستغلات چگونه می توانند امکان سنجی و سودآوری یک پروژه توسعه پیشنهادی را ارزیابی کنند؟</v>
      </c>
      <c r="H5497" s="1"/>
      <c r="I5497" s="1"/>
      <c r="J5497" s="1"/>
      <c r="K5497" s="1"/>
      <c r="L5497" s="1"/>
      <c r="M5497" s="1"/>
      <c r="N5497" s="1"/>
      <c r="O5497" s="1"/>
      <c r="P5497" s="1"/>
      <c r="Q5497" s="1"/>
      <c r="R5497" s="1"/>
      <c r="S5497" s="1"/>
      <c r="T5497" s="1"/>
      <c r="U5497" s="1"/>
      <c r="V5497" s="1"/>
      <c r="W5497" s="1"/>
      <c r="X5497" s="1"/>
      <c r="Y5497" s="1"/>
      <c r="Z5497" s="1"/>
      <c r="AA5497" s="1"/>
      <c r="AB5497" s="1"/>
    </row>
    <row r="5498" ht="50.25" customHeight="1">
      <c r="A5498" s="12">
        <v>5494.0</v>
      </c>
      <c r="B5498" s="13" t="s">
        <v>5027</v>
      </c>
      <c r="C5498" s="18" t="s">
        <v>5518</v>
      </c>
      <c r="D5498" s="1"/>
      <c r="E5498" s="1"/>
      <c r="F5498" s="1" t="str">
        <f>IFERROR(__xludf.DUMMYFUNCTION("GOOGLETRANSLATE(B5498, ""en"", ""fa"")
"),"املاک و مستغلات برای حرفه ای ها")</f>
        <v>املاک و مستغلات برای حرفه ای ها</v>
      </c>
      <c r="G5498" s="1" t="str">
        <f>IFERROR(__xludf.DUMMYFUNCTION("GOOGLETRANSLATE(C5498, ""en"", ""fa"")
"),"توسعه دهندگان املاک و مستغلات چه استراتژی هایی را می توانند برای انجام تحقیقات و تحلیل بازار کامل قبل از شروع یک پروژه توسعه به کار گیرند؟")</f>
        <v>توسعه دهندگان املاک و مستغلات چه استراتژی هایی را می توانند برای انجام تحقیقات و تحلیل بازار کامل قبل از شروع یک پروژه توسعه به کار گیرند؟</v>
      </c>
      <c r="H5498" s="1"/>
      <c r="I5498" s="1"/>
      <c r="J5498" s="1"/>
      <c r="K5498" s="1"/>
      <c r="L5498" s="1"/>
      <c r="M5498" s="1"/>
      <c r="N5498" s="1"/>
      <c r="O5498" s="1"/>
      <c r="P5498" s="1"/>
      <c r="Q5498" s="1"/>
      <c r="R5498" s="1"/>
      <c r="S5498" s="1"/>
      <c r="T5498" s="1"/>
      <c r="U5498" s="1"/>
      <c r="V5498" s="1"/>
      <c r="W5498" s="1"/>
      <c r="X5498" s="1"/>
      <c r="Y5498" s="1"/>
      <c r="Z5498" s="1"/>
      <c r="AA5498" s="1"/>
      <c r="AB5498" s="1"/>
    </row>
    <row r="5499" ht="50.25" customHeight="1">
      <c r="A5499" s="12">
        <v>5495.0</v>
      </c>
      <c r="B5499" s="13" t="s">
        <v>5027</v>
      </c>
      <c r="C5499" s="18" t="s">
        <v>5519</v>
      </c>
      <c r="D5499" s="1"/>
      <c r="E5499" s="1"/>
      <c r="F5499" s="1" t="str">
        <f>IFERROR(__xludf.DUMMYFUNCTION("GOOGLETRANSLATE(B5499, ""en"", ""fa"")
"),"املاک و مستغلات برای حرفه ای ها")</f>
        <v>املاک و مستغلات برای حرفه ای ها</v>
      </c>
      <c r="G5499" s="1" t="str">
        <f>IFERROR(__xludf.DUMMYFUNCTION("GOOGLETRANSLATE(C5499, ""en"", ""fa"")
"),"چگونه توسعه دهندگان املاک و مستغلات می توانند فرآیندهای نظارتی و مجوزهای مربوط به توسعه املاک و مستغلات را هدایت کنند؟")</f>
        <v>چگونه توسعه دهندگان املاک و مستغلات می توانند فرآیندهای نظارتی و مجوزهای مربوط به توسعه املاک و مستغلات را هدایت کنند؟</v>
      </c>
      <c r="H5499" s="1"/>
      <c r="I5499" s="1"/>
      <c r="J5499" s="1"/>
      <c r="K5499" s="1"/>
      <c r="L5499" s="1"/>
      <c r="M5499" s="1"/>
      <c r="N5499" s="1"/>
      <c r="O5499" s="1"/>
      <c r="P5499" s="1"/>
      <c r="Q5499" s="1"/>
      <c r="R5499" s="1"/>
      <c r="S5499" s="1"/>
      <c r="T5499" s="1"/>
      <c r="U5499" s="1"/>
      <c r="V5499" s="1"/>
      <c r="W5499" s="1"/>
      <c r="X5499" s="1"/>
      <c r="Y5499" s="1"/>
      <c r="Z5499" s="1"/>
      <c r="AA5499" s="1"/>
      <c r="AB5499" s="1"/>
    </row>
    <row r="5500" ht="50.25" customHeight="1">
      <c r="A5500" s="12">
        <v>5496.0</v>
      </c>
      <c r="B5500" s="13" t="s">
        <v>5027</v>
      </c>
      <c r="C5500" s="18" t="s">
        <v>5520</v>
      </c>
      <c r="D5500" s="1"/>
      <c r="E5500" s="1"/>
      <c r="F5500" s="1" t="str">
        <f>IFERROR(__xludf.DUMMYFUNCTION("GOOGLETRANSLATE(B5500, ""en"", ""fa"")
"),"املاک و مستغلات برای حرفه ای ها")</f>
        <v>املاک و مستغلات برای حرفه ای ها</v>
      </c>
      <c r="G5500" s="1" t="str">
        <f>IFERROR(__xludf.DUMMYFUNCTION("GOOGLETRANSLATE(C5500, ""en"", ""fa"")
"),"مراحل اساسی در فرآیند توسعه، از مفهوم تا تکمیل، که توسعه دهندگان املاک و مستغلات باید دنبال کنند، چیست؟")</f>
        <v>مراحل اساسی در فرآیند توسعه، از مفهوم تا تکمیل، که توسعه دهندگان املاک و مستغلات باید دنبال کنند، چیست؟</v>
      </c>
      <c r="H5500" s="1"/>
      <c r="I5500" s="1"/>
      <c r="J5500" s="1"/>
      <c r="K5500" s="1"/>
      <c r="L5500" s="1"/>
      <c r="M5500" s="1"/>
      <c r="N5500" s="1"/>
      <c r="O5500" s="1"/>
      <c r="P5500" s="1"/>
      <c r="Q5500" s="1"/>
      <c r="R5500" s="1"/>
      <c r="S5500" s="1"/>
      <c r="T5500" s="1"/>
      <c r="U5500" s="1"/>
      <c r="V5500" s="1"/>
      <c r="W5500" s="1"/>
      <c r="X5500" s="1"/>
      <c r="Y5500" s="1"/>
      <c r="Z5500" s="1"/>
      <c r="AA5500" s="1"/>
      <c r="AB5500" s="1"/>
    </row>
    <row r="5501" ht="50.25" customHeight="1">
      <c r="A5501" s="12">
        <v>5497.0</v>
      </c>
      <c r="B5501" s="13" t="s">
        <v>5027</v>
      </c>
      <c r="C5501" s="18" t="s">
        <v>5521</v>
      </c>
      <c r="D5501" s="1"/>
      <c r="E5501" s="1"/>
      <c r="F5501" s="1" t="str">
        <f>IFERROR(__xludf.DUMMYFUNCTION("GOOGLETRANSLATE(B5501, ""en"", ""fa"")
"),"املاک و مستغلات برای حرفه ای ها")</f>
        <v>املاک و مستغلات برای حرفه ای ها</v>
      </c>
      <c r="G5501" s="1" t="str">
        <f>IFERROR(__xludf.DUMMYFUNCTION("GOOGLETRANSLATE(C5501, ""en"", ""fa"")
"),"توسعه دهندگان املاک و مستغلات چگونه می توانند خطرات و چالش های بالقوه مرتبط با توسعه مجدد برون فیلد یا پروژه های استفاده مجدد تطبیقی ​​را ارزیابی کنند؟")</f>
        <v>توسعه دهندگان املاک و مستغلات چگونه می توانند خطرات و چالش های بالقوه مرتبط با توسعه مجدد برون فیلد یا پروژه های استفاده مجدد تطبیقی ​​را ارزیابی کنند؟</v>
      </c>
      <c r="H5501" s="1"/>
      <c r="I5501" s="1"/>
      <c r="J5501" s="1"/>
      <c r="K5501" s="1"/>
      <c r="L5501" s="1"/>
      <c r="M5501" s="1"/>
      <c r="N5501" s="1"/>
      <c r="O5501" s="1"/>
      <c r="P5501" s="1"/>
      <c r="Q5501" s="1"/>
      <c r="R5501" s="1"/>
      <c r="S5501" s="1"/>
      <c r="T5501" s="1"/>
      <c r="U5501" s="1"/>
      <c r="V5501" s="1"/>
      <c r="W5501" s="1"/>
      <c r="X5501" s="1"/>
      <c r="Y5501" s="1"/>
      <c r="Z5501" s="1"/>
      <c r="AA5501" s="1"/>
      <c r="AB5501" s="1"/>
    </row>
    <row r="5502" ht="50.25" customHeight="1">
      <c r="A5502" s="12">
        <v>5498.0</v>
      </c>
      <c r="B5502" s="13" t="s">
        <v>5027</v>
      </c>
      <c r="C5502" s="18" t="s">
        <v>5522</v>
      </c>
      <c r="D5502" s="1"/>
      <c r="E5502" s="1"/>
      <c r="F5502" s="1" t="str">
        <f>IFERROR(__xludf.DUMMYFUNCTION("GOOGLETRANSLATE(B5502, ""en"", ""fa"")
"),"املاک و مستغلات برای حرفه ای ها")</f>
        <v>املاک و مستغلات برای حرفه ای ها</v>
      </c>
      <c r="G5502" s="1" t="str">
        <f>IFERROR(__xludf.DUMMYFUNCTION("GOOGLETRANSLATE(C5502, ""en"", ""fa"")
"),"توسعه دهندگان املاک و مستغلات از چه تکنیک هایی می توانند برای شناسایی و ایمن سازی گزینه های تامین مالی برای پروژه های توسعه استفاده کنند؟")</f>
        <v>توسعه دهندگان املاک و مستغلات از چه تکنیک هایی می توانند برای شناسایی و ایمن سازی گزینه های تامین مالی برای پروژه های توسعه استفاده کنند؟</v>
      </c>
      <c r="H5502" s="1"/>
      <c r="I5502" s="1"/>
      <c r="J5502" s="1"/>
      <c r="K5502" s="1"/>
      <c r="L5502" s="1"/>
      <c r="M5502" s="1"/>
      <c r="N5502" s="1"/>
      <c r="O5502" s="1"/>
      <c r="P5502" s="1"/>
      <c r="Q5502" s="1"/>
      <c r="R5502" s="1"/>
      <c r="S5502" s="1"/>
      <c r="T5502" s="1"/>
      <c r="U5502" s="1"/>
      <c r="V5502" s="1"/>
      <c r="W5502" s="1"/>
      <c r="X5502" s="1"/>
      <c r="Y5502" s="1"/>
      <c r="Z5502" s="1"/>
      <c r="AA5502" s="1"/>
      <c r="AB5502" s="1"/>
    </row>
    <row r="5503" ht="50.25" customHeight="1">
      <c r="A5503" s="12">
        <v>5499.0</v>
      </c>
      <c r="B5503" s="13" t="s">
        <v>5027</v>
      </c>
      <c r="C5503" s="18" t="s">
        <v>5523</v>
      </c>
      <c r="D5503" s="1"/>
      <c r="E5503" s="1"/>
      <c r="F5503" s="1" t="str">
        <f>IFERROR(__xludf.DUMMYFUNCTION("GOOGLETRANSLATE(B5503, ""en"", ""fa"")
"),"املاک و مستغلات برای حرفه ای ها")</f>
        <v>املاک و مستغلات برای حرفه ای ها</v>
      </c>
      <c r="G5503" s="1" t="str">
        <f>IFERROR(__xludf.DUMMYFUNCTION("GOOGLETRANSLATE(C5503, ""en"", ""fa"")
"),"چگونه توسعه دهندگان املاک و مستغلات می توانند به طور موثر جدول زمانی پروژه، بودجه و منابع را در طول فرآیند توسعه مدیریت کنند؟")</f>
        <v>چگونه توسعه دهندگان املاک و مستغلات می توانند به طور موثر جدول زمانی پروژه، بودجه و منابع را در طول فرآیند توسعه مدیریت کنند؟</v>
      </c>
      <c r="H5503" s="1"/>
      <c r="I5503" s="1"/>
      <c r="J5503" s="1"/>
      <c r="K5503" s="1"/>
      <c r="L5503" s="1"/>
      <c r="M5503" s="1"/>
      <c r="N5503" s="1"/>
      <c r="O5503" s="1"/>
      <c r="P5503" s="1"/>
      <c r="Q5503" s="1"/>
      <c r="R5503" s="1"/>
      <c r="S5503" s="1"/>
      <c r="T5503" s="1"/>
      <c r="U5503" s="1"/>
      <c r="V5503" s="1"/>
      <c r="W5503" s="1"/>
      <c r="X5503" s="1"/>
      <c r="Y5503" s="1"/>
      <c r="Z5503" s="1"/>
      <c r="AA5503" s="1"/>
      <c r="AB5503" s="1"/>
    </row>
    <row r="5504" ht="50.25" customHeight="1">
      <c r="A5504" s="12">
        <v>5500.0</v>
      </c>
      <c r="B5504" s="13" t="s">
        <v>5027</v>
      </c>
      <c r="C5504" s="18" t="s">
        <v>5524</v>
      </c>
      <c r="D5504" s="1"/>
      <c r="E5504" s="1"/>
      <c r="F5504" s="1" t="str">
        <f>IFERROR(__xludf.DUMMYFUNCTION("GOOGLETRANSLATE(B5504, ""en"", ""fa"")
"),"املاک و مستغلات برای حرفه ای ها")</f>
        <v>املاک و مستغلات برای حرفه ای ها</v>
      </c>
      <c r="G5504" s="1" t="str">
        <f>IFERROR(__xludf.DUMMYFUNCTION("GOOGLETRANSLATE(C5504, ""en"", ""fa"")
"),"توسعه دهندگان املاک و مستغلات چه استراتژی هایی را می توانند برای گنجاندن شیوه های پایدار و سازگار با محیط زیست در پروژه های توسعه خود به کار گیرند؟")</f>
        <v>توسعه دهندگان املاک و مستغلات چه استراتژی هایی را می توانند برای گنجاندن شیوه های پایدار و سازگار با محیط زیست در پروژه های توسعه خود به کار گیرند؟</v>
      </c>
      <c r="H5504" s="1"/>
      <c r="I5504" s="1"/>
      <c r="J5504" s="1"/>
      <c r="K5504" s="1"/>
      <c r="L5504" s="1"/>
      <c r="M5504" s="1"/>
      <c r="N5504" s="1"/>
      <c r="O5504" s="1"/>
      <c r="P5504" s="1"/>
      <c r="Q5504" s="1"/>
      <c r="R5504" s="1"/>
      <c r="S5504" s="1"/>
      <c r="T5504" s="1"/>
      <c r="U5504" s="1"/>
      <c r="V5504" s="1"/>
      <c r="W5504" s="1"/>
      <c r="X5504" s="1"/>
      <c r="Y5504" s="1"/>
      <c r="Z5504" s="1"/>
      <c r="AA5504" s="1"/>
      <c r="AB5504" s="1"/>
    </row>
    <row r="5505" ht="50.25" customHeight="1">
      <c r="A5505" s="12">
        <v>5501.0</v>
      </c>
      <c r="B5505" s="13" t="s">
        <v>5027</v>
      </c>
      <c r="C5505" s="18" t="s">
        <v>5525</v>
      </c>
      <c r="D5505" s="1"/>
      <c r="E5505" s="1"/>
      <c r="F5505" s="1" t="str">
        <f>IFERROR(__xludf.DUMMYFUNCTION("GOOGLETRANSLATE(B5505, ""en"", ""fa"")
"),"املاک و مستغلات برای حرفه ای ها")</f>
        <v>املاک و مستغلات برای حرفه ای ها</v>
      </c>
      <c r="G5505" s="1" t="str">
        <f>IFERROR(__xludf.DUMMYFUNCTION("GOOGLETRANSLATE(C5505, ""en"", ""fa"")
"),"توسعه دهندگان املاک و مستغلات چگونه می توانند تأثیر بالقوه تغییر شرایط بازار، مانند پویایی عرضه و تقاضا را بر موفقیت یک پروژه توسعه ارزیابی کنند؟")</f>
        <v>توسعه دهندگان املاک و مستغلات چگونه می توانند تأثیر بالقوه تغییر شرایط بازار، مانند پویایی عرضه و تقاضا را بر موفقیت یک پروژه توسعه ارزیابی کنند؟</v>
      </c>
      <c r="H5505" s="1"/>
      <c r="I5505" s="1"/>
      <c r="J5505" s="1"/>
      <c r="K5505" s="1"/>
      <c r="L5505" s="1"/>
      <c r="M5505" s="1"/>
      <c r="N5505" s="1"/>
      <c r="O5505" s="1"/>
      <c r="P5505" s="1"/>
      <c r="Q5505" s="1"/>
      <c r="R5505" s="1"/>
      <c r="S5505" s="1"/>
      <c r="T5505" s="1"/>
      <c r="U5505" s="1"/>
      <c r="V5505" s="1"/>
      <c r="W5505" s="1"/>
      <c r="X5505" s="1"/>
      <c r="Y5505" s="1"/>
      <c r="Z5505" s="1"/>
      <c r="AA5505" s="1"/>
      <c r="AB5505" s="1"/>
    </row>
    <row r="5506" ht="50.25" customHeight="1">
      <c r="A5506" s="12">
        <v>5502.0</v>
      </c>
      <c r="B5506" s="13" t="s">
        <v>5027</v>
      </c>
      <c r="C5506" s="18" t="s">
        <v>5526</v>
      </c>
      <c r="D5506" s="1"/>
      <c r="E5506" s="1"/>
      <c r="F5506" s="1" t="str">
        <f>IFERROR(__xludf.DUMMYFUNCTION("GOOGLETRANSLATE(B5506, ""en"", ""fa"")
"),"املاک و مستغلات برای حرفه ای ها")</f>
        <v>املاک و مستغلات برای حرفه ای ها</v>
      </c>
      <c r="G5506" s="1" t="str">
        <f>IFERROR(__xludf.DUMMYFUNCTION("GOOGLETRANSLATE(C5506, ""en"", ""fa"")
"),"ملاحظات کلیدی برای انجام یک تحلیل کامل هزینه و فایده پروژه توسعه املاک و مستغلات چیست؟")</f>
        <v>ملاحظات کلیدی برای انجام یک تحلیل کامل هزینه و فایده پروژه توسعه املاک و مستغلات چیست؟</v>
      </c>
      <c r="H5506" s="1"/>
      <c r="I5506" s="1"/>
      <c r="J5506" s="1"/>
      <c r="K5506" s="1"/>
      <c r="L5506" s="1"/>
      <c r="M5506" s="1"/>
      <c r="N5506" s="1"/>
      <c r="O5506" s="1"/>
      <c r="P5506" s="1"/>
      <c r="Q5506" s="1"/>
      <c r="R5506" s="1"/>
      <c r="S5506" s="1"/>
      <c r="T5506" s="1"/>
      <c r="U5506" s="1"/>
      <c r="V5506" s="1"/>
      <c r="W5506" s="1"/>
      <c r="X5506" s="1"/>
      <c r="Y5506" s="1"/>
      <c r="Z5506" s="1"/>
      <c r="AA5506" s="1"/>
      <c r="AB5506" s="1"/>
    </row>
    <row r="5507" ht="50.25" customHeight="1">
      <c r="A5507" s="12">
        <v>5503.0</v>
      </c>
      <c r="B5507" s="13" t="s">
        <v>5027</v>
      </c>
      <c r="C5507" s="18" t="s">
        <v>5527</v>
      </c>
      <c r="D5507" s="1"/>
      <c r="E5507" s="1"/>
      <c r="F5507" s="1" t="str">
        <f>IFERROR(__xludf.DUMMYFUNCTION("GOOGLETRANSLATE(B5507, ""en"", ""fa"")
"),"املاک و مستغلات برای حرفه ای ها")</f>
        <v>املاک و مستغلات برای حرفه ای ها</v>
      </c>
      <c r="G5507" s="1" t="str">
        <f>IFERROR(__xludf.DUMMYFUNCTION("GOOGLETRANSLATE(C5507, ""en"", ""fa"")
"),"چگونه توسعه دهندگان املاک و مستغلات می توانند از فناوری و تجزیه و تحلیل داده ها برای ساده سازی و بهینه سازی فرآیند توسعه استفاده کنند؟")</f>
        <v>چگونه توسعه دهندگان املاک و مستغلات می توانند از فناوری و تجزیه و تحلیل داده ها برای ساده سازی و بهینه سازی فرآیند توسعه استفاده کنند؟</v>
      </c>
      <c r="H5507" s="1"/>
      <c r="I5507" s="1"/>
      <c r="J5507" s="1"/>
      <c r="K5507" s="1"/>
      <c r="L5507" s="1"/>
      <c r="M5507" s="1"/>
      <c r="N5507" s="1"/>
      <c r="O5507" s="1"/>
      <c r="P5507" s="1"/>
      <c r="Q5507" s="1"/>
      <c r="R5507" s="1"/>
      <c r="S5507" s="1"/>
      <c r="T5507" s="1"/>
      <c r="U5507" s="1"/>
      <c r="V5507" s="1"/>
      <c r="W5507" s="1"/>
      <c r="X5507" s="1"/>
      <c r="Y5507" s="1"/>
      <c r="Z5507" s="1"/>
      <c r="AA5507" s="1"/>
      <c r="AB5507" s="1"/>
    </row>
    <row r="5508" ht="50.25" customHeight="1">
      <c r="A5508" s="12">
        <v>5504.0</v>
      </c>
      <c r="B5508" s="13" t="s">
        <v>5027</v>
      </c>
      <c r="C5508" s="18" t="s">
        <v>5528</v>
      </c>
      <c r="D5508" s="1"/>
      <c r="E5508" s="1"/>
      <c r="F5508" s="1" t="str">
        <f>IFERROR(__xludf.DUMMYFUNCTION("GOOGLETRANSLATE(B5508, ""en"", ""fa"")
"),"املاک و مستغلات برای حرفه ای ها")</f>
        <v>املاک و مستغلات برای حرفه ای ها</v>
      </c>
      <c r="G5508" s="1" t="str">
        <f>IFERROR(__xludf.DUMMYFUNCTION("GOOGLETRANSLATE(C5508, ""en"", ""fa"")
"),"توسعه دهندگان املاک و مستغلات از چه تکنیک هایی می توانند برای همکاری با معماران، مهندسان و سایر متخصصان برای طراحی و اجرای پروژه های توسعه موفق استفاده کنند؟")</f>
        <v>توسعه دهندگان املاک و مستغلات از چه تکنیک هایی می توانند برای همکاری با معماران، مهندسان و سایر متخصصان برای طراحی و اجرای پروژه های توسعه موفق استفاده کنند؟</v>
      </c>
      <c r="H5508" s="1"/>
      <c r="I5508" s="1"/>
      <c r="J5508" s="1"/>
      <c r="K5508" s="1"/>
      <c r="L5508" s="1"/>
      <c r="M5508" s="1"/>
      <c r="N5508" s="1"/>
      <c r="O5508" s="1"/>
      <c r="P5508" s="1"/>
      <c r="Q5508" s="1"/>
      <c r="R5508" s="1"/>
      <c r="S5508" s="1"/>
      <c r="T5508" s="1"/>
      <c r="U5508" s="1"/>
      <c r="V5508" s="1"/>
      <c r="W5508" s="1"/>
      <c r="X5508" s="1"/>
      <c r="Y5508" s="1"/>
      <c r="Z5508" s="1"/>
      <c r="AA5508" s="1"/>
      <c r="AB5508" s="1"/>
    </row>
    <row r="5509" ht="50.25" customHeight="1">
      <c r="A5509" s="12">
        <v>5505.0</v>
      </c>
      <c r="B5509" s="13" t="s">
        <v>5027</v>
      </c>
      <c r="C5509" s="18" t="s">
        <v>5529</v>
      </c>
      <c r="D5509" s="1"/>
      <c r="E5509" s="1"/>
      <c r="F5509" s="1" t="str">
        <f>IFERROR(__xludf.DUMMYFUNCTION("GOOGLETRANSLATE(B5509, ""en"", ""fa"")
"),"املاک و مستغلات برای حرفه ای ها")</f>
        <v>املاک و مستغلات برای حرفه ای ها</v>
      </c>
      <c r="G5509" s="1" t="str">
        <f>IFERROR(__xludf.DUMMYFUNCTION("GOOGLETRANSLATE(C5509, ""en"", ""fa"")
"),"توسعه دهندگان املاک و مستغلات چگونه می توانند خطرات و فرصت های بالقوه مرتبط با پروژه های توسعه با کاربری مختلط را ارزیابی کنند؟")</f>
        <v>توسعه دهندگان املاک و مستغلات چگونه می توانند خطرات و فرصت های بالقوه مرتبط با پروژه های توسعه با کاربری مختلط را ارزیابی کنند؟</v>
      </c>
      <c r="H5509" s="1"/>
      <c r="I5509" s="1"/>
      <c r="J5509" s="1"/>
      <c r="K5509" s="1"/>
      <c r="L5509" s="1"/>
      <c r="M5509" s="1"/>
      <c r="N5509" s="1"/>
      <c r="O5509" s="1"/>
      <c r="P5509" s="1"/>
      <c r="Q5509" s="1"/>
      <c r="R5509" s="1"/>
      <c r="S5509" s="1"/>
      <c r="T5509" s="1"/>
      <c r="U5509" s="1"/>
      <c r="V5509" s="1"/>
      <c r="W5509" s="1"/>
      <c r="X5509" s="1"/>
      <c r="Y5509" s="1"/>
      <c r="Z5509" s="1"/>
      <c r="AA5509" s="1"/>
      <c r="AB5509" s="1"/>
    </row>
    <row r="5510" ht="50.25" customHeight="1">
      <c r="A5510" s="12">
        <v>5506.0</v>
      </c>
      <c r="B5510" s="13" t="s">
        <v>5027</v>
      </c>
      <c r="C5510" s="18" t="s">
        <v>5530</v>
      </c>
      <c r="D5510" s="1"/>
      <c r="E5510" s="1"/>
      <c r="F5510" s="1" t="str">
        <f>IFERROR(__xludf.DUMMYFUNCTION("GOOGLETRANSLATE(B5510, ""en"", ""fa"")
"),"املاک و مستغلات برای حرفه ای ها")</f>
        <v>املاک و مستغلات برای حرفه ای ها</v>
      </c>
      <c r="G5510" s="1" t="str">
        <f>IFERROR(__xludf.DUMMYFUNCTION("GOOGLETRANSLATE(C5510, ""en"", ""fa"")
"),"توسعه دهندگان املاک و مستغلات از چه استراتژی هایی می توانند برای جذب و مشارکت ذینفعان، از جمله سرمایه گذاران، شرکا و جوامع محلی در پروژه های توسعه خود استفاده کنند؟")</f>
        <v>توسعه دهندگان املاک و مستغلات از چه استراتژی هایی می توانند برای جذب و مشارکت ذینفعان، از جمله سرمایه گذاران، شرکا و جوامع محلی در پروژه های توسعه خود استفاده کنند؟</v>
      </c>
      <c r="H5510" s="1"/>
      <c r="I5510" s="1"/>
      <c r="J5510" s="1"/>
      <c r="K5510" s="1"/>
      <c r="L5510" s="1"/>
      <c r="M5510" s="1"/>
      <c r="N5510" s="1"/>
      <c r="O5510" s="1"/>
      <c r="P5510" s="1"/>
      <c r="Q5510" s="1"/>
      <c r="R5510" s="1"/>
      <c r="S5510" s="1"/>
      <c r="T5510" s="1"/>
      <c r="U5510" s="1"/>
      <c r="V5510" s="1"/>
      <c r="W5510" s="1"/>
      <c r="X5510" s="1"/>
      <c r="Y5510" s="1"/>
      <c r="Z5510" s="1"/>
      <c r="AA5510" s="1"/>
      <c r="AB5510" s="1"/>
    </row>
    <row r="5511" ht="50.25" customHeight="1">
      <c r="A5511" s="12">
        <v>5507.0</v>
      </c>
      <c r="B5511" s="13" t="s">
        <v>5027</v>
      </c>
      <c r="C5511" s="18" t="s">
        <v>5531</v>
      </c>
      <c r="D5511" s="1"/>
      <c r="E5511" s="1"/>
      <c r="F5511" s="1" t="str">
        <f>IFERROR(__xludf.DUMMYFUNCTION("GOOGLETRANSLATE(B5511, ""en"", ""fa"")
"),"املاک و مستغلات برای حرفه ای ها")</f>
        <v>املاک و مستغلات برای حرفه ای ها</v>
      </c>
      <c r="G5511" s="1" t="str">
        <f>IFERROR(__xludf.DUMMYFUNCTION("GOOGLETRANSLATE(C5511, ""en"", ""fa"")
"),"توسعه دهندگان املاک و مستغلات چگونه می توانند تأثیر بالقوه تغییر جمعیت شناسی و روندهای بازار را بر طراحی و عملکرد یک پروژه توسعه ارزیابی کنند؟")</f>
        <v>توسعه دهندگان املاک و مستغلات چگونه می توانند تأثیر بالقوه تغییر جمعیت شناسی و روندهای بازار را بر طراحی و عملکرد یک پروژه توسعه ارزیابی کنند؟</v>
      </c>
      <c r="H5511" s="1"/>
      <c r="I5511" s="1"/>
      <c r="J5511" s="1"/>
      <c r="K5511" s="1"/>
      <c r="L5511" s="1"/>
      <c r="M5511" s="1"/>
      <c r="N5511" s="1"/>
      <c r="O5511" s="1"/>
      <c r="P5511" s="1"/>
      <c r="Q5511" s="1"/>
      <c r="R5511" s="1"/>
      <c r="S5511" s="1"/>
      <c r="T5511" s="1"/>
      <c r="U5511" s="1"/>
      <c r="V5511" s="1"/>
      <c r="W5511" s="1"/>
      <c r="X5511" s="1"/>
      <c r="Y5511" s="1"/>
      <c r="Z5511" s="1"/>
      <c r="AA5511" s="1"/>
      <c r="AB5511" s="1"/>
    </row>
    <row r="5512" ht="50.25" customHeight="1">
      <c r="A5512" s="12">
        <v>5508.0</v>
      </c>
      <c r="B5512" s="13" t="s">
        <v>5027</v>
      </c>
      <c r="C5512" s="18" t="s">
        <v>5532</v>
      </c>
      <c r="D5512" s="1"/>
      <c r="E5512" s="1"/>
      <c r="F5512" s="1" t="str">
        <f>IFERROR(__xludf.DUMMYFUNCTION("GOOGLETRANSLATE(B5512, ""en"", ""fa"")
"),"املاک و مستغلات برای حرفه ای ها")</f>
        <v>املاک و مستغلات برای حرفه ای ها</v>
      </c>
      <c r="G5512" s="1" t="str">
        <f>IFERROR(__xludf.DUMMYFUNCTION("GOOGLETRANSLATE(C5512, ""en"", ""fa"")
"),"ملاحظات کلیدی برای انجام یک مطالعه امکان سنجی جامع، از جمله تجزیه و تحلیل بازار، پیش بینی های مالی، و ارزیابی ریسک، برای یک پروژه توسعه املاک و مستغلات چیست؟")</f>
        <v>ملاحظات کلیدی برای انجام یک مطالعه امکان سنجی جامع، از جمله تجزیه و تحلیل بازار، پیش بینی های مالی، و ارزیابی ریسک، برای یک پروژه توسعه املاک و مستغلات چیست؟</v>
      </c>
      <c r="H5512" s="1"/>
      <c r="I5512" s="1"/>
      <c r="J5512" s="1"/>
      <c r="K5512" s="1"/>
      <c r="L5512" s="1"/>
      <c r="M5512" s="1"/>
      <c r="N5512" s="1"/>
      <c r="O5512" s="1"/>
      <c r="P5512" s="1"/>
      <c r="Q5512" s="1"/>
      <c r="R5512" s="1"/>
      <c r="S5512" s="1"/>
      <c r="T5512" s="1"/>
      <c r="U5512" s="1"/>
      <c r="V5512" s="1"/>
      <c r="W5512" s="1"/>
      <c r="X5512" s="1"/>
      <c r="Y5512" s="1"/>
      <c r="Z5512" s="1"/>
      <c r="AA5512" s="1"/>
      <c r="AB5512" s="1"/>
    </row>
    <row r="5513" ht="50.25" customHeight="1">
      <c r="A5513" s="12">
        <v>5509.0</v>
      </c>
      <c r="B5513" s="13" t="s">
        <v>5027</v>
      </c>
      <c r="C5513" s="18" t="s">
        <v>5533</v>
      </c>
      <c r="D5513" s="1"/>
      <c r="E5513" s="1"/>
      <c r="F5513" s="1" t="str">
        <f>IFERROR(__xludf.DUMMYFUNCTION("GOOGLETRANSLATE(B5513, ""en"", ""fa"")
"),"املاک و مستغلات برای حرفه ای ها")</f>
        <v>املاک و مستغلات برای حرفه ای ها</v>
      </c>
      <c r="G5513" s="1" t="str">
        <f>IFERROR(__xludf.DUMMYFUNCTION("GOOGLETRANSLATE(C5513, ""en"", ""fa"")
"),"چگونه توسعه دهندگان املاک و مستغلات می توانند به طور موثر مقررات منطقه بندی، محدودیت های کاربری زمین و سایر ملاحظات قانونی را در فرآیند توسعه دنبال کنند؟")</f>
        <v>چگونه توسعه دهندگان املاک و مستغلات می توانند به طور موثر مقررات منطقه بندی، محدودیت های کاربری زمین و سایر ملاحظات قانونی را در فرآیند توسعه دنبال کنند؟</v>
      </c>
      <c r="H5513" s="1"/>
      <c r="I5513" s="1"/>
      <c r="J5513" s="1"/>
      <c r="K5513" s="1"/>
      <c r="L5513" s="1"/>
      <c r="M5513" s="1"/>
      <c r="N5513" s="1"/>
      <c r="O5513" s="1"/>
      <c r="P5513" s="1"/>
      <c r="Q5513" s="1"/>
      <c r="R5513" s="1"/>
      <c r="S5513" s="1"/>
      <c r="T5513" s="1"/>
      <c r="U5513" s="1"/>
      <c r="V5513" s="1"/>
      <c r="W5513" s="1"/>
      <c r="X5513" s="1"/>
      <c r="Y5513" s="1"/>
      <c r="Z5513" s="1"/>
      <c r="AA5513" s="1"/>
      <c r="AB5513" s="1"/>
    </row>
    <row r="5514" ht="50.25" customHeight="1">
      <c r="A5514" s="12">
        <v>5510.0</v>
      </c>
      <c r="B5514" s="13" t="s">
        <v>5027</v>
      </c>
      <c r="C5514" s="18" t="s">
        <v>5534</v>
      </c>
      <c r="D5514" s="1"/>
      <c r="E5514" s="1"/>
      <c r="F5514" s="1" t="str">
        <f>IFERROR(__xludf.DUMMYFUNCTION("GOOGLETRANSLATE(B5514, ""en"", ""fa"")
"),"املاک و مستغلات برای حرفه ای ها")</f>
        <v>املاک و مستغلات برای حرفه ای ها</v>
      </c>
      <c r="G5514" s="1" t="str">
        <f>IFERROR(__xludf.DUMMYFUNCTION("GOOGLETRANSLATE(C5514, ""en"", ""fa"")
"),"توسعه دهندگان املاک و مستغلات از چه تکنیک هایی می توانند برای گنجاندن فناوری های هوشمند و ویژگی های نوآورانه در پروژه های توسعه خود استفاده کنند؟")</f>
        <v>توسعه دهندگان املاک و مستغلات از چه تکنیک هایی می توانند برای گنجاندن فناوری های هوشمند و ویژگی های نوآورانه در پروژه های توسعه خود استفاده کنند؟</v>
      </c>
      <c r="H5514" s="1"/>
      <c r="I5514" s="1"/>
      <c r="J5514" s="1"/>
      <c r="K5514" s="1"/>
      <c r="L5514" s="1"/>
      <c r="M5514" s="1"/>
      <c r="N5514" s="1"/>
      <c r="O5514" s="1"/>
      <c r="P5514" s="1"/>
      <c r="Q5514" s="1"/>
      <c r="R5514" s="1"/>
      <c r="S5514" s="1"/>
      <c r="T5514" s="1"/>
      <c r="U5514" s="1"/>
      <c r="V5514" s="1"/>
      <c r="W5514" s="1"/>
      <c r="X5514" s="1"/>
      <c r="Y5514" s="1"/>
      <c r="Z5514" s="1"/>
      <c r="AA5514" s="1"/>
      <c r="AB5514" s="1"/>
    </row>
    <row r="5515" ht="50.25" customHeight="1">
      <c r="A5515" s="12">
        <v>5511.0</v>
      </c>
      <c r="B5515" s="13" t="s">
        <v>5027</v>
      </c>
      <c r="C5515" s="18" t="s">
        <v>5535</v>
      </c>
      <c r="D5515" s="1"/>
      <c r="E5515" s="1"/>
      <c r="F5515" s="1" t="str">
        <f>IFERROR(__xludf.DUMMYFUNCTION("GOOGLETRANSLATE(B5515, ""en"", ""fa"")
"),"املاک و مستغلات برای حرفه ای ها")</f>
        <v>املاک و مستغلات برای حرفه ای ها</v>
      </c>
      <c r="G5515" s="1" t="str">
        <f>IFERROR(__xludf.DUMMYFUNCTION("GOOGLETRANSLATE(C5515, ""en"", ""fa"")
"),"توسعه دهندگان املاک و مستغلات چگونه می توانند خطرات و چالش های بالقوه مرتبط با پروژه های توسعه ای در مقیاس بزرگ را ارزیابی کنند؟")</f>
        <v>توسعه دهندگان املاک و مستغلات چگونه می توانند خطرات و چالش های بالقوه مرتبط با پروژه های توسعه ای در مقیاس بزرگ را ارزیابی کنند؟</v>
      </c>
      <c r="H5515" s="1"/>
      <c r="I5515" s="1"/>
      <c r="J5515" s="1"/>
      <c r="K5515" s="1"/>
      <c r="L5515" s="1"/>
      <c r="M5515" s="1"/>
      <c r="N5515" s="1"/>
      <c r="O5515" s="1"/>
      <c r="P5515" s="1"/>
      <c r="Q5515" s="1"/>
      <c r="R5515" s="1"/>
      <c r="S5515" s="1"/>
      <c r="T5515" s="1"/>
      <c r="U5515" s="1"/>
      <c r="V5515" s="1"/>
      <c r="W5515" s="1"/>
      <c r="X5515" s="1"/>
      <c r="Y5515" s="1"/>
      <c r="Z5515" s="1"/>
      <c r="AA5515" s="1"/>
      <c r="AB5515" s="1"/>
    </row>
    <row r="5516" ht="50.25" customHeight="1">
      <c r="A5516" s="12">
        <v>5512.0</v>
      </c>
      <c r="B5516" s="13" t="s">
        <v>5027</v>
      </c>
      <c r="C5516" s="18" t="s">
        <v>5536</v>
      </c>
      <c r="D5516" s="1"/>
      <c r="E5516" s="1"/>
      <c r="F5516" s="1" t="str">
        <f>IFERROR(__xludf.DUMMYFUNCTION("GOOGLETRANSLATE(B5516, ""en"", ""fa"")
"),"املاک و مستغلات برای حرفه ای ها")</f>
        <v>املاک و مستغلات برای حرفه ای ها</v>
      </c>
      <c r="G5516" s="1" t="str">
        <f>IFERROR(__xludf.DUMMYFUNCTION("GOOGLETRANSLATE(C5516, ""en"", ""fa"")
"),"توسعه دهندگان املاک و مستغلات از چه استراتژی هایی می توانند برای اطلاع رسانی به جامعه و جلب حمایت عمومی برای پروژه های توسعه خود استفاده کنند؟")</f>
        <v>توسعه دهندگان املاک و مستغلات از چه استراتژی هایی می توانند برای اطلاع رسانی به جامعه و جلب حمایت عمومی برای پروژه های توسعه خود استفاده کنند؟</v>
      </c>
      <c r="H5516" s="1"/>
      <c r="I5516" s="1"/>
      <c r="J5516" s="1"/>
      <c r="K5516" s="1"/>
      <c r="L5516" s="1"/>
      <c r="M5516" s="1"/>
      <c r="N5516" s="1"/>
      <c r="O5516" s="1"/>
      <c r="P5516" s="1"/>
      <c r="Q5516" s="1"/>
      <c r="R5516" s="1"/>
      <c r="S5516" s="1"/>
      <c r="T5516" s="1"/>
      <c r="U5516" s="1"/>
      <c r="V5516" s="1"/>
      <c r="W5516" s="1"/>
      <c r="X5516" s="1"/>
      <c r="Y5516" s="1"/>
      <c r="Z5516" s="1"/>
      <c r="AA5516" s="1"/>
      <c r="AB5516" s="1"/>
    </row>
    <row r="5517" ht="50.25" customHeight="1">
      <c r="A5517" s="12">
        <v>5513.0</v>
      </c>
      <c r="B5517" s="13" t="s">
        <v>5027</v>
      </c>
      <c r="C5517" s="18" t="s">
        <v>5537</v>
      </c>
      <c r="D5517" s="1"/>
      <c r="E5517" s="1"/>
      <c r="F5517" s="1" t="str">
        <f>IFERROR(__xludf.DUMMYFUNCTION("GOOGLETRANSLATE(B5517, ""en"", ""fa"")
"),"املاک و مستغلات برای حرفه ای ها")</f>
        <v>املاک و مستغلات برای حرفه ای ها</v>
      </c>
      <c r="G5517" s="1" t="str">
        <f>IFERROR(__xludf.DUMMYFUNCTION("GOOGLETRANSLATE(C5517, ""en"", ""fa"")
"),"توسعه‌دهندگان املاک و مستغلات چگونه می‌توانند تأثیر بالقوه توسعه‌های زیرساختی، مانند ارتقاء حمل‌ونقل یا گسترش خدمات شهری، را بر ارزش و دوام یک پروژه توسعه ارزیابی کنند؟")</f>
        <v>توسعه‌دهندگان املاک و مستغلات چگونه می‌توانند تأثیر بالقوه توسعه‌های زیرساختی، مانند ارتقاء حمل‌ونقل یا گسترش خدمات شهری، را بر ارزش و دوام یک پروژه توسعه ارزیابی کنند؟</v>
      </c>
      <c r="H5517" s="1"/>
      <c r="I5517" s="1"/>
      <c r="J5517" s="1"/>
      <c r="K5517" s="1"/>
      <c r="L5517" s="1"/>
      <c r="M5517" s="1"/>
      <c r="N5517" s="1"/>
      <c r="O5517" s="1"/>
      <c r="P5517" s="1"/>
      <c r="Q5517" s="1"/>
      <c r="R5517" s="1"/>
      <c r="S5517" s="1"/>
      <c r="T5517" s="1"/>
      <c r="U5517" s="1"/>
      <c r="V5517" s="1"/>
      <c r="W5517" s="1"/>
      <c r="X5517" s="1"/>
      <c r="Y5517" s="1"/>
      <c r="Z5517" s="1"/>
      <c r="AA5517" s="1"/>
      <c r="AB5517" s="1"/>
    </row>
    <row r="5518" ht="50.25" customHeight="1">
      <c r="A5518" s="12">
        <v>5514.0</v>
      </c>
      <c r="B5518" s="13" t="s">
        <v>5027</v>
      </c>
      <c r="C5518" s="18" t="s">
        <v>5538</v>
      </c>
      <c r="D5518" s="1"/>
      <c r="E5518" s="1"/>
      <c r="F5518" s="1" t="str">
        <f>IFERROR(__xludf.DUMMYFUNCTION("GOOGLETRANSLATE(B5518, ""en"", ""fa"")
"),"املاک و مستغلات برای حرفه ای ها")</f>
        <v>املاک و مستغلات برای حرفه ای ها</v>
      </c>
      <c r="G5518" s="1" t="str">
        <f>IFERROR(__xludf.DUMMYFUNCTION("GOOGLETRANSLATE(C5518, ""en"", ""fa"")
"),"ملاحظات کلیدی برای انجام یک تحلیل رقابتی کامل از پروژه های توسعه مشابه در منطقه چیست؟")</f>
        <v>ملاحظات کلیدی برای انجام یک تحلیل رقابتی کامل از پروژه های توسعه مشابه در منطقه چیست؟</v>
      </c>
      <c r="H5518" s="1"/>
      <c r="I5518" s="1"/>
      <c r="J5518" s="1"/>
      <c r="K5518" s="1"/>
      <c r="L5518" s="1"/>
      <c r="M5518" s="1"/>
      <c r="N5518" s="1"/>
      <c r="O5518" s="1"/>
      <c r="P5518" s="1"/>
      <c r="Q5518" s="1"/>
      <c r="R5518" s="1"/>
      <c r="S5518" s="1"/>
      <c r="T5518" s="1"/>
      <c r="U5518" s="1"/>
      <c r="V5518" s="1"/>
      <c r="W5518" s="1"/>
      <c r="X5518" s="1"/>
      <c r="Y5518" s="1"/>
      <c r="Z5518" s="1"/>
      <c r="AA5518" s="1"/>
      <c r="AB5518" s="1"/>
    </row>
    <row r="5519" ht="50.25" customHeight="1">
      <c r="A5519" s="12">
        <v>5515.0</v>
      </c>
      <c r="B5519" s="13" t="s">
        <v>5027</v>
      </c>
      <c r="C5519" s="18" t="s">
        <v>5539</v>
      </c>
      <c r="D5519" s="1"/>
      <c r="E5519" s="1"/>
      <c r="F5519" s="1" t="str">
        <f>IFERROR(__xludf.DUMMYFUNCTION("GOOGLETRANSLATE(B5519, ""en"", ""fa"")
"),"املاک و مستغلات برای حرفه ای ها")</f>
        <v>املاک و مستغلات برای حرفه ای ها</v>
      </c>
      <c r="G5519" s="1" t="str">
        <f>IFERROR(__xludf.DUMMYFUNCTION("GOOGLETRANSLATE(C5519, ""en"", ""fa"")
"),"چگونه توسعه دهندگان املاک و مستغلات می توانند از مشارکت و سرمایه گذاری مشترک با سایر متخصصان صنعت یا سازمان ها برای افزایش موفقیت یک پروژه توسعه استفاده کنند؟")</f>
        <v>چگونه توسعه دهندگان املاک و مستغلات می توانند از مشارکت و سرمایه گذاری مشترک با سایر متخصصان صنعت یا سازمان ها برای افزایش موفقیت یک پروژه توسعه استفاده کنند؟</v>
      </c>
      <c r="H5519" s="1"/>
      <c r="I5519" s="1"/>
      <c r="J5519" s="1"/>
      <c r="K5519" s="1"/>
      <c r="L5519" s="1"/>
      <c r="M5519" s="1"/>
      <c r="N5519" s="1"/>
      <c r="O5519" s="1"/>
      <c r="P5519" s="1"/>
      <c r="Q5519" s="1"/>
      <c r="R5519" s="1"/>
      <c r="S5519" s="1"/>
      <c r="T5519" s="1"/>
      <c r="U5519" s="1"/>
      <c r="V5519" s="1"/>
      <c r="W5519" s="1"/>
      <c r="X5519" s="1"/>
      <c r="Y5519" s="1"/>
      <c r="Z5519" s="1"/>
      <c r="AA5519" s="1"/>
      <c r="AB5519" s="1"/>
    </row>
    <row r="5520" ht="50.25" customHeight="1">
      <c r="A5520" s="12">
        <v>5516.0</v>
      </c>
      <c r="B5520" s="13" t="s">
        <v>5027</v>
      </c>
      <c r="C5520" s="18" t="s">
        <v>5540</v>
      </c>
      <c r="D5520" s="1"/>
      <c r="E5520" s="1"/>
      <c r="F5520" s="1" t="str">
        <f>IFERROR(__xludf.DUMMYFUNCTION("GOOGLETRANSLATE(B5520, ""en"", ""fa"")
"),"املاک و مستغلات برای حرفه ای ها")</f>
        <v>املاک و مستغلات برای حرفه ای ها</v>
      </c>
      <c r="G5520" s="1" t="str">
        <f>IFERROR(__xludf.DUMMYFUNCTION("GOOGLETRANSLATE(C5520, ""en"", ""fa"")
"),"توسعه دهندگان املاک و مستغلات از چه تکنیک هایی می توانند برای ایجاد تعادل بین امکان سنجی اقتصادی با پایداری اجتماعی و زیست محیطی در پروژه های توسعه خود استفاده کنند؟")</f>
        <v>توسعه دهندگان املاک و مستغلات از چه تکنیک هایی می توانند برای ایجاد تعادل بین امکان سنجی اقتصادی با پایداری اجتماعی و زیست محیطی در پروژه های توسعه خود استفاده کنند؟</v>
      </c>
      <c r="H5520" s="1"/>
      <c r="I5520" s="1"/>
      <c r="J5520" s="1"/>
      <c r="K5520" s="1"/>
      <c r="L5520" s="1"/>
      <c r="M5520" s="1"/>
      <c r="N5520" s="1"/>
      <c r="O5520" s="1"/>
      <c r="P5520" s="1"/>
      <c r="Q5520" s="1"/>
      <c r="R5520" s="1"/>
      <c r="S5520" s="1"/>
      <c r="T5520" s="1"/>
      <c r="U5520" s="1"/>
      <c r="V5520" s="1"/>
      <c r="W5520" s="1"/>
      <c r="X5520" s="1"/>
      <c r="Y5520" s="1"/>
      <c r="Z5520" s="1"/>
      <c r="AA5520" s="1"/>
      <c r="AB5520" s="1"/>
    </row>
    <row r="5521" ht="50.25" customHeight="1">
      <c r="A5521" s="12">
        <v>5517.0</v>
      </c>
      <c r="B5521" s="13" t="s">
        <v>5027</v>
      </c>
      <c r="C5521" s="18" t="s">
        <v>5541</v>
      </c>
      <c r="D5521" s="1"/>
      <c r="E5521" s="1"/>
      <c r="F5521" s="1" t="str">
        <f>IFERROR(__xludf.DUMMYFUNCTION("GOOGLETRANSLATE(B5521, ""en"", ""fa"")
"),"املاک و مستغلات برای حرفه ای ها")</f>
        <v>املاک و مستغلات برای حرفه ای ها</v>
      </c>
      <c r="G5521" s="1" t="str">
        <f>IFERROR(__xludf.DUMMYFUNCTION("GOOGLETRANSLATE(C5521, ""en"", ""fa"")
"),"توسعه دهندگان املاک و مستغلات چگونه می توانند خطرات و چالش های بالقوه مرتبط با توسعه املاک در بازارهای نوظهور یا با رشد بالا را ارزیابی کنند؟")</f>
        <v>توسعه دهندگان املاک و مستغلات چگونه می توانند خطرات و چالش های بالقوه مرتبط با توسعه املاک در بازارهای نوظهور یا با رشد بالا را ارزیابی کنند؟</v>
      </c>
      <c r="H5521" s="1"/>
      <c r="I5521" s="1"/>
      <c r="J5521" s="1"/>
      <c r="K5521" s="1"/>
      <c r="L5521" s="1"/>
      <c r="M5521" s="1"/>
      <c r="N5521" s="1"/>
      <c r="O5521" s="1"/>
      <c r="P5521" s="1"/>
      <c r="Q5521" s="1"/>
      <c r="R5521" s="1"/>
      <c r="S5521" s="1"/>
      <c r="T5521" s="1"/>
      <c r="U5521" s="1"/>
      <c r="V5521" s="1"/>
      <c r="W5521" s="1"/>
      <c r="X5521" s="1"/>
      <c r="Y5521" s="1"/>
      <c r="Z5521" s="1"/>
      <c r="AA5521" s="1"/>
      <c r="AB5521" s="1"/>
    </row>
    <row r="5522" ht="50.25" customHeight="1">
      <c r="A5522" s="12">
        <v>5518.0</v>
      </c>
      <c r="B5522" s="13" t="s">
        <v>5027</v>
      </c>
      <c r="C5522" s="18" t="s">
        <v>5542</v>
      </c>
      <c r="D5522" s="1"/>
      <c r="E5522" s="1"/>
      <c r="F5522" s="1" t="str">
        <f>IFERROR(__xludf.DUMMYFUNCTION("GOOGLETRANSLATE(B5522, ""en"", ""fa"")
"),"املاک و مستغلات برای حرفه ای ها")</f>
        <v>املاک و مستغلات برای حرفه ای ها</v>
      </c>
      <c r="G5522" s="1" t="str">
        <f>IFERROR(__xludf.DUMMYFUNCTION("GOOGLETRANSLATE(C5522, ""en"", ""fa"")
"),"توسعه دهندگان املاک و مستغلات چه استراتژی هایی می توانند برای کاهش خطرات و چالش های بالقوه مرتبط با تأخیر در ساخت و ساز، گرانی هزینه ها یا موانع پیش بینی نشده به کار گیرند؟")</f>
        <v>توسعه دهندگان املاک و مستغلات چه استراتژی هایی می توانند برای کاهش خطرات و چالش های بالقوه مرتبط با تأخیر در ساخت و ساز، گرانی هزینه ها یا موانع پیش بینی نشده به کار گیرند؟</v>
      </c>
      <c r="H5522" s="1"/>
      <c r="I5522" s="1"/>
      <c r="J5522" s="1"/>
      <c r="K5522" s="1"/>
      <c r="L5522" s="1"/>
      <c r="M5522" s="1"/>
      <c r="N5522" s="1"/>
      <c r="O5522" s="1"/>
      <c r="P5522" s="1"/>
      <c r="Q5522" s="1"/>
      <c r="R5522" s="1"/>
      <c r="S5522" s="1"/>
      <c r="T5522" s="1"/>
      <c r="U5522" s="1"/>
      <c r="V5522" s="1"/>
      <c r="W5522" s="1"/>
      <c r="X5522" s="1"/>
      <c r="Y5522" s="1"/>
      <c r="Z5522" s="1"/>
      <c r="AA5522" s="1"/>
      <c r="AB5522" s="1"/>
    </row>
    <row r="5523" ht="50.25" customHeight="1">
      <c r="A5523" s="12">
        <v>5519.0</v>
      </c>
      <c r="B5523" s="13" t="s">
        <v>5027</v>
      </c>
      <c r="C5523" s="18" t="s">
        <v>5543</v>
      </c>
      <c r="D5523" s="1"/>
      <c r="E5523" s="1"/>
      <c r="F5523" s="1" t="str">
        <f>IFERROR(__xludf.DUMMYFUNCTION("GOOGLETRANSLATE(B5523, ""en"", ""fa"")
"),"املاک و مستغلات برای حرفه ای ها")</f>
        <v>املاک و مستغلات برای حرفه ای ها</v>
      </c>
      <c r="G5523" s="1" t="str">
        <f>IFERROR(__xludf.DUMMYFUNCTION("GOOGLETRANSLATE(C5523, ""en"", ""fa"")
"),"چگونه توسعه دهندگان املاک و مستغلات می توانند به طور موثر نگرانی های جامعه مانند اعیانی سازی یا جابجایی را در طول فرآیند توسعه مدیریت و برطرف کنند؟")</f>
        <v>چگونه توسعه دهندگان املاک و مستغلات می توانند به طور موثر نگرانی های جامعه مانند اعیانی سازی یا جابجایی را در طول فرآیند توسعه مدیریت و برطرف کنند؟</v>
      </c>
      <c r="H5523" s="1"/>
      <c r="I5523" s="1"/>
      <c r="J5523" s="1"/>
      <c r="K5523" s="1"/>
      <c r="L5523" s="1"/>
      <c r="M5523" s="1"/>
      <c r="N5523" s="1"/>
      <c r="O5523" s="1"/>
      <c r="P5523" s="1"/>
      <c r="Q5523" s="1"/>
      <c r="R5523" s="1"/>
      <c r="S5523" s="1"/>
      <c r="T5523" s="1"/>
      <c r="U5523" s="1"/>
      <c r="V5523" s="1"/>
      <c r="W5523" s="1"/>
      <c r="X5523" s="1"/>
      <c r="Y5523" s="1"/>
      <c r="Z5523" s="1"/>
      <c r="AA5523" s="1"/>
      <c r="AB5523" s="1"/>
    </row>
    <row r="5524" ht="50.25" customHeight="1">
      <c r="A5524" s="12">
        <v>5520.0</v>
      </c>
      <c r="B5524" s="13" t="s">
        <v>5027</v>
      </c>
      <c r="C5524" s="18" t="s">
        <v>5544</v>
      </c>
      <c r="D5524" s="1"/>
      <c r="E5524" s="1"/>
      <c r="F5524" s="1" t="str">
        <f>IFERROR(__xludf.DUMMYFUNCTION("GOOGLETRANSLATE(B5524, ""en"", ""fa"")
"),"املاک و مستغلات برای حرفه ای ها")</f>
        <v>املاک و مستغلات برای حرفه ای ها</v>
      </c>
      <c r="G5524" s="1" t="str">
        <f>IFERROR(__xludf.DUMMYFUNCTION("GOOGLETRANSLATE(C5524, ""en"", ""fa"")
"),"ملاحظات کلیدی برای ترکیب اصول طراحی و زیبایی شناسی معماری که با بازار هدف و اهداف پروژه همسو هستند چیست؟")</f>
        <v>ملاحظات کلیدی برای ترکیب اصول طراحی و زیبایی شناسی معماری که با بازار هدف و اهداف پروژه همسو هستند چیست؟</v>
      </c>
      <c r="H5524" s="1"/>
      <c r="I5524" s="1"/>
      <c r="J5524" s="1"/>
      <c r="K5524" s="1"/>
      <c r="L5524" s="1"/>
      <c r="M5524" s="1"/>
      <c r="N5524" s="1"/>
      <c r="O5524" s="1"/>
      <c r="P5524" s="1"/>
      <c r="Q5524" s="1"/>
      <c r="R5524" s="1"/>
      <c r="S5524" s="1"/>
      <c r="T5524" s="1"/>
      <c r="U5524" s="1"/>
      <c r="V5524" s="1"/>
      <c r="W5524" s="1"/>
      <c r="X5524" s="1"/>
      <c r="Y5524" s="1"/>
      <c r="Z5524" s="1"/>
      <c r="AA5524" s="1"/>
      <c r="AB5524" s="1"/>
    </row>
    <row r="5525" ht="50.25" customHeight="1">
      <c r="A5525" s="12">
        <v>5521.0</v>
      </c>
      <c r="B5525" s="13" t="s">
        <v>5027</v>
      </c>
      <c r="C5525" s="18" t="s">
        <v>5545</v>
      </c>
      <c r="D5525" s="1"/>
      <c r="E5525" s="1"/>
      <c r="F5525" s="1" t="str">
        <f>IFERROR(__xludf.DUMMYFUNCTION("GOOGLETRANSLATE(B5525, ""en"", ""fa"")
"),"املاک و مستغلات برای حرفه ای ها")</f>
        <v>املاک و مستغلات برای حرفه ای ها</v>
      </c>
      <c r="G5525" s="1" t="str">
        <f>IFERROR(__xludf.DUMMYFUNCTION("GOOGLETRANSLATE(C5525, ""en"", ""fa"")
"),"توسعه دهندگان املاک و مستغلات چگونه می توانند تأثیر بالقوه تغییر روندهای فناوری مانند اتوماسیون یا واقعیت مجازی را بر طراحی و عملکرد یک پروژه توسعه ارزیابی کنند؟")</f>
        <v>توسعه دهندگان املاک و مستغلات چگونه می توانند تأثیر بالقوه تغییر روندهای فناوری مانند اتوماسیون یا واقعیت مجازی را بر طراحی و عملکرد یک پروژه توسعه ارزیابی کنند؟</v>
      </c>
      <c r="H5525" s="1"/>
      <c r="I5525" s="1"/>
      <c r="J5525" s="1"/>
      <c r="K5525" s="1"/>
      <c r="L5525" s="1"/>
      <c r="M5525" s="1"/>
      <c r="N5525" s="1"/>
      <c r="O5525" s="1"/>
      <c r="P5525" s="1"/>
      <c r="Q5525" s="1"/>
      <c r="R5525" s="1"/>
      <c r="S5525" s="1"/>
      <c r="T5525" s="1"/>
      <c r="U5525" s="1"/>
      <c r="V5525" s="1"/>
      <c r="W5525" s="1"/>
      <c r="X5525" s="1"/>
      <c r="Y5525" s="1"/>
      <c r="Z5525" s="1"/>
      <c r="AA5525" s="1"/>
      <c r="AB5525" s="1"/>
    </row>
    <row r="5526" ht="50.25" customHeight="1">
      <c r="A5526" s="12">
        <v>5522.0</v>
      </c>
      <c r="B5526" s="13" t="s">
        <v>5027</v>
      </c>
      <c r="C5526" s="18" t="s">
        <v>5546</v>
      </c>
      <c r="D5526" s="1"/>
      <c r="E5526" s="1"/>
      <c r="F5526" s="1" t="str">
        <f>IFERROR(__xludf.DUMMYFUNCTION("GOOGLETRANSLATE(B5526, ""en"", ""fa"")
"),"املاک و مستغلات برای حرفه ای ها")</f>
        <v>املاک و مستغلات برای حرفه ای ها</v>
      </c>
      <c r="G5526" s="1" t="str">
        <f>IFERROR(__xludf.DUMMYFUNCTION("GOOGLETRANSLATE(C5526, ""en"", ""fa"")
"),"توسعه دهندگان املاک و مستغلات از چه تکنیک هایی می توانند برای انجام تحلیل جامع تقاضای بازار و شناسایی جمعیت شناسی هدف برای یک پروژه توسعه استفاده کنند؟")</f>
        <v>توسعه دهندگان املاک و مستغلات از چه تکنیک هایی می توانند برای انجام تحلیل جامع تقاضای بازار و شناسایی جمعیت شناسی هدف برای یک پروژه توسعه استفاده کنند؟</v>
      </c>
      <c r="H5526" s="1"/>
      <c r="I5526" s="1"/>
      <c r="J5526" s="1"/>
      <c r="K5526" s="1"/>
      <c r="L5526" s="1"/>
      <c r="M5526" s="1"/>
      <c r="N5526" s="1"/>
      <c r="O5526" s="1"/>
      <c r="P5526" s="1"/>
      <c r="Q5526" s="1"/>
      <c r="R5526" s="1"/>
      <c r="S5526" s="1"/>
      <c r="T5526" s="1"/>
      <c r="U5526" s="1"/>
      <c r="V5526" s="1"/>
      <c r="W5526" s="1"/>
      <c r="X5526" s="1"/>
      <c r="Y5526" s="1"/>
      <c r="Z5526" s="1"/>
      <c r="AA5526" s="1"/>
      <c r="AB5526" s="1"/>
    </row>
    <row r="5527" ht="50.25" customHeight="1">
      <c r="A5527" s="12">
        <v>5523.0</v>
      </c>
      <c r="B5527" s="13" t="s">
        <v>5027</v>
      </c>
      <c r="C5527" s="18" t="s">
        <v>5547</v>
      </c>
      <c r="D5527" s="1"/>
      <c r="E5527" s="1"/>
      <c r="F5527" s="1" t="str">
        <f>IFERROR(__xludf.DUMMYFUNCTION("GOOGLETRANSLATE(B5527, ""en"", ""fa"")
"),"املاک و مستغلات برای حرفه ای ها")</f>
        <v>املاک و مستغلات برای حرفه ای ها</v>
      </c>
      <c r="G5527" s="1" t="str">
        <f>IFERROR(__xludf.DUMMYFUNCTION("GOOGLETRANSLATE(C5527, ""en"", ""fa"")
"),"چگونه توسعه دهندگان املاک و مستغلات می توانند از طراحی پایدار و شیوه های ساختمان سبز برای افزایش بازارپسندی و ارزش پروژه های توسعه خود استفاده کنند؟")</f>
        <v>چگونه توسعه دهندگان املاک و مستغلات می توانند از طراحی پایدار و شیوه های ساختمان سبز برای افزایش بازارپسندی و ارزش پروژه های توسعه خود استفاده کنند؟</v>
      </c>
      <c r="H5527" s="1"/>
      <c r="I5527" s="1"/>
      <c r="J5527" s="1"/>
      <c r="K5527" s="1"/>
      <c r="L5527" s="1"/>
      <c r="M5527" s="1"/>
      <c r="N5527" s="1"/>
      <c r="O5527" s="1"/>
      <c r="P5527" s="1"/>
      <c r="Q5527" s="1"/>
      <c r="R5527" s="1"/>
      <c r="S5527" s="1"/>
      <c r="T5527" s="1"/>
      <c r="U5527" s="1"/>
      <c r="V5527" s="1"/>
      <c r="W5527" s="1"/>
      <c r="X5527" s="1"/>
      <c r="Y5527" s="1"/>
      <c r="Z5527" s="1"/>
      <c r="AA5527" s="1"/>
      <c r="AB5527" s="1"/>
    </row>
    <row r="5528" ht="50.25" customHeight="1">
      <c r="A5528" s="12">
        <v>5524.0</v>
      </c>
      <c r="B5528" s="13" t="s">
        <v>5027</v>
      </c>
      <c r="C5528" s="18" t="s">
        <v>5548</v>
      </c>
      <c r="D5528" s="1"/>
      <c r="E5528" s="1"/>
      <c r="F5528" s="1" t="str">
        <f>IFERROR(__xludf.DUMMYFUNCTION("GOOGLETRANSLATE(B5528, ""en"", ""fa"")
"),"املاک و مستغلات برای حرفه ای ها")</f>
        <v>املاک و مستغلات برای حرفه ای ها</v>
      </c>
      <c r="G5528" s="1" t="str">
        <f>IFERROR(__xludf.DUMMYFUNCTION("GOOGLETRANSLATE(C5528, ""en"", ""fa"")
"),"توسعه دهندگان املاک و مستغلات از چه استراتژی هایی می توانند برای ایجاد و اجرای کمپین های بازاریابی و برندسازی موثر برای پروژه های توسعه خود استفاده کنند؟")</f>
        <v>توسعه دهندگان املاک و مستغلات از چه استراتژی هایی می توانند برای ایجاد و اجرای کمپین های بازاریابی و برندسازی موثر برای پروژه های توسعه خود استفاده کنند؟</v>
      </c>
      <c r="H5528" s="1"/>
      <c r="I5528" s="1"/>
      <c r="J5528" s="1"/>
      <c r="K5528" s="1"/>
      <c r="L5528" s="1"/>
      <c r="M5528" s="1"/>
      <c r="N5528" s="1"/>
      <c r="O5528" s="1"/>
      <c r="P5528" s="1"/>
      <c r="Q5528" s="1"/>
      <c r="R5528" s="1"/>
      <c r="S5528" s="1"/>
      <c r="T5528" s="1"/>
      <c r="U5528" s="1"/>
      <c r="V5528" s="1"/>
      <c r="W5528" s="1"/>
      <c r="X5528" s="1"/>
      <c r="Y5528" s="1"/>
      <c r="Z5528" s="1"/>
      <c r="AA5528" s="1"/>
      <c r="AB5528" s="1"/>
    </row>
    <row r="5529" ht="50.25" customHeight="1">
      <c r="A5529" s="12">
        <v>5525.0</v>
      </c>
      <c r="B5529" s="13" t="s">
        <v>5027</v>
      </c>
      <c r="C5529" s="18" t="s">
        <v>5549</v>
      </c>
      <c r="D5529" s="1"/>
      <c r="E5529" s="1"/>
      <c r="F5529" s="1" t="str">
        <f>IFERROR(__xludf.DUMMYFUNCTION("GOOGLETRANSLATE(B5529, ""en"", ""fa"")
"),"املاک و مستغلات برای حرفه ای ها")</f>
        <v>املاک و مستغلات برای حرفه ای ها</v>
      </c>
      <c r="G5529" s="1" t="str">
        <f>IFERROR(__xludf.DUMMYFUNCTION("GOOGLETRANSLATE(C5529, ""en"", ""fa"")
"),"توسعه دهندگان املاک و مستغلات چگونه می توانند خطرات و چالش های بالقوه مرتبط با توسعه املاک در مناطق تاریخی یا مکان های میراث را ارزیابی کنند؟")</f>
        <v>توسعه دهندگان املاک و مستغلات چگونه می توانند خطرات و چالش های بالقوه مرتبط با توسعه املاک در مناطق تاریخی یا مکان های میراث را ارزیابی کنند؟</v>
      </c>
      <c r="H5529" s="1"/>
      <c r="I5529" s="1"/>
      <c r="J5529" s="1"/>
      <c r="K5529" s="1"/>
      <c r="L5529" s="1"/>
      <c r="M5529" s="1"/>
      <c r="N5529" s="1"/>
      <c r="O5529" s="1"/>
      <c r="P5529" s="1"/>
      <c r="Q5529" s="1"/>
      <c r="R5529" s="1"/>
      <c r="S5529" s="1"/>
      <c r="T5529" s="1"/>
      <c r="U5529" s="1"/>
      <c r="V5529" s="1"/>
      <c r="W5529" s="1"/>
      <c r="X5529" s="1"/>
      <c r="Y5529" s="1"/>
      <c r="Z5529" s="1"/>
      <c r="AA5529" s="1"/>
      <c r="AB5529" s="1"/>
    </row>
    <row r="5530" ht="50.25" customHeight="1">
      <c r="A5530" s="12">
        <v>5526.0</v>
      </c>
      <c r="B5530" s="13" t="s">
        <v>5027</v>
      </c>
      <c r="C5530" s="18" t="s">
        <v>5550</v>
      </c>
      <c r="D5530" s="1"/>
      <c r="E5530" s="1"/>
      <c r="F5530" s="1" t="str">
        <f>IFERROR(__xludf.DUMMYFUNCTION("GOOGLETRANSLATE(B5530, ""en"", ""fa"")
"),"املاک و مستغلات برای حرفه ای ها")</f>
        <v>املاک و مستغلات برای حرفه ای ها</v>
      </c>
      <c r="G5530" s="1" t="str">
        <f>IFERROR(__xludf.DUMMYFUNCTION("GOOGLETRANSLATE(C5530, ""en"", ""fa"")
"),"ملاحظات کلیدی برای انتخاب و مدیریت پیمانکاران ساختمانی و پیمانکاران فرعی برای یک پروژه توسعه املاک و مستغلات چیست؟")</f>
        <v>ملاحظات کلیدی برای انتخاب و مدیریت پیمانکاران ساختمانی و پیمانکاران فرعی برای یک پروژه توسعه املاک و مستغلات چیست؟</v>
      </c>
      <c r="H5530" s="1"/>
      <c r="I5530" s="1"/>
      <c r="J5530" s="1"/>
      <c r="K5530" s="1"/>
      <c r="L5530" s="1"/>
      <c r="M5530" s="1"/>
      <c r="N5530" s="1"/>
      <c r="O5530" s="1"/>
      <c r="P5530" s="1"/>
      <c r="Q5530" s="1"/>
      <c r="R5530" s="1"/>
      <c r="S5530" s="1"/>
      <c r="T5530" s="1"/>
      <c r="U5530" s="1"/>
      <c r="V5530" s="1"/>
      <c r="W5530" s="1"/>
      <c r="X5530" s="1"/>
      <c r="Y5530" s="1"/>
      <c r="Z5530" s="1"/>
      <c r="AA5530" s="1"/>
      <c r="AB5530" s="1"/>
    </row>
    <row r="5531" ht="50.25" customHeight="1">
      <c r="A5531" s="12">
        <v>5527.0</v>
      </c>
      <c r="B5531" s="13" t="s">
        <v>5027</v>
      </c>
      <c r="C5531" s="18" t="s">
        <v>5551</v>
      </c>
      <c r="D5531" s="1"/>
      <c r="E5531" s="1"/>
      <c r="F5531" s="1" t="str">
        <f>IFERROR(__xludf.DUMMYFUNCTION("GOOGLETRANSLATE(B5531, ""en"", ""fa"")
"),"املاک و مستغلات برای حرفه ای ها")</f>
        <v>املاک و مستغلات برای حرفه ای ها</v>
      </c>
      <c r="G5531" s="1" t="str">
        <f>IFERROR(__xludf.DUMMYFUNCTION("GOOGLETRANSLATE(C5531, ""en"", ""fa"")
"),"چگونه توسعه دهندگان املاک و مستغلات می توانند به طور موثر با مقامات محلی، سازمان های دولتی و سهامداران جامعه در طول فرآیند توسعه ارتباط برقرار کرده و با آنها مذاکره کنند؟")</f>
        <v>چگونه توسعه دهندگان املاک و مستغلات می توانند به طور موثر با مقامات محلی، سازمان های دولتی و سهامداران جامعه در طول فرآیند توسعه ارتباط برقرار کرده و با آنها مذاکره کنند؟</v>
      </c>
      <c r="H5531" s="1"/>
      <c r="I5531" s="1"/>
      <c r="J5531" s="1"/>
      <c r="K5531" s="1"/>
      <c r="L5531" s="1"/>
      <c r="M5531" s="1"/>
      <c r="N5531" s="1"/>
      <c r="O5531" s="1"/>
      <c r="P5531" s="1"/>
      <c r="Q5531" s="1"/>
      <c r="R5531" s="1"/>
      <c r="S5531" s="1"/>
      <c r="T5531" s="1"/>
      <c r="U5531" s="1"/>
      <c r="V5531" s="1"/>
      <c r="W5531" s="1"/>
      <c r="X5531" s="1"/>
      <c r="Y5531" s="1"/>
      <c r="Z5531" s="1"/>
      <c r="AA5531" s="1"/>
      <c r="AB5531" s="1"/>
    </row>
    <row r="5532" ht="50.25" customHeight="1">
      <c r="A5532" s="12">
        <v>5528.0</v>
      </c>
      <c r="B5532" s="13" t="s">
        <v>5027</v>
      </c>
      <c r="C5532" s="18" t="s">
        <v>5552</v>
      </c>
      <c r="D5532" s="1"/>
      <c r="E5532" s="1"/>
      <c r="F5532" s="1" t="str">
        <f>IFERROR(__xludf.DUMMYFUNCTION("GOOGLETRANSLATE(B5532, ""en"", ""fa"")
"),"املاک و مستغلات برای حرفه ای ها")</f>
        <v>املاک و مستغلات برای حرفه ای ها</v>
      </c>
      <c r="G5532" s="1" t="str">
        <f>IFERROR(__xludf.DUMMYFUNCTION("GOOGLETRANSLATE(C5532, ""en"", ""fa"")
"),"توسعه دهندگان املاک و مستغلات از چه تکنیک هایی می توانند برای گنجاندن امکانات رفاهی و ویژگی های سبک زندگی که برای بازار هدف جذاب است در پروژه های توسعه خود استفاده کنند؟")</f>
        <v>توسعه دهندگان املاک و مستغلات از چه تکنیک هایی می توانند برای گنجاندن امکانات رفاهی و ویژگی های سبک زندگی که برای بازار هدف جذاب است در پروژه های توسعه خود استفاده کنند؟</v>
      </c>
      <c r="H5532" s="1"/>
      <c r="I5532" s="1"/>
      <c r="J5532" s="1"/>
      <c r="K5532" s="1"/>
      <c r="L5532" s="1"/>
      <c r="M5532" s="1"/>
      <c r="N5532" s="1"/>
      <c r="O5532" s="1"/>
      <c r="P5532" s="1"/>
      <c r="Q5532" s="1"/>
      <c r="R5532" s="1"/>
      <c r="S5532" s="1"/>
      <c r="T5532" s="1"/>
      <c r="U5532" s="1"/>
      <c r="V5532" s="1"/>
      <c r="W5532" s="1"/>
      <c r="X5532" s="1"/>
      <c r="Y5532" s="1"/>
      <c r="Z5532" s="1"/>
      <c r="AA5532" s="1"/>
      <c r="AB5532" s="1"/>
    </row>
    <row r="5533" ht="50.25" customHeight="1">
      <c r="A5533" s="12">
        <v>5529.0</v>
      </c>
      <c r="B5533" s="13" t="s">
        <v>5027</v>
      </c>
      <c r="C5533" s="18" t="s">
        <v>5553</v>
      </c>
      <c r="D5533" s="1"/>
      <c r="E5533" s="1"/>
      <c r="F5533" s="1" t="str">
        <f>IFERROR(__xludf.DUMMYFUNCTION("GOOGLETRANSLATE(B5533, ""en"", ""fa"")
"),"املاک و مستغلات برای حرفه ای ها")</f>
        <v>املاک و مستغلات برای حرفه ای ها</v>
      </c>
      <c r="G5533" s="1" t="str">
        <f>IFERROR(__xludf.DUMMYFUNCTION("GOOGLETRANSLATE(C5533, ""en"", ""fa"")
"),"توسعه‌دهندگان املاک و مستغلات چگونه می‌توانند تأثیر بالقوه عوامل اقتصادی، مانند نرخ بهره یا تورم را بر قابلیت مالی یک پروژه توسعه ارزیابی کنند؟")</f>
        <v>توسعه‌دهندگان املاک و مستغلات چگونه می‌توانند تأثیر بالقوه عوامل اقتصادی، مانند نرخ بهره یا تورم را بر قابلیت مالی یک پروژه توسعه ارزیابی کنند؟</v>
      </c>
      <c r="H5533" s="1"/>
      <c r="I5533" s="1"/>
      <c r="J5533" s="1"/>
      <c r="K5533" s="1"/>
      <c r="L5533" s="1"/>
      <c r="M5533" s="1"/>
      <c r="N5533" s="1"/>
      <c r="O5533" s="1"/>
      <c r="P5533" s="1"/>
      <c r="Q5533" s="1"/>
      <c r="R5533" s="1"/>
      <c r="S5533" s="1"/>
      <c r="T5533" s="1"/>
      <c r="U5533" s="1"/>
      <c r="V5533" s="1"/>
      <c r="W5533" s="1"/>
      <c r="X5533" s="1"/>
      <c r="Y5533" s="1"/>
      <c r="Z5533" s="1"/>
      <c r="AA5533" s="1"/>
      <c r="AB5533" s="1"/>
    </row>
    <row r="5534" ht="50.25" customHeight="1">
      <c r="A5534" s="12">
        <v>5530.0</v>
      </c>
      <c r="B5534" s="13" t="s">
        <v>5027</v>
      </c>
      <c r="C5534" s="18" t="s">
        <v>5554</v>
      </c>
      <c r="D5534" s="1"/>
      <c r="E5534" s="1"/>
      <c r="F5534" s="1" t="str">
        <f>IFERROR(__xludf.DUMMYFUNCTION("GOOGLETRANSLATE(B5534, ""en"", ""fa"")
"),"املاک و مستغلات برای حرفه ای ها")</f>
        <v>املاک و مستغلات برای حرفه ای ها</v>
      </c>
      <c r="G5534" s="1" t="str">
        <f>IFERROR(__xludf.DUMMYFUNCTION("GOOGLETRANSLATE(C5534, ""en"", ""fa"")
"),"توسعه دهندگان املاک و مستغلات چه استراتژی هایی می توانند برای انجام ارزیابی جامع ریسک و توسعه طرح های اضطراری برای پروژه های توسعه خود به کار گیرند؟")</f>
        <v>توسعه دهندگان املاک و مستغلات چه استراتژی هایی می توانند برای انجام ارزیابی جامع ریسک و توسعه طرح های اضطراری برای پروژه های توسعه خود به کار گیرند؟</v>
      </c>
      <c r="H5534" s="1"/>
      <c r="I5534" s="1"/>
      <c r="J5534" s="1"/>
      <c r="K5534" s="1"/>
      <c r="L5534" s="1"/>
      <c r="M5534" s="1"/>
      <c r="N5534" s="1"/>
      <c r="O5534" s="1"/>
      <c r="P5534" s="1"/>
      <c r="Q5534" s="1"/>
      <c r="R5534" s="1"/>
      <c r="S5534" s="1"/>
      <c r="T5534" s="1"/>
      <c r="U5534" s="1"/>
      <c r="V5534" s="1"/>
      <c r="W5534" s="1"/>
      <c r="X5534" s="1"/>
      <c r="Y5534" s="1"/>
      <c r="Z5534" s="1"/>
      <c r="AA5534" s="1"/>
      <c r="AB5534" s="1"/>
    </row>
    <row r="5535" ht="50.25" customHeight="1">
      <c r="A5535" s="12">
        <v>5531.0</v>
      </c>
      <c r="B5535" s="13" t="s">
        <v>5027</v>
      </c>
      <c r="C5535" s="18" t="s">
        <v>5555</v>
      </c>
      <c r="D5535" s="1"/>
      <c r="E5535" s="1"/>
      <c r="F5535" s="1" t="str">
        <f>IFERROR(__xludf.DUMMYFUNCTION("GOOGLETRANSLATE(B5535, ""en"", ""fa"")
"),"املاک و مستغلات برای حرفه ای ها")</f>
        <v>املاک و مستغلات برای حرفه ای ها</v>
      </c>
      <c r="G5535" s="1" t="str">
        <f>IFERROR(__xludf.DUMMYFUNCTION("GOOGLETRANSLATE(C5535, ""en"", ""fa"")
"),"توسعه دهندگان املاک و مستغلات چگونه می توانند از شراکت با مؤسسات آموزشی یا مراکز تحقیقاتی برای گنجاندن نوآوری و فناوری در پروژه های توسعه خود استفاده کنند؟")</f>
        <v>توسعه دهندگان املاک و مستغلات چگونه می توانند از شراکت با مؤسسات آموزشی یا مراکز تحقیقاتی برای گنجاندن نوآوری و فناوری در پروژه های توسعه خود استفاده کنند؟</v>
      </c>
      <c r="H5535" s="1"/>
      <c r="I5535" s="1"/>
      <c r="J5535" s="1"/>
      <c r="K5535" s="1"/>
      <c r="L5535" s="1"/>
      <c r="M5535" s="1"/>
      <c r="N5535" s="1"/>
      <c r="O5535" s="1"/>
      <c r="P5535" s="1"/>
      <c r="Q5535" s="1"/>
      <c r="R5535" s="1"/>
      <c r="S5535" s="1"/>
      <c r="T5535" s="1"/>
      <c r="U5535" s="1"/>
      <c r="V5535" s="1"/>
      <c r="W5535" s="1"/>
      <c r="X5535" s="1"/>
      <c r="Y5535" s="1"/>
      <c r="Z5535" s="1"/>
      <c r="AA5535" s="1"/>
      <c r="AB5535" s="1"/>
    </row>
    <row r="5536" ht="50.25" customHeight="1">
      <c r="A5536" s="12">
        <v>5532.0</v>
      </c>
      <c r="B5536" s="13" t="s">
        <v>5027</v>
      </c>
      <c r="C5536" s="18" t="s">
        <v>5556</v>
      </c>
      <c r="D5536" s="1"/>
      <c r="E5536" s="1"/>
      <c r="F5536" s="1" t="str">
        <f>IFERROR(__xludf.DUMMYFUNCTION("GOOGLETRANSLATE(B5536, ""en"", ""fa"")
"),"املاک و مستغلات برای حرفه ای ها")</f>
        <v>املاک و مستغلات برای حرفه ای ها</v>
      </c>
      <c r="G5536" s="1" t="str">
        <f>IFERROR(__xludf.DUMMYFUNCTION("GOOGLETRANSLATE(C5536, ""en"", ""fa"")
"),"ملاحظات کلیدی برای انجام یک تجزیه و تحلیل کامل سایت، از جمله ارزیابی های زیست محیطی و ارزیابی زیرساخت ها، برای یک پروژه توسعه املاک و مستغلات چیست؟")</f>
        <v>ملاحظات کلیدی برای انجام یک تجزیه و تحلیل کامل سایت، از جمله ارزیابی های زیست محیطی و ارزیابی زیرساخت ها، برای یک پروژه توسعه املاک و مستغلات چیست؟</v>
      </c>
      <c r="H5536" s="1"/>
      <c r="I5536" s="1"/>
      <c r="J5536" s="1"/>
      <c r="K5536" s="1"/>
      <c r="L5536" s="1"/>
      <c r="M5536" s="1"/>
      <c r="N5536" s="1"/>
      <c r="O5536" s="1"/>
      <c r="P5536" s="1"/>
      <c r="Q5536" s="1"/>
      <c r="R5536" s="1"/>
      <c r="S5536" s="1"/>
      <c r="T5536" s="1"/>
      <c r="U5536" s="1"/>
      <c r="V5536" s="1"/>
      <c r="W5536" s="1"/>
      <c r="X5536" s="1"/>
      <c r="Y5536" s="1"/>
      <c r="Z5536" s="1"/>
      <c r="AA5536" s="1"/>
      <c r="AB5536" s="1"/>
    </row>
    <row r="5537" ht="50.25" customHeight="1">
      <c r="A5537" s="12">
        <v>5533.0</v>
      </c>
      <c r="B5537" s="13" t="s">
        <v>5027</v>
      </c>
      <c r="C5537" s="18" t="s">
        <v>5557</v>
      </c>
      <c r="D5537" s="1"/>
      <c r="E5537" s="1"/>
      <c r="F5537" s="1" t="str">
        <f>IFERROR(__xludf.DUMMYFUNCTION("GOOGLETRANSLATE(B5537, ""en"", ""fa"")
"),"املاک و مستغلات برای حرفه ای ها")</f>
        <v>املاک و مستغلات برای حرفه ای ها</v>
      </c>
      <c r="G5537" s="1" t="str">
        <f>IFERROR(__xludf.DUMMYFUNCTION("GOOGLETRANSLATE(C5537, ""en"", ""fa"")
"),"توسعه دهندگان املاک و مستغلات چگونه می توانند تأثیر بالقوه تغییرات جمعیتی، مانند رشد جمعیت یا پیری جمعیت، را بر تقاضا برای انواع خاصی از پروژه های توسعه ارزیابی کنند؟")</f>
        <v>توسعه دهندگان املاک و مستغلات چگونه می توانند تأثیر بالقوه تغییرات جمعیتی، مانند رشد جمعیت یا پیری جمعیت، را بر تقاضا برای انواع خاصی از پروژه های توسعه ارزیابی کنند؟</v>
      </c>
      <c r="H5537" s="1"/>
      <c r="I5537" s="1"/>
      <c r="J5537" s="1"/>
      <c r="K5537" s="1"/>
      <c r="L5537" s="1"/>
      <c r="M5537" s="1"/>
      <c r="N5537" s="1"/>
      <c r="O5537" s="1"/>
      <c r="P5537" s="1"/>
      <c r="Q5537" s="1"/>
      <c r="R5537" s="1"/>
      <c r="S5537" s="1"/>
      <c r="T5537" s="1"/>
      <c r="U5537" s="1"/>
      <c r="V5537" s="1"/>
      <c r="W5537" s="1"/>
      <c r="X5537" s="1"/>
      <c r="Y5537" s="1"/>
      <c r="Z5537" s="1"/>
      <c r="AA5537" s="1"/>
      <c r="AB5537" s="1"/>
    </row>
    <row r="5538" ht="50.25" customHeight="1">
      <c r="A5538" s="12">
        <v>5534.0</v>
      </c>
      <c r="B5538" s="13" t="s">
        <v>5027</v>
      </c>
      <c r="C5538" s="18" t="s">
        <v>5558</v>
      </c>
      <c r="D5538" s="1"/>
      <c r="E5538" s="1"/>
      <c r="F5538" s="1" t="str">
        <f>IFERROR(__xludf.DUMMYFUNCTION("GOOGLETRANSLATE(B5538, ""en"", ""fa"")
"),"املاک و مستغلات برای حرفه ای ها")</f>
        <v>املاک و مستغلات برای حرفه ای ها</v>
      </c>
      <c r="G5538" s="1" t="str">
        <f>IFERROR(__xludf.DUMMYFUNCTION("GOOGLETRANSLATE(C5538, ""en"", ""fa"")
"),"توسعه دهندگان املاک و مستغلات از چه تکنیک هایی می توانند برای بهینه سازی چیدمان و استفاده از فضا در پروژه های توسعه خود استفاده کنند؟")</f>
        <v>توسعه دهندگان املاک و مستغلات از چه تکنیک هایی می توانند برای بهینه سازی چیدمان و استفاده از فضا در پروژه های توسعه خود استفاده کنند؟</v>
      </c>
      <c r="H5538" s="1"/>
      <c r="I5538" s="1"/>
      <c r="J5538" s="1"/>
      <c r="K5538" s="1"/>
      <c r="L5538" s="1"/>
      <c r="M5538" s="1"/>
      <c r="N5538" s="1"/>
      <c r="O5538" s="1"/>
      <c r="P5538" s="1"/>
      <c r="Q5538" s="1"/>
      <c r="R5538" s="1"/>
      <c r="S5538" s="1"/>
      <c r="T5538" s="1"/>
      <c r="U5538" s="1"/>
      <c r="V5538" s="1"/>
      <c r="W5538" s="1"/>
      <c r="X5538" s="1"/>
      <c r="Y5538" s="1"/>
      <c r="Z5538" s="1"/>
      <c r="AA5538" s="1"/>
      <c r="AB5538" s="1"/>
    </row>
    <row r="5539" ht="50.25" customHeight="1">
      <c r="A5539" s="12">
        <v>5535.0</v>
      </c>
      <c r="B5539" s="13" t="s">
        <v>5027</v>
      </c>
      <c r="C5539" s="18" t="s">
        <v>5559</v>
      </c>
      <c r="D5539" s="1"/>
      <c r="E5539" s="1"/>
      <c r="F5539" s="1" t="str">
        <f>IFERROR(__xludf.DUMMYFUNCTION("GOOGLETRANSLATE(B5539, ""en"", ""fa"")
"),"املاک و مستغلات برای حرفه ای ها")</f>
        <v>املاک و مستغلات برای حرفه ای ها</v>
      </c>
      <c r="G5539" s="1" t="str">
        <f>IFERROR(__xludf.DUMMYFUNCTION("GOOGLETRANSLATE(C5539, ""en"", ""fa"")
"),"توسعه دهندگان املاک و مستغلات چگونه می توانند خطرات و چالش های بالقوه مرتبط با توسعه املاک در مناطق پرخطر، مانند مناطق سیل یا مناطق زلزله خیز را ارزیابی کنند؟")</f>
        <v>توسعه دهندگان املاک و مستغلات چگونه می توانند خطرات و چالش های بالقوه مرتبط با توسعه املاک در مناطق پرخطر، مانند مناطق سیل یا مناطق زلزله خیز را ارزیابی کنند؟</v>
      </c>
      <c r="H5539" s="1"/>
      <c r="I5539" s="1"/>
      <c r="J5539" s="1"/>
      <c r="K5539" s="1"/>
      <c r="L5539" s="1"/>
      <c r="M5539" s="1"/>
      <c r="N5539" s="1"/>
      <c r="O5539" s="1"/>
      <c r="P5539" s="1"/>
      <c r="Q5539" s="1"/>
      <c r="R5539" s="1"/>
      <c r="S5539" s="1"/>
      <c r="T5539" s="1"/>
      <c r="U5539" s="1"/>
      <c r="V5539" s="1"/>
      <c r="W5539" s="1"/>
      <c r="X5539" s="1"/>
      <c r="Y5539" s="1"/>
      <c r="Z5539" s="1"/>
      <c r="AA5539" s="1"/>
      <c r="AB5539" s="1"/>
    </row>
    <row r="5540" ht="50.25" customHeight="1">
      <c r="A5540" s="12">
        <v>5536.0</v>
      </c>
      <c r="B5540" s="13" t="s">
        <v>5027</v>
      </c>
      <c r="C5540" s="18" t="s">
        <v>5560</v>
      </c>
      <c r="D5540" s="1"/>
      <c r="E5540" s="1"/>
      <c r="F5540" s="1" t="str">
        <f>IFERROR(__xludf.DUMMYFUNCTION("GOOGLETRANSLATE(B5540, ""en"", ""fa"")
"),"املاک و مستغلات برای حرفه ای ها")</f>
        <v>املاک و مستغلات برای حرفه ای ها</v>
      </c>
      <c r="G5540" s="1" t="str">
        <f>IFERROR(__xludf.DUMMYFUNCTION("GOOGLETRANSLATE(C5540, ""en"", ""fa"")
"),"توسعه دهندگان املاک و مستغلات چه استراتژی هایی را می توانند برای تقویت روابط مثبت با جوامع محلی و رسیدگی به نیازها و ترجیحات جامعه در پروژه های توسعه خود به کار گیرند؟")</f>
        <v>توسعه دهندگان املاک و مستغلات چه استراتژی هایی را می توانند برای تقویت روابط مثبت با جوامع محلی و رسیدگی به نیازها و ترجیحات جامعه در پروژه های توسعه خود به کار گیرند؟</v>
      </c>
      <c r="H5540" s="1"/>
      <c r="I5540" s="1"/>
      <c r="J5540" s="1"/>
      <c r="K5540" s="1"/>
      <c r="L5540" s="1"/>
      <c r="M5540" s="1"/>
      <c r="N5540" s="1"/>
      <c r="O5540" s="1"/>
      <c r="P5540" s="1"/>
      <c r="Q5540" s="1"/>
      <c r="R5540" s="1"/>
      <c r="S5540" s="1"/>
      <c r="T5540" s="1"/>
      <c r="U5540" s="1"/>
      <c r="V5540" s="1"/>
      <c r="W5540" s="1"/>
      <c r="X5540" s="1"/>
      <c r="Y5540" s="1"/>
      <c r="Z5540" s="1"/>
      <c r="AA5540" s="1"/>
      <c r="AB5540" s="1"/>
    </row>
    <row r="5541" ht="50.25" customHeight="1">
      <c r="A5541" s="12">
        <v>5537.0</v>
      </c>
      <c r="B5541" s="13" t="s">
        <v>5027</v>
      </c>
      <c r="C5541" s="18" t="s">
        <v>5561</v>
      </c>
      <c r="D5541" s="1"/>
      <c r="E5541" s="1"/>
      <c r="F5541" s="1" t="str">
        <f>IFERROR(__xludf.DUMMYFUNCTION("GOOGLETRANSLATE(B5541, ""en"", ""fa"")
"),"املاک و مستغلات برای حرفه ای ها")</f>
        <v>املاک و مستغلات برای حرفه ای ها</v>
      </c>
      <c r="G5541" s="1" t="str">
        <f>IFERROR(__xludf.DUMMYFUNCTION("GOOGLETRANSLATE(C5541, ""en"", ""fa"")
"),"توسعه دهندگان املاک و مستغلات چگونه می توانند تأثیر بالقوه تغییر ترجیحات مصرف کننده و روند سبک زندگی را بر طراحی و امکانات یک پروژه توسعه ارزیابی کنند؟")</f>
        <v>توسعه دهندگان املاک و مستغلات چگونه می توانند تأثیر بالقوه تغییر ترجیحات مصرف کننده و روند سبک زندگی را بر طراحی و امکانات یک پروژه توسعه ارزیابی کنند؟</v>
      </c>
      <c r="H5541" s="1"/>
      <c r="I5541" s="1"/>
      <c r="J5541" s="1"/>
      <c r="K5541" s="1"/>
      <c r="L5541" s="1"/>
      <c r="M5541" s="1"/>
      <c r="N5541" s="1"/>
      <c r="O5541" s="1"/>
      <c r="P5541" s="1"/>
      <c r="Q5541" s="1"/>
      <c r="R5541" s="1"/>
      <c r="S5541" s="1"/>
      <c r="T5541" s="1"/>
      <c r="U5541" s="1"/>
      <c r="V5541" s="1"/>
      <c r="W5541" s="1"/>
      <c r="X5541" s="1"/>
      <c r="Y5541" s="1"/>
      <c r="Z5541" s="1"/>
      <c r="AA5541" s="1"/>
      <c r="AB5541" s="1"/>
    </row>
    <row r="5542" ht="50.25" customHeight="1">
      <c r="A5542" s="12">
        <v>5538.0</v>
      </c>
      <c r="B5542" s="13" t="s">
        <v>5027</v>
      </c>
      <c r="C5542" s="18" t="s">
        <v>5562</v>
      </c>
      <c r="D5542" s="1"/>
      <c r="E5542" s="1"/>
      <c r="F5542" s="1" t="str">
        <f>IFERROR(__xludf.DUMMYFUNCTION("GOOGLETRANSLATE(B5542, ""en"", ""fa"")
"),"املاک و مستغلات برای حرفه ای ها")</f>
        <v>املاک و مستغلات برای حرفه ای ها</v>
      </c>
      <c r="G5542" s="1" t="str">
        <f>IFERROR(__xludf.DUMMYFUNCTION("GOOGLETRANSLATE(C5542, ""en"", ""fa"")
"),"ملاحظات کلیدی برای انتخاب و تملک ملک یا قطعه زمین برای پروژه توسعه املاک چیست؟")</f>
        <v>ملاحظات کلیدی برای انتخاب و تملک ملک یا قطعه زمین برای پروژه توسعه املاک چیست؟</v>
      </c>
      <c r="H5542" s="1"/>
      <c r="I5542" s="1"/>
      <c r="J5542" s="1"/>
      <c r="K5542" s="1"/>
      <c r="L5542" s="1"/>
      <c r="M5542" s="1"/>
      <c r="N5542" s="1"/>
      <c r="O5542" s="1"/>
      <c r="P5542" s="1"/>
      <c r="Q5542" s="1"/>
      <c r="R5542" s="1"/>
      <c r="S5542" s="1"/>
      <c r="T5542" s="1"/>
      <c r="U5542" s="1"/>
      <c r="V5542" s="1"/>
      <c r="W5542" s="1"/>
      <c r="X5542" s="1"/>
      <c r="Y5542" s="1"/>
      <c r="Z5542" s="1"/>
      <c r="AA5542" s="1"/>
      <c r="AB5542" s="1"/>
    </row>
    <row r="5543" ht="50.25" customHeight="1">
      <c r="A5543" s="12">
        <v>5539.0</v>
      </c>
      <c r="B5543" s="13" t="s">
        <v>5027</v>
      </c>
      <c r="C5543" s="18" t="s">
        <v>5563</v>
      </c>
      <c r="D5543" s="1"/>
      <c r="E5543" s="1"/>
      <c r="F5543" s="1" t="str">
        <f>IFERROR(__xludf.DUMMYFUNCTION("GOOGLETRANSLATE(B5543, ""en"", ""fa"")
"),"املاک و مستغلات برای حرفه ای ها")</f>
        <v>املاک و مستغلات برای حرفه ای ها</v>
      </c>
      <c r="G5543" s="1" t="str">
        <f>IFERROR(__xludf.DUMMYFUNCTION("GOOGLETRANSLATE(C5543, ""en"", ""fa"")
"),"چگونه توسعه دهندگان املاک و مستغلات می توانند به طور موثر داده ها و روندهای بازار را برای شناسایی فرصت های نوظهور برای پروژه های توسعه تحلیل و تفسیر کنند؟")</f>
        <v>چگونه توسعه دهندگان املاک و مستغلات می توانند به طور موثر داده ها و روندهای بازار را برای شناسایی فرصت های نوظهور برای پروژه های توسعه تحلیل و تفسیر کنند؟</v>
      </c>
      <c r="H5543" s="1"/>
      <c r="I5543" s="1"/>
      <c r="J5543" s="1"/>
      <c r="K5543" s="1"/>
      <c r="L5543" s="1"/>
      <c r="M5543" s="1"/>
      <c r="N5543" s="1"/>
      <c r="O5543" s="1"/>
      <c r="P5543" s="1"/>
      <c r="Q5543" s="1"/>
      <c r="R5543" s="1"/>
      <c r="S5543" s="1"/>
      <c r="T5543" s="1"/>
      <c r="U5543" s="1"/>
      <c r="V5543" s="1"/>
      <c r="W5543" s="1"/>
      <c r="X5543" s="1"/>
      <c r="Y5543" s="1"/>
      <c r="Z5543" s="1"/>
      <c r="AA5543" s="1"/>
      <c r="AB5543" s="1"/>
    </row>
    <row r="5544" ht="50.25" customHeight="1">
      <c r="A5544" s="12">
        <v>5540.0</v>
      </c>
      <c r="B5544" s="13" t="s">
        <v>5027</v>
      </c>
      <c r="C5544" s="18" t="s">
        <v>5564</v>
      </c>
      <c r="D5544" s="1"/>
      <c r="E5544" s="1"/>
      <c r="F5544" s="1" t="str">
        <f>IFERROR(__xludf.DUMMYFUNCTION("GOOGLETRANSLATE(B5544, ""en"", ""fa"")
"),"املاک و مستغلات برای حرفه ای ها")</f>
        <v>املاک و مستغلات برای حرفه ای ها</v>
      </c>
      <c r="G5544" s="1" t="str">
        <f>IFERROR(__xludf.DUMMYFUNCTION("GOOGLETRANSLATE(C5544, ""en"", ""fa"")
"),"توسعه دهندگان املاک و مستغلات از چه تکنیک هایی می توانند برای ایجاد مطالب بازاریابی جذاب و جذاب از نظر بصری، مانند رندرها یا تورهای مجازی، برای پروژه های توسعه خود استفاده کنند؟")</f>
        <v>توسعه دهندگان املاک و مستغلات از چه تکنیک هایی می توانند برای ایجاد مطالب بازاریابی جذاب و جذاب از نظر بصری، مانند رندرها یا تورهای مجازی، برای پروژه های توسعه خود استفاده کنند؟</v>
      </c>
      <c r="H5544" s="1"/>
      <c r="I5544" s="1"/>
      <c r="J5544" s="1"/>
      <c r="K5544" s="1"/>
      <c r="L5544" s="1"/>
      <c r="M5544" s="1"/>
      <c r="N5544" s="1"/>
      <c r="O5544" s="1"/>
      <c r="P5544" s="1"/>
      <c r="Q5544" s="1"/>
      <c r="R5544" s="1"/>
      <c r="S5544" s="1"/>
      <c r="T5544" s="1"/>
      <c r="U5544" s="1"/>
      <c r="V5544" s="1"/>
      <c r="W5544" s="1"/>
      <c r="X5544" s="1"/>
      <c r="Y5544" s="1"/>
      <c r="Z5544" s="1"/>
      <c r="AA5544" s="1"/>
      <c r="AB5544" s="1"/>
    </row>
    <row r="5545" ht="50.25" customHeight="1">
      <c r="A5545" s="12">
        <v>5541.0</v>
      </c>
      <c r="B5545" s="13" t="s">
        <v>5027</v>
      </c>
      <c r="C5545" s="18" t="s">
        <v>5565</v>
      </c>
      <c r="D5545" s="1"/>
      <c r="E5545" s="1"/>
      <c r="F5545" s="1" t="str">
        <f>IFERROR(__xludf.DUMMYFUNCTION("GOOGLETRANSLATE(B5545, ""en"", ""fa"")
"),"املاک و مستغلات برای حرفه ای ها")</f>
        <v>املاک و مستغلات برای حرفه ای ها</v>
      </c>
      <c r="G5545" s="1" t="str">
        <f>IFERROR(__xludf.DUMMYFUNCTION("GOOGLETRANSLATE(C5545, ""en"", ""fa"")
"),"توسعه دهندگان املاک و مستغلات چگونه می توانند خطرات و چالش های بالقوه مرتبط با املاک در حال توسعه را در بازارهای بین المللی یا کشورهای خارجی ارزیابی کنند؟")</f>
        <v>توسعه دهندگان املاک و مستغلات چگونه می توانند خطرات و چالش های بالقوه مرتبط با املاک در حال توسعه را در بازارهای بین المللی یا کشورهای خارجی ارزیابی کنند؟</v>
      </c>
      <c r="H5545" s="1"/>
      <c r="I5545" s="1"/>
      <c r="J5545" s="1"/>
      <c r="K5545" s="1"/>
      <c r="L5545" s="1"/>
      <c r="M5545" s="1"/>
      <c r="N5545" s="1"/>
      <c r="O5545" s="1"/>
      <c r="P5545" s="1"/>
      <c r="Q5545" s="1"/>
      <c r="R5545" s="1"/>
      <c r="S5545" s="1"/>
      <c r="T5545" s="1"/>
      <c r="U5545" s="1"/>
      <c r="V5545" s="1"/>
      <c r="W5545" s="1"/>
      <c r="X5545" s="1"/>
      <c r="Y5545" s="1"/>
      <c r="Z5545" s="1"/>
      <c r="AA5545" s="1"/>
      <c r="AB5545" s="1"/>
    </row>
    <row r="5546" ht="50.25" customHeight="1">
      <c r="A5546" s="12">
        <v>5542.0</v>
      </c>
      <c r="B5546" s="13" t="s">
        <v>5027</v>
      </c>
      <c r="C5546" s="18" t="s">
        <v>5566</v>
      </c>
      <c r="D5546" s="1"/>
      <c r="E5546" s="1"/>
      <c r="F5546" s="1" t="str">
        <f>IFERROR(__xludf.DUMMYFUNCTION("GOOGLETRANSLATE(B5546, ""en"", ""fa"")
"),"املاک و مستغلات برای حرفه ای ها")</f>
        <v>املاک و مستغلات برای حرفه ای ها</v>
      </c>
      <c r="G5546" s="1" t="str">
        <f>IFERROR(__xludf.DUMMYFUNCTION("GOOGLETRANSLATE(C5546, ""en"", ""fa"")
"),"توسعه‌دهندگان املاک و مستغلات چه استراتژی‌هایی را می‌توانند برای تضمین گزینه‌های تامین مالی بلندمدت برای پروژه‌های توسعه، مانند وام‌های ساخت و ساز یا مشارکت سهام، به کار گیرند؟")</f>
        <v>توسعه‌دهندگان املاک و مستغلات چه استراتژی‌هایی را می‌توانند برای تضمین گزینه‌های تامین مالی بلندمدت برای پروژه‌های توسعه، مانند وام‌های ساخت و ساز یا مشارکت سهام، به کار گیرند؟</v>
      </c>
      <c r="H5546" s="1"/>
      <c r="I5546" s="1"/>
      <c r="J5546" s="1"/>
      <c r="K5546" s="1"/>
      <c r="L5546" s="1"/>
      <c r="M5546" s="1"/>
      <c r="N5546" s="1"/>
      <c r="O5546" s="1"/>
      <c r="P5546" s="1"/>
      <c r="Q5546" s="1"/>
      <c r="R5546" s="1"/>
      <c r="S5546" s="1"/>
      <c r="T5546" s="1"/>
      <c r="U5546" s="1"/>
      <c r="V5546" s="1"/>
      <c r="W5546" s="1"/>
      <c r="X5546" s="1"/>
      <c r="Y5546" s="1"/>
      <c r="Z5546" s="1"/>
      <c r="AA5546" s="1"/>
      <c r="AB5546" s="1"/>
    </row>
    <row r="5547" ht="50.25" customHeight="1">
      <c r="A5547" s="12">
        <v>5543.0</v>
      </c>
      <c r="B5547" s="13" t="s">
        <v>5027</v>
      </c>
      <c r="C5547" s="18" t="s">
        <v>5567</v>
      </c>
      <c r="D5547" s="1"/>
      <c r="E5547" s="1"/>
      <c r="F5547" s="1" t="str">
        <f>IFERROR(__xludf.DUMMYFUNCTION("GOOGLETRANSLATE(B5547, ""en"", ""fa"")
"),"املاک و مستغلات برای حرفه ای ها")</f>
        <v>املاک و مستغلات برای حرفه ای ها</v>
      </c>
      <c r="G5547" s="1" t="str">
        <f>IFERROR(__xludf.DUMMYFUNCTION("GOOGLETRANSLATE(C5547, ""en"", ""fa"")
"),"توسعه دهندگان املاک و مستغلات چگونه می توانند تأثیر بالقوه تغییر سیاست ها یا مقررات دولت را بر امکان سنجی و سودآوری یک پروژه توسعه ارزیابی کنند؟")</f>
        <v>توسعه دهندگان املاک و مستغلات چگونه می توانند تأثیر بالقوه تغییر سیاست ها یا مقررات دولت را بر امکان سنجی و سودآوری یک پروژه توسعه ارزیابی کنند؟</v>
      </c>
      <c r="H5547" s="1"/>
      <c r="I5547" s="1"/>
      <c r="J5547" s="1"/>
      <c r="K5547" s="1"/>
      <c r="L5547" s="1"/>
      <c r="M5547" s="1"/>
      <c r="N5547" s="1"/>
      <c r="O5547" s="1"/>
      <c r="P5547" s="1"/>
      <c r="Q5547" s="1"/>
      <c r="R5547" s="1"/>
      <c r="S5547" s="1"/>
      <c r="T5547" s="1"/>
      <c r="U5547" s="1"/>
      <c r="V5547" s="1"/>
      <c r="W5547" s="1"/>
      <c r="X5547" s="1"/>
      <c r="Y5547" s="1"/>
      <c r="Z5547" s="1"/>
      <c r="AA5547" s="1"/>
      <c r="AB5547" s="1"/>
    </row>
    <row r="5548" ht="50.25" customHeight="1">
      <c r="A5548" s="12">
        <v>5544.0</v>
      </c>
      <c r="B5548" s="13" t="s">
        <v>5027</v>
      </c>
      <c r="C5548" s="18" t="s">
        <v>5568</v>
      </c>
      <c r="D5548" s="1"/>
      <c r="E5548" s="1"/>
      <c r="F5548" s="1" t="str">
        <f>IFERROR(__xludf.DUMMYFUNCTION("GOOGLETRANSLATE(B5548, ""en"", ""fa"")
"),"املاک و مستغلات برای حرفه ای ها")</f>
        <v>املاک و مستغلات برای حرفه ای ها</v>
      </c>
      <c r="G5548" s="1" t="str">
        <f>IFERROR(__xludf.DUMMYFUNCTION("GOOGLETRANSLATE(C5548, ""en"", ""fa"")
"),"ملاحظات کلیدی برای انجام یک تحلیل مالی کامل، از جمله درآمدهای پیش بینی شده، هزینه ها و بازگشت سرمایه، برای یک پروژه توسعه املاک و مستغلات چیست؟")</f>
        <v>ملاحظات کلیدی برای انجام یک تحلیل مالی کامل، از جمله درآمدهای پیش بینی شده، هزینه ها و بازگشت سرمایه، برای یک پروژه توسعه املاک و مستغلات چیست؟</v>
      </c>
      <c r="H5548" s="1"/>
      <c r="I5548" s="1"/>
      <c r="J5548" s="1"/>
      <c r="K5548" s="1"/>
      <c r="L5548" s="1"/>
      <c r="M5548" s="1"/>
      <c r="N5548" s="1"/>
      <c r="O5548" s="1"/>
      <c r="P5548" s="1"/>
      <c r="Q5548" s="1"/>
      <c r="R5548" s="1"/>
      <c r="S5548" s="1"/>
      <c r="T5548" s="1"/>
      <c r="U5548" s="1"/>
      <c r="V5548" s="1"/>
      <c r="W5548" s="1"/>
      <c r="X5548" s="1"/>
      <c r="Y5548" s="1"/>
      <c r="Z5548" s="1"/>
      <c r="AA5548" s="1"/>
      <c r="AB5548" s="1"/>
    </row>
    <row r="5549" ht="50.25" customHeight="1">
      <c r="A5549" s="12">
        <v>5545.0</v>
      </c>
      <c r="B5549" s="13" t="s">
        <v>5027</v>
      </c>
      <c r="C5549" s="18" t="s">
        <v>5569</v>
      </c>
      <c r="D5549" s="1"/>
      <c r="E5549" s="1"/>
      <c r="F5549" s="1" t="str">
        <f>IFERROR(__xludf.DUMMYFUNCTION("GOOGLETRANSLATE(B5549, ""en"", ""fa"")
"),"املاک و مستغلات برای حرفه ای ها")</f>
        <v>املاک و مستغلات برای حرفه ای ها</v>
      </c>
      <c r="G5549" s="1" t="str">
        <f>IFERROR(__xludf.DUMMYFUNCTION("GOOGLETRANSLATE(C5549, ""en"", ""fa"")
"),"توسعه دهندگان املاک و مستغلات چگونه می توانند به طور موثر با ذینفعان پروژه از جمله معماران، پیمانکاران، سرمایه گذاران و مقامات دولتی ارتباط برقرار کرده و با آنها همکاری کنند؟")</f>
        <v>توسعه دهندگان املاک و مستغلات چگونه می توانند به طور موثر با ذینفعان پروژه از جمله معماران، پیمانکاران، سرمایه گذاران و مقامات دولتی ارتباط برقرار کرده و با آنها همکاری کنند؟</v>
      </c>
      <c r="H5549" s="1"/>
      <c r="I5549" s="1"/>
      <c r="J5549" s="1"/>
      <c r="K5549" s="1"/>
      <c r="L5549" s="1"/>
      <c r="M5549" s="1"/>
      <c r="N5549" s="1"/>
      <c r="O5549" s="1"/>
      <c r="P5549" s="1"/>
      <c r="Q5549" s="1"/>
      <c r="R5549" s="1"/>
      <c r="S5549" s="1"/>
      <c r="T5549" s="1"/>
      <c r="U5549" s="1"/>
      <c r="V5549" s="1"/>
      <c r="W5549" s="1"/>
      <c r="X5549" s="1"/>
      <c r="Y5549" s="1"/>
      <c r="Z5549" s="1"/>
      <c r="AA5549" s="1"/>
      <c r="AB5549" s="1"/>
    </row>
    <row r="5550" ht="50.25" customHeight="1">
      <c r="A5550" s="12">
        <v>5546.0</v>
      </c>
      <c r="B5550" s="13" t="s">
        <v>5027</v>
      </c>
      <c r="C5550" s="18" t="s">
        <v>5570</v>
      </c>
      <c r="D5550" s="1"/>
      <c r="E5550" s="1"/>
      <c r="F5550" s="1" t="str">
        <f>IFERROR(__xludf.DUMMYFUNCTION("GOOGLETRANSLATE(B5550, ""en"", ""fa"")
"),"املاک و مستغلات برای حرفه ای ها")</f>
        <v>املاک و مستغلات برای حرفه ای ها</v>
      </c>
      <c r="G5550" s="1" t="str">
        <f>IFERROR(__xludf.DUMMYFUNCTION("GOOGLETRANSLATE(C5550, ""en"", ""fa"")
"),"توسعه دهندگان املاک و مستغلات از چه تکنیک هایی می توانند برای گنجاندن ویژگی های پایدار و کم مصرف در پروژه های توسعه خود استفاده کنند، مانند پنل های خورشیدی یا بام سبز؟")</f>
        <v>توسعه دهندگان املاک و مستغلات از چه تکنیک هایی می توانند برای گنجاندن ویژگی های پایدار و کم مصرف در پروژه های توسعه خود استفاده کنند، مانند پنل های خورشیدی یا بام سبز؟</v>
      </c>
      <c r="H5550" s="1"/>
      <c r="I5550" s="1"/>
      <c r="J5550" s="1"/>
      <c r="K5550" s="1"/>
      <c r="L5550" s="1"/>
      <c r="M5550" s="1"/>
      <c r="N5550" s="1"/>
      <c r="O5550" s="1"/>
      <c r="P5550" s="1"/>
      <c r="Q5550" s="1"/>
      <c r="R5550" s="1"/>
      <c r="S5550" s="1"/>
      <c r="T5550" s="1"/>
      <c r="U5550" s="1"/>
      <c r="V5550" s="1"/>
      <c r="W5550" s="1"/>
      <c r="X5550" s="1"/>
      <c r="Y5550" s="1"/>
      <c r="Z5550" s="1"/>
      <c r="AA5550" s="1"/>
      <c r="AB5550" s="1"/>
    </row>
    <row r="5551" ht="50.25" customHeight="1">
      <c r="A5551" s="12">
        <v>5547.0</v>
      </c>
      <c r="B5551" s="13" t="s">
        <v>5027</v>
      </c>
      <c r="C5551" s="18" t="s">
        <v>5571</v>
      </c>
      <c r="D5551" s="1"/>
      <c r="E5551" s="1"/>
      <c r="F5551" s="1" t="str">
        <f>IFERROR(__xludf.DUMMYFUNCTION("GOOGLETRANSLATE(B5551, ""en"", ""fa"")
"),"املاک و مستغلات برای حرفه ای ها")</f>
        <v>املاک و مستغلات برای حرفه ای ها</v>
      </c>
      <c r="G5551" s="1" t="str">
        <f>IFERROR(__xludf.DUMMYFUNCTION("GOOGLETRANSLATE(C5551, ""en"", ""fa"")
"),"توسعه دهندگان املاک و مستغلات چگونه می توانند خطرات و چالش های بالقوه مرتبط با توسعه پروژه های مسکن با درآمد مختلط یا مقرون به صرفه را ارزیابی کنند؟")</f>
        <v>توسعه دهندگان املاک و مستغلات چگونه می توانند خطرات و چالش های بالقوه مرتبط با توسعه پروژه های مسکن با درآمد مختلط یا مقرون به صرفه را ارزیابی کنند؟</v>
      </c>
      <c r="H5551" s="1"/>
      <c r="I5551" s="1"/>
      <c r="J5551" s="1"/>
      <c r="K5551" s="1"/>
      <c r="L5551" s="1"/>
      <c r="M5551" s="1"/>
      <c r="N5551" s="1"/>
      <c r="O5551" s="1"/>
      <c r="P5551" s="1"/>
      <c r="Q5551" s="1"/>
      <c r="R5551" s="1"/>
      <c r="S5551" s="1"/>
      <c r="T5551" s="1"/>
      <c r="U5551" s="1"/>
      <c r="V5551" s="1"/>
      <c r="W5551" s="1"/>
      <c r="X5551" s="1"/>
      <c r="Y5551" s="1"/>
      <c r="Z5551" s="1"/>
      <c r="AA5551" s="1"/>
      <c r="AB5551" s="1"/>
    </row>
    <row r="5552" ht="50.25" customHeight="1">
      <c r="A5552" s="12">
        <v>5548.0</v>
      </c>
      <c r="B5552" s="13" t="s">
        <v>5027</v>
      </c>
      <c r="C5552" s="18" t="s">
        <v>5572</v>
      </c>
      <c r="D5552" s="1"/>
      <c r="E5552" s="1"/>
      <c r="F5552" s="1" t="str">
        <f>IFERROR(__xludf.DUMMYFUNCTION("GOOGLETRANSLATE(B5552, ""en"", ""fa"")
"),"املاک و مستغلات برای حرفه ای ها")</f>
        <v>املاک و مستغلات برای حرفه ای ها</v>
      </c>
      <c r="G5552" s="1" t="str">
        <f>IFERROR(__xludf.DUMMYFUNCTION("GOOGLETRANSLATE(C5552, ""en"", ""fa"")
"),"توسعه دهندگان املاک و مستغلات چه استراتژی هایی می توانند برای بهینه سازی استفاده از فضای موجود و به حداکثر رساندن جریان های درآمد بالقوه در پروژه های توسعه خود به کار گیرند؟")</f>
        <v>توسعه دهندگان املاک و مستغلات چه استراتژی هایی می توانند برای بهینه سازی استفاده از فضای موجود و به حداکثر رساندن جریان های درآمد بالقوه در پروژه های توسعه خود به کار گیرند؟</v>
      </c>
      <c r="H5552" s="1"/>
      <c r="I5552" s="1"/>
      <c r="J5552" s="1"/>
      <c r="K5552" s="1"/>
      <c r="L5552" s="1"/>
      <c r="M5552" s="1"/>
      <c r="N5552" s="1"/>
      <c r="O5552" s="1"/>
      <c r="P5552" s="1"/>
      <c r="Q5552" s="1"/>
      <c r="R5552" s="1"/>
      <c r="S5552" s="1"/>
      <c r="T5552" s="1"/>
      <c r="U5552" s="1"/>
      <c r="V5552" s="1"/>
      <c r="W5552" s="1"/>
      <c r="X5552" s="1"/>
      <c r="Y5552" s="1"/>
      <c r="Z5552" s="1"/>
      <c r="AA5552" s="1"/>
      <c r="AB5552" s="1"/>
    </row>
    <row r="5553" ht="50.25" customHeight="1">
      <c r="A5553" s="12">
        <v>5549.0</v>
      </c>
      <c r="B5553" s="13" t="s">
        <v>5027</v>
      </c>
      <c r="C5553" s="18" t="s">
        <v>5573</v>
      </c>
      <c r="D5553" s="1"/>
      <c r="E5553" s="1"/>
      <c r="F5553" s="1" t="str">
        <f>IFERROR(__xludf.DUMMYFUNCTION("GOOGLETRANSLATE(B5553, ""en"", ""fa"")
"),"املاک و مستغلات برای حرفه ای ها")</f>
        <v>املاک و مستغلات برای حرفه ای ها</v>
      </c>
      <c r="G5553" s="1" t="str">
        <f>IFERROR(__xludf.DUMMYFUNCTION("GOOGLETRANSLATE(C5553, ""en"", ""fa"")
"),"توسعه دهندگان املاک و مستغلات چگونه می توانند تأثیر بالقوه تغییر ترجیحات مصرف کننده و تقاضاهای بازار را بر انواع و اندازه واحدها یا املاک در یک پروژه توسعه ارزیابی کنند؟")</f>
        <v>توسعه دهندگان املاک و مستغلات چگونه می توانند تأثیر بالقوه تغییر ترجیحات مصرف کننده و تقاضاهای بازار را بر انواع و اندازه واحدها یا املاک در یک پروژه توسعه ارزیابی کنند؟</v>
      </c>
      <c r="H5553" s="1"/>
      <c r="I5553" s="1"/>
      <c r="J5553" s="1"/>
      <c r="K5553" s="1"/>
      <c r="L5553" s="1"/>
      <c r="M5553" s="1"/>
      <c r="N5553" s="1"/>
      <c r="O5553" s="1"/>
      <c r="P5553" s="1"/>
      <c r="Q5553" s="1"/>
      <c r="R5553" s="1"/>
      <c r="S5553" s="1"/>
      <c r="T5553" s="1"/>
      <c r="U5553" s="1"/>
      <c r="V5553" s="1"/>
      <c r="W5553" s="1"/>
      <c r="X5553" s="1"/>
      <c r="Y5553" s="1"/>
      <c r="Z5553" s="1"/>
      <c r="AA5553" s="1"/>
      <c r="AB5553" s="1"/>
    </row>
    <row r="5554" ht="50.25" customHeight="1">
      <c r="A5554" s="12">
        <v>5550.0</v>
      </c>
      <c r="B5554" s="13" t="s">
        <v>5027</v>
      </c>
      <c r="C5554" s="18" t="s">
        <v>5574</v>
      </c>
      <c r="D5554" s="1"/>
      <c r="E5554" s="1"/>
      <c r="F5554" s="1" t="str">
        <f>IFERROR(__xludf.DUMMYFUNCTION("GOOGLETRANSLATE(B5554, ""en"", ""fa"")
"),"املاک و مستغلات برای حرفه ای ها")</f>
        <v>املاک و مستغلات برای حرفه ای ها</v>
      </c>
      <c r="G5554" s="1" t="str">
        <f>IFERROR(__xludf.DUMMYFUNCTION("GOOGLETRANSLATE(C5554, ""en"", ""fa"")
"),"ملاحظات کلیدی برای انجام یک فرآیند جامع بررسی دقیق، از جمله بازرسی اموال، جستجوی عنوان، و بررسی های قانونی، برای یک پروژه توسعه املاک و مستغلات چیست؟")</f>
        <v>ملاحظات کلیدی برای انجام یک فرآیند جامع بررسی دقیق، از جمله بازرسی اموال، جستجوی عنوان، و بررسی های قانونی، برای یک پروژه توسعه املاک و مستغلات چیست؟</v>
      </c>
      <c r="H5554" s="1"/>
      <c r="I5554" s="1"/>
      <c r="J5554" s="1"/>
      <c r="K5554" s="1"/>
      <c r="L5554" s="1"/>
      <c r="M5554" s="1"/>
      <c r="N5554" s="1"/>
      <c r="O5554" s="1"/>
      <c r="P5554" s="1"/>
      <c r="Q5554" s="1"/>
      <c r="R5554" s="1"/>
      <c r="S5554" s="1"/>
      <c r="T5554" s="1"/>
      <c r="U5554" s="1"/>
      <c r="V5554" s="1"/>
      <c r="W5554" s="1"/>
      <c r="X5554" s="1"/>
      <c r="Y5554" s="1"/>
      <c r="Z5554" s="1"/>
      <c r="AA5554" s="1"/>
      <c r="AB5554" s="1"/>
    </row>
    <row r="5555" ht="50.25" customHeight="1">
      <c r="A5555" s="12">
        <v>5551.0</v>
      </c>
      <c r="B5555" s="13" t="s">
        <v>5027</v>
      </c>
      <c r="C5555" s="18" t="s">
        <v>5575</v>
      </c>
      <c r="D5555" s="1"/>
      <c r="E5555" s="1"/>
      <c r="F5555" s="1" t="str">
        <f>IFERROR(__xludf.DUMMYFUNCTION("GOOGLETRANSLATE(B5555, ""en"", ""fa"")
"),"املاک و مستغلات برای حرفه ای ها")</f>
        <v>املاک و مستغلات برای حرفه ای ها</v>
      </c>
      <c r="G5555" s="1" t="str">
        <f>IFERROR(__xludf.DUMMYFUNCTION("GOOGLETRANSLATE(C5555, ""en"", ""fa"")
"),"چگونه توسعه دهندگان املاک و مستغلات می توانند از تجزیه و تحلیل داده ها و مدل سازی پیش بینی برای پیش بینی تقاضای بازار و اطلاع رسانی تصمیمات توسعه خود استفاده کنند؟")</f>
        <v>چگونه توسعه دهندگان املاک و مستغلات می توانند از تجزیه و تحلیل داده ها و مدل سازی پیش بینی برای پیش بینی تقاضای بازار و اطلاع رسانی تصمیمات توسعه خود استفاده کنند؟</v>
      </c>
      <c r="H5555" s="1"/>
      <c r="I5555" s="1"/>
      <c r="J5555" s="1"/>
      <c r="K5555" s="1"/>
      <c r="L5555" s="1"/>
      <c r="M5555" s="1"/>
      <c r="N5555" s="1"/>
      <c r="O5555" s="1"/>
      <c r="P5555" s="1"/>
      <c r="Q5555" s="1"/>
      <c r="R5555" s="1"/>
      <c r="S5555" s="1"/>
      <c r="T5555" s="1"/>
      <c r="U5555" s="1"/>
      <c r="V5555" s="1"/>
      <c r="W5555" s="1"/>
      <c r="X5555" s="1"/>
      <c r="Y5555" s="1"/>
      <c r="Z5555" s="1"/>
      <c r="AA5555" s="1"/>
      <c r="AB5555" s="1"/>
    </row>
    <row r="5556" ht="50.25" customHeight="1">
      <c r="A5556" s="12">
        <v>5552.0</v>
      </c>
      <c r="B5556" s="13" t="s">
        <v>5027</v>
      </c>
      <c r="C5556" s="18" t="s">
        <v>5576</v>
      </c>
      <c r="D5556" s="1"/>
      <c r="E5556" s="1"/>
      <c r="F5556" s="1" t="str">
        <f>IFERROR(__xludf.DUMMYFUNCTION("GOOGLETRANSLATE(B5556, ""en"", ""fa"")
"),"املاک و مستغلات برای حرفه ای ها")</f>
        <v>املاک و مستغلات برای حرفه ای ها</v>
      </c>
      <c r="G5556" s="1" t="str">
        <f>IFERROR(__xludf.DUMMYFUNCTION("GOOGLETRANSLATE(C5556, ""en"", ""fa"")
"),"توسعه دهندگان املاک و مستغلات از چه تکنیک هایی می توانند برای ایجاد تجربیات جذاب و تعاملی واقعیت مجازی برای پروژه های توسعه خود استفاده کنند؟")</f>
        <v>توسعه دهندگان املاک و مستغلات از چه تکنیک هایی می توانند برای ایجاد تجربیات جذاب و تعاملی واقعیت مجازی برای پروژه های توسعه خود استفاده کنند؟</v>
      </c>
      <c r="H5556" s="1"/>
      <c r="I5556" s="1"/>
      <c r="J5556" s="1"/>
      <c r="K5556" s="1"/>
      <c r="L5556" s="1"/>
      <c r="M5556" s="1"/>
      <c r="N5556" s="1"/>
      <c r="O5556" s="1"/>
      <c r="P5556" s="1"/>
      <c r="Q5556" s="1"/>
      <c r="R5556" s="1"/>
      <c r="S5556" s="1"/>
      <c r="T5556" s="1"/>
      <c r="U5556" s="1"/>
      <c r="V5556" s="1"/>
      <c r="W5556" s="1"/>
      <c r="X5556" s="1"/>
      <c r="Y5556" s="1"/>
      <c r="Z5556" s="1"/>
      <c r="AA5556" s="1"/>
      <c r="AB5556" s="1"/>
    </row>
    <row r="5557" ht="50.25" customHeight="1">
      <c r="A5557" s="12">
        <v>5553.0</v>
      </c>
      <c r="B5557" s="13" t="s">
        <v>5027</v>
      </c>
      <c r="C5557" s="18" t="s">
        <v>5577</v>
      </c>
      <c r="D5557" s="1"/>
      <c r="E5557" s="1"/>
      <c r="F5557" s="1" t="str">
        <f>IFERROR(__xludf.DUMMYFUNCTION("GOOGLETRANSLATE(B5557, ""en"", ""fa"")
"),"املاک و مستغلات برای حرفه ای ها")</f>
        <v>املاک و مستغلات برای حرفه ای ها</v>
      </c>
      <c r="G5557" s="1" t="str">
        <f>IFERROR(__xludf.DUMMYFUNCTION("GOOGLETRANSLATE(C5557, ""en"", ""fa"")
"),"کسر مالیات و اعتبارات کلیدی در دسترس متخصصان املاک و مستغلات، مانند استهلاک، بهره وام مسکن، و کسر مالیات بر دارایی چیست؟")</f>
        <v>کسر مالیات و اعتبارات کلیدی در دسترس متخصصان املاک و مستغلات، مانند استهلاک، بهره وام مسکن، و کسر مالیات بر دارایی چیست؟</v>
      </c>
      <c r="H5557" s="1"/>
      <c r="I5557" s="1"/>
      <c r="J5557" s="1"/>
      <c r="K5557" s="1"/>
      <c r="L5557" s="1"/>
      <c r="M5557" s="1"/>
      <c r="N5557" s="1"/>
      <c r="O5557" s="1"/>
      <c r="P5557" s="1"/>
      <c r="Q5557" s="1"/>
      <c r="R5557" s="1"/>
      <c r="S5557" s="1"/>
      <c r="T5557" s="1"/>
      <c r="U5557" s="1"/>
      <c r="V5557" s="1"/>
      <c r="W5557" s="1"/>
      <c r="X5557" s="1"/>
      <c r="Y5557" s="1"/>
      <c r="Z5557" s="1"/>
      <c r="AA5557" s="1"/>
      <c r="AB5557" s="1"/>
    </row>
    <row r="5558" ht="50.25" customHeight="1">
      <c r="A5558" s="12">
        <v>5554.0</v>
      </c>
      <c r="B5558" s="13" t="s">
        <v>5027</v>
      </c>
      <c r="C5558" s="18" t="s">
        <v>5578</v>
      </c>
      <c r="D5558" s="1"/>
      <c r="E5558" s="1"/>
      <c r="F5558" s="1" t="str">
        <f>IFERROR(__xludf.DUMMYFUNCTION("GOOGLETRANSLATE(B5558, ""en"", ""fa"")
"),"املاک و مستغلات برای حرفه ای ها")</f>
        <v>املاک و مستغلات برای حرفه ای ها</v>
      </c>
      <c r="G5558" s="1" t="str">
        <f>IFERROR(__xludf.DUMMYFUNCTION("GOOGLETRANSLATE(C5558, ""en"", ""fa"")
"),"چگونه متخصصان املاک و مستغلات می توانند به صورت استراتژیک از 1031 صرافی برای به تعویق انداختن مالیات بر عایدی سرمایه هنگام فروش و خرید املاک سرمایه گذاری استفاده کنند؟")</f>
        <v>چگونه متخصصان املاک و مستغلات می توانند به صورت استراتژیک از 1031 صرافی برای به تعویق انداختن مالیات بر عایدی سرمایه هنگام فروش و خرید املاک سرمایه گذاری استفاده کنند؟</v>
      </c>
      <c r="H5558" s="1"/>
      <c r="I5558" s="1"/>
      <c r="J5558" s="1"/>
      <c r="K5558" s="1"/>
      <c r="L5558" s="1"/>
      <c r="M5558" s="1"/>
      <c r="N5558" s="1"/>
      <c r="O5558" s="1"/>
      <c r="P5558" s="1"/>
      <c r="Q5558" s="1"/>
      <c r="R5558" s="1"/>
      <c r="S5558" s="1"/>
      <c r="T5558" s="1"/>
      <c r="U5558" s="1"/>
      <c r="V5558" s="1"/>
      <c r="W5558" s="1"/>
      <c r="X5558" s="1"/>
      <c r="Y5558" s="1"/>
      <c r="Z5558" s="1"/>
      <c r="AA5558" s="1"/>
      <c r="AB5558" s="1"/>
    </row>
    <row r="5559" ht="50.25" customHeight="1">
      <c r="A5559" s="12">
        <v>5555.0</v>
      </c>
      <c r="B5559" s="13" t="s">
        <v>5027</v>
      </c>
      <c r="C5559" s="18" t="s">
        <v>5579</v>
      </c>
      <c r="D5559" s="1"/>
      <c r="E5559" s="1"/>
      <c r="F5559" s="1" t="str">
        <f>IFERROR(__xludf.DUMMYFUNCTION("GOOGLETRANSLATE(B5559, ""en"", ""fa"")
"),"املاک و مستغلات برای حرفه ای ها")</f>
        <v>املاک و مستغلات برای حرفه ای ها</v>
      </c>
      <c r="G5559" s="1" t="str">
        <f>IFERROR(__xludf.DUMMYFUNCTION("GOOGLETRANSLATE(C5559, ""en"", ""fa"")
"),"پیامدهای مالیاتی انواع مختلف سرمایه گذاری در املاک، مانند املاک اجاره ای مسکونی، املاک تجاری، و تراست های سرمایه گذاری املاک و مستغلات (REIT) چیست؟")</f>
        <v>پیامدهای مالیاتی انواع مختلف سرمایه گذاری در املاک، مانند املاک اجاره ای مسکونی، املاک تجاری، و تراست های سرمایه گذاری املاک و مستغلات (REIT) چیست؟</v>
      </c>
      <c r="H5559" s="1"/>
      <c r="I5559" s="1"/>
      <c r="J5559" s="1"/>
      <c r="K5559" s="1"/>
      <c r="L5559" s="1"/>
      <c r="M5559" s="1"/>
      <c r="N5559" s="1"/>
      <c r="O5559" s="1"/>
      <c r="P5559" s="1"/>
      <c r="Q5559" s="1"/>
      <c r="R5559" s="1"/>
      <c r="S5559" s="1"/>
      <c r="T5559" s="1"/>
      <c r="U5559" s="1"/>
      <c r="V5559" s="1"/>
      <c r="W5559" s="1"/>
      <c r="X5559" s="1"/>
      <c r="Y5559" s="1"/>
      <c r="Z5559" s="1"/>
      <c r="AA5559" s="1"/>
      <c r="AB5559" s="1"/>
    </row>
    <row r="5560" ht="50.25" customHeight="1">
      <c r="A5560" s="12">
        <v>5556.0</v>
      </c>
      <c r="B5560" s="13" t="s">
        <v>5027</v>
      </c>
      <c r="C5560" s="18" t="s">
        <v>5580</v>
      </c>
      <c r="D5560" s="1"/>
      <c r="E5560" s="1"/>
      <c r="F5560" s="1" t="str">
        <f>IFERROR(__xludf.DUMMYFUNCTION("GOOGLETRANSLATE(B5560, ""en"", ""fa"")
"),"املاک و مستغلات برای حرفه ای ها")</f>
        <v>املاک و مستغلات برای حرفه ای ها</v>
      </c>
      <c r="G5560" s="1" t="str">
        <f>IFERROR(__xludf.DUMMYFUNCTION("GOOGLETRANSLATE(C5560, ""en"", ""fa"")
"),"چگونه متخصصان املاک و مستغلات می توانند نهادهای تجاری املاک و مستغلات خود، مانند شرکت های با مسئولیت محدود (LLC) یا شراکت ها را برای بهینه سازی مزایای مالیاتی و حفاظت از بدهی ساختار دهند؟")</f>
        <v>چگونه متخصصان املاک و مستغلات می توانند نهادهای تجاری املاک و مستغلات خود، مانند شرکت های با مسئولیت محدود (LLC) یا شراکت ها را برای بهینه سازی مزایای مالیاتی و حفاظت از بدهی ساختار دهند؟</v>
      </c>
      <c r="H5560" s="1"/>
      <c r="I5560" s="1"/>
      <c r="J5560" s="1"/>
      <c r="K5560" s="1"/>
      <c r="L5560" s="1"/>
      <c r="M5560" s="1"/>
      <c r="N5560" s="1"/>
      <c r="O5560" s="1"/>
      <c r="P5560" s="1"/>
      <c r="Q5560" s="1"/>
      <c r="R5560" s="1"/>
      <c r="S5560" s="1"/>
      <c r="T5560" s="1"/>
      <c r="U5560" s="1"/>
      <c r="V5560" s="1"/>
      <c r="W5560" s="1"/>
      <c r="X5560" s="1"/>
      <c r="Y5560" s="1"/>
      <c r="Z5560" s="1"/>
      <c r="AA5560" s="1"/>
      <c r="AB5560" s="1"/>
    </row>
    <row r="5561" ht="50.25" customHeight="1">
      <c r="A5561" s="12">
        <v>5557.0</v>
      </c>
      <c r="B5561" s="13" t="s">
        <v>5027</v>
      </c>
      <c r="C5561" s="18" t="s">
        <v>5581</v>
      </c>
      <c r="D5561" s="1"/>
      <c r="E5561" s="1"/>
      <c r="F5561" s="1" t="str">
        <f>IFERROR(__xludf.DUMMYFUNCTION("GOOGLETRANSLATE(B5561, ""en"", ""fa"")
"),"املاک و مستغلات برای حرفه ای ها")</f>
        <v>املاک و مستغلات برای حرفه ای ها</v>
      </c>
      <c r="G5561" s="1" t="str">
        <f>IFERROR(__xludf.DUMMYFUNCTION("GOOGLETRANSLATE(C5561, ""en"", ""fa"")
"),"متخصصان املاک و مستغلات چه استراتژی هایی را می توانند برای به حداقل رساندن بدهی مالیاتی خود در هنگام تغییر املاک برای منافع کوتاه مدت به کار گیرند؟")</f>
        <v>متخصصان املاک و مستغلات چه استراتژی هایی را می توانند برای به حداقل رساندن بدهی مالیاتی خود در هنگام تغییر املاک برای منافع کوتاه مدت به کار گیرند؟</v>
      </c>
      <c r="H5561" s="1"/>
      <c r="I5561" s="1"/>
      <c r="J5561" s="1"/>
      <c r="K5561" s="1"/>
      <c r="L5561" s="1"/>
      <c r="M5561" s="1"/>
      <c r="N5561" s="1"/>
      <c r="O5561" s="1"/>
      <c r="P5561" s="1"/>
      <c r="Q5561" s="1"/>
      <c r="R5561" s="1"/>
      <c r="S5561" s="1"/>
      <c r="T5561" s="1"/>
      <c r="U5561" s="1"/>
      <c r="V5561" s="1"/>
      <c r="W5561" s="1"/>
      <c r="X5561" s="1"/>
      <c r="Y5561" s="1"/>
      <c r="Z5561" s="1"/>
      <c r="AA5561" s="1"/>
      <c r="AB5561" s="1"/>
    </row>
    <row r="5562" ht="50.25" customHeight="1">
      <c r="A5562" s="12">
        <v>5558.0</v>
      </c>
      <c r="B5562" s="13" t="s">
        <v>5027</v>
      </c>
      <c r="C5562" s="18" t="s">
        <v>5582</v>
      </c>
      <c r="D5562" s="1"/>
      <c r="E5562" s="1"/>
      <c r="F5562" s="1" t="str">
        <f>IFERROR(__xludf.DUMMYFUNCTION("GOOGLETRANSLATE(B5562, ""en"", ""fa"")
"),"املاک و مستغلات برای حرفه ای ها")</f>
        <v>املاک و مستغلات برای حرفه ای ها</v>
      </c>
      <c r="G5562" s="1" t="str">
        <f>IFERROR(__xludf.DUMMYFUNCTION("GOOGLETRANSLATE(C5562, ""en"", ""fa"")
"),"چگونه متخصصان املاک و مستغلات می توانند قوانین و مقررات مالیاتی مربوط به اجاره های کوتاه مدت، مانند Airbnb یا اجاره تعطیلات را دنبال کنند؟")</f>
        <v>چگونه متخصصان املاک و مستغلات می توانند قوانین و مقررات مالیاتی مربوط به اجاره های کوتاه مدت، مانند Airbnb یا اجاره تعطیلات را دنبال کنند؟</v>
      </c>
      <c r="H5562" s="1"/>
      <c r="I5562" s="1"/>
      <c r="J5562" s="1"/>
      <c r="K5562" s="1"/>
      <c r="L5562" s="1"/>
      <c r="M5562" s="1"/>
      <c r="N5562" s="1"/>
      <c r="O5562" s="1"/>
      <c r="P5562" s="1"/>
      <c r="Q5562" s="1"/>
      <c r="R5562" s="1"/>
      <c r="S5562" s="1"/>
      <c r="T5562" s="1"/>
      <c r="U5562" s="1"/>
      <c r="V5562" s="1"/>
      <c r="W5562" s="1"/>
      <c r="X5562" s="1"/>
      <c r="Y5562" s="1"/>
      <c r="Z5562" s="1"/>
      <c r="AA5562" s="1"/>
      <c r="AB5562" s="1"/>
    </row>
    <row r="5563" ht="50.25" customHeight="1">
      <c r="A5563" s="12">
        <v>5559.0</v>
      </c>
      <c r="B5563" s="13" t="s">
        <v>5027</v>
      </c>
      <c r="C5563" s="18" t="s">
        <v>5583</v>
      </c>
      <c r="D5563" s="1"/>
      <c r="E5563" s="1"/>
      <c r="F5563" s="1" t="str">
        <f>IFERROR(__xludf.DUMMYFUNCTION("GOOGLETRANSLATE(B5563, ""en"", ""fa"")
"),"املاک و مستغلات برای حرفه ای ها")</f>
        <v>املاک و مستغلات برای حرفه ای ها</v>
      </c>
      <c r="G5563" s="1" t="str">
        <f>IFERROR(__xludf.DUMMYFUNCTION("GOOGLETRANSLATE(C5563, ""en"", ""fa"")
"),"ملاحظات کلیدی برای متخصصان املاک و مستغلات در هنگام مطالبه کسر دفتر خانه و سایر هزینه های مربوط به تجارت چیست؟")</f>
        <v>ملاحظات کلیدی برای متخصصان املاک و مستغلات در هنگام مطالبه کسر دفتر خانه و سایر هزینه های مربوط به تجارت چیست؟</v>
      </c>
      <c r="H5563" s="1"/>
      <c r="I5563" s="1"/>
      <c r="J5563" s="1"/>
      <c r="K5563" s="1"/>
      <c r="L5563" s="1"/>
      <c r="M5563" s="1"/>
      <c r="N5563" s="1"/>
      <c r="O5563" s="1"/>
      <c r="P5563" s="1"/>
      <c r="Q5563" s="1"/>
      <c r="R5563" s="1"/>
      <c r="S5563" s="1"/>
      <c r="T5563" s="1"/>
      <c r="U5563" s="1"/>
      <c r="V5563" s="1"/>
      <c r="W5563" s="1"/>
      <c r="X5563" s="1"/>
      <c r="Y5563" s="1"/>
      <c r="Z5563" s="1"/>
      <c r="AA5563" s="1"/>
      <c r="AB5563" s="1"/>
    </row>
    <row r="5564" ht="50.25" customHeight="1">
      <c r="A5564" s="12">
        <v>5560.0</v>
      </c>
      <c r="B5564" s="13" t="s">
        <v>5027</v>
      </c>
      <c r="C5564" s="18" t="s">
        <v>5584</v>
      </c>
      <c r="D5564" s="1"/>
      <c r="E5564" s="1"/>
      <c r="F5564" s="1" t="str">
        <f>IFERROR(__xludf.DUMMYFUNCTION("GOOGLETRANSLATE(B5564, ""en"", ""fa"")
"),"املاک و مستغلات برای حرفه ای ها")</f>
        <v>املاک و مستغلات برای حرفه ای ها</v>
      </c>
      <c r="G5564" s="1" t="str">
        <f>IFERROR(__xludf.DUMMYFUNCTION("GOOGLETRANSLATE(C5564, ""en"", ""fa"")
"),"چگونه متخصصان املاک و مستغلات می توانند از مطالعات تفکیک هزینه برای تسریع استهلاک و افزایش صرفه جویی مالیاتی در املاک تجاری استفاده کنند؟")</f>
        <v>چگونه متخصصان املاک و مستغلات می توانند از مطالعات تفکیک هزینه برای تسریع استهلاک و افزایش صرفه جویی مالیاتی در املاک تجاری استفاده کنند؟</v>
      </c>
      <c r="H5564" s="1"/>
      <c r="I5564" s="1"/>
      <c r="J5564" s="1"/>
      <c r="K5564" s="1"/>
      <c r="L5564" s="1"/>
      <c r="M5564" s="1"/>
      <c r="N5564" s="1"/>
      <c r="O5564" s="1"/>
      <c r="P5564" s="1"/>
      <c r="Q5564" s="1"/>
      <c r="R5564" s="1"/>
      <c r="S5564" s="1"/>
      <c r="T5564" s="1"/>
      <c r="U5564" s="1"/>
      <c r="V5564" s="1"/>
      <c r="W5564" s="1"/>
      <c r="X5564" s="1"/>
      <c r="Y5564" s="1"/>
      <c r="Z5564" s="1"/>
      <c r="AA5564" s="1"/>
      <c r="AB5564" s="1"/>
    </row>
    <row r="5565" ht="50.25" customHeight="1">
      <c r="A5565" s="12">
        <v>5561.0</v>
      </c>
      <c r="B5565" s="13" t="s">
        <v>5027</v>
      </c>
      <c r="C5565" s="18" t="s">
        <v>5585</v>
      </c>
      <c r="D5565" s="1"/>
      <c r="E5565" s="1"/>
      <c r="F5565" s="1" t="str">
        <f>IFERROR(__xludf.DUMMYFUNCTION("GOOGLETRANSLATE(B5565, ""en"", ""fa"")
"),"املاک و مستغلات برای حرفه ای ها")</f>
        <v>املاک و مستغلات برای حرفه ای ها</v>
      </c>
      <c r="G5565" s="1" t="str">
        <f>IFERROR(__xludf.DUMMYFUNCTION("GOOGLETRANSLATE(C5565, ""en"", ""fa"")
"),"متخصصان املاک و مستغلات از چه تکنیک های برنامه ریزی مالیاتی می توانند برای بهینه سازی موقعیت کلی مالیات خود و به حداکثر رساندن سود پس از مالیات استفاده کنند؟")</f>
        <v>متخصصان املاک و مستغلات از چه تکنیک های برنامه ریزی مالیاتی می توانند برای بهینه سازی موقعیت کلی مالیات خود و به حداکثر رساندن سود پس از مالیات استفاده کنند؟</v>
      </c>
      <c r="H5565" s="1"/>
      <c r="I5565" s="1"/>
      <c r="J5565" s="1"/>
      <c r="K5565" s="1"/>
      <c r="L5565" s="1"/>
      <c r="M5565" s="1"/>
      <c r="N5565" s="1"/>
      <c r="O5565" s="1"/>
      <c r="P5565" s="1"/>
      <c r="Q5565" s="1"/>
      <c r="R5565" s="1"/>
      <c r="S5565" s="1"/>
      <c r="T5565" s="1"/>
      <c r="U5565" s="1"/>
      <c r="V5565" s="1"/>
      <c r="W5565" s="1"/>
      <c r="X5565" s="1"/>
      <c r="Y5565" s="1"/>
      <c r="Z5565" s="1"/>
      <c r="AA5565" s="1"/>
      <c r="AB5565" s="1"/>
    </row>
    <row r="5566" ht="50.25" customHeight="1">
      <c r="A5566" s="12">
        <v>5562.0</v>
      </c>
      <c r="B5566" s="13" t="s">
        <v>5027</v>
      </c>
      <c r="C5566" s="18" t="s">
        <v>5586</v>
      </c>
      <c r="D5566" s="1"/>
      <c r="E5566" s="1"/>
      <c r="F5566" s="1" t="str">
        <f>IFERROR(__xludf.DUMMYFUNCTION("GOOGLETRANSLATE(B5566, ""en"", ""fa"")
"),"املاک و مستغلات برای حرفه ای ها")</f>
        <v>املاک و مستغلات برای حرفه ای ها</v>
      </c>
      <c r="G5566" s="1" t="str">
        <f>IFERROR(__xludf.DUMMYFUNCTION("GOOGLETRANSLATE(C5566, ""en"", ""fa"")
"),"چگونه متخصصان املاک و مستغلات می توانند ترتیبات تامین مالی فروشنده را برای به حداقل رساندن بدهی های مالیاتی و به حداکثر رساندن جریان نقدی ساختار دهند؟")</f>
        <v>چگونه متخصصان املاک و مستغلات می توانند ترتیبات تامین مالی فروشنده را برای به حداقل رساندن بدهی های مالیاتی و به حداکثر رساندن جریان نقدی ساختار دهند؟</v>
      </c>
      <c r="H5566" s="1"/>
      <c r="I5566" s="1"/>
      <c r="J5566" s="1"/>
      <c r="K5566" s="1"/>
      <c r="L5566" s="1"/>
      <c r="M5566" s="1"/>
      <c r="N5566" s="1"/>
      <c r="O5566" s="1"/>
      <c r="P5566" s="1"/>
      <c r="Q5566" s="1"/>
      <c r="R5566" s="1"/>
      <c r="S5566" s="1"/>
      <c r="T5566" s="1"/>
      <c r="U5566" s="1"/>
      <c r="V5566" s="1"/>
      <c r="W5566" s="1"/>
      <c r="X5566" s="1"/>
      <c r="Y5566" s="1"/>
      <c r="Z5566" s="1"/>
      <c r="AA5566" s="1"/>
      <c r="AB5566" s="1"/>
    </row>
    <row r="5567" ht="50.25" customHeight="1">
      <c r="A5567" s="12">
        <v>5563.0</v>
      </c>
      <c r="B5567" s="13" t="s">
        <v>5027</v>
      </c>
      <c r="C5567" s="18" t="s">
        <v>5587</v>
      </c>
      <c r="D5567" s="1"/>
      <c r="E5567" s="1"/>
      <c r="F5567" s="1" t="str">
        <f>IFERROR(__xludf.DUMMYFUNCTION("GOOGLETRANSLATE(B5567, ""en"", ""fa"")
"),"املاک و مستغلات برای حرفه ای ها")</f>
        <v>املاک و مستغلات برای حرفه ای ها</v>
      </c>
      <c r="G5567" s="1" t="str">
        <f>IFERROR(__xludf.DUMMYFUNCTION("GOOGLETRANSLATE(C5567, ""en"", ""fa"")
"),"متخصصان املاک و مستغلات هنگام سرمایه گذاری در املاک و مستغلات از طریق حساب های بازنشستگی فردی (IRA) یا 401(k) چه پیامدهای مالیاتی را باید در نظر بگیرند؟")</f>
        <v>متخصصان املاک و مستغلات هنگام سرمایه گذاری در املاک و مستغلات از طریق حساب های بازنشستگی فردی (IRA) یا 401(k) چه پیامدهای مالیاتی را باید در نظر بگیرند؟</v>
      </c>
      <c r="H5567" s="1"/>
      <c r="I5567" s="1"/>
      <c r="J5567" s="1"/>
      <c r="K5567" s="1"/>
      <c r="L5567" s="1"/>
      <c r="M5567" s="1"/>
      <c r="N5567" s="1"/>
      <c r="O5567" s="1"/>
      <c r="P5567" s="1"/>
      <c r="Q5567" s="1"/>
      <c r="R5567" s="1"/>
      <c r="S5567" s="1"/>
      <c r="T5567" s="1"/>
      <c r="U5567" s="1"/>
      <c r="V5567" s="1"/>
      <c r="W5567" s="1"/>
      <c r="X5567" s="1"/>
      <c r="Y5567" s="1"/>
      <c r="Z5567" s="1"/>
      <c r="AA5567" s="1"/>
      <c r="AB5567" s="1"/>
    </row>
    <row r="5568" ht="50.25" customHeight="1">
      <c r="A5568" s="12">
        <v>5564.0</v>
      </c>
      <c r="B5568" s="13" t="s">
        <v>5027</v>
      </c>
      <c r="C5568" s="18" t="s">
        <v>5588</v>
      </c>
      <c r="D5568" s="1"/>
      <c r="E5568" s="1"/>
      <c r="F5568" s="1" t="str">
        <f>IFERROR(__xludf.DUMMYFUNCTION("GOOGLETRANSLATE(B5568, ""en"", ""fa"")
"),"املاک و مستغلات برای حرفه ای ها")</f>
        <v>املاک و مستغلات برای حرفه ای ها</v>
      </c>
      <c r="G5568" s="1" t="str">
        <f>IFERROR(__xludf.DUMMYFUNCTION("GOOGLETRANSLATE(C5568, ""en"", ""fa"")
"),"چگونه متخصصان املاک و مستغلات می توانند از صرافی های مشابه برای به تعویق انداختن مالیات ها هنگام مبادله املاک با املاک سرمایه گذاری مشابه استفاده کنند؟")</f>
        <v>چگونه متخصصان املاک و مستغلات می توانند از صرافی های مشابه برای به تعویق انداختن مالیات ها هنگام مبادله املاک با املاک سرمایه گذاری مشابه استفاده کنند؟</v>
      </c>
      <c r="H5568" s="1"/>
      <c r="I5568" s="1"/>
      <c r="J5568" s="1"/>
      <c r="K5568" s="1"/>
      <c r="L5568" s="1"/>
      <c r="M5568" s="1"/>
      <c r="N5568" s="1"/>
      <c r="O5568" s="1"/>
      <c r="P5568" s="1"/>
      <c r="Q5568" s="1"/>
      <c r="R5568" s="1"/>
      <c r="S5568" s="1"/>
      <c r="T5568" s="1"/>
      <c r="U5568" s="1"/>
      <c r="V5568" s="1"/>
      <c r="W5568" s="1"/>
      <c r="X5568" s="1"/>
      <c r="Y5568" s="1"/>
      <c r="Z5568" s="1"/>
      <c r="AA5568" s="1"/>
      <c r="AB5568" s="1"/>
    </row>
    <row r="5569" ht="50.25" customHeight="1">
      <c r="A5569" s="12">
        <v>5565.0</v>
      </c>
      <c r="B5569" s="13" t="s">
        <v>5027</v>
      </c>
      <c r="C5569" s="18" t="s">
        <v>5589</v>
      </c>
      <c r="D5569" s="1"/>
      <c r="E5569" s="1"/>
      <c r="F5569" s="1" t="str">
        <f>IFERROR(__xludf.DUMMYFUNCTION("GOOGLETRANSLATE(B5569, ""en"", ""fa"")
"),"املاک و مستغلات برای حرفه ای ها")</f>
        <v>املاک و مستغلات برای حرفه ای ها</v>
      </c>
      <c r="G5569" s="1" t="str">
        <f>IFERROR(__xludf.DUMMYFUNCTION("GOOGLETRANSLATE(C5569, ""en"", ""fa"")
"),"متخصصان املاک و مستغلات چه استراتژی‌های مالیاتی می‌توانند برای به حداقل رساندن تأثیر حداقل مالیات جایگزین (AMT) بر سرمایه‌گذاری در املاک خود به کار گیرند؟")</f>
        <v>متخصصان املاک و مستغلات چه استراتژی‌های مالیاتی می‌توانند برای به حداقل رساندن تأثیر حداقل مالیات جایگزین (AMT) بر سرمایه‌گذاری در املاک خود به کار گیرند؟</v>
      </c>
      <c r="H5569" s="1"/>
      <c r="I5569" s="1"/>
      <c r="J5569" s="1"/>
      <c r="K5569" s="1"/>
      <c r="L5569" s="1"/>
      <c r="M5569" s="1"/>
      <c r="N5569" s="1"/>
      <c r="O5569" s="1"/>
      <c r="P5569" s="1"/>
      <c r="Q5569" s="1"/>
      <c r="R5569" s="1"/>
      <c r="S5569" s="1"/>
      <c r="T5569" s="1"/>
      <c r="U5569" s="1"/>
      <c r="V5569" s="1"/>
      <c r="W5569" s="1"/>
      <c r="X5569" s="1"/>
      <c r="Y5569" s="1"/>
      <c r="Z5569" s="1"/>
      <c r="AA5569" s="1"/>
      <c r="AB5569" s="1"/>
    </row>
    <row r="5570" ht="50.25" customHeight="1">
      <c r="A5570" s="12">
        <v>5566.0</v>
      </c>
      <c r="B5570" s="13" t="s">
        <v>5027</v>
      </c>
      <c r="C5570" s="18" t="s">
        <v>5590</v>
      </c>
      <c r="D5570" s="1"/>
      <c r="E5570" s="1"/>
      <c r="F5570" s="1" t="str">
        <f>IFERROR(__xludf.DUMMYFUNCTION("GOOGLETRANSLATE(B5570, ""en"", ""fa"")
"),"املاک و مستغلات برای حرفه ای ها")</f>
        <v>املاک و مستغلات برای حرفه ای ها</v>
      </c>
      <c r="G5570" s="1" t="str">
        <f>IFERROR(__xludf.DUMMYFUNCTION("GOOGLETRANSLATE(C5570, ""en"", ""fa"")
"),"چگونه متخصصان املاک و مستغلات می‌توانند از تکنیک‌های برنامه‌ریزی املاک با مالیات کارآمد، مانند هدیه دادن یا کمک‌های خیریه، برای حفظ ثروت و واگذاری اموال به وارثان استفاده کنند؟")</f>
        <v>چگونه متخصصان املاک و مستغلات می‌توانند از تکنیک‌های برنامه‌ریزی املاک با مالیات کارآمد، مانند هدیه دادن یا کمک‌های خیریه، برای حفظ ثروت و واگذاری اموال به وارثان استفاده کنند؟</v>
      </c>
      <c r="H5570" s="1"/>
      <c r="I5570" s="1"/>
      <c r="J5570" s="1"/>
      <c r="K5570" s="1"/>
      <c r="L5570" s="1"/>
      <c r="M5570" s="1"/>
      <c r="N5570" s="1"/>
      <c r="O5570" s="1"/>
      <c r="P5570" s="1"/>
      <c r="Q5570" s="1"/>
      <c r="R5570" s="1"/>
      <c r="S5570" s="1"/>
      <c r="T5570" s="1"/>
      <c r="U5570" s="1"/>
      <c r="V5570" s="1"/>
      <c r="W5570" s="1"/>
      <c r="X5570" s="1"/>
      <c r="Y5570" s="1"/>
      <c r="Z5570" s="1"/>
      <c r="AA5570" s="1"/>
      <c r="AB5570" s="1"/>
    </row>
    <row r="5571" ht="50.25" customHeight="1">
      <c r="A5571" s="12">
        <v>5567.0</v>
      </c>
      <c r="B5571" s="13" t="s">
        <v>5027</v>
      </c>
      <c r="C5571" s="18" t="s">
        <v>5591</v>
      </c>
      <c r="D5571" s="1"/>
      <c r="E5571" s="1"/>
      <c r="F5571" s="1" t="str">
        <f>IFERROR(__xludf.DUMMYFUNCTION("GOOGLETRANSLATE(B5571, ""en"", ""fa"")
"),"املاک و مستغلات برای حرفه ای ها")</f>
        <v>املاک و مستغلات برای حرفه ای ها</v>
      </c>
      <c r="G5571" s="1" t="str">
        <f>IFERROR(__xludf.DUMMYFUNCTION("GOOGLETRANSLATE(C5571, ""en"", ""fa"")
"),"پیامدهای مالیاتی سرمایه گذاری در سندیکاهای املاک و مستغلات یا صندوق های سهام خصوصی چیست؟")</f>
        <v>پیامدهای مالیاتی سرمایه گذاری در سندیکاهای املاک و مستغلات یا صندوق های سهام خصوصی چیست؟</v>
      </c>
      <c r="H5571" s="1"/>
      <c r="I5571" s="1"/>
      <c r="J5571" s="1"/>
      <c r="K5571" s="1"/>
      <c r="L5571" s="1"/>
      <c r="M5571" s="1"/>
      <c r="N5571" s="1"/>
      <c r="O5571" s="1"/>
      <c r="P5571" s="1"/>
      <c r="Q5571" s="1"/>
      <c r="R5571" s="1"/>
      <c r="S5571" s="1"/>
      <c r="T5571" s="1"/>
      <c r="U5571" s="1"/>
      <c r="V5571" s="1"/>
      <c r="W5571" s="1"/>
      <c r="X5571" s="1"/>
      <c r="Y5571" s="1"/>
      <c r="Z5571" s="1"/>
      <c r="AA5571" s="1"/>
      <c r="AB5571" s="1"/>
    </row>
    <row r="5572" ht="50.25" customHeight="1">
      <c r="A5572" s="12">
        <v>5568.0</v>
      </c>
      <c r="B5572" s="13" t="s">
        <v>5027</v>
      </c>
      <c r="C5572" s="18" t="s">
        <v>5592</v>
      </c>
      <c r="D5572" s="1"/>
      <c r="E5572" s="1"/>
      <c r="F5572" s="1" t="str">
        <f>IFERROR(__xludf.DUMMYFUNCTION("GOOGLETRANSLATE(B5572, ""en"", ""fa"")
"),"املاک و مستغلات برای حرفه ای ها")</f>
        <v>املاک و مستغلات برای حرفه ای ها</v>
      </c>
      <c r="G5572" s="1" t="str">
        <f>IFERROR(__xludf.DUMMYFUNCTION("GOOGLETRANSLATE(C5572, ""en"", ""fa"")
"),"چگونه متخصصان املاک و مستغلات می توانند قوانین و مقررات مالیاتی مربوط به زیان های غیرفعال و مشارکت مادی در سرمایه گذاری های املاک را دنبال کنند؟")</f>
        <v>چگونه متخصصان املاک و مستغلات می توانند قوانین و مقررات مالیاتی مربوط به زیان های غیرفعال و مشارکت مادی در سرمایه گذاری های املاک را دنبال کنند؟</v>
      </c>
      <c r="H5572" s="1"/>
      <c r="I5572" s="1"/>
      <c r="J5572" s="1"/>
      <c r="K5572" s="1"/>
      <c r="L5572" s="1"/>
      <c r="M5572" s="1"/>
      <c r="N5572" s="1"/>
      <c r="O5572" s="1"/>
      <c r="P5572" s="1"/>
      <c r="Q5572" s="1"/>
      <c r="R5572" s="1"/>
      <c r="S5572" s="1"/>
      <c r="T5572" s="1"/>
      <c r="U5572" s="1"/>
      <c r="V5572" s="1"/>
      <c r="W5572" s="1"/>
      <c r="X5572" s="1"/>
      <c r="Y5572" s="1"/>
      <c r="Z5572" s="1"/>
      <c r="AA5572" s="1"/>
      <c r="AB5572" s="1"/>
    </row>
    <row r="5573" ht="50.25" customHeight="1">
      <c r="A5573" s="12">
        <v>5569.0</v>
      </c>
      <c r="B5573" s="13" t="s">
        <v>5027</v>
      </c>
      <c r="C5573" s="18" t="s">
        <v>5593</v>
      </c>
      <c r="D5573" s="1"/>
      <c r="E5573" s="1"/>
      <c r="F5573" s="1" t="str">
        <f>IFERROR(__xludf.DUMMYFUNCTION("GOOGLETRANSLATE(B5573, ""en"", ""fa"")
"),"املاک و مستغلات برای حرفه ای ها")</f>
        <v>املاک و مستغلات برای حرفه ای ها</v>
      </c>
      <c r="G5573" s="1" t="str">
        <f>IFERROR(__xludf.DUMMYFUNCTION("GOOGLETRANSLATE(C5573, ""en"", ""fa"")
"),"متخصصان املاک و مستغلات چه استراتژی هایی می توانند برای استفاده از برنامه منطقه فرصت و دریافت مزایای مالیاتی برای سرمایه گذاری در مناطق تعیین شده از نظر اقتصادی به کار گیرند؟")</f>
        <v>متخصصان املاک و مستغلات چه استراتژی هایی می توانند برای استفاده از برنامه منطقه فرصت و دریافت مزایای مالیاتی برای سرمایه گذاری در مناطق تعیین شده از نظر اقتصادی به کار گیرند؟</v>
      </c>
      <c r="H5573" s="1"/>
      <c r="I5573" s="1"/>
      <c r="J5573" s="1"/>
      <c r="K5573" s="1"/>
      <c r="L5573" s="1"/>
      <c r="M5573" s="1"/>
      <c r="N5573" s="1"/>
      <c r="O5573" s="1"/>
      <c r="P5573" s="1"/>
      <c r="Q5573" s="1"/>
      <c r="R5573" s="1"/>
      <c r="S5573" s="1"/>
      <c r="T5573" s="1"/>
      <c r="U5573" s="1"/>
      <c r="V5573" s="1"/>
      <c r="W5573" s="1"/>
      <c r="X5573" s="1"/>
      <c r="Y5573" s="1"/>
      <c r="Z5573" s="1"/>
      <c r="AA5573" s="1"/>
      <c r="AB5573" s="1"/>
    </row>
    <row r="5574" ht="50.25" customHeight="1">
      <c r="A5574" s="12">
        <v>5570.0</v>
      </c>
      <c r="B5574" s="13" t="s">
        <v>5027</v>
      </c>
      <c r="C5574" s="18" t="s">
        <v>5594</v>
      </c>
      <c r="D5574" s="1"/>
      <c r="E5574" s="1"/>
      <c r="F5574" s="1" t="str">
        <f>IFERROR(__xludf.DUMMYFUNCTION("GOOGLETRANSLATE(B5574, ""en"", ""fa"")
"),"املاک و مستغلات برای حرفه ای ها")</f>
        <v>املاک و مستغلات برای حرفه ای ها</v>
      </c>
      <c r="G5574" s="1" t="str">
        <f>IFERROR(__xludf.DUMMYFUNCTION("GOOGLETRANSLATE(C5574, ""en"", ""fa"")
"),"چگونه متخصصان املاک و مستغلات می توانند موقعیت مالیاتی خود را هنگام سرمایه گذاری در املاک و مستغلات از طریق یک IRA انفرادی خودگردان 401 (k) یا IRA خودگردان بهینه کنند؟")</f>
        <v>چگونه متخصصان املاک و مستغلات می توانند موقعیت مالیاتی خود را هنگام سرمایه گذاری در املاک و مستغلات از طریق یک IRA انفرادی خودگردان 401 (k) یا IRA خودگردان بهینه کنند؟</v>
      </c>
      <c r="H5574" s="1"/>
      <c r="I5574" s="1"/>
      <c r="J5574" s="1"/>
      <c r="K5574" s="1"/>
      <c r="L5574" s="1"/>
      <c r="M5574" s="1"/>
      <c r="N5574" s="1"/>
      <c r="O5574" s="1"/>
      <c r="P5574" s="1"/>
      <c r="Q5574" s="1"/>
      <c r="R5574" s="1"/>
      <c r="S5574" s="1"/>
      <c r="T5574" s="1"/>
      <c r="U5574" s="1"/>
      <c r="V5574" s="1"/>
      <c r="W5574" s="1"/>
      <c r="X5574" s="1"/>
      <c r="Y5574" s="1"/>
      <c r="Z5574" s="1"/>
      <c r="AA5574" s="1"/>
      <c r="AB5574" s="1"/>
    </row>
    <row r="5575" ht="50.25" customHeight="1">
      <c r="A5575" s="12">
        <v>5571.0</v>
      </c>
      <c r="B5575" s="13" t="s">
        <v>5027</v>
      </c>
      <c r="C5575" s="18" t="s">
        <v>5595</v>
      </c>
      <c r="D5575" s="1"/>
      <c r="E5575" s="1"/>
      <c r="F5575" s="1" t="str">
        <f>IFERROR(__xludf.DUMMYFUNCTION("GOOGLETRANSLATE(B5575, ""en"", ""fa"")
"),"املاک و مستغلات برای حرفه ای ها")</f>
        <v>املاک و مستغلات برای حرفه ای ها</v>
      </c>
      <c r="G5575" s="1" t="str">
        <f>IFERROR(__xludf.DUMMYFUNCTION("GOOGLETRANSLATE(C5575, ""en"", ""fa"")
"),"متخصصان املاک و مستغلات هنگام سرمایه گذاری در املاک بین المللی یا معامله با سرمایه گذاران خارجی باید از چه ملاحظات مالیاتی آگاه باشند؟")</f>
        <v>متخصصان املاک و مستغلات هنگام سرمایه گذاری در املاک بین المللی یا معامله با سرمایه گذاران خارجی باید از چه ملاحظات مالیاتی آگاه باشند؟</v>
      </c>
      <c r="H5575" s="1"/>
      <c r="I5575" s="1"/>
      <c r="J5575" s="1"/>
      <c r="K5575" s="1"/>
      <c r="L5575" s="1"/>
      <c r="M5575" s="1"/>
      <c r="N5575" s="1"/>
      <c r="O5575" s="1"/>
      <c r="P5575" s="1"/>
      <c r="Q5575" s="1"/>
      <c r="R5575" s="1"/>
      <c r="S5575" s="1"/>
      <c r="T5575" s="1"/>
      <c r="U5575" s="1"/>
      <c r="V5575" s="1"/>
      <c r="W5575" s="1"/>
      <c r="X5575" s="1"/>
      <c r="Y5575" s="1"/>
      <c r="Z5575" s="1"/>
      <c r="AA5575" s="1"/>
      <c r="AB5575" s="1"/>
    </row>
    <row r="5576" ht="50.25" customHeight="1">
      <c r="A5576" s="12">
        <v>5572.0</v>
      </c>
      <c r="B5576" s="13" t="s">
        <v>5027</v>
      </c>
      <c r="C5576" s="18" t="s">
        <v>5596</v>
      </c>
      <c r="D5576" s="1"/>
      <c r="E5576" s="1"/>
      <c r="F5576" s="1" t="str">
        <f>IFERROR(__xludf.DUMMYFUNCTION("GOOGLETRANSLATE(B5576, ""en"", ""fa"")
"),"املاک و مستغلات برای حرفه ای ها")</f>
        <v>املاک و مستغلات برای حرفه ای ها</v>
      </c>
      <c r="G5576" s="1" t="str">
        <f>IFERROR(__xludf.DUMMYFUNCTION("GOOGLETRANSLATE(C5576, ""en"", ""fa"")
"),"چگونه متخصصان املاک و مستغلات می توانند از حساب های بازنشستگی معوق مالیاتی، مانند SEP-IRA های خودگردان یا 401(k)s انفرادی، برای تامین مالی سرمایه گذاری در املاک و مستغلات استفاده کنند؟")</f>
        <v>چگونه متخصصان املاک و مستغلات می توانند از حساب های بازنشستگی معوق مالیاتی، مانند SEP-IRA های خودگردان یا 401(k)s انفرادی، برای تامین مالی سرمایه گذاری در املاک و مستغلات استفاده کنند؟</v>
      </c>
      <c r="H5576" s="1"/>
      <c r="I5576" s="1"/>
      <c r="J5576" s="1"/>
      <c r="K5576" s="1"/>
      <c r="L5576" s="1"/>
      <c r="M5576" s="1"/>
      <c r="N5576" s="1"/>
      <c r="O5576" s="1"/>
      <c r="P5576" s="1"/>
      <c r="Q5576" s="1"/>
      <c r="R5576" s="1"/>
      <c r="S5576" s="1"/>
      <c r="T5576" s="1"/>
      <c r="U5576" s="1"/>
      <c r="V5576" s="1"/>
      <c r="W5576" s="1"/>
      <c r="X5576" s="1"/>
      <c r="Y5576" s="1"/>
      <c r="Z5576" s="1"/>
      <c r="AA5576" s="1"/>
      <c r="AB5576" s="1"/>
    </row>
    <row r="5577" ht="50.25" customHeight="1">
      <c r="A5577" s="12">
        <v>5573.0</v>
      </c>
      <c r="B5577" s="13" t="s">
        <v>5027</v>
      </c>
      <c r="C5577" s="18" t="s">
        <v>5597</v>
      </c>
      <c r="D5577" s="1"/>
      <c r="E5577" s="1"/>
      <c r="F5577" s="1" t="str">
        <f>IFERROR(__xludf.DUMMYFUNCTION("GOOGLETRANSLATE(B5577, ""en"", ""fa"")
"),"املاک و مستغلات برای حرفه ای ها")</f>
        <v>املاک و مستغلات برای حرفه ای ها</v>
      </c>
      <c r="G5577" s="1" t="str">
        <f>IFERROR(__xludf.DUMMYFUNCTION("GOOGLETRANSLATE(C5577, ""en"", ""fa"")
"),"پیامدهای مالیاتی کلیدی برای متخصصان املاک در هنگام خرید، توسعه و فروش زمین برای توسعه آینده چیست؟")</f>
        <v>پیامدهای مالیاتی کلیدی برای متخصصان املاک در هنگام خرید، توسعه و فروش زمین برای توسعه آینده چیست؟</v>
      </c>
      <c r="H5577" s="1"/>
      <c r="I5577" s="1"/>
      <c r="J5577" s="1"/>
      <c r="K5577" s="1"/>
      <c r="L5577" s="1"/>
      <c r="M5577" s="1"/>
      <c r="N5577" s="1"/>
      <c r="O5577" s="1"/>
      <c r="P5577" s="1"/>
      <c r="Q5577" s="1"/>
      <c r="R5577" s="1"/>
      <c r="S5577" s="1"/>
      <c r="T5577" s="1"/>
      <c r="U5577" s="1"/>
      <c r="V5577" s="1"/>
      <c r="W5577" s="1"/>
      <c r="X5577" s="1"/>
      <c r="Y5577" s="1"/>
      <c r="Z5577" s="1"/>
      <c r="AA5577" s="1"/>
      <c r="AB5577" s="1"/>
    </row>
    <row r="5578" ht="50.25" customHeight="1">
      <c r="A5578" s="12">
        <v>5574.0</v>
      </c>
      <c r="B5578" s="13" t="s">
        <v>5027</v>
      </c>
      <c r="C5578" s="18" t="s">
        <v>5598</v>
      </c>
      <c r="D5578" s="1"/>
      <c r="E5578" s="1"/>
      <c r="F5578" s="1" t="str">
        <f>IFERROR(__xludf.DUMMYFUNCTION("GOOGLETRANSLATE(B5578, ""en"", ""fa"")
"),"املاک و مستغلات برای حرفه ای ها")</f>
        <v>املاک و مستغلات برای حرفه ای ها</v>
      </c>
      <c r="G5578" s="1" t="str">
        <f>IFERROR(__xludf.DUMMYFUNCTION("GOOGLETRANSLATE(C5578, ""en"", ""fa"")
"),"چگونه متخصصان املاک و مستغلات می توانند هزینه ها و درآمد خود را به طور موثر پیگیری و مستند کنند تا از گزارش دقیق مالیاتی و رعایت آنها اطمینان حاصل کنند؟")</f>
        <v>چگونه متخصصان املاک و مستغلات می توانند هزینه ها و درآمد خود را به طور موثر پیگیری و مستند کنند تا از گزارش دقیق مالیاتی و رعایت آنها اطمینان حاصل کنند؟</v>
      </c>
      <c r="H5578" s="1"/>
      <c r="I5578" s="1"/>
      <c r="J5578" s="1"/>
      <c r="K5578" s="1"/>
      <c r="L5578" s="1"/>
      <c r="M5578" s="1"/>
      <c r="N5578" s="1"/>
      <c r="O5578" s="1"/>
      <c r="P5578" s="1"/>
      <c r="Q5578" s="1"/>
      <c r="R5578" s="1"/>
      <c r="S5578" s="1"/>
      <c r="T5578" s="1"/>
      <c r="U5578" s="1"/>
      <c r="V5578" s="1"/>
      <c r="W5578" s="1"/>
      <c r="X5578" s="1"/>
      <c r="Y5578" s="1"/>
      <c r="Z5578" s="1"/>
      <c r="AA5578" s="1"/>
      <c r="AB5578" s="1"/>
    </row>
    <row r="5579" ht="50.25" customHeight="1">
      <c r="A5579" s="12">
        <v>5575.0</v>
      </c>
      <c r="B5579" s="13" t="s">
        <v>5027</v>
      </c>
      <c r="C5579" s="18" t="s">
        <v>5599</v>
      </c>
      <c r="D5579" s="1"/>
      <c r="E5579" s="1"/>
      <c r="F5579" s="1" t="str">
        <f>IFERROR(__xludf.DUMMYFUNCTION("GOOGLETRANSLATE(B5579, ""en"", ""fa"")
"),"املاک و مستغلات برای حرفه ای ها")</f>
        <v>املاک و مستغلات برای حرفه ای ها</v>
      </c>
      <c r="G5579" s="1" t="str">
        <f>IFERROR(__xludf.DUMMYFUNCTION("GOOGLETRANSLATE(C5579, ""en"", ""fa"")
"),"متخصصان املاک و مستغلات چه استراتژی های مالیاتی را می توانند برای به حداکثر رساندن کسورات برای بهبود، تعمیر و نوسازی املاک به کار گیرند؟")</f>
        <v>متخصصان املاک و مستغلات چه استراتژی های مالیاتی را می توانند برای به حداکثر رساندن کسورات برای بهبود، تعمیر و نوسازی املاک به کار گیرند؟</v>
      </c>
      <c r="H5579" s="1"/>
      <c r="I5579" s="1"/>
      <c r="J5579" s="1"/>
      <c r="K5579" s="1"/>
      <c r="L5579" s="1"/>
      <c r="M5579" s="1"/>
      <c r="N5579" s="1"/>
      <c r="O5579" s="1"/>
      <c r="P5579" s="1"/>
      <c r="Q5579" s="1"/>
      <c r="R5579" s="1"/>
      <c r="S5579" s="1"/>
      <c r="T5579" s="1"/>
      <c r="U5579" s="1"/>
      <c r="V5579" s="1"/>
      <c r="W5579" s="1"/>
      <c r="X5579" s="1"/>
      <c r="Y5579" s="1"/>
      <c r="Z5579" s="1"/>
      <c r="AA5579" s="1"/>
      <c r="AB5579" s="1"/>
    </row>
    <row r="5580" ht="50.25" customHeight="1">
      <c r="A5580" s="12">
        <v>5576.0</v>
      </c>
      <c r="B5580" s="13" t="s">
        <v>5027</v>
      </c>
      <c r="C5580" s="18" t="s">
        <v>5600</v>
      </c>
      <c r="D5580" s="1"/>
      <c r="E5580" s="1"/>
      <c r="F5580" s="1" t="str">
        <f>IFERROR(__xludf.DUMMYFUNCTION("GOOGLETRANSLATE(B5580, ""en"", ""fa"")
"),"املاک و مستغلات برای حرفه ای ها")</f>
        <v>املاک و مستغلات برای حرفه ای ها</v>
      </c>
      <c r="G5580" s="1" t="str">
        <f>IFERROR(__xludf.DUMMYFUNCTION("GOOGLETRANSLATE(C5580, ""en"", ""fa"")
"),"چگونه متخصصان املاک و مستغلات می توانند موقعیت مالیاتی خود را هنگام سرمایه گذاری در پلتفرم های سرمایه گذاری جمعی املاک و مستغلات بهینه کنند؟")</f>
        <v>چگونه متخصصان املاک و مستغلات می توانند موقعیت مالیاتی خود را هنگام سرمایه گذاری در پلتفرم های سرمایه گذاری جمعی املاک و مستغلات بهینه کنند؟</v>
      </c>
      <c r="H5580" s="1"/>
      <c r="I5580" s="1"/>
      <c r="J5580" s="1"/>
      <c r="K5580" s="1"/>
      <c r="L5580" s="1"/>
      <c r="M5580" s="1"/>
      <c r="N5580" s="1"/>
      <c r="O5580" s="1"/>
      <c r="P5580" s="1"/>
      <c r="Q5580" s="1"/>
      <c r="R5580" s="1"/>
      <c r="S5580" s="1"/>
      <c r="T5580" s="1"/>
      <c r="U5580" s="1"/>
      <c r="V5580" s="1"/>
      <c r="W5580" s="1"/>
      <c r="X5580" s="1"/>
      <c r="Y5580" s="1"/>
      <c r="Z5580" s="1"/>
      <c r="AA5580" s="1"/>
      <c r="AB5580" s="1"/>
    </row>
    <row r="5581" ht="50.25" customHeight="1">
      <c r="A5581" s="12">
        <v>5577.0</v>
      </c>
      <c r="B5581" s="13" t="s">
        <v>5027</v>
      </c>
      <c r="C5581" s="18" t="s">
        <v>5601</v>
      </c>
      <c r="D5581" s="1"/>
      <c r="E5581" s="1"/>
      <c r="F5581" s="1" t="str">
        <f>IFERROR(__xludf.DUMMYFUNCTION("GOOGLETRANSLATE(B5581, ""en"", ""fa"")
"),"املاک و مستغلات برای حرفه ای ها")</f>
        <v>املاک و مستغلات برای حرفه ای ها</v>
      </c>
      <c r="G5581" s="1" t="str">
        <f>IFERROR(__xludf.DUMMYFUNCTION("GOOGLETRANSLATE(C5581, ""en"", ""fa"")
"),"ملاحظات مالیاتی برای متخصصان املاک و مستغلات هنگام سرمایه گذاری در تراست های سرمایه گذاری املاک و مستغلات (REIT) یا اوراق بهادار املاک و مستغلات که به صورت عمومی معامله می شوند چیست؟")</f>
        <v>ملاحظات مالیاتی برای متخصصان املاک و مستغلات هنگام سرمایه گذاری در تراست های سرمایه گذاری املاک و مستغلات (REIT) یا اوراق بهادار املاک و مستغلات که به صورت عمومی معامله می شوند چیست؟</v>
      </c>
      <c r="H5581" s="1"/>
      <c r="I5581" s="1"/>
      <c r="J5581" s="1"/>
      <c r="K5581" s="1"/>
      <c r="L5581" s="1"/>
      <c r="M5581" s="1"/>
      <c r="N5581" s="1"/>
      <c r="O5581" s="1"/>
      <c r="P5581" s="1"/>
      <c r="Q5581" s="1"/>
      <c r="R5581" s="1"/>
      <c r="S5581" s="1"/>
      <c r="T5581" s="1"/>
      <c r="U5581" s="1"/>
      <c r="V5581" s="1"/>
      <c r="W5581" s="1"/>
      <c r="X5581" s="1"/>
      <c r="Y5581" s="1"/>
      <c r="Z5581" s="1"/>
      <c r="AA5581" s="1"/>
      <c r="AB5581" s="1"/>
    </row>
    <row r="5582" ht="50.25" customHeight="1">
      <c r="A5582" s="12">
        <v>5578.0</v>
      </c>
      <c r="B5582" s="13" t="s">
        <v>5027</v>
      </c>
      <c r="C5582" s="18" t="s">
        <v>5602</v>
      </c>
      <c r="D5582" s="1"/>
      <c r="E5582" s="1"/>
      <c r="F5582" s="1" t="str">
        <f>IFERROR(__xludf.DUMMYFUNCTION("GOOGLETRANSLATE(B5582, ""en"", ""fa"")
"),"املاک و مستغلات برای حرفه ای ها")</f>
        <v>املاک و مستغلات برای حرفه ای ها</v>
      </c>
      <c r="G5582" s="1" t="str">
        <f>IFERROR(__xludf.DUMMYFUNCTION("GOOGLETRANSLATE(C5582, ""en"", ""fa"")
"),"چگونه متخصصان املاک و مستغلات می توانند از اعتبارات مالیاتی، مانند اعتبارات مالیاتی بازسازی تاریخی یا اعتبارات بهره وری انرژی، در سرمایه گذاری های خود در املاک استفاده کنند؟")</f>
        <v>چگونه متخصصان املاک و مستغلات می توانند از اعتبارات مالیاتی، مانند اعتبارات مالیاتی بازسازی تاریخی یا اعتبارات بهره وری انرژی، در سرمایه گذاری های خود در املاک استفاده کنند؟</v>
      </c>
      <c r="H5582" s="1"/>
      <c r="I5582" s="1"/>
      <c r="J5582" s="1"/>
      <c r="K5582" s="1"/>
      <c r="L5582" s="1"/>
      <c r="M5582" s="1"/>
      <c r="N5582" s="1"/>
      <c r="O5582" s="1"/>
      <c r="P5582" s="1"/>
      <c r="Q5582" s="1"/>
      <c r="R5582" s="1"/>
      <c r="S5582" s="1"/>
      <c r="T5582" s="1"/>
      <c r="U5582" s="1"/>
      <c r="V5582" s="1"/>
      <c r="W5582" s="1"/>
      <c r="X5582" s="1"/>
      <c r="Y5582" s="1"/>
      <c r="Z5582" s="1"/>
      <c r="AA5582" s="1"/>
      <c r="AB5582" s="1"/>
    </row>
    <row r="5583" ht="50.25" customHeight="1">
      <c r="A5583" s="12">
        <v>5579.0</v>
      </c>
      <c r="B5583" s="13" t="s">
        <v>5027</v>
      </c>
      <c r="C5583" s="18" t="s">
        <v>5603</v>
      </c>
      <c r="D5583" s="1"/>
      <c r="E5583" s="1"/>
      <c r="F5583" s="1" t="str">
        <f>IFERROR(__xludf.DUMMYFUNCTION("GOOGLETRANSLATE(B5583, ""en"", ""fa"")
"),"املاک و مستغلات برای حرفه ای ها")</f>
        <v>املاک و مستغلات برای حرفه ای ها</v>
      </c>
      <c r="G5583" s="1" t="str">
        <f>IFERROR(__xludf.DUMMYFUNCTION("GOOGLETRANSLATE(C5583, ""en"", ""fa"")
"),"متخصصان املاک و مستغلات از چه تکنیک های برنامه ریزی مالیاتی می توانند برای بهینه سازی زمان خرید و فروش ملک برای حداکثر مزایای مالیاتی استفاده کنند؟")</f>
        <v>متخصصان املاک و مستغلات از چه تکنیک های برنامه ریزی مالیاتی می توانند برای بهینه سازی زمان خرید و فروش ملک برای حداکثر مزایای مالیاتی استفاده کنند؟</v>
      </c>
      <c r="H5583" s="1"/>
      <c r="I5583" s="1"/>
      <c r="J5583" s="1"/>
      <c r="K5583" s="1"/>
      <c r="L5583" s="1"/>
      <c r="M5583" s="1"/>
      <c r="N5583" s="1"/>
      <c r="O5583" s="1"/>
      <c r="P5583" s="1"/>
      <c r="Q5583" s="1"/>
      <c r="R5583" s="1"/>
      <c r="S5583" s="1"/>
      <c r="T5583" s="1"/>
      <c r="U5583" s="1"/>
      <c r="V5583" s="1"/>
      <c r="W5583" s="1"/>
      <c r="X5583" s="1"/>
      <c r="Y5583" s="1"/>
      <c r="Z5583" s="1"/>
      <c r="AA5583" s="1"/>
      <c r="AB5583" s="1"/>
    </row>
    <row r="5584" ht="50.25" customHeight="1">
      <c r="A5584" s="12">
        <v>5580.0</v>
      </c>
      <c r="B5584" s="13" t="s">
        <v>5027</v>
      </c>
      <c r="C5584" s="18" t="s">
        <v>5604</v>
      </c>
      <c r="D5584" s="1"/>
      <c r="E5584" s="1"/>
      <c r="F5584" s="1" t="str">
        <f>IFERROR(__xludf.DUMMYFUNCTION("GOOGLETRANSLATE(B5584, ""en"", ""fa"")
"),"املاک و مستغلات برای حرفه ای ها")</f>
        <v>املاک و مستغلات برای حرفه ای ها</v>
      </c>
      <c r="G5584" s="1" t="str">
        <f>IFERROR(__xludf.DUMMYFUNCTION("GOOGLETRANSLATE(C5584, ""en"", ""fa"")
"),"چگونه متخصصان املاک و مستغلات می توانند قوانین و مقررات مالیاتی مربوط به زیان های فعالیت غیرفعال و وضعیت حرفه ای املاک را دنبال کنند؟")</f>
        <v>چگونه متخصصان املاک و مستغلات می توانند قوانین و مقررات مالیاتی مربوط به زیان های فعالیت غیرفعال و وضعیت حرفه ای املاک را دنبال کنند؟</v>
      </c>
      <c r="H5584" s="1"/>
      <c r="I5584" s="1"/>
      <c r="J5584" s="1"/>
      <c r="K5584" s="1"/>
      <c r="L5584" s="1"/>
      <c r="M5584" s="1"/>
      <c r="N5584" s="1"/>
      <c r="O5584" s="1"/>
      <c r="P5584" s="1"/>
      <c r="Q5584" s="1"/>
      <c r="R5584" s="1"/>
      <c r="S5584" s="1"/>
      <c r="T5584" s="1"/>
      <c r="U5584" s="1"/>
      <c r="V5584" s="1"/>
      <c r="W5584" s="1"/>
      <c r="X5584" s="1"/>
      <c r="Y5584" s="1"/>
      <c r="Z5584" s="1"/>
      <c r="AA5584" s="1"/>
      <c r="AB5584" s="1"/>
    </row>
    <row r="5585" ht="50.25" customHeight="1">
      <c r="A5585" s="12">
        <v>5581.0</v>
      </c>
      <c r="B5585" s="13" t="s">
        <v>5027</v>
      </c>
      <c r="C5585" s="18" t="s">
        <v>5605</v>
      </c>
      <c r="D5585" s="1"/>
      <c r="E5585" s="1"/>
      <c r="F5585" s="1" t="str">
        <f>IFERROR(__xludf.DUMMYFUNCTION("GOOGLETRANSLATE(B5585, ""en"", ""fa"")
"),"املاک و مستغلات برای حرفه ای ها")</f>
        <v>املاک و مستغلات برای حرفه ای ها</v>
      </c>
      <c r="G5585" s="1" t="str">
        <f>IFERROR(__xludf.DUMMYFUNCTION("GOOGLETRANSLATE(C5585, ""en"", ""fa"")
"),"متخصصان املاک و مستغلات چه استراتژی‌های مالیاتی می‌توانند برای بهینه‌سازی رفتار مالیاتی درآمد و هزینه‌های اجاره برای املاک مسکونی و تجاری به کار گیرند؟")</f>
        <v>متخصصان املاک و مستغلات چه استراتژی‌های مالیاتی می‌توانند برای بهینه‌سازی رفتار مالیاتی درآمد و هزینه‌های اجاره برای املاک مسکونی و تجاری به کار گیرند؟</v>
      </c>
      <c r="H5585" s="1"/>
      <c r="I5585" s="1"/>
      <c r="J5585" s="1"/>
      <c r="K5585" s="1"/>
      <c r="L5585" s="1"/>
      <c r="M5585" s="1"/>
      <c r="N5585" s="1"/>
      <c r="O5585" s="1"/>
      <c r="P5585" s="1"/>
      <c r="Q5585" s="1"/>
      <c r="R5585" s="1"/>
      <c r="S5585" s="1"/>
      <c r="T5585" s="1"/>
      <c r="U5585" s="1"/>
      <c r="V5585" s="1"/>
      <c r="W5585" s="1"/>
      <c r="X5585" s="1"/>
      <c r="Y5585" s="1"/>
      <c r="Z5585" s="1"/>
      <c r="AA5585" s="1"/>
      <c r="AB5585" s="1"/>
    </row>
    <row r="5586" ht="50.25" customHeight="1">
      <c r="A5586" s="12">
        <v>5582.0</v>
      </c>
      <c r="B5586" s="13" t="s">
        <v>5027</v>
      </c>
      <c r="C5586" s="18" t="s">
        <v>5606</v>
      </c>
      <c r="D5586" s="1"/>
      <c r="E5586" s="1"/>
      <c r="F5586" s="1" t="str">
        <f>IFERROR(__xludf.DUMMYFUNCTION("GOOGLETRANSLATE(B5586, ""en"", ""fa"")
"),"املاک و مستغلات برای حرفه ای ها")</f>
        <v>املاک و مستغلات برای حرفه ای ها</v>
      </c>
      <c r="G5586" s="1" t="str">
        <f>IFERROR(__xludf.DUMMYFUNCTION("GOOGLETRANSLATE(C5586, ""en"", ""fa"")
"),"چگونه متخصصان املاک و مستغلات می توانند بدهی های مالیاتی را هنگام انتقال دارایی های املاک از طریق هدیه یا ارث به حداقل برسانند؟")</f>
        <v>چگونه متخصصان املاک و مستغلات می توانند بدهی های مالیاتی را هنگام انتقال دارایی های املاک از طریق هدیه یا ارث به حداقل برسانند؟</v>
      </c>
      <c r="H5586" s="1"/>
      <c r="I5586" s="1"/>
      <c r="J5586" s="1"/>
      <c r="K5586" s="1"/>
      <c r="L5586" s="1"/>
      <c r="M5586" s="1"/>
      <c r="N5586" s="1"/>
      <c r="O5586" s="1"/>
      <c r="P5586" s="1"/>
      <c r="Q5586" s="1"/>
      <c r="R5586" s="1"/>
      <c r="S5586" s="1"/>
      <c r="T5586" s="1"/>
      <c r="U5586" s="1"/>
      <c r="V5586" s="1"/>
      <c r="W5586" s="1"/>
      <c r="X5586" s="1"/>
      <c r="Y5586" s="1"/>
      <c r="Z5586" s="1"/>
      <c r="AA5586" s="1"/>
      <c r="AB5586" s="1"/>
    </row>
    <row r="5587" ht="50.25" customHeight="1">
      <c r="A5587" s="12">
        <v>5583.0</v>
      </c>
      <c r="B5587" s="13" t="s">
        <v>5027</v>
      </c>
      <c r="C5587" s="18" t="s">
        <v>5607</v>
      </c>
      <c r="D5587" s="1"/>
      <c r="E5587" s="1"/>
      <c r="F5587" s="1" t="str">
        <f>IFERROR(__xludf.DUMMYFUNCTION("GOOGLETRANSLATE(B5587, ""en"", ""fa"")
"),"املاک و مستغلات برای حرفه ای ها")</f>
        <v>املاک و مستغلات برای حرفه ای ها</v>
      </c>
      <c r="G5587" s="1" t="str">
        <f>IFERROR(__xludf.DUMMYFUNCTION("GOOGLETRANSLATE(C5587, ""en"", ""fa"")
"),"پیامدهای مالیاتی کلیدی برای متخصصان املاک و مستغلات هنگام سرمایه گذاری در املاک و مستغلات از طریق یک حساب پس انداز بهداشتی خودگردان (HSA) چیست؟")</f>
        <v>پیامدهای مالیاتی کلیدی برای متخصصان املاک و مستغلات هنگام سرمایه گذاری در املاک و مستغلات از طریق یک حساب پس انداز بهداشتی خودگردان (HSA) چیست؟</v>
      </c>
      <c r="H5587" s="1"/>
      <c r="I5587" s="1"/>
      <c r="J5587" s="1"/>
      <c r="K5587" s="1"/>
      <c r="L5587" s="1"/>
      <c r="M5587" s="1"/>
      <c r="N5587" s="1"/>
      <c r="O5587" s="1"/>
      <c r="P5587" s="1"/>
      <c r="Q5587" s="1"/>
      <c r="R5587" s="1"/>
      <c r="S5587" s="1"/>
      <c r="T5587" s="1"/>
      <c r="U5587" s="1"/>
      <c r="V5587" s="1"/>
      <c r="W5587" s="1"/>
      <c r="X5587" s="1"/>
      <c r="Y5587" s="1"/>
      <c r="Z5587" s="1"/>
      <c r="AA5587" s="1"/>
      <c r="AB5587" s="1"/>
    </row>
    <row r="5588" ht="50.25" customHeight="1">
      <c r="A5588" s="12">
        <v>5584.0</v>
      </c>
      <c r="B5588" s="13" t="s">
        <v>5027</v>
      </c>
      <c r="C5588" s="18" t="s">
        <v>5608</v>
      </c>
      <c r="D5588" s="1"/>
      <c r="E5588" s="1"/>
      <c r="F5588" s="1" t="str">
        <f>IFERROR(__xludf.DUMMYFUNCTION("GOOGLETRANSLATE(B5588, ""en"", ""fa"")
"),"املاک و مستغلات برای حرفه ای ها")</f>
        <v>املاک و مستغلات برای حرفه ای ها</v>
      </c>
      <c r="G5588" s="1" t="str">
        <f>IFERROR(__xludf.DUMMYFUNCTION("GOOGLETRANSLATE(C5588, ""en"", ""fa"")
"),"چگونه متخصصان املاک و مستغلات می توانند از حساب های بازنشستگی دارای مزیت مالیاتی، مانند Roth IRA خودگردان، برای سرمایه گذاری در املاک و مستغلات استفاده کنند؟")</f>
        <v>چگونه متخصصان املاک و مستغلات می توانند از حساب های بازنشستگی دارای مزیت مالیاتی، مانند Roth IRA خودگردان، برای سرمایه گذاری در املاک و مستغلات استفاده کنند؟</v>
      </c>
      <c r="H5588" s="1"/>
      <c r="I5588" s="1"/>
      <c r="J5588" s="1"/>
      <c r="K5588" s="1"/>
      <c r="L5588" s="1"/>
      <c r="M5588" s="1"/>
      <c r="N5588" s="1"/>
      <c r="O5588" s="1"/>
      <c r="P5588" s="1"/>
      <c r="Q5588" s="1"/>
      <c r="R5588" s="1"/>
      <c r="S5588" s="1"/>
      <c r="T5588" s="1"/>
      <c r="U5588" s="1"/>
      <c r="V5588" s="1"/>
      <c r="W5588" s="1"/>
      <c r="X5588" s="1"/>
      <c r="Y5588" s="1"/>
      <c r="Z5588" s="1"/>
      <c r="AA5588" s="1"/>
      <c r="AB5588" s="1"/>
    </row>
    <row r="5589" ht="50.25" customHeight="1">
      <c r="A5589" s="12">
        <v>5585.0</v>
      </c>
      <c r="B5589" s="13" t="s">
        <v>5027</v>
      </c>
      <c r="C5589" s="18" t="s">
        <v>5609</v>
      </c>
      <c r="D5589" s="1"/>
      <c r="E5589" s="1"/>
      <c r="F5589" s="1" t="str">
        <f>IFERROR(__xludf.DUMMYFUNCTION("GOOGLETRANSLATE(B5589, ""en"", ""fa"")
"),"املاک و مستغلات برای حرفه ای ها")</f>
        <v>املاک و مستغلات برای حرفه ای ها</v>
      </c>
      <c r="G5589" s="1" t="str">
        <f>IFERROR(__xludf.DUMMYFUNCTION("GOOGLETRANSLATE(C5589, ""en"", ""fa"")
"),"متخصصان املاک و مستغلات هنگام سرمایه گذاری در املاک و مستغلات از طریق پلت فرم سرمایه گذاری جمعی املاک و مستغلات باید از چه ملاحظات مالیاتی آگاه باشند؟")</f>
        <v>متخصصان املاک و مستغلات هنگام سرمایه گذاری در املاک و مستغلات از طریق پلت فرم سرمایه گذاری جمعی املاک و مستغلات باید از چه ملاحظات مالیاتی آگاه باشند؟</v>
      </c>
      <c r="H5589" s="1"/>
      <c r="I5589" s="1"/>
      <c r="J5589" s="1"/>
      <c r="K5589" s="1"/>
      <c r="L5589" s="1"/>
      <c r="M5589" s="1"/>
      <c r="N5589" s="1"/>
      <c r="O5589" s="1"/>
      <c r="P5589" s="1"/>
      <c r="Q5589" s="1"/>
      <c r="R5589" s="1"/>
      <c r="S5589" s="1"/>
      <c r="T5589" s="1"/>
      <c r="U5589" s="1"/>
      <c r="V5589" s="1"/>
      <c r="W5589" s="1"/>
      <c r="X5589" s="1"/>
      <c r="Y5589" s="1"/>
      <c r="Z5589" s="1"/>
      <c r="AA5589" s="1"/>
      <c r="AB5589" s="1"/>
    </row>
    <row r="5590" ht="50.25" customHeight="1">
      <c r="A5590" s="12">
        <v>5586.0</v>
      </c>
      <c r="B5590" s="13" t="s">
        <v>5027</v>
      </c>
      <c r="C5590" s="18" t="s">
        <v>5610</v>
      </c>
      <c r="D5590" s="1"/>
      <c r="E5590" s="1"/>
      <c r="F5590" s="1" t="str">
        <f>IFERROR(__xludf.DUMMYFUNCTION("GOOGLETRANSLATE(B5590, ""en"", ""fa"")
"),"املاک و مستغلات برای حرفه ای ها")</f>
        <v>املاک و مستغلات برای حرفه ای ها</v>
      </c>
      <c r="G5590" s="1" t="str">
        <f>IFERROR(__xludf.DUMMYFUNCTION("GOOGLETRANSLATE(C5590, ""en"", ""fa"")
"),"چگونه متخصصان املاک و مستغلات می توانند قراردادهای اجاره را برای بهینه سازی کسر مالیات و مزایا تنظیم کنند؟")</f>
        <v>چگونه متخصصان املاک و مستغلات می توانند قراردادهای اجاره را برای بهینه سازی کسر مالیات و مزایا تنظیم کنند؟</v>
      </c>
      <c r="H5590" s="1"/>
      <c r="I5590" s="1"/>
      <c r="J5590" s="1"/>
      <c r="K5590" s="1"/>
      <c r="L5590" s="1"/>
      <c r="M5590" s="1"/>
      <c r="N5590" s="1"/>
      <c r="O5590" s="1"/>
      <c r="P5590" s="1"/>
      <c r="Q5590" s="1"/>
      <c r="R5590" s="1"/>
      <c r="S5590" s="1"/>
      <c r="T5590" s="1"/>
      <c r="U5590" s="1"/>
      <c r="V5590" s="1"/>
      <c r="W5590" s="1"/>
      <c r="X5590" s="1"/>
      <c r="Y5590" s="1"/>
      <c r="Z5590" s="1"/>
      <c r="AA5590" s="1"/>
      <c r="AB5590" s="1"/>
    </row>
    <row r="5591" ht="50.25" customHeight="1">
      <c r="A5591" s="12">
        <v>5587.0</v>
      </c>
      <c r="B5591" s="13" t="s">
        <v>5027</v>
      </c>
      <c r="C5591" s="18" t="s">
        <v>5611</v>
      </c>
      <c r="D5591" s="1"/>
      <c r="E5591" s="1"/>
      <c r="F5591" s="1" t="str">
        <f>IFERROR(__xludf.DUMMYFUNCTION("GOOGLETRANSLATE(B5591, ""en"", ""fa"")
"),"املاک و مستغلات برای حرفه ای ها")</f>
        <v>املاک و مستغلات برای حرفه ای ها</v>
      </c>
      <c r="G5591" s="1" t="str">
        <f>IFERROR(__xludf.DUMMYFUNCTION("GOOGLETRANSLATE(C5591, ""en"", ""fa"")
"),"متخصصان املاک و مستغلات چه استراتژی هایی می توانند برای استفاده از اعتبارات مالیاتی و مشوق های سرمایه گذاری در مسکن ارزان قیمت یا پروژه های مسکن کم درآمد به کار گیرند؟")</f>
        <v>متخصصان املاک و مستغلات چه استراتژی هایی می توانند برای استفاده از اعتبارات مالیاتی و مشوق های سرمایه گذاری در مسکن ارزان قیمت یا پروژه های مسکن کم درآمد به کار گیرند؟</v>
      </c>
      <c r="H5591" s="1"/>
      <c r="I5591" s="1"/>
      <c r="J5591" s="1"/>
      <c r="K5591" s="1"/>
      <c r="L5591" s="1"/>
      <c r="M5591" s="1"/>
      <c r="N5591" s="1"/>
      <c r="O5591" s="1"/>
      <c r="P5591" s="1"/>
      <c r="Q5591" s="1"/>
      <c r="R5591" s="1"/>
      <c r="S5591" s="1"/>
      <c r="T5591" s="1"/>
      <c r="U5591" s="1"/>
      <c r="V5591" s="1"/>
      <c r="W5591" s="1"/>
      <c r="X5591" s="1"/>
      <c r="Y5591" s="1"/>
      <c r="Z5591" s="1"/>
      <c r="AA5591" s="1"/>
      <c r="AB5591" s="1"/>
    </row>
    <row r="5592" ht="50.25" customHeight="1">
      <c r="A5592" s="12">
        <v>5588.0</v>
      </c>
      <c r="B5592" s="13" t="s">
        <v>5027</v>
      </c>
      <c r="C5592" s="18" t="s">
        <v>5612</v>
      </c>
      <c r="D5592" s="1"/>
      <c r="E5592" s="1"/>
      <c r="F5592" s="1" t="str">
        <f>IFERROR(__xludf.DUMMYFUNCTION("GOOGLETRANSLATE(B5592, ""en"", ""fa"")
"),"املاک و مستغلات برای حرفه ای ها")</f>
        <v>املاک و مستغلات برای حرفه ای ها</v>
      </c>
      <c r="G5592" s="1" t="str">
        <f>IFERROR(__xludf.DUMMYFUNCTION("GOOGLETRANSLATE(C5592, ""en"", ""fa"")
"),"چگونه متخصصان املاک و مستغلات می توانند قوانین و مقررات مالیاتی مربوط به درآمد کوتاه مدت اجاره تعطیلات، مانند اجاره Airbnb را دنبال کنند؟")</f>
        <v>چگونه متخصصان املاک و مستغلات می توانند قوانین و مقررات مالیاتی مربوط به درآمد کوتاه مدت اجاره تعطیلات، مانند اجاره Airbnb را دنبال کنند؟</v>
      </c>
      <c r="H5592" s="1"/>
      <c r="I5592" s="1"/>
      <c r="J5592" s="1"/>
      <c r="K5592" s="1"/>
      <c r="L5592" s="1"/>
      <c r="M5592" s="1"/>
      <c r="N5592" s="1"/>
      <c r="O5592" s="1"/>
      <c r="P5592" s="1"/>
      <c r="Q5592" s="1"/>
      <c r="R5592" s="1"/>
      <c r="S5592" s="1"/>
      <c r="T5592" s="1"/>
      <c r="U5592" s="1"/>
      <c r="V5592" s="1"/>
      <c r="W5592" s="1"/>
      <c r="X5592" s="1"/>
      <c r="Y5592" s="1"/>
      <c r="Z5592" s="1"/>
      <c r="AA5592" s="1"/>
      <c r="AB5592" s="1"/>
    </row>
    <row r="5593" ht="50.25" customHeight="1">
      <c r="A5593" s="12">
        <v>5589.0</v>
      </c>
      <c r="B5593" s="13" t="s">
        <v>5027</v>
      </c>
      <c r="C5593" s="18" t="s">
        <v>5613</v>
      </c>
      <c r="D5593" s="1"/>
      <c r="E5593" s="1"/>
      <c r="F5593" s="1" t="str">
        <f>IFERROR(__xludf.DUMMYFUNCTION("GOOGLETRANSLATE(B5593, ""en"", ""fa"")
"),"املاک و مستغلات برای حرفه ای ها")</f>
        <v>املاک و مستغلات برای حرفه ای ها</v>
      </c>
      <c r="G5593" s="1" t="str">
        <f>IFERROR(__xludf.DUMMYFUNCTION("GOOGLETRANSLATE(C5593, ""en"", ""fa"")
"),"پیامدهای مالیاتی فروش املاک و مستغلات از طریق تامین مالی مالک یا قراردادهای فروش اقساطی چیست؟")</f>
        <v>پیامدهای مالیاتی فروش املاک و مستغلات از طریق تامین مالی مالک یا قراردادهای فروش اقساطی چیست؟</v>
      </c>
      <c r="H5593" s="1"/>
      <c r="I5593" s="1"/>
      <c r="J5593" s="1"/>
      <c r="K5593" s="1"/>
      <c r="L5593" s="1"/>
      <c r="M5593" s="1"/>
      <c r="N5593" s="1"/>
      <c r="O5593" s="1"/>
      <c r="P5593" s="1"/>
      <c r="Q5593" s="1"/>
      <c r="R5593" s="1"/>
      <c r="S5593" s="1"/>
      <c r="T5593" s="1"/>
      <c r="U5593" s="1"/>
      <c r="V5593" s="1"/>
      <c r="W5593" s="1"/>
      <c r="X5593" s="1"/>
      <c r="Y5593" s="1"/>
      <c r="Z5593" s="1"/>
      <c r="AA5593" s="1"/>
      <c r="AB5593" s="1"/>
    </row>
    <row r="5594" ht="50.25" customHeight="1">
      <c r="A5594" s="12">
        <v>5590.0</v>
      </c>
      <c r="B5594" s="13" t="s">
        <v>5027</v>
      </c>
      <c r="C5594" s="18" t="s">
        <v>5614</v>
      </c>
      <c r="D5594" s="1"/>
      <c r="E5594" s="1"/>
      <c r="F5594" s="1" t="str">
        <f>IFERROR(__xludf.DUMMYFUNCTION("GOOGLETRANSLATE(B5594, ""en"", ""fa"")
"),"املاک و مستغلات برای حرفه ای ها")</f>
        <v>املاک و مستغلات برای حرفه ای ها</v>
      </c>
      <c r="G5594" s="1" t="str">
        <f>IFERROR(__xludf.DUMMYFUNCTION("GOOGLETRANSLATE(C5594, ""en"", ""fa"")
"),"چگونه متخصصان املاک و مستغلات می توانند از مزایای مالیاتی برای سرمایه گذاری در مناطق فرصت و کسب و کارهای منطقه فرصت واجد شرایط استفاده کنند؟")</f>
        <v>چگونه متخصصان املاک و مستغلات می توانند از مزایای مالیاتی برای سرمایه گذاری در مناطق فرصت و کسب و کارهای منطقه فرصت واجد شرایط استفاده کنند؟</v>
      </c>
      <c r="H5594" s="1"/>
      <c r="I5594" s="1"/>
      <c r="J5594" s="1"/>
      <c r="K5594" s="1"/>
      <c r="L5594" s="1"/>
      <c r="M5594" s="1"/>
      <c r="N5594" s="1"/>
      <c r="O5594" s="1"/>
      <c r="P5594" s="1"/>
      <c r="Q5594" s="1"/>
      <c r="R5594" s="1"/>
      <c r="S5594" s="1"/>
      <c r="T5594" s="1"/>
      <c r="U5594" s="1"/>
      <c r="V5594" s="1"/>
      <c r="W5594" s="1"/>
      <c r="X5594" s="1"/>
      <c r="Y5594" s="1"/>
      <c r="Z5594" s="1"/>
      <c r="AA5594" s="1"/>
      <c r="AB5594" s="1"/>
    </row>
    <row r="5595" ht="50.25" customHeight="1">
      <c r="A5595" s="12">
        <v>5591.0</v>
      </c>
      <c r="B5595" s="13" t="s">
        <v>5027</v>
      </c>
      <c r="C5595" s="18" t="s">
        <v>5615</v>
      </c>
      <c r="D5595" s="1"/>
      <c r="E5595" s="1"/>
      <c r="F5595" s="1" t="str">
        <f>IFERROR(__xludf.DUMMYFUNCTION("GOOGLETRANSLATE(B5595, ""en"", ""fa"")
"),"املاک و مستغلات برای حرفه ای ها")</f>
        <v>املاک و مستغلات برای حرفه ای ها</v>
      </c>
      <c r="G5595" s="1" t="str">
        <f>IFERROR(__xludf.DUMMYFUNCTION("GOOGLETRANSLATE(C5595, ""en"", ""fa"")
"),"متخصصان املاک و مستغلات چه استراتژی های مالیاتی می توانند برای بهینه سازی مالیات پروژه های توسعه املاک، از جمله بهبود زمین و هزینه های زیرساخت، به کار گیرند؟")</f>
        <v>متخصصان املاک و مستغلات چه استراتژی های مالیاتی می توانند برای بهینه سازی مالیات پروژه های توسعه املاک، از جمله بهبود زمین و هزینه های زیرساخت، به کار گیرند؟</v>
      </c>
      <c r="H5595" s="1"/>
      <c r="I5595" s="1"/>
      <c r="J5595" s="1"/>
      <c r="K5595" s="1"/>
      <c r="L5595" s="1"/>
      <c r="M5595" s="1"/>
      <c r="N5595" s="1"/>
      <c r="O5595" s="1"/>
      <c r="P5595" s="1"/>
      <c r="Q5595" s="1"/>
      <c r="R5595" s="1"/>
      <c r="S5595" s="1"/>
      <c r="T5595" s="1"/>
      <c r="U5595" s="1"/>
      <c r="V5595" s="1"/>
      <c r="W5595" s="1"/>
      <c r="X5595" s="1"/>
      <c r="Y5595" s="1"/>
      <c r="Z5595" s="1"/>
      <c r="AA5595" s="1"/>
      <c r="AB5595" s="1"/>
    </row>
    <row r="5596" ht="50.25" customHeight="1">
      <c r="A5596" s="12">
        <v>5592.0</v>
      </c>
      <c r="B5596" s="13" t="s">
        <v>5027</v>
      </c>
      <c r="C5596" s="18" t="s">
        <v>5616</v>
      </c>
      <c r="D5596" s="1"/>
      <c r="E5596" s="1"/>
      <c r="F5596" s="1" t="str">
        <f>IFERROR(__xludf.DUMMYFUNCTION("GOOGLETRANSLATE(B5596, ""en"", ""fa"")
"),"املاک و مستغلات برای حرفه ای ها")</f>
        <v>املاک و مستغلات برای حرفه ای ها</v>
      </c>
      <c r="G5596" s="1" t="str">
        <f>IFERROR(__xludf.DUMMYFUNCTION("GOOGLETRANSLATE(C5596, ""en"", ""fa"")
"),"چگونه متخصصان املاک و مستغلات می توانند بدهی های مالیاتی را هنگام انتقال دارایی های املاک از طریق تراست یا سایر وسایل برنامه ریزی املاک به حداقل برسانند؟")</f>
        <v>چگونه متخصصان املاک و مستغلات می توانند بدهی های مالیاتی را هنگام انتقال دارایی های املاک از طریق تراست یا سایر وسایل برنامه ریزی املاک به حداقل برسانند؟</v>
      </c>
      <c r="H5596" s="1"/>
      <c r="I5596" s="1"/>
      <c r="J5596" s="1"/>
      <c r="K5596" s="1"/>
      <c r="L5596" s="1"/>
      <c r="M5596" s="1"/>
      <c r="N5596" s="1"/>
      <c r="O5596" s="1"/>
      <c r="P5596" s="1"/>
      <c r="Q5596" s="1"/>
      <c r="R5596" s="1"/>
      <c r="S5596" s="1"/>
      <c r="T5596" s="1"/>
      <c r="U5596" s="1"/>
      <c r="V5596" s="1"/>
      <c r="W5596" s="1"/>
      <c r="X5596" s="1"/>
      <c r="Y5596" s="1"/>
      <c r="Z5596" s="1"/>
      <c r="AA5596" s="1"/>
      <c r="AB5596" s="1"/>
    </row>
    <row r="5597" ht="50.25" customHeight="1">
      <c r="A5597" s="12">
        <v>5593.0</v>
      </c>
      <c r="B5597" s="13" t="s">
        <v>5027</v>
      </c>
      <c r="C5597" s="18" t="s">
        <v>5617</v>
      </c>
      <c r="D5597" s="1"/>
      <c r="E5597" s="1"/>
      <c r="F5597" s="1" t="str">
        <f>IFERROR(__xludf.DUMMYFUNCTION("GOOGLETRANSLATE(B5597, ""en"", ""fa"")
"),"املاک و مستغلات برای حرفه ای ها")</f>
        <v>املاک و مستغلات برای حرفه ای ها</v>
      </c>
      <c r="G5597" s="1" t="str">
        <f>IFERROR(__xludf.DUMMYFUNCTION("GOOGLETRANSLATE(C5597, ""en"", ""fa"")
"),"پیامدهای مالیاتی کلیدی برای متخصصان املاک در هنگام سرمایه گذاری در مشارکت سرمایه گذاری املاک یا سرمایه گذاری مشترک چیست؟")</f>
        <v>پیامدهای مالیاتی کلیدی برای متخصصان املاک در هنگام سرمایه گذاری در مشارکت سرمایه گذاری املاک یا سرمایه گذاری مشترک چیست؟</v>
      </c>
      <c r="H5597" s="1"/>
      <c r="I5597" s="1"/>
      <c r="J5597" s="1"/>
      <c r="K5597" s="1"/>
      <c r="L5597" s="1"/>
      <c r="M5597" s="1"/>
      <c r="N5597" s="1"/>
      <c r="O5597" s="1"/>
      <c r="P5597" s="1"/>
      <c r="Q5597" s="1"/>
      <c r="R5597" s="1"/>
      <c r="S5597" s="1"/>
      <c r="T5597" s="1"/>
      <c r="U5597" s="1"/>
      <c r="V5597" s="1"/>
      <c r="W5597" s="1"/>
      <c r="X5597" s="1"/>
      <c r="Y5597" s="1"/>
      <c r="Z5597" s="1"/>
      <c r="AA5597" s="1"/>
      <c r="AB5597" s="1"/>
    </row>
    <row r="5598" ht="50.25" customHeight="1">
      <c r="A5598" s="12">
        <v>5594.0</v>
      </c>
      <c r="B5598" s="13" t="s">
        <v>5027</v>
      </c>
      <c r="C5598" s="18" t="s">
        <v>5618</v>
      </c>
      <c r="D5598" s="1"/>
      <c r="E5598" s="1"/>
      <c r="F5598" s="1" t="str">
        <f>IFERROR(__xludf.DUMMYFUNCTION("GOOGLETRANSLATE(B5598, ""en"", ""fa"")
"),"املاک و مستغلات برای حرفه ای ها")</f>
        <v>املاک و مستغلات برای حرفه ای ها</v>
      </c>
      <c r="G5598" s="1" t="str">
        <f>IFERROR(__xludf.DUMMYFUNCTION("GOOGLETRANSLATE(C5598, ""en"", ""fa"")
"),"چگونه متخصصان املاک و مستغلات می توانند از مبادلات معوق مالیاتی برای به دست آوردن املاک با پتانسیل درآمد و مزایای مالیاتی بالاتر استفاده کنند؟")</f>
        <v>چگونه متخصصان املاک و مستغلات می توانند از مبادلات معوق مالیاتی برای به دست آوردن املاک با پتانسیل درآمد و مزایای مالیاتی بالاتر استفاده کنند؟</v>
      </c>
      <c r="H5598" s="1"/>
      <c r="I5598" s="1"/>
      <c r="J5598" s="1"/>
      <c r="K5598" s="1"/>
      <c r="L5598" s="1"/>
      <c r="M5598" s="1"/>
      <c r="N5598" s="1"/>
      <c r="O5598" s="1"/>
      <c r="P5598" s="1"/>
      <c r="Q5598" s="1"/>
      <c r="R5598" s="1"/>
      <c r="S5598" s="1"/>
      <c r="T5598" s="1"/>
      <c r="U5598" s="1"/>
      <c r="V5598" s="1"/>
      <c r="W5598" s="1"/>
      <c r="X5598" s="1"/>
      <c r="Y5598" s="1"/>
      <c r="Z5598" s="1"/>
      <c r="AA5598" s="1"/>
      <c r="AB5598" s="1"/>
    </row>
    <row r="5599" ht="50.25" customHeight="1">
      <c r="A5599" s="12">
        <v>5595.0</v>
      </c>
      <c r="B5599" s="13" t="s">
        <v>5027</v>
      </c>
      <c r="C5599" s="18" t="s">
        <v>5619</v>
      </c>
      <c r="D5599" s="1"/>
      <c r="E5599" s="1"/>
      <c r="F5599" s="1" t="str">
        <f>IFERROR(__xludf.DUMMYFUNCTION("GOOGLETRANSLATE(B5599, ""en"", ""fa"")
"),"املاک و مستغلات برای حرفه ای ها")</f>
        <v>املاک و مستغلات برای حرفه ای ها</v>
      </c>
      <c r="G5599" s="1" t="str">
        <f>IFERROR(__xludf.DUMMYFUNCTION("GOOGLETRANSLATE(C5599, ""en"", ""fa"")
"),"متخصصان املاک و مستغلات هنگام سرمایه گذاری در املاک و مستغلات از طریق صندوق بازنشستگی کارمندان ساده شده (SEP) IRA باید از چه ملاحظات مالیاتی آگاه باشند؟")</f>
        <v>متخصصان املاک و مستغلات هنگام سرمایه گذاری در املاک و مستغلات از طریق صندوق بازنشستگی کارمندان ساده شده (SEP) IRA باید از چه ملاحظات مالیاتی آگاه باشند؟</v>
      </c>
      <c r="H5599" s="1"/>
      <c r="I5599" s="1"/>
      <c r="J5599" s="1"/>
      <c r="K5599" s="1"/>
      <c r="L5599" s="1"/>
      <c r="M5599" s="1"/>
      <c r="N5599" s="1"/>
      <c r="O5599" s="1"/>
      <c r="P5599" s="1"/>
      <c r="Q5599" s="1"/>
      <c r="R5599" s="1"/>
      <c r="S5599" s="1"/>
      <c r="T5599" s="1"/>
      <c r="U5599" s="1"/>
      <c r="V5599" s="1"/>
      <c r="W5599" s="1"/>
      <c r="X5599" s="1"/>
      <c r="Y5599" s="1"/>
      <c r="Z5599" s="1"/>
      <c r="AA5599" s="1"/>
      <c r="AB5599" s="1"/>
    </row>
    <row r="5600" ht="50.25" customHeight="1">
      <c r="A5600" s="12">
        <v>5596.0</v>
      </c>
      <c r="B5600" s="13" t="s">
        <v>5027</v>
      </c>
      <c r="C5600" s="18" t="s">
        <v>5620</v>
      </c>
      <c r="D5600" s="1"/>
      <c r="E5600" s="1"/>
      <c r="F5600" s="1" t="str">
        <f>IFERROR(__xludf.DUMMYFUNCTION("GOOGLETRANSLATE(B5600, ""en"", ""fa"")
"),"املاک و مستغلات برای حرفه ای ها")</f>
        <v>املاک و مستغلات برای حرفه ای ها</v>
      </c>
      <c r="G5600" s="1" t="str">
        <f>IFERROR(__xludf.DUMMYFUNCTION("GOOGLETRANSLATE(C5600, ""en"", ""fa"")
"),"چگونه متخصصان املاک و مستغلات می توانند قراردادهای اختیار اجاره را برای به حداکثر رساندن مزایای مالیاتی و انعطاف پذیری در معاملات املاک ساختار دهند؟")</f>
        <v>چگونه متخصصان املاک و مستغلات می توانند قراردادهای اختیار اجاره را برای به حداکثر رساندن مزایای مالیاتی و انعطاف پذیری در معاملات املاک ساختار دهند؟</v>
      </c>
      <c r="H5600" s="1"/>
      <c r="I5600" s="1"/>
      <c r="J5600" s="1"/>
      <c r="K5600" s="1"/>
      <c r="L5600" s="1"/>
      <c r="M5600" s="1"/>
      <c r="N5600" s="1"/>
      <c r="O5600" s="1"/>
      <c r="P5600" s="1"/>
      <c r="Q5600" s="1"/>
      <c r="R5600" s="1"/>
      <c r="S5600" s="1"/>
      <c r="T5600" s="1"/>
      <c r="U5600" s="1"/>
      <c r="V5600" s="1"/>
      <c r="W5600" s="1"/>
      <c r="X5600" s="1"/>
      <c r="Y5600" s="1"/>
      <c r="Z5600" s="1"/>
      <c r="AA5600" s="1"/>
      <c r="AB5600" s="1"/>
    </row>
    <row r="5601" ht="50.25" customHeight="1">
      <c r="A5601" s="12">
        <v>5597.0</v>
      </c>
      <c r="B5601" s="13" t="s">
        <v>5027</v>
      </c>
      <c r="C5601" s="18" t="s">
        <v>5621</v>
      </c>
      <c r="D5601" s="1"/>
      <c r="E5601" s="1"/>
      <c r="F5601" s="1" t="str">
        <f>IFERROR(__xludf.DUMMYFUNCTION("GOOGLETRANSLATE(B5601, ""en"", ""fa"")
"),"املاک و مستغلات برای حرفه ای ها")</f>
        <v>املاک و مستغلات برای حرفه ای ها</v>
      </c>
      <c r="G5601" s="1" t="str">
        <f>IFERROR(__xludf.DUMMYFUNCTION("GOOGLETRANSLATE(C5601, ""en"", ""fa"")
"),"متخصصان املاک و مستغلات چه استراتژی هایی می توانند برای استفاده از کسر مالیات برای مشاغل خانگی در سرمایه گذاری های املاک خود به کار گیرند؟")</f>
        <v>متخصصان املاک و مستغلات چه استراتژی هایی می توانند برای استفاده از کسر مالیات برای مشاغل خانگی در سرمایه گذاری های املاک خود به کار گیرند؟</v>
      </c>
      <c r="H5601" s="1"/>
      <c r="I5601" s="1"/>
      <c r="J5601" s="1"/>
      <c r="K5601" s="1"/>
      <c r="L5601" s="1"/>
      <c r="M5601" s="1"/>
      <c r="N5601" s="1"/>
      <c r="O5601" s="1"/>
      <c r="P5601" s="1"/>
      <c r="Q5601" s="1"/>
      <c r="R5601" s="1"/>
      <c r="S5601" s="1"/>
      <c r="T5601" s="1"/>
      <c r="U5601" s="1"/>
      <c r="V5601" s="1"/>
      <c r="W5601" s="1"/>
      <c r="X5601" s="1"/>
      <c r="Y5601" s="1"/>
      <c r="Z5601" s="1"/>
      <c r="AA5601" s="1"/>
      <c r="AB5601" s="1"/>
    </row>
    <row r="5602" ht="50.25" customHeight="1">
      <c r="A5602" s="12">
        <v>5598.0</v>
      </c>
      <c r="B5602" s="13" t="s">
        <v>5027</v>
      </c>
      <c r="C5602" s="18" t="s">
        <v>5622</v>
      </c>
      <c r="D5602" s="1"/>
      <c r="E5602" s="1"/>
      <c r="F5602" s="1" t="str">
        <f>IFERROR(__xludf.DUMMYFUNCTION("GOOGLETRANSLATE(B5602, ""en"", ""fa"")
"),"املاک و مستغلات برای حرفه ای ها")</f>
        <v>املاک و مستغلات برای حرفه ای ها</v>
      </c>
      <c r="G5602" s="1" t="str">
        <f>IFERROR(__xludf.DUMMYFUNCTION("GOOGLETRANSLATE(C5602, ""en"", ""fa"")
"),"چگونه متخصصان املاک و مستغلات می توانند قوانین و مقررات مالیاتی مربوط به سرمایه گذاری های خارجی املاک و مستغلات، از جمله مالیات های کسر شده و الزامات گزارش دهی را دنبال کنند؟")</f>
        <v>چگونه متخصصان املاک و مستغلات می توانند قوانین و مقررات مالیاتی مربوط به سرمایه گذاری های خارجی املاک و مستغلات، از جمله مالیات های کسر شده و الزامات گزارش دهی را دنبال کنند؟</v>
      </c>
      <c r="H5602" s="1"/>
      <c r="I5602" s="1"/>
      <c r="J5602" s="1"/>
      <c r="K5602" s="1"/>
      <c r="L5602" s="1"/>
      <c r="M5602" s="1"/>
      <c r="N5602" s="1"/>
      <c r="O5602" s="1"/>
      <c r="P5602" s="1"/>
      <c r="Q5602" s="1"/>
      <c r="R5602" s="1"/>
      <c r="S5602" s="1"/>
      <c r="T5602" s="1"/>
      <c r="U5602" s="1"/>
      <c r="V5602" s="1"/>
      <c r="W5602" s="1"/>
      <c r="X5602" s="1"/>
      <c r="Y5602" s="1"/>
      <c r="Z5602" s="1"/>
      <c r="AA5602" s="1"/>
      <c r="AB5602" s="1"/>
    </row>
    <row r="5603" ht="50.25" customHeight="1">
      <c r="A5603" s="12">
        <v>5599.0</v>
      </c>
      <c r="B5603" s="13" t="s">
        <v>5027</v>
      </c>
      <c r="C5603" s="18" t="s">
        <v>5623</v>
      </c>
      <c r="D5603" s="1"/>
      <c r="E5603" s="1"/>
      <c r="F5603" s="1" t="str">
        <f>IFERROR(__xludf.DUMMYFUNCTION("GOOGLETRANSLATE(B5603, ""en"", ""fa"")
"),"املاک و مستغلات برای حرفه ای ها")</f>
        <v>املاک و مستغلات برای حرفه ای ها</v>
      </c>
      <c r="G5603" s="1" t="str">
        <f>IFERROR(__xludf.DUMMYFUNCTION("GOOGLETRANSLATE(C5603, ""en"", ""fa"")
"),"پیامدهای مالیاتی سرمایه گذاری در املاک و مستغلات از طریق باشگاه ها یا اتحادیه های سرمایه گذاری املاک چیست؟")</f>
        <v>پیامدهای مالیاتی سرمایه گذاری در املاک و مستغلات از طریق باشگاه ها یا اتحادیه های سرمایه گذاری املاک چیست؟</v>
      </c>
      <c r="H5603" s="1"/>
      <c r="I5603" s="1"/>
      <c r="J5603" s="1"/>
      <c r="K5603" s="1"/>
      <c r="L5603" s="1"/>
      <c r="M5603" s="1"/>
      <c r="N5603" s="1"/>
      <c r="O5603" s="1"/>
      <c r="P5603" s="1"/>
      <c r="Q5603" s="1"/>
      <c r="R5603" s="1"/>
      <c r="S5603" s="1"/>
      <c r="T5603" s="1"/>
      <c r="U5603" s="1"/>
      <c r="V5603" s="1"/>
      <c r="W5603" s="1"/>
      <c r="X5603" s="1"/>
      <c r="Y5603" s="1"/>
      <c r="Z5603" s="1"/>
      <c r="AA5603" s="1"/>
      <c r="AB5603" s="1"/>
    </row>
    <row r="5604" ht="50.25" customHeight="1">
      <c r="A5604" s="12">
        <v>5600.0</v>
      </c>
      <c r="B5604" s="13" t="s">
        <v>5027</v>
      </c>
      <c r="C5604" s="18" t="s">
        <v>5624</v>
      </c>
      <c r="D5604" s="1"/>
      <c r="E5604" s="1"/>
      <c r="F5604" s="1" t="str">
        <f>IFERROR(__xludf.DUMMYFUNCTION("GOOGLETRANSLATE(B5604, ""en"", ""fa"")
"),"املاک و مستغلات برای حرفه ای ها")</f>
        <v>املاک و مستغلات برای حرفه ای ها</v>
      </c>
      <c r="G5604" s="1" t="str">
        <f>IFERROR(__xludf.DUMMYFUNCTION("GOOGLETRANSLATE(C5604, ""en"", ""fa"")
"),"چگونه متخصصان املاک و مستغلات می توانند موقعیت مالیاتی خود را هنگام سرمایه گذاری در املاک و مستغلات از طریق یک طرح شخصی 401 (k) بهینه کنند؟")</f>
        <v>چگونه متخصصان املاک و مستغلات می توانند موقعیت مالیاتی خود را هنگام سرمایه گذاری در املاک و مستغلات از طریق یک طرح شخصی 401 (k) بهینه کنند؟</v>
      </c>
      <c r="H5604" s="1"/>
      <c r="I5604" s="1"/>
      <c r="J5604" s="1"/>
      <c r="K5604" s="1"/>
      <c r="L5604" s="1"/>
      <c r="M5604" s="1"/>
      <c r="N5604" s="1"/>
      <c r="O5604" s="1"/>
      <c r="P5604" s="1"/>
      <c r="Q5604" s="1"/>
      <c r="R5604" s="1"/>
      <c r="S5604" s="1"/>
      <c r="T5604" s="1"/>
      <c r="U5604" s="1"/>
      <c r="V5604" s="1"/>
      <c r="W5604" s="1"/>
      <c r="X5604" s="1"/>
      <c r="Y5604" s="1"/>
      <c r="Z5604" s="1"/>
      <c r="AA5604" s="1"/>
      <c r="AB5604" s="1"/>
    </row>
    <row r="5605" ht="50.25" customHeight="1">
      <c r="A5605" s="12">
        <v>5601.0</v>
      </c>
      <c r="B5605" s="13" t="s">
        <v>5027</v>
      </c>
      <c r="C5605" s="18" t="s">
        <v>5625</v>
      </c>
      <c r="D5605" s="1"/>
      <c r="E5605" s="1"/>
      <c r="F5605" s="1" t="str">
        <f>IFERROR(__xludf.DUMMYFUNCTION("GOOGLETRANSLATE(B5605, ""en"", ""fa"")
"),"املاک و مستغلات برای حرفه ای ها")</f>
        <v>املاک و مستغلات برای حرفه ای ها</v>
      </c>
      <c r="G5605" s="1" t="str">
        <f>IFERROR(__xludf.DUMMYFUNCTION("GOOGLETRANSLATE(C5605, ""en"", ""fa"")
"),"متخصصان املاک و مستغلات از چه تکنیک های برنامه ریزی مالیاتی می توانند برای به حداقل رساندن تأثیر مالیات بر خوداشتغالی بر درآمد کسب و کار املاک خود استفاده کنند؟")</f>
        <v>متخصصان املاک و مستغلات از چه تکنیک های برنامه ریزی مالیاتی می توانند برای به حداقل رساندن تأثیر مالیات بر خوداشتغالی بر درآمد کسب و کار املاک خود استفاده کنند؟</v>
      </c>
      <c r="H5605" s="1"/>
      <c r="I5605" s="1"/>
      <c r="J5605" s="1"/>
      <c r="K5605" s="1"/>
      <c r="L5605" s="1"/>
      <c r="M5605" s="1"/>
      <c r="N5605" s="1"/>
      <c r="O5605" s="1"/>
      <c r="P5605" s="1"/>
      <c r="Q5605" s="1"/>
      <c r="R5605" s="1"/>
      <c r="S5605" s="1"/>
      <c r="T5605" s="1"/>
      <c r="U5605" s="1"/>
      <c r="V5605" s="1"/>
      <c r="W5605" s="1"/>
      <c r="X5605" s="1"/>
      <c r="Y5605" s="1"/>
      <c r="Z5605" s="1"/>
      <c r="AA5605" s="1"/>
      <c r="AB5605" s="1"/>
    </row>
    <row r="5606" ht="50.25" customHeight="1">
      <c r="A5606" s="12">
        <v>5602.0</v>
      </c>
      <c r="B5606" s="13" t="s">
        <v>5027</v>
      </c>
      <c r="C5606" s="18" t="s">
        <v>5626</v>
      </c>
      <c r="D5606" s="1"/>
      <c r="E5606" s="1"/>
      <c r="F5606" s="1" t="str">
        <f>IFERROR(__xludf.DUMMYFUNCTION("GOOGLETRANSLATE(B5606, ""en"", ""fa"")
"),"املاک و مستغلات برای حرفه ای ها")</f>
        <v>املاک و مستغلات برای حرفه ای ها</v>
      </c>
      <c r="G5606" s="1" t="str">
        <f>IFERROR(__xludf.DUMMYFUNCTION("GOOGLETRANSLATE(C5606, ""en"", ""fa"")
"),"چگونه متخصصان املاک و مستغلات می توانند از مزایای مالیاتی برای سرمایه گذاری در املاک در مناطق تاریخی یا مناطق حفاظت شده استفاده کنند؟")</f>
        <v>چگونه متخصصان املاک و مستغلات می توانند از مزایای مالیاتی برای سرمایه گذاری در املاک در مناطق تاریخی یا مناطق حفاظت شده استفاده کنند؟</v>
      </c>
      <c r="H5606" s="1"/>
      <c r="I5606" s="1"/>
      <c r="J5606" s="1"/>
      <c r="K5606" s="1"/>
      <c r="L5606" s="1"/>
      <c r="M5606" s="1"/>
      <c r="N5606" s="1"/>
      <c r="O5606" s="1"/>
      <c r="P5606" s="1"/>
      <c r="Q5606" s="1"/>
      <c r="R5606" s="1"/>
      <c r="S5606" s="1"/>
      <c r="T5606" s="1"/>
      <c r="U5606" s="1"/>
      <c r="V5606" s="1"/>
      <c r="W5606" s="1"/>
      <c r="X5606" s="1"/>
      <c r="Y5606" s="1"/>
      <c r="Z5606" s="1"/>
      <c r="AA5606" s="1"/>
      <c r="AB5606" s="1"/>
    </row>
    <row r="5607" ht="50.25" customHeight="1">
      <c r="A5607" s="12">
        <v>5603.0</v>
      </c>
      <c r="B5607" s="13" t="s">
        <v>5027</v>
      </c>
      <c r="C5607" s="18" t="s">
        <v>5627</v>
      </c>
      <c r="D5607" s="1"/>
      <c r="E5607" s="1"/>
      <c r="F5607" s="1" t="str">
        <f>IFERROR(__xludf.DUMMYFUNCTION("GOOGLETRANSLATE(B5607, ""en"", ""fa"")
"),"املاک و مستغلات برای حرفه ای ها")</f>
        <v>املاک و مستغلات برای حرفه ای ها</v>
      </c>
      <c r="G5607" s="1" t="str">
        <f>IFERROR(__xludf.DUMMYFUNCTION("GOOGLETRANSLATE(C5607, ""en"", ""fa"")
"),"چگونه متخصصان املاک و مستغلات می توانند استراتژی های تجاری خود را در پاسخ به اختلالات بازار، مانند رکود اقتصادی یا رکود، تطبیق دهند؟")</f>
        <v>چگونه متخصصان املاک و مستغلات می توانند استراتژی های تجاری خود را در پاسخ به اختلالات بازار، مانند رکود اقتصادی یا رکود، تطبیق دهند؟</v>
      </c>
      <c r="H5607" s="1"/>
      <c r="I5607" s="1"/>
      <c r="J5607" s="1"/>
      <c r="K5607" s="1"/>
      <c r="L5607" s="1"/>
      <c r="M5607" s="1"/>
      <c r="N5607" s="1"/>
      <c r="O5607" s="1"/>
      <c r="P5607" s="1"/>
      <c r="Q5607" s="1"/>
      <c r="R5607" s="1"/>
      <c r="S5607" s="1"/>
      <c r="T5607" s="1"/>
      <c r="U5607" s="1"/>
      <c r="V5607" s="1"/>
      <c r="W5607" s="1"/>
      <c r="X5607" s="1"/>
      <c r="Y5607" s="1"/>
      <c r="Z5607" s="1"/>
      <c r="AA5607" s="1"/>
      <c r="AB5607" s="1"/>
    </row>
    <row r="5608" ht="50.25" customHeight="1">
      <c r="A5608" s="12">
        <v>5604.0</v>
      </c>
      <c r="B5608" s="13" t="s">
        <v>5027</v>
      </c>
      <c r="C5608" s="18" t="s">
        <v>5628</v>
      </c>
      <c r="D5608" s="1"/>
      <c r="E5608" s="1"/>
      <c r="F5608" s="1" t="str">
        <f>IFERROR(__xludf.DUMMYFUNCTION("GOOGLETRANSLATE(B5608, ""en"", ""fa"")
"),"املاک و مستغلات برای حرفه ای ها")</f>
        <v>املاک و مستغلات برای حرفه ای ها</v>
      </c>
      <c r="G5608" s="1" t="str">
        <f>IFERROR(__xludf.DUMMYFUNCTION("GOOGLETRANSLATE(C5608, ""en"", ""fa"")
"),"ملاحظات کلیدی برای متخصصان املاک و مستغلات در هنگام بررسی تأثیر پیشرفت‌های فناوری، مانند بازارهای آنلاین و پروتکل، بر صنعت املاک چیست؟")</f>
        <v>ملاحظات کلیدی برای متخصصان املاک و مستغلات در هنگام بررسی تأثیر پیشرفت‌های فناوری، مانند بازارهای آنلاین و پروتکل، بر صنعت املاک چیست؟</v>
      </c>
      <c r="H5608" s="1"/>
      <c r="I5608" s="1"/>
      <c r="J5608" s="1"/>
      <c r="K5608" s="1"/>
      <c r="L5608" s="1"/>
      <c r="M5608" s="1"/>
      <c r="N5608" s="1"/>
      <c r="O5608" s="1"/>
      <c r="P5608" s="1"/>
      <c r="Q5608" s="1"/>
      <c r="R5608" s="1"/>
      <c r="S5608" s="1"/>
      <c r="T5608" s="1"/>
      <c r="U5608" s="1"/>
      <c r="V5608" s="1"/>
      <c r="W5608" s="1"/>
      <c r="X5608" s="1"/>
      <c r="Y5608" s="1"/>
      <c r="Z5608" s="1"/>
      <c r="AA5608" s="1"/>
      <c r="AB5608" s="1"/>
    </row>
    <row r="5609" ht="50.25" customHeight="1">
      <c r="A5609" s="12">
        <v>5605.0</v>
      </c>
      <c r="B5609" s="13" t="s">
        <v>5027</v>
      </c>
      <c r="C5609" s="18" t="s">
        <v>5629</v>
      </c>
      <c r="D5609" s="1"/>
      <c r="E5609" s="1"/>
      <c r="F5609" s="1" t="str">
        <f>IFERROR(__xludf.DUMMYFUNCTION("GOOGLETRANSLATE(B5609, ""en"", ""fa"")
"),"املاک و مستغلات برای حرفه ای ها")</f>
        <v>املاک و مستغلات برای حرفه ای ها</v>
      </c>
      <c r="G5609" s="1" t="str">
        <f>IFERROR(__xludf.DUMMYFUNCTION("GOOGLETRANSLATE(C5609, ""en"", ""fa"")
"),"چگونه متخصصان املاک و مستغلات می توانند از تجزیه و تحلیل داده ها و مدل سازی پیش بینی برای پیش بینی و پاسخ به اختلالات بازار استفاده کنند؟")</f>
        <v>چگونه متخصصان املاک و مستغلات می توانند از تجزیه و تحلیل داده ها و مدل سازی پیش بینی برای پیش بینی و پاسخ به اختلالات بازار استفاده کنند؟</v>
      </c>
      <c r="H5609" s="1"/>
      <c r="I5609" s="1"/>
      <c r="J5609" s="1"/>
      <c r="K5609" s="1"/>
      <c r="L5609" s="1"/>
      <c r="M5609" s="1"/>
      <c r="N5609" s="1"/>
      <c r="O5609" s="1"/>
      <c r="P5609" s="1"/>
      <c r="Q5609" s="1"/>
      <c r="R5609" s="1"/>
      <c r="S5609" s="1"/>
      <c r="T5609" s="1"/>
      <c r="U5609" s="1"/>
      <c r="V5609" s="1"/>
      <c r="W5609" s="1"/>
      <c r="X5609" s="1"/>
      <c r="Y5609" s="1"/>
      <c r="Z5609" s="1"/>
      <c r="AA5609" s="1"/>
      <c r="AB5609" s="1"/>
    </row>
    <row r="5610" ht="50.25" customHeight="1">
      <c r="A5610" s="12">
        <v>5606.0</v>
      </c>
      <c r="B5610" s="13" t="s">
        <v>5027</v>
      </c>
      <c r="C5610" s="18" t="s">
        <v>5630</v>
      </c>
      <c r="D5610" s="1"/>
      <c r="E5610" s="1"/>
      <c r="F5610" s="1" t="str">
        <f>IFERROR(__xludf.DUMMYFUNCTION("GOOGLETRANSLATE(B5610, ""en"", ""fa"")
"),"املاک و مستغلات برای حرفه ای ها")</f>
        <v>املاک و مستغلات برای حرفه ای ها</v>
      </c>
      <c r="G5610" s="1" t="str">
        <f>IFERROR(__xludf.DUMMYFUNCTION("GOOGLETRANSLATE(C5610, ""en"", ""fa"")
"),"متخصصان املاک و مستغلات چه استراتژی هایی می توانند برای کاهش خطرات مرتبط با نوسانات و اختلالات بازار به کار گیرند؟")</f>
        <v>متخصصان املاک و مستغلات چه استراتژی هایی می توانند برای کاهش خطرات مرتبط با نوسانات و اختلالات بازار به کار گیرند؟</v>
      </c>
      <c r="H5610" s="1"/>
      <c r="I5610" s="1"/>
      <c r="J5610" s="1"/>
      <c r="K5610" s="1"/>
      <c r="L5610" s="1"/>
      <c r="M5610" s="1"/>
      <c r="N5610" s="1"/>
      <c r="O5610" s="1"/>
      <c r="P5610" s="1"/>
      <c r="Q5610" s="1"/>
      <c r="R5610" s="1"/>
      <c r="S5610" s="1"/>
      <c r="T5610" s="1"/>
      <c r="U5610" s="1"/>
      <c r="V5610" s="1"/>
      <c r="W5610" s="1"/>
      <c r="X5610" s="1"/>
      <c r="Y5610" s="1"/>
      <c r="Z5610" s="1"/>
      <c r="AA5610" s="1"/>
      <c r="AB5610" s="1"/>
    </row>
    <row r="5611" ht="50.25" customHeight="1">
      <c r="A5611" s="12">
        <v>5607.0</v>
      </c>
      <c r="B5611" s="13" t="s">
        <v>5027</v>
      </c>
      <c r="C5611" s="18" t="s">
        <v>5631</v>
      </c>
      <c r="D5611" s="1"/>
      <c r="E5611" s="1"/>
      <c r="F5611" s="1" t="str">
        <f>IFERROR(__xludf.DUMMYFUNCTION("GOOGLETRANSLATE(B5611, ""en"", ""fa"")
"),"املاک و مستغلات برای حرفه ای ها")</f>
        <v>املاک و مستغلات برای حرفه ای ها</v>
      </c>
      <c r="G5611" s="1" t="str">
        <f>IFERROR(__xludf.DUMMYFUNCTION("GOOGLETRANSLATE(C5611, ""en"", ""fa"")
"),"چگونه متخصصان املاک و مستغلات می توانند استراتژی های بازاریابی و تبلیغات خود را برای دستیابی به مشتریان و تعامل با آنها در بحبوحه اختلالات بازار تطبیق دهند؟")</f>
        <v>چگونه متخصصان املاک و مستغلات می توانند استراتژی های بازاریابی و تبلیغات خود را برای دستیابی به مشتریان و تعامل با آنها در بحبوحه اختلالات بازار تطبیق دهند؟</v>
      </c>
      <c r="H5611" s="1"/>
      <c r="I5611" s="1"/>
      <c r="J5611" s="1"/>
      <c r="K5611" s="1"/>
      <c r="L5611" s="1"/>
      <c r="M5611" s="1"/>
      <c r="N5611" s="1"/>
      <c r="O5611" s="1"/>
      <c r="P5611" s="1"/>
      <c r="Q5611" s="1"/>
      <c r="R5611" s="1"/>
      <c r="S5611" s="1"/>
      <c r="T5611" s="1"/>
      <c r="U5611" s="1"/>
      <c r="V5611" s="1"/>
      <c r="W5611" s="1"/>
      <c r="X5611" s="1"/>
      <c r="Y5611" s="1"/>
      <c r="Z5611" s="1"/>
      <c r="AA5611" s="1"/>
      <c r="AB5611" s="1"/>
    </row>
    <row r="5612" ht="50.25" customHeight="1">
      <c r="A5612" s="12">
        <v>5608.0</v>
      </c>
      <c r="B5612" s="13" t="s">
        <v>5027</v>
      </c>
      <c r="C5612" s="18" t="s">
        <v>5632</v>
      </c>
      <c r="D5612" s="1"/>
      <c r="E5612" s="1"/>
      <c r="F5612" s="1" t="str">
        <f>IFERROR(__xludf.DUMMYFUNCTION("GOOGLETRANSLATE(B5612, ""en"", ""fa"")
"),"املاک و مستغلات برای حرفه ای ها")</f>
        <v>املاک و مستغلات برای حرفه ای ها</v>
      </c>
      <c r="G5612" s="1" t="str">
        <f>IFERROR(__xludf.DUMMYFUNCTION("GOOGLETRANSLATE(C5612, ""en"", ""fa"")
"),"چالش ها و فرصت های کلیدی برای متخصصان املاک و مستغلات در هنگام فعالیت در یک بازار بسیار رقابتی با اختلالات مکرر چیست؟")</f>
        <v>چالش ها و فرصت های کلیدی برای متخصصان املاک و مستغلات در هنگام فعالیت در یک بازار بسیار رقابتی با اختلالات مکرر چیست؟</v>
      </c>
      <c r="H5612" s="1"/>
      <c r="I5612" s="1"/>
      <c r="J5612" s="1"/>
      <c r="K5612" s="1"/>
      <c r="L5612" s="1"/>
      <c r="M5612" s="1"/>
      <c r="N5612" s="1"/>
      <c r="O5612" s="1"/>
      <c r="P5612" s="1"/>
      <c r="Q5612" s="1"/>
      <c r="R5612" s="1"/>
      <c r="S5612" s="1"/>
      <c r="T5612" s="1"/>
      <c r="U5612" s="1"/>
      <c r="V5612" s="1"/>
      <c r="W5612" s="1"/>
      <c r="X5612" s="1"/>
      <c r="Y5612" s="1"/>
      <c r="Z5612" s="1"/>
      <c r="AA5612" s="1"/>
      <c r="AB5612" s="1"/>
    </row>
    <row r="5613" ht="50.25" customHeight="1">
      <c r="A5613" s="12">
        <v>5609.0</v>
      </c>
      <c r="B5613" s="13" t="s">
        <v>5027</v>
      </c>
      <c r="C5613" s="18" t="s">
        <v>5633</v>
      </c>
      <c r="D5613" s="1"/>
      <c r="E5613" s="1"/>
      <c r="F5613" s="1" t="str">
        <f>IFERROR(__xludf.DUMMYFUNCTION("GOOGLETRANSLATE(B5613, ""en"", ""fa"")
"),"املاک و مستغلات برای حرفه ای ها")</f>
        <v>املاک و مستغلات برای حرفه ای ها</v>
      </c>
      <c r="G5613" s="1" t="str">
        <f>IFERROR(__xludf.DUMMYFUNCTION("GOOGLETRANSLATE(C5613, ""en"", ""fa"")
"),"چگونه متخصصان املاک و مستغلات می توانند به طور موثر با مشتریان در طول دوره های نوسانات و عدم اطمینان بازار ارتباط برقرار کرده و به آنها اطمینان دهند؟")</f>
        <v>چگونه متخصصان املاک و مستغلات می توانند به طور موثر با مشتریان در طول دوره های نوسانات و عدم اطمینان بازار ارتباط برقرار کرده و به آنها اطمینان دهند؟</v>
      </c>
      <c r="H5613" s="1"/>
      <c r="I5613" s="1"/>
      <c r="J5613" s="1"/>
      <c r="K5613" s="1"/>
      <c r="L5613" s="1"/>
      <c r="M5613" s="1"/>
      <c r="N5613" s="1"/>
      <c r="O5613" s="1"/>
      <c r="P5613" s="1"/>
      <c r="Q5613" s="1"/>
      <c r="R5613" s="1"/>
      <c r="S5613" s="1"/>
      <c r="T5613" s="1"/>
      <c r="U5613" s="1"/>
      <c r="V5613" s="1"/>
      <c r="W5613" s="1"/>
      <c r="X5613" s="1"/>
      <c r="Y5613" s="1"/>
      <c r="Z5613" s="1"/>
      <c r="AA5613" s="1"/>
      <c r="AB5613" s="1"/>
    </row>
    <row r="5614" ht="50.25" customHeight="1">
      <c r="A5614" s="12">
        <v>5610.0</v>
      </c>
      <c r="B5614" s="13" t="s">
        <v>5027</v>
      </c>
      <c r="C5614" s="18" t="s">
        <v>5634</v>
      </c>
      <c r="D5614" s="1"/>
      <c r="E5614" s="1"/>
      <c r="F5614" s="1" t="str">
        <f>IFERROR(__xludf.DUMMYFUNCTION("GOOGLETRANSLATE(B5614, ""en"", ""fa"")
"),"املاک و مستغلات برای حرفه ای ها")</f>
        <v>املاک و مستغلات برای حرفه ای ها</v>
      </c>
      <c r="G5614" s="1" t="str">
        <f>IFERROR(__xludf.DUMMYFUNCTION("GOOGLETRANSLATE(C5614, ""en"", ""fa"")
"),"متخصصان املاک و مستغلات برای غلبه بر چالش‌های مالی ناشی از اختلالات بازار، چه گزینه‌ها و استراتژی‌های نوآورانه تامین مالی را می‌توانند بررسی کنند؟")</f>
        <v>متخصصان املاک و مستغلات برای غلبه بر چالش‌های مالی ناشی از اختلالات بازار، چه گزینه‌ها و استراتژی‌های نوآورانه تامین مالی را می‌توانند بررسی کنند؟</v>
      </c>
      <c r="H5614" s="1"/>
      <c r="I5614" s="1"/>
      <c r="J5614" s="1"/>
      <c r="K5614" s="1"/>
      <c r="L5614" s="1"/>
      <c r="M5614" s="1"/>
      <c r="N5614" s="1"/>
      <c r="O5614" s="1"/>
      <c r="P5614" s="1"/>
      <c r="Q5614" s="1"/>
      <c r="R5614" s="1"/>
      <c r="S5614" s="1"/>
      <c r="T5614" s="1"/>
      <c r="U5614" s="1"/>
      <c r="V5614" s="1"/>
      <c r="W5614" s="1"/>
      <c r="X5614" s="1"/>
      <c r="Y5614" s="1"/>
      <c r="Z5614" s="1"/>
      <c r="AA5614" s="1"/>
      <c r="AB5614" s="1"/>
    </row>
    <row r="5615" ht="50.25" customHeight="1">
      <c r="A5615" s="12">
        <v>5611.0</v>
      </c>
      <c r="B5615" s="13" t="s">
        <v>5027</v>
      </c>
      <c r="C5615" s="18" t="s">
        <v>5635</v>
      </c>
      <c r="D5615" s="1"/>
      <c r="E5615" s="1"/>
      <c r="F5615" s="1" t="str">
        <f>IFERROR(__xludf.DUMMYFUNCTION("GOOGLETRANSLATE(B5615, ""en"", ""fa"")
"),"املاک و مستغلات برای حرفه ای ها")</f>
        <v>املاک و مستغلات برای حرفه ای ها</v>
      </c>
      <c r="G5615" s="1" t="str">
        <f>IFERROR(__xludf.DUMMYFUNCTION("GOOGLETRANSLATE(C5615, ""en"", ""fa"")
"),"چگونه متخصصان املاک و مستغلات می توانند از روندهای بازارهای نوظهور و اختلالات احتمالی مطلع و به روز باشند؟")</f>
        <v>چگونه متخصصان املاک و مستغلات می توانند از روندهای بازارهای نوظهور و اختلالات احتمالی مطلع و به روز باشند؟</v>
      </c>
      <c r="H5615" s="1"/>
      <c r="I5615" s="1"/>
      <c r="J5615" s="1"/>
      <c r="K5615" s="1"/>
      <c r="L5615" s="1"/>
      <c r="M5615" s="1"/>
      <c r="N5615" s="1"/>
      <c r="O5615" s="1"/>
      <c r="P5615" s="1"/>
      <c r="Q5615" s="1"/>
      <c r="R5615" s="1"/>
      <c r="S5615" s="1"/>
      <c r="T5615" s="1"/>
      <c r="U5615" s="1"/>
      <c r="V5615" s="1"/>
      <c r="W5615" s="1"/>
      <c r="X5615" s="1"/>
      <c r="Y5615" s="1"/>
      <c r="Z5615" s="1"/>
      <c r="AA5615" s="1"/>
      <c r="AB5615" s="1"/>
    </row>
    <row r="5616" ht="50.25" customHeight="1">
      <c r="A5616" s="12">
        <v>5612.0</v>
      </c>
      <c r="B5616" s="13" t="s">
        <v>5027</v>
      </c>
      <c r="C5616" s="18" t="s">
        <v>5636</v>
      </c>
      <c r="D5616" s="1"/>
      <c r="E5616" s="1"/>
      <c r="F5616" s="1" t="str">
        <f>IFERROR(__xludf.DUMMYFUNCTION("GOOGLETRANSLATE(B5616, ""en"", ""fa"")
"),"املاک و مستغلات برای حرفه ای ها")</f>
        <v>املاک و مستغلات برای حرفه ای ها</v>
      </c>
      <c r="G5616" s="1" t="str">
        <f>IFERROR(__xludf.DUMMYFUNCTION("GOOGLETRANSLATE(C5616, ""en"", ""fa"")
"),"ملاحظات کلیدی برای متخصصان املاک در هنگام تنوع بخشیدن به سبد سرمایه گذاری خود برای مقاومت در برابر اختلالات بازار چیست؟")</f>
        <v>ملاحظات کلیدی برای متخصصان املاک در هنگام تنوع بخشیدن به سبد سرمایه گذاری خود برای مقاومت در برابر اختلالات بازار چیست؟</v>
      </c>
      <c r="H5616" s="1"/>
      <c r="I5616" s="1"/>
      <c r="J5616" s="1"/>
      <c r="K5616" s="1"/>
      <c r="L5616" s="1"/>
      <c r="M5616" s="1"/>
      <c r="N5616" s="1"/>
      <c r="O5616" s="1"/>
      <c r="P5616" s="1"/>
      <c r="Q5616" s="1"/>
      <c r="R5616" s="1"/>
      <c r="S5616" s="1"/>
      <c r="T5616" s="1"/>
      <c r="U5616" s="1"/>
      <c r="V5616" s="1"/>
      <c r="W5616" s="1"/>
      <c r="X5616" s="1"/>
      <c r="Y5616" s="1"/>
      <c r="Z5616" s="1"/>
      <c r="AA5616" s="1"/>
      <c r="AB5616" s="1"/>
    </row>
    <row r="5617" ht="50.25" customHeight="1">
      <c r="A5617" s="12">
        <v>5613.0</v>
      </c>
      <c r="B5617" s="13" t="s">
        <v>5027</v>
      </c>
      <c r="C5617" s="18" t="s">
        <v>5637</v>
      </c>
      <c r="D5617" s="1"/>
      <c r="E5617" s="1"/>
      <c r="F5617" s="1" t="str">
        <f>IFERROR(__xludf.DUMMYFUNCTION("GOOGLETRANSLATE(B5617, ""en"", ""fa"")
"),"املاک و مستغلات برای حرفه ای ها")</f>
        <v>املاک و مستغلات برای حرفه ای ها</v>
      </c>
      <c r="G5617" s="1" t="str">
        <f>IFERROR(__xludf.DUMMYFUNCTION("GOOGLETRANSLATE(C5617, ""en"", ""fa"")
"),"چگونه متخصصان املاک و مستغلات می توانند از فناوری و اتوماسیون برای ساده کردن عملیات تجاری خود و سازگاری با اختلالات بازار استفاده کنند؟")</f>
        <v>چگونه متخصصان املاک و مستغلات می توانند از فناوری و اتوماسیون برای ساده کردن عملیات تجاری خود و سازگاری با اختلالات بازار استفاده کنند؟</v>
      </c>
      <c r="H5617" s="1"/>
      <c r="I5617" s="1"/>
      <c r="J5617" s="1"/>
      <c r="K5617" s="1"/>
      <c r="L5617" s="1"/>
      <c r="M5617" s="1"/>
      <c r="N5617" s="1"/>
      <c r="O5617" s="1"/>
      <c r="P5617" s="1"/>
      <c r="Q5617" s="1"/>
      <c r="R5617" s="1"/>
      <c r="S5617" s="1"/>
      <c r="T5617" s="1"/>
      <c r="U5617" s="1"/>
      <c r="V5617" s="1"/>
      <c r="W5617" s="1"/>
      <c r="X5617" s="1"/>
      <c r="Y5617" s="1"/>
      <c r="Z5617" s="1"/>
      <c r="AA5617" s="1"/>
      <c r="AB5617" s="1"/>
    </row>
    <row r="5618" ht="50.25" customHeight="1">
      <c r="A5618" s="12">
        <v>5614.0</v>
      </c>
      <c r="B5618" s="13" t="s">
        <v>5027</v>
      </c>
      <c r="C5618" s="18" t="s">
        <v>5638</v>
      </c>
      <c r="D5618" s="1"/>
      <c r="E5618" s="1"/>
      <c r="F5618" s="1" t="str">
        <f>IFERROR(__xludf.DUMMYFUNCTION("GOOGLETRANSLATE(B5618, ""en"", ""fa"")
"),"املاک و مستغلات برای حرفه ای ها")</f>
        <v>املاک و مستغلات برای حرفه ای ها</v>
      </c>
      <c r="G5618" s="1" t="str">
        <f>IFERROR(__xludf.DUMMYFUNCTION("GOOGLETRANSLATE(C5618, ""en"", ""fa"")
"),"متخصصان املاک و مستغلات چه استراتژی هایی می توانند برای شناسایی و استفاده از فرصت های جدید بازار ناشی از اختلالات بازار به کار گیرند؟")</f>
        <v>متخصصان املاک و مستغلات چه استراتژی هایی می توانند برای شناسایی و استفاده از فرصت های جدید بازار ناشی از اختلالات بازار به کار گیرند؟</v>
      </c>
      <c r="H5618" s="1"/>
      <c r="I5618" s="1"/>
      <c r="J5618" s="1"/>
      <c r="K5618" s="1"/>
      <c r="L5618" s="1"/>
      <c r="M5618" s="1"/>
      <c r="N5618" s="1"/>
      <c r="O5618" s="1"/>
      <c r="P5618" s="1"/>
      <c r="Q5618" s="1"/>
      <c r="R5618" s="1"/>
      <c r="S5618" s="1"/>
      <c r="T5618" s="1"/>
      <c r="U5618" s="1"/>
      <c r="V5618" s="1"/>
      <c r="W5618" s="1"/>
      <c r="X5618" s="1"/>
      <c r="Y5618" s="1"/>
      <c r="Z5618" s="1"/>
      <c r="AA5618" s="1"/>
      <c r="AB5618" s="1"/>
    </row>
    <row r="5619" ht="50.25" customHeight="1">
      <c r="A5619" s="12">
        <v>5615.0</v>
      </c>
      <c r="B5619" s="13" t="s">
        <v>5027</v>
      </c>
      <c r="C5619" s="18" t="s">
        <v>5639</v>
      </c>
      <c r="D5619" s="1"/>
      <c r="E5619" s="1"/>
      <c r="F5619" s="1" t="str">
        <f>IFERROR(__xludf.DUMMYFUNCTION("GOOGLETRANSLATE(B5619, ""en"", ""fa"")
"),"املاک و مستغلات برای حرفه ای ها")</f>
        <v>املاک و مستغلات برای حرفه ای ها</v>
      </c>
      <c r="G5619" s="1" t="str">
        <f>IFERROR(__xludf.DUMMYFUNCTION("GOOGLETRANSLATE(C5619, ""en"", ""fa"")
"),"چگونه متخصصان املاک و مستغلات می توانند مدل های تجاری انعطاف پذیر و سازگار ایجاد کنند تا در چشم انداز بازار به سرعت در حال تغییر رشد کنند؟")</f>
        <v>چگونه متخصصان املاک و مستغلات می توانند مدل های تجاری انعطاف پذیر و سازگار ایجاد کنند تا در چشم انداز بازار به سرعت در حال تغییر رشد کنند؟</v>
      </c>
      <c r="H5619" s="1"/>
      <c r="I5619" s="1"/>
      <c r="J5619" s="1"/>
      <c r="K5619" s="1"/>
      <c r="L5619" s="1"/>
      <c r="M5619" s="1"/>
      <c r="N5619" s="1"/>
      <c r="O5619" s="1"/>
      <c r="P5619" s="1"/>
      <c r="Q5619" s="1"/>
      <c r="R5619" s="1"/>
      <c r="S5619" s="1"/>
      <c r="T5619" s="1"/>
      <c r="U5619" s="1"/>
      <c r="V5619" s="1"/>
      <c r="W5619" s="1"/>
      <c r="X5619" s="1"/>
      <c r="Y5619" s="1"/>
      <c r="Z5619" s="1"/>
      <c r="AA5619" s="1"/>
      <c r="AB5619" s="1"/>
    </row>
    <row r="5620" ht="50.25" customHeight="1">
      <c r="A5620" s="12">
        <v>5616.0</v>
      </c>
      <c r="B5620" s="13" t="s">
        <v>5027</v>
      </c>
      <c r="C5620" s="18" t="s">
        <v>5640</v>
      </c>
      <c r="D5620" s="1"/>
      <c r="E5620" s="1"/>
      <c r="F5620" s="1" t="str">
        <f>IFERROR(__xludf.DUMMYFUNCTION("GOOGLETRANSLATE(B5620, ""en"", ""fa"")
"),"املاک و مستغلات برای حرفه ای ها")</f>
        <v>املاک و مستغلات برای حرفه ای ها</v>
      </c>
      <c r="G5620" s="1" t="str">
        <f>IFERROR(__xludf.DUMMYFUNCTION("GOOGLETRANSLATE(C5620, ""en"", ""fa"")
"),"اثرات بالقوه بلندمدت اختلالات بازار بر استراتژی های سرمایه گذاری املاک و مستغلات و ارزیابی دارایی ها چیست؟")</f>
        <v>اثرات بالقوه بلندمدت اختلالات بازار بر استراتژی های سرمایه گذاری املاک و مستغلات و ارزیابی دارایی ها چیست؟</v>
      </c>
      <c r="H5620" s="1"/>
      <c r="I5620" s="1"/>
      <c r="J5620" s="1"/>
      <c r="K5620" s="1"/>
      <c r="L5620" s="1"/>
      <c r="M5620" s="1"/>
      <c r="N5620" s="1"/>
      <c r="O5620" s="1"/>
      <c r="P5620" s="1"/>
      <c r="Q5620" s="1"/>
      <c r="R5620" s="1"/>
      <c r="S5620" s="1"/>
      <c r="T5620" s="1"/>
      <c r="U5620" s="1"/>
      <c r="V5620" s="1"/>
      <c r="W5620" s="1"/>
      <c r="X5620" s="1"/>
      <c r="Y5620" s="1"/>
      <c r="Z5620" s="1"/>
      <c r="AA5620" s="1"/>
      <c r="AB5620" s="1"/>
    </row>
    <row r="5621" ht="50.25" customHeight="1">
      <c r="A5621" s="12">
        <v>5617.0</v>
      </c>
      <c r="B5621" s="13" t="s">
        <v>5027</v>
      </c>
      <c r="C5621" s="18" t="s">
        <v>5641</v>
      </c>
      <c r="D5621" s="1"/>
      <c r="E5621" s="1"/>
      <c r="F5621" s="1" t="str">
        <f>IFERROR(__xludf.DUMMYFUNCTION("GOOGLETRANSLATE(B5621, ""en"", ""fa"")
"),"املاک و مستغلات برای حرفه ای ها")</f>
        <v>املاک و مستغلات برای حرفه ای ها</v>
      </c>
      <c r="G5621" s="1" t="str">
        <f>IFERROR(__xludf.DUMMYFUNCTION("GOOGLETRANSLATE(C5621, ""en"", ""fa"")
"),"چگونه متخصصان املاک و مستغلات می توانند انتظارات مشتری را به طور موثر مدیریت کنند و ارزیابی های دقیق بازار را در زمان اختلالات بازار ارائه دهند؟")</f>
        <v>چگونه متخصصان املاک و مستغلات می توانند انتظارات مشتری را به طور موثر مدیریت کنند و ارزیابی های دقیق بازار را در زمان اختلالات بازار ارائه دهند؟</v>
      </c>
      <c r="H5621" s="1"/>
      <c r="I5621" s="1"/>
      <c r="J5621" s="1"/>
      <c r="K5621" s="1"/>
      <c r="L5621" s="1"/>
      <c r="M5621" s="1"/>
      <c r="N5621" s="1"/>
      <c r="O5621" s="1"/>
      <c r="P5621" s="1"/>
      <c r="Q5621" s="1"/>
      <c r="R5621" s="1"/>
      <c r="S5621" s="1"/>
      <c r="T5621" s="1"/>
      <c r="U5621" s="1"/>
      <c r="V5621" s="1"/>
      <c r="W5621" s="1"/>
      <c r="X5621" s="1"/>
      <c r="Y5621" s="1"/>
      <c r="Z5621" s="1"/>
      <c r="AA5621" s="1"/>
      <c r="AB5621" s="1"/>
    </row>
    <row r="5622" ht="50.25" customHeight="1">
      <c r="A5622" s="12">
        <v>5618.0</v>
      </c>
      <c r="B5622" s="13" t="s">
        <v>5027</v>
      </c>
      <c r="C5622" s="18" t="s">
        <v>5642</v>
      </c>
      <c r="D5622" s="1"/>
      <c r="E5622" s="1"/>
      <c r="F5622" s="1" t="str">
        <f>IFERROR(__xludf.DUMMYFUNCTION("GOOGLETRANSLATE(B5622, ""en"", ""fa"")
"),"املاک و مستغلات برای حرفه ای ها")</f>
        <v>املاک و مستغلات برای حرفه ای ها</v>
      </c>
      <c r="G5622" s="1" t="str">
        <f>IFERROR(__xludf.DUMMYFUNCTION("GOOGLETRANSLATE(C5622, ""en"", ""fa"")
"),"متخصصان املاک و مستغلات برای محافظت از سرمایه گذاری خود در برابر اختلالات بازار چه استراتژی های مدیریت ریسک و گزینه های بیمه ای را باید در نظر بگیرند؟")</f>
        <v>متخصصان املاک و مستغلات برای محافظت از سرمایه گذاری خود در برابر اختلالات بازار چه استراتژی های مدیریت ریسک و گزینه های بیمه ای را باید در نظر بگیرند؟</v>
      </c>
      <c r="H5622" s="1"/>
      <c r="I5622" s="1"/>
      <c r="J5622" s="1"/>
      <c r="K5622" s="1"/>
      <c r="L5622" s="1"/>
      <c r="M5622" s="1"/>
      <c r="N5622" s="1"/>
      <c r="O5622" s="1"/>
      <c r="P5622" s="1"/>
      <c r="Q5622" s="1"/>
      <c r="R5622" s="1"/>
      <c r="S5622" s="1"/>
      <c r="T5622" s="1"/>
      <c r="U5622" s="1"/>
      <c r="V5622" s="1"/>
      <c r="W5622" s="1"/>
      <c r="X5622" s="1"/>
      <c r="Y5622" s="1"/>
      <c r="Z5622" s="1"/>
      <c r="AA5622" s="1"/>
      <c r="AB5622" s="1"/>
    </row>
    <row r="5623" ht="50.25" customHeight="1">
      <c r="A5623" s="12">
        <v>5619.0</v>
      </c>
      <c r="B5623" s="13" t="s">
        <v>5027</v>
      </c>
      <c r="C5623" s="18" t="s">
        <v>5643</v>
      </c>
      <c r="D5623" s="1"/>
      <c r="E5623" s="1"/>
      <c r="F5623" s="1" t="str">
        <f>IFERROR(__xludf.DUMMYFUNCTION("GOOGLETRANSLATE(B5623, ""en"", ""fa"")
"),"املاک و مستغلات برای حرفه ای ها")</f>
        <v>املاک و مستغلات برای حرفه ای ها</v>
      </c>
      <c r="G5623" s="1" t="str">
        <f>IFERROR(__xludf.DUMMYFUNCTION("GOOGLETRANSLATE(C5623, ""en"", ""fa"")
"),"چگونه متخصصان املاک و مستغلات می توانند از رسانه های اجتماعی و پلت فرم های آنلاین برای حفظ حضور قوی در بازار و تعامل با مشتریان در هنگام اختلالات بازار استفاده کنند؟")</f>
        <v>چگونه متخصصان املاک و مستغلات می توانند از رسانه های اجتماعی و پلت فرم های آنلاین برای حفظ حضور قوی در بازار و تعامل با مشتریان در هنگام اختلالات بازار استفاده کنند؟</v>
      </c>
      <c r="H5623" s="1"/>
      <c r="I5623" s="1"/>
      <c r="J5623" s="1"/>
      <c r="K5623" s="1"/>
      <c r="L5623" s="1"/>
      <c r="M5623" s="1"/>
      <c r="N5623" s="1"/>
      <c r="O5623" s="1"/>
      <c r="P5623" s="1"/>
      <c r="Q5623" s="1"/>
      <c r="R5623" s="1"/>
      <c r="S5623" s="1"/>
      <c r="T5623" s="1"/>
      <c r="U5623" s="1"/>
      <c r="V5623" s="1"/>
      <c r="W5623" s="1"/>
      <c r="X5623" s="1"/>
      <c r="Y5623" s="1"/>
      <c r="Z5623" s="1"/>
      <c r="AA5623" s="1"/>
      <c r="AB5623" s="1"/>
    </row>
    <row r="5624" ht="50.25" customHeight="1">
      <c r="A5624" s="12">
        <v>5620.0</v>
      </c>
      <c r="B5624" s="13" t="s">
        <v>5027</v>
      </c>
      <c r="C5624" s="18" t="s">
        <v>5644</v>
      </c>
      <c r="D5624" s="1"/>
      <c r="E5624" s="1"/>
      <c r="F5624" s="1" t="str">
        <f>IFERROR(__xludf.DUMMYFUNCTION("GOOGLETRANSLATE(B5624, ""en"", ""fa"")
"),"املاک و مستغلات برای حرفه ای ها")</f>
        <v>املاک و مستغلات برای حرفه ای ها</v>
      </c>
      <c r="G5624" s="1" t="str">
        <f>IFERROR(__xludf.DUMMYFUNCTION("GOOGLETRANSLATE(C5624, ""en"", ""fa"")
"),"ملاحظات کلیدی برای متخصصان املاک و مستغلات در هنگام تنوع بخشیدن به خدمات یا گسترش به بازارهای جدید املاک و مستغلات در پاسخ به اختلالات چیست؟")</f>
        <v>ملاحظات کلیدی برای متخصصان املاک و مستغلات در هنگام تنوع بخشیدن به خدمات یا گسترش به بازارهای جدید املاک و مستغلات در پاسخ به اختلالات چیست؟</v>
      </c>
      <c r="H5624" s="1"/>
      <c r="I5624" s="1"/>
      <c r="J5624" s="1"/>
      <c r="K5624" s="1"/>
      <c r="L5624" s="1"/>
      <c r="M5624" s="1"/>
      <c r="N5624" s="1"/>
      <c r="O5624" s="1"/>
      <c r="P5624" s="1"/>
      <c r="Q5624" s="1"/>
      <c r="R5624" s="1"/>
      <c r="S5624" s="1"/>
      <c r="T5624" s="1"/>
      <c r="U5624" s="1"/>
      <c r="V5624" s="1"/>
      <c r="W5624" s="1"/>
      <c r="X5624" s="1"/>
      <c r="Y5624" s="1"/>
      <c r="Z5624" s="1"/>
      <c r="AA5624" s="1"/>
      <c r="AB5624" s="1"/>
    </row>
    <row r="5625" ht="50.25" customHeight="1">
      <c r="A5625" s="12">
        <v>5621.0</v>
      </c>
      <c r="B5625" s="13" t="s">
        <v>5027</v>
      </c>
      <c r="C5625" s="18" t="s">
        <v>5645</v>
      </c>
      <c r="D5625" s="1"/>
      <c r="E5625" s="1"/>
      <c r="F5625" s="1" t="str">
        <f>IFERROR(__xludf.DUMMYFUNCTION("GOOGLETRANSLATE(B5625, ""en"", ""fa"")
"),"املاک و مستغلات برای حرفه ای ها")</f>
        <v>املاک و مستغلات برای حرفه ای ها</v>
      </c>
      <c r="G5625" s="1" t="str">
        <f>IFERROR(__xludf.DUMMYFUNCTION("GOOGLETRANSLATE(C5625, ""en"", ""fa"")
"),"چگونه متخصصان املاک و مستغلات می توانند به طور فعال چالش های قانونی و نظارتی بالقوه ناشی از اختلالات بازار را شناسایی کرده و به آنها رسیدگی کنند؟")</f>
        <v>چگونه متخصصان املاک و مستغلات می توانند به طور فعال چالش های قانونی و نظارتی بالقوه ناشی از اختلالات بازار را شناسایی کرده و به آنها رسیدگی کنند؟</v>
      </c>
      <c r="H5625" s="1"/>
      <c r="I5625" s="1"/>
      <c r="J5625" s="1"/>
      <c r="K5625" s="1"/>
      <c r="L5625" s="1"/>
      <c r="M5625" s="1"/>
      <c r="N5625" s="1"/>
      <c r="O5625" s="1"/>
      <c r="P5625" s="1"/>
      <c r="Q5625" s="1"/>
      <c r="R5625" s="1"/>
      <c r="S5625" s="1"/>
      <c r="T5625" s="1"/>
      <c r="U5625" s="1"/>
      <c r="V5625" s="1"/>
      <c r="W5625" s="1"/>
      <c r="X5625" s="1"/>
      <c r="Y5625" s="1"/>
      <c r="Z5625" s="1"/>
      <c r="AA5625" s="1"/>
      <c r="AB5625" s="1"/>
    </row>
    <row r="5626" ht="50.25" customHeight="1">
      <c r="A5626" s="12">
        <v>5622.0</v>
      </c>
      <c r="B5626" s="13" t="s">
        <v>5027</v>
      </c>
      <c r="C5626" s="18" t="s">
        <v>5646</v>
      </c>
      <c r="D5626" s="1"/>
      <c r="E5626" s="1"/>
      <c r="F5626" s="1" t="str">
        <f>IFERROR(__xludf.DUMMYFUNCTION("GOOGLETRANSLATE(B5626, ""en"", ""fa"")
"),"املاک و مستغلات برای حرفه ای ها")</f>
        <v>املاک و مستغلات برای حرفه ای ها</v>
      </c>
      <c r="G5626" s="1" t="str">
        <f>IFERROR(__xludf.DUMMYFUNCTION("GOOGLETRANSLATE(C5626, ""en"", ""fa"")
"),"متخصصان املاک و مستغلات چه استراتژی هایی می توانند برای ایجاد و حفظ روابط قوی با شرکای صنعت و سهامداران در هنگام اختلالات بازار به کار گیرند؟")</f>
        <v>متخصصان املاک و مستغلات چه استراتژی هایی می توانند برای ایجاد و حفظ روابط قوی با شرکای صنعت و سهامداران در هنگام اختلالات بازار به کار گیرند؟</v>
      </c>
      <c r="H5626" s="1"/>
      <c r="I5626" s="1"/>
      <c r="J5626" s="1"/>
      <c r="K5626" s="1"/>
      <c r="L5626" s="1"/>
      <c r="M5626" s="1"/>
      <c r="N5626" s="1"/>
      <c r="O5626" s="1"/>
      <c r="P5626" s="1"/>
      <c r="Q5626" s="1"/>
      <c r="R5626" s="1"/>
      <c r="S5626" s="1"/>
      <c r="T5626" s="1"/>
      <c r="U5626" s="1"/>
      <c r="V5626" s="1"/>
      <c r="W5626" s="1"/>
      <c r="X5626" s="1"/>
      <c r="Y5626" s="1"/>
      <c r="Z5626" s="1"/>
      <c r="AA5626" s="1"/>
      <c r="AB5626" s="1"/>
    </row>
    <row r="5627" ht="50.25" customHeight="1">
      <c r="A5627" s="12">
        <v>5623.0</v>
      </c>
      <c r="B5627" s="13" t="s">
        <v>5027</v>
      </c>
      <c r="C5627" s="18" t="s">
        <v>5647</v>
      </c>
      <c r="D5627" s="1"/>
      <c r="E5627" s="1"/>
      <c r="F5627" s="1" t="str">
        <f>IFERROR(__xludf.DUMMYFUNCTION("GOOGLETRANSLATE(B5627, ""en"", ""fa"")
"),"املاک و مستغلات برای حرفه ای ها")</f>
        <v>املاک و مستغلات برای حرفه ای ها</v>
      </c>
      <c r="G5627" s="1" t="str">
        <f>IFERROR(__xludf.DUMMYFUNCTION("GOOGLETRANSLATE(C5627, ""en"", ""fa"")
"),"چگونه متخصصان املاک و مستغلات می توانند از فناوری های مجازی و راه دور برای انجام مشاهده و معاملات ملک در زمان اختلالات بازار استفاده کنند؟")</f>
        <v>چگونه متخصصان املاک و مستغلات می توانند از فناوری های مجازی و راه دور برای انجام مشاهده و معاملات ملک در زمان اختلالات بازار استفاده کنند؟</v>
      </c>
      <c r="H5627" s="1"/>
      <c r="I5627" s="1"/>
      <c r="J5627" s="1"/>
      <c r="K5627" s="1"/>
      <c r="L5627" s="1"/>
      <c r="M5627" s="1"/>
      <c r="N5627" s="1"/>
      <c r="O5627" s="1"/>
      <c r="P5627" s="1"/>
      <c r="Q5627" s="1"/>
      <c r="R5627" s="1"/>
      <c r="S5627" s="1"/>
      <c r="T5627" s="1"/>
      <c r="U5627" s="1"/>
      <c r="V5627" s="1"/>
      <c r="W5627" s="1"/>
      <c r="X5627" s="1"/>
      <c r="Y5627" s="1"/>
      <c r="Z5627" s="1"/>
      <c r="AA5627" s="1"/>
      <c r="AB5627" s="1"/>
    </row>
    <row r="5628" ht="50.25" customHeight="1">
      <c r="A5628" s="12">
        <v>5624.0</v>
      </c>
      <c r="B5628" s="13" t="s">
        <v>5027</v>
      </c>
      <c r="C5628" s="18" t="s">
        <v>5648</v>
      </c>
      <c r="D5628" s="1"/>
      <c r="E5628" s="1"/>
      <c r="F5628" s="1" t="str">
        <f>IFERROR(__xludf.DUMMYFUNCTION("GOOGLETRANSLATE(B5628, ""en"", ""fa"")
"),"املاک و مستغلات برای حرفه ای ها")</f>
        <v>املاک و مستغلات برای حرفه ای ها</v>
      </c>
      <c r="G5628" s="1" t="str">
        <f>IFERROR(__xludf.DUMMYFUNCTION("GOOGLETRANSLATE(C5628, ""en"", ""fa"")
"),"متخصصان املاک و مستغلات چه استراتژی های نوآورانه ای در بازاریابی و برندسازی می توانند اتخاذ کنند تا خود را متمایز کنند و در یک بازار رقابتی و آشفته برجسته شوند؟")</f>
        <v>متخصصان املاک و مستغلات چه استراتژی های نوآورانه ای در بازاریابی و برندسازی می توانند اتخاذ کنند تا خود را متمایز کنند و در یک بازار رقابتی و آشفته برجسته شوند؟</v>
      </c>
      <c r="H5628" s="1"/>
      <c r="I5628" s="1"/>
      <c r="J5628" s="1"/>
      <c r="K5628" s="1"/>
      <c r="L5628" s="1"/>
      <c r="M5628" s="1"/>
      <c r="N5628" s="1"/>
      <c r="O5628" s="1"/>
      <c r="P5628" s="1"/>
      <c r="Q5628" s="1"/>
      <c r="R5628" s="1"/>
      <c r="S5628" s="1"/>
      <c r="T5628" s="1"/>
      <c r="U5628" s="1"/>
      <c r="V5628" s="1"/>
      <c r="W5628" s="1"/>
      <c r="X5628" s="1"/>
      <c r="Y5628" s="1"/>
      <c r="Z5628" s="1"/>
      <c r="AA5628" s="1"/>
      <c r="AB5628" s="1"/>
    </row>
    <row r="5629" ht="50.25" customHeight="1">
      <c r="A5629" s="12">
        <v>5625.0</v>
      </c>
      <c r="B5629" s="13" t="s">
        <v>5027</v>
      </c>
      <c r="C5629" s="18" t="s">
        <v>5649</v>
      </c>
      <c r="D5629" s="1"/>
      <c r="E5629" s="1"/>
      <c r="F5629" s="1" t="str">
        <f>IFERROR(__xludf.DUMMYFUNCTION("GOOGLETRANSLATE(B5629, ""en"", ""fa"")
"),"املاک و مستغلات برای حرفه ای ها")</f>
        <v>املاک و مستغلات برای حرفه ای ها</v>
      </c>
      <c r="G5629" s="1" t="str">
        <f>IFERROR(__xludf.DUMMYFUNCTION("GOOGLETRANSLATE(C5629, ""en"", ""fa"")
"),"چگونه متخصصان املاک و مستغلات می توانند به طور موثر داده های بازار را برای شناسایی روندهای نوظهور و پیش بینی اختلالات آینده تجزیه و تحلیل و تفسیر کنند؟")</f>
        <v>چگونه متخصصان املاک و مستغلات می توانند به طور موثر داده های بازار را برای شناسایی روندهای نوظهور و پیش بینی اختلالات آینده تجزیه و تحلیل و تفسیر کنند؟</v>
      </c>
      <c r="H5629" s="1"/>
      <c r="I5629" s="1"/>
      <c r="J5629" s="1"/>
      <c r="K5629" s="1"/>
      <c r="L5629" s="1"/>
      <c r="M5629" s="1"/>
      <c r="N5629" s="1"/>
      <c r="O5629" s="1"/>
      <c r="P5629" s="1"/>
      <c r="Q5629" s="1"/>
      <c r="R5629" s="1"/>
      <c r="S5629" s="1"/>
      <c r="T5629" s="1"/>
      <c r="U5629" s="1"/>
      <c r="V5629" s="1"/>
      <c r="W5629" s="1"/>
      <c r="X5629" s="1"/>
      <c r="Y5629" s="1"/>
      <c r="Z5629" s="1"/>
      <c r="AA5629" s="1"/>
      <c r="AB5629" s="1"/>
    </row>
    <row r="5630" ht="50.25" customHeight="1">
      <c r="A5630" s="12">
        <v>5626.0</v>
      </c>
      <c r="B5630" s="13" t="s">
        <v>5027</v>
      </c>
      <c r="C5630" s="18" t="s">
        <v>5650</v>
      </c>
      <c r="D5630" s="1"/>
      <c r="E5630" s="1"/>
      <c r="F5630" s="1" t="str">
        <f>IFERROR(__xludf.DUMMYFUNCTION("GOOGLETRANSLATE(B5630, ""en"", ""fa"")
"),"املاک و مستغلات برای حرفه ای ها")</f>
        <v>املاک و مستغلات برای حرفه ای ها</v>
      </c>
      <c r="G5630" s="1" t="str">
        <f>IFERROR(__xludf.DUMMYFUNCTION("GOOGLETRANSLATE(C5630, ""en"", ""fa"")
"),"ملاحظات کلیدی برای متخصصان املاک و مستغلات در هنگام تنوع بخشیدن به سبد دارایی های خود برای گنجاندن دارایی هایی که کمتر در معرض اختلالات بازار هستند چیست؟")</f>
        <v>ملاحظات کلیدی برای متخصصان املاک و مستغلات در هنگام تنوع بخشیدن به سبد دارایی های خود برای گنجاندن دارایی هایی که کمتر در معرض اختلالات بازار هستند چیست؟</v>
      </c>
      <c r="H5630" s="1"/>
      <c r="I5630" s="1"/>
      <c r="J5630" s="1"/>
      <c r="K5630" s="1"/>
      <c r="L5630" s="1"/>
      <c r="M5630" s="1"/>
      <c r="N5630" s="1"/>
      <c r="O5630" s="1"/>
      <c r="P5630" s="1"/>
      <c r="Q5630" s="1"/>
      <c r="R5630" s="1"/>
      <c r="S5630" s="1"/>
      <c r="T5630" s="1"/>
      <c r="U5630" s="1"/>
      <c r="V5630" s="1"/>
      <c r="W5630" s="1"/>
      <c r="X5630" s="1"/>
      <c r="Y5630" s="1"/>
      <c r="Z5630" s="1"/>
      <c r="AA5630" s="1"/>
      <c r="AB5630" s="1"/>
    </row>
    <row r="5631" ht="50.25" customHeight="1">
      <c r="A5631" s="12">
        <v>5627.0</v>
      </c>
      <c r="B5631" s="13" t="s">
        <v>5027</v>
      </c>
      <c r="C5631" s="18" t="s">
        <v>5651</v>
      </c>
      <c r="D5631" s="1"/>
      <c r="E5631" s="1"/>
      <c r="F5631" s="1" t="str">
        <f>IFERROR(__xludf.DUMMYFUNCTION("GOOGLETRANSLATE(B5631, ""en"", ""fa"")
"),"املاک و مستغلات برای حرفه ای ها")</f>
        <v>املاک و مستغلات برای حرفه ای ها</v>
      </c>
      <c r="G5631" s="1" t="str">
        <f>IFERROR(__xludf.DUMMYFUNCTION("GOOGLETRANSLATE(C5631, ""en"", ""fa"")
"),"چگونه متخصصان املاک و مستغلات می توانند خدمات ارزش افزوده مانند تحقیق و تجزیه و تحلیل بازار را به مشتریانی که از اختلالات بازار عبور می کنند ارائه دهند؟")</f>
        <v>چگونه متخصصان املاک و مستغلات می توانند خدمات ارزش افزوده مانند تحقیق و تجزیه و تحلیل بازار را به مشتریانی که از اختلالات بازار عبور می کنند ارائه دهند؟</v>
      </c>
      <c r="H5631" s="1"/>
      <c r="I5631" s="1"/>
      <c r="J5631" s="1"/>
      <c r="K5631" s="1"/>
      <c r="L5631" s="1"/>
      <c r="M5631" s="1"/>
      <c r="N5631" s="1"/>
      <c r="O5631" s="1"/>
      <c r="P5631" s="1"/>
      <c r="Q5631" s="1"/>
      <c r="R5631" s="1"/>
      <c r="S5631" s="1"/>
      <c r="T5631" s="1"/>
      <c r="U5631" s="1"/>
      <c r="V5631" s="1"/>
      <c r="W5631" s="1"/>
      <c r="X5631" s="1"/>
      <c r="Y5631" s="1"/>
      <c r="Z5631" s="1"/>
      <c r="AA5631" s="1"/>
      <c r="AB5631" s="1"/>
    </row>
    <row r="5632" ht="50.25" customHeight="1">
      <c r="A5632" s="12">
        <v>5628.0</v>
      </c>
      <c r="B5632" s="13" t="s">
        <v>5027</v>
      </c>
      <c r="C5632" s="18" t="s">
        <v>5652</v>
      </c>
      <c r="D5632" s="1"/>
      <c r="E5632" s="1"/>
      <c r="F5632" s="1" t="str">
        <f>IFERROR(__xludf.DUMMYFUNCTION("GOOGLETRANSLATE(B5632, ""en"", ""fa"")
"),"املاک و مستغلات برای حرفه ای ها")</f>
        <v>املاک و مستغلات برای حرفه ای ها</v>
      </c>
      <c r="G5632" s="1" t="str">
        <f>IFERROR(__xludf.DUMMYFUNCTION("GOOGLETRANSLATE(C5632, ""en"", ""fa"")
"),"متخصصان املاک و مستغلات چه استراتژی هایی می توانند برای حفظ جریان نقدی مثبت و ثبات مالی در طول دوره های اختلالات بازار به کار گیرند؟")</f>
        <v>متخصصان املاک و مستغلات چه استراتژی هایی می توانند برای حفظ جریان نقدی مثبت و ثبات مالی در طول دوره های اختلالات بازار به کار گیرند؟</v>
      </c>
      <c r="H5632" s="1"/>
      <c r="I5632" s="1"/>
      <c r="J5632" s="1"/>
      <c r="K5632" s="1"/>
      <c r="L5632" s="1"/>
      <c r="M5632" s="1"/>
      <c r="N5632" s="1"/>
      <c r="O5632" s="1"/>
      <c r="P5632" s="1"/>
      <c r="Q5632" s="1"/>
      <c r="R5632" s="1"/>
      <c r="S5632" s="1"/>
      <c r="T5632" s="1"/>
      <c r="U5632" s="1"/>
      <c r="V5632" s="1"/>
      <c r="W5632" s="1"/>
      <c r="X5632" s="1"/>
      <c r="Y5632" s="1"/>
      <c r="Z5632" s="1"/>
      <c r="AA5632" s="1"/>
      <c r="AB5632" s="1"/>
    </row>
    <row r="5633" ht="50.25" customHeight="1">
      <c r="A5633" s="12">
        <v>5629.0</v>
      </c>
      <c r="B5633" s="13" t="s">
        <v>5027</v>
      </c>
      <c r="C5633" s="18" t="s">
        <v>5653</v>
      </c>
      <c r="D5633" s="1"/>
      <c r="E5633" s="1"/>
      <c r="F5633" s="1" t="str">
        <f>IFERROR(__xludf.DUMMYFUNCTION("GOOGLETRANSLATE(B5633, ""en"", ""fa"")
"),"املاک و مستغلات برای حرفه ای ها")</f>
        <v>املاک و مستغلات برای حرفه ای ها</v>
      </c>
      <c r="G5633" s="1" t="str">
        <f>IFERROR(__xludf.DUMMYFUNCTION("GOOGLETRANSLATE(C5633, ""en"", ""fa"")
"),"چگونه متخصصان املاک و مستغلات می توانند شیوه های مدیریت املاک خود را برای مقابله با چالش های منحصر به فرد ناشی از اختلالات بازار تطبیق دهند؟")</f>
        <v>چگونه متخصصان املاک و مستغلات می توانند شیوه های مدیریت املاک خود را برای مقابله با چالش های منحصر به فرد ناشی از اختلالات بازار تطبیق دهند؟</v>
      </c>
      <c r="H5633" s="1"/>
      <c r="I5633" s="1"/>
      <c r="J5633" s="1"/>
      <c r="K5633" s="1"/>
      <c r="L5633" s="1"/>
      <c r="M5633" s="1"/>
      <c r="N5633" s="1"/>
      <c r="O5633" s="1"/>
      <c r="P5633" s="1"/>
      <c r="Q5633" s="1"/>
      <c r="R5633" s="1"/>
      <c r="S5633" s="1"/>
      <c r="T5633" s="1"/>
      <c r="U5633" s="1"/>
      <c r="V5633" s="1"/>
      <c r="W5633" s="1"/>
      <c r="X5633" s="1"/>
      <c r="Y5633" s="1"/>
      <c r="Z5633" s="1"/>
      <c r="AA5633" s="1"/>
      <c r="AB5633" s="1"/>
    </row>
    <row r="5634" ht="50.25" customHeight="1">
      <c r="A5634" s="12">
        <v>5630.0</v>
      </c>
      <c r="B5634" s="13" t="s">
        <v>5027</v>
      </c>
      <c r="C5634" s="18" t="s">
        <v>5654</v>
      </c>
      <c r="D5634" s="1"/>
      <c r="E5634" s="1"/>
      <c r="F5634" s="1" t="str">
        <f>IFERROR(__xludf.DUMMYFUNCTION("GOOGLETRANSLATE(B5634, ""en"", ""fa"")
"),"املاک و مستغلات برای حرفه ای ها")</f>
        <v>املاک و مستغلات برای حرفه ای ها</v>
      </c>
      <c r="G5634" s="1" t="str">
        <f>IFERROR(__xludf.DUMMYFUNCTION("GOOGLETRANSLATE(C5634, ""en"", ""fa"")
"),"فرصت‌های بالقوه برای متخصصان املاک و مستغلات برای به دست آوردن املاک یا دارایی‌های مضطرب با قیمت‌های تخفیف‌خورده در هنگام اختلالات بازار چیست؟")</f>
        <v>فرصت‌های بالقوه برای متخصصان املاک و مستغلات برای به دست آوردن املاک یا دارایی‌های مضطرب با قیمت‌های تخفیف‌خورده در هنگام اختلالات بازار چیست؟</v>
      </c>
      <c r="H5634" s="1"/>
      <c r="I5634" s="1"/>
      <c r="J5634" s="1"/>
      <c r="K5634" s="1"/>
      <c r="L5634" s="1"/>
      <c r="M5634" s="1"/>
      <c r="N5634" s="1"/>
      <c r="O5634" s="1"/>
      <c r="P5634" s="1"/>
      <c r="Q5634" s="1"/>
      <c r="R5634" s="1"/>
      <c r="S5634" s="1"/>
      <c r="T5634" s="1"/>
      <c r="U5634" s="1"/>
      <c r="V5634" s="1"/>
      <c r="W5634" s="1"/>
      <c r="X5634" s="1"/>
      <c r="Y5634" s="1"/>
      <c r="Z5634" s="1"/>
      <c r="AA5634" s="1"/>
      <c r="AB5634" s="1"/>
    </row>
    <row r="5635" ht="50.25" customHeight="1">
      <c r="A5635" s="12">
        <v>5631.0</v>
      </c>
      <c r="B5635" s="13" t="s">
        <v>5027</v>
      </c>
      <c r="C5635" s="18" t="s">
        <v>5655</v>
      </c>
      <c r="D5635" s="1"/>
      <c r="E5635" s="1"/>
      <c r="F5635" s="1" t="str">
        <f>IFERROR(__xludf.DUMMYFUNCTION("GOOGLETRANSLATE(B5635, ""en"", ""fa"")
"),"املاک و مستغلات برای حرفه ای ها")</f>
        <v>املاک و مستغلات برای حرفه ای ها</v>
      </c>
      <c r="G5635" s="1" t="str">
        <f>IFERROR(__xludf.DUMMYFUNCTION("GOOGLETRANSLATE(C5635, ""en"", ""fa"")
"),"چگونه متخصصان املاک و مستغلات می توانند به طور مؤثر با همتایان و رقبای صنعت ارتباط برقرار کرده و با آنها همکاری کنند تا به طور جمعی اختلالات بازار را هدایت کنند؟")</f>
        <v>چگونه متخصصان املاک و مستغلات می توانند به طور مؤثر با همتایان و رقبای صنعت ارتباط برقرار کرده و با آنها همکاری کنند تا به طور جمعی اختلالات بازار را هدایت کنند؟</v>
      </c>
      <c r="H5635" s="1"/>
      <c r="I5635" s="1"/>
      <c r="J5635" s="1"/>
      <c r="K5635" s="1"/>
      <c r="L5635" s="1"/>
      <c r="M5635" s="1"/>
      <c r="N5635" s="1"/>
      <c r="O5635" s="1"/>
      <c r="P5635" s="1"/>
      <c r="Q5635" s="1"/>
      <c r="R5635" s="1"/>
      <c r="S5635" s="1"/>
      <c r="T5635" s="1"/>
      <c r="U5635" s="1"/>
      <c r="V5635" s="1"/>
      <c r="W5635" s="1"/>
      <c r="X5635" s="1"/>
      <c r="Y5635" s="1"/>
      <c r="Z5635" s="1"/>
      <c r="AA5635" s="1"/>
      <c r="AB5635" s="1"/>
    </row>
    <row r="5636" ht="50.25" customHeight="1">
      <c r="A5636" s="12">
        <v>5632.0</v>
      </c>
      <c r="B5636" s="13" t="s">
        <v>5027</v>
      </c>
      <c r="C5636" s="18" t="s">
        <v>5656</v>
      </c>
      <c r="D5636" s="1"/>
      <c r="E5636" s="1"/>
      <c r="F5636" s="1" t="str">
        <f>IFERROR(__xludf.DUMMYFUNCTION("GOOGLETRANSLATE(B5636, ""en"", ""fa"")
"),"املاک و مستغلات برای حرفه ای ها")</f>
        <v>املاک و مستغلات برای حرفه ای ها</v>
      </c>
      <c r="G5636" s="1" t="str">
        <f>IFERROR(__xludf.DUMMYFUNCTION("GOOGLETRANSLATE(C5636, ""en"", ""fa"")
"),"ملاحظات کلیدی برای متخصصان املاک در هنگام ارزیابی تأثیر تغییرات جمعیتی و تغییر ترجیحات مصرف کننده در بازار در هنگام اختلالات چیست؟")</f>
        <v>ملاحظات کلیدی برای متخصصان املاک در هنگام ارزیابی تأثیر تغییرات جمعیتی و تغییر ترجیحات مصرف کننده در بازار در هنگام اختلالات چیست؟</v>
      </c>
      <c r="H5636" s="1"/>
      <c r="I5636" s="1"/>
      <c r="J5636" s="1"/>
      <c r="K5636" s="1"/>
      <c r="L5636" s="1"/>
      <c r="M5636" s="1"/>
      <c r="N5636" s="1"/>
      <c r="O5636" s="1"/>
      <c r="P5636" s="1"/>
      <c r="Q5636" s="1"/>
      <c r="R5636" s="1"/>
      <c r="S5636" s="1"/>
      <c r="T5636" s="1"/>
      <c r="U5636" s="1"/>
      <c r="V5636" s="1"/>
      <c r="W5636" s="1"/>
      <c r="X5636" s="1"/>
      <c r="Y5636" s="1"/>
      <c r="Z5636" s="1"/>
      <c r="AA5636" s="1"/>
      <c r="AB5636" s="1"/>
    </row>
    <row r="5637" ht="50.25" customHeight="1">
      <c r="A5637" s="12">
        <v>5633.0</v>
      </c>
      <c r="B5637" s="13" t="s">
        <v>5027</v>
      </c>
      <c r="C5637" s="18" t="s">
        <v>5657</v>
      </c>
      <c r="D5637" s="1"/>
      <c r="E5637" s="1"/>
      <c r="F5637" s="1" t="str">
        <f>IFERROR(__xludf.DUMMYFUNCTION("GOOGLETRANSLATE(B5637, ""en"", ""fa"")
"),"املاک و مستغلات برای حرفه ای ها")</f>
        <v>املاک و مستغلات برای حرفه ای ها</v>
      </c>
      <c r="G5637" s="1" t="str">
        <f>IFERROR(__xludf.DUMMYFUNCTION("GOOGLETRANSLATE(C5637, ""en"", ""fa"")
"),"چگونه متخصصان املاک و مستغلات می توانند از شبکه ها و ارتباطات خود برای شناسایی فرصت های سرمایه گذاری بالقوه و مشارکت در هنگام اختلالات بازار استفاده کنند؟")</f>
        <v>چگونه متخصصان املاک و مستغلات می توانند از شبکه ها و ارتباطات خود برای شناسایی فرصت های سرمایه گذاری بالقوه و مشارکت در هنگام اختلالات بازار استفاده کنند؟</v>
      </c>
      <c r="H5637" s="1"/>
      <c r="I5637" s="1"/>
      <c r="J5637" s="1"/>
      <c r="K5637" s="1"/>
      <c r="L5637" s="1"/>
      <c r="M5637" s="1"/>
      <c r="N5637" s="1"/>
      <c r="O5637" s="1"/>
      <c r="P5637" s="1"/>
      <c r="Q5637" s="1"/>
      <c r="R5637" s="1"/>
      <c r="S5637" s="1"/>
      <c r="T5637" s="1"/>
      <c r="U5637" s="1"/>
      <c r="V5637" s="1"/>
      <c r="W5637" s="1"/>
      <c r="X5637" s="1"/>
      <c r="Y5637" s="1"/>
      <c r="Z5637" s="1"/>
      <c r="AA5637" s="1"/>
      <c r="AB5637" s="1"/>
    </row>
    <row r="5638" ht="50.25" customHeight="1">
      <c r="A5638" s="12">
        <v>5634.0</v>
      </c>
      <c r="B5638" s="13" t="s">
        <v>5027</v>
      </c>
      <c r="C5638" s="18" t="s">
        <v>5658</v>
      </c>
      <c r="D5638" s="1"/>
      <c r="E5638" s="1"/>
      <c r="F5638" s="1" t="str">
        <f>IFERROR(__xludf.DUMMYFUNCTION("GOOGLETRANSLATE(B5638, ""en"", ""fa"")
"),"املاک و مستغلات برای حرفه ای ها")</f>
        <v>املاک و مستغلات برای حرفه ای ها</v>
      </c>
      <c r="G5638" s="1" t="str">
        <f>IFERROR(__xludf.DUMMYFUNCTION("GOOGLETRANSLATE(C5638, ""en"", ""fa"")
"),"متخصصان املاک و مستغلات چه استراتژی هایی می توانند برای حفظ حضور آنلاین قوی و تعامل با مشتریان از طریق کانال های بازاریابی دیجیتال در هنگام اختلالات بازار به کار گیرند؟")</f>
        <v>متخصصان املاک و مستغلات چه استراتژی هایی می توانند برای حفظ حضور آنلاین قوی و تعامل با مشتریان از طریق کانال های بازاریابی دیجیتال در هنگام اختلالات بازار به کار گیرند؟</v>
      </c>
      <c r="H5638" s="1"/>
      <c r="I5638" s="1"/>
      <c r="J5638" s="1"/>
      <c r="K5638" s="1"/>
      <c r="L5638" s="1"/>
      <c r="M5638" s="1"/>
      <c r="N5638" s="1"/>
      <c r="O5638" s="1"/>
      <c r="P5638" s="1"/>
      <c r="Q5638" s="1"/>
      <c r="R5638" s="1"/>
      <c r="S5638" s="1"/>
      <c r="T5638" s="1"/>
      <c r="U5638" s="1"/>
      <c r="V5638" s="1"/>
      <c r="W5638" s="1"/>
      <c r="X5638" s="1"/>
      <c r="Y5638" s="1"/>
      <c r="Z5638" s="1"/>
      <c r="AA5638" s="1"/>
      <c r="AB5638" s="1"/>
    </row>
    <row r="5639" ht="50.25" customHeight="1">
      <c r="A5639" s="12">
        <v>5635.0</v>
      </c>
      <c r="B5639" s="13" t="s">
        <v>5027</v>
      </c>
      <c r="C5639" s="18" t="s">
        <v>5659</v>
      </c>
      <c r="D5639" s="1"/>
      <c r="E5639" s="1"/>
      <c r="F5639" s="1" t="str">
        <f>IFERROR(__xludf.DUMMYFUNCTION("GOOGLETRANSLATE(B5639, ""en"", ""fa"")
"),"املاک و مستغلات برای حرفه ای ها")</f>
        <v>املاک و مستغلات برای حرفه ای ها</v>
      </c>
      <c r="G5639" s="1" t="str">
        <f>IFERROR(__xludf.DUMMYFUNCTION("GOOGLETRANSLATE(C5639, ""en"", ""fa"")
"),"چگونه متخصصان املاک و مستغلات می توانند استراتژی های قیمت گذاری خود را برای رقابتی ماندن و جذب خریداران یا مستاجران در بازار آشفته تطبیق دهند؟")</f>
        <v>چگونه متخصصان املاک و مستغلات می توانند استراتژی های قیمت گذاری خود را برای رقابتی ماندن و جذب خریداران یا مستاجران در بازار آشفته تطبیق دهند؟</v>
      </c>
      <c r="H5639" s="1"/>
      <c r="I5639" s="1"/>
      <c r="J5639" s="1"/>
      <c r="K5639" s="1"/>
      <c r="L5639" s="1"/>
      <c r="M5639" s="1"/>
      <c r="N5639" s="1"/>
      <c r="O5639" s="1"/>
      <c r="P5639" s="1"/>
      <c r="Q5639" s="1"/>
      <c r="R5639" s="1"/>
      <c r="S5639" s="1"/>
      <c r="T5639" s="1"/>
      <c r="U5639" s="1"/>
      <c r="V5639" s="1"/>
      <c r="W5639" s="1"/>
      <c r="X5639" s="1"/>
      <c r="Y5639" s="1"/>
      <c r="Z5639" s="1"/>
      <c r="AA5639" s="1"/>
      <c r="AB5639" s="1"/>
    </row>
    <row r="5640" ht="50.25" customHeight="1">
      <c r="A5640" s="12">
        <v>5636.0</v>
      </c>
      <c r="B5640" s="13" t="s">
        <v>5027</v>
      </c>
      <c r="C5640" s="18" t="s">
        <v>5660</v>
      </c>
      <c r="D5640" s="1"/>
      <c r="E5640" s="1"/>
      <c r="F5640" s="1" t="str">
        <f>IFERROR(__xludf.DUMMYFUNCTION("GOOGLETRANSLATE(B5640, ""en"", ""fa"")
"),"املاک و مستغلات برای حرفه ای ها")</f>
        <v>املاک و مستغلات برای حرفه ای ها</v>
      </c>
      <c r="G5640" s="1" t="str">
        <f>IFERROR(__xludf.DUMMYFUNCTION("GOOGLETRANSLATE(C5640, ""en"", ""fa"")
"),"چالش ها و فرصت های بالقوه برای متخصصان املاک و مستغلات در هنگام برخورد با املاک مضطرب و سلب مالکیت در طول اختلالات بازار چیست؟")</f>
        <v>چالش ها و فرصت های بالقوه برای متخصصان املاک و مستغلات در هنگام برخورد با املاک مضطرب و سلب مالکیت در طول اختلالات بازار چیست؟</v>
      </c>
      <c r="H5640" s="1"/>
      <c r="I5640" s="1"/>
      <c r="J5640" s="1"/>
      <c r="K5640" s="1"/>
      <c r="L5640" s="1"/>
      <c r="M5640" s="1"/>
      <c r="N5640" s="1"/>
      <c r="O5640" s="1"/>
      <c r="P5640" s="1"/>
      <c r="Q5640" s="1"/>
      <c r="R5640" s="1"/>
      <c r="S5640" s="1"/>
      <c r="T5640" s="1"/>
      <c r="U5640" s="1"/>
      <c r="V5640" s="1"/>
      <c r="W5640" s="1"/>
      <c r="X5640" s="1"/>
      <c r="Y5640" s="1"/>
      <c r="Z5640" s="1"/>
      <c r="AA5640" s="1"/>
      <c r="AB5640" s="1"/>
    </row>
    <row r="5641" ht="50.25" customHeight="1">
      <c r="A5641" s="12">
        <v>5637.0</v>
      </c>
      <c r="B5641" s="13" t="s">
        <v>5027</v>
      </c>
      <c r="C5641" s="18" t="s">
        <v>5661</v>
      </c>
      <c r="D5641" s="1"/>
      <c r="E5641" s="1"/>
      <c r="F5641" s="1" t="str">
        <f>IFERROR(__xludf.DUMMYFUNCTION("GOOGLETRANSLATE(B5641, ""en"", ""fa"")
"),"املاک و مستغلات برای حرفه ای ها")</f>
        <v>املاک و مستغلات برای حرفه ای ها</v>
      </c>
      <c r="G5641" s="1" t="str">
        <f>IFERROR(__xludf.DUMMYFUNCTION("GOOGLETRANSLATE(C5641, ""en"", ""fa"")
"),"چگونه متخصصان املاک و مستغلات می‌توانند از گزینه‌های تامین مالی جایگزین، مانند وام‌دهی همتا به همتا یا تامین مالی جمعی، برای غلبه بر چالش‌های تامین مالی در خلال اختلالات بازار استفاده کنند؟")</f>
        <v>چگونه متخصصان املاک و مستغلات می‌توانند از گزینه‌های تامین مالی جایگزین، مانند وام‌دهی همتا به همتا یا تامین مالی جمعی، برای غلبه بر چالش‌های تامین مالی در خلال اختلالات بازار استفاده کنند؟</v>
      </c>
      <c r="H5641" s="1"/>
      <c r="I5641" s="1"/>
      <c r="J5641" s="1"/>
      <c r="K5641" s="1"/>
      <c r="L5641" s="1"/>
      <c r="M5641" s="1"/>
      <c r="N5641" s="1"/>
      <c r="O5641" s="1"/>
      <c r="P5641" s="1"/>
      <c r="Q5641" s="1"/>
      <c r="R5641" s="1"/>
      <c r="S5641" s="1"/>
      <c r="T5641" s="1"/>
      <c r="U5641" s="1"/>
      <c r="V5641" s="1"/>
      <c r="W5641" s="1"/>
      <c r="X5641" s="1"/>
      <c r="Y5641" s="1"/>
      <c r="Z5641" s="1"/>
      <c r="AA5641" s="1"/>
      <c r="AB5641" s="1"/>
    </row>
    <row r="5642" ht="50.25" customHeight="1">
      <c r="A5642" s="12">
        <v>5638.0</v>
      </c>
      <c r="B5642" s="13" t="s">
        <v>5027</v>
      </c>
      <c r="C5642" s="18" t="s">
        <v>5662</v>
      </c>
      <c r="D5642" s="1"/>
      <c r="E5642" s="1"/>
      <c r="F5642" s="1" t="str">
        <f>IFERROR(__xludf.DUMMYFUNCTION("GOOGLETRANSLATE(B5642, ""en"", ""fa"")
"),"املاک و مستغلات برای حرفه ای ها")</f>
        <v>املاک و مستغلات برای حرفه ای ها</v>
      </c>
      <c r="G5642" s="1" t="str">
        <f>IFERROR(__xludf.DUMMYFUNCTION("GOOGLETRANSLATE(C5642, ""en"", ""fa"")
"),"متخصصان املاک و مستغلات از چه تکنیک های نوآورانه بازاریابی و نمایش املاک می توانند برای جذب خریداران یا مستاجران در هنگام اختلالات بازار استفاده کنند؟")</f>
        <v>متخصصان املاک و مستغلات از چه تکنیک های نوآورانه بازاریابی و نمایش املاک می توانند برای جذب خریداران یا مستاجران در هنگام اختلالات بازار استفاده کنند؟</v>
      </c>
      <c r="H5642" s="1"/>
      <c r="I5642" s="1"/>
      <c r="J5642" s="1"/>
      <c r="K5642" s="1"/>
      <c r="L5642" s="1"/>
      <c r="M5642" s="1"/>
      <c r="N5642" s="1"/>
      <c r="O5642" s="1"/>
      <c r="P5642" s="1"/>
      <c r="Q5642" s="1"/>
      <c r="R5642" s="1"/>
      <c r="S5642" s="1"/>
      <c r="T5642" s="1"/>
      <c r="U5642" s="1"/>
      <c r="V5642" s="1"/>
      <c r="W5642" s="1"/>
      <c r="X5642" s="1"/>
      <c r="Y5642" s="1"/>
      <c r="Z5642" s="1"/>
      <c r="AA5642" s="1"/>
      <c r="AB5642" s="1"/>
    </row>
    <row r="5643" ht="50.25" customHeight="1">
      <c r="A5643" s="12">
        <v>5639.0</v>
      </c>
      <c r="B5643" s="13" t="s">
        <v>5027</v>
      </c>
      <c r="C5643" s="18" t="s">
        <v>5663</v>
      </c>
      <c r="D5643" s="1"/>
      <c r="E5643" s="1"/>
      <c r="F5643" s="1" t="str">
        <f>IFERROR(__xludf.DUMMYFUNCTION("GOOGLETRANSLATE(B5643, ""en"", ""fa"")
"),"املاک و مستغلات برای حرفه ای ها")</f>
        <v>املاک و مستغلات برای حرفه ای ها</v>
      </c>
      <c r="G5643" s="1" t="str">
        <f>IFERROR(__xludf.DUMMYFUNCTION("GOOGLETRANSLATE(C5643, ""en"", ""fa"")
"),"چگونه متخصصان املاک و مستغلات می توانند به طور موثر نگرانی ها و سوالات مشتریان را در زمان اختلالات بازار مدیریت کرده و به آنها رسیدگی کنند؟")</f>
        <v>چگونه متخصصان املاک و مستغلات می توانند به طور موثر نگرانی ها و سوالات مشتریان را در زمان اختلالات بازار مدیریت کرده و به آنها رسیدگی کنند؟</v>
      </c>
      <c r="H5643" s="1"/>
      <c r="I5643" s="1"/>
      <c r="J5643" s="1"/>
      <c r="K5643" s="1"/>
      <c r="L5643" s="1"/>
      <c r="M5643" s="1"/>
      <c r="N5643" s="1"/>
      <c r="O5643" s="1"/>
      <c r="P5643" s="1"/>
      <c r="Q5643" s="1"/>
      <c r="R5643" s="1"/>
      <c r="S5643" s="1"/>
      <c r="T5643" s="1"/>
      <c r="U5643" s="1"/>
      <c r="V5643" s="1"/>
      <c r="W5643" s="1"/>
      <c r="X5643" s="1"/>
      <c r="Y5643" s="1"/>
      <c r="Z5643" s="1"/>
      <c r="AA5643" s="1"/>
      <c r="AB5643" s="1"/>
    </row>
    <row r="5644" ht="50.25" customHeight="1">
      <c r="A5644" s="12">
        <v>5640.0</v>
      </c>
      <c r="B5644" s="13" t="s">
        <v>5027</v>
      </c>
      <c r="C5644" s="18" t="s">
        <v>5664</v>
      </c>
      <c r="D5644" s="1"/>
      <c r="E5644" s="1"/>
      <c r="F5644" s="1" t="str">
        <f>IFERROR(__xludf.DUMMYFUNCTION("GOOGLETRANSLATE(B5644, ""en"", ""fa"")
"),"املاک و مستغلات برای حرفه ای ها")</f>
        <v>املاک و مستغلات برای حرفه ای ها</v>
      </c>
      <c r="G5644" s="1" t="str">
        <f>IFERROR(__xludf.DUMMYFUNCTION("GOOGLETRANSLATE(C5644, ""en"", ""fa"")
"),"متخصصان املاک و مستغلات چه استراتژی هایی می توانند برای پیش بینی و پاسخ به تغییر سیاست ها و مقررات دولتی که بر بازار املاک و مستغلات در هنگام اختلالات تأثیر می گذارد، به کار گیرند؟")</f>
        <v>متخصصان املاک و مستغلات چه استراتژی هایی می توانند برای پیش بینی و پاسخ به تغییر سیاست ها و مقررات دولتی که بر بازار املاک و مستغلات در هنگام اختلالات تأثیر می گذارد، به کار گیرند؟</v>
      </c>
      <c r="H5644" s="1"/>
      <c r="I5644" s="1"/>
      <c r="J5644" s="1"/>
      <c r="K5644" s="1"/>
      <c r="L5644" s="1"/>
      <c r="M5644" s="1"/>
      <c r="N5644" s="1"/>
      <c r="O5644" s="1"/>
      <c r="P5644" s="1"/>
      <c r="Q5644" s="1"/>
      <c r="R5644" s="1"/>
      <c r="S5644" s="1"/>
      <c r="T5644" s="1"/>
      <c r="U5644" s="1"/>
      <c r="V5644" s="1"/>
      <c r="W5644" s="1"/>
      <c r="X5644" s="1"/>
      <c r="Y5644" s="1"/>
      <c r="Z5644" s="1"/>
      <c r="AA5644" s="1"/>
      <c r="AB5644" s="1"/>
    </row>
    <row r="5645" ht="50.25" customHeight="1">
      <c r="A5645" s="12">
        <v>5641.0</v>
      </c>
      <c r="B5645" s="13" t="s">
        <v>5027</v>
      </c>
      <c r="C5645" s="18" t="s">
        <v>5665</v>
      </c>
      <c r="D5645" s="1"/>
      <c r="E5645" s="1"/>
      <c r="F5645" s="1" t="str">
        <f>IFERROR(__xludf.DUMMYFUNCTION("GOOGLETRANSLATE(B5645, ""en"", ""fa"")
"),"املاک و مستغلات برای حرفه ای ها")</f>
        <v>املاک و مستغلات برای حرفه ای ها</v>
      </c>
      <c r="G5645" s="1" t="str">
        <f>IFERROR(__xludf.DUMMYFUNCTION("GOOGLETRANSLATE(C5645, ""en"", ""fa"")
"),"چگونه متخصصان املاک و مستغلات می توانند با نظارت فعالانه و انطباق با اختلالات بازارهای نوظهور جلوتر از منحنی باشند؟")</f>
        <v>چگونه متخصصان املاک و مستغلات می توانند با نظارت فعالانه و انطباق با اختلالات بازارهای نوظهور جلوتر از منحنی باشند؟</v>
      </c>
      <c r="H5645" s="1"/>
      <c r="I5645" s="1"/>
      <c r="J5645" s="1"/>
      <c r="K5645" s="1"/>
      <c r="L5645" s="1"/>
      <c r="M5645" s="1"/>
      <c r="N5645" s="1"/>
      <c r="O5645" s="1"/>
      <c r="P5645" s="1"/>
      <c r="Q5645" s="1"/>
      <c r="R5645" s="1"/>
      <c r="S5645" s="1"/>
      <c r="T5645" s="1"/>
      <c r="U5645" s="1"/>
      <c r="V5645" s="1"/>
      <c r="W5645" s="1"/>
      <c r="X5645" s="1"/>
      <c r="Y5645" s="1"/>
      <c r="Z5645" s="1"/>
      <c r="AA5645" s="1"/>
      <c r="AB5645" s="1"/>
    </row>
    <row r="5646" ht="50.25" customHeight="1">
      <c r="A5646" s="12">
        <v>5642.0</v>
      </c>
      <c r="B5646" s="13" t="s">
        <v>5027</v>
      </c>
      <c r="C5646" s="18" t="s">
        <v>5666</v>
      </c>
      <c r="D5646" s="1"/>
      <c r="E5646" s="1"/>
      <c r="F5646" s="1" t="str">
        <f>IFERROR(__xludf.DUMMYFUNCTION("GOOGLETRANSLATE(B5646, ""en"", ""fa"")
"),"املاک و مستغلات برای حرفه ای ها")</f>
        <v>املاک و مستغلات برای حرفه ای ها</v>
      </c>
      <c r="G5646" s="1" t="str">
        <f>IFERROR(__xludf.DUMMYFUNCTION("GOOGLETRANSLATE(C5646, ""en"", ""fa"")
"),"ملاحظات کلیدی برای متخصصان املاک و مستغلات در هنگام ارزیابی تأثیر رویدادهای جهانی، مانند بیماری های همه گیر یا تغییرات ژئوپلیتیکی، بر بازار محلی املاک و مستغلات در هنگام اختلالات چیست؟")</f>
        <v>ملاحظات کلیدی برای متخصصان املاک و مستغلات در هنگام ارزیابی تأثیر رویدادهای جهانی، مانند بیماری های همه گیر یا تغییرات ژئوپلیتیکی، بر بازار محلی املاک و مستغلات در هنگام اختلالات چیست؟</v>
      </c>
      <c r="H5646" s="1"/>
      <c r="I5646" s="1"/>
      <c r="J5646" s="1"/>
      <c r="K5646" s="1"/>
      <c r="L5646" s="1"/>
      <c r="M5646" s="1"/>
      <c r="N5646" s="1"/>
      <c r="O5646" s="1"/>
      <c r="P5646" s="1"/>
      <c r="Q5646" s="1"/>
      <c r="R5646" s="1"/>
      <c r="S5646" s="1"/>
      <c r="T5646" s="1"/>
      <c r="U5646" s="1"/>
      <c r="V5646" s="1"/>
      <c r="W5646" s="1"/>
      <c r="X5646" s="1"/>
      <c r="Y5646" s="1"/>
      <c r="Z5646" s="1"/>
      <c r="AA5646" s="1"/>
      <c r="AB5646" s="1"/>
    </row>
    <row r="5647" ht="50.25" customHeight="1">
      <c r="A5647" s="12">
        <v>5643.0</v>
      </c>
      <c r="B5647" s="13" t="s">
        <v>5027</v>
      </c>
      <c r="C5647" s="18" t="s">
        <v>5667</v>
      </c>
      <c r="D5647" s="1"/>
      <c r="E5647" s="1"/>
      <c r="F5647" s="1" t="str">
        <f>IFERROR(__xludf.DUMMYFUNCTION("GOOGLETRANSLATE(B5647, ""en"", ""fa"")
"),"املاک و مستغلات برای حرفه ای ها")</f>
        <v>املاک و مستغلات برای حرفه ای ها</v>
      </c>
      <c r="G5647" s="1" t="str">
        <f>IFERROR(__xludf.DUMMYFUNCTION("GOOGLETRANSLATE(C5647, ""en"", ""fa"")
"),"چگونه متخصصان املاک و مستغلات می توانند از بینش بازار مبتنی بر داده و تجزیه و تحلیل روند استفاده کنند تا در زمان اختلالات بازار تصمیمات آگاهانه بگیرند؟")</f>
        <v>چگونه متخصصان املاک و مستغلات می توانند از بینش بازار مبتنی بر داده و تجزیه و تحلیل روند استفاده کنند تا در زمان اختلالات بازار تصمیمات آگاهانه بگیرند؟</v>
      </c>
      <c r="H5647" s="1"/>
      <c r="I5647" s="1"/>
      <c r="J5647" s="1"/>
      <c r="K5647" s="1"/>
      <c r="L5647" s="1"/>
      <c r="M5647" s="1"/>
      <c r="N5647" s="1"/>
      <c r="O5647" s="1"/>
      <c r="P5647" s="1"/>
      <c r="Q5647" s="1"/>
      <c r="R5647" s="1"/>
      <c r="S5647" s="1"/>
      <c r="T5647" s="1"/>
      <c r="U5647" s="1"/>
      <c r="V5647" s="1"/>
      <c r="W5647" s="1"/>
      <c r="X5647" s="1"/>
      <c r="Y5647" s="1"/>
      <c r="Z5647" s="1"/>
      <c r="AA5647" s="1"/>
      <c r="AB5647" s="1"/>
    </row>
    <row r="5648" ht="50.25" customHeight="1">
      <c r="A5648" s="12">
        <v>5644.0</v>
      </c>
      <c r="B5648" s="13" t="s">
        <v>5027</v>
      </c>
      <c r="C5648" s="18" t="s">
        <v>5668</v>
      </c>
      <c r="D5648" s="1"/>
      <c r="E5648" s="1"/>
      <c r="F5648" s="1" t="str">
        <f>IFERROR(__xludf.DUMMYFUNCTION("GOOGLETRANSLATE(B5648, ""en"", ""fa"")
"),"املاک و مستغلات برای حرفه ای ها")</f>
        <v>املاک و مستغلات برای حرفه ای ها</v>
      </c>
      <c r="G5648" s="1" t="str">
        <f>IFERROR(__xludf.DUMMYFUNCTION("GOOGLETRANSLATE(C5648, ""en"", ""fa"")
"),"متخصصان املاک و مستغلات چه استراتژی هایی می توانند برای افزایش امنیت املاک و محافظت از سرمایه گذاری های خود در طول دوره های اختلال در بازار به کار گیرند؟")</f>
        <v>متخصصان املاک و مستغلات چه استراتژی هایی می توانند برای افزایش امنیت املاک و محافظت از سرمایه گذاری های خود در طول دوره های اختلال در بازار به کار گیرند؟</v>
      </c>
      <c r="H5648" s="1"/>
      <c r="I5648" s="1"/>
      <c r="J5648" s="1"/>
      <c r="K5648" s="1"/>
      <c r="L5648" s="1"/>
      <c r="M5648" s="1"/>
      <c r="N5648" s="1"/>
      <c r="O5648" s="1"/>
      <c r="P5648" s="1"/>
      <c r="Q5648" s="1"/>
      <c r="R5648" s="1"/>
      <c r="S5648" s="1"/>
      <c r="T5648" s="1"/>
      <c r="U5648" s="1"/>
      <c r="V5648" s="1"/>
      <c r="W5648" s="1"/>
      <c r="X5648" s="1"/>
      <c r="Y5648" s="1"/>
      <c r="Z5648" s="1"/>
      <c r="AA5648" s="1"/>
      <c r="AB5648" s="1"/>
    </row>
    <row r="5649" ht="50.25" customHeight="1">
      <c r="A5649" s="12">
        <v>5645.0</v>
      </c>
      <c r="B5649" s="13" t="s">
        <v>5027</v>
      </c>
      <c r="C5649" s="18" t="s">
        <v>5669</v>
      </c>
      <c r="D5649" s="1"/>
      <c r="E5649" s="1"/>
      <c r="F5649" s="1" t="str">
        <f>IFERROR(__xludf.DUMMYFUNCTION("GOOGLETRANSLATE(B5649, ""en"", ""fa"")
"),"املاک و مستغلات برای حرفه ای ها")</f>
        <v>املاک و مستغلات برای حرفه ای ها</v>
      </c>
      <c r="G5649" s="1" t="str">
        <f>IFERROR(__xludf.DUMMYFUNCTION("GOOGLETRANSLATE(C5649, ""en"", ""fa"")
"),"چگونه متخصصان املاک و مستغلات می توانند به طور موثر در مورد شرایط قرارداد و موارد احتمالی در یک بازار پرنوسان و مختل مذاکره و هدایت کنند؟")</f>
        <v>چگونه متخصصان املاک و مستغلات می توانند به طور موثر در مورد شرایط قرارداد و موارد احتمالی در یک بازار پرنوسان و مختل مذاکره و هدایت کنند؟</v>
      </c>
      <c r="H5649" s="1"/>
      <c r="I5649" s="1"/>
      <c r="J5649" s="1"/>
      <c r="K5649" s="1"/>
      <c r="L5649" s="1"/>
      <c r="M5649" s="1"/>
      <c r="N5649" s="1"/>
      <c r="O5649" s="1"/>
      <c r="P5649" s="1"/>
      <c r="Q5649" s="1"/>
      <c r="R5649" s="1"/>
      <c r="S5649" s="1"/>
      <c r="T5649" s="1"/>
      <c r="U5649" s="1"/>
      <c r="V5649" s="1"/>
      <c r="W5649" s="1"/>
      <c r="X5649" s="1"/>
      <c r="Y5649" s="1"/>
      <c r="Z5649" s="1"/>
      <c r="AA5649" s="1"/>
      <c r="AB5649" s="1"/>
    </row>
    <row r="5650" ht="50.25" customHeight="1">
      <c r="A5650" s="12">
        <v>5646.0</v>
      </c>
      <c r="B5650" s="13" t="s">
        <v>5027</v>
      </c>
      <c r="C5650" s="18" t="s">
        <v>5670</v>
      </c>
      <c r="D5650" s="1"/>
      <c r="E5650" s="1"/>
      <c r="F5650" s="1" t="str">
        <f>IFERROR(__xludf.DUMMYFUNCTION("GOOGLETRANSLATE(B5650, ""en"", ""fa"")
"),"املاک و مستغلات برای حرفه ای ها")</f>
        <v>املاک و مستغلات برای حرفه ای ها</v>
      </c>
      <c r="G5650" s="1" t="str">
        <f>IFERROR(__xludf.DUMMYFUNCTION("GOOGLETRANSLATE(C5650, ""en"", ""fa"")
"),"فرصت‌های بالقوه برای متخصصان املاک و مستغلات برای مشارکت در سرمایه‌گذاری مشترک یا همکاری با همتایان صنعت برای کاهش خطرات و استفاده از منابع در هنگام اختلالات بازار چیست؟")</f>
        <v>فرصت‌های بالقوه برای متخصصان املاک و مستغلات برای مشارکت در سرمایه‌گذاری مشترک یا همکاری با همتایان صنعت برای کاهش خطرات و استفاده از منابع در هنگام اختلالات بازار چیست؟</v>
      </c>
      <c r="H5650" s="1"/>
      <c r="I5650" s="1"/>
      <c r="J5650" s="1"/>
      <c r="K5650" s="1"/>
      <c r="L5650" s="1"/>
      <c r="M5650" s="1"/>
      <c r="N5650" s="1"/>
      <c r="O5650" s="1"/>
      <c r="P5650" s="1"/>
      <c r="Q5650" s="1"/>
      <c r="R5650" s="1"/>
      <c r="S5650" s="1"/>
      <c r="T5650" s="1"/>
      <c r="U5650" s="1"/>
      <c r="V5650" s="1"/>
      <c r="W5650" s="1"/>
      <c r="X5650" s="1"/>
      <c r="Y5650" s="1"/>
      <c r="Z5650" s="1"/>
      <c r="AA5650" s="1"/>
      <c r="AB5650" s="1"/>
    </row>
    <row r="5651" ht="50.25" customHeight="1">
      <c r="A5651" s="12">
        <v>5647.0</v>
      </c>
      <c r="B5651" s="13" t="s">
        <v>5027</v>
      </c>
      <c r="C5651" s="18" t="s">
        <v>5671</v>
      </c>
      <c r="D5651" s="1"/>
      <c r="E5651" s="1"/>
      <c r="F5651" s="1" t="str">
        <f>IFERROR(__xludf.DUMMYFUNCTION("GOOGLETRANSLATE(B5651, ""en"", ""fa"")
"),"املاک و مستغلات برای حرفه ای ها")</f>
        <v>املاک و مستغلات برای حرفه ای ها</v>
      </c>
      <c r="G5651" s="1" t="str">
        <f>IFERROR(__xludf.DUMMYFUNCTION("GOOGLETRANSLATE(C5651, ""en"", ""fa"")
"),"چگونه متخصصان املاک و مستغلات می توانند از مشارکت استراتژیک با شرکت های مدیریت املاک یا ارائه دهندگان خدمات برای بهینه سازی عملکرد ملک در هنگام اختلالات بازار استفاده کنند؟")</f>
        <v>چگونه متخصصان املاک و مستغلات می توانند از مشارکت استراتژیک با شرکت های مدیریت املاک یا ارائه دهندگان خدمات برای بهینه سازی عملکرد ملک در هنگام اختلالات بازار استفاده کنند؟</v>
      </c>
      <c r="H5651" s="1"/>
      <c r="I5651" s="1"/>
      <c r="J5651" s="1"/>
      <c r="K5651" s="1"/>
      <c r="L5651" s="1"/>
      <c r="M5651" s="1"/>
      <c r="N5651" s="1"/>
      <c r="O5651" s="1"/>
      <c r="P5651" s="1"/>
      <c r="Q5651" s="1"/>
      <c r="R5651" s="1"/>
      <c r="S5651" s="1"/>
      <c r="T5651" s="1"/>
      <c r="U5651" s="1"/>
      <c r="V5651" s="1"/>
      <c r="W5651" s="1"/>
      <c r="X5651" s="1"/>
      <c r="Y5651" s="1"/>
      <c r="Z5651" s="1"/>
      <c r="AA5651" s="1"/>
      <c r="AB5651" s="1"/>
    </row>
    <row r="5652" ht="50.25" customHeight="1">
      <c r="A5652" s="12">
        <v>5648.0</v>
      </c>
      <c r="B5652" s="13" t="s">
        <v>5027</v>
      </c>
      <c r="C5652" s="18" t="s">
        <v>5672</v>
      </c>
      <c r="D5652" s="1"/>
      <c r="E5652" s="1"/>
      <c r="F5652" s="1" t="str">
        <f>IFERROR(__xludf.DUMMYFUNCTION("GOOGLETRANSLATE(B5652, ""en"", ""fa"")
"),"املاک و مستغلات برای حرفه ای ها")</f>
        <v>املاک و مستغلات برای حرفه ای ها</v>
      </c>
      <c r="G5652" s="1" t="str">
        <f>IFERROR(__xludf.DUMMYFUNCTION("GOOGLETRANSLATE(C5652, ""en"", ""fa"")
"),"متخصصان املاک و مستغلات چه استراتژی هایی می توانند برای بازاریابی و فروش موثر املاک از طریق تورهای مجازی و پلتفرم های آنلاین در زمان اختلالات بازار به کار گیرند؟")</f>
        <v>متخصصان املاک و مستغلات چه استراتژی هایی می توانند برای بازاریابی و فروش موثر املاک از طریق تورهای مجازی و پلتفرم های آنلاین در زمان اختلالات بازار به کار گیرند؟</v>
      </c>
      <c r="H5652" s="1"/>
      <c r="I5652" s="1"/>
      <c r="J5652" s="1"/>
      <c r="K5652" s="1"/>
      <c r="L5652" s="1"/>
      <c r="M5652" s="1"/>
      <c r="N5652" s="1"/>
      <c r="O5652" s="1"/>
      <c r="P5652" s="1"/>
      <c r="Q5652" s="1"/>
      <c r="R5652" s="1"/>
      <c r="S5652" s="1"/>
      <c r="T5652" s="1"/>
      <c r="U5652" s="1"/>
      <c r="V5652" s="1"/>
      <c r="W5652" s="1"/>
      <c r="X5652" s="1"/>
      <c r="Y5652" s="1"/>
      <c r="Z5652" s="1"/>
      <c r="AA5652" s="1"/>
      <c r="AB5652" s="1"/>
    </row>
    <row r="5653" ht="50.25" customHeight="1">
      <c r="A5653" s="12">
        <v>5649.0</v>
      </c>
      <c r="B5653" s="13" t="s">
        <v>5027</v>
      </c>
      <c r="C5653" s="18" t="s">
        <v>5673</v>
      </c>
      <c r="D5653" s="1"/>
      <c r="E5653" s="1"/>
      <c r="F5653" s="1" t="str">
        <f>IFERROR(__xludf.DUMMYFUNCTION("GOOGLETRANSLATE(B5653, ""en"", ""fa"")
"),"املاک و مستغلات برای حرفه ای ها")</f>
        <v>املاک و مستغلات برای حرفه ای ها</v>
      </c>
      <c r="G5653" s="1" t="str">
        <f>IFERROR(__xludf.DUMMYFUNCTION("GOOGLETRANSLATE(C5653, ""en"", ""fa"")
"),"چگونه متخصصان املاک و مستغلات می توانند به طور فعال به چالش های مالی بالقوه، مانند سخت تر کردن الزامات وام، در یک بازار مختل، رسیدگی کنند؟")</f>
        <v>چگونه متخصصان املاک و مستغلات می توانند به طور فعال به چالش های مالی بالقوه، مانند سخت تر کردن الزامات وام، در یک بازار مختل، رسیدگی کنند؟</v>
      </c>
      <c r="H5653" s="1"/>
      <c r="I5653" s="1"/>
      <c r="J5653" s="1"/>
      <c r="K5653" s="1"/>
      <c r="L5653" s="1"/>
      <c r="M5653" s="1"/>
      <c r="N5653" s="1"/>
      <c r="O5653" s="1"/>
      <c r="P5653" s="1"/>
      <c r="Q5653" s="1"/>
      <c r="R5653" s="1"/>
      <c r="S5653" s="1"/>
      <c r="T5653" s="1"/>
      <c r="U5653" s="1"/>
      <c r="V5653" s="1"/>
      <c r="W5653" s="1"/>
      <c r="X5653" s="1"/>
      <c r="Y5653" s="1"/>
      <c r="Z5653" s="1"/>
      <c r="AA5653" s="1"/>
      <c r="AB5653" s="1"/>
    </row>
    <row r="5654" ht="50.25" customHeight="1">
      <c r="A5654" s="12">
        <v>5650.0</v>
      </c>
      <c r="B5654" s="13" t="s">
        <v>5027</v>
      </c>
      <c r="C5654" s="18" t="s">
        <v>5674</v>
      </c>
      <c r="D5654" s="1"/>
      <c r="E5654" s="1"/>
      <c r="F5654" s="1" t="str">
        <f>IFERROR(__xludf.DUMMYFUNCTION("GOOGLETRANSLATE(B5654, ""en"", ""fa"")
"),"املاک و مستغلات برای حرفه ای ها")</f>
        <v>املاک و مستغلات برای حرفه ای ها</v>
      </c>
      <c r="G5654" s="1" t="str">
        <f>IFERROR(__xludf.DUMMYFUNCTION("GOOGLETRANSLATE(C5654, ""en"", ""fa"")
"),"ملاحظات کلیدی برای متخصصان املاک در هنگام ارزیابی تأثیر عوامل محیطی یا مرتبط با آب و هوا بر بازار در هنگام اختلالات چیست؟")</f>
        <v>ملاحظات کلیدی برای متخصصان املاک در هنگام ارزیابی تأثیر عوامل محیطی یا مرتبط با آب و هوا بر بازار در هنگام اختلالات چیست؟</v>
      </c>
      <c r="H5654" s="1"/>
      <c r="I5654" s="1"/>
      <c r="J5654" s="1"/>
      <c r="K5654" s="1"/>
      <c r="L5654" s="1"/>
      <c r="M5654" s="1"/>
      <c r="N5654" s="1"/>
      <c r="O5654" s="1"/>
      <c r="P5654" s="1"/>
      <c r="Q5654" s="1"/>
      <c r="R5654" s="1"/>
      <c r="S5654" s="1"/>
      <c r="T5654" s="1"/>
      <c r="U5654" s="1"/>
      <c r="V5654" s="1"/>
      <c r="W5654" s="1"/>
      <c r="X5654" s="1"/>
      <c r="Y5654" s="1"/>
      <c r="Z5654" s="1"/>
      <c r="AA5654" s="1"/>
      <c r="AB5654" s="1"/>
    </row>
    <row r="5655" ht="50.25" customHeight="1">
      <c r="A5655" s="12">
        <v>5651.0</v>
      </c>
      <c r="B5655" s="13" t="s">
        <v>5027</v>
      </c>
      <c r="C5655" s="18" t="s">
        <v>5675</v>
      </c>
      <c r="D5655" s="1"/>
      <c r="E5655" s="1"/>
      <c r="F5655" s="1" t="str">
        <f>IFERROR(__xludf.DUMMYFUNCTION("GOOGLETRANSLATE(B5655, ""en"", ""fa"")
"),"املاک و مستغلات برای حرفه ای ها")</f>
        <v>املاک و مستغلات برای حرفه ای ها</v>
      </c>
      <c r="G5655" s="1" t="str">
        <f>IFERROR(__xludf.DUMMYFUNCTION("GOOGLETRANSLATE(C5655, ""en"", ""fa"")
"),"چگونه متخصصان املاک و مستغلات می توانند از بازاریابی محتوا و رهبری فکری استفاده کنند تا خود را به عنوان مشاوران قابل اعتماد در یک بازار آشفته قرار دهند؟")</f>
        <v>چگونه متخصصان املاک و مستغلات می توانند از بازاریابی محتوا و رهبری فکری استفاده کنند تا خود را به عنوان مشاوران قابل اعتماد در یک بازار آشفته قرار دهند؟</v>
      </c>
      <c r="H5655" s="1"/>
      <c r="I5655" s="1"/>
      <c r="J5655" s="1"/>
      <c r="K5655" s="1"/>
      <c r="L5655" s="1"/>
      <c r="M5655" s="1"/>
      <c r="N5655" s="1"/>
      <c r="O5655" s="1"/>
      <c r="P5655" s="1"/>
      <c r="Q5655" s="1"/>
      <c r="R5655" s="1"/>
      <c r="S5655" s="1"/>
      <c r="T5655" s="1"/>
      <c r="U5655" s="1"/>
      <c r="V5655" s="1"/>
      <c r="W5655" s="1"/>
      <c r="X5655" s="1"/>
      <c r="Y5655" s="1"/>
      <c r="Z5655" s="1"/>
      <c r="AA5655" s="1"/>
      <c r="AB5655" s="1"/>
    </row>
    <row r="5656" ht="50.25" customHeight="1">
      <c r="A5656" s="12">
        <v>5652.0</v>
      </c>
      <c r="B5656" s="13" t="s">
        <v>5027</v>
      </c>
      <c r="C5656" s="18" t="s">
        <v>5676</v>
      </c>
      <c r="D5656" s="1"/>
      <c r="E5656" s="1"/>
      <c r="F5656" s="1" t="str">
        <f>IFERROR(__xludf.DUMMYFUNCTION("GOOGLETRANSLATE(B5656, ""en"", ""fa"")
"),"املاک و مستغلات برای حرفه ای ها")</f>
        <v>املاک و مستغلات برای حرفه ای ها</v>
      </c>
      <c r="G5656" s="1" t="str">
        <f>IFERROR(__xludf.DUMMYFUNCTION("GOOGLETRANSLATE(C5656, ""en"", ""fa"")
"),"متخصصان املاک و مستغلات چه استراتژی هایی می توانند برای حفظ رضایت مشتری و نرخ های حفظ بالا در زمان اختلالات بازار به کار گیرند؟")</f>
        <v>متخصصان املاک و مستغلات چه استراتژی هایی می توانند برای حفظ رضایت مشتری و نرخ های حفظ بالا در زمان اختلالات بازار به کار گیرند؟</v>
      </c>
      <c r="H5656" s="1"/>
      <c r="I5656" s="1"/>
      <c r="J5656" s="1"/>
      <c r="K5656" s="1"/>
      <c r="L5656" s="1"/>
      <c r="M5656" s="1"/>
      <c r="N5656" s="1"/>
      <c r="O5656" s="1"/>
      <c r="P5656" s="1"/>
      <c r="Q5656" s="1"/>
      <c r="R5656" s="1"/>
      <c r="S5656" s="1"/>
      <c r="T5656" s="1"/>
      <c r="U5656" s="1"/>
      <c r="V5656" s="1"/>
      <c r="W5656" s="1"/>
      <c r="X5656" s="1"/>
      <c r="Y5656" s="1"/>
      <c r="Z5656" s="1"/>
      <c r="AA5656" s="1"/>
      <c r="AB5656" s="1"/>
    </row>
    <row r="5657" ht="50.25" customHeight="1">
      <c r="A5657" s="12">
        <v>5653.0</v>
      </c>
      <c r="B5657" s="13" t="s">
        <v>5027</v>
      </c>
      <c r="C5657" s="18" t="s">
        <v>5677</v>
      </c>
      <c r="D5657" s="1"/>
      <c r="E5657" s="1"/>
      <c r="F5657" s="1" t="str">
        <f>IFERROR(__xludf.DUMMYFUNCTION("GOOGLETRANSLATE(B5657, ""en"", ""fa"")
"),"املاک و مستغلات برای حرفه ای ها")</f>
        <v>املاک و مستغلات برای حرفه ای ها</v>
      </c>
      <c r="G5657" s="1" t="str">
        <f>IFERROR(__xludf.DUMMYFUNCTION("GOOGLETRANSLATE(C5657, ""en"", ""fa"")
"),"ملاحظات کلیدی برای سرمایه گذاران املاک و مستغلات در هنگام بررسی فرصت ها در بازارهای املاک خارجی چیست؟")</f>
        <v>ملاحظات کلیدی برای سرمایه گذاران املاک و مستغلات در هنگام بررسی فرصت ها در بازارهای املاک خارجی چیست؟</v>
      </c>
      <c r="H5657" s="1"/>
      <c r="I5657" s="1"/>
      <c r="J5657" s="1"/>
      <c r="K5657" s="1"/>
      <c r="L5657" s="1"/>
      <c r="M5657" s="1"/>
      <c r="N5657" s="1"/>
      <c r="O5657" s="1"/>
      <c r="P5657" s="1"/>
      <c r="Q5657" s="1"/>
      <c r="R5657" s="1"/>
      <c r="S5657" s="1"/>
      <c r="T5657" s="1"/>
      <c r="U5657" s="1"/>
      <c r="V5657" s="1"/>
      <c r="W5657" s="1"/>
      <c r="X5657" s="1"/>
      <c r="Y5657" s="1"/>
      <c r="Z5657" s="1"/>
      <c r="AA5657" s="1"/>
      <c r="AB5657" s="1"/>
    </row>
    <row r="5658" ht="50.25" customHeight="1">
      <c r="A5658" s="12">
        <v>5654.0</v>
      </c>
      <c r="B5658" s="13" t="s">
        <v>5027</v>
      </c>
      <c r="C5658" s="18" t="s">
        <v>5678</v>
      </c>
      <c r="D5658" s="1"/>
      <c r="E5658" s="1"/>
      <c r="F5658" s="1" t="str">
        <f>IFERROR(__xludf.DUMMYFUNCTION("GOOGLETRANSLATE(B5658, ""en"", ""fa"")
"),"املاک و مستغلات برای حرفه ای ها")</f>
        <v>املاک و مستغلات برای حرفه ای ها</v>
      </c>
      <c r="G5658" s="1" t="str">
        <f>IFERROR(__xludf.DUMMYFUNCTION("GOOGLETRANSLATE(C5658, ""en"", ""fa"")
"),"چگونه سرمایه گذاران املاک و مستغلات می توانند تحقیقات و تجزیه و تحلیل بازار را برای ارزیابی پتانسیل سرمایه گذاری در بازارهای خارجی انجام دهند؟")</f>
        <v>چگونه سرمایه گذاران املاک و مستغلات می توانند تحقیقات و تجزیه و تحلیل بازار را برای ارزیابی پتانسیل سرمایه گذاری در بازارهای خارجی انجام دهند؟</v>
      </c>
      <c r="H5658" s="1"/>
      <c r="I5658" s="1"/>
      <c r="J5658" s="1"/>
      <c r="K5658" s="1"/>
      <c r="L5658" s="1"/>
      <c r="M5658" s="1"/>
      <c r="N5658" s="1"/>
      <c r="O5658" s="1"/>
      <c r="P5658" s="1"/>
      <c r="Q5658" s="1"/>
      <c r="R5658" s="1"/>
      <c r="S5658" s="1"/>
      <c r="T5658" s="1"/>
      <c r="U5658" s="1"/>
      <c r="V5658" s="1"/>
      <c r="W5658" s="1"/>
      <c r="X5658" s="1"/>
      <c r="Y5658" s="1"/>
      <c r="Z5658" s="1"/>
      <c r="AA5658" s="1"/>
      <c r="AB5658" s="1"/>
    </row>
    <row r="5659" ht="50.25" customHeight="1">
      <c r="A5659" s="12">
        <v>5655.0</v>
      </c>
      <c r="B5659" s="13" t="s">
        <v>5027</v>
      </c>
      <c r="C5659" s="18" t="s">
        <v>5679</v>
      </c>
      <c r="D5659" s="1"/>
      <c r="E5659" s="1"/>
      <c r="F5659" s="1" t="str">
        <f>IFERROR(__xludf.DUMMYFUNCTION("GOOGLETRANSLATE(B5659, ""en"", ""fa"")
"),"املاک و مستغلات برای حرفه ای ها")</f>
        <v>املاک و مستغلات برای حرفه ای ها</v>
      </c>
      <c r="G5659" s="1" t="str">
        <f>IFERROR(__xludf.DUMMYFUNCTION("GOOGLETRANSLATE(C5659, ""en"", ""fa"")
"),"الزامات قانونی و مقرراتی که سرمایه گذاران املاک و مستغلات باید هنگام سرمایه گذاری در بازارهای املاک خارجی از آن آگاه باشند چیست؟")</f>
        <v>الزامات قانونی و مقرراتی که سرمایه گذاران املاک و مستغلات باید هنگام سرمایه گذاری در بازارهای املاک خارجی از آن آگاه باشند چیست؟</v>
      </c>
      <c r="H5659" s="1"/>
      <c r="I5659" s="1"/>
      <c r="J5659" s="1"/>
      <c r="K5659" s="1"/>
      <c r="L5659" s="1"/>
      <c r="M5659" s="1"/>
      <c r="N5659" s="1"/>
      <c r="O5659" s="1"/>
      <c r="P5659" s="1"/>
      <c r="Q5659" s="1"/>
      <c r="R5659" s="1"/>
      <c r="S5659" s="1"/>
      <c r="T5659" s="1"/>
      <c r="U5659" s="1"/>
      <c r="V5659" s="1"/>
      <c r="W5659" s="1"/>
      <c r="X5659" s="1"/>
      <c r="Y5659" s="1"/>
      <c r="Z5659" s="1"/>
      <c r="AA5659" s="1"/>
      <c r="AB5659" s="1"/>
    </row>
    <row r="5660" ht="50.25" customHeight="1">
      <c r="A5660" s="12">
        <v>5656.0</v>
      </c>
      <c r="B5660" s="13" t="s">
        <v>5027</v>
      </c>
      <c r="C5660" s="18" t="s">
        <v>5680</v>
      </c>
      <c r="D5660" s="1"/>
      <c r="E5660" s="1"/>
      <c r="F5660" s="1" t="str">
        <f>IFERROR(__xludf.DUMMYFUNCTION("GOOGLETRANSLATE(B5660, ""en"", ""fa"")
"),"املاک و مستغلات برای حرفه ای ها")</f>
        <v>املاک و مستغلات برای حرفه ای ها</v>
      </c>
      <c r="G5660" s="1" t="str">
        <f>IFERROR(__xludf.DUMMYFUNCTION("GOOGLETRANSLATE(C5660, ""en"", ""fa"")
"),"چگونه سرمایه گذاران املاک و مستغلات می توانند شرکا و متخصصان محلی قابل اعتماد را برای حرکت در بازارهای املاک خارجی شناسایی کنند؟")</f>
        <v>چگونه سرمایه گذاران املاک و مستغلات می توانند شرکا و متخصصان محلی قابل اعتماد را برای حرکت در بازارهای املاک خارجی شناسایی کنند؟</v>
      </c>
      <c r="H5660" s="1"/>
      <c r="I5660" s="1"/>
      <c r="J5660" s="1"/>
      <c r="K5660" s="1"/>
      <c r="L5660" s="1"/>
      <c r="M5660" s="1"/>
      <c r="N5660" s="1"/>
      <c r="O5660" s="1"/>
      <c r="P5660" s="1"/>
      <c r="Q5660" s="1"/>
      <c r="R5660" s="1"/>
      <c r="S5660" s="1"/>
      <c r="T5660" s="1"/>
      <c r="U5660" s="1"/>
      <c r="V5660" s="1"/>
      <c r="W5660" s="1"/>
      <c r="X5660" s="1"/>
      <c r="Y5660" s="1"/>
      <c r="Z5660" s="1"/>
      <c r="AA5660" s="1"/>
      <c r="AB5660" s="1"/>
    </row>
    <row r="5661" ht="50.25" customHeight="1">
      <c r="A5661" s="12">
        <v>5657.0</v>
      </c>
      <c r="B5661" s="13" t="s">
        <v>5027</v>
      </c>
      <c r="C5661" s="18" t="s">
        <v>5681</v>
      </c>
      <c r="D5661" s="1"/>
      <c r="E5661" s="1"/>
      <c r="F5661" s="1" t="str">
        <f>IFERROR(__xludf.DUMMYFUNCTION("GOOGLETRANSLATE(B5661, ""en"", ""fa"")
"),"املاک و مستغلات برای حرفه ای ها")</f>
        <v>املاک و مستغلات برای حرفه ای ها</v>
      </c>
      <c r="G5661" s="1" t="str">
        <f>IFERROR(__xludf.DUMMYFUNCTION("GOOGLETRANSLATE(C5661, ""en"", ""fa"")
"),"ریسک ها و چالش های مرتبط با سرمایه گذاری در بازارهای املاک خارجی چیست و سرمایه گذاران چگونه می توانند آنها را کاهش دهند؟")</f>
        <v>ریسک ها و چالش های مرتبط با سرمایه گذاری در بازارهای املاک خارجی چیست و سرمایه گذاران چگونه می توانند آنها را کاهش دهند؟</v>
      </c>
      <c r="H5661" s="1"/>
      <c r="I5661" s="1"/>
      <c r="J5661" s="1"/>
      <c r="K5661" s="1"/>
      <c r="L5661" s="1"/>
      <c r="M5661" s="1"/>
      <c r="N5661" s="1"/>
      <c r="O5661" s="1"/>
      <c r="P5661" s="1"/>
      <c r="Q5661" s="1"/>
      <c r="R5661" s="1"/>
      <c r="S5661" s="1"/>
      <c r="T5661" s="1"/>
      <c r="U5661" s="1"/>
      <c r="V5661" s="1"/>
      <c r="W5661" s="1"/>
      <c r="X5661" s="1"/>
      <c r="Y5661" s="1"/>
      <c r="Z5661" s="1"/>
      <c r="AA5661" s="1"/>
      <c r="AB5661" s="1"/>
    </row>
    <row r="5662" ht="50.25" customHeight="1">
      <c r="A5662" s="12">
        <v>5658.0</v>
      </c>
      <c r="B5662" s="13" t="s">
        <v>5027</v>
      </c>
      <c r="C5662" s="18" t="s">
        <v>5682</v>
      </c>
      <c r="D5662" s="1"/>
      <c r="E5662" s="1"/>
      <c r="F5662" s="1" t="str">
        <f>IFERROR(__xludf.DUMMYFUNCTION("GOOGLETRANSLATE(B5662, ""en"", ""fa"")
"),"املاک و مستغلات برای حرفه ای ها")</f>
        <v>املاک و مستغلات برای حرفه ای ها</v>
      </c>
      <c r="G5662" s="1" t="str">
        <f>IFERROR(__xludf.DUMMYFUNCTION("GOOGLETRANSLATE(C5662, ""en"", ""fa"")
"),"سرمایه گذاران املاک و مستغلات چه استراتژی هایی می توانند برای مدیریت موثر املاک در بازارهای خارجی، از جمله برخورد با تفاوت های زبانی و فرهنگی، به کار گیرند؟")</f>
        <v>سرمایه گذاران املاک و مستغلات چه استراتژی هایی می توانند برای مدیریت موثر املاک در بازارهای خارجی، از جمله برخورد با تفاوت های زبانی و فرهنگی، به کار گیرند؟</v>
      </c>
      <c r="H5662" s="1"/>
      <c r="I5662" s="1"/>
      <c r="J5662" s="1"/>
      <c r="K5662" s="1"/>
      <c r="L5662" s="1"/>
      <c r="M5662" s="1"/>
      <c r="N5662" s="1"/>
      <c r="O5662" s="1"/>
      <c r="P5662" s="1"/>
      <c r="Q5662" s="1"/>
      <c r="R5662" s="1"/>
      <c r="S5662" s="1"/>
      <c r="T5662" s="1"/>
      <c r="U5662" s="1"/>
      <c r="V5662" s="1"/>
      <c r="W5662" s="1"/>
      <c r="X5662" s="1"/>
      <c r="Y5662" s="1"/>
      <c r="Z5662" s="1"/>
      <c r="AA5662" s="1"/>
      <c r="AB5662" s="1"/>
    </row>
    <row r="5663" ht="50.25" customHeight="1">
      <c r="A5663" s="12">
        <v>5659.0</v>
      </c>
      <c r="B5663" s="13" t="s">
        <v>5027</v>
      </c>
      <c r="C5663" s="18" t="s">
        <v>5683</v>
      </c>
      <c r="D5663" s="1"/>
      <c r="E5663" s="1"/>
      <c r="F5663" s="1" t="str">
        <f>IFERROR(__xludf.DUMMYFUNCTION("GOOGLETRANSLATE(B5663, ""en"", ""fa"")
"),"املاک و مستغلات برای حرفه ای ها")</f>
        <v>املاک و مستغلات برای حرفه ای ها</v>
      </c>
      <c r="G5663" s="1" t="str">
        <f>IFERROR(__xludf.DUMMYFUNCTION("GOOGLETRANSLATE(C5663, ""en"", ""fa"")
"),"سرمایه گذاران املاک و مستغلات چگونه می توانند ثبات اقتصادی و پتانسیل رشد بازارهای املاک خارجی را ارزیابی کنند؟")</f>
        <v>سرمایه گذاران املاک و مستغلات چگونه می توانند ثبات اقتصادی و پتانسیل رشد بازارهای املاک خارجی را ارزیابی کنند؟</v>
      </c>
      <c r="H5663" s="1"/>
      <c r="I5663" s="1"/>
      <c r="J5663" s="1"/>
      <c r="K5663" s="1"/>
      <c r="L5663" s="1"/>
      <c r="M5663" s="1"/>
      <c r="N5663" s="1"/>
      <c r="O5663" s="1"/>
      <c r="P5663" s="1"/>
      <c r="Q5663" s="1"/>
      <c r="R5663" s="1"/>
      <c r="S5663" s="1"/>
      <c r="T5663" s="1"/>
      <c r="U5663" s="1"/>
      <c r="V5663" s="1"/>
      <c r="W5663" s="1"/>
      <c r="X5663" s="1"/>
      <c r="Y5663" s="1"/>
      <c r="Z5663" s="1"/>
      <c r="AA5663" s="1"/>
      <c r="AB5663" s="1"/>
    </row>
    <row r="5664" ht="50.25" customHeight="1">
      <c r="A5664" s="12">
        <v>5660.0</v>
      </c>
      <c r="B5664" s="13" t="s">
        <v>5027</v>
      </c>
      <c r="C5664" s="18" t="s">
        <v>5684</v>
      </c>
      <c r="D5664" s="1"/>
      <c r="E5664" s="1"/>
      <c r="F5664" s="1" t="str">
        <f>IFERROR(__xludf.DUMMYFUNCTION("GOOGLETRANSLATE(B5664, ""en"", ""fa"")
"),"املاک و مستغلات برای حرفه ای ها")</f>
        <v>املاک و مستغلات برای حرفه ای ها</v>
      </c>
      <c r="G5664" s="1" t="str">
        <f>IFERROR(__xludf.DUMMYFUNCTION("GOOGLETRANSLATE(C5664, ""en"", ""fa"")
"),"پیامدها و ملاحظات مالیاتی برای سرمایه گذاران املاک و مستغلات هنگام سرمایه گذاری در بازارهای املاک خارجی چیست؟")</f>
        <v>پیامدها و ملاحظات مالیاتی برای سرمایه گذاران املاک و مستغلات هنگام سرمایه گذاری در بازارهای املاک خارجی چیست؟</v>
      </c>
      <c r="H5664" s="1"/>
      <c r="I5664" s="1"/>
      <c r="J5664" s="1"/>
      <c r="K5664" s="1"/>
      <c r="L5664" s="1"/>
      <c r="M5664" s="1"/>
      <c r="N5664" s="1"/>
      <c r="O5664" s="1"/>
      <c r="P5664" s="1"/>
      <c r="Q5664" s="1"/>
      <c r="R5664" s="1"/>
      <c r="S5664" s="1"/>
      <c r="T5664" s="1"/>
      <c r="U5664" s="1"/>
      <c r="V5664" s="1"/>
      <c r="W5664" s="1"/>
      <c r="X5664" s="1"/>
      <c r="Y5664" s="1"/>
      <c r="Z5664" s="1"/>
      <c r="AA5664" s="1"/>
      <c r="AB5664" s="1"/>
    </row>
    <row r="5665" ht="50.25" customHeight="1">
      <c r="A5665" s="12">
        <v>5661.0</v>
      </c>
      <c r="B5665" s="13" t="s">
        <v>5027</v>
      </c>
      <c r="C5665" s="18" t="s">
        <v>5685</v>
      </c>
      <c r="D5665" s="1"/>
      <c r="E5665" s="1"/>
      <c r="F5665" s="1" t="str">
        <f>IFERROR(__xludf.DUMMYFUNCTION("GOOGLETRANSLATE(B5665, ""en"", ""fa"")
"),"املاک و مستغلات برای حرفه ای ها")</f>
        <v>املاک و مستغلات برای حرفه ای ها</v>
      </c>
      <c r="G5665" s="1" t="str">
        <f>IFERROR(__xludf.DUMMYFUNCTION("GOOGLETRANSLATE(C5665, ""en"", ""fa"")
"),"چگونه سرمایه گذاران املاک و مستغلات می توانند روندها و فرصت های نوظهور را در بازارهای املاک خارجی شناسایی کنند؟")</f>
        <v>چگونه سرمایه گذاران املاک و مستغلات می توانند روندها و فرصت های نوظهور را در بازارهای املاک خارجی شناسایی کنند؟</v>
      </c>
      <c r="H5665" s="1"/>
      <c r="I5665" s="1"/>
      <c r="J5665" s="1"/>
      <c r="K5665" s="1"/>
      <c r="L5665" s="1"/>
      <c r="M5665" s="1"/>
      <c r="N5665" s="1"/>
      <c r="O5665" s="1"/>
      <c r="P5665" s="1"/>
      <c r="Q5665" s="1"/>
      <c r="R5665" s="1"/>
      <c r="S5665" s="1"/>
      <c r="T5665" s="1"/>
      <c r="U5665" s="1"/>
      <c r="V5665" s="1"/>
      <c r="W5665" s="1"/>
      <c r="X5665" s="1"/>
      <c r="Y5665" s="1"/>
      <c r="Z5665" s="1"/>
      <c r="AA5665" s="1"/>
      <c r="AB5665" s="1"/>
    </row>
    <row r="5666" ht="50.25" customHeight="1">
      <c r="A5666" s="12">
        <v>5662.0</v>
      </c>
      <c r="B5666" s="13" t="s">
        <v>5027</v>
      </c>
      <c r="C5666" s="18" t="s">
        <v>5686</v>
      </c>
      <c r="D5666" s="1"/>
      <c r="E5666" s="1"/>
      <c r="F5666" s="1" t="str">
        <f>IFERROR(__xludf.DUMMYFUNCTION("GOOGLETRANSLATE(B5666, ""en"", ""fa"")
"),"املاک و مستغلات برای حرفه ای ها")</f>
        <v>املاک و مستغلات برای حرفه ای ها</v>
      </c>
      <c r="G5666" s="1" t="str">
        <f>IFERROR(__xludf.DUMMYFUNCTION("GOOGLETRANSLATE(C5666, ""en"", ""fa"")
"),"چه گزینه ها و استراتژی های تامین مالی برای سرمایه گذاران املاک و مستغلات در هنگام سرمایه گذاری در بازارهای املاک خارجی در دسترس است؟")</f>
        <v>چه گزینه ها و استراتژی های تامین مالی برای سرمایه گذاران املاک و مستغلات در هنگام سرمایه گذاری در بازارهای املاک خارجی در دسترس است؟</v>
      </c>
      <c r="H5666" s="1"/>
      <c r="I5666" s="1"/>
      <c r="J5666" s="1"/>
      <c r="K5666" s="1"/>
      <c r="L5666" s="1"/>
      <c r="M5666" s="1"/>
      <c r="N5666" s="1"/>
      <c r="O5666" s="1"/>
      <c r="P5666" s="1"/>
      <c r="Q5666" s="1"/>
      <c r="R5666" s="1"/>
      <c r="S5666" s="1"/>
      <c r="T5666" s="1"/>
      <c r="U5666" s="1"/>
      <c r="V5666" s="1"/>
      <c r="W5666" s="1"/>
      <c r="X5666" s="1"/>
      <c r="Y5666" s="1"/>
      <c r="Z5666" s="1"/>
      <c r="AA5666" s="1"/>
      <c r="AB5666" s="1"/>
    </row>
    <row r="5667" ht="50.25" customHeight="1">
      <c r="A5667" s="12">
        <v>5663.0</v>
      </c>
      <c r="B5667" s="13" t="s">
        <v>5027</v>
      </c>
      <c r="C5667" s="18" t="s">
        <v>5687</v>
      </c>
      <c r="D5667" s="1"/>
      <c r="E5667" s="1"/>
      <c r="F5667" s="1" t="str">
        <f>IFERROR(__xludf.DUMMYFUNCTION("GOOGLETRANSLATE(B5667, ""en"", ""fa"")
"),"املاک و مستغلات برای حرفه ای ها")</f>
        <v>املاک و مستغلات برای حرفه ای ها</v>
      </c>
      <c r="G5667" s="1" t="str">
        <f>IFERROR(__xludf.DUMMYFUNCTION("GOOGLETRANSLATE(C5667, ""en"", ""fa"")
"),"سرمایه گذاران املاک و مستغلات چگونه می توانند ریسک ها و نوسانات مبادله ارز را هنگام سرمایه گذاری در بازارهای خارجی کنترل کنند؟")</f>
        <v>سرمایه گذاران املاک و مستغلات چگونه می توانند ریسک ها و نوسانات مبادله ارز را هنگام سرمایه گذاری در بازارهای خارجی کنترل کنند؟</v>
      </c>
      <c r="H5667" s="1"/>
      <c r="I5667" s="1"/>
      <c r="J5667" s="1"/>
      <c r="K5667" s="1"/>
      <c r="L5667" s="1"/>
      <c r="M5667" s="1"/>
      <c r="N5667" s="1"/>
      <c r="O5667" s="1"/>
      <c r="P5667" s="1"/>
      <c r="Q5667" s="1"/>
      <c r="R5667" s="1"/>
      <c r="S5667" s="1"/>
      <c r="T5667" s="1"/>
      <c r="U5667" s="1"/>
      <c r="V5667" s="1"/>
      <c r="W5667" s="1"/>
      <c r="X5667" s="1"/>
      <c r="Y5667" s="1"/>
      <c r="Z5667" s="1"/>
      <c r="AA5667" s="1"/>
      <c r="AB5667" s="1"/>
    </row>
    <row r="5668" ht="50.25" customHeight="1">
      <c r="A5668" s="12">
        <v>5664.0</v>
      </c>
      <c r="B5668" s="13" t="s">
        <v>5027</v>
      </c>
      <c r="C5668" s="18" t="s">
        <v>5688</v>
      </c>
      <c r="D5668" s="1"/>
      <c r="E5668" s="1"/>
      <c r="F5668" s="1" t="str">
        <f>IFERROR(__xludf.DUMMYFUNCTION("GOOGLETRANSLATE(B5668, ""en"", ""fa"")
"),"املاک و مستغلات برای حرفه ای ها")</f>
        <v>املاک و مستغلات برای حرفه ای ها</v>
      </c>
      <c r="G5668" s="1" t="str">
        <f>IFERROR(__xludf.DUMMYFUNCTION("GOOGLETRANSLATE(C5668, ""en"", ""fa"")
"),"هنگام انتخاب شهرها یا مناطق خاص در بازارهای املاک خارجی برای سرمایه گذاری، چه فاکتورهای کلیدی را باید در نظر گرفت؟")</f>
        <v>هنگام انتخاب شهرها یا مناطق خاص در بازارهای املاک خارجی برای سرمایه گذاری، چه فاکتورهای کلیدی را باید در نظر گرفت؟</v>
      </c>
      <c r="H5668" s="1"/>
      <c r="I5668" s="1"/>
      <c r="J5668" s="1"/>
      <c r="K5668" s="1"/>
      <c r="L5668" s="1"/>
      <c r="M5668" s="1"/>
      <c r="N5668" s="1"/>
      <c r="O5668" s="1"/>
      <c r="P5668" s="1"/>
      <c r="Q5668" s="1"/>
      <c r="R5668" s="1"/>
      <c r="S5668" s="1"/>
      <c r="T5668" s="1"/>
      <c r="U5668" s="1"/>
      <c r="V5668" s="1"/>
      <c r="W5668" s="1"/>
      <c r="X5668" s="1"/>
      <c r="Y5668" s="1"/>
      <c r="Z5668" s="1"/>
      <c r="AA5668" s="1"/>
      <c r="AB5668" s="1"/>
    </row>
    <row r="5669" ht="50.25" customHeight="1">
      <c r="A5669" s="12">
        <v>5665.0</v>
      </c>
      <c r="B5669" s="13" t="s">
        <v>5027</v>
      </c>
      <c r="C5669" s="18" t="s">
        <v>5689</v>
      </c>
      <c r="D5669" s="1"/>
      <c r="E5669" s="1"/>
      <c r="F5669" s="1" t="str">
        <f>IFERROR(__xludf.DUMMYFUNCTION("GOOGLETRANSLATE(B5669, ""en"", ""fa"")
"),"املاک و مستغلات برای حرفه ای ها")</f>
        <v>املاک و مستغلات برای حرفه ای ها</v>
      </c>
      <c r="G5669" s="1" t="str">
        <f>IFERROR(__xludf.DUMMYFUNCTION("GOOGLETRANSLATE(C5669, ""en"", ""fa"")
"),"چگونه سرمایه گذاران املاک و مستغلات می توانند پویایی بازار اجاره و بازده اجاره بالقوه را در بازارهای املاک خارجی ارزیابی کنند؟")</f>
        <v>چگونه سرمایه گذاران املاک و مستغلات می توانند پویایی بازار اجاره و بازده اجاره بالقوه را در بازارهای املاک خارجی ارزیابی کنند؟</v>
      </c>
      <c r="H5669" s="1"/>
      <c r="I5669" s="1"/>
      <c r="J5669" s="1"/>
      <c r="K5669" s="1"/>
      <c r="L5669" s="1"/>
      <c r="M5669" s="1"/>
      <c r="N5669" s="1"/>
      <c r="O5669" s="1"/>
      <c r="P5669" s="1"/>
      <c r="Q5669" s="1"/>
      <c r="R5669" s="1"/>
      <c r="S5669" s="1"/>
      <c r="T5669" s="1"/>
      <c r="U5669" s="1"/>
      <c r="V5669" s="1"/>
      <c r="W5669" s="1"/>
      <c r="X5669" s="1"/>
      <c r="Y5669" s="1"/>
      <c r="Z5669" s="1"/>
      <c r="AA5669" s="1"/>
      <c r="AB5669" s="1"/>
    </row>
    <row r="5670" ht="50.25" customHeight="1">
      <c r="A5670" s="12">
        <v>5666.0</v>
      </c>
      <c r="B5670" s="13" t="s">
        <v>5027</v>
      </c>
      <c r="C5670" s="18" t="s">
        <v>5690</v>
      </c>
      <c r="D5670" s="1"/>
      <c r="E5670" s="1"/>
      <c r="F5670" s="1" t="str">
        <f>IFERROR(__xludf.DUMMYFUNCTION("GOOGLETRANSLATE(B5670, ""en"", ""fa"")
"),"املاک و مستغلات برای حرفه ای ها")</f>
        <v>املاک و مستغلات برای حرفه ای ها</v>
      </c>
      <c r="G5670" s="1" t="str">
        <f>IFERROR(__xludf.DUMMYFUNCTION("GOOGLETRANSLATE(C5670, ""en"", ""fa"")
"),"سرمایه گذاران املاک و مستغلات هنگام انجام بازرسی و ارزیابی املاک در بازارهای خارجی چه فرآیندهای بررسی دقیقی را باید دنبال کنند؟")</f>
        <v>سرمایه گذاران املاک و مستغلات هنگام انجام بازرسی و ارزیابی املاک در بازارهای خارجی چه فرآیندهای بررسی دقیقی را باید دنبال کنند؟</v>
      </c>
      <c r="H5670" s="1"/>
      <c r="I5670" s="1"/>
      <c r="J5670" s="1"/>
      <c r="K5670" s="1"/>
      <c r="L5670" s="1"/>
      <c r="M5670" s="1"/>
      <c r="N5670" s="1"/>
      <c r="O5670" s="1"/>
      <c r="P5670" s="1"/>
      <c r="Q5670" s="1"/>
      <c r="R5670" s="1"/>
      <c r="S5670" s="1"/>
      <c r="T5670" s="1"/>
      <c r="U5670" s="1"/>
      <c r="V5670" s="1"/>
      <c r="W5670" s="1"/>
      <c r="X5670" s="1"/>
      <c r="Y5670" s="1"/>
      <c r="Z5670" s="1"/>
      <c r="AA5670" s="1"/>
      <c r="AB5670" s="1"/>
    </row>
    <row r="5671" ht="50.25" customHeight="1">
      <c r="A5671" s="12">
        <v>5667.0</v>
      </c>
      <c r="B5671" s="13" t="s">
        <v>5027</v>
      </c>
      <c r="C5671" s="18" t="s">
        <v>5691</v>
      </c>
      <c r="D5671" s="1"/>
      <c r="E5671" s="1"/>
      <c r="F5671" s="1" t="str">
        <f>IFERROR(__xludf.DUMMYFUNCTION("GOOGLETRANSLATE(B5671, ""en"", ""fa"")
"),"املاک و مستغلات برای حرفه ای ها")</f>
        <v>املاک و مستغلات برای حرفه ای ها</v>
      </c>
      <c r="G5671" s="1" t="str">
        <f>IFERROR(__xludf.DUMMYFUNCTION("GOOGLETRANSLATE(C5671, ""en"", ""fa"")
"),"سرمایه گذاران املاک و مستغلات چگونه می توانند چارچوب قانونی و حمایت از حقوق مالکیت را در بازارهای املاک خارجی ارزیابی کنند؟")</f>
        <v>سرمایه گذاران املاک و مستغلات چگونه می توانند چارچوب قانونی و حمایت از حقوق مالکیت را در بازارهای املاک خارجی ارزیابی کنند؟</v>
      </c>
      <c r="H5671" s="1"/>
      <c r="I5671" s="1"/>
      <c r="J5671" s="1"/>
      <c r="K5671" s="1"/>
      <c r="L5671" s="1"/>
      <c r="M5671" s="1"/>
      <c r="N5671" s="1"/>
      <c r="O5671" s="1"/>
      <c r="P5671" s="1"/>
      <c r="Q5671" s="1"/>
      <c r="R5671" s="1"/>
      <c r="S5671" s="1"/>
      <c r="T5671" s="1"/>
      <c r="U5671" s="1"/>
      <c r="V5671" s="1"/>
      <c r="W5671" s="1"/>
      <c r="X5671" s="1"/>
      <c r="Y5671" s="1"/>
      <c r="Z5671" s="1"/>
      <c r="AA5671" s="1"/>
      <c r="AB5671" s="1"/>
    </row>
    <row r="5672" ht="50.25" customHeight="1">
      <c r="A5672" s="12">
        <v>5668.0</v>
      </c>
      <c r="B5672" s="13" t="s">
        <v>5027</v>
      </c>
      <c r="C5672" s="18" t="s">
        <v>5692</v>
      </c>
      <c r="D5672" s="1"/>
      <c r="E5672" s="1"/>
      <c r="F5672" s="1" t="str">
        <f>IFERROR(__xludf.DUMMYFUNCTION("GOOGLETRANSLATE(B5672, ""en"", ""fa"")
"),"املاک و مستغلات برای حرفه ای ها")</f>
        <v>املاک و مستغلات برای حرفه ای ها</v>
      </c>
      <c r="G5672" s="1" t="str">
        <f>IFERROR(__xludf.DUMMYFUNCTION("GOOGLETRANSLATE(C5672, ""en"", ""fa"")
"),"استراتژی های خروج سرمایه گذاران املاک در هنگام سرمایه گذاری در بازارهای املاک خارجی چیست؟")</f>
        <v>استراتژی های خروج سرمایه گذاران املاک در هنگام سرمایه گذاری در بازارهای املاک خارجی چیست؟</v>
      </c>
      <c r="H5672" s="1"/>
      <c r="I5672" s="1"/>
      <c r="J5672" s="1"/>
      <c r="K5672" s="1"/>
      <c r="L5672" s="1"/>
      <c r="M5672" s="1"/>
      <c r="N5672" s="1"/>
      <c r="O5672" s="1"/>
      <c r="P5672" s="1"/>
      <c r="Q5672" s="1"/>
      <c r="R5672" s="1"/>
      <c r="S5672" s="1"/>
      <c r="T5672" s="1"/>
      <c r="U5672" s="1"/>
      <c r="V5672" s="1"/>
      <c r="W5672" s="1"/>
      <c r="X5672" s="1"/>
      <c r="Y5672" s="1"/>
      <c r="Z5672" s="1"/>
      <c r="AA5672" s="1"/>
      <c r="AB5672" s="1"/>
    </row>
    <row r="5673" ht="50.25" customHeight="1">
      <c r="A5673" s="12">
        <v>5669.0</v>
      </c>
      <c r="B5673" s="13" t="s">
        <v>5027</v>
      </c>
      <c r="C5673" s="18" t="s">
        <v>5693</v>
      </c>
      <c r="D5673" s="1"/>
      <c r="E5673" s="1"/>
      <c r="F5673" s="1" t="str">
        <f>IFERROR(__xludf.DUMMYFUNCTION("GOOGLETRANSLATE(B5673, ""en"", ""fa"")
"),"املاک و مستغلات برای حرفه ای ها")</f>
        <v>املاک و مستغلات برای حرفه ای ها</v>
      </c>
      <c r="G5673" s="1" t="str">
        <f>IFERROR(__xludf.DUMMYFUNCTION("GOOGLETRANSLATE(C5673, ""en"", ""fa"")
"),"چگونه سرمایه گذاران املاک و مستغلات می توانند شبکه ای از تماس های محلی و متخصصان برای حمایت از سرمایه گذاری های خود در بازارهای خارجی ایجاد کنند؟")</f>
        <v>چگونه سرمایه گذاران املاک و مستغلات می توانند شبکه ای از تماس های محلی و متخصصان برای حمایت از سرمایه گذاری های خود در بازارهای خارجی ایجاد کنند؟</v>
      </c>
      <c r="H5673" s="1"/>
      <c r="I5673" s="1"/>
      <c r="J5673" s="1"/>
      <c r="K5673" s="1"/>
      <c r="L5673" s="1"/>
      <c r="M5673" s="1"/>
      <c r="N5673" s="1"/>
      <c r="O5673" s="1"/>
      <c r="P5673" s="1"/>
      <c r="Q5673" s="1"/>
      <c r="R5673" s="1"/>
      <c r="S5673" s="1"/>
      <c r="T5673" s="1"/>
      <c r="U5673" s="1"/>
      <c r="V5673" s="1"/>
      <c r="W5673" s="1"/>
      <c r="X5673" s="1"/>
      <c r="Y5673" s="1"/>
      <c r="Z5673" s="1"/>
      <c r="AA5673" s="1"/>
      <c r="AB5673" s="1"/>
    </row>
    <row r="5674" ht="50.25" customHeight="1">
      <c r="A5674" s="12">
        <v>5670.0</v>
      </c>
      <c r="B5674" s="13" t="s">
        <v>5027</v>
      </c>
      <c r="C5674" s="18" t="s">
        <v>5694</v>
      </c>
      <c r="D5674" s="1"/>
      <c r="E5674" s="1"/>
      <c r="F5674" s="1" t="str">
        <f>IFERROR(__xludf.DUMMYFUNCTION("GOOGLETRANSLATE(B5674, ""en"", ""fa"")
"),"املاک و مستغلات برای حرفه ای ها")</f>
        <v>املاک و مستغلات برای حرفه ای ها</v>
      </c>
      <c r="G5674" s="1" t="str">
        <f>IFERROR(__xludf.DUMMYFUNCTION("GOOGLETRANSLATE(C5674, ""en"", ""fa"")
"),"گزینه ها و استراتژی های تامین مالی برای سرمایه گذاران خارجی هنگام خرید ملک در بازارهای املاک خارجی چیست؟")</f>
        <v>گزینه ها و استراتژی های تامین مالی برای سرمایه گذاران خارجی هنگام خرید ملک در بازارهای املاک خارجی چیست؟</v>
      </c>
      <c r="H5674" s="1"/>
      <c r="I5674" s="1"/>
      <c r="J5674" s="1"/>
      <c r="K5674" s="1"/>
      <c r="L5674" s="1"/>
      <c r="M5674" s="1"/>
      <c r="N5674" s="1"/>
      <c r="O5674" s="1"/>
      <c r="P5674" s="1"/>
      <c r="Q5674" s="1"/>
      <c r="R5674" s="1"/>
      <c r="S5674" s="1"/>
      <c r="T5674" s="1"/>
      <c r="U5674" s="1"/>
      <c r="V5674" s="1"/>
      <c r="W5674" s="1"/>
      <c r="X5674" s="1"/>
      <c r="Y5674" s="1"/>
      <c r="Z5674" s="1"/>
      <c r="AA5674" s="1"/>
      <c r="AB5674" s="1"/>
    </row>
    <row r="5675" ht="50.25" customHeight="1">
      <c r="A5675" s="12">
        <v>5671.0</v>
      </c>
      <c r="B5675" s="13" t="s">
        <v>5027</v>
      </c>
      <c r="C5675" s="18" t="s">
        <v>5695</v>
      </c>
      <c r="D5675" s="1"/>
      <c r="E5675" s="1"/>
      <c r="F5675" s="1" t="str">
        <f>IFERROR(__xludf.DUMMYFUNCTION("GOOGLETRANSLATE(B5675, ""en"", ""fa"")
"),"املاک و مستغلات برای حرفه ای ها")</f>
        <v>املاک و مستغلات برای حرفه ای ها</v>
      </c>
      <c r="G5675" s="1" t="str">
        <f>IFERROR(__xludf.DUMMYFUNCTION("GOOGLETRANSLATE(C5675, ""en"", ""fa"")
"),"سرمایه گذاران املاک و مستغلات چگونه می توانند ثبات سیاسی و اجتماعی بازارهای املاک خارجی را قبل از تصمیم گیری برای سرمایه گذاری ارزیابی کنند؟")</f>
        <v>سرمایه گذاران املاک و مستغلات چگونه می توانند ثبات سیاسی و اجتماعی بازارهای املاک خارجی را قبل از تصمیم گیری برای سرمایه گذاری ارزیابی کنند؟</v>
      </c>
      <c r="H5675" s="1"/>
      <c r="I5675" s="1"/>
      <c r="J5675" s="1"/>
      <c r="K5675" s="1"/>
      <c r="L5675" s="1"/>
      <c r="M5675" s="1"/>
      <c r="N5675" s="1"/>
      <c r="O5675" s="1"/>
      <c r="P5675" s="1"/>
      <c r="Q5675" s="1"/>
      <c r="R5675" s="1"/>
      <c r="S5675" s="1"/>
      <c r="T5675" s="1"/>
      <c r="U5675" s="1"/>
      <c r="V5675" s="1"/>
      <c r="W5675" s="1"/>
      <c r="X5675" s="1"/>
      <c r="Y5675" s="1"/>
      <c r="Z5675" s="1"/>
      <c r="AA5675" s="1"/>
      <c r="AB5675" s="1"/>
    </row>
    <row r="5676" ht="50.25" customHeight="1">
      <c r="A5676" s="12">
        <v>5672.0</v>
      </c>
      <c r="B5676" s="13" t="s">
        <v>5027</v>
      </c>
      <c r="C5676" s="18" t="s">
        <v>5696</v>
      </c>
      <c r="D5676" s="1"/>
      <c r="E5676" s="1"/>
      <c r="F5676" s="1" t="str">
        <f>IFERROR(__xludf.DUMMYFUNCTION("GOOGLETRANSLATE(B5676, ""en"", ""fa"")
"),"املاک و مستغلات برای حرفه ای ها")</f>
        <v>املاک و مستغلات برای حرفه ای ها</v>
      </c>
      <c r="G5676" s="1" t="str">
        <f>IFERROR(__xludf.DUMMYFUNCTION("GOOGLETRANSLATE(C5676, ""en"", ""fa"")
"),"سرمایه گذاران املاک و مستغلات چه استراتژی هایی می توانند برای مدیریت معاملات ارز خارجی و به حداقل رساندن هزینه های مرتبط به کار گیرند؟")</f>
        <v>سرمایه گذاران املاک و مستغلات چه استراتژی هایی می توانند برای مدیریت معاملات ارز خارجی و به حداقل رساندن هزینه های مرتبط به کار گیرند؟</v>
      </c>
      <c r="H5676" s="1"/>
      <c r="I5676" s="1"/>
      <c r="J5676" s="1"/>
      <c r="K5676" s="1"/>
      <c r="L5676" s="1"/>
      <c r="M5676" s="1"/>
      <c r="N5676" s="1"/>
      <c r="O5676" s="1"/>
      <c r="P5676" s="1"/>
      <c r="Q5676" s="1"/>
      <c r="R5676" s="1"/>
      <c r="S5676" s="1"/>
      <c r="T5676" s="1"/>
      <c r="U5676" s="1"/>
      <c r="V5676" s="1"/>
      <c r="W5676" s="1"/>
      <c r="X5676" s="1"/>
      <c r="Y5676" s="1"/>
      <c r="Z5676" s="1"/>
      <c r="AA5676" s="1"/>
      <c r="AB5676" s="1"/>
    </row>
    <row r="5677" ht="50.25" customHeight="1">
      <c r="A5677" s="12">
        <v>5673.0</v>
      </c>
      <c r="B5677" s="13" t="s">
        <v>5027</v>
      </c>
      <c r="C5677" s="18" t="s">
        <v>5697</v>
      </c>
      <c r="D5677" s="1"/>
      <c r="E5677" s="1"/>
      <c r="F5677" s="1" t="str">
        <f>IFERROR(__xludf.DUMMYFUNCTION("GOOGLETRANSLATE(B5677, ""en"", ""fa"")
"),"املاک و مستغلات برای حرفه ای ها")</f>
        <v>املاک و مستغلات برای حرفه ای ها</v>
      </c>
      <c r="G5677" s="1" t="str">
        <f>IFERROR(__xludf.DUMMYFUNCTION("GOOGLETRANSLATE(C5677, ""en"", ""fa"")
"),"سرمایه گذاران املاک و مستغلات چگونه می توانند روند کسب و انتقال عنوان ملک در بازارهای املاک خارجی را طی کنند؟")</f>
        <v>سرمایه گذاران املاک و مستغلات چگونه می توانند روند کسب و انتقال عنوان ملک در بازارهای املاک خارجی را طی کنند؟</v>
      </c>
      <c r="H5677" s="1"/>
      <c r="I5677" s="1"/>
      <c r="J5677" s="1"/>
      <c r="K5677" s="1"/>
      <c r="L5677" s="1"/>
      <c r="M5677" s="1"/>
      <c r="N5677" s="1"/>
      <c r="O5677" s="1"/>
      <c r="P5677" s="1"/>
      <c r="Q5677" s="1"/>
      <c r="R5677" s="1"/>
      <c r="S5677" s="1"/>
      <c r="T5677" s="1"/>
      <c r="U5677" s="1"/>
      <c r="V5677" s="1"/>
      <c r="W5677" s="1"/>
      <c r="X5677" s="1"/>
      <c r="Y5677" s="1"/>
      <c r="Z5677" s="1"/>
      <c r="AA5677" s="1"/>
      <c r="AB5677" s="1"/>
    </row>
    <row r="5678" ht="50.25" customHeight="1">
      <c r="A5678" s="12">
        <v>5674.0</v>
      </c>
      <c r="B5678" s="13" t="s">
        <v>5027</v>
      </c>
      <c r="C5678" s="18" t="s">
        <v>5698</v>
      </c>
      <c r="D5678" s="1"/>
      <c r="E5678" s="1"/>
      <c r="F5678" s="1" t="str">
        <f>IFERROR(__xludf.DUMMYFUNCTION("GOOGLETRANSLATE(B5678, ""en"", ""fa"")
"),"املاک و مستغلات برای حرفه ای ها")</f>
        <v>املاک و مستغلات برای حرفه ای ها</v>
      </c>
      <c r="G5678" s="1" t="str">
        <f>IFERROR(__xludf.DUMMYFUNCTION("GOOGLETRANSLATE(C5678, ""en"", ""fa"")
"),"ملاحظات کلیدی برای سرمایه گذاران املاک و مستغلات هنگام ارزیابی تقاضای اجاره و مشخصات مستاجر در بازارهای خارجی چیست؟")</f>
        <v>ملاحظات کلیدی برای سرمایه گذاران املاک و مستغلات هنگام ارزیابی تقاضای اجاره و مشخصات مستاجر در بازارهای خارجی چیست؟</v>
      </c>
      <c r="H5678" s="1"/>
      <c r="I5678" s="1"/>
      <c r="J5678" s="1"/>
      <c r="K5678" s="1"/>
      <c r="L5678" s="1"/>
      <c r="M5678" s="1"/>
      <c r="N5678" s="1"/>
      <c r="O5678" s="1"/>
      <c r="P5678" s="1"/>
      <c r="Q5678" s="1"/>
      <c r="R5678" s="1"/>
      <c r="S5678" s="1"/>
      <c r="T5678" s="1"/>
      <c r="U5678" s="1"/>
      <c r="V5678" s="1"/>
      <c r="W5678" s="1"/>
      <c r="X5678" s="1"/>
      <c r="Y5678" s="1"/>
      <c r="Z5678" s="1"/>
      <c r="AA5678" s="1"/>
      <c r="AB5678" s="1"/>
    </row>
    <row r="5679" ht="50.25" customHeight="1">
      <c r="A5679" s="12">
        <v>5675.0</v>
      </c>
      <c r="B5679" s="13" t="s">
        <v>5027</v>
      </c>
      <c r="C5679" s="18" t="s">
        <v>5699</v>
      </c>
      <c r="D5679" s="1"/>
      <c r="E5679" s="1"/>
      <c r="F5679" s="1" t="str">
        <f>IFERROR(__xludf.DUMMYFUNCTION("GOOGLETRANSLATE(B5679, ""en"", ""fa"")
"),"املاک و مستغلات برای حرفه ای ها")</f>
        <v>املاک و مستغلات برای حرفه ای ها</v>
      </c>
      <c r="G5679" s="1" t="str">
        <f>IFERROR(__xludf.DUMMYFUNCTION("GOOGLETRANSLATE(C5679, ""en"", ""fa"")
"),"چگونه سرمایه گذاران املاک و مستغلات می توانند سودآورترین انواع املاک و بخش ها را در بازارهای املاک خارجی شناسایی کنند؟")</f>
        <v>چگونه سرمایه گذاران املاک و مستغلات می توانند سودآورترین انواع املاک و بخش ها را در بازارهای املاک خارجی شناسایی کنند؟</v>
      </c>
      <c r="H5679" s="1"/>
      <c r="I5679" s="1"/>
      <c r="J5679" s="1"/>
      <c r="K5679" s="1"/>
      <c r="L5679" s="1"/>
      <c r="M5679" s="1"/>
      <c r="N5679" s="1"/>
      <c r="O5679" s="1"/>
      <c r="P5679" s="1"/>
      <c r="Q5679" s="1"/>
      <c r="R5679" s="1"/>
      <c r="S5679" s="1"/>
      <c r="T5679" s="1"/>
      <c r="U5679" s="1"/>
      <c r="V5679" s="1"/>
      <c r="W5679" s="1"/>
      <c r="X5679" s="1"/>
      <c r="Y5679" s="1"/>
      <c r="Z5679" s="1"/>
      <c r="AA5679" s="1"/>
      <c r="AB5679" s="1"/>
    </row>
    <row r="5680" ht="50.25" customHeight="1">
      <c r="A5680" s="12">
        <v>5676.0</v>
      </c>
      <c r="B5680" s="13" t="s">
        <v>5027</v>
      </c>
      <c r="C5680" s="18" t="s">
        <v>5700</v>
      </c>
      <c r="D5680" s="1"/>
      <c r="E5680" s="1"/>
      <c r="F5680" s="1" t="str">
        <f>IFERROR(__xludf.DUMMYFUNCTION("GOOGLETRANSLATE(B5680, ""en"", ""fa"")
"),"املاک و مستغلات برای حرفه ای ها")</f>
        <v>املاک و مستغلات برای حرفه ای ها</v>
      </c>
      <c r="G5680" s="1" t="str">
        <f>IFERROR(__xludf.DUMMYFUNCTION("GOOGLETRANSLATE(C5680, ""en"", ""fa"")
"),"خطرات و مزایای سرمایه گذاری در بازارهای نوظهور در مقابل بازارهای مستقر برای سرمایه گذاران املاک چیست؟")</f>
        <v>خطرات و مزایای سرمایه گذاری در بازارهای نوظهور در مقابل بازارهای مستقر برای سرمایه گذاران املاک چیست؟</v>
      </c>
      <c r="H5680" s="1"/>
      <c r="I5680" s="1"/>
      <c r="J5680" s="1"/>
      <c r="K5680" s="1"/>
      <c r="L5680" s="1"/>
      <c r="M5680" s="1"/>
      <c r="N5680" s="1"/>
      <c r="O5680" s="1"/>
      <c r="P5680" s="1"/>
      <c r="Q5680" s="1"/>
      <c r="R5680" s="1"/>
      <c r="S5680" s="1"/>
      <c r="T5680" s="1"/>
      <c r="U5680" s="1"/>
      <c r="V5680" s="1"/>
      <c r="W5680" s="1"/>
      <c r="X5680" s="1"/>
      <c r="Y5680" s="1"/>
      <c r="Z5680" s="1"/>
      <c r="AA5680" s="1"/>
      <c r="AB5680" s="1"/>
    </row>
    <row r="5681" ht="50.25" customHeight="1">
      <c r="A5681" s="12">
        <v>5677.0</v>
      </c>
      <c r="B5681" s="13" t="s">
        <v>5701</v>
      </c>
      <c r="C5681" s="18" t="s">
        <v>5702</v>
      </c>
      <c r="D5681" s="1"/>
      <c r="E5681" s="1"/>
      <c r="F5681" s="1" t="str">
        <f>IFERROR(__xludf.DUMMYFUNCTION("GOOGLETRANSLATE(B5681, ""en"", ""fa"")
"),"چاپ بر حسب تقاضا (POD)")</f>
        <v>چاپ بر حسب تقاضا (POD)</v>
      </c>
      <c r="G5681" s="1" t="str">
        <f>IFERROR(__xludf.DUMMYFUNCTION("GOOGLETRANSLATE(C5681, ""en"", ""fa"")
"),"Print on Demand (POD) چیست و چگونه کار می کند؟")</f>
        <v>Print on Demand (POD) چیست و چگونه کار می کند؟</v>
      </c>
      <c r="H5681" s="1"/>
      <c r="I5681" s="1"/>
      <c r="J5681" s="1"/>
      <c r="K5681" s="1"/>
      <c r="L5681" s="1"/>
      <c r="M5681" s="1"/>
      <c r="N5681" s="1"/>
      <c r="O5681" s="1"/>
      <c r="P5681" s="1"/>
      <c r="Q5681" s="1"/>
      <c r="R5681" s="1"/>
      <c r="S5681" s="1"/>
      <c r="T5681" s="1"/>
      <c r="U5681" s="1"/>
      <c r="V5681" s="1"/>
      <c r="W5681" s="1"/>
      <c r="X5681" s="1"/>
      <c r="Y5681" s="1"/>
      <c r="Z5681" s="1"/>
      <c r="AA5681" s="1"/>
      <c r="AB5681" s="1"/>
    </row>
    <row r="5682" ht="50.25" customHeight="1">
      <c r="A5682" s="12">
        <v>5678.0</v>
      </c>
      <c r="B5682" s="13" t="s">
        <v>5701</v>
      </c>
      <c r="C5682" s="18" t="s">
        <v>5703</v>
      </c>
      <c r="D5682" s="1"/>
      <c r="E5682" s="1"/>
      <c r="F5682" s="1" t="str">
        <f>IFERROR(__xludf.DUMMYFUNCTION("GOOGLETRANSLATE(B5682, ""en"", ""fa"")
"),"چاپ بر حسب تقاضا (POD)")</f>
        <v>چاپ بر حسب تقاضا (POD)</v>
      </c>
      <c r="G5682" s="1" t="str">
        <f>IFERROR(__xludf.DUMMYFUNCTION("GOOGLETRANSLATE(C5682, ""en"", ""fa"")
"),"مزایای استفاده از Print on Demand برای فروش آنلاین محصولات چیست؟")</f>
        <v>مزایای استفاده از Print on Demand برای فروش آنلاین محصولات چیست؟</v>
      </c>
      <c r="H5682" s="1"/>
      <c r="I5682" s="1"/>
      <c r="J5682" s="1"/>
      <c r="K5682" s="1"/>
      <c r="L5682" s="1"/>
      <c r="M5682" s="1"/>
      <c r="N5682" s="1"/>
      <c r="O5682" s="1"/>
      <c r="P5682" s="1"/>
      <c r="Q5682" s="1"/>
      <c r="R5682" s="1"/>
      <c r="S5682" s="1"/>
      <c r="T5682" s="1"/>
      <c r="U5682" s="1"/>
      <c r="V5682" s="1"/>
      <c r="W5682" s="1"/>
      <c r="X5682" s="1"/>
      <c r="Y5682" s="1"/>
      <c r="Z5682" s="1"/>
      <c r="AA5682" s="1"/>
      <c r="AB5682" s="1"/>
    </row>
    <row r="5683" ht="50.25" customHeight="1">
      <c r="A5683" s="12">
        <v>5679.0</v>
      </c>
      <c r="B5683" s="13" t="s">
        <v>5701</v>
      </c>
      <c r="C5683" s="18" t="s">
        <v>5704</v>
      </c>
      <c r="D5683" s="1"/>
      <c r="E5683" s="1"/>
      <c r="F5683" s="1" t="str">
        <f>IFERROR(__xludf.DUMMYFUNCTION("GOOGLETRANSLATE(B5683, ""en"", ""fa"")
"),"چاپ بر حسب تقاضا (POD)")</f>
        <v>چاپ بر حسب تقاضا (POD)</v>
      </c>
      <c r="G5683" s="1" t="str">
        <f>IFERROR(__xludf.DUMMYFUNCTION("GOOGLETRANSLATE(C5683, ""en"", ""fa"")
"),"چاپ بر حسب تقاضا چگونه صنعت تجارت الکترونیک را متحول کرده است؟")</f>
        <v>چاپ بر حسب تقاضا چگونه صنعت تجارت الکترونیک را متحول کرده است؟</v>
      </c>
      <c r="H5683" s="1"/>
      <c r="I5683" s="1"/>
      <c r="J5683" s="1"/>
      <c r="K5683" s="1"/>
      <c r="L5683" s="1"/>
      <c r="M5683" s="1"/>
      <c r="N5683" s="1"/>
      <c r="O5683" s="1"/>
      <c r="P5683" s="1"/>
      <c r="Q5683" s="1"/>
      <c r="R5683" s="1"/>
      <c r="S5683" s="1"/>
      <c r="T5683" s="1"/>
      <c r="U5683" s="1"/>
      <c r="V5683" s="1"/>
      <c r="W5683" s="1"/>
      <c r="X5683" s="1"/>
      <c r="Y5683" s="1"/>
      <c r="Z5683" s="1"/>
      <c r="AA5683" s="1"/>
      <c r="AB5683" s="1"/>
    </row>
    <row r="5684" ht="50.25" customHeight="1">
      <c r="A5684" s="12">
        <v>5680.0</v>
      </c>
      <c r="B5684" s="13" t="s">
        <v>5701</v>
      </c>
      <c r="C5684" s="18" t="s">
        <v>5705</v>
      </c>
      <c r="D5684" s="1"/>
      <c r="E5684" s="1"/>
      <c r="F5684" s="1" t="str">
        <f>IFERROR(__xludf.DUMMYFUNCTION("GOOGLETRANSLATE(B5684, ""en"", ""fa"")
"),"چاپ بر حسب تقاضا (POD)")</f>
        <v>چاپ بر حسب تقاضا (POD)</v>
      </c>
      <c r="G5684" s="1" t="str">
        <f>IFERROR(__xludf.DUMMYFUNCTION("GOOGLETRANSLATE(C5684, ""en"", ""fa"")
"),"چگونه می توان فرصت های بالقوه گسترش طاقچه و تنوع را در صنعت Print on Demand در Etsy ارزیابی کرد؟")</f>
        <v>چگونه می توان فرصت های بالقوه گسترش طاقچه و تنوع را در صنعت Print on Demand در Etsy ارزیابی کرد؟</v>
      </c>
      <c r="H5684" s="1"/>
      <c r="I5684" s="1"/>
      <c r="J5684" s="1"/>
      <c r="K5684" s="1"/>
      <c r="L5684" s="1"/>
      <c r="M5684" s="1"/>
      <c r="N5684" s="1"/>
      <c r="O5684" s="1"/>
      <c r="P5684" s="1"/>
      <c r="Q5684" s="1"/>
      <c r="R5684" s="1"/>
      <c r="S5684" s="1"/>
      <c r="T5684" s="1"/>
      <c r="U5684" s="1"/>
      <c r="V5684" s="1"/>
      <c r="W5684" s="1"/>
      <c r="X5684" s="1"/>
      <c r="Y5684" s="1"/>
      <c r="Z5684" s="1"/>
      <c r="AA5684" s="1"/>
      <c r="AB5684" s="1"/>
    </row>
    <row r="5685" ht="50.25" customHeight="1">
      <c r="A5685" s="12">
        <v>5681.0</v>
      </c>
      <c r="B5685" s="13" t="s">
        <v>5701</v>
      </c>
      <c r="C5685" s="18" t="s">
        <v>5706</v>
      </c>
      <c r="D5685" s="1"/>
      <c r="E5685" s="1"/>
      <c r="F5685" s="1" t="str">
        <f>IFERROR(__xludf.DUMMYFUNCTION("GOOGLETRANSLATE(B5685, ""en"", ""fa"")
"),"چاپ بر حسب تقاضا (POD)")</f>
        <v>چاپ بر حسب تقاضا (POD)</v>
      </c>
      <c r="G5685" s="1" t="str">
        <f>IFERROR(__xludf.DUMMYFUNCTION("GOOGLETRANSLATE(C5685, ""en"", ""fa"")
"),"قالب‌ها و پلتفرم‌های محتوای خاص برای جذب مخاطبان هدف در Etsy چیست؟")</f>
        <v>قالب‌ها و پلتفرم‌های محتوای خاص برای جذب مخاطبان هدف در Etsy چیست؟</v>
      </c>
      <c r="H5685" s="1"/>
      <c r="I5685" s="1"/>
      <c r="J5685" s="1"/>
      <c r="K5685" s="1"/>
      <c r="L5685" s="1"/>
      <c r="M5685" s="1"/>
      <c r="N5685" s="1"/>
      <c r="O5685" s="1"/>
      <c r="P5685" s="1"/>
      <c r="Q5685" s="1"/>
      <c r="R5685" s="1"/>
      <c r="S5685" s="1"/>
      <c r="T5685" s="1"/>
      <c r="U5685" s="1"/>
      <c r="V5685" s="1"/>
      <c r="W5685" s="1"/>
      <c r="X5685" s="1"/>
      <c r="Y5685" s="1"/>
      <c r="Z5685" s="1"/>
      <c r="AA5685" s="1"/>
      <c r="AB5685" s="1"/>
    </row>
    <row r="5686" ht="50.25" customHeight="1">
      <c r="A5686" s="12">
        <v>5682.0</v>
      </c>
      <c r="B5686" s="13" t="s">
        <v>5701</v>
      </c>
      <c r="C5686" s="18" t="s">
        <v>5707</v>
      </c>
      <c r="D5686" s="1"/>
      <c r="E5686" s="1"/>
      <c r="F5686" s="1" t="str">
        <f>IFERROR(__xludf.DUMMYFUNCTION("GOOGLETRANSLATE(B5686, ""en"", ""fa"")
"),"چاپ بر حسب تقاضا (POD)")</f>
        <v>چاپ بر حسب تقاضا (POD)</v>
      </c>
      <c r="G5686" s="1" t="str">
        <f>IFERROR(__xludf.DUMMYFUNCTION("GOOGLETRANSLATE(C5686, ""en"", ""fa"")
"),"چگونه می‌توان اولویت‌ها و حساسیت‌های فرهنگی خاص را در Print on Demand در Etsy شناسایی کرد و به آنها رسیدگی کرد؟")</f>
        <v>چگونه می‌توان اولویت‌ها و حساسیت‌های فرهنگی خاص را در Print on Demand در Etsy شناسایی کرد و به آنها رسیدگی کرد؟</v>
      </c>
      <c r="H5686" s="1"/>
      <c r="I5686" s="1"/>
      <c r="J5686" s="1"/>
      <c r="K5686" s="1"/>
      <c r="L5686" s="1"/>
      <c r="M5686" s="1"/>
      <c r="N5686" s="1"/>
      <c r="O5686" s="1"/>
      <c r="P5686" s="1"/>
      <c r="Q5686" s="1"/>
      <c r="R5686" s="1"/>
      <c r="S5686" s="1"/>
      <c r="T5686" s="1"/>
      <c r="U5686" s="1"/>
      <c r="V5686" s="1"/>
      <c r="W5686" s="1"/>
      <c r="X5686" s="1"/>
      <c r="Y5686" s="1"/>
      <c r="Z5686" s="1"/>
      <c r="AA5686" s="1"/>
      <c r="AB5686" s="1"/>
    </row>
    <row r="5687" ht="50.25" customHeight="1">
      <c r="A5687" s="12">
        <v>5683.0</v>
      </c>
      <c r="B5687" s="13" t="s">
        <v>5701</v>
      </c>
      <c r="C5687" s="18" t="s">
        <v>5708</v>
      </c>
      <c r="D5687" s="1"/>
      <c r="E5687" s="1"/>
      <c r="F5687" s="1" t="str">
        <f>IFERROR(__xludf.DUMMYFUNCTION("GOOGLETRANSLATE(B5687, ""en"", ""fa"")
"),"چاپ بر حسب تقاضا (POD)")</f>
        <v>چاپ بر حسب تقاضا (POD)</v>
      </c>
      <c r="G5687" s="1" t="str">
        <f>IFERROR(__xludf.DUMMYFUNCTION("GOOGLETRANSLATE(C5687, ""en"", ""fa"")
"),"طاقچه های بالقوه مربوط به مد و پوشاک برای چاپ بر اساس تقاضا در Etsy چیست؟")</f>
        <v>طاقچه های بالقوه مربوط به مد و پوشاک برای چاپ بر اساس تقاضا در Etsy چیست؟</v>
      </c>
      <c r="H5687" s="1"/>
      <c r="I5687" s="1"/>
      <c r="J5687" s="1"/>
      <c r="K5687" s="1"/>
      <c r="L5687" s="1"/>
      <c r="M5687" s="1"/>
      <c r="N5687" s="1"/>
      <c r="O5687" s="1"/>
      <c r="P5687" s="1"/>
      <c r="Q5687" s="1"/>
      <c r="R5687" s="1"/>
      <c r="S5687" s="1"/>
      <c r="T5687" s="1"/>
      <c r="U5687" s="1"/>
      <c r="V5687" s="1"/>
      <c r="W5687" s="1"/>
      <c r="X5687" s="1"/>
      <c r="Y5687" s="1"/>
      <c r="Z5687" s="1"/>
      <c r="AA5687" s="1"/>
      <c r="AB5687" s="1"/>
    </row>
    <row r="5688" ht="50.25" customHeight="1">
      <c r="A5688" s="12">
        <v>5684.0</v>
      </c>
      <c r="B5688" s="13" t="s">
        <v>5701</v>
      </c>
      <c r="C5688" s="18" t="s">
        <v>5709</v>
      </c>
      <c r="D5688" s="1"/>
      <c r="E5688" s="1"/>
      <c r="F5688" s="1" t="str">
        <f>IFERROR(__xludf.DUMMYFUNCTION("GOOGLETRANSLATE(B5688, ""en"", ""fa"")
"),"چاپ بر حسب تقاضا (POD)")</f>
        <v>چاپ بر حسب تقاضا (POD)</v>
      </c>
      <c r="G5688" s="1" t="str">
        <f>IFERROR(__xludf.DUMMYFUNCTION("GOOGLETRANSLATE(C5688, ""en"", ""fa"")
"),"چگونه می توان نظرات و بازخوردهای مشتریان خاص را برای بهبود محصول در Etsy تجزیه و تحلیل کرد و از آنها استفاده کرد؟")</f>
        <v>چگونه می توان نظرات و بازخوردهای مشتریان خاص را برای بهبود محصول در Etsy تجزیه و تحلیل کرد و از آنها استفاده کرد؟</v>
      </c>
      <c r="H5688" s="1"/>
      <c r="I5688" s="1"/>
      <c r="J5688" s="1"/>
      <c r="K5688" s="1"/>
      <c r="L5688" s="1"/>
      <c r="M5688" s="1"/>
      <c r="N5688" s="1"/>
      <c r="O5688" s="1"/>
      <c r="P5688" s="1"/>
      <c r="Q5688" s="1"/>
      <c r="R5688" s="1"/>
      <c r="S5688" s="1"/>
      <c r="T5688" s="1"/>
      <c r="U5688" s="1"/>
      <c r="V5688" s="1"/>
      <c r="W5688" s="1"/>
      <c r="X5688" s="1"/>
      <c r="Y5688" s="1"/>
      <c r="Z5688" s="1"/>
      <c r="AA5688" s="1"/>
      <c r="AB5688" s="1"/>
    </row>
    <row r="5689" ht="50.25" customHeight="1">
      <c r="A5689" s="12">
        <v>5685.0</v>
      </c>
      <c r="B5689" s="13" t="s">
        <v>5701</v>
      </c>
      <c r="C5689" s="18" t="s">
        <v>5710</v>
      </c>
      <c r="D5689" s="1"/>
      <c r="E5689" s="1"/>
      <c r="F5689" s="1" t="str">
        <f>IFERROR(__xludf.DUMMYFUNCTION("GOOGLETRANSLATE(B5689, ""en"", ""fa"")
"),"چاپ بر حسب تقاضا (POD)")</f>
        <v>چاپ بر حسب تقاضا (POD)</v>
      </c>
      <c r="G5689" s="1" t="str">
        <f>IFERROR(__xludf.DUMMYFUNCTION("GOOGLETRANSLATE(C5689, ""en"", ""fa"")
"),"استراتژی‌های خاص برای ایجاد ترافیک ارگانیک و دید در Print on Demand در Etsy چیست؟")</f>
        <v>استراتژی‌های خاص برای ایجاد ترافیک ارگانیک و دید در Print on Demand در Etsy چیست؟</v>
      </c>
      <c r="H5689" s="1"/>
      <c r="I5689" s="1"/>
      <c r="J5689" s="1"/>
      <c r="K5689" s="1"/>
      <c r="L5689" s="1"/>
      <c r="M5689" s="1"/>
      <c r="N5689" s="1"/>
      <c r="O5689" s="1"/>
      <c r="P5689" s="1"/>
      <c r="Q5689" s="1"/>
      <c r="R5689" s="1"/>
      <c r="S5689" s="1"/>
      <c r="T5689" s="1"/>
      <c r="U5689" s="1"/>
      <c r="V5689" s="1"/>
      <c r="W5689" s="1"/>
      <c r="X5689" s="1"/>
      <c r="Y5689" s="1"/>
      <c r="Z5689" s="1"/>
      <c r="AA5689" s="1"/>
      <c r="AB5689" s="1"/>
    </row>
    <row r="5690" ht="50.25" customHeight="1">
      <c r="A5690" s="12">
        <v>5686.0</v>
      </c>
      <c r="B5690" s="13" t="s">
        <v>5701</v>
      </c>
      <c r="C5690" s="18" t="s">
        <v>5711</v>
      </c>
      <c r="D5690" s="1"/>
      <c r="E5690" s="1"/>
      <c r="F5690" s="1" t="str">
        <f>IFERROR(__xludf.DUMMYFUNCTION("GOOGLETRANSLATE(B5690, ""en"", ""fa"")
"),"چاپ بر حسب تقاضا (POD)")</f>
        <v>چاپ بر حسب تقاضا (POD)</v>
      </c>
      <c r="G5690" s="1" t="str">
        <f>IFERROR(__xludf.DUMMYFUNCTION("GOOGLETRANSLATE(C5690, ""en"", ""fa"")
"),"چگونه می‌توان بازارها و مناسبت‌های هدایای خاص را برای چاپ بر اساس تقاضا در Etsy شناسایی کرد و از آن بهره برد؟")</f>
        <v>چگونه می‌توان بازارها و مناسبت‌های هدایای خاص را برای چاپ بر اساس تقاضا در Etsy شناسایی کرد و از آن بهره برد؟</v>
      </c>
      <c r="H5690" s="1"/>
      <c r="I5690" s="1"/>
      <c r="J5690" s="1"/>
      <c r="K5690" s="1"/>
      <c r="L5690" s="1"/>
      <c r="M5690" s="1"/>
      <c r="N5690" s="1"/>
      <c r="O5690" s="1"/>
      <c r="P5690" s="1"/>
      <c r="Q5690" s="1"/>
      <c r="R5690" s="1"/>
      <c r="S5690" s="1"/>
      <c r="T5690" s="1"/>
      <c r="U5690" s="1"/>
      <c r="V5690" s="1"/>
      <c r="W5690" s="1"/>
      <c r="X5690" s="1"/>
      <c r="Y5690" s="1"/>
      <c r="Z5690" s="1"/>
      <c r="AA5690" s="1"/>
      <c r="AB5690" s="1"/>
    </row>
    <row r="5691" ht="50.25" customHeight="1">
      <c r="A5691" s="12">
        <v>5687.0</v>
      </c>
      <c r="B5691" s="13" t="s">
        <v>5701</v>
      </c>
      <c r="C5691" s="18" t="s">
        <v>5712</v>
      </c>
      <c r="D5691" s="1"/>
      <c r="E5691" s="1"/>
      <c r="F5691" s="1" t="str">
        <f>IFERROR(__xludf.DUMMYFUNCTION("GOOGLETRANSLATE(B5691, ""en"", ""fa"")
"),"چاپ بر حسب تقاضا (POD)")</f>
        <v>چاپ بر حسب تقاضا (POD)</v>
      </c>
      <c r="G5691" s="1" t="str">
        <f>IFERROR(__xludf.DUMMYFUNCTION("GOOGLETRANSLATE(C5691, ""en"", ""fa"")
"),"فرصت‌های بسته‌بندی و فروش متقابل محصول خاص برای افزایش میانگین ارزش سفارش در Etsy چیست؟")</f>
        <v>فرصت‌های بسته‌بندی و فروش متقابل محصول خاص برای افزایش میانگین ارزش سفارش در Etsy چیست؟</v>
      </c>
      <c r="H5691" s="1"/>
      <c r="I5691" s="1"/>
      <c r="J5691" s="1"/>
      <c r="K5691" s="1"/>
      <c r="L5691" s="1"/>
      <c r="M5691" s="1"/>
      <c r="N5691" s="1"/>
      <c r="O5691" s="1"/>
      <c r="P5691" s="1"/>
      <c r="Q5691" s="1"/>
      <c r="R5691" s="1"/>
      <c r="S5691" s="1"/>
      <c r="T5691" s="1"/>
      <c r="U5691" s="1"/>
      <c r="V5691" s="1"/>
      <c r="W5691" s="1"/>
      <c r="X5691" s="1"/>
      <c r="Y5691" s="1"/>
      <c r="Z5691" s="1"/>
      <c r="AA5691" s="1"/>
      <c r="AB5691" s="1"/>
    </row>
    <row r="5692" ht="50.25" customHeight="1">
      <c r="A5692" s="12">
        <v>5688.0</v>
      </c>
      <c r="B5692" s="13" t="s">
        <v>5701</v>
      </c>
      <c r="C5692" s="18" t="s">
        <v>5713</v>
      </c>
      <c r="D5692" s="1"/>
      <c r="E5692" s="1"/>
      <c r="F5692" s="1" t="str">
        <f>IFERROR(__xludf.DUMMYFUNCTION("GOOGLETRANSLATE(B5692, ""en"", ""fa"")
"),"چاپ بر حسب تقاضا (POD)")</f>
        <v>چاپ بر حسب تقاضا (POD)</v>
      </c>
      <c r="G5692" s="1" t="str">
        <f>IFERROR(__xludf.DUMMYFUNCTION("GOOGLETRANSLATE(C5692, ""en"", ""fa"")
"),"چگونه می توان ایده های طراحی منحصر به فرد را برای محصولات Print on Demand در Etsy ایجاد کرد؟")</f>
        <v>چگونه می توان ایده های طراحی منحصر به فرد را برای محصولات Print on Demand در Etsy ایجاد کرد؟</v>
      </c>
      <c r="H5692" s="1"/>
      <c r="I5692" s="1"/>
      <c r="J5692" s="1"/>
      <c r="K5692" s="1"/>
      <c r="L5692" s="1"/>
      <c r="M5692" s="1"/>
      <c r="N5692" s="1"/>
      <c r="O5692" s="1"/>
      <c r="P5692" s="1"/>
      <c r="Q5692" s="1"/>
      <c r="R5692" s="1"/>
      <c r="S5692" s="1"/>
      <c r="T5692" s="1"/>
      <c r="U5692" s="1"/>
      <c r="V5692" s="1"/>
      <c r="W5692" s="1"/>
      <c r="X5692" s="1"/>
      <c r="Y5692" s="1"/>
      <c r="Z5692" s="1"/>
      <c r="AA5692" s="1"/>
      <c r="AB5692" s="1"/>
    </row>
    <row r="5693" ht="50.25" customHeight="1">
      <c r="A5693" s="12">
        <v>5689.0</v>
      </c>
      <c r="B5693" s="13" t="s">
        <v>5701</v>
      </c>
      <c r="C5693" s="18" t="s">
        <v>5714</v>
      </c>
      <c r="D5693" s="1"/>
      <c r="E5693" s="1"/>
      <c r="F5693" s="1" t="str">
        <f>IFERROR(__xludf.DUMMYFUNCTION("GOOGLETRANSLATE(B5693, ""en"", ""fa"")
"),"چاپ بر حسب تقاضا (POD)")</f>
        <v>چاپ بر حسب تقاضا (POD)</v>
      </c>
      <c r="G5693" s="1" t="str">
        <f>IFERROR(__xludf.DUMMYFUNCTION("GOOGLETRANSLATE(C5693, ""en"", ""fa"")
"),"عناصر کلیدی یک طراحی بصری جذاب و قابل فروش برای چاپ بر اساس تقاضا در Etsy چیست؟")</f>
        <v>عناصر کلیدی یک طراحی بصری جذاب و قابل فروش برای چاپ بر اساس تقاضا در Etsy چیست؟</v>
      </c>
      <c r="H5693" s="1"/>
      <c r="I5693" s="1"/>
      <c r="J5693" s="1"/>
      <c r="K5693" s="1"/>
      <c r="L5693" s="1"/>
      <c r="M5693" s="1"/>
      <c r="N5693" s="1"/>
      <c r="O5693" s="1"/>
      <c r="P5693" s="1"/>
      <c r="Q5693" s="1"/>
      <c r="R5693" s="1"/>
      <c r="S5693" s="1"/>
      <c r="T5693" s="1"/>
      <c r="U5693" s="1"/>
      <c r="V5693" s="1"/>
      <c r="W5693" s="1"/>
      <c r="X5693" s="1"/>
      <c r="Y5693" s="1"/>
      <c r="Z5693" s="1"/>
      <c r="AA5693" s="1"/>
      <c r="AB5693" s="1"/>
    </row>
    <row r="5694" ht="50.25" customHeight="1">
      <c r="A5694" s="12">
        <v>5690.0</v>
      </c>
      <c r="B5694" s="13" t="s">
        <v>5701</v>
      </c>
      <c r="C5694" s="18" t="s">
        <v>5715</v>
      </c>
      <c r="D5694" s="1"/>
      <c r="E5694" s="1"/>
      <c r="F5694" s="1" t="str">
        <f>IFERROR(__xludf.DUMMYFUNCTION("GOOGLETRANSLATE(B5694, ""en"", ""fa"")
"),"چاپ بر حسب تقاضا (POD)")</f>
        <v>چاپ بر حسب تقاضا (POD)</v>
      </c>
      <c r="G5694" s="1" t="str">
        <f>IFERROR(__xludf.DUMMYFUNCTION("GOOGLETRANSLATE(C5694, ""en"", ""fa"")
"),"چگونه می‌توان طرح‌هایی ایجاد کرد که به جایگاه‌های خاص و مخاطبان هدف در Etsy پاسخ دهند؟")</f>
        <v>چگونه می‌توان طرح‌هایی ایجاد کرد که به جایگاه‌های خاص و مخاطبان هدف در Etsy پاسخ دهند؟</v>
      </c>
      <c r="H5694" s="1"/>
      <c r="I5694" s="1"/>
      <c r="J5694" s="1"/>
      <c r="K5694" s="1"/>
      <c r="L5694" s="1"/>
      <c r="M5694" s="1"/>
      <c r="N5694" s="1"/>
      <c r="O5694" s="1"/>
      <c r="P5694" s="1"/>
      <c r="Q5694" s="1"/>
      <c r="R5694" s="1"/>
      <c r="S5694" s="1"/>
      <c r="T5694" s="1"/>
      <c r="U5694" s="1"/>
      <c r="V5694" s="1"/>
      <c r="W5694" s="1"/>
      <c r="X5694" s="1"/>
      <c r="Y5694" s="1"/>
      <c r="Z5694" s="1"/>
      <c r="AA5694" s="1"/>
      <c r="AB5694" s="1"/>
    </row>
    <row r="5695" ht="50.25" customHeight="1">
      <c r="A5695" s="12">
        <v>5691.0</v>
      </c>
      <c r="B5695" s="13" t="s">
        <v>5701</v>
      </c>
      <c r="C5695" s="18" t="s">
        <v>5716</v>
      </c>
      <c r="D5695" s="1"/>
      <c r="E5695" s="1"/>
      <c r="F5695" s="1" t="str">
        <f>IFERROR(__xludf.DUMMYFUNCTION("GOOGLETRANSLATE(B5695, ""en"", ""fa"")
"),"چاپ بر حسب تقاضا (POD)")</f>
        <v>چاپ بر حسب تقاضا (POD)</v>
      </c>
      <c r="G5695" s="1" t="str">
        <f>IFERROR(__xludf.DUMMYFUNCTION("GOOGLETRANSLATE(C5695, ""en"", ""fa"")
"),"بهترین روش ها برای طراحی محصولات چاپ بر اساس تقاضای چاپ بر اساس تایپوگرافی در Etsy چیست؟")</f>
        <v>بهترین روش ها برای طراحی محصولات چاپ بر اساس تقاضای چاپ بر اساس تایپوگرافی در Etsy چیست؟</v>
      </c>
      <c r="H5695" s="1"/>
      <c r="I5695" s="1"/>
      <c r="J5695" s="1"/>
      <c r="K5695" s="1"/>
      <c r="L5695" s="1"/>
      <c r="M5695" s="1"/>
      <c r="N5695" s="1"/>
      <c r="O5695" s="1"/>
      <c r="P5695" s="1"/>
      <c r="Q5695" s="1"/>
      <c r="R5695" s="1"/>
      <c r="S5695" s="1"/>
      <c r="T5695" s="1"/>
      <c r="U5695" s="1"/>
      <c r="V5695" s="1"/>
      <c r="W5695" s="1"/>
      <c r="X5695" s="1"/>
      <c r="Y5695" s="1"/>
      <c r="Z5695" s="1"/>
      <c r="AA5695" s="1"/>
      <c r="AB5695" s="1"/>
    </row>
    <row r="5696" ht="50.25" customHeight="1">
      <c r="A5696" s="12">
        <v>5692.0</v>
      </c>
      <c r="B5696" s="13" t="s">
        <v>5701</v>
      </c>
      <c r="C5696" s="18" t="s">
        <v>5717</v>
      </c>
      <c r="D5696" s="1"/>
      <c r="E5696" s="1"/>
      <c r="F5696" s="1" t="str">
        <f>IFERROR(__xludf.DUMMYFUNCTION("GOOGLETRANSLATE(B5696, ""en"", ""fa"")
"),"چاپ بر حسب تقاضا (POD)")</f>
        <v>چاپ بر حسب تقاضا (POD)</v>
      </c>
      <c r="G5696" s="1" t="str">
        <f>IFERROR(__xludf.DUMMYFUNCTION("GOOGLETRANSLATE(C5696, ""en"", ""fa"")
"),"چگونه می توان طرح های چشم نواز و مد روز برای پوشاک و لوازم جانبی در Etsy ایجاد کرد؟")</f>
        <v>چگونه می توان طرح های چشم نواز و مد روز برای پوشاک و لوازم جانبی در Etsy ایجاد کرد؟</v>
      </c>
      <c r="H5696" s="1"/>
      <c r="I5696" s="1"/>
      <c r="J5696" s="1"/>
      <c r="K5696" s="1"/>
      <c r="L5696" s="1"/>
      <c r="M5696" s="1"/>
      <c r="N5696" s="1"/>
      <c r="O5696" s="1"/>
      <c r="P5696" s="1"/>
      <c r="Q5696" s="1"/>
      <c r="R5696" s="1"/>
      <c r="S5696" s="1"/>
      <c r="T5696" s="1"/>
      <c r="U5696" s="1"/>
      <c r="V5696" s="1"/>
      <c r="W5696" s="1"/>
      <c r="X5696" s="1"/>
      <c r="Y5696" s="1"/>
      <c r="Z5696" s="1"/>
      <c r="AA5696" s="1"/>
      <c r="AB5696" s="1"/>
    </row>
    <row r="5697" ht="50.25" customHeight="1">
      <c r="A5697" s="12">
        <v>5693.0</v>
      </c>
      <c r="B5697" s="13" t="s">
        <v>5701</v>
      </c>
      <c r="C5697" s="18" t="s">
        <v>5718</v>
      </c>
      <c r="D5697" s="1"/>
      <c r="E5697" s="1"/>
      <c r="F5697" s="1" t="str">
        <f>IFERROR(__xludf.DUMMYFUNCTION("GOOGLETRANSLATE(B5697, ""en"", ""fa"")
"),"چاپ بر حسب تقاضا (POD)")</f>
        <v>چاپ بر حسب تقاضا (POD)</v>
      </c>
      <c r="G5697" s="1" t="str">
        <f>IFERROR(__xludf.DUMMYFUNCTION("GOOGLETRANSLATE(C5697, ""en"", ""fa"")
"),"تکنیک های ایجاد مجموعه های طراحی منسجم برای Print on Demand در Etsy چیست؟")</f>
        <v>تکنیک های ایجاد مجموعه های طراحی منسجم برای Print on Demand در Etsy چیست؟</v>
      </c>
      <c r="H5697" s="1"/>
      <c r="I5697" s="1"/>
      <c r="J5697" s="1"/>
      <c r="K5697" s="1"/>
      <c r="L5697" s="1"/>
      <c r="M5697" s="1"/>
      <c r="N5697" s="1"/>
      <c r="O5697" s="1"/>
      <c r="P5697" s="1"/>
      <c r="Q5697" s="1"/>
      <c r="R5697" s="1"/>
      <c r="S5697" s="1"/>
      <c r="T5697" s="1"/>
      <c r="U5697" s="1"/>
      <c r="V5697" s="1"/>
      <c r="W5697" s="1"/>
      <c r="X5697" s="1"/>
      <c r="Y5697" s="1"/>
      <c r="Z5697" s="1"/>
      <c r="AA5697" s="1"/>
      <c r="AB5697" s="1"/>
    </row>
    <row r="5698" ht="50.25" customHeight="1">
      <c r="A5698" s="12">
        <v>5694.0</v>
      </c>
      <c r="B5698" s="13" t="s">
        <v>5701</v>
      </c>
      <c r="C5698" s="18" t="s">
        <v>5719</v>
      </c>
      <c r="D5698" s="1"/>
      <c r="E5698" s="1"/>
      <c r="F5698" s="1" t="str">
        <f>IFERROR(__xludf.DUMMYFUNCTION("GOOGLETRANSLATE(B5698, ""en"", ""fa"")
"),"چاپ بر حسب تقاضا (POD)")</f>
        <v>چاپ بر حسب تقاضا (POD)</v>
      </c>
      <c r="G5698" s="1" t="str">
        <f>IFERROR(__xludf.DUMMYFUNCTION("GOOGLETRANSLATE(C5698, ""en"", ""fa"")
"),"چگونه می توان گرایش های طراحی محبوب را در محصولات Print on Demand در Etsy ادغام کرد؟")</f>
        <v>چگونه می توان گرایش های طراحی محبوب را در محصولات Print on Demand در Etsy ادغام کرد؟</v>
      </c>
      <c r="H5698" s="1"/>
      <c r="I5698" s="1"/>
      <c r="J5698" s="1"/>
      <c r="K5698" s="1"/>
      <c r="L5698" s="1"/>
      <c r="M5698" s="1"/>
      <c r="N5698" s="1"/>
      <c r="O5698" s="1"/>
      <c r="P5698" s="1"/>
      <c r="Q5698" s="1"/>
      <c r="R5698" s="1"/>
      <c r="S5698" s="1"/>
      <c r="T5698" s="1"/>
      <c r="U5698" s="1"/>
      <c r="V5698" s="1"/>
      <c r="W5698" s="1"/>
      <c r="X5698" s="1"/>
      <c r="Y5698" s="1"/>
      <c r="Z5698" s="1"/>
      <c r="AA5698" s="1"/>
      <c r="AB5698" s="1"/>
    </row>
    <row r="5699" ht="50.25" customHeight="1">
      <c r="A5699" s="12">
        <v>5695.0</v>
      </c>
      <c r="B5699" s="13" t="s">
        <v>5701</v>
      </c>
      <c r="C5699" s="18" t="s">
        <v>5720</v>
      </c>
      <c r="D5699" s="1"/>
      <c r="E5699" s="1"/>
      <c r="F5699" s="1" t="str">
        <f>IFERROR(__xludf.DUMMYFUNCTION("GOOGLETRANSLATE(B5699, ""en"", ""fa"")
"),"چاپ بر حسب تقاضا (POD)")</f>
        <v>چاپ بر حسب تقاضا (POD)</v>
      </c>
      <c r="G5699" s="1" t="str">
        <f>IFERROR(__xludf.DUMMYFUNCTION("GOOGLETRANSLATE(C5699, ""en"", ""fa"")
"),"ملاحظات طراحی برای انواع مختلف محصولات Print on Demand، مانند لیوان یا قاب گوشی، در Etsy چیست؟")</f>
        <v>ملاحظات طراحی برای انواع مختلف محصولات Print on Demand، مانند لیوان یا قاب گوشی، در Etsy چیست؟</v>
      </c>
      <c r="H5699" s="1"/>
      <c r="I5699" s="1"/>
      <c r="J5699" s="1"/>
      <c r="K5699" s="1"/>
      <c r="L5699" s="1"/>
      <c r="M5699" s="1"/>
      <c r="N5699" s="1"/>
      <c r="O5699" s="1"/>
      <c r="P5699" s="1"/>
      <c r="Q5699" s="1"/>
      <c r="R5699" s="1"/>
      <c r="S5699" s="1"/>
      <c r="T5699" s="1"/>
      <c r="U5699" s="1"/>
      <c r="V5699" s="1"/>
      <c r="W5699" s="1"/>
      <c r="X5699" s="1"/>
      <c r="Y5699" s="1"/>
      <c r="Z5699" s="1"/>
      <c r="AA5699" s="1"/>
      <c r="AB5699" s="1"/>
    </row>
    <row r="5700" ht="50.25" customHeight="1">
      <c r="A5700" s="12">
        <v>5696.0</v>
      </c>
      <c r="B5700" s="13" t="s">
        <v>5701</v>
      </c>
      <c r="C5700" s="18" t="s">
        <v>5721</v>
      </c>
      <c r="D5700" s="1"/>
      <c r="E5700" s="1"/>
      <c r="F5700" s="1" t="str">
        <f>IFERROR(__xludf.DUMMYFUNCTION("GOOGLETRANSLATE(B5700, ""en"", ""fa"")
"),"چاپ بر حسب تقاضا (POD)")</f>
        <v>چاپ بر حسب تقاضا (POD)</v>
      </c>
      <c r="G5700" s="1" t="str">
        <f>IFERROR(__xludf.DUMMYFUNCTION("GOOGLETRANSLATE(C5700, ""en"", ""fa"")
"),"چگونه می توان به طور موثر از رنگ ها و ترکیب رنگ ها برای افزایش تأثیر بصری طرح های چاپ بر اساس تقاضا در Etsy استفاده کرد؟")</f>
        <v>چگونه می توان به طور موثر از رنگ ها و ترکیب رنگ ها برای افزایش تأثیر بصری طرح های چاپ بر اساس تقاضا در Etsy استفاده کرد؟</v>
      </c>
      <c r="H5700" s="1"/>
      <c r="I5700" s="1"/>
      <c r="J5700" s="1"/>
      <c r="K5700" s="1"/>
      <c r="L5700" s="1"/>
      <c r="M5700" s="1"/>
      <c r="N5700" s="1"/>
      <c r="O5700" s="1"/>
      <c r="P5700" s="1"/>
      <c r="Q5700" s="1"/>
      <c r="R5700" s="1"/>
      <c r="S5700" s="1"/>
      <c r="T5700" s="1"/>
      <c r="U5700" s="1"/>
      <c r="V5700" s="1"/>
      <c r="W5700" s="1"/>
      <c r="X5700" s="1"/>
      <c r="Y5700" s="1"/>
      <c r="Z5700" s="1"/>
      <c r="AA5700" s="1"/>
      <c r="AB5700" s="1"/>
    </row>
    <row r="5701" ht="50.25" customHeight="1">
      <c r="A5701" s="12">
        <v>5697.0</v>
      </c>
      <c r="B5701" s="13" t="s">
        <v>5701</v>
      </c>
      <c r="C5701" s="18" t="s">
        <v>5722</v>
      </c>
      <c r="D5701" s="1"/>
      <c r="E5701" s="1"/>
      <c r="F5701" s="1" t="str">
        <f>IFERROR(__xludf.DUMMYFUNCTION("GOOGLETRANSLATE(B5701, ""en"", ""fa"")
"),"چاپ بر حسب تقاضا (POD)")</f>
        <v>چاپ بر حسب تقاضا (POD)</v>
      </c>
      <c r="G5701" s="1" t="str">
        <f>IFERROR(__xludf.DUMMYFUNCTION("GOOGLETRANSLATE(C5701, ""en"", ""fa"")
"),"تکنیک های ایجاد طرح های جذاب و قابل فروش برای وسایل دکوراسیون منزل در Etsy چیست؟")</f>
        <v>تکنیک های ایجاد طرح های جذاب و قابل فروش برای وسایل دکوراسیون منزل در Etsy چیست؟</v>
      </c>
      <c r="H5701" s="1"/>
      <c r="I5701" s="1"/>
      <c r="J5701" s="1"/>
      <c r="K5701" s="1"/>
      <c r="L5701" s="1"/>
      <c r="M5701" s="1"/>
      <c r="N5701" s="1"/>
      <c r="O5701" s="1"/>
      <c r="P5701" s="1"/>
      <c r="Q5701" s="1"/>
      <c r="R5701" s="1"/>
      <c r="S5701" s="1"/>
      <c r="T5701" s="1"/>
      <c r="U5701" s="1"/>
      <c r="V5701" s="1"/>
      <c r="W5701" s="1"/>
      <c r="X5701" s="1"/>
      <c r="Y5701" s="1"/>
      <c r="Z5701" s="1"/>
      <c r="AA5701" s="1"/>
      <c r="AB5701" s="1"/>
    </row>
    <row r="5702" ht="50.25" customHeight="1">
      <c r="A5702" s="12">
        <v>5698.0</v>
      </c>
      <c r="B5702" s="13" t="s">
        <v>5701</v>
      </c>
      <c r="C5702" s="18" t="s">
        <v>5723</v>
      </c>
      <c r="D5702" s="1"/>
      <c r="E5702" s="1"/>
      <c r="F5702" s="1" t="str">
        <f>IFERROR(__xludf.DUMMYFUNCTION("GOOGLETRANSLATE(B5702, ""en"", ""fa"")
"),"چاپ بر حسب تقاضا (POD)")</f>
        <v>چاپ بر حسب تقاضا (POD)</v>
      </c>
      <c r="G5702" s="1" t="str">
        <f>IFERROR(__xludf.DUMMYFUNCTION("GOOGLETRANSLATE(C5702, ""en"", ""fa"")
"),"چگونه می توان طرح ها را برای روش های مختلف چاپ مورد استفاده در Print on Demand در Etsy بهینه کرد؟")</f>
        <v>چگونه می توان طرح ها را برای روش های مختلف چاپ مورد استفاده در Print on Demand در Etsy بهینه کرد؟</v>
      </c>
      <c r="H5702" s="1"/>
      <c r="I5702" s="1"/>
      <c r="J5702" s="1"/>
      <c r="K5702" s="1"/>
      <c r="L5702" s="1"/>
      <c r="M5702" s="1"/>
      <c r="N5702" s="1"/>
      <c r="O5702" s="1"/>
      <c r="P5702" s="1"/>
      <c r="Q5702" s="1"/>
      <c r="R5702" s="1"/>
      <c r="S5702" s="1"/>
      <c r="T5702" s="1"/>
      <c r="U5702" s="1"/>
      <c r="V5702" s="1"/>
      <c r="W5702" s="1"/>
      <c r="X5702" s="1"/>
      <c r="Y5702" s="1"/>
      <c r="Z5702" s="1"/>
      <c r="AA5702" s="1"/>
      <c r="AB5702" s="1"/>
    </row>
    <row r="5703" ht="50.25" customHeight="1">
      <c r="A5703" s="12">
        <v>5699.0</v>
      </c>
      <c r="B5703" s="13" t="s">
        <v>5701</v>
      </c>
      <c r="C5703" s="18" t="s">
        <v>5724</v>
      </c>
      <c r="D5703" s="1"/>
      <c r="E5703" s="1"/>
      <c r="F5703" s="1" t="str">
        <f>IFERROR(__xludf.DUMMYFUNCTION("GOOGLETRANSLATE(B5703, ""en"", ""fa"")
"),"چاپ بر حسب تقاضا (POD)")</f>
        <v>چاپ بر حسب تقاضا (POD)</v>
      </c>
      <c r="G5703" s="1" t="str">
        <f>IFERROR(__xludf.DUMMYFUNCTION("GOOGLETRANSLATE(C5703, ""en"", ""fa"")
"),"استراتژی های طراحی برای ایجاد طرح های همیشه سبز و جاودانه برای Print on Demand در Etsy چیست؟")</f>
        <v>استراتژی های طراحی برای ایجاد طرح های همیشه سبز و جاودانه برای Print on Demand در Etsy چیست؟</v>
      </c>
      <c r="H5703" s="1"/>
      <c r="I5703" s="1"/>
      <c r="J5703" s="1"/>
      <c r="K5703" s="1"/>
      <c r="L5703" s="1"/>
      <c r="M5703" s="1"/>
      <c r="N5703" s="1"/>
      <c r="O5703" s="1"/>
      <c r="P5703" s="1"/>
      <c r="Q5703" s="1"/>
      <c r="R5703" s="1"/>
      <c r="S5703" s="1"/>
      <c r="T5703" s="1"/>
      <c r="U5703" s="1"/>
      <c r="V5703" s="1"/>
      <c r="W5703" s="1"/>
      <c r="X5703" s="1"/>
      <c r="Y5703" s="1"/>
      <c r="Z5703" s="1"/>
      <c r="AA5703" s="1"/>
      <c r="AB5703" s="1"/>
    </row>
    <row r="5704" ht="50.25" customHeight="1">
      <c r="A5704" s="12">
        <v>5700.0</v>
      </c>
      <c r="B5704" s="13" t="s">
        <v>5701</v>
      </c>
      <c r="C5704" s="18" t="s">
        <v>5725</v>
      </c>
      <c r="D5704" s="1"/>
      <c r="E5704" s="1"/>
      <c r="F5704" s="1" t="str">
        <f>IFERROR(__xludf.DUMMYFUNCTION("GOOGLETRANSLATE(B5704, ""en"", ""fa"")
"),"چاپ بر حسب تقاضا (POD)")</f>
        <v>چاپ بر حسب تقاضا (POD)</v>
      </c>
      <c r="G5704" s="1" t="str">
        <f>IFERROR(__xludf.DUMMYFUNCTION("GOOGLETRANSLATE(C5704, ""en"", ""fa"")
"),"چگونه می توان طرح هایی ایجاد کرد که احساسات خاصی را برانگیزد و با مشتریان در Etsy طنین انداز شود؟")</f>
        <v>چگونه می توان طرح هایی ایجاد کرد که احساسات خاصی را برانگیزد و با مشتریان در Etsy طنین انداز شود؟</v>
      </c>
      <c r="H5704" s="1"/>
      <c r="I5704" s="1"/>
      <c r="J5704" s="1"/>
      <c r="K5704" s="1"/>
      <c r="L5704" s="1"/>
      <c r="M5704" s="1"/>
      <c r="N5704" s="1"/>
      <c r="O5704" s="1"/>
      <c r="P5704" s="1"/>
      <c r="Q5704" s="1"/>
      <c r="R5704" s="1"/>
      <c r="S5704" s="1"/>
      <c r="T5704" s="1"/>
      <c r="U5704" s="1"/>
      <c r="V5704" s="1"/>
      <c r="W5704" s="1"/>
      <c r="X5704" s="1"/>
      <c r="Y5704" s="1"/>
      <c r="Z5704" s="1"/>
      <c r="AA5704" s="1"/>
      <c r="AB5704" s="1"/>
    </row>
    <row r="5705" ht="50.25" customHeight="1">
      <c r="A5705" s="12">
        <v>5701.0</v>
      </c>
      <c r="B5705" s="13" t="s">
        <v>5701</v>
      </c>
      <c r="C5705" s="18" t="s">
        <v>5726</v>
      </c>
      <c r="D5705" s="1"/>
      <c r="E5705" s="1"/>
      <c r="F5705" s="1" t="str">
        <f>IFERROR(__xludf.DUMMYFUNCTION("GOOGLETRANSLATE(B5705, ""en"", ""fa"")
"),"چاپ بر حسب تقاضا (POD)")</f>
        <v>چاپ بر حسب تقاضا (POD)</v>
      </c>
      <c r="G5705" s="1" t="str">
        <f>IFERROR(__xludf.DUMMYFUNCTION("GOOGLETRANSLATE(C5705, ""en"", ""fa"")
"),"ابزارها و گزینه های نرم افزاری موجود برای طراحی محصولات Print on Demand در Etsy چیست؟")</f>
        <v>ابزارها و گزینه های نرم افزاری موجود برای طراحی محصولات Print on Demand در Etsy چیست؟</v>
      </c>
      <c r="H5705" s="1"/>
      <c r="I5705" s="1"/>
      <c r="J5705" s="1"/>
      <c r="K5705" s="1"/>
      <c r="L5705" s="1"/>
      <c r="M5705" s="1"/>
      <c r="N5705" s="1"/>
      <c r="O5705" s="1"/>
      <c r="P5705" s="1"/>
      <c r="Q5705" s="1"/>
      <c r="R5705" s="1"/>
      <c r="S5705" s="1"/>
      <c r="T5705" s="1"/>
      <c r="U5705" s="1"/>
      <c r="V5705" s="1"/>
      <c r="W5705" s="1"/>
      <c r="X5705" s="1"/>
      <c r="Y5705" s="1"/>
      <c r="Z5705" s="1"/>
      <c r="AA5705" s="1"/>
      <c r="AB5705" s="1"/>
    </row>
    <row r="5706" ht="50.25" customHeight="1">
      <c r="A5706" s="12">
        <v>5702.0</v>
      </c>
      <c r="B5706" s="13" t="s">
        <v>5701</v>
      </c>
      <c r="C5706" s="18" t="s">
        <v>5727</v>
      </c>
      <c r="D5706" s="1"/>
      <c r="E5706" s="1"/>
      <c r="F5706" s="1" t="str">
        <f>IFERROR(__xludf.DUMMYFUNCTION("GOOGLETRANSLATE(B5706, ""en"", ""fa"")
"),"چاپ بر حسب تقاضا (POD)")</f>
        <v>چاپ بر حسب تقاضا (POD)</v>
      </c>
      <c r="G5706" s="1" t="str">
        <f>IFERROR(__xludf.DUMMYFUNCTION("GOOGLETRANSLATE(C5706, ""en"", ""fa"")
"),"چگونه می‌توان طرح‌هایی ایجاد کرد که با هویت برند و داستان سرایی یک فروشگاه Print on Demand در Etsy مطابقت داشته باشد؟")</f>
        <v>چگونه می‌توان طرح‌هایی ایجاد کرد که با هویت برند و داستان سرایی یک فروشگاه Print on Demand در Etsy مطابقت داشته باشد؟</v>
      </c>
      <c r="H5706" s="1"/>
      <c r="I5706" s="1"/>
      <c r="J5706" s="1"/>
      <c r="K5706" s="1"/>
      <c r="L5706" s="1"/>
      <c r="M5706" s="1"/>
      <c r="N5706" s="1"/>
      <c r="O5706" s="1"/>
      <c r="P5706" s="1"/>
      <c r="Q5706" s="1"/>
      <c r="R5706" s="1"/>
      <c r="S5706" s="1"/>
      <c r="T5706" s="1"/>
      <c r="U5706" s="1"/>
      <c r="V5706" s="1"/>
      <c r="W5706" s="1"/>
      <c r="X5706" s="1"/>
      <c r="Y5706" s="1"/>
      <c r="Z5706" s="1"/>
      <c r="AA5706" s="1"/>
      <c r="AB5706" s="1"/>
    </row>
    <row r="5707" ht="50.25" customHeight="1">
      <c r="A5707" s="12">
        <v>5703.0</v>
      </c>
      <c r="B5707" s="13" t="s">
        <v>5701</v>
      </c>
      <c r="C5707" s="18" t="s">
        <v>5728</v>
      </c>
      <c r="D5707" s="1"/>
      <c r="E5707" s="1"/>
      <c r="F5707" s="1" t="str">
        <f>IFERROR(__xludf.DUMMYFUNCTION("GOOGLETRANSLATE(B5707, ""en"", ""fa"")
"),"چاپ بر حسب تقاضا (POD)")</f>
        <v>چاپ بر حسب تقاضا (POD)</v>
      </c>
      <c r="G5707" s="1" t="str">
        <f>IFERROR(__xludf.DUMMYFUNCTION("GOOGLETRANSLATE(C5707, ""en"", ""fa"")
"),"ملاحظات طراحی برای ایجاد طرح های مقیاس پذیر و سازگار برای چندین محصول در Etsy چیست؟")</f>
        <v>ملاحظات طراحی برای ایجاد طرح های مقیاس پذیر و سازگار برای چندین محصول در Etsy چیست؟</v>
      </c>
      <c r="H5707" s="1"/>
      <c r="I5707" s="1"/>
      <c r="J5707" s="1"/>
      <c r="K5707" s="1"/>
      <c r="L5707" s="1"/>
      <c r="M5707" s="1"/>
      <c r="N5707" s="1"/>
      <c r="O5707" s="1"/>
      <c r="P5707" s="1"/>
      <c r="Q5707" s="1"/>
      <c r="R5707" s="1"/>
      <c r="S5707" s="1"/>
      <c r="T5707" s="1"/>
      <c r="U5707" s="1"/>
      <c r="V5707" s="1"/>
      <c r="W5707" s="1"/>
      <c r="X5707" s="1"/>
      <c r="Y5707" s="1"/>
      <c r="Z5707" s="1"/>
      <c r="AA5707" s="1"/>
      <c r="AB5707" s="1"/>
    </row>
    <row r="5708" ht="50.25" customHeight="1">
      <c r="A5708" s="12">
        <v>5704.0</v>
      </c>
      <c r="B5708" s="13" t="s">
        <v>5701</v>
      </c>
      <c r="C5708" s="18" t="s">
        <v>5729</v>
      </c>
      <c r="D5708" s="1"/>
      <c r="E5708" s="1"/>
      <c r="F5708" s="1" t="str">
        <f>IFERROR(__xludf.DUMMYFUNCTION("GOOGLETRANSLATE(B5708, ""en"", ""fa"")
"),"چاپ بر حسب تقاضا (POD)")</f>
        <v>چاپ بر حسب تقاضا (POD)</v>
      </c>
      <c r="G5708" s="1" t="str">
        <f>IFERROR(__xludf.DUMMYFUNCTION("GOOGLETRANSLATE(C5708, ""en"", ""fa"")
"),"چگونه می توان محتوای تولید شده توسط کاربر یا درخواست های مشتری را در فرآیند طراحی برای Print on Demand در Etsy گنجاند؟")</f>
        <v>چگونه می توان محتوای تولید شده توسط کاربر یا درخواست های مشتری را در فرآیند طراحی برای Print on Demand در Etsy گنجاند؟</v>
      </c>
      <c r="H5708" s="1"/>
      <c r="I5708" s="1"/>
      <c r="J5708" s="1"/>
      <c r="K5708" s="1"/>
      <c r="L5708" s="1"/>
      <c r="M5708" s="1"/>
      <c r="N5708" s="1"/>
      <c r="O5708" s="1"/>
      <c r="P5708" s="1"/>
      <c r="Q5708" s="1"/>
      <c r="R5708" s="1"/>
      <c r="S5708" s="1"/>
      <c r="T5708" s="1"/>
      <c r="U5708" s="1"/>
      <c r="V5708" s="1"/>
      <c r="W5708" s="1"/>
      <c r="X5708" s="1"/>
      <c r="Y5708" s="1"/>
      <c r="Z5708" s="1"/>
      <c r="AA5708" s="1"/>
      <c r="AB5708" s="1"/>
    </row>
    <row r="5709" ht="50.25" customHeight="1">
      <c r="A5709" s="12">
        <v>5705.0</v>
      </c>
      <c r="B5709" s="13" t="s">
        <v>5701</v>
      </c>
      <c r="C5709" s="18" t="s">
        <v>5730</v>
      </c>
      <c r="D5709" s="1"/>
      <c r="E5709" s="1"/>
      <c r="F5709" s="1" t="str">
        <f>IFERROR(__xludf.DUMMYFUNCTION("GOOGLETRANSLATE(B5709, ""en"", ""fa"")
"),"چاپ بر حسب تقاضا (POD)")</f>
        <v>چاپ بر حسب تقاضا (POD)</v>
      </c>
      <c r="G5709" s="1" t="str">
        <f>IFERROR(__xludf.DUMMYFUNCTION("GOOGLETRANSLATE(C5709, ""en"", ""fa"")
"),"تکنیک‌های ایجاد طرح‌هایی که می‌توانند به راحتی توسط مشتریان در Etsy سفارشی یا شخصی‌سازی شوند چیست؟")</f>
        <v>تکنیک‌های ایجاد طرح‌هایی که می‌توانند به راحتی توسط مشتریان در Etsy سفارشی یا شخصی‌سازی شوند چیست؟</v>
      </c>
      <c r="H5709" s="1"/>
      <c r="I5709" s="1"/>
      <c r="J5709" s="1"/>
      <c r="K5709" s="1"/>
      <c r="L5709" s="1"/>
      <c r="M5709" s="1"/>
      <c r="N5709" s="1"/>
      <c r="O5709" s="1"/>
      <c r="P5709" s="1"/>
      <c r="Q5709" s="1"/>
      <c r="R5709" s="1"/>
      <c r="S5709" s="1"/>
      <c r="T5709" s="1"/>
      <c r="U5709" s="1"/>
      <c r="V5709" s="1"/>
      <c r="W5709" s="1"/>
      <c r="X5709" s="1"/>
      <c r="Y5709" s="1"/>
      <c r="Z5709" s="1"/>
      <c r="AA5709" s="1"/>
      <c r="AB5709" s="1"/>
    </row>
    <row r="5710" ht="50.25" customHeight="1">
      <c r="A5710" s="12">
        <v>5706.0</v>
      </c>
      <c r="B5710" s="13" t="s">
        <v>5701</v>
      </c>
      <c r="C5710" s="18" t="s">
        <v>5731</v>
      </c>
      <c r="D5710" s="1"/>
      <c r="E5710" s="1"/>
      <c r="F5710" s="1" t="str">
        <f>IFERROR(__xludf.DUMMYFUNCTION("GOOGLETRANSLATE(B5710, ""en"", ""fa"")
"),"چاپ بر حسب تقاضا (POD)")</f>
        <v>چاپ بر حسب تقاضا (POD)</v>
      </c>
      <c r="G5710" s="1" t="str">
        <f>IFERROR(__xludf.DUMMYFUNCTION("GOOGLETRANSLATE(C5710, ""en"", ""fa"")
"),"چگونه می‌توان طرح‌هایی ایجاد کرد که به طور مؤثر پیامی را منتقل می‌کنند یا موضوع خاصی را در محصولات Print on Demand در Etsy منتقل می‌کنند؟")</f>
        <v>چگونه می‌توان طرح‌هایی ایجاد کرد که به طور مؤثر پیامی را منتقل می‌کنند یا موضوع خاصی را در محصولات Print on Demand در Etsy منتقل می‌کنند؟</v>
      </c>
      <c r="H5710" s="1"/>
      <c r="I5710" s="1"/>
      <c r="J5710" s="1"/>
      <c r="K5710" s="1"/>
      <c r="L5710" s="1"/>
      <c r="M5710" s="1"/>
      <c r="N5710" s="1"/>
      <c r="O5710" s="1"/>
      <c r="P5710" s="1"/>
      <c r="Q5710" s="1"/>
      <c r="R5710" s="1"/>
      <c r="S5710" s="1"/>
      <c r="T5710" s="1"/>
      <c r="U5710" s="1"/>
      <c r="V5710" s="1"/>
      <c r="W5710" s="1"/>
      <c r="X5710" s="1"/>
      <c r="Y5710" s="1"/>
      <c r="Z5710" s="1"/>
      <c r="AA5710" s="1"/>
      <c r="AB5710" s="1"/>
    </row>
    <row r="5711" ht="50.25" customHeight="1">
      <c r="A5711" s="12">
        <v>5707.0</v>
      </c>
      <c r="B5711" s="13" t="s">
        <v>5701</v>
      </c>
      <c r="C5711" s="18" t="s">
        <v>5732</v>
      </c>
      <c r="D5711" s="1"/>
      <c r="E5711" s="1"/>
      <c r="F5711" s="1" t="str">
        <f>IFERROR(__xludf.DUMMYFUNCTION("GOOGLETRANSLATE(B5711, ""en"", ""fa"")
"),"چاپ بر حسب تقاضا (POD)")</f>
        <v>چاپ بر حسب تقاضا (POD)</v>
      </c>
      <c r="G5711" s="1" t="str">
        <f>IFERROR(__xludf.DUMMYFUNCTION("GOOGLETRANSLATE(C5711, ""en"", ""fa"")
"),"استراتژی های طراحی برای ایجاد الگوها و تصاویر جذاب بصری برای چاپ بر اساس تقاضا در Etsy چیست؟")</f>
        <v>استراتژی های طراحی برای ایجاد الگوها و تصاویر جذاب بصری برای چاپ بر اساس تقاضا در Etsy چیست؟</v>
      </c>
      <c r="H5711" s="1"/>
      <c r="I5711" s="1"/>
      <c r="J5711" s="1"/>
      <c r="K5711" s="1"/>
      <c r="L5711" s="1"/>
      <c r="M5711" s="1"/>
      <c r="N5711" s="1"/>
      <c r="O5711" s="1"/>
      <c r="P5711" s="1"/>
      <c r="Q5711" s="1"/>
      <c r="R5711" s="1"/>
      <c r="S5711" s="1"/>
      <c r="T5711" s="1"/>
      <c r="U5711" s="1"/>
      <c r="V5711" s="1"/>
      <c r="W5711" s="1"/>
      <c r="X5711" s="1"/>
      <c r="Y5711" s="1"/>
      <c r="Z5711" s="1"/>
      <c r="AA5711" s="1"/>
      <c r="AB5711" s="1"/>
    </row>
    <row r="5712" ht="50.25" customHeight="1">
      <c r="A5712" s="12">
        <v>5708.0</v>
      </c>
      <c r="B5712" s="13" t="s">
        <v>5701</v>
      </c>
      <c r="C5712" s="18" t="s">
        <v>5733</v>
      </c>
      <c r="D5712" s="1"/>
      <c r="E5712" s="1"/>
      <c r="F5712" s="1" t="str">
        <f>IFERROR(__xludf.DUMMYFUNCTION("GOOGLETRANSLATE(B5712, ""en"", ""fa"")
"),"چاپ بر حسب تقاضا (POD)")</f>
        <v>چاپ بر حسب تقاضا (POD)</v>
      </c>
      <c r="G5712" s="1" t="str">
        <f>IFERROR(__xludf.DUMMYFUNCTION("GOOGLETRANSLATE(C5712, ""en"", ""fa"")
"),"چگونه می‌توان طرح‌هایی ایجاد کرد که مناسب فصول، تعطیلات یا مناسبت‌های خاص برای چاپ بر حسب تقاضا در Etsy باشد؟")</f>
        <v>چگونه می‌توان طرح‌هایی ایجاد کرد که مناسب فصول، تعطیلات یا مناسبت‌های خاص برای چاپ بر حسب تقاضا در Etsy باشد؟</v>
      </c>
      <c r="H5712" s="1"/>
      <c r="I5712" s="1"/>
      <c r="J5712" s="1"/>
      <c r="K5712" s="1"/>
      <c r="L5712" s="1"/>
      <c r="M5712" s="1"/>
      <c r="N5712" s="1"/>
      <c r="O5712" s="1"/>
      <c r="P5712" s="1"/>
      <c r="Q5712" s="1"/>
      <c r="R5712" s="1"/>
      <c r="S5712" s="1"/>
      <c r="T5712" s="1"/>
      <c r="U5712" s="1"/>
      <c r="V5712" s="1"/>
      <c r="W5712" s="1"/>
      <c r="X5712" s="1"/>
      <c r="Y5712" s="1"/>
      <c r="Z5712" s="1"/>
      <c r="AA5712" s="1"/>
      <c r="AB5712" s="1"/>
    </row>
    <row r="5713" ht="50.25" customHeight="1">
      <c r="A5713" s="12">
        <v>5709.0</v>
      </c>
      <c r="B5713" s="13" t="s">
        <v>5701</v>
      </c>
      <c r="C5713" s="18" t="s">
        <v>5734</v>
      </c>
      <c r="D5713" s="1"/>
      <c r="E5713" s="1"/>
      <c r="F5713" s="1" t="str">
        <f>IFERROR(__xludf.DUMMYFUNCTION("GOOGLETRANSLATE(B5713, ""en"", ""fa"")
"),"چاپ بر حسب تقاضا (POD)")</f>
        <v>چاپ بر حسب تقاضا (POD)</v>
      </c>
      <c r="G5713" s="1" t="str">
        <f>IFERROR(__xludf.DUMMYFUNCTION("GOOGLETRANSLATE(C5713, ""en"", ""fa"")
"),"ملاحظات طراحی برای ایجاد طرح هایی با جذابیت جهانی و حساسیت فرهنگی در Etsy چیست؟")</f>
        <v>ملاحظات طراحی برای ایجاد طرح هایی با جذابیت جهانی و حساسیت فرهنگی در Etsy چیست؟</v>
      </c>
      <c r="H5713" s="1"/>
      <c r="I5713" s="1"/>
      <c r="J5713" s="1"/>
      <c r="K5713" s="1"/>
      <c r="L5713" s="1"/>
      <c r="M5713" s="1"/>
      <c r="N5713" s="1"/>
      <c r="O5713" s="1"/>
      <c r="P5713" s="1"/>
      <c r="Q5713" s="1"/>
      <c r="R5713" s="1"/>
      <c r="S5713" s="1"/>
      <c r="T5713" s="1"/>
      <c r="U5713" s="1"/>
      <c r="V5713" s="1"/>
      <c r="W5713" s="1"/>
      <c r="X5713" s="1"/>
      <c r="Y5713" s="1"/>
      <c r="Z5713" s="1"/>
      <c r="AA5713" s="1"/>
      <c r="AB5713" s="1"/>
    </row>
    <row r="5714" ht="50.25" customHeight="1">
      <c r="A5714" s="12">
        <v>5710.0</v>
      </c>
      <c r="B5714" s="13" t="s">
        <v>5701</v>
      </c>
      <c r="C5714" s="18" t="s">
        <v>5735</v>
      </c>
      <c r="D5714" s="1"/>
      <c r="E5714" s="1"/>
      <c r="F5714" s="1" t="str">
        <f>IFERROR(__xludf.DUMMYFUNCTION("GOOGLETRANSLATE(B5714, ""en"", ""fa"")
"),"چاپ بر حسب تقاضا (POD)")</f>
        <v>چاپ بر حسب تقاضا (POD)</v>
      </c>
      <c r="G5714" s="1" t="str">
        <f>IFERROR(__xludf.DUMMYFUNCTION("GOOGLETRANSLATE(C5714, ""en"", ""fa"")
"),"چگونه می توان طرح ها را برای چاپ با کیفیت بالا و نمایش محصول در Etsy بهینه کرد؟")</f>
        <v>چگونه می توان طرح ها را برای چاپ با کیفیت بالا و نمایش محصول در Etsy بهینه کرد؟</v>
      </c>
      <c r="H5714" s="1"/>
      <c r="I5714" s="1"/>
      <c r="J5714" s="1"/>
      <c r="K5714" s="1"/>
      <c r="L5714" s="1"/>
      <c r="M5714" s="1"/>
      <c r="N5714" s="1"/>
      <c r="O5714" s="1"/>
      <c r="P5714" s="1"/>
      <c r="Q5714" s="1"/>
      <c r="R5714" s="1"/>
      <c r="S5714" s="1"/>
      <c r="T5714" s="1"/>
      <c r="U5714" s="1"/>
      <c r="V5714" s="1"/>
      <c r="W5714" s="1"/>
      <c r="X5714" s="1"/>
      <c r="Y5714" s="1"/>
      <c r="Z5714" s="1"/>
      <c r="AA5714" s="1"/>
      <c r="AB5714" s="1"/>
    </row>
    <row r="5715" ht="50.25" customHeight="1">
      <c r="A5715" s="12">
        <v>5711.0</v>
      </c>
      <c r="B5715" s="13" t="s">
        <v>5701</v>
      </c>
      <c r="C5715" s="18" t="s">
        <v>5736</v>
      </c>
      <c r="D5715" s="1"/>
      <c r="E5715" s="1"/>
      <c r="F5715" s="1" t="str">
        <f>IFERROR(__xludf.DUMMYFUNCTION("GOOGLETRANSLATE(B5715, ""en"", ""fa"")
"),"چاپ بر حسب تقاضا (POD)")</f>
        <v>چاپ بر حسب تقاضا (POD)</v>
      </c>
      <c r="G5715" s="1" t="str">
        <f>IFERROR(__xludf.DUMMYFUNCTION("GOOGLETRANSLATE(C5715, ""en"", ""fa"")
"),"بهترین روش‌ها برای طراحی ماکت‌ها و پیش‌نمایش محصول برای Print on Demand در Etsy چیست؟")</f>
        <v>بهترین روش‌ها برای طراحی ماکت‌ها و پیش‌نمایش محصول برای Print on Demand در Etsy چیست؟</v>
      </c>
      <c r="H5715" s="1"/>
      <c r="I5715" s="1"/>
      <c r="J5715" s="1"/>
      <c r="K5715" s="1"/>
      <c r="L5715" s="1"/>
      <c r="M5715" s="1"/>
      <c r="N5715" s="1"/>
      <c r="O5715" s="1"/>
      <c r="P5715" s="1"/>
      <c r="Q5715" s="1"/>
      <c r="R5715" s="1"/>
      <c r="S5715" s="1"/>
      <c r="T5715" s="1"/>
      <c r="U5715" s="1"/>
      <c r="V5715" s="1"/>
      <c r="W5715" s="1"/>
      <c r="X5715" s="1"/>
      <c r="Y5715" s="1"/>
      <c r="Z5715" s="1"/>
      <c r="AA5715" s="1"/>
      <c r="AB5715" s="1"/>
    </row>
    <row r="5716" ht="50.25" customHeight="1">
      <c r="A5716" s="12">
        <v>5712.0</v>
      </c>
      <c r="B5716" s="13" t="s">
        <v>5701</v>
      </c>
      <c r="C5716" s="18" t="s">
        <v>5737</v>
      </c>
      <c r="D5716" s="1"/>
      <c r="E5716" s="1"/>
      <c r="F5716" s="1" t="str">
        <f>IFERROR(__xludf.DUMMYFUNCTION("GOOGLETRANSLATE(B5716, ""en"", ""fa"")
"),"چاپ بر حسب تقاضا (POD)")</f>
        <v>چاپ بر حسب تقاضا (POD)</v>
      </c>
      <c r="G5716" s="1" t="str">
        <f>IFERROR(__xludf.DUMMYFUNCTION("GOOGLETRANSLATE(C5716, ""en"", ""fa"")
"),"چگونه می توان طرح هایی ایجاد کرد که برجسته و متمایز از محصولات رقبا در Etsy باشد؟")</f>
        <v>چگونه می توان طرح هایی ایجاد کرد که برجسته و متمایز از محصولات رقبا در Etsy باشد؟</v>
      </c>
      <c r="H5716" s="1"/>
      <c r="I5716" s="1"/>
      <c r="J5716" s="1"/>
      <c r="K5716" s="1"/>
      <c r="L5716" s="1"/>
      <c r="M5716" s="1"/>
      <c r="N5716" s="1"/>
      <c r="O5716" s="1"/>
      <c r="P5716" s="1"/>
      <c r="Q5716" s="1"/>
      <c r="R5716" s="1"/>
      <c r="S5716" s="1"/>
      <c r="T5716" s="1"/>
      <c r="U5716" s="1"/>
      <c r="V5716" s="1"/>
      <c r="W5716" s="1"/>
      <c r="X5716" s="1"/>
      <c r="Y5716" s="1"/>
      <c r="Z5716" s="1"/>
      <c r="AA5716" s="1"/>
      <c r="AB5716" s="1"/>
    </row>
    <row r="5717" ht="50.25" customHeight="1">
      <c r="A5717" s="12">
        <v>5713.0</v>
      </c>
      <c r="B5717" s="13" t="s">
        <v>5701</v>
      </c>
      <c r="C5717" s="18" t="s">
        <v>5738</v>
      </c>
      <c r="D5717" s="1"/>
      <c r="E5717" s="1"/>
      <c r="F5717" s="1" t="str">
        <f>IFERROR(__xludf.DUMMYFUNCTION("GOOGLETRANSLATE(B5717, ""en"", ""fa"")
"),"چاپ بر حسب تقاضا (POD)")</f>
        <v>چاپ بر حسب تقاضا (POD)</v>
      </c>
      <c r="G5717" s="1" t="str">
        <f>IFERROR(__xludf.DUMMYFUNCTION("GOOGLETRANSLATE(C5717, ""en"", ""fa"")
"),"تکنیک‌هایی برای ترکیب عناصر دست‌کش یا دست‌نویس در طرح‌های Print on Demand در Etsy چیست؟")</f>
        <v>تکنیک‌هایی برای ترکیب عناصر دست‌کش یا دست‌نویس در طرح‌های Print on Demand در Etsy چیست؟</v>
      </c>
      <c r="H5717" s="1"/>
      <c r="I5717" s="1"/>
      <c r="J5717" s="1"/>
      <c r="K5717" s="1"/>
      <c r="L5717" s="1"/>
      <c r="M5717" s="1"/>
      <c r="N5717" s="1"/>
      <c r="O5717" s="1"/>
      <c r="P5717" s="1"/>
      <c r="Q5717" s="1"/>
      <c r="R5717" s="1"/>
      <c r="S5717" s="1"/>
      <c r="T5717" s="1"/>
      <c r="U5717" s="1"/>
      <c r="V5717" s="1"/>
      <c r="W5717" s="1"/>
      <c r="X5717" s="1"/>
      <c r="Y5717" s="1"/>
      <c r="Z5717" s="1"/>
      <c r="AA5717" s="1"/>
      <c r="AB5717" s="1"/>
    </row>
    <row r="5718" ht="50.25" customHeight="1">
      <c r="A5718" s="12">
        <v>5714.0</v>
      </c>
      <c r="B5718" s="13" t="s">
        <v>5701</v>
      </c>
      <c r="C5718" s="18" t="s">
        <v>5739</v>
      </c>
      <c r="D5718" s="1"/>
      <c r="E5718" s="1"/>
      <c r="F5718" s="1" t="str">
        <f>IFERROR(__xludf.DUMMYFUNCTION("GOOGLETRANSLATE(B5718, ""en"", ""fa"")
"),"چاپ بر حسب تقاضا (POD)")</f>
        <v>چاپ بر حسب تقاضا (POD)</v>
      </c>
      <c r="G5718" s="1" t="str">
        <f>IFERROR(__xludf.DUMMYFUNCTION("GOOGLETRANSLATE(C5718, ""en"", ""fa"")
"),"چگونه برای یک فروشگاه Print on Demand در Etsy طرح هایی با سبکی ثابت و قابل تشخیص ایجاد کنیم؟")</f>
        <v>چگونه برای یک فروشگاه Print on Demand در Etsy طرح هایی با سبکی ثابت و قابل تشخیص ایجاد کنیم؟</v>
      </c>
      <c r="H5718" s="1"/>
      <c r="I5718" s="1"/>
      <c r="J5718" s="1"/>
      <c r="K5718" s="1"/>
      <c r="L5718" s="1"/>
      <c r="M5718" s="1"/>
      <c r="N5718" s="1"/>
      <c r="O5718" s="1"/>
      <c r="P5718" s="1"/>
      <c r="Q5718" s="1"/>
      <c r="R5718" s="1"/>
      <c r="S5718" s="1"/>
      <c r="T5718" s="1"/>
      <c r="U5718" s="1"/>
      <c r="V5718" s="1"/>
      <c r="W5718" s="1"/>
      <c r="X5718" s="1"/>
      <c r="Y5718" s="1"/>
      <c r="Z5718" s="1"/>
      <c r="AA5718" s="1"/>
      <c r="AB5718" s="1"/>
    </row>
    <row r="5719" ht="50.25" customHeight="1">
      <c r="A5719" s="12">
        <v>5715.0</v>
      </c>
      <c r="B5719" s="13" t="s">
        <v>5701</v>
      </c>
      <c r="C5719" s="18" t="s">
        <v>5740</v>
      </c>
      <c r="D5719" s="1"/>
      <c r="E5719" s="1"/>
      <c r="F5719" s="1" t="str">
        <f>IFERROR(__xludf.DUMMYFUNCTION("GOOGLETRANSLATE(B5719, ""en"", ""fa"")
"),"چاپ بر حسب تقاضا (POD)")</f>
        <v>چاپ بر حسب تقاضا (POD)</v>
      </c>
      <c r="G5719" s="1" t="str">
        <f>IFERROR(__xludf.DUMMYFUNCTION("GOOGLETRANSLATE(C5719, ""en"", ""fa"")
"),"استراتژی‌های طراحی برای ایجاد طرح‌هایی که برای گروه‌های سنی یا جمعیت‌شناسی مختلف در Etsy جذاب باشد چیست؟")</f>
        <v>استراتژی‌های طراحی برای ایجاد طرح‌هایی که برای گروه‌های سنی یا جمعیت‌شناسی مختلف در Etsy جذاب باشد چیست؟</v>
      </c>
      <c r="H5719" s="1"/>
      <c r="I5719" s="1"/>
      <c r="J5719" s="1"/>
      <c r="K5719" s="1"/>
      <c r="L5719" s="1"/>
      <c r="M5719" s="1"/>
      <c r="N5719" s="1"/>
      <c r="O5719" s="1"/>
      <c r="P5719" s="1"/>
      <c r="Q5719" s="1"/>
      <c r="R5719" s="1"/>
      <c r="S5719" s="1"/>
      <c r="T5719" s="1"/>
      <c r="U5719" s="1"/>
      <c r="V5719" s="1"/>
      <c r="W5719" s="1"/>
      <c r="X5719" s="1"/>
      <c r="Y5719" s="1"/>
      <c r="Z5719" s="1"/>
      <c r="AA5719" s="1"/>
      <c r="AB5719" s="1"/>
    </row>
    <row r="5720" ht="50.25" customHeight="1">
      <c r="A5720" s="12">
        <v>5716.0</v>
      </c>
      <c r="B5720" s="13" t="s">
        <v>5701</v>
      </c>
      <c r="C5720" s="18" t="s">
        <v>5741</v>
      </c>
      <c r="D5720" s="1"/>
      <c r="E5720" s="1"/>
      <c r="F5720" s="1" t="str">
        <f>IFERROR(__xludf.DUMMYFUNCTION("GOOGLETRANSLATE(B5720, ""en"", ""fa"")
"),"چاپ بر حسب تقاضا (POD)")</f>
        <v>چاپ بر حسب تقاضا (POD)</v>
      </c>
      <c r="G5720" s="1" t="str">
        <f>IFERROR(__xludf.DUMMYFUNCTION("GOOGLETRANSLATE(C5720, ""en"", ""fa"")
"),"چگونه می توان طرح هایی ایجاد کرد که به راحتی برای پیشنهادات فصلی یا با زمان محدود در Print on Demand در Etsy سازگار شوند؟")</f>
        <v>چگونه می توان طرح هایی ایجاد کرد که به راحتی برای پیشنهادات فصلی یا با زمان محدود در Print on Demand در Etsy سازگار شوند؟</v>
      </c>
      <c r="H5720" s="1"/>
      <c r="I5720" s="1"/>
      <c r="J5720" s="1"/>
      <c r="K5720" s="1"/>
      <c r="L5720" s="1"/>
      <c r="M5720" s="1"/>
      <c r="N5720" s="1"/>
      <c r="O5720" s="1"/>
      <c r="P5720" s="1"/>
      <c r="Q5720" s="1"/>
      <c r="R5720" s="1"/>
      <c r="S5720" s="1"/>
      <c r="T5720" s="1"/>
      <c r="U5720" s="1"/>
      <c r="V5720" s="1"/>
      <c r="W5720" s="1"/>
      <c r="X5720" s="1"/>
      <c r="Y5720" s="1"/>
      <c r="Z5720" s="1"/>
      <c r="AA5720" s="1"/>
      <c r="AB5720" s="1"/>
    </row>
    <row r="5721" ht="50.25" customHeight="1">
      <c r="A5721" s="12">
        <v>5717.0</v>
      </c>
      <c r="B5721" s="13" t="s">
        <v>5701</v>
      </c>
      <c r="C5721" s="18" t="s">
        <v>5742</v>
      </c>
      <c r="D5721" s="1"/>
      <c r="E5721" s="1"/>
      <c r="F5721" s="1" t="str">
        <f>IFERROR(__xludf.DUMMYFUNCTION("GOOGLETRANSLATE(B5721, ""en"", ""fa"")
"),"چاپ بر حسب تقاضا (POD)")</f>
        <v>چاپ بر حسب تقاضا (POD)</v>
      </c>
      <c r="G5721" s="1" t="str">
        <f>IFERROR(__xludf.DUMMYFUNCTION("GOOGLETRANSLATE(C5721, ""en"", ""fa"")
"),"ملاحظات برای طراحی محصولات با تغییرات متعدد یا گزینه های سفارشی سازی در Etsy چیست؟")</f>
        <v>ملاحظات برای طراحی محصولات با تغییرات متعدد یا گزینه های سفارشی سازی در Etsy چیست؟</v>
      </c>
      <c r="H5721" s="1"/>
      <c r="I5721" s="1"/>
      <c r="J5721" s="1"/>
      <c r="K5721" s="1"/>
      <c r="L5721" s="1"/>
      <c r="M5721" s="1"/>
      <c r="N5721" s="1"/>
      <c r="O5721" s="1"/>
      <c r="P5721" s="1"/>
      <c r="Q5721" s="1"/>
      <c r="R5721" s="1"/>
      <c r="S5721" s="1"/>
      <c r="T5721" s="1"/>
      <c r="U5721" s="1"/>
      <c r="V5721" s="1"/>
      <c r="W5721" s="1"/>
      <c r="X5721" s="1"/>
      <c r="Y5721" s="1"/>
      <c r="Z5721" s="1"/>
      <c r="AA5721" s="1"/>
      <c r="AB5721" s="1"/>
    </row>
    <row r="5722" ht="50.25" customHeight="1">
      <c r="A5722" s="12">
        <v>5718.0</v>
      </c>
      <c r="B5722" s="13" t="s">
        <v>5701</v>
      </c>
      <c r="C5722" s="18" t="s">
        <v>5743</v>
      </c>
      <c r="D5722" s="1"/>
      <c r="E5722" s="1"/>
      <c r="F5722" s="1" t="str">
        <f>IFERROR(__xludf.DUMMYFUNCTION("GOOGLETRANSLATE(B5722, ""en"", ""fa"")
"),"چاپ بر حسب تقاضا (POD)")</f>
        <v>چاپ بر حسب تقاضا (POD)</v>
      </c>
      <c r="G5722" s="1" t="str">
        <f>IFERROR(__xludf.DUMMYFUNCTION("GOOGLETRANSLATE(C5722, ""en"", ""fa"")
"),"چگونه می توان طرح هایی ایجاد کرد که به طور موثر ویژگی های منحصر به فرد و نقاط فروش یک محصول Print on Demand را در Etsy به نمایش بگذارند؟")</f>
        <v>چگونه می توان طرح هایی ایجاد کرد که به طور موثر ویژگی های منحصر به فرد و نقاط فروش یک محصول Print on Demand را در Etsy به نمایش بگذارند؟</v>
      </c>
      <c r="H5722" s="1"/>
      <c r="I5722" s="1"/>
      <c r="J5722" s="1"/>
      <c r="K5722" s="1"/>
      <c r="L5722" s="1"/>
      <c r="M5722" s="1"/>
      <c r="N5722" s="1"/>
      <c r="O5722" s="1"/>
      <c r="P5722" s="1"/>
      <c r="Q5722" s="1"/>
      <c r="R5722" s="1"/>
      <c r="S5722" s="1"/>
      <c r="T5722" s="1"/>
      <c r="U5722" s="1"/>
      <c r="V5722" s="1"/>
      <c r="W5722" s="1"/>
      <c r="X5722" s="1"/>
      <c r="Y5722" s="1"/>
      <c r="Z5722" s="1"/>
      <c r="AA5722" s="1"/>
      <c r="AB5722" s="1"/>
    </row>
    <row r="5723" ht="50.25" customHeight="1">
      <c r="A5723" s="12">
        <v>5719.0</v>
      </c>
      <c r="B5723" s="13" t="s">
        <v>5701</v>
      </c>
      <c r="C5723" s="18" t="s">
        <v>5744</v>
      </c>
      <c r="D5723" s="1"/>
      <c r="E5723" s="1"/>
      <c r="F5723" s="1" t="str">
        <f>IFERROR(__xludf.DUMMYFUNCTION("GOOGLETRANSLATE(B5723, ""en"", ""fa"")
"),"چاپ بر حسب تقاضا (POD)")</f>
        <v>چاپ بر حسب تقاضا (POD)</v>
      </c>
      <c r="G5723" s="1" t="str">
        <f>IFERROR(__xludf.DUMMYFUNCTION("GOOGLETRANSLATE(C5723, ""en"", ""fa"")
"),"تکنیک‌های طراحی برای ایجاد طرح‌هایی که حس نوستالژی یا زیبایی‌شناسی قدیمی را در Etsy ایجاد می‌کنند چیست؟")</f>
        <v>تکنیک‌های طراحی برای ایجاد طرح‌هایی که حس نوستالژی یا زیبایی‌شناسی قدیمی را در Etsy ایجاد می‌کنند چیست؟</v>
      </c>
      <c r="H5723" s="1"/>
      <c r="I5723" s="1"/>
      <c r="J5723" s="1"/>
      <c r="K5723" s="1"/>
      <c r="L5723" s="1"/>
      <c r="M5723" s="1"/>
      <c r="N5723" s="1"/>
      <c r="O5723" s="1"/>
      <c r="P5723" s="1"/>
      <c r="Q5723" s="1"/>
      <c r="R5723" s="1"/>
      <c r="S5723" s="1"/>
      <c r="T5723" s="1"/>
      <c r="U5723" s="1"/>
      <c r="V5723" s="1"/>
      <c r="W5723" s="1"/>
      <c r="X5723" s="1"/>
      <c r="Y5723" s="1"/>
      <c r="Z5723" s="1"/>
      <c r="AA5723" s="1"/>
      <c r="AB5723" s="1"/>
    </row>
    <row r="5724" ht="50.25" customHeight="1">
      <c r="A5724" s="12">
        <v>5720.0</v>
      </c>
      <c r="B5724" s="13" t="s">
        <v>5701</v>
      </c>
      <c r="C5724" s="18" t="s">
        <v>5745</v>
      </c>
      <c r="D5724" s="1"/>
      <c r="E5724" s="1"/>
      <c r="F5724" s="1" t="str">
        <f>IFERROR(__xludf.DUMMYFUNCTION("GOOGLETRANSLATE(B5724, ""en"", ""fa"")
"),"چاپ بر حسب تقاضا (POD)")</f>
        <v>چاپ بر حسب تقاضا (POD)</v>
      </c>
      <c r="G5724" s="1" t="str">
        <f>IFERROR(__xludf.DUMMYFUNCTION("GOOGLETRANSLATE(C5724, ""en"", ""fa"")
"),"چگونه می توان طرح هایی ایجاد کرد که بتوان از آنها برای اهداف برندسازی و بازاریابی در محصولات Print on Demand در Etsy استفاده کرد؟")</f>
        <v>چگونه می توان طرح هایی ایجاد کرد که بتوان از آنها برای اهداف برندسازی و بازاریابی در محصولات Print on Demand در Etsy استفاده کرد؟</v>
      </c>
      <c r="H5724" s="1"/>
      <c r="I5724" s="1"/>
      <c r="J5724" s="1"/>
      <c r="K5724" s="1"/>
      <c r="L5724" s="1"/>
      <c r="M5724" s="1"/>
      <c r="N5724" s="1"/>
      <c r="O5724" s="1"/>
      <c r="P5724" s="1"/>
      <c r="Q5724" s="1"/>
      <c r="R5724" s="1"/>
      <c r="S5724" s="1"/>
      <c r="T5724" s="1"/>
      <c r="U5724" s="1"/>
      <c r="V5724" s="1"/>
      <c r="W5724" s="1"/>
      <c r="X5724" s="1"/>
      <c r="Y5724" s="1"/>
      <c r="Z5724" s="1"/>
      <c r="AA5724" s="1"/>
      <c r="AB5724" s="1"/>
    </row>
    <row r="5725" ht="50.25" customHeight="1">
      <c r="A5725" s="12">
        <v>5721.0</v>
      </c>
      <c r="B5725" s="13" t="s">
        <v>5701</v>
      </c>
      <c r="C5725" s="18" t="s">
        <v>5746</v>
      </c>
      <c r="D5725" s="1"/>
      <c r="E5725" s="1"/>
      <c r="F5725" s="1" t="str">
        <f>IFERROR(__xludf.DUMMYFUNCTION("GOOGLETRANSLATE(B5725, ""en"", ""fa"")
"),"چاپ بر حسب تقاضا (POD)")</f>
        <v>چاپ بر حسب تقاضا (POD)</v>
      </c>
      <c r="G5725" s="1" t="str">
        <f>IFERROR(__xludf.DUMMYFUNCTION("GOOGLETRANSLATE(C5725, ""en"", ""fa"")
"),"ملاحظات برای طراحی محصولات با طرح های متنی یا نقل قول در Etsy چیست؟")</f>
        <v>ملاحظات برای طراحی محصولات با طرح های متنی یا نقل قول در Etsy چیست؟</v>
      </c>
      <c r="H5725" s="1"/>
      <c r="I5725" s="1"/>
      <c r="J5725" s="1"/>
      <c r="K5725" s="1"/>
      <c r="L5725" s="1"/>
      <c r="M5725" s="1"/>
      <c r="N5725" s="1"/>
      <c r="O5725" s="1"/>
      <c r="P5725" s="1"/>
      <c r="Q5725" s="1"/>
      <c r="R5725" s="1"/>
      <c r="S5725" s="1"/>
      <c r="T5725" s="1"/>
      <c r="U5725" s="1"/>
      <c r="V5725" s="1"/>
      <c r="W5725" s="1"/>
      <c r="X5725" s="1"/>
      <c r="Y5725" s="1"/>
      <c r="Z5725" s="1"/>
      <c r="AA5725" s="1"/>
      <c r="AB5725" s="1"/>
    </row>
    <row r="5726" ht="50.25" customHeight="1">
      <c r="A5726" s="12">
        <v>5722.0</v>
      </c>
      <c r="B5726" s="13" t="s">
        <v>5701</v>
      </c>
      <c r="C5726" s="18" t="s">
        <v>5747</v>
      </c>
      <c r="D5726" s="1"/>
      <c r="E5726" s="1"/>
      <c r="F5726" s="1" t="str">
        <f>IFERROR(__xludf.DUMMYFUNCTION("GOOGLETRANSLATE(B5726, ""en"", ""fa"")
"),"چاپ بر حسب تقاضا (POD)")</f>
        <v>چاپ بر حسب تقاضا (POD)</v>
      </c>
      <c r="G5726" s="1" t="str">
        <f>IFERROR(__xludf.DUMMYFUNCTION("GOOGLETRANSLATE(C5726, ""en"", ""fa"")
"),"چگونه می توان طرح هایی ایجاد کرد که برای اندازه ها و ابعاد مختلف محصول در Print on Demand در Etsy بهینه شده باشند؟")</f>
        <v>چگونه می توان طرح هایی ایجاد کرد که برای اندازه ها و ابعاد مختلف محصول در Print on Demand در Etsy بهینه شده باشند؟</v>
      </c>
      <c r="H5726" s="1"/>
      <c r="I5726" s="1"/>
      <c r="J5726" s="1"/>
      <c r="K5726" s="1"/>
      <c r="L5726" s="1"/>
      <c r="M5726" s="1"/>
      <c r="N5726" s="1"/>
      <c r="O5726" s="1"/>
      <c r="P5726" s="1"/>
      <c r="Q5726" s="1"/>
      <c r="R5726" s="1"/>
      <c r="S5726" s="1"/>
      <c r="T5726" s="1"/>
      <c r="U5726" s="1"/>
      <c r="V5726" s="1"/>
      <c r="W5726" s="1"/>
      <c r="X5726" s="1"/>
      <c r="Y5726" s="1"/>
      <c r="Z5726" s="1"/>
      <c r="AA5726" s="1"/>
      <c r="AB5726" s="1"/>
    </row>
    <row r="5727" ht="50.25" customHeight="1">
      <c r="A5727" s="12">
        <v>5723.0</v>
      </c>
      <c r="B5727" s="13" t="s">
        <v>5701</v>
      </c>
      <c r="C5727" s="18" t="s">
        <v>5748</v>
      </c>
      <c r="D5727" s="1"/>
      <c r="E5727" s="1"/>
      <c r="F5727" s="1" t="str">
        <f>IFERROR(__xludf.DUMMYFUNCTION("GOOGLETRANSLATE(B5727, ""en"", ""fa"")
"),"چاپ بر حسب تقاضا (POD)")</f>
        <v>چاپ بر حسب تقاضا (POD)</v>
      </c>
      <c r="G5727" s="1" t="str">
        <f>IFERROR(__xludf.DUMMYFUNCTION("GOOGLETRANSLATE(C5727, ""en"", ""fa"")
"),"استراتژی‌های طراحی برای ایجاد طرح‌هایی که سرگرمی‌ها یا علایق خاص در Etsy را برآورده می‌کنند چیست؟")</f>
        <v>استراتژی‌های طراحی برای ایجاد طرح‌هایی که سرگرمی‌ها یا علایق خاص در Etsy را برآورده می‌کنند چیست؟</v>
      </c>
      <c r="H5727" s="1"/>
      <c r="I5727" s="1"/>
      <c r="J5727" s="1"/>
      <c r="K5727" s="1"/>
      <c r="L5727" s="1"/>
      <c r="M5727" s="1"/>
      <c r="N5727" s="1"/>
      <c r="O5727" s="1"/>
      <c r="P5727" s="1"/>
      <c r="Q5727" s="1"/>
      <c r="R5727" s="1"/>
      <c r="S5727" s="1"/>
      <c r="T5727" s="1"/>
      <c r="U5727" s="1"/>
      <c r="V5727" s="1"/>
      <c r="W5727" s="1"/>
      <c r="X5727" s="1"/>
      <c r="Y5727" s="1"/>
      <c r="Z5727" s="1"/>
      <c r="AA5727" s="1"/>
      <c r="AB5727" s="1"/>
    </row>
    <row r="5728" ht="50.25" customHeight="1">
      <c r="A5728" s="12">
        <v>5724.0</v>
      </c>
      <c r="B5728" s="13" t="s">
        <v>5701</v>
      </c>
      <c r="C5728" s="18" t="s">
        <v>5749</v>
      </c>
      <c r="D5728" s="1"/>
      <c r="E5728" s="1"/>
      <c r="F5728" s="1" t="str">
        <f>IFERROR(__xludf.DUMMYFUNCTION("GOOGLETRANSLATE(B5728, ""en"", ""fa"")
"),"چاپ بر حسب تقاضا (POD)")</f>
        <v>چاپ بر حسب تقاضا (POD)</v>
      </c>
      <c r="G5728" s="1" t="str">
        <f>IFERROR(__xludf.DUMMYFUNCTION("GOOGLETRANSLATE(C5728, ""en"", ""fa"")
"),"چگونه می‌توان طرح‌هایی ایجاد کرد که حس لوکس یا کیفیت برتر را برای محصولات چاپ بر اساس تقاضای سطح بالا در Etsy ایجاد کنند؟")</f>
        <v>چگونه می‌توان طرح‌هایی ایجاد کرد که حس لوکس یا کیفیت برتر را برای محصولات چاپ بر اساس تقاضای سطح بالا در Etsy ایجاد کنند؟</v>
      </c>
      <c r="H5728" s="1"/>
      <c r="I5728" s="1"/>
      <c r="J5728" s="1"/>
      <c r="K5728" s="1"/>
      <c r="L5728" s="1"/>
      <c r="M5728" s="1"/>
      <c r="N5728" s="1"/>
      <c r="O5728" s="1"/>
      <c r="P5728" s="1"/>
      <c r="Q5728" s="1"/>
      <c r="R5728" s="1"/>
      <c r="S5728" s="1"/>
      <c r="T5728" s="1"/>
      <c r="U5728" s="1"/>
      <c r="V5728" s="1"/>
      <c r="W5728" s="1"/>
      <c r="X5728" s="1"/>
      <c r="Y5728" s="1"/>
      <c r="Z5728" s="1"/>
      <c r="AA5728" s="1"/>
      <c r="AB5728" s="1"/>
    </row>
    <row r="5729" ht="50.25" customHeight="1">
      <c r="A5729" s="12">
        <v>5725.0</v>
      </c>
      <c r="B5729" s="13" t="s">
        <v>5701</v>
      </c>
      <c r="C5729" s="18" t="s">
        <v>5750</v>
      </c>
      <c r="D5729" s="1"/>
      <c r="E5729" s="1"/>
      <c r="F5729" s="1" t="str">
        <f>IFERROR(__xludf.DUMMYFUNCTION("GOOGLETRANSLATE(B5729, ""en"", ""fa"")
"),"چاپ بر حسب تقاضا (POD)")</f>
        <v>چاپ بر حسب تقاضا (POD)</v>
      </c>
      <c r="G5729" s="1" t="str">
        <f>IFERROR(__xludf.DUMMYFUNCTION("GOOGLETRANSLATE(C5729, ""en"", ""fa"")
"),"تکنیک‌هایی برای ترکیب نمادها، نمادها یا موتیف‌های پرطرفدار در طرح‌های Print on Demand در Etsy چیست؟")</f>
        <v>تکنیک‌هایی برای ترکیب نمادها، نمادها یا موتیف‌های پرطرفدار در طرح‌های Print on Demand در Etsy چیست؟</v>
      </c>
      <c r="H5729" s="1"/>
      <c r="I5729" s="1"/>
      <c r="J5729" s="1"/>
      <c r="K5729" s="1"/>
      <c r="L5729" s="1"/>
      <c r="M5729" s="1"/>
      <c r="N5729" s="1"/>
      <c r="O5729" s="1"/>
      <c r="P5729" s="1"/>
      <c r="Q5729" s="1"/>
      <c r="R5729" s="1"/>
      <c r="S5729" s="1"/>
      <c r="T5729" s="1"/>
      <c r="U5729" s="1"/>
      <c r="V5729" s="1"/>
      <c r="W5729" s="1"/>
      <c r="X5729" s="1"/>
      <c r="Y5729" s="1"/>
      <c r="Z5729" s="1"/>
      <c r="AA5729" s="1"/>
      <c r="AB5729" s="1"/>
    </row>
    <row r="5730" ht="50.25" customHeight="1">
      <c r="A5730" s="12">
        <v>5726.0</v>
      </c>
      <c r="B5730" s="13" t="s">
        <v>5701</v>
      </c>
      <c r="C5730" s="18" t="s">
        <v>5751</v>
      </c>
      <c r="D5730" s="1"/>
      <c r="E5730" s="1"/>
      <c r="F5730" s="1" t="str">
        <f>IFERROR(__xludf.DUMMYFUNCTION("GOOGLETRANSLATE(B5730, ""en"", ""fa"")
"),"چاپ بر حسب تقاضا (POD)")</f>
        <v>چاپ بر حسب تقاضا (POD)</v>
      </c>
      <c r="G5730" s="1" t="str">
        <f>IFERROR(__xludf.DUMMYFUNCTION("GOOGLETRANSLATE(C5730, ""en"", ""fa"")
"),"چگونه می توان طرح هایی ایجاد کرد که به طور موثر بازارها یا مناطق جغرافیایی خاصی را در Etsy هدف قرار دهند؟")</f>
        <v>چگونه می توان طرح هایی ایجاد کرد که به طور موثر بازارها یا مناطق جغرافیایی خاصی را در Etsy هدف قرار دهند؟</v>
      </c>
      <c r="H5730" s="1"/>
      <c r="I5730" s="1"/>
      <c r="J5730" s="1"/>
      <c r="K5730" s="1"/>
      <c r="L5730" s="1"/>
      <c r="M5730" s="1"/>
      <c r="N5730" s="1"/>
      <c r="O5730" s="1"/>
      <c r="P5730" s="1"/>
      <c r="Q5730" s="1"/>
      <c r="R5730" s="1"/>
      <c r="S5730" s="1"/>
      <c r="T5730" s="1"/>
      <c r="U5730" s="1"/>
      <c r="V5730" s="1"/>
      <c r="W5730" s="1"/>
      <c r="X5730" s="1"/>
      <c r="Y5730" s="1"/>
      <c r="Z5730" s="1"/>
      <c r="AA5730" s="1"/>
      <c r="AB5730" s="1"/>
    </row>
    <row r="5731" ht="50.25" customHeight="1">
      <c r="A5731" s="12">
        <v>5727.0</v>
      </c>
      <c r="B5731" s="13" t="s">
        <v>5701</v>
      </c>
      <c r="C5731" s="18" t="s">
        <v>5752</v>
      </c>
      <c r="D5731" s="1"/>
      <c r="E5731" s="1"/>
      <c r="F5731" s="1" t="str">
        <f>IFERROR(__xludf.DUMMYFUNCTION("GOOGLETRANSLATE(B5731, ""en"", ""fa"")
"),"چاپ بر حسب تقاضا (POD)")</f>
        <v>چاپ بر حسب تقاضا (POD)</v>
      </c>
      <c r="G5731" s="1" t="str">
        <f>IFERROR(__xludf.DUMMYFUNCTION("GOOGLETRANSLATE(C5731, ""en"", ""fa"")
"),"ملاحظات طراحی برای ایجاد طرح هایی با سلسله مراتب بصری و ترکیب بندی قوی در محصولات Print on Demand در Etsy چیست؟")</f>
        <v>ملاحظات طراحی برای ایجاد طرح هایی با سلسله مراتب بصری و ترکیب بندی قوی در محصولات Print on Demand در Etsy چیست؟</v>
      </c>
      <c r="H5731" s="1"/>
      <c r="I5731" s="1"/>
      <c r="J5731" s="1"/>
      <c r="K5731" s="1"/>
      <c r="L5731" s="1"/>
      <c r="M5731" s="1"/>
      <c r="N5731" s="1"/>
      <c r="O5731" s="1"/>
      <c r="P5731" s="1"/>
      <c r="Q5731" s="1"/>
      <c r="R5731" s="1"/>
      <c r="S5731" s="1"/>
      <c r="T5731" s="1"/>
      <c r="U5731" s="1"/>
      <c r="V5731" s="1"/>
      <c r="W5731" s="1"/>
      <c r="X5731" s="1"/>
      <c r="Y5731" s="1"/>
      <c r="Z5731" s="1"/>
      <c r="AA5731" s="1"/>
      <c r="AB5731" s="1"/>
    </row>
    <row r="5732" ht="50.25" customHeight="1">
      <c r="A5732" s="12">
        <v>5728.0</v>
      </c>
      <c r="B5732" s="13" t="s">
        <v>5701</v>
      </c>
      <c r="C5732" s="18" t="s">
        <v>5753</v>
      </c>
      <c r="D5732" s="1"/>
      <c r="E5732" s="1"/>
      <c r="F5732" s="1" t="str">
        <f>IFERROR(__xludf.DUMMYFUNCTION("GOOGLETRANSLATE(B5732, ""en"", ""fa"")
"),"چاپ بر حسب تقاضا (POD)")</f>
        <v>چاپ بر حسب تقاضا (POD)</v>
      </c>
      <c r="G5732" s="1" t="str">
        <f>IFERROR(__xludf.DUMMYFUNCTION("GOOGLETRANSLATE(C5732, ""en"", ""fa"")
"),"چگونه می توان طرح هایی ایجاد کرد که برای جنسیت های مختلف جذاب باشد یا بازارهای جنسیت خاص را در Etsy هدف قرار دهند؟")</f>
        <v>چگونه می توان طرح هایی ایجاد کرد که برای جنسیت های مختلف جذاب باشد یا بازارهای جنسیت خاص را در Etsy هدف قرار دهند؟</v>
      </c>
      <c r="H5732" s="1"/>
      <c r="I5732" s="1"/>
      <c r="J5732" s="1"/>
      <c r="K5732" s="1"/>
      <c r="L5732" s="1"/>
      <c r="M5732" s="1"/>
      <c r="N5732" s="1"/>
      <c r="O5732" s="1"/>
      <c r="P5732" s="1"/>
      <c r="Q5732" s="1"/>
      <c r="R5732" s="1"/>
      <c r="S5732" s="1"/>
      <c r="T5732" s="1"/>
      <c r="U5732" s="1"/>
      <c r="V5732" s="1"/>
      <c r="W5732" s="1"/>
      <c r="X5732" s="1"/>
      <c r="Y5732" s="1"/>
      <c r="Z5732" s="1"/>
      <c r="AA5732" s="1"/>
      <c r="AB5732" s="1"/>
    </row>
    <row r="5733" ht="50.25" customHeight="1">
      <c r="A5733" s="12">
        <v>5729.0</v>
      </c>
      <c r="B5733" s="13" t="s">
        <v>5701</v>
      </c>
      <c r="C5733" s="18" t="s">
        <v>5754</v>
      </c>
      <c r="D5733" s="1"/>
      <c r="E5733" s="1"/>
      <c r="F5733" s="1" t="str">
        <f>IFERROR(__xludf.DUMMYFUNCTION("GOOGLETRANSLATE(B5733, ""en"", ""fa"")
"),"چاپ بر حسب تقاضا (POD)")</f>
        <v>چاپ بر حسب تقاضا (POD)</v>
      </c>
      <c r="G5733" s="1" t="str">
        <f>IFERROR(__xludf.DUMMYFUNCTION("GOOGLETRANSLATE(C5733, ""en"", ""fa"")
"),"تکنیک‌هایی برای ایجاد طرح‌هایی که می‌توانند به راحتی با رنگ‌های محصول یا پس‌زمینه‌های مختلف در Print on Demand در Etsy سازگار شوند، چیست؟")</f>
        <v>تکنیک‌هایی برای ایجاد طرح‌هایی که می‌توانند به راحتی با رنگ‌های محصول یا پس‌زمینه‌های مختلف در Print on Demand در Etsy سازگار شوند، چیست؟</v>
      </c>
      <c r="H5733" s="1"/>
      <c r="I5733" s="1"/>
      <c r="J5733" s="1"/>
      <c r="K5733" s="1"/>
      <c r="L5733" s="1"/>
      <c r="M5733" s="1"/>
      <c r="N5733" s="1"/>
      <c r="O5733" s="1"/>
      <c r="P5733" s="1"/>
      <c r="Q5733" s="1"/>
      <c r="R5733" s="1"/>
      <c r="S5733" s="1"/>
      <c r="T5733" s="1"/>
      <c r="U5733" s="1"/>
      <c r="V5733" s="1"/>
      <c r="W5733" s="1"/>
      <c r="X5733" s="1"/>
      <c r="Y5733" s="1"/>
      <c r="Z5733" s="1"/>
      <c r="AA5733" s="1"/>
      <c r="AB5733" s="1"/>
    </row>
    <row r="5734" ht="50.25" customHeight="1">
      <c r="A5734" s="12">
        <v>5730.0</v>
      </c>
      <c r="B5734" s="13" t="s">
        <v>5701</v>
      </c>
      <c r="C5734" s="18" t="s">
        <v>5755</v>
      </c>
      <c r="D5734" s="1"/>
      <c r="E5734" s="1"/>
      <c r="F5734" s="1" t="str">
        <f>IFERROR(__xludf.DUMMYFUNCTION("GOOGLETRANSLATE(B5734, ""en"", ""fa"")
"),"چاپ بر حسب تقاضا (POD)")</f>
        <v>چاپ بر حسب تقاضا (POD)</v>
      </c>
      <c r="G5734" s="1" t="str">
        <f>IFERROR(__xludf.DUMMYFUNCTION("GOOGLETRANSLATE(C5734, ""en"", ""fa"")
"),"چگونه می‌توان طرح‌هایی ایجاد کرد که با ارجاعات فرهنگ عامه یا طرفداران برای چاپ بر حسب تقاضا در Etsy مطابقت داشته باشند؟")</f>
        <v>چگونه می‌توان طرح‌هایی ایجاد کرد که با ارجاعات فرهنگ عامه یا طرفداران برای چاپ بر حسب تقاضا در Etsy مطابقت داشته باشند؟</v>
      </c>
      <c r="H5734" s="1"/>
      <c r="I5734" s="1"/>
      <c r="J5734" s="1"/>
      <c r="K5734" s="1"/>
      <c r="L5734" s="1"/>
      <c r="M5734" s="1"/>
      <c r="N5734" s="1"/>
      <c r="O5734" s="1"/>
      <c r="P5734" s="1"/>
      <c r="Q5734" s="1"/>
      <c r="R5734" s="1"/>
      <c r="S5734" s="1"/>
      <c r="T5734" s="1"/>
      <c r="U5734" s="1"/>
      <c r="V5734" s="1"/>
      <c r="W5734" s="1"/>
      <c r="X5734" s="1"/>
      <c r="Y5734" s="1"/>
      <c r="Z5734" s="1"/>
      <c r="AA5734" s="1"/>
      <c r="AB5734" s="1"/>
    </row>
    <row r="5735" ht="50.25" customHeight="1">
      <c r="A5735" s="12">
        <v>5731.0</v>
      </c>
      <c r="B5735" s="13" t="s">
        <v>5701</v>
      </c>
      <c r="C5735" s="18" t="s">
        <v>5756</v>
      </c>
      <c r="D5735" s="1"/>
      <c r="E5735" s="1"/>
      <c r="F5735" s="1" t="str">
        <f>IFERROR(__xludf.DUMMYFUNCTION("GOOGLETRANSLATE(B5735, ""en"", ""fa"")
"),"چاپ بر حسب تقاضا (POD)")</f>
        <v>چاپ بر حسب تقاضا (POD)</v>
      </c>
      <c r="G5735" s="1" t="str">
        <f>IFERROR(__xludf.DUMMYFUNCTION("GOOGLETRANSLATE(C5735, ""en"", ""fa"")
"),"استراتژی‌های طراحی برای ایجاد طرح‌هایی که بازار سازگار با محیط زیست یا متمرکز بر پایداری در Etsy را ارائه می‌دهند چیست؟")</f>
        <v>استراتژی‌های طراحی برای ایجاد طرح‌هایی که بازار سازگار با محیط زیست یا متمرکز بر پایداری در Etsy را ارائه می‌دهند چیست؟</v>
      </c>
      <c r="H5735" s="1"/>
      <c r="I5735" s="1"/>
      <c r="J5735" s="1"/>
      <c r="K5735" s="1"/>
      <c r="L5735" s="1"/>
      <c r="M5735" s="1"/>
      <c r="N5735" s="1"/>
      <c r="O5735" s="1"/>
      <c r="P5735" s="1"/>
      <c r="Q5735" s="1"/>
      <c r="R5735" s="1"/>
      <c r="S5735" s="1"/>
      <c r="T5735" s="1"/>
      <c r="U5735" s="1"/>
      <c r="V5735" s="1"/>
      <c r="W5735" s="1"/>
      <c r="X5735" s="1"/>
      <c r="Y5735" s="1"/>
      <c r="Z5735" s="1"/>
      <c r="AA5735" s="1"/>
      <c r="AB5735" s="1"/>
    </row>
    <row r="5736" ht="50.25" customHeight="1">
      <c r="A5736" s="12">
        <v>5732.0</v>
      </c>
      <c r="B5736" s="13" t="s">
        <v>5701</v>
      </c>
      <c r="C5736" s="18" t="s">
        <v>5757</v>
      </c>
      <c r="D5736" s="1"/>
      <c r="E5736" s="1"/>
      <c r="F5736" s="1" t="str">
        <f>IFERROR(__xludf.DUMMYFUNCTION("GOOGLETRANSLATE(B5736, ""en"", ""fa"")
"),"چاپ بر حسب تقاضا (POD)")</f>
        <v>چاپ بر حسب تقاضا (POD)</v>
      </c>
      <c r="G5736" s="1" t="str">
        <f>IFERROR(__xludf.DUMMYFUNCTION("GOOGLETRANSLATE(C5736, ""en"", ""fa"")
"),"چگونه می توان طرح هایی ایجاد کرد که به طور موثر از فضای منفی و زیبایی شناسی مینیمال در محصولات Print on Demand در Etsy استفاده کند؟")</f>
        <v>چگونه می توان طرح هایی ایجاد کرد که به طور موثر از فضای منفی و زیبایی شناسی مینیمال در محصولات Print on Demand در Etsy استفاده کند؟</v>
      </c>
      <c r="H5736" s="1"/>
      <c r="I5736" s="1"/>
      <c r="J5736" s="1"/>
      <c r="K5736" s="1"/>
      <c r="L5736" s="1"/>
      <c r="M5736" s="1"/>
      <c r="N5736" s="1"/>
      <c r="O5736" s="1"/>
      <c r="P5736" s="1"/>
      <c r="Q5736" s="1"/>
      <c r="R5736" s="1"/>
      <c r="S5736" s="1"/>
      <c r="T5736" s="1"/>
      <c r="U5736" s="1"/>
      <c r="V5736" s="1"/>
      <c r="W5736" s="1"/>
      <c r="X5736" s="1"/>
      <c r="Y5736" s="1"/>
      <c r="Z5736" s="1"/>
      <c r="AA5736" s="1"/>
      <c r="AB5736" s="1"/>
    </row>
    <row r="5737" ht="50.25" customHeight="1">
      <c r="A5737" s="12">
        <v>5733.0</v>
      </c>
      <c r="B5737" s="13" t="s">
        <v>5701</v>
      </c>
      <c r="C5737" s="18" t="s">
        <v>5758</v>
      </c>
      <c r="D5737" s="1"/>
      <c r="E5737" s="1"/>
      <c r="F5737" s="1" t="str">
        <f>IFERROR(__xludf.DUMMYFUNCTION("GOOGLETRANSLATE(B5737, ""en"", ""fa"")
"),"چاپ بر حسب تقاضا (POD)")</f>
        <v>چاپ بر حسب تقاضا (POD)</v>
      </c>
      <c r="G5737" s="1" t="str">
        <f>IFERROR(__xludf.DUMMYFUNCTION("GOOGLETRANSLATE(C5737, ""en"", ""fa"")
"),"ملاحظات برای طراحی طرح هایی با یک فراخوان قوی یا پیام تبلیغاتی در Etsy چیست؟")</f>
        <v>ملاحظات برای طراحی طرح هایی با یک فراخوان قوی یا پیام تبلیغاتی در Etsy چیست؟</v>
      </c>
      <c r="H5737" s="1"/>
      <c r="I5737" s="1"/>
      <c r="J5737" s="1"/>
      <c r="K5737" s="1"/>
      <c r="L5737" s="1"/>
      <c r="M5737" s="1"/>
      <c r="N5737" s="1"/>
      <c r="O5737" s="1"/>
      <c r="P5737" s="1"/>
      <c r="Q5737" s="1"/>
      <c r="R5737" s="1"/>
      <c r="S5737" s="1"/>
      <c r="T5737" s="1"/>
      <c r="U5737" s="1"/>
      <c r="V5737" s="1"/>
      <c r="W5737" s="1"/>
      <c r="X5737" s="1"/>
      <c r="Y5737" s="1"/>
      <c r="Z5737" s="1"/>
      <c r="AA5737" s="1"/>
      <c r="AB5737" s="1"/>
    </row>
    <row r="5738" ht="50.25" customHeight="1">
      <c r="A5738" s="12">
        <v>5734.0</v>
      </c>
      <c r="B5738" s="13" t="s">
        <v>5701</v>
      </c>
      <c r="C5738" s="18" t="s">
        <v>5759</v>
      </c>
      <c r="D5738" s="1"/>
      <c r="E5738" s="1"/>
      <c r="F5738" s="1" t="str">
        <f>IFERROR(__xludf.DUMMYFUNCTION("GOOGLETRANSLATE(B5738, ""en"", ""fa"")
"),"چاپ بر حسب تقاضا (POD)")</f>
        <v>چاپ بر حسب تقاضا (POD)</v>
      </c>
      <c r="G5738" s="1" t="str">
        <f>IFERROR(__xludf.DUMMYFUNCTION("GOOGLETRANSLATE(C5738, ""en"", ""fa"")
"),"چگونه می‌توان طرح‌هایی ایجاد کرد که برای گروه‌های سنی خاص، مانند کودکان یا سالمندان، برای چاپ بر اساس تقاضا در Etsy طراحی شوند؟")</f>
        <v>چگونه می‌توان طرح‌هایی ایجاد کرد که برای گروه‌های سنی خاص، مانند کودکان یا سالمندان، برای چاپ بر اساس تقاضا در Etsy طراحی شوند؟</v>
      </c>
      <c r="H5738" s="1"/>
      <c r="I5738" s="1"/>
      <c r="J5738" s="1"/>
      <c r="K5738" s="1"/>
      <c r="L5738" s="1"/>
      <c r="M5738" s="1"/>
      <c r="N5738" s="1"/>
      <c r="O5738" s="1"/>
      <c r="P5738" s="1"/>
      <c r="Q5738" s="1"/>
      <c r="R5738" s="1"/>
      <c r="S5738" s="1"/>
      <c r="T5738" s="1"/>
      <c r="U5738" s="1"/>
      <c r="V5738" s="1"/>
      <c r="W5738" s="1"/>
      <c r="X5738" s="1"/>
      <c r="Y5738" s="1"/>
      <c r="Z5738" s="1"/>
      <c r="AA5738" s="1"/>
      <c r="AB5738" s="1"/>
    </row>
    <row r="5739" ht="50.25" customHeight="1">
      <c r="A5739" s="12">
        <v>5735.0</v>
      </c>
      <c r="B5739" s="13" t="s">
        <v>5701</v>
      </c>
      <c r="C5739" s="18" t="s">
        <v>5760</v>
      </c>
      <c r="D5739" s="1"/>
      <c r="E5739" s="1"/>
      <c r="F5739" s="1" t="str">
        <f>IFERROR(__xludf.DUMMYFUNCTION("GOOGLETRANSLATE(B5739, ""en"", ""fa"")
"),"چاپ بر حسب تقاضا (POD)")</f>
        <v>چاپ بر حسب تقاضا (POD)</v>
      </c>
      <c r="G5739" s="1" t="str">
        <f>IFERROR(__xludf.DUMMYFUNCTION("GOOGLETRANSLATE(C5739, ""en"", ""fa"")
"),"تکنیک های طراحی برای ایجاد طرح هایی که حس شوخ طبعی یا بازیگوشی را در Etsy منتقل می کنند چیست؟")</f>
        <v>تکنیک های طراحی برای ایجاد طرح هایی که حس شوخ طبعی یا بازیگوشی را در Etsy منتقل می کنند چیست؟</v>
      </c>
      <c r="H5739" s="1"/>
      <c r="I5739" s="1"/>
      <c r="J5739" s="1"/>
      <c r="K5739" s="1"/>
      <c r="L5739" s="1"/>
      <c r="M5739" s="1"/>
      <c r="N5739" s="1"/>
      <c r="O5739" s="1"/>
      <c r="P5739" s="1"/>
      <c r="Q5739" s="1"/>
      <c r="R5739" s="1"/>
      <c r="S5739" s="1"/>
      <c r="T5739" s="1"/>
      <c r="U5739" s="1"/>
      <c r="V5739" s="1"/>
      <c r="W5739" s="1"/>
      <c r="X5739" s="1"/>
      <c r="Y5739" s="1"/>
      <c r="Z5739" s="1"/>
      <c r="AA5739" s="1"/>
      <c r="AB5739" s="1"/>
    </row>
    <row r="5740" ht="50.25" customHeight="1">
      <c r="A5740" s="12">
        <v>5736.0</v>
      </c>
      <c r="B5740" s="13" t="s">
        <v>5701</v>
      </c>
      <c r="C5740" s="18" t="s">
        <v>5761</v>
      </c>
      <c r="D5740" s="1"/>
      <c r="E5740" s="1"/>
      <c r="F5740" s="1" t="str">
        <f>IFERROR(__xludf.DUMMYFUNCTION("GOOGLETRANSLATE(B5740, ""en"", ""fa"")
"),"چاپ بر حسب تقاضا (POD)")</f>
        <v>چاپ بر حسب تقاضا (POD)</v>
      </c>
      <c r="G5740" s="1" t="str">
        <f>IFERROR(__xludf.DUMMYFUNCTION("GOOGLETRANSLATE(C5740, ""en"", ""fa"")
"),"چگونه می‌توان طرح‌هایی ایجاد کرد که برای تکنیک‌های مختلف چاپ، مانند سابلیمیشن یا چاپ روی صفحه، روی محصولات Print on Demand در Etsy بهینه شده باشند؟")</f>
        <v>چگونه می‌توان طرح‌هایی ایجاد کرد که برای تکنیک‌های مختلف چاپ، مانند سابلیمیشن یا چاپ روی صفحه، روی محصولات Print on Demand در Etsy بهینه شده باشند؟</v>
      </c>
      <c r="H5740" s="1"/>
      <c r="I5740" s="1"/>
      <c r="J5740" s="1"/>
      <c r="K5740" s="1"/>
      <c r="L5740" s="1"/>
      <c r="M5740" s="1"/>
      <c r="N5740" s="1"/>
      <c r="O5740" s="1"/>
      <c r="P5740" s="1"/>
      <c r="Q5740" s="1"/>
      <c r="R5740" s="1"/>
      <c r="S5740" s="1"/>
      <c r="T5740" s="1"/>
      <c r="U5740" s="1"/>
      <c r="V5740" s="1"/>
      <c r="W5740" s="1"/>
      <c r="X5740" s="1"/>
      <c r="Y5740" s="1"/>
      <c r="Z5740" s="1"/>
      <c r="AA5740" s="1"/>
      <c r="AB5740" s="1"/>
    </row>
    <row r="5741" ht="50.25" customHeight="1">
      <c r="A5741" s="12">
        <v>5737.0</v>
      </c>
      <c r="B5741" s="13" t="s">
        <v>5701</v>
      </c>
      <c r="C5741" s="18" t="s">
        <v>5762</v>
      </c>
      <c r="D5741" s="1"/>
      <c r="E5741" s="1"/>
      <c r="F5741" s="1" t="str">
        <f>IFERROR(__xludf.DUMMYFUNCTION("GOOGLETRANSLATE(B5741, ""en"", ""fa"")
"),"چاپ بر حسب تقاضا (POD)")</f>
        <v>چاپ بر حسب تقاضا (POD)</v>
      </c>
      <c r="G5741" s="1" t="str">
        <f>IFERROR(__xludf.DUMMYFUNCTION("GOOGLETRANSLATE(C5741, ""en"", ""fa"")
"),"ملاحظات طراحی برای ایجاد طرح هایی که به راحتی قابل تغییر اندازه یا تطبیق برای قرار دادن محصولات مختلف در Etsy هستند چیست؟")</f>
        <v>ملاحظات طراحی برای ایجاد طرح هایی که به راحتی قابل تغییر اندازه یا تطبیق برای قرار دادن محصولات مختلف در Etsy هستند چیست؟</v>
      </c>
      <c r="H5741" s="1"/>
      <c r="I5741" s="1"/>
      <c r="J5741" s="1"/>
      <c r="K5741" s="1"/>
      <c r="L5741" s="1"/>
      <c r="M5741" s="1"/>
      <c r="N5741" s="1"/>
      <c r="O5741" s="1"/>
      <c r="P5741" s="1"/>
      <c r="Q5741" s="1"/>
      <c r="R5741" s="1"/>
      <c r="S5741" s="1"/>
      <c r="T5741" s="1"/>
      <c r="U5741" s="1"/>
      <c r="V5741" s="1"/>
      <c r="W5741" s="1"/>
      <c r="X5741" s="1"/>
      <c r="Y5741" s="1"/>
      <c r="Z5741" s="1"/>
      <c r="AA5741" s="1"/>
      <c r="AB5741" s="1"/>
    </row>
    <row r="5742" ht="50.25" customHeight="1">
      <c r="A5742" s="12">
        <v>5738.0</v>
      </c>
      <c r="B5742" s="13" t="s">
        <v>5701</v>
      </c>
      <c r="C5742" s="18" t="s">
        <v>5763</v>
      </c>
      <c r="D5742" s="1"/>
      <c r="E5742" s="1"/>
      <c r="F5742" s="1" t="str">
        <f>IFERROR(__xludf.DUMMYFUNCTION("GOOGLETRANSLATE(B5742, ""en"", ""fa"")
"),"چاپ بر حسب تقاضا (POD)")</f>
        <v>چاپ بر حسب تقاضا (POD)</v>
      </c>
      <c r="G5742" s="1" t="str">
        <f>IFERROR(__xludf.DUMMYFUNCTION("GOOGLETRANSLATE(C5742, ""en"", ""fa"")
"),"چگونه می توان طرح هایی ایجاد کرد که به طور موثر از بافت و جلوه های بصری برای افزایش جذابیت محصول در Print on Demand در Etsy استفاده کرد؟")</f>
        <v>چگونه می توان طرح هایی ایجاد کرد که به طور موثر از بافت و جلوه های بصری برای افزایش جذابیت محصول در Print on Demand در Etsy استفاده کرد؟</v>
      </c>
      <c r="H5742" s="1"/>
      <c r="I5742" s="1"/>
      <c r="J5742" s="1"/>
      <c r="K5742" s="1"/>
      <c r="L5742" s="1"/>
      <c r="M5742" s="1"/>
      <c r="N5742" s="1"/>
      <c r="O5742" s="1"/>
      <c r="P5742" s="1"/>
      <c r="Q5742" s="1"/>
      <c r="R5742" s="1"/>
      <c r="S5742" s="1"/>
      <c r="T5742" s="1"/>
      <c r="U5742" s="1"/>
      <c r="V5742" s="1"/>
      <c r="W5742" s="1"/>
      <c r="X5742" s="1"/>
      <c r="Y5742" s="1"/>
      <c r="Z5742" s="1"/>
      <c r="AA5742" s="1"/>
      <c r="AB5742" s="1"/>
    </row>
    <row r="5743" ht="50.25" customHeight="1">
      <c r="A5743" s="12">
        <v>5739.0</v>
      </c>
      <c r="B5743" s="13" t="s">
        <v>5701</v>
      </c>
      <c r="C5743" s="18" t="s">
        <v>5764</v>
      </c>
      <c r="D5743" s="1"/>
      <c r="E5743" s="1"/>
      <c r="F5743" s="1" t="str">
        <f>IFERROR(__xludf.DUMMYFUNCTION("GOOGLETRANSLATE(B5743, ""en"", ""fa"")
"),"چاپ بر حسب تقاضا (POD)")</f>
        <v>چاپ بر حسب تقاضا (POD)</v>
      </c>
      <c r="G5743" s="1" t="str">
        <f>IFERROR(__xludf.DUMMYFUNCTION("GOOGLETRANSLATE(C5743, ""en"", ""fa"")
"),"چه تکنیک هایی برای ایجاد طرح هایی وجود دارد که به راحتی قابل بومی سازی یا ترجمه برای بازارهای بین المللی در Etsy هستند؟")</f>
        <v>چه تکنیک هایی برای ایجاد طرح هایی وجود دارد که به راحتی قابل بومی سازی یا ترجمه برای بازارهای بین المللی در Etsy هستند؟</v>
      </c>
      <c r="H5743" s="1"/>
      <c r="I5743" s="1"/>
      <c r="J5743" s="1"/>
      <c r="K5743" s="1"/>
      <c r="L5743" s="1"/>
      <c r="M5743" s="1"/>
      <c r="N5743" s="1"/>
      <c r="O5743" s="1"/>
      <c r="P5743" s="1"/>
      <c r="Q5743" s="1"/>
      <c r="R5743" s="1"/>
      <c r="S5743" s="1"/>
      <c r="T5743" s="1"/>
      <c r="U5743" s="1"/>
      <c r="V5743" s="1"/>
      <c r="W5743" s="1"/>
      <c r="X5743" s="1"/>
      <c r="Y5743" s="1"/>
      <c r="Z5743" s="1"/>
      <c r="AA5743" s="1"/>
      <c r="AB5743" s="1"/>
    </row>
    <row r="5744" ht="50.25" customHeight="1">
      <c r="A5744" s="12">
        <v>5740.0</v>
      </c>
      <c r="B5744" s="13" t="s">
        <v>5701</v>
      </c>
      <c r="C5744" s="18" t="s">
        <v>5765</v>
      </c>
      <c r="D5744" s="1"/>
      <c r="E5744" s="1"/>
      <c r="F5744" s="1" t="str">
        <f>IFERROR(__xludf.DUMMYFUNCTION("GOOGLETRANSLATE(B5744, ""en"", ""fa"")
"),"چاپ بر حسب تقاضا (POD)")</f>
        <v>چاپ بر حسب تقاضا (POD)</v>
      </c>
      <c r="G5744" s="1" t="str">
        <f>IFERROR(__xludf.DUMMYFUNCTION("GOOGLETRANSLATE(C5744, ""en"", ""fa"")
"),"چگونه می‌توان طرح‌هایی را ایجاد کرد که حرفه‌ها یا علایق شغلی خاصی را در Print on Demand در Etsy ایجاد کنیم؟")</f>
        <v>چگونه می‌توان طرح‌هایی را ایجاد کرد که حرفه‌ها یا علایق شغلی خاصی را در Print on Demand در Etsy ایجاد کنیم؟</v>
      </c>
      <c r="H5744" s="1"/>
      <c r="I5744" s="1"/>
      <c r="J5744" s="1"/>
      <c r="K5744" s="1"/>
      <c r="L5744" s="1"/>
      <c r="M5744" s="1"/>
      <c r="N5744" s="1"/>
      <c r="O5744" s="1"/>
      <c r="P5744" s="1"/>
      <c r="Q5744" s="1"/>
      <c r="R5744" s="1"/>
      <c r="S5744" s="1"/>
      <c r="T5744" s="1"/>
      <c r="U5744" s="1"/>
      <c r="V5744" s="1"/>
      <c r="W5744" s="1"/>
      <c r="X5744" s="1"/>
      <c r="Y5744" s="1"/>
      <c r="Z5744" s="1"/>
      <c r="AA5744" s="1"/>
      <c r="AB5744" s="1"/>
    </row>
    <row r="5745" ht="50.25" customHeight="1">
      <c r="A5745" s="12">
        <v>5741.0</v>
      </c>
      <c r="B5745" s="13" t="s">
        <v>5701</v>
      </c>
      <c r="C5745" s="18" t="s">
        <v>5766</v>
      </c>
      <c r="D5745" s="1"/>
      <c r="E5745" s="1"/>
      <c r="F5745" s="1" t="str">
        <f>IFERROR(__xludf.DUMMYFUNCTION("GOOGLETRANSLATE(B5745, ""en"", ""fa"")
"),"چاپ بر حسب تقاضا (POD)")</f>
        <v>چاپ بر حسب تقاضا (POD)</v>
      </c>
      <c r="G5745" s="1" t="str">
        <f>IFERROR(__xludf.DUMMYFUNCTION("GOOGLETRANSLATE(C5745, ""en"", ""fa"")
"),"استراتژی‌های طراحی برای ایجاد طرح‌هایی که برای خرده فرهنگ‌ها یا جوامع خاص در Etsy جذاب هستند، چیست؟")</f>
        <v>استراتژی‌های طراحی برای ایجاد طرح‌هایی که برای خرده فرهنگ‌ها یا جوامع خاص در Etsy جذاب هستند، چیست؟</v>
      </c>
      <c r="H5745" s="1"/>
      <c r="I5745" s="1"/>
      <c r="J5745" s="1"/>
      <c r="K5745" s="1"/>
      <c r="L5745" s="1"/>
      <c r="M5745" s="1"/>
      <c r="N5745" s="1"/>
      <c r="O5745" s="1"/>
      <c r="P5745" s="1"/>
      <c r="Q5745" s="1"/>
      <c r="R5745" s="1"/>
      <c r="S5745" s="1"/>
      <c r="T5745" s="1"/>
      <c r="U5745" s="1"/>
      <c r="V5745" s="1"/>
      <c r="W5745" s="1"/>
      <c r="X5745" s="1"/>
      <c r="Y5745" s="1"/>
      <c r="Z5745" s="1"/>
      <c r="AA5745" s="1"/>
      <c r="AB5745" s="1"/>
    </row>
    <row r="5746" ht="50.25" customHeight="1">
      <c r="A5746" s="12">
        <v>5742.0</v>
      </c>
      <c r="B5746" s="13" t="s">
        <v>5701</v>
      </c>
      <c r="C5746" s="18" t="s">
        <v>5767</v>
      </c>
      <c r="D5746" s="1"/>
      <c r="E5746" s="1"/>
      <c r="F5746" s="1" t="str">
        <f>IFERROR(__xludf.DUMMYFUNCTION("GOOGLETRANSLATE(B5746, ""en"", ""fa"")
"),"چاپ بر حسب تقاضا (POD)")</f>
        <v>چاپ بر حسب تقاضا (POD)</v>
      </c>
      <c r="G5746" s="1" t="str">
        <f>IFERROR(__xludf.DUMMYFUNCTION("GOOGLETRANSLATE(C5746, ""en"", ""fa"")
"),"چگونه می توان طرح هایی را ایجاد کرد که به طور موثر از عناصر طراحی پرطرفدار، مانند شیب یا اشکال هندسی، در محصولات چاپ بر اساس تقاضا در Etsy استفاده کنند؟")</f>
        <v>چگونه می توان طرح هایی را ایجاد کرد که به طور موثر از عناصر طراحی پرطرفدار، مانند شیب یا اشکال هندسی، در محصولات چاپ بر اساس تقاضا در Etsy استفاده کنند؟</v>
      </c>
      <c r="H5746" s="1"/>
      <c r="I5746" s="1"/>
      <c r="J5746" s="1"/>
      <c r="K5746" s="1"/>
      <c r="L5746" s="1"/>
      <c r="M5746" s="1"/>
      <c r="N5746" s="1"/>
      <c r="O5746" s="1"/>
      <c r="P5746" s="1"/>
      <c r="Q5746" s="1"/>
      <c r="R5746" s="1"/>
      <c r="S5746" s="1"/>
      <c r="T5746" s="1"/>
      <c r="U5746" s="1"/>
      <c r="V5746" s="1"/>
      <c r="W5746" s="1"/>
      <c r="X5746" s="1"/>
      <c r="Y5746" s="1"/>
      <c r="Z5746" s="1"/>
      <c r="AA5746" s="1"/>
      <c r="AB5746" s="1"/>
    </row>
    <row r="5747" ht="50.25" customHeight="1">
      <c r="A5747" s="12">
        <v>5743.0</v>
      </c>
      <c r="B5747" s="13" t="s">
        <v>5701</v>
      </c>
      <c r="C5747" s="18" t="s">
        <v>5768</v>
      </c>
      <c r="D5747" s="1"/>
      <c r="E5747" s="1"/>
      <c r="F5747" s="1" t="str">
        <f>IFERROR(__xludf.DUMMYFUNCTION("GOOGLETRANSLATE(B5747, ""en"", ""fa"")
"),"چاپ بر حسب تقاضا (POD)")</f>
        <v>چاپ بر حسب تقاضا (POD)</v>
      </c>
      <c r="G5747" s="1" t="str">
        <f>IFERROR(__xludf.DUMMYFUNCTION("GOOGLETRANSLATE(C5747, ""en"", ""fa"")
"),"ملاحظات برای ایجاد طرح هایی که به جامعه LGBTQ+ پاسخ می دهند یا از اهداف اجتماعی در Etsy حمایت می کنند چیست؟")</f>
        <v>ملاحظات برای ایجاد طرح هایی که به جامعه LGBTQ+ پاسخ می دهند یا از اهداف اجتماعی در Etsy حمایت می کنند چیست؟</v>
      </c>
      <c r="H5747" s="1"/>
      <c r="I5747" s="1"/>
      <c r="J5747" s="1"/>
      <c r="K5747" s="1"/>
      <c r="L5747" s="1"/>
      <c r="M5747" s="1"/>
      <c r="N5747" s="1"/>
      <c r="O5747" s="1"/>
      <c r="P5747" s="1"/>
      <c r="Q5747" s="1"/>
      <c r="R5747" s="1"/>
      <c r="S5747" s="1"/>
      <c r="T5747" s="1"/>
      <c r="U5747" s="1"/>
      <c r="V5747" s="1"/>
      <c r="W5747" s="1"/>
      <c r="X5747" s="1"/>
      <c r="Y5747" s="1"/>
      <c r="Z5747" s="1"/>
      <c r="AA5747" s="1"/>
      <c r="AB5747" s="1"/>
    </row>
    <row r="5748" ht="50.25" customHeight="1">
      <c r="A5748" s="12">
        <v>5744.0</v>
      </c>
      <c r="B5748" s="13" t="s">
        <v>5701</v>
      </c>
      <c r="C5748" s="18" t="s">
        <v>5769</v>
      </c>
      <c r="D5748" s="1"/>
      <c r="E5748" s="1"/>
      <c r="F5748" s="1" t="str">
        <f>IFERROR(__xludf.DUMMYFUNCTION("GOOGLETRANSLATE(B5748, ""en"", ""fa"")
"),"چاپ بر حسب تقاضا (POD)")</f>
        <v>چاپ بر حسب تقاضا (POD)</v>
      </c>
      <c r="G5748" s="1" t="str">
        <f>IFERROR(__xludf.DUMMYFUNCTION("GOOGLETRANSLATE(C5748, ""en"", ""fa"")
"),"چگونه می توان طرح هایی ایجاد کرد که به طور موثر از عناصر عکاسی یا کلاژ برای چاپ بر اساس تقاضا در Etsy استفاده می کند؟")</f>
        <v>چگونه می توان طرح هایی ایجاد کرد که به طور موثر از عناصر عکاسی یا کلاژ برای چاپ بر اساس تقاضا در Etsy استفاده می کند؟</v>
      </c>
      <c r="H5748" s="1"/>
      <c r="I5748" s="1"/>
      <c r="J5748" s="1"/>
      <c r="K5748" s="1"/>
      <c r="L5748" s="1"/>
      <c r="M5748" s="1"/>
      <c r="N5748" s="1"/>
      <c r="O5748" s="1"/>
      <c r="P5748" s="1"/>
      <c r="Q5748" s="1"/>
      <c r="R5748" s="1"/>
      <c r="S5748" s="1"/>
      <c r="T5748" s="1"/>
      <c r="U5748" s="1"/>
      <c r="V5748" s="1"/>
      <c r="W5748" s="1"/>
      <c r="X5748" s="1"/>
      <c r="Y5748" s="1"/>
      <c r="Z5748" s="1"/>
      <c r="AA5748" s="1"/>
      <c r="AB5748" s="1"/>
    </row>
    <row r="5749" ht="50.25" customHeight="1">
      <c r="A5749" s="12">
        <v>5745.0</v>
      </c>
      <c r="B5749" s="13" t="s">
        <v>5701</v>
      </c>
      <c r="C5749" s="18" t="s">
        <v>5770</v>
      </c>
      <c r="D5749" s="1"/>
      <c r="E5749" s="1"/>
      <c r="F5749" s="1" t="str">
        <f>IFERROR(__xludf.DUMMYFUNCTION("GOOGLETRANSLATE(B5749, ""en"", ""fa"")
"),"چاپ بر حسب تقاضا (POD)")</f>
        <v>چاپ بر حسب تقاضا (POD)</v>
      </c>
      <c r="G5749" s="1" t="str">
        <f>IFERROR(__xludf.DUMMYFUNCTION("GOOGLETRANSLATE(C5749, ""en"", ""fa"")
"),"تکنیک های طراحی برای ایجاد طرح هایی که حس ماجراجویی یا کاوش در Etsy را برمی انگیزد چیست؟")</f>
        <v>تکنیک های طراحی برای ایجاد طرح هایی که حس ماجراجویی یا کاوش در Etsy را برمی انگیزد چیست؟</v>
      </c>
      <c r="H5749" s="1"/>
      <c r="I5749" s="1"/>
      <c r="J5749" s="1"/>
      <c r="K5749" s="1"/>
      <c r="L5749" s="1"/>
      <c r="M5749" s="1"/>
      <c r="N5749" s="1"/>
      <c r="O5749" s="1"/>
      <c r="P5749" s="1"/>
      <c r="Q5749" s="1"/>
      <c r="R5749" s="1"/>
      <c r="S5749" s="1"/>
      <c r="T5749" s="1"/>
      <c r="U5749" s="1"/>
      <c r="V5749" s="1"/>
      <c r="W5749" s="1"/>
      <c r="X5749" s="1"/>
      <c r="Y5749" s="1"/>
      <c r="Z5749" s="1"/>
      <c r="AA5749" s="1"/>
      <c r="AB5749" s="1"/>
    </row>
    <row r="5750" ht="50.25" customHeight="1">
      <c r="A5750" s="12">
        <v>5746.0</v>
      </c>
      <c r="B5750" s="13" t="s">
        <v>5701</v>
      </c>
      <c r="C5750" s="18" t="s">
        <v>5771</v>
      </c>
      <c r="D5750" s="1"/>
      <c r="E5750" s="1"/>
      <c r="F5750" s="1" t="str">
        <f>IFERROR(__xludf.DUMMYFUNCTION("GOOGLETRANSLATE(B5750, ""en"", ""fa"")
"),"چاپ بر حسب تقاضا (POD)")</f>
        <v>چاپ بر حسب تقاضا (POD)</v>
      </c>
      <c r="G5750" s="1" t="str">
        <f>IFERROR(__xludf.DUMMYFUNCTION("GOOGLETRANSLATE(C5750, ""en"", ""fa"")
"),"چگونه می‌توان طرح‌هایی ایجاد کرد که با زیبایی‌شناسی طراحی خاص یا جنبش‌های هنری برای Print on Demand در Etsy هماهنگ باشند؟")</f>
        <v>چگونه می‌توان طرح‌هایی ایجاد کرد که با زیبایی‌شناسی طراحی خاص یا جنبش‌های هنری برای Print on Demand در Etsy هماهنگ باشند؟</v>
      </c>
      <c r="H5750" s="1"/>
      <c r="I5750" s="1"/>
      <c r="J5750" s="1"/>
      <c r="K5750" s="1"/>
      <c r="L5750" s="1"/>
      <c r="M5750" s="1"/>
      <c r="N5750" s="1"/>
      <c r="O5750" s="1"/>
      <c r="P5750" s="1"/>
      <c r="Q5750" s="1"/>
      <c r="R5750" s="1"/>
      <c r="S5750" s="1"/>
      <c r="T5750" s="1"/>
      <c r="U5750" s="1"/>
      <c r="V5750" s="1"/>
      <c r="W5750" s="1"/>
      <c r="X5750" s="1"/>
      <c r="Y5750" s="1"/>
      <c r="Z5750" s="1"/>
      <c r="AA5750" s="1"/>
      <c r="AB5750" s="1"/>
    </row>
    <row r="5751" ht="50.25" customHeight="1">
      <c r="A5751" s="12">
        <v>5747.0</v>
      </c>
      <c r="B5751" s="13" t="s">
        <v>5701</v>
      </c>
      <c r="C5751" s="18" t="s">
        <v>5772</v>
      </c>
      <c r="D5751" s="1"/>
      <c r="E5751" s="1"/>
      <c r="F5751" s="1" t="str">
        <f>IFERROR(__xludf.DUMMYFUNCTION("GOOGLETRANSLATE(B5751, ""en"", ""fa"")
"),"چاپ بر حسب تقاضا (POD)")</f>
        <v>چاپ بر حسب تقاضا (POD)</v>
      </c>
      <c r="G5751" s="1" t="str">
        <f>IFERROR(__xludf.DUMMYFUNCTION("GOOGLETRANSLATE(C5751, ""en"", ""fa"")
"),"ملاحظات طراحی برای ایجاد طرح هایی با هویت نام تجاری منسجم و قابل تشخیص برای فروشگاه Print on Demand در Etsy چیست؟")</f>
        <v>ملاحظات طراحی برای ایجاد طرح هایی با هویت نام تجاری منسجم و قابل تشخیص برای فروشگاه Print on Demand در Etsy چیست؟</v>
      </c>
      <c r="H5751" s="1"/>
      <c r="I5751" s="1"/>
      <c r="J5751" s="1"/>
      <c r="K5751" s="1"/>
      <c r="L5751" s="1"/>
      <c r="M5751" s="1"/>
      <c r="N5751" s="1"/>
      <c r="O5751" s="1"/>
      <c r="P5751" s="1"/>
      <c r="Q5751" s="1"/>
      <c r="R5751" s="1"/>
      <c r="S5751" s="1"/>
      <c r="T5751" s="1"/>
      <c r="U5751" s="1"/>
      <c r="V5751" s="1"/>
      <c r="W5751" s="1"/>
      <c r="X5751" s="1"/>
      <c r="Y5751" s="1"/>
      <c r="Z5751" s="1"/>
      <c r="AA5751" s="1"/>
      <c r="AB5751" s="1"/>
    </row>
    <row r="5752" ht="50.25" customHeight="1">
      <c r="A5752" s="12">
        <v>5748.0</v>
      </c>
      <c r="B5752" s="13" t="s">
        <v>5701</v>
      </c>
      <c r="C5752" s="18" t="s">
        <v>5773</v>
      </c>
      <c r="D5752" s="1"/>
      <c r="E5752" s="1"/>
      <c r="F5752" s="1" t="str">
        <f>IFERROR(__xludf.DUMMYFUNCTION("GOOGLETRANSLATE(B5752, ""en"", ""fa"")
"),"چاپ بر حسب تقاضا (POD)")</f>
        <v>چاپ بر حسب تقاضا (POD)</v>
      </c>
      <c r="G5752" s="1" t="str">
        <f>IFERROR(__xludf.DUMMYFUNCTION("GOOGLETRANSLATE(C5752, ""en"", ""fa"")
"),"چگونه می توان طرح هایی ایجاد کرد که به طور موثر مزایا یا ویژگی های یک محصول Print on Demand را در Etsy منتقل کنند؟")</f>
        <v>چگونه می توان طرح هایی ایجاد کرد که به طور موثر مزایا یا ویژگی های یک محصول Print on Demand را در Etsy منتقل کنند؟</v>
      </c>
      <c r="H5752" s="1"/>
      <c r="I5752" s="1"/>
      <c r="J5752" s="1"/>
      <c r="K5752" s="1"/>
      <c r="L5752" s="1"/>
      <c r="M5752" s="1"/>
      <c r="N5752" s="1"/>
      <c r="O5752" s="1"/>
      <c r="P5752" s="1"/>
      <c r="Q5752" s="1"/>
      <c r="R5752" s="1"/>
      <c r="S5752" s="1"/>
      <c r="T5752" s="1"/>
      <c r="U5752" s="1"/>
      <c r="V5752" s="1"/>
      <c r="W5752" s="1"/>
      <c r="X5752" s="1"/>
      <c r="Y5752" s="1"/>
      <c r="Z5752" s="1"/>
      <c r="AA5752" s="1"/>
      <c r="AB5752" s="1"/>
    </row>
    <row r="5753" ht="50.25" customHeight="1">
      <c r="A5753" s="12">
        <v>5749.0</v>
      </c>
      <c r="B5753" s="13" t="s">
        <v>5701</v>
      </c>
      <c r="C5753" s="18" t="s">
        <v>5774</v>
      </c>
      <c r="D5753" s="1"/>
      <c r="E5753" s="1"/>
      <c r="F5753" s="1" t="str">
        <f>IFERROR(__xludf.DUMMYFUNCTION("GOOGLETRANSLATE(B5753, ""en"", ""fa"")
"),"چاپ بر حسب تقاضا (POD)")</f>
        <v>چاپ بر حسب تقاضا (POD)</v>
      </c>
      <c r="G5753" s="1" t="str">
        <f>IFERROR(__xludf.DUMMYFUNCTION("GOOGLETRANSLATE(C5753, ""en"", ""fa"")
"),"تکنیک‌هایی برای گنجاندن نمادها یا ارجاعات فرهنگی در طرح‌های Print on Demand در Etsy چیست؟")</f>
        <v>تکنیک‌هایی برای گنجاندن نمادها یا ارجاعات فرهنگی در طرح‌های Print on Demand در Etsy چیست؟</v>
      </c>
      <c r="H5753" s="1"/>
      <c r="I5753" s="1"/>
      <c r="J5753" s="1"/>
      <c r="K5753" s="1"/>
      <c r="L5753" s="1"/>
      <c r="M5753" s="1"/>
      <c r="N5753" s="1"/>
      <c r="O5753" s="1"/>
      <c r="P5753" s="1"/>
      <c r="Q5753" s="1"/>
      <c r="R5753" s="1"/>
      <c r="S5753" s="1"/>
      <c r="T5753" s="1"/>
      <c r="U5753" s="1"/>
      <c r="V5753" s="1"/>
      <c r="W5753" s="1"/>
      <c r="X5753" s="1"/>
      <c r="Y5753" s="1"/>
      <c r="Z5753" s="1"/>
      <c r="AA5753" s="1"/>
      <c r="AB5753" s="1"/>
    </row>
    <row r="5754" ht="50.25" customHeight="1">
      <c r="A5754" s="12">
        <v>5750.0</v>
      </c>
      <c r="B5754" s="13" t="s">
        <v>5701</v>
      </c>
      <c r="C5754" s="18" t="s">
        <v>5775</v>
      </c>
      <c r="D5754" s="1"/>
      <c r="E5754" s="1"/>
      <c r="F5754" s="1" t="str">
        <f>IFERROR(__xludf.DUMMYFUNCTION("GOOGLETRANSLATE(B5754, ""en"", ""fa"")
"),"چاپ بر حسب تقاضا (POD)")</f>
        <v>چاپ بر حسب تقاضا (POD)</v>
      </c>
      <c r="G5754" s="1" t="str">
        <f>IFERROR(__xludf.DUMMYFUNCTION("GOOGLETRANSLATE(C5754, ""en"", ""fa"")
"),"چگونه می توان طرح هایی ایجاد کرد که برای صاحبان حیوانات خانگی یا دوستداران حیوانات خاص برای چاپ بر حسب تقاضا در Etsy تهیه شود؟")</f>
        <v>چگونه می توان طرح هایی ایجاد کرد که برای صاحبان حیوانات خانگی یا دوستداران حیوانات خاص برای چاپ بر حسب تقاضا در Etsy تهیه شود؟</v>
      </c>
      <c r="H5754" s="1"/>
      <c r="I5754" s="1"/>
      <c r="J5754" s="1"/>
      <c r="K5754" s="1"/>
      <c r="L5754" s="1"/>
      <c r="M5754" s="1"/>
      <c r="N5754" s="1"/>
      <c r="O5754" s="1"/>
      <c r="P5754" s="1"/>
      <c r="Q5754" s="1"/>
      <c r="R5754" s="1"/>
      <c r="S5754" s="1"/>
      <c r="T5754" s="1"/>
      <c r="U5754" s="1"/>
      <c r="V5754" s="1"/>
      <c r="W5754" s="1"/>
      <c r="X5754" s="1"/>
      <c r="Y5754" s="1"/>
      <c r="Z5754" s="1"/>
      <c r="AA5754" s="1"/>
      <c r="AB5754" s="1"/>
    </row>
    <row r="5755" ht="50.25" customHeight="1">
      <c r="A5755" s="12">
        <v>5751.0</v>
      </c>
      <c r="B5755" s="13" t="s">
        <v>5701</v>
      </c>
      <c r="C5755" s="18" t="s">
        <v>5776</v>
      </c>
      <c r="D5755" s="1"/>
      <c r="E5755" s="1"/>
      <c r="F5755" s="1" t="str">
        <f>IFERROR(__xludf.DUMMYFUNCTION("GOOGLETRANSLATE(B5755, ""en"", ""fa"")
"),"چاپ بر حسب تقاضا (POD)")</f>
        <v>چاپ بر حسب تقاضا (POD)</v>
      </c>
      <c r="G5755" s="1" t="str">
        <f>IFERROR(__xludf.DUMMYFUNCTION("GOOGLETRANSLATE(C5755, ""en"", ""fa"")
"),"استراتژی های طراحی برای ایجاد طرح هایی که برای طرفداران خاص یا فرهنگ گیک ها در Etsy جذاب باشد چیست؟")</f>
        <v>استراتژی های طراحی برای ایجاد طرح هایی که برای طرفداران خاص یا فرهنگ گیک ها در Etsy جذاب باشد چیست؟</v>
      </c>
      <c r="H5755" s="1"/>
      <c r="I5755" s="1"/>
      <c r="J5755" s="1"/>
      <c r="K5755" s="1"/>
      <c r="L5755" s="1"/>
      <c r="M5755" s="1"/>
      <c r="N5755" s="1"/>
      <c r="O5755" s="1"/>
      <c r="P5755" s="1"/>
      <c r="Q5755" s="1"/>
      <c r="R5755" s="1"/>
      <c r="S5755" s="1"/>
      <c r="T5755" s="1"/>
      <c r="U5755" s="1"/>
      <c r="V5755" s="1"/>
      <c r="W5755" s="1"/>
      <c r="X5755" s="1"/>
      <c r="Y5755" s="1"/>
      <c r="Z5755" s="1"/>
      <c r="AA5755" s="1"/>
      <c r="AB5755" s="1"/>
    </row>
    <row r="5756" ht="50.25" customHeight="1">
      <c r="A5756" s="12">
        <v>5752.0</v>
      </c>
      <c r="B5756" s="13" t="s">
        <v>5701</v>
      </c>
      <c r="C5756" s="18" t="s">
        <v>5777</v>
      </c>
      <c r="D5756" s="1"/>
      <c r="E5756" s="1"/>
      <c r="F5756" s="1" t="str">
        <f>IFERROR(__xludf.DUMMYFUNCTION("GOOGLETRANSLATE(B5756, ""en"", ""fa"")
"),"چاپ بر حسب تقاضا (POD)")</f>
        <v>چاپ بر حسب تقاضا (POD)</v>
      </c>
      <c r="G5756" s="1" t="str">
        <f>IFERROR(__xludf.DUMMYFUNCTION("GOOGLETRANSLATE(C5756, ""en"", ""fa"")
"),"چگونه می توان طرح هایی ایجاد کرد که به طور موثر از داستان سرایی یا عناصر روایی برای محصولات Print on Demand در Etsy استفاده کنند؟")</f>
        <v>چگونه می توان طرح هایی ایجاد کرد که به طور موثر از داستان سرایی یا عناصر روایی برای محصولات Print on Demand در Etsy استفاده کنند؟</v>
      </c>
      <c r="H5756" s="1"/>
      <c r="I5756" s="1"/>
      <c r="J5756" s="1"/>
      <c r="K5756" s="1"/>
      <c r="L5756" s="1"/>
      <c r="M5756" s="1"/>
      <c r="N5756" s="1"/>
      <c r="O5756" s="1"/>
      <c r="P5756" s="1"/>
      <c r="Q5756" s="1"/>
      <c r="R5756" s="1"/>
      <c r="S5756" s="1"/>
      <c r="T5756" s="1"/>
      <c r="U5756" s="1"/>
      <c r="V5756" s="1"/>
      <c r="W5756" s="1"/>
      <c r="X5756" s="1"/>
      <c r="Y5756" s="1"/>
      <c r="Z5756" s="1"/>
      <c r="AA5756" s="1"/>
      <c r="AB5756" s="1"/>
    </row>
    <row r="5757" ht="50.25" customHeight="1">
      <c r="A5757" s="12">
        <v>5753.0</v>
      </c>
      <c r="B5757" s="13" t="s">
        <v>5701</v>
      </c>
      <c r="C5757" s="18" t="s">
        <v>5778</v>
      </c>
      <c r="D5757" s="1"/>
      <c r="E5757" s="1"/>
      <c r="F5757" s="1" t="str">
        <f>IFERROR(__xludf.DUMMYFUNCTION("GOOGLETRANSLATE(B5757, ""en"", ""fa"")
"),"چاپ بر حسب تقاضا (POD)")</f>
        <v>چاپ بر حسب تقاضا (POD)</v>
      </c>
      <c r="G5757" s="1" t="str">
        <f>IFERROR(__xludf.DUMMYFUNCTION("GOOGLETRANSLATE(C5757, ""en"", ""fa"")
"),"ملاحظات برای طراحی طرح هایی با زیبایی شناسی قدیمی یا الهام گرفته از یکپارچهسازی با سیستمعامل در Etsy چیست؟")</f>
        <v>ملاحظات برای طراحی طرح هایی با زیبایی شناسی قدیمی یا الهام گرفته از یکپارچهسازی با سیستمعامل در Etsy چیست؟</v>
      </c>
      <c r="H5757" s="1"/>
      <c r="I5757" s="1"/>
      <c r="J5757" s="1"/>
      <c r="K5757" s="1"/>
      <c r="L5757" s="1"/>
      <c r="M5757" s="1"/>
      <c r="N5757" s="1"/>
      <c r="O5757" s="1"/>
      <c r="P5757" s="1"/>
      <c r="Q5757" s="1"/>
      <c r="R5757" s="1"/>
      <c r="S5757" s="1"/>
      <c r="T5757" s="1"/>
      <c r="U5757" s="1"/>
      <c r="V5757" s="1"/>
      <c r="W5757" s="1"/>
      <c r="X5757" s="1"/>
      <c r="Y5757" s="1"/>
      <c r="Z5757" s="1"/>
      <c r="AA5757" s="1"/>
      <c r="AB5757" s="1"/>
    </row>
    <row r="5758" ht="50.25" customHeight="1">
      <c r="A5758" s="12">
        <v>5754.0</v>
      </c>
      <c r="B5758" s="13" t="s">
        <v>5701</v>
      </c>
      <c r="C5758" s="18" t="s">
        <v>5779</v>
      </c>
      <c r="D5758" s="1"/>
      <c r="E5758" s="1"/>
      <c r="F5758" s="1" t="str">
        <f>IFERROR(__xludf.DUMMYFUNCTION("GOOGLETRANSLATE(B5758, ""en"", ""fa"")
"),"چاپ بر حسب تقاضا (POD)")</f>
        <v>چاپ بر حسب تقاضا (POD)</v>
      </c>
      <c r="G5758" s="1" t="str">
        <f>IFERROR(__xludf.DUMMYFUNCTION("GOOGLETRANSLATE(C5758, ""en"", ""fa"")
"),"چگونه می‌توان طرح‌هایی ایجاد کرد که سرگرمی‌ها یا علایق خاص در زمینه ورزش و تناسب اندام را در Print on Demand در Etsy ایجاد کنیم؟")</f>
        <v>چگونه می‌توان طرح‌هایی ایجاد کرد که سرگرمی‌ها یا علایق خاص در زمینه ورزش و تناسب اندام را در Print on Demand در Etsy ایجاد کنیم؟</v>
      </c>
      <c r="H5758" s="1"/>
      <c r="I5758" s="1"/>
      <c r="J5758" s="1"/>
      <c r="K5758" s="1"/>
      <c r="L5758" s="1"/>
      <c r="M5758" s="1"/>
      <c r="N5758" s="1"/>
      <c r="O5758" s="1"/>
      <c r="P5758" s="1"/>
      <c r="Q5758" s="1"/>
      <c r="R5758" s="1"/>
      <c r="S5758" s="1"/>
      <c r="T5758" s="1"/>
      <c r="U5758" s="1"/>
      <c r="V5758" s="1"/>
      <c r="W5758" s="1"/>
      <c r="X5758" s="1"/>
      <c r="Y5758" s="1"/>
      <c r="Z5758" s="1"/>
      <c r="AA5758" s="1"/>
      <c r="AB5758" s="1"/>
    </row>
    <row r="5759" ht="50.25" customHeight="1">
      <c r="A5759" s="12">
        <v>5755.0</v>
      </c>
      <c r="B5759" s="13" t="s">
        <v>5701</v>
      </c>
      <c r="C5759" s="18" t="s">
        <v>5780</v>
      </c>
      <c r="D5759" s="1"/>
      <c r="E5759" s="1"/>
      <c r="F5759" s="1" t="str">
        <f>IFERROR(__xludf.DUMMYFUNCTION("GOOGLETRANSLATE(B5759, ""en"", ""fa"")
"),"چاپ بر حسب تقاضا (POD)")</f>
        <v>چاپ بر حسب تقاضا (POD)</v>
      </c>
      <c r="G5759" s="1" t="str">
        <f>IFERROR(__xludf.DUMMYFUNCTION("GOOGLETRANSLATE(C5759, ""en"", ""fa"")
"),"تکنیک‌های ایجاد طرح‌هایی که می‌توانند به راحتی برای زبان‌ها یا زمینه‌های فرهنگی مختلف در Etsy تطبیق داده شوند، چیست؟")</f>
        <v>تکنیک‌های ایجاد طرح‌هایی که می‌توانند به راحتی برای زبان‌ها یا زمینه‌های فرهنگی مختلف در Etsy تطبیق داده شوند، چیست؟</v>
      </c>
      <c r="H5759" s="1"/>
      <c r="I5759" s="1"/>
      <c r="J5759" s="1"/>
      <c r="K5759" s="1"/>
      <c r="L5759" s="1"/>
      <c r="M5759" s="1"/>
      <c r="N5759" s="1"/>
      <c r="O5759" s="1"/>
      <c r="P5759" s="1"/>
      <c r="Q5759" s="1"/>
      <c r="R5759" s="1"/>
      <c r="S5759" s="1"/>
      <c r="T5759" s="1"/>
      <c r="U5759" s="1"/>
      <c r="V5759" s="1"/>
      <c r="W5759" s="1"/>
      <c r="X5759" s="1"/>
      <c r="Y5759" s="1"/>
      <c r="Z5759" s="1"/>
      <c r="AA5759" s="1"/>
      <c r="AB5759" s="1"/>
    </row>
    <row r="5760" ht="50.25" customHeight="1">
      <c r="A5760" s="12">
        <v>5756.0</v>
      </c>
      <c r="B5760" s="13" t="s">
        <v>5701</v>
      </c>
      <c r="C5760" s="18" t="s">
        <v>5781</v>
      </c>
      <c r="D5760" s="1"/>
      <c r="E5760" s="1"/>
      <c r="F5760" s="1" t="str">
        <f>IFERROR(__xludf.DUMMYFUNCTION("GOOGLETRANSLATE(B5760, ""en"", ""fa"")
"),"چاپ بر حسب تقاضا (POD)")</f>
        <v>چاپ بر حسب تقاضا (POD)</v>
      </c>
      <c r="G5760" s="1" t="str">
        <f>IFERROR(__xludf.DUMMYFUNCTION("GOOGLETRANSLATE(C5760, ""en"", ""fa"")
"),"چگونه می توان طرح هایی ایجاد کرد که به طور موثر از نقوش یا تم های فصلی برای محصولات Print on Demand در Etsy استفاده کنند؟")</f>
        <v>چگونه می توان طرح هایی ایجاد کرد که به طور موثر از نقوش یا تم های فصلی برای محصولات Print on Demand در Etsy استفاده کنند؟</v>
      </c>
      <c r="H5760" s="1"/>
      <c r="I5760" s="1"/>
      <c r="J5760" s="1"/>
      <c r="K5760" s="1"/>
      <c r="L5760" s="1"/>
      <c r="M5760" s="1"/>
      <c r="N5760" s="1"/>
      <c r="O5760" s="1"/>
      <c r="P5760" s="1"/>
      <c r="Q5760" s="1"/>
      <c r="R5760" s="1"/>
      <c r="S5760" s="1"/>
      <c r="T5760" s="1"/>
      <c r="U5760" s="1"/>
      <c r="V5760" s="1"/>
      <c r="W5760" s="1"/>
      <c r="X5760" s="1"/>
      <c r="Y5760" s="1"/>
      <c r="Z5760" s="1"/>
      <c r="AA5760" s="1"/>
      <c r="AB5760" s="1"/>
    </row>
    <row r="5761" ht="50.25" customHeight="1">
      <c r="A5761" s="12">
        <v>5757.0</v>
      </c>
      <c r="B5761" s="13" t="s">
        <v>5701</v>
      </c>
      <c r="C5761" s="18" t="s">
        <v>5782</v>
      </c>
      <c r="D5761" s="1"/>
      <c r="E5761" s="1"/>
      <c r="F5761" s="1" t="str">
        <f>IFERROR(__xludf.DUMMYFUNCTION("GOOGLETRANSLATE(B5761, ""en"", ""fa"")
"),"چاپ بر حسب تقاضا (POD)")</f>
        <v>چاپ بر حسب تقاضا (POD)</v>
      </c>
      <c r="G5761" s="1" t="str">
        <f>IFERROR(__xludf.DUMMYFUNCTION("GOOGLETRANSLATE(C5761, ""en"", ""fa"")
"),"ملاحظات طراحی برای ایجاد طرح هایی که می توان به راحتی برای انواع مختلف محصول در Etsy مقیاس یا تغییر اندازه داد چیست؟")</f>
        <v>ملاحظات طراحی برای ایجاد طرح هایی که می توان به راحتی برای انواع مختلف محصول در Etsy مقیاس یا تغییر اندازه داد چیست؟</v>
      </c>
      <c r="H5761" s="1"/>
      <c r="I5761" s="1"/>
      <c r="J5761" s="1"/>
      <c r="K5761" s="1"/>
      <c r="L5761" s="1"/>
      <c r="M5761" s="1"/>
      <c r="N5761" s="1"/>
      <c r="O5761" s="1"/>
      <c r="P5761" s="1"/>
      <c r="Q5761" s="1"/>
      <c r="R5761" s="1"/>
      <c r="S5761" s="1"/>
      <c r="T5761" s="1"/>
      <c r="U5761" s="1"/>
      <c r="V5761" s="1"/>
      <c r="W5761" s="1"/>
      <c r="X5761" s="1"/>
      <c r="Y5761" s="1"/>
      <c r="Z5761" s="1"/>
      <c r="AA5761" s="1"/>
      <c r="AB5761" s="1"/>
    </row>
    <row r="5762" ht="50.25" customHeight="1">
      <c r="A5762" s="12">
        <v>5758.0</v>
      </c>
      <c r="B5762" s="13" t="s">
        <v>5701</v>
      </c>
      <c r="C5762" s="18" t="s">
        <v>5783</v>
      </c>
      <c r="D5762" s="1"/>
      <c r="E5762" s="1"/>
      <c r="F5762" s="1" t="str">
        <f>IFERROR(__xludf.DUMMYFUNCTION("GOOGLETRANSLATE(B5762, ""en"", ""fa"")
"),"چاپ بر حسب تقاضا (POD)")</f>
        <v>چاپ بر حسب تقاضا (POD)</v>
      </c>
      <c r="G5762" s="1" t="str">
        <f>IFERROR(__xludf.DUMMYFUNCTION("GOOGLETRANSLATE(C5762, ""en"", ""fa"")
"),"چگونه می‌توان طرح‌هایی ایجاد کرد که عناصر طبیعت یا پایداری محیطی را برای چاپ بر حسب تقاضا در Etsy در خود جای دهد؟")</f>
        <v>چگونه می‌توان طرح‌هایی ایجاد کرد که عناصر طبیعت یا پایداری محیطی را برای چاپ بر حسب تقاضا در Etsy در خود جای دهد؟</v>
      </c>
      <c r="H5762" s="1"/>
      <c r="I5762" s="1"/>
      <c r="J5762" s="1"/>
      <c r="K5762" s="1"/>
      <c r="L5762" s="1"/>
      <c r="M5762" s="1"/>
      <c r="N5762" s="1"/>
      <c r="O5762" s="1"/>
      <c r="P5762" s="1"/>
      <c r="Q5762" s="1"/>
      <c r="R5762" s="1"/>
      <c r="S5762" s="1"/>
      <c r="T5762" s="1"/>
      <c r="U5762" s="1"/>
      <c r="V5762" s="1"/>
      <c r="W5762" s="1"/>
      <c r="X5762" s="1"/>
      <c r="Y5762" s="1"/>
      <c r="Z5762" s="1"/>
      <c r="AA5762" s="1"/>
      <c r="AB5762" s="1"/>
    </row>
    <row r="5763" ht="50.25" customHeight="1">
      <c r="A5763" s="12">
        <v>5759.0</v>
      </c>
      <c r="B5763" s="13" t="s">
        <v>5701</v>
      </c>
      <c r="C5763" s="18" t="s">
        <v>5784</v>
      </c>
      <c r="D5763" s="1"/>
      <c r="E5763" s="1"/>
      <c r="F5763" s="1" t="str">
        <f>IFERROR(__xludf.DUMMYFUNCTION("GOOGLETRANSLATE(B5763, ""en"", ""fa"")
"),"چاپ بر حسب تقاضا (POD)")</f>
        <v>چاپ بر حسب تقاضا (POD)</v>
      </c>
      <c r="G5763" s="1" t="str">
        <f>IFERROR(__xludf.DUMMYFUNCTION("GOOGLETRANSLATE(C5763, ""en"", ""fa"")
"),"تکنیک‌های ایجاد طرح‌هایی که حس نوستالژی یا ارزش احساسی را در Etsy برانگیزند چیست؟")</f>
        <v>تکنیک‌های ایجاد طرح‌هایی که حس نوستالژی یا ارزش احساسی را در Etsy برانگیزند چیست؟</v>
      </c>
      <c r="H5763" s="1"/>
      <c r="I5763" s="1"/>
      <c r="J5763" s="1"/>
      <c r="K5763" s="1"/>
      <c r="L5763" s="1"/>
      <c r="M5763" s="1"/>
      <c r="N5763" s="1"/>
      <c r="O5763" s="1"/>
      <c r="P5763" s="1"/>
      <c r="Q5763" s="1"/>
      <c r="R5763" s="1"/>
      <c r="S5763" s="1"/>
      <c r="T5763" s="1"/>
      <c r="U5763" s="1"/>
      <c r="V5763" s="1"/>
      <c r="W5763" s="1"/>
      <c r="X5763" s="1"/>
      <c r="Y5763" s="1"/>
      <c r="Z5763" s="1"/>
      <c r="AA5763" s="1"/>
      <c r="AB5763" s="1"/>
    </row>
    <row r="5764" ht="50.25" customHeight="1">
      <c r="A5764" s="12">
        <v>5760.0</v>
      </c>
      <c r="B5764" s="13" t="s">
        <v>5701</v>
      </c>
      <c r="C5764" s="18" t="s">
        <v>5785</v>
      </c>
      <c r="D5764" s="1"/>
      <c r="E5764" s="1"/>
      <c r="F5764" s="1" t="str">
        <f>IFERROR(__xludf.DUMMYFUNCTION("GOOGLETRANSLATE(B5764, ""en"", ""fa"")
"),"چاپ بر حسب تقاضا (POD)")</f>
        <v>چاپ بر حسب تقاضا (POD)</v>
      </c>
      <c r="G5764" s="1" t="str">
        <f>IFERROR(__xludf.DUMMYFUNCTION("GOOGLETRANSLATE(C5764, ""en"", ""fa"")
"),"چگونه می‌توان طرح‌هایی ایجاد کرد که اولویت‌های غذایی خاص یا علایق مرتبط با غذا را برای چاپ بر اساس تقاضا در Etsy برآورده می‌کنند؟")</f>
        <v>چگونه می‌توان طرح‌هایی ایجاد کرد که اولویت‌های غذایی خاص یا علایق مرتبط با غذا را برای چاپ بر اساس تقاضا در Etsy برآورده می‌کنند؟</v>
      </c>
      <c r="H5764" s="1"/>
      <c r="I5764" s="1"/>
      <c r="J5764" s="1"/>
      <c r="K5764" s="1"/>
      <c r="L5764" s="1"/>
      <c r="M5764" s="1"/>
      <c r="N5764" s="1"/>
      <c r="O5764" s="1"/>
      <c r="P5764" s="1"/>
      <c r="Q5764" s="1"/>
      <c r="R5764" s="1"/>
      <c r="S5764" s="1"/>
      <c r="T5764" s="1"/>
      <c r="U5764" s="1"/>
      <c r="V5764" s="1"/>
      <c r="W5764" s="1"/>
      <c r="X5764" s="1"/>
      <c r="Y5764" s="1"/>
      <c r="Z5764" s="1"/>
      <c r="AA5764" s="1"/>
      <c r="AB5764" s="1"/>
    </row>
    <row r="5765" ht="50.25" customHeight="1">
      <c r="A5765" s="12">
        <v>5761.0</v>
      </c>
      <c r="B5765" s="13" t="s">
        <v>5701</v>
      </c>
      <c r="C5765" s="18" t="s">
        <v>5786</v>
      </c>
      <c r="D5765" s="1"/>
      <c r="E5765" s="1"/>
      <c r="F5765" s="1" t="str">
        <f>IFERROR(__xludf.DUMMYFUNCTION("GOOGLETRANSLATE(B5765, ""en"", ""fa"")
"),"چاپ بر حسب تقاضا (POD)")</f>
        <v>چاپ بر حسب تقاضا (POD)</v>
      </c>
      <c r="G5765" s="1" t="str">
        <f>IFERROR(__xludf.DUMMYFUNCTION("GOOGLETRANSLATE(C5765, ""en"", ""fa"")
"),"استراتژی‌های طراحی برای ایجاد طرح‌هایی که به شیوه‌های خاص معنوی یا ذهن‌آگاهی در Etsy جذاب هستند چیست؟")</f>
        <v>استراتژی‌های طراحی برای ایجاد طرح‌هایی که به شیوه‌های خاص معنوی یا ذهن‌آگاهی در Etsy جذاب هستند چیست؟</v>
      </c>
      <c r="H5765" s="1"/>
      <c r="I5765" s="1"/>
      <c r="J5765" s="1"/>
      <c r="K5765" s="1"/>
      <c r="L5765" s="1"/>
      <c r="M5765" s="1"/>
      <c r="N5765" s="1"/>
      <c r="O5765" s="1"/>
      <c r="P5765" s="1"/>
      <c r="Q5765" s="1"/>
      <c r="R5765" s="1"/>
      <c r="S5765" s="1"/>
      <c r="T5765" s="1"/>
      <c r="U5765" s="1"/>
      <c r="V5765" s="1"/>
      <c r="W5765" s="1"/>
      <c r="X5765" s="1"/>
      <c r="Y5765" s="1"/>
      <c r="Z5765" s="1"/>
      <c r="AA5765" s="1"/>
      <c r="AB5765" s="1"/>
    </row>
    <row r="5766" ht="50.25" customHeight="1">
      <c r="A5766" s="12">
        <v>5762.0</v>
      </c>
      <c r="B5766" s="13" t="s">
        <v>5701</v>
      </c>
      <c r="C5766" s="18" t="s">
        <v>5787</v>
      </c>
      <c r="D5766" s="1"/>
      <c r="E5766" s="1"/>
      <c r="F5766" s="1" t="str">
        <f>IFERROR(__xludf.DUMMYFUNCTION("GOOGLETRANSLATE(B5766, ""en"", ""fa"")
"),"چاپ بر حسب تقاضا (POD)")</f>
        <v>چاپ بر حسب تقاضا (POD)</v>
      </c>
      <c r="G5766" s="1" t="str">
        <f>IFERROR(__xludf.DUMMYFUNCTION("GOOGLETRANSLATE(C5766, ""en"", ""fa"")
"),"چگونه می توان طرح هایی ایجاد کرد که به طور موثر از تفاسیر انتزاعی یا هنری برای محصولات Print on Demand در Etsy استفاده کنند؟")</f>
        <v>چگونه می توان طرح هایی ایجاد کرد که به طور موثر از تفاسیر انتزاعی یا هنری برای محصولات Print on Demand در Etsy استفاده کنند؟</v>
      </c>
      <c r="H5766" s="1"/>
      <c r="I5766" s="1"/>
      <c r="J5766" s="1"/>
      <c r="K5766" s="1"/>
      <c r="L5766" s="1"/>
      <c r="M5766" s="1"/>
      <c r="N5766" s="1"/>
      <c r="O5766" s="1"/>
      <c r="P5766" s="1"/>
      <c r="Q5766" s="1"/>
      <c r="R5766" s="1"/>
      <c r="S5766" s="1"/>
      <c r="T5766" s="1"/>
      <c r="U5766" s="1"/>
      <c r="V5766" s="1"/>
      <c r="W5766" s="1"/>
      <c r="X5766" s="1"/>
      <c r="Y5766" s="1"/>
      <c r="Z5766" s="1"/>
      <c r="AA5766" s="1"/>
      <c r="AB5766" s="1"/>
    </row>
    <row r="5767" ht="50.25" customHeight="1">
      <c r="A5767" s="12">
        <v>5763.0</v>
      </c>
      <c r="B5767" s="13" t="s">
        <v>5701</v>
      </c>
      <c r="C5767" s="18" t="s">
        <v>5788</v>
      </c>
      <c r="D5767" s="1"/>
      <c r="E5767" s="1"/>
      <c r="F5767" s="1" t="str">
        <f>IFERROR(__xludf.DUMMYFUNCTION("GOOGLETRANSLATE(B5767, ""en"", ""fa"")
"),"چاپ بر حسب تقاضا (POD)")</f>
        <v>چاپ بر حسب تقاضا (POD)</v>
      </c>
      <c r="G5767" s="1" t="str">
        <f>IFERROR(__xludf.DUMMYFUNCTION("GOOGLETRANSLATE(C5767, ""en"", ""fa"")
"),"ملاحظات برای طراحی طرح هایی با موضوع آینده نگر یا تکنولوژیک در Etsy چیست؟")</f>
        <v>ملاحظات برای طراحی طرح هایی با موضوع آینده نگر یا تکنولوژیک در Etsy چیست؟</v>
      </c>
      <c r="H5767" s="1"/>
      <c r="I5767" s="1"/>
      <c r="J5767" s="1"/>
      <c r="K5767" s="1"/>
      <c r="L5767" s="1"/>
      <c r="M5767" s="1"/>
      <c r="N5767" s="1"/>
      <c r="O5767" s="1"/>
      <c r="P5767" s="1"/>
      <c r="Q5767" s="1"/>
      <c r="R5767" s="1"/>
      <c r="S5767" s="1"/>
      <c r="T5767" s="1"/>
      <c r="U5767" s="1"/>
      <c r="V5767" s="1"/>
      <c r="W5767" s="1"/>
      <c r="X5767" s="1"/>
      <c r="Y5767" s="1"/>
      <c r="Z5767" s="1"/>
      <c r="AA5767" s="1"/>
      <c r="AB5767" s="1"/>
    </row>
    <row r="5768" ht="50.25" customHeight="1">
      <c r="A5768" s="12">
        <v>5764.0</v>
      </c>
      <c r="B5768" s="13" t="s">
        <v>5701</v>
      </c>
      <c r="C5768" s="18" t="s">
        <v>5789</v>
      </c>
      <c r="D5768" s="1"/>
      <c r="E5768" s="1"/>
      <c r="F5768" s="1" t="str">
        <f>IFERROR(__xludf.DUMMYFUNCTION("GOOGLETRANSLATE(B5768, ""en"", ""fa"")
"),"چاپ بر حسب تقاضا (POD)")</f>
        <v>چاپ بر حسب تقاضا (POD)</v>
      </c>
      <c r="G5768" s="1" t="str">
        <f>IFERROR(__xludf.DUMMYFUNCTION("GOOGLETRANSLATE(C5768, ""en"", ""fa"")
"),"چگونه می‌توان طرح‌هایی ایجاد کرد که ژانرهای خاص موسیقی یا علایق موسیقی را برای Print on Demand در Etsy ایجاد کنند؟")</f>
        <v>چگونه می‌توان طرح‌هایی ایجاد کرد که ژانرهای خاص موسیقی یا علایق موسیقی را برای Print on Demand در Etsy ایجاد کنند؟</v>
      </c>
      <c r="H5768" s="1"/>
      <c r="I5768" s="1"/>
      <c r="J5768" s="1"/>
      <c r="K5768" s="1"/>
      <c r="L5768" s="1"/>
      <c r="M5768" s="1"/>
      <c r="N5768" s="1"/>
      <c r="O5768" s="1"/>
      <c r="P5768" s="1"/>
      <c r="Q5768" s="1"/>
      <c r="R5768" s="1"/>
      <c r="S5768" s="1"/>
      <c r="T5768" s="1"/>
      <c r="U5768" s="1"/>
      <c r="V5768" s="1"/>
      <c r="W5768" s="1"/>
      <c r="X5768" s="1"/>
      <c r="Y5768" s="1"/>
      <c r="Z5768" s="1"/>
      <c r="AA5768" s="1"/>
      <c r="AB5768" s="1"/>
    </row>
    <row r="5769" ht="50.25" customHeight="1">
      <c r="A5769" s="12">
        <v>5765.0</v>
      </c>
      <c r="B5769" s="13" t="s">
        <v>5701</v>
      </c>
      <c r="C5769" s="18" t="s">
        <v>5790</v>
      </c>
      <c r="D5769" s="1"/>
      <c r="E5769" s="1"/>
      <c r="F5769" s="1" t="str">
        <f>IFERROR(__xludf.DUMMYFUNCTION("GOOGLETRANSLATE(B5769, ""en"", ""fa"")
"),"چاپ بر حسب تقاضا (POD)")</f>
        <v>چاپ بر حسب تقاضا (POD)</v>
      </c>
      <c r="G5769" s="1" t="str">
        <f>IFERROR(__xludf.DUMMYFUNCTION("GOOGLETRANSLATE(C5769, ""en"", ""fa"")
"),"تکنیک های طراحی برای ایجاد طرح هایی که حس آرامش یا آرامش را در Etsy القا می کنند چیست؟")</f>
        <v>تکنیک های طراحی برای ایجاد طرح هایی که حس آرامش یا آرامش را در Etsy القا می کنند چیست؟</v>
      </c>
      <c r="H5769" s="1"/>
      <c r="I5769" s="1"/>
      <c r="J5769" s="1"/>
      <c r="K5769" s="1"/>
      <c r="L5769" s="1"/>
      <c r="M5769" s="1"/>
      <c r="N5769" s="1"/>
      <c r="O5769" s="1"/>
      <c r="P5769" s="1"/>
      <c r="Q5769" s="1"/>
      <c r="R5769" s="1"/>
      <c r="S5769" s="1"/>
      <c r="T5769" s="1"/>
      <c r="U5769" s="1"/>
      <c r="V5769" s="1"/>
      <c r="W5769" s="1"/>
      <c r="X5769" s="1"/>
      <c r="Y5769" s="1"/>
      <c r="Z5769" s="1"/>
      <c r="AA5769" s="1"/>
      <c r="AB5769" s="1"/>
    </row>
    <row r="5770" ht="50.25" customHeight="1">
      <c r="A5770" s="12">
        <v>5766.0</v>
      </c>
      <c r="B5770" s="13" t="s">
        <v>5701</v>
      </c>
      <c r="C5770" s="18" t="s">
        <v>5791</v>
      </c>
      <c r="D5770" s="1"/>
      <c r="E5770" s="1"/>
      <c r="F5770" s="1" t="str">
        <f>IFERROR(__xludf.DUMMYFUNCTION("GOOGLETRANSLATE(B5770, ""en"", ""fa"")
"),"چاپ بر حسب تقاضا (POD)")</f>
        <v>چاپ بر حسب تقاضا (POD)</v>
      </c>
      <c r="G5770" s="1" t="str">
        <f>IFERROR(__xludf.DUMMYFUNCTION("GOOGLETRANSLATE(C5770, ""en"", ""fa"")
"),"چگونه می توان طرح هایی ایجاد کرد که به طور موثر از الگوها یا موتیف های فرهنگی برای محصولات Print on Demand در Etsy استفاده کنند؟")</f>
        <v>چگونه می توان طرح هایی ایجاد کرد که به طور موثر از الگوها یا موتیف های فرهنگی برای محصولات Print on Demand در Etsy استفاده کنند؟</v>
      </c>
      <c r="H5770" s="1"/>
      <c r="I5770" s="1"/>
      <c r="J5770" s="1"/>
      <c r="K5770" s="1"/>
      <c r="L5770" s="1"/>
      <c r="M5770" s="1"/>
      <c r="N5770" s="1"/>
      <c r="O5770" s="1"/>
      <c r="P5770" s="1"/>
      <c r="Q5770" s="1"/>
      <c r="R5770" s="1"/>
      <c r="S5770" s="1"/>
      <c r="T5770" s="1"/>
      <c r="U5770" s="1"/>
      <c r="V5770" s="1"/>
      <c r="W5770" s="1"/>
      <c r="X5770" s="1"/>
      <c r="Y5770" s="1"/>
      <c r="Z5770" s="1"/>
      <c r="AA5770" s="1"/>
      <c r="AB5770" s="1"/>
    </row>
    <row r="5771" ht="50.25" customHeight="1">
      <c r="A5771" s="12">
        <v>5767.0</v>
      </c>
      <c r="B5771" s="13" t="s">
        <v>5701</v>
      </c>
      <c r="C5771" s="18" t="s">
        <v>5792</v>
      </c>
      <c r="D5771" s="1"/>
      <c r="E5771" s="1"/>
      <c r="F5771" s="1" t="str">
        <f>IFERROR(__xludf.DUMMYFUNCTION("GOOGLETRANSLATE(B5771, ""en"", ""fa"")
"),"چاپ بر حسب تقاضا (POD)")</f>
        <v>چاپ بر حسب تقاضا (POD)</v>
      </c>
      <c r="G5771" s="1" t="str">
        <f>IFERROR(__xludf.DUMMYFUNCTION("GOOGLETRANSLATE(C5771, ""en"", ""fa"")
"),"ملاحظات طراحی برای ایجاد طرح هایی با زیبایی شناسی عجیب و غریب یا الهام گرفته از فانتزی در Etsy چیست؟")</f>
        <v>ملاحظات طراحی برای ایجاد طرح هایی با زیبایی شناسی عجیب و غریب یا الهام گرفته از فانتزی در Etsy چیست؟</v>
      </c>
      <c r="H5771" s="1"/>
      <c r="I5771" s="1"/>
      <c r="J5771" s="1"/>
      <c r="K5771" s="1"/>
      <c r="L5771" s="1"/>
      <c r="M5771" s="1"/>
      <c r="N5771" s="1"/>
      <c r="O5771" s="1"/>
      <c r="P5771" s="1"/>
      <c r="Q5771" s="1"/>
      <c r="R5771" s="1"/>
      <c r="S5771" s="1"/>
      <c r="T5771" s="1"/>
      <c r="U5771" s="1"/>
      <c r="V5771" s="1"/>
      <c r="W5771" s="1"/>
      <c r="X5771" s="1"/>
      <c r="Y5771" s="1"/>
      <c r="Z5771" s="1"/>
      <c r="AA5771" s="1"/>
      <c r="AB5771" s="1"/>
    </row>
    <row r="5772" ht="50.25" customHeight="1">
      <c r="A5772" s="12">
        <v>5768.0</v>
      </c>
      <c r="B5772" s="13" t="s">
        <v>5701</v>
      </c>
      <c r="C5772" s="18" t="s">
        <v>5793</v>
      </c>
      <c r="D5772" s="1"/>
      <c r="E5772" s="1"/>
      <c r="F5772" s="1" t="str">
        <f>IFERROR(__xludf.DUMMYFUNCTION("GOOGLETRANSLATE(B5772, ""en"", ""fa"")
"),"چاپ بر حسب تقاضا (POD)")</f>
        <v>چاپ بر حسب تقاضا (POD)</v>
      </c>
      <c r="G5772" s="1" t="str">
        <f>IFERROR(__xludf.DUMMYFUNCTION("GOOGLETRANSLATE(C5772, ""en"", ""fa"")
"),"چگونه می‌توان طرح‌هایی ایجاد کرد که مناسب جشن‌ها یا تعطیلات فرهنگی خاص برای چاپ بر اساس تقاضا در Etsy باشد؟")</f>
        <v>چگونه می‌توان طرح‌هایی ایجاد کرد که مناسب جشن‌ها یا تعطیلات فرهنگی خاص برای چاپ بر اساس تقاضا در Etsy باشد؟</v>
      </c>
      <c r="H5772" s="1"/>
      <c r="I5772" s="1"/>
      <c r="J5772" s="1"/>
      <c r="K5772" s="1"/>
      <c r="L5772" s="1"/>
      <c r="M5772" s="1"/>
      <c r="N5772" s="1"/>
      <c r="O5772" s="1"/>
      <c r="P5772" s="1"/>
      <c r="Q5772" s="1"/>
      <c r="R5772" s="1"/>
      <c r="S5772" s="1"/>
      <c r="T5772" s="1"/>
      <c r="U5772" s="1"/>
      <c r="V5772" s="1"/>
      <c r="W5772" s="1"/>
      <c r="X5772" s="1"/>
      <c r="Y5772" s="1"/>
      <c r="Z5772" s="1"/>
      <c r="AA5772" s="1"/>
      <c r="AB5772" s="1"/>
    </row>
    <row r="5773" ht="50.25" customHeight="1">
      <c r="A5773" s="12">
        <v>5769.0</v>
      </c>
      <c r="B5773" s="13" t="s">
        <v>5701</v>
      </c>
      <c r="C5773" s="18" t="s">
        <v>5794</v>
      </c>
      <c r="D5773" s="1"/>
      <c r="E5773" s="1"/>
      <c r="F5773" s="1" t="str">
        <f>IFERROR(__xludf.DUMMYFUNCTION("GOOGLETRANSLATE(B5773, ""en"", ""fa"")
"),"چاپ بر حسب تقاضا (POD)")</f>
        <v>چاپ بر حسب تقاضا (POD)</v>
      </c>
      <c r="G5773" s="1" t="str">
        <f>IFERROR(__xludf.DUMMYFUNCTION("GOOGLETRANSLATE(C5773, ""en"", ""fa"")
"),"چگونه بخش‌ها و دسته‌های فروشگاه خود را به صورت استراتژیک سازماندهی کنیم تا ناوبری آسان و تجربه مشتری بهبود یابد؟")</f>
        <v>چگونه بخش‌ها و دسته‌های فروشگاه خود را به صورت استراتژیک سازماندهی کنیم تا ناوبری آسان و تجربه مشتری بهبود یابد؟</v>
      </c>
      <c r="H5773" s="1"/>
      <c r="I5773" s="1"/>
      <c r="J5773" s="1"/>
      <c r="K5773" s="1"/>
      <c r="L5773" s="1"/>
      <c r="M5773" s="1"/>
      <c r="N5773" s="1"/>
      <c r="O5773" s="1"/>
      <c r="P5773" s="1"/>
      <c r="Q5773" s="1"/>
      <c r="R5773" s="1"/>
      <c r="S5773" s="1"/>
      <c r="T5773" s="1"/>
      <c r="U5773" s="1"/>
      <c r="V5773" s="1"/>
      <c r="W5773" s="1"/>
      <c r="X5773" s="1"/>
      <c r="Y5773" s="1"/>
      <c r="Z5773" s="1"/>
      <c r="AA5773" s="1"/>
      <c r="AB5773" s="1"/>
    </row>
    <row r="5774" ht="50.25" customHeight="1">
      <c r="A5774" s="12">
        <v>5770.0</v>
      </c>
      <c r="B5774" s="13" t="s">
        <v>5701</v>
      </c>
      <c r="C5774" s="18" t="s">
        <v>5795</v>
      </c>
      <c r="D5774" s="1"/>
      <c r="E5774" s="1"/>
      <c r="F5774" s="1" t="str">
        <f>IFERROR(__xludf.DUMMYFUNCTION("GOOGLETRANSLATE(B5774, ""en"", ""fa"")
"),"چاپ بر حسب تقاضا (POD)")</f>
        <v>چاپ بر حسب تقاضا (POD)</v>
      </c>
      <c r="G5774" s="1" t="str">
        <f>IFERROR(__xludf.DUMMYFUNCTION("GOOGLETRANSLATE(C5774, ""en"", ""fa"")
"),"بهترین روش‌ها برای بهینه‌سازی برچسب‌ها و کلمات کلیدی فروشگاه Etsy شما برای بهبود قابلیت کشف چیست؟")</f>
        <v>بهترین روش‌ها برای بهینه‌سازی برچسب‌ها و کلمات کلیدی فروشگاه Etsy شما برای بهبود قابلیت کشف چیست؟</v>
      </c>
      <c r="H5774" s="1"/>
      <c r="I5774" s="1"/>
      <c r="J5774" s="1"/>
      <c r="K5774" s="1"/>
      <c r="L5774" s="1"/>
      <c r="M5774" s="1"/>
      <c r="N5774" s="1"/>
      <c r="O5774" s="1"/>
      <c r="P5774" s="1"/>
      <c r="Q5774" s="1"/>
      <c r="R5774" s="1"/>
      <c r="S5774" s="1"/>
      <c r="T5774" s="1"/>
      <c r="U5774" s="1"/>
      <c r="V5774" s="1"/>
      <c r="W5774" s="1"/>
      <c r="X5774" s="1"/>
      <c r="Y5774" s="1"/>
      <c r="Z5774" s="1"/>
      <c r="AA5774" s="1"/>
      <c r="AB5774" s="1"/>
    </row>
    <row r="5775" ht="50.25" customHeight="1">
      <c r="A5775" s="12">
        <v>5771.0</v>
      </c>
      <c r="B5775" s="13" t="s">
        <v>5701</v>
      </c>
      <c r="C5775" s="18" t="s">
        <v>5796</v>
      </c>
      <c r="D5775" s="1"/>
      <c r="E5775" s="1"/>
      <c r="F5775" s="1" t="str">
        <f>IFERROR(__xludf.DUMMYFUNCTION("GOOGLETRANSLATE(B5775, ""en"", ""fa"")
"),"چاپ بر حسب تقاضا (POD)")</f>
        <v>چاپ بر حسب تقاضا (POD)</v>
      </c>
      <c r="G5775" s="1" t="str">
        <f>IFERROR(__xludf.DUMMYFUNCTION("GOOGLETRANSLATE(C5775, ""en"", ""fa"")
"),"چگونه عناوین و توضیحات محصولات فروشگاه Etsy خود را برای رتبه بالاتر در نتایج جستجو بهینه کنیم؟")</f>
        <v>چگونه عناوین و توضیحات محصولات فروشگاه Etsy خود را برای رتبه بالاتر در نتایج جستجو بهینه کنیم؟</v>
      </c>
      <c r="H5775" s="1"/>
      <c r="I5775" s="1"/>
      <c r="J5775" s="1"/>
      <c r="K5775" s="1"/>
      <c r="L5775" s="1"/>
      <c r="M5775" s="1"/>
      <c r="N5775" s="1"/>
      <c r="O5775" s="1"/>
      <c r="P5775" s="1"/>
      <c r="Q5775" s="1"/>
      <c r="R5775" s="1"/>
      <c r="S5775" s="1"/>
      <c r="T5775" s="1"/>
      <c r="U5775" s="1"/>
      <c r="V5775" s="1"/>
      <c r="W5775" s="1"/>
      <c r="X5775" s="1"/>
      <c r="Y5775" s="1"/>
      <c r="Z5775" s="1"/>
      <c r="AA5775" s="1"/>
      <c r="AB5775" s="1"/>
    </row>
    <row r="5776" ht="50.25" customHeight="1">
      <c r="A5776" s="12">
        <v>5772.0</v>
      </c>
      <c r="B5776" s="13" t="s">
        <v>5701</v>
      </c>
      <c r="C5776" s="18" t="s">
        <v>5797</v>
      </c>
      <c r="D5776" s="1"/>
      <c r="E5776" s="1"/>
      <c r="F5776" s="1" t="str">
        <f>IFERROR(__xludf.DUMMYFUNCTION("GOOGLETRANSLATE(B5776, ""en"", ""fa"")
"),"چاپ بر حسب تقاضا (POD)")</f>
        <v>چاپ بر حسب تقاضا (POD)</v>
      </c>
      <c r="G5776" s="1" t="str">
        <f>IFERROR(__xludf.DUMMYFUNCTION("GOOGLETRANSLATE(C5776, ""en"", ""fa"")
"),"تکنیک‌هایی برای بهینه‌سازی تصاویر محصولات فروشگاه Etsy شما برای جلب توجه و جلب توجه چیست؟")</f>
        <v>تکنیک‌هایی برای بهینه‌سازی تصاویر محصولات فروشگاه Etsy شما برای جلب توجه و جلب توجه چیست؟</v>
      </c>
      <c r="H5776" s="1"/>
      <c r="I5776" s="1"/>
      <c r="J5776" s="1"/>
      <c r="K5776" s="1"/>
      <c r="L5776" s="1"/>
      <c r="M5776" s="1"/>
      <c r="N5776" s="1"/>
      <c r="O5776" s="1"/>
      <c r="P5776" s="1"/>
      <c r="Q5776" s="1"/>
      <c r="R5776" s="1"/>
      <c r="S5776" s="1"/>
      <c r="T5776" s="1"/>
      <c r="U5776" s="1"/>
      <c r="V5776" s="1"/>
      <c r="W5776" s="1"/>
      <c r="X5776" s="1"/>
      <c r="Y5776" s="1"/>
      <c r="Z5776" s="1"/>
      <c r="AA5776" s="1"/>
      <c r="AB5776" s="1"/>
    </row>
    <row r="5777" ht="50.25" customHeight="1">
      <c r="A5777" s="12">
        <v>5773.0</v>
      </c>
      <c r="B5777" s="13" t="s">
        <v>5701</v>
      </c>
      <c r="C5777" s="18" t="s">
        <v>5798</v>
      </c>
      <c r="D5777" s="1"/>
      <c r="E5777" s="1"/>
      <c r="F5777" s="1" t="str">
        <f>IFERROR(__xludf.DUMMYFUNCTION("GOOGLETRANSLATE(B5777, ""en"", ""fa"")
"),"چاپ بر حسب تقاضا (POD)")</f>
        <v>چاپ بر حسب تقاضا (POD)</v>
      </c>
      <c r="G5777" s="1" t="str">
        <f>IFERROR(__xludf.DUMMYFUNCTION("GOOGLETRANSLATE(C5777, ""en"", ""fa"")
"),"چگونه می توان از نظرات و نظرات مشتریان برای ایجاد مدرک اجتماعی و اعتماد در فروشگاه Etsy خود استفاده کرد؟")</f>
        <v>چگونه می توان از نظرات و نظرات مشتریان برای ایجاد مدرک اجتماعی و اعتماد در فروشگاه Etsy خود استفاده کرد؟</v>
      </c>
      <c r="H5777" s="1"/>
      <c r="I5777" s="1"/>
      <c r="J5777" s="1"/>
      <c r="K5777" s="1"/>
      <c r="L5777" s="1"/>
      <c r="M5777" s="1"/>
      <c r="N5777" s="1"/>
      <c r="O5777" s="1"/>
      <c r="P5777" s="1"/>
      <c r="Q5777" s="1"/>
      <c r="R5777" s="1"/>
      <c r="S5777" s="1"/>
      <c r="T5777" s="1"/>
      <c r="U5777" s="1"/>
      <c r="V5777" s="1"/>
      <c r="W5777" s="1"/>
      <c r="X5777" s="1"/>
      <c r="Y5777" s="1"/>
      <c r="Z5777" s="1"/>
      <c r="AA5777" s="1"/>
      <c r="AB5777" s="1"/>
    </row>
    <row r="5778" ht="50.25" customHeight="1">
      <c r="A5778" s="12">
        <v>5774.0</v>
      </c>
      <c r="B5778" s="13" t="s">
        <v>5701</v>
      </c>
      <c r="C5778" s="18" t="s">
        <v>5799</v>
      </c>
      <c r="D5778" s="1"/>
      <c r="E5778" s="1"/>
      <c r="F5778" s="1" t="str">
        <f>IFERROR(__xludf.DUMMYFUNCTION("GOOGLETRANSLATE(B5778, ""en"", ""fa"")
"),"چاپ بر حسب تقاضا (POD)")</f>
        <v>چاپ بر حسب تقاضا (POD)</v>
      </c>
      <c r="G5778" s="1" t="str">
        <f>IFERROR(__xludf.DUMMYFUNCTION("GOOGLETRANSLATE(C5778, ""en"", ""fa"")
"),"استراتژی‌هایی برای بهینه‌سازی خط‌مشی‌های ارسال و بازگشت فروشگاه Etsy شما برای ارائه یک تجربه مشتری یکپارچه چیست؟")</f>
        <v>استراتژی‌هایی برای بهینه‌سازی خط‌مشی‌های ارسال و بازگشت فروشگاه Etsy شما برای ارائه یک تجربه مشتری یکپارچه چیست؟</v>
      </c>
      <c r="H5778" s="1"/>
      <c r="I5778" s="1"/>
      <c r="J5778" s="1"/>
      <c r="K5778" s="1"/>
      <c r="L5778" s="1"/>
      <c r="M5778" s="1"/>
      <c r="N5778" s="1"/>
      <c r="O5778" s="1"/>
      <c r="P5778" s="1"/>
      <c r="Q5778" s="1"/>
      <c r="R5778" s="1"/>
      <c r="S5778" s="1"/>
      <c r="T5778" s="1"/>
      <c r="U5778" s="1"/>
      <c r="V5778" s="1"/>
      <c r="W5778" s="1"/>
      <c r="X5778" s="1"/>
      <c r="Y5778" s="1"/>
      <c r="Z5778" s="1"/>
      <c r="AA5778" s="1"/>
      <c r="AB5778" s="1"/>
    </row>
    <row r="5779" ht="50.25" customHeight="1">
      <c r="A5779" s="12">
        <v>5775.0</v>
      </c>
      <c r="B5779" s="13" t="s">
        <v>5701</v>
      </c>
      <c r="C5779" s="18" t="s">
        <v>5800</v>
      </c>
      <c r="D5779" s="1"/>
      <c r="E5779" s="1"/>
      <c r="F5779" s="1" t="str">
        <f>IFERROR(__xludf.DUMMYFUNCTION("GOOGLETRANSLATE(B5779, ""en"", ""fa"")
"),"چاپ بر حسب تقاضا (POD)")</f>
        <v>چاپ بر حسب تقاضا (POD)</v>
      </c>
      <c r="G5779" s="1" t="str">
        <f>IFERROR(__xludf.DUMMYFUNCTION("GOOGLETRANSLATE(C5779, ""en"", ""fa"")
"),"چگونه می توان به طور موثر از ویژگی لیست های تبلیغاتی Etsy برای افزایش دید و هدایت ترافیک هدفمند به فروشگاه خود استفاده کرد؟")</f>
        <v>چگونه می توان به طور موثر از ویژگی لیست های تبلیغاتی Etsy برای افزایش دید و هدایت ترافیک هدفمند به فروشگاه خود استفاده کرد؟</v>
      </c>
      <c r="H5779" s="1"/>
      <c r="I5779" s="1"/>
      <c r="J5779" s="1"/>
      <c r="K5779" s="1"/>
      <c r="L5779" s="1"/>
      <c r="M5779" s="1"/>
      <c r="N5779" s="1"/>
      <c r="O5779" s="1"/>
      <c r="P5779" s="1"/>
      <c r="Q5779" s="1"/>
      <c r="R5779" s="1"/>
      <c r="S5779" s="1"/>
      <c r="T5779" s="1"/>
      <c r="U5779" s="1"/>
      <c r="V5779" s="1"/>
      <c r="W5779" s="1"/>
      <c r="X5779" s="1"/>
      <c r="Y5779" s="1"/>
      <c r="Z5779" s="1"/>
      <c r="AA5779" s="1"/>
      <c r="AB5779" s="1"/>
    </row>
    <row r="5780" ht="50.25" customHeight="1">
      <c r="A5780" s="12">
        <v>5776.0</v>
      </c>
      <c r="B5780" s="13" t="s">
        <v>5701</v>
      </c>
      <c r="C5780" s="18" t="s">
        <v>5801</v>
      </c>
      <c r="D5780" s="1"/>
      <c r="E5780" s="1"/>
      <c r="F5780" s="1" t="str">
        <f>IFERROR(__xludf.DUMMYFUNCTION("GOOGLETRANSLATE(B5780, ""en"", ""fa"")
"),"چاپ بر حسب تقاضا (POD)")</f>
        <v>چاپ بر حسب تقاضا (POD)</v>
      </c>
      <c r="G5780" s="1" t="str">
        <f>IFERROR(__xludf.DUMMYFUNCTION("GOOGLETRANSLATE(C5780, ""en"", ""fa"")
"),"تکنیک های بهینه سازی استراتژی قیمت گذاری فروشگاه Etsy شما برای به حداکثر رساندن سود و رقابت چیست؟")</f>
        <v>تکنیک های بهینه سازی استراتژی قیمت گذاری فروشگاه Etsy شما برای به حداکثر رساندن سود و رقابت چیست؟</v>
      </c>
      <c r="H5780" s="1"/>
      <c r="I5780" s="1"/>
      <c r="J5780" s="1"/>
      <c r="K5780" s="1"/>
      <c r="L5780" s="1"/>
      <c r="M5780" s="1"/>
      <c r="N5780" s="1"/>
      <c r="O5780" s="1"/>
      <c r="P5780" s="1"/>
      <c r="Q5780" s="1"/>
      <c r="R5780" s="1"/>
      <c r="S5780" s="1"/>
      <c r="T5780" s="1"/>
      <c r="U5780" s="1"/>
      <c r="V5780" s="1"/>
      <c r="W5780" s="1"/>
      <c r="X5780" s="1"/>
      <c r="Y5780" s="1"/>
      <c r="Z5780" s="1"/>
      <c r="AA5780" s="1"/>
      <c r="AB5780" s="1"/>
    </row>
    <row r="5781" ht="50.25" customHeight="1">
      <c r="A5781" s="12">
        <v>5777.0</v>
      </c>
      <c r="B5781" s="13" t="s">
        <v>5701</v>
      </c>
      <c r="C5781" s="18" t="s">
        <v>5802</v>
      </c>
      <c r="D5781" s="1"/>
      <c r="E5781" s="1"/>
      <c r="F5781" s="1" t="str">
        <f>IFERROR(__xludf.DUMMYFUNCTION("GOOGLETRANSLATE(B5781, ""en"", ""fa"")
"),"چاپ بر حسب تقاضا (POD)")</f>
        <v>چاپ بر حسب تقاضا (POD)</v>
      </c>
      <c r="G5781" s="1" t="str">
        <f>IFERROR(__xludf.DUMMYFUNCTION("GOOGLETRANSLATE(C5781, ""en"", ""fa"")
"),"چگونه می توان از ویژگی تغییرات Etsy برای ارائه گزینه های سفارشی سازی و افزایش رضایت مشتری استفاده استراتژیک کرد؟")</f>
        <v>چگونه می توان از ویژگی تغییرات Etsy برای ارائه گزینه های سفارشی سازی و افزایش رضایت مشتری استفاده استراتژیک کرد؟</v>
      </c>
      <c r="H5781" s="1"/>
      <c r="I5781" s="1"/>
      <c r="J5781" s="1"/>
      <c r="K5781" s="1"/>
      <c r="L5781" s="1"/>
      <c r="M5781" s="1"/>
      <c r="N5781" s="1"/>
      <c r="O5781" s="1"/>
      <c r="P5781" s="1"/>
      <c r="Q5781" s="1"/>
      <c r="R5781" s="1"/>
      <c r="S5781" s="1"/>
      <c r="T5781" s="1"/>
      <c r="U5781" s="1"/>
      <c r="V5781" s="1"/>
      <c r="W5781" s="1"/>
      <c r="X5781" s="1"/>
      <c r="Y5781" s="1"/>
      <c r="Z5781" s="1"/>
      <c r="AA5781" s="1"/>
      <c r="AB5781" s="1"/>
    </row>
    <row r="5782" ht="50.25" customHeight="1">
      <c r="A5782" s="12">
        <v>5778.0</v>
      </c>
      <c r="B5782" s="13" t="s">
        <v>5701</v>
      </c>
      <c r="C5782" s="18" t="s">
        <v>5803</v>
      </c>
      <c r="D5782" s="1"/>
      <c r="E5782" s="1"/>
      <c r="F5782" s="1" t="str">
        <f>IFERROR(__xludf.DUMMYFUNCTION("GOOGLETRANSLATE(B5782, ""en"", ""fa"")
"),"چاپ بر حسب تقاضا (POD)")</f>
        <v>چاپ بر حسب تقاضا (POD)</v>
      </c>
      <c r="G5782" s="1" t="str">
        <f>IFERROR(__xludf.DUMMYFUNCTION("GOOGLETRANSLATE(C5782, ""en"", ""fa"")
"),"بهترین روش ها برای بهینه سازی موجودی محصولات فروشگاه Etsy شما برای اطمینان از انتخابی سازگار و جذاب چیست؟")</f>
        <v>بهترین روش ها برای بهینه سازی موجودی محصولات فروشگاه Etsy شما برای اطمینان از انتخابی سازگار و جذاب چیست؟</v>
      </c>
      <c r="H5782" s="1"/>
      <c r="I5782" s="1"/>
      <c r="J5782" s="1"/>
      <c r="K5782" s="1"/>
      <c r="L5782" s="1"/>
      <c r="M5782" s="1"/>
      <c r="N5782" s="1"/>
      <c r="O5782" s="1"/>
      <c r="P5782" s="1"/>
      <c r="Q5782" s="1"/>
      <c r="R5782" s="1"/>
      <c r="S5782" s="1"/>
      <c r="T5782" s="1"/>
      <c r="U5782" s="1"/>
      <c r="V5782" s="1"/>
      <c r="W5782" s="1"/>
      <c r="X5782" s="1"/>
      <c r="Y5782" s="1"/>
      <c r="Z5782" s="1"/>
      <c r="AA5782" s="1"/>
      <c r="AB5782" s="1"/>
    </row>
    <row r="5783" ht="50.25" customHeight="1">
      <c r="A5783" s="12">
        <v>5779.0</v>
      </c>
      <c r="B5783" s="13" t="s">
        <v>5701</v>
      </c>
      <c r="C5783" s="18" t="s">
        <v>5804</v>
      </c>
      <c r="D5783" s="1"/>
      <c r="E5783" s="1"/>
      <c r="F5783" s="1" t="str">
        <f>IFERROR(__xludf.DUMMYFUNCTION("GOOGLETRANSLATE(B5783, ""en"", ""fa"")
"),"چاپ بر حسب تقاضا (POD)")</f>
        <v>چاپ بر حسب تقاضا (POD)</v>
      </c>
      <c r="G5783" s="1" t="str">
        <f>IFERROR(__xludf.DUMMYFUNCTION("GOOGLETRANSLATE(C5783, ""en"", ""fa"")
"),"چگونه می‌توان بخش پرسش‌های متداول فروشگاه Etsy خود را برای رسیدگی به سؤالات رایج مشتریان و کاهش درخواست‌های پشتیبانی ایجاد و بهینه کرد؟")</f>
        <v>چگونه می‌توان بخش پرسش‌های متداول فروشگاه Etsy خود را برای رسیدگی به سؤالات رایج مشتریان و کاهش درخواست‌های پشتیبانی ایجاد و بهینه کرد؟</v>
      </c>
      <c r="H5783" s="1"/>
      <c r="I5783" s="1"/>
      <c r="J5783" s="1"/>
      <c r="K5783" s="1"/>
      <c r="L5783" s="1"/>
      <c r="M5783" s="1"/>
      <c r="N5783" s="1"/>
      <c r="O5783" s="1"/>
      <c r="P5783" s="1"/>
      <c r="Q5783" s="1"/>
      <c r="R5783" s="1"/>
      <c r="S5783" s="1"/>
      <c r="T5783" s="1"/>
      <c r="U5783" s="1"/>
      <c r="V5783" s="1"/>
      <c r="W5783" s="1"/>
      <c r="X5783" s="1"/>
      <c r="Y5783" s="1"/>
      <c r="Z5783" s="1"/>
      <c r="AA5783" s="1"/>
      <c r="AB5783" s="1"/>
    </row>
    <row r="5784" ht="50.25" customHeight="1">
      <c r="A5784" s="12">
        <v>5780.0</v>
      </c>
      <c r="B5784" s="13" t="s">
        <v>5701</v>
      </c>
      <c r="C5784" s="18" t="s">
        <v>5805</v>
      </c>
      <c r="D5784" s="1"/>
      <c r="E5784" s="1"/>
      <c r="F5784" s="1" t="str">
        <f>IFERROR(__xludf.DUMMYFUNCTION("GOOGLETRANSLATE(B5784, ""en"", ""fa"")
"),"چاپ بر حسب تقاضا (POD)")</f>
        <v>چاپ بر حسب تقاضا (POD)</v>
      </c>
      <c r="G5784" s="1" t="str">
        <f>IFERROR(__xludf.DUMMYFUNCTION("GOOGLETRANSLATE(C5784, ""en"", ""fa"")
"),"استراتژی‌هایی برای بهینه‌سازی زمان ارتباط با مشتری و زمان پاسخگویی فروشگاه Etsy برای افزایش رضایت مشتری چیست؟")</f>
        <v>استراتژی‌هایی برای بهینه‌سازی زمان ارتباط با مشتری و زمان پاسخگویی فروشگاه Etsy برای افزایش رضایت مشتری چیست؟</v>
      </c>
      <c r="H5784" s="1"/>
      <c r="I5784" s="1"/>
      <c r="J5784" s="1"/>
      <c r="K5784" s="1"/>
      <c r="L5784" s="1"/>
      <c r="M5784" s="1"/>
      <c r="N5784" s="1"/>
      <c r="O5784" s="1"/>
      <c r="P5784" s="1"/>
      <c r="Q5784" s="1"/>
      <c r="R5784" s="1"/>
      <c r="S5784" s="1"/>
      <c r="T5784" s="1"/>
      <c r="U5784" s="1"/>
      <c r="V5784" s="1"/>
      <c r="W5784" s="1"/>
      <c r="X5784" s="1"/>
      <c r="Y5784" s="1"/>
      <c r="Z5784" s="1"/>
      <c r="AA5784" s="1"/>
      <c r="AB5784" s="1"/>
    </row>
    <row r="5785" ht="50.25" customHeight="1">
      <c r="A5785" s="12">
        <v>5781.0</v>
      </c>
      <c r="B5785" s="13" t="s">
        <v>5701</v>
      </c>
      <c r="C5785" s="18" t="s">
        <v>5806</v>
      </c>
      <c r="D5785" s="1"/>
      <c r="E5785" s="1"/>
      <c r="F5785" s="1" t="str">
        <f>IFERROR(__xludf.DUMMYFUNCTION("GOOGLETRANSLATE(B5785, ""en"", ""fa"")
"),"چاپ بر حسب تقاضا (POD)")</f>
        <v>چاپ بر حسب تقاضا (POD)</v>
      </c>
      <c r="G5785" s="1" t="str">
        <f>IFERROR(__xludf.DUMMYFUNCTION("GOOGLETRANSLATE(C5785, ""en"", ""fa"")
"),"چگونه از ابزارهای بازاریابی Etsy مانند کوپن ها و تخفیف ها برای ایجاد انگیزه برای خریدهای تکراری و جذب مشتریان جدید استفاده کنیم؟")</f>
        <v>چگونه از ابزارهای بازاریابی Etsy مانند کوپن ها و تخفیف ها برای ایجاد انگیزه برای خریدهای تکراری و جذب مشتریان جدید استفاده کنیم؟</v>
      </c>
      <c r="H5785" s="1"/>
      <c r="I5785" s="1"/>
      <c r="J5785" s="1"/>
      <c r="K5785" s="1"/>
      <c r="L5785" s="1"/>
      <c r="M5785" s="1"/>
      <c r="N5785" s="1"/>
      <c r="O5785" s="1"/>
      <c r="P5785" s="1"/>
      <c r="Q5785" s="1"/>
      <c r="R5785" s="1"/>
      <c r="S5785" s="1"/>
      <c r="T5785" s="1"/>
      <c r="U5785" s="1"/>
      <c r="V5785" s="1"/>
      <c r="W5785" s="1"/>
      <c r="X5785" s="1"/>
      <c r="Y5785" s="1"/>
      <c r="Z5785" s="1"/>
      <c r="AA5785" s="1"/>
      <c r="AB5785" s="1"/>
    </row>
    <row r="5786" ht="50.25" customHeight="1">
      <c r="A5786" s="12">
        <v>5782.0</v>
      </c>
      <c r="B5786" s="13" t="s">
        <v>5701</v>
      </c>
      <c r="C5786" s="18" t="s">
        <v>5807</v>
      </c>
      <c r="D5786" s="1"/>
      <c r="E5786" s="1"/>
      <c r="F5786" s="1" t="str">
        <f>IFERROR(__xludf.DUMMYFUNCTION("GOOGLETRANSLATE(B5786, ""en"", ""fa"")
"),"چاپ بر حسب تقاضا (POD)")</f>
        <v>چاپ بر حسب تقاضا (POD)</v>
      </c>
      <c r="G5786" s="1" t="str">
        <f>IFERROR(__xludf.DUMMYFUNCTION("GOOGLETRANSLATE(C5786, ""en"", ""fa"")
"),"تکنیک های بهینه سازی بسته بندی و ارائه فروشگاه Etsy شما برای ایجاد یک تجربه جعبه گشایی به یاد ماندنی چیست؟")</f>
        <v>تکنیک های بهینه سازی بسته بندی و ارائه فروشگاه Etsy شما برای ایجاد یک تجربه جعبه گشایی به یاد ماندنی چیست؟</v>
      </c>
      <c r="H5786" s="1"/>
      <c r="I5786" s="1"/>
      <c r="J5786" s="1"/>
      <c r="K5786" s="1"/>
      <c r="L5786" s="1"/>
      <c r="M5786" s="1"/>
      <c r="N5786" s="1"/>
      <c r="O5786" s="1"/>
      <c r="P5786" s="1"/>
      <c r="Q5786" s="1"/>
      <c r="R5786" s="1"/>
      <c r="S5786" s="1"/>
      <c r="T5786" s="1"/>
      <c r="U5786" s="1"/>
      <c r="V5786" s="1"/>
      <c r="W5786" s="1"/>
      <c r="X5786" s="1"/>
      <c r="Y5786" s="1"/>
      <c r="Z5786" s="1"/>
      <c r="AA5786" s="1"/>
      <c r="AB5786" s="1"/>
    </row>
    <row r="5787" ht="50.25" customHeight="1">
      <c r="A5787" s="12">
        <v>5783.0</v>
      </c>
      <c r="B5787" s="13" t="s">
        <v>5701</v>
      </c>
      <c r="C5787" s="18" t="s">
        <v>5808</v>
      </c>
      <c r="D5787" s="1"/>
      <c r="E5787" s="1"/>
      <c r="F5787" s="1" t="str">
        <f>IFERROR(__xludf.DUMMYFUNCTION("GOOGLETRANSLATE(B5787, ""en"", ""fa"")
"),"چاپ بر حسب تقاضا (POD)")</f>
        <v>چاپ بر حسب تقاضا (POD)</v>
      </c>
      <c r="G5787" s="1" t="str">
        <f>IFERROR(__xludf.DUMMYFUNCTION("GOOGLETRANSLATE(C5787, ""en"", ""fa"")
"),"چگونه معیارهای عملکرد فروشگاه Etsy خود را تجزیه و تحلیل و تفسیر کنیم و از بینش‌ها برای بهینه‌سازی‌های مبتنی بر داده استفاده کنیم؟")</f>
        <v>چگونه معیارهای عملکرد فروشگاه Etsy خود را تجزیه و تحلیل و تفسیر کنیم و از بینش‌ها برای بهینه‌سازی‌های مبتنی بر داده استفاده کنیم؟</v>
      </c>
      <c r="H5787" s="1"/>
      <c r="I5787" s="1"/>
      <c r="J5787" s="1"/>
      <c r="K5787" s="1"/>
      <c r="L5787" s="1"/>
      <c r="M5787" s="1"/>
      <c r="N5787" s="1"/>
      <c r="O5787" s="1"/>
      <c r="P5787" s="1"/>
      <c r="Q5787" s="1"/>
      <c r="R5787" s="1"/>
      <c r="S5787" s="1"/>
      <c r="T5787" s="1"/>
      <c r="U5787" s="1"/>
      <c r="V5787" s="1"/>
      <c r="W5787" s="1"/>
      <c r="X5787" s="1"/>
      <c r="Y5787" s="1"/>
      <c r="Z5787" s="1"/>
      <c r="AA5787" s="1"/>
      <c r="AB5787" s="1"/>
    </row>
    <row r="5788" ht="50.25" customHeight="1">
      <c r="A5788" s="12">
        <v>5784.0</v>
      </c>
      <c r="B5788" s="13" t="s">
        <v>5701</v>
      </c>
      <c r="C5788" s="18" t="s">
        <v>5809</v>
      </c>
      <c r="D5788" s="1"/>
      <c r="E5788" s="1"/>
      <c r="F5788" s="1" t="str">
        <f>IFERROR(__xludf.DUMMYFUNCTION("GOOGLETRANSLATE(B5788, ""en"", ""fa"")
"),"چاپ بر حسب تقاضا (POD)")</f>
        <v>چاپ بر حسب تقاضا (POD)</v>
      </c>
      <c r="G5788" s="1" t="str">
        <f>IFERROR(__xludf.DUMMYFUNCTION("GOOGLETRANSLATE(C5788, ""en"", ""fa"")
"),"استراتژی های بهینه سازی حضور فروشگاه Etsy شما در رسانه های اجتماعی برای افزایش ترافیک و ایجاد یک برند آنلاین قوی چیست؟")</f>
        <v>استراتژی های بهینه سازی حضور فروشگاه Etsy شما در رسانه های اجتماعی برای افزایش ترافیک و ایجاد یک برند آنلاین قوی چیست؟</v>
      </c>
      <c r="H5788" s="1"/>
      <c r="I5788" s="1"/>
      <c r="J5788" s="1"/>
      <c r="K5788" s="1"/>
      <c r="L5788" s="1"/>
      <c r="M5788" s="1"/>
      <c r="N5788" s="1"/>
      <c r="O5788" s="1"/>
      <c r="P5788" s="1"/>
      <c r="Q5788" s="1"/>
      <c r="R5788" s="1"/>
      <c r="S5788" s="1"/>
      <c r="T5788" s="1"/>
      <c r="U5788" s="1"/>
      <c r="V5788" s="1"/>
      <c r="W5788" s="1"/>
      <c r="X5788" s="1"/>
      <c r="Y5788" s="1"/>
      <c r="Z5788" s="1"/>
      <c r="AA5788" s="1"/>
      <c r="AB5788" s="1"/>
    </row>
    <row r="5789" ht="50.25" customHeight="1">
      <c r="A5789" s="12">
        <v>5785.0</v>
      </c>
      <c r="B5789" s="13" t="s">
        <v>5701</v>
      </c>
      <c r="C5789" s="18" t="s">
        <v>5810</v>
      </c>
      <c r="D5789" s="1"/>
      <c r="E5789" s="1"/>
      <c r="F5789" s="1" t="str">
        <f>IFERROR(__xludf.DUMMYFUNCTION("GOOGLETRANSLATE(B5789, ""en"", ""fa"")
"),"چاپ بر حسب تقاضا (POD)")</f>
        <v>چاپ بر حسب تقاضا (POD)</v>
      </c>
      <c r="G5789" s="1" t="str">
        <f>IFERROR(__xludf.DUMMYFUNCTION("GOOGLETRANSLATE(C5789, ""en"", ""fa"")
"),"چگونه از گزینه های تبلیغاتی Etsy مانند تبلیغات خارج از سایت برای گسترش دامنه و افزایش فروش استفاده کنید؟")</f>
        <v>چگونه از گزینه های تبلیغاتی Etsy مانند تبلیغات خارج از سایت برای گسترش دامنه و افزایش فروش استفاده کنید؟</v>
      </c>
      <c r="H5789" s="1"/>
      <c r="I5789" s="1"/>
      <c r="J5789" s="1"/>
      <c r="K5789" s="1"/>
      <c r="L5789" s="1"/>
      <c r="M5789" s="1"/>
      <c r="N5789" s="1"/>
      <c r="O5789" s="1"/>
      <c r="P5789" s="1"/>
      <c r="Q5789" s="1"/>
      <c r="R5789" s="1"/>
      <c r="S5789" s="1"/>
      <c r="T5789" s="1"/>
      <c r="U5789" s="1"/>
      <c r="V5789" s="1"/>
      <c r="W5789" s="1"/>
      <c r="X5789" s="1"/>
      <c r="Y5789" s="1"/>
      <c r="Z5789" s="1"/>
      <c r="AA5789" s="1"/>
      <c r="AB5789" s="1"/>
    </row>
    <row r="5790" ht="50.25" customHeight="1">
      <c r="A5790" s="12">
        <v>5786.0</v>
      </c>
      <c r="B5790" s="13" t="s">
        <v>5701</v>
      </c>
      <c r="C5790" s="18" t="s">
        <v>5811</v>
      </c>
      <c r="D5790" s="1"/>
      <c r="E5790" s="1"/>
      <c r="F5790" s="1" t="str">
        <f>IFERROR(__xludf.DUMMYFUNCTION("GOOGLETRANSLATE(B5790, ""en"", ""fa"")
"),"چاپ بر حسب تقاضا (POD)")</f>
        <v>چاپ بر حسب تقاضا (POD)</v>
      </c>
      <c r="G5790" s="1" t="str">
        <f>IFERROR(__xludf.DUMMYFUNCTION("GOOGLETRANSLATE(C5790, ""en"", ""fa"")
"),"تکنیک‌هایی برای بهینه‌سازی دسته‌بندی و برچسب‌گذاری محصولات فروشگاه Etsy شما برای هدف قرار دادن شخصیت‌های خاص خریداران چیست؟")</f>
        <v>تکنیک‌هایی برای بهینه‌سازی دسته‌بندی و برچسب‌گذاری محصولات فروشگاه Etsy شما برای هدف قرار دادن شخصیت‌های خاص خریداران چیست؟</v>
      </c>
      <c r="H5790" s="1"/>
      <c r="I5790" s="1"/>
      <c r="J5790" s="1"/>
      <c r="K5790" s="1"/>
      <c r="L5790" s="1"/>
      <c r="M5790" s="1"/>
      <c r="N5790" s="1"/>
      <c r="O5790" s="1"/>
      <c r="P5790" s="1"/>
      <c r="Q5790" s="1"/>
      <c r="R5790" s="1"/>
      <c r="S5790" s="1"/>
      <c r="T5790" s="1"/>
      <c r="U5790" s="1"/>
      <c r="V5790" s="1"/>
      <c r="W5790" s="1"/>
      <c r="X5790" s="1"/>
      <c r="Y5790" s="1"/>
      <c r="Z5790" s="1"/>
      <c r="AA5790" s="1"/>
      <c r="AB5790" s="1"/>
    </row>
    <row r="5791" ht="50.25" customHeight="1">
      <c r="A5791" s="12">
        <v>5787.0</v>
      </c>
      <c r="B5791" s="13" t="s">
        <v>5701</v>
      </c>
      <c r="C5791" s="18" t="s">
        <v>5812</v>
      </c>
      <c r="D5791" s="1"/>
      <c r="E5791" s="1"/>
      <c r="F5791" s="1" t="str">
        <f>IFERROR(__xludf.DUMMYFUNCTION("GOOGLETRANSLATE(B5791, ""en"", ""fa"")
"),"چاپ بر حسب تقاضا (POD)")</f>
        <v>چاپ بر حسب تقاضا (POD)</v>
      </c>
      <c r="G5791" s="1" t="str">
        <f>IFERROR(__xludf.DUMMYFUNCTION("GOOGLETRANSLATE(C5791, ""en"", ""fa"")
"),"چگونه می توان توضیحات قانع کننده ای برای محصولات ایجاد کرد که ویژگی ها و مزایای منحصر به فرد محصولات فروشگاه Etsy شما را برجسته کند؟")</f>
        <v>چگونه می توان توضیحات قانع کننده ای برای محصولات ایجاد کرد که ویژگی ها و مزایای منحصر به فرد محصولات فروشگاه Etsy شما را برجسته کند؟</v>
      </c>
      <c r="H5791" s="1"/>
      <c r="I5791" s="1"/>
      <c r="J5791" s="1"/>
      <c r="K5791" s="1"/>
      <c r="L5791" s="1"/>
      <c r="M5791" s="1"/>
      <c r="N5791" s="1"/>
      <c r="O5791" s="1"/>
      <c r="P5791" s="1"/>
      <c r="Q5791" s="1"/>
      <c r="R5791" s="1"/>
      <c r="S5791" s="1"/>
      <c r="T5791" s="1"/>
      <c r="U5791" s="1"/>
      <c r="V5791" s="1"/>
      <c r="W5791" s="1"/>
      <c r="X5791" s="1"/>
      <c r="Y5791" s="1"/>
      <c r="Z5791" s="1"/>
      <c r="AA5791" s="1"/>
      <c r="AB5791" s="1"/>
    </row>
    <row r="5792" ht="50.25" customHeight="1">
      <c r="A5792" s="12">
        <v>5788.0</v>
      </c>
      <c r="B5792" s="13" t="s">
        <v>5701</v>
      </c>
      <c r="C5792" s="18" t="s">
        <v>5813</v>
      </c>
      <c r="D5792" s="1"/>
      <c r="E5792" s="1"/>
      <c r="F5792" s="1" t="str">
        <f>IFERROR(__xludf.DUMMYFUNCTION("GOOGLETRANSLATE(B5792, ""en"", ""fa"")
"),"چاپ بر حسب تقاضا (POD)")</f>
        <v>چاپ بر حسب تقاضا (POD)</v>
      </c>
      <c r="G5792" s="1" t="str">
        <f>IFERROR(__xludf.DUMMYFUNCTION("GOOGLETRANSLATE(C5792, ""en"", ""fa"")
"),"بهترین روش ها برای بهینه سازی قیمت محصولات فروشگاه Etsy شما برای به حداکثر رساندن حاشیه سود و رقابت چیست؟")</f>
        <v>بهترین روش ها برای بهینه سازی قیمت محصولات فروشگاه Etsy شما برای به حداکثر رساندن حاشیه سود و رقابت چیست؟</v>
      </c>
      <c r="H5792" s="1"/>
      <c r="I5792" s="1"/>
      <c r="J5792" s="1"/>
      <c r="K5792" s="1"/>
      <c r="L5792" s="1"/>
      <c r="M5792" s="1"/>
      <c r="N5792" s="1"/>
      <c r="O5792" s="1"/>
      <c r="P5792" s="1"/>
      <c r="Q5792" s="1"/>
      <c r="R5792" s="1"/>
      <c r="S5792" s="1"/>
      <c r="T5792" s="1"/>
      <c r="U5792" s="1"/>
      <c r="V5792" s="1"/>
      <c r="W5792" s="1"/>
      <c r="X5792" s="1"/>
      <c r="Y5792" s="1"/>
      <c r="Z5792" s="1"/>
      <c r="AA5792" s="1"/>
      <c r="AB5792" s="1"/>
    </row>
    <row r="5793" ht="50.25" customHeight="1">
      <c r="A5793" s="12">
        <v>5789.0</v>
      </c>
      <c r="B5793" s="13" t="s">
        <v>5701</v>
      </c>
      <c r="C5793" s="18" t="s">
        <v>5814</v>
      </c>
      <c r="D5793" s="1"/>
      <c r="E5793" s="1"/>
      <c r="F5793" s="1" t="str">
        <f>IFERROR(__xludf.DUMMYFUNCTION("GOOGLETRANSLATE(B5793, ""en"", ""fa"")
"),"چاپ بر حسب تقاضا (POD)")</f>
        <v>چاپ بر حسب تقاضا (POD)</v>
      </c>
      <c r="G5793" s="1" t="str">
        <f>IFERROR(__xludf.DUMMYFUNCTION("GOOGLETRANSLATE(C5793, ""en"", ""fa"")
"),"چگونه از ویژگی به روز رسانی فروشگاه Etsy برای نمایش محصولات جدید، تبلیغات و محتوای پشت صحنه استفاده کنیم؟")</f>
        <v>چگونه از ویژگی به روز رسانی فروشگاه Etsy برای نمایش محصولات جدید، تبلیغات و محتوای پشت صحنه استفاده کنیم؟</v>
      </c>
      <c r="H5793" s="1"/>
      <c r="I5793" s="1"/>
      <c r="J5793" s="1"/>
      <c r="K5793" s="1"/>
      <c r="L5793" s="1"/>
      <c r="M5793" s="1"/>
      <c r="N5793" s="1"/>
      <c r="O5793" s="1"/>
      <c r="P5793" s="1"/>
      <c r="Q5793" s="1"/>
      <c r="R5793" s="1"/>
      <c r="S5793" s="1"/>
      <c r="T5793" s="1"/>
      <c r="U5793" s="1"/>
      <c r="V5793" s="1"/>
      <c r="W5793" s="1"/>
      <c r="X5793" s="1"/>
      <c r="Y5793" s="1"/>
      <c r="Z5793" s="1"/>
      <c r="AA5793" s="1"/>
      <c r="AB5793" s="1"/>
    </row>
    <row r="5794" ht="50.25" customHeight="1">
      <c r="A5794" s="12">
        <v>5790.0</v>
      </c>
      <c r="B5794" s="13" t="s">
        <v>5701</v>
      </c>
      <c r="C5794" s="18" t="s">
        <v>5815</v>
      </c>
      <c r="D5794" s="1"/>
      <c r="E5794" s="1"/>
      <c r="F5794" s="1" t="str">
        <f>IFERROR(__xludf.DUMMYFUNCTION("GOOGLETRANSLATE(B5794, ""en"", ""fa"")
"),"چاپ بر حسب تقاضا (POD)")</f>
        <v>چاپ بر حسب تقاضا (POD)</v>
      </c>
      <c r="G5794" s="1" t="str">
        <f>IFERROR(__xludf.DUMMYFUNCTION("GOOGLETRANSLATE(C5794, ""en"", ""fa"")
"),"استراتژی‌هایی برای بهینه‌سازی نظرات و رتبه‌بندی‌های مشتریان فروشگاه Etsy برای ایجاد اعتماد و اعتبار چیست؟")</f>
        <v>استراتژی‌هایی برای بهینه‌سازی نظرات و رتبه‌بندی‌های مشتریان فروشگاه Etsy برای ایجاد اعتماد و اعتبار چیست؟</v>
      </c>
      <c r="H5794" s="1"/>
      <c r="I5794" s="1"/>
      <c r="J5794" s="1"/>
      <c r="K5794" s="1"/>
      <c r="L5794" s="1"/>
      <c r="M5794" s="1"/>
      <c r="N5794" s="1"/>
      <c r="O5794" s="1"/>
      <c r="P5794" s="1"/>
      <c r="Q5794" s="1"/>
      <c r="R5794" s="1"/>
      <c r="S5794" s="1"/>
      <c r="T5794" s="1"/>
      <c r="U5794" s="1"/>
      <c r="V5794" s="1"/>
      <c r="W5794" s="1"/>
      <c r="X5794" s="1"/>
      <c r="Y5794" s="1"/>
      <c r="Z5794" s="1"/>
      <c r="AA5794" s="1"/>
      <c r="AB5794" s="1"/>
    </row>
    <row r="5795" ht="50.25" customHeight="1">
      <c r="A5795" s="12">
        <v>5791.0</v>
      </c>
      <c r="B5795" s="13" t="s">
        <v>5701</v>
      </c>
      <c r="C5795" s="18" t="s">
        <v>5816</v>
      </c>
      <c r="D5795" s="1"/>
      <c r="E5795" s="1"/>
      <c r="F5795" s="1" t="str">
        <f>IFERROR(__xludf.DUMMYFUNCTION("GOOGLETRANSLATE(B5795, ""en"", ""fa"")
"),"چاپ بر حسب تقاضا (POD)")</f>
        <v>چاپ بر حسب تقاضا (POD)</v>
      </c>
      <c r="G5795" s="1" t="str">
        <f>IFERROR(__xludf.DUMMYFUNCTION("GOOGLETRANSLATE(C5795, ""en"", ""fa"")
"),"چگونه از ابزارهای تجزیه و تحلیل Etsy برای به دست آوردن بینشی در مورد عملکرد فروشگاه خود و شناسایی زمینه های بهبود استفاده کنید؟")</f>
        <v>چگونه از ابزارهای تجزیه و تحلیل Etsy برای به دست آوردن بینشی در مورد عملکرد فروشگاه خود و شناسایی زمینه های بهبود استفاده کنید؟</v>
      </c>
      <c r="H5795" s="1"/>
      <c r="I5795" s="1"/>
      <c r="J5795" s="1"/>
      <c r="K5795" s="1"/>
      <c r="L5795" s="1"/>
      <c r="M5795" s="1"/>
      <c r="N5795" s="1"/>
      <c r="O5795" s="1"/>
      <c r="P5795" s="1"/>
      <c r="Q5795" s="1"/>
      <c r="R5795" s="1"/>
      <c r="S5795" s="1"/>
      <c r="T5795" s="1"/>
      <c r="U5795" s="1"/>
      <c r="V5795" s="1"/>
      <c r="W5795" s="1"/>
      <c r="X5795" s="1"/>
      <c r="Y5795" s="1"/>
      <c r="Z5795" s="1"/>
      <c r="AA5795" s="1"/>
      <c r="AB5795" s="1"/>
    </row>
    <row r="5796" ht="50.25" customHeight="1">
      <c r="A5796" s="12">
        <v>5792.0</v>
      </c>
      <c r="B5796" s="13" t="s">
        <v>5701</v>
      </c>
      <c r="C5796" s="18" t="s">
        <v>5817</v>
      </c>
      <c r="D5796" s="1"/>
      <c r="E5796" s="1"/>
      <c r="F5796" s="1" t="str">
        <f>IFERROR(__xludf.DUMMYFUNCTION("GOOGLETRANSLATE(B5796, ""en"", ""fa"")
"),"چاپ بر حسب تقاضا (POD)")</f>
        <v>چاپ بر حسب تقاضا (POD)</v>
      </c>
      <c r="G5796" s="1" t="str">
        <f>IFERROR(__xludf.DUMMYFUNCTION("GOOGLETRANSLATE(C5796, ""en"", ""fa"")
"),"تکنیک های بهینه سازی مدیریت موجودی فروشگاه Etsy شما برای اطمینان از انجام کارآمد سفارش و به حداقل رساندن موجودی موجودی چیست؟")</f>
        <v>تکنیک های بهینه سازی مدیریت موجودی فروشگاه Etsy شما برای اطمینان از انجام کارآمد سفارش و به حداقل رساندن موجودی موجودی چیست؟</v>
      </c>
      <c r="H5796" s="1"/>
      <c r="I5796" s="1"/>
      <c r="J5796" s="1"/>
      <c r="K5796" s="1"/>
      <c r="L5796" s="1"/>
      <c r="M5796" s="1"/>
      <c r="N5796" s="1"/>
      <c r="O5796" s="1"/>
      <c r="P5796" s="1"/>
      <c r="Q5796" s="1"/>
      <c r="R5796" s="1"/>
      <c r="S5796" s="1"/>
      <c r="T5796" s="1"/>
      <c r="U5796" s="1"/>
      <c r="V5796" s="1"/>
      <c r="W5796" s="1"/>
      <c r="X5796" s="1"/>
      <c r="Y5796" s="1"/>
      <c r="Z5796" s="1"/>
      <c r="AA5796" s="1"/>
      <c r="AB5796" s="1"/>
    </row>
    <row r="5797" ht="50.25" customHeight="1">
      <c r="A5797" s="12">
        <v>5793.0</v>
      </c>
      <c r="B5797" s="13" t="s">
        <v>5701</v>
      </c>
      <c r="C5797" s="18" t="s">
        <v>5818</v>
      </c>
      <c r="D5797" s="1"/>
      <c r="E5797" s="1"/>
      <c r="F5797" s="1" t="str">
        <f>IFERROR(__xludf.DUMMYFUNCTION("GOOGLETRANSLATE(B5797, ""en"", ""fa"")
"),"چاپ بر حسب تقاضا (POD)")</f>
        <v>چاپ بر حسب تقاضا (POD)</v>
      </c>
      <c r="G5797" s="1" t="str">
        <f>IFERROR(__xludf.DUMMYFUNCTION("GOOGLETRANSLATE(C5797, ""en"", ""fa"")
"),"چگونه صفحه خط‌مشی‌های فروشگاه Etsy خود را ایجاد و بهینه کنید تا شرایط و ضوابط فروشگاه خود را به وضوح به مشتریان منتقل کنید؟")</f>
        <v>چگونه صفحه خط‌مشی‌های فروشگاه Etsy خود را ایجاد و بهینه کنید تا شرایط و ضوابط فروشگاه خود را به وضوح به مشتریان منتقل کنید؟</v>
      </c>
      <c r="H5797" s="1"/>
      <c r="I5797" s="1"/>
      <c r="J5797" s="1"/>
      <c r="K5797" s="1"/>
      <c r="L5797" s="1"/>
      <c r="M5797" s="1"/>
      <c r="N5797" s="1"/>
      <c r="O5797" s="1"/>
      <c r="P5797" s="1"/>
      <c r="Q5797" s="1"/>
      <c r="R5797" s="1"/>
      <c r="S5797" s="1"/>
      <c r="T5797" s="1"/>
      <c r="U5797" s="1"/>
      <c r="V5797" s="1"/>
      <c r="W5797" s="1"/>
      <c r="X5797" s="1"/>
      <c r="Y5797" s="1"/>
      <c r="Z5797" s="1"/>
      <c r="AA5797" s="1"/>
      <c r="AB5797" s="1"/>
    </row>
    <row r="5798" ht="50.25" customHeight="1">
      <c r="A5798" s="12">
        <v>5794.0</v>
      </c>
      <c r="B5798" s="13" t="s">
        <v>5701</v>
      </c>
      <c r="C5798" s="18" t="s">
        <v>5819</v>
      </c>
      <c r="D5798" s="1"/>
      <c r="E5798" s="1"/>
      <c r="F5798" s="1" t="str">
        <f>IFERROR(__xludf.DUMMYFUNCTION("GOOGLETRANSLATE(B5798, ""en"", ""fa"")
"),"چاپ بر حسب تقاضا (POD)")</f>
        <v>چاپ بر حسب تقاضا (POD)</v>
      </c>
      <c r="G5798" s="1" t="str">
        <f>IFERROR(__xludf.DUMMYFUNCTION("GOOGLETRANSLATE(C5798, ""en"", ""fa"")
"),"استراتژی‌ها برای بهینه‌سازی گزینه‌های حمل و نقل بین‌المللی فروشگاه Etsy شما برای پاسخگویی به پایگاه مشتریان جهانی چیست؟")</f>
        <v>استراتژی‌ها برای بهینه‌سازی گزینه‌های حمل و نقل بین‌المللی فروشگاه Etsy شما برای پاسخگویی به پایگاه مشتریان جهانی چیست؟</v>
      </c>
      <c r="H5798" s="1"/>
      <c r="I5798" s="1"/>
      <c r="J5798" s="1"/>
      <c r="K5798" s="1"/>
      <c r="L5798" s="1"/>
      <c r="M5798" s="1"/>
      <c r="N5798" s="1"/>
      <c r="O5798" s="1"/>
      <c r="P5798" s="1"/>
      <c r="Q5798" s="1"/>
      <c r="R5798" s="1"/>
      <c r="S5798" s="1"/>
      <c r="T5798" s="1"/>
      <c r="U5798" s="1"/>
      <c r="V5798" s="1"/>
      <c r="W5798" s="1"/>
      <c r="X5798" s="1"/>
      <c r="Y5798" s="1"/>
      <c r="Z5798" s="1"/>
      <c r="AA5798" s="1"/>
      <c r="AB5798" s="1"/>
    </row>
    <row r="5799" ht="50.25" customHeight="1">
      <c r="A5799" s="12">
        <v>5795.0</v>
      </c>
      <c r="B5799" s="13" t="s">
        <v>5701</v>
      </c>
      <c r="C5799" s="18" t="s">
        <v>5820</v>
      </c>
      <c r="D5799" s="1"/>
      <c r="E5799" s="1"/>
      <c r="F5799" s="1" t="str">
        <f>IFERROR(__xludf.DUMMYFUNCTION("GOOGLETRANSLATE(B5799, ""en"", ""fa"")
"),"چاپ بر حسب تقاضا (POD)")</f>
        <v>چاپ بر حسب تقاضا (POD)</v>
      </c>
      <c r="G5799" s="1" t="str">
        <f>IFERROR(__xludf.DUMMYFUNCTION("GOOGLETRANSLATE(C5799, ""en"", ""fa"")
"),"چگونه به طور موثری محصولات پرفروش و دارای رتبه برتر فروشگاه Etsy خود را برای جلب توجه مشتری و افزایش فروش به نمایش بگذارید؟")</f>
        <v>چگونه به طور موثری محصولات پرفروش و دارای رتبه برتر فروشگاه Etsy خود را برای جلب توجه مشتری و افزایش فروش به نمایش بگذارید؟</v>
      </c>
      <c r="H5799" s="1"/>
      <c r="I5799" s="1"/>
      <c r="J5799" s="1"/>
      <c r="K5799" s="1"/>
      <c r="L5799" s="1"/>
      <c r="M5799" s="1"/>
      <c r="N5799" s="1"/>
      <c r="O5799" s="1"/>
      <c r="P5799" s="1"/>
      <c r="Q5799" s="1"/>
      <c r="R5799" s="1"/>
      <c r="S5799" s="1"/>
      <c r="T5799" s="1"/>
      <c r="U5799" s="1"/>
      <c r="V5799" s="1"/>
      <c r="W5799" s="1"/>
      <c r="X5799" s="1"/>
      <c r="Y5799" s="1"/>
      <c r="Z5799" s="1"/>
      <c r="AA5799" s="1"/>
      <c r="AB5799" s="1"/>
    </row>
    <row r="5800" ht="50.25" customHeight="1">
      <c r="A5800" s="12">
        <v>5796.0</v>
      </c>
      <c r="B5800" s="13" t="s">
        <v>5701</v>
      </c>
      <c r="C5800" s="18" t="s">
        <v>5821</v>
      </c>
      <c r="D5800" s="1"/>
      <c r="E5800" s="1"/>
      <c r="F5800" s="1" t="str">
        <f>IFERROR(__xludf.DUMMYFUNCTION("GOOGLETRANSLATE(B5800, ""en"", ""fa"")
"),"چاپ بر حسب تقاضا (POD)")</f>
        <v>چاپ بر حسب تقاضا (POD)</v>
      </c>
      <c r="G5800" s="1" t="str">
        <f>IFERROR(__xludf.DUMMYFUNCTION("GOOGLETRANSLATE(C5800, ""en"", ""fa"")
"),"تکنیک های بهینه سازی عکاسی از محصولات فروشگاه Etsy شما برای ایجاد تصاویر حرفه ای و از نظر بصری جذاب چیست؟")</f>
        <v>تکنیک های بهینه سازی عکاسی از محصولات فروشگاه Etsy شما برای ایجاد تصاویر حرفه ای و از نظر بصری جذاب چیست؟</v>
      </c>
      <c r="H5800" s="1"/>
      <c r="I5800" s="1"/>
      <c r="J5800" s="1"/>
      <c r="K5800" s="1"/>
      <c r="L5800" s="1"/>
      <c r="M5800" s="1"/>
      <c r="N5800" s="1"/>
      <c r="O5800" s="1"/>
      <c r="P5800" s="1"/>
      <c r="Q5800" s="1"/>
      <c r="R5800" s="1"/>
      <c r="S5800" s="1"/>
      <c r="T5800" s="1"/>
      <c r="U5800" s="1"/>
      <c r="V5800" s="1"/>
      <c r="W5800" s="1"/>
      <c r="X5800" s="1"/>
      <c r="Y5800" s="1"/>
      <c r="Z5800" s="1"/>
      <c r="AA5800" s="1"/>
      <c r="AB5800" s="1"/>
    </row>
    <row r="5801" ht="50.25" customHeight="1">
      <c r="A5801" s="12">
        <v>5797.0</v>
      </c>
      <c r="B5801" s="13" t="s">
        <v>5701</v>
      </c>
      <c r="C5801" s="18" t="s">
        <v>5822</v>
      </c>
      <c r="D5801" s="1"/>
      <c r="E5801" s="1"/>
      <c r="F5801" s="1" t="str">
        <f>IFERROR(__xludf.DUMMYFUNCTION("GOOGLETRANSLATE(B5801, ""en"", ""fa"")
"),"چاپ بر حسب تقاضا (POD)")</f>
        <v>چاپ بر حسب تقاضا (POD)</v>
      </c>
      <c r="G5801" s="1" t="str">
        <f>IFERROR(__xludf.DUMMYFUNCTION("GOOGLETRANSLATE(C5801, ""en"", ""fa"")
"),"چگونه از بخش‌های فروشگاه Etsy و فهرست‌های ویژه برای مدیریت مجموعه‌ها و برجسته کردن بهترین محصولات فروشگاه خود استفاده کنیم؟")</f>
        <v>چگونه از بخش‌های فروشگاه Etsy و فهرست‌های ویژه برای مدیریت مجموعه‌ها و برجسته کردن بهترین محصولات فروشگاه خود استفاده کنیم؟</v>
      </c>
      <c r="H5801" s="1"/>
      <c r="I5801" s="1"/>
      <c r="J5801" s="1"/>
      <c r="K5801" s="1"/>
      <c r="L5801" s="1"/>
      <c r="M5801" s="1"/>
      <c r="N5801" s="1"/>
      <c r="O5801" s="1"/>
      <c r="P5801" s="1"/>
      <c r="Q5801" s="1"/>
      <c r="R5801" s="1"/>
      <c r="S5801" s="1"/>
      <c r="T5801" s="1"/>
      <c r="U5801" s="1"/>
      <c r="V5801" s="1"/>
      <c r="W5801" s="1"/>
      <c r="X5801" s="1"/>
      <c r="Y5801" s="1"/>
      <c r="Z5801" s="1"/>
      <c r="AA5801" s="1"/>
      <c r="AB5801" s="1"/>
    </row>
    <row r="5802" ht="50.25" customHeight="1">
      <c r="A5802" s="12">
        <v>5798.0</v>
      </c>
      <c r="B5802" s="13" t="s">
        <v>5701</v>
      </c>
      <c r="C5802" s="18" t="s">
        <v>5823</v>
      </c>
      <c r="D5802" s="1"/>
      <c r="E5802" s="1"/>
      <c r="F5802" s="1" t="str">
        <f>IFERROR(__xludf.DUMMYFUNCTION("GOOGLETRANSLATE(B5802, ""en"", ""fa"")
"),"چاپ بر حسب تقاضا (POD)")</f>
        <v>چاپ بر حسب تقاضا (POD)</v>
      </c>
      <c r="G5802" s="1" t="str">
        <f>IFERROR(__xludf.DUMMYFUNCTION("GOOGLETRANSLATE(C5802, ""en"", ""fa"")
"),"بهترین روش ها برای بهینه سازی استراتژی سئو فروشگاه Etsy شما برای بهبود رتبه بندی و دیده شدن جستجوی ارگانیک چیست؟")</f>
        <v>بهترین روش ها برای بهینه سازی استراتژی سئو فروشگاه Etsy شما برای بهبود رتبه بندی و دیده شدن جستجوی ارگانیک چیست؟</v>
      </c>
      <c r="H5802" s="1"/>
      <c r="I5802" s="1"/>
      <c r="J5802" s="1"/>
      <c r="K5802" s="1"/>
      <c r="L5802" s="1"/>
      <c r="M5802" s="1"/>
      <c r="N5802" s="1"/>
      <c r="O5802" s="1"/>
      <c r="P5802" s="1"/>
      <c r="Q5802" s="1"/>
      <c r="R5802" s="1"/>
      <c r="S5802" s="1"/>
      <c r="T5802" s="1"/>
      <c r="U5802" s="1"/>
      <c r="V5802" s="1"/>
      <c r="W5802" s="1"/>
      <c r="X5802" s="1"/>
      <c r="Y5802" s="1"/>
      <c r="Z5802" s="1"/>
      <c r="AA5802" s="1"/>
      <c r="AB5802" s="1"/>
    </row>
    <row r="5803" ht="50.25" customHeight="1">
      <c r="A5803" s="12">
        <v>5799.0</v>
      </c>
      <c r="B5803" s="13" t="s">
        <v>5701</v>
      </c>
      <c r="C5803" s="18" t="s">
        <v>5824</v>
      </c>
      <c r="D5803" s="1"/>
      <c r="E5803" s="1"/>
      <c r="F5803" s="1" t="str">
        <f>IFERROR(__xludf.DUMMYFUNCTION("GOOGLETRANSLATE(B5803, ""en"", ""fa"")
"),"چاپ بر حسب تقاضا (POD)")</f>
        <v>چاپ بر حسب تقاضا (POD)</v>
      </c>
      <c r="G5803" s="1" t="str">
        <f>IFERROR(__xludf.DUMMYFUNCTION("GOOGLETRANSLATE(C5803, ""en"", ""fa"")
"),"چگونه می توان از ویژگی های اجتماعی و تعامل Etsy مانند تیم ها و انجمن ها برای ارتباط با فروشندگان همفکر و مشتریان بالقوه استفاده کرد؟")</f>
        <v>چگونه می توان از ویژگی های اجتماعی و تعامل Etsy مانند تیم ها و انجمن ها برای ارتباط با فروشندگان همفکر و مشتریان بالقوه استفاده کرد؟</v>
      </c>
      <c r="H5803" s="1"/>
      <c r="I5803" s="1"/>
      <c r="J5803" s="1"/>
      <c r="K5803" s="1"/>
      <c r="L5803" s="1"/>
      <c r="M5803" s="1"/>
      <c r="N5803" s="1"/>
      <c r="O5803" s="1"/>
      <c r="P5803" s="1"/>
      <c r="Q5803" s="1"/>
      <c r="R5803" s="1"/>
      <c r="S5803" s="1"/>
      <c r="T5803" s="1"/>
      <c r="U5803" s="1"/>
      <c r="V5803" s="1"/>
      <c r="W5803" s="1"/>
      <c r="X5803" s="1"/>
      <c r="Y5803" s="1"/>
      <c r="Z5803" s="1"/>
      <c r="AA5803" s="1"/>
      <c r="AB5803" s="1"/>
    </row>
    <row r="5804" ht="50.25" customHeight="1">
      <c r="A5804" s="12">
        <v>5800.0</v>
      </c>
      <c r="B5804" s="13" t="s">
        <v>5701</v>
      </c>
      <c r="C5804" s="18" t="s">
        <v>5825</v>
      </c>
      <c r="D5804" s="1"/>
      <c r="E5804" s="1"/>
      <c r="F5804" s="1" t="str">
        <f>IFERROR(__xludf.DUMMYFUNCTION("GOOGLETRANSLATE(B5804, ""en"", ""fa"")
"),"چاپ بر حسب تقاضا (POD)")</f>
        <v>چاپ بر حسب تقاضا (POD)</v>
      </c>
      <c r="G5804" s="1" t="str">
        <f>IFERROR(__xludf.DUMMYFUNCTION("GOOGLETRANSLATE(C5804, ""en"", ""fa"")
"),"استراتژی‌های بهینه‌سازی تکنیک‌های فروش متقابل و افزایش فروش فروشگاه Etsy برای افزایش میانگین ارزش سفارش چیست؟")</f>
        <v>استراتژی‌های بهینه‌سازی تکنیک‌های فروش متقابل و افزایش فروش فروشگاه Etsy برای افزایش میانگین ارزش سفارش چیست؟</v>
      </c>
      <c r="H5804" s="1"/>
      <c r="I5804" s="1"/>
      <c r="J5804" s="1"/>
      <c r="K5804" s="1"/>
      <c r="L5804" s="1"/>
      <c r="M5804" s="1"/>
      <c r="N5804" s="1"/>
      <c r="O5804" s="1"/>
      <c r="P5804" s="1"/>
      <c r="Q5804" s="1"/>
      <c r="R5804" s="1"/>
      <c r="S5804" s="1"/>
      <c r="T5804" s="1"/>
      <c r="U5804" s="1"/>
      <c r="V5804" s="1"/>
      <c r="W5804" s="1"/>
      <c r="X5804" s="1"/>
      <c r="Y5804" s="1"/>
      <c r="Z5804" s="1"/>
      <c r="AA5804" s="1"/>
      <c r="AB5804" s="1"/>
    </row>
    <row r="5805" ht="50.25" customHeight="1">
      <c r="A5805" s="12">
        <v>5801.0</v>
      </c>
      <c r="B5805" s="13" t="s">
        <v>5701</v>
      </c>
      <c r="C5805" s="18" t="s">
        <v>5826</v>
      </c>
      <c r="D5805" s="1"/>
      <c r="E5805" s="1"/>
      <c r="F5805" s="1" t="str">
        <f>IFERROR(__xludf.DUMMYFUNCTION("GOOGLETRANSLATE(B5805, ""en"", ""fa"")
"),"چاپ بر حسب تقاضا (POD)")</f>
        <v>چاپ بر حسب تقاضا (POD)</v>
      </c>
      <c r="G5805" s="1" t="str">
        <f>IFERROR(__xludf.DUMMYFUNCTION("GOOGLETRANSLATE(C5805, ""en"", ""fa"")
"),"چگونه از آمار و گزارش های فروشگاه Etsy برای به دست آوردن بینش در مورد رفتار مشتری و شناسایی فرصت های رشد استفاده کنیم؟")</f>
        <v>چگونه از آمار و گزارش های فروشگاه Etsy برای به دست آوردن بینش در مورد رفتار مشتری و شناسایی فرصت های رشد استفاده کنیم؟</v>
      </c>
      <c r="H5805" s="1"/>
      <c r="I5805" s="1"/>
      <c r="J5805" s="1"/>
      <c r="K5805" s="1"/>
      <c r="L5805" s="1"/>
      <c r="M5805" s="1"/>
      <c r="N5805" s="1"/>
      <c r="O5805" s="1"/>
      <c r="P5805" s="1"/>
      <c r="Q5805" s="1"/>
      <c r="R5805" s="1"/>
      <c r="S5805" s="1"/>
      <c r="T5805" s="1"/>
      <c r="U5805" s="1"/>
      <c r="V5805" s="1"/>
      <c r="W5805" s="1"/>
      <c r="X5805" s="1"/>
      <c r="Y5805" s="1"/>
      <c r="Z5805" s="1"/>
      <c r="AA5805" s="1"/>
      <c r="AB5805" s="1"/>
    </row>
    <row r="5806" ht="50.25" customHeight="1">
      <c r="A5806" s="12">
        <v>5802.0</v>
      </c>
      <c r="B5806" s="13" t="s">
        <v>5701</v>
      </c>
      <c r="C5806" s="18" t="s">
        <v>5827</v>
      </c>
      <c r="D5806" s="1"/>
      <c r="E5806" s="1"/>
      <c r="F5806" s="1" t="str">
        <f>IFERROR(__xludf.DUMMYFUNCTION("GOOGLETRANSLATE(B5806, ""en"", ""fa"")
"),"چاپ بر حسب تقاضا (POD)")</f>
        <v>چاپ بر حسب تقاضا (POD)</v>
      </c>
      <c r="G5806" s="1" t="str">
        <f>IFERROR(__xludf.DUMMYFUNCTION("GOOGLETRANSLATE(C5806, ""en"", ""fa"")
"),"تکنیک های بهینه سازی خدمات مشتری و پشتیبانی فروشگاه Etsy شما برای ارائه یک تجربه مثبت و شخصی چیست؟")</f>
        <v>تکنیک های بهینه سازی خدمات مشتری و پشتیبانی فروشگاه Etsy شما برای ارائه یک تجربه مثبت و شخصی چیست؟</v>
      </c>
      <c r="H5806" s="1"/>
      <c r="I5806" s="1"/>
      <c r="J5806" s="1"/>
      <c r="K5806" s="1"/>
      <c r="L5806" s="1"/>
      <c r="M5806" s="1"/>
      <c r="N5806" s="1"/>
      <c r="O5806" s="1"/>
      <c r="P5806" s="1"/>
      <c r="Q5806" s="1"/>
      <c r="R5806" s="1"/>
      <c r="S5806" s="1"/>
      <c r="T5806" s="1"/>
      <c r="U5806" s="1"/>
      <c r="V5806" s="1"/>
      <c r="W5806" s="1"/>
      <c r="X5806" s="1"/>
      <c r="Y5806" s="1"/>
      <c r="Z5806" s="1"/>
      <c r="AA5806" s="1"/>
      <c r="AB5806" s="1"/>
    </row>
    <row r="5807" ht="50.25" customHeight="1">
      <c r="A5807" s="12">
        <v>5803.0</v>
      </c>
      <c r="B5807" s="13" t="s">
        <v>5701</v>
      </c>
      <c r="C5807" s="18" t="s">
        <v>5828</v>
      </c>
      <c r="D5807" s="1"/>
      <c r="E5807" s="1"/>
      <c r="F5807" s="1" t="str">
        <f>IFERROR(__xludf.DUMMYFUNCTION("GOOGLETRANSLATE(B5807, ""en"", ""fa"")
"),"چاپ بر حسب تقاضا (POD)")</f>
        <v>چاپ بر حسب تقاضا (POD)</v>
      </c>
      <c r="G5807" s="1" t="str">
        <f>IFERROR(__xludf.DUMMYFUNCTION("GOOGLETRANSLATE(C5807, ""en"", ""fa"")
"),"چگونه برای افزایش فوریت و افزایش فروش، کمپین های تبلیغاتی فروشگاه Etsy خود، مانند فروش فصلی و پیشنهادات محدود، ایجاد و بهینه کنید؟")</f>
        <v>چگونه برای افزایش فوریت و افزایش فروش، کمپین های تبلیغاتی فروشگاه Etsy خود، مانند فروش فصلی و پیشنهادات محدود، ایجاد و بهینه کنید؟</v>
      </c>
      <c r="H5807" s="1"/>
      <c r="I5807" s="1"/>
      <c r="J5807" s="1"/>
      <c r="K5807" s="1"/>
      <c r="L5807" s="1"/>
      <c r="M5807" s="1"/>
      <c r="N5807" s="1"/>
      <c r="O5807" s="1"/>
      <c r="P5807" s="1"/>
      <c r="Q5807" s="1"/>
      <c r="R5807" s="1"/>
      <c r="S5807" s="1"/>
      <c r="T5807" s="1"/>
      <c r="U5807" s="1"/>
      <c r="V5807" s="1"/>
      <c r="W5807" s="1"/>
      <c r="X5807" s="1"/>
      <c r="Y5807" s="1"/>
      <c r="Z5807" s="1"/>
      <c r="AA5807" s="1"/>
      <c r="AB5807" s="1"/>
    </row>
    <row r="5808" ht="50.25" customHeight="1">
      <c r="A5808" s="12">
        <v>5804.0</v>
      </c>
      <c r="B5808" s="13" t="s">
        <v>5701</v>
      </c>
      <c r="C5808" s="18" t="s">
        <v>5829</v>
      </c>
      <c r="D5808" s="1"/>
      <c r="E5808" s="1"/>
      <c r="F5808" s="1" t="str">
        <f>IFERROR(__xludf.DUMMYFUNCTION("GOOGLETRANSLATE(B5808, ""en"", ""fa"")
"),"چاپ بر حسب تقاضا (POD)")</f>
        <v>چاپ بر حسب تقاضا (POD)</v>
      </c>
      <c r="G5808" s="1" t="str">
        <f>IFERROR(__xludf.DUMMYFUNCTION("GOOGLETRANSLATE(C5808, ""en"", ""fa"")
"),"استراتژی های بهینه سازی نام تجاری و هویت بصری فروشگاه Etsy شما برای ایجاد یک تجربه برند منسجم و به یاد ماندنی چیست؟")</f>
        <v>استراتژی های بهینه سازی نام تجاری و هویت بصری فروشگاه Etsy شما برای ایجاد یک تجربه برند منسجم و به یاد ماندنی چیست؟</v>
      </c>
      <c r="H5808" s="1"/>
      <c r="I5808" s="1"/>
      <c r="J5808" s="1"/>
      <c r="K5808" s="1"/>
      <c r="L5808" s="1"/>
      <c r="M5808" s="1"/>
      <c r="N5808" s="1"/>
      <c r="O5808" s="1"/>
      <c r="P5808" s="1"/>
      <c r="Q5808" s="1"/>
      <c r="R5808" s="1"/>
      <c r="S5808" s="1"/>
      <c r="T5808" s="1"/>
      <c r="U5808" s="1"/>
      <c r="V5808" s="1"/>
      <c r="W5808" s="1"/>
      <c r="X5808" s="1"/>
      <c r="Y5808" s="1"/>
      <c r="Z5808" s="1"/>
      <c r="AA5808" s="1"/>
      <c r="AB5808" s="1"/>
    </row>
    <row r="5809" ht="50.25" customHeight="1">
      <c r="A5809" s="12">
        <v>5805.0</v>
      </c>
      <c r="B5809" s="13" t="s">
        <v>5701</v>
      </c>
      <c r="C5809" s="18" t="s">
        <v>5830</v>
      </c>
      <c r="D5809" s="1"/>
      <c r="E5809" s="1"/>
      <c r="F5809" s="1" t="str">
        <f>IFERROR(__xludf.DUMMYFUNCTION("GOOGLETRANSLATE(B5809, ""en"", ""fa"")
"),"چاپ بر حسب تقاضا (POD)")</f>
        <v>چاپ بر حسب تقاضا (POD)</v>
      </c>
      <c r="G5809" s="1" t="str">
        <f>IFERROR(__xludf.DUMMYFUNCTION("GOOGLETRANSLATE(C5809, ""en"", ""fa"")
"),"چگونه از ایمیل‌های بازاریابی و اعلان‌های Etsy استفاده کنیم تا مشتریان را از محصولات و تبلیغات جدید مطلع کنیم؟")</f>
        <v>چگونه از ایمیل‌های بازاریابی و اعلان‌های Etsy استفاده کنیم تا مشتریان را از محصولات و تبلیغات جدید مطلع کنیم؟</v>
      </c>
      <c r="H5809" s="1"/>
      <c r="I5809" s="1"/>
      <c r="J5809" s="1"/>
      <c r="K5809" s="1"/>
      <c r="L5809" s="1"/>
      <c r="M5809" s="1"/>
      <c r="N5809" s="1"/>
      <c r="O5809" s="1"/>
      <c r="P5809" s="1"/>
      <c r="Q5809" s="1"/>
      <c r="R5809" s="1"/>
      <c r="S5809" s="1"/>
      <c r="T5809" s="1"/>
      <c r="U5809" s="1"/>
      <c r="V5809" s="1"/>
      <c r="W5809" s="1"/>
      <c r="X5809" s="1"/>
      <c r="Y5809" s="1"/>
      <c r="Z5809" s="1"/>
      <c r="AA5809" s="1"/>
      <c r="AB5809" s="1"/>
    </row>
    <row r="5810" ht="50.25" customHeight="1">
      <c r="A5810" s="12">
        <v>5806.0</v>
      </c>
      <c r="B5810" s="13" t="s">
        <v>5701</v>
      </c>
      <c r="C5810" s="18" t="s">
        <v>5831</v>
      </c>
      <c r="D5810" s="1"/>
      <c r="E5810" s="1"/>
      <c r="F5810" s="1" t="str">
        <f>IFERROR(__xludf.DUMMYFUNCTION("GOOGLETRANSLATE(B5810, ""en"", ""fa"")
"),"چاپ بر حسب تقاضا (POD)")</f>
        <v>چاپ بر حسب تقاضا (POD)</v>
      </c>
      <c r="G5810" s="1" t="str">
        <f>IFERROR(__xludf.DUMMYFUNCTION("GOOGLETRANSLATE(C5810, ""en"", ""fa"")
"),"تکنیک‌هایی برای بهینه‌سازی بسته‌بندی و درج‌های محصول فروشگاه Etsy شما برای ایجاد تأثیر ماندگار بر مشتریان چیست؟")</f>
        <v>تکنیک‌هایی برای بهینه‌سازی بسته‌بندی و درج‌های محصول فروشگاه Etsy شما برای ایجاد تأثیر ماندگار بر مشتریان چیست؟</v>
      </c>
      <c r="H5810" s="1"/>
      <c r="I5810" s="1"/>
      <c r="J5810" s="1"/>
      <c r="K5810" s="1"/>
      <c r="L5810" s="1"/>
      <c r="M5810" s="1"/>
      <c r="N5810" s="1"/>
      <c r="O5810" s="1"/>
      <c r="P5810" s="1"/>
      <c r="Q5810" s="1"/>
      <c r="R5810" s="1"/>
      <c r="S5810" s="1"/>
      <c r="T5810" s="1"/>
      <c r="U5810" s="1"/>
      <c r="V5810" s="1"/>
      <c r="W5810" s="1"/>
      <c r="X5810" s="1"/>
      <c r="Y5810" s="1"/>
      <c r="Z5810" s="1"/>
      <c r="AA5810" s="1"/>
      <c r="AB5810" s="1"/>
    </row>
    <row r="5811" ht="50.25" customHeight="1">
      <c r="A5811" s="12">
        <v>5807.0</v>
      </c>
      <c r="B5811" s="13" t="s">
        <v>5701</v>
      </c>
      <c r="C5811" s="18" t="s">
        <v>5832</v>
      </c>
      <c r="D5811" s="1"/>
      <c r="E5811" s="1"/>
      <c r="F5811" s="1" t="str">
        <f>IFERROR(__xludf.DUMMYFUNCTION("GOOGLETRANSLATE(B5811, ""en"", ""fa"")
"),"چاپ بر حسب تقاضا (POD)")</f>
        <v>چاپ بر حسب تقاضا (POD)</v>
      </c>
      <c r="G5811" s="1" t="str">
        <f>IFERROR(__xludf.DUMMYFUNCTION("GOOGLETRANSLATE(C5811, ""en"", ""fa"")
"),"چگونه از خط‌مشی‌ها و شرایط خدمات فروشگاه Etsy برای محافظت از کسب‌وکار خود و ایجاد انتظارات واضح با مشتریان استفاده کنید؟")</f>
        <v>چگونه از خط‌مشی‌ها و شرایط خدمات فروشگاه Etsy برای محافظت از کسب‌وکار خود و ایجاد انتظارات واضح با مشتریان استفاده کنید؟</v>
      </c>
      <c r="H5811" s="1"/>
      <c r="I5811" s="1"/>
      <c r="J5811" s="1"/>
      <c r="K5811" s="1"/>
      <c r="L5811" s="1"/>
      <c r="M5811" s="1"/>
      <c r="N5811" s="1"/>
      <c r="O5811" s="1"/>
      <c r="P5811" s="1"/>
      <c r="Q5811" s="1"/>
      <c r="R5811" s="1"/>
      <c r="S5811" s="1"/>
      <c r="T5811" s="1"/>
      <c r="U5811" s="1"/>
      <c r="V5811" s="1"/>
      <c r="W5811" s="1"/>
      <c r="X5811" s="1"/>
      <c r="Y5811" s="1"/>
      <c r="Z5811" s="1"/>
      <c r="AA5811" s="1"/>
      <c r="AB5811" s="1"/>
    </row>
    <row r="5812" ht="50.25" customHeight="1">
      <c r="A5812" s="12">
        <v>5808.0</v>
      </c>
      <c r="B5812" s="13" t="s">
        <v>5701</v>
      </c>
      <c r="C5812" s="18" t="s">
        <v>5833</v>
      </c>
      <c r="D5812" s="1"/>
      <c r="E5812" s="1"/>
      <c r="F5812" s="1" t="str">
        <f>IFERROR(__xludf.DUMMYFUNCTION("GOOGLETRANSLATE(B5812, ""en"", ""fa"")
"),"چاپ بر حسب تقاضا (POD)")</f>
        <v>چاپ بر حسب تقاضا (POD)</v>
      </c>
      <c r="G5812" s="1" t="str">
        <f>IFERROR(__xludf.DUMMYFUNCTION("GOOGLETRANSLATE(C5812, ""en"", ""fa"")
"),"بهترین روش‌ها برای بهینه‌سازی بازخورد و نظرات مشتریان فروشگاه Etsy شما برای ایجاد شهرت مثبت چیست؟")</f>
        <v>بهترین روش‌ها برای بهینه‌سازی بازخورد و نظرات مشتریان فروشگاه Etsy شما برای ایجاد شهرت مثبت چیست؟</v>
      </c>
      <c r="H5812" s="1"/>
      <c r="I5812" s="1"/>
      <c r="J5812" s="1"/>
      <c r="K5812" s="1"/>
      <c r="L5812" s="1"/>
      <c r="M5812" s="1"/>
      <c r="N5812" s="1"/>
      <c r="O5812" s="1"/>
      <c r="P5812" s="1"/>
      <c r="Q5812" s="1"/>
      <c r="R5812" s="1"/>
      <c r="S5812" s="1"/>
      <c r="T5812" s="1"/>
      <c r="U5812" s="1"/>
      <c r="V5812" s="1"/>
      <c r="W5812" s="1"/>
      <c r="X5812" s="1"/>
      <c r="Y5812" s="1"/>
      <c r="Z5812" s="1"/>
      <c r="AA5812" s="1"/>
      <c r="AB5812" s="1"/>
    </row>
    <row r="5813" ht="50.25" customHeight="1">
      <c r="A5813" s="12">
        <v>5809.0</v>
      </c>
      <c r="B5813" s="13" t="s">
        <v>5701</v>
      </c>
      <c r="C5813" s="18" t="s">
        <v>5834</v>
      </c>
      <c r="D5813" s="1"/>
      <c r="E5813" s="1"/>
      <c r="F5813" s="1" t="str">
        <f>IFERROR(__xludf.DUMMYFUNCTION("GOOGLETRANSLATE(B5813, ""en"", ""fa"")
"),"چاپ بر حسب تقاضا (POD)")</f>
        <v>چاپ بر حسب تقاضا (POD)</v>
      </c>
      <c r="G5813" s="1" t="str">
        <f>IFERROR(__xludf.DUMMYFUNCTION("GOOGLETRANSLATE(C5813, ""en"", ""fa"")
"),"چگونه برنامه وفاداری مشتری فروشگاه Etsy خود را ایجاد و بهینه کنید تا خریدهای تکراری را تشویق کنید و حفظ مشتری را تقویت کنید؟")</f>
        <v>چگونه برنامه وفاداری مشتری فروشگاه Etsy خود را ایجاد و بهینه کنید تا خریدهای تکراری را تشویق کنید و حفظ مشتری را تقویت کنید؟</v>
      </c>
      <c r="H5813" s="1"/>
      <c r="I5813" s="1"/>
      <c r="J5813" s="1"/>
      <c r="K5813" s="1"/>
      <c r="L5813" s="1"/>
      <c r="M5813" s="1"/>
      <c r="N5813" s="1"/>
      <c r="O5813" s="1"/>
      <c r="P5813" s="1"/>
      <c r="Q5813" s="1"/>
      <c r="R5813" s="1"/>
      <c r="S5813" s="1"/>
      <c r="T5813" s="1"/>
      <c r="U5813" s="1"/>
      <c r="V5813" s="1"/>
      <c r="W5813" s="1"/>
      <c r="X5813" s="1"/>
      <c r="Y5813" s="1"/>
      <c r="Z5813" s="1"/>
      <c r="AA5813" s="1"/>
      <c r="AB5813" s="1"/>
    </row>
    <row r="5814" ht="50.25" customHeight="1">
      <c r="A5814" s="12">
        <v>5810.0</v>
      </c>
      <c r="B5814" s="13" t="s">
        <v>5701</v>
      </c>
      <c r="C5814" s="18" t="s">
        <v>5835</v>
      </c>
      <c r="D5814" s="1"/>
      <c r="E5814" s="1"/>
      <c r="F5814" s="1" t="str">
        <f>IFERROR(__xludf.DUMMYFUNCTION("GOOGLETRANSLATE(B5814, ""en"", ""fa"")
"),"چاپ بر حسب تقاضا (POD)")</f>
        <v>چاپ بر حسب تقاضا (POD)</v>
      </c>
      <c r="G5814" s="1" t="str">
        <f>IFERROR(__xludf.DUMMYFUNCTION("GOOGLETRANSLATE(C5814, ""en"", ""fa"")
"),"استراتژی‌های بهینه‌سازی پاسخگویی تلفن همراه فروشگاه Etsy و تجربه کاربری برای مشتریانی که در دستگاه‌های تلفن همراه مرور می‌کنند چیست؟")</f>
        <v>استراتژی‌های بهینه‌سازی پاسخگویی تلفن همراه فروشگاه Etsy و تجربه کاربری برای مشتریانی که در دستگاه‌های تلفن همراه مرور می‌کنند چیست؟</v>
      </c>
      <c r="H5814" s="1"/>
      <c r="I5814" s="1"/>
      <c r="J5814" s="1"/>
      <c r="K5814" s="1"/>
      <c r="L5814" s="1"/>
      <c r="M5814" s="1"/>
      <c r="N5814" s="1"/>
      <c r="O5814" s="1"/>
      <c r="P5814" s="1"/>
      <c r="Q5814" s="1"/>
      <c r="R5814" s="1"/>
      <c r="S5814" s="1"/>
      <c r="T5814" s="1"/>
      <c r="U5814" s="1"/>
      <c r="V5814" s="1"/>
      <c r="W5814" s="1"/>
      <c r="X5814" s="1"/>
      <c r="Y5814" s="1"/>
      <c r="Z5814" s="1"/>
      <c r="AA5814" s="1"/>
      <c r="AB5814" s="1"/>
    </row>
    <row r="5815" ht="50.25" customHeight="1">
      <c r="A5815" s="12">
        <v>5811.0</v>
      </c>
      <c r="B5815" s="13" t="s">
        <v>5701</v>
      </c>
      <c r="C5815" s="18" t="s">
        <v>5836</v>
      </c>
      <c r="D5815" s="1"/>
      <c r="E5815" s="1"/>
      <c r="F5815" s="1" t="str">
        <f>IFERROR(__xludf.DUMMYFUNCTION("GOOGLETRANSLATE(B5815, ""en"", ""fa"")
"),"چاپ بر حسب تقاضا (POD)")</f>
        <v>چاپ بر حسب تقاضا (POD)</v>
      </c>
      <c r="G5815" s="1" t="str">
        <f>IFERROR(__xludf.DUMMYFUNCTION("GOOGLETRANSLATE(C5815, ""en"", ""fa"")
"),"چگونه از داده های تجزیه و تحلیل Etsy برای شناسایی محصولات با عملکرد برتر فروشگاه خود و تمرکز بر مقیاس موفقیت خود استفاده کنید؟")</f>
        <v>چگونه از داده های تجزیه و تحلیل Etsy برای شناسایی محصولات با عملکرد برتر فروشگاه خود و تمرکز بر مقیاس موفقیت خود استفاده کنید؟</v>
      </c>
      <c r="H5815" s="1"/>
      <c r="I5815" s="1"/>
      <c r="J5815" s="1"/>
      <c r="K5815" s="1"/>
      <c r="L5815" s="1"/>
      <c r="M5815" s="1"/>
      <c r="N5815" s="1"/>
      <c r="O5815" s="1"/>
      <c r="P5815" s="1"/>
      <c r="Q5815" s="1"/>
      <c r="R5815" s="1"/>
      <c r="S5815" s="1"/>
      <c r="T5815" s="1"/>
      <c r="U5815" s="1"/>
      <c r="V5815" s="1"/>
      <c r="W5815" s="1"/>
      <c r="X5815" s="1"/>
      <c r="Y5815" s="1"/>
      <c r="Z5815" s="1"/>
      <c r="AA5815" s="1"/>
      <c r="AB5815" s="1"/>
    </row>
    <row r="5816" ht="50.25" customHeight="1">
      <c r="A5816" s="12">
        <v>5812.0</v>
      </c>
      <c r="B5816" s="13" t="s">
        <v>5701</v>
      </c>
      <c r="C5816" s="18" t="s">
        <v>5837</v>
      </c>
      <c r="D5816" s="1"/>
      <c r="E5816" s="1"/>
      <c r="F5816" s="1" t="str">
        <f>IFERROR(__xludf.DUMMYFUNCTION("GOOGLETRANSLATE(B5816, ""en"", ""fa"")
"),"چاپ بر حسب تقاضا (POD)")</f>
        <v>چاپ بر حسب تقاضا (POD)</v>
      </c>
      <c r="G5816" s="1" t="str">
        <f>IFERROR(__xludf.DUMMYFUNCTION("GOOGLETRANSLATE(C5816, ""en"", ""fa"")
"),"تکنیک‌هایی برای بهینه‌سازی تلاش‌های بازاریابی دیجیتال فروشگاه Etsy شما، مانند تبلیغات رسانه‌های اجتماعی و همکاری‌های اینفلوئنسر چیست؟")</f>
        <v>تکنیک‌هایی برای بهینه‌سازی تلاش‌های بازاریابی دیجیتال فروشگاه Etsy شما، مانند تبلیغات رسانه‌های اجتماعی و همکاری‌های اینفلوئنسر چیست؟</v>
      </c>
      <c r="H5816" s="1"/>
      <c r="I5816" s="1"/>
      <c r="J5816" s="1"/>
      <c r="K5816" s="1"/>
      <c r="L5816" s="1"/>
      <c r="M5816" s="1"/>
      <c r="N5816" s="1"/>
      <c r="O5816" s="1"/>
      <c r="P5816" s="1"/>
      <c r="Q5816" s="1"/>
      <c r="R5816" s="1"/>
      <c r="S5816" s="1"/>
      <c r="T5816" s="1"/>
      <c r="U5816" s="1"/>
      <c r="V5816" s="1"/>
      <c r="W5816" s="1"/>
      <c r="X5816" s="1"/>
      <c r="Y5816" s="1"/>
      <c r="Z5816" s="1"/>
      <c r="AA5816" s="1"/>
      <c r="AB5816" s="1"/>
    </row>
    <row r="5817" ht="50.25" customHeight="1">
      <c r="A5817" s="12">
        <v>5813.0</v>
      </c>
      <c r="B5817" s="13" t="s">
        <v>5701</v>
      </c>
      <c r="C5817" s="18" t="s">
        <v>5838</v>
      </c>
      <c r="D5817" s="1"/>
      <c r="E5817" s="1"/>
      <c r="F5817" s="1" t="str">
        <f>IFERROR(__xludf.DUMMYFUNCTION("GOOGLETRANSLATE(B5817, ""en"", ""fa"")
"),"چاپ بر حسب تقاضا (POD)")</f>
        <v>چاپ بر حسب تقاضا (POD)</v>
      </c>
      <c r="G5817" s="1" t="str">
        <f>IFERROR(__xludf.DUMMYFUNCTION("GOOGLETRANSLATE(C5817, ""en"", ""fa"")
"),"چگونه از به روز رسانی های فروشگاه Etsy و محتوای پشت صحنه برای ایجاد ارتباط با مشتریان و نمایش داستان منحصر به فرد فروشگاه خود استفاده کنید؟")</f>
        <v>چگونه از به روز رسانی های فروشگاه Etsy و محتوای پشت صحنه برای ایجاد ارتباط با مشتریان و نمایش داستان منحصر به فرد فروشگاه خود استفاده کنید؟</v>
      </c>
      <c r="H5817" s="1"/>
      <c r="I5817" s="1"/>
      <c r="J5817" s="1"/>
      <c r="K5817" s="1"/>
      <c r="L5817" s="1"/>
      <c r="M5817" s="1"/>
      <c r="N5817" s="1"/>
      <c r="O5817" s="1"/>
      <c r="P5817" s="1"/>
      <c r="Q5817" s="1"/>
      <c r="R5817" s="1"/>
      <c r="S5817" s="1"/>
      <c r="T5817" s="1"/>
      <c r="U5817" s="1"/>
      <c r="V5817" s="1"/>
      <c r="W5817" s="1"/>
      <c r="X5817" s="1"/>
      <c r="Y5817" s="1"/>
      <c r="Z5817" s="1"/>
      <c r="AA5817" s="1"/>
      <c r="AB5817" s="1"/>
    </row>
    <row r="5818" ht="50.25" customHeight="1">
      <c r="A5818" s="12">
        <v>5814.0</v>
      </c>
      <c r="B5818" s="13" t="s">
        <v>5701</v>
      </c>
      <c r="C5818" s="18" t="s">
        <v>5839</v>
      </c>
      <c r="D5818" s="1"/>
      <c r="E5818" s="1"/>
      <c r="F5818" s="1" t="str">
        <f>IFERROR(__xludf.DUMMYFUNCTION("GOOGLETRANSLATE(B5818, ""en"", ""fa"")
"),"چاپ بر حسب تقاضا (POD)")</f>
        <v>چاپ بر حسب تقاضا (POD)</v>
      </c>
      <c r="G5818" s="1" t="str">
        <f>IFERROR(__xludf.DUMMYFUNCTION("GOOGLETRANSLATE(C5818, ""en"", ""fa"")
"),"استراتژی‌هایی برای بهینه‌سازی فرآیندهای پیش‌بینی موجودی و ذخیره مجدد موجودی فروشگاه Etsy شما برای حفظ در دسترس بودن محصول چیست؟")</f>
        <v>استراتژی‌هایی برای بهینه‌سازی فرآیندهای پیش‌بینی موجودی و ذخیره مجدد موجودی فروشگاه Etsy شما برای حفظ در دسترس بودن محصول چیست؟</v>
      </c>
      <c r="H5818" s="1"/>
      <c r="I5818" s="1"/>
      <c r="J5818" s="1"/>
      <c r="K5818" s="1"/>
      <c r="L5818" s="1"/>
      <c r="M5818" s="1"/>
      <c r="N5818" s="1"/>
      <c r="O5818" s="1"/>
      <c r="P5818" s="1"/>
      <c r="Q5818" s="1"/>
      <c r="R5818" s="1"/>
      <c r="S5818" s="1"/>
      <c r="T5818" s="1"/>
      <c r="U5818" s="1"/>
      <c r="V5818" s="1"/>
      <c r="W5818" s="1"/>
      <c r="X5818" s="1"/>
      <c r="Y5818" s="1"/>
      <c r="Z5818" s="1"/>
      <c r="AA5818" s="1"/>
      <c r="AB5818" s="1"/>
    </row>
    <row r="5819" ht="50.25" customHeight="1">
      <c r="A5819" s="12">
        <v>5815.0</v>
      </c>
      <c r="B5819" s="13" t="s">
        <v>5701</v>
      </c>
      <c r="C5819" s="18" t="s">
        <v>5840</v>
      </c>
      <c r="D5819" s="1"/>
      <c r="E5819" s="1"/>
      <c r="F5819" s="1" t="str">
        <f>IFERROR(__xludf.DUMMYFUNCTION("GOOGLETRANSLATE(B5819, ""en"", ""fa"")
"),"چاپ بر حسب تقاضا (POD)")</f>
        <v>چاپ بر حسب تقاضا (POD)</v>
      </c>
      <c r="G5819" s="1" t="str">
        <f>IFERROR(__xludf.DUMMYFUNCTION("GOOGLETRANSLATE(C5819, ""en"", ""fa"")
"),"چگونه از تجزیه و تحلیل تبلیغات Etsy برای اندازه گیری اثربخشی کمپین های تبلیغاتی خود و تنظیم استراتژی ها بر اساس آن استفاده کنید؟")</f>
        <v>چگونه از تجزیه و تحلیل تبلیغات Etsy برای اندازه گیری اثربخشی کمپین های تبلیغاتی خود و تنظیم استراتژی ها بر اساس آن استفاده کنید؟</v>
      </c>
      <c r="H5819" s="1"/>
      <c r="I5819" s="1"/>
      <c r="J5819" s="1"/>
      <c r="K5819" s="1"/>
      <c r="L5819" s="1"/>
      <c r="M5819" s="1"/>
      <c r="N5819" s="1"/>
      <c r="O5819" s="1"/>
      <c r="P5819" s="1"/>
      <c r="Q5819" s="1"/>
      <c r="R5819" s="1"/>
      <c r="S5819" s="1"/>
      <c r="T5819" s="1"/>
      <c r="U5819" s="1"/>
      <c r="V5819" s="1"/>
      <c r="W5819" s="1"/>
      <c r="X5819" s="1"/>
      <c r="Y5819" s="1"/>
      <c r="Z5819" s="1"/>
      <c r="AA5819" s="1"/>
      <c r="AB5819" s="1"/>
    </row>
    <row r="5820" ht="50.25" customHeight="1">
      <c r="A5820" s="12">
        <v>5816.0</v>
      </c>
      <c r="B5820" s="13" t="s">
        <v>5701</v>
      </c>
      <c r="C5820" s="18" t="s">
        <v>5841</v>
      </c>
      <c r="D5820" s="1"/>
      <c r="E5820" s="1"/>
      <c r="F5820" s="1" t="str">
        <f>IFERROR(__xludf.DUMMYFUNCTION("GOOGLETRANSLATE(B5820, ""en"", ""fa"")
"),"چاپ بر حسب تقاضا (POD)")</f>
        <v>چاپ بر حسب تقاضا (POD)</v>
      </c>
      <c r="G5820" s="1" t="str">
        <f>IFERROR(__xludf.DUMMYFUNCTION("GOOGLETRANSLATE(C5820, ""en"", ""fa"")
"),"تکنیک‌های بهینه‌سازی ادغام رسانه‌های اجتماعی فروشگاه Etsy شما برای افزایش ترافیک و افزایش دیده شدن برند چیست؟")</f>
        <v>تکنیک‌های بهینه‌سازی ادغام رسانه‌های اجتماعی فروشگاه Etsy شما برای افزایش ترافیک و افزایش دیده شدن برند چیست؟</v>
      </c>
      <c r="H5820" s="1"/>
      <c r="I5820" s="1"/>
      <c r="J5820" s="1"/>
      <c r="K5820" s="1"/>
      <c r="L5820" s="1"/>
      <c r="M5820" s="1"/>
      <c r="N5820" s="1"/>
      <c r="O5820" s="1"/>
      <c r="P5820" s="1"/>
      <c r="Q5820" s="1"/>
      <c r="R5820" s="1"/>
      <c r="S5820" s="1"/>
      <c r="T5820" s="1"/>
      <c r="U5820" s="1"/>
      <c r="V5820" s="1"/>
      <c r="W5820" s="1"/>
      <c r="X5820" s="1"/>
      <c r="Y5820" s="1"/>
      <c r="Z5820" s="1"/>
      <c r="AA5820" s="1"/>
      <c r="AB5820" s="1"/>
    </row>
    <row r="5821" ht="50.25" customHeight="1">
      <c r="A5821" s="12">
        <v>5817.0</v>
      </c>
      <c r="B5821" s="13" t="s">
        <v>5701</v>
      </c>
      <c r="C5821" s="18" t="s">
        <v>5842</v>
      </c>
      <c r="D5821" s="1"/>
      <c r="E5821" s="1"/>
      <c r="F5821" s="1" t="str">
        <f>IFERROR(__xludf.DUMMYFUNCTION("GOOGLETRANSLATE(B5821, ""en"", ""fa"")
"),"چاپ بر حسب تقاضا (POD)")</f>
        <v>چاپ بر حسب تقاضا (POD)</v>
      </c>
      <c r="G5821" s="1" t="str">
        <f>IFERROR(__xludf.DUMMYFUNCTION("GOOGLETRANSLATE(C5821, ""en"", ""fa"")
"),"چگونه از تجزیه و تحلیل فروشگاه Etsy برای شناسایی روندها و تقاضاهای بازار استفاده کنید و به شما این امکان را می دهد که پیشنهادات محصول خود را مطابق با آن هماهنگ کنید؟")</f>
        <v>چگونه از تجزیه و تحلیل فروشگاه Etsy برای شناسایی روندها و تقاضاهای بازار استفاده کنید و به شما این امکان را می دهد که پیشنهادات محصول خود را مطابق با آن هماهنگ کنید؟</v>
      </c>
      <c r="H5821" s="1"/>
      <c r="I5821" s="1"/>
      <c r="J5821" s="1"/>
      <c r="K5821" s="1"/>
      <c r="L5821" s="1"/>
      <c r="M5821" s="1"/>
      <c r="N5821" s="1"/>
      <c r="O5821" s="1"/>
      <c r="P5821" s="1"/>
      <c r="Q5821" s="1"/>
      <c r="R5821" s="1"/>
      <c r="S5821" s="1"/>
      <c r="T5821" s="1"/>
      <c r="U5821" s="1"/>
      <c r="V5821" s="1"/>
      <c r="W5821" s="1"/>
      <c r="X5821" s="1"/>
      <c r="Y5821" s="1"/>
      <c r="Z5821" s="1"/>
      <c r="AA5821" s="1"/>
      <c r="AB5821" s="1"/>
    </row>
    <row r="5822" ht="50.25" customHeight="1">
      <c r="A5822" s="12">
        <v>5818.0</v>
      </c>
      <c r="B5822" s="13" t="s">
        <v>5701</v>
      </c>
      <c r="C5822" s="18" t="s">
        <v>5843</v>
      </c>
      <c r="D5822" s="1"/>
      <c r="E5822" s="1"/>
      <c r="F5822" s="1" t="str">
        <f>IFERROR(__xludf.DUMMYFUNCTION("GOOGLETRANSLATE(B5822, ""en"", ""fa"")
"),"چاپ بر حسب تقاضا (POD)")</f>
        <v>چاپ بر حسب تقاضا (POD)</v>
      </c>
      <c r="G5822" s="1" t="str">
        <f>IFERROR(__xludf.DUMMYFUNCTION("GOOGLETRANSLATE(C5822, ""en"", ""fa"")
"),"استراتژی‌هایی برای بهینه‌سازی فهرست محصولات فروشگاه Etsy و استراتژی‌های فهرست‌بندی مجدد برای حفظ دید و حرکت چیست؟")</f>
        <v>استراتژی‌هایی برای بهینه‌سازی فهرست محصولات فروشگاه Etsy و استراتژی‌های فهرست‌بندی مجدد برای حفظ دید و حرکت چیست؟</v>
      </c>
      <c r="H5822" s="1"/>
      <c r="I5822" s="1"/>
      <c r="J5822" s="1"/>
      <c r="K5822" s="1"/>
      <c r="L5822" s="1"/>
      <c r="M5822" s="1"/>
      <c r="N5822" s="1"/>
      <c r="O5822" s="1"/>
      <c r="P5822" s="1"/>
      <c r="Q5822" s="1"/>
      <c r="R5822" s="1"/>
      <c r="S5822" s="1"/>
      <c r="T5822" s="1"/>
      <c r="U5822" s="1"/>
      <c r="V5822" s="1"/>
      <c r="W5822" s="1"/>
      <c r="X5822" s="1"/>
      <c r="Y5822" s="1"/>
      <c r="Z5822" s="1"/>
      <c r="AA5822" s="1"/>
      <c r="AB5822" s="1"/>
    </row>
    <row r="5823" ht="50.25" customHeight="1">
      <c r="A5823" s="12">
        <v>5819.0</v>
      </c>
      <c r="B5823" s="13" t="s">
        <v>5701</v>
      </c>
      <c r="C5823" s="18" t="s">
        <v>5844</v>
      </c>
      <c r="D5823" s="1"/>
      <c r="E5823" s="1"/>
      <c r="F5823" s="1" t="str">
        <f>IFERROR(__xludf.DUMMYFUNCTION("GOOGLETRANSLATE(B5823, ""en"", ""fa"")
"),"چاپ بر حسب تقاضا (POD)")</f>
        <v>چاپ بر حسب تقاضا (POD)</v>
      </c>
      <c r="G5823" s="1" t="str">
        <f>IFERROR(__xludf.DUMMYFUNCTION("GOOGLETRANSLATE(C5823, ""en"", ""fa"")
"),"چگونه از گزینه‌های سفارشی‌سازی فروشگاه Etsy، مانند بخش‌های فروشگاه و عکس‌های روی جلد، برای ایجاد یک ویترین جذاب بصری استفاده کنیم؟")</f>
        <v>چگونه از گزینه‌های سفارشی‌سازی فروشگاه Etsy، مانند بخش‌های فروشگاه و عکس‌های روی جلد، برای ایجاد یک ویترین جذاب بصری استفاده کنیم؟</v>
      </c>
      <c r="H5823" s="1"/>
      <c r="I5823" s="1"/>
      <c r="J5823" s="1"/>
      <c r="K5823" s="1"/>
      <c r="L5823" s="1"/>
      <c r="M5823" s="1"/>
      <c r="N5823" s="1"/>
      <c r="O5823" s="1"/>
      <c r="P5823" s="1"/>
      <c r="Q5823" s="1"/>
      <c r="R5823" s="1"/>
      <c r="S5823" s="1"/>
      <c r="T5823" s="1"/>
      <c r="U5823" s="1"/>
      <c r="V5823" s="1"/>
      <c r="W5823" s="1"/>
      <c r="X5823" s="1"/>
      <c r="Y5823" s="1"/>
      <c r="Z5823" s="1"/>
      <c r="AA5823" s="1"/>
      <c r="AB5823" s="1"/>
    </row>
    <row r="5824" ht="50.25" customHeight="1">
      <c r="A5824" s="12">
        <v>5820.0</v>
      </c>
      <c r="B5824" s="13" t="s">
        <v>5701</v>
      </c>
      <c r="C5824" s="18" t="s">
        <v>5845</v>
      </c>
      <c r="D5824" s="1"/>
      <c r="E5824" s="1"/>
      <c r="F5824" s="1" t="str">
        <f>IFERROR(__xludf.DUMMYFUNCTION("GOOGLETRANSLATE(B5824, ""en"", ""fa"")
"),"چاپ بر حسب تقاضا (POD)")</f>
        <v>چاپ بر حسب تقاضا (POD)</v>
      </c>
      <c r="G5824" s="1" t="str">
        <f>IFERROR(__xludf.DUMMYFUNCTION("GOOGLETRANSLATE(C5824, ""en"", ""fa"")
"),"تکنیک های بهینه سازی رقابت قیمت فروشگاه Etsy شما در عین حصول اطمینان از سودآوری و درک ارزش چیست؟")</f>
        <v>تکنیک های بهینه سازی رقابت قیمت فروشگاه Etsy شما در عین حصول اطمینان از سودآوری و درک ارزش چیست؟</v>
      </c>
      <c r="H5824" s="1"/>
      <c r="I5824" s="1"/>
      <c r="J5824" s="1"/>
      <c r="K5824" s="1"/>
      <c r="L5824" s="1"/>
      <c r="M5824" s="1"/>
      <c r="N5824" s="1"/>
      <c r="O5824" s="1"/>
      <c r="P5824" s="1"/>
      <c r="Q5824" s="1"/>
      <c r="R5824" s="1"/>
      <c r="S5824" s="1"/>
      <c r="T5824" s="1"/>
      <c r="U5824" s="1"/>
      <c r="V5824" s="1"/>
      <c r="W5824" s="1"/>
      <c r="X5824" s="1"/>
      <c r="Y5824" s="1"/>
      <c r="Z5824" s="1"/>
      <c r="AA5824" s="1"/>
      <c r="AB5824" s="1"/>
    </row>
    <row r="5825" ht="50.25" customHeight="1">
      <c r="A5825" s="12">
        <v>5821.0</v>
      </c>
      <c r="B5825" s="13" t="s">
        <v>5701</v>
      </c>
      <c r="C5825" s="18" t="s">
        <v>5846</v>
      </c>
      <c r="D5825" s="1"/>
      <c r="E5825" s="1"/>
      <c r="F5825" s="1" t="str">
        <f>IFERROR(__xludf.DUMMYFUNCTION("GOOGLETRANSLATE(B5825, ""en"", ""fa"")
"),"چاپ بر حسب تقاضا (POD)")</f>
        <v>چاپ بر حسب تقاضا (POD)</v>
      </c>
      <c r="G5825" s="1" t="str">
        <f>IFERROR(__xludf.DUMMYFUNCTION("GOOGLETRANSLATE(C5825, ""en"", ""fa"")
"),"چگونه از اطلاعیه های فروشگاه و پست های رسانه های اجتماعی Etsy برای تبلیغ محصولات با نسخه محدود و پیشنهادات انحصاری استفاده کنیم؟")</f>
        <v>چگونه از اطلاعیه های فروشگاه و پست های رسانه های اجتماعی Etsy برای تبلیغ محصولات با نسخه محدود و پیشنهادات انحصاری استفاده کنیم؟</v>
      </c>
      <c r="H5825" s="1"/>
      <c r="I5825" s="1"/>
      <c r="J5825" s="1"/>
      <c r="K5825" s="1"/>
      <c r="L5825" s="1"/>
      <c r="M5825" s="1"/>
      <c r="N5825" s="1"/>
      <c r="O5825" s="1"/>
      <c r="P5825" s="1"/>
      <c r="Q5825" s="1"/>
      <c r="R5825" s="1"/>
      <c r="S5825" s="1"/>
      <c r="T5825" s="1"/>
      <c r="U5825" s="1"/>
      <c r="V5825" s="1"/>
      <c r="W5825" s="1"/>
      <c r="X5825" s="1"/>
      <c r="Y5825" s="1"/>
      <c r="Z5825" s="1"/>
      <c r="AA5825" s="1"/>
      <c r="AB5825" s="1"/>
    </row>
    <row r="5826" ht="50.25" customHeight="1">
      <c r="A5826" s="12">
        <v>5822.0</v>
      </c>
      <c r="B5826" s="13" t="s">
        <v>5701</v>
      </c>
      <c r="C5826" s="18" t="s">
        <v>5847</v>
      </c>
      <c r="D5826" s="1"/>
      <c r="E5826" s="1"/>
      <c r="F5826" s="1" t="str">
        <f>IFERROR(__xludf.DUMMYFUNCTION("GOOGLETRANSLATE(B5826, ""en"", ""fa"")
"),"چاپ بر حسب تقاضا (POD)")</f>
        <v>چاپ بر حسب تقاضا (POD)</v>
      </c>
      <c r="G5826" s="1" t="str">
        <f>IFERROR(__xludf.DUMMYFUNCTION("GOOGLETRANSLATE(C5826, ""en"", ""fa"")
"),"بهترین روش ها برای بهینه سازی تعامل و پاسخگویی مشتری فروشگاه Etsy شما برای ایجاد روابط بلندمدت با مشتری چیست؟")</f>
        <v>بهترین روش ها برای بهینه سازی تعامل و پاسخگویی مشتری فروشگاه Etsy شما برای ایجاد روابط بلندمدت با مشتری چیست؟</v>
      </c>
      <c r="H5826" s="1"/>
      <c r="I5826" s="1"/>
      <c r="J5826" s="1"/>
      <c r="K5826" s="1"/>
      <c r="L5826" s="1"/>
      <c r="M5826" s="1"/>
      <c r="N5826" s="1"/>
      <c r="O5826" s="1"/>
      <c r="P5826" s="1"/>
      <c r="Q5826" s="1"/>
      <c r="R5826" s="1"/>
      <c r="S5826" s="1"/>
      <c r="T5826" s="1"/>
      <c r="U5826" s="1"/>
      <c r="V5826" s="1"/>
      <c r="W5826" s="1"/>
      <c r="X5826" s="1"/>
      <c r="Y5826" s="1"/>
      <c r="Z5826" s="1"/>
      <c r="AA5826" s="1"/>
      <c r="AB5826" s="1"/>
    </row>
    <row r="5827" ht="50.25" customHeight="1">
      <c r="A5827" s="12">
        <v>5823.0</v>
      </c>
      <c r="B5827" s="13" t="s">
        <v>5701</v>
      </c>
      <c r="C5827" s="18" t="s">
        <v>5848</v>
      </c>
      <c r="D5827" s="1"/>
      <c r="E5827" s="1"/>
      <c r="F5827" s="1" t="str">
        <f>IFERROR(__xludf.DUMMYFUNCTION("GOOGLETRANSLATE(B5827, ""en"", ""fa"")
"),"چاپ بر حسب تقاضا (POD)")</f>
        <v>چاپ بر حسب تقاضا (POD)</v>
      </c>
      <c r="G5827" s="1" t="str">
        <f>IFERROR(__xludf.DUMMYFUNCTION("GOOGLETRANSLATE(C5827, ""en"", ""fa"")
"),"چگونه برای تشویق وفاداری مشتری و تکرار خرید، درج بسته بندی محصولات فروشگاه Etsy و یادداشت های تشکر را ایجاد و بهینه کنیم؟")</f>
        <v>چگونه برای تشویق وفاداری مشتری و تکرار خرید، درج بسته بندی محصولات فروشگاه Etsy و یادداشت های تشکر را ایجاد و بهینه کنیم؟</v>
      </c>
      <c r="H5827" s="1"/>
      <c r="I5827" s="1"/>
      <c r="J5827" s="1"/>
      <c r="K5827" s="1"/>
      <c r="L5827" s="1"/>
      <c r="M5827" s="1"/>
      <c r="N5827" s="1"/>
      <c r="O5827" s="1"/>
      <c r="P5827" s="1"/>
      <c r="Q5827" s="1"/>
      <c r="R5827" s="1"/>
      <c r="S5827" s="1"/>
      <c r="T5827" s="1"/>
      <c r="U5827" s="1"/>
      <c r="V5827" s="1"/>
      <c r="W5827" s="1"/>
      <c r="X5827" s="1"/>
      <c r="Y5827" s="1"/>
      <c r="Z5827" s="1"/>
      <c r="AA5827" s="1"/>
      <c r="AB5827" s="1"/>
    </row>
    <row r="5828" ht="50.25" customHeight="1">
      <c r="A5828" s="12">
        <v>5824.0</v>
      </c>
      <c r="B5828" s="13" t="s">
        <v>5701</v>
      </c>
      <c r="C5828" s="18" t="s">
        <v>5849</v>
      </c>
      <c r="D5828" s="1"/>
      <c r="E5828" s="1"/>
      <c r="F5828" s="1" t="str">
        <f>IFERROR(__xludf.DUMMYFUNCTION("GOOGLETRANSLATE(B5828, ""en"", ""fa"")
"),"چاپ بر حسب تقاضا (POD)")</f>
        <v>چاپ بر حسب تقاضا (POD)</v>
      </c>
      <c r="G5828" s="1" t="str">
        <f>IFERROR(__xludf.DUMMYFUNCTION("GOOGLETRANSLATE(C5828, ""en"", ""fa"")
"),"راهبردهایی برای بهینه سازی فرآیندهای حمل و نقل بین المللی فروشگاه Etsy شما برای به حداقل رساندن تاخیرهای گمرکی و اطمینان از تحویل روان چیست؟")</f>
        <v>راهبردهایی برای بهینه سازی فرآیندهای حمل و نقل بین المللی فروشگاه Etsy شما برای به حداقل رساندن تاخیرهای گمرکی و اطمینان از تحویل روان چیست؟</v>
      </c>
      <c r="H5828" s="1"/>
      <c r="I5828" s="1"/>
      <c r="J5828" s="1"/>
      <c r="K5828" s="1"/>
      <c r="L5828" s="1"/>
      <c r="M5828" s="1"/>
      <c r="N5828" s="1"/>
      <c r="O5828" s="1"/>
      <c r="P5828" s="1"/>
      <c r="Q5828" s="1"/>
      <c r="R5828" s="1"/>
      <c r="S5828" s="1"/>
      <c r="T5828" s="1"/>
      <c r="U5828" s="1"/>
      <c r="V5828" s="1"/>
      <c r="W5828" s="1"/>
      <c r="X5828" s="1"/>
      <c r="Y5828" s="1"/>
      <c r="Z5828" s="1"/>
      <c r="AA5828" s="1"/>
      <c r="AB5828" s="1"/>
    </row>
    <row r="5829" ht="50.25" customHeight="1">
      <c r="A5829" s="12">
        <v>5825.0</v>
      </c>
      <c r="B5829" s="13" t="s">
        <v>5701</v>
      </c>
      <c r="C5829" s="18" t="s">
        <v>5850</v>
      </c>
      <c r="D5829" s="1"/>
      <c r="E5829" s="1"/>
      <c r="F5829" s="1" t="str">
        <f>IFERROR(__xludf.DUMMYFUNCTION("GOOGLETRANSLATE(B5829, ""en"", ""fa"")
"),"چاپ بر حسب تقاضا (POD)")</f>
        <v>چاپ بر حسب تقاضا (POD)</v>
      </c>
      <c r="G5829" s="1" t="str">
        <f>IFERROR(__xludf.DUMMYFUNCTION("GOOGLETRANSLATE(C5829, ""en"", ""fa"")
"),"چگونه از تجزیه و تحلیل فروشگاه Etsy برای شناسایی بهترین کانال های بازاریابی خود استفاده کنید و تلاش های خود را بر این اساس متمرکز کنید؟")</f>
        <v>چگونه از تجزیه و تحلیل فروشگاه Etsy برای شناسایی بهترین کانال های بازاریابی خود استفاده کنید و تلاش های خود را بر این اساس متمرکز کنید؟</v>
      </c>
      <c r="H5829" s="1"/>
      <c r="I5829" s="1"/>
      <c r="J5829" s="1"/>
      <c r="K5829" s="1"/>
      <c r="L5829" s="1"/>
      <c r="M5829" s="1"/>
      <c r="N5829" s="1"/>
      <c r="O5829" s="1"/>
      <c r="P5829" s="1"/>
      <c r="Q5829" s="1"/>
      <c r="R5829" s="1"/>
      <c r="S5829" s="1"/>
      <c r="T5829" s="1"/>
      <c r="U5829" s="1"/>
      <c r="V5829" s="1"/>
      <c r="W5829" s="1"/>
      <c r="X5829" s="1"/>
      <c r="Y5829" s="1"/>
      <c r="Z5829" s="1"/>
      <c r="AA5829" s="1"/>
      <c r="AB5829" s="1"/>
    </row>
    <row r="5830" ht="50.25" customHeight="1">
      <c r="A5830" s="12">
        <v>5826.0</v>
      </c>
      <c r="B5830" s="13" t="s">
        <v>5701</v>
      </c>
      <c r="C5830" s="18" t="s">
        <v>5851</v>
      </c>
      <c r="D5830" s="1"/>
      <c r="E5830" s="1"/>
      <c r="F5830" s="1" t="str">
        <f>IFERROR(__xludf.DUMMYFUNCTION("GOOGLETRANSLATE(B5830, ""en"", ""fa"")
"),"چاپ بر حسب تقاضا (POD)")</f>
        <v>چاپ بر حسب تقاضا (POD)</v>
      </c>
      <c r="G5830" s="1" t="str">
        <f>IFERROR(__xludf.DUMMYFUNCTION("GOOGLETRANSLATE(C5830, ""en"", ""fa"")
"),"تکنیک‌هایی برای بهینه‌سازی ثبات برند فروشگاه Etsy شما در نقاط تماس مختلف، از جمله بسته‌بندی، فهرست‌ها و رسانه‌های اجتماعی چیست؟")</f>
        <v>تکنیک‌هایی برای بهینه‌سازی ثبات برند فروشگاه Etsy شما در نقاط تماس مختلف، از جمله بسته‌بندی، فهرست‌ها و رسانه‌های اجتماعی چیست؟</v>
      </c>
      <c r="H5830" s="1"/>
      <c r="I5830" s="1"/>
      <c r="J5830" s="1"/>
      <c r="K5830" s="1"/>
      <c r="L5830" s="1"/>
      <c r="M5830" s="1"/>
      <c r="N5830" s="1"/>
      <c r="O5830" s="1"/>
      <c r="P5830" s="1"/>
      <c r="Q5830" s="1"/>
      <c r="R5830" s="1"/>
      <c r="S5830" s="1"/>
      <c r="T5830" s="1"/>
      <c r="U5830" s="1"/>
      <c r="V5830" s="1"/>
      <c r="W5830" s="1"/>
      <c r="X5830" s="1"/>
      <c r="Y5830" s="1"/>
      <c r="Z5830" s="1"/>
      <c r="AA5830" s="1"/>
      <c r="AB5830" s="1"/>
    </row>
    <row r="5831" ht="50.25" customHeight="1">
      <c r="A5831" s="12">
        <v>5827.0</v>
      </c>
      <c r="B5831" s="13" t="s">
        <v>5701</v>
      </c>
      <c r="C5831" s="18" t="s">
        <v>5852</v>
      </c>
      <c r="D5831" s="1"/>
      <c r="E5831" s="1"/>
      <c r="F5831" s="1" t="str">
        <f>IFERROR(__xludf.DUMMYFUNCTION("GOOGLETRANSLATE(B5831, ""en"", ""fa"")
"),"چاپ بر حسب تقاضا (POD)")</f>
        <v>چاپ بر حسب تقاضا (POD)</v>
      </c>
      <c r="G5831" s="1" t="str">
        <f>IFERROR(__xludf.DUMMYFUNCTION("GOOGLETRANSLATE(C5831, ""en"", ""fa"")
"),"چگونه از گزینه‌های سفارشی‌سازی فروشگاه Etsy، مانند خط‌مشی‌های فروشگاه و پرسش‌های متداول، برای برقراری ارتباط بین نقاط فروش و ارزش پیشنهادی خود استفاده کنید؟")</f>
        <v>چگونه از گزینه‌های سفارشی‌سازی فروشگاه Etsy، مانند خط‌مشی‌های فروشگاه و پرسش‌های متداول، برای برقراری ارتباط بین نقاط فروش و ارزش پیشنهادی خود استفاده کنید؟</v>
      </c>
      <c r="H5831" s="1"/>
      <c r="I5831" s="1"/>
      <c r="J5831" s="1"/>
      <c r="K5831" s="1"/>
      <c r="L5831" s="1"/>
      <c r="M5831" s="1"/>
      <c r="N5831" s="1"/>
      <c r="O5831" s="1"/>
      <c r="P5831" s="1"/>
      <c r="Q5831" s="1"/>
      <c r="R5831" s="1"/>
      <c r="S5831" s="1"/>
      <c r="T5831" s="1"/>
      <c r="U5831" s="1"/>
      <c r="V5831" s="1"/>
      <c r="W5831" s="1"/>
      <c r="X5831" s="1"/>
      <c r="Y5831" s="1"/>
      <c r="Z5831" s="1"/>
      <c r="AA5831" s="1"/>
      <c r="AB5831" s="1"/>
    </row>
    <row r="5832" ht="50.25" customHeight="1">
      <c r="A5832" s="12">
        <v>5828.0</v>
      </c>
      <c r="B5832" s="13" t="s">
        <v>5701</v>
      </c>
      <c r="C5832" s="18" t="s">
        <v>5853</v>
      </c>
      <c r="D5832" s="1"/>
      <c r="E5832" s="1"/>
      <c r="F5832" s="1" t="str">
        <f>IFERROR(__xludf.DUMMYFUNCTION("GOOGLETRANSLATE(B5832, ""en"", ""fa"")
"),"چاپ بر حسب تقاضا (POD)")</f>
        <v>چاپ بر حسب تقاضا (POD)</v>
      </c>
      <c r="G5832" s="1" t="str">
        <f>IFERROR(__xludf.DUMMYFUNCTION("GOOGLETRANSLATE(C5832, ""en"", ""fa"")
"),"استراتژی‌هایی برای بهینه‌سازی طبقه‌بندی و برچسب‌گذاری محصولات فروشگاه Etsy برای هدف قرار دادن جایگاه‌های خاص مشتریان و افزایش دید چیست؟")</f>
        <v>استراتژی‌هایی برای بهینه‌سازی طبقه‌بندی و برچسب‌گذاری محصولات فروشگاه Etsy برای هدف قرار دادن جایگاه‌های خاص مشتریان و افزایش دید چیست؟</v>
      </c>
      <c r="H5832" s="1"/>
      <c r="I5832" s="1"/>
      <c r="J5832" s="1"/>
      <c r="K5832" s="1"/>
      <c r="L5832" s="1"/>
      <c r="M5832" s="1"/>
      <c r="N5832" s="1"/>
      <c r="O5832" s="1"/>
      <c r="P5832" s="1"/>
      <c r="Q5832" s="1"/>
      <c r="R5832" s="1"/>
      <c r="S5832" s="1"/>
      <c r="T5832" s="1"/>
      <c r="U5832" s="1"/>
      <c r="V5832" s="1"/>
      <c r="W5832" s="1"/>
      <c r="X5832" s="1"/>
      <c r="Y5832" s="1"/>
      <c r="Z5832" s="1"/>
      <c r="AA5832" s="1"/>
      <c r="AB5832" s="1"/>
    </row>
    <row r="5833" ht="50.25" customHeight="1">
      <c r="A5833" s="12">
        <v>5829.0</v>
      </c>
      <c r="B5833" s="13" t="s">
        <v>5701</v>
      </c>
      <c r="C5833" s="18" t="s">
        <v>5854</v>
      </c>
      <c r="D5833" s="1"/>
      <c r="E5833" s="1"/>
      <c r="F5833" s="1" t="str">
        <f>IFERROR(__xludf.DUMMYFUNCTION("GOOGLETRANSLATE(B5833, ""en"", ""fa"")
"),"چاپ بر حسب تقاضا (POD)")</f>
        <v>چاپ بر حسب تقاضا (POD)</v>
      </c>
      <c r="G5833" s="1" t="str">
        <f>IFERROR(__xludf.DUMMYFUNCTION("GOOGLETRANSLATE(C5833, ""en"", ""fa"")
"),"چگونه می توان به طور موثر از ابزارهای پیام رسانی و ارتباطی مشتریان Etsy برای ارائه پشتیبانی شخصی و به موقع به خریداران استفاده کرد؟")</f>
        <v>چگونه می توان به طور موثر از ابزارهای پیام رسانی و ارتباطی مشتریان Etsy برای ارائه پشتیبانی شخصی و به موقع به خریداران استفاده کرد؟</v>
      </c>
      <c r="H5833" s="1"/>
      <c r="I5833" s="1"/>
      <c r="J5833" s="1"/>
      <c r="K5833" s="1"/>
      <c r="L5833" s="1"/>
      <c r="M5833" s="1"/>
      <c r="N5833" s="1"/>
      <c r="O5833" s="1"/>
      <c r="P5833" s="1"/>
      <c r="Q5833" s="1"/>
      <c r="R5833" s="1"/>
      <c r="S5833" s="1"/>
      <c r="T5833" s="1"/>
      <c r="U5833" s="1"/>
      <c r="V5833" s="1"/>
      <c r="W5833" s="1"/>
      <c r="X5833" s="1"/>
      <c r="Y5833" s="1"/>
      <c r="Z5833" s="1"/>
      <c r="AA5833" s="1"/>
      <c r="AB5833" s="1"/>
    </row>
    <row r="5834" ht="50.25" customHeight="1">
      <c r="A5834" s="12">
        <v>5830.0</v>
      </c>
      <c r="B5834" s="13" t="s">
        <v>5701</v>
      </c>
      <c r="C5834" s="18" t="s">
        <v>5855</v>
      </c>
      <c r="D5834" s="1"/>
      <c r="E5834" s="1"/>
      <c r="F5834" s="1" t="str">
        <f>IFERROR(__xludf.DUMMYFUNCTION("GOOGLETRANSLATE(B5834, ""en"", ""fa"")
"),"چاپ بر حسب تقاضا (POD)")</f>
        <v>چاپ بر حسب تقاضا (POD)</v>
      </c>
      <c r="G5834" s="1" t="str">
        <f>IFERROR(__xludf.DUMMYFUNCTION("GOOGLETRANSLATE(C5834, ""en"", ""fa"")
"),"تکنیک‌هایی برای بهینه‌سازی توضیحات محصول فروشگاه Etsy شما برای برجسته کردن ویژگی‌های کلیدی و پرداختن به مشکلات مشتری چیست؟")</f>
        <v>تکنیک‌هایی برای بهینه‌سازی توضیحات محصول فروشگاه Etsy شما برای برجسته کردن ویژگی‌های کلیدی و پرداختن به مشکلات مشتری چیست؟</v>
      </c>
      <c r="H5834" s="1"/>
      <c r="I5834" s="1"/>
      <c r="J5834" s="1"/>
      <c r="K5834" s="1"/>
      <c r="L5834" s="1"/>
      <c r="M5834" s="1"/>
      <c r="N5834" s="1"/>
      <c r="O5834" s="1"/>
      <c r="P5834" s="1"/>
      <c r="Q5834" s="1"/>
      <c r="R5834" s="1"/>
      <c r="S5834" s="1"/>
      <c r="T5834" s="1"/>
      <c r="U5834" s="1"/>
      <c r="V5834" s="1"/>
      <c r="W5834" s="1"/>
      <c r="X5834" s="1"/>
      <c r="Y5834" s="1"/>
      <c r="Z5834" s="1"/>
      <c r="AA5834" s="1"/>
      <c r="AB5834" s="1"/>
    </row>
    <row r="5835" ht="50.25" customHeight="1">
      <c r="A5835" s="12">
        <v>5831.0</v>
      </c>
      <c r="B5835" s="13" t="s">
        <v>5701</v>
      </c>
      <c r="C5835" s="18" t="s">
        <v>5856</v>
      </c>
      <c r="D5835" s="1"/>
      <c r="E5835" s="1"/>
      <c r="F5835" s="1" t="str">
        <f>IFERROR(__xludf.DUMMYFUNCTION("GOOGLETRANSLATE(B5835, ""en"", ""fa"")
"),"چاپ بر حسب تقاضا (POD)")</f>
        <v>چاپ بر حسب تقاضا (POD)</v>
      </c>
      <c r="G5835" s="1" t="str">
        <f>IFERROR(__xludf.DUMMYFUNCTION("GOOGLETRANSLATE(C5835, ""en"", ""fa"")
"),"چگونه از تجزیه و تحلیل فروشگاه Etsy برای شناسایی الگوهای رفتاری مشتری و بهینه سازی استراتژی های بازاریابی خود برای هدف گیری بهتر استفاده کنیم؟")</f>
        <v>چگونه از تجزیه و تحلیل فروشگاه Etsy برای شناسایی الگوهای رفتاری مشتری و بهینه سازی استراتژی های بازاریابی خود برای هدف گیری بهتر استفاده کنیم؟</v>
      </c>
      <c r="H5835" s="1"/>
      <c r="I5835" s="1"/>
      <c r="J5835" s="1"/>
      <c r="K5835" s="1"/>
      <c r="L5835" s="1"/>
      <c r="M5835" s="1"/>
      <c r="N5835" s="1"/>
      <c r="O5835" s="1"/>
      <c r="P5835" s="1"/>
      <c r="Q5835" s="1"/>
      <c r="R5835" s="1"/>
      <c r="S5835" s="1"/>
      <c r="T5835" s="1"/>
      <c r="U5835" s="1"/>
      <c r="V5835" s="1"/>
      <c r="W5835" s="1"/>
      <c r="X5835" s="1"/>
      <c r="Y5835" s="1"/>
      <c r="Z5835" s="1"/>
      <c r="AA5835" s="1"/>
      <c r="AB5835" s="1"/>
    </row>
    <row r="5836" ht="50.25" customHeight="1">
      <c r="A5836" s="12">
        <v>5832.0</v>
      </c>
      <c r="B5836" s="13" t="s">
        <v>5701</v>
      </c>
      <c r="C5836" s="18" t="s">
        <v>5857</v>
      </c>
      <c r="D5836" s="1"/>
      <c r="E5836" s="1"/>
      <c r="F5836" s="1" t="str">
        <f>IFERROR(__xludf.DUMMYFUNCTION("GOOGLETRANSLATE(B5836, ""en"", ""fa"")
"),"چاپ بر حسب تقاضا (POD)")</f>
        <v>چاپ بر حسب تقاضا (POD)</v>
      </c>
      <c r="G5836" s="1" t="str">
        <f>IFERROR(__xludf.DUMMYFUNCTION("GOOGLETRANSLATE(C5836, ""en"", ""fa"")
"),"بهترین روش‌ها برای بهینه‌سازی تلاش‌های حفظ مشتری در فروشگاه Etsy شما، مانند بازاریابی ایمیلی و برنامه‌های وفاداری چیست؟")</f>
        <v>بهترین روش‌ها برای بهینه‌سازی تلاش‌های حفظ مشتری در فروشگاه Etsy شما، مانند بازاریابی ایمیلی و برنامه‌های وفاداری چیست؟</v>
      </c>
      <c r="H5836" s="1"/>
      <c r="I5836" s="1"/>
      <c r="J5836" s="1"/>
      <c r="K5836" s="1"/>
      <c r="L5836" s="1"/>
      <c r="M5836" s="1"/>
      <c r="N5836" s="1"/>
      <c r="O5836" s="1"/>
      <c r="P5836" s="1"/>
      <c r="Q5836" s="1"/>
      <c r="R5836" s="1"/>
      <c r="S5836" s="1"/>
      <c r="T5836" s="1"/>
      <c r="U5836" s="1"/>
      <c r="V5836" s="1"/>
      <c r="W5836" s="1"/>
      <c r="X5836" s="1"/>
      <c r="Y5836" s="1"/>
      <c r="Z5836" s="1"/>
      <c r="AA5836" s="1"/>
      <c r="AB5836" s="1"/>
    </row>
    <row r="5837" ht="50.25" customHeight="1">
      <c r="A5837" s="12">
        <v>5833.0</v>
      </c>
      <c r="B5837" s="13" t="s">
        <v>5701</v>
      </c>
      <c r="C5837" s="18" t="s">
        <v>5858</v>
      </c>
      <c r="D5837" s="1"/>
      <c r="E5837" s="1"/>
      <c r="F5837" s="1" t="str">
        <f>IFERROR(__xludf.DUMMYFUNCTION("GOOGLETRANSLATE(B5837, ""en"", ""fa"")
"),"چاپ بر حسب تقاضا (POD)")</f>
        <v>چاپ بر حسب تقاضا (POD)</v>
      </c>
      <c r="G5837" s="1" t="str">
        <f>IFERROR(__xludf.DUMMYFUNCTION("GOOGLETRANSLATE(C5837, ""en"", ""fa"")
"),"چگونه بسته‌های محصولات و مجموعه‌های هدیه فروشگاه Etsy خود را ایجاد و بهینه کنیم تا میانگین ارزش سفارش را افزایش دهیم و فروش بیشتری را تشویق کنیم؟")</f>
        <v>چگونه بسته‌های محصولات و مجموعه‌های هدیه فروشگاه Etsy خود را ایجاد و بهینه کنیم تا میانگین ارزش سفارش را افزایش دهیم و فروش بیشتری را تشویق کنیم؟</v>
      </c>
      <c r="H5837" s="1"/>
      <c r="I5837" s="1"/>
      <c r="J5837" s="1"/>
      <c r="K5837" s="1"/>
      <c r="L5837" s="1"/>
      <c r="M5837" s="1"/>
      <c r="N5837" s="1"/>
      <c r="O5837" s="1"/>
      <c r="P5837" s="1"/>
      <c r="Q5837" s="1"/>
      <c r="R5837" s="1"/>
      <c r="S5837" s="1"/>
      <c r="T5837" s="1"/>
      <c r="U5837" s="1"/>
      <c r="V5837" s="1"/>
      <c r="W5837" s="1"/>
      <c r="X5837" s="1"/>
      <c r="Y5837" s="1"/>
      <c r="Z5837" s="1"/>
      <c r="AA5837" s="1"/>
      <c r="AB5837" s="1"/>
    </row>
    <row r="5838" ht="50.25" customHeight="1">
      <c r="A5838" s="12">
        <v>5834.0</v>
      </c>
      <c r="B5838" s="13" t="s">
        <v>5701</v>
      </c>
      <c r="C5838" s="18" t="s">
        <v>5859</v>
      </c>
      <c r="D5838" s="1"/>
      <c r="E5838" s="1"/>
      <c r="F5838" s="1" t="str">
        <f>IFERROR(__xludf.DUMMYFUNCTION("GOOGLETRANSLATE(B5838, ""en"", ""fa"")
"),"چاپ بر حسب تقاضا (POD)")</f>
        <v>چاپ بر حسب تقاضا (POD)</v>
      </c>
      <c r="G5838" s="1" t="str">
        <f>IFERROR(__xludf.DUMMYFUNCTION("GOOGLETRANSLATE(C5838, ""en"", ""fa"")
"),"استراتژی‌های بهینه‌سازی نرخ گردش موجودی فروشگاه Etsy شما برای حفظ انتخاب محصول تازه و جذاب چیست؟")</f>
        <v>استراتژی‌های بهینه‌سازی نرخ گردش موجودی فروشگاه Etsy شما برای حفظ انتخاب محصول تازه و جذاب چیست؟</v>
      </c>
      <c r="H5838" s="1"/>
      <c r="I5838" s="1"/>
      <c r="J5838" s="1"/>
      <c r="K5838" s="1"/>
      <c r="L5838" s="1"/>
      <c r="M5838" s="1"/>
      <c r="N5838" s="1"/>
      <c r="O5838" s="1"/>
      <c r="P5838" s="1"/>
      <c r="Q5838" s="1"/>
      <c r="R5838" s="1"/>
      <c r="S5838" s="1"/>
      <c r="T5838" s="1"/>
      <c r="U5838" s="1"/>
      <c r="V5838" s="1"/>
      <c r="W5838" s="1"/>
      <c r="X5838" s="1"/>
      <c r="Y5838" s="1"/>
      <c r="Z5838" s="1"/>
      <c r="AA5838" s="1"/>
      <c r="AB5838" s="1"/>
    </row>
    <row r="5839" ht="50.25" customHeight="1">
      <c r="A5839" s="12">
        <v>5835.0</v>
      </c>
      <c r="B5839" s="13" t="s">
        <v>5701</v>
      </c>
      <c r="C5839" s="18" t="s">
        <v>5860</v>
      </c>
      <c r="D5839" s="1"/>
      <c r="E5839" s="1"/>
      <c r="F5839" s="1" t="str">
        <f>IFERROR(__xludf.DUMMYFUNCTION("GOOGLETRANSLATE(B5839, ""en"", ""fa"")
"),"چاپ بر حسب تقاضا (POD)")</f>
        <v>چاپ بر حسب تقاضا (POD)</v>
      </c>
      <c r="G5839" s="1" t="str">
        <f>IFERROR(__xludf.DUMMYFUNCTION("GOOGLETRANSLATE(C5839, ""en"", ""fa"")
"),"چگونه از ابزارهای تبلیغاتی فروشگاه Etsy مانند کدهای کوپن و پیشنهادات ارسال رایگان برای جذب مشتریان جدید و ایجاد انگیزه برای خرید استفاده کنیم؟")</f>
        <v>چگونه از ابزارهای تبلیغاتی فروشگاه Etsy مانند کدهای کوپن و پیشنهادات ارسال رایگان برای جذب مشتریان جدید و ایجاد انگیزه برای خرید استفاده کنیم؟</v>
      </c>
      <c r="H5839" s="1"/>
      <c r="I5839" s="1"/>
      <c r="J5839" s="1"/>
      <c r="K5839" s="1"/>
      <c r="L5839" s="1"/>
      <c r="M5839" s="1"/>
      <c r="N5839" s="1"/>
      <c r="O5839" s="1"/>
      <c r="P5839" s="1"/>
      <c r="Q5839" s="1"/>
      <c r="R5839" s="1"/>
      <c r="S5839" s="1"/>
      <c r="T5839" s="1"/>
      <c r="U5839" s="1"/>
      <c r="V5839" s="1"/>
      <c r="W5839" s="1"/>
      <c r="X5839" s="1"/>
      <c r="Y5839" s="1"/>
      <c r="Z5839" s="1"/>
      <c r="AA5839" s="1"/>
      <c r="AB5839" s="1"/>
    </row>
    <row r="5840" ht="50.25" customHeight="1">
      <c r="A5840" s="12">
        <v>5836.0</v>
      </c>
      <c r="B5840" s="13" t="s">
        <v>5701</v>
      </c>
      <c r="C5840" s="18" t="s">
        <v>5861</v>
      </c>
      <c r="D5840" s="1"/>
      <c r="E5840" s="1"/>
      <c r="F5840" s="1" t="str">
        <f>IFERROR(__xludf.DUMMYFUNCTION("GOOGLETRANSLATE(B5840, ""en"", ""fa"")
"),"چاپ بر حسب تقاضا (POD)")</f>
        <v>چاپ بر حسب تقاضا (POD)</v>
      </c>
      <c r="G5840" s="1" t="str">
        <f>IFERROR(__xludf.DUMMYFUNCTION("GOOGLETRANSLATE(C5840, ""en"", ""fa"")
"),"تکنیک‌هایی برای بهینه‌سازی تغییرات فهرست فروشگاه Etsy شما برای ارائه گزینه‌های سفارشی‌سازی و پاسخگویی به ترجیحات متنوع مشتریان چیست؟")</f>
        <v>تکنیک‌هایی برای بهینه‌سازی تغییرات فهرست فروشگاه Etsy شما برای ارائه گزینه‌های سفارشی‌سازی و پاسخگویی به ترجیحات متنوع مشتریان چیست؟</v>
      </c>
      <c r="H5840" s="1"/>
      <c r="I5840" s="1"/>
      <c r="J5840" s="1"/>
      <c r="K5840" s="1"/>
      <c r="L5840" s="1"/>
      <c r="M5840" s="1"/>
      <c r="N5840" s="1"/>
      <c r="O5840" s="1"/>
      <c r="P5840" s="1"/>
      <c r="Q5840" s="1"/>
      <c r="R5840" s="1"/>
      <c r="S5840" s="1"/>
      <c r="T5840" s="1"/>
      <c r="U5840" s="1"/>
      <c r="V5840" s="1"/>
      <c r="W5840" s="1"/>
      <c r="X5840" s="1"/>
      <c r="Y5840" s="1"/>
      <c r="Z5840" s="1"/>
      <c r="AA5840" s="1"/>
      <c r="AB5840" s="1"/>
    </row>
    <row r="5841" ht="50.25" customHeight="1">
      <c r="A5841" s="12">
        <v>5837.0</v>
      </c>
      <c r="B5841" s="13" t="s">
        <v>5701</v>
      </c>
      <c r="C5841" s="18" t="s">
        <v>5862</v>
      </c>
      <c r="D5841" s="1"/>
      <c r="E5841" s="1"/>
      <c r="F5841" s="1" t="str">
        <f>IFERROR(__xludf.DUMMYFUNCTION("GOOGLETRANSLATE(B5841, ""en"", ""fa"")
"),"چاپ بر حسب تقاضا (POD)")</f>
        <v>چاپ بر حسب تقاضا (POD)</v>
      </c>
      <c r="G5841" s="1" t="str">
        <f>IFERROR(__xludf.DUMMYFUNCTION("GOOGLETRANSLATE(C5841, ""en"", ""fa"")
"),"چگونه از تجزیه و تحلیل فروشگاه Etsy برای شناسایی روندهای فصلی و استفاده از تعطیلات و رویدادهای آینده برای بازاریابی هدفمند استفاده کنیم؟")</f>
        <v>چگونه از تجزیه و تحلیل فروشگاه Etsy برای شناسایی روندهای فصلی و استفاده از تعطیلات و رویدادهای آینده برای بازاریابی هدفمند استفاده کنیم؟</v>
      </c>
      <c r="H5841" s="1"/>
      <c r="I5841" s="1"/>
      <c r="J5841" s="1"/>
      <c r="K5841" s="1"/>
      <c r="L5841" s="1"/>
      <c r="M5841" s="1"/>
      <c r="N5841" s="1"/>
      <c r="O5841" s="1"/>
      <c r="P5841" s="1"/>
      <c r="Q5841" s="1"/>
      <c r="R5841" s="1"/>
      <c r="S5841" s="1"/>
      <c r="T5841" s="1"/>
      <c r="U5841" s="1"/>
      <c r="V5841" s="1"/>
      <c r="W5841" s="1"/>
      <c r="X5841" s="1"/>
      <c r="Y5841" s="1"/>
      <c r="Z5841" s="1"/>
      <c r="AA5841" s="1"/>
      <c r="AB5841" s="1"/>
    </row>
    <row r="5842" ht="50.25" customHeight="1">
      <c r="A5842" s="12">
        <v>5838.0</v>
      </c>
      <c r="B5842" s="13" t="s">
        <v>5701</v>
      </c>
      <c r="C5842" s="18" t="s">
        <v>5863</v>
      </c>
      <c r="D5842" s="1"/>
      <c r="E5842" s="1"/>
      <c r="F5842" s="1" t="str">
        <f>IFERROR(__xludf.DUMMYFUNCTION("GOOGLETRANSLATE(B5842, ""en"", ""fa"")
"),"چاپ بر حسب تقاضا (POD)")</f>
        <v>چاپ بر حسب تقاضا (POD)</v>
      </c>
      <c r="G5842" s="1" t="str">
        <f>IFERROR(__xludf.DUMMYFUNCTION("GOOGLETRANSLATE(C5842, ""en"", ""fa"")
"),"استراتژی‌هایی برای بهینه‌سازی فرآیند جمع‌آوری بازخورد مشتریان فروشگاه Etsy شما برای جمع‌آوری بینش‌های ارزشمند و بهبود پیشنهادات شما چیست؟")</f>
        <v>استراتژی‌هایی برای بهینه‌سازی فرآیند جمع‌آوری بازخورد مشتریان فروشگاه Etsy شما برای جمع‌آوری بینش‌های ارزشمند و بهبود پیشنهادات شما چیست؟</v>
      </c>
      <c r="H5842" s="1"/>
      <c r="I5842" s="1"/>
      <c r="J5842" s="1"/>
      <c r="K5842" s="1"/>
      <c r="L5842" s="1"/>
      <c r="M5842" s="1"/>
      <c r="N5842" s="1"/>
      <c r="O5842" s="1"/>
      <c r="P5842" s="1"/>
      <c r="Q5842" s="1"/>
      <c r="R5842" s="1"/>
      <c r="S5842" s="1"/>
      <c r="T5842" s="1"/>
      <c r="U5842" s="1"/>
      <c r="V5842" s="1"/>
      <c r="W5842" s="1"/>
      <c r="X5842" s="1"/>
      <c r="Y5842" s="1"/>
      <c r="Z5842" s="1"/>
      <c r="AA5842" s="1"/>
      <c r="AB5842" s="1"/>
    </row>
    <row r="5843" ht="50.25" customHeight="1">
      <c r="A5843" s="12">
        <v>5839.0</v>
      </c>
      <c r="B5843" s="13" t="s">
        <v>5701</v>
      </c>
      <c r="C5843" s="18" t="s">
        <v>5864</v>
      </c>
      <c r="D5843" s="1"/>
      <c r="E5843" s="1"/>
      <c r="F5843" s="1" t="str">
        <f>IFERROR(__xludf.DUMMYFUNCTION("GOOGLETRANSLATE(B5843, ""en"", ""fa"")
"),"چاپ بر حسب تقاضا (POD)")</f>
        <v>چاپ بر حسب تقاضا (POD)</v>
      </c>
      <c r="G5843" s="1" t="str">
        <f>IFERROR(__xludf.DUMMYFUNCTION("GOOGLETRANSLATE(C5843, ""en"", ""fa"")
"),"چگونه می توان به طور موثر از سیاست های فروشگاه Etsy و سلب مسئولیت ها برای اطمینان از شفافیت و محافظت از کسب و کار خود در برابر اختلافات احتمالی استفاده کرد؟")</f>
        <v>چگونه می توان به طور موثر از سیاست های فروشگاه Etsy و سلب مسئولیت ها برای اطمینان از شفافیت و محافظت از کسب و کار خود در برابر اختلافات احتمالی استفاده کرد؟</v>
      </c>
      <c r="H5843" s="1"/>
      <c r="I5843" s="1"/>
      <c r="J5843" s="1"/>
      <c r="K5843" s="1"/>
      <c r="L5843" s="1"/>
      <c r="M5843" s="1"/>
      <c r="N5843" s="1"/>
      <c r="O5843" s="1"/>
      <c r="P5843" s="1"/>
      <c r="Q5843" s="1"/>
      <c r="R5843" s="1"/>
      <c r="S5843" s="1"/>
      <c r="T5843" s="1"/>
      <c r="U5843" s="1"/>
      <c r="V5843" s="1"/>
      <c r="W5843" s="1"/>
      <c r="X5843" s="1"/>
      <c r="Y5843" s="1"/>
      <c r="Z5843" s="1"/>
      <c r="AA5843" s="1"/>
      <c r="AB5843" s="1"/>
    </row>
    <row r="5844" ht="50.25" customHeight="1">
      <c r="A5844" s="12">
        <v>5840.0</v>
      </c>
      <c r="B5844" s="13" t="s">
        <v>5701</v>
      </c>
      <c r="C5844" s="18" t="s">
        <v>5865</v>
      </c>
      <c r="D5844" s="1"/>
      <c r="E5844" s="1"/>
      <c r="F5844" s="1" t="str">
        <f>IFERROR(__xludf.DUMMYFUNCTION("GOOGLETRANSLATE(B5844, ""en"", ""fa"")
"),"چاپ بر حسب تقاضا (POD)")</f>
        <v>چاپ بر حسب تقاضا (POD)</v>
      </c>
      <c r="G5844" s="1" t="str">
        <f>IFERROR(__xludf.DUMMYFUNCTION("GOOGLETRANSLATE(C5844, ""en"", ""fa"")
"),"تکنیک‌هایی برای بهینه‌سازی ارائه محصول در فروشگاه Etsy، مانند عکس‌های سبک زندگی و مرحله‌بندی محصول، برای افزایش مطلوبیت چیست؟")</f>
        <v>تکنیک‌هایی برای بهینه‌سازی ارائه محصول در فروشگاه Etsy، مانند عکس‌های سبک زندگی و مرحله‌بندی محصول، برای افزایش مطلوبیت چیست؟</v>
      </c>
      <c r="H5844" s="1"/>
      <c r="I5844" s="1"/>
      <c r="J5844" s="1"/>
      <c r="K5844" s="1"/>
      <c r="L5844" s="1"/>
      <c r="M5844" s="1"/>
      <c r="N5844" s="1"/>
      <c r="O5844" s="1"/>
      <c r="P5844" s="1"/>
      <c r="Q5844" s="1"/>
      <c r="R5844" s="1"/>
      <c r="S5844" s="1"/>
      <c r="T5844" s="1"/>
      <c r="U5844" s="1"/>
      <c r="V5844" s="1"/>
      <c r="W5844" s="1"/>
      <c r="X5844" s="1"/>
      <c r="Y5844" s="1"/>
      <c r="Z5844" s="1"/>
      <c r="AA5844" s="1"/>
      <c r="AB5844" s="1"/>
    </row>
    <row r="5845" ht="50.25" customHeight="1">
      <c r="A5845" s="12">
        <v>5841.0</v>
      </c>
      <c r="B5845" s="13" t="s">
        <v>5701</v>
      </c>
      <c r="C5845" s="18" t="s">
        <v>5866</v>
      </c>
      <c r="D5845" s="1"/>
      <c r="E5845" s="1"/>
      <c r="F5845" s="1" t="str">
        <f>IFERROR(__xludf.DUMMYFUNCTION("GOOGLETRANSLATE(B5845, ""en"", ""fa"")
"),"چاپ بر حسب تقاضا (POD)")</f>
        <v>چاپ بر حسب تقاضا (POD)</v>
      </c>
      <c r="G5845" s="1" t="str">
        <f>IFERROR(__xludf.DUMMYFUNCTION("GOOGLETRANSLATE(C5845, ""en"", ""fa"")
"),"چگونه از تجزیه و تحلیل فروشگاه Etsy برای ردیابی و تجزیه و تحلیل نرخ تبدیل فروشگاه خود و شناسایی مناطق برای بهینه سازی استفاده کنیم؟")</f>
        <v>چگونه از تجزیه و تحلیل فروشگاه Etsy برای ردیابی و تجزیه و تحلیل نرخ تبدیل فروشگاه خود و شناسایی مناطق برای بهینه سازی استفاده کنیم؟</v>
      </c>
      <c r="H5845" s="1"/>
      <c r="I5845" s="1"/>
      <c r="J5845" s="1"/>
      <c r="K5845" s="1"/>
      <c r="L5845" s="1"/>
      <c r="M5845" s="1"/>
      <c r="N5845" s="1"/>
      <c r="O5845" s="1"/>
      <c r="P5845" s="1"/>
      <c r="Q5845" s="1"/>
      <c r="R5845" s="1"/>
      <c r="S5845" s="1"/>
      <c r="T5845" s="1"/>
      <c r="U5845" s="1"/>
      <c r="V5845" s="1"/>
      <c r="W5845" s="1"/>
      <c r="X5845" s="1"/>
      <c r="Y5845" s="1"/>
      <c r="Z5845" s="1"/>
      <c r="AA5845" s="1"/>
      <c r="AB5845" s="1"/>
    </row>
    <row r="5846" ht="50.25" customHeight="1">
      <c r="A5846" s="12">
        <v>5842.0</v>
      </c>
      <c r="B5846" s="13" t="s">
        <v>5701</v>
      </c>
      <c r="C5846" s="18" t="s">
        <v>5867</v>
      </c>
      <c r="D5846" s="1"/>
      <c r="E5846" s="1"/>
      <c r="F5846" s="1" t="str">
        <f>IFERROR(__xludf.DUMMYFUNCTION("GOOGLETRANSLATE(B5846, ""en"", ""fa"")
"),"چاپ بر حسب تقاضا (POD)")</f>
        <v>چاپ بر حسب تقاضا (POD)</v>
      </c>
      <c r="G5846" s="1" t="str">
        <f>IFERROR(__xludf.DUMMYFUNCTION("GOOGLETRANSLATE(C5846, ""en"", ""fa"")
"),"بهترین روش‌ها برای بهینه‌سازی ارتباط مشتری فروشگاه Etsy شما در فصول اوج برای مدیریت انتظارات و ارائه خدمات عالی چیست؟")</f>
        <v>بهترین روش‌ها برای بهینه‌سازی ارتباط مشتری فروشگاه Etsy شما در فصول اوج برای مدیریت انتظارات و ارائه خدمات عالی چیست؟</v>
      </c>
      <c r="H5846" s="1"/>
      <c r="I5846" s="1"/>
      <c r="J5846" s="1"/>
      <c r="K5846" s="1"/>
      <c r="L5846" s="1"/>
      <c r="M5846" s="1"/>
      <c r="N5846" s="1"/>
      <c r="O5846" s="1"/>
      <c r="P5846" s="1"/>
      <c r="Q5846" s="1"/>
      <c r="R5846" s="1"/>
      <c r="S5846" s="1"/>
      <c r="T5846" s="1"/>
      <c r="U5846" s="1"/>
      <c r="V5846" s="1"/>
      <c r="W5846" s="1"/>
      <c r="X5846" s="1"/>
      <c r="Y5846" s="1"/>
      <c r="Z5846" s="1"/>
      <c r="AA5846" s="1"/>
      <c r="AB5846" s="1"/>
    </row>
    <row r="5847" ht="50.25" customHeight="1">
      <c r="A5847" s="12">
        <v>5843.0</v>
      </c>
      <c r="B5847" s="13" t="s">
        <v>5701</v>
      </c>
      <c r="C5847" s="18" t="s">
        <v>5868</v>
      </c>
      <c r="D5847" s="1"/>
      <c r="E5847" s="1"/>
      <c r="F5847" s="1" t="str">
        <f>IFERROR(__xludf.DUMMYFUNCTION("GOOGLETRANSLATE(B5847, ""en"", ""fa"")
"),"چاپ بر حسب تقاضا (POD)")</f>
        <v>چاپ بر حسب تقاضا (POD)</v>
      </c>
      <c r="G5847" s="1" t="str">
        <f>IFERROR(__xludf.DUMMYFUNCTION("GOOGLETRANSLATE(C5847, ""en"", ""fa"")
"),"چگونه برنامه ارجاع مشتری فروشگاه Etsy خود را برای تشویق بازاریابی دهان به دهان و گسترش پایگاه مشتری خود ایجاد و بهینه کنید؟")</f>
        <v>چگونه برنامه ارجاع مشتری فروشگاه Etsy خود را برای تشویق بازاریابی دهان به دهان و گسترش پایگاه مشتری خود ایجاد و بهینه کنید؟</v>
      </c>
      <c r="H5847" s="1"/>
      <c r="I5847" s="1"/>
      <c r="J5847" s="1"/>
      <c r="K5847" s="1"/>
      <c r="L5847" s="1"/>
      <c r="M5847" s="1"/>
      <c r="N5847" s="1"/>
      <c r="O5847" s="1"/>
      <c r="P5847" s="1"/>
      <c r="Q5847" s="1"/>
      <c r="R5847" s="1"/>
      <c r="S5847" s="1"/>
      <c r="T5847" s="1"/>
      <c r="U5847" s="1"/>
      <c r="V5847" s="1"/>
      <c r="W5847" s="1"/>
      <c r="X5847" s="1"/>
      <c r="Y5847" s="1"/>
      <c r="Z5847" s="1"/>
      <c r="AA5847" s="1"/>
      <c r="AB5847" s="1"/>
    </row>
    <row r="5848" ht="50.25" customHeight="1">
      <c r="A5848" s="12">
        <v>5844.0</v>
      </c>
      <c r="B5848" s="13" t="s">
        <v>5701</v>
      </c>
      <c r="C5848" s="18" t="s">
        <v>5869</v>
      </c>
      <c r="D5848" s="1"/>
      <c r="E5848" s="1"/>
      <c r="F5848" s="1" t="str">
        <f>IFERROR(__xludf.DUMMYFUNCTION("GOOGLETRANSLATE(B5848, ""en"", ""fa"")
"),"چاپ بر حسب تقاضا (POD)")</f>
        <v>چاپ بر حسب تقاضا (POD)</v>
      </c>
      <c r="G5848" s="1" t="str">
        <f>IFERROR(__xludf.DUMMYFUNCTION("GOOGLETRANSLATE(C5848, ""en"", ""fa"")
"),"استراتژی‌های بهینه‌سازی پاسخ بازخورد مشتریان فروشگاه Etsy و فرآیند حل آنها برای حفظ شهرت مثبت چیست؟")</f>
        <v>استراتژی‌های بهینه‌سازی پاسخ بازخورد مشتریان فروشگاه Etsy و فرآیند حل آنها برای حفظ شهرت مثبت چیست؟</v>
      </c>
      <c r="H5848" s="1"/>
      <c r="I5848" s="1"/>
      <c r="J5848" s="1"/>
      <c r="K5848" s="1"/>
      <c r="L5848" s="1"/>
      <c r="M5848" s="1"/>
      <c r="N5848" s="1"/>
      <c r="O5848" s="1"/>
      <c r="P5848" s="1"/>
      <c r="Q5848" s="1"/>
      <c r="R5848" s="1"/>
      <c r="S5848" s="1"/>
      <c r="T5848" s="1"/>
      <c r="U5848" s="1"/>
      <c r="V5848" s="1"/>
      <c r="W5848" s="1"/>
      <c r="X5848" s="1"/>
      <c r="Y5848" s="1"/>
      <c r="Z5848" s="1"/>
      <c r="AA5848" s="1"/>
      <c r="AB5848" s="1"/>
    </row>
    <row r="5849" ht="50.25" customHeight="1">
      <c r="A5849" s="12">
        <v>5845.0</v>
      </c>
      <c r="B5849" s="13" t="s">
        <v>5701</v>
      </c>
      <c r="C5849" s="18" t="s">
        <v>5870</v>
      </c>
      <c r="D5849" s="1"/>
      <c r="E5849" s="1"/>
      <c r="F5849" s="1" t="str">
        <f>IFERROR(__xludf.DUMMYFUNCTION("GOOGLETRANSLATE(B5849, ""en"", ""fa"")
"),"چاپ بر حسب تقاضا (POD)")</f>
        <v>چاپ بر حسب تقاضا (POD)</v>
      </c>
      <c r="G5849" s="1" t="str">
        <f>IFERROR(__xludf.DUMMYFUNCTION("GOOGLETRANSLATE(C5849, ""en"", ""fa"")
"),"چگونه از تجزیه و تحلیل فروشگاه Etsy برای شناسایی روندهای جغرافیایی و هدف قرار دادن مناطق یا بازارهای خاص برای افزایش فروش استفاده کنیم؟")</f>
        <v>چگونه از تجزیه و تحلیل فروشگاه Etsy برای شناسایی روندهای جغرافیایی و هدف قرار دادن مناطق یا بازارهای خاص برای افزایش فروش استفاده کنیم؟</v>
      </c>
      <c r="H5849" s="1"/>
      <c r="I5849" s="1"/>
      <c r="J5849" s="1"/>
      <c r="K5849" s="1"/>
      <c r="L5849" s="1"/>
      <c r="M5849" s="1"/>
      <c r="N5849" s="1"/>
      <c r="O5849" s="1"/>
      <c r="P5849" s="1"/>
      <c r="Q5849" s="1"/>
      <c r="R5849" s="1"/>
      <c r="S5849" s="1"/>
      <c r="T5849" s="1"/>
      <c r="U5849" s="1"/>
      <c r="V5849" s="1"/>
      <c r="W5849" s="1"/>
      <c r="X5849" s="1"/>
      <c r="Y5849" s="1"/>
      <c r="Z5849" s="1"/>
      <c r="AA5849" s="1"/>
      <c r="AB5849" s="1"/>
    </row>
    <row r="5850" ht="50.25" customHeight="1">
      <c r="A5850" s="12">
        <v>5846.0</v>
      </c>
      <c r="B5850" s="13" t="s">
        <v>5701</v>
      </c>
      <c r="C5850" s="18" t="s">
        <v>5871</v>
      </c>
      <c r="D5850" s="1"/>
      <c r="E5850" s="1"/>
      <c r="F5850" s="1" t="str">
        <f>IFERROR(__xludf.DUMMYFUNCTION("GOOGLETRANSLATE(B5850, ""en"", ""fa"")
"),"چاپ بر حسب تقاضا (POD)")</f>
        <v>چاپ بر حسب تقاضا (POD)</v>
      </c>
      <c r="G5850" s="1" t="str">
        <f>IFERROR(__xludf.DUMMYFUNCTION("GOOGLETRANSLATE(C5850, ""en"", ""fa"")
"),"تکنیک‌های بهینه‌سازی عناوین و برچسب‌های فهرست فروشگاه Etsy شما برای همسویی با عبارات جستجوی محبوب و جذب ترافیک مرتبط چیست؟")</f>
        <v>تکنیک‌های بهینه‌سازی عناوین و برچسب‌های فهرست فروشگاه Etsy شما برای همسویی با عبارات جستجوی محبوب و جذب ترافیک مرتبط چیست؟</v>
      </c>
      <c r="H5850" s="1"/>
      <c r="I5850" s="1"/>
      <c r="J5850" s="1"/>
      <c r="K5850" s="1"/>
      <c r="L5850" s="1"/>
      <c r="M5850" s="1"/>
      <c r="N5850" s="1"/>
      <c r="O5850" s="1"/>
      <c r="P5850" s="1"/>
      <c r="Q5850" s="1"/>
      <c r="R5850" s="1"/>
      <c r="S5850" s="1"/>
      <c r="T5850" s="1"/>
      <c r="U5850" s="1"/>
      <c r="V5850" s="1"/>
      <c r="W5850" s="1"/>
      <c r="X5850" s="1"/>
      <c r="Y5850" s="1"/>
      <c r="Z5850" s="1"/>
      <c r="AA5850" s="1"/>
      <c r="AB5850" s="1"/>
    </row>
    <row r="5851" ht="50.25" customHeight="1">
      <c r="A5851" s="12">
        <v>5847.0</v>
      </c>
      <c r="B5851" s="13" t="s">
        <v>5701</v>
      </c>
      <c r="C5851" s="18" t="s">
        <v>5872</v>
      </c>
      <c r="D5851" s="1"/>
      <c r="E5851" s="1"/>
      <c r="F5851" s="1" t="str">
        <f>IFERROR(__xludf.DUMMYFUNCTION("GOOGLETRANSLATE(B5851, ""en"", ""fa"")
"),"چاپ بر حسب تقاضا (POD)")</f>
        <v>چاپ بر حسب تقاضا (POD)</v>
      </c>
      <c r="G5851" s="1" t="str">
        <f>IFERROR(__xludf.DUMMYFUNCTION("GOOGLETRANSLATE(C5851, ""en"", ""fa"")
"),"چگونه از گزینه‌های سفارشی‌سازی فروشگاه Etsy، مانند عکس‌های روی جلد و فهرست‌های ویژه، برای ایجاد یک ویترین بصری جذاب که بهترین محصولات شما را به نمایش می‌گذارد استفاده کنیم؟")</f>
        <v>چگونه از گزینه‌های سفارشی‌سازی فروشگاه Etsy، مانند عکس‌های روی جلد و فهرست‌های ویژه، برای ایجاد یک ویترین بصری جذاب که بهترین محصولات شما را به نمایش می‌گذارد استفاده کنیم؟</v>
      </c>
      <c r="H5851" s="1"/>
      <c r="I5851" s="1"/>
      <c r="J5851" s="1"/>
      <c r="K5851" s="1"/>
      <c r="L5851" s="1"/>
      <c r="M5851" s="1"/>
      <c r="N5851" s="1"/>
      <c r="O5851" s="1"/>
      <c r="P5851" s="1"/>
      <c r="Q5851" s="1"/>
      <c r="R5851" s="1"/>
      <c r="S5851" s="1"/>
      <c r="T5851" s="1"/>
      <c r="U5851" s="1"/>
      <c r="V5851" s="1"/>
      <c r="W5851" s="1"/>
      <c r="X5851" s="1"/>
      <c r="Y5851" s="1"/>
      <c r="Z5851" s="1"/>
      <c r="AA5851" s="1"/>
      <c r="AB5851" s="1"/>
    </row>
    <row r="5852" ht="50.25" customHeight="1">
      <c r="A5852" s="12">
        <v>5848.0</v>
      </c>
      <c r="B5852" s="13" t="s">
        <v>5701</v>
      </c>
      <c r="C5852" s="18" t="s">
        <v>5873</v>
      </c>
      <c r="D5852" s="1"/>
      <c r="E5852" s="1"/>
      <c r="F5852" s="1" t="str">
        <f>IFERROR(__xludf.DUMMYFUNCTION("GOOGLETRANSLATE(B5852, ""en"", ""fa"")
"),"چاپ بر حسب تقاضا (POD)")</f>
        <v>چاپ بر حسب تقاضا (POD)</v>
      </c>
      <c r="G5852" s="1" t="str">
        <f>IFERROR(__xludf.DUMMYFUNCTION("GOOGLETRANSLATE(C5852, ""en"", ""fa"")
"),"استراتژی های بهینه سازی تعامل مشتری فروشگاه Etsy شما از طریق پیام های شخصی، به روز رسانی سفارش و پیگیری چیست؟")</f>
        <v>استراتژی های بهینه سازی تعامل مشتری فروشگاه Etsy شما از طریق پیام های شخصی، به روز رسانی سفارش و پیگیری چیست؟</v>
      </c>
      <c r="H5852" s="1"/>
      <c r="I5852" s="1"/>
      <c r="J5852" s="1"/>
      <c r="K5852" s="1"/>
      <c r="L5852" s="1"/>
      <c r="M5852" s="1"/>
      <c r="N5852" s="1"/>
      <c r="O5852" s="1"/>
      <c r="P5852" s="1"/>
      <c r="Q5852" s="1"/>
      <c r="R5852" s="1"/>
      <c r="S5852" s="1"/>
      <c r="T5852" s="1"/>
      <c r="U5852" s="1"/>
      <c r="V5852" s="1"/>
      <c r="W5852" s="1"/>
      <c r="X5852" s="1"/>
      <c r="Y5852" s="1"/>
      <c r="Z5852" s="1"/>
      <c r="AA5852" s="1"/>
      <c r="AB5852" s="1"/>
    </row>
    <row r="5853" ht="50.25" customHeight="1">
      <c r="A5853" s="12">
        <v>5849.0</v>
      </c>
      <c r="B5853" s="13" t="s">
        <v>5701</v>
      </c>
      <c r="C5853" s="18" t="s">
        <v>5874</v>
      </c>
      <c r="D5853" s="1"/>
      <c r="E5853" s="1"/>
      <c r="F5853" s="1" t="str">
        <f>IFERROR(__xludf.DUMMYFUNCTION("GOOGLETRANSLATE(B5853, ""en"", ""fa"")
"),"چاپ بر حسب تقاضا (POD)")</f>
        <v>چاپ بر حسب تقاضا (POD)</v>
      </c>
      <c r="G5853" s="1" t="str">
        <f>IFERROR(__xludf.DUMMYFUNCTION("GOOGLETRANSLATE(C5853, ""en"", ""fa"")
"),"چگونه می توان به طور موثر از بررسی ها و توصیفات فروشگاه Etsy برای ایجاد اثبات اجتماعی و اعتبار برای کسب و کار خود استفاده کرد؟")</f>
        <v>چگونه می توان به طور موثر از بررسی ها و توصیفات فروشگاه Etsy برای ایجاد اثبات اجتماعی و اعتبار برای کسب و کار خود استفاده کرد؟</v>
      </c>
      <c r="H5853" s="1"/>
      <c r="I5853" s="1"/>
      <c r="J5853" s="1"/>
      <c r="K5853" s="1"/>
      <c r="L5853" s="1"/>
      <c r="M5853" s="1"/>
      <c r="N5853" s="1"/>
      <c r="O5853" s="1"/>
      <c r="P5853" s="1"/>
      <c r="Q5853" s="1"/>
      <c r="R5853" s="1"/>
      <c r="S5853" s="1"/>
      <c r="T5853" s="1"/>
      <c r="U5853" s="1"/>
      <c r="V5853" s="1"/>
      <c r="W5853" s="1"/>
      <c r="X5853" s="1"/>
      <c r="Y5853" s="1"/>
      <c r="Z5853" s="1"/>
      <c r="AA5853" s="1"/>
      <c r="AB5853" s="1"/>
    </row>
    <row r="5854" ht="50.25" customHeight="1">
      <c r="A5854" s="12">
        <v>5850.0</v>
      </c>
      <c r="B5854" s="13" t="s">
        <v>5701</v>
      </c>
      <c r="C5854" s="18" t="s">
        <v>5875</v>
      </c>
      <c r="D5854" s="1"/>
      <c r="E5854" s="1"/>
      <c r="F5854" s="1" t="str">
        <f>IFERROR(__xludf.DUMMYFUNCTION("GOOGLETRANSLATE(B5854, ""en"", ""fa"")
"),"چاپ بر حسب تقاضا (POD)")</f>
        <v>چاپ بر حسب تقاضا (POD)</v>
      </c>
      <c r="G5854" s="1" t="str">
        <f>IFERROR(__xludf.DUMMYFUNCTION("GOOGLETRANSLATE(C5854, ""en"", ""fa"")
"),"تکنیک های بهینه سازی ویژگی ها و مشخصات محصول فروشگاه Etsy شما برای ارائه اطلاعات دقیق و دقیق برای خریداران چیست؟")</f>
        <v>تکنیک های بهینه سازی ویژگی ها و مشخصات محصول فروشگاه Etsy شما برای ارائه اطلاعات دقیق و دقیق برای خریداران چیست؟</v>
      </c>
      <c r="H5854" s="1"/>
      <c r="I5854" s="1"/>
      <c r="J5854" s="1"/>
      <c r="K5854" s="1"/>
      <c r="L5854" s="1"/>
      <c r="M5854" s="1"/>
      <c r="N5854" s="1"/>
      <c r="O5854" s="1"/>
      <c r="P5854" s="1"/>
      <c r="Q5854" s="1"/>
      <c r="R5854" s="1"/>
      <c r="S5854" s="1"/>
      <c r="T5854" s="1"/>
      <c r="U5854" s="1"/>
      <c r="V5854" s="1"/>
      <c r="W5854" s="1"/>
      <c r="X5854" s="1"/>
      <c r="Y5854" s="1"/>
      <c r="Z5854" s="1"/>
      <c r="AA5854" s="1"/>
      <c r="AB5854" s="1"/>
    </row>
    <row r="5855" ht="50.25" customHeight="1">
      <c r="A5855" s="12">
        <v>5851.0</v>
      </c>
      <c r="B5855" s="13" t="s">
        <v>5701</v>
      </c>
      <c r="C5855" s="18" t="s">
        <v>5876</v>
      </c>
      <c r="D5855" s="1"/>
      <c r="E5855" s="1"/>
      <c r="F5855" s="1" t="str">
        <f>IFERROR(__xludf.DUMMYFUNCTION("GOOGLETRANSLATE(B5855, ""en"", ""fa"")
"),"چاپ بر حسب تقاضا (POD)")</f>
        <v>چاپ بر حسب تقاضا (POD)</v>
      </c>
      <c r="G5855" s="1" t="str">
        <f>IFERROR(__xludf.DUMMYFUNCTION("GOOGLETRANSLATE(C5855, ""en"", ""fa"")
"),"چگونه ویژگی‌های منحصربه‌فرد محصول را شناسایی کنیم که اقلام Print on Demand شما را از رقبا متمایز می‌کند؟")</f>
        <v>چگونه ویژگی‌های منحصربه‌فرد محصول را شناسایی کنیم که اقلام Print on Demand شما را از رقبا متمایز می‌کند؟</v>
      </c>
      <c r="H5855" s="1"/>
      <c r="I5855" s="1"/>
      <c r="J5855" s="1"/>
      <c r="K5855" s="1"/>
      <c r="L5855" s="1"/>
      <c r="M5855" s="1"/>
      <c r="N5855" s="1"/>
      <c r="O5855" s="1"/>
      <c r="P5855" s="1"/>
      <c r="Q5855" s="1"/>
      <c r="R5855" s="1"/>
      <c r="S5855" s="1"/>
      <c r="T5855" s="1"/>
      <c r="U5855" s="1"/>
      <c r="V5855" s="1"/>
      <c r="W5855" s="1"/>
      <c r="X5855" s="1"/>
      <c r="Y5855" s="1"/>
      <c r="Z5855" s="1"/>
      <c r="AA5855" s="1"/>
      <c r="AB5855" s="1"/>
    </row>
    <row r="5856" ht="50.25" customHeight="1">
      <c r="A5856" s="12">
        <v>5852.0</v>
      </c>
      <c r="B5856" s="13" t="s">
        <v>5701</v>
      </c>
      <c r="C5856" s="18" t="s">
        <v>5877</v>
      </c>
      <c r="D5856" s="1"/>
      <c r="E5856" s="1"/>
      <c r="F5856" s="1" t="str">
        <f>IFERROR(__xludf.DUMMYFUNCTION("GOOGLETRANSLATE(B5856, ""en"", ""fa"")
"),"چاپ بر حسب تقاضا (POD)")</f>
        <v>چاپ بر حسب تقاضا (POD)</v>
      </c>
      <c r="G5856" s="1" t="str">
        <f>IFERROR(__xludf.DUMMYFUNCTION("GOOGLETRANSLATE(C5856, ""en"", ""fa"")
"),"بهترین شیوه ها برای انجام تحقیقات بازار برای کشف شکاف ها و فرصت های تمایز محصول چیست؟")</f>
        <v>بهترین شیوه ها برای انجام تحقیقات بازار برای کشف شکاف ها و فرصت های تمایز محصول چیست؟</v>
      </c>
      <c r="H5856" s="1"/>
      <c r="I5856" s="1"/>
      <c r="J5856" s="1"/>
      <c r="K5856" s="1"/>
      <c r="L5856" s="1"/>
      <c r="M5856" s="1"/>
      <c r="N5856" s="1"/>
      <c r="O5856" s="1"/>
      <c r="P5856" s="1"/>
      <c r="Q5856" s="1"/>
      <c r="R5856" s="1"/>
      <c r="S5856" s="1"/>
      <c r="T5856" s="1"/>
      <c r="U5856" s="1"/>
      <c r="V5856" s="1"/>
      <c r="W5856" s="1"/>
      <c r="X5856" s="1"/>
      <c r="Y5856" s="1"/>
      <c r="Z5856" s="1"/>
      <c r="AA5856" s="1"/>
      <c r="AB5856" s="1"/>
    </row>
    <row r="5857" ht="50.25" customHeight="1">
      <c r="A5857" s="12">
        <v>5853.0</v>
      </c>
      <c r="B5857" s="13" t="s">
        <v>5701</v>
      </c>
      <c r="C5857" s="18" t="s">
        <v>5878</v>
      </c>
      <c r="D5857" s="1"/>
      <c r="E5857" s="1"/>
      <c r="F5857" s="1" t="str">
        <f>IFERROR(__xludf.DUMMYFUNCTION("GOOGLETRANSLATE(B5857, ""en"", ""fa"")
"),"چاپ بر حسب تقاضا (POD)")</f>
        <v>چاپ بر حسب تقاضا (POD)</v>
      </c>
      <c r="G5857" s="1" t="str">
        <f>IFERROR(__xludf.DUMMYFUNCTION("GOOGLETRANSLATE(C5857, ""en"", ""fa"")
"),"چگونه می توان سفارشی سازی ها و گزینه های شخصی سازی را برای برجسته کردن محصولات Print on Demand خود ترکیب کرد؟")</f>
        <v>چگونه می توان سفارشی سازی ها و گزینه های شخصی سازی را برای برجسته کردن محصولات Print on Demand خود ترکیب کرد؟</v>
      </c>
      <c r="H5857" s="1"/>
      <c r="I5857" s="1"/>
      <c r="J5857" s="1"/>
      <c r="K5857" s="1"/>
      <c r="L5857" s="1"/>
      <c r="M5857" s="1"/>
      <c r="N5857" s="1"/>
      <c r="O5857" s="1"/>
      <c r="P5857" s="1"/>
      <c r="Q5857" s="1"/>
      <c r="R5857" s="1"/>
      <c r="S5857" s="1"/>
      <c r="T5857" s="1"/>
      <c r="U5857" s="1"/>
      <c r="V5857" s="1"/>
      <c r="W5857" s="1"/>
      <c r="X5857" s="1"/>
      <c r="Y5857" s="1"/>
      <c r="Z5857" s="1"/>
      <c r="AA5857" s="1"/>
      <c r="AB5857" s="1"/>
    </row>
    <row r="5858" ht="50.25" customHeight="1">
      <c r="A5858" s="12">
        <v>5854.0</v>
      </c>
      <c r="B5858" s="13" t="s">
        <v>5701</v>
      </c>
      <c r="C5858" s="18" t="s">
        <v>5879</v>
      </c>
      <c r="D5858" s="1"/>
      <c r="E5858" s="1"/>
      <c r="F5858" s="1" t="str">
        <f>IFERROR(__xludf.DUMMYFUNCTION("GOOGLETRANSLATE(B5858, ""en"", ""fa"")
"),"چاپ بر حسب تقاضا (POD)")</f>
        <v>چاپ بر حسب تقاضا (POD)</v>
      </c>
      <c r="G5858" s="1" t="str">
        <f>IFERROR(__xludf.DUMMYFUNCTION("GOOGLETRANSLATE(C5858, ""en"", ""fa"")
"),"چه تکنیک هایی برای افزودن طرح ها یا آثار هنری منحصر به فرد به اقلام Print on Demand خود برای ایجاد حس منحصر به فرد بودن وجود دارد؟")</f>
        <v>چه تکنیک هایی برای افزودن طرح ها یا آثار هنری منحصر به فرد به اقلام Print on Demand خود برای ایجاد حس منحصر به فرد بودن وجود دارد؟</v>
      </c>
      <c r="H5858" s="1"/>
      <c r="I5858" s="1"/>
      <c r="J5858" s="1"/>
      <c r="K5858" s="1"/>
      <c r="L5858" s="1"/>
      <c r="M5858" s="1"/>
      <c r="N5858" s="1"/>
      <c r="O5858" s="1"/>
      <c r="P5858" s="1"/>
      <c r="Q5858" s="1"/>
      <c r="R5858" s="1"/>
      <c r="S5858" s="1"/>
      <c r="T5858" s="1"/>
      <c r="U5858" s="1"/>
      <c r="V5858" s="1"/>
      <c r="W5858" s="1"/>
      <c r="X5858" s="1"/>
      <c r="Y5858" s="1"/>
      <c r="Z5858" s="1"/>
      <c r="AA5858" s="1"/>
      <c r="AB5858" s="1"/>
    </row>
    <row r="5859" ht="50.25" customHeight="1">
      <c r="A5859" s="12">
        <v>5855.0</v>
      </c>
      <c r="B5859" s="13" t="s">
        <v>5701</v>
      </c>
      <c r="C5859" s="18" t="s">
        <v>5880</v>
      </c>
      <c r="D5859" s="1"/>
      <c r="E5859" s="1"/>
      <c r="F5859" s="1" t="str">
        <f>IFERROR(__xludf.DUMMYFUNCTION("GOOGLETRANSLATE(B5859, ""en"", ""fa"")
"),"چاپ بر حسب تقاضا (POD)")</f>
        <v>چاپ بر حسب تقاضا (POD)</v>
      </c>
      <c r="G5859" s="1" t="str">
        <f>IFERROR(__xludf.DUMMYFUNCTION("GOOGLETRANSLATE(C5859, ""en"", ""fa"")
"),"چگونه می توان از مواد تخصصی یا فرآیندهای تولید برای متمایز کردن محصولات چاپ بر اساس تقاضا از نظر کیفیت استفاده کرد؟")</f>
        <v>چگونه می توان از مواد تخصصی یا فرآیندهای تولید برای متمایز کردن محصولات چاپ بر اساس تقاضا از نظر کیفیت استفاده کرد؟</v>
      </c>
      <c r="H5859" s="1"/>
      <c r="I5859" s="1"/>
      <c r="J5859" s="1"/>
      <c r="K5859" s="1"/>
      <c r="L5859" s="1"/>
      <c r="M5859" s="1"/>
      <c r="N5859" s="1"/>
      <c r="O5859" s="1"/>
      <c r="P5859" s="1"/>
      <c r="Q5859" s="1"/>
      <c r="R5859" s="1"/>
      <c r="S5859" s="1"/>
      <c r="T5859" s="1"/>
      <c r="U5859" s="1"/>
      <c r="V5859" s="1"/>
      <c r="W5859" s="1"/>
      <c r="X5859" s="1"/>
      <c r="Y5859" s="1"/>
      <c r="Z5859" s="1"/>
      <c r="AA5859" s="1"/>
      <c r="AB5859" s="1"/>
    </row>
    <row r="5860" ht="50.25" customHeight="1">
      <c r="A5860" s="12">
        <v>5856.0</v>
      </c>
      <c r="B5860" s="13" t="s">
        <v>5701</v>
      </c>
      <c r="C5860" s="18" t="s">
        <v>5881</v>
      </c>
      <c r="D5860" s="1"/>
      <c r="E5860" s="1"/>
      <c r="F5860" s="1" t="str">
        <f>IFERROR(__xludf.DUMMYFUNCTION("GOOGLETRANSLATE(B5860, ""en"", ""fa"")
"),"چاپ بر حسب تقاضا (POD)")</f>
        <v>چاپ بر حسب تقاضا (POD)</v>
      </c>
      <c r="G5860" s="1" t="str">
        <f>IFERROR(__xludf.DUMMYFUNCTION("GOOGLETRANSLATE(C5860, ""en"", ""fa"")
"),"چه راهکارهایی برای ارائه نسخه محدود یا تنوع منحصر به فرد از اقلام Print on Demand شما برای ایجاد انحصار وجود دارد؟")</f>
        <v>چه راهکارهایی برای ارائه نسخه محدود یا تنوع منحصر به فرد از اقلام Print on Demand شما برای ایجاد انحصار وجود دارد؟</v>
      </c>
      <c r="H5860" s="1"/>
      <c r="I5860" s="1"/>
      <c r="J5860" s="1"/>
      <c r="K5860" s="1"/>
      <c r="L5860" s="1"/>
      <c r="M5860" s="1"/>
      <c r="N5860" s="1"/>
      <c r="O5860" s="1"/>
      <c r="P5860" s="1"/>
      <c r="Q5860" s="1"/>
      <c r="R5860" s="1"/>
      <c r="S5860" s="1"/>
      <c r="T5860" s="1"/>
      <c r="U5860" s="1"/>
      <c r="V5860" s="1"/>
      <c r="W5860" s="1"/>
      <c r="X5860" s="1"/>
      <c r="Y5860" s="1"/>
      <c r="Z5860" s="1"/>
      <c r="AA5860" s="1"/>
      <c r="AB5860" s="1"/>
    </row>
    <row r="5861" ht="50.25" customHeight="1">
      <c r="A5861" s="12">
        <v>5857.0</v>
      </c>
      <c r="B5861" s="13" t="s">
        <v>5701</v>
      </c>
      <c r="C5861" s="18" t="s">
        <v>5882</v>
      </c>
      <c r="D5861" s="1"/>
      <c r="E5861" s="1"/>
      <c r="F5861" s="1" t="str">
        <f>IFERROR(__xludf.DUMMYFUNCTION("GOOGLETRANSLATE(B5861, ""en"", ""fa"")
"),"چاپ بر حسب تقاضا (POD)")</f>
        <v>چاپ بر حسب تقاضا (POD)</v>
      </c>
      <c r="G5861" s="1" t="str">
        <f>IFERROR(__xludf.DUMMYFUNCTION("GOOGLETRANSLATE(C5861, ""en"", ""fa"")
"),"چگونه می توان با هنرمندان یا طراحان برای ایجاد طرح های سفارشی برای محصولات چاپ بر اساس تقاضا همکاری کرد؟")</f>
        <v>چگونه می توان با هنرمندان یا طراحان برای ایجاد طرح های سفارشی برای محصولات چاپ بر اساس تقاضا همکاری کرد؟</v>
      </c>
      <c r="H5861" s="1"/>
      <c r="I5861" s="1"/>
      <c r="J5861" s="1"/>
      <c r="K5861" s="1"/>
      <c r="L5861" s="1"/>
      <c r="M5861" s="1"/>
      <c r="N5861" s="1"/>
      <c r="O5861" s="1"/>
      <c r="P5861" s="1"/>
      <c r="Q5861" s="1"/>
      <c r="R5861" s="1"/>
      <c r="S5861" s="1"/>
      <c r="T5861" s="1"/>
      <c r="U5861" s="1"/>
      <c r="V5861" s="1"/>
      <c r="W5861" s="1"/>
      <c r="X5861" s="1"/>
      <c r="Y5861" s="1"/>
      <c r="Z5861" s="1"/>
      <c r="AA5861" s="1"/>
      <c r="AB5861" s="1"/>
    </row>
    <row r="5862" ht="50.25" customHeight="1">
      <c r="A5862" s="12">
        <v>5858.0</v>
      </c>
      <c r="B5862" s="13" t="s">
        <v>5701</v>
      </c>
      <c r="C5862" s="18" t="s">
        <v>5883</v>
      </c>
      <c r="D5862" s="1"/>
      <c r="E5862" s="1"/>
      <c r="F5862" s="1" t="str">
        <f>IFERROR(__xludf.DUMMYFUNCTION("GOOGLETRANSLATE(B5862, ""en"", ""fa"")
"),"چاپ بر حسب تقاضا (POD)")</f>
        <v>چاپ بر حسب تقاضا (POD)</v>
      </c>
      <c r="G5862" s="1" t="str">
        <f>IFERROR(__xludf.DUMMYFUNCTION("GOOGLETRANSLATE(C5862, ""en"", ""fa"")
"),"تکنیک‌های گنجاندن ویژگی‌های نوآورانه یا کاربردی در موارد چاپ بر اساس تقاضا برای متمایز کردن آنها در بازار چیست؟")</f>
        <v>تکنیک‌های گنجاندن ویژگی‌های نوآورانه یا کاربردی در موارد چاپ بر اساس تقاضا برای متمایز کردن آنها در بازار چیست؟</v>
      </c>
      <c r="H5862" s="1"/>
      <c r="I5862" s="1"/>
      <c r="J5862" s="1"/>
      <c r="K5862" s="1"/>
      <c r="L5862" s="1"/>
      <c r="M5862" s="1"/>
      <c r="N5862" s="1"/>
      <c r="O5862" s="1"/>
      <c r="P5862" s="1"/>
      <c r="Q5862" s="1"/>
      <c r="R5862" s="1"/>
      <c r="S5862" s="1"/>
      <c r="T5862" s="1"/>
      <c r="U5862" s="1"/>
      <c r="V5862" s="1"/>
      <c r="W5862" s="1"/>
      <c r="X5862" s="1"/>
      <c r="Y5862" s="1"/>
      <c r="Z5862" s="1"/>
      <c r="AA5862" s="1"/>
      <c r="AB5862" s="1"/>
    </row>
    <row r="5863" ht="50.25" customHeight="1">
      <c r="A5863" s="12">
        <v>5859.0</v>
      </c>
      <c r="B5863" s="13" t="s">
        <v>5701</v>
      </c>
      <c r="C5863" s="18" t="s">
        <v>5884</v>
      </c>
      <c r="D5863" s="1"/>
      <c r="E5863" s="1"/>
      <c r="F5863" s="1" t="str">
        <f>IFERROR(__xludf.DUMMYFUNCTION("GOOGLETRANSLATE(B5863, ""en"", ""fa"")
"),"چاپ بر حسب تقاضا (POD)")</f>
        <v>چاپ بر حسب تقاضا (POD)</v>
      </c>
      <c r="G5863" s="1" t="str">
        <f>IFERROR(__xludf.DUMMYFUNCTION("GOOGLETRANSLATE(C5863, ""en"", ""fa"")
"),"چگونه می‌توان بسته‌ها یا مجموعه‌های محصولی ایجاد کرد که چندین آیتم Print on Demand را برای ارزش افزوده و تمایز ترکیب می‌کند؟")</f>
        <v>چگونه می‌توان بسته‌ها یا مجموعه‌های محصولی ایجاد کرد که چندین آیتم Print on Demand را برای ارزش افزوده و تمایز ترکیب می‌کند؟</v>
      </c>
      <c r="H5863" s="1"/>
      <c r="I5863" s="1"/>
      <c r="J5863" s="1"/>
      <c r="K5863" s="1"/>
      <c r="L5863" s="1"/>
      <c r="M5863" s="1"/>
      <c r="N5863" s="1"/>
      <c r="O5863" s="1"/>
      <c r="P5863" s="1"/>
      <c r="Q5863" s="1"/>
      <c r="R5863" s="1"/>
      <c r="S5863" s="1"/>
      <c r="T5863" s="1"/>
      <c r="U5863" s="1"/>
      <c r="V5863" s="1"/>
      <c r="W5863" s="1"/>
      <c r="X5863" s="1"/>
      <c r="Y5863" s="1"/>
      <c r="Z5863" s="1"/>
      <c r="AA5863" s="1"/>
      <c r="AB5863" s="1"/>
    </row>
    <row r="5864" ht="50.25" customHeight="1">
      <c r="A5864" s="12">
        <v>5860.0</v>
      </c>
      <c r="B5864" s="13" t="s">
        <v>5701</v>
      </c>
      <c r="C5864" s="18" t="s">
        <v>5885</v>
      </c>
      <c r="D5864" s="1"/>
      <c r="E5864" s="1"/>
      <c r="F5864" s="1" t="str">
        <f>IFERROR(__xludf.DUMMYFUNCTION("GOOGLETRANSLATE(B5864, ""en"", ""fa"")
"),"چاپ بر حسب تقاضا (POD)")</f>
        <v>چاپ بر حسب تقاضا (POD)</v>
      </c>
      <c r="G5864" s="1" t="str">
        <f>IFERROR(__xludf.DUMMYFUNCTION("GOOGLETRANSLATE(C5864, ""en"", ""fa"")
"),"استراتژی‌هایی برای هدف قرار دادن جایگاه‌ها یا خرده‌فرهنگ‌های خاص با محصولات Print on Demand شما برای جذب ترجیحات منحصر به فرد آن‌ها چیست؟")</f>
        <v>استراتژی‌هایی برای هدف قرار دادن جایگاه‌ها یا خرده‌فرهنگ‌های خاص با محصولات Print on Demand شما برای جذب ترجیحات منحصر به فرد آن‌ها چیست؟</v>
      </c>
      <c r="H5864" s="1"/>
      <c r="I5864" s="1"/>
      <c r="J5864" s="1"/>
      <c r="K5864" s="1"/>
      <c r="L5864" s="1"/>
      <c r="M5864" s="1"/>
      <c r="N5864" s="1"/>
      <c r="O5864" s="1"/>
      <c r="P5864" s="1"/>
      <c r="Q5864" s="1"/>
      <c r="R5864" s="1"/>
      <c r="S5864" s="1"/>
      <c r="T5864" s="1"/>
      <c r="U5864" s="1"/>
      <c r="V5864" s="1"/>
      <c r="W5864" s="1"/>
      <c r="X5864" s="1"/>
      <c r="Y5864" s="1"/>
      <c r="Z5864" s="1"/>
      <c r="AA5864" s="1"/>
      <c r="AB5864" s="1"/>
    </row>
    <row r="5865" ht="50.25" customHeight="1">
      <c r="A5865" s="12">
        <v>5861.0</v>
      </c>
      <c r="B5865" s="13" t="s">
        <v>5701</v>
      </c>
      <c r="C5865" s="18" t="s">
        <v>5886</v>
      </c>
      <c r="D5865" s="1"/>
      <c r="E5865" s="1"/>
      <c r="F5865" s="1" t="str">
        <f>IFERROR(__xludf.DUMMYFUNCTION("GOOGLETRANSLATE(B5865, ""en"", ""fa"")
"),"چاپ بر حسب تقاضا (POD)")</f>
        <v>چاپ بر حسب تقاضا (POD)</v>
      </c>
      <c r="G5865" s="1" t="str">
        <f>IFERROR(__xludf.DUMMYFUNCTION("GOOGLETRANSLATE(C5865, ""en"", ""fa"")
"),"چگونه از داستان سرایی و برندسازی برای متمایز کردن محصولات چاپ بر اساس تقاضا و ایجاد ارتباط عاطفی با مشتریان استفاده کنید؟")</f>
        <v>چگونه از داستان سرایی و برندسازی برای متمایز کردن محصولات چاپ بر اساس تقاضا و ایجاد ارتباط عاطفی با مشتریان استفاده کنید؟</v>
      </c>
      <c r="H5865" s="1"/>
      <c r="I5865" s="1"/>
      <c r="J5865" s="1"/>
      <c r="K5865" s="1"/>
      <c r="L5865" s="1"/>
      <c r="M5865" s="1"/>
      <c r="N5865" s="1"/>
      <c r="O5865" s="1"/>
      <c r="P5865" s="1"/>
      <c r="Q5865" s="1"/>
      <c r="R5865" s="1"/>
      <c r="S5865" s="1"/>
      <c r="T5865" s="1"/>
      <c r="U5865" s="1"/>
      <c r="V5865" s="1"/>
      <c r="W5865" s="1"/>
      <c r="X5865" s="1"/>
      <c r="Y5865" s="1"/>
      <c r="Z5865" s="1"/>
      <c r="AA5865" s="1"/>
      <c r="AB5865" s="1"/>
    </row>
    <row r="5866" ht="50.25" customHeight="1">
      <c r="A5866" s="12">
        <v>5862.0</v>
      </c>
      <c r="B5866" s="13" t="s">
        <v>5701</v>
      </c>
      <c r="C5866" s="18" t="s">
        <v>5887</v>
      </c>
      <c r="D5866" s="1"/>
      <c r="E5866" s="1"/>
      <c r="F5866" s="1" t="str">
        <f>IFERROR(__xludf.DUMMYFUNCTION("GOOGLETRANSLATE(B5866, ""en"", ""fa"")
"),"چاپ بر حسب تقاضا (POD)")</f>
        <v>چاپ بر حسب تقاضا (POD)</v>
      </c>
      <c r="G5866" s="1" t="str">
        <f>IFERROR(__xludf.DUMMYFUNCTION("GOOGLETRANSLATE(C5866, ""en"", ""fa"")
"),"تکنیک های استفاده از بسته بندی و ارائه با کیفیت بالا برای بالا بردن ارزش درک شده اقلام چاپ بر اساس تقاضا چیست؟")</f>
        <v>تکنیک های استفاده از بسته بندی و ارائه با کیفیت بالا برای بالا بردن ارزش درک شده اقلام چاپ بر اساس تقاضا چیست؟</v>
      </c>
      <c r="H5866" s="1"/>
      <c r="I5866" s="1"/>
      <c r="J5866" s="1"/>
      <c r="K5866" s="1"/>
      <c r="L5866" s="1"/>
      <c r="M5866" s="1"/>
      <c r="N5866" s="1"/>
      <c r="O5866" s="1"/>
      <c r="P5866" s="1"/>
      <c r="Q5866" s="1"/>
      <c r="R5866" s="1"/>
      <c r="S5866" s="1"/>
      <c r="T5866" s="1"/>
      <c r="U5866" s="1"/>
      <c r="V5866" s="1"/>
      <c r="W5866" s="1"/>
      <c r="X5866" s="1"/>
      <c r="Y5866" s="1"/>
      <c r="Z5866" s="1"/>
      <c r="AA5866" s="1"/>
      <c r="AB5866" s="1"/>
    </row>
    <row r="5867" ht="50.25" customHeight="1">
      <c r="A5867" s="12">
        <v>5863.0</v>
      </c>
      <c r="B5867" s="13" t="s">
        <v>5701</v>
      </c>
      <c r="C5867" s="18" t="s">
        <v>5888</v>
      </c>
      <c r="D5867" s="1"/>
      <c r="E5867" s="1"/>
      <c r="F5867" s="1" t="str">
        <f>IFERROR(__xludf.DUMMYFUNCTION("GOOGLETRANSLATE(B5867, ""en"", ""fa"")
"),"چاپ بر حسب تقاضا (POD)")</f>
        <v>چاپ بر حسب تقاضا (POD)</v>
      </c>
      <c r="G5867" s="1" t="str">
        <f>IFERROR(__xludf.DUMMYFUNCTION("GOOGLETRANSLATE(C5867, ""en"", ""fa"")
"),"چگونه برای متمایز کردن محصولات Print on Demand خود، گزینه های قابل تنظیم، مانند انتخاب رنگ یا شخصی سازی متن را ارائه دهید؟")</f>
        <v>چگونه برای متمایز کردن محصولات Print on Demand خود، گزینه های قابل تنظیم، مانند انتخاب رنگ یا شخصی سازی متن را ارائه دهید؟</v>
      </c>
      <c r="H5867" s="1"/>
      <c r="I5867" s="1"/>
      <c r="J5867" s="1"/>
      <c r="K5867" s="1"/>
      <c r="L5867" s="1"/>
      <c r="M5867" s="1"/>
      <c r="N5867" s="1"/>
      <c r="O5867" s="1"/>
      <c r="P5867" s="1"/>
      <c r="Q5867" s="1"/>
      <c r="R5867" s="1"/>
      <c r="S5867" s="1"/>
      <c r="T5867" s="1"/>
      <c r="U5867" s="1"/>
      <c r="V5867" s="1"/>
      <c r="W5867" s="1"/>
      <c r="X5867" s="1"/>
      <c r="Y5867" s="1"/>
      <c r="Z5867" s="1"/>
      <c r="AA5867" s="1"/>
      <c r="AB5867" s="1"/>
    </row>
    <row r="5868" ht="50.25" customHeight="1">
      <c r="A5868" s="12">
        <v>5864.0</v>
      </c>
      <c r="B5868" s="13" t="s">
        <v>5701</v>
      </c>
      <c r="C5868" s="18" t="s">
        <v>5889</v>
      </c>
      <c r="D5868" s="1"/>
      <c r="E5868" s="1"/>
      <c r="F5868" s="1" t="str">
        <f>IFERROR(__xludf.DUMMYFUNCTION("GOOGLETRANSLATE(B5868, ""en"", ""fa"")
"),"چاپ بر حسب تقاضا (POD)")</f>
        <v>چاپ بر حسب تقاضا (POD)</v>
      </c>
      <c r="G5868" s="1" t="str">
        <f>IFERROR(__xludf.DUMMYFUNCTION("GOOGLETRANSLATE(C5868, ""en"", ""fa"")
"),"بهترین شیوه ها برای ترکیب مواد سازگار با محیط زیست یا پایدار در اقلام چاپ بر اساس تقاضا برای جذب مصرف کنندگان آگاه چیست؟")</f>
        <v>بهترین شیوه ها برای ترکیب مواد سازگار با محیط زیست یا پایدار در اقلام چاپ بر اساس تقاضا برای جذب مصرف کنندگان آگاه چیست؟</v>
      </c>
      <c r="H5868" s="1"/>
      <c r="I5868" s="1"/>
      <c r="J5868" s="1"/>
      <c r="K5868" s="1"/>
      <c r="L5868" s="1"/>
      <c r="M5868" s="1"/>
      <c r="N5868" s="1"/>
      <c r="O5868" s="1"/>
      <c r="P5868" s="1"/>
      <c r="Q5868" s="1"/>
      <c r="R5868" s="1"/>
      <c r="S5868" s="1"/>
      <c r="T5868" s="1"/>
      <c r="U5868" s="1"/>
      <c r="V5868" s="1"/>
      <c r="W5868" s="1"/>
      <c r="X5868" s="1"/>
      <c r="Y5868" s="1"/>
      <c r="Z5868" s="1"/>
      <c r="AA5868" s="1"/>
      <c r="AB5868" s="1"/>
    </row>
    <row r="5869" ht="50.25" customHeight="1">
      <c r="A5869" s="12">
        <v>5865.0</v>
      </c>
      <c r="B5869" s="13" t="s">
        <v>5701</v>
      </c>
      <c r="C5869" s="18" t="s">
        <v>5890</v>
      </c>
      <c r="D5869" s="1"/>
      <c r="E5869" s="1"/>
      <c r="F5869" s="1" t="str">
        <f>IFERROR(__xludf.DUMMYFUNCTION("GOOGLETRANSLATE(B5869, ""en"", ""fa"")
"),"چاپ بر حسب تقاضا (POD)")</f>
        <v>چاپ بر حسب تقاضا (POD)</v>
      </c>
      <c r="G5869" s="1" t="str">
        <f>IFERROR(__xludf.DUMMYFUNCTION("GOOGLETRANSLATE(C5869, ""en"", ""fa"")
"),"چگونه می توان محصولات Print on Demand را ایجاد کرد که مشکلات خاصی را حل می کند یا نیازهای برآورده نشده در بازار را برطرف می کند؟")</f>
        <v>چگونه می توان محصولات Print on Demand را ایجاد کرد که مشکلات خاصی را حل می کند یا نیازهای برآورده نشده در بازار را برطرف می کند؟</v>
      </c>
      <c r="H5869" s="1"/>
      <c r="I5869" s="1"/>
      <c r="J5869" s="1"/>
      <c r="K5869" s="1"/>
      <c r="L5869" s="1"/>
      <c r="M5869" s="1"/>
      <c r="N5869" s="1"/>
      <c r="O5869" s="1"/>
      <c r="P5869" s="1"/>
      <c r="Q5869" s="1"/>
      <c r="R5869" s="1"/>
      <c r="S5869" s="1"/>
      <c r="T5869" s="1"/>
      <c r="U5869" s="1"/>
      <c r="V5869" s="1"/>
      <c r="W5869" s="1"/>
      <c r="X5869" s="1"/>
      <c r="Y5869" s="1"/>
      <c r="Z5869" s="1"/>
      <c r="AA5869" s="1"/>
      <c r="AB5869" s="1"/>
    </row>
    <row r="5870" ht="50.25" customHeight="1">
      <c r="A5870" s="12">
        <v>5866.0</v>
      </c>
      <c r="B5870" s="13" t="s">
        <v>5701</v>
      </c>
      <c r="C5870" s="18" t="s">
        <v>5891</v>
      </c>
      <c r="D5870" s="1"/>
      <c r="E5870" s="1"/>
      <c r="F5870" s="1" t="str">
        <f>IFERROR(__xludf.DUMMYFUNCTION("GOOGLETRANSLATE(B5870, ""en"", ""fa"")
"),"چاپ بر حسب تقاضا (POD)")</f>
        <v>چاپ بر حسب تقاضا (POD)</v>
      </c>
      <c r="G5870" s="1" t="str">
        <f>IFERROR(__xludf.DUMMYFUNCTION("GOOGLETRANSLATE(C5870, ""en"", ""fa"")
"),"چه راهکارهایی برای استفاده از روندهای فرهنگی یا فصلی برای ایجاد محصولات چاپ بر اساس تقاضا به موقع و با تقاضا وجود دارد؟")</f>
        <v>چه راهکارهایی برای استفاده از روندهای فرهنگی یا فصلی برای ایجاد محصولات چاپ بر اساس تقاضا به موقع و با تقاضا وجود دارد؟</v>
      </c>
      <c r="H5870" s="1"/>
      <c r="I5870" s="1"/>
      <c r="J5870" s="1"/>
      <c r="K5870" s="1"/>
      <c r="L5870" s="1"/>
      <c r="M5870" s="1"/>
      <c r="N5870" s="1"/>
      <c r="O5870" s="1"/>
      <c r="P5870" s="1"/>
      <c r="Q5870" s="1"/>
      <c r="R5870" s="1"/>
      <c r="S5870" s="1"/>
      <c r="T5870" s="1"/>
      <c r="U5870" s="1"/>
      <c r="V5870" s="1"/>
      <c r="W5870" s="1"/>
      <c r="X5870" s="1"/>
      <c r="Y5870" s="1"/>
      <c r="Z5870" s="1"/>
      <c r="AA5870" s="1"/>
      <c r="AB5870" s="1"/>
    </row>
    <row r="5871" ht="50.25" customHeight="1">
      <c r="A5871" s="12">
        <v>5867.0</v>
      </c>
      <c r="B5871" s="13" t="s">
        <v>5701</v>
      </c>
      <c r="C5871" s="18" t="s">
        <v>5892</v>
      </c>
      <c r="D5871" s="1"/>
      <c r="E5871" s="1"/>
      <c r="F5871" s="1" t="str">
        <f>IFERROR(__xludf.DUMMYFUNCTION("GOOGLETRANSLATE(B5871, ""en"", ""fa"")
"),"چاپ بر حسب تقاضا (POD)")</f>
        <v>چاپ بر حسب تقاضا (POD)</v>
      </c>
      <c r="G5871" s="1" t="str">
        <f>IFERROR(__xludf.DUMMYFUNCTION("GOOGLETRANSLATE(C5871, ""en"", ""fa"")
"),"چگونه می توان تجزیه و تحلیل رقبا را برای شناسایی پیشنهادات محصول آنها و یافتن فرصت هایی برای تمایز در تجارت چاپ بر اساس تقاضا انجام داد؟")</f>
        <v>چگونه می توان تجزیه و تحلیل رقبا را برای شناسایی پیشنهادات محصول آنها و یافتن فرصت هایی برای تمایز در تجارت چاپ بر اساس تقاضا انجام داد؟</v>
      </c>
      <c r="H5871" s="1"/>
      <c r="I5871" s="1"/>
      <c r="J5871" s="1"/>
      <c r="K5871" s="1"/>
      <c r="L5871" s="1"/>
      <c r="M5871" s="1"/>
      <c r="N5871" s="1"/>
      <c r="O5871" s="1"/>
      <c r="P5871" s="1"/>
      <c r="Q5871" s="1"/>
      <c r="R5871" s="1"/>
      <c r="S5871" s="1"/>
      <c r="T5871" s="1"/>
      <c r="U5871" s="1"/>
      <c r="V5871" s="1"/>
      <c r="W5871" s="1"/>
      <c r="X5871" s="1"/>
      <c r="Y5871" s="1"/>
      <c r="Z5871" s="1"/>
      <c r="AA5871" s="1"/>
      <c r="AB5871" s="1"/>
    </row>
    <row r="5872" ht="50.25" customHeight="1">
      <c r="A5872" s="12">
        <v>5868.0</v>
      </c>
      <c r="B5872" s="13" t="s">
        <v>5701</v>
      </c>
      <c r="C5872" s="18" t="s">
        <v>5893</v>
      </c>
      <c r="D5872" s="1"/>
      <c r="E5872" s="1"/>
      <c r="F5872" s="1" t="str">
        <f>IFERROR(__xludf.DUMMYFUNCTION("GOOGLETRANSLATE(B5872, ""en"", ""fa"")
"),"چاپ بر حسب تقاضا (POD)")</f>
        <v>چاپ بر حسب تقاضا (POD)</v>
      </c>
      <c r="G5872" s="1" t="str">
        <f>IFERROR(__xludf.DUMMYFUNCTION("GOOGLETRANSLATE(C5872, ""en"", ""fa"")
"),"تکنیک‌های ارائه انواع یا اندازه‌های محصول برای پاسخگویی به ترجیحات مختلف مشتریان و افزایش دامنه محصول شما چیست؟")</f>
        <v>تکنیک‌های ارائه انواع یا اندازه‌های محصول برای پاسخگویی به ترجیحات مختلف مشتریان و افزایش دامنه محصول شما چیست؟</v>
      </c>
      <c r="H5872" s="1"/>
      <c r="I5872" s="1"/>
      <c r="J5872" s="1"/>
      <c r="K5872" s="1"/>
      <c r="L5872" s="1"/>
      <c r="M5872" s="1"/>
      <c r="N5872" s="1"/>
      <c r="O5872" s="1"/>
      <c r="P5872" s="1"/>
      <c r="Q5872" s="1"/>
      <c r="R5872" s="1"/>
      <c r="S5872" s="1"/>
      <c r="T5872" s="1"/>
      <c r="U5872" s="1"/>
      <c r="V5872" s="1"/>
      <c r="W5872" s="1"/>
      <c r="X5872" s="1"/>
      <c r="Y5872" s="1"/>
      <c r="Z5872" s="1"/>
      <c r="AA5872" s="1"/>
      <c r="AB5872" s="1"/>
    </row>
    <row r="5873" ht="50.25" customHeight="1">
      <c r="A5873" s="12">
        <v>5869.0</v>
      </c>
      <c r="B5873" s="13" t="s">
        <v>5701</v>
      </c>
      <c r="C5873" s="18" t="s">
        <v>5894</v>
      </c>
      <c r="D5873" s="1"/>
      <c r="E5873" s="1"/>
      <c r="F5873" s="1" t="str">
        <f>IFERROR(__xludf.DUMMYFUNCTION("GOOGLETRANSLATE(B5873, ""en"", ""fa"")
"),"چاپ بر حسب تقاضا (POD)")</f>
        <v>چاپ بر حسب تقاضا (POD)</v>
      </c>
      <c r="G5873" s="1" t="str">
        <f>IFERROR(__xludf.DUMMYFUNCTION("GOOGLETRANSLATE(C5873, ""en"", ""fa"")
"),"چگونه می توان با اینفلوئنسرها یا وبلاگ نویسان همکاری کرد تا محصولات منحصر به فرد چاپ بر اساس تقاضای خود را به نمایش بگذارد و به مخاطبان جدید دست یابد؟")</f>
        <v>چگونه می توان با اینفلوئنسرها یا وبلاگ نویسان همکاری کرد تا محصولات منحصر به فرد چاپ بر اساس تقاضای خود را به نمایش بگذارد و به مخاطبان جدید دست یابد؟</v>
      </c>
      <c r="H5873" s="1"/>
      <c r="I5873" s="1"/>
      <c r="J5873" s="1"/>
      <c r="K5873" s="1"/>
      <c r="L5873" s="1"/>
      <c r="M5873" s="1"/>
      <c r="N5873" s="1"/>
      <c r="O5873" s="1"/>
      <c r="P5873" s="1"/>
      <c r="Q5873" s="1"/>
      <c r="R5873" s="1"/>
      <c r="S5873" s="1"/>
      <c r="T5873" s="1"/>
      <c r="U5873" s="1"/>
      <c r="V5873" s="1"/>
      <c r="W5873" s="1"/>
      <c r="X5873" s="1"/>
      <c r="Y5873" s="1"/>
      <c r="Z5873" s="1"/>
      <c r="AA5873" s="1"/>
      <c r="AB5873" s="1"/>
    </row>
    <row r="5874" ht="50.25" customHeight="1">
      <c r="A5874" s="12">
        <v>5870.0</v>
      </c>
      <c r="B5874" s="13" t="s">
        <v>5701</v>
      </c>
      <c r="C5874" s="18" t="s">
        <v>5895</v>
      </c>
      <c r="D5874" s="1"/>
      <c r="E5874" s="1"/>
      <c r="F5874" s="1" t="str">
        <f>IFERROR(__xludf.DUMMYFUNCTION("GOOGLETRANSLATE(B5874, ""en"", ""fa"")
"),"چاپ بر حسب تقاضا (POD)")</f>
        <v>چاپ بر حسب تقاضا (POD)</v>
      </c>
      <c r="G5874" s="1" t="str">
        <f>IFERROR(__xludf.DUMMYFUNCTION("GOOGLETRANSLATE(C5874, ""en"", ""fa"")
"),"استراتژی‌هایی برای گنجاندن محتوای تولید شده توسط کاربر یا ورودی مشتری در موارد چاپ درخواستی شما برای ایجاد حس جامعه و مالکیت چیست؟")</f>
        <v>استراتژی‌هایی برای گنجاندن محتوای تولید شده توسط کاربر یا ورودی مشتری در موارد چاپ درخواستی شما برای ایجاد حس جامعه و مالکیت چیست؟</v>
      </c>
      <c r="H5874" s="1"/>
      <c r="I5874" s="1"/>
      <c r="J5874" s="1"/>
      <c r="K5874" s="1"/>
      <c r="L5874" s="1"/>
      <c r="M5874" s="1"/>
      <c r="N5874" s="1"/>
      <c r="O5874" s="1"/>
      <c r="P5874" s="1"/>
      <c r="Q5874" s="1"/>
      <c r="R5874" s="1"/>
      <c r="S5874" s="1"/>
      <c r="T5874" s="1"/>
      <c r="U5874" s="1"/>
      <c r="V5874" s="1"/>
      <c r="W5874" s="1"/>
      <c r="X5874" s="1"/>
      <c r="Y5874" s="1"/>
      <c r="Z5874" s="1"/>
      <c r="AA5874" s="1"/>
      <c r="AB5874" s="1"/>
    </row>
    <row r="5875" ht="50.25" customHeight="1">
      <c r="A5875" s="12">
        <v>5871.0</v>
      </c>
      <c r="B5875" s="13" t="s">
        <v>5701</v>
      </c>
      <c r="C5875" s="18" t="s">
        <v>5896</v>
      </c>
      <c r="D5875" s="1"/>
      <c r="E5875" s="1"/>
      <c r="F5875" s="1" t="str">
        <f>IFERROR(__xludf.DUMMYFUNCTION("GOOGLETRANSLATE(B5875, ""en"", ""fa"")
"),"چاپ بر حسب تقاضا (POD)")</f>
        <v>چاپ بر حسب تقاضا (POD)</v>
      </c>
      <c r="G5875" s="1" t="str">
        <f>IFERROR(__xludf.DUMMYFUNCTION("GOOGLETRANSLATE(C5875, ""en"", ""fa"")
"),"چگونه می توان نظرسنجی یا بازخورد مشتری را برای درک ترجیحات آنها و شناسایی فرصت ها برای تمایز محصول انجام داد؟")</f>
        <v>چگونه می توان نظرسنجی یا بازخورد مشتری را برای درک ترجیحات آنها و شناسایی فرصت ها برای تمایز محصول انجام داد؟</v>
      </c>
      <c r="H5875" s="1"/>
      <c r="I5875" s="1"/>
      <c r="J5875" s="1"/>
      <c r="K5875" s="1"/>
      <c r="L5875" s="1"/>
      <c r="M5875" s="1"/>
      <c r="N5875" s="1"/>
      <c r="O5875" s="1"/>
      <c r="P5875" s="1"/>
      <c r="Q5875" s="1"/>
      <c r="R5875" s="1"/>
      <c r="S5875" s="1"/>
      <c r="T5875" s="1"/>
      <c r="U5875" s="1"/>
      <c r="V5875" s="1"/>
      <c r="W5875" s="1"/>
      <c r="X5875" s="1"/>
      <c r="Y5875" s="1"/>
      <c r="Z5875" s="1"/>
      <c r="AA5875" s="1"/>
      <c r="AB5875" s="1"/>
    </row>
    <row r="5876" ht="50.25" customHeight="1">
      <c r="A5876" s="12">
        <v>5872.0</v>
      </c>
      <c r="B5876" s="13" t="s">
        <v>5701</v>
      </c>
      <c r="C5876" s="18" t="s">
        <v>5897</v>
      </c>
      <c r="D5876" s="1"/>
      <c r="E5876" s="1"/>
      <c r="F5876" s="1" t="str">
        <f>IFERROR(__xludf.DUMMYFUNCTION("GOOGLETRANSLATE(B5876, ""en"", ""fa"")
"),"چاپ بر حسب تقاضا (POD)")</f>
        <v>چاپ بر حسب تقاضا (POD)</v>
      </c>
      <c r="G5876" s="1" t="str">
        <f>IFERROR(__xludf.DUMMYFUNCTION("GOOGLETRANSLATE(C5876, ""en"", ""fa"")
"),"تکنیک‌هایی برای گنجاندن تم‌های پرطرفدار یا پرطرفدار در محصولات Print on Demand شما برای جذب مشتریان گسترده‌تر چیست؟")</f>
        <v>تکنیک‌هایی برای گنجاندن تم‌های پرطرفدار یا پرطرفدار در محصولات Print on Demand شما برای جذب مشتریان گسترده‌تر چیست؟</v>
      </c>
      <c r="H5876" s="1"/>
      <c r="I5876" s="1"/>
      <c r="J5876" s="1"/>
      <c r="K5876" s="1"/>
      <c r="L5876" s="1"/>
      <c r="M5876" s="1"/>
      <c r="N5876" s="1"/>
      <c r="O5876" s="1"/>
      <c r="P5876" s="1"/>
      <c r="Q5876" s="1"/>
      <c r="R5876" s="1"/>
      <c r="S5876" s="1"/>
      <c r="T5876" s="1"/>
      <c r="U5876" s="1"/>
      <c r="V5876" s="1"/>
      <c r="W5876" s="1"/>
      <c r="X5876" s="1"/>
      <c r="Y5876" s="1"/>
      <c r="Z5876" s="1"/>
      <c r="AA5876" s="1"/>
      <c r="AB5876" s="1"/>
    </row>
    <row r="5877" ht="50.25" customHeight="1">
      <c r="A5877" s="12">
        <v>5873.0</v>
      </c>
      <c r="B5877" s="13" t="s">
        <v>5701</v>
      </c>
      <c r="C5877" s="18" t="s">
        <v>5898</v>
      </c>
      <c r="D5877" s="1"/>
      <c r="E5877" s="1"/>
      <c r="F5877" s="1" t="str">
        <f>IFERROR(__xludf.DUMMYFUNCTION("GOOGLETRANSLATE(B5877, ""en"", ""fa"")
"),"چاپ بر حسب تقاضا (POD)")</f>
        <v>چاپ بر حسب تقاضا (POD)</v>
      </c>
      <c r="G5877" s="1" t="str">
        <f>IFERROR(__xludf.DUMMYFUNCTION("GOOGLETRANSLATE(C5877, ""en"", ""fa"")
"),"چگونه می توان با سایر برندها یا هنرمندان همکاری های انحصاری یا با زمان محدود ایجاد کرد تا اقلام چاپ درخواستی خود را متمایز کند؟")</f>
        <v>چگونه می توان با سایر برندها یا هنرمندان همکاری های انحصاری یا با زمان محدود ایجاد کرد تا اقلام چاپ درخواستی خود را متمایز کند؟</v>
      </c>
      <c r="H5877" s="1"/>
      <c r="I5877" s="1"/>
      <c r="J5877" s="1"/>
      <c r="K5877" s="1"/>
      <c r="L5877" s="1"/>
      <c r="M5877" s="1"/>
      <c r="N5877" s="1"/>
      <c r="O5877" s="1"/>
      <c r="P5877" s="1"/>
      <c r="Q5877" s="1"/>
      <c r="R5877" s="1"/>
      <c r="S5877" s="1"/>
      <c r="T5877" s="1"/>
      <c r="U5877" s="1"/>
      <c r="V5877" s="1"/>
      <c r="W5877" s="1"/>
      <c r="X5877" s="1"/>
      <c r="Y5877" s="1"/>
      <c r="Z5877" s="1"/>
      <c r="AA5877" s="1"/>
      <c r="AB5877" s="1"/>
    </row>
    <row r="5878" ht="50.25" customHeight="1">
      <c r="A5878" s="12">
        <v>5874.0</v>
      </c>
      <c r="B5878" s="13" t="s">
        <v>5701</v>
      </c>
      <c r="C5878" s="18" t="s">
        <v>5899</v>
      </c>
      <c r="D5878" s="1"/>
      <c r="E5878" s="1"/>
      <c r="F5878" s="1" t="str">
        <f>IFERROR(__xludf.DUMMYFUNCTION("GOOGLETRANSLATE(B5878, ""en"", ""fa"")
"),"چاپ بر حسب تقاضا (POD)")</f>
        <v>چاپ بر حسب تقاضا (POD)</v>
      </c>
      <c r="G5878" s="1" t="str">
        <f>IFERROR(__xludf.DUMMYFUNCTION("GOOGLETRANSLATE(C5878, ""en"", ""fa"")
"),"بهترین روش ها برای ارائه محصولات مکمل یا منطبق برای ایجاد یک مجموعه منسجم چاپ بر اساس تقاضا چیست؟")</f>
        <v>بهترین روش ها برای ارائه محصولات مکمل یا منطبق برای ایجاد یک مجموعه منسجم چاپ بر اساس تقاضا چیست؟</v>
      </c>
      <c r="H5878" s="1"/>
      <c r="I5878" s="1"/>
      <c r="J5878" s="1"/>
      <c r="K5878" s="1"/>
      <c r="L5878" s="1"/>
      <c r="M5878" s="1"/>
      <c r="N5878" s="1"/>
      <c r="O5878" s="1"/>
      <c r="P5878" s="1"/>
      <c r="Q5878" s="1"/>
      <c r="R5878" s="1"/>
      <c r="S5878" s="1"/>
      <c r="T5878" s="1"/>
      <c r="U5878" s="1"/>
      <c r="V5878" s="1"/>
      <c r="W5878" s="1"/>
      <c r="X5878" s="1"/>
      <c r="Y5878" s="1"/>
      <c r="Z5878" s="1"/>
      <c r="AA5878" s="1"/>
      <c r="AB5878" s="1"/>
    </row>
    <row r="5879" ht="50.25" customHeight="1">
      <c r="A5879" s="12">
        <v>5875.0</v>
      </c>
      <c r="B5879" s="13" t="s">
        <v>5701</v>
      </c>
      <c r="C5879" s="18" t="s">
        <v>5900</v>
      </c>
      <c r="D5879" s="1"/>
      <c r="E5879" s="1"/>
      <c r="F5879" s="1" t="str">
        <f>IFERROR(__xludf.DUMMYFUNCTION("GOOGLETRANSLATE(B5879, ""en"", ""fa"")
"),"چاپ بر حسب تقاضا (POD)")</f>
        <v>چاپ بر حسب تقاضا (POD)</v>
      </c>
      <c r="G5879" s="1" t="str">
        <f>IFERROR(__xludf.DUMMYFUNCTION("GOOGLETRANSLATE(C5879, ""en"", ""fa"")
"),"چگونه می‌توان محصولات Print on Demand را ایجاد کرد که به مناسبت یا رویداد خاصی برای هدف قرار دادن بازارهای خاص ارائه می‌شوند؟")</f>
        <v>چگونه می‌توان محصولات Print on Demand را ایجاد کرد که به مناسبت یا رویداد خاصی برای هدف قرار دادن بازارهای خاص ارائه می‌شوند؟</v>
      </c>
      <c r="H5879" s="1"/>
      <c r="I5879" s="1"/>
      <c r="J5879" s="1"/>
      <c r="K5879" s="1"/>
      <c r="L5879" s="1"/>
      <c r="M5879" s="1"/>
      <c r="N5879" s="1"/>
      <c r="O5879" s="1"/>
      <c r="P5879" s="1"/>
      <c r="Q5879" s="1"/>
      <c r="R5879" s="1"/>
      <c r="S5879" s="1"/>
      <c r="T5879" s="1"/>
      <c r="U5879" s="1"/>
      <c r="V5879" s="1"/>
      <c r="W5879" s="1"/>
      <c r="X5879" s="1"/>
      <c r="Y5879" s="1"/>
      <c r="Z5879" s="1"/>
      <c r="AA5879" s="1"/>
      <c r="AB5879" s="1"/>
    </row>
    <row r="5880" ht="50.25" customHeight="1">
      <c r="A5880" s="12">
        <v>5876.0</v>
      </c>
      <c r="B5880" s="13" t="s">
        <v>5701</v>
      </c>
      <c r="C5880" s="18" t="s">
        <v>5901</v>
      </c>
      <c r="D5880" s="1"/>
      <c r="E5880" s="1"/>
      <c r="F5880" s="1" t="str">
        <f>IFERROR(__xludf.DUMMYFUNCTION("GOOGLETRANSLATE(B5880, ""en"", ""fa"")
"),"چاپ بر حسب تقاضا (POD)")</f>
        <v>چاپ بر حسب تقاضا (POD)</v>
      </c>
      <c r="G5880" s="1" t="str">
        <f>IFERROR(__xludf.DUMMYFUNCTION("GOOGLETRANSLATE(C5880, ""en"", ""fa"")
"),"برای متمایز کردن اقلام چاپ بر حسب تقاضا، چه راهکارهایی برای ترکیب لمس‌های شخصی، مانند یادداشت‌های دست‌نویس یا بسته‌بندی سفارشی وجود دارد؟")</f>
        <v>برای متمایز کردن اقلام چاپ بر حسب تقاضا، چه راهکارهایی برای ترکیب لمس‌های شخصی، مانند یادداشت‌های دست‌نویس یا بسته‌بندی سفارشی وجود دارد؟</v>
      </c>
      <c r="H5880" s="1"/>
      <c r="I5880" s="1"/>
      <c r="J5880" s="1"/>
      <c r="K5880" s="1"/>
      <c r="L5880" s="1"/>
      <c r="M5880" s="1"/>
      <c r="N5880" s="1"/>
      <c r="O5880" s="1"/>
      <c r="P5880" s="1"/>
      <c r="Q5880" s="1"/>
      <c r="R5880" s="1"/>
      <c r="S5880" s="1"/>
      <c r="T5880" s="1"/>
      <c r="U5880" s="1"/>
      <c r="V5880" s="1"/>
      <c r="W5880" s="1"/>
      <c r="X5880" s="1"/>
      <c r="Y5880" s="1"/>
      <c r="Z5880" s="1"/>
      <c r="AA5880" s="1"/>
      <c r="AB5880" s="1"/>
    </row>
    <row r="5881" ht="50.25" customHeight="1">
      <c r="A5881" s="12">
        <v>5877.0</v>
      </c>
      <c r="B5881" s="13" t="s">
        <v>5701</v>
      </c>
      <c r="C5881" s="18" t="s">
        <v>5902</v>
      </c>
      <c r="D5881" s="1"/>
      <c r="E5881" s="1"/>
      <c r="F5881" s="1" t="str">
        <f>IFERROR(__xludf.DUMMYFUNCTION("GOOGLETRANSLATE(B5881, ""en"", ""fa"")
"),"چاپ بر حسب تقاضا (POD)")</f>
        <v>چاپ بر حسب تقاضا (POD)</v>
      </c>
      <c r="G5881" s="1" t="str">
        <f>IFERROR(__xludf.DUMMYFUNCTION("GOOGLETRANSLATE(C5881, ""en"", ""fa"")
"),"چگونه می توان از توصیفات مشتری یا داستان های موفقیت برای برجسته کردن مزایای منحصر به فرد محصولات چاپ بر اساس تقاضا استفاده کرد؟")</f>
        <v>چگونه می توان از توصیفات مشتری یا داستان های موفقیت برای برجسته کردن مزایای منحصر به فرد محصولات چاپ بر اساس تقاضا استفاده کرد؟</v>
      </c>
      <c r="H5881" s="1"/>
      <c r="I5881" s="1"/>
      <c r="J5881" s="1"/>
      <c r="K5881" s="1"/>
      <c r="L5881" s="1"/>
      <c r="M5881" s="1"/>
      <c r="N5881" s="1"/>
      <c r="O5881" s="1"/>
      <c r="P5881" s="1"/>
      <c r="Q5881" s="1"/>
      <c r="R5881" s="1"/>
      <c r="S5881" s="1"/>
      <c r="T5881" s="1"/>
      <c r="U5881" s="1"/>
      <c r="V5881" s="1"/>
      <c r="W5881" s="1"/>
      <c r="X5881" s="1"/>
      <c r="Y5881" s="1"/>
      <c r="Z5881" s="1"/>
      <c r="AA5881" s="1"/>
      <c r="AB5881" s="1"/>
    </row>
    <row r="5882" ht="50.25" customHeight="1">
      <c r="A5882" s="12">
        <v>5878.0</v>
      </c>
      <c r="B5882" s="13" t="s">
        <v>5701</v>
      </c>
      <c r="C5882" s="18" t="s">
        <v>5903</v>
      </c>
      <c r="D5882" s="1"/>
      <c r="E5882" s="1"/>
      <c r="F5882" s="1" t="str">
        <f>IFERROR(__xludf.DUMMYFUNCTION("GOOGLETRANSLATE(B5882, ""en"", ""fa"")
"),"چاپ بر حسب تقاضا (POD)")</f>
        <v>چاپ بر حسب تقاضا (POD)</v>
      </c>
      <c r="G5882" s="1" t="str">
        <f>IFERROR(__xludf.DUMMYFUNCTION("GOOGLETRANSLATE(C5882, ""en"", ""fa"")
"),"تکنیک‌هایی برای ترکیب فناوری‌های نوآورانه یا پیشرفته در موارد چاپ درخواستی شما برای متمایز کردن آن‌ها از عرضه‌های سنتی چیست؟")</f>
        <v>تکنیک‌هایی برای ترکیب فناوری‌های نوآورانه یا پیشرفته در موارد چاپ درخواستی شما برای متمایز کردن آن‌ها از عرضه‌های سنتی چیست؟</v>
      </c>
      <c r="H5882" s="1"/>
      <c r="I5882" s="1"/>
      <c r="J5882" s="1"/>
      <c r="K5882" s="1"/>
      <c r="L5882" s="1"/>
      <c r="M5882" s="1"/>
      <c r="N5882" s="1"/>
      <c r="O5882" s="1"/>
      <c r="P5882" s="1"/>
      <c r="Q5882" s="1"/>
      <c r="R5882" s="1"/>
      <c r="S5882" s="1"/>
      <c r="T5882" s="1"/>
      <c r="U5882" s="1"/>
      <c r="V5882" s="1"/>
      <c r="W5882" s="1"/>
      <c r="X5882" s="1"/>
      <c r="Y5882" s="1"/>
      <c r="Z5882" s="1"/>
      <c r="AA5882" s="1"/>
      <c r="AB5882" s="1"/>
    </row>
    <row r="5883" ht="50.25" customHeight="1">
      <c r="A5883" s="12">
        <v>5879.0</v>
      </c>
      <c r="B5883" s="13" t="s">
        <v>5701</v>
      </c>
      <c r="C5883" s="18" t="s">
        <v>5904</v>
      </c>
      <c r="D5883" s="1"/>
      <c r="E5883" s="1"/>
      <c r="F5883" s="1" t="str">
        <f>IFERROR(__xludf.DUMMYFUNCTION("GOOGLETRANSLATE(B5883, ""en"", ""fa"")
"),"چاپ بر حسب تقاضا (POD)")</f>
        <v>چاپ بر حسب تقاضا (POD)</v>
      </c>
      <c r="G5883" s="1" t="str">
        <f>IFERROR(__xludf.DUMMYFUNCTION("GOOGLETRANSLATE(C5883, ""en"", ""fa"")
"),"چگونه می توان محصولات Print on Demand را با استفاده های غیر متعارف یا غیرمنتظره برای جلب توجه و کنجکاوی مشتریان ایجاد کرد؟")</f>
        <v>چگونه می توان محصولات Print on Demand را با استفاده های غیر متعارف یا غیرمنتظره برای جلب توجه و کنجکاوی مشتریان ایجاد کرد؟</v>
      </c>
      <c r="H5883" s="1"/>
      <c r="I5883" s="1"/>
      <c r="J5883" s="1"/>
      <c r="K5883" s="1"/>
      <c r="L5883" s="1"/>
      <c r="M5883" s="1"/>
      <c r="N5883" s="1"/>
      <c r="O5883" s="1"/>
      <c r="P5883" s="1"/>
      <c r="Q5883" s="1"/>
      <c r="R5883" s="1"/>
      <c r="S5883" s="1"/>
      <c r="T5883" s="1"/>
      <c r="U5883" s="1"/>
      <c r="V5883" s="1"/>
      <c r="W5883" s="1"/>
      <c r="X5883" s="1"/>
      <c r="Y5883" s="1"/>
      <c r="Z5883" s="1"/>
      <c r="AA5883" s="1"/>
      <c r="AB5883" s="1"/>
    </row>
    <row r="5884" ht="50.25" customHeight="1">
      <c r="A5884" s="12">
        <v>5880.0</v>
      </c>
      <c r="B5884" s="13" t="s">
        <v>5701</v>
      </c>
      <c r="C5884" s="18" t="s">
        <v>5905</v>
      </c>
      <c r="D5884" s="1"/>
      <c r="E5884" s="1"/>
      <c r="F5884" s="1" t="str">
        <f>IFERROR(__xludf.DUMMYFUNCTION("GOOGLETRANSLATE(B5884, ""en"", ""fa"")
"),"چاپ بر حسب تقاضا (POD)")</f>
        <v>چاپ بر حسب تقاضا (POD)</v>
      </c>
      <c r="G5884" s="1" t="str">
        <f>IFERROR(__xludf.DUMMYFUNCTION("GOOGLETRANSLATE(C5884, ""en"", ""fa"")
"),"چه راهکارهایی برای استفاده از تنوع فرهنگی یا فراگیری در اقلام چاپ بر اساس تقاضا وجود دارد تا مخاطبان بیشتری را جذب کند؟")</f>
        <v>چه راهکارهایی برای استفاده از تنوع فرهنگی یا فراگیری در اقلام چاپ بر اساس تقاضا وجود دارد تا مخاطبان بیشتری را جذب کند؟</v>
      </c>
      <c r="H5884" s="1"/>
      <c r="I5884" s="1"/>
      <c r="J5884" s="1"/>
      <c r="K5884" s="1"/>
      <c r="L5884" s="1"/>
      <c r="M5884" s="1"/>
      <c r="N5884" s="1"/>
      <c r="O5884" s="1"/>
      <c r="P5884" s="1"/>
      <c r="Q5884" s="1"/>
      <c r="R5884" s="1"/>
      <c r="S5884" s="1"/>
      <c r="T5884" s="1"/>
      <c r="U5884" s="1"/>
      <c r="V5884" s="1"/>
      <c r="W5884" s="1"/>
      <c r="X5884" s="1"/>
      <c r="Y5884" s="1"/>
      <c r="Z5884" s="1"/>
      <c r="AA5884" s="1"/>
      <c r="AB5884" s="1"/>
    </row>
    <row r="5885" ht="50.25" customHeight="1">
      <c r="A5885" s="12">
        <v>5881.0</v>
      </c>
      <c r="B5885" s="13" t="s">
        <v>5701</v>
      </c>
      <c r="C5885" s="18" t="s">
        <v>5906</v>
      </c>
      <c r="D5885" s="1"/>
      <c r="E5885" s="1"/>
      <c r="F5885" s="1" t="str">
        <f>IFERROR(__xludf.DUMMYFUNCTION("GOOGLETRANSLATE(B5885, ""en"", ""fa"")
"),"چاپ بر حسب تقاضا (POD)")</f>
        <v>چاپ بر حسب تقاضا (POD)</v>
      </c>
      <c r="G5885" s="1" t="str">
        <f>IFERROR(__xludf.DUMMYFUNCTION("GOOGLETRANSLATE(C5885, ""en"", ""fa"")
"),"چگونه برای شناسایی کلمات کلیدی مرتبط و با کارایی بالا برای لیست های Etsy خود تحقیق کلمات کلیدی انجام دهیم؟")</f>
        <v>چگونه برای شناسایی کلمات کلیدی مرتبط و با کارایی بالا برای لیست های Etsy خود تحقیق کلمات کلیدی انجام دهیم؟</v>
      </c>
      <c r="H5885" s="1"/>
      <c r="I5885" s="1"/>
      <c r="J5885" s="1"/>
      <c r="K5885" s="1"/>
      <c r="L5885" s="1"/>
      <c r="M5885" s="1"/>
      <c r="N5885" s="1"/>
      <c r="O5885" s="1"/>
      <c r="P5885" s="1"/>
      <c r="Q5885" s="1"/>
      <c r="R5885" s="1"/>
      <c r="S5885" s="1"/>
      <c r="T5885" s="1"/>
      <c r="U5885" s="1"/>
      <c r="V5885" s="1"/>
      <c r="W5885" s="1"/>
      <c r="X5885" s="1"/>
      <c r="Y5885" s="1"/>
      <c r="Z5885" s="1"/>
      <c r="AA5885" s="1"/>
      <c r="AB5885" s="1"/>
    </row>
    <row r="5886" ht="50.25" customHeight="1">
      <c r="A5886" s="12">
        <v>5882.0</v>
      </c>
      <c r="B5886" s="13" t="s">
        <v>5701</v>
      </c>
      <c r="C5886" s="18" t="s">
        <v>5907</v>
      </c>
      <c r="D5886" s="1"/>
      <c r="E5886" s="1"/>
      <c r="F5886" s="1" t="str">
        <f>IFERROR(__xludf.DUMMYFUNCTION("GOOGLETRANSLATE(B5886, ""en"", ""fa"")
"),"چاپ بر حسب تقاضا (POD)")</f>
        <v>چاپ بر حسب تقاضا (POD)</v>
      </c>
      <c r="G5886" s="1" t="str">
        <f>IFERROR(__xludf.DUMMYFUNCTION("GOOGLETRANSLATE(C5886, ""en"", ""fa"")
"),"بهترین روش ها برای بهینه سازی عناوین فهرست Etsy شما برای گنجاندن کلمات کلیدی هدفمند و جذب ترافیک جستجوی بیشتر چیست؟")</f>
        <v>بهترین روش ها برای بهینه سازی عناوین فهرست Etsy شما برای گنجاندن کلمات کلیدی هدفمند و جذب ترافیک جستجوی بیشتر چیست؟</v>
      </c>
      <c r="H5886" s="1"/>
      <c r="I5886" s="1"/>
      <c r="J5886" s="1"/>
      <c r="K5886" s="1"/>
      <c r="L5886" s="1"/>
      <c r="M5886" s="1"/>
      <c r="N5886" s="1"/>
      <c r="O5886" s="1"/>
      <c r="P5886" s="1"/>
      <c r="Q5886" s="1"/>
      <c r="R5886" s="1"/>
      <c r="S5886" s="1"/>
      <c r="T5886" s="1"/>
      <c r="U5886" s="1"/>
      <c r="V5886" s="1"/>
      <c r="W5886" s="1"/>
      <c r="X5886" s="1"/>
      <c r="Y5886" s="1"/>
      <c r="Z5886" s="1"/>
      <c r="AA5886" s="1"/>
      <c r="AB5886" s="1"/>
    </row>
    <row r="5887" ht="50.25" customHeight="1">
      <c r="A5887" s="12">
        <v>5883.0</v>
      </c>
      <c r="B5887" s="13" t="s">
        <v>5701</v>
      </c>
      <c r="C5887" s="18" t="s">
        <v>5908</v>
      </c>
      <c r="D5887" s="1"/>
      <c r="E5887" s="1"/>
      <c r="F5887" s="1" t="str">
        <f>IFERROR(__xludf.DUMMYFUNCTION("GOOGLETRANSLATE(B5887, ""en"", ""fa"")
"),"چاپ بر حسب تقاضا (POD)")</f>
        <v>چاپ بر حسب تقاضا (POD)</v>
      </c>
      <c r="G5887" s="1" t="str">
        <f>IFERROR(__xludf.DUMMYFUNCTION("GOOGLETRANSLATE(C5887, ""en"", ""fa"")
"),"چگونه توضیحات محصول قانع‌کننده و غنی از کلمات کلیدی بنویسیم که نه تنها خریداران بالقوه را متقاعد می‌کند، بلکه به آنها اطلاع می‌دهد؟")</f>
        <v>چگونه توضیحات محصول قانع‌کننده و غنی از کلمات کلیدی بنویسیم که نه تنها خریداران بالقوه را متقاعد می‌کند، بلکه به آنها اطلاع می‌دهد؟</v>
      </c>
      <c r="H5887" s="1"/>
      <c r="I5887" s="1"/>
      <c r="J5887" s="1"/>
      <c r="K5887" s="1"/>
      <c r="L5887" s="1"/>
      <c r="M5887" s="1"/>
      <c r="N5887" s="1"/>
      <c r="O5887" s="1"/>
      <c r="P5887" s="1"/>
      <c r="Q5887" s="1"/>
      <c r="R5887" s="1"/>
      <c r="S5887" s="1"/>
      <c r="T5887" s="1"/>
      <c r="U5887" s="1"/>
      <c r="V5887" s="1"/>
      <c r="W5887" s="1"/>
      <c r="X5887" s="1"/>
      <c r="Y5887" s="1"/>
      <c r="Z5887" s="1"/>
      <c r="AA5887" s="1"/>
      <c r="AB5887" s="1"/>
    </row>
    <row r="5888" ht="50.25" customHeight="1">
      <c r="A5888" s="12">
        <v>5884.0</v>
      </c>
      <c r="B5888" s="13" t="s">
        <v>5701</v>
      </c>
      <c r="C5888" s="18" t="s">
        <v>5909</v>
      </c>
      <c r="D5888" s="1"/>
      <c r="E5888" s="1"/>
      <c r="F5888" s="1" t="str">
        <f>IFERROR(__xludf.DUMMYFUNCTION("GOOGLETRANSLATE(B5888, ""en"", ""fa"")
"),"چاپ بر حسب تقاضا (POD)")</f>
        <v>چاپ بر حسب تقاضا (POD)</v>
      </c>
      <c r="G5888" s="1" t="str">
        <f>IFERROR(__xludf.DUMMYFUNCTION("GOOGLETRANSLATE(C5888, ""en"", ""fa"")
"),"تکنیک‌هایی برای بهینه‌سازی برچسب‌های فهرست Etsy برای بهبود دید در نتایج جستجو چیست؟")</f>
        <v>تکنیک‌هایی برای بهینه‌سازی برچسب‌های فهرست Etsy برای بهبود دید در نتایج جستجو چیست؟</v>
      </c>
      <c r="H5888" s="1"/>
      <c r="I5888" s="1"/>
      <c r="J5888" s="1"/>
      <c r="K5888" s="1"/>
      <c r="L5888" s="1"/>
      <c r="M5888" s="1"/>
      <c r="N5888" s="1"/>
      <c r="O5888" s="1"/>
      <c r="P5888" s="1"/>
      <c r="Q5888" s="1"/>
      <c r="R5888" s="1"/>
      <c r="S5888" s="1"/>
      <c r="T5888" s="1"/>
      <c r="U5888" s="1"/>
      <c r="V5888" s="1"/>
      <c r="W5888" s="1"/>
      <c r="X5888" s="1"/>
      <c r="Y5888" s="1"/>
      <c r="Z5888" s="1"/>
      <c r="AA5888" s="1"/>
      <c r="AB5888" s="1"/>
    </row>
    <row r="5889" ht="50.25" customHeight="1">
      <c r="A5889" s="12">
        <v>5885.0</v>
      </c>
      <c r="B5889" s="13" t="s">
        <v>5701</v>
      </c>
      <c r="C5889" s="18" t="s">
        <v>5910</v>
      </c>
      <c r="D5889" s="1"/>
      <c r="E5889" s="1"/>
      <c r="F5889" s="1" t="str">
        <f>IFERROR(__xludf.DUMMYFUNCTION("GOOGLETRANSLATE(B5889, ""en"", ""fa"")
"),"چاپ بر حسب تقاضا (POD)")</f>
        <v>چاپ بر حسب تقاضا (POD)</v>
      </c>
      <c r="G5889" s="1" t="str">
        <f>IFERROR(__xludf.DUMMYFUNCTION("GOOGLETRANSLATE(C5889, ""en"", ""fa"")
"),"چگونه از کلمات کلیدی طولانی برای هدف قرار دادن نیازها و ترجیحات مشتری در لیست های Etsy خود استفاده کنید؟")</f>
        <v>چگونه از کلمات کلیدی طولانی برای هدف قرار دادن نیازها و ترجیحات مشتری در لیست های Etsy خود استفاده کنید؟</v>
      </c>
      <c r="H5889" s="1"/>
      <c r="I5889" s="1"/>
      <c r="J5889" s="1"/>
      <c r="K5889" s="1"/>
      <c r="L5889" s="1"/>
      <c r="M5889" s="1"/>
      <c r="N5889" s="1"/>
      <c r="O5889" s="1"/>
      <c r="P5889" s="1"/>
      <c r="Q5889" s="1"/>
      <c r="R5889" s="1"/>
      <c r="S5889" s="1"/>
      <c r="T5889" s="1"/>
      <c r="U5889" s="1"/>
      <c r="V5889" s="1"/>
      <c r="W5889" s="1"/>
      <c r="X5889" s="1"/>
      <c r="Y5889" s="1"/>
      <c r="Z5889" s="1"/>
      <c r="AA5889" s="1"/>
      <c r="AB5889" s="1"/>
    </row>
    <row r="5890" ht="50.25" customHeight="1">
      <c r="A5890" s="12">
        <v>5886.0</v>
      </c>
      <c r="B5890" s="13" t="s">
        <v>5701</v>
      </c>
      <c r="C5890" s="18" t="s">
        <v>5911</v>
      </c>
      <c r="D5890" s="1"/>
      <c r="E5890" s="1"/>
      <c r="F5890" s="1" t="str">
        <f>IFERROR(__xludf.DUMMYFUNCTION("GOOGLETRANSLATE(B5890, ""en"", ""fa"")
"),"چاپ بر حسب تقاضا (POD)")</f>
        <v>چاپ بر حسب تقاضا (POD)</v>
      </c>
      <c r="G5890" s="1" t="str">
        <f>IFERROR(__xludf.DUMMYFUNCTION("GOOGLETRANSLATE(C5890, ""en"", ""fa"")
"),"استراتژی‌هایی برای بهینه‌سازی بخش‌ها و دسته‌های فروشگاه Etsy برای سازماندهی و جستجوی بهتر چیست؟")</f>
        <v>استراتژی‌هایی برای بهینه‌سازی بخش‌ها و دسته‌های فروشگاه Etsy برای سازماندهی و جستجوی بهتر چیست؟</v>
      </c>
      <c r="H5890" s="1"/>
      <c r="I5890" s="1"/>
      <c r="J5890" s="1"/>
      <c r="K5890" s="1"/>
      <c r="L5890" s="1"/>
      <c r="M5890" s="1"/>
      <c r="N5890" s="1"/>
      <c r="O5890" s="1"/>
      <c r="P5890" s="1"/>
      <c r="Q5890" s="1"/>
      <c r="R5890" s="1"/>
      <c r="S5890" s="1"/>
      <c r="T5890" s="1"/>
      <c r="U5890" s="1"/>
      <c r="V5890" s="1"/>
      <c r="W5890" s="1"/>
      <c r="X5890" s="1"/>
      <c r="Y5890" s="1"/>
      <c r="Z5890" s="1"/>
      <c r="AA5890" s="1"/>
      <c r="AB5890" s="1"/>
    </row>
    <row r="5891" ht="50.25" customHeight="1">
      <c r="A5891" s="12">
        <v>5887.0</v>
      </c>
      <c r="B5891" s="13" t="s">
        <v>5701</v>
      </c>
      <c r="C5891" s="18" t="s">
        <v>5912</v>
      </c>
      <c r="D5891" s="1"/>
      <c r="E5891" s="1"/>
      <c r="F5891" s="1" t="str">
        <f>IFERROR(__xludf.DUMMYFUNCTION("GOOGLETRANSLATE(B5891, ""en"", ""fa"")
"),"چاپ بر حسب تقاضا (POD)")</f>
        <v>چاپ بر حسب تقاضا (POD)</v>
      </c>
      <c r="G5891" s="1" t="str">
        <f>IFERROR(__xludf.DUMMYFUNCTION("GOOGLETRANSLATE(C5891, ""en"", ""fa"")
"),"چگونه از تجزیه و تحلیل جستجوی Etsy برای شناسایی روندها و تنظیم استراتژی های کلمات کلیدی خود بر اساس آن استفاده کنیم؟")</f>
        <v>چگونه از تجزیه و تحلیل جستجوی Etsy برای شناسایی روندها و تنظیم استراتژی های کلمات کلیدی خود بر اساس آن استفاده کنیم؟</v>
      </c>
      <c r="H5891" s="1"/>
      <c r="I5891" s="1"/>
      <c r="J5891" s="1"/>
      <c r="K5891" s="1"/>
      <c r="L5891" s="1"/>
      <c r="M5891" s="1"/>
      <c r="N5891" s="1"/>
      <c r="O5891" s="1"/>
      <c r="P5891" s="1"/>
      <c r="Q5891" s="1"/>
      <c r="R5891" s="1"/>
      <c r="S5891" s="1"/>
      <c r="T5891" s="1"/>
      <c r="U5891" s="1"/>
      <c r="V5891" s="1"/>
      <c r="W5891" s="1"/>
      <c r="X5891" s="1"/>
      <c r="Y5891" s="1"/>
      <c r="Z5891" s="1"/>
      <c r="AA5891" s="1"/>
      <c r="AB5891" s="1"/>
    </row>
    <row r="5892" ht="50.25" customHeight="1">
      <c r="A5892" s="12">
        <v>5888.0</v>
      </c>
      <c r="B5892" s="13" t="s">
        <v>5701</v>
      </c>
      <c r="C5892" s="18" t="s">
        <v>5913</v>
      </c>
      <c r="D5892" s="1"/>
      <c r="E5892" s="1"/>
      <c r="F5892" s="1" t="str">
        <f>IFERROR(__xludf.DUMMYFUNCTION("GOOGLETRANSLATE(B5892, ""en"", ""fa"")
"),"چاپ بر حسب تقاضا (POD)")</f>
        <v>چاپ بر حسب تقاضا (POD)</v>
      </c>
      <c r="G5892" s="1" t="str">
        <f>IFERROR(__xludf.DUMMYFUNCTION("GOOGLETRANSLATE(C5892, ""en"", ""fa"")
"),"برای بهبود سئو، چه تکنیک هایی برای گنجاندن کلمات کلیدی مرتبط در تگ های جایگزین تصاویر لیست شما وجود دارد؟")</f>
        <v>برای بهبود سئو، چه تکنیک هایی برای گنجاندن کلمات کلیدی مرتبط در تگ های جایگزین تصاویر لیست شما وجود دارد؟</v>
      </c>
      <c r="H5892" s="1"/>
      <c r="I5892" s="1"/>
      <c r="J5892" s="1"/>
      <c r="K5892" s="1"/>
      <c r="L5892" s="1"/>
      <c r="M5892" s="1"/>
      <c r="N5892" s="1"/>
      <c r="O5892" s="1"/>
      <c r="P5892" s="1"/>
      <c r="Q5892" s="1"/>
      <c r="R5892" s="1"/>
      <c r="S5892" s="1"/>
      <c r="T5892" s="1"/>
      <c r="U5892" s="1"/>
      <c r="V5892" s="1"/>
      <c r="W5892" s="1"/>
      <c r="X5892" s="1"/>
      <c r="Y5892" s="1"/>
      <c r="Z5892" s="1"/>
      <c r="AA5892" s="1"/>
      <c r="AB5892" s="1"/>
    </row>
    <row r="5893" ht="50.25" customHeight="1">
      <c r="A5893" s="12">
        <v>5889.0</v>
      </c>
      <c r="B5893" s="13" t="s">
        <v>5701</v>
      </c>
      <c r="C5893" s="18" t="s">
        <v>5914</v>
      </c>
      <c r="D5893" s="1"/>
      <c r="E5893" s="1"/>
      <c r="F5893" s="1" t="str">
        <f>IFERROR(__xludf.DUMMYFUNCTION("GOOGLETRANSLATE(B5893, ""en"", ""fa"")
"),"چاپ بر حسب تقاضا (POD)")</f>
        <v>چاپ بر حسب تقاضا (POD)</v>
      </c>
      <c r="G5893" s="1" t="str">
        <f>IFERROR(__xludf.DUMMYFUNCTION("GOOGLETRANSLATE(C5893, ""en"", ""fa"")
"),"چگونه اعلان فروشگاه Etsy و بخش About خود را با کلمات کلیدی بهینه کنیم تا دید جستجوی فروشگاه خود را افزایش دهیم؟")</f>
        <v>چگونه اعلان فروشگاه Etsy و بخش About خود را با کلمات کلیدی بهینه کنیم تا دید جستجوی فروشگاه خود را افزایش دهیم؟</v>
      </c>
      <c r="H5893" s="1"/>
      <c r="I5893" s="1"/>
      <c r="J5893" s="1"/>
      <c r="K5893" s="1"/>
      <c r="L5893" s="1"/>
      <c r="M5893" s="1"/>
      <c r="N5893" s="1"/>
      <c r="O5893" s="1"/>
      <c r="P5893" s="1"/>
      <c r="Q5893" s="1"/>
      <c r="R5893" s="1"/>
      <c r="S5893" s="1"/>
      <c r="T5893" s="1"/>
      <c r="U5893" s="1"/>
      <c r="V5893" s="1"/>
      <c r="W5893" s="1"/>
      <c r="X5893" s="1"/>
      <c r="Y5893" s="1"/>
      <c r="Z5893" s="1"/>
      <c r="AA5893" s="1"/>
      <c r="AB5893" s="1"/>
    </row>
    <row r="5894" ht="50.25" customHeight="1">
      <c r="A5894" s="12">
        <v>5890.0</v>
      </c>
      <c r="B5894" s="13" t="s">
        <v>5701</v>
      </c>
      <c r="C5894" s="18" t="s">
        <v>5915</v>
      </c>
      <c r="D5894" s="1"/>
      <c r="E5894" s="1"/>
      <c r="F5894" s="1" t="str">
        <f>IFERROR(__xludf.DUMMYFUNCTION("GOOGLETRANSLATE(B5894, ""en"", ""fa"")
"),"چاپ بر حسب تقاضا (POD)")</f>
        <v>چاپ بر حسب تقاضا (POD)</v>
      </c>
      <c r="G5894" s="1" t="str">
        <f>IFERROR(__xludf.DUMMYFUNCTION("GOOGLETRANSLATE(C5894, ""en"", ""fa"")
"),"استراتژی‌هایی برای نظارت و تنظیم تلاش‌های سئو بر اساس به‌روزرسانی‌های الگوریتم جستجوی Etsy چیست؟")</f>
        <v>استراتژی‌هایی برای نظارت و تنظیم تلاش‌های سئو بر اساس به‌روزرسانی‌های الگوریتم جستجوی Etsy چیست؟</v>
      </c>
      <c r="H5894" s="1"/>
      <c r="I5894" s="1"/>
      <c r="J5894" s="1"/>
      <c r="K5894" s="1"/>
      <c r="L5894" s="1"/>
      <c r="M5894" s="1"/>
      <c r="N5894" s="1"/>
      <c r="O5894" s="1"/>
      <c r="P5894" s="1"/>
      <c r="Q5894" s="1"/>
      <c r="R5894" s="1"/>
      <c r="S5894" s="1"/>
      <c r="T5894" s="1"/>
      <c r="U5894" s="1"/>
      <c r="V5894" s="1"/>
      <c r="W5894" s="1"/>
      <c r="X5894" s="1"/>
      <c r="Y5894" s="1"/>
      <c r="Z5894" s="1"/>
      <c r="AA5894" s="1"/>
      <c r="AB5894" s="1"/>
    </row>
    <row r="5895" ht="50.25" customHeight="1">
      <c r="A5895" s="12">
        <v>5891.0</v>
      </c>
      <c r="B5895" s="13" t="s">
        <v>5701</v>
      </c>
      <c r="C5895" s="18" t="s">
        <v>5916</v>
      </c>
      <c r="D5895" s="1"/>
      <c r="E5895" s="1"/>
      <c r="F5895" s="1" t="str">
        <f>IFERROR(__xludf.DUMMYFUNCTION("GOOGLETRANSLATE(B5895, ""en"", ""fa"")
"),"چاپ بر حسب تقاضا (POD)")</f>
        <v>چاپ بر حسب تقاضا (POD)</v>
      </c>
      <c r="G5895" s="1" t="str">
        <f>IFERROR(__xludf.DUMMYFUNCTION("GOOGLETRANSLATE(C5895, ""en"", ""fa"")
"),"چگونه برای شناسایی کلمات کلیدی با رتبه بالا و بهینه سازی لیست های Etsy خود، تجزیه و تحلیل رقابتی انجام دهیم؟")</f>
        <v>چگونه برای شناسایی کلمات کلیدی با رتبه بالا و بهینه سازی لیست های Etsy خود، تجزیه و تحلیل رقابتی انجام دهیم؟</v>
      </c>
      <c r="H5895" s="1"/>
      <c r="I5895" s="1"/>
      <c r="J5895" s="1"/>
      <c r="K5895" s="1"/>
      <c r="L5895" s="1"/>
      <c r="M5895" s="1"/>
      <c r="N5895" s="1"/>
      <c r="O5895" s="1"/>
      <c r="P5895" s="1"/>
      <c r="Q5895" s="1"/>
      <c r="R5895" s="1"/>
      <c r="S5895" s="1"/>
      <c r="T5895" s="1"/>
      <c r="U5895" s="1"/>
      <c r="V5895" s="1"/>
      <c r="W5895" s="1"/>
      <c r="X5895" s="1"/>
      <c r="Y5895" s="1"/>
      <c r="Z5895" s="1"/>
      <c r="AA5895" s="1"/>
      <c r="AB5895" s="1"/>
    </row>
    <row r="5896" ht="50.25" customHeight="1">
      <c r="A5896" s="12">
        <v>5892.0</v>
      </c>
      <c r="B5896" s="13" t="s">
        <v>5701</v>
      </c>
      <c r="C5896" s="18" t="s">
        <v>5917</v>
      </c>
      <c r="D5896" s="1"/>
      <c r="E5896" s="1"/>
      <c r="F5896" s="1" t="str">
        <f>IFERROR(__xludf.DUMMYFUNCTION("GOOGLETRANSLATE(B5896, ""en"", ""fa"")
"),"چاپ بر حسب تقاضا (POD)")</f>
        <v>چاپ بر حسب تقاضا (POD)</v>
      </c>
      <c r="G5896" s="1" t="str">
        <f>IFERROR(__xludf.DUMMYFUNCTION("GOOGLETRANSLATE(C5896, ""en"", ""fa"")
"),"بهترین روش برای استفاده از کلمات کلیدی طولانی در عناوین فهرست Etsy برای جذب ترافیک هدفمند بیشتر چیست؟")</f>
        <v>بهترین روش برای استفاده از کلمات کلیدی طولانی در عناوین فهرست Etsy برای جذب ترافیک هدفمند بیشتر چیست؟</v>
      </c>
      <c r="H5896" s="1"/>
      <c r="I5896" s="1"/>
      <c r="J5896" s="1"/>
      <c r="K5896" s="1"/>
      <c r="L5896" s="1"/>
      <c r="M5896" s="1"/>
      <c r="N5896" s="1"/>
      <c r="O5896" s="1"/>
      <c r="P5896" s="1"/>
      <c r="Q5896" s="1"/>
      <c r="R5896" s="1"/>
      <c r="S5896" s="1"/>
      <c r="T5896" s="1"/>
      <c r="U5896" s="1"/>
      <c r="V5896" s="1"/>
      <c r="W5896" s="1"/>
      <c r="X5896" s="1"/>
      <c r="Y5896" s="1"/>
      <c r="Z5896" s="1"/>
      <c r="AA5896" s="1"/>
      <c r="AB5896" s="1"/>
    </row>
    <row r="5897" ht="50.25" customHeight="1">
      <c r="A5897" s="12">
        <v>5893.0</v>
      </c>
      <c r="B5897" s="13" t="s">
        <v>5701</v>
      </c>
      <c r="C5897" s="18" t="s">
        <v>5918</v>
      </c>
      <c r="D5897" s="1"/>
      <c r="E5897" s="1"/>
      <c r="F5897" s="1" t="str">
        <f>IFERROR(__xludf.DUMMYFUNCTION("GOOGLETRANSLATE(B5897, ""en"", ""fa"")
"),"چاپ بر حسب تقاضا (POD)")</f>
        <v>چاپ بر حسب تقاضا (POD)</v>
      </c>
      <c r="G5897" s="1" t="str">
        <f>IFERROR(__xludf.DUMMYFUNCTION("GOOGLETRANSLATE(C5897, ""en"", ""fa"")
"),"چگونه می توان به طور موثر از نقاط گلوله در توضیحات محصول Etsy برای برجسته کردن ویژگی های کلیدی و بهبود خوانایی استفاده کرد؟")</f>
        <v>چگونه می توان به طور موثر از نقاط گلوله در توضیحات محصول Etsy برای برجسته کردن ویژگی های کلیدی و بهبود خوانایی استفاده کرد؟</v>
      </c>
      <c r="H5897" s="1"/>
      <c r="I5897" s="1"/>
      <c r="J5897" s="1"/>
      <c r="K5897" s="1"/>
      <c r="L5897" s="1"/>
      <c r="M5897" s="1"/>
      <c r="N5897" s="1"/>
      <c r="O5897" s="1"/>
      <c r="P5897" s="1"/>
      <c r="Q5897" s="1"/>
      <c r="R5897" s="1"/>
      <c r="S5897" s="1"/>
      <c r="T5897" s="1"/>
      <c r="U5897" s="1"/>
      <c r="V5897" s="1"/>
      <c r="W5897" s="1"/>
      <c r="X5897" s="1"/>
      <c r="Y5897" s="1"/>
      <c r="Z5897" s="1"/>
      <c r="AA5897" s="1"/>
      <c r="AB5897" s="1"/>
    </row>
    <row r="5898" ht="50.25" customHeight="1">
      <c r="A5898" s="12">
        <v>5894.0</v>
      </c>
      <c r="B5898" s="13" t="s">
        <v>5701</v>
      </c>
      <c r="C5898" s="18" t="s">
        <v>5919</v>
      </c>
      <c r="D5898" s="1"/>
      <c r="E5898" s="1"/>
      <c r="F5898" s="1" t="str">
        <f>IFERROR(__xludf.DUMMYFUNCTION("GOOGLETRANSLATE(B5898, ""en"", ""fa"")
"),"چاپ بر حسب تقاضا (POD)")</f>
        <v>چاپ بر حسب تقاضا (POD)</v>
      </c>
      <c r="G5898" s="1" t="str">
        <f>IFERROR(__xludf.DUMMYFUNCTION("GOOGLETRANSLATE(C5898, ""en"", ""fa"")
"),"تکنیک هایی برای ترکیب مترادف ها و تغییرات کلمات کلیدی اصلی خود در تگ های Etsy چیست؟")</f>
        <v>تکنیک هایی برای ترکیب مترادف ها و تغییرات کلمات کلیدی اصلی خود در تگ های Etsy چیست؟</v>
      </c>
      <c r="H5898" s="1"/>
      <c r="I5898" s="1"/>
      <c r="J5898" s="1"/>
      <c r="K5898" s="1"/>
      <c r="L5898" s="1"/>
      <c r="M5898" s="1"/>
      <c r="N5898" s="1"/>
      <c r="O5898" s="1"/>
      <c r="P5898" s="1"/>
      <c r="Q5898" s="1"/>
      <c r="R5898" s="1"/>
      <c r="S5898" s="1"/>
      <c r="T5898" s="1"/>
      <c r="U5898" s="1"/>
      <c r="V5898" s="1"/>
      <c r="W5898" s="1"/>
      <c r="X5898" s="1"/>
      <c r="Y5898" s="1"/>
      <c r="Z5898" s="1"/>
      <c r="AA5898" s="1"/>
      <c r="AB5898" s="1"/>
    </row>
    <row r="5899" ht="50.25" customHeight="1">
      <c r="A5899" s="12">
        <v>5895.0</v>
      </c>
      <c r="B5899" s="13" t="s">
        <v>5701</v>
      </c>
      <c r="C5899" s="18" t="s">
        <v>5920</v>
      </c>
      <c r="D5899" s="1"/>
      <c r="E5899" s="1"/>
      <c r="F5899" s="1" t="str">
        <f>IFERROR(__xludf.DUMMYFUNCTION("GOOGLETRANSLATE(B5899, ""en"", ""fa"")
"),"چاپ بر حسب تقاضا (POD)")</f>
        <v>چاپ بر حسب تقاضا (POD)</v>
      </c>
      <c r="G5899" s="1" t="str">
        <f>IFERROR(__xludf.DUMMYFUNCTION("GOOGLETRANSLATE(C5899, ""en"", ""fa"")
"),"چگونه ابرداده های فروشگاه Etsy خود را، از جمله عنوان فروشگاه و اعلامیه فروشگاه، برای بهبود دید جستجو بهینه کنیم؟")</f>
        <v>چگونه ابرداده های فروشگاه Etsy خود را، از جمله عنوان فروشگاه و اعلامیه فروشگاه، برای بهبود دید جستجو بهینه کنیم؟</v>
      </c>
      <c r="H5899" s="1"/>
      <c r="I5899" s="1"/>
      <c r="J5899" s="1"/>
      <c r="K5899" s="1"/>
      <c r="L5899" s="1"/>
      <c r="M5899" s="1"/>
      <c r="N5899" s="1"/>
      <c r="O5899" s="1"/>
      <c r="P5899" s="1"/>
      <c r="Q5899" s="1"/>
      <c r="R5899" s="1"/>
      <c r="S5899" s="1"/>
      <c r="T5899" s="1"/>
      <c r="U5899" s="1"/>
      <c r="V5899" s="1"/>
      <c r="W5899" s="1"/>
      <c r="X5899" s="1"/>
      <c r="Y5899" s="1"/>
      <c r="Z5899" s="1"/>
      <c r="AA5899" s="1"/>
      <c r="AB5899" s="1"/>
    </row>
    <row r="5900" ht="50.25" customHeight="1">
      <c r="A5900" s="12">
        <v>5896.0</v>
      </c>
      <c r="B5900" s="13" t="s">
        <v>5701</v>
      </c>
      <c r="C5900" s="18" t="s">
        <v>5921</v>
      </c>
      <c r="D5900" s="1"/>
      <c r="E5900" s="1"/>
      <c r="F5900" s="1" t="str">
        <f>IFERROR(__xludf.DUMMYFUNCTION("GOOGLETRANSLATE(B5900, ""en"", ""fa"")
"),"چاپ بر حسب تقاضا (POD)")</f>
        <v>چاپ بر حسب تقاضا (POD)</v>
      </c>
      <c r="G5900" s="1" t="str">
        <f>IFERROR(__xludf.DUMMYFUNCTION("GOOGLETRANSLATE(C5900, ""en"", ""fa"")
"),"استراتژی‌هایی برای استفاده از نظرات و بازخورد مشتریان برای کشف کلمات کلیدی ارزشمند برای فهرست‌های Etsy شما چیست؟")</f>
        <v>استراتژی‌هایی برای استفاده از نظرات و بازخورد مشتریان برای کشف کلمات کلیدی ارزشمند برای فهرست‌های Etsy شما چیست؟</v>
      </c>
      <c r="H5900" s="1"/>
      <c r="I5900" s="1"/>
      <c r="J5900" s="1"/>
      <c r="K5900" s="1"/>
      <c r="L5900" s="1"/>
      <c r="M5900" s="1"/>
      <c r="N5900" s="1"/>
      <c r="O5900" s="1"/>
      <c r="P5900" s="1"/>
      <c r="Q5900" s="1"/>
      <c r="R5900" s="1"/>
      <c r="S5900" s="1"/>
      <c r="T5900" s="1"/>
      <c r="U5900" s="1"/>
      <c r="V5900" s="1"/>
      <c r="W5900" s="1"/>
      <c r="X5900" s="1"/>
      <c r="Y5900" s="1"/>
      <c r="Z5900" s="1"/>
      <c r="AA5900" s="1"/>
      <c r="AB5900" s="1"/>
    </row>
    <row r="5901" ht="50.25" customHeight="1">
      <c r="A5901" s="12">
        <v>5897.0</v>
      </c>
      <c r="B5901" s="13" t="s">
        <v>5701</v>
      </c>
      <c r="C5901" s="18" t="s">
        <v>5922</v>
      </c>
      <c r="D5901" s="1"/>
      <c r="E5901" s="1"/>
      <c r="F5901" s="1" t="str">
        <f>IFERROR(__xludf.DUMMYFUNCTION("GOOGLETRANSLATE(B5901, ""en"", ""fa"")
"),"چاپ بر حسب تقاضا (POD)")</f>
        <v>چاپ بر حسب تقاضا (POD)</v>
      </c>
      <c r="G5901" s="1" t="str">
        <f>IFERROR(__xludf.DUMMYFUNCTION("GOOGLETRANSLATE(C5901, ""en"", ""fa"")
"),"چگونه ساختار URL فروشگاه Etsy خود را برای گنجاندن کلمات کلیدی مرتبط و بهبود رتبه بندی جستجو بهینه کنیم؟")</f>
        <v>چگونه ساختار URL فروشگاه Etsy خود را برای گنجاندن کلمات کلیدی مرتبط و بهبود رتبه بندی جستجو بهینه کنیم؟</v>
      </c>
      <c r="H5901" s="1"/>
      <c r="I5901" s="1"/>
      <c r="J5901" s="1"/>
      <c r="K5901" s="1"/>
      <c r="L5901" s="1"/>
      <c r="M5901" s="1"/>
      <c r="N5901" s="1"/>
      <c r="O5901" s="1"/>
      <c r="P5901" s="1"/>
      <c r="Q5901" s="1"/>
      <c r="R5901" s="1"/>
      <c r="S5901" s="1"/>
      <c r="T5901" s="1"/>
      <c r="U5901" s="1"/>
      <c r="V5901" s="1"/>
      <c r="W5901" s="1"/>
      <c r="X5901" s="1"/>
      <c r="Y5901" s="1"/>
      <c r="Z5901" s="1"/>
      <c r="AA5901" s="1"/>
      <c r="AB5901" s="1"/>
    </row>
    <row r="5902" ht="50.25" customHeight="1">
      <c r="A5902" s="12">
        <v>5898.0</v>
      </c>
      <c r="B5902" s="13" t="s">
        <v>5701</v>
      </c>
      <c r="C5902" s="18" t="s">
        <v>5923</v>
      </c>
      <c r="D5902" s="1"/>
      <c r="E5902" s="1"/>
      <c r="F5902" s="1" t="str">
        <f>IFERROR(__xludf.DUMMYFUNCTION("GOOGLETRANSLATE(B5902, ""en"", ""fa"")
"),"چاپ بر حسب تقاضا (POD)")</f>
        <v>چاپ بر حسب تقاضا (POD)</v>
      </c>
      <c r="G5902" s="1" t="str">
        <f>IFERROR(__xludf.DUMMYFUNCTION("GOOGLETRANSLATE(C5902, ""en"", ""fa"")
"),"تکنیک های استفاده از کلمات کلیدی مبتنی بر مکان برای هدف قرار دادن مشتریان محلی و افزایش دید فروشگاه Etsy شما در مناطق خاص چیست؟")</f>
        <v>تکنیک های استفاده از کلمات کلیدی مبتنی بر مکان برای هدف قرار دادن مشتریان محلی و افزایش دید فروشگاه Etsy شما در مناطق خاص چیست؟</v>
      </c>
      <c r="H5902" s="1"/>
      <c r="I5902" s="1"/>
      <c r="J5902" s="1"/>
      <c r="K5902" s="1"/>
      <c r="L5902" s="1"/>
      <c r="M5902" s="1"/>
      <c r="N5902" s="1"/>
      <c r="O5902" s="1"/>
      <c r="P5902" s="1"/>
      <c r="Q5902" s="1"/>
      <c r="R5902" s="1"/>
      <c r="S5902" s="1"/>
      <c r="T5902" s="1"/>
      <c r="U5902" s="1"/>
      <c r="V5902" s="1"/>
      <c r="W5902" s="1"/>
      <c r="X5902" s="1"/>
      <c r="Y5902" s="1"/>
      <c r="Z5902" s="1"/>
      <c r="AA5902" s="1"/>
      <c r="AB5902" s="1"/>
    </row>
    <row r="5903" ht="50.25" customHeight="1">
      <c r="A5903" s="12">
        <v>5899.0</v>
      </c>
      <c r="B5903" s="13" t="s">
        <v>5701</v>
      </c>
      <c r="C5903" s="18" t="s">
        <v>5924</v>
      </c>
      <c r="D5903" s="1"/>
      <c r="E5903" s="1"/>
      <c r="F5903" s="1" t="str">
        <f>IFERROR(__xludf.DUMMYFUNCTION("GOOGLETRANSLATE(B5903, ""en"", ""fa"")
"),"چاپ بر حسب تقاضا (POD)")</f>
        <v>چاپ بر حسب تقاضا (POD)</v>
      </c>
      <c r="G5903" s="1" t="str">
        <f>IFERROR(__xludf.DUMMYFUNCTION("GOOGLETRANSLATE(C5903, ""en"", ""fa"")
"),"چگونه برای بهبود ارتباط جستجو، خط مشی‌های حمل و نقل و بخش پرسش‌های متداول فروشگاه Etsy خود را با کلمات کلیدی بهینه کنیم؟")</f>
        <v>چگونه برای بهبود ارتباط جستجو، خط مشی‌های حمل و نقل و بخش پرسش‌های متداول فروشگاه Etsy خود را با کلمات کلیدی بهینه کنیم؟</v>
      </c>
      <c r="H5903" s="1"/>
      <c r="I5903" s="1"/>
      <c r="J5903" s="1"/>
      <c r="K5903" s="1"/>
      <c r="L5903" s="1"/>
      <c r="M5903" s="1"/>
      <c r="N5903" s="1"/>
      <c r="O5903" s="1"/>
      <c r="P5903" s="1"/>
      <c r="Q5903" s="1"/>
      <c r="R5903" s="1"/>
      <c r="S5903" s="1"/>
      <c r="T5903" s="1"/>
      <c r="U5903" s="1"/>
      <c r="V5903" s="1"/>
      <c r="W5903" s="1"/>
      <c r="X5903" s="1"/>
      <c r="Y5903" s="1"/>
      <c r="Z5903" s="1"/>
      <c r="AA5903" s="1"/>
      <c r="AB5903" s="1"/>
    </row>
    <row r="5904" ht="50.25" customHeight="1">
      <c r="A5904" s="12">
        <v>5900.0</v>
      </c>
      <c r="B5904" s="13" t="s">
        <v>5701</v>
      </c>
      <c r="C5904" s="18" t="s">
        <v>5925</v>
      </c>
      <c r="D5904" s="1"/>
      <c r="E5904" s="1"/>
      <c r="F5904" s="1" t="str">
        <f>IFERROR(__xludf.DUMMYFUNCTION("GOOGLETRANSLATE(B5904, ""en"", ""fa"")
"),"چاپ بر حسب تقاضا (POD)")</f>
        <v>چاپ بر حسب تقاضا (POD)</v>
      </c>
      <c r="G5904" s="1" t="str">
        <f>IFERROR(__xludf.DUMMYFUNCTION("GOOGLETRANSLATE(C5904, ""en"", ""fa"")
"),"استراتژی‌های انجام تست A/B در عناوین و توضیحات فهرست‌های Etsy شما برای تعیین مؤثرترین کلمات کلیدی چیست؟")</f>
        <v>استراتژی‌های انجام تست A/B در عناوین و توضیحات فهرست‌های Etsy شما برای تعیین مؤثرترین کلمات کلیدی چیست؟</v>
      </c>
      <c r="H5904" s="1"/>
      <c r="I5904" s="1"/>
      <c r="J5904" s="1"/>
      <c r="K5904" s="1"/>
      <c r="L5904" s="1"/>
      <c r="M5904" s="1"/>
      <c r="N5904" s="1"/>
      <c r="O5904" s="1"/>
      <c r="P5904" s="1"/>
      <c r="Q5904" s="1"/>
      <c r="R5904" s="1"/>
      <c r="S5904" s="1"/>
      <c r="T5904" s="1"/>
      <c r="U5904" s="1"/>
      <c r="V5904" s="1"/>
      <c r="W5904" s="1"/>
      <c r="X5904" s="1"/>
      <c r="Y5904" s="1"/>
      <c r="Z5904" s="1"/>
      <c r="AA5904" s="1"/>
      <c r="AB5904" s="1"/>
    </row>
    <row r="5905" ht="50.25" customHeight="1">
      <c r="A5905" s="12">
        <v>5901.0</v>
      </c>
      <c r="B5905" s="13" t="s">
        <v>5926</v>
      </c>
      <c r="C5905" s="18" t="s">
        <v>5927</v>
      </c>
      <c r="D5905" s="1"/>
      <c r="E5905" s="1"/>
      <c r="F5905" s="1" t="str">
        <f>IFERROR(__xludf.DUMMYFUNCTION("GOOGLETRANSLATE(B5905, ""en"", ""fa"")
"),"برندسازی و طراحی لوگو")</f>
        <v>برندسازی و طراحی لوگو</v>
      </c>
      <c r="G5905" s="1" t="str">
        <f>IFERROR(__xludf.DUMMYFUNCTION("GOOGLETRANSLATE(C5905, ""en"", ""fa"")
"),"اهمیت برندسازی را در ایجاد هویتی به یاد ماندنی و قابل تشخیص برای یک کسب و کار کاوش کنید.")</f>
        <v>اهمیت برندسازی را در ایجاد هویتی به یاد ماندنی و قابل تشخیص برای یک کسب و کار کاوش کنید.</v>
      </c>
      <c r="H5905" s="1"/>
      <c r="I5905" s="1"/>
      <c r="J5905" s="1"/>
      <c r="K5905" s="1"/>
      <c r="L5905" s="1"/>
      <c r="M5905" s="1"/>
      <c r="N5905" s="1"/>
      <c r="O5905" s="1"/>
      <c r="P5905" s="1"/>
      <c r="Q5905" s="1"/>
      <c r="R5905" s="1"/>
      <c r="S5905" s="1"/>
      <c r="T5905" s="1"/>
      <c r="U5905" s="1"/>
      <c r="V5905" s="1"/>
      <c r="W5905" s="1"/>
      <c r="X5905" s="1"/>
      <c r="Y5905" s="1"/>
      <c r="Z5905" s="1"/>
      <c r="AA5905" s="1"/>
      <c r="AB5905" s="1"/>
    </row>
    <row r="5906" ht="50.25" customHeight="1">
      <c r="A5906" s="12">
        <v>5902.0</v>
      </c>
      <c r="B5906" s="13" t="s">
        <v>5926</v>
      </c>
      <c r="C5906" s="18" t="s">
        <v>5928</v>
      </c>
      <c r="D5906" s="1"/>
      <c r="E5906" s="1"/>
      <c r="F5906" s="1" t="str">
        <f>IFERROR(__xludf.DUMMYFUNCTION("GOOGLETRANSLATE(B5906, ""en"", ""fa"")
"),"برندسازی و طراحی لوگو")</f>
        <v>برندسازی و طراحی لوگو</v>
      </c>
      <c r="G5906" s="1" t="str">
        <f>IFERROR(__xludf.DUMMYFUNCTION("GOOGLETRANSLATE(C5906, ""en"", ""fa"")
"),"در مورد عناصر کلیدی هویت برند قوی، مانند طراحی لوگو، پالت رنگ، تایپوگرافی و سبک بصری بحث کنید.")</f>
        <v>در مورد عناصر کلیدی هویت برند قوی، مانند طراحی لوگو، پالت رنگ، تایپوگرافی و سبک بصری بحث کنید.</v>
      </c>
      <c r="H5906" s="1"/>
      <c r="I5906" s="1"/>
      <c r="J5906" s="1"/>
      <c r="K5906" s="1"/>
      <c r="L5906" s="1"/>
      <c r="M5906" s="1"/>
      <c r="N5906" s="1"/>
      <c r="O5906" s="1"/>
      <c r="P5906" s="1"/>
      <c r="Q5906" s="1"/>
      <c r="R5906" s="1"/>
      <c r="S5906" s="1"/>
      <c r="T5906" s="1"/>
      <c r="U5906" s="1"/>
      <c r="V5906" s="1"/>
      <c r="W5906" s="1"/>
      <c r="X5906" s="1"/>
      <c r="Y5906" s="1"/>
      <c r="Z5906" s="1"/>
      <c r="AA5906" s="1"/>
      <c r="AB5906" s="1"/>
    </row>
    <row r="5907" ht="50.25" customHeight="1">
      <c r="A5907" s="12">
        <v>5903.0</v>
      </c>
      <c r="B5907" s="13" t="s">
        <v>5926</v>
      </c>
      <c r="C5907" s="18" t="s">
        <v>5929</v>
      </c>
      <c r="D5907" s="1"/>
      <c r="E5907" s="1"/>
      <c r="F5907" s="1" t="str">
        <f>IFERROR(__xludf.DUMMYFUNCTION("GOOGLETRANSLATE(B5907, ""en"", ""fa"")
"),"برندسازی و طراحی لوگو")</f>
        <v>برندسازی و طراحی لوگو</v>
      </c>
      <c r="G5907" s="1" t="str">
        <f>IFERROR(__xludf.DUMMYFUNCTION("GOOGLETRANSLATE(C5907, ""en"", ""fa"")
"),"در مورد داستان های برند موفق فکر کنید و تجزیه و تحلیل کنید که چگونه آرم ها و استراتژی های برندسازی آنها به موفقیت کلی آنها کمک می کند.")</f>
        <v>در مورد داستان های برند موفق فکر کنید و تجزیه و تحلیل کنید که چگونه آرم ها و استراتژی های برندسازی آنها به موفقیت کلی آنها کمک می کند.</v>
      </c>
      <c r="H5907" s="1"/>
      <c r="I5907" s="1"/>
      <c r="J5907" s="1"/>
      <c r="K5907" s="1"/>
      <c r="L5907" s="1"/>
      <c r="M5907" s="1"/>
      <c r="N5907" s="1"/>
      <c r="O5907" s="1"/>
      <c r="P5907" s="1"/>
      <c r="Q5907" s="1"/>
      <c r="R5907" s="1"/>
      <c r="S5907" s="1"/>
      <c r="T5907" s="1"/>
      <c r="U5907" s="1"/>
      <c r="V5907" s="1"/>
      <c r="W5907" s="1"/>
      <c r="X5907" s="1"/>
      <c r="Y5907" s="1"/>
      <c r="Z5907" s="1"/>
      <c r="AA5907" s="1"/>
      <c r="AB5907" s="1"/>
    </row>
    <row r="5908" ht="50.25" customHeight="1">
      <c r="A5908" s="12">
        <v>5904.0</v>
      </c>
      <c r="B5908" s="13" t="s">
        <v>5926</v>
      </c>
      <c r="C5908" s="18" t="s">
        <v>5930</v>
      </c>
      <c r="D5908" s="1"/>
      <c r="E5908" s="1"/>
      <c r="F5908" s="1" t="str">
        <f>IFERROR(__xludf.DUMMYFUNCTION("GOOGLETRANSLATE(B5908, ""en"", ""fa"")
"),"برندسازی و طراحی لوگو")</f>
        <v>برندسازی و طراحی لوگو</v>
      </c>
      <c r="G5908" s="1" t="str">
        <f>IFERROR(__xludf.DUMMYFUNCTION("GOOGLETRANSLATE(C5908, ""en"", ""fa"")
"),"نکاتی را برای ایجاد یک داستان برند متقاعد کننده که با مخاطب هدف طنین انداز می شود و ارزش های برند را به اشتراک می گذارد، به اشتراک بگذارید.")</f>
        <v>نکاتی را برای ایجاد یک داستان برند متقاعد کننده که با مخاطب هدف طنین انداز می شود و ارزش های برند را به اشتراک می گذارد، به اشتراک بگذارید.</v>
      </c>
      <c r="H5908" s="1"/>
      <c r="I5908" s="1"/>
      <c r="J5908" s="1"/>
      <c r="K5908" s="1"/>
      <c r="L5908" s="1"/>
      <c r="M5908" s="1"/>
      <c r="N5908" s="1"/>
      <c r="O5908" s="1"/>
      <c r="P5908" s="1"/>
      <c r="Q5908" s="1"/>
      <c r="R5908" s="1"/>
      <c r="S5908" s="1"/>
      <c r="T5908" s="1"/>
      <c r="U5908" s="1"/>
      <c r="V5908" s="1"/>
      <c r="W5908" s="1"/>
      <c r="X5908" s="1"/>
      <c r="Y5908" s="1"/>
      <c r="Z5908" s="1"/>
      <c r="AA5908" s="1"/>
      <c r="AB5908" s="1"/>
    </row>
    <row r="5909" ht="50.25" customHeight="1">
      <c r="A5909" s="12">
        <v>5905.0</v>
      </c>
      <c r="B5909" s="13" t="s">
        <v>5926</v>
      </c>
      <c r="C5909" s="18" t="s">
        <v>5931</v>
      </c>
      <c r="D5909" s="1"/>
      <c r="E5909" s="1"/>
      <c r="F5909" s="1" t="str">
        <f>IFERROR(__xludf.DUMMYFUNCTION("GOOGLETRANSLATE(B5909, ""en"", ""fa"")
"),"برندسازی و طراحی لوگو")</f>
        <v>برندسازی و طراحی لوگو</v>
      </c>
      <c r="G5909" s="1" t="str">
        <f>IFERROR(__xludf.DUMMYFUNCTION("GOOGLETRANSLATE(C5909, ""en"", ""fa"")
"),"در مورد نقش تحقیق و تحلیل بازار در توسعه یک استراتژی برند موثر بحث کنید.")</f>
        <v>در مورد نقش تحقیق و تحلیل بازار در توسعه یک استراتژی برند موثر بحث کنید.</v>
      </c>
      <c r="H5909" s="1"/>
      <c r="I5909" s="1"/>
      <c r="J5909" s="1"/>
      <c r="K5909" s="1"/>
      <c r="L5909" s="1"/>
      <c r="M5909" s="1"/>
      <c r="N5909" s="1"/>
      <c r="O5909" s="1"/>
      <c r="P5909" s="1"/>
      <c r="Q5909" s="1"/>
      <c r="R5909" s="1"/>
      <c r="S5909" s="1"/>
      <c r="T5909" s="1"/>
      <c r="U5909" s="1"/>
      <c r="V5909" s="1"/>
      <c r="W5909" s="1"/>
      <c r="X5909" s="1"/>
      <c r="Y5909" s="1"/>
      <c r="Z5909" s="1"/>
      <c r="AA5909" s="1"/>
      <c r="AB5909" s="1"/>
    </row>
    <row r="5910" ht="50.25" customHeight="1">
      <c r="A5910" s="12">
        <v>5906.0</v>
      </c>
      <c r="B5910" s="13" t="s">
        <v>5926</v>
      </c>
      <c r="C5910" s="18" t="s">
        <v>5932</v>
      </c>
      <c r="D5910" s="1"/>
      <c r="E5910" s="1"/>
      <c r="F5910" s="1" t="str">
        <f>IFERROR(__xludf.DUMMYFUNCTION("GOOGLETRANSLATE(B5910, ""en"", ""fa"")
"),"برندسازی و طراحی لوگو")</f>
        <v>برندسازی و طراحی لوگو</v>
      </c>
      <c r="G5910" s="1" t="str">
        <f>IFERROR(__xludf.DUMMYFUNCTION("GOOGLETRANSLATE(C5910, ""en"", ""fa"")
"),"سبک های مختلف طراحی لوگو، مانند مینیمالیستی، قدیمی، انتزاعی، یا مصور و مناسب بودن آنها برای صنایع مختلف را بررسی کنید.")</f>
        <v>سبک های مختلف طراحی لوگو، مانند مینیمالیستی، قدیمی، انتزاعی، یا مصور و مناسب بودن آنها برای صنایع مختلف را بررسی کنید.</v>
      </c>
      <c r="H5910" s="1"/>
      <c r="I5910" s="1"/>
      <c r="J5910" s="1"/>
      <c r="K5910" s="1"/>
      <c r="L5910" s="1"/>
      <c r="M5910" s="1"/>
      <c r="N5910" s="1"/>
      <c r="O5910" s="1"/>
      <c r="P5910" s="1"/>
      <c r="Q5910" s="1"/>
      <c r="R5910" s="1"/>
      <c r="S5910" s="1"/>
      <c r="T5910" s="1"/>
      <c r="U5910" s="1"/>
      <c r="V5910" s="1"/>
      <c r="W5910" s="1"/>
      <c r="X5910" s="1"/>
      <c r="Y5910" s="1"/>
      <c r="Z5910" s="1"/>
      <c r="AA5910" s="1"/>
      <c r="AB5910" s="1"/>
    </row>
    <row r="5911" ht="50.25" customHeight="1">
      <c r="A5911" s="12">
        <v>5907.0</v>
      </c>
      <c r="B5911" s="13" t="s">
        <v>5926</v>
      </c>
      <c r="C5911" s="18" t="s">
        <v>5933</v>
      </c>
      <c r="D5911" s="1"/>
      <c r="E5911" s="1"/>
      <c r="F5911" s="1" t="str">
        <f>IFERROR(__xludf.DUMMYFUNCTION("GOOGLETRANSLATE(B5911, ""en"", ""fa"")
"),"برندسازی و طراحی لوگو")</f>
        <v>برندسازی و طراحی لوگو</v>
      </c>
      <c r="G5911" s="1" t="str">
        <f>IFERROR(__xludf.DUMMYFUNCTION("GOOGLETRANSLATE(C5911, ""en"", ""fa"")
"),"در مورد روانشناسی رنگ ها در برندسازی و اینکه چگونه انتخاب رنگ می تواند بر ادراک و احساسات مصرف کننده تأثیر بگذارد، فکر کنید.")</f>
        <v>در مورد روانشناسی رنگ ها در برندسازی و اینکه چگونه انتخاب رنگ می تواند بر ادراک و احساسات مصرف کننده تأثیر بگذارد، فکر کنید.</v>
      </c>
      <c r="H5911" s="1"/>
      <c r="I5911" s="1"/>
      <c r="J5911" s="1"/>
      <c r="K5911" s="1"/>
      <c r="L5911" s="1"/>
      <c r="M5911" s="1"/>
      <c r="N5911" s="1"/>
      <c r="O5911" s="1"/>
      <c r="P5911" s="1"/>
      <c r="Q5911" s="1"/>
      <c r="R5911" s="1"/>
      <c r="S5911" s="1"/>
      <c r="T5911" s="1"/>
      <c r="U5911" s="1"/>
      <c r="V5911" s="1"/>
      <c r="W5911" s="1"/>
      <c r="X5911" s="1"/>
      <c r="Y5911" s="1"/>
      <c r="Z5911" s="1"/>
      <c r="AA5911" s="1"/>
      <c r="AB5911" s="1"/>
    </row>
    <row r="5912" ht="50.25" customHeight="1">
      <c r="A5912" s="12">
        <v>5908.0</v>
      </c>
      <c r="B5912" s="13" t="s">
        <v>5926</v>
      </c>
      <c r="C5912" s="18" t="s">
        <v>5934</v>
      </c>
      <c r="D5912" s="1"/>
      <c r="E5912" s="1"/>
      <c r="F5912" s="1" t="str">
        <f>IFERROR(__xludf.DUMMYFUNCTION("GOOGLETRANSLATE(B5912, ""en"", ""fa"")
"),"برندسازی و طراحی لوگو")</f>
        <v>برندسازی و طراحی لوگو</v>
      </c>
      <c r="G5912" s="1" t="str">
        <f>IFERROR(__xludf.DUMMYFUNCTION("GOOGLETRANSLATE(C5912, ""en"", ""fa"")
"),"در مورد اهمیت ثبات در برندسازی و چگونگی حفظ هویت منسجم برند در پلتفرم ها و نقاط تماس مختلف بحث کنید.")</f>
        <v>در مورد اهمیت ثبات در برندسازی و چگونگی حفظ هویت منسجم برند در پلتفرم ها و نقاط تماس مختلف بحث کنید.</v>
      </c>
      <c r="H5912" s="1"/>
      <c r="I5912" s="1"/>
      <c r="J5912" s="1"/>
      <c r="K5912" s="1"/>
      <c r="L5912" s="1"/>
      <c r="M5912" s="1"/>
      <c r="N5912" s="1"/>
      <c r="O5912" s="1"/>
      <c r="P5912" s="1"/>
      <c r="Q5912" s="1"/>
      <c r="R5912" s="1"/>
      <c r="S5912" s="1"/>
      <c r="T5912" s="1"/>
      <c r="U5912" s="1"/>
      <c r="V5912" s="1"/>
      <c r="W5912" s="1"/>
      <c r="X5912" s="1"/>
      <c r="Y5912" s="1"/>
      <c r="Z5912" s="1"/>
      <c r="AA5912" s="1"/>
      <c r="AB5912" s="1"/>
    </row>
    <row r="5913" ht="50.25" customHeight="1">
      <c r="A5913" s="12">
        <v>5909.0</v>
      </c>
      <c r="B5913" s="13" t="s">
        <v>5926</v>
      </c>
      <c r="C5913" s="18" t="s">
        <v>5935</v>
      </c>
      <c r="D5913" s="1"/>
      <c r="E5913" s="1"/>
      <c r="F5913" s="1" t="str">
        <f>IFERROR(__xludf.DUMMYFUNCTION("GOOGLETRANSLATE(B5913, ""en"", ""fa"")
"),"برندسازی و طراحی لوگو")</f>
        <v>برندسازی و طراحی لوگو</v>
      </c>
      <c r="G5913" s="1" t="str">
        <f>IFERROR(__xludf.DUMMYFUNCTION("GOOGLETRANSLATE(C5913, ""en"", ""fa"")
"),"تکنیک های انجام ممیزی برند را به اشتراک بگذارید تا اثربخشی و ارتباط هویت برند موجود را ارزیابی کنید.")</f>
        <v>تکنیک های انجام ممیزی برند را به اشتراک بگذارید تا اثربخشی و ارتباط هویت برند موجود را ارزیابی کنید.</v>
      </c>
      <c r="H5913" s="1"/>
      <c r="I5913" s="1"/>
      <c r="J5913" s="1"/>
      <c r="K5913" s="1"/>
      <c r="L5913" s="1"/>
      <c r="M5913" s="1"/>
      <c r="N5913" s="1"/>
      <c r="O5913" s="1"/>
      <c r="P5913" s="1"/>
      <c r="Q5913" s="1"/>
      <c r="R5913" s="1"/>
      <c r="S5913" s="1"/>
      <c r="T5913" s="1"/>
      <c r="U5913" s="1"/>
      <c r="V5913" s="1"/>
      <c r="W5913" s="1"/>
      <c r="X5913" s="1"/>
      <c r="Y5913" s="1"/>
      <c r="Z5913" s="1"/>
      <c r="AA5913" s="1"/>
      <c r="AB5913" s="1"/>
    </row>
    <row r="5914" ht="50.25" customHeight="1">
      <c r="A5914" s="12">
        <v>5910.0</v>
      </c>
      <c r="B5914" s="13" t="s">
        <v>5926</v>
      </c>
      <c r="C5914" s="18" t="s">
        <v>5936</v>
      </c>
      <c r="D5914" s="1"/>
      <c r="E5914" s="1"/>
      <c r="F5914" s="1" t="str">
        <f>IFERROR(__xludf.DUMMYFUNCTION("GOOGLETRANSLATE(B5914, ""en"", ""fa"")
"),"برندسازی و طراحی لوگو")</f>
        <v>برندسازی و طراحی لوگو</v>
      </c>
      <c r="G5914" s="1" t="str">
        <f>IFERROR(__xludf.DUMMYFUNCTION("GOOGLETRANSLATE(C5914, ""en"", ""fa"")
"),"مفهوم موقعیت‌یابی برند و نحوه متمایز کردن یک برند از رقبا در بازار را بررسی کنید.")</f>
        <v>مفهوم موقعیت‌یابی برند و نحوه متمایز کردن یک برند از رقبا در بازار را بررسی کنید.</v>
      </c>
      <c r="H5914" s="1"/>
      <c r="I5914" s="1"/>
      <c r="J5914" s="1"/>
      <c r="K5914" s="1"/>
      <c r="L5914" s="1"/>
      <c r="M5914" s="1"/>
      <c r="N5914" s="1"/>
      <c r="O5914" s="1"/>
      <c r="P5914" s="1"/>
      <c r="Q5914" s="1"/>
      <c r="R5914" s="1"/>
      <c r="S5914" s="1"/>
      <c r="T5914" s="1"/>
      <c r="U5914" s="1"/>
      <c r="V5914" s="1"/>
      <c r="W5914" s="1"/>
      <c r="X5914" s="1"/>
      <c r="Y5914" s="1"/>
      <c r="Z5914" s="1"/>
      <c r="AA5914" s="1"/>
      <c r="AB5914" s="1"/>
    </row>
    <row r="5915" ht="50.25" customHeight="1">
      <c r="A5915" s="12">
        <v>5911.0</v>
      </c>
      <c r="B5915" s="13" t="s">
        <v>5926</v>
      </c>
      <c r="C5915" s="18" t="s">
        <v>5937</v>
      </c>
      <c r="D5915" s="1"/>
      <c r="E5915" s="1"/>
      <c r="F5915" s="1" t="str">
        <f>IFERROR(__xludf.DUMMYFUNCTION("GOOGLETRANSLATE(B5915, ""en"", ""fa"")
"),"برندسازی و طراحی لوگو")</f>
        <v>برندسازی و طراحی لوگو</v>
      </c>
      <c r="G5915" s="1" t="str">
        <f>IFERROR(__xludf.DUMMYFUNCTION("GOOGLETRANSLATE(C5915, ""en"", ""fa"")
"),"در مورد نقش داستان سرایی در برندسازی و نحوه ایجاد روایت هایی که با مخاطب هدف ارتباط برقرار می کند، فکر کنید.")</f>
        <v>در مورد نقش داستان سرایی در برندسازی و نحوه ایجاد روایت هایی که با مخاطب هدف ارتباط برقرار می کند، فکر کنید.</v>
      </c>
      <c r="H5915" s="1"/>
      <c r="I5915" s="1"/>
      <c r="J5915" s="1"/>
      <c r="K5915" s="1"/>
      <c r="L5915" s="1"/>
      <c r="M5915" s="1"/>
      <c r="N5915" s="1"/>
      <c r="O5915" s="1"/>
      <c r="P5915" s="1"/>
      <c r="Q5915" s="1"/>
      <c r="R5915" s="1"/>
      <c r="S5915" s="1"/>
      <c r="T5915" s="1"/>
      <c r="U5915" s="1"/>
      <c r="V5915" s="1"/>
      <c r="W5915" s="1"/>
      <c r="X5915" s="1"/>
      <c r="Y5915" s="1"/>
      <c r="Z5915" s="1"/>
      <c r="AA5915" s="1"/>
      <c r="AB5915" s="1"/>
    </row>
    <row r="5916" ht="50.25" customHeight="1">
      <c r="A5916" s="12">
        <v>5912.0</v>
      </c>
      <c r="B5916" s="13" t="s">
        <v>5926</v>
      </c>
      <c r="C5916" s="18" t="s">
        <v>5938</v>
      </c>
      <c r="D5916" s="1"/>
      <c r="E5916" s="1"/>
      <c r="F5916" s="1" t="str">
        <f>IFERROR(__xludf.DUMMYFUNCTION("GOOGLETRANSLATE(B5916, ""en"", ""fa"")
"),"برندسازی و طراحی لوگو")</f>
        <v>برندسازی و طراحی لوگو</v>
      </c>
      <c r="G5916" s="1" t="str">
        <f>IFERROR(__xludf.DUMMYFUNCTION("GOOGLETRANSLATE(C5916, ""en"", ""fa"")
"),"در مورد اهمیت تایپوگرافی در طراحی لوگو و اینکه چگونه انتخاب فونت می تواند شخصیت و پیام برند را منتقل کند، بحث کنید.")</f>
        <v>در مورد اهمیت تایپوگرافی در طراحی لوگو و اینکه چگونه انتخاب فونت می تواند شخصیت و پیام برند را منتقل کند، بحث کنید.</v>
      </c>
      <c r="H5916" s="1"/>
      <c r="I5916" s="1"/>
      <c r="J5916" s="1"/>
      <c r="K5916" s="1"/>
      <c r="L5916" s="1"/>
      <c r="M5916" s="1"/>
      <c r="N5916" s="1"/>
      <c r="O5916" s="1"/>
      <c r="P5916" s="1"/>
      <c r="Q5916" s="1"/>
      <c r="R5916" s="1"/>
      <c r="S5916" s="1"/>
      <c r="T5916" s="1"/>
      <c r="U5916" s="1"/>
      <c r="V5916" s="1"/>
      <c r="W5916" s="1"/>
      <c r="X5916" s="1"/>
      <c r="Y5916" s="1"/>
      <c r="Z5916" s="1"/>
      <c r="AA5916" s="1"/>
      <c r="AB5916" s="1"/>
    </row>
    <row r="5917" ht="50.25" customHeight="1">
      <c r="A5917" s="12">
        <v>5913.0</v>
      </c>
      <c r="B5917" s="13" t="s">
        <v>5926</v>
      </c>
      <c r="C5917" s="18" t="s">
        <v>5939</v>
      </c>
      <c r="D5917" s="1"/>
      <c r="E5917" s="1"/>
      <c r="F5917" s="1" t="str">
        <f>IFERROR(__xludf.DUMMYFUNCTION("GOOGLETRANSLATE(B5917, ""en"", ""fa"")
"),"برندسازی و طراحی لوگو")</f>
        <v>برندسازی و طراحی لوگو</v>
      </c>
      <c r="G5917" s="1" t="str">
        <f>IFERROR(__xludf.DUMMYFUNCTION("GOOGLETRANSLATE(C5917, ""en"", ""fa"")
"),"بهترین شیوه ها برای طراحی یک لوگوی به یاد ماندنی و همه کاره که می تواند با رسانه ها و اندازه های مختلف سازگار باشد را به اشتراک بگذارید.")</f>
        <v>بهترین شیوه ها برای طراحی یک لوگوی به یاد ماندنی و همه کاره که می تواند با رسانه ها و اندازه های مختلف سازگار باشد را به اشتراک بگذارید.</v>
      </c>
      <c r="H5917" s="1"/>
      <c r="I5917" s="1"/>
      <c r="J5917" s="1"/>
      <c r="K5917" s="1"/>
      <c r="L5917" s="1"/>
      <c r="M5917" s="1"/>
      <c r="N5917" s="1"/>
      <c r="O5917" s="1"/>
      <c r="P5917" s="1"/>
      <c r="Q5917" s="1"/>
      <c r="R5917" s="1"/>
      <c r="S5917" s="1"/>
      <c r="T5917" s="1"/>
      <c r="U5917" s="1"/>
      <c r="V5917" s="1"/>
      <c r="W5917" s="1"/>
      <c r="X5917" s="1"/>
      <c r="Y5917" s="1"/>
      <c r="Z5917" s="1"/>
      <c r="AA5917" s="1"/>
      <c r="AB5917" s="1"/>
    </row>
    <row r="5918" ht="50.25" customHeight="1">
      <c r="A5918" s="12">
        <v>5914.0</v>
      </c>
      <c r="B5918" s="13" t="s">
        <v>5926</v>
      </c>
      <c r="C5918" s="18" t="s">
        <v>5940</v>
      </c>
      <c r="D5918" s="1"/>
      <c r="E5918" s="1"/>
      <c r="F5918" s="1" t="str">
        <f>IFERROR(__xludf.DUMMYFUNCTION("GOOGLETRANSLATE(B5918, ""en"", ""fa"")
"),"برندسازی و طراحی لوگو")</f>
        <v>برندسازی و طراحی لوگو</v>
      </c>
      <c r="G5918" s="1" t="str">
        <f>IFERROR(__xludf.DUMMYFUNCTION("GOOGLETRANSLATE(C5918, ""en"", ""fa"")
"),"تأثیر عناصر بصری مانند نمادها، نمادها یا طلسم ها را در طراحی لوگو و شناخت برند کاوش کنید.")</f>
        <v>تأثیر عناصر بصری مانند نمادها، نمادها یا طلسم ها را در طراحی لوگو و شناخت برند کاوش کنید.</v>
      </c>
      <c r="H5918" s="1"/>
      <c r="I5918" s="1"/>
      <c r="J5918" s="1"/>
      <c r="K5918" s="1"/>
      <c r="L5918" s="1"/>
      <c r="M5918" s="1"/>
      <c r="N5918" s="1"/>
      <c r="O5918" s="1"/>
      <c r="P5918" s="1"/>
      <c r="Q5918" s="1"/>
      <c r="R5918" s="1"/>
      <c r="S5918" s="1"/>
      <c r="T5918" s="1"/>
      <c r="U5918" s="1"/>
      <c r="V5918" s="1"/>
      <c r="W5918" s="1"/>
      <c r="X5918" s="1"/>
      <c r="Y5918" s="1"/>
      <c r="Z5918" s="1"/>
      <c r="AA5918" s="1"/>
      <c r="AB5918" s="1"/>
    </row>
    <row r="5919" ht="50.25" customHeight="1">
      <c r="A5919" s="12">
        <v>5915.0</v>
      </c>
      <c r="B5919" s="13" t="s">
        <v>5926</v>
      </c>
      <c r="C5919" s="18" t="s">
        <v>5941</v>
      </c>
      <c r="D5919" s="1"/>
      <c r="E5919" s="1"/>
      <c r="F5919" s="1" t="str">
        <f>IFERROR(__xludf.DUMMYFUNCTION("GOOGLETRANSLATE(B5919, ""en"", ""fa"")
"),"برندسازی و طراحی لوگو")</f>
        <v>برندسازی و طراحی لوگو</v>
      </c>
      <c r="G5919" s="1" t="str">
        <f>IFERROR(__xludf.DUMMYFUNCTION("GOOGLETRANSLATE(C5919, ""en"", ""fa"")
"),"به نقش دستورالعمل های برند در حفظ ثبات بصری و اطمینان از یکپارچگی برند فکر کنید.")</f>
        <v>به نقش دستورالعمل های برند در حفظ ثبات بصری و اطمینان از یکپارچگی برند فکر کنید.</v>
      </c>
      <c r="H5919" s="1"/>
      <c r="I5919" s="1"/>
      <c r="J5919" s="1"/>
      <c r="K5919" s="1"/>
      <c r="L5919" s="1"/>
      <c r="M5919" s="1"/>
      <c r="N5919" s="1"/>
      <c r="O5919" s="1"/>
      <c r="P5919" s="1"/>
      <c r="Q5919" s="1"/>
      <c r="R5919" s="1"/>
      <c r="S5919" s="1"/>
      <c r="T5919" s="1"/>
      <c r="U5919" s="1"/>
      <c r="V5919" s="1"/>
      <c r="W5919" s="1"/>
      <c r="X5919" s="1"/>
      <c r="Y5919" s="1"/>
      <c r="Z5919" s="1"/>
      <c r="AA5919" s="1"/>
      <c r="AB5919" s="1"/>
    </row>
    <row r="5920" ht="50.25" customHeight="1">
      <c r="A5920" s="12">
        <v>5916.0</v>
      </c>
      <c r="B5920" s="13" t="s">
        <v>5926</v>
      </c>
      <c r="C5920" s="18" t="s">
        <v>5942</v>
      </c>
      <c r="D5920" s="1"/>
      <c r="E5920" s="1"/>
      <c r="F5920" s="1" t="str">
        <f>IFERROR(__xludf.DUMMYFUNCTION("GOOGLETRANSLATE(B5920, ""en"", ""fa"")
"),"برندسازی و طراحی لوگو")</f>
        <v>برندسازی و طراحی لوگو</v>
      </c>
      <c r="G5920" s="1" t="str">
        <f>IFERROR(__xludf.DUMMYFUNCTION("GOOGLETRANSLATE(C5920, ""en"", ""fa"")
"),"در مورد چالش ها و فرصت های تغییر نام تجاری و ملاحظات مربوط به تجدید یا طراحی مجدد هویت برند بحث کنید.")</f>
        <v>در مورد چالش ها و فرصت های تغییر نام تجاری و ملاحظات مربوط به تجدید یا طراحی مجدد هویت برند بحث کنید.</v>
      </c>
      <c r="H5920" s="1"/>
      <c r="I5920" s="1"/>
      <c r="J5920" s="1"/>
      <c r="K5920" s="1"/>
      <c r="L5920" s="1"/>
      <c r="M5920" s="1"/>
      <c r="N5920" s="1"/>
      <c r="O5920" s="1"/>
      <c r="P5920" s="1"/>
      <c r="Q5920" s="1"/>
      <c r="R5920" s="1"/>
      <c r="S5920" s="1"/>
      <c r="T5920" s="1"/>
      <c r="U5920" s="1"/>
      <c r="V5920" s="1"/>
      <c r="W5920" s="1"/>
      <c r="X5920" s="1"/>
      <c r="Y5920" s="1"/>
      <c r="Z5920" s="1"/>
      <c r="AA5920" s="1"/>
      <c r="AB5920" s="1"/>
    </row>
    <row r="5921" ht="50.25" customHeight="1">
      <c r="A5921" s="12">
        <v>5917.0</v>
      </c>
      <c r="B5921" s="13" t="s">
        <v>5926</v>
      </c>
      <c r="C5921" s="18" t="s">
        <v>5943</v>
      </c>
      <c r="D5921" s="1"/>
      <c r="E5921" s="1"/>
      <c r="F5921" s="1" t="str">
        <f>IFERROR(__xludf.DUMMYFUNCTION("GOOGLETRANSLATE(B5921, ""en"", ""fa"")
"),"برندسازی و طراحی لوگو")</f>
        <v>برندسازی و طراحی لوگو</v>
      </c>
      <c r="G5921" s="1" t="str">
        <f>IFERROR(__xludf.DUMMYFUNCTION("GOOGLETRANSLATE(C5921, ""en"", ""fa"")
"),"نکاتی را برای انجام نظرسنجی ها و مصاحبه های برند برای جمع آوری بازخورد و بینش از مخاطبان هدف به اشتراک بگذارید.")</f>
        <v>نکاتی را برای انجام نظرسنجی ها و مصاحبه های برند برای جمع آوری بازخورد و بینش از مخاطبان هدف به اشتراک بگذارید.</v>
      </c>
      <c r="H5921" s="1"/>
      <c r="I5921" s="1"/>
      <c r="J5921" s="1"/>
      <c r="K5921" s="1"/>
      <c r="L5921" s="1"/>
      <c r="M5921" s="1"/>
      <c r="N5921" s="1"/>
      <c r="O5921" s="1"/>
      <c r="P5921" s="1"/>
      <c r="Q5921" s="1"/>
      <c r="R5921" s="1"/>
      <c r="S5921" s="1"/>
      <c r="T5921" s="1"/>
      <c r="U5921" s="1"/>
      <c r="V5921" s="1"/>
      <c r="W5921" s="1"/>
      <c r="X5921" s="1"/>
      <c r="Y5921" s="1"/>
      <c r="Z5921" s="1"/>
      <c r="AA5921" s="1"/>
      <c r="AB5921" s="1"/>
    </row>
    <row r="5922" ht="50.25" customHeight="1">
      <c r="A5922" s="12">
        <v>5918.0</v>
      </c>
      <c r="B5922" s="13" t="s">
        <v>5926</v>
      </c>
      <c r="C5922" s="18" t="s">
        <v>5944</v>
      </c>
      <c r="D5922" s="1"/>
      <c r="E5922" s="1"/>
      <c r="F5922" s="1" t="str">
        <f>IFERROR(__xludf.DUMMYFUNCTION("GOOGLETRANSLATE(B5922, ""en"", ""fa"")
"),"برندسازی و طراحی لوگو")</f>
        <v>برندسازی و طراحی لوگو</v>
      </c>
      <c r="G5922" s="1" t="str">
        <f>IFERROR(__xludf.DUMMYFUNCTION("GOOGLETRANSLATE(C5922, ""en"", ""fa"")
"),"مفهوم ارزش ویژه برند و چگونگی ساخت و اندازه گیری ارزش یک برند در طول زمان را بررسی کنید.")</f>
        <v>مفهوم ارزش ویژه برند و چگونگی ساخت و اندازه گیری ارزش یک برند در طول زمان را بررسی کنید.</v>
      </c>
      <c r="H5922" s="1"/>
      <c r="I5922" s="1"/>
      <c r="J5922" s="1"/>
      <c r="K5922" s="1"/>
      <c r="L5922" s="1"/>
      <c r="M5922" s="1"/>
      <c r="N5922" s="1"/>
      <c r="O5922" s="1"/>
      <c r="P5922" s="1"/>
      <c r="Q5922" s="1"/>
      <c r="R5922" s="1"/>
      <c r="S5922" s="1"/>
      <c r="T5922" s="1"/>
      <c r="U5922" s="1"/>
      <c r="V5922" s="1"/>
      <c r="W5922" s="1"/>
      <c r="X5922" s="1"/>
      <c r="Y5922" s="1"/>
      <c r="Z5922" s="1"/>
      <c r="AA5922" s="1"/>
      <c r="AB5922" s="1"/>
    </row>
    <row r="5923" ht="50.25" customHeight="1">
      <c r="A5923" s="12">
        <v>5919.0</v>
      </c>
      <c r="B5923" s="13" t="s">
        <v>5926</v>
      </c>
      <c r="C5923" s="18" t="s">
        <v>5945</v>
      </c>
      <c r="D5923" s="1"/>
      <c r="E5923" s="1"/>
      <c r="F5923" s="1" t="str">
        <f>IFERROR(__xludf.DUMMYFUNCTION("GOOGLETRANSLATE(B5923, ""en"", ""fa"")
"),"برندسازی و طراحی لوگو")</f>
        <v>برندسازی و طراحی لوگو</v>
      </c>
      <c r="G5923" s="1" t="str">
        <f>IFERROR(__xludf.DUMMYFUNCTION("GOOGLETRANSLATE(C5923, ""en"", ""fa"")
"),"به نقش داستان سرایی در طراحی لوگو و چگونگی ایجاد یک روایت بصری که ماهیت برند را بیان می کند، فکر کنید.")</f>
        <v>به نقش داستان سرایی در طراحی لوگو و چگونگی ایجاد یک روایت بصری که ماهیت برند را بیان می کند، فکر کنید.</v>
      </c>
      <c r="H5923" s="1"/>
      <c r="I5923" s="1"/>
      <c r="J5923" s="1"/>
      <c r="K5923" s="1"/>
      <c r="L5923" s="1"/>
      <c r="M5923" s="1"/>
      <c r="N5923" s="1"/>
      <c r="O5923" s="1"/>
      <c r="P5923" s="1"/>
      <c r="Q5923" s="1"/>
      <c r="R5923" s="1"/>
      <c r="S5923" s="1"/>
      <c r="T5923" s="1"/>
      <c r="U5923" s="1"/>
      <c r="V5923" s="1"/>
      <c r="W5923" s="1"/>
      <c r="X5923" s="1"/>
      <c r="Y5923" s="1"/>
      <c r="Z5923" s="1"/>
      <c r="AA5923" s="1"/>
      <c r="AB5923" s="1"/>
    </row>
    <row r="5924" ht="50.25" customHeight="1">
      <c r="A5924" s="12">
        <v>5920.0</v>
      </c>
      <c r="B5924" s="13" t="s">
        <v>5926</v>
      </c>
      <c r="C5924" s="18" t="s">
        <v>5946</v>
      </c>
      <c r="D5924" s="1"/>
      <c r="E5924" s="1"/>
      <c r="F5924" s="1" t="str">
        <f>IFERROR(__xludf.DUMMYFUNCTION("GOOGLETRANSLATE(B5924, ""en"", ""fa"")
"),"برندسازی و طراحی لوگو")</f>
        <v>برندسازی و طراحی لوگو</v>
      </c>
      <c r="G5924" s="1" t="str">
        <f>IFERROR(__xludf.DUMMYFUNCTION("GOOGLETRANSLATE(C5924, ""en"", ""fa"")
"),"در مورد اهمیت تجربه کاربر (UX) در طراحی هویت برند و نحوه ایجاد نقاط تماس برند که جذاب و شهودی هستند بحث کنید.")</f>
        <v>در مورد اهمیت تجربه کاربر (UX) در طراحی هویت برند و نحوه ایجاد نقاط تماس برند که جذاب و شهودی هستند بحث کنید.</v>
      </c>
      <c r="H5924" s="1"/>
      <c r="I5924" s="1"/>
      <c r="J5924" s="1"/>
      <c r="K5924" s="1"/>
      <c r="L5924" s="1"/>
      <c r="M5924" s="1"/>
      <c r="N5924" s="1"/>
      <c r="O5924" s="1"/>
      <c r="P5924" s="1"/>
      <c r="Q5924" s="1"/>
      <c r="R5924" s="1"/>
      <c r="S5924" s="1"/>
      <c r="T5924" s="1"/>
      <c r="U5924" s="1"/>
      <c r="V5924" s="1"/>
      <c r="W5924" s="1"/>
      <c r="X5924" s="1"/>
      <c r="Y5924" s="1"/>
      <c r="Z5924" s="1"/>
      <c r="AA5924" s="1"/>
      <c r="AB5924" s="1"/>
    </row>
    <row r="5925" ht="50.25" customHeight="1">
      <c r="A5925" s="12">
        <v>5921.0</v>
      </c>
      <c r="B5925" s="13" t="s">
        <v>5926</v>
      </c>
      <c r="C5925" s="18" t="s">
        <v>5947</v>
      </c>
      <c r="D5925" s="1"/>
      <c r="E5925" s="1"/>
      <c r="F5925" s="1" t="str">
        <f>IFERROR(__xludf.DUMMYFUNCTION("GOOGLETRANSLATE(B5925, ""en"", ""fa"")
"),"برندسازی و طراحی لوگو")</f>
        <v>برندسازی و طراحی لوگو</v>
      </c>
      <c r="G5925" s="1" t="str">
        <f>IFERROR(__xludf.DUMMYFUNCTION("GOOGLETRANSLATE(C5925, ""en"", ""fa"")
"),"تکنیک هایی را برای طوفان فکری و ایده پردازی مفاهیم لوگو که با ارزش ها و اهداف برند همسو هستند را به اشتراک بگذارید.")</f>
        <v>تکنیک هایی را برای طوفان فکری و ایده پردازی مفاهیم لوگو که با ارزش ها و اهداف برند همسو هستند را به اشتراک بگذارید.</v>
      </c>
      <c r="H5925" s="1"/>
      <c r="I5925" s="1"/>
      <c r="J5925" s="1"/>
      <c r="K5925" s="1"/>
      <c r="L5925" s="1"/>
      <c r="M5925" s="1"/>
      <c r="N5925" s="1"/>
      <c r="O5925" s="1"/>
      <c r="P5925" s="1"/>
      <c r="Q5925" s="1"/>
      <c r="R5925" s="1"/>
      <c r="S5925" s="1"/>
      <c r="T5925" s="1"/>
      <c r="U5925" s="1"/>
      <c r="V5925" s="1"/>
      <c r="W5925" s="1"/>
      <c r="X5925" s="1"/>
      <c r="Y5925" s="1"/>
      <c r="Z5925" s="1"/>
      <c r="AA5925" s="1"/>
      <c r="AB5925" s="1"/>
    </row>
    <row r="5926" ht="50.25" customHeight="1">
      <c r="A5926" s="12">
        <v>5922.0</v>
      </c>
      <c r="B5926" s="13" t="s">
        <v>5926</v>
      </c>
      <c r="C5926" s="18" t="s">
        <v>5948</v>
      </c>
      <c r="D5926" s="1"/>
      <c r="E5926" s="1"/>
      <c r="F5926" s="1" t="str">
        <f>IFERROR(__xludf.DUMMYFUNCTION("GOOGLETRANSLATE(B5926, ""en"", ""fa"")
"),"برندسازی و طراحی لوگو")</f>
        <v>برندسازی و طراحی لوگو</v>
      </c>
      <c r="G5926" s="1" t="str">
        <f>IFERROR(__xludf.DUMMYFUNCTION("GOOGLETRANSLATE(C5926, ""en"", ""fa"")
"),"تأثیر ملاحظات فرهنگی در برندسازی جهانی و چگونگی تطبیق هویت برند برای بازارها و فرهنگ های مختلف را بررسی کنید.")</f>
        <v>تأثیر ملاحظات فرهنگی در برندسازی جهانی و چگونگی تطبیق هویت برند برای بازارها و فرهنگ های مختلف را بررسی کنید.</v>
      </c>
      <c r="H5926" s="1"/>
      <c r="I5926" s="1"/>
      <c r="J5926" s="1"/>
      <c r="K5926" s="1"/>
      <c r="L5926" s="1"/>
      <c r="M5926" s="1"/>
      <c r="N5926" s="1"/>
      <c r="O5926" s="1"/>
      <c r="P5926" s="1"/>
      <c r="Q5926" s="1"/>
      <c r="R5926" s="1"/>
      <c r="S5926" s="1"/>
      <c r="T5926" s="1"/>
      <c r="U5926" s="1"/>
      <c r="V5926" s="1"/>
      <c r="W5926" s="1"/>
      <c r="X5926" s="1"/>
      <c r="Y5926" s="1"/>
      <c r="Z5926" s="1"/>
      <c r="AA5926" s="1"/>
      <c r="AB5926" s="1"/>
    </row>
    <row r="5927" ht="50.25" customHeight="1">
      <c r="A5927" s="12">
        <v>5923.0</v>
      </c>
      <c r="B5927" s="13" t="s">
        <v>5926</v>
      </c>
      <c r="C5927" s="18" t="s">
        <v>5949</v>
      </c>
      <c r="D5927" s="1"/>
      <c r="E5927" s="1"/>
      <c r="F5927" s="1" t="str">
        <f>IFERROR(__xludf.DUMMYFUNCTION("GOOGLETRANSLATE(B5927, ""en"", ""fa"")
"),"برندسازی و طراحی لوگو")</f>
        <v>برندسازی و طراحی لوگو</v>
      </c>
      <c r="G5927" s="1" t="str">
        <f>IFERROR(__xludf.DUMMYFUNCTION("GOOGLETRANSLATE(C5927, ""en"", ""fa"")
"),"در مورد نقش سفیران و تأثیرگذاران برند در ترویج و معرفی هویت یک برند فکر کنید.")</f>
        <v>در مورد نقش سفیران و تأثیرگذاران برند در ترویج و معرفی هویت یک برند فکر کنید.</v>
      </c>
      <c r="H5927" s="1"/>
      <c r="I5927" s="1"/>
      <c r="J5927" s="1"/>
      <c r="K5927" s="1"/>
      <c r="L5927" s="1"/>
      <c r="M5927" s="1"/>
      <c r="N5927" s="1"/>
      <c r="O5927" s="1"/>
      <c r="P5927" s="1"/>
      <c r="Q5927" s="1"/>
      <c r="R5927" s="1"/>
      <c r="S5927" s="1"/>
      <c r="T5927" s="1"/>
      <c r="U5927" s="1"/>
      <c r="V5927" s="1"/>
      <c r="W5927" s="1"/>
      <c r="X5927" s="1"/>
      <c r="Y5927" s="1"/>
      <c r="Z5927" s="1"/>
      <c r="AA5927" s="1"/>
      <c r="AB5927" s="1"/>
    </row>
    <row r="5928" ht="50.25" customHeight="1">
      <c r="A5928" s="12">
        <v>5924.0</v>
      </c>
      <c r="B5928" s="13" t="s">
        <v>5926</v>
      </c>
      <c r="C5928" s="18" t="s">
        <v>5950</v>
      </c>
      <c r="D5928" s="1"/>
      <c r="E5928" s="1"/>
      <c r="F5928" s="1" t="str">
        <f>IFERROR(__xludf.DUMMYFUNCTION("GOOGLETRANSLATE(B5928, ""en"", ""fa"")
"),"برندسازی و طراحی لوگو")</f>
        <v>برندسازی و طراحی لوگو</v>
      </c>
      <c r="G5928" s="1" t="str">
        <f>IFERROR(__xludf.DUMMYFUNCTION("GOOGLETRANSLATE(C5928, ""en"", ""fa"")
"),"در مورد رابطه بین هویت برند و وفاداری مشتری و چگونگی ایجاد تجربیات برند که روابط بلندمدت را تقویت می کند، بحث کنید.")</f>
        <v>در مورد رابطه بین هویت برند و وفاداری مشتری و چگونگی ایجاد تجربیات برند که روابط بلندمدت را تقویت می کند، بحث کنید.</v>
      </c>
      <c r="H5928" s="1"/>
      <c r="I5928" s="1"/>
      <c r="J5928" s="1"/>
      <c r="K5928" s="1"/>
      <c r="L5928" s="1"/>
      <c r="M5928" s="1"/>
      <c r="N5928" s="1"/>
      <c r="O5928" s="1"/>
      <c r="P5928" s="1"/>
      <c r="Q5928" s="1"/>
      <c r="R5928" s="1"/>
      <c r="S5928" s="1"/>
      <c r="T5928" s="1"/>
      <c r="U5928" s="1"/>
      <c r="V5928" s="1"/>
      <c r="W5928" s="1"/>
      <c r="X5928" s="1"/>
      <c r="Y5928" s="1"/>
      <c r="Z5928" s="1"/>
      <c r="AA5928" s="1"/>
      <c r="AB5928" s="1"/>
    </row>
    <row r="5929" ht="50.25" customHeight="1">
      <c r="A5929" s="12">
        <v>5925.0</v>
      </c>
      <c r="B5929" s="13" t="s">
        <v>5926</v>
      </c>
      <c r="C5929" s="18" t="s">
        <v>5951</v>
      </c>
      <c r="D5929" s="1"/>
      <c r="E5929" s="1"/>
      <c r="F5929" s="1" t="str">
        <f>IFERROR(__xludf.DUMMYFUNCTION("GOOGLETRANSLATE(B5929, ""en"", ""fa"")
"),"برندسازی و طراحی لوگو")</f>
        <v>برندسازی و طراحی لوگو</v>
      </c>
      <c r="G5929" s="1" t="str">
        <f>IFERROR(__xludf.DUMMYFUNCTION("GOOGLETRANSLATE(C5929, ""en"", ""fa"")
"),"بهترین روش‌ها را برای طراحی وثیقه برند، مانند کارت‌های ویزیت، سربرگ‌ها، بسته‌بندی یا تابلوهای علامت‌گذاری که هویت بصری برند را تقویت می‌کنند، به اشتراک بگذارید.")</f>
        <v>بهترین روش‌ها را برای طراحی وثیقه برند، مانند کارت‌های ویزیت، سربرگ‌ها، بسته‌بندی یا تابلوهای علامت‌گذاری که هویت بصری برند را تقویت می‌کنند، به اشتراک بگذارید.</v>
      </c>
      <c r="H5929" s="1"/>
      <c r="I5929" s="1"/>
      <c r="J5929" s="1"/>
      <c r="K5929" s="1"/>
      <c r="L5929" s="1"/>
      <c r="M5929" s="1"/>
      <c r="N5929" s="1"/>
      <c r="O5929" s="1"/>
      <c r="P5929" s="1"/>
      <c r="Q5929" s="1"/>
      <c r="R5929" s="1"/>
      <c r="S5929" s="1"/>
      <c r="T5929" s="1"/>
      <c r="U5929" s="1"/>
      <c r="V5929" s="1"/>
      <c r="W5929" s="1"/>
      <c r="X5929" s="1"/>
      <c r="Y5929" s="1"/>
      <c r="Z5929" s="1"/>
      <c r="AA5929" s="1"/>
      <c r="AB5929" s="1"/>
    </row>
    <row r="5930" ht="50.25" customHeight="1">
      <c r="A5930" s="12">
        <v>5926.0</v>
      </c>
      <c r="B5930" s="13" t="s">
        <v>5926</v>
      </c>
      <c r="C5930" s="18" t="s">
        <v>5952</v>
      </c>
      <c r="D5930" s="1"/>
      <c r="E5930" s="1"/>
      <c r="F5930" s="1" t="str">
        <f>IFERROR(__xludf.DUMMYFUNCTION("GOOGLETRANSLATE(B5930, ""en"", ""fa"")
"),"برندسازی و طراحی لوگو")</f>
        <v>برندسازی و طراحی لوگو</v>
      </c>
      <c r="G5930" s="1" t="str">
        <f>IFERROR(__xludf.DUMMYFUNCTION("GOOGLETRANSLATE(C5930, ""en"", ""fa"")
"),"مفهوم صدای و لحن برند و چگونگی ایجاد یک سبک ارتباطی که با شخصیت برند همسو باشد را بررسی کنید.")</f>
        <v>مفهوم صدای و لحن برند و چگونگی ایجاد یک سبک ارتباطی که با شخصیت برند همسو باشد را بررسی کنید.</v>
      </c>
      <c r="H5930" s="1"/>
      <c r="I5930" s="1"/>
      <c r="J5930" s="1"/>
      <c r="K5930" s="1"/>
      <c r="L5930" s="1"/>
      <c r="M5930" s="1"/>
      <c r="N5930" s="1"/>
      <c r="O5930" s="1"/>
      <c r="P5930" s="1"/>
      <c r="Q5930" s="1"/>
      <c r="R5930" s="1"/>
      <c r="S5930" s="1"/>
      <c r="T5930" s="1"/>
      <c r="U5930" s="1"/>
      <c r="V5930" s="1"/>
      <c r="W5930" s="1"/>
      <c r="X5930" s="1"/>
      <c r="Y5930" s="1"/>
      <c r="Z5930" s="1"/>
      <c r="AA5930" s="1"/>
      <c r="AB5930" s="1"/>
    </row>
    <row r="5931" ht="50.25" customHeight="1">
      <c r="A5931" s="12">
        <v>5927.0</v>
      </c>
      <c r="B5931" s="13" t="s">
        <v>5926</v>
      </c>
      <c r="C5931" s="18" t="s">
        <v>5953</v>
      </c>
      <c r="D5931" s="1"/>
      <c r="E5931" s="1"/>
      <c r="F5931" s="1" t="str">
        <f>IFERROR(__xludf.DUMMYFUNCTION("GOOGLETRANSLATE(B5931, ""en"", ""fa"")
"),"برندسازی و طراحی لوگو")</f>
        <v>برندسازی و طراحی لوگو</v>
      </c>
      <c r="G5931" s="1" t="str">
        <f>IFERROR(__xludf.DUMMYFUNCTION("GOOGLETRANSLATE(C5931, ""en"", ""fa"")
"),"در مورد نقش رسانه های اجتماعی در برندسازی و نحوه ایجاد یک حضور ثابت برند در بسترهای اجتماعی مختلف فکر کنید.")</f>
        <v>در مورد نقش رسانه های اجتماعی در برندسازی و نحوه ایجاد یک حضور ثابت برند در بسترهای اجتماعی مختلف فکر کنید.</v>
      </c>
      <c r="H5931" s="1"/>
      <c r="I5931" s="1"/>
      <c r="J5931" s="1"/>
      <c r="K5931" s="1"/>
      <c r="L5931" s="1"/>
      <c r="M5931" s="1"/>
      <c r="N5931" s="1"/>
      <c r="O5931" s="1"/>
      <c r="P5931" s="1"/>
      <c r="Q5931" s="1"/>
      <c r="R5931" s="1"/>
      <c r="S5931" s="1"/>
      <c r="T5931" s="1"/>
      <c r="U5931" s="1"/>
      <c r="V5931" s="1"/>
      <c r="W5931" s="1"/>
      <c r="X5931" s="1"/>
      <c r="Y5931" s="1"/>
      <c r="Z5931" s="1"/>
      <c r="AA5931" s="1"/>
      <c r="AB5931" s="1"/>
    </row>
    <row r="5932" ht="50.25" customHeight="1">
      <c r="A5932" s="12">
        <v>5928.0</v>
      </c>
      <c r="B5932" s="13" t="s">
        <v>5926</v>
      </c>
      <c r="C5932" s="18" t="s">
        <v>5954</v>
      </c>
      <c r="D5932" s="1"/>
      <c r="E5932" s="1"/>
      <c r="F5932" s="1" t="str">
        <f>IFERROR(__xludf.DUMMYFUNCTION("GOOGLETRANSLATE(B5932, ""en"", ""fa"")
"),"برندسازی و طراحی لوگو")</f>
        <v>برندسازی و طراحی لوگو</v>
      </c>
      <c r="G5932" s="1" t="str">
        <f>IFERROR(__xludf.DUMMYFUNCTION("GOOGLETRANSLATE(C5932, ""en"", ""fa"")
"),"درباره تأثیر طراحی واکنش‌گرا در لوگو و هویت برند و چگونگی اطمینان از سازگاری برند در دستگاه‌ها و اندازه‌های مختلف صفحه بحث کنید.")</f>
        <v>درباره تأثیر طراحی واکنش‌گرا در لوگو و هویت برند و چگونگی اطمینان از سازگاری برند در دستگاه‌ها و اندازه‌های مختلف صفحه بحث کنید.</v>
      </c>
      <c r="H5932" s="1"/>
      <c r="I5932" s="1"/>
      <c r="J5932" s="1"/>
      <c r="K5932" s="1"/>
      <c r="L5932" s="1"/>
      <c r="M5932" s="1"/>
      <c r="N5932" s="1"/>
      <c r="O5932" s="1"/>
      <c r="P5932" s="1"/>
      <c r="Q5932" s="1"/>
      <c r="R5932" s="1"/>
      <c r="S5932" s="1"/>
      <c r="T5932" s="1"/>
      <c r="U5932" s="1"/>
      <c r="V5932" s="1"/>
      <c r="W5932" s="1"/>
      <c r="X5932" s="1"/>
      <c r="Y5932" s="1"/>
      <c r="Z5932" s="1"/>
      <c r="AA5932" s="1"/>
      <c r="AB5932" s="1"/>
    </row>
    <row r="5933" ht="50.25" customHeight="1">
      <c r="A5933" s="12">
        <v>5929.0</v>
      </c>
      <c r="B5933" s="13" t="s">
        <v>5926</v>
      </c>
      <c r="C5933" s="18" t="s">
        <v>5955</v>
      </c>
      <c r="D5933" s="1"/>
      <c r="E5933" s="1"/>
      <c r="F5933" s="1" t="str">
        <f>IFERROR(__xludf.DUMMYFUNCTION("GOOGLETRANSLATE(B5933, ""en"", ""fa"")
"),"برندسازی و طراحی لوگو")</f>
        <v>برندسازی و طراحی لوگو</v>
      </c>
      <c r="G5933" s="1" t="str">
        <f>IFERROR(__xludf.DUMMYFUNCTION("GOOGLETRANSLATE(C5933, ""en"", ""fa"")
"),"نکاتی را برای ایجاد یک راهنمای سبک برند که هویت بصری، صدا، لحن و دستورالعمل‌های پیام‌رسانی برند را مشخص می‌کند، به اشتراک بگذارید.")</f>
        <v>نکاتی را برای ایجاد یک راهنمای سبک برند که هویت بصری، صدا، لحن و دستورالعمل‌های پیام‌رسانی برند را مشخص می‌کند، به اشتراک بگذارید.</v>
      </c>
      <c r="H5933" s="1"/>
      <c r="I5933" s="1"/>
      <c r="J5933" s="1"/>
      <c r="K5933" s="1"/>
      <c r="L5933" s="1"/>
      <c r="M5933" s="1"/>
      <c r="N5933" s="1"/>
      <c r="O5933" s="1"/>
      <c r="P5933" s="1"/>
      <c r="Q5933" s="1"/>
      <c r="R5933" s="1"/>
      <c r="S5933" s="1"/>
      <c r="T5933" s="1"/>
      <c r="U5933" s="1"/>
      <c r="V5933" s="1"/>
      <c r="W5933" s="1"/>
      <c r="X5933" s="1"/>
      <c r="Y5933" s="1"/>
      <c r="Z5933" s="1"/>
      <c r="AA5933" s="1"/>
      <c r="AB5933" s="1"/>
    </row>
    <row r="5934" ht="50.25" customHeight="1">
      <c r="A5934" s="12">
        <v>5930.0</v>
      </c>
      <c r="B5934" s="13" t="s">
        <v>5926</v>
      </c>
      <c r="C5934" s="18" t="s">
        <v>5956</v>
      </c>
      <c r="D5934" s="1"/>
      <c r="E5934" s="1"/>
      <c r="F5934" s="1" t="str">
        <f>IFERROR(__xludf.DUMMYFUNCTION("GOOGLETRANSLATE(B5934, ""en"", ""fa"")
"),"برندسازی و طراحی لوگو")</f>
        <v>برندسازی و طراحی لوگو</v>
      </c>
      <c r="G5934" s="1" t="str">
        <f>IFERROR(__xludf.DUMMYFUNCTION("GOOGLETRANSLATE(C5934, ""en"", ""fa"")
"),"نقش بازخورد مشتری را در تکامل و اصلاح هویت برند در طول زمان بررسی کنید.")</f>
        <v>نقش بازخورد مشتری را در تکامل و اصلاح هویت برند در طول زمان بررسی کنید.</v>
      </c>
      <c r="H5934" s="1"/>
      <c r="I5934" s="1"/>
      <c r="J5934" s="1"/>
      <c r="K5934" s="1"/>
      <c r="L5934" s="1"/>
      <c r="M5934" s="1"/>
      <c r="N5934" s="1"/>
      <c r="O5934" s="1"/>
      <c r="P5934" s="1"/>
      <c r="Q5934" s="1"/>
      <c r="R5934" s="1"/>
      <c r="S5934" s="1"/>
      <c r="T5934" s="1"/>
      <c r="U5934" s="1"/>
      <c r="V5934" s="1"/>
      <c r="W5934" s="1"/>
      <c r="X5934" s="1"/>
      <c r="Y5934" s="1"/>
      <c r="Z5934" s="1"/>
      <c r="AA5934" s="1"/>
      <c r="AB5934" s="1"/>
    </row>
    <row r="5935" ht="50.25" customHeight="1">
      <c r="A5935" s="12">
        <v>5931.0</v>
      </c>
      <c r="B5935" s="13" t="s">
        <v>5926</v>
      </c>
      <c r="C5935" s="18" t="s">
        <v>5957</v>
      </c>
      <c r="D5935" s="1"/>
      <c r="E5935" s="1"/>
      <c r="F5935" s="1" t="str">
        <f>IFERROR(__xludf.DUMMYFUNCTION("GOOGLETRANSLATE(B5935, ""en"", ""fa"")
"),"برندسازی و طراحی لوگو")</f>
        <v>برندسازی و طراحی لوگو</v>
      </c>
      <c r="G5935" s="1" t="str">
        <f>IFERROR(__xludf.DUMMYFUNCTION("GOOGLETRANSLATE(C5935, ""en"", ""fa"")
"),"در مورد تأثیر داستان سرایی برند در ایجاد ارتباطات عاطفی با مخاطب هدف و ایجاد وفاداری به برند فکر کنید.")</f>
        <v>در مورد تأثیر داستان سرایی برند در ایجاد ارتباطات عاطفی با مخاطب هدف و ایجاد وفاداری به برند فکر کنید.</v>
      </c>
      <c r="H5935" s="1"/>
      <c r="I5935" s="1"/>
      <c r="J5935" s="1"/>
      <c r="K5935" s="1"/>
      <c r="L5935" s="1"/>
      <c r="M5935" s="1"/>
      <c r="N5935" s="1"/>
      <c r="O5935" s="1"/>
      <c r="P5935" s="1"/>
      <c r="Q5935" s="1"/>
      <c r="R5935" s="1"/>
      <c r="S5935" s="1"/>
      <c r="T5935" s="1"/>
      <c r="U5935" s="1"/>
      <c r="V5935" s="1"/>
      <c r="W5935" s="1"/>
      <c r="X5935" s="1"/>
      <c r="Y5935" s="1"/>
      <c r="Z5935" s="1"/>
      <c r="AA5935" s="1"/>
      <c r="AB5935" s="1"/>
    </row>
    <row r="5936" ht="50.25" customHeight="1">
      <c r="A5936" s="12">
        <v>5932.0</v>
      </c>
      <c r="B5936" s="13" t="s">
        <v>5926</v>
      </c>
      <c r="C5936" s="18" t="s">
        <v>5958</v>
      </c>
      <c r="D5936" s="1"/>
      <c r="E5936" s="1"/>
      <c r="F5936" s="1" t="str">
        <f>IFERROR(__xludf.DUMMYFUNCTION("GOOGLETRANSLATE(B5936, ""en"", ""fa"")
"),"برندسازی و طراحی لوگو")</f>
        <v>برندسازی و طراحی لوگو</v>
      </c>
      <c r="G5936" s="1" t="str">
        <f>IFERROR(__xludf.DUMMYFUNCTION("GOOGLETRANSLATE(C5936, ""en"", ""fa"")
"),"درباره تاثیر بسته بندی برند در جلب توجه، انتقال ارزش های برند و افزایش تجربه کلی مشتری بحث کنید.")</f>
        <v>درباره تاثیر بسته بندی برند در جلب توجه، انتقال ارزش های برند و افزایش تجربه کلی مشتری بحث کنید.</v>
      </c>
      <c r="H5936" s="1"/>
      <c r="I5936" s="1"/>
      <c r="J5936" s="1"/>
      <c r="K5936" s="1"/>
      <c r="L5936" s="1"/>
      <c r="M5936" s="1"/>
      <c r="N5936" s="1"/>
      <c r="O5936" s="1"/>
      <c r="P5936" s="1"/>
      <c r="Q5936" s="1"/>
      <c r="R5936" s="1"/>
      <c r="S5936" s="1"/>
      <c r="T5936" s="1"/>
      <c r="U5936" s="1"/>
      <c r="V5936" s="1"/>
      <c r="W5936" s="1"/>
      <c r="X5936" s="1"/>
      <c r="Y5936" s="1"/>
      <c r="Z5936" s="1"/>
      <c r="AA5936" s="1"/>
      <c r="AB5936" s="1"/>
    </row>
    <row r="5937" ht="50.25" customHeight="1">
      <c r="A5937" s="12">
        <v>5933.0</v>
      </c>
      <c r="B5937" s="13" t="s">
        <v>5926</v>
      </c>
      <c r="C5937" s="18" t="s">
        <v>5959</v>
      </c>
      <c r="D5937" s="1"/>
      <c r="E5937" s="1"/>
      <c r="F5937" s="1" t="str">
        <f>IFERROR(__xludf.DUMMYFUNCTION("GOOGLETRANSLATE(B5937, ""en"", ""fa"")
"),"برندسازی و طراحی لوگو")</f>
        <v>برندسازی و طراحی لوگو</v>
      </c>
      <c r="G5937" s="1" t="str">
        <f>IFERROR(__xludf.DUMMYFUNCTION("GOOGLETRANSLATE(C5937, ""en"", ""fa"")
"),"تکنیک هایی را برای انجام تجزیه و تحلیل رقبا و شناسایی نقاط فروش منحصر به فرد که یک برند را از رقبای خود متمایز می کند، به اشتراک بگذارید.")</f>
        <v>تکنیک هایی را برای انجام تجزیه و تحلیل رقبا و شناسایی نقاط فروش منحصر به فرد که یک برند را از رقبای خود متمایز می کند، به اشتراک بگذارید.</v>
      </c>
      <c r="H5937" s="1"/>
      <c r="I5937" s="1"/>
      <c r="J5937" s="1"/>
      <c r="K5937" s="1"/>
      <c r="L5937" s="1"/>
      <c r="M5937" s="1"/>
      <c r="N5937" s="1"/>
      <c r="O5937" s="1"/>
      <c r="P5937" s="1"/>
      <c r="Q5937" s="1"/>
      <c r="R5937" s="1"/>
      <c r="S5937" s="1"/>
      <c r="T5937" s="1"/>
      <c r="U5937" s="1"/>
      <c r="V5937" s="1"/>
      <c r="W5937" s="1"/>
      <c r="X5937" s="1"/>
      <c r="Y5937" s="1"/>
      <c r="Z5937" s="1"/>
      <c r="AA5937" s="1"/>
      <c r="AB5937" s="1"/>
    </row>
    <row r="5938" ht="50.25" customHeight="1">
      <c r="A5938" s="12">
        <v>5934.0</v>
      </c>
      <c r="B5938" s="13" t="s">
        <v>5926</v>
      </c>
      <c r="C5938" s="18" t="s">
        <v>5960</v>
      </c>
      <c r="D5938" s="1"/>
      <c r="E5938" s="1"/>
      <c r="F5938" s="1" t="str">
        <f>IFERROR(__xludf.DUMMYFUNCTION("GOOGLETRANSLATE(B5938, ""en"", ""fa"")
"),"برندسازی و طراحی لوگو")</f>
        <v>برندسازی و طراحی لوگو</v>
      </c>
      <c r="G5938" s="1" t="str">
        <f>IFERROR(__xludf.DUMMYFUNCTION("GOOGLETRANSLATE(C5938, ""en"", ""fa"")
"),"اهمیت شفافیت و اعتبار برند را در ایجاد اعتماد و اعتبار نزد مخاطب هدف بررسی کنید.")</f>
        <v>اهمیت شفافیت و اعتبار برند را در ایجاد اعتماد و اعتبار نزد مخاطب هدف بررسی کنید.</v>
      </c>
      <c r="H5938" s="1"/>
      <c r="I5938" s="1"/>
      <c r="J5938" s="1"/>
      <c r="K5938" s="1"/>
      <c r="L5938" s="1"/>
      <c r="M5938" s="1"/>
      <c r="N5938" s="1"/>
      <c r="O5938" s="1"/>
      <c r="P5938" s="1"/>
      <c r="Q5938" s="1"/>
      <c r="R5938" s="1"/>
      <c r="S5938" s="1"/>
      <c r="T5938" s="1"/>
      <c r="U5938" s="1"/>
      <c r="V5938" s="1"/>
      <c r="W5938" s="1"/>
      <c r="X5938" s="1"/>
      <c r="Y5938" s="1"/>
      <c r="Z5938" s="1"/>
      <c r="AA5938" s="1"/>
      <c r="AB5938" s="1"/>
    </row>
    <row r="5939" ht="50.25" customHeight="1">
      <c r="A5939" s="12">
        <v>5935.0</v>
      </c>
      <c r="B5939" s="13" t="s">
        <v>5926</v>
      </c>
      <c r="C5939" s="18" t="s">
        <v>5961</v>
      </c>
      <c r="D5939" s="1"/>
      <c r="E5939" s="1"/>
      <c r="F5939" s="1" t="str">
        <f>IFERROR(__xludf.DUMMYFUNCTION("GOOGLETRANSLATE(B5939, ""en"", ""fa"")
"),"برندسازی و طراحی لوگو")</f>
        <v>برندسازی و طراحی لوگو</v>
      </c>
      <c r="G5939" s="1" t="str">
        <f>IFERROR(__xludf.DUMMYFUNCTION("GOOGLETRANSLATE(C5939, ""en"", ""fa"")
"),"به نقش تایپوگرافی در بیان شخصیت برند و برانگیختن احساسات یا تداعی های خاص فکر کنید.")</f>
        <v>به نقش تایپوگرافی در بیان شخصیت برند و برانگیختن احساسات یا تداعی های خاص فکر کنید.</v>
      </c>
      <c r="H5939" s="1"/>
      <c r="I5939" s="1"/>
      <c r="J5939" s="1"/>
      <c r="K5939" s="1"/>
      <c r="L5939" s="1"/>
      <c r="M5939" s="1"/>
      <c r="N5939" s="1"/>
      <c r="O5939" s="1"/>
      <c r="P5939" s="1"/>
      <c r="Q5939" s="1"/>
      <c r="R5939" s="1"/>
      <c r="S5939" s="1"/>
      <c r="T5939" s="1"/>
      <c r="U5939" s="1"/>
      <c r="V5939" s="1"/>
      <c r="W5939" s="1"/>
      <c r="X5939" s="1"/>
      <c r="Y5939" s="1"/>
      <c r="Z5939" s="1"/>
      <c r="AA5939" s="1"/>
      <c r="AB5939" s="1"/>
    </row>
    <row r="5940" ht="50.25" customHeight="1">
      <c r="A5940" s="12">
        <v>5936.0</v>
      </c>
      <c r="B5940" s="13" t="s">
        <v>5926</v>
      </c>
      <c r="C5940" s="18" t="s">
        <v>5962</v>
      </c>
      <c r="D5940" s="1"/>
      <c r="E5940" s="1"/>
      <c r="F5940" s="1" t="str">
        <f>IFERROR(__xludf.DUMMYFUNCTION("GOOGLETRANSLATE(B5940, ""en"", ""fa"")
"),"برندسازی و طراحی لوگو")</f>
        <v>برندسازی و طراحی لوگو</v>
      </c>
      <c r="G5940" s="1" t="str">
        <f>IFERROR(__xludf.DUMMYFUNCTION("GOOGLETRANSLATE(C5940, ""en"", ""fa"")
"),"در مورد ملاحظات و بهترین شیوه‌ها برای طراحی یک لوگوی واکنش‌گرا که به خوبی با پلتفرم‌های دیجیتال و اندازه‌های صفحه‌نمایش مختلف سازگار است، بحث کنید.")</f>
        <v>در مورد ملاحظات و بهترین شیوه‌ها برای طراحی یک لوگوی واکنش‌گرا که به خوبی با پلتفرم‌های دیجیتال و اندازه‌های صفحه‌نمایش مختلف سازگار است، بحث کنید.</v>
      </c>
      <c r="H5940" s="1"/>
      <c r="I5940" s="1"/>
      <c r="J5940" s="1"/>
      <c r="K5940" s="1"/>
      <c r="L5940" s="1"/>
      <c r="M5940" s="1"/>
      <c r="N5940" s="1"/>
      <c r="O5940" s="1"/>
      <c r="P5940" s="1"/>
      <c r="Q5940" s="1"/>
      <c r="R5940" s="1"/>
      <c r="S5940" s="1"/>
      <c r="T5940" s="1"/>
      <c r="U5940" s="1"/>
      <c r="V5940" s="1"/>
      <c r="W5940" s="1"/>
      <c r="X5940" s="1"/>
      <c r="Y5940" s="1"/>
      <c r="Z5940" s="1"/>
      <c r="AA5940" s="1"/>
      <c r="AB5940" s="1"/>
    </row>
    <row r="5941" ht="50.25" customHeight="1">
      <c r="A5941" s="12">
        <v>5937.0</v>
      </c>
      <c r="B5941" s="13" t="s">
        <v>5926</v>
      </c>
      <c r="C5941" s="18" t="s">
        <v>5963</v>
      </c>
      <c r="D5941" s="1"/>
      <c r="E5941" s="1"/>
      <c r="F5941" s="1" t="str">
        <f>IFERROR(__xludf.DUMMYFUNCTION("GOOGLETRANSLATE(B5941, ""en"", ""fa"")
"),"برندسازی و طراحی لوگو")</f>
        <v>برندسازی و طراحی لوگو</v>
      </c>
      <c r="G5941" s="1" t="str">
        <f>IFERROR(__xludf.DUMMYFUNCTION("GOOGLETRANSLATE(C5941, ""en"", ""fa"")
"),"نکاتی را برای ایجاد یک شعار یا شعار برند قوی به اشتراک بگذارید که جوهر برند را به تصویر بکشد و با مخاطب هدف طنین انداز شود.")</f>
        <v>نکاتی را برای ایجاد یک شعار یا شعار برند قوی به اشتراک بگذارید که جوهر برند را به تصویر بکشد و با مخاطب هدف طنین انداز شود.</v>
      </c>
      <c r="H5941" s="1"/>
      <c r="I5941" s="1"/>
      <c r="J5941" s="1"/>
      <c r="K5941" s="1"/>
      <c r="L5941" s="1"/>
      <c r="M5941" s="1"/>
      <c r="N5941" s="1"/>
      <c r="O5941" s="1"/>
      <c r="P5941" s="1"/>
      <c r="Q5941" s="1"/>
      <c r="R5941" s="1"/>
      <c r="S5941" s="1"/>
      <c r="T5941" s="1"/>
      <c r="U5941" s="1"/>
      <c r="V5941" s="1"/>
      <c r="W5941" s="1"/>
      <c r="X5941" s="1"/>
      <c r="Y5941" s="1"/>
      <c r="Z5941" s="1"/>
      <c r="AA5941" s="1"/>
      <c r="AB5941" s="1"/>
    </row>
    <row r="5942" ht="50.25" customHeight="1">
      <c r="A5942" s="12">
        <v>5938.0</v>
      </c>
      <c r="B5942" s="13" t="s">
        <v>5926</v>
      </c>
      <c r="C5942" s="18" t="s">
        <v>5964</v>
      </c>
      <c r="D5942" s="1"/>
      <c r="E5942" s="1"/>
      <c r="F5942" s="1" t="str">
        <f>IFERROR(__xludf.DUMMYFUNCTION("GOOGLETRANSLATE(B5942, ""en"", ""fa"")
"),"برندسازی و طراحی لوگو")</f>
        <v>برندسازی و طراحی لوگو</v>
      </c>
      <c r="G5942" s="1" t="str">
        <f>IFERROR(__xludf.DUMMYFUNCTION("GOOGLETRANSLATE(C5942, ""en"", ""fa"")
"),"مفهوم کهن الگوهای برند و چگونگی استفاده از آنها برای ایجاد هویت و داستان سرایی یک برند تجاری را بررسی کنید.")</f>
        <v>مفهوم کهن الگوهای برند و چگونگی استفاده از آنها برای ایجاد هویت و داستان سرایی یک برند تجاری را بررسی کنید.</v>
      </c>
      <c r="H5942" s="1"/>
      <c r="I5942" s="1"/>
      <c r="J5942" s="1"/>
      <c r="K5942" s="1"/>
      <c r="L5942" s="1"/>
      <c r="M5942" s="1"/>
      <c r="N5942" s="1"/>
      <c r="O5942" s="1"/>
      <c r="P5942" s="1"/>
      <c r="Q5942" s="1"/>
      <c r="R5942" s="1"/>
      <c r="S5942" s="1"/>
      <c r="T5942" s="1"/>
      <c r="U5942" s="1"/>
      <c r="V5942" s="1"/>
      <c r="W5942" s="1"/>
      <c r="X5942" s="1"/>
      <c r="Y5942" s="1"/>
      <c r="Z5942" s="1"/>
      <c r="AA5942" s="1"/>
      <c r="AB5942" s="1"/>
    </row>
    <row r="5943" ht="50.25" customHeight="1">
      <c r="A5943" s="12">
        <v>5939.0</v>
      </c>
      <c r="B5943" s="13" t="s">
        <v>5926</v>
      </c>
      <c r="C5943" s="18" t="s">
        <v>5965</v>
      </c>
      <c r="D5943" s="1"/>
      <c r="E5943" s="1"/>
      <c r="F5943" s="1" t="str">
        <f>IFERROR(__xludf.DUMMYFUNCTION("GOOGLETRANSLATE(B5943, ""en"", ""fa"")
"),"برندسازی و طراحی لوگو")</f>
        <v>برندسازی و طراحی لوگو</v>
      </c>
      <c r="G5943" s="1" t="str">
        <f>IFERROR(__xludf.DUMMYFUNCTION("GOOGLETRANSLATE(C5943, ""en"", ""fa"")
"),"به نقش مشارکت و همکاری برند در گسترش دامنه برند و جذب مخاطبان جدید فکر کنید.")</f>
        <v>به نقش مشارکت و همکاری برند در گسترش دامنه برند و جذب مخاطبان جدید فکر کنید.</v>
      </c>
      <c r="H5943" s="1"/>
      <c r="I5943" s="1"/>
      <c r="J5943" s="1"/>
      <c r="K5943" s="1"/>
      <c r="L5943" s="1"/>
      <c r="M5943" s="1"/>
      <c r="N5943" s="1"/>
      <c r="O5943" s="1"/>
      <c r="P5943" s="1"/>
      <c r="Q5943" s="1"/>
      <c r="R5943" s="1"/>
      <c r="S5943" s="1"/>
      <c r="T5943" s="1"/>
      <c r="U5943" s="1"/>
      <c r="V5943" s="1"/>
      <c r="W5943" s="1"/>
      <c r="X5943" s="1"/>
      <c r="Y5943" s="1"/>
      <c r="Z5943" s="1"/>
      <c r="AA5943" s="1"/>
      <c r="AB5943" s="1"/>
    </row>
    <row r="5944" ht="50.25" customHeight="1">
      <c r="A5944" s="12">
        <v>5940.0</v>
      </c>
      <c r="B5944" s="13" t="s">
        <v>5926</v>
      </c>
      <c r="C5944" s="18" t="s">
        <v>5966</v>
      </c>
      <c r="D5944" s="1"/>
      <c r="E5944" s="1"/>
      <c r="F5944" s="1" t="str">
        <f>IFERROR(__xludf.DUMMYFUNCTION("GOOGLETRANSLATE(B5944, ""en"", ""fa"")
"),"برندسازی و طراحی لوگو")</f>
        <v>برندسازی و طراحی لوگو</v>
      </c>
      <c r="G5944" s="1" t="str">
        <f>IFERROR(__xludf.DUMMYFUNCTION("GOOGLETRANSLATE(C5944, ""en"", ""fa"")
"),"درباره تأثیر تجربیات و رویدادهای برند در ایجاد تعاملات به یاد ماندنی و تقویت وفاداری به برند بحث کنید.")</f>
        <v>درباره تأثیر تجربیات و رویدادهای برند در ایجاد تعاملات به یاد ماندنی و تقویت وفاداری به برند بحث کنید.</v>
      </c>
      <c r="H5944" s="1"/>
      <c r="I5944" s="1"/>
      <c r="J5944" s="1"/>
      <c r="K5944" s="1"/>
      <c r="L5944" s="1"/>
      <c r="M5944" s="1"/>
      <c r="N5944" s="1"/>
      <c r="O5944" s="1"/>
      <c r="P5944" s="1"/>
      <c r="Q5944" s="1"/>
      <c r="R5944" s="1"/>
      <c r="S5944" s="1"/>
      <c r="T5944" s="1"/>
      <c r="U5944" s="1"/>
      <c r="V5944" s="1"/>
      <c r="W5944" s="1"/>
      <c r="X5944" s="1"/>
      <c r="Y5944" s="1"/>
      <c r="Z5944" s="1"/>
      <c r="AA5944" s="1"/>
      <c r="AB5944" s="1"/>
    </row>
    <row r="5945" ht="50.25" customHeight="1">
      <c r="A5945" s="12">
        <v>5941.0</v>
      </c>
      <c r="B5945" s="13" t="s">
        <v>5926</v>
      </c>
      <c r="C5945" s="18" t="s">
        <v>5967</v>
      </c>
      <c r="D5945" s="1"/>
      <c r="E5945" s="1"/>
      <c r="F5945" s="1" t="str">
        <f>IFERROR(__xludf.DUMMYFUNCTION("GOOGLETRANSLATE(B5945, ""en"", ""fa"")
"),"برندسازی و طراحی لوگو")</f>
        <v>برندسازی و طراحی لوگو</v>
      </c>
      <c r="G5945" s="1" t="str">
        <f>IFERROR(__xludf.DUMMYFUNCTION("GOOGLETRANSLATE(C5945, ""en"", ""fa"")
"),"تکنیک هایی را برای ایجاد یک بیانیه موقعیت یابی برند که به وضوح ارزش پیشنهادی منحصر به فرد برند را بیان می کند، به اشتراک بگذارید.")</f>
        <v>تکنیک هایی را برای ایجاد یک بیانیه موقعیت یابی برند که به وضوح ارزش پیشنهادی منحصر به فرد برند را بیان می کند، به اشتراک بگذارید.</v>
      </c>
      <c r="H5945" s="1"/>
      <c r="I5945" s="1"/>
      <c r="J5945" s="1"/>
      <c r="K5945" s="1"/>
      <c r="L5945" s="1"/>
      <c r="M5945" s="1"/>
      <c r="N5945" s="1"/>
      <c r="O5945" s="1"/>
      <c r="P5945" s="1"/>
      <c r="Q5945" s="1"/>
      <c r="R5945" s="1"/>
      <c r="S5945" s="1"/>
      <c r="T5945" s="1"/>
      <c r="U5945" s="1"/>
      <c r="V5945" s="1"/>
      <c r="W5945" s="1"/>
      <c r="X5945" s="1"/>
      <c r="Y5945" s="1"/>
      <c r="Z5945" s="1"/>
      <c r="AA5945" s="1"/>
      <c r="AB5945" s="1"/>
    </row>
    <row r="5946" ht="50.25" customHeight="1">
      <c r="A5946" s="12">
        <v>5942.0</v>
      </c>
      <c r="B5946" s="13" t="s">
        <v>5926</v>
      </c>
      <c r="C5946" s="18" t="s">
        <v>5968</v>
      </c>
      <c r="D5946" s="1"/>
      <c r="E5946" s="1"/>
      <c r="F5946" s="1" t="str">
        <f>IFERROR(__xludf.DUMMYFUNCTION("GOOGLETRANSLATE(B5946, ""en"", ""fa"")
"),"برندسازی و طراحی لوگو")</f>
        <v>برندسازی و طراحی لوگو</v>
      </c>
      <c r="G5946" s="1" t="str">
        <f>IFERROR(__xludf.DUMMYFUNCTION("GOOGLETRANSLATE(C5946, ""en"", ""fa"")
"),"نقش برندسازی احساسی و چگونگی ایجاد تجارب برند که احساسات و ارتباطات خاص را برمی انگیزد را بررسی کنید.")</f>
        <v>نقش برندسازی احساسی و چگونگی ایجاد تجارب برند که احساسات و ارتباطات خاص را برمی انگیزد را بررسی کنید.</v>
      </c>
      <c r="H5946" s="1"/>
      <c r="I5946" s="1"/>
      <c r="J5946" s="1"/>
      <c r="K5946" s="1"/>
      <c r="L5946" s="1"/>
      <c r="M5946" s="1"/>
      <c r="N5946" s="1"/>
      <c r="O5946" s="1"/>
      <c r="P5946" s="1"/>
      <c r="Q5946" s="1"/>
      <c r="R5946" s="1"/>
      <c r="S5946" s="1"/>
      <c r="T5946" s="1"/>
      <c r="U5946" s="1"/>
      <c r="V5946" s="1"/>
      <c r="W5946" s="1"/>
      <c r="X5946" s="1"/>
      <c r="Y5946" s="1"/>
      <c r="Z5946" s="1"/>
      <c r="AA5946" s="1"/>
      <c r="AB5946" s="1"/>
    </row>
    <row r="5947" ht="50.25" customHeight="1">
      <c r="A5947" s="12">
        <v>5943.0</v>
      </c>
      <c r="B5947" s="13" t="s">
        <v>5926</v>
      </c>
      <c r="C5947" s="18" t="s">
        <v>5969</v>
      </c>
      <c r="D5947" s="1"/>
      <c r="E5947" s="1"/>
      <c r="F5947" s="1" t="str">
        <f>IFERROR(__xludf.DUMMYFUNCTION("GOOGLETRANSLATE(B5947, ""en"", ""fa"")
"),"برندسازی و طراحی لوگو")</f>
        <v>برندسازی و طراحی لوگو</v>
      </c>
      <c r="G5947" s="1" t="str">
        <f>IFERROR(__xludf.DUMMYFUNCTION("GOOGLETRANSLATE(C5947, ""en"", ""fa"")
"),"به تأثیر روندهای فرهنگی و تغییرات اجتماعی در شکل دادن به استراتژی های برندسازی و زیبایی شناسی طراحی فکر کنید.")</f>
        <v>به تأثیر روندهای فرهنگی و تغییرات اجتماعی در شکل دادن به استراتژی های برندسازی و زیبایی شناسی طراحی فکر کنید.</v>
      </c>
      <c r="H5947" s="1"/>
      <c r="I5947" s="1"/>
      <c r="J5947" s="1"/>
      <c r="K5947" s="1"/>
      <c r="L5947" s="1"/>
      <c r="M5947" s="1"/>
      <c r="N5947" s="1"/>
      <c r="O5947" s="1"/>
      <c r="P5947" s="1"/>
      <c r="Q5947" s="1"/>
      <c r="R5947" s="1"/>
      <c r="S5947" s="1"/>
      <c r="T5947" s="1"/>
      <c r="U5947" s="1"/>
      <c r="V5947" s="1"/>
      <c r="W5947" s="1"/>
      <c r="X5947" s="1"/>
      <c r="Y5947" s="1"/>
      <c r="Z5947" s="1"/>
      <c r="AA5947" s="1"/>
      <c r="AB5947" s="1"/>
    </row>
    <row r="5948" ht="50.25" customHeight="1">
      <c r="A5948" s="12">
        <v>5944.0</v>
      </c>
      <c r="B5948" s="13" t="s">
        <v>5926</v>
      </c>
      <c r="C5948" s="18" t="s">
        <v>5970</v>
      </c>
      <c r="D5948" s="1"/>
      <c r="E5948" s="1"/>
      <c r="F5948" s="1" t="str">
        <f>IFERROR(__xludf.DUMMYFUNCTION("GOOGLETRANSLATE(B5948, ""en"", ""fa"")
"),"برندسازی و طراحی لوگو")</f>
        <v>برندسازی و طراحی لوگو</v>
      </c>
      <c r="G5948" s="1" t="str">
        <f>IFERROR(__xludf.DUMMYFUNCTION("GOOGLETRANSLATE(C5948, ""en"", ""fa"")
"),"در مورد اهمیت ثبات برند در ایجاد اعتماد و شناخت در ذهن مصرف کنندگان بحث کنید.")</f>
        <v>در مورد اهمیت ثبات برند در ایجاد اعتماد و شناخت در ذهن مصرف کنندگان بحث کنید.</v>
      </c>
      <c r="H5948" s="1"/>
      <c r="I5948" s="1"/>
      <c r="J5948" s="1"/>
      <c r="K5948" s="1"/>
      <c r="L5948" s="1"/>
      <c r="M5948" s="1"/>
      <c r="N5948" s="1"/>
      <c r="O5948" s="1"/>
      <c r="P5948" s="1"/>
      <c r="Q5948" s="1"/>
      <c r="R5948" s="1"/>
      <c r="S5948" s="1"/>
      <c r="T5948" s="1"/>
      <c r="U5948" s="1"/>
      <c r="V5948" s="1"/>
      <c r="W5948" s="1"/>
      <c r="X5948" s="1"/>
      <c r="Y5948" s="1"/>
      <c r="Z5948" s="1"/>
      <c r="AA5948" s="1"/>
      <c r="AB5948" s="1"/>
    </row>
    <row r="5949" ht="50.25" customHeight="1">
      <c r="A5949" s="12">
        <v>5945.0</v>
      </c>
      <c r="B5949" s="13" t="s">
        <v>5926</v>
      </c>
      <c r="C5949" s="18" t="s">
        <v>5971</v>
      </c>
      <c r="D5949" s="1"/>
      <c r="E5949" s="1"/>
      <c r="F5949" s="1" t="str">
        <f>IFERROR(__xludf.DUMMYFUNCTION("GOOGLETRANSLATE(B5949, ""en"", ""fa"")
"),"برندسازی و طراحی لوگو")</f>
        <v>برندسازی و طراحی لوگو</v>
      </c>
      <c r="G5949" s="1" t="str">
        <f>IFERROR(__xludf.DUMMYFUNCTION("GOOGLETRANSLATE(C5949, ""en"", ""fa"")
"),"نکاتی را برای انجام ممیزی برند برای ارزیابی همسویی ادراک برند با اهداف و ارزش های برند به اشتراک بگذارید.")</f>
        <v>نکاتی را برای انجام ممیزی برند برای ارزیابی همسویی ادراک برند با اهداف و ارزش های برند به اشتراک بگذارید.</v>
      </c>
      <c r="H5949" s="1"/>
      <c r="I5949" s="1"/>
      <c r="J5949" s="1"/>
      <c r="K5949" s="1"/>
      <c r="L5949" s="1"/>
      <c r="M5949" s="1"/>
      <c r="N5949" s="1"/>
      <c r="O5949" s="1"/>
      <c r="P5949" s="1"/>
      <c r="Q5949" s="1"/>
      <c r="R5949" s="1"/>
      <c r="S5949" s="1"/>
      <c r="T5949" s="1"/>
      <c r="U5949" s="1"/>
      <c r="V5949" s="1"/>
      <c r="W5949" s="1"/>
      <c r="X5949" s="1"/>
      <c r="Y5949" s="1"/>
      <c r="Z5949" s="1"/>
      <c r="AA5949" s="1"/>
      <c r="AB5949" s="1"/>
    </row>
    <row r="5950" ht="50.25" customHeight="1">
      <c r="A5950" s="12">
        <v>5946.0</v>
      </c>
      <c r="B5950" s="13" t="s">
        <v>5926</v>
      </c>
      <c r="C5950" s="18" t="s">
        <v>5972</v>
      </c>
      <c r="D5950" s="1"/>
      <c r="E5950" s="1"/>
      <c r="F5950" s="1" t="str">
        <f>IFERROR(__xludf.DUMMYFUNCTION("GOOGLETRANSLATE(B5950, ""en"", ""fa"")
"),"برندسازی و طراحی لوگو")</f>
        <v>برندسازی و طراحی لوگو</v>
      </c>
      <c r="G5950" s="1" t="str">
        <f>IFERROR(__xludf.DUMMYFUNCTION("GOOGLETRANSLATE(C5950, ""en"", ""fa"")
"),"تأثیر پایداری محیطی در هویت برند و چگونگی ترکیب عناصر دوستدار محیط زیست در استراتژی های برندسازی را بررسی کنید.")</f>
        <v>تأثیر پایداری محیطی در هویت برند و چگونگی ترکیب عناصر دوستدار محیط زیست در استراتژی های برندسازی را بررسی کنید.</v>
      </c>
      <c r="H5950" s="1"/>
      <c r="I5950" s="1"/>
      <c r="J5950" s="1"/>
      <c r="K5950" s="1"/>
      <c r="L5950" s="1"/>
      <c r="M5950" s="1"/>
      <c r="N5950" s="1"/>
      <c r="O5950" s="1"/>
      <c r="P5950" s="1"/>
      <c r="Q5950" s="1"/>
      <c r="R5950" s="1"/>
      <c r="S5950" s="1"/>
      <c r="T5950" s="1"/>
      <c r="U5950" s="1"/>
      <c r="V5950" s="1"/>
      <c r="W5950" s="1"/>
      <c r="X5950" s="1"/>
      <c r="Y5950" s="1"/>
      <c r="Z5950" s="1"/>
      <c r="AA5950" s="1"/>
      <c r="AB5950" s="1"/>
    </row>
    <row r="5951" ht="50.25" customHeight="1">
      <c r="A5951" s="12">
        <v>5947.0</v>
      </c>
      <c r="B5951" s="13" t="s">
        <v>5926</v>
      </c>
      <c r="C5951" s="18" t="s">
        <v>5973</v>
      </c>
      <c r="D5951" s="1"/>
      <c r="E5951" s="1"/>
      <c r="F5951" s="1" t="str">
        <f>IFERROR(__xludf.DUMMYFUNCTION("GOOGLETRANSLATE(B5951, ""en"", ""fa"")
"),"برندسازی و طراحی لوگو")</f>
        <v>برندسازی و طراحی لوگو</v>
      </c>
      <c r="G5951" s="1" t="str">
        <f>IFERROR(__xludf.DUMMYFUNCTION("GOOGLETRANSLATE(C5951, ""en"", ""fa"")
"),"در مورد ملاحظات و بهترین شیوه‌ها برای طراحی یک لوگوی واکنش‌گرا که به خوبی با پلتفرم‌های دیجیتال و اندازه‌های صفحه‌نمایش مختلف سازگار است، بحث کنید.")</f>
        <v>در مورد ملاحظات و بهترین شیوه‌ها برای طراحی یک لوگوی واکنش‌گرا که به خوبی با پلتفرم‌های دیجیتال و اندازه‌های صفحه‌نمایش مختلف سازگار است، بحث کنید.</v>
      </c>
      <c r="H5951" s="1"/>
      <c r="I5951" s="1"/>
      <c r="J5951" s="1"/>
      <c r="K5951" s="1"/>
      <c r="L5951" s="1"/>
      <c r="M5951" s="1"/>
      <c r="N5951" s="1"/>
      <c r="O5951" s="1"/>
      <c r="P5951" s="1"/>
      <c r="Q5951" s="1"/>
      <c r="R5951" s="1"/>
      <c r="S5951" s="1"/>
      <c r="T5951" s="1"/>
      <c r="U5951" s="1"/>
      <c r="V5951" s="1"/>
      <c r="W5951" s="1"/>
      <c r="X5951" s="1"/>
      <c r="Y5951" s="1"/>
      <c r="Z5951" s="1"/>
      <c r="AA5951" s="1"/>
      <c r="AB5951" s="1"/>
    </row>
    <row r="5952" ht="50.25" customHeight="1">
      <c r="A5952" s="12">
        <v>5948.0</v>
      </c>
      <c r="B5952" s="13" t="s">
        <v>5926</v>
      </c>
      <c r="C5952" s="18" t="s">
        <v>5974</v>
      </c>
      <c r="D5952" s="1"/>
      <c r="E5952" s="1"/>
      <c r="F5952" s="1" t="str">
        <f>IFERROR(__xludf.DUMMYFUNCTION("GOOGLETRANSLATE(B5952, ""en"", ""fa"")
"),"برندسازی و طراحی لوگو")</f>
        <v>برندسازی و طراحی لوگو</v>
      </c>
      <c r="G5952" s="1" t="str">
        <f>IFERROR(__xludf.DUMMYFUNCTION("GOOGLETRANSLATE(C5952, ""en"", ""fa"")
"),"در مورد نقش داستان سرایی برند در ایجاد یک روایت قانع کننده که با مخاطب هدف طنین انداز می شود، فکر کنید.")</f>
        <v>در مورد نقش داستان سرایی برند در ایجاد یک روایت قانع کننده که با مخاطب هدف طنین انداز می شود، فکر کنید.</v>
      </c>
      <c r="H5952" s="1"/>
      <c r="I5952" s="1"/>
      <c r="J5952" s="1"/>
      <c r="K5952" s="1"/>
      <c r="L5952" s="1"/>
      <c r="M5952" s="1"/>
      <c r="N5952" s="1"/>
      <c r="O5952" s="1"/>
      <c r="P5952" s="1"/>
      <c r="Q5952" s="1"/>
      <c r="R5952" s="1"/>
      <c r="S5952" s="1"/>
      <c r="T5952" s="1"/>
      <c r="U5952" s="1"/>
      <c r="V5952" s="1"/>
      <c r="W5952" s="1"/>
      <c r="X5952" s="1"/>
      <c r="Y5952" s="1"/>
      <c r="Z5952" s="1"/>
      <c r="AA5952" s="1"/>
      <c r="AB5952" s="1"/>
    </row>
    <row r="5953" ht="50.25" customHeight="1">
      <c r="A5953" s="12">
        <v>5949.0</v>
      </c>
      <c r="B5953" s="13" t="s">
        <v>5926</v>
      </c>
      <c r="C5953" s="18" t="s">
        <v>5975</v>
      </c>
      <c r="D5953" s="1"/>
      <c r="E5953" s="1"/>
      <c r="F5953" s="1" t="str">
        <f>IFERROR(__xludf.DUMMYFUNCTION("GOOGLETRANSLATE(B5953, ""en"", ""fa"")
"),"برندسازی و طراحی لوگو")</f>
        <v>برندسازی و طراحی لوگو</v>
      </c>
      <c r="G5953" s="1" t="str">
        <f>IFERROR(__xludf.DUMMYFUNCTION("GOOGLETRANSLATE(C5953, ""en"", ""fa"")
"),"در مورد اهمیت تمایز برند و چگونگی ایجاد یک هویت برند منحصر به فرد که شما را از رقبا متمایز می کند، بحث کنید.")</f>
        <v>در مورد اهمیت تمایز برند و چگونگی ایجاد یک هویت برند منحصر به فرد که شما را از رقبا متمایز می کند، بحث کنید.</v>
      </c>
      <c r="H5953" s="1"/>
      <c r="I5953" s="1"/>
      <c r="J5953" s="1"/>
      <c r="K5953" s="1"/>
      <c r="L5953" s="1"/>
      <c r="M5953" s="1"/>
      <c r="N5953" s="1"/>
      <c r="O5953" s="1"/>
      <c r="P5953" s="1"/>
      <c r="Q5953" s="1"/>
      <c r="R5953" s="1"/>
      <c r="S5953" s="1"/>
      <c r="T5953" s="1"/>
      <c r="U5953" s="1"/>
      <c r="V5953" s="1"/>
      <c r="W5953" s="1"/>
      <c r="X5953" s="1"/>
      <c r="Y5953" s="1"/>
      <c r="Z5953" s="1"/>
      <c r="AA5953" s="1"/>
      <c r="AB5953" s="1"/>
    </row>
    <row r="5954" ht="50.25" customHeight="1">
      <c r="A5954" s="12">
        <v>5950.0</v>
      </c>
      <c r="B5954" s="13" t="s">
        <v>5926</v>
      </c>
      <c r="C5954" s="18" t="s">
        <v>5976</v>
      </c>
      <c r="D5954" s="1"/>
      <c r="E5954" s="1"/>
      <c r="F5954" s="1" t="str">
        <f>IFERROR(__xludf.DUMMYFUNCTION("GOOGLETRANSLATE(B5954, ""en"", ""fa"")
"),"برندسازی و طراحی لوگو")</f>
        <v>برندسازی و طراحی لوگو</v>
      </c>
      <c r="G5954" s="1" t="str">
        <f>IFERROR(__xludf.DUMMYFUNCTION("GOOGLETRANSLATE(C5954, ""en"", ""fa"")
"),"تکنیک هایی را برای ایجاد تصاویر به یاد ماندنی برند که تأثیری ماندگار بر مشتریان می گذارد به اشتراک بگذارید.")</f>
        <v>تکنیک هایی را برای ایجاد تصاویر به یاد ماندنی برند که تأثیری ماندگار بر مشتریان می گذارد به اشتراک بگذارید.</v>
      </c>
      <c r="H5954" s="1"/>
      <c r="I5954" s="1"/>
      <c r="J5954" s="1"/>
      <c r="K5954" s="1"/>
      <c r="L5954" s="1"/>
      <c r="M5954" s="1"/>
      <c r="N5954" s="1"/>
      <c r="O5954" s="1"/>
      <c r="P5954" s="1"/>
      <c r="Q5954" s="1"/>
      <c r="R5954" s="1"/>
      <c r="S5954" s="1"/>
      <c r="T5954" s="1"/>
      <c r="U5954" s="1"/>
      <c r="V5954" s="1"/>
      <c r="W5954" s="1"/>
      <c r="X5954" s="1"/>
      <c r="Y5954" s="1"/>
      <c r="Z5954" s="1"/>
      <c r="AA5954" s="1"/>
      <c r="AB5954" s="1"/>
    </row>
    <row r="5955" ht="50.25" customHeight="1">
      <c r="A5955" s="12">
        <v>5951.0</v>
      </c>
      <c r="B5955" s="13" t="s">
        <v>5926</v>
      </c>
      <c r="C5955" s="18" t="s">
        <v>5977</v>
      </c>
      <c r="D5955" s="1"/>
      <c r="E5955" s="1"/>
      <c r="F5955" s="1" t="str">
        <f>IFERROR(__xludf.DUMMYFUNCTION("GOOGLETRANSLATE(B5955, ""en"", ""fa"")
"),"برندسازی و طراحی لوگو")</f>
        <v>برندسازی و طراحی لوگو</v>
      </c>
      <c r="G5955" s="1" t="str">
        <f>IFERROR(__xludf.DUMMYFUNCTION("GOOGLETRANSLATE(C5955, ""en"", ""fa"")
"),"تاثیر انتخاب های تایپوگرافی در طراحی لوگو و اینکه چگونه انتخاب فونت می تواند شخصیت برند را نشان دهد را بررسی کنید.")</f>
        <v>تاثیر انتخاب های تایپوگرافی در طراحی لوگو و اینکه چگونه انتخاب فونت می تواند شخصیت برند را نشان دهد را بررسی کنید.</v>
      </c>
      <c r="H5955" s="1"/>
      <c r="I5955" s="1"/>
      <c r="J5955" s="1"/>
      <c r="K5955" s="1"/>
      <c r="L5955" s="1"/>
      <c r="M5955" s="1"/>
      <c r="N5955" s="1"/>
      <c r="O5955" s="1"/>
      <c r="P5955" s="1"/>
      <c r="Q5955" s="1"/>
      <c r="R5955" s="1"/>
      <c r="S5955" s="1"/>
      <c r="T5955" s="1"/>
      <c r="U5955" s="1"/>
      <c r="V5955" s="1"/>
      <c r="W5955" s="1"/>
      <c r="X5955" s="1"/>
      <c r="Y5955" s="1"/>
      <c r="Z5955" s="1"/>
      <c r="AA5955" s="1"/>
      <c r="AB5955" s="1"/>
    </row>
    <row r="5956" ht="50.25" customHeight="1">
      <c r="A5956" s="12">
        <v>5952.0</v>
      </c>
      <c r="B5956" s="13" t="s">
        <v>5926</v>
      </c>
      <c r="C5956" s="18" t="s">
        <v>5978</v>
      </c>
      <c r="D5956" s="1"/>
      <c r="E5956" s="1"/>
      <c r="F5956" s="1" t="str">
        <f>IFERROR(__xludf.DUMMYFUNCTION("GOOGLETRANSLATE(B5956, ""en"", ""fa"")
"),"برندسازی و طراحی لوگو")</f>
        <v>برندسازی و طراحی لوگو</v>
      </c>
      <c r="G5956" s="1" t="str">
        <f>IFERROR(__xludf.DUMMYFUNCTION("GOOGLETRANSLATE(C5956, ""en"", ""fa"")
"),"به نقش روانشناسی رنگ در برندسازی فکر کنید و اینکه چگونه انتخاب رنگ می تواند احساسات و تداعی های خاصی را برانگیزد.")</f>
        <v>به نقش روانشناسی رنگ در برندسازی فکر کنید و اینکه چگونه انتخاب رنگ می تواند احساسات و تداعی های خاصی را برانگیزد.</v>
      </c>
      <c r="H5956" s="1"/>
      <c r="I5956" s="1"/>
      <c r="J5956" s="1"/>
      <c r="K5956" s="1"/>
      <c r="L5956" s="1"/>
      <c r="M5956" s="1"/>
      <c r="N5956" s="1"/>
      <c r="O5956" s="1"/>
      <c r="P5956" s="1"/>
      <c r="Q5956" s="1"/>
      <c r="R5956" s="1"/>
      <c r="S5956" s="1"/>
      <c r="T5956" s="1"/>
      <c r="U5956" s="1"/>
      <c r="V5956" s="1"/>
      <c r="W5956" s="1"/>
      <c r="X5956" s="1"/>
      <c r="Y5956" s="1"/>
      <c r="Z5956" s="1"/>
      <c r="AA5956" s="1"/>
      <c r="AB5956" s="1"/>
    </row>
    <row r="5957" ht="50.25" customHeight="1">
      <c r="A5957" s="12">
        <v>5953.0</v>
      </c>
      <c r="B5957" s="13" t="s">
        <v>5926</v>
      </c>
      <c r="C5957" s="18" t="s">
        <v>5979</v>
      </c>
      <c r="D5957" s="1"/>
      <c r="E5957" s="1"/>
      <c r="F5957" s="1" t="str">
        <f>IFERROR(__xludf.DUMMYFUNCTION("GOOGLETRANSLATE(B5957, ""en"", ""fa"")
"),"برندسازی و طراحی لوگو")</f>
        <v>برندسازی و طراحی لوگو</v>
      </c>
      <c r="G5957" s="1" t="str">
        <f>IFERROR(__xludf.DUMMYFUNCTION("GOOGLETRANSLATE(C5957, ""en"", ""fa"")
"),"در مورد اهمیت مقیاس پذیری در طراحی لوگو و چگونگی ایجاد یک لوگو که می تواند بدون از دست دادن تاثیر خود اندازه آن را تغییر دهد، بحث کنید.")</f>
        <v>در مورد اهمیت مقیاس پذیری در طراحی لوگو و چگونگی ایجاد یک لوگو که می تواند بدون از دست دادن تاثیر خود اندازه آن را تغییر دهد، بحث کنید.</v>
      </c>
      <c r="H5957" s="1"/>
      <c r="I5957" s="1"/>
      <c r="J5957" s="1"/>
      <c r="K5957" s="1"/>
      <c r="L5957" s="1"/>
      <c r="M5957" s="1"/>
      <c r="N5957" s="1"/>
      <c r="O5957" s="1"/>
      <c r="P5957" s="1"/>
      <c r="Q5957" s="1"/>
      <c r="R5957" s="1"/>
      <c r="S5957" s="1"/>
      <c r="T5957" s="1"/>
      <c r="U5957" s="1"/>
      <c r="V5957" s="1"/>
      <c r="W5957" s="1"/>
      <c r="X5957" s="1"/>
      <c r="Y5957" s="1"/>
      <c r="Z5957" s="1"/>
      <c r="AA5957" s="1"/>
      <c r="AB5957" s="1"/>
    </row>
    <row r="5958" ht="50.25" customHeight="1">
      <c r="A5958" s="12">
        <v>5954.0</v>
      </c>
      <c r="B5958" s="13" t="s">
        <v>5926</v>
      </c>
      <c r="C5958" s="18" t="s">
        <v>5980</v>
      </c>
      <c r="D5958" s="1"/>
      <c r="E5958" s="1"/>
      <c r="F5958" s="1" t="str">
        <f>IFERROR(__xludf.DUMMYFUNCTION("GOOGLETRANSLATE(B5958, ""en"", ""fa"")
"),"برندسازی و طراحی لوگو")</f>
        <v>برندسازی و طراحی لوگو</v>
      </c>
      <c r="G5958" s="1" t="str">
        <f>IFERROR(__xludf.DUMMYFUNCTION("GOOGLETRANSLATE(C5958, ""en"", ""fa"")
"),"نکاتی را برای انجام تحقیقات بازار به اشتراک بگذارید تا ترجیحات و ادراک مخاطبان از برندسازی را درک کنید.")</f>
        <v>نکاتی را برای انجام تحقیقات بازار به اشتراک بگذارید تا ترجیحات و ادراک مخاطبان از برندسازی را درک کنید.</v>
      </c>
      <c r="H5958" s="1"/>
      <c r="I5958" s="1"/>
      <c r="J5958" s="1"/>
      <c r="K5958" s="1"/>
      <c r="L5958" s="1"/>
      <c r="M5958" s="1"/>
      <c r="N5958" s="1"/>
      <c r="O5958" s="1"/>
      <c r="P5958" s="1"/>
      <c r="Q5958" s="1"/>
      <c r="R5958" s="1"/>
      <c r="S5958" s="1"/>
      <c r="T5958" s="1"/>
      <c r="U5958" s="1"/>
      <c r="V5958" s="1"/>
      <c r="W5958" s="1"/>
      <c r="X5958" s="1"/>
      <c r="Y5958" s="1"/>
      <c r="Z5958" s="1"/>
      <c r="AA5958" s="1"/>
      <c r="AB5958" s="1"/>
    </row>
    <row r="5959" ht="50.25" customHeight="1">
      <c r="A5959" s="12">
        <v>5955.0</v>
      </c>
      <c r="B5959" s="13" t="s">
        <v>5926</v>
      </c>
      <c r="C5959" s="18" t="s">
        <v>5981</v>
      </c>
      <c r="D5959" s="1"/>
      <c r="E5959" s="1"/>
      <c r="F5959" s="1" t="str">
        <f>IFERROR(__xludf.DUMMYFUNCTION("GOOGLETRANSLATE(B5959, ""en"", ""fa"")
"),"برندسازی و طراحی لوگو")</f>
        <v>برندسازی و طراحی لوگو</v>
      </c>
      <c r="G5959" s="1" t="str">
        <f>IFERROR(__xludf.DUMMYFUNCTION("GOOGLETRANSLATE(C5959, ""en"", ""fa"")
"),"نقش داستان سرایی را در ایجاد یک روایت برند که مشتریان را درگیر می کند و با آنها طنین انداز می شود، کاوش کنید.")</f>
        <v>نقش داستان سرایی را در ایجاد یک روایت برند که مشتریان را درگیر می کند و با آنها طنین انداز می شود، کاوش کنید.</v>
      </c>
      <c r="H5959" s="1"/>
      <c r="I5959" s="1"/>
      <c r="J5959" s="1"/>
      <c r="K5959" s="1"/>
      <c r="L5959" s="1"/>
      <c r="M5959" s="1"/>
      <c r="N5959" s="1"/>
      <c r="O5959" s="1"/>
      <c r="P5959" s="1"/>
      <c r="Q5959" s="1"/>
      <c r="R5959" s="1"/>
      <c r="S5959" s="1"/>
      <c r="T5959" s="1"/>
      <c r="U5959" s="1"/>
      <c r="V5959" s="1"/>
      <c r="W5959" s="1"/>
      <c r="X5959" s="1"/>
      <c r="Y5959" s="1"/>
      <c r="Z5959" s="1"/>
      <c r="AA5959" s="1"/>
      <c r="AB5959" s="1"/>
    </row>
    <row r="5960" ht="50.25" customHeight="1">
      <c r="A5960" s="12">
        <v>5956.0</v>
      </c>
      <c r="B5960" s="13" t="s">
        <v>5926</v>
      </c>
      <c r="C5960" s="18" t="s">
        <v>5982</v>
      </c>
      <c r="D5960" s="1"/>
      <c r="E5960" s="1"/>
      <c r="F5960" s="1" t="str">
        <f>IFERROR(__xludf.DUMMYFUNCTION("GOOGLETRANSLATE(B5960, ""en"", ""fa"")
"),"برندسازی و طراحی لوگو")</f>
        <v>برندسازی و طراحی لوگو</v>
      </c>
      <c r="G5960" s="1" t="str">
        <f>IFERROR(__xludf.DUMMYFUNCTION("GOOGLETRANSLATE(C5960, ""en"", ""fa"")
"),"اهمیت ثبات برند در تمام نقاط تماس مشتری، از حضور آنلاین گرفته تا بسته بندی و خدمات مشتری را در نظر بگیرید.")</f>
        <v>اهمیت ثبات برند در تمام نقاط تماس مشتری، از حضور آنلاین گرفته تا بسته بندی و خدمات مشتری را در نظر بگیرید.</v>
      </c>
      <c r="H5960" s="1"/>
      <c r="I5960" s="1"/>
      <c r="J5960" s="1"/>
      <c r="K5960" s="1"/>
      <c r="L5960" s="1"/>
      <c r="M5960" s="1"/>
      <c r="N5960" s="1"/>
      <c r="O5960" s="1"/>
      <c r="P5960" s="1"/>
      <c r="Q5960" s="1"/>
      <c r="R5960" s="1"/>
      <c r="S5960" s="1"/>
      <c r="T5960" s="1"/>
      <c r="U5960" s="1"/>
      <c r="V5960" s="1"/>
      <c r="W5960" s="1"/>
      <c r="X5960" s="1"/>
      <c r="Y5960" s="1"/>
      <c r="Z5960" s="1"/>
      <c r="AA5960" s="1"/>
      <c r="AB5960" s="1"/>
    </row>
    <row r="5961" ht="50.25" customHeight="1">
      <c r="A5961" s="12">
        <v>5957.0</v>
      </c>
      <c r="B5961" s="13" t="s">
        <v>5926</v>
      </c>
      <c r="C5961" s="18" t="s">
        <v>5983</v>
      </c>
      <c r="D5961" s="1"/>
      <c r="E5961" s="1"/>
      <c r="F5961" s="1" t="str">
        <f>IFERROR(__xludf.DUMMYFUNCTION("GOOGLETRANSLATE(B5961, ""en"", ""fa"")
"),"برندسازی و طراحی لوگو")</f>
        <v>برندسازی و طراحی لوگو</v>
      </c>
      <c r="G5961" s="1" t="str">
        <f>IFERROR(__xludf.DUMMYFUNCTION("GOOGLETRANSLATE(C5961, ""en"", ""fa"")
"),"در مورد تأثیر سلسله مراتب تایپوگرافی در ایجاد ارتباطات بصری جذاب و خوانا با نام تجاری بحث کنید.")</f>
        <v>در مورد تأثیر سلسله مراتب تایپوگرافی در ایجاد ارتباطات بصری جذاب و خوانا با نام تجاری بحث کنید.</v>
      </c>
      <c r="H5961" s="1"/>
      <c r="I5961" s="1"/>
      <c r="J5961" s="1"/>
      <c r="K5961" s="1"/>
      <c r="L5961" s="1"/>
      <c r="M5961" s="1"/>
      <c r="N5961" s="1"/>
      <c r="O5961" s="1"/>
      <c r="P5961" s="1"/>
      <c r="Q5961" s="1"/>
      <c r="R5961" s="1"/>
      <c r="S5961" s="1"/>
      <c r="T5961" s="1"/>
      <c r="U5961" s="1"/>
      <c r="V5961" s="1"/>
      <c r="W5961" s="1"/>
      <c r="X5961" s="1"/>
      <c r="Y5961" s="1"/>
      <c r="Z5961" s="1"/>
      <c r="AA5961" s="1"/>
      <c r="AB5961" s="1"/>
    </row>
    <row r="5962" ht="50.25" customHeight="1">
      <c r="A5962" s="12">
        <v>5958.0</v>
      </c>
      <c r="B5962" s="13" t="s">
        <v>5926</v>
      </c>
      <c r="C5962" s="18" t="s">
        <v>5984</v>
      </c>
      <c r="D5962" s="1"/>
      <c r="E5962" s="1"/>
      <c r="F5962" s="1" t="str">
        <f>IFERROR(__xludf.DUMMYFUNCTION("GOOGLETRANSLATE(B5962, ""en"", ""fa"")
"),"برندسازی و طراحی لوگو")</f>
        <v>برندسازی و طراحی لوگو</v>
      </c>
      <c r="G5962" s="1" t="str">
        <f>IFERROR(__xludf.DUMMYFUNCTION("GOOGLETRANSLATE(C5962, ""en"", ""fa"")
"),"تکنیک هایی را برای ادغام ارتباط فرهنگی و فراگیری در هویت برند به اشتراک بگذارید تا با مخاطبان مختلف ارتباط برقرار کنید.")</f>
        <v>تکنیک هایی را برای ادغام ارتباط فرهنگی و فراگیری در هویت برند به اشتراک بگذارید تا با مخاطبان مختلف ارتباط برقرار کنید.</v>
      </c>
      <c r="H5962" s="1"/>
      <c r="I5962" s="1"/>
      <c r="J5962" s="1"/>
      <c r="K5962" s="1"/>
      <c r="L5962" s="1"/>
      <c r="M5962" s="1"/>
      <c r="N5962" s="1"/>
      <c r="O5962" s="1"/>
      <c r="P5962" s="1"/>
      <c r="Q5962" s="1"/>
      <c r="R5962" s="1"/>
      <c r="S5962" s="1"/>
      <c r="T5962" s="1"/>
      <c r="U5962" s="1"/>
      <c r="V5962" s="1"/>
      <c r="W5962" s="1"/>
      <c r="X5962" s="1"/>
      <c r="Y5962" s="1"/>
      <c r="Z5962" s="1"/>
      <c r="AA5962" s="1"/>
      <c r="AB5962" s="1"/>
    </row>
    <row r="5963" ht="50.25" customHeight="1">
      <c r="A5963" s="12">
        <v>5959.0</v>
      </c>
      <c r="B5963" s="13" t="s">
        <v>5926</v>
      </c>
      <c r="C5963" s="18" t="s">
        <v>5985</v>
      </c>
      <c r="D5963" s="1"/>
      <c r="E5963" s="1"/>
      <c r="F5963" s="1" t="str">
        <f>IFERROR(__xludf.DUMMYFUNCTION("GOOGLETRANSLATE(B5963, ""en"", ""fa"")
"),"برندسازی و طراحی لوگو")</f>
        <v>برندسازی و طراحی لوگو</v>
      </c>
      <c r="G5963" s="1" t="str">
        <f>IFERROR(__xludf.DUMMYFUNCTION("GOOGLETRANSLATE(C5963, ""en"", ""fa"")
"),"رابطه بین ارزش های برند و وفاداری مشتری و نحوه همسو کردن پیام های برند با ارزش های مخاطب هدف را بررسی کنید.")</f>
        <v>رابطه بین ارزش های برند و وفاداری مشتری و نحوه همسو کردن پیام های برند با ارزش های مخاطب هدف را بررسی کنید.</v>
      </c>
      <c r="H5963" s="1"/>
      <c r="I5963" s="1"/>
      <c r="J5963" s="1"/>
      <c r="K5963" s="1"/>
      <c r="L5963" s="1"/>
      <c r="M5963" s="1"/>
      <c r="N5963" s="1"/>
      <c r="O5963" s="1"/>
      <c r="P5963" s="1"/>
      <c r="Q5963" s="1"/>
      <c r="R5963" s="1"/>
      <c r="S5963" s="1"/>
      <c r="T5963" s="1"/>
      <c r="U5963" s="1"/>
      <c r="V5963" s="1"/>
      <c r="W5963" s="1"/>
      <c r="X5963" s="1"/>
      <c r="Y5963" s="1"/>
      <c r="Z5963" s="1"/>
      <c r="AA5963" s="1"/>
      <c r="AB5963" s="1"/>
    </row>
    <row r="5964" ht="50.25" customHeight="1">
      <c r="A5964" s="12">
        <v>5960.0</v>
      </c>
      <c r="B5964" s="13" t="s">
        <v>5926</v>
      </c>
      <c r="C5964" s="18" t="s">
        <v>5986</v>
      </c>
      <c r="D5964" s="1"/>
      <c r="E5964" s="1"/>
      <c r="F5964" s="1" t="str">
        <f>IFERROR(__xludf.DUMMYFUNCTION("GOOGLETRANSLATE(B5964, ""en"", ""fa"")
"),"برندسازی و طراحی لوگو")</f>
        <v>برندسازی و طراحی لوگو</v>
      </c>
      <c r="G5964" s="1" t="str">
        <f>IFERROR(__xludf.DUMMYFUNCTION("GOOGLETRANSLATE(C5964, ""en"", ""fa"")
"),"در مورد نقش طراحی تجربه برند در ایجاد تعاملات به یاد ماندنی که ارتباطات پایدار با مشتریان ایجاد می کند، فکر کنید.")</f>
        <v>در مورد نقش طراحی تجربه برند در ایجاد تعاملات به یاد ماندنی که ارتباطات پایدار با مشتریان ایجاد می کند، فکر کنید.</v>
      </c>
      <c r="H5964" s="1"/>
      <c r="I5964" s="1"/>
      <c r="J5964" s="1"/>
      <c r="K5964" s="1"/>
      <c r="L5964" s="1"/>
      <c r="M5964" s="1"/>
      <c r="N5964" s="1"/>
      <c r="O5964" s="1"/>
      <c r="P5964" s="1"/>
      <c r="Q5964" s="1"/>
      <c r="R5964" s="1"/>
      <c r="S5964" s="1"/>
      <c r="T5964" s="1"/>
      <c r="U5964" s="1"/>
      <c r="V5964" s="1"/>
      <c r="W5964" s="1"/>
      <c r="X5964" s="1"/>
      <c r="Y5964" s="1"/>
      <c r="Z5964" s="1"/>
      <c r="AA5964" s="1"/>
      <c r="AB5964" s="1"/>
    </row>
    <row r="5965" ht="50.25" customHeight="1">
      <c r="A5965" s="12">
        <v>5961.0</v>
      </c>
      <c r="B5965" s="13" t="s">
        <v>5926</v>
      </c>
      <c r="C5965" s="18" t="s">
        <v>5987</v>
      </c>
      <c r="D5965" s="1"/>
      <c r="E5965" s="1"/>
      <c r="F5965" s="1" t="str">
        <f>IFERROR(__xludf.DUMMYFUNCTION("GOOGLETRANSLATE(B5965, ""en"", ""fa"")
"),"برندسازی و طراحی لوگو")</f>
        <v>برندسازی و طراحی لوگو</v>
      </c>
      <c r="G5965" s="1" t="str">
        <f>IFERROR(__xludf.DUMMYFUNCTION("GOOGLETRANSLATE(C5965, ""en"", ""fa"")
"),"در مورد اهمیت طراحی واکنشگرا در ایجاد یک تجربه نام تجاری بدون درز در دستگاه ها و پلتفرم های مختلف بحث کنید.")</f>
        <v>در مورد اهمیت طراحی واکنشگرا در ایجاد یک تجربه نام تجاری بدون درز در دستگاه ها و پلتفرم های مختلف بحث کنید.</v>
      </c>
      <c r="H5965" s="1"/>
      <c r="I5965" s="1"/>
      <c r="J5965" s="1"/>
      <c r="K5965" s="1"/>
      <c r="L5965" s="1"/>
      <c r="M5965" s="1"/>
      <c r="N5965" s="1"/>
      <c r="O5965" s="1"/>
      <c r="P5965" s="1"/>
      <c r="Q5965" s="1"/>
      <c r="R5965" s="1"/>
      <c r="S5965" s="1"/>
      <c r="T5965" s="1"/>
      <c r="U5965" s="1"/>
      <c r="V5965" s="1"/>
      <c r="W5965" s="1"/>
      <c r="X5965" s="1"/>
      <c r="Y5965" s="1"/>
      <c r="Z5965" s="1"/>
      <c r="AA5965" s="1"/>
      <c r="AB5965" s="1"/>
    </row>
    <row r="5966" ht="50.25" customHeight="1">
      <c r="A5966" s="12">
        <v>5962.0</v>
      </c>
      <c r="B5966" s="13" t="s">
        <v>5926</v>
      </c>
      <c r="C5966" s="18" t="s">
        <v>5988</v>
      </c>
      <c r="D5966" s="1"/>
      <c r="E5966" s="1"/>
      <c r="F5966" s="1" t="str">
        <f>IFERROR(__xludf.DUMMYFUNCTION("GOOGLETRANSLATE(B5966, ""en"", ""fa"")
"),"برندسازی و طراحی لوگو")</f>
        <v>برندسازی و طراحی لوگو</v>
      </c>
      <c r="G5966" s="1" t="str">
        <f>IFERROR(__xludf.DUMMYFUNCTION("GOOGLETRANSLATE(C5966, ""en"", ""fa"")
"),"نکاتی را برای ایجاد یک شخصیت برند قوی که ارزش های برند را منعکس می کند و با مخاطب هدف طنین انداز می کند، به اشتراک بگذارید.")</f>
        <v>نکاتی را برای ایجاد یک شخصیت برند قوی که ارزش های برند را منعکس می کند و با مخاطب هدف طنین انداز می کند، به اشتراک بگذارید.</v>
      </c>
      <c r="H5966" s="1"/>
      <c r="I5966" s="1"/>
      <c r="J5966" s="1"/>
      <c r="K5966" s="1"/>
      <c r="L5966" s="1"/>
      <c r="M5966" s="1"/>
      <c r="N5966" s="1"/>
      <c r="O5966" s="1"/>
      <c r="P5966" s="1"/>
      <c r="Q5966" s="1"/>
      <c r="R5966" s="1"/>
      <c r="S5966" s="1"/>
      <c r="T5966" s="1"/>
      <c r="U5966" s="1"/>
      <c r="V5966" s="1"/>
      <c r="W5966" s="1"/>
      <c r="X5966" s="1"/>
      <c r="Y5966" s="1"/>
      <c r="Z5966" s="1"/>
      <c r="AA5966" s="1"/>
      <c r="AB5966" s="1"/>
    </row>
    <row r="5967" ht="50.25" customHeight="1">
      <c r="A5967" s="12">
        <v>5963.0</v>
      </c>
      <c r="B5967" s="13" t="s">
        <v>5926</v>
      </c>
      <c r="C5967" s="18" t="s">
        <v>5989</v>
      </c>
      <c r="D5967" s="1"/>
      <c r="E5967" s="1"/>
      <c r="F5967" s="1" t="str">
        <f>IFERROR(__xludf.DUMMYFUNCTION("GOOGLETRANSLATE(B5967, ""en"", ""fa"")
"),"برندسازی و طراحی لوگو")</f>
        <v>برندسازی و طراحی لوگو</v>
      </c>
      <c r="G5967" s="1" t="str">
        <f>IFERROR(__xludf.DUMMYFUNCTION("GOOGLETRANSLATE(C5967, ""en"", ""fa"")
"),"تأثیر داستان سرایی برند بر ایجاد ارتباط عاطفی با مشتریان و تقویت وفاداری به برند را بررسی کنید.")</f>
        <v>تأثیر داستان سرایی برند بر ایجاد ارتباط عاطفی با مشتریان و تقویت وفاداری به برند را بررسی کنید.</v>
      </c>
      <c r="H5967" s="1"/>
      <c r="I5967" s="1"/>
      <c r="J5967" s="1"/>
      <c r="K5967" s="1"/>
      <c r="L5967" s="1"/>
      <c r="M5967" s="1"/>
      <c r="N5967" s="1"/>
      <c r="O5967" s="1"/>
      <c r="P5967" s="1"/>
      <c r="Q5967" s="1"/>
      <c r="R5967" s="1"/>
      <c r="S5967" s="1"/>
      <c r="T5967" s="1"/>
      <c r="U5967" s="1"/>
      <c r="V5967" s="1"/>
      <c r="W5967" s="1"/>
      <c r="X5967" s="1"/>
      <c r="Y5967" s="1"/>
      <c r="Z5967" s="1"/>
      <c r="AA5967" s="1"/>
      <c r="AB5967" s="1"/>
    </row>
    <row r="5968" ht="50.25" customHeight="1">
      <c r="A5968" s="12">
        <v>5964.0</v>
      </c>
      <c r="B5968" s="13" t="s">
        <v>5926</v>
      </c>
      <c r="C5968" s="18" t="s">
        <v>5990</v>
      </c>
      <c r="D5968" s="1"/>
      <c r="E5968" s="1"/>
      <c r="F5968" s="1" t="str">
        <f>IFERROR(__xludf.DUMMYFUNCTION("GOOGLETRANSLATE(B5968, ""en"", ""fa"")
"),"برندسازی و طراحی لوگو")</f>
        <v>برندسازی و طراحی لوگو</v>
      </c>
      <c r="G5968" s="1" t="str">
        <f>IFERROR(__xludf.DUMMYFUNCTION("GOOGLETRANSLATE(C5968, ""en"", ""fa"")
"),"در مورد نقش سادگی و مینیمالیسم در طراحی لوگو و اینکه چگونه می تواند هویت نام تجاری جاودانه و همه کاره ایجاد کند، فکر کنید.")</f>
        <v>در مورد نقش سادگی و مینیمالیسم در طراحی لوگو و اینکه چگونه می تواند هویت نام تجاری جاودانه و همه کاره ایجاد کند، فکر کنید.</v>
      </c>
      <c r="H5968" s="1"/>
      <c r="I5968" s="1"/>
      <c r="J5968" s="1"/>
      <c r="K5968" s="1"/>
      <c r="L5968" s="1"/>
      <c r="M5968" s="1"/>
      <c r="N5968" s="1"/>
      <c r="O5968" s="1"/>
      <c r="P5968" s="1"/>
      <c r="Q5968" s="1"/>
      <c r="R5968" s="1"/>
      <c r="S5968" s="1"/>
      <c r="T5968" s="1"/>
      <c r="U5968" s="1"/>
      <c r="V5968" s="1"/>
      <c r="W5968" s="1"/>
      <c r="X5968" s="1"/>
      <c r="Y5968" s="1"/>
      <c r="Z5968" s="1"/>
      <c r="AA5968" s="1"/>
      <c r="AB5968" s="1"/>
    </row>
    <row r="5969" ht="50.25" customHeight="1">
      <c r="A5969" s="12">
        <v>5965.0</v>
      </c>
      <c r="B5969" s="13" t="s">
        <v>5926</v>
      </c>
      <c r="C5969" s="18" t="s">
        <v>5991</v>
      </c>
      <c r="D5969" s="1"/>
      <c r="E5969" s="1"/>
      <c r="F5969" s="1" t="str">
        <f>IFERROR(__xludf.DUMMYFUNCTION("GOOGLETRANSLATE(B5969, ""en"", ""fa"")
"),"برندسازی و طراحی لوگو")</f>
        <v>برندسازی و طراحی لوگو</v>
      </c>
      <c r="G5969" s="1" t="str">
        <f>IFERROR(__xludf.DUMMYFUNCTION("GOOGLETRANSLATE(C5969, ""en"", ""fa"")
"),"در مورد اهمیت انسجام برند و چگونگی اطمینان از ثبات در عناصر برندسازی در کانال های مختلف بازاریابی بحث کنید.")</f>
        <v>در مورد اهمیت انسجام برند و چگونگی اطمینان از ثبات در عناصر برندسازی در کانال های مختلف بازاریابی بحث کنید.</v>
      </c>
      <c r="H5969" s="1"/>
      <c r="I5969" s="1"/>
      <c r="J5969" s="1"/>
      <c r="K5969" s="1"/>
      <c r="L5969" s="1"/>
      <c r="M5969" s="1"/>
      <c r="N5969" s="1"/>
      <c r="O5969" s="1"/>
      <c r="P5969" s="1"/>
      <c r="Q5969" s="1"/>
      <c r="R5969" s="1"/>
      <c r="S5969" s="1"/>
      <c r="T5969" s="1"/>
      <c r="U5969" s="1"/>
      <c r="V5969" s="1"/>
      <c r="W5969" s="1"/>
      <c r="X5969" s="1"/>
      <c r="Y5969" s="1"/>
      <c r="Z5969" s="1"/>
      <c r="AA5969" s="1"/>
      <c r="AB5969" s="1"/>
    </row>
    <row r="5970" ht="50.25" customHeight="1">
      <c r="A5970" s="12">
        <v>5966.0</v>
      </c>
      <c r="B5970" s="13" t="s">
        <v>5926</v>
      </c>
      <c r="C5970" s="18" t="s">
        <v>5992</v>
      </c>
      <c r="D5970" s="1"/>
      <c r="E5970" s="1"/>
      <c r="F5970" s="1" t="str">
        <f>IFERROR(__xludf.DUMMYFUNCTION("GOOGLETRANSLATE(B5970, ""en"", ""fa"")
"),"برندسازی و طراحی لوگو")</f>
        <v>برندسازی و طراحی لوگو</v>
      </c>
      <c r="G5970" s="1" t="str">
        <f>IFERROR(__xludf.DUMMYFUNCTION("GOOGLETRANSLATE(C5970, ""en"", ""fa"")
"),"تکنیک هایی را برای برگزاری کارگاه های تجاری یا جلسات طوفان فکری برای تعریف یا اصلاح هویت و ارزش های برند به اشتراک بگذارید.")</f>
        <v>تکنیک هایی را برای برگزاری کارگاه های تجاری یا جلسات طوفان فکری برای تعریف یا اصلاح هویت و ارزش های برند به اشتراک بگذارید.</v>
      </c>
      <c r="H5970" s="1"/>
      <c r="I5970" s="1"/>
      <c r="J5970" s="1"/>
      <c r="K5970" s="1"/>
      <c r="L5970" s="1"/>
      <c r="M5970" s="1"/>
      <c r="N5970" s="1"/>
      <c r="O5970" s="1"/>
      <c r="P5970" s="1"/>
      <c r="Q5970" s="1"/>
      <c r="R5970" s="1"/>
      <c r="S5970" s="1"/>
      <c r="T5970" s="1"/>
      <c r="U5970" s="1"/>
      <c r="V5970" s="1"/>
      <c r="W5970" s="1"/>
      <c r="X5970" s="1"/>
      <c r="Y5970" s="1"/>
      <c r="Z5970" s="1"/>
      <c r="AA5970" s="1"/>
      <c r="AB5970" s="1"/>
    </row>
    <row r="5971" ht="50.25" customHeight="1">
      <c r="A5971" s="12">
        <v>5967.0</v>
      </c>
      <c r="B5971" s="13" t="s">
        <v>5926</v>
      </c>
      <c r="C5971" s="18" t="s">
        <v>5993</v>
      </c>
      <c r="D5971" s="1"/>
      <c r="E5971" s="1"/>
      <c r="F5971" s="1" t="str">
        <f>IFERROR(__xludf.DUMMYFUNCTION("GOOGLETRANSLATE(B5971, ""en"", ""fa"")
"),"برندسازی و طراحی لوگو")</f>
        <v>برندسازی و طراحی لوگو</v>
      </c>
      <c r="G5971" s="1" t="str">
        <f>IFERROR(__xludf.DUMMYFUNCTION("GOOGLETRANSLATE(C5971, ""en"", ""fa"")
"),"نقش طراحی کاربر محور را در ایجاد تجربیات برندی که نیازها و ترجیحات مخاطب هدف را برآورده می کند، بررسی کنید.")</f>
        <v>نقش طراحی کاربر محور را در ایجاد تجربیات برندی که نیازها و ترجیحات مخاطب هدف را برآورده می کند، بررسی کنید.</v>
      </c>
      <c r="H5971" s="1"/>
      <c r="I5971" s="1"/>
      <c r="J5971" s="1"/>
      <c r="K5971" s="1"/>
      <c r="L5971" s="1"/>
      <c r="M5971" s="1"/>
      <c r="N5971" s="1"/>
      <c r="O5971" s="1"/>
      <c r="P5971" s="1"/>
      <c r="Q5971" s="1"/>
      <c r="R5971" s="1"/>
      <c r="S5971" s="1"/>
      <c r="T5971" s="1"/>
      <c r="U5971" s="1"/>
      <c r="V5971" s="1"/>
      <c r="W5971" s="1"/>
      <c r="X5971" s="1"/>
      <c r="Y5971" s="1"/>
      <c r="Z5971" s="1"/>
      <c r="AA5971" s="1"/>
      <c r="AB5971" s="1"/>
    </row>
    <row r="5972" ht="50.25" customHeight="1">
      <c r="A5972" s="12">
        <v>5968.0</v>
      </c>
      <c r="B5972" s="13" t="s">
        <v>5926</v>
      </c>
      <c r="C5972" s="18" t="s">
        <v>5994</v>
      </c>
      <c r="D5972" s="1"/>
      <c r="E5972" s="1"/>
      <c r="F5972" s="1" t="str">
        <f>IFERROR(__xludf.DUMMYFUNCTION("GOOGLETRANSLATE(B5972, ""en"", ""fa"")
"),"برندسازی و طراحی لوگو")</f>
        <v>برندسازی و طراحی لوگو</v>
      </c>
      <c r="G5972" s="1" t="str">
        <f>IFERROR(__xludf.DUMMYFUNCTION("GOOGLETRANSLATE(C5972, ""en"", ""fa"")
"),"تأثیر تفاوت‌های فرهنگی و زیبایی‌شناسی منطقه‌ای در استراتژی‌های برندسازی جهانی را بررسی کنید.")</f>
        <v>تأثیر تفاوت‌های فرهنگی و زیبایی‌شناسی منطقه‌ای در استراتژی‌های برندسازی جهانی را بررسی کنید.</v>
      </c>
      <c r="H5972" s="1"/>
      <c r="I5972" s="1"/>
      <c r="J5972" s="1"/>
      <c r="K5972" s="1"/>
      <c r="L5972" s="1"/>
      <c r="M5972" s="1"/>
      <c r="N5972" s="1"/>
      <c r="O5972" s="1"/>
      <c r="P5972" s="1"/>
      <c r="Q5972" s="1"/>
      <c r="R5972" s="1"/>
      <c r="S5972" s="1"/>
      <c r="T5972" s="1"/>
      <c r="U5972" s="1"/>
      <c r="V5972" s="1"/>
      <c r="W5972" s="1"/>
      <c r="X5972" s="1"/>
      <c r="Y5972" s="1"/>
      <c r="Z5972" s="1"/>
      <c r="AA5972" s="1"/>
      <c r="AB5972" s="1"/>
    </row>
    <row r="5973" ht="50.25" customHeight="1">
      <c r="A5973" s="12">
        <v>5969.0</v>
      </c>
      <c r="B5973" s="13" t="s">
        <v>5926</v>
      </c>
      <c r="C5973" s="18" t="s">
        <v>5995</v>
      </c>
      <c r="D5973" s="1"/>
      <c r="E5973" s="1"/>
      <c r="F5973" s="1" t="str">
        <f>IFERROR(__xludf.DUMMYFUNCTION("GOOGLETRANSLATE(B5973, ""en"", ""fa"")
"),"برندسازی و طراحی لوگو")</f>
        <v>برندسازی و طراحی لوگو</v>
      </c>
      <c r="G5973" s="1" t="str">
        <f>IFERROR(__xludf.DUMMYFUNCTION("GOOGLETRANSLATE(C5973, ""en"", ""fa"")
"),"در مورد اهمیت تکامل برند و سازگاری با روندهای تغییر بازار و انتظارات مصرف کننده بحث کنید.")</f>
        <v>در مورد اهمیت تکامل برند و سازگاری با روندهای تغییر بازار و انتظارات مصرف کننده بحث کنید.</v>
      </c>
      <c r="H5973" s="1"/>
      <c r="I5973" s="1"/>
      <c r="J5973" s="1"/>
      <c r="K5973" s="1"/>
      <c r="L5973" s="1"/>
      <c r="M5973" s="1"/>
      <c r="N5973" s="1"/>
      <c r="O5973" s="1"/>
      <c r="P5973" s="1"/>
      <c r="Q5973" s="1"/>
      <c r="R5973" s="1"/>
      <c r="S5973" s="1"/>
      <c r="T5973" s="1"/>
      <c r="U5973" s="1"/>
      <c r="V5973" s="1"/>
      <c r="W5973" s="1"/>
      <c r="X5973" s="1"/>
      <c r="Y5973" s="1"/>
      <c r="Z5973" s="1"/>
      <c r="AA5973" s="1"/>
      <c r="AB5973" s="1"/>
    </row>
    <row r="5974" ht="50.25" customHeight="1">
      <c r="A5974" s="12">
        <v>5970.0</v>
      </c>
      <c r="B5974" s="13" t="s">
        <v>5926</v>
      </c>
      <c r="C5974" s="18" t="s">
        <v>5996</v>
      </c>
      <c r="D5974" s="1"/>
      <c r="E5974" s="1"/>
      <c r="F5974" s="1" t="str">
        <f>IFERROR(__xludf.DUMMYFUNCTION("GOOGLETRANSLATE(B5974, ""en"", ""fa"")
"),"برندسازی و طراحی لوگو")</f>
        <v>برندسازی و طراحی لوگو</v>
      </c>
      <c r="G5974" s="1" t="str">
        <f>IFERROR(__xludf.DUMMYFUNCTION("GOOGLETRANSLATE(C5974, ""en"", ""fa"")
"),"نکاتی را برای طراحی یک سبد برند جذاب بصری که قابلیت ها و سبک برند را به نمایش می گذارد، به اشتراک بگذارید.")</f>
        <v>نکاتی را برای طراحی یک سبد برند جذاب بصری که قابلیت ها و سبک برند را به نمایش می گذارد، به اشتراک بگذارید.</v>
      </c>
      <c r="H5974" s="1"/>
      <c r="I5974" s="1"/>
      <c r="J5974" s="1"/>
      <c r="K5974" s="1"/>
      <c r="L5974" s="1"/>
      <c r="M5974" s="1"/>
      <c r="N5974" s="1"/>
      <c r="O5974" s="1"/>
      <c r="P5974" s="1"/>
      <c r="Q5974" s="1"/>
      <c r="R5974" s="1"/>
      <c r="S5974" s="1"/>
      <c r="T5974" s="1"/>
      <c r="U5974" s="1"/>
      <c r="V5974" s="1"/>
      <c r="W5974" s="1"/>
      <c r="X5974" s="1"/>
      <c r="Y5974" s="1"/>
      <c r="Z5974" s="1"/>
      <c r="AA5974" s="1"/>
      <c r="AB5974" s="1"/>
    </row>
    <row r="5975" ht="50.25" customHeight="1">
      <c r="A5975" s="12">
        <v>5971.0</v>
      </c>
      <c r="B5975" s="13" t="s">
        <v>5926</v>
      </c>
      <c r="C5975" s="18" t="s">
        <v>5997</v>
      </c>
      <c r="D5975" s="1"/>
      <c r="E5975" s="1"/>
      <c r="F5975" s="1" t="str">
        <f>IFERROR(__xludf.DUMMYFUNCTION("GOOGLETRANSLATE(B5975, ""en"", ""fa"")
"),"برندسازی و طراحی لوگو")</f>
        <v>برندسازی و طراحی لوگو</v>
      </c>
      <c r="G5975" s="1" t="str">
        <f>IFERROR(__xludf.DUMMYFUNCTION("GOOGLETRANSLATE(C5975, ""en"", ""fa"")
"),"نقش اعتبار برند در ایجاد اعتماد و اعتبار نزد مشتریان را بررسی کنید.")</f>
        <v>نقش اعتبار برند در ایجاد اعتماد و اعتبار نزد مشتریان را بررسی کنید.</v>
      </c>
      <c r="H5975" s="1"/>
      <c r="I5975" s="1"/>
      <c r="J5975" s="1"/>
      <c r="K5975" s="1"/>
      <c r="L5975" s="1"/>
      <c r="M5975" s="1"/>
      <c r="N5975" s="1"/>
      <c r="O5975" s="1"/>
      <c r="P5975" s="1"/>
      <c r="Q5975" s="1"/>
      <c r="R5975" s="1"/>
      <c r="S5975" s="1"/>
      <c r="T5975" s="1"/>
      <c r="U5975" s="1"/>
      <c r="V5975" s="1"/>
      <c r="W5975" s="1"/>
      <c r="X5975" s="1"/>
      <c r="Y5975" s="1"/>
      <c r="Z5975" s="1"/>
      <c r="AA5975" s="1"/>
      <c r="AB5975" s="1"/>
    </row>
    <row r="5976" ht="50.25" customHeight="1">
      <c r="A5976" s="12">
        <v>5972.0</v>
      </c>
      <c r="B5976" s="13" t="s">
        <v>5926</v>
      </c>
      <c r="C5976" s="18" t="s">
        <v>5998</v>
      </c>
      <c r="D5976" s="1"/>
      <c r="E5976" s="1"/>
      <c r="F5976" s="1" t="str">
        <f>IFERROR(__xludf.DUMMYFUNCTION("GOOGLETRANSLATE(B5976, ""en"", ""fa"")
"),"برندسازی و طراحی لوگو")</f>
        <v>برندسازی و طراحی لوگو</v>
      </c>
      <c r="G5976" s="1" t="str">
        <f>IFERROR(__xludf.DUMMYFUNCTION("GOOGLETRANSLATE(C5976, ""en"", ""fa"")
"),"تاثیر ارتباطات برند در شکل دادن به ادراکات و وفاداری مشتری را بررسی کنید.")</f>
        <v>تاثیر ارتباطات برند در شکل دادن به ادراکات و وفاداری مشتری را بررسی کنید.</v>
      </c>
      <c r="H5976" s="1"/>
      <c r="I5976" s="1"/>
      <c r="J5976" s="1"/>
      <c r="K5976" s="1"/>
      <c r="L5976" s="1"/>
      <c r="M5976" s="1"/>
      <c r="N5976" s="1"/>
      <c r="O5976" s="1"/>
      <c r="P5976" s="1"/>
      <c r="Q5976" s="1"/>
      <c r="R5976" s="1"/>
      <c r="S5976" s="1"/>
      <c r="T5976" s="1"/>
      <c r="U5976" s="1"/>
      <c r="V5976" s="1"/>
      <c r="W5976" s="1"/>
      <c r="X5976" s="1"/>
      <c r="Y5976" s="1"/>
      <c r="Z5976" s="1"/>
      <c r="AA5976" s="1"/>
      <c r="AB5976" s="1"/>
    </row>
    <row r="5977" ht="50.25" customHeight="1">
      <c r="A5977" s="12">
        <v>5973.0</v>
      </c>
      <c r="B5977" s="13" t="s">
        <v>5926</v>
      </c>
      <c r="C5977" s="18" t="s">
        <v>5999</v>
      </c>
      <c r="D5977" s="1"/>
      <c r="E5977" s="1"/>
      <c r="F5977" s="1" t="str">
        <f>IFERROR(__xludf.DUMMYFUNCTION("GOOGLETRANSLATE(B5977, ""en"", ""fa"")
"),"برندسازی و طراحی لوگو")</f>
        <v>برندسازی و طراحی لوگو</v>
      </c>
      <c r="G5977" s="1" t="str">
        <f>IFERROR(__xludf.DUMMYFUNCTION("GOOGLETRANSLATE(C5977, ""en"", ""fa"")
"),"در مورد روندهای آینده و فناوری های نوظهور که چشم انداز برندسازی و طراحی لوگو را شکل خواهند داد، بحث کنید.")</f>
        <v>در مورد روندهای آینده و فناوری های نوظهور که چشم انداز برندسازی و طراحی لوگو را شکل خواهند داد، بحث کنید.</v>
      </c>
      <c r="H5977" s="1"/>
      <c r="I5977" s="1"/>
      <c r="J5977" s="1"/>
      <c r="K5977" s="1"/>
      <c r="L5977" s="1"/>
      <c r="M5977" s="1"/>
      <c r="N5977" s="1"/>
      <c r="O5977" s="1"/>
      <c r="P5977" s="1"/>
      <c r="Q5977" s="1"/>
      <c r="R5977" s="1"/>
      <c r="S5977" s="1"/>
      <c r="T5977" s="1"/>
      <c r="U5977" s="1"/>
      <c r="V5977" s="1"/>
      <c r="W5977" s="1"/>
      <c r="X5977" s="1"/>
      <c r="Y5977" s="1"/>
      <c r="Z5977" s="1"/>
      <c r="AA5977" s="1"/>
      <c r="AB5977" s="1"/>
    </row>
    <row r="5978" ht="50.25" customHeight="1">
      <c r="A5978" s="12">
        <v>5974.0</v>
      </c>
      <c r="B5978" s="13" t="s">
        <v>5926</v>
      </c>
      <c r="C5978" s="18" t="s">
        <v>6000</v>
      </c>
      <c r="D5978" s="1"/>
      <c r="E5978" s="1"/>
      <c r="F5978" s="1" t="str">
        <f>IFERROR(__xludf.DUMMYFUNCTION("GOOGLETRANSLATE(B5978, ""en"", ""fa"")
"),"برندسازی و طراحی لوگو")</f>
        <v>برندسازی و طراحی لوگو</v>
      </c>
      <c r="G5978" s="1" t="str">
        <f>IFERROR(__xludf.DUMMYFUNCTION("GOOGLETRANSLATE(C5978, ""en"", ""fa"")
"),"در مورد نقش شخصیت برند و چگونگی تأثیر آن بر ادراک مصرف کننده و وفاداری به برند فکر کنید.")</f>
        <v>در مورد نقش شخصیت برند و چگونگی تأثیر آن بر ادراک مصرف کننده و وفاداری به برند فکر کنید.</v>
      </c>
      <c r="H5978" s="1"/>
      <c r="I5978" s="1"/>
      <c r="J5978" s="1"/>
      <c r="K5978" s="1"/>
      <c r="L5978" s="1"/>
      <c r="M5978" s="1"/>
      <c r="N5978" s="1"/>
      <c r="O5978" s="1"/>
      <c r="P5978" s="1"/>
      <c r="Q5978" s="1"/>
      <c r="R5978" s="1"/>
      <c r="S5978" s="1"/>
      <c r="T5978" s="1"/>
      <c r="U5978" s="1"/>
      <c r="V5978" s="1"/>
      <c r="W5978" s="1"/>
      <c r="X5978" s="1"/>
      <c r="Y5978" s="1"/>
      <c r="Z5978" s="1"/>
      <c r="AA5978" s="1"/>
      <c r="AB5978" s="1"/>
    </row>
    <row r="5979" ht="50.25" customHeight="1">
      <c r="A5979" s="12">
        <v>5975.0</v>
      </c>
      <c r="B5979" s="13" t="s">
        <v>5926</v>
      </c>
      <c r="C5979" s="18" t="s">
        <v>6001</v>
      </c>
      <c r="D5979" s="1"/>
      <c r="E5979" s="1"/>
      <c r="F5979" s="1" t="str">
        <f>IFERROR(__xludf.DUMMYFUNCTION("GOOGLETRANSLATE(B5979, ""en"", ""fa"")
"),"برندسازی و طراحی لوگو")</f>
        <v>برندسازی و طراحی لوگو</v>
      </c>
      <c r="G5979" s="1" t="str">
        <f>IFERROR(__xludf.DUMMYFUNCTION("GOOGLETRANSLATE(C5979, ""en"", ""fa"")
"),"مفهوم ارزش ویژه برند و تاثیر آن بر ارزش مالی یک برند را بررسی کنید.")</f>
        <v>مفهوم ارزش ویژه برند و تاثیر آن بر ارزش مالی یک برند را بررسی کنید.</v>
      </c>
      <c r="H5979" s="1"/>
      <c r="I5979" s="1"/>
      <c r="J5979" s="1"/>
      <c r="K5979" s="1"/>
      <c r="L5979" s="1"/>
      <c r="M5979" s="1"/>
      <c r="N5979" s="1"/>
      <c r="O5979" s="1"/>
      <c r="P5979" s="1"/>
      <c r="Q5979" s="1"/>
      <c r="R5979" s="1"/>
      <c r="S5979" s="1"/>
      <c r="T5979" s="1"/>
      <c r="U5979" s="1"/>
      <c r="V5979" s="1"/>
      <c r="W5979" s="1"/>
      <c r="X5979" s="1"/>
      <c r="Y5979" s="1"/>
      <c r="Z5979" s="1"/>
      <c r="AA5979" s="1"/>
      <c r="AB5979" s="1"/>
    </row>
    <row r="5980" ht="50.25" customHeight="1">
      <c r="A5980" s="12">
        <v>5976.0</v>
      </c>
      <c r="B5980" s="13" t="s">
        <v>5926</v>
      </c>
      <c r="C5980" s="18" t="s">
        <v>6002</v>
      </c>
      <c r="D5980" s="1"/>
      <c r="E5980" s="1"/>
      <c r="F5980" s="1" t="str">
        <f>IFERROR(__xludf.DUMMYFUNCTION("GOOGLETRANSLATE(B5980, ""en"", ""fa"")
"),"برندسازی و طراحی لوگو")</f>
        <v>برندسازی و طراحی لوگو</v>
      </c>
      <c r="G5980" s="1" t="str">
        <f>IFERROR(__xludf.DUMMYFUNCTION("GOOGLETRANSLATE(C5980, ""en"", ""fa"")
"),"درباره اهمیت داستان سرایی در هویت برند و اینکه چگونه عناصر روایی می توانند ادراکات برند را شکل دهند، بحث کنید.")</f>
        <v>درباره اهمیت داستان سرایی در هویت برند و اینکه چگونه عناصر روایی می توانند ادراکات برند را شکل دهند، بحث کنید.</v>
      </c>
      <c r="H5980" s="1"/>
      <c r="I5980" s="1"/>
      <c r="J5980" s="1"/>
      <c r="K5980" s="1"/>
      <c r="L5980" s="1"/>
      <c r="M5980" s="1"/>
      <c r="N5980" s="1"/>
      <c r="O5980" s="1"/>
      <c r="P5980" s="1"/>
      <c r="Q5980" s="1"/>
      <c r="R5980" s="1"/>
      <c r="S5980" s="1"/>
      <c r="T5980" s="1"/>
      <c r="U5980" s="1"/>
      <c r="V5980" s="1"/>
      <c r="W5980" s="1"/>
      <c r="X5980" s="1"/>
      <c r="Y5980" s="1"/>
      <c r="Z5980" s="1"/>
      <c r="AA5980" s="1"/>
      <c r="AB5980" s="1"/>
    </row>
    <row r="5981" ht="50.25" customHeight="1">
      <c r="A5981" s="12">
        <v>5977.0</v>
      </c>
      <c r="B5981" s="13" t="s">
        <v>5926</v>
      </c>
      <c r="C5981" s="18" t="s">
        <v>6003</v>
      </c>
      <c r="D5981" s="1"/>
      <c r="E5981" s="1"/>
      <c r="F5981" s="1" t="str">
        <f>IFERROR(__xludf.DUMMYFUNCTION("GOOGLETRANSLATE(B5981, ""en"", ""fa"")
"),"برندسازی و طراحی لوگو")</f>
        <v>برندسازی و طراحی لوگو</v>
      </c>
      <c r="G5981" s="1" t="str">
        <f>IFERROR(__xludf.DUMMYFUNCTION("GOOGLETRANSLATE(C5981, ""en"", ""fa"")
"),"تکنیک هایی را برای ایجاد صدای برند که با مخاطب هدف طنین انداز می شود و ارزش های برند را به اشتراک می گذارد، به اشتراک بگذارید.")</f>
        <v>تکنیک هایی را برای ایجاد صدای برند که با مخاطب هدف طنین انداز می شود و ارزش های برند را به اشتراک می گذارد، به اشتراک بگذارید.</v>
      </c>
      <c r="H5981" s="1"/>
      <c r="I5981" s="1"/>
      <c r="J5981" s="1"/>
      <c r="K5981" s="1"/>
      <c r="L5981" s="1"/>
      <c r="M5981" s="1"/>
      <c r="N5981" s="1"/>
      <c r="O5981" s="1"/>
      <c r="P5981" s="1"/>
      <c r="Q5981" s="1"/>
      <c r="R5981" s="1"/>
      <c r="S5981" s="1"/>
      <c r="T5981" s="1"/>
      <c r="U5981" s="1"/>
      <c r="V5981" s="1"/>
      <c r="W5981" s="1"/>
      <c r="X5981" s="1"/>
      <c r="Y5981" s="1"/>
      <c r="Z5981" s="1"/>
      <c r="AA5981" s="1"/>
      <c r="AB5981" s="1"/>
    </row>
    <row r="5982" ht="50.25" customHeight="1">
      <c r="A5982" s="12">
        <v>5978.0</v>
      </c>
      <c r="B5982" s="13" t="s">
        <v>5926</v>
      </c>
      <c r="C5982" s="18" t="s">
        <v>6004</v>
      </c>
      <c r="D5982" s="1"/>
      <c r="E5982" s="1"/>
      <c r="F5982" s="1" t="str">
        <f>IFERROR(__xludf.DUMMYFUNCTION("GOOGLETRANSLATE(B5982, ""en"", ""fa"")
"),"برندسازی و طراحی لوگو")</f>
        <v>برندسازی و طراحی لوگو</v>
      </c>
      <c r="G5982" s="1" t="str">
        <f>IFERROR(__xludf.DUMMYFUNCTION("GOOGLETRANSLATE(C5982, ""en"", ""fa"")
"),"تأثیر تنوع فرهنگی در برندسازی جهانی و چگونگی تطبیق استراتژی های برندسازی برای بازارهای مختلف را بررسی کنید.")</f>
        <v>تأثیر تنوع فرهنگی در برندسازی جهانی و چگونگی تطبیق استراتژی های برندسازی برای بازارهای مختلف را بررسی کنید.</v>
      </c>
      <c r="H5982" s="1"/>
      <c r="I5982" s="1"/>
      <c r="J5982" s="1"/>
      <c r="K5982" s="1"/>
      <c r="L5982" s="1"/>
      <c r="M5982" s="1"/>
      <c r="N5982" s="1"/>
      <c r="O5982" s="1"/>
      <c r="P5982" s="1"/>
      <c r="Q5982" s="1"/>
      <c r="R5982" s="1"/>
      <c r="S5982" s="1"/>
      <c r="T5982" s="1"/>
      <c r="U5982" s="1"/>
      <c r="V5982" s="1"/>
      <c r="W5982" s="1"/>
      <c r="X5982" s="1"/>
      <c r="Y5982" s="1"/>
      <c r="Z5982" s="1"/>
      <c r="AA5982" s="1"/>
      <c r="AB5982" s="1"/>
    </row>
    <row r="5983" ht="50.25" customHeight="1">
      <c r="A5983" s="12">
        <v>5979.0</v>
      </c>
      <c r="B5983" s="13" t="s">
        <v>5926</v>
      </c>
      <c r="C5983" s="18" t="s">
        <v>6005</v>
      </c>
      <c r="D5983" s="1"/>
      <c r="E5983" s="1"/>
      <c r="F5983" s="1" t="str">
        <f>IFERROR(__xludf.DUMMYFUNCTION("GOOGLETRANSLATE(B5983, ""en"", ""fa"")
"),"برندسازی و طراحی لوگو")</f>
        <v>برندسازی و طراحی لوگو</v>
      </c>
      <c r="G5983" s="1" t="str">
        <f>IFERROR(__xludf.DUMMYFUNCTION("GOOGLETRANSLATE(C5983, ""en"", ""fa"")
"),"به نقش تایپوگرافی در ایجاد هویت برند متمایز و به یاد ماندنی فکر کنید.")</f>
        <v>به نقش تایپوگرافی در ایجاد هویت برند متمایز و به یاد ماندنی فکر کنید.</v>
      </c>
      <c r="H5983" s="1"/>
      <c r="I5983" s="1"/>
      <c r="J5983" s="1"/>
      <c r="K5983" s="1"/>
      <c r="L5983" s="1"/>
      <c r="M5983" s="1"/>
      <c r="N5983" s="1"/>
      <c r="O5983" s="1"/>
      <c r="P5983" s="1"/>
      <c r="Q5983" s="1"/>
      <c r="R5983" s="1"/>
      <c r="S5983" s="1"/>
      <c r="T5983" s="1"/>
      <c r="U5983" s="1"/>
      <c r="V5983" s="1"/>
      <c r="W5983" s="1"/>
      <c r="X5983" s="1"/>
      <c r="Y5983" s="1"/>
      <c r="Z5983" s="1"/>
      <c r="AA5983" s="1"/>
      <c r="AB5983" s="1"/>
    </row>
    <row r="5984" ht="50.25" customHeight="1">
      <c r="A5984" s="12">
        <v>5980.0</v>
      </c>
      <c r="B5984" s="13" t="s">
        <v>5926</v>
      </c>
      <c r="C5984" s="18" t="s">
        <v>6006</v>
      </c>
      <c r="D5984" s="1"/>
      <c r="E5984" s="1"/>
      <c r="F5984" s="1" t="str">
        <f>IFERROR(__xludf.DUMMYFUNCTION("GOOGLETRANSLATE(B5984, ""en"", ""fa"")
"),"برندسازی و طراحی لوگو")</f>
        <v>برندسازی و طراحی لوگو</v>
      </c>
      <c r="G5984" s="1" t="str">
        <f>IFERROR(__xludf.DUMMYFUNCTION("GOOGLETRANSLATE(C5984, ""en"", ""fa"")
"),"در مورد ملاحظات ایجاد یک راهنمای سبک نام تجاری که ثبات را در نقاط تماس مختلف برند حفظ می کند، بحث کنید.")</f>
        <v>در مورد ملاحظات ایجاد یک راهنمای سبک نام تجاری که ثبات را در نقاط تماس مختلف برند حفظ می کند، بحث کنید.</v>
      </c>
      <c r="H5984" s="1"/>
      <c r="I5984" s="1"/>
      <c r="J5984" s="1"/>
      <c r="K5984" s="1"/>
      <c r="L5984" s="1"/>
      <c r="M5984" s="1"/>
      <c r="N5984" s="1"/>
      <c r="O5984" s="1"/>
      <c r="P5984" s="1"/>
      <c r="Q5984" s="1"/>
      <c r="R5984" s="1"/>
      <c r="S5984" s="1"/>
      <c r="T5984" s="1"/>
      <c r="U5984" s="1"/>
      <c r="V5984" s="1"/>
      <c r="W5984" s="1"/>
      <c r="X5984" s="1"/>
      <c r="Y5984" s="1"/>
      <c r="Z5984" s="1"/>
      <c r="AA5984" s="1"/>
      <c r="AB5984" s="1"/>
    </row>
    <row r="5985" ht="50.25" customHeight="1">
      <c r="A5985" s="12">
        <v>5981.0</v>
      </c>
      <c r="B5985" s="13" t="s">
        <v>5926</v>
      </c>
      <c r="C5985" s="18" t="s">
        <v>6007</v>
      </c>
      <c r="D5985" s="1"/>
      <c r="E5985" s="1"/>
      <c r="F5985" s="1" t="str">
        <f>IFERROR(__xludf.DUMMYFUNCTION("GOOGLETRANSLATE(B5985, ""en"", ""fa"")
"),"برندسازی و طراحی لوگو")</f>
        <v>برندسازی و طراحی لوگو</v>
      </c>
      <c r="G5985" s="1" t="str">
        <f>IFERROR(__xludf.DUMMYFUNCTION("GOOGLETRANSLATE(C5985, ""en"", ""fa"")
"),"نکاتی را برای انجام یک تحلیل رقابتی برای شناسایی فرصت‌های تمایز در برندسازی به اشتراک بگذارید.")</f>
        <v>نکاتی را برای انجام یک تحلیل رقابتی برای شناسایی فرصت‌های تمایز در برندسازی به اشتراک بگذارید.</v>
      </c>
      <c r="H5985" s="1"/>
      <c r="I5985" s="1"/>
      <c r="J5985" s="1"/>
      <c r="K5985" s="1"/>
      <c r="L5985" s="1"/>
      <c r="M5985" s="1"/>
      <c r="N5985" s="1"/>
      <c r="O5985" s="1"/>
      <c r="P5985" s="1"/>
      <c r="Q5985" s="1"/>
      <c r="R5985" s="1"/>
      <c r="S5985" s="1"/>
      <c r="T5985" s="1"/>
      <c r="U5985" s="1"/>
      <c r="V5985" s="1"/>
      <c r="W5985" s="1"/>
      <c r="X5985" s="1"/>
      <c r="Y5985" s="1"/>
      <c r="Z5985" s="1"/>
      <c r="AA5985" s="1"/>
      <c r="AB5985" s="1"/>
    </row>
    <row r="5986" ht="50.25" customHeight="1">
      <c r="A5986" s="12">
        <v>5982.0</v>
      </c>
      <c r="B5986" s="13" t="s">
        <v>5926</v>
      </c>
      <c r="C5986" s="18" t="s">
        <v>6008</v>
      </c>
      <c r="D5986" s="1"/>
      <c r="E5986" s="1"/>
      <c r="F5986" s="1" t="str">
        <f>IFERROR(__xludf.DUMMYFUNCTION("GOOGLETRANSLATE(B5986, ""en"", ""fa"")
"),"برندسازی و طراحی لوگو")</f>
        <v>برندسازی و طراحی لوگو</v>
      </c>
      <c r="G5986" s="1" t="str">
        <f>IFERROR(__xludf.DUMMYFUNCTION("GOOGLETRANSLATE(C5986, ""en"", ""fa"")
"),"رابطه بین موقعیت‌یابی برند و تقسیم‌بندی مخاطبان هدف را در استراتژی‌های موثر برند بررسی کنید.")</f>
        <v>رابطه بین موقعیت‌یابی برند و تقسیم‌بندی مخاطبان هدف را در استراتژی‌های موثر برند بررسی کنید.</v>
      </c>
      <c r="H5986" s="1"/>
      <c r="I5986" s="1"/>
      <c r="J5986" s="1"/>
      <c r="K5986" s="1"/>
      <c r="L5986" s="1"/>
      <c r="M5986" s="1"/>
      <c r="N5986" s="1"/>
      <c r="O5986" s="1"/>
      <c r="P5986" s="1"/>
      <c r="Q5986" s="1"/>
      <c r="R5986" s="1"/>
      <c r="S5986" s="1"/>
      <c r="T5986" s="1"/>
      <c r="U5986" s="1"/>
      <c r="V5986" s="1"/>
      <c r="W5986" s="1"/>
      <c r="X5986" s="1"/>
      <c r="Y5986" s="1"/>
      <c r="Z5986" s="1"/>
      <c r="AA5986" s="1"/>
      <c r="AB5986" s="1"/>
    </row>
    <row r="5987" ht="50.25" customHeight="1">
      <c r="A5987" s="12">
        <v>5983.0</v>
      </c>
      <c r="B5987" s="13" t="s">
        <v>5926</v>
      </c>
      <c r="C5987" s="18" t="s">
        <v>6009</v>
      </c>
      <c r="D5987" s="1"/>
      <c r="E5987" s="1"/>
      <c r="F5987" s="1" t="str">
        <f>IFERROR(__xludf.DUMMYFUNCTION("GOOGLETRANSLATE(B5987, ""en"", ""fa"")
"),"برندسازی و طراحی لوگو")</f>
        <v>برندسازی و طراحی لوگو</v>
      </c>
      <c r="G5987" s="1" t="str">
        <f>IFERROR(__xludf.DUMMYFUNCTION("GOOGLETRANSLATE(C5987, ""en"", ""fa"")
"),"اهمیت برندسازی احساسی در ایجاد ارتباط با مشتریان را در سطحی عمیق تر بررسی کنید.")</f>
        <v>اهمیت برندسازی احساسی در ایجاد ارتباط با مشتریان را در سطحی عمیق تر بررسی کنید.</v>
      </c>
      <c r="H5987" s="1"/>
      <c r="I5987" s="1"/>
      <c r="J5987" s="1"/>
      <c r="K5987" s="1"/>
      <c r="L5987" s="1"/>
      <c r="M5987" s="1"/>
      <c r="N5987" s="1"/>
      <c r="O5987" s="1"/>
      <c r="P5987" s="1"/>
      <c r="Q5987" s="1"/>
      <c r="R5987" s="1"/>
      <c r="S5987" s="1"/>
      <c r="T5987" s="1"/>
      <c r="U5987" s="1"/>
      <c r="V5987" s="1"/>
      <c r="W5987" s="1"/>
      <c r="X5987" s="1"/>
      <c r="Y5987" s="1"/>
      <c r="Z5987" s="1"/>
      <c r="AA5987" s="1"/>
      <c r="AB5987" s="1"/>
    </row>
    <row r="5988" ht="50.25" customHeight="1">
      <c r="A5988" s="12">
        <v>5984.0</v>
      </c>
      <c r="B5988" s="13" t="s">
        <v>5926</v>
      </c>
      <c r="C5988" s="18" t="s">
        <v>6010</v>
      </c>
      <c r="D5988" s="1"/>
      <c r="E5988" s="1"/>
      <c r="F5988" s="1" t="str">
        <f>IFERROR(__xludf.DUMMYFUNCTION("GOOGLETRANSLATE(B5988, ""en"", ""fa"")
"),"برندسازی و طراحی لوگو")</f>
        <v>برندسازی و طراحی لوگو</v>
      </c>
      <c r="G5988" s="1" t="str">
        <f>IFERROR(__xludf.DUMMYFUNCTION("GOOGLETRANSLATE(C5988, ""en"", ""fa"")
"),"درباره تاثیر بسته بندی برند در انتقال ارزش های برند و ایجاد یک تجربه به یاد ماندنی جعبه گشایی بحث کنید.")</f>
        <v>درباره تاثیر بسته بندی برند در انتقال ارزش های برند و ایجاد یک تجربه به یاد ماندنی جعبه گشایی بحث کنید.</v>
      </c>
      <c r="H5988" s="1"/>
      <c r="I5988" s="1"/>
      <c r="J5988" s="1"/>
      <c r="K5988" s="1"/>
      <c r="L5988" s="1"/>
      <c r="M5988" s="1"/>
      <c r="N5988" s="1"/>
      <c r="O5988" s="1"/>
      <c r="P5988" s="1"/>
      <c r="Q5988" s="1"/>
      <c r="R5988" s="1"/>
      <c r="S5988" s="1"/>
      <c r="T5988" s="1"/>
      <c r="U5988" s="1"/>
      <c r="V5988" s="1"/>
      <c r="W5988" s="1"/>
      <c r="X5988" s="1"/>
      <c r="Y5988" s="1"/>
      <c r="Z5988" s="1"/>
      <c r="AA5988" s="1"/>
      <c r="AB5988" s="1"/>
    </row>
    <row r="5989" ht="50.25" customHeight="1">
      <c r="A5989" s="12">
        <v>5985.0</v>
      </c>
      <c r="B5989" s="13" t="s">
        <v>5926</v>
      </c>
      <c r="C5989" s="18" t="s">
        <v>6011</v>
      </c>
      <c r="D5989" s="1"/>
      <c r="E5989" s="1"/>
      <c r="F5989" s="1" t="str">
        <f>IFERROR(__xludf.DUMMYFUNCTION("GOOGLETRANSLATE(B5989, ""en"", ""fa"")
"),"برندسازی و طراحی لوگو")</f>
        <v>برندسازی و طراحی لوگو</v>
      </c>
      <c r="G5989" s="1" t="str">
        <f>IFERROR(__xludf.DUMMYFUNCTION("GOOGLETRANSLATE(C5989, ""en"", ""fa"")
"),"تکنیک هایی را برای ایجاد یک وعده برند که ارزش پیشنهادی منحصر به فرد را به مشتریان منتقل می کند، به اشتراک بگذارید.")</f>
        <v>تکنیک هایی را برای ایجاد یک وعده برند که ارزش پیشنهادی منحصر به فرد را به مشتریان منتقل می کند، به اشتراک بگذارید.</v>
      </c>
      <c r="H5989" s="1"/>
      <c r="I5989" s="1"/>
      <c r="J5989" s="1"/>
      <c r="K5989" s="1"/>
      <c r="L5989" s="1"/>
      <c r="M5989" s="1"/>
      <c r="N5989" s="1"/>
      <c r="O5989" s="1"/>
      <c r="P5989" s="1"/>
      <c r="Q5989" s="1"/>
      <c r="R5989" s="1"/>
      <c r="S5989" s="1"/>
      <c r="T5989" s="1"/>
      <c r="U5989" s="1"/>
      <c r="V5989" s="1"/>
      <c r="W5989" s="1"/>
      <c r="X5989" s="1"/>
      <c r="Y5989" s="1"/>
      <c r="Z5989" s="1"/>
      <c r="AA5989" s="1"/>
      <c r="AB5989" s="1"/>
    </row>
    <row r="5990" ht="50.25" customHeight="1">
      <c r="A5990" s="12">
        <v>5986.0</v>
      </c>
      <c r="B5990" s="13" t="s">
        <v>5926</v>
      </c>
      <c r="C5990" s="18" t="s">
        <v>6012</v>
      </c>
      <c r="D5990" s="1"/>
      <c r="E5990" s="1"/>
      <c r="F5990" s="1" t="str">
        <f>IFERROR(__xludf.DUMMYFUNCTION("GOOGLETRANSLATE(B5990, ""en"", ""fa"")
"),"برندسازی و طراحی لوگو")</f>
        <v>برندسازی و طراحی لوگو</v>
      </c>
      <c r="G5990" s="1" t="str">
        <f>IFERROR(__xludf.DUMMYFUNCTION("GOOGLETRANSLATE(C5990, ""en"", ""fa"")
"),"نقش روانشناسی رنگ ها را در برندسازی و اینکه چگونه پالت های رنگی مختلف احساسات خاصی را برمی انگیزند، کاوش کنید.")</f>
        <v>نقش روانشناسی رنگ ها را در برندسازی و اینکه چگونه پالت های رنگی مختلف احساسات خاصی را برمی انگیزند، کاوش کنید.</v>
      </c>
      <c r="H5990" s="1"/>
      <c r="I5990" s="1"/>
      <c r="J5990" s="1"/>
      <c r="K5990" s="1"/>
      <c r="L5990" s="1"/>
      <c r="M5990" s="1"/>
      <c r="N5990" s="1"/>
      <c r="O5990" s="1"/>
      <c r="P5990" s="1"/>
      <c r="Q5990" s="1"/>
      <c r="R5990" s="1"/>
      <c r="S5990" s="1"/>
      <c r="T5990" s="1"/>
      <c r="U5990" s="1"/>
      <c r="V5990" s="1"/>
      <c r="W5990" s="1"/>
      <c r="X5990" s="1"/>
      <c r="Y5990" s="1"/>
      <c r="Z5990" s="1"/>
      <c r="AA5990" s="1"/>
      <c r="AB5990" s="1"/>
    </row>
    <row r="5991" ht="50.25" customHeight="1">
      <c r="A5991" s="12">
        <v>5987.0</v>
      </c>
      <c r="B5991" s="13" t="s">
        <v>5926</v>
      </c>
      <c r="C5991" s="18" t="s">
        <v>6013</v>
      </c>
      <c r="D5991" s="1"/>
      <c r="E5991" s="1"/>
      <c r="F5991" s="1" t="str">
        <f>IFERROR(__xludf.DUMMYFUNCTION("GOOGLETRANSLATE(B5991, ""en"", ""fa"")
"),"برندسازی و طراحی لوگو")</f>
        <v>برندسازی و طراحی لوگو</v>
      </c>
      <c r="G5991" s="1" t="str">
        <f>IFERROR(__xludf.DUMMYFUNCTION("GOOGLETRANSLATE(C5991, ""en"", ""fa"")
"),"به تأثیر رسانه های دیجیتال در شکل دادن به درک برند و تعامل با مشتریان فکر کنید.")</f>
        <v>به تأثیر رسانه های دیجیتال در شکل دادن به درک برند و تعامل با مشتریان فکر کنید.</v>
      </c>
      <c r="H5991" s="1"/>
      <c r="I5991" s="1"/>
      <c r="J5991" s="1"/>
      <c r="K5991" s="1"/>
      <c r="L5991" s="1"/>
      <c r="M5991" s="1"/>
      <c r="N5991" s="1"/>
      <c r="O5991" s="1"/>
      <c r="P5991" s="1"/>
      <c r="Q5991" s="1"/>
      <c r="R5991" s="1"/>
      <c r="S5991" s="1"/>
      <c r="T5991" s="1"/>
      <c r="U5991" s="1"/>
      <c r="V5991" s="1"/>
      <c r="W5991" s="1"/>
      <c r="X5991" s="1"/>
      <c r="Y5991" s="1"/>
      <c r="Z5991" s="1"/>
      <c r="AA5991" s="1"/>
      <c r="AB5991" s="1"/>
    </row>
    <row r="5992" ht="50.25" customHeight="1">
      <c r="A5992" s="12">
        <v>5988.0</v>
      </c>
      <c r="B5992" s="13" t="s">
        <v>5926</v>
      </c>
      <c r="C5992" s="18" t="s">
        <v>6014</v>
      </c>
      <c r="D5992" s="1"/>
      <c r="E5992" s="1"/>
      <c r="F5992" s="1" t="str">
        <f>IFERROR(__xludf.DUMMYFUNCTION("GOOGLETRANSLATE(B5992, ""en"", ""fa"")
"),"برندسازی و طراحی لوگو")</f>
        <v>برندسازی و طراحی لوگو</v>
      </c>
      <c r="G5992" s="1" t="str">
        <f>IFERROR(__xludf.DUMMYFUNCTION("GOOGLETRANSLATE(C5992, ""en"", ""fa"")
"),"در مورد اهمیت ثبات برند در ایجاد اعتماد و اعتبار با مصرف کنندگان بحث کنید.")</f>
        <v>در مورد اهمیت ثبات برند در ایجاد اعتماد و اعتبار با مصرف کنندگان بحث کنید.</v>
      </c>
      <c r="H5992" s="1"/>
      <c r="I5992" s="1"/>
      <c r="J5992" s="1"/>
      <c r="K5992" s="1"/>
      <c r="L5992" s="1"/>
      <c r="M5992" s="1"/>
      <c r="N5992" s="1"/>
      <c r="O5992" s="1"/>
      <c r="P5992" s="1"/>
      <c r="Q5992" s="1"/>
      <c r="R5992" s="1"/>
      <c r="S5992" s="1"/>
      <c r="T5992" s="1"/>
      <c r="U5992" s="1"/>
      <c r="V5992" s="1"/>
      <c r="W5992" s="1"/>
      <c r="X5992" s="1"/>
      <c r="Y5992" s="1"/>
      <c r="Z5992" s="1"/>
      <c r="AA5992" s="1"/>
      <c r="AB5992" s="1"/>
    </row>
    <row r="5993" ht="50.25" customHeight="1">
      <c r="A5993" s="12">
        <v>5989.0</v>
      </c>
      <c r="B5993" s="13" t="s">
        <v>5926</v>
      </c>
      <c r="C5993" s="18" t="s">
        <v>6015</v>
      </c>
      <c r="D5993" s="1"/>
      <c r="E5993" s="1"/>
      <c r="F5993" s="1" t="str">
        <f>IFERROR(__xludf.DUMMYFUNCTION("GOOGLETRANSLATE(B5993, ""en"", ""fa"")
"),"برندسازی و طراحی لوگو")</f>
        <v>برندسازی و طراحی لوگو</v>
      </c>
      <c r="G5993" s="1" t="str">
        <f>IFERROR(__xludf.DUMMYFUNCTION("GOOGLETRANSLATE(C5993, ""en"", ""fa"")
"),"نکاتی را برای برگزاری کارگاه های تجاری برای همسو کردن ذینفعان داخلی و تعریف ارزش های اصلی برند به اشتراک بگذارید.")</f>
        <v>نکاتی را برای برگزاری کارگاه های تجاری برای همسو کردن ذینفعان داخلی و تعریف ارزش های اصلی برند به اشتراک بگذارید.</v>
      </c>
      <c r="H5993" s="1"/>
      <c r="I5993" s="1"/>
      <c r="J5993" s="1"/>
      <c r="K5993" s="1"/>
      <c r="L5993" s="1"/>
      <c r="M5993" s="1"/>
      <c r="N5993" s="1"/>
      <c r="O5993" s="1"/>
      <c r="P5993" s="1"/>
      <c r="Q5993" s="1"/>
      <c r="R5993" s="1"/>
      <c r="S5993" s="1"/>
      <c r="T5993" s="1"/>
      <c r="U5993" s="1"/>
      <c r="V5993" s="1"/>
      <c r="W5993" s="1"/>
      <c r="X5993" s="1"/>
      <c r="Y5993" s="1"/>
      <c r="Z5993" s="1"/>
      <c r="AA5993" s="1"/>
      <c r="AB5993" s="1"/>
    </row>
    <row r="5994" ht="50.25" customHeight="1">
      <c r="A5994" s="12">
        <v>5990.0</v>
      </c>
      <c r="B5994" s="13" t="s">
        <v>5926</v>
      </c>
      <c r="C5994" s="18" t="s">
        <v>6016</v>
      </c>
      <c r="D5994" s="1"/>
      <c r="E5994" s="1"/>
      <c r="F5994" s="1" t="str">
        <f>IFERROR(__xludf.DUMMYFUNCTION("GOOGLETRANSLATE(B5994, ""en"", ""fa"")
"),"برندسازی و طراحی لوگو")</f>
        <v>برندسازی و طراحی لوگو</v>
      </c>
      <c r="G5994" s="1" t="str">
        <f>IFERROR(__xludf.DUMMYFUNCTION("GOOGLETRANSLATE(C5994, ""en"", ""fa"")
"),"تاثیر استراتژی های گسترش برند در گسترش دامنه برند و ورود به بازارهای جدید را بررسی کنید.")</f>
        <v>تاثیر استراتژی های گسترش برند در گسترش دامنه برند و ورود به بازارهای جدید را بررسی کنید.</v>
      </c>
      <c r="H5994" s="1"/>
      <c r="I5994" s="1"/>
      <c r="J5994" s="1"/>
      <c r="K5994" s="1"/>
      <c r="L5994" s="1"/>
      <c r="M5994" s="1"/>
      <c r="N5994" s="1"/>
      <c r="O5994" s="1"/>
      <c r="P5994" s="1"/>
      <c r="Q5994" s="1"/>
      <c r="R5994" s="1"/>
      <c r="S5994" s="1"/>
      <c r="T5994" s="1"/>
      <c r="U5994" s="1"/>
      <c r="V5994" s="1"/>
      <c r="W5994" s="1"/>
      <c r="X5994" s="1"/>
      <c r="Y5994" s="1"/>
      <c r="Z5994" s="1"/>
      <c r="AA5994" s="1"/>
      <c r="AB5994" s="1"/>
    </row>
    <row r="5995" ht="50.25" customHeight="1">
      <c r="A5995" s="12">
        <v>5991.0</v>
      </c>
      <c r="B5995" s="13" t="s">
        <v>5926</v>
      </c>
      <c r="C5995" s="18" t="s">
        <v>6017</v>
      </c>
      <c r="D5995" s="1"/>
      <c r="E5995" s="1"/>
      <c r="F5995" s="1" t="str">
        <f>IFERROR(__xludf.DUMMYFUNCTION("GOOGLETRANSLATE(B5995, ""en"", ""fa"")
"),"برندسازی و طراحی لوگو")</f>
        <v>برندسازی و طراحی لوگو</v>
      </c>
      <c r="G5995" s="1" t="str">
        <f>IFERROR(__xludf.DUMMYFUNCTION("GOOGLETRANSLATE(C5995, ""en"", ""fa"")
"),"به نقش اعتبار برند در ایجاد ارتباط واقعی با مشتریان فکر کنید.")</f>
        <v>به نقش اعتبار برند در ایجاد ارتباط واقعی با مشتریان فکر کنید.</v>
      </c>
      <c r="H5995" s="1"/>
      <c r="I5995" s="1"/>
      <c r="J5995" s="1"/>
      <c r="K5995" s="1"/>
      <c r="L5995" s="1"/>
      <c r="M5995" s="1"/>
      <c r="N5995" s="1"/>
      <c r="O5995" s="1"/>
      <c r="P5995" s="1"/>
      <c r="Q5995" s="1"/>
      <c r="R5995" s="1"/>
      <c r="S5995" s="1"/>
      <c r="T5995" s="1"/>
      <c r="U5995" s="1"/>
      <c r="V5995" s="1"/>
      <c r="W5995" s="1"/>
      <c r="X5995" s="1"/>
      <c r="Y5995" s="1"/>
      <c r="Z5995" s="1"/>
      <c r="AA5995" s="1"/>
      <c r="AB5995" s="1"/>
    </row>
    <row r="5996" ht="50.25" customHeight="1">
      <c r="A5996" s="12">
        <v>5992.0</v>
      </c>
      <c r="B5996" s="13" t="s">
        <v>5926</v>
      </c>
      <c r="C5996" s="18" t="s">
        <v>6018</v>
      </c>
      <c r="D5996" s="1"/>
      <c r="E5996" s="1"/>
      <c r="F5996" s="1" t="str">
        <f>IFERROR(__xludf.DUMMYFUNCTION("GOOGLETRANSLATE(B5996, ""en"", ""fa"")
"),"برندسازی و طراحی لوگو")</f>
        <v>برندسازی و طراحی لوگو</v>
      </c>
      <c r="G5996" s="1" t="str">
        <f>IFERROR(__xludf.DUMMYFUNCTION("GOOGLETRANSLATE(C5996, ""en"", ""fa"")
"),"در مورد ملاحظات ایجاد یک شعار یا شعار به یاد ماندنی برند که جوهر برند را در بر می گیرد، بحث کنید.")</f>
        <v>در مورد ملاحظات ایجاد یک شعار یا شعار به یاد ماندنی برند که جوهر برند را در بر می گیرد، بحث کنید.</v>
      </c>
      <c r="H5996" s="1"/>
      <c r="I5996" s="1"/>
      <c r="J5996" s="1"/>
      <c r="K5996" s="1"/>
      <c r="L5996" s="1"/>
      <c r="M5996" s="1"/>
      <c r="N5996" s="1"/>
      <c r="O5996" s="1"/>
      <c r="P5996" s="1"/>
      <c r="Q5996" s="1"/>
      <c r="R5996" s="1"/>
      <c r="S5996" s="1"/>
      <c r="T5996" s="1"/>
      <c r="U5996" s="1"/>
      <c r="V5996" s="1"/>
      <c r="W5996" s="1"/>
      <c r="X5996" s="1"/>
      <c r="Y5996" s="1"/>
      <c r="Z5996" s="1"/>
      <c r="AA5996" s="1"/>
      <c r="AB5996" s="1"/>
    </row>
    <row r="5997" ht="50.25" customHeight="1">
      <c r="A5997" s="12">
        <v>5993.0</v>
      </c>
      <c r="B5997" s="13" t="s">
        <v>5926</v>
      </c>
      <c r="C5997" s="18" t="s">
        <v>6019</v>
      </c>
      <c r="D5997" s="1"/>
      <c r="E5997" s="1"/>
      <c r="F5997" s="1" t="str">
        <f>IFERROR(__xludf.DUMMYFUNCTION("GOOGLETRANSLATE(B5997, ""en"", ""fa"")
"),"برندسازی و طراحی لوگو")</f>
        <v>برندسازی و طراحی لوگو</v>
      </c>
      <c r="G5997" s="1" t="str">
        <f>IFERROR(__xludf.DUMMYFUNCTION("GOOGLETRANSLATE(C5997, ""en"", ""fa"")
"),"تکنیک های ایجاد یک سیستم هویت بصری که شامل لوگو، تایپوگرافی، پالت رنگ و سایر عناصر بصری است را به اشتراک بگذارید.")</f>
        <v>تکنیک های ایجاد یک سیستم هویت بصری که شامل لوگو، تایپوگرافی، پالت رنگ و سایر عناصر بصری است را به اشتراک بگذارید.</v>
      </c>
      <c r="H5997" s="1"/>
      <c r="I5997" s="1"/>
      <c r="J5997" s="1"/>
      <c r="K5997" s="1"/>
      <c r="L5997" s="1"/>
      <c r="M5997" s="1"/>
      <c r="N5997" s="1"/>
      <c r="O5997" s="1"/>
      <c r="P5997" s="1"/>
      <c r="Q5997" s="1"/>
      <c r="R5997" s="1"/>
      <c r="S5997" s="1"/>
      <c r="T5997" s="1"/>
      <c r="U5997" s="1"/>
      <c r="V5997" s="1"/>
      <c r="W5997" s="1"/>
      <c r="X5997" s="1"/>
      <c r="Y5997" s="1"/>
      <c r="Z5997" s="1"/>
      <c r="AA5997" s="1"/>
      <c r="AB5997" s="1"/>
    </row>
    <row r="5998" ht="50.25" customHeight="1">
      <c r="A5998" s="12">
        <v>5994.0</v>
      </c>
      <c r="B5998" s="13" t="s">
        <v>5926</v>
      </c>
      <c r="C5998" s="18" t="s">
        <v>6020</v>
      </c>
      <c r="D5998" s="1"/>
      <c r="E5998" s="1"/>
      <c r="F5998" s="1" t="str">
        <f>IFERROR(__xludf.DUMMYFUNCTION("GOOGLETRANSLATE(B5998, ""en"", ""fa"")
"),"برندسازی و طراحی لوگو")</f>
        <v>برندسازی و طراحی لوگو</v>
      </c>
      <c r="G5998" s="1" t="str">
        <f>IFERROR(__xludf.DUMMYFUNCTION("GOOGLETRANSLATE(C5998, ""en"", ""fa"")
"),"مفهوم تمایز برند و نحوه شناسایی نقاط فروش منحصر به فرد در یک بازار شلوغ را بررسی کنید.")</f>
        <v>مفهوم تمایز برند و نحوه شناسایی نقاط فروش منحصر به فرد در یک بازار شلوغ را بررسی کنید.</v>
      </c>
      <c r="H5998" s="1"/>
      <c r="I5998" s="1"/>
      <c r="J5998" s="1"/>
      <c r="K5998" s="1"/>
      <c r="L5998" s="1"/>
      <c r="M5998" s="1"/>
      <c r="N5998" s="1"/>
      <c r="O5998" s="1"/>
      <c r="P5998" s="1"/>
      <c r="Q5998" s="1"/>
      <c r="R5998" s="1"/>
      <c r="S5998" s="1"/>
      <c r="T5998" s="1"/>
      <c r="U5998" s="1"/>
      <c r="V5998" s="1"/>
      <c r="W5998" s="1"/>
      <c r="X5998" s="1"/>
      <c r="Y5998" s="1"/>
      <c r="Z5998" s="1"/>
      <c r="AA5998" s="1"/>
      <c r="AB5998" s="1"/>
    </row>
    <row r="5999" ht="50.25" customHeight="1">
      <c r="A5999" s="12">
        <v>5995.0</v>
      </c>
      <c r="B5999" s="13" t="s">
        <v>5926</v>
      </c>
      <c r="C5999" s="18" t="s">
        <v>6021</v>
      </c>
      <c r="D5999" s="1"/>
      <c r="E5999" s="1"/>
      <c r="F5999" s="1" t="str">
        <f>IFERROR(__xludf.DUMMYFUNCTION("GOOGLETRANSLATE(B5999, ""en"", ""fa"")
"),"برندسازی و طراحی لوگو")</f>
        <v>برندسازی و طراحی لوگو</v>
      </c>
      <c r="G5999" s="1" t="str">
        <f>IFERROR(__xludf.DUMMYFUNCTION("GOOGLETRANSLATE(C5999, ""en"", ""fa"")
"),"به نقش تحقیقات بازار در درک ترجیحات مصرف کننده و شناسایی فرصت های برندسازی فکر کنید.")</f>
        <v>به نقش تحقیقات بازار در درک ترجیحات مصرف کننده و شناسایی فرصت های برندسازی فکر کنید.</v>
      </c>
      <c r="H5999" s="1"/>
      <c r="I5999" s="1"/>
      <c r="J5999" s="1"/>
      <c r="K5999" s="1"/>
      <c r="L5999" s="1"/>
      <c r="M5999" s="1"/>
      <c r="N5999" s="1"/>
      <c r="O5999" s="1"/>
      <c r="P5999" s="1"/>
      <c r="Q5999" s="1"/>
      <c r="R5999" s="1"/>
      <c r="S5999" s="1"/>
      <c r="T5999" s="1"/>
      <c r="U5999" s="1"/>
      <c r="V5999" s="1"/>
      <c r="W5999" s="1"/>
      <c r="X5999" s="1"/>
      <c r="Y5999" s="1"/>
      <c r="Z5999" s="1"/>
      <c r="AA5999" s="1"/>
      <c r="AB5999" s="1"/>
    </row>
    <row r="6000" ht="50.25" customHeight="1">
      <c r="A6000" s="12">
        <v>5996.0</v>
      </c>
      <c r="B6000" s="13" t="s">
        <v>5926</v>
      </c>
      <c r="C6000" s="18" t="s">
        <v>6022</v>
      </c>
      <c r="D6000" s="1"/>
      <c r="E6000" s="1"/>
      <c r="F6000" s="1" t="str">
        <f>IFERROR(__xludf.DUMMYFUNCTION("GOOGLETRANSLATE(B6000, ""en"", ""fa"")
"),"برندسازی و طراحی لوگو")</f>
        <v>برندسازی و طراحی لوگو</v>
      </c>
      <c r="G6000" s="1" t="str">
        <f>IFERROR(__xludf.DUMMYFUNCTION("GOOGLETRANSLATE(C6000, ""en"", ""fa"")
"),"درباره اهمیت جایگاه برند در انتقال ارزش پیشنهادی برند به مخاطبان هدف بحث کنید.")</f>
        <v>درباره اهمیت جایگاه برند در انتقال ارزش پیشنهادی برند به مخاطبان هدف بحث کنید.</v>
      </c>
      <c r="H6000" s="1"/>
      <c r="I6000" s="1"/>
      <c r="J6000" s="1"/>
      <c r="K6000" s="1"/>
      <c r="L6000" s="1"/>
      <c r="M6000" s="1"/>
      <c r="N6000" s="1"/>
      <c r="O6000" s="1"/>
      <c r="P6000" s="1"/>
      <c r="Q6000" s="1"/>
      <c r="R6000" s="1"/>
      <c r="S6000" s="1"/>
      <c r="T6000" s="1"/>
      <c r="U6000" s="1"/>
      <c r="V6000" s="1"/>
      <c r="W6000" s="1"/>
      <c r="X6000" s="1"/>
      <c r="Y6000" s="1"/>
      <c r="Z6000" s="1"/>
      <c r="AA6000" s="1"/>
      <c r="AB6000" s="1"/>
    </row>
    <row r="6001" ht="50.25" customHeight="1">
      <c r="A6001" s="12">
        <v>5997.0</v>
      </c>
      <c r="B6001" s="13" t="s">
        <v>5926</v>
      </c>
      <c r="C6001" s="18" t="s">
        <v>6023</v>
      </c>
      <c r="D6001" s="1"/>
      <c r="E6001" s="1"/>
      <c r="F6001" s="1" t="str">
        <f>IFERROR(__xludf.DUMMYFUNCTION("GOOGLETRANSLATE(B6001, ""en"", ""fa"")
"),"برندسازی و طراحی لوگو")</f>
        <v>برندسازی و طراحی لوگو</v>
      </c>
      <c r="G6001" s="1" t="str">
        <f>IFERROR(__xludf.DUMMYFUNCTION("GOOGLETRANSLATE(C6001, ""en"", ""fa"")
"),"نکاتی را برای ایجاد هویت برند که با ارزش ها و آرزوهای بازار هدف طنین انداز می شود، به اشتراک بگذارید.")</f>
        <v>نکاتی را برای ایجاد هویت برند که با ارزش ها و آرزوهای بازار هدف طنین انداز می شود، به اشتراک بگذارید.</v>
      </c>
      <c r="H6001" s="1"/>
      <c r="I6001" s="1"/>
      <c r="J6001" s="1"/>
      <c r="K6001" s="1"/>
      <c r="L6001" s="1"/>
      <c r="M6001" s="1"/>
      <c r="N6001" s="1"/>
      <c r="O6001" s="1"/>
      <c r="P6001" s="1"/>
      <c r="Q6001" s="1"/>
      <c r="R6001" s="1"/>
      <c r="S6001" s="1"/>
      <c r="T6001" s="1"/>
      <c r="U6001" s="1"/>
      <c r="V6001" s="1"/>
      <c r="W6001" s="1"/>
      <c r="X6001" s="1"/>
      <c r="Y6001" s="1"/>
      <c r="Z6001" s="1"/>
      <c r="AA6001" s="1"/>
      <c r="AB6001" s="1"/>
    </row>
    <row r="6002" ht="50.25" customHeight="1">
      <c r="A6002" s="12">
        <v>5998.0</v>
      </c>
      <c r="B6002" s="13" t="s">
        <v>5926</v>
      </c>
      <c r="C6002" s="18" t="s">
        <v>6024</v>
      </c>
      <c r="D6002" s="1"/>
      <c r="E6002" s="1"/>
      <c r="F6002" s="1" t="str">
        <f>IFERROR(__xludf.DUMMYFUNCTION("GOOGLETRANSLATE(B6002, ""en"", ""fa"")
"),"برندسازی و طراحی لوگو")</f>
        <v>برندسازی و طراحی لوگو</v>
      </c>
      <c r="G6002" s="1" t="str">
        <f>IFERROR(__xludf.DUMMYFUNCTION("GOOGLETRANSLATE(C6002, ""en"", ""fa"")
"),"تاثیر تجارب برند و تعاملات مشتری در شکل دادن به وفاداری و حمایت از برند را بررسی کنید.")</f>
        <v>تاثیر تجارب برند و تعاملات مشتری در شکل دادن به وفاداری و حمایت از برند را بررسی کنید.</v>
      </c>
      <c r="H6002" s="1"/>
      <c r="I6002" s="1"/>
      <c r="J6002" s="1"/>
      <c r="K6002" s="1"/>
      <c r="L6002" s="1"/>
      <c r="M6002" s="1"/>
      <c r="N6002" s="1"/>
      <c r="O6002" s="1"/>
      <c r="P6002" s="1"/>
      <c r="Q6002" s="1"/>
      <c r="R6002" s="1"/>
      <c r="S6002" s="1"/>
      <c r="T6002" s="1"/>
      <c r="U6002" s="1"/>
      <c r="V6002" s="1"/>
      <c r="W6002" s="1"/>
      <c r="X6002" s="1"/>
      <c r="Y6002" s="1"/>
      <c r="Z6002" s="1"/>
      <c r="AA6002" s="1"/>
      <c r="AB6002" s="1"/>
    </row>
    <row r="6003" ht="50.25" customHeight="1">
      <c r="A6003" s="12">
        <v>5999.0</v>
      </c>
      <c r="B6003" s="13" t="s">
        <v>5926</v>
      </c>
      <c r="C6003" s="18" t="s">
        <v>6025</v>
      </c>
      <c r="D6003" s="1"/>
      <c r="E6003" s="1"/>
      <c r="F6003" s="1" t="str">
        <f>IFERROR(__xludf.DUMMYFUNCTION("GOOGLETRANSLATE(B6003, ""en"", ""fa"")
"),"برندسازی و طراحی لوگو")</f>
        <v>برندسازی و طراحی لوگو</v>
      </c>
      <c r="G6003" s="1" t="str">
        <f>IFERROR(__xludf.DUMMYFUNCTION("GOOGLETRANSLATE(C6003, ""en"", ""fa"")
"),"به نقش سفیران و تأثیرگذاران برند در تقویت دسترسی و اعتبار برند فکر کنید.")</f>
        <v>به نقش سفیران و تأثیرگذاران برند در تقویت دسترسی و اعتبار برند فکر کنید.</v>
      </c>
      <c r="H6003" s="1"/>
      <c r="I6003" s="1"/>
      <c r="J6003" s="1"/>
      <c r="K6003" s="1"/>
      <c r="L6003" s="1"/>
      <c r="M6003" s="1"/>
      <c r="N6003" s="1"/>
      <c r="O6003" s="1"/>
      <c r="P6003" s="1"/>
      <c r="Q6003" s="1"/>
      <c r="R6003" s="1"/>
      <c r="S6003" s="1"/>
      <c r="T6003" s="1"/>
      <c r="U6003" s="1"/>
      <c r="V6003" s="1"/>
      <c r="W6003" s="1"/>
      <c r="X6003" s="1"/>
      <c r="Y6003" s="1"/>
      <c r="Z6003" s="1"/>
      <c r="AA6003" s="1"/>
      <c r="AB6003" s="1"/>
    </row>
    <row r="6004" ht="50.25" customHeight="1">
      <c r="A6004" s="12">
        <v>6000.0</v>
      </c>
      <c r="B6004" s="13" t="s">
        <v>5926</v>
      </c>
      <c r="C6004" s="18" t="s">
        <v>6026</v>
      </c>
      <c r="D6004" s="1"/>
      <c r="E6004" s="1"/>
      <c r="F6004" s="1" t="str">
        <f>IFERROR(__xludf.DUMMYFUNCTION("GOOGLETRANSLATE(B6004, ""en"", ""fa"")
"),"برندسازی و طراحی لوگو")</f>
        <v>برندسازی و طراحی لوگو</v>
      </c>
      <c r="G6004" s="1" t="str">
        <f>IFERROR(__xludf.DUMMYFUNCTION("GOOGLETRANSLATE(C6004, ""en"", ""fa"")
"),"در مورد ملاحظات ایجاد یک روایت برند منسجم که با ارزش ها و اهداف برند همسو باشد، بحث کنید.")</f>
        <v>در مورد ملاحظات ایجاد یک روایت برند منسجم که با ارزش ها و اهداف برند همسو باشد، بحث کنید.</v>
      </c>
      <c r="H6004" s="1"/>
      <c r="I6004" s="1"/>
      <c r="J6004" s="1"/>
      <c r="K6004" s="1"/>
      <c r="L6004" s="1"/>
      <c r="M6004" s="1"/>
      <c r="N6004" s="1"/>
      <c r="O6004" s="1"/>
      <c r="P6004" s="1"/>
      <c r="Q6004" s="1"/>
      <c r="R6004" s="1"/>
      <c r="S6004" s="1"/>
      <c r="T6004" s="1"/>
      <c r="U6004" s="1"/>
      <c r="V6004" s="1"/>
      <c r="W6004" s="1"/>
      <c r="X6004" s="1"/>
      <c r="Y6004" s="1"/>
      <c r="Z6004" s="1"/>
      <c r="AA6004" s="1"/>
      <c r="AB6004" s="1"/>
    </row>
    <row r="6005" ht="50.25" customHeight="1">
      <c r="A6005" s="12">
        <v>6001.0</v>
      </c>
      <c r="B6005" s="13" t="s">
        <v>5926</v>
      </c>
      <c r="C6005" s="18" t="s">
        <v>6027</v>
      </c>
      <c r="D6005" s="1"/>
      <c r="E6005" s="1"/>
      <c r="F6005" s="1" t="str">
        <f>IFERROR(__xludf.DUMMYFUNCTION("GOOGLETRANSLATE(B6005, ""en"", ""fa"")
"),"برندسازی و طراحی لوگو")</f>
        <v>برندسازی و طراحی لوگو</v>
      </c>
      <c r="G6005" s="1" t="str">
        <f>IFERROR(__xludf.DUMMYFUNCTION("GOOGLETRANSLATE(C6005, ""en"", ""fa"")
"),"تکنیک های ایجاد نماد یا نماد برند به یاد ماندنی که نشان دهنده هویت برند است را به اشتراک بگذارید.")</f>
        <v>تکنیک های ایجاد نماد یا نماد برند به یاد ماندنی که نشان دهنده هویت برند است را به اشتراک بگذارید.</v>
      </c>
      <c r="H6005" s="1"/>
      <c r="I6005" s="1"/>
      <c r="J6005" s="1"/>
      <c r="K6005" s="1"/>
      <c r="L6005" s="1"/>
      <c r="M6005" s="1"/>
      <c r="N6005" s="1"/>
      <c r="O6005" s="1"/>
      <c r="P6005" s="1"/>
      <c r="Q6005" s="1"/>
      <c r="R6005" s="1"/>
      <c r="S6005" s="1"/>
      <c r="T6005" s="1"/>
      <c r="U6005" s="1"/>
      <c r="V6005" s="1"/>
      <c r="W6005" s="1"/>
      <c r="X6005" s="1"/>
      <c r="Y6005" s="1"/>
      <c r="Z6005" s="1"/>
      <c r="AA6005" s="1"/>
      <c r="AB6005" s="1"/>
    </row>
    <row r="6006" ht="50.25" customHeight="1">
      <c r="A6006" s="12">
        <v>6002.0</v>
      </c>
      <c r="B6006" s="13" t="s">
        <v>5926</v>
      </c>
      <c r="C6006" s="18" t="s">
        <v>6028</v>
      </c>
      <c r="D6006" s="1"/>
      <c r="E6006" s="1"/>
      <c r="F6006" s="1" t="str">
        <f>IFERROR(__xludf.DUMMYFUNCTION("GOOGLETRANSLATE(B6006, ""en"", ""fa"")
"),"برندسازی و طراحی لوگو")</f>
        <v>برندسازی و طراحی لوگو</v>
      </c>
      <c r="G6006" s="1" t="str">
        <f>IFERROR(__xludf.DUMMYFUNCTION("GOOGLETRANSLATE(C6006, ""en"", ""fa"")
"),"تأثیر رفتار مصرف کننده و روندها در شکل دادن به استراتژی های برندسازی و زیبایی شناسی طراحی را بررسی کنید.")</f>
        <v>تأثیر رفتار مصرف کننده و روندها در شکل دادن به استراتژی های برندسازی و زیبایی شناسی طراحی را بررسی کنید.</v>
      </c>
      <c r="H6006" s="1"/>
      <c r="I6006" s="1"/>
      <c r="J6006" s="1"/>
      <c r="K6006" s="1"/>
      <c r="L6006" s="1"/>
      <c r="M6006" s="1"/>
      <c r="N6006" s="1"/>
      <c r="O6006" s="1"/>
      <c r="P6006" s="1"/>
      <c r="Q6006" s="1"/>
      <c r="R6006" s="1"/>
      <c r="S6006" s="1"/>
      <c r="T6006" s="1"/>
      <c r="U6006" s="1"/>
      <c r="V6006" s="1"/>
      <c r="W6006" s="1"/>
      <c r="X6006" s="1"/>
      <c r="Y6006" s="1"/>
      <c r="Z6006" s="1"/>
      <c r="AA6006" s="1"/>
      <c r="AB6006" s="1"/>
    </row>
    <row r="6007" ht="50.25" customHeight="1">
      <c r="A6007" s="12">
        <v>6003.0</v>
      </c>
      <c r="B6007" s="13" t="s">
        <v>5926</v>
      </c>
      <c r="C6007" s="18" t="s">
        <v>6029</v>
      </c>
      <c r="D6007" s="1"/>
      <c r="E6007" s="1"/>
      <c r="F6007" s="1" t="str">
        <f>IFERROR(__xludf.DUMMYFUNCTION("GOOGLETRANSLATE(B6007, ""en"", ""fa"")
"),"برندسازی و طراحی لوگو")</f>
        <v>برندسازی و طراحی لوگو</v>
      </c>
      <c r="G6007" s="1" t="str">
        <f>IFERROR(__xludf.DUMMYFUNCTION("GOOGLETRANSLATE(C6007, ""en"", ""fa"")
"),"به اهمیت شناخت و یادآوری برند در ایجاد حضور قوی در بازار فکر کنید.")</f>
        <v>به اهمیت شناخت و یادآوری برند در ایجاد حضور قوی در بازار فکر کنید.</v>
      </c>
      <c r="H6007" s="1"/>
      <c r="I6007" s="1"/>
      <c r="J6007" s="1"/>
      <c r="K6007" s="1"/>
      <c r="L6007" s="1"/>
      <c r="M6007" s="1"/>
      <c r="N6007" s="1"/>
      <c r="O6007" s="1"/>
      <c r="P6007" s="1"/>
      <c r="Q6007" s="1"/>
      <c r="R6007" s="1"/>
      <c r="S6007" s="1"/>
      <c r="T6007" s="1"/>
      <c r="U6007" s="1"/>
      <c r="V6007" s="1"/>
      <c r="W6007" s="1"/>
      <c r="X6007" s="1"/>
      <c r="Y6007" s="1"/>
      <c r="Z6007" s="1"/>
      <c r="AA6007" s="1"/>
      <c r="AB6007" s="1"/>
    </row>
    <row r="6008" ht="50.25" customHeight="1">
      <c r="A6008" s="12">
        <v>6004.0</v>
      </c>
      <c r="B6008" s="13" t="s">
        <v>5926</v>
      </c>
      <c r="C6008" s="18" t="s">
        <v>6030</v>
      </c>
      <c r="D6008" s="1"/>
      <c r="E6008" s="1"/>
      <c r="F6008" s="1" t="str">
        <f>IFERROR(__xludf.DUMMYFUNCTION("GOOGLETRANSLATE(B6008, ""en"", ""fa"")
"),"برندسازی و طراحی لوگو")</f>
        <v>برندسازی و طراحی لوگو</v>
      </c>
      <c r="G6008" s="1" t="str">
        <f>IFERROR(__xludf.DUMMYFUNCTION("GOOGLETRANSLATE(C6008, ""en"", ""fa"")
"),"درباره تأثیر مشارکت و همکاری برند در گسترش آگاهی از برند و دستیابی به مخاطبان جدید بحث کنید.")</f>
        <v>درباره تأثیر مشارکت و همکاری برند در گسترش آگاهی از برند و دستیابی به مخاطبان جدید بحث کنید.</v>
      </c>
      <c r="H6008" s="1"/>
      <c r="I6008" s="1"/>
      <c r="J6008" s="1"/>
      <c r="K6008" s="1"/>
      <c r="L6008" s="1"/>
      <c r="M6008" s="1"/>
      <c r="N6008" s="1"/>
      <c r="O6008" s="1"/>
      <c r="P6008" s="1"/>
      <c r="Q6008" s="1"/>
      <c r="R6008" s="1"/>
      <c r="S6008" s="1"/>
      <c r="T6008" s="1"/>
      <c r="U6008" s="1"/>
      <c r="V6008" s="1"/>
      <c r="W6008" s="1"/>
      <c r="X6008" s="1"/>
      <c r="Y6008" s="1"/>
      <c r="Z6008" s="1"/>
      <c r="AA6008" s="1"/>
      <c r="AB6008" s="1"/>
    </row>
    <row r="6009" ht="50.25" customHeight="1">
      <c r="A6009" s="12">
        <v>6005.0</v>
      </c>
      <c r="B6009" s="13" t="s">
        <v>5926</v>
      </c>
      <c r="C6009" s="18" t="s">
        <v>6031</v>
      </c>
      <c r="D6009" s="1"/>
      <c r="E6009" s="1"/>
      <c r="F6009" s="1" t="str">
        <f>IFERROR(__xludf.DUMMYFUNCTION("GOOGLETRANSLATE(B6009, ""en"", ""fa"")
"),"برندسازی و طراحی لوگو")</f>
        <v>برندسازی و طراحی لوگو</v>
      </c>
      <c r="G6009" s="1" t="str">
        <f>IFERROR(__xludf.DUMMYFUNCTION("GOOGLETRANSLATE(C6009, ""en"", ""fa"")
"),"نکاتی را برای ایجاد یک بیانیه موقعیت یابی برند که ارزش منحصر به فرد برند را در بازار نشان می دهد، به اشتراک بگذارید.")</f>
        <v>نکاتی را برای ایجاد یک بیانیه موقعیت یابی برند که ارزش منحصر به فرد برند را در بازار نشان می دهد، به اشتراک بگذارید.</v>
      </c>
      <c r="H6009" s="1"/>
      <c r="I6009" s="1"/>
      <c r="J6009" s="1"/>
      <c r="K6009" s="1"/>
      <c r="L6009" s="1"/>
      <c r="M6009" s="1"/>
      <c r="N6009" s="1"/>
      <c r="O6009" s="1"/>
      <c r="P6009" s="1"/>
      <c r="Q6009" s="1"/>
      <c r="R6009" s="1"/>
      <c r="S6009" s="1"/>
      <c r="T6009" s="1"/>
      <c r="U6009" s="1"/>
      <c r="V6009" s="1"/>
      <c r="W6009" s="1"/>
      <c r="X6009" s="1"/>
      <c r="Y6009" s="1"/>
      <c r="Z6009" s="1"/>
      <c r="AA6009" s="1"/>
      <c r="AB6009" s="1"/>
    </row>
    <row r="6010" ht="50.25" customHeight="1">
      <c r="A6010" s="12">
        <v>6006.0</v>
      </c>
      <c r="B6010" s="13" t="s">
        <v>5926</v>
      </c>
      <c r="C6010" s="18" t="s">
        <v>6032</v>
      </c>
      <c r="D6010" s="1"/>
      <c r="E6010" s="1"/>
      <c r="F6010" s="1" t="str">
        <f>IFERROR(__xludf.DUMMYFUNCTION("GOOGLETRANSLATE(B6010, ""en"", ""fa"")
"),"برندسازی و طراحی لوگو")</f>
        <v>برندسازی و طراحی لوگو</v>
      </c>
      <c r="G6010" s="1" t="str">
        <f>IFERROR(__xludf.DUMMYFUNCTION("GOOGLETRANSLATE(C6010, ""en"", ""fa"")
"),"نقش طراحی تجربه کاربر (UX) را در ایجاد تعاملات یکپارچه و بصری با نام تجاری بررسی کنید.")</f>
        <v>نقش طراحی تجربه کاربر (UX) را در ایجاد تعاملات یکپارچه و بصری با نام تجاری بررسی کنید.</v>
      </c>
      <c r="H6010" s="1"/>
      <c r="I6010" s="1"/>
      <c r="J6010" s="1"/>
      <c r="K6010" s="1"/>
      <c r="L6010" s="1"/>
      <c r="M6010" s="1"/>
      <c r="N6010" s="1"/>
      <c r="O6010" s="1"/>
      <c r="P6010" s="1"/>
      <c r="Q6010" s="1"/>
      <c r="R6010" s="1"/>
      <c r="S6010" s="1"/>
      <c r="T6010" s="1"/>
      <c r="U6010" s="1"/>
      <c r="V6010" s="1"/>
      <c r="W6010" s="1"/>
      <c r="X6010" s="1"/>
      <c r="Y6010" s="1"/>
      <c r="Z6010" s="1"/>
      <c r="AA6010" s="1"/>
      <c r="AB6010" s="1"/>
    </row>
    <row r="6011" ht="50.25" customHeight="1">
      <c r="A6011" s="12">
        <v>6007.0</v>
      </c>
      <c r="B6011" s="13" t="s">
        <v>5926</v>
      </c>
      <c r="C6011" s="18" t="s">
        <v>6033</v>
      </c>
      <c r="D6011" s="1"/>
      <c r="E6011" s="1"/>
      <c r="F6011" s="1" t="str">
        <f>IFERROR(__xludf.DUMMYFUNCTION("GOOGLETRANSLATE(B6011, ""en"", ""fa"")
"),"برندسازی و طراحی لوگو")</f>
        <v>برندسازی و طراحی لوگو</v>
      </c>
      <c r="G6011" s="1" t="str">
        <f>IFERROR(__xludf.DUMMYFUNCTION("GOOGLETRANSLATE(C6011, ""en"", ""fa"")
"),"به تأثیر رسانه های اجتماعی در ساخت برند و استفاده از محتوای تولید شده توسط کاربر برای ارتقای برند فکر کنید.")</f>
        <v>به تأثیر رسانه های اجتماعی در ساخت برند و استفاده از محتوای تولید شده توسط کاربر برای ارتقای برند فکر کنید.</v>
      </c>
      <c r="H6011" s="1"/>
      <c r="I6011" s="1"/>
      <c r="J6011" s="1"/>
      <c r="K6011" s="1"/>
      <c r="L6011" s="1"/>
      <c r="M6011" s="1"/>
      <c r="N6011" s="1"/>
      <c r="O6011" s="1"/>
      <c r="P6011" s="1"/>
      <c r="Q6011" s="1"/>
      <c r="R6011" s="1"/>
      <c r="S6011" s="1"/>
      <c r="T6011" s="1"/>
      <c r="U6011" s="1"/>
      <c r="V6011" s="1"/>
      <c r="W6011" s="1"/>
      <c r="X6011" s="1"/>
      <c r="Y6011" s="1"/>
      <c r="Z6011" s="1"/>
      <c r="AA6011" s="1"/>
      <c r="AB6011" s="1"/>
    </row>
    <row r="6012" ht="50.25" customHeight="1">
      <c r="A6012" s="12">
        <v>6008.0</v>
      </c>
      <c r="B6012" s="13" t="s">
        <v>5926</v>
      </c>
      <c r="C6012" s="18" t="s">
        <v>6034</v>
      </c>
      <c r="D6012" s="1"/>
      <c r="E6012" s="1"/>
      <c r="F6012" s="1" t="str">
        <f>IFERROR(__xludf.DUMMYFUNCTION("GOOGLETRANSLATE(B6012, ""en"", ""fa"")
"),"برندسازی و طراحی لوگو")</f>
        <v>برندسازی و طراحی لوگو</v>
      </c>
      <c r="G6012" s="1" t="str">
        <f>IFERROR(__xludf.DUMMYFUNCTION("GOOGLETRANSLATE(C6012, ""en"", ""fa"")
"),"در مورد ملاحظات طراحی هویت برند پاسخگو که با پلتفرم‌ها و دستگاه‌های دیجیتال مختلف سازگار است، بحث کنید.")</f>
        <v>در مورد ملاحظات طراحی هویت برند پاسخگو که با پلتفرم‌ها و دستگاه‌های دیجیتال مختلف سازگار است، بحث کنید.</v>
      </c>
      <c r="H6012" s="1"/>
      <c r="I6012" s="1"/>
      <c r="J6012" s="1"/>
      <c r="K6012" s="1"/>
      <c r="L6012" s="1"/>
      <c r="M6012" s="1"/>
      <c r="N6012" s="1"/>
      <c r="O6012" s="1"/>
      <c r="P6012" s="1"/>
      <c r="Q6012" s="1"/>
      <c r="R6012" s="1"/>
      <c r="S6012" s="1"/>
      <c r="T6012" s="1"/>
      <c r="U6012" s="1"/>
      <c r="V6012" s="1"/>
      <c r="W6012" s="1"/>
      <c r="X6012" s="1"/>
      <c r="Y6012" s="1"/>
      <c r="Z6012" s="1"/>
      <c r="AA6012" s="1"/>
      <c r="AB6012" s="1"/>
    </row>
    <row r="6013" ht="50.25" customHeight="1">
      <c r="A6013" s="12">
        <v>6009.0</v>
      </c>
      <c r="B6013" s="13" t="s">
        <v>5926</v>
      </c>
      <c r="C6013" s="18" t="s">
        <v>6035</v>
      </c>
      <c r="D6013" s="1"/>
      <c r="E6013" s="1"/>
      <c r="F6013" s="1" t="str">
        <f>IFERROR(__xludf.DUMMYFUNCTION("GOOGLETRANSLATE(B6013, ""en"", ""fa"")
"),"برندسازی و طراحی لوگو")</f>
        <v>برندسازی و طراحی لوگو</v>
      </c>
      <c r="G6013" s="1" t="str">
        <f>IFERROR(__xludf.DUMMYFUNCTION("GOOGLETRANSLATE(C6013, ""en"", ""fa"")
"),"تکنیک‌هایی را برای انجام نظرسنجی‌های ادراک برند برای جمع‌آوری بینش در مورد نحوه درک برند توسط مشتریان به اشتراک بگذارید.")</f>
        <v>تکنیک‌هایی را برای انجام نظرسنجی‌های ادراک برند برای جمع‌آوری بینش در مورد نحوه درک برند توسط مشتریان به اشتراک بگذارید.</v>
      </c>
      <c r="H6013" s="1"/>
      <c r="I6013" s="1"/>
      <c r="J6013" s="1"/>
      <c r="K6013" s="1"/>
      <c r="L6013" s="1"/>
      <c r="M6013" s="1"/>
      <c r="N6013" s="1"/>
      <c r="O6013" s="1"/>
      <c r="P6013" s="1"/>
      <c r="Q6013" s="1"/>
      <c r="R6013" s="1"/>
      <c r="S6013" s="1"/>
      <c r="T6013" s="1"/>
      <c r="U6013" s="1"/>
      <c r="V6013" s="1"/>
      <c r="W6013" s="1"/>
      <c r="X6013" s="1"/>
      <c r="Y6013" s="1"/>
      <c r="Z6013" s="1"/>
      <c r="AA6013" s="1"/>
      <c r="AB6013" s="1"/>
    </row>
    <row r="6014" ht="50.25" customHeight="1">
      <c r="A6014" s="12">
        <v>6010.0</v>
      </c>
      <c r="B6014" s="13" t="s">
        <v>5926</v>
      </c>
      <c r="C6014" s="18" t="s">
        <v>6036</v>
      </c>
      <c r="D6014" s="1"/>
      <c r="E6014" s="1"/>
      <c r="F6014" s="1" t="str">
        <f>IFERROR(__xludf.DUMMYFUNCTION("GOOGLETRANSLATE(B6014, ""en"", ""fa"")
"),"برندسازی و طراحی لوگو")</f>
        <v>برندسازی و طراحی لوگو</v>
      </c>
      <c r="G6014" s="1" t="str">
        <f>IFERROR(__xludf.DUMMYFUNCTION("GOOGLETRANSLATE(C6014, ""en"", ""fa"")
"),"تأثیر برنامه‌ها و مشوق‌های وفاداری به برند در تقویت حفظ مشتری و تکرار تجارت را بررسی کنید.")</f>
        <v>تأثیر برنامه‌ها و مشوق‌های وفاداری به برند در تقویت حفظ مشتری و تکرار تجارت را بررسی کنید.</v>
      </c>
      <c r="H6014" s="1"/>
      <c r="I6014" s="1"/>
      <c r="J6014" s="1"/>
      <c r="K6014" s="1"/>
      <c r="L6014" s="1"/>
      <c r="M6014" s="1"/>
      <c r="N6014" s="1"/>
      <c r="O6014" s="1"/>
      <c r="P6014" s="1"/>
      <c r="Q6014" s="1"/>
      <c r="R6014" s="1"/>
      <c r="S6014" s="1"/>
      <c r="T6014" s="1"/>
      <c r="U6014" s="1"/>
      <c r="V6014" s="1"/>
      <c r="W6014" s="1"/>
      <c r="X6014" s="1"/>
      <c r="Y6014" s="1"/>
      <c r="Z6014" s="1"/>
      <c r="AA6014" s="1"/>
      <c r="AB6014" s="1"/>
    </row>
    <row r="6015" ht="50.25" customHeight="1">
      <c r="A6015" s="12">
        <v>6011.0</v>
      </c>
      <c r="B6015" s="13" t="s">
        <v>5926</v>
      </c>
      <c r="C6015" s="18" t="s">
        <v>6037</v>
      </c>
      <c r="D6015" s="1"/>
      <c r="E6015" s="1"/>
      <c r="F6015" s="1" t="str">
        <f>IFERROR(__xludf.DUMMYFUNCTION("GOOGLETRANSLATE(B6015, ""en"", ""fa"")
"),"برندسازی و طراحی لوگو")</f>
        <v>برندسازی و طراحی لوگو</v>
      </c>
      <c r="G6015" s="1" t="str">
        <f>IFERROR(__xludf.DUMMYFUNCTION("GOOGLETRANSLATE(C6015, ""en"", ""fa"")
"),"به نقش کهن الگوهای برند در ایجاد شخصیت برند ثابت و قابل تشخیص فکر کنید.")</f>
        <v>به نقش کهن الگوهای برند در ایجاد شخصیت برند ثابت و قابل تشخیص فکر کنید.</v>
      </c>
      <c r="H6015" s="1"/>
      <c r="I6015" s="1"/>
      <c r="J6015" s="1"/>
      <c r="K6015" s="1"/>
      <c r="L6015" s="1"/>
      <c r="M6015" s="1"/>
      <c r="N6015" s="1"/>
      <c r="O6015" s="1"/>
      <c r="P6015" s="1"/>
      <c r="Q6015" s="1"/>
      <c r="R6015" s="1"/>
      <c r="S6015" s="1"/>
      <c r="T6015" s="1"/>
      <c r="U6015" s="1"/>
      <c r="V6015" s="1"/>
      <c r="W6015" s="1"/>
      <c r="X6015" s="1"/>
      <c r="Y6015" s="1"/>
      <c r="Z6015" s="1"/>
      <c r="AA6015" s="1"/>
      <c r="AB6015" s="1"/>
    </row>
    <row r="6016" ht="50.25" customHeight="1">
      <c r="A6016" s="12">
        <v>6012.0</v>
      </c>
      <c r="B6016" s="13" t="s">
        <v>5926</v>
      </c>
      <c r="C6016" s="18" t="s">
        <v>6038</v>
      </c>
      <c r="D6016" s="1"/>
      <c r="E6016" s="1"/>
      <c r="F6016" s="1" t="str">
        <f>IFERROR(__xludf.DUMMYFUNCTION("GOOGLETRANSLATE(B6016, ""en"", ""fa"")
"),"برندسازی و طراحی لوگو")</f>
        <v>برندسازی و طراحی لوگو</v>
      </c>
      <c r="G6016" s="1" t="str">
        <f>IFERROR(__xludf.DUMMYFUNCTION("GOOGLETRANSLATE(C6016, ""en"", ""fa"")
"),"در مورد اهمیت نظارت بر برند و مدیریت شهرت در حفظ تصویر مثبت برند بحث کنید.")</f>
        <v>در مورد اهمیت نظارت بر برند و مدیریت شهرت در حفظ تصویر مثبت برند بحث کنید.</v>
      </c>
      <c r="H6016" s="1"/>
      <c r="I6016" s="1"/>
      <c r="J6016" s="1"/>
      <c r="K6016" s="1"/>
      <c r="L6016" s="1"/>
      <c r="M6016" s="1"/>
      <c r="N6016" s="1"/>
      <c r="O6016" s="1"/>
      <c r="P6016" s="1"/>
      <c r="Q6016" s="1"/>
      <c r="R6016" s="1"/>
      <c r="S6016" s="1"/>
      <c r="T6016" s="1"/>
      <c r="U6016" s="1"/>
      <c r="V6016" s="1"/>
      <c r="W6016" s="1"/>
      <c r="X6016" s="1"/>
      <c r="Y6016" s="1"/>
      <c r="Z6016" s="1"/>
      <c r="AA6016" s="1"/>
      <c r="AB6016" s="1"/>
    </row>
    <row r="6017" ht="50.25" customHeight="1">
      <c r="A6017" s="12">
        <v>6013.0</v>
      </c>
      <c r="B6017" s="13" t="s">
        <v>5926</v>
      </c>
      <c r="C6017" s="18" t="s">
        <v>6039</v>
      </c>
      <c r="D6017" s="1"/>
      <c r="E6017" s="1"/>
      <c r="F6017" s="1" t="str">
        <f>IFERROR(__xludf.DUMMYFUNCTION("GOOGLETRANSLATE(B6017, ""en"", ""fa"")
"),"برندسازی و طراحی لوگو")</f>
        <v>برندسازی و طراحی لوگو</v>
      </c>
      <c r="G6017" s="1" t="str">
        <f>IFERROR(__xludf.DUMMYFUNCTION("GOOGLETRANSLATE(C6017, ""en"", ""fa"")
"),"نکاتی را برای ایجاد یک داستان برند متقاعد کننده که مشتریان را درگیر می کند و ارتباطات عاطفی را تقویت می کند، به اشتراک بگذارید.")</f>
        <v>نکاتی را برای ایجاد یک داستان برند متقاعد کننده که مشتریان را درگیر می کند و ارتباطات عاطفی را تقویت می کند، به اشتراک بگذارید.</v>
      </c>
      <c r="H6017" s="1"/>
      <c r="I6017" s="1"/>
      <c r="J6017" s="1"/>
      <c r="K6017" s="1"/>
      <c r="L6017" s="1"/>
      <c r="M6017" s="1"/>
      <c r="N6017" s="1"/>
      <c r="O6017" s="1"/>
      <c r="P6017" s="1"/>
      <c r="Q6017" s="1"/>
      <c r="R6017" s="1"/>
      <c r="S6017" s="1"/>
      <c r="T6017" s="1"/>
      <c r="U6017" s="1"/>
      <c r="V6017" s="1"/>
      <c r="W6017" s="1"/>
      <c r="X6017" s="1"/>
      <c r="Y6017" s="1"/>
      <c r="Z6017" s="1"/>
      <c r="AA6017" s="1"/>
      <c r="AB6017" s="1"/>
    </row>
    <row r="6018" ht="50.25" customHeight="1">
      <c r="A6018" s="12">
        <v>6014.0</v>
      </c>
      <c r="B6018" s="13" t="s">
        <v>5926</v>
      </c>
      <c r="C6018" s="18" t="s">
        <v>6040</v>
      </c>
      <c r="D6018" s="1"/>
      <c r="E6018" s="1"/>
      <c r="F6018" s="1" t="str">
        <f>IFERROR(__xludf.DUMMYFUNCTION("GOOGLETRANSLATE(B6018, ""en"", ""fa"")
"),"برندسازی و طراحی لوگو")</f>
        <v>برندسازی و طراحی لوگو</v>
      </c>
      <c r="G6018" s="1" t="str">
        <f>IFERROR(__xludf.DUMMYFUNCTION("GOOGLETRANSLATE(C6018, ""en"", ""fa"")
"),"مفهوم تکامل نام تجاری و چالش های تغییر نام تجاری را برای پاسخگویی به پویایی های بازار در حال تغییر کاوش کنید.")</f>
        <v>مفهوم تکامل نام تجاری و چالش های تغییر نام تجاری را برای پاسخگویی به پویایی های بازار در حال تغییر کاوش کنید.</v>
      </c>
      <c r="H6018" s="1"/>
      <c r="I6018" s="1"/>
      <c r="J6018" s="1"/>
      <c r="K6018" s="1"/>
      <c r="L6018" s="1"/>
      <c r="M6018" s="1"/>
      <c r="N6018" s="1"/>
      <c r="O6018" s="1"/>
      <c r="P6018" s="1"/>
      <c r="Q6018" s="1"/>
      <c r="R6018" s="1"/>
      <c r="S6018" s="1"/>
      <c r="T6018" s="1"/>
      <c r="U6018" s="1"/>
      <c r="V6018" s="1"/>
      <c r="W6018" s="1"/>
      <c r="X6018" s="1"/>
      <c r="Y6018" s="1"/>
      <c r="Z6018" s="1"/>
      <c r="AA6018" s="1"/>
      <c r="AB6018" s="1"/>
    </row>
    <row r="6019" ht="50.25" customHeight="1">
      <c r="A6019" s="12">
        <v>6015.0</v>
      </c>
      <c r="B6019" s="13" t="s">
        <v>5926</v>
      </c>
      <c r="C6019" s="18" t="s">
        <v>6041</v>
      </c>
      <c r="D6019" s="1"/>
      <c r="E6019" s="1"/>
      <c r="F6019" s="1" t="str">
        <f>IFERROR(__xludf.DUMMYFUNCTION("GOOGLETRANSLATE(B6019, ""en"", ""fa"")
"),"برندسازی و طراحی لوگو")</f>
        <v>برندسازی و طراحی لوگو</v>
      </c>
      <c r="G6019" s="1" t="str">
        <f>IFERROR(__xludf.DUMMYFUNCTION("GOOGLETRANSLATE(C6019, ""en"", ""fa"")
"),"به نقش حامیان برند و بازاریابی دهان به دهان در ایجاد اعتبار و اعتماد برند فکر کنید.")</f>
        <v>به نقش حامیان برند و بازاریابی دهان به دهان در ایجاد اعتبار و اعتماد برند فکر کنید.</v>
      </c>
      <c r="H6019" s="1"/>
      <c r="I6019" s="1"/>
      <c r="J6019" s="1"/>
      <c r="K6019" s="1"/>
      <c r="L6019" s="1"/>
      <c r="M6019" s="1"/>
      <c r="N6019" s="1"/>
      <c r="O6019" s="1"/>
      <c r="P6019" s="1"/>
      <c r="Q6019" s="1"/>
      <c r="R6019" s="1"/>
      <c r="S6019" s="1"/>
      <c r="T6019" s="1"/>
      <c r="U6019" s="1"/>
      <c r="V6019" s="1"/>
      <c r="W6019" s="1"/>
      <c r="X6019" s="1"/>
      <c r="Y6019" s="1"/>
      <c r="Z6019" s="1"/>
      <c r="AA6019" s="1"/>
      <c r="AB6019" s="1"/>
    </row>
    <row r="6020" ht="50.25" customHeight="1">
      <c r="A6020" s="12">
        <v>6016.0</v>
      </c>
      <c r="B6020" s="13" t="s">
        <v>5926</v>
      </c>
      <c r="C6020" s="18" t="s">
        <v>6042</v>
      </c>
      <c r="D6020" s="1"/>
      <c r="E6020" s="1"/>
      <c r="F6020" s="1" t="str">
        <f>IFERROR(__xludf.DUMMYFUNCTION("GOOGLETRANSLATE(B6020, ""en"", ""fa"")
"),"برندسازی و طراحی لوگو")</f>
        <v>برندسازی و طراحی لوگو</v>
      </c>
      <c r="G6020" s="1" t="str">
        <f>IFERROR(__xludf.DUMMYFUNCTION("GOOGLETRANSLATE(C6020, ""en"", ""fa"")
"),"درباره تأثیر تجارب برند در فضاهای فیزیکی، مانند فروشگاه‌های خرده‌فروشی یا رویدادها، در شکل‌دهی ادراکات برند بحث کنید.")</f>
        <v>درباره تأثیر تجارب برند در فضاهای فیزیکی، مانند فروشگاه‌های خرده‌فروشی یا رویدادها، در شکل‌دهی ادراکات برند بحث کنید.</v>
      </c>
      <c r="H6020" s="1"/>
      <c r="I6020" s="1"/>
      <c r="J6020" s="1"/>
      <c r="K6020" s="1"/>
      <c r="L6020" s="1"/>
      <c r="M6020" s="1"/>
      <c r="N6020" s="1"/>
      <c r="O6020" s="1"/>
      <c r="P6020" s="1"/>
      <c r="Q6020" s="1"/>
      <c r="R6020" s="1"/>
      <c r="S6020" s="1"/>
      <c r="T6020" s="1"/>
      <c r="U6020" s="1"/>
      <c r="V6020" s="1"/>
      <c r="W6020" s="1"/>
      <c r="X6020" s="1"/>
      <c r="Y6020" s="1"/>
      <c r="Z6020" s="1"/>
      <c r="AA6020" s="1"/>
      <c r="AB6020" s="1"/>
    </row>
    <row r="6021" ht="50.25" customHeight="1">
      <c r="A6021" s="12">
        <v>6017.0</v>
      </c>
      <c r="B6021" s="13" t="s">
        <v>5926</v>
      </c>
      <c r="C6021" s="18" t="s">
        <v>6043</v>
      </c>
      <c r="D6021" s="1"/>
      <c r="E6021" s="1"/>
      <c r="F6021" s="1" t="str">
        <f>IFERROR(__xludf.DUMMYFUNCTION("GOOGLETRANSLATE(B6021, ""en"", ""fa"")
"),"برندسازی و طراحی لوگو")</f>
        <v>برندسازی و طراحی لوگو</v>
      </c>
      <c r="G6021" s="1" t="str">
        <f>IFERROR(__xludf.DUMMYFUNCTION("GOOGLETRANSLATE(C6021, ""en"", ""fa"")
"),"تکنیک هایی را برای ترکیب عناصر داستان سرایی در طراحی لوگو برای برانگیختن احساسات و انتقال ارزش های برند به اشتراک بگذارید.")</f>
        <v>تکنیک هایی را برای ترکیب عناصر داستان سرایی در طراحی لوگو برای برانگیختن احساسات و انتقال ارزش های برند به اشتراک بگذارید.</v>
      </c>
      <c r="H6021" s="1"/>
      <c r="I6021" s="1"/>
      <c r="J6021" s="1"/>
      <c r="K6021" s="1"/>
      <c r="L6021" s="1"/>
      <c r="M6021" s="1"/>
      <c r="N6021" s="1"/>
      <c r="O6021" s="1"/>
      <c r="P6021" s="1"/>
      <c r="Q6021" s="1"/>
      <c r="R6021" s="1"/>
      <c r="S6021" s="1"/>
      <c r="T6021" s="1"/>
      <c r="U6021" s="1"/>
      <c r="V6021" s="1"/>
      <c r="W6021" s="1"/>
      <c r="X6021" s="1"/>
      <c r="Y6021" s="1"/>
      <c r="Z6021" s="1"/>
      <c r="AA6021" s="1"/>
      <c r="AB6021" s="1"/>
    </row>
    <row r="6022" ht="50.25" customHeight="1">
      <c r="A6022" s="12">
        <v>6018.0</v>
      </c>
      <c r="B6022" s="13" t="s">
        <v>5926</v>
      </c>
      <c r="C6022" s="18" t="s">
        <v>6044</v>
      </c>
      <c r="D6022" s="1"/>
      <c r="E6022" s="1"/>
      <c r="F6022" s="1" t="str">
        <f>IFERROR(__xludf.DUMMYFUNCTION("GOOGLETRANSLATE(B6022, ""en"", ""fa"")
"),"برندسازی و طراحی لوگو")</f>
        <v>برندسازی و طراحی لوگو</v>
      </c>
      <c r="G6022" s="1" t="str">
        <f>IFERROR(__xludf.DUMMYFUNCTION("GOOGLETRANSLATE(C6022, ""en"", ""fa"")
"),"تأثیر روانشناسی مصرف کننده در برندسازی و نحوه همسو کردن پیام های برند با انگیزه های مشتری را بررسی کنید.")</f>
        <v>تأثیر روانشناسی مصرف کننده در برندسازی و نحوه همسو کردن پیام های برند با انگیزه های مشتری را بررسی کنید.</v>
      </c>
      <c r="H6022" s="1"/>
      <c r="I6022" s="1"/>
      <c r="J6022" s="1"/>
      <c r="K6022" s="1"/>
      <c r="L6022" s="1"/>
      <c r="M6022" s="1"/>
      <c r="N6022" s="1"/>
      <c r="O6022" s="1"/>
      <c r="P6022" s="1"/>
      <c r="Q6022" s="1"/>
      <c r="R6022" s="1"/>
      <c r="S6022" s="1"/>
      <c r="T6022" s="1"/>
      <c r="U6022" s="1"/>
      <c r="V6022" s="1"/>
      <c r="W6022" s="1"/>
      <c r="X6022" s="1"/>
      <c r="Y6022" s="1"/>
      <c r="Z6022" s="1"/>
      <c r="AA6022" s="1"/>
      <c r="AB6022" s="1"/>
    </row>
    <row r="6023" ht="50.25" customHeight="1">
      <c r="A6023" s="12">
        <v>6019.0</v>
      </c>
      <c r="B6023" s="13" t="s">
        <v>5926</v>
      </c>
      <c r="C6023" s="18" t="s">
        <v>6045</v>
      </c>
      <c r="D6023" s="1"/>
      <c r="E6023" s="1"/>
      <c r="F6023" s="1" t="str">
        <f>IFERROR(__xludf.DUMMYFUNCTION("GOOGLETRANSLATE(B6023, ""en"", ""fa"")
"),"برندسازی و طراحی لوگو")</f>
        <v>برندسازی و طراحی لوگو</v>
      </c>
      <c r="G6023" s="1" t="str">
        <f>IFERROR(__xludf.DUMMYFUNCTION("GOOGLETRANSLATE(C6023, ""en"", ""fa"")
"),"نقش نظارت بر برند و تجزیه و تحلیل رقابتی در شناسایی فرصت‌های رشد برند را بررسی کنید.")</f>
        <v>نقش نظارت بر برند و تجزیه و تحلیل رقابتی در شناسایی فرصت‌های رشد برند را بررسی کنید.</v>
      </c>
      <c r="H6023" s="1"/>
      <c r="I6023" s="1"/>
      <c r="J6023" s="1"/>
      <c r="K6023" s="1"/>
      <c r="L6023" s="1"/>
      <c r="M6023" s="1"/>
      <c r="N6023" s="1"/>
      <c r="O6023" s="1"/>
      <c r="P6023" s="1"/>
      <c r="Q6023" s="1"/>
      <c r="R6023" s="1"/>
      <c r="S6023" s="1"/>
      <c r="T6023" s="1"/>
      <c r="U6023" s="1"/>
      <c r="V6023" s="1"/>
      <c r="W6023" s="1"/>
      <c r="X6023" s="1"/>
      <c r="Y6023" s="1"/>
      <c r="Z6023" s="1"/>
      <c r="AA6023" s="1"/>
      <c r="AB6023" s="1"/>
    </row>
    <row r="6024" ht="50.25" customHeight="1">
      <c r="A6024" s="12">
        <v>6020.0</v>
      </c>
      <c r="B6024" s="13" t="s">
        <v>5926</v>
      </c>
      <c r="C6024" s="18" t="s">
        <v>6046</v>
      </c>
      <c r="D6024" s="1"/>
      <c r="E6024" s="1"/>
      <c r="F6024" s="1" t="str">
        <f>IFERROR(__xludf.DUMMYFUNCTION("GOOGLETRANSLATE(B6024, ""en"", ""fa"")
"),"برندسازی و طراحی لوگو")</f>
        <v>برندسازی و طراحی لوگو</v>
      </c>
      <c r="G6024" s="1" t="str">
        <f>IFERROR(__xludf.DUMMYFUNCTION("GOOGLETRANSLATE(C6024, ""en"", ""fa"")
"),"در مورد ملاحظات ایجاد یک هویت برند که فراگیر و نماینده مخاطبان مختلف باشد، بحث کنید.")</f>
        <v>در مورد ملاحظات ایجاد یک هویت برند که فراگیر و نماینده مخاطبان مختلف باشد، بحث کنید.</v>
      </c>
      <c r="H6024" s="1"/>
      <c r="I6024" s="1"/>
      <c r="J6024" s="1"/>
      <c r="K6024" s="1"/>
      <c r="L6024" s="1"/>
      <c r="M6024" s="1"/>
      <c r="N6024" s="1"/>
      <c r="O6024" s="1"/>
      <c r="P6024" s="1"/>
      <c r="Q6024" s="1"/>
      <c r="R6024" s="1"/>
      <c r="S6024" s="1"/>
      <c r="T6024" s="1"/>
      <c r="U6024" s="1"/>
      <c r="V6024" s="1"/>
      <c r="W6024" s="1"/>
      <c r="X6024" s="1"/>
      <c r="Y6024" s="1"/>
      <c r="Z6024" s="1"/>
      <c r="AA6024" s="1"/>
      <c r="AB6024" s="1"/>
    </row>
    <row r="6025" ht="50.25" customHeight="1">
      <c r="A6025" s="12">
        <v>6021.0</v>
      </c>
      <c r="B6025" s="13" t="s">
        <v>5926</v>
      </c>
      <c r="C6025" s="18" t="s">
        <v>6047</v>
      </c>
      <c r="D6025" s="1"/>
      <c r="E6025" s="1"/>
      <c r="F6025" s="1" t="str">
        <f>IFERROR(__xludf.DUMMYFUNCTION("GOOGLETRANSLATE(B6025, ""en"", ""fa"")
"),"برندسازی و طراحی لوگو")</f>
        <v>برندسازی و طراحی لوگو</v>
      </c>
      <c r="G6025" s="1" t="str">
        <f>IFERROR(__xludf.DUMMYFUNCTION("GOOGLETRANSLATE(C6025, ""en"", ""fa"")
"),"نکاتی را برای ایجاد یک زبان بصری برند که فراتر از لوگو است و عناصر طراحی مختلف را در بر می گیرد، به اشتراک بگذارید.")</f>
        <v>نکاتی را برای ایجاد یک زبان بصری برند که فراتر از لوگو است و عناصر طراحی مختلف را در بر می گیرد، به اشتراک بگذارید.</v>
      </c>
      <c r="H6025" s="1"/>
      <c r="I6025" s="1"/>
      <c r="J6025" s="1"/>
      <c r="K6025" s="1"/>
      <c r="L6025" s="1"/>
      <c r="M6025" s="1"/>
      <c r="N6025" s="1"/>
      <c r="O6025" s="1"/>
      <c r="P6025" s="1"/>
      <c r="Q6025" s="1"/>
      <c r="R6025" s="1"/>
      <c r="S6025" s="1"/>
      <c r="T6025" s="1"/>
      <c r="U6025" s="1"/>
      <c r="V6025" s="1"/>
      <c r="W6025" s="1"/>
      <c r="X6025" s="1"/>
      <c r="Y6025" s="1"/>
      <c r="Z6025" s="1"/>
      <c r="AA6025" s="1"/>
      <c r="AB6025" s="1"/>
    </row>
    <row r="6026" ht="50.25" customHeight="1">
      <c r="A6026" s="12">
        <v>6022.0</v>
      </c>
      <c r="B6026" s="13" t="s">
        <v>5926</v>
      </c>
      <c r="C6026" s="18" t="s">
        <v>6048</v>
      </c>
      <c r="D6026" s="1"/>
      <c r="E6026" s="1"/>
      <c r="F6026" s="1" t="str">
        <f>IFERROR(__xludf.DUMMYFUNCTION("GOOGLETRANSLATE(B6026, ""en"", ""fa"")
"),"برندسازی و طراحی لوگو")</f>
        <v>برندسازی و طراحی لوگو</v>
      </c>
      <c r="G6026" s="1" t="str">
        <f>IFERROR(__xludf.DUMMYFUNCTION("GOOGLETRANSLATE(C6026, ""en"", ""fa"")
"),"تاثیر اعتماد به برند و شفافیت در تصمیم گیری مصرف کننده و وفاداری به برند را بررسی کنید.")</f>
        <v>تاثیر اعتماد به برند و شفافیت در تصمیم گیری مصرف کننده و وفاداری به برند را بررسی کنید.</v>
      </c>
      <c r="H6026" s="1"/>
      <c r="I6026" s="1"/>
      <c r="J6026" s="1"/>
      <c r="K6026" s="1"/>
      <c r="L6026" s="1"/>
      <c r="M6026" s="1"/>
      <c r="N6026" s="1"/>
      <c r="O6026" s="1"/>
      <c r="P6026" s="1"/>
      <c r="Q6026" s="1"/>
      <c r="R6026" s="1"/>
      <c r="S6026" s="1"/>
      <c r="T6026" s="1"/>
      <c r="U6026" s="1"/>
      <c r="V6026" s="1"/>
      <c r="W6026" s="1"/>
      <c r="X6026" s="1"/>
      <c r="Y6026" s="1"/>
      <c r="Z6026" s="1"/>
      <c r="AA6026" s="1"/>
      <c r="AB6026" s="1"/>
    </row>
    <row r="6027" ht="50.25" customHeight="1">
      <c r="A6027" s="12">
        <v>6023.0</v>
      </c>
      <c r="B6027" s="13" t="s">
        <v>5926</v>
      </c>
      <c r="C6027" s="18" t="s">
        <v>6049</v>
      </c>
      <c r="D6027" s="1"/>
      <c r="E6027" s="1"/>
      <c r="F6027" s="1" t="str">
        <f>IFERROR(__xludf.DUMMYFUNCTION("GOOGLETRANSLATE(B6027, ""en"", ""fa"")
"),"برندسازی و طراحی لوگو")</f>
        <v>برندسازی و طراحی لوگو</v>
      </c>
      <c r="G6027" s="1" t="str">
        <f>IFERROR(__xludf.DUMMYFUNCTION("GOOGLETRANSLATE(C6027, ""en"", ""fa"")
"),"در مورد نقش کانال های ارتباطی برند مانند وب سایت ها، رسانه های اجتماعی و تبلیغات در انتقال پیام برند فکر کنید.")</f>
        <v>در مورد نقش کانال های ارتباطی برند مانند وب سایت ها، رسانه های اجتماعی و تبلیغات در انتقال پیام برند فکر کنید.</v>
      </c>
      <c r="H6027" s="1"/>
      <c r="I6027" s="1"/>
      <c r="J6027" s="1"/>
      <c r="K6027" s="1"/>
      <c r="L6027" s="1"/>
      <c r="M6027" s="1"/>
      <c r="N6027" s="1"/>
      <c r="O6027" s="1"/>
      <c r="P6027" s="1"/>
      <c r="Q6027" s="1"/>
      <c r="R6027" s="1"/>
      <c r="S6027" s="1"/>
      <c r="T6027" s="1"/>
      <c r="U6027" s="1"/>
      <c r="V6027" s="1"/>
      <c r="W6027" s="1"/>
      <c r="X6027" s="1"/>
      <c r="Y6027" s="1"/>
      <c r="Z6027" s="1"/>
      <c r="AA6027" s="1"/>
      <c r="AB6027" s="1"/>
    </row>
    <row r="6028" ht="50.25" customHeight="1">
      <c r="A6028" s="12">
        <v>6024.0</v>
      </c>
      <c r="B6028" s="13" t="s">
        <v>5926</v>
      </c>
      <c r="C6028" s="18" t="s">
        <v>6050</v>
      </c>
      <c r="D6028" s="1"/>
      <c r="E6028" s="1"/>
      <c r="F6028" s="1" t="str">
        <f>IFERROR(__xludf.DUMMYFUNCTION("GOOGLETRANSLATE(B6028, ""en"", ""fa"")
"),"برندسازی و طراحی لوگو")</f>
        <v>برندسازی و طراحی لوگو</v>
      </c>
      <c r="G6028" s="1" t="str">
        <f>IFERROR(__xludf.DUMMYFUNCTION("GOOGLETRANSLATE(C6028, ""en"", ""fa"")
"),"در مورد اهمیت اعتبار برند و چگونگی حفظ یکپارچگی برند در تمام تعاملات برند بحث کنید.")</f>
        <v>در مورد اهمیت اعتبار برند و چگونگی حفظ یکپارچگی برند در تمام تعاملات برند بحث کنید.</v>
      </c>
      <c r="H6028" s="1"/>
      <c r="I6028" s="1"/>
      <c r="J6028" s="1"/>
      <c r="K6028" s="1"/>
      <c r="L6028" s="1"/>
      <c r="M6028" s="1"/>
      <c r="N6028" s="1"/>
      <c r="O6028" s="1"/>
      <c r="P6028" s="1"/>
      <c r="Q6028" s="1"/>
      <c r="R6028" s="1"/>
      <c r="S6028" s="1"/>
      <c r="T6028" s="1"/>
      <c r="U6028" s="1"/>
      <c r="V6028" s="1"/>
      <c r="W6028" s="1"/>
      <c r="X6028" s="1"/>
      <c r="Y6028" s="1"/>
      <c r="Z6028" s="1"/>
      <c r="AA6028" s="1"/>
      <c r="AB6028" s="1"/>
    </row>
    <row r="6029" ht="50.25" customHeight="1">
      <c r="A6029" s="12">
        <v>6025.0</v>
      </c>
      <c r="B6029" s="13" t="s">
        <v>5926</v>
      </c>
      <c r="C6029" s="18" t="s">
        <v>6051</v>
      </c>
      <c r="D6029" s="1"/>
      <c r="E6029" s="1"/>
      <c r="F6029" s="1" t="str">
        <f>IFERROR(__xludf.DUMMYFUNCTION("GOOGLETRANSLATE(B6029, ""en"", ""fa"")
"),"برندسازی و طراحی لوگو")</f>
        <v>برندسازی و طراحی لوگو</v>
      </c>
      <c r="G6029" s="1" t="str">
        <f>IFERROR(__xludf.DUMMYFUNCTION("GOOGLETRANSLATE(C6029, ""en"", ""fa"")
"),"تکنیک هایی برای ایجاد یک برند قوی در پلتفرم های رسانه های اجتماعی برای تعامل با مخاطبان هدف به اشتراک بگذارید.")</f>
        <v>تکنیک هایی برای ایجاد یک برند قوی در پلتفرم های رسانه های اجتماعی برای تعامل با مخاطبان هدف به اشتراک بگذارید.</v>
      </c>
      <c r="H6029" s="1"/>
      <c r="I6029" s="1"/>
      <c r="J6029" s="1"/>
      <c r="K6029" s="1"/>
      <c r="L6029" s="1"/>
      <c r="M6029" s="1"/>
      <c r="N6029" s="1"/>
      <c r="O6029" s="1"/>
      <c r="P6029" s="1"/>
      <c r="Q6029" s="1"/>
      <c r="R6029" s="1"/>
      <c r="S6029" s="1"/>
      <c r="T6029" s="1"/>
      <c r="U6029" s="1"/>
      <c r="V6029" s="1"/>
      <c r="W6029" s="1"/>
      <c r="X6029" s="1"/>
      <c r="Y6029" s="1"/>
      <c r="Z6029" s="1"/>
      <c r="AA6029" s="1"/>
      <c r="AB6029" s="1"/>
    </row>
    <row r="6030" ht="50.25" customHeight="1">
      <c r="A6030" s="12">
        <v>6026.0</v>
      </c>
      <c r="B6030" s="13" t="s">
        <v>5926</v>
      </c>
      <c r="C6030" s="18" t="s">
        <v>6052</v>
      </c>
      <c r="D6030" s="1"/>
      <c r="E6030" s="1"/>
      <c r="F6030" s="1" t="str">
        <f>IFERROR(__xludf.DUMMYFUNCTION("GOOGLETRANSLATE(B6030, ""en"", ""fa"")
"),"برندسازی و طراحی لوگو")</f>
        <v>برندسازی و طراحی لوگو</v>
      </c>
      <c r="G6030" s="1" t="str">
        <f>IFERROR(__xludf.DUMMYFUNCTION("GOOGLETRANSLATE(C6030, ""en"", ""fa"")
"),"مفهوم ارزش ویژه برند و چگونگی اندازه گیری و افزایش ارزش یک برند در طول زمان را بررسی کنید.")</f>
        <v>مفهوم ارزش ویژه برند و چگونگی اندازه گیری و افزایش ارزش یک برند در طول زمان را بررسی کنید.</v>
      </c>
      <c r="H6030" s="1"/>
      <c r="I6030" s="1"/>
      <c r="J6030" s="1"/>
      <c r="K6030" s="1"/>
      <c r="L6030" s="1"/>
      <c r="M6030" s="1"/>
      <c r="N6030" s="1"/>
      <c r="O6030" s="1"/>
      <c r="P6030" s="1"/>
      <c r="Q6030" s="1"/>
      <c r="R6030" s="1"/>
      <c r="S6030" s="1"/>
      <c r="T6030" s="1"/>
      <c r="U6030" s="1"/>
      <c r="V6030" s="1"/>
      <c r="W6030" s="1"/>
      <c r="X6030" s="1"/>
      <c r="Y6030" s="1"/>
      <c r="Z6030" s="1"/>
      <c r="AA6030" s="1"/>
      <c r="AB6030" s="1"/>
    </row>
    <row r="6031" ht="50.25" customHeight="1">
      <c r="A6031" s="12">
        <v>6027.0</v>
      </c>
      <c r="B6031" s="13" t="s">
        <v>5926</v>
      </c>
      <c r="C6031" s="18" t="s">
        <v>6053</v>
      </c>
      <c r="D6031" s="1"/>
      <c r="E6031" s="1"/>
      <c r="F6031" s="1" t="str">
        <f>IFERROR(__xludf.DUMMYFUNCTION("GOOGLETRANSLATE(B6031, ""en"", ""fa"")
"),"برندسازی و طراحی لوگو")</f>
        <v>برندسازی و طراحی لوگو</v>
      </c>
      <c r="G6031" s="1" t="str">
        <f>IFERROR(__xludf.DUMMYFUNCTION("GOOGLETRANSLATE(C6031, ""en"", ""fa"")
"),"در مورد نقش طراحی احساسی در ایجاد یک تجربه برند به یاد ماندنی و تاثیرگذار فکر کنید.")</f>
        <v>در مورد نقش طراحی احساسی در ایجاد یک تجربه برند به یاد ماندنی و تاثیرگذار فکر کنید.</v>
      </c>
      <c r="H6031" s="1"/>
      <c r="I6031" s="1"/>
      <c r="J6031" s="1"/>
      <c r="K6031" s="1"/>
      <c r="L6031" s="1"/>
      <c r="M6031" s="1"/>
      <c r="N6031" s="1"/>
      <c r="O6031" s="1"/>
      <c r="P6031" s="1"/>
      <c r="Q6031" s="1"/>
      <c r="R6031" s="1"/>
      <c r="S6031" s="1"/>
      <c r="T6031" s="1"/>
      <c r="U6031" s="1"/>
      <c r="V6031" s="1"/>
      <c r="W6031" s="1"/>
      <c r="X6031" s="1"/>
      <c r="Y6031" s="1"/>
      <c r="Z6031" s="1"/>
      <c r="AA6031" s="1"/>
      <c r="AB6031" s="1"/>
    </row>
    <row r="6032" ht="50.25" customHeight="1">
      <c r="A6032" s="12">
        <v>6028.0</v>
      </c>
      <c r="B6032" s="13" t="s">
        <v>5926</v>
      </c>
      <c r="C6032" s="18" t="s">
        <v>6054</v>
      </c>
      <c r="D6032" s="1"/>
      <c r="E6032" s="1"/>
      <c r="F6032" s="1" t="str">
        <f>IFERROR(__xludf.DUMMYFUNCTION("GOOGLETRANSLATE(B6032, ""en"", ""fa"")
"),"برندسازی و طراحی لوگو")</f>
        <v>برندسازی و طراحی لوگو</v>
      </c>
      <c r="G6032" s="1" t="str">
        <f>IFERROR(__xludf.DUMMYFUNCTION("GOOGLETRANSLATE(C6032, ""en"", ""fa"")
"),"در مورد ملاحظات طراحی هویت برند که برای جمعیت‌شناسی نسل‌های مختلف جذابیت دارد، بحث کنید.")</f>
        <v>در مورد ملاحظات طراحی هویت برند که برای جمعیت‌شناسی نسل‌های مختلف جذابیت دارد، بحث کنید.</v>
      </c>
      <c r="H6032" s="1"/>
      <c r="I6032" s="1"/>
      <c r="J6032" s="1"/>
      <c r="K6032" s="1"/>
      <c r="L6032" s="1"/>
      <c r="M6032" s="1"/>
      <c r="N6032" s="1"/>
      <c r="O6032" s="1"/>
      <c r="P6032" s="1"/>
      <c r="Q6032" s="1"/>
      <c r="R6032" s="1"/>
      <c r="S6032" s="1"/>
      <c r="T6032" s="1"/>
      <c r="U6032" s="1"/>
      <c r="V6032" s="1"/>
      <c r="W6032" s="1"/>
      <c r="X6032" s="1"/>
      <c r="Y6032" s="1"/>
      <c r="Z6032" s="1"/>
      <c r="AA6032" s="1"/>
      <c r="AB6032" s="1"/>
    </row>
    <row r="6033" ht="50.25" customHeight="1">
      <c r="A6033" s="12">
        <v>6029.0</v>
      </c>
      <c r="B6033" s="13" t="s">
        <v>5926</v>
      </c>
      <c r="C6033" s="18" t="s">
        <v>6055</v>
      </c>
      <c r="D6033" s="1"/>
      <c r="E6033" s="1"/>
      <c r="F6033" s="1" t="str">
        <f>IFERROR(__xludf.DUMMYFUNCTION("GOOGLETRANSLATE(B6033, ""en"", ""fa"")
"),"برندسازی و طراحی لوگو")</f>
        <v>برندسازی و طراحی لوگو</v>
      </c>
      <c r="G6033" s="1" t="str">
        <f>IFERROR(__xludf.DUMMYFUNCTION("GOOGLETRANSLATE(C6033, ""en"", ""fa"")
"),"نکاتی را برای ایجاد یک استراتژی راه اندازی برند که باعث ایجاد هیجان و ایجاد انتظار در بین مخاطبان هدف می شود، به اشتراک بگذارید.")</f>
        <v>نکاتی را برای ایجاد یک استراتژی راه اندازی برند که باعث ایجاد هیجان و ایجاد انتظار در بین مخاطبان هدف می شود، به اشتراک بگذارید.</v>
      </c>
      <c r="H6033" s="1"/>
      <c r="I6033" s="1"/>
      <c r="J6033" s="1"/>
      <c r="K6033" s="1"/>
      <c r="L6033" s="1"/>
      <c r="M6033" s="1"/>
      <c r="N6033" s="1"/>
      <c r="O6033" s="1"/>
      <c r="P6033" s="1"/>
      <c r="Q6033" s="1"/>
      <c r="R6033" s="1"/>
      <c r="S6033" s="1"/>
      <c r="T6033" s="1"/>
      <c r="U6033" s="1"/>
      <c r="V6033" s="1"/>
      <c r="W6033" s="1"/>
      <c r="X6033" s="1"/>
      <c r="Y6033" s="1"/>
      <c r="Z6033" s="1"/>
      <c r="AA6033" s="1"/>
      <c r="AB6033" s="1"/>
    </row>
    <row r="6034" ht="50.25" customHeight="1">
      <c r="A6034" s="12">
        <v>6030.0</v>
      </c>
      <c r="B6034" s="13" t="s">
        <v>5926</v>
      </c>
      <c r="C6034" s="18" t="s">
        <v>6056</v>
      </c>
      <c r="D6034" s="1"/>
      <c r="E6034" s="1"/>
      <c r="F6034" s="1" t="str">
        <f>IFERROR(__xludf.DUMMYFUNCTION("GOOGLETRANSLATE(B6034, ""en"", ""fa"")
"),"برندسازی و طراحی لوگو")</f>
        <v>برندسازی و طراحی لوگو</v>
      </c>
      <c r="G6034" s="1" t="str">
        <f>IFERROR(__xludf.DUMMYFUNCTION("GOOGLETRANSLATE(C6034, ""en"", ""fa"")
"),"تاثیر پایداری زیست محیطی در برندسازی و نحوه ترکیب شیوه های سازگار با محیط زیست در هویت برند را بررسی کنید.")</f>
        <v>تاثیر پایداری زیست محیطی در برندسازی و نحوه ترکیب شیوه های سازگار با محیط زیست در هویت برند را بررسی کنید.</v>
      </c>
      <c r="H6034" s="1"/>
      <c r="I6034" s="1"/>
      <c r="J6034" s="1"/>
      <c r="K6034" s="1"/>
      <c r="L6034" s="1"/>
      <c r="M6034" s="1"/>
      <c r="N6034" s="1"/>
      <c r="O6034" s="1"/>
      <c r="P6034" s="1"/>
      <c r="Q6034" s="1"/>
      <c r="R6034" s="1"/>
      <c r="S6034" s="1"/>
      <c r="T6034" s="1"/>
      <c r="U6034" s="1"/>
      <c r="V6034" s="1"/>
      <c r="W6034" s="1"/>
      <c r="X6034" s="1"/>
      <c r="Y6034" s="1"/>
      <c r="Z6034" s="1"/>
      <c r="AA6034" s="1"/>
      <c r="AB6034" s="1"/>
    </row>
    <row r="6035" ht="50.25" customHeight="1">
      <c r="A6035" s="12">
        <v>6031.0</v>
      </c>
      <c r="B6035" s="13" t="s">
        <v>5926</v>
      </c>
      <c r="C6035" s="18" t="s">
        <v>6057</v>
      </c>
      <c r="D6035" s="1"/>
      <c r="E6035" s="1"/>
      <c r="F6035" s="1" t="str">
        <f>IFERROR(__xludf.DUMMYFUNCTION("GOOGLETRANSLATE(B6035, ""en"", ""fa"")
"),"برندسازی و طراحی لوگو")</f>
        <v>برندسازی و طراحی لوگو</v>
      </c>
      <c r="G6035" s="1" t="str">
        <f>IFERROR(__xludf.DUMMYFUNCTION("GOOGLETRANSLATE(C6035, ""en"", ""fa"")
"),"در مورد نقش طراحی کاربر محور در ایجاد نقاط تماس برند که تجربه مشتری را در اولویت قرار می دهد، فکر کنید.")</f>
        <v>در مورد نقش طراحی کاربر محور در ایجاد نقاط تماس برند که تجربه مشتری را در اولویت قرار می دهد، فکر کنید.</v>
      </c>
      <c r="H6035" s="1"/>
      <c r="I6035" s="1"/>
      <c r="J6035" s="1"/>
      <c r="K6035" s="1"/>
      <c r="L6035" s="1"/>
      <c r="M6035" s="1"/>
      <c r="N6035" s="1"/>
      <c r="O6035" s="1"/>
      <c r="P6035" s="1"/>
      <c r="Q6035" s="1"/>
      <c r="R6035" s="1"/>
      <c r="S6035" s="1"/>
      <c r="T6035" s="1"/>
      <c r="U6035" s="1"/>
      <c r="V6035" s="1"/>
      <c r="W6035" s="1"/>
      <c r="X6035" s="1"/>
      <c r="Y6035" s="1"/>
      <c r="Z6035" s="1"/>
      <c r="AA6035" s="1"/>
      <c r="AB6035" s="1"/>
    </row>
    <row r="6036" ht="50.25" customHeight="1">
      <c r="A6036" s="12">
        <v>6032.0</v>
      </c>
      <c r="B6036" s="13" t="s">
        <v>5926</v>
      </c>
      <c r="C6036" s="18" t="s">
        <v>6058</v>
      </c>
      <c r="D6036" s="1"/>
      <c r="E6036" s="1"/>
      <c r="F6036" s="1" t="str">
        <f>IFERROR(__xludf.DUMMYFUNCTION("GOOGLETRANSLATE(B6036, ""en"", ""fa"")
"),"برندسازی و طراحی لوگو")</f>
        <v>برندسازی و طراحی لوگو</v>
      </c>
      <c r="G6036" s="1" t="str">
        <f>IFERROR(__xludf.DUMMYFUNCTION("GOOGLETRANSLATE(C6036, ""en"", ""fa"")
"),"در مورد اهمیت داستان سرایی برند در ارتباط با مشتریان در سطح احساسی بحث کنید.")</f>
        <v>در مورد اهمیت داستان سرایی برند در ارتباط با مشتریان در سطح احساسی بحث کنید.</v>
      </c>
      <c r="H6036" s="1"/>
      <c r="I6036" s="1"/>
      <c r="J6036" s="1"/>
      <c r="K6036" s="1"/>
      <c r="L6036" s="1"/>
      <c r="M6036" s="1"/>
      <c r="N6036" s="1"/>
      <c r="O6036" s="1"/>
      <c r="P6036" s="1"/>
      <c r="Q6036" s="1"/>
      <c r="R6036" s="1"/>
      <c r="S6036" s="1"/>
      <c r="T6036" s="1"/>
      <c r="U6036" s="1"/>
      <c r="V6036" s="1"/>
      <c r="W6036" s="1"/>
      <c r="X6036" s="1"/>
      <c r="Y6036" s="1"/>
      <c r="Z6036" s="1"/>
      <c r="AA6036" s="1"/>
      <c r="AB6036" s="1"/>
    </row>
    <row r="6037" ht="50.25" customHeight="1">
      <c r="A6037" s="12">
        <v>6033.0</v>
      </c>
      <c r="B6037" s="13" t="s">
        <v>5926</v>
      </c>
      <c r="C6037" s="18" t="s">
        <v>6059</v>
      </c>
      <c r="D6037" s="1"/>
      <c r="E6037" s="1"/>
      <c r="F6037" s="1" t="str">
        <f>IFERROR(__xludf.DUMMYFUNCTION("GOOGLETRANSLATE(B6037, ""en"", ""fa"")
"),"برندسازی و طراحی لوگو")</f>
        <v>برندسازی و طراحی لوگو</v>
      </c>
      <c r="G6037" s="1" t="str">
        <f>IFERROR(__xludf.DUMMYFUNCTION("GOOGLETRANSLATE(C6037, ""en"", ""fa"")
"),"تکنیک‌های ایجاد یک تجربه برند ثابت را در نقاط مختلف مشتری، چه آنلاین و چه آفلاین، به اشتراک بگذارید.")</f>
        <v>تکنیک‌های ایجاد یک تجربه برند ثابت را در نقاط مختلف مشتری، چه آنلاین و چه آفلاین، به اشتراک بگذارید.</v>
      </c>
      <c r="H6037" s="1"/>
      <c r="I6037" s="1"/>
      <c r="J6037" s="1"/>
      <c r="K6037" s="1"/>
      <c r="L6037" s="1"/>
      <c r="M6037" s="1"/>
      <c r="N6037" s="1"/>
      <c r="O6037" s="1"/>
      <c r="P6037" s="1"/>
      <c r="Q6037" s="1"/>
      <c r="R6037" s="1"/>
      <c r="S6037" s="1"/>
      <c r="T6037" s="1"/>
      <c r="U6037" s="1"/>
      <c r="V6037" s="1"/>
      <c r="W6037" s="1"/>
      <c r="X6037" s="1"/>
      <c r="Y6037" s="1"/>
      <c r="Z6037" s="1"/>
      <c r="AA6037" s="1"/>
      <c r="AB6037" s="1"/>
    </row>
    <row r="6038" ht="50.25" customHeight="1">
      <c r="A6038" s="12">
        <v>6034.0</v>
      </c>
      <c r="B6038" s="13" t="s">
        <v>5926</v>
      </c>
      <c r="C6038" s="18" t="s">
        <v>6060</v>
      </c>
      <c r="D6038" s="1"/>
      <c r="E6038" s="1"/>
      <c r="F6038" s="1" t="str">
        <f>IFERROR(__xludf.DUMMYFUNCTION("GOOGLETRANSLATE(B6038, ""en"", ""fa"")
"),"برندسازی و طراحی لوگو")</f>
        <v>برندسازی و طراحی لوگو</v>
      </c>
      <c r="G6038" s="1" t="str">
        <f>IFERROR(__xludf.DUMMYFUNCTION("GOOGLETRANSLATE(C6038, ""en"", ""fa"")
"),"تأثیر بافت فرهنگی در برندسازی و نحوه تنظیم پیام‌ها و طراحی برند را برای هماهنگی با فرهنگ‌ها یا مناطق خاص بررسی کنید.")</f>
        <v>تأثیر بافت فرهنگی در برندسازی و نحوه تنظیم پیام‌ها و طراحی برند را برای هماهنگی با فرهنگ‌ها یا مناطق خاص بررسی کنید.</v>
      </c>
      <c r="H6038" s="1"/>
      <c r="I6038" s="1"/>
      <c r="J6038" s="1"/>
      <c r="K6038" s="1"/>
      <c r="L6038" s="1"/>
      <c r="M6038" s="1"/>
      <c r="N6038" s="1"/>
      <c r="O6038" s="1"/>
      <c r="P6038" s="1"/>
      <c r="Q6038" s="1"/>
      <c r="R6038" s="1"/>
      <c r="S6038" s="1"/>
      <c r="T6038" s="1"/>
      <c r="U6038" s="1"/>
      <c r="V6038" s="1"/>
      <c r="W6038" s="1"/>
      <c r="X6038" s="1"/>
      <c r="Y6038" s="1"/>
      <c r="Z6038" s="1"/>
      <c r="AA6038" s="1"/>
      <c r="AB6038" s="1"/>
    </row>
    <row r="6039" ht="50.25" customHeight="1">
      <c r="A6039" s="12">
        <v>6035.0</v>
      </c>
      <c r="B6039" s="13" t="s">
        <v>5926</v>
      </c>
      <c r="C6039" s="18" t="s">
        <v>6061</v>
      </c>
      <c r="D6039" s="1"/>
      <c r="E6039" s="1"/>
      <c r="F6039" s="1" t="str">
        <f>IFERROR(__xludf.DUMMYFUNCTION("GOOGLETRANSLATE(B6039, ""en"", ""fa"")
"),"برندسازی و طراحی لوگو")</f>
        <v>برندسازی و طراحی لوگو</v>
      </c>
      <c r="G6039" s="1" t="str">
        <f>IFERROR(__xludf.DUMMYFUNCTION("GOOGLETRANSLATE(C6039, ""en"", ""fa"")
"),"به نقش اعتبار برند در ایجاد اعتماد و روابط بلندمدت با مشتری فکر کنید.")</f>
        <v>به نقش اعتبار برند در ایجاد اعتماد و روابط بلندمدت با مشتری فکر کنید.</v>
      </c>
      <c r="H6039" s="1"/>
      <c r="I6039" s="1"/>
      <c r="J6039" s="1"/>
      <c r="K6039" s="1"/>
      <c r="L6039" s="1"/>
      <c r="M6039" s="1"/>
      <c r="N6039" s="1"/>
      <c r="O6039" s="1"/>
      <c r="P6039" s="1"/>
      <c r="Q6039" s="1"/>
      <c r="R6039" s="1"/>
      <c r="S6039" s="1"/>
      <c r="T6039" s="1"/>
      <c r="U6039" s="1"/>
      <c r="V6039" s="1"/>
      <c r="W6039" s="1"/>
      <c r="X6039" s="1"/>
      <c r="Y6039" s="1"/>
      <c r="Z6039" s="1"/>
      <c r="AA6039" s="1"/>
      <c r="AB6039" s="1"/>
    </row>
    <row r="6040" ht="50.25" customHeight="1">
      <c r="A6040" s="12">
        <v>6036.0</v>
      </c>
      <c r="B6040" s="13" t="s">
        <v>5926</v>
      </c>
      <c r="C6040" s="18" t="s">
        <v>6062</v>
      </c>
      <c r="D6040" s="1"/>
      <c r="E6040" s="1"/>
      <c r="F6040" s="1" t="str">
        <f>IFERROR(__xludf.DUMMYFUNCTION("GOOGLETRANSLATE(B6040, ""en"", ""fa"")
"),"برندسازی و طراحی لوگو")</f>
        <v>برندسازی و طراحی لوگو</v>
      </c>
      <c r="G6040" s="1" t="str">
        <f>IFERROR(__xludf.DUMMYFUNCTION("GOOGLETRANSLATE(C6040, ""en"", ""fa"")
"),"در مورد ملاحظات طراحی لوگوی نام تجاری که ارزش ها، شخصیت و مخاطبان هدف برند را منعکس می کند، بحث کنید.")</f>
        <v>در مورد ملاحظات طراحی لوگوی نام تجاری که ارزش ها، شخصیت و مخاطبان هدف برند را منعکس می کند، بحث کنید.</v>
      </c>
      <c r="H6040" s="1"/>
      <c r="I6040" s="1"/>
      <c r="J6040" s="1"/>
      <c r="K6040" s="1"/>
      <c r="L6040" s="1"/>
      <c r="M6040" s="1"/>
      <c r="N6040" s="1"/>
      <c r="O6040" s="1"/>
      <c r="P6040" s="1"/>
      <c r="Q6040" s="1"/>
      <c r="R6040" s="1"/>
      <c r="S6040" s="1"/>
      <c r="T6040" s="1"/>
      <c r="U6040" s="1"/>
      <c r="V6040" s="1"/>
      <c r="W6040" s="1"/>
      <c r="X6040" s="1"/>
      <c r="Y6040" s="1"/>
      <c r="Z6040" s="1"/>
      <c r="AA6040" s="1"/>
      <c r="AB6040" s="1"/>
    </row>
    <row r="6041" ht="50.25" customHeight="1">
      <c r="A6041" s="12">
        <v>6037.0</v>
      </c>
      <c r="B6041" s="13" t="s">
        <v>5926</v>
      </c>
      <c r="C6041" s="18" t="s">
        <v>6063</v>
      </c>
      <c r="D6041" s="1"/>
      <c r="E6041" s="1"/>
      <c r="F6041" s="1" t="str">
        <f>IFERROR(__xludf.DUMMYFUNCTION("GOOGLETRANSLATE(B6041, ""en"", ""fa"")
"),"برندسازی و طراحی لوگو")</f>
        <v>برندسازی و طراحی لوگو</v>
      </c>
      <c r="G6041" s="1" t="str">
        <f>IFERROR(__xludf.DUMMYFUNCTION("GOOGLETRANSLATE(C6041, ""en"", ""fa"")
"),"نکاتی را برای انجام ممیزی برند برای ارزیابی اثربخشی و ارتباط هویت برند موجود به اشتراک بگذارید.")</f>
        <v>نکاتی را برای انجام ممیزی برند برای ارزیابی اثربخشی و ارتباط هویت برند موجود به اشتراک بگذارید.</v>
      </c>
      <c r="H6041" s="1"/>
      <c r="I6041" s="1"/>
      <c r="J6041" s="1"/>
      <c r="K6041" s="1"/>
      <c r="L6041" s="1"/>
      <c r="M6041" s="1"/>
      <c r="N6041" s="1"/>
      <c r="O6041" s="1"/>
      <c r="P6041" s="1"/>
      <c r="Q6041" s="1"/>
      <c r="R6041" s="1"/>
      <c r="S6041" s="1"/>
      <c r="T6041" s="1"/>
      <c r="U6041" s="1"/>
      <c r="V6041" s="1"/>
      <c r="W6041" s="1"/>
      <c r="X6041" s="1"/>
      <c r="Y6041" s="1"/>
      <c r="Z6041" s="1"/>
      <c r="AA6041" s="1"/>
      <c r="AB6041" s="1"/>
    </row>
    <row r="6042" ht="50.25" customHeight="1">
      <c r="A6042" s="12">
        <v>6038.0</v>
      </c>
      <c r="B6042" s="13" t="s">
        <v>5926</v>
      </c>
      <c r="C6042" s="18" t="s">
        <v>6064</v>
      </c>
      <c r="D6042" s="1"/>
      <c r="E6042" s="1"/>
      <c r="F6042" s="1" t="str">
        <f>IFERROR(__xludf.DUMMYFUNCTION("GOOGLETRANSLATE(B6042, ""en"", ""fa"")
"),"برندسازی و طراحی لوگو")</f>
        <v>برندسازی و طراحی لوگو</v>
      </c>
      <c r="G6042" s="1" t="str">
        <f>IFERROR(__xludf.DUMMYFUNCTION("GOOGLETRANSLATE(C6042, ""en"", ""fa"")
"),"تأثیر داستان سرایی برند در ایجاد یک ارتباط عاطفی قوی با مشتریان را بررسی کنید.")</f>
        <v>تأثیر داستان سرایی برند در ایجاد یک ارتباط عاطفی قوی با مشتریان را بررسی کنید.</v>
      </c>
      <c r="H6042" s="1"/>
      <c r="I6042" s="1"/>
      <c r="J6042" s="1"/>
      <c r="K6042" s="1"/>
      <c r="L6042" s="1"/>
      <c r="M6042" s="1"/>
      <c r="N6042" s="1"/>
      <c r="O6042" s="1"/>
      <c r="P6042" s="1"/>
      <c r="Q6042" s="1"/>
      <c r="R6042" s="1"/>
      <c r="S6042" s="1"/>
      <c r="T6042" s="1"/>
      <c r="U6042" s="1"/>
      <c r="V6042" s="1"/>
      <c r="W6042" s="1"/>
      <c r="X6042" s="1"/>
      <c r="Y6042" s="1"/>
      <c r="Z6042" s="1"/>
      <c r="AA6042" s="1"/>
      <c r="AB6042" s="1"/>
    </row>
    <row r="6043" ht="50.25" customHeight="1">
      <c r="A6043" s="12">
        <v>6039.0</v>
      </c>
      <c r="B6043" s="13" t="s">
        <v>5926</v>
      </c>
      <c r="C6043" s="18" t="s">
        <v>6065</v>
      </c>
      <c r="D6043" s="1"/>
      <c r="E6043" s="1"/>
      <c r="F6043" s="1" t="str">
        <f>IFERROR(__xludf.DUMMYFUNCTION("GOOGLETRANSLATE(B6043, ""en"", ""fa"")
"),"برندسازی و طراحی لوگو")</f>
        <v>برندسازی و طراحی لوگو</v>
      </c>
      <c r="G6043" s="1" t="str">
        <f>IFERROR(__xludf.DUMMYFUNCTION("GOOGLETRANSLATE(C6043, ""en"", ""fa"")
"),"در مورد نقش تداعی های برند و چگونگی همسویی استراتژیک برند با ویژگی ها و ارزش های مثبت فکر کنید.")</f>
        <v>در مورد نقش تداعی های برند و چگونگی همسویی استراتژیک برند با ویژگی ها و ارزش های مثبت فکر کنید.</v>
      </c>
      <c r="H6043" s="1"/>
      <c r="I6043" s="1"/>
      <c r="J6043" s="1"/>
      <c r="K6043" s="1"/>
      <c r="L6043" s="1"/>
      <c r="M6043" s="1"/>
      <c r="N6043" s="1"/>
      <c r="O6043" s="1"/>
      <c r="P6043" s="1"/>
      <c r="Q6043" s="1"/>
      <c r="R6043" s="1"/>
      <c r="S6043" s="1"/>
      <c r="T6043" s="1"/>
      <c r="U6043" s="1"/>
      <c r="V6043" s="1"/>
      <c r="W6043" s="1"/>
      <c r="X6043" s="1"/>
      <c r="Y6043" s="1"/>
      <c r="Z6043" s="1"/>
      <c r="AA6043" s="1"/>
      <c r="AB6043" s="1"/>
    </row>
    <row r="6044" ht="50.25" customHeight="1">
      <c r="A6044" s="12">
        <v>6040.0</v>
      </c>
      <c r="B6044" s="13" t="s">
        <v>5926</v>
      </c>
      <c r="C6044" s="18" t="s">
        <v>6066</v>
      </c>
      <c r="D6044" s="1"/>
      <c r="E6044" s="1"/>
      <c r="F6044" s="1" t="str">
        <f>IFERROR(__xludf.DUMMYFUNCTION("GOOGLETRANSLATE(B6044, ""en"", ""fa"")
"),"برندسازی و طراحی لوگو")</f>
        <v>برندسازی و طراحی لوگو</v>
      </c>
      <c r="G6044" s="1" t="str">
        <f>IFERROR(__xludf.DUMMYFUNCTION("GOOGLETRANSLATE(C6044, ""en"", ""fa"")
"),"در مورد اهمیت ثبات برند در حفظ هویت یک برند منسجم و قابل تشخیص بحث کنید.")</f>
        <v>در مورد اهمیت ثبات برند در حفظ هویت یک برند منسجم و قابل تشخیص بحث کنید.</v>
      </c>
      <c r="H6044" s="1"/>
      <c r="I6044" s="1"/>
      <c r="J6044" s="1"/>
      <c r="K6044" s="1"/>
      <c r="L6044" s="1"/>
      <c r="M6044" s="1"/>
      <c r="N6044" s="1"/>
      <c r="O6044" s="1"/>
      <c r="P6044" s="1"/>
      <c r="Q6044" s="1"/>
      <c r="R6044" s="1"/>
      <c r="S6044" s="1"/>
      <c r="T6044" s="1"/>
      <c r="U6044" s="1"/>
      <c r="V6044" s="1"/>
      <c r="W6044" s="1"/>
      <c r="X6044" s="1"/>
      <c r="Y6044" s="1"/>
      <c r="Z6044" s="1"/>
      <c r="AA6044" s="1"/>
      <c r="AB6044" s="1"/>
    </row>
    <row r="6045" ht="50.25" customHeight="1">
      <c r="A6045" s="12">
        <v>6041.0</v>
      </c>
      <c r="B6045" s="13" t="s">
        <v>5926</v>
      </c>
      <c r="C6045" s="18" t="s">
        <v>6067</v>
      </c>
      <c r="D6045" s="1"/>
      <c r="E6045" s="1"/>
      <c r="F6045" s="1" t="str">
        <f>IFERROR(__xludf.DUMMYFUNCTION("GOOGLETRANSLATE(B6045, ""en"", ""fa"")
"),"برندسازی و طراحی لوگو")</f>
        <v>برندسازی و طراحی لوگو</v>
      </c>
      <c r="G6045" s="1" t="str">
        <f>IFERROR(__xludf.DUMMYFUNCTION("GOOGLETRANSLATE(C6045, ""en"", ""fa"")
"),"تکنیک‌هایی را برای طراحی یک علامت یا نشان تجاری به یاد ماندنی که نشان دهنده ماهیت برند است، به اشتراک بگذارید.")</f>
        <v>تکنیک‌هایی را برای طراحی یک علامت یا نشان تجاری به یاد ماندنی که نشان دهنده ماهیت برند است، به اشتراک بگذارید.</v>
      </c>
      <c r="H6045" s="1"/>
      <c r="I6045" s="1"/>
      <c r="J6045" s="1"/>
      <c r="K6045" s="1"/>
      <c r="L6045" s="1"/>
      <c r="M6045" s="1"/>
      <c r="N6045" s="1"/>
      <c r="O6045" s="1"/>
      <c r="P6045" s="1"/>
      <c r="Q6045" s="1"/>
      <c r="R6045" s="1"/>
      <c r="S6045" s="1"/>
      <c r="T6045" s="1"/>
      <c r="U6045" s="1"/>
      <c r="V6045" s="1"/>
      <c r="W6045" s="1"/>
      <c r="X6045" s="1"/>
      <c r="Y6045" s="1"/>
      <c r="Z6045" s="1"/>
      <c r="AA6045" s="1"/>
      <c r="AB6045" s="1"/>
    </row>
    <row r="6046" ht="50.25" customHeight="1">
      <c r="A6046" s="12">
        <v>6042.0</v>
      </c>
      <c r="B6046" s="13" t="s">
        <v>5926</v>
      </c>
      <c r="C6046" s="18" t="s">
        <v>6068</v>
      </c>
      <c r="D6046" s="1"/>
      <c r="E6046" s="1"/>
      <c r="F6046" s="1" t="str">
        <f>IFERROR(__xludf.DUMMYFUNCTION("GOOGLETRANSLATE(B6046, ""en"", ""fa"")
"),"برندسازی و طراحی لوگو")</f>
        <v>برندسازی و طراحی لوگو</v>
      </c>
      <c r="G6046" s="1" t="str">
        <f>IFERROR(__xludf.DUMMYFUNCTION("GOOGLETRANSLATE(C6046, ""en"", ""fa"")
"),"تاثیر ادراکات مصرف کننده و شهرت برند را بر تصمیمات خرید بررسی کنید.")</f>
        <v>تاثیر ادراکات مصرف کننده و شهرت برند را بر تصمیمات خرید بررسی کنید.</v>
      </c>
      <c r="H6046" s="1"/>
      <c r="I6046" s="1"/>
      <c r="J6046" s="1"/>
      <c r="K6046" s="1"/>
      <c r="L6046" s="1"/>
      <c r="M6046" s="1"/>
      <c r="N6046" s="1"/>
      <c r="O6046" s="1"/>
      <c r="P6046" s="1"/>
      <c r="Q6046" s="1"/>
      <c r="R6046" s="1"/>
      <c r="S6046" s="1"/>
      <c r="T6046" s="1"/>
      <c r="U6046" s="1"/>
      <c r="V6046" s="1"/>
      <c r="W6046" s="1"/>
      <c r="X6046" s="1"/>
      <c r="Y6046" s="1"/>
      <c r="Z6046" s="1"/>
      <c r="AA6046" s="1"/>
      <c r="AB6046" s="1"/>
    </row>
    <row r="6047" ht="50.25" customHeight="1">
      <c r="A6047" s="12">
        <v>6043.0</v>
      </c>
      <c r="B6047" s="13" t="s">
        <v>5926</v>
      </c>
      <c r="C6047" s="18" t="s">
        <v>6069</v>
      </c>
      <c r="D6047" s="1"/>
      <c r="E6047" s="1"/>
      <c r="F6047" s="1" t="str">
        <f>IFERROR(__xludf.DUMMYFUNCTION("GOOGLETRANSLATE(B6047, ""en"", ""fa"")
"),"برندسازی و طراحی لوگو")</f>
        <v>برندسازی و طراحی لوگو</v>
      </c>
      <c r="G6047" s="1" t="str">
        <f>IFERROR(__xludf.DUMMYFUNCTION("GOOGLETRANSLATE(C6047, ""en"", ""fa"")
"),"به نقش تجارب و تعاملات برند در شکل دادن به وفاداری و حمایت از مشتری فکر کنید.")</f>
        <v>به نقش تجارب و تعاملات برند در شکل دادن به وفاداری و حمایت از مشتری فکر کنید.</v>
      </c>
      <c r="H6047" s="1"/>
      <c r="I6047" s="1"/>
      <c r="J6047" s="1"/>
      <c r="K6047" s="1"/>
      <c r="L6047" s="1"/>
      <c r="M6047" s="1"/>
      <c r="N6047" s="1"/>
      <c r="O6047" s="1"/>
      <c r="P6047" s="1"/>
      <c r="Q6047" s="1"/>
      <c r="R6047" s="1"/>
      <c r="S6047" s="1"/>
      <c r="T6047" s="1"/>
      <c r="U6047" s="1"/>
      <c r="V6047" s="1"/>
      <c r="W6047" s="1"/>
      <c r="X6047" s="1"/>
      <c r="Y6047" s="1"/>
      <c r="Z6047" s="1"/>
      <c r="AA6047" s="1"/>
      <c r="AB6047" s="1"/>
    </row>
    <row r="6048" ht="50.25" customHeight="1">
      <c r="A6048" s="12">
        <v>6044.0</v>
      </c>
      <c r="B6048" s="13" t="s">
        <v>5926</v>
      </c>
      <c r="C6048" s="18" t="s">
        <v>6070</v>
      </c>
      <c r="D6048" s="1"/>
      <c r="E6048" s="1"/>
      <c r="F6048" s="1" t="str">
        <f>IFERROR(__xludf.DUMMYFUNCTION("GOOGLETRANSLATE(B6048, ""en"", ""fa"")
"),"برندسازی و طراحی لوگو")</f>
        <v>برندسازی و طراحی لوگو</v>
      </c>
      <c r="G6048" s="1" t="str">
        <f>IFERROR(__xludf.DUMMYFUNCTION("GOOGLETRANSLATE(C6048, ""en"", ""fa"")
"),"در مورد ملاحظات ایجاد صدای برند که با شخصیت برند همسو باشد و با مخاطب هدف طنین انداز شود، بحث کنید.")</f>
        <v>در مورد ملاحظات ایجاد صدای برند که با شخصیت برند همسو باشد و با مخاطب هدف طنین انداز شود، بحث کنید.</v>
      </c>
      <c r="H6048" s="1"/>
      <c r="I6048" s="1"/>
      <c r="J6048" s="1"/>
      <c r="K6048" s="1"/>
      <c r="L6048" s="1"/>
      <c r="M6048" s="1"/>
      <c r="N6048" s="1"/>
      <c r="O6048" s="1"/>
      <c r="P6048" s="1"/>
      <c r="Q6048" s="1"/>
      <c r="R6048" s="1"/>
      <c r="S6048" s="1"/>
      <c r="T6048" s="1"/>
      <c r="U6048" s="1"/>
      <c r="V6048" s="1"/>
      <c r="W6048" s="1"/>
      <c r="X6048" s="1"/>
      <c r="Y6048" s="1"/>
      <c r="Z6048" s="1"/>
      <c r="AA6048" s="1"/>
      <c r="AB6048" s="1"/>
    </row>
    <row r="6049" ht="50.25" customHeight="1">
      <c r="A6049" s="12">
        <v>6045.0</v>
      </c>
      <c r="B6049" s="13" t="s">
        <v>5926</v>
      </c>
      <c r="C6049" s="18" t="s">
        <v>6071</v>
      </c>
      <c r="D6049" s="1"/>
      <c r="E6049" s="1"/>
      <c r="F6049" s="1" t="str">
        <f>IFERROR(__xludf.DUMMYFUNCTION("GOOGLETRANSLATE(B6049, ""en"", ""fa"")
"),"برندسازی و طراحی لوگو")</f>
        <v>برندسازی و طراحی لوگو</v>
      </c>
      <c r="G6049" s="1" t="str">
        <f>IFERROR(__xludf.DUMMYFUNCTION("GOOGLETRANSLATE(C6049, ""en"", ""fa"")
"),"نکاتی را برای ایجاد یک سیستم هویت برند که شامل تغییرات لوگو، پالت رنگ، تایپوگرافی و عناصر بصری است، به اشتراک بگذارید.")</f>
        <v>نکاتی را برای ایجاد یک سیستم هویت برند که شامل تغییرات لوگو، پالت رنگ، تایپوگرافی و عناصر بصری است، به اشتراک بگذارید.</v>
      </c>
      <c r="H6049" s="1"/>
      <c r="I6049" s="1"/>
      <c r="J6049" s="1"/>
      <c r="K6049" s="1"/>
      <c r="L6049" s="1"/>
      <c r="M6049" s="1"/>
      <c r="N6049" s="1"/>
      <c r="O6049" s="1"/>
      <c r="P6049" s="1"/>
      <c r="Q6049" s="1"/>
      <c r="R6049" s="1"/>
      <c r="S6049" s="1"/>
      <c r="T6049" s="1"/>
      <c r="U6049" s="1"/>
      <c r="V6049" s="1"/>
      <c r="W6049" s="1"/>
      <c r="X6049" s="1"/>
      <c r="Y6049" s="1"/>
      <c r="Z6049" s="1"/>
      <c r="AA6049" s="1"/>
      <c r="AB6049" s="1"/>
    </row>
    <row r="6050" ht="50.25" customHeight="1">
      <c r="A6050" s="12">
        <v>6046.0</v>
      </c>
      <c r="B6050" s="13" t="s">
        <v>5926</v>
      </c>
      <c r="C6050" s="18" t="s">
        <v>6072</v>
      </c>
      <c r="D6050" s="1"/>
      <c r="E6050" s="1"/>
      <c r="F6050" s="1" t="str">
        <f>IFERROR(__xludf.DUMMYFUNCTION("GOOGLETRANSLATE(B6050, ""en"", ""fa"")
"),"برندسازی و طراحی لوگو")</f>
        <v>برندسازی و طراحی لوگو</v>
      </c>
      <c r="G6050" s="1" t="str">
        <f>IFERROR(__xludf.DUMMYFUNCTION("GOOGLETRANSLATE(C6050, ""en"", ""fa"")
"),"مفهوم موقعیت‌یابی برند و نحوه متمایز کردن یک برند در بازار رقابتی را بررسی کنید.")</f>
        <v>مفهوم موقعیت‌یابی برند و نحوه متمایز کردن یک برند در بازار رقابتی را بررسی کنید.</v>
      </c>
      <c r="H6050" s="1"/>
      <c r="I6050" s="1"/>
      <c r="J6050" s="1"/>
      <c r="K6050" s="1"/>
      <c r="L6050" s="1"/>
      <c r="M6050" s="1"/>
      <c r="N6050" s="1"/>
      <c r="O6050" s="1"/>
      <c r="P6050" s="1"/>
      <c r="Q6050" s="1"/>
      <c r="R6050" s="1"/>
      <c r="S6050" s="1"/>
      <c r="T6050" s="1"/>
      <c r="U6050" s="1"/>
      <c r="V6050" s="1"/>
      <c r="W6050" s="1"/>
      <c r="X6050" s="1"/>
      <c r="Y6050" s="1"/>
      <c r="Z6050" s="1"/>
      <c r="AA6050" s="1"/>
      <c r="AB6050" s="1"/>
    </row>
    <row r="6051" ht="50.25" customHeight="1">
      <c r="A6051" s="12">
        <v>6047.0</v>
      </c>
      <c r="B6051" s="13" t="s">
        <v>5926</v>
      </c>
      <c r="C6051" s="18" t="s">
        <v>6073</v>
      </c>
      <c r="D6051" s="1"/>
      <c r="E6051" s="1"/>
      <c r="F6051" s="1" t="str">
        <f>IFERROR(__xludf.DUMMYFUNCTION("GOOGLETRANSLATE(B6051, ""en"", ""fa"")
"),"برندسازی و طراحی لوگو")</f>
        <v>برندسازی و طراحی لوگو</v>
      </c>
      <c r="G6051" s="1" t="str">
        <f>IFERROR(__xludf.DUMMYFUNCTION("GOOGLETRANSLATE(C6051, ""en"", ""fa"")
"),"تأثیر بسته‌بندی برند و اینکه چگونه می‌تواند تجربه محصول را افزایش دهد و ارزش‌های برند را منتقل کند، فکر کنید.")</f>
        <v>تأثیر بسته‌بندی برند و اینکه چگونه می‌تواند تجربه محصول را افزایش دهد و ارزش‌های برند را منتقل کند، فکر کنید.</v>
      </c>
      <c r="H6051" s="1"/>
      <c r="I6051" s="1"/>
      <c r="J6051" s="1"/>
      <c r="K6051" s="1"/>
      <c r="L6051" s="1"/>
      <c r="M6051" s="1"/>
      <c r="N6051" s="1"/>
      <c r="O6051" s="1"/>
      <c r="P6051" s="1"/>
      <c r="Q6051" s="1"/>
      <c r="R6051" s="1"/>
      <c r="S6051" s="1"/>
      <c r="T6051" s="1"/>
      <c r="U6051" s="1"/>
      <c r="V6051" s="1"/>
      <c r="W6051" s="1"/>
      <c r="X6051" s="1"/>
      <c r="Y6051" s="1"/>
      <c r="Z6051" s="1"/>
      <c r="AA6051" s="1"/>
      <c r="AB6051" s="1"/>
    </row>
    <row r="6052" ht="50.25" customHeight="1">
      <c r="A6052" s="12">
        <v>6048.0</v>
      </c>
      <c r="B6052" s="13" t="s">
        <v>5926</v>
      </c>
      <c r="C6052" s="18" t="s">
        <v>6074</v>
      </c>
      <c r="D6052" s="1"/>
      <c r="E6052" s="1"/>
      <c r="F6052" s="1" t="str">
        <f>IFERROR(__xludf.DUMMYFUNCTION("GOOGLETRANSLATE(B6052, ""en"", ""fa"")
"),"برندسازی و طراحی لوگو")</f>
        <v>برندسازی و طراحی لوگو</v>
      </c>
      <c r="G6052" s="1" t="str">
        <f>IFERROR(__xludf.DUMMYFUNCTION("GOOGLETRANSLATE(C6052, ""en"", ""fa"")
"),"در مورد اهمیت دستورالعمل های برند در حفظ ثبات و اطمینان از استفاده صحیح از عناصر برند بحث کنید.")</f>
        <v>در مورد اهمیت دستورالعمل های برند در حفظ ثبات و اطمینان از استفاده صحیح از عناصر برند بحث کنید.</v>
      </c>
      <c r="H6052" s="1"/>
      <c r="I6052" s="1"/>
      <c r="J6052" s="1"/>
      <c r="K6052" s="1"/>
      <c r="L6052" s="1"/>
      <c r="M6052" s="1"/>
      <c r="N6052" s="1"/>
      <c r="O6052" s="1"/>
      <c r="P6052" s="1"/>
      <c r="Q6052" s="1"/>
      <c r="R6052" s="1"/>
      <c r="S6052" s="1"/>
      <c r="T6052" s="1"/>
      <c r="U6052" s="1"/>
      <c r="V6052" s="1"/>
      <c r="W6052" s="1"/>
      <c r="X6052" s="1"/>
      <c r="Y6052" s="1"/>
      <c r="Z6052" s="1"/>
      <c r="AA6052" s="1"/>
      <c r="AB6052" s="1"/>
    </row>
    <row r="6053" ht="50.25" customHeight="1">
      <c r="A6053" s="12">
        <v>6049.0</v>
      </c>
      <c r="B6053" s="13" t="s">
        <v>5926</v>
      </c>
      <c r="C6053" s="18" t="s">
        <v>6075</v>
      </c>
      <c r="D6053" s="1"/>
      <c r="E6053" s="1"/>
      <c r="F6053" s="1" t="str">
        <f>IFERROR(__xludf.DUMMYFUNCTION("GOOGLETRANSLATE(B6053, ""en"", ""fa"")
"),"برندسازی و طراحی لوگو")</f>
        <v>برندسازی و طراحی لوگو</v>
      </c>
      <c r="G6053" s="1" t="str">
        <f>IFERROR(__xludf.DUMMYFUNCTION("GOOGLETRANSLATE(C6053, ""en"", ""fa"")
"),"تکنیک‌های انجام تحقیقات مشتری را به اشتراک بگذارید تا بینش‌هایی در مورد ادراکات و ترجیحات آنها در رابطه با نام تجاری به دست آورید.")</f>
        <v>تکنیک‌های انجام تحقیقات مشتری را به اشتراک بگذارید تا بینش‌هایی در مورد ادراکات و ترجیحات آنها در رابطه با نام تجاری به دست آورید.</v>
      </c>
      <c r="H6053" s="1"/>
      <c r="I6053" s="1"/>
      <c r="J6053" s="1"/>
      <c r="K6053" s="1"/>
      <c r="L6053" s="1"/>
      <c r="M6053" s="1"/>
      <c r="N6053" s="1"/>
      <c r="O6053" s="1"/>
      <c r="P6053" s="1"/>
      <c r="Q6053" s="1"/>
      <c r="R6053" s="1"/>
      <c r="S6053" s="1"/>
      <c r="T6053" s="1"/>
      <c r="U6053" s="1"/>
      <c r="V6053" s="1"/>
      <c r="W6053" s="1"/>
      <c r="X6053" s="1"/>
      <c r="Y6053" s="1"/>
      <c r="Z6053" s="1"/>
      <c r="AA6053" s="1"/>
      <c r="AB6053" s="1"/>
    </row>
    <row r="6054" ht="50.25" customHeight="1">
      <c r="A6054" s="12">
        <v>6050.0</v>
      </c>
      <c r="B6054" s="13" t="s">
        <v>5926</v>
      </c>
      <c r="C6054" s="18" t="s">
        <v>6076</v>
      </c>
      <c r="D6054" s="1"/>
      <c r="E6054" s="1"/>
      <c r="F6054" s="1" t="str">
        <f>IFERROR(__xludf.DUMMYFUNCTION("GOOGLETRANSLATE(B6054, ""en"", ""fa"")
"),"برندسازی و طراحی لوگو")</f>
        <v>برندسازی و طراحی لوگو</v>
      </c>
      <c r="G6054" s="1" t="str">
        <f>IFERROR(__xludf.DUMMYFUNCTION("GOOGLETRANSLATE(C6054, ""en"", ""fa"")
"),"نقش سفیران و تأثیرگذاران برند را در تقویت دسترسی و اعتبار برند بررسی کنید.")</f>
        <v>نقش سفیران و تأثیرگذاران برند را در تقویت دسترسی و اعتبار برند بررسی کنید.</v>
      </c>
      <c r="H6054" s="1"/>
      <c r="I6054" s="1"/>
      <c r="J6054" s="1"/>
      <c r="K6054" s="1"/>
      <c r="L6054" s="1"/>
      <c r="M6054" s="1"/>
      <c r="N6054" s="1"/>
      <c r="O6054" s="1"/>
      <c r="P6054" s="1"/>
      <c r="Q6054" s="1"/>
      <c r="R6054" s="1"/>
      <c r="S6054" s="1"/>
      <c r="T6054" s="1"/>
      <c r="U6054" s="1"/>
      <c r="V6054" s="1"/>
      <c r="W6054" s="1"/>
      <c r="X6054" s="1"/>
      <c r="Y6054" s="1"/>
      <c r="Z6054" s="1"/>
      <c r="AA6054" s="1"/>
      <c r="AB6054" s="1"/>
    </row>
    <row r="6055" ht="50.25" customHeight="1">
      <c r="A6055" s="12">
        <v>6051.0</v>
      </c>
      <c r="B6055" s="13" t="s">
        <v>5926</v>
      </c>
      <c r="C6055" s="18" t="s">
        <v>6077</v>
      </c>
      <c r="D6055" s="1"/>
      <c r="E6055" s="1"/>
      <c r="F6055" s="1" t="str">
        <f>IFERROR(__xludf.DUMMYFUNCTION("GOOGLETRANSLATE(B6055, ""en"", ""fa"")
"),"برندسازی و طراحی لوگو")</f>
        <v>برندسازی و طراحی لوگو</v>
      </c>
      <c r="G6055" s="1" t="str">
        <f>IFERROR(__xludf.DUMMYFUNCTION("GOOGLETRANSLATE(C6055, ""en"", ""fa"")
"),"در مورد اهمیت وفاداری به برند و چگونگی ایجاد روابط بلندمدت با مشتریان فکر کنید.")</f>
        <v>در مورد اهمیت وفاداری به برند و چگونگی ایجاد روابط بلندمدت با مشتریان فکر کنید.</v>
      </c>
      <c r="H6055" s="1"/>
      <c r="I6055" s="1"/>
      <c r="J6055" s="1"/>
      <c r="K6055" s="1"/>
      <c r="L6055" s="1"/>
      <c r="M6055" s="1"/>
      <c r="N6055" s="1"/>
      <c r="O6055" s="1"/>
      <c r="P6055" s="1"/>
      <c r="Q6055" s="1"/>
      <c r="R6055" s="1"/>
      <c r="S6055" s="1"/>
      <c r="T6055" s="1"/>
      <c r="U6055" s="1"/>
      <c r="V6055" s="1"/>
      <c r="W6055" s="1"/>
      <c r="X6055" s="1"/>
      <c r="Y6055" s="1"/>
      <c r="Z6055" s="1"/>
      <c r="AA6055" s="1"/>
      <c r="AB6055" s="1"/>
    </row>
    <row r="6056" ht="50.25" customHeight="1">
      <c r="A6056" s="12">
        <v>6052.0</v>
      </c>
      <c r="B6056" s="13" t="s">
        <v>5926</v>
      </c>
      <c r="C6056" s="18" t="s">
        <v>6078</v>
      </c>
      <c r="D6056" s="1"/>
      <c r="E6056" s="1"/>
      <c r="F6056" s="1" t="str">
        <f>IFERROR(__xludf.DUMMYFUNCTION("GOOGLETRANSLATE(B6056, ""en"", ""fa"")
"),"برندسازی و طراحی لوگو")</f>
        <v>برندسازی و طراحی لوگو</v>
      </c>
      <c r="G6056" s="1" t="str">
        <f>IFERROR(__xludf.DUMMYFUNCTION("GOOGLETRANSLATE(C6056, ""en"", ""fa"")
"),"در مورد ملاحظات طراحی یک لوگوی واکنش گرا که به خوبی در پلتفرم های دیجیتال و اندازه های صفحه نمایش مختلف مقیاس می شود، بحث کنید.")</f>
        <v>در مورد ملاحظات طراحی یک لوگوی واکنش گرا که به خوبی در پلتفرم های دیجیتال و اندازه های صفحه نمایش مختلف مقیاس می شود، بحث کنید.</v>
      </c>
      <c r="H6056" s="1"/>
      <c r="I6056" s="1"/>
      <c r="J6056" s="1"/>
      <c r="K6056" s="1"/>
      <c r="L6056" s="1"/>
      <c r="M6056" s="1"/>
      <c r="N6056" s="1"/>
      <c r="O6056" s="1"/>
      <c r="P6056" s="1"/>
      <c r="Q6056" s="1"/>
      <c r="R6056" s="1"/>
      <c r="S6056" s="1"/>
      <c r="T6056" s="1"/>
      <c r="U6056" s="1"/>
      <c r="V6056" s="1"/>
      <c r="W6056" s="1"/>
      <c r="X6056" s="1"/>
      <c r="Y6056" s="1"/>
      <c r="Z6056" s="1"/>
      <c r="AA6056" s="1"/>
      <c r="AB6056" s="1"/>
    </row>
    <row r="6057" ht="50.25" customHeight="1">
      <c r="A6057" s="12">
        <v>6053.0</v>
      </c>
      <c r="B6057" s="13" t="s">
        <v>5926</v>
      </c>
      <c r="C6057" s="18" t="s">
        <v>6079</v>
      </c>
      <c r="D6057" s="1"/>
      <c r="E6057" s="1"/>
      <c r="F6057" s="1" t="str">
        <f>IFERROR(__xludf.DUMMYFUNCTION("GOOGLETRANSLATE(B6057, ""en"", ""fa"")
"),"برندسازی و طراحی لوگو")</f>
        <v>برندسازی و طراحی لوگو</v>
      </c>
      <c r="G6057" s="1" t="str">
        <f>IFERROR(__xludf.DUMMYFUNCTION("GOOGLETRANSLATE(C6057, ""en"", ""fa"")
"),"نکاتی را برای ایجاد یک شعار یا شعار به یاد ماندنی برند که ماهیت برند را در بر می گیرد و با مخاطب هدف طنین انداز می شود، به اشتراک بگذارید.")</f>
        <v>نکاتی را برای ایجاد یک شعار یا شعار به یاد ماندنی برند که ماهیت برند را در بر می گیرد و با مخاطب هدف طنین انداز می شود، به اشتراک بگذارید.</v>
      </c>
      <c r="H6057" s="1"/>
      <c r="I6057" s="1"/>
      <c r="J6057" s="1"/>
      <c r="K6057" s="1"/>
      <c r="L6057" s="1"/>
      <c r="M6057" s="1"/>
      <c r="N6057" s="1"/>
      <c r="O6057" s="1"/>
      <c r="P6057" s="1"/>
      <c r="Q6057" s="1"/>
      <c r="R6057" s="1"/>
      <c r="S6057" s="1"/>
      <c r="T6057" s="1"/>
      <c r="U6057" s="1"/>
      <c r="V6057" s="1"/>
      <c r="W6057" s="1"/>
      <c r="X6057" s="1"/>
      <c r="Y6057" s="1"/>
      <c r="Z6057" s="1"/>
      <c r="AA6057" s="1"/>
      <c r="AB6057" s="1"/>
    </row>
    <row r="6058" ht="50.25" customHeight="1">
      <c r="A6058" s="12">
        <v>6054.0</v>
      </c>
      <c r="B6058" s="13" t="s">
        <v>5926</v>
      </c>
      <c r="C6058" s="18" t="s">
        <v>6080</v>
      </c>
      <c r="D6058" s="1"/>
      <c r="E6058" s="1"/>
      <c r="F6058" s="1" t="str">
        <f>IFERROR(__xludf.DUMMYFUNCTION("GOOGLETRANSLATE(B6058, ""en"", ""fa"")
"),"برندسازی و طراحی لوگو")</f>
        <v>برندسازی و طراحی لوگو</v>
      </c>
      <c r="G6058" s="1" t="str">
        <f>IFERROR(__xludf.DUMMYFUNCTION("GOOGLETRANSLATE(C6058, ""en"", ""fa"")
"),"تأثیر داستان سرایی بصری در ارتباطات برند و چگونگی ایجاد روایت‌های بصری جذاب از برند را بررسی کنید.")</f>
        <v>تأثیر داستان سرایی بصری در ارتباطات برند و چگونگی ایجاد روایت‌های بصری جذاب از برند را بررسی کنید.</v>
      </c>
      <c r="H6058" s="1"/>
      <c r="I6058" s="1"/>
      <c r="J6058" s="1"/>
      <c r="K6058" s="1"/>
      <c r="L6058" s="1"/>
      <c r="M6058" s="1"/>
      <c r="N6058" s="1"/>
      <c r="O6058" s="1"/>
      <c r="P6058" s="1"/>
      <c r="Q6058" s="1"/>
      <c r="R6058" s="1"/>
      <c r="S6058" s="1"/>
      <c r="T6058" s="1"/>
      <c r="U6058" s="1"/>
      <c r="V6058" s="1"/>
      <c r="W6058" s="1"/>
      <c r="X6058" s="1"/>
      <c r="Y6058" s="1"/>
      <c r="Z6058" s="1"/>
      <c r="AA6058" s="1"/>
      <c r="AB6058" s="1"/>
    </row>
    <row r="6059" ht="50.25" customHeight="1">
      <c r="A6059" s="12">
        <v>6055.0</v>
      </c>
      <c r="B6059" s="13" t="s">
        <v>5926</v>
      </c>
      <c r="C6059" s="18" t="s">
        <v>6081</v>
      </c>
      <c r="D6059" s="1"/>
      <c r="E6059" s="1"/>
      <c r="F6059" s="1" t="str">
        <f>IFERROR(__xludf.DUMMYFUNCTION("GOOGLETRANSLATE(B6059, ""en"", ""fa"")
"),"برندسازی و طراحی لوگو")</f>
        <v>برندسازی و طراحی لوگو</v>
      </c>
      <c r="G6059" s="1" t="str">
        <f>IFERROR(__xludf.DUMMYFUNCTION("GOOGLETRANSLATE(C6059, ""en"", ""fa"")
"),"در مورد نقش روانشناسی رنگ ها در برندسازی و اینکه چگونه پالت های رنگی مختلف احساسات و تداعی های خاصی را برمی انگیزند، فکر کنید.")</f>
        <v>در مورد نقش روانشناسی رنگ ها در برندسازی و اینکه چگونه پالت های رنگی مختلف احساسات و تداعی های خاصی را برمی انگیزند، فکر کنید.</v>
      </c>
      <c r="H6059" s="1"/>
      <c r="I6059" s="1"/>
      <c r="J6059" s="1"/>
      <c r="K6059" s="1"/>
      <c r="L6059" s="1"/>
      <c r="M6059" s="1"/>
      <c r="N6059" s="1"/>
      <c r="O6059" s="1"/>
      <c r="P6059" s="1"/>
      <c r="Q6059" s="1"/>
      <c r="R6059" s="1"/>
      <c r="S6059" s="1"/>
      <c r="T6059" s="1"/>
      <c r="U6059" s="1"/>
      <c r="V6059" s="1"/>
      <c r="W6059" s="1"/>
      <c r="X6059" s="1"/>
      <c r="Y6059" s="1"/>
      <c r="Z6059" s="1"/>
      <c r="AA6059" s="1"/>
      <c r="AB6059" s="1"/>
    </row>
    <row r="6060" ht="50.25" customHeight="1">
      <c r="A6060" s="12">
        <v>6056.0</v>
      </c>
      <c r="B6060" s="13" t="s">
        <v>5926</v>
      </c>
      <c r="C6060" s="18" t="s">
        <v>6082</v>
      </c>
      <c r="D6060" s="1"/>
      <c r="E6060" s="1"/>
      <c r="F6060" s="1" t="str">
        <f>IFERROR(__xludf.DUMMYFUNCTION("GOOGLETRANSLATE(B6060, ""en"", ""fa"")
"),"برندسازی و طراحی لوگو")</f>
        <v>برندسازی و طراحی لوگو</v>
      </c>
      <c r="G6060" s="1" t="str">
        <f>IFERROR(__xludf.DUMMYFUNCTION("GOOGLETRANSLATE(C6060, ""en"", ""fa"")
"),"در مورد اهمیت تحقیق برند و تجزیه و تحلیل بازار در توسعه استراتژی برند موثر بحث کنید.")</f>
        <v>در مورد اهمیت تحقیق برند و تجزیه و تحلیل بازار در توسعه استراتژی برند موثر بحث کنید.</v>
      </c>
      <c r="H6060" s="1"/>
      <c r="I6060" s="1"/>
      <c r="J6060" s="1"/>
      <c r="K6060" s="1"/>
      <c r="L6060" s="1"/>
      <c r="M6060" s="1"/>
      <c r="N6060" s="1"/>
      <c r="O6060" s="1"/>
      <c r="P6060" s="1"/>
      <c r="Q6060" s="1"/>
      <c r="R6060" s="1"/>
      <c r="S6060" s="1"/>
      <c r="T6060" s="1"/>
      <c r="U6060" s="1"/>
      <c r="V6060" s="1"/>
      <c r="W6060" s="1"/>
      <c r="X6060" s="1"/>
      <c r="Y6060" s="1"/>
      <c r="Z6060" s="1"/>
      <c r="AA6060" s="1"/>
      <c r="AB6060" s="1"/>
    </row>
    <row r="6061" ht="50.25" customHeight="1">
      <c r="A6061" s="12">
        <v>6057.0</v>
      </c>
      <c r="B6061" s="13" t="s">
        <v>5926</v>
      </c>
      <c r="C6061" s="18" t="s">
        <v>6083</v>
      </c>
      <c r="D6061" s="1"/>
      <c r="E6061" s="1"/>
      <c r="F6061" s="1" t="str">
        <f>IFERROR(__xludf.DUMMYFUNCTION("GOOGLETRANSLATE(B6061, ""en"", ""fa"")
"),"برندسازی و طراحی لوگو")</f>
        <v>برندسازی و طراحی لوگو</v>
      </c>
      <c r="G6061" s="1" t="str">
        <f>IFERROR(__xludf.DUMMYFUNCTION("GOOGLETRANSLATE(C6061, ""en"", ""fa"")
"),"تکنیک های ایجاد هویت برند قوی که در یک بازار شلوغ برجسته می شود را به اشتراک بگذارید.")</f>
        <v>تکنیک های ایجاد هویت برند قوی که در یک بازار شلوغ برجسته می شود را به اشتراک بگذارید.</v>
      </c>
      <c r="H6061" s="1"/>
      <c r="I6061" s="1"/>
      <c r="J6061" s="1"/>
      <c r="K6061" s="1"/>
      <c r="L6061" s="1"/>
      <c r="M6061" s="1"/>
      <c r="N6061" s="1"/>
      <c r="O6061" s="1"/>
      <c r="P6061" s="1"/>
      <c r="Q6061" s="1"/>
      <c r="R6061" s="1"/>
      <c r="S6061" s="1"/>
      <c r="T6061" s="1"/>
      <c r="U6061" s="1"/>
      <c r="V6061" s="1"/>
      <c r="W6061" s="1"/>
      <c r="X6061" s="1"/>
      <c r="Y6061" s="1"/>
      <c r="Z6061" s="1"/>
      <c r="AA6061" s="1"/>
      <c r="AB6061" s="1"/>
    </row>
    <row r="6062" ht="50.25" customHeight="1">
      <c r="A6062" s="12">
        <v>6058.0</v>
      </c>
      <c r="B6062" s="13" t="s">
        <v>5926</v>
      </c>
      <c r="C6062" s="18" t="s">
        <v>6084</v>
      </c>
      <c r="D6062" s="1"/>
      <c r="E6062" s="1"/>
      <c r="F6062" s="1" t="str">
        <f>IFERROR(__xludf.DUMMYFUNCTION("GOOGLETRANSLATE(B6062, ""en"", ""fa"")
"),"برندسازی و طراحی لوگو")</f>
        <v>برندسازی و طراحی لوگو</v>
      </c>
      <c r="G6062" s="1" t="str">
        <f>IFERROR(__xludf.DUMMYFUNCTION("GOOGLETRANSLATE(C6062, ""en"", ""fa"")
"),"رابطه بین هویت برند و وفاداری مشتری و چگونگی تقویت حمایت از برند در بین مشتریان را بررسی کنید.")</f>
        <v>رابطه بین هویت برند و وفاداری مشتری و چگونگی تقویت حمایت از برند در بین مشتریان را بررسی کنید.</v>
      </c>
      <c r="H6062" s="1"/>
      <c r="I6062" s="1"/>
      <c r="J6062" s="1"/>
      <c r="K6062" s="1"/>
      <c r="L6062" s="1"/>
      <c r="M6062" s="1"/>
      <c r="N6062" s="1"/>
      <c r="O6062" s="1"/>
      <c r="P6062" s="1"/>
      <c r="Q6062" s="1"/>
      <c r="R6062" s="1"/>
      <c r="S6062" s="1"/>
      <c r="T6062" s="1"/>
      <c r="U6062" s="1"/>
      <c r="V6062" s="1"/>
      <c r="W6062" s="1"/>
      <c r="X6062" s="1"/>
      <c r="Y6062" s="1"/>
      <c r="Z6062" s="1"/>
      <c r="AA6062" s="1"/>
      <c r="AB6062" s="1"/>
    </row>
    <row r="6063" ht="50.25" customHeight="1">
      <c r="A6063" s="12">
        <v>6059.0</v>
      </c>
      <c r="B6063" s="13" t="s">
        <v>5926</v>
      </c>
      <c r="C6063" s="18" t="s">
        <v>6085</v>
      </c>
      <c r="D6063" s="1"/>
      <c r="E6063" s="1"/>
      <c r="F6063" s="1" t="str">
        <f>IFERROR(__xludf.DUMMYFUNCTION("GOOGLETRANSLATE(B6063, ""en"", ""fa"")
"),"برندسازی و طراحی لوگو")</f>
        <v>برندسازی و طراحی لوگو</v>
      </c>
      <c r="G6063" s="1" t="str">
        <f>IFERROR(__xludf.DUMMYFUNCTION("GOOGLETRANSLATE(C6063, ""en"", ""fa"")
"),"به نقش تایپوگرافی در طراحی برند و اینکه چگونه انتخاب فونت می تواند شخصیت و پیام برند را منتقل کند، فکر کنید.")</f>
        <v>به نقش تایپوگرافی در طراحی برند و اینکه چگونه انتخاب فونت می تواند شخصیت و پیام برند را منتقل کند، فکر کنید.</v>
      </c>
      <c r="H6063" s="1"/>
      <c r="I6063" s="1"/>
      <c r="J6063" s="1"/>
      <c r="K6063" s="1"/>
      <c r="L6063" s="1"/>
      <c r="M6063" s="1"/>
      <c r="N6063" s="1"/>
      <c r="O6063" s="1"/>
      <c r="P6063" s="1"/>
      <c r="Q6063" s="1"/>
      <c r="R6063" s="1"/>
      <c r="S6063" s="1"/>
      <c r="T6063" s="1"/>
      <c r="U6063" s="1"/>
      <c r="V6063" s="1"/>
      <c r="W6063" s="1"/>
      <c r="X6063" s="1"/>
      <c r="Y6063" s="1"/>
      <c r="Z6063" s="1"/>
      <c r="AA6063" s="1"/>
      <c r="AB6063" s="1"/>
    </row>
    <row r="6064" ht="50.25" customHeight="1">
      <c r="A6064" s="12">
        <v>6060.0</v>
      </c>
      <c r="B6064" s="13" t="s">
        <v>5926</v>
      </c>
      <c r="C6064" s="18" t="s">
        <v>6086</v>
      </c>
      <c r="D6064" s="1"/>
      <c r="E6064" s="1"/>
      <c r="F6064" s="1" t="str">
        <f>IFERROR(__xludf.DUMMYFUNCTION("GOOGLETRANSLATE(B6064, ""en"", ""fa"")
"),"برندسازی و طراحی لوگو")</f>
        <v>برندسازی و طراحی لوگو</v>
      </c>
      <c r="G6064" s="1" t="str">
        <f>IFERROR(__xludf.DUMMYFUNCTION("GOOGLETRANSLATE(C6064, ""en"", ""fa"")
"),"در مورد ملاحظات طراحی یک راهنمای سبک برند که رهنمودهایی را برای بیان بصری و شفاهی برند ارائه می کند، بحث کنید.")</f>
        <v>در مورد ملاحظات طراحی یک راهنمای سبک برند که رهنمودهایی را برای بیان بصری و شفاهی برند ارائه می کند، بحث کنید.</v>
      </c>
      <c r="H6064" s="1"/>
      <c r="I6064" s="1"/>
      <c r="J6064" s="1"/>
      <c r="K6064" s="1"/>
      <c r="L6064" s="1"/>
      <c r="M6064" s="1"/>
      <c r="N6064" s="1"/>
      <c r="O6064" s="1"/>
      <c r="P6064" s="1"/>
      <c r="Q6064" s="1"/>
      <c r="R6064" s="1"/>
      <c r="S6064" s="1"/>
      <c r="T6064" s="1"/>
      <c r="U6064" s="1"/>
      <c r="V6064" s="1"/>
      <c r="W6064" s="1"/>
      <c r="X6064" s="1"/>
      <c r="Y6064" s="1"/>
      <c r="Z6064" s="1"/>
      <c r="AA6064" s="1"/>
      <c r="AB6064" s="1"/>
    </row>
    <row r="6065" ht="50.25" customHeight="1">
      <c r="A6065" s="12">
        <v>6061.0</v>
      </c>
      <c r="B6065" s="13" t="s">
        <v>5926</v>
      </c>
      <c r="C6065" s="18" t="s">
        <v>6087</v>
      </c>
      <c r="D6065" s="1"/>
      <c r="E6065" s="1"/>
      <c r="F6065" s="1" t="str">
        <f>IFERROR(__xludf.DUMMYFUNCTION("GOOGLETRANSLATE(B6065, ""en"", ""fa"")
"),"برندسازی و طراحی لوگو")</f>
        <v>برندسازی و طراحی لوگو</v>
      </c>
      <c r="G6065" s="1" t="str">
        <f>IFERROR(__xludf.DUMMYFUNCTION("GOOGLETRANSLATE(C6065, ""en"", ""fa"")
"),"نکاتی را برای انجام تجزیه و تحلیل رقبا به اشتراک بگذارید تا فرصت های تمایز و پیشرو بودن در بازار را شناسایی کنید.")</f>
        <v>نکاتی را برای انجام تجزیه و تحلیل رقبا به اشتراک بگذارید تا فرصت های تمایز و پیشرو بودن در بازار را شناسایی کنید.</v>
      </c>
      <c r="H6065" s="1"/>
      <c r="I6065" s="1"/>
      <c r="J6065" s="1"/>
      <c r="K6065" s="1"/>
      <c r="L6065" s="1"/>
      <c r="M6065" s="1"/>
      <c r="N6065" s="1"/>
      <c r="O6065" s="1"/>
      <c r="P6065" s="1"/>
      <c r="Q6065" s="1"/>
      <c r="R6065" s="1"/>
      <c r="S6065" s="1"/>
      <c r="T6065" s="1"/>
      <c r="U6065" s="1"/>
      <c r="V6065" s="1"/>
      <c r="W6065" s="1"/>
      <c r="X6065" s="1"/>
      <c r="Y6065" s="1"/>
      <c r="Z6065" s="1"/>
      <c r="AA6065" s="1"/>
      <c r="AB6065" s="1"/>
    </row>
    <row r="6066" ht="50.25" customHeight="1">
      <c r="A6066" s="12">
        <v>6062.0</v>
      </c>
      <c r="B6066" s="13" t="s">
        <v>5926</v>
      </c>
      <c r="C6066" s="18" t="s">
        <v>6088</v>
      </c>
      <c r="D6066" s="1"/>
      <c r="E6066" s="1"/>
      <c r="F6066" s="1" t="str">
        <f>IFERROR(__xludf.DUMMYFUNCTION("GOOGLETRANSLATE(B6066, ""en"", ""fa"")
"),"برندسازی و طراحی لوگو")</f>
        <v>برندسازی و طراحی لوگو</v>
      </c>
      <c r="G6066" s="1" t="str">
        <f>IFERROR(__xludf.DUMMYFUNCTION("GOOGLETRANSLATE(C6066, ""en"", ""fa"")
"),"تأثیر تجربیات برند در فضاهای فیزیکی، مانند فروشگاه‌های خرده‌فروشی یا رویدادها، در شکل‌دهی به ادراکات مشتری را بررسی کنید.")</f>
        <v>تأثیر تجربیات برند در فضاهای فیزیکی، مانند فروشگاه‌های خرده‌فروشی یا رویدادها، در شکل‌دهی به ادراکات مشتری را بررسی کنید.</v>
      </c>
      <c r="H6066" s="1"/>
      <c r="I6066" s="1"/>
      <c r="J6066" s="1"/>
      <c r="K6066" s="1"/>
      <c r="L6066" s="1"/>
      <c r="M6066" s="1"/>
      <c r="N6066" s="1"/>
      <c r="O6066" s="1"/>
      <c r="P6066" s="1"/>
      <c r="Q6066" s="1"/>
      <c r="R6066" s="1"/>
      <c r="S6066" s="1"/>
      <c r="T6066" s="1"/>
      <c r="U6066" s="1"/>
      <c r="V6066" s="1"/>
      <c r="W6066" s="1"/>
      <c r="X6066" s="1"/>
      <c r="Y6066" s="1"/>
      <c r="Z6066" s="1"/>
      <c r="AA6066" s="1"/>
      <c r="AB6066" s="1"/>
    </row>
    <row r="6067" ht="50.25" customHeight="1">
      <c r="A6067" s="12">
        <v>6063.0</v>
      </c>
      <c r="B6067" s="13" t="s">
        <v>5926</v>
      </c>
      <c r="C6067" s="18" t="s">
        <v>6089</v>
      </c>
      <c r="D6067" s="1"/>
      <c r="E6067" s="1"/>
      <c r="F6067" s="1" t="str">
        <f>IFERROR(__xludf.DUMMYFUNCTION("GOOGLETRANSLATE(B6067, ""en"", ""fa"")
"),"برندسازی و طراحی لوگو")</f>
        <v>برندسازی و طراحی لوگو</v>
      </c>
      <c r="G6067" s="1" t="str">
        <f>IFERROR(__xludf.DUMMYFUNCTION("GOOGLETRANSLATE(C6067, ""en"", ""fa"")
"),"به تأثیر تنوع فرهنگی در برندسازی جهانی و چگونگی تطبیق استراتژی های برندسازی برای بازارهای مختلف فکر کنید.")</f>
        <v>به تأثیر تنوع فرهنگی در برندسازی جهانی و چگونگی تطبیق استراتژی های برندسازی برای بازارهای مختلف فکر کنید.</v>
      </c>
      <c r="H6067" s="1"/>
      <c r="I6067" s="1"/>
      <c r="J6067" s="1"/>
      <c r="K6067" s="1"/>
      <c r="L6067" s="1"/>
      <c r="M6067" s="1"/>
      <c r="N6067" s="1"/>
      <c r="O6067" s="1"/>
      <c r="P6067" s="1"/>
      <c r="Q6067" s="1"/>
      <c r="R6067" s="1"/>
      <c r="S6067" s="1"/>
      <c r="T6067" s="1"/>
      <c r="U6067" s="1"/>
      <c r="V6067" s="1"/>
      <c r="W6067" s="1"/>
      <c r="X6067" s="1"/>
      <c r="Y6067" s="1"/>
      <c r="Z6067" s="1"/>
      <c r="AA6067" s="1"/>
      <c r="AB6067" s="1"/>
    </row>
    <row r="6068" ht="50.25" customHeight="1">
      <c r="A6068" s="12">
        <v>6064.0</v>
      </c>
      <c r="B6068" s="13" t="s">
        <v>5926</v>
      </c>
      <c r="C6068" s="18" t="s">
        <v>6090</v>
      </c>
      <c r="D6068" s="1"/>
      <c r="E6068" s="1"/>
      <c r="F6068" s="1" t="str">
        <f>IFERROR(__xludf.DUMMYFUNCTION("GOOGLETRANSLATE(B6068, ""en"", ""fa"")
"),"برندسازی و طراحی لوگو")</f>
        <v>برندسازی و طراحی لوگو</v>
      </c>
      <c r="G6068" s="1" t="str">
        <f>IFERROR(__xludf.DUMMYFUNCTION("GOOGLETRANSLATE(C6068, ""en"", ""fa"")
"),"در مورد اهمیت ثبات برند در ایجاد اعتماد و شناخت در ذهن مصرف کنندگان بحث کنید.")</f>
        <v>در مورد اهمیت ثبات برند در ایجاد اعتماد و شناخت در ذهن مصرف کنندگان بحث کنید.</v>
      </c>
      <c r="H6068" s="1"/>
      <c r="I6068" s="1"/>
      <c r="J6068" s="1"/>
      <c r="K6068" s="1"/>
      <c r="L6068" s="1"/>
      <c r="M6068" s="1"/>
      <c r="N6068" s="1"/>
      <c r="O6068" s="1"/>
      <c r="P6068" s="1"/>
      <c r="Q6068" s="1"/>
      <c r="R6068" s="1"/>
      <c r="S6068" s="1"/>
      <c r="T6068" s="1"/>
      <c r="U6068" s="1"/>
      <c r="V6068" s="1"/>
      <c r="W6068" s="1"/>
      <c r="X6068" s="1"/>
      <c r="Y6068" s="1"/>
      <c r="Z6068" s="1"/>
      <c r="AA6068" s="1"/>
      <c r="AB6068" s="1"/>
    </row>
    <row r="6069" ht="50.25" customHeight="1">
      <c r="A6069" s="12">
        <v>6065.0</v>
      </c>
      <c r="B6069" s="13" t="s">
        <v>5926</v>
      </c>
      <c r="C6069" s="18" t="s">
        <v>6091</v>
      </c>
      <c r="D6069" s="1"/>
      <c r="E6069" s="1"/>
      <c r="F6069" s="1" t="str">
        <f>IFERROR(__xludf.DUMMYFUNCTION("GOOGLETRANSLATE(B6069, ""en"", ""fa"")
"),"برندسازی و طراحی لوگو")</f>
        <v>برندسازی و طراحی لوگو</v>
      </c>
      <c r="G6069" s="1" t="str">
        <f>IFERROR(__xludf.DUMMYFUNCTION("GOOGLETRANSLATE(C6069, ""en"", ""fa"")
"),"تکنیک هایی را برای ایجاد یک روایت برند قوی که مشتریان را درگیر می کند و با ارزش های برند همسو می شود، به اشتراک بگذارید.")</f>
        <v>تکنیک هایی را برای ایجاد یک روایت برند قوی که مشتریان را درگیر می کند و با ارزش های برند همسو می شود، به اشتراک بگذارید.</v>
      </c>
      <c r="H6069" s="1"/>
      <c r="I6069" s="1"/>
      <c r="J6069" s="1"/>
      <c r="K6069" s="1"/>
      <c r="L6069" s="1"/>
      <c r="M6069" s="1"/>
      <c r="N6069" s="1"/>
      <c r="O6069" s="1"/>
      <c r="P6069" s="1"/>
      <c r="Q6069" s="1"/>
      <c r="R6069" s="1"/>
      <c r="S6069" s="1"/>
      <c r="T6069" s="1"/>
      <c r="U6069" s="1"/>
      <c r="V6069" s="1"/>
      <c r="W6069" s="1"/>
      <c r="X6069" s="1"/>
      <c r="Y6069" s="1"/>
      <c r="Z6069" s="1"/>
      <c r="AA6069" s="1"/>
      <c r="AB6069" s="1"/>
    </row>
    <row r="6070" ht="50.25" customHeight="1">
      <c r="A6070" s="12">
        <v>6066.0</v>
      </c>
      <c r="B6070" s="13" t="s">
        <v>5926</v>
      </c>
      <c r="C6070" s="18" t="s">
        <v>6092</v>
      </c>
      <c r="D6070" s="1"/>
      <c r="E6070" s="1"/>
      <c r="F6070" s="1" t="str">
        <f>IFERROR(__xludf.DUMMYFUNCTION("GOOGLETRANSLATE(B6070, ""en"", ""fa"")
"),"برندسازی و طراحی لوگو")</f>
        <v>برندسازی و طراحی لوگو</v>
      </c>
      <c r="G6070" s="1" t="str">
        <f>IFERROR(__xludf.DUMMYFUNCTION("GOOGLETRANSLATE(C6070, ""en"", ""fa"")
"),"مفهوم معماری برند و چگونگی ایجاد یک سبد برند منسجم که از رشد برند پشتیبانی می کند را بررسی کنید.")</f>
        <v>مفهوم معماری برند و چگونگی ایجاد یک سبد برند منسجم که از رشد برند پشتیبانی می کند را بررسی کنید.</v>
      </c>
      <c r="H6070" s="1"/>
      <c r="I6070" s="1"/>
      <c r="J6070" s="1"/>
      <c r="K6070" s="1"/>
      <c r="L6070" s="1"/>
      <c r="M6070" s="1"/>
      <c r="N6070" s="1"/>
      <c r="O6070" s="1"/>
      <c r="P6070" s="1"/>
      <c r="Q6070" s="1"/>
      <c r="R6070" s="1"/>
      <c r="S6070" s="1"/>
      <c r="T6070" s="1"/>
      <c r="U6070" s="1"/>
      <c r="V6070" s="1"/>
      <c r="W6070" s="1"/>
      <c r="X6070" s="1"/>
      <c r="Y6070" s="1"/>
      <c r="Z6070" s="1"/>
      <c r="AA6070" s="1"/>
      <c r="AB6070" s="1"/>
    </row>
    <row r="6071" ht="50.25" customHeight="1">
      <c r="A6071" s="12">
        <v>6067.0</v>
      </c>
      <c r="B6071" s="13" t="s">
        <v>5926</v>
      </c>
      <c r="C6071" s="18" t="s">
        <v>6093</v>
      </c>
      <c r="D6071" s="1"/>
      <c r="E6071" s="1"/>
      <c r="F6071" s="1" t="str">
        <f>IFERROR(__xludf.DUMMYFUNCTION("GOOGLETRANSLATE(B6071, ""en"", ""fa"")
"),"برندسازی و طراحی لوگو")</f>
        <v>برندسازی و طراحی لوگو</v>
      </c>
      <c r="G6071" s="1" t="str">
        <f>IFERROR(__xludf.DUMMYFUNCTION("GOOGLETRANSLATE(C6071, ""en"", ""fa"")
"),"به نقش شخصیت برند در ایجاد هویت برند متمایز و قابل ربط فکر کنید.")</f>
        <v>به نقش شخصیت برند در ایجاد هویت برند متمایز و قابل ربط فکر کنید.</v>
      </c>
      <c r="H6071" s="1"/>
      <c r="I6071" s="1"/>
      <c r="J6071" s="1"/>
      <c r="K6071" s="1"/>
      <c r="L6071" s="1"/>
      <c r="M6071" s="1"/>
      <c r="N6071" s="1"/>
      <c r="O6071" s="1"/>
      <c r="P6071" s="1"/>
      <c r="Q6071" s="1"/>
      <c r="R6071" s="1"/>
      <c r="S6071" s="1"/>
      <c r="T6071" s="1"/>
      <c r="U6071" s="1"/>
      <c r="V6071" s="1"/>
      <c r="W6071" s="1"/>
      <c r="X6071" s="1"/>
      <c r="Y6071" s="1"/>
      <c r="Z6071" s="1"/>
      <c r="AA6071" s="1"/>
      <c r="AB6071" s="1"/>
    </row>
    <row r="6072" ht="50.25" customHeight="1">
      <c r="A6072" s="12">
        <v>6068.0</v>
      </c>
      <c r="B6072" s="13" t="s">
        <v>5926</v>
      </c>
      <c r="C6072" s="18" t="s">
        <v>6094</v>
      </c>
      <c r="D6072" s="1"/>
      <c r="E6072" s="1"/>
      <c r="F6072" s="1" t="str">
        <f>IFERROR(__xludf.DUMMYFUNCTION("GOOGLETRANSLATE(B6072, ""en"", ""fa"")
"),"برندسازی و طراحی لوگو")</f>
        <v>برندسازی و طراحی لوگو</v>
      </c>
      <c r="G6072" s="1" t="str">
        <f>IFERROR(__xludf.DUMMYFUNCTION("GOOGLETRANSLATE(C6072, ""en"", ""fa"")
"),"نکاتی را برای انجام نظرسنجی‌های ادراک برند برای جمع‌آوری بینش‌هایی در مورد نحوه درک برند توسط مشتریان به اشتراک بگذارید.")</f>
        <v>نکاتی را برای انجام نظرسنجی‌های ادراک برند برای جمع‌آوری بینش‌هایی در مورد نحوه درک برند توسط مشتریان به اشتراک بگذارید.</v>
      </c>
      <c r="H6072" s="1"/>
      <c r="I6072" s="1"/>
      <c r="J6072" s="1"/>
      <c r="K6072" s="1"/>
      <c r="L6072" s="1"/>
      <c r="M6072" s="1"/>
      <c r="N6072" s="1"/>
      <c r="O6072" s="1"/>
      <c r="P6072" s="1"/>
      <c r="Q6072" s="1"/>
      <c r="R6072" s="1"/>
      <c r="S6072" s="1"/>
      <c r="T6072" s="1"/>
      <c r="U6072" s="1"/>
      <c r="V6072" s="1"/>
      <c r="W6072" s="1"/>
      <c r="X6072" s="1"/>
      <c r="Y6072" s="1"/>
      <c r="Z6072" s="1"/>
      <c r="AA6072" s="1"/>
      <c r="AB6072" s="1"/>
    </row>
    <row r="6073" ht="50.25" customHeight="1">
      <c r="A6073" s="12">
        <v>6069.0</v>
      </c>
      <c r="B6073" s="13" t="s">
        <v>5926</v>
      </c>
      <c r="C6073" s="18" t="s">
        <v>6095</v>
      </c>
      <c r="D6073" s="1"/>
      <c r="E6073" s="1"/>
      <c r="F6073" s="1" t="str">
        <f>IFERROR(__xludf.DUMMYFUNCTION("GOOGLETRANSLATE(B6073, ""en"", ""fa"")
"),"برندسازی و طراحی لوگو")</f>
        <v>برندسازی و طراحی لوگو</v>
      </c>
      <c r="G6073" s="1" t="str">
        <f>IFERROR(__xludf.DUMMYFUNCTION("GOOGLETRANSLATE(C6073, ""en"", ""fa"")
"),"تأثیر برنامه‌ها و مشوق‌های وفاداری به برند در تقویت حفظ و حمایت از مشتری را بررسی کنید.")</f>
        <v>تأثیر برنامه‌ها و مشوق‌های وفاداری به برند در تقویت حفظ و حمایت از مشتری را بررسی کنید.</v>
      </c>
      <c r="H6073" s="1"/>
      <c r="I6073" s="1"/>
      <c r="J6073" s="1"/>
      <c r="K6073" s="1"/>
      <c r="L6073" s="1"/>
      <c r="M6073" s="1"/>
      <c r="N6073" s="1"/>
      <c r="O6073" s="1"/>
      <c r="P6073" s="1"/>
      <c r="Q6073" s="1"/>
      <c r="R6073" s="1"/>
      <c r="S6073" s="1"/>
      <c r="T6073" s="1"/>
      <c r="U6073" s="1"/>
      <c r="V6073" s="1"/>
      <c r="W6073" s="1"/>
      <c r="X6073" s="1"/>
      <c r="Y6073" s="1"/>
      <c r="Z6073" s="1"/>
      <c r="AA6073" s="1"/>
      <c r="AB6073" s="1"/>
    </row>
    <row r="6074" ht="50.25" customHeight="1">
      <c r="A6074" s="12">
        <v>6070.0</v>
      </c>
      <c r="B6074" s="13" t="s">
        <v>5926</v>
      </c>
      <c r="C6074" s="18" t="s">
        <v>6096</v>
      </c>
      <c r="D6074" s="1"/>
      <c r="E6074" s="1"/>
      <c r="F6074" s="1" t="str">
        <f>IFERROR(__xludf.DUMMYFUNCTION("GOOGLETRANSLATE(B6074, ""en"", ""fa"")
"),"برندسازی و طراحی لوگو")</f>
        <v>برندسازی و طراحی لوگو</v>
      </c>
      <c r="G6074" s="1" t="str">
        <f>IFERROR(__xludf.DUMMYFUNCTION("GOOGLETRANSLATE(C6074, ""en"", ""fa"")
"),"در مورد اهمیت داستان سرایی برند در ایجاد ارتباطات عاطفی و ایجاد روابط طولانی مدت با مشتری بحث کنید.")</f>
        <v>در مورد اهمیت داستان سرایی برند در ایجاد ارتباطات عاطفی و ایجاد روابط طولانی مدت با مشتری بحث کنید.</v>
      </c>
      <c r="H6074" s="1"/>
      <c r="I6074" s="1"/>
      <c r="J6074" s="1"/>
      <c r="K6074" s="1"/>
      <c r="L6074" s="1"/>
      <c r="M6074" s="1"/>
      <c r="N6074" s="1"/>
      <c r="O6074" s="1"/>
      <c r="P6074" s="1"/>
      <c r="Q6074" s="1"/>
      <c r="R6074" s="1"/>
      <c r="S6074" s="1"/>
      <c r="T6074" s="1"/>
      <c r="U6074" s="1"/>
      <c r="V6074" s="1"/>
      <c r="W6074" s="1"/>
      <c r="X6074" s="1"/>
      <c r="Y6074" s="1"/>
      <c r="Z6074" s="1"/>
      <c r="AA6074" s="1"/>
      <c r="AB6074" s="1"/>
    </row>
    <row r="6075" ht="50.25" customHeight="1">
      <c r="A6075" s="12">
        <v>6071.0</v>
      </c>
      <c r="B6075" s="13" t="s">
        <v>5926</v>
      </c>
      <c r="C6075" s="18" t="s">
        <v>6097</v>
      </c>
      <c r="D6075" s="1"/>
      <c r="E6075" s="1"/>
      <c r="F6075" s="1" t="str">
        <f>IFERROR(__xludf.DUMMYFUNCTION("GOOGLETRANSLATE(B6075, ""en"", ""fa"")
"),"برندسازی و طراحی لوگو")</f>
        <v>برندسازی و طراحی لوگو</v>
      </c>
      <c r="G6075" s="1" t="str">
        <f>IFERROR(__xludf.DUMMYFUNCTION("GOOGLETRANSLATE(C6075, ""en"", ""fa"")
"),"تکنیک‌هایی را برای ایجاد یک تجربه برند منسجم و منسجم در نقاط تماس مختلف، از آنلاین تا آفلاین، به اشتراک بگذارید.")</f>
        <v>تکنیک‌هایی را برای ایجاد یک تجربه برند منسجم و منسجم در نقاط تماس مختلف، از آنلاین تا آفلاین، به اشتراک بگذارید.</v>
      </c>
      <c r="H6075" s="1"/>
      <c r="I6075" s="1"/>
      <c r="J6075" s="1"/>
      <c r="K6075" s="1"/>
      <c r="L6075" s="1"/>
      <c r="M6075" s="1"/>
      <c r="N6075" s="1"/>
      <c r="O6075" s="1"/>
      <c r="P6075" s="1"/>
      <c r="Q6075" s="1"/>
      <c r="R6075" s="1"/>
      <c r="S6075" s="1"/>
      <c r="T6075" s="1"/>
      <c r="U6075" s="1"/>
      <c r="V6075" s="1"/>
      <c r="W6075" s="1"/>
      <c r="X6075" s="1"/>
      <c r="Y6075" s="1"/>
      <c r="Z6075" s="1"/>
      <c r="AA6075" s="1"/>
      <c r="AB6075" s="1"/>
    </row>
    <row r="6076" ht="50.25" customHeight="1">
      <c r="A6076" s="12">
        <v>6072.0</v>
      </c>
      <c r="B6076" s="13" t="s">
        <v>5926</v>
      </c>
      <c r="C6076" s="18" t="s">
        <v>6098</v>
      </c>
      <c r="D6076" s="1"/>
      <c r="E6076" s="1"/>
      <c r="F6076" s="1" t="str">
        <f>IFERROR(__xludf.DUMMYFUNCTION("GOOGLETRANSLATE(B6076, ""en"", ""fa"")
"),"برندسازی و طراحی لوگو")</f>
        <v>برندسازی و طراحی لوگو</v>
      </c>
      <c r="G6076" s="1" t="str">
        <f>IFERROR(__xludf.DUMMYFUNCTION("GOOGLETRANSLATE(C6076, ""en"", ""fa"")
"),"به نقش هدف برند در شکل دادن به ماموریت، ارزش ها و هویت یک برند فکر کنید.")</f>
        <v>به نقش هدف برند در شکل دادن به ماموریت، ارزش ها و هویت یک برند فکر کنید.</v>
      </c>
      <c r="H6076" s="1"/>
      <c r="I6076" s="1"/>
      <c r="J6076" s="1"/>
      <c r="K6076" s="1"/>
      <c r="L6076" s="1"/>
      <c r="M6076" s="1"/>
      <c r="N6076" s="1"/>
      <c r="O6076" s="1"/>
      <c r="P6076" s="1"/>
      <c r="Q6076" s="1"/>
      <c r="R6076" s="1"/>
      <c r="S6076" s="1"/>
      <c r="T6076" s="1"/>
      <c r="U6076" s="1"/>
      <c r="V6076" s="1"/>
      <c r="W6076" s="1"/>
      <c r="X6076" s="1"/>
      <c r="Y6076" s="1"/>
      <c r="Z6076" s="1"/>
      <c r="AA6076" s="1"/>
      <c r="AB6076" s="1"/>
    </row>
    <row r="6077" ht="50.25" customHeight="1">
      <c r="A6077" s="12">
        <v>6073.0</v>
      </c>
      <c r="B6077" s="13" t="s">
        <v>5926</v>
      </c>
      <c r="C6077" s="18" t="s">
        <v>6099</v>
      </c>
      <c r="D6077" s="1"/>
      <c r="E6077" s="1"/>
      <c r="F6077" s="1" t="str">
        <f>IFERROR(__xludf.DUMMYFUNCTION("GOOGLETRANSLATE(B6077, ""en"", ""fa"")
"),"برندسازی و طراحی لوگو")</f>
        <v>برندسازی و طراحی لوگو</v>
      </c>
      <c r="G6077" s="1" t="str">
        <f>IFERROR(__xludf.DUMMYFUNCTION("GOOGLETRANSLATE(C6077, ""en"", ""fa"")
"),"تأثیر داستان سرایی در ایجاد یک روایت معتبر و قابل ربط از برند را بررسی کنید.")</f>
        <v>تأثیر داستان سرایی در ایجاد یک روایت معتبر و قابل ربط از برند را بررسی کنید.</v>
      </c>
      <c r="H6077" s="1"/>
      <c r="I6077" s="1"/>
      <c r="J6077" s="1"/>
      <c r="K6077" s="1"/>
      <c r="L6077" s="1"/>
      <c r="M6077" s="1"/>
      <c r="N6077" s="1"/>
      <c r="O6077" s="1"/>
      <c r="P6077" s="1"/>
      <c r="Q6077" s="1"/>
      <c r="R6077" s="1"/>
      <c r="S6077" s="1"/>
      <c r="T6077" s="1"/>
      <c r="U6077" s="1"/>
      <c r="V6077" s="1"/>
      <c r="W6077" s="1"/>
      <c r="X6077" s="1"/>
      <c r="Y6077" s="1"/>
      <c r="Z6077" s="1"/>
      <c r="AA6077" s="1"/>
      <c r="AB6077" s="1"/>
    </row>
    <row r="6078" ht="50.25" customHeight="1">
      <c r="A6078" s="12">
        <v>6074.0</v>
      </c>
      <c r="B6078" s="13" t="s">
        <v>5926</v>
      </c>
      <c r="C6078" s="18" t="s">
        <v>6100</v>
      </c>
      <c r="D6078" s="1"/>
      <c r="E6078" s="1"/>
      <c r="F6078" s="1" t="str">
        <f>IFERROR(__xludf.DUMMYFUNCTION("GOOGLETRANSLATE(B6078, ""en"", ""fa"")
"),"برندسازی و طراحی لوگو")</f>
        <v>برندسازی و طراحی لوگو</v>
      </c>
      <c r="G6078" s="1" t="str">
        <f>IFERROR(__xludf.DUMMYFUNCTION("GOOGLETRANSLATE(C6078, ""en"", ""fa"")
"),"در مورد اهمیت تمایز برند در متمایز شدن از رقبا و جلب توجه مخاطب بحث کنید.")</f>
        <v>در مورد اهمیت تمایز برند در متمایز شدن از رقبا و جلب توجه مخاطب بحث کنید.</v>
      </c>
      <c r="H6078" s="1"/>
      <c r="I6078" s="1"/>
      <c r="J6078" s="1"/>
      <c r="K6078" s="1"/>
      <c r="L6078" s="1"/>
      <c r="M6078" s="1"/>
      <c r="N6078" s="1"/>
      <c r="O6078" s="1"/>
      <c r="P6078" s="1"/>
      <c r="Q6078" s="1"/>
      <c r="R6078" s="1"/>
      <c r="S6078" s="1"/>
      <c r="T6078" s="1"/>
      <c r="U6078" s="1"/>
      <c r="V6078" s="1"/>
      <c r="W6078" s="1"/>
      <c r="X6078" s="1"/>
      <c r="Y6078" s="1"/>
      <c r="Z6078" s="1"/>
      <c r="AA6078" s="1"/>
      <c r="AB6078" s="1"/>
    </row>
    <row r="6079" ht="50.25" customHeight="1">
      <c r="A6079" s="12">
        <v>6075.0</v>
      </c>
      <c r="B6079" s="13" t="s">
        <v>5926</v>
      </c>
      <c r="C6079" s="18" t="s">
        <v>6101</v>
      </c>
      <c r="D6079" s="1"/>
      <c r="E6079" s="1"/>
      <c r="F6079" s="1" t="str">
        <f>IFERROR(__xludf.DUMMYFUNCTION("GOOGLETRANSLATE(B6079, ""en"", ""fa"")
"),"برندسازی و طراحی لوگو")</f>
        <v>برندسازی و طراحی لوگو</v>
      </c>
      <c r="G6079" s="1" t="str">
        <f>IFERROR(__xludf.DUMMYFUNCTION("GOOGLETRANSLATE(C6079, ""en"", ""fa"")
"),"تکنیک های انجام نظرسنجی های برند را برای جمع آوری بازخورد و بینش از مخاطبان هدف به اشتراک بگذارید.")</f>
        <v>تکنیک های انجام نظرسنجی های برند را برای جمع آوری بازخورد و بینش از مخاطبان هدف به اشتراک بگذارید.</v>
      </c>
      <c r="H6079" s="1"/>
      <c r="I6079" s="1"/>
      <c r="J6079" s="1"/>
      <c r="K6079" s="1"/>
      <c r="L6079" s="1"/>
      <c r="M6079" s="1"/>
      <c r="N6079" s="1"/>
      <c r="O6079" s="1"/>
      <c r="P6079" s="1"/>
      <c r="Q6079" s="1"/>
      <c r="R6079" s="1"/>
      <c r="S6079" s="1"/>
      <c r="T6079" s="1"/>
      <c r="U6079" s="1"/>
      <c r="V6079" s="1"/>
      <c r="W6079" s="1"/>
      <c r="X6079" s="1"/>
      <c r="Y6079" s="1"/>
      <c r="Z6079" s="1"/>
      <c r="AA6079" s="1"/>
      <c r="AB6079" s="1"/>
    </row>
    <row r="6080" ht="50.25" customHeight="1">
      <c r="A6080" s="12">
        <v>6076.0</v>
      </c>
      <c r="B6080" s="13" t="s">
        <v>5926</v>
      </c>
      <c r="C6080" s="18" t="s">
        <v>6102</v>
      </c>
      <c r="D6080" s="1"/>
      <c r="E6080" s="1"/>
      <c r="F6080" s="1" t="str">
        <f>IFERROR(__xludf.DUMMYFUNCTION("GOOGLETRANSLATE(B6080, ""en"", ""fa"")
"),"برندسازی و طراحی لوگو")</f>
        <v>برندسازی و طراحی لوگو</v>
      </c>
      <c r="G6080" s="1" t="str">
        <f>IFERROR(__xludf.DUMMYFUNCTION("GOOGLETRANSLATE(C6080, ""en"", ""fa"")
"),"رابطه بین هویت برند و اعتماد مشتری و چگونگی ایجاد اعتماد از طریق برندسازی ثابت را بررسی کنید.")</f>
        <v>رابطه بین هویت برند و اعتماد مشتری و چگونگی ایجاد اعتماد از طریق برندسازی ثابت را بررسی کنید.</v>
      </c>
      <c r="H6080" s="1"/>
      <c r="I6080" s="1"/>
      <c r="J6080" s="1"/>
      <c r="K6080" s="1"/>
      <c r="L6080" s="1"/>
      <c r="M6080" s="1"/>
      <c r="N6080" s="1"/>
      <c r="O6080" s="1"/>
      <c r="P6080" s="1"/>
      <c r="Q6080" s="1"/>
      <c r="R6080" s="1"/>
      <c r="S6080" s="1"/>
      <c r="T6080" s="1"/>
      <c r="U6080" s="1"/>
      <c r="V6080" s="1"/>
      <c r="W6080" s="1"/>
      <c r="X6080" s="1"/>
      <c r="Y6080" s="1"/>
      <c r="Z6080" s="1"/>
      <c r="AA6080" s="1"/>
      <c r="AB6080" s="1"/>
    </row>
    <row r="6081" ht="50.25" customHeight="1">
      <c r="A6081" s="12">
        <v>6077.0</v>
      </c>
      <c r="B6081" s="13" t="s">
        <v>5926</v>
      </c>
      <c r="C6081" s="18" t="s">
        <v>6103</v>
      </c>
      <c r="D6081" s="1"/>
      <c r="E6081" s="1"/>
      <c r="F6081" s="1" t="str">
        <f>IFERROR(__xludf.DUMMYFUNCTION("GOOGLETRANSLATE(B6081, ""en"", ""fa"")
"),"برندسازی و طراحی لوگو")</f>
        <v>برندسازی و طراحی لوگو</v>
      </c>
      <c r="G6081" s="1" t="str">
        <f>IFERROR(__xludf.DUMMYFUNCTION("GOOGLETRANSLATE(C6081, ""en"", ""fa"")
"),"تأثیر نمادهای فرهنگی و نشانه های بصری در ایجاد هویت های فرهنگی مرتبط با برند را تامل کنید.")</f>
        <v>تأثیر نمادهای فرهنگی و نشانه های بصری در ایجاد هویت های فرهنگی مرتبط با برند را تامل کنید.</v>
      </c>
      <c r="H6081" s="1"/>
      <c r="I6081" s="1"/>
      <c r="J6081" s="1"/>
      <c r="K6081" s="1"/>
      <c r="L6081" s="1"/>
      <c r="M6081" s="1"/>
      <c r="N6081" s="1"/>
      <c r="O6081" s="1"/>
      <c r="P6081" s="1"/>
      <c r="Q6081" s="1"/>
      <c r="R6081" s="1"/>
      <c r="S6081" s="1"/>
      <c r="T6081" s="1"/>
      <c r="U6081" s="1"/>
      <c r="V6081" s="1"/>
      <c r="W6081" s="1"/>
      <c r="X6081" s="1"/>
      <c r="Y6081" s="1"/>
      <c r="Z6081" s="1"/>
      <c r="AA6081" s="1"/>
      <c r="AB6081" s="1"/>
    </row>
    <row r="6082" ht="50.25" customHeight="1">
      <c r="A6082" s="12">
        <v>6078.0</v>
      </c>
      <c r="B6082" s="13" t="s">
        <v>5926</v>
      </c>
      <c r="C6082" s="18" t="s">
        <v>6104</v>
      </c>
      <c r="D6082" s="1"/>
      <c r="E6082" s="1"/>
      <c r="F6082" s="1" t="str">
        <f>IFERROR(__xludf.DUMMYFUNCTION("GOOGLETRANSLATE(B6082, ""en"", ""fa"")
"),"برندسازی و طراحی لوگو")</f>
        <v>برندسازی و طراحی لوگو</v>
      </c>
      <c r="G6082" s="1" t="str">
        <f>IFERROR(__xludf.DUMMYFUNCTION("GOOGLETRANSLATE(C6082, ""en"", ""fa"")
"),"در مورد ملاحظات طراحی یک لوگوی همه کاره که می تواند با برنامه ها و رسانه های مختلف سازگار شود، بحث کنید.")</f>
        <v>در مورد ملاحظات طراحی یک لوگوی همه کاره که می تواند با برنامه ها و رسانه های مختلف سازگار شود، بحث کنید.</v>
      </c>
      <c r="H6082" s="1"/>
      <c r="I6082" s="1"/>
      <c r="J6082" s="1"/>
      <c r="K6082" s="1"/>
      <c r="L6082" s="1"/>
      <c r="M6082" s="1"/>
      <c r="N6082" s="1"/>
      <c r="O6082" s="1"/>
      <c r="P6082" s="1"/>
      <c r="Q6082" s="1"/>
      <c r="R6082" s="1"/>
      <c r="S6082" s="1"/>
      <c r="T6082" s="1"/>
      <c r="U6082" s="1"/>
      <c r="V6082" s="1"/>
      <c r="W6082" s="1"/>
      <c r="X6082" s="1"/>
      <c r="Y6082" s="1"/>
      <c r="Z6082" s="1"/>
      <c r="AA6082" s="1"/>
      <c r="AB6082" s="1"/>
    </row>
    <row r="6083" ht="50.25" customHeight="1">
      <c r="A6083" s="12">
        <v>6079.0</v>
      </c>
      <c r="B6083" s="13" t="s">
        <v>5926</v>
      </c>
      <c r="C6083" s="18" t="s">
        <v>6105</v>
      </c>
      <c r="D6083" s="1"/>
      <c r="E6083" s="1"/>
      <c r="F6083" s="1" t="str">
        <f>IFERROR(__xludf.DUMMYFUNCTION("GOOGLETRANSLATE(B6083, ""en"", ""fa"")
"),"برندسازی و طراحی لوگو")</f>
        <v>برندسازی و طراحی لوگو</v>
      </c>
      <c r="G6083" s="1" t="str">
        <f>IFERROR(__xludf.DUMMYFUNCTION("GOOGLETRANSLATE(C6083, ""en"", ""fa"")
"),"نکاتی را برای انتخاب تایپوگرافی مناسب که با شخصیت برند مطابقت دارد و پیام مورد نظر را منتقل می کند، به اشتراک بگذارید.")</f>
        <v>نکاتی را برای انتخاب تایپوگرافی مناسب که با شخصیت برند مطابقت دارد و پیام مورد نظر را منتقل می کند، به اشتراک بگذارید.</v>
      </c>
      <c r="H6083" s="1"/>
      <c r="I6083" s="1"/>
      <c r="J6083" s="1"/>
      <c r="K6083" s="1"/>
      <c r="L6083" s="1"/>
      <c r="M6083" s="1"/>
      <c r="N6083" s="1"/>
      <c r="O6083" s="1"/>
      <c r="P6083" s="1"/>
      <c r="Q6083" s="1"/>
      <c r="R6083" s="1"/>
      <c r="S6083" s="1"/>
      <c r="T6083" s="1"/>
      <c r="U6083" s="1"/>
      <c r="V6083" s="1"/>
      <c r="W6083" s="1"/>
      <c r="X6083" s="1"/>
      <c r="Y6083" s="1"/>
      <c r="Z6083" s="1"/>
      <c r="AA6083" s="1"/>
      <c r="AB6083" s="1"/>
    </row>
    <row r="6084" ht="50.25" customHeight="1">
      <c r="A6084" s="12">
        <v>6080.0</v>
      </c>
      <c r="B6084" s="13" t="s">
        <v>5926</v>
      </c>
      <c r="C6084" s="18" t="s">
        <v>6106</v>
      </c>
      <c r="D6084" s="1"/>
      <c r="E6084" s="1"/>
      <c r="F6084" s="1" t="str">
        <f>IFERROR(__xludf.DUMMYFUNCTION("GOOGLETRANSLATE(B6084, ""en"", ""fa"")
"),"برندسازی و طراحی لوگو")</f>
        <v>برندسازی و طراحی لوگو</v>
      </c>
      <c r="G6084" s="1" t="str">
        <f>IFERROR(__xludf.DUMMYFUNCTION("GOOGLETRANSLATE(C6084, ""en"", ""fa"")
"),"تأثیر سلسله مراتب بصری در طراحی برند و چگونگی هدایت توجه و ادراک کاربر را بررسی کنید.")</f>
        <v>تأثیر سلسله مراتب بصری در طراحی برند و چگونگی هدایت توجه و ادراک کاربر را بررسی کنید.</v>
      </c>
      <c r="H6084" s="1"/>
      <c r="I6084" s="1"/>
      <c r="J6084" s="1"/>
      <c r="K6084" s="1"/>
      <c r="L6084" s="1"/>
      <c r="M6084" s="1"/>
      <c r="N6084" s="1"/>
      <c r="O6084" s="1"/>
      <c r="P6084" s="1"/>
      <c r="Q6084" s="1"/>
      <c r="R6084" s="1"/>
      <c r="S6084" s="1"/>
      <c r="T6084" s="1"/>
      <c r="U6084" s="1"/>
      <c r="V6084" s="1"/>
      <c r="W6084" s="1"/>
      <c r="X6084" s="1"/>
      <c r="Y6084" s="1"/>
      <c r="Z6084" s="1"/>
      <c r="AA6084" s="1"/>
      <c r="AB6084" s="1"/>
    </row>
    <row r="6085" ht="50.25" customHeight="1">
      <c r="A6085" s="12">
        <v>6081.0</v>
      </c>
      <c r="B6085" s="13" t="s">
        <v>5926</v>
      </c>
      <c r="C6085" s="18" t="s">
        <v>6107</v>
      </c>
      <c r="D6085" s="1"/>
      <c r="E6085" s="1"/>
      <c r="F6085" s="1" t="str">
        <f>IFERROR(__xludf.DUMMYFUNCTION("GOOGLETRANSLATE(B6085, ""en"", ""fa"")
"),"برندسازی و طراحی لوگو")</f>
        <v>برندسازی و طراحی لوگو</v>
      </c>
      <c r="G6085" s="1" t="str">
        <f>IFERROR(__xludf.DUMMYFUNCTION("GOOGLETRANSLATE(C6085, ""en"", ""fa"")
"),"در مورد اهمیت نام تجاری و چگونگی ایجاد یک نام تجاری به یاد ماندنی و معنادار بحث کنید.")</f>
        <v>در مورد اهمیت نام تجاری و چگونگی ایجاد یک نام تجاری به یاد ماندنی و معنادار بحث کنید.</v>
      </c>
      <c r="H6085" s="1"/>
      <c r="I6085" s="1"/>
      <c r="J6085" s="1"/>
      <c r="K6085" s="1"/>
      <c r="L6085" s="1"/>
      <c r="M6085" s="1"/>
      <c r="N6085" s="1"/>
      <c r="O6085" s="1"/>
      <c r="P6085" s="1"/>
      <c r="Q6085" s="1"/>
      <c r="R6085" s="1"/>
      <c r="S6085" s="1"/>
      <c r="T6085" s="1"/>
      <c r="U6085" s="1"/>
      <c r="V6085" s="1"/>
      <c r="W6085" s="1"/>
      <c r="X6085" s="1"/>
      <c r="Y6085" s="1"/>
      <c r="Z6085" s="1"/>
      <c r="AA6085" s="1"/>
      <c r="AB6085" s="1"/>
    </row>
    <row r="6086" ht="50.25" customHeight="1">
      <c r="A6086" s="12">
        <v>6082.0</v>
      </c>
      <c r="B6086" s="13" t="s">
        <v>5926</v>
      </c>
      <c r="C6086" s="18" t="s">
        <v>6108</v>
      </c>
      <c r="D6086" s="1"/>
      <c r="E6086" s="1"/>
      <c r="F6086" s="1" t="str">
        <f>IFERROR(__xludf.DUMMYFUNCTION("GOOGLETRANSLATE(B6086, ""en"", ""fa"")
"),"برندسازی و طراحی لوگو")</f>
        <v>برندسازی و طراحی لوگو</v>
      </c>
      <c r="G6086" s="1" t="str">
        <f>IFERROR(__xludf.DUMMYFUNCTION("GOOGLETRANSLATE(C6086, ""en"", ""fa"")
"),"تکنیک های ایجاد یک راهنمای سبک برند را به اشتراک بگذارید که دستورالعمل هایی را برای بیان یکنواخت برند ارائه می دهد.")</f>
        <v>تکنیک های ایجاد یک راهنمای سبک برند را به اشتراک بگذارید که دستورالعمل هایی را برای بیان یکنواخت برند ارائه می دهد.</v>
      </c>
      <c r="H6086" s="1"/>
      <c r="I6086" s="1"/>
      <c r="J6086" s="1"/>
      <c r="K6086" s="1"/>
      <c r="L6086" s="1"/>
      <c r="M6086" s="1"/>
      <c r="N6086" s="1"/>
      <c r="O6086" s="1"/>
      <c r="P6086" s="1"/>
      <c r="Q6086" s="1"/>
      <c r="R6086" s="1"/>
      <c r="S6086" s="1"/>
      <c r="T6086" s="1"/>
      <c r="U6086" s="1"/>
      <c r="V6086" s="1"/>
      <c r="W6086" s="1"/>
      <c r="X6086" s="1"/>
      <c r="Y6086" s="1"/>
      <c r="Z6086" s="1"/>
      <c r="AA6086" s="1"/>
      <c r="AB6086" s="1"/>
    </row>
    <row r="6087" ht="50.25" customHeight="1">
      <c r="A6087" s="12">
        <v>6083.0</v>
      </c>
      <c r="B6087" s="13" t="s">
        <v>5926</v>
      </c>
      <c r="C6087" s="18" t="s">
        <v>6109</v>
      </c>
      <c r="D6087" s="1"/>
      <c r="E6087" s="1"/>
      <c r="F6087" s="1" t="str">
        <f>IFERROR(__xludf.DUMMYFUNCTION("GOOGLETRANSLATE(B6087, ""en"", ""fa"")
"),"برندسازی و طراحی لوگو")</f>
        <v>برندسازی و طراحی لوگو</v>
      </c>
      <c r="G6087" s="1" t="str">
        <f>IFERROR(__xludf.DUMMYFUNCTION("GOOGLETRANSLATE(C6087, ""en"", ""fa"")
"),"تأثیر طراحی تجربه کاربر (UX) را در ایجاد تعاملات با نام تجاری که باعث خوشحالی و درگیر شدن می شود، فکر کنید.")</f>
        <v>تأثیر طراحی تجربه کاربر (UX) را در ایجاد تعاملات با نام تجاری که باعث خوشحالی و درگیر شدن می شود، فکر کنید.</v>
      </c>
      <c r="H6087" s="1"/>
      <c r="I6087" s="1"/>
      <c r="J6087" s="1"/>
      <c r="K6087" s="1"/>
      <c r="L6087" s="1"/>
      <c r="M6087" s="1"/>
      <c r="N6087" s="1"/>
      <c r="O6087" s="1"/>
      <c r="P6087" s="1"/>
      <c r="Q6087" s="1"/>
      <c r="R6087" s="1"/>
      <c r="S6087" s="1"/>
      <c r="T6087" s="1"/>
      <c r="U6087" s="1"/>
      <c r="V6087" s="1"/>
      <c r="W6087" s="1"/>
      <c r="X6087" s="1"/>
      <c r="Y6087" s="1"/>
      <c r="Z6087" s="1"/>
      <c r="AA6087" s="1"/>
      <c r="AB6087" s="1"/>
    </row>
    <row r="6088" ht="50.25" customHeight="1">
      <c r="A6088" s="12">
        <v>6084.0</v>
      </c>
      <c r="B6088" s="13" t="s">
        <v>5926</v>
      </c>
      <c r="C6088" s="18" t="s">
        <v>6110</v>
      </c>
      <c r="D6088" s="1"/>
      <c r="E6088" s="1"/>
      <c r="F6088" s="1" t="str">
        <f>IFERROR(__xludf.DUMMYFUNCTION("GOOGLETRANSLATE(B6088, ""en"", ""fa"")
"),"برندسازی و طراحی لوگو")</f>
        <v>برندسازی و طراحی لوگو</v>
      </c>
      <c r="G6088" s="1" t="str">
        <f>IFERROR(__xludf.DUMMYFUNCTION("GOOGLETRANSLATE(C6088, ""en"", ""fa"")
"),"در مورد ملاحظات طراحی بسته‌بندی که با ارزش‌های برند همسو باشد و تجربه محصول را افزایش دهد، بحث کنید.")</f>
        <v>در مورد ملاحظات طراحی بسته‌بندی که با ارزش‌های برند همسو باشد و تجربه محصول را افزایش دهد، بحث کنید.</v>
      </c>
      <c r="H6088" s="1"/>
      <c r="I6088" s="1"/>
      <c r="J6088" s="1"/>
      <c r="K6088" s="1"/>
      <c r="L6088" s="1"/>
      <c r="M6088" s="1"/>
      <c r="N6088" s="1"/>
      <c r="O6088" s="1"/>
      <c r="P6088" s="1"/>
      <c r="Q6088" s="1"/>
      <c r="R6088" s="1"/>
      <c r="S6088" s="1"/>
      <c r="T6088" s="1"/>
      <c r="U6088" s="1"/>
      <c r="V6088" s="1"/>
      <c r="W6088" s="1"/>
      <c r="X6088" s="1"/>
      <c r="Y6088" s="1"/>
      <c r="Z6088" s="1"/>
      <c r="AA6088" s="1"/>
      <c r="AB6088" s="1"/>
    </row>
    <row r="6089" ht="50.25" customHeight="1">
      <c r="A6089" s="12">
        <v>6085.0</v>
      </c>
      <c r="B6089" s="13" t="s">
        <v>5926</v>
      </c>
      <c r="C6089" s="18" t="s">
        <v>6111</v>
      </c>
      <c r="D6089" s="1"/>
      <c r="E6089" s="1"/>
      <c r="F6089" s="1" t="str">
        <f>IFERROR(__xludf.DUMMYFUNCTION("GOOGLETRANSLATE(B6089, ""en"", ""fa"")
"),"برندسازی و طراحی لوگو")</f>
        <v>برندسازی و طراحی لوگو</v>
      </c>
      <c r="G6089" s="1" t="str">
        <f>IFERROR(__xludf.DUMMYFUNCTION("GOOGLETRANSLATE(C6089, ""en"", ""fa"")
"),"نکاتی را برای ایجاد یک داستان برند قانع کننده که با مخاطب هدف طنین انداز می شود و ارتباطات عاطفی ایجاد می کند، به اشتراک بگذارید.")</f>
        <v>نکاتی را برای ایجاد یک داستان برند قانع کننده که با مخاطب هدف طنین انداز می شود و ارتباطات عاطفی ایجاد می کند، به اشتراک بگذارید.</v>
      </c>
      <c r="H6089" s="1"/>
      <c r="I6089" s="1"/>
      <c r="J6089" s="1"/>
      <c r="K6089" s="1"/>
      <c r="L6089" s="1"/>
      <c r="M6089" s="1"/>
      <c r="N6089" s="1"/>
      <c r="O6089" s="1"/>
      <c r="P6089" s="1"/>
      <c r="Q6089" s="1"/>
      <c r="R6089" s="1"/>
      <c r="S6089" s="1"/>
      <c r="T6089" s="1"/>
      <c r="U6089" s="1"/>
      <c r="V6089" s="1"/>
      <c r="W6089" s="1"/>
      <c r="X6089" s="1"/>
      <c r="Y6089" s="1"/>
      <c r="Z6089" s="1"/>
      <c r="AA6089" s="1"/>
      <c r="AB6089" s="1"/>
    </row>
    <row r="6090" ht="50.25" customHeight="1">
      <c r="A6090" s="12">
        <v>6086.0</v>
      </c>
      <c r="B6090" s="13" t="s">
        <v>5926</v>
      </c>
      <c r="C6090" s="18" t="s">
        <v>6112</v>
      </c>
      <c r="D6090" s="1"/>
      <c r="E6090" s="1"/>
      <c r="F6090" s="1" t="str">
        <f>IFERROR(__xludf.DUMMYFUNCTION("GOOGLETRANSLATE(B6090, ""en"", ""fa"")
"),"برندسازی و طراحی لوگو")</f>
        <v>برندسازی و طراحی لوگو</v>
      </c>
      <c r="G6090" s="1" t="str">
        <f>IFERROR(__xludf.DUMMYFUNCTION("GOOGLETRANSLATE(C6090, ""en"", ""fa"")
"),"تأثیر مشارکت برند در گسترش دامنه برند و ورود به بازارهای جدید را بررسی کنید.")</f>
        <v>تأثیر مشارکت برند در گسترش دامنه برند و ورود به بازارهای جدید را بررسی کنید.</v>
      </c>
      <c r="H6090" s="1"/>
      <c r="I6090" s="1"/>
      <c r="J6090" s="1"/>
      <c r="K6090" s="1"/>
      <c r="L6090" s="1"/>
      <c r="M6090" s="1"/>
      <c r="N6090" s="1"/>
      <c r="O6090" s="1"/>
      <c r="P6090" s="1"/>
      <c r="Q6090" s="1"/>
      <c r="R6090" s="1"/>
      <c r="S6090" s="1"/>
      <c r="T6090" s="1"/>
      <c r="U6090" s="1"/>
      <c r="V6090" s="1"/>
      <c r="W6090" s="1"/>
      <c r="X6090" s="1"/>
      <c r="Y6090" s="1"/>
      <c r="Z6090" s="1"/>
      <c r="AA6090" s="1"/>
      <c r="AB6090" s="1"/>
    </row>
    <row r="6091" ht="50.25" customHeight="1">
      <c r="A6091" s="12">
        <v>6087.0</v>
      </c>
      <c r="B6091" s="13" t="s">
        <v>5926</v>
      </c>
      <c r="C6091" s="18" t="s">
        <v>6113</v>
      </c>
      <c r="D6091" s="1"/>
      <c r="E6091" s="1"/>
      <c r="F6091" s="1" t="str">
        <f>IFERROR(__xludf.DUMMYFUNCTION("GOOGLETRANSLATE(B6091, ""en"", ""fa"")
"),"برندسازی و طراحی لوگو")</f>
        <v>برندسازی و طراحی لوگو</v>
      </c>
      <c r="G6091" s="1" t="str">
        <f>IFERROR(__xludf.DUMMYFUNCTION("GOOGLETRANSLATE(C6091, ""en"", ""fa"")
"),"به نقش صدا و لحن برند در شکل دادن به ارتباطات برند و ایجاد شخصیت برند فکر کنید.")</f>
        <v>به نقش صدا و لحن برند در شکل دادن به ارتباطات برند و ایجاد شخصیت برند فکر کنید.</v>
      </c>
      <c r="H6091" s="1"/>
      <c r="I6091" s="1"/>
      <c r="J6091" s="1"/>
      <c r="K6091" s="1"/>
      <c r="L6091" s="1"/>
      <c r="M6091" s="1"/>
      <c r="N6091" s="1"/>
      <c r="O6091" s="1"/>
      <c r="P6091" s="1"/>
      <c r="Q6091" s="1"/>
      <c r="R6091" s="1"/>
      <c r="S6091" s="1"/>
      <c r="T6091" s="1"/>
      <c r="U6091" s="1"/>
      <c r="V6091" s="1"/>
      <c r="W6091" s="1"/>
      <c r="X6091" s="1"/>
      <c r="Y6091" s="1"/>
      <c r="Z6091" s="1"/>
      <c r="AA6091" s="1"/>
      <c r="AB6091" s="1"/>
    </row>
    <row r="6092" ht="50.25" customHeight="1">
      <c r="A6092" s="12">
        <v>6088.0</v>
      </c>
      <c r="B6092" s="13" t="s">
        <v>5926</v>
      </c>
      <c r="C6092" s="18" t="s">
        <v>6114</v>
      </c>
      <c r="D6092" s="1"/>
      <c r="E6092" s="1"/>
      <c r="F6092" s="1" t="str">
        <f>IFERROR(__xludf.DUMMYFUNCTION("GOOGLETRANSLATE(B6092, ""en"", ""fa"")
"),"برندسازی و طراحی لوگو")</f>
        <v>برندسازی و طراحی لوگو</v>
      </c>
      <c r="G6092" s="1" t="str">
        <f>IFERROR(__xludf.DUMMYFUNCTION("GOOGLETRANSLATE(C6092, ""en"", ""fa"")
"),"درباره اهمیت ممیزی برند در ارزیابی اثربخشی و ارتباط هویت برند موجود بحث کنید.")</f>
        <v>درباره اهمیت ممیزی برند در ارزیابی اثربخشی و ارتباط هویت برند موجود بحث کنید.</v>
      </c>
      <c r="H6092" s="1"/>
      <c r="I6092" s="1"/>
      <c r="J6092" s="1"/>
      <c r="K6092" s="1"/>
      <c r="L6092" s="1"/>
      <c r="M6092" s="1"/>
      <c r="N6092" s="1"/>
      <c r="O6092" s="1"/>
      <c r="P6092" s="1"/>
      <c r="Q6092" s="1"/>
      <c r="R6092" s="1"/>
      <c r="S6092" s="1"/>
      <c r="T6092" s="1"/>
      <c r="U6092" s="1"/>
      <c r="V6092" s="1"/>
      <c r="W6092" s="1"/>
      <c r="X6092" s="1"/>
      <c r="Y6092" s="1"/>
      <c r="Z6092" s="1"/>
      <c r="AA6092" s="1"/>
      <c r="AB6092" s="1"/>
    </row>
    <row r="6093" ht="50.25" customHeight="1">
      <c r="A6093" s="12">
        <v>6089.0</v>
      </c>
      <c r="B6093" s="13" t="s">
        <v>5926</v>
      </c>
      <c r="C6093" s="18" t="s">
        <v>6115</v>
      </c>
      <c r="D6093" s="1"/>
      <c r="E6093" s="1"/>
      <c r="F6093" s="1" t="str">
        <f>IFERROR(__xludf.DUMMYFUNCTION("GOOGLETRANSLATE(B6093, ""en"", ""fa"")
"),"برندسازی و طراحی لوگو")</f>
        <v>برندسازی و طراحی لوگو</v>
      </c>
      <c r="G6093" s="1" t="str">
        <f>IFERROR(__xludf.DUMMYFUNCTION("GOOGLETRANSLATE(C6093, ""en"", ""fa"")
"),"تکنیک های ایجاد یک لوگوی نام تجاری را به اشتراک بگذارید که بی انتها، همه کاره و از نظر بصری تأثیرگذار باشد.")</f>
        <v>تکنیک های ایجاد یک لوگوی نام تجاری را به اشتراک بگذارید که بی انتها، همه کاره و از نظر بصری تأثیرگذار باشد.</v>
      </c>
      <c r="H6093" s="1"/>
      <c r="I6093" s="1"/>
      <c r="J6093" s="1"/>
      <c r="K6093" s="1"/>
      <c r="L6093" s="1"/>
      <c r="M6093" s="1"/>
      <c r="N6093" s="1"/>
      <c r="O6093" s="1"/>
      <c r="P6093" s="1"/>
      <c r="Q6093" s="1"/>
      <c r="R6093" s="1"/>
      <c r="S6093" s="1"/>
      <c r="T6093" s="1"/>
      <c r="U6093" s="1"/>
      <c r="V6093" s="1"/>
      <c r="W6093" s="1"/>
      <c r="X6093" s="1"/>
      <c r="Y6093" s="1"/>
      <c r="Z6093" s="1"/>
      <c r="AA6093" s="1"/>
      <c r="AB6093" s="1"/>
    </row>
    <row r="6094" ht="50.25" customHeight="1">
      <c r="A6094" s="12">
        <v>6090.0</v>
      </c>
      <c r="B6094" s="13" t="s">
        <v>5926</v>
      </c>
      <c r="C6094" s="18" t="s">
        <v>6116</v>
      </c>
      <c r="D6094" s="1"/>
      <c r="E6094" s="1"/>
      <c r="F6094" s="1" t="str">
        <f>IFERROR(__xludf.DUMMYFUNCTION("GOOGLETRANSLATE(B6094, ""en"", ""fa"")
"),"برندسازی و طراحی لوگو")</f>
        <v>برندسازی و طراحی لوگو</v>
      </c>
      <c r="G6094" s="1" t="str">
        <f>IFERROR(__xludf.DUMMYFUNCTION("GOOGLETRANSLATE(C6094, ""en"", ""fa"")
"),"مفهوم سیستم های هویت برند و چگونگی تضمین بازنمایی بصری ثابت در نقاط تماس مختلف را بررسی کنید.")</f>
        <v>مفهوم سیستم های هویت برند و چگونگی تضمین بازنمایی بصری ثابت در نقاط تماس مختلف را بررسی کنید.</v>
      </c>
      <c r="H6094" s="1"/>
      <c r="I6094" s="1"/>
      <c r="J6094" s="1"/>
      <c r="K6094" s="1"/>
      <c r="L6094" s="1"/>
      <c r="M6094" s="1"/>
      <c r="N6094" s="1"/>
      <c r="O6094" s="1"/>
      <c r="P6094" s="1"/>
      <c r="Q6094" s="1"/>
      <c r="R6094" s="1"/>
      <c r="S6094" s="1"/>
      <c r="T6094" s="1"/>
      <c r="U6094" s="1"/>
      <c r="V6094" s="1"/>
      <c r="W6094" s="1"/>
      <c r="X6094" s="1"/>
      <c r="Y6094" s="1"/>
      <c r="Z6094" s="1"/>
      <c r="AA6094" s="1"/>
      <c r="AB6094" s="1"/>
    </row>
    <row r="6095" ht="50.25" customHeight="1">
      <c r="A6095" s="12">
        <v>6091.0</v>
      </c>
      <c r="B6095" s="13" t="s">
        <v>5926</v>
      </c>
      <c r="C6095" s="18" t="s">
        <v>6117</v>
      </c>
      <c r="D6095" s="1"/>
      <c r="E6095" s="1"/>
      <c r="F6095" s="1" t="str">
        <f>IFERROR(__xludf.DUMMYFUNCTION("GOOGLETRANSLATE(B6095, ""en"", ""fa"")
"),"برندسازی و طراحی لوگو")</f>
        <v>برندسازی و طراحی لوگو</v>
      </c>
      <c r="G6095" s="1" t="str">
        <f>IFERROR(__xludf.DUMMYFUNCTION("GOOGLETRANSLATE(C6095, ""en"", ""fa"")
"),"در مورد نقش طراحی احساسی در ایجاد تجارب برند که احساسات مثبت را برانگیخته و وابستگی به برند را تقویت می کند، فکر کنید.")</f>
        <v>در مورد نقش طراحی احساسی در ایجاد تجارب برند که احساسات مثبت را برانگیخته و وابستگی به برند را تقویت می کند، فکر کنید.</v>
      </c>
      <c r="H6095" s="1"/>
      <c r="I6095" s="1"/>
      <c r="J6095" s="1"/>
      <c r="K6095" s="1"/>
      <c r="L6095" s="1"/>
      <c r="M6095" s="1"/>
      <c r="N6095" s="1"/>
      <c r="O6095" s="1"/>
      <c r="P6095" s="1"/>
      <c r="Q6095" s="1"/>
      <c r="R6095" s="1"/>
      <c r="S6095" s="1"/>
      <c r="T6095" s="1"/>
      <c r="U6095" s="1"/>
      <c r="V6095" s="1"/>
      <c r="W6095" s="1"/>
      <c r="X6095" s="1"/>
      <c r="Y6095" s="1"/>
      <c r="Z6095" s="1"/>
      <c r="AA6095" s="1"/>
      <c r="AB6095" s="1"/>
    </row>
    <row r="6096" ht="50.25" customHeight="1">
      <c r="A6096" s="12">
        <v>6092.0</v>
      </c>
      <c r="B6096" s="13" t="s">
        <v>5926</v>
      </c>
      <c r="C6096" s="18" t="s">
        <v>6118</v>
      </c>
      <c r="D6096" s="1"/>
      <c r="E6096" s="1"/>
      <c r="F6096" s="1" t="str">
        <f>IFERROR(__xludf.DUMMYFUNCTION("GOOGLETRANSLATE(B6096, ""en"", ""fa"")
"),"برندسازی و طراحی لوگو")</f>
        <v>برندسازی و طراحی لوگو</v>
      </c>
      <c r="G6096" s="1" t="str">
        <f>IFERROR(__xludf.DUMMYFUNCTION("GOOGLETRANSLATE(C6096, ""en"", ""fa"")
"),"در مورد ملاحظات طراحی هویت برند پاسخگو که به طور یکپارچه با رسانه های دیجیتال و چاپی سازگار است، بحث کنید.")</f>
        <v>در مورد ملاحظات طراحی هویت برند پاسخگو که به طور یکپارچه با رسانه های دیجیتال و چاپی سازگار است، بحث کنید.</v>
      </c>
      <c r="H6096" s="1"/>
      <c r="I6096" s="1"/>
      <c r="J6096" s="1"/>
      <c r="K6096" s="1"/>
      <c r="L6096" s="1"/>
      <c r="M6096" s="1"/>
      <c r="N6096" s="1"/>
      <c r="O6096" s="1"/>
      <c r="P6096" s="1"/>
      <c r="Q6096" s="1"/>
      <c r="R6096" s="1"/>
      <c r="S6096" s="1"/>
      <c r="T6096" s="1"/>
      <c r="U6096" s="1"/>
      <c r="V6096" s="1"/>
      <c r="W6096" s="1"/>
      <c r="X6096" s="1"/>
      <c r="Y6096" s="1"/>
      <c r="Z6096" s="1"/>
      <c r="AA6096" s="1"/>
      <c r="AB6096" s="1"/>
    </row>
    <row r="6097" ht="50.25" customHeight="1">
      <c r="A6097" s="12">
        <v>6093.0</v>
      </c>
      <c r="B6097" s="13" t="s">
        <v>5926</v>
      </c>
      <c r="C6097" s="18" t="s">
        <v>6119</v>
      </c>
      <c r="D6097" s="1"/>
      <c r="E6097" s="1"/>
      <c r="F6097" s="1" t="str">
        <f>IFERROR(__xludf.DUMMYFUNCTION("GOOGLETRANSLATE(B6097, ""en"", ""fa"")
"),"برندسازی و طراحی لوگو")</f>
        <v>برندسازی و طراحی لوگو</v>
      </c>
      <c r="G6097" s="1" t="str">
        <f>IFERROR(__xludf.DUMMYFUNCTION("GOOGLETRANSLATE(C6097, ""en"", ""fa"")
"),"نکاتی را برای انجام تجزیه و تحلیل رقبا به اشتراک بگذارید تا روندهای بازار و فرصت های تمایز برند را شناسایی کنید.")</f>
        <v>نکاتی را برای انجام تجزیه و تحلیل رقبا به اشتراک بگذارید تا روندهای بازار و فرصت های تمایز برند را شناسایی کنید.</v>
      </c>
      <c r="H6097" s="1"/>
      <c r="I6097" s="1"/>
      <c r="J6097" s="1"/>
      <c r="K6097" s="1"/>
      <c r="L6097" s="1"/>
      <c r="M6097" s="1"/>
      <c r="N6097" s="1"/>
      <c r="O6097" s="1"/>
      <c r="P6097" s="1"/>
      <c r="Q6097" s="1"/>
      <c r="R6097" s="1"/>
      <c r="S6097" s="1"/>
      <c r="T6097" s="1"/>
      <c r="U6097" s="1"/>
      <c r="V6097" s="1"/>
      <c r="W6097" s="1"/>
      <c r="X6097" s="1"/>
      <c r="Y6097" s="1"/>
      <c r="Z6097" s="1"/>
      <c r="AA6097" s="1"/>
      <c r="AB6097" s="1"/>
    </row>
    <row r="6098" ht="50.25" customHeight="1">
      <c r="A6098" s="12">
        <v>6094.0</v>
      </c>
      <c r="B6098" s="13" t="s">
        <v>5926</v>
      </c>
      <c r="C6098" s="18" t="s">
        <v>6120</v>
      </c>
      <c r="D6098" s="1"/>
      <c r="E6098" s="1"/>
      <c r="F6098" s="1" t="str">
        <f>IFERROR(__xludf.DUMMYFUNCTION("GOOGLETRANSLATE(B6098, ""en"", ""fa"")
"),"برندسازی و طراحی لوگو")</f>
        <v>برندسازی و طراحی لوگو</v>
      </c>
      <c r="G6098" s="1" t="str">
        <f>IFERROR(__xludf.DUMMYFUNCTION("GOOGLETRANSLATE(C6098, ""en"", ""fa"")
"),"تأثیر تجربیات برند را در فضاهای فیزیکی، مانند محیط‌های خرده‌فروشی یا رویدادها، در شکل‌دهی ادراکات برند بررسی کنید.")</f>
        <v>تأثیر تجربیات برند را در فضاهای فیزیکی، مانند محیط‌های خرده‌فروشی یا رویدادها، در شکل‌دهی ادراکات برند بررسی کنید.</v>
      </c>
      <c r="H6098" s="1"/>
      <c r="I6098" s="1"/>
      <c r="J6098" s="1"/>
      <c r="K6098" s="1"/>
      <c r="L6098" s="1"/>
      <c r="M6098" s="1"/>
      <c r="N6098" s="1"/>
      <c r="O6098" s="1"/>
      <c r="P6098" s="1"/>
      <c r="Q6098" s="1"/>
      <c r="R6098" s="1"/>
      <c r="S6098" s="1"/>
      <c r="T6098" s="1"/>
      <c r="U6098" s="1"/>
      <c r="V6098" s="1"/>
      <c r="W6098" s="1"/>
      <c r="X6098" s="1"/>
      <c r="Y6098" s="1"/>
      <c r="Z6098" s="1"/>
      <c r="AA6098" s="1"/>
      <c r="AB6098" s="1"/>
    </row>
    <row r="6099" ht="50.25" customHeight="1">
      <c r="A6099" s="12">
        <v>6095.0</v>
      </c>
      <c r="B6099" s="13" t="s">
        <v>5926</v>
      </c>
      <c r="C6099" s="18" t="s">
        <v>6121</v>
      </c>
      <c r="D6099" s="1"/>
      <c r="E6099" s="1"/>
      <c r="F6099" s="1" t="str">
        <f>IFERROR(__xludf.DUMMYFUNCTION("GOOGLETRANSLATE(B6099, ""en"", ""fa"")
"),"برندسازی و طراحی لوگو")</f>
        <v>برندسازی و طراحی لوگو</v>
      </c>
      <c r="G6099" s="1" t="str">
        <f>IFERROR(__xludf.DUMMYFUNCTION("GOOGLETRANSLATE(C6099, ""en"", ""fa"")
"),"به نقش برنامه های وفاداری به برند در پاداش دادن و حفظ مشتریان و در عین حال تقویت حمایت از برند فکر کنید.")</f>
        <v>به نقش برنامه های وفاداری به برند در پاداش دادن و حفظ مشتریان و در عین حال تقویت حمایت از برند فکر کنید.</v>
      </c>
      <c r="H6099" s="1"/>
      <c r="I6099" s="1"/>
      <c r="J6099" s="1"/>
      <c r="K6099" s="1"/>
      <c r="L6099" s="1"/>
      <c r="M6099" s="1"/>
      <c r="N6099" s="1"/>
      <c r="O6099" s="1"/>
      <c r="P6099" s="1"/>
      <c r="Q6099" s="1"/>
      <c r="R6099" s="1"/>
      <c r="S6099" s="1"/>
      <c r="T6099" s="1"/>
      <c r="U6099" s="1"/>
      <c r="V6099" s="1"/>
      <c r="W6099" s="1"/>
      <c r="X6099" s="1"/>
      <c r="Y6099" s="1"/>
      <c r="Z6099" s="1"/>
      <c r="AA6099" s="1"/>
      <c r="AB6099" s="1"/>
    </row>
    <row r="6100" ht="50.25" customHeight="1">
      <c r="A6100" s="12">
        <v>6096.0</v>
      </c>
      <c r="B6100" s="13" t="s">
        <v>5926</v>
      </c>
      <c r="C6100" s="18" t="s">
        <v>6122</v>
      </c>
      <c r="D6100" s="1"/>
      <c r="E6100" s="1"/>
      <c r="F6100" s="1" t="str">
        <f>IFERROR(__xludf.DUMMYFUNCTION("GOOGLETRANSLATE(B6100, ""en"", ""fa"")
"),"برندسازی و طراحی لوگو")</f>
        <v>برندسازی و طراحی لوگو</v>
      </c>
      <c r="G6100" s="1" t="str">
        <f>IFERROR(__xludf.DUMMYFUNCTION("GOOGLETRANSLATE(C6100, ""en"", ""fa"")
"),"در مورد اهمیت دستورالعمل های برند در حفظ ثبات و حفظ یکپارچگی برند بحث کنید.")</f>
        <v>در مورد اهمیت دستورالعمل های برند در حفظ ثبات و حفظ یکپارچگی برند بحث کنید.</v>
      </c>
      <c r="H6100" s="1"/>
      <c r="I6100" s="1"/>
      <c r="J6100" s="1"/>
      <c r="K6100" s="1"/>
      <c r="L6100" s="1"/>
      <c r="M6100" s="1"/>
      <c r="N6100" s="1"/>
      <c r="O6100" s="1"/>
      <c r="P6100" s="1"/>
      <c r="Q6100" s="1"/>
      <c r="R6100" s="1"/>
      <c r="S6100" s="1"/>
      <c r="T6100" s="1"/>
      <c r="U6100" s="1"/>
      <c r="V6100" s="1"/>
      <c r="W6100" s="1"/>
      <c r="X6100" s="1"/>
      <c r="Y6100" s="1"/>
      <c r="Z6100" s="1"/>
      <c r="AA6100" s="1"/>
      <c r="AB6100" s="1"/>
    </row>
    <row r="6101" ht="50.25" customHeight="1">
      <c r="A6101" s="12">
        <v>6097.0</v>
      </c>
      <c r="B6101" s="13" t="s">
        <v>5926</v>
      </c>
      <c r="C6101" s="18" t="s">
        <v>6123</v>
      </c>
      <c r="D6101" s="1"/>
      <c r="E6101" s="1"/>
      <c r="F6101" s="1" t="str">
        <f>IFERROR(__xludf.DUMMYFUNCTION("GOOGLETRANSLATE(B6101, ""en"", ""fa"")
"),"برندسازی و طراحی لوگو")</f>
        <v>برندسازی و طراحی لوگو</v>
      </c>
      <c r="G6101" s="1" t="str">
        <f>IFERROR(__xludf.DUMMYFUNCTION("GOOGLETRANSLATE(C6101, ""en"", ""fa"")
"),"تأثیر پلتفرم های رسانه های اجتماعی را در ساخت برند و تقویت روابط معتبر با مشتری کاوش کنید.")</f>
        <v>تأثیر پلتفرم های رسانه های اجتماعی را در ساخت برند و تقویت روابط معتبر با مشتری کاوش کنید.</v>
      </c>
      <c r="H6101" s="1"/>
      <c r="I6101" s="1"/>
      <c r="J6101" s="1"/>
      <c r="K6101" s="1"/>
      <c r="L6101" s="1"/>
      <c r="M6101" s="1"/>
      <c r="N6101" s="1"/>
      <c r="O6101" s="1"/>
      <c r="P6101" s="1"/>
      <c r="Q6101" s="1"/>
      <c r="R6101" s="1"/>
      <c r="S6101" s="1"/>
      <c r="T6101" s="1"/>
      <c r="U6101" s="1"/>
      <c r="V6101" s="1"/>
      <c r="W6101" s="1"/>
      <c r="X6101" s="1"/>
      <c r="Y6101" s="1"/>
      <c r="Z6101" s="1"/>
      <c r="AA6101" s="1"/>
      <c r="AB6101" s="1"/>
    </row>
    <row r="6102" ht="50.25" customHeight="1">
      <c r="A6102" s="12">
        <v>6098.0</v>
      </c>
      <c r="B6102" s="13" t="s">
        <v>5926</v>
      </c>
      <c r="C6102" s="18" t="s">
        <v>6124</v>
      </c>
      <c r="D6102" s="1"/>
      <c r="E6102" s="1"/>
      <c r="F6102" s="1" t="str">
        <f>IFERROR(__xludf.DUMMYFUNCTION("GOOGLETRANSLATE(B6102, ""en"", ""fa"")
"),"برندسازی و طراحی لوگو")</f>
        <v>برندسازی و طراحی لوگو</v>
      </c>
      <c r="G6102" s="1" t="str">
        <f>IFERROR(__xludf.DUMMYFUNCTION("GOOGLETRANSLATE(C6102, ""en"", ""fa"")
"),"در مورد ملاحظات طراحی هویت برند که با جمعیت شناسی نسل های مختلف طنین انداز می شود، بحث کنید.")</f>
        <v>در مورد ملاحظات طراحی هویت برند که با جمعیت شناسی نسل های مختلف طنین انداز می شود، بحث کنید.</v>
      </c>
      <c r="H6102" s="1"/>
      <c r="I6102" s="1"/>
      <c r="J6102" s="1"/>
      <c r="K6102" s="1"/>
      <c r="L6102" s="1"/>
      <c r="M6102" s="1"/>
      <c r="N6102" s="1"/>
      <c r="O6102" s="1"/>
      <c r="P6102" s="1"/>
      <c r="Q6102" s="1"/>
      <c r="R6102" s="1"/>
      <c r="S6102" s="1"/>
      <c r="T6102" s="1"/>
      <c r="U6102" s="1"/>
      <c r="V6102" s="1"/>
      <c r="W6102" s="1"/>
      <c r="X6102" s="1"/>
      <c r="Y6102" s="1"/>
      <c r="Z6102" s="1"/>
      <c r="AA6102" s="1"/>
      <c r="AB6102" s="1"/>
    </row>
    <row r="6103" ht="50.25" customHeight="1">
      <c r="A6103" s="12">
        <v>6099.0</v>
      </c>
      <c r="B6103" s="13" t="s">
        <v>5926</v>
      </c>
      <c r="C6103" s="18" t="s">
        <v>6125</v>
      </c>
      <c r="D6103" s="1"/>
      <c r="E6103" s="1"/>
      <c r="F6103" s="1" t="str">
        <f>IFERROR(__xludf.DUMMYFUNCTION("GOOGLETRANSLATE(B6103, ""en"", ""fa"")
"),"برندسازی و طراحی لوگو")</f>
        <v>برندسازی و طراحی لوگو</v>
      </c>
      <c r="G6103" s="1" t="str">
        <f>IFERROR(__xludf.DUMMYFUNCTION("GOOGLETRANSLATE(C6103, ""en"", ""fa"")
"),"نکاتی را برای ایجاد یک شعار یا شعار به یاد ماندنی برند که ماهیت برند را در بر می گیرد و ارزش منحصر به فرد آن را بیان می کند، به اشتراک بگذارید.")</f>
        <v>نکاتی را برای ایجاد یک شعار یا شعار به یاد ماندنی برند که ماهیت برند را در بر می گیرد و ارزش منحصر به فرد آن را بیان می کند، به اشتراک بگذارید.</v>
      </c>
      <c r="H6103" s="1"/>
      <c r="I6103" s="1"/>
      <c r="J6103" s="1"/>
      <c r="K6103" s="1"/>
      <c r="L6103" s="1"/>
      <c r="M6103" s="1"/>
      <c r="N6103" s="1"/>
      <c r="O6103" s="1"/>
      <c r="P6103" s="1"/>
      <c r="Q6103" s="1"/>
      <c r="R6103" s="1"/>
      <c r="S6103" s="1"/>
      <c r="T6103" s="1"/>
      <c r="U6103" s="1"/>
      <c r="V6103" s="1"/>
      <c r="W6103" s="1"/>
      <c r="X6103" s="1"/>
      <c r="Y6103" s="1"/>
      <c r="Z6103" s="1"/>
      <c r="AA6103" s="1"/>
      <c r="AB6103" s="1"/>
    </row>
    <row r="6104" ht="50.25" customHeight="1">
      <c r="A6104" s="12">
        <v>6100.0</v>
      </c>
      <c r="B6104" s="13" t="s">
        <v>5926</v>
      </c>
      <c r="C6104" s="18" t="s">
        <v>6126</v>
      </c>
      <c r="D6104" s="1"/>
      <c r="E6104" s="1"/>
      <c r="F6104" s="1" t="str">
        <f>IFERROR(__xludf.DUMMYFUNCTION("GOOGLETRANSLATE(B6104, ""en"", ""fa"")
"),"برندسازی و طراحی لوگو")</f>
        <v>برندسازی و طراحی لوگو</v>
      </c>
      <c r="G6104" s="1" t="str">
        <f>IFERROR(__xludf.DUMMYFUNCTION("GOOGLETRANSLATE(C6104, ""en"", ""fa"")
"),"مفهوم داستان سرایی برند و چگونگی ایجاد ارتباطات عاطفی با مشتریان را بررسی کنید.")</f>
        <v>مفهوم داستان سرایی برند و چگونگی ایجاد ارتباطات عاطفی با مشتریان را بررسی کنید.</v>
      </c>
      <c r="H6104" s="1"/>
      <c r="I6104" s="1"/>
      <c r="J6104" s="1"/>
      <c r="K6104" s="1"/>
      <c r="L6104" s="1"/>
      <c r="M6104" s="1"/>
      <c r="N6104" s="1"/>
      <c r="O6104" s="1"/>
      <c r="P6104" s="1"/>
      <c r="Q6104" s="1"/>
      <c r="R6104" s="1"/>
      <c r="S6104" s="1"/>
      <c r="T6104" s="1"/>
      <c r="U6104" s="1"/>
      <c r="V6104" s="1"/>
      <c r="W6104" s="1"/>
      <c r="X6104" s="1"/>
      <c r="Y6104" s="1"/>
      <c r="Z6104" s="1"/>
      <c r="AA6104" s="1"/>
      <c r="AB6104" s="1"/>
    </row>
    <row r="6105" ht="50.25" customHeight="1">
      <c r="A6105" s="12">
        <v>6101.0</v>
      </c>
      <c r="B6105" s="13" t="s">
        <v>5926</v>
      </c>
      <c r="C6105" s="18" t="s">
        <v>6127</v>
      </c>
      <c r="D6105" s="1"/>
      <c r="E6105" s="1"/>
      <c r="F6105" s="1" t="str">
        <f>IFERROR(__xludf.DUMMYFUNCTION("GOOGLETRANSLATE(B6105, ""en"", ""fa"")
"),"برندسازی و طراحی لوگو")</f>
        <v>برندسازی و طراحی لوگو</v>
      </c>
      <c r="G6105" s="1" t="str">
        <f>IFERROR(__xludf.DUMMYFUNCTION("GOOGLETRANSLATE(C6105, ""en"", ""fa"")
"),"در مورد اهمیت ثبات برند در حفظ یک تجربه برند یکپارچه در نقاط تماس مختلف فکر کنید.")</f>
        <v>در مورد اهمیت ثبات برند در حفظ یک تجربه برند یکپارچه در نقاط تماس مختلف فکر کنید.</v>
      </c>
      <c r="H6105" s="1"/>
      <c r="I6105" s="1"/>
      <c r="J6105" s="1"/>
      <c r="K6105" s="1"/>
      <c r="L6105" s="1"/>
      <c r="M6105" s="1"/>
      <c r="N6105" s="1"/>
      <c r="O6105" s="1"/>
      <c r="P6105" s="1"/>
      <c r="Q6105" s="1"/>
      <c r="R6105" s="1"/>
      <c r="S6105" s="1"/>
      <c r="T6105" s="1"/>
      <c r="U6105" s="1"/>
      <c r="V6105" s="1"/>
      <c r="W6105" s="1"/>
      <c r="X6105" s="1"/>
      <c r="Y6105" s="1"/>
      <c r="Z6105" s="1"/>
      <c r="AA6105" s="1"/>
      <c r="AB6105" s="1"/>
    </row>
    <row r="6106" ht="50.25" customHeight="1">
      <c r="A6106" s="12">
        <v>6102.0</v>
      </c>
      <c r="B6106" s="13" t="s">
        <v>5926</v>
      </c>
      <c r="C6106" s="18" t="s">
        <v>6128</v>
      </c>
      <c r="D6106" s="1"/>
      <c r="E6106" s="1"/>
      <c r="F6106" s="1" t="str">
        <f>IFERROR(__xludf.DUMMYFUNCTION("GOOGLETRANSLATE(B6106, ""en"", ""fa"")
"),"برندسازی و طراحی لوگو")</f>
        <v>برندسازی و طراحی لوگو</v>
      </c>
      <c r="G6106" s="1" t="str">
        <f>IFERROR(__xludf.DUMMYFUNCTION("GOOGLETRANSLATE(C6106, ""en"", ""fa"")
"),"در مورد تأثیر محتوای تولید شده توسط کاربر در ایجاد اعتبار برند و تقویت تعامل مشتری بحث کنید.")</f>
        <v>در مورد تأثیر محتوای تولید شده توسط کاربر در ایجاد اعتبار برند و تقویت تعامل مشتری بحث کنید.</v>
      </c>
      <c r="H6106" s="1"/>
      <c r="I6106" s="1"/>
      <c r="J6106" s="1"/>
      <c r="K6106" s="1"/>
      <c r="L6106" s="1"/>
      <c r="M6106" s="1"/>
      <c r="N6106" s="1"/>
      <c r="O6106" s="1"/>
      <c r="P6106" s="1"/>
      <c r="Q6106" s="1"/>
      <c r="R6106" s="1"/>
      <c r="S6106" s="1"/>
      <c r="T6106" s="1"/>
      <c r="U6106" s="1"/>
      <c r="V6106" s="1"/>
      <c r="W6106" s="1"/>
      <c r="X6106" s="1"/>
      <c r="Y6106" s="1"/>
      <c r="Z6106" s="1"/>
      <c r="AA6106" s="1"/>
      <c r="AB6106" s="1"/>
    </row>
    <row r="6107" ht="50.25" customHeight="1">
      <c r="A6107" s="12">
        <v>6103.0</v>
      </c>
      <c r="B6107" s="13" t="s">
        <v>5926</v>
      </c>
      <c r="C6107" s="18" t="s">
        <v>6129</v>
      </c>
      <c r="D6107" s="1"/>
      <c r="E6107" s="1"/>
      <c r="F6107" s="1" t="str">
        <f>IFERROR(__xludf.DUMMYFUNCTION("GOOGLETRANSLATE(B6107, ""en"", ""fa"")
"),"برندسازی و طراحی لوگو")</f>
        <v>برندسازی و طراحی لوگو</v>
      </c>
      <c r="G6107" s="1" t="str">
        <f>IFERROR(__xludf.DUMMYFUNCTION("GOOGLETRANSLATE(C6107, ""en"", ""fa"")
"),"تکنیک های ایجاد یک پالت رنگ برند را به اشتراک بگذارید که با شخصیت برند هماهنگ باشد و احساسات مورد نظر را برانگیزد.")</f>
        <v>تکنیک های ایجاد یک پالت رنگ برند را به اشتراک بگذارید که با شخصیت برند هماهنگ باشد و احساسات مورد نظر را برانگیزد.</v>
      </c>
      <c r="H6107" s="1"/>
      <c r="I6107" s="1"/>
      <c r="J6107" s="1"/>
      <c r="K6107" s="1"/>
      <c r="L6107" s="1"/>
      <c r="M6107" s="1"/>
      <c r="N6107" s="1"/>
      <c r="O6107" s="1"/>
      <c r="P6107" s="1"/>
      <c r="Q6107" s="1"/>
      <c r="R6107" s="1"/>
      <c r="S6107" s="1"/>
      <c r="T6107" s="1"/>
      <c r="U6107" s="1"/>
      <c r="V6107" s="1"/>
      <c r="W6107" s="1"/>
      <c r="X6107" s="1"/>
      <c r="Y6107" s="1"/>
      <c r="Z6107" s="1"/>
      <c r="AA6107" s="1"/>
      <c r="AB6107" s="1"/>
    </row>
    <row r="6108" ht="50.25" customHeight="1">
      <c r="A6108" s="12">
        <v>6104.0</v>
      </c>
      <c r="B6108" s="13" t="s">
        <v>5926</v>
      </c>
      <c r="C6108" s="18" t="s">
        <v>6130</v>
      </c>
      <c r="D6108" s="1"/>
      <c r="E6108" s="1"/>
      <c r="F6108" s="1" t="str">
        <f>IFERROR(__xludf.DUMMYFUNCTION("GOOGLETRANSLATE(B6108, ""en"", ""fa"")
"),"برندسازی و طراحی لوگو")</f>
        <v>برندسازی و طراحی لوگو</v>
      </c>
      <c r="G6108" s="1" t="str">
        <f>IFERROR(__xludf.DUMMYFUNCTION("GOOGLETRANSLATE(C6108, ""en"", ""fa"")
"),"نقش معماری برند را در مدیریت پورتفولیوهای برند و حفظ انسجام برند کاوش کنید.")</f>
        <v>نقش معماری برند را در مدیریت پورتفولیوهای برند و حفظ انسجام برند کاوش کنید.</v>
      </c>
      <c r="H6108" s="1"/>
      <c r="I6108" s="1"/>
      <c r="J6108" s="1"/>
      <c r="K6108" s="1"/>
      <c r="L6108" s="1"/>
      <c r="M6108" s="1"/>
      <c r="N6108" s="1"/>
      <c r="O6108" s="1"/>
      <c r="P6108" s="1"/>
      <c r="Q6108" s="1"/>
      <c r="R6108" s="1"/>
      <c r="S6108" s="1"/>
      <c r="T6108" s="1"/>
      <c r="U6108" s="1"/>
      <c r="V6108" s="1"/>
      <c r="W6108" s="1"/>
      <c r="X6108" s="1"/>
      <c r="Y6108" s="1"/>
      <c r="Z6108" s="1"/>
      <c r="AA6108" s="1"/>
      <c r="AB6108" s="1"/>
    </row>
    <row r="6109" ht="50.25" customHeight="1">
      <c r="A6109" s="12">
        <v>6105.0</v>
      </c>
      <c r="B6109" s="13" t="s">
        <v>5926</v>
      </c>
      <c r="C6109" s="18" t="s">
        <v>6131</v>
      </c>
      <c r="D6109" s="1"/>
      <c r="E6109" s="1"/>
      <c r="F6109" s="1" t="str">
        <f>IFERROR(__xludf.DUMMYFUNCTION("GOOGLETRANSLATE(B6109, ""en"", ""fa"")
"),"برندسازی و طراحی لوگو")</f>
        <v>برندسازی و طراحی لوگو</v>
      </c>
      <c r="G6109" s="1" t="str">
        <f>IFERROR(__xludf.DUMMYFUNCTION("GOOGLETRANSLATE(C6109, ""en"", ""fa"")
"),"تأثیر ادراک مصرف کننده و شهرت برند در شکل دادن به وفاداری به برند و تصمیمات خرید را تامل کنید.")</f>
        <v>تأثیر ادراک مصرف کننده و شهرت برند در شکل دادن به وفاداری به برند و تصمیمات خرید را تامل کنید.</v>
      </c>
      <c r="H6109" s="1"/>
      <c r="I6109" s="1"/>
      <c r="J6109" s="1"/>
      <c r="K6109" s="1"/>
      <c r="L6109" s="1"/>
      <c r="M6109" s="1"/>
      <c r="N6109" s="1"/>
      <c r="O6109" s="1"/>
      <c r="P6109" s="1"/>
      <c r="Q6109" s="1"/>
      <c r="R6109" s="1"/>
      <c r="S6109" s="1"/>
      <c r="T6109" s="1"/>
      <c r="U6109" s="1"/>
      <c r="V6109" s="1"/>
      <c r="W6109" s="1"/>
      <c r="X6109" s="1"/>
      <c r="Y6109" s="1"/>
      <c r="Z6109" s="1"/>
      <c r="AA6109" s="1"/>
      <c r="AB6109" s="1"/>
    </row>
    <row r="6110" ht="50.25" customHeight="1">
      <c r="A6110" s="12">
        <v>6106.0</v>
      </c>
      <c r="B6110" s="13" t="s">
        <v>5926</v>
      </c>
      <c r="C6110" s="18" t="s">
        <v>6132</v>
      </c>
      <c r="D6110" s="1"/>
      <c r="E6110" s="1"/>
      <c r="F6110" s="1" t="str">
        <f>IFERROR(__xludf.DUMMYFUNCTION("GOOGLETRANSLATE(B6110, ""en"", ""fa"")
"),"برندسازی و طراحی لوگو")</f>
        <v>برندسازی و طراحی لوگو</v>
      </c>
      <c r="G6110" s="1" t="str">
        <f>IFERROR(__xludf.DUMMYFUNCTION("GOOGLETRANSLATE(C6110, ""en"", ""fa"")
"),"در مورد ملاحظات طراحی هویت برند که فراگیر باشد و مخاطبان متنوعی را نشان دهد، بحث کنید.")</f>
        <v>در مورد ملاحظات طراحی هویت برند که فراگیر باشد و مخاطبان متنوعی را نشان دهد، بحث کنید.</v>
      </c>
      <c r="H6110" s="1"/>
      <c r="I6110" s="1"/>
      <c r="J6110" s="1"/>
      <c r="K6110" s="1"/>
      <c r="L6110" s="1"/>
      <c r="M6110" s="1"/>
      <c r="N6110" s="1"/>
      <c r="O6110" s="1"/>
      <c r="P6110" s="1"/>
      <c r="Q6110" s="1"/>
      <c r="R6110" s="1"/>
      <c r="S6110" s="1"/>
      <c r="T6110" s="1"/>
      <c r="U6110" s="1"/>
      <c r="V6110" s="1"/>
      <c r="W6110" s="1"/>
      <c r="X6110" s="1"/>
      <c r="Y6110" s="1"/>
      <c r="Z6110" s="1"/>
      <c r="AA6110" s="1"/>
      <c r="AB6110" s="1"/>
    </row>
    <row r="6111" ht="50.25" customHeight="1">
      <c r="A6111" s="12">
        <v>6107.0</v>
      </c>
      <c r="B6111" s="13" t="s">
        <v>5926</v>
      </c>
      <c r="C6111" s="18" t="s">
        <v>6133</v>
      </c>
      <c r="D6111" s="1"/>
      <c r="E6111" s="1"/>
      <c r="F6111" s="1" t="str">
        <f>IFERROR(__xludf.DUMMYFUNCTION("GOOGLETRANSLATE(B6111, ""en"", ""fa"")
"),"برندسازی و طراحی لوگو")</f>
        <v>برندسازی و طراحی لوگو</v>
      </c>
      <c r="G6111" s="1" t="str">
        <f>IFERROR(__xludf.DUMMYFUNCTION("GOOGLETRANSLATE(C6111, ""en"", ""fa"")
"),"نکاتی را برای ایجاد هویت بصری قوی برای برند به اشتراک بگذارید که جوهر برند را در بر می گیرد و ارزش های آن را به اشتراک می گذارد.")</f>
        <v>نکاتی را برای ایجاد هویت بصری قوی برای برند به اشتراک بگذارید که جوهر برند را در بر می گیرد و ارزش های آن را به اشتراک می گذارد.</v>
      </c>
      <c r="H6111" s="1"/>
      <c r="I6111" s="1"/>
      <c r="J6111" s="1"/>
      <c r="K6111" s="1"/>
      <c r="L6111" s="1"/>
      <c r="M6111" s="1"/>
      <c r="N6111" s="1"/>
      <c r="O6111" s="1"/>
      <c r="P6111" s="1"/>
      <c r="Q6111" s="1"/>
      <c r="R6111" s="1"/>
      <c r="S6111" s="1"/>
      <c r="T6111" s="1"/>
      <c r="U6111" s="1"/>
      <c r="V6111" s="1"/>
      <c r="W6111" s="1"/>
      <c r="X6111" s="1"/>
      <c r="Y6111" s="1"/>
      <c r="Z6111" s="1"/>
      <c r="AA6111" s="1"/>
      <c r="AB6111" s="1"/>
    </row>
    <row r="6112" ht="50.25" customHeight="1">
      <c r="A6112" s="12">
        <v>6108.0</v>
      </c>
      <c r="B6112" s="13" t="s">
        <v>5926</v>
      </c>
      <c r="C6112" s="18" t="s">
        <v>6134</v>
      </c>
      <c r="D6112" s="1"/>
      <c r="E6112" s="1"/>
      <c r="F6112" s="1" t="str">
        <f>IFERROR(__xludf.DUMMYFUNCTION("GOOGLETRANSLATE(B6112, ""en"", ""fa"")
"),"برندسازی و طراحی لوگو")</f>
        <v>برندسازی و طراحی لوگو</v>
      </c>
      <c r="G6112" s="1" t="str">
        <f>IFERROR(__xludf.DUMMYFUNCTION("GOOGLETRANSLATE(C6112, ""en"", ""fa"")
"),"تأثیر گسترش نام تجاری در گسترش دسترسی برند و استفاده از ارزش ویژه برند را بررسی کنید.")</f>
        <v>تأثیر گسترش نام تجاری در گسترش دسترسی برند و استفاده از ارزش ویژه برند را بررسی کنید.</v>
      </c>
      <c r="H6112" s="1"/>
      <c r="I6112" s="1"/>
      <c r="J6112" s="1"/>
      <c r="K6112" s="1"/>
      <c r="L6112" s="1"/>
      <c r="M6112" s="1"/>
      <c r="N6112" s="1"/>
      <c r="O6112" s="1"/>
      <c r="P6112" s="1"/>
      <c r="Q6112" s="1"/>
      <c r="R6112" s="1"/>
      <c r="S6112" s="1"/>
      <c r="T6112" s="1"/>
      <c r="U6112" s="1"/>
      <c r="V6112" s="1"/>
      <c r="W6112" s="1"/>
      <c r="X6112" s="1"/>
      <c r="Y6112" s="1"/>
      <c r="Z6112" s="1"/>
      <c r="AA6112" s="1"/>
      <c r="AB6112" s="1"/>
    </row>
    <row r="6113" ht="50.25" customHeight="1">
      <c r="A6113" s="12">
        <v>6109.0</v>
      </c>
      <c r="B6113" s="13" t="s">
        <v>5926</v>
      </c>
      <c r="C6113" s="18" t="s">
        <v>6135</v>
      </c>
      <c r="D6113" s="1"/>
      <c r="E6113" s="1"/>
      <c r="F6113" s="1" t="str">
        <f>IFERROR(__xludf.DUMMYFUNCTION("GOOGLETRANSLATE(B6113, ""en"", ""fa"")
"),"برندسازی و طراحی لوگو")</f>
        <v>برندسازی و طراحی لوگو</v>
      </c>
      <c r="G6113" s="1" t="str">
        <f>IFERROR(__xludf.DUMMYFUNCTION("GOOGLETRANSLATE(C6113, ""en"", ""fa"")
"),"در مورد اهمیت اصالت برند در ایجاد اعتماد و اعتبار با مشتریان بحث کنید.")</f>
        <v>در مورد اهمیت اصالت برند در ایجاد اعتماد و اعتبار با مشتریان بحث کنید.</v>
      </c>
      <c r="H6113" s="1"/>
      <c r="I6113" s="1"/>
      <c r="J6113" s="1"/>
      <c r="K6113" s="1"/>
      <c r="L6113" s="1"/>
      <c r="M6113" s="1"/>
      <c r="N6113" s="1"/>
      <c r="O6113" s="1"/>
      <c r="P6113" s="1"/>
      <c r="Q6113" s="1"/>
      <c r="R6113" s="1"/>
      <c r="S6113" s="1"/>
      <c r="T6113" s="1"/>
      <c r="U6113" s="1"/>
      <c r="V6113" s="1"/>
      <c r="W6113" s="1"/>
      <c r="X6113" s="1"/>
      <c r="Y6113" s="1"/>
      <c r="Z6113" s="1"/>
      <c r="AA6113" s="1"/>
      <c r="AB6113" s="1"/>
    </row>
    <row r="6114" ht="50.25" customHeight="1">
      <c r="A6114" s="12">
        <v>6110.0</v>
      </c>
      <c r="B6114" s="13" t="s">
        <v>5926</v>
      </c>
      <c r="C6114" s="18" t="s">
        <v>6136</v>
      </c>
      <c r="D6114" s="1"/>
      <c r="E6114" s="1"/>
      <c r="F6114" s="1" t="str">
        <f>IFERROR(__xludf.DUMMYFUNCTION("GOOGLETRANSLATE(B6114, ""en"", ""fa"")
"),"برندسازی و طراحی لوگو")</f>
        <v>برندسازی و طراحی لوگو</v>
      </c>
      <c r="G6114" s="1" t="str">
        <f>IFERROR(__xludf.DUMMYFUNCTION("GOOGLETRANSLATE(C6114, ""en"", ""fa"")
"),"تکنیک‌هایی را برای طراحی یک علامت یا نشان تجاری به یاد ماندنی که نشان‌دهنده ماهیت برند است، به اشتراک بگذارید.")</f>
        <v>تکنیک‌هایی را برای طراحی یک علامت یا نشان تجاری به یاد ماندنی که نشان‌دهنده ماهیت برند است، به اشتراک بگذارید.</v>
      </c>
      <c r="H6114" s="1"/>
      <c r="I6114" s="1"/>
      <c r="J6114" s="1"/>
      <c r="K6114" s="1"/>
      <c r="L6114" s="1"/>
      <c r="M6114" s="1"/>
      <c r="N6114" s="1"/>
      <c r="O6114" s="1"/>
      <c r="P6114" s="1"/>
      <c r="Q6114" s="1"/>
      <c r="R6114" s="1"/>
      <c r="S6114" s="1"/>
      <c r="T6114" s="1"/>
      <c r="U6114" s="1"/>
      <c r="V6114" s="1"/>
      <c r="W6114" s="1"/>
      <c r="X6114" s="1"/>
      <c r="Y6114" s="1"/>
      <c r="Z6114" s="1"/>
      <c r="AA6114" s="1"/>
      <c r="AB6114" s="1"/>
    </row>
    <row r="6115" ht="50.25" customHeight="1">
      <c r="A6115" s="12">
        <v>6111.0</v>
      </c>
      <c r="B6115" s="13" t="s">
        <v>5926</v>
      </c>
      <c r="C6115" s="18" t="s">
        <v>6137</v>
      </c>
      <c r="D6115" s="1"/>
      <c r="E6115" s="1"/>
      <c r="F6115" s="1" t="str">
        <f>IFERROR(__xludf.DUMMYFUNCTION("GOOGLETRANSLATE(B6115, ""en"", ""fa"")
"),"برندسازی و طراحی لوگو")</f>
        <v>برندسازی و طراحی لوگو</v>
      </c>
      <c r="G6115" s="1" t="str">
        <f>IFERROR(__xludf.DUMMYFUNCTION("GOOGLETRANSLATE(C6115, ""en"", ""fa"")
"),"در مورد ملاحظات طراحی یک لوگوی واکنش گرا که تأثیر بصری خود را در دستگاه ها و اندازه های مختلف حفظ می کند، فکر کنید.")</f>
        <v>در مورد ملاحظات طراحی یک لوگوی واکنش گرا که تأثیر بصری خود را در دستگاه ها و اندازه های مختلف حفظ می کند، فکر کنید.</v>
      </c>
      <c r="H6115" s="1"/>
      <c r="I6115" s="1"/>
      <c r="J6115" s="1"/>
      <c r="K6115" s="1"/>
      <c r="L6115" s="1"/>
      <c r="M6115" s="1"/>
      <c r="N6115" s="1"/>
      <c r="O6115" s="1"/>
      <c r="P6115" s="1"/>
      <c r="Q6115" s="1"/>
      <c r="R6115" s="1"/>
      <c r="S6115" s="1"/>
      <c r="T6115" s="1"/>
      <c r="U6115" s="1"/>
      <c r="V6115" s="1"/>
      <c r="W6115" s="1"/>
      <c r="X6115" s="1"/>
      <c r="Y6115" s="1"/>
      <c r="Z6115" s="1"/>
      <c r="AA6115" s="1"/>
      <c r="AB6115" s="1"/>
    </row>
    <row r="6116" ht="50.25" customHeight="1">
      <c r="A6116" s="12">
        <v>6112.0</v>
      </c>
      <c r="B6116" s="13" t="s">
        <v>5926</v>
      </c>
      <c r="C6116" s="18" t="s">
        <v>6138</v>
      </c>
      <c r="D6116" s="1"/>
      <c r="E6116" s="1"/>
      <c r="F6116" s="1" t="str">
        <f>IFERROR(__xludf.DUMMYFUNCTION("GOOGLETRANSLATE(B6116, ""en"", ""fa"")
"),"برندسازی و طراحی لوگو")</f>
        <v>برندسازی و طراحی لوگو</v>
      </c>
      <c r="G6116" s="1" t="str">
        <f>IFERROR(__xludf.DUMMYFUNCTION("GOOGLETRANSLATE(C6116, ""en"", ""fa"")
"),"نکاتی را برای ایجاد یک روایت برند قانع کننده که مشتریان را درگیر می کند و ارزش های برند را منتقل می کند، به اشتراک بگذارید.")</f>
        <v>نکاتی را برای ایجاد یک روایت برند قانع کننده که مشتریان را درگیر می کند و ارزش های برند را منتقل می کند، به اشتراک بگذارید.</v>
      </c>
      <c r="H6116" s="1"/>
      <c r="I6116" s="1"/>
      <c r="J6116" s="1"/>
      <c r="K6116" s="1"/>
      <c r="L6116" s="1"/>
      <c r="M6116" s="1"/>
      <c r="N6116" s="1"/>
      <c r="O6116" s="1"/>
      <c r="P6116" s="1"/>
      <c r="Q6116" s="1"/>
      <c r="R6116" s="1"/>
      <c r="S6116" s="1"/>
      <c r="T6116" s="1"/>
      <c r="U6116" s="1"/>
      <c r="V6116" s="1"/>
      <c r="W6116" s="1"/>
      <c r="X6116" s="1"/>
      <c r="Y6116" s="1"/>
      <c r="Z6116" s="1"/>
      <c r="AA6116" s="1"/>
      <c r="AB6116" s="1"/>
    </row>
    <row r="6117" ht="50.25" customHeight="1">
      <c r="A6117" s="12">
        <v>6113.0</v>
      </c>
      <c r="B6117" s="13" t="s">
        <v>5926</v>
      </c>
      <c r="C6117" s="18" t="s">
        <v>6139</v>
      </c>
      <c r="D6117" s="1"/>
      <c r="E6117" s="1"/>
      <c r="F6117" s="1" t="str">
        <f>IFERROR(__xludf.DUMMYFUNCTION("GOOGLETRANSLATE(B6117, ""en"", ""fa"")
"),"برندسازی و طراحی لوگو")</f>
        <v>برندسازی و طراحی لوگو</v>
      </c>
      <c r="G6117" s="1" t="str">
        <f>IFERROR(__xludf.DUMMYFUNCTION("GOOGLETRANSLATE(C6117, ""en"", ""fa"")
"),"مفهوم تکامل برند و چگونگی تطبیق هویت برند با پویایی بازار در حال تغییر و ترجیحات مشتری را بررسی کنید.")</f>
        <v>مفهوم تکامل برند و چگونگی تطبیق هویت برند با پویایی بازار در حال تغییر و ترجیحات مشتری را بررسی کنید.</v>
      </c>
      <c r="H6117" s="1"/>
      <c r="I6117" s="1"/>
      <c r="J6117" s="1"/>
      <c r="K6117" s="1"/>
      <c r="L6117" s="1"/>
      <c r="M6117" s="1"/>
      <c r="N6117" s="1"/>
      <c r="O6117" s="1"/>
      <c r="P6117" s="1"/>
      <c r="Q6117" s="1"/>
      <c r="R6117" s="1"/>
      <c r="S6117" s="1"/>
      <c r="T6117" s="1"/>
      <c r="U6117" s="1"/>
      <c r="V6117" s="1"/>
      <c r="W6117" s="1"/>
      <c r="X6117" s="1"/>
      <c r="Y6117" s="1"/>
      <c r="Z6117" s="1"/>
      <c r="AA6117" s="1"/>
      <c r="AB6117" s="1"/>
    </row>
    <row r="6118" ht="50.25" customHeight="1">
      <c r="A6118" s="12">
        <v>6114.0</v>
      </c>
      <c r="B6118" s="13" t="s">
        <v>5926</v>
      </c>
      <c r="C6118" s="18" t="s">
        <v>6140</v>
      </c>
      <c r="D6118" s="1"/>
      <c r="E6118" s="1"/>
      <c r="F6118" s="1" t="str">
        <f>IFERROR(__xludf.DUMMYFUNCTION("GOOGLETRANSLATE(B6118, ""en"", ""fa"")
"),"برندسازی و طراحی لوگو")</f>
        <v>برندسازی و طراحی لوگو</v>
      </c>
      <c r="G6118" s="1" t="str">
        <f>IFERROR(__xludf.DUMMYFUNCTION("GOOGLETRANSLATE(C6118, ""en"", ""fa"")
"),"در مورد نقش تجارب برند در محیط های دیجیتال و چگونگی ایجاد تعاملات آنلاین فراگیر و به یاد ماندنی با نام تجاری فکر کنید.")</f>
        <v>در مورد نقش تجارب برند در محیط های دیجیتال و چگونگی ایجاد تعاملات آنلاین فراگیر و به یاد ماندنی با نام تجاری فکر کنید.</v>
      </c>
      <c r="H6118" s="1"/>
      <c r="I6118" s="1"/>
      <c r="J6118" s="1"/>
      <c r="K6118" s="1"/>
      <c r="L6118" s="1"/>
      <c r="M6118" s="1"/>
      <c r="N6118" s="1"/>
      <c r="O6118" s="1"/>
      <c r="P6118" s="1"/>
      <c r="Q6118" s="1"/>
      <c r="R6118" s="1"/>
      <c r="S6118" s="1"/>
      <c r="T6118" s="1"/>
      <c r="U6118" s="1"/>
      <c r="V6118" s="1"/>
      <c r="W6118" s="1"/>
      <c r="X6118" s="1"/>
      <c r="Y6118" s="1"/>
      <c r="Z6118" s="1"/>
      <c r="AA6118" s="1"/>
      <c r="AB6118" s="1"/>
    </row>
    <row r="6119" ht="50.25" customHeight="1">
      <c r="A6119" s="12">
        <v>6115.0</v>
      </c>
      <c r="B6119" s="13" t="s">
        <v>6141</v>
      </c>
      <c r="C6119" s="14" t="s">
        <v>6142</v>
      </c>
      <c r="D6119" s="1"/>
      <c r="E6119" s="1"/>
      <c r="F6119" s="1" t="str">
        <f>IFERROR(__xludf.DUMMYFUNCTION("GOOGLETRANSLATE(B6119, ""en"", ""fa"")
"),"موفقیت آمازون")</f>
        <v>موفقیت آمازون</v>
      </c>
      <c r="G6119" s="1" t="str">
        <f>IFERROR(__xludf.DUMMYFUNCTION("GOOGLETRANSLATE(C6119, ""en"", ""fa"")
"),"چگونه فروشندگان می توانند عناوین محصولات خود را برای بهبود دید جستجو در آمازون بهینه کنند؟")</f>
        <v>چگونه فروشندگان می توانند عناوین محصولات خود را برای بهبود دید جستجو در آمازون بهینه کنند؟</v>
      </c>
      <c r="H6119" s="1"/>
      <c r="I6119" s="1"/>
      <c r="J6119" s="1"/>
      <c r="K6119" s="1"/>
      <c r="L6119" s="1"/>
      <c r="M6119" s="1"/>
      <c r="N6119" s="1"/>
      <c r="O6119" s="1"/>
      <c r="P6119" s="1"/>
      <c r="Q6119" s="1"/>
      <c r="R6119" s="1"/>
      <c r="S6119" s="1"/>
      <c r="T6119" s="1"/>
      <c r="U6119" s="1"/>
      <c r="V6119" s="1"/>
      <c r="W6119" s="1"/>
      <c r="X6119" s="1"/>
      <c r="Y6119" s="1"/>
      <c r="Z6119" s="1"/>
      <c r="AA6119" s="1"/>
      <c r="AB6119" s="1"/>
    </row>
    <row r="6120" ht="50.25" customHeight="1">
      <c r="A6120" s="12">
        <v>6116.0</v>
      </c>
      <c r="B6120" s="13" t="s">
        <v>6141</v>
      </c>
      <c r="C6120" s="14" t="s">
        <v>6143</v>
      </c>
      <c r="D6120" s="1"/>
      <c r="E6120" s="1"/>
      <c r="F6120" s="1" t="str">
        <f>IFERROR(__xludf.DUMMYFUNCTION("GOOGLETRANSLATE(B6120, ""en"", ""fa"")
"),"موفقیت آمازون")</f>
        <v>موفقیت آمازون</v>
      </c>
      <c r="G6120" s="1" t="str">
        <f>IFERROR(__xludf.DUMMYFUNCTION("GOOGLETRANSLATE(C6120, ""en"", ""fa"")
"),"برای نرخ تبدیل بهتر چه عناصر کلیدی باید در عنوان محصول گنجانده شود؟")</f>
        <v>برای نرخ تبدیل بهتر چه عناصر کلیدی باید در عنوان محصول گنجانده شود؟</v>
      </c>
      <c r="H6120" s="1"/>
      <c r="I6120" s="1"/>
      <c r="J6120" s="1"/>
      <c r="K6120" s="1"/>
      <c r="L6120" s="1"/>
      <c r="M6120" s="1"/>
      <c r="N6120" s="1"/>
      <c r="O6120" s="1"/>
      <c r="P6120" s="1"/>
      <c r="Q6120" s="1"/>
      <c r="R6120" s="1"/>
      <c r="S6120" s="1"/>
      <c r="T6120" s="1"/>
      <c r="U6120" s="1"/>
      <c r="V6120" s="1"/>
      <c r="W6120" s="1"/>
      <c r="X6120" s="1"/>
      <c r="Y6120" s="1"/>
      <c r="Z6120" s="1"/>
      <c r="AA6120" s="1"/>
      <c r="AB6120" s="1"/>
    </row>
    <row r="6121" ht="50.25" customHeight="1">
      <c r="A6121" s="12">
        <v>6117.0</v>
      </c>
      <c r="B6121" s="13" t="s">
        <v>6141</v>
      </c>
      <c r="C6121" s="14" t="s">
        <v>6144</v>
      </c>
      <c r="D6121" s="1"/>
      <c r="E6121" s="1"/>
      <c r="F6121" s="1" t="str">
        <f>IFERROR(__xludf.DUMMYFUNCTION("GOOGLETRANSLATE(B6121, ""en"", ""fa"")
"),"موفقیت آمازون")</f>
        <v>موفقیت آمازون</v>
      </c>
      <c r="G6121" s="1" t="str">
        <f>IFERROR(__xludf.DUMMYFUNCTION("GOOGLETRANSLATE(C6121, ""en"", ""fa"")
"),"تحقیق کلمات کلیدی در بهینه سازی فهرست چقدر اهمیت دارد و فروشندگان از چه ابزارهایی می توانند برای شناسایی موثر کلمات کلیدی استفاده کنند؟")</f>
        <v>تحقیق کلمات کلیدی در بهینه سازی فهرست چقدر اهمیت دارد و فروشندگان از چه ابزارهایی می توانند برای شناسایی موثر کلمات کلیدی استفاده کنند؟</v>
      </c>
      <c r="H6121" s="1"/>
      <c r="I6121" s="1"/>
      <c r="J6121" s="1"/>
      <c r="K6121" s="1"/>
      <c r="L6121" s="1"/>
      <c r="M6121" s="1"/>
      <c r="N6121" s="1"/>
      <c r="O6121" s="1"/>
      <c r="P6121" s="1"/>
      <c r="Q6121" s="1"/>
      <c r="R6121" s="1"/>
      <c r="S6121" s="1"/>
      <c r="T6121" s="1"/>
      <c r="U6121" s="1"/>
      <c r="V6121" s="1"/>
      <c r="W6121" s="1"/>
      <c r="X6121" s="1"/>
      <c r="Y6121" s="1"/>
      <c r="Z6121" s="1"/>
      <c r="AA6121" s="1"/>
      <c r="AB6121" s="1"/>
    </row>
    <row r="6122" ht="50.25" customHeight="1">
      <c r="A6122" s="12">
        <v>6118.0</v>
      </c>
      <c r="B6122" s="13" t="s">
        <v>6141</v>
      </c>
      <c r="C6122" s="14" t="s">
        <v>6145</v>
      </c>
      <c r="D6122" s="1"/>
      <c r="E6122" s="1"/>
      <c r="F6122" s="1" t="str">
        <f>IFERROR(__xludf.DUMMYFUNCTION("GOOGLETRANSLATE(B6122, ""en"", ""fa"")
"),"موفقیت آمازون")</f>
        <v>موفقیت آمازون</v>
      </c>
      <c r="G6122" s="1" t="str">
        <f>IFERROR(__xludf.DUMMYFUNCTION("GOOGLETRANSLATE(C6122, ""en"", ""fa"")
"),"نکاتی را برای گنجاندن کلمات کلیدی مرتبط به طور طبیعی و استراتژیک در توضیحات محصول به اشتراک بگذارید.")</f>
        <v>نکاتی را برای گنجاندن کلمات کلیدی مرتبط به طور طبیعی و استراتژیک در توضیحات محصول به اشتراک بگذارید.</v>
      </c>
      <c r="H6122" s="1"/>
      <c r="I6122" s="1"/>
      <c r="J6122" s="1"/>
      <c r="K6122" s="1"/>
      <c r="L6122" s="1"/>
      <c r="M6122" s="1"/>
      <c r="N6122" s="1"/>
      <c r="O6122" s="1"/>
      <c r="P6122" s="1"/>
      <c r="Q6122" s="1"/>
      <c r="R6122" s="1"/>
      <c r="S6122" s="1"/>
      <c r="T6122" s="1"/>
      <c r="U6122" s="1"/>
      <c r="V6122" s="1"/>
      <c r="W6122" s="1"/>
      <c r="X6122" s="1"/>
      <c r="Y6122" s="1"/>
      <c r="Z6122" s="1"/>
      <c r="AA6122" s="1"/>
      <c r="AB6122" s="1"/>
    </row>
    <row r="6123" ht="50.25" customHeight="1">
      <c r="A6123" s="12">
        <v>6119.0</v>
      </c>
      <c r="B6123" s="13" t="s">
        <v>6141</v>
      </c>
      <c r="C6123" s="14" t="s">
        <v>6146</v>
      </c>
      <c r="D6123" s="1"/>
      <c r="E6123" s="1"/>
      <c r="F6123" s="1" t="str">
        <f>IFERROR(__xludf.DUMMYFUNCTION("GOOGLETRANSLATE(B6123, ""en"", ""fa"")
"),"موفقیت آمازون")</f>
        <v>موفقیت آمازون</v>
      </c>
      <c r="G6123" s="1" t="str">
        <f>IFERROR(__xludf.DUMMYFUNCTION("GOOGLETRANSLATE(C6123, ""en"", ""fa"")
"),"فرمت bullet point چه نقشی در بهینه سازی لیست محصولات دارد و فروشندگان چگونه می توانند از این قالب نهایت استفاده را ببرند؟")</f>
        <v>فرمت bullet point چه نقشی در بهینه سازی لیست محصولات دارد و فروشندگان چگونه می توانند از این قالب نهایت استفاده را ببرند؟</v>
      </c>
      <c r="H6123" s="1"/>
      <c r="I6123" s="1"/>
      <c r="J6123" s="1"/>
      <c r="K6123" s="1"/>
      <c r="L6123" s="1"/>
      <c r="M6123" s="1"/>
      <c r="N6123" s="1"/>
      <c r="O6123" s="1"/>
      <c r="P6123" s="1"/>
      <c r="Q6123" s="1"/>
      <c r="R6123" s="1"/>
      <c r="S6123" s="1"/>
      <c r="T6123" s="1"/>
      <c r="U6123" s="1"/>
      <c r="V6123" s="1"/>
      <c r="W6123" s="1"/>
      <c r="X6123" s="1"/>
      <c r="Y6123" s="1"/>
      <c r="Z6123" s="1"/>
      <c r="AA6123" s="1"/>
      <c r="AB6123" s="1"/>
    </row>
    <row r="6124" ht="50.25" customHeight="1">
      <c r="A6124" s="12">
        <v>6120.0</v>
      </c>
      <c r="B6124" s="13" t="s">
        <v>6141</v>
      </c>
      <c r="C6124" s="14" t="s">
        <v>6147</v>
      </c>
      <c r="D6124" s="1"/>
      <c r="E6124" s="1"/>
      <c r="F6124" s="1" t="str">
        <f>IFERROR(__xludf.DUMMYFUNCTION("GOOGLETRANSLATE(B6124, ""en"", ""fa"")
"),"موفقیت آمازون")</f>
        <v>موفقیت آمازون</v>
      </c>
      <c r="G6124" s="1" t="str">
        <f>IFERROR(__xludf.DUMMYFUNCTION("GOOGLETRANSLATE(C6124, ""en"", ""fa"")
"),"اهمیت توضیحات قانع کننده و متقاعد کننده محصول در ایجاد تبدیل در آمازون را توضیح دهید.")</f>
        <v>اهمیت توضیحات قانع کننده و متقاعد کننده محصول در ایجاد تبدیل در آمازون را توضیح دهید.</v>
      </c>
      <c r="H6124" s="1"/>
      <c r="I6124" s="1"/>
      <c r="J6124" s="1"/>
      <c r="K6124" s="1"/>
      <c r="L6124" s="1"/>
      <c r="M6124" s="1"/>
      <c r="N6124" s="1"/>
      <c r="O6124" s="1"/>
      <c r="P6124" s="1"/>
      <c r="Q6124" s="1"/>
      <c r="R6124" s="1"/>
      <c r="S6124" s="1"/>
      <c r="T6124" s="1"/>
      <c r="U6124" s="1"/>
      <c r="V6124" s="1"/>
      <c r="W6124" s="1"/>
      <c r="X6124" s="1"/>
      <c r="Y6124" s="1"/>
      <c r="Z6124" s="1"/>
      <c r="AA6124" s="1"/>
      <c r="AB6124" s="1"/>
    </row>
    <row r="6125" ht="50.25" customHeight="1">
      <c r="A6125" s="12">
        <v>6121.0</v>
      </c>
      <c r="B6125" s="13" t="s">
        <v>6141</v>
      </c>
      <c r="C6125" s="14" t="s">
        <v>6148</v>
      </c>
      <c r="D6125" s="1"/>
      <c r="E6125" s="1"/>
      <c r="F6125" s="1" t="str">
        <f>IFERROR(__xludf.DUMMYFUNCTION("GOOGLETRANSLATE(B6125, ""en"", ""fa"")
"),"موفقیت آمازون")</f>
        <v>موفقیت آمازون</v>
      </c>
      <c r="G6125" s="1" t="str">
        <f>IFERROR(__xludf.DUMMYFUNCTION("GOOGLETRANSLATE(C6125, ""en"", ""fa"")
"),"چگونه فروشندگان می توانند از محتوای A+ برای ارتقاء فهرست محصولات خود و متمایز کردن برند خود استفاده کنند؟")</f>
        <v>چگونه فروشندگان می توانند از محتوای A+ برای ارتقاء فهرست محصولات خود و متمایز کردن برند خود استفاده کنند؟</v>
      </c>
      <c r="H6125" s="1"/>
      <c r="I6125" s="1"/>
      <c r="J6125" s="1"/>
      <c r="K6125" s="1"/>
      <c r="L6125" s="1"/>
      <c r="M6125" s="1"/>
      <c r="N6125" s="1"/>
      <c r="O6125" s="1"/>
      <c r="P6125" s="1"/>
      <c r="Q6125" s="1"/>
      <c r="R6125" s="1"/>
      <c r="S6125" s="1"/>
      <c r="T6125" s="1"/>
      <c r="U6125" s="1"/>
      <c r="V6125" s="1"/>
      <c r="W6125" s="1"/>
      <c r="X6125" s="1"/>
      <c r="Y6125" s="1"/>
      <c r="Z6125" s="1"/>
      <c r="AA6125" s="1"/>
      <c r="AB6125" s="1"/>
    </row>
    <row r="6126" ht="50.25" customHeight="1">
      <c r="A6126" s="12">
        <v>6122.0</v>
      </c>
      <c r="B6126" s="13" t="s">
        <v>6141</v>
      </c>
      <c r="C6126" s="14" t="s">
        <v>6149</v>
      </c>
      <c r="D6126" s="1"/>
      <c r="E6126" s="1"/>
      <c r="F6126" s="1" t="str">
        <f>IFERROR(__xludf.DUMMYFUNCTION("GOOGLETRANSLATE(B6126, ""en"", ""fa"")
"),"موفقیت آمازون")</f>
        <v>موفقیت آمازون</v>
      </c>
      <c r="G6126" s="1" t="str">
        <f>IFERROR(__xludf.DUMMYFUNCTION("GOOGLETRANSLATE(C6126, ""en"", ""fa"")
"),"استراتژی ها را برای استفاده مؤثر از ویژگی ها و مزایای محصول در بهینه سازی فهرست به اشتراک بگذارید.")</f>
        <v>استراتژی ها را برای استفاده مؤثر از ویژگی ها و مزایای محصول در بهینه سازی فهرست به اشتراک بگذارید.</v>
      </c>
      <c r="H6126" s="1"/>
      <c r="I6126" s="1"/>
      <c r="J6126" s="1"/>
      <c r="K6126" s="1"/>
      <c r="L6126" s="1"/>
      <c r="M6126" s="1"/>
      <c r="N6126" s="1"/>
      <c r="O6126" s="1"/>
      <c r="P6126" s="1"/>
      <c r="Q6126" s="1"/>
      <c r="R6126" s="1"/>
      <c r="S6126" s="1"/>
      <c r="T6126" s="1"/>
      <c r="U6126" s="1"/>
      <c r="V6126" s="1"/>
      <c r="W6126" s="1"/>
      <c r="X6126" s="1"/>
      <c r="Y6126" s="1"/>
      <c r="Z6126" s="1"/>
      <c r="AA6126" s="1"/>
      <c r="AB6126" s="1"/>
    </row>
    <row r="6127" ht="50.25" customHeight="1">
      <c r="A6127" s="12">
        <v>6123.0</v>
      </c>
      <c r="B6127" s="13" t="s">
        <v>6141</v>
      </c>
      <c r="C6127" s="14" t="s">
        <v>6150</v>
      </c>
      <c r="D6127" s="1"/>
      <c r="E6127" s="1"/>
      <c r="F6127" s="1" t="str">
        <f>IFERROR(__xludf.DUMMYFUNCTION("GOOGLETRANSLATE(B6127, ""en"", ""fa"")
"),"موفقیت آمازون")</f>
        <v>موفقیت آمازون</v>
      </c>
      <c r="G6127" s="1" t="str">
        <f>IFERROR(__xludf.DUMMYFUNCTION("GOOGLETRANSLATE(C6127, ""en"", ""fa"")
"),"بهترین روش ها برای بهینه سازی کلمات کلیدی باطن در لیست آمازون چیست؟")</f>
        <v>بهترین روش ها برای بهینه سازی کلمات کلیدی باطن در لیست آمازون چیست؟</v>
      </c>
      <c r="H6127" s="1"/>
      <c r="I6127" s="1"/>
      <c r="J6127" s="1"/>
      <c r="K6127" s="1"/>
      <c r="L6127" s="1"/>
      <c r="M6127" s="1"/>
      <c r="N6127" s="1"/>
      <c r="O6127" s="1"/>
      <c r="P6127" s="1"/>
      <c r="Q6127" s="1"/>
      <c r="R6127" s="1"/>
      <c r="S6127" s="1"/>
      <c r="T6127" s="1"/>
      <c r="U6127" s="1"/>
      <c r="V6127" s="1"/>
      <c r="W6127" s="1"/>
      <c r="X6127" s="1"/>
      <c r="Y6127" s="1"/>
      <c r="Z6127" s="1"/>
      <c r="AA6127" s="1"/>
      <c r="AB6127" s="1"/>
    </row>
    <row r="6128" ht="50.25" customHeight="1">
      <c r="A6128" s="12">
        <v>6124.0</v>
      </c>
      <c r="B6128" s="13" t="s">
        <v>6141</v>
      </c>
      <c r="C6128" s="14" t="s">
        <v>6151</v>
      </c>
      <c r="D6128" s="1"/>
      <c r="E6128" s="1"/>
      <c r="F6128" s="1" t="str">
        <f>IFERROR(__xludf.DUMMYFUNCTION("GOOGLETRANSLATE(B6128, ""en"", ""fa"")
"),"موفقیت آمازون")</f>
        <v>موفقیت آمازون</v>
      </c>
      <c r="G6128" s="1" t="str">
        <f>IFERROR(__xludf.DUMMYFUNCTION("GOOGLETRANSLATE(C6128, ""en"", ""fa"")
"),"فروشندگان چگونه می توانند از نظرات و نظرات مشتریان برای تقویت فهرست محصولات خود استفاده کنند؟")</f>
        <v>فروشندگان چگونه می توانند از نظرات و نظرات مشتریان برای تقویت فهرست محصولات خود استفاده کنند؟</v>
      </c>
      <c r="H6128" s="1"/>
      <c r="I6128" s="1"/>
      <c r="J6128" s="1"/>
      <c r="K6128" s="1"/>
      <c r="L6128" s="1"/>
      <c r="M6128" s="1"/>
      <c r="N6128" s="1"/>
      <c r="O6128" s="1"/>
      <c r="P6128" s="1"/>
      <c r="Q6128" s="1"/>
      <c r="R6128" s="1"/>
      <c r="S6128" s="1"/>
      <c r="T6128" s="1"/>
      <c r="U6128" s="1"/>
      <c r="V6128" s="1"/>
      <c r="W6128" s="1"/>
      <c r="X6128" s="1"/>
      <c r="Y6128" s="1"/>
      <c r="Z6128" s="1"/>
      <c r="AA6128" s="1"/>
      <c r="AB6128" s="1"/>
    </row>
    <row r="6129" ht="50.25" customHeight="1">
      <c r="A6129" s="12">
        <v>6125.0</v>
      </c>
      <c r="B6129" s="13" t="s">
        <v>6141</v>
      </c>
      <c r="C6129" s="14" t="s">
        <v>6152</v>
      </c>
      <c r="D6129" s="1"/>
      <c r="E6129" s="1"/>
      <c r="F6129" s="1" t="str">
        <f>IFERROR(__xludf.DUMMYFUNCTION("GOOGLETRANSLATE(B6129, ""en"", ""fa"")
"),"موفقیت آمازون")</f>
        <v>موفقیت آمازون</v>
      </c>
      <c r="G6129" s="1" t="str">
        <f>IFERROR(__xludf.DUMMYFUNCTION("GOOGLETRANSLATE(C6129, ""en"", ""fa"")
"),"در مورد اهمیت تصاویر محصول با کیفیت بالا در بهینه سازی لیست آمازون بحث کنید.")</f>
        <v>در مورد اهمیت تصاویر محصول با کیفیت بالا در بهینه سازی لیست آمازون بحث کنید.</v>
      </c>
      <c r="H6129" s="1"/>
      <c r="I6129" s="1"/>
      <c r="J6129" s="1"/>
      <c r="K6129" s="1"/>
      <c r="L6129" s="1"/>
      <c r="M6129" s="1"/>
      <c r="N6129" s="1"/>
      <c r="O6129" s="1"/>
      <c r="P6129" s="1"/>
      <c r="Q6129" s="1"/>
      <c r="R6129" s="1"/>
      <c r="S6129" s="1"/>
      <c r="T6129" s="1"/>
      <c r="U6129" s="1"/>
      <c r="V6129" s="1"/>
      <c r="W6129" s="1"/>
      <c r="X6129" s="1"/>
      <c r="Y6129" s="1"/>
      <c r="Z6129" s="1"/>
      <c r="AA6129" s="1"/>
      <c r="AB6129" s="1"/>
    </row>
    <row r="6130" ht="50.25" customHeight="1">
      <c r="A6130" s="12">
        <v>6126.0</v>
      </c>
      <c r="B6130" s="13" t="s">
        <v>6141</v>
      </c>
      <c r="C6130" s="14" t="s">
        <v>6153</v>
      </c>
      <c r="D6130" s="1"/>
      <c r="E6130" s="1"/>
      <c r="F6130" s="1" t="str">
        <f>IFERROR(__xludf.DUMMYFUNCTION("GOOGLETRANSLATE(B6130, ""en"", ""fa"")
"),"موفقیت آمازون")</f>
        <v>موفقیت آمازون</v>
      </c>
      <c r="G6130" s="1" t="str">
        <f>IFERROR(__xludf.DUMMYFUNCTION("GOOGLETRANSLATE(C6130, ""en"", ""fa"")
"),"نکاتی را برای ثبت تصاویر جذاب و آموزنده محصول که مشتریان بالقوه را جذب می کند، به اشتراک بگذارید.")</f>
        <v>نکاتی را برای ثبت تصاویر جذاب و آموزنده محصول که مشتریان بالقوه را جذب می کند، به اشتراک بگذارید.</v>
      </c>
      <c r="H6130" s="1"/>
      <c r="I6130" s="1"/>
      <c r="J6130" s="1"/>
      <c r="K6130" s="1"/>
      <c r="L6130" s="1"/>
      <c r="M6130" s="1"/>
      <c r="N6130" s="1"/>
      <c r="O6130" s="1"/>
      <c r="P6130" s="1"/>
      <c r="Q6130" s="1"/>
      <c r="R6130" s="1"/>
      <c r="S6130" s="1"/>
      <c r="T6130" s="1"/>
      <c r="U6130" s="1"/>
      <c r="V6130" s="1"/>
      <c r="W6130" s="1"/>
      <c r="X6130" s="1"/>
      <c r="Y6130" s="1"/>
      <c r="Z6130" s="1"/>
      <c r="AA6130" s="1"/>
      <c r="AB6130" s="1"/>
    </row>
    <row r="6131" ht="50.25" customHeight="1">
      <c r="A6131" s="12">
        <v>6127.0</v>
      </c>
      <c r="B6131" s="13" t="s">
        <v>6141</v>
      </c>
      <c r="C6131" s="14" t="s">
        <v>6154</v>
      </c>
      <c r="D6131" s="1"/>
      <c r="E6131" s="1"/>
      <c r="F6131" s="1" t="str">
        <f>IFERROR(__xludf.DUMMYFUNCTION("GOOGLETRANSLATE(B6131, ""en"", ""fa"")
"),"موفقیت آمازون")</f>
        <v>موفقیت آمازون</v>
      </c>
      <c r="G6131" s="1" t="str">
        <f>IFERROR(__xludf.DUMMYFUNCTION("GOOGLETRANSLATE(C6131, ""en"", ""fa"")
"),"چگونه فروشندگان می توانند متن جایگزین تصویر و نام فایل ها را برای مشاهده بهتر جستجو در آمازون بهینه کنند؟")</f>
        <v>چگونه فروشندگان می توانند متن جایگزین تصویر و نام فایل ها را برای مشاهده بهتر جستجو در آمازون بهینه کنند؟</v>
      </c>
      <c r="H6131" s="1"/>
      <c r="I6131" s="1"/>
      <c r="J6131" s="1"/>
      <c r="K6131" s="1"/>
      <c r="L6131" s="1"/>
      <c r="M6131" s="1"/>
      <c r="N6131" s="1"/>
      <c r="O6131" s="1"/>
      <c r="P6131" s="1"/>
      <c r="Q6131" s="1"/>
      <c r="R6131" s="1"/>
      <c r="S6131" s="1"/>
      <c r="T6131" s="1"/>
      <c r="U6131" s="1"/>
      <c r="V6131" s="1"/>
      <c r="W6131" s="1"/>
      <c r="X6131" s="1"/>
      <c r="Y6131" s="1"/>
      <c r="Z6131" s="1"/>
      <c r="AA6131" s="1"/>
      <c r="AB6131" s="1"/>
    </row>
    <row r="6132" ht="50.25" customHeight="1">
      <c r="A6132" s="12">
        <v>6128.0</v>
      </c>
      <c r="B6132" s="13" t="s">
        <v>6141</v>
      </c>
      <c r="C6132" s="14" t="s">
        <v>6155</v>
      </c>
      <c r="D6132" s="1"/>
      <c r="E6132" s="1"/>
      <c r="F6132" s="1" t="str">
        <f>IFERROR(__xludf.DUMMYFUNCTION("GOOGLETRANSLATE(B6132, ""en"", ""fa"")
"),"موفقیت آمازون")</f>
        <v>موفقیت آمازون</v>
      </c>
      <c r="G6132" s="1" t="str">
        <f>IFERROR(__xludf.DUMMYFUNCTION("GOOGLETRANSLATE(C6132, ""en"", ""fa"")
"),"اهمیت ابعاد محصول و اطلاعات وزن در بهینه سازی فهرست را توضیح دهید.")</f>
        <v>اهمیت ابعاد محصول و اطلاعات وزن در بهینه سازی فهرست را توضیح دهید.</v>
      </c>
      <c r="H6132" s="1"/>
      <c r="I6132" s="1"/>
      <c r="J6132" s="1"/>
      <c r="K6132" s="1"/>
      <c r="L6132" s="1"/>
      <c r="M6132" s="1"/>
      <c r="N6132" s="1"/>
      <c r="O6132" s="1"/>
      <c r="P6132" s="1"/>
      <c r="Q6132" s="1"/>
      <c r="R6132" s="1"/>
      <c r="S6132" s="1"/>
      <c r="T6132" s="1"/>
      <c r="U6132" s="1"/>
      <c r="V6132" s="1"/>
      <c r="W6132" s="1"/>
      <c r="X6132" s="1"/>
      <c r="Y6132" s="1"/>
      <c r="Z6132" s="1"/>
      <c r="AA6132" s="1"/>
      <c r="AB6132" s="1"/>
    </row>
    <row r="6133" ht="50.25" customHeight="1">
      <c r="A6133" s="12">
        <v>6129.0</v>
      </c>
      <c r="B6133" s="13" t="s">
        <v>6141</v>
      </c>
      <c r="C6133" s="14" t="s">
        <v>6156</v>
      </c>
      <c r="D6133" s="1"/>
      <c r="E6133" s="1"/>
      <c r="F6133" s="1" t="str">
        <f>IFERROR(__xludf.DUMMYFUNCTION("GOOGLETRANSLATE(B6133, ""en"", ""fa"")
"),"موفقیت آمازون")</f>
        <v>موفقیت آمازون</v>
      </c>
      <c r="G6133" s="1" t="str">
        <f>IFERROR(__xludf.DUMMYFUNCTION("GOOGLETRANSLATE(C6133, ""en"", ""fa"")
"),"درباره نحوه استفاده مؤثر از تغییرات و گزینه‌ها برای بهبود دید فهرست و تجربه مشتری، بینش‌هایی را به اشتراک بگذارید.")</f>
        <v>درباره نحوه استفاده مؤثر از تغییرات و گزینه‌ها برای بهبود دید فهرست و تجربه مشتری، بینش‌هایی را به اشتراک بگذارید.</v>
      </c>
      <c r="H6133" s="1"/>
      <c r="I6133" s="1"/>
      <c r="J6133" s="1"/>
      <c r="K6133" s="1"/>
      <c r="L6133" s="1"/>
      <c r="M6133" s="1"/>
      <c r="N6133" s="1"/>
      <c r="O6133" s="1"/>
      <c r="P6133" s="1"/>
      <c r="Q6133" s="1"/>
      <c r="R6133" s="1"/>
      <c r="S6133" s="1"/>
      <c r="T6133" s="1"/>
      <c r="U6133" s="1"/>
      <c r="V6133" s="1"/>
      <c r="W6133" s="1"/>
      <c r="X6133" s="1"/>
      <c r="Y6133" s="1"/>
      <c r="Z6133" s="1"/>
      <c r="AA6133" s="1"/>
      <c r="AB6133" s="1"/>
    </row>
    <row r="6134" ht="50.25" customHeight="1">
      <c r="A6134" s="12">
        <v>6130.0</v>
      </c>
      <c r="B6134" s="13" t="s">
        <v>6141</v>
      </c>
      <c r="C6134" s="14" t="s">
        <v>6157</v>
      </c>
      <c r="D6134" s="1"/>
      <c r="E6134" s="1"/>
      <c r="F6134" s="1" t="str">
        <f>IFERROR(__xludf.DUMMYFUNCTION("GOOGLETRANSLATE(B6134, ""en"", ""fa"")
"),"موفقیت آمازون")</f>
        <v>موفقیت آمازون</v>
      </c>
      <c r="G6134" s="1" t="str">
        <f>IFERROR(__xludf.DUMMYFUNCTION("GOOGLETRANSLATE(C6134, ""en"", ""fa"")
"),"در مورد نقش اطلاعات قیمت گذاری و پیشنهادات تبلیغاتی در بهینه سازی لیست محصولات بحث کنید.")</f>
        <v>در مورد نقش اطلاعات قیمت گذاری و پیشنهادات تبلیغاتی در بهینه سازی لیست محصولات بحث کنید.</v>
      </c>
      <c r="H6134" s="1"/>
      <c r="I6134" s="1"/>
      <c r="J6134" s="1"/>
      <c r="K6134" s="1"/>
      <c r="L6134" s="1"/>
      <c r="M6134" s="1"/>
      <c r="N6134" s="1"/>
      <c r="O6134" s="1"/>
      <c r="P6134" s="1"/>
      <c r="Q6134" s="1"/>
      <c r="R6134" s="1"/>
      <c r="S6134" s="1"/>
      <c r="T6134" s="1"/>
      <c r="U6134" s="1"/>
      <c r="V6134" s="1"/>
      <c r="W6134" s="1"/>
      <c r="X6134" s="1"/>
      <c r="Y6134" s="1"/>
      <c r="Z6134" s="1"/>
      <c r="AA6134" s="1"/>
      <c r="AB6134" s="1"/>
    </row>
    <row r="6135" ht="50.25" customHeight="1">
      <c r="A6135" s="12">
        <v>6131.0</v>
      </c>
      <c r="B6135" s="13" t="s">
        <v>6141</v>
      </c>
      <c r="C6135" s="14" t="s">
        <v>6158</v>
      </c>
      <c r="D6135" s="1"/>
      <c r="E6135" s="1"/>
      <c r="F6135" s="1" t="str">
        <f>IFERROR(__xludf.DUMMYFUNCTION("GOOGLETRANSLATE(B6135, ""en"", ""fa"")
"),"موفقیت آمازون")</f>
        <v>موفقیت آمازون</v>
      </c>
      <c r="G6135" s="1" t="str">
        <f>IFERROR(__xludf.DUMMYFUNCTION("GOOGLETRANSLATE(C6135, ""en"", ""fa"")
"),"چگونه فروشندگان می توانند از نمودارها یا جداول مقایسه برای برجسته کردن نقاط فروش منحصر به فرد محصولات خود استفاده کنند؟")</f>
        <v>چگونه فروشندگان می توانند از نمودارها یا جداول مقایسه برای برجسته کردن نقاط فروش منحصر به فرد محصولات خود استفاده کنند؟</v>
      </c>
      <c r="H6135" s="1"/>
      <c r="I6135" s="1"/>
      <c r="J6135" s="1"/>
      <c r="K6135" s="1"/>
      <c r="L6135" s="1"/>
      <c r="M6135" s="1"/>
      <c r="N6135" s="1"/>
      <c r="O6135" s="1"/>
      <c r="P6135" s="1"/>
      <c r="Q6135" s="1"/>
      <c r="R6135" s="1"/>
      <c r="S6135" s="1"/>
      <c r="T6135" s="1"/>
      <c r="U6135" s="1"/>
      <c r="V6135" s="1"/>
      <c r="W6135" s="1"/>
      <c r="X6135" s="1"/>
      <c r="Y6135" s="1"/>
      <c r="Z6135" s="1"/>
      <c r="AA6135" s="1"/>
      <c r="AB6135" s="1"/>
    </row>
    <row r="6136" ht="50.25" customHeight="1">
      <c r="A6136" s="12">
        <v>6132.0</v>
      </c>
      <c r="B6136" s="13" t="s">
        <v>6141</v>
      </c>
      <c r="C6136" s="14" t="s">
        <v>6159</v>
      </c>
      <c r="D6136" s="1"/>
      <c r="E6136" s="1"/>
      <c r="F6136" s="1" t="str">
        <f>IFERROR(__xludf.DUMMYFUNCTION("GOOGLETRANSLATE(B6136, ""en"", ""fa"")
"),"موفقیت آمازون")</f>
        <v>موفقیت آمازون</v>
      </c>
      <c r="G6136" s="1" t="str">
        <f>IFERROR(__xludf.DUMMYFUNCTION("GOOGLETRANSLATE(C6136, ""en"", ""fa"")
"),"استراتژی هایی را برای بهینه سازی محتوای فهرست شده برای دستگاه های تلفن همراه و بهبود تجربه کاربر تلفن همراه به اشتراک بگذارید.")</f>
        <v>استراتژی هایی را برای بهینه سازی محتوای فهرست شده برای دستگاه های تلفن همراه و بهبود تجربه کاربر تلفن همراه به اشتراک بگذارید.</v>
      </c>
      <c r="H6136" s="1"/>
      <c r="I6136" s="1"/>
      <c r="J6136" s="1"/>
      <c r="K6136" s="1"/>
      <c r="L6136" s="1"/>
      <c r="M6136" s="1"/>
      <c r="N6136" s="1"/>
      <c r="O6136" s="1"/>
      <c r="P6136" s="1"/>
      <c r="Q6136" s="1"/>
      <c r="R6136" s="1"/>
      <c r="S6136" s="1"/>
      <c r="T6136" s="1"/>
      <c r="U6136" s="1"/>
      <c r="V6136" s="1"/>
      <c r="W6136" s="1"/>
      <c r="X6136" s="1"/>
      <c r="Y6136" s="1"/>
      <c r="Z6136" s="1"/>
      <c r="AA6136" s="1"/>
      <c r="AB6136" s="1"/>
    </row>
    <row r="6137" ht="50.25" customHeight="1">
      <c r="A6137" s="12">
        <v>6133.0</v>
      </c>
      <c r="B6137" s="13" t="s">
        <v>6141</v>
      </c>
      <c r="C6137" s="14" t="s">
        <v>6160</v>
      </c>
      <c r="D6137" s="1"/>
      <c r="E6137" s="1"/>
      <c r="F6137" s="1" t="str">
        <f>IFERROR(__xludf.DUMMYFUNCTION("GOOGLETRANSLATE(B6137, ""en"", ""fa"")
"),"موفقیت آمازون")</f>
        <v>موفقیت آمازون</v>
      </c>
      <c r="G6137" s="1" t="str">
        <f>IFERROR(__xludf.DUMMYFUNCTION("GOOGLETRANSLATE(C6137, ""en"", ""fa"")
"),"بهترین شیوه ها برای ساختاربندی و قالب بندی نقاط گلوله برای انتقال موثر اطلاعات کلیدی چیست؟")</f>
        <v>بهترین شیوه ها برای ساختاربندی و قالب بندی نقاط گلوله برای انتقال موثر اطلاعات کلیدی چیست؟</v>
      </c>
      <c r="H6137" s="1"/>
      <c r="I6137" s="1"/>
      <c r="J6137" s="1"/>
      <c r="K6137" s="1"/>
      <c r="L6137" s="1"/>
      <c r="M6137" s="1"/>
      <c r="N6137" s="1"/>
      <c r="O6137" s="1"/>
      <c r="P6137" s="1"/>
      <c r="Q6137" s="1"/>
      <c r="R6137" s="1"/>
      <c r="S6137" s="1"/>
      <c r="T6137" s="1"/>
      <c r="U6137" s="1"/>
      <c r="V6137" s="1"/>
      <c r="W6137" s="1"/>
      <c r="X6137" s="1"/>
      <c r="Y6137" s="1"/>
      <c r="Z6137" s="1"/>
      <c r="AA6137" s="1"/>
      <c r="AB6137" s="1"/>
    </row>
    <row r="6138" ht="50.25" customHeight="1">
      <c r="A6138" s="12">
        <v>6134.0</v>
      </c>
      <c r="B6138" s="13" t="s">
        <v>6141</v>
      </c>
      <c r="C6138" s="14" t="s">
        <v>6161</v>
      </c>
      <c r="D6138" s="1"/>
      <c r="E6138" s="1"/>
      <c r="F6138" s="1" t="str">
        <f>IFERROR(__xludf.DUMMYFUNCTION("GOOGLETRANSLATE(B6138, ""en"", ""fa"")
"),"موفقیت آمازون")</f>
        <v>موفقیت آمازون</v>
      </c>
      <c r="G6138" s="1" t="str">
        <f>IFERROR(__xludf.DUMMYFUNCTION("GOOGLETRANSLATE(C6138, ""en"", ""fa"")
"),"نحوه نوشتن عناوین محصولات متقاعد کننده و غنی از کلمات کلیدی را که با دستورالعمل های آمازون مطابقت دارد، توضیح دهید.")</f>
        <v>نحوه نوشتن عناوین محصولات متقاعد کننده و غنی از کلمات کلیدی را که با دستورالعمل های آمازون مطابقت دارد، توضیح دهید.</v>
      </c>
      <c r="H6138" s="1"/>
      <c r="I6138" s="1"/>
      <c r="J6138" s="1"/>
      <c r="K6138" s="1"/>
      <c r="L6138" s="1"/>
      <c r="M6138" s="1"/>
      <c r="N6138" s="1"/>
      <c r="O6138" s="1"/>
      <c r="P6138" s="1"/>
      <c r="Q6138" s="1"/>
      <c r="R6138" s="1"/>
      <c r="S6138" s="1"/>
      <c r="T6138" s="1"/>
      <c r="U6138" s="1"/>
      <c r="V6138" s="1"/>
      <c r="W6138" s="1"/>
      <c r="X6138" s="1"/>
      <c r="Y6138" s="1"/>
      <c r="Z6138" s="1"/>
      <c r="AA6138" s="1"/>
      <c r="AB6138" s="1"/>
    </row>
    <row r="6139" ht="50.25" customHeight="1">
      <c r="A6139" s="12">
        <v>6135.0</v>
      </c>
      <c r="B6139" s="13" t="s">
        <v>6141</v>
      </c>
      <c r="C6139" s="14" t="s">
        <v>6162</v>
      </c>
      <c r="D6139" s="1"/>
      <c r="E6139" s="1"/>
      <c r="F6139" s="1" t="str">
        <f>IFERROR(__xludf.DUMMYFUNCTION("GOOGLETRANSLATE(B6139, ""en"", ""fa"")
"),"موفقیت آمازون")</f>
        <v>موفقیت آمازون</v>
      </c>
      <c r="G6139" s="1" t="str">
        <f>IFERROR(__xludf.DUMMYFUNCTION("GOOGLETRANSLATE(C6139, ""en"", ""fa"")
"),"چگونه فروشندگان می توانند از محتوای برند پیشرفته یا محتوای A+ برای ایجاد لیست محصولات جذاب و آموزنده استفاده کنند؟")</f>
        <v>چگونه فروشندگان می توانند از محتوای برند پیشرفته یا محتوای A+ برای ایجاد لیست محصولات جذاب و آموزنده استفاده کنند؟</v>
      </c>
      <c r="H6139" s="1"/>
      <c r="I6139" s="1"/>
      <c r="J6139" s="1"/>
      <c r="K6139" s="1"/>
      <c r="L6139" s="1"/>
      <c r="M6139" s="1"/>
      <c r="N6139" s="1"/>
      <c r="O6139" s="1"/>
      <c r="P6139" s="1"/>
      <c r="Q6139" s="1"/>
      <c r="R6139" s="1"/>
      <c r="S6139" s="1"/>
      <c r="T6139" s="1"/>
      <c r="U6139" s="1"/>
      <c r="V6139" s="1"/>
      <c r="W6139" s="1"/>
      <c r="X6139" s="1"/>
      <c r="Y6139" s="1"/>
      <c r="Z6139" s="1"/>
      <c r="AA6139" s="1"/>
      <c r="AB6139" s="1"/>
    </row>
    <row r="6140" ht="50.25" customHeight="1">
      <c r="A6140" s="12">
        <v>6136.0</v>
      </c>
      <c r="B6140" s="13" t="s">
        <v>6141</v>
      </c>
      <c r="C6140" s="14" t="s">
        <v>6163</v>
      </c>
      <c r="D6140" s="1"/>
      <c r="E6140" s="1"/>
      <c r="F6140" s="1" t="str">
        <f>IFERROR(__xludf.DUMMYFUNCTION("GOOGLETRANSLATE(B6140, ""en"", ""fa"")
"),"موفقیت آمازون")</f>
        <v>موفقیت آمازون</v>
      </c>
      <c r="G6140" s="1" t="str">
        <f>IFERROR(__xludf.DUMMYFUNCTION("GOOGLETRANSLATE(C6140, ""en"", ""fa"")
"),"در مورد اهمیت رسیدگی به اعتراضات یا نگرانی های بالقوه مشتری در توضیحات محصول بحث کنید.")</f>
        <v>در مورد اهمیت رسیدگی به اعتراضات یا نگرانی های بالقوه مشتری در توضیحات محصول بحث کنید.</v>
      </c>
      <c r="H6140" s="1"/>
      <c r="I6140" s="1"/>
      <c r="J6140" s="1"/>
      <c r="K6140" s="1"/>
      <c r="L6140" s="1"/>
      <c r="M6140" s="1"/>
      <c r="N6140" s="1"/>
      <c r="O6140" s="1"/>
      <c r="P6140" s="1"/>
      <c r="Q6140" s="1"/>
      <c r="R6140" s="1"/>
      <c r="S6140" s="1"/>
      <c r="T6140" s="1"/>
      <c r="U6140" s="1"/>
      <c r="V6140" s="1"/>
      <c r="W6140" s="1"/>
      <c r="X6140" s="1"/>
      <c r="Y6140" s="1"/>
      <c r="Z6140" s="1"/>
      <c r="AA6140" s="1"/>
      <c r="AB6140" s="1"/>
    </row>
    <row r="6141" ht="50.25" customHeight="1">
      <c r="A6141" s="12">
        <v>6137.0</v>
      </c>
      <c r="B6141" s="13" t="s">
        <v>6141</v>
      </c>
      <c r="C6141" s="14" t="s">
        <v>6164</v>
      </c>
      <c r="D6141" s="1"/>
      <c r="E6141" s="1"/>
      <c r="F6141" s="1" t="str">
        <f>IFERROR(__xludf.DUMMYFUNCTION("GOOGLETRANSLATE(B6141, ""en"", ""fa"")
"),"موفقیت آمازون")</f>
        <v>موفقیت آمازون</v>
      </c>
      <c r="G6141" s="1" t="str">
        <f>IFERROR(__xludf.DUMMYFUNCTION("GOOGLETRANSLATE(C6141, ""en"", ""fa"")
"),"نکاتی را برای بهینه سازی لیست محصولات برای بازارهای بین المللی و مشتریان چند زبانه به اشتراک بگذارید.")</f>
        <v>نکاتی را برای بهینه سازی لیست محصولات برای بازارهای بین المللی و مشتریان چند زبانه به اشتراک بگذارید.</v>
      </c>
      <c r="H6141" s="1"/>
      <c r="I6141" s="1"/>
      <c r="J6141" s="1"/>
      <c r="K6141" s="1"/>
      <c r="L6141" s="1"/>
      <c r="M6141" s="1"/>
      <c r="N6141" s="1"/>
      <c r="O6141" s="1"/>
      <c r="P6141" s="1"/>
      <c r="Q6141" s="1"/>
      <c r="R6141" s="1"/>
      <c r="S6141" s="1"/>
      <c r="T6141" s="1"/>
      <c r="U6141" s="1"/>
      <c r="V6141" s="1"/>
      <c r="W6141" s="1"/>
      <c r="X6141" s="1"/>
      <c r="Y6141" s="1"/>
      <c r="Z6141" s="1"/>
      <c r="AA6141" s="1"/>
      <c r="AB6141" s="1"/>
    </row>
    <row r="6142" ht="50.25" customHeight="1">
      <c r="A6142" s="12">
        <v>6138.0</v>
      </c>
      <c r="B6142" s="13" t="s">
        <v>6141</v>
      </c>
      <c r="C6142" s="14" t="s">
        <v>6165</v>
      </c>
      <c r="D6142" s="1"/>
      <c r="E6142" s="1"/>
      <c r="F6142" s="1" t="str">
        <f>IFERROR(__xludf.DUMMYFUNCTION("GOOGLETRANSLATE(B6142, ""en"", ""fa"")
"),"موفقیت آمازون")</f>
        <v>موفقیت آمازون</v>
      </c>
      <c r="G6142" s="1" t="str">
        <f>IFERROR(__xludf.DUMMYFUNCTION("GOOGLETRANSLATE(C6142, ""en"", ""fa"")
"),"بهترین روش ها برای استفاده از عبارات جستجو و زمینه های جستجوی باطن برای بهبود بهینه سازی فهرست چیست؟")</f>
        <v>بهترین روش ها برای استفاده از عبارات جستجو و زمینه های جستجوی باطن برای بهبود بهینه سازی فهرست چیست؟</v>
      </c>
      <c r="H6142" s="1"/>
      <c r="I6142" s="1"/>
      <c r="J6142" s="1"/>
      <c r="K6142" s="1"/>
      <c r="L6142" s="1"/>
      <c r="M6142" s="1"/>
      <c r="N6142" s="1"/>
      <c r="O6142" s="1"/>
      <c r="P6142" s="1"/>
      <c r="Q6142" s="1"/>
      <c r="R6142" s="1"/>
      <c r="S6142" s="1"/>
      <c r="T6142" s="1"/>
      <c r="U6142" s="1"/>
      <c r="V6142" s="1"/>
      <c r="W6142" s="1"/>
      <c r="X6142" s="1"/>
      <c r="Y6142" s="1"/>
      <c r="Z6142" s="1"/>
      <c r="AA6142" s="1"/>
      <c r="AB6142" s="1"/>
    </row>
    <row r="6143" ht="50.25" customHeight="1">
      <c r="A6143" s="12">
        <v>6139.0</v>
      </c>
      <c r="B6143" s="13" t="s">
        <v>6141</v>
      </c>
      <c r="C6143" s="14" t="s">
        <v>6166</v>
      </c>
      <c r="D6143" s="1"/>
      <c r="E6143" s="1"/>
      <c r="F6143" s="1" t="str">
        <f>IFERROR(__xludf.DUMMYFUNCTION("GOOGLETRANSLATE(B6143, ""en"", ""fa"")
"),"موفقیت آمازون")</f>
        <v>موفقیت آمازون</v>
      </c>
      <c r="G6143" s="1" t="str">
        <f>IFERROR(__xludf.DUMMYFUNCTION("GOOGLETRANSLATE(C6143, ""en"", ""fa"")
"),"چگونه فروشندگان می توانند مزایای کلیدی محصول را به طور موثر برجسته کنند و خود را از رقبا در نقاط مهم متمایز کنند؟")</f>
        <v>چگونه فروشندگان می توانند مزایای کلیدی محصول را به طور موثر برجسته کنند و خود را از رقبا در نقاط مهم متمایز کنند؟</v>
      </c>
      <c r="H6143" s="1"/>
      <c r="I6143" s="1"/>
      <c r="J6143" s="1"/>
      <c r="K6143" s="1"/>
      <c r="L6143" s="1"/>
      <c r="M6143" s="1"/>
      <c r="N6143" s="1"/>
      <c r="O6143" s="1"/>
      <c r="P6143" s="1"/>
      <c r="Q6143" s="1"/>
      <c r="R6143" s="1"/>
      <c r="S6143" s="1"/>
      <c r="T6143" s="1"/>
      <c r="U6143" s="1"/>
      <c r="V6143" s="1"/>
      <c r="W6143" s="1"/>
      <c r="X6143" s="1"/>
      <c r="Y6143" s="1"/>
      <c r="Z6143" s="1"/>
      <c r="AA6143" s="1"/>
      <c r="AB6143" s="1"/>
    </row>
    <row r="6144" ht="50.25" customHeight="1">
      <c r="A6144" s="12">
        <v>6140.0</v>
      </c>
      <c r="B6144" s="13" t="s">
        <v>6141</v>
      </c>
      <c r="C6144" s="14" t="s">
        <v>6167</v>
      </c>
      <c r="D6144" s="1"/>
      <c r="E6144" s="1"/>
      <c r="F6144" s="1" t="str">
        <f>IFERROR(__xludf.DUMMYFUNCTION("GOOGLETRANSLATE(B6144, ""en"", ""fa"")
"),"موفقیت آمازون")</f>
        <v>موفقیت آمازون</v>
      </c>
      <c r="G6144" s="1" t="str">
        <f>IFERROR(__xludf.DUMMYFUNCTION("GOOGLETRANSLATE(C6144, ""en"", ""fa"")
"),"اهمیت گنجاندن عبارات جستجوی مرتبط و محبوب را در عنوان و توضیحات محصول توضیح دهید.")</f>
        <v>اهمیت گنجاندن عبارات جستجوی مرتبط و محبوب را در عنوان و توضیحات محصول توضیح دهید.</v>
      </c>
      <c r="H6144" s="1"/>
      <c r="I6144" s="1"/>
      <c r="J6144" s="1"/>
      <c r="K6144" s="1"/>
      <c r="L6144" s="1"/>
      <c r="M6144" s="1"/>
      <c r="N6144" s="1"/>
      <c r="O6144" s="1"/>
      <c r="P6144" s="1"/>
      <c r="Q6144" s="1"/>
      <c r="R6144" s="1"/>
      <c r="S6144" s="1"/>
      <c r="T6144" s="1"/>
      <c r="U6144" s="1"/>
      <c r="V6144" s="1"/>
      <c r="W6144" s="1"/>
      <c r="X6144" s="1"/>
      <c r="Y6144" s="1"/>
      <c r="Z6144" s="1"/>
      <c r="AA6144" s="1"/>
      <c r="AB6144" s="1"/>
    </row>
    <row r="6145" ht="50.25" customHeight="1">
      <c r="A6145" s="12">
        <v>6141.0</v>
      </c>
      <c r="B6145" s="13" t="s">
        <v>6141</v>
      </c>
      <c r="C6145" s="14" t="s">
        <v>6168</v>
      </c>
      <c r="D6145" s="1"/>
      <c r="E6145" s="1"/>
      <c r="F6145" s="1" t="str">
        <f>IFERROR(__xludf.DUMMYFUNCTION("GOOGLETRANSLATE(B6145, ""en"", ""fa"")
"),"موفقیت آمازون")</f>
        <v>موفقیت آمازون</v>
      </c>
      <c r="G6145" s="1" t="str">
        <f>IFERROR(__xludf.DUMMYFUNCTION("GOOGLETRANSLATE(C6145, ""en"", ""fa"")
"),"در مورد نحوه استفاده مؤثر از نظرات و رتبه‌بندی‌های محصول برای بهبود بهینه‌سازی فهرست، اطلاعاتی را به اشتراک بگذارید.")</f>
        <v>در مورد نحوه استفاده مؤثر از نظرات و رتبه‌بندی‌های محصول برای بهبود بهینه‌سازی فهرست، اطلاعاتی را به اشتراک بگذارید.</v>
      </c>
      <c r="H6145" s="1"/>
      <c r="I6145" s="1"/>
      <c r="J6145" s="1"/>
      <c r="K6145" s="1"/>
      <c r="L6145" s="1"/>
      <c r="M6145" s="1"/>
      <c r="N6145" s="1"/>
      <c r="O6145" s="1"/>
      <c r="P6145" s="1"/>
      <c r="Q6145" s="1"/>
      <c r="R6145" s="1"/>
      <c r="S6145" s="1"/>
      <c r="T6145" s="1"/>
      <c r="U6145" s="1"/>
      <c r="V6145" s="1"/>
      <c r="W6145" s="1"/>
      <c r="X6145" s="1"/>
      <c r="Y6145" s="1"/>
      <c r="Z6145" s="1"/>
      <c r="AA6145" s="1"/>
      <c r="AB6145" s="1"/>
    </row>
    <row r="6146" ht="50.25" customHeight="1">
      <c r="A6146" s="12">
        <v>6142.0</v>
      </c>
      <c r="B6146" s="13" t="s">
        <v>6141</v>
      </c>
      <c r="C6146" s="14" t="s">
        <v>6169</v>
      </c>
      <c r="D6146" s="1"/>
      <c r="E6146" s="1"/>
      <c r="F6146" s="1" t="str">
        <f>IFERROR(__xludf.DUMMYFUNCTION("GOOGLETRANSLATE(B6146, ""en"", ""fa"")
"),"موفقیت آمازون")</f>
        <v>موفقیت آمازون</v>
      </c>
      <c r="G6146" s="1" t="str">
        <f>IFERROR(__xludf.DUMMYFUNCTION("GOOGLETRANSLATE(C6146, ""en"", ""fa"")
"),"در مورد اهمیت دسته بندی دقیق و بهینه محصول برای مشاهده بهتر جستجو بحث کنید.")</f>
        <v>در مورد اهمیت دسته بندی دقیق و بهینه محصول برای مشاهده بهتر جستجو بحث کنید.</v>
      </c>
      <c r="H6146" s="1"/>
      <c r="I6146" s="1"/>
      <c r="J6146" s="1"/>
      <c r="K6146" s="1"/>
      <c r="L6146" s="1"/>
      <c r="M6146" s="1"/>
      <c r="N6146" s="1"/>
      <c r="O6146" s="1"/>
      <c r="P6146" s="1"/>
      <c r="Q6146" s="1"/>
      <c r="R6146" s="1"/>
      <c r="S6146" s="1"/>
      <c r="T6146" s="1"/>
      <c r="U6146" s="1"/>
      <c r="V6146" s="1"/>
      <c r="W6146" s="1"/>
      <c r="X6146" s="1"/>
      <c r="Y6146" s="1"/>
      <c r="Z6146" s="1"/>
      <c r="AA6146" s="1"/>
      <c r="AB6146" s="1"/>
    </row>
    <row r="6147" ht="50.25" customHeight="1">
      <c r="A6147" s="12">
        <v>6143.0</v>
      </c>
      <c r="B6147" s="13" t="s">
        <v>6141</v>
      </c>
      <c r="C6147" s="14" t="s">
        <v>6170</v>
      </c>
      <c r="D6147" s="1"/>
      <c r="E6147" s="1"/>
      <c r="F6147" s="1" t="str">
        <f>IFERROR(__xludf.DUMMYFUNCTION("GOOGLETRANSLATE(B6147, ""en"", ""fa"")
"),"موفقیت آمازون")</f>
        <v>موفقیت آمازون</v>
      </c>
      <c r="G6147" s="1" t="str">
        <f>IFERROR(__xludf.DUMMYFUNCTION("GOOGLETRANSLATE(C6147, ""en"", ""fa"")
"),"چگونه فروشندگان می توانند لیست محصولات را برای جستجوی صوتی در دستگاه های دارای الکسای آمازون بهینه کنند؟")</f>
        <v>چگونه فروشندگان می توانند لیست محصولات را برای جستجوی صوتی در دستگاه های دارای الکسای آمازون بهینه کنند؟</v>
      </c>
      <c r="H6147" s="1"/>
      <c r="I6147" s="1"/>
      <c r="J6147" s="1"/>
      <c r="K6147" s="1"/>
      <c r="L6147" s="1"/>
      <c r="M6147" s="1"/>
      <c r="N6147" s="1"/>
      <c r="O6147" s="1"/>
      <c r="P6147" s="1"/>
      <c r="Q6147" s="1"/>
      <c r="R6147" s="1"/>
      <c r="S6147" s="1"/>
      <c r="T6147" s="1"/>
      <c r="U6147" s="1"/>
      <c r="V6147" s="1"/>
      <c r="W6147" s="1"/>
      <c r="X6147" s="1"/>
      <c r="Y6147" s="1"/>
      <c r="Z6147" s="1"/>
      <c r="AA6147" s="1"/>
      <c r="AB6147" s="1"/>
    </row>
    <row r="6148" ht="50.25" customHeight="1">
      <c r="A6148" s="12">
        <v>6144.0</v>
      </c>
      <c r="B6148" s="13" t="s">
        <v>6141</v>
      </c>
      <c r="C6148" s="14" t="s">
        <v>6171</v>
      </c>
      <c r="D6148" s="1"/>
      <c r="E6148" s="1"/>
      <c r="F6148" s="1" t="str">
        <f>IFERROR(__xludf.DUMMYFUNCTION("GOOGLETRANSLATE(B6148, ""en"", ""fa"")
"),"موفقیت آمازون")</f>
        <v>موفقیت آمازون</v>
      </c>
      <c r="G6148" s="1" t="str">
        <f>IFERROR(__xludf.DUMMYFUNCTION("GOOGLETRANSLATE(C6148, ""en"", ""fa"")
"),"نکاتی را برای ایجاد توصیفات جذاب و قانع کننده محصول که توجه مشتریان را به خود جلب می کند، به اشتراک بگذارید.")</f>
        <v>نکاتی را برای ایجاد توصیفات جذاب و قانع کننده محصول که توجه مشتریان را به خود جلب می کند، به اشتراک بگذارید.</v>
      </c>
      <c r="H6148" s="1"/>
      <c r="I6148" s="1"/>
      <c r="J6148" s="1"/>
      <c r="K6148" s="1"/>
      <c r="L6148" s="1"/>
      <c r="M6148" s="1"/>
      <c r="N6148" s="1"/>
      <c r="O6148" s="1"/>
      <c r="P6148" s="1"/>
      <c r="Q6148" s="1"/>
      <c r="R6148" s="1"/>
      <c r="S6148" s="1"/>
      <c r="T6148" s="1"/>
      <c r="U6148" s="1"/>
      <c r="V6148" s="1"/>
      <c r="W6148" s="1"/>
      <c r="X6148" s="1"/>
      <c r="Y6148" s="1"/>
      <c r="Z6148" s="1"/>
      <c r="AA6148" s="1"/>
      <c r="AB6148" s="1"/>
    </row>
    <row r="6149" ht="50.25" customHeight="1">
      <c r="A6149" s="12">
        <v>6145.0</v>
      </c>
      <c r="B6149" s="13" t="s">
        <v>6141</v>
      </c>
      <c r="C6149" s="14" t="s">
        <v>6172</v>
      </c>
      <c r="D6149" s="1"/>
      <c r="E6149" s="1"/>
      <c r="F6149" s="1" t="str">
        <f>IFERROR(__xludf.DUMMYFUNCTION("GOOGLETRANSLATE(B6149, ""en"", ""fa"")
"),"موفقیت آمازون")</f>
        <v>موفقیت آمازون</v>
      </c>
      <c r="G6149" s="1" t="str">
        <f>IFERROR(__xludf.DUMMYFUNCTION("GOOGLETRANSLATE(C6149, ""en"", ""fa"")
"),"بهترین روش ها برای بهینه سازی لیست محصولات برای فصول یا تعطیلات خاص چیست؟")</f>
        <v>بهترین روش ها برای بهینه سازی لیست محصولات برای فصول یا تعطیلات خاص چیست؟</v>
      </c>
      <c r="H6149" s="1"/>
      <c r="I6149" s="1"/>
      <c r="J6149" s="1"/>
      <c r="K6149" s="1"/>
      <c r="L6149" s="1"/>
      <c r="M6149" s="1"/>
      <c r="N6149" s="1"/>
      <c r="O6149" s="1"/>
      <c r="P6149" s="1"/>
      <c r="Q6149" s="1"/>
      <c r="R6149" s="1"/>
      <c r="S6149" s="1"/>
      <c r="T6149" s="1"/>
      <c r="U6149" s="1"/>
      <c r="V6149" s="1"/>
      <c r="W6149" s="1"/>
      <c r="X6149" s="1"/>
      <c r="Y6149" s="1"/>
      <c r="Z6149" s="1"/>
      <c r="AA6149" s="1"/>
      <c r="AB6149" s="1"/>
    </row>
    <row r="6150" ht="50.25" customHeight="1">
      <c r="A6150" s="12">
        <v>6146.0</v>
      </c>
      <c r="B6150" s="13" t="s">
        <v>6141</v>
      </c>
      <c r="C6150" s="14" t="s">
        <v>6173</v>
      </c>
      <c r="D6150" s="1"/>
      <c r="E6150" s="1"/>
      <c r="F6150" s="1" t="str">
        <f>IFERROR(__xludf.DUMMYFUNCTION("GOOGLETRANSLATE(B6150, ""en"", ""fa"")
"),"موفقیت آمازون")</f>
        <v>موفقیت آمازون</v>
      </c>
      <c r="G6150" s="1" t="str">
        <f>IFERROR(__xludf.DUMMYFUNCTION("GOOGLETRANSLATE(C6150, ""en"", ""fa"")
"),"درباره نقش ویدئوهای محصول در بهینه سازی فهرست و اینکه چگونه فروشندگان می توانند محتوای ویدئویی جذاب ایجاد کنند، بحث کنید.")</f>
        <v>درباره نقش ویدئوهای محصول در بهینه سازی فهرست و اینکه چگونه فروشندگان می توانند محتوای ویدئویی جذاب ایجاد کنند، بحث کنید.</v>
      </c>
      <c r="H6150" s="1"/>
      <c r="I6150" s="1"/>
      <c r="J6150" s="1"/>
      <c r="K6150" s="1"/>
      <c r="L6150" s="1"/>
      <c r="M6150" s="1"/>
      <c r="N6150" s="1"/>
      <c r="O6150" s="1"/>
      <c r="P6150" s="1"/>
      <c r="Q6150" s="1"/>
      <c r="R6150" s="1"/>
      <c r="S6150" s="1"/>
      <c r="T6150" s="1"/>
      <c r="U6150" s="1"/>
      <c r="V6150" s="1"/>
      <c r="W6150" s="1"/>
      <c r="X6150" s="1"/>
      <c r="Y6150" s="1"/>
      <c r="Z6150" s="1"/>
      <c r="AA6150" s="1"/>
      <c r="AB6150" s="1"/>
    </row>
    <row r="6151" ht="50.25" customHeight="1">
      <c r="A6151" s="12">
        <v>6147.0</v>
      </c>
      <c r="B6151" s="13" t="s">
        <v>6141</v>
      </c>
      <c r="C6151" s="14" t="s">
        <v>6174</v>
      </c>
      <c r="D6151" s="1"/>
      <c r="E6151" s="1"/>
      <c r="F6151" s="1" t="str">
        <f>IFERROR(__xludf.DUMMYFUNCTION("GOOGLETRANSLATE(B6151, ""en"", ""fa"")
"),"موفقیت آمازون")</f>
        <v>موفقیت آمازون</v>
      </c>
      <c r="G6151" s="1" t="str">
        <f>IFERROR(__xludf.DUMMYFUNCTION("GOOGLETRANSLATE(C6151, ""en"", ""fa"")
"),"چگونه فروشندگان می توانند لیست محصولات را برای دیده شدن بهتر در تبلیغات محصولات حمایت شده آمازون بهینه کنند؟")</f>
        <v>چگونه فروشندگان می توانند لیست محصولات را برای دیده شدن بهتر در تبلیغات محصولات حمایت شده آمازون بهینه کنند؟</v>
      </c>
      <c r="H6151" s="1"/>
      <c r="I6151" s="1"/>
      <c r="J6151" s="1"/>
      <c r="K6151" s="1"/>
      <c r="L6151" s="1"/>
      <c r="M6151" s="1"/>
      <c r="N6151" s="1"/>
      <c r="O6151" s="1"/>
      <c r="P6151" s="1"/>
      <c r="Q6151" s="1"/>
      <c r="R6151" s="1"/>
      <c r="S6151" s="1"/>
      <c r="T6151" s="1"/>
      <c r="U6151" s="1"/>
      <c r="V6151" s="1"/>
      <c r="W6151" s="1"/>
      <c r="X6151" s="1"/>
      <c r="Y6151" s="1"/>
      <c r="Z6151" s="1"/>
      <c r="AA6151" s="1"/>
      <c r="AB6151" s="1"/>
    </row>
    <row r="6152" ht="50.25" customHeight="1">
      <c r="A6152" s="12">
        <v>6148.0</v>
      </c>
      <c r="B6152" s="13" t="s">
        <v>6141</v>
      </c>
      <c r="C6152" s="14" t="s">
        <v>6175</v>
      </c>
      <c r="D6152" s="1"/>
      <c r="E6152" s="1"/>
      <c r="F6152" s="1" t="str">
        <f>IFERROR(__xludf.DUMMYFUNCTION("GOOGLETRANSLATE(B6152, ""en"", ""fa"")
"),"موفقیت آمازون")</f>
        <v>موفقیت آمازون</v>
      </c>
      <c r="G6152" s="1" t="str">
        <f>IFERROR(__xludf.DUMMYFUNCTION("GOOGLETRANSLATE(C6152, ""en"", ""fa"")
"),"اهمیت گنجاندن جزئیات و مشخصات محصول خاص را در نقاط گلوله توضیح دهید.")</f>
        <v>اهمیت گنجاندن جزئیات و مشخصات محصول خاص را در نقاط گلوله توضیح دهید.</v>
      </c>
      <c r="H6152" s="1"/>
      <c r="I6152" s="1"/>
      <c r="J6152" s="1"/>
      <c r="K6152" s="1"/>
      <c r="L6152" s="1"/>
      <c r="M6152" s="1"/>
      <c r="N6152" s="1"/>
      <c r="O6152" s="1"/>
      <c r="P6152" s="1"/>
      <c r="Q6152" s="1"/>
      <c r="R6152" s="1"/>
      <c r="S6152" s="1"/>
      <c r="T6152" s="1"/>
      <c r="U6152" s="1"/>
      <c r="V6152" s="1"/>
      <c r="W6152" s="1"/>
      <c r="X6152" s="1"/>
      <c r="Y6152" s="1"/>
      <c r="Z6152" s="1"/>
      <c r="AA6152" s="1"/>
      <c r="AB6152" s="1"/>
    </row>
    <row r="6153" ht="50.25" customHeight="1">
      <c r="A6153" s="12">
        <v>6149.0</v>
      </c>
      <c r="B6153" s="13" t="s">
        <v>6141</v>
      </c>
      <c r="C6153" s="14" t="s">
        <v>6176</v>
      </c>
      <c r="D6153" s="1"/>
      <c r="E6153" s="1"/>
      <c r="F6153" s="1" t="str">
        <f>IFERROR(__xludf.DUMMYFUNCTION("GOOGLETRANSLATE(B6153, ""en"", ""fa"")
"),"موفقیت آمازون")</f>
        <v>موفقیت آمازون</v>
      </c>
      <c r="G6153" s="1" t="str">
        <f>IFERROR(__xludf.DUMMYFUNCTION("GOOGLETRANSLATE(C6153, ""en"", ""fa"")
"),"استراتژی‌ها را برای انجام تحقیقات رقبا و استفاده از بینش‌ها برای بهینه‌سازی فهرست محصولات به اشتراک بگذارید.")</f>
        <v>استراتژی‌ها را برای انجام تحقیقات رقبا و استفاده از بینش‌ها برای بهینه‌سازی فهرست محصولات به اشتراک بگذارید.</v>
      </c>
      <c r="H6153" s="1"/>
      <c r="I6153" s="1"/>
      <c r="J6153" s="1"/>
      <c r="K6153" s="1"/>
      <c r="L6153" s="1"/>
      <c r="M6153" s="1"/>
      <c r="N6153" s="1"/>
      <c r="O6153" s="1"/>
      <c r="P6153" s="1"/>
      <c r="Q6153" s="1"/>
      <c r="R6153" s="1"/>
      <c r="S6153" s="1"/>
      <c r="T6153" s="1"/>
      <c r="U6153" s="1"/>
      <c r="V6153" s="1"/>
      <c r="W6153" s="1"/>
      <c r="X6153" s="1"/>
      <c r="Y6153" s="1"/>
      <c r="Z6153" s="1"/>
      <c r="AA6153" s="1"/>
      <c r="AB6153" s="1"/>
    </row>
    <row r="6154" ht="50.25" customHeight="1">
      <c r="A6154" s="12">
        <v>6150.0</v>
      </c>
      <c r="B6154" s="13" t="s">
        <v>6141</v>
      </c>
      <c r="C6154" s="14" t="s">
        <v>6177</v>
      </c>
      <c r="D6154" s="1"/>
      <c r="E6154" s="1"/>
      <c r="F6154" s="1" t="str">
        <f>IFERROR(__xludf.DUMMYFUNCTION("GOOGLETRANSLATE(B6154, ""en"", ""fa"")
"),"موفقیت آمازون")</f>
        <v>موفقیت آمازون</v>
      </c>
      <c r="G6154" s="1" t="str">
        <f>IFERROR(__xludf.DUMMYFUNCTION("GOOGLETRANSLATE(C6154, ""en"", ""fa"")
"),"بهترین روش‌ها برای بهینه‌سازی عبارات جستجوی باطن برای کلمات کلیدی طولانی و هدف‌گیری در جایگاه چیست؟")</f>
        <v>بهترین روش‌ها برای بهینه‌سازی عبارات جستجوی باطن برای کلمات کلیدی طولانی و هدف‌گیری در جایگاه چیست؟</v>
      </c>
      <c r="H6154" s="1"/>
      <c r="I6154" s="1"/>
      <c r="J6154" s="1"/>
      <c r="K6154" s="1"/>
      <c r="L6154" s="1"/>
      <c r="M6154" s="1"/>
      <c r="N6154" s="1"/>
      <c r="O6154" s="1"/>
      <c r="P6154" s="1"/>
      <c r="Q6154" s="1"/>
      <c r="R6154" s="1"/>
      <c r="S6154" s="1"/>
      <c r="T6154" s="1"/>
      <c r="U6154" s="1"/>
      <c r="V6154" s="1"/>
      <c r="W6154" s="1"/>
      <c r="X6154" s="1"/>
      <c r="Y6154" s="1"/>
      <c r="Z6154" s="1"/>
      <c r="AA6154" s="1"/>
      <c r="AB6154" s="1"/>
    </row>
    <row r="6155" ht="50.25" customHeight="1">
      <c r="A6155" s="12">
        <v>6151.0</v>
      </c>
      <c r="B6155" s="13" t="s">
        <v>6141</v>
      </c>
      <c r="C6155" s="14" t="s">
        <v>6178</v>
      </c>
      <c r="D6155" s="1"/>
      <c r="E6155" s="1"/>
      <c r="F6155" s="1" t="str">
        <f>IFERROR(__xludf.DUMMYFUNCTION("GOOGLETRANSLATE(B6155, ""en"", ""fa"")
"),"موفقیت آمازون")</f>
        <v>موفقیت آمازون</v>
      </c>
      <c r="G6155" s="1" t="str">
        <f>IFERROR(__xludf.DUMMYFUNCTION("GOOGLETRANSLATE(C6155, ""en"", ""fa"")
"),"در مورد نقش محتوای تولید شده توسط مشتری، مانند تصاویر و ویدئوها، در بهینه سازی فهرست بحث کنید.")</f>
        <v>در مورد نقش محتوای تولید شده توسط مشتری، مانند تصاویر و ویدئوها، در بهینه سازی فهرست بحث کنید.</v>
      </c>
      <c r="H6155" s="1"/>
      <c r="I6155" s="1"/>
      <c r="J6155" s="1"/>
      <c r="K6155" s="1"/>
      <c r="L6155" s="1"/>
      <c r="M6155" s="1"/>
      <c r="N6155" s="1"/>
      <c r="O6155" s="1"/>
      <c r="P6155" s="1"/>
      <c r="Q6155" s="1"/>
      <c r="R6155" s="1"/>
      <c r="S6155" s="1"/>
      <c r="T6155" s="1"/>
      <c r="U6155" s="1"/>
      <c r="V6155" s="1"/>
      <c r="W6155" s="1"/>
      <c r="X6155" s="1"/>
      <c r="Y6155" s="1"/>
      <c r="Z6155" s="1"/>
      <c r="AA6155" s="1"/>
      <c r="AB6155" s="1"/>
    </row>
    <row r="6156" ht="50.25" customHeight="1">
      <c r="A6156" s="12">
        <v>6152.0</v>
      </c>
      <c r="B6156" s="13" t="s">
        <v>6141</v>
      </c>
      <c r="C6156" s="14" t="s">
        <v>6179</v>
      </c>
      <c r="D6156" s="1"/>
      <c r="E6156" s="1"/>
      <c r="F6156" s="1" t="str">
        <f>IFERROR(__xludf.DUMMYFUNCTION("GOOGLETRANSLATE(B6156, ""en"", ""fa"")
"),"موفقیت آمازون")</f>
        <v>موفقیت آمازون</v>
      </c>
      <c r="G6156" s="1" t="str">
        <f>IFERROR(__xludf.DUMMYFUNCTION("GOOGLETRANSLATE(C6156, ""en"", ""fa"")
"),"چگونه فروشندگان می توانند از تکنیک های داستان سرایی برای جذب مشتریان و افزایش بهینه سازی فهرست استفاده کنند؟")</f>
        <v>چگونه فروشندگان می توانند از تکنیک های داستان سرایی برای جذب مشتریان و افزایش بهینه سازی فهرست استفاده کنند؟</v>
      </c>
      <c r="H6156" s="1"/>
      <c r="I6156" s="1"/>
      <c r="J6156" s="1"/>
      <c r="K6156" s="1"/>
      <c r="L6156" s="1"/>
      <c r="M6156" s="1"/>
      <c r="N6156" s="1"/>
      <c r="O6156" s="1"/>
      <c r="P6156" s="1"/>
      <c r="Q6156" s="1"/>
      <c r="R6156" s="1"/>
      <c r="S6156" s="1"/>
      <c r="T6156" s="1"/>
      <c r="U6156" s="1"/>
      <c r="V6156" s="1"/>
      <c r="W6156" s="1"/>
      <c r="X6156" s="1"/>
      <c r="Y6156" s="1"/>
      <c r="Z6156" s="1"/>
      <c r="AA6156" s="1"/>
      <c r="AB6156" s="1"/>
    </row>
    <row r="6157" ht="50.25" customHeight="1">
      <c r="A6157" s="12">
        <v>6153.0</v>
      </c>
      <c r="B6157" s="13" t="s">
        <v>6141</v>
      </c>
      <c r="C6157" s="14" t="s">
        <v>6180</v>
      </c>
      <c r="D6157" s="1"/>
      <c r="E6157" s="1"/>
      <c r="F6157" s="1" t="str">
        <f>IFERROR(__xludf.DUMMYFUNCTION("GOOGLETRANSLATE(B6157, ""en"", ""fa"")
"),"موفقیت آمازون")</f>
        <v>موفقیت آمازون</v>
      </c>
      <c r="G6157" s="1" t="str">
        <f>IFERROR(__xludf.DUMMYFUNCTION("GOOGLETRANSLATE(C6157, ""en"", ""fa"")
"),"نکاتی را برای استفاده از نشان ها، گواهینامه ها یا جوایز محصول برای بهبود اعتبار فهرست به اشتراک بگذارید.")</f>
        <v>نکاتی را برای استفاده از نشان ها، گواهینامه ها یا جوایز محصول برای بهبود اعتبار فهرست به اشتراک بگذارید.</v>
      </c>
      <c r="H6157" s="1"/>
      <c r="I6157" s="1"/>
      <c r="J6157" s="1"/>
      <c r="K6157" s="1"/>
      <c r="L6157" s="1"/>
      <c r="M6157" s="1"/>
      <c r="N6157" s="1"/>
      <c r="O6157" s="1"/>
      <c r="P6157" s="1"/>
      <c r="Q6157" s="1"/>
      <c r="R6157" s="1"/>
      <c r="S6157" s="1"/>
      <c r="T6157" s="1"/>
      <c r="U6157" s="1"/>
      <c r="V6157" s="1"/>
      <c r="W6157" s="1"/>
      <c r="X6157" s="1"/>
      <c r="Y6157" s="1"/>
      <c r="Z6157" s="1"/>
      <c r="AA6157" s="1"/>
      <c r="AB6157" s="1"/>
    </row>
    <row r="6158" ht="50.25" customHeight="1">
      <c r="A6158" s="12">
        <v>6154.0</v>
      </c>
      <c r="B6158" s="13" t="s">
        <v>6141</v>
      </c>
      <c r="C6158" s="14" t="s">
        <v>6181</v>
      </c>
      <c r="D6158" s="1"/>
      <c r="E6158" s="1"/>
      <c r="F6158" s="1" t="str">
        <f>IFERROR(__xludf.DUMMYFUNCTION("GOOGLETRANSLATE(B6158, ""en"", ""fa"")
"),"موفقیت آمازون")</f>
        <v>موفقیت آمازون</v>
      </c>
      <c r="G6158" s="1" t="str">
        <f>IFERROR(__xludf.DUMMYFUNCTION("GOOGLETRANSLATE(C6158, ""en"", ""fa"")
"),"اهمیت ویژگی های دقیق و بهینه محصول را در بهینه سازی فهرست توضیح دهید.")</f>
        <v>اهمیت ویژگی های دقیق و بهینه محصول را در بهینه سازی فهرست توضیح دهید.</v>
      </c>
      <c r="H6158" s="1"/>
      <c r="I6158" s="1"/>
      <c r="J6158" s="1"/>
      <c r="K6158" s="1"/>
      <c r="L6158" s="1"/>
      <c r="M6158" s="1"/>
      <c r="N6158" s="1"/>
      <c r="O6158" s="1"/>
      <c r="P6158" s="1"/>
      <c r="Q6158" s="1"/>
      <c r="R6158" s="1"/>
      <c r="S6158" s="1"/>
      <c r="T6158" s="1"/>
      <c r="U6158" s="1"/>
      <c r="V6158" s="1"/>
      <c r="W6158" s="1"/>
      <c r="X6158" s="1"/>
      <c r="Y6158" s="1"/>
      <c r="Z6158" s="1"/>
      <c r="AA6158" s="1"/>
      <c r="AB6158" s="1"/>
    </row>
    <row r="6159" ht="50.25" customHeight="1">
      <c r="A6159" s="12">
        <v>6155.0</v>
      </c>
      <c r="B6159" s="13" t="s">
        <v>6141</v>
      </c>
      <c r="C6159" s="14" t="s">
        <v>6182</v>
      </c>
      <c r="D6159" s="1"/>
      <c r="E6159" s="1"/>
      <c r="F6159" s="1" t="str">
        <f>IFERROR(__xludf.DUMMYFUNCTION("GOOGLETRANSLATE(B6159, ""en"", ""fa"")
"),"موفقیت آمازون")</f>
        <v>موفقیت آمازون</v>
      </c>
      <c r="G6159" s="1" t="str">
        <f>IFERROR(__xludf.DUMMYFUNCTION("GOOGLETRANSLATE(C6159, ""en"", ""fa"")
"),"بهترین شیوه ها برای ساختاردهی و سازماندهی توضیحات محصول برای خوانایی بهتر چیست؟")</f>
        <v>بهترین شیوه ها برای ساختاردهی و سازماندهی توضیحات محصول برای خوانایی بهتر چیست؟</v>
      </c>
      <c r="H6159" s="1"/>
      <c r="I6159" s="1"/>
      <c r="J6159" s="1"/>
      <c r="K6159" s="1"/>
      <c r="L6159" s="1"/>
      <c r="M6159" s="1"/>
      <c r="N6159" s="1"/>
      <c r="O6159" s="1"/>
      <c r="P6159" s="1"/>
      <c r="Q6159" s="1"/>
      <c r="R6159" s="1"/>
      <c r="S6159" s="1"/>
      <c r="T6159" s="1"/>
      <c r="U6159" s="1"/>
      <c r="V6159" s="1"/>
      <c r="W6159" s="1"/>
      <c r="X6159" s="1"/>
      <c r="Y6159" s="1"/>
      <c r="Z6159" s="1"/>
      <c r="AA6159" s="1"/>
      <c r="AB6159" s="1"/>
    </row>
    <row r="6160" ht="50.25" customHeight="1">
      <c r="A6160" s="12">
        <v>6156.0</v>
      </c>
      <c r="B6160" s="13" t="s">
        <v>6141</v>
      </c>
      <c r="C6160" s="14" t="s">
        <v>6183</v>
      </c>
      <c r="D6160" s="1"/>
      <c r="E6160" s="1"/>
      <c r="F6160" s="1" t="str">
        <f>IFERROR(__xludf.DUMMYFUNCTION("GOOGLETRANSLATE(B6160, ""en"", ""fa"")
"),"موفقیت آمازون")</f>
        <v>موفقیت آمازون</v>
      </c>
      <c r="G6160" s="1" t="str">
        <f>IFERROR(__xludf.DUMMYFUNCTION("GOOGLETRANSLATE(C6160, ""en"", ""fa"")
"),"در مورد نقش اثبات اجتماعی، مانند توصیفات مشتری، در بهینه سازی لیست محصولات بحث کنید.")</f>
        <v>در مورد نقش اثبات اجتماعی، مانند توصیفات مشتری، در بهینه سازی لیست محصولات بحث کنید.</v>
      </c>
      <c r="H6160" s="1"/>
      <c r="I6160" s="1"/>
      <c r="J6160" s="1"/>
      <c r="K6160" s="1"/>
      <c r="L6160" s="1"/>
      <c r="M6160" s="1"/>
      <c r="N6160" s="1"/>
      <c r="O6160" s="1"/>
      <c r="P6160" s="1"/>
      <c r="Q6160" s="1"/>
      <c r="R6160" s="1"/>
      <c r="S6160" s="1"/>
      <c r="T6160" s="1"/>
      <c r="U6160" s="1"/>
      <c r="V6160" s="1"/>
      <c r="W6160" s="1"/>
      <c r="X6160" s="1"/>
      <c r="Y6160" s="1"/>
      <c r="Z6160" s="1"/>
      <c r="AA6160" s="1"/>
      <c r="AB6160" s="1"/>
    </row>
    <row r="6161" ht="50.25" customHeight="1">
      <c r="A6161" s="12">
        <v>6157.0</v>
      </c>
      <c r="B6161" s="13" t="s">
        <v>6141</v>
      </c>
      <c r="C6161" s="14" t="s">
        <v>6184</v>
      </c>
      <c r="D6161" s="1"/>
      <c r="E6161" s="1"/>
      <c r="F6161" s="1" t="str">
        <f>IFERROR(__xludf.DUMMYFUNCTION("GOOGLETRANSLATE(B6161, ""en"", ""fa"")
"),"موفقیت آمازون")</f>
        <v>موفقیت آمازون</v>
      </c>
      <c r="G6161" s="1" t="str">
        <f>IFERROR(__xludf.DUMMYFUNCTION("GOOGLETRANSLATE(C6161, ""en"", ""fa"")
"),"چگونه فروشندگان می توانند از پرسش های متداول (پرسش های متداول) برای رفع نگرانی های مشتری و بهبود بهینه سازی فهرست استفاده کنند؟")</f>
        <v>چگونه فروشندگان می توانند از پرسش های متداول (پرسش های متداول) برای رفع نگرانی های مشتری و بهبود بهینه سازی فهرست استفاده کنند؟</v>
      </c>
      <c r="H6161" s="1"/>
      <c r="I6161" s="1"/>
      <c r="J6161" s="1"/>
      <c r="K6161" s="1"/>
      <c r="L6161" s="1"/>
      <c r="M6161" s="1"/>
      <c r="N6161" s="1"/>
      <c r="O6161" s="1"/>
      <c r="P6161" s="1"/>
      <c r="Q6161" s="1"/>
      <c r="R6161" s="1"/>
      <c r="S6161" s="1"/>
      <c r="T6161" s="1"/>
      <c r="U6161" s="1"/>
      <c r="V6161" s="1"/>
      <c r="W6161" s="1"/>
      <c r="X6161" s="1"/>
      <c r="Y6161" s="1"/>
      <c r="Z6161" s="1"/>
      <c r="AA6161" s="1"/>
      <c r="AB6161" s="1"/>
    </row>
    <row r="6162" ht="50.25" customHeight="1">
      <c r="A6162" s="12">
        <v>6158.0</v>
      </c>
      <c r="B6162" s="13" t="s">
        <v>6141</v>
      </c>
      <c r="C6162" s="14" t="s">
        <v>6185</v>
      </c>
      <c r="D6162" s="1"/>
      <c r="E6162" s="1"/>
      <c r="F6162" s="1" t="str">
        <f>IFERROR(__xludf.DUMMYFUNCTION("GOOGLETRANSLATE(B6162, ""en"", ""fa"")
"),"موفقیت آمازون")</f>
        <v>موفقیت آمازون</v>
      </c>
      <c r="G6162" s="1" t="str">
        <f>IFERROR(__xludf.DUMMYFUNCTION("GOOGLETRANSLATE(C6162, ""en"", ""fa"")
"),"در مورد نحوه بهینه سازی عبارات جستجوی باطن بدون نقض سیاست های پر کردن کلمات کلیدی آمازون، بینش هایی را به اشتراک بگذارید.")</f>
        <v>در مورد نحوه بهینه سازی عبارات جستجوی باطن بدون نقض سیاست های پر کردن کلمات کلیدی آمازون، بینش هایی را به اشتراک بگذارید.</v>
      </c>
      <c r="H6162" s="1"/>
      <c r="I6162" s="1"/>
      <c r="J6162" s="1"/>
      <c r="K6162" s="1"/>
      <c r="L6162" s="1"/>
      <c r="M6162" s="1"/>
      <c r="N6162" s="1"/>
      <c r="O6162" s="1"/>
      <c r="P6162" s="1"/>
      <c r="Q6162" s="1"/>
      <c r="R6162" s="1"/>
      <c r="S6162" s="1"/>
      <c r="T6162" s="1"/>
      <c r="U6162" s="1"/>
      <c r="V6162" s="1"/>
      <c r="W6162" s="1"/>
      <c r="X6162" s="1"/>
      <c r="Y6162" s="1"/>
      <c r="Z6162" s="1"/>
      <c r="AA6162" s="1"/>
      <c r="AB6162" s="1"/>
    </row>
    <row r="6163" ht="50.25" customHeight="1">
      <c r="A6163" s="12">
        <v>6159.0</v>
      </c>
      <c r="B6163" s="13" t="s">
        <v>6141</v>
      </c>
      <c r="C6163" s="14" t="s">
        <v>6186</v>
      </c>
      <c r="D6163" s="1"/>
      <c r="E6163" s="1"/>
      <c r="F6163" s="1" t="str">
        <f>IFERROR(__xludf.DUMMYFUNCTION("GOOGLETRANSLATE(B6163, ""en"", ""fa"")
"),"موفقیت آمازون")</f>
        <v>موفقیت آمازون</v>
      </c>
      <c r="G6163" s="1" t="str">
        <f>IFERROR(__xludf.DUMMYFUNCTION("GOOGLETRANSLATE(C6163, ""en"", ""fa"")
"),"اهمیت بهینه سازی لیست محصولات برای الگوریتم جعبه خرید آمازون و برنده شدن در جعبه خرید را توضیح دهید.")</f>
        <v>اهمیت بهینه سازی لیست محصولات برای الگوریتم جعبه خرید آمازون و برنده شدن در جعبه خرید را توضیح دهید.</v>
      </c>
      <c r="H6163" s="1"/>
      <c r="I6163" s="1"/>
      <c r="J6163" s="1"/>
      <c r="K6163" s="1"/>
      <c r="L6163" s="1"/>
      <c r="M6163" s="1"/>
      <c r="N6163" s="1"/>
      <c r="O6163" s="1"/>
      <c r="P6163" s="1"/>
      <c r="Q6163" s="1"/>
      <c r="R6163" s="1"/>
      <c r="S6163" s="1"/>
      <c r="T6163" s="1"/>
      <c r="U6163" s="1"/>
      <c r="V6163" s="1"/>
      <c r="W6163" s="1"/>
      <c r="X6163" s="1"/>
      <c r="Y6163" s="1"/>
      <c r="Z6163" s="1"/>
      <c r="AA6163" s="1"/>
      <c r="AB6163" s="1"/>
    </row>
    <row r="6164" ht="50.25" customHeight="1">
      <c r="A6164" s="12">
        <v>6160.0</v>
      </c>
      <c r="B6164" s="13" t="s">
        <v>6141</v>
      </c>
      <c r="C6164" s="14" t="s">
        <v>6187</v>
      </c>
      <c r="D6164" s="1"/>
      <c r="E6164" s="1"/>
      <c r="F6164" s="1" t="str">
        <f>IFERROR(__xludf.DUMMYFUNCTION("GOOGLETRANSLATE(B6164, ""en"", ""fa"")
"),"موفقیت آمازون")</f>
        <v>موفقیت آمازون</v>
      </c>
      <c r="G6164" s="1" t="str">
        <f>IFERROR(__xludf.DUMMYFUNCTION("GOOGLETRANSLATE(C6164, ""en"", ""fa"")
"),"در مورد نقش بازخورد مثبت فروشنده و رتبه بندی در بهینه سازی لیست محصولات بحث کنید.")</f>
        <v>در مورد نقش بازخورد مثبت فروشنده و رتبه بندی در بهینه سازی لیست محصولات بحث کنید.</v>
      </c>
      <c r="H6164" s="1"/>
      <c r="I6164" s="1"/>
      <c r="J6164" s="1"/>
      <c r="K6164" s="1"/>
      <c r="L6164" s="1"/>
      <c r="M6164" s="1"/>
      <c r="N6164" s="1"/>
      <c r="O6164" s="1"/>
      <c r="P6164" s="1"/>
      <c r="Q6164" s="1"/>
      <c r="R6164" s="1"/>
      <c r="S6164" s="1"/>
      <c r="T6164" s="1"/>
      <c r="U6164" s="1"/>
      <c r="V6164" s="1"/>
      <c r="W6164" s="1"/>
      <c r="X6164" s="1"/>
      <c r="Y6164" s="1"/>
      <c r="Z6164" s="1"/>
      <c r="AA6164" s="1"/>
      <c r="AB6164" s="1"/>
    </row>
    <row r="6165" ht="50.25" customHeight="1">
      <c r="A6165" s="12">
        <v>6161.0</v>
      </c>
      <c r="B6165" s="13" t="s">
        <v>6141</v>
      </c>
      <c r="C6165" s="14" t="s">
        <v>6188</v>
      </c>
      <c r="D6165" s="1"/>
      <c r="E6165" s="1"/>
      <c r="F6165" s="1" t="str">
        <f>IFERROR(__xludf.DUMMYFUNCTION("GOOGLETRANSLATE(B6165, ""en"", ""fa"")
"),"موفقیت آمازون")</f>
        <v>موفقیت آمازون</v>
      </c>
      <c r="G6165" s="1" t="str">
        <f>IFERROR(__xludf.DUMMYFUNCTION("GOOGLETRANSLATE(C6165, ""en"", ""fa"")
"),"فروشندگان چگونه می‌توانند از محرک‌های احساسی و زبان متقاعدکننده در بهینه‌سازی فهرست‌بندی برای ایجاد تبدیل استفاده کنند؟")</f>
        <v>فروشندگان چگونه می‌توانند از محرک‌های احساسی و زبان متقاعدکننده در بهینه‌سازی فهرست‌بندی برای ایجاد تبدیل استفاده کنند؟</v>
      </c>
      <c r="H6165" s="1"/>
      <c r="I6165" s="1"/>
      <c r="J6165" s="1"/>
      <c r="K6165" s="1"/>
      <c r="L6165" s="1"/>
      <c r="M6165" s="1"/>
      <c r="N6165" s="1"/>
      <c r="O6165" s="1"/>
      <c r="P6165" s="1"/>
      <c r="Q6165" s="1"/>
      <c r="R6165" s="1"/>
      <c r="S6165" s="1"/>
      <c r="T6165" s="1"/>
      <c r="U6165" s="1"/>
      <c r="V6165" s="1"/>
      <c r="W6165" s="1"/>
      <c r="X6165" s="1"/>
      <c r="Y6165" s="1"/>
      <c r="Z6165" s="1"/>
      <c r="AA6165" s="1"/>
      <c r="AB6165" s="1"/>
    </row>
    <row r="6166" ht="50.25" customHeight="1">
      <c r="A6166" s="12">
        <v>6162.0</v>
      </c>
      <c r="B6166" s="13" t="s">
        <v>6141</v>
      </c>
      <c r="C6166" s="14" t="s">
        <v>6189</v>
      </c>
      <c r="D6166" s="1"/>
      <c r="E6166" s="1"/>
      <c r="F6166" s="1" t="str">
        <f>IFERROR(__xludf.DUMMYFUNCTION("GOOGLETRANSLATE(B6166, ""en"", ""fa"")
"),"موفقیت آمازون")</f>
        <v>موفقیت آمازون</v>
      </c>
      <c r="G6166" s="1" t="str">
        <f>IFERROR(__xludf.DUMMYFUNCTION("GOOGLETRANSLATE(C6166, ""en"", ""fa"")
"),"نکاتی را برای انجام تست A/B برای بهینه سازی عناصر مختلف فهرست محصولات به اشتراک بگذارید.")</f>
        <v>نکاتی را برای انجام تست A/B برای بهینه سازی عناصر مختلف فهرست محصولات به اشتراک بگذارید.</v>
      </c>
      <c r="H6166" s="1"/>
      <c r="I6166" s="1"/>
      <c r="J6166" s="1"/>
      <c r="K6166" s="1"/>
      <c r="L6166" s="1"/>
      <c r="M6166" s="1"/>
      <c r="N6166" s="1"/>
      <c r="O6166" s="1"/>
      <c r="P6166" s="1"/>
      <c r="Q6166" s="1"/>
      <c r="R6166" s="1"/>
      <c r="S6166" s="1"/>
      <c r="T6166" s="1"/>
      <c r="U6166" s="1"/>
      <c r="V6166" s="1"/>
      <c r="W6166" s="1"/>
      <c r="X6166" s="1"/>
      <c r="Y6166" s="1"/>
      <c r="Z6166" s="1"/>
      <c r="AA6166" s="1"/>
      <c r="AB6166" s="1"/>
    </row>
    <row r="6167" ht="50.25" customHeight="1">
      <c r="A6167" s="12">
        <v>6163.0</v>
      </c>
      <c r="B6167" s="13" t="s">
        <v>6141</v>
      </c>
      <c r="C6167" s="14" t="s">
        <v>6190</v>
      </c>
      <c r="D6167" s="1"/>
      <c r="E6167" s="1"/>
      <c r="F6167" s="1" t="str">
        <f>IFERROR(__xludf.DUMMYFUNCTION("GOOGLETRANSLATE(B6167, ""en"", ""fa"")
"),"موفقیت آمازون")</f>
        <v>موفقیت آمازون</v>
      </c>
      <c r="G6167" s="1" t="str">
        <f>IFERROR(__xludf.DUMMYFUNCTION("GOOGLETRANSLATE(C6167, ""en"", ""fa"")
"),"بهترین روش ها برای بهینه سازی محتوای لیست برای اندازه ها و وضوح های مختلف صفحه نمایش چیست؟")</f>
        <v>بهترین روش ها برای بهینه سازی محتوای لیست برای اندازه ها و وضوح های مختلف صفحه نمایش چیست؟</v>
      </c>
      <c r="H6167" s="1"/>
      <c r="I6167" s="1"/>
      <c r="J6167" s="1"/>
      <c r="K6167" s="1"/>
      <c r="L6167" s="1"/>
      <c r="M6167" s="1"/>
      <c r="N6167" s="1"/>
      <c r="O6167" s="1"/>
      <c r="P6167" s="1"/>
      <c r="Q6167" s="1"/>
      <c r="R6167" s="1"/>
      <c r="S6167" s="1"/>
      <c r="T6167" s="1"/>
      <c r="U6167" s="1"/>
      <c r="V6167" s="1"/>
      <c r="W6167" s="1"/>
      <c r="X6167" s="1"/>
      <c r="Y6167" s="1"/>
      <c r="Z6167" s="1"/>
      <c r="AA6167" s="1"/>
      <c r="AB6167" s="1"/>
    </row>
    <row r="6168" ht="50.25" customHeight="1">
      <c r="A6168" s="12">
        <v>6164.0</v>
      </c>
      <c r="B6168" s="13" t="s">
        <v>6141</v>
      </c>
      <c r="C6168" s="14" t="s">
        <v>6191</v>
      </c>
      <c r="D6168" s="1"/>
      <c r="E6168" s="1"/>
      <c r="F6168" s="1" t="str">
        <f>IFERROR(__xludf.DUMMYFUNCTION("GOOGLETRANSLATE(B6168, ""en"", ""fa"")
"),"موفقیت آمازون")</f>
        <v>موفقیت آمازون</v>
      </c>
      <c r="G6168" s="1" t="str">
        <f>IFERROR(__xludf.DUMMYFUNCTION("GOOGLETRANSLATE(C6168, ""en"", ""fa"")
"),"اهمیت همسویی استراتژی های بهینه سازی فهرست را با شرایط خدمات و دستورالعمل های آمازون توضیح دهید.")</f>
        <v>اهمیت همسویی استراتژی های بهینه سازی فهرست را با شرایط خدمات و دستورالعمل های آمازون توضیح دهید.</v>
      </c>
      <c r="H6168" s="1"/>
      <c r="I6168" s="1"/>
      <c r="J6168" s="1"/>
      <c r="K6168" s="1"/>
      <c r="L6168" s="1"/>
      <c r="M6168" s="1"/>
      <c r="N6168" s="1"/>
      <c r="O6168" s="1"/>
      <c r="P6168" s="1"/>
      <c r="Q6168" s="1"/>
      <c r="R6168" s="1"/>
      <c r="S6168" s="1"/>
      <c r="T6168" s="1"/>
      <c r="U6168" s="1"/>
      <c r="V6168" s="1"/>
      <c r="W6168" s="1"/>
      <c r="X6168" s="1"/>
      <c r="Y6168" s="1"/>
      <c r="Z6168" s="1"/>
      <c r="AA6168" s="1"/>
      <c r="AB6168" s="1"/>
    </row>
    <row r="6169" ht="50.25" customHeight="1">
      <c r="A6169" s="12">
        <v>6165.0</v>
      </c>
      <c r="B6169" s="13" t="s">
        <v>6141</v>
      </c>
      <c r="C6169" s="14" t="s">
        <v>6192</v>
      </c>
      <c r="D6169" s="1"/>
      <c r="E6169" s="1"/>
      <c r="F6169" s="1" t="str">
        <f>IFERROR(__xludf.DUMMYFUNCTION("GOOGLETRANSLATE(B6169, ""en"", ""fa"")
"),"موفقیت آمازون")</f>
        <v>موفقیت آمازون</v>
      </c>
      <c r="G6169" s="1" t="str">
        <f>IFERROR(__xludf.DUMMYFUNCTION("GOOGLETRANSLATE(C6169, ""en"", ""fa"")
"),"چگونه فروشندگان می توانند به طور موثر از تبلیغات متقابل یا تکنیک های فروش بالا در بهینه سازی فهرست استفاده کنند؟")</f>
        <v>چگونه فروشندگان می توانند به طور موثر از تبلیغات متقابل یا تکنیک های فروش بالا در بهینه سازی فهرست استفاده کنند؟</v>
      </c>
      <c r="H6169" s="1"/>
      <c r="I6169" s="1"/>
      <c r="J6169" s="1"/>
      <c r="K6169" s="1"/>
      <c r="L6169" s="1"/>
      <c r="M6169" s="1"/>
      <c r="N6169" s="1"/>
      <c r="O6169" s="1"/>
      <c r="P6169" s="1"/>
      <c r="Q6169" s="1"/>
      <c r="R6169" s="1"/>
      <c r="S6169" s="1"/>
      <c r="T6169" s="1"/>
      <c r="U6169" s="1"/>
      <c r="V6169" s="1"/>
      <c r="W6169" s="1"/>
      <c r="X6169" s="1"/>
      <c r="Y6169" s="1"/>
      <c r="Z6169" s="1"/>
      <c r="AA6169" s="1"/>
      <c r="AB6169" s="1"/>
    </row>
    <row r="6170" ht="50.25" customHeight="1">
      <c r="A6170" s="12">
        <v>6166.0</v>
      </c>
      <c r="B6170" s="13" t="s">
        <v>6141</v>
      </c>
      <c r="C6170" s="14" t="s">
        <v>6193</v>
      </c>
      <c r="D6170" s="1"/>
      <c r="E6170" s="1"/>
      <c r="F6170" s="1" t="str">
        <f>IFERROR(__xludf.DUMMYFUNCTION("GOOGLETRANSLATE(B6170, ""en"", ""fa"")
"),"موفقیت آمازون")</f>
        <v>موفقیت آمازون</v>
      </c>
      <c r="G6170" s="1" t="str">
        <f>IFERROR(__xludf.DUMMYFUNCTION("GOOGLETRANSLATE(C6170, ""en"", ""fa"")
"),"درباره نقش بسته‌بندی محصول یا پیشنهادات چند بسته در بهینه‌سازی فهرست‌های آمازون بحث کنید.")</f>
        <v>درباره نقش بسته‌بندی محصول یا پیشنهادات چند بسته در بهینه‌سازی فهرست‌های آمازون بحث کنید.</v>
      </c>
      <c r="H6170" s="1"/>
      <c r="I6170" s="1"/>
      <c r="J6170" s="1"/>
      <c r="K6170" s="1"/>
      <c r="L6170" s="1"/>
      <c r="M6170" s="1"/>
      <c r="N6170" s="1"/>
      <c r="O6170" s="1"/>
      <c r="P6170" s="1"/>
      <c r="Q6170" s="1"/>
      <c r="R6170" s="1"/>
      <c r="S6170" s="1"/>
      <c r="T6170" s="1"/>
      <c r="U6170" s="1"/>
      <c r="V6170" s="1"/>
      <c r="W6170" s="1"/>
      <c r="X6170" s="1"/>
      <c r="Y6170" s="1"/>
      <c r="Z6170" s="1"/>
      <c r="AA6170" s="1"/>
      <c r="AB6170" s="1"/>
    </row>
    <row r="6171" ht="50.25" customHeight="1">
      <c r="A6171" s="12">
        <v>6167.0</v>
      </c>
      <c r="B6171" s="13" t="s">
        <v>6141</v>
      </c>
      <c r="C6171" s="14" t="s">
        <v>6194</v>
      </c>
      <c r="D6171" s="1"/>
      <c r="E6171" s="1"/>
      <c r="F6171" s="1" t="str">
        <f>IFERROR(__xludf.DUMMYFUNCTION("GOOGLETRANSLATE(B6171, ""en"", ""fa"")
"),"موفقیت آمازون")</f>
        <v>موفقیت آمازون</v>
      </c>
      <c r="G6171" s="1" t="str">
        <f>IFERROR(__xludf.DUMMYFUNCTION("GOOGLETRANSLATE(C6171, ""en"", ""fa"")
"),"در مورد نحوه بهینه سازی لیست محصولات برای واجد شرایط بودن Amazon Prime و افزایش دید، بینش هایی را به اشتراک بگذارید.")</f>
        <v>در مورد نحوه بهینه سازی لیست محصولات برای واجد شرایط بودن Amazon Prime و افزایش دید، بینش هایی را به اشتراک بگذارید.</v>
      </c>
      <c r="H6171" s="1"/>
      <c r="I6171" s="1"/>
      <c r="J6171" s="1"/>
      <c r="K6171" s="1"/>
      <c r="L6171" s="1"/>
      <c r="M6171" s="1"/>
      <c r="N6171" s="1"/>
      <c r="O6171" s="1"/>
      <c r="P6171" s="1"/>
      <c r="Q6171" s="1"/>
      <c r="R6171" s="1"/>
      <c r="S6171" s="1"/>
      <c r="T6171" s="1"/>
      <c r="U6171" s="1"/>
      <c r="V6171" s="1"/>
      <c r="W6171" s="1"/>
      <c r="X6171" s="1"/>
      <c r="Y6171" s="1"/>
      <c r="Z6171" s="1"/>
      <c r="AA6171" s="1"/>
      <c r="AB6171" s="1"/>
    </row>
    <row r="6172" ht="50.25" customHeight="1">
      <c r="A6172" s="12">
        <v>6168.0</v>
      </c>
      <c r="B6172" s="13" t="s">
        <v>6141</v>
      </c>
      <c r="C6172" s="14" t="s">
        <v>6195</v>
      </c>
      <c r="D6172" s="1"/>
      <c r="E6172" s="1"/>
      <c r="F6172" s="1" t="str">
        <f>IFERROR(__xludf.DUMMYFUNCTION("GOOGLETRANSLATE(B6172, ""en"", ""fa"")
"),"موفقیت آمازون")</f>
        <v>موفقیت آمازون</v>
      </c>
      <c r="G6172" s="1" t="str">
        <f>IFERROR(__xludf.DUMMYFUNCTION("GOOGLETRANSLATE(C6172, ""en"", ""fa"")
"),"بهترین روش ها برای ترکیب عبارات جستجوی مرتبط در زمینه موضوع محصول چیست؟")</f>
        <v>بهترین روش ها برای ترکیب عبارات جستجوی مرتبط در زمینه موضوع محصول چیست؟</v>
      </c>
      <c r="H6172" s="1"/>
      <c r="I6172" s="1"/>
      <c r="J6172" s="1"/>
      <c r="K6172" s="1"/>
      <c r="L6172" s="1"/>
      <c r="M6172" s="1"/>
      <c r="N6172" s="1"/>
      <c r="O6172" s="1"/>
      <c r="P6172" s="1"/>
      <c r="Q6172" s="1"/>
      <c r="R6172" s="1"/>
      <c r="S6172" s="1"/>
      <c r="T6172" s="1"/>
      <c r="U6172" s="1"/>
      <c r="V6172" s="1"/>
      <c r="W6172" s="1"/>
      <c r="X6172" s="1"/>
      <c r="Y6172" s="1"/>
      <c r="Z6172" s="1"/>
      <c r="AA6172" s="1"/>
      <c r="AB6172" s="1"/>
    </row>
    <row r="6173" ht="50.25" customHeight="1">
      <c r="A6173" s="12">
        <v>6169.0</v>
      </c>
      <c r="B6173" s="13" t="s">
        <v>6141</v>
      </c>
      <c r="C6173" s="14" t="s">
        <v>6196</v>
      </c>
      <c r="D6173" s="1"/>
      <c r="E6173" s="1"/>
      <c r="F6173" s="1" t="str">
        <f>IFERROR(__xludf.DUMMYFUNCTION("GOOGLETRANSLATE(B6173, ""en"", ""fa"")
"),"موفقیت آمازون")</f>
        <v>موفقیت آمازون</v>
      </c>
      <c r="G6173" s="1" t="str">
        <f>IFERROR(__xludf.DUMMYFUNCTION("GOOGLETRANSLATE(C6173, ""en"", ""fa"")
"),"اهمیت نمایش ویژگی ها یا نوآوری های منحصر به فرد محصول در بهینه سازی فهرست را توضیح دهید.")</f>
        <v>اهمیت نمایش ویژگی ها یا نوآوری های منحصر به فرد محصول در بهینه سازی فهرست را توضیح دهید.</v>
      </c>
      <c r="H6173" s="1"/>
      <c r="I6173" s="1"/>
      <c r="J6173" s="1"/>
      <c r="K6173" s="1"/>
      <c r="L6173" s="1"/>
      <c r="M6173" s="1"/>
      <c r="N6173" s="1"/>
      <c r="O6173" s="1"/>
      <c r="P6173" s="1"/>
      <c r="Q6173" s="1"/>
      <c r="R6173" s="1"/>
      <c r="S6173" s="1"/>
      <c r="T6173" s="1"/>
      <c r="U6173" s="1"/>
      <c r="V6173" s="1"/>
      <c r="W6173" s="1"/>
      <c r="X6173" s="1"/>
      <c r="Y6173" s="1"/>
      <c r="Z6173" s="1"/>
      <c r="AA6173" s="1"/>
      <c r="AB6173" s="1"/>
    </row>
    <row r="6174" ht="50.25" customHeight="1">
      <c r="A6174" s="12">
        <v>6170.0</v>
      </c>
      <c r="B6174" s="13" t="s">
        <v>6141</v>
      </c>
      <c r="C6174" s="14" t="s">
        <v>6197</v>
      </c>
      <c r="D6174" s="1"/>
      <c r="E6174" s="1"/>
      <c r="F6174" s="1" t="str">
        <f>IFERROR(__xludf.DUMMYFUNCTION("GOOGLETRANSLATE(B6174, ""en"", ""fa"")
"),"موفقیت آمازون")</f>
        <v>موفقیت آمازون</v>
      </c>
      <c r="G6174" s="1" t="str">
        <f>IFERROR(__xludf.DUMMYFUNCTION("GOOGLETRANSLATE(C6174, ""en"", ""fa"")
"),"چگونه فروشندگان می‌توانند فهرست‌های خود را برای دید بهتر در بخش «مشتریانی که این را خریده‌اند» آمازون بهینه کنند؟")</f>
        <v>چگونه فروشندگان می‌توانند فهرست‌های خود را برای دید بهتر در بخش «مشتریانی که این را خریده‌اند» آمازون بهینه کنند؟</v>
      </c>
      <c r="H6174" s="1"/>
      <c r="I6174" s="1"/>
      <c r="J6174" s="1"/>
      <c r="K6174" s="1"/>
      <c r="L6174" s="1"/>
      <c r="M6174" s="1"/>
      <c r="N6174" s="1"/>
      <c r="O6174" s="1"/>
      <c r="P6174" s="1"/>
      <c r="Q6174" s="1"/>
      <c r="R6174" s="1"/>
      <c r="S6174" s="1"/>
      <c r="T6174" s="1"/>
      <c r="U6174" s="1"/>
      <c r="V6174" s="1"/>
      <c r="W6174" s="1"/>
      <c r="X6174" s="1"/>
      <c r="Y6174" s="1"/>
      <c r="Z6174" s="1"/>
      <c r="AA6174" s="1"/>
      <c r="AB6174" s="1"/>
    </row>
    <row r="6175" ht="50.25" customHeight="1">
      <c r="A6175" s="12">
        <v>6171.0</v>
      </c>
      <c r="B6175" s="13" t="s">
        <v>6141</v>
      </c>
      <c r="C6175" s="14" t="s">
        <v>6198</v>
      </c>
      <c r="D6175" s="1"/>
      <c r="E6175" s="1"/>
      <c r="F6175" s="1" t="str">
        <f>IFERROR(__xludf.DUMMYFUNCTION("GOOGLETRANSLATE(B6175, ""en"", ""fa"")
"),"موفقیت آمازون")</f>
        <v>موفقیت آمازون</v>
      </c>
      <c r="G6175" s="1" t="str">
        <f>IFERROR(__xludf.DUMMYFUNCTION("GOOGLETRANSLATE(C6175, ""en"", ""fa"")
"),"در مورد اهمیت بهینه سازی لیست محصولات برای مراحل مختلف سفر مشتری (آگاهی، توجه، تصمیم) بحث کنید.")</f>
        <v>در مورد اهمیت بهینه سازی لیست محصولات برای مراحل مختلف سفر مشتری (آگاهی، توجه، تصمیم) بحث کنید.</v>
      </c>
      <c r="H6175" s="1"/>
      <c r="I6175" s="1"/>
      <c r="J6175" s="1"/>
      <c r="K6175" s="1"/>
      <c r="L6175" s="1"/>
      <c r="M6175" s="1"/>
      <c r="N6175" s="1"/>
      <c r="O6175" s="1"/>
      <c r="P6175" s="1"/>
      <c r="Q6175" s="1"/>
      <c r="R6175" s="1"/>
      <c r="S6175" s="1"/>
      <c r="T6175" s="1"/>
      <c r="U6175" s="1"/>
      <c r="V6175" s="1"/>
      <c r="W6175" s="1"/>
      <c r="X6175" s="1"/>
      <c r="Y6175" s="1"/>
      <c r="Z6175" s="1"/>
      <c r="AA6175" s="1"/>
      <c r="AB6175" s="1"/>
    </row>
    <row r="6176" ht="50.25" customHeight="1">
      <c r="A6176" s="12">
        <v>6172.0</v>
      </c>
      <c r="B6176" s="13" t="s">
        <v>6141</v>
      </c>
      <c r="C6176" s="14" t="s">
        <v>6199</v>
      </c>
      <c r="D6176" s="1"/>
      <c r="E6176" s="1"/>
      <c r="F6176" s="1" t="str">
        <f>IFERROR(__xludf.DUMMYFUNCTION("GOOGLETRANSLATE(B6176, ""en"", ""fa"")
"),"موفقیت آمازون")</f>
        <v>موفقیت آمازون</v>
      </c>
      <c r="G6176" s="1" t="str">
        <f>IFERROR(__xludf.DUMMYFUNCTION("GOOGLETRANSLATE(C6176, ""en"", ""fa"")
"),"برای بهبود بهینه‌سازی فهرست، نکاتی را برای ایجاد فراداده محصول قانع‌کننده و غنی از کلمات کلیدی به اشتراک بگذارید.")</f>
        <v>برای بهبود بهینه‌سازی فهرست، نکاتی را برای ایجاد فراداده محصول قانع‌کننده و غنی از کلمات کلیدی به اشتراک بگذارید.</v>
      </c>
      <c r="H6176" s="1"/>
      <c r="I6176" s="1"/>
      <c r="J6176" s="1"/>
      <c r="K6176" s="1"/>
      <c r="L6176" s="1"/>
      <c r="M6176" s="1"/>
      <c r="N6176" s="1"/>
      <c r="O6176" s="1"/>
      <c r="P6176" s="1"/>
      <c r="Q6176" s="1"/>
      <c r="R6176" s="1"/>
      <c r="S6176" s="1"/>
      <c r="T6176" s="1"/>
      <c r="U6176" s="1"/>
      <c r="V6176" s="1"/>
      <c r="W6176" s="1"/>
      <c r="X6176" s="1"/>
      <c r="Y6176" s="1"/>
      <c r="Z6176" s="1"/>
      <c r="AA6176" s="1"/>
      <c r="AB6176" s="1"/>
    </row>
    <row r="6177" ht="50.25" customHeight="1">
      <c r="A6177" s="12">
        <v>6173.0</v>
      </c>
      <c r="B6177" s="13" t="s">
        <v>6141</v>
      </c>
      <c r="C6177" s="14" t="s">
        <v>6200</v>
      </c>
      <c r="D6177" s="1"/>
      <c r="E6177" s="1"/>
      <c r="F6177" s="1" t="str">
        <f>IFERROR(__xludf.DUMMYFUNCTION("GOOGLETRANSLATE(B6177, ""en"", ""fa"")
"),"موفقیت آمازون")</f>
        <v>موفقیت آمازون</v>
      </c>
      <c r="G6177" s="1" t="str">
        <f>IFERROR(__xludf.DUMMYFUNCTION("GOOGLETRANSLATE(C6177, ""en"", ""fa"")
"),"بهترین روش ها برای بهینه سازی لیست محصولات برای نرخ تبدیل بهتر در دستگاه های تلفن همراه چیست؟")</f>
        <v>بهترین روش ها برای بهینه سازی لیست محصولات برای نرخ تبدیل بهتر در دستگاه های تلفن همراه چیست؟</v>
      </c>
      <c r="H6177" s="1"/>
      <c r="I6177" s="1"/>
      <c r="J6177" s="1"/>
      <c r="K6177" s="1"/>
      <c r="L6177" s="1"/>
      <c r="M6177" s="1"/>
      <c r="N6177" s="1"/>
      <c r="O6177" s="1"/>
      <c r="P6177" s="1"/>
      <c r="Q6177" s="1"/>
      <c r="R6177" s="1"/>
      <c r="S6177" s="1"/>
      <c r="T6177" s="1"/>
      <c r="U6177" s="1"/>
      <c r="V6177" s="1"/>
      <c r="W6177" s="1"/>
      <c r="X6177" s="1"/>
      <c r="Y6177" s="1"/>
      <c r="Z6177" s="1"/>
      <c r="AA6177" s="1"/>
      <c r="AB6177" s="1"/>
    </row>
    <row r="6178" ht="50.25" customHeight="1">
      <c r="A6178" s="12">
        <v>6174.0</v>
      </c>
      <c r="B6178" s="13" t="s">
        <v>6141</v>
      </c>
      <c r="C6178" s="14" t="s">
        <v>6201</v>
      </c>
      <c r="D6178" s="1"/>
      <c r="E6178" s="1"/>
      <c r="F6178" s="1" t="str">
        <f>IFERROR(__xludf.DUMMYFUNCTION("GOOGLETRANSLATE(B6178, ""en"", ""fa"")
"),"موفقیت آمازون")</f>
        <v>موفقیت آمازون</v>
      </c>
      <c r="G6178" s="1" t="str">
        <f>IFERROR(__xludf.DUMMYFUNCTION("GOOGLETRANSLATE(C6178, ""en"", ""fa"")
"),"اهمیت استفاده از نظرات یا نظرات مثبت مشتری را در توضیحات محصول توضیح دهید.")</f>
        <v>اهمیت استفاده از نظرات یا نظرات مثبت مشتری را در توضیحات محصول توضیح دهید.</v>
      </c>
      <c r="H6178" s="1"/>
      <c r="I6178" s="1"/>
      <c r="J6178" s="1"/>
      <c r="K6178" s="1"/>
      <c r="L6178" s="1"/>
      <c r="M6178" s="1"/>
      <c r="N6178" s="1"/>
      <c r="O6178" s="1"/>
      <c r="P6178" s="1"/>
      <c r="Q6178" s="1"/>
      <c r="R6178" s="1"/>
      <c r="S6178" s="1"/>
      <c r="T6178" s="1"/>
      <c r="U6178" s="1"/>
      <c r="V6178" s="1"/>
      <c r="W6178" s="1"/>
      <c r="X6178" s="1"/>
      <c r="Y6178" s="1"/>
      <c r="Z6178" s="1"/>
      <c r="AA6178" s="1"/>
      <c r="AB6178" s="1"/>
    </row>
    <row r="6179" ht="50.25" customHeight="1">
      <c r="A6179" s="12">
        <v>6175.0</v>
      </c>
      <c r="B6179" s="13" t="s">
        <v>6141</v>
      </c>
      <c r="C6179" s="14" t="s">
        <v>6202</v>
      </c>
      <c r="D6179" s="1"/>
      <c r="E6179" s="1"/>
      <c r="F6179" s="1" t="str">
        <f>IFERROR(__xludf.DUMMYFUNCTION("GOOGLETRANSLATE(B6179, ""en"", ""fa"")
"),"موفقیت آمازون")</f>
        <v>موفقیت آمازون</v>
      </c>
      <c r="G6179" s="1" t="str">
        <f>IFERROR(__xludf.DUMMYFUNCTION("GOOGLETRANSLATE(C6179, ""en"", ""fa"")
"),"چگونه فروشندگان می‌توانند فهرست‌های خود را برای دید بهتر در بخش «مشتریانی که این را مشاهده کرده‌اند نیز مشاهده کرده‌اند» آمازون بهینه کنند؟")</f>
        <v>چگونه فروشندگان می‌توانند فهرست‌های خود را برای دید بهتر در بخش «مشتریانی که این را مشاهده کرده‌اند نیز مشاهده کرده‌اند» آمازون بهینه کنند؟</v>
      </c>
      <c r="H6179" s="1"/>
      <c r="I6179" s="1"/>
      <c r="J6179" s="1"/>
      <c r="K6179" s="1"/>
      <c r="L6179" s="1"/>
      <c r="M6179" s="1"/>
      <c r="N6179" s="1"/>
      <c r="O6179" s="1"/>
      <c r="P6179" s="1"/>
      <c r="Q6179" s="1"/>
      <c r="R6179" s="1"/>
      <c r="S6179" s="1"/>
      <c r="T6179" s="1"/>
      <c r="U6179" s="1"/>
      <c r="V6179" s="1"/>
      <c r="W6179" s="1"/>
      <c r="X6179" s="1"/>
      <c r="Y6179" s="1"/>
      <c r="Z6179" s="1"/>
      <c r="AA6179" s="1"/>
      <c r="AB6179" s="1"/>
    </row>
    <row r="6180" ht="50.25" customHeight="1">
      <c r="A6180" s="12">
        <v>6176.0</v>
      </c>
      <c r="B6180" s="13" t="s">
        <v>6141</v>
      </c>
      <c r="C6180" s="14" t="s">
        <v>6203</v>
      </c>
      <c r="D6180" s="1"/>
      <c r="E6180" s="1"/>
      <c r="F6180" s="1" t="str">
        <f>IFERROR(__xludf.DUMMYFUNCTION("GOOGLETRANSLATE(B6180, ""en"", ""fa"")
"),"موفقیت آمازون")</f>
        <v>موفقیت آمازون</v>
      </c>
      <c r="G6180" s="1" t="str">
        <f>IFERROR(__xludf.DUMMYFUNCTION("GOOGLETRANSLATE(C6180, ""en"", ""fa"")
"),"در مورد نقش برچسب های محصول مرتبط و بهینه در بهینه سازی فهرست بحث کنید.")</f>
        <v>در مورد نقش برچسب های محصول مرتبط و بهینه در بهینه سازی فهرست بحث کنید.</v>
      </c>
      <c r="H6180" s="1"/>
      <c r="I6180" s="1"/>
      <c r="J6180" s="1"/>
      <c r="K6180" s="1"/>
      <c r="L6180" s="1"/>
      <c r="M6180" s="1"/>
      <c r="N6180" s="1"/>
      <c r="O6180" s="1"/>
      <c r="P6180" s="1"/>
      <c r="Q6180" s="1"/>
      <c r="R6180" s="1"/>
      <c r="S6180" s="1"/>
      <c r="T6180" s="1"/>
      <c r="U6180" s="1"/>
      <c r="V6180" s="1"/>
      <c r="W6180" s="1"/>
      <c r="X6180" s="1"/>
      <c r="Y6180" s="1"/>
      <c r="Z6180" s="1"/>
      <c r="AA6180" s="1"/>
      <c r="AB6180" s="1"/>
    </row>
    <row r="6181" ht="50.25" customHeight="1">
      <c r="A6181" s="12">
        <v>6177.0</v>
      </c>
      <c r="B6181" s="13" t="s">
        <v>6141</v>
      </c>
      <c r="C6181" s="14" t="s">
        <v>6204</v>
      </c>
      <c r="D6181" s="1"/>
      <c r="E6181" s="1"/>
      <c r="F6181" s="1" t="str">
        <f>IFERROR(__xludf.DUMMYFUNCTION("GOOGLETRANSLATE(B6181, ""en"", ""fa"")
"),"موفقیت آمازون")</f>
        <v>موفقیت آمازون</v>
      </c>
      <c r="G6181" s="1" t="str">
        <f>IFERROR(__xludf.DUMMYFUNCTION("GOOGLETRANSLATE(C6181, ""en"", ""fa"")
"),"در بخش «مشتریان نیز خرید کردند» آمازون، بینش‌هایی درباره نحوه بهینه‌سازی فهرست‌های محصولات برای عملکرد بهتر به اشتراک بگذارید.")</f>
        <v>در بخش «مشتریان نیز خرید کردند» آمازون، بینش‌هایی درباره نحوه بهینه‌سازی فهرست‌های محصولات برای عملکرد بهتر به اشتراک بگذارید.</v>
      </c>
      <c r="H6181" s="1"/>
      <c r="I6181" s="1"/>
      <c r="J6181" s="1"/>
      <c r="K6181" s="1"/>
      <c r="L6181" s="1"/>
      <c r="M6181" s="1"/>
      <c r="N6181" s="1"/>
      <c r="O6181" s="1"/>
      <c r="P6181" s="1"/>
      <c r="Q6181" s="1"/>
      <c r="R6181" s="1"/>
      <c r="S6181" s="1"/>
      <c r="T6181" s="1"/>
      <c r="U6181" s="1"/>
      <c r="V6181" s="1"/>
      <c r="W6181" s="1"/>
      <c r="X6181" s="1"/>
      <c r="Y6181" s="1"/>
      <c r="Z6181" s="1"/>
      <c r="AA6181" s="1"/>
      <c r="AB6181" s="1"/>
    </row>
    <row r="6182" ht="50.25" customHeight="1">
      <c r="A6182" s="12">
        <v>6178.0</v>
      </c>
      <c r="B6182" s="13" t="s">
        <v>6141</v>
      </c>
      <c r="C6182" s="14" t="s">
        <v>6205</v>
      </c>
      <c r="D6182" s="1"/>
      <c r="E6182" s="1"/>
      <c r="F6182" s="1" t="str">
        <f>IFERROR(__xludf.DUMMYFUNCTION("GOOGLETRANSLATE(B6182, ""en"", ""fa"")
"),"موفقیت آمازون")</f>
        <v>موفقیت آمازون</v>
      </c>
      <c r="G6182" s="1" t="str">
        <f>IFERROR(__xludf.DUMMYFUNCTION("GOOGLETRANSLATE(C6182, ""en"", ""fa"")
"),"بهترین روش ها برای بهینه سازی لیست محصولات برای عملکرد بهتر در بخش «مشتریان نیز خریدند» آمازون چیست؟")</f>
        <v>بهترین روش ها برای بهینه سازی لیست محصولات برای عملکرد بهتر در بخش «مشتریان نیز خریدند» آمازون چیست؟</v>
      </c>
      <c r="H6182" s="1"/>
      <c r="I6182" s="1"/>
      <c r="J6182" s="1"/>
      <c r="K6182" s="1"/>
      <c r="L6182" s="1"/>
      <c r="M6182" s="1"/>
      <c r="N6182" s="1"/>
      <c r="O6182" s="1"/>
      <c r="P6182" s="1"/>
      <c r="Q6182" s="1"/>
      <c r="R6182" s="1"/>
      <c r="S6182" s="1"/>
      <c r="T6182" s="1"/>
      <c r="U6182" s="1"/>
      <c r="V6182" s="1"/>
      <c r="W6182" s="1"/>
      <c r="X6182" s="1"/>
      <c r="Y6182" s="1"/>
      <c r="Z6182" s="1"/>
      <c r="AA6182" s="1"/>
      <c r="AB6182" s="1"/>
    </row>
    <row r="6183" ht="50.25" customHeight="1">
      <c r="A6183" s="12">
        <v>6179.0</v>
      </c>
      <c r="B6183" s="13" t="s">
        <v>6141</v>
      </c>
      <c r="C6183" s="14" t="s">
        <v>6206</v>
      </c>
      <c r="D6183" s="1"/>
      <c r="E6183" s="1"/>
      <c r="F6183" s="1" t="str">
        <f>IFERROR(__xludf.DUMMYFUNCTION("GOOGLETRANSLATE(B6183, ""en"", ""fa"")
"),"موفقیت آمازون")</f>
        <v>موفقیت آمازون</v>
      </c>
      <c r="G6183" s="1" t="str">
        <f>IFERROR(__xludf.DUMMYFUNCTION("GOOGLETRANSLATE(C6183, ""en"", ""fa"")
"),"اهمیت بهینه سازی لیست محصولات برای دستیارهای صوتی مانند الکسای آمازون را توضیح دهید.")</f>
        <v>اهمیت بهینه سازی لیست محصولات برای دستیارهای صوتی مانند الکسای آمازون را توضیح دهید.</v>
      </c>
      <c r="H6183" s="1"/>
      <c r="I6183" s="1"/>
      <c r="J6183" s="1"/>
      <c r="K6183" s="1"/>
      <c r="L6183" s="1"/>
      <c r="M6183" s="1"/>
      <c r="N6183" s="1"/>
      <c r="O6183" s="1"/>
      <c r="P6183" s="1"/>
      <c r="Q6183" s="1"/>
      <c r="R6183" s="1"/>
      <c r="S6183" s="1"/>
      <c r="T6183" s="1"/>
      <c r="U6183" s="1"/>
      <c r="V6183" s="1"/>
      <c r="W6183" s="1"/>
      <c r="X6183" s="1"/>
      <c r="Y6183" s="1"/>
      <c r="Z6183" s="1"/>
      <c r="AA6183" s="1"/>
      <c r="AB6183" s="1"/>
    </row>
    <row r="6184" ht="50.25" customHeight="1">
      <c r="A6184" s="12">
        <v>6180.0</v>
      </c>
      <c r="B6184" s="13" t="s">
        <v>6141</v>
      </c>
      <c r="C6184" s="14" t="s">
        <v>6207</v>
      </c>
      <c r="D6184" s="1"/>
      <c r="E6184" s="1"/>
      <c r="F6184" s="1" t="str">
        <f>IFERROR(__xludf.DUMMYFUNCTION("GOOGLETRANSLATE(B6184, ""en"", ""fa"")
"),"موفقیت آمازون")</f>
        <v>موفقیت آمازون</v>
      </c>
      <c r="G6184" s="1" t="str">
        <f>IFERROR(__xludf.DUMMYFUNCTION("GOOGLETRANSLATE(C6184, ""en"", ""fa"")
"),"چگونه فروشندگان می توانند از داستان سرایی و روایت برند در بهینه سازی فهرست برای ایجاد وفاداری به برند استفاده کنند؟")</f>
        <v>چگونه فروشندگان می توانند از داستان سرایی و روایت برند در بهینه سازی فهرست برای ایجاد وفاداری به برند استفاده کنند؟</v>
      </c>
      <c r="H6184" s="1"/>
      <c r="I6184" s="1"/>
      <c r="J6184" s="1"/>
      <c r="K6184" s="1"/>
      <c r="L6184" s="1"/>
      <c r="M6184" s="1"/>
      <c r="N6184" s="1"/>
      <c r="O6184" s="1"/>
      <c r="P6184" s="1"/>
      <c r="Q6184" s="1"/>
      <c r="R6184" s="1"/>
      <c r="S6184" s="1"/>
      <c r="T6184" s="1"/>
      <c r="U6184" s="1"/>
      <c r="V6184" s="1"/>
      <c r="W6184" s="1"/>
      <c r="X6184" s="1"/>
      <c r="Y6184" s="1"/>
      <c r="Z6184" s="1"/>
      <c r="AA6184" s="1"/>
      <c r="AB6184" s="1"/>
    </row>
    <row r="6185" ht="50.25" customHeight="1">
      <c r="A6185" s="12">
        <v>6181.0</v>
      </c>
      <c r="B6185" s="13" t="s">
        <v>6141</v>
      </c>
      <c r="C6185" s="14" t="s">
        <v>6208</v>
      </c>
      <c r="D6185" s="1"/>
      <c r="E6185" s="1"/>
      <c r="F6185" s="1" t="str">
        <f>IFERROR(__xludf.DUMMYFUNCTION("GOOGLETRANSLATE(B6185, ""en"", ""fa"")
"),"موفقیت آمازون")</f>
        <v>موفقیت آمازون</v>
      </c>
      <c r="G6185" s="1" t="str">
        <f>IFERROR(__xludf.DUMMYFUNCTION("GOOGLETRANSLATE(C6185, ""en"", ""fa"")
"),"در مورد اهمیت بهینه سازی لیست محصولات برای عملکرد بهتر در بخش ""محصولات حمایت شده مرتبط با این مورد"" آمازون بحث کنید.")</f>
        <v>در مورد اهمیت بهینه سازی لیست محصولات برای عملکرد بهتر در بخش "محصولات حمایت شده مرتبط با این مورد" آمازون بحث کنید.</v>
      </c>
      <c r="H6185" s="1"/>
      <c r="I6185" s="1"/>
      <c r="J6185" s="1"/>
      <c r="K6185" s="1"/>
      <c r="L6185" s="1"/>
      <c r="M6185" s="1"/>
      <c r="N6185" s="1"/>
      <c r="O6185" s="1"/>
      <c r="P6185" s="1"/>
      <c r="Q6185" s="1"/>
      <c r="R6185" s="1"/>
      <c r="S6185" s="1"/>
      <c r="T6185" s="1"/>
      <c r="U6185" s="1"/>
      <c r="V6185" s="1"/>
      <c r="W6185" s="1"/>
      <c r="X6185" s="1"/>
      <c r="Y6185" s="1"/>
      <c r="Z6185" s="1"/>
      <c r="AA6185" s="1"/>
      <c r="AB6185" s="1"/>
    </row>
    <row r="6186" ht="50.25" customHeight="1">
      <c r="A6186" s="12">
        <v>6182.0</v>
      </c>
      <c r="B6186" s="13" t="s">
        <v>6141</v>
      </c>
      <c r="C6186" s="14" t="s">
        <v>6209</v>
      </c>
      <c r="D6186" s="1"/>
      <c r="E6186" s="1"/>
      <c r="F6186" s="1" t="str">
        <f>IFERROR(__xludf.DUMMYFUNCTION("GOOGLETRANSLATE(B6186, ""en"", ""fa"")
"),"موفقیت آمازون")</f>
        <v>موفقیت آمازون</v>
      </c>
      <c r="G6186" s="1" t="str">
        <f>IFERROR(__xludf.DUMMYFUNCTION("GOOGLETRANSLATE(C6186, ""en"", ""fa"")
"),"نکاتی را برای استفاده از تکنیک‌های کپی‌نویسی متقاعدکننده در عناوین محصولات و نکات مهم به اشتراک بگذارید.")</f>
        <v>نکاتی را برای استفاده از تکنیک‌های کپی‌نویسی متقاعدکننده در عناوین محصولات و نکات مهم به اشتراک بگذارید.</v>
      </c>
      <c r="H6186" s="1"/>
      <c r="I6186" s="1"/>
      <c r="J6186" s="1"/>
      <c r="K6186" s="1"/>
      <c r="L6186" s="1"/>
      <c r="M6186" s="1"/>
      <c r="N6186" s="1"/>
      <c r="O6186" s="1"/>
      <c r="P6186" s="1"/>
      <c r="Q6186" s="1"/>
      <c r="R6186" s="1"/>
      <c r="S6186" s="1"/>
      <c r="T6186" s="1"/>
      <c r="U6186" s="1"/>
      <c r="V6186" s="1"/>
      <c r="W6186" s="1"/>
      <c r="X6186" s="1"/>
      <c r="Y6186" s="1"/>
      <c r="Z6186" s="1"/>
      <c r="AA6186" s="1"/>
      <c r="AB6186" s="1"/>
    </row>
    <row r="6187" ht="50.25" customHeight="1">
      <c r="A6187" s="12">
        <v>6183.0</v>
      </c>
      <c r="B6187" s="13" t="s">
        <v>6141</v>
      </c>
      <c r="C6187" s="14" t="s">
        <v>6210</v>
      </c>
      <c r="D6187" s="1"/>
      <c r="E6187" s="1"/>
      <c r="F6187" s="1" t="str">
        <f>IFERROR(__xludf.DUMMYFUNCTION("GOOGLETRANSLATE(B6187, ""en"", ""fa"")
"),"موفقیت آمازون")</f>
        <v>موفقیت آمازون</v>
      </c>
      <c r="G6187" s="1" t="str">
        <f>IFERROR(__xludf.DUMMYFUNCTION("GOOGLETRANSLATE(C6187, ""en"", ""fa"")
"),"بهترین روش‌ها برای بهینه‌سازی فهرست‌های محصولات برای عملکرد بهتر در بخش «برترین‌های برندهای ما» آمازون چیست؟")</f>
        <v>بهترین روش‌ها برای بهینه‌سازی فهرست‌های محصولات برای عملکرد بهتر در بخش «برترین‌های برندهای ما» آمازون چیست؟</v>
      </c>
      <c r="H6187" s="1"/>
      <c r="I6187" s="1"/>
      <c r="J6187" s="1"/>
      <c r="K6187" s="1"/>
      <c r="L6187" s="1"/>
      <c r="M6187" s="1"/>
      <c r="N6187" s="1"/>
      <c r="O6187" s="1"/>
      <c r="P6187" s="1"/>
      <c r="Q6187" s="1"/>
      <c r="R6187" s="1"/>
      <c r="S6187" s="1"/>
      <c r="T6187" s="1"/>
      <c r="U6187" s="1"/>
      <c r="V6187" s="1"/>
      <c r="W6187" s="1"/>
      <c r="X6187" s="1"/>
      <c r="Y6187" s="1"/>
      <c r="Z6187" s="1"/>
      <c r="AA6187" s="1"/>
      <c r="AB6187" s="1"/>
    </row>
    <row r="6188" ht="50.25" customHeight="1">
      <c r="A6188" s="12">
        <v>6184.0</v>
      </c>
      <c r="B6188" s="13" t="s">
        <v>6141</v>
      </c>
      <c r="C6188" s="14" t="s">
        <v>6211</v>
      </c>
      <c r="D6188" s="1"/>
      <c r="E6188" s="1"/>
      <c r="F6188" s="1" t="str">
        <f>IFERROR(__xludf.DUMMYFUNCTION("GOOGLETRANSLATE(B6188, ""en"", ""fa"")
"),"موفقیت آمازون")</f>
        <v>موفقیت آمازون</v>
      </c>
      <c r="G6188" s="1" t="str">
        <f>IFERROR(__xludf.DUMMYFUNCTION("GOOGLETRANSLATE(C6188, ""en"", ""fa"")
"),"اهمیت ترکیب عناصر اثبات اجتماعی، مانند محتوای تولید شده توسط کاربر، در بهینه سازی فهرست را توضیح دهید.")</f>
        <v>اهمیت ترکیب عناصر اثبات اجتماعی، مانند محتوای تولید شده توسط کاربر، در بهینه سازی فهرست را توضیح دهید.</v>
      </c>
      <c r="H6188" s="1"/>
      <c r="I6188" s="1"/>
      <c r="J6188" s="1"/>
      <c r="K6188" s="1"/>
      <c r="L6188" s="1"/>
      <c r="M6188" s="1"/>
      <c r="N6188" s="1"/>
      <c r="O6188" s="1"/>
      <c r="P6188" s="1"/>
      <c r="Q6188" s="1"/>
      <c r="R6188" s="1"/>
      <c r="S6188" s="1"/>
      <c r="T6188" s="1"/>
      <c r="U6188" s="1"/>
      <c r="V6188" s="1"/>
      <c r="W6188" s="1"/>
      <c r="X6188" s="1"/>
      <c r="Y6188" s="1"/>
      <c r="Z6188" s="1"/>
      <c r="AA6188" s="1"/>
      <c r="AB6188" s="1"/>
    </row>
    <row r="6189" ht="50.25" customHeight="1">
      <c r="A6189" s="12">
        <v>6185.0</v>
      </c>
      <c r="B6189" s="13" t="s">
        <v>6141</v>
      </c>
      <c r="C6189" s="14" t="s">
        <v>6212</v>
      </c>
      <c r="D6189" s="1"/>
      <c r="E6189" s="1"/>
      <c r="F6189" s="1" t="str">
        <f>IFERROR(__xludf.DUMMYFUNCTION("GOOGLETRANSLATE(B6189, ""en"", ""fa"")
"),"موفقیت آمازون")</f>
        <v>موفقیت آمازون</v>
      </c>
      <c r="G6189" s="1" t="str">
        <f>IFERROR(__xludf.DUMMYFUNCTION("GOOGLETRANSLATE(C6189, ""en"", ""fa"")
"),"چگونه فروشندگان می توانند از استراتژی های قیمت گذاری و تکنیک های قیمت گذاری روانشناختی در بهینه سازی فهرست استفاده کنند؟")</f>
        <v>چگونه فروشندگان می توانند از استراتژی های قیمت گذاری و تکنیک های قیمت گذاری روانشناختی در بهینه سازی فهرست استفاده کنند؟</v>
      </c>
      <c r="H6189" s="1"/>
      <c r="I6189" s="1"/>
      <c r="J6189" s="1"/>
      <c r="K6189" s="1"/>
      <c r="L6189" s="1"/>
      <c r="M6189" s="1"/>
      <c r="N6189" s="1"/>
      <c r="O6189" s="1"/>
      <c r="P6189" s="1"/>
      <c r="Q6189" s="1"/>
      <c r="R6189" s="1"/>
      <c r="S6189" s="1"/>
      <c r="T6189" s="1"/>
      <c r="U6189" s="1"/>
      <c r="V6189" s="1"/>
      <c r="W6189" s="1"/>
      <c r="X6189" s="1"/>
      <c r="Y6189" s="1"/>
      <c r="Z6189" s="1"/>
      <c r="AA6189" s="1"/>
      <c r="AB6189" s="1"/>
    </row>
    <row r="6190" ht="50.25" customHeight="1">
      <c r="A6190" s="12">
        <v>6186.0</v>
      </c>
      <c r="B6190" s="13" t="s">
        <v>6141</v>
      </c>
      <c r="C6190" s="14" t="s">
        <v>6213</v>
      </c>
      <c r="D6190" s="1"/>
      <c r="E6190" s="1"/>
      <c r="F6190" s="1" t="str">
        <f>IFERROR(__xludf.DUMMYFUNCTION("GOOGLETRANSLATE(B6190, ""en"", ""fa"")
"),"موفقیت آمازون")</f>
        <v>موفقیت آمازون</v>
      </c>
      <c r="G6190" s="1" t="str">
        <f>IFERROR(__xludf.DUMMYFUNCTION("GOOGLETRANSLATE(C6190, ""en"", ""fa"")
"),"در مورد نقش لیست های محصولات بهینه شده در هدایت ترافیک ارگانیک و بهبود رتبه بندی جستجو در آمازون بحث کنید.")</f>
        <v>در مورد نقش لیست های محصولات بهینه شده در هدایت ترافیک ارگانیک و بهبود رتبه بندی جستجو در آمازون بحث کنید.</v>
      </c>
      <c r="H6190" s="1"/>
      <c r="I6190" s="1"/>
      <c r="J6190" s="1"/>
      <c r="K6190" s="1"/>
      <c r="L6190" s="1"/>
      <c r="M6190" s="1"/>
      <c r="N6190" s="1"/>
      <c r="O6190" s="1"/>
      <c r="P6190" s="1"/>
      <c r="Q6190" s="1"/>
      <c r="R6190" s="1"/>
      <c r="S6190" s="1"/>
      <c r="T6190" s="1"/>
      <c r="U6190" s="1"/>
      <c r="V6190" s="1"/>
      <c r="W6190" s="1"/>
      <c r="X6190" s="1"/>
      <c r="Y6190" s="1"/>
      <c r="Z6190" s="1"/>
      <c r="AA6190" s="1"/>
      <c r="AB6190" s="1"/>
    </row>
    <row r="6191" ht="50.25" customHeight="1">
      <c r="A6191" s="12">
        <v>6187.0</v>
      </c>
      <c r="B6191" s="13" t="s">
        <v>6141</v>
      </c>
      <c r="C6191" s="14" t="s">
        <v>6214</v>
      </c>
      <c r="D6191" s="1"/>
      <c r="E6191" s="1"/>
      <c r="F6191" s="1" t="str">
        <f>IFERROR(__xludf.DUMMYFUNCTION("GOOGLETRANSLATE(B6191, ""en"", ""fa"")
"),"موفقیت آمازون")</f>
        <v>موفقیت آمازون</v>
      </c>
      <c r="G6191" s="1" t="str">
        <f>IFERROR(__xludf.DUMMYFUNCTION("GOOGLETRANSLATE(C6191, ""en"", ""fa"")
"),"در مورد نحوه بهینه سازی لیست محصولات برای عملکرد بهتر در بخش ""رتبه فروش بهترین"" آمازون اطلاعاتی را به اشتراک بگذارید.")</f>
        <v>در مورد نحوه بهینه سازی لیست محصولات برای عملکرد بهتر در بخش "رتبه فروش بهترین" آمازون اطلاعاتی را به اشتراک بگذارید.</v>
      </c>
      <c r="H6191" s="1"/>
      <c r="I6191" s="1"/>
      <c r="J6191" s="1"/>
      <c r="K6191" s="1"/>
      <c r="L6191" s="1"/>
      <c r="M6191" s="1"/>
      <c r="N6191" s="1"/>
      <c r="O6191" s="1"/>
      <c r="P6191" s="1"/>
      <c r="Q6191" s="1"/>
      <c r="R6191" s="1"/>
      <c r="S6191" s="1"/>
      <c r="T6191" s="1"/>
      <c r="U6191" s="1"/>
      <c r="V6191" s="1"/>
      <c r="W6191" s="1"/>
      <c r="X6191" s="1"/>
      <c r="Y6191" s="1"/>
      <c r="Z6191" s="1"/>
      <c r="AA6191" s="1"/>
      <c r="AB6191" s="1"/>
    </row>
    <row r="6192" ht="50.25" customHeight="1">
      <c r="A6192" s="12">
        <v>6188.0</v>
      </c>
      <c r="B6192" s="13" t="s">
        <v>6141</v>
      </c>
      <c r="C6192" s="14" t="s">
        <v>6215</v>
      </c>
      <c r="D6192" s="1"/>
      <c r="E6192" s="1"/>
      <c r="F6192" s="1" t="str">
        <f>IFERROR(__xludf.DUMMYFUNCTION("GOOGLETRANSLATE(B6192, ""en"", ""fa"")
"),"موفقیت آمازون")</f>
        <v>موفقیت آمازون</v>
      </c>
      <c r="G6192" s="1" t="str">
        <f>IFERROR(__xludf.DUMMYFUNCTION("GOOGLETRANSLATE(C6192, ""en"", ""fa"")
"),"بهترین روش‌ها برای بهینه‌سازی فهرست محصولات برای عملکرد بهتر در بخش «نسخه‌های جدید داغ» آمازون چیست؟")</f>
        <v>بهترین روش‌ها برای بهینه‌سازی فهرست محصولات برای عملکرد بهتر در بخش «نسخه‌های جدید داغ» آمازون چیست؟</v>
      </c>
      <c r="H6192" s="1"/>
      <c r="I6192" s="1"/>
      <c r="J6192" s="1"/>
      <c r="K6192" s="1"/>
      <c r="L6192" s="1"/>
      <c r="M6192" s="1"/>
      <c r="N6192" s="1"/>
      <c r="O6192" s="1"/>
      <c r="P6192" s="1"/>
      <c r="Q6192" s="1"/>
      <c r="R6192" s="1"/>
      <c r="S6192" s="1"/>
      <c r="T6192" s="1"/>
      <c r="U6192" s="1"/>
      <c r="V6192" s="1"/>
      <c r="W6192" s="1"/>
      <c r="X6192" s="1"/>
      <c r="Y6192" s="1"/>
      <c r="Z6192" s="1"/>
      <c r="AA6192" s="1"/>
      <c r="AB6192" s="1"/>
    </row>
    <row r="6193" ht="50.25" customHeight="1">
      <c r="A6193" s="12">
        <v>6189.0</v>
      </c>
      <c r="B6193" s="13" t="s">
        <v>6141</v>
      </c>
      <c r="C6193" s="14" t="s">
        <v>6216</v>
      </c>
      <c r="D6193" s="1"/>
      <c r="E6193" s="1"/>
      <c r="F6193" s="1" t="str">
        <f>IFERROR(__xludf.DUMMYFUNCTION("GOOGLETRANSLATE(B6193, ""en"", ""fa"")
"),"موفقیت آمازون")</f>
        <v>موفقیت آمازون</v>
      </c>
      <c r="G6193" s="1" t="str">
        <f>IFERROR(__xludf.DUMMYFUNCTION("GOOGLETRANSLATE(C6193, ""en"", ""fa"")
"),"اهمیت بهینه سازی لیست محصولات برای عملکرد بهتر را در بخش ""Movers and Shakers"" آمازون توضیح دهید.")</f>
        <v>اهمیت بهینه سازی لیست محصولات برای عملکرد بهتر را در بخش "Movers and Shakers" آمازون توضیح دهید.</v>
      </c>
      <c r="H6193" s="1"/>
      <c r="I6193" s="1"/>
      <c r="J6193" s="1"/>
      <c r="K6193" s="1"/>
      <c r="L6193" s="1"/>
      <c r="M6193" s="1"/>
      <c r="N6193" s="1"/>
      <c r="O6193" s="1"/>
      <c r="P6193" s="1"/>
      <c r="Q6193" s="1"/>
      <c r="R6193" s="1"/>
      <c r="S6193" s="1"/>
      <c r="T6193" s="1"/>
      <c r="U6193" s="1"/>
      <c r="V6193" s="1"/>
      <c r="W6193" s="1"/>
      <c r="X6193" s="1"/>
      <c r="Y6193" s="1"/>
      <c r="Z6193" s="1"/>
      <c r="AA6193" s="1"/>
      <c r="AB6193" s="1"/>
    </row>
    <row r="6194" ht="50.25" customHeight="1">
      <c r="A6194" s="12">
        <v>6190.0</v>
      </c>
      <c r="B6194" s="13" t="s">
        <v>6141</v>
      </c>
      <c r="C6194" s="14" t="s">
        <v>6217</v>
      </c>
      <c r="D6194" s="1"/>
      <c r="E6194" s="1"/>
      <c r="F6194" s="1" t="str">
        <f>IFERROR(__xludf.DUMMYFUNCTION("GOOGLETRANSLATE(B6194, ""en"", ""fa"")
"),"موفقیت آمازون")</f>
        <v>موفقیت آمازون</v>
      </c>
      <c r="G6194" s="1" t="str">
        <f>IFERROR(__xludf.DUMMYFUNCTION("GOOGLETRANSLATE(C6194, ""en"", ""fa"")
"),"چگونه فروشندگان می توانند از تکنیک های کپی رایتینگ متقاعدکننده در توضیحات محصول برای رفع مشکلات مشتری استفاده کنند؟")</f>
        <v>چگونه فروشندگان می توانند از تکنیک های کپی رایتینگ متقاعدکننده در توضیحات محصول برای رفع مشکلات مشتری استفاده کنند؟</v>
      </c>
      <c r="H6194" s="1"/>
      <c r="I6194" s="1"/>
      <c r="J6194" s="1"/>
      <c r="K6194" s="1"/>
      <c r="L6194" s="1"/>
      <c r="M6194" s="1"/>
      <c r="N6194" s="1"/>
      <c r="O6194" s="1"/>
      <c r="P6194" s="1"/>
      <c r="Q6194" s="1"/>
      <c r="R6194" s="1"/>
      <c r="S6194" s="1"/>
      <c r="T6194" s="1"/>
      <c r="U6194" s="1"/>
      <c r="V6194" s="1"/>
      <c r="W6194" s="1"/>
      <c r="X6194" s="1"/>
      <c r="Y6194" s="1"/>
      <c r="Z6194" s="1"/>
      <c r="AA6194" s="1"/>
      <c r="AB6194" s="1"/>
    </row>
    <row r="6195" ht="50.25" customHeight="1">
      <c r="A6195" s="12">
        <v>6191.0</v>
      </c>
      <c r="B6195" s="13" t="s">
        <v>6141</v>
      </c>
      <c r="C6195" s="14" t="s">
        <v>6218</v>
      </c>
      <c r="D6195" s="1"/>
      <c r="E6195" s="1"/>
      <c r="F6195" s="1" t="str">
        <f>IFERROR(__xludf.DUMMYFUNCTION("GOOGLETRANSLATE(B6195, ""en"", ""fa"")
"),"موفقیت آمازون")</f>
        <v>موفقیت آمازون</v>
      </c>
      <c r="G6195" s="1" t="str">
        <f>IFERROR(__xludf.DUMMYFUNCTION("GOOGLETRANSLATE(C6195, ""en"", ""fa"")
"),"در مورد اهمیت بهینه سازی لیست محصولات برای عملکرد بهتر در بخش ""ایده های هدیه"" آمازون بحث کنید.")</f>
        <v>در مورد اهمیت بهینه سازی لیست محصولات برای عملکرد بهتر در بخش "ایده های هدیه" آمازون بحث کنید.</v>
      </c>
      <c r="H6195" s="1"/>
      <c r="I6195" s="1"/>
      <c r="J6195" s="1"/>
      <c r="K6195" s="1"/>
      <c r="L6195" s="1"/>
      <c r="M6195" s="1"/>
      <c r="N6195" s="1"/>
      <c r="O6195" s="1"/>
      <c r="P6195" s="1"/>
      <c r="Q6195" s="1"/>
      <c r="R6195" s="1"/>
      <c r="S6195" s="1"/>
      <c r="T6195" s="1"/>
      <c r="U6195" s="1"/>
      <c r="V6195" s="1"/>
      <c r="W6195" s="1"/>
      <c r="X6195" s="1"/>
      <c r="Y6195" s="1"/>
      <c r="Z6195" s="1"/>
      <c r="AA6195" s="1"/>
      <c r="AB6195" s="1"/>
    </row>
    <row r="6196" ht="50.25" customHeight="1">
      <c r="A6196" s="12">
        <v>6192.0</v>
      </c>
      <c r="B6196" s="13" t="s">
        <v>6141</v>
      </c>
      <c r="C6196" s="14" t="s">
        <v>6219</v>
      </c>
      <c r="D6196" s="1"/>
      <c r="E6196" s="1"/>
      <c r="F6196" s="1" t="str">
        <f>IFERROR(__xludf.DUMMYFUNCTION("GOOGLETRANSLATE(B6196, ""en"", ""fa"")
"),"موفقیت آمازون")</f>
        <v>موفقیت آمازون</v>
      </c>
      <c r="G6196" s="1" t="str">
        <f>IFERROR(__xludf.DUMMYFUNCTION("GOOGLETRANSLATE(C6196, ""en"", ""fa"")
"),"نکاتی را برای استفاده از عناصر کمیاب و فوریت در بهینه سازی فهرست برای ایجاد تبدیل به اشتراک بگذارید.")</f>
        <v>نکاتی را برای استفاده از عناصر کمیاب و فوریت در بهینه سازی فهرست برای ایجاد تبدیل به اشتراک بگذارید.</v>
      </c>
      <c r="H6196" s="1"/>
      <c r="I6196" s="1"/>
      <c r="J6196" s="1"/>
      <c r="K6196" s="1"/>
      <c r="L6196" s="1"/>
      <c r="M6196" s="1"/>
      <c r="N6196" s="1"/>
      <c r="O6196" s="1"/>
      <c r="P6196" s="1"/>
      <c r="Q6196" s="1"/>
      <c r="R6196" s="1"/>
      <c r="S6196" s="1"/>
      <c r="T6196" s="1"/>
      <c r="U6196" s="1"/>
      <c r="V6196" s="1"/>
      <c r="W6196" s="1"/>
      <c r="X6196" s="1"/>
      <c r="Y6196" s="1"/>
      <c r="Z6196" s="1"/>
      <c r="AA6196" s="1"/>
      <c r="AB6196" s="1"/>
    </row>
    <row r="6197" ht="50.25" customHeight="1">
      <c r="A6197" s="12">
        <v>6193.0</v>
      </c>
      <c r="B6197" s="13" t="s">
        <v>6141</v>
      </c>
      <c r="C6197" s="14" t="s">
        <v>6220</v>
      </c>
      <c r="D6197" s="1"/>
      <c r="E6197" s="1"/>
      <c r="F6197" s="1" t="str">
        <f>IFERROR(__xludf.DUMMYFUNCTION("GOOGLETRANSLATE(B6197, ""en"", ""fa"")
"),"موفقیت آمازون")</f>
        <v>موفقیت آمازون</v>
      </c>
      <c r="G6197" s="1" t="str">
        <f>IFERROR(__xludf.DUMMYFUNCTION("GOOGLETRANSLATE(C6197, ""en"", ""fa"")
"),"بهترین روش‌ها برای بهینه‌سازی فهرست محصولات برای عملکرد بهتر در بخش «مشتریانی که این محصول را خریده‌اند» آمازون چیست؟")</f>
        <v>بهترین روش‌ها برای بهینه‌سازی فهرست محصولات برای عملکرد بهتر در بخش «مشتریانی که این محصول را خریده‌اند» آمازون چیست؟</v>
      </c>
      <c r="H6197" s="1"/>
      <c r="I6197" s="1"/>
      <c r="J6197" s="1"/>
      <c r="K6197" s="1"/>
      <c r="L6197" s="1"/>
      <c r="M6197" s="1"/>
      <c r="N6197" s="1"/>
      <c r="O6197" s="1"/>
      <c r="P6197" s="1"/>
      <c r="Q6197" s="1"/>
      <c r="R6197" s="1"/>
      <c r="S6197" s="1"/>
      <c r="T6197" s="1"/>
      <c r="U6197" s="1"/>
      <c r="V6197" s="1"/>
      <c r="W6197" s="1"/>
      <c r="X6197" s="1"/>
      <c r="Y6197" s="1"/>
      <c r="Z6197" s="1"/>
      <c r="AA6197" s="1"/>
      <c r="AB6197" s="1"/>
    </row>
    <row r="6198" ht="50.25" customHeight="1">
      <c r="A6198" s="12">
        <v>6194.0</v>
      </c>
      <c r="B6198" s="13" t="s">
        <v>6141</v>
      </c>
      <c r="C6198" s="14" t="s">
        <v>6221</v>
      </c>
      <c r="D6198" s="1"/>
      <c r="E6198" s="1"/>
      <c r="F6198" s="1" t="str">
        <f>IFERROR(__xludf.DUMMYFUNCTION("GOOGLETRANSLATE(B6198, ""en"", ""fa"")
"),"موفقیت آمازون")</f>
        <v>موفقیت آمازون</v>
      </c>
      <c r="G6198" s="1" t="str">
        <f>IFERROR(__xludf.DUMMYFUNCTION("GOOGLETRANSLATE(C6198, ""en"", ""fa"")
"),"نقش عبارات جستجوی مشتری و داده های جستجو در بهینه سازی فهرست را توضیح دهید.")</f>
        <v>نقش عبارات جستجوی مشتری و داده های جستجو در بهینه سازی فهرست را توضیح دهید.</v>
      </c>
      <c r="H6198" s="1"/>
      <c r="I6198" s="1"/>
      <c r="J6198" s="1"/>
      <c r="K6198" s="1"/>
      <c r="L6198" s="1"/>
      <c r="M6198" s="1"/>
      <c r="N6198" s="1"/>
      <c r="O6198" s="1"/>
      <c r="P6198" s="1"/>
      <c r="Q6198" s="1"/>
      <c r="R6198" s="1"/>
      <c r="S6198" s="1"/>
      <c r="T6198" s="1"/>
      <c r="U6198" s="1"/>
      <c r="V6198" s="1"/>
      <c r="W6198" s="1"/>
      <c r="X6198" s="1"/>
      <c r="Y6198" s="1"/>
      <c r="Z6198" s="1"/>
      <c r="AA6198" s="1"/>
      <c r="AB6198" s="1"/>
    </row>
    <row r="6199" ht="50.25" customHeight="1">
      <c r="A6199" s="12">
        <v>6195.0</v>
      </c>
      <c r="B6199" s="13" t="s">
        <v>6141</v>
      </c>
      <c r="C6199" s="14" t="s">
        <v>6222</v>
      </c>
      <c r="D6199" s="1"/>
      <c r="E6199" s="1"/>
      <c r="F6199" s="1" t="str">
        <f>IFERROR(__xludf.DUMMYFUNCTION("GOOGLETRANSLATE(B6199, ""en"", ""fa"")
"),"موفقیت آمازون")</f>
        <v>موفقیت آمازون</v>
      </c>
      <c r="G6199" s="1" t="str">
        <f>IFERROR(__xludf.DUMMYFUNCTION("GOOGLETRANSLATE(C6199, ""en"", ""fa"")
"),"چگونه فروشندگان می توانند جایگاه های محصول سودآور با تقاضای بالا را در آمازون شناسایی کنند؟")</f>
        <v>چگونه فروشندگان می توانند جایگاه های محصول سودآور با تقاضای بالا را در آمازون شناسایی کنند؟</v>
      </c>
      <c r="H6199" s="1"/>
      <c r="I6199" s="1"/>
      <c r="J6199" s="1"/>
      <c r="K6199" s="1"/>
      <c r="L6199" s="1"/>
      <c r="M6199" s="1"/>
      <c r="N6199" s="1"/>
      <c r="O6199" s="1"/>
      <c r="P6199" s="1"/>
      <c r="Q6199" s="1"/>
      <c r="R6199" s="1"/>
      <c r="S6199" s="1"/>
      <c r="T6199" s="1"/>
      <c r="U6199" s="1"/>
      <c r="V6199" s="1"/>
      <c r="W6199" s="1"/>
      <c r="X6199" s="1"/>
      <c r="Y6199" s="1"/>
      <c r="Z6199" s="1"/>
      <c r="AA6199" s="1"/>
      <c r="AB6199" s="1"/>
    </row>
    <row r="6200" ht="50.25" customHeight="1">
      <c r="A6200" s="12">
        <v>6196.0</v>
      </c>
      <c r="B6200" s="13" t="s">
        <v>6141</v>
      </c>
      <c r="C6200" s="14" t="s">
        <v>6223</v>
      </c>
      <c r="D6200" s="1"/>
      <c r="E6200" s="1"/>
      <c r="F6200" s="1" t="str">
        <f>IFERROR(__xludf.DUMMYFUNCTION("GOOGLETRANSLATE(B6200, ""en"", ""fa"")
"),"موفقیت آمازون")</f>
        <v>موفقیت آمازون</v>
      </c>
      <c r="G6200" s="1" t="str">
        <f>IFERROR(__xludf.DUMMYFUNCTION("GOOGLETRANSLATE(C6200, ""en"", ""fa"")
"),"استراتژی‌هایی را برای انجام تحقیقات عمیق در بازار برای شناسایی فرصت‌های محصول پرطرفدار به اشتراک بگذارید.")</f>
        <v>استراتژی‌هایی را برای انجام تحقیقات عمیق در بازار برای شناسایی فرصت‌های محصول پرطرفدار به اشتراک بگذارید.</v>
      </c>
      <c r="H6200" s="1"/>
      <c r="I6200" s="1"/>
      <c r="J6200" s="1"/>
      <c r="K6200" s="1"/>
      <c r="L6200" s="1"/>
      <c r="M6200" s="1"/>
      <c r="N6200" s="1"/>
      <c r="O6200" s="1"/>
      <c r="P6200" s="1"/>
      <c r="Q6200" s="1"/>
      <c r="R6200" s="1"/>
      <c r="S6200" s="1"/>
      <c r="T6200" s="1"/>
      <c r="U6200" s="1"/>
      <c r="V6200" s="1"/>
      <c r="W6200" s="1"/>
      <c r="X6200" s="1"/>
      <c r="Y6200" s="1"/>
      <c r="Z6200" s="1"/>
      <c r="AA6200" s="1"/>
      <c r="AB6200" s="1"/>
    </row>
    <row r="6201" ht="50.25" customHeight="1">
      <c r="A6201" s="12">
        <v>6197.0</v>
      </c>
      <c r="B6201" s="13" t="s">
        <v>6141</v>
      </c>
      <c r="C6201" s="14" t="s">
        <v>6224</v>
      </c>
      <c r="D6201" s="1"/>
      <c r="E6201" s="1"/>
      <c r="F6201" s="1" t="str">
        <f>IFERROR(__xludf.DUMMYFUNCTION("GOOGLETRANSLATE(B6201, ""en"", ""fa"")
"),"موفقیت آمازون")</f>
        <v>موفقیت آمازون</v>
      </c>
      <c r="G6201" s="1" t="str">
        <f>IFERROR(__xludf.DUMMYFUNCTION("GOOGLETRANSLATE(C6201, ""en"", ""fa"")
"),"بهترین روش ها برای تجزیه و تحلیل محصولات رقیب و شناسایی شکاف های موجود در بازار چیست؟")</f>
        <v>بهترین روش ها برای تجزیه و تحلیل محصولات رقیب و شناسایی شکاف های موجود در بازار چیست؟</v>
      </c>
      <c r="H6201" s="1"/>
      <c r="I6201" s="1"/>
      <c r="J6201" s="1"/>
      <c r="K6201" s="1"/>
      <c r="L6201" s="1"/>
      <c r="M6201" s="1"/>
      <c r="N6201" s="1"/>
      <c r="O6201" s="1"/>
      <c r="P6201" s="1"/>
      <c r="Q6201" s="1"/>
      <c r="R6201" s="1"/>
      <c r="S6201" s="1"/>
      <c r="T6201" s="1"/>
      <c r="U6201" s="1"/>
      <c r="V6201" s="1"/>
      <c r="W6201" s="1"/>
      <c r="X6201" s="1"/>
      <c r="Y6201" s="1"/>
      <c r="Z6201" s="1"/>
      <c r="AA6201" s="1"/>
      <c r="AB6201" s="1"/>
    </row>
    <row r="6202" ht="50.25" customHeight="1">
      <c r="A6202" s="12">
        <v>6198.0</v>
      </c>
      <c r="B6202" s="13" t="s">
        <v>6141</v>
      </c>
      <c r="C6202" s="14" t="s">
        <v>6225</v>
      </c>
      <c r="D6202" s="1"/>
      <c r="E6202" s="1"/>
      <c r="F6202" s="1" t="str">
        <f>IFERROR(__xludf.DUMMYFUNCTION("GOOGLETRANSLATE(B6202, ""en"", ""fa"")
"),"موفقیت آمازون")</f>
        <v>موفقیت آمازون</v>
      </c>
      <c r="G6202" s="1" t="str">
        <f>IFERROR(__xludf.DUMMYFUNCTION("GOOGLETRANSLATE(C6202, ""en"", ""fa"")
"),"در مورد اهمیت در نظر گرفتن اندازه، وزن و الزامات حمل و نقل محصول در تحقیقات محصول بحث کنید.")</f>
        <v>در مورد اهمیت در نظر گرفتن اندازه، وزن و الزامات حمل و نقل محصول در تحقیقات محصول بحث کنید.</v>
      </c>
      <c r="H6202" s="1"/>
      <c r="I6202" s="1"/>
      <c r="J6202" s="1"/>
      <c r="K6202" s="1"/>
      <c r="L6202" s="1"/>
      <c r="M6202" s="1"/>
      <c r="N6202" s="1"/>
      <c r="O6202" s="1"/>
      <c r="P6202" s="1"/>
      <c r="Q6202" s="1"/>
      <c r="R6202" s="1"/>
      <c r="S6202" s="1"/>
      <c r="T6202" s="1"/>
      <c r="U6202" s="1"/>
      <c r="V6202" s="1"/>
      <c r="W6202" s="1"/>
      <c r="X6202" s="1"/>
      <c r="Y6202" s="1"/>
      <c r="Z6202" s="1"/>
      <c r="AA6202" s="1"/>
      <c r="AB6202" s="1"/>
    </row>
    <row r="6203" ht="50.25" customHeight="1">
      <c r="A6203" s="12">
        <v>6199.0</v>
      </c>
      <c r="B6203" s="13" t="s">
        <v>6141</v>
      </c>
      <c r="C6203" s="14" t="s">
        <v>6226</v>
      </c>
      <c r="D6203" s="1"/>
      <c r="E6203" s="1"/>
      <c r="F6203" s="1" t="str">
        <f>IFERROR(__xludf.DUMMYFUNCTION("GOOGLETRANSLATE(B6203, ""en"", ""fa"")
"),"موفقیت آمازون")</f>
        <v>موفقیت آمازون</v>
      </c>
      <c r="G6203" s="1" t="str">
        <f>IFERROR(__xludf.DUMMYFUNCTION("GOOGLETRANSLATE(C6203, ""en"", ""fa"")
"),"چگونه فروشندگان می توانند از رتبه پرفروش آمازون (BSR) برای شناسایی محصولات محبوب و با عملکرد بالا استفاده کنند؟")</f>
        <v>چگونه فروشندگان می توانند از رتبه پرفروش آمازون (BSR) برای شناسایی محصولات محبوب و با عملکرد بالا استفاده کنند؟</v>
      </c>
      <c r="H6203" s="1"/>
      <c r="I6203" s="1"/>
      <c r="J6203" s="1"/>
      <c r="K6203" s="1"/>
      <c r="L6203" s="1"/>
      <c r="M6203" s="1"/>
      <c r="N6203" s="1"/>
      <c r="O6203" s="1"/>
      <c r="P6203" s="1"/>
      <c r="Q6203" s="1"/>
      <c r="R6203" s="1"/>
      <c r="S6203" s="1"/>
      <c r="T6203" s="1"/>
      <c r="U6203" s="1"/>
      <c r="V6203" s="1"/>
      <c r="W6203" s="1"/>
      <c r="X6203" s="1"/>
      <c r="Y6203" s="1"/>
      <c r="Z6203" s="1"/>
      <c r="AA6203" s="1"/>
      <c r="AB6203" s="1"/>
    </row>
    <row r="6204" ht="50.25" customHeight="1">
      <c r="A6204" s="12">
        <v>6200.0</v>
      </c>
      <c r="B6204" s="13" t="s">
        <v>6141</v>
      </c>
      <c r="C6204" s="14" t="s">
        <v>6227</v>
      </c>
      <c r="D6204" s="1"/>
      <c r="E6204" s="1"/>
      <c r="F6204" s="1" t="str">
        <f>IFERROR(__xludf.DUMMYFUNCTION("GOOGLETRANSLATE(B6204, ""en"", ""fa"")
"),"موفقیت آمازون")</f>
        <v>موفقیت آمازون</v>
      </c>
      <c r="G6204" s="1" t="str">
        <f>IFERROR(__xludf.DUMMYFUNCTION("GOOGLETRANSLATE(C6204, ""en"", ""fa"")
"),"نکاتی را برای استفاده از ابزارها و نرم افزارهای تحقیق محصول برای کشف فرصت های محصول سودآور به اشتراک بگذارید.")</f>
        <v>نکاتی را برای استفاده از ابزارها و نرم افزارهای تحقیق محصول برای کشف فرصت های محصول سودآور به اشتراک بگذارید.</v>
      </c>
      <c r="H6204" s="1"/>
      <c r="I6204" s="1"/>
      <c r="J6204" s="1"/>
      <c r="K6204" s="1"/>
      <c r="L6204" s="1"/>
      <c r="M6204" s="1"/>
      <c r="N6204" s="1"/>
      <c r="O6204" s="1"/>
      <c r="P6204" s="1"/>
      <c r="Q6204" s="1"/>
      <c r="R6204" s="1"/>
      <c r="S6204" s="1"/>
      <c r="T6204" s="1"/>
      <c r="U6204" s="1"/>
      <c r="V6204" s="1"/>
      <c r="W6204" s="1"/>
      <c r="X6204" s="1"/>
      <c r="Y6204" s="1"/>
      <c r="Z6204" s="1"/>
      <c r="AA6204" s="1"/>
      <c r="AB6204" s="1"/>
    </row>
    <row r="6205" ht="50.25" customHeight="1">
      <c r="A6205" s="12">
        <v>6201.0</v>
      </c>
      <c r="B6205" s="13" t="s">
        <v>6141</v>
      </c>
      <c r="C6205" s="14" t="s">
        <v>6228</v>
      </c>
      <c r="D6205" s="1"/>
      <c r="E6205" s="1"/>
      <c r="F6205" s="1" t="str">
        <f>IFERROR(__xludf.DUMMYFUNCTION("GOOGLETRANSLATE(B6205, ""en"", ""fa"")
"),"موفقیت آمازون")</f>
        <v>موفقیت آمازون</v>
      </c>
      <c r="G6205" s="1" t="str">
        <f>IFERROR(__xludf.DUMMYFUNCTION("GOOGLETRANSLATE(C6205, ""en"", ""fa"")
"),"اهمیت انجام تحقیقات کلمات کلیدی برای درک روندها و ترجیحات جستجوی مشتری را توضیح دهید.")</f>
        <v>اهمیت انجام تحقیقات کلمات کلیدی برای درک روندها و ترجیحات جستجوی مشتری را توضیح دهید.</v>
      </c>
      <c r="H6205" s="1"/>
      <c r="I6205" s="1"/>
      <c r="J6205" s="1"/>
      <c r="K6205" s="1"/>
      <c r="L6205" s="1"/>
      <c r="M6205" s="1"/>
      <c r="N6205" s="1"/>
      <c r="O6205" s="1"/>
      <c r="P6205" s="1"/>
      <c r="Q6205" s="1"/>
      <c r="R6205" s="1"/>
      <c r="S6205" s="1"/>
      <c r="T6205" s="1"/>
      <c r="U6205" s="1"/>
      <c r="V6205" s="1"/>
      <c r="W6205" s="1"/>
      <c r="X6205" s="1"/>
      <c r="Y6205" s="1"/>
      <c r="Z6205" s="1"/>
      <c r="AA6205" s="1"/>
      <c r="AB6205" s="1"/>
    </row>
    <row r="6206" ht="50.25" customHeight="1">
      <c r="A6206" s="12">
        <v>6202.0</v>
      </c>
      <c r="B6206" s="13" t="s">
        <v>6141</v>
      </c>
      <c r="C6206" s="14" t="s">
        <v>6229</v>
      </c>
      <c r="D6206" s="1"/>
      <c r="E6206" s="1"/>
      <c r="F6206" s="1" t="str">
        <f>IFERROR(__xludf.DUMMYFUNCTION("GOOGLETRANSLATE(B6206, ""en"", ""fa"")
"),"موفقیت آمازون")</f>
        <v>موفقیت آمازون</v>
      </c>
      <c r="G6206" s="1" t="str">
        <f>IFERROR(__xludf.DUMMYFUNCTION("GOOGLETRANSLATE(C6206, ""en"", ""fa"")
"),"در مورد نقش بررسی و رتبه بندی محصول در ارزیابی تقاضای بازار و رضایت مشتری بحث کنید.")</f>
        <v>در مورد نقش بررسی و رتبه بندی محصول در ارزیابی تقاضای بازار و رضایت مشتری بحث کنید.</v>
      </c>
      <c r="H6206" s="1"/>
      <c r="I6206" s="1"/>
      <c r="J6206" s="1"/>
      <c r="K6206" s="1"/>
      <c r="L6206" s="1"/>
      <c r="M6206" s="1"/>
      <c r="N6206" s="1"/>
      <c r="O6206" s="1"/>
      <c r="P6206" s="1"/>
      <c r="Q6206" s="1"/>
      <c r="R6206" s="1"/>
      <c r="S6206" s="1"/>
      <c r="T6206" s="1"/>
      <c r="U6206" s="1"/>
      <c r="V6206" s="1"/>
      <c r="W6206" s="1"/>
      <c r="X6206" s="1"/>
      <c r="Y6206" s="1"/>
      <c r="Z6206" s="1"/>
      <c r="AA6206" s="1"/>
      <c r="AB6206" s="1"/>
    </row>
    <row r="6207" ht="50.25" customHeight="1">
      <c r="A6207" s="12">
        <v>6203.0</v>
      </c>
      <c r="B6207" s="13" t="s">
        <v>6141</v>
      </c>
      <c r="C6207" s="14" t="s">
        <v>6230</v>
      </c>
      <c r="D6207" s="1"/>
      <c r="E6207" s="1"/>
      <c r="F6207" s="1" t="str">
        <f>IFERROR(__xludf.DUMMYFUNCTION("GOOGLETRANSLATE(B6207, ""en"", ""fa"")
"),"موفقیت آمازون")</f>
        <v>موفقیت آمازون</v>
      </c>
      <c r="G6207" s="1" t="str">
        <f>IFERROR(__xludf.DUMMYFUNCTION("GOOGLETRANSLATE(C6207, ""en"", ""fa"")
"),"چگونه فروشندگان می توانند روندهای فصلی را تجزیه و تحلیل کنند و محصولات با تقاضای بالا را در زمان های خاصی از سال شناسایی کنند؟")</f>
        <v>چگونه فروشندگان می توانند روندهای فصلی را تجزیه و تحلیل کنند و محصولات با تقاضای بالا را در زمان های خاصی از سال شناسایی کنند؟</v>
      </c>
      <c r="H6207" s="1"/>
      <c r="I6207" s="1"/>
      <c r="J6207" s="1"/>
      <c r="K6207" s="1"/>
      <c r="L6207" s="1"/>
      <c r="M6207" s="1"/>
      <c r="N6207" s="1"/>
      <c r="O6207" s="1"/>
      <c r="P6207" s="1"/>
      <c r="Q6207" s="1"/>
      <c r="R6207" s="1"/>
      <c r="S6207" s="1"/>
      <c r="T6207" s="1"/>
      <c r="U6207" s="1"/>
      <c r="V6207" s="1"/>
      <c r="W6207" s="1"/>
      <c r="X6207" s="1"/>
      <c r="Y6207" s="1"/>
      <c r="Z6207" s="1"/>
      <c r="AA6207" s="1"/>
      <c r="AB6207" s="1"/>
    </row>
    <row r="6208" ht="50.25" customHeight="1">
      <c r="A6208" s="12">
        <v>6204.0</v>
      </c>
      <c r="B6208" s="13" t="s">
        <v>6141</v>
      </c>
      <c r="C6208" s="14" t="s">
        <v>6231</v>
      </c>
      <c r="D6208" s="1"/>
      <c r="E6208" s="1"/>
      <c r="F6208" s="1" t="str">
        <f>IFERROR(__xludf.DUMMYFUNCTION("GOOGLETRANSLATE(B6208, ""en"", ""fa"")
"),"موفقیت آمازون")</f>
        <v>موفقیت آمازون</v>
      </c>
      <c r="G6208" s="1" t="str">
        <f>IFERROR(__xludf.DUMMYFUNCTION("GOOGLETRANSLATE(C6208, ""en"", ""fa"")
"),"بینش هایی در مورد نحوه ارزیابی رقابت محصول و تعیین سطح اشباع بازار به اشتراک بگذارید.")</f>
        <v>بینش هایی در مورد نحوه ارزیابی رقابت محصول و تعیین سطح اشباع بازار به اشتراک بگذارید.</v>
      </c>
      <c r="H6208" s="1"/>
      <c r="I6208" s="1"/>
      <c r="J6208" s="1"/>
      <c r="K6208" s="1"/>
      <c r="L6208" s="1"/>
      <c r="M6208" s="1"/>
      <c r="N6208" s="1"/>
      <c r="O6208" s="1"/>
      <c r="P6208" s="1"/>
      <c r="Q6208" s="1"/>
      <c r="R6208" s="1"/>
      <c r="S6208" s="1"/>
      <c r="T6208" s="1"/>
      <c r="U6208" s="1"/>
      <c r="V6208" s="1"/>
      <c r="W6208" s="1"/>
      <c r="X6208" s="1"/>
      <c r="Y6208" s="1"/>
      <c r="Z6208" s="1"/>
      <c r="AA6208" s="1"/>
      <c r="AB6208" s="1"/>
    </row>
    <row r="6209" ht="50.25" customHeight="1">
      <c r="A6209" s="12">
        <v>6205.0</v>
      </c>
      <c r="B6209" s="13" t="s">
        <v>6141</v>
      </c>
      <c r="C6209" s="14" t="s">
        <v>6232</v>
      </c>
      <c r="D6209" s="1"/>
      <c r="E6209" s="1"/>
      <c r="F6209" s="1" t="str">
        <f>IFERROR(__xludf.DUMMYFUNCTION("GOOGLETRANSLATE(B6209, ""en"", ""fa"")
"),"موفقیت آمازون")</f>
        <v>موفقیت آمازون</v>
      </c>
      <c r="G6209" s="1" t="str">
        <f>IFERROR(__xludf.DUMMYFUNCTION("GOOGLETRANSLATE(C6209, ""en"", ""fa"")
"),"بهترین روش ها برای در نظر گرفتن منبع محصول و هزینه های ساخت در تحقیقات محصول چیست؟")</f>
        <v>بهترین روش ها برای در نظر گرفتن منبع محصول و هزینه های ساخت در تحقیقات محصول چیست؟</v>
      </c>
      <c r="H6209" s="1"/>
      <c r="I6209" s="1"/>
      <c r="J6209" s="1"/>
      <c r="K6209" s="1"/>
      <c r="L6209" s="1"/>
      <c r="M6209" s="1"/>
      <c r="N6209" s="1"/>
      <c r="O6209" s="1"/>
      <c r="P6209" s="1"/>
      <c r="Q6209" s="1"/>
      <c r="R6209" s="1"/>
      <c r="S6209" s="1"/>
      <c r="T6209" s="1"/>
      <c r="U6209" s="1"/>
      <c r="V6209" s="1"/>
      <c r="W6209" s="1"/>
      <c r="X6209" s="1"/>
      <c r="Y6209" s="1"/>
      <c r="Z6209" s="1"/>
      <c r="AA6209" s="1"/>
      <c r="AB6209" s="1"/>
    </row>
    <row r="6210" ht="50.25" customHeight="1">
      <c r="A6210" s="12">
        <v>6206.0</v>
      </c>
      <c r="B6210" s="13" t="s">
        <v>6141</v>
      </c>
      <c r="C6210" s="14" t="s">
        <v>6233</v>
      </c>
      <c r="D6210" s="1"/>
      <c r="E6210" s="1"/>
      <c r="F6210" s="1" t="str">
        <f>IFERROR(__xludf.DUMMYFUNCTION("GOOGLETRANSLATE(B6210, ""en"", ""fa"")
"),"موفقیت آمازون")</f>
        <v>موفقیت آمازون</v>
      </c>
      <c r="G6210" s="1" t="str">
        <f>IFERROR(__xludf.DUMMYFUNCTION("GOOGLETRANSLATE(C6210, ""en"", ""fa"")
"),"اهمیت ارزیابی سودآوری محصول و محاسبه حاشیه سود بالقوه قبل از سرمایه گذاری در یک محصول را توضیح دهید.")</f>
        <v>اهمیت ارزیابی سودآوری محصول و محاسبه حاشیه سود بالقوه قبل از سرمایه گذاری در یک محصول را توضیح دهید.</v>
      </c>
      <c r="H6210" s="1"/>
      <c r="I6210" s="1"/>
      <c r="J6210" s="1"/>
      <c r="K6210" s="1"/>
      <c r="L6210" s="1"/>
      <c r="M6210" s="1"/>
      <c r="N6210" s="1"/>
      <c r="O6210" s="1"/>
      <c r="P6210" s="1"/>
      <c r="Q6210" s="1"/>
      <c r="R6210" s="1"/>
      <c r="S6210" s="1"/>
      <c r="T6210" s="1"/>
      <c r="U6210" s="1"/>
      <c r="V6210" s="1"/>
      <c r="W6210" s="1"/>
      <c r="X6210" s="1"/>
      <c r="Y6210" s="1"/>
      <c r="Z6210" s="1"/>
      <c r="AA6210" s="1"/>
      <c r="AB6210" s="1"/>
    </row>
    <row r="6211" ht="50.25" customHeight="1">
      <c r="A6211" s="12">
        <v>6207.0</v>
      </c>
      <c r="B6211" s="13" t="s">
        <v>6141</v>
      </c>
      <c r="C6211" s="14" t="s">
        <v>6234</v>
      </c>
      <c r="D6211" s="1"/>
      <c r="E6211" s="1"/>
      <c r="F6211" s="1" t="str">
        <f>IFERROR(__xludf.DUMMYFUNCTION("GOOGLETRANSLATE(B6211, ""en"", ""fa"")
"),"موفقیت آمازون")</f>
        <v>موفقیت آمازون</v>
      </c>
      <c r="G6211" s="1" t="str">
        <f>IFERROR(__xludf.DUMMYFUNCTION("GOOGLETRANSLATE(C6211, ""en"", ""fa"")
"),"چگونه فروشندگان می توانند محصولات با رقابت کم و پتانسیل سود بالا را در دسته های خاص آمازون شناسایی کنند؟")</f>
        <v>چگونه فروشندگان می توانند محصولات با رقابت کم و پتانسیل سود بالا را در دسته های خاص آمازون شناسایی کنند؟</v>
      </c>
      <c r="H6211" s="1"/>
      <c r="I6211" s="1"/>
      <c r="J6211" s="1"/>
      <c r="K6211" s="1"/>
      <c r="L6211" s="1"/>
      <c r="M6211" s="1"/>
      <c r="N6211" s="1"/>
      <c r="O6211" s="1"/>
      <c r="P6211" s="1"/>
      <c r="Q6211" s="1"/>
      <c r="R6211" s="1"/>
      <c r="S6211" s="1"/>
      <c r="T6211" s="1"/>
      <c r="U6211" s="1"/>
      <c r="V6211" s="1"/>
      <c r="W6211" s="1"/>
      <c r="X6211" s="1"/>
      <c r="Y6211" s="1"/>
      <c r="Z6211" s="1"/>
      <c r="AA6211" s="1"/>
      <c r="AB6211" s="1"/>
    </row>
    <row r="6212" ht="50.25" customHeight="1">
      <c r="A6212" s="12">
        <v>6208.0</v>
      </c>
      <c r="B6212" s="13" t="s">
        <v>6141</v>
      </c>
      <c r="C6212" s="14" t="s">
        <v>6235</v>
      </c>
      <c r="D6212" s="1"/>
      <c r="E6212" s="1"/>
      <c r="F6212" s="1" t="str">
        <f>IFERROR(__xludf.DUMMYFUNCTION("GOOGLETRANSLATE(B6212, ""en"", ""fa"")
"),"موفقیت آمازون")</f>
        <v>موفقیت آمازون</v>
      </c>
      <c r="G6212" s="1" t="str">
        <f>IFERROR(__xludf.DUMMYFUNCTION("GOOGLETRANSLATE(C6212, ""en"", ""fa"")
"),"استراتژی های استفاده از بازخورد و نظرات مشتری برای شناسایی فرصت های بهبود محصول را به اشتراک بگذارید.")</f>
        <v>استراتژی های استفاده از بازخورد و نظرات مشتری برای شناسایی فرصت های بهبود محصول را به اشتراک بگذارید.</v>
      </c>
      <c r="H6212" s="1"/>
      <c r="I6212" s="1"/>
      <c r="J6212" s="1"/>
      <c r="K6212" s="1"/>
      <c r="L6212" s="1"/>
      <c r="M6212" s="1"/>
      <c r="N6212" s="1"/>
      <c r="O6212" s="1"/>
      <c r="P6212" s="1"/>
      <c r="Q6212" s="1"/>
      <c r="R6212" s="1"/>
      <c r="S6212" s="1"/>
      <c r="T6212" s="1"/>
      <c r="U6212" s="1"/>
      <c r="V6212" s="1"/>
      <c r="W6212" s="1"/>
      <c r="X6212" s="1"/>
      <c r="Y6212" s="1"/>
      <c r="Z6212" s="1"/>
      <c r="AA6212" s="1"/>
      <c r="AB6212" s="1"/>
    </row>
    <row r="6213" ht="50.25" customHeight="1">
      <c r="A6213" s="12">
        <v>6209.0</v>
      </c>
      <c r="B6213" s="13" t="s">
        <v>6141</v>
      </c>
      <c r="C6213" s="14" t="s">
        <v>6236</v>
      </c>
      <c r="D6213" s="1"/>
      <c r="E6213" s="1"/>
      <c r="F6213" s="1" t="str">
        <f>IFERROR(__xludf.DUMMYFUNCTION("GOOGLETRANSLATE(B6213, ""en"", ""fa"")
"),"موفقیت آمازون")</f>
        <v>موفقیت آمازون</v>
      </c>
      <c r="G6213" s="1" t="str">
        <f>IFERROR(__xludf.DUMMYFUNCTION("GOOGLETRANSLATE(C6213, ""en"", ""fa"")
"),"در مورد اهمیت در نظر گرفتن طول عمر و پایداری محصول در تحقیقات محصول بحث کنید.")</f>
        <v>در مورد اهمیت در نظر گرفتن طول عمر و پایداری محصول در تحقیقات محصول بحث کنید.</v>
      </c>
      <c r="H6213" s="1"/>
      <c r="I6213" s="1"/>
      <c r="J6213" s="1"/>
      <c r="K6213" s="1"/>
      <c r="L6213" s="1"/>
      <c r="M6213" s="1"/>
      <c r="N6213" s="1"/>
      <c r="O6213" s="1"/>
      <c r="P6213" s="1"/>
      <c r="Q6213" s="1"/>
      <c r="R6213" s="1"/>
      <c r="S6213" s="1"/>
      <c r="T6213" s="1"/>
      <c r="U6213" s="1"/>
      <c r="V6213" s="1"/>
      <c r="W6213" s="1"/>
      <c r="X6213" s="1"/>
      <c r="Y6213" s="1"/>
      <c r="Z6213" s="1"/>
      <c r="AA6213" s="1"/>
      <c r="AB6213" s="1"/>
    </row>
    <row r="6214" ht="50.25" customHeight="1">
      <c r="A6214" s="12">
        <v>6210.0</v>
      </c>
      <c r="B6214" s="13" t="s">
        <v>6141</v>
      </c>
      <c r="C6214" s="14" t="s">
        <v>6237</v>
      </c>
      <c r="D6214" s="1"/>
      <c r="E6214" s="1"/>
      <c r="F6214" s="1" t="str">
        <f>IFERROR(__xludf.DUMMYFUNCTION("GOOGLETRANSLATE(B6214, ""en"", ""fa"")
"),"موفقیت آمازون")</f>
        <v>موفقیت آمازون</v>
      </c>
      <c r="G6214" s="1" t="str">
        <f>IFERROR(__xludf.DUMMYFUNCTION("GOOGLETRANSLATE(C6214, ""en"", ""fa"")
"),"چگونه فروشندگان می توانند پتانسیل تمایز محصول و پیشنهادات فروش منحصر به فرد را در بازار ارزیابی کنند؟")</f>
        <v>چگونه فروشندگان می توانند پتانسیل تمایز محصول و پیشنهادات فروش منحصر به فرد را در بازار ارزیابی کنند؟</v>
      </c>
      <c r="H6214" s="1"/>
      <c r="I6214" s="1"/>
      <c r="J6214" s="1"/>
      <c r="K6214" s="1"/>
      <c r="L6214" s="1"/>
      <c r="M6214" s="1"/>
      <c r="N6214" s="1"/>
      <c r="O6214" s="1"/>
      <c r="P6214" s="1"/>
      <c r="Q6214" s="1"/>
      <c r="R6214" s="1"/>
      <c r="S6214" s="1"/>
      <c r="T6214" s="1"/>
      <c r="U6214" s="1"/>
      <c r="V6214" s="1"/>
      <c r="W6214" s="1"/>
      <c r="X6214" s="1"/>
      <c r="Y6214" s="1"/>
      <c r="Z6214" s="1"/>
      <c r="AA6214" s="1"/>
      <c r="AB6214" s="1"/>
    </row>
    <row r="6215" ht="50.25" customHeight="1">
      <c r="A6215" s="12">
        <v>6211.0</v>
      </c>
      <c r="B6215" s="13" t="s">
        <v>6141</v>
      </c>
      <c r="C6215" s="14" t="s">
        <v>6238</v>
      </c>
      <c r="D6215" s="1"/>
      <c r="E6215" s="1"/>
      <c r="F6215" s="1" t="str">
        <f>IFERROR(__xludf.DUMMYFUNCTION("GOOGLETRANSLATE(B6215, ""en"", ""fa"")
"),"موفقیت آمازون")</f>
        <v>موفقیت آمازون</v>
      </c>
      <c r="G6215" s="1" t="str">
        <f>IFERROR(__xludf.DUMMYFUNCTION("GOOGLETRANSLATE(C6215, ""en"", ""fa"")
"),"نکاتی را برای استفاده از پلتفرم های رسانه های اجتماعی و جوامع آنلاین برای شناسایی روندهای نوظهور محصول به اشتراک بگذارید.")</f>
        <v>نکاتی را برای استفاده از پلتفرم های رسانه های اجتماعی و جوامع آنلاین برای شناسایی روندهای نوظهور محصول به اشتراک بگذارید.</v>
      </c>
      <c r="H6215" s="1"/>
      <c r="I6215" s="1"/>
      <c r="J6215" s="1"/>
      <c r="K6215" s="1"/>
      <c r="L6215" s="1"/>
      <c r="M6215" s="1"/>
      <c r="N6215" s="1"/>
      <c r="O6215" s="1"/>
      <c r="P6215" s="1"/>
      <c r="Q6215" s="1"/>
      <c r="R6215" s="1"/>
      <c r="S6215" s="1"/>
      <c r="T6215" s="1"/>
      <c r="U6215" s="1"/>
      <c r="V6215" s="1"/>
      <c r="W6215" s="1"/>
      <c r="X6215" s="1"/>
      <c r="Y6215" s="1"/>
      <c r="Z6215" s="1"/>
      <c r="AA6215" s="1"/>
      <c r="AB6215" s="1"/>
    </row>
    <row r="6216" ht="50.25" customHeight="1">
      <c r="A6216" s="12">
        <v>6212.0</v>
      </c>
      <c r="B6216" s="13" t="s">
        <v>6141</v>
      </c>
      <c r="C6216" s="14" t="s">
        <v>6239</v>
      </c>
      <c r="D6216" s="1"/>
      <c r="E6216" s="1"/>
      <c r="F6216" s="1" t="str">
        <f>IFERROR(__xludf.DUMMYFUNCTION("GOOGLETRANSLATE(B6216, ""en"", ""fa"")
"),"موفقیت آمازون")</f>
        <v>موفقیت آمازون</v>
      </c>
      <c r="G6216" s="1" t="str">
        <f>IFERROR(__xludf.DUMMYFUNCTION("GOOGLETRANSLATE(C6216, ""en"", ""fa"")
"),"بهترین روش‌ها برای شناسایی بخش‌های مشتری و بازارهای خاص چیست؟")</f>
        <v>بهترین روش‌ها برای شناسایی بخش‌های مشتری و بازارهای خاص چیست؟</v>
      </c>
      <c r="H6216" s="1"/>
      <c r="I6216" s="1"/>
      <c r="J6216" s="1"/>
      <c r="K6216" s="1"/>
      <c r="L6216" s="1"/>
      <c r="M6216" s="1"/>
      <c r="N6216" s="1"/>
      <c r="O6216" s="1"/>
      <c r="P6216" s="1"/>
      <c r="Q6216" s="1"/>
      <c r="R6216" s="1"/>
      <c r="S6216" s="1"/>
      <c r="T6216" s="1"/>
      <c r="U6216" s="1"/>
      <c r="V6216" s="1"/>
      <c r="W6216" s="1"/>
      <c r="X6216" s="1"/>
      <c r="Y6216" s="1"/>
      <c r="Z6216" s="1"/>
      <c r="AA6216" s="1"/>
      <c r="AB6216" s="1"/>
    </row>
    <row r="6217" ht="50.25" customHeight="1">
      <c r="A6217" s="12">
        <v>6213.0</v>
      </c>
      <c r="B6217" s="13" t="s">
        <v>6141</v>
      </c>
      <c r="C6217" s="14" t="s">
        <v>6240</v>
      </c>
      <c r="D6217" s="1"/>
      <c r="E6217" s="1"/>
      <c r="F6217" s="1" t="str">
        <f>IFERROR(__xludf.DUMMYFUNCTION("GOOGLETRANSLATE(B6217, ""en"", ""fa"")
"),"موفقیت آمازون")</f>
        <v>موفقیت آمازون</v>
      </c>
      <c r="G6217" s="1" t="str">
        <f>IFERROR(__xludf.DUMMYFUNCTION("GOOGLETRANSLATE(C6217, ""en"", ""fa"")
"),"اهمیت در نظر گرفتن فصلی بودن محصول و تأثیر بالقوه آن بر فروش و سودآوری را توضیح دهید.")</f>
        <v>اهمیت در نظر گرفتن فصلی بودن محصول و تأثیر بالقوه آن بر فروش و سودآوری را توضیح دهید.</v>
      </c>
      <c r="H6217" s="1"/>
      <c r="I6217" s="1"/>
      <c r="J6217" s="1"/>
      <c r="K6217" s="1"/>
      <c r="L6217" s="1"/>
      <c r="M6217" s="1"/>
      <c r="N6217" s="1"/>
      <c r="O6217" s="1"/>
      <c r="P6217" s="1"/>
      <c r="Q6217" s="1"/>
      <c r="R6217" s="1"/>
      <c r="S6217" s="1"/>
      <c r="T6217" s="1"/>
      <c r="U6217" s="1"/>
      <c r="V6217" s="1"/>
      <c r="W6217" s="1"/>
      <c r="X6217" s="1"/>
      <c r="Y6217" s="1"/>
      <c r="Z6217" s="1"/>
      <c r="AA6217" s="1"/>
      <c r="AB6217" s="1"/>
    </row>
    <row r="6218" ht="50.25" customHeight="1">
      <c r="A6218" s="12">
        <v>6214.0</v>
      </c>
      <c r="B6218" s="13" t="s">
        <v>6141</v>
      </c>
      <c r="C6218" s="14" t="s">
        <v>6241</v>
      </c>
      <c r="D6218" s="1"/>
      <c r="E6218" s="1"/>
      <c r="F6218" s="1" t="str">
        <f>IFERROR(__xludf.DUMMYFUNCTION("GOOGLETRANSLATE(B6218, ""en"", ""fa"")
"),"موفقیت آمازون")</f>
        <v>موفقیت آمازون</v>
      </c>
      <c r="G6218" s="1" t="str">
        <f>IFERROR(__xludf.DUMMYFUNCTION("GOOGLETRANSLATE(C6218, ""en"", ""fa"")
"),"چگونه فروشندگان می توانند از تجزیه و تحلیل داده ها و معیارهای فروش برای شناسایی دسته بندی محصولات با عملکرد بالا استفاده کنند؟")</f>
        <v>چگونه فروشندگان می توانند از تجزیه و تحلیل داده ها و معیارهای فروش برای شناسایی دسته بندی محصولات با عملکرد بالا استفاده کنند؟</v>
      </c>
      <c r="H6218" s="1"/>
      <c r="I6218" s="1"/>
      <c r="J6218" s="1"/>
      <c r="K6218" s="1"/>
      <c r="L6218" s="1"/>
      <c r="M6218" s="1"/>
      <c r="N6218" s="1"/>
      <c r="O6218" s="1"/>
      <c r="P6218" s="1"/>
      <c r="Q6218" s="1"/>
      <c r="R6218" s="1"/>
      <c r="S6218" s="1"/>
      <c r="T6218" s="1"/>
      <c r="U6218" s="1"/>
      <c r="V6218" s="1"/>
      <c r="W6218" s="1"/>
      <c r="X6218" s="1"/>
      <c r="Y6218" s="1"/>
      <c r="Z6218" s="1"/>
      <c r="AA6218" s="1"/>
      <c r="AB6218" s="1"/>
    </row>
    <row r="6219" ht="50.25" customHeight="1">
      <c r="A6219" s="12">
        <v>6215.0</v>
      </c>
      <c r="B6219" s="13" t="s">
        <v>6141</v>
      </c>
      <c r="C6219" s="14" t="s">
        <v>6242</v>
      </c>
      <c r="D6219" s="1"/>
      <c r="E6219" s="1"/>
      <c r="F6219" s="1" t="str">
        <f>IFERROR(__xludf.DUMMYFUNCTION("GOOGLETRANSLATE(B6219, ""en"", ""fa"")
"),"موفقیت آمازون")</f>
        <v>موفقیت آمازون</v>
      </c>
      <c r="G6219" s="1" t="str">
        <f>IFERROR(__xludf.DUMMYFUNCTION("GOOGLETRANSLATE(C6219, ""en"", ""fa"")
"),"درباره نحوه تحقیق و شناسایی فرصت‌های محصول با برچسب خصوصی محبوب و سودآور، بینش‌هایی را به اشتراک بگذارید.")</f>
        <v>درباره نحوه تحقیق و شناسایی فرصت‌های محصول با برچسب خصوصی محبوب و سودآور، بینش‌هایی را به اشتراک بگذارید.</v>
      </c>
      <c r="H6219" s="1"/>
      <c r="I6219" s="1"/>
      <c r="J6219" s="1"/>
      <c r="K6219" s="1"/>
      <c r="L6219" s="1"/>
      <c r="M6219" s="1"/>
      <c r="N6219" s="1"/>
      <c r="O6219" s="1"/>
      <c r="P6219" s="1"/>
      <c r="Q6219" s="1"/>
      <c r="R6219" s="1"/>
      <c r="S6219" s="1"/>
      <c r="T6219" s="1"/>
      <c r="U6219" s="1"/>
      <c r="V6219" s="1"/>
      <c r="W6219" s="1"/>
      <c r="X6219" s="1"/>
      <c r="Y6219" s="1"/>
      <c r="Z6219" s="1"/>
      <c r="AA6219" s="1"/>
      <c r="AB6219" s="1"/>
    </row>
    <row r="6220" ht="50.25" customHeight="1">
      <c r="A6220" s="12">
        <v>6216.0</v>
      </c>
      <c r="B6220" s="13" t="s">
        <v>6141</v>
      </c>
      <c r="C6220" s="14" t="s">
        <v>6243</v>
      </c>
      <c r="D6220" s="1"/>
      <c r="E6220" s="1"/>
      <c r="F6220" s="1" t="str">
        <f>IFERROR(__xludf.DUMMYFUNCTION("GOOGLETRANSLATE(B6220, ""en"", ""fa"")
"),"موفقیت آمازون")</f>
        <v>موفقیت آمازون</v>
      </c>
      <c r="G6220" s="1" t="str">
        <f>IFERROR(__xludf.DUMMYFUNCTION("GOOGLETRANSLATE(C6220, ""en"", ""fa"")
"),"درباره نقش نمایشگاه‌ها و رویدادهای صنعتی در کشف ایده‌ها و نوآوری‌های محصول جدید بحث کنید.")</f>
        <v>درباره نقش نمایشگاه‌ها و رویدادهای صنعتی در کشف ایده‌ها و نوآوری‌های محصول جدید بحث کنید.</v>
      </c>
      <c r="H6220" s="1"/>
      <c r="I6220" s="1"/>
      <c r="J6220" s="1"/>
      <c r="K6220" s="1"/>
      <c r="L6220" s="1"/>
      <c r="M6220" s="1"/>
      <c r="N6220" s="1"/>
      <c r="O6220" s="1"/>
      <c r="P6220" s="1"/>
      <c r="Q6220" s="1"/>
      <c r="R6220" s="1"/>
      <c r="S6220" s="1"/>
      <c r="T6220" s="1"/>
      <c r="U6220" s="1"/>
      <c r="V6220" s="1"/>
      <c r="W6220" s="1"/>
      <c r="X6220" s="1"/>
      <c r="Y6220" s="1"/>
      <c r="Z6220" s="1"/>
      <c r="AA6220" s="1"/>
      <c r="AB6220" s="1"/>
    </row>
    <row r="6221" ht="50.25" customHeight="1">
      <c r="A6221" s="12">
        <v>6217.0</v>
      </c>
      <c r="B6221" s="13" t="s">
        <v>6141</v>
      </c>
      <c r="C6221" s="14" t="s">
        <v>6244</v>
      </c>
      <c r="D6221" s="1"/>
      <c r="E6221" s="1"/>
      <c r="F6221" s="1" t="str">
        <f>IFERROR(__xludf.DUMMYFUNCTION("GOOGLETRANSLATE(B6221, ""en"", ""fa"")
"),"موفقیت آمازون")</f>
        <v>موفقیت آمازون</v>
      </c>
      <c r="G6221" s="1" t="str">
        <f>IFERROR(__xludf.DUMMYFUNCTION("GOOGLETRANSLATE(C6221, ""en"", ""fa"")
"),"فروشندگان چگونه می توانند مقیاس پذیری یک محصول و پتانسیل آن را برای موفقیت بلندمدت ارزیابی کنند؟")</f>
        <v>فروشندگان چگونه می توانند مقیاس پذیری یک محصول و پتانسیل آن را برای موفقیت بلندمدت ارزیابی کنند؟</v>
      </c>
      <c r="H6221" s="1"/>
      <c r="I6221" s="1"/>
      <c r="J6221" s="1"/>
      <c r="K6221" s="1"/>
      <c r="L6221" s="1"/>
      <c r="M6221" s="1"/>
      <c r="N6221" s="1"/>
      <c r="O6221" s="1"/>
      <c r="P6221" s="1"/>
      <c r="Q6221" s="1"/>
      <c r="R6221" s="1"/>
      <c r="S6221" s="1"/>
      <c r="T6221" s="1"/>
      <c r="U6221" s="1"/>
      <c r="V6221" s="1"/>
      <c r="W6221" s="1"/>
      <c r="X6221" s="1"/>
      <c r="Y6221" s="1"/>
      <c r="Z6221" s="1"/>
      <c r="AA6221" s="1"/>
      <c r="AB6221" s="1"/>
    </row>
    <row r="6222" ht="50.25" customHeight="1">
      <c r="A6222" s="12">
        <v>6218.0</v>
      </c>
      <c r="B6222" s="13" t="s">
        <v>6141</v>
      </c>
      <c r="C6222" s="14" t="s">
        <v>6245</v>
      </c>
      <c r="D6222" s="1"/>
      <c r="E6222" s="1"/>
      <c r="F6222" s="1" t="str">
        <f>IFERROR(__xludf.DUMMYFUNCTION("GOOGLETRANSLATE(B6222, ""en"", ""fa"")
"),"موفقیت آمازون")</f>
        <v>موفقیت آمازون</v>
      </c>
      <c r="G6222" s="1" t="str">
        <f>IFERROR(__xludf.DUMMYFUNCTION("GOOGLETRANSLATE(C6222, ""en"", ""fa"")
"),"نکاتی را برای استفاده از نظرسنجی‌ها و بازخورد مشتریان برای اعتبارسنجی ایده‌های محصول و جمع‌آوری بینش‌های بازار به اشتراک بگذارید.")</f>
        <v>نکاتی را برای استفاده از نظرسنجی‌ها و بازخورد مشتریان برای اعتبارسنجی ایده‌های محصول و جمع‌آوری بینش‌های بازار به اشتراک بگذارید.</v>
      </c>
      <c r="H6222" s="1"/>
      <c r="I6222" s="1"/>
      <c r="J6222" s="1"/>
      <c r="K6222" s="1"/>
      <c r="L6222" s="1"/>
      <c r="M6222" s="1"/>
      <c r="N6222" s="1"/>
      <c r="O6222" s="1"/>
      <c r="P6222" s="1"/>
      <c r="Q6222" s="1"/>
      <c r="R6222" s="1"/>
      <c r="S6222" s="1"/>
      <c r="T6222" s="1"/>
      <c r="U6222" s="1"/>
      <c r="V6222" s="1"/>
      <c r="W6222" s="1"/>
      <c r="X6222" s="1"/>
      <c r="Y6222" s="1"/>
      <c r="Z6222" s="1"/>
      <c r="AA6222" s="1"/>
      <c r="AB6222" s="1"/>
    </row>
    <row r="6223" ht="50.25" customHeight="1">
      <c r="A6223" s="12">
        <v>6219.0</v>
      </c>
      <c r="B6223" s="13" t="s">
        <v>6141</v>
      </c>
      <c r="C6223" s="14" t="s">
        <v>6246</v>
      </c>
      <c r="D6223" s="1"/>
      <c r="E6223" s="1"/>
      <c r="F6223" s="1" t="str">
        <f>IFERROR(__xludf.DUMMYFUNCTION("GOOGLETRANSLATE(B6223, ""en"", ""fa"")
"),"موفقیت آمازون")</f>
        <v>موفقیت آمازون</v>
      </c>
      <c r="G6223" s="1" t="str">
        <f>IFERROR(__xludf.DUMMYFUNCTION("GOOGLETRANSLATE(C6223, ""en"", ""fa"")
"),"بهترین شیوه ها برای در نظر گرفتن محدودیت ها و مقررات محصول در بازارهای خاص چیست؟")</f>
        <v>بهترین شیوه ها برای در نظر گرفتن محدودیت ها و مقررات محصول در بازارهای خاص چیست؟</v>
      </c>
      <c r="H6223" s="1"/>
      <c r="I6223" s="1"/>
      <c r="J6223" s="1"/>
      <c r="K6223" s="1"/>
      <c r="L6223" s="1"/>
      <c r="M6223" s="1"/>
      <c r="N6223" s="1"/>
      <c r="O6223" s="1"/>
      <c r="P6223" s="1"/>
      <c r="Q6223" s="1"/>
      <c r="R6223" s="1"/>
      <c r="S6223" s="1"/>
      <c r="T6223" s="1"/>
      <c r="U6223" s="1"/>
      <c r="V6223" s="1"/>
      <c r="W6223" s="1"/>
      <c r="X6223" s="1"/>
      <c r="Y6223" s="1"/>
      <c r="Z6223" s="1"/>
      <c r="AA6223" s="1"/>
      <c r="AB6223" s="1"/>
    </row>
    <row r="6224" ht="50.25" customHeight="1">
      <c r="A6224" s="12">
        <v>6220.0</v>
      </c>
      <c r="B6224" s="13" t="s">
        <v>6141</v>
      </c>
      <c r="C6224" s="14" t="s">
        <v>6247</v>
      </c>
      <c r="D6224" s="1"/>
      <c r="E6224" s="1"/>
      <c r="F6224" s="1" t="str">
        <f>IFERROR(__xludf.DUMMYFUNCTION("GOOGLETRANSLATE(B6224, ""en"", ""fa"")
"),"موفقیت آمازون")</f>
        <v>موفقیت آمازون</v>
      </c>
      <c r="G6224" s="1" t="str">
        <f>IFERROR(__xludf.DUMMYFUNCTION("GOOGLETRANSLATE(C6224, ""en"", ""fa"")
"),"اهمیت تجزیه و تحلیل قیمت گذاری محصول و تعیین چشم انداز رقابتی را توضیح دهید.")</f>
        <v>اهمیت تجزیه و تحلیل قیمت گذاری محصول و تعیین چشم انداز رقابتی را توضیح دهید.</v>
      </c>
      <c r="H6224" s="1"/>
      <c r="I6224" s="1"/>
      <c r="J6224" s="1"/>
      <c r="K6224" s="1"/>
      <c r="L6224" s="1"/>
      <c r="M6224" s="1"/>
      <c r="N6224" s="1"/>
      <c r="O6224" s="1"/>
      <c r="P6224" s="1"/>
      <c r="Q6224" s="1"/>
      <c r="R6224" s="1"/>
      <c r="S6224" s="1"/>
      <c r="T6224" s="1"/>
      <c r="U6224" s="1"/>
      <c r="V6224" s="1"/>
      <c r="W6224" s="1"/>
      <c r="X6224" s="1"/>
      <c r="Y6224" s="1"/>
      <c r="Z6224" s="1"/>
      <c r="AA6224" s="1"/>
      <c r="AB6224" s="1"/>
    </row>
    <row r="6225" ht="50.25" customHeight="1">
      <c r="A6225" s="12">
        <v>6221.0</v>
      </c>
      <c r="B6225" s="13" t="s">
        <v>6141</v>
      </c>
      <c r="C6225" s="14" t="s">
        <v>6248</v>
      </c>
      <c r="D6225" s="1"/>
      <c r="E6225" s="1"/>
      <c r="F6225" s="1" t="str">
        <f>IFERROR(__xludf.DUMMYFUNCTION("GOOGLETRANSLATE(B6225, ""en"", ""fa"")
"),"موفقیت آمازون")</f>
        <v>موفقیت آمازون</v>
      </c>
      <c r="G6225" s="1" t="str">
        <f>IFERROR(__xludf.DUMMYFUNCTION("GOOGLETRANSLATE(C6225, ""en"", ""fa"")
"),"چگونه فروشندگان می توانند از داده های حجم جستجوی مشتری برای شناسایی فرصت های محصول با تقاضای جستجوی بالا استفاده کنند؟")</f>
        <v>چگونه فروشندگان می توانند از داده های حجم جستجوی مشتری برای شناسایی فرصت های محصول با تقاضای جستجوی بالا استفاده کنند؟</v>
      </c>
      <c r="H6225" s="1"/>
      <c r="I6225" s="1"/>
      <c r="J6225" s="1"/>
      <c r="K6225" s="1"/>
      <c r="L6225" s="1"/>
      <c r="M6225" s="1"/>
      <c r="N6225" s="1"/>
      <c r="O6225" s="1"/>
      <c r="P6225" s="1"/>
      <c r="Q6225" s="1"/>
      <c r="R6225" s="1"/>
      <c r="S6225" s="1"/>
      <c r="T6225" s="1"/>
      <c r="U6225" s="1"/>
      <c r="V6225" s="1"/>
      <c r="W6225" s="1"/>
      <c r="X6225" s="1"/>
      <c r="Y6225" s="1"/>
      <c r="Z6225" s="1"/>
      <c r="AA6225" s="1"/>
      <c r="AB6225" s="1"/>
    </row>
    <row r="6226" ht="50.25" customHeight="1">
      <c r="A6226" s="12">
        <v>6222.0</v>
      </c>
      <c r="B6226" s="13" t="s">
        <v>6141</v>
      </c>
      <c r="C6226" s="14" t="s">
        <v>6249</v>
      </c>
      <c r="D6226" s="1"/>
      <c r="E6226" s="1"/>
      <c r="F6226" s="1" t="str">
        <f>IFERROR(__xludf.DUMMYFUNCTION("GOOGLETRANSLATE(B6226, ""en"", ""fa"")
"),"موفقیت آمازون")</f>
        <v>موفقیت آمازون</v>
      </c>
      <c r="G6226" s="1" t="str">
        <f>IFERROR(__xludf.DUMMYFUNCTION("GOOGLETRANSLATE(C6226, ""en"", ""fa"")
"),"در مورد اهمیت ارزیابی پتانسیل برای بسته‌بندی محصول و فرصت‌های فروش بالا بحث کنید.")</f>
        <v>در مورد اهمیت ارزیابی پتانسیل برای بسته‌بندی محصول و فرصت‌های فروش بالا بحث کنید.</v>
      </c>
      <c r="H6226" s="1"/>
      <c r="I6226" s="1"/>
      <c r="J6226" s="1"/>
      <c r="K6226" s="1"/>
      <c r="L6226" s="1"/>
      <c r="M6226" s="1"/>
      <c r="N6226" s="1"/>
      <c r="O6226" s="1"/>
      <c r="P6226" s="1"/>
      <c r="Q6226" s="1"/>
      <c r="R6226" s="1"/>
      <c r="S6226" s="1"/>
      <c r="T6226" s="1"/>
      <c r="U6226" s="1"/>
      <c r="V6226" s="1"/>
      <c r="W6226" s="1"/>
      <c r="X6226" s="1"/>
      <c r="Y6226" s="1"/>
      <c r="Z6226" s="1"/>
      <c r="AA6226" s="1"/>
      <c r="AB6226" s="1"/>
    </row>
    <row r="6227" ht="50.25" customHeight="1">
      <c r="A6227" s="12">
        <v>6223.0</v>
      </c>
      <c r="B6227" s="13" t="s">
        <v>6141</v>
      </c>
      <c r="C6227" s="14" t="s">
        <v>6250</v>
      </c>
      <c r="D6227" s="1"/>
      <c r="E6227" s="1"/>
      <c r="F6227" s="1" t="str">
        <f>IFERROR(__xludf.DUMMYFUNCTION("GOOGLETRANSLATE(B6227, ""en"", ""fa"")
"),"موفقیت آمازون")</f>
        <v>موفقیت آمازون</v>
      </c>
      <c r="G6227" s="1" t="str">
        <f>IFERROR(__xludf.DUMMYFUNCTION("GOOGLETRANSLATE(C6227, ""en"", ""fa"")
"),"استراتژی‌های استفاده از پلتفرم‌ها و کمپین‌های تامین مالی جمعی را برای سنجش علاقه بازار و اعتبارسنجی ایده‌های محصول به اشتراک بگذارید.")</f>
        <v>استراتژی‌های استفاده از پلتفرم‌ها و کمپین‌های تامین مالی جمعی را برای سنجش علاقه بازار و اعتبارسنجی ایده‌های محصول به اشتراک بگذارید.</v>
      </c>
      <c r="H6227" s="1"/>
      <c r="I6227" s="1"/>
      <c r="J6227" s="1"/>
      <c r="K6227" s="1"/>
      <c r="L6227" s="1"/>
      <c r="M6227" s="1"/>
      <c r="N6227" s="1"/>
      <c r="O6227" s="1"/>
      <c r="P6227" s="1"/>
      <c r="Q6227" s="1"/>
      <c r="R6227" s="1"/>
      <c r="S6227" s="1"/>
      <c r="T6227" s="1"/>
      <c r="U6227" s="1"/>
      <c r="V6227" s="1"/>
      <c r="W6227" s="1"/>
      <c r="X6227" s="1"/>
      <c r="Y6227" s="1"/>
      <c r="Z6227" s="1"/>
      <c r="AA6227" s="1"/>
      <c r="AB6227" s="1"/>
    </row>
    <row r="6228" ht="50.25" customHeight="1">
      <c r="A6228" s="12">
        <v>6224.0</v>
      </c>
      <c r="B6228" s="13" t="s">
        <v>6141</v>
      </c>
      <c r="C6228" s="14" t="s">
        <v>6251</v>
      </c>
      <c r="D6228" s="1"/>
      <c r="E6228" s="1"/>
      <c r="F6228" s="1" t="str">
        <f>IFERROR(__xludf.DUMMYFUNCTION("GOOGLETRANSLATE(B6228, ""en"", ""fa"")
"),"موفقیت آمازون")</f>
        <v>موفقیت آمازون</v>
      </c>
      <c r="G6228" s="1" t="str">
        <f>IFERROR(__xludf.DUMMYFUNCTION("GOOGLETRANSLATE(C6228, ""en"", ""fa"")
"),"بهترین روش ها برای ارزیابی روند محصول و تقاضا در بازارهای بین المللی چیست؟")</f>
        <v>بهترین روش ها برای ارزیابی روند محصول و تقاضا در بازارهای بین المللی چیست؟</v>
      </c>
      <c r="H6228" s="1"/>
      <c r="I6228" s="1"/>
      <c r="J6228" s="1"/>
      <c r="K6228" s="1"/>
      <c r="L6228" s="1"/>
      <c r="M6228" s="1"/>
      <c r="N6228" s="1"/>
      <c r="O6228" s="1"/>
      <c r="P6228" s="1"/>
      <c r="Q6228" s="1"/>
      <c r="R6228" s="1"/>
      <c r="S6228" s="1"/>
      <c r="T6228" s="1"/>
      <c r="U6228" s="1"/>
      <c r="V6228" s="1"/>
      <c r="W6228" s="1"/>
      <c r="X6228" s="1"/>
      <c r="Y6228" s="1"/>
      <c r="Z6228" s="1"/>
      <c r="AA6228" s="1"/>
      <c r="AB6228" s="1"/>
    </row>
    <row r="6229" ht="50.25" customHeight="1">
      <c r="A6229" s="12">
        <v>6225.0</v>
      </c>
      <c r="B6229" s="13" t="s">
        <v>6141</v>
      </c>
      <c r="C6229" s="14" t="s">
        <v>6252</v>
      </c>
      <c r="D6229" s="1"/>
      <c r="E6229" s="1"/>
      <c r="F6229" s="1" t="str">
        <f>IFERROR(__xludf.DUMMYFUNCTION("GOOGLETRANSLATE(B6229, ""en"", ""fa"")
"),"موفقیت آمازون")</f>
        <v>موفقیت آمازون</v>
      </c>
      <c r="G6229" s="1" t="str">
        <f>IFERROR(__xludf.DUMMYFUNCTION("GOOGLETRANSLATE(C6229, ""en"", ""fa"")
"),"نقش بررسی ها و رتبه بندی محصول را در درک نکات دردناک مشتری و زمینه های بهبود محصول توضیح دهید.")</f>
        <v>نقش بررسی ها و رتبه بندی محصول را در درک نکات دردناک مشتری و زمینه های بهبود محصول توضیح دهید.</v>
      </c>
      <c r="H6229" s="1"/>
      <c r="I6229" s="1"/>
      <c r="J6229" s="1"/>
      <c r="K6229" s="1"/>
      <c r="L6229" s="1"/>
      <c r="M6229" s="1"/>
      <c r="N6229" s="1"/>
      <c r="O6229" s="1"/>
      <c r="P6229" s="1"/>
      <c r="Q6229" s="1"/>
      <c r="R6229" s="1"/>
      <c r="S6229" s="1"/>
      <c r="T6229" s="1"/>
      <c r="U6229" s="1"/>
      <c r="V6229" s="1"/>
      <c r="W6229" s="1"/>
      <c r="X6229" s="1"/>
      <c r="Y6229" s="1"/>
      <c r="Z6229" s="1"/>
      <c r="AA6229" s="1"/>
      <c r="AB6229" s="1"/>
    </row>
    <row r="6230" ht="50.25" customHeight="1">
      <c r="A6230" s="12">
        <v>6226.0</v>
      </c>
      <c r="B6230" s="13" t="s">
        <v>6141</v>
      </c>
      <c r="C6230" s="14" t="s">
        <v>6253</v>
      </c>
      <c r="D6230" s="1"/>
      <c r="E6230" s="1"/>
      <c r="F6230" s="1" t="str">
        <f>IFERROR(__xludf.DUMMYFUNCTION("GOOGLETRANSLATE(B6230, ""en"", ""fa"")
"),"موفقیت آمازون")</f>
        <v>موفقیت آمازون</v>
      </c>
      <c r="G6230" s="1" t="str">
        <f>IFERROR(__xludf.DUMMYFUNCTION("GOOGLETRANSLATE(C6230, ""en"", ""fa"")
"),"چگونه فروشندگان می توانند از لیست ""Movers and Shakers"" آمازون برای شناسایی محصولات در حال محبوبیت استفاده کنند؟")</f>
        <v>چگونه فروشندگان می توانند از لیست "Movers and Shakers" آمازون برای شناسایی محصولات در حال محبوبیت استفاده کنند؟</v>
      </c>
      <c r="H6230" s="1"/>
      <c r="I6230" s="1"/>
      <c r="J6230" s="1"/>
      <c r="K6230" s="1"/>
      <c r="L6230" s="1"/>
      <c r="M6230" s="1"/>
      <c r="N6230" s="1"/>
      <c r="O6230" s="1"/>
      <c r="P6230" s="1"/>
      <c r="Q6230" s="1"/>
      <c r="R6230" s="1"/>
      <c r="S6230" s="1"/>
      <c r="T6230" s="1"/>
      <c r="U6230" s="1"/>
      <c r="V6230" s="1"/>
      <c r="W6230" s="1"/>
      <c r="X6230" s="1"/>
      <c r="Y6230" s="1"/>
      <c r="Z6230" s="1"/>
      <c r="AA6230" s="1"/>
      <c r="AB6230" s="1"/>
    </row>
    <row r="6231" ht="50.25" customHeight="1">
      <c r="A6231" s="12">
        <v>6227.0</v>
      </c>
      <c r="B6231" s="13" t="s">
        <v>6141</v>
      </c>
      <c r="C6231" s="14" t="s">
        <v>6254</v>
      </c>
      <c r="D6231" s="1"/>
      <c r="E6231" s="1"/>
      <c r="F6231" s="1" t="str">
        <f>IFERROR(__xludf.DUMMYFUNCTION("GOOGLETRANSLATE(B6231, ""en"", ""fa"")
"),"موفقیت آمازون")</f>
        <v>موفقیت آمازون</v>
      </c>
      <c r="G6231" s="1" t="str">
        <f>IFERROR(__xludf.DUMMYFUNCTION("GOOGLETRANSLATE(C6231, ""en"", ""fa"")
"),"در مورد اهمیت در نظر گرفتن گزینه های منبع محصول و ایجاد روابط با تامین کنندگان قابل اعتماد بحث کنید.")</f>
        <v>در مورد اهمیت در نظر گرفتن گزینه های منبع محصول و ایجاد روابط با تامین کنندگان قابل اعتماد بحث کنید.</v>
      </c>
      <c r="H6231" s="1"/>
      <c r="I6231" s="1"/>
      <c r="J6231" s="1"/>
      <c r="K6231" s="1"/>
      <c r="L6231" s="1"/>
      <c r="M6231" s="1"/>
      <c r="N6231" s="1"/>
      <c r="O6231" s="1"/>
      <c r="P6231" s="1"/>
      <c r="Q6231" s="1"/>
      <c r="R6231" s="1"/>
      <c r="S6231" s="1"/>
      <c r="T6231" s="1"/>
      <c r="U6231" s="1"/>
      <c r="V6231" s="1"/>
      <c r="W6231" s="1"/>
      <c r="X6231" s="1"/>
      <c r="Y6231" s="1"/>
      <c r="Z6231" s="1"/>
      <c r="AA6231" s="1"/>
      <c r="AB6231" s="1"/>
    </row>
    <row r="6232" ht="50.25" customHeight="1">
      <c r="A6232" s="12">
        <v>6228.0</v>
      </c>
      <c r="B6232" s="13" t="s">
        <v>6141</v>
      </c>
      <c r="C6232" s="14" t="s">
        <v>6255</v>
      </c>
      <c r="D6232" s="1"/>
      <c r="E6232" s="1"/>
      <c r="F6232" s="1" t="str">
        <f>IFERROR(__xludf.DUMMYFUNCTION("GOOGLETRANSLATE(B6232, ""en"", ""fa"")
"),"موفقیت آمازون")</f>
        <v>موفقیت آمازون</v>
      </c>
      <c r="G6232" s="1" t="str">
        <f>IFERROR(__xludf.DUMMYFUNCTION("GOOGLETRANSLATE(C6232, ""en"", ""fa"")
"),"بینش در مورد چگونگی ارزیابی پتانسیل محصول بر اساس روندهای بلند مدت و ترجیحات مشتری در حال تحول را به اشتراک بگذارید.")</f>
        <v>بینش در مورد چگونگی ارزیابی پتانسیل محصول بر اساس روندهای بلند مدت و ترجیحات مشتری در حال تحول را به اشتراک بگذارید.</v>
      </c>
      <c r="H6232" s="1"/>
      <c r="I6232" s="1"/>
      <c r="J6232" s="1"/>
      <c r="K6232" s="1"/>
      <c r="L6232" s="1"/>
      <c r="M6232" s="1"/>
      <c r="N6232" s="1"/>
      <c r="O6232" s="1"/>
      <c r="P6232" s="1"/>
      <c r="Q6232" s="1"/>
      <c r="R6232" s="1"/>
      <c r="S6232" s="1"/>
      <c r="T6232" s="1"/>
      <c r="U6232" s="1"/>
      <c r="V6232" s="1"/>
      <c r="W6232" s="1"/>
      <c r="X6232" s="1"/>
      <c r="Y6232" s="1"/>
      <c r="Z6232" s="1"/>
      <c r="AA6232" s="1"/>
      <c r="AB6232" s="1"/>
    </row>
    <row r="6233" ht="50.25" customHeight="1">
      <c r="A6233" s="12">
        <v>6229.0</v>
      </c>
      <c r="B6233" s="13" t="s">
        <v>6141</v>
      </c>
      <c r="C6233" s="14" t="s">
        <v>6256</v>
      </c>
      <c r="D6233" s="1"/>
      <c r="E6233" s="1"/>
      <c r="F6233" s="1" t="str">
        <f>IFERROR(__xludf.DUMMYFUNCTION("GOOGLETRANSLATE(B6233, ""en"", ""fa"")
"),"موفقیت آمازون")</f>
        <v>موفقیت آمازون</v>
      </c>
      <c r="G6233" s="1" t="str">
        <f>IFERROR(__xludf.DUMMYFUNCTION("GOOGLETRANSLATE(C6233, ""en"", ""fa"")
"),"بهترین شیوه ها برای انجام تجزیه و تحلیل SWOT (نقاط قوت، ضعف، فرصت ها، تهدیدها) برای محصولات بالقوه چیست؟")</f>
        <v>بهترین شیوه ها برای انجام تجزیه و تحلیل SWOT (نقاط قوت، ضعف، فرصت ها، تهدیدها) برای محصولات بالقوه چیست؟</v>
      </c>
      <c r="H6233" s="1"/>
      <c r="I6233" s="1"/>
      <c r="J6233" s="1"/>
      <c r="K6233" s="1"/>
      <c r="L6233" s="1"/>
      <c r="M6233" s="1"/>
      <c r="N6233" s="1"/>
      <c r="O6233" s="1"/>
      <c r="P6233" s="1"/>
      <c r="Q6233" s="1"/>
      <c r="R6233" s="1"/>
      <c r="S6233" s="1"/>
      <c r="T6233" s="1"/>
      <c r="U6233" s="1"/>
      <c r="V6233" s="1"/>
      <c r="W6233" s="1"/>
      <c r="X6233" s="1"/>
      <c r="Y6233" s="1"/>
      <c r="Z6233" s="1"/>
      <c r="AA6233" s="1"/>
      <c r="AB6233" s="1"/>
    </row>
    <row r="6234" ht="50.25" customHeight="1">
      <c r="A6234" s="12">
        <v>6230.0</v>
      </c>
      <c r="B6234" s="13" t="s">
        <v>6141</v>
      </c>
      <c r="C6234" s="14" t="s">
        <v>6257</v>
      </c>
      <c r="D6234" s="1"/>
      <c r="E6234" s="1"/>
      <c r="F6234" s="1" t="str">
        <f>IFERROR(__xludf.DUMMYFUNCTION("GOOGLETRANSLATE(B6234, ""en"", ""fa"")
"),"موفقیت آمازون")</f>
        <v>موفقیت آمازون</v>
      </c>
      <c r="G6234" s="1" t="str">
        <f>IFERROR(__xludf.DUMMYFUNCTION("GOOGLETRANSLATE(C6234, ""en"", ""fa"")
"),"اهمیت تجزیه و تحلیل رقابت و دشواری کلمات کلیدی را هنگام تحقیق در مورد فرصت های محصول توضیح دهید.")</f>
        <v>اهمیت تجزیه و تحلیل رقابت و دشواری کلمات کلیدی را هنگام تحقیق در مورد فرصت های محصول توضیح دهید.</v>
      </c>
      <c r="H6234" s="1"/>
      <c r="I6234" s="1"/>
      <c r="J6234" s="1"/>
      <c r="K6234" s="1"/>
      <c r="L6234" s="1"/>
      <c r="M6234" s="1"/>
      <c r="N6234" s="1"/>
      <c r="O6234" s="1"/>
      <c r="P6234" s="1"/>
      <c r="Q6234" s="1"/>
      <c r="R6234" s="1"/>
      <c r="S6234" s="1"/>
      <c r="T6234" s="1"/>
      <c r="U6234" s="1"/>
      <c r="V6234" s="1"/>
      <c r="W6234" s="1"/>
      <c r="X6234" s="1"/>
      <c r="Y6234" s="1"/>
      <c r="Z6234" s="1"/>
      <c r="AA6234" s="1"/>
      <c r="AB6234" s="1"/>
    </row>
    <row r="6235" ht="50.25" customHeight="1">
      <c r="A6235" s="12">
        <v>6231.0</v>
      </c>
      <c r="B6235" s="13" t="s">
        <v>6141</v>
      </c>
      <c r="C6235" s="14" t="s">
        <v>6258</v>
      </c>
      <c r="D6235" s="1"/>
      <c r="E6235" s="1"/>
      <c r="F6235" s="1" t="str">
        <f>IFERROR(__xludf.DUMMYFUNCTION("GOOGLETRANSLATE(B6235, ""en"", ""fa"")
"),"موفقیت آمازون")</f>
        <v>موفقیت آمازون</v>
      </c>
      <c r="G6235" s="1" t="str">
        <f>IFERROR(__xludf.DUMMYFUNCTION("GOOGLETRANSLATE(C6235, ""en"", ""fa"")
"),"چگونه فروشندگان می توانند از اطلاعات جمعیتی و روانشناختی مشتری برای شناسایی اولویت ها و نیازهای محصول استفاده کنند؟")</f>
        <v>چگونه فروشندگان می توانند از اطلاعات جمعیتی و روانشناختی مشتری برای شناسایی اولویت ها و نیازهای محصول استفاده کنند؟</v>
      </c>
      <c r="H6235" s="1"/>
      <c r="I6235" s="1"/>
      <c r="J6235" s="1"/>
      <c r="K6235" s="1"/>
      <c r="L6235" s="1"/>
      <c r="M6235" s="1"/>
      <c r="N6235" s="1"/>
      <c r="O6235" s="1"/>
      <c r="P6235" s="1"/>
      <c r="Q6235" s="1"/>
      <c r="R6235" s="1"/>
      <c r="S6235" s="1"/>
      <c r="T6235" s="1"/>
      <c r="U6235" s="1"/>
      <c r="V6235" s="1"/>
      <c r="W6235" s="1"/>
      <c r="X6235" s="1"/>
      <c r="Y6235" s="1"/>
      <c r="Z6235" s="1"/>
      <c r="AA6235" s="1"/>
      <c r="AB6235" s="1"/>
    </row>
    <row r="6236" ht="50.25" customHeight="1">
      <c r="A6236" s="12">
        <v>6232.0</v>
      </c>
      <c r="B6236" s="13" t="s">
        <v>6141</v>
      </c>
      <c r="C6236" s="14" t="s">
        <v>6259</v>
      </c>
      <c r="D6236" s="1"/>
      <c r="E6236" s="1"/>
      <c r="F6236" s="1" t="str">
        <f>IFERROR(__xludf.DUMMYFUNCTION("GOOGLETRANSLATE(B6236, ""en"", ""fa"")
"),"موفقیت آمازون")</f>
        <v>موفقیت آمازون</v>
      </c>
      <c r="G6236" s="1" t="str">
        <f>IFERROR(__xludf.DUMMYFUNCTION("GOOGLETRANSLATE(C6236, ""en"", ""fa"")
"),"درباره نقش بسته‌بندی محصول یا پتانسیل فروش متقابل در گسترش فرصت‌های تحقیق محصول بحث کنید.")</f>
        <v>درباره نقش بسته‌بندی محصول یا پتانسیل فروش متقابل در گسترش فرصت‌های تحقیق محصول بحث کنید.</v>
      </c>
      <c r="H6236" s="1"/>
      <c r="I6236" s="1"/>
      <c r="J6236" s="1"/>
      <c r="K6236" s="1"/>
      <c r="L6236" s="1"/>
      <c r="M6236" s="1"/>
      <c r="N6236" s="1"/>
      <c r="O6236" s="1"/>
      <c r="P6236" s="1"/>
      <c r="Q6236" s="1"/>
      <c r="R6236" s="1"/>
      <c r="S6236" s="1"/>
      <c r="T6236" s="1"/>
      <c r="U6236" s="1"/>
      <c r="V6236" s="1"/>
      <c r="W6236" s="1"/>
      <c r="X6236" s="1"/>
      <c r="Y6236" s="1"/>
      <c r="Z6236" s="1"/>
      <c r="AA6236" s="1"/>
      <c r="AB6236" s="1"/>
    </row>
    <row r="6237" ht="50.25" customHeight="1">
      <c r="A6237" s="12">
        <v>6233.0</v>
      </c>
      <c r="B6237" s="13" t="s">
        <v>6141</v>
      </c>
      <c r="C6237" s="14" t="s">
        <v>6260</v>
      </c>
      <c r="D6237" s="1"/>
      <c r="E6237" s="1"/>
      <c r="F6237" s="1" t="str">
        <f>IFERROR(__xludf.DUMMYFUNCTION("GOOGLETRANSLATE(B6237, ""en"", ""fa"")
"),"موفقیت آمازون")</f>
        <v>موفقیت آمازون</v>
      </c>
      <c r="G6237" s="1" t="str">
        <f>IFERROR(__xludf.DUMMYFUNCTION("GOOGLETRANSLATE(C6237, ""en"", ""fa"")
"),"نکاتی را برای استفاده از بخش «مرتب خرید با هم» آمازون برای شناسایی احتمالات بسته‌بندی محصول به اشتراک بگذارید.")</f>
        <v>نکاتی را برای استفاده از بخش «مرتب خرید با هم» آمازون برای شناسایی احتمالات بسته‌بندی محصول به اشتراک بگذارید.</v>
      </c>
      <c r="H6237" s="1"/>
      <c r="I6237" s="1"/>
      <c r="J6237" s="1"/>
      <c r="K6237" s="1"/>
      <c r="L6237" s="1"/>
      <c r="M6237" s="1"/>
      <c r="N6237" s="1"/>
      <c r="O6237" s="1"/>
      <c r="P6237" s="1"/>
      <c r="Q6237" s="1"/>
      <c r="R6237" s="1"/>
      <c r="S6237" s="1"/>
      <c r="T6237" s="1"/>
      <c r="U6237" s="1"/>
      <c r="V6237" s="1"/>
      <c r="W6237" s="1"/>
      <c r="X6237" s="1"/>
      <c r="Y6237" s="1"/>
      <c r="Z6237" s="1"/>
      <c r="AA6237" s="1"/>
      <c r="AB6237" s="1"/>
    </row>
    <row r="6238" ht="50.25" customHeight="1">
      <c r="A6238" s="12">
        <v>6234.0</v>
      </c>
      <c r="B6238" s="13" t="s">
        <v>6141</v>
      </c>
      <c r="C6238" s="14" t="s">
        <v>6261</v>
      </c>
      <c r="D6238" s="1"/>
      <c r="E6238" s="1"/>
      <c r="F6238" s="1" t="str">
        <f>IFERROR(__xludf.DUMMYFUNCTION("GOOGLETRANSLATE(B6238, ""en"", ""fa"")
"),"موفقیت آمازون")</f>
        <v>موفقیت آمازون</v>
      </c>
      <c r="G6238" s="1" t="str">
        <f>IFERROR(__xludf.DUMMYFUNCTION("GOOGLETRANSLATE(C6238, ""en"", ""fa"")
"),"بهترین روش برای انجام تحقیقات محصول در بازارهای نوظهور آمازون چیست؟")</f>
        <v>بهترین روش برای انجام تحقیقات محصول در بازارهای نوظهور آمازون چیست؟</v>
      </c>
      <c r="H6238" s="1"/>
      <c r="I6238" s="1"/>
      <c r="J6238" s="1"/>
      <c r="K6238" s="1"/>
      <c r="L6238" s="1"/>
      <c r="M6238" s="1"/>
      <c r="N6238" s="1"/>
      <c r="O6238" s="1"/>
      <c r="P6238" s="1"/>
      <c r="Q6238" s="1"/>
      <c r="R6238" s="1"/>
      <c r="S6238" s="1"/>
      <c r="T6238" s="1"/>
      <c r="U6238" s="1"/>
      <c r="V6238" s="1"/>
      <c r="W6238" s="1"/>
      <c r="X6238" s="1"/>
      <c r="Y6238" s="1"/>
      <c r="Z6238" s="1"/>
      <c r="AA6238" s="1"/>
      <c r="AB6238" s="1"/>
    </row>
    <row r="6239" ht="50.25" customHeight="1">
      <c r="A6239" s="12">
        <v>6235.0</v>
      </c>
      <c r="B6239" s="13" t="s">
        <v>6141</v>
      </c>
      <c r="C6239" s="14" t="s">
        <v>6262</v>
      </c>
      <c r="D6239" s="1"/>
      <c r="E6239" s="1"/>
      <c r="F6239" s="1" t="str">
        <f>IFERROR(__xludf.DUMMYFUNCTION("GOOGLETRANSLATE(B6239, ""en"", ""fa"")
"),"موفقیت آمازون")</f>
        <v>موفقیت آمازون</v>
      </c>
      <c r="G6239" s="1" t="str">
        <f>IFERROR(__xludf.DUMMYFUNCTION("GOOGLETRANSLATE(C6239, ""en"", ""fa"")
"),"اهمیت تجزیه و تحلیل هدف جستجوی مشتری و همسو کردن پیشنهادات محصول را بر اساس آن توضیح دهید.")</f>
        <v>اهمیت تجزیه و تحلیل هدف جستجوی مشتری و همسو کردن پیشنهادات محصول را بر اساس آن توضیح دهید.</v>
      </c>
      <c r="H6239" s="1"/>
      <c r="I6239" s="1"/>
      <c r="J6239" s="1"/>
      <c r="K6239" s="1"/>
      <c r="L6239" s="1"/>
      <c r="M6239" s="1"/>
      <c r="N6239" s="1"/>
      <c r="O6239" s="1"/>
      <c r="P6239" s="1"/>
      <c r="Q6239" s="1"/>
      <c r="R6239" s="1"/>
      <c r="S6239" s="1"/>
      <c r="T6239" s="1"/>
      <c r="U6239" s="1"/>
      <c r="V6239" s="1"/>
      <c r="W6239" s="1"/>
      <c r="X6239" s="1"/>
      <c r="Y6239" s="1"/>
      <c r="Z6239" s="1"/>
      <c r="AA6239" s="1"/>
      <c r="AB6239" s="1"/>
    </row>
    <row r="6240" ht="50.25" customHeight="1">
      <c r="A6240" s="12">
        <v>6236.0</v>
      </c>
      <c r="B6240" s="13" t="s">
        <v>6141</v>
      </c>
      <c r="C6240" s="14" t="s">
        <v>6263</v>
      </c>
      <c r="D6240" s="1"/>
      <c r="E6240" s="1"/>
      <c r="F6240" s="1" t="str">
        <f>IFERROR(__xludf.DUMMYFUNCTION("GOOGLETRANSLATE(B6240, ""en"", ""fa"")
"),"موفقیت آمازون")</f>
        <v>موفقیت آمازون</v>
      </c>
      <c r="G6240" s="1" t="str">
        <f>IFERROR(__xludf.DUMMYFUNCTION("GOOGLETRANSLATE(C6240, ""en"", ""fa"")
"),"چگونه فروشندگان می توانند روندها و مدهای نوظهور محصول را برای سودآوری کوتاه مدت شناسایی و از آنها استفاده کنند؟")</f>
        <v>چگونه فروشندگان می توانند روندها و مدهای نوظهور محصول را برای سودآوری کوتاه مدت شناسایی و از آنها استفاده کنند؟</v>
      </c>
      <c r="H6240" s="1"/>
      <c r="I6240" s="1"/>
      <c r="J6240" s="1"/>
      <c r="K6240" s="1"/>
      <c r="L6240" s="1"/>
      <c r="M6240" s="1"/>
      <c r="N6240" s="1"/>
      <c r="O6240" s="1"/>
      <c r="P6240" s="1"/>
      <c r="Q6240" s="1"/>
      <c r="R6240" s="1"/>
      <c r="S6240" s="1"/>
      <c r="T6240" s="1"/>
      <c r="U6240" s="1"/>
      <c r="V6240" s="1"/>
      <c r="W6240" s="1"/>
      <c r="X6240" s="1"/>
      <c r="Y6240" s="1"/>
      <c r="Z6240" s="1"/>
      <c r="AA6240" s="1"/>
      <c r="AB6240" s="1"/>
    </row>
    <row r="6241" ht="50.25" customHeight="1">
      <c r="A6241" s="12">
        <v>6237.0</v>
      </c>
      <c r="B6241" s="13" t="s">
        <v>6141</v>
      </c>
      <c r="C6241" s="14" t="s">
        <v>6264</v>
      </c>
      <c r="D6241" s="1"/>
      <c r="E6241" s="1"/>
      <c r="F6241" s="1" t="str">
        <f>IFERROR(__xludf.DUMMYFUNCTION("GOOGLETRANSLATE(B6241, ""en"", ""fa"")
"),"موفقیت آمازون")</f>
        <v>موفقیت آمازون</v>
      </c>
      <c r="G6241" s="1" t="str">
        <f>IFERROR(__xludf.DUMMYFUNCTION("GOOGLETRANSLATE(C6241, ""en"", ""fa"")
"),"در مورد اهمیت در نظر گرفتن حقوق مالکیت معنوی و موضوعات ثبت اختراع در هنگام تحقیق درباره محصولات بحث کنید.")</f>
        <v>در مورد اهمیت در نظر گرفتن حقوق مالکیت معنوی و موضوعات ثبت اختراع در هنگام تحقیق درباره محصولات بحث کنید.</v>
      </c>
      <c r="H6241" s="1"/>
      <c r="I6241" s="1"/>
      <c r="J6241" s="1"/>
      <c r="K6241" s="1"/>
      <c r="L6241" s="1"/>
      <c r="M6241" s="1"/>
      <c r="N6241" s="1"/>
      <c r="O6241" s="1"/>
      <c r="P6241" s="1"/>
      <c r="Q6241" s="1"/>
      <c r="R6241" s="1"/>
      <c r="S6241" s="1"/>
      <c r="T6241" s="1"/>
      <c r="U6241" s="1"/>
      <c r="V6241" s="1"/>
      <c r="W6241" s="1"/>
      <c r="X6241" s="1"/>
      <c r="Y6241" s="1"/>
      <c r="Z6241" s="1"/>
      <c r="AA6241" s="1"/>
      <c r="AB6241" s="1"/>
    </row>
    <row r="6242" ht="50.25" customHeight="1">
      <c r="A6242" s="12">
        <v>6238.0</v>
      </c>
      <c r="B6242" s="13" t="s">
        <v>6141</v>
      </c>
      <c r="C6242" s="14" t="s">
        <v>6265</v>
      </c>
      <c r="D6242" s="1"/>
      <c r="E6242" s="1"/>
      <c r="F6242" s="1" t="str">
        <f>IFERROR(__xludf.DUMMYFUNCTION("GOOGLETRANSLATE(B6242, ""en"", ""fa"")
"),"موفقیت آمازون")</f>
        <v>موفقیت آمازون</v>
      </c>
      <c r="G6242" s="1" t="str">
        <f>IFERROR(__xludf.DUMMYFUNCTION("GOOGLETRANSLATE(C6242, ""en"", ""fa"")
"),"درباره نحوه ارزیابی پتانسیل اشتراک محصول یا مدل‌های درآمدی تکرارشونده، اطلاعاتی را به اشتراک بگذارید.")</f>
        <v>درباره نحوه ارزیابی پتانسیل اشتراک محصول یا مدل‌های درآمدی تکرارشونده، اطلاعاتی را به اشتراک بگذارید.</v>
      </c>
      <c r="H6242" s="1"/>
      <c r="I6242" s="1"/>
      <c r="J6242" s="1"/>
      <c r="K6242" s="1"/>
      <c r="L6242" s="1"/>
      <c r="M6242" s="1"/>
      <c r="N6242" s="1"/>
      <c r="O6242" s="1"/>
      <c r="P6242" s="1"/>
      <c r="Q6242" s="1"/>
      <c r="R6242" s="1"/>
      <c r="S6242" s="1"/>
      <c r="T6242" s="1"/>
      <c r="U6242" s="1"/>
      <c r="V6242" s="1"/>
      <c r="W6242" s="1"/>
      <c r="X6242" s="1"/>
      <c r="Y6242" s="1"/>
      <c r="Z6242" s="1"/>
      <c r="AA6242" s="1"/>
      <c r="AB6242" s="1"/>
    </row>
    <row r="6243" ht="50.25" customHeight="1">
      <c r="A6243" s="12">
        <v>6239.0</v>
      </c>
      <c r="B6243" s="13" t="s">
        <v>6141</v>
      </c>
      <c r="C6243" s="14" t="s">
        <v>6266</v>
      </c>
      <c r="D6243" s="1"/>
      <c r="E6243" s="1"/>
      <c r="F6243" s="1" t="str">
        <f>IFERROR(__xludf.DUMMYFUNCTION("GOOGLETRANSLATE(B6243, ""en"", ""fa"")
"),"موفقیت آمازون")</f>
        <v>موفقیت آمازون</v>
      </c>
      <c r="G6243" s="1" t="str">
        <f>IFERROR(__xludf.DUMMYFUNCTION("GOOGLETRANSLATE(C6243, ""en"", ""fa"")
"),"بهترین روش ها برای انجام تحقیقات محصول در بازارهای بین المللی آمازون چیست؟")</f>
        <v>بهترین روش ها برای انجام تحقیقات محصول در بازارهای بین المللی آمازون چیست؟</v>
      </c>
      <c r="H6243" s="1"/>
      <c r="I6243" s="1"/>
      <c r="J6243" s="1"/>
      <c r="K6243" s="1"/>
      <c r="L6243" s="1"/>
      <c r="M6243" s="1"/>
      <c r="N6243" s="1"/>
      <c r="O6243" s="1"/>
      <c r="P6243" s="1"/>
      <c r="Q6243" s="1"/>
      <c r="R6243" s="1"/>
      <c r="S6243" s="1"/>
      <c r="T6243" s="1"/>
      <c r="U6243" s="1"/>
      <c r="V6243" s="1"/>
      <c r="W6243" s="1"/>
      <c r="X6243" s="1"/>
      <c r="Y6243" s="1"/>
      <c r="Z6243" s="1"/>
      <c r="AA6243" s="1"/>
      <c r="AB6243" s="1"/>
    </row>
    <row r="6244" ht="50.25" customHeight="1">
      <c r="A6244" s="12">
        <v>6240.0</v>
      </c>
      <c r="B6244" s="13" t="s">
        <v>6141</v>
      </c>
      <c r="C6244" s="14" t="s">
        <v>6267</v>
      </c>
      <c r="D6244" s="1"/>
      <c r="E6244" s="1"/>
      <c r="F6244" s="1" t="str">
        <f>IFERROR(__xludf.DUMMYFUNCTION("GOOGLETRANSLATE(B6244, ""en"", ""fa"")
"),"موفقیت آمازون")</f>
        <v>موفقیت آمازون</v>
      </c>
      <c r="G6244" s="1" t="str">
        <f>IFERROR(__xludf.DUMMYFUNCTION("GOOGLETRANSLATE(C6244, ""en"", ""fa"")
"),"نقش فصلی بودن محصول و تاثیر آن بر نوسانات تقاضا در تحقیقات محصول را توضیح دهید.")</f>
        <v>نقش فصلی بودن محصول و تاثیر آن بر نوسانات تقاضا در تحقیقات محصول را توضیح دهید.</v>
      </c>
      <c r="H6244" s="1"/>
      <c r="I6244" s="1"/>
      <c r="J6244" s="1"/>
      <c r="K6244" s="1"/>
      <c r="L6244" s="1"/>
      <c r="M6244" s="1"/>
      <c r="N6244" s="1"/>
      <c r="O6244" s="1"/>
      <c r="P6244" s="1"/>
      <c r="Q6244" s="1"/>
      <c r="R6244" s="1"/>
      <c r="S6244" s="1"/>
      <c r="T6244" s="1"/>
      <c r="U6244" s="1"/>
      <c r="V6244" s="1"/>
      <c r="W6244" s="1"/>
      <c r="X6244" s="1"/>
      <c r="Y6244" s="1"/>
      <c r="Z6244" s="1"/>
      <c r="AA6244" s="1"/>
      <c r="AB6244" s="1"/>
    </row>
    <row r="6245" ht="50.25" customHeight="1">
      <c r="A6245" s="12">
        <v>6241.0</v>
      </c>
      <c r="B6245" s="13" t="s">
        <v>6141</v>
      </c>
      <c r="C6245" s="14" t="s">
        <v>6268</v>
      </c>
      <c r="D6245" s="1"/>
      <c r="E6245" s="1"/>
      <c r="F6245" s="1" t="str">
        <f>IFERROR(__xludf.DUMMYFUNCTION("GOOGLETRANSLATE(B6245, ""en"", ""fa"")
"),"موفقیت آمازون")</f>
        <v>موفقیت آمازون</v>
      </c>
      <c r="G6245" s="1" t="str">
        <f>IFERROR(__xludf.DUMMYFUNCTION("GOOGLETRANSLATE(C6245, ""en"", ""fa"")
"),"چگونه فروشندگان می توانند پتانسیل تمایز محصول و مزیت رقابتی را در یک بازار شلوغ ارزیابی کنند؟")</f>
        <v>چگونه فروشندگان می توانند پتانسیل تمایز محصول و مزیت رقابتی را در یک بازار شلوغ ارزیابی کنند؟</v>
      </c>
      <c r="H6245" s="1"/>
      <c r="I6245" s="1"/>
      <c r="J6245" s="1"/>
      <c r="K6245" s="1"/>
      <c r="L6245" s="1"/>
      <c r="M6245" s="1"/>
      <c r="N6245" s="1"/>
      <c r="O6245" s="1"/>
      <c r="P6245" s="1"/>
      <c r="Q6245" s="1"/>
      <c r="R6245" s="1"/>
      <c r="S6245" s="1"/>
      <c r="T6245" s="1"/>
      <c r="U6245" s="1"/>
      <c r="V6245" s="1"/>
      <c r="W6245" s="1"/>
      <c r="X6245" s="1"/>
      <c r="Y6245" s="1"/>
      <c r="Z6245" s="1"/>
      <c r="AA6245" s="1"/>
      <c r="AB6245" s="1"/>
    </row>
    <row r="6246" ht="50.25" customHeight="1">
      <c r="A6246" s="12">
        <v>6242.0</v>
      </c>
      <c r="B6246" s="13" t="s">
        <v>6141</v>
      </c>
      <c r="C6246" s="14" t="s">
        <v>6269</v>
      </c>
      <c r="D6246" s="1"/>
      <c r="E6246" s="1"/>
      <c r="F6246" s="1" t="str">
        <f>IFERROR(__xludf.DUMMYFUNCTION("GOOGLETRANSLATE(B6246, ""en"", ""fa"")
"),"موفقیت آمازون")</f>
        <v>موفقیت آمازون</v>
      </c>
      <c r="G6246" s="1" t="str">
        <f>IFERROR(__xludf.DUMMYFUNCTION("GOOGLETRANSLATE(C6246, ""en"", ""fa"")
"),"در مورد اهمیت ارزیابی کیفیت محصول و رضایت مشتری از طریق تجزیه و تحلیل رقبا بحث کنید.")</f>
        <v>در مورد اهمیت ارزیابی کیفیت محصول و رضایت مشتری از طریق تجزیه و تحلیل رقبا بحث کنید.</v>
      </c>
      <c r="H6246" s="1"/>
      <c r="I6246" s="1"/>
      <c r="J6246" s="1"/>
      <c r="K6246" s="1"/>
      <c r="L6246" s="1"/>
      <c r="M6246" s="1"/>
      <c r="N6246" s="1"/>
      <c r="O6246" s="1"/>
      <c r="P6246" s="1"/>
      <c r="Q6246" s="1"/>
      <c r="R6246" s="1"/>
      <c r="S6246" s="1"/>
      <c r="T6246" s="1"/>
      <c r="U6246" s="1"/>
      <c r="V6246" s="1"/>
      <c r="W6246" s="1"/>
      <c r="X6246" s="1"/>
      <c r="Y6246" s="1"/>
      <c r="Z6246" s="1"/>
      <c r="AA6246" s="1"/>
      <c r="AB6246" s="1"/>
    </row>
    <row r="6247" ht="50.25" customHeight="1">
      <c r="A6247" s="12">
        <v>6243.0</v>
      </c>
      <c r="B6247" s="13" t="s">
        <v>6141</v>
      </c>
      <c r="C6247" s="14" t="s">
        <v>6270</v>
      </c>
      <c r="D6247" s="1"/>
      <c r="E6247" s="1"/>
      <c r="F6247" s="1" t="str">
        <f>IFERROR(__xludf.DUMMYFUNCTION("GOOGLETRANSLATE(B6247, ""en"", ""fa"")
"),"موفقیت آمازون")</f>
        <v>موفقیت آمازون</v>
      </c>
      <c r="G6247" s="1" t="str">
        <f>IFERROR(__xludf.DUMMYFUNCTION("GOOGLETRANSLATE(C6247, ""en"", ""fa"")
"),"نکاتی را برای استفاده از Google Trends و سایر ابزارهای خارجی برای تأیید علاقه و تقاضای محصول به اشتراک بگذارید.")</f>
        <v>نکاتی را برای استفاده از Google Trends و سایر ابزارهای خارجی برای تأیید علاقه و تقاضای محصول به اشتراک بگذارید.</v>
      </c>
      <c r="H6247" s="1"/>
      <c r="I6247" s="1"/>
      <c r="J6247" s="1"/>
      <c r="K6247" s="1"/>
      <c r="L6247" s="1"/>
      <c r="M6247" s="1"/>
      <c r="N6247" s="1"/>
      <c r="O6247" s="1"/>
      <c r="P6247" s="1"/>
      <c r="Q6247" s="1"/>
      <c r="R6247" s="1"/>
      <c r="S6247" s="1"/>
      <c r="T6247" s="1"/>
      <c r="U6247" s="1"/>
      <c r="V6247" s="1"/>
      <c r="W6247" s="1"/>
      <c r="X6247" s="1"/>
      <c r="Y6247" s="1"/>
      <c r="Z6247" s="1"/>
      <c r="AA6247" s="1"/>
      <c r="AB6247" s="1"/>
    </row>
    <row r="6248" ht="50.25" customHeight="1">
      <c r="A6248" s="12">
        <v>6244.0</v>
      </c>
      <c r="B6248" s="13" t="s">
        <v>6141</v>
      </c>
      <c r="C6248" s="14" t="s">
        <v>6271</v>
      </c>
      <c r="D6248" s="1"/>
      <c r="E6248" s="1"/>
      <c r="F6248" s="1" t="str">
        <f>IFERROR(__xludf.DUMMYFUNCTION("GOOGLETRANSLATE(B6248, ""en"", ""fa"")
"),"موفقیت آمازون")</f>
        <v>موفقیت آمازون</v>
      </c>
      <c r="G6248" s="1" t="str">
        <f>IFERROR(__xludf.DUMMYFUNCTION("GOOGLETRANSLATE(C6248, ""en"", ""fa"")
"),"بهترین روش ها برای شناسایی محصولات همیشه سبز با تقاضای ثابت در طول سال چیست؟")</f>
        <v>بهترین روش ها برای شناسایی محصولات همیشه سبز با تقاضای ثابت در طول سال چیست؟</v>
      </c>
      <c r="H6248" s="1"/>
      <c r="I6248" s="1"/>
      <c r="J6248" s="1"/>
      <c r="K6248" s="1"/>
      <c r="L6248" s="1"/>
      <c r="M6248" s="1"/>
      <c r="N6248" s="1"/>
      <c r="O6248" s="1"/>
      <c r="P6248" s="1"/>
      <c r="Q6248" s="1"/>
      <c r="R6248" s="1"/>
      <c r="S6248" s="1"/>
      <c r="T6248" s="1"/>
      <c r="U6248" s="1"/>
      <c r="V6248" s="1"/>
      <c r="W6248" s="1"/>
      <c r="X6248" s="1"/>
      <c r="Y6248" s="1"/>
      <c r="Z6248" s="1"/>
      <c r="AA6248" s="1"/>
      <c r="AB6248" s="1"/>
    </row>
    <row r="6249" ht="50.25" customHeight="1">
      <c r="A6249" s="12">
        <v>6245.0</v>
      </c>
      <c r="B6249" s="13" t="s">
        <v>6141</v>
      </c>
      <c r="C6249" s="14" t="s">
        <v>6272</v>
      </c>
      <c r="D6249" s="1"/>
      <c r="E6249" s="1"/>
      <c r="F6249" s="1" t="str">
        <f>IFERROR(__xludf.DUMMYFUNCTION("GOOGLETRANSLATE(B6249, ""en"", ""fa"")
"),"موفقیت آمازون")</f>
        <v>موفقیت آمازون</v>
      </c>
      <c r="G6249" s="1" t="str">
        <f>IFERROR(__xludf.DUMMYFUNCTION("GOOGLETRANSLATE(C6249, ""en"", ""fa"")
"),"اهمیت در نظر گرفتن سازگاری محصول و پتانسیل فروش متقابل با خطوط تولید موجود را توضیح دهید.")</f>
        <v>اهمیت در نظر گرفتن سازگاری محصول و پتانسیل فروش متقابل با خطوط تولید موجود را توضیح دهید.</v>
      </c>
      <c r="H6249" s="1"/>
      <c r="I6249" s="1"/>
      <c r="J6249" s="1"/>
      <c r="K6249" s="1"/>
      <c r="L6249" s="1"/>
      <c r="M6249" s="1"/>
      <c r="N6249" s="1"/>
      <c r="O6249" s="1"/>
      <c r="P6249" s="1"/>
      <c r="Q6249" s="1"/>
      <c r="R6249" s="1"/>
      <c r="S6249" s="1"/>
      <c r="T6249" s="1"/>
      <c r="U6249" s="1"/>
      <c r="V6249" s="1"/>
      <c r="W6249" s="1"/>
      <c r="X6249" s="1"/>
      <c r="Y6249" s="1"/>
      <c r="Z6249" s="1"/>
      <c r="AA6249" s="1"/>
      <c r="AB6249" s="1"/>
    </row>
    <row r="6250" ht="50.25" customHeight="1">
      <c r="A6250" s="12">
        <v>6246.0</v>
      </c>
      <c r="B6250" s="13" t="s">
        <v>6141</v>
      </c>
      <c r="C6250" s="14" t="s">
        <v>6273</v>
      </c>
      <c r="D6250" s="1"/>
      <c r="E6250" s="1"/>
      <c r="F6250" s="1" t="str">
        <f>IFERROR(__xludf.DUMMYFUNCTION("GOOGLETRANSLATE(B6250, ""en"", ""fa"")
"),"موفقیت آمازون")</f>
        <v>موفقیت آمازون</v>
      </c>
      <c r="G6250" s="1" t="str">
        <f>IFERROR(__xludf.DUMMYFUNCTION("GOOGLETRANSLATE(C6250, ""en"", ""fa"")
"),"چگونه فروشندگان می توانند از محتوای تولید شده توسط مشتری، مانند نظرات و ذکر رسانه های اجتماعی، در تحقیقات محصول استفاده کنند؟")</f>
        <v>چگونه فروشندگان می توانند از محتوای تولید شده توسط مشتری، مانند نظرات و ذکر رسانه های اجتماعی، در تحقیقات محصول استفاده کنند؟</v>
      </c>
      <c r="H6250" s="1"/>
      <c r="I6250" s="1"/>
      <c r="J6250" s="1"/>
      <c r="K6250" s="1"/>
      <c r="L6250" s="1"/>
      <c r="M6250" s="1"/>
      <c r="N6250" s="1"/>
      <c r="O6250" s="1"/>
      <c r="P6250" s="1"/>
      <c r="Q6250" s="1"/>
      <c r="R6250" s="1"/>
      <c r="S6250" s="1"/>
      <c r="T6250" s="1"/>
      <c r="U6250" s="1"/>
      <c r="V6250" s="1"/>
      <c r="W6250" s="1"/>
      <c r="X6250" s="1"/>
      <c r="Y6250" s="1"/>
      <c r="Z6250" s="1"/>
      <c r="AA6250" s="1"/>
      <c r="AB6250" s="1"/>
    </row>
    <row r="6251" ht="50.25" customHeight="1">
      <c r="A6251" s="12">
        <v>6247.0</v>
      </c>
      <c r="B6251" s="13" t="s">
        <v>6141</v>
      </c>
      <c r="C6251" s="14" t="s">
        <v>6274</v>
      </c>
      <c r="D6251" s="1"/>
      <c r="E6251" s="1"/>
      <c r="F6251" s="1" t="str">
        <f>IFERROR(__xludf.DUMMYFUNCTION("GOOGLETRANSLATE(B6251, ""en"", ""fa"")
"),"موفقیت آمازون")</f>
        <v>موفقیت آمازون</v>
      </c>
      <c r="G6251" s="1" t="str">
        <f>IFERROR(__xludf.DUMMYFUNCTION("GOOGLETRANSLATE(C6251, ""en"", ""fa"")
"),"در مورد نقش تجزیه و تحلیل عبارات جستجوی مشتری و حجم جستجو در شناسایی فرصت های محصول بحث کنید.")</f>
        <v>در مورد نقش تجزیه و تحلیل عبارات جستجوی مشتری و حجم جستجو در شناسایی فرصت های محصول بحث کنید.</v>
      </c>
      <c r="H6251" s="1"/>
      <c r="I6251" s="1"/>
      <c r="J6251" s="1"/>
      <c r="K6251" s="1"/>
      <c r="L6251" s="1"/>
      <c r="M6251" s="1"/>
      <c r="N6251" s="1"/>
      <c r="O6251" s="1"/>
      <c r="P6251" s="1"/>
      <c r="Q6251" s="1"/>
      <c r="R6251" s="1"/>
      <c r="S6251" s="1"/>
      <c r="T6251" s="1"/>
      <c r="U6251" s="1"/>
      <c r="V6251" s="1"/>
      <c r="W6251" s="1"/>
      <c r="X6251" s="1"/>
      <c r="Y6251" s="1"/>
      <c r="Z6251" s="1"/>
      <c r="AA6251" s="1"/>
      <c r="AB6251" s="1"/>
    </row>
    <row r="6252" ht="50.25" customHeight="1">
      <c r="A6252" s="12">
        <v>6248.0</v>
      </c>
      <c r="B6252" s="13" t="s">
        <v>6141</v>
      </c>
      <c r="C6252" s="14" t="s">
        <v>6275</v>
      </c>
      <c r="D6252" s="1"/>
      <c r="E6252" s="1"/>
      <c r="F6252" s="1" t="str">
        <f>IFERROR(__xludf.DUMMYFUNCTION("GOOGLETRANSLATE(B6252, ""en"", ""fa"")
"),"موفقیت آمازون")</f>
        <v>موفقیت آمازون</v>
      </c>
      <c r="G6252" s="1" t="str">
        <f>IFERROR(__xludf.DUMMYFUNCTION("GOOGLETRANSLATE(C6252, ""en"", ""fa"")
"),"بینش هایی را در مورد چگونگی ارزیابی روند محصول و تقاضا بر اساس بحث های رسانه های اجتماعی و ذکر افراد تأثیرگذار به اشتراک بگذارید.")</f>
        <v>بینش هایی را در مورد چگونگی ارزیابی روند محصول و تقاضا بر اساس بحث های رسانه های اجتماعی و ذکر افراد تأثیرگذار به اشتراک بگذارید.</v>
      </c>
      <c r="H6252" s="1"/>
      <c r="I6252" s="1"/>
      <c r="J6252" s="1"/>
      <c r="K6252" s="1"/>
      <c r="L6252" s="1"/>
      <c r="M6252" s="1"/>
      <c r="N6252" s="1"/>
      <c r="O6252" s="1"/>
      <c r="P6252" s="1"/>
      <c r="Q6252" s="1"/>
      <c r="R6252" s="1"/>
      <c r="S6252" s="1"/>
      <c r="T6252" s="1"/>
      <c r="U6252" s="1"/>
      <c r="V6252" s="1"/>
      <c r="W6252" s="1"/>
      <c r="X6252" s="1"/>
      <c r="Y6252" s="1"/>
      <c r="Z6252" s="1"/>
      <c r="AA6252" s="1"/>
      <c r="AB6252" s="1"/>
    </row>
    <row r="6253" ht="50.25" customHeight="1">
      <c r="A6253" s="12">
        <v>6249.0</v>
      </c>
      <c r="B6253" s="13" t="s">
        <v>6141</v>
      </c>
      <c r="C6253" s="14" t="s">
        <v>6276</v>
      </c>
      <c r="D6253" s="1"/>
      <c r="E6253" s="1"/>
      <c r="F6253" s="1" t="str">
        <f>IFERROR(__xludf.DUMMYFUNCTION("GOOGLETRANSLATE(B6253, ""en"", ""fa"")
"),"موفقیت آمازون")</f>
        <v>موفقیت آمازون</v>
      </c>
      <c r="G6253" s="1" t="str">
        <f>IFERROR(__xludf.DUMMYFUNCTION("GOOGLETRANSLATE(C6253, ""en"", ""fa"")
"),"بهترین شیوه ها برای تحقیق و شناسایی محصولات پرطرفدار در جمعیت شناسی خاص یا بازارهای هدف چیست؟")</f>
        <v>بهترین شیوه ها برای تحقیق و شناسایی محصولات پرطرفدار در جمعیت شناسی خاص یا بازارهای هدف چیست؟</v>
      </c>
      <c r="H6253" s="1"/>
      <c r="I6253" s="1"/>
      <c r="J6253" s="1"/>
      <c r="K6253" s="1"/>
      <c r="L6253" s="1"/>
      <c r="M6253" s="1"/>
      <c r="N6253" s="1"/>
      <c r="O6253" s="1"/>
      <c r="P6253" s="1"/>
      <c r="Q6253" s="1"/>
      <c r="R6253" s="1"/>
      <c r="S6253" s="1"/>
      <c r="T6253" s="1"/>
      <c r="U6253" s="1"/>
      <c r="V6253" s="1"/>
      <c r="W6253" s="1"/>
      <c r="X6253" s="1"/>
      <c r="Y6253" s="1"/>
      <c r="Z6253" s="1"/>
      <c r="AA6253" s="1"/>
      <c r="AB6253" s="1"/>
    </row>
    <row r="6254" ht="50.25" customHeight="1">
      <c r="A6254" s="12">
        <v>6250.0</v>
      </c>
      <c r="B6254" s="13" t="s">
        <v>6141</v>
      </c>
      <c r="C6254" s="14" t="s">
        <v>6277</v>
      </c>
      <c r="D6254" s="1"/>
      <c r="E6254" s="1"/>
      <c r="F6254" s="1" t="str">
        <f>IFERROR(__xludf.DUMMYFUNCTION("GOOGLETRANSLATE(B6254, ""en"", ""fa"")
"),"موفقیت آمازون")</f>
        <v>موفقیت آمازون</v>
      </c>
      <c r="G6254" s="1" t="str">
        <f>IFERROR(__xludf.DUMMYFUNCTION("GOOGLETRANSLATE(C6254, ""en"", ""fa"")
"),"اهمیت تجزیه و تحلیل تاریخچه قیمت گذاری محصول و درک کشش قیمت را توضیح دهید.")</f>
        <v>اهمیت تجزیه و تحلیل تاریخچه قیمت گذاری محصول و درک کشش قیمت را توضیح دهید.</v>
      </c>
      <c r="H6254" s="1"/>
      <c r="I6254" s="1"/>
      <c r="J6254" s="1"/>
      <c r="K6254" s="1"/>
      <c r="L6254" s="1"/>
      <c r="M6254" s="1"/>
      <c r="N6254" s="1"/>
      <c r="O6254" s="1"/>
      <c r="P6254" s="1"/>
      <c r="Q6254" s="1"/>
      <c r="R6254" s="1"/>
      <c r="S6254" s="1"/>
      <c r="T6254" s="1"/>
      <c r="U6254" s="1"/>
      <c r="V6254" s="1"/>
      <c r="W6254" s="1"/>
      <c r="X6254" s="1"/>
      <c r="Y6254" s="1"/>
      <c r="Z6254" s="1"/>
      <c r="AA6254" s="1"/>
      <c r="AB6254" s="1"/>
    </row>
    <row r="6255" ht="50.25" customHeight="1">
      <c r="A6255" s="12">
        <v>6251.0</v>
      </c>
      <c r="B6255" s="13" t="s">
        <v>6141</v>
      </c>
      <c r="C6255" s="14" t="s">
        <v>6278</v>
      </c>
      <c r="D6255" s="1"/>
      <c r="E6255" s="1"/>
      <c r="F6255" s="1" t="str">
        <f>IFERROR(__xludf.DUMMYFUNCTION("GOOGLETRANSLATE(B6255, ""en"", ""fa"")
"),"موفقیت آمازون")</f>
        <v>موفقیت آمازون</v>
      </c>
      <c r="G6255" s="1" t="str">
        <f>IFERROR(__xludf.DUMMYFUNCTION("GOOGLETRANSLATE(C6255, ""en"", ""fa"")
"),"چگونه فروشندگان می توانند پتانسیل تغییرات محصول و گزینه های سفارشی سازی را در بازار ارزیابی کنند؟")</f>
        <v>چگونه فروشندگان می توانند پتانسیل تغییرات محصول و گزینه های سفارشی سازی را در بازار ارزیابی کنند؟</v>
      </c>
      <c r="H6255" s="1"/>
      <c r="I6255" s="1"/>
      <c r="J6255" s="1"/>
      <c r="K6255" s="1"/>
      <c r="L6255" s="1"/>
      <c r="M6255" s="1"/>
      <c r="N6255" s="1"/>
      <c r="O6255" s="1"/>
      <c r="P6255" s="1"/>
      <c r="Q6255" s="1"/>
      <c r="R6255" s="1"/>
      <c r="S6255" s="1"/>
      <c r="T6255" s="1"/>
      <c r="U6255" s="1"/>
      <c r="V6255" s="1"/>
      <c r="W6255" s="1"/>
      <c r="X6255" s="1"/>
      <c r="Y6255" s="1"/>
      <c r="Z6255" s="1"/>
      <c r="AA6255" s="1"/>
      <c r="AB6255" s="1"/>
    </row>
    <row r="6256" ht="50.25" customHeight="1">
      <c r="A6256" s="12">
        <v>6252.0</v>
      </c>
      <c r="B6256" s="13" t="s">
        <v>6141</v>
      </c>
      <c r="C6256" s="14" t="s">
        <v>6279</v>
      </c>
      <c r="D6256" s="1"/>
      <c r="E6256" s="1"/>
      <c r="F6256" s="1" t="str">
        <f>IFERROR(__xludf.DUMMYFUNCTION("GOOGLETRANSLATE(B6256, ""en"", ""fa"")
"),"موفقیت آمازون")</f>
        <v>موفقیت آمازون</v>
      </c>
      <c r="G6256" s="1" t="str">
        <f>IFERROR(__xludf.DUMMYFUNCTION("GOOGLETRANSLATE(C6256, ""en"", ""fa"")
"),"در مورد اهمیت در نظر گرفتن طول عمر و پایداری محصول از نظر تقاضای بازار آینده بحث کنید.")</f>
        <v>در مورد اهمیت در نظر گرفتن طول عمر و پایداری محصول از نظر تقاضای بازار آینده بحث کنید.</v>
      </c>
      <c r="H6256" s="1"/>
      <c r="I6256" s="1"/>
      <c r="J6256" s="1"/>
      <c r="K6256" s="1"/>
      <c r="L6256" s="1"/>
      <c r="M6256" s="1"/>
      <c r="N6256" s="1"/>
      <c r="O6256" s="1"/>
      <c r="P6256" s="1"/>
      <c r="Q6256" s="1"/>
      <c r="R6256" s="1"/>
      <c r="S6256" s="1"/>
      <c r="T6256" s="1"/>
      <c r="U6256" s="1"/>
      <c r="V6256" s="1"/>
      <c r="W6256" s="1"/>
      <c r="X6256" s="1"/>
      <c r="Y6256" s="1"/>
      <c r="Z6256" s="1"/>
      <c r="AA6256" s="1"/>
      <c r="AB6256" s="1"/>
    </row>
    <row r="6257" ht="50.25" customHeight="1">
      <c r="A6257" s="12">
        <v>6253.0</v>
      </c>
      <c r="B6257" s="13" t="s">
        <v>6141</v>
      </c>
      <c r="C6257" s="14" t="s">
        <v>6280</v>
      </c>
      <c r="D6257" s="1"/>
      <c r="E6257" s="1"/>
      <c r="F6257" s="1" t="str">
        <f>IFERROR(__xludf.DUMMYFUNCTION("GOOGLETRANSLATE(B6257, ""en"", ""fa"")
"),"موفقیت آمازون")</f>
        <v>موفقیت آمازون</v>
      </c>
      <c r="G6257" s="1" t="str">
        <f>IFERROR(__xludf.DUMMYFUNCTION("GOOGLETRANSLATE(C6257, ""en"", ""fa"")
"),"نکاتی را برای انجام گروه های متمرکز یا مصاحبه با مشتری برای جمع آوری بینش و اعتبارسنجی ایده های محصول به اشتراک بگذارید.")</f>
        <v>نکاتی را برای انجام گروه های متمرکز یا مصاحبه با مشتری برای جمع آوری بینش و اعتبارسنجی ایده های محصول به اشتراک بگذارید.</v>
      </c>
      <c r="H6257" s="1"/>
      <c r="I6257" s="1"/>
      <c r="J6257" s="1"/>
      <c r="K6257" s="1"/>
      <c r="L6257" s="1"/>
      <c r="M6257" s="1"/>
      <c r="N6257" s="1"/>
      <c r="O6257" s="1"/>
      <c r="P6257" s="1"/>
      <c r="Q6257" s="1"/>
      <c r="R6257" s="1"/>
      <c r="S6257" s="1"/>
      <c r="T6257" s="1"/>
      <c r="U6257" s="1"/>
      <c r="V6257" s="1"/>
      <c r="W6257" s="1"/>
      <c r="X6257" s="1"/>
      <c r="Y6257" s="1"/>
      <c r="Z6257" s="1"/>
      <c r="AA6257" s="1"/>
      <c r="AB6257" s="1"/>
    </row>
    <row r="6258" ht="50.25" customHeight="1">
      <c r="A6258" s="12">
        <v>6254.0</v>
      </c>
      <c r="B6258" s="13" t="s">
        <v>6141</v>
      </c>
      <c r="C6258" s="14" t="s">
        <v>6281</v>
      </c>
      <c r="D6258" s="1"/>
      <c r="E6258" s="1"/>
      <c r="F6258" s="1" t="str">
        <f>IFERROR(__xludf.DUMMYFUNCTION("GOOGLETRANSLATE(B6258, ""en"", ""fa"")
"),"موفقیت آمازون")</f>
        <v>موفقیت آمازون</v>
      </c>
      <c r="G6258" s="1" t="str">
        <f>IFERROR(__xludf.DUMMYFUNCTION("GOOGLETRANSLATE(C6258, ""en"", ""fa"")
"),"بهترین روش ها برای شناسایی فرصت های محصول کم رقابت و پرتقاضا در دسته های خاص آمازون چیست؟")</f>
        <v>بهترین روش ها برای شناسایی فرصت های محصول کم رقابت و پرتقاضا در دسته های خاص آمازون چیست؟</v>
      </c>
      <c r="H6258" s="1"/>
      <c r="I6258" s="1"/>
      <c r="J6258" s="1"/>
      <c r="K6258" s="1"/>
      <c r="L6258" s="1"/>
      <c r="M6258" s="1"/>
      <c r="N6258" s="1"/>
      <c r="O6258" s="1"/>
      <c r="P6258" s="1"/>
      <c r="Q6258" s="1"/>
      <c r="R6258" s="1"/>
      <c r="S6258" s="1"/>
      <c r="T6258" s="1"/>
      <c r="U6258" s="1"/>
      <c r="V6258" s="1"/>
      <c r="W6258" s="1"/>
      <c r="X6258" s="1"/>
      <c r="Y6258" s="1"/>
      <c r="Z6258" s="1"/>
      <c r="AA6258" s="1"/>
      <c r="AB6258" s="1"/>
    </row>
    <row r="6259" ht="50.25" customHeight="1">
      <c r="A6259" s="12">
        <v>6255.0</v>
      </c>
      <c r="B6259" s="13" t="s">
        <v>6141</v>
      </c>
      <c r="C6259" s="14" t="s">
        <v>6282</v>
      </c>
      <c r="D6259" s="1"/>
      <c r="E6259" s="1"/>
      <c r="F6259" s="1" t="str">
        <f>IFERROR(__xludf.DUMMYFUNCTION("GOOGLETRANSLATE(B6259, ""en"", ""fa"")
"),"موفقیت آمازون")</f>
        <v>موفقیت آمازون</v>
      </c>
      <c r="G6259" s="1" t="str">
        <f>IFERROR(__xludf.DUMMYFUNCTION("GOOGLETRANSLATE(C6259, ""en"", ""fa"")
"),"نقش فصلی بودن محصول و تأثیر آن بر فروش و سودآوری در طول سال را توضیح دهید.")</f>
        <v>نقش فصلی بودن محصول و تأثیر آن بر فروش و سودآوری در طول سال را توضیح دهید.</v>
      </c>
      <c r="H6259" s="1"/>
      <c r="I6259" s="1"/>
      <c r="J6259" s="1"/>
      <c r="K6259" s="1"/>
      <c r="L6259" s="1"/>
      <c r="M6259" s="1"/>
      <c r="N6259" s="1"/>
      <c r="O6259" s="1"/>
      <c r="P6259" s="1"/>
      <c r="Q6259" s="1"/>
      <c r="R6259" s="1"/>
      <c r="S6259" s="1"/>
      <c r="T6259" s="1"/>
      <c r="U6259" s="1"/>
      <c r="V6259" s="1"/>
      <c r="W6259" s="1"/>
      <c r="X6259" s="1"/>
      <c r="Y6259" s="1"/>
      <c r="Z6259" s="1"/>
      <c r="AA6259" s="1"/>
      <c r="AB6259" s="1"/>
    </row>
    <row r="6260" ht="50.25" customHeight="1">
      <c r="A6260" s="12">
        <v>6256.0</v>
      </c>
      <c r="B6260" s="13" t="s">
        <v>6141</v>
      </c>
      <c r="C6260" s="14" t="s">
        <v>6283</v>
      </c>
      <c r="D6260" s="1"/>
      <c r="E6260" s="1"/>
      <c r="F6260" s="1" t="str">
        <f>IFERROR(__xludf.DUMMYFUNCTION("GOOGLETRANSLATE(B6260, ""en"", ""fa"")
"),"موفقیت آمازون")</f>
        <v>موفقیت آمازون</v>
      </c>
      <c r="G6260" s="1" t="str">
        <f>IFERROR(__xludf.DUMMYFUNCTION("GOOGLETRANSLATE(C6260, ""en"", ""fa"")
"),"چگونه فروشندگان می توانند از داده های جستجوی مشتری برای شناسایی فرصت ها و شکاف های محصول در بازار استفاده کنند؟")</f>
        <v>چگونه فروشندگان می توانند از داده های جستجوی مشتری برای شناسایی فرصت ها و شکاف های محصول در بازار استفاده کنند؟</v>
      </c>
      <c r="H6260" s="1"/>
      <c r="I6260" s="1"/>
      <c r="J6260" s="1"/>
      <c r="K6260" s="1"/>
      <c r="L6260" s="1"/>
      <c r="M6260" s="1"/>
      <c r="N6260" s="1"/>
      <c r="O6260" s="1"/>
      <c r="P6260" s="1"/>
      <c r="Q6260" s="1"/>
      <c r="R6260" s="1"/>
      <c r="S6260" s="1"/>
      <c r="T6260" s="1"/>
      <c r="U6260" s="1"/>
      <c r="V6260" s="1"/>
      <c r="W6260" s="1"/>
      <c r="X6260" s="1"/>
      <c r="Y6260" s="1"/>
      <c r="Z6260" s="1"/>
      <c r="AA6260" s="1"/>
      <c r="AB6260" s="1"/>
    </row>
    <row r="6261" ht="50.25" customHeight="1">
      <c r="A6261" s="12">
        <v>6257.0</v>
      </c>
      <c r="B6261" s="13" t="s">
        <v>6141</v>
      </c>
      <c r="C6261" s="14" t="s">
        <v>6284</v>
      </c>
      <c r="D6261" s="1"/>
      <c r="E6261" s="1"/>
      <c r="F6261" s="1" t="str">
        <f>IFERROR(__xludf.DUMMYFUNCTION("GOOGLETRANSLATE(B6261, ""en"", ""fa"")
"),"موفقیت آمازون")</f>
        <v>موفقیت آمازون</v>
      </c>
      <c r="G6261" s="1" t="str">
        <f>IFERROR(__xludf.DUMMYFUNCTION("GOOGLETRANSLATE(C6261, ""en"", ""fa"")
"),"در مورد اهمیت تجزیه و تحلیل رفتار مشتری و الگوهای خرید برای کشف فرصت های محصول بحث کنید.")</f>
        <v>در مورد اهمیت تجزیه و تحلیل رفتار مشتری و الگوهای خرید برای کشف فرصت های محصول بحث کنید.</v>
      </c>
      <c r="H6261" s="1"/>
      <c r="I6261" s="1"/>
      <c r="J6261" s="1"/>
      <c r="K6261" s="1"/>
      <c r="L6261" s="1"/>
      <c r="M6261" s="1"/>
      <c r="N6261" s="1"/>
      <c r="O6261" s="1"/>
      <c r="P6261" s="1"/>
      <c r="Q6261" s="1"/>
      <c r="R6261" s="1"/>
      <c r="S6261" s="1"/>
      <c r="T6261" s="1"/>
      <c r="U6261" s="1"/>
      <c r="V6261" s="1"/>
      <c r="W6261" s="1"/>
      <c r="X6261" s="1"/>
      <c r="Y6261" s="1"/>
      <c r="Z6261" s="1"/>
      <c r="AA6261" s="1"/>
      <c r="AB6261" s="1"/>
    </row>
    <row r="6262" ht="50.25" customHeight="1">
      <c r="A6262" s="12">
        <v>6258.0</v>
      </c>
      <c r="B6262" s="13" t="s">
        <v>6141</v>
      </c>
      <c r="C6262" s="14" t="s">
        <v>6285</v>
      </c>
      <c r="D6262" s="1"/>
      <c r="E6262" s="1"/>
      <c r="F6262" s="1" t="str">
        <f>IFERROR(__xludf.DUMMYFUNCTION("GOOGLETRANSLATE(B6262, ""en"", ""fa"")
"),"موفقیت آمازون")</f>
        <v>موفقیت آمازون</v>
      </c>
      <c r="G6262" s="1" t="str">
        <f>IFERROR(__xludf.DUMMYFUNCTION("GOOGLETRANSLATE(C6262, ""en"", ""fa"")
"),"بینش هایی را در مورد چگونگی ارزیابی روند محصول و تقاضا در بازارهای تخصصی یا تخصصی به اشتراک بگذارید.")</f>
        <v>بینش هایی را در مورد چگونگی ارزیابی روند محصول و تقاضا در بازارهای تخصصی یا تخصصی به اشتراک بگذارید.</v>
      </c>
      <c r="H6262" s="1"/>
      <c r="I6262" s="1"/>
      <c r="J6262" s="1"/>
      <c r="K6262" s="1"/>
      <c r="L6262" s="1"/>
      <c r="M6262" s="1"/>
      <c r="N6262" s="1"/>
      <c r="O6262" s="1"/>
      <c r="P6262" s="1"/>
      <c r="Q6262" s="1"/>
      <c r="R6262" s="1"/>
      <c r="S6262" s="1"/>
      <c r="T6262" s="1"/>
      <c r="U6262" s="1"/>
      <c r="V6262" s="1"/>
      <c r="W6262" s="1"/>
      <c r="X6262" s="1"/>
      <c r="Y6262" s="1"/>
      <c r="Z6262" s="1"/>
      <c r="AA6262" s="1"/>
      <c r="AB6262" s="1"/>
    </row>
    <row r="6263" ht="50.25" customHeight="1">
      <c r="A6263" s="12">
        <v>6259.0</v>
      </c>
      <c r="B6263" s="13" t="s">
        <v>6141</v>
      </c>
      <c r="C6263" s="14" t="s">
        <v>6286</v>
      </c>
      <c r="D6263" s="1"/>
      <c r="E6263" s="1"/>
      <c r="F6263" s="1" t="str">
        <f>IFERROR(__xludf.DUMMYFUNCTION("GOOGLETRANSLATE(B6263, ""en"", ""fa"")
"),"موفقیت آمازون")</f>
        <v>موفقیت آمازون</v>
      </c>
      <c r="G6263" s="1" t="str">
        <f>IFERROR(__xludf.DUMMYFUNCTION("GOOGLETRANSLATE(C6263, ""en"", ""fa"")
"),"بهترین روش ها برای تحقیق و شناسایی ایده های منحصر به فرد و نوآورانه محصول چیست؟")</f>
        <v>بهترین روش ها برای تحقیق و شناسایی ایده های منحصر به فرد و نوآورانه محصول چیست؟</v>
      </c>
      <c r="H6263" s="1"/>
      <c r="I6263" s="1"/>
      <c r="J6263" s="1"/>
      <c r="K6263" s="1"/>
      <c r="L6263" s="1"/>
      <c r="M6263" s="1"/>
      <c r="N6263" s="1"/>
      <c r="O6263" s="1"/>
      <c r="P6263" s="1"/>
      <c r="Q6263" s="1"/>
      <c r="R6263" s="1"/>
      <c r="S6263" s="1"/>
      <c r="T6263" s="1"/>
      <c r="U6263" s="1"/>
      <c r="V6263" s="1"/>
      <c r="W6263" s="1"/>
      <c r="X6263" s="1"/>
      <c r="Y6263" s="1"/>
      <c r="Z6263" s="1"/>
      <c r="AA6263" s="1"/>
      <c r="AB6263" s="1"/>
    </row>
    <row r="6264" ht="50.25" customHeight="1">
      <c r="A6264" s="12">
        <v>6260.0</v>
      </c>
      <c r="B6264" s="13" t="s">
        <v>6141</v>
      </c>
      <c r="C6264" s="14" t="s">
        <v>6287</v>
      </c>
      <c r="D6264" s="1"/>
      <c r="E6264" s="1"/>
      <c r="F6264" s="1" t="str">
        <f>IFERROR(__xludf.DUMMYFUNCTION("GOOGLETRANSLATE(B6264, ""en"", ""fa"")
"),"موفقیت آمازون")</f>
        <v>موفقیت آمازون</v>
      </c>
      <c r="G6264" s="1" t="str">
        <f>IFERROR(__xludf.DUMMYFUNCTION("GOOGLETRANSLATE(C6264, ""en"", ""fa"")
"),"اهمیت تجزیه و تحلیل احساسات مشتری و بررسی ها برای زمینه های بالقوه بهبود محصول را توضیح دهید.")</f>
        <v>اهمیت تجزیه و تحلیل احساسات مشتری و بررسی ها برای زمینه های بالقوه بهبود محصول را توضیح دهید.</v>
      </c>
      <c r="H6264" s="1"/>
      <c r="I6264" s="1"/>
      <c r="J6264" s="1"/>
      <c r="K6264" s="1"/>
      <c r="L6264" s="1"/>
      <c r="M6264" s="1"/>
      <c r="N6264" s="1"/>
      <c r="O6264" s="1"/>
      <c r="P6264" s="1"/>
      <c r="Q6264" s="1"/>
      <c r="R6264" s="1"/>
      <c r="S6264" s="1"/>
      <c r="T6264" s="1"/>
      <c r="U6264" s="1"/>
      <c r="V6264" s="1"/>
      <c r="W6264" s="1"/>
      <c r="X6264" s="1"/>
      <c r="Y6264" s="1"/>
      <c r="Z6264" s="1"/>
      <c r="AA6264" s="1"/>
      <c r="AB6264" s="1"/>
    </row>
    <row r="6265" ht="50.25" customHeight="1">
      <c r="A6265" s="12">
        <v>6261.0</v>
      </c>
      <c r="B6265" s="13" t="s">
        <v>6141</v>
      </c>
      <c r="C6265" s="14" t="s">
        <v>6288</v>
      </c>
      <c r="D6265" s="1"/>
      <c r="E6265" s="1"/>
      <c r="F6265" s="1" t="str">
        <f>IFERROR(__xludf.DUMMYFUNCTION("GOOGLETRANSLATE(B6265, ""en"", ""fa"")
"),"موفقیت آمازون")</f>
        <v>موفقیت آمازون</v>
      </c>
      <c r="G6265" s="1" t="str">
        <f>IFERROR(__xludf.DUMMYFUNCTION("GOOGLETRANSLATE(C6265, ""en"", ""fa"")
"),"چگونه فروشندگان می توانند از ابزارهای تحقیق کلمات کلیدی برای شناسایی کلمات کلیدی بلند و فرصت های محصول خاص استفاده کنند؟")</f>
        <v>چگونه فروشندگان می توانند از ابزارهای تحقیق کلمات کلیدی برای شناسایی کلمات کلیدی بلند و فرصت های محصول خاص استفاده کنند؟</v>
      </c>
      <c r="H6265" s="1"/>
      <c r="I6265" s="1"/>
      <c r="J6265" s="1"/>
      <c r="K6265" s="1"/>
      <c r="L6265" s="1"/>
      <c r="M6265" s="1"/>
      <c r="N6265" s="1"/>
      <c r="O6265" s="1"/>
      <c r="P6265" s="1"/>
      <c r="Q6265" s="1"/>
      <c r="R6265" s="1"/>
      <c r="S6265" s="1"/>
      <c r="T6265" s="1"/>
      <c r="U6265" s="1"/>
      <c r="V6265" s="1"/>
      <c r="W6265" s="1"/>
      <c r="X6265" s="1"/>
      <c r="Y6265" s="1"/>
      <c r="Z6265" s="1"/>
      <c r="AA6265" s="1"/>
      <c r="AB6265" s="1"/>
    </row>
    <row r="6266" ht="50.25" customHeight="1">
      <c r="A6266" s="12">
        <v>6262.0</v>
      </c>
      <c r="B6266" s="13" t="s">
        <v>6141</v>
      </c>
      <c r="C6266" s="14" t="s">
        <v>6289</v>
      </c>
      <c r="D6266" s="1"/>
      <c r="E6266" s="1"/>
      <c r="F6266" s="1" t="str">
        <f>IFERROR(__xludf.DUMMYFUNCTION("GOOGLETRANSLATE(B6266, ""en"", ""fa"")
"),"موفقیت آمازون")</f>
        <v>موفقیت آمازون</v>
      </c>
      <c r="G6266" s="1" t="str">
        <f>IFERROR(__xludf.DUMMYFUNCTION("GOOGLETRANSLATE(C6266, ""en"", ""fa"")
"),"در مورد نقش بسته بندی محصول یا پیشنهادات چند بسته در گسترش احتمالات تحقیق محصول بحث کنید.")</f>
        <v>در مورد نقش بسته بندی محصول یا پیشنهادات چند بسته در گسترش احتمالات تحقیق محصول بحث کنید.</v>
      </c>
      <c r="H6266" s="1"/>
      <c r="I6266" s="1"/>
      <c r="J6266" s="1"/>
      <c r="K6266" s="1"/>
      <c r="L6266" s="1"/>
      <c r="M6266" s="1"/>
      <c r="N6266" s="1"/>
      <c r="O6266" s="1"/>
      <c r="P6266" s="1"/>
      <c r="Q6266" s="1"/>
      <c r="R6266" s="1"/>
      <c r="S6266" s="1"/>
      <c r="T6266" s="1"/>
      <c r="U6266" s="1"/>
      <c r="V6266" s="1"/>
      <c r="W6266" s="1"/>
      <c r="X6266" s="1"/>
      <c r="Y6266" s="1"/>
      <c r="Z6266" s="1"/>
      <c r="AA6266" s="1"/>
      <c r="AB6266" s="1"/>
    </row>
    <row r="6267" ht="50.25" customHeight="1">
      <c r="A6267" s="12">
        <v>6263.0</v>
      </c>
      <c r="B6267" s="13" t="s">
        <v>6141</v>
      </c>
      <c r="C6267" s="14" t="s">
        <v>6290</v>
      </c>
      <c r="D6267" s="1"/>
      <c r="E6267" s="1"/>
      <c r="F6267" s="1" t="str">
        <f>IFERROR(__xludf.DUMMYFUNCTION("GOOGLETRANSLATE(B6267, ""en"", ""fa"")
"),"موفقیت آمازون")</f>
        <v>موفقیت آمازون</v>
      </c>
      <c r="G6267" s="1" t="str">
        <f>IFERROR(__xludf.DUMMYFUNCTION("GOOGLETRANSLATE(C6267, ""en"", ""fa"")
"),"نکاتی را برای تجزیه و تحلیل عبارات جستجوی مشتری و ترکیب کلمات کلیدی مرتبط در تحقیقات محصول به اشتراک بگذارید.")</f>
        <v>نکاتی را برای تجزیه و تحلیل عبارات جستجوی مشتری و ترکیب کلمات کلیدی مرتبط در تحقیقات محصول به اشتراک بگذارید.</v>
      </c>
      <c r="H6267" s="1"/>
      <c r="I6267" s="1"/>
      <c r="J6267" s="1"/>
      <c r="K6267" s="1"/>
      <c r="L6267" s="1"/>
      <c r="M6267" s="1"/>
      <c r="N6267" s="1"/>
      <c r="O6267" s="1"/>
      <c r="P6267" s="1"/>
      <c r="Q6267" s="1"/>
      <c r="R6267" s="1"/>
      <c r="S6267" s="1"/>
      <c r="T6267" s="1"/>
      <c r="U6267" s="1"/>
      <c r="V6267" s="1"/>
      <c r="W6267" s="1"/>
      <c r="X6267" s="1"/>
      <c r="Y6267" s="1"/>
      <c r="Z6267" s="1"/>
      <c r="AA6267" s="1"/>
      <c r="AB6267" s="1"/>
    </row>
    <row r="6268" ht="50.25" customHeight="1">
      <c r="A6268" s="12">
        <v>6264.0</v>
      </c>
      <c r="B6268" s="13" t="s">
        <v>6141</v>
      </c>
      <c r="C6268" s="14" t="s">
        <v>6291</v>
      </c>
      <c r="D6268" s="1"/>
      <c r="E6268" s="1"/>
      <c r="F6268" s="1" t="str">
        <f>IFERROR(__xludf.DUMMYFUNCTION("GOOGLETRANSLATE(B6268, ""en"", ""fa"")
"),"موفقیت آمازون")</f>
        <v>موفقیت آمازون</v>
      </c>
      <c r="G6268" s="1" t="str">
        <f>IFERROR(__xludf.DUMMYFUNCTION("GOOGLETRANSLATE(C6268, ""en"", ""fa"")
"),"بهترین روش ها برای ارزیابی پتانسیل رشد محصول و مقیاس پذیری در بازار چیست؟")</f>
        <v>بهترین روش ها برای ارزیابی پتانسیل رشد محصول و مقیاس پذیری در بازار چیست؟</v>
      </c>
      <c r="H6268" s="1"/>
      <c r="I6268" s="1"/>
      <c r="J6268" s="1"/>
      <c r="K6268" s="1"/>
      <c r="L6268" s="1"/>
      <c r="M6268" s="1"/>
      <c r="N6268" s="1"/>
      <c r="O6268" s="1"/>
      <c r="P6268" s="1"/>
      <c r="Q6268" s="1"/>
      <c r="R6268" s="1"/>
      <c r="S6268" s="1"/>
      <c r="T6268" s="1"/>
      <c r="U6268" s="1"/>
      <c r="V6268" s="1"/>
      <c r="W6268" s="1"/>
      <c r="X6268" s="1"/>
      <c r="Y6268" s="1"/>
      <c r="Z6268" s="1"/>
      <c r="AA6268" s="1"/>
      <c r="AB6268" s="1"/>
    </row>
    <row r="6269" ht="50.25" customHeight="1">
      <c r="A6269" s="12">
        <v>6265.0</v>
      </c>
      <c r="B6269" s="13" t="s">
        <v>6141</v>
      </c>
      <c r="C6269" s="14" t="s">
        <v>6292</v>
      </c>
      <c r="D6269" s="1"/>
      <c r="E6269" s="1"/>
      <c r="F6269" s="1" t="str">
        <f>IFERROR(__xludf.DUMMYFUNCTION("GOOGLETRANSLATE(B6269, ""en"", ""fa"")
"),"موفقیت آمازون")</f>
        <v>موفقیت آمازون</v>
      </c>
      <c r="G6269" s="1" t="str">
        <f>IFERROR(__xludf.DUMMYFUNCTION("GOOGLETRANSLATE(C6269, ""en"", ""fa"")
"),"اهمیت تجزیه و تحلیل بازخورد و نظرات مشتریان را برای شناسایی زمینه های بهبود محصول توضیح دهید.")</f>
        <v>اهمیت تجزیه و تحلیل بازخورد و نظرات مشتریان را برای شناسایی زمینه های بهبود محصول توضیح دهید.</v>
      </c>
      <c r="H6269" s="1"/>
      <c r="I6269" s="1"/>
      <c r="J6269" s="1"/>
      <c r="K6269" s="1"/>
      <c r="L6269" s="1"/>
      <c r="M6269" s="1"/>
      <c r="N6269" s="1"/>
      <c r="O6269" s="1"/>
      <c r="P6269" s="1"/>
      <c r="Q6269" s="1"/>
      <c r="R6269" s="1"/>
      <c r="S6269" s="1"/>
      <c r="T6269" s="1"/>
      <c r="U6269" s="1"/>
      <c r="V6269" s="1"/>
      <c r="W6269" s="1"/>
      <c r="X6269" s="1"/>
      <c r="Y6269" s="1"/>
      <c r="Z6269" s="1"/>
      <c r="AA6269" s="1"/>
      <c r="AB6269" s="1"/>
    </row>
    <row r="6270" ht="50.25" customHeight="1">
      <c r="A6270" s="12">
        <v>6266.0</v>
      </c>
      <c r="B6270" s="13" t="s">
        <v>6141</v>
      </c>
      <c r="C6270" s="14" t="s">
        <v>6293</v>
      </c>
      <c r="D6270" s="1"/>
      <c r="E6270" s="1"/>
      <c r="F6270" s="1" t="str">
        <f>IFERROR(__xludf.DUMMYFUNCTION("GOOGLETRANSLATE(B6270, ""en"", ""fa"")
"),"موفقیت آمازون")</f>
        <v>موفقیت آمازون</v>
      </c>
      <c r="G6270" s="1" t="str">
        <f>IFERROR(__xludf.DUMMYFUNCTION("GOOGLETRANSLATE(C6270, ""en"", ""fa"")
"),"چگونه فروشندگان می توانند از گزارش های صنعت و داده های تحقیقات بازار برای کشف فرصت های محصول استفاده کنند؟")</f>
        <v>چگونه فروشندگان می توانند از گزارش های صنعت و داده های تحقیقات بازار برای کشف فرصت های محصول استفاده کنند؟</v>
      </c>
      <c r="H6270" s="1"/>
      <c r="I6270" s="1"/>
      <c r="J6270" s="1"/>
      <c r="K6270" s="1"/>
      <c r="L6270" s="1"/>
      <c r="M6270" s="1"/>
      <c r="N6270" s="1"/>
      <c r="O6270" s="1"/>
      <c r="P6270" s="1"/>
      <c r="Q6270" s="1"/>
      <c r="R6270" s="1"/>
      <c r="S6270" s="1"/>
      <c r="T6270" s="1"/>
      <c r="U6270" s="1"/>
      <c r="V6270" s="1"/>
      <c r="W6270" s="1"/>
      <c r="X6270" s="1"/>
      <c r="Y6270" s="1"/>
      <c r="Z6270" s="1"/>
      <c r="AA6270" s="1"/>
      <c r="AB6270" s="1"/>
    </row>
    <row r="6271" ht="50.25" customHeight="1">
      <c r="A6271" s="12">
        <v>6267.0</v>
      </c>
      <c r="B6271" s="13" t="s">
        <v>6141</v>
      </c>
      <c r="C6271" s="14" t="s">
        <v>6294</v>
      </c>
      <c r="D6271" s="1"/>
      <c r="E6271" s="1"/>
      <c r="F6271" s="1" t="str">
        <f>IFERROR(__xludf.DUMMYFUNCTION("GOOGLETRANSLATE(B6271, ""en"", ""fa"")
"),"موفقیت آمازون")</f>
        <v>موفقیت آمازون</v>
      </c>
      <c r="G6271" s="1" t="str">
        <f>IFERROR(__xludf.DUMMYFUNCTION("GOOGLETRANSLATE(C6271, ""en"", ""fa"")
"),"در مورد اهمیت در نظر گرفتن روندها و تقاضاهای محصول در رابطه با رویدادهای فرهنگی یا اجتماعی بحث کنید.")</f>
        <v>در مورد اهمیت در نظر گرفتن روندها و تقاضاهای محصول در رابطه با رویدادهای فرهنگی یا اجتماعی بحث کنید.</v>
      </c>
      <c r="H6271" s="1"/>
      <c r="I6271" s="1"/>
      <c r="J6271" s="1"/>
      <c r="K6271" s="1"/>
      <c r="L6271" s="1"/>
      <c r="M6271" s="1"/>
      <c r="N6271" s="1"/>
      <c r="O6271" s="1"/>
      <c r="P6271" s="1"/>
      <c r="Q6271" s="1"/>
      <c r="R6271" s="1"/>
      <c r="S6271" s="1"/>
      <c r="T6271" s="1"/>
      <c r="U6271" s="1"/>
      <c r="V6271" s="1"/>
      <c r="W6271" s="1"/>
      <c r="X6271" s="1"/>
      <c r="Y6271" s="1"/>
      <c r="Z6271" s="1"/>
      <c r="AA6271" s="1"/>
      <c r="AB6271" s="1"/>
    </row>
    <row r="6272" ht="50.25" customHeight="1">
      <c r="A6272" s="12">
        <v>6268.0</v>
      </c>
      <c r="B6272" s="13" t="s">
        <v>6141</v>
      </c>
      <c r="C6272" s="14" t="s">
        <v>6295</v>
      </c>
      <c r="D6272" s="1"/>
      <c r="E6272" s="1"/>
      <c r="F6272" s="1" t="str">
        <f>IFERROR(__xludf.DUMMYFUNCTION("GOOGLETRANSLATE(B6272, ""en"", ""fa"")
"),"موفقیت آمازون")</f>
        <v>موفقیت آمازون</v>
      </c>
      <c r="G6272" s="1" t="str">
        <f>IFERROR(__xludf.DUMMYFUNCTION("GOOGLETRANSLATE(C6272, ""en"", ""fa"")
"),"در مورد نحوه ارزیابی سودآوری محصول و محاسبه دقیق حاشیه سود احتمالی، بینش هایی را به اشتراک بگذارید.")</f>
        <v>در مورد نحوه ارزیابی سودآوری محصول و محاسبه دقیق حاشیه سود احتمالی، بینش هایی را به اشتراک بگذارید.</v>
      </c>
      <c r="H6272" s="1"/>
      <c r="I6272" s="1"/>
      <c r="J6272" s="1"/>
      <c r="K6272" s="1"/>
      <c r="L6272" s="1"/>
      <c r="M6272" s="1"/>
      <c r="N6272" s="1"/>
      <c r="O6272" s="1"/>
      <c r="P6272" s="1"/>
      <c r="Q6272" s="1"/>
      <c r="R6272" s="1"/>
      <c r="S6272" s="1"/>
      <c r="T6272" s="1"/>
      <c r="U6272" s="1"/>
      <c r="V6272" s="1"/>
      <c r="W6272" s="1"/>
      <c r="X6272" s="1"/>
      <c r="Y6272" s="1"/>
      <c r="Z6272" s="1"/>
      <c r="AA6272" s="1"/>
      <c r="AB6272" s="1"/>
    </row>
    <row r="6273" ht="50.25" customHeight="1">
      <c r="A6273" s="12">
        <v>6269.0</v>
      </c>
      <c r="B6273" s="13" t="s">
        <v>6141</v>
      </c>
      <c r="C6273" s="14" t="s">
        <v>6296</v>
      </c>
      <c r="D6273" s="1"/>
      <c r="E6273" s="1"/>
      <c r="F6273" s="1" t="str">
        <f>IFERROR(__xludf.DUMMYFUNCTION("GOOGLETRANSLATE(B6273, ""en"", ""fa"")
"),"موفقیت آمازون")</f>
        <v>موفقیت آمازون</v>
      </c>
      <c r="G6273" s="1" t="str">
        <f>IFERROR(__xludf.DUMMYFUNCTION("GOOGLETRANSLATE(C6273, ""en"", ""fa"")
"),"بهترین شیوه ها برای انجام تجزیه و تحلیل رقابتی و متمایز کردن محصولات در یک بازار اشباع چیست؟")</f>
        <v>بهترین شیوه ها برای انجام تجزیه و تحلیل رقابتی و متمایز کردن محصولات در یک بازار اشباع چیست؟</v>
      </c>
      <c r="H6273" s="1"/>
      <c r="I6273" s="1"/>
      <c r="J6273" s="1"/>
      <c r="K6273" s="1"/>
      <c r="L6273" s="1"/>
      <c r="M6273" s="1"/>
      <c r="N6273" s="1"/>
      <c r="O6273" s="1"/>
      <c r="P6273" s="1"/>
      <c r="Q6273" s="1"/>
      <c r="R6273" s="1"/>
      <c r="S6273" s="1"/>
      <c r="T6273" s="1"/>
      <c r="U6273" s="1"/>
      <c r="V6273" s="1"/>
      <c r="W6273" s="1"/>
      <c r="X6273" s="1"/>
      <c r="Y6273" s="1"/>
      <c r="Z6273" s="1"/>
      <c r="AA6273" s="1"/>
      <c r="AB6273" s="1"/>
    </row>
    <row r="6274" ht="50.25" customHeight="1">
      <c r="A6274" s="12">
        <v>6270.0</v>
      </c>
      <c r="B6274" s="13" t="s">
        <v>6141</v>
      </c>
      <c r="C6274" s="14" t="s">
        <v>6297</v>
      </c>
      <c r="D6274" s="1"/>
      <c r="E6274" s="1"/>
      <c r="F6274" s="1" t="str">
        <f>IFERROR(__xludf.DUMMYFUNCTION("GOOGLETRANSLATE(B6274, ""en"", ""fa"")
"),"موفقیت آمازون")</f>
        <v>موفقیت آمازون</v>
      </c>
      <c r="G6274" s="1" t="str">
        <f>IFERROR(__xludf.DUMMYFUNCTION("GOOGLETRANSLATE(C6274, ""en"", ""fa"")
"),"نقش تحقیق محصول در شناسایی فرصت‌های گسترش به بازارهای بین‌المللی آمازون را توضیح دهید.")</f>
        <v>نقش تحقیق محصول در شناسایی فرصت‌های گسترش به بازارهای بین‌المللی آمازون را توضیح دهید.</v>
      </c>
      <c r="H6274" s="1"/>
      <c r="I6274" s="1"/>
      <c r="J6274" s="1"/>
      <c r="K6274" s="1"/>
      <c r="L6274" s="1"/>
      <c r="M6274" s="1"/>
      <c r="N6274" s="1"/>
      <c r="O6274" s="1"/>
      <c r="P6274" s="1"/>
      <c r="Q6274" s="1"/>
      <c r="R6274" s="1"/>
      <c r="S6274" s="1"/>
      <c r="T6274" s="1"/>
      <c r="U6274" s="1"/>
      <c r="V6274" s="1"/>
      <c r="W6274" s="1"/>
      <c r="X6274" s="1"/>
      <c r="Y6274" s="1"/>
      <c r="Z6274" s="1"/>
      <c r="AA6274" s="1"/>
      <c r="AB6274" s="1"/>
    </row>
    <row r="6275" ht="50.25" customHeight="1">
      <c r="A6275" s="12">
        <v>6271.0</v>
      </c>
      <c r="B6275" s="13" t="s">
        <v>6141</v>
      </c>
      <c r="C6275" s="14" t="s">
        <v>6298</v>
      </c>
      <c r="D6275" s="1"/>
      <c r="E6275" s="1"/>
      <c r="F6275" s="1" t="str">
        <f>IFERROR(__xludf.DUMMYFUNCTION("GOOGLETRANSLATE(B6275, ""en"", ""fa"")
"),"موفقیت آمازون")</f>
        <v>موفقیت آمازون</v>
      </c>
      <c r="G6275" s="1" t="str">
        <f>IFERROR(__xludf.DUMMYFUNCTION("GOOGLETRANSLATE(C6275, ""en"", ""fa"")
"),"چگونه فروشندگان می توانند پتانسیل برای برچسب خصوصی یا فرصت های محصول انحصاری را ارزیابی کنند؟")</f>
        <v>چگونه فروشندگان می توانند پتانسیل برای برچسب خصوصی یا فرصت های محصول انحصاری را ارزیابی کنند؟</v>
      </c>
      <c r="H6275" s="1"/>
      <c r="I6275" s="1"/>
      <c r="J6275" s="1"/>
      <c r="K6275" s="1"/>
      <c r="L6275" s="1"/>
      <c r="M6275" s="1"/>
      <c r="N6275" s="1"/>
      <c r="O6275" s="1"/>
      <c r="P6275" s="1"/>
      <c r="Q6275" s="1"/>
      <c r="R6275" s="1"/>
      <c r="S6275" s="1"/>
      <c r="T6275" s="1"/>
      <c r="U6275" s="1"/>
      <c r="V6275" s="1"/>
      <c r="W6275" s="1"/>
      <c r="X6275" s="1"/>
      <c r="Y6275" s="1"/>
      <c r="Z6275" s="1"/>
      <c r="AA6275" s="1"/>
      <c r="AB6275" s="1"/>
    </row>
    <row r="6276" ht="50.25" customHeight="1">
      <c r="A6276" s="12">
        <v>6272.0</v>
      </c>
      <c r="B6276" s="13" t="s">
        <v>6141</v>
      </c>
      <c r="C6276" s="14" t="s">
        <v>6299</v>
      </c>
      <c r="D6276" s="1"/>
      <c r="E6276" s="1"/>
      <c r="F6276" s="1" t="str">
        <f>IFERROR(__xludf.DUMMYFUNCTION("GOOGLETRANSLATE(B6276, ""en"", ""fa"")
"),"موفقیت آمازون")</f>
        <v>موفقیت آمازون</v>
      </c>
      <c r="G6276" s="1" t="str">
        <f>IFERROR(__xludf.DUMMYFUNCTION("GOOGLETRANSLATE(C6276, ""en"", ""fa"")
"),"در مورد اهمیت تجزیه و تحلیل روند جستجوی مشتری و حجم جستجو در تحقیقات محصول بحث کنید.")</f>
        <v>در مورد اهمیت تجزیه و تحلیل روند جستجوی مشتری و حجم جستجو در تحقیقات محصول بحث کنید.</v>
      </c>
      <c r="H6276" s="1"/>
      <c r="I6276" s="1"/>
      <c r="J6276" s="1"/>
      <c r="K6276" s="1"/>
      <c r="L6276" s="1"/>
      <c r="M6276" s="1"/>
      <c r="N6276" s="1"/>
      <c r="O6276" s="1"/>
      <c r="P6276" s="1"/>
      <c r="Q6276" s="1"/>
      <c r="R6276" s="1"/>
      <c r="S6276" s="1"/>
      <c r="T6276" s="1"/>
      <c r="U6276" s="1"/>
      <c r="V6276" s="1"/>
      <c r="W6276" s="1"/>
      <c r="X6276" s="1"/>
      <c r="Y6276" s="1"/>
      <c r="Z6276" s="1"/>
      <c r="AA6276" s="1"/>
      <c r="AB6276" s="1"/>
    </row>
    <row r="6277" ht="50.25" customHeight="1">
      <c r="A6277" s="12">
        <v>6273.0</v>
      </c>
      <c r="B6277" s="13" t="s">
        <v>6141</v>
      </c>
      <c r="C6277" s="14" t="s">
        <v>6300</v>
      </c>
      <c r="D6277" s="1"/>
      <c r="E6277" s="1"/>
      <c r="F6277" s="1" t="str">
        <f>IFERROR(__xludf.DUMMYFUNCTION("GOOGLETRANSLATE(B6277, ""en"", ""fa"")
"),"موفقیت آمازون")</f>
        <v>موفقیت آمازون</v>
      </c>
      <c r="G6277" s="1" t="str">
        <f>IFERROR(__xludf.DUMMYFUNCTION("GOOGLETRANSLATE(C6277, ""en"", ""fa"")
"),"نکاتی را برای استفاده از تکنیک های مهندسی معکوس برای کشف فرصت های محصول موفق به اشتراک بگذارید.")</f>
        <v>نکاتی را برای استفاده از تکنیک های مهندسی معکوس برای کشف فرصت های محصول موفق به اشتراک بگذارید.</v>
      </c>
      <c r="H6277" s="1"/>
      <c r="I6277" s="1"/>
      <c r="J6277" s="1"/>
      <c r="K6277" s="1"/>
      <c r="L6277" s="1"/>
      <c r="M6277" s="1"/>
      <c r="N6277" s="1"/>
      <c r="O6277" s="1"/>
      <c r="P6277" s="1"/>
      <c r="Q6277" s="1"/>
      <c r="R6277" s="1"/>
      <c r="S6277" s="1"/>
      <c r="T6277" s="1"/>
      <c r="U6277" s="1"/>
      <c r="V6277" s="1"/>
      <c r="W6277" s="1"/>
      <c r="X6277" s="1"/>
      <c r="Y6277" s="1"/>
      <c r="Z6277" s="1"/>
      <c r="AA6277" s="1"/>
      <c r="AB6277" s="1"/>
    </row>
    <row r="6278" ht="50.25" customHeight="1">
      <c r="A6278" s="12">
        <v>6274.0</v>
      </c>
      <c r="B6278" s="13" t="s">
        <v>6141</v>
      </c>
      <c r="C6278" s="14" t="s">
        <v>6301</v>
      </c>
      <c r="D6278" s="1"/>
      <c r="E6278" s="1"/>
      <c r="F6278" s="1" t="str">
        <f>IFERROR(__xludf.DUMMYFUNCTION("GOOGLETRANSLATE(B6278, ""en"", ""fa"")
"),"موفقیت آمازون")</f>
        <v>موفقیت آمازون</v>
      </c>
      <c r="G6278" s="1" t="str">
        <f>IFERROR(__xludf.DUMMYFUNCTION("GOOGLETRANSLATE(C6278, ""en"", ""fa"")
"),"بهترین روش ها برای ارزیابی رضایت مشتری و شناسایی زمینه های بهبود محصول از طریق بررسی چیست؟")</f>
        <v>بهترین روش ها برای ارزیابی رضایت مشتری و شناسایی زمینه های بهبود محصول از طریق بررسی چیست؟</v>
      </c>
      <c r="H6278" s="1"/>
      <c r="I6278" s="1"/>
      <c r="J6278" s="1"/>
      <c r="K6278" s="1"/>
      <c r="L6278" s="1"/>
      <c r="M6278" s="1"/>
      <c r="N6278" s="1"/>
      <c r="O6278" s="1"/>
      <c r="P6278" s="1"/>
      <c r="Q6278" s="1"/>
      <c r="R6278" s="1"/>
      <c r="S6278" s="1"/>
      <c r="T6278" s="1"/>
      <c r="U6278" s="1"/>
      <c r="V6278" s="1"/>
      <c r="W6278" s="1"/>
      <c r="X6278" s="1"/>
      <c r="Y6278" s="1"/>
      <c r="Z6278" s="1"/>
      <c r="AA6278" s="1"/>
      <c r="AB6278" s="1"/>
    </row>
    <row r="6279" ht="50.25" customHeight="1">
      <c r="A6279" s="12">
        <v>6275.0</v>
      </c>
      <c r="B6279" s="13" t="s">
        <v>6141</v>
      </c>
      <c r="C6279" s="14" t="s">
        <v>6302</v>
      </c>
      <c r="D6279" s="1"/>
      <c r="E6279" s="1"/>
      <c r="F6279" s="1" t="str">
        <f>IFERROR(__xludf.DUMMYFUNCTION("GOOGLETRANSLATE(B6279, ""en"", ""fa"")
"),"موفقیت آمازون")</f>
        <v>موفقیت آمازون</v>
      </c>
      <c r="G6279" s="1" t="str">
        <f>IFERROR(__xludf.DUMMYFUNCTION("GOOGLETRANSLATE(C6279, ""en"", ""fa"")
"),"چگونه فروشندگان می توانند رقبای اصلی خود را در یک دسته محصول خاص در آمازون شناسایی کنند؟")</f>
        <v>چگونه فروشندگان می توانند رقبای اصلی خود را در یک دسته محصول خاص در آمازون شناسایی کنند؟</v>
      </c>
      <c r="H6279" s="1"/>
      <c r="I6279" s="1"/>
      <c r="J6279" s="1"/>
      <c r="K6279" s="1"/>
      <c r="L6279" s="1"/>
      <c r="M6279" s="1"/>
      <c r="N6279" s="1"/>
      <c r="O6279" s="1"/>
      <c r="P6279" s="1"/>
      <c r="Q6279" s="1"/>
      <c r="R6279" s="1"/>
      <c r="S6279" s="1"/>
      <c r="T6279" s="1"/>
      <c r="U6279" s="1"/>
      <c r="V6279" s="1"/>
      <c r="W6279" s="1"/>
      <c r="X6279" s="1"/>
      <c r="Y6279" s="1"/>
      <c r="Z6279" s="1"/>
      <c r="AA6279" s="1"/>
      <c r="AB6279" s="1"/>
    </row>
    <row r="6280" ht="50.25" customHeight="1">
      <c r="A6280" s="12">
        <v>6276.0</v>
      </c>
      <c r="B6280" s="13" t="s">
        <v>6141</v>
      </c>
      <c r="C6280" s="14" t="s">
        <v>6303</v>
      </c>
      <c r="D6280" s="1"/>
      <c r="E6280" s="1"/>
      <c r="F6280" s="1" t="str">
        <f>IFERROR(__xludf.DUMMYFUNCTION("GOOGLETRANSLATE(B6280, ""en"", ""fa"")
"),"موفقیت آمازون")</f>
        <v>موفقیت آمازون</v>
      </c>
      <c r="G6280" s="1" t="str">
        <f>IFERROR(__xludf.DUMMYFUNCTION("GOOGLETRANSLATE(C6280, ""en"", ""fa"")
"),"استراتژی هایی را برای تجزیه و تحلیل لیست محصولات رقبا و شناسایی نقاط فروش منحصر به فرد آنها به اشتراک بگذارید.")</f>
        <v>استراتژی هایی را برای تجزیه و تحلیل لیست محصولات رقبا و شناسایی نقاط فروش منحصر به فرد آنها به اشتراک بگذارید.</v>
      </c>
      <c r="H6280" s="1"/>
      <c r="I6280" s="1"/>
      <c r="J6280" s="1"/>
      <c r="K6280" s="1"/>
      <c r="L6280" s="1"/>
      <c r="M6280" s="1"/>
      <c r="N6280" s="1"/>
      <c r="O6280" s="1"/>
      <c r="P6280" s="1"/>
      <c r="Q6280" s="1"/>
      <c r="R6280" s="1"/>
      <c r="S6280" s="1"/>
      <c r="T6280" s="1"/>
      <c r="U6280" s="1"/>
      <c r="V6280" s="1"/>
      <c r="W6280" s="1"/>
      <c r="X6280" s="1"/>
      <c r="Y6280" s="1"/>
      <c r="Z6280" s="1"/>
      <c r="AA6280" s="1"/>
      <c r="AB6280" s="1"/>
    </row>
    <row r="6281" ht="50.25" customHeight="1">
      <c r="A6281" s="12">
        <v>6277.0</v>
      </c>
      <c r="B6281" s="13" t="s">
        <v>6141</v>
      </c>
      <c r="C6281" s="14" t="s">
        <v>6304</v>
      </c>
      <c r="D6281" s="1"/>
      <c r="E6281" s="1"/>
      <c r="F6281" s="1" t="str">
        <f>IFERROR(__xludf.DUMMYFUNCTION("GOOGLETRANSLATE(B6281, ""en"", ""fa"")
"),"موفقیت آمازون")</f>
        <v>موفقیت آمازون</v>
      </c>
      <c r="G6281" s="1" t="str">
        <f>IFERROR(__xludf.DUMMYFUNCTION("GOOGLETRANSLATE(C6281, ""en"", ""fa"")
"),"بهترین روش ها برای ارزیابی استراتژی های قیمت گذاری رقبا و تعیین رقابت پذیری قیمت چیست؟")</f>
        <v>بهترین روش ها برای ارزیابی استراتژی های قیمت گذاری رقبا و تعیین رقابت پذیری قیمت چیست؟</v>
      </c>
      <c r="H6281" s="1"/>
      <c r="I6281" s="1"/>
      <c r="J6281" s="1"/>
      <c r="K6281" s="1"/>
      <c r="L6281" s="1"/>
      <c r="M6281" s="1"/>
      <c r="N6281" s="1"/>
      <c r="O6281" s="1"/>
      <c r="P6281" s="1"/>
      <c r="Q6281" s="1"/>
      <c r="R6281" s="1"/>
      <c r="S6281" s="1"/>
      <c r="T6281" s="1"/>
      <c r="U6281" s="1"/>
      <c r="V6281" s="1"/>
      <c r="W6281" s="1"/>
      <c r="X6281" s="1"/>
      <c r="Y6281" s="1"/>
      <c r="Z6281" s="1"/>
      <c r="AA6281" s="1"/>
      <c r="AB6281" s="1"/>
    </row>
    <row r="6282" ht="50.25" customHeight="1">
      <c r="A6282" s="12">
        <v>6278.0</v>
      </c>
      <c r="B6282" s="13" t="s">
        <v>6141</v>
      </c>
      <c r="C6282" s="14" t="s">
        <v>6305</v>
      </c>
      <c r="D6282" s="1"/>
      <c r="E6282" s="1"/>
      <c r="F6282" s="1" t="str">
        <f>IFERROR(__xludf.DUMMYFUNCTION("GOOGLETRANSLATE(B6282, ""en"", ""fa"")
"),"موفقیت آمازون")</f>
        <v>موفقیت آمازون</v>
      </c>
      <c r="G6282" s="1" t="str">
        <f>IFERROR(__xludf.DUMMYFUNCTION("GOOGLETRANSLATE(C6282, ""en"", ""fa"")
"),"در مورد اهمیت ارزیابی نظرات و رتبه بندی مشتریان رقبا برای درک کیفیت محصول و سطح رضایت مشتری بحث کنید.")</f>
        <v>در مورد اهمیت ارزیابی نظرات و رتبه بندی مشتریان رقبا برای درک کیفیت محصول و سطح رضایت مشتری بحث کنید.</v>
      </c>
      <c r="H6282" s="1"/>
      <c r="I6282" s="1"/>
      <c r="J6282" s="1"/>
      <c r="K6282" s="1"/>
      <c r="L6282" s="1"/>
      <c r="M6282" s="1"/>
      <c r="N6282" s="1"/>
      <c r="O6282" s="1"/>
      <c r="P6282" s="1"/>
      <c r="Q6282" s="1"/>
      <c r="R6282" s="1"/>
      <c r="S6282" s="1"/>
      <c r="T6282" s="1"/>
      <c r="U6282" s="1"/>
      <c r="V6282" s="1"/>
      <c r="W6282" s="1"/>
      <c r="X6282" s="1"/>
      <c r="Y6282" s="1"/>
      <c r="Z6282" s="1"/>
      <c r="AA6282" s="1"/>
      <c r="AB6282" s="1"/>
    </row>
    <row r="6283" ht="50.25" customHeight="1">
      <c r="A6283" s="12">
        <v>6279.0</v>
      </c>
      <c r="B6283" s="13" t="s">
        <v>6141</v>
      </c>
      <c r="C6283" s="14" t="s">
        <v>6306</v>
      </c>
      <c r="D6283" s="1"/>
      <c r="E6283" s="1"/>
      <c r="F6283" s="1" t="str">
        <f>IFERROR(__xludf.DUMMYFUNCTION("GOOGLETRANSLATE(B6283, ""en"", ""fa"")
"),"موفقیت آمازون")</f>
        <v>موفقیت آمازون</v>
      </c>
      <c r="G6283" s="1" t="str">
        <f>IFERROR(__xludf.DUMMYFUNCTION("GOOGLETRANSLATE(C6283, ""en"", ""fa"")
"),"چگونه فروشندگان می توانند کلمات کلیدی محصول رقیب را شناسایی و تجزیه و تحلیل کنند تا هدف گذاری کلمات کلیدی خود را بهبود بخشند؟")</f>
        <v>چگونه فروشندگان می توانند کلمات کلیدی محصول رقیب را شناسایی و تجزیه و تحلیل کنند تا هدف گذاری کلمات کلیدی خود را بهبود بخشند؟</v>
      </c>
      <c r="H6283" s="1"/>
      <c r="I6283" s="1"/>
      <c r="J6283" s="1"/>
      <c r="K6283" s="1"/>
      <c r="L6283" s="1"/>
      <c r="M6283" s="1"/>
      <c r="N6283" s="1"/>
      <c r="O6283" s="1"/>
      <c r="P6283" s="1"/>
      <c r="Q6283" s="1"/>
      <c r="R6283" s="1"/>
      <c r="S6283" s="1"/>
      <c r="T6283" s="1"/>
      <c r="U6283" s="1"/>
      <c r="V6283" s="1"/>
      <c r="W6283" s="1"/>
      <c r="X6283" s="1"/>
      <c r="Y6283" s="1"/>
      <c r="Z6283" s="1"/>
      <c r="AA6283" s="1"/>
      <c r="AB6283" s="1"/>
    </row>
    <row r="6284" ht="50.25" customHeight="1">
      <c r="A6284" s="12">
        <v>6280.0</v>
      </c>
      <c r="B6284" s="13" t="s">
        <v>6141</v>
      </c>
      <c r="C6284" s="14" t="s">
        <v>6307</v>
      </c>
      <c r="D6284" s="1"/>
      <c r="E6284" s="1"/>
      <c r="F6284" s="1" t="str">
        <f>IFERROR(__xludf.DUMMYFUNCTION("GOOGLETRANSLATE(B6284, ""en"", ""fa"")
"),"موفقیت آمازون")</f>
        <v>موفقیت آمازون</v>
      </c>
      <c r="G6284" s="1" t="str">
        <f>IFERROR(__xludf.DUMMYFUNCTION("GOOGLETRANSLATE(C6284, ""en"", ""fa"")
"),"نکاتی را برای نظارت بر عرضه محصولات رقبا و به روز ماندن در مورد پیشنهادات جدید آنها به اشتراک بگذارید.")</f>
        <v>نکاتی را برای نظارت بر عرضه محصولات رقبا و به روز ماندن در مورد پیشنهادات جدید آنها به اشتراک بگذارید.</v>
      </c>
      <c r="H6284" s="1"/>
      <c r="I6284" s="1"/>
      <c r="J6284" s="1"/>
      <c r="K6284" s="1"/>
      <c r="L6284" s="1"/>
      <c r="M6284" s="1"/>
      <c r="N6284" s="1"/>
      <c r="O6284" s="1"/>
      <c r="P6284" s="1"/>
      <c r="Q6284" s="1"/>
      <c r="R6284" s="1"/>
      <c r="S6284" s="1"/>
      <c r="T6284" s="1"/>
      <c r="U6284" s="1"/>
      <c r="V6284" s="1"/>
      <c r="W6284" s="1"/>
      <c r="X6284" s="1"/>
      <c r="Y6284" s="1"/>
      <c r="Z6284" s="1"/>
      <c r="AA6284" s="1"/>
      <c r="AB6284" s="1"/>
    </row>
    <row r="6285" ht="50.25" customHeight="1">
      <c r="A6285" s="12">
        <v>6281.0</v>
      </c>
      <c r="B6285" s="13" t="s">
        <v>6141</v>
      </c>
      <c r="C6285" s="14" t="s">
        <v>6308</v>
      </c>
      <c r="D6285" s="1"/>
      <c r="E6285" s="1"/>
      <c r="F6285" s="1" t="str">
        <f>IFERROR(__xludf.DUMMYFUNCTION("GOOGLETRANSLATE(B6285, ""en"", ""fa"")
"),"موفقیت آمازون")</f>
        <v>موفقیت آمازون</v>
      </c>
      <c r="G6285" s="1" t="str">
        <f>IFERROR(__xludf.DUMMYFUNCTION("GOOGLETRANSLATE(C6285, ""en"", ""fa"")
"),"بهترین روش ها برای تجزیه و تحلیل تصاویر محصول رقیب و تعیین فرصت های بهبود چیست؟")</f>
        <v>بهترین روش ها برای تجزیه و تحلیل تصاویر محصول رقیب و تعیین فرصت های بهبود چیست؟</v>
      </c>
      <c r="H6285" s="1"/>
      <c r="I6285" s="1"/>
      <c r="J6285" s="1"/>
      <c r="K6285" s="1"/>
      <c r="L6285" s="1"/>
      <c r="M6285" s="1"/>
      <c r="N6285" s="1"/>
      <c r="O6285" s="1"/>
      <c r="P6285" s="1"/>
      <c r="Q6285" s="1"/>
      <c r="R6285" s="1"/>
      <c r="S6285" s="1"/>
      <c r="T6285" s="1"/>
      <c r="U6285" s="1"/>
      <c r="V6285" s="1"/>
      <c r="W6285" s="1"/>
      <c r="X6285" s="1"/>
      <c r="Y6285" s="1"/>
      <c r="Z6285" s="1"/>
      <c r="AA6285" s="1"/>
      <c r="AB6285" s="1"/>
    </row>
    <row r="6286" ht="50.25" customHeight="1">
      <c r="A6286" s="12">
        <v>6282.0</v>
      </c>
      <c r="B6286" s="13" t="s">
        <v>6141</v>
      </c>
      <c r="C6286" s="14" t="s">
        <v>6309</v>
      </c>
      <c r="D6286" s="1"/>
      <c r="E6286" s="1"/>
      <c r="F6286" s="1" t="str">
        <f>IFERROR(__xludf.DUMMYFUNCTION("GOOGLETRANSLATE(B6286, ""en"", ""fa"")
"),"موفقیت آمازون")</f>
        <v>موفقیت آمازون</v>
      </c>
      <c r="G6286" s="1" t="str">
        <f>IFERROR(__xludf.DUMMYFUNCTION("GOOGLETRANSLATE(C6286, ""en"", ""fa"")
"),"اهمیت ارزیابی شهرت برند رقیب و شناسایی زمینه های بالقوه برای تمایز را توضیح دهید.")</f>
        <v>اهمیت ارزیابی شهرت برند رقیب و شناسایی زمینه های بالقوه برای تمایز را توضیح دهید.</v>
      </c>
      <c r="H6286" s="1"/>
      <c r="I6286" s="1"/>
      <c r="J6286" s="1"/>
      <c r="K6286" s="1"/>
      <c r="L6286" s="1"/>
      <c r="M6286" s="1"/>
      <c r="N6286" s="1"/>
      <c r="O6286" s="1"/>
      <c r="P6286" s="1"/>
      <c r="Q6286" s="1"/>
      <c r="R6286" s="1"/>
      <c r="S6286" s="1"/>
      <c r="T6286" s="1"/>
      <c r="U6286" s="1"/>
      <c r="V6286" s="1"/>
      <c r="W6286" s="1"/>
      <c r="X6286" s="1"/>
      <c r="Y6286" s="1"/>
      <c r="Z6286" s="1"/>
      <c r="AA6286" s="1"/>
      <c r="AB6286" s="1"/>
    </row>
    <row r="6287" ht="50.25" customHeight="1">
      <c r="A6287" s="12">
        <v>6283.0</v>
      </c>
      <c r="B6287" s="13" t="s">
        <v>6141</v>
      </c>
      <c r="C6287" s="14" t="s">
        <v>6310</v>
      </c>
      <c r="D6287" s="1"/>
      <c r="E6287" s="1"/>
      <c r="F6287" s="1" t="str">
        <f>IFERROR(__xludf.DUMMYFUNCTION("GOOGLETRANSLATE(B6287, ""en"", ""fa"")
"),"موفقیت آمازون")</f>
        <v>موفقیت آمازون</v>
      </c>
      <c r="G6287" s="1" t="str">
        <f>IFERROR(__xludf.DUMMYFUNCTION("GOOGLETRANSLATE(C6287, ""en"", ""fa"")
"),"چگونه فروشندگان می توانند روش های انجام رقبا را ارزیابی کنند و فرصت هایی را برای بهینه سازی انجام سفارش خود تعیین کنند؟")</f>
        <v>چگونه فروشندگان می توانند روش های انجام رقبا را ارزیابی کنند و فرصت هایی را برای بهینه سازی انجام سفارش خود تعیین کنند؟</v>
      </c>
      <c r="H6287" s="1"/>
      <c r="I6287" s="1"/>
      <c r="J6287" s="1"/>
      <c r="K6287" s="1"/>
      <c r="L6287" s="1"/>
      <c r="M6287" s="1"/>
      <c r="N6287" s="1"/>
      <c r="O6287" s="1"/>
      <c r="P6287" s="1"/>
      <c r="Q6287" s="1"/>
      <c r="R6287" s="1"/>
      <c r="S6287" s="1"/>
      <c r="T6287" s="1"/>
      <c r="U6287" s="1"/>
      <c r="V6287" s="1"/>
      <c r="W6287" s="1"/>
      <c r="X6287" s="1"/>
      <c r="Y6287" s="1"/>
      <c r="Z6287" s="1"/>
      <c r="AA6287" s="1"/>
      <c r="AB6287" s="1"/>
    </row>
    <row r="6288" ht="50.25" customHeight="1">
      <c r="A6288" s="12">
        <v>6284.0</v>
      </c>
      <c r="B6288" s="13" t="s">
        <v>6141</v>
      </c>
      <c r="C6288" s="14" t="s">
        <v>6311</v>
      </c>
      <c r="D6288" s="1"/>
      <c r="E6288" s="1"/>
      <c r="F6288" s="1" t="str">
        <f>IFERROR(__xludf.DUMMYFUNCTION("GOOGLETRANSLATE(B6288, ""en"", ""fa"")
"),"موفقیت آمازون")</f>
        <v>موفقیت آمازون</v>
      </c>
      <c r="G6288" s="1" t="str">
        <f>IFERROR(__xludf.DUMMYFUNCTION("GOOGLETRANSLATE(C6288, ""en"", ""fa"")
"),"درباره نقش تبلیغات و استراتژی های بازاریابی رقبا در درک تاکتیک های تبلیغاتی آنها بحث کنید.")</f>
        <v>درباره نقش تبلیغات و استراتژی های بازاریابی رقبا در درک تاکتیک های تبلیغاتی آنها بحث کنید.</v>
      </c>
      <c r="H6288" s="1"/>
      <c r="I6288" s="1"/>
      <c r="J6288" s="1"/>
      <c r="K6288" s="1"/>
      <c r="L6288" s="1"/>
      <c r="M6288" s="1"/>
      <c r="N6288" s="1"/>
      <c r="O6288" s="1"/>
      <c r="P6288" s="1"/>
      <c r="Q6288" s="1"/>
      <c r="R6288" s="1"/>
      <c r="S6288" s="1"/>
      <c r="T6288" s="1"/>
      <c r="U6288" s="1"/>
      <c r="V6288" s="1"/>
      <c r="W6288" s="1"/>
      <c r="X6288" s="1"/>
      <c r="Y6288" s="1"/>
      <c r="Z6288" s="1"/>
      <c r="AA6288" s="1"/>
      <c r="AB6288" s="1"/>
    </row>
    <row r="6289" ht="50.25" customHeight="1">
      <c r="A6289" s="12">
        <v>6285.0</v>
      </c>
      <c r="B6289" s="13" t="s">
        <v>6141</v>
      </c>
      <c r="C6289" s="14" t="s">
        <v>6312</v>
      </c>
      <c r="D6289" s="1"/>
      <c r="E6289" s="1"/>
      <c r="F6289" s="1" t="str">
        <f>IFERROR(__xludf.DUMMYFUNCTION("GOOGLETRANSLATE(B6289, ""en"", ""fa"")
"),"موفقیت آمازون")</f>
        <v>موفقیت آمازون</v>
      </c>
      <c r="G6289" s="1" t="str">
        <f>IFERROR(__xludf.DUMMYFUNCTION("GOOGLETRANSLATE(C6289, ""en"", ""fa"")
"),"بینش هایی در مورد چگونگی تجزیه و تحلیل حضور و مشارکت رقبا در رسانه های اجتماعی برای شناسایی نقاط قوت بازاریابی آنها به اشتراک بگذارید.")</f>
        <v>بینش هایی در مورد چگونگی تجزیه و تحلیل حضور و مشارکت رقبا در رسانه های اجتماعی برای شناسایی نقاط قوت بازاریابی آنها به اشتراک بگذارید.</v>
      </c>
      <c r="H6289" s="1"/>
      <c r="I6289" s="1"/>
      <c r="J6289" s="1"/>
      <c r="K6289" s="1"/>
      <c r="L6289" s="1"/>
      <c r="M6289" s="1"/>
      <c r="N6289" s="1"/>
      <c r="O6289" s="1"/>
      <c r="P6289" s="1"/>
      <c r="Q6289" s="1"/>
      <c r="R6289" s="1"/>
      <c r="S6289" s="1"/>
      <c r="T6289" s="1"/>
      <c r="U6289" s="1"/>
      <c r="V6289" s="1"/>
      <c r="W6289" s="1"/>
      <c r="X6289" s="1"/>
      <c r="Y6289" s="1"/>
      <c r="Z6289" s="1"/>
      <c r="AA6289" s="1"/>
      <c r="AB6289" s="1"/>
    </row>
    <row r="6290" ht="50.25" customHeight="1">
      <c r="A6290" s="12">
        <v>6286.0</v>
      </c>
      <c r="B6290" s="13" t="s">
        <v>6141</v>
      </c>
      <c r="C6290" s="14" t="s">
        <v>6313</v>
      </c>
      <c r="D6290" s="1"/>
      <c r="E6290" s="1"/>
      <c r="F6290" s="1" t="str">
        <f>IFERROR(__xludf.DUMMYFUNCTION("GOOGLETRANSLATE(B6290, ""en"", ""fa"")
"),"موفقیت آمازون")</f>
        <v>موفقیت آمازون</v>
      </c>
      <c r="G6290" s="1" t="str">
        <f>IFERROR(__xludf.DUMMYFUNCTION("GOOGLETRANSLATE(C6290, ""en"", ""fa"")
"),"بهترین روش ها برای نظارت بر نوسانات قیمت رقبا و تنظیم استراتژی های قیمت گذاری بر اساس آن چیست؟")</f>
        <v>بهترین روش ها برای نظارت بر نوسانات قیمت رقبا و تنظیم استراتژی های قیمت گذاری بر اساس آن چیست؟</v>
      </c>
      <c r="H6290" s="1"/>
      <c r="I6290" s="1"/>
      <c r="J6290" s="1"/>
      <c r="K6290" s="1"/>
      <c r="L6290" s="1"/>
      <c r="M6290" s="1"/>
      <c r="N6290" s="1"/>
      <c r="O6290" s="1"/>
      <c r="P6290" s="1"/>
      <c r="Q6290" s="1"/>
      <c r="R6290" s="1"/>
      <c r="S6290" s="1"/>
      <c r="T6290" s="1"/>
      <c r="U6290" s="1"/>
      <c r="V6290" s="1"/>
      <c r="W6290" s="1"/>
      <c r="X6290" s="1"/>
      <c r="Y6290" s="1"/>
      <c r="Z6290" s="1"/>
      <c r="AA6290" s="1"/>
      <c r="AB6290" s="1"/>
    </row>
    <row r="6291" ht="50.25" customHeight="1">
      <c r="A6291" s="12">
        <v>6287.0</v>
      </c>
      <c r="B6291" s="13" t="s">
        <v>6141</v>
      </c>
      <c r="C6291" s="14" t="s">
        <v>6314</v>
      </c>
      <c r="D6291" s="1"/>
      <c r="E6291" s="1"/>
      <c r="F6291" s="1" t="str">
        <f>IFERROR(__xludf.DUMMYFUNCTION("GOOGLETRANSLATE(B6291, ""en"", ""fa"")
"),"موفقیت آمازون")</f>
        <v>موفقیت آمازون</v>
      </c>
      <c r="G6291" s="1" t="str">
        <f>IFERROR(__xludf.DUMMYFUNCTION("GOOGLETRANSLATE(C6291, ""en"", ""fa"")
"),"اهمیت ارزیابی خدمات مشتری رقیب و شناسایی زمینه های بهبود در پشتیبانی مشتری خود را توضیح دهید.")</f>
        <v>اهمیت ارزیابی خدمات مشتری رقیب و شناسایی زمینه های بهبود در پشتیبانی مشتری خود را توضیح دهید.</v>
      </c>
      <c r="H6291" s="1"/>
      <c r="I6291" s="1"/>
      <c r="J6291" s="1"/>
      <c r="K6291" s="1"/>
      <c r="L6291" s="1"/>
      <c r="M6291" s="1"/>
      <c r="N6291" s="1"/>
      <c r="O6291" s="1"/>
      <c r="P6291" s="1"/>
      <c r="Q6291" s="1"/>
      <c r="R6291" s="1"/>
      <c r="S6291" s="1"/>
      <c r="T6291" s="1"/>
      <c r="U6291" s="1"/>
      <c r="V6291" s="1"/>
      <c r="W6291" s="1"/>
      <c r="X6291" s="1"/>
      <c r="Y6291" s="1"/>
      <c r="Z6291" s="1"/>
      <c r="AA6291" s="1"/>
      <c r="AB6291" s="1"/>
    </row>
    <row r="6292" ht="50.25" customHeight="1">
      <c r="A6292" s="12">
        <v>6288.0</v>
      </c>
      <c r="B6292" s="13" t="s">
        <v>6141</v>
      </c>
      <c r="C6292" s="14" t="s">
        <v>6315</v>
      </c>
      <c r="D6292" s="1"/>
      <c r="E6292" s="1"/>
      <c r="F6292" s="1" t="str">
        <f>IFERROR(__xludf.DUMMYFUNCTION("GOOGLETRANSLATE(B6292, ""en"", ""fa"")
"),"موفقیت آمازون")</f>
        <v>موفقیت آمازون</v>
      </c>
      <c r="G6292" s="1" t="str">
        <f>IFERROR(__xludf.DUMMYFUNCTION("GOOGLETRANSLATE(C6292, ""en"", ""fa"")
"),"چگونه فروشندگان می توانند نظرات محصولات رقیب را تجزیه و تحلیل کنند تا نقاط درد مشترک مشتریان را شناسایی کرده و در محصولات خود به آنها بپردازند؟")</f>
        <v>چگونه فروشندگان می توانند نظرات محصولات رقیب را تجزیه و تحلیل کنند تا نقاط درد مشترک مشتریان را شناسایی کرده و در محصولات خود به آنها بپردازند؟</v>
      </c>
      <c r="H6292" s="1"/>
      <c r="I6292" s="1"/>
      <c r="J6292" s="1"/>
      <c r="K6292" s="1"/>
      <c r="L6292" s="1"/>
      <c r="M6292" s="1"/>
      <c r="N6292" s="1"/>
      <c r="O6292" s="1"/>
      <c r="P6292" s="1"/>
      <c r="Q6292" s="1"/>
      <c r="R6292" s="1"/>
      <c r="S6292" s="1"/>
      <c r="T6292" s="1"/>
      <c r="U6292" s="1"/>
      <c r="V6292" s="1"/>
      <c r="W6292" s="1"/>
      <c r="X6292" s="1"/>
      <c r="Y6292" s="1"/>
      <c r="Z6292" s="1"/>
      <c r="AA6292" s="1"/>
      <c r="AB6292" s="1"/>
    </row>
    <row r="6293" ht="50.25" customHeight="1">
      <c r="A6293" s="12">
        <v>6289.0</v>
      </c>
      <c r="B6293" s="13" t="s">
        <v>6141</v>
      </c>
      <c r="C6293" s="14" t="s">
        <v>6316</v>
      </c>
      <c r="D6293" s="1"/>
      <c r="E6293" s="1"/>
      <c r="F6293" s="1" t="str">
        <f>IFERROR(__xludf.DUMMYFUNCTION("GOOGLETRANSLATE(B6293, ""en"", ""fa"")
"),"موفقیت آمازون")</f>
        <v>موفقیت آمازون</v>
      </c>
      <c r="G6293" s="1" t="str">
        <f>IFERROR(__xludf.DUMMYFUNCTION("GOOGLETRANSLATE(C6293, ""en"", ""fa"")
"),"در مورد اهمیت نظارت بر سطح موجودی رقبا و شناسایی مزایای بالقوه زنجیره تامین بحث کنید.")</f>
        <v>در مورد اهمیت نظارت بر سطح موجودی رقبا و شناسایی مزایای بالقوه زنجیره تامین بحث کنید.</v>
      </c>
      <c r="H6293" s="1"/>
      <c r="I6293" s="1"/>
      <c r="J6293" s="1"/>
      <c r="K6293" s="1"/>
      <c r="L6293" s="1"/>
      <c r="M6293" s="1"/>
      <c r="N6293" s="1"/>
      <c r="O6293" s="1"/>
      <c r="P6293" s="1"/>
      <c r="Q6293" s="1"/>
      <c r="R6293" s="1"/>
      <c r="S6293" s="1"/>
      <c r="T6293" s="1"/>
      <c r="U6293" s="1"/>
      <c r="V6293" s="1"/>
      <c r="W6293" s="1"/>
      <c r="X6293" s="1"/>
      <c r="Y6293" s="1"/>
      <c r="Z6293" s="1"/>
      <c r="AA6293" s="1"/>
      <c r="AB6293" s="1"/>
    </row>
    <row r="6294" ht="50.25" customHeight="1">
      <c r="A6294" s="12">
        <v>6290.0</v>
      </c>
      <c r="B6294" s="13" t="s">
        <v>6141</v>
      </c>
      <c r="C6294" s="14" t="s">
        <v>6317</v>
      </c>
      <c r="D6294" s="1"/>
      <c r="E6294" s="1"/>
      <c r="F6294" s="1" t="str">
        <f>IFERROR(__xludf.DUMMYFUNCTION("GOOGLETRANSLATE(B6294, ""en"", ""fa"")
"),"موفقیت آمازون")</f>
        <v>موفقیت آمازون</v>
      </c>
      <c r="G6294" s="1" t="str">
        <f>IFERROR(__xludf.DUMMYFUNCTION("GOOGLETRANSLATE(C6294, ""en"", ""fa"")
"),"نکاتی را برای تجزیه و تحلیل توضیحات محصول رقیب و شناسایی فرصت‌ها برای بهینه‌سازی محتوای محصول خود به اشتراک بگذارید.")</f>
        <v>نکاتی را برای تجزیه و تحلیل توضیحات محصول رقیب و شناسایی فرصت‌ها برای بهینه‌سازی محتوای محصول خود به اشتراک بگذارید.</v>
      </c>
      <c r="H6294" s="1"/>
      <c r="I6294" s="1"/>
      <c r="J6294" s="1"/>
      <c r="K6294" s="1"/>
      <c r="L6294" s="1"/>
      <c r="M6294" s="1"/>
      <c r="N6294" s="1"/>
      <c r="O6294" s="1"/>
      <c r="P6294" s="1"/>
      <c r="Q6294" s="1"/>
      <c r="R6294" s="1"/>
      <c r="S6294" s="1"/>
      <c r="T6294" s="1"/>
      <c r="U6294" s="1"/>
      <c r="V6294" s="1"/>
      <c r="W6294" s="1"/>
      <c r="X6294" s="1"/>
      <c r="Y6294" s="1"/>
      <c r="Z6294" s="1"/>
      <c r="AA6294" s="1"/>
      <c r="AB6294" s="1"/>
    </row>
    <row r="6295" ht="50.25" customHeight="1">
      <c r="A6295" s="12">
        <v>6291.0</v>
      </c>
      <c r="B6295" s="13" t="s">
        <v>6141</v>
      </c>
      <c r="C6295" s="14" t="s">
        <v>6318</v>
      </c>
      <c r="D6295" s="1"/>
      <c r="E6295" s="1"/>
      <c r="F6295" s="1" t="str">
        <f>IFERROR(__xludf.DUMMYFUNCTION("GOOGLETRANSLATE(B6295, ""en"", ""fa"")
"),"موفقیت آمازون")</f>
        <v>موفقیت آمازون</v>
      </c>
      <c r="G6295" s="1" t="str">
        <f>IFERROR(__xludf.DUMMYFUNCTION("GOOGLETRANSLATE(C6295, ""en"", ""fa"")
"),"بهترین شیوه ها برای ردیابی عملکرد فروش رقبا و شناسایی روند بازار چیست؟")</f>
        <v>بهترین شیوه ها برای ردیابی عملکرد فروش رقبا و شناسایی روند بازار چیست؟</v>
      </c>
      <c r="H6295" s="1"/>
      <c r="I6295" s="1"/>
      <c r="J6295" s="1"/>
      <c r="K6295" s="1"/>
      <c r="L6295" s="1"/>
      <c r="M6295" s="1"/>
      <c r="N6295" s="1"/>
      <c r="O6295" s="1"/>
      <c r="P6295" s="1"/>
      <c r="Q6295" s="1"/>
      <c r="R6295" s="1"/>
      <c r="S6295" s="1"/>
      <c r="T6295" s="1"/>
      <c r="U6295" s="1"/>
      <c r="V6295" s="1"/>
      <c r="W6295" s="1"/>
      <c r="X6295" s="1"/>
      <c r="Y6295" s="1"/>
      <c r="Z6295" s="1"/>
      <c r="AA6295" s="1"/>
      <c r="AB6295" s="1"/>
    </row>
    <row r="6296" ht="50.25" customHeight="1">
      <c r="A6296" s="12">
        <v>6292.0</v>
      </c>
      <c r="B6296" s="13" t="s">
        <v>6141</v>
      </c>
      <c r="C6296" s="14" t="s">
        <v>6319</v>
      </c>
      <c r="D6296" s="1"/>
      <c r="E6296" s="1"/>
      <c r="F6296" s="1" t="str">
        <f>IFERROR(__xludf.DUMMYFUNCTION("GOOGLETRANSLATE(B6296, ""en"", ""fa"")
"),"موفقیت آمازون")</f>
        <v>موفقیت آمازون</v>
      </c>
      <c r="G6296" s="1" t="str">
        <f>IFERROR(__xludf.DUMMYFUNCTION("GOOGLETRANSLATE(C6296, ""en"", ""fa"")
"),"نقش رتبه بندی جستجوی رقبا و دید ارگانیک در درک استراتژی های بهینه سازی موتور جستجو (SEO) آنها را توضیح دهید.")</f>
        <v>نقش رتبه بندی جستجوی رقبا و دید ارگانیک در درک استراتژی های بهینه سازی موتور جستجو (SEO) آنها را توضیح دهید.</v>
      </c>
      <c r="H6296" s="1"/>
      <c r="I6296" s="1"/>
      <c r="J6296" s="1"/>
      <c r="K6296" s="1"/>
      <c r="L6296" s="1"/>
      <c r="M6296" s="1"/>
      <c r="N6296" s="1"/>
      <c r="O6296" s="1"/>
      <c r="P6296" s="1"/>
      <c r="Q6296" s="1"/>
      <c r="R6296" s="1"/>
      <c r="S6296" s="1"/>
      <c r="T6296" s="1"/>
      <c r="U6296" s="1"/>
      <c r="V6296" s="1"/>
      <c r="W6296" s="1"/>
      <c r="X6296" s="1"/>
      <c r="Y6296" s="1"/>
      <c r="Z6296" s="1"/>
      <c r="AA6296" s="1"/>
      <c r="AB6296" s="1"/>
    </row>
    <row r="6297" ht="50.25" customHeight="1">
      <c r="A6297" s="12">
        <v>6293.0</v>
      </c>
      <c r="B6297" s="13" t="s">
        <v>6141</v>
      </c>
      <c r="C6297" s="14" t="s">
        <v>6320</v>
      </c>
      <c r="D6297" s="1"/>
      <c r="E6297" s="1"/>
      <c r="F6297" s="1" t="str">
        <f>IFERROR(__xludf.DUMMYFUNCTION("GOOGLETRANSLATE(B6297, ""en"", ""fa"")
"),"موفقیت آمازون")</f>
        <v>موفقیت آمازون</v>
      </c>
      <c r="G6297" s="1" t="str">
        <f>IFERROR(__xludf.DUMMYFUNCTION("GOOGLETRANSLATE(C6297, ""en"", ""fa"")
"),"چگونه فروشندگان می توانند بسته بندی و برندسازی محصول رقیب را ارزیابی کنند تا فرصت هایی را برای افزایش جذابیت بصری خود شناسایی کنند؟")</f>
        <v>چگونه فروشندگان می توانند بسته بندی و برندسازی محصول رقیب را ارزیابی کنند تا فرصت هایی را برای افزایش جذابیت بصری خود شناسایی کنند؟</v>
      </c>
      <c r="H6297" s="1"/>
      <c r="I6297" s="1"/>
      <c r="J6297" s="1"/>
      <c r="K6297" s="1"/>
      <c r="L6297" s="1"/>
      <c r="M6297" s="1"/>
      <c r="N6297" s="1"/>
      <c r="O6297" s="1"/>
      <c r="P6297" s="1"/>
      <c r="Q6297" s="1"/>
      <c r="R6297" s="1"/>
      <c r="S6297" s="1"/>
      <c r="T6297" s="1"/>
      <c r="U6297" s="1"/>
      <c r="V6297" s="1"/>
      <c r="W6297" s="1"/>
      <c r="X6297" s="1"/>
      <c r="Y6297" s="1"/>
      <c r="Z6297" s="1"/>
      <c r="AA6297" s="1"/>
      <c r="AB6297" s="1"/>
    </row>
    <row r="6298" ht="50.25" customHeight="1">
      <c r="A6298" s="12">
        <v>6294.0</v>
      </c>
      <c r="B6298" s="13" t="s">
        <v>6141</v>
      </c>
      <c r="C6298" s="14" t="s">
        <v>6321</v>
      </c>
      <c r="D6298" s="1"/>
      <c r="E6298" s="1"/>
      <c r="F6298" s="1" t="str">
        <f>IFERROR(__xludf.DUMMYFUNCTION("GOOGLETRANSLATE(B6298, ""en"", ""fa"")
"),"موفقیت آمازون")</f>
        <v>موفقیت آمازون</v>
      </c>
      <c r="G6298" s="1" t="str">
        <f>IFERROR(__xludf.DUMMYFUNCTION("GOOGLETRANSLATE(C6298, ""en"", ""fa"")
"),"در مورد اهمیت تجزیه و تحلیل تغییرات محصول رقیب و شناسایی شکاف‌های موجود در بازار برای تغییرات جدید بحث کنید.")</f>
        <v>در مورد اهمیت تجزیه و تحلیل تغییرات محصول رقیب و شناسایی شکاف‌های موجود در بازار برای تغییرات جدید بحث کنید.</v>
      </c>
      <c r="H6298" s="1"/>
      <c r="I6298" s="1"/>
      <c r="J6298" s="1"/>
      <c r="K6298" s="1"/>
      <c r="L6298" s="1"/>
      <c r="M6298" s="1"/>
      <c r="N6298" s="1"/>
      <c r="O6298" s="1"/>
      <c r="P6298" s="1"/>
      <c r="Q6298" s="1"/>
      <c r="R6298" s="1"/>
      <c r="S6298" s="1"/>
      <c r="T6298" s="1"/>
      <c r="U6298" s="1"/>
      <c r="V6298" s="1"/>
      <c r="W6298" s="1"/>
      <c r="X6298" s="1"/>
      <c r="Y6298" s="1"/>
      <c r="Z6298" s="1"/>
      <c r="AA6298" s="1"/>
      <c r="AB6298" s="1"/>
    </row>
    <row r="6299" ht="50.25" customHeight="1">
      <c r="A6299" s="12">
        <v>6295.0</v>
      </c>
      <c r="B6299" s="13" t="s">
        <v>6141</v>
      </c>
      <c r="C6299" s="14" t="s">
        <v>6322</v>
      </c>
      <c r="D6299" s="1"/>
      <c r="E6299" s="1"/>
      <c r="F6299" s="1" t="str">
        <f>IFERROR(__xludf.DUMMYFUNCTION("GOOGLETRANSLATE(B6299, ""en"", ""fa"")
"),"موفقیت آمازون")</f>
        <v>موفقیت آمازون</v>
      </c>
      <c r="G6299" s="1" t="str">
        <f>IFERROR(__xludf.DUMMYFUNCTION("GOOGLETRANSLATE(C6299, ""en"", ""fa"")
"),"بینش هایی در مورد نحوه نظارت بر بازخورد مشتریان رقبا و شناسایی مناطق بالقوه برای بهبود محصول به اشتراک بگذارید.")</f>
        <v>بینش هایی در مورد نحوه نظارت بر بازخورد مشتریان رقبا و شناسایی مناطق بالقوه برای بهبود محصول به اشتراک بگذارید.</v>
      </c>
      <c r="H6299" s="1"/>
      <c r="I6299" s="1"/>
      <c r="J6299" s="1"/>
      <c r="K6299" s="1"/>
      <c r="L6299" s="1"/>
      <c r="M6299" s="1"/>
      <c r="N6299" s="1"/>
      <c r="O6299" s="1"/>
      <c r="P6299" s="1"/>
      <c r="Q6299" s="1"/>
      <c r="R6299" s="1"/>
      <c r="S6299" s="1"/>
      <c r="T6299" s="1"/>
      <c r="U6299" s="1"/>
      <c r="V6299" s="1"/>
      <c r="W6299" s="1"/>
      <c r="X6299" s="1"/>
      <c r="Y6299" s="1"/>
      <c r="Z6299" s="1"/>
      <c r="AA6299" s="1"/>
      <c r="AB6299" s="1"/>
    </row>
    <row r="6300" ht="50.25" customHeight="1">
      <c r="A6300" s="12">
        <v>6296.0</v>
      </c>
      <c r="B6300" s="13" t="s">
        <v>6141</v>
      </c>
      <c r="C6300" s="14" t="s">
        <v>6323</v>
      </c>
      <c r="D6300" s="1"/>
      <c r="E6300" s="1"/>
      <c r="F6300" s="1" t="str">
        <f>IFERROR(__xludf.DUMMYFUNCTION("GOOGLETRANSLATE(B6300, ""en"", ""fa"")
"),"موفقیت آمازون")</f>
        <v>موفقیت آمازون</v>
      </c>
      <c r="G6300" s="1" t="str">
        <f>IFERROR(__xludf.DUMMYFUNCTION("GOOGLETRANSLATE(C6300, ""en"", ""fa"")
"),"بهترین روش ها برای ردیابی کمپین های تبلیغاتی رقبا و ارزیابی تاثیر آنها بر فروش چیست؟")</f>
        <v>بهترین روش ها برای ردیابی کمپین های تبلیغاتی رقبا و ارزیابی تاثیر آنها بر فروش چیست؟</v>
      </c>
      <c r="H6300" s="1"/>
      <c r="I6300" s="1"/>
      <c r="J6300" s="1"/>
      <c r="K6300" s="1"/>
      <c r="L6300" s="1"/>
      <c r="M6300" s="1"/>
      <c r="N6300" s="1"/>
      <c r="O6300" s="1"/>
      <c r="P6300" s="1"/>
      <c r="Q6300" s="1"/>
      <c r="R6300" s="1"/>
      <c r="S6300" s="1"/>
      <c r="T6300" s="1"/>
      <c r="U6300" s="1"/>
      <c r="V6300" s="1"/>
      <c r="W6300" s="1"/>
      <c r="X6300" s="1"/>
      <c r="Y6300" s="1"/>
      <c r="Z6300" s="1"/>
      <c r="AA6300" s="1"/>
      <c r="AB6300" s="1"/>
    </row>
    <row r="6301" ht="50.25" customHeight="1">
      <c r="A6301" s="12">
        <v>6297.0</v>
      </c>
      <c r="B6301" s="13" t="s">
        <v>6141</v>
      </c>
      <c r="C6301" s="14" t="s">
        <v>6324</v>
      </c>
      <c r="D6301" s="1"/>
      <c r="E6301" s="1"/>
      <c r="F6301" s="1" t="str">
        <f>IFERROR(__xludf.DUMMYFUNCTION("GOOGLETRANSLATE(B6301, ""en"", ""fa"")
"),"موفقیت آمازون")</f>
        <v>موفقیت آمازون</v>
      </c>
      <c r="G6301" s="1" t="str">
        <f>IFERROR(__xludf.DUMMYFUNCTION("GOOGLETRANSLATE(C6301, ""en"", ""fa"")
"),"اهمیت تجزیه و تحلیل هدف گذاری مشتریان رقیب و شناسایی فرصت ها برای دستیابی به بخش های بکر مشتری را توضیح دهید.")</f>
        <v>اهمیت تجزیه و تحلیل هدف گذاری مشتریان رقیب و شناسایی فرصت ها برای دستیابی به بخش های بکر مشتری را توضیح دهید.</v>
      </c>
      <c r="H6301" s="1"/>
      <c r="I6301" s="1"/>
      <c r="J6301" s="1"/>
      <c r="K6301" s="1"/>
      <c r="L6301" s="1"/>
      <c r="M6301" s="1"/>
      <c r="N6301" s="1"/>
      <c r="O6301" s="1"/>
      <c r="P6301" s="1"/>
      <c r="Q6301" s="1"/>
      <c r="R6301" s="1"/>
      <c r="S6301" s="1"/>
      <c r="T6301" s="1"/>
      <c r="U6301" s="1"/>
      <c r="V6301" s="1"/>
      <c r="W6301" s="1"/>
      <c r="X6301" s="1"/>
      <c r="Y6301" s="1"/>
      <c r="Z6301" s="1"/>
      <c r="AA6301" s="1"/>
      <c r="AB6301" s="1"/>
    </row>
    <row r="6302" ht="50.25" customHeight="1">
      <c r="A6302" s="12">
        <v>6298.0</v>
      </c>
      <c r="B6302" s="13" t="s">
        <v>6141</v>
      </c>
      <c r="C6302" s="14" t="s">
        <v>6325</v>
      </c>
      <c r="D6302" s="1"/>
      <c r="E6302" s="1"/>
      <c r="F6302" s="1" t="str">
        <f>IFERROR(__xludf.DUMMYFUNCTION("GOOGLETRANSLATE(B6302, ""en"", ""fa"")
"),"موفقیت آمازون")</f>
        <v>موفقیت آمازون</v>
      </c>
      <c r="G6302" s="1" t="str">
        <f>IFERROR(__xludf.DUMMYFUNCTION("GOOGLETRANSLATE(C6302, ""en"", ""fa"")
"),"چگونه فروشندگان می توانند استراتژی های بسته بندی محصول رقیب و فروش متقابل را برای بهبود پیشنهادات محصول خود ارزیابی کنند؟")</f>
        <v>چگونه فروشندگان می توانند استراتژی های بسته بندی محصول رقیب و فروش متقابل را برای بهبود پیشنهادات محصول خود ارزیابی کنند؟</v>
      </c>
      <c r="H6302" s="1"/>
      <c r="I6302" s="1"/>
      <c r="J6302" s="1"/>
      <c r="K6302" s="1"/>
      <c r="L6302" s="1"/>
      <c r="M6302" s="1"/>
      <c r="N6302" s="1"/>
      <c r="O6302" s="1"/>
      <c r="P6302" s="1"/>
      <c r="Q6302" s="1"/>
      <c r="R6302" s="1"/>
      <c r="S6302" s="1"/>
      <c r="T6302" s="1"/>
      <c r="U6302" s="1"/>
      <c r="V6302" s="1"/>
      <c r="W6302" s="1"/>
      <c r="X6302" s="1"/>
      <c r="Y6302" s="1"/>
      <c r="Z6302" s="1"/>
      <c r="AA6302" s="1"/>
      <c r="AB6302" s="1"/>
    </row>
    <row r="6303" ht="50.25" customHeight="1">
      <c r="A6303" s="12">
        <v>6299.0</v>
      </c>
      <c r="B6303" s="13" t="s">
        <v>6141</v>
      </c>
      <c r="C6303" s="14" t="s">
        <v>6326</v>
      </c>
      <c r="D6303" s="1"/>
      <c r="E6303" s="1"/>
      <c r="F6303" s="1" t="str">
        <f>IFERROR(__xludf.DUMMYFUNCTION("GOOGLETRANSLATE(B6303, ""en"", ""fa"")
"),"موفقیت آمازون")</f>
        <v>موفقیت آمازون</v>
      </c>
      <c r="G6303" s="1" t="str">
        <f>IFERROR(__xludf.DUMMYFUNCTION("GOOGLETRANSLATE(C6303, ""en"", ""fa"")
"),"درباره نقش تبلیغات و تخفیف های فروش رقبا در درک استراتژی های قیمت گذاری آنها بحث کنید.")</f>
        <v>درباره نقش تبلیغات و تخفیف های فروش رقبا در درک استراتژی های قیمت گذاری آنها بحث کنید.</v>
      </c>
      <c r="H6303" s="1"/>
      <c r="I6303" s="1"/>
      <c r="J6303" s="1"/>
      <c r="K6303" s="1"/>
      <c r="L6303" s="1"/>
      <c r="M6303" s="1"/>
      <c r="N6303" s="1"/>
      <c r="O6303" s="1"/>
      <c r="P6303" s="1"/>
      <c r="Q6303" s="1"/>
      <c r="R6303" s="1"/>
      <c r="S6303" s="1"/>
      <c r="T6303" s="1"/>
      <c r="U6303" s="1"/>
      <c r="V6303" s="1"/>
      <c r="W6303" s="1"/>
      <c r="X6303" s="1"/>
      <c r="Y6303" s="1"/>
      <c r="Z6303" s="1"/>
      <c r="AA6303" s="1"/>
      <c r="AB6303" s="1"/>
    </row>
    <row r="6304" ht="50.25" customHeight="1">
      <c r="A6304" s="12">
        <v>6300.0</v>
      </c>
      <c r="B6304" s="13" t="s">
        <v>6141</v>
      </c>
      <c r="C6304" s="14" t="s">
        <v>6327</v>
      </c>
      <c r="D6304" s="1"/>
      <c r="E6304" s="1"/>
      <c r="F6304" s="1" t="str">
        <f>IFERROR(__xludf.DUMMYFUNCTION("GOOGLETRANSLATE(B6304, ""en"", ""fa"")
"),"موفقیت آمازون")</f>
        <v>موفقیت آمازون</v>
      </c>
      <c r="G6304" s="1" t="str">
        <f>IFERROR(__xludf.DUMMYFUNCTION("GOOGLETRANSLATE(C6304, ""en"", ""fa"")
"),"نکاتی را برای نظارت بر رتبه بندی کلمات کلیدی رقبا و بهینه سازی هدف گذاری کلمات کلیدی خود بر اساس موفقیت آنها به اشتراک بگذارید.")</f>
        <v>نکاتی را برای نظارت بر رتبه بندی کلمات کلیدی رقبا و بهینه سازی هدف گذاری کلمات کلیدی خود بر اساس موفقیت آنها به اشتراک بگذارید.</v>
      </c>
      <c r="H6304" s="1"/>
      <c r="I6304" s="1"/>
      <c r="J6304" s="1"/>
      <c r="K6304" s="1"/>
      <c r="L6304" s="1"/>
      <c r="M6304" s="1"/>
      <c r="N6304" s="1"/>
      <c r="O6304" s="1"/>
      <c r="P6304" s="1"/>
      <c r="Q6304" s="1"/>
      <c r="R6304" s="1"/>
      <c r="S6304" s="1"/>
      <c r="T6304" s="1"/>
      <c r="U6304" s="1"/>
      <c r="V6304" s="1"/>
      <c r="W6304" s="1"/>
      <c r="X6304" s="1"/>
      <c r="Y6304" s="1"/>
      <c r="Z6304" s="1"/>
      <c r="AA6304" s="1"/>
      <c r="AB6304" s="1"/>
    </row>
    <row r="6305" ht="50.25" customHeight="1">
      <c r="A6305" s="12">
        <v>6301.0</v>
      </c>
      <c r="B6305" s="13" t="s">
        <v>6141</v>
      </c>
      <c r="C6305" s="14" t="s">
        <v>6328</v>
      </c>
      <c r="D6305" s="1"/>
      <c r="E6305" s="1"/>
      <c r="F6305" s="1" t="str">
        <f>IFERROR(__xludf.DUMMYFUNCTION("GOOGLETRANSLATE(B6305, ""en"", ""fa"")
"),"موفقیت آمازون")</f>
        <v>موفقیت آمازون</v>
      </c>
      <c r="G6305" s="1" t="str">
        <f>IFERROR(__xludf.DUMMYFUNCTION("GOOGLETRANSLATE(C6305, ""en"", ""fa"")
"),"بهترین شیوه ها برای تجزیه و تحلیل جمعیت شناسی مشتریان رقیب و متناسب سازی تلاش های بازاریابی شما بر این اساس چیست؟")</f>
        <v>بهترین شیوه ها برای تجزیه و تحلیل جمعیت شناسی مشتریان رقیب و متناسب سازی تلاش های بازاریابی شما بر این اساس چیست؟</v>
      </c>
      <c r="H6305" s="1"/>
      <c r="I6305" s="1"/>
      <c r="J6305" s="1"/>
      <c r="K6305" s="1"/>
      <c r="L6305" s="1"/>
      <c r="M6305" s="1"/>
      <c r="N6305" s="1"/>
      <c r="O6305" s="1"/>
      <c r="P6305" s="1"/>
      <c r="Q6305" s="1"/>
      <c r="R6305" s="1"/>
      <c r="S6305" s="1"/>
      <c r="T6305" s="1"/>
      <c r="U6305" s="1"/>
      <c r="V6305" s="1"/>
      <c r="W6305" s="1"/>
      <c r="X6305" s="1"/>
      <c r="Y6305" s="1"/>
      <c r="Z6305" s="1"/>
      <c r="AA6305" s="1"/>
      <c r="AB6305" s="1"/>
    </row>
    <row r="6306" ht="50.25" customHeight="1">
      <c r="A6306" s="12">
        <v>6302.0</v>
      </c>
      <c r="B6306" s="13" t="s">
        <v>6141</v>
      </c>
      <c r="C6306" s="14" t="s">
        <v>6329</v>
      </c>
      <c r="D6306" s="1"/>
      <c r="E6306" s="1"/>
      <c r="F6306" s="1" t="str">
        <f>IFERROR(__xludf.DUMMYFUNCTION("GOOGLETRANSLATE(B6306, ""en"", ""fa"")
"),"موفقیت آمازون")</f>
        <v>موفقیت آمازون</v>
      </c>
      <c r="G6306" s="1" t="str">
        <f>IFERROR(__xludf.DUMMYFUNCTION("GOOGLETRANSLATE(C6306, ""en"", ""fa"")
"),"اهمیت ردیابی در دسترس بودن محصول رقیب و استفاده از مزایای زنجیره تامین را توضیح دهید.")</f>
        <v>اهمیت ردیابی در دسترس بودن محصول رقیب و استفاده از مزایای زنجیره تامین را توضیح دهید.</v>
      </c>
      <c r="H6306" s="1"/>
      <c r="I6306" s="1"/>
      <c r="J6306" s="1"/>
      <c r="K6306" s="1"/>
      <c r="L6306" s="1"/>
      <c r="M6306" s="1"/>
      <c r="N6306" s="1"/>
      <c r="O6306" s="1"/>
      <c r="P6306" s="1"/>
      <c r="Q6306" s="1"/>
      <c r="R6306" s="1"/>
      <c r="S6306" s="1"/>
      <c r="T6306" s="1"/>
      <c r="U6306" s="1"/>
      <c r="V6306" s="1"/>
      <c r="W6306" s="1"/>
      <c r="X6306" s="1"/>
      <c r="Y6306" s="1"/>
      <c r="Z6306" s="1"/>
      <c r="AA6306" s="1"/>
      <c r="AB6306" s="1"/>
    </row>
    <row r="6307" ht="50.25" customHeight="1">
      <c r="A6307" s="12">
        <v>6303.0</v>
      </c>
      <c r="B6307" s="13" t="s">
        <v>6141</v>
      </c>
      <c r="C6307" s="14" t="s">
        <v>6330</v>
      </c>
      <c r="D6307" s="1"/>
      <c r="E6307" s="1"/>
      <c r="F6307" s="1" t="str">
        <f>IFERROR(__xludf.DUMMYFUNCTION("GOOGLETRANSLATE(B6307, ""en"", ""fa"")
"),"موفقیت آمازون")</f>
        <v>موفقیت آمازون</v>
      </c>
      <c r="G6307" s="1" t="str">
        <f>IFERROR(__xludf.DUMMYFUNCTION("GOOGLETRANSLATE(C6307, ""en"", ""fa"")
"),"چگونه فروشندگان می توانند برنامه های وفاداری مشتری رقیب را ارزیابی کنند و فرصت هایی را برای ارتقای استراتژی های حفظ مشتری شناسایی کنند؟")</f>
        <v>چگونه فروشندگان می توانند برنامه های وفاداری مشتری رقیب را ارزیابی کنند و فرصت هایی را برای ارتقای استراتژی های حفظ مشتری شناسایی کنند؟</v>
      </c>
      <c r="H6307" s="1"/>
      <c r="I6307" s="1"/>
      <c r="J6307" s="1"/>
      <c r="K6307" s="1"/>
      <c r="L6307" s="1"/>
      <c r="M6307" s="1"/>
      <c r="N6307" s="1"/>
      <c r="O6307" s="1"/>
      <c r="P6307" s="1"/>
      <c r="Q6307" s="1"/>
      <c r="R6307" s="1"/>
      <c r="S6307" s="1"/>
      <c r="T6307" s="1"/>
      <c r="U6307" s="1"/>
      <c r="V6307" s="1"/>
      <c r="W6307" s="1"/>
      <c r="X6307" s="1"/>
      <c r="Y6307" s="1"/>
      <c r="Z6307" s="1"/>
      <c r="AA6307" s="1"/>
      <c r="AB6307" s="1"/>
    </row>
    <row r="6308" ht="50.25" customHeight="1">
      <c r="A6308" s="12">
        <v>6304.0</v>
      </c>
      <c r="B6308" s="13" t="s">
        <v>6141</v>
      </c>
      <c r="C6308" s="14" t="s">
        <v>6331</v>
      </c>
      <c r="D6308" s="1"/>
      <c r="E6308" s="1"/>
      <c r="F6308" s="1" t="str">
        <f>IFERROR(__xludf.DUMMYFUNCTION("GOOGLETRANSLATE(B6308, ""en"", ""fa"")
"),"موفقیت آمازون")</f>
        <v>موفقیت آمازون</v>
      </c>
      <c r="G6308" s="1" t="str">
        <f>IFERROR(__xludf.DUMMYFUNCTION("GOOGLETRANSLATE(C6308, ""en"", ""fa"")
"),"در مورد اهمیت تجزیه و تحلیل ویدیوهای محصول رقیب و شناسایی فرصت هایی برای بهبود محتوای بصری محصول خود بحث کنید.")</f>
        <v>در مورد اهمیت تجزیه و تحلیل ویدیوهای محصول رقیب و شناسایی فرصت هایی برای بهبود محتوای بصری محصول خود بحث کنید.</v>
      </c>
      <c r="H6308" s="1"/>
      <c r="I6308" s="1"/>
      <c r="J6308" s="1"/>
      <c r="K6308" s="1"/>
      <c r="L6308" s="1"/>
      <c r="M6308" s="1"/>
      <c r="N6308" s="1"/>
      <c r="O6308" s="1"/>
      <c r="P6308" s="1"/>
      <c r="Q6308" s="1"/>
      <c r="R6308" s="1"/>
      <c r="S6308" s="1"/>
      <c r="T6308" s="1"/>
      <c r="U6308" s="1"/>
      <c r="V6308" s="1"/>
      <c r="W6308" s="1"/>
      <c r="X6308" s="1"/>
      <c r="Y6308" s="1"/>
      <c r="Z6308" s="1"/>
      <c r="AA6308" s="1"/>
      <c r="AB6308" s="1"/>
    </row>
    <row r="6309" ht="50.25" customHeight="1">
      <c r="A6309" s="12">
        <v>6305.0</v>
      </c>
      <c r="B6309" s="13" t="s">
        <v>6141</v>
      </c>
      <c r="C6309" s="14" t="s">
        <v>6332</v>
      </c>
      <c r="D6309" s="1"/>
      <c r="E6309" s="1"/>
      <c r="F6309" s="1" t="str">
        <f>IFERROR(__xludf.DUMMYFUNCTION("GOOGLETRANSLATE(B6309, ""en"", ""fa"")
"),"موفقیت آمازون")</f>
        <v>موفقیت آمازون</v>
      </c>
      <c r="G6309" s="1" t="str">
        <f>IFERROR(__xludf.DUMMYFUNCTION("GOOGLETRANSLATE(C6309, ""en"", ""fa"")
"),"درباره نحوه نظارت بر بهینه سازی فهرست محصولات رقیب و گنجاندن استراتژی های موفق در فهرست های خود، بینش هایی را به اشتراک بگذارید.")</f>
        <v>درباره نحوه نظارت بر بهینه سازی فهرست محصولات رقیب و گنجاندن استراتژی های موفق در فهرست های خود، بینش هایی را به اشتراک بگذارید.</v>
      </c>
      <c r="H6309" s="1"/>
      <c r="I6309" s="1"/>
      <c r="J6309" s="1"/>
      <c r="K6309" s="1"/>
      <c r="L6309" s="1"/>
      <c r="M6309" s="1"/>
      <c r="N6309" s="1"/>
      <c r="O6309" s="1"/>
      <c r="P6309" s="1"/>
      <c r="Q6309" s="1"/>
      <c r="R6309" s="1"/>
      <c r="S6309" s="1"/>
      <c r="T6309" s="1"/>
      <c r="U6309" s="1"/>
      <c r="V6309" s="1"/>
      <c r="W6309" s="1"/>
      <c r="X6309" s="1"/>
      <c r="Y6309" s="1"/>
      <c r="Z6309" s="1"/>
      <c r="AA6309" s="1"/>
      <c r="AB6309" s="1"/>
    </row>
    <row r="6310" ht="50.25" customHeight="1">
      <c r="A6310" s="12">
        <v>6306.0</v>
      </c>
      <c r="B6310" s="13" t="s">
        <v>6141</v>
      </c>
      <c r="C6310" s="14" t="s">
        <v>6333</v>
      </c>
      <c r="D6310" s="1"/>
      <c r="E6310" s="1"/>
      <c r="F6310" s="1" t="str">
        <f>IFERROR(__xludf.DUMMYFUNCTION("GOOGLETRANSLATE(B6310, ""en"", ""fa"")
"),"موفقیت آمازون")</f>
        <v>موفقیت آمازون</v>
      </c>
      <c r="G6310" s="1" t="str">
        <f>IFERROR(__xludf.DUMMYFUNCTION("GOOGLETRANSLATE(C6310, ""en"", ""fa"")
"),"بهترین روش ها برای ردیابی تبلیغات محصولات حمایت شده رقبا و ارزیابی اثربخشی آنها چیست؟")</f>
        <v>بهترین روش ها برای ردیابی تبلیغات محصولات حمایت شده رقبا و ارزیابی اثربخشی آنها چیست؟</v>
      </c>
      <c r="H6310" s="1"/>
      <c r="I6310" s="1"/>
      <c r="J6310" s="1"/>
      <c r="K6310" s="1"/>
      <c r="L6310" s="1"/>
      <c r="M6310" s="1"/>
      <c r="N6310" s="1"/>
      <c r="O6310" s="1"/>
      <c r="P6310" s="1"/>
      <c r="Q6310" s="1"/>
      <c r="R6310" s="1"/>
      <c r="S6310" s="1"/>
      <c r="T6310" s="1"/>
      <c r="U6310" s="1"/>
      <c r="V6310" s="1"/>
      <c r="W6310" s="1"/>
      <c r="X6310" s="1"/>
      <c r="Y6310" s="1"/>
      <c r="Z6310" s="1"/>
      <c r="AA6310" s="1"/>
      <c r="AB6310" s="1"/>
    </row>
    <row r="6311" ht="50.25" customHeight="1">
      <c r="A6311" s="12">
        <v>6307.0</v>
      </c>
      <c r="B6311" s="13" t="s">
        <v>6141</v>
      </c>
      <c r="C6311" s="14" t="s">
        <v>6334</v>
      </c>
      <c r="D6311" s="1"/>
      <c r="E6311" s="1"/>
      <c r="F6311" s="1" t="str">
        <f>IFERROR(__xludf.DUMMYFUNCTION("GOOGLETRANSLATE(B6311, ""en"", ""fa"")
"),"موفقیت آمازون")</f>
        <v>موفقیت آمازون</v>
      </c>
      <c r="G6311" s="1" t="str">
        <f>IFERROR(__xludf.DUMMYFUNCTION("GOOGLETRANSLATE(C6311, ""en"", ""fa"")
"),"نقش توصیفات مشتریان رقیب و محتوای تولید شده توسط کاربر را در درک شهرت برند آنها توضیح دهید.")</f>
        <v>نقش توصیفات مشتریان رقیب و محتوای تولید شده توسط کاربر را در درک شهرت برند آنها توضیح دهید.</v>
      </c>
      <c r="H6311" s="1"/>
      <c r="I6311" s="1"/>
      <c r="J6311" s="1"/>
      <c r="K6311" s="1"/>
      <c r="L6311" s="1"/>
      <c r="M6311" s="1"/>
      <c r="N6311" s="1"/>
      <c r="O6311" s="1"/>
      <c r="P6311" s="1"/>
      <c r="Q6311" s="1"/>
      <c r="R6311" s="1"/>
      <c r="S6311" s="1"/>
      <c r="T6311" s="1"/>
      <c r="U6311" s="1"/>
      <c r="V6311" s="1"/>
      <c r="W6311" s="1"/>
      <c r="X6311" s="1"/>
      <c r="Y6311" s="1"/>
      <c r="Z6311" s="1"/>
      <c r="AA6311" s="1"/>
      <c r="AB6311" s="1"/>
    </row>
    <row r="6312" ht="50.25" customHeight="1">
      <c r="A6312" s="12">
        <v>6308.0</v>
      </c>
      <c r="B6312" s="13" t="s">
        <v>6141</v>
      </c>
      <c r="C6312" s="14" t="s">
        <v>6335</v>
      </c>
      <c r="D6312" s="1"/>
      <c r="E6312" s="1"/>
      <c r="F6312" s="1" t="str">
        <f>IFERROR(__xludf.DUMMYFUNCTION("GOOGLETRANSLATE(B6312, ""en"", ""fa"")
"),"موفقیت آمازون")</f>
        <v>موفقیت آمازون</v>
      </c>
      <c r="G6312" s="1" t="str">
        <f>IFERROR(__xludf.DUMMYFUNCTION("GOOGLETRANSLATE(C6312, ""en"", ""fa"")
"),"چگونه فروشندگان می توانند گزینه های حمل و نقل رقیب و سرعت تحویل را برای بهینه سازی روش های انجام خود ارزیابی کنند؟")</f>
        <v>چگونه فروشندگان می توانند گزینه های حمل و نقل رقیب و سرعت تحویل را برای بهینه سازی روش های انجام خود ارزیابی کنند؟</v>
      </c>
      <c r="H6312" s="1"/>
      <c r="I6312" s="1"/>
      <c r="J6312" s="1"/>
      <c r="K6312" s="1"/>
      <c r="L6312" s="1"/>
      <c r="M6312" s="1"/>
      <c r="N6312" s="1"/>
      <c r="O6312" s="1"/>
      <c r="P6312" s="1"/>
      <c r="Q6312" s="1"/>
      <c r="R6312" s="1"/>
      <c r="S6312" s="1"/>
      <c r="T6312" s="1"/>
      <c r="U6312" s="1"/>
      <c r="V6312" s="1"/>
      <c r="W6312" s="1"/>
      <c r="X6312" s="1"/>
      <c r="Y6312" s="1"/>
      <c r="Z6312" s="1"/>
      <c r="AA6312" s="1"/>
      <c r="AB6312" s="1"/>
    </row>
    <row r="6313" ht="50.25" customHeight="1">
      <c r="A6313" s="12">
        <v>6309.0</v>
      </c>
      <c r="B6313" s="13" t="s">
        <v>6141</v>
      </c>
      <c r="C6313" s="14" t="s">
        <v>6336</v>
      </c>
      <c r="D6313" s="1"/>
      <c r="E6313" s="1"/>
      <c r="F6313" s="1" t="str">
        <f>IFERROR(__xludf.DUMMYFUNCTION("GOOGLETRANSLATE(B6313, ""en"", ""fa"")
"),"موفقیت آمازون")</f>
        <v>موفقیت آمازون</v>
      </c>
      <c r="G6313" s="1" t="str">
        <f>IFERROR(__xludf.DUMMYFUNCTION("GOOGLETRANSLATE(C6313, ""en"", ""fa"")
"),"در مورد اهمیت تجزیه و تحلیل نظرات مشتریان رقیب برای بینش در مورد عملکرد محصول و ترجیحات ویژگی بحث کنید.")</f>
        <v>در مورد اهمیت تجزیه و تحلیل نظرات مشتریان رقیب برای بینش در مورد عملکرد محصول و ترجیحات ویژگی بحث کنید.</v>
      </c>
      <c r="H6313" s="1"/>
      <c r="I6313" s="1"/>
      <c r="J6313" s="1"/>
      <c r="K6313" s="1"/>
      <c r="L6313" s="1"/>
      <c r="M6313" s="1"/>
      <c r="N6313" s="1"/>
      <c r="O6313" s="1"/>
      <c r="P6313" s="1"/>
      <c r="Q6313" s="1"/>
      <c r="R6313" s="1"/>
      <c r="S6313" s="1"/>
      <c r="T6313" s="1"/>
      <c r="U6313" s="1"/>
      <c r="V6313" s="1"/>
      <c r="W6313" s="1"/>
      <c r="X6313" s="1"/>
      <c r="Y6313" s="1"/>
      <c r="Z6313" s="1"/>
      <c r="AA6313" s="1"/>
      <c r="AB6313" s="1"/>
    </row>
    <row r="6314" ht="50.25" customHeight="1">
      <c r="A6314" s="12">
        <v>6310.0</v>
      </c>
      <c r="B6314" s="13" t="s">
        <v>6141</v>
      </c>
      <c r="C6314" s="14" t="s">
        <v>6337</v>
      </c>
      <c r="D6314" s="1"/>
      <c r="E6314" s="1"/>
      <c r="F6314" s="1" t="str">
        <f>IFERROR(__xludf.DUMMYFUNCTION("GOOGLETRANSLATE(B6314, ""en"", ""fa"")
"),"موفقیت آمازون")</f>
        <v>موفقیت آمازون</v>
      </c>
      <c r="G6314" s="1" t="str">
        <f>IFERROR(__xludf.DUMMYFUNCTION("GOOGLETRANSLATE(C6314, ""en"", ""fa"")
"),"نکاتی را برای نظارت بر تعامل مشتری رقیب در پلتفرم های رسانه های اجتماعی و تطبیق استراتژی های رسانه های اجتماعی خود به اشتراک بگذارید.")</f>
        <v>نکاتی را برای نظارت بر تعامل مشتری رقیب در پلتفرم های رسانه های اجتماعی و تطبیق استراتژی های رسانه های اجتماعی خود به اشتراک بگذارید.</v>
      </c>
      <c r="H6314" s="1"/>
      <c r="I6314" s="1"/>
      <c r="J6314" s="1"/>
      <c r="K6314" s="1"/>
      <c r="L6314" s="1"/>
      <c r="M6314" s="1"/>
      <c r="N6314" s="1"/>
      <c r="O6314" s="1"/>
      <c r="P6314" s="1"/>
      <c r="Q6314" s="1"/>
      <c r="R6314" s="1"/>
      <c r="S6314" s="1"/>
      <c r="T6314" s="1"/>
      <c r="U6314" s="1"/>
      <c r="V6314" s="1"/>
      <c r="W6314" s="1"/>
      <c r="X6314" s="1"/>
      <c r="Y6314" s="1"/>
      <c r="Z6314" s="1"/>
      <c r="AA6314" s="1"/>
      <c r="AB6314" s="1"/>
    </row>
    <row r="6315" ht="50.25" customHeight="1">
      <c r="A6315" s="12">
        <v>6311.0</v>
      </c>
      <c r="B6315" s="13" t="s">
        <v>6141</v>
      </c>
      <c r="C6315" s="14" t="s">
        <v>6338</v>
      </c>
      <c r="D6315" s="1"/>
      <c r="E6315" s="1"/>
      <c r="F6315" s="1" t="str">
        <f>IFERROR(__xludf.DUMMYFUNCTION("GOOGLETRANSLATE(B6315, ""en"", ""fa"")
"),"موفقیت آمازون")</f>
        <v>موفقیت آمازون</v>
      </c>
      <c r="G6315" s="1" t="str">
        <f>IFERROR(__xludf.DUMMYFUNCTION("GOOGLETRANSLATE(C6315, ""en"", ""fa"")
"),"بهترین روش‌ها برای پیگیری فراخوان‌ها یا مشکلات کیفی محصولات رقیب و اطمینان از برتری محصول چیست؟")</f>
        <v>بهترین روش‌ها برای پیگیری فراخوان‌ها یا مشکلات کیفی محصولات رقیب و اطمینان از برتری محصول چیست؟</v>
      </c>
      <c r="H6315" s="1"/>
      <c r="I6315" s="1"/>
      <c r="J6315" s="1"/>
      <c r="K6315" s="1"/>
      <c r="L6315" s="1"/>
      <c r="M6315" s="1"/>
      <c r="N6315" s="1"/>
      <c r="O6315" s="1"/>
      <c r="P6315" s="1"/>
      <c r="Q6315" s="1"/>
      <c r="R6315" s="1"/>
      <c r="S6315" s="1"/>
      <c r="T6315" s="1"/>
      <c r="U6315" s="1"/>
      <c r="V6315" s="1"/>
      <c r="W6315" s="1"/>
      <c r="X6315" s="1"/>
      <c r="Y6315" s="1"/>
      <c r="Z6315" s="1"/>
      <c r="AA6315" s="1"/>
      <c r="AB6315" s="1"/>
    </row>
    <row r="6316" ht="50.25" customHeight="1">
      <c r="A6316" s="12">
        <v>6312.0</v>
      </c>
      <c r="B6316" s="13" t="s">
        <v>6141</v>
      </c>
      <c r="C6316" s="14" t="s">
        <v>6339</v>
      </c>
      <c r="D6316" s="1"/>
      <c r="E6316" s="1"/>
      <c r="F6316" s="1" t="str">
        <f>IFERROR(__xludf.DUMMYFUNCTION("GOOGLETRANSLATE(B6316, ""en"", ""fa"")
"),"موفقیت آمازون")</f>
        <v>موفقیت آمازون</v>
      </c>
      <c r="G6316" s="1" t="str">
        <f>IFERROR(__xludf.DUMMYFUNCTION("GOOGLETRANSLATE(C6316, ""en"", ""fa"")
"),"اهمیت تجزیه و تحلیل ویژگی های محصول رقیب و شناسایی فرصت ها برای تمایز محصول را توضیح دهید.")</f>
        <v>اهمیت تجزیه و تحلیل ویژگی های محصول رقیب و شناسایی فرصت ها برای تمایز محصول را توضیح دهید.</v>
      </c>
      <c r="H6316" s="1"/>
      <c r="I6316" s="1"/>
      <c r="J6316" s="1"/>
      <c r="K6316" s="1"/>
      <c r="L6316" s="1"/>
      <c r="M6316" s="1"/>
      <c r="N6316" s="1"/>
      <c r="O6316" s="1"/>
      <c r="P6316" s="1"/>
      <c r="Q6316" s="1"/>
      <c r="R6316" s="1"/>
      <c r="S6316" s="1"/>
      <c r="T6316" s="1"/>
      <c r="U6316" s="1"/>
      <c r="V6316" s="1"/>
      <c r="W6316" s="1"/>
      <c r="X6316" s="1"/>
      <c r="Y6316" s="1"/>
      <c r="Z6316" s="1"/>
      <c r="AA6316" s="1"/>
      <c r="AB6316" s="1"/>
    </row>
    <row r="6317" ht="50.25" customHeight="1">
      <c r="A6317" s="12">
        <v>6313.0</v>
      </c>
      <c r="B6317" s="13" t="s">
        <v>6141</v>
      </c>
      <c r="C6317" s="14" t="s">
        <v>6340</v>
      </c>
      <c r="D6317" s="1"/>
      <c r="E6317" s="1"/>
      <c r="F6317" s="1" t="str">
        <f>IFERROR(__xludf.DUMMYFUNCTION("GOOGLETRANSLATE(B6317, ""en"", ""fa"")
"),"موفقیت آمازون")</f>
        <v>موفقیت آمازون</v>
      </c>
      <c r="G6317" s="1" t="str">
        <f>IFERROR(__xludf.DUMMYFUNCTION("GOOGLETRANSLATE(C6317, ""en"", ""fa"")
"),"چگونه فروشندگان می‌توانند پیام‌ها و موقعیت‌یابی برند رقیب را برای اصلاح هویت برند خود ارزیابی کنند؟")</f>
        <v>چگونه فروشندگان می‌توانند پیام‌ها و موقعیت‌یابی برند رقیب را برای اصلاح هویت برند خود ارزیابی کنند؟</v>
      </c>
      <c r="H6317" s="1"/>
      <c r="I6317" s="1"/>
      <c r="J6317" s="1"/>
      <c r="K6317" s="1"/>
      <c r="L6317" s="1"/>
      <c r="M6317" s="1"/>
      <c r="N6317" s="1"/>
      <c r="O6317" s="1"/>
      <c r="P6317" s="1"/>
      <c r="Q6317" s="1"/>
      <c r="R6317" s="1"/>
      <c r="S6317" s="1"/>
      <c r="T6317" s="1"/>
      <c r="U6317" s="1"/>
      <c r="V6317" s="1"/>
      <c r="W6317" s="1"/>
      <c r="X6317" s="1"/>
      <c r="Y6317" s="1"/>
      <c r="Z6317" s="1"/>
      <c r="AA6317" s="1"/>
      <c r="AB6317" s="1"/>
    </row>
    <row r="6318" ht="50.25" customHeight="1">
      <c r="A6318" s="12">
        <v>6314.0</v>
      </c>
      <c r="B6318" s="13" t="s">
        <v>6141</v>
      </c>
      <c r="C6318" s="14" t="s">
        <v>6341</v>
      </c>
      <c r="D6318" s="1"/>
      <c r="E6318" s="1"/>
      <c r="F6318" s="1" t="str">
        <f>IFERROR(__xludf.DUMMYFUNCTION("GOOGLETRANSLATE(B6318, ""en"", ""fa"")
"),"موفقیت آمازون")</f>
        <v>موفقیت آمازون</v>
      </c>
      <c r="G6318" s="1" t="str">
        <f>IFERROR(__xludf.DUMMYFUNCTION("GOOGLETRANSLATE(C6318, ""en"", ""fa"")
"),"در مورد نقش گواهینامه های محصولات رقیب و وابستگی به صنعت در درک اعتبار آنها و مزیت های بازار بحث کنید.")</f>
        <v>در مورد نقش گواهینامه های محصولات رقیب و وابستگی به صنعت در درک اعتبار آنها و مزیت های بازار بحث کنید.</v>
      </c>
      <c r="H6318" s="1"/>
      <c r="I6318" s="1"/>
      <c r="J6318" s="1"/>
      <c r="K6318" s="1"/>
      <c r="L6318" s="1"/>
      <c r="M6318" s="1"/>
      <c r="N6318" s="1"/>
      <c r="O6318" s="1"/>
      <c r="P6318" s="1"/>
      <c r="Q6318" s="1"/>
      <c r="R6318" s="1"/>
      <c r="S6318" s="1"/>
      <c r="T6318" s="1"/>
      <c r="U6318" s="1"/>
      <c r="V6318" s="1"/>
      <c r="W6318" s="1"/>
      <c r="X6318" s="1"/>
      <c r="Y6318" s="1"/>
      <c r="Z6318" s="1"/>
      <c r="AA6318" s="1"/>
      <c r="AB6318" s="1"/>
    </row>
    <row r="6319" ht="50.25" customHeight="1">
      <c r="A6319" s="12">
        <v>6315.0</v>
      </c>
      <c r="B6319" s="13" t="s">
        <v>6141</v>
      </c>
      <c r="C6319" s="14" t="s">
        <v>6342</v>
      </c>
      <c r="D6319" s="1"/>
      <c r="E6319" s="1"/>
      <c r="F6319" s="1" t="str">
        <f>IFERROR(__xludf.DUMMYFUNCTION("GOOGLETRANSLATE(B6319, ""en"", ""fa"")
"),"موفقیت آمازون")</f>
        <v>موفقیت آمازون</v>
      </c>
      <c r="G6319" s="1" t="str">
        <f>IFERROR(__xludf.DUMMYFUNCTION("GOOGLETRANSLATE(C6319, ""en"", ""fa"")
"),"در مورد نحوه نظارت بر تغییرات قیمت گذاری رقبا و تنظیم استراتژی های قیمت گذاری بر اساس آن، بینش هایی را به اشتراک بگذارید.")</f>
        <v>در مورد نحوه نظارت بر تغییرات قیمت گذاری رقبا و تنظیم استراتژی های قیمت گذاری بر اساس آن، بینش هایی را به اشتراک بگذارید.</v>
      </c>
      <c r="H6319" s="1"/>
      <c r="I6319" s="1"/>
      <c r="J6319" s="1"/>
      <c r="K6319" s="1"/>
      <c r="L6319" s="1"/>
      <c r="M6319" s="1"/>
      <c r="N6319" s="1"/>
      <c r="O6319" s="1"/>
      <c r="P6319" s="1"/>
      <c r="Q6319" s="1"/>
      <c r="R6319" s="1"/>
      <c r="S6319" s="1"/>
      <c r="T6319" s="1"/>
      <c r="U6319" s="1"/>
      <c r="V6319" s="1"/>
      <c r="W6319" s="1"/>
      <c r="X6319" s="1"/>
      <c r="Y6319" s="1"/>
      <c r="Z6319" s="1"/>
      <c r="AA6319" s="1"/>
      <c r="AB6319" s="1"/>
    </row>
    <row r="6320" ht="50.25" customHeight="1">
      <c r="A6320" s="12">
        <v>6316.0</v>
      </c>
      <c r="B6320" s="13" t="s">
        <v>6141</v>
      </c>
      <c r="C6320" s="14" t="s">
        <v>6343</v>
      </c>
      <c r="D6320" s="1"/>
      <c r="E6320" s="1"/>
      <c r="F6320" s="1" t="str">
        <f>IFERROR(__xludf.DUMMYFUNCTION("GOOGLETRANSLATE(B6320, ""en"", ""fa"")
"),"موفقیت آمازون")</f>
        <v>موفقیت آمازون</v>
      </c>
      <c r="G6320" s="1" t="str">
        <f>IFERROR(__xludf.DUMMYFUNCTION("GOOGLETRANSLATE(C6320, ""en"", ""fa"")
"),"بهترین روش ها برای ردیابی حجم فروش محصولات رقیب و تخمین سهم بازار آنها چیست؟")</f>
        <v>بهترین روش ها برای ردیابی حجم فروش محصولات رقیب و تخمین سهم بازار آنها چیست؟</v>
      </c>
      <c r="H6320" s="1"/>
      <c r="I6320" s="1"/>
      <c r="J6320" s="1"/>
      <c r="K6320" s="1"/>
      <c r="L6320" s="1"/>
      <c r="M6320" s="1"/>
      <c r="N6320" s="1"/>
      <c r="O6320" s="1"/>
      <c r="P6320" s="1"/>
      <c r="Q6320" s="1"/>
      <c r="R6320" s="1"/>
      <c r="S6320" s="1"/>
      <c r="T6320" s="1"/>
      <c r="U6320" s="1"/>
      <c r="V6320" s="1"/>
      <c r="W6320" s="1"/>
      <c r="X6320" s="1"/>
      <c r="Y6320" s="1"/>
      <c r="Z6320" s="1"/>
      <c r="AA6320" s="1"/>
      <c r="AB6320" s="1"/>
    </row>
    <row r="6321" ht="50.25" customHeight="1">
      <c r="A6321" s="12">
        <v>6317.0</v>
      </c>
      <c r="B6321" s="13" t="s">
        <v>6141</v>
      </c>
      <c r="C6321" s="14" t="s">
        <v>6344</v>
      </c>
      <c r="D6321" s="1"/>
      <c r="E6321" s="1"/>
      <c r="F6321" s="1" t="str">
        <f>IFERROR(__xludf.DUMMYFUNCTION("GOOGLETRANSLATE(B6321, ""en"", ""fa"")
"),"موفقیت آمازون")</f>
        <v>موفقیت آمازون</v>
      </c>
      <c r="G6321" s="1" t="str">
        <f>IFERROR(__xludf.DUMMYFUNCTION("GOOGLETRANSLATE(C6321, ""en"", ""fa"")
"),"اهمیت تجزیه و تحلیل استراتژی های حفظ مشتری رقیب و برنامه های وفاداری را توضیح دهید.")</f>
        <v>اهمیت تجزیه و تحلیل استراتژی های حفظ مشتری رقیب و برنامه های وفاداری را توضیح دهید.</v>
      </c>
      <c r="H6321" s="1"/>
      <c r="I6321" s="1"/>
      <c r="J6321" s="1"/>
      <c r="K6321" s="1"/>
      <c r="L6321" s="1"/>
      <c r="M6321" s="1"/>
      <c r="N6321" s="1"/>
      <c r="O6321" s="1"/>
      <c r="P6321" s="1"/>
      <c r="Q6321" s="1"/>
      <c r="R6321" s="1"/>
      <c r="S6321" s="1"/>
      <c r="T6321" s="1"/>
      <c r="U6321" s="1"/>
      <c r="V6321" s="1"/>
      <c r="W6321" s="1"/>
      <c r="X6321" s="1"/>
      <c r="Y6321" s="1"/>
      <c r="Z6321" s="1"/>
      <c r="AA6321" s="1"/>
      <c r="AB6321" s="1"/>
    </row>
    <row r="6322" ht="50.25" customHeight="1">
      <c r="A6322" s="12">
        <v>6318.0</v>
      </c>
      <c r="B6322" s="13" t="s">
        <v>6141</v>
      </c>
      <c r="C6322" s="14" t="s">
        <v>6345</v>
      </c>
      <c r="D6322" s="1"/>
      <c r="E6322" s="1"/>
      <c r="F6322" s="1" t="str">
        <f>IFERROR(__xludf.DUMMYFUNCTION("GOOGLETRANSLATE(B6322, ""en"", ""fa"")
"),"موفقیت آمازون")</f>
        <v>موفقیت آمازون</v>
      </c>
      <c r="G6322" s="1" t="str">
        <f>IFERROR(__xludf.DUMMYFUNCTION("GOOGLETRANSLATE(C6322, ""en"", ""fa"")
"),"چگونه فروشندگان می توانند کمپین های بازاریابی ایمیلی رقیب را ارزیابی کنند و تاکتیک های موفق را در تلاش های بازاریابی ایمیلی خود بگنجانند؟")</f>
        <v>چگونه فروشندگان می توانند کمپین های بازاریابی ایمیلی رقیب را ارزیابی کنند و تاکتیک های موفق را در تلاش های بازاریابی ایمیلی خود بگنجانند؟</v>
      </c>
      <c r="H6322" s="1"/>
      <c r="I6322" s="1"/>
      <c r="J6322" s="1"/>
      <c r="K6322" s="1"/>
      <c r="L6322" s="1"/>
      <c r="M6322" s="1"/>
      <c r="N6322" s="1"/>
      <c r="O6322" s="1"/>
      <c r="P6322" s="1"/>
      <c r="Q6322" s="1"/>
      <c r="R6322" s="1"/>
      <c r="S6322" s="1"/>
      <c r="T6322" s="1"/>
      <c r="U6322" s="1"/>
      <c r="V6322" s="1"/>
      <c r="W6322" s="1"/>
      <c r="X6322" s="1"/>
      <c r="Y6322" s="1"/>
      <c r="Z6322" s="1"/>
      <c r="AA6322" s="1"/>
      <c r="AB6322" s="1"/>
    </row>
    <row r="6323" ht="50.25" customHeight="1">
      <c r="A6323" s="12">
        <v>6319.0</v>
      </c>
      <c r="B6323" s="13" t="s">
        <v>6141</v>
      </c>
      <c r="C6323" s="14" t="s">
        <v>6346</v>
      </c>
      <c r="D6323" s="1"/>
      <c r="E6323" s="1"/>
      <c r="F6323" s="1" t="str">
        <f>IFERROR(__xludf.DUMMYFUNCTION("GOOGLETRANSLATE(B6323, ""en"", ""fa"")
"),"موفقیت آمازون")</f>
        <v>موفقیت آمازون</v>
      </c>
      <c r="G6323" s="1" t="str">
        <f>IFERROR(__xludf.DUMMYFUNCTION("GOOGLETRANSLATE(C6323, ""en"", ""fa"")
"),"در مورد اهمیت نظارت بر رتبه‌بندی‌ها و بررسی‌های محصولات رقبا برای شناسایی زمینه‌های بالقوه برای بهبود محصول بحث کنید.")</f>
        <v>در مورد اهمیت نظارت بر رتبه‌بندی‌ها و بررسی‌های محصولات رقبا برای شناسایی زمینه‌های بالقوه برای بهبود محصول بحث کنید.</v>
      </c>
      <c r="H6323" s="1"/>
      <c r="I6323" s="1"/>
      <c r="J6323" s="1"/>
      <c r="K6323" s="1"/>
      <c r="L6323" s="1"/>
      <c r="M6323" s="1"/>
      <c r="N6323" s="1"/>
      <c r="O6323" s="1"/>
      <c r="P6323" s="1"/>
      <c r="Q6323" s="1"/>
      <c r="R6323" s="1"/>
      <c r="S6323" s="1"/>
      <c r="T6323" s="1"/>
      <c r="U6323" s="1"/>
      <c r="V6323" s="1"/>
      <c r="W6323" s="1"/>
      <c r="X6323" s="1"/>
      <c r="Y6323" s="1"/>
      <c r="Z6323" s="1"/>
      <c r="AA6323" s="1"/>
      <c r="AB6323" s="1"/>
    </row>
    <row r="6324" ht="50.25" customHeight="1">
      <c r="A6324" s="12">
        <v>6320.0</v>
      </c>
      <c r="B6324" s="13" t="s">
        <v>6141</v>
      </c>
      <c r="C6324" s="14" t="s">
        <v>6347</v>
      </c>
      <c r="D6324" s="1"/>
      <c r="E6324" s="1"/>
      <c r="F6324" s="1" t="str">
        <f>IFERROR(__xludf.DUMMYFUNCTION("GOOGLETRANSLATE(B6324, ""en"", ""fa"")
"),"موفقیت آمازون")</f>
        <v>موفقیت آمازون</v>
      </c>
      <c r="G6324" s="1" t="str">
        <f>IFERROR(__xludf.DUMMYFUNCTION("GOOGLETRANSLATE(C6324, ""en"", ""fa"")
"),"نکاتی را برای تجزیه و تحلیل بسته‌ها یا کیت‌های محصول رقیب به اشتراک بگذارید تا فرصت‌هایی را برای ایجاد پیشنهادات همراه خود شناسایی کنید.")</f>
        <v>نکاتی را برای تجزیه و تحلیل بسته‌ها یا کیت‌های محصول رقیب به اشتراک بگذارید تا فرصت‌هایی را برای ایجاد پیشنهادات همراه خود شناسایی کنید.</v>
      </c>
      <c r="H6324" s="1"/>
      <c r="I6324" s="1"/>
      <c r="J6324" s="1"/>
      <c r="K6324" s="1"/>
      <c r="L6324" s="1"/>
      <c r="M6324" s="1"/>
      <c r="N6324" s="1"/>
      <c r="O6324" s="1"/>
      <c r="P6324" s="1"/>
      <c r="Q6324" s="1"/>
      <c r="R6324" s="1"/>
      <c r="S6324" s="1"/>
      <c r="T6324" s="1"/>
      <c r="U6324" s="1"/>
      <c r="V6324" s="1"/>
      <c r="W6324" s="1"/>
      <c r="X6324" s="1"/>
      <c r="Y6324" s="1"/>
      <c r="Z6324" s="1"/>
      <c r="AA6324" s="1"/>
      <c r="AB6324" s="1"/>
    </row>
    <row r="6325" ht="50.25" customHeight="1">
      <c r="A6325" s="12">
        <v>6321.0</v>
      </c>
      <c r="B6325" s="13" t="s">
        <v>6141</v>
      </c>
      <c r="C6325" s="14" t="s">
        <v>6348</v>
      </c>
      <c r="D6325" s="1"/>
      <c r="E6325" s="1"/>
      <c r="F6325" s="1" t="str">
        <f>IFERROR(__xludf.DUMMYFUNCTION("GOOGLETRANSLATE(B6325, ""en"", ""fa"")
"),"موفقیت آمازون")</f>
        <v>موفقیت آمازون</v>
      </c>
      <c r="G6325" s="1" t="str">
        <f>IFERROR(__xludf.DUMMYFUNCTION("GOOGLETRANSLATE(C6325, ""en"", ""fa"")
"),"بهترین شیوه‌ها برای ردیابی بهینه‌سازی فهرست محصولات رقیب و تطبیق استراتژی‌های فهرست‌بندی خودتان چیست؟")</f>
        <v>بهترین شیوه‌ها برای ردیابی بهینه‌سازی فهرست محصولات رقیب و تطبیق استراتژی‌های فهرست‌بندی خودتان چیست؟</v>
      </c>
      <c r="H6325" s="1"/>
      <c r="I6325" s="1"/>
      <c r="J6325" s="1"/>
      <c r="K6325" s="1"/>
      <c r="L6325" s="1"/>
      <c r="M6325" s="1"/>
      <c r="N6325" s="1"/>
      <c r="O6325" s="1"/>
      <c r="P6325" s="1"/>
      <c r="Q6325" s="1"/>
      <c r="R6325" s="1"/>
      <c r="S6325" s="1"/>
      <c r="T6325" s="1"/>
      <c r="U6325" s="1"/>
      <c r="V6325" s="1"/>
      <c r="W6325" s="1"/>
      <c r="X6325" s="1"/>
      <c r="Y6325" s="1"/>
      <c r="Z6325" s="1"/>
      <c r="AA6325" s="1"/>
      <c r="AB6325" s="1"/>
    </row>
    <row r="6326" ht="50.25" customHeight="1">
      <c r="A6326" s="12">
        <v>6322.0</v>
      </c>
      <c r="B6326" s="13" t="s">
        <v>6141</v>
      </c>
      <c r="C6326" s="14" t="s">
        <v>6349</v>
      </c>
      <c r="D6326" s="1"/>
      <c r="E6326" s="1"/>
      <c r="F6326" s="1" t="str">
        <f>IFERROR(__xludf.DUMMYFUNCTION("GOOGLETRANSLATE(B6326, ""en"", ""fa"")
"),"موفقیت آمازون")</f>
        <v>موفقیت آمازون</v>
      </c>
      <c r="G6326" s="1" t="str">
        <f>IFERROR(__xludf.DUMMYFUNCTION("GOOGLETRANSLATE(C6326, ""en"", ""fa"")
"),"نقش سفیران یا تأثیرگذاران برند رقیب را در درک تاکتیک های بازاریابی آنها توضیح دهید.")</f>
        <v>نقش سفیران یا تأثیرگذاران برند رقیب را در درک تاکتیک های بازاریابی آنها توضیح دهید.</v>
      </c>
      <c r="H6326" s="1"/>
      <c r="I6326" s="1"/>
      <c r="J6326" s="1"/>
      <c r="K6326" s="1"/>
      <c r="L6326" s="1"/>
      <c r="M6326" s="1"/>
      <c r="N6326" s="1"/>
      <c r="O6326" s="1"/>
      <c r="P6326" s="1"/>
      <c r="Q6326" s="1"/>
      <c r="R6326" s="1"/>
      <c r="S6326" s="1"/>
      <c r="T6326" s="1"/>
      <c r="U6326" s="1"/>
      <c r="V6326" s="1"/>
      <c r="W6326" s="1"/>
      <c r="X6326" s="1"/>
      <c r="Y6326" s="1"/>
      <c r="Z6326" s="1"/>
      <c r="AA6326" s="1"/>
      <c r="AB6326" s="1"/>
    </row>
    <row r="6327" ht="50.25" customHeight="1">
      <c r="A6327" s="12">
        <v>6323.0</v>
      </c>
      <c r="B6327" s="13" t="s">
        <v>6141</v>
      </c>
      <c r="C6327" s="14" t="s">
        <v>6350</v>
      </c>
      <c r="D6327" s="1"/>
      <c r="E6327" s="1"/>
      <c r="F6327" s="1" t="str">
        <f>IFERROR(__xludf.DUMMYFUNCTION("GOOGLETRANSLATE(B6327, ""en"", ""fa"")
"),"موفقیت آمازون")</f>
        <v>موفقیت آمازون</v>
      </c>
      <c r="G6327" s="1" t="str">
        <f>IFERROR(__xludf.DUMMYFUNCTION("GOOGLETRANSLATE(C6327, ""en"", ""fa"")
"),"چگونه فروشندگان می توانند پاسخگویی پشتیبانی مشتری رقیب را ارزیابی کنند و فرصت هایی را برای برتری در خدمات مشتری شناسایی کنند؟")</f>
        <v>چگونه فروشندگان می توانند پاسخگویی پشتیبانی مشتری رقیب را ارزیابی کنند و فرصت هایی را برای برتری در خدمات مشتری شناسایی کنند؟</v>
      </c>
      <c r="H6327" s="1"/>
      <c r="I6327" s="1"/>
      <c r="J6327" s="1"/>
      <c r="K6327" s="1"/>
      <c r="L6327" s="1"/>
      <c r="M6327" s="1"/>
      <c r="N6327" s="1"/>
      <c r="O6327" s="1"/>
      <c r="P6327" s="1"/>
      <c r="Q6327" s="1"/>
      <c r="R6327" s="1"/>
      <c r="S6327" s="1"/>
      <c r="T6327" s="1"/>
      <c r="U6327" s="1"/>
      <c r="V6327" s="1"/>
      <c r="W6327" s="1"/>
      <c r="X6327" s="1"/>
      <c r="Y6327" s="1"/>
      <c r="Z6327" s="1"/>
      <c r="AA6327" s="1"/>
      <c r="AB6327" s="1"/>
    </row>
    <row r="6328" ht="50.25" customHeight="1">
      <c r="A6328" s="12">
        <v>6324.0</v>
      </c>
      <c r="B6328" s="13" t="s">
        <v>6141</v>
      </c>
      <c r="C6328" s="14" t="s">
        <v>6351</v>
      </c>
      <c r="D6328" s="1"/>
      <c r="E6328" s="1"/>
      <c r="F6328" s="1" t="str">
        <f>IFERROR(__xludf.DUMMYFUNCTION("GOOGLETRANSLATE(B6328, ""en"", ""fa"")
"),"موفقیت آمازون")</f>
        <v>موفقیت آمازون</v>
      </c>
      <c r="G6328" s="1" t="str">
        <f>IFERROR(__xludf.DUMMYFUNCTION("GOOGLETRANSLATE(C6328, ""en"", ""fa"")
"),"در مورد اهمیت تجزیه و تحلیل ضمانت‌ها یا ضمانت‌های محصولات رقیب و شناسایی زمینه‌های بهبود در سیاست‌های خود بحث کنید.")</f>
        <v>در مورد اهمیت تجزیه و تحلیل ضمانت‌ها یا ضمانت‌های محصولات رقیب و شناسایی زمینه‌های بهبود در سیاست‌های خود بحث کنید.</v>
      </c>
      <c r="H6328" s="1"/>
      <c r="I6328" s="1"/>
      <c r="J6328" s="1"/>
      <c r="K6328" s="1"/>
      <c r="L6328" s="1"/>
      <c r="M6328" s="1"/>
      <c r="N6328" s="1"/>
      <c r="O6328" s="1"/>
      <c r="P6328" s="1"/>
      <c r="Q6328" s="1"/>
      <c r="R6328" s="1"/>
      <c r="S6328" s="1"/>
      <c r="T6328" s="1"/>
      <c r="U6328" s="1"/>
      <c r="V6328" s="1"/>
      <c r="W6328" s="1"/>
      <c r="X6328" s="1"/>
      <c r="Y6328" s="1"/>
      <c r="Z6328" s="1"/>
      <c r="AA6328" s="1"/>
      <c r="AB6328" s="1"/>
    </row>
    <row r="6329" ht="50.25" customHeight="1">
      <c r="A6329" s="12">
        <v>6325.0</v>
      </c>
      <c r="B6329" s="13" t="s">
        <v>6141</v>
      </c>
      <c r="C6329" s="14" t="s">
        <v>6352</v>
      </c>
      <c r="D6329" s="1"/>
      <c r="E6329" s="1"/>
      <c r="F6329" s="1" t="str">
        <f>IFERROR(__xludf.DUMMYFUNCTION("GOOGLETRANSLATE(B6329, ""en"", ""fa"")
"),"موفقیت آمازون")</f>
        <v>موفقیت آمازون</v>
      </c>
      <c r="G6329" s="1" t="str">
        <f>IFERROR(__xludf.DUMMYFUNCTION("GOOGLETRANSLATE(C6329, ""en"", ""fa"")
"),"بینش هایی در مورد نحوه نظارت بر نوسانات موجودی محصولات رقیب و پیش بینی چالش های زنجیره تامین به اشتراک بگذارید.")</f>
        <v>بینش هایی در مورد نحوه نظارت بر نوسانات موجودی محصولات رقیب و پیش بینی چالش های زنجیره تامین به اشتراک بگذارید.</v>
      </c>
      <c r="H6329" s="1"/>
      <c r="I6329" s="1"/>
      <c r="J6329" s="1"/>
      <c r="K6329" s="1"/>
      <c r="L6329" s="1"/>
      <c r="M6329" s="1"/>
      <c r="N6329" s="1"/>
      <c r="O6329" s="1"/>
      <c r="P6329" s="1"/>
      <c r="Q6329" s="1"/>
      <c r="R6329" s="1"/>
      <c r="S6329" s="1"/>
      <c r="T6329" s="1"/>
      <c r="U6329" s="1"/>
      <c r="V6329" s="1"/>
      <c r="W6329" s="1"/>
      <c r="X6329" s="1"/>
      <c r="Y6329" s="1"/>
      <c r="Z6329" s="1"/>
      <c r="AA6329" s="1"/>
      <c r="AB6329" s="1"/>
    </row>
    <row r="6330" ht="50.25" customHeight="1">
      <c r="A6330" s="12">
        <v>6326.0</v>
      </c>
      <c r="B6330" s="13" t="s">
        <v>6141</v>
      </c>
      <c r="C6330" s="14" t="s">
        <v>6353</v>
      </c>
      <c r="D6330" s="1"/>
      <c r="E6330" s="1"/>
      <c r="F6330" s="1" t="str">
        <f>IFERROR(__xludf.DUMMYFUNCTION("GOOGLETRANSLATE(B6330, ""en"", ""fa"")
"),"موفقیت آمازون")</f>
        <v>موفقیت آمازون</v>
      </c>
      <c r="G6330" s="1" t="str">
        <f>IFERROR(__xludf.DUMMYFUNCTION("GOOGLETRANSLATE(C6330, ""en"", ""fa"")
"),"بهترین روش‌ها برای ردیابی رتبه‌بندی و بررسی محصولات رقبا برای شناسایی شکاف‌های احتمالی در بازار چیست؟")</f>
        <v>بهترین روش‌ها برای ردیابی رتبه‌بندی و بررسی محصولات رقبا برای شناسایی شکاف‌های احتمالی در بازار چیست؟</v>
      </c>
      <c r="H6330" s="1"/>
      <c r="I6330" s="1"/>
      <c r="J6330" s="1"/>
      <c r="K6330" s="1"/>
      <c r="L6330" s="1"/>
      <c r="M6330" s="1"/>
      <c r="N6330" s="1"/>
      <c r="O6330" s="1"/>
      <c r="P6330" s="1"/>
      <c r="Q6330" s="1"/>
      <c r="R6330" s="1"/>
      <c r="S6330" s="1"/>
      <c r="T6330" s="1"/>
      <c r="U6330" s="1"/>
      <c r="V6330" s="1"/>
      <c r="W6330" s="1"/>
      <c r="X6330" s="1"/>
      <c r="Y6330" s="1"/>
      <c r="Z6330" s="1"/>
      <c r="AA6330" s="1"/>
      <c r="AB6330" s="1"/>
    </row>
    <row r="6331" ht="50.25" customHeight="1">
      <c r="A6331" s="12">
        <v>6327.0</v>
      </c>
      <c r="B6331" s="13" t="s">
        <v>6141</v>
      </c>
      <c r="C6331" s="14" t="s">
        <v>6354</v>
      </c>
      <c r="D6331" s="1"/>
      <c r="E6331" s="1"/>
      <c r="F6331" s="1" t="str">
        <f>IFERROR(__xludf.DUMMYFUNCTION("GOOGLETRANSLATE(B6331, ""en"", ""fa"")
"),"موفقیت آمازون")</f>
        <v>موفقیت آمازون</v>
      </c>
      <c r="G6331" s="1" t="str">
        <f>IFERROR(__xludf.DUMMYFUNCTION("GOOGLETRANSLATE(C6331, ""en"", ""fa"")
"),"اهمیت تجزیه و تحلیل هدف گذاری مشتری رقیب و شناسایی فرصت ها برای دستیابی به بخش های جدید مشتری را توضیح دهید.")</f>
        <v>اهمیت تجزیه و تحلیل هدف گذاری مشتری رقیب و شناسایی فرصت ها برای دستیابی به بخش های جدید مشتری را توضیح دهید.</v>
      </c>
      <c r="H6331" s="1"/>
      <c r="I6331" s="1"/>
      <c r="J6331" s="1"/>
      <c r="K6331" s="1"/>
      <c r="L6331" s="1"/>
      <c r="M6331" s="1"/>
      <c r="N6331" s="1"/>
      <c r="O6331" s="1"/>
      <c r="P6331" s="1"/>
      <c r="Q6331" s="1"/>
      <c r="R6331" s="1"/>
      <c r="S6331" s="1"/>
      <c r="T6331" s="1"/>
      <c r="U6331" s="1"/>
      <c r="V6331" s="1"/>
      <c r="W6331" s="1"/>
      <c r="X6331" s="1"/>
      <c r="Y6331" s="1"/>
      <c r="Z6331" s="1"/>
      <c r="AA6331" s="1"/>
      <c r="AB6331" s="1"/>
    </row>
    <row r="6332" ht="50.25" customHeight="1">
      <c r="A6332" s="12">
        <v>6328.0</v>
      </c>
      <c r="B6332" s="13" t="s">
        <v>6141</v>
      </c>
      <c r="C6332" s="14" t="s">
        <v>6355</v>
      </c>
      <c r="D6332" s="1"/>
      <c r="E6332" s="1"/>
      <c r="F6332" s="1" t="str">
        <f>IFERROR(__xludf.DUMMYFUNCTION("GOOGLETRANSLATE(B6332, ""en"", ""fa"")
"),"موفقیت آمازون")</f>
        <v>موفقیت آمازون</v>
      </c>
      <c r="G6332" s="1" t="str">
        <f>IFERROR(__xludf.DUMMYFUNCTION("GOOGLETRANSLATE(C6332, ""en"", ""fa"")
"),"چگونه فروشندگان می توانند طراحی بسته بندی رقیب را ارزیابی کنند و فرصت هایی را برای بهبود ارائه محصول خود شناسایی کنند؟")</f>
        <v>چگونه فروشندگان می توانند طراحی بسته بندی رقیب را ارزیابی کنند و فرصت هایی را برای بهبود ارائه محصول خود شناسایی کنند؟</v>
      </c>
      <c r="H6332" s="1"/>
      <c r="I6332" s="1"/>
      <c r="J6332" s="1"/>
      <c r="K6332" s="1"/>
      <c r="L6332" s="1"/>
      <c r="M6332" s="1"/>
      <c r="N6332" s="1"/>
      <c r="O6332" s="1"/>
      <c r="P6332" s="1"/>
      <c r="Q6332" s="1"/>
      <c r="R6332" s="1"/>
      <c r="S6332" s="1"/>
      <c r="T6332" s="1"/>
      <c r="U6332" s="1"/>
      <c r="V6332" s="1"/>
      <c r="W6332" s="1"/>
      <c r="X6332" s="1"/>
      <c r="Y6332" s="1"/>
      <c r="Z6332" s="1"/>
      <c r="AA6332" s="1"/>
      <c r="AB6332" s="1"/>
    </row>
    <row r="6333" ht="50.25" customHeight="1">
      <c r="A6333" s="12">
        <v>6329.0</v>
      </c>
      <c r="B6333" s="13" t="s">
        <v>6141</v>
      </c>
      <c r="C6333" s="14" t="s">
        <v>6356</v>
      </c>
      <c r="D6333" s="1"/>
      <c r="E6333" s="1"/>
      <c r="F6333" s="1" t="str">
        <f>IFERROR(__xludf.DUMMYFUNCTION("GOOGLETRANSLATE(B6333, ""en"", ""fa"")
"),"موفقیت آمازون")</f>
        <v>موفقیت آمازون</v>
      </c>
      <c r="G6333" s="1" t="str">
        <f>IFERROR(__xludf.DUMMYFUNCTION("GOOGLETRANSLATE(C6333, ""en"", ""fa"")
"),"درباره نقش تبلیغات متقابل محصول رقیب یا همکاری در درک استراتژی های بازاریابی آنها بحث کنید.")</f>
        <v>درباره نقش تبلیغات متقابل محصول رقیب یا همکاری در درک استراتژی های بازاریابی آنها بحث کنید.</v>
      </c>
      <c r="H6333" s="1"/>
      <c r="I6333" s="1"/>
      <c r="J6333" s="1"/>
      <c r="K6333" s="1"/>
      <c r="L6333" s="1"/>
      <c r="M6333" s="1"/>
      <c r="N6333" s="1"/>
      <c r="O6333" s="1"/>
      <c r="P6333" s="1"/>
      <c r="Q6333" s="1"/>
      <c r="R6333" s="1"/>
      <c r="S6333" s="1"/>
      <c r="T6333" s="1"/>
      <c r="U6333" s="1"/>
      <c r="V6333" s="1"/>
      <c r="W6333" s="1"/>
      <c r="X6333" s="1"/>
      <c r="Y6333" s="1"/>
      <c r="Z6333" s="1"/>
      <c r="AA6333" s="1"/>
      <c r="AB6333" s="1"/>
    </row>
    <row r="6334" ht="50.25" customHeight="1">
      <c r="A6334" s="12">
        <v>6330.0</v>
      </c>
      <c r="B6334" s="13" t="s">
        <v>6141</v>
      </c>
      <c r="C6334" s="14" t="s">
        <v>6357</v>
      </c>
      <c r="D6334" s="1"/>
      <c r="E6334" s="1"/>
      <c r="F6334" s="1" t="str">
        <f>IFERROR(__xludf.DUMMYFUNCTION("GOOGLETRANSLATE(B6334, ""en"", ""fa"")
"),"موفقیت آمازون")</f>
        <v>موفقیت آمازون</v>
      </c>
      <c r="G6334" s="1" t="str">
        <f>IFERROR(__xludf.DUMMYFUNCTION("GOOGLETRANSLATE(C6334, ""en"", ""fa"")
"),"نکاتی را برای تجزیه و تحلیل به‌روزرسانی‌های محتوای محصولات رقیب و ترکیب عناصر موفق در محتوای خود به اشتراک بگذارید.")</f>
        <v>نکاتی را برای تجزیه و تحلیل به‌روزرسانی‌های محتوای محصولات رقیب و ترکیب عناصر موفق در محتوای خود به اشتراک بگذارید.</v>
      </c>
      <c r="H6334" s="1"/>
      <c r="I6334" s="1"/>
      <c r="J6334" s="1"/>
      <c r="K6334" s="1"/>
      <c r="L6334" s="1"/>
      <c r="M6334" s="1"/>
      <c r="N6334" s="1"/>
      <c r="O6334" s="1"/>
      <c r="P6334" s="1"/>
      <c r="Q6334" s="1"/>
      <c r="R6334" s="1"/>
      <c r="S6334" s="1"/>
      <c r="T6334" s="1"/>
      <c r="U6334" s="1"/>
      <c r="V6334" s="1"/>
      <c r="W6334" s="1"/>
      <c r="X6334" s="1"/>
      <c r="Y6334" s="1"/>
      <c r="Z6334" s="1"/>
      <c r="AA6334" s="1"/>
      <c r="AB6334" s="1"/>
    </row>
    <row r="6335" ht="50.25" customHeight="1">
      <c r="A6335" s="12">
        <v>6331.0</v>
      </c>
      <c r="B6335" s="13" t="s">
        <v>6141</v>
      </c>
      <c r="C6335" s="14" t="s">
        <v>6358</v>
      </c>
      <c r="D6335" s="1"/>
      <c r="E6335" s="1"/>
      <c r="F6335" s="1" t="str">
        <f>IFERROR(__xludf.DUMMYFUNCTION("GOOGLETRANSLATE(B6335, ""en"", ""fa"")
"),"موفقیت آمازون")</f>
        <v>موفقیت آمازون</v>
      </c>
      <c r="G6335" s="1" t="str">
        <f>IFERROR(__xludf.DUMMYFUNCTION("GOOGLETRANSLATE(C6335, ""en"", ""fa"")
"),"بهترین روش ها برای ردیابی هزینه های تبلیغاتی رقبا و ارزیابی تاثیر آن بر فروش چیست؟")</f>
        <v>بهترین روش ها برای ردیابی هزینه های تبلیغاتی رقبا و ارزیابی تاثیر آن بر فروش چیست؟</v>
      </c>
      <c r="H6335" s="1"/>
      <c r="I6335" s="1"/>
      <c r="J6335" s="1"/>
      <c r="K6335" s="1"/>
      <c r="L6335" s="1"/>
      <c r="M6335" s="1"/>
      <c r="N6335" s="1"/>
      <c r="O6335" s="1"/>
      <c r="P6335" s="1"/>
      <c r="Q6335" s="1"/>
      <c r="R6335" s="1"/>
      <c r="S6335" s="1"/>
      <c r="T6335" s="1"/>
      <c r="U6335" s="1"/>
      <c r="V6335" s="1"/>
      <c r="W6335" s="1"/>
      <c r="X6335" s="1"/>
      <c r="Y6335" s="1"/>
      <c r="Z6335" s="1"/>
      <c r="AA6335" s="1"/>
      <c r="AB6335" s="1"/>
    </row>
    <row r="6336" ht="50.25" customHeight="1">
      <c r="A6336" s="12">
        <v>6332.0</v>
      </c>
      <c r="B6336" s="13" t="s">
        <v>6141</v>
      </c>
      <c r="C6336" s="14" t="s">
        <v>6359</v>
      </c>
      <c r="D6336" s="1"/>
      <c r="E6336" s="1"/>
      <c r="F6336" s="1" t="str">
        <f>IFERROR(__xludf.DUMMYFUNCTION("GOOGLETRANSLATE(B6336, ""en"", ""fa"")
"),"موفقیت آمازون")</f>
        <v>موفقیت آمازون</v>
      </c>
      <c r="G6336" s="1" t="str">
        <f>IFERROR(__xludf.DUMMYFUNCTION("GOOGLETRANSLATE(C6336, ""en"", ""fa"")
"),"اهمیت نظارت بر نظرسنجی ها و بازخوردهای رضایت مشتری رقبا را برای جمع آوری بینش های بازار توضیح دهید.")</f>
        <v>اهمیت نظارت بر نظرسنجی ها و بازخوردهای رضایت مشتری رقبا را برای جمع آوری بینش های بازار توضیح دهید.</v>
      </c>
      <c r="H6336" s="1"/>
      <c r="I6336" s="1"/>
      <c r="J6336" s="1"/>
      <c r="K6336" s="1"/>
      <c r="L6336" s="1"/>
      <c r="M6336" s="1"/>
      <c r="N6336" s="1"/>
      <c r="O6336" s="1"/>
      <c r="P6336" s="1"/>
      <c r="Q6336" s="1"/>
      <c r="R6336" s="1"/>
      <c r="S6336" s="1"/>
      <c r="T6336" s="1"/>
      <c r="U6336" s="1"/>
      <c r="V6336" s="1"/>
      <c r="W6336" s="1"/>
      <c r="X6336" s="1"/>
      <c r="Y6336" s="1"/>
      <c r="Z6336" s="1"/>
      <c r="AA6336" s="1"/>
      <c r="AB6336" s="1"/>
    </row>
    <row r="6337" ht="50.25" customHeight="1">
      <c r="A6337" s="12">
        <v>6333.0</v>
      </c>
      <c r="B6337" s="13" t="s">
        <v>6141</v>
      </c>
      <c r="C6337" s="14" t="s">
        <v>6360</v>
      </c>
      <c r="D6337" s="1"/>
      <c r="E6337" s="1"/>
      <c r="F6337" s="1" t="str">
        <f>IFERROR(__xludf.DUMMYFUNCTION("GOOGLETRANSLATE(B6337, ""en"", ""fa"")
"),"موفقیت آمازون")</f>
        <v>موفقیت آمازون</v>
      </c>
      <c r="G6337" s="1" t="str">
        <f>IFERROR(__xludf.DUMMYFUNCTION("GOOGLETRANSLATE(C6337, ""en"", ""fa"")
"),"چگونه فروشندگان می توانند روش های تحقق رقبا را ارزیابی کنند و فرصت هایی را برای بهینه سازی پردازش و ارسال سفارش خود شناسایی کنند؟")</f>
        <v>چگونه فروشندگان می توانند روش های تحقق رقبا را ارزیابی کنند و فرصت هایی را برای بهینه سازی پردازش و ارسال سفارش خود شناسایی کنند؟</v>
      </c>
      <c r="H6337" s="1"/>
      <c r="I6337" s="1"/>
      <c r="J6337" s="1"/>
      <c r="K6337" s="1"/>
      <c r="L6337" s="1"/>
      <c r="M6337" s="1"/>
      <c r="N6337" s="1"/>
      <c r="O6337" s="1"/>
      <c r="P6337" s="1"/>
      <c r="Q6337" s="1"/>
      <c r="R6337" s="1"/>
      <c r="S6337" s="1"/>
      <c r="T6337" s="1"/>
      <c r="U6337" s="1"/>
      <c r="V6337" s="1"/>
      <c r="W6337" s="1"/>
      <c r="X6337" s="1"/>
      <c r="Y6337" s="1"/>
      <c r="Z6337" s="1"/>
      <c r="AA6337" s="1"/>
      <c r="AB6337" s="1"/>
    </row>
    <row r="6338" ht="50.25" customHeight="1">
      <c r="A6338" s="12">
        <v>6334.0</v>
      </c>
      <c r="B6338" s="13" t="s">
        <v>6141</v>
      </c>
      <c r="C6338" s="14" t="s">
        <v>6361</v>
      </c>
      <c r="D6338" s="1"/>
      <c r="E6338" s="1"/>
      <c r="F6338" s="1" t="str">
        <f>IFERROR(__xludf.DUMMYFUNCTION("GOOGLETRANSLATE(B6338, ""en"", ""fa"")
"),"موفقیت آمازون")</f>
        <v>موفقیت آمازون</v>
      </c>
      <c r="G6338" s="1" t="str">
        <f>IFERROR(__xludf.DUMMYFUNCTION("GOOGLETRANSLATE(C6338, ""en"", ""fa"")
"),"در مورد اهمیت تجزیه و تحلیل گواهینامه ها یا جوایز محصولات رقیب و شناسایی فرصت های بالقوه شناسایی صنعت بحث کنید.")</f>
        <v>در مورد اهمیت تجزیه و تحلیل گواهینامه ها یا جوایز محصولات رقیب و شناسایی فرصت های بالقوه شناسایی صنعت بحث کنید.</v>
      </c>
      <c r="H6338" s="1"/>
      <c r="I6338" s="1"/>
      <c r="J6338" s="1"/>
      <c r="K6338" s="1"/>
      <c r="L6338" s="1"/>
      <c r="M6338" s="1"/>
      <c r="N6338" s="1"/>
      <c r="O6338" s="1"/>
      <c r="P6338" s="1"/>
      <c r="Q6338" s="1"/>
      <c r="R6338" s="1"/>
      <c r="S6338" s="1"/>
      <c r="T6338" s="1"/>
      <c r="U6338" s="1"/>
      <c r="V6338" s="1"/>
      <c r="W6338" s="1"/>
      <c r="X6338" s="1"/>
      <c r="Y6338" s="1"/>
      <c r="Z6338" s="1"/>
      <c r="AA6338" s="1"/>
      <c r="AB6338" s="1"/>
    </row>
    <row r="6339" ht="50.25" customHeight="1">
      <c r="A6339" s="12">
        <v>6335.0</v>
      </c>
      <c r="B6339" s="13" t="s">
        <v>6141</v>
      </c>
      <c r="C6339" s="14" t="s">
        <v>6362</v>
      </c>
      <c r="D6339" s="1"/>
      <c r="E6339" s="1"/>
      <c r="F6339" s="1" t="str">
        <f>IFERROR(__xludf.DUMMYFUNCTION("GOOGLETRANSLATE(B6339, ""en"", ""fa"")
"),"موفقیت آمازون")</f>
        <v>موفقیت آمازون</v>
      </c>
      <c r="G6339" s="1" t="str">
        <f>IFERROR(__xludf.DUMMYFUNCTION("GOOGLETRANSLATE(C6339, ""en"", ""fa"")
"),"درباره نحوه نظارت بر برنامه های وفاداری مشتریان رقیب و تطبیق استراتژی های حفظ مشتری خود، بینش هایی را به اشتراک بگذارید.")</f>
        <v>درباره نحوه نظارت بر برنامه های وفاداری مشتریان رقیب و تطبیق استراتژی های حفظ مشتری خود، بینش هایی را به اشتراک بگذارید.</v>
      </c>
      <c r="H6339" s="1"/>
      <c r="I6339" s="1"/>
      <c r="J6339" s="1"/>
      <c r="K6339" s="1"/>
      <c r="L6339" s="1"/>
      <c r="M6339" s="1"/>
      <c r="N6339" s="1"/>
      <c r="O6339" s="1"/>
      <c r="P6339" s="1"/>
      <c r="Q6339" s="1"/>
      <c r="R6339" s="1"/>
      <c r="S6339" s="1"/>
      <c r="T6339" s="1"/>
      <c r="U6339" s="1"/>
      <c r="V6339" s="1"/>
      <c r="W6339" s="1"/>
      <c r="X6339" s="1"/>
      <c r="Y6339" s="1"/>
      <c r="Z6339" s="1"/>
      <c r="AA6339" s="1"/>
      <c r="AB6339" s="1"/>
    </row>
    <row r="6340" ht="50.25" customHeight="1">
      <c r="A6340" s="12">
        <v>6336.0</v>
      </c>
      <c r="B6340" s="13" t="s">
        <v>6141</v>
      </c>
      <c r="C6340" s="14" t="s">
        <v>6363</v>
      </c>
      <c r="D6340" s="1"/>
      <c r="E6340" s="1"/>
      <c r="F6340" s="1" t="str">
        <f>IFERROR(__xludf.DUMMYFUNCTION("GOOGLETRANSLATE(B6340, ""en"", ""fa"")
"),"موفقیت آمازون")</f>
        <v>موفقیت آمازون</v>
      </c>
      <c r="G6340" s="1" t="str">
        <f>IFERROR(__xludf.DUMMYFUNCTION("GOOGLETRANSLATE(C6340, ""en"", ""fa"")
"),"بهترین روش‌ها برای ردیابی بازگشت محصولات رقیب و شناسایی زمینه‌های بهبود در سیاست‌های بازگشت شما چیست؟")</f>
        <v>بهترین روش‌ها برای ردیابی بازگشت محصولات رقیب و شناسایی زمینه‌های بهبود در سیاست‌های بازگشت شما چیست؟</v>
      </c>
      <c r="H6340" s="1"/>
      <c r="I6340" s="1"/>
      <c r="J6340" s="1"/>
      <c r="K6340" s="1"/>
      <c r="L6340" s="1"/>
      <c r="M6340" s="1"/>
      <c r="N6340" s="1"/>
      <c r="O6340" s="1"/>
      <c r="P6340" s="1"/>
      <c r="Q6340" s="1"/>
      <c r="R6340" s="1"/>
      <c r="S6340" s="1"/>
      <c r="T6340" s="1"/>
      <c r="U6340" s="1"/>
      <c r="V6340" s="1"/>
      <c r="W6340" s="1"/>
      <c r="X6340" s="1"/>
      <c r="Y6340" s="1"/>
      <c r="Z6340" s="1"/>
      <c r="AA6340" s="1"/>
      <c r="AB6340" s="1"/>
    </row>
    <row r="6341" ht="50.25" customHeight="1">
      <c r="A6341" s="12">
        <v>6337.0</v>
      </c>
      <c r="B6341" s="13" t="s">
        <v>6141</v>
      </c>
      <c r="C6341" s="14" t="s">
        <v>6364</v>
      </c>
      <c r="D6341" s="1"/>
      <c r="E6341" s="1"/>
      <c r="F6341" s="1" t="str">
        <f>IFERROR(__xludf.DUMMYFUNCTION("GOOGLETRANSLATE(B6341, ""en"", ""fa"")
"),"موفقیت آمازون")</f>
        <v>موفقیت آمازون</v>
      </c>
      <c r="G6341" s="1" t="str">
        <f>IFERROR(__xludf.DUMMYFUNCTION("GOOGLETRANSLATE(C6341, ""en"", ""fa"")
"),"نقش مشارکت مشتری رقیب در پلتفرم های رسانه های اجتماعی را در درک استراتژی های وفاداری به برندشان توضیح دهید.")</f>
        <v>نقش مشارکت مشتری رقیب در پلتفرم های رسانه های اجتماعی را در درک استراتژی های وفاداری به برندشان توضیح دهید.</v>
      </c>
      <c r="H6341" s="1"/>
      <c r="I6341" s="1"/>
      <c r="J6341" s="1"/>
      <c r="K6341" s="1"/>
      <c r="L6341" s="1"/>
      <c r="M6341" s="1"/>
      <c r="N6341" s="1"/>
      <c r="O6341" s="1"/>
      <c r="P6341" s="1"/>
      <c r="Q6341" s="1"/>
      <c r="R6341" s="1"/>
      <c r="S6341" s="1"/>
      <c r="T6341" s="1"/>
      <c r="U6341" s="1"/>
      <c r="V6341" s="1"/>
      <c r="W6341" s="1"/>
      <c r="X6341" s="1"/>
      <c r="Y6341" s="1"/>
      <c r="Z6341" s="1"/>
      <c r="AA6341" s="1"/>
      <c r="AB6341" s="1"/>
    </row>
    <row r="6342" ht="50.25" customHeight="1">
      <c r="A6342" s="12">
        <v>6338.0</v>
      </c>
      <c r="B6342" s="13" t="s">
        <v>6141</v>
      </c>
      <c r="C6342" s="14" t="s">
        <v>6365</v>
      </c>
      <c r="D6342" s="1"/>
      <c r="E6342" s="1"/>
      <c r="F6342" s="1" t="str">
        <f>IFERROR(__xludf.DUMMYFUNCTION("GOOGLETRANSLATE(B6342, ""en"", ""fa"")
"),"موفقیت آمازون")</f>
        <v>موفقیت آمازون</v>
      </c>
      <c r="G6342" s="1" t="str">
        <f>IFERROR(__xludf.DUMMYFUNCTION("GOOGLETRANSLATE(C6342, ""en"", ""fa"")
"),"چگونه فروشندگان می توانند مواد بسته بندی رقیب را ارزیابی کنند و فرصت هایی را برای افزایش پایداری محصول خود شناسایی کنند.")</f>
        <v>چگونه فروشندگان می توانند مواد بسته بندی رقیب را ارزیابی کنند و فرصت هایی را برای افزایش پایداری محصول خود شناسایی کنند.</v>
      </c>
      <c r="H6342" s="1"/>
      <c r="I6342" s="1"/>
      <c r="J6342" s="1"/>
      <c r="K6342" s="1"/>
      <c r="L6342" s="1"/>
      <c r="M6342" s="1"/>
      <c r="N6342" s="1"/>
      <c r="O6342" s="1"/>
      <c r="P6342" s="1"/>
      <c r="Q6342" s="1"/>
      <c r="R6342" s="1"/>
      <c r="S6342" s="1"/>
      <c r="T6342" s="1"/>
      <c r="U6342" s="1"/>
      <c r="V6342" s="1"/>
      <c r="W6342" s="1"/>
      <c r="X6342" s="1"/>
      <c r="Y6342" s="1"/>
      <c r="Z6342" s="1"/>
      <c r="AA6342" s="1"/>
      <c r="AB6342" s="1"/>
    </row>
    <row r="6343" ht="50.25" customHeight="1">
      <c r="A6343" s="12">
        <v>6339.0</v>
      </c>
      <c r="B6343" s="13" t="s">
        <v>6141</v>
      </c>
      <c r="C6343" s="14" t="s">
        <v>6366</v>
      </c>
      <c r="D6343" s="1"/>
      <c r="E6343" s="1"/>
      <c r="F6343" s="1" t="str">
        <f>IFERROR(__xludf.DUMMYFUNCTION("GOOGLETRANSLATE(B6343, ""en"", ""fa"")
"),"موفقیت آمازون")</f>
        <v>موفقیت آمازون</v>
      </c>
      <c r="G6343" s="1" t="str">
        <f>IFERROR(__xludf.DUMMYFUNCTION("GOOGLETRANSLATE(C6343, ""en"", ""fa"")
"),"در مورد اهمیت تجزیه و تحلیل خلاقیت ها و پیام های تبلیغاتی رقبا برای اصلاح مواد بازاریابی خود بحث کنید.")</f>
        <v>در مورد اهمیت تجزیه و تحلیل خلاقیت ها و پیام های تبلیغاتی رقبا برای اصلاح مواد بازاریابی خود بحث کنید.</v>
      </c>
      <c r="H6343" s="1"/>
      <c r="I6343" s="1"/>
      <c r="J6343" s="1"/>
      <c r="K6343" s="1"/>
      <c r="L6343" s="1"/>
      <c r="M6343" s="1"/>
      <c r="N6343" s="1"/>
      <c r="O6343" s="1"/>
      <c r="P6343" s="1"/>
      <c r="Q6343" s="1"/>
      <c r="R6343" s="1"/>
      <c r="S6343" s="1"/>
      <c r="T6343" s="1"/>
      <c r="U6343" s="1"/>
      <c r="V6343" s="1"/>
      <c r="W6343" s="1"/>
      <c r="X6343" s="1"/>
      <c r="Y6343" s="1"/>
      <c r="Z6343" s="1"/>
      <c r="AA6343" s="1"/>
      <c r="AB6343" s="1"/>
    </row>
    <row r="6344" ht="50.25" customHeight="1">
      <c r="A6344" s="12">
        <v>6340.0</v>
      </c>
      <c r="B6344" s="13" t="s">
        <v>6141</v>
      </c>
      <c r="C6344" s="14" t="s">
        <v>6367</v>
      </c>
      <c r="D6344" s="1"/>
      <c r="E6344" s="1"/>
      <c r="F6344" s="1" t="str">
        <f>IFERROR(__xludf.DUMMYFUNCTION("GOOGLETRANSLATE(B6344, ""en"", ""fa"")
"),"موفقیت آمازون")</f>
        <v>موفقیت آمازون</v>
      </c>
      <c r="G6344" s="1" t="str">
        <f>IFERROR(__xludf.DUMMYFUNCTION("GOOGLETRANSLATE(C6344, ""en"", ""fa"")
"),"نکاتی را برای نظارت بر رتبه بندی کلمات کلیدی رقبا و تنظیم استراتژی های هدف گیری کلمه کلیدی خود بر این اساس به اشتراک بگذارید.")</f>
        <v>نکاتی را برای نظارت بر رتبه بندی کلمات کلیدی رقبا و تنظیم استراتژی های هدف گیری کلمه کلیدی خود بر این اساس به اشتراک بگذارید.</v>
      </c>
      <c r="H6344" s="1"/>
      <c r="I6344" s="1"/>
      <c r="J6344" s="1"/>
      <c r="K6344" s="1"/>
      <c r="L6344" s="1"/>
      <c r="M6344" s="1"/>
      <c r="N6344" s="1"/>
      <c r="O6344" s="1"/>
      <c r="P6344" s="1"/>
      <c r="Q6344" s="1"/>
      <c r="R6344" s="1"/>
      <c r="S6344" s="1"/>
      <c r="T6344" s="1"/>
      <c r="U6344" s="1"/>
      <c r="V6344" s="1"/>
      <c r="W6344" s="1"/>
      <c r="X6344" s="1"/>
      <c r="Y6344" s="1"/>
      <c r="Z6344" s="1"/>
      <c r="AA6344" s="1"/>
      <c r="AB6344" s="1"/>
    </row>
    <row r="6345" ht="50.25" customHeight="1">
      <c r="A6345" s="12">
        <v>6341.0</v>
      </c>
      <c r="B6345" s="13" t="s">
        <v>6141</v>
      </c>
      <c r="C6345" s="14" t="s">
        <v>6368</v>
      </c>
      <c r="D6345" s="1"/>
      <c r="E6345" s="1"/>
      <c r="F6345" s="1" t="str">
        <f>IFERROR(__xludf.DUMMYFUNCTION("GOOGLETRANSLATE(B6345, ""en"", ""fa"")
"),"موفقیت آمازون")</f>
        <v>موفقیت آمازون</v>
      </c>
      <c r="G6345" s="1" t="str">
        <f>IFERROR(__xludf.DUMMYFUNCTION("GOOGLETRANSLATE(C6345, ""en"", ""fa"")
"),"بهترین روش ها برای پیگیری روند فروش رقبا و نوسانات سهم بازار چیست؟")</f>
        <v>بهترین روش ها برای پیگیری روند فروش رقبا و نوسانات سهم بازار چیست؟</v>
      </c>
      <c r="H6345" s="1"/>
      <c r="I6345" s="1"/>
      <c r="J6345" s="1"/>
      <c r="K6345" s="1"/>
      <c r="L6345" s="1"/>
      <c r="M6345" s="1"/>
      <c r="N6345" s="1"/>
      <c r="O6345" s="1"/>
      <c r="P6345" s="1"/>
      <c r="Q6345" s="1"/>
      <c r="R6345" s="1"/>
      <c r="S6345" s="1"/>
      <c r="T6345" s="1"/>
      <c r="U6345" s="1"/>
      <c r="V6345" s="1"/>
      <c r="W6345" s="1"/>
      <c r="X6345" s="1"/>
      <c r="Y6345" s="1"/>
      <c r="Z6345" s="1"/>
      <c r="AA6345" s="1"/>
      <c r="AB6345" s="1"/>
    </row>
    <row r="6346" ht="50.25" customHeight="1">
      <c r="A6346" s="12">
        <v>6342.0</v>
      </c>
      <c r="B6346" s="13" t="s">
        <v>6141</v>
      </c>
      <c r="C6346" s="14" t="s">
        <v>6369</v>
      </c>
      <c r="D6346" s="1"/>
      <c r="E6346" s="1"/>
      <c r="F6346" s="1" t="str">
        <f>IFERROR(__xludf.DUMMYFUNCTION("GOOGLETRANSLATE(B6346, ""en"", ""fa"")
"),"موفقیت آمازون")</f>
        <v>موفقیت آمازون</v>
      </c>
      <c r="G6346" s="1" t="str">
        <f>IFERROR(__xludf.DUMMYFUNCTION("GOOGLETRANSLATE(C6346, ""en"", ""fa"")
"),"اهمیت تجزیه و تحلیل توصیفات مشتریان رقبا و ترکیب عناصر اثبات اجتماعی در تلاش های بازاریابی خود را توضیح دهید.")</f>
        <v>اهمیت تجزیه و تحلیل توصیفات مشتریان رقبا و ترکیب عناصر اثبات اجتماعی در تلاش های بازاریابی خود را توضیح دهید.</v>
      </c>
      <c r="H6346" s="1"/>
      <c r="I6346" s="1"/>
      <c r="J6346" s="1"/>
      <c r="K6346" s="1"/>
      <c r="L6346" s="1"/>
      <c r="M6346" s="1"/>
      <c r="N6346" s="1"/>
      <c r="O6346" s="1"/>
      <c r="P6346" s="1"/>
      <c r="Q6346" s="1"/>
      <c r="R6346" s="1"/>
      <c r="S6346" s="1"/>
      <c r="T6346" s="1"/>
      <c r="U6346" s="1"/>
      <c r="V6346" s="1"/>
      <c r="W6346" s="1"/>
      <c r="X6346" s="1"/>
      <c r="Y6346" s="1"/>
      <c r="Z6346" s="1"/>
      <c r="AA6346" s="1"/>
      <c r="AB6346" s="1"/>
    </row>
    <row r="6347" ht="50.25" customHeight="1">
      <c r="A6347" s="12">
        <v>6343.0</v>
      </c>
      <c r="B6347" s="13" t="s">
        <v>6141</v>
      </c>
      <c r="C6347" s="14" t="s">
        <v>6370</v>
      </c>
      <c r="D6347" s="1"/>
      <c r="E6347" s="1"/>
      <c r="F6347" s="1" t="str">
        <f>IFERROR(__xludf.DUMMYFUNCTION("GOOGLETRANSLATE(B6347, ""en"", ""fa"")
"),"موفقیت آمازون")</f>
        <v>موفقیت آمازون</v>
      </c>
      <c r="G6347" s="1" t="str">
        <f>IFERROR(__xludf.DUMMYFUNCTION("GOOGLETRANSLATE(C6347, ""en"", ""fa"")
"),"چگونه فروشندگان می توانند هزینه های حمل و نقل رقیب و سرعت تحویل را برای بهینه سازی استراتژی های خود ارزیابی کنند؟")</f>
        <v>چگونه فروشندگان می توانند هزینه های حمل و نقل رقیب و سرعت تحویل را برای بهینه سازی استراتژی های خود ارزیابی کنند؟</v>
      </c>
      <c r="H6347" s="1"/>
      <c r="I6347" s="1"/>
      <c r="J6347" s="1"/>
      <c r="K6347" s="1"/>
      <c r="L6347" s="1"/>
      <c r="M6347" s="1"/>
      <c r="N6347" s="1"/>
      <c r="O6347" s="1"/>
      <c r="P6347" s="1"/>
      <c r="Q6347" s="1"/>
      <c r="R6347" s="1"/>
      <c r="S6347" s="1"/>
      <c r="T6347" s="1"/>
      <c r="U6347" s="1"/>
      <c r="V6347" s="1"/>
      <c r="W6347" s="1"/>
      <c r="X6347" s="1"/>
      <c r="Y6347" s="1"/>
      <c r="Z6347" s="1"/>
      <c r="AA6347" s="1"/>
      <c r="AB6347" s="1"/>
    </row>
    <row r="6348" ht="50.25" customHeight="1">
      <c r="A6348" s="12">
        <v>6344.0</v>
      </c>
      <c r="B6348" s="13" t="s">
        <v>6141</v>
      </c>
      <c r="C6348" s="14" t="s">
        <v>6371</v>
      </c>
      <c r="D6348" s="1"/>
      <c r="E6348" s="1"/>
      <c r="F6348" s="1" t="str">
        <f>IFERROR(__xludf.DUMMYFUNCTION("GOOGLETRANSLATE(B6348, ""en"", ""fa"")
"),"موفقیت آمازون")</f>
        <v>موفقیت آمازون</v>
      </c>
      <c r="G6348" s="1" t="str">
        <f>IFERROR(__xludf.DUMMYFUNCTION("GOOGLETRANSLATE(C6348, ""en"", ""fa"")
"),"درباره نقش مشارکت‌های تأثیرگذار رقبا و تأییدیه‌ها در درک استراتژی‌های دیده شدن برندشان بحث کنید.")</f>
        <v>درباره نقش مشارکت‌های تأثیرگذار رقبا و تأییدیه‌ها در درک استراتژی‌های دیده شدن برندشان بحث کنید.</v>
      </c>
      <c r="H6348" s="1"/>
      <c r="I6348" s="1"/>
      <c r="J6348" s="1"/>
      <c r="K6348" s="1"/>
      <c r="L6348" s="1"/>
      <c r="M6348" s="1"/>
      <c r="N6348" s="1"/>
      <c r="O6348" s="1"/>
      <c r="P6348" s="1"/>
      <c r="Q6348" s="1"/>
      <c r="R6348" s="1"/>
      <c r="S6348" s="1"/>
      <c r="T6348" s="1"/>
      <c r="U6348" s="1"/>
      <c r="V6348" s="1"/>
      <c r="W6348" s="1"/>
      <c r="X6348" s="1"/>
      <c r="Y6348" s="1"/>
      <c r="Z6348" s="1"/>
      <c r="AA6348" s="1"/>
      <c r="AB6348" s="1"/>
    </row>
    <row r="6349" ht="50.25" customHeight="1">
      <c r="A6349" s="12">
        <v>6345.0</v>
      </c>
      <c r="B6349" s="13" t="s">
        <v>6141</v>
      </c>
      <c r="C6349" s="14" t="s">
        <v>6372</v>
      </c>
      <c r="D6349" s="1"/>
      <c r="E6349" s="1"/>
      <c r="F6349" s="1" t="str">
        <f>IFERROR(__xludf.DUMMYFUNCTION("GOOGLETRANSLATE(B6349, ""en"", ""fa"")
"),"موفقیت آمازون")</f>
        <v>موفقیت آمازون</v>
      </c>
      <c r="G6349" s="1" t="str">
        <f>IFERROR(__xludf.DUMMYFUNCTION("GOOGLETRANSLATE(C6349, ""en"", ""fa"")
"),"درباره نحوه نظارت بر به روز رسانی ویژگی های محصول رقیب و ترکیب ویژگی های موفق در توسعه محصول خود، بینش هایی را به اشتراک بگذارید.")</f>
        <v>درباره نحوه نظارت بر به روز رسانی ویژگی های محصول رقیب و ترکیب ویژگی های موفق در توسعه محصول خود، بینش هایی را به اشتراک بگذارید.</v>
      </c>
      <c r="H6349" s="1"/>
      <c r="I6349" s="1"/>
      <c r="J6349" s="1"/>
      <c r="K6349" s="1"/>
      <c r="L6349" s="1"/>
      <c r="M6349" s="1"/>
      <c r="N6349" s="1"/>
      <c r="O6349" s="1"/>
      <c r="P6349" s="1"/>
      <c r="Q6349" s="1"/>
      <c r="R6349" s="1"/>
      <c r="S6349" s="1"/>
      <c r="T6349" s="1"/>
      <c r="U6349" s="1"/>
      <c r="V6349" s="1"/>
      <c r="W6349" s="1"/>
      <c r="X6349" s="1"/>
      <c r="Y6349" s="1"/>
      <c r="Z6349" s="1"/>
      <c r="AA6349" s="1"/>
      <c r="AB6349" s="1"/>
    </row>
    <row r="6350" ht="50.25" customHeight="1">
      <c r="A6350" s="12">
        <v>6346.0</v>
      </c>
      <c r="B6350" s="13" t="s">
        <v>6141</v>
      </c>
      <c r="C6350" s="14" t="s">
        <v>6373</v>
      </c>
      <c r="D6350" s="1"/>
      <c r="E6350" s="1"/>
      <c r="F6350" s="1" t="str">
        <f>IFERROR(__xludf.DUMMYFUNCTION("GOOGLETRANSLATE(B6350, ""en"", ""fa"")
"),"موفقیت آمازون")</f>
        <v>موفقیت آمازون</v>
      </c>
      <c r="G6350" s="1" t="str">
        <f>IFERROR(__xludf.DUMMYFUNCTION("GOOGLETRANSLATE(C6350, ""en"", ""fa"")
"),"بهترین روش ها برای ردیابی تبلیغات نام تجاری حمایت شده از رقبا و ارزیابی تاثیر آنها بر روی دید برند چیست؟")</f>
        <v>بهترین روش ها برای ردیابی تبلیغات نام تجاری حمایت شده از رقبا و ارزیابی تاثیر آنها بر روی دید برند چیست؟</v>
      </c>
      <c r="H6350" s="1"/>
      <c r="I6350" s="1"/>
      <c r="J6350" s="1"/>
      <c r="K6350" s="1"/>
      <c r="L6350" s="1"/>
      <c r="M6350" s="1"/>
      <c r="N6350" s="1"/>
      <c r="O6350" s="1"/>
      <c r="P6350" s="1"/>
      <c r="Q6350" s="1"/>
      <c r="R6350" s="1"/>
      <c r="S6350" s="1"/>
      <c r="T6350" s="1"/>
      <c r="U6350" s="1"/>
      <c r="V6350" s="1"/>
      <c r="W6350" s="1"/>
      <c r="X6350" s="1"/>
      <c r="Y6350" s="1"/>
      <c r="Z6350" s="1"/>
      <c r="AA6350" s="1"/>
      <c r="AB6350" s="1"/>
    </row>
    <row r="6351" ht="50.25" customHeight="1">
      <c r="A6351" s="12">
        <v>6347.0</v>
      </c>
      <c r="B6351" s="13" t="s">
        <v>6141</v>
      </c>
      <c r="C6351" s="14" t="s">
        <v>6374</v>
      </c>
      <c r="D6351" s="1"/>
      <c r="E6351" s="1"/>
      <c r="F6351" s="1" t="str">
        <f>IFERROR(__xludf.DUMMYFUNCTION("GOOGLETRANSLATE(B6351, ""en"", ""fa"")
"),"موفقیت آمازون")</f>
        <v>موفقیت آمازون</v>
      </c>
      <c r="G6351" s="1" t="str">
        <f>IFERROR(__xludf.DUMMYFUNCTION("GOOGLETRANSLATE(C6351, ""en"", ""fa"")
"),"اهمیت تجزیه و تحلیل استراتژی های حفظ مشتری رقیب و شناسایی فرصت های بهبود را توضیح دهید.")</f>
        <v>اهمیت تجزیه و تحلیل استراتژی های حفظ مشتری رقیب و شناسایی فرصت های بهبود را توضیح دهید.</v>
      </c>
      <c r="H6351" s="1"/>
      <c r="I6351" s="1"/>
      <c r="J6351" s="1"/>
      <c r="K6351" s="1"/>
      <c r="L6351" s="1"/>
      <c r="M6351" s="1"/>
      <c r="N6351" s="1"/>
      <c r="O6351" s="1"/>
      <c r="P6351" s="1"/>
      <c r="Q6351" s="1"/>
      <c r="R6351" s="1"/>
      <c r="S6351" s="1"/>
      <c r="T6351" s="1"/>
      <c r="U6351" s="1"/>
      <c r="V6351" s="1"/>
      <c r="W6351" s="1"/>
      <c r="X6351" s="1"/>
      <c r="Y6351" s="1"/>
      <c r="Z6351" s="1"/>
      <c r="AA6351" s="1"/>
      <c r="AB6351" s="1"/>
    </row>
    <row r="6352" ht="50.25" customHeight="1">
      <c r="A6352" s="12">
        <v>6348.0</v>
      </c>
      <c r="B6352" s="13" t="s">
        <v>6141</v>
      </c>
      <c r="C6352" s="14" t="s">
        <v>6375</v>
      </c>
      <c r="D6352" s="1"/>
      <c r="E6352" s="1"/>
      <c r="F6352" s="1" t="str">
        <f>IFERROR(__xludf.DUMMYFUNCTION("GOOGLETRANSLATE(B6352, ""en"", ""fa"")
"),"موفقیت آمازون")</f>
        <v>موفقیت آمازون</v>
      </c>
      <c r="G6352" s="1" t="str">
        <f>IFERROR(__xludf.DUMMYFUNCTION("GOOGLETRANSLATE(C6352, ""en"", ""fa"")
"),"چگونه فروشندگان می توانند کمپین های بازاریابی ایمیلی رقیب را ارزیابی کنند و تاکتیک های موفق را با تلاش های بازاریابی ایمیلی خودشان تطبیق دهند؟")</f>
        <v>چگونه فروشندگان می توانند کمپین های بازاریابی ایمیلی رقیب را ارزیابی کنند و تاکتیک های موفق را با تلاش های بازاریابی ایمیلی خودشان تطبیق دهند؟</v>
      </c>
      <c r="H6352" s="1"/>
      <c r="I6352" s="1"/>
      <c r="J6352" s="1"/>
      <c r="K6352" s="1"/>
      <c r="L6352" s="1"/>
      <c r="M6352" s="1"/>
      <c r="N6352" s="1"/>
      <c r="O6352" s="1"/>
      <c r="P6352" s="1"/>
      <c r="Q6352" s="1"/>
      <c r="R6352" s="1"/>
      <c r="S6352" s="1"/>
      <c r="T6352" s="1"/>
      <c r="U6352" s="1"/>
      <c r="V6352" s="1"/>
      <c r="W6352" s="1"/>
      <c r="X6352" s="1"/>
      <c r="Y6352" s="1"/>
      <c r="Z6352" s="1"/>
      <c r="AA6352" s="1"/>
      <c r="AB6352" s="1"/>
    </row>
    <row r="6353" ht="50.25" customHeight="1">
      <c r="A6353" s="12">
        <v>6349.0</v>
      </c>
      <c r="B6353" s="13" t="s">
        <v>6141</v>
      </c>
      <c r="C6353" s="14" t="s">
        <v>6376</v>
      </c>
      <c r="D6353" s="1"/>
      <c r="E6353" s="1"/>
      <c r="F6353" s="1" t="str">
        <f>IFERROR(__xludf.DUMMYFUNCTION("GOOGLETRANSLATE(B6353, ""en"", ""fa"")
"),"موفقیت آمازون")</f>
        <v>موفقیت آمازون</v>
      </c>
      <c r="G6353" s="1" t="str">
        <f>IFERROR(__xludf.DUMMYFUNCTION("GOOGLETRANSLATE(C6353, ""en"", ""fa"")
"),"در مورد اهمیت نظارت بر فراخوان محصولات رقیب یا مسائل کیفی برای اطمینان از برتری محصول بحث کنید.")</f>
        <v>در مورد اهمیت نظارت بر فراخوان محصولات رقیب یا مسائل کیفی برای اطمینان از برتری محصول بحث کنید.</v>
      </c>
      <c r="H6353" s="1"/>
      <c r="I6353" s="1"/>
      <c r="J6353" s="1"/>
      <c r="K6353" s="1"/>
      <c r="L6353" s="1"/>
      <c r="M6353" s="1"/>
      <c r="N6353" s="1"/>
      <c r="O6353" s="1"/>
      <c r="P6353" s="1"/>
      <c r="Q6353" s="1"/>
      <c r="R6353" s="1"/>
      <c r="S6353" s="1"/>
      <c r="T6353" s="1"/>
      <c r="U6353" s="1"/>
      <c r="V6353" s="1"/>
      <c r="W6353" s="1"/>
      <c r="X6353" s="1"/>
      <c r="Y6353" s="1"/>
      <c r="Z6353" s="1"/>
      <c r="AA6353" s="1"/>
      <c r="AB6353" s="1"/>
    </row>
    <row r="6354" ht="50.25" customHeight="1">
      <c r="A6354" s="12">
        <v>6350.0</v>
      </c>
      <c r="B6354" s="13" t="s">
        <v>6141</v>
      </c>
      <c r="C6354" s="14" t="s">
        <v>6377</v>
      </c>
      <c r="D6354" s="1"/>
      <c r="E6354" s="1"/>
      <c r="F6354" s="1" t="str">
        <f>IFERROR(__xludf.DUMMYFUNCTION("GOOGLETRANSLATE(B6354, ""en"", ""fa"")
"),"موفقیت آمازون")</f>
        <v>موفقیت آمازون</v>
      </c>
      <c r="G6354" s="1" t="str">
        <f>IFERROR(__xludf.DUMMYFUNCTION("GOOGLETRANSLATE(C6354, ""en"", ""fa"")
"),"نکاتی را برای تجزیه و تحلیل کانال های پشتیبانی مشتری رقیب و زمان پاسخگویی برای بهبود خدمات مشتری خود به اشتراک بگذارید.")</f>
        <v>نکاتی را برای تجزیه و تحلیل کانال های پشتیبانی مشتری رقیب و زمان پاسخگویی برای بهبود خدمات مشتری خود به اشتراک بگذارید.</v>
      </c>
      <c r="H6354" s="1"/>
      <c r="I6354" s="1"/>
      <c r="J6354" s="1"/>
      <c r="K6354" s="1"/>
      <c r="L6354" s="1"/>
      <c r="M6354" s="1"/>
      <c r="N6354" s="1"/>
      <c r="O6354" s="1"/>
      <c r="P6354" s="1"/>
      <c r="Q6354" s="1"/>
      <c r="R6354" s="1"/>
      <c r="S6354" s="1"/>
      <c r="T6354" s="1"/>
      <c r="U6354" s="1"/>
      <c r="V6354" s="1"/>
      <c r="W6354" s="1"/>
      <c r="X6354" s="1"/>
      <c r="Y6354" s="1"/>
      <c r="Z6354" s="1"/>
      <c r="AA6354" s="1"/>
      <c r="AB6354" s="1"/>
    </row>
    <row r="6355" ht="50.25" customHeight="1">
      <c r="A6355" s="12">
        <v>6351.0</v>
      </c>
      <c r="B6355" s="13" t="s">
        <v>6141</v>
      </c>
      <c r="C6355" s="14" t="s">
        <v>6378</v>
      </c>
      <c r="D6355" s="1"/>
      <c r="E6355" s="1"/>
      <c r="F6355" s="1" t="str">
        <f>IFERROR(__xludf.DUMMYFUNCTION("GOOGLETRANSLATE(B6355, ""en"", ""fa"")
"),"موفقیت آمازون")</f>
        <v>موفقیت آمازون</v>
      </c>
      <c r="G6355" s="1" t="str">
        <f>IFERROR(__xludf.DUMMYFUNCTION("GOOGLETRANSLATE(C6355, ""en"", ""fa"")
"),"بهترین روش ها برای ردیابی روند قیمت گذاری رقبا و تنظیم استراتژی های قیمت گذاری خود بر این اساس چیست؟")</f>
        <v>بهترین روش ها برای ردیابی روند قیمت گذاری رقبا و تنظیم استراتژی های قیمت گذاری خود بر این اساس چیست؟</v>
      </c>
      <c r="H6355" s="1"/>
      <c r="I6355" s="1"/>
      <c r="J6355" s="1"/>
      <c r="K6355" s="1"/>
      <c r="L6355" s="1"/>
      <c r="M6355" s="1"/>
      <c r="N6355" s="1"/>
      <c r="O6355" s="1"/>
      <c r="P6355" s="1"/>
      <c r="Q6355" s="1"/>
      <c r="R6355" s="1"/>
      <c r="S6355" s="1"/>
      <c r="T6355" s="1"/>
      <c r="U6355" s="1"/>
      <c r="V6355" s="1"/>
      <c r="W6355" s="1"/>
      <c r="X6355" s="1"/>
      <c r="Y6355" s="1"/>
      <c r="Z6355" s="1"/>
      <c r="AA6355" s="1"/>
      <c r="AB6355" s="1"/>
    </row>
    <row r="6356" ht="50.25" customHeight="1">
      <c r="A6356" s="12">
        <v>6352.0</v>
      </c>
      <c r="B6356" s="13" t="s">
        <v>6141</v>
      </c>
      <c r="C6356" s="14" t="s">
        <v>6379</v>
      </c>
      <c r="D6356" s="1"/>
      <c r="E6356" s="1"/>
      <c r="F6356" s="1" t="str">
        <f>IFERROR(__xludf.DUMMYFUNCTION("GOOGLETRANSLATE(B6356, ""en"", ""fa"")
"),"موفقیت آمازون")</f>
        <v>موفقیت آمازون</v>
      </c>
      <c r="G6356" s="1" t="str">
        <f>IFERROR(__xludf.DUMMYFUNCTION("GOOGLETRANSLATE(C6356, ""en"", ""fa"")
"),"نقش نظرسنجی ها و بازخوردهای رضایت مشتری رقبا را در درک روند بازار و ترجیحات مشتری توضیح دهید.")</f>
        <v>نقش نظرسنجی ها و بازخوردهای رضایت مشتری رقبا را در درک روند بازار و ترجیحات مشتری توضیح دهید.</v>
      </c>
      <c r="H6356" s="1"/>
      <c r="I6356" s="1"/>
      <c r="J6356" s="1"/>
      <c r="K6356" s="1"/>
      <c r="L6356" s="1"/>
      <c r="M6356" s="1"/>
      <c r="N6356" s="1"/>
      <c r="O6356" s="1"/>
      <c r="P6356" s="1"/>
      <c r="Q6356" s="1"/>
      <c r="R6356" s="1"/>
      <c r="S6356" s="1"/>
      <c r="T6356" s="1"/>
      <c r="U6356" s="1"/>
      <c r="V6356" s="1"/>
      <c r="W6356" s="1"/>
      <c r="X6356" s="1"/>
      <c r="Y6356" s="1"/>
      <c r="Z6356" s="1"/>
      <c r="AA6356" s="1"/>
      <c r="AB6356" s="1"/>
    </row>
    <row r="6357" ht="50.25" customHeight="1">
      <c r="A6357" s="12">
        <v>6353.0</v>
      </c>
      <c r="B6357" s="13" t="s">
        <v>6141</v>
      </c>
      <c r="C6357" s="14" t="s">
        <v>6380</v>
      </c>
      <c r="D6357" s="1"/>
      <c r="E6357" s="1"/>
      <c r="F6357" s="1" t="str">
        <f>IFERROR(__xludf.DUMMYFUNCTION("GOOGLETRANSLATE(B6357, ""en"", ""fa"")
"),"موفقیت آمازون")</f>
        <v>موفقیت آمازون</v>
      </c>
      <c r="G6357" s="1" t="str">
        <f>IFERROR(__xludf.DUMMYFUNCTION("GOOGLETRANSLATE(C6357, ""en"", ""fa"")
"),"فروشندگان چگونه می توانند قابلیت استفاده وب سایت رقیب و تجربه کاربر را برای بهینه سازی رابط خرید آنلاین خود ارزیابی کنند؟")</f>
        <v>فروشندگان چگونه می توانند قابلیت استفاده وب سایت رقیب و تجربه کاربر را برای بهینه سازی رابط خرید آنلاین خود ارزیابی کنند؟</v>
      </c>
      <c r="H6357" s="1"/>
      <c r="I6357" s="1"/>
      <c r="J6357" s="1"/>
      <c r="K6357" s="1"/>
      <c r="L6357" s="1"/>
      <c r="M6357" s="1"/>
      <c r="N6357" s="1"/>
      <c r="O6357" s="1"/>
      <c r="P6357" s="1"/>
      <c r="Q6357" s="1"/>
      <c r="R6357" s="1"/>
      <c r="S6357" s="1"/>
      <c r="T6357" s="1"/>
      <c r="U6357" s="1"/>
      <c r="V6357" s="1"/>
      <c r="W6357" s="1"/>
      <c r="X6357" s="1"/>
      <c r="Y6357" s="1"/>
      <c r="Z6357" s="1"/>
      <c r="AA6357" s="1"/>
      <c r="AB6357" s="1"/>
    </row>
    <row r="6358" ht="50.25" customHeight="1">
      <c r="A6358" s="12">
        <v>6354.0</v>
      </c>
      <c r="B6358" s="13" t="s">
        <v>6141</v>
      </c>
      <c r="C6358" s="14" t="s">
        <v>6381</v>
      </c>
      <c r="D6358" s="1"/>
      <c r="E6358" s="1"/>
      <c r="F6358" s="1" t="str">
        <f>IFERROR(__xludf.DUMMYFUNCTION("GOOGLETRANSLATE(B6358, ""en"", ""fa"")
"),"موفقیت آمازون")</f>
        <v>موفقیت آمازون</v>
      </c>
      <c r="G6358" s="1" t="str">
        <f>IFERROR(__xludf.DUMMYFUNCTION("GOOGLETRANSLATE(C6358, ""en"", ""fa"")
"),"در مورد اهمیت تجزیه و تحلیل تغییرات محصول رقیب و شناسایی فرصت ها برای گسترش خط تولید خود بحث کنید.")</f>
        <v>در مورد اهمیت تجزیه و تحلیل تغییرات محصول رقیب و شناسایی فرصت ها برای گسترش خط تولید خود بحث کنید.</v>
      </c>
      <c r="H6358" s="1"/>
      <c r="I6358" s="1"/>
      <c r="J6358" s="1"/>
      <c r="K6358" s="1"/>
      <c r="L6358" s="1"/>
      <c r="M6358" s="1"/>
      <c r="N6358" s="1"/>
      <c r="O6358" s="1"/>
      <c r="P6358" s="1"/>
      <c r="Q6358" s="1"/>
      <c r="R6358" s="1"/>
      <c r="S6358" s="1"/>
      <c r="T6358" s="1"/>
      <c r="U6358" s="1"/>
      <c r="V6358" s="1"/>
      <c r="W6358" s="1"/>
      <c r="X6358" s="1"/>
      <c r="Y6358" s="1"/>
      <c r="Z6358" s="1"/>
      <c r="AA6358" s="1"/>
      <c r="AB6358" s="1"/>
    </row>
    <row r="6359" ht="50.25" customHeight="1">
      <c r="A6359" s="12">
        <v>6355.0</v>
      </c>
      <c r="B6359" s="13" t="s">
        <v>6141</v>
      </c>
      <c r="C6359" s="14" t="s">
        <v>6382</v>
      </c>
      <c r="D6359" s="1"/>
      <c r="E6359" s="1"/>
      <c r="F6359" s="1" t="str">
        <f>IFERROR(__xludf.DUMMYFUNCTION("GOOGLETRANSLATE(B6359, ""en"", ""fa"")
"),"موفقیت آمازون")</f>
        <v>موفقیت آمازون</v>
      </c>
      <c r="G6359" s="1" t="str">
        <f>IFERROR(__xludf.DUMMYFUNCTION("GOOGLETRANSLATE(C6359, ""en"", ""fa"")
"),"چگونه فروشندگان می توانند از محصولات حمایت شده آمازون برای افزایش دید و افزایش فروش استفاده کنند؟")</f>
        <v>چگونه فروشندگان می توانند از محصولات حمایت شده آمازون برای افزایش دید و افزایش فروش استفاده کنند؟</v>
      </c>
      <c r="H6359" s="1"/>
      <c r="I6359" s="1"/>
      <c r="J6359" s="1"/>
      <c r="K6359" s="1"/>
      <c r="L6359" s="1"/>
      <c r="M6359" s="1"/>
      <c r="N6359" s="1"/>
      <c r="O6359" s="1"/>
      <c r="P6359" s="1"/>
      <c r="Q6359" s="1"/>
      <c r="R6359" s="1"/>
      <c r="S6359" s="1"/>
      <c r="T6359" s="1"/>
      <c r="U6359" s="1"/>
      <c r="V6359" s="1"/>
      <c r="W6359" s="1"/>
      <c r="X6359" s="1"/>
      <c r="Y6359" s="1"/>
      <c r="Z6359" s="1"/>
      <c r="AA6359" s="1"/>
      <c r="AB6359" s="1"/>
    </row>
    <row r="6360" ht="50.25" customHeight="1">
      <c r="A6360" s="12">
        <v>6356.0</v>
      </c>
      <c r="B6360" s="13" t="s">
        <v>6141</v>
      </c>
      <c r="C6360" s="14" t="s">
        <v>6383</v>
      </c>
      <c r="D6360" s="1"/>
      <c r="E6360" s="1"/>
      <c r="F6360" s="1" t="str">
        <f>IFERROR(__xludf.DUMMYFUNCTION("GOOGLETRANSLATE(B6360, ""en"", ""fa"")
"),"موفقیت آمازون")</f>
        <v>موفقیت آمازون</v>
      </c>
      <c r="G6360" s="1" t="str">
        <f>IFERROR(__xludf.DUMMYFUNCTION("GOOGLETRANSLATE(C6360, ""en"", ""fa"")
"),"استراتژی های بهینه سازی لیست محصولات برای رتبه بندی جستجوی ارگانیک بهتر در آمازون را به اشتراک بگذارید.")</f>
        <v>استراتژی های بهینه سازی لیست محصولات برای رتبه بندی جستجوی ارگانیک بهتر در آمازون را به اشتراک بگذارید.</v>
      </c>
      <c r="H6360" s="1"/>
      <c r="I6360" s="1"/>
      <c r="J6360" s="1"/>
      <c r="K6360" s="1"/>
      <c r="L6360" s="1"/>
      <c r="M6360" s="1"/>
      <c r="N6360" s="1"/>
      <c r="O6360" s="1"/>
      <c r="P6360" s="1"/>
      <c r="Q6360" s="1"/>
      <c r="R6360" s="1"/>
      <c r="S6360" s="1"/>
      <c r="T6360" s="1"/>
      <c r="U6360" s="1"/>
      <c r="V6360" s="1"/>
      <c r="W6360" s="1"/>
      <c r="X6360" s="1"/>
      <c r="Y6360" s="1"/>
      <c r="Z6360" s="1"/>
      <c r="AA6360" s="1"/>
      <c r="AB6360" s="1"/>
    </row>
    <row r="6361" ht="50.25" customHeight="1">
      <c r="A6361" s="12">
        <v>6357.0</v>
      </c>
      <c r="B6361" s="13" t="s">
        <v>6141</v>
      </c>
      <c r="C6361" s="14" t="s">
        <v>6384</v>
      </c>
      <c r="D6361" s="1"/>
      <c r="E6361" s="1"/>
      <c r="F6361" s="1" t="str">
        <f>IFERROR(__xludf.DUMMYFUNCTION("GOOGLETRANSLATE(B6361, ""en"", ""fa"")
"),"موفقیت آمازون")</f>
        <v>موفقیت آمازون</v>
      </c>
      <c r="G6361" s="1" t="str">
        <f>IFERROR(__xludf.DUMMYFUNCTION("GOOGLETRANSLATE(C6361, ""en"", ""fa"")
"),"بهترین روش‌ها برای اجرای کمپین‌های پرداخت به ازای کلیک آمازون (PPC) برای به حداکثر رساندن بازگشت سرمایه چیست؟")</f>
        <v>بهترین روش‌ها برای اجرای کمپین‌های پرداخت به ازای کلیک آمازون (PPC) برای به حداکثر رساندن بازگشت سرمایه چیست؟</v>
      </c>
      <c r="H6361" s="1"/>
      <c r="I6361" s="1"/>
      <c r="J6361" s="1"/>
      <c r="K6361" s="1"/>
      <c r="L6361" s="1"/>
      <c r="M6361" s="1"/>
      <c r="N6361" s="1"/>
      <c r="O6361" s="1"/>
      <c r="P6361" s="1"/>
      <c r="Q6361" s="1"/>
      <c r="R6361" s="1"/>
      <c r="S6361" s="1"/>
      <c r="T6361" s="1"/>
      <c r="U6361" s="1"/>
      <c r="V6361" s="1"/>
      <c r="W6361" s="1"/>
      <c r="X6361" s="1"/>
      <c r="Y6361" s="1"/>
      <c r="Z6361" s="1"/>
      <c r="AA6361" s="1"/>
      <c r="AB6361" s="1"/>
    </row>
    <row r="6362" ht="50.25" customHeight="1">
      <c r="A6362" s="12">
        <v>6358.0</v>
      </c>
      <c r="B6362" s="13" t="s">
        <v>6141</v>
      </c>
      <c r="C6362" s="14" t="s">
        <v>6385</v>
      </c>
      <c r="D6362" s="1"/>
      <c r="E6362" s="1"/>
      <c r="F6362" s="1" t="str">
        <f>IFERROR(__xludf.DUMMYFUNCTION("GOOGLETRANSLATE(B6362, ""en"", ""fa"")
"),"موفقیت آمازون")</f>
        <v>موفقیت آمازون</v>
      </c>
      <c r="G6362" s="1" t="str">
        <f>IFERROR(__xludf.DUMMYFUNCTION("GOOGLETRANSLATE(C6362, ""en"", ""fa"")
"),"در مورد اهمیت استفاده از کلمات کلیدی هدفمند در عناوین محصول، نقاط گلوله و توضیحات بحث کنید.")</f>
        <v>در مورد اهمیت استفاده از کلمات کلیدی هدفمند در عناوین محصول، نقاط گلوله و توضیحات بحث کنید.</v>
      </c>
      <c r="H6362" s="1"/>
      <c r="I6362" s="1"/>
      <c r="J6362" s="1"/>
      <c r="K6362" s="1"/>
      <c r="L6362" s="1"/>
      <c r="M6362" s="1"/>
      <c r="N6362" s="1"/>
      <c r="O6362" s="1"/>
      <c r="P6362" s="1"/>
      <c r="Q6362" s="1"/>
      <c r="R6362" s="1"/>
      <c r="S6362" s="1"/>
      <c r="T6362" s="1"/>
      <c r="U6362" s="1"/>
      <c r="V6362" s="1"/>
      <c r="W6362" s="1"/>
      <c r="X6362" s="1"/>
      <c r="Y6362" s="1"/>
      <c r="Z6362" s="1"/>
      <c r="AA6362" s="1"/>
      <c r="AB6362" s="1"/>
    </row>
    <row r="6363" ht="50.25" customHeight="1">
      <c r="A6363" s="12">
        <v>6359.0</v>
      </c>
      <c r="B6363" s="13" t="s">
        <v>6141</v>
      </c>
      <c r="C6363" s="14" t="s">
        <v>6386</v>
      </c>
      <c r="D6363" s="1"/>
      <c r="E6363" s="1"/>
      <c r="F6363" s="1" t="str">
        <f>IFERROR(__xludf.DUMMYFUNCTION("GOOGLETRANSLATE(B6363, ""en"", ""fa"")
"),"موفقیت آمازون")</f>
        <v>موفقیت آمازون</v>
      </c>
      <c r="G6363" s="1" t="str">
        <f>IFERROR(__xludf.DUMMYFUNCTION("GOOGLETRANSLATE(C6363, ""en"", ""fa"")
"),"چگونه فروشندگان می توانند تصاویر محصول قانع کننده ای ایجاد کنند و آنها را برای افزایش نرخ کلیک بهینه کنند؟")</f>
        <v>چگونه فروشندگان می توانند تصاویر محصول قانع کننده ای ایجاد کنند و آنها را برای افزایش نرخ کلیک بهینه کنند؟</v>
      </c>
      <c r="H6363" s="1"/>
      <c r="I6363" s="1"/>
      <c r="J6363" s="1"/>
      <c r="K6363" s="1"/>
      <c r="L6363" s="1"/>
      <c r="M6363" s="1"/>
      <c r="N6363" s="1"/>
      <c r="O6363" s="1"/>
      <c r="P6363" s="1"/>
      <c r="Q6363" s="1"/>
      <c r="R6363" s="1"/>
      <c r="S6363" s="1"/>
      <c r="T6363" s="1"/>
      <c r="U6363" s="1"/>
      <c r="V6363" s="1"/>
      <c r="W6363" s="1"/>
      <c r="X6363" s="1"/>
      <c r="Y6363" s="1"/>
      <c r="Z6363" s="1"/>
      <c r="AA6363" s="1"/>
      <c r="AB6363" s="1"/>
    </row>
    <row r="6364" ht="50.25" customHeight="1">
      <c r="A6364" s="12">
        <v>6360.0</v>
      </c>
      <c r="B6364" s="13" t="s">
        <v>6141</v>
      </c>
      <c r="C6364" s="14" t="s">
        <v>6387</v>
      </c>
      <c r="D6364" s="1"/>
      <c r="E6364" s="1"/>
      <c r="F6364" s="1" t="str">
        <f>IFERROR(__xludf.DUMMYFUNCTION("GOOGLETRANSLATE(B6364, ""en"", ""fa"")
"),"موفقیت آمازون")</f>
        <v>موفقیت آمازون</v>
      </c>
      <c r="G6364" s="1" t="str">
        <f>IFERROR(__xludf.DUMMYFUNCTION("GOOGLETRANSLATE(C6364, ""en"", ""fa"")
"),"نکاتی را برای نوشتن توضیحات محصول متقاعدکننده و آموزنده که خریداران را به خریداران تبدیل می کند، به اشتراک بگذارید.")</f>
        <v>نکاتی را برای نوشتن توضیحات محصول متقاعدکننده و آموزنده که خریداران را به خریداران تبدیل می کند، به اشتراک بگذارید.</v>
      </c>
      <c r="H6364" s="1"/>
      <c r="I6364" s="1"/>
      <c r="J6364" s="1"/>
      <c r="K6364" s="1"/>
      <c r="L6364" s="1"/>
      <c r="M6364" s="1"/>
      <c r="N6364" s="1"/>
      <c r="O6364" s="1"/>
      <c r="P6364" s="1"/>
      <c r="Q6364" s="1"/>
      <c r="R6364" s="1"/>
      <c r="S6364" s="1"/>
      <c r="T6364" s="1"/>
      <c r="U6364" s="1"/>
      <c r="V6364" s="1"/>
      <c r="W6364" s="1"/>
      <c r="X6364" s="1"/>
      <c r="Y6364" s="1"/>
      <c r="Z6364" s="1"/>
      <c r="AA6364" s="1"/>
      <c r="AB6364" s="1"/>
    </row>
    <row r="6365" ht="50.25" customHeight="1">
      <c r="A6365" s="12">
        <v>6361.0</v>
      </c>
      <c r="B6365" s="13" t="s">
        <v>6141</v>
      </c>
      <c r="C6365" s="14" t="s">
        <v>6388</v>
      </c>
      <c r="D6365" s="1"/>
      <c r="E6365" s="1"/>
      <c r="F6365" s="1" t="str">
        <f>IFERROR(__xludf.DUMMYFUNCTION("GOOGLETRANSLATE(B6365, ""en"", ""fa"")
"),"موفقیت آمازون")</f>
        <v>موفقیت آمازون</v>
      </c>
      <c r="G6365" s="1" t="str">
        <f>IFERROR(__xludf.DUMMYFUNCTION("GOOGLETRANSLATE(C6365, ""en"", ""fa"")
"),"بهترین روش ها برای استفاده از محتوای برند پیشرفته آمازون (EBC) برای افزایش لیست محصولات چیست؟")</f>
        <v>بهترین روش ها برای استفاده از محتوای برند پیشرفته آمازون (EBC) برای افزایش لیست محصولات چیست؟</v>
      </c>
      <c r="H6365" s="1"/>
      <c r="I6365" s="1"/>
      <c r="J6365" s="1"/>
      <c r="K6365" s="1"/>
      <c r="L6365" s="1"/>
      <c r="M6365" s="1"/>
      <c r="N6365" s="1"/>
      <c r="O6365" s="1"/>
      <c r="P6365" s="1"/>
      <c r="Q6365" s="1"/>
      <c r="R6365" s="1"/>
      <c r="S6365" s="1"/>
      <c r="T6365" s="1"/>
      <c r="U6365" s="1"/>
      <c r="V6365" s="1"/>
      <c r="W6365" s="1"/>
      <c r="X6365" s="1"/>
      <c r="Y6365" s="1"/>
      <c r="Z6365" s="1"/>
      <c r="AA6365" s="1"/>
      <c r="AB6365" s="1"/>
    </row>
    <row r="6366" ht="50.25" customHeight="1">
      <c r="A6366" s="12">
        <v>6362.0</v>
      </c>
      <c r="B6366" s="13" t="s">
        <v>6141</v>
      </c>
      <c r="C6366" s="14" t="s">
        <v>6389</v>
      </c>
      <c r="D6366" s="1"/>
      <c r="E6366" s="1"/>
      <c r="F6366" s="1" t="str">
        <f>IFERROR(__xludf.DUMMYFUNCTION("GOOGLETRANSLATE(B6366, ""en"", ""fa"")
"),"موفقیت آمازون")</f>
        <v>موفقیت آمازون</v>
      </c>
      <c r="G6366" s="1" t="str">
        <f>IFERROR(__xludf.DUMMYFUNCTION("GOOGLETRANSLATE(C6366, ""en"", ""fa"")
"),"نقش محتوای A+ را در افزایش دید برند و انتقال موثر ویژگی های محصول توضیح دهید.")</f>
        <v>نقش محتوای A+ را در افزایش دید برند و انتقال موثر ویژگی های محصول توضیح دهید.</v>
      </c>
      <c r="H6366" s="1"/>
      <c r="I6366" s="1"/>
      <c r="J6366" s="1"/>
      <c r="K6366" s="1"/>
      <c r="L6366" s="1"/>
      <c r="M6366" s="1"/>
      <c r="N6366" s="1"/>
      <c r="O6366" s="1"/>
      <c r="P6366" s="1"/>
      <c r="Q6366" s="1"/>
      <c r="R6366" s="1"/>
      <c r="S6366" s="1"/>
      <c r="T6366" s="1"/>
      <c r="U6366" s="1"/>
      <c r="V6366" s="1"/>
      <c r="W6366" s="1"/>
      <c r="X6366" s="1"/>
      <c r="Y6366" s="1"/>
      <c r="Z6366" s="1"/>
      <c r="AA6366" s="1"/>
      <c r="AB6366" s="1"/>
    </row>
    <row r="6367" ht="50.25" customHeight="1">
      <c r="A6367" s="12">
        <v>6363.0</v>
      </c>
      <c r="B6367" s="13" t="s">
        <v>6141</v>
      </c>
      <c r="C6367" s="14" t="s">
        <v>6390</v>
      </c>
      <c r="D6367" s="1"/>
      <c r="E6367" s="1"/>
      <c r="F6367" s="1" t="str">
        <f>IFERROR(__xludf.DUMMYFUNCTION("GOOGLETRANSLATE(B6367, ""en"", ""fa"")
"),"موفقیت آمازون")</f>
        <v>موفقیت آمازون</v>
      </c>
      <c r="G6367" s="1" t="str">
        <f>IFERROR(__xludf.DUMMYFUNCTION("GOOGLETRANSLATE(C6367, ""en"", ""fa"")
"),"چگونه فروشندگان می توانند از نظرات و رتبه بندی مشتریان به عنوان یک ابزار بازاریابی قدرتمند در آمازون استفاده کنند؟")</f>
        <v>چگونه فروشندگان می توانند از نظرات و رتبه بندی مشتریان به عنوان یک ابزار بازاریابی قدرتمند در آمازون استفاده کنند؟</v>
      </c>
      <c r="H6367" s="1"/>
      <c r="I6367" s="1"/>
      <c r="J6367" s="1"/>
      <c r="K6367" s="1"/>
      <c r="L6367" s="1"/>
      <c r="M6367" s="1"/>
      <c r="N6367" s="1"/>
      <c r="O6367" s="1"/>
      <c r="P6367" s="1"/>
      <c r="Q6367" s="1"/>
      <c r="R6367" s="1"/>
      <c r="S6367" s="1"/>
      <c r="T6367" s="1"/>
      <c r="U6367" s="1"/>
      <c r="V6367" s="1"/>
      <c r="W6367" s="1"/>
      <c r="X6367" s="1"/>
      <c r="Y6367" s="1"/>
      <c r="Z6367" s="1"/>
      <c r="AA6367" s="1"/>
      <c r="AB6367" s="1"/>
    </row>
    <row r="6368" ht="50.25" customHeight="1">
      <c r="A6368" s="12">
        <v>6364.0</v>
      </c>
      <c r="B6368" s="13" t="s">
        <v>6141</v>
      </c>
      <c r="C6368" s="14" t="s">
        <v>6391</v>
      </c>
      <c r="D6368" s="1"/>
      <c r="E6368" s="1"/>
      <c r="F6368" s="1" t="str">
        <f>IFERROR(__xludf.DUMMYFUNCTION("GOOGLETRANSLATE(B6368, ""en"", ""fa"")
"),"موفقیت آمازون")</f>
        <v>موفقیت آمازون</v>
      </c>
      <c r="G6368" s="1" t="str">
        <f>IFERROR(__xludf.DUMMYFUNCTION("GOOGLETRANSLATE(C6368, ""en"", ""fa"")
"),"در مورد اهمیت بهینه سازی کلمات کلیدی باطن برای بهبود دید جستجو در آمازون بحث کنید.")</f>
        <v>در مورد اهمیت بهینه سازی کلمات کلیدی باطن برای بهبود دید جستجو در آمازون بحث کنید.</v>
      </c>
      <c r="H6368" s="1"/>
      <c r="I6368" s="1"/>
      <c r="J6368" s="1"/>
      <c r="K6368" s="1"/>
      <c r="L6368" s="1"/>
      <c r="M6368" s="1"/>
      <c r="N6368" s="1"/>
      <c r="O6368" s="1"/>
      <c r="P6368" s="1"/>
      <c r="Q6368" s="1"/>
      <c r="R6368" s="1"/>
      <c r="S6368" s="1"/>
      <c r="T6368" s="1"/>
      <c r="U6368" s="1"/>
      <c r="V6368" s="1"/>
      <c r="W6368" s="1"/>
      <c r="X6368" s="1"/>
      <c r="Y6368" s="1"/>
      <c r="Z6368" s="1"/>
      <c r="AA6368" s="1"/>
      <c r="AB6368" s="1"/>
    </row>
    <row r="6369" ht="50.25" customHeight="1">
      <c r="A6369" s="12">
        <v>6365.0</v>
      </c>
      <c r="B6369" s="13" t="s">
        <v>6141</v>
      </c>
      <c r="C6369" s="14" t="s">
        <v>6392</v>
      </c>
      <c r="D6369" s="1"/>
      <c r="E6369" s="1"/>
      <c r="F6369" s="1" t="str">
        <f>IFERROR(__xludf.DUMMYFUNCTION("GOOGLETRANSLATE(B6369, ""en"", ""fa"")
"),"موفقیت آمازون")</f>
        <v>موفقیت آمازون</v>
      </c>
      <c r="G6369" s="1" t="str">
        <f>IFERROR(__xludf.DUMMYFUNCTION("GOOGLETRANSLATE(C6369, ""en"", ""fa"")
"),"بینش هایی در مورد نحوه استفاده موثر از پلتفرم های رسانه های اجتماعی برای تبلیغ محصولات و تعامل با مشتریان به اشتراک بگذارید.")</f>
        <v>بینش هایی در مورد نحوه استفاده موثر از پلتفرم های رسانه های اجتماعی برای تبلیغ محصولات و تعامل با مشتریان به اشتراک بگذارید.</v>
      </c>
      <c r="H6369" s="1"/>
      <c r="I6369" s="1"/>
      <c r="J6369" s="1"/>
      <c r="K6369" s="1"/>
      <c r="L6369" s="1"/>
      <c r="M6369" s="1"/>
      <c r="N6369" s="1"/>
      <c r="O6369" s="1"/>
      <c r="P6369" s="1"/>
      <c r="Q6369" s="1"/>
      <c r="R6369" s="1"/>
      <c r="S6369" s="1"/>
      <c r="T6369" s="1"/>
      <c r="U6369" s="1"/>
      <c r="V6369" s="1"/>
      <c r="W6369" s="1"/>
      <c r="X6369" s="1"/>
      <c r="Y6369" s="1"/>
      <c r="Z6369" s="1"/>
      <c r="AA6369" s="1"/>
      <c r="AB6369" s="1"/>
    </row>
    <row r="6370" ht="50.25" customHeight="1">
      <c r="A6370" s="12">
        <v>6366.0</v>
      </c>
      <c r="B6370" s="13" t="s">
        <v>6141</v>
      </c>
      <c r="C6370" s="14" t="s">
        <v>6393</v>
      </c>
      <c r="D6370" s="1"/>
      <c r="E6370" s="1"/>
      <c r="F6370" s="1" t="str">
        <f>IFERROR(__xludf.DUMMYFUNCTION("GOOGLETRANSLATE(B6370, ""en"", ""fa"")
"),"موفقیت آمازون")</f>
        <v>موفقیت آمازون</v>
      </c>
      <c r="G6370" s="1" t="str">
        <f>IFERROR(__xludf.DUMMYFUNCTION("GOOGLETRANSLATE(C6370, ""en"", ""fa"")
"),"بهترین روش ها برای اجرای کمپین های تبلیغاتی هدفمند در پلتفرم های خارجی مانند فیس بوک و گوگل چیست؟")</f>
        <v>بهترین روش ها برای اجرای کمپین های تبلیغاتی هدفمند در پلتفرم های خارجی مانند فیس بوک و گوگل چیست؟</v>
      </c>
      <c r="H6370" s="1"/>
      <c r="I6370" s="1"/>
      <c r="J6370" s="1"/>
      <c r="K6370" s="1"/>
      <c r="L6370" s="1"/>
      <c r="M6370" s="1"/>
      <c r="N6370" s="1"/>
      <c r="O6370" s="1"/>
      <c r="P6370" s="1"/>
      <c r="Q6370" s="1"/>
      <c r="R6370" s="1"/>
      <c r="S6370" s="1"/>
      <c r="T6370" s="1"/>
      <c r="U6370" s="1"/>
      <c r="V6370" s="1"/>
      <c r="W6370" s="1"/>
      <c r="X6370" s="1"/>
      <c r="Y6370" s="1"/>
      <c r="Z6370" s="1"/>
      <c r="AA6370" s="1"/>
      <c r="AB6370" s="1"/>
    </row>
    <row r="6371" ht="50.25" customHeight="1">
      <c r="A6371" s="12">
        <v>6367.0</v>
      </c>
      <c r="B6371" s="13" t="s">
        <v>6141</v>
      </c>
      <c r="C6371" s="14" t="s">
        <v>6394</v>
      </c>
      <c r="D6371" s="1"/>
      <c r="E6371" s="1"/>
      <c r="F6371" s="1" t="str">
        <f>IFERROR(__xludf.DUMMYFUNCTION("GOOGLETRANSLATE(B6371, ""en"", ""fa"")
"),"موفقیت آمازون")</f>
        <v>موفقیت آمازون</v>
      </c>
      <c r="G6371" s="1" t="str">
        <f>IFERROR(__xludf.DUMMYFUNCTION("GOOGLETRANSLATE(C6371, ""en"", ""fa"")
"),"اهمیت استفاده از اینفلوئنسر مارکتینگ برای دستیابی به مخاطبان گسترده تر و افزایش آگاهی از محصول را توضیح دهید.")</f>
        <v>اهمیت استفاده از اینفلوئنسر مارکتینگ برای دستیابی به مخاطبان گسترده تر و افزایش آگاهی از محصول را توضیح دهید.</v>
      </c>
      <c r="H6371" s="1"/>
      <c r="I6371" s="1"/>
      <c r="J6371" s="1"/>
      <c r="K6371" s="1"/>
      <c r="L6371" s="1"/>
      <c r="M6371" s="1"/>
      <c r="N6371" s="1"/>
      <c r="O6371" s="1"/>
      <c r="P6371" s="1"/>
      <c r="Q6371" s="1"/>
      <c r="R6371" s="1"/>
      <c r="S6371" s="1"/>
      <c r="T6371" s="1"/>
      <c r="U6371" s="1"/>
      <c r="V6371" s="1"/>
      <c r="W6371" s="1"/>
      <c r="X6371" s="1"/>
      <c r="Y6371" s="1"/>
      <c r="Z6371" s="1"/>
      <c r="AA6371" s="1"/>
      <c r="AB6371" s="1"/>
    </row>
    <row r="6372" ht="50.25" customHeight="1">
      <c r="A6372" s="12">
        <v>6368.0</v>
      </c>
      <c r="B6372" s="13" t="s">
        <v>6141</v>
      </c>
      <c r="C6372" s="14" t="s">
        <v>6395</v>
      </c>
      <c r="D6372" s="1"/>
      <c r="E6372" s="1"/>
      <c r="F6372" s="1" t="str">
        <f>IFERROR(__xludf.DUMMYFUNCTION("GOOGLETRANSLATE(B6372, ""en"", ""fa"")
"),"موفقیت آمازون")</f>
        <v>موفقیت آمازون</v>
      </c>
      <c r="G6372" s="1" t="str">
        <f>IFERROR(__xludf.DUMMYFUNCTION("GOOGLETRANSLATE(C6372, ""en"", ""fa"")
"),"چگونه فروشندگان می توانند از بازاریابی ایمیلی برای ایجاد وفاداری مشتری و ایجاد فروش تکراری استفاده کنند؟")</f>
        <v>چگونه فروشندگان می توانند از بازاریابی ایمیلی برای ایجاد وفاداری مشتری و ایجاد فروش تکراری استفاده کنند؟</v>
      </c>
      <c r="H6372" s="1"/>
      <c r="I6372" s="1"/>
      <c r="J6372" s="1"/>
      <c r="K6372" s="1"/>
      <c r="L6372" s="1"/>
      <c r="M6372" s="1"/>
      <c r="N6372" s="1"/>
      <c r="O6372" s="1"/>
      <c r="P6372" s="1"/>
      <c r="Q6372" s="1"/>
      <c r="R6372" s="1"/>
      <c r="S6372" s="1"/>
      <c r="T6372" s="1"/>
      <c r="U6372" s="1"/>
      <c r="V6372" s="1"/>
      <c r="W6372" s="1"/>
      <c r="X6372" s="1"/>
      <c r="Y6372" s="1"/>
      <c r="Z6372" s="1"/>
      <c r="AA6372" s="1"/>
      <c r="AB6372" s="1"/>
    </row>
    <row r="6373" ht="50.25" customHeight="1">
      <c r="A6373" s="12">
        <v>6369.0</v>
      </c>
      <c r="B6373" s="13" t="s">
        <v>6141</v>
      </c>
      <c r="C6373" s="14" t="s">
        <v>6396</v>
      </c>
      <c r="D6373" s="1"/>
      <c r="E6373" s="1"/>
      <c r="F6373" s="1" t="str">
        <f>IFERROR(__xludf.DUMMYFUNCTION("GOOGLETRANSLATE(B6373, ""en"", ""fa"")
"),"موفقیت آمازون")</f>
        <v>موفقیت آمازون</v>
      </c>
      <c r="G6373" s="1" t="str">
        <f>IFERROR(__xludf.DUMMYFUNCTION("GOOGLETRANSLATE(C6373, ""en"", ""fa"")
"),"در مورد نقش تقسیم بندی مشتری و بازاریابی شخصی در ایجاد تعامل و تبدیل مشتری بحث کنید.")</f>
        <v>در مورد نقش تقسیم بندی مشتری و بازاریابی شخصی در ایجاد تعامل و تبدیل مشتری بحث کنید.</v>
      </c>
      <c r="H6373" s="1"/>
      <c r="I6373" s="1"/>
      <c r="J6373" s="1"/>
      <c r="K6373" s="1"/>
      <c r="L6373" s="1"/>
      <c r="M6373" s="1"/>
      <c r="N6373" s="1"/>
      <c r="O6373" s="1"/>
      <c r="P6373" s="1"/>
      <c r="Q6373" s="1"/>
      <c r="R6373" s="1"/>
      <c r="S6373" s="1"/>
      <c r="T6373" s="1"/>
      <c r="U6373" s="1"/>
      <c r="V6373" s="1"/>
      <c r="W6373" s="1"/>
      <c r="X6373" s="1"/>
      <c r="Y6373" s="1"/>
      <c r="Z6373" s="1"/>
      <c r="AA6373" s="1"/>
      <c r="AB6373" s="1"/>
    </row>
    <row r="6374" ht="50.25" customHeight="1">
      <c r="A6374" s="12">
        <v>6370.0</v>
      </c>
      <c r="B6374" s="13" t="s">
        <v>6141</v>
      </c>
      <c r="C6374" s="14" t="s">
        <v>6397</v>
      </c>
      <c r="D6374" s="1"/>
      <c r="E6374" s="1"/>
      <c r="F6374" s="1" t="str">
        <f>IFERROR(__xludf.DUMMYFUNCTION("GOOGLETRANSLATE(B6374, ""en"", ""fa"")
"),"موفقیت آمازون")</f>
        <v>موفقیت آمازون</v>
      </c>
      <c r="G6374" s="1" t="str">
        <f>IFERROR(__xludf.DUMMYFUNCTION("GOOGLETRANSLATE(C6374, ""en"", ""fa"")
"),"نکاتی را برای استفاده از توصیفات مشتری و محتوای تولید شده توسط کاربر برای ایجاد اعتماد و اعتبار به اشتراک بگذارید.")</f>
        <v>نکاتی را برای استفاده از توصیفات مشتری و محتوای تولید شده توسط کاربر برای ایجاد اعتماد و اعتبار به اشتراک بگذارید.</v>
      </c>
      <c r="H6374" s="1"/>
      <c r="I6374" s="1"/>
      <c r="J6374" s="1"/>
      <c r="K6374" s="1"/>
      <c r="L6374" s="1"/>
      <c r="M6374" s="1"/>
      <c r="N6374" s="1"/>
      <c r="O6374" s="1"/>
      <c r="P6374" s="1"/>
      <c r="Q6374" s="1"/>
      <c r="R6374" s="1"/>
      <c r="S6374" s="1"/>
      <c r="T6374" s="1"/>
      <c r="U6374" s="1"/>
      <c r="V6374" s="1"/>
      <c r="W6374" s="1"/>
      <c r="X6374" s="1"/>
      <c r="Y6374" s="1"/>
      <c r="Z6374" s="1"/>
      <c r="AA6374" s="1"/>
      <c r="AB6374" s="1"/>
    </row>
    <row r="6375" ht="50.25" customHeight="1">
      <c r="A6375" s="12">
        <v>6371.0</v>
      </c>
      <c r="B6375" s="13" t="s">
        <v>6141</v>
      </c>
      <c r="C6375" s="14" t="s">
        <v>6398</v>
      </c>
      <c r="D6375" s="1"/>
      <c r="E6375" s="1"/>
      <c r="F6375" s="1" t="str">
        <f>IFERROR(__xludf.DUMMYFUNCTION("GOOGLETRANSLATE(B6375, ""en"", ""fa"")
"),"موفقیت آمازون")</f>
        <v>موفقیت آمازون</v>
      </c>
      <c r="G6375" s="1" t="str">
        <f>IFERROR(__xludf.DUMMYFUNCTION("GOOGLETRANSLATE(C6375, ""en"", ""fa"")
"),"بهترین روش برای اجرای تبلیغات با زمان محدود و فروش فلش برای ایجاد فوریت و افزایش فروش چیست؟")</f>
        <v>بهترین روش برای اجرای تبلیغات با زمان محدود و فروش فلش برای ایجاد فوریت و افزایش فروش چیست؟</v>
      </c>
      <c r="H6375" s="1"/>
      <c r="I6375" s="1"/>
      <c r="J6375" s="1"/>
      <c r="K6375" s="1"/>
      <c r="L6375" s="1"/>
      <c r="M6375" s="1"/>
      <c r="N6375" s="1"/>
      <c r="O6375" s="1"/>
      <c r="P6375" s="1"/>
      <c r="Q6375" s="1"/>
      <c r="R6375" s="1"/>
      <c r="S6375" s="1"/>
      <c r="T6375" s="1"/>
      <c r="U6375" s="1"/>
      <c r="V6375" s="1"/>
      <c r="W6375" s="1"/>
      <c r="X6375" s="1"/>
      <c r="Y6375" s="1"/>
      <c r="Z6375" s="1"/>
      <c r="AA6375" s="1"/>
      <c r="AB6375" s="1"/>
    </row>
    <row r="6376" ht="50.25" customHeight="1">
      <c r="A6376" s="12">
        <v>6372.0</v>
      </c>
      <c r="B6376" s="13" t="s">
        <v>6141</v>
      </c>
      <c r="C6376" s="14" t="s">
        <v>6399</v>
      </c>
      <c r="D6376" s="1"/>
      <c r="E6376" s="1"/>
      <c r="F6376" s="1" t="str">
        <f>IFERROR(__xludf.DUMMYFUNCTION("GOOGLETRANSLATE(B6376, ""en"", ""fa"")
"),"موفقیت آمازون")</f>
        <v>موفقیت آمازون</v>
      </c>
      <c r="G6376" s="1" t="str">
        <f>IFERROR(__xludf.DUMMYFUNCTION("GOOGLETRANSLATE(C6376, ""en"", ""fa"")
"),"اهمیت استفاده از عناصر اثبات اجتماعی مانند رتبه بندی محصول و نظرات مشتریان را در تبلیغات توضیح دهید.")</f>
        <v>اهمیت استفاده از عناصر اثبات اجتماعی مانند رتبه بندی محصول و نظرات مشتریان را در تبلیغات توضیح دهید.</v>
      </c>
      <c r="H6376" s="1"/>
      <c r="I6376" s="1"/>
      <c r="J6376" s="1"/>
      <c r="K6376" s="1"/>
      <c r="L6376" s="1"/>
      <c r="M6376" s="1"/>
      <c r="N6376" s="1"/>
      <c r="O6376" s="1"/>
      <c r="P6376" s="1"/>
      <c r="Q6376" s="1"/>
      <c r="R6376" s="1"/>
      <c r="S6376" s="1"/>
      <c r="T6376" s="1"/>
      <c r="U6376" s="1"/>
      <c r="V6376" s="1"/>
      <c r="W6376" s="1"/>
      <c r="X6376" s="1"/>
      <c r="Y6376" s="1"/>
      <c r="Z6376" s="1"/>
      <c r="AA6376" s="1"/>
      <c r="AB6376" s="1"/>
    </row>
    <row r="6377" ht="50.25" customHeight="1">
      <c r="A6377" s="12">
        <v>6373.0</v>
      </c>
      <c r="B6377" s="13" t="s">
        <v>6141</v>
      </c>
      <c r="C6377" s="14" t="s">
        <v>6400</v>
      </c>
      <c r="D6377" s="1"/>
      <c r="E6377" s="1"/>
      <c r="F6377" s="1" t="str">
        <f>IFERROR(__xludf.DUMMYFUNCTION("GOOGLETRANSLATE(B6377, ""en"", ""fa"")
"),"موفقیت آمازون")</f>
        <v>موفقیت آمازون</v>
      </c>
      <c r="G6377" s="1" t="str">
        <f>IFERROR(__xludf.DUMMYFUNCTION("GOOGLETRANSLATE(C6377, ""en"", ""fa"")
"),"چگونه فروشندگان می توانند از بازاریابی ویدئویی برای نمایش ویژگی های محصول و تعامل با مشتریان استفاده کنند؟")</f>
        <v>چگونه فروشندگان می توانند از بازاریابی ویدئویی برای نمایش ویژگی های محصول و تعامل با مشتریان استفاده کنند؟</v>
      </c>
      <c r="H6377" s="1"/>
      <c r="I6377" s="1"/>
      <c r="J6377" s="1"/>
      <c r="K6377" s="1"/>
      <c r="L6377" s="1"/>
      <c r="M6377" s="1"/>
      <c r="N6377" s="1"/>
      <c r="O6377" s="1"/>
      <c r="P6377" s="1"/>
      <c r="Q6377" s="1"/>
      <c r="R6377" s="1"/>
      <c r="S6377" s="1"/>
      <c r="T6377" s="1"/>
      <c r="U6377" s="1"/>
      <c r="V6377" s="1"/>
      <c r="W6377" s="1"/>
      <c r="X6377" s="1"/>
      <c r="Y6377" s="1"/>
      <c r="Z6377" s="1"/>
      <c r="AA6377" s="1"/>
      <c r="AB6377" s="1"/>
    </row>
    <row r="6378" ht="50.25" customHeight="1">
      <c r="A6378" s="12">
        <v>6374.0</v>
      </c>
      <c r="B6378" s="13" t="s">
        <v>6141</v>
      </c>
      <c r="C6378" s="14" t="s">
        <v>6401</v>
      </c>
      <c r="D6378" s="1"/>
      <c r="E6378" s="1"/>
      <c r="F6378" s="1" t="str">
        <f>IFERROR(__xludf.DUMMYFUNCTION("GOOGLETRANSLATE(B6378, ""en"", ""fa"")
"),"موفقیت آمازون")</f>
        <v>موفقیت آمازون</v>
      </c>
      <c r="G6378" s="1" t="str">
        <f>IFERROR(__xludf.DUMMYFUNCTION("GOOGLETRANSLATE(C6378, ""en"", ""fa"")
"),"در مورد اهمیت اجرای کمپین های تبلیغاتی هدفمند در فصول اوج خرید و تعطیلات بحث کنید.")</f>
        <v>در مورد اهمیت اجرای کمپین های تبلیغاتی هدفمند در فصول اوج خرید و تعطیلات بحث کنید.</v>
      </c>
      <c r="H6378" s="1"/>
      <c r="I6378" s="1"/>
      <c r="J6378" s="1"/>
      <c r="K6378" s="1"/>
      <c r="L6378" s="1"/>
      <c r="M6378" s="1"/>
      <c r="N6378" s="1"/>
      <c r="O6378" s="1"/>
      <c r="P6378" s="1"/>
      <c r="Q6378" s="1"/>
      <c r="R6378" s="1"/>
      <c r="S6378" s="1"/>
      <c r="T6378" s="1"/>
      <c r="U6378" s="1"/>
      <c r="V6378" s="1"/>
      <c r="W6378" s="1"/>
      <c r="X6378" s="1"/>
      <c r="Y6378" s="1"/>
      <c r="Z6378" s="1"/>
      <c r="AA6378" s="1"/>
      <c r="AB6378" s="1"/>
    </row>
    <row r="6379" ht="50.25" customHeight="1">
      <c r="A6379" s="12">
        <v>6375.0</v>
      </c>
      <c r="B6379" s="13" t="s">
        <v>6141</v>
      </c>
      <c r="C6379" s="14" t="s">
        <v>6402</v>
      </c>
      <c r="D6379" s="1"/>
      <c r="E6379" s="1"/>
      <c r="F6379" s="1" t="str">
        <f>IFERROR(__xludf.DUMMYFUNCTION("GOOGLETRANSLATE(B6379, ""en"", ""fa"")
"),"موفقیت آمازون")</f>
        <v>موفقیت آمازون</v>
      </c>
      <c r="G6379" s="1" t="str">
        <f>IFERROR(__xludf.DUMMYFUNCTION("GOOGLETRANSLATE(C6379, ""en"", ""fa"")
"),"درباره نحوه ایجاد صفحات فرود موثر برای ترافیک خارجی برای افزایش تبدیل، بینش هایی را به اشتراک بگذارید.")</f>
        <v>درباره نحوه ایجاد صفحات فرود موثر برای ترافیک خارجی برای افزایش تبدیل، بینش هایی را به اشتراک بگذارید.</v>
      </c>
      <c r="H6379" s="1"/>
      <c r="I6379" s="1"/>
      <c r="J6379" s="1"/>
      <c r="K6379" s="1"/>
      <c r="L6379" s="1"/>
      <c r="M6379" s="1"/>
      <c r="N6379" s="1"/>
      <c r="O6379" s="1"/>
      <c r="P6379" s="1"/>
      <c r="Q6379" s="1"/>
      <c r="R6379" s="1"/>
      <c r="S6379" s="1"/>
      <c r="T6379" s="1"/>
      <c r="U6379" s="1"/>
      <c r="V6379" s="1"/>
      <c r="W6379" s="1"/>
      <c r="X6379" s="1"/>
      <c r="Y6379" s="1"/>
      <c r="Z6379" s="1"/>
      <c r="AA6379" s="1"/>
      <c r="AB6379" s="1"/>
    </row>
    <row r="6380" ht="50.25" customHeight="1">
      <c r="A6380" s="12">
        <v>6376.0</v>
      </c>
      <c r="B6380" s="13" t="s">
        <v>6141</v>
      </c>
      <c r="C6380" s="14" t="s">
        <v>6403</v>
      </c>
      <c r="D6380" s="1"/>
      <c r="E6380" s="1"/>
      <c r="F6380" s="1" t="str">
        <f>IFERROR(__xludf.DUMMYFUNCTION("GOOGLETRANSLATE(B6380, ""en"", ""fa"")
"),"موفقیت آمازون")</f>
        <v>موفقیت آمازون</v>
      </c>
      <c r="G6380" s="1" t="str">
        <f>IFERROR(__xludf.DUMMYFUNCTION("GOOGLETRANSLATE(C6380, ""en"", ""fa"")
"),"بهترین روش ها برای بهینه سازی لیست محصولات برای کاربران موبایل و جذب ترافیک موبایل چیست؟")</f>
        <v>بهترین روش ها برای بهینه سازی لیست محصولات برای کاربران موبایل و جذب ترافیک موبایل چیست؟</v>
      </c>
      <c r="H6380" s="1"/>
      <c r="I6380" s="1"/>
      <c r="J6380" s="1"/>
      <c r="K6380" s="1"/>
      <c r="L6380" s="1"/>
      <c r="M6380" s="1"/>
      <c r="N6380" s="1"/>
      <c r="O6380" s="1"/>
      <c r="P6380" s="1"/>
      <c r="Q6380" s="1"/>
      <c r="R6380" s="1"/>
      <c r="S6380" s="1"/>
      <c r="T6380" s="1"/>
      <c r="U6380" s="1"/>
      <c r="V6380" s="1"/>
      <c r="W6380" s="1"/>
      <c r="X6380" s="1"/>
      <c r="Y6380" s="1"/>
      <c r="Z6380" s="1"/>
      <c r="AA6380" s="1"/>
      <c r="AB6380" s="1"/>
    </row>
    <row r="6381" ht="50.25" customHeight="1">
      <c r="A6381" s="12">
        <v>6377.0</v>
      </c>
      <c r="B6381" s="13" t="s">
        <v>6141</v>
      </c>
      <c r="C6381" s="14" t="s">
        <v>6404</v>
      </c>
      <c r="D6381" s="1"/>
      <c r="E6381" s="1"/>
      <c r="F6381" s="1" t="str">
        <f>IFERROR(__xludf.DUMMYFUNCTION("GOOGLETRANSLATE(B6381, ""en"", ""fa"")
"),"موفقیت آمازون")</f>
        <v>موفقیت آمازون</v>
      </c>
      <c r="G6381" s="1" t="str">
        <f>IFERROR(__xludf.DUMMYFUNCTION("GOOGLETRANSLATE(C6381, ""en"", ""fa"")
"),"نقش بازاریابی مجدد و کمپین های هدف گذاری مجدد را در جذب مجدد مشتریان بالقوه و ایجاد تبدیل توضیح دهید.")</f>
        <v>نقش بازاریابی مجدد و کمپین های هدف گذاری مجدد را در جذب مجدد مشتریان بالقوه و ایجاد تبدیل توضیح دهید.</v>
      </c>
      <c r="H6381" s="1"/>
      <c r="I6381" s="1"/>
      <c r="J6381" s="1"/>
      <c r="K6381" s="1"/>
      <c r="L6381" s="1"/>
      <c r="M6381" s="1"/>
      <c r="N6381" s="1"/>
      <c r="O6381" s="1"/>
      <c r="P6381" s="1"/>
      <c r="Q6381" s="1"/>
      <c r="R6381" s="1"/>
      <c r="S6381" s="1"/>
      <c r="T6381" s="1"/>
      <c r="U6381" s="1"/>
      <c r="V6381" s="1"/>
      <c r="W6381" s="1"/>
      <c r="X6381" s="1"/>
      <c r="Y6381" s="1"/>
      <c r="Z6381" s="1"/>
      <c r="AA6381" s="1"/>
      <c r="AB6381" s="1"/>
    </row>
    <row r="6382" ht="50.25" customHeight="1">
      <c r="A6382" s="12">
        <v>6378.0</v>
      </c>
      <c r="B6382" s="13" t="s">
        <v>6141</v>
      </c>
      <c r="C6382" s="14" t="s">
        <v>6405</v>
      </c>
      <c r="D6382" s="1"/>
      <c r="E6382" s="1"/>
      <c r="F6382" s="1" t="str">
        <f>IFERROR(__xludf.DUMMYFUNCTION("GOOGLETRANSLATE(B6382, ""en"", ""fa"")
"),"موفقیت آمازون")</f>
        <v>موفقیت آمازون</v>
      </c>
      <c r="G6382" s="1" t="str">
        <f>IFERROR(__xludf.DUMMYFUNCTION("GOOGLETRANSLATE(C6382, ""en"", ""fa"")
"),"چگونه فروشندگان می توانند از همکاری ها و مشارکت های تأثیرگذار برای گسترش دامنه برند و جذب مشتریان جدید استفاده کنند؟")</f>
        <v>چگونه فروشندگان می توانند از همکاری ها و مشارکت های تأثیرگذار برای گسترش دامنه برند و جذب مشتریان جدید استفاده کنند؟</v>
      </c>
      <c r="H6382" s="1"/>
      <c r="I6382" s="1"/>
      <c r="J6382" s="1"/>
      <c r="K6382" s="1"/>
      <c r="L6382" s="1"/>
      <c r="M6382" s="1"/>
      <c r="N6382" s="1"/>
      <c r="O6382" s="1"/>
      <c r="P6382" s="1"/>
      <c r="Q6382" s="1"/>
      <c r="R6382" s="1"/>
      <c r="S6382" s="1"/>
      <c r="T6382" s="1"/>
      <c r="U6382" s="1"/>
      <c r="V6382" s="1"/>
      <c r="W6382" s="1"/>
      <c r="X6382" s="1"/>
      <c r="Y6382" s="1"/>
      <c r="Z6382" s="1"/>
      <c r="AA6382" s="1"/>
      <c r="AB6382" s="1"/>
    </row>
    <row r="6383" ht="50.25" customHeight="1">
      <c r="A6383" s="12">
        <v>6379.0</v>
      </c>
      <c r="B6383" s="13" t="s">
        <v>6141</v>
      </c>
      <c r="C6383" s="14" t="s">
        <v>6406</v>
      </c>
      <c r="D6383" s="1"/>
      <c r="E6383" s="1"/>
      <c r="F6383" s="1" t="str">
        <f>IFERROR(__xludf.DUMMYFUNCTION("GOOGLETRANSLATE(B6383, ""en"", ""fa"")
"),"موفقیت آمازون")</f>
        <v>موفقیت آمازون</v>
      </c>
      <c r="G6383" s="1" t="str">
        <f>IFERROR(__xludf.DUMMYFUNCTION("GOOGLETRANSLATE(C6383, ""en"", ""fa"")
"),"در مورد اهمیت نظارت و تجزیه و تحلیل معیارهای کمپین تبلیغاتی برای بهینه سازی عملکرد بحث کنید.")</f>
        <v>در مورد اهمیت نظارت و تجزیه و تحلیل معیارهای کمپین تبلیغاتی برای بهینه سازی عملکرد بحث کنید.</v>
      </c>
      <c r="H6383" s="1"/>
      <c r="I6383" s="1"/>
      <c r="J6383" s="1"/>
      <c r="K6383" s="1"/>
      <c r="L6383" s="1"/>
      <c r="M6383" s="1"/>
      <c r="N6383" s="1"/>
      <c r="O6383" s="1"/>
      <c r="P6383" s="1"/>
      <c r="Q6383" s="1"/>
      <c r="R6383" s="1"/>
      <c r="S6383" s="1"/>
      <c r="T6383" s="1"/>
      <c r="U6383" s="1"/>
      <c r="V6383" s="1"/>
      <c r="W6383" s="1"/>
      <c r="X6383" s="1"/>
      <c r="Y6383" s="1"/>
      <c r="Z6383" s="1"/>
      <c r="AA6383" s="1"/>
      <c r="AB6383" s="1"/>
    </row>
    <row r="6384" ht="50.25" customHeight="1">
      <c r="A6384" s="12">
        <v>6380.0</v>
      </c>
      <c r="B6384" s="13" t="s">
        <v>6141</v>
      </c>
      <c r="C6384" s="14" t="s">
        <v>6407</v>
      </c>
      <c r="D6384" s="1"/>
      <c r="E6384" s="1"/>
      <c r="F6384" s="1" t="str">
        <f>IFERROR(__xludf.DUMMYFUNCTION("GOOGLETRANSLATE(B6384, ""en"", ""fa"")
"),"موفقیت آمازون")</f>
        <v>موفقیت آمازون</v>
      </c>
      <c r="G6384" s="1" t="str">
        <f>IFERROR(__xludf.DUMMYFUNCTION("GOOGLETRANSLATE(C6384, ""en"", ""fa"")
"),"نکاتی را برای ایجاد سرفصل های جلب توجه و کپی تبلیغاتی که خریداران را ترغیب به کلیک کردن می کند، به اشتراک بگذارید.")</f>
        <v>نکاتی را برای ایجاد سرفصل های جلب توجه و کپی تبلیغاتی که خریداران را ترغیب به کلیک کردن می کند، به اشتراک بگذارید.</v>
      </c>
      <c r="H6384" s="1"/>
      <c r="I6384" s="1"/>
      <c r="J6384" s="1"/>
      <c r="K6384" s="1"/>
      <c r="L6384" s="1"/>
      <c r="M6384" s="1"/>
      <c r="N6384" s="1"/>
      <c r="O6384" s="1"/>
      <c r="P6384" s="1"/>
      <c r="Q6384" s="1"/>
      <c r="R6384" s="1"/>
      <c r="S6384" s="1"/>
      <c r="T6384" s="1"/>
      <c r="U6384" s="1"/>
      <c r="V6384" s="1"/>
      <c r="W6384" s="1"/>
      <c r="X6384" s="1"/>
      <c r="Y6384" s="1"/>
      <c r="Z6384" s="1"/>
      <c r="AA6384" s="1"/>
      <c r="AB6384" s="1"/>
    </row>
    <row r="6385" ht="50.25" customHeight="1">
      <c r="A6385" s="12">
        <v>6381.0</v>
      </c>
      <c r="B6385" s="13" t="s">
        <v>6141</v>
      </c>
      <c r="C6385" s="14" t="s">
        <v>6408</v>
      </c>
      <c r="D6385" s="1"/>
      <c r="E6385" s="1"/>
      <c r="F6385" s="1" t="str">
        <f>IFERROR(__xludf.DUMMYFUNCTION("GOOGLETRANSLATE(B6385, ""en"", ""fa"")
"),"موفقیت آمازون")</f>
        <v>موفقیت آمازون</v>
      </c>
      <c r="G6385" s="1" t="str">
        <f>IFERROR(__xludf.DUMMYFUNCTION("GOOGLETRANSLATE(C6385, ""en"", ""fa"")
"),"بهترین روش ها برای استفاده از محتوای تولید شده توسط مشتری، مانند عکس ها و فیلم ها، در کمپین های تبلیغاتی چیست؟")</f>
        <v>بهترین روش ها برای استفاده از محتوای تولید شده توسط مشتری، مانند عکس ها و فیلم ها، در کمپین های تبلیغاتی چیست؟</v>
      </c>
      <c r="H6385" s="1"/>
      <c r="I6385" s="1"/>
      <c r="J6385" s="1"/>
      <c r="K6385" s="1"/>
      <c r="L6385" s="1"/>
      <c r="M6385" s="1"/>
      <c r="N6385" s="1"/>
      <c r="O6385" s="1"/>
      <c r="P6385" s="1"/>
      <c r="Q6385" s="1"/>
      <c r="R6385" s="1"/>
      <c r="S6385" s="1"/>
      <c r="T6385" s="1"/>
      <c r="U6385" s="1"/>
      <c r="V6385" s="1"/>
      <c r="W6385" s="1"/>
      <c r="X6385" s="1"/>
      <c r="Y6385" s="1"/>
      <c r="Z6385" s="1"/>
      <c r="AA6385" s="1"/>
      <c r="AB6385" s="1"/>
    </row>
    <row r="6386" ht="50.25" customHeight="1">
      <c r="A6386" s="12">
        <v>6382.0</v>
      </c>
      <c r="B6386" s="13" t="s">
        <v>6141</v>
      </c>
      <c r="C6386" s="14" t="s">
        <v>6409</v>
      </c>
      <c r="D6386" s="1"/>
      <c r="E6386" s="1"/>
      <c r="F6386" s="1" t="str">
        <f>IFERROR(__xludf.DUMMYFUNCTION("GOOGLETRANSLATE(B6386, ""en"", ""fa"")
"),"موفقیت آمازون")</f>
        <v>موفقیت آمازون</v>
      </c>
      <c r="G6386" s="1" t="str">
        <f>IFERROR(__xludf.DUMMYFUNCTION("GOOGLETRANSLATE(C6386, ""en"", ""fa"")
"),"اهمیت استفاده از کوپن های آمازون و معاملات لایتنینگ برای تشویق خرید و افزایش فروش را توضیح دهید.")</f>
        <v>اهمیت استفاده از کوپن های آمازون و معاملات لایتنینگ برای تشویق خرید و افزایش فروش را توضیح دهید.</v>
      </c>
      <c r="H6386" s="1"/>
      <c r="I6386" s="1"/>
      <c r="J6386" s="1"/>
      <c r="K6386" s="1"/>
      <c r="L6386" s="1"/>
      <c r="M6386" s="1"/>
      <c r="N6386" s="1"/>
      <c r="O6386" s="1"/>
      <c r="P6386" s="1"/>
      <c r="Q6386" s="1"/>
      <c r="R6386" s="1"/>
      <c r="S6386" s="1"/>
      <c r="T6386" s="1"/>
      <c r="U6386" s="1"/>
      <c r="V6386" s="1"/>
      <c r="W6386" s="1"/>
      <c r="X6386" s="1"/>
      <c r="Y6386" s="1"/>
      <c r="Z6386" s="1"/>
      <c r="AA6386" s="1"/>
      <c r="AB6386" s="1"/>
    </row>
    <row r="6387" ht="50.25" customHeight="1">
      <c r="A6387" s="12">
        <v>6383.0</v>
      </c>
      <c r="B6387" s="13" t="s">
        <v>6141</v>
      </c>
      <c r="C6387" s="14" t="s">
        <v>6410</v>
      </c>
      <c r="D6387" s="1"/>
      <c r="E6387" s="1"/>
      <c r="F6387" s="1" t="str">
        <f>IFERROR(__xludf.DUMMYFUNCTION("GOOGLETRANSLATE(B6387, ""en"", ""fa"")
"),"موفقیت آمازون")</f>
        <v>موفقیت آمازون</v>
      </c>
      <c r="G6387" s="1" t="str">
        <f>IFERROR(__xludf.DUMMYFUNCTION("GOOGLETRANSLATE(C6387, ""en"", ""fa"")
"),"چگونه فروشندگان می توانند از پلتفرم های تبلیغاتی رسانه های اجتماعی مانند اینستاگرام و پینترست برای تبلیغ موثر محصولات استفاده کنند؟")</f>
        <v>چگونه فروشندگان می توانند از پلتفرم های تبلیغاتی رسانه های اجتماعی مانند اینستاگرام و پینترست برای تبلیغ موثر محصولات استفاده کنند؟</v>
      </c>
      <c r="H6387" s="1"/>
      <c r="I6387" s="1"/>
      <c r="J6387" s="1"/>
      <c r="K6387" s="1"/>
      <c r="L6387" s="1"/>
      <c r="M6387" s="1"/>
      <c r="N6387" s="1"/>
      <c r="O6387" s="1"/>
      <c r="P6387" s="1"/>
      <c r="Q6387" s="1"/>
      <c r="R6387" s="1"/>
      <c r="S6387" s="1"/>
      <c r="T6387" s="1"/>
      <c r="U6387" s="1"/>
      <c r="V6387" s="1"/>
      <c r="W6387" s="1"/>
      <c r="X6387" s="1"/>
      <c r="Y6387" s="1"/>
      <c r="Z6387" s="1"/>
      <c r="AA6387" s="1"/>
      <c r="AB6387" s="1"/>
    </row>
    <row r="6388" ht="50.25" customHeight="1">
      <c r="A6388" s="12">
        <v>6384.0</v>
      </c>
      <c r="B6388" s="13" t="s">
        <v>6141</v>
      </c>
      <c r="C6388" s="14" t="s">
        <v>6411</v>
      </c>
      <c r="D6388" s="1"/>
      <c r="E6388" s="1"/>
      <c r="F6388" s="1" t="str">
        <f>IFERROR(__xludf.DUMMYFUNCTION("GOOGLETRANSLATE(B6388, ""en"", ""fa"")
"),"موفقیت آمازون")</f>
        <v>موفقیت آمازون</v>
      </c>
      <c r="G6388" s="1" t="str">
        <f>IFERROR(__xludf.DUMMYFUNCTION("GOOGLETRANSLATE(C6388, ""en"", ""fa"")
"),"در مورد نقش بازاریابی محتوا و وبلاگ نویسی در هدایت ترافیک ارگانیک و ایجاد تخصص در صنعت بحث کنید.")</f>
        <v>در مورد نقش بازاریابی محتوا و وبلاگ نویسی در هدایت ترافیک ارگانیک و ایجاد تخصص در صنعت بحث کنید.</v>
      </c>
      <c r="H6388" s="1"/>
      <c r="I6388" s="1"/>
      <c r="J6388" s="1"/>
      <c r="K6388" s="1"/>
      <c r="L6388" s="1"/>
      <c r="M6388" s="1"/>
      <c r="N6388" s="1"/>
      <c r="O6388" s="1"/>
      <c r="P6388" s="1"/>
      <c r="Q6388" s="1"/>
      <c r="R6388" s="1"/>
      <c r="S6388" s="1"/>
      <c r="T6388" s="1"/>
      <c r="U6388" s="1"/>
      <c r="V6388" s="1"/>
      <c r="W6388" s="1"/>
      <c r="X6388" s="1"/>
      <c r="Y6388" s="1"/>
      <c r="Z6388" s="1"/>
      <c r="AA6388" s="1"/>
      <c r="AB6388" s="1"/>
    </row>
    <row r="6389" ht="50.25" customHeight="1">
      <c r="A6389" s="12">
        <v>6385.0</v>
      </c>
      <c r="B6389" s="13" t="s">
        <v>6141</v>
      </c>
      <c r="C6389" s="14" t="s">
        <v>6412</v>
      </c>
      <c r="D6389" s="1"/>
      <c r="E6389" s="1"/>
      <c r="F6389" s="1" t="str">
        <f>IFERROR(__xludf.DUMMYFUNCTION("GOOGLETRANSLATE(B6389, ""en"", ""fa"")
"),"موفقیت آمازون")</f>
        <v>موفقیت آمازون</v>
      </c>
      <c r="G6389" s="1" t="str">
        <f>IFERROR(__xludf.DUMMYFUNCTION("GOOGLETRANSLATE(C6389, ""en"", ""fa"")
"),"درباره نحوه ایجاد ویدیوهای محصول قانع کننده که استفاده و مزایای محصول را نشان می دهد، بینش هایی را به اشتراک بگذارید.")</f>
        <v>درباره نحوه ایجاد ویدیوهای محصول قانع کننده که استفاده و مزایای محصول را نشان می دهد، بینش هایی را به اشتراک بگذارید.</v>
      </c>
      <c r="H6389" s="1"/>
      <c r="I6389" s="1"/>
      <c r="J6389" s="1"/>
      <c r="K6389" s="1"/>
      <c r="L6389" s="1"/>
      <c r="M6389" s="1"/>
      <c r="N6389" s="1"/>
      <c r="O6389" s="1"/>
      <c r="P6389" s="1"/>
      <c r="Q6389" s="1"/>
      <c r="R6389" s="1"/>
      <c r="S6389" s="1"/>
      <c r="T6389" s="1"/>
      <c r="U6389" s="1"/>
      <c r="V6389" s="1"/>
      <c r="W6389" s="1"/>
      <c r="X6389" s="1"/>
      <c r="Y6389" s="1"/>
      <c r="Z6389" s="1"/>
      <c r="AA6389" s="1"/>
      <c r="AB6389" s="1"/>
    </row>
    <row r="6390" ht="50.25" customHeight="1">
      <c r="A6390" s="12">
        <v>6386.0</v>
      </c>
      <c r="B6390" s="13" t="s">
        <v>6141</v>
      </c>
      <c r="C6390" s="14" t="s">
        <v>6413</v>
      </c>
      <c r="D6390" s="1"/>
      <c r="E6390" s="1"/>
      <c r="F6390" s="1" t="str">
        <f>IFERROR(__xludf.DUMMYFUNCTION("GOOGLETRANSLATE(B6390, ""en"", ""fa"")
"),"موفقیت آمازون")</f>
        <v>موفقیت آمازون</v>
      </c>
      <c r="G6390" s="1" t="str">
        <f>IFERROR(__xludf.DUMMYFUNCTION("GOOGLETRANSLATE(C6390, ""en"", ""fa"")
"),"بهترین روش ها برای استفاده از برنامه Vine Amazon برای ایجاد نظرات اولیه و ایجاد اعتبار محصول چیست؟")</f>
        <v>بهترین روش ها برای استفاده از برنامه Vine Amazon برای ایجاد نظرات اولیه و ایجاد اعتبار محصول چیست؟</v>
      </c>
      <c r="H6390" s="1"/>
      <c r="I6390" s="1"/>
      <c r="J6390" s="1"/>
      <c r="K6390" s="1"/>
      <c r="L6390" s="1"/>
      <c r="M6390" s="1"/>
      <c r="N6390" s="1"/>
      <c r="O6390" s="1"/>
      <c r="P6390" s="1"/>
      <c r="Q6390" s="1"/>
      <c r="R6390" s="1"/>
      <c r="S6390" s="1"/>
      <c r="T6390" s="1"/>
      <c r="U6390" s="1"/>
      <c r="V6390" s="1"/>
      <c r="W6390" s="1"/>
      <c r="X6390" s="1"/>
      <c r="Y6390" s="1"/>
      <c r="Z6390" s="1"/>
      <c r="AA6390" s="1"/>
      <c r="AB6390" s="1"/>
    </row>
    <row r="6391" ht="50.25" customHeight="1">
      <c r="A6391" s="12">
        <v>6387.0</v>
      </c>
      <c r="B6391" s="13" t="s">
        <v>6141</v>
      </c>
      <c r="C6391" s="14" t="s">
        <v>6414</v>
      </c>
      <c r="D6391" s="1"/>
      <c r="E6391" s="1"/>
      <c r="F6391" s="1" t="str">
        <f>IFERROR(__xludf.DUMMYFUNCTION("GOOGLETRANSLATE(B6391, ""en"", ""fa"")
"),"موفقیت آمازون")</f>
        <v>موفقیت آمازون</v>
      </c>
      <c r="G6391" s="1" t="str">
        <f>IFERROR(__xludf.DUMMYFUNCTION("GOOGLETRANSLATE(C6391, ""en"", ""fa"")
"),"اهمیت بهینه سازی قیمت گذاری محصول و ارائه معاملات رقابتی برای جذب مشتری را توضیح دهید.")</f>
        <v>اهمیت بهینه سازی قیمت گذاری محصول و ارائه معاملات رقابتی برای جذب مشتری را توضیح دهید.</v>
      </c>
      <c r="H6391" s="1"/>
      <c r="I6391" s="1"/>
      <c r="J6391" s="1"/>
      <c r="K6391" s="1"/>
      <c r="L6391" s="1"/>
      <c r="M6391" s="1"/>
      <c r="N6391" s="1"/>
      <c r="O6391" s="1"/>
      <c r="P6391" s="1"/>
      <c r="Q6391" s="1"/>
      <c r="R6391" s="1"/>
      <c r="S6391" s="1"/>
      <c r="T6391" s="1"/>
      <c r="U6391" s="1"/>
      <c r="V6391" s="1"/>
      <c r="W6391" s="1"/>
      <c r="X6391" s="1"/>
      <c r="Y6391" s="1"/>
      <c r="Z6391" s="1"/>
      <c r="AA6391" s="1"/>
      <c r="AB6391" s="1"/>
    </row>
    <row r="6392" ht="50.25" customHeight="1">
      <c r="A6392" s="12">
        <v>6388.0</v>
      </c>
      <c r="B6392" s="13" t="s">
        <v>6141</v>
      </c>
      <c r="C6392" s="14" t="s">
        <v>6415</v>
      </c>
      <c r="D6392" s="1"/>
      <c r="E6392" s="1"/>
      <c r="F6392" s="1" t="str">
        <f>IFERROR(__xludf.DUMMYFUNCTION("GOOGLETRANSLATE(B6392, ""en"", ""fa"")
"),"موفقیت آمازون")</f>
        <v>موفقیت آمازون</v>
      </c>
      <c r="G6392" s="1" t="str">
        <f>IFERROR(__xludf.DUMMYFUNCTION("GOOGLETRANSLATE(C6392, ""en"", ""fa"")
"),"چگونه فروشندگان می توانند از تقسیم بندی مشتری و هدف گذاری برای ایجاد کمپین های تبلیغاتی شخصی استفاده کنند؟")</f>
        <v>چگونه فروشندگان می توانند از تقسیم بندی مشتری و هدف گذاری برای ایجاد کمپین های تبلیغاتی شخصی استفاده کنند؟</v>
      </c>
      <c r="H6392" s="1"/>
      <c r="I6392" s="1"/>
      <c r="J6392" s="1"/>
      <c r="K6392" s="1"/>
      <c r="L6392" s="1"/>
      <c r="M6392" s="1"/>
      <c r="N6392" s="1"/>
      <c r="O6392" s="1"/>
      <c r="P6392" s="1"/>
      <c r="Q6392" s="1"/>
      <c r="R6392" s="1"/>
      <c r="S6392" s="1"/>
      <c r="T6392" s="1"/>
      <c r="U6392" s="1"/>
      <c r="V6392" s="1"/>
      <c r="W6392" s="1"/>
      <c r="X6392" s="1"/>
      <c r="Y6392" s="1"/>
      <c r="Z6392" s="1"/>
      <c r="AA6392" s="1"/>
      <c r="AB6392" s="1"/>
    </row>
    <row r="6393" ht="50.25" customHeight="1">
      <c r="A6393" s="12">
        <v>6389.0</v>
      </c>
      <c r="B6393" s="13" t="s">
        <v>6141</v>
      </c>
      <c r="C6393" s="14" t="s">
        <v>6416</v>
      </c>
      <c r="D6393" s="1"/>
      <c r="E6393" s="1"/>
      <c r="F6393" s="1" t="str">
        <f>IFERROR(__xludf.DUMMYFUNCTION("GOOGLETRANSLATE(B6393, ""en"", ""fa"")
"),"موفقیت آمازون")</f>
        <v>موفقیت آمازون</v>
      </c>
      <c r="G6393" s="1" t="str">
        <f>IFERROR(__xludf.DUMMYFUNCTION("GOOGLETRANSLATE(C6393, ""en"", ""fa"")
"),"در مورد اهمیت اجرای هدایا و مسابقات محصول برای ایجاد سر و صدا و جذب مشتریان جدید بحث کنید.")</f>
        <v>در مورد اهمیت اجرای هدایا و مسابقات محصول برای ایجاد سر و صدا و جذب مشتریان جدید بحث کنید.</v>
      </c>
      <c r="H6393" s="1"/>
      <c r="I6393" s="1"/>
      <c r="J6393" s="1"/>
      <c r="K6393" s="1"/>
      <c r="L6393" s="1"/>
      <c r="M6393" s="1"/>
      <c r="N6393" s="1"/>
      <c r="O6393" s="1"/>
      <c r="P6393" s="1"/>
      <c r="Q6393" s="1"/>
      <c r="R6393" s="1"/>
      <c r="S6393" s="1"/>
      <c r="T6393" s="1"/>
      <c r="U6393" s="1"/>
      <c r="V6393" s="1"/>
      <c r="W6393" s="1"/>
      <c r="X6393" s="1"/>
      <c r="Y6393" s="1"/>
      <c r="Z6393" s="1"/>
      <c r="AA6393" s="1"/>
      <c r="AB6393" s="1"/>
    </row>
    <row r="6394" ht="50.25" customHeight="1">
      <c r="A6394" s="12">
        <v>6390.0</v>
      </c>
      <c r="B6394" s="13" t="s">
        <v>6141</v>
      </c>
      <c r="C6394" s="14" t="s">
        <v>6417</v>
      </c>
      <c r="D6394" s="1"/>
      <c r="E6394" s="1"/>
      <c r="F6394" s="1" t="str">
        <f>IFERROR(__xludf.DUMMYFUNCTION("GOOGLETRANSLATE(B6394, ""en"", ""fa"")
"),"موفقیت آمازون")</f>
        <v>موفقیت آمازون</v>
      </c>
      <c r="G6394" s="1" t="str">
        <f>IFERROR(__xludf.DUMMYFUNCTION("GOOGLETRANSLATE(C6394, ""en"", ""fa"")
"),"نکاتی را برای استفاده از پلتفرم های اینفلوئنسر مارکتینگ برای ارتباط با اینفلوئنسرهای مرتبط در جایگاه خود به اشتراک بگذارید.")</f>
        <v>نکاتی را برای استفاده از پلتفرم های اینفلوئنسر مارکتینگ برای ارتباط با اینفلوئنسرهای مرتبط در جایگاه خود به اشتراک بگذارید.</v>
      </c>
      <c r="H6394" s="1"/>
      <c r="I6394" s="1"/>
      <c r="J6394" s="1"/>
      <c r="K6394" s="1"/>
      <c r="L6394" s="1"/>
      <c r="M6394" s="1"/>
      <c r="N6394" s="1"/>
      <c r="O6394" s="1"/>
      <c r="P6394" s="1"/>
      <c r="Q6394" s="1"/>
      <c r="R6394" s="1"/>
      <c r="S6394" s="1"/>
      <c r="T6394" s="1"/>
      <c r="U6394" s="1"/>
      <c r="V6394" s="1"/>
      <c r="W6394" s="1"/>
      <c r="X6394" s="1"/>
      <c r="Y6394" s="1"/>
      <c r="Z6394" s="1"/>
      <c r="AA6394" s="1"/>
      <c r="AB6394" s="1"/>
    </row>
    <row r="6395" ht="50.25" customHeight="1">
      <c r="A6395" s="12">
        <v>6391.0</v>
      </c>
      <c r="B6395" s="13" t="s">
        <v>6141</v>
      </c>
      <c r="C6395" s="14" t="s">
        <v>6418</v>
      </c>
      <c r="D6395" s="1"/>
      <c r="E6395" s="1"/>
      <c r="F6395" s="1" t="str">
        <f>IFERROR(__xludf.DUMMYFUNCTION("GOOGLETRANSLATE(B6395, ""en"", ""fa"")
"),"موفقیت آمازون")</f>
        <v>موفقیت آمازون</v>
      </c>
      <c r="G6395" s="1" t="str">
        <f>IFERROR(__xludf.DUMMYFUNCTION("GOOGLETRANSLATE(C6395, ""en"", ""fa"")
"),"بهترین روش‌ها برای بهینه‌سازی فهرست‌های محصولات برای جستجوی صوتی و جذب کاربران دستگاه‌های فعال‌شده با صدا چیست؟")</f>
        <v>بهترین روش‌ها برای بهینه‌سازی فهرست‌های محصولات برای جستجوی صوتی و جذب کاربران دستگاه‌های فعال‌شده با صدا چیست؟</v>
      </c>
      <c r="H6395" s="1"/>
      <c r="I6395" s="1"/>
      <c r="J6395" s="1"/>
      <c r="K6395" s="1"/>
      <c r="L6395" s="1"/>
      <c r="M6395" s="1"/>
      <c r="N6395" s="1"/>
      <c r="O6395" s="1"/>
      <c r="P6395" s="1"/>
      <c r="Q6395" s="1"/>
      <c r="R6395" s="1"/>
      <c r="S6395" s="1"/>
      <c r="T6395" s="1"/>
      <c r="U6395" s="1"/>
      <c r="V6395" s="1"/>
      <c r="W6395" s="1"/>
      <c r="X6395" s="1"/>
      <c r="Y6395" s="1"/>
      <c r="Z6395" s="1"/>
      <c r="AA6395" s="1"/>
      <c r="AB6395" s="1"/>
    </row>
    <row r="6396" ht="50.25" customHeight="1">
      <c r="A6396" s="12">
        <v>6392.0</v>
      </c>
      <c r="B6396" s="13" t="s">
        <v>6141</v>
      </c>
      <c r="C6396" s="14" t="s">
        <v>6419</v>
      </c>
      <c r="D6396" s="1"/>
      <c r="E6396" s="1"/>
      <c r="F6396" s="1" t="str">
        <f>IFERROR(__xludf.DUMMYFUNCTION("GOOGLETRANSLATE(B6396, ""en"", ""fa"")
"),"موفقیت آمازون")</f>
        <v>موفقیت آمازون</v>
      </c>
      <c r="G6396" s="1" t="str">
        <f>IFERROR(__xludf.DUMMYFUNCTION("GOOGLETRANSLATE(C6396, ""en"", ""fa"")
"),"نقش بازاریابی وابسته را در هدایت ترافیک ارجاع و افزایش دید محصول توضیح دهید.")</f>
        <v>نقش بازاریابی وابسته را در هدایت ترافیک ارجاع و افزایش دید محصول توضیح دهید.</v>
      </c>
      <c r="H6396" s="1"/>
      <c r="I6396" s="1"/>
      <c r="J6396" s="1"/>
      <c r="K6396" s="1"/>
      <c r="L6396" s="1"/>
      <c r="M6396" s="1"/>
      <c r="N6396" s="1"/>
      <c r="O6396" s="1"/>
      <c r="P6396" s="1"/>
      <c r="Q6396" s="1"/>
      <c r="R6396" s="1"/>
      <c r="S6396" s="1"/>
      <c r="T6396" s="1"/>
      <c r="U6396" s="1"/>
      <c r="V6396" s="1"/>
      <c r="W6396" s="1"/>
      <c r="X6396" s="1"/>
      <c r="Y6396" s="1"/>
      <c r="Z6396" s="1"/>
      <c r="AA6396" s="1"/>
      <c r="AB6396" s="1"/>
    </row>
    <row r="6397" ht="50.25" customHeight="1">
      <c r="A6397" s="12">
        <v>6393.0</v>
      </c>
      <c r="B6397" s="13" t="s">
        <v>6141</v>
      </c>
      <c r="C6397" s="14" t="s">
        <v>6420</v>
      </c>
      <c r="D6397" s="1"/>
      <c r="E6397" s="1"/>
      <c r="F6397" s="1" t="str">
        <f>IFERROR(__xludf.DUMMYFUNCTION("GOOGLETRANSLATE(B6397, ""en"", ""fa"")
"),"موفقیت آمازون")</f>
        <v>موفقیت آمازون</v>
      </c>
      <c r="G6397" s="1" t="str">
        <f>IFERROR(__xludf.DUMMYFUNCTION("GOOGLETRANSLATE(C6397, ""en"", ""fa"")
"),"چگونه فروشندگان می توانند از داده ها و تحلیل های مشتری برای اصلاح استراتژی های تبلیغاتی و هدف قرار دادن مشتریان با ارزش استفاده کنند؟")</f>
        <v>چگونه فروشندگان می توانند از داده ها و تحلیل های مشتری برای اصلاح استراتژی های تبلیغاتی و هدف قرار دادن مشتریان با ارزش استفاده کنند؟</v>
      </c>
      <c r="H6397" s="1"/>
      <c r="I6397" s="1"/>
      <c r="J6397" s="1"/>
      <c r="K6397" s="1"/>
      <c r="L6397" s="1"/>
      <c r="M6397" s="1"/>
      <c r="N6397" s="1"/>
      <c r="O6397" s="1"/>
      <c r="P6397" s="1"/>
      <c r="Q6397" s="1"/>
      <c r="R6397" s="1"/>
      <c r="S6397" s="1"/>
      <c r="T6397" s="1"/>
      <c r="U6397" s="1"/>
      <c r="V6397" s="1"/>
      <c r="W6397" s="1"/>
      <c r="X6397" s="1"/>
      <c r="Y6397" s="1"/>
      <c r="Z6397" s="1"/>
      <c r="AA6397" s="1"/>
      <c r="AB6397" s="1"/>
    </row>
    <row r="6398" ht="50.25" customHeight="1">
      <c r="A6398" s="12">
        <v>6394.0</v>
      </c>
      <c r="B6398" s="13" t="s">
        <v>6141</v>
      </c>
      <c r="C6398" s="14" t="s">
        <v>6421</v>
      </c>
      <c r="D6398" s="1"/>
      <c r="E6398" s="1"/>
      <c r="F6398" s="1" t="str">
        <f>IFERROR(__xludf.DUMMYFUNCTION("GOOGLETRANSLATE(B6398, ""en"", ""fa"")
"),"موفقیت آمازون")</f>
        <v>موفقیت آمازون</v>
      </c>
      <c r="G6398" s="1" t="str">
        <f>IFERROR(__xludf.DUMMYFUNCTION("GOOGLETRANSLATE(C6398, ""en"", ""fa"")
"),"در مورد اهمیت تست و آزمایش A/B در بهینه سازی کمپین های تبلیغاتی برای عملکرد بهتر بحث کنید.")</f>
        <v>در مورد اهمیت تست و آزمایش A/B در بهینه سازی کمپین های تبلیغاتی برای عملکرد بهتر بحث کنید.</v>
      </c>
      <c r="H6398" s="1"/>
      <c r="I6398" s="1"/>
      <c r="J6398" s="1"/>
      <c r="K6398" s="1"/>
      <c r="L6398" s="1"/>
      <c r="M6398" s="1"/>
      <c r="N6398" s="1"/>
      <c r="O6398" s="1"/>
      <c r="P6398" s="1"/>
      <c r="Q6398" s="1"/>
      <c r="R6398" s="1"/>
      <c r="S6398" s="1"/>
      <c r="T6398" s="1"/>
      <c r="U6398" s="1"/>
      <c r="V6398" s="1"/>
      <c r="W6398" s="1"/>
      <c r="X6398" s="1"/>
      <c r="Y6398" s="1"/>
      <c r="Z6398" s="1"/>
      <c r="AA6398" s="1"/>
      <c r="AB6398" s="1"/>
    </row>
    <row r="6399" ht="50.25" customHeight="1">
      <c r="A6399" s="12">
        <v>6395.0</v>
      </c>
      <c r="B6399" s="13" t="s">
        <v>6141</v>
      </c>
      <c r="C6399" s="14" t="s">
        <v>6422</v>
      </c>
      <c r="D6399" s="1"/>
      <c r="E6399" s="1"/>
      <c r="F6399" s="1" t="str">
        <f>IFERROR(__xludf.DUMMYFUNCTION("GOOGLETRANSLATE(B6399, ""en"", ""fa"")
"),"موفقیت آمازون")</f>
        <v>موفقیت آمازون</v>
      </c>
      <c r="G6399" s="1" t="str">
        <f>IFERROR(__xludf.DUMMYFUNCTION("GOOGLETRANSLATE(C6399, ""en"", ""fa"")
"),"اهمیت استفاده از کلمات کلیدی توصیفی و مرتبط محصول را در عبارات جستجوی باطنی برای بهبود دید جستجو توضیح دهید.")</f>
        <v>اهمیت استفاده از کلمات کلیدی توصیفی و مرتبط محصول را در عبارات جستجوی باطنی برای بهبود دید جستجو توضیح دهید.</v>
      </c>
      <c r="H6399" s="1"/>
      <c r="I6399" s="1"/>
      <c r="J6399" s="1"/>
      <c r="K6399" s="1"/>
      <c r="L6399" s="1"/>
      <c r="M6399" s="1"/>
      <c r="N6399" s="1"/>
      <c r="O6399" s="1"/>
      <c r="P6399" s="1"/>
      <c r="Q6399" s="1"/>
      <c r="R6399" s="1"/>
      <c r="S6399" s="1"/>
      <c r="T6399" s="1"/>
      <c r="U6399" s="1"/>
      <c r="V6399" s="1"/>
      <c r="W6399" s="1"/>
      <c r="X6399" s="1"/>
      <c r="Y6399" s="1"/>
      <c r="Z6399" s="1"/>
      <c r="AA6399" s="1"/>
      <c r="AB6399" s="1"/>
    </row>
    <row r="6400" ht="50.25" customHeight="1">
      <c r="A6400" s="12">
        <v>6396.0</v>
      </c>
      <c r="B6400" s="13" t="s">
        <v>6141</v>
      </c>
      <c r="C6400" s="14" t="s">
        <v>6423</v>
      </c>
      <c r="D6400" s="1"/>
      <c r="E6400" s="1"/>
      <c r="F6400" s="1" t="str">
        <f>IFERROR(__xludf.DUMMYFUNCTION("GOOGLETRANSLATE(B6400, ""en"", ""fa"")
"),"موفقیت آمازون")</f>
        <v>موفقیت آمازون</v>
      </c>
      <c r="G6400" s="1" t="str">
        <f>IFERROR(__xludf.DUMMYFUNCTION("GOOGLETRANSLATE(C6400, ""en"", ""fa"")
"),"چگونه فروشندگان می توانند از پلتفرم های رسانه های اجتماعی و وب سایت های خارجی برای افزایش ترافیک و بهبود بهینه سازی موتور جستجو در آمازون استفاده کنند؟")</f>
        <v>چگونه فروشندگان می توانند از پلتفرم های رسانه های اجتماعی و وب سایت های خارجی برای افزایش ترافیک و بهبود بهینه سازی موتور جستجو در آمازون استفاده کنند؟</v>
      </c>
      <c r="H6400" s="1"/>
      <c r="I6400" s="1"/>
      <c r="J6400" s="1"/>
      <c r="K6400" s="1"/>
      <c r="L6400" s="1"/>
      <c r="M6400" s="1"/>
      <c r="N6400" s="1"/>
      <c r="O6400" s="1"/>
      <c r="P6400" s="1"/>
      <c r="Q6400" s="1"/>
      <c r="R6400" s="1"/>
      <c r="S6400" s="1"/>
      <c r="T6400" s="1"/>
      <c r="U6400" s="1"/>
      <c r="V6400" s="1"/>
      <c r="W6400" s="1"/>
      <c r="X6400" s="1"/>
      <c r="Y6400" s="1"/>
      <c r="Z6400" s="1"/>
      <c r="AA6400" s="1"/>
      <c r="AB6400" s="1"/>
    </row>
    <row r="6401" ht="50.25" customHeight="1">
      <c r="A6401" s="12">
        <v>6397.0</v>
      </c>
      <c r="B6401" s="13" t="s">
        <v>6141</v>
      </c>
      <c r="C6401" s="14" t="s">
        <v>6424</v>
      </c>
      <c r="D6401" s="1"/>
      <c r="E6401" s="1"/>
      <c r="F6401" s="1" t="str">
        <f>IFERROR(__xludf.DUMMYFUNCTION("GOOGLETRANSLATE(B6401, ""en"", ""fa"")
"),"موفقیت آمازون")</f>
        <v>موفقیت آمازون</v>
      </c>
      <c r="G6401" s="1" t="str">
        <f>IFERROR(__xludf.DUMMYFUNCTION("GOOGLETRANSLATE(C6401, ""en"", ""fa"")
"),"در مورد اهمیت نظارت و پاسخ به سؤالات و نظرات مشتریان برای افزایش ارتباط و دیده شدن جستجو بحث کنید.")</f>
        <v>در مورد اهمیت نظارت و پاسخ به سؤالات و نظرات مشتریان برای افزایش ارتباط و دیده شدن جستجو بحث کنید.</v>
      </c>
      <c r="H6401" s="1"/>
      <c r="I6401" s="1"/>
      <c r="J6401" s="1"/>
      <c r="K6401" s="1"/>
      <c r="L6401" s="1"/>
      <c r="M6401" s="1"/>
      <c r="N6401" s="1"/>
      <c r="O6401" s="1"/>
      <c r="P6401" s="1"/>
      <c r="Q6401" s="1"/>
      <c r="R6401" s="1"/>
      <c r="S6401" s="1"/>
      <c r="T6401" s="1"/>
      <c r="U6401" s="1"/>
      <c r="V6401" s="1"/>
      <c r="W6401" s="1"/>
      <c r="X6401" s="1"/>
      <c r="Y6401" s="1"/>
      <c r="Z6401" s="1"/>
      <c r="AA6401" s="1"/>
      <c r="AB6401" s="1"/>
    </row>
    <row r="6402" ht="50.25" customHeight="1">
      <c r="A6402" s="12">
        <v>6398.0</v>
      </c>
      <c r="B6402" s="13" t="s">
        <v>6141</v>
      </c>
      <c r="C6402" s="14" t="s">
        <v>6425</v>
      </c>
      <c r="D6402" s="1"/>
      <c r="E6402" s="1"/>
      <c r="F6402" s="1" t="str">
        <f>IFERROR(__xludf.DUMMYFUNCTION("GOOGLETRANSLATE(B6402, ""en"", ""fa"")
"),"موفقیت آمازون")</f>
        <v>موفقیت آمازون</v>
      </c>
      <c r="G6402" s="1" t="str">
        <f>IFERROR(__xludf.DUMMYFUNCTION("GOOGLETRANSLATE(C6402, ""en"", ""fa"")
"),"نکاتی را برای بهینه سازی لیست محصولات برای سؤالات متداول (سؤالات متداول) برای بهبود بهینه سازی موتور جستجو به اشتراک بگذارید.")</f>
        <v>نکاتی را برای بهینه سازی لیست محصولات برای سؤالات متداول (سؤالات متداول) برای بهبود بهینه سازی موتور جستجو به اشتراک بگذارید.</v>
      </c>
      <c r="H6402" s="1"/>
      <c r="I6402" s="1"/>
      <c r="J6402" s="1"/>
      <c r="K6402" s="1"/>
      <c r="L6402" s="1"/>
      <c r="M6402" s="1"/>
      <c r="N6402" s="1"/>
      <c r="O6402" s="1"/>
      <c r="P6402" s="1"/>
      <c r="Q6402" s="1"/>
      <c r="R6402" s="1"/>
      <c r="S6402" s="1"/>
      <c r="T6402" s="1"/>
      <c r="U6402" s="1"/>
      <c r="V6402" s="1"/>
      <c r="W6402" s="1"/>
      <c r="X6402" s="1"/>
      <c r="Y6402" s="1"/>
      <c r="Z6402" s="1"/>
      <c r="AA6402" s="1"/>
      <c r="AB6402" s="1"/>
    </row>
    <row r="6403" ht="50.25" customHeight="1">
      <c r="A6403" s="12">
        <v>6399.0</v>
      </c>
      <c r="B6403" s="13" t="s">
        <v>6141</v>
      </c>
      <c r="C6403" s="14" t="s">
        <v>6426</v>
      </c>
      <c r="D6403" s="1"/>
      <c r="E6403" s="1"/>
      <c r="F6403" s="1" t="str">
        <f>IFERROR(__xludf.DUMMYFUNCTION("GOOGLETRANSLATE(B6403, ""en"", ""fa"")
"),"موفقیت آمازون")</f>
        <v>موفقیت آمازون</v>
      </c>
      <c r="G6403" s="1" t="str">
        <f>IFERROR(__xludf.DUMMYFUNCTION("GOOGLETRANSLATE(C6403, ""en"", ""fa"")
"),"بهترین روش‌ها برای بهینه‌سازی فهرست‌های محصولات برای دسته‌های خاص محصولات آمازون، مانند کتاب، لوازم الکترونیکی یا کالاهای خانگی چیست؟")</f>
        <v>بهترین روش‌ها برای بهینه‌سازی فهرست‌های محصولات برای دسته‌های خاص محصولات آمازون، مانند کتاب، لوازم الکترونیکی یا کالاهای خانگی چیست؟</v>
      </c>
      <c r="H6403" s="1"/>
      <c r="I6403" s="1"/>
      <c r="J6403" s="1"/>
      <c r="K6403" s="1"/>
      <c r="L6403" s="1"/>
      <c r="M6403" s="1"/>
      <c r="N6403" s="1"/>
      <c r="O6403" s="1"/>
      <c r="P6403" s="1"/>
      <c r="Q6403" s="1"/>
      <c r="R6403" s="1"/>
      <c r="S6403" s="1"/>
      <c r="T6403" s="1"/>
      <c r="U6403" s="1"/>
      <c r="V6403" s="1"/>
      <c r="W6403" s="1"/>
      <c r="X6403" s="1"/>
      <c r="Y6403" s="1"/>
      <c r="Z6403" s="1"/>
      <c r="AA6403" s="1"/>
      <c r="AB6403" s="1"/>
    </row>
    <row r="6404" ht="50.25" customHeight="1">
      <c r="A6404" s="12">
        <v>6400.0</v>
      </c>
      <c r="B6404" s="13" t="s">
        <v>6141</v>
      </c>
      <c r="C6404" s="14" t="s">
        <v>6427</v>
      </c>
      <c r="D6404" s="1"/>
      <c r="E6404" s="1"/>
      <c r="F6404" s="1" t="str">
        <f>IFERROR(__xludf.DUMMYFUNCTION("GOOGLETRANSLATE(B6404, ""en"", ""fa"")
"),"موفقیت آمازون")</f>
        <v>موفقیت آمازون</v>
      </c>
      <c r="G6404" s="1" t="str">
        <f>IFERROR(__xludf.DUMMYFUNCTION("GOOGLETRANSLATE(C6404, ""en"", ""fa"")
"),"نقش بهینه سازی لیست محصولات را برای مکان های جغرافیایی خاص برای هدف قرار دادن مشتریان محلی و بهبود دید جستجو توضیح دهید.")</f>
        <v>نقش بهینه سازی لیست محصولات را برای مکان های جغرافیایی خاص برای هدف قرار دادن مشتریان محلی و بهبود دید جستجو توضیح دهید.</v>
      </c>
      <c r="H6404" s="1"/>
      <c r="I6404" s="1"/>
      <c r="J6404" s="1"/>
      <c r="K6404" s="1"/>
      <c r="L6404" s="1"/>
      <c r="M6404" s="1"/>
      <c r="N6404" s="1"/>
      <c r="O6404" s="1"/>
      <c r="P6404" s="1"/>
      <c r="Q6404" s="1"/>
      <c r="R6404" s="1"/>
      <c r="S6404" s="1"/>
      <c r="T6404" s="1"/>
      <c r="U6404" s="1"/>
      <c r="V6404" s="1"/>
      <c r="W6404" s="1"/>
      <c r="X6404" s="1"/>
      <c r="Y6404" s="1"/>
      <c r="Z6404" s="1"/>
      <c r="AA6404" s="1"/>
      <c r="AB6404" s="1"/>
    </row>
    <row r="6405" ht="50.25" customHeight="1">
      <c r="A6405" s="12">
        <v>6401.0</v>
      </c>
      <c r="B6405" s="13" t="s">
        <v>6141</v>
      </c>
      <c r="C6405" s="14" t="s">
        <v>6428</v>
      </c>
      <c r="D6405" s="1"/>
      <c r="E6405" s="1"/>
      <c r="F6405" s="1" t="str">
        <f>IFERROR(__xludf.DUMMYFUNCTION("GOOGLETRANSLATE(B6405, ""en"", ""fa"")
"),"موفقیت آمازون")</f>
        <v>موفقیت آمازون</v>
      </c>
      <c r="G6405" s="1" t="str">
        <f>IFERROR(__xludf.DUMMYFUNCTION("GOOGLETRANSLATE(C6405, ""en"", ""fa"")
"),"چگونه فروشندگان می توانند از عناوین و توضیحات محصول غنی از کلمات کلیدی برای بهبود رتبه بندی جستجو در موتورهای جستجوی خارجی مانند گوگل استفاده کنند؟")</f>
        <v>چگونه فروشندگان می توانند از عناوین و توضیحات محصول غنی از کلمات کلیدی برای بهبود رتبه بندی جستجو در موتورهای جستجوی خارجی مانند گوگل استفاده کنند؟</v>
      </c>
      <c r="H6405" s="1"/>
      <c r="I6405" s="1"/>
      <c r="J6405" s="1"/>
      <c r="K6405" s="1"/>
      <c r="L6405" s="1"/>
      <c r="M6405" s="1"/>
      <c r="N6405" s="1"/>
      <c r="O6405" s="1"/>
      <c r="P6405" s="1"/>
      <c r="Q6405" s="1"/>
      <c r="R6405" s="1"/>
      <c r="S6405" s="1"/>
      <c r="T6405" s="1"/>
      <c r="U6405" s="1"/>
      <c r="V6405" s="1"/>
      <c r="W6405" s="1"/>
      <c r="X6405" s="1"/>
      <c r="Y6405" s="1"/>
      <c r="Z6405" s="1"/>
      <c r="AA6405" s="1"/>
      <c r="AB6405" s="1"/>
    </row>
    <row r="6406" ht="50.25" customHeight="1">
      <c r="A6406" s="12">
        <v>6402.0</v>
      </c>
      <c r="B6406" s="13" t="s">
        <v>6141</v>
      </c>
      <c r="C6406" s="14" t="s">
        <v>6429</v>
      </c>
      <c r="D6406" s="1"/>
      <c r="E6406" s="1"/>
      <c r="F6406" s="1" t="str">
        <f>IFERROR(__xludf.DUMMYFUNCTION("GOOGLETRANSLATE(B6406, ""en"", ""fa"")
"),"موفقیت آمازون")</f>
        <v>موفقیت آمازون</v>
      </c>
      <c r="G6406" s="1" t="str">
        <f>IFERROR(__xludf.DUMMYFUNCTION("GOOGLETRANSLATE(C6406, ""en"", ""fa"")
"),"در مورد اهمیت استفاده از ویدیوهای محصول با کیفیت بالا و بهینه سازی کلمات کلیدی برای افزایش بهینه سازی موتور جستجو در آمازون بحث کنید.")</f>
        <v>در مورد اهمیت استفاده از ویدیوهای محصول با کیفیت بالا و بهینه سازی کلمات کلیدی برای افزایش بهینه سازی موتور جستجو در آمازون بحث کنید.</v>
      </c>
      <c r="H6406" s="1"/>
      <c r="I6406" s="1"/>
      <c r="J6406" s="1"/>
      <c r="K6406" s="1"/>
      <c r="L6406" s="1"/>
      <c r="M6406" s="1"/>
      <c r="N6406" s="1"/>
      <c r="O6406" s="1"/>
      <c r="P6406" s="1"/>
      <c r="Q6406" s="1"/>
      <c r="R6406" s="1"/>
      <c r="S6406" s="1"/>
      <c r="T6406" s="1"/>
      <c r="U6406" s="1"/>
      <c r="V6406" s="1"/>
      <c r="W6406" s="1"/>
      <c r="X6406" s="1"/>
      <c r="Y6406" s="1"/>
      <c r="Z6406" s="1"/>
      <c r="AA6406" s="1"/>
      <c r="AB6406" s="1"/>
    </row>
    <row r="6407" ht="50.25" customHeight="1">
      <c r="A6407" s="12">
        <v>6403.0</v>
      </c>
      <c r="B6407" s="13" t="s">
        <v>6141</v>
      </c>
      <c r="C6407" s="14" t="s">
        <v>6430</v>
      </c>
      <c r="D6407" s="1"/>
      <c r="E6407" s="1"/>
      <c r="F6407" s="1" t="str">
        <f>IFERROR(__xludf.DUMMYFUNCTION("GOOGLETRANSLATE(B6407, ""en"", ""fa"")
"),"موفقیت آمازون")</f>
        <v>موفقیت آمازون</v>
      </c>
      <c r="G6407" s="1" t="str">
        <f>IFERROR(__xludf.DUMMYFUNCTION("GOOGLETRANSLATE(C6407, ""en"", ""fa"")
"),"ملاحظات کلیدی هنگام بهینه سازی لیست محصولات برای الگوریتم های توصیه آمازون، مانند Frequently Bought Together یا مشتریانی که این را خریدند، چیست؟")</f>
        <v>ملاحظات کلیدی هنگام بهینه سازی لیست محصولات برای الگوریتم های توصیه آمازون، مانند Frequently Bought Together یا مشتریانی که این را خریدند، چیست؟</v>
      </c>
      <c r="H6407" s="1"/>
      <c r="I6407" s="1"/>
      <c r="J6407" s="1"/>
      <c r="K6407" s="1"/>
      <c r="L6407" s="1"/>
      <c r="M6407" s="1"/>
      <c r="N6407" s="1"/>
      <c r="O6407" s="1"/>
      <c r="P6407" s="1"/>
      <c r="Q6407" s="1"/>
      <c r="R6407" s="1"/>
      <c r="S6407" s="1"/>
      <c r="T6407" s="1"/>
      <c r="U6407" s="1"/>
      <c r="V6407" s="1"/>
      <c r="W6407" s="1"/>
      <c r="X6407" s="1"/>
      <c r="Y6407" s="1"/>
      <c r="Z6407" s="1"/>
      <c r="AA6407" s="1"/>
      <c r="AB6407" s="1"/>
    </row>
    <row r="6408" ht="50.25" customHeight="1">
      <c r="A6408" s="12">
        <v>6404.0</v>
      </c>
      <c r="B6408" s="13" t="s">
        <v>6141</v>
      </c>
      <c r="C6408" s="14" t="s">
        <v>6431</v>
      </c>
      <c r="D6408" s="1"/>
      <c r="E6408" s="1"/>
      <c r="F6408" s="1" t="str">
        <f>IFERROR(__xludf.DUMMYFUNCTION("GOOGLETRANSLATE(B6408, ""en"", ""fa"")
"),"موفقیت آمازون")</f>
        <v>موفقیت آمازون</v>
      </c>
      <c r="G6408" s="1" t="str">
        <f>IFERROR(__xludf.DUMMYFUNCTION("GOOGLETRANSLATE(C6408, ""en"", ""fa"")
"),"در مورد نحوه بهینه سازی موثر لیست محصولات برای نتایج جستجو در برنامه تلفن همراه آمازون، بینش هایی را به اشتراک بگذارید.")</f>
        <v>در مورد نحوه بهینه سازی موثر لیست محصولات برای نتایج جستجو در برنامه تلفن همراه آمازون، بینش هایی را به اشتراک بگذارید.</v>
      </c>
      <c r="H6408" s="1"/>
      <c r="I6408" s="1"/>
      <c r="J6408" s="1"/>
      <c r="K6408" s="1"/>
      <c r="L6408" s="1"/>
      <c r="M6408" s="1"/>
      <c r="N6408" s="1"/>
      <c r="O6408" s="1"/>
      <c r="P6408" s="1"/>
      <c r="Q6408" s="1"/>
      <c r="R6408" s="1"/>
      <c r="S6408" s="1"/>
      <c r="T6408" s="1"/>
      <c r="U6408" s="1"/>
      <c r="V6408" s="1"/>
      <c r="W6408" s="1"/>
      <c r="X6408" s="1"/>
      <c r="Y6408" s="1"/>
      <c r="Z6408" s="1"/>
      <c r="AA6408" s="1"/>
      <c r="AB6408" s="1"/>
    </row>
    <row r="6409" ht="50.25" customHeight="1">
      <c r="A6409" s="12">
        <v>6405.0</v>
      </c>
      <c r="B6409" s="13" t="s">
        <v>6141</v>
      </c>
      <c r="C6409" s="14" t="s">
        <v>6432</v>
      </c>
      <c r="D6409" s="1"/>
      <c r="E6409" s="1"/>
      <c r="F6409" s="1" t="str">
        <f>IFERROR(__xludf.DUMMYFUNCTION("GOOGLETRANSLATE(B6409, ""en"", ""fa"")
"),"موفقیت آمازون")</f>
        <v>موفقیت آمازون</v>
      </c>
      <c r="G6409" s="1" t="str">
        <f>IFERROR(__xludf.DUMMYFUNCTION("GOOGLETRANSLATE(C6409, ""en"", ""fa"")
"),"چگونه فروشندگان می توانند از استراتژی های سئو خارجی مانند لینک سازی و بازاریابی محتوا برای بهبود بهینه سازی موتور جستجو در آمازون استفاده کنند؟")</f>
        <v>چگونه فروشندگان می توانند از استراتژی های سئو خارجی مانند لینک سازی و بازاریابی محتوا برای بهبود بهینه سازی موتور جستجو در آمازون استفاده کنند؟</v>
      </c>
      <c r="H6409" s="1"/>
      <c r="I6409" s="1"/>
      <c r="J6409" s="1"/>
      <c r="K6409" s="1"/>
      <c r="L6409" s="1"/>
      <c r="M6409" s="1"/>
      <c r="N6409" s="1"/>
      <c r="O6409" s="1"/>
      <c r="P6409" s="1"/>
      <c r="Q6409" s="1"/>
      <c r="R6409" s="1"/>
      <c r="S6409" s="1"/>
      <c r="T6409" s="1"/>
      <c r="U6409" s="1"/>
      <c r="V6409" s="1"/>
      <c r="W6409" s="1"/>
      <c r="X6409" s="1"/>
      <c r="Y6409" s="1"/>
      <c r="Z6409" s="1"/>
      <c r="AA6409" s="1"/>
      <c r="AB6409" s="1"/>
    </row>
    <row r="6410" ht="50.25" customHeight="1">
      <c r="A6410" s="12">
        <v>6406.0</v>
      </c>
      <c r="B6410" s="13" t="s">
        <v>6141</v>
      </c>
      <c r="C6410" s="14" t="s">
        <v>6433</v>
      </c>
      <c r="D6410" s="1"/>
      <c r="E6410" s="1"/>
      <c r="F6410" s="1" t="str">
        <f>IFERROR(__xludf.DUMMYFUNCTION("GOOGLETRANSLATE(B6410, ""en"", ""fa"")
"),"موفقیت آمازون")</f>
        <v>موفقیت آمازون</v>
      </c>
      <c r="G6410" s="1" t="str">
        <f>IFERROR(__xludf.DUMMYFUNCTION("GOOGLETRANSLATE(C6410, ""en"", ""fa"")
"),"در مورد اهمیت نظارت و تجزیه و تحلیل لیست رقبا و رتبه بندی جستجو برای شناسایی فرصت های بهینه سازی بحث کنید.")</f>
        <v>در مورد اهمیت نظارت و تجزیه و تحلیل لیست رقبا و رتبه بندی جستجو برای شناسایی فرصت های بهینه سازی بحث کنید.</v>
      </c>
      <c r="H6410" s="1"/>
      <c r="I6410" s="1"/>
      <c r="J6410" s="1"/>
      <c r="K6410" s="1"/>
      <c r="L6410" s="1"/>
      <c r="M6410" s="1"/>
      <c r="N6410" s="1"/>
      <c r="O6410" s="1"/>
      <c r="P6410" s="1"/>
      <c r="Q6410" s="1"/>
      <c r="R6410" s="1"/>
      <c r="S6410" s="1"/>
      <c r="T6410" s="1"/>
      <c r="U6410" s="1"/>
      <c r="V6410" s="1"/>
      <c r="W6410" s="1"/>
      <c r="X6410" s="1"/>
      <c r="Y6410" s="1"/>
      <c r="Z6410" s="1"/>
      <c r="AA6410" s="1"/>
      <c r="AB6410" s="1"/>
    </row>
    <row r="6411" ht="50.25" customHeight="1">
      <c r="A6411" s="12">
        <v>6407.0</v>
      </c>
      <c r="B6411" s="13" t="s">
        <v>6141</v>
      </c>
      <c r="C6411" s="14" t="s">
        <v>6434</v>
      </c>
      <c r="D6411" s="1"/>
      <c r="E6411" s="1"/>
      <c r="F6411" s="1" t="str">
        <f>IFERROR(__xludf.DUMMYFUNCTION("GOOGLETRANSLATE(B6411, ""en"", ""fa"")
"),"موفقیت آمازون")</f>
        <v>موفقیت آمازون</v>
      </c>
      <c r="G6411" s="1" t="str">
        <f>IFERROR(__xludf.DUMMYFUNCTION("GOOGLETRANSLATE(C6411, ""en"", ""fa"")
"),"اهمیت استفاده از عبارات و پرس و جوهای جستجوی مشتری در عناوین و توضیحات محصول برای ارتباط بهتر جستجو را توضیح دهید.")</f>
        <v>اهمیت استفاده از عبارات و پرس و جوهای جستجوی مشتری در عناوین و توضیحات محصول برای ارتباط بهتر جستجو را توضیح دهید.</v>
      </c>
      <c r="H6411" s="1"/>
      <c r="I6411" s="1"/>
      <c r="J6411" s="1"/>
      <c r="K6411" s="1"/>
      <c r="L6411" s="1"/>
      <c r="M6411" s="1"/>
      <c r="N6411" s="1"/>
      <c r="O6411" s="1"/>
      <c r="P6411" s="1"/>
      <c r="Q6411" s="1"/>
      <c r="R6411" s="1"/>
      <c r="S6411" s="1"/>
      <c r="T6411" s="1"/>
      <c r="U6411" s="1"/>
      <c r="V6411" s="1"/>
      <c r="W6411" s="1"/>
      <c r="X6411" s="1"/>
      <c r="Y6411" s="1"/>
      <c r="Z6411" s="1"/>
      <c r="AA6411" s="1"/>
      <c r="AB6411" s="1"/>
    </row>
    <row r="6412" ht="50.25" customHeight="1">
      <c r="A6412" s="12">
        <v>6408.0</v>
      </c>
      <c r="B6412" s="13" t="s">
        <v>6141</v>
      </c>
      <c r="C6412" s="14" t="s">
        <v>6435</v>
      </c>
      <c r="D6412" s="1"/>
      <c r="E6412" s="1"/>
      <c r="F6412" s="1" t="str">
        <f>IFERROR(__xludf.DUMMYFUNCTION("GOOGLETRANSLATE(B6412, ""en"", ""fa"")
"),"موفقیت آمازون")</f>
        <v>موفقیت آمازون</v>
      </c>
      <c r="G6412" s="1" t="str">
        <f>IFERROR(__xludf.DUMMYFUNCTION("GOOGLETRANSLATE(C6412, ""en"", ""fa"")
"),"بهترین روش ها برای استفاده از ویترین و صفحات برند آمازون برای بهبود بهینه سازی موتور جستجو چیست؟")</f>
        <v>بهترین روش ها برای استفاده از ویترین و صفحات برند آمازون برای بهبود بهینه سازی موتور جستجو چیست؟</v>
      </c>
      <c r="H6412" s="1"/>
      <c r="I6412" s="1"/>
      <c r="J6412" s="1"/>
      <c r="K6412" s="1"/>
      <c r="L6412" s="1"/>
      <c r="M6412" s="1"/>
      <c r="N6412" s="1"/>
      <c r="O6412" s="1"/>
      <c r="P6412" s="1"/>
      <c r="Q6412" s="1"/>
      <c r="R6412" s="1"/>
      <c r="S6412" s="1"/>
      <c r="T6412" s="1"/>
      <c r="U6412" s="1"/>
      <c r="V6412" s="1"/>
      <c r="W6412" s="1"/>
      <c r="X6412" s="1"/>
      <c r="Y6412" s="1"/>
      <c r="Z6412" s="1"/>
      <c r="AA6412" s="1"/>
      <c r="AB6412" s="1"/>
    </row>
    <row r="6413" ht="50.25" customHeight="1">
      <c r="A6413" s="12">
        <v>6409.0</v>
      </c>
      <c r="B6413" s="13" t="s">
        <v>6141</v>
      </c>
      <c r="C6413" s="14" t="s">
        <v>6436</v>
      </c>
      <c r="D6413" s="1"/>
      <c r="E6413" s="1"/>
      <c r="F6413" s="1" t="str">
        <f>IFERROR(__xludf.DUMMYFUNCTION("GOOGLETRANSLATE(B6413, ""en"", ""fa"")
"),"موفقیت آمازون")</f>
        <v>موفقیت آمازون</v>
      </c>
      <c r="G6413" s="1" t="str">
        <f>IFERROR(__xludf.DUMMYFUNCTION("GOOGLETRANSLATE(C6413, ""en"", ""fa"")
"),"نکاتی را برای بهینه سازی لیست محصولات برای برنامه Subscribe &amp; Save آمازون برای جذب مشتریان تکراری و بهبود دید جستجو به اشتراک بگذارید.")</f>
        <v>نکاتی را برای بهینه سازی لیست محصولات برای برنامه Subscribe &amp; Save آمازون برای جذب مشتریان تکراری و بهبود دید جستجو به اشتراک بگذارید.</v>
      </c>
      <c r="H6413" s="1"/>
      <c r="I6413" s="1"/>
      <c r="J6413" s="1"/>
      <c r="K6413" s="1"/>
      <c r="L6413" s="1"/>
      <c r="M6413" s="1"/>
      <c r="N6413" s="1"/>
      <c r="O6413" s="1"/>
      <c r="P6413" s="1"/>
      <c r="Q6413" s="1"/>
      <c r="R6413" s="1"/>
      <c r="S6413" s="1"/>
      <c r="T6413" s="1"/>
      <c r="U6413" s="1"/>
      <c r="V6413" s="1"/>
      <c r="W6413" s="1"/>
      <c r="X6413" s="1"/>
      <c r="Y6413" s="1"/>
      <c r="Z6413" s="1"/>
      <c r="AA6413" s="1"/>
      <c r="AB6413" s="1"/>
    </row>
    <row r="6414" ht="50.25" customHeight="1">
      <c r="A6414" s="12">
        <v>6410.0</v>
      </c>
      <c r="B6414" s="13" t="s">
        <v>6141</v>
      </c>
      <c r="C6414" s="14" t="s">
        <v>6437</v>
      </c>
      <c r="D6414" s="1"/>
      <c r="E6414" s="1"/>
      <c r="F6414" s="1" t="str">
        <f>IFERROR(__xludf.DUMMYFUNCTION("GOOGLETRANSLATE(B6414, ""en"", ""fa"")
"),"موفقیت آمازون")</f>
        <v>موفقیت آمازون</v>
      </c>
      <c r="G6414" s="1" t="str">
        <f>IFERROR(__xludf.DUMMYFUNCTION("GOOGLETRANSLATE(C6414, ""en"", ""fa"")
"),"چگونه فروشندگان می توانند از برنامه Vine آمازون برای ایجاد بررسی های معتبر و قابل اعتماد محصول و بهبود بهینه سازی موتور جستجو استفاده کنند؟")</f>
        <v>چگونه فروشندگان می توانند از برنامه Vine آمازون برای ایجاد بررسی های معتبر و قابل اعتماد محصول و بهبود بهینه سازی موتور جستجو استفاده کنند؟</v>
      </c>
      <c r="H6414" s="1"/>
      <c r="I6414" s="1"/>
      <c r="J6414" s="1"/>
      <c r="K6414" s="1"/>
      <c r="L6414" s="1"/>
      <c r="M6414" s="1"/>
      <c r="N6414" s="1"/>
      <c r="O6414" s="1"/>
      <c r="P6414" s="1"/>
      <c r="Q6414" s="1"/>
      <c r="R6414" s="1"/>
      <c r="S6414" s="1"/>
      <c r="T6414" s="1"/>
      <c r="U6414" s="1"/>
      <c r="V6414" s="1"/>
      <c r="W6414" s="1"/>
      <c r="X6414" s="1"/>
      <c r="Y6414" s="1"/>
      <c r="Z6414" s="1"/>
      <c r="AA6414" s="1"/>
      <c r="AB6414" s="1"/>
    </row>
    <row r="6415" ht="50.25" customHeight="1">
      <c r="A6415" s="12">
        <v>6411.0</v>
      </c>
      <c r="B6415" s="13" t="s">
        <v>6141</v>
      </c>
      <c r="C6415" s="14" t="s">
        <v>6438</v>
      </c>
      <c r="D6415" s="1"/>
      <c r="E6415" s="1"/>
      <c r="F6415" s="1" t="str">
        <f>IFERROR(__xludf.DUMMYFUNCTION("GOOGLETRANSLATE(B6415, ""en"", ""fa"")
"),"موفقیت آمازون")</f>
        <v>موفقیت آمازون</v>
      </c>
      <c r="G6415" s="1" t="str">
        <f>IFERROR(__xludf.DUMMYFUNCTION("GOOGLETRANSLATE(C6415, ""en"", ""fa"")
"),"درباره نقش بهینه‌سازی فهرست‌های محصولات برای اهداف جستجوی خاص، مانند جستجوهای اطلاعاتی، ناوبری یا معاملاتی بحث کنید.")</f>
        <v>درباره نقش بهینه‌سازی فهرست‌های محصولات برای اهداف جستجوی خاص، مانند جستجوهای اطلاعاتی، ناوبری یا معاملاتی بحث کنید.</v>
      </c>
      <c r="H6415" s="1"/>
      <c r="I6415" s="1"/>
      <c r="J6415" s="1"/>
      <c r="K6415" s="1"/>
      <c r="L6415" s="1"/>
      <c r="M6415" s="1"/>
      <c r="N6415" s="1"/>
      <c r="O6415" s="1"/>
      <c r="P6415" s="1"/>
      <c r="Q6415" s="1"/>
      <c r="R6415" s="1"/>
      <c r="S6415" s="1"/>
      <c r="T6415" s="1"/>
      <c r="U6415" s="1"/>
      <c r="V6415" s="1"/>
      <c r="W6415" s="1"/>
      <c r="X6415" s="1"/>
      <c r="Y6415" s="1"/>
      <c r="Z6415" s="1"/>
      <c r="AA6415" s="1"/>
      <c r="AB6415" s="1"/>
    </row>
    <row r="6416" ht="50.25" customHeight="1">
      <c r="A6416" s="12">
        <v>6412.0</v>
      </c>
      <c r="B6416" s="13" t="s">
        <v>6141</v>
      </c>
      <c r="C6416" s="14" t="s">
        <v>6439</v>
      </c>
      <c r="D6416" s="1"/>
      <c r="E6416" s="1"/>
      <c r="F6416" s="1" t="str">
        <f>IFERROR(__xludf.DUMMYFUNCTION("GOOGLETRANSLATE(B6416, ""en"", ""fa"")
"),"موفقیت آمازون")</f>
        <v>موفقیت آمازون</v>
      </c>
      <c r="G6416" s="1" t="str">
        <f>IFERROR(__xludf.DUMMYFUNCTION("GOOGLETRANSLATE(C6416, ""en"", ""fa"")
"),"درباره نحوه بهینه‌سازی فهرست‌های محصولات برای فیلترهای جستجوی خاص آمازون، مانند واجد شرایط بودن Prime یا رتبه‌بندی مشتریان، بینش‌هایی را به اشتراک بگذارید.")</f>
        <v>درباره نحوه بهینه‌سازی فهرست‌های محصولات برای فیلترهای جستجوی خاص آمازون، مانند واجد شرایط بودن Prime یا رتبه‌بندی مشتریان، بینش‌هایی را به اشتراک بگذارید.</v>
      </c>
      <c r="H6416" s="1"/>
      <c r="I6416" s="1"/>
      <c r="J6416" s="1"/>
      <c r="K6416" s="1"/>
      <c r="L6416" s="1"/>
      <c r="M6416" s="1"/>
      <c r="N6416" s="1"/>
      <c r="O6416" s="1"/>
      <c r="P6416" s="1"/>
      <c r="Q6416" s="1"/>
      <c r="R6416" s="1"/>
      <c r="S6416" s="1"/>
      <c r="T6416" s="1"/>
      <c r="U6416" s="1"/>
      <c r="V6416" s="1"/>
      <c r="W6416" s="1"/>
      <c r="X6416" s="1"/>
      <c r="Y6416" s="1"/>
      <c r="Z6416" s="1"/>
      <c r="AA6416" s="1"/>
      <c r="AB6416" s="1"/>
    </row>
    <row r="6417" ht="50.25" customHeight="1">
      <c r="A6417" s="12">
        <v>6413.0</v>
      </c>
      <c r="B6417" s="13" t="s">
        <v>6141</v>
      </c>
      <c r="C6417" s="14" t="s">
        <v>6440</v>
      </c>
      <c r="D6417" s="1"/>
      <c r="E6417" s="1"/>
      <c r="F6417" s="1" t="str">
        <f>IFERROR(__xludf.DUMMYFUNCTION("GOOGLETRANSLATE(B6417, ""en"", ""fa"")
"),"موفقیت آمازون")</f>
        <v>موفقیت آمازون</v>
      </c>
      <c r="G6417" s="1" t="str">
        <f>IFERROR(__xludf.DUMMYFUNCTION("GOOGLETRANSLATE(C6417, ""en"", ""fa"")
"),"ملاحظات کلیدی هنگام بهینه سازی لیست محصولات برای فرمت های تبلیغاتی خاص آمازون، مانند تبلیغات ویدیویی یا تبلیغات نمایشی، چیست؟")</f>
        <v>ملاحظات کلیدی هنگام بهینه سازی لیست محصولات برای فرمت های تبلیغاتی خاص آمازون، مانند تبلیغات ویدیویی یا تبلیغات نمایشی، چیست؟</v>
      </c>
      <c r="H6417" s="1"/>
      <c r="I6417" s="1"/>
      <c r="J6417" s="1"/>
      <c r="K6417" s="1"/>
      <c r="L6417" s="1"/>
      <c r="M6417" s="1"/>
      <c r="N6417" s="1"/>
      <c r="O6417" s="1"/>
      <c r="P6417" s="1"/>
      <c r="Q6417" s="1"/>
      <c r="R6417" s="1"/>
      <c r="S6417" s="1"/>
      <c r="T6417" s="1"/>
      <c r="U6417" s="1"/>
      <c r="V6417" s="1"/>
      <c r="W6417" s="1"/>
      <c r="X6417" s="1"/>
      <c r="Y6417" s="1"/>
      <c r="Z6417" s="1"/>
      <c r="AA6417" s="1"/>
      <c r="AB6417" s="1"/>
    </row>
    <row r="6418" ht="50.25" customHeight="1">
      <c r="A6418" s="12">
        <v>6414.0</v>
      </c>
      <c r="B6418" s="13" t="s">
        <v>6141</v>
      </c>
      <c r="C6418" s="14" t="s">
        <v>6441</v>
      </c>
      <c r="D6418" s="1"/>
      <c r="E6418" s="1"/>
      <c r="F6418" s="1" t="str">
        <f>IFERROR(__xludf.DUMMYFUNCTION("GOOGLETRANSLATE(B6418, ""en"", ""fa"")
"),"موفقیت آمازون")</f>
        <v>موفقیت آمازون</v>
      </c>
      <c r="G6418" s="1" t="str">
        <f>IFERROR(__xludf.DUMMYFUNCTION("GOOGLETRANSLATE(C6418, ""en"", ""fa"")
"),"اهمیت بهینه سازی عبارات جستجوی باطن را برای کلمات کلیدی غلط املایی یا تغییرات رایج عبارات جستجو توضیح دهید.")</f>
        <v>اهمیت بهینه سازی عبارات جستجوی باطن را برای کلمات کلیدی غلط املایی یا تغییرات رایج عبارات جستجو توضیح دهید.</v>
      </c>
      <c r="H6418" s="1"/>
      <c r="I6418" s="1"/>
      <c r="J6418" s="1"/>
      <c r="K6418" s="1"/>
      <c r="L6418" s="1"/>
      <c r="M6418" s="1"/>
      <c r="N6418" s="1"/>
      <c r="O6418" s="1"/>
      <c r="P6418" s="1"/>
      <c r="Q6418" s="1"/>
      <c r="R6418" s="1"/>
      <c r="S6418" s="1"/>
      <c r="T6418" s="1"/>
      <c r="U6418" s="1"/>
      <c r="V6418" s="1"/>
      <c r="W6418" s="1"/>
      <c r="X6418" s="1"/>
      <c r="Y6418" s="1"/>
      <c r="Z6418" s="1"/>
      <c r="AA6418" s="1"/>
      <c r="AB6418" s="1"/>
    </row>
    <row r="6419" ht="50.25" customHeight="1">
      <c r="A6419" s="12">
        <v>6415.0</v>
      </c>
      <c r="B6419" s="13" t="s">
        <v>6141</v>
      </c>
      <c r="C6419" s="14" t="s">
        <v>6442</v>
      </c>
      <c r="D6419" s="1"/>
      <c r="E6419" s="1"/>
      <c r="F6419" s="1" t="str">
        <f>IFERROR(__xludf.DUMMYFUNCTION("GOOGLETRANSLATE(B6419, ""en"", ""fa"")
"),"موفقیت آمازون")</f>
        <v>موفقیت آمازون</v>
      </c>
      <c r="G6419" s="1" t="str">
        <f>IFERROR(__xludf.DUMMYFUNCTION("GOOGLETRANSLATE(C6419, ""en"", ""fa"")
"),"چگونه فروشندگان می توانند از ابزارهای تحقیقاتی کلید واژه خارجی برای شناسایی عبارات جستجوی پرحجم و مرتبط برای محصولات خود استفاده کنند؟")</f>
        <v>چگونه فروشندگان می توانند از ابزارهای تحقیقاتی کلید واژه خارجی برای شناسایی عبارات جستجوی پرحجم و مرتبط برای محصولات خود استفاده کنند؟</v>
      </c>
      <c r="H6419" s="1"/>
      <c r="I6419" s="1"/>
      <c r="J6419" s="1"/>
      <c r="K6419" s="1"/>
      <c r="L6419" s="1"/>
      <c r="M6419" s="1"/>
      <c r="N6419" s="1"/>
      <c r="O6419" s="1"/>
      <c r="P6419" s="1"/>
      <c r="Q6419" s="1"/>
      <c r="R6419" s="1"/>
      <c r="S6419" s="1"/>
      <c r="T6419" s="1"/>
      <c r="U6419" s="1"/>
      <c r="V6419" s="1"/>
      <c r="W6419" s="1"/>
      <c r="X6419" s="1"/>
      <c r="Y6419" s="1"/>
      <c r="Z6419" s="1"/>
      <c r="AA6419" s="1"/>
      <c r="AB6419" s="1"/>
    </row>
    <row r="6420" ht="50.25" customHeight="1">
      <c r="A6420" s="12">
        <v>6416.0</v>
      </c>
      <c r="B6420" s="13" t="s">
        <v>6141</v>
      </c>
      <c r="C6420" s="14" t="s">
        <v>6443</v>
      </c>
      <c r="D6420" s="1"/>
      <c r="E6420" s="1"/>
      <c r="F6420" s="1" t="str">
        <f>IFERROR(__xludf.DUMMYFUNCTION("GOOGLETRANSLATE(B6420, ""en"", ""fa"")
"),"موفقیت آمازون")</f>
        <v>موفقیت آمازون</v>
      </c>
      <c r="G6420" s="1" t="str">
        <f>IFERROR(__xludf.DUMMYFUNCTION("GOOGLETRANSLATE(C6420, ""en"", ""fa"")
"),"در مورد اهمیت بهینه سازی لیست محصولات برای جمعیت شناسی، ترجیحات یا سبک زندگی مشتری خاص برای بهبود ارتباط جستجو بحث کنید.")</f>
        <v>در مورد اهمیت بهینه سازی لیست محصولات برای جمعیت شناسی، ترجیحات یا سبک زندگی مشتری خاص برای بهبود ارتباط جستجو بحث کنید.</v>
      </c>
      <c r="H6420" s="1"/>
      <c r="I6420" s="1"/>
      <c r="J6420" s="1"/>
      <c r="K6420" s="1"/>
      <c r="L6420" s="1"/>
      <c r="M6420" s="1"/>
      <c r="N6420" s="1"/>
      <c r="O6420" s="1"/>
      <c r="P6420" s="1"/>
      <c r="Q6420" s="1"/>
      <c r="R6420" s="1"/>
      <c r="S6420" s="1"/>
      <c r="T6420" s="1"/>
      <c r="U6420" s="1"/>
      <c r="V6420" s="1"/>
      <c r="W6420" s="1"/>
      <c r="X6420" s="1"/>
      <c r="Y6420" s="1"/>
      <c r="Z6420" s="1"/>
      <c r="AA6420" s="1"/>
      <c r="AB6420" s="1"/>
    </row>
    <row r="6421" ht="50.25" customHeight="1">
      <c r="A6421" s="12">
        <v>6417.0</v>
      </c>
      <c r="B6421" s="13" t="s">
        <v>6141</v>
      </c>
      <c r="C6421" s="14" t="s">
        <v>6444</v>
      </c>
      <c r="D6421" s="1"/>
      <c r="E6421" s="1"/>
      <c r="F6421" s="1" t="str">
        <f>IFERROR(__xludf.DUMMYFUNCTION("GOOGLETRANSLATE(B6421, ""en"", ""fa"")
"),"موفقیت آمازون")</f>
        <v>موفقیت آمازون</v>
      </c>
      <c r="G6421" s="1" t="str">
        <f>IFERROR(__xludf.DUMMYFUNCTION("GOOGLETRANSLATE(C6421, ""en"", ""fa"")
"),"نکاتی را برای بهینه سازی لیست محصولات برای برنامه های خاص آمازون، مانند Amazon Prime یا Amazon Fresh به اشتراک بگذارید.")</f>
        <v>نکاتی را برای بهینه سازی لیست محصولات برای برنامه های خاص آمازون، مانند Amazon Prime یا Amazon Fresh به اشتراک بگذارید.</v>
      </c>
      <c r="H6421" s="1"/>
      <c r="I6421" s="1"/>
      <c r="J6421" s="1"/>
      <c r="K6421" s="1"/>
      <c r="L6421" s="1"/>
      <c r="M6421" s="1"/>
      <c r="N6421" s="1"/>
      <c r="O6421" s="1"/>
      <c r="P6421" s="1"/>
      <c r="Q6421" s="1"/>
      <c r="R6421" s="1"/>
      <c r="S6421" s="1"/>
      <c r="T6421" s="1"/>
      <c r="U6421" s="1"/>
      <c r="V6421" s="1"/>
      <c r="W6421" s="1"/>
      <c r="X6421" s="1"/>
      <c r="Y6421" s="1"/>
      <c r="Z6421" s="1"/>
      <c r="AA6421" s="1"/>
      <c r="AB6421" s="1"/>
    </row>
    <row r="6422" ht="50.25" customHeight="1">
      <c r="A6422" s="12">
        <v>6418.0</v>
      </c>
      <c r="B6422" s="13" t="s">
        <v>6141</v>
      </c>
      <c r="C6422" s="14" t="s">
        <v>6445</v>
      </c>
      <c r="D6422" s="1"/>
      <c r="E6422" s="1"/>
      <c r="F6422" s="1" t="str">
        <f>IFERROR(__xludf.DUMMYFUNCTION("GOOGLETRANSLATE(B6422, ""en"", ""fa"")
"),"موفقیت آمازون")</f>
        <v>موفقیت آمازون</v>
      </c>
      <c r="G6422" s="1" t="str">
        <f>IFERROR(__xludf.DUMMYFUNCTION("GOOGLETRANSLATE(C6422, ""en"", ""fa"")
"),"بهترین روش‌ها برای بهینه‌سازی فهرست محصولات برای فیلترهای جستجوی خاص، مانند رتبه‌بندی محصول یا گزینه‌های حمل و نقل چیست؟")</f>
        <v>بهترین روش‌ها برای بهینه‌سازی فهرست محصولات برای فیلترهای جستجوی خاص، مانند رتبه‌بندی محصول یا گزینه‌های حمل و نقل چیست؟</v>
      </c>
      <c r="H6422" s="1"/>
      <c r="I6422" s="1"/>
      <c r="J6422" s="1"/>
      <c r="K6422" s="1"/>
      <c r="L6422" s="1"/>
      <c r="M6422" s="1"/>
      <c r="N6422" s="1"/>
      <c r="O6422" s="1"/>
      <c r="P6422" s="1"/>
      <c r="Q6422" s="1"/>
      <c r="R6422" s="1"/>
      <c r="S6422" s="1"/>
      <c r="T6422" s="1"/>
      <c r="U6422" s="1"/>
      <c r="V6422" s="1"/>
      <c r="W6422" s="1"/>
      <c r="X6422" s="1"/>
      <c r="Y6422" s="1"/>
      <c r="Z6422" s="1"/>
      <c r="AA6422" s="1"/>
      <c r="AB6422" s="1"/>
    </row>
    <row r="6423" ht="50.25" customHeight="1">
      <c r="A6423" s="12">
        <v>6419.0</v>
      </c>
      <c r="B6423" s="13" t="s">
        <v>6141</v>
      </c>
      <c r="C6423" s="14" t="s">
        <v>6446</v>
      </c>
      <c r="D6423" s="1"/>
      <c r="E6423" s="1"/>
      <c r="F6423" s="1" t="str">
        <f>IFERROR(__xludf.DUMMYFUNCTION("GOOGLETRANSLATE(B6423, ""en"", ""fa"")
"),"موفقیت آمازون")</f>
        <v>موفقیت آمازون</v>
      </c>
      <c r="G6423" s="1" t="str">
        <f>IFERROR(__xludf.DUMMYFUNCTION("GOOGLETRANSLATE(C6423, ""en"", ""fa"")
"),"نقش بهینه‌سازی فهرست‌های محصولات را برای بررسی‌ها و رتبه‌بندی‌های مشتریان خاص برای افزایش بهینه‌سازی موتور جستجو توضیح دهید.")</f>
        <v>نقش بهینه‌سازی فهرست‌های محصولات را برای بررسی‌ها و رتبه‌بندی‌های مشتریان خاص برای افزایش بهینه‌سازی موتور جستجو توضیح دهید.</v>
      </c>
      <c r="H6423" s="1"/>
      <c r="I6423" s="1"/>
      <c r="J6423" s="1"/>
      <c r="K6423" s="1"/>
      <c r="L6423" s="1"/>
      <c r="M6423" s="1"/>
      <c r="N6423" s="1"/>
      <c r="O6423" s="1"/>
      <c r="P6423" s="1"/>
      <c r="Q6423" s="1"/>
      <c r="R6423" s="1"/>
      <c r="S6423" s="1"/>
      <c r="T6423" s="1"/>
      <c r="U6423" s="1"/>
      <c r="V6423" s="1"/>
      <c r="W6423" s="1"/>
      <c r="X6423" s="1"/>
      <c r="Y6423" s="1"/>
      <c r="Z6423" s="1"/>
      <c r="AA6423" s="1"/>
      <c r="AB6423" s="1"/>
    </row>
    <row r="6424" ht="50.25" customHeight="1">
      <c r="A6424" s="12">
        <v>6420.0</v>
      </c>
      <c r="B6424" s="13" t="s">
        <v>6141</v>
      </c>
      <c r="C6424" s="14" t="s">
        <v>6447</v>
      </c>
      <c r="D6424" s="1"/>
      <c r="E6424" s="1"/>
      <c r="F6424" s="1" t="str">
        <f>IFERROR(__xludf.DUMMYFUNCTION("GOOGLETRANSLATE(B6424, ""en"", ""fa"")
"),"موفقیت آمازون")</f>
        <v>موفقیت آمازون</v>
      </c>
      <c r="G6424" s="1" t="str">
        <f>IFERROR(__xludf.DUMMYFUNCTION("GOOGLETRANSLATE(C6424, ""en"", ""fa"")
"),"چگونه فروشندگان می توانند از پرس و جوهای جستجوی مشتری و صدای داده های مشتری برای بهینه سازی لیست محصولات برای ارتباط جستجوی بهبود یافته استفاده کنند؟")</f>
        <v>چگونه فروشندگان می توانند از پرس و جوهای جستجوی مشتری و صدای داده های مشتری برای بهینه سازی لیست محصولات برای ارتباط جستجوی بهبود یافته استفاده کنند؟</v>
      </c>
      <c r="H6424" s="1"/>
      <c r="I6424" s="1"/>
      <c r="J6424" s="1"/>
      <c r="K6424" s="1"/>
      <c r="L6424" s="1"/>
      <c r="M6424" s="1"/>
      <c r="N6424" s="1"/>
      <c r="O6424" s="1"/>
      <c r="P6424" s="1"/>
      <c r="Q6424" s="1"/>
      <c r="R6424" s="1"/>
      <c r="S6424" s="1"/>
      <c r="T6424" s="1"/>
      <c r="U6424" s="1"/>
      <c r="V6424" s="1"/>
      <c r="W6424" s="1"/>
      <c r="X6424" s="1"/>
      <c r="Y6424" s="1"/>
      <c r="Z6424" s="1"/>
      <c r="AA6424" s="1"/>
      <c r="AB6424" s="1"/>
    </row>
    <row r="6425" ht="50.25" customHeight="1">
      <c r="A6425" s="12">
        <v>6421.0</v>
      </c>
      <c r="B6425" s="13" t="s">
        <v>6141</v>
      </c>
      <c r="C6425" s="14" t="s">
        <v>6448</v>
      </c>
      <c r="D6425" s="1"/>
      <c r="E6425" s="1"/>
      <c r="F6425" s="1" t="str">
        <f>IFERROR(__xludf.DUMMYFUNCTION("GOOGLETRANSLATE(B6425, ""en"", ""fa"")
"),"موفقیت آمازون")</f>
        <v>موفقیت آمازون</v>
      </c>
      <c r="G6425" s="1" t="str">
        <f>IFERROR(__xludf.DUMMYFUNCTION("GOOGLETRANSLATE(C6425, ""en"", ""fa"")
"),"درباره اهمیت بهینه‌سازی فهرست‌های محصول برای بسته‌های محصول یا چند بسته خاص برای جذب ترافیک جستجوی مرتبط بحث کنید.")</f>
        <v>درباره اهمیت بهینه‌سازی فهرست‌های محصول برای بسته‌های محصول یا چند بسته خاص برای جذب ترافیک جستجوی مرتبط بحث کنید.</v>
      </c>
      <c r="H6425" s="1"/>
      <c r="I6425" s="1"/>
      <c r="J6425" s="1"/>
      <c r="K6425" s="1"/>
      <c r="L6425" s="1"/>
      <c r="M6425" s="1"/>
      <c r="N6425" s="1"/>
      <c r="O6425" s="1"/>
      <c r="P6425" s="1"/>
      <c r="Q6425" s="1"/>
      <c r="R6425" s="1"/>
      <c r="S6425" s="1"/>
      <c r="T6425" s="1"/>
      <c r="U6425" s="1"/>
      <c r="V6425" s="1"/>
      <c r="W6425" s="1"/>
      <c r="X6425" s="1"/>
      <c r="Y6425" s="1"/>
      <c r="Z6425" s="1"/>
      <c r="AA6425" s="1"/>
      <c r="AB6425" s="1"/>
    </row>
    <row r="6426" ht="50.25" customHeight="1">
      <c r="A6426" s="12">
        <v>6422.0</v>
      </c>
      <c r="B6426" s="13" t="s">
        <v>6141</v>
      </c>
      <c r="C6426" s="14" t="s">
        <v>6449</v>
      </c>
      <c r="D6426" s="1"/>
      <c r="E6426" s="1"/>
      <c r="F6426" s="1" t="str">
        <f>IFERROR(__xludf.DUMMYFUNCTION("GOOGLETRANSLATE(B6426, ""en"", ""fa"")
"),"موفقیت آمازون")</f>
        <v>موفقیت آمازون</v>
      </c>
      <c r="G6426" s="1" t="str">
        <f>IFERROR(__xludf.DUMMYFUNCTION("GOOGLETRANSLATE(C6426, ""en"", ""fa"")
"),"درباره نحوه بهینه‌سازی فهرست‌های محصولات برای عبارات جستجوی خاص که توسط خریداران حرفه‌ای یا مشتریان B2B استفاده می‌شود، بینش‌هایی را به اشتراک بگذارید.")</f>
        <v>درباره نحوه بهینه‌سازی فهرست‌های محصولات برای عبارات جستجوی خاص که توسط خریداران حرفه‌ای یا مشتریان B2B استفاده می‌شود، بینش‌هایی را به اشتراک بگذارید.</v>
      </c>
      <c r="H6426" s="1"/>
      <c r="I6426" s="1"/>
      <c r="J6426" s="1"/>
      <c r="K6426" s="1"/>
      <c r="L6426" s="1"/>
      <c r="M6426" s="1"/>
      <c r="N6426" s="1"/>
      <c r="O6426" s="1"/>
      <c r="P6426" s="1"/>
      <c r="Q6426" s="1"/>
      <c r="R6426" s="1"/>
      <c r="S6426" s="1"/>
      <c r="T6426" s="1"/>
      <c r="U6426" s="1"/>
      <c r="V6426" s="1"/>
      <c r="W6426" s="1"/>
      <c r="X6426" s="1"/>
      <c r="Y6426" s="1"/>
      <c r="Z6426" s="1"/>
      <c r="AA6426" s="1"/>
      <c r="AB6426" s="1"/>
    </row>
    <row r="6427" ht="50.25" customHeight="1">
      <c r="A6427" s="12">
        <v>6423.0</v>
      </c>
      <c r="B6427" s="13" t="s">
        <v>6141</v>
      </c>
      <c r="C6427" s="14" t="s">
        <v>6450</v>
      </c>
      <c r="D6427" s="1"/>
      <c r="E6427" s="1"/>
      <c r="F6427" s="1" t="str">
        <f>IFERROR(__xludf.DUMMYFUNCTION("GOOGLETRANSLATE(B6427, ""en"", ""fa"")
"),"موفقیت آمازون")</f>
        <v>موفقیت آمازون</v>
      </c>
      <c r="G6427" s="1" t="str">
        <f>IFERROR(__xludf.DUMMYFUNCTION("GOOGLETRANSLATE(C6427, ""en"", ""fa"")
"),"ملاحظات کلیدی هنگام بهینه سازی لیست محصولات برای شخصیت های خاص مشتری یا مخاطبان هدف چیست؟")</f>
        <v>ملاحظات کلیدی هنگام بهینه سازی لیست محصولات برای شخصیت های خاص مشتری یا مخاطبان هدف چیست؟</v>
      </c>
      <c r="H6427" s="1"/>
      <c r="I6427" s="1"/>
      <c r="J6427" s="1"/>
      <c r="K6427" s="1"/>
      <c r="L6427" s="1"/>
      <c r="M6427" s="1"/>
      <c r="N6427" s="1"/>
      <c r="O6427" s="1"/>
      <c r="P6427" s="1"/>
      <c r="Q6427" s="1"/>
      <c r="R6427" s="1"/>
      <c r="S6427" s="1"/>
      <c r="T6427" s="1"/>
      <c r="U6427" s="1"/>
      <c r="V6427" s="1"/>
      <c r="W6427" s="1"/>
      <c r="X6427" s="1"/>
      <c r="Y6427" s="1"/>
      <c r="Z6427" s="1"/>
      <c r="AA6427" s="1"/>
      <c r="AB6427" s="1"/>
    </row>
    <row r="6428" ht="50.25" customHeight="1">
      <c r="A6428" s="12">
        <v>6424.0</v>
      </c>
      <c r="B6428" s="13" t="s">
        <v>6141</v>
      </c>
      <c r="C6428" s="14" t="s">
        <v>6451</v>
      </c>
      <c r="D6428" s="1"/>
      <c r="E6428" s="1"/>
      <c r="F6428" s="1" t="str">
        <f>IFERROR(__xludf.DUMMYFUNCTION("GOOGLETRANSLATE(B6428, ""en"", ""fa"")
"),"موفقیت آمازون")</f>
        <v>موفقیت آمازون</v>
      </c>
      <c r="G6428" s="1" t="str">
        <f>IFERROR(__xludf.DUMMYFUNCTION("GOOGLETRANSLATE(C6428, ""en"", ""fa"")
"),"اهمیت بهینه سازی لیست محصولات برای ویژگی ها یا مزایای خاص محصول را برای بهبود ارتباط جستجو توضیح دهید.")</f>
        <v>اهمیت بهینه سازی لیست محصولات برای ویژگی ها یا مزایای خاص محصول را برای بهبود ارتباط جستجو توضیح دهید.</v>
      </c>
      <c r="H6428" s="1"/>
      <c r="I6428" s="1"/>
      <c r="J6428" s="1"/>
      <c r="K6428" s="1"/>
      <c r="L6428" s="1"/>
      <c r="M6428" s="1"/>
      <c r="N6428" s="1"/>
      <c r="O6428" s="1"/>
      <c r="P6428" s="1"/>
      <c r="Q6428" s="1"/>
      <c r="R6428" s="1"/>
      <c r="S6428" s="1"/>
      <c r="T6428" s="1"/>
      <c r="U6428" s="1"/>
      <c r="V6428" s="1"/>
      <c r="W6428" s="1"/>
      <c r="X6428" s="1"/>
      <c r="Y6428" s="1"/>
      <c r="Z6428" s="1"/>
      <c r="AA6428" s="1"/>
      <c r="AB6428" s="1"/>
    </row>
    <row r="6429" ht="50.25" customHeight="1">
      <c r="A6429" s="12">
        <v>6425.0</v>
      </c>
      <c r="B6429" s="13" t="s">
        <v>6141</v>
      </c>
      <c r="C6429" s="14" t="s">
        <v>6452</v>
      </c>
      <c r="D6429" s="1"/>
      <c r="E6429" s="1"/>
      <c r="F6429" s="1" t="str">
        <f>IFERROR(__xludf.DUMMYFUNCTION("GOOGLETRANSLATE(B6429, ""en"", ""fa"")
"),"موفقیت آمازون")</f>
        <v>موفقیت آمازون</v>
      </c>
      <c r="G6429" s="1" t="str">
        <f>IFERROR(__xludf.DUMMYFUNCTION("GOOGLETRANSLATE(C6429, ""en"", ""fa"")
"),"چگونه فروشندگان می توانند از فهرست بندی عبارت جستجوی خودکار آمازون برای بهبود بهینه سازی موتور جستجو استفاده کنند؟")</f>
        <v>چگونه فروشندگان می توانند از فهرست بندی عبارت جستجوی خودکار آمازون برای بهبود بهینه سازی موتور جستجو استفاده کنند؟</v>
      </c>
      <c r="H6429" s="1"/>
      <c r="I6429" s="1"/>
      <c r="J6429" s="1"/>
      <c r="K6429" s="1"/>
      <c r="L6429" s="1"/>
      <c r="M6429" s="1"/>
      <c r="N6429" s="1"/>
      <c r="O6429" s="1"/>
      <c r="P6429" s="1"/>
      <c r="Q6429" s="1"/>
      <c r="R6429" s="1"/>
      <c r="S6429" s="1"/>
      <c r="T6429" s="1"/>
      <c r="U6429" s="1"/>
      <c r="V6429" s="1"/>
      <c r="W6429" s="1"/>
      <c r="X6429" s="1"/>
      <c r="Y6429" s="1"/>
      <c r="Z6429" s="1"/>
      <c r="AA6429" s="1"/>
      <c r="AB6429" s="1"/>
    </row>
    <row r="6430" ht="50.25" customHeight="1">
      <c r="A6430" s="12">
        <v>6426.0</v>
      </c>
      <c r="B6430" s="13" t="s">
        <v>6141</v>
      </c>
      <c r="C6430" s="14" t="s">
        <v>6453</v>
      </c>
      <c r="D6430" s="1"/>
      <c r="E6430" s="1"/>
      <c r="F6430" s="1" t="str">
        <f>IFERROR(__xludf.DUMMYFUNCTION("GOOGLETRANSLATE(B6430, ""en"", ""fa"")
"),"موفقیت آمازون")</f>
        <v>موفقیت آمازون</v>
      </c>
      <c r="G6430" s="1" t="str">
        <f>IFERROR(__xludf.DUMMYFUNCTION("GOOGLETRANSLATE(C6430, ""en"", ""fa"")
"),"درباره نقش بهینه‌سازی فهرست‌های محصولات برای فیلترهای جستجوی خاص، مانند بررسی‌های متوسط ​​مشتریان یا محدوده قیمت، بحث کنید.")</f>
        <v>درباره نقش بهینه‌سازی فهرست‌های محصولات برای فیلترهای جستجوی خاص، مانند بررسی‌های متوسط ​​مشتریان یا محدوده قیمت، بحث کنید.</v>
      </c>
      <c r="H6430" s="1"/>
      <c r="I6430" s="1"/>
      <c r="J6430" s="1"/>
      <c r="K6430" s="1"/>
      <c r="L6430" s="1"/>
      <c r="M6430" s="1"/>
      <c r="N6430" s="1"/>
      <c r="O6430" s="1"/>
      <c r="P6430" s="1"/>
      <c r="Q6430" s="1"/>
      <c r="R6430" s="1"/>
      <c r="S6430" s="1"/>
      <c r="T6430" s="1"/>
      <c r="U6430" s="1"/>
      <c r="V6430" s="1"/>
      <c r="W6430" s="1"/>
      <c r="X6430" s="1"/>
      <c r="Y6430" s="1"/>
      <c r="Z6430" s="1"/>
      <c r="AA6430" s="1"/>
      <c r="AB6430" s="1"/>
    </row>
    <row r="6431" ht="50.25" customHeight="1">
      <c r="A6431" s="12">
        <v>6427.0</v>
      </c>
      <c r="B6431" s="13" t="s">
        <v>6141</v>
      </c>
      <c r="C6431" s="14" t="s">
        <v>6454</v>
      </c>
      <c r="D6431" s="1"/>
      <c r="E6431" s="1"/>
      <c r="F6431" s="1" t="str">
        <f>IFERROR(__xludf.DUMMYFUNCTION("GOOGLETRANSLATE(B6431, ""en"", ""fa"")
"),"موفقیت آمازون")</f>
        <v>موفقیت آمازون</v>
      </c>
      <c r="G6431" s="1" t="str">
        <f>IFERROR(__xludf.DUMMYFUNCTION("GOOGLETRANSLATE(C6431, ""en"", ""fa"")
"),"نکاتی را برای بهینه سازی لیست محصولات برای عبارات جستجوی خاص مورد استفاده مشتریان بین المللی به زبان های مختلف به اشتراک بگذارید.")</f>
        <v>نکاتی را برای بهینه سازی لیست محصولات برای عبارات جستجوی خاص مورد استفاده مشتریان بین المللی به زبان های مختلف به اشتراک بگذارید.</v>
      </c>
      <c r="H6431" s="1"/>
      <c r="I6431" s="1"/>
      <c r="J6431" s="1"/>
      <c r="K6431" s="1"/>
      <c r="L6431" s="1"/>
      <c r="M6431" s="1"/>
      <c r="N6431" s="1"/>
      <c r="O6431" s="1"/>
      <c r="P6431" s="1"/>
      <c r="Q6431" s="1"/>
      <c r="R6431" s="1"/>
      <c r="S6431" s="1"/>
      <c r="T6431" s="1"/>
      <c r="U6431" s="1"/>
      <c r="V6431" s="1"/>
      <c r="W6431" s="1"/>
      <c r="X6431" s="1"/>
      <c r="Y6431" s="1"/>
      <c r="Z6431" s="1"/>
      <c r="AA6431" s="1"/>
      <c r="AB6431" s="1"/>
    </row>
    <row r="6432" ht="50.25" customHeight="1">
      <c r="A6432" s="12">
        <v>6428.0</v>
      </c>
      <c r="B6432" s="13" t="s">
        <v>6141</v>
      </c>
      <c r="C6432" s="14" t="s">
        <v>6455</v>
      </c>
      <c r="D6432" s="1"/>
      <c r="E6432" s="1"/>
      <c r="F6432" s="1" t="str">
        <f>IFERROR(__xludf.DUMMYFUNCTION("GOOGLETRANSLATE(B6432, ""en"", ""fa"")
"),"موفقیت آمازون")</f>
        <v>موفقیت آمازون</v>
      </c>
      <c r="G6432" s="1" t="str">
        <f>IFERROR(__xludf.DUMMYFUNCTION("GOOGLETRANSLATE(C6432, ""en"", ""fa"")
"),"بهترین روش‌ها برای بهینه‌سازی فهرست محصولات برای کمپین‌های تبلیغاتی خاص، تخفیف‌ها یا پیشنهادات با زمان محدود چیست؟")</f>
        <v>بهترین روش‌ها برای بهینه‌سازی فهرست محصولات برای کمپین‌های تبلیغاتی خاص، تخفیف‌ها یا پیشنهادات با زمان محدود چیست؟</v>
      </c>
      <c r="H6432" s="1"/>
      <c r="I6432" s="1"/>
      <c r="J6432" s="1"/>
      <c r="K6432" s="1"/>
      <c r="L6432" s="1"/>
      <c r="M6432" s="1"/>
      <c r="N6432" s="1"/>
      <c r="O6432" s="1"/>
      <c r="P6432" s="1"/>
      <c r="Q6432" s="1"/>
      <c r="R6432" s="1"/>
      <c r="S6432" s="1"/>
      <c r="T6432" s="1"/>
      <c r="U6432" s="1"/>
      <c r="V6432" s="1"/>
      <c r="W6432" s="1"/>
      <c r="X6432" s="1"/>
      <c r="Y6432" s="1"/>
      <c r="Z6432" s="1"/>
      <c r="AA6432" s="1"/>
      <c r="AB6432" s="1"/>
    </row>
    <row r="6433" ht="50.25" customHeight="1">
      <c r="A6433" s="12">
        <v>6429.0</v>
      </c>
      <c r="B6433" s="13" t="s">
        <v>6141</v>
      </c>
      <c r="C6433" s="14" t="s">
        <v>6456</v>
      </c>
      <c r="D6433" s="1"/>
      <c r="E6433" s="1"/>
      <c r="F6433" s="1" t="str">
        <f>IFERROR(__xludf.DUMMYFUNCTION("GOOGLETRANSLATE(B6433, ""en"", ""fa"")
"),"موفقیت آمازون")</f>
        <v>موفقیت آمازون</v>
      </c>
      <c r="G6433" s="1" t="str">
        <f>IFERROR(__xludf.DUMMYFUNCTION("GOOGLETRANSLATE(C6433, ""en"", ""fa"")
"),"اهمیت بهینه سازی لیست محصولات را برای فیلترهای جستجوی خاص، مانند تازه واردها یا پرفروش ها، توضیح دهید.")</f>
        <v>اهمیت بهینه سازی لیست محصولات را برای فیلترهای جستجوی خاص، مانند تازه واردها یا پرفروش ها، توضیح دهید.</v>
      </c>
      <c r="H6433" s="1"/>
      <c r="I6433" s="1"/>
      <c r="J6433" s="1"/>
      <c r="K6433" s="1"/>
      <c r="L6433" s="1"/>
      <c r="M6433" s="1"/>
      <c r="N6433" s="1"/>
      <c r="O6433" s="1"/>
      <c r="P6433" s="1"/>
      <c r="Q6433" s="1"/>
      <c r="R6433" s="1"/>
      <c r="S6433" s="1"/>
      <c r="T6433" s="1"/>
      <c r="U6433" s="1"/>
      <c r="V6433" s="1"/>
      <c r="W6433" s="1"/>
      <c r="X6433" s="1"/>
      <c r="Y6433" s="1"/>
      <c r="Z6433" s="1"/>
      <c r="AA6433" s="1"/>
      <c r="AB6433" s="1"/>
    </row>
    <row r="6434" ht="50.25" customHeight="1">
      <c r="A6434" s="12">
        <v>6430.0</v>
      </c>
      <c r="B6434" s="13" t="s">
        <v>6141</v>
      </c>
      <c r="C6434" s="14" t="s">
        <v>6457</v>
      </c>
      <c r="D6434" s="1"/>
      <c r="E6434" s="1"/>
      <c r="F6434" s="1" t="str">
        <f>IFERROR(__xludf.DUMMYFUNCTION("GOOGLETRANSLATE(B6434, ""en"", ""fa"")
"),"موفقیت آمازون")</f>
        <v>موفقیت آمازون</v>
      </c>
      <c r="G6434" s="1" t="str">
        <f>IFERROR(__xludf.DUMMYFUNCTION("GOOGLETRANSLATE(C6434, ""en"", ""fa"")
"),"چگونه فروشندگان می توانند از رفتار جستجوی مشتری و گزارش های عبارت جستجو برای شناسایی و هدف قرار دادن کلمات کلیدی نوظهور یا پرطرفدار استفاده کنند؟")</f>
        <v>چگونه فروشندگان می توانند از رفتار جستجوی مشتری و گزارش های عبارت جستجو برای شناسایی و هدف قرار دادن کلمات کلیدی نوظهور یا پرطرفدار استفاده کنند؟</v>
      </c>
      <c r="H6434" s="1"/>
      <c r="I6434" s="1"/>
      <c r="J6434" s="1"/>
      <c r="K6434" s="1"/>
      <c r="L6434" s="1"/>
      <c r="M6434" s="1"/>
      <c r="N6434" s="1"/>
      <c r="O6434" s="1"/>
      <c r="P6434" s="1"/>
      <c r="Q6434" s="1"/>
      <c r="R6434" s="1"/>
      <c r="S6434" s="1"/>
      <c r="T6434" s="1"/>
      <c r="U6434" s="1"/>
      <c r="V6434" s="1"/>
      <c r="W6434" s="1"/>
      <c r="X6434" s="1"/>
      <c r="Y6434" s="1"/>
      <c r="Z6434" s="1"/>
      <c r="AA6434" s="1"/>
      <c r="AB6434" s="1"/>
    </row>
    <row r="6435" ht="50.25" customHeight="1">
      <c r="A6435" s="12">
        <v>6431.0</v>
      </c>
      <c r="B6435" s="13" t="s">
        <v>6141</v>
      </c>
      <c r="C6435" s="14" t="s">
        <v>6458</v>
      </c>
      <c r="D6435" s="1"/>
      <c r="E6435" s="1"/>
      <c r="F6435" s="1" t="str">
        <f>IFERROR(__xludf.DUMMYFUNCTION("GOOGLETRANSLATE(B6435, ""en"", ""fa"")
"),"موفقیت آمازون")</f>
        <v>موفقیت آمازون</v>
      </c>
      <c r="G6435" s="1" t="str">
        <f>IFERROR(__xludf.DUMMYFUNCTION("GOOGLETRANSLATE(C6435, ""en"", ""fa"")
"),"در مورد اهمیت بهینه سازی لیست محصولات برای اهداف خاص جستجوی مشتری، مانند جستجوهای حل مسئله یا مقایسه بحث کنید.")</f>
        <v>در مورد اهمیت بهینه سازی لیست محصولات برای اهداف خاص جستجوی مشتری، مانند جستجوهای حل مسئله یا مقایسه بحث کنید.</v>
      </c>
      <c r="H6435" s="1"/>
      <c r="I6435" s="1"/>
      <c r="J6435" s="1"/>
      <c r="K6435" s="1"/>
      <c r="L6435" s="1"/>
      <c r="M6435" s="1"/>
      <c r="N6435" s="1"/>
      <c r="O6435" s="1"/>
      <c r="P6435" s="1"/>
      <c r="Q6435" s="1"/>
      <c r="R6435" s="1"/>
      <c r="S6435" s="1"/>
      <c r="T6435" s="1"/>
      <c r="U6435" s="1"/>
      <c r="V6435" s="1"/>
      <c r="W6435" s="1"/>
      <c r="X6435" s="1"/>
      <c r="Y6435" s="1"/>
      <c r="Z6435" s="1"/>
      <c r="AA6435" s="1"/>
      <c r="AB6435" s="1"/>
    </row>
    <row r="6436" ht="50.25" customHeight="1">
      <c r="A6436" s="12">
        <v>6432.0</v>
      </c>
      <c r="B6436" s="13" t="s">
        <v>6141</v>
      </c>
      <c r="C6436" s="14" t="s">
        <v>6459</v>
      </c>
      <c r="D6436" s="1"/>
      <c r="E6436" s="1"/>
      <c r="F6436" s="1" t="str">
        <f>IFERROR(__xludf.DUMMYFUNCTION("GOOGLETRANSLATE(B6436, ""en"", ""fa"")
"),"موفقیت آمازون")</f>
        <v>موفقیت آمازون</v>
      </c>
      <c r="G6436" s="1" t="str">
        <f>IFERROR(__xludf.DUMMYFUNCTION("GOOGLETRANSLATE(C6436, ""en"", ""fa"")
"),"درباره نحوه بهینه‌سازی عبارات جستجوی باطنی برای عبارات جستجوی خاص که توسط مشتریان در مراحل مختلف سفر خریدار استفاده می‌شود، اطلاعاتی را به اشتراک بگذارید.")</f>
        <v>درباره نحوه بهینه‌سازی عبارات جستجوی باطنی برای عبارات جستجوی خاص که توسط مشتریان در مراحل مختلف سفر خریدار استفاده می‌شود، اطلاعاتی را به اشتراک بگذارید.</v>
      </c>
      <c r="H6436" s="1"/>
      <c r="I6436" s="1"/>
      <c r="J6436" s="1"/>
      <c r="K6436" s="1"/>
      <c r="L6436" s="1"/>
      <c r="M6436" s="1"/>
      <c r="N6436" s="1"/>
      <c r="O6436" s="1"/>
      <c r="P6436" s="1"/>
      <c r="Q6436" s="1"/>
      <c r="R6436" s="1"/>
      <c r="S6436" s="1"/>
      <c r="T6436" s="1"/>
      <c r="U6436" s="1"/>
      <c r="V6436" s="1"/>
      <c r="W6436" s="1"/>
      <c r="X6436" s="1"/>
      <c r="Y6436" s="1"/>
      <c r="Z6436" s="1"/>
      <c r="AA6436" s="1"/>
      <c r="AB6436" s="1"/>
    </row>
    <row r="6437" ht="50.25" customHeight="1">
      <c r="A6437" s="12">
        <v>6433.0</v>
      </c>
      <c r="B6437" s="13" t="s">
        <v>6141</v>
      </c>
      <c r="C6437" s="14" t="s">
        <v>6460</v>
      </c>
      <c r="D6437" s="1"/>
      <c r="E6437" s="1"/>
      <c r="F6437" s="1" t="str">
        <f>IFERROR(__xludf.DUMMYFUNCTION("GOOGLETRANSLATE(B6437, ""en"", ""fa"")
"),"موفقیت آمازون")</f>
        <v>موفقیت آمازون</v>
      </c>
      <c r="G6437" s="1" t="str">
        <f>IFERROR(__xludf.DUMMYFUNCTION("GOOGLETRANSLATE(C6437, ""en"", ""fa"")
"),"ملاحظات کلیدی هنگام بهینه سازی لیست محصولات برای کلمات کلیدی هدف خاص بر اساس فصلی یا روند چیست؟")</f>
        <v>ملاحظات کلیدی هنگام بهینه سازی لیست محصولات برای کلمات کلیدی هدف خاص بر اساس فصلی یا روند چیست؟</v>
      </c>
      <c r="H6437" s="1"/>
      <c r="I6437" s="1"/>
      <c r="J6437" s="1"/>
      <c r="K6437" s="1"/>
      <c r="L6437" s="1"/>
      <c r="M6437" s="1"/>
      <c r="N6437" s="1"/>
      <c r="O6437" s="1"/>
      <c r="P6437" s="1"/>
      <c r="Q6437" s="1"/>
      <c r="R6437" s="1"/>
      <c r="S6437" s="1"/>
      <c r="T6437" s="1"/>
      <c r="U6437" s="1"/>
      <c r="V6437" s="1"/>
      <c r="W6437" s="1"/>
      <c r="X6437" s="1"/>
      <c r="Y6437" s="1"/>
      <c r="Z6437" s="1"/>
      <c r="AA6437" s="1"/>
      <c r="AB6437" s="1"/>
    </row>
    <row r="6438" ht="50.25" customHeight="1">
      <c r="A6438" s="12">
        <v>6434.0</v>
      </c>
      <c r="B6438" s="13" t="s">
        <v>6141</v>
      </c>
      <c r="C6438" s="14" t="s">
        <v>6461</v>
      </c>
      <c r="D6438" s="1"/>
      <c r="E6438" s="1"/>
      <c r="F6438" s="1" t="str">
        <f>IFERROR(__xludf.DUMMYFUNCTION("GOOGLETRANSLATE(B6438, ""en"", ""fa"")
"),"موفقیت آمازون")</f>
        <v>موفقیت آمازون</v>
      </c>
      <c r="G6438" s="1" t="str">
        <f>IFERROR(__xludf.DUMMYFUNCTION("GOOGLETRANSLATE(C6438, ""en"", ""fa"")
"),"نقش بهینه سازی لیست محصولات را برای فیلترهای جستجوی خاص، مانند در دسترس بودن یا شرایط محصول (جدید یا استفاده شده) توضیح دهید.")</f>
        <v>نقش بهینه سازی لیست محصولات را برای فیلترهای جستجوی خاص، مانند در دسترس بودن یا شرایط محصول (جدید یا استفاده شده) توضیح دهید.</v>
      </c>
      <c r="H6438" s="1"/>
      <c r="I6438" s="1"/>
      <c r="J6438" s="1"/>
      <c r="K6438" s="1"/>
      <c r="L6438" s="1"/>
      <c r="M6438" s="1"/>
      <c r="N6438" s="1"/>
      <c r="O6438" s="1"/>
      <c r="P6438" s="1"/>
      <c r="Q6438" s="1"/>
      <c r="R6438" s="1"/>
      <c r="S6438" s="1"/>
      <c r="T6438" s="1"/>
      <c r="U6438" s="1"/>
      <c r="V6438" s="1"/>
      <c r="W6438" s="1"/>
      <c r="X6438" s="1"/>
      <c r="Y6438" s="1"/>
      <c r="Z6438" s="1"/>
      <c r="AA6438" s="1"/>
      <c r="AB6438" s="1"/>
    </row>
    <row r="6439" ht="50.25" customHeight="1">
      <c r="A6439" s="12">
        <v>6435.0</v>
      </c>
      <c r="B6439" s="13" t="s">
        <v>6141</v>
      </c>
      <c r="C6439" s="14" t="s">
        <v>6462</v>
      </c>
      <c r="D6439" s="1"/>
      <c r="E6439" s="1"/>
      <c r="F6439" s="1" t="str">
        <f>IFERROR(__xludf.DUMMYFUNCTION("GOOGLETRANSLATE(B6439, ""en"", ""fa"")
"),"موفقیت آمازون")</f>
        <v>موفقیت آمازون</v>
      </c>
      <c r="G6439" s="1" t="str">
        <f>IFERROR(__xludf.DUMMYFUNCTION("GOOGLETRANSLATE(C6439, ""en"", ""fa"")
"),"فروشندگان چگونه می توانند از گزارشات و تحلیل های تبلیغاتی آمازون برای شناسایی فرصت های بهینه سازی برای بهینه سازی موتور جستجو استفاده کنند؟")</f>
        <v>فروشندگان چگونه می توانند از گزارشات و تحلیل های تبلیغاتی آمازون برای شناسایی فرصت های بهینه سازی برای بهینه سازی موتور جستجو استفاده کنند؟</v>
      </c>
      <c r="H6439" s="1"/>
      <c r="I6439" s="1"/>
      <c r="J6439" s="1"/>
      <c r="K6439" s="1"/>
      <c r="L6439" s="1"/>
      <c r="M6439" s="1"/>
      <c r="N6439" s="1"/>
      <c r="O6439" s="1"/>
      <c r="P6439" s="1"/>
      <c r="Q6439" s="1"/>
      <c r="R6439" s="1"/>
      <c r="S6439" s="1"/>
      <c r="T6439" s="1"/>
      <c r="U6439" s="1"/>
      <c r="V6439" s="1"/>
      <c r="W6439" s="1"/>
      <c r="X6439" s="1"/>
      <c r="Y6439" s="1"/>
      <c r="Z6439" s="1"/>
      <c r="AA6439" s="1"/>
      <c r="AB6439" s="1"/>
    </row>
    <row r="6440" ht="50.25" customHeight="1">
      <c r="A6440" s="12">
        <v>6436.0</v>
      </c>
      <c r="B6440" s="13" t="s">
        <v>6141</v>
      </c>
      <c r="C6440" s="14" t="s">
        <v>6463</v>
      </c>
      <c r="D6440" s="1"/>
      <c r="E6440" s="1"/>
      <c r="F6440" s="1" t="str">
        <f>IFERROR(__xludf.DUMMYFUNCTION("GOOGLETRANSLATE(B6440, ""en"", ""fa"")
"),"موفقیت آمازون")</f>
        <v>موفقیت آمازون</v>
      </c>
      <c r="G6440" s="1" t="str">
        <f>IFERROR(__xludf.DUMMYFUNCTION("GOOGLETRANSLATE(C6440, ""en"", ""fa"")
"),"در مورد اهمیت بهینه سازی لیست محصولات برای فیلترهای جستجوی خاص، مانند فیلترهای خاص برند یا فروشنده بحث کنید.")</f>
        <v>در مورد اهمیت بهینه سازی لیست محصولات برای فیلترهای جستجوی خاص، مانند فیلترهای خاص برند یا فروشنده بحث کنید.</v>
      </c>
      <c r="H6440" s="1"/>
      <c r="I6440" s="1"/>
      <c r="J6440" s="1"/>
      <c r="K6440" s="1"/>
      <c r="L6440" s="1"/>
      <c r="M6440" s="1"/>
      <c r="N6440" s="1"/>
      <c r="O6440" s="1"/>
      <c r="P6440" s="1"/>
      <c r="Q6440" s="1"/>
      <c r="R6440" s="1"/>
      <c r="S6440" s="1"/>
      <c r="T6440" s="1"/>
      <c r="U6440" s="1"/>
      <c r="V6440" s="1"/>
      <c r="W6440" s="1"/>
      <c r="X6440" s="1"/>
      <c r="Y6440" s="1"/>
      <c r="Z6440" s="1"/>
      <c r="AA6440" s="1"/>
      <c r="AB6440" s="1"/>
    </row>
    <row r="6441" ht="50.25" customHeight="1">
      <c r="A6441" s="12">
        <v>6437.0</v>
      </c>
      <c r="B6441" s="13" t="s">
        <v>6141</v>
      </c>
      <c r="C6441" s="14" t="s">
        <v>6464</v>
      </c>
      <c r="D6441" s="1"/>
      <c r="E6441" s="1"/>
      <c r="F6441" s="1" t="str">
        <f>IFERROR(__xludf.DUMMYFUNCTION("GOOGLETRANSLATE(B6441, ""en"", ""fa"")
"),"موفقیت آمازون")</f>
        <v>موفقیت آمازون</v>
      </c>
      <c r="G6441" s="1" t="str">
        <f>IFERROR(__xludf.DUMMYFUNCTION("GOOGLETRANSLATE(C6441, ""en"", ""fa"")
"),"نکاتی را برای بهینه سازی لیست محصولات برای عبارات جستجوی خاص که توسط مشتریان در جایگاه های مختلف مرتبط با محصول استفاده می شود، به اشتراک بگذارید.")</f>
        <v>نکاتی را برای بهینه سازی لیست محصولات برای عبارات جستجوی خاص که توسط مشتریان در جایگاه های مختلف مرتبط با محصول استفاده می شود، به اشتراک بگذارید.</v>
      </c>
      <c r="H6441" s="1"/>
      <c r="I6441" s="1"/>
      <c r="J6441" s="1"/>
      <c r="K6441" s="1"/>
      <c r="L6441" s="1"/>
      <c r="M6441" s="1"/>
      <c r="N6441" s="1"/>
      <c r="O6441" s="1"/>
      <c r="P6441" s="1"/>
      <c r="Q6441" s="1"/>
      <c r="R6441" s="1"/>
      <c r="S6441" s="1"/>
      <c r="T6441" s="1"/>
      <c r="U6441" s="1"/>
      <c r="V6441" s="1"/>
      <c r="W6441" s="1"/>
      <c r="X6441" s="1"/>
      <c r="Y6441" s="1"/>
      <c r="Z6441" s="1"/>
      <c r="AA6441" s="1"/>
      <c r="AB6441" s="1"/>
    </row>
    <row r="6442" ht="50.25" customHeight="1">
      <c r="A6442" s="12">
        <v>6438.0</v>
      </c>
      <c r="B6442" s="13" t="s">
        <v>6141</v>
      </c>
      <c r="C6442" s="14" t="s">
        <v>6465</v>
      </c>
      <c r="D6442" s="1"/>
      <c r="E6442" s="1"/>
      <c r="F6442" s="1" t="str">
        <f>IFERROR(__xludf.DUMMYFUNCTION("GOOGLETRANSLATE(B6442, ""en"", ""fa"")
"),"موفقیت آمازون")</f>
        <v>موفقیت آمازون</v>
      </c>
      <c r="G6442" s="1" t="str">
        <f>IFERROR(__xludf.DUMMYFUNCTION("GOOGLETRANSLATE(C6442, ""en"", ""fa"")
"),"بهترین روش‌ها برای بهینه‌سازی فهرست محصولات برای فیلترهای جستجوی خاص، مانند نظرات مشتریان یا میانگین رتبه‌بندی‌های ستاره چیست؟")</f>
        <v>بهترین روش‌ها برای بهینه‌سازی فهرست محصولات برای فیلترهای جستجوی خاص، مانند نظرات مشتریان یا میانگین رتبه‌بندی‌های ستاره چیست؟</v>
      </c>
      <c r="H6442" s="1"/>
      <c r="I6442" s="1"/>
      <c r="J6442" s="1"/>
      <c r="K6442" s="1"/>
      <c r="L6442" s="1"/>
      <c r="M6442" s="1"/>
      <c r="N6442" s="1"/>
      <c r="O6442" s="1"/>
      <c r="P6442" s="1"/>
      <c r="Q6442" s="1"/>
      <c r="R6442" s="1"/>
      <c r="S6442" s="1"/>
      <c r="T6442" s="1"/>
      <c r="U6442" s="1"/>
      <c r="V6442" s="1"/>
      <c r="W6442" s="1"/>
      <c r="X6442" s="1"/>
      <c r="Y6442" s="1"/>
      <c r="Z6442" s="1"/>
      <c r="AA6442" s="1"/>
      <c r="AB6442" s="1"/>
    </row>
    <row r="6443" ht="50.25" customHeight="1">
      <c r="A6443" s="12">
        <v>6439.0</v>
      </c>
      <c r="B6443" s="13" t="s">
        <v>6141</v>
      </c>
      <c r="C6443" s="14" t="s">
        <v>6466</v>
      </c>
      <c r="D6443" s="1"/>
      <c r="E6443" s="1"/>
      <c r="F6443" s="1" t="str">
        <f>IFERROR(__xludf.DUMMYFUNCTION("GOOGLETRANSLATE(B6443, ""en"", ""fa"")
"),"موفقیت آمازون")</f>
        <v>موفقیت آمازون</v>
      </c>
      <c r="G6443" s="1" t="str">
        <f>IFERROR(__xludf.DUMMYFUNCTION("GOOGLETRANSLATE(C6443, ""en"", ""fa"")
"),"اهمیت بهینه سازی لیست محصولات را برای عبارات جستجوی خاص مورد استفاده مشتریان در مناطق جغرافیایی مختلف توضیح دهید.")</f>
        <v>اهمیت بهینه سازی لیست محصولات را برای عبارات جستجوی خاص مورد استفاده مشتریان در مناطق جغرافیایی مختلف توضیح دهید.</v>
      </c>
      <c r="H6443" s="1"/>
      <c r="I6443" s="1"/>
      <c r="J6443" s="1"/>
      <c r="K6443" s="1"/>
      <c r="L6443" s="1"/>
      <c r="M6443" s="1"/>
      <c r="N6443" s="1"/>
      <c r="O6443" s="1"/>
      <c r="P6443" s="1"/>
      <c r="Q6443" s="1"/>
      <c r="R6443" s="1"/>
      <c r="S6443" s="1"/>
      <c r="T6443" s="1"/>
      <c r="U6443" s="1"/>
      <c r="V6443" s="1"/>
      <c r="W6443" s="1"/>
      <c r="X6443" s="1"/>
      <c r="Y6443" s="1"/>
      <c r="Z6443" s="1"/>
      <c r="AA6443" s="1"/>
      <c r="AB6443" s="1"/>
    </row>
    <row r="6444" ht="50.25" customHeight="1">
      <c r="A6444" s="12">
        <v>6440.0</v>
      </c>
      <c r="B6444" s="13" t="s">
        <v>6141</v>
      </c>
      <c r="C6444" s="14" t="s">
        <v>6467</v>
      </c>
      <c r="D6444" s="1"/>
      <c r="E6444" s="1"/>
      <c r="F6444" s="1" t="str">
        <f>IFERROR(__xludf.DUMMYFUNCTION("GOOGLETRANSLATE(B6444, ""en"", ""fa"")
"),"موفقیت آمازون")</f>
        <v>موفقیت آمازون</v>
      </c>
      <c r="G6444" s="1" t="str">
        <f>IFERROR(__xludf.DUMMYFUNCTION("GOOGLETRANSLATE(C6444, ""en"", ""fa"")
"),"چگونه فروشندگان می توانند از تجزیه و تحلیل کلمات کلیدی رقیب برای شناسایی و هدف قرار دادن کلمات کلیدی مرتبط برای بهبود بهینه سازی موتور جستجو استفاده کنند؟")</f>
        <v>چگونه فروشندگان می توانند از تجزیه و تحلیل کلمات کلیدی رقیب برای شناسایی و هدف قرار دادن کلمات کلیدی مرتبط برای بهبود بهینه سازی موتور جستجو استفاده کنند؟</v>
      </c>
      <c r="H6444" s="1"/>
      <c r="I6444" s="1"/>
      <c r="J6444" s="1"/>
      <c r="K6444" s="1"/>
      <c r="L6444" s="1"/>
      <c r="M6444" s="1"/>
      <c r="N6444" s="1"/>
      <c r="O6444" s="1"/>
      <c r="P6444" s="1"/>
      <c r="Q6444" s="1"/>
      <c r="R6444" s="1"/>
      <c r="S6444" s="1"/>
      <c r="T6444" s="1"/>
      <c r="U6444" s="1"/>
      <c r="V6444" s="1"/>
      <c r="W6444" s="1"/>
      <c r="X6444" s="1"/>
      <c r="Y6444" s="1"/>
      <c r="Z6444" s="1"/>
      <c r="AA6444" s="1"/>
      <c r="AB6444" s="1"/>
    </row>
    <row r="6445" ht="50.25" customHeight="1">
      <c r="A6445" s="12">
        <v>6441.0</v>
      </c>
      <c r="B6445" s="13" t="s">
        <v>6141</v>
      </c>
      <c r="C6445" s="14" t="s">
        <v>6468</v>
      </c>
      <c r="D6445" s="1"/>
      <c r="E6445" s="1"/>
      <c r="F6445" s="1" t="str">
        <f>IFERROR(__xludf.DUMMYFUNCTION("GOOGLETRANSLATE(B6445, ""en"", ""fa"")
"),"موفقیت آمازون")</f>
        <v>موفقیت آمازون</v>
      </c>
      <c r="G6445" s="1" t="str">
        <f>IFERROR(__xludf.DUMMYFUNCTION("GOOGLETRANSLATE(C6445, ""en"", ""fa"")
"),"درباره نقش بهینه‌سازی فهرست‌های محصولات برای فیلترهای جستجوی خاص، مانند ارسال سریع یا وضعیت محصول (بازسازی) بحث کنید.")</f>
        <v>درباره نقش بهینه‌سازی فهرست‌های محصولات برای فیلترهای جستجوی خاص، مانند ارسال سریع یا وضعیت محصول (بازسازی) بحث کنید.</v>
      </c>
      <c r="H6445" s="1"/>
      <c r="I6445" s="1"/>
      <c r="J6445" s="1"/>
      <c r="K6445" s="1"/>
      <c r="L6445" s="1"/>
      <c r="M6445" s="1"/>
      <c r="N6445" s="1"/>
      <c r="O6445" s="1"/>
      <c r="P6445" s="1"/>
      <c r="Q6445" s="1"/>
      <c r="R6445" s="1"/>
      <c r="S6445" s="1"/>
      <c r="T6445" s="1"/>
      <c r="U6445" s="1"/>
      <c r="V6445" s="1"/>
      <c r="W6445" s="1"/>
      <c r="X6445" s="1"/>
      <c r="Y6445" s="1"/>
      <c r="Z6445" s="1"/>
      <c r="AA6445" s="1"/>
      <c r="AB6445" s="1"/>
    </row>
    <row r="6446" ht="50.25" customHeight="1">
      <c r="A6446" s="12">
        <v>6442.0</v>
      </c>
      <c r="B6446" s="13" t="s">
        <v>6141</v>
      </c>
      <c r="C6446" s="14" t="s">
        <v>6469</v>
      </c>
      <c r="D6446" s="1"/>
      <c r="E6446" s="1"/>
      <c r="F6446" s="1" t="str">
        <f>IFERROR(__xludf.DUMMYFUNCTION("GOOGLETRANSLATE(B6446, ""en"", ""fa"")
"),"موفقیت آمازون")</f>
        <v>موفقیت آمازون</v>
      </c>
      <c r="G6446" s="1" t="str">
        <f>IFERROR(__xludf.DUMMYFUNCTION("GOOGLETRANSLATE(C6446, ""en"", ""fa"")
"),"درباره نحوه بهینه‌سازی فهرست‌های محصولات برای عبارات جستجوی خاص مورد استفاده مشتریان در گروه‌های سنی یا جمعیت‌شناسی مختلف، بینش‌هایی را به اشتراک بگذارید.")</f>
        <v>درباره نحوه بهینه‌سازی فهرست‌های محصولات برای عبارات جستجوی خاص مورد استفاده مشتریان در گروه‌های سنی یا جمعیت‌شناسی مختلف، بینش‌هایی را به اشتراک بگذارید.</v>
      </c>
      <c r="H6446" s="1"/>
      <c r="I6446" s="1"/>
      <c r="J6446" s="1"/>
      <c r="K6446" s="1"/>
      <c r="L6446" s="1"/>
      <c r="M6446" s="1"/>
      <c r="N6446" s="1"/>
      <c r="O6446" s="1"/>
      <c r="P6446" s="1"/>
      <c r="Q6446" s="1"/>
      <c r="R6446" s="1"/>
      <c r="S6446" s="1"/>
      <c r="T6446" s="1"/>
      <c r="U6446" s="1"/>
      <c r="V6446" s="1"/>
      <c r="W6446" s="1"/>
      <c r="X6446" s="1"/>
      <c r="Y6446" s="1"/>
      <c r="Z6446" s="1"/>
      <c r="AA6446" s="1"/>
      <c r="AB6446" s="1"/>
    </row>
    <row r="6447" ht="50.25" customHeight="1">
      <c r="A6447" s="12">
        <v>6443.0</v>
      </c>
      <c r="B6447" s="13" t="s">
        <v>6141</v>
      </c>
      <c r="C6447" s="14" t="s">
        <v>6470</v>
      </c>
      <c r="D6447" s="1"/>
      <c r="E6447" s="1"/>
      <c r="F6447" s="1" t="str">
        <f>IFERROR(__xludf.DUMMYFUNCTION("GOOGLETRANSLATE(B6447, ""en"", ""fa"")
"),"موفقیت آمازون")</f>
        <v>موفقیت آمازون</v>
      </c>
      <c r="G6447" s="1" t="str">
        <f>IFERROR(__xludf.DUMMYFUNCTION("GOOGLETRANSLATE(C6447, ""en"", ""fa"")
"),"ملاحظات کلیدی هنگام بهینه سازی عبارات جستجوی باطن برای عبارات جستجوی خاص مورد استفاده مشتریان در صنایع یا حرفه های مختلف چیست؟")</f>
        <v>ملاحظات کلیدی هنگام بهینه سازی عبارات جستجوی باطن برای عبارات جستجوی خاص مورد استفاده مشتریان در صنایع یا حرفه های مختلف چیست؟</v>
      </c>
      <c r="H6447" s="1"/>
      <c r="I6447" s="1"/>
      <c r="J6447" s="1"/>
      <c r="K6447" s="1"/>
      <c r="L6447" s="1"/>
      <c r="M6447" s="1"/>
      <c r="N6447" s="1"/>
      <c r="O6447" s="1"/>
      <c r="P6447" s="1"/>
      <c r="Q6447" s="1"/>
      <c r="R6447" s="1"/>
      <c r="S6447" s="1"/>
      <c r="T6447" s="1"/>
      <c r="U6447" s="1"/>
      <c r="V6447" s="1"/>
      <c r="W6447" s="1"/>
      <c r="X6447" s="1"/>
      <c r="Y6447" s="1"/>
      <c r="Z6447" s="1"/>
      <c r="AA6447" s="1"/>
      <c r="AB6447" s="1"/>
    </row>
    <row r="6448" ht="50.25" customHeight="1">
      <c r="A6448" s="12">
        <v>6444.0</v>
      </c>
      <c r="B6448" s="13" t="s">
        <v>6141</v>
      </c>
      <c r="C6448" s="14" t="s">
        <v>6471</v>
      </c>
      <c r="D6448" s="1"/>
      <c r="E6448" s="1"/>
      <c r="F6448" s="1" t="str">
        <f>IFERROR(__xludf.DUMMYFUNCTION("GOOGLETRANSLATE(B6448, ""en"", ""fa"")
"),"موفقیت آمازون")</f>
        <v>موفقیت آمازون</v>
      </c>
      <c r="G6448" s="1" t="str">
        <f>IFERROR(__xludf.DUMMYFUNCTION("GOOGLETRANSLATE(C6448, ""en"", ""fa"")
"),"اهمیت بهینه سازی لیست محصولات برای فیلترهای جستجوی خاص، مانند ابعاد یا وزن محصول را توضیح دهید.")</f>
        <v>اهمیت بهینه سازی لیست محصولات برای فیلترهای جستجوی خاص، مانند ابعاد یا وزن محصول را توضیح دهید.</v>
      </c>
      <c r="H6448" s="1"/>
      <c r="I6448" s="1"/>
      <c r="J6448" s="1"/>
      <c r="K6448" s="1"/>
      <c r="L6448" s="1"/>
      <c r="M6448" s="1"/>
      <c r="N6448" s="1"/>
      <c r="O6448" s="1"/>
      <c r="P6448" s="1"/>
      <c r="Q6448" s="1"/>
      <c r="R6448" s="1"/>
      <c r="S6448" s="1"/>
      <c r="T6448" s="1"/>
      <c r="U6448" s="1"/>
      <c r="V6448" s="1"/>
      <c r="W6448" s="1"/>
      <c r="X6448" s="1"/>
      <c r="Y6448" s="1"/>
      <c r="Z6448" s="1"/>
      <c r="AA6448" s="1"/>
      <c r="AB6448" s="1"/>
    </row>
    <row r="6449" ht="50.25" customHeight="1">
      <c r="A6449" s="12">
        <v>6445.0</v>
      </c>
      <c r="B6449" s="13" t="s">
        <v>6141</v>
      </c>
      <c r="C6449" s="14" t="s">
        <v>6472</v>
      </c>
      <c r="D6449" s="1"/>
      <c r="E6449" s="1"/>
      <c r="F6449" s="1" t="str">
        <f>IFERROR(__xludf.DUMMYFUNCTION("GOOGLETRANSLATE(B6449, ""en"", ""fa"")
"),"موفقیت آمازون")</f>
        <v>موفقیت آمازون</v>
      </c>
      <c r="G6449" s="1" t="str">
        <f>IFERROR(__xludf.DUMMYFUNCTION("GOOGLETRANSLATE(C6449, ""en"", ""fa"")
"),"چگونه فروشندگان می توانند از وب سایت ها و وبلاگ های بررسی محصول خارجی برای بهبود بهینه سازی موتور جستجو در آمازون استفاده کنند؟")</f>
        <v>چگونه فروشندگان می توانند از وب سایت ها و وبلاگ های بررسی محصول خارجی برای بهبود بهینه سازی موتور جستجو در آمازون استفاده کنند؟</v>
      </c>
      <c r="H6449" s="1"/>
      <c r="I6449" s="1"/>
      <c r="J6449" s="1"/>
      <c r="K6449" s="1"/>
      <c r="L6449" s="1"/>
      <c r="M6449" s="1"/>
      <c r="N6449" s="1"/>
      <c r="O6449" s="1"/>
      <c r="P6449" s="1"/>
      <c r="Q6449" s="1"/>
      <c r="R6449" s="1"/>
      <c r="S6449" s="1"/>
      <c r="T6449" s="1"/>
      <c r="U6449" s="1"/>
      <c r="V6449" s="1"/>
      <c r="W6449" s="1"/>
      <c r="X6449" s="1"/>
      <c r="Y6449" s="1"/>
      <c r="Z6449" s="1"/>
      <c r="AA6449" s="1"/>
      <c r="AB6449" s="1"/>
    </row>
    <row r="6450" ht="50.25" customHeight="1">
      <c r="A6450" s="12">
        <v>6446.0</v>
      </c>
      <c r="B6450" s="13" t="s">
        <v>6141</v>
      </c>
      <c r="C6450" s="14" t="s">
        <v>6473</v>
      </c>
      <c r="D6450" s="1"/>
      <c r="E6450" s="1"/>
      <c r="F6450" s="1" t="str">
        <f>IFERROR(__xludf.DUMMYFUNCTION("GOOGLETRANSLATE(B6450, ""en"", ""fa"")
"),"موفقیت آمازون")</f>
        <v>موفقیت آمازون</v>
      </c>
      <c r="G6450" s="1" t="str">
        <f>IFERROR(__xludf.DUMMYFUNCTION("GOOGLETRANSLATE(C6450, ""en"", ""fa"")
"),"در مورد اهمیت بهینه سازی لیست محصولات برای عبارات جستجوی خاص مورد استفاده مشتریان با اولویت های خاص یا محدودیت های غذایی بحث کنید.")</f>
        <v>در مورد اهمیت بهینه سازی لیست محصولات برای عبارات جستجوی خاص مورد استفاده مشتریان با اولویت های خاص یا محدودیت های غذایی بحث کنید.</v>
      </c>
      <c r="H6450" s="1"/>
      <c r="I6450" s="1"/>
      <c r="J6450" s="1"/>
      <c r="K6450" s="1"/>
      <c r="L6450" s="1"/>
      <c r="M6450" s="1"/>
      <c r="N6450" s="1"/>
      <c r="O6450" s="1"/>
      <c r="P6450" s="1"/>
      <c r="Q6450" s="1"/>
      <c r="R6450" s="1"/>
      <c r="S6450" s="1"/>
      <c r="T6450" s="1"/>
      <c r="U6450" s="1"/>
      <c r="V6450" s="1"/>
      <c r="W6450" s="1"/>
      <c r="X6450" s="1"/>
      <c r="Y6450" s="1"/>
      <c r="Z6450" s="1"/>
      <c r="AA6450" s="1"/>
      <c r="AB6450" s="1"/>
    </row>
    <row r="6451" ht="50.25" customHeight="1">
      <c r="A6451" s="12">
        <v>6447.0</v>
      </c>
      <c r="B6451" s="13" t="s">
        <v>6141</v>
      </c>
      <c r="C6451" s="14" t="s">
        <v>6474</v>
      </c>
      <c r="D6451" s="1"/>
      <c r="E6451" s="1"/>
      <c r="F6451" s="1" t="str">
        <f>IFERROR(__xludf.DUMMYFUNCTION("GOOGLETRANSLATE(B6451, ""en"", ""fa"")
"),"موفقیت آمازون")</f>
        <v>موفقیت آمازون</v>
      </c>
      <c r="G6451" s="1" t="str">
        <f>IFERROR(__xludf.DUMMYFUNCTION("GOOGLETRANSLATE(C6451, ""en"", ""fa"")
"),"نکاتی را برای بهینه سازی لیست محصولات برای فیلترهای جستجوی خاص، مانند محصولات دارای رتبه برتر یا انتخاب آمازون، به اشتراک بگذارید.")</f>
        <v>نکاتی را برای بهینه سازی لیست محصولات برای فیلترهای جستجوی خاص، مانند محصولات دارای رتبه برتر یا انتخاب آمازون، به اشتراک بگذارید.</v>
      </c>
      <c r="H6451" s="1"/>
      <c r="I6451" s="1"/>
      <c r="J6451" s="1"/>
      <c r="K6451" s="1"/>
      <c r="L6451" s="1"/>
      <c r="M6451" s="1"/>
      <c r="N6451" s="1"/>
      <c r="O6451" s="1"/>
      <c r="P6451" s="1"/>
      <c r="Q6451" s="1"/>
      <c r="R6451" s="1"/>
      <c r="S6451" s="1"/>
      <c r="T6451" s="1"/>
      <c r="U6451" s="1"/>
      <c r="V6451" s="1"/>
      <c r="W6451" s="1"/>
      <c r="X6451" s="1"/>
      <c r="Y6451" s="1"/>
      <c r="Z6451" s="1"/>
      <c r="AA6451" s="1"/>
      <c r="AB6451" s="1"/>
    </row>
    <row r="6452" ht="50.25" customHeight="1">
      <c r="A6452" s="12">
        <v>6448.0</v>
      </c>
      <c r="B6452" s="13" t="s">
        <v>6141</v>
      </c>
      <c r="C6452" s="14" t="s">
        <v>6475</v>
      </c>
      <c r="D6452" s="1"/>
      <c r="E6452" s="1"/>
      <c r="F6452" s="1" t="str">
        <f>IFERROR(__xludf.DUMMYFUNCTION("GOOGLETRANSLATE(B6452, ""en"", ""fa"")
"),"موفقیت آمازون")</f>
        <v>موفقیت آمازون</v>
      </c>
      <c r="G6452" s="1" t="str">
        <f>IFERROR(__xludf.DUMMYFUNCTION("GOOGLETRANSLATE(C6452, ""en"", ""fa"")
"),"بهترین روش ها برای بهینه سازی لیست محصولات برای عبارات جستجوی خاص که توسط مشتریان در زمینه های مختلف آموزشی یا حرفه ای استفاده می شود چیست؟")</f>
        <v>بهترین روش ها برای بهینه سازی لیست محصولات برای عبارات جستجوی خاص که توسط مشتریان در زمینه های مختلف آموزشی یا حرفه ای استفاده می شود چیست؟</v>
      </c>
      <c r="H6452" s="1"/>
      <c r="I6452" s="1"/>
      <c r="J6452" s="1"/>
      <c r="K6452" s="1"/>
      <c r="L6452" s="1"/>
      <c r="M6452" s="1"/>
      <c r="N6452" s="1"/>
      <c r="O6452" s="1"/>
      <c r="P6452" s="1"/>
      <c r="Q6452" s="1"/>
      <c r="R6452" s="1"/>
      <c r="S6452" s="1"/>
      <c r="T6452" s="1"/>
      <c r="U6452" s="1"/>
      <c r="V6452" s="1"/>
      <c r="W6452" s="1"/>
      <c r="X6452" s="1"/>
      <c r="Y6452" s="1"/>
      <c r="Z6452" s="1"/>
      <c r="AA6452" s="1"/>
      <c r="AB6452" s="1"/>
    </row>
    <row r="6453" ht="50.25" customHeight="1">
      <c r="A6453" s="12">
        <v>6449.0</v>
      </c>
      <c r="B6453" s="13" t="s">
        <v>6141</v>
      </c>
      <c r="C6453" s="14" t="s">
        <v>6476</v>
      </c>
      <c r="D6453" s="1"/>
      <c r="E6453" s="1"/>
      <c r="F6453" s="1" t="str">
        <f>IFERROR(__xludf.DUMMYFUNCTION("GOOGLETRANSLATE(B6453, ""en"", ""fa"")
"),"موفقیت آمازون")</f>
        <v>موفقیت آمازون</v>
      </c>
      <c r="G6453" s="1" t="str">
        <f>IFERROR(__xludf.DUMMYFUNCTION("GOOGLETRANSLATE(C6453, ""en"", ""fa"")
"),"نقش بهینه سازی لیست محصولات را برای فیلترهای جستجوی خاص، مانند تنوع محصول یا گزینه های رنگ، توضیح دهید.")</f>
        <v>نقش بهینه سازی لیست محصولات را برای فیلترهای جستجوی خاص، مانند تنوع محصول یا گزینه های رنگ، توضیح دهید.</v>
      </c>
      <c r="H6453" s="1"/>
      <c r="I6453" s="1"/>
      <c r="J6453" s="1"/>
      <c r="K6453" s="1"/>
      <c r="L6453" s="1"/>
      <c r="M6453" s="1"/>
      <c r="N6453" s="1"/>
      <c r="O6453" s="1"/>
      <c r="P6453" s="1"/>
      <c r="Q6453" s="1"/>
      <c r="R6453" s="1"/>
      <c r="S6453" s="1"/>
      <c r="T6453" s="1"/>
      <c r="U6453" s="1"/>
      <c r="V6453" s="1"/>
      <c r="W6453" s="1"/>
      <c r="X6453" s="1"/>
      <c r="Y6453" s="1"/>
      <c r="Z6453" s="1"/>
      <c r="AA6453" s="1"/>
      <c r="AB6453" s="1"/>
    </row>
    <row r="6454" ht="50.25" customHeight="1">
      <c r="A6454" s="12">
        <v>6450.0</v>
      </c>
      <c r="B6454" s="13" t="s">
        <v>6141</v>
      </c>
      <c r="C6454" s="14" t="s">
        <v>6477</v>
      </c>
      <c r="D6454" s="1"/>
      <c r="E6454" s="1"/>
      <c r="F6454" s="1" t="str">
        <f>IFERROR(__xludf.DUMMYFUNCTION("GOOGLETRANSLATE(B6454, ""en"", ""fa"")
"),"موفقیت آمازون")</f>
        <v>موفقیت آمازون</v>
      </c>
      <c r="G6454" s="1" t="str">
        <f>IFERROR(__xludf.DUMMYFUNCTION("GOOGLETRANSLATE(C6454, ""en"", ""fa"")
"),"چگونه فروشندگان می توانند از پرس و جوهای جستجوی مشتری و گزارش های عبارت جستجو برای شناسایی و هدف قرار دادن کلمات کلیدی طولانی برای بهینه سازی موتور جستجو استفاده کنند؟")</f>
        <v>چگونه فروشندگان می توانند از پرس و جوهای جستجوی مشتری و گزارش های عبارت جستجو برای شناسایی و هدف قرار دادن کلمات کلیدی طولانی برای بهینه سازی موتور جستجو استفاده کنند؟</v>
      </c>
      <c r="H6454" s="1"/>
      <c r="I6454" s="1"/>
      <c r="J6454" s="1"/>
      <c r="K6454" s="1"/>
      <c r="L6454" s="1"/>
      <c r="M6454" s="1"/>
      <c r="N6454" s="1"/>
      <c r="O6454" s="1"/>
      <c r="P6454" s="1"/>
      <c r="Q6454" s="1"/>
      <c r="R6454" s="1"/>
      <c r="S6454" s="1"/>
      <c r="T6454" s="1"/>
      <c r="U6454" s="1"/>
      <c r="V6454" s="1"/>
      <c r="W6454" s="1"/>
      <c r="X6454" s="1"/>
      <c r="Y6454" s="1"/>
      <c r="Z6454" s="1"/>
      <c r="AA6454" s="1"/>
      <c r="AB6454" s="1"/>
    </row>
    <row r="6455" ht="50.25" customHeight="1">
      <c r="A6455" s="12">
        <v>6451.0</v>
      </c>
      <c r="B6455" s="13" t="s">
        <v>6141</v>
      </c>
      <c r="C6455" s="14" t="s">
        <v>6478</v>
      </c>
      <c r="D6455" s="1"/>
      <c r="E6455" s="1"/>
      <c r="F6455" s="1" t="str">
        <f>IFERROR(__xludf.DUMMYFUNCTION("GOOGLETRANSLATE(B6455, ""en"", ""fa"")
"),"موفقیت آمازون")</f>
        <v>موفقیت آمازون</v>
      </c>
      <c r="G6455" s="1" t="str">
        <f>IFERROR(__xludf.DUMMYFUNCTION("GOOGLETRANSLATE(C6455, ""en"", ""fa"")
"),"در مورد اهمیت بهینه سازی لیست محصولات برای فیلترهای جستجوی خاص، مانند ارسال رایگان یا ضمانت محصول بحث کنید.")</f>
        <v>در مورد اهمیت بهینه سازی لیست محصولات برای فیلترهای جستجوی خاص، مانند ارسال رایگان یا ضمانت محصول بحث کنید.</v>
      </c>
      <c r="H6455" s="1"/>
      <c r="I6455" s="1"/>
      <c r="J6455" s="1"/>
      <c r="K6455" s="1"/>
      <c r="L6455" s="1"/>
      <c r="M6455" s="1"/>
      <c r="N6455" s="1"/>
      <c r="O6455" s="1"/>
      <c r="P6455" s="1"/>
      <c r="Q6455" s="1"/>
      <c r="R6455" s="1"/>
      <c r="S6455" s="1"/>
      <c r="T6455" s="1"/>
      <c r="U6455" s="1"/>
      <c r="V6455" s="1"/>
      <c r="W6455" s="1"/>
      <c r="X6455" s="1"/>
      <c r="Y6455" s="1"/>
      <c r="Z6455" s="1"/>
      <c r="AA6455" s="1"/>
      <c r="AB6455" s="1"/>
    </row>
    <row r="6456" ht="50.25" customHeight="1">
      <c r="A6456" s="12">
        <v>6452.0</v>
      </c>
      <c r="B6456" s="13" t="s">
        <v>6141</v>
      </c>
      <c r="C6456" s="14" t="s">
        <v>6479</v>
      </c>
      <c r="D6456" s="1"/>
      <c r="E6456" s="1"/>
      <c r="F6456" s="1" t="str">
        <f>IFERROR(__xludf.DUMMYFUNCTION("GOOGLETRANSLATE(B6456, ""en"", ""fa"")
"),"موفقیت آمازون")</f>
        <v>موفقیت آمازون</v>
      </c>
      <c r="G6456" s="1" t="str">
        <f>IFERROR(__xludf.DUMMYFUNCTION("GOOGLETRANSLATE(C6456, ""en"", ""fa"")
"),"درباره نحوه بهینه‌سازی فهرست‌های محصولات برای عبارات جستجوی خاص که توسط مشتریانی با اولویت‌های بودجه یا محدوده قیمت متفاوت استفاده می‌شود، اطلاعاتی را به اشتراک بگذارید.")</f>
        <v>درباره نحوه بهینه‌سازی فهرست‌های محصولات برای عبارات جستجوی خاص که توسط مشتریانی با اولویت‌های بودجه یا محدوده قیمت متفاوت استفاده می‌شود، اطلاعاتی را به اشتراک بگذارید.</v>
      </c>
      <c r="H6456" s="1"/>
      <c r="I6456" s="1"/>
      <c r="J6456" s="1"/>
      <c r="K6456" s="1"/>
      <c r="L6456" s="1"/>
      <c r="M6456" s="1"/>
      <c r="N6456" s="1"/>
      <c r="O6456" s="1"/>
      <c r="P6456" s="1"/>
      <c r="Q6456" s="1"/>
      <c r="R6456" s="1"/>
      <c r="S6456" s="1"/>
      <c r="T6456" s="1"/>
      <c r="U6456" s="1"/>
      <c r="V6456" s="1"/>
      <c r="W6456" s="1"/>
      <c r="X6456" s="1"/>
      <c r="Y6456" s="1"/>
      <c r="Z6456" s="1"/>
      <c r="AA6456" s="1"/>
      <c r="AB6456" s="1"/>
    </row>
    <row r="6457" ht="50.25" customHeight="1">
      <c r="A6457" s="12">
        <v>6453.0</v>
      </c>
      <c r="B6457" s="13" t="s">
        <v>6141</v>
      </c>
      <c r="C6457" s="14" t="s">
        <v>6480</v>
      </c>
      <c r="D6457" s="1"/>
      <c r="E6457" s="1"/>
      <c r="F6457" s="1" t="str">
        <f>IFERROR(__xludf.DUMMYFUNCTION("GOOGLETRANSLATE(B6457, ""en"", ""fa"")
"),"موفقیت آمازون")</f>
        <v>موفقیت آمازون</v>
      </c>
      <c r="G6457" s="1" t="str">
        <f>IFERROR(__xludf.DUMMYFUNCTION("GOOGLETRANSLATE(C6457, ""en"", ""fa"")
"),"ملاحظات کلیدی هنگام بهینه سازی لیست محصولات برای فیلترهای جستجوی خاص، مانند توصیه های مشتری یا معاملات و تبلیغات چیست؟")</f>
        <v>ملاحظات کلیدی هنگام بهینه سازی لیست محصولات برای فیلترهای جستجوی خاص، مانند توصیه های مشتری یا معاملات و تبلیغات چیست؟</v>
      </c>
      <c r="H6457" s="1"/>
      <c r="I6457" s="1"/>
      <c r="J6457" s="1"/>
      <c r="K6457" s="1"/>
      <c r="L6457" s="1"/>
      <c r="M6457" s="1"/>
      <c r="N6457" s="1"/>
      <c r="O6457" s="1"/>
      <c r="P6457" s="1"/>
      <c r="Q6457" s="1"/>
      <c r="R6457" s="1"/>
      <c r="S6457" s="1"/>
      <c r="T6457" s="1"/>
      <c r="U6457" s="1"/>
      <c r="V6457" s="1"/>
      <c r="W6457" s="1"/>
      <c r="X6457" s="1"/>
      <c r="Y6457" s="1"/>
      <c r="Z6457" s="1"/>
      <c r="AA6457" s="1"/>
      <c r="AB6457" s="1"/>
    </row>
    <row r="6458" ht="50.25" customHeight="1">
      <c r="A6458" s="12">
        <v>6454.0</v>
      </c>
      <c r="B6458" s="13" t="s">
        <v>6141</v>
      </c>
      <c r="C6458" s="14" t="s">
        <v>6481</v>
      </c>
      <c r="D6458" s="1"/>
      <c r="E6458" s="1"/>
      <c r="F6458" s="1" t="str">
        <f>IFERROR(__xludf.DUMMYFUNCTION("GOOGLETRANSLATE(B6458, ""en"", ""fa"")
"),"موفقیت آمازون")</f>
        <v>موفقیت آمازون</v>
      </c>
      <c r="G6458" s="1" t="str">
        <f>IFERROR(__xludf.DUMMYFUNCTION("GOOGLETRANSLATE(C6458, ""en"", ""fa"")
"),"اهمیت بهینه سازی لیست محصولات را برای عبارات جستجوی خاصی که توسط مشتریان با نگرانی های خاص سلامتی یا سلامتی استفاده می شود را توضیح دهید.")</f>
        <v>اهمیت بهینه سازی لیست محصولات را برای عبارات جستجوی خاصی که توسط مشتریان با نگرانی های خاص سلامتی یا سلامتی استفاده می شود را توضیح دهید.</v>
      </c>
      <c r="H6458" s="1"/>
      <c r="I6458" s="1"/>
      <c r="J6458" s="1"/>
      <c r="K6458" s="1"/>
      <c r="L6458" s="1"/>
      <c r="M6458" s="1"/>
      <c r="N6458" s="1"/>
      <c r="O6458" s="1"/>
      <c r="P6458" s="1"/>
      <c r="Q6458" s="1"/>
      <c r="R6458" s="1"/>
      <c r="S6458" s="1"/>
      <c r="T6458" s="1"/>
      <c r="U6458" s="1"/>
      <c r="V6458" s="1"/>
      <c r="W6458" s="1"/>
      <c r="X6458" s="1"/>
      <c r="Y6458" s="1"/>
      <c r="Z6458" s="1"/>
      <c r="AA6458" s="1"/>
      <c r="AB6458" s="1"/>
    </row>
    <row r="6459" ht="50.25" customHeight="1">
      <c r="A6459" s="12">
        <v>6455.0</v>
      </c>
      <c r="B6459" s="13" t="s">
        <v>6141</v>
      </c>
      <c r="C6459" s="14" t="s">
        <v>6482</v>
      </c>
      <c r="D6459" s="1"/>
      <c r="E6459" s="1"/>
      <c r="F6459" s="1" t="str">
        <f>IFERROR(__xludf.DUMMYFUNCTION("GOOGLETRANSLATE(B6459, ""en"", ""fa"")
"),"موفقیت آمازون")</f>
        <v>موفقیت آمازون</v>
      </c>
      <c r="G6459" s="1" t="str">
        <f>IFERROR(__xludf.DUMMYFUNCTION("GOOGLETRANSLATE(C6459, ""en"", ""fa"")
"),"چگونه فروشندگان می توانند از وب سایت ها و پلتفرم های مقایسه محصولات خارجی برای بهبود بهینه سازی موتور جستجو در آمازون استفاده کنند؟")</f>
        <v>چگونه فروشندگان می توانند از وب سایت ها و پلتفرم های مقایسه محصولات خارجی برای بهبود بهینه سازی موتور جستجو در آمازون استفاده کنند؟</v>
      </c>
      <c r="H6459" s="1"/>
      <c r="I6459" s="1"/>
      <c r="J6459" s="1"/>
      <c r="K6459" s="1"/>
      <c r="L6459" s="1"/>
      <c r="M6459" s="1"/>
      <c r="N6459" s="1"/>
      <c r="O6459" s="1"/>
      <c r="P6459" s="1"/>
      <c r="Q6459" s="1"/>
      <c r="R6459" s="1"/>
      <c r="S6459" s="1"/>
      <c r="T6459" s="1"/>
      <c r="U6459" s="1"/>
      <c r="V6459" s="1"/>
      <c r="W6459" s="1"/>
      <c r="X6459" s="1"/>
      <c r="Y6459" s="1"/>
      <c r="Z6459" s="1"/>
      <c r="AA6459" s="1"/>
      <c r="AB6459" s="1"/>
    </row>
    <row r="6460" ht="50.25" customHeight="1">
      <c r="A6460" s="12">
        <v>6456.0</v>
      </c>
      <c r="B6460" s="13" t="s">
        <v>6141</v>
      </c>
      <c r="C6460" s="14" t="s">
        <v>6483</v>
      </c>
      <c r="D6460" s="1"/>
      <c r="E6460" s="1"/>
      <c r="F6460" s="1" t="str">
        <f>IFERROR(__xludf.DUMMYFUNCTION("GOOGLETRANSLATE(B6460, ""en"", ""fa"")
"),"موفقیت آمازون")</f>
        <v>موفقیت آمازون</v>
      </c>
      <c r="G6460" s="1" t="str">
        <f>IFERROR(__xludf.DUMMYFUNCTION("GOOGLETRANSLATE(C6460, ""en"", ""fa"")
"),"درباره نقش بهینه سازی لیست محصولات برای فیلترهای جستجوی خاص، مانند رتبه بندی مشتریان یا سازگاری محصول، بحث کنید.")</f>
        <v>درباره نقش بهینه سازی لیست محصولات برای فیلترهای جستجوی خاص، مانند رتبه بندی مشتریان یا سازگاری محصول، بحث کنید.</v>
      </c>
      <c r="H6460" s="1"/>
      <c r="I6460" s="1"/>
      <c r="J6460" s="1"/>
      <c r="K6460" s="1"/>
      <c r="L6460" s="1"/>
      <c r="M6460" s="1"/>
      <c r="N6460" s="1"/>
      <c r="O6460" s="1"/>
      <c r="P6460" s="1"/>
      <c r="Q6460" s="1"/>
      <c r="R6460" s="1"/>
      <c r="S6460" s="1"/>
      <c r="T6460" s="1"/>
      <c r="U6460" s="1"/>
      <c r="V6460" s="1"/>
      <c r="W6460" s="1"/>
      <c r="X6460" s="1"/>
      <c r="Y6460" s="1"/>
      <c r="Z6460" s="1"/>
      <c r="AA6460" s="1"/>
      <c r="AB6460" s="1"/>
    </row>
    <row r="6461" ht="50.25" customHeight="1">
      <c r="A6461" s="12">
        <v>6457.0</v>
      </c>
      <c r="B6461" s="13" t="s">
        <v>6141</v>
      </c>
      <c r="C6461" s="14" t="s">
        <v>6484</v>
      </c>
      <c r="D6461" s="1"/>
      <c r="E6461" s="1"/>
      <c r="F6461" s="1" t="str">
        <f>IFERROR(__xludf.DUMMYFUNCTION("GOOGLETRANSLATE(B6461, ""en"", ""fa"")
"),"موفقیت آمازون")</f>
        <v>موفقیت آمازون</v>
      </c>
      <c r="G6461" s="1" t="str">
        <f>IFERROR(__xludf.DUMMYFUNCTION("GOOGLETRANSLATE(C6461, ""en"", ""fa"")
"),"نکاتی را برای بهینه سازی لیست محصولات برای عبارات جستجوی خاص که توسط مشتریان در سرگرمی ها، علایق یا فعالیت های تفریحی مختلف استفاده می شود، به اشتراک بگذارید.")</f>
        <v>نکاتی را برای بهینه سازی لیست محصولات برای عبارات جستجوی خاص که توسط مشتریان در سرگرمی ها، علایق یا فعالیت های تفریحی مختلف استفاده می شود، به اشتراک بگذارید.</v>
      </c>
      <c r="H6461" s="1"/>
      <c r="I6461" s="1"/>
      <c r="J6461" s="1"/>
      <c r="K6461" s="1"/>
      <c r="L6461" s="1"/>
      <c r="M6461" s="1"/>
      <c r="N6461" s="1"/>
      <c r="O6461" s="1"/>
      <c r="P6461" s="1"/>
      <c r="Q6461" s="1"/>
      <c r="R6461" s="1"/>
      <c r="S6461" s="1"/>
      <c r="T6461" s="1"/>
      <c r="U6461" s="1"/>
      <c r="V6461" s="1"/>
      <c r="W6461" s="1"/>
      <c r="X6461" s="1"/>
      <c r="Y6461" s="1"/>
      <c r="Z6461" s="1"/>
      <c r="AA6461" s="1"/>
      <c r="AB6461" s="1"/>
    </row>
    <row r="6462" ht="50.25" customHeight="1">
      <c r="A6462" s="12">
        <v>6458.0</v>
      </c>
      <c r="B6462" s="13" t="s">
        <v>6141</v>
      </c>
      <c r="C6462" s="14" t="s">
        <v>6485</v>
      </c>
      <c r="D6462" s="1"/>
      <c r="E6462" s="1"/>
      <c r="F6462" s="1" t="str">
        <f>IFERROR(__xludf.DUMMYFUNCTION("GOOGLETRANSLATE(B6462, ""en"", ""fa"")
"),"موفقیت آمازون")</f>
        <v>موفقیت آمازون</v>
      </c>
      <c r="G6462" s="1" t="str">
        <f>IFERROR(__xludf.DUMMYFUNCTION("GOOGLETRANSLATE(C6462, ""en"", ""fa"")
"),"بهترین روش‌ها برای بهینه‌سازی فهرست‌های محصولات برای فیلترهای جستجوی خاص، مانند در دسترس بودن پیکاپ محلی یا واجد شرایط بودن Prime چیست؟")</f>
        <v>بهترین روش‌ها برای بهینه‌سازی فهرست‌های محصولات برای فیلترهای جستجوی خاص، مانند در دسترس بودن پیکاپ محلی یا واجد شرایط بودن Prime چیست؟</v>
      </c>
      <c r="H6462" s="1"/>
      <c r="I6462" s="1"/>
      <c r="J6462" s="1"/>
      <c r="K6462" s="1"/>
      <c r="L6462" s="1"/>
      <c r="M6462" s="1"/>
      <c r="N6462" s="1"/>
      <c r="O6462" s="1"/>
      <c r="P6462" s="1"/>
      <c r="Q6462" s="1"/>
      <c r="R6462" s="1"/>
      <c r="S6462" s="1"/>
      <c r="T6462" s="1"/>
      <c r="U6462" s="1"/>
      <c r="V6462" s="1"/>
      <c r="W6462" s="1"/>
      <c r="X6462" s="1"/>
      <c r="Y6462" s="1"/>
      <c r="Z6462" s="1"/>
      <c r="AA6462" s="1"/>
      <c r="AB6462" s="1"/>
    </row>
    <row r="6463" ht="50.25" customHeight="1">
      <c r="A6463" s="12">
        <v>6459.0</v>
      </c>
      <c r="B6463" s="13" t="s">
        <v>6141</v>
      </c>
      <c r="C6463" s="14" t="s">
        <v>6486</v>
      </c>
      <c r="D6463" s="1"/>
      <c r="E6463" s="1"/>
      <c r="F6463" s="1" t="str">
        <f>IFERROR(__xludf.DUMMYFUNCTION("GOOGLETRANSLATE(B6463, ""en"", ""fa"")
"),"موفقیت آمازون")</f>
        <v>موفقیت آمازون</v>
      </c>
      <c r="G6463" s="1" t="str">
        <f>IFERROR(__xludf.DUMMYFUNCTION("GOOGLETRANSLATE(C6463, ""en"", ""fa"")
"),"اهمیت بهینه سازی لیست محصولات را برای عبارات جستجوی خاص مورد استفاده مشتریان در زمینه های فرهنگی یا قومی مختلف توضیح دهید.")</f>
        <v>اهمیت بهینه سازی لیست محصولات را برای عبارات جستجوی خاص مورد استفاده مشتریان در زمینه های فرهنگی یا قومی مختلف توضیح دهید.</v>
      </c>
      <c r="H6463" s="1"/>
      <c r="I6463" s="1"/>
      <c r="J6463" s="1"/>
      <c r="K6463" s="1"/>
      <c r="L6463" s="1"/>
      <c r="M6463" s="1"/>
      <c r="N6463" s="1"/>
      <c r="O6463" s="1"/>
      <c r="P6463" s="1"/>
      <c r="Q6463" s="1"/>
      <c r="R6463" s="1"/>
      <c r="S6463" s="1"/>
      <c r="T6463" s="1"/>
      <c r="U6463" s="1"/>
      <c r="V6463" s="1"/>
      <c r="W6463" s="1"/>
      <c r="X6463" s="1"/>
      <c r="Y6463" s="1"/>
      <c r="Z6463" s="1"/>
      <c r="AA6463" s="1"/>
      <c r="AB6463" s="1"/>
    </row>
    <row r="6464" ht="50.25" customHeight="1">
      <c r="A6464" s="12">
        <v>6460.0</v>
      </c>
      <c r="B6464" s="13" t="s">
        <v>6141</v>
      </c>
      <c r="C6464" s="14" t="s">
        <v>6487</v>
      </c>
      <c r="D6464" s="1"/>
      <c r="E6464" s="1"/>
      <c r="F6464" s="1" t="str">
        <f>IFERROR(__xludf.DUMMYFUNCTION("GOOGLETRANSLATE(B6464, ""en"", ""fa"")
"),"موفقیت آمازون")</f>
        <v>موفقیت آمازون</v>
      </c>
      <c r="G6464" s="1" t="str">
        <f>IFERROR(__xludf.DUMMYFUNCTION("GOOGLETRANSLATE(C6464, ""en"", ""fa"")
"),"چگونه فروشندگان می‌توانند از رفتار جستجوی مشتری و گزارش‌های عبارت جستجو برای شناسایی و هدف قرار دادن کلمات کلیدی خاص یا طولانی برای بهینه‌سازی موتور جستجو استفاده کنند؟")</f>
        <v>چگونه فروشندگان می‌توانند از رفتار جستجوی مشتری و گزارش‌های عبارت جستجو برای شناسایی و هدف قرار دادن کلمات کلیدی خاص یا طولانی برای بهینه‌سازی موتور جستجو استفاده کنند؟</v>
      </c>
      <c r="H6464" s="1"/>
      <c r="I6464" s="1"/>
      <c r="J6464" s="1"/>
      <c r="K6464" s="1"/>
      <c r="L6464" s="1"/>
      <c r="M6464" s="1"/>
      <c r="N6464" s="1"/>
      <c r="O6464" s="1"/>
      <c r="P6464" s="1"/>
      <c r="Q6464" s="1"/>
      <c r="R6464" s="1"/>
      <c r="S6464" s="1"/>
      <c r="T6464" s="1"/>
      <c r="U6464" s="1"/>
      <c r="V6464" s="1"/>
      <c r="W6464" s="1"/>
      <c r="X6464" s="1"/>
      <c r="Y6464" s="1"/>
      <c r="Z6464" s="1"/>
      <c r="AA6464" s="1"/>
      <c r="AB6464" s="1"/>
    </row>
    <row r="6465" ht="50.25" customHeight="1">
      <c r="A6465" s="12">
        <v>6461.0</v>
      </c>
      <c r="B6465" s="13" t="s">
        <v>6141</v>
      </c>
      <c r="C6465" s="14" t="s">
        <v>6488</v>
      </c>
      <c r="D6465" s="1"/>
      <c r="E6465" s="1"/>
      <c r="F6465" s="1" t="str">
        <f>IFERROR(__xludf.DUMMYFUNCTION("GOOGLETRANSLATE(B6465, ""en"", ""fa"")
"),"موفقیت آمازون")</f>
        <v>موفقیت آمازون</v>
      </c>
      <c r="G6465" s="1" t="str">
        <f>IFERROR(__xludf.DUMMYFUNCTION("GOOGLETRANSLATE(C6465, ""en"", ""fa"")
"),"در مورد اهمیت بهینه سازی لیست محصولات برای فیلترهای جستجوی خاص، مانند مواد یا مواد تشکیل دهنده محصول بحث کنید.")</f>
        <v>در مورد اهمیت بهینه سازی لیست محصولات برای فیلترهای جستجوی خاص، مانند مواد یا مواد تشکیل دهنده محصول بحث کنید.</v>
      </c>
      <c r="H6465" s="1"/>
      <c r="I6465" s="1"/>
      <c r="J6465" s="1"/>
      <c r="K6465" s="1"/>
      <c r="L6465" s="1"/>
      <c r="M6465" s="1"/>
      <c r="N6465" s="1"/>
      <c r="O6465" s="1"/>
      <c r="P6465" s="1"/>
      <c r="Q6465" s="1"/>
      <c r="R6465" s="1"/>
      <c r="S6465" s="1"/>
      <c r="T6465" s="1"/>
      <c r="U6465" s="1"/>
      <c r="V6465" s="1"/>
      <c r="W6465" s="1"/>
      <c r="X6465" s="1"/>
      <c r="Y6465" s="1"/>
      <c r="Z6465" s="1"/>
      <c r="AA6465" s="1"/>
      <c r="AB6465" s="1"/>
    </row>
    <row r="6466" ht="50.25" customHeight="1">
      <c r="A6466" s="12">
        <v>6462.0</v>
      </c>
      <c r="B6466" s="13" t="s">
        <v>6141</v>
      </c>
      <c r="C6466" s="14" t="s">
        <v>6489</v>
      </c>
      <c r="D6466" s="1"/>
      <c r="E6466" s="1"/>
      <c r="F6466" s="1" t="str">
        <f>IFERROR(__xludf.DUMMYFUNCTION("GOOGLETRANSLATE(B6466, ""en"", ""fa"")
"),"موفقیت آمازون")</f>
        <v>موفقیت آمازون</v>
      </c>
      <c r="G6466" s="1" t="str">
        <f>IFERROR(__xludf.DUMMYFUNCTION("GOOGLETRANSLATE(C6466, ""en"", ""fa"")
"),"درباره نحوه بهینه‌سازی فهرست‌های محصولات برای عبارات جستجوی خاص که توسط مشتریانی با ترجیحات سبک یا گرایش‌های مد مختلف استفاده می‌شود، اطلاعاتی را به اشتراک بگذارید.")</f>
        <v>درباره نحوه بهینه‌سازی فهرست‌های محصولات برای عبارات جستجوی خاص که توسط مشتریانی با ترجیحات سبک یا گرایش‌های مد مختلف استفاده می‌شود، اطلاعاتی را به اشتراک بگذارید.</v>
      </c>
      <c r="H6466" s="1"/>
      <c r="I6466" s="1"/>
      <c r="J6466" s="1"/>
      <c r="K6466" s="1"/>
      <c r="L6466" s="1"/>
      <c r="M6466" s="1"/>
      <c r="N6466" s="1"/>
      <c r="O6466" s="1"/>
      <c r="P6466" s="1"/>
      <c r="Q6466" s="1"/>
      <c r="R6466" s="1"/>
      <c r="S6466" s="1"/>
      <c r="T6466" s="1"/>
      <c r="U6466" s="1"/>
      <c r="V6466" s="1"/>
      <c r="W6466" s="1"/>
      <c r="X6466" s="1"/>
      <c r="Y6466" s="1"/>
      <c r="Z6466" s="1"/>
      <c r="AA6466" s="1"/>
      <c r="AB6466" s="1"/>
    </row>
    <row r="6467" ht="50.25" customHeight="1">
      <c r="A6467" s="12">
        <v>6463.0</v>
      </c>
      <c r="B6467" s="13" t="s">
        <v>6141</v>
      </c>
      <c r="C6467" s="14" t="s">
        <v>6490</v>
      </c>
      <c r="D6467" s="1"/>
      <c r="E6467" s="1"/>
      <c r="F6467" s="1" t="str">
        <f>IFERROR(__xludf.DUMMYFUNCTION("GOOGLETRANSLATE(B6467, ""en"", ""fa"")
"),"موفقیت آمازون")</f>
        <v>موفقیت آمازون</v>
      </c>
      <c r="G6467" s="1" t="str">
        <f>IFERROR(__xludf.DUMMYFUNCTION("GOOGLETRANSLATE(C6467, ""en"", ""fa"")
"),"ملاحظات کلیدی هنگام بهینه سازی عبارات جستجوی باطن برای عبارات جستجوی خاص مورد استفاده توسط مشتریان با سطوح مختلف دانش فنی یا سواد دیجیتال چیست؟")</f>
        <v>ملاحظات کلیدی هنگام بهینه سازی عبارات جستجوی باطن برای عبارات جستجوی خاص مورد استفاده توسط مشتریان با سطوح مختلف دانش فنی یا سواد دیجیتال چیست؟</v>
      </c>
      <c r="H6467" s="1"/>
      <c r="I6467" s="1"/>
      <c r="J6467" s="1"/>
      <c r="K6467" s="1"/>
      <c r="L6467" s="1"/>
      <c r="M6467" s="1"/>
      <c r="N6467" s="1"/>
      <c r="O6467" s="1"/>
      <c r="P6467" s="1"/>
      <c r="Q6467" s="1"/>
      <c r="R6467" s="1"/>
      <c r="S6467" s="1"/>
      <c r="T6467" s="1"/>
      <c r="U6467" s="1"/>
      <c r="V6467" s="1"/>
      <c r="W6467" s="1"/>
      <c r="X6467" s="1"/>
      <c r="Y6467" s="1"/>
      <c r="Z6467" s="1"/>
      <c r="AA6467" s="1"/>
      <c r="AB6467" s="1"/>
    </row>
    <row r="6468" ht="50.25" customHeight="1">
      <c r="A6468" s="12">
        <v>6464.0</v>
      </c>
      <c r="B6468" s="13" t="s">
        <v>6141</v>
      </c>
      <c r="C6468" s="14" t="s">
        <v>6491</v>
      </c>
      <c r="D6468" s="1"/>
      <c r="E6468" s="1"/>
      <c r="F6468" s="1" t="str">
        <f>IFERROR(__xludf.DUMMYFUNCTION("GOOGLETRANSLATE(B6468, ""en"", ""fa"")
"),"موفقیت آمازون")</f>
        <v>موفقیت آمازون</v>
      </c>
      <c r="G6468" s="1" t="str">
        <f>IFERROR(__xludf.DUMMYFUNCTION("GOOGLETRANSLATE(C6468, ""en"", ""fa"")
"),"عوامل کلیدی که باید در هنگام تعیین استراتژی قیمت گذاری بهینه برای محصول خود در نظر بگیرید چیست؟")</f>
        <v>عوامل کلیدی که باید در هنگام تعیین استراتژی قیمت گذاری بهینه برای محصول خود در نظر بگیرید چیست؟</v>
      </c>
      <c r="H6468" s="1"/>
      <c r="I6468" s="1"/>
      <c r="J6468" s="1"/>
      <c r="K6468" s="1"/>
      <c r="L6468" s="1"/>
      <c r="M6468" s="1"/>
      <c r="N6468" s="1"/>
      <c r="O6468" s="1"/>
      <c r="P6468" s="1"/>
      <c r="Q6468" s="1"/>
      <c r="R6468" s="1"/>
      <c r="S6468" s="1"/>
      <c r="T6468" s="1"/>
      <c r="U6468" s="1"/>
      <c r="V6468" s="1"/>
      <c r="W6468" s="1"/>
      <c r="X6468" s="1"/>
      <c r="Y6468" s="1"/>
      <c r="Z6468" s="1"/>
      <c r="AA6468" s="1"/>
      <c r="AB6468" s="1"/>
    </row>
    <row r="6469" ht="50.25" customHeight="1">
      <c r="A6469" s="12">
        <v>6465.0</v>
      </c>
      <c r="B6469" s="13" t="s">
        <v>6141</v>
      </c>
      <c r="C6469" s="14" t="s">
        <v>6492</v>
      </c>
      <c r="D6469" s="1"/>
      <c r="E6469" s="1"/>
      <c r="F6469" s="1" t="str">
        <f>IFERROR(__xludf.DUMMYFUNCTION("GOOGLETRANSLATE(B6469, ""en"", ""fa"")
"),"موفقیت آمازون")</f>
        <v>موفقیت آمازون</v>
      </c>
      <c r="G6469" s="1" t="str">
        <f>IFERROR(__xludf.DUMMYFUNCTION("GOOGLETRANSLATE(C6469, ""en"", ""fa"")
"),"مزایا و معایب استفاده از استراتژی قیمت گذاری مبتنی بر هزینه را مورد بحث قرار دهید.")</f>
        <v>مزایا و معایب استفاده از استراتژی قیمت گذاری مبتنی بر هزینه را مورد بحث قرار دهید.</v>
      </c>
      <c r="H6469" s="1"/>
      <c r="I6469" s="1"/>
      <c r="J6469" s="1"/>
      <c r="K6469" s="1"/>
      <c r="L6469" s="1"/>
      <c r="M6469" s="1"/>
      <c r="N6469" s="1"/>
      <c r="O6469" s="1"/>
      <c r="P6469" s="1"/>
      <c r="Q6469" s="1"/>
      <c r="R6469" s="1"/>
      <c r="S6469" s="1"/>
      <c r="T6469" s="1"/>
      <c r="U6469" s="1"/>
      <c r="V6469" s="1"/>
      <c r="W6469" s="1"/>
      <c r="X6469" s="1"/>
      <c r="Y6469" s="1"/>
      <c r="Z6469" s="1"/>
      <c r="AA6469" s="1"/>
      <c r="AB6469" s="1"/>
    </row>
    <row r="6470" ht="50.25" customHeight="1">
      <c r="A6470" s="12">
        <v>6466.0</v>
      </c>
      <c r="B6470" s="13" t="s">
        <v>6141</v>
      </c>
      <c r="C6470" s="14" t="s">
        <v>6493</v>
      </c>
      <c r="D6470" s="1"/>
      <c r="E6470" s="1"/>
      <c r="F6470" s="1" t="str">
        <f>IFERROR(__xludf.DUMMYFUNCTION("GOOGLETRANSLATE(B6470, ""en"", ""fa"")
"),"موفقیت آمازون")</f>
        <v>موفقیت آمازون</v>
      </c>
      <c r="G6470" s="1" t="str">
        <f>IFERROR(__xludf.DUMMYFUNCTION("GOOGLETRANSLATE(C6470, ""en"", ""fa"")
"),"در مورد نحوه استفاده موثر از استراتژی قیمت گذاری مبتنی بر ارزش برای جلب تمایل مشتری به پرداخت، بینش هایی را به اشتراک بگذارید.")</f>
        <v>در مورد نحوه استفاده موثر از استراتژی قیمت گذاری مبتنی بر ارزش برای جلب تمایل مشتری به پرداخت، بینش هایی را به اشتراک بگذارید.</v>
      </c>
      <c r="H6470" s="1"/>
      <c r="I6470" s="1"/>
      <c r="J6470" s="1"/>
      <c r="K6470" s="1"/>
      <c r="L6470" s="1"/>
      <c r="M6470" s="1"/>
      <c r="N6470" s="1"/>
      <c r="O6470" s="1"/>
      <c r="P6470" s="1"/>
      <c r="Q6470" s="1"/>
      <c r="R6470" s="1"/>
      <c r="S6470" s="1"/>
      <c r="T6470" s="1"/>
      <c r="U6470" s="1"/>
      <c r="V6470" s="1"/>
      <c r="W6470" s="1"/>
      <c r="X6470" s="1"/>
      <c r="Y6470" s="1"/>
      <c r="Z6470" s="1"/>
      <c r="AA6470" s="1"/>
      <c r="AB6470" s="1"/>
    </row>
    <row r="6471" ht="50.25" customHeight="1">
      <c r="A6471" s="12">
        <v>6467.0</v>
      </c>
      <c r="B6471" s="13" t="s">
        <v>6141</v>
      </c>
      <c r="C6471" s="14" t="s">
        <v>6494</v>
      </c>
      <c r="D6471" s="1"/>
      <c r="E6471" s="1"/>
      <c r="F6471" s="1" t="str">
        <f>IFERROR(__xludf.DUMMYFUNCTION("GOOGLETRANSLATE(B6471, ""en"", ""fa"")
"),"موفقیت آمازون")</f>
        <v>موفقیت آمازون</v>
      </c>
      <c r="G6471" s="1" t="str">
        <f>IFERROR(__xludf.DUMMYFUNCTION("GOOGLETRANSLATE(C6471, ""en"", ""fa"")
"),"نقش تحقیقات بازار و تحلیل رقبا را در توسعه استراتژی قیمت گذاری رقابتی توضیح دهید.")</f>
        <v>نقش تحقیقات بازار و تحلیل رقبا را در توسعه استراتژی قیمت گذاری رقابتی توضیح دهید.</v>
      </c>
      <c r="H6471" s="1"/>
      <c r="I6471" s="1"/>
      <c r="J6471" s="1"/>
      <c r="K6471" s="1"/>
      <c r="L6471" s="1"/>
      <c r="M6471" s="1"/>
      <c r="N6471" s="1"/>
      <c r="O6471" s="1"/>
      <c r="P6471" s="1"/>
      <c r="Q6471" s="1"/>
      <c r="R6471" s="1"/>
      <c r="S6471" s="1"/>
      <c r="T6471" s="1"/>
      <c r="U6471" s="1"/>
      <c r="V6471" s="1"/>
      <c r="W6471" s="1"/>
      <c r="X6471" s="1"/>
      <c r="Y6471" s="1"/>
      <c r="Z6471" s="1"/>
      <c r="AA6471" s="1"/>
      <c r="AB6471" s="1"/>
    </row>
    <row r="6472" ht="50.25" customHeight="1">
      <c r="A6472" s="12">
        <v>6468.0</v>
      </c>
      <c r="B6472" s="13" t="s">
        <v>6141</v>
      </c>
      <c r="C6472" s="14" t="s">
        <v>6495</v>
      </c>
      <c r="D6472" s="1"/>
      <c r="E6472" s="1"/>
      <c r="F6472" s="1" t="str">
        <f>IFERROR(__xludf.DUMMYFUNCTION("GOOGLETRANSLATE(B6472, ""en"", ""fa"")
"),"موفقیت آمازون")</f>
        <v>موفقیت آمازون</v>
      </c>
      <c r="G6472" s="1" t="str">
        <f>IFERROR(__xludf.DUMMYFUNCTION("GOOGLETRANSLATE(C6472, ""en"", ""fa"")
"),"چگونه فروشندگان می توانند از استراتژی های قیمت گذاری پویا برای تنظیم قیمت ها در زمان واقعی بر اساس شرایط بازار و تقاضا استفاده کنند؟")</f>
        <v>چگونه فروشندگان می توانند از استراتژی های قیمت گذاری پویا برای تنظیم قیمت ها در زمان واقعی بر اساس شرایط بازار و تقاضا استفاده کنند؟</v>
      </c>
      <c r="H6472" s="1"/>
      <c r="I6472" s="1"/>
      <c r="J6472" s="1"/>
      <c r="K6472" s="1"/>
      <c r="L6472" s="1"/>
      <c r="M6472" s="1"/>
      <c r="N6472" s="1"/>
      <c r="O6472" s="1"/>
      <c r="P6472" s="1"/>
      <c r="Q6472" s="1"/>
      <c r="R6472" s="1"/>
      <c r="S6472" s="1"/>
      <c r="T6472" s="1"/>
      <c r="U6472" s="1"/>
      <c r="V6472" s="1"/>
      <c r="W6472" s="1"/>
      <c r="X6472" s="1"/>
      <c r="Y6472" s="1"/>
      <c r="Z6472" s="1"/>
      <c r="AA6472" s="1"/>
      <c r="AB6472" s="1"/>
    </row>
    <row r="6473" ht="50.25" customHeight="1">
      <c r="A6473" s="12">
        <v>6469.0</v>
      </c>
      <c r="B6473" s="13" t="s">
        <v>6141</v>
      </c>
      <c r="C6473" s="14" t="s">
        <v>6496</v>
      </c>
      <c r="D6473" s="1"/>
      <c r="E6473" s="1"/>
      <c r="F6473" s="1" t="str">
        <f>IFERROR(__xludf.DUMMYFUNCTION("GOOGLETRANSLATE(B6473, ""en"", ""fa"")
"),"موفقیت آمازون")</f>
        <v>موفقیت آمازون</v>
      </c>
      <c r="G6473" s="1" t="str">
        <f>IFERROR(__xludf.DUMMYFUNCTION("GOOGLETRANSLATE(C6473, ""en"", ""fa"")
"),"در مورد اهمیت استفاده از تکنیک‌های قیمت‌گذاری روان‌شناختی، مانند قیمت‌گذاری جذاب یا بسته‌بندی قیمت، برای تأثیرگذاری بر ادراک مشتری بحث کنید.")</f>
        <v>در مورد اهمیت استفاده از تکنیک‌های قیمت‌گذاری روان‌شناختی، مانند قیمت‌گذاری جذاب یا بسته‌بندی قیمت، برای تأثیرگذاری بر ادراک مشتری بحث کنید.</v>
      </c>
      <c r="H6473" s="1"/>
      <c r="I6473" s="1"/>
      <c r="J6473" s="1"/>
      <c r="K6473" s="1"/>
      <c r="L6473" s="1"/>
      <c r="M6473" s="1"/>
      <c r="N6473" s="1"/>
      <c r="O6473" s="1"/>
      <c r="P6473" s="1"/>
      <c r="Q6473" s="1"/>
      <c r="R6473" s="1"/>
      <c r="S6473" s="1"/>
      <c r="T6473" s="1"/>
      <c r="U6473" s="1"/>
      <c r="V6473" s="1"/>
      <c r="W6473" s="1"/>
      <c r="X6473" s="1"/>
      <c r="Y6473" s="1"/>
      <c r="Z6473" s="1"/>
      <c r="AA6473" s="1"/>
      <c r="AB6473" s="1"/>
    </row>
    <row r="6474" ht="50.25" customHeight="1">
      <c r="A6474" s="12">
        <v>6470.0</v>
      </c>
      <c r="B6474" s="13" t="s">
        <v>6141</v>
      </c>
      <c r="C6474" s="14" t="s">
        <v>6497</v>
      </c>
      <c r="D6474" s="1"/>
      <c r="E6474" s="1"/>
      <c r="F6474" s="1" t="str">
        <f>IFERROR(__xludf.DUMMYFUNCTION("GOOGLETRANSLATE(B6474, ""en"", ""fa"")
"),"موفقیت آمازون")</f>
        <v>موفقیت آمازون</v>
      </c>
      <c r="G6474" s="1" t="str">
        <f>IFERROR(__xludf.DUMMYFUNCTION("GOOGLETRANSLATE(C6474, ""en"", ""fa"")
"),"بهترین شیوه ها برای اجرای استراتژی قیمت گذاری نفوذ برای به دست آوردن سهم بازار و جذب مشتریان جدید چیست؟")</f>
        <v>بهترین شیوه ها برای اجرای استراتژی قیمت گذاری نفوذ برای به دست آوردن سهم بازار و جذب مشتریان جدید چیست؟</v>
      </c>
      <c r="H6474" s="1"/>
      <c r="I6474" s="1"/>
      <c r="J6474" s="1"/>
      <c r="K6474" s="1"/>
      <c r="L6474" s="1"/>
      <c r="M6474" s="1"/>
      <c r="N6474" s="1"/>
      <c r="O6474" s="1"/>
      <c r="P6474" s="1"/>
      <c r="Q6474" s="1"/>
      <c r="R6474" s="1"/>
      <c r="S6474" s="1"/>
      <c r="T6474" s="1"/>
      <c r="U6474" s="1"/>
      <c r="V6474" s="1"/>
      <c r="W6474" s="1"/>
      <c r="X6474" s="1"/>
      <c r="Y6474" s="1"/>
      <c r="Z6474" s="1"/>
      <c r="AA6474" s="1"/>
      <c r="AB6474" s="1"/>
    </row>
    <row r="6475" ht="50.25" customHeight="1">
      <c r="A6475" s="12">
        <v>6471.0</v>
      </c>
      <c r="B6475" s="13" t="s">
        <v>6141</v>
      </c>
      <c r="C6475" s="14" t="s">
        <v>6498</v>
      </c>
      <c r="D6475" s="1"/>
      <c r="E6475" s="1"/>
      <c r="F6475" s="1" t="str">
        <f>IFERROR(__xludf.DUMMYFUNCTION("GOOGLETRANSLATE(B6475, ""en"", ""fa"")
"),"موفقیت آمازون")</f>
        <v>موفقیت آمازون</v>
      </c>
      <c r="G6475" s="1" t="str">
        <f>IFERROR(__xludf.DUMMYFUNCTION("GOOGLETRANSLATE(C6475, ""en"", ""fa"")
"),"نکاتی را برای استفاده موثر از کاهش قیمت به عنوان یک استراتژی قیمت گذاری برای به حداکثر رساندن درآمد در طول عرضه اولیه محصول به اشتراک بگذارید.")</f>
        <v>نکاتی را برای استفاده موثر از کاهش قیمت به عنوان یک استراتژی قیمت گذاری برای به حداکثر رساندن درآمد در طول عرضه اولیه محصول به اشتراک بگذارید.</v>
      </c>
      <c r="H6475" s="1"/>
      <c r="I6475" s="1"/>
      <c r="J6475" s="1"/>
      <c r="K6475" s="1"/>
      <c r="L6475" s="1"/>
      <c r="M6475" s="1"/>
      <c r="N6475" s="1"/>
      <c r="O6475" s="1"/>
      <c r="P6475" s="1"/>
      <c r="Q6475" s="1"/>
      <c r="R6475" s="1"/>
      <c r="S6475" s="1"/>
      <c r="T6475" s="1"/>
      <c r="U6475" s="1"/>
      <c r="V6475" s="1"/>
      <c r="W6475" s="1"/>
      <c r="X6475" s="1"/>
      <c r="Y6475" s="1"/>
      <c r="Z6475" s="1"/>
      <c r="AA6475" s="1"/>
      <c r="AB6475" s="1"/>
    </row>
    <row r="6476" ht="50.25" customHeight="1">
      <c r="A6476" s="12">
        <v>6472.0</v>
      </c>
      <c r="B6476" s="13" t="s">
        <v>6141</v>
      </c>
      <c r="C6476" s="14" t="s">
        <v>6499</v>
      </c>
      <c r="D6476" s="1"/>
      <c r="E6476" s="1"/>
      <c r="F6476" s="1" t="str">
        <f>IFERROR(__xludf.DUMMYFUNCTION("GOOGLETRANSLATE(B6476, ""en"", ""fa"")
"),"موفقیت آمازون")</f>
        <v>موفقیت آمازون</v>
      </c>
      <c r="G6476" s="1" t="str">
        <f>IFERROR(__xludf.DUMMYFUNCTION("GOOGLETRANSLATE(C6476, ""en"", ""fa"")
"),"اهمیت در نظر گرفتن کشش قیمتی تقاضا هنگام توسعه استراتژی قیمت گذاری را توضیح دهید.")</f>
        <v>اهمیت در نظر گرفتن کشش قیمتی تقاضا هنگام توسعه استراتژی قیمت گذاری را توضیح دهید.</v>
      </c>
      <c r="H6476" s="1"/>
      <c r="I6476" s="1"/>
      <c r="J6476" s="1"/>
      <c r="K6476" s="1"/>
      <c r="L6476" s="1"/>
      <c r="M6476" s="1"/>
      <c r="N6476" s="1"/>
      <c r="O6476" s="1"/>
      <c r="P6476" s="1"/>
      <c r="Q6476" s="1"/>
      <c r="R6476" s="1"/>
      <c r="S6476" s="1"/>
      <c r="T6476" s="1"/>
      <c r="U6476" s="1"/>
      <c r="V6476" s="1"/>
      <c r="W6476" s="1"/>
      <c r="X6476" s="1"/>
      <c r="Y6476" s="1"/>
      <c r="Z6476" s="1"/>
      <c r="AA6476" s="1"/>
      <c r="AB6476" s="1"/>
    </row>
    <row r="6477" ht="50.25" customHeight="1">
      <c r="A6477" s="12">
        <v>6473.0</v>
      </c>
      <c r="B6477" s="13" t="s">
        <v>6141</v>
      </c>
      <c r="C6477" s="14" t="s">
        <v>6500</v>
      </c>
      <c r="D6477" s="1"/>
      <c r="E6477" s="1"/>
      <c r="F6477" s="1" t="str">
        <f>IFERROR(__xludf.DUMMYFUNCTION("GOOGLETRANSLATE(B6477, ""en"", ""fa"")
"),"موفقیت آمازون")</f>
        <v>موفقیت آمازون</v>
      </c>
      <c r="G6477" s="1" t="str">
        <f>IFERROR(__xludf.DUMMYFUNCTION("GOOGLETRANSLATE(C6477, ""en"", ""fa"")
"),"چگونه فروشندگان می توانند از استراتژی های قیمت گذاری تبلیغاتی، مانند تخفیف یا کوپن، برای افزایش فروش و جذب مشتری استفاده کنند؟")</f>
        <v>چگونه فروشندگان می توانند از استراتژی های قیمت گذاری تبلیغاتی، مانند تخفیف یا کوپن، برای افزایش فروش و جذب مشتری استفاده کنند؟</v>
      </c>
      <c r="H6477" s="1"/>
      <c r="I6477" s="1"/>
      <c r="J6477" s="1"/>
      <c r="K6477" s="1"/>
      <c r="L6477" s="1"/>
      <c r="M6477" s="1"/>
      <c r="N6477" s="1"/>
      <c r="O6477" s="1"/>
      <c r="P6477" s="1"/>
      <c r="Q6477" s="1"/>
      <c r="R6477" s="1"/>
      <c r="S6477" s="1"/>
      <c r="T6477" s="1"/>
      <c r="U6477" s="1"/>
      <c r="V6477" s="1"/>
      <c r="W6477" s="1"/>
      <c r="X6477" s="1"/>
      <c r="Y6477" s="1"/>
      <c r="Z6477" s="1"/>
      <c r="AA6477" s="1"/>
      <c r="AB6477" s="1"/>
    </row>
    <row r="6478" ht="50.25" customHeight="1">
      <c r="A6478" s="12">
        <v>6474.0</v>
      </c>
      <c r="B6478" s="13" t="s">
        <v>6141</v>
      </c>
      <c r="C6478" s="14" t="s">
        <v>6501</v>
      </c>
      <c r="D6478" s="1"/>
      <c r="E6478" s="1"/>
      <c r="F6478" s="1" t="str">
        <f>IFERROR(__xludf.DUMMYFUNCTION("GOOGLETRANSLATE(B6478, ""en"", ""fa"")
"),"موفقیت آمازون")</f>
        <v>موفقیت آمازون</v>
      </c>
      <c r="G6478" s="1" t="str">
        <f>IFERROR(__xludf.DUMMYFUNCTION("GOOGLETRANSLATE(C6478, ""en"", ""fa"")
"),"در مورد نقش الگوریتم های قیمت گذاری پویا و ابزارهای بهینه سازی قیمت گذاری در پیاده سازی یک استراتژی قیمت گذاری موثر بحث کنید.")</f>
        <v>در مورد نقش الگوریتم های قیمت گذاری پویا و ابزارهای بهینه سازی قیمت گذاری در پیاده سازی یک استراتژی قیمت گذاری موثر بحث کنید.</v>
      </c>
      <c r="H6478" s="1"/>
      <c r="I6478" s="1"/>
      <c r="J6478" s="1"/>
      <c r="K6478" s="1"/>
      <c r="L6478" s="1"/>
      <c r="M6478" s="1"/>
      <c r="N6478" s="1"/>
      <c r="O6478" s="1"/>
      <c r="P6478" s="1"/>
      <c r="Q6478" s="1"/>
      <c r="R6478" s="1"/>
      <c r="S6478" s="1"/>
      <c r="T6478" s="1"/>
      <c r="U6478" s="1"/>
      <c r="V6478" s="1"/>
      <c r="W6478" s="1"/>
      <c r="X6478" s="1"/>
      <c r="Y6478" s="1"/>
      <c r="Z6478" s="1"/>
      <c r="AA6478" s="1"/>
      <c r="AB6478" s="1"/>
    </row>
    <row r="6479" ht="50.25" customHeight="1">
      <c r="A6479" s="12">
        <v>6475.0</v>
      </c>
      <c r="B6479" s="13" t="s">
        <v>6141</v>
      </c>
      <c r="C6479" s="14" t="s">
        <v>6502</v>
      </c>
      <c r="D6479" s="1"/>
      <c r="E6479" s="1"/>
      <c r="F6479" s="1" t="str">
        <f>IFERROR(__xludf.DUMMYFUNCTION("GOOGLETRANSLATE(B6479, ""en"", ""fa"")
"),"موفقیت آمازون")</f>
        <v>موفقیت آمازون</v>
      </c>
      <c r="G6479" s="1" t="str">
        <f>IFERROR(__xludf.DUMMYFUNCTION("GOOGLETRANSLATE(C6479, ""en"", ""fa"")
"),"ملاحظات کلیدی هنگام اجرای استراتژی قیمت گذاری ارزش افزوده برای متمایز کردن محصول شما در بازار چیست؟")</f>
        <v>ملاحظات کلیدی هنگام اجرای استراتژی قیمت گذاری ارزش افزوده برای متمایز کردن محصول شما در بازار چیست؟</v>
      </c>
      <c r="H6479" s="1"/>
      <c r="I6479" s="1"/>
      <c r="J6479" s="1"/>
      <c r="K6479" s="1"/>
      <c r="L6479" s="1"/>
      <c r="M6479" s="1"/>
      <c r="N6479" s="1"/>
      <c r="O6479" s="1"/>
      <c r="P6479" s="1"/>
      <c r="Q6479" s="1"/>
      <c r="R6479" s="1"/>
      <c r="S6479" s="1"/>
      <c r="T6479" s="1"/>
      <c r="U6479" s="1"/>
      <c r="V6479" s="1"/>
      <c r="W6479" s="1"/>
      <c r="X6479" s="1"/>
      <c r="Y6479" s="1"/>
      <c r="Z6479" s="1"/>
      <c r="AA6479" s="1"/>
      <c r="AB6479" s="1"/>
    </row>
    <row r="6480" ht="50.25" customHeight="1">
      <c r="A6480" s="12">
        <v>6476.0</v>
      </c>
      <c r="B6480" s="13" t="s">
        <v>6141</v>
      </c>
      <c r="C6480" s="14" t="s">
        <v>6503</v>
      </c>
      <c r="D6480" s="1"/>
      <c r="E6480" s="1"/>
      <c r="F6480" s="1" t="str">
        <f>IFERROR(__xludf.DUMMYFUNCTION("GOOGLETRANSLATE(B6480, ""en"", ""fa"")
"),"موفقیت آمازون")</f>
        <v>موفقیت آمازون</v>
      </c>
      <c r="G6480" s="1" t="str">
        <f>IFERROR(__xludf.DUMMYFUNCTION("GOOGLETRANSLATE(C6480, ""en"", ""fa"")
"),"بینش هایی را در مورد نحوه استفاده موثر از تکنیک های تثبیت قیمت برای تأثیرگذاری بر درک مشتری از ارزش به اشتراک بگذارید.")</f>
        <v>بینش هایی را در مورد نحوه استفاده موثر از تکنیک های تثبیت قیمت برای تأثیرگذاری بر درک مشتری از ارزش به اشتراک بگذارید.</v>
      </c>
      <c r="H6480" s="1"/>
      <c r="I6480" s="1"/>
      <c r="J6480" s="1"/>
      <c r="K6480" s="1"/>
      <c r="L6480" s="1"/>
      <c r="M6480" s="1"/>
      <c r="N6480" s="1"/>
      <c r="O6480" s="1"/>
      <c r="P6480" s="1"/>
      <c r="Q6480" s="1"/>
      <c r="R6480" s="1"/>
      <c r="S6480" s="1"/>
      <c r="T6480" s="1"/>
      <c r="U6480" s="1"/>
      <c r="V6480" s="1"/>
      <c r="W6480" s="1"/>
      <c r="X6480" s="1"/>
      <c r="Y6480" s="1"/>
      <c r="Z6480" s="1"/>
      <c r="AA6480" s="1"/>
      <c r="AB6480" s="1"/>
    </row>
    <row r="6481" ht="50.25" customHeight="1">
      <c r="A6481" s="12">
        <v>6477.0</v>
      </c>
      <c r="B6481" s="13" t="s">
        <v>6141</v>
      </c>
      <c r="C6481" s="14" t="s">
        <v>6504</v>
      </c>
      <c r="D6481" s="1"/>
      <c r="E6481" s="1"/>
      <c r="F6481" s="1" t="str">
        <f>IFERROR(__xludf.DUMMYFUNCTION("GOOGLETRANSLATE(B6481, ""en"", ""fa"")
"),"موفقیت آمازون")</f>
        <v>موفقیت آمازون</v>
      </c>
      <c r="G6481" s="1" t="str">
        <f>IFERROR(__xludf.DUMMYFUNCTION("GOOGLETRANSLATE(C6481, ""en"", ""fa"")
"),"اهمیت اجرای یک استراتژی قیمت گذاری ممتاز را برای قرار دادن محصول خود به عنوان یک پیشنهاد با کیفیت بالا توضیح دهید.")</f>
        <v>اهمیت اجرای یک استراتژی قیمت گذاری ممتاز را برای قرار دادن محصول خود به عنوان یک پیشنهاد با کیفیت بالا توضیح دهید.</v>
      </c>
      <c r="H6481" s="1"/>
      <c r="I6481" s="1"/>
      <c r="J6481" s="1"/>
      <c r="K6481" s="1"/>
      <c r="L6481" s="1"/>
      <c r="M6481" s="1"/>
      <c r="N6481" s="1"/>
      <c r="O6481" s="1"/>
      <c r="P6481" s="1"/>
      <c r="Q6481" s="1"/>
      <c r="R6481" s="1"/>
      <c r="S6481" s="1"/>
      <c r="T6481" s="1"/>
      <c r="U6481" s="1"/>
      <c r="V6481" s="1"/>
      <c r="W6481" s="1"/>
      <c r="X6481" s="1"/>
      <c r="Y6481" s="1"/>
      <c r="Z6481" s="1"/>
      <c r="AA6481" s="1"/>
      <c r="AB6481" s="1"/>
    </row>
    <row r="6482" ht="50.25" customHeight="1">
      <c r="A6482" s="12">
        <v>6478.0</v>
      </c>
      <c r="B6482" s="13" t="s">
        <v>6141</v>
      </c>
      <c r="C6482" s="14" t="s">
        <v>6505</v>
      </c>
      <c r="D6482" s="1"/>
      <c r="E6482" s="1"/>
      <c r="F6482" s="1" t="str">
        <f>IFERROR(__xludf.DUMMYFUNCTION("GOOGLETRANSLATE(B6482, ""en"", ""fa"")
"),"موفقیت آمازون")</f>
        <v>موفقیت آمازون</v>
      </c>
      <c r="G6482" s="1" t="str">
        <f>IFERROR(__xludf.DUMMYFUNCTION("GOOGLETRANSLATE(C6482, ""en"", ""fa"")
"),"چگونه فروشندگان می توانند از استراتژی های تبعیض قیمت، مانند قیمت گذاری سطحی یا قیمت گذاری شخصی، برای پاسخگویی به بخش های مختلف مشتریان استفاده کنند؟")</f>
        <v>چگونه فروشندگان می توانند از استراتژی های تبعیض قیمت، مانند قیمت گذاری سطحی یا قیمت گذاری شخصی، برای پاسخگویی به بخش های مختلف مشتریان استفاده کنند؟</v>
      </c>
      <c r="H6482" s="1"/>
      <c r="I6482" s="1"/>
      <c r="J6482" s="1"/>
      <c r="K6482" s="1"/>
      <c r="L6482" s="1"/>
      <c r="M6482" s="1"/>
      <c r="N6482" s="1"/>
      <c r="O6482" s="1"/>
      <c r="P6482" s="1"/>
      <c r="Q6482" s="1"/>
      <c r="R6482" s="1"/>
      <c r="S6482" s="1"/>
      <c r="T6482" s="1"/>
      <c r="U6482" s="1"/>
      <c r="V6482" s="1"/>
      <c r="W6482" s="1"/>
      <c r="X6482" s="1"/>
      <c r="Y6482" s="1"/>
      <c r="Z6482" s="1"/>
      <c r="AA6482" s="1"/>
      <c r="AB6482" s="1"/>
    </row>
    <row r="6483" ht="50.25" customHeight="1">
      <c r="A6483" s="12">
        <v>6479.0</v>
      </c>
      <c r="B6483" s="13" t="s">
        <v>6141</v>
      </c>
      <c r="C6483" s="14" t="s">
        <v>6506</v>
      </c>
      <c r="D6483" s="1"/>
      <c r="E6483" s="1"/>
      <c r="F6483" s="1" t="str">
        <f>IFERROR(__xludf.DUMMYFUNCTION("GOOGLETRANSLATE(B6483, ""en"", ""fa"")
"),"موفقیت آمازون")</f>
        <v>موفقیت آمازون</v>
      </c>
      <c r="G6483" s="1" t="str">
        <f>IFERROR(__xludf.DUMMYFUNCTION("GOOGLETRANSLATE(C6483, ""en"", ""fa"")
"),"در مورد اهمیت در نظر گرفتن مرحله چرخه عمر محصول هنگام تعیین استراتژی قیمت گذاری مناسب بحث کنید.")</f>
        <v>در مورد اهمیت در نظر گرفتن مرحله چرخه عمر محصول هنگام تعیین استراتژی قیمت گذاری مناسب بحث کنید.</v>
      </c>
      <c r="H6483" s="1"/>
      <c r="I6483" s="1"/>
      <c r="J6483" s="1"/>
      <c r="K6483" s="1"/>
      <c r="L6483" s="1"/>
      <c r="M6483" s="1"/>
      <c r="N6483" s="1"/>
      <c r="O6483" s="1"/>
      <c r="P6483" s="1"/>
      <c r="Q6483" s="1"/>
      <c r="R6483" s="1"/>
      <c r="S6483" s="1"/>
      <c r="T6483" s="1"/>
      <c r="U6483" s="1"/>
      <c r="V6483" s="1"/>
      <c r="W6483" s="1"/>
      <c r="X6483" s="1"/>
      <c r="Y6483" s="1"/>
      <c r="Z6483" s="1"/>
      <c r="AA6483" s="1"/>
      <c r="AB6483" s="1"/>
    </row>
    <row r="6484" ht="50.25" customHeight="1">
      <c r="A6484" s="12">
        <v>6480.0</v>
      </c>
      <c r="B6484" s="13" t="s">
        <v>6141</v>
      </c>
      <c r="C6484" s="14" t="s">
        <v>6507</v>
      </c>
      <c r="D6484" s="1"/>
      <c r="E6484" s="1"/>
      <c r="F6484" s="1" t="str">
        <f>IFERROR(__xludf.DUMMYFUNCTION("GOOGLETRANSLATE(B6484, ""en"", ""fa"")
"),"موفقیت آمازون")</f>
        <v>موفقیت آمازون</v>
      </c>
      <c r="G6484" s="1" t="str">
        <f>IFERROR(__xludf.DUMMYFUNCTION("GOOGLETRANSLATE(C6484, ""en"", ""fa"")
"),"بهترین شیوه ها برای اجرای استراتژی تطبیق قیمت برای رقابتی ماندن در بازار چیست؟")</f>
        <v>بهترین شیوه ها برای اجرای استراتژی تطبیق قیمت برای رقابتی ماندن در بازار چیست؟</v>
      </c>
      <c r="H6484" s="1"/>
      <c r="I6484" s="1"/>
      <c r="J6484" s="1"/>
      <c r="K6484" s="1"/>
      <c r="L6484" s="1"/>
      <c r="M6484" s="1"/>
      <c r="N6484" s="1"/>
      <c r="O6484" s="1"/>
      <c r="P6484" s="1"/>
      <c r="Q6484" s="1"/>
      <c r="R6484" s="1"/>
      <c r="S6484" s="1"/>
      <c r="T6484" s="1"/>
      <c r="U6484" s="1"/>
      <c r="V6484" s="1"/>
      <c r="W6484" s="1"/>
      <c r="X6484" s="1"/>
      <c r="Y6484" s="1"/>
      <c r="Z6484" s="1"/>
      <c r="AA6484" s="1"/>
      <c r="AB6484" s="1"/>
    </row>
    <row r="6485" ht="50.25" customHeight="1">
      <c r="A6485" s="12">
        <v>6481.0</v>
      </c>
      <c r="B6485" s="13" t="s">
        <v>6141</v>
      </c>
      <c r="C6485" s="14" t="s">
        <v>6508</v>
      </c>
      <c r="D6485" s="1"/>
      <c r="E6485" s="1"/>
      <c r="F6485" s="1" t="str">
        <f>IFERROR(__xludf.DUMMYFUNCTION("GOOGLETRANSLATE(B6485, ""en"", ""fa"")
"),"موفقیت آمازون")</f>
        <v>موفقیت آمازون</v>
      </c>
      <c r="G6485" s="1" t="str">
        <f>IFERROR(__xludf.DUMMYFUNCTION("GOOGLETRANSLATE(C6485, ""en"", ""fa"")
"),"نکاتی را برای استفاده مؤثر از استراتژی‌های قیمت‌گذاری تبلیغاتی، مانند فروش فوری یا پیشنهادات با زمان محدود، برای ایجاد حس فوریت به اشتراک بگذارید.")</f>
        <v>نکاتی را برای استفاده مؤثر از استراتژی‌های قیمت‌گذاری تبلیغاتی، مانند فروش فوری یا پیشنهادات با زمان محدود، برای ایجاد حس فوریت به اشتراک بگذارید.</v>
      </c>
      <c r="H6485" s="1"/>
      <c r="I6485" s="1"/>
      <c r="J6485" s="1"/>
      <c r="K6485" s="1"/>
      <c r="L6485" s="1"/>
      <c r="M6485" s="1"/>
      <c r="N6485" s="1"/>
      <c r="O6485" s="1"/>
      <c r="P6485" s="1"/>
      <c r="Q6485" s="1"/>
      <c r="R6485" s="1"/>
      <c r="S6485" s="1"/>
      <c r="T6485" s="1"/>
      <c r="U6485" s="1"/>
      <c r="V6485" s="1"/>
      <c r="W6485" s="1"/>
      <c r="X6485" s="1"/>
      <c r="Y6485" s="1"/>
      <c r="Z6485" s="1"/>
      <c r="AA6485" s="1"/>
      <c r="AB6485" s="1"/>
    </row>
    <row r="6486" ht="50.25" customHeight="1">
      <c r="A6486" s="12">
        <v>6482.0</v>
      </c>
      <c r="B6486" s="13" t="s">
        <v>6141</v>
      </c>
      <c r="C6486" s="14" t="s">
        <v>6509</v>
      </c>
      <c r="D6486" s="1"/>
      <c r="E6486" s="1"/>
      <c r="F6486" s="1" t="str">
        <f>IFERROR(__xludf.DUMMYFUNCTION("GOOGLETRANSLATE(B6486, ""en"", ""fa"")
"),"موفقیت آمازون")</f>
        <v>موفقیت آمازون</v>
      </c>
      <c r="G6486" s="1" t="str">
        <f>IFERROR(__xludf.DUMMYFUNCTION("GOOGLETRANSLATE(C6486, ""en"", ""fa"")
"),"نقش نشانه‌های قیمت‌گذاری روان‌شناختی، مانند قیمت‌گذاری عجیب و غریب یا قیمت‌گذاری فریبنده، را در تأثیرگذاری بر تصمیم‌گیری خرید مشتری توضیح دهید.")</f>
        <v>نقش نشانه‌های قیمت‌گذاری روان‌شناختی، مانند قیمت‌گذاری عجیب و غریب یا قیمت‌گذاری فریبنده، را در تأثیرگذاری بر تصمیم‌گیری خرید مشتری توضیح دهید.</v>
      </c>
      <c r="H6486" s="1"/>
      <c r="I6486" s="1"/>
      <c r="J6486" s="1"/>
      <c r="K6486" s="1"/>
      <c r="L6486" s="1"/>
      <c r="M6486" s="1"/>
      <c r="N6486" s="1"/>
      <c r="O6486" s="1"/>
      <c r="P6486" s="1"/>
      <c r="Q6486" s="1"/>
      <c r="R6486" s="1"/>
      <c r="S6486" s="1"/>
      <c r="T6486" s="1"/>
      <c r="U6486" s="1"/>
      <c r="V6486" s="1"/>
      <c r="W6486" s="1"/>
      <c r="X6486" s="1"/>
      <c r="Y6486" s="1"/>
      <c r="Z6486" s="1"/>
      <c r="AA6486" s="1"/>
      <c r="AB6486" s="1"/>
    </row>
    <row r="6487" ht="50.25" customHeight="1">
      <c r="A6487" s="12">
        <v>6483.0</v>
      </c>
      <c r="B6487" s="13" t="s">
        <v>6141</v>
      </c>
      <c r="C6487" s="14" t="s">
        <v>6510</v>
      </c>
      <c r="D6487" s="1"/>
      <c r="E6487" s="1"/>
      <c r="F6487" s="1" t="str">
        <f>IFERROR(__xludf.DUMMYFUNCTION("GOOGLETRANSLATE(B6487, ""en"", ""fa"")
"),"موفقیت آمازون")</f>
        <v>موفقیت آمازون</v>
      </c>
      <c r="G6487" s="1" t="str">
        <f>IFERROR(__xludf.DUMMYFUNCTION("GOOGLETRANSLATE(C6487, ""en"", ""fa"")
"),"چگونه فروشندگان می توانند از آزمایش های قیمت گذاری و تست A/B برای بهینه سازی استراتژی قیمت گذاری خود و به حداکثر رساندن سودآوری استفاده کنند؟")</f>
        <v>چگونه فروشندگان می توانند از آزمایش های قیمت گذاری و تست A/B برای بهینه سازی استراتژی قیمت گذاری خود و به حداکثر رساندن سودآوری استفاده کنند؟</v>
      </c>
      <c r="H6487" s="1"/>
      <c r="I6487" s="1"/>
      <c r="J6487" s="1"/>
      <c r="K6487" s="1"/>
      <c r="L6487" s="1"/>
      <c r="M6487" s="1"/>
      <c r="N6487" s="1"/>
      <c r="O6487" s="1"/>
      <c r="P6487" s="1"/>
      <c r="Q6487" s="1"/>
      <c r="R6487" s="1"/>
      <c r="S6487" s="1"/>
      <c r="T6487" s="1"/>
      <c r="U6487" s="1"/>
      <c r="V6487" s="1"/>
      <c r="W6487" s="1"/>
      <c r="X6487" s="1"/>
      <c r="Y6487" s="1"/>
      <c r="Z6487" s="1"/>
      <c r="AA6487" s="1"/>
      <c r="AB6487" s="1"/>
    </row>
    <row r="6488" ht="50.25" customHeight="1">
      <c r="A6488" s="12">
        <v>6484.0</v>
      </c>
      <c r="B6488" s="13" t="s">
        <v>6141</v>
      </c>
      <c r="C6488" s="14" t="s">
        <v>6511</v>
      </c>
      <c r="D6488" s="1"/>
      <c r="E6488" s="1"/>
      <c r="F6488" s="1" t="str">
        <f>IFERROR(__xludf.DUMMYFUNCTION("GOOGLETRANSLATE(B6488, ""en"", ""fa"")
"),"موفقیت آمازون")</f>
        <v>موفقیت آمازون</v>
      </c>
      <c r="G6488" s="1" t="str">
        <f>IFERROR(__xludf.DUMMYFUNCTION("GOOGLETRANSLATE(C6488, ""en"", ""fa"")
"),"اهمیت پیاده‌سازی یک مدل قیمت‌گذاری مبتنی بر اشتراک برای ایجاد جریان‌های درآمدی تکرارشونده و افزایش وفاداری مشتری را مورد بحث قرار دهید.")</f>
        <v>اهمیت پیاده‌سازی یک مدل قیمت‌گذاری مبتنی بر اشتراک برای ایجاد جریان‌های درآمدی تکرارشونده و افزایش وفاداری مشتری را مورد بحث قرار دهید.</v>
      </c>
      <c r="H6488" s="1"/>
      <c r="I6488" s="1"/>
      <c r="J6488" s="1"/>
      <c r="K6488" s="1"/>
      <c r="L6488" s="1"/>
      <c r="M6488" s="1"/>
      <c r="N6488" s="1"/>
      <c r="O6488" s="1"/>
      <c r="P6488" s="1"/>
      <c r="Q6488" s="1"/>
      <c r="R6488" s="1"/>
      <c r="S6488" s="1"/>
      <c r="T6488" s="1"/>
      <c r="U6488" s="1"/>
      <c r="V6488" s="1"/>
      <c r="W6488" s="1"/>
      <c r="X6488" s="1"/>
      <c r="Y6488" s="1"/>
      <c r="Z6488" s="1"/>
      <c r="AA6488" s="1"/>
      <c r="AB6488" s="1"/>
    </row>
    <row r="6489" ht="50.25" customHeight="1">
      <c r="A6489" s="12">
        <v>6485.0</v>
      </c>
      <c r="B6489" s="13" t="s">
        <v>6141</v>
      </c>
      <c r="C6489" s="14" t="s">
        <v>6512</v>
      </c>
      <c r="D6489" s="1"/>
      <c r="E6489" s="1"/>
      <c r="F6489" s="1" t="str">
        <f>IFERROR(__xludf.DUMMYFUNCTION("GOOGLETRANSLATE(B6489, ""en"", ""fa"")
"),"موفقیت آمازون")</f>
        <v>موفقیت آمازون</v>
      </c>
      <c r="G6489" s="1" t="str">
        <f>IFERROR(__xludf.DUMMYFUNCTION("GOOGLETRANSLATE(C6489, ""en"", ""fa"")
"),"ملاحظات کلیدی هنگام اجرای استراتژی قیمت گذاری فریمیوم برای جذب مشتریان با نسخه رایگان محصول شما چیست؟")</f>
        <v>ملاحظات کلیدی هنگام اجرای استراتژی قیمت گذاری فریمیوم برای جذب مشتریان با نسخه رایگان محصول شما چیست؟</v>
      </c>
      <c r="H6489" s="1"/>
      <c r="I6489" s="1"/>
      <c r="J6489" s="1"/>
      <c r="K6489" s="1"/>
      <c r="L6489" s="1"/>
      <c r="M6489" s="1"/>
      <c r="N6489" s="1"/>
      <c r="O6489" s="1"/>
      <c r="P6489" s="1"/>
      <c r="Q6489" s="1"/>
      <c r="R6489" s="1"/>
      <c r="S6489" s="1"/>
      <c r="T6489" s="1"/>
      <c r="U6489" s="1"/>
      <c r="V6489" s="1"/>
      <c r="W6489" s="1"/>
      <c r="X6489" s="1"/>
      <c r="Y6489" s="1"/>
      <c r="Z6489" s="1"/>
      <c r="AA6489" s="1"/>
      <c r="AB6489" s="1"/>
    </row>
    <row r="6490" ht="50.25" customHeight="1">
      <c r="A6490" s="12">
        <v>6486.0</v>
      </c>
      <c r="B6490" s="13" t="s">
        <v>6141</v>
      </c>
      <c r="C6490" s="14" t="s">
        <v>6513</v>
      </c>
      <c r="D6490" s="1"/>
      <c r="E6490" s="1"/>
      <c r="F6490" s="1" t="str">
        <f>IFERROR(__xludf.DUMMYFUNCTION("GOOGLETRANSLATE(B6490, ""en"", ""fa"")
"),"موفقیت آمازون")</f>
        <v>موفقیت آمازون</v>
      </c>
      <c r="G6490" s="1" t="str">
        <f>IFERROR(__xludf.DUMMYFUNCTION("GOOGLETRANSLATE(C6490, ""en"", ""fa"")
"),"در مورد نحوه استفاده موثر از تمایز قیمت بر اساس عوامل جغرافیایی یا جمعیتی در استراتژی قیمت گذاری خود، بینش هایی را به اشتراک بگذارید.")</f>
        <v>در مورد نحوه استفاده موثر از تمایز قیمت بر اساس عوامل جغرافیایی یا جمعیتی در استراتژی قیمت گذاری خود، بینش هایی را به اشتراک بگذارید.</v>
      </c>
      <c r="H6490" s="1"/>
      <c r="I6490" s="1"/>
      <c r="J6490" s="1"/>
      <c r="K6490" s="1"/>
      <c r="L6490" s="1"/>
      <c r="M6490" s="1"/>
      <c r="N6490" s="1"/>
      <c r="O6490" s="1"/>
      <c r="P6490" s="1"/>
      <c r="Q6490" s="1"/>
      <c r="R6490" s="1"/>
      <c r="S6490" s="1"/>
      <c r="T6490" s="1"/>
      <c r="U6490" s="1"/>
      <c r="V6490" s="1"/>
      <c r="W6490" s="1"/>
      <c r="X6490" s="1"/>
      <c r="Y6490" s="1"/>
      <c r="Z6490" s="1"/>
      <c r="AA6490" s="1"/>
      <c r="AB6490" s="1"/>
    </row>
    <row r="6491" ht="50.25" customHeight="1">
      <c r="A6491" s="12">
        <v>6487.0</v>
      </c>
      <c r="B6491" s="13" t="s">
        <v>6141</v>
      </c>
      <c r="C6491" s="14" t="s">
        <v>6514</v>
      </c>
      <c r="D6491" s="1"/>
      <c r="E6491" s="1"/>
      <c r="F6491" s="1" t="str">
        <f>IFERROR(__xludf.DUMMYFUNCTION("GOOGLETRANSLATE(B6491, ""en"", ""fa"")
"),"موفقیت آمازون")</f>
        <v>موفقیت آمازون</v>
      </c>
      <c r="G6491" s="1" t="str">
        <f>IFERROR(__xludf.DUMMYFUNCTION("GOOGLETRANSLATE(C6491, ""en"", ""fa"")
"),"اهمیت انجام تحلیل حساسیت قیمت گذاری را برای شناسایی محدوده قیمتی که سود و تقاضای مشتری را به حداکثر می رساند، توضیح دهید.")</f>
        <v>اهمیت انجام تحلیل حساسیت قیمت گذاری را برای شناسایی محدوده قیمتی که سود و تقاضای مشتری را به حداکثر می رساند، توضیح دهید.</v>
      </c>
      <c r="H6491" s="1"/>
      <c r="I6491" s="1"/>
      <c r="J6491" s="1"/>
      <c r="K6491" s="1"/>
      <c r="L6491" s="1"/>
      <c r="M6491" s="1"/>
      <c r="N6491" s="1"/>
      <c r="O6491" s="1"/>
      <c r="P6491" s="1"/>
      <c r="Q6491" s="1"/>
      <c r="R6491" s="1"/>
      <c r="S6491" s="1"/>
      <c r="T6491" s="1"/>
      <c r="U6491" s="1"/>
      <c r="V6491" s="1"/>
      <c r="W6491" s="1"/>
      <c r="X6491" s="1"/>
      <c r="Y6491" s="1"/>
      <c r="Z6491" s="1"/>
      <c r="AA6491" s="1"/>
      <c r="AB6491" s="1"/>
    </row>
    <row r="6492" ht="50.25" customHeight="1">
      <c r="A6492" s="12">
        <v>6488.0</v>
      </c>
      <c r="B6492" s="13" t="s">
        <v>6141</v>
      </c>
      <c r="C6492" s="14" t="s">
        <v>6515</v>
      </c>
      <c r="D6492" s="1"/>
      <c r="E6492" s="1"/>
      <c r="F6492" s="1" t="str">
        <f>IFERROR(__xludf.DUMMYFUNCTION("GOOGLETRANSLATE(B6492, ""en"", ""fa"")
"),"موفقیت آمازون")</f>
        <v>موفقیت آمازون</v>
      </c>
      <c r="G6492" s="1" t="str">
        <f>IFERROR(__xludf.DUMMYFUNCTION("GOOGLETRANSLATE(C6492, ""en"", ""fa"")
"),"چگونه فروشندگان می‌توانند از استراتژی‌های قیمت‌گذاری بسته‌ای برای افزایش میانگین ارزش سفارش و ترویج فروش متقابل استفاده کنند؟")</f>
        <v>چگونه فروشندگان می‌توانند از استراتژی‌های قیمت‌گذاری بسته‌ای برای افزایش میانگین ارزش سفارش و ترویج فروش متقابل استفاده کنند؟</v>
      </c>
      <c r="H6492" s="1"/>
      <c r="I6492" s="1"/>
      <c r="J6492" s="1"/>
      <c r="K6492" s="1"/>
      <c r="L6492" s="1"/>
      <c r="M6492" s="1"/>
      <c r="N6492" s="1"/>
      <c r="O6492" s="1"/>
      <c r="P6492" s="1"/>
      <c r="Q6492" s="1"/>
      <c r="R6492" s="1"/>
      <c r="S6492" s="1"/>
      <c r="T6492" s="1"/>
      <c r="U6492" s="1"/>
      <c r="V6492" s="1"/>
      <c r="W6492" s="1"/>
      <c r="X6492" s="1"/>
      <c r="Y6492" s="1"/>
      <c r="Z6492" s="1"/>
      <c r="AA6492" s="1"/>
      <c r="AB6492" s="1"/>
    </row>
    <row r="6493" ht="50.25" customHeight="1">
      <c r="A6493" s="12">
        <v>6489.0</v>
      </c>
      <c r="B6493" s="13" t="s">
        <v>6141</v>
      </c>
      <c r="C6493" s="14" t="s">
        <v>6516</v>
      </c>
      <c r="D6493" s="1"/>
      <c r="E6493" s="1"/>
      <c r="F6493" s="1" t="str">
        <f>IFERROR(__xludf.DUMMYFUNCTION("GOOGLETRANSLATE(B6493, ""en"", ""fa"")
"),"موفقیت آمازون")</f>
        <v>موفقیت آمازون</v>
      </c>
      <c r="G6493" s="1" t="str">
        <f>IFERROR(__xludf.DUMMYFUNCTION("GOOGLETRANSLATE(C6493, ""en"", ""fa"")
"),"در مورد نقش قیمت گذاری به عنوان یک استراتژی موقعیت یابی برای ارتباط با ارزش پیشنهادی محصول خود و هدف قرار دادن بخش های خاص بازار بحث کنید.")</f>
        <v>در مورد نقش قیمت گذاری به عنوان یک استراتژی موقعیت یابی برای ارتباط با ارزش پیشنهادی محصول خود و هدف قرار دادن بخش های خاص بازار بحث کنید.</v>
      </c>
      <c r="H6493" s="1"/>
      <c r="I6493" s="1"/>
      <c r="J6493" s="1"/>
      <c r="K6493" s="1"/>
      <c r="L6493" s="1"/>
      <c r="M6493" s="1"/>
      <c r="N6493" s="1"/>
      <c r="O6493" s="1"/>
      <c r="P6493" s="1"/>
      <c r="Q6493" s="1"/>
      <c r="R6493" s="1"/>
      <c r="S6493" s="1"/>
      <c r="T6493" s="1"/>
      <c r="U6493" s="1"/>
      <c r="V6493" s="1"/>
      <c r="W6493" s="1"/>
      <c r="X6493" s="1"/>
      <c r="Y6493" s="1"/>
      <c r="Z6493" s="1"/>
      <c r="AA6493" s="1"/>
      <c r="AB6493" s="1"/>
    </row>
    <row r="6494" ht="50.25" customHeight="1">
      <c r="A6494" s="12">
        <v>6490.0</v>
      </c>
      <c r="B6494" s="13" t="s">
        <v>6141</v>
      </c>
      <c r="C6494" s="14" t="s">
        <v>6517</v>
      </c>
      <c r="D6494" s="1"/>
      <c r="E6494" s="1"/>
      <c r="F6494" s="1" t="str">
        <f>IFERROR(__xludf.DUMMYFUNCTION("GOOGLETRANSLATE(B6494, ""en"", ""fa"")
"),"موفقیت آمازون")</f>
        <v>موفقیت آمازون</v>
      </c>
      <c r="G6494" s="1" t="str">
        <f>IFERROR(__xludf.DUMMYFUNCTION("GOOGLETRANSLATE(C6494, ""en"", ""fa"")
"),"بهترین شیوه ها برای اجرای استراتژی قیمت گذاری ارزش برای ارائه گزینه های مقرون به صرفه بدون به خطر انداختن سود چیست؟")</f>
        <v>بهترین شیوه ها برای اجرای استراتژی قیمت گذاری ارزش برای ارائه گزینه های مقرون به صرفه بدون به خطر انداختن سود چیست؟</v>
      </c>
      <c r="H6494" s="1"/>
      <c r="I6494" s="1"/>
      <c r="J6494" s="1"/>
      <c r="K6494" s="1"/>
      <c r="L6494" s="1"/>
      <c r="M6494" s="1"/>
      <c r="N6494" s="1"/>
      <c r="O6494" s="1"/>
      <c r="P6494" s="1"/>
      <c r="Q6494" s="1"/>
      <c r="R6494" s="1"/>
      <c r="S6494" s="1"/>
      <c r="T6494" s="1"/>
      <c r="U6494" s="1"/>
      <c r="V6494" s="1"/>
      <c r="W6494" s="1"/>
      <c r="X6494" s="1"/>
      <c r="Y6494" s="1"/>
      <c r="Z6494" s="1"/>
      <c r="AA6494" s="1"/>
      <c r="AB6494" s="1"/>
    </row>
    <row r="6495" ht="50.25" customHeight="1">
      <c r="A6495" s="12">
        <v>6491.0</v>
      </c>
      <c r="B6495" s="13" t="s">
        <v>6141</v>
      </c>
      <c r="C6495" s="14" t="s">
        <v>6518</v>
      </c>
      <c r="D6495" s="1"/>
      <c r="E6495" s="1"/>
      <c r="F6495" s="1" t="str">
        <f>IFERROR(__xludf.DUMMYFUNCTION("GOOGLETRANSLATE(B6495, ""en"", ""fa"")
"),"موفقیت آمازون")</f>
        <v>موفقیت آمازون</v>
      </c>
      <c r="G6495" s="1" t="str">
        <f>IFERROR(__xludf.DUMMYFUNCTION("GOOGLETRANSLATE(C6495, ""en"", ""fa"")
"),"نکاتی را برای استفاده موثر از تکنیک های سیگنالینگ قیمت، مانند قیمت گذاری پرستیژ یا پوشش قیمت، برای انتقال کیفیت و انحصار محصول به اشتراک بگذارید.")</f>
        <v>نکاتی را برای استفاده موثر از تکنیک های سیگنالینگ قیمت، مانند قیمت گذاری پرستیژ یا پوشش قیمت، برای انتقال کیفیت و انحصار محصول به اشتراک بگذارید.</v>
      </c>
      <c r="H6495" s="1"/>
      <c r="I6495" s="1"/>
      <c r="J6495" s="1"/>
      <c r="K6495" s="1"/>
      <c r="L6495" s="1"/>
      <c r="M6495" s="1"/>
      <c r="N6495" s="1"/>
      <c r="O6495" s="1"/>
      <c r="P6495" s="1"/>
      <c r="Q6495" s="1"/>
      <c r="R6495" s="1"/>
      <c r="S6495" s="1"/>
      <c r="T6495" s="1"/>
      <c r="U6495" s="1"/>
      <c r="V6495" s="1"/>
      <c r="W6495" s="1"/>
      <c r="X6495" s="1"/>
      <c r="Y6495" s="1"/>
      <c r="Z6495" s="1"/>
      <c r="AA6495" s="1"/>
      <c r="AB6495" s="1"/>
    </row>
    <row r="6496" ht="50.25" customHeight="1">
      <c r="A6496" s="12">
        <v>6492.0</v>
      </c>
      <c r="B6496" s="13" t="s">
        <v>6141</v>
      </c>
      <c r="C6496" s="14" t="s">
        <v>6519</v>
      </c>
      <c r="D6496" s="1"/>
      <c r="E6496" s="1"/>
      <c r="F6496" s="1" t="str">
        <f>IFERROR(__xludf.DUMMYFUNCTION("GOOGLETRANSLATE(B6496, ""en"", ""fa"")
"),"موفقیت آمازون")</f>
        <v>موفقیت آمازون</v>
      </c>
      <c r="G6496" s="1" t="str">
        <f>IFERROR(__xludf.DUMMYFUNCTION("GOOGLETRANSLATE(C6496, ""en"", ""fa"")
"),"اهمیت اجرای یک استراتژی قیمت گذاری مدیریت بازده برای بهینه سازی درآمد در صنایع دارای موجودی فاسد شدنی یا تقاضای در حال نوسان را توضیح دهید.")</f>
        <v>اهمیت اجرای یک استراتژی قیمت گذاری مدیریت بازده برای بهینه سازی درآمد در صنایع دارای موجودی فاسد شدنی یا تقاضای در حال نوسان را توضیح دهید.</v>
      </c>
      <c r="H6496" s="1"/>
      <c r="I6496" s="1"/>
      <c r="J6496" s="1"/>
      <c r="K6496" s="1"/>
      <c r="L6496" s="1"/>
      <c r="M6496" s="1"/>
      <c r="N6496" s="1"/>
      <c r="O6496" s="1"/>
      <c r="P6496" s="1"/>
      <c r="Q6496" s="1"/>
      <c r="R6496" s="1"/>
      <c r="S6496" s="1"/>
      <c r="T6496" s="1"/>
      <c r="U6496" s="1"/>
      <c r="V6496" s="1"/>
      <c r="W6496" s="1"/>
      <c r="X6496" s="1"/>
      <c r="Y6496" s="1"/>
      <c r="Z6496" s="1"/>
      <c r="AA6496" s="1"/>
      <c r="AB6496" s="1"/>
    </row>
    <row r="6497" ht="50.25" customHeight="1">
      <c r="A6497" s="12">
        <v>6493.0</v>
      </c>
      <c r="B6497" s="13" t="s">
        <v>6141</v>
      </c>
      <c r="C6497" s="14" t="s">
        <v>6520</v>
      </c>
      <c r="D6497" s="1"/>
      <c r="E6497" s="1"/>
      <c r="F6497" s="1" t="str">
        <f>IFERROR(__xludf.DUMMYFUNCTION("GOOGLETRANSLATE(B6497, ""en"", ""fa"")
"),"موفقیت آمازون")</f>
        <v>موفقیت آمازون</v>
      </c>
      <c r="G6497" s="1" t="str">
        <f>IFERROR(__xludf.DUMMYFUNCTION("GOOGLETRANSLATE(C6497, ""en"", ""fa"")
"),"چگونه فروشندگان می توانند از سطوح و گزینه های قیمت گذاری برای پاسخگویی به مشتریان با نیازها و بودجه های مختلف استفاده کنند؟")</f>
        <v>چگونه فروشندگان می توانند از سطوح و گزینه های قیمت گذاری برای پاسخگویی به مشتریان با نیازها و بودجه های مختلف استفاده کنند؟</v>
      </c>
      <c r="H6497" s="1"/>
      <c r="I6497" s="1"/>
      <c r="J6497" s="1"/>
      <c r="K6497" s="1"/>
      <c r="L6497" s="1"/>
      <c r="M6497" s="1"/>
      <c r="N6497" s="1"/>
      <c r="O6497" s="1"/>
      <c r="P6497" s="1"/>
      <c r="Q6497" s="1"/>
      <c r="R6497" s="1"/>
      <c r="S6497" s="1"/>
      <c r="T6497" s="1"/>
      <c r="U6497" s="1"/>
      <c r="V6497" s="1"/>
      <c r="W6497" s="1"/>
      <c r="X6497" s="1"/>
      <c r="Y6497" s="1"/>
      <c r="Z6497" s="1"/>
      <c r="AA6497" s="1"/>
      <c r="AB6497" s="1"/>
    </row>
    <row r="6498" ht="50.25" customHeight="1">
      <c r="A6498" s="12">
        <v>6494.0</v>
      </c>
      <c r="B6498" s="13" t="s">
        <v>6141</v>
      </c>
      <c r="C6498" s="14" t="s">
        <v>6521</v>
      </c>
      <c r="D6498" s="1"/>
      <c r="E6498" s="1"/>
      <c r="F6498" s="1" t="str">
        <f>IFERROR(__xludf.DUMMYFUNCTION("GOOGLETRANSLATE(B6498, ""en"", ""fa"")
"),"موفقیت آمازون")</f>
        <v>موفقیت آمازون</v>
      </c>
      <c r="G6498" s="1" t="str">
        <f>IFERROR(__xludf.DUMMYFUNCTION("GOOGLETRANSLATE(C6498, ""en"", ""fa"")
"),"در مورد اهمیت نظارت و تنظیم قیمت ها بر اساس بازخورد مشتری و پویایی بازار بحث کنید.")</f>
        <v>در مورد اهمیت نظارت و تنظیم قیمت ها بر اساس بازخورد مشتری و پویایی بازار بحث کنید.</v>
      </c>
      <c r="H6498" s="1"/>
      <c r="I6498" s="1"/>
      <c r="J6498" s="1"/>
      <c r="K6498" s="1"/>
      <c r="L6498" s="1"/>
      <c r="M6498" s="1"/>
      <c r="N6498" s="1"/>
      <c r="O6498" s="1"/>
      <c r="P6498" s="1"/>
      <c r="Q6498" s="1"/>
      <c r="R6498" s="1"/>
      <c r="S6498" s="1"/>
      <c r="T6498" s="1"/>
      <c r="U6498" s="1"/>
      <c r="V6498" s="1"/>
      <c r="W6498" s="1"/>
      <c r="X6498" s="1"/>
      <c r="Y6498" s="1"/>
      <c r="Z6498" s="1"/>
      <c r="AA6498" s="1"/>
      <c r="AB6498" s="1"/>
    </row>
    <row r="6499" ht="50.25" customHeight="1">
      <c r="A6499" s="12">
        <v>6495.0</v>
      </c>
      <c r="B6499" s="13" t="s">
        <v>6141</v>
      </c>
      <c r="C6499" s="14" t="s">
        <v>6522</v>
      </c>
      <c r="D6499" s="1"/>
      <c r="E6499" s="1"/>
      <c r="F6499" s="1" t="str">
        <f>IFERROR(__xludf.DUMMYFUNCTION("GOOGLETRANSLATE(B6499, ""en"", ""fa"")
"),"موفقیت آمازون")</f>
        <v>موفقیت آمازون</v>
      </c>
      <c r="G6499" s="1" t="str">
        <f>IFERROR(__xludf.DUMMYFUNCTION("GOOGLETRANSLATE(C6499, ""en"", ""fa"")
"),"ملاحظات کلیدی هنگام اجرای یک استراتژی قیمت گذاری به اضافه هزینه برای اطمینان از سودآوری و پوشش هزینه ها چیست؟")</f>
        <v>ملاحظات کلیدی هنگام اجرای یک استراتژی قیمت گذاری به اضافه هزینه برای اطمینان از سودآوری و پوشش هزینه ها چیست؟</v>
      </c>
      <c r="H6499" s="1"/>
      <c r="I6499" s="1"/>
      <c r="J6499" s="1"/>
      <c r="K6499" s="1"/>
      <c r="L6499" s="1"/>
      <c r="M6499" s="1"/>
      <c r="N6499" s="1"/>
      <c r="O6499" s="1"/>
      <c r="P6499" s="1"/>
      <c r="Q6499" s="1"/>
      <c r="R6499" s="1"/>
      <c r="S6499" s="1"/>
      <c r="T6499" s="1"/>
      <c r="U6499" s="1"/>
      <c r="V6499" s="1"/>
      <c r="W6499" s="1"/>
      <c r="X6499" s="1"/>
      <c r="Y6499" s="1"/>
      <c r="Z6499" s="1"/>
      <c r="AA6499" s="1"/>
      <c r="AB6499" s="1"/>
    </row>
    <row r="6500" ht="50.25" customHeight="1">
      <c r="A6500" s="12">
        <v>6496.0</v>
      </c>
      <c r="B6500" s="13" t="s">
        <v>6141</v>
      </c>
      <c r="C6500" s="14" t="s">
        <v>6523</v>
      </c>
      <c r="D6500" s="1"/>
      <c r="E6500" s="1"/>
      <c r="F6500" s="1" t="str">
        <f>IFERROR(__xludf.DUMMYFUNCTION("GOOGLETRANSLATE(B6500, ""en"", ""fa"")
"),"موفقیت آمازون")</f>
        <v>موفقیت آمازون</v>
      </c>
      <c r="G6500" s="1" t="str">
        <f>IFERROR(__xludf.DUMMYFUNCTION("GOOGLETRANSLATE(C6500, ""en"", ""fa"")
"),"بینش هایی در مورد نحوه استفاده موثر از استراتژی های قیمت گذاری پویا در پاسخ به تغییرات قیمت گذاری رقبا یا شرایط بازار به اشتراک بگذارید.")</f>
        <v>بینش هایی در مورد نحوه استفاده موثر از استراتژی های قیمت گذاری پویا در پاسخ به تغییرات قیمت گذاری رقبا یا شرایط بازار به اشتراک بگذارید.</v>
      </c>
      <c r="H6500" s="1"/>
      <c r="I6500" s="1"/>
      <c r="J6500" s="1"/>
      <c r="K6500" s="1"/>
      <c r="L6500" s="1"/>
      <c r="M6500" s="1"/>
      <c r="N6500" s="1"/>
      <c r="O6500" s="1"/>
      <c r="P6500" s="1"/>
      <c r="Q6500" s="1"/>
      <c r="R6500" s="1"/>
      <c r="S6500" s="1"/>
      <c r="T6500" s="1"/>
      <c r="U6500" s="1"/>
      <c r="V6500" s="1"/>
      <c r="W6500" s="1"/>
      <c r="X6500" s="1"/>
      <c r="Y6500" s="1"/>
      <c r="Z6500" s="1"/>
      <c r="AA6500" s="1"/>
      <c r="AB6500" s="1"/>
    </row>
    <row r="6501" ht="50.25" customHeight="1">
      <c r="A6501" s="12">
        <v>6497.0</v>
      </c>
      <c r="B6501" s="13" t="s">
        <v>6141</v>
      </c>
      <c r="C6501" s="14" t="s">
        <v>6524</v>
      </c>
      <c r="D6501" s="1"/>
      <c r="E6501" s="1"/>
      <c r="F6501" s="1" t="str">
        <f>IFERROR(__xludf.DUMMYFUNCTION("GOOGLETRANSLATE(B6501, ""en"", ""fa"")
"),"موفقیت آمازون")</f>
        <v>موفقیت آمازون</v>
      </c>
      <c r="G6501" s="1" t="str">
        <f>IFERROR(__xludf.DUMMYFUNCTION("GOOGLETRANSLATE(C6501, ""en"", ""fa"")
"),"نقش شفافیت قیمت و ارتباطات شفاف قیمت گذاری را در ایجاد اعتماد و وفاداری مشتری توضیح دهید.")</f>
        <v>نقش شفافیت قیمت و ارتباطات شفاف قیمت گذاری را در ایجاد اعتماد و وفاداری مشتری توضیح دهید.</v>
      </c>
      <c r="H6501" s="1"/>
      <c r="I6501" s="1"/>
      <c r="J6501" s="1"/>
      <c r="K6501" s="1"/>
      <c r="L6501" s="1"/>
      <c r="M6501" s="1"/>
      <c r="N6501" s="1"/>
      <c r="O6501" s="1"/>
      <c r="P6501" s="1"/>
      <c r="Q6501" s="1"/>
      <c r="R6501" s="1"/>
      <c r="S6501" s="1"/>
      <c r="T6501" s="1"/>
      <c r="U6501" s="1"/>
      <c r="V6501" s="1"/>
      <c r="W6501" s="1"/>
      <c r="X6501" s="1"/>
      <c r="Y6501" s="1"/>
      <c r="Z6501" s="1"/>
      <c r="AA6501" s="1"/>
      <c r="AB6501" s="1"/>
    </row>
    <row r="6502" ht="50.25" customHeight="1">
      <c r="A6502" s="12">
        <v>6498.0</v>
      </c>
      <c r="B6502" s="13" t="s">
        <v>6141</v>
      </c>
      <c r="C6502" s="14" t="s">
        <v>6525</v>
      </c>
      <c r="D6502" s="1"/>
      <c r="E6502" s="1"/>
      <c r="F6502" s="1" t="str">
        <f>IFERROR(__xludf.DUMMYFUNCTION("GOOGLETRANSLATE(B6502, ""en"", ""fa"")
"),"موفقیت آمازون")</f>
        <v>موفقیت آمازون</v>
      </c>
      <c r="G6502" s="1" t="str">
        <f>IFERROR(__xludf.DUMMYFUNCTION("GOOGLETRANSLATE(C6502, ""en"", ""fa"")
"),"چگونه فروشندگان می‌توانند از استراتژی‌های تقسیم‌بندی قیمت برای هدف قرار دادن بخش‌های مختلف مشتریان با پیشنهادات قیمت‌گذاری مناسب استفاده کنند؟")</f>
        <v>چگونه فروشندگان می‌توانند از استراتژی‌های تقسیم‌بندی قیمت برای هدف قرار دادن بخش‌های مختلف مشتریان با پیشنهادات قیمت‌گذاری مناسب استفاده کنند؟</v>
      </c>
      <c r="H6502" s="1"/>
      <c r="I6502" s="1"/>
      <c r="J6502" s="1"/>
      <c r="K6502" s="1"/>
      <c r="L6502" s="1"/>
      <c r="M6502" s="1"/>
      <c r="N6502" s="1"/>
      <c r="O6502" s="1"/>
      <c r="P6502" s="1"/>
      <c r="Q6502" s="1"/>
      <c r="R6502" s="1"/>
      <c r="S6502" s="1"/>
      <c r="T6502" s="1"/>
      <c r="U6502" s="1"/>
      <c r="V6502" s="1"/>
      <c r="W6502" s="1"/>
      <c r="X6502" s="1"/>
      <c r="Y6502" s="1"/>
      <c r="Z6502" s="1"/>
      <c r="AA6502" s="1"/>
      <c r="AB6502" s="1"/>
    </row>
    <row r="6503" ht="50.25" customHeight="1">
      <c r="A6503" s="12">
        <v>6499.0</v>
      </c>
      <c r="B6503" s="13" t="s">
        <v>6141</v>
      </c>
      <c r="C6503" s="14" t="s">
        <v>6526</v>
      </c>
      <c r="D6503" s="1"/>
      <c r="E6503" s="1"/>
      <c r="F6503" s="1" t="str">
        <f>IFERROR(__xludf.DUMMYFUNCTION("GOOGLETRANSLATE(B6503, ""en"", ""fa"")
"),"موفقیت آمازون")</f>
        <v>موفقیت آمازون</v>
      </c>
      <c r="G6503" s="1" t="str">
        <f>IFERROR(__xludf.DUMMYFUNCTION("GOOGLETRANSLATE(C6503, ""en"", ""fa"")
"),"در مورد اهمیت اجرای استراتژی قیمت‌گذاری رهبر زیان‌دهی برای جذب مشتریان با محصولات تخفیف‌خورده و افزایش فروش بحث کنید.")</f>
        <v>در مورد اهمیت اجرای استراتژی قیمت‌گذاری رهبر زیان‌دهی برای جذب مشتریان با محصولات تخفیف‌خورده و افزایش فروش بحث کنید.</v>
      </c>
      <c r="H6503" s="1"/>
      <c r="I6503" s="1"/>
      <c r="J6503" s="1"/>
      <c r="K6503" s="1"/>
      <c r="L6503" s="1"/>
      <c r="M6503" s="1"/>
      <c r="N6503" s="1"/>
      <c r="O6503" s="1"/>
      <c r="P6503" s="1"/>
      <c r="Q6503" s="1"/>
      <c r="R6503" s="1"/>
      <c r="S6503" s="1"/>
      <c r="T6503" s="1"/>
      <c r="U6503" s="1"/>
      <c r="V6503" s="1"/>
      <c r="W6503" s="1"/>
      <c r="X6503" s="1"/>
      <c r="Y6503" s="1"/>
      <c r="Z6503" s="1"/>
      <c r="AA6503" s="1"/>
      <c r="AB6503" s="1"/>
    </row>
    <row r="6504" ht="50.25" customHeight="1">
      <c r="A6504" s="12">
        <v>6500.0</v>
      </c>
      <c r="B6504" s="13" t="s">
        <v>6141</v>
      </c>
      <c r="C6504" s="14" t="s">
        <v>6527</v>
      </c>
      <c r="D6504" s="1"/>
      <c r="E6504" s="1"/>
      <c r="F6504" s="1" t="str">
        <f>IFERROR(__xludf.DUMMYFUNCTION("GOOGLETRANSLATE(B6504, ""en"", ""fa"")
"),"موفقیت آمازون")</f>
        <v>موفقیت آمازون</v>
      </c>
      <c r="G6504" s="1" t="str">
        <f>IFERROR(__xludf.DUMMYFUNCTION("GOOGLETRANSLATE(C6504, ""en"", ""fa"")
"),"بهترین شیوه ها برای اجرای استراتژی قیمت گذاری بسته ارزشی برای تشویق مشتریان به خرید عمده یا بیشتر چیست؟")</f>
        <v>بهترین شیوه ها برای اجرای استراتژی قیمت گذاری بسته ارزشی برای تشویق مشتریان به خرید عمده یا بیشتر چیست؟</v>
      </c>
      <c r="H6504" s="1"/>
      <c r="I6504" s="1"/>
      <c r="J6504" s="1"/>
      <c r="K6504" s="1"/>
      <c r="L6504" s="1"/>
      <c r="M6504" s="1"/>
      <c r="N6504" s="1"/>
      <c r="O6504" s="1"/>
      <c r="P6504" s="1"/>
      <c r="Q6504" s="1"/>
      <c r="R6504" s="1"/>
      <c r="S6504" s="1"/>
      <c r="T6504" s="1"/>
      <c r="U6504" s="1"/>
      <c r="V6504" s="1"/>
      <c r="W6504" s="1"/>
      <c r="X6504" s="1"/>
      <c r="Y6504" s="1"/>
      <c r="Z6504" s="1"/>
      <c r="AA6504" s="1"/>
      <c r="AB6504" s="1"/>
    </row>
    <row r="6505" ht="50.25" customHeight="1">
      <c r="A6505" s="12">
        <v>6501.0</v>
      </c>
      <c r="B6505" s="13" t="s">
        <v>6141</v>
      </c>
      <c r="C6505" s="14" t="s">
        <v>6528</v>
      </c>
      <c r="D6505" s="1"/>
      <c r="E6505" s="1"/>
      <c r="F6505" s="1" t="str">
        <f>IFERROR(__xludf.DUMMYFUNCTION("GOOGLETRANSLATE(B6505, ""en"", ""fa"")
"),"موفقیت آمازون")</f>
        <v>موفقیت آمازون</v>
      </c>
      <c r="G6505" s="1" t="str">
        <f>IFERROR(__xludf.DUMMYFUNCTION("GOOGLETRANSLATE(C6505, ""en"", ""fa"")
"),"نکاتی را برای استفاده موثر از استراتژی های قیمت گذاری تبلیغاتی در دوره های فروش فصلی یا تعطیلات به اشتراک بگذارید.")</f>
        <v>نکاتی را برای استفاده موثر از استراتژی های قیمت گذاری تبلیغاتی در دوره های فروش فصلی یا تعطیلات به اشتراک بگذارید.</v>
      </c>
      <c r="H6505" s="1"/>
      <c r="I6505" s="1"/>
      <c r="J6505" s="1"/>
      <c r="K6505" s="1"/>
      <c r="L6505" s="1"/>
      <c r="M6505" s="1"/>
      <c r="N6505" s="1"/>
      <c r="O6505" s="1"/>
      <c r="P6505" s="1"/>
      <c r="Q6505" s="1"/>
      <c r="R6505" s="1"/>
      <c r="S6505" s="1"/>
      <c r="T6505" s="1"/>
      <c r="U6505" s="1"/>
      <c r="V6505" s="1"/>
      <c r="W6505" s="1"/>
      <c r="X6505" s="1"/>
      <c r="Y6505" s="1"/>
      <c r="Z6505" s="1"/>
      <c r="AA6505" s="1"/>
      <c r="AB6505" s="1"/>
    </row>
    <row r="6506" ht="50.25" customHeight="1">
      <c r="A6506" s="12">
        <v>6502.0</v>
      </c>
      <c r="B6506" s="13" t="s">
        <v>6141</v>
      </c>
      <c r="C6506" s="14" t="s">
        <v>6529</v>
      </c>
      <c r="D6506" s="1"/>
      <c r="E6506" s="1"/>
      <c r="F6506" s="1" t="str">
        <f>IFERROR(__xludf.DUMMYFUNCTION("GOOGLETRANSLATE(B6506, ""en"", ""fa"")
"),"موفقیت آمازون")</f>
        <v>موفقیت آمازون</v>
      </c>
      <c r="G6506" s="1" t="str">
        <f>IFERROR(__xludf.DUMMYFUNCTION("GOOGLETRANSLATE(C6506, ""en"", ""fa"")
"),"اهمیت در نظر گرفتن ارزش درک شده محصول خود را در رابطه با قیمت آن هنگام توسعه یک استراتژی قیمت گذاری توضیح دهید.")</f>
        <v>اهمیت در نظر گرفتن ارزش درک شده محصول خود را در رابطه با قیمت آن هنگام توسعه یک استراتژی قیمت گذاری توضیح دهید.</v>
      </c>
      <c r="H6506" s="1"/>
      <c r="I6506" s="1"/>
      <c r="J6506" s="1"/>
      <c r="K6506" s="1"/>
      <c r="L6506" s="1"/>
      <c r="M6506" s="1"/>
      <c r="N6506" s="1"/>
      <c r="O6506" s="1"/>
      <c r="P6506" s="1"/>
      <c r="Q6506" s="1"/>
      <c r="R6506" s="1"/>
      <c r="S6506" s="1"/>
      <c r="T6506" s="1"/>
      <c r="U6506" s="1"/>
      <c r="V6506" s="1"/>
      <c r="W6506" s="1"/>
      <c r="X6506" s="1"/>
      <c r="Y6506" s="1"/>
      <c r="Z6506" s="1"/>
      <c r="AA6506" s="1"/>
      <c r="AB6506" s="1"/>
    </row>
    <row r="6507" ht="50.25" customHeight="1">
      <c r="A6507" s="12">
        <v>6503.0</v>
      </c>
      <c r="B6507" s="13" t="s">
        <v>6141</v>
      </c>
      <c r="C6507" s="14" t="s">
        <v>6530</v>
      </c>
      <c r="D6507" s="1"/>
      <c r="E6507" s="1"/>
      <c r="F6507" s="1" t="str">
        <f>IFERROR(__xludf.DUMMYFUNCTION("GOOGLETRANSLATE(B6507, ""en"", ""fa"")
"),"موفقیت آمازون")</f>
        <v>موفقیت آمازون</v>
      </c>
      <c r="G6507" s="1" t="str">
        <f>IFERROR(__xludf.DUMMYFUNCTION("GOOGLETRANSLATE(C6507, ""en"", ""fa"")
"),"چگونه فروشندگان می توانند از نرم افزارها و الگوریتم های بهینه سازی قیمت برای خودکارسازی تصمیمات قیمت گذاری و به حداکثر رساندن سودآوری استفاده کنند؟")</f>
        <v>چگونه فروشندگان می توانند از نرم افزارها و الگوریتم های بهینه سازی قیمت برای خودکارسازی تصمیمات قیمت گذاری و به حداکثر رساندن سودآوری استفاده کنند؟</v>
      </c>
      <c r="H6507" s="1"/>
      <c r="I6507" s="1"/>
      <c r="J6507" s="1"/>
      <c r="K6507" s="1"/>
      <c r="L6507" s="1"/>
      <c r="M6507" s="1"/>
      <c r="N6507" s="1"/>
      <c r="O6507" s="1"/>
      <c r="P6507" s="1"/>
      <c r="Q6507" s="1"/>
      <c r="R6507" s="1"/>
      <c r="S6507" s="1"/>
      <c r="T6507" s="1"/>
      <c r="U6507" s="1"/>
      <c r="V6507" s="1"/>
      <c r="W6507" s="1"/>
      <c r="X6507" s="1"/>
      <c r="Y6507" s="1"/>
      <c r="Z6507" s="1"/>
      <c r="AA6507" s="1"/>
      <c r="AB6507" s="1"/>
    </row>
    <row r="6508" ht="50.25" customHeight="1">
      <c r="A6508" s="12">
        <v>6504.0</v>
      </c>
      <c r="B6508" s="13" t="s">
        <v>6141</v>
      </c>
      <c r="C6508" s="14" t="s">
        <v>6531</v>
      </c>
      <c r="D6508" s="1"/>
      <c r="E6508" s="1"/>
      <c r="F6508" s="1" t="str">
        <f>IFERROR(__xludf.DUMMYFUNCTION("GOOGLETRANSLATE(B6508, ""en"", ""fa"")
"),"موفقیت آمازون")</f>
        <v>موفقیت آمازون</v>
      </c>
      <c r="G6508" s="1" t="str">
        <f>IFERROR(__xludf.DUMMYFUNCTION("GOOGLETRANSLATE(C6508, ""en"", ""fa"")
"),"در مورد نقش روانشناسی قیمت گذاری و نظریه های رفتار مصرف کننده در شکل دادن به استراتژی های قیمت گذاری بحث کنید.")</f>
        <v>در مورد نقش روانشناسی قیمت گذاری و نظریه های رفتار مصرف کننده در شکل دادن به استراتژی های قیمت گذاری بحث کنید.</v>
      </c>
      <c r="H6508" s="1"/>
      <c r="I6508" s="1"/>
      <c r="J6508" s="1"/>
      <c r="K6508" s="1"/>
      <c r="L6508" s="1"/>
      <c r="M6508" s="1"/>
      <c r="N6508" s="1"/>
      <c r="O6508" s="1"/>
      <c r="P6508" s="1"/>
      <c r="Q6508" s="1"/>
      <c r="R6508" s="1"/>
      <c r="S6508" s="1"/>
      <c r="T6508" s="1"/>
      <c r="U6508" s="1"/>
      <c r="V6508" s="1"/>
      <c r="W6508" s="1"/>
      <c r="X6508" s="1"/>
      <c r="Y6508" s="1"/>
      <c r="Z6508" s="1"/>
      <c r="AA6508" s="1"/>
      <c r="AB6508" s="1"/>
    </row>
    <row r="6509" ht="50.25" customHeight="1">
      <c r="A6509" s="12">
        <v>6505.0</v>
      </c>
      <c r="B6509" s="13" t="s">
        <v>6141</v>
      </c>
      <c r="C6509" s="14" t="s">
        <v>6532</v>
      </c>
      <c r="D6509" s="1"/>
      <c r="E6509" s="1"/>
      <c r="F6509" s="1" t="str">
        <f>IFERROR(__xludf.DUMMYFUNCTION("GOOGLETRANSLATE(B6509, ""en"", ""fa"")
"),"موفقیت آمازون")</f>
        <v>موفقیت آمازون</v>
      </c>
      <c r="G6509" s="1" t="str">
        <f>IFERROR(__xludf.DUMMYFUNCTION("GOOGLETRANSLATE(C6509, ""en"", ""fa"")
"),"ملاحظات کلیدی هنگام اجرای یک استراتژی قیمت گذاری پویا برای پلتفرم های تجارت الکترونیک یا بازارهای آنلاین چیست؟")</f>
        <v>ملاحظات کلیدی هنگام اجرای یک استراتژی قیمت گذاری پویا برای پلتفرم های تجارت الکترونیک یا بازارهای آنلاین چیست؟</v>
      </c>
      <c r="H6509" s="1"/>
      <c r="I6509" s="1"/>
      <c r="J6509" s="1"/>
      <c r="K6509" s="1"/>
      <c r="L6509" s="1"/>
      <c r="M6509" s="1"/>
      <c r="N6509" s="1"/>
      <c r="O6509" s="1"/>
      <c r="P6509" s="1"/>
      <c r="Q6509" s="1"/>
      <c r="R6509" s="1"/>
      <c r="S6509" s="1"/>
      <c r="T6509" s="1"/>
      <c r="U6509" s="1"/>
      <c r="V6509" s="1"/>
      <c r="W6509" s="1"/>
      <c r="X6509" s="1"/>
      <c r="Y6509" s="1"/>
      <c r="Z6509" s="1"/>
      <c r="AA6509" s="1"/>
      <c r="AB6509" s="1"/>
    </row>
    <row r="6510" ht="50.25" customHeight="1">
      <c r="A6510" s="12">
        <v>6506.0</v>
      </c>
      <c r="B6510" s="13" t="s">
        <v>6141</v>
      </c>
      <c r="C6510" s="14" t="s">
        <v>6533</v>
      </c>
      <c r="D6510" s="1"/>
      <c r="E6510" s="1"/>
      <c r="F6510" s="1" t="str">
        <f>IFERROR(__xludf.DUMMYFUNCTION("GOOGLETRANSLATE(B6510, ""en"", ""fa"")
"),"موفقیت آمازون")</f>
        <v>موفقیت آمازون</v>
      </c>
      <c r="G6510" s="1" t="str">
        <f>IFERROR(__xludf.DUMMYFUNCTION("GOOGLETRANSLATE(C6510, ""en"", ""fa"")
"),"درباره نحوه استفاده موثر از آزمایش و آزمایش قیمت برای تعیین نقطه قیمت بهینه برای محصول خود، بینش هایی را به اشتراک بگذارید.")</f>
        <v>درباره نحوه استفاده موثر از آزمایش و آزمایش قیمت برای تعیین نقطه قیمت بهینه برای محصول خود، بینش هایی را به اشتراک بگذارید.</v>
      </c>
      <c r="H6510" s="1"/>
      <c r="I6510" s="1"/>
      <c r="J6510" s="1"/>
      <c r="K6510" s="1"/>
      <c r="L6510" s="1"/>
      <c r="M6510" s="1"/>
      <c r="N6510" s="1"/>
      <c r="O6510" s="1"/>
      <c r="P6510" s="1"/>
      <c r="Q6510" s="1"/>
      <c r="R6510" s="1"/>
      <c r="S6510" s="1"/>
      <c r="T6510" s="1"/>
      <c r="U6510" s="1"/>
      <c r="V6510" s="1"/>
      <c r="W6510" s="1"/>
      <c r="X6510" s="1"/>
      <c r="Y6510" s="1"/>
      <c r="Z6510" s="1"/>
      <c r="AA6510" s="1"/>
      <c r="AB6510" s="1"/>
    </row>
    <row r="6511" ht="50.25" customHeight="1">
      <c r="A6511" s="12">
        <v>6507.0</v>
      </c>
      <c r="B6511" s="13" t="s">
        <v>6141</v>
      </c>
      <c r="C6511" s="14" t="s">
        <v>6534</v>
      </c>
      <c r="D6511" s="1"/>
      <c r="E6511" s="1"/>
      <c r="F6511" s="1" t="str">
        <f>IFERROR(__xludf.DUMMYFUNCTION("GOOGLETRANSLATE(B6511, ""en"", ""fa"")
"),"موفقیت آمازون")</f>
        <v>موفقیت آمازون</v>
      </c>
      <c r="G6511" s="1" t="str">
        <f>IFERROR(__xludf.DUMMYFUNCTION("GOOGLETRANSLATE(C6511, ""en"", ""fa"")
"),"اهمیت اجرای یک استراتژی قیمت‌گذاری مبتنی بر ارزش را برای همسو کردن قیمت‌گذاری با مزایا و مزایای منحصربه‌فرد محصولتان توضیح دهید.")</f>
        <v>اهمیت اجرای یک استراتژی قیمت‌گذاری مبتنی بر ارزش را برای همسو کردن قیمت‌گذاری با مزایا و مزایای منحصربه‌فرد محصولتان توضیح دهید.</v>
      </c>
      <c r="H6511" s="1"/>
      <c r="I6511" s="1"/>
      <c r="J6511" s="1"/>
      <c r="K6511" s="1"/>
      <c r="L6511" s="1"/>
      <c r="M6511" s="1"/>
      <c r="N6511" s="1"/>
      <c r="O6511" s="1"/>
      <c r="P6511" s="1"/>
      <c r="Q6511" s="1"/>
      <c r="R6511" s="1"/>
      <c r="S6511" s="1"/>
      <c r="T6511" s="1"/>
      <c r="U6511" s="1"/>
      <c r="V6511" s="1"/>
      <c r="W6511" s="1"/>
      <c r="X6511" s="1"/>
      <c r="Y6511" s="1"/>
      <c r="Z6511" s="1"/>
      <c r="AA6511" s="1"/>
      <c r="AB6511" s="1"/>
    </row>
    <row r="6512" ht="50.25" customHeight="1">
      <c r="A6512" s="12">
        <v>6508.0</v>
      </c>
      <c r="B6512" s="13" t="s">
        <v>6141</v>
      </c>
      <c r="C6512" s="14" t="s">
        <v>6535</v>
      </c>
      <c r="D6512" s="1"/>
      <c r="E6512" s="1"/>
      <c r="F6512" s="1" t="str">
        <f>IFERROR(__xludf.DUMMYFUNCTION("GOOGLETRANSLATE(B6512, ""en"", ""fa"")
"),"موفقیت آمازون")</f>
        <v>موفقیت آمازون</v>
      </c>
      <c r="G6512" s="1" t="str">
        <f>IFERROR(__xludf.DUMMYFUNCTION("GOOGLETRANSLATE(C6512, ""en"", ""fa"")
"),"چگونه فروشندگان می توانند از تمایز قیمت بر اساس وفاداری مشتری یا برنامه های عضویت برای پاداش و حفظ مشتریان ارزشمند استفاده کنند؟")</f>
        <v>چگونه فروشندگان می توانند از تمایز قیمت بر اساس وفاداری مشتری یا برنامه های عضویت برای پاداش و حفظ مشتریان ارزشمند استفاده کنند؟</v>
      </c>
      <c r="H6512" s="1"/>
      <c r="I6512" s="1"/>
      <c r="J6512" s="1"/>
      <c r="K6512" s="1"/>
      <c r="L6512" s="1"/>
      <c r="M6512" s="1"/>
      <c r="N6512" s="1"/>
      <c r="O6512" s="1"/>
      <c r="P6512" s="1"/>
      <c r="Q6512" s="1"/>
      <c r="R6512" s="1"/>
      <c r="S6512" s="1"/>
      <c r="T6512" s="1"/>
      <c r="U6512" s="1"/>
      <c r="V6512" s="1"/>
      <c r="W6512" s="1"/>
      <c r="X6512" s="1"/>
      <c r="Y6512" s="1"/>
      <c r="Z6512" s="1"/>
      <c r="AA6512" s="1"/>
      <c r="AB6512" s="1"/>
    </row>
    <row r="6513" ht="50.25" customHeight="1">
      <c r="A6513" s="12">
        <v>6509.0</v>
      </c>
      <c r="B6513" s="13" t="s">
        <v>6141</v>
      </c>
      <c r="C6513" s="14" t="s">
        <v>6536</v>
      </c>
      <c r="D6513" s="1"/>
      <c r="E6513" s="1"/>
      <c r="F6513" s="1" t="str">
        <f>IFERROR(__xludf.DUMMYFUNCTION("GOOGLETRANSLATE(B6513, ""en"", ""fa"")
"),"موفقیت آمازون")</f>
        <v>موفقیت آمازون</v>
      </c>
      <c r="G6513" s="1" t="str">
        <f>IFERROR(__xludf.DUMMYFUNCTION("GOOGLETRANSLATE(C6513, ""en"", ""fa"")
"),"در مورد اهمیت در نظر گرفتن زنجیره ارزش و پویایی کانال توزیع هنگام تعیین استراتژی قیمت گذاری خود بحث کنید.")</f>
        <v>در مورد اهمیت در نظر گرفتن زنجیره ارزش و پویایی کانال توزیع هنگام تعیین استراتژی قیمت گذاری خود بحث کنید.</v>
      </c>
      <c r="H6513" s="1"/>
      <c r="I6513" s="1"/>
      <c r="J6513" s="1"/>
      <c r="K6513" s="1"/>
      <c r="L6513" s="1"/>
      <c r="M6513" s="1"/>
      <c r="N6513" s="1"/>
      <c r="O6513" s="1"/>
      <c r="P6513" s="1"/>
      <c r="Q6513" s="1"/>
      <c r="R6513" s="1"/>
      <c r="S6513" s="1"/>
      <c r="T6513" s="1"/>
      <c r="U6513" s="1"/>
      <c r="V6513" s="1"/>
      <c r="W6513" s="1"/>
      <c r="X6513" s="1"/>
      <c r="Y6513" s="1"/>
      <c r="Z6513" s="1"/>
      <c r="AA6513" s="1"/>
      <c r="AB6513" s="1"/>
    </row>
    <row r="6514" ht="50.25" customHeight="1">
      <c r="A6514" s="12">
        <v>6510.0</v>
      </c>
      <c r="B6514" s="13" t="s">
        <v>6141</v>
      </c>
      <c r="C6514" s="14" t="s">
        <v>6537</v>
      </c>
      <c r="D6514" s="1"/>
      <c r="E6514" s="1"/>
      <c r="F6514" s="1" t="str">
        <f>IFERROR(__xludf.DUMMYFUNCTION("GOOGLETRANSLATE(B6514, ""en"", ""fa"")
"),"موفقیت آمازون")</f>
        <v>موفقیت آمازون</v>
      </c>
      <c r="G6514" s="1" t="str">
        <f>IFERROR(__xludf.DUMMYFUNCTION("GOOGLETRANSLATE(C6514, ""en"", ""fa"")
"),"بهترین شیوه ها برای اجرای یک استراتژی قیمت گذاری روانشناختی که برای درک مشتریان از ارزش جذاب است، چیست؟")</f>
        <v>بهترین شیوه ها برای اجرای یک استراتژی قیمت گذاری روانشناختی که برای درک مشتریان از ارزش جذاب است، چیست؟</v>
      </c>
      <c r="H6514" s="1"/>
      <c r="I6514" s="1"/>
      <c r="J6514" s="1"/>
      <c r="K6514" s="1"/>
      <c r="L6514" s="1"/>
      <c r="M6514" s="1"/>
      <c r="N6514" s="1"/>
      <c r="O6514" s="1"/>
      <c r="P6514" s="1"/>
      <c r="Q6514" s="1"/>
      <c r="R6514" s="1"/>
      <c r="S6514" s="1"/>
      <c r="T6514" s="1"/>
      <c r="U6514" s="1"/>
      <c r="V6514" s="1"/>
      <c r="W6514" s="1"/>
      <c r="X6514" s="1"/>
      <c r="Y6514" s="1"/>
      <c r="Z6514" s="1"/>
      <c r="AA6514" s="1"/>
      <c r="AB6514" s="1"/>
    </row>
    <row r="6515" ht="50.25" customHeight="1">
      <c r="A6515" s="12">
        <v>6511.0</v>
      </c>
      <c r="B6515" s="13" t="s">
        <v>6141</v>
      </c>
      <c r="C6515" s="14" t="s">
        <v>6538</v>
      </c>
      <c r="D6515" s="1"/>
      <c r="E6515" s="1"/>
      <c r="F6515" s="1" t="str">
        <f>IFERROR(__xludf.DUMMYFUNCTION("GOOGLETRANSLATE(B6515, ""en"", ""fa"")
"),"موفقیت آمازون")</f>
        <v>موفقیت آمازون</v>
      </c>
      <c r="G6515" s="1" t="str">
        <f>IFERROR(__xludf.DUMMYFUNCTION("GOOGLETRANSLATE(C6515, ""en"", ""fa"")
"),"نکاتی را برای استفاده موثر از مذاکره قیمت و استراتژی های قیمت گذاری انعطاف پذیر در مدل های تجاری B2B یا قراردادی به اشتراک بگذارید.")</f>
        <v>نکاتی را برای استفاده موثر از مذاکره قیمت و استراتژی های قیمت گذاری انعطاف پذیر در مدل های تجاری B2B یا قراردادی به اشتراک بگذارید.</v>
      </c>
      <c r="H6515" s="1"/>
      <c r="I6515" s="1"/>
      <c r="J6515" s="1"/>
      <c r="K6515" s="1"/>
      <c r="L6515" s="1"/>
      <c r="M6515" s="1"/>
      <c r="N6515" s="1"/>
      <c r="O6515" s="1"/>
      <c r="P6515" s="1"/>
      <c r="Q6515" s="1"/>
      <c r="R6515" s="1"/>
      <c r="S6515" s="1"/>
      <c r="T6515" s="1"/>
      <c r="U6515" s="1"/>
      <c r="V6515" s="1"/>
      <c r="W6515" s="1"/>
      <c r="X6515" s="1"/>
      <c r="Y6515" s="1"/>
      <c r="Z6515" s="1"/>
      <c r="AA6515" s="1"/>
      <c r="AB6515" s="1"/>
    </row>
    <row r="6516" ht="50.25" customHeight="1">
      <c r="A6516" s="12">
        <v>6512.0</v>
      </c>
      <c r="B6516" s="13" t="s">
        <v>6141</v>
      </c>
      <c r="C6516" s="14" t="s">
        <v>6539</v>
      </c>
      <c r="D6516" s="1"/>
      <c r="E6516" s="1"/>
      <c r="F6516" s="1" t="str">
        <f>IFERROR(__xludf.DUMMYFUNCTION("GOOGLETRANSLATE(B6516, ""en"", ""fa"")
"),"موفقیت آمازون")</f>
        <v>موفقیت آمازون</v>
      </c>
      <c r="G6516" s="1" t="str">
        <f>IFERROR(__xludf.DUMMYFUNCTION("GOOGLETRANSLATE(C6516, ""en"", ""fa"")
"),"نقش نرم افزار قیمت گذاری و تجزیه و تحلیل را در نظارت بر قیمت های رقبا و تنظیم استراتژی قیمت گذاری خود بر اساس آن توضیح دهید.")</f>
        <v>نقش نرم افزار قیمت گذاری و تجزیه و تحلیل را در نظارت بر قیمت های رقبا و تنظیم استراتژی قیمت گذاری خود بر اساس آن توضیح دهید.</v>
      </c>
      <c r="H6516" s="1"/>
      <c r="I6516" s="1"/>
      <c r="J6516" s="1"/>
      <c r="K6516" s="1"/>
      <c r="L6516" s="1"/>
      <c r="M6516" s="1"/>
      <c r="N6516" s="1"/>
      <c r="O6516" s="1"/>
      <c r="P6516" s="1"/>
      <c r="Q6516" s="1"/>
      <c r="R6516" s="1"/>
      <c r="S6516" s="1"/>
      <c r="T6516" s="1"/>
      <c r="U6516" s="1"/>
      <c r="V6516" s="1"/>
      <c r="W6516" s="1"/>
      <c r="X6516" s="1"/>
      <c r="Y6516" s="1"/>
      <c r="Z6516" s="1"/>
      <c r="AA6516" s="1"/>
      <c r="AB6516" s="1"/>
    </row>
    <row r="6517" ht="50.25" customHeight="1">
      <c r="A6517" s="12">
        <v>6513.0</v>
      </c>
      <c r="B6517" s="13" t="s">
        <v>6141</v>
      </c>
      <c r="C6517" s="14" t="s">
        <v>6540</v>
      </c>
      <c r="D6517" s="1"/>
      <c r="E6517" s="1"/>
      <c r="F6517" s="1" t="str">
        <f>IFERROR(__xludf.DUMMYFUNCTION("GOOGLETRANSLATE(B6517, ""en"", ""fa"")
"),"موفقیت آمازون")</f>
        <v>موفقیت آمازون</v>
      </c>
      <c r="G6517" s="1" t="str">
        <f>IFERROR(__xludf.DUMMYFUNCTION("GOOGLETRANSLATE(C6517, ""en"", ""fa"")
"),"چگونه فروشندگان می توانند از تبلیغات و مشوق های قیمت گذاری برای تشویق خریدهای تکراری و تقویت وفاداری مشتری استفاده کنند؟")</f>
        <v>چگونه فروشندگان می توانند از تبلیغات و مشوق های قیمت گذاری برای تشویق خریدهای تکراری و تقویت وفاداری مشتری استفاده کنند؟</v>
      </c>
      <c r="H6517" s="1"/>
      <c r="I6517" s="1"/>
      <c r="J6517" s="1"/>
      <c r="K6517" s="1"/>
      <c r="L6517" s="1"/>
      <c r="M6517" s="1"/>
      <c r="N6517" s="1"/>
      <c r="O6517" s="1"/>
      <c r="P6517" s="1"/>
      <c r="Q6517" s="1"/>
      <c r="R6517" s="1"/>
      <c r="S6517" s="1"/>
      <c r="T6517" s="1"/>
      <c r="U6517" s="1"/>
      <c r="V6517" s="1"/>
      <c r="W6517" s="1"/>
      <c r="X6517" s="1"/>
      <c r="Y6517" s="1"/>
      <c r="Z6517" s="1"/>
      <c r="AA6517" s="1"/>
      <c r="AB6517" s="1"/>
    </row>
    <row r="6518" ht="50.25" customHeight="1">
      <c r="A6518" s="12">
        <v>6514.0</v>
      </c>
      <c r="B6518" s="13" t="s">
        <v>6141</v>
      </c>
      <c r="C6518" s="14" t="s">
        <v>6541</v>
      </c>
      <c r="D6518" s="1"/>
      <c r="E6518" s="1"/>
      <c r="F6518" s="1" t="str">
        <f>IFERROR(__xludf.DUMMYFUNCTION("GOOGLETRANSLATE(B6518, ""en"", ""fa"")
"),"موفقیت آمازون")</f>
        <v>موفقیت آمازون</v>
      </c>
      <c r="G6518" s="1" t="str">
        <f>IFERROR(__xludf.DUMMYFUNCTION("GOOGLETRANSLATE(C6518, ""en"", ""fa"")
"),"چگونه فروشندگان می توانند یک هویت برند قوی و به یاد ماندنی ایجاد کنند که با مخاطبان هدف آنها طنین انداز شود؟")</f>
        <v>چگونه فروشندگان می توانند یک هویت برند قوی و به یاد ماندنی ایجاد کنند که با مخاطبان هدف آنها طنین انداز شود؟</v>
      </c>
      <c r="H6518" s="1"/>
      <c r="I6518" s="1"/>
      <c r="J6518" s="1"/>
      <c r="K6518" s="1"/>
      <c r="L6518" s="1"/>
      <c r="M6518" s="1"/>
      <c r="N6518" s="1"/>
      <c r="O6518" s="1"/>
      <c r="P6518" s="1"/>
      <c r="Q6518" s="1"/>
      <c r="R6518" s="1"/>
      <c r="S6518" s="1"/>
      <c r="T6518" s="1"/>
      <c r="U6518" s="1"/>
      <c r="V6518" s="1"/>
      <c r="W6518" s="1"/>
      <c r="X6518" s="1"/>
      <c r="Y6518" s="1"/>
      <c r="Z6518" s="1"/>
      <c r="AA6518" s="1"/>
      <c r="AB6518" s="1"/>
    </row>
    <row r="6519" ht="50.25" customHeight="1">
      <c r="A6519" s="12">
        <v>6515.0</v>
      </c>
      <c r="B6519" s="13" t="s">
        <v>6141</v>
      </c>
      <c r="C6519" s="14" t="s">
        <v>6542</v>
      </c>
      <c r="D6519" s="1"/>
      <c r="E6519" s="1"/>
      <c r="F6519" s="1" t="str">
        <f>IFERROR(__xludf.DUMMYFUNCTION("GOOGLETRANSLATE(B6519, ""en"", ""fa"")
"),"موفقیت آمازون")</f>
        <v>موفقیت آمازون</v>
      </c>
      <c r="G6519" s="1" t="str">
        <f>IFERROR(__xludf.DUMMYFUNCTION("GOOGLETRANSLATE(C6519, ""en"", ""fa"")
"),"در مورد اهمیت ایجاد یک داستان منسجم برند و ارسال پیام در تمام نقاط تماس برند بحث کنید.")</f>
        <v>در مورد اهمیت ایجاد یک داستان منسجم برند و ارسال پیام در تمام نقاط تماس برند بحث کنید.</v>
      </c>
      <c r="H6519" s="1"/>
      <c r="I6519" s="1"/>
      <c r="J6519" s="1"/>
      <c r="K6519" s="1"/>
      <c r="L6519" s="1"/>
      <c r="M6519" s="1"/>
      <c r="N6519" s="1"/>
      <c r="O6519" s="1"/>
      <c r="P6519" s="1"/>
      <c r="Q6519" s="1"/>
      <c r="R6519" s="1"/>
      <c r="S6519" s="1"/>
      <c r="T6519" s="1"/>
      <c r="U6519" s="1"/>
      <c r="V6519" s="1"/>
      <c r="W6519" s="1"/>
      <c r="X6519" s="1"/>
      <c r="Y6519" s="1"/>
      <c r="Z6519" s="1"/>
      <c r="AA6519" s="1"/>
      <c r="AB6519" s="1"/>
    </row>
    <row r="6520" ht="50.25" customHeight="1">
      <c r="A6520" s="12">
        <v>6516.0</v>
      </c>
      <c r="B6520" s="13" t="s">
        <v>6141</v>
      </c>
      <c r="C6520" s="14" t="s">
        <v>6543</v>
      </c>
      <c r="D6520" s="1"/>
      <c r="E6520" s="1"/>
      <c r="F6520" s="1" t="str">
        <f>IFERROR(__xludf.DUMMYFUNCTION("GOOGLETRANSLATE(B6520, ""en"", ""fa"")
"),"موفقیت آمازون")</f>
        <v>موفقیت آمازون</v>
      </c>
      <c r="G6520" s="1" t="str">
        <f>IFERROR(__xludf.DUMMYFUNCTION("GOOGLETRANSLATE(C6520, ""en"", ""fa"")
"),"نکاتی را برای طراحی یک لوگوی بصری جذاب و حرفه ای که ماهیت برند شما را منعکس می کند، به اشتراک بگذارید.")</f>
        <v>نکاتی را برای طراحی یک لوگوی بصری جذاب و حرفه ای که ماهیت برند شما را منعکس می کند، به اشتراک بگذارید.</v>
      </c>
      <c r="H6520" s="1"/>
      <c r="I6520" s="1"/>
      <c r="J6520" s="1"/>
      <c r="K6520" s="1"/>
      <c r="L6520" s="1"/>
      <c r="M6520" s="1"/>
      <c r="N6520" s="1"/>
      <c r="O6520" s="1"/>
      <c r="P6520" s="1"/>
      <c r="Q6520" s="1"/>
      <c r="R6520" s="1"/>
      <c r="S6520" s="1"/>
      <c r="T6520" s="1"/>
      <c r="U6520" s="1"/>
      <c r="V6520" s="1"/>
      <c r="W6520" s="1"/>
      <c r="X6520" s="1"/>
      <c r="Y6520" s="1"/>
      <c r="Z6520" s="1"/>
      <c r="AA6520" s="1"/>
      <c r="AB6520" s="1"/>
    </row>
    <row r="6521" ht="50.25" customHeight="1">
      <c r="A6521" s="12">
        <v>6517.0</v>
      </c>
      <c r="B6521" s="13" t="s">
        <v>6141</v>
      </c>
      <c r="C6521" s="14" t="s">
        <v>6544</v>
      </c>
      <c r="D6521" s="1"/>
      <c r="E6521" s="1"/>
      <c r="F6521" s="1" t="str">
        <f>IFERROR(__xludf.DUMMYFUNCTION("GOOGLETRANSLATE(B6521, ""en"", ""fa"")
"),"موفقیت آمازون")</f>
        <v>موفقیت آمازون</v>
      </c>
      <c r="G6521" s="1" t="str">
        <f>IFERROR(__xludf.DUMMYFUNCTION("GOOGLETRANSLATE(C6521, ""en"", ""fa"")
"),"اهمیت انجام تحقیقات بازار و تحلیل رقبا برای شناسایی فرصت‌های تمایز برند را توضیح دهید.")</f>
        <v>اهمیت انجام تحقیقات بازار و تحلیل رقبا برای شناسایی فرصت‌های تمایز برند را توضیح دهید.</v>
      </c>
      <c r="H6521" s="1"/>
      <c r="I6521" s="1"/>
      <c r="J6521" s="1"/>
      <c r="K6521" s="1"/>
      <c r="L6521" s="1"/>
      <c r="M6521" s="1"/>
      <c r="N6521" s="1"/>
      <c r="O6521" s="1"/>
      <c r="P6521" s="1"/>
      <c r="Q6521" s="1"/>
      <c r="R6521" s="1"/>
      <c r="S6521" s="1"/>
      <c r="T6521" s="1"/>
      <c r="U6521" s="1"/>
      <c r="V6521" s="1"/>
      <c r="W6521" s="1"/>
      <c r="X6521" s="1"/>
      <c r="Y6521" s="1"/>
      <c r="Z6521" s="1"/>
      <c r="AA6521" s="1"/>
      <c r="AB6521" s="1"/>
    </row>
    <row r="6522" ht="50.25" customHeight="1">
      <c r="A6522" s="12">
        <v>6518.0</v>
      </c>
      <c r="B6522" s="13" t="s">
        <v>6141</v>
      </c>
      <c r="C6522" s="14" t="s">
        <v>6545</v>
      </c>
      <c r="D6522" s="1"/>
      <c r="E6522" s="1"/>
      <c r="F6522" s="1" t="str">
        <f>IFERROR(__xludf.DUMMYFUNCTION("GOOGLETRANSLATE(B6522, ""en"", ""fa"")
"),"موفقیت آمازون")</f>
        <v>موفقیت آمازون</v>
      </c>
      <c r="G6522" s="1" t="str">
        <f>IFERROR(__xludf.DUMMYFUNCTION("GOOGLETRANSLATE(C6522, ""en"", ""fa"")
"),"چگونه فروشندگان می توانند به طور موثر از طراحی بسته بندی برای انتقال ارزش و کیفیت محصولات خود استفاده کنند؟")</f>
        <v>چگونه فروشندگان می توانند به طور موثر از طراحی بسته بندی برای انتقال ارزش و کیفیت محصولات خود استفاده کنند؟</v>
      </c>
      <c r="H6522" s="1"/>
      <c r="I6522" s="1"/>
      <c r="J6522" s="1"/>
      <c r="K6522" s="1"/>
      <c r="L6522" s="1"/>
      <c r="M6522" s="1"/>
      <c r="N6522" s="1"/>
      <c r="O6522" s="1"/>
      <c r="P6522" s="1"/>
      <c r="Q6522" s="1"/>
      <c r="R6522" s="1"/>
      <c r="S6522" s="1"/>
      <c r="T6522" s="1"/>
      <c r="U6522" s="1"/>
      <c r="V6522" s="1"/>
      <c r="W6522" s="1"/>
      <c r="X6522" s="1"/>
      <c r="Y6522" s="1"/>
      <c r="Z6522" s="1"/>
      <c r="AA6522" s="1"/>
      <c r="AB6522" s="1"/>
    </row>
    <row r="6523" ht="50.25" customHeight="1">
      <c r="A6523" s="12">
        <v>6519.0</v>
      </c>
      <c r="B6523" s="13" t="s">
        <v>6141</v>
      </c>
      <c r="C6523" s="14" t="s">
        <v>6546</v>
      </c>
      <c r="D6523" s="1"/>
      <c r="E6523" s="1"/>
      <c r="F6523" s="1" t="str">
        <f>IFERROR(__xludf.DUMMYFUNCTION("GOOGLETRANSLATE(B6523, ""en"", ""fa"")
"),"موفقیت آمازون")</f>
        <v>موفقیت آمازون</v>
      </c>
      <c r="G6523" s="1" t="str">
        <f>IFERROR(__xludf.DUMMYFUNCTION("GOOGLETRANSLATE(C6523, ""en"", ""fa"")
"),"در مورد نقش جایگاه برند و پیشنهادهای فروش منحصر به فرد در شکل دادن به استراتژی کلی برند بحث کنید.")</f>
        <v>در مورد نقش جایگاه برند و پیشنهادهای فروش منحصر به فرد در شکل دادن به استراتژی کلی برند بحث کنید.</v>
      </c>
      <c r="H6523" s="1"/>
      <c r="I6523" s="1"/>
      <c r="J6523" s="1"/>
      <c r="K6523" s="1"/>
      <c r="L6523" s="1"/>
      <c r="M6523" s="1"/>
      <c r="N6523" s="1"/>
      <c r="O6523" s="1"/>
      <c r="P6523" s="1"/>
      <c r="Q6523" s="1"/>
      <c r="R6523" s="1"/>
      <c r="S6523" s="1"/>
      <c r="T6523" s="1"/>
      <c r="U6523" s="1"/>
      <c r="V6523" s="1"/>
      <c r="W6523" s="1"/>
      <c r="X6523" s="1"/>
      <c r="Y6523" s="1"/>
      <c r="Z6523" s="1"/>
      <c r="AA6523" s="1"/>
      <c r="AB6523" s="1"/>
    </row>
    <row r="6524" ht="50.25" customHeight="1">
      <c r="A6524" s="12">
        <v>6520.0</v>
      </c>
      <c r="B6524" s="13" t="s">
        <v>6141</v>
      </c>
      <c r="C6524" s="14" t="s">
        <v>6547</v>
      </c>
      <c r="D6524" s="1"/>
      <c r="E6524" s="1"/>
      <c r="F6524" s="1" t="str">
        <f>IFERROR(__xludf.DUMMYFUNCTION("GOOGLETRANSLATE(B6524, ""en"", ""fa"")
"),"موفقیت آمازون")</f>
        <v>موفقیت آمازون</v>
      </c>
      <c r="G6524" s="1" t="str">
        <f>IFERROR(__xludf.DUMMYFUNCTION("GOOGLETRANSLATE(C6524, ""en"", ""fa"")
"),"ملاحظات کلیدی هنگام انتخاب رنگ ها و فونت های برند که با شخصیت برند و بازار هدف شما همخوانی دارند، چیست؟")</f>
        <v>ملاحظات کلیدی هنگام انتخاب رنگ ها و فونت های برند که با شخصیت برند و بازار هدف شما همخوانی دارند، چیست؟</v>
      </c>
      <c r="H6524" s="1"/>
      <c r="I6524" s="1"/>
      <c r="J6524" s="1"/>
      <c r="K6524" s="1"/>
      <c r="L6524" s="1"/>
      <c r="M6524" s="1"/>
      <c r="N6524" s="1"/>
      <c r="O6524" s="1"/>
      <c r="P6524" s="1"/>
      <c r="Q6524" s="1"/>
      <c r="R6524" s="1"/>
      <c r="S6524" s="1"/>
      <c r="T6524" s="1"/>
      <c r="U6524" s="1"/>
      <c r="V6524" s="1"/>
      <c r="W6524" s="1"/>
      <c r="X6524" s="1"/>
      <c r="Y6524" s="1"/>
      <c r="Z6524" s="1"/>
      <c r="AA6524" s="1"/>
      <c r="AB6524" s="1"/>
    </row>
    <row r="6525" ht="50.25" customHeight="1">
      <c r="A6525" s="12">
        <v>6521.0</v>
      </c>
      <c r="B6525" s="13" t="s">
        <v>6141</v>
      </c>
      <c r="C6525" s="14" t="s">
        <v>6548</v>
      </c>
      <c r="D6525" s="1"/>
      <c r="E6525" s="1"/>
      <c r="F6525" s="1" t="str">
        <f>IFERROR(__xludf.DUMMYFUNCTION("GOOGLETRANSLATE(B6525, ""en"", ""fa"")
"),"موفقیت آمازون")</f>
        <v>موفقیت آمازون</v>
      </c>
      <c r="G6525" s="1" t="str">
        <f>IFERROR(__xludf.DUMMYFUNCTION("GOOGLETRANSLATE(C6525, ""en"", ""fa"")
"),"بینش‌هایی درباره نحوه ایجاد یک تجربه برند ثابت در تمام نقاط تماس مشتری، از بسته‌بندی تا مواد بازاریابی، به اشتراک بگذارید.")</f>
        <v>بینش‌هایی درباره نحوه ایجاد یک تجربه برند ثابت در تمام نقاط تماس مشتری، از بسته‌بندی تا مواد بازاریابی، به اشتراک بگذارید.</v>
      </c>
      <c r="H6525" s="1"/>
      <c r="I6525" s="1"/>
      <c r="J6525" s="1"/>
      <c r="K6525" s="1"/>
      <c r="L6525" s="1"/>
      <c r="M6525" s="1"/>
      <c r="N6525" s="1"/>
      <c r="O6525" s="1"/>
      <c r="P6525" s="1"/>
      <c r="Q6525" s="1"/>
      <c r="R6525" s="1"/>
      <c r="S6525" s="1"/>
      <c r="T6525" s="1"/>
      <c r="U6525" s="1"/>
      <c r="V6525" s="1"/>
      <c r="W6525" s="1"/>
      <c r="X6525" s="1"/>
      <c r="Y6525" s="1"/>
      <c r="Z6525" s="1"/>
      <c r="AA6525" s="1"/>
      <c r="AB6525" s="1"/>
    </row>
    <row r="6526" ht="50.25" customHeight="1">
      <c r="A6526" s="12">
        <v>6522.0</v>
      </c>
      <c r="B6526" s="13" t="s">
        <v>6141</v>
      </c>
      <c r="C6526" s="14" t="s">
        <v>6549</v>
      </c>
      <c r="D6526" s="1"/>
      <c r="E6526" s="1"/>
      <c r="F6526" s="1" t="str">
        <f>IFERROR(__xludf.DUMMYFUNCTION("GOOGLETRANSLATE(B6526, ""en"", ""fa"")
"),"موفقیت آمازون")</f>
        <v>موفقیت آمازون</v>
      </c>
      <c r="G6526" s="1" t="str">
        <f>IFERROR(__xludf.DUMMYFUNCTION("GOOGLETRANSLATE(C6526, ""en"", ""fa"")
"),"اهمیت گنجاندن عناصر برند مانند لوگوها یا شعارها را در طراحی بسته بندی محصول خود توضیح دهید.")</f>
        <v>اهمیت گنجاندن عناصر برند مانند لوگوها یا شعارها را در طراحی بسته بندی محصول خود توضیح دهید.</v>
      </c>
      <c r="H6526" s="1"/>
      <c r="I6526" s="1"/>
      <c r="J6526" s="1"/>
      <c r="K6526" s="1"/>
      <c r="L6526" s="1"/>
      <c r="M6526" s="1"/>
      <c r="N6526" s="1"/>
      <c r="O6526" s="1"/>
      <c r="P6526" s="1"/>
      <c r="Q6526" s="1"/>
      <c r="R6526" s="1"/>
      <c r="S6526" s="1"/>
      <c r="T6526" s="1"/>
      <c r="U6526" s="1"/>
      <c r="V6526" s="1"/>
      <c r="W6526" s="1"/>
      <c r="X6526" s="1"/>
      <c r="Y6526" s="1"/>
      <c r="Z6526" s="1"/>
      <c r="AA6526" s="1"/>
      <c r="AB6526" s="1"/>
    </row>
    <row r="6527" ht="50.25" customHeight="1">
      <c r="A6527" s="12">
        <v>6523.0</v>
      </c>
      <c r="B6527" s="13" t="s">
        <v>6141</v>
      </c>
      <c r="C6527" s="14" t="s">
        <v>6550</v>
      </c>
      <c r="D6527" s="1"/>
      <c r="E6527" s="1"/>
      <c r="F6527" s="1" t="str">
        <f>IFERROR(__xludf.DUMMYFUNCTION("GOOGLETRANSLATE(B6527, ""en"", ""fa"")
"),"موفقیت آمازون")</f>
        <v>موفقیت آمازون</v>
      </c>
      <c r="G6527" s="1" t="str">
        <f>IFERROR(__xludf.DUMMYFUNCTION("GOOGLETRANSLATE(C6527, ""en"", ""fa"")
"),"چگونه فروشندگان می توانند از تکنیک های داستان سرایی برای ایجاد ارتباط عاطفی با مشتریان از طریق برند خود استفاده کنند؟")</f>
        <v>چگونه فروشندگان می توانند از تکنیک های داستان سرایی برای ایجاد ارتباط عاطفی با مشتریان از طریق برند خود استفاده کنند؟</v>
      </c>
      <c r="H6527" s="1"/>
      <c r="I6527" s="1"/>
      <c r="J6527" s="1"/>
      <c r="K6527" s="1"/>
      <c r="L6527" s="1"/>
      <c r="M6527" s="1"/>
      <c r="N6527" s="1"/>
      <c r="O6527" s="1"/>
      <c r="P6527" s="1"/>
      <c r="Q6527" s="1"/>
      <c r="R6527" s="1"/>
      <c r="S6527" s="1"/>
      <c r="T6527" s="1"/>
      <c r="U6527" s="1"/>
      <c r="V6527" s="1"/>
      <c r="W6527" s="1"/>
      <c r="X6527" s="1"/>
      <c r="Y6527" s="1"/>
      <c r="Z6527" s="1"/>
      <c r="AA6527" s="1"/>
      <c r="AB6527" s="1"/>
    </row>
    <row r="6528" ht="50.25" customHeight="1">
      <c r="A6528" s="12">
        <v>6524.0</v>
      </c>
      <c r="B6528" s="13" t="s">
        <v>6141</v>
      </c>
      <c r="C6528" s="14" t="s">
        <v>6551</v>
      </c>
      <c r="D6528" s="1"/>
      <c r="E6528" s="1"/>
      <c r="F6528" s="1" t="str">
        <f>IFERROR(__xludf.DUMMYFUNCTION("GOOGLETRANSLATE(B6528, ""en"", ""fa"")
"),"موفقیت آمازون")</f>
        <v>موفقیت آمازون</v>
      </c>
      <c r="G6528" s="1" t="str">
        <f>IFERROR(__xludf.DUMMYFUNCTION("GOOGLETRANSLATE(C6528, ""en"", ""fa"")
"),"در مورد اهمیت ایجاد یک راهنمای سبک برند برای حفظ ثبات در ارتباطات بصری و نوشتاری بحث کنید.")</f>
        <v>در مورد اهمیت ایجاد یک راهنمای سبک برند برای حفظ ثبات در ارتباطات بصری و نوشتاری بحث کنید.</v>
      </c>
      <c r="H6528" s="1"/>
      <c r="I6528" s="1"/>
      <c r="J6528" s="1"/>
      <c r="K6528" s="1"/>
      <c r="L6528" s="1"/>
      <c r="M6528" s="1"/>
      <c r="N6528" s="1"/>
      <c r="O6528" s="1"/>
      <c r="P6528" s="1"/>
      <c r="Q6528" s="1"/>
      <c r="R6528" s="1"/>
      <c r="S6528" s="1"/>
      <c r="T6528" s="1"/>
      <c r="U6528" s="1"/>
      <c r="V6528" s="1"/>
      <c r="W6528" s="1"/>
      <c r="X6528" s="1"/>
      <c r="Y6528" s="1"/>
      <c r="Z6528" s="1"/>
      <c r="AA6528" s="1"/>
      <c r="AB6528" s="1"/>
    </row>
    <row r="6529" ht="50.25" customHeight="1">
      <c r="A6529" s="12">
        <v>6525.0</v>
      </c>
      <c r="B6529" s="13" t="s">
        <v>6141</v>
      </c>
      <c r="C6529" s="14" t="s">
        <v>6552</v>
      </c>
      <c r="D6529" s="1"/>
      <c r="E6529" s="1"/>
      <c r="F6529" s="1" t="str">
        <f>IFERROR(__xludf.DUMMYFUNCTION("GOOGLETRANSLATE(B6529, ""en"", ""fa"")
"),"موفقیت آمازون")</f>
        <v>موفقیت آمازون</v>
      </c>
      <c r="G6529" s="1" t="str">
        <f>IFERROR(__xludf.DUMMYFUNCTION("GOOGLETRANSLATE(C6529, ""en"", ""fa"")
"),"بهترین روش ها برای ایجاد بسته بندی که نه تنها از نظر بصری جذاب باشد بلکه عملکردی و محافظ نیز باشد چیست؟")</f>
        <v>بهترین روش ها برای ایجاد بسته بندی که نه تنها از نظر بصری جذاب باشد بلکه عملکردی و محافظ نیز باشد چیست؟</v>
      </c>
      <c r="H6529" s="1"/>
      <c r="I6529" s="1"/>
      <c r="J6529" s="1"/>
      <c r="K6529" s="1"/>
      <c r="L6529" s="1"/>
      <c r="M6529" s="1"/>
      <c r="N6529" s="1"/>
      <c r="O6529" s="1"/>
      <c r="P6529" s="1"/>
      <c r="Q6529" s="1"/>
      <c r="R6529" s="1"/>
      <c r="S6529" s="1"/>
      <c r="T6529" s="1"/>
      <c r="U6529" s="1"/>
      <c r="V6529" s="1"/>
      <c r="W6529" s="1"/>
      <c r="X6529" s="1"/>
      <c r="Y6529" s="1"/>
      <c r="Z6529" s="1"/>
      <c r="AA6529" s="1"/>
      <c r="AB6529" s="1"/>
    </row>
    <row r="6530" ht="50.25" customHeight="1">
      <c r="A6530" s="12">
        <v>6526.0</v>
      </c>
      <c r="B6530" s="13" t="s">
        <v>6141</v>
      </c>
      <c r="C6530" s="14" t="s">
        <v>6553</v>
      </c>
      <c r="D6530" s="1"/>
      <c r="E6530" s="1"/>
      <c r="F6530" s="1" t="str">
        <f>IFERROR(__xludf.DUMMYFUNCTION("GOOGLETRANSLATE(B6530, ""en"", ""fa"")
"),"موفقیت آمازون")</f>
        <v>موفقیت آمازون</v>
      </c>
      <c r="G6530" s="1" t="str">
        <f>IFERROR(__xludf.DUMMYFUNCTION("GOOGLETRANSLATE(C6530, ""en"", ""fa"")
"),"نکاتی را برای استفاده موثر از بسته بندی به اشتراک بگذارید تا محصول خود را از رقبا در قفسه فروشگاه ها یا پلتفرم های آنلاین متمایز کنید.")</f>
        <v>نکاتی را برای استفاده موثر از بسته بندی به اشتراک بگذارید تا محصول خود را از رقبا در قفسه فروشگاه ها یا پلتفرم های آنلاین متمایز کنید.</v>
      </c>
      <c r="H6530" s="1"/>
      <c r="I6530" s="1"/>
      <c r="J6530" s="1"/>
      <c r="K6530" s="1"/>
      <c r="L6530" s="1"/>
      <c r="M6530" s="1"/>
      <c r="N6530" s="1"/>
      <c r="O6530" s="1"/>
      <c r="P6530" s="1"/>
      <c r="Q6530" s="1"/>
      <c r="R6530" s="1"/>
      <c r="S6530" s="1"/>
      <c r="T6530" s="1"/>
      <c r="U6530" s="1"/>
      <c r="V6530" s="1"/>
      <c r="W6530" s="1"/>
      <c r="X6530" s="1"/>
      <c r="Y6530" s="1"/>
      <c r="Z6530" s="1"/>
      <c r="AA6530" s="1"/>
      <c r="AB6530" s="1"/>
    </row>
    <row r="6531" ht="50.25" customHeight="1">
      <c r="A6531" s="12">
        <v>6527.0</v>
      </c>
      <c r="B6531" s="13" t="s">
        <v>6141</v>
      </c>
      <c r="C6531" s="14" t="s">
        <v>6554</v>
      </c>
      <c r="D6531" s="1"/>
      <c r="E6531" s="1"/>
      <c r="F6531" s="1" t="str">
        <f>IFERROR(__xludf.DUMMYFUNCTION("GOOGLETRANSLATE(B6531, ""en"", ""fa"")
"),"موفقیت آمازون")</f>
        <v>موفقیت آمازون</v>
      </c>
      <c r="G6531" s="1" t="str">
        <f>IFERROR(__xludf.DUMMYFUNCTION("GOOGLETRANSLATE(C6531, ""en"", ""fa"")
"),"نقش شخصیت برند و صدای برند را در شکل دادن به درک کلی مشتری از برند خود توضیح دهید.")</f>
        <v>نقش شخصیت برند و صدای برند را در شکل دادن به درک کلی مشتری از برند خود توضیح دهید.</v>
      </c>
      <c r="H6531" s="1"/>
      <c r="I6531" s="1"/>
      <c r="J6531" s="1"/>
      <c r="K6531" s="1"/>
      <c r="L6531" s="1"/>
      <c r="M6531" s="1"/>
      <c r="N6531" s="1"/>
      <c r="O6531" s="1"/>
      <c r="P6531" s="1"/>
      <c r="Q6531" s="1"/>
      <c r="R6531" s="1"/>
      <c r="S6531" s="1"/>
      <c r="T6531" s="1"/>
      <c r="U6531" s="1"/>
      <c r="V6531" s="1"/>
      <c r="W6531" s="1"/>
      <c r="X6531" s="1"/>
      <c r="Y6531" s="1"/>
      <c r="Z6531" s="1"/>
      <c r="AA6531" s="1"/>
      <c r="AB6531" s="1"/>
    </row>
    <row r="6532" ht="50.25" customHeight="1">
      <c r="A6532" s="12">
        <v>6528.0</v>
      </c>
      <c r="B6532" s="13" t="s">
        <v>6141</v>
      </c>
      <c r="C6532" s="14" t="s">
        <v>6555</v>
      </c>
      <c r="D6532" s="1"/>
      <c r="E6532" s="1"/>
      <c r="F6532" s="1" t="str">
        <f>IFERROR(__xludf.DUMMYFUNCTION("GOOGLETRANSLATE(B6532, ""en"", ""fa"")
"),"موفقیت آمازون")</f>
        <v>موفقیت آمازون</v>
      </c>
      <c r="G6532" s="1" t="str">
        <f>IFERROR(__xludf.DUMMYFUNCTION("GOOGLETRANSLATE(C6532, ""en"", ""fa"")
"),"چگونه فروشندگان می توانند از بسته بندی به عنوان یک ابزار بازاریابی برای انتقال مزایا و ویژگی های محصول به مشتریان بالقوه استفاده کنند؟")</f>
        <v>چگونه فروشندگان می توانند از بسته بندی به عنوان یک ابزار بازاریابی برای انتقال مزایا و ویژگی های محصول به مشتریان بالقوه استفاده کنند؟</v>
      </c>
      <c r="H6532" s="1"/>
      <c r="I6532" s="1"/>
      <c r="J6532" s="1"/>
      <c r="K6532" s="1"/>
      <c r="L6532" s="1"/>
      <c r="M6532" s="1"/>
      <c r="N6532" s="1"/>
      <c r="O6532" s="1"/>
      <c r="P6532" s="1"/>
      <c r="Q6532" s="1"/>
      <c r="R6532" s="1"/>
      <c r="S6532" s="1"/>
      <c r="T6532" s="1"/>
      <c r="U6532" s="1"/>
      <c r="V6532" s="1"/>
      <c r="W6532" s="1"/>
      <c r="X6532" s="1"/>
      <c r="Y6532" s="1"/>
      <c r="Z6532" s="1"/>
      <c r="AA6532" s="1"/>
      <c r="AB6532" s="1"/>
    </row>
    <row r="6533" ht="50.25" customHeight="1">
      <c r="A6533" s="12">
        <v>6529.0</v>
      </c>
      <c r="B6533" s="13" t="s">
        <v>6141</v>
      </c>
      <c r="C6533" s="14" t="s">
        <v>6556</v>
      </c>
      <c r="D6533" s="1"/>
      <c r="E6533" s="1"/>
      <c r="F6533" s="1" t="str">
        <f>IFERROR(__xludf.DUMMYFUNCTION("GOOGLETRANSLATE(B6533, ""en"", ""fa"")
"),"موفقیت آمازون")</f>
        <v>موفقیت آمازون</v>
      </c>
      <c r="G6533" s="1" t="str">
        <f>IFERROR(__xludf.DUMMYFUNCTION("GOOGLETRANSLATE(C6533, ""en"", ""fa"")
"),"در مورد اهمیت انجام تحقیقات و آزمایش مصرف کننده برای اطمینان از اینکه طراحی بسته بندی شما با مخاطب هدف شما طنین انداز می شود، بحث کنید.")</f>
        <v>در مورد اهمیت انجام تحقیقات و آزمایش مصرف کننده برای اطمینان از اینکه طراحی بسته بندی شما با مخاطب هدف شما طنین انداز می شود، بحث کنید.</v>
      </c>
      <c r="H6533" s="1"/>
      <c r="I6533" s="1"/>
      <c r="J6533" s="1"/>
      <c r="K6533" s="1"/>
      <c r="L6533" s="1"/>
      <c r="M6533" s="1"/>
      <c r="N6533" s="1"/>
      <c r="O6533" s="1"/>
      <c r="P6533" s="1"/>
      <c r="Q6533" s="1"/>
      <c r="R6533" s="1"/>
      <c r="S6533" s="1"/>
      <c r="T6533" s="1"/>
      <c r="U6533" s="1"/>
      <c r="V6533" s="1"/>
      <c r="W6533" s="1"/>
      <c r="X6533" s="1"/>
      <c r="Y6533" s="1"/>
      <c r="Z6533" s="1"/>
      <c r="AA6533" s="1"/>
      <c r="AB6533" s="1"/>
    </row>
    <row r="6534" ht="50.25" customHeight="1">
      <c r="A6534" s="12">
        <v>6530.0</v>
      </c>
      <c r="B6534" s="13" t="s">
        <v>6141</v>
      </c>
      <c r="C6534" s="14" t="s">
        <v>6557</v>
      </c>
      <c r="D6534" s="1"/>
      <c r="E6534" s="1"/>
      <c r="F6534" s="1" t="str">
        <f>IFERROR(__xludf.DUMMYFUNCTION("GOOGLETRANSLATE(B6534, ""en"", ""fa"")
"),"موفقیت آمازون")</f>
        <v>موفقیت آمازون</v>
      </c>
      <c r="G6534" s="1" t="str">
        <f>IFERROR(__xludf.DUMMYFUNCTION("GOOGLETRANSLATE(C6534, ""en"", ""fa"")
"),"ملاحظات کلیدی هنگام طراحی بسته بندی که با ارزش های برند سازگار با محیط زیست یا پایدار باشد چیست؟")</f>
        <v>ملاحظات کلیدی هنگام طراحی بسته بندی که با ارزش های برند سازگار با محیط زیست یا پایدار باشد چیست؟</v>
      </c>
      <c r="H6534" s="1"/>
      <c r="I6534" s="1"/>
      <c r="J6534" s="1"/>
      <c r="K6534" s="1"/>
      <c r="L6534" s="1"/>
      <c r="M6534" s="1"/>
      <c r="N6534" s="1"/>
      <c r="O6534" s="1"/>
      <c r="P6534" s="1"/>
      <c r="Q6534" s="1"/>
      <c r="R6534" s="1"/>
      <c r="S6534" s="1"/>
      <c r="T6534" s="1"/>
      <c r="U6534" s="1"/>
      <c r="V6534" s="1"/>
      <c r="W6534" s="1"/>
      <c r="X6534" s="1"/>
      <c r="Y6534" s="1"/>
      <c r="Z6534" s="1"/>
      <c r="AA6534" s="1"/>
      <c r="AB6534" s="1"/>
    </row>
    <row r="6535" ht="50.25" customHeight="1">
      <c r="A6535" s="12">
        <v>6531.0</v>
      </c>
      <c r="B6535" s="13" t="s">
        <v>6141</v>
      </c>
      <c r="C6535" s="14" t="s">
        <v>6558</v>
      </c>
      <c r="D6535" s="1"/>
      <c r="E6535" s="1"/>
      <c r="F6535" s="1" t="str">
        <f>IFERROR(__xludf.DUMMYFUNCTION("GOOGLETRANSLATE(B6535, ""en"", ""fa"")
"),"موفقیت آمازون")</f>
        <v>موفقیت آمازون</v>
      </c>
      <c r="G6535" s="1" t="str">
        <f>IFERROR(__xludf.DUMMYFUNCTION("GOOGLETRANSLATE(C6535, ""en"", ""fa"")
"),"درباره نحوه ایجاد یک پیام برند قانع‌کننده و متقاعدکننده که توجه بازار هدف شما را به خود جلب کند، بینش‌هایی را به اشتراک بگذارید.")</f>
        <v>درباره نحوه ایجاد یک پیام برند قانع‌کننده و متقاعدکننده که توجه بازار هدف شما را به خود جلب کند، بینش‌هایی را به اشتراک بگذارید.</v>
      </c>
      <c r="H6535" s="1"/>
      <c r="I6535" s="1"/>
      <c r="J6535" s="1"/>
      <c r="K6535" s="1"/>
      <c r="L6535" s="1"/>
      <c r="M6535" s="1"/>
      <c r="N6535" s="1"/>
      <c r="O6535" s="1"/>
      <c r="P6535" s="1"/>
      <c r="Q6535" s="1"/>
      <c r="R6535" s="1"/>
      <c r="S6535" s="1"/>
      <c r="T6535" s="1"/>
      <c r="U6535" s="1"/>
      <c r="V6535" s="1"/>
      <c r="W6535" s="1"/>
      <c r="X6535" s="1"/>
      <c r="Y6535" s="1"/>
      <c r="Z6535" s="1"/>
      <c r="AA6535" s="1"/>
      <c r="AB6535" s="1"/>
    </row>
    <row r="6536" ht="50.25" customHeight="1">
      <c r="A6536" s="12">
        <v>6532.0</v>
      </c>
      <c r="B6536" s="13" t="s">
        <v>6141</v>
      </c>
      <c r="C6536" s="14" t="s">
        <v>6559</v>
      </c>
      <c r="D6536" s="1"/>
      <c r="E6536" s="1"/>
      <c r="F6536" s="1" t="str">
        <f>IFERROR(__xludf.DUMMYFUNCTION("GOOGLETRANSLATE(B6536, ""en"", ""fa"")
"),"موفقیت آمازون")</f>
        <v>موفقیت آمازون</v>
      </c>
      <c r="G6536" s="1" t="str">
        <f>IFERROR(__xludf.DUMMYFUNCTION("GOOGLETRANSLATE(C6536, ""en"", ""fa"")
"),"اهمیت ایجاد یک بیانیه موقعیت یابی برند را که به وضوح ارزش پیشنهادی منحصر به فرد برند شما را مشخص می کند، توضیح دهید.")</f>
        <v>اهمیت ایجاد یک بیانیه موقعیت یابی برند را که به وضوح ارزش پیشنهادی منحصر به فرد برند شما را مشخص می کند، توضیح دهید.</v>
      </c>
      <c r="H6536" s="1"/>
      <c r="I6536" s="1"/>
      <c r="J6536" s="1"/>
      <c r="K6536" s="1"/>
      <c r="L6536" s="1"/>
      <c r="M6536" s="1"/>
      <c r="N6536" s="1"/>
      <c r="O6536" s="1"/>
      <c r="P6536" s="1"/>
      <c r="Q6536" s="1"/>
      <c r="R6536" s="1"/>
      <c r="S6536" s="1"/>
      <c r="T6536" s="1"/>
      <c r="U6536" s="1"/>
      <c r="V6536" s="1"/>
      <c r="W6536" s="1"/>
      <c r="X6536" s="1"/>
      <c r="Y6536" s="1"/>
      <c r="Z6536" s="1"/>
      <c r="AA6536" s="1"/>
      <c r="AB6536" s="1"/>
    </row>
    <row r="6537" ht="50.25" customHeight="1">
      <c r="A6537" s="12">
        <v>6533.0</v>
      </c>
      <c r="B6537" s="13" t="s">
        <v>6141</v>
      </c>
      <c r="C6537" s="14" t="s">
        <v>6560</v>
      </c>
      <c r="D6537" s="1"/>
      <c r="E6537" s="1"/>
      <c r="F6537" s="1" t="str">
        <f>IFERROR(__xludf.DUMMYFUNCTION("GOOGLETRANSLATE(B6537, ""en"", ""fa"")
"),"موفقیت آمازون")</f>
        <v>موفقیت آمازون</v>
      </c>
      <c r="G6537" s="1" t="str">
        <f>IFERROR(__xludf.DUMMYFUNCTION("GOOGLETRANSLATE(C6537, ""en"", ""fa"")
"),"چگونه فروشندگان می توانند به طور موثر از مواد بسته بندی و تکمیل برای ایجاد یک تصویر برند ممتاز یا لوکس استفاده کنند؟")</f>
        <v>چگونه فروشندگان می توانند به طور موثر از مواد بسته بندی و تکمیل برای ایجاد یک تصویر برند ممتاز یا لوکس استفاده کنند؟</v>
      </c>
      <c r="H6537" s="1"/>
      <c r="I6537" s="1"/>
      <c r="J6537" s="1"/>
      <c r="K6537" s="1"/>
      <c r="L6537" s="1"/>
      <c r="M6537" s="1"/>
      <c r="N6537" s="1"/>
      <c r="O6537" s="1"/>
      <c r="P6537" s="1"/>
      <c r="Q6537" s="1"/>
      <c r="R6537" s="1"/>
      <c r="S6537" s="1"/>
      <c r="T6537" s="1"/>
      <c r="U6537" s="1"/>
      <c r="V6537" s="1"/>
      <c r="W6537" s="1"/>
      <c r="X6537" s="1"/>
      <c r="Y6537" s="1"/>
      <c r="Z6537" s="1"/>
      <c r="AA6537" s="1"/>
      <c r="AB6537" s="1"/>
    </row>
    <row r="6538" ht="50.25" customHeight="1">
      <c r="A6538" s="12">
        <v>6534.0</v>
      </c>
      <c r="B6538" s="13" t="s">
        <v>6141</v>
      </c>
      <c r="C6538" s="14" t="s">
        <v>6561</v>
      </c>
      <c r="D6538" s="1"/>
      <c r="E6538" s="1"/>
      <c r="F6538" s="1" t="str">
        <f>IFERROR(__xludf.DUMMYFUNCTION("GOOGLETRANSLATE(B6538, ""en"", ""fa"")
"),"موفقیت آمازون")</f>
        <v>موفقیت آمازون</v>
      </c>
      <c r="G6538" s="1" t="str">
        <f>IFERROR(__xludf.DUMMYFUNCTION("GOOGLETRANSLATE(C6538, ""en"", ""fa"")
"),"در مورد نقش ثبات برند در ایجاد اعتماد و وفاداری به برند در بین مشتریان بحث کنید.")</f>
        <v>در مورد نقش ثبات برند در ایجاد اعتماد و وفاداری به برند در بین مشتریان بحث کنید.</v>
      </c>
      <c r="H6538" s="1"/>
      <c r="I6538" s="1"/>
      <c r="J6538" s="1"/>
      <c r="K6538" s="1"/>
      <c r="L6538" s="1"/>
      <c r="M6538" s="1"/>
      <c r="N6538" s="1"/>
      <c r="O6538" s="1"/>
      <c r="P6538" s="1"/>
      <c r="Q6538" s="1"/>
      <c r="R6538" s="1"/>
      <c r="S6538" s="1"/>
      <c r="T6538" s="1"/>
      <c r="U6538" s="1"/>
      <c r="V6538" s="1"/>
      <c r="W6538" s="1"/>
      <c r="X6538" s="1"/>
      <c r="Y6538" s="1"/>
      <c r="Z6538" s="1"/>
      <c r="AA6538" s="1"/>
      <c r="AB6538" s="1"/>
    </row>
    <row r="6539" ht="50.25" customHeight="1">
      <c r="A6539" s="12">
        <v>6535.0</v>
      </c>
      <c r="B6539" s="13" t="s">
        <v>6141</v>
      </c>
      <c r="C6539" s="14" t="s">
        <v>6562</v>
      </c>
      <c r="D6539" s="1"/>
      <c r="E6539" s="1"/>
      <c r="F6539" s="1" t="str">
        <f>IFERROR(__xludf.DUMMYFUNCTION("GOOGLETRANSLATE(B6539, ""en"", ""fa"")
"),"موفقیت آمازون")</f>
        <v>موفقیت آمازون</v>
      </c>
      <c r="G6539" s="1" t="str">
        <f>IFERROR(__xludf.DUMMYFUNCTION("GOOGLETRANSLATE(C6539, ""en"", ""fa"")
"),"بهترین شیوه ها برای گنجاندن عناصر داستان سرایی در طراحی بسته بندی شما برای ایجاد ارتباط عاطفی با مشتریان چیست؟")</f>
        <v>بهترین شیوه ها برای گنجاندن عناصر داستان سرایی در طراحی بسته بندی شما برای ایجاد ارتباط عاطفی با مشتریان چیست؟</v>
      </c>
      <c r="H6539" s="1"/>
      <c r="I6539" s="1"/>
      <c r="J6539" s="1"/>
      <c r="K6539" s="1"/>
      <c r="L6539" s="1"/>
      <c r="M6539" s="1"/>
      <c r="N6539" s="1"/>
      <c r="O6539" s="1"/>
      <c r="P6539" s="1"/>
      <c r="Q6539" s="1"/>
      <c r="R6539" s="1"/>
      <c r="S6539" s="1"/>
      <c r="T6539" s="1"/>
      <c r="U6539" s="1"/>
      <c r="V6539" s="1"/>
      <c r="W6539" s="1"/>
      <c r="X6539" s="1"/>
      <c r="Y6539" s="1"/>
      <c r="Z6539" s="1"/>
      <c r="AA6539" s="1"/>
      <c r="AB6539" s="1"/>
    </row>
    <row r="6540" ht="50.25" customHeight="1">
      <c r="A6540" s="12">
        <v>6536.0</v>
      </c>
      <c r="B6540" s="13" t="s">
        <v>6141</v>
      </c>
      <c r="C6540" s="14" t="s">
        <v>6563</v>
      </c>
      <c r="D6540" s="1"/>
      <c r="E6540" s="1"/>
      <c r="F6540" s="1" t="str">
        <f>IFERROR(__xludf.DUMMYFUNCTION("GOOGLETRANSLATE(B6540, ""en"", ""fa"")
"),"موفقیت آمازون")</f>
        <v>موفقیت آمازون</v>
      </c>
      <c r="G6540" s="1" t="str">
        <f>IFERROR(__xludf.DUMMYFUNCTION("GOOGLETRANSLATE(C6540, ""en"", ""fa"")
"),"نکاتی را برای ایجاد بسته‌بندی به اشتراک بگذارید که نه تنها از نظر بصری جذاب باشد، بلکه باز کردن، نگهداری و ذخیره‌سازی آن برای مشتریان آسان باشد.")</f>
        <v>نکاتی را برای ایجاد بسته‌بندی به اشتراک بگذارید که نه تنها از نظر بصری جذاب باشد، بلکه باز کردن، نگهداری و ذخیره‌سازی آن برای مشتریان آسان باشد.</v>
      </c>
      <c r="H6540" s="1"/>
      <c r="I6540" s="1"/>
      <c r="J6540" s="1"/>
      <c r="K6540" s="1"/>
      <c r="L6540" s="1"/>
      <c r="M6540" s="1"/>
      <c r="N6540" s="1"/>
      <c r="O6540" s="1"/>
      <c r="P6540" s="1"/>
      <c r="Q6540" s="1"/>
      <c r="R6540" s="1"/>
      <c r="S6540" s="1"/>
      <c r="T6540" s="1"/>
      <c r="U6540" s="1"/>
      <c r="V6540" s="1"/>
      <c r="W6540" s="1"/>
      <c r="X6540" s="1"/>
      <c r="Y6540" s="1"/>
      <c r="Z6540" s="1"/>
      <c r="AA6540" s="1"/>
      <c r="AB6540" s="1"/>
    </row>
    <row r="6541" ht="50.25" customHeight="1">
      <c r="A6541" s="12">
        <v>6537.0</v>
      </c>
      <c r="B6541" s="13" t="s">
        <v>6141</v>
      </c>
      <c r="C6541" s="14" t="s">
        <v>6564</v>
      </c>
      <c r="D6541" s="1"/>
      <c r="E6541" s="1"/>
      <c r="F6541" s="1" t="str">
        <f>IFERROR(__xludf.DUMMYFUNCTION("GOOGLETRANSLATE(B6541, ""en"", ""fa"")
"),"موفقیت آمازون")</f>
        <v>موفقیت آمازون</v>
      </c>
      <c r="G6541" s="1" t="str">
        <f>IFERROR(__xludf.DUMMYFUNCTION("GOOGLETRANSLATE(C6541, ""en"", ""fa"")
"),"اهمیت همراستایی طراحی بسته بندی خود را با ترجیحات بازار هدف، سبک زندگی و جمعیت شناسی توضیح دهید.")</f>
        <v>اهمیت همراستایی طراحی بسته بندی خود را با ترجیحات بازار هدف، سبک زندگی و جمعیت شناسی توضیح دهید.</v>
      </c>
      <c r="H6541" s="1"/>
      <c r="I6541" s="1"/>
      <c r="J6541" s="1"/>
      <c r="K6541" s="1"/>
      <c r="L6541" s="1"/>
      <c r="M6541" s="1"/>
      <c r="N6541" s="1"/>
      <c r="O6541" s="1"/>
      <c r="P6541" s="1"/>
      <c r="Q6541" s="1"/>
      <c r="R6541" s="1"/>
      <c r="S6541" s="1"/>
      <c r="T6541" s="1"/>
      <c r="U6541" s="1"/>
      <c r="V6541" s="1"/>
      <c r="W6541" s="1"/>
      <c r="X6541" s="1"/>
      <c r="Y6541" s="1"/>
      <c r="Z6541" s="1"/>
      <c r="AA6541" s="1"/>
      <c r="AB6541" s="1"/>
    </row>
    <row r="6542" ht="50.25" customHeight="1">
      <c r="A6542" s="12">
        <v>6538.0</v>
      </c>
      <c r="B6542" s="13" t="s">
        <v>6141</v>
      </c>
      <c r="C6542" s="14" t="s">
        <v>6565</v>
      </c>
      <c r="D6542" s="1"/>
      <c r="E6542" s="1"/>
      <c r="F6542" s="1" t="str">
        <f>IFERROR(__xludf.DUMMYFUNCTION("GOOGLETRANSLATE(B6542, ""en"", ""fa"")
"),"موفقیت آمازون")</f>
        <v>موفقیت آمازون</v>
      </c>
      <c r="G6542" s="1" t="str">
        <f>IFERROR(__xludf.DUMMYFUNCTION("GOOGLETRANSLATE(C6542, ""en"", ""fa"")
"),"چگونه فروشندگان می توانند از طراحی بسته بندی استفاده کنند تا در یک بازار شلوغ برجسته شوند و توجه مشتری را به خود جلب کنند؟")</f>
        <v>چگونه فروشندگان می توانند از طراحی بسته بندی استفاده کنند تا در یک بازار شلوغ برجسته شوند و توجه مشتری را به خود جلب کنند؟</v>
      </c>
      <c r="H6542" s="1"/>
      <c r="I6542" s="1"/>
      <c r="J6542" s="1"/>
      <c r="K6542" s="1"/>
      <c r="L6542" s="1"/>
      <c r="M6542" s="1"/>
      <c r="N6542" s="1"/>
      <c r="O6542" s="1"/>
      <c r="P6542" s="1"/>
      <c r="Q6542" s="1"/>
      <c r="R6542" s="1"/>
      <c r="S6542" s="1"/>
      <c r="T6542" s="1"/>
      <c r="U6542" s="1"/>
      <c r="V6542" s="1"/>
      <c r="W6542" s="1"/>
      <c r="X6542" s="1"/>
      <c r="Y6542" s="1"/>
      <c r="Z6542" s="1"/>
      <c r="AA6542" s="1"/>
      <c r="AB6542" s="1"/>
    </row>
    <row r="6543" ht="50.25" customHeight="1">
      <c r="A6543" s="12">
        <v>6539.0</v>
      </c>
      <c r="B6543" s="13" t="s">
        <v>6141</v>
      </c>
      <c r="C6543" s="14" t="s">
        <v>6566</v>
      </c>
      <c r="D6543" s="1"/>
      <c r="E6543" s="1"/>
      <c r="F6543" s="1" t="str">
        <f>IFERROR(__xludf.DUMMYFUNCTION("GOOGLETRANSLATE(B6543, ""en"", ""fa"")
"),"موفقیت آمازون")</f>
        <v>موفقیت آمازون</v>
      </c>
      <c r="G6543" s="1" t="str">
        <f>IFERROR(__xludf.DUMMYFUNCTION("GOOGLETRANSLATE(C6543, ""en"", ""fa"")
"),"در مورد اهمیت ایجاد یک بیانیه موقعیت یابی برند که به وضوح ارزش پیشنهادی منحصر به فرد برند شما را تعریف می کند، بحث کنید.")</f>
        <v>در مورد اهمیت ایجاد یک بیانیه موقعیت یابی برند که به وضوح ارزش پیشنهادی منحصر به فرد برند شما را تعریف می کند، بحث کنید.</v>
      </c>
      <c r="H6543" s="1"/>
      <c r="I6543" s="1"/>
      <c r="J6543" s="1"/>
      <c r="K6543" s="1"/>
      <c r="L6543" s="1"/>
      <c r="M6543" s="1"/>
      <c r="N6543" s="1"/>
      <c r="O6543" s="1"/>
      <c r="P6543" s="1"/>
      <c r="Q6543" s="1"/>
      <c r="R6543" s="1"/>
      <c r="S6543" s="1"/>
      <c r="T6543" s="1"/>
      <c r="U6543" s="1"/>
      <c r="V6543" s="1"/>
      <c r="W6543" s="1"/>
      <c r="X6543" s="1"/>
      <c r="Y6543" s="1"/>
      <c r="Z6543" s="1"/>
      <c r="AA6543" s="1"/>
      <c r="AB6543" s="1"/>
    </row>
    <row r="6544" ht="50.25" customHeight="1">
      <c r="A6544" s="12">
        <v>6540.0</v>
      </c>
      <c r="B6544" s="13" t="s">
        <v>6141</v>
      </c>
      <c r="C6544" s="14" t="s">
        <v>6567</v>
      </c>
      <c r="D6544" s="1"/>
      <c r="E6544" s="1"/>
      <c r="F6544" s="1" t="str">
        <f>IFERROR(__xludf.DUMMYFUNCTION("GOOGLETRANSLATE(B6544, ""en"", ""fa"")
"),"موفقیت آمازون")</f>
        <v>موفقیت آمازون</v>
      </c>
      <c r="G6544" s="1" t="str">
        <f>IFERROR(__xludf.DUMMYFUNCTION("GOOGLETRANSLATE(C6544, ""en"", ""fa"")
"),"هنگام ارزیابی امکان سنجی گسترش کسب و کار آمازون خود در بازارهای بین المللی، چه عوامل کلیدی را باید در نظر بگیرید؟")</f>
        <v>هنگام ارزیابی امکان سنجی گسترش کسب و کار آمازون خود در بازارهای بین المللی، چه عوامل کلیدی را باید در نظر بگیرید؟</v>
      </c>
      <c r="H6544" s="1"/>
      <c r="I6544" s="1"/>
      <c r="J6544" s="1"/>
      <c r="K6544" s="1"/>
      <c r="L6544" s="1"/>
      <c r="M6544" s="1"/>
      <c r="N6544" s="1"/>
      <c r="O6544" s="1"/>
      <c r="P6544" s="1"/>
      <c r="Q6544" s="1"/>
      <c r="R6544" s="1"/>
      <c r="S6544" s="1"/>
      <c r="T6544" s="1"/>
      <c r="U6544" s="1"/>
      <c r="V6544" s="1"/>
      <c r="W6544" s="1"/>
      <c r="X6544" s="1"/>
      <c r="Y6544" s="1"/>
      <c r="Z6544" s="1"/>
      <c r="AA6544" s="1"/>
      <c r="AB6544" s="1"/>
    </row>
    <row r="6545" ht="50.25" customHeight="1">
      <c r="A6545" s="12">
        <v>6541.0</v>
      </c>
      <c r="B6545" s="13" t="s">
        <v>6141</v>
      </c>
      <c r="C6545" s="14" t="s">
        <v>6568</v>
      </c>
      <c r="D6545" s="1"/>
      <c r="E6545" s="1"/>
      <c r="F6545" s="1" t="str">
        <f>IFERROR(__xludf.DUMMYFUNCTION("GOOGLETRANSLATE(B6545, ""en"", ""fa"")
"),"موفقیت آمازون")</f>
        <v>موفقیت آمازون</v>
      </c>
      <c r="G6545" s="1" t="str">
        <f>IFERROR(__xludf.DUMMYFUNCTION("GOOGLETRANSLATE(C6545, ""en"", ""fa"")
"),"در مورد مزایای گسترش تجارت خود در سطح بین المللی و فرصت های بالقوه برای رشد بحث کنید.")</f>
        <v>در مورد مزایای گسترش تجارت خود در سطح بین المللی و فرصت های بالقوه برای رشد بحث کنید.</v>
      </c>
      <c r="H6545" s="1"/>
      <c r="I6545" s="1"/>
      <c r="J6545" s="1"/>
      <c r="K6545" s="1"/>
      <c r="L6545" s="1"/>
      <c r="M6545" s="1"/>
      <c r="N6545" s="1"/>
      <c r="O6545" s="1"/>
      <c r="P6545" s="1"/>
      <c r="Q6545" s="1"/>
      <c r="R6545" s="1"/>
      <c r="S6545" s="1"/>
      <c r="T6545" s="1"/>
      <c r="U6545" s="1"/>
      <c r="V6545" s="1"/>
      <c r="W6545" s="1"/>
      <c r="X6545" s="1"/>
      <c r="Y6545" s="1"/>
      <c r="Z6545" s="1"/>
      <c r="AA6545" s="1"/>
      <c r="AB6545" s="1"/>
    </row>
    <row r="6546" ht="50.25" customHeight="1">
      <c r="A6546" s="12">
        <v>6542.0</v>
      </c>
      <c r="B6546" s="13" t="s">
        <v>6141</v>
      </c>
      <c r="C6546" s="14" t="s">
        <v>6569</v>
      </c>
      <c r="D6546" s="1"/>
      <c r="E6546" s="1"/>
      <c r="F6546" s="1" t="str">
        <f>IFERROR(__xludf.DUMMYFUNCTION("GOOGLETRANSLATE(B6546, ""en"", ""fa"")
"),"موفقیت آمازون")</f>
        <v>موفقیت آمازون</v>
      </c>
      <c r="G6546" s="1" t="str">
        <f>IFERROR(__xludf.DUMMYFUNCTION("GOOGLETRANSLATE(C6546, ""en"", ""fa"")
"),"درباره نحوه انجام تحقیقات بازار برای شناسایی بازارهای بین المللی قابل دوام برای محصولات خود، بینش هایی را به اشتراک بگذارید.")</f>
        <v>درباره نحوه انجام تحقیقات بازار برای شناسایی بازارهای بین المللی قابل دوام برای محصولات خود، بینش هایی را به اشتراک بگذارید.</v>
      </c>
      <c r="H6546" s="1"/>
      <c r="I6546" s="1"/>
      <c r="J6546" s="1"/>
      <c r="K6546" s="1"/>
      <c r="L6546" s="1"/>
      <c r="M6546" s="1"/>
      <c r="N6546" s="1"/>
      <c r="O6546" s="1"/>
      <c r="P6546" s="1"/>
      <c r="Q6546" s="1"/>
      <c r="R6546" s="1"/>
      <c r="S6546" s="1"/>
      <c r="T6546" s="1"/>
      <c r="U6546" s="1"/>
      <c r="V6546" s="1"/>
      <c r="W6546" s="1"/>
      <c r="X6546" s="1"/>
      <c r="Y6546" s="1"/>
      <c r="Z6546" s="1"/>
      <c r="AA6546" s="1"/>
      <c r="AB6546" s="1"/>
    </row>
    <row r="6547" ht="50.25" customHeight="1">
      <c r="A6547" s="12">
        <v>6543.0</v>
      </c>
      <c r="B6547" s="13" t="s">
        <v>6141</v>
      </c>
      <c r="C6547" s="14" t="s">
        <v>6570</v>
      </c>
      <c r="D6547" s="1"/>
      <c r="E6547" s="1"/>
      <c r="F6547" s="1" t="str">
        <f>IFERROR(__xludf.DUMMYFUNCTION("GOOGLETRANSLATE(B6547, ""en"", ""fa"")
"),"موفقیت آمازون")</f>
        <v>موفقیت آمازون</v>
      </c>
      <c r="G6547" s="1" t="str">
        <f>IFERROR(__xludf.DUMMYFUNCTION("GOOGLETRANSLATE(C6547, ""en"", ""fa"")
"),"اهمیت درک تفاوت‌های فرهنگی و تطبیق استراتژی‌های بازاریابی خود را برای طنین‌اندازی با مشتریان بین‌المللی توضیح دهید.")</f>
        <v>اهمیت درک تفاوت‌های فرهنگی و تطبیق استراتژی‌های بازاریابی خود را برای طنین‌اندازی با مشتریان بین‌المللی توضیح دهید.</v>
      </c>
      <c r="H6547" s="1"/>
      <c r="I6547" s="1"/>
      <c r="J6547" s="1"/>
      <c r="K6547" s="1"/>
      <c r="L6547" s="1"/>
      <c r="M6547" s="1"/>
      <c r="N6547" s="1"/>
      <c r="O6547" s="1"/>
      <c r="P6547" s="1"/>
      <c r="Q6547" s="1"/>
      <c r="R6547" s="1"/>
      <c r="S6547" s="1"/>
      <c r="T6547" s="1"/>
      <c r="U6547" s="1"/>
      <c r="V6547" s="1"/>
      <c r="W6547" s="1"/>
      <c r="X6547" s="1"/>
      <c r="Y6547" s="1"/>
      <c r="Z6547" s="1"/>
      <c r="AA6547" s="1"/>
      <c r="AB6547" s="1"/>
    </row>
    <row r="6548" ht="50.25" customHeight="1">
      <c r="A6548" s="12">
        <v>6544.0</v>
      </c>
      <c r="B6548" s="13" t="s">
        <v>6141</v>
      </c>
      <c r="C6548" s="14" t="s">
        <v>6571</v>
      </c>
      <c r="D6548" s="1"/>
      <c r="E6548" s="1"/>
      <c r="F6548" s="1" t="str">
        <f>IFERROR(__xludf.DUMMYFUNCTION("GOOGLETRANSLATE(B6548, ""en"", ""fa"")
"),"موفقیت آمازون")</f>
        <v>موفقیت آمازون</v>
      </c>
      <c r="G6548" s="1" t="str">
        <f>IFERROR(__xludf.DUMMYFUNCTION("GOOGLETRANSLATE(C6548, ""en"", ""fa"")
"),"چگونه فروشندگان می توانند موانع زبانی را پشت سر بگذارند و به طور موثر با مشتریان بین المللی به زبان مادری خود ارتباط برقرار کنند؟")</f>
        <v>چگونه فروشندگان می توانند موانع زبانی را پشت سر بگذارند و به طور موثر با مشتریان بین المللی به زبان مادری خود ارتباط برقرار کنند؟</v>
      </c>
      <c r="H6548" s="1"/>
      <c r="I6548" s="1"/>
      <c r="J6548" s="1"/>
      <c r="K6548" s="1"/>
      <c r="L6548" s="1"/>
      <c r="M6548" s="1"/>
      <c r="N6548" s="1"/>
      <c r="O6548" s="1"/>
      <c r="P6548" s="1"/>
      <c r="Q6548" s="1"/>
      <c r="R6548" s="1"/>
      <c r="S6548" s="1"/>
      <c r="T6548" s="1"/>
      <c r="U6548" s="1"/>
      <c r="V6548" s="1"/>
      <c r="W6548" s="1"/>
      <c r="X6548" s="1"/>
      <c r="Y6548" s="1"/>
      <c r="Z6548" s="1"/>
      <c r="AA6548" s="1"/>
      <c r="AB6548" s="1"/>
    </row>
    <row r="6549" ht="50.25" customHeight="1">
      <c r="A6549" s="12">
        <v>6545.0</v>
      </c>
      <c r="B6549" s="13" t="s">
        <v>6141</v>
      </c>
      <c r="C6549" s="14" t="s">
        <v>6572</v>
      </c>
      <c r="D6549" s="1"/>
      <c r="E6549" s="1"/>
      <c r="F6549" s="1" t="str">
        <f>IFERROR(__xludf.DUMMYFUNCTION("GOOGLETRANSLATE(B6549, ""en"", ""fa"")
"),"موفقیت آمازون")</f>
        <v>موفقیت آمازون</v>
      </c>
      <c r="G6549" s="1" t="str">
        <f>IFERROR(__xludf.DUMMYFUNCTION("GOOGLETRANSLATE(C6549, ""en"", ""fa"")
"),"هنگام گسترش تجارت آمازون خود به بازارهای بین المللی، در مورد ملاحظات لجستیک و عملیاتی بحث کنید.")</f>
        <v>هنگام گسترش تجارت آمازون خود به بازارهای بین المللی، در مورد ملاحظات لجستیک و عملیاتی بحث کنید.</v>
      </c>
      <c r="H6549" s="1"/>
      <c r="I6549" s="1"/>
      <c r="J6549" s="1"/>
      <c r="K6549" s="1"/>
      <c r="L6549" s="1"/>
      <c r="M6549" s="1"/>
      <c r="N6549" s="1"/>
      <c r="O6549" s="1"/>
      <c r="P6549" s="1"/>
      <c r="Q6549" s="1"/>
      <c r="R6549" s="1"/>
      <c r="S6549" s="1"/>
      <c r="T6549" s="1"/>
      <c r="U6549" s="1"/>
      <c r="V6549" s="1"/>
      <c r="W6549" s="1"/>
      <c r="X6549" s="1"/>
      <c r="Y6549" s="1"/>
      <c r="Z6549" s="1"/>
      <c r="AA6549" s="1"/>
      <c r="AB6549" s="1"/>
    </row>
    <row r="6550" ht="50.25" customHeight="1">
      <c r="A6550" s="12">
        <v>6546.0</v>
      </c>
      <c r="B6550" s="13" t="s">
        <v>6141</v>
      </c>
      <c r="C6550" s="14" t="s">
        <v>6573</v>
      </c>
      <c r="D6550" s="1"/>
      <c r="E6550" s="1"/>
      <c r="F6550" s="1" t="str">
        <f>IFERROR(__xludf.DUMMYFUNCTION("GOOGLETRANSLATE(B6550, ""en"", ""fa"")
"),"موفقیت آمازون")</f>
        <v>موفقیت آمازون</v>
      </c>
      <c r="G6550" s="1" t="str">
        <f>IFERROR(__xludf.DUMMYFUNCTION("GOOGLETRANSLATE(C6550, ""en"", ""fa"")
"),"بهترین روش ها برای بهینه سازی لیست محصولات و محتوای شما برای مخاطبان بین المللی چیست؟")</f>
        <v>بهترین روش ها برای بهینه سازی لیست محصولات و محتوای شما برای مخاطبان بین المللی چیست؟</v>
      </c>
      <c r="H6550" s="1"/>
      <c r="I6550" s="1"/>
      <c r="J6550" s="1"/>
      <c r="K6550" s="1"/>
      <c r="L6550" s="1"/>
      <c r="M6550" s="1"/>
      <c r="N6550" s="1"/>
      <c r="O6550" s="1"/>
      <c r="P6550" s="1"/>
      <c r="Q6550" s="1"/>
      <c r="R6550" s="1"/>
      <c r="S6550" s="1"/>
      <c r="T6550" s="1"/>
      <c r="U6550" s="1"/>
      <c r="V6550" s="1"/>
      <c r="W6550" s="1"/>
      <c r="X6550" s="1"/>
      <c r="Y6550" s="1"/>
      <c r="Z6550" s="1"/>
      <c r="AA6550" s="1"/>
      <c r="AB6550" s="1"/>
    </row>
    <row r="6551" ht="50.25" customHeight="1">
      <c r="A6551" s="12">
        <v>6547.0</v>
      </c>
      <c r="B6551" s="13" t="s">
        <v>6141</v>
      </c>
      <c r="C6551" s="14" t="s">
        <v>6574</v>
      </c>
      <c r="D6551" s="1"/>
      <c r="E6551" s="1"/>
      <c r="F6551" s="1" t="str">
        <f>IFERROR(__xludf.DUMMYFUNCTION("GOOGLETRANSLATE(B6551, ""en"", ""fa"")
"),"موفقیت آمازون")</f>
        <v>موفقیت آمازون</v>
      </c>
      <c r="G6551" s="1" t="str">
        <f>IFERROR(__xludf.DUMMYFUNCTION("GOOGLETRANSLATE(C6551, ""en"", ""fa"")
"),"نکاتی را برای پیمایش حمل و نقل بین المللی و انجام آن، از جمله مقررات گمرکی و گزینه های حمل و نقل به اشتراک بگذارید.")</f>
        <v>نکاتی را برای پیمایش حمل و نقل بین المللی و انجام آن، از جمله مقررات گمرکی و گزینه های حمل و نقل به اشتراک بگذارید.</v>
      </c>
      <c r="H6551" s="1"/>
      <c r="I6551" s="1"/>
      <c r="J6551" s="1"/>
      <c r="K6551" s="1"/>
      <c r="L6551" s="1"/>
      <c r="M6551" s="1"/>
      <c r="N6551" s="1"/>
      <c r="O6551" s="1"/>
      <c r="P6551" s="1"/>
      <c r="Q6551" s="1"/>
      <c r="R6551" s="1"/>
      <c r="S6551" s="1"/>
      <c r="T6551" s="1"/>
      <c r="U6551" s="1"/>
      <c r="V6551" s="1"/>
      <c r="W6551" s="1"/>
      <c r="X6551" s="1"/>
      <c r="Y6551" s="1"/>
      <c r="Z6551" s="1"/>
      <c r="AA6551" s="1"/>
      <c r="AB6551" s="1"/>
    </row>
    <row r="6552" ht="50.25" customHeight="1">
      <c r="A6552" s="12">
        <v>6548.0</v>
      </c>
      <c r="B6552" s="13" t="s">
        <v>6141</v>
      </c>
      <c r="C6552" s="14" t="s">
        <v>6575</v>
      </c>
      <c r="D6552" s="1"/>
      <c r="E6552" s="1"/>
      <c r="F6552" s="1" t="str">
        <f>IFERROR(__xludf.DUMMYFUNCTION("GOOGLETRANSLATE(B6552, ""en"", ""fa"")
"),"موفقیت آمازون")</f>
        <v>موفقیت آمازون</v>
      </c>
      <c r="G6552" s="1" t="str">
        <f>IFERROR(__xludf.DUMMYFUNCTION("GOOGLETRANSLATE(C6552, ""en"", ""fa"")
"),"اهمیت بومی سازی بسته بندی و مواد بازاریابی محصول خود را برای جذب مشتریان بین المللی توضیح دهید.")</f>
        <v>اهمیت بومی سازی بسته بندی و مواد بازاریابی محصول خود را برای جذب مشتریان بین المللی توضیح دهید.</v>
      </c>
      <c r="H6552" s="1"/>
      <c r="I6552" s="1"/>
      <c r="J6552" s="1"/>
      <c r="K6552" s="1"/>
      <c r="L6552" s="1"/>
      <c r="M6552" s="1"/>
      <c r="N6552" s="1"/>
      <c r="O6552" s="1"/>
      <c r="P6552" s="1"/>
      <c r="Q6552" s="1"/>
      <c r="R6552" s="1"/>
      <c r="S6552" s="1"/>
      <c r="T6552" s="1"/>
      <c r="U6552" s="1"/>
      <c r="V6552" s="1"/>
      <c r="W6552" s="1"/>
      <c r="X6552" s="1"/>
      <c r="Y6552" s="1"/>
      <c r="Z6552" s="1"/>
      <c r="AA6552" s="1"/>
      <c r="AB6552" s="1"/>
    </row>
    <row r="6553" ht="50.25" customHeight="1">
      <c r="A6553" s="12">
        <v>6549.0</v>
      </c>
      <c r="B6553" s="13" t="s">
        <v>6141</v>
      </c>
      <c r="C6553" s="14" t="s">
        <v>6576</v>
      </c>
      <c r="D6553" s="1"/>
      <c r="E6553" s="1"/>
      <c r="F6553" s="1" t="str">
        <f>IFERROR(__xludf.DUMMYFUNCTION("GOOGLETRANSLATE(B6553, ""en"", ""fa"")
"),"موفقیت آمازون")</f>
        <v>موفقیت آمازون</v>
      </c>
      <c r="G6553" s="1" t="str">
        <f>IFERROR(__xludf.DUMMYFUNCTION("GOOGLETRANSLATE(C6553, ""en"", ""fa"")
"),"فروشندگان چگونه می‌توانند از خدمات بین‌المللی تحقق، مانند صادرات جهانی FBA آمازون، برای ساده‌سازی فرآیندهای حمل‌ونقل بین‌المللی استفاده کنند؟")</f>
        <v>فروشندگان چگونه می‌توانند از خدمات بین‌المللی تحقق، مانند صادرات جهانی FBA آمازون، برای ساده‌سازی فرآیندهای حمل‌ونقل بین‌المللی استفاده کنند؟</v>
      </c>
      <c r="H6553" s="1"/>
      <c r="I6553" s="1"/>
      <c r="J6553" s="1"/>
      <c r="K6553" s="1"/>
      <c r="L6553" s="1"/>
      <c r="M6553" s="1"/>
      <c r="N6553" s="1"/>
      <c r="O6553" s="1"/>
      <c r="P6553" s="1"/>
      <c r="Q6553" s="1"/>
      <c r="R6553" s="1"/>
      <c r="S6553" s="1"/>
      <c r="T6553" s="1"/>
      <c r="U6553" s="1"/>
      <c r="V6553" s="1"/>
      <c r="W6553" s="1"/>
      <c r="X6553" s="1"/>
      <c r="Y6553" s="1"/>
      <c r="Z6553" s="1"/>
      <c r="AA6553" s="1"/>
      <c r="AB6553" s="1"/>
    </row>
    <row r="6554" ht="50.25" customHeight="1">
      <c r="A6554" s="12">
        <v>6550.0</v>
      </c>
      <c r="B6554" s="13" t="s">
        <v>6141</v>
      </c>
      <c r="C6554" s="14" t="s">
        <v>6577</v>
      </c>
      <c r="D6554" s="1"/>
      <c r="E6554" s="1"/>
      <c r="F6554" s="1" t="str">
        <f>IFERROR(__xludf.DUMMYFUNCTION("GOOGLETRANSLATE(B6554, ""en"", ""fa"")
"),"موفقیت آمازون")</f>
        <v>موفقیت آمازون</v>
      </c>
      <c r="G6554" s="1" t="str">
        <f>IFERROR(__xludf.DUMMYFUNCTION("GOOGLETRANSLATE(C6554, ""en"", ""fa"")
"),"در مورد اهمیت درک رقابت محلی و پویایی بازار هنگام گسترش در سطح بین المللی بحث کنید.")</f>
        <v>در مورد اهمیت درک رقابت محلی و پویایی بازار هنگام گسترش در سطح بین المللی بحث کنید.</v>
      </c>
      <c r="H6554" s="1"/>
      <c r="I6554" s="1"/>
      <c r="J6554" s="1"/>
      <c r="K6554" s="1"/>
      <c r="L6554" s="1"/>
      <c r="M6554" s="1"/>
      <c r="N6554" s="1"/>
      <c r="O6554" s="1"/>
      <c r="P6554" s="1"/>
      <c r="Q6554" s="1"/>
      <c r="R6554" s="1"/>
      <c r="S6554" s="1"/>
      <c r="T6554" s="1"/>
      <c r="U6554" s="1"/>
      <c r="V6554" s="1"/>
      <c r="W6554" s="1"/>
      <c r="X6554" s="1"/>
      <c r="Y6554" s="1"/>
      <c r="Z6554" s="1"/>
      <c r="AA6554" s="1"/>
      <c r="AB6554" s="1"/>
    </row>
    <row r="6555" ht="50.25" customHeight="1">
      <c r="A6555" s="12">
        <v>6551.0</v>
      </c>
      <c r="B6555" s="13" t="s">
        <v>6141</v>
      </c>
      <c r="C6555" s="14" t="s">
        <v>6578</v>
      </c>
      <c r="D6555" s="1"/>
      <c r="E6555" s="1"/>
      <c r="F6555" s="1" t="str">
        <f>IFERROR(__xludf.DUMMYFUNCTION("GOOGLETRANSLATE(B6555, ""en"", ""fa"")
"),"موفقیت آمازون")</f>
        <v>موفقیت آمازون</v>
      </c>
      <c r="G6555" s="1" t="str">
        <f>IFERROR(__xludf.DUMMYFUNCTION("GOOGLETRANSLATE(C6555, ""en"", ""fa"")
"),"ملاحظات کلیدی هنگام ایجاد استراتژی های قیمت گذاری برای بازارهای بین المللی، از جمله تبدیل ارز و هنجارهای قیمت گذاری محلی چیست؟")</f>
        <v>ملاحظات کلیدی هنگام ایجاد استراتژی های قیمت گذاری برای بازارهای بین المللی، از جمله تبدیل ارز و هنجارهای قیمت گذاری محلی چیست؟</v>
      </c>
      <c r="H6555" s="1"/>
      <c r="I6555" s="1"/>
      <c r="J6555" s="1"/>
      <c r="K6555" s="1"/>
      <c r="L6555" s="1"/>
      <c r="M6555" s="1"/>
      <c r="N6555" s="1"/>
      <c r="O6555" s="1"/>
      <c r="P6555" s="1"/>
      <c r="Q6555" s="1"/>
      <c r="R6555" s="1"/>
      <c r="S6555" s="1"/>
      <c r="T6555" s="1"/>
      <c r="U6555" s="1"/>
      <c r="V6555" s="1"/>
      <c r="W6555" s="1"/>
      <c r="X6555" s="1"/>
      <c r="Y6555" s="1"/>
      <c r="Z6555" s="1"/>
      <c r="AA6555" s="1"/>
      <c r="AB6555" s="1"/>
    </row>
    <row r="6556" ht="50.25" customHeight="1">
      <c r="A6556" s="12">
        <v>6552.0</v>
      </c>
      <c r="B6556" s="13" t="s">
        <v>6141</v>
      </c>
      <c r="C6556" s="14" t="s">
        <v>6579</v>
      </c>
      <c r="D6556" s="1"/>
      <c r="E6556" s="1"/>
      <c r="F6556" s="1" t="str">
        <f>IFERROR(__xludf.DUMMYFUNCTION("GOOGLETRANSLATE(B6556, ""en"", ""fa"")
"),"موفقیت آمازون")</f>
        <v>موفقیت آمازون</v>
      </c>
      <c r="G6556" s="1" t="str">
        <f>IFERROR(__xludf.DUMMYFUNCTION("GOOGLETRANSLATE(C6556, ""en"", ""fa"")
"),"بینش هایی در مورد چگونگی ایجاد روابط با تامین کنندگان و تولید کنندگان محلی در بازارهای بین المللی هدف خود به اشتراک بگذارید.")</f>
        <v>بینش هایی در مورد چگونگی ایجاد روابط با تامین کنندگان و تولید کنندگان محلی در بازارهای بین المللی هدف خود به اشتراک بگذارید.</v>
      </c>
      <c r="H6556" s="1"/>
      <c r="I6556" s="1"/>
      <c r="J6556" s="1"/>
      <c r="K6556" s="1"/>
      <c r="L6556" s="1"/>
      <c r="M6556" s="1"/>
      <c r="N6556" s="1"/>
      <c r="O6556" s="1"/>
      <c r="P6556" s="1"/>
      <c r="Q6556" s="1"/>
      <c r="R6556" s="1"/>
      <c r="S6556" s="1"/>
      <c r="T6556" s="1"/>
      <c r="U6556" s="1"/>
      <c r="V6556" s="1"/>
      <c r="W6556" s="1"/>
      <c r="X6556" s="1"/>
      <c r="Y6556" s="1"/>
      <c r="Z6556" s="1"/>
      <c r="AA6556" s="1"/>
      <c r="AB6556" s="1"/>
    </row>
    <row r="6557" ht="50.25" customHeight="1">
      <c r="A6557" s="12">
        <v>6553.0</v>
      </c>
      <c r="B6557" s="13" t="s">
        <v>6141</v>
      </c>
      <c r="C6557" s="14" t="s">
        <v>6580</v>
      </c>
      <c r="D6557" s="1"/>
      <c r="E6557" s="1"/>
      <c r="F6557" s="1" t="str">
        <f>IFERROR(__xludf.DUMMYFUNCTION("GOOGLETRANSLATE(B6557, ""en"", ""fa"")
"),"موفقیت آمازون")</f>
        <v>موفقیت آمازون</v>
      </c>
      <c r="G6557" s="1" t="str">
        <f>IFERROR(__xludf.DUMMYFUNCTION("GOOGLETRANSLATE(C6557, ""en"", ""fa"")
"),"اهمیت توسعه یک استراتژی توسعه بین المللی جامع که با اهداف کلی کسب و کار شما همسو باشد را توضیح دهید.")</f>
        <v>اهمیت توسعه یک استراتژی توسعه بین المللی جامع که با اهداف کلی کسب و کار شما همسو باشد را توضیح دهید.</v>
      </c>
      <c r="H6557" s="1"/>
      <c r="I6557" s="1"/>
      <c r="J6557" s="1"/>
      <c r="K6557" s="1"/>
      <c r="L6557" s="1"/>
      <c r="M6557" s="1"/>
      <c r="N6557" s="1"/>
      <c r="O6557" s="1"/>
      <c r="P6557" s="1"/>
      <c r="Q6557" s="1"/>
      <c r="R6557" s="1"/>
      <c r="S6557" s="1"/>
      <c r="T6557" s="1"/>
      <c r="U6557" s="1"/>
      <c r="V6557" s="1"/>
      <c r="W6557" s="1"/>
      <c r="X6557" s="1"/>
      <c r="Y6557" s="1"/>
      <c r="Z6557" s="1"/>
      <c r="AA6557" s="1"/>
      <c r="AB6557" s="1"/>
    </row>
    <row r="6558" ht="50.25" customHeight="1">
      <c r="A6558" s="12">
        <v>6554.0</v>
      </c>
      <c r="B6558" s="13" t="s">
        <v>6141</v>
      </c>
      <c r="C6558" s="14" t="s">
        <v>6581</v>
      </c>
      <c r="D6558" s="1"/>
      <c r="E6558" s="1"/>
      <c r="F6558" s="1" t="str">
        <f>IFERROR(__xludf.DUMMYFUNCTION("GOOGLETRANSLATE(B6558, ""en"", ""fa"")
"),"موفقیت آمازون")</f>
        <v>موفقیت آمازون</v>
      </c>
      <c r="G6558" s="1" t="str">
        <f>IFERROR(__xludf.DUMMYFUNCTION("GOOGLETRANSLATE(C6558, ""en"", ""fa"")
"),"چگونه فروشندگان می توانند به طور مؤثر از خدمات بومی سازی و ترجمه برای تطبیق فهرست محصولات و محتوای بازاریابی خود برای بازارهای بین المللی مختلف استفاده کنند؟")</f>
        <v>چگونه فروشندگان می توانند به طور مؤثر از خدمات بومی سازی و ترجمه برای تطبیق فهرست محصولات و محتوای بازاریابی خود برای بازارهای بین المللی مختلف استفاده کنند؟</v>
      </c>
      <c r="H6558" s="1"/>
      <c r="I6558" s="1"/>
      <c r="J6558" s="1"/>
      <c r="K6558" s="1"/>
      <c r="L6558" s="1"/>
      <c r="M6558" s="1"/>
      <c r="N6558" s="1"/>
      <c r="O6558" s="1"/>
      <c r="P6558" s="1"/>
      <c r="Q6558" s="1"/>
      <c r="R6558" s="1"/>
      <c r="S6558" s="1"/>
      <c r="T6558" s="1"/>
      <c r="U6558" s="1"/>
      <c r="V6558" s="1"/>
      <c r="W6558" s="1"/>
      <c r="X6558" s="1"/>
      <c r="Y6558" s="1"/>
      <c r="Z6558" s="1"/>
      <c r="AA6558" s="1"/>
      <c r="AB6558" s="1"/>
    </row>
    <row r="6559" ht="50.25" customHeight="1">
      <c r="A6559" s="12">
        <v>6555.0</v>
      </c>
      <c r="B6559" s="13" t="s">
        <v>6141</v>
      </c>
      <c r="C6559" s="14" t="s">
        <v>6582</v>
      </c>
      <c r="D6559" s="1"/>
      <c r="E6559" s="1"/>
      <c r="F6559" s="1" t="str">
        <f>IFERROR(__xludf.DUMMYFUNCTION("GOOGLETRANSLATE(B6559, ""en"", ""fa"")
"),"موفقیت آمازون")</f>
        <v>موفقیت آمازون</v>
      </c>
      <c r="G6559" s="1" t="str">
        <f>IFERROR(__xludf.DUMMYFUNCTION("GOOGLETRANSLATE(C6559, ""en"", ""fa"")
"),"در مورد چالش ها و فرصت های فروش در بازارهای بین المللی آمازون و بهترین شیوه های موفقیت بحث کنید.")</f>
        <v>در مورد چالش ها و فرصت های فروش در بازارهای بین المللی آمازون و بهترین شیوه های موفقیت بحث کنید.</v>
      </c>
      <c r="H6559" s="1"/>
      <c r="I6559" s="1"/>
      <c r="J6559" s="1"/>
      <c r="K6559" s="1"/>
      <c r="L6559" s="1"/>
      <c r="M6559" s="1"/>
      <c r="N6559" s="1"/>
      <c r="O6559" s="1"/>
      <c r="P6559" s="1"/>
      <c r="Q6559" s="1"/>
      <c r="R6559" s="1"/>
      <c r="S6559" s="1"/>
      <c r="T6559" s="1"/>
      <c r="U6559" s="1"/>
      <c r="V6559" s="1"/>
      <c r="W6559" s="1"/>
      <c r="X6559" s="1"/>
      <c r="Y6559" s="1"/>
      <c r="Z6559" s="1"/>
      <c r="AA6559" s="1"/>
      <c r="AB6559" s="1"/>
    </row>
    <row r="6560" ht="50.25" customHeight="1">
      <c r="A6560" s="12">
        <v>6556.0</v>
      </c>
      <c r="B6560" s="13" t="s">
        <v>6141</v>
      </c>
      <c r="C6560" s="14" t="s">
        <v>6583</v>
      </c>
      <c r="D6560" s="1"/>
      <c r="E6560" s="1"/>
      <c r="F6560" s="1" t="str">
        <f>IFERROR(__xludf.DUMMYFUNCTION("GOOGLETRANSLATE(B6560, ""en"", ""fa"")
"),"موفقیت آمازون")</f>
        <v>موفقیت آمازون</v>
      </c>
      <c r="G6560" s="1" t="str">
        <f>IFERROR(__xludf.DUMMYFUNCTION("GOOGLETRANSLATE(C6560, ""en"", ""fa"")
"),"ملاحظات قانونی و نظارتی هنگام گسترش تجارت خود در سطح بین المللی، از جمله حفاظت از مالکیت معنوی و تعهدات مالیاتی، چیست؟")</f>
        <v>ملاحظات قانونی و نظارتی هنگام گسترش تجارت خود در سطح بین المللی، از جمله حفاظت از مالکیت معنوی و تعهدات مالیاتی، چیست؟</v>
      </c>
      <c r="H6560" s="1"/>
      <c r="I6560" s="1"/>
      <c r="J6560" s="1"/>
      <c r="K6560" s="1"/>
      <c r="L6560" s="1"/>
      <c r="M6560" s="1"/>
      <c r="N6560" s="1"/>
      <c r="O6560" s="1"/>
      <c r="P6560" s="1"/>
      <c r="Q6560" s="1"/>
      <c r="R6560" s="1"/>
      <c r="S6560" s="1"/>
      <c r="T6560" s="1"/>
      <c r="U6560" s="1"/>
      <c r="V6560" s="1"/>
      <c r="W6560" s="1"/>
      <c r="X6560" s="1"/>
      <c r="Y6560" s="1"/>
      <c r="Z6560" s="1"/>
      <c r="AA6560" s="1"/>
      <c r="AB6560" s="1"/>
    </row>
    <row r="6561" ht="50.25" customHeight="1">
      <c r="A6561" s="12">
        <v>6557.0</v>
      </c>
      <c r="B6561" s="13" t="s">
        <v>6141</v>
      </c>
      <c r="C6561" s="14" t="s">
        <v>6584</v>
      </c>
      <c r="D6561" s="1"/>
      <c r="E6561" s="1"/>
      <c r="F6561" s="1" t="str">
        <f>IFERROR(__xludf.DUMMYFUNCTION("GOOGLETRANSLATE(B6561, ""en"", ""fa"")
"),"موفقیت آمازون")</f>
        <v>موفقیت آمازون</v>
      </c>
      <c r="G6561" s="1" t="str">
        <f>IFERROR(__xludf.DUMMYFUNCTION("GOOGLETRANSLATE(C6561, ""en"", ""fa"")
"),"نکاتی را برای مدیریت پشتیبانی مشتری و رسیدگی به بازده برای مشتریان بین المللی به اشتراک بگذارید.")</f>
        <v>نکاتی را برای مدیریت پشتیبانی مشتری و رسیدگی به بازده برای مشتریان بین المللی به اشتراک بگذارید.</v>
      </c>
      <c r="H6561" s="1"/>
      <c r="I6561" s="1"/>
      <c r="J6561" s="1"/>
      <c r="K6561" s="1"/>
      <c r="L6561" s="1"/>
      <c r="M6561" s="1"/>
      <c r="N6561" s="1"/>
      <c r="O6561" s="1"/>
      <c r="P6561" s="1"/>
      <c r="Q6561" s="1"/>
      <c r="R6561" s="1"/>
      <c r="S6561" s="1"/>
      <c r="T6561" s="1"/>
      <c r="U6561" s="1"/>
      <c r="V6561" s="1"/>
      <c r="W6561" s="1"/>
      <c r="X6561" s="1"/>
      <c r="Y6561" s="1"/>
      <c r="Z6561" s="1"/>
      <c r="AA6561" s="1"/>
      <c r="AB6561" s="1"/>
    </row>
    <row r="6562" ht="50.25" customHeight="1">
      <c r="A6562" s="12">
        <v>6558.0</v>
      </c>
      <c r="B6562" s="13" t="s">
        <v>6141</v>
      </c>
      <c r="C6562" s="14" t="s">
        <v>6585</v>
      </c>
      <c r="D6562" s="1"/>
      <c r="E6562" s="1"/>
      <c r="F6562" s="1" t="str">
        <f>IFERROR(__xludf.DUMMYFUNCTION("GOOGLETRANSLATE(B6562, ""en"", ""fa"")
"),"موفقیت آمازون")</f>
        <v>موفقیت آمازون</v>
      </c>
      <c r="G6562" s="1" t="str">
        <f>IFERROR(__xludf.DUMMYFUNCTION("GOOGLETRANSLATE(C6562, ""en"", ""fa"")
"),"اهمیت ایجاد شبکه ای از مخاطبین بین المللی مانند توزیع کنندگان یا تأثیرگذاران محلی را برای حمایت از تلاش های توسعه خود توضیح دهید.")</f>
        <v>اهمیت ایجاد شبکه ای از مخاطبین بین المللی مانند توزیع کنندگان یا تأثیرگذاران محلی را برای حمایت از تلاش های توسعه خود توضیح دهید.</v>
      </c>
      <c r="H6562" s="1"/>
      <c r="I6562" s="1"/>
      <c r="J6562" s="1"/>
      <c r="K6562" s="1"/>
      <c r="L6562" s="1"/>
      <c r="M6562" s="1"/>
      <c r="N6562" s="1"/>
      <c r="O6562" s="1"/>
      <c r="P6562" s="1"/>
      <c r="Q6562" s="1"/>
      <c r="R6562" s="1"/>
      <c r="S6562" s="1"/>
      <c r="T6562" s="1"/>
      <c r="U6562" s="1"/>
      <c r="V6562" s="1"/>
      <c r="W6562" s="1"/>
      <c r="X6562" s="1"/>
      <c r="Y6562" s="1"/>
      <c r="Z6562" s="1"/>
      <c r="AA6562" s="1"/>
      <c r="AB6562" s="1"/>
    </row>
    <row r="6563" ht="50.25" customHeight="1">
      <c r="A6563" s="12">
        <v>6559.0</v>
      </c>
      <c r="B6563" s="13" t="s">
        <v>6141</v>
      </c>
      <c r="C6563" s="14" t="s">
        <v>6586</v>
      </c>
      <c r="D6563" s="1"/>
      <c r="E6563" s="1"/>
      <c r="F6563" s="1" t="str">
        <f>IFERROR(__xludf.DUMMYFUNCTION("GOOGLETRANSLATE(B6563, ""en"", ""fa"")
"),"موفقیت آمازون")</f>
        <v>موفقیت آمازون</v>
      </c>
      <c r="G6563" s="1" t="str">
        <f>IFERROR(__xludf.DUMMYFUNCTION("GOOGLETRANSLATE(C6563, ""en"", ""fa"")
"),"فروشندگان چگونه می توانند از استراتژی های تبلیغاتی و بازاریابی فرامرزی برای دستیابی و جذب مشتریان بین المللی استفاده کنند؟")</f>
        <v>فروشندگان چگونه می توانند از استراتژی های تبلیغاتی و بازاریابی فرامرزی برای دستیابی و جذب مشتریان بین المللی استفاده کنند؟</v>
      </c>
      <c r="H6563" s="1"/>
      <c r="I6563" s="1"/>
      <c r="J6563" s="1"/>
      <c r="K6563" s="1"/>
      <c r="L6563" s="1"/>
      <c r="M6563" s="1"/>
      <c r="N6563" s="1"/>
      <c r="O6563" s="1"/>
      <c r="P6563" s="1"/>
      <c r="Q6563" s="1"/>
      <c r="R6563" s="1"/>
      <c r="S6563" s="1"/>
      <c r="T6563" s="1"/>
      <c r="U6563" s="1"/>
      <c r="V6563" s="1"/>
      <c r="W6563" s="1"/>
      <c r="X6563" s="1"/>
      <c r="Y6563" s="1"/>
      <c r="Z6563" s="1"/>
      <c r="AA6563" s="1"/>
      <c r="AB6563" s="1"/>
    </row>
    <row r="6564" ht="50.25" customHeight="1">
      <c r="A6564" s="12">
        <v>6560.0</v>
      </c>
      <c r="B6564" s="13" t="s">
        <v>6141</v>
      </c>
      <c r="C6564" s="14" t="s">
        <v>6587</v>
      </c>
      <c r="D6564" s="1"/>
      <c r="E6564" s="1"/>
      <c r="F6564" s="1" t="str">
        <f>IFERROR(__xludf.DUMMYFUNCTION("GOOGLETRANSLATE(B6564, ""en"", ""fa"")
"),"موفقیت آمازون")</f>
        <v>موفقیت آمازون</v>
      </c>
      <c r="G6564" s="1" t="str">
        <f>IFERROR(__xludf.DUMMYFUNCTION("GOOGLETRANSLATE(C6564, ""en"", ""fa"")
"),"در مورد اهمیت انجام یک تحلیل رقابتی در بازارهای بین المللی برای شناسایی فرصت های تمایز و رشد بحث کنید.")</f>
        <v>در مورد اهمیت انجام یک تحلیل رقابتی در بازارهای بین المللی برای شناسایی فرصت های تمایز و رشد بحث کنید.</v>
      </c>
      <c r="H6564" s="1"/>
      <c r="I6564" s="1"/>
      <c r="J6564" s="1"/>
      <c r="K6564" s="1"/>
      <c r="L6564" s="1"/>
      <c r="M6564" s="1"/>
      <c r="N6564" s="1"/>
      <c r="O6564" s="1"/>
      <c r="P6564" s="1"/>
      <c r="Q6564" s="1"/>
      <c r="R6564" s="1"/>
      <c r="S6564" s="1"/>
      <c r="T6564" s="1"/>
      <c r="U6564" s="1"/>
      <c r="V6564" s="1"/>
      <c r="W6564" s="1"/>
      <c r="X6564" s="1"/>
      <c r="Y6564" s="1"/>
      <c r="Z6564" s="1"/>
      <c r="AA6564" s="1"/>
      <c r="AB6564" s="1"/>
    </row>
    <row r="6565" ht="50.25" customHeight="1">
      <c r="A6565" s="12">
        <v>6561.0</v>
      </c>
      <c r="B6565" s="13" t="s">
        <v>6141</v>
      </c>
      <c r="C6565" s="14" t="s">
        <v>6588</v>
      </c>
      <c r="D6565" s="1"/>
      <c r="E6565" s="1"/>
      <c r="F6565" s="1" t="str">
        <f>IFERROR(__xludf.DUMMYFUNCTION("GOOGLETRANSLATE(B6565, ""en"", ""fa"")
"),"موفقیت آمازون")</f>
        <v>موفقیت آمازون</v>
      </c>
      <c r="G6565" s="1" t="str">
        <f>IFERROR(__xludf.DUMMYFUNCTION("GOOGLETRANSLATE(C6565, ""en"", ""fa"")
"),"ملاحظات کلیدی هنگام بومی سازی محصول خود برای برآورده کردن اولویت ها و نیازهای منحصر به فرد مشتریان بین المللی چیست؟")</f>
        <v>ملاحظات کلیدی هنگام بومی سازی محصول خود برای برآورده کردن اولویت ها و نیازهای منحصر به فرد مشتریان بین المللی چیست؟</v>
      </c>
      <c r="H6565" s="1"/>
      <c r="I6565" s="1"/>
      <c r="J6565" s="1"/>
      <c r="K6565" s="1"/>
      <c r="L6565" s="1"/>
      <c r="M6565" s="1"/>
      <c r="N6565" s="1"/>
      <c r="O6565" s="1"/>
      <c r="P6565" s="1"/>
      <c r="Q6565" s="1"/>
      <c r="R6565" s="1"/>
      <c r="S6565" s="1"/>
      <c r="T6565" s="1"/>
      <c r="U6565" s="1"/>
      <c r="V6565" s="1"/>
      <c r="W6565" s="1"/>
      <c r="X6565" s="1"/>
      <c r="Y6565" s="1"/>
      <c r="Z6565" s="1"/>
      <c r="AA6565" s="1"/>
      <c r="AB6565" s="1"/>
    </row>
    <row r="6566" ht="50.25" customHeight="1">
      <c r="A6566" s="12">
        <v>6562.0</v>
      </c>
      <c r="B6566" s="13" t="s">
        <v>6141</v>
      </c>
      <c r="C6566" s="14" t="s">
        <v>6589</v>
      </c>
      <c r="D6566" s="1"/>
      <c r="E6566" s="1"/>
      <c r="F6566" s="1" t="str">
        <f>IFERROR(__xludf.DUMMYFUNCTION("GOOGLETRANSLATE(B6566, ""en"", ""fa"")
"),"موفقیت آمازون")</f>
        <v>موفقیت آمازون</v>
      </c>
      <c r="G6566" s="1" t="str">
        <f>IFERROR(__xludf.DUMMYFUNCTION("GOOGLETRANSLATE(C6566, ""en"", ""fa"")
"),"در مورد نحوه هدایت نوسانات مبادله ارز و کاهش خطرات مالی هنگام فروش بین المللی، بینش هایی را به اشتراک بگذارید.")</f>
        <v>در مورد نحوه هدایت نوسانات مبادله ارز و کاهش خطرات مالی هنگام فروش بین المللی، بینش هایی را به اشتراک بگذارید.</v>
      </c>
      <c r="H6566" s="1"/>
      <c r="I6566" s="1"/>
      <c r="J6566" s="1"/>
      <c r="K6566" s="1"/>
      <c r="L6566" s="1"/>
      <c r="M6566" s="1"/>
      <c r="N6566" s="1"/>
      <c r="O6566" s="1"/>
      <c r="P6566" s="1"/>
      <c r="Q6566" s="1"/>
      <c r="R6566" s="1"/>
      <c r="S6566" s="1"/>
      <c r="T6566" s="1"/>
      <c r="U6566" s="1"/>
      <c r="V6566" s="1"/>
      <c r="W6566" s="1"/>
      <c r="X6566" s="1"/>
      <c r="Y6566" s="1"/>
      <c r="Z6566" s="1"/>
      <c r="AA6566" s="1"/>
      <c r="AB6566" s="1"/>
    </row>
    <row r="6567" ht="50.25" customHeight="1">
      <c r="A6567" s="12">
        <v>6563.0</v>
      </c>
      <c r="B6567" s="13" t="s">
        <v>6141</v>
      </c>
      <c r="C6567" s="14" t="s">
        <v>6590</v>
      </c>
      <c r="D6567" s="1"/>
      <c r="E6567" s="1"/>
      <c r="F6567" s="1" t="str">
        <f>IFERROR(__xludf.DUMMYFUNCTION("GOOGLETRANSLATE(B6567, ""en"", ""fa"")
"),"موفقیت آمازون")</f>
        <v>موفقیت آمازون</v>
      </c>
      <c r="G6567" s="1" t="str">
        <f>IFERROR(__xludf.DUMMYFUNCTION("GOOGLETRANSLATE(C6567, ""en"", ""fa"")
"),"اهمیت درک رفتار مصرف کننده محلی و عادات خرید در بازارهای بین المللی را توضیح دهید.")</f>
        <v>اهمیت درک رفتار مصرف کننده محلی و عادات خرید در بازارهای بین المللی را توضیح دهید.</v>
      </c>
      <c r="H6567" s="1"/>
      <c r="I6567" s="1"/>
      <c r="J6567" s="1"/>
      <c r="K6567" s="1"/>
      <c r="L6567" s="1"/>
      <c r="M6567" s="1"/>
      <c r="N6567" s="1"/>
      <c r="O6567" s="1"/>
      <c r="P6567" s="1"/>
      <c r="Q6567" s="1"/>
      <c r="R6567" s="1"/>
      <c r="S6567" s="1"/>
      <c r="T6567" s="1"/>
      <c r="U6567" s="1"/>
      <c r="V6567" s="1"/>
      <c r="W6567" s="1"/>
      <c r="X6567" s="1"/>
      <c r="Y6567" s="1"/>
      <c r="Z6567" s="1"/>
      <c r="AA6567" s="1"/>
      <c r="AB6567" s="1"/>
    </row>
    <row r="6568" ht="50.25" customHeight="1">
      <c r="A6568" s="12">
        <v>6564.0</v>
      </c>
      <c r="B6568" s="13" t="s">
        <v>6141</v>
      </c>
      <c r="C6568" s="14" t="s">
        <v>6591</v>
      </c>
      <c r="D6568" s="1"/>
      <c r="E6568" s="1"/>
      <c r="F6568" s="1" t="str">
        <f>IFERROR(__xludf.DUMMYFUNCTION("GOOGLETRANSLATE(B6568, ""en"", ""fa"")
"),"موفقیت آمازون")</f>
        <v>موفقیت آمازون</v>
      </c>
      <c r="G6568" s="1" t="str">
        <f>IFERROR(__xludf.DUMMYFUNCTION("GOOGLETRANSLATE(C6568, ""en"", ""fa"")
"),"چگونه فروشندگان می توانند از بازارهای بین المللی و پلتفرم های تجارت الکترونیکی فراتر از آمازون برای گسترش دامنه جهانی خود استفاده کنند؟")</f>
        <v>چگونه فروشندگان می توانند از بازارهای بین المللی و پلتفرم های تجارت الکترونیکی فراتر از آمازون برای گسترش دامنه جهانی خود استفاده کنند؟</v>
      </c>
      <c r="H6568" s="1"/>
      <c r="I6568" s="1"/>
      <c r="J6568" s="1"/>
      <c r="K6568" s="1"/>
      <c r="L6568" s="1"/>
      <c r="M6568" s="1"/>
      <c r="N6568" s="1"/>
      <c r="O6568" s="1"/>
      <c r="P6568" s="1"/>
      <c r="Q6568" s="1"/>
      <c r="R6568" s="1"/>
      <c r="S6568" s="1"/>
      <c r="T6568" s="1"/>
      <c r="U6568" s="1"/>
      <c r="V6568" s="1"/>
      <c r="W6568" s="1"/>
      <c r="X6568" s="1"/>
      <c r="Y6568" s="1"/>
      <c r="Z6568" s="1"/>
      <c r="AA6568" s="1"/>
      <c r="AB6568" s="1"/>
    </row>
    <row r="6569" ht="50.25" customHeight="1">
      <c r="A6569" s="12">
        <v>6565.0</v>
      </c>
      <c r="B6569" s="13" t="s">
        <v>6141</v>
      </c>
      <c r="C6569" s="14" t="s">
        <v>6592</v>
      </c>
      <c r="D6569" s="1"/>
      <c r="E6569" s="1"/>
      <c r="F6569" s="1" t="str">
        <f>IFERROR(__xludf.DUMMYFUNCTION("GOOGLETRANSLATE(B6569, ""en"", ""fa"")
"),"موفقیت آمازون")</f>
        <v>موفقیت آمازون</v>
      </c>
      <c r="G6569" s="1" t="str">
        <f>IFERROR(__xludf.DUMMYFUNCTION("GOOGLETRANSLATE(C6569, ""en"", ""fa"")
"),"در مورد چالش ها و استراتژی های ایجاد آگاهی و شهرت برند در بازارهای بین المللی جدید بحث کنید.")</f>
        <v>در مورد چالش ها و استراتژی های ایجاد آگاهی و شهرت برند در بازارهای بین المللی جدید بحث کنید.</v>
      </c>
      <c r="H6569" s="1"/>
      <c r="I6569" s="1"/>
      <c r="J6569" s="1"/>
      <c r="K6569" s="1"/>
      <c r="L6569" s="1"/>
      <c r="M6569" s="1"/>
      <c r="N6569" s="1"/>
      <c r="O6569" s="1"/>
      <c r="P6569" s="1"/>
      <c r="Q6569" s="1"/>
      <c r="R6569" s="1"/>
      <c r="S6569" s="1"/>
      <c r="T6569" s="1"/>
      <c r="U6569" s="1"/>
      <c r="V6569" s="1"/>
      <c r="W6569" s="1"/>
      <c r="X6569" s="1"/>
      <c r="Y6569" s="1"/>
      <c r="Z6569" s="1"/>
      <c r="AA6569" s="1"/>
      <c r="AB6569" s="1"/>
    </row>
    <row r="6570" ht="50.25" customHeight="1">
      <c r="A6570" s="12">
        <v>6566.0</v>
      </c>
      <c r="B6570" s="13" t="s">
        <v>6141</v>
      </c>
      <c r="C6570" s="14" t="s">
        <v>6593</v>
      </c>
      <c r="D6570" s="1"/>
      <c r="E6570" s="1"/>
      <c r="F6570" s="1" t="str">
        <f>IFERROR(__xludf.DUMMYFUNCTION("GOOGLETRANSLATE(B6570, ""en"", ""fa"")
"),"موفقیت آمازون")</f>
        <v>موفقیت آمازون</v>
      </c>
      <c r="G6570" s="1" t="str">
        <f>IFERROR(__xludf.DUMMYFUNCTION("GOOGLETRANSLATE(C6570, ""en"", ""fa"")
"),"بهترین روش‌ها برای بهینه‌سازی تصاویر و ویدیوهای محصول شما برای طنین‌اندازی با مشتریان بین‌المللی چیست؟")</f>
        <v>بهترین روش‌ها برای بهینه‌سازی تصاویر و ویدیوهای محصول شما برای طنین‌اندازی با مشتریان بین‌المللی چیست؟</v>
      </c>
      <c r="H6570" s="1"/>
      <c r="I6570" s="1"/>
      <c r="J6570" s="1"/>
      <c r="K6570" s="1"/>
      <c r="L6570" s="1"/>
      <c r="M6570" s="1"/>
      <c r="N6570" s="1"/>
      <c r="O6570" s="1"/>
      <c r="P6570" s="1"/>
      <c r="Q6570" s="1"/>
      <c r="R6570" s="1"/>
      <c r="S6570" s="1"/>
      <c r="T6570" s="1"/>
      <c r="U6570" s="1"/>
      <c r="V6570" s="1"/>
      <c r="W6570" s="1"/>
      <c r="X6570" s="1"/>
      <c r="Y6570" s="1"/>
      <c r="Z6570" s="1"/>
      <c r="AA6570" s="1"/>
      <c r="AB6570" s="1"/>
    </row>
    <row r="6571" ht="50.25" customHeight="1">
      <c r="A6571" s="12">
        <v>6567.0</v>
      </c>
      <c r="B6571" s="13" t="s">
        <v>6141</v>
      </c>
      <c r="C6571" s="14" t="s">
        <v>6594</v>
      </c>
      <c r="D6571" s="1"/>
      <c r="E6571" s="1"/>
      <c r="F6571" s="1" t="str">
        <f>IFERROR(__xludf.DUMMYFUNCTION("GOOGLETRANSLATE(B6571, ""en"", ""fa"")
"),"موفقیت آمازون")</f>
        <v>موفقیت آمازون</v>
      </c>
      <c r="G6571" s="1" t="str">
        <f>IFERROR(__xludf.DUMMYFUNCTION("GOOGLETRANSLATE(C6571, ""en"", ""fa"")
"),"نکاتی را برای انجام تجزیه و تحلیل موثر ورود به بازار و انتخاب مناسب ترین بازارهای بین المللی برای گسترش به اشتراک بگذارید.")</f>
        <v>نکاتی را برای انجام تجزیه و تحلیل موثر ورود به بازار و انتخاب مناسب ترین بازارهای بین المللی برای گسترش به اشتراک بگذارید.</v>
      </c>
      <c r="H6571" s="1"/>
      <c r="I6571" s="1"/>
      <c r="J6571" s="1"/>
      <c r="K6571" s="1"/>
      <c r="L6571" s="1"/>
      <c r="M6571" s="1"/>
      <c r="N6571" s="1"/>
      <c r="O6571" s="1"/>
      <c r="P6571" s="1"/>
      <c r="Q6571" s="1"/>
      <c r="R6571" s="1"/>
      <c r="S6571" s="1"/>
      <c r="T6571" s="1"/>
      <c r="U6571" s="1"/>
      <c r="V6571" s="1"/>
      <c r="W6571" s="1"/>
      <c r="X6571" s="1"/>
      <c r="Y6571" s="1"/>
      <c r="Z6571" s="1"/>
      <c r="AA6571" s="1"/>
      <c r="AB6571" s="1"/>
    </row>
    <row r="6572" ht="50.25" customHeight="1">
      <c r="A6572" s="12">
        <v>6568.0</v>
      </c>
      <c r="B6572" s="13" t="s">
        <v>6141</v>
      </c>
      <c r="C6572" s="14" t="s">
        <v>6595</v>
      </c>
      <c r="D6572" s="1"/>
      <c r="E6572" s="1"/>
      <c r="F6572" s="1" t="str">
        <f>IFERROR(__xludf.DUMMYFUNCTION("GOOGLETRANSLATE(B6572, ""en"", ""fa"")
"),"موفقیت آمازون")</f>
        <v>موفقیت آمازون</v>
      </c>
      <c r="G6572" s="1" t="str">
        <f>IFERROR(__xludf.DUMMYFUNCTION("GOOGLETRANSLATE(C6572, ""en"", ""fa"")
"),"اهمیت انجام یک بررسی کامل قانونی و انطباق را قبل از گسترش تجارت خود در بازارهای بین المللی توضیح دهید.")</f>
        <v>اهمیت انجام یک بررسی کامل قانونی و انطباق را قبل از گسترش تجارت خود در بازارهای بین المللی توضیح دهید.</v>
      </c>
      <c r="H6572" s="1"/>
      <c r="I6572" s="1"/>
      <c r="J6572" s="1"/>
      <c r="K6572" s="1"/>
      <c r="L6572" s="1"/>
      <c r="M6572" s="1"/>
      <c r="N6572" s="1"/>
      <c r="O6572" s="1"/>
      <c r="P6572" s="1"/>
      <c r="Q6572" s="1"/>
      <c r="R6572" s="1"/>
      <c r="S6572" s="1"/>
      <c r="T6572" s="1"/>
      <c r="U6572" s="1"/>
      <c r="V6572" s="1"/>
      <c r="W6572" s="1"/>
      <c r="X6572" s="1"/>
      <c r="Y6572" s="1"/>
      <c r="Z6572" s="1"/>
      <c r="AA6572" s="1"/>
      <c r="AB6572" s="1"/>
    </row>
    <row r="6573" ht="50.25" customHeight="1">
      <c r="A6573" s="12">
        <v>6569.0</v>
      </c>
      <c r="B6573" s="13" t="s">
        <v>6141</v>
      </c>
      <c r="C6573" s="14" t="s">
        <v>6596</v>
      </c>
      <c r="D6573" s="1"/>
      <c r="E6573" s="1"/>
      <c r="F6573" s="1" t="str">
        <f>IFERROR(__xludf.DUMMYFUNCTION("GOOGLETRANSLATE(B6573, ""en"", ""fa"")
"),"موفقیت آمازون")</f>
        <v>موفقیت آمازون</v>
      </c>
      <c r="G6573" s="1" t="str">
        <f>IFERROR(__xludf.DUMMYFUNCTION("GOOGLETRANSLATE(C6573, ""en"", ""fa"")
"),"چگونه فروشندگان می توانند از مراکز و انبارهای بین المللی برای ساده کردن مدیریت موجودی و لجستیک حمل و نقل استفاده کنند؟")</f>
        <v>چگونه فروشندگان می توانند از مراکز و انبارهای بین المللی برای ساده کردن مدیریت موجودی و لجستیک حمل و نقل استفاده کنند؟</v>
      </c>
      <c r="H6573" s="1"/>
      <c r="I6573" s="1"/>
      <c r="J6573" s="1"/>
      <c r="K6573" s="1"/>
      <c r="L6573" s="1"/>
      <c r="M6573" s="1"/>
      <c r="N6573" s="1"/>
      <c r="O6573" s="1"/>
      <c r="P6573" s="1"/>
      <c r="Q6573" s="1"/>
      <c r="R6573" s="1"/>
      <c r="S6573" s="1"/>
      <c r="T6573" s="1"/>
      <c r="U6573" s="1"/>
      <c r="V6573" s="1"/>
      <c r="W6573" s="1"/>
      <c r="X6573" s="1"/>
      <c r="Y6573" s="1"/>
      <c r="Z6573" s="1"/>
      <c r="AA6573" s="1"/>
      <c r="AB6573" s="1"/>
    </row>
    <row r="6574" ht="50.25" customHeight="1">
      <c r="A6574" s="12">
        <v>6570.0</v>
      </c>
      <c r="B6574" s="13" t="s">
        <v>6141</v>
      </c>
      <c r="C6574" s="14" t="s">
        <v>6597</v>
      </c>
      <c r="D6574" s="1"/>
      <c r="E6574" s="1"/>
      <c r="F6574" s="1" t="str">
        <f>IFERROR(__xludf.DUMMYFUNCTION("GOOGLETRANSLATE(B6574, ""en"", ""fa"")
"),"موفقیت آمازون")</f>
        <v>موفقیت آمازون</v>
      </c>
      <c r="G6574" s="1" t="str">
        <f>IFERROR(__xludf.DUMMYFUNCTION("GOOGLETRANSLATE(C6574, ""en"", ""fa"")
"),"در مورد اهمیت توسعه خدمات مشتری و کانال های پشتیبانی محلی برای مشتریان بین المللی بحث کنید.")</f>
        <v>در مورد اهمیت توسعه خدمات مشتری و کانال های پشتیبانی محلی برای مشتریان بین المللی بحث کنید.</v>
      </c>
      <c r="H6574" s="1"/>
      <c r="I6574" s="1"/>
      <c r="J6574" s="1"/>
      <c r="K6574" s="1"/>
      <c r="L6574" s="1"/>
      <c r="M6574" s="1"/>
      <c r="N6574" s="1"/>
      <c r="O6574" s="1"/>
      <c r="P6574" s="1"/>
      <c r="Q6574" s="1"/>
      <c r="R6574" s="1"/>
      <c r="S6574" s="1"/>
      <c r="T6574" s="1"/>
      <c r="U6574" s="1"/>
      <c r="V6574" s="1"/>
      <c r="W6574" s="1"/>
      <c r="X6574" s="1"/>
      <c r="Y6574" s="1"/>
      <c r="Z6574" s="1"/>
      <c r="AA6574" s="1"/>
      <c r="AB6574" s="1"/>
    </row>
    <row r="6575" ht="50.25" customHeight="1">
      <c r="A6575" s="12">
        <v>6571.0</v>
      </c>
      <c r="B6575" s="13" t="s">
        <v>6141</v>
      </c>
      <c r="C6575" s="14" t="s">
        <v>6598</v>
      </c>
      <c r="D6575" s="1"/>
      <c r="E6575" s="1"/>
      <c r="F6575" s="1" t="str">
        <f>IFERROR(__xludf.DUMMYFUNCTION("GOOGLETRANSLATE(B6575, ""en"", ""fa"")
"),"موفقیت آمازون")</f>
        <v>موفقیت آمازون</v>
      </c>
      <c r="G6575" s="1" t="str">
        <f>IFERROR(__xludf.DUMMYFUNCTION("GOOGLETRANSLATE(C6575, ""en"", ""fa"")
"),"ملاحظات کلیدی هنگام تطبیق بسته بندی و برچسب گذاری محصول شما برای برآوردن الزامات مقررات بین المللی چیست؟")</f>
        <v>ملاحظات کلیدی هنگام تطبیق بسته بندی و برچسب گذاری محصول شما برای برآوردن الزامات مقررات بین المللی چیست؟</v>
      </c>
      <c r="H6575" s="1"/>
      <c r="I6575" s="1"/>
      <c r="J6575" s="1"/>
      <c r="K6575" s="1"/>
      <c r="L6575" s="1"/>
      <c r="M6575" s="1"/>
      <c r="N6575" s="1"/>
      <c r="O6575" s="1"/>
      <c r="P6575" s="1"/>
      <c r="Q6575" s="1"/>
      <c r="R6575" s="1"/>
      <c r="S6575" s="1"/>
      <c r="T6575" s="1"/>
      <c r="U6575" s="1"/>
      <c r="V6575" s="1"/>
      <c r="W6575" s="1"/>
      <c r="X6575" s="1"/>
      <c r="Y6575" s="1"/>
      <c r="Z6575" s="1"/>
      <c r="AA6575" s="1"/>
      <c r="AB6575" s="1"/>
    </row>
    <row r="6576" ht="50.25" customHeight="1">
      <c r="A6576" s="12">
        <v>6572.0</v>
      </c>
      <c r="B6576" s="13" t="s">
        <v>6141</v>
      </c>
      <c r="C6576" s="14" t="s">
        <v>6599</v>
      </c>
      <c r="D6576" s="1"/>
      <c r="E6576" s="1"/>
      <c r="F6576" s="1" t="str">
        <f>IFERROR(__xludf.DUMMYFUNCTION("GOOGLETRANSLATE(B6576, ""en"", ""fa"")
"),"موفقیت آمازون")</f>
        <v>موفقیت آمازون</v>
      </c>
      <c r="G6576" s="1" t="str">
        <f>IFERROR(__xludf.DUMMYFUNCTION("GOOGLETRANSLATE(C6576, ""en"", ""fa"")
"),"بینش هایی در مورد نحوه انجام تحقیقات و تحلیل قیمت گذاری برای تعیین استراتژی های قیمت گذاری رقابتی و سودآور در بازارهای بین المللی به اشتراک بگذارید.")</f>
        <v>بینش هایی در مورد نحوه انجام تحقیقات و تحلیل قیمت گذاری برای تعیین استراتژی های قیمت گذاری رقابتی و سودآور در بازارهای بین المللی به اشتراک بگذارید.</v>
      </c>
      <c r="H6576" s="1"/>
      <c r="I6576" s="1"/>
      <c r="J6576" s="1"/>
      <c r="K6576" s="1"/>
      <c r="L6576" s="1"/>
      <c r="M6576" s="1"/>
      <c r="N6576" s="1"/>
      <c r="O6576" s="1"/>
      <c r="P6576" s="1"/>
      <c r="Q6576" s="1"/>
      <c r="R6576" s="1"/>
      <c r="S6576" s="1"/>
      <c r="T6576" s="1"/>
      <c r="U6576" s="1"/>
      <c r="V6576" s="1"/>
      <c r="W6576" s="1"/>
      <c r="X6576" s="1"/>
      <c r="Y6576" s="1"/>
      <c r="Z6576" s="1"/>
      <c r="AA6576" s="1"/>
      <c r="AB6576" s="1"/>
    </row>
    <row r="6577" ht="50.25" customHeight="1">
      <c r="A6577" s="12">
        <v>6573.0</v>
      </c>
      <c r="B6577" s="13" t="s">
        <v>6141</v>
      </c>
      <c r="C6577" s="14" t="s">
        <v>6600</v>
      </c>
      <c r="D6577" s="1"/>
      <c r="E6577" s="1"/>
      <c r="F6577" s="1" t="str">
        <f>IFERROR(__xludf.DUMMYFUNCTION("GOOGLETRANSLATE(B6577, ""en"", ""fa"")
"),"موفقیت آمازون")</f>
        <v>موفقیت آمازون</v>
      </c>
      <c r="G6577" s="1" t="str">
        <f>IFERROR(__xludf.DUMMYFUNCTION("GOOGLETRANSLATE(C6577, ""en"", ""fa"")
"),"اهمیت درک تفاوت‌های فرهنگی و حساسیت‌های بازارهای بین‌المللی مختلف هنگام توسعه کمپین‌های بازاریابی را توضیح دهید.")</f>
        <v>اهمیت درک تفاوت‌های فرهنگی و حساسیت‌های بازارهای بین‌المللی مختلف هنگام توسعه کمپین‌های بازاریابی را توضیح دهید.</v>
      </c>
      <c r="H6577" s="1"/>
      <c r="I6577" s="1"/>
      <c r="J6577" s="1"/>
      <c r="K6577" s="1"/>
      <c r="L6577" s="1"/>
      <c r="M6577" s="1"/>
      <c r="N6577" s="1"/>
      <c r="O6577" s="1"/>
      <c r="P6577" s="1"/>
      <c r="Q6577" s="1"/>
      <c r="R6577" s="1"/>
      <c r="S6577" s="1"/>
      <c r="T6577" s="1"/>
      <c r="U6577" s="1"/>
      <c r="V6577" s="1"/>
      <c r="W6577" s="1"/>
      <c r="X6577" s="1"/>
      <c r="Y6577" s="1"/>
      <c r="Z6577" s="1"/>
      <c r="AA6577" s="1"/>
      <c r="AB6577" s="1"/>
    </row>
    <row r="6578" ht="50.25" customHeight="1">
      <c r="A6578" s="12">
        <v>6574.0</v>
      </c>
      <c r="B6578" s="13" t="s">
        <v>6141</v>
      </c>
      <c r="C6578" s="14" t="s">
        <v>6601</v>
      </c>
      <c r="D6578" s="1"/>
      <c r="E6578" s="1"/>
      <c r="F6578" s="1" t="str">
        <f>IFERROR(__xludf.DUMMYFUNCTION("GOOGLETRANSLATE(B6578, ""en"", ""fa"")
"),"موفقیت آمازون")</f>
        <v>موفقیت آمازون</v>
      </c>
      <c r="G6578" s="1" t="str">
        <f>IFERROR(__xludf.DUMMYFUNCTION("GOOGLETRANSLATE(C6578, ""en"", ""fa"")
"),"فروشندگان چگونه می توانند از شراکت و همکاری های فرامرزی برای گسترش دامنه دسترسی و مشتریان خود در بازارهای بین المللی جدید استفاده کنند؟")</f>
        <v>فروشندگان چگونه می توانند از شراکت و همکاری های فرامرزی برای گسترش دامنه دسترسی و مشتریان خود در بازارهای بین المللی جدید استفاده کنند؟</v>
      </c>
      <c r="H6578" s="1"/>
      <c r="I6578" s="1"/>
      <c r="J6578" s="1"/>
      <c r="K6578" s="1"/>
      <c r="L6578" s="1"/>
      <c r="M6578" s="1"/>
      <c r="N6578" s="1"/>
      <c r="O6578" s="1"/>
      <c r="P6578" s="1"/>
      <c r="Q6578" s="1"/>
      <c r="R6578" s="1"/>
      <c r="S6578" s="1"/>
      <c r="T6578" s="1"/>
      <c r="U6578" s="1"/>
      <c r="V6578" s="1"/>
      <c r="W6578" s="1"/>
      <c r="X6578" s="1"/>
      <c r="Y6578" s="1"/>
      <c r="Z6578" s="1"/>
      <c r="AA6578" s="1"/>
      <c r="AB6578" s="1"/>
    </row>
    <row r="6579" ht="50.25" customHeight="1">
      <c r="A6579" s="12">
        <v>6575.0</v>
      </c>
      <c r="B6579" s="13" t="s">
        <v>6141</v>
      </c>
      <c r="C6579" s="14" t="s">
        <v>6602</v>
      </c>
      <c r="D6579" s="1"/>
      <c r="E6579" s="1"/>
      <c r="F6579" s="1" t="str">
        <f>IFERROR(__xludf.DUMMYFUNCTION("GOOGLETRANSLATE(B6579, ""en"", ""fa"")
"),"موفقیت آمازون")</f>
        <v>موفقیت آمازون</v>
      </c>
      <c r="G6579" s="1" t="str">
        <f>IFERROR(__xludf.DUMMYFUNCTION("GOOGLETRANSLATE(C6579, ""en"", ""fa"")
"),"در مورد چالش ها و استراتژی های مدیریت لجستیک بین المللی، از جمله پیش بینی موجودی، بهینه سازی زنجیره تامین و حمل و نقل بحث کنید.")</f>
        <v>در مورد چالش ها و استراتژی های مدیریت لجستیک بین المللی، از جمله پیش بینی موجودی، بهینه سازی زنجیره تامین و حمل و نقل بحث کنید.</v>
      </c>
      <c r="H6579" s="1"/>
      <c r="I6579" s="1"/>
      <c r="J6579" s="1"/>
      <c r="K6579" s="1"/>
      <c r="L6579" s="1"/>
      <c r="M6579" s="1"/>
      <c r="N6579" s="1"/>
      <c r="O6579" s="1"/>
      <c r="P6579" s="1"/>
      <c r="Q6579" s="1"/>
      <c r="R6579" s="1"/>
      <c r="S6579" s="1"/>
      <c r="T6579" s="1"/>
      <c r="U6579" s="1"/>
      <c r="V6579" s="1"/>
      <c r="W6579" s="1"/>
      <c r="X6579" s="1"/>
      <c r="Y6579" s="1"/>
      <c r="Z6579" s="1"/>
      <c r="AA6579" s="1"/>
      <c r="AB6579" s="1"/>
    </row>
    <row r="6580" ht="50.25" customHeight="1">
      <c r="A6580" s="12">
        <v>6576.0</v>
      </c>
      <c r="B6580" s="13" t="s">
        <v>6141</v>
      </c>
      <c r="C6580" s="14" t="s">
        <v>6603</v>
      </c>
      <c r="D6580" s="1"/>
      <c r="E6580" s="1"/>
      <c r="F6580" s="1" t="str">
        <f>IFERROR(__xludf.DUMMYFUNCTION("GOOGLETRANSLATE(B6580, ""en"", ""fa"")
"),"موفقیت آمازون")</f>
        <v>موفقیت آمازون</v>
      </c>
      <c r="G6580" s="1" t="str">
        <f>IFERROR(__xludf.DUMMYFUNCTION("GOOGLETRANSLATE(C6580, ""en"", ""fa"")
"),"بهترین روش‌ها برای ایجاد اعتماد و اعتبار با مشتریان بین‌المللی از طریق بررسی‌های محلی و نظرات مشتریان چیست؟")</f>
        <v>بهترین روش‌ها برای ایجاد اعتماد و اعتبار با مشتریان بین‌المللی از طریق بررسی‌های محلی و نظرات مشتریان چیست؟</v>
      </c>
      <c r="H6580" s="1"/>
      <c r="I6580" s="1"/>
      <c r="J6580" s="1"/>
      <c r="K6580" s="1"/>
      <c r="L6580" s="1"/>
      <c r="M6580" s="1"/>
      <c r="N6580" s="1"/>
      <c r="O6580" s="1"/>
      <c r="P6580" s="1"/>
      <c r="Q6580" s="1"/>
      <c r="R6580" s="1"/>
      <c r="S6580" s="1"/>
      <c r="T6580" s="1"/>
      <c r="U6580" s="1"/>
      <c r="V6580" s="1"/>
      <c r="W6580" s="1"/>
      <c r="X6580" s="1"/>
      <c r="Y6580" s="1"/>
      <c r="Z6580" s="1"/>
      <c r="AA6580" s="1"/>
      <c r="AB6580" s="1"/>
    </row>
    <row r="6581" ht="50.25" customHeight="1">
      <c r="A6581" s="12">
        <v>6577.0</v>
      </c>
      <c r="B6581" s="13" t="s">
        <v>6141</v>
      </c>
      <c r="C6581" s="14" t="s">
        <v>6604</v>
      </c>
      <c r="D6581" s="1"/>
      <c r="E6581" s="1"/>
      <c r="F6581" s="1" t="str">
        <f>IFERROR(__xludf.DUMMYFUNCTION("GOOGLETRANSLATE(B6581, ""en"", ""fa"")
"),"موفقیت آمازون")</f>
        <v>موفقیت آمازون</v>
      </c>
      <c r="G6581" s="1" t="str">
        <f>IFERROR(__xludf.DUMMYFUNCTION("GOOGLETRANSLATE(C6581, ""en"", ""fa"")
"),"نکاتی را برای تطبیق توضیحات و ویژگی‌های محصول خود با اولویت‌های زبان و اصطلاحات مشتریان بین‌المللی به اشتراک بگذارید.")</f>
        <v>نکاتی را برای تطبیق توضیحات و ویژگی‌های محصول خود با اولویت‌های زبان و اصطلاحات مشتریان بین‌المللی به اشتراک بگذارید.</v>
      </c>
      <c r="H6581" s="1"/>
      <c r="I6581" s="1"/>
      <c r="J6581" s="1"/>
      <c r="K6581" s="1"/>
      <c r="L6581" s="1"/>
      <c r="M6581" s="1"/>
      <c r="N6581" s="1"/>
      <c r="O6581" s="1"/>
      <c r="P6581" s="1"/>
      <c r="Q6581" s="1"/>
      <c r="R6581" s="1"/>
      <c r="S6581" s="1"/>
      <c r="T6581" s="1"/>
      <c r="U6581" s="1"/>
      <c r="V6581" s="1"/>
      <c r="W6581" s="1"/>
      <c r="X6581" s="1"/>
      <c r="Y6581" s="1"/>
      <c r="Z6581" s="1"/>
      <c r="AA6581" s="1"/>
      <c r="AB6581" s="1"/>
    </row>
    <row r="6582" ht="50.25" customHeight="1">
      <c r="A6582" s="12">
        <v>6578.0</v>
      </c>
      <c r="B6582" s="13" t="s">
        <v>6141</v>
      </c>
      <c r="C6582" s="14" t="s">
        <v>6605</v>
      </c>
      <c r="D6582" s="1"/>
      <c r="E6582" s="1"/>
      <c r="F6582" s="1" t="str">
        <f>IFERROR(__xludf.DUMMYFUNCTION("GOOGLETRANSLATE(B6582, ""en"", ""fa"")
"),"موفقیت آمازون")</f>
        <v>موفقیت آمازون</v>
      </c>
      <c r="G6582" s="1" t="str">
        <f>IFERROR(__xludf.DUMMYFUNCTION("GOOGLETRANSLATE(C6582, ""en"", ""fa"")
"),"اهمیت انجام تحقیقات و حمایت از مالکیت معنوی را هنگام گسترش به بازارهای بین المللی جدید توضیح دهید.")</f>
        <v>اهمیت انجام تحقیقات و حمایت از مالکیت معنوی را هنگام گسترش به بازارهای بین المللی جدید توضیح دهید.</v>
      </c>
      <c r="H6582" s="1"/>
      <c r="I6582" s="1"/>
      <c r="J6582" s="1"/>
      <c r="K6582" s="1"/>
      <c r="L6582" s="1"/>
      <c r="M6582" s="1"/>
      <c r="N6582" s="1"/>
      <c r="O6582" s="1"/>
      <c r="P6582" s="1"/>
      <c r="Q6582" s="1"/>
      <c r="R6582" s="1"/>
      <c r="S6582" s="1"/>
      <c r="T6582" s="1"/>
      <c r="U6582" s="1"/>
      <c r="V6582" s="1"/>
      <c r="W6582" s="1"/>
      <c r="X6582" s="1"/>
      <c r="Y6582" s="1"/>
      <c r="Z6582" s="1"/>
      <c r="AA6582" s="1"/>
      <c r="AB6582" s="1"/>
    </row>
    <row r="6583" ht="50.25" customHeight="1">
      <c r="A6583" s="12">
        <v>6579.0</v>
      </c>
      <c r="B6583" s="13" t="s">
        <v>6141</v>
      </c>
      <c r="C6583" s="14" t="s">
        <v>6606</v>
      </c>
      <c r="D6583" s="1"/>
      <c r="E6583" s="1"/>
      <c r="F6583" s="1" t="str">
        <f>IFERROR(__xludf.DUMMYFUNCTION("GOOGLETRANSLATE(B6583, ""en"", ""fa"")
"),"موفقیت آمازون")</f>
        <v>موفقیت آمازون</v>
      </c>
      <c r="G6583" s="1" t="str">
        <f>IFERROR(__xludf.DUMMYFUNCTION("GOOGLETRANSLATE(C6583, ""en"", ""fa"")
"),"چگونه فروشندگان می توانند از تحقیقات بازار و تجزیه و تحلیل داده ها برای شناسایی فرصت های بازار بین المللی استفاده نشده برای محصولات خود استفاده کنند؟")</f>
        <v>چگونه فروشندگان می توانند از تحقیقات بازار و تجزیه و تحلیل داده ها برای شناسایی فرصت های بازار بین المللی استفاده نشده برای محصولات خود استفاده کنند؟</v>
      </c>
      <c r="H6583" s="1"/>
      <c r="I6583" s="1"/>
      <c r="J6583" s="1"/>
      <c r="K6583" s="1"/>
      <c r="L6583" s="1"/>
      <c r="M6583" s="1"/>
      <c r="N6583" s="1"/>
      <c r="O6583" s="1"/>
      <c r="P6583" s="1"/>
      <c r="Q6583" s="1"/>
      <c r="R6583" s="1"/>
      <c r="S6583" s="1"/>
      <c r="T6583" s="1"/>
      <c r="U6583" s="1"/>
      <c r="V6583" s="1"/>
      <c r="W6583" s="1"/>
      <c r="X6583" s="1"/>
      <c r="Y6583" s="1"/>
      <c r="Z6583" s="1"/>
      <c r="AA6583" s="1"/>
      <c r="AB6583" s="1"/>
    </row>
    <row r="6584" ht="50.25" customHeight="1">
      <c r="A6584" s="12">
        <v>6580.0</v>
      </c>
      <c r="B6584" s="13" t="s">
        <v>6141</v>
      </c>
      <c r="C6584" s="14" t="s">
        <v>6607</v>
      </c>
      <c r="D6584" s="1"/>
      <c r="E6584" s="1"/>
      <c r="F6584" s="1" t="str">
        <f>IFERROR(__xludf.DUMMYFUNCTION("GOOGLETRANSLATE(B6584, ""en"", ""fa"")
"),"موفقیت آمازون")</f>
        <v>موفقیت آمازون</v>
      </c>
      <c r="G6584" s="1" t="str">
        <f>IFERROR(__xludf.DUMMYFUNCTION("GOOGLETRANSLATE(C6584, ""en"", ""fa"")
"),"در مورد اهمیت تطبیق استراتژی های بازاریابی و تبلیغات خود با هنجارها و ترجیحات فرهنگی محلی در بازارهای بین المللی بحث کنید.")</f>
        <v>در مورد اهمیت تطبیق استراتژی های بازاریابی و تبلیغات خود با هنجارها و ترجیحات فرهنگی محلی در بازارهای بین المللی بحث کنید.</v>
      </c>
      <c r="H6584" s="1"/>
      <c r="I6584" s="1"/>
      <c r="J6584" s="1"/>
      <c r="K6584" s="1"/>
      <c r="L6584" s="1"/>
      <c r="M6584" s="1"/>
      <c r="N6584" s="1"/>
      <c r="O6584" s="1"/>
      <c r="P6584" s="1"/>
      <c r="Q6584" s="1"/>
      <c r="R6584" s="1"/>
      <c r="S6584" s="1"/>
      <c r="T6584" s="1"/>
      <c r="U6584" s="1"/>
      <c r="V6584" s="1"/>
      <c r="W6584" s="1"/>
      <c r="X6584" s="1"/>
      <c r="Y6584" s="1"/>
      <c r="Z6584" s="1"/>
      <c r="AA6584" s="1"/>
      <c r="AB6584" s="1"/>
    </row>
    <row r="6585" ht="50.25" customHeight="1">
      <c r="A6585" s="12">
        <v>6581.0</v>
      </c>
      <c r="B6585" s="13" t="s">
        <v>6141</v>
      </c>
      <c r="C6585" s="14" t="s">
        <v>6608</v>
      </c>
      <c r="D6585" s="1"/>
      <c r="E6585" s="1"/>
      <c r="F6585" s="1" t="str">
        <f>IFERROR(__xludf.DUMMYFUNCTION("GOOGLETRANSLATE(B6585, ""en"", ""fa"")
"),"موفقیت آمازون")</f>
        <v>موفقیت آمازون</v>
      </c>
      <c r="G6585" s="1" t="str">
        <f>IFERROR(__xludf.DUMMYFUNCTION("GOOGLETRANSLATE(C6585, ""en"", ""fa"")
"),"ملاحظات کلیدی هنگام انتخاب ارائه دهندگان حمل و نقل بین المللی و مذاکره در مورد نرخ ها و شرایط مطلوب چیست؟")</f>
        <v>ملاحظات کلیدی هنگام انتخاب ارائه دهندگان حمل و نقل بین المللی و مذاکره در مورد نرخ ها و شرایط مطلوب چیست؟</v>
      </c>
      <c r="H6585" s="1"/>
      <c r="I6585" s="1"/>
      <c r="J6585" s="1"/>
      <c r="K6585" s="1"/>
      <c r="L6585" s="1"/>
      <c r="M6585" s="1"/>
      <c r="N6585" s="1"/>
      <c r="O6585" s="1"/>
      <c r="P6585" s="1"/>
      <c r="Q6585" s="1"/>
      <c r="R6585" s="1"/>
      <c r="S6585" s="1"/>
      <c r="T6585" s="1"/>
      <c r="U6585" s="1"/>
      <c r="V6585" s="1"/>
      <c r="W6585" s="1"/>
      <c r="X6585" s="1"/>
      <c r="Y6585" s="1"/>
      <c r="Z6585" s="1"/>
      <c r="AA6585" s="1"/>
      <c r="AB6585" s="1"/>
    </row>
    <row r="6586" ht="50.25" customHeight="1">
      <c r="A6586" s="12">
        <v>6582.0</v>
      </c>
      <c r="B6586" s="13" t="s">
        <v>6141</v>
      </c>
      <c r="C6586" s="14" t="s">
        <v>6609</v>
      </c>
      <c r="D6586" s="1"/>
      <c r="E6586" s="1"/>
      <c r="F6586" s="1" t="str">
        <f>IFERROR(__xludf.DUMMYFUNCTION("GOOGLETRANSLATE(B6586, ""en"", ""fa"")
"),"موفقیت آمازون")</f>
        <v>موفقیت آمازون</v>
      </c>
      <c r="G6586" s="1" t="str">
        <f>IFERROR(__xludf.DUMMYFUNCTION("GOOGLETRANSLATE(C6586, ""en"", ""fa"")
"),"بینش‌هایی درباره نحوه هدایت پردازش پرداخت بین‌المللی و تبدیل ارز برای تسهیل تراکنش‌های روان با مشتریان بین‌المللی به اشتراک بگذارید.")</f>
        <v>بینش‌هایی درباره نحوه هدایت پردازش پرداخت بین‌المللی و تبدیل ارز برای تسهیل تراکنش‌های روان با مشتریان بین‌المللی به اشتراک بگذارید.</v>
      </c>
      <c r="H6586" s="1"/>
      <c r="I6586" s="1"/>
      <c r="J6586" s="1"/>
      <c r="K6586" s="1"/>
      <c r="L6586" s="1"/>
      <c r="M6586" s="1"/>
      <c r="N6586" s="1"/>
      <c r="O6586" s="1"/>
      <c r="P6586" s="1"/>
      <c r="Q6586" s="1"/>
      <c r="R6586" s="1"/>
      <c r="S6586" s="1"/>
      <c r="T6586" s="1"/>
      <c r="U6586" s="1"/>
      <c r="V6586" s="1"/>
      <c r="W6586" s="1"/>
      <c r="X6586" s="1"/>
      <c r="Y6586" s="1"/>
      <c r="Z6586" s="1"/>
      <c r="AA6586" s="1"/>
      <c r="AB6586" s="1"/>
    </row>
    <row r="6587" ht="50.25" customHeight="1">
      <c r="A6587" s="12">
        <v>6583.0</v>
      </c>
      <c r="B6587" s="13" t="s">
        <v>6141</v>
      </c>
      <c r="C6587" s="14" t="s">
        <v>6610</v>
      </c>
      <c r="D6587" s="1"/>
      <c r="E6587" s="1"/>
      <c r="F6587" s="1" t="str">
        <f>IFERROR(__xludf.DUMMYFUNCTION("GOOGLETRANSLATE(B6587, ""en"", ""fa"")
"),"موفقیت آمازون")</f>
        <v>موفقیت آمازون</v>
      </c>
      <c r="G6587" s="1" t="str">
        <f>IFERROR(__xludf.DUMMYFUNCTION("GOOGLETRANSLATE(C6587, ""en"", ""fa"")
"),"اهمیت ایجاد روابط با اینفلوئنسرهای محلی و کارشناسان صنعت را برای تقویت حضور برند خود در بازارهای بین المللی توضیح دهید.")</f>
        <v>اهمیت ایجاد روابط با اینفلوئنسرهای محلی و کارشناسان صنعت را برای تقویت حضور برند خود در بازارهای بین المللی توضیح دهید.</v>
      </c>
      <c r="H6587" s="1"/>
      <c r="I6587" s="1"/>
      <c r="J6587" s="1"/>
      <c r="K6587" s="1"/>
      <c r="L6587" s="1"/>
      <c r="M6587" s="1"/>
      <c r="N6587" s="1"/>
      <c r="O6587" s="1"/>
      <c r="P6587" s="1"/>
      <c r="Q6587" s="1"/>
      <c r="R6587" s="1"/>
      <c r="S6587" s="1"/>
      <c r="T6587" s="1"/>
      <c r="U6587" s="1"/>
      <c r="V6587" s="1"/>
      <c r="W6587" s="1"/>
      <c r="X6587" s="1"/>
      <c r="Y6587" s="1"/>
      <c r="Z6587" s="1"/>
      <c r="AA6587" s="1"/>
      <c r="AB6587" s="1"/>
    </row>
    <row r="6588" ht="50.25" customHeight="1">
      <c r="A6588" s="12">
        <v>6584.0</v>
      </c>
      <c r="B6588" s="13" t="s">
        <v>6141</v>
      </c>
      <c r="C6588" s="14" t="s">
        <v>6611</v>
      </c>
      <c r="D6588" s="1"/>
      <c r="E6588" s="1"/>
      <c r="F6588" s="1" t="str">
        <f>IFERROR(__xludf.DUMMYFUNCTION("GOOGLETRANSLATE(B6588, ""en"", ""fa"")
"),"موفقیت آمازون")</f>
        <v>موفقیت آمازون</v>
      </c>
      <c r="G6588" s="1" t="str">
        <f>IFERROR(__xludf.DUMMYFUNCTION("GOOGLETRANSLATE(C6588, ""en"", ""fa"")
"),"چگونه فروشندگان می توانند از رسانه های اجتماعی و کانال های بازاریابی آنلاین برای دستیابی و جذب مخاطبان بین المللی استفاده کنند؟")</f>
        <v>چگونه فروشندگان می توانند از رسانه های اجتماعی و کانال های بازاریابی آنلاین برای دستیابی و جذب مخاطبان بین المللی استفاده کنند؟</v>
      </c>
      <c r="H6588" s="1"/>
      <c r="I6588" s="1"/>
      <c r="J6588" s="1"/>
      <c r="K6588" s="1"/>
      <c r="L6588" s="1"/>
      <c r="M6588" s="1"/>
      <c r="N6588" s="1"/>
      <c r="O6588" s="1"/>
      <c r="P6588" s="1"/>
      <c r="Q6588" s="1"/>
      <c r="R6588" s="1"/>
      <c r="S6588" s="1"/>
      <c r="T6588" s="1"/>
      <c r="U6588" s="1"/>
      <c r="V6588" s="1"/>
      <c r="W6588" s="1"/>
      <c r="X6588" s="1"/>
      <c r="Y6588" s="1"/>
      <c r="Z6588" s="1"/>
      <c r="AA6588" s="1"/>
      <c r="AB6588" s="1"/>
    </row>
    <row r="6589" ht="50.25" customHeight="1">
      <c r="A6589" s="12">
        <v>6585.0</v>
      </c>
      <c r="B6589" s="13" t="s">
        <v>6141</v>
      </c>
      <c r="C6589" s="14" t="s">
        <v>6612</v>
      </c>
      <c r="D6589" s="1"/>
      <c r="E6589" s="1"/>
      <c r="F6589" s="1" t="str">
        <f>IFERROR(__xludf.DUMMYFUNCTION("GOOGLETRANSLATE(B6589, ""en"", ""fa"")
"),"موفقیت آمازون")</f>
        <v>موفقیت آمازون</v>
      </c>
      <c r="G6589" s="1" t="str">
        <f>IFERROR(__xludf.DUMMYFUNCTION("GOOGLETRANSLATE(C6589, ""en"", ""fa"")
"),"در مورد چالش ها و استراتژی های مدیریت موجودی و اختلالات زنجیره تامین در هنگام فروش بین المللی بحث کنید.")</f>
        <v>در مورد چالش ها و استراتژی های مدیریت موجودی و اختلالات زنجیره تامین در هنگام فروش بین المللی بحث کنید.</v>
      </c>
      <c r="H6589" s="1"/>
      <c r="I6589" s="1"/>
      <c r="J6589" s="1"/>
      <c r="K6589" s="1"/>
      <c r="L6589" s="1"/>
      <c r="M6589" s="1"/>
      <c r="N6589" s="1"/>
      <c r="O6589" s="1"/>
      <c r="P6589" s="1"/>
      <c r="Q6589" s="1"/>
      <c r="R6589" s="1"/>
      <c r="S6589" s="1"/>
      <c r="T6589" s="1"/>
      <c r="U6589" s="1"/>
      <c r="V6589" s="1"/>
      <c r="W6589" s="1"/>
      <c r="X6589" s="1"/>
      <c r="Y6589" s="1"/>
      <c r="Z6589" s="1"/>
      <c r="AA6589" s="1"/>
      <c r="AB6589" s="1"/>
    </row>
    <row r="6590" ht="50.25" customHeight="1">
      <c r="A6590" s="12">
        <v>6586.0</v>
      </c>
      <c r="B6590" s="13" t="s">
        <v>6141</v>
      </c>
      <c r="C6590" s="14" t="s">
        <v>6613</v>
      </c>
      <c r="D6590" s="1"/>
      <c r="E6590" s="1"/>
      <c r="F6590" s="1" t="str">
        <f>IFERROR(__xludf.DUMMYFUNCTION("GOOGLETRANSLATE(B6590, ""en"", ""fa"")
"),"موفقیت آمازون")</f>
        <v>موفقیت آمازون</v>
      </c>
      <c r="G6590" s="1" t="str">
        <f>IFERROR(__xludf.DUMMYFUNCTION("GOOGLETRANSLATE(C6590, ""en"", ""fa"")
"),"بهترین شیوه ها برای توسعه منابع پشتیبانی مشتری محلی، از جمله خدمات چند زبانه مشتری و ابزارهای خودیاری چیست؟")</f>
        <v>بهترین شیوه ها برای توسعه منابع پشتیبانی مشتری محلی، از جمله خدمات چند زبانه مشتری و ابزارهای خودیاری چیست؟</v>
      </c>
      <c r="H6590" s="1"/>
      <c r="I6590" s="1"/>
      <c r="J6590" s="1"/>
      <c r="K6590" s="1"/>
      <c r="L6590" s="1"/>
      <c r="M6590" s="1"/>
      <c r="N6590" s="1"/>
      <c r="O6590" s="1"/>
      <c r="P6590" s="1"/>
      <c r="Q6590" s="1"/>
      <c r="R6590" s="1"/>
      <c r="S6590" s="1"/>
      <c r="T6590" s="1"/>
      <c r="U6590" s="1"/>
      <c r="V6590" s="1"/>
      <c r="W6590" s="1"/>
      <c r="X6590" s="1"/>
      <c r="Y6590" s="1"/>
      <c r="Z6590" s="1"/>
      <c r="AA6590" s="1"/>
      <c r="AB6590" s="1"/>
    </row>
    <row r="6591" ht="50.25" customHeight="1">
      <c r="A6591" s="12">
        <v>6587.0</v>
      </c>
      <c r="B6591" s="13" t="s">
        <v>6141</v>
      </c>
      <c r="C6591" s="14" t="s">
        <v>6614</v>
      </c>
      <c r="D6591" s="1"/>
      <c r="E6591" s="1"/>
      <c r="F6591" s="1" t="str">
        <f>IFERROR(__xludf.DUMMYFUNCTION("GOOGLETRANSLATE(B6591, ""en"", ""fa"")
"),"موفقیت آمازون")</f>
        <v>موفقیت آمازون</v>
      </c>
      <c r="G6591" s="1" t="str">
        <f>IFERROR(__xludf.DUMMYFUNCTION("GOOGLETRANSLATE(C6591, ""en"", ""fa"")
"),"نکاتی را برای انجام آزمایش‌های ورود به بازار و برنامه‌های آزمایشی برای تأیید تقاضای محصول و تناسب بازار در بازارهای بین‌المللی به اشتراک بگذارید.")</f>
        <v>نکاتی را برای انجام آزمایش‌های ورود به بازار و برنامه‌های آزمایشی برای تأیید تقاضای محصول و تناسب بازار در بازارهای بین‌المللی به اشتراک بگذارید.</v>
      </c>
      <c r="H6591" s="1"/>
      <c r="I6591" s="1"/>
      <c r="J6591" s="1"/>
      <c r="K6591" s="1"/>
      <c r="L6591" s="1"/>
      <c r="M6591" s="1"/>
      <c r="N6591" s="1"/>
      <c r="O6591" s="1"/>
      <c r="P6591" s="1"/>
      <c r="Q6591" s="1"/>
      <c r="R6591" s="1"/>
      <c r="S6591" s="1"/>
      <c r="T6591" s="1"/>
      <c r="U6591" s="1"/>
      <c r="V6591" s="1"/>
      <c r="W6591" s="1"/>
      <c r="X6591" s="1"/>
      <c r="Y6591" s="1"/>
      <c r="Z6591" s="1"/>
      <c r="AA6591" s="1"/>
      <c r="AB6591" s="1"/>
    </row>
    <row r="6592" ht="50.25" customHeight="1">
      <c r="A6592" s="12">
        <v>6588.0</v>
      </c>
      <c r="B6592" s="13" t="s">
        <v>6141</v>
      </c>
      <c r="C6592" s="14" t="s">
        <v>6615</v>
      </c>
      <c r="D6592" s="1"/>
      <c r="E6592" s="1"/>
      <c r="F6592" s="1" t="str">
        <f>IFERROR(__xludf.DUMMYFUNCTION("GOOGLETRANSLATE(B6592, ""en"", ""fa"")
"),"موفقیت آمازون")</f>
        <v>موفقیت آمازون</v>
      </c>
      <c r="G6592" s="1" t="str">
        <f>IFERROR(__xludf.DUMMYFUNCTION("GOOGLETRANSLATE(C6592, ""en"", ""fa"")
"),"اهمیت درک مقررات بین المللی حمل و نقل و الزامات انطباق برای دسته های مختلف محصولات را توضیح دهید.")</f>
        <v>اهمیت درک مقررات بین المللی حمل و نقل و الزامات انطباق برای دسته های مختلف محصولات را توضیح دهید.</v>
      </c>
      <c r="H6592" s="1"/>
      <c r="I6592" s="1"/>
      <c r="J6592" s="1"/>
      <c r="K6592" s="1"/>
      <c r="L6592" s="1"/>
      <c r="M6592" s="1"/>
      <c r="N6592" s="1"/>
      <c r="O6592" s="1"/>
      <c r="P6592" s="1"/>
      <c r="Q6592" s="1"/>
      <c r="R6592" s="1"/>
      <c r="S6592" s="1"/>
      <c r="T6592" s="1"/>
      <c r="U6592" s="1"/>
      <c r="V6592" s="1"/>
      <c r="W6592" s="1"/>
      <c r="X6592" s="1"/>
      <c r="Y6592" s="1"/>
      <c r="Z6592" s="1"/>
      <c r="AA6592" s="1"/>
      <c r="AB6592" s="1"/>
    </row>
    <row r="6593" ht="50.25" customHeight="1">
      <c r="A6593" s="12">
        <v>6589.0</v>
      </c>
      <c r="B6593" s="13" t="s">
        <v>6141</v>
      </c>
      <c r="C6593" s="14" t="s">
        <v>6616</v>
      </c>
      <c r="D6593" s="1"/>
      <c r="E6593" s="1"/>
      <c r="F6593" s="1" t="str">
        <f>IFERROR(__xludf.DUMMYFUNCTION("GOOGLETRANSLATE(B6593, ""en"", ""fa"")
"),"موفقیت آمازون")</f>
        <v>موفقیت آمازون</v>
      </c>
      <c r="G6593" s="1" t="str">
        <f>IFERROR(__xludf.DUMMYFUNCTION("GOOGLETRANSLATE(C6593, ""en"", ""fa"")
"),"چگونه فروشندگان می توانند از خدمات انجام فرامرزی، مانند برنامه فروش جهانی آمازون، برای ساده سازی توسعه بین المللی و تدارکات استفاده کنند؟")</f>
        <v>چگونه فروشندگان می توانند از خدمات انجام فرامرزی، مانند برنامه فروش جهانی آمازون، برای ساده سازی توسعه بین المللی و تدارکات استفاده کنند؟</v>
      </c>
      <c r="H6593" s="1"/>
      <c r="I6593" s="1"/>
      <c r="J6593" s="1"/>
      <c r="K6593" s="1"/>
      <c r="L6593" s="1"/>
      <c r="M6593" s="1"/>
      <c r="N6593" s="1"/>
      <c r="O6593" s="1"/>
      <c r="P6593" s="1"/>
      <c r="Q6593" s="1"/>
      <c r="R6593" s="1"/>
      <c r="S6593" s="1"/>
      <c r="T6593" s="1"/>
      <c r="U6593" s="1"/>
      <c r="V6593" s="1"/>
      <c r="W6593" s="1"/>
      <c r="X6593" s="1"/>
      <c r="Y6593" s="1"/>
      <c r="Z6593" s="1"/>
      <c r="AA6593" s="1"/>
      <c r="AB6593" s="1"/>
    </row>
    <row r="6594" ht="50.25" customHeight="1">
      <c r="A6594" s="12">
        <v>6590.0</v>
      </c>
      <c r="B6594" s="13" t="s">
        <v>6141</v>
      </c>
      <c r="C6594" s="14" t="s">
        <v>6617</v>
      </c>
      <c r="D6594" s="1"/>
      <c r="E6594" s="1"/>
      <c r="F6594" s="1" t="str">
        <f>IFERROR(__xludf.DUMMYFUNCTION("GOOGLETRANSLATE(B6594, ""en"", ""fa"")
"),"موفقیت آمازون")</f>
        <v>موفقیت آمازون</v>
      </c>
      <c r="G6594" s="1" t="str">
        <f>IFERROR(__xludf.DUMMYFUNCTION("GOOGLETRANSLATE(C6594, ""en"", ""fa"")
"),"در مورد اهمیت ارائه خدمات استثنایی به مشتریان برای ایجاد وفاداری مشتری و خریدهای تکراری بحث کنید.")</f>
        <v>در مورد اهمیت ارائه خدمات استثنایی به مشتریان برای ایجاد وفاداری مشتری و خریدهای تکراری بحث کنید.</v>
      </c>
      <c r="H6594" s="1"/>
      <c r="I6594" s="1"/>
      <c r="J6594" s="1"/>
      <c r="K6594" s="1"/>
      <c r="L6594" s="1"/>
      <c r="M6594" s="1"/>
      <c r="N6594" s="1"/>
      <c r="O6594" s="1"/>
      <c r="P6594" s="1"/>
      <c r="Q6594" s="1"/>
      <c r="R6594" s="1"/>
      <c r="S6594" s="1"/>
      <c r="T6594" s="1"/>
      <c r="U6594" s="1"/>
      <c r="V6594" s="1"/>
      <c r="W6594" s="1"/>
      <c r="X6594" s="1"/>
      <c r="Y6594" s="1"/>
      <c r="Z6594" s="1"/>
      <c r="AA6594" s="1"/>
      <c r="AB6594" s="1"/>
    </row>
    <row r="6595" ht="50.25" customHeight="1">
      <c r="A6595" s="12">
        <v>6591.0</v>
      </c>
      <c r="B6595" s="13" t="s">
        <v>6141</v>
      </c>
      <c r="C6595" s="14" t="s">
        <v>6618</v>
      </c>
      <c r="D6595" s="1"/>
      <c r="E6595" s="1"/>
      <c r="F6595" s="1" t="str">
        <f>IFERROR(__xludf.DUMMYFUNCTION("GOOGLETRANSLATE(B6595, ""en"", ""fa"")
"),"موفقیت آمازون")</f>
        <v>موفقیت آمازون</v>
      </c>
      <c r="G6595" s="1" t="str">
        <f>IFERROR(__xludf.DUMMYFUNCTION("GOOGLETRANSLATE(C6595, ""en"", ""fa"")
"),"نکاتی را برای ایجاد کانال های ارتباطی موثر برای رسیدگی سریع به سوالات و نگرانی های مشتری به اشتراک بگذارید.")</f>
        <v>نکاتی را برای ایجاد کانال های ارتباطی موثر برای رسیدگی سریع به سوالات و نگرانی های مشتری به اشتراک بگذارید.</v>
      </c>
      <c r="H6595" s="1"/>
      <c r="I6595" s="1"/>
      <c r="J6595" s="1"/>
      <c r="K6595" s="1"/>
      <c r="L6595" s="1"/>
      <c r="M6595" s="1"/>
      <c r="N6595" s="1"/>
      <c r="O6595" s="1"/>
      <c r="P6595" s="1"/>
      <c r="Q6595" s="1"/>
      <c r="R6595" s="1"/>
      <c r="S6595" s="1"/>
      <c r="T6595" s="1"/>
      <c r="U6595" s="1"/>
      <c r="V6595" s="1"/>
      <c r="W6595" s="1"/>
      <c r="X6595" s="1"/>
      <c r="Y6595" s="1"/>
      <c r="Z6595" s="1"/>
      <c r="AA6595" s="1"/>
      <c r="AB6595" s="1"/>
    </row>
    <row r="6596" ht="50.25" customHeight="1">
      <c r="A6596" s="12">
        <v>6592.0</v>
      </c>
      <c r="B6596" s="13" t="s">
        <v>6141</v>
      </c>
      <c r="C6596" s="14" t="s">
        <v>6619</v>
      </c>
      <c r="D6596" s="1"/>
      <c r="E6596" s="1"/>
      <c r="F6596" s="1" t="str">
        <f>IFERROR(__xludf.DUMMYFUNCTION("GOOGLETRANSLATE(B6596, ""en"", ""fa"")
"),"موفقیت آمازون")</f>
        <v>موفقیت آمازون</v>
      </c>
      <c r="G6596" s="1" t="str">
        <f>IFERROR(__xludf.DUMMYFUNCTION("GOOGLETRANSLATE(C6596, ""en"", ""fa"")
"),"اهمیت آموزش نمایندگان خدمات مشتری برای ارائه پشتیبانی آگاهانه و همدلانه به مشتریان را توضیح دهید.")</f>
        <v>اهمیت آموزش نمایندگان خدمات مشتری برای ارائه پشتیبانی آگاهانه و همدلانه به مشتریان را توضیح دهید.</v>
      </c>
      <c r="H6596" s="1"/>
      <c r="I6596" s="1"/>
      <c r="J6596" s="1"/>
      <c r="K6596" s="1"/>
      <c r="L6596" s="1"/>
      <c r="M6596" s="1"/>
      <c r="N6596" s="1"/>
      <c r="O6596" s="1"/>
      <c r="P6596" s="1"/>
      <c r="Q6596" s="1"/>
      <c r="R6596" s="1"/>
      <c r="S6596" s="1"/>
      <c r="T6596" s="1"/>
      <c r="U6596" s="1"/>
      <c r="V6596" s="1"/>
      <c r="W6596" s="1"/>
      <c r="X6596" s="1"/>
      <c r="Y6596" s="1"/>
      <c r="Z6596" s="1"/>
      <c r="AA6596" s="1"/>
      <c r="AB6596" s="1"/>
    </row>
    <row r="6597" ht="50.25" customHeight="1">
      <c r="A6597" s="12">
        <v>6593.0</v>
      </c>
      <c r="B6597" s="13" t="s">
        <v>6141</v>
      </c>
      <c r="C6597" s="14" t="s">
        <v>6620</v>
      </c>
      <c r="D6597" s="1"/>
      <c r="E6597" s="1"/>
      <c r="F6597" s="1" t="str">
        <f>IFERROR(__xludf.DUMMYFUNCTION("GOOGLETRANSLATE(B6597, ""en"", ""fa"")
"),"موفقیت آمازون")</f>
        <v>موفقیت آمازون</v>
      </c>
      <c r="G6597" s="1" t="str">
        <f>IFERROR(__xludf.DUMMYFUNCTION("GOOGLETRANSLATE(C6597, ""en"", ""fa"")
"),"چگونه فروشندگان می توانند به طور فعالانه سؤالات یا مسائل مشتری را از طریق سؤالات متداول جامع یا منابع خودیاری پیش بینی کرده و به آنها رسیدگی کنند؟")</f>
        <v>چگونه فروشندگان می توانند به طور فعالانه سؤالات یا مسائل مشتری را از طریق سؤالات متداول جامع یا منابع خودیاری پیش بینی کرده و به آنها رسیدگی کنند؟</v>
      </c>
      <c r="H6597" s="1"/>
      <c r="I6597" s="1"/>
      <c r="J6597" s="1"/>
      <c r="K6597" s="1"/>
      <c r="L6597" s="1"/>
      <c r="M6597" s="1"/>
      <c r="N6597" s="1"/>
      <c r="O6597" s="1"/>
      <c r="P6597" s="1"/>
      <c r="Q6597" s="1"/>
      <c r="R6597" s="1"/>
      <c r="S6597" s="1"/>
      <c r="T6597" s="1"/>
      <c r="U6597" s="1"/>
      <c r="V6597" s="1"/>
      <c r="W6597" s="1"/>
      <c r="X6597" s="1"/>
      <c r="Y6597" s="1"/>
      <c r="Z6597" s="1"/>
      <c r="AA6597" s="1"/>
      <c r="AB6597" s="1"/>
    </row>
    <row r="6598" ht="50.25" customHeight="1">
      <c r="A6598" s="12">
        <v>6594.0</v>
      </c>
      <c r="B6598" s="13" t="s">
        <v>6141</v>
      </c>
      <c r="C6598" s="14" t="s">
        <v>6621</v>
      </c>
      <c r="D6598" s="1"/>
      <c r="E6598" s="1"/>
      <c r="F6598" s="1" t="str">
        <f>IFERROR(__xludf.DUMMYFUNCTION("GOOGLETRANSLATE(B6598, ""en"", ""fa"")
"),"موفقیت آمازون")</f>
        <v>موفقیت آمازون</v>
      </c>
      <c r="G6598" s="1" t="str">
        <f>IFERROR(__xludf.DUMMYFUNCTION("GOOGLETRANSLATE(C6598, ""en"", ""fa"")
"),"در مورد مزایای اجرای سیستم مدیریت ارتباط با مشتری (CRM) برای ردیابی تعاملات مشتری و ارائه پشتیبانی شخصی بحث کنید.")</f>
        <v>در مورد مزایای اجرای سیستم مدیریت ارتباط با مشتری (CRM) برای ردیابی تعاملات مشتری و ارائه پشتیبانی شخصی بحث کنید.</v>
      </c>
      <c r="H6598" s="1"/>
      <c r="I6598" s="1"/>
      <c r="J6598" s="1"/>
      <c r="K6598" s="1"/>
      <c r="L6598" s="1"/>
      <c r="M6598" s="1"/>
      <c r="N6598" s="1"/>
      <c r="O6598" s="1"/>
      <c r="P6598" s="1"/>
      <c r="Q6598" s="1"/>
      <c r="R6598" s="1"/>
      <c r="S6598" s="1"/>
      <c r="T6598" s="1"/>
      <c r="U6598" s="1"/>
      <c r="V6598" s="1"/>
      <c r="W6598" s="1"/>
      <c r="X6598" s="1"/>
      <c r="Y6598" s="1"/>
      <c r="Z6598" s="1"/>
      <c r="AA6598" s="1"/>
      <c r="AB6598" s="1"/>
    </row>
    <row r="6599" ht="50.25" customHeight="1">
      <c r="A6599" s="12">
        <v>6595.0</v>
      </c>
      <c r="B6599" s="13" t="s">
        <v>6141</v>
      </c>
      <c r="C6599" s="14" t="s">
        <v>6622</v>
      </c>
      <c r="D6599" s="1"/>
      <c r="E6599" s="1"/>
      <c r="F6599" s="1" t="str">
        <f>IFERROR(__xludf.DUMMYFUNCTION("GOOGLETRANSLATE(B6599, ""en"", ""fa"")
"),"موفقیت آمازون")</f>
        <v>موفقیت آمازون</v>
      </c>
      <c r="G6599" s="1" t="str">
        <f>IFERROR(__xludf.DUMMYFUNCTION("GOOGLETRANSLATE(C6599, ""en"", ""fa"")
"),"ملاحظات کلیدی هنگام تعیین اهداف زمان پاسخ برای سوالات و پیام های مشتری چیست؟")</f>
        <v>ملاحظات کلیدی هنگام تعیین اهداف زمان پاسخ برای سوالات و پیام های مشتری چیست؟</v>
      </c>
      <c r="H6599" s="1"/>
      <c r="I6599" s="1"/>
      <c r="J6599" s="1"/>
      <c r="K6599" s="1"/>
      <c r="L6599" s="1"/>
      <c r="M6599" s="1"/>
      <c r="N6599" s="1"/>
      <c r="O6599" s="1"/>
      <c r="P6599" s="1"/>
      <c r="Q6599" s="1"/>
      <c r="R6599" s="1"/>
      <c r="S6599" s="1"/>
      <c r="T6599" s="1"/>
      <c r="U6599" s="1"/>
      <c r="V6599" s="1"/>
      <c r="W6599" s="1"/>
      <c r="X6599" s="1"/>
      <c r="Y6599" s="1"/>
      <c r="Z6599" s="1"/>
      <c r="AA6599" s="1"/>
      <c r="AB6599" s="1"/>
    </row>
    <row r="6600" ht="50.25" customHeight="1">
      <c r="A6600" s="12">
        <v>6596.0</v>
      </c>
      <c r="B6600" s="13" t="s">
        <v>6141</v>
      </c>
      <c r="C6600" s="14" t="s">
        <v>6623</v>
      </c>
      <c r="D6600" s="1"/>
      <c r="E6600" s="1"/>
      <c r="F6600" s="1" t="str">
        <f>IFERROR(__xludf.DUMMYFUNCTION("GOOGLETRANSLATE(B6600, ""en"", ""fa"")
"),"موفقیت آمازون")</f>
        <v>موفقیت آمازون</v>
      </c>
      <c r="G6600" s="1" t="str">
        <f>IFERROR(__xludf.DUMMYFUNCTION("GOOGLETRANSLATE(C6600, ""en"", ""fa"")
"),"بینش هایی را در مورد نحوه رسیدگی و حل موثر شکایات مشتریان یا بررسی های منفی برای تبدیل آنها به تجربیات مثبت به اشتراک بگذارید.")</f>
        <v>بینش هایی را در مورد نحوه رسیدگی و حل موثر شکایات مشتریان یا بررسی های منفی برای تبدیل آنها به تجربیات مثبت به اشتراک بگذارید.</v>
      </c>
      <c r="H6600" s="1"/>
      <c r="I6600" s="1"/>
      <c r="J6600" s="1"/>
      <c r="K6600" s="1"/>
      <c r="L6600" s="1"/>
      <c r="M6600" s="1"/>
      <c r="N6600" s="1"/>
      <c r="O6600" s="1"/>
      <c r="P6600" s="1"/>
      <c r="Q6600" s="1"/>
      <c r="R6600" s="1"/>
      <c r="S6600" s="1"/>
      <c r="T6600" s="1"/>
      <c r="U6600" s="1"/>
      <c r="V6600" s="1"/>
      <c r="W6600" s="1"/>
      <c r="X6600" s="1"/>
      <c r="Y6600" s="1"/>
      <c r="Z6600" s="1"/>
      <c r="AA6600" s="1"/>
      <c r="AB6600" s="1"/>
    </row>
    <row r="6601" ht="50.25" customHeight="1">
      <c r="A6601" s="12">
        <v>6597.0</v>
      </c>
      <c r="B6601" s="13" t="s">
        <v>6141</v>
      </c>
      <c r="C6601" s="14" t="s">
        <v>6624</v>
      </c>
      <c r="D6601" s="1"/>
      <c r="E6601" s="1"/>
      <c r="F6601" s="1" t="str">
        <f>IFERROR(__xludf.DUMMYFUNCTION("GOOGLETRANSLATE(B6601, ""en"", ""fa"")
"),"موفقیت آمازون")</f>
        <v>موفقیت آمازون</v>
      </c>
      <c r="G6601" s="1" t="str">
        <f>IFERROR(__xludf.DUMMYFUNCTION("GOOGLETRANSLATE(C6601, ""en"", ""fa"")
"),"اهمیت جستجوی فعالانه بازخورد مشتری و استفاده از آن برای بهبود کیفیت محصولات و خدمات را توضیح دهید.")</f>
        <v>اهمیت جستجوی فعالانه بازخورد مشتری و استفاده از آن برای بهبود کیفیت محصولات و خدمات را توضیح دهید.</v>
      </c>
      <c r="H6601" s="1"/>
      <c r="I6601" s="1"/>
      <c r="J6601" s="1"/>
      <c r="K6601" s="1"/>
      <c r="L6601" s="1"/>
      <c r="M6601" s="1"/>
      <c r="N6601" s="1"/>
      <c r="O6601" s="1"/>
      <c r="P6601" s="1"/>
      <c r="Q6601" s="1"/>
      <c r="R6601" s="1"/>
      <c r="S6601" s="1"/>
      <c r="T6601" s="1"/>
      <c r="U6601" s="1"/>
      <c r="V6601" s="1"/>
      <c r="W6601" s="1"/>
      <c r="X6601" s="1"/>
      <c r="Y6601" s="1"/>
      <c r="Z6601" s="1"/>
      <c r="AA6601" s="1"/>
      <c r="AB6601" s="1"/>
    </row>
    <row r="6602" ht="50.25" customHeight="1">
      <c r="A6602" s="12">
        <v>6598.0</v>
      </c>
      <c r="B6602" s="13" t="s">
        <v>6141</v>
      </c>
      <c r="C6602" s="14" t="s">
        <v>6625</v>
      </c>
      <c r="D6602" s="1"/>
      <c r="E6602" s="1"/>
      <c r="F6602" s="1" t="str">
        <f>IFERROR(__xludf.DUMMYFUNCTION("GOOGLETRANSLATE(B6602, ""en"", ""fa"")
"),"موفقیت آمازون")</f>
        <v>موفقیت آمازون</v>
      </c>
      <c r="G6602" s="1" t="str">
        <f>IFERROR(__xludf.DUMMYFUNCTION("GOOGLETRANSLATE(C6602, ""en"", ""fa"")
"),"چگونه فروشندگان می توانند از ابزارهای اتوماسیون و چت بات ها برای ساده سازی فرآیندهای پشتیبانی مشتری و ارائه پاسخ های سریع استفاده کنند؟")</f>
        <v>چگونه فروشندگان می توانند از ابزارهای اتوماسیون و چت بات ها برای ساده سازی فرآیندهای پشتیبانی مشتری و ارائه پاسخ های سریع استفاده کنند؟</v>
      </c>
      <c r="H6602" s="1"/>
      <c r="I6602" s="1"/>
      <c r="J6602" s="1"/>
      <c r="K6602" s="1"/>
      <c r="L6602" s="1"/>
      <c r="M6602" s="1"/>
      <c r="N6602" s="1"/>
      <c r="O6602" s="1"/>
      <c r="P6602" s="1"/>
      <c r="Q6602" s="1"/>
      <c r="R6602" s="1"/>
      <c r="S6602" s="1"/>
      <c r="T6602" s="1"/>
      <c r="U6602" s="1"/>
      <c r="V6602" s="1"/>
      <c r="W6602" s="1"/>
      <c r="X6602" s="1"/>
      <c r="Y6602" s="1"/>
      <c r="Z6602" s="1"/>
      <c r="AA6602" s="1"/>
      <c r="AB6602" s="1"/>
    </row>
    <row r="6603" ht="50.25" customHeight="1">
      <c r="A6603" s="12">
        <v>6599.0</v>
      </c>
      <c r="B6603" s="13" t="s">
        <v>6141</v>
      </c>
      <c r="C6603" s="14" t="s">
        <v>6626</v>
      </c>
      <c r="D6603" s="1"/>
      <c r="E6603" s="1"/>
      <c r="F6603" s="1" t="str">
        <f>IFERROR(__xludf.DUMMYFUNCTION("GOOGLETRANSLATE(B6603, ""en"", ""fa"")
"),"موفقیت آمازون")</f>
        <v>موفقیت آمازون</v>
      </c>
      <c r="G6603" s="1" t="str">
        <f>IFERROR(__xludf.DUMMYFUNCTION("GOOGLETRANSLATE(C6603, ""en"", ""fa"")
"),"در مورد نقش رسانه های اجتماعی در خدمات مشتری و نحوه تعامل موثر با مشتریان در پلتفرم هایی مانند فیس بوک یا توییتر بحث کنید.")</f>
        <v>در مورد نقش رسانه های اجتماعی در خدمات مشتری و نحوه تعامل موثر با مشتریان در پلتفرم هایی مانند فیس بوک یا توییتر بحث کنید.</v>
      </c>
      <c r="H6603" s="1"/>
      <c r="I6603" s="1"/>
      <c r="J6603" s="1"/>
      <c r="K6603" s="1"/>
      <c r="L6603" s="1"/>
      <c r="M6603" s="1"/>
      <c r="N6603" s="1"/>
      <c r="O6603" s="1"/>
      <c r="P6603" s="1"/>
      <c r="Q6603" s="1"/>
      <c r="R6603" s="1"/>
      <c r="S6603" s="1"/>
      <c r="T6603" s="1"/>
      <c r="U6603" s="1"/>
      <c r="V6603" s="1"/>
      <c r="W6603" s="1"/>
      <c r="X6603" s="1"/>
      <c r="Y6603" s="1"/>
      <c r="Z6603" s="1"/>
      <c r="AA6603" s="1"/>
      <c r="AB6603" s="1"/>
    </row>
    <row r="6604" ht="50.25" customHeight="1">
      <c r="A6604" s="12">
        <v>6600.0</v>
      </c>
      <c r="B6604" s="13" t="s">
        <v>6141</v>
      </c>
      <c r="C6604" s="14" t="s">
        <v>6627</v>
      </c>
      <c r="D6604" s="1"/>
      <c r="E6604" s="1"/>
      <c r="F6604" s="1" t="str">
        <f>IFERROR(__xludf.DUMMYFUNCTION("GOOGLETRANSLATE(B6604, ""en"", ""fa"")
"),"موفقیت آمازون")</f>
        <v>موفقیت آمازون</v>
      </c>
      <c r="G6604" s="1" t="str">
        <f>IFERROR(__xludf.DUMMYFUNCTION("GOOGLETRANSLATE(C6604, ""en"", ""fa"")
"),"بهترین شیوه ها برای اجرای برنامه وفاداری مشتری برای پاداش و حفظ مشتریان ارزشمند چیست؟")</f>
        <v>بهترین شیوه ها برای اجرای برنامه وفاداری مشتری برای پاداش و حفظ مشتریان ارزشمند چیست؟</v>
      </c>
      <c r="H6604" s="1"/>
      <c r="I6604" s="1"/>
      <c r="J6604" s="1"/>
      <c r="K6604" s="1"/>
      <c r="L6604" s="1"/>
      <c r="M6604" s="1"/>
      <c r="N6604" s="1"/>
      <c r="O6604" s="1"/>
      <c r="P6604" s="1"/>
      <c r="Q6604" s="1"/>
      <c r="R6604" s="1"/>
      <c r="S6604" s="1"/>
      <c r="T6604" s="1"/>
      <c r="U6604" s="1"/>
      <c r="V6604" s="1"/>
      <c r="W6604" s="1"/>
      <c r="X6604" s="1"/>
      <c r="Y6604" s="1"/>
      <c r="Z6604" s="1"/>
      <c r="AA6604" s="1"/>
      <c r="AB6604" s="1"/>
    </row>
    <row r="6605" ht="50.25" customHeight="1">
      <c r="A6605" s="12">
        <v>6601.0</v>
      </c>
      <c r="B6605" s="13" t="s">
        <v>6141</v>
      </c>
      <c r="C6605" s="14" t="s">
        <v>6628</v>
      </c>
      <c r="D6605" s="1"/>
      <c r="E6605" s="1"/>
      <c r="F6605" s="1" t="str">
        <f>IFERROR(__xludf.DUMMYFUNCTION("GOOGLETRANSLATE(B6605, ""en"", ""fa"")
"),"موفقیت آمازون")</f>
        <v>موفقیت آمازون</v>
      </c>
      <c r="G6605" s="1" t="str">
        <f>IFERROR(__xludf.DUMMYFUNCTION("GOOGLETRANSLATE(C6605, ""en"", ""fa"")
"),"برای اطمینان از رضایت مشتری، نکاتی را برای بازگرداندن و مبادله محصول به صورت روان و کارآمد به اشتراک بگذارید.")</f>
        <v>برای اطمینان از رضایت مشتری، نکاتی را برای بازگرداندن و مبادله محصول به صورت روان و کارآمد به اشتراک بگذارید.</v>
      </c>
      <c r="H6605" s="1"/>
      <c r="I6605" s="1"/>
      <c r="J6605" s="1"/>
      <c r="K6605" s="1"/>
      <c r="L6605" s="1"/>
      <c r="M6605" s="1"/>
      <c r="N6605" s="1"/>
      <c r="O6605" s="1"/>
      <c r="P6605" s="1"/>
      <c r="Q6605" s="1"/>
      <c r="R6605" s="1"/>
      <c r="S6605" s="1"/>
      <c r="T6605" s="1"/>
      <c r="U6605" s="1"/>
      <c r="V6605" s="1"/>
      <c r="W6605" s="1"/>
      <c r="X6605" s="1"/>
      <c r="Y6605" s="1"/>
      <c r="Z6605" s="1"/>
      <c r="AA6605" s="1"/>
      <c r="AB6605" s="1"/>
    </row>
    <row r="6606" ht="50.25" customHeight="1">
      <c r="A6606" s="12">
        <v>6602.0</v>
      </c>
      <c r="B6606" s="13" t="s">
        <v>6141</v>
      </c>
      <c r="C6606" s="14" t="s">
        <v>6629</v>
      </c>
      <c r="D6606" s="1"/>
      <c r="E6606" s="1"/>
      <c r="F6606" s="1" t="str">
        <f>IFERROR(__xludf.DUMMYFUNCTION("GOOGLETRANSLATE(B6606, ""en"", ""fa"")
"),"موفقیت آمازون")</f>
        <v>موفقیت آمازون</v>
      </c>
      <c r="G6606" s="1" t="str">
        <f>IFERROR(__xludf.DUMMYFUNCTION("GOOGLETRANSLATE(C6606, ""en"", ""fa"")
"),"اهمیت حفظ لحن حرفه ای و مودبانه را در تمام تعاملات با مشتری، خواه کتبی یا شفاهی، توضیح دهید.")</f>
        <v>اهمیت حفظ لحن حرفه ای و مودبانه را در تمام تعاملات با مشتری، خواه کتبی یا شفاهی، توضیح دهید.</v>
      </c>
      <c r="H6606" s="1"/>
      <c r="I6606" s="1"/>
      <c r="J6606" s="1"/>
      <c r="K6606" s="1"/>
      <c r="L6606" s="1"/>
      <c r="M6606" s="1"/>
      <c r="N6606" s="1"/>
      <c r="O6606" s="1"/>
      <c r="P6606" s="1"/>
      <c r="Q6606" s="1"/>
      <c r="R6606" s="1"/>
      <c r="S6606" s="1"/>
      <c r="T6606" s="1"/>
      <c r="U6606" s="1"/>
      <c r="V6606" s="1"/>
      <c r="W6606" s="1"/>
      <c r="X6606" s="1"/>
      <c r="Y6606" s="1"/>
      <c r="Z6606" s="1"/>
      <c r="AA6606" s="1"/>
      <c r="AB6606" s="1"/>
    </row>
    <row r="6607" ht="50.25" customHeight="1">
      <c r="A6607" s="12">
        <v>6603.0</v>
      </c>
      <c r="B6607" s="13" t="s">
        <v>6141</v>
      </c>
      <c r="C6607" s="14" t="s">
        <v>6630</v>
      </c>
      <c r="D6607" s="1"/>
      <c r="E6607" s="1"/>
      <c r="F6607" s="1" t="str">
        <f>IFERROR(__xludf.DUMMYFUNCTION("GOOGLETRANSLATE(B6607, ""en"", ""fa"")
"),"موفقیت آمازون")</f>
        <v>موفقیت آمازون</v>
      </c>
      <c r="G6607" s="1" t="str">
        <f>IFERROR(__xludf.DUMMYFUNCTION("GOOGLETRANSLATE(C6607, ""en"", ""fa"")
"),"چگونه فروشندگان می توانند از تجزیه و تحلیل داده ها و بینش مشتری برای شناسایی الگوها و روندهایی استفاده کنند که می تواند باعث بهبود خدمات مشتری شود؟")</f>
        <v>چگونه فروشندگان می توانند از تجزیه و تحلیل داده ها و بینش مشتری برای شناسایی الگوها و روندهایی استفاده کنند که می تواند باعث بهبود خدمات مشتری شود؟</v>
      </c>
      <c r="H6607" s="1"/>
      <c r="I6607" s="1"/>
      <c r="J6607" s="1"/>
      <c r="K6607" s="1"/>
      <c r="L6607" s="1"/>
      <c r="M6607" s="1"/>
      <c r="N6607" s="1"/>
      <c r="O6607" s="1"/>
      <c r="P6607" s="1"/>
      <c r="Q6607" s="1"/>
      <c r="R6607" s="1"/>
      <c r="S6607" s="1"/>
      <c r="T6607" s="1"/>
      <c r="U6607" s="1"/>
      <c r="V6607" s="1"/>
      <c r="W6607" s="1"/>
      <c r="X6607" s="1"/>
      <c r="Y6607" s="1"/>
      <c r="Z6607" s="1"/>
      <c r="AA6607" s="1"/>
      <c r="AB6607" s="1"/>
    </row>
    <row r="6608" ht="50.25" customHeight="1">
      <c r="A6608" s="12">
        <v>6604.0</v>
      </c>
      <c r="B6608" s="13" t="s">
        <v>6141</v>
      </c>
      <c r="C6608" s="14" t="s">
        <v>6631</v>
      </c>
      <c r="D6608" s="1"/>
      <c r="E6608" s="1"/>
      <c r="F6608" s="1" t="str">
        <f>IFERROR(__xludf.DUMMYFUNCTION("GOOGLETRANSLATE(B6608, ""en"", ""fa"")
"),"موفقیت آمازون")</f>
        <v>موفقیت آمازون</v>
      </c>
      <c r="G6608" s="1" t="str">
        <f>IFERROR(__xludf.DUMMYFUNCTION("GOOGLETRANSLATE(C6608, ""en"", ""fa"")
"),"در مورد مزایای ارائه چندین کانال پشتیبانی مانند تلفن، ایمیل و چت زنده برای پاسخگویی به ترجیحات مختلف مشتریان بحث کنید.")</f>
        <v>در مورد مزایای ارائه چندین کانال پشتیبانی مانند تلفن، ایمیل و چت زنده برای پاسخگویی به ترجیحات مختلف مشتریان بحث کنید.</v>
      </c>
      <c r="H6608" s="1"/>
      <c r="I6608" s="1"/>
      <c r="J6608" s="1"/>
      <c r="K6608" s="1"/>
      <c r="L6608" s="1"/>
      <c r="M6608" s="1"/>
      <c r="N6608" s="1"/>
      <c r="O6608" s="1"/>
      <c r="P6608" s="1"/>
      <c r="Q6608" s="1"/>
      <c r="R6608" s="1"/>
      <c r="S6608" s="1"/>
      <c r="T6608" s="1"/>
      <c r="U6608" s="1"/>
      <c r="V6608" s="1"/>
      <c r="W6608" s="1"/>
      <c r="X6608" s="1"/>
      <c r="Y6608" s="1"/>
      <c r="Z6608" s="1"/>
      <c r="AA6608" s="1"/>
      <c r="AB6608" s="1"/>
    </row>
    <row r="6609" ht="50.25" customHeight="1">
      <c r="A6609" s="12">
        <v>6605.0</v>
      </c>
      <c r="B6609" s="13" t="s">
        <v>6141</v>
      </c>
      <c r="C6609" s="14" t="s">
        <v>6632</v>
      </c>
      <c r="D6609" s="1"/>
      <c r="E6609" s="1"/>
      <c r="F6609" s="1" t="str">
        <f>IFERROR(__xludf.DUMMYFUNCTION("GOOGLETRANSLATE(B6609, ""en"", ""fa"")
"),"موفقیت آمازون")</f>
        <v>موفقیت آمازون</v>
      </c>
      <c r="G6609" s="1" t="str">
        <f>IFERROR(__xludf.DUMMYFUNCTION("GOOGLETRANSLATE(C6609, ""en"", ""fa"")
"),"ملاحظات کلیدی هنگام برون سپاری وظایف خدمات مشتری به ارائه دهندگان خدمات شخص ثالث چیست؟")</f>
        <v>ملاحظات کلیدی هنگام برون سپاری وظایف خدمات مشتری به ارائه دهندگان خدمات شخص ثالث چیست؟</v>
      </c>
      <c r="H6609" s="1"/>
      <c r="I6609" s="1"/>
      <c r="J6609" s="1"/>
      <c r="K6609" s="1"/>
      <c r="L6609" s="1"/>
      <c r="M6609" s="1"/>
      <c r="N6609" s="1"/>
      <c r="O6609" s="1"/>
      <c r="P6609" s="1"/>
      <c r="Q6609" s="1"/>
      <c r="R6609" s="1"/>
      <c r="S6609" s="1"/>
      <c r="T6609" s="1"/>
      <c r="U6609" s="1"/>
      <c r="V6609" s="1"/>
      <c r="W6609" s="1"/>
      <c r="X6609" s="1"/>
      <c r="Y6609" s="1"/>
      <c r="Z6609" s="1"/>
      <c r="AA6609" s="1"/>
      <c r="AB6609" s="1"/>
    </row>
    <row r="6610" ht="50.25" customHeight="1">
      <c r="A6610" s="12">
        <v>6606.0</v>
      </c>
      <c r="B6610" s="13" t="s">
        <v>6141</v>
      </c>
      <c r="C6610" s="14" t="s">
        <v>6633</v>
      </c>
      <c r="D6610" s="1"/>
      <c r="E6610" s="1"/>
      <c r="F6610" s="1" t="str">
        <f>IFERROR(__xludf.DUMMYFUNCTION("GOOGLETRANSLATE(B6610, ""en"", ""fa"")
"),"موفقیت آمازون")</f>
        <v>موفقیت آمازون</v>
      </c>
      <c r="G6610" s="1" t="str">
        <f>IFERROR(__xludf.DUMMYFUNCTION("GOOGLETRANSLATE(C6610, ""en"", ""fa"")
"),"بینش هایی را در مورد نحوه مدیریت موثر انتظارات مشتری و انجام وعده های مربوط به حمل، تحویل یا عملکرد محصول به اشتراک بگذارید.")</f>
        <v>بینش هایی را در مورد نحوه مدیریت موثر انتظارات مشتری و انجام وعده های مربوط به حمل، تحویل یا عملکرد محصول به اشتراک بگذارید.</v>
      </c>
      <c r="H6610" s="1"/>
      <c r="I6610" s="1"/>
      <c r="J6610" s="1"/>
      <c r="K6610" s="1"/>
      <c r="L6610" s="1"/>
      <c r="M6610" s="1"/>
      <c r="N6610" s="1"/>
      <c r="O6610" s="1"/>
      <c r="P6610" s="1"/>
      <c r="Q6610" s="1"/>
      <c r="R6610" s="1"/>
      <c r="S6610" s="1"/>
      <c r="T6610" s="1"/>
      <c r="U6610" s="1"/>
      <c r="V6610" s="1"/>
      <c r="W6610" s="1"/>
      <c r="X6610" s="1"/>
      <c r="Y6610" s="1"/>
      <c r="Z6610" s="1"/>
      <c r="AA6610" s="1"/>
      <c r="AB6610" s="1"/>
    </row>
    <row r="6611" ht="50.25" customHeight="1">
      <c r="A6611" s="12">
        <v>6607.0</v>
      </c>
      <c r="B6611" s="13" t="s">
        <v>6141</v>
      </c>
      <c r="C6611" s="14" t="s">
        <v>6634</v>
      </c>
      <c r="D6611" s="1"/>
      <c r="E6611" s="1"/>
      <c r="F6611" s="1" t="str">
        <f>IFERROR(__xludf.DUMMYFUNCTION("GOOGLETRANSLATE(B6611, ""en"", ""fa"")
"),"موفقیت آمازون")</f>
        <v>موفقیت آمازون</v>
      </c>
      <c r="G6611" s="1" t="str">
        <f>IFERROR(__xludf.DUMMYFUNCTION("GOOGLETRANSLATE(C6611, ""en"", ""fa"")
"),"اهمیت توانمندسازی نمایندگان خدمات مشتری با اختیار تصمیم گیری و حل مسائل را به طور مستقل توضیح دهید.")</f>
        <v>اهمیت توانمندسازی نمایندگان خدمات مشتری با اختیار تصمیم گیری و حل مسائل را به طور مستقل توضیح دهید.</v>
      </c>
      <c r="H6611" s="1"/>
      <c r="I6611" s="1"/>
      <c r="J6611" s="1"/>
      <c r="K6611" s="1"/>
      <c r="L6611" s="1"/>
      <c r="M6611" s="1"/>
      <c r="N6611" s="1"/>
      <c r="O6611" s="1"/>
      <c r="P6611" s="1"/>
      <c r="Q6611" s="1"/>
      <c r="R6611" s="1"/>
      <c r="S6611" s="1"/>
      <c r="T6611" s="1"/>
      <c r="U6611" s="1"/>
      <c r="V6611" s="1"/>
      <c r="W6611" s="1"/>
      <c r="X6611" s="1"/>
      <c r="Y6611" s="1"/>
      <c r="Z6611" s="1"/>
      <c r="AA6611" s="1"/>
      <c r="AB6611" s="1"/>
    </row>
    <row r="6612" ht="50.25" customHeight="1">
      <c r="A6612" s="12">
        <v>6608.0</v>
      </c>
      <c r="B6612" s="13" t="s">
        <v>6141</v>
      </c>
      <c r="C6612" s="14" t="s">
        <v>6635</v>
      </c>
      <c r="D6612" s="1"/>
      <c r="E6612" s="1"/>
      <c r="F6612" s="1" t="str">
        <f>IFERROR(__xludf.DUMMYFUNCTION("GOOGLETRANSLATE(B6612, ""en"", ""fa"")
"),"موفقیت آمازون")</f>
        <v>موفقیت آمازون</v>
      </c>
      <c r="G6612" s="1" t="str">
        <f>IFERROR(__xludf.DUMMYFUNCTION("GOOGLETRANSLATE(C6612, ""en"", ""fa"")
"),"چگونه فروشندگان می توانند فرهنگ مشتری محوری را در سازمان خود ایجاد کنند تا خدمات مشتری را در اولویت قرار دهند؟")</f>
        <v>چگونه فروشندگان می توانند فرهنگ مشتری محوری را در سازمان خود ایجاد کنند تا خدمات مشتری را در اولویت قرار دهند؟</v>
      </c>
      <c r="H6612" s="1"/>
      <c r="I6612" s="1"/>
      <c r="J6612" s="1"/>
      <c r="K6612" s="1"/>
      <c r="L6612" s="1"/>
      <c r="M6612" s="1"/>
      <c r="N6612" s="1"/>
      <c r="O6612" s="1"/>
      <c r="P6612" s="1"/>
      <c r="Q6612" s="1"/>
      <c r="R6612" s="1"/>
      <c r="S6612" s="1"/>
      <c r="T6612" s="1"/>
      <c r="U6612" s="1"/>
      <c r="V6612" s="1"/>
      <c r="W6612" s="1"/>
      <c r="X6612" s="1"/>
      <c r="Y6612" s="1"/>
      <c r="Z6612" s="1"/>
      <c r="AA6612" s="1"/>
      <c r="AB6612" s="1"/>
    </row>
    <row r="6613" ht="50.25" customHeight="1">
      <c r="A6613" s="12">
        <v>6609.0</v>
      </c>
      <c r="B6613" s="13" t="s">
        <v>6141</v>
      </c>
      <c r="C6613" s="14" t="s">
        <v>6636</v>
      </c>
      <c r="D6613" s="1"/>
      <c r="E6613" s="1"/>
      <c r="F6613" s="1" t="str">
        <f>IFERROR(__xludf.DUMMYFUNCTION("GOOGLETRANSLATE(B6613, ""en"", ""fa"")
"),"موفقیت آمازون")</f>
        <v>موفقیت آمازون</v>
      </c>
      <c r="G6613" s="1" t="str">
        <f>IFERROR(__xludf.DUMMYFUNCTION("GOOGLETRANSLATE(C6613, ""en"", ""fa"")
"),"در مورد اهمیت اندازه گیری و ردیابی معیارهای رضایت مشتری، مانند امتیاز خالص تبلیغ کننده (NPS)، برای سنجش عملکرد و شناسایی زمینه های بهبود بحث کنید.")</f>
        <v>در مورد اهمیت اندازه گیری و ردیابی معیارهای رضایت مشتری، مانند امتیاز خالص تبلیغ کننده (NPS)، برای سنجش عملکرد و شناسایی زمینه های بهبود بحث کنید.</v>
      </c>
      <c r="H6613" s="1"/>
      <c r="I6613" s="1"/>
      <c r="J6613" s="1"/>
      <c r="K6613" s="1"/>
      <c r="L6613" s="1"/>
      <c r="M6613" s="1"/>
      <c r="N6613" s="1"/>
      <c r="O6613" s="1"/>
      <c r="P6613" s="1"/>
      <c r="Q6613" s="1"/>
      <c r="R6613" s="1"/>
      <c r="S6613" s="1"/>
      <c r="T6613" s="1"/>
      <c r="U6613" s="1"/>
      <c r="V6613" s="1"/>
      <c r="W6613" s="1"/>
      <c r="X6613" s="1"/>
      <c r="Y6613" s="1"/>
      <c r="Z6613" s="1"/>
      <c r="AA6613" s="1"/>
      <c r="AB6613" s="1"/>
    </row>
    <row r="6614" ht="50.25" customHeight="1">
      <c r="A6614" s="12">
        <v>6610.0</v>
      </c>
      <c r="B6614" s="13" t="s">
        <v>6141</v>
      </c>
      <c r="C6614" s="14" t="s">
        <v>6637</v>
      </c>
      <c r="D6614" s="1"/>
      <c r="E6614" s="1"/>
      <c r="F6614" s="1" t="str">
        <f>IFERROR(__xludf.DUMMYFUNCTION("GOOGLETRANSLATE(B6614, ""en"", ""fa"")
"),"موفقیت آمازون")</f>
        <v>موفقیت آمازون</v>
      </c>
      <c r="G6614" s="1" t="str">
        <f>IFERROR(__xludf.DUMMYFUNCTION("GOOGLETRANSLATE(C6614, ""en"", ""fa"")
"),"بهترین روش ها برای رسیدگی به درخواست های مشتری با حجم بالا در فصول شلوغ یا دوره های تبلیغاتی چیست؟")</f>
        <v>بهترین روش ها برای رسیدگی به درخواست های مشتری با حجم بالا در فصول شلوغ یا دوره های تبلیغاتی چیست؟</v>
      </c>
      <c r="H6614" s="1"/>
      <c r="I6614" s="1"/>
      <c r="J6614" s="1"/>
      <c r="K6614" s="1"/>
      <c r="L6614" s="1"/>
      <c r="M6614" s="1"/>
      <c r="N6614" s="1"/>
      <c r="O6614" s="1"/>
      <c r="P6614" s="1"/>
      <c r="Q6614" s="1"/>
      <c r="R6614" s="1"/>
      <c r="S6614" s="1"/>
      <c r="T6614" s="1"/>
      <c r="U6614" s="1"/>
      <c r="V6614" s="1"/>
      <c r="W6614" s="1"/>
      <c r="X6614" s="1"/>
      <c r="Y6614" s="1"/>
      <c r="Z6614" s="1"/>
      <c r="AA6614" s="1"/>
      <c r="AB6614" s="1"/>
    </row>
    <row r="6615" ht="50.25" customHeight="1">
      <c r="A6615" s="12">
        <v>6611.0</v>
      </c>
      <c r="B6615" s="13" t="s">
        <v>6141</v>
      </c>
      <c r="C6615" s="14" t="s">
        <v>6638</v>
      </c>
      <c r="D6615" s="1"/>
      <c r="E6615" s="1"/>
      <c r="F6615" s="1" t="str">
        <f>IFERROR(__xludf.DUMMYFUNCTION("GOOGLETRANSLATE(B6615, ""en"", ""fa"")
"),"موفقیت آمازون")</f>
        <v>موفقیت آمازون</v>
      </c>
      <c r="G6615" s="1" t="str">
        <f>IFERROR(__xludf.DUMMYFUNCTION("GOOGLETRANSLATE(C6615, ""en"", ""fa"")
"),"نکاتی را برای مدیریت و حل و فصل اختلافات یا تشدید مشکلات مشتری به شیوه ای منصفانه و کارآمد به اشتراک بگذارید.")</f>
        <v>نکاتی را برای مدیریت و حل و فصل اختلافات یا تشدید مشکلات مشتری به شیوه ای منصفانه و کارآمد به اشتراک بگذارید.</v>
      </c>
      <c r="H6615" s="1"/>
      <c r="I6615" s="1"/>
      <c r="J6615" s="1"/>
      <c r="K6615" s="1"/>
      <c r="L6615" s="1"/>
      <c r="M6615" s="1"/>
      <c r="N6615" s="1"/>
      <c r="O6615" s="1"/>
      <c r="P6615" s="1"/>
      <c r="Q6615" s="1"/>
      <c r="R6615" s="1"/>
      <c r="S6615" s="1"/>
      <c r="T6615" s="1"/>
      <c r="U6615" s="1"/>
      <c r="V6615" s="1"/>
      <c r="W6615" s="1"/>
      <c r="X6615" s="1"/>
      <c r="Y6615" s="1"/>
      <c r="Z6615" s="1"/>
      <c r="AA6615" s="1"/>
      <c r="AB6615" s="1"/>
    </row>
    <row r="6616" ht="50.25" customHeight="1">
      <c r="A6616" s="12">
        <v>6612.0</v>
      </c>
      <c r="B6616" s="13" t="s">
        <v>6141</v>
      </c>
      <c r="C6616" s="14" t="s">
        <v>6639</v>
      </c>
      <c r="D6616" s="1"/>
      <c r="E6616" s="1"/>
      <c r="F6616" s="1" t="str">
        <f>IFERROR(__xludf.DUMMYFUNCTION("GOOGLETRANSLATE(B6616, ""en"", ""fa"")
"),"موفقیت آمازون")</f>
        <v>موفقیت آمازون</v>
      </c>
      <c r="G6616" s="1" t="str">
        <f>IFERROR(__xludf.DUMMYFUNCTION("GOOGLETRANSLATE(C6616, ""en"", ""fa"")
"),"اهمیت ارائه اطلاعات واضح و دقیق محصول را برای جلوگیری از سوء تفاهم یا نارضایتی مشتری توضیح دهید.")</f>
        <v>اهمیت ارائه اطلاعات واضح و دقیق محصول را برای جلوگیری از سوء تفاهم یا نارضایتی مشتری توضیح دهید.</v>
      </c>
      <c r="H6616" s="1"/>
      <c r="I6616" s="1"/>
      <c r="J6616" s="1"/>
      <c r="K6616" s="1"/>
      <c r="L6616" s="1"/>
      <c r="M6616" s="1"/>
      <c r="N6616" s="1"/>
      <c r="O6616" s="1"/>
      <c r="P6616" s="1"/>
      <c r="Q6616" s="1"/>
      <c r="R6616" s="1"/>
      <c r="S6616" s="1"/>
      <c r="T6616" s="1"/>
      <c r="U6616" s="1"/>
      <c r="V6616" s="1"/>
      <c r="W6616" s="1"/>
      <c r="X6616" s="1"/>
      <c r="Y6616" s="1"/>
      <c r="Z6616" s="1"/>
      <c r="AA6616" s="1"/>
      <c r="AB6616" s="1"/>
    </row>
    <row r="6617" ht="50.25" customHeight="1">
      <c r="A6617" s="12">
        <v>6613.0</v>
      </c>
      <c r="B6617" s="13" t="s">
        <v>6141</v>
      </c>
      <c r="C6617" s="14" t="s">
        <v>6640</v>
      </c>
      <c r="D6617" s="1"/>
      <c r="E6617" s="1"/>
      <c r="F6617" s="1" t="str">
        <f>IFERROR(__xludf.DUMMYFUNCTION("GOOGLETRANSLATE(B6617, ""en"", ""fa"")
"),"موفقیت آمازون")</f>
        <v>موفقیت آمازون</v>
      </c>
      <c r="G6617" s="1" t="str">
        <f>IFERROR(__xludf.DUMMYFUNCTION("GOOGLETRANSLATE(C6617, ""en"", ""fa"")
"),"چگونه فروشندگان می‌توانند از تکنیک‌های شخصی‌سازی برای ایجاد تجربیات مشتری مناسب و تقویت روابط با مشتری استفاده کنند؟")</f>
        <v>چگونه فروشندگان می‌توانند از تکنیک‌های شخصی‌سازی برای ایجاد تجربیات مشتری مناسب و تقویت روابط با مشتری استفاده کنند؟</v>
      </c>
      <c r="H6617" s="1"/>
      <c r="I6617" s="1"/>
      <c r="J6617" s="1"/>
      <c r="K6617" s="1"/>
      <c r="L6617" s="1"/>
      <c r="M6617" s="1"/>
      <c r="N6617" s="1"/>
      <c r="O6617" s="1"/>
      <c r="P6617" s="1"/>
      <c r="Q6617" s="1"/>
      <c r="R6617" s="1"/>
      <c r="S6617" s="1"/>
      <c r="T6617" s="1"/>
      <c r="U6617" s="1"/>
      <c r="V6617" s="1"/>
      <c r="W6617" s="1"/>
      <c r="X6617" s="1"/>
      <c r="Y6617" s="1"/>
      <c r="Z6617" s="1"/>
      <c r="AA6617" s="1"/>
      <c r="AB6617" s="1"/>
    </row>
    <row r="6618" ht="50.25" customHeight="1">
      <c r="A6618" s="12">
        <v>6614.0</v>
      </c>
      <c r="B6618" s="13" t="s">
        <v>6141</v>
      </c>
      <c r="C6618" s="14" t="s">
        <v>6641</v>
      </c>
      <c r="D6618" s="1"/>
      <c r="E6618" s="1"/>
      <c r="F6618" s="1" t="str">
        <f>IFERROR(__xludf.DUMMYFUNCTION("GOOGLETRANSLATE(B6618, ""en"", ""fa"")
"),"موفقیت آمازون")</f>
        <v>موفقیت آمازون</v>
      </c>
      <c r="G6618" s="1" t="str">
        <f>IFERROR(__xludf.DUMMYFUNCTION("GOOGLETRANSLATE(C6618, ""en"", ""fa"")
"),"در مورد نقش ارتباط و پیگیری فعالانه با مشتری برای اطمینان از رضایت مشتری و رفع هرگونه نگرانی طولانی بحث کنید.")</f>
        <v>در مورد نقش ارتباط و پیگیری فعالانه با مشتری برای اطمینان از رضایت مشتری و رفع هرگونه نگرانی طولانی بحث کنید.</v>
      </c>
      <c r="H6618" s="1"/>
      <c r="I6618" s="1"/>
      <c r="J6618" s="1"/>
      <c r="K6618" s="1"/>
      <c r="L6618" s="1"/>
      <c r="M6618" s="1"/>
      <c r="N6618" s="1"/>
      <c r="O6618" s="1"/>
      <c r="P6618" s="1"/>
      <c r="Q6618" s="1"/>
      <c r="R6618" s="1"/>
      <c r="S6618" s="1"/>
      <c r="T6618" s="1"/>
      <c r="U6618" s="1"/>
      <c r="V6618" s="1"/>
      <c r="W6618" s="1"/>
      <c r="X6618" s="1"/>
      <c r="Y6618" s="1"/>
      <c r="Z6618" s="1"/>
      <c r="AA6618" s="1"/>
      <c r="AB6618" s="1"/>
    </row>
    <row r="6619" ht="50.25" customHeight="1">
      <c r="A6619" s="12">
        <v>6615.0</v>
      </c>
      <c r="B6619" s="13" t="s">
        <v>6141</v>
      </c>
      <c r="C6619" s="14" t="s">
        <v>6642</v>
      </c>
      <c r="D6619" s="1"/>
      <c r="E6619" s="1"/>
      <c r="F6619" s="1" t="str">
        <f>IFERROR(__xludf.DUMMYFUNCTION("GOOGLETRANSLATE(B6619, ""en"", ""fa"")
"),"موفقیت آمازون")</f>
        <v>موفقیت آمازون</v>
      </c>
      <c r="G6619" s="1" t="str">
        <f>IFERROR(__xludf.DUMMYFUNCTION("GOOGLETRANSLATE(C6619, ""en"", ""fa"")
"),"ملاحظات کلیدی هنگام پیاده سازی سیستم فروش بلیط پشتیبانی مشتری برای مدیریت و ردیابی سؤالات مشتری چیست؟")</f>
        <v>ملاحظات کلیدی هنگام پیاده سازی سیستم فروش بلیط پشتیبانی مشتری برای مدیریت و ردیابی سؤالات مشتری چیست؟</v>
      </c>
      <c r="H6619" s="1"/>
      <c r="I6619" s="1"/>
      <c r="J6619" s="1"/>
      <c r="K6619" s="1"/>
      <c r="L6619" s="1"/>
      <c r="M6619" s="1"/>
      <c r="N6619" s="1"/>
      <c r="O6619" s="1"/>
      <c r="P6619" s="1"/>
      <c r="Q6619" s="1"/>
      <c r="R6619" s="1"/>
      <c r="S6619" s="1"/>
      <c r="T6619" s="1"/>
      <c r="U6619" s="1"/>
      <c r="V6619" s="1"/>
      <c r="W6619" s="1"/>
      <c r="X6619" s="1"/>
      <c r="Y6619" s="1"/>
      <c r="Z6619" s="1"/>
      <c r="AA6619" s="1"/>
      <c r="AB6619" s="1"/>
    </row>
    <row r="6620" ht="50.25" customHeight="1">
      <c r="A6620" s="12">
        <v>6616.0</v>
      </c>
      <c r="B6620" s="13" t="s">
        <v>6141</v>
      </c>
      <c r="C6620" s="14" t="s">
        <v>6643</v>
      </c>
      <c r="D6620" s="1"/>
      <c r="E6620" s="1"/>
      <c r="F6620" s="1" t="str">
        <f>IFERROR(__xludf.DUMMYFUNCTION("GOOGLETRANSLATE(B6620, ""en"", ""fa"")
"),"موفقیت آمازون")</f>
        <v>موفقیت آمازون</v>
      </c>
      <c r="G6620" s="1" t="str">
        <f>IFERROR(__xludf.DUMMYFUNCTION("GOOGLETRANSLATE(C6620, ""en"", ""fa"")
"),"بینش‌هایی در مورد نحوه رسیدگی و حل مؤثر مشکلات حمل و نقل یا تحویل برای به حداقل رساندن ناامیدی مشتری به اشتراک بگذارید.")</f>
        <v>بینش‌هایی در مورد نحوه رسیدگی و حل مؤثر مشکلات حمل و نقل یا تحویل برای به حداقل رساندن ناامیدی مشتری به اشتراک بگذارید.</v>
      </c>
      <c r="H6620" s="1"/>
      <c r="I6620" s="1"/>
      <c r="J6620" s="1"/>
      <c r="K6620" s="1"/>
      <c r="L6620" s="1"/>
      <c r="M6620" s="1"/>
      <c r="N6620" s="1"/>
      <c r="O6620" s="1"/>
      <c r="P6620" s="1"/>
      <c r="Q6620" s="1"/>
      <c r="R6620" s="1"/>
      <c r="S6620" s="1"/>
      <c r="T6620" s="1"/>
      <c r="U6620" s="1"/>
      <c r="V6620" s="1"/>
      <c r="W6620" s="1"/>
      <c r="X6620" s="1"/>
      <c r="Y6620" s="1"/>
      <c r="Z6620" s="1"/>
      <c r="AA6620" s="1"/>
      <c r="AB6620" s="1"/>
    </row>
    <row r="6621" ht="50.25" customHeight="1">
      <c r="A6621" s="12">
        <v>6617.0</v>
      </c>
      <c r="B6621" s="13" t="s">
        <v>6141</v>
      </c>
      <c r="C6621" s="14" t="s">
        <v>6644</v>
      </c>
      <c r="D6621" s="1"/>
      <c r="E6621" s="1"/>
      <c r="F6621" s="1" t="str">
        <f>IFERROR(__xludf.DUMMYFUNCTION("GOOGLETRANSLATE(B6621, ""en"", ""fa"")
"),"موفقیت آمازون")</f>
        <v>موفقیت آمازون</v>
      </c>
      <c r="G6621" s="1" t="str">
        <f>IFERROR(__xludf.DUMMYFUNCTION("GOOGLETRANSLATE(C6621, ""en"", ""fa"")
"),"اهمیت آموزش نمایندگان خدمات مشتری برای گوش دادن فعالانه و همدلی با نگرانی ها و نیازهای مشتریان را توضیح دهید.")</f>
        <v>اهمیت آموزش نمایندگان خدمات مشتری برای گوش دادن فعالانه و همدلی با نگرانی ها و نیازهای مشتریان را توضیح دهید.</v>
      </c>
      <c r="H6621" s="1"/>
      <c r="I6621" s="1"/>
      <c r="J6621" s="1"/>
      <c r="K6621" s="1"/>
      <c r="L6621" s="1"/>
      <c r="M6621" s="1"/>
      <c r="N6621" s="1"/>
      <c r="O6621" s="1"/>
      <c r="P6621" s="1"/>
      <c r="Q6621" s="1"/>
      <c r="R6621" s="1"/>
      <c r="S6621" s="1"/>
      <c r="T6621" s="1"/>
      <c r="U6621" s="1"/>
      <c r="V6621" s="1"/>
      <c r="W6621" s="1"/>
      <c r="X6621" s="1"/>
      <c r="Y6621" s="1"/>
      <c r="Z6621" s="1"/>
      <c r="AA6621" s="1"/>
      <c r="AB6621" s="1"/>
    </row>
    <row r="6622" ht="50.25" customHeight="1">
      <c r="A6622" s="12">
        <v>6618.0</v>
      </c>
      <c r="B6622" s="13" t="s">
        <v>6141</v>
      </c>
      <c r="C6622" s="14" t="s">
        <v>6645</v>
      </c>
      <c r="D6622" s="1"/>
      <c r="E6622" s="1"/>
      <c r="F6622" s="1" t="str">
        <f>IFERROR(__xludf.DUMMYFUNCTION("GOOGLETRANSLATE(B6622, ""en"", ""fa"")
"),"موفقیت آمازون")</f>
        <v>موفقیت آمازون</v>
      </c>
      <c r="G6622" s="1" t="str">
        <f>IFERROR(__xludf.DUMMYFUNCTION("GOOGLETRANSLATE(C6622, ""en"", ""fa"")
"),"چگونه فروشندگان می توانند از اثبات اجتماعی، مانند نظرات یا نظرات مشتریان، برای ایجاد اعتماد و اعتبار در مشتریان بالقوه استفاده کنند؟")</f>
        <v>چگونه فروشندگان می توانند از اثبات اجتماعی، مانند نظرات یا نظرات مشتریان، برای ایجاد اعتماد و اعتبار در مشتریان بالقوه استفاده کنند؟</v>
      </c>
      <c r="H6622" s="1"/>
      <c r="I6622" s="1"/>
      <c r="J6622" s="1"/>
      <c r="K6622" s="1"/>
      <c r="L6622" s="1"/>
      <c r="M6622" s="1"/>
      <c r="N6622" s="1"/>
      <c r="O6622" s="1"/>
      <c r="P6622" s="1"/>
      <c r="Q6622" s="1"/>
      <c r="R6622" s="1"/>
      <c r="S6622" s="1"/>
      <c r="T6622" s="1"/>
      <c r="U6622" s="1"/>
      <c r="V6622" s="1"/>
      <c r="W6622" s="1"/>
      <c r="X6622" s="1"/>
      <c r="Y6622" s="1"/>
      <c r="Z6622" s="1"/>
      <c r="AA6622" s="1"/>
      <c r="AB6622" s="1"/>
    </row>
    <row r="6623" ht="50.25" customHeight="1">
      <c r="A6623" s="12">
        <v>6619.0</v>
      </c>
      <c r="B6623" s="13" t="s">
        <v>6141</v>
      </c>
      <c r="C6623" s="14" t="s">
        <v>6646</v>
      </c>
      <c r="D6623" s="1"/>
      <c r="E6623" s="1"/>
      <c r="F6623" s="1" t="str">
        <f>IFERROR(__xludf.DUMMYFUNCTION("GOOGLETRANSLATE(B6623, ""en"", ""fa"")
"),"موفقیت آمازون")</f>
        <v>موفقیت آمازون</v>
      </c>
      <c r="G6623" s="1" t="str">
        <f>IFERROR(__xludf.DUMMYFUNCTION("GOOGLETRANSLATE(C6623, ""en"", ""fa"")
"),"در مورد مزایای پیاده سازی پایگاه دانش یا پورتال سلف سرویس برای دسترسی سریع مشتریان به اطلاعات و راه حل ها بحث کنید.")</f>
        <v>در مورد مزایای پیاده سازی پایگاه دانش یا پورتال سلف سرویس برای دسترسی سریع مشتریان به اطلاعات و راه حل ها بحث کنید.</v>
      </c>
      <c r="H6623" s="1"/>
      <c r="I6623" s="1"/>
      <c r="J6623" s="1"/>
      <c r="K6623" s="1"/>
      <c r="L6623" s="1"/>
      <c r="M6623" s="1"/>
      <c r="N6623" s="1"/>
      <c r="O6623" s="1"/>
      <c r="P6623" s="1"/>
      <c r="Q6623" s="1"/>
      <c r="R6623" s="1"/>
      <c r="S6623" s="1"/>
      <c r="T6623" s="1"/>
      <c r="U6623" s="1"/>
      <c r="V6623" s="1"/>
      <c r="W6623" s="1"/>
      <c r="X6623" s="1"/>
      <c r="Y6623" s="1"/>
      <c r="Z6623" s="1"/>
      <c r="AA6623" s="1"/>
      <c r="AB6623" s="1"/>
    </row>
    <row r="6624" ht="50.25" customHeight="1">
      <c r="A6624" s="12">
        <v>6620.0</v>
      </c>
      <c r="B6624" s="13" t="s">
        <v>6141</v>
      </c>
      <c r="C6624" s="14" t="s">
        <v>6647</v>
      </c>
      <c r="D6624" s="1"/>
      <c r="E6624" s="1"/>
      <c r="F6624" s="1" t="str">
        <f>IFERROR(__xludf.DUMMYFUNCTION("GOOGLETRANSLATE(B6624, ""en"", ""fa"")
"),"موفقیت آمازون")</f>
        <v>موفقیت آمازون</v>
      </c>
      <c r="G6624" s="1" t="str">
        <f>IFERROR(__xludf.DUMMYFUNCTION("GOOGLETRANSLATE(C6624, ""en"", ""fa"")
"),"بهترین شیوه ها برای مدیریت داده های مشتری و حریم خصوصی برای اطمینان از رعایت مقررات حفاظت از داده ها چیست؟")</f>
        <v>بهترین شیوه ها برای مدیریت داده های مشتری و حریم خصوصی برای اطمینان از رعایت مقررات حفاظت از داده ها چیست؟</v>
      </c>
      <c r="H6624" s="1"/>
      <c r="I6624" s="1"/>
      <c r="J6624" s="1"/>
      <c r="K6624" s="1"/>
      <c r="L6624" s="1"/>
      <c r="M6624" s="1"/>
      <c r="N6624" s="1"/>
      <c r="O6624" s="1"/>
      <c r="P6624" s="1"/>
      <c r="Q6624" s="1"/>
      <c r="R6624" s="1"/>
      <c r="S6624" s="1"/>
      <c r="T6624" s="1"/>
      <c r="U6624" s="1"/>
      <c r="V6624" s="1"/>
      <c r="W6624" s="1"/>
      <c r="X6624" s="1"/>
      <c r="Y6624" s="1"/>
      <c r="Z6624" s="1"/>
      <c r="AA6624" s="1"/>
      <c r="AB6624" s="1"/>
    </row>
    <row r="6625" ht="50.25" customHeight="1">
      <c r="A6625" s="12">
        <v>6621.0</v>
      </c>
      <c r="B6625" s="13" t="s">
        <v>6141</v>
      </c>
      <c r="C6625" s="14" t="s">
        <v>6648</v>
      </c>
      <c r="D6625" s="1"/>
      <c r="E6625" s="1"/>
      <c r="F6625" s="1" t="str">
        <f>IFERROR(__xludf.DUMMYFUNCTION("GOOGLETRANSLATE(B6625, ""en"", ""fa"")
"),"موفقیت آمازون")</f>
        <v>موفقیت آمازون</v>
      </c>
      <c r="G6625" s="1" t="str">
        <f>IFERROR(__xludf.DUMMYFUNCTION("GOOGLETRANSLATE(C6625, ""en"", ""fa"")
"),"نکاتی را برای مدیریت مؤثر انتظارات مشتری در طول راه‌اندازی محصول یا مراحل پیش‌سفارش به اشتراک بگذارید.")</f>
        <v>نکاتی را برای مدیریت مؤثر انتظارات مشتری در طول راه‌اندازی محصول یا مراحل پیش‌سفارش به اشتراک بگذارید.</v>
      </c>
      <c r="H6625" s="1"/>
      <c r="I6625" s="1"/>
      <c r="J6625" s="1"/>
      <c r="K6625" s="1"/>
      <c r="L6625" s="1"/>
      <c r="M6625" s="1"/>
      <c r="N6625" s="1"/>
      <c r="O6625" s="1"/>
      <c r="P6625" s="1"/>
      <c r="Q6625" s="1"/>
      <c r="R6625" s="1"/>
      <c r="S6625" s="1"/>
      <c r="T6625" s="1"/>
      <c r="U6625" s="1"/>
      <c r="V6625" s="1"/>
      <c r="W6625" s="1"/>
      <c r="X6625" s="1"/>
      <c r="Y6625" s="1"/>
      <c r="Z6625" s="1"/>
      <c r="AA6625" s="1"/>
      <c r="AB6625" s="1"/>
    </row>
    <row r="6626" ht="50.25" customHeight="1">
      <c r="A6626" s="12">
        <v>6622.0</v>
      </c>
      <c r="B6626" s="13" t="s">
        <v>6141</v>
      </c>
      <c r="C6626" s="14" t="s">
        <v>6649</v>
      </c>
      <c r="D6626" s="1"/>
      <c r="E6626" s="1"/>
      <c r="F6626" s="1" t="str">
        <f>IFERROR(__xludf.DUMMYFUNCTION("GOOGLETRANSLATE(B6626, ""en"", ""fa"")
"),"موفقیت آمازون")</f>
        <v>موفقیت آمازون</v>
      </c>
      <c r="G6626" s="1" t="str">
        <f>IFERROR(__xludf.DUMMYFUNCTION("GOOGLETRANSLATE(C6626, ""en"", ""fa"")
"),"اهمیت توانمندسازی مشتریان با گزینه‌های سلف‌سرویس، مانند ردیابی سفارش یا شروع بازگشت، را برای افزایش تجربه‌شان توضیح دهید.")</f>
        <v>اهمیت توانمندسازی مشتریان با گزینه‌های سلف‌سرویس، مانند ردیابی سفارش یا شروع بازگشت، را برای افزایش تجربه‌شان توضیح دهید.</v>
      </c>
      <c r="H6626" s="1"/>
      <c r="I6626" s="1"/>
      <c r="J6626" s="1"/>
      <c r="K6626" s="1"/>
      <c r="L6626" s="1"/>
      <c r="M6626" s="1"/>
      <c r="N6626" s="1"/>
      <c r="O6626" s="1"/>
      <c r="P6626" s="1"/>
      <c r="Q6626" s="1"/>
      <c r="R6626" s="1"/>
      <c r="S6626" s="1"/>
      <c r="T6626" s="1"/>
      <c r="U6626" s="1"/>
      <c r="V6626" s="1"/>
      <c r="W6626" s="1"/>
      <c r="X6626" s="1"/>
      <c r="Y6626" s="1"/>
      <c r="Z6626" s="1"/>
      <c r="AA6626" s="1"/>
      <c r="AB6626" s="1"/>
    </row>
    <row r="6627" ht="50.25" customHeight="1">
      <c r="A6627" s="12">
        <v>6623.0</v>
      </c>
      <c r="B6627" s="13" t="s">
        <v>6141</v>
      </c>
      <c r="C6627" s="14" t="s">
        <v>6650</v>
      </c>
      <c r="D6627" s="1"/>
      <c r="E6627" s="1"/>
      <c r="F6627" s="1" t="str">
        <f>IFERROR(__xludf.DUMMYFUNCTION("GOOGLETRANSLATE(B6627, ""en"", ""fa"")
"),"موفقیت آمازون")</f>
        <v>موفقیت آمازون</v>
      </c>
      <c r="G6627" s="1" t="str">
        <f>IFERROR(__xludf.DUMMYFUNCTION("GOOGLETRANSLATE(C6627, ""en"", ""fa"")
"),"چگونه فروشندگان می توانند از بازخورد و نظرات مشتریان برای شناسایی بهبود محصول یا فرصت های محصول جدید استفاده کنند؟")</f>
        <v>چگونه فروشندگان می توانند از بازخورد و نظرات مشتریان برای شناسایی بهبود محصول یا فرصت های محصول جدید استفاده کنند؟</v>
      </c>
      <c r="H6627" s="1"/>
      <c r="I6627" s="1"/>
      <c r="J6627" s="1"/>
      <c r="K6627" s="1"/>
      <c r="L6627" s="1"/>
      <c r="M6627" s="1"/>
      <c r="N6627" s="1"/>
      <c r="O6627" s="1"/>
      <c r="P6627" s="1"/>
      <c r="Q6627" s="1"/>
      <c r="R6627" s="1"/>
      <c r="S6627" s="1"/>
      <c r="T6627" s="1"/>
      <c r="U6627" s="1"/>
      <c r="V6627" s="1"/>
      <c r="W6627" s="1"/>
      <c r="X6627" s="1"/>
      <c r="Y6627" s="1"/>
      <c r="Z6627" s="1"/>
      <c r="AA6627" s="1"/>
      <c r="AB6627" s="1"/>
    </row>
    <row r="6628" ht="50.25" customHeight="1">
      <c r="A6628" s="12">
        <v>6624.0</v>
      </c>
      <c r="B6628" s="13" t="s">
        <v>6141</v>
      </c>
      <c r="C6628" s="14" t="s">
        <v>6651</v>
      </c>
      <c r="D6628" s="1"/>
      <c r="E6628" s="1"/>
      <c r="F6628" s="1" t="str">
        <f>IFERROR(__xludf.DUMMYFUNCTION("GOOGLETRANSLATE(B6628, ""en"", ""fa"")
"),"موفقیت آمازون")</f>
        <v>موفقیت آمازون</v>
      </c>
      <c r="G6628" s="1" t="str">
        <f>IFERROR(__xludf.DUMMYFUNCTION("GOOGLETRANSLATE(C6628, ""en"", ""fa"")
"),"در مورد اهمیت آموزش و توسعه مستمر برای نمایندگان خدمات مشتری بحث کنید تا از دانش محصول و روندهای صنعت به روز بمانند.")</f>
        <v>در مورد اهمیت آموزش و توسعه مستمر برای نمایندگان خدمات مشتری بحث کنید تا از دانش محصول و روندهای صنعت به روز بمانند.</v>
      </c>
      <c r="H6628" s="1"/>
      <c r="I6628" s="1"/>
      <c r="J6628" s="1"/>
      <c r="K6628" s="1"/>
      <c r="L6628" s="1"/>
      <c r="M6628" s="1"/>
      <c r="N6628" s="1"/>
      <c r="O6628" s="1"/>
      <c r="P6628" s="1"/>
      <c r="Q6628" s="1"/>
      <c r="R6628" s="1"/>
      <c r="S6628" s="1"/>
      <c r="T6628" s="1"/>
      <c r="U6628" s="1"/>
      <c r="V6628" s="1"/>
      <c r="W6628" s="1"/>
      <c r="X6628" s="1"/>
      <c r="Y6628" s="1"/>
      <c r="Z6628" s="1"/>
      <c r="AA6628" s="1"/>
      <c r="AB6628" s="1"/>
    </row>
    <row r="6629" ht="50.25" customHeight="1">
      <c r="A6629" s="12">
        <v>6625.0</v>
      </c>
      <c r="B6629" s="13" t="s">
        <v>6141</v>
      </c>
      <c r="C6629" s="14" t="s">
        <v>6652</v>
      </c>
      <c r="D6629" s="1"/>
      <c r="E6629" s="1"/>
      <c r="F6629" s="1" t="str">
        <f>IFERROR(__xludf.DUMMYFUNCTION("GOOGLETRANSLATE(B6629, ""en"", ""fa"")
"),"موفقیت آمازون")</f>
        <v>موفقیت آمازون</v>
      </c>
      <c r="G6629" s="1" t="str">
        <f>IFERROR(__xludf.DUMMYFUNCTION("GOOGLETRANSLATE(C6629, ""en"", ""fa"")
"),"ملاحظات کلیدی هنگام اجرای فرآیند تشدید پشتیبانی مشتری برای رسیدگی به مسائل پیچیده یا حل نشده چیست؟")</f>
        <v>ملاحظات کلیدی هنگام اجرای فرآیند تشدید پشتیبانی مشتری برای رسیدگی به مسائل پیچیده یا حل نشده چیست؟</v>
      </c>
      <c r="H6629" s="1"/>
      <c r="I6629" s="1"/>
      <c r="J6629" s="1"/>
      <c r="K6629" s="1"/>
      <c r="L6629" s="1"/>
      <c r="M6629" s="1"/>
      <c r="N6629" s="1"/>
      <c r="O6629" s="1"/>
      <c r="P6629" s="1"/>
      <c r="Q6629" s="1"/>
      <c r="R6629" s="1"/>
      <c r="S6629" s="1"/>
      <c r="T6629" s="1"/>
      <c r="U6629" s="1"/>
      <c r="V6629" s="1"/>
      <c r="W6629" s="1"/>
      <c r="X6629" s="1"/>
      <c r="Y6629" s="1"/>
      <c r="Z6629" s="1"/>
      <c r="AA6629" s="1"/>
      <c r="AB6629" s="1"/>
    </row>
    <row r="6630" ht="50.25" customHeight="1">
      <c r="A6630" s="12">
        <v>6626.0</v>
      </c>
      <c r="B6630" s="13" t="s">
        <v>6141</v>
      </c>
      <c r="C6630" s="14" t="s">
        <v>6653</v>
      </c>
      <c r="D6630" s="1"/>
      <c r="E6630" s="1"/>
      <c r="F6630" s="1" t="str">
        <f>IFERROR(__xludf.DUMMYFUNCTION("GOOGLETRANSLATE(B6630, ""en"", ""fa"")
"),"موفقیت آمازون")</f>
        <v>موفقیت آمازون</v>
      </c>
      <c r="G6630" s="1" t="str">
        <f>IFERROR(__xludf.DUMMYFUNCTION("GOOGLETRANSLATE(C6630, ""en"", ""fa"")
"),"بینش‌هایی درباره نحوه مدیریت مؤثر درخواست‌های مشتری یا درخواست‌های پشتیبانی در ساعات غیر اداری یا تعطیلات به اشتراک بگذارید.")</f>
        <v>بینش‌هایی درباره نحوه مدیریت مؤثر درخواست‌های مشتری یا درخواست‌های پشتیبانی در ساعات غیر اداری یا تعطیلات به اشتراک بگذارید.</v>
      </c>
      <c r="H6630" s="1"/>
      <c r="I6630" s="1"/>
      <c r="J6630" s="1"/>
      <c r="K6630" s="1"/>
      <c r="L6630" s="1"/>
      <c r="M6630" s="1"/>
      <c r="N6630" s="1"/>
      <c r="O6630" s="1"/>
      <c r="P6630" s="1"/>
      <c r="Q6630" s="1"/>
      <c r="R6630" s="1"/>
      <c r="S6630" s="1"/>
      <c r="T6630" s="1"/>
      <c r="U6630" s="1"/>
      <c r="V6630" s="1"/>
      <c r="W6630" s="1"/>
      <c r="X6630" s="1"/>
      <c r="Y6630" s="1"/>
      <c r="Z6630" s="1"/>
      <c r="AA6630" s="1"/>
      <c r="AB6630" s="1"/>
    </row>
    <row r="6631" ht="50.25" customHeight="1">
      <c r="A6631" s="12">
        <v>6627.0</v>
      </c>
      <c r="B6631" s="13" t="s">
        <v>6141</v>
      </c>
      <c r="C6631" s="14" t="s">
        <v>6654</v>
      </c>
      <c r="D6631" s="1"/>
      <c r="E6631" s="1"/>
      <c r="F6631" s="1" t="str">
        <f>IFERROR(__xludf.DUMMYFUNCTION("GOOGLETRANSLATE(B6631, ""en"", ""fa"")
"),"موفقیت آمازون")</f>
        <v>موفقیت آمازون</v>
      </c>
      <c r="G6631" s="1" t="str">
        <f>IFERROR(__xludf.DUMMYFUNCTION("GOOGLETRANSLATE(C6631, ""en"", ""fa"")
"),"اهمیت ارائه ارتباطات سریع و شفاف در مورد به روز رسانی یا تاخیر وضعیت سفارش را توضیح دهید.")</f>
        <v>اهمیت ارائه ارتباطات سریع و شفاف در مورد به روز رسانی یا تاخیر وضعیت سفارش را توضیح دهید.</v>
      </c>
      <c r="H6631" s="1"/>
      <c r="I6631" s="1"/>
      <c r="J6631" s="1"/>
      <c r="K6631" s="1"/>
      <c r="L6631" s="1"/>
      <c r="M6631" s="1"/>
      <c r="N6631" s="1"/>
      <c r="O6631" s="1"/>
      <c r="P6631" s="1"/>
      <c r="Q6631" s="1"/>
      <c r="R6631" s="1"/>
      <c r="S6631" s="1"/>
      <c r="T6631" s="1"/>
      <c r="U6631" s="1"/>
      <c r="V6631" s="1"/>
      <c r="W6631" s="1"/>
      <c r="X6631" s="1"/>
      <c r="Y6631" s="1"/>
      <c r="Z6631" s="1"/>
      <c r="AA6631" s="1"/>
      <c r="AB6631" s="1"/>
    </row>
    <row r="6632" ht="50.25" customHeight="1">
      <c r="A6632" s="12">
        <v>6628.0</v>
      </c>
      <c r="B6632" s="13" t="s">
        <v>6141</v>
      </c>
      <c r="C6632" s="14" t="s">
        <v>6655</v>
      </c>
      <c r="D6632" s="1"/>
      <c r="E6632" s="1"/>
      <c r="F6632" s="1" t="str">
        <f>IFERROR(__xludf.DUMMYFUNCTION("GOOGLETRANSLATE(B6632, ""en"", ""fa"")
"),"موفقیت آمازون")</f>
        <v>موفقیت آمازون</v>
      </c>
      <c r="G6632" s="1" t="str">
        <f>IFERROR(__xludf.DUMMYFUNCTION("GOOGLETRANSLATE(C6632, ""en"", ""fa"")
"),"فروشندگان چگونه می توانند از تجزیه و تحلیل پشتیبانی مشتری برای شناسایی نقاط درد یا تنگناهای رایج و اجرای راه حل های پیشگیرانه استفاده کنند؟")</f>
        <v>فروشندگان چگونه می توانند از تجزیه و تحلیل پشتیبانی مشتری برای شناسایی نقاط درد یا تنگناهای رایج و اجرای راه حل های پیشگیرانه استفاده کنند؟</v>
      </c>
      <c r="H6632" s="1"/>
      <c r="I6632" s="1"/>
      <c r="J6632" s="1"/>
      <c r="K6632" s="1"/>
      <c r="L6632" s="1"/>
      <c r="M6632" s="1"/>
      <c r="N6632" s="1"/>
      <c r="O6632" s="1"/>
      <c r="P6632" s="1"/>
      <c r="Q6632" s="1"/>
      <c r="R6632" s="1"/>
      <c r="S6632" s="1"/>
      <c r="T6632" s="1"/>
      <c r="U6632" s="1"/>
      <c r="V6632" s="1"/>
      <c r="W6632" s="1"/>
      <c r="X6632" s="1"/>
      <c r="Y6632" s="1"/>
      <c r="Z6632" s="1"/>
      <c r="AA6632" s="1"/>
      <c r="AB6632" s="1"/>
    </row>
    <row r="6633" ht="50.25" customHeight="1">
      <c r="A6633" s="12">
        <v>6629.0</v>
      </c>
      <c r="B6633" s="13" t="s">
        <v>6141</v>
      </c>
      <c r="C6633" s="14" t="s">
        <v>6656</v>
      </c>
      <c r="D6633" s="1"/>
      <c r="E6633" s="1"/>
      <c r="F6633" s="1" t="str">
        <f>IFERROR(__xludf.DUMMYFUNCTION("GOOGLETRANSLATE(B6633, ""en"", ""fa"")
"),"موفقیت آمازون")</f>
        <v>موفقیت آمازون</v>
      </c>
      <c r="G6633" s="1" t="str">
        <f>IFERROR(__xludf.DUMMYFUNCTION("GOOGLETRANSLATE(C6633, ""en"", ""fa"")
"),"در مورد مزایای اجرای نظرسنجی رضایت مشتری یا مکانیزم بازخورد برای جمع آوری بینش و اندازه گیری عملکرد بحث کنید.")</f>
        <v>در مورد مزایای اجرای نظرسنجی رضایت مشتری یا مکانیزم بازخورد برای جمع آوری بینش و اندازه گیری عملکرد بحث کنید.</v>
      </c>
      <c r="H6633" s="1"/>
      <c r="I6633" s="1"/>
      <c r="J6633" s="1"/>
      <c r="K6633" s="1"/>
      <c r="L6633" s="1"/>
      <c r="M6633" s="1"/>
      <c r="N6633" s="1"/>
      <c r="O6633" s="1"/>
      <c r="P6633" s="1"/>
      <c r="Q6633" s="1"/>
      <c r="R6633" s="1"/>
      <c r="S6633" s="1"/>
      <c r="T6633" s="1"/>
      <c r="U6633" s="1"/>
      <c r="V6633" s="1"/>
      <c r="W6633" s="1"/>
      <c r="X6633" s="1"/>
      <c r="Y6633" s="1"/>
      <c r="Z6633" s="1"/>
      <c r="AA6633" s="1"/>
      <c r="AB6633" s="1"/>
    </row>
    <row r="6634" ht="50.25" customHeight="1">
      <c r="A6634" s="12">
        <v>6630.0</v>
      </c>
      <c r="B6634" s="13" t="s">
        <v>6141</v>
      </c>
      <c r="C6634" s="14" t="s">
        <v>6657</v>
      </c>
      <c r="D6634" s="1"/>
      <c r="E6634" s="1"/>
      <c r="F6634" s="1" t="str">
        <f>IFERROR(__xludf.DUMMYFUNCTION("GOOGLETRANSLATE(B6634, ""en"", ""fa"")
"),"موفقیت آمازون")</f>
        <v>موفقیت آمازون</v>
      </c>
      <c r="G6634" s="1" t="str">
        <f>IFERROR(__xludf.DUMMYFUNCTION("GOOGLETRANSLATE(C6634, ""en"", ""fa"")
"),"بهترین شیوه ها برای ادغام فرآیندهای خدمات مشتری و پشتیبانی با سایر عملکردهای تجاری، مانند مدیریت موجودی یا تکمیل چیست؟")</f>
        <v>بهترین شیوه ها برای ادغام فرآیندهای خدمات مشتری و پشتیبانی با سایر عملکردهای تجاری، مانند مدیریت موجودی یا تکمیل چیست؟</v>
      </c>
      <c r="H6634" s="1"/>
      <c r="I6634" s="1"/>
      <c r="J6634" s="1"/>
      <c r="K6634" s="1"/>
      <c r="L6634" s="1"/>
      <c r="M6634" s="1"/>
      <c r="N6634" s="1"/>
      <c r="O6634" s="1"/>
      <c r="P6634" s="1"/>
      <c r="Q6634" s="1"/>
      <c r="R6634" s="1"/>
      <c r="S6634" s="1"/>
      <c r="T6634" s="1"/>
      <c r="U6634" s="1"/>
      <c r="V6634" s="1"/>
      <c r="W6634" s="1"/>
      <c r="X6634" s="1"/>
      <c r="Y6634" s="1"/>
      <c r="Z6634" s="1"/>
      <c r="AA6634" s="1"/>
      <c r="AB6634" s="1"/>
    </row>
    <row r="6635" ht="50.25" customHeight="1">
      <c r="A6635" s="12">
        <v>6631.0</v>
      </c>
      <c r="B6635" s="13" t="s">
        <v>6141</v>
      </c>
      <c r="C6635" s="14" t="s">
        <v>6658</v>
      </c>
      <c r="D6635" s="1"/>
      <c r="E6635" s="1"/>
      <c r="F6635" s="1" t="str">
        <f>IFERROR(__xludf.DUMMYFUNCTION("GOOGLETRANSLATE(B6635, ""en"", ""fa"")
"),"موفقیت آمازون")</f>
        <v>موفقیت آمازون</v>
      </c>
      <c r="G6635" s="1" t="str">
        <f>IFERROR(__xludf.DUMMYFUNCTION("GOOGLETRANSLATE(C6635, ""en"", ""fa"")
"),"نکاتی را برای ایجاد یک سیاست بازگشت و بازپرداخت مشتری محور که رضایت مشتری و نیازهای تجاری را متعادل می کند، به اشتراک بگذارید.")</f>
        <v>نکاتی را برای ایجاد یک سیاست بازگشت و بازپرداخت مشتری محور که رضایت مشتری و نیازهای تجاری را متعادل می کند، به اشتراک بگذارید.</v>
      </c>
      <c r="H6635" s="1"/>
      <c r="I6635" s="1"/>
      <c r="J6635" s="1"/>
      <c r="K6635" s="1"/>
      <c r="L6635" s="1"/>
      <c r="M6635" s="1"/>
      <c r="N6635" s="1"/>
      <c r="O6635" s="1"/>
      <c r="P6635" s="1"/>
      <c r="Q6635" s="1"/>
      <c r="R6635" s="1"/>
      <c r="S6635" s="1"/>
      <c r="T6635" s="1"/>
      <c r="U6635" s="1"/>
      <c r="V6635" s="1"/>
      <c r="W6635" s="1"/>
      <c r="X6635" s="1"/>
      <c r="Y6635" s="1"/>
      <c r="Z6635" s="1"/>
      <c r="AA6635" s="1"/>
      <c r="AB6635" s="1"/>
    </row>
    <row r="6636" ht="50.25" customHeight="1">
      <c r="A6636" s="12">
        <v>6632.0</v>
      </c>
      <c r="B6636" s="13" t="s">
        <v>6141</v>
      </c>
      <c r="C6636" s="14" t="s">
        <v>6659</v>
      </c>
      <c r="D6636" s="1"/>
      <c r="E6636" s="1"/>
      <c r="F6636" s="1" t="str">
        <f>IFERROR(__xludf.DUMMYFUNCTION("GOOGLETRANSLATE(B6636, ""en"", ""fa"")
"),"موفقیت آمازون")</f>
        <v>موفقیت آمازون</v>
      </c>
      <c r="G6636" s="1" t="str">
        <f>IFERROR(__xludf.DUMMYFUNCTION("GOOGLETRANSLATE(C6636, ""en"", ""fa"")
"),"اهمیت ایجاد یک تیم خدمات مشتری را که ارزش های برند را تجسم می بخشد و شرکت را به طور موثر نشان می دهد، توضیح دهید.")</f>
        <v>اهمیت ایجاد یک تیم خدمات مشتری را که ارزش های برند را تجسم می بخشد و شرکت را به طور موثر نشان می دهد، توضیح دهید.</v>
      </c>
      <c r="H6636" s="1"/>
      <c r="I6636" s="1"/>
      <c r="J6636" s="1"/>
      <c r="K6636" s="1"/>
      <c r="L6636" s="1"/>
      <c r="M6636" s="1"/>
      <c r="N6636" s="1"/>
      <c r="O6636" s="1"/>
      <c r="P6636" s="1"/>
      <c r="Q6636" s="1"/>
      <c r="R6636" s="1"/>
      <c r="S6636" s="1"/>
      <c r="T6636" s="1"/>
      <c r="U6636" s="1"/>
      <c r="V6636" s="1"/>
      <c r="W6636" s="1"/>
      <c r="X6636" s="1"/>
      <c r="Y6636" s="1"/>
      <c r="Z6636" s="1"/>
      <c r="AA6636" s="1"/>
      <c r="AB6636" s="1"/>
    </row>
    <row r="6637" ht="50.25" customHeight="1">
      <c r="A6637" s="12">
        <v>6633.0</v>
      </c>
      <c r="B6637" s="13" t="s">
        <v>6141</v>
      </c>
      <c r="C6637" s="14" t="s">
        <v>6660</v>
      </c>
      <c r="D6637" s="1"/>
      <c r="E6637" s="1"/>
      <c r="F6637" s="1" t="str">
        <f>IFERROR(__xludf.DUMMYFUNCTION("GOOGLETRANSLATE(B6637, ""en"", ""fa"")
"),"موفقیت آمازون")</f>
        <v>موفقیت آمازون</v>
      </c>
      <c r="G6637" s="1" t="str">
        <f>IFERROR(__xludf.DUMMYFUNCTION("GOOGLETRANSLATE(C6637, ""en"", ""fa"")
"),"چگونه فروشندگان می توانند از ابزارهای گوش دادن اجتماعی و تجزیه و تحلیل احساسات برای نظارت و پاسخگویی به بازخوردها یا اشاره های آنلاین مشتریان استفاده کنند؟")</f>
        <v>چگونه فروشندگان می توانند از ابزارهای گوش دادن اجتماعی و تجزیه و تحلیل احساسات برای نظارت و پاسخگویی به بازخوردها یا اشاره های آنلاین مشتریان استفاده کنند؟</v>
      </c>
      <c r="H6637" s="1"/>
      <c r="I6637" s="1"/>
      <c r="J6637" s="1"/>
      <c r="K6637" s="1"/>
      <c r="L6637" s="1"/>
      <c r="M6637" s="1"/>
      <c r="N6637" s="1"/>
      <c r="O6637" s="1"/>
      <c r="P6637" s="1"/>
      <c r="Q6637" s="1"/>
      <c r="R6637" s="1"/>
      <c r="S6637" s="1"/>
      <c r="T6637" s="1"/>
      <c r="U6637" s="1"/>
      <c r="V6637" s="1"/>
      <c r="W6637" s="1"/>
      <c r="X6637" s="1"/>
      <c r="Y6637" s="1"/>
      <c r="Z6637" s="1"/>
      <c r="AA6637" s="1"/>
      <c r="AB6637" s="1"/>
    </row>
    <row r="6638" ht="50.25" customHeight="1">
      <c r="A6638" s="12">
        <v>6634.0</v>
      </c>
      <c r="B6638" s="13" t="s">
        <v>6141</v>
      </c>
      <c r="C6638" s="14" t="s">
        <v>6661</v>
      </c>
      <c r="D6638" s="1"/>
      <c r="E6638" s="1"/>
      <c r="F6638" s="1" t="str">
        <f>IFERROR(__xludf.DUMMYFUNCTION("GOOGLETRANSLATE(B6638, ""en"", ""fa"")
"),"موفقیت آمازون")</f>
        <v>موفقیت آمازون</v>
      </c>
      <c r="G6638" s="1" t="str">
        <f>IFERROR(__xludf.DUMMYFUNCTION("GOOGLETRANSLATE(C6638, ""en"", ""fa"")
"),"در مورد نقش خدمات مشتری در مدیریت فراخوان محصول یا نگرانی های ایمنی و بهترین شیوه ها برای رسیدگی به چنین موقعیت هایی بحث کنید.")</f>
        <v>در مورد نقش خدمات مشتری در مدیریت فراخوان محصول یا نگرانی های ایمنی و بهترین شیوه ها برای رسیدگی به چنین موقعیت هایی بحث کنید.</v>
      </c>
      <c r="H6638" s="1"/>
      <c r="I6638" s="1"/>
      <c r="J6638" s="1"/>
      <c r="K6638" s="1"/>
      <c r="L6638" s="1"/>
      <c r="M6638" s="1"/>
      <c r="N6638" s="1"/>
      <c r="O6638" s="1"/>
      <c r="P6638" s="1"/>
      <c r="Q6638" s="1"/>
      <c r="R6638" s="1"/>
      <c r="S6638" s="1"/>
      <c r="T6638" s="1"/>
      <c r="U6638" s="1"/>
      <c r="V6638" s="1"/>
      <c r="W6638" s="1"/>
      <c r="X6638" s="1"/>
      <c r="Y6638" s="1"/>
      <c r="Z6638" s="1"/>
      <c r="AA6638" s="1"/>
      <c r="AB6638" s="1"/>
    </row>
    <row r="6639" ht="50.25" customHeight="1">
      <c r="A6639" s="12">
        <v>6635.0</v>
      </c>
      <c r="B6639" s="13" t="s">
        <v>6141</v>
      </c>
      <c r="C6639" s="14" t="s">
        <v>6662</v>
      </c>
      <c r="D6639" s="1"/>
      <c r="E6639" s="1"/>
      <c r="F6639" s="1" t="str">
        <f>IFERROR(__xludf.DUMMYFUNCTION("GOOGLETRANSLATE(B6639, ""en"", ""fa"")
"),"موفقیت آمازون")</f>
        <v>موفقیت آمازون</v>
      </c>
      <c r="G6639" s="1" t="str">
        <f>IFERROR(__xludf.DUMMYFUNCTION("GOOGLETRANSLATE(C6639, ""en"", ""fa"")
"),"ملاحظات کلیدی هنگام ارائه پشتیبانی مشتری چندزبانه برای ارائه خدمات به مشتریان با پیشینه زبان های مختلف چیست؟")</f>
        <v>ملاحظات کلیدی هنگام ارائه پشتیبانی مشتری چندزبانه برای ارائه خدمات به مشتریان با پیشینه زبان های مختلف چیست؟</v>
      </c>
      <c r="H6639" s="1"/>
      <c r="I6639" s="1"/>
      <c r="J6639" s="1"/>
      <c r="K6639" s="1"/>
      <c r="L6639" s="1"/>
      <c r="M6639" s="1"/>
      <c r="N6639" s="1"/>
      <c r="O6639" s="1"/>
      <c r="P6639" s="1"/>
      <c r="Q6639" s="1"/>
      <c r="R6639" s="1"/>
      <c r="S6639" s="1"/>
      <c r="T6639" s="1"/>
      <c r="U6639" s="1"/>
      <c r="V6639" s="1"/>
      <c r="W6639" s="1"/>
      <c r="X6639" s="1"/>
      <c r="Y6639" s="1"/>
      <c r="Z6639" s="1"/>
      <c r="AA6639" s="1"/>
      <c r="AB6639" s="1"/>
    </row>
    <row r="6640" ht="50.25" customHeight="1">
      <c r="A6640" s="12">
        <v>6636.0</v>
      </c>
      <c r="B6640" s="13" t="s">
        <v>6141</v>
      </c>
      <c r="C6640" s="14" t="s">
        <v>6663</v>
      </c>
      <c r="D6640" s="1"/>
      <c r="E6640" s="1"/>
      <c r="F6640" s="1" t="str">
        <f>IFERROR(__xludf.DUMMYFUNCTION("GOOGLETRANSLATE(B6640, ""en"", ""fa"")
"),"موفقیت آمازون")</f>
        <v>موفقیت آمازون</v>
      </c>
      <c r="G6640" s="1" t="str">
        <f>IFERROR(__xludf.DUMMYFUNCTION("GOOGLETRANSLATE(C6640, ""en"", ""fa"")
"),"درباره نحوه توانمندسازی مشتریان با منابع خودیاری، مانند آموزش های ویدیویی یا راهنمای کاربر، برای عیب یابی مشکلات رایج، اطلاعاتی را به اشتراک بگذارید.")</f>
        <v>درباره نحوه توانمندسازی مشتریان با منابع خودیاری، مانند آموزش های ویدیویی یا راهنمای کاربر، برای عیب یابی مشکلات رایج، اطلاعاتی را به اشتراک بگذارید.</v>
      </c>
      <c r="H6640" s="1"/>
      <c r="I6640" s="1"/>
      <c r="J6640" s="1"/>
      <c r="K6640" s="1"/>
      <c r="L6640" s="1"/>
      <c r="M6640" s="1"/>
      <c r="N6640" s="1"/>
      <c r="O6640" s="1"/>
      <c r="P6640" s="1"/>
      <c r="Q6640" s="1"/>
      <c r="R6640" s="1"/>
      <c r="S6640" s="1"/>
      <c r="T6640" s="1"/>
      <c r="U6640" s="1"/>
      <c r="V6640" s="1"/>
      <c r="W6640" s="1"/>
      <c r="X6640" s="1"/>
      <c r="Y6640" s="1"/>
      <c r="Z6640" s="1"/>
      <c r="AA6640" s="1"/>
      <c r="AB6640" s="1"/>
    </row>
    <row r="6641" ht="50.25" customHeight="1">
      <c r="A6641" s="12">
        <v>6637.0</v>
      </c>
      <c r="B6641" s="13" t="s">
        <v>6141</v>
      </c>
      <c r="C6641" s="14" t="s">
        <v>6664</v>
      </c>
      <c r="D6641" s="1"/>
      <c r="E6641" s="1"/>
      <c r="F6641" s="1" t="str">
        <f>IFERROR(__xludf.DUMMYFUNCTION("GOOGLETRANSLATE(B6641, ""en"", ""fa"")
"),"موفقیت آمازون")</f>
        <v>موفقیت آمازون</v>
      </c>
      <c r="G6641" s="1" t="str">
        <f>IFERROR(__xludf.DUMMYFUNCTION("GOOGLETRANSLATE(C6641, ""en"", ""fa"")
"),"اهمیت ارتباط فعالانه به‌روزرسانی‌ها یا تغییرات محصول را به مشتریان فعلی برای حفظ شفافیت توضیح دهید.")</f>
        <v>اهمیت ارتباط فعالانه به‌روزرسانی‌ها یا تغییرات محصول را به مشتریان فعلی برای حفظ شفافیت توضیح دهید.</v>
      </c>
      <c r="H6641" s="1"/>
      <c r="I6641" s="1"/>
      <c r="J6641" s="1"/>
      <c r="K6641" s="1"/>
      <c r="L6641" s="1"/>
      <c r="M6641" s="1"/>
      <c r="N6641" s="1"/>
      <c r="O6641" s="1"/>
      <c r="P6641" s="1"/>
      <c r="Q6641" s="1"/>
      <c r="R6641" s="1"/>
      <c r="S6641" s="1"/>
      <c r="T6641" s="1"/>
      <c r="U6641" s="1"/>
      <c r="V6641" s="1"/>
      <c r="W6641" s="1"/>
      <c r="X6641" s="1"/>
      <c r="Y6641" s="1"/>
      <c r="Z6641" s="1"/>
      <c r="AA6641" s="1"/>
      <c r="AB6641" s="1"/>
    </row>
    <row r="6642" ht="50.25" customHeight="1">
      <c r="A6642" s="12">
        <v>6638.0</v>
      </c>
      <c r="B6642" s="13" t="s">
        <v>6141</v>
      </c>
      <c r="C6642" s="14" t="s">
        <v>6665</v>
      </c>
      <c r="D6642" s="1"/>
      <c r="E6642" s="1"/>
      <c r="F6642" s="1" t="str">
        <f>IFERROR(__xludf.DUMMYFUNCTION("GOOGLETRANSLATE(B6642, ""en"", ""fa"")
"),"موفقیت آمازون")</f>
        <v>موفقیت آمازون</v>
      </c>
      <c r="G6642" s="1" t="str">
        <f>IFERROR(__xludf.DUMMYFUNCTION("GOOGLETRANSLATE(C6642, ""en"", ""fa"")
"),"فروشندگان چگونه می توانند سیستمی برای پیگیری و حل و فصل شکایات یا مسائل مشتریان برای اطمینان از حل و فصل به موقع و رضایت مشتری پیاده سازی کنند؟")</f>
        <v>فروشندگان چگونه می توانند سیستمی برای پیگیری و حل و فصل شکایات یا مسائل مشتریان برای اطمینان از حل و فصل به موقع و رضایت مشتری پیاده سازی کنند؟</v>
      </c>
      <c r="H6642" s="1"/>
      <c r="I6642" s="1"/>
      <c r="J6642" s="1"/>
      <c r="K6642" s="1"/>
      <c r="L6642" s="1"/>
      <c r="M6642" s="1"/>
      <c r="N6642" s="1"/>
      <c r="O6642" s="1"/>
      <c r="P6642" s="1"/>
      <c r="Q6642" s="1"/>
      <c r="R6642" s="1"/>
      <c r="S6642" s="1"/>
      <c r="T6642" s="1"/>
      <c r="U6642" s="1"/>
      <c r="V6642" s="1"/>
      <c r="W6642" s="1"/>
      <c r="X6642" s="1"/>
      <c r="Y6642" s="1"/>
      <c r="Z6642" s="1"/>
      <c r="AA6642" s="1"/>
      <c r="AB6642" s="1"/>
    </row>
    <row r="6643" ht="50.25" customHeight="1">
      <c r="A6643" s="12">
        <v>6639.0</v>
      </c>
      <c r="B6643" s="13" t="s">
        <v>6141</v>
      </c>
      <c r="C6643" s="14" t="s">
        <v>6666</v>
      </c>
      <c r="D6643" s="1"/>
      <c r="E6643" s="1"/>
      <c r="F6643" s="1" t="str">
        <f>IFERROR(__xludf.DUMMYFUNCTION("GOOGLETRANSLATE(B6643, ""en"", ""fa"")
"),"موفقیت آمازون")</f>
        <v>موفقیت آمازون</v>
      </c>
      <c r="G6643" s="1" t="str">
        <f>IFERROR(__xludf.DUMMYFUNCTION("GOOGLETRANSLATE(C6643, ""en"", ""fa"")
"),"در مورد مزایای پرورش فرهنگ مشتری محور در سازمان خود و تأثیری که می تواند بر موفقیت بلند مدت کسب و کار داشته باشد، بحث کنید.")</f>
        <v>در مورد مزایای پرورش فرهنگ مشتری محور در سازمان خود و تأثیری که می تواند بر موفقیت بلند مدت کسب و کار داشته باشد، بحث کنید.</v>
      </c>
      <c r="H6643" s="1"/>
      <c r="I6643" s="1"/>
      <c r="J6643" s="1"/>
      <c r="K6643" s="1"/>
      <c r="L6643" s="1"/>
      <c r="M6643" s="1"/>
      <c r="N6643" s="1"/>
      <c r="O6643" s="1"/>
      <c r="P6643" s="1"/>
      <c r="Q6643" s="1"/>
      <c r="R6643" s="1"/>
      <c r="S6643" s="1"/>
      <c r="T6643" s="1"/>
      <c r="U6643" s="1"/>
      <c r="V6643" s="1"/>
      <c r="W6643" s="1"/>
      <c r="X6643" s="1"/>
      <c r="Y6643" s="1"/>
      <c r="Z6643" s="1"/>
      <c r="AA6643" s="1"/>
      <c r="AB6643" s="1"/>
    </row>
    <row r="6644" ht="50.25" customHeight="1">
      <c r="A6644" s="12">
        <v>6640.0</v>
      </c>
      <c r="B6644" s="13" t="s">
        <v>6141</v>
      </c>
      <c r="C6644" s="14" t="s">
        <v>6667</v>
      </c>
      <c r="D6644" s="1"/>
      <c r="E6644" s="1"/>
      <c r="F6644" s="1" t="str">
        <f>IFERROR(__xludf.DUMMYFUNCTION("GOOGLETRANSLATE(B6644, ""en"", ""fa"")
"),"موفقیت آمازون")</f>
        <v>موفقیت آمازون</v>
      </c>
      <c r="G6644" s="1" t="str">
        <f>IFERROR(__xludf.DUMMYFUNCTION("GOOGLETRANSLATE(C6644, ""en"", ""fa"")
"),"درباره اهمیت فرآیندهای حمل و نقل و لجستیک کارآمد در برآورده کردن انتظارات مشتری و جلب رضایت مشتری بحث کنید.")</f>
        <v>درباره اهمیت فرآیندهای حمل و نقل و لجستیک کارآمد در برآورده کردن انتظارات مشتری و جلب رضایت مشتری بحث کنید.</v>
      </c>
      <c r="H6644" s="1"/>
      <c r="I6644" s="1"/>
      <c r="J6644" s="1"/>
      <c r="K6644" s="1"/>
      <c r="L6644" s="1"/>
      <c r="M6644" s="1"/>
      <c r="N6644" s="1"/>
      <c r="O6644" s="1"/>
      <c r="P6644" s="1"/>
      <c r="Q6644" s="1"/>
      <c r="R6644" s="1"/>
      <c r="S6644" s="1"/>
      <c r="T6644" s="1"/>
      <c r="U6644" s="1"/>
      <c r="V6644" s="1"/>
      <c r="W6644" s="1"/>
      <c r="X6644" s="1"/>
      <c r="Y6644" s="1"/>
      <c r="Z6644" s="1"/>
      <c r="AA6644" s="1"/>
      <c r="AB6644" s="1"/>
    </row>
    <row r="6645" ht="50.25" customHeight="1">
      <c r="A6645" s="12">
        <v>6641.0</v>
      </c>
      <c r="B6645" s="13" t="s">
        <v>6141</v>
      </c>
      <c r="C6645" s="14" t="s">
        <v>6668</v>
      </c>
      <c r="D6645" s="1"/>
      <c r="E6645" s="1"/>
      <c r="F6645" s="1" t="str">
        <f>IFERROR(__xludf.DUMMYFUNCTION("GOOGLETRANSLATE(B6645, ""en"", ""fa"")
"),"موفقیت آمازون")</f>
        <v>موفقیت آمازون</v>
      </c>
      <c r="G6645" s="1" t="str">
        <f>IFERROR(__xludf.DUMMYFUNCTION("GOOGLETRANSLATE(C6645, ""en"", ""fa"")
"),"نکاتی را برای انتخاب مناسب ترین شرکت های حمل و نقل و خدمات بر اساس عواملی مانند هزینه، قابلیت اطمینان و سرعت به اشتراک بگذارید.")</f>
        <v>نکاتی را برای انتخاب مناسب ترین شرکت های حمل و نقل و خدمات بر اساس عواملی مانند هزینه، قابلیت اطمینان و سرعت به اشتراک بگذارید.</v>
      </c>
      <c r="H6645" s="1"/>
      <c r="I6645" s="1"/>
      <c r="J6645" s="1"/>
      <c r="K6645" s="1"/>
      <c r="L6645" s="1"/>
      <c r="M6645" s="1"/>
      <c r="N6645" s="1"/>
      <c r="O6645" s="1"/>
      <c r="P6645" s="1"/>
      <c r="Q6645" s="1"/>
      <c r="R6645" s="1"/>
      <c r="S6645" s="1"/>
      <c r="T6645" s="1"/>
      <c r="U6645" s="1"/>
      <c r="V6645" s="1"/>
      <c r="W6645" s="1"/>
      <c r="X6645" s="1"/>
      <c r="Y6645" s="1"/>
      <c r="Z6645" s="1"/>
      <c r="AA6645" s="1"/>
      <c r="AB6645" s="1"/>
    </row>
    <row r="6646" ht="50.25" customHeight="1">
      <c r="A6646" s="12">
        <v>6642.0</v>
      </c>
      <c r="B6646" s="13" t="s">
        <v>6141</v>
      </c>
      <c r="C6646" s="14" t="s">
        <v>6669</v>
      </c>
      <c r="D6646" s="1"/>
      <c r="E6646" s="1"/>
      <c r="F6646" s="1" t="str">
        <f>IFERROR(__xludf.DUMMYFUNCTION("GOOGLETRANSLATE(B6646, ""en"", ""fa"")
"),"موفقیت آمازون")</f>
        <v>موفقیت آمازون</v>
      </c>
      <c r="G6646" s="1" t="str">
        <f>IFERROR(__xludf.DUMMYFUNCTION("GOOGLETRANSLATE(C6646, ""en"", ""fa"")
"),"اهمیت محاسبه دقیق هزینه های حمل و نقل و گنجاندن آنها در قیمت گذاری محصول و حاشیه سود را توضیح دهید.")</f>
        <v>اهمیت محاسبه دقیق هزینه های حمل و نقل و گنجاندن آنها در قیمت گذاری محصول و حاشیه سود را توضیح دهید.</v>
      </c>
      <c r="H6646" s="1"/>
      <c r="I6646" s="1"/>
      <c r="J6646" s="1"/>
      <c r="K6646" s="1"/>
      <c r="L6646" s="1"/>
      <c r="M6646" s="1"/>
      <c r="N6646" s="1"/>
      <c r="O6646" s="1"/>
      <c r="P6646" s="1"/>
      <c r="Q6646" s="1"/>
      <c r="R6646" s="1"/>
      <c r="S6646" s="1"/>
      <c r="T6646" s="1"/>
      <c r="U6646" s="1"/>
      <c r="V6646" s="1"/>
      <c r="W6646" s="1"/>
      <c r="X6646" s="1"/>
      <c r="Y6646" s="1"/>
      <c r="Z6646" s="1"/>
      <c r="AA6646" s="1"/>
      <c r="AB6646" s="1"/>
    </row>
    <row r="6647" ht="50.25" customHeight="1">
      <c r="A6647" s="12">
        <v>6643.0</v>
      </c>
      <c r="B6647" s="13" t="s">
        <v>6141</v>
      </c>
      <c r="C6647" s="14" t="s">
        <v>6670</v>
      </c>
      <c r="D6647" s="1"/>
      <c r="E6647" s="1"/>
      <c r="F6647" s="1" t="str">
        <f>IFERROR(__xludf.DUMMYFUNCTION("GOOGLETRANSLATE(B6647, ""en"", ""fa"")
"),"موفقیت آمازون")</f>
        <v>موفقیت آمازون</v>
      </c>
      <c r="G6647" s="1" t="str">
        <f>IFERROR(__xludf.DUMMYFUNCTION("GOOGLETRANSLATE(C6647, ""en"", ""fa"")
"),"چگونه فروشندگان می توانند بسته بندی و مواد حمل و نقل را بهینه کنند تا هزینه ها را به حداقل برسانند و در عین حال از محافظت از محصول در طول حمل و نقل اطمینان حاصل کنند؟")</f>
        <v>چگونه فروشندگان می توانند بسته بندی و مواد حمل و نقل را بهینه کنند تا هزینه ها را به حداقل برسانند و در عین حال از محافظت از محصول در طول حمل و نقل اطمینان حاصل کنند؟</v>
      </c>
      <c r="H6647" s="1"/>
      <c r="I6647" s="1"/>
      <c r="J6647" s="1"/>
      <c r="K6647" s="1"/>
      <c r="L6647" s="1"/>
      <c r="M6647" s="1"/>
      <c r="N6647" s="1"/>
      <c r="O6647" s="1"/>
      <c r="P6647" s="1"/>
      <c r="Q6647" s="1"/>
      <c r="R6647" s="1"/>
      <c r="S6647" s="1"/>
      <c r="T6647" s="1"/>
      <c r="U6647" s="1"/>
      <c r="V6647" s="1"/>
      <c r="W6647" s="1"/>
      <c r="X6647" s="1"/>
      <c r="Y6647" s="1"/>
      <c r="Z6647" s="1"/>
      <c r="AA6647" s="1"/>
      <c r="AB6647" s="1"/>
    </row>
    <row r="6648" ht="50.25" customHeight="1">
      <c r="A6648" s="12">
        <v>6644.0</v>
      </c>
      <c r="B6648" s="13" t="s">
        <v>6141</v>
      </c>
      <c r="C6648" s="14" t="s">
        <v>6671</v>
      </c>
      <c r="D6648" s="1"/>
      <c r="E6648" s="1"/>
      <c r="F6648" s="1" t="str">
        <f>IFERROR(__xludf.DUMMYFUNCTION("GOOGLETRANSLATE(B6648, ""en"", ""fa"")
"),"موفقیت آمازون")</f>
        <v>موفقیت آمازون</v>
      </c>
      <c r="G6648" s="1" t="str">
        <f>IFERROR(__xludf.DUMMYFUNCTION("GOOGLETRANSLATE(C6648, ""en"", ""fa"")
"),"در مورد مزایای یکپارچه سازی نرم افزار یا ابزار حمل و نقل برای ساده سازی انجام سفارش و خودکارسازی فرآیندهای حمل و نقل بحث کنید.")</f>
        <v>در مورد مزایای یکپارچه سازی نرم افزار یا ابزار حمل و نقل برای ساده سازی انجام سفارش و خودکارسازی فرآیندهای حمل و نقل بحث کنید.</v>
      </c>
      <c r="H6648" s="1"/>
      <c r="I6648" s="1"/>
      <c r="J6648" s="1"/>
      <c r="K6648" s="1"/>
      <c r="L6648" s="1"/>
      <c r="M6648" s="1"/>
      <c r="N6648" s="1"/>
      <c r="O6648" s="1"/>
      <c r="P6648" s="1"/>
      <c r="Q6648" s="1"/>
      <c r="R6648" s="1"/>
      <c r="S6648" s="1"/>
      <c r="T6648" s="1"/>
      <c r="U6648" s="1"/>
      <c r="V6648" s="1"/>
      <c r="W6648" s="1"/>
      <c r="X6648" s="1"/>
      <c r="Y6648" s="1"/>
      <c r="Z6648" s="1"/>
      <c r="AA6648" s="1"/>
      <c r="AB6648" s="1"/>
    </row>
    <row r="6649" ht="50.25" customHeight="1">
      <c r="A6649" s="12">
        <v>6645.0</v>
      </c>
      <c r="B6649" s="13" t="s">
        <v>6141</v>
      </c>
      <c r="C6649" s="14" t="s">
        <v>6672</v>
      </c>
      <c r="D6649" s="1"/>
      <c r="E6649" s="1"/>
      <c r="F6649" s="1" t="str">
        <f>IFERROR(__xludf.DUMMYFUNCTION("GOOGLETRANSLATE(B6649, ""en"", ""fa"")
"),"موفقیت آمازون")</f>
        <v>موفقیت آمازون</v>
      </c>
      <c r="G6649" s="1" t="str">
        <f>IFERROR(__xludf.DUMMYFUNCTION("GOOGLETRANSLATE(C6649, ""en"", ""fa"")
"),"ملاحظات کلیدی هنگام ایجاد مناطق حمل و نقل و تعیین نرخ حمل و نقل برای مناطق یا کشورهای مختلف چیست؟")</f>
        <v>ملاحظات کلیدی هنگام ایجاد مناطق حمل و نقل و تعیین نرخ حمل و نقل برای مناطق یا کشورهای مختلف چیست؟</v>
      </c>
      <c r="H6649" s="1"/>
      <c r="I6649" s="1"/>
      <c r="J6649" s="1"/>
      <c r="K6649" s="1"/>
      <c r="L6649" s="1"/>
      <c r="M6649" s="1"/>
      <c r="N6649" s="1"/>
      <c r="O6649" s="1"/>
      <c r="P6649" s="1"/>
      <c r="Q6649" s="1"/>
      <c r="R6649" s="1"/>
      <c r="S6649" s="1"/>
      <c r="T6649" s="1"/>
      <c r="U6649" s="1"/>
      <c r="V6649" s="1"/>
      <c r="W6649" s="1"/>
      <c r="X6649" s="1"/>
      <c r="Y6649" s="1"/>
      <c r="Z6649" s="1"/>
      <c r="AA6649" s="1"/>
      <c r="AB6649" s="1"/>
    </row>
    <row r="6650" ht="50.25" customHeight="1">
      <c r="A6650" s="12">
        <v>6646.0</v>
      </c>
      <c r="B6650" s="13" t="s">
        <v>6141</v>
      </c>
      <c r="C6650" s="14" t="s">
        <v>6673</v>
      </c>
      <c r="D6650" s="1"/>
      <c r="E6650" s="1"/>
      <c r="F6650" s="1" t="str">
        <f>IFERROR(__xludf.DUMMYFUNCTION("GOOGLETRANSLATE(B6650, ""en"", ""fa"")
"),"موفقیت آمازون")</f>
        <v>موفقیت آمازون</v>
      </c>
      <c r="G6650" s="1" t="str">
        <f>IFERROR(__xludf.DUMMYFUNCTION("GOOGLETRANSLATE(C6650, ""en"", ""fa"")
"),"بینش هایی را در مورد نحوه مدیریت موثر سطوح موجودی برای اطمینان از انجام به موقع سفارش و جلوگیری از انبارها یا موقعیت های مازاد به اشتراک بگذارید.")</f>
        <v>بینش هایی را در مورد نحوه مدیریت موثر سطوح موجودی برای اطمینان از انجام به موقع سفارش و جلوگیری از انبارها یا موقعیت های مازاد به اشتراک بگذارید.</v>
      </c>
      <c r="H6650" s="1"/>
      <c r="I6650" s="1"/>
      <c r="J6650" s="1"/>
      <c r="K6650" s="1"/>
      <c r="L6650" s="1"/>
      <c r="M6650" s="1"/>
      <c r="N6650" s="1"/>
      <c r="O6650" s="1"/>
      <c r="P6650" s="1"/>
      <c r="Q6650" s="1"/>
      <c r="R6650" s="1"/>
      <c r="S6650" s="1"/>
      <c r="T6650" s="1"/>
      <c r="U6650" s="1"/>
      <c r="V6650" s="1"/>
      <c r="W6650" s="1"/>
      <c r="X6650" s="1"/>
      <c r="Y6650" s="1"/>
      <c r="Z6650" s="1"/>
      <c r="AA6650" s="1"/>
      <c r="AB6650" s="1"/>
    </row>
    <row r="6651" ht="50.25" customHeight="1">
      <c r="A6651" s="12">
        <v>6647.0</v>
      </c>
      <c r="B6651" s="13" t="s">
        <v>6141</v>
      </c>
      <c r="C6651" s="14" t="s">
        <v>6674</v>
      </c>
      <c r="D6651" s="1"/>
      <c r="E6651" s="1"/>
      <c r="F6651" s="1" t="str">
        <f>IFERROR(__xludf.DUMMYFUNCTION("GOOGLETRANSLATE(B6651, ""en"", ""fa"")
"),"موفقیت آمازون")</f>
        <v>موفقیت آمازون</v>
      </c>
      <c r="G6651" s="1" t="str">
        <f>IFERROR(__xludf.DUMMYFUNCTION("GOOGLETRANSLATE(C6651, ""en"", ""fa"")
"),"اهمیت ردیابی و نظارت بر وضعیت حمل و نقل را برای رسیدگی فعالانه به مشکلات یا تاخیرهای احتمالی تحویل توضیح دهید.")</f>
        <v>اهمیت ردیابی و نظارت بر وضعیت حمل و نقل را برای رسیدگی فعالانه به مشکلات یا تاخیرهای احتمالی تحویل توضیح دهید.</v>
      </c>
      <c r="H6651" s="1"/>
      <c r="I6651" s="1"/>
      <c r="J6651" s="1"/>
      <c r="K6651" s="1"/>
      <c r="L6651" s="1"/>
      <c r="M6651" s="1"/>
      <c r="N6651" s="1"/>
      <c r="O6651" s="1"/>
      <c r="P6651" s="1"/>
      <c r="Q6651" s="1"/>
      <c r="R6651" s="1"/>
      <c r="S6651" s="1"/>
      <c r="T6651" s="1"/>
      <c r="U6651" s="1"/>
      <c r="V6651" s="1"/>
      <c r="W6651" s="1"/>
      <c r="X6651" s="1"/>
      <c r="Y6651" s="1"/>
      <c r="Z6651" s="1"/>
      <c r="AA6651" s="1"/>
      <c r="AB6651" s="1"/>
    </row>
    <row r="6652" ht="50.25" customHeight="1">
      <c r="A6652" s="12">
        <v>6648.0</v>
      </c>
      <c r="B6652" s="13" t="s">
        <v>6141</v>
      </c>
      <c r="C6652" s="14" t="s">
        <v>6675</v>
      </c>
      <c r="D6652" s="1"/>
      <c r="E6652" s="1"/>
      <c r="F6652" s="1" t="str">
        <f>IFERROR(__xludf.DUMMYFUNCTION("GOOGLETRANSLATE(B6652, ""en"", ""fa"")
"),"موفقیت آمازون")</f>
        <v>موفقیت آمازون</v>
      </c>
      <c r="G6652" s="1" t="str">
        <f>IFERROR(__xludf.DUMMYFUNCTION("GOOGLETRANSLATE(C6652, ""en"", ""fa"")
"),"چگونه فروشندگان می‌توانند از تکنیک‌های دسته‌ای سفارش و ارسال دسته‌ای برای بهینه‌سازی راندمان انجام و کاهش هزینه‌های حمل و نقل استفاده کنند؟")</f>
        <v>چگونه فروشندگان می‌توانند از تکنیک‌های دسته‌ای سفارش و ارسال دسته‌ای برای بهینه‌سازی راندمان انجام و کاهش هزینه‌های حمل و نقل استفاده کنند؟</v>
      </c>
      <c r="H6652" s="1"/>
      <c r="I6652" s="1"/>
      <c r="J6652" s="1"/>
      <c r="K6652" s="1"/>
      <c r="L6652" s="1"/>
      <c r="M6652" s="1"/>
      <c r="N6652" s="1"/>
      <c r="O6652" s="1"/>
      <c r="P6652" s="1"/>
      <c r="Q6652" s="1"/>
      <c r="R6652" s="1"/>
      <c r="S6652" s="1"/>
      <c r="T6652" s="1"/>
      <c r="U6652" s="1"/>
      <c r="V6652" s="1"/>
      <c r="W6652" s="1"/>
      <c r="X6652" s="1"/>
      <c r="Y6652" s="1"/>
      <c r="Z6652" s="1"/>
      <c r="AA6652" s="1"/>
      <c r="AB6652" s="1"/>
    </row>
    <row r="6653" ht="50.25" customHeight="1">
      <c r="A6653" s="12">
        <v>6649.0</v>
      </c>
      <c r="B6653" s="13" t="s">
        <v>6141</v>
      </c>
      <c r="C6653" s="14" t="s">
        <v>6676</v>
      </c>
      <c r="D6653" s="1"/>
      <c r="E6653" s="1"/>
      <c r="F6653" s="1" t="str">
        <f>IFERROR(__xludf.DUMMYFUNCTION("GOOGLETRANSLATE(B6653, ""en"", ""fa"")
"),"موفقیت آمازون")</f>
        <v>موفقیت آمازون</v>
      </c>
      <c r="G6653" s="1" t="str">
        <f>IFERROR(__xludf.DUMMYFUNCTION("GOOGLETRANSLATE(C6653, ""en"", ""fa"")
"),"در مورد اهمیت استفاده از بیمه حمل و نقل برای محافظت در برابر محموله های گم شده یا آسیب دیده و به حداقل رساندن خطرات مالی بحث کنید.")</f>
        <v>در مورد اهمیت استفاده از بیمه حمل و نقل برای محافظت در برابر محموله های گم شده یا آسیب دیده و به حداقل رساندن خطرات مالی بحث کنید.</v>
      </c>
      <c r="H6653" s="1"/>
      <c r="I6653" s="1"/>
      <c r="J6653" s="1"/>
      <c r="K6653" s="1"/>
      <c r="L6653" s="1"/>
      <c r="M6653" s="1"/>
      <c r="N6653" s="1"/>
      <c r="O6653" s="1"/>
      <c r="P6653" s="1"/>
      <c r="Q6653" s="1"/>
      <c r="R6653" s="1"/>
      <c r="S6653" s="1"/>
      <c r="T6653" s="1"/>
      <c r="U6653" s="1"/>
      <c r="V6653" s="1"/>
      <c r="W6653" s="1"/>
      <c r="X6653" s="1"/>
      <c r="Y6653" s="1"/>
      <c r="Z6653" s="1"/>
      <c r="AA6653" s="1"/>
      <c r="AB6653" s="1"/>
    </row>
    <row r="6654" ht="50.25" customHeight="1">
      <c r="A6654" s="12">
        <v>6650.0</v>
      </c>
      <c r="B6654" s="13" t="s">
        <v>6141</v>
      </c>
      <c r="C6654" s="14" t="s">
        <v>6677</v>
      </c>
      <c r="D6654" s="1"/>
      <c r="E6654" s="1"/>
      <c r="F6654" s="1" t="str">
        <f>IFERROR(__xludf.DUMMYFUNCTION("GOOGLETRANSLATE(B6654, ""en"", ""fa"")
"),"موفقیت آمازون")</f>
        <v>موفقیت آمازون</v>
      </c>
      <c r="G6654" s="1" t="str">
        <f>IFERROR(__xludf.DUMMYFUNCTION("GOOGLETRANSLATE(C6654, ""en"", ""fa"")
"),"بهترین شیوه ها برای حمل و نقل بین المللی، از جمله اسناد گمرکی، عوارض و مقررات واردات/صادرات چیست؟")</f>
        <v>بهترین شیوه ها برای حمل و نقل بین المللی، از جمله اسناد گمرکی، عوارض و مقررات واردات/صادرات چیست؟</v>
      </c>
      <c r="H6654" s="1"/>
      <c r="I6654" s="1"/>
      <c r="J6654" s="1"/>
      <c r="K6654" s="1"/>
      <c r="L6654" s="1"/>
      <c r="M6654" s="1"/>
      <c r="N6654" s="1"/>
      <c r="O6654" s="1"/>
      <c r="P6654" s="1"/>
      <c r="Q6654" s="1"/>
      <c r="R6654" s="1"/>
      <c r="S6654" s="1"/>
      <c r="T6654" s="1"/>
      <c r="U6654" s="1"/>
      <c r="V6654" s="1"/>
      <c r="W6654" s="1"/>
      <c r="X6654" s="1"/>
      <c r="Y6654" s="1"/>
      <c r="Z6654" s="1"/>
      <c r="AA6654" s="1"/>
      <c r="AB6654" s="1"/>
    </row>
    <row r="6655" ht="50.25" customHeight="1">
      <c r="A6655" s="12">
        <v>6651.0</v>
      </c>
      <c r="B6655" s="13" t="s">
        <v>6141</v>
      </c>
      <c r="C6655" s="14" t="s">
        <v>6678</v>
      </c>
      <c r="D6655" s="1"/>
      <c r="E6655" s="1"/>
      <c r="F6655" s="1" t="str">
        <f>IFERROR(__xludf.DUMMYFUNCTION("GOOGLETRANSLATE(B6655, ""en"", ""fa"")
"),"موفقیت آمازون")</f>
        <v>موفقیت آمازون</v>
      </c>
      <c r="G6655" s="1" t="str">
        <f>IFERROR(__xludf.DUMMYFUNCTION("GOOGLETRANSLATE(C6655, ""en"", ""fa"")
"),"نکاتی را برای مذاکره در مورد نرخ های حمل و نقل مطلوب با شرکت های حمل و نقل یا کاوش در برنامه ها و مشارکت های حمل و نقل با تخفیف به اشتراک بگذارید.")</f>
        <v>نکاتی را برای مذاکره در مورد نرخ های حمل و نقل مطلوب با شرکت های حمل و نقل یا کاوش در برنامه ها و مشارکت های حمل و نقل با تخفیف به اشتراک بگذارید.</v>
      </c>
      <c r="H6655" s="1"/>
      <c r="I6655" s="1"/>
      <c r="J6655" s="1"/>
      <c r="K6655" s="1"/>
      <c r="L6655" s="1"/>
      <c r="M6655" s="1"/>
      <c r="N6655" s="1"/>
      <c r="O6655" s="1"/>
      <c r="P6655" s="1"/>
      <c r="Q6655" s="1"/>
      <c r="R6655" s="1"/>
      <c r="S6655" s="1"/>
      <c r="T6655" s="1"/>
      <c r="U6655" s="1"/>
      <c r="V6655" s="1"/>
      <c r="W6655" s="1"/>
      <c r="X6655" s="1"/>
      <c r="Y6655" s="1"/>
      <c r="Z6655" s="1"/>
      <c r="AA6655" s="1"/>
      <c r="AB6655" s="1"/>
    </row>
    <row r="6656" ht="50.25" customHeight="1">
      <c r="A6656" s="12">
        <v>6652.0</v>
      </c>
      <c r="B6656" s="13" t="s">
        <v>6141</v>
      </c>
      <c r="C6656" s="14" t="s">
        <v>6679</v>
      </c>
      <c r="D6656" s="1"/>
      <c r="E6656" s="1"/>
      <c r="F6656" s="1" t="str">
        <f>IFERROR(__xludf.DUMMYFUNCTION("GOOGLETRANSLATE(B6656, ""en"", ""fa"")
"),"موفقیت آمازون")</f>
        <v>موفقیت آمازون</v>
      </c>
      <c r="G6656" s="1" t="str">
        <f>IFERROR(__xludf.DUMMYFUNCTION("GOOGLETRANSLATE(C6656, ""en"", ""fa"")
"),"اهمیت ایجاد سیاست های حمل و نقل واضح و شفاف برای تعیین انتظارات مشتری در مورد زمان ها و فرآیندهای تحویل را توضیح دهید.")</f>
        <v>اهمیت ایجاد سیاست های حمل و نقل واضح و شفاف برای تعیین انتظارات مشتری در مورد زمان ها و فرآیندهای تحویل را توضیح دهید.</v>
      </c>
      <c r="H6656" s="1"/>
      <c r="I6656" s="1"/>
      <c r="J6656" s="1"/>
      <c r="K6656" s="1"/>
      <c r="L6656" s="1"/>
      <c r="M6656" s="1"/>
      <c r="N6656" s="1"/>
      <c r="O6656" s="1"/>
      <c r="P6656" s="1"/>
      <c r="Q6656" s="1"/>
      <c r="R6656" s="1"/>
      <c r="S6656" s="1"/>
      <c r="T6656" s="1"/>
      <c r="U6656" s="1"/>
      <c r="V6656" s="1"/>
      <c r="W6656" s="1"/>
      <c r="X6656" s="1"/>
      <c r="Y6656" s="1"/>
      <c r="Z6656" s="1"/>
      <c r="AA6656" s="1"/>
      <c r="AB6656" s="1"/>
    </row>
    <row r="6657" ht="50.25" customHeight="1">
      <c r="A6657" s="12">
        <v>6653.0</v>
      </c>
      <c r="B6657" s="13" t="s">
        <v>6141</v>
      </c>
      <c r="C6657" s="14" t="s">
        <v>6680</v>
      </c>
      <c r="D6657" s="1"/>
      <c r="E6657" s="1"/>
      <c r="F6657" s="1" t="str">
        <f>IFERROR(__xludf.DUMMYFUNCTION("GOOGLETRANSLATE(B6657, ""en"", ""fa"")
"),"موفقیت آمازون")</f>
        <v>موفقیت آمازون</v>
      </c>
      <c r="G6657" s="1" t="str">
        <f>IFERROR(__xludf.DUMMYFUNCTION("GOOGLETRANSLATE(C6657, ""en"", ""fa"")
"),"فروشندگان چگونه می توانند فرآیند پردازش و انجام سفارش را بهینه کنند تا زمان پردازش سفارش را به حداقل برسانند و کارایی را به حداکثر برسانند؟")</f>
        <v>فروشندگان چگونه می توانند فرآیند پردازش و انجام سفارش را بهینه کنند تا زمان پردازش سفارش را به حداقل برسانند و کارایی را به حداکثر برسانند؟</v>
      </c>
      <c r="H6657" s="1"/>
      <c r="I6657" s="1"/>
      <c r="J6657" s="1"/>
      <c r="K6657" s="1"/>
      <c r="L6657" s="1"/>
      <c r="M6657" s="1"/>
      <c r="N6657" s="1"/>
      <c r="O6657" s="1"/>
      <c r="P6657" s="1"/>
      <c r="Q6657" s="1"/>
      <c r="R6657" s="1"/>
      <c r="S6657" s="1"/>
      <c r="T6657" s="1"/>
      <c r="U6657" s="1"/>
      <c r="V6657" s="1"/>
      <c r="W6657" s="1"/>
      <c r="X6657" s="1"/>
      <c r="Y6657" s="1"/>
      <c r="Z6657" s="1"/>
      <c r="AA6657" s="1"/>
      <c r="AB6657" s="1"/>
    </row>
    <row r="6658" ht="50.25" customHeight="1">
      <c r="A6658" s="12">
        <v>6654.0</v>
      </c>
      <c r="B6658" s="13" t="s">
        <v>6141</v>
      </c>
      <c r="C6658" s="14" t="s">
        <v>6681</v>
      </c>
      <c r="D6658" s="1"/>
      <c r="E6658" s="1"/>
      <c r="F6658" s="1" t="str">
        <f>IFERROR(__xludf.DUMMYFUNCTION("GOOGLETRANSLATE(B6658, ""en"", ""fa"")
"),"موفقیت آمازون")</f>
        <v>موفقیت آمازون</v>
      </c>
      <c r="G6658" s="1" t="str">
        <f>IFERROR(__xludf.DUMMYFUNCTION("GOOGLETRANSLATE(C6658, ""en"", ""fa"")
"),"در مورد مزایای اجرای ردیابی سفارش و ارائه اطلاعات ردیابی محموله به مشتریان برای افزایش شفافیت و رضایت بحث کنید.")</f>
        <v>در مورد مزایای اجرای ردیابی سفارش و ارائه اطلاعات ردیابی محموله به مشتریان برای افزایش شفافیت و رضایت بحث کنید.</v>
      </c>
      <c r="H6658" s="1"/>
      <c r="I6658" s="1"/>
      <c r="J6658" s="1"/>
      <c r="K6658" s="1"/>
      <c r="L6658" s="1"/>
      <c r="M6658" s="1"/>
      <c r="N6658" s="1"/>
      <c r="O6658" s="1"/>
      <c r="P6658" s="1"/>
      <c r="Q6658" s="1"/>
      <c r="R6658" s="1"/>
      <c r="S6658" s="1"/>
      <c r="T6658" s="1"/>
      <c r="U6658" s="1"/>
      <c r="V6658" s="1"/>
      <c r="W6658" s="1"/>
      <c r="X6658" s="1"/>
      <c r="Y6658" s="1"/>
      <c r="Z6658" s="1"/>
      <c r="AA6658" s="1"/>
      <c r="AB6658" s="1"/>
    </row>
    <row r="6659" ht="50.25" customHeight="1">
      <c r="A6659" s="12">
        <v>6655.0</v>
      </c>
      <c r="B6659" s="13" t="s">
        <v>6141</v>
      </c>
      <c r="C6659" s="14" t="s">
        <v>6682</v>
      </c>
      <c r="D6659" s="1"/>
      <c r="E6659" s="1"/>
      <c r="F6659" s="1" t="str">
        <f>IFERROR(__xludf.DUMMYFUNCTION("GOOGLETRANSLATE(B6659, ""en"", ""fa"")
"),"موفقیت آمازون")</f>
        <v>موفقیت آمازون</v>
      </c>
      <c r="G6659" s="1" t="str">
        <f>IFERROR(__xludf.DUMMYFUNCTION("GOOGLETRANSLATE(C6659, ""en"", ""fa"")
"),"ملاحظات کلیدی هنگام انتخاب گزینه های تحقق، مانند آمازون FBA یا مراکز انجام شخص ثالث، بر اساس نیازهای تجاری و خواسته های مشتری چیست؟")</f>
        <v>ملاحظات کلیدی هنگام انتخاب گزینه های تحقق، مانند آمازون FBA یا مراکز انجام شخص ثالث، بر اساس نیازهای تجاری و خواسته های مشتری چیست؟</v>
      </c>
      <c r="H6659" s="1"/>
      <c r="I6659" s="1"/>
      <c r="J6659" s="1"/>
      <c r="K6659" s="1"/>
      <c r="L6659" s="1"/>
      <c r="M6659" s="1"/>
      <c r="N6659" s="1"/>
      <c r="O6659" s="1"/>
      <c r="P6659" s="1"/>
      <c r="Q6659" s="1"/>
      <c r="R6659" s="1"/>
      <c r="S6659" s="1"/>
      <c r="T6659" s="1"/>
      <c r="U6659" s="1"/>
      <c r="V6659" s="1"/>
      <c r="W6659" s="1"/>
      <c r="X6659" s="1"/>
      <c r="Y6659" s="1"/>
      <c r="Z6659" s="1"/>
      <c r="AA6659" s="1"/>
      <c r="AB6659" s="1"/>
    </row>
    <row r="6660" ht="50.25" customHeight="1">
      <c r="A6660" s="12">
        <v>6656.0</v>
      </c>
      <c r="B6660" s="13" t="s">
        <v>6141</v>
      </c>
      <c r="C6660" s="14" t="s">
        <v>6683</v>
      </c>
      <c r="D6660" s="1"/>
      <c r="E6660" s="1"/>
      <c r="F6660" s="1" t="str">
        <f>IFERROR(__xludf.DUMMYFUNCTION("GOOGLETRANSLATE(B6660, ""en"", ""fa"")
"),"موفقیت آمازون")</f>
        <v>موفقیت آمازون</v>
      </c>
      <c r="G6660" s="1" t="str">
        <f>IFERROR(__xludf.DUMMYFUNCTION("GOOGLETRANSLATE(C6660, ""en"", ""fa"")
"),"بینش هایی را در مورد نحوه مدیریت موثر بازده و مدیریت فرآیند لجستیک معکوس برای ساده کردن عملیات و رضایت مشتری به اشتراک بگذارید.")</f>
        <v>بینش هایی را در مورد نحوه مدیریت موثر بازده و مدیریت فرآیند لجستیک معکوس برای ساده کردن عملیات و رضایت مشتری به اشتراک بگذارید.</v>
      </c>
      <c r="H6660" s="1"/>
      <c r="I6660" s="1"/>
      <c r="J6660" s="1"/>
      <c r="K6660" s="1"/>
      <c r="L6660" s="1"/>
      <c r="M6660" s="1"/>
      <c r="N6660" s="1"/>
      <c r="O6660" s="1"/>
      <c r="P6660" s="1"/>
      <c r="Q6660" s="1"/>
      <c r="R6660" s="1"/>
      <c r="S6660" s="1"/>
      <c r="T6660" s="1"/>
      <c r="U6660" s="1"/>
      <c r="V6660" s="1"/>
      <c r="W6660" s="1"/>
      <c r="X6660" s="1"/>
      <c r="Y6660" s="1"/>
      <c r="Z6660" s="1"/>
      <c r="AA6660" s="1"/>
      <c r="AB6660" s="1"/>
    </row>
    <row r="6661" ht="50.25" customHeight="1">
      <c r="A6661" s="12">
        <v>6657.0</v>
      </c>
      <c r="B6661" s="13" t="s">
        <v>6141</v>
      </c>
      <c r="C6661" s="14" t="s">
        <v>6684</v>
      </c>
      <c r="D6661" s="1"/>
      <c r="E6661" s="1"/>
      <c r="F6661" s="1" t="str">
        <f>IFERROR(__xludf.DUMMYFUNCTION("GOOGLETRANSLATE(B6661, ""en"", ""fa"")
"),"موفقیت آمازون")</f>
        <v>موفقیت آمازون</v>
      </c>
      <c r="G6661" s="1" t="str">
        <f>IFERROR(__xludf.DUMMYFUNCTION("GOOGLETRANSLATE(C6661, ""en"", ""fa"")
"),"اهمیت ارزیابی و بهینه سازی ابعاد و وزن بسته بندی برای کاهش هزینه های وزن ابعادی و هزینه های حمل و نقل را توضیح دهید.")</f>
        <v>اهمیت ارزیابی و بهینه سازی ابعاد و وزن بسته بندی برای کاهش هزینه های وزن ابعادی و هزینه های حمل و نقل را توضیح دهید.</v>
      </c>
      <c r="H6661" s="1"/>
      <c r="I6661" s="1"/>
      <c r="J6661" s="1"/>
      <c r="K6661" s="1"/>
      <c r="L6661" s="1"/>
      <c r="M6661" s="1"/>
      <c r="N6661" s="1"/>
      <c r="O6661" s="1"/>
      <c r="P6661" s="1"/>
      <c r="Q6661" s="1"/>
      <c r="R6661" s="1"/>
      <c r="S6661" s="1"/>
      <c r="T6661" s="1"/>
      <c r="U6661" s="1"/>
      <c r="V6661" s="1"/>
      <c r="W6661" s="1"/>
      <c r="X6661" s="1"/>
      <c r="Y6661" s="1"/>
      <c r="Z6661" s="1"/>
      <c r="AA6661" s="1"/>
      <c r="AB6661" s="1"/>
    </row>
    <row r="6662" ht="50.25" customHeight="1">
      <c r="A6662" s="12">
        <v>6658.0</v>
      </c>
      <c r="B6662" s="13" t="s">
        <v>6141</v>
      </c>
      <c r="C6662" s="14" t="s">
        <v>6685</v>
      </c>
      <c r="D6662" s="1"/>
      <c r="E6662" s="1"/>
      <c r="F6662" s="1" t="str">
        <f>IFERROR(__xludf.DUMMYFUNCTION("GOOGLETRANSLATE(B6662, ""en"", ""fa"")
"),"موفقیت آمازون")</f>
        <v>موفقیت آمازون</v>
      </c>
      <c r="G6662" s="1" t="str">
        <f>IFERROR(__xludf.DUMMYFUNCTION("GOOGLETRANSLATE(C6662, ""en"", ""fa"")
"),"چگونه فروشندگان می توانند از تجزیه و تحلیل و داده های حمل و نقل برای شناسایی روندها، بهینه سازی استراتژی های حمل و نقل و کاهش خطاها یا ناکارآمدی های حمل و نقل استفاده کنند؟")</f>
        <v>چگونه فروشندگان می توانند از تجزیه و تحلیل و داده های حمل و نقل برای شناسایی روندها، بهینه سازی استراتژی های حمل و نقل و کاهش خطاها یا ناکارآمدی های حمل و نقل استفاده کنند؟</v>
      </c>
      <c r="H6662" s="1"/>
      <c r="I6662" s="1"/>
      <c r="J6662" s="1"/>
      <c r="K6662" s="1"/>
      <c r="L6662" s="1"/>
      <c r="M6662" s="1"/>
      <c r="N6662" s="1"/>
      <c r="O6662" s="1"/>
      <c r="P6662" s="1"/>
      <c r="Q6662" s="1"/>
      <c r="R6662" s="1"/>
      <c r="S6662" s="1"/>
      <c r="T6662" s="1"/>
      <c r="U6662" s="1"/>
      <c r="V6662" s="1"/>
      <c r="W6662" s="1"/>
      <c r="X6662" s="1"/>
      <c r="Y6662" s="1"/>
      <c r="Z6662" s="1"/>
      <c r="AA6662" s="1"/>
      <c r="AB6662" s="1"/>
    </row>
    <row r="6663" ht="50.25" customHeight="1">
      <c r="A6663" s="12">
        <v>6659.0</v>
      </c>
      <c r="B6663" s="13" t="s">
        <v>6141</v>
      </c>
      <c r="C6663" s="14" t="s">
        <v>6686</v>
      </c>
      <c r="D6663" s="1"/>
      <c r="E6663" s="1"/>
      <c r="F6663" s="1" t="str">
        <f>IFERROR(__xludf.DUMMYFUNCTION("GOOGLETRANSLATE(B6663, ""en"", ""fa"")
"),"موفقیت آمازون")</f>
        <v>موفقیت آمازون</v>
      </c>
      <c r="G6663" s="1" t="str">
        <f>IFERROR(__xludf.DUMMYFUNCTION("GOOGLETRANSLATE(C6663, ""en"", ""fa"")
"),"درباره نقش زمان‌های قطع سفارش و گزینه‌های ارسال در همان روز در برآورده کردن انتظارات مشتری و کسب مزیت رقابتی بحث کنید.")</f>
        <v>درباره نقش زمان‌های قطع سفارش و گزینه‌های ارسال در همان روز در برآورده کردن انتظارات مشتری و کسب مزیت رقابتی بحث کنید.</v>
      </c>
      <c r="H6663" s="1"/>
      <c r="I6663" s="1"/>
      <c r="J6663" s="1"/>
      <c r="K6663" s="1"/>
      <c r="L6663" s="1"/>
      <c r="M6663" s="1"/>
      <c r="N6663" s="1"/>
      <c r="O6663" s="1"/>
      <c r="P6663" s="1"/>
      <c r="Q6663" s="1"/>
      <c r="R6663" s="1"/>
      <c r="S6663" s="1"/>
      <c r="T6663" s="1"/>
      <c r="U6663" s="1"/>
      <c r="V6663" s="1"/>
      <c r="W6663" s="1"/>
      <c r="X6663" s="1"/>
      <c r="Y6663" s="1"/>
      <c r="Z6663" s="1"/>
      <c r="AA6663" s="1"/>
      <c r="AB6663" s="1"/>
    </row>
    <row r="6664" ht="50.25" customHeight="1">
      <c r="A6664" s="12">
        <v>6660.0</v>
      </c>
      <c r="B6664" s="13" t="s">
        <v>6141</v>
      </c>
      <c r="C6664" s="14" t="s">
        <v>6687</v>
      </c>
      <c r="D6664" s="1"/>
      <c r="E6664" s="1"/>
      <c r="F6664" s="1" t="str">
        <f>IFERROR(__xludf.DUMMYFUNCTION("GOOGLETRANSLATE(B6664, ""en"", ""fa"")
"),"موفقیت آمازون")</f>
        <v>موفقیت آمازون</v>
      </c>
      <c r="G6664" s="1" t="str">
        <f>IFERROR(__xludf.DUMMYFUNCTION("GOOGLETRANSLATE(C6664, ""en"", ""fa"")
"),"در مورد اهمیت عکاسی محصول با کیفیت بالا در جذب مشتری و ایجاد تبدیل بحث کنید.")</f>
        <v>در مورد اهمیت عکاسی محصول با کیفیت بالا در جذب مشتری و ایجاد تبدیل بحث کنید.</v>
      </c>
      <c r="H6664" s="1"/>
      <c r="I6664" s="1"/>
      <c r="J6664" s="1"/>
      <c r="K6664" s="1"/>
      <c r="L6664" s="1"/>
      <c r="M6664" s="1"/>
      <c r="N6664" s="1"/>
      <c r="O6664" s="1"/>
      <c r="P6664" s="1"/>
      <c r="Q6664" s="1"/>
      <c r="R6664" s="1"/>
      <c r="S6664" s="1"/>
      <c r="T6664" s="1"/>
      <c r="U6664" s="1"/>
      <c r="V6664" s="1"/>
      <c r="W6664" s="1"/>
      <c r="X6664" s="1"/>
      <c r="Y6664" s="1"/>
      <c r="Z6664" s="1"/>
      <c r="AA6664" s="1"/>
      <c r="AB6664" s="1"/>
    </row>
    <row r="6665" ht="50.25" customHeight="1">
      <c r="A6665" s="12">
        <v>6661.0</v>
      </c>
      <c r="B6665" s="13" t="s">
        <v>6141</v>
      </c>
      <c r="C6665" s="14" t="s">
        <v>6688</v>
      </c>
      <c r="D6665" s="1"/>
      <c r="E6665" s="1"/>
      <c r="F6665" s="1" t="str">
        <f>IFERROR(__xludf.DUMMYFUNCTION("GOOGLETRANSLATE(B6665, ""en"", ""fa"")
"),"موفقیت آمازون")</f>
        <v>موفقیت آمازون</v>
      </c>
      <c r="G6665" s="1" t="str">
        <f>IFERROR(__xludf.DUMMYFUNCTION("GOOGLETRANSLATE(C6665, ""en"", ""fa"")
"),"نکاتی را برای ایجاد تصاویر جذاب بصری محصول که به طور موثر ویژگی ها و جزئیات محصول را به نمایش می گذارد، به اشتراک بگذارید.")</f>
        <v>نکاتی را برای ایجاد تصاویر جذاب بصری محصول که به طور موثر ویژگی ها و جزئیات محصول را به نمایش می گذارد، به اشتراک بگذارید.</v>
      </c>
      <c r="H6665" s="1"/>
      <c r="I6665" s="1"/>
      <c r="J6665" s="1"/>
      <c r="K6665" s="1"/>
      <c r="L6665" s="1"/>
      <c r="M6665" s="1"/>
      <c r="N6665" s="1"/>
      <c r="O6665" s="1"/>
      <c r="P6665" s="1"/>
      <c r="Q6665" s="1"/>
      <c r="R6665" s="1"/>
      <c r="S6665" s="1"/>
      <c r="T6665" s="1"/>
      <c r="U6665" s="1"/>
      <c r="V6665" s="1"/>
      <c r="W6665" s="1"/>
      <c r="X6665" s="1"/>
      <c r="Y6665" s="1"/>
      <c r="Z6665" s="1"/>
      <c r="AA6665" s="1"/>
      <c r="AB6665" s="1"/>
    </row>
    <row r="6666" ht="50.25" customHeight="1">
      <c r="A6666" s="12">
        <v>6662.0</v>
      </c>
      <c r="B6666" s="13" t="s">
        <v>6141</v>
      </c>
      <c r="C6666" s="14" t="s">
        <v>6689</v>
      </c>
      <c r="D6666" s="1"/>
      <c r="E6666" s="1"/>
      <c r="F6666" s="1" t="str">
        <f>IFERROR(__xludf.DUMMYFUNCTION("GOOGLETRANSLATE(B6666, ""en"", ""fa"")
"),"موفقیت آمازون")</f>
        <v>موفقیت آمازون</v>
      </c>
      <c r="G6666" s="1" t="str">
        <f>IFERROR(__xludf.DUMMYFUNCTION("GOOGLETRANSLATE(C6666, ""en"", ""fa"")
"),"اهمیت استفاده از تکنیک های نورپردازی مناسب برای افزایش وضوح و جذابیت بصری عکس های محصول را توضیح دهید.")</f>
        <v>اهمیت استفاده از تکنیک های نورپردازی مناسب برای افزایش وضوح و جذابیت بصری عکس های محصول را توضیح دهید.</v>
      </c>
      <c r="H6666" s="1"/>
      <c r="I6666" s="1"/>
      <c r="J6666" s="1"/>
      <c r="K6666" s="1"/>
      <c r="L6666" s="1"/>
      <c r="M6666" s="1"/>
      <c r="N6666" s="1"/>
      <c r="O6666" s="1"/>
      <c r="P6666" s="1"/>
      <c r="Q6666" s="1"/>
      <c r="R6666" s="1"/>
      <c r="S6666" s="1"/>
      <c r="T6666" s="1"/>
      <c r="U6666" s="1"/>
      <c r="V6666" s="1"/>
      <c r="W6666" s="1"/>
      <c r="X6666" s="1"/>
      <c r="Y6666" s="1"/>
      <c r="Z6666" s="1"/>
      <c r="AA6666" s="1"/>
      <c r="AB6666" s="1"/>
    </row>
    <row r="6667" ht="50.25" customHeight="1">
      <c r="A6667" s="12">
        <v>6663.0</v>
      </c>
      <c r="B6667" s="13" t="s">
        <v>6141</v>
      </c>
      <c r="C6667" s="14" t="s">
        <v>6690</v>
      </c>
      <c r="D6667" s="1"/>
      <c r="E6667" s="1"/>
      <c r="F6667" s="1" t="str">
        <f>IFERROR(__xludf.DUMMYFUNCTION("GOOGLETRANSLATE(B6667, ""en"", ""fa"")
"),"موفقیت آمازون")</f>
        <v>موفقیت آمازون</v>
      </c>
      <c r="G6667" s="1" t="str">
        <f>IFERROR(__xludf.DUMMYFUNCTION("GOOGLETRANSLATE(C6667, ""en"", ""fa"")
"),"چگونه فروشندگان می توانند ترکیب و مرحله بندی محصول را برای ایجاد تصاویر جذاب بصری و مرتبط با زمینه محصول بهینه کنند؟")</f>
        <v>چگونه فروشندگان می توانند ترکیب و مرحله بندی محصول را برای ایجاد تصاویر جذاب بصری و مرتبط با زمینه محصول بهینه کنند؟</v>
      </c>
      <c r="H6667" s="1"/>
      <c r="I6667" s="1"/>
      <c r="J6667" s="1"/>
      <c r="K6667" s="1"/>
      <c r="L6667" s="1"/>
      <c r="M6667" s="1"/>
      <c r="N6667" s="1"/>
      <c r="O6667" s="1"/>
      <c r="P6667" s="1"/>
      <c r="Q6667" s="1"/>
      <c r="R6667" s="1"/>
      <c r="S6667" s="1"/>
      <c r="T6667" s="1"/>
      <c r="U6667" s="1"/>
      <c r="V6667" s="1"/>
      <c r="W6667" s="1"/>
      <c r="X6667" s="1"/>
      <c r="Y6667" s="1"/>
      <c r="Z6667" s="1"/>
      <c r="AA6667" s="1"/>
      <c r="AB6667" s="1"/>
    </row>
    <row r="6668" ht="50.25" customHeight="1">
      <c r="A6668" s="12">
        <v>6664.0</v>
      </c>
      <c r="B6668" s="13" t="s">
        <v>6141</v>
      </c>
      <c r="C6668" s="14" t="s">
        <v>6691</v>
      </c>
      <c r="D6668" s="1"/>
      <c r="E6668" s="1"/>
      <c r="F6668" s="1" t="str">
        <f>IFERROR(__xludf.DUMMYFUNCTION("GOOGLETRANSLATE(B6668, ""en"", ""fa"")
"),"موفقیت آمازون")</f>
        <v>موفقیت آمازون</v>
      </c>
      <c r="G6668" s="1" t="str">
        <f>IFERROR(__xludf.DUMMYFUNCTION("GOOGLETRANSLATE(C6668, ""en"", ""fa"")
"),"در مورد مزایای استفاده از تجهیزات و ابزارهای عکاسی درجه یک برای ثبت تصاویر محصول با وضوح بالا بحث کنید.")</f>
        <v>در مورد مزایای استفاده از تجهیزات و ابزارهای عکاسی درجه یک برای ثبت تصاویر محصول با وضوح بالا بحث کنید.</v>
      </c>
      <c r="H6668" s="1"/>
      <c r="I6668" s="1"/>
      <c r="J6668" s="1"/>
      <c r="K6668" s="1"/>
      <c r="L6668" s="1"/>
      <c r="M6668" s="1"/>
      <c r="N6668" s="1"/>
      <c r="O6668" s="1"/>
      <c r="P6668" s="1"/>
      <c r="Q6668" s="1"/>
      <c r="R6668" s="1"/>
      <c r="S6668" s="1"/>
      <c r="T6668" s="1"/>
      <c r="U6668" s="1"/>
      <c r="V6668" s="1"/>
      <c r="W6668" s="1"/>
      <c r="X6668" s="1"/>
      <c r="Y6668" s="1"/>
      <c r="Z6668" s="1"/>
      <c r="AA6668" s="1"/>
      <c r="AB6668" s="1"/>
    </row>
    <row r="6669" ht="50.25" customHeight="1">
      <c r="A6669" s="12">
        <v>6665.0</v>
      </c>
      <c r="B6669" s="13" t="s">
        <v>6141</v>
      </c>
      <c r="C6669" s="14" t="s">
        <v>6692</v>
      </c>
      <c r="D6669" s="1"/>
      <c r="E6669" s="1"/>
      <c r="F6669" s="1" t="str">
        <f>IFERROR(__xludf.DUMMYFUNCTION("GOOGLETRANSLATE(B6669, ""en"", ""fa"")
"),"موفقیت آمازون")</f>
        <v>موفقیت آمازون</v>
      </c>
      <c r="G6669" s="1" t="str">
        <f>IFERROR(__xludf.DUMMYFUNCTION("GOOGLETRANSLATE(C6669, ""en"", ""fa"")
"),"ملاحظات کلیدی هنگام انتخاب پس‌زمینه‌ها و وسایل مناسب برای تکمیل و بهبود محصول مورد عکس چیست؟")</f>
        <v>ملاحظات کلیدی هنگام انتخاب پس‌زمینه‌ها و وسایل مناسب برای تکمیل و بهبود محصول مورد عکس چیست؟</v>
      </c>
      <c r="H6669" s="1"/>
      <c r="I6669" s="1"/>
      <c r="J6669" s="1"/>
      <c r="K6669" s="1"/>
      <c r="L6669" s="1"/>
      <c r="M6669" s="1"/>
      <c r="N6669" s="1"/>
      <c r="O6669" s="1"/>
      <c r="P6669" s="1"/>
      <c r="Q6669" s="1"/>
      <c r="R6669" s="1"/>
      <c r="S6669" s="1"/>
      <c r="T6669" s="1"/>
      <c r="U6669" s="1"/>
      <c r="V6669" s="1"/>
      <c r="W6669" s="1"/>
      <c r="X6669" s="1"/>
      <c r="Y6669" s="1"/>
      <c r="Z6669" s="1"/>
      <c r="AA6669" s="1"/>
      <c r="AB6669" s="1"/>
    </row>
    <row r="6670" ht="50.25" customHeight="1">
      <c r="A6670" s="12">
        <v>6666.0</v>
      </c>
      <c r="B6670" s="13" t="s">
        <v>6141</v>
      </c>
      <c r="C6670" s="14" t="s">
        <v>6693</v>
      </c>
      <c r="D6670" s="1"/>
      <c r="E6670" s="1"/>
      <c r="F6670" s="1" t="str">
        <f>IFERROR(__xludf.DUMMYFUNCTION("GOOGLETRANSLATE(B6670, ""en"", ""fa"")
"),"موفقیت آمازون")</f>
        <v>موفقیت آمازون</v>
      </c>
      <c r="G6670" s="1" t="str">
        <f>IFERROR(__xludf.DUMMYFUNCTION("GOOGLETRANSLATE(C6670, ""en"", ""fa"")
"),"بینش هایی را در مورد نحوه ثبت موثر زوایای مختلف و دیدگاه های محصول به اشتراک بگذارید تا دیدی جامع برای مشتریان ارائه دهید.")</f>
        <v>بینش هایی را در مورد نحوه ثبت موثر زوایای مختلف و دیدگاه های محصول به اشتراک بگذارید تا دیدی جامع برای مشتریان ارائه دهید.</v>
      </c>
      <c r="H6670" s="1"/>
      <c r="I6670" s="1"/>
      <c r="J6670" s="1"/>
      <c r="K6670" s="1"/>
      <c r="L6670" s="1"/>
      <c r="M6670" s="1"/>
      <c r="N6670" s="1"/>
      <c r="O6670" s="1"/>
      <c r="P6670" s="1"/>
      <c r="Q6670" s="1"/>
      <c r="R6670" s="1"/>
      <c r="S6670" s="1"/>
      <c r="T6670" s="1"/>
      <c r="U6670" s="1"/>
      <c r="V6670" s="1"/>
      <c r="W6670" s="1"/>
      <c r="X6670" s="1"/>
      <c r="Y6670" s="1"/>
      <c r="Z6670" s="1"/>
      <c r="AA6670" s="1"/>
      <c r="AB6670" s="1"/>
    </row>
    <row r="6671" ht="50.25" customHeight="1">
      <c r="A6671" s="12">
        <v>6667.0</v>
      </c>
      <c r="B6671" s="13" t="s">
        <v>6141</v>
      </c>
      <c r="C6671" s="14" t="s">
        <v>6694</v>
      </c>
      <c r="D6671" s="1"/>
      <c r="E6671" s="1"/>
      <c r="F6671" s="1" t="str">
        <f>IFERROR(__xludf.DUMMYFUNCTION("GOOGLETRANSLATE(B6671, ""en"", ""fa"")
"),"موفقیت آمازون")</f>
        <v>موفقیت آمازون</v>
      </c>
      <c r="G6671" s="1" t="str">
        <f>IFERROR(__xludf.DUMMYFUNCTION("GOOGLETRANSLATE(C6671, ""en"", ""fa"")
"),"برای ایجاد یک ویترین منسجم و حرفه ای، اهمیت برندسازی و سبک بصری ثابت را در تمام تصاویر محصول توضیح دهید.")</f>
        <v>برای ایجاد یک ویترین منسجم و حرفه ای، اهمیت برندسازی و سبک بصری ثابت را در تمام تصاویر محصول توضیح دهید.</v>
      </c>
      <c r="H6671" s="1"/>
      <c r="I6671" s="1"/>
      <c r="J6671" s="1"/>
      <c r="K6671" s="1"/>
      <c r="L6671" s="1"/>
      <c r="M6671" s="1"/>
      <c r="N6671" s="1"/>
      <c r="O6671" s="1"/>
      <c r="P6671" s="1"/>
      <c r="Q6671" s="1"/>
      <c r="R6671" s="1"/>
      <c r="S6671" s="1"/>
      <c r="T6671" s="1"/>
      <c r="U6671" s="1"/>
      <c r="V6671" s="1"/>
      <c r="W6671" s="1"/>
      <c r="X6671" s="1"/>
      <c r="Y6671" s="1"/>
      <c r="Z6671" s="1"/>
      <c r="AA6671" s="1"/>
      <c r="AB6671" s="1"/>
    </row>
    <row r="6672" ht="50.25" customHeight="1">
      <c r="A6672" s="12">
        <v>6668.0</v>
      </c>
      <c r="B6672" s="13" t="s">
        <v>6141</v>
      </c>
      <c r="C6672" s="14" t="s">
        <v>6695</v>
      </c>
      <c r="D6672" s="1"/>
      <c r="E6672" s="1"/>
      <c r="F6672" s="1" t="str">
        <f>IFERROR(__xludf.DUMMYFUNCTION("GOOGLETRANSLATE(B6672, ""en"", ""fa"")
"),"موفقیت آمازون")</f>
        <v>موفقیت آمازون</v>
      </c>
      <c r="G6672" s="1" t="str">
        <f>IFERROR(__xludf.DUMMYFUNCTION("GOOGLETRANSLATE(C6672, ""en"", ""fa"")
"),"چگونه فروشندگان می توانند از شیوه زندگی یا عکاسی محصول درون زمینه استفاده کنند تا به مشتریان کمک کنند تا استفاده و مزایای محصول را تجسم کنند؟")</f>
        <v>چگونه فروشندگان می توانند از شیوه زندگی یا عکاسی محصول درون زمینه استفاده کنند تا به مشتریان کمک کنند تا استفاده و مزایای محصول را تجسم کنند؟</v>
      </c>
      <c r="H6672" s="1"/>
      <c r="I6672" s="1"/>
      <c r="J6672" s="1"/>
      <c r="K6672" s="1"/>
      <c r="L6672" s="1"/>
      <c r="M6672" s="1"/>
      <c r="N6672" s="1"/>
      <c r="O6672" s="1"/>
      <c r="P6672" s="1"/>
      <c r="Q6672" s="1"/>
      <c r="R6672" s="1"/>
      <c r="S6672" s="1"/>
      <c r="T6672" s="1"/>
      <c r="U6672" s="1"/>
      <c r="V6672" s="1"/>
      <c r="W6672" s="1"/>
      <c r="X6672" s="1"/>
      <c r="Y6672" s="1"/>
      <c r="Z6672" s="1"/>
      <c r="AA6672" s="1"/>
      <c r="AB6672" s="1"/>
    </row>
    <row r="6673" ht="50.25" customHeight="1">
      <c r="A6673" s="12">
        <v>6669.0</v>
      </c>
      <c r="B6673" s="13" t="s">
        <v>6141</v>
      </c>
      <c r="C6673" s="14" t="s">
        <v>6696</v>
      </c>
      <c r="D6673" s="1"/>
      <c r="E6673" s="1"/>
      <c r="F6673" s="1" t="str">
        <f>IFERROR(__xludf.DUMMYFUNCTION("GOOGLETRANSLATE(B6673, ""en"", ""fa"")
"),"موفقیت آمازون")</f>
        <v>موفقیت آمازون</v>
      </c>
      <c r="G6673" s="1" t="str">
        <f>IFERROR(__xludf.DUMMYFUNCTION("GOOGLETRANSLATE(C6673, ""en"", ""fa"")
"),"در مورد اهمیت تکنیک های پس از پردازش و ویرایش تصویر برای بهبود تصاویر محصول و اطمینان از سازگاری بحث کنید.")</f>
        <v>در مورد اهمیت تکنیک های پس از پردازش و ویرایش تصویر برای بهبود تصاویر محصول و اطمینان از سازگاری بحث کنید.</v>
      </c>
      <c r="H6673" s="1"/>
      <c r="I6673" s="1"/>
      <c r="J6673" s="1"/>
      <c r="K6673" s="1"/>
      <c r="L6673" s="1"/>
      <c r="M6673" s="1"/>
      <c r="N6673" s="1"/>
      <c r="O6673" s="1"/>
      <c r="P6673" s="1"/>
      <c r="Q6673" s="1"/>
      <c r="R6673" s="1"/>
      <c r="S6673" s="1"/>
      <c r="T6673" s="1"/>
      <c r="U6673" s="1"/>
      <c r="V6673" s="1"/>
      <c r="W6673" s="1"/>
      <c r="X6673" s="1"/>
      <c r="Y6673" s="1"/>
      <c r="Z6673" s="1"/>
      <c r="AA6673" s="1"/>
      <c r="AB6673" s="1"/>
    </row>
    <row r="6674" ht="50.25" customHeight="1">
      <c r="A6674" s="12">
        <v>6670.0</v>
      </c>
      <c r="B6674" s="13" t="s">
        <v>6141</v>
      </c>
      <c r="C6674" s="14" t="s">
        <v>6697</v>
      </c>
      <c r="D6674" s="1"/>
      <c r="E6674" s="1"/>
      <c r="F6674" s="1" t="str">
        <f>IFERROR(__xludf.DUMMYFUNCTION("GOOGLETRANSLATE(B6674, ""en"", ""fa"")
"),"موفقیت آمازون")</f>
        <v>موفقیت آمازون</v>
      </c>
      <c r="G6674" s="1" t="str">
        <f>IFERROR(__xludf.DUMMYFUNCTION("GOOGLETRANSLATE(C6674, ""en"", ""fa"")
"),"بهترین روش ها برای بهینه سازی اندازه و فرمت فایل های تصویری برای حفظ کیفیت تصویر و در عین حال به حداقل رساندن زمان بارگذاری صفحه چیست؟")</f>
        <v>بهترین روش ها برای بهینه سازی اندازه و فرمت فایل های تصویری برای حفظ کیفیت تصویر و در عین حال به حداقل رساندن زمان بارگذاری صفحه چیست؟</v>
      </c>
      <c r="H6674" s="1"/>
      <c r="I6674" s="1"/>
      <c r="J6674" s="1"/>
      <c r="K6674" s="1"/>
      <c r="L6674" s="1"/>
      <c r="M6674" s="1"/>
      <c r="N6674" s="1"/>
      <c r="O6674" s="1"/>
      <c r="P6674" s="1"/>
      <c r="Q6674" s="1"/>
      <c r="R6674" s="1"/>
      <c r="S6674" s="1"/>
      <c r="T6674" s="1"/>
      <c r="U6674" s="1"/>
      <c r="V6674" s="1"/>
      <c r="W6674" s="1"/>
      <c r="X6674" s="1"/>
      <c r="Y6674" s="1"/>
      <c r="Z6674" s="1"/>
      <c r="AA6674" s="1"/>
      <c r="AB6674" s="1"/>
    </row>
    <row r="6675" ht="50.25" customHeight="1">
      <c r="A6675" s="12">
        <v>6671.0</v>
      </c>
      <c r="B6675" s="13" t="s">
        <v>6141</v>
      </c>
      <c r="C6675" s="14" t="s">
        <v>6698</v>
      </c>
      <c r="D6675" s="1"/>
      <c r="E6675" s="1"/>
      <c r="F6675" s="1" t="str">
        <f>IFERROR(__xludf.DUMMYFUNCTION("GOOGLETRANSLATE(B6675, ""en"", ""fa"")
"),"موفقیت آمازون")</f>
        <v>موفقیت آمازون</v>
      </c>
      <c r="G6675" s="1" t="str">
        <f>IFERROR(__xludf.DUMMYFUNCTION("GOOGLETRANSLATE(C6675, ""en"", ""fa"")
"),"نکاتی را برای ثبت تصاویر دقیق و رنگی محصول به اشتراک بگذارید تا از اختلاف بین نمایش آنلاین و محصول واقعی جلوگیری شود.")</f>
        <v>نکاتی را برای ثبت تصاویر دقیق و رنگی محصول به اشتراک بگذارید تا از اختلاف بین نمایش آنلاین و محصول واقعی جلوگیری شود.</v>
      </c>
      <c r="H6675" s="1"/>
      <c r="I6675" s="1"/>
      <c r="J6675" s="1"/>
      <c r="K6675" s="1"/>
      <c r="L6675" s="1"/>
      <c r="M6675" s="1"/>
      <c r="N6675" s="1"/>
      <c r="O6675" s="1"/>
      <c r="P6675" s="1"/>
      <c r="Q6675" s="1"/>
      <c r="R6675" s="1"/>
      <c r="S6675" s="1"/>
      <c r="T6675" s="1"/>
      <c r="U6675" s="1"/>
      <c r="V6675" s="1"/>
      <c r="W6675" s="1"/>
      <c r="X6675" s="1"/>
      <c r="Y6675" s="1"/>
      <c r="Z6675" s="1"/>
      <c r="AA6675" s="1"/>
      <c r="AB6675" s="1"/>
    </row>
    <row r="6676" ht="50.25" customHeight="1">
      <c r="A6676" s="12">
        <v>6672.0</v>
      </c>
      <c r="B6676" s="13" t="s">
        <v>6141</v>
      </c>
      <c r="C6676" s="14" t="s">
        <v>6699</v>
      </c>
      <c r="D6676" s="1"/>
      <c r="E6676" s="1"/>
      <c r="F6676" s="1" t="str">
        <f>IFERROR(__xludf.DUMMYFUNCTION("GOOGLETRANSLATE(B6676, ""en"", ""fa"")
"),"موفقیت آمازون")</f>
        <v>موفقیت آمازون</v>
      </c>
      <c r="G6676" s="1" t="str">
        <f>IFERROR(__xludf.DUMMYFUNCTION("GOOGLETRANSLATE(C6676, ""en"", ""fa"")
"),"اهمیت نمایش دقیق ابعاد و مقیاس محصول از طریق عکاسی محصول برای مدیریت انتظارات مشتری را توضیح دهید.")</f>
        <v>اهمیت نمایش دقیق ابعاد و مقیاس محصول از طریق عکاسی محصول برای مدیریت انتظارات مشتری را توضیح دهید.</v>
      </c>
      <c r="H6676" s="1"/>
      <c r="I6676" s="1"/>
      <c r="J6676" s="1"/>
      <c r="K6676" s="1"/>
      <c r="L6676" s="1"/>
      <c r="M6676" s="1"/>
      <c r="N6676" s="1"/>
      <c r="O6676" s="1"/>
      <c r="P6676" s="1"/>
      <c r="Q6676" s="1"/>
      <c r="R6676" s="1"/>
      <c r="S6676" s="1"/>
      <c r="T6676" s="1"/>
      <c r="U6676" s="1"/>
      <c r="V6676" s="1"/>
      <c r="W6676" s="1"/>
      <c r="X6676" s="1"/>
      <c r="Y6676" s="1"/>
      <c r="Z6676" s="1"/>
      <c r="AA6676" s="1"/>
      <c r="AB6676" s="1"/>
    </row>
    <row r="6677" ht="50.25" customHeight="1">
      <c r="A6677" s="12">
        <v>6673.0</v>
      </c>
      <c r="B6677" s="13" t="s">
        <v>6141</v>
      </c>
      <c r="C6677" s="14" t="s">
        <v>6700</v>
      </c>
      <c r="D6677" s="1"/>
      <c r="E6677" s="1"/>
      <c r="F6677" s="1" t="str">
        <f>IFERROR(__xludf.DUMMYFUNCTION("GOOGLETRANSLATE(B6677, ""en"", ""fa"")
"),"موفقیت آمازون")</f>
        <v>موفقیت آمازون</v>
      </c>
      <c r="G6677" s="1" t="str">
        <f>IFERROR(__xludf.DUMMYFUNCTION("GOOGLETRANSLATE(C6677, ""en"", ""fa"")
"),"چگونه فروشندگان می توانند از عکاسی 360 درجه محصول یا ویژگی های تصویر تعاملی استفاده کنند تا تجربه ای همه جانبه از مشاهده محصول ارائه دهند؟")</f>
        <v>چگونه فروشندگان می توانند از عکاسی 360 درجه محصول یا ویژگی های تصویر تعاملی استفاده کنند تا تجربه ای همه جانبه از مشاهده محصول ارائه دهند؟</v>
      </c>
      <c r="H6677" s="1"/>
      <c r="I6677" s="1"/>
      <c r="J6677" s="1"/>
      <c r="K6677" s="1"/>
      <c r="L6677" s="1"/>
      <c r="M6677" s="1"/>
      <c r="N6677" s="1"/>
      <c r="O6677" s="1"/>
      <c r="P6677" s="1"/>
      <c r="Q6677" s="1"/>
      <c r="R6677" s="1"/>
      <c r="S6677" s="1"/>
      <c r="T6677" s="1"/>
      <c r="U6677" s="1"/>
      <c r="V6677" s="1"/>
      <c r="W6677" s="1"/>
      <c r="X6677" s="1"/>
      <c r="Y6677" s="1"/>
      <c r="Z6677" s="1"/>
      <c r="AA6677" s="1"/>
      <c r="AB6677" s="1"/>
    </row>
    <row r="6678" ht="50.25" customHeight="1">
      <c r="A6678" s="12">
        <v>6674.0</v>
      </c>
      <c r="B6678" s="13" t="s">
        <v>6141</v>
      </c>
      <c r="C6678" s="14" t="s">
        <v>6701</v>
      </c>
      <c r="D6678" s="1"/>
      <c r="E6678" s="1"/>
      <c r="F6678" s="1" t="str">
        <f>IFERROR(__xludf.DUMMYFUNCTION("GOOGLETRANSLATE(B6678, ""en"", ""fa"")
"),"موفقیت آمازون")</f>
        <v>موفقیت آمازون</v>
      </c>
      <c r="G6678" s="1" t="str">
        <f>IFERROR(__xludf.DUMMYFUNCTION("GOOGLETRANSLATE(C6678, ""en"", ""fa"")
"),"در مورد مزایای استفاده از مدل‌های سبک زندگی یا نمایش محصول در عکاسی محصول برای نشان دادن استفاده و تناسب محصول بحث کنید.")</f>
        <v>در مورد مزایای استفاده از مدل‌های سبک زندگی یا نمایش محصول در عکاسی محصول برای نشان دادن استفاده و تناسب محصول بحث کنید.</v>
      </c>
      <c r="H6678" s="1"/>
      <c r="I6678" s="1"/>
      <c r="J6678" s="1"/>
      <c r="K6678" s="1"/>
      <c r="L6678" s="1"/>
      <c r="M6678" s="1"/>
      <c r="N6678" s="1"/>
      <c r="O6678" s="1"/>
      <c r="P6678" s="1"/>
      <c r="Q6678" s="1"/>
      <c r="R6678" s="1"/>
      <c r="S6678" s="1"/>
      <c r="T6678" s="1"/>
      <c r="U6678" s="1"/>
      <c r="V6678" s="1"/>
      <c r="W6678" s="1"/>
      <c r="X6678" s="1"/>
      <c r="Y6678" s="1"/>
      <c r="Z6678" s="1"/>
      <c r="AA6678" s="1"/>
      <c r="AB6678" s="1"/>
    </row>
    <row r="6679" ht="50.25" customHeight="1">
      <c r="A6679" s="12">
        <v>6675.0</v>
      </c>
      <c r="B6679" s="13" t="s">
        <v>6141</v>
      </c>
      <c r="C6679" s="14" t="s">
        <v>6702</v>
      </c>
      <c r="D6679" s="1"/>
      <c r="E6679" s="1"/>
      <c r="F6679" s="1" t="str">
        <f>IFERROR(__xludf.DUMMYFUNCTION("GOOGLETRANSLATE(B6679, ""en"", ""fa"")
"),"موفقیت آمازون")</f>
        <v>موفقیت آمازون</v>
      </c>
      <c r="G6679" s="1" t="str">
        <f>IFERROR(__xludf.DUMMYFUNCTION("GOOGLETRANSLATE(C6679, ""en"", ""fa"")
"),"ملاحظات کلیدی هنگام عکاسی از محصولات با سطوح بازتابنده یا بافت های پیچیده برای ثبت تصاویر دقیق چیست؟")</f>
        <v>ملاحظات کلیدی هنگام عکاسی از محصولات با سطوح بازتابنده یا بافت های پیچیده برای ثبت تصاویر دقیق چیست؟</v>
      </c>
      <c r="H6679" s="1"/>
      <c r="I6679" s="1"/>
      <c r="J6679" s="1"/>
      <c r="K6679" s="1"/>
      <c r="L6679" s="1"/>
      <c r="M6679" s="1"/>
      <c r="N6679" s="1"/>
      <c r="O6679" s="1"/>
      <c r="P6679" s="1"/>
      <c r="Q6679" s="1"/>
      <c r="R6679" s="1"/>
      <c r="S6679" s="1"/>
      <c r="T6679" s="1"/>
      <c r="U6679" s="1"/>
      <c r="V6679" s="1"/>
      <c r="W6679" s="1"/>
      <c r="X6679" s="1"/>
      <c r="Y6679" s="1"/>
      <c r="Z6679" s="1"/>
      <c r="AA6679" s="1"/>
      <c r="AB6679" s="1"/>
    </row>
    <row r="6680" ht="50.25" customHeight="1">
      <c r="A6680" s="12">
        <v>6676.0</v>
      </c>
      <c r="B6680" s="13" t="s">
        <v>6141</v>
      </c>
      <c r="C6680" s="14" t="s">
        <v>6703</v>
      </c>
      <c r="D6680" s="1"/>
      <c r="E6680" s="1"/>
      <c r="F6680" s="1" t="str">
        <f>IFERROR(__xludf.DUMMYFUNCTION("GOOGLETRANSLATE(B6680, ""en"", ""fa"")
"),"موفقیت آمازون")</f>
        <v>موفقیت آمازون</v>
      </c>
      <c r="G6680" s="1" t="str">
        <f>IFERROR(__xludf.DUMMYFUNCTION("GOOGLETRANSLATE(C6680, ""en"", ""fa"")
"),"بینش هایی را در مورد نحوه نمایش موثر تغییرات محصول، مانند رنگ ها یا اندازه های مختلف، از طریق عکاسی محصول به اشتراک بگذارید.")</f>
        <v>بینش هایی را در مورد نحوه نمایش موثر تغییرات محصول، مانند رنگ ها یا اندازه های مختلف، از طریق عکاسی محصول به اشتراک بگذارید.</v>
      </c>
      <c r="H6680" s="1"/>
      <c r="I6680" s="1"/>
      <c r="J6680" s="1"/>
      <c r="K6680" s="1"/>
      <c r="L6680" s="1"/>
      <c r="M6680" s="1"/>
      <c r="N6680" s="1"/>
      <c r="O6680" s="1"/>
      <c r="P6680" s="1"/>
      <c r="Q6680" s="1"/>
      <c r="R6680" s="1"/>
      <c r="S6680" s="1"/>
      <c r="T6680" s="1"/>
      <c r="U6680" s="1"/>
      <c r="V6680" s="1"/>
      <c r="W6680" s="1"/>
      <c r="X6680" s="1"/>
      <c r="Y6680" s="1"/>
      <c r="Z6680" s="1"/>
      <c r="AA6680" s="1"/>
      <c r="AB6680" s="1"/>
    </row>
    <row r="6681" ht="50.25" customHeight="1">
      <c r="A6681" s="12">
        <v>6677.0</v>
      </c>
      <c r="B6681" s="13" t="s">
        <v>6141</v>
      </c>
      <c r="C6681" s="14" t="s">
        <v>6704</v>
      </c>
      <c r="D6681" s="1"/>
      <c r="E6681" s="1"/>
      <c r="F6681" s="1" t="str">
        <f>IFERROR(__xludf.DUMMYFUNCTION("GOOGLETRANSLATE(B6681, ""en"", ""fa"")
"),"موفقیت آمازون")</f>
        <v>موفقیت آمازون</v>
      </c>
      <c r="G6681" s="1" t="str">
        <f>IFERROR(__xludf.DUMMYFUNCTION("GOOGLETRANSLATE(C6681, ""en"", ""fa"")
"),"اهمیت ایجاد کلاژ محصول از نظر بصری جذاب یا تصاویر ترکیبی را برای برجسته کردن ویژگی ها یا تغییرات محصول توضیح دهید.")</f>
        <v>اهمیت ایجاد کلاژ محصول از نظر بصری جذاب یا تصاویر ترکیبی را برای برجسته کردن ویژگی ها یا تغییرات محصول توضیح دهید.</v>
      </c>
      <c r="H6681" s="1"/>
      <c r="I6681" s="1"/>
      <c r="J6681" s="1"/>
      <c r="K6681" s="1"/>
      <c r="L6681" s="1"/>
      <c r="M6681" s="1"/>
      <c r="N6681" s="1"/>
      <c r="O6681" s="1"/>
      <c r="P6681" s="1"/>
      <c r="Q6681" s="1"/>
      <c r="R6681" s="1"/>
      <c r="S6681" s="1"/>
      <c r="T6681" s="1"/>
      <c r="U6681" s="1"/>
      <c r="V6681" s="1"/>
      <c r="W6681" s="1"/>
      <c r="X6681" s="1"/>
      <c r="Y6681" s="1"/>
      <c r="Z6681" s="1"/>
      <c r="AA6681" s="1"/>
      <c r="AB6681" s="1"/>
    </row>
    <row r="6682" ht="50.25" customHeight="1">
      <c r="A6682" s="12">
        <v>6678.0</v>
      </c>
      <c r="B6682" s="13" t="s">
        <v>6141</v>
      </c>
      <c r="C6682" s="14" t="s">
        <v>6705</v>
      </c>
      <c r="D6682" s="1"/>
      <c r="E6682" s="1"/>
      <c r="F6682" s="1" t="str">
        <f>IFERROR(__xludf.DUMMYFUNCTION("GOOGLETRANSLATE(B6682, ""en"", ""fa"")
"),"موفقیت آمازون")</f>
        <v>موفقیت آمازون</v>
      </c>
      <c r="G6682" s="1" t="str">
        <f>IFERROR(__xludf.DUMMYFUNCTION("GOOGLETRANSLATE(C6682, ""en"", ""fa"")
"),"چگونه فروشندگان می توانند متن جایگزین تصویر و نام فایل را برای بهینه سازی موتورهای جستجو و اهداف دسترسی بهینه کنند؟")</f>
        <v>چگونه فروشندگان می توانند متن جایگزین تصویر و نام فایل را برای بهینه سازی موتورهای جستجو و اهداف دسترسی بهینه کنند؟</v>
      </c>
      <c r="H6682" s="1"/>
      <c r="I6682" s="1"/>
      <c r="J6682" s="1"/>
      <c r="K6682" s="1"/>
      <c r="L6682" s="1"/>
      <c r="M6682" s="1"/>
      <c r="N6682" s="1"/>
      <c r="O6682" s="1"/>
      <c r="P6682" s="1"/>
      <c r="Q6682" s="1"/>
      <c r="R6682" s="1"/>
      <c r="S6682" s="1"/>
      <c r="T6682" s="1"/>
      <c r="U6682" s="1"/>
      <c r="V6682" s="1"/>
      <c r="W6682" s="1"/>
      <c r="X6682" s="1"/>
      <c r="Y6682" s="1"/>
      <c r="Z6682" s="1"/>
      <c r="AA6682" s="1"/>
      <c r="AB6682" s="1"/>
    </row>
    <row r="6683" ht="50.25" customHeight="1">
      <c r="A6683" s="12">
        <v>6679.0</v>
      </c>
      <c r="B6683" s="13" t="s">
        <v>6141</v>
      </c>
      <c r="C6683" s="14" t="s">
        <v>6706</v>
      </c>
      <c r="D6683" s="1"/>
      <c r="E6683" s="1"/>
      <c r="F6683" s="1" t="str">
        <f>IFERROR(__xludf.DUMMYFUNCTION("GOOGLETRANSLATE(B6683, ""en"", ""fa"")
"),"موفقیت آمازون")</f>
        <v>موفقیت آمازون</v>
      </c>
      <c r="G6683" s="1" t="str">
        <f>IFERROR(__xludf.DUMMYFUNCTION("GOOGLETRANSLATE(C6683, ""en"", ""fa"")
"),"در مورد نقش تست A/B و جمع آوری بازخورد مشتری برای بهبود مستمر عکاسی محصول و بهینه سازی نرخ تبدیل بحث کنید.")</f>
        <v>در مورد نقش تست A/B و جمع آوری بازخورد مشتری برای بهبود مستمر عکاسی محصول و بهینه سازی نرخ تبدیل بحث کنید.</v>
      </c>
      <c r="H6683" s="1"/>
      <c r="I6683" s="1"/>
      <c r="J6683" s="1"/>
      <c r="K6683" s="1"/>
      <c r="L6683" s="1"/>
      <c r="M6683" s="1"/>
      <c r="N6683" s="1"/>
      <c r="O6683" s="1"/>
      <c r="P6683" s="1"/>
      <c r="Q6683" s="1"/>
      <c r="R6683" s="1"/>
      <c r="S6683" s="1"/>
      <c r="T6683" s="1"/>
      <c r="U6683" s="1"/>
      <c r="V6683" s="1"/>
      <c r="W6683" s="1"/>
      <c r="X6683" s="1"/>
      <c r="Y6683" s="1"/>
      <c r="Z6683" s="1"/>
      <c r="AA6683" s="1"/>
      <c r="AB6683" s="1"/>
    </row>
    <row r="6684" ht="50.25" customHeight="1">
      <c r="A6684" s="12">
        <v>6680.0</v>
      </c>
      <c r="B6684" s="13" t="s">
        <v>6141</v>
      </c>
      <c r="C6684" s="14" t="s">
        <v>6707</v>
      </c>
      <c r="D6684" s="1"/>
      <c r="E6684" s="1"/>
      <c r="F6684" s="1" t="str">
        <f>IFERROR(__xludf.DUMMYFUNCTION("GOOGLETRANSLATE(B6684, ""en"", ""fa"")
"),"موفقیت آمازون")</f>
        <v>موفقیت آمازون</v>
      </c>
      <c r="G6684" s="1" t="str">
        <f>IFERROR(__xludf.DUMMYFUNCTION("GOOGLETRANSLATE(C6684, ""en"", ""fa"")
"),"بهترین شیوه ها برای حفظ یک سبک بصری منسجم و منسجم در چندین دسته محصول یا خطوط تولید چیست؟")</f>
        <v>بهترین شیوه ها برای حفظ یک سبک بصری منسجم و منسجم در چندین دسته محصول یا خطوط تولید چیست؟</v>
      </c>
      <c r="H6684" s="1"/>
      <c r="I6684" s="1"/>
      <c r="J6684" s="1"/>
      <c r="K6684" s="1"/>
      <c r="L6684" s="1"/>
      <c r="M6684" s="1"/>
      <c r="N6684" s="1"/>
      <c r="O6684" s="1"/>
      <c r="P6684" s="1"/>
      <c r="Q6684" s="1"/>
      <c r="R6684" s="1"/>
      <c r="S6684" s="1"/>
      <c r="T6684" s="1"/>
      <c r="U6684" s="1"/>
      <c r="V6684" s="1"/>
      <c r="W6684" s="1"/>
      <c r="X6684" s="1"/>
      <c r="Y6684" s="1"/>
      <c r="Z6684" s="1"/>
      <c r="AA6684" s="1"/>
      <c r="AB6684" s="1"/>
    </row>
    <row r="6685" ht="50.25" customHeight="1">
      <c r="A6685" s="12">
        <v>6681.0</v>
      </c>
      <c r="B6685" s="13" t="s">
        <v>6141</v>
      </c>
      <c r="C6685" s="14" t="s">
        <v>6708</v>
      </c>
      <c r="D6685" s="1"/>
      <c r="E6685" s="1"/>
      <c r="F6685" s="1" t="str">
        <f>IFERROR(__xludf.DUMMYFUNCTION("GOOGLETRANSLATE(B6685, ""en"", ""fa"")
"),"موفقیت آمازون")</f>
        <v>موفقیت آمازون</v>
      </c>
      <c r="G6685" s="1" t="str">
        <f>IFERROR(__xludf.DUMMYFUNCTION("GOOGLETRANSLATE(C6685, ""en"", ""fa"")
"),"نکاتی را برای ثبت و برجسته کردن نقاط فروش منحصر به فرد یا جزئیات محصول از طریق تکنیک های عکاسی کلوزآپ یا ماکرو به اشتراک بگذارید.")</f>
        <v>نکاتی را برای ثبت و برجسته کردن نقاط فروش منحصر به فرد یا جزئیات محصول از طریق تکنیک های عکاسی کلوزآپ یا ماکرو به اشتراک بگذارید.</v>
      </c>
      <c r="H6685" s="1"/>
      <c r="I6685" s="1"/>
      <c r="J6685" s="1"/>
      <c r="K6685" s="1"/>
      <c r="L6685" s="1"/>
      <c r="M6685" s="1"/>
      <c r="N6685" s="1"/>
      <c r="O6685" s="1"/>
      <c r="P6685" s="1"/>
      <c r="Q6685" s="1"/>
      <c r="R6685" s="1"/>
      <c r="S6685" s="1"/>
      <c r="T6685" s="1"/>
      <c r="U6685" s="1"/>
      <c r="V6685" s="1"/>
      <c r="W6685" s="1"/>
      <c r="X6685" s="1"/>
      <c r="Y6685" s="1"/>
      <c r="Z6685" s="1"/>
      <c r="AA6685" s="1"/>
      <c r="AB6685" s="1"/>
    </row>
    <row r="6686" ht="50.25" customHeight="1">
      <c r="A6686" s="12">
        <v>6682.0</v>
      </c>
      <c r="B6686" s="13" t="s">
        <v>6141</v>
      </c>
      <c r="C6686" s="14" t="s">
        <v>6709</v>
      </c>
      <c r="D6686" s="1"/>
      <c r="E6686" s="1"/>
      <c r="F6686" s="1" t="str">
        <f>IFERROR(__xludf.DUMMYFUNCTION("GOOGLETRANSLATE(B6686, ""en"", ""fa"")
"),"موفقیت آمازون")</f>
        <v>موفقیت آمازون</v>
      </c>
      <c r="G6686" s="1" t="str">
        <f>IFERROR(__xludf.DUMMYFUNCTION("GOOGLETRANSLATE(C6686, ""en"", ""fa"")
"),"اهمیت ثبت و نمایش دقیق بسته بندی و برندسازی محصول در عکاسی محصول را توضیح دهید.")</f>
        <v>اهمیت ثبت و نمایش دقیق بسته بندی و برندسازی محصول در عکاسی محصول را توضیح دهید.</v>
      </c>
      <c r="H6686" s="1"/>
      <c r="I6686" s="1"/>
      <c r="J6686" s="1"/>
      <c r="K6686" s="1"/>
      <c r="L6686" s="1"/>
      <c r="M6686" s="1"/>
      <c r="N6686" s="1"/>
      <c r="O6686" s="1"/>
      <c r="P6686" s="1"/>
      <c r="Q6686" s="1"/>
      <c r="R6686" s="1"/>
      <c r="S6686" s="1"/>
      <c r="T6686" s="1"/>
      <c r="U6686" s="1"/>
      <c r="V6686" s="1"/>
      <c r="W6686" s="1"/>
      <c r="X6686" s="1"/>
      <c r="Y6686" s="1"/>
      <c r="Z6686" s="1"/>
      <c r="AA6686" s="1"/>
      <c r="AB6686" s="1"/>
    </row>
    <row r="6687" ht="50.25" customHeight="1">
      <c r="A6687" s="12">
        <v>6683.0</v>
      </c>
      <c r="B6687" s="13" t="s">
        <v>6141</v>
      </c>
      <c r="C6687" s="14" t="s">
        <v>6710</v>
      </c>
      <c r="D6687" s="1"/>
      <c r="E6687" s="1"/>
      <c r="F6687" s="1" t="str">
        <f>IFERROR(__xludf.DUMMYFUNCTION("GOOGLETRANSLATE(B6687, ""en"", ""fa"")
"),"موفقیت آمازون")</f>
        <v>موفقیت آمازون</v>
      </c>
      <c r="G6687" s="1" t="str">
        <f>IFERROR(__xludf.DUMMYFUNCTION("GOOGLETRANSLATE(C6687, ""en"", ""fa"")
"),"چگونه فروشندگان می‌توانند از وسایل سبک زندگی یا عناصر زمینه‌ای برای خلق روایت‌های محصولی آرزومند یا مرتبط از طریق عکاسی استفاده کنند؟")</f>
        <v>چگونه فروشندگان می‌توانند از وسایل سبک زندگی یا عناصر زمینه‌ای برای خلق روایت‌های محصولی آرزومند یا مرتبط از طریق عکاسی استفاده کنند؟</v>
      </c>
      <c r="H6687" s="1"/>
      <c r="I6687" s="1"/>
      <c r="J6687" s="1"/>
      <c r="K6687" s="1"/>
      <c r="L6687" s="1"/>
      <c r="M6687" s="1"/>
      <c r="N6687" s="1"/>
      <c r="O6687" s="1"/>
      <c r="P6687" s="1"/>
      <c r="Q6687" s="1"/>
      <c r="R6687" s="1"/>
      <c r="S6687" s="1"/>
      <c r="T6687" s="1"/>
      <c r="U6687" s="1"/>
      <c r="V6687" s="1"/>
      <c r="W6687" s="1"/>
      <c r="X6687" s="1"/>
      <c r="Y6687" s="1"/>
      <c r="Z6687" s="1"/>
      <c r="AA6687" s="1"/>
      <c r="AB6687" s="1"/>
    </row>
    <row r="6688" ht="50.25" customHeight="1">
      <c r="A6688" s="12">
        <v>6684.0</v>
      </c>
      <c r="B6688" s="13" t="s">
        <v>6141</v>
      </c>
      <c r="C6688" s="14" t="s">
        <v>6711</v>
      </c>
      <c r="D6688" s="1"/>
      <c r="E6688" s="1"/>
      <c r="F6688" s="1" t="str">
        <f>IFERROR(__xludf.DUMMYFUNCTION("GOOGLETRANSLATE(B6688, ""en"", ""fa"")
"),"موفقیت آمازون")</f>
        <v>موفقیت آمازون</v>
      </c>
      <c r="G6688" s="1" t="str">
        <f>IFERROR(__xludf.DUMMYFUNCTION("GOOGLETRANSLATE(C6688, ""en"", ""fa"")
"),"در مورد مزایای استفاده از تصاویر محصول با قابلیت زوم با وضوح بالا بحث کنید تا به مشتریان اجازه دهید جزئیات محصول را با دقت بیشتری بررسی کنند.")</f>
        <v>در مورد مزایای استفاده از تصاویر محصول با قابلیت زوم با وضوح بالا بحث کنید تا به مشتریان اجازه دهید جزئیات محصول را با دقت بیشتری بررسی کنند.</v>
      </c>
      <c r="H6688" s="1"/>
      <c r="I6688" s="1"/>
      <c r="J6688" s="1"/>
      <c r="K6688" s="1"/>
      <c r="L6688" s="1"/>
      <c r="M6688" s="1"/>
      <c r="N6688" s="1"/>
      <c r="O6688" s="1"/>
      <c r="P6688" s="1"/>
      <c r="Q6688" s="1"/>
      <c r="R6688" s="1"/>
      <c r="S6688" s="1"/>
      <c r="T6688" s="1"/>
      <c r="U6688" s="1"/>
      <c r="V6688" s="1"/>
      <c r="W6688" s="1"/>
      <c r="X6688" s="1"/>
      <c r="Y6688" s="1"/>
      <c r="Z6688" s="1"/>
      <c r="AA6688" s="1"/>
      <c r="AB6688" s="1"/>
    </row>
    <row r="6689" ht="50.25" customHeight="1">
      <c r="A6689" s="12">
        <v>6685.0</v>
      </c>
      <c r="B6689" s="13" t="s">
        <v>6141</v>
      </c>
      <c r="C6689" s="14" t="s">
        <v>6712</v>
      </c>
      <c r="D6689" s="1"/>
      <c r="E6689" s="1"/>
      <c r="F6689" s="1" t="str">
        <f>IFERROR(__xludf.DUMMYFUNCTION("GOOGLETRANSLATE(B6689, ""en"", ""fa"")
"),"موفقیت آمازون")</f>
        <v>موفقیت آمازون</v>
      </c>
      <c r="G6689" s="1" t="str">
        <f>IFERROR(__xludf.DUMMYFUNCTION("GOOGLETRANSLATE(C6689, ""en"", ""fa"")
"),"ملاحظات کلیدی هنگام عکاسی از محصولات با جزئیات پیچیده یا کوچک برای اطمینان از وضوح و دید چیست؟")</f>
        <v>ملاحظات کلیدی هنگام عکاسی از محصولات با جزئیات پیچیده یا کوچک برای اطمینان از وضوح و دید چیست؟</v>
      </c>
      <c r="H6689" s="1"/>
      <c r="I6689" s="1"/>
      <c r="J6689" s="1"/>
      <c r="K6689" s="1"/>
      <c r="L6689" s="1"/>
      <c r="M6689" s="1"/>
      <c r="N6689" s="1"/>
      <c r="O6689" s="1"/>
      <c r="P6689" s="1"/>
      <c r="Q6689" s="1"/>
      <c r="R6689" s="1"/>
      <c r="S6689" s="1"/>
      <c r="T6689" s="1"/>
      <c r="U6689" s="1"/>
      <c r="V6689" s="1"/>
      <c r="W6689" s="1"/>
      <c r="X6689" s="1"/>
      <c r="Y6689" s="1"/>
      <c r="Z6689" s="1"/>
      <c r="AA6689" s="1"/>
      <c r="AB6689" s="1"/>
    </row>
    <row r="6690" ht="50.25" customHeight="1">
      <c r="A6690" s="12">
        <v>6686.0</v>
      </c>
      <c r="B6690" s="13" t="s">
        <v>6141</v>
      </c>
      <c r="C6690" s="14" t="s">
        <v>6713</v>
      </c>
      <c r="D6690" s="1"/>
      <c r="E6690" s="1"/>
      <c r="F6690" s="1" t="str">
        <f>IFERROR(__xludf.DUMMYFUNCTION("GOOGLETRANSLATE(B6690, ""en"", ""fa"")
"),"موفقیت آمازون")</f>
        <v>موفقیت آمازون</v>
      </c>
      <c r="G6690" s="1" t="str">
        <f>IFERROR(__xludf.DUMMYFUNCTION("GOOGLETRANSLATE(C6690, ""en"", ""fa"")
"),"بینش‌هایی را در مورد نحوه گرفتن مؤثر تصاویر محصول که برای مشاهده تلفن همراه و طراحی پاسخگو ویترین فروشگاه بهینه شده‌اند، به اشتراک بگذارید.")</f>
        <v>بینش‌هایی را در مورد نحوه گرفتن مؤثر تصاویر محصول که برای مشاهده تلفن همراه و طراحی پاسخگو ویترین فروشگاه بهینه شده‌اند، به اشتراک بگذارید.</v>
      </c>
      <c r="H6690" s="1"/>
      <c r="I6690" s="1"/>
      <c r="J6690" s="1"/>
      <c r="K6690" s="1"/>
      <c r="L6690" s="1"/>
      <c r="M6690" s="1"/>
      <c r="N6690" s="1"/>
      <c r="O6690" s="1"/>
      <c r="P6690" s="1"/>
      <c r="Q6690" s="1"/>
      <c r="R6690" s="1"/>
      <c r="S6690" s="1"/>
      <c r="T6690" s="1"/>
      <c r="U6690" s="1"/>
      <c r="V6690" s="1"/>
      <c r="W6690" s="1"/>
      <c r="X6690" s="1"/>
      <c r="Y6690" s="1"/>
      <c r="Z6690" s="1"/>
      <c r="AA6690" s="1"/>
      <c r="AB6690" s="1"/>
    </row>
    <row r="6691" ht="50.25" customHeight="1">
      <c r="A6691" s="12">
        <v>6687.0</v>
      </c>
      <c r="B6691" s="13" t="s">
        <v>6141</v>
      </c>
      <c r="C6691" s="14" t="s">
        <v>6714</v>
      </c>
      <c r="D6691" s="1"/>
      <c r="E6691" s="1"/>
      <c r="F6691" s="1" t="str">
        <f>IFERROR(__xludf.DUMMYFUNCTION("GOOGLETRANSLATE(B6691, ""en"", ""fa"")
"),"موفقیت آمازون")</f>
        <v>موفقیت آمازون</v>
      </c>
      <c r="G6691" s="1" t="str">
        <f>IFERROR(__xludf.DUMMYFUNCTION("GOOGLETRANSLATE(C6691, ""en"", ""fa"")
"),"اهمیت استفاده از محتوای تولید شده توسط کاربر، مانند عکس های ارسال شده توسط مشتری، برای افزایش تصویر محصول و اثبات اجتماعی را توضیح دهید.")</f>
        <v>اهمیت استفاده از محتوای تولید شده توسط کاربر، مانند عکس های ارسال شده توسط مشتری، برای افزایش تصویر محصول و اثبات اجتماعی را توضیح دهید.</v>
      </c>
      <c r="H6691" s="1"/>
      <c r="I6691" s="1"/>
      <c r="J6691" s="1"/>
      <c r="K6691" s="1"/>
      <c r="L6691" s="1"/>
      <c r="M6691" s="1"/>
      <c r="N6691" s="1"/>
      <c r="O6691" s="1"/>
      <c r="P6691" s="1"/>
      <c r="Q6691" s="1"/>
      <c r="R6691" s="1"/>
      <c r="S6691" s="1"/>
      <c r="T6691" s="1"/>
      <c r="U6691" s="1"/>
      <c r="V6691" s="1"/>
      <c r="W6691" s="1"/>
      <c r="X6691" s="1"/>
      <c r="Y6691" s="1"/>
      <c r="Z6691" s="1"/>
      <c r="AA6691" s="1"/>
      <c r="AB6691" s="1"/>
    </row>
    <row r="6692" ht="50.25" customHeight="1">
      <c r="A6692" s="12">
        <v>6688.0</v>
      </c>
      <c r="B6692" s="13" t="s">
        <v>6141</v>
      </c>
      <c r="C6692" s="14" t="s">
        <v>6715</v>
      </c>
      <c r="D6692" s="1"/>
      <c r="E6692" s="1"/>
      <c r="F6692" s="1" t="str">
        <f>IFERROR(__xludf.DUMMYFUNCTION("GOOGLETRANSLATE(B6692, ""en"", ""fa"")
"),"موفقیت آمازون")</f>
        <v>موفقیت آمازون</v>
      </c>
      <c r="G6692" s="1" t="str">
        <f>IFERROR(__xludf.DUMMYFUNCTION("GOOGLETRANSLATE(C6692, ""en"", ""fa"")
"),"چگونه فروشندگان می توانند از داستان سرایی یا روایت های بصری در عکاسی محصول برای برانگیختن احساسات و جذب مشتریان در سطح احساسی استفاده کنند؟")</f>
        <v>چگونه فروشندگان می توانند از داستان سرایی یا روایت های بصری در عکاسی محصول برای برانگیختن احساسات و جذب مشتریان در سطح احساسی استفاده کنند؟</v>
      </c>
      <c r="H6692" s="1"/>
      <c r="I6692" s="1"/>
      <c r="J6692" s="1"/>
      <c r="K6692" s="1"/>
      <c r="L6692" s="1"/>
      <c r="M6692" s="1"/>
      <c r="N6692" s="1"/>
      <c r="O6692" s="1"/>
      <c r="P6692" s="1"/>
      <c r="Q6692" s="1"/>
      <c r="R6692" s="1"/>
      <c r="S6692" s="1"/>
      <c r="T6692" s="1"/>
      <c r="U6692" s="1"/>
      <c r="V6692" s="1"/>
      <c r="W6692" s="1"/>
      <c r="X6692" s="1"/>
      <c r="Y6692" s="1"/>
      <c r="Z6692" s="1"/>
      <c r="AA6692" s="1"/>
      <c r="AB6692" s="1"/>
    </row>
    <row r="6693" ht="50.25" customHeight="1">
      <c r="A6693" s="12">
        <v>6689.0</v>
      </c>
      <c r="B6693" s="13" t="s">
        <v>6141</v>
      </c>
      <c r="C6693" s="14" t="s">
        <v>6716</v>
      </c>
      <c r="D6693" s="1"/>
      <c r="E6693" s="1"/>
      <c r="F6693" s="1" t="str">
        <f>IFERROR(__xludf.DUMMYFUNCTION("GOOGLETRANSLATE(B6693, ""en"", ""fa"")
"),"موفقیت آمازون")</f>
        <v>موفقیت آمازون</v>
      </c>
      <c r="G6693" s="1" t="str">
        <f>IFERROR(__xludf.DUMMYFUNCTION("GOOGLETRANSLATE(C6693, ""en"", ""fa"")
"),"در مورد نقش تکنیک های پس از تولید، مانند تصحیح رنگ یا حذف پس زمینه، در بهبود تصاویر محصول و حفظ ثبات بحث کنید.")</f>
        <v>در مورد نقش تکنیک های پس از تولید، مانند تصحیح رنگ یا حذف پس زمینه، در بهبود تصاویر محصول و حفظ ثبات بحث کنید.</v>
      </c>
      <c r="H6693" s="1"/>
      <c r="I6693" s="1"/>
      <c r="J6693" s="1"/>
      <c r="K6693" s="1"/>
      <c r="L6693" s="1"/>
      <c r="M6693" s="1"/>
      <c r="N6693" s="1"/>
      <c r="O6693" s="1"/>
      <c r="P6693" s="1"/>
      <c r="Q6693" s="1"/>
      <c r="R6693" s="1"/>
      <c r="S6693" s="1"/>
      <c r="T6693" s="1"/>
      <c r="U6693" s="1"/>
      <c r="V6693" s="1"/>
      <c r="W6693" s="1"/>
      <c r="X6693" s="1"/>
      <c r="Y6693" s="1"/>
      <c r="Z6693" s="1"/>
      <c r="AA6693" s="1"/>
      <c r="AB6693" s="1"/>
    </row>
    <row r="6694" ht="50.25" customHeight="1">
      <c r="A6694" s="12">
        <v>6690.0</v>
      </c>
      <c r="B6694" s="13" t="s">
        <v>6141</v>
      </c>
      <c r="C6694" s="14" t="s">
        <v>6717</v>
      </c>
      <c r="D6694" s="1"/>
      <c r="E6694" s="1"/>
      <c r="F6694" s="1" t="str">
        <f>IFERROR(__xludf.DUMMYFUNCTION("GOOGLETRANSLATE(B6694, ""en"", ""fa"")
"),"موفقیت آمازون")</f>
        <v>موفقیت آمازون</v>
      </c>
      <c r="G6694" s="1" t="str">
        <f>IFERROR(__xludf.DUMMYFUNCTION("GOOGLETRANSLATE(C6694, ""en"", ""fa"")
"),"بهترین روش‌ها برای ایجاد تصاویر محصول که از دستورالعمل‌ها و سیاست‌های بازار در مورد کیفیت و محتوا پیروی می‌کنند، چیست؟")</f>
        <v>بهترین روش‌ها برای ایجاد تصاویر محصول که از دستورالعمل‌ها و سیاست‌های بازار در مورد کیفیت و محتوا پیروی می‌کنند، چیست؟</v>
      </c>
      <c r="H6694" s="1"/>
      <c r="I6694" s="1"/>
      <c r="J6694" s="1"/>
      <c r="K6694" s="1"/>
      <c r="L6694" s="1"/>
      <c r="M6694" s="1"/>
      <c r="N6694" s="1"/>
      <c r="O6694" s="1"/>
      <c r="P6694" s="1"/>
      <c r="Q6694" s="1"/>
      <c r="R6694" s="1"/>
      <c r="S6694" s="1"/>
      <c r="T6694" s="1"/>
      <c r="U6694" s="1"/>
      <c r="V6694" s="1"/>
      <c r="W6694" s="1"/>
      <c r="X6694" s="1"/>
      <c r="Y6694" s="1"/>
      <c r="Z6694" s="1"/>
      <c r="AA6694" s="1"/>
      <c r="AB6694" s="1"/>
    </row>
    <row r="6695" ht="50.25" customHeight="1">
      <c r="A6695" s="12">
        <v>6691.0</v>
      </c>
      <c r="B6695" s="13" t="s">
        <v>6141</v>
      </c>
      <c r="C6695" s="14" t="s">
        <v>6718</v>
      </c>
      <c r="D6695" s="1"/>
      <c r="E6695" s="1"/>
      <c r="F6695" s="1" t="str">
        <f>IFERROR(__xludf.DUMMYFUNCTION("GOOGLETRANSLATE(B6695, ""en"", ""fa"")
"),"موفقیت آمازون")</f>
        <v>موفقیت آمازون</v>
      </c>
      <c r="G6695" s="1" t="str">
        <f>IFERROR(__xludf.DUMMYFUNCTION("GOOGLETRANSLATE(C6695, ""en"", ""fa"")
"),"نکاتی را برای ایجاد تصاویر کوچک محصول چشم نواز به اشتراک بگذارید که مشتریان را ترغیب به کلیک و کاوش بیشتر کند.")</f>
        <v>نکاتی را برای ایجاد تصاویر کوچک محصول چشم نواز به اشتراک بگذارید که مشتریان را ترغیب به کلیک و کاوش بیشتر کند.</v>
      </c>
      <c r="H6695" s="1"/>
      <c r="I6695" s="1"/>
      <c r="J6695" s="1"/>
      <c r="K6695" s="1"/>
      <c r="L6695" s="1"/>
      <c r="M6695" s="1"/>
      <c r="N6695" s="1"/>
      <c r="O6695" s="1"/>
      <c r="P6695" s="1"/>
      <c r="Q6695" s="1"/>
      <c r="R6695" s="1"/>
      <c r="S6695" s="1"/>
      <c r="T6695" s="1"/>
      <c r="U6695" s="1"/>
      <c r="V6695" s="1"/>
      <c r="W6695" s="1"/>
      <c r="X6695" s="1"/>
      <c r="Y6695" s="1"/>
      <c r="Z6695" s="1"/>
      <c r="AA6695" s="1"/>
      <c r="AB6695" s="1"/>
    </row>
    <row r="6696" ht="50.25" customHeight="1">
      <c r="A6696" s="12">
        <v>6692.0</v>
      </c>
      <c r="B6696" s="13" t="s">
        <v>6141</v>
      </c>
      <c r="C6696" s="14" t="s">
        <v>6719</v>
      </c>
      <c r="D6696" s="1"/>
      <c r="E6696" s="1"/>
      <c r="F6696" s="1" t="str">
        <f>IFERROR(__xludf.DUMMYFUNCTION("GOOGLETRANSLATE(B6696, ""en"", ""fa"")
"),"موفقیت آمازون")</f>
        <v>موفقیت آمازون</v>
      </c>
      <c r="G6696" s="1" t="str">
        <f>IFERROR(__xludf.DUMMYFUNCTION("GOOGLETRANSLATE(C6696, ""en"", ""fa"")
"),"اهمیت بهینه سازی تصاویر محصول برای دستگاه های تلفن همراه را با در نظر گرفتن عواملی مانند اندازه تصویر، سرعت بارگذاری و سلسله مراتب بصری توضیح دهید.")</f>
        <v>اهمیت بهینه سازی تصاویر محصول برای دستگاه های تلفن همراه را با در نظر گرفتن عواملی مانند اندازه تصویر، سرعت بارگذاری و سلسله مراتب بصری توضیح دهید.</v>
      </c>
      <c r="H6696" s="1"/>
      <c r="I6696" s="1"/>
      <c r="J6696" s="1"/>
      <c r="K6696" s="1"/>
      <c r="L6696" s="1"/>
      <c r="M6696" s="1"/>
      <c r="N6696" s="1"/>
      <c r="O6696" s="1"/>
      <c r="P6696" s="1"/>
      <c r="Q6696" s="1"/>
      <c r="R6696" s="1"/>
      <c r="S6696" s="1"/>
      <c r="T6696" s="1"/>
      <c r="U6696" s="1"/>
      <c r="V6696" s="1"/>
      <c r="W6696" s="1"/>
      <c r="X6696" s="1"/>
      <c r="Y6696" s="1"/>
      <c r="Z6696" s="1"/>
      <c r="AA6696" s="1"/>
      <c r="AB6696" s="1"/>
    </row>
    <row r="6697" ht="50.25" customHeight="1">
      <c r="A6697" s="12">
        <v>6693.0</v>
      </c>
      <c r="B6697" s="13" t="s">
        <v>6141</v>
      </c>
      <c r="C6697" s="14" t="s">
        <v>6720</v>
      </c>
      <c r="D6697" s="1"/>
      <c r="E6697" s="1"/>
      <c r="F6697" s="1" t="str">
        <f>IFERROR(__xludf.DUMMYFUNCTION("GOOGLETRANSLATE(B6697, ""en"", ""fa"")
"),"موفقیت آمازون")</f>
        <v>موفقیت آمازون</v>
      </c>
      <c r="G6697" s="1" t="str">
        <f>IFERROR(__xludf.DUMMYFUNCTION("GOOGLETRANSLATE(C6697, ""en"", ""fa"")
"),"چگونه فروشندگان می توانند سبک زندگی مشتری یا تصاویر تولید شده توسط کاربر را در لیست محصولات خود بگنجانند تا اصالت و اثبات اجتماعی را افزایش دهند؟")</f>
        <v>چگونه فروشندگان می توانند سبک زندگی مشتری یا تصاویر تولید شده توسط کاربر را در لیست محصولات خود بگنجانند تا اصالت و اثبات اجتماعی را افزایش دهند؟</v>
      </c>
      <c r="H6697" s="1"/>
      <c r="I6697" s="1"/>
      <c r="J6697" s="1"/>
      <c r="K6697" s="1"/>
      <c r="L6697" s="1"/>
      <c r="M6697" s="1"/>
      <c r="N6697" s="1"/>
      <c r="O6697" s="1"/>
      <c r="P6697" s="1"/>
      <c r="Q6697" s="1"/>
      <c r="R6697" s="1"/>
      <c r="S6697" s="1"/>
      <c r="T6697" s="1"/>
      <c r="U6697" s="1"/>
      <c r="V6697" s="1"/>
      <c r="W6697" s="1"/>
      <c r="X6697" s="1"/>
      <c r="Y6697" s="1"/>
      <c r="Z6697" s="1"/>
      <c r="AA6697" s="1"/>
      <c r="AB6697" s="1"/>
    </row>
    <row r="6698" ht="50.25" customHeight="1">
      <c r="A6698" s="12">
        <v>6694.0</v>
      </c>
      <c r="B6698" s="13" t="s">
        <v>6141</v>
      </c>
      <c r="C6698" s="14" t="s">
        <v>6721</v>
      </c>
      <c r="D6698" s="1"/>
      <c r="E6698" s="1"/>
      <c r="F6698" s="1" t="str">
        <f>IFERROR(__xludf.DUMMYFUNCTION("GOOGLETRANSLATE(B6698, ""en"", ""fa"")
"),"موفقیت آمازون")</f>
        <v>موفقیت آمازون</v>
      </c>
      <c r="G6698" s="1" t="str">
        <f>IFERROR(__xludf.DUMMYFUNCTION("GOOGLETRANSLATE(C6698, ""en"", ""fa"")
"),"در مورد مزایای استفاده از مدل های حرفه ای یا عکاسان سبک زندگی برای ایجاد تصاویر جذاب و آرزویی محصول بحث کنید.")</f>
        <v>در مورد مزایای استفاده از مدل های حرفه ای یا عکاسان سبک زندگی برای ایجاد تصاویر جذاب و آرزویی محصول بحث کنید.</v>
      </c>
      <c r="H6698" s="1"/>
      <c r="I6698" s="1"/>
      <c r="J6698" s="1"/>
      <c r="K6698" s="1"/>
      <c r="L6698" s="1"/>
      <c r="M6698" s="1"/>
      <c r="N6698" s="1"/>
      <c r="O6698" s="1"/>
      <c r="P6698" s="1"/>
      <c r="Q6698" s="1"/>
      <c r="R6698" s="1"/>
      <c r="S6698" s="1"/>
      <c r="T6698" s="1"/>
      <c r="U6698" s="1"/>
      <c r="V6698" s="1"/>
      <c r="W6698" s="1"/>
      <c r="X6698" s="1"/>
      <c r="Y6698" s="1"/>
      <c r="Z6698" s="1"/>
      <c r="AA6698" s="1"/>
      <c r="AB6698" s="1"/>
    </row>
    <row r="6699" ht="50.25" customHeight="1">
      <c r="A6699" s="12">
        <v>6695.0</v>
      </c>
      <c r="B6699" s="13" t="s">
        <v>6141</v>
      </c>
      <c r="C6699" s="14" t="s">
        <v>6722</v>
      </c>
      <c r="D6699" s="1"/>
      <c r="E6699" s="1"/>
      <c r="F6699" s="1" t="str">
        <f>IFERROR(__xludf.DUMMYFUNCTION("GOOGLETRANSLATE(B6699, ""en"", ""fa"")
"),"موفقیت آمازون")</f>
        <v>موفقیت آمازون</v>
      </c>
      <c r="G6699" s="1" t="str">
        <f>IFERROR(__xludf.DUMMYFUNCTION("GOOGLETRANSLATE(C6699, ""en"", ""fa"")
"),"ملاحظات کلیدی هنگام عکاسی از محصولات با الگوها یا بافت های پیچیده برای اطمینان از نمایش دقیق چیست؟")</f>
        <v>ملاحظات کلیدی هنگام عکاسی از محصولات با الگوها یا بافت های پیچیده برای اطمینان از نمایش دقیق چیست؟</v>
      </c>
      <c r="H6699" s="1"/>
      <c r="I6699" s="1"/>
      <c r="J6699" s="1"/>
      <c r="K6699" s="1"/>
      <c r="L6699" s="1"/>
      <c r="M6699" s="1"/>
      <c r="N6699" s="1"/>
      <c r="O6699" s="1"/>
      <c r="P6699" s="1"/>
      <c r="Q6699" s="1"/>
      <c r="R6699" s="1"/>
      <c r="S6699" s="1"/>
      <c r="T6699" s="1"/>
      <c r="U6699" s="1"/>
      <c r="V6699" s="1"/>
      <c r="W6699" s="1"/>
      <c r="X6699" s="1"/>
      <c r="Y6699" s="1"/>
      <c r="Z6699" s="1"/>
      <c r="AA6699" s="1"/>
      <c r="AB6699" s="1"/>
    </row>
    <row r="6700" ht="50.25" customHeight="1">
      <c r="A6700" s="12">
        <v>6696.0</v>
      </c>
      <c r="B6700" s="13" t="s">
        <v>6141</v>
      </c>
      <c r="C6700" s="14" t="s">
        <v>6723</v>
      </c>
      <c r="D6700" s="1"/>
      <c r="E6700" s="1"/>
      <c r="F6700" s="1" t="str">
        <f>IFERROR(__xludf.DUMMYFUNCTION("GOOGLETRANSLATE(B6700, ""en"", ""fa"")
"),"موفقیت آمازون")</f>
        <v>موفقیت آمازون</v>
      </c>
      <c r="G6700" s="1" t="str">
        <f>IFERROR(__xludf.DUMMYFUNCTION("GOOGLETRANSLATE(C6700, ""en"", ""fa"")
"),"بینش‌هایی را در مورد چگونگی ثبت و انتقال مؤثر ابعاد و مقیاس محصول از طریق مکان‌یابی استراتژیک و نشانه‌های بصری به اشتراک بگذارید.")</f>
        <v>بینش‌هایی را در مورد چگونگی ثبت و انتقال مؤثر ابعاد و مقیاس محصول از طریق مکان‌یابی استراتژیک و نشانه‌های بصری به اشتراک بگذارید.</v>
      </c>
      <c r="H6700" s="1"/>
      <c r="I6700" s="1"/>
      <c r="J6700" s="1"/>
      <c r="K6700" s="1"/>
      <c r="L6700" s="1"/>
      <c r="M6700" s="1"/>
      <c r="N6700" s="1"/>
      <c r="O6700" s="1"/>
      <c r="P6700" s="1"/>
      <c r="Q6700" s="1"/>
      <c r="R6700" s="1"/>
      <c r="S6700" s="1"/>
      <c r="T6700" s="1"/>
      <c r="U6700" s="1"/>
      <c r="V6700" s="1"/>
      <c r="W6700" s="1"/>
      <c r="X6700" s="1"/>
      <c r="Y6700" s="1"/>
      <c r="Z6700" s="1"/>
      <c r="AA6700" s="1"/>
      <c r="AB6700" s="1"/>
    </row>
    <row r="6701" ht="50.25" customHeight="1">
      <c r="A6701" s="12">
        <v>6697.0</v>
      </c>
      <c r="B6701" s="13" t="s">
        <v>6141</v>
      </c>
      <c r="C6701" s="14" t="s">
        <v>6724</v>
      </c>
      <c r="D6701" s="1"/>
      <c r="E6701" s="1"/>
      <c r="F6701" s="1" t="str">
        <f>IFERROR(__xludf.DUMMYFUNCTION("GOOGLETRANSLATE(B6701, ""en"", ""fa"")
"),"موفقیت آمازون")</f>
        <v>موفقیت آمازون</v>
      </c>
      <c r="G6701" s="1" t="str">
        <f>IFERROR(__xludf.DUMMYFUNCTION("GOOGLETRANSLATE(C6701, ""en"", ""fa"")
"),"اهمیت یک ظاهر طراحی یکنواخت تصویر، مانند استفاده از پس‌زمینه، نورپردازی، و لوازم ثابت برای ایجاد یک کاتالوگ محصول منسجم را توضیح دهید.")</f>
        <v>اهمیت یک ظاهر طراحی یکنواخت تصویر، مانند استفاده از پس‌زمینه، نورپردازی، و لوازم ثابت برای ایجاد یک کاتالوگ محصول منسجم را توضیح دهید.</v>
      </c>
      <c r="H6701" s="1"/>
      <c r="I6701" s="1"/>
      <c r="J6701" s="1"/>
      <c r="K6701" s="1"/>
      <c r="L6701" s="1"/>
      <c r="M6701" s="1"/>
      <c r="N6701" s="1"/>
      <c r="O6701" s="1"/>
      <c r="P6701" s="1"/>
      <c r="Q6701" s="1"/>
      <c r="R6701" s="1"/>
      <c r="S6701" s="1"/>
      <c r="T6701" s="1"/>
      <c r="U6701" s="1"/>
      <c r="V6701" s="1"/>
      <c r="W6701" s="1"/>
      <c r="X6701" s="1"/>
      <c r="Y6701" s="1"/>
      <c r="Z6701" s="1"/>
      <c r="AA6701" s="1"/>
      <c r="AB6701" s="1"/>
    </row>
    <row r="6702" ht="50.25" customHeight="1">
      <c r="A6702" s="12">
        <v>6698.0</v>
      </c>
      <c r="B6702" s="13" t="s">
        <v>6141</v>
      </c>
      <c r="C6702" s="14" t="s">
        <v>6725</v>
      </c>
      <c r="D6702" s="1"/>
      <c r="E6702" s="1"/>
      <c r="F6702" s="1" t="str">
        <f>IFERROR(__xludf.DUMMYFUNCTION("GOOGLETRANSLATE(B6702, ""en"", ""fa"")
"),"موفقیت آمازون")</f>
        <v>موفقیت آمازون</v>
      </c>
      <c r="G6702" s="1" t="str">
        <f>IFERROR(__xludf.DUMMYFUNCTION("GOOGLETRANSLATE(C6702, ""en"", ""fa"")
"),"چگونه فروشندگان می توانند از صحنه سازی و لوازم خلاقانه محصول برای افزایش ارزش درک شده و مطلوبیت محصول استفاده کنند؟")</f>
        <v>چگونه فروشندگان می توانند از صحنه سازی و لوازم خلاقانه محصول برای افزایش ارزش درک شده و مطلوبیت محصول استفاده کنند؟</v>
      </c>
      <c r="H6702" s="1"/>
      <c r="I6702" s="1"/>
      <c r="J6702" s="1"/>
      <c r="K6702" s="1"/>
      <c r="L6702" s="1"/>
      <c r="M6702" s="1"/>
      <c r="N6702" s="1"/>
      <c r="O6702" s="1"/>
      <c r="P6702" s="1"/>
      <c r="Q6702" s="1"/>
      <c r="R6702" s="1"/>
      <c r="S6702" s="1"/>
      <c r="T6702" s="1"/>
      <c r="U6702" s="1"/>
      <c r="V6702" s="1"/>
      <c r="W6702" s="1"/>
      <c r="X6702" s="1"/>
      <c r="Y6702" s="1"/>
      <c r="Z6702" s="1"/>
      <c r="AA6702" s="1"/>
      <c r="AB6702" s="1"/>
    </row>
    <row r="6703" ht="50.25" customHeight="1">
      <c r="A6703" s="12">
        <v>6699.0</v>
      </c>
      <c r="B6703" s="13" t="s">
        <v>6141</v>
      </c>
      <c r="C6703" s="14" t="s">
        <v>6726</v>
      </c>
      <c r="D6703" s="1"/>
      <c r="E6703" s="1"/>
      <c r="F6703" s="1" t="str">
        <f>IFERROR(__xludf.DUMMYFUNCTION("GOOGLETRANSLATE(B6703, ""en"", ""fa"")
"),"موفقیت آمازون")</f>
        <v>موفقیت آمازون</v>
      </c>
      <c r="G6703" s="1" t="str">
        <f>IFERROR(__xludf.DUMMYFUNCTION("GOOGLETRANSLATE(C6703, ""en"", ""fa"")
"),"درباره نقش عکاسی محصول در ایجاد هویت برند قوی و انتقال ارزش ها و زیبایی شناسی برند بحث کنید.")</f>
        <v>درباره نقش عکاسی محصول در ایجاد هویت برند قوی و انتقال ارزش ها و زیبایی شناسی برند بحث کنید.</v>
      </c>
      <c r="H6703" s="1"/>
      <c r="I6703" s="1"/>
      <c r="J6703" s="1"/>
      <c r="K6703" s="1"/>
      <c r="L6703" s="1"/>
      <c r="M6703" s="1"/>
      <c r="N6703" s="1"/>
      <c r="O6703" s="1"/>
      <c r="P6703" s="1"/>
      <c r="Q6703" s="1"/>
      <c r="R6703" s="1"/>
      <c r="S6703" s="1"/>
      <c r="T6703" s="1"/>
      <c r="U6703" s="1"/>
      <c r="V6703" s="1"/>
      <c r="W6703" s="1"/>
      <c r="X6703" s="1"/>
      <c r="Y6703" s="1"/>
      <c r="Z6703" s="1"/>
      <c r="AA6703" s="1"/>
      <c r="AB6703" s="1"/>
    </row>
    <row r="6704" ht="50.25" customHeight="1">
      <c r="A6704" s="12">
        <v>6700.0</v>
      </c>
      <c r="B6704" s="13" t="s">
        <v>6141</v>
      </c>
      <c r="C6704" s="14" t="s">
        <v>6727</v>
      </c>
      <c r="D6704" s="1"/>
      <c r="E6704" s="1"/>
      <c r="F6704" s="1" t="str">
        <f>IFERROR(__xludf.DUMMYFUNCTION("GOOGLETRANSLATE(B6704, ""en"", ""fa"")
"),"موفقیت آمازون")</f>
        <v>موفقیت آمازون</v>
      </c>
      <c r="G6704" s="1" t="str">
        <f>IFERROR(__xludf.DUMMYFUNCTION("GOOGLETRANSLATE(C6704, ""en"", ""fa"")
"),"بهترین روش ها برای عکاسی از محصولات در محیط های مختلف، مانند محیط های بیرونی یا استودیویی، برای پاسخگویی به دسته های مختلف محصولات چیست؟")</f>
        <v>بهترین روش ها برای عکاسی از محصولات در محیط های مختلف، مانند محیط های بیرونی یا استودیویی، برای پاسخگویی به دسته های مختلف محصولات چیست؟</v>
      </c>
      <c r="H6704" s="1"/>
      <c r="I6704" s="1"/>
      <c r="J6704" s="1"/>
      <c r="K6704" s="1"/>
      <c r="L6704" s="1"/>
      <c r="M6704" s="1"/>
      <c r="N6704" s="1"/>
      <c r="O6704" s="1"/>
      <c r="P6704" s="1"/>
      <c r="Q6704" s="1"/>
      <c r="R6704" s="1"/>
      <c r="S6704" s="1"/>
      <c r="T6704" s="1"/>
      <c r="U6704" s="1"/>
      <c r="V6704" s="1"/>
      <c r="W6704" s="1"/>
      <c r="X6704" s="1"/>
      <c r="Y6704" s="1"/>
      <c r="Z6704" s="1"/>
      <c r="AA6704" s="1"/>
      <c r="AB6704" s="1"/>
    </row>
    <row r="6705" ht="50.25" customHeight="1">
      <c r="A6705" s="12">
        <v>6701.0</v>
      </c>
      <c r="B6705" s="13" t="s">
        <v>6141</v>
      </c>
      <c r="C6705" s="14" t="s">
        <v>6728</v>
      </c>
      <c r="D6705" s="1"/>
      <c r="E6705" s="1"/>
      <c r="F6705" s="1" t="str">
        <f>IFERROR(__xludf.DUMMYFUNCTION("GOOGLETRANSLATE(B6705, ""en"", ""fa"")
"),"موفقیت آمازون")</f>
        <v>موفقیت آمازون</v>
      </c>
      <c r="G6705" s="1" t="str">
        <f>IFERROR(__xludf.DUMMYFUNCTION("GOOGLETRANSLATE(C6705, ""en"", ""fa"")
"),"نکاتی را برای عکاسی از محصولات با عناصر شفاف یا شفاف به اشتراک بگذارید تا ویژگی های منحصر به فرد آنها را با دقت ثبت کنید.")</f>
        <v>نکاتی را برای عکاسی از محصولات با عناصر شفاف یا شفاف به اشتراک بگذارید تا ویژگی های منحصر به فرد آنها را با دقت ثبت کنید.</v>
      </c>
      <c r="H6705" s="1"/>
      <c r="I6705" s="1"/>
      <c r="J6705" s="1"/>
      <c r="K6705" s="1"/>
      <c r="L6705" s="1"/>
      <c r="M6705" s="1"/>
      <c r="N6705" s="1"/>
      <c r="O6705" s="1"/>
      <c r="P6705" s="1"/>
      <c r="Q6705" s="1"/>
      <c r="R6705" s="1"/>
      <c r="S6705" s="1"/>
      <c r="T6705" s="1"/>
      <c r="U6705" s="1"/>
      <c r="V6705" s="1"/>
      <c r="W6705" s="1"/>
      <c r="X6705" s="1"/>
      <c r="Y6705" s="1"/>
      <c r="Z6705" s="1"/>
      <c r="AA6705" s="1"/>
      <c r="AB6705" s="1"/>
    </row>
    <row r="6706" ht="50.25" customHeight="1">
      <c r="A6706" s="12">
        <v>6702.0</v>
      </c>
      <c r="B6706" s="13" t="s">
        <v>6141</v>
      </c>
      <c r="C6706" s="14" t="s">
        <v>6729</v>
      </c>
      <c r="D6706" s="1"/>
      <c r="E6706" s="1"/>
      <c r="F6706" s="1" t="str">
        <f>IFERROR(__xludf.DUMMYFUNCTION("GOOGLETRANSLATE(B6706, ""en"", ""fa"")
"),"موفقیت آمازون")</f>
        <v>موفقیت آمازون</v>
      </c>
      <c r="G6706" s="1" t="str">
        <f>IFERROR(__xludf.DUMMYFUNCTION("GOOGLETRANSLATE(C6706, ""en"", ""fa"")
"),"اهمیت انجام تحقیقات رقبا و به روز ماندن با روندهای صنعت برای بهبود مستمر عکاسی محصول را توضیح دهید.")</f>
        <v>اهمیت انجام تحقیقات رقبا و به روز ماندن با روندهای صنعت برای بهبود مستمر عکاسی محصول را توضیح دهید.</v>
      </c>
      <c r="H6706" s="1"/>
      <c r="I6706" s="1"/>
      <c r="J6706" s="1"/>
      <c r="K6706" s="1"/>
      <c r="L6706" s="1"/>
      <c r="M6706" s="1"/>
      <c r="N6706" s="1"/>
      <c r="O6706" s="1"/>
      <c r="P6706" s="1"/>
      <c r="Q6706" s="1"/>
      <c r="R6706" s="1"/>
      <c r="S6706" s="1"/>
      <c r="T6706" s="1"/>
      <c r="U6706" s="1"/>
      <c r="V6706" s="1"/>
      <c r="W6706" s="1"/>
      <c r="X6706" s="1"/>
      <c r="Y6706" s="1"/>
      <c r="Z6706" s="1"/>
      <c r="AA6706" s="1"/>
      <c r="AB6706" s="1"/>
    </row>
    <row r="6707" ht="50.25" customHeight="1">
      <c r="A6707" s="12">
        <v>6703.0</v>
      </c>
      <c r="B6707" s="13" t="s">
        <v>6141</v>
      </c>
      <c r="C6707" s="14" t="s">
        <v>6730</v>
      </c>
      <c r="D6707" s="1"/>
      <c r="E6707" s="1"/>
      <c r="F6707" s="1" t="str">
        <f>IFERROR(__xludf.DUMMYFUNCTION("GOOGLETRANSLATE(B6707, ""en"", ""fa"")
"),"موفقیت آمازون")</f>
        <v>موفقیت آمازون</v>
      </c>
      <c r="G6707" s="1" t="str">
        <f>IFERROR(__xludf.DUMMYFUNCTION("GOOGLETRANSLATE(C6707, ""en"", ""fa"")
"),"چگونه فروشندگان می توانند تصاویر محصول را برای فناوری های جستجوی بصری و موتورهای جستجوی مبتنی بر تصویر بهینه کنند؟")</f>
        <v>چگونه فروشندگان می توانند تصاویر محصول را برای فناوری های جستجوی بصری و موتورهای جستجوی مبتنی بر تصویر بهینه کنند؟</v>
      </c>
      <c r="H6707" s="1"/>
      <c r="I6707" s="1"/>
      <c r="J6707" s="1"/>
      <c r="K6707" s="1"/>
      <c r="L6707" s="1"/>
      <c r="M6707" s="1"/>
      <c r="N6707" s="1"/>
      <c r="O6707" s="1"/>
      <c r="P6707" s="1"/>
      <c r="Q6707" s="1"/>
      <c r="R6707" s="1"/>
      <c r="S6707" s="1"/>
      <c r="T6707" s="1"/>
      <c r="U6707" s="1"/>
      <c r="V6707" s="1"/>
      <c r="W6707" s="1"/>
      <c r="X6707" s="1"/>
      <c r="Y6707" s="1"/>
      <c r="Z6707" s="1"/>
      <c r="AA6707" s="1"/>
      <c r="AB6707" s="1"/>
    </row>
    <row r="6708" ht="50.25" customHeight="1">
      <c r="A6708" s="12">
        <v>6704.0</v>
      </c>
      <c r="B6708" s="13" t="s">
        <v>6141</v>
      </c>
      <c r="C6708" s="14" t="s">
        <v>6731</v>
      </c>
      <c r="D6708" s="1"/>
      <c r="E6708" s="1"/>
      <c r="F6708" s="1" t="str">
        <f>IFERROR(__xludf.DUMMYFUNCTION("GOOGLETRANSLATE(B6708, ""en"", ""fa"")
"),"موفقیت آمازون")</f>
        <v>موفقیت آمازون</v>
      </c>
      <c r="G6708" s="1" t="str">
        <f>IFERROR(__xludf.DUMMYFUNCTION("GOOGLETRANSLATE(C6708, ""en"", ""fa"")
"),"در مورد مزایای استفاده از شیوه زندگی یا عکاسی محصول محیطی برای نشان دادن سازگاری محصول با سبک زندگی یا تنظیمات خاص بحث کنید.")</f>
        <v>در مورد مزایای استفاده از شیوه زندگی یا عکاسی محصول محیطی برای نشان دادن سازگاری محصول با سبک زندگی یا تنظیمات خاص بحث کنید.</v>
      </c>
      <c r="H6708" s="1"/>
      <c r="I6708" s="1"/>
      <c r="J6708" s="1"/>
      <c r="K6708" s="1"/>
      <c r="L6708" s="1"/>
      <c r="M6708" s="1"/>
      <c r="N6708" s="1"/>
      <c r="O6708" s="1"/>
      <c r="P6708" s="1"/>
      <c r="Q6708" s="1"/>
      <c r="R6708" s="1"/>
      <c r="S6708" s="1"/>
      <c r="T6708" s="1"/>
      <c r="U6708" s="1"/>
      <c r="V6708" s="1"/>
      <c r="W6708" s="1"/>
      <c r="X6708" s="1"/>
      <c r="Y6708" s="1"/>
      <c r="Z6708" s="1"/>
      <c r="AA6708" s="1"/>
      <c r="AB6708" s="1"/>
    </row>
    <row r="6709" ht="50.25" customHeight="1">
      <c r="A6709" s="12">
        <v>6705.0</v>
      </c>
      <c r="B6709" s="13" t="s">
        <v>6141</v>
      </c>
      <c r="C6709" s="14" t="s">
        <v>6732</v>
      </c>
      <c r="D6709" s="1"/>
      <c r="E6709" s="1"/>
      <c r="F6709" s="1" t="str">
        <f>IFERROR(__xludf.DUMMYFUNCTION("GOOGLETRANSLATE(B6709, ""en"", ""fa"")
"),"موفقیت آمازون")</f>
        <v>موفقیت آمازون</v>
      </c>
      <c r="G6709" s="1" t="str">
        <f>IFERROR(__xludf.DUMMYFUNCTION("GOOGLETRANSLATE(C6709, ""en"", ""fa"")
"),"ملاحظات کلیدی هنگام عکاسی از محصولاتی که نیاز به مونتاژ دارند یا شامل اجزای متعددی هستند تا درک جامعی به مشتریان ارائه کنند چیست؟")</f>
        <v>ملاحظات کلیدی هنگام عکاسی از محصولاتی که نیاز به مونتاژ دارند یا شامل اجزای متعددی هستند تا درک جامعی به مشتریان ارائه کنند چیست؟</v>
      </c>
      <c r="H6709" s="1"/>
      <c r="I6709" s="1"/>
      <c r="J6709" s="1"/>
      <c r="K6709" s="1"/>
      <c r="L6709" s="1"/>
      <c r="M6709" s="1"/>
      <c r="N6709" s="1"/>
      <c r="O6709" s="1"/>
      <c r="P6709" s="1"/>
      <c r="Q6709" s="1"/>
      <c r="R6709" s="1"/>
      <c r="S6709" s="1"/>
      <c r="T6709" s="1"/>
      <c r="U6709" s="1"/>
      <c r="V6709" s="1"/>
      <c r="W6709" s="1"/>
      <c r="X6709" s="1"/>
      <c r="Y6709" s="1"/>
      <c r="Z6709" s="1"/>
      <c r="AA6709" s="1"/>
      <c r="AB6709" s="1"/>
    </row>
    <row r="6710" ht="50.25" customHeight="1">
      <c r="A6710" s="12">
        <v>6706.0</v>
      </c>
      <c r="B6710" s="13" t="s">
        <v>6141</v>
      </c>
      <c r="C6710" s="14" t="s">
        <v>6733</v>
      </c>
      <c r="D6710" s="1"/>
      <c r="E6710" s="1"/>
      <c r="F6710" s="1" t="str">
        <f>IFERROR(__xludf.DUMMYFUNCTION("GOOGLETRANSLATE(B6710, ""en"", ""fa"")
"),"موفقیت آمازون")</f>
        <v>موفقیت آمازون</v>
      </c>
      <c r="G6710" s="1" t="str">
        <f>IFERROR(__xludf.DUMMYFUNCTION("GOOGLETRANSLATE(C6710, ""en"", ""fa"")
"),"درباره نحوه عکاسی موثر از محصولات با سطوح مختلف، مانند براق، مات یا فلزی، اطلاعاتی را به اشتراک بگذارید تا ویژگی‌های منحصر به فرد آنها را به تصویر بکشید.")</f>
        <v>درباره نحوه عکاسی موثر از محصولات با سطوح مختلف، مانند براق، مات یا فلزی، اطلاعاتی را به اشتراک بگذارید تا ویژگی‌های منحصر به فرد آنها را به تصویر بکشید.</v>
      </c>
      <c r="H6710" s="1"/>
      <c r="I6710" s="1"/>
      <c r="J6710" s="1"/>
      <c r="K6710" s="1"/>
      <c r="L6710" s="1"/>
      <c r="M6710" s="1"/>
      <c r="N6710" s="1"/>
      <c r="O6710" s="1"/>
      <c r="P6710" s="1"/>
      <c r="Q6710" s="1"/>
      <c r="R6710" s="1"/>
      <c r="S6710" s="1"/>
      <c r="T6710" s="1"/>
      <c r="U6710" s="1"/>
      <c r="V6710" s="1"/>
      <c r="W6710" s="1"/>
      <c r="X6710" s="1"/>
      <c r="Y6710" s="1"/>
      <c r="Z6710" s="1"/>
      <c r="AA6710" s="1"/>
      <c r="AB6710" s="1"/>
    </row>
    <row r="6711" ht="50.25" customHeight="1">
      <c r="A6711" s="12">
        <v>6707.0</v>
      </c>
      <c r="B6711" s="13" t="s">
        <v>6141</v>
      </c>
      <c r="C6711" s="14" t="s">
        <v>6734</v>
      </c>
      <c r="D6711" s="1"/>
      <c r="E6711" s="1"/>
      <c r="F6711" s="1" t="str">
        <f>IFERROR(__xludf.DUMMYFUNCTION("GOOGLETRANSLATE(B6711, ""en"", ""fa"")
"),"موفقیت آمازون")</f>
        <v>موفقیت آمازون</v>
      </c>
      <c r="G6711" s="1" t="str">
        <f>IFERROR(__xludf.DUMMYFUNCTION("GOOGLETRANSLATE(C6711, ""en"", ""fa"")
"),"اهمیت ترکیب عناصر داستان سرایی یا روایت های بصری را در عکاسی محصول برای جذب و جذب مشتریان توضیح دهید.")</f>
        <v>اهمیت ترکیب عناصر داستان سرایی یا روایت های بصری را در عکاسی محصول برای جذب و جذب مشتریان توضیح دهید.</v>
      </c>
      <c r="H6711" s="1"/>
      <c r="I6711" s="1"/>
      <c r="J6711" s="1"/>
      <c r="K6711" s="1"/>
      <c r="L6711" s="1"/>
      <c r="M6711" s="1"/>
      <c r="N6711" s="1"/>
      <c r="O6711" s="1"/>
      <c r="P6711" s="1"/>
      <c r="Q6711" s="1"/>
      <c r="R6711" s="1"/>
      <c r="S6711" s="1"/>
      <c r="T6711" s="1"/>
      <c r="U6711" s="1"/>
      <c r="V6711" s="1"/>
      <c r="W6711" s="1"/>
      <c r="X6711" s="1"/>
      <c r="Y6711" s="1"/>
      <c r="Z6711" s="1"/>
      <c r="AA6711" s="1"/>
      <c r="AB6711" s="1"/>
    </row>
    <row r="6712" ht="50.25" customHeight="1">
      <c r="A6712" s="12">
        <v>6708.0</v>
      </c>
      <c r="B6712" s="13" t="s">
        <v>6141</v>
      </c>
      <c r="C6712" s="14" t="s">
        <v>6735</v>
      </c>
      <c r="D6712" s="1"/>
      <c r="E6712" s="1"/>
      <c r="F6712" s="1" t="str">
        <f>IFERROR(__xludf.DUMMYFUNCTION("GOOGLETRANSLATE(B6712, ""en"", ""fa"")
"),"موفقیت آمازون")</f>
        <v>موفقیت آمازون</v>
      </c>
      <c r="G6712" s="1" t="str">
        <f>IFERROR(__xludf.DUMMYFUNCTION("GOOGLETRANSLATE(C6712, ""en"", ""fa"")
"),"چگونه فروشندگان می توانند از عکاسی محصول برای انتقال حس لوکس بودن، انحصاری بودن یا کیفیت برتر برای محصولات گران قیمت یا لوکس استفاده کنند؟")</f>
        <v>چگونه فروشندگان می توانند از عکاسی محصول برای انتقال حس لوکس بودن، انحصاری بودن یا کیفیت برتر برای محصولات گران قیمت یا لوکس استفاده کنند؟</v>
      </c>
      <c r="H6712" s="1"/>
      <c r="I6712" s="1"/>
      <c r="J6712" s="1"/>
      <c r="K6712" s="1"/>
      <c r="L6712" s="1"/>
      <c r="M6712" s="1"/>
      <c r="N6712" s="1"/>
      <c r="O6712" s="1"/>
      <c r="P6712" s="1"/>
      <c r="Q6712" s="1"/>
      <c r="R6712" s="1"/>
      <c r="S6712" s="1"/>
      <c r="T6712" s="1"/>
      <c r="U6712" s="1"/>
      <c r="V6712" s="1"/>
      <c r="W6712" s="1"/>
      <c r="X6712" s="1"/>
      <c r="Y6712" s="1"/>
      <c r="Z6712" s="1"/>
      <c r="AA6712" s="1"/>
      <c r="AB6712" s="1"/>
    </row>
    <row r="6713" ht="50.25" customHeight="1">
      <c r="A6713" s="12">
        <v>6709.0</v>
      </c>
      <c r="B6713" s="13" t="s">
        <v>6141</v>
      </c>
      <c r="C6713" s="14" t="s">
        <v>6736</v>
      </c>
      <c r="D6713" s="1"/>
      <c r="E6713" s="1"/>
      <c r="F6713" s="1" t="str">
        <f>IFERROR(__xludf.DUMMYFUNCTION("GOOGLETRANSLATE(B6713, ""en"", ""fa"")
"),"موفقیت آمازون")</f>
        <v>موفقیت آمازون</v>
      </c>
      <c r="G6713" s="1" t="str">
        <f>IFERROR(__xludf.DUMMYFUNCTION("GOOGLETRANSLATE(C6713, ""en"", ""fa"")
"),"در مورد نقش بازخورد مشتری و تجزیه و تحلیل داده ها در شناسایی فرصت ها برای بهینه سازی و بهبود عکاسی محصول بحث کنید.")</f>
        <v>در مورد نقش بازخورد مشتری و تجزیه و تحلیل داده ها در شناسایی فرصت ها برای بهینه سازی و بهبود عکاسی محصول بحث کنید.</v>
      </c>
      <c r="H6713" s="1"/>
      <c r="I6713" s="1"/>
      <c r="J6713" s="1"/>
      <c r="K6713" s="1"/>
      <c r="L6713" s="1"/>
      <c r="M6713" s="1"/>
      <c r="N6713" s="1"/>
      <c r="O6713" s="1"/>
      <c r="P6713" s="1"/>
      <c r="Q6713" s="1"/>
      <c r="R6713" s="1"/>
      <c r="S6713" s="1"/>
      <c r="T6713" s="1"/>
      <c r="U6713" s="1"/>
      <c r="V6713" s="1"/>
      <c r="W6713" s="1"/>
      <c r="X6713" s="1"/>
      <c r="Y6713" s="1"/>
      <c r="Z6713" s="1"/>
      <c r="AA6713" s="1"/>
      <c r="AB6713" s="1"/>
    </row>
    <row r="6714" ht="50.25" customHeight="1">
      <c r="A6714" s="12">
        <v>6710.0</v>
      </c>
      <c r="B6714" s="13" t="s">
        <v>6141</v>
      </c>
      <c r="C6714" s="14" t="s">
        <v>6737</v>
      </c>
      <c r="D6714" s="1"/>
      <c r="E6714" s="1"/>
      <c r="F6714" s="1" t="str">
        <f>IFERROR(__xludf.DUMMYFUNCTION("GOOGLETRANSLATE(B6714, ""en"", ""fa"")
"),"موفقیت آمازون")</f>
        <v>موفقیت آمازون</v>
      </c>
      <c r="G6714" s="1" t="str">
        <f>IFERROR(__xludf.DUMMYFUNCTION("GOOGLETRANSLATE(C6714, ""en"", ""fa"")
"),"در مورد مزایای اجرای تبلیغات محصول حمایت شده برای افزایش دید محصول و افزایش فروش در آمازون بحث کنید.")</f>
        <v>در مورد مزایای اجرای تبلیغات محصول حمایت شده برای افزایش دید محصول و افزایش فروش در آمازون بحث کنید.</v>
      </c>
      <c r="H6714" s="1"/>
      <c r="I6714" s="1"/>
      <c r="J6714" s="1"/>
      <c r="K6714" s="1"/>
      <c r="L6714" s="1"/>
      <c r="M6714" s="1"/>
      <c r="N6714" s="1"/>
      <c r="O6714" s="1"/>
      <c r="P6714" s="1"/>
      <c r="Q6714" s="1"/>
      <c r="R6714" s="1"/>
      <c r="S6714" s="1"/>
      <c r="T6714" s="1"/>
      <c r="U6714" s="1"/>
      <c r="V6714" s="1"/>
      <c r="W6714" s="1"/>
      <c r="X6714" s="1"/>
      <c r="Y6714" s="1"/>
      <c r="Z6714" s="1"/>
      <c r="AA6714" s="1"/>
      <c r="AB6714" s="1"/>
    </row>
    <row r="6715" ht="50.25" customHeight="1">
      <c r="A6715" s="12">
        <v>6711.0</v>
      </c>
      <c r="B6715" s="13" t="s">
        <v>6141</v>
      </c>
      <c r="C6715" s="14" t="s">
        <v>6738</v>
      </c>
      <c r="D6715" s="1"/>
      <c r="E6715" s="1"/>
      <c r="F6715" s="1" t="str">
        <f>IFERROR(__xludf.DUMMYFUNCTION("GOOGLETRANSLATE(B6715, ""en"", ""fa"")
"),"موفقیت آمازون")</f>
        <v>موفقیت آمازون</v>
      </c>
      <c r="G6715" s="1" t="str">
        <f>IFERROR(__xludf.DUMMYFUNCTION("GOOGLETRANSLATE(C6715, ""en"", ""fa"")
"),"نکاتی را برای انجام تحقیقات کلمات کلیدی برای شناسایی کلمات کلیدی مرتبط و با تبدیل بالا برای کمپین های تبلیغاتی آمازون به اشتراک بگذارید.")</f>
        <v>نکاتی را برای انجام تحقیقات کلمات کلیدی برای شناسایی کلمات کلیدی مرتبط و با تبدیل بالا برای کمپین های تبلیغاتی آمازون به اشتراک بگذارید.</v>
      </c>
      <c r="H6715" s="1"/>
      <c r="I6715" s="1"/>
      <c r="J6715" s="1"/>
      <c r="K6715" s="1"/>
      <c r="L6715" s="1"/>
      <c r="M6715" s="1"/>
      <c r="N6715" s="1"/>
      <c r="O6715" s="1"/>
      <c r="P6715" s="1"/>
      <c r="Q6715" s="1"/>
      <c r="R6715" s="1"/>
      <c r="S6715" s="1"/>
      <c r="T6715" s="1"/>
      <c r="U6715" s="1"/>
      <c r="V6715" s="1"/>
      <c r="W6715" s="1"/>
      <c r="X6715" s="1"/>
      <c r="Y6715" s="1"/>
      <c r="Z6715" s="1"/>
      <c r="AA6715" s="1"/>
      <c r="AB6715" s="1"/>
    </row>
    <row r="6716" ht="50.25" customHeight="1">
      <c r="A6716" s="12">
        <v>6712.0</v>
      </c>
      <c r="B6716" s="13" t="s">
        <v>6141</v>
      </c>
      <c r="C6716" s="14" t="s">
        <v>6739</v>
      </c>
      <c r="D6716" s="1"/>
      <c r="E6716" s="1"/>
      <c r="F6716" s="1" t="str">
        <f>IFERROR(__xludf.DUMMYFUNCTION("GOOGLETRANSLATE(B6716, ""en"", ""fa"")
"),"موفقیت آمازون")</f>
        <v>موفقیت آمازون</v>
      </c>
      <c r="G6716" s="1" t="str">
        <f>IFERROR(__xludf.DUMMYFUNCTION("GOOGLETRANSLATE(C6716, ""en"", ""fa"")
"),"اهمیت بهینه سازی لیست محصولات و محتوا را قبل از راه اندازی کمپین های تبلیغاتی آمازون برای حداکثر اثربخشی توضیح دهید.")</f>
        <v>اهمیت بهینه سازی لیست محصولات و محتوا را قبل از راه اندازی کمپین های تبلیغاتی آمازون برای حداکثر اثربخشی توضیح دهید.</v>
      </c>
      <c r="H6716" s="1"/>
      <c r="I6716" s="1"/>
      <c r="J6716" s="1"/>
      <c r="K6716" s="1"/>
      <c r="L6716" s="1"/>
      <c r="M6716" s="1"/>
      <c r="N6716" s="1"/>
      <c r="O6716" s="1"/>
      <c r="P6716" s="1"/>
      <c r="Q6716" s="1"/>
      <c r="R6716" s="1"/>
      <c r="S6716" s="1"/>
      <c r="T6716" s="1"/>
      <c r="U6716" s="1"/>
      <c r="V6716" s="1"/>
      <c r="W6716" s="1"/>
      <c r="X6716" s="1"/>
      <c r="Y6716" s="1"/>
      <c r="Z6716" s="1"/>
      <c r="AA6716" s="1"/>
      <c r="AB6716" s="1"/>
    </row>
    <row r="6717" ht="50.25" customHeight="1">
      <c r="A6717" s="12">
        <v>6713.0</v>
      </c>
      <c r="B6717" s="13" t="s">
        <v>6141</v>
      </c>
      <c r="C6717" s="14" t="s">
        <v>6740</v>
      </c>
      <c r="D6717" s="1"/>
      <c r="E6717" s="1"/>
      <c r="F6717" s="1" t="str">
        <f>IFERROR(__xludf.DUMMYFUNCTION("GOOGLETRANSLATE(B6717, ""en"", ""fa"")
"),"موفقیت آمازون")</f>
        <v>موفقیت آمازون</v>
      </c>
      <c r="G6717" s="1" t="str">
        <f>IFERROR(__xludf.DUMMYFUNCTION("GOOGLETRANSLATE(C6717, ""en"", ""fa"")
"),"چگونه فروشندگان می‌توانند از کمپین‌های هدف‌گیری خودکار برای جمع‌آوری داده‌های کلیدی ارزشمند و اصلاح استراتژی‌های تبلیغاتی خود استفاده کنند؟")</f>
        <v>چگونه فروشندگان می‌توانند از کمپین‌های هدف‌گیری خودکار برای جمع‌آوری داده‌های کلیدی ارزشمند و اصلاح استراتژی‌های تبلیغاتی خود استفاده کنند؟</v>
      </c>
      <c r="H6717" s="1"/>
      <c r="I6717" s="1"/>
      <c r="J6717" s="1"/>
      <c r="K6717" s="1"/>
      <c r="L6717" s="1"/>
      <c r="M6717" s="1"/>
      <c r="N6717" s="1"/>
      <c r="O6717" s="1"/>
      <c r="P6717" s="1"/>
      <c r="Q6717" s="1"/>
      <c r="R6717" s="1"/>
      <c r="S6717" s="1"/>
      <c r="T6717" s="1"/>
      <c r="U6717" s="1"/>
      <c r="V6717" s="1"/>
      <c r="W6717" s="1"/>
      <c r="X6717" s="1"/>
      <c r="Y6717" s="1"/>
      <c r="Z6717" s="1"/>
      <c r="AA6717" s="1"/>
      <c r="AB6717" s="1"/>
    </row>
    <row r="6718" ht="50.25" customHeight="1">
      <c r="A6718" s="12">
        <v>6714.0</v>
      </c>
      <c r="B6718" s="13" t="s">
        <v>6141</v>
      </c>
      <c r="C6718" s="14" t="s">
        <v>6741</v>
      </c>
      <c r="D6718" s="1"/>
      <c r="E6718" s="1"/>
      <c r="F6718" s="1" t="str">
        <f>IFERROR(__xludf.DUMMYFUNCTION("GOOGLETRANSLATE(B6718, ""en"", ""fa"")
"),"موفقیت آمازون")</f>
        <v>موفقیت آمازون</v>
      </c>
      <c r="G6718" s="1" t="str">
        <f>IFERROR(__xludf.DUMMYFUNCTION("GOOGLETRANSLATE(C6718, ""en"", ""fa"")
"),"در مورد نقش تبلیغات برند حمایت شده در ارتقای آگاهی از برند، وفاداری مشتری و افزایش فروش کلی بحث کنید.")</f>
        <v>در مورد نقش تبلیغات برند حمایت شده در ارتقای آگاهی از برند، وفاداری مشتری و افزایش فروش کلی بحث کنید.</v>
      </c>
      <c r="H6718" s="1"/>
      <c r="I6718" s="1"/>
      <c r="J6718" s="1"/>
      <c r="K6718" s="1"/>
      <c r="L6718" s="1"/>
      <c r="M6718" s="1"/>
      <c r="N6718" s="1"/>
      <c r="O6718" s="1"/>
      <c r="P6718" s="1"/>
      <c r="Q6718" s="1"/>
      <c r="R6718" s="1"/>
      <c r="S6718" s="1"/>
      <c r="T6718" s="1"/>
      <c r="U6718" s="1"/>
      <c r="V6718" s="1"/>
      <c r="W6718" s="1"/>
      <c r="X6718" s="1"/>
      <c r="Y6718" s="1"/>
      <c r="Z6718" s="1"/>
      <c r="AA6718" s="1"/>
      <c r="AB6718" s="1"/>
    </row>
    <row r="6719" ht="50.25" customHeight="1">
      <c r="A6719" s="12">
        <v>6715.0</v>
      </c>
      <c r="B6719" s="13" t="s">
        <v>6141</v>
      </c>
      <c r="C6719" s="14" t="s">
        <v>6742</v>
      </c>
      <c r="D6719" s="1"/>
      <c r="E6719" s="1"/>
      <c r="F6719" s="1" t="str">
        <f>IFERROR(__xludf.DUMMYFUNCTION("GOOGLETRANSLATE(B6719, ""en"", ""fa"")
"),"موفقیت آمازون")</f>
        <v>موفقیت آمازون</v>
      </c>
      <c r="G6719" s="1" t="str">
        <f>IFERROR(__xludf.DUMMYFUNCTION("GOOGLETRANSLATE(C6719, ""en"", ""fa"")
"),"ملاحظات کلیدی هنگام تنظیم بودجه تبلیغات و استراتژی های پیشنهادی برای به حداکثر رساندن بازگشت سرمایه (ROI) برای کمپین های تبلیغاتی آمازون چیست؟")</f>
        <v>ملاحظات کلیدی هنگام تنظیم بودجه تبلیغات و استراتژی های پیشنهادی برای به حداکثر رساندن بازگشت سرمایه (ROI) برای کمپین های تبلیغاتی آمازون چیست؟</v>
      </c>
      <c r="H6719" s="1"/>
      <c r="I6719" s="1"/>
      <c r="J6719" s="1"/>
      <c r="K6719" s="1"/>
      <c r="L6719" s="1"/>
      <c r="M6719" s="1"/>
      <c r="N6719" s="1"/>
      <c r="O6719" s="1"/>
      <c r="P6719" s="1"/>
      <c r="Q6719" s="1"/>
      <c r="R6719" s="1"/>
      <c r="S6719" s="1"/>
      <c r="T6719" s="1"/>
      <c r="U6719" s="1"/>
      <c r="V6719" s="1"/>
      <c r="W6719" s="1"/>
      <c r="X6719" s="1"/>
      <c r="Y6719" s="1"/>
      <c r="Z6719" s="1"/>
      <c r="AA6719" s="1"/>
      <c r="AB6719" s="1"/>
    </row>
    <row r="6720" ht="50.25" customHeight="1">
      <c r="A6720" s="12">
        <v>6716.0</v>
      </c>
      <c r="B6720" s="13" t="s">
        <v>6141</v>
      </c>
      <c r="C6720" s="14" t="s">
        <v>6743</v>
      </c>
      <c r="D6720" s="1"/>
      <c r="E6720" s="1"/>
      <c r="F6720" s="1" t="str">
        <f>IFERROR(__xludf.DUMMYFUNCTION("GOOGLETRANSLATE(B6720, ""en"", ""fa"")
"),"موفقیت آمازون")</f>
        <v>موفقیت آمازون</v>
      </c>
      <c r="G6720" s="1" t="str">
        <f>IFERROR(__xludf.DUMMYFUNCTION("GOOGLETRANSLATE(C6720, ""en"", ""fa"")
"),"بینش هایی در مورد چگونگی ساختار و سازماندهی موثر کمپین های تبلیغاتی، گروه های تبلیغاتی و کلمات کلیدی برای مدیریت بهتر کمپین به اشتراک بگذارید.")</f>
        <v>بینش هایی در مورد چگونگی ساختار و سازماندهی موثر کمپین های تبلیغاتی، گروه های تبلیغاتی و کلمات کلیدی برای مدیریت بهتر کمپین به اشتراک بگذارید.</v>
      </c>
      <c r="H6720" s="1"/>
      <c r="I6720" s="1"/>
      <c r="J6720" s="1"/>
      <c r="K6720" s="1"/>
      <c r="L6720" s="1"/>
      <c r="M6720" s="1"/>
      <c r="N6720" s="1"/>
      <c r="O6720" s="1"/>
      <c r="P6720" s="1"/>
      <c r="Q6720" s="1"/>
      <c r="R6720" s="1"/>
      <c r="S6720" s="1"/>
      <c r="T6720" s="1"/>
      <c r="U6720" s="1"/>
      <c r="V6720" s="1"/>
      <c r="W6720" s="1"/>
      <c r="X6720" s="1"/>
      <c r="Y6720" s="1"/>
      <c r="Z6720" s="1"/>
      <c r="AA6720" s="1"/>
      <c r="AB6720" s="1"/>
    </row>
    <row r="6721" ht="50.25" customHeight="1">
      <c r="A6721" s="12">
        <v>6717.0</v>
      </c>
      <c r="B6721" s="13" t="s">
        <v>6141</v>
      </c>
      <c r="C6721" s="14" t="s">
        <v>6744</v>
      </c>
      <c r="D6721" s="1"/>
      <c r="E6721" s="1"/>
      <c r="F6721" s="1" t="str">
        <f>IFERROR(__xludf.DUMMYFUNCTION("GOOGLETRANSLATE(B6721, ""en"", ""fa"")
"),"موفقیت آمازون")</f>
        <v>موفقیت آمازون</v>
      </c>
      <c r="G6721" s="1" t="str">
        <f>IFERROR(__xludf.DUMMYFUNCTION("GOOGLETRANSLATE(C6721, ""en"", ""fa"")
"),"اهمیت نظارت و تجزیه و تحلیل معیارهای عملکرد کمپین تبلیغاتی، مانند نرخ کلیک (CTR) و نرخ تبدیل، برای بهینه سازی نتایج کمپین را توضیح دهید.")</f>
        <v>اهمیت نظارت و تجزیه و تحلیل معیارهای عملکرد کمپین تبلیغاتی، مانند نرخ کلیک (CTR) و نرخ تبدیل، برای بهینه سازی نتایج کمپین را توضیح دهید.</v>
      </c>
      <c r="H6721" s="1"/>
      <c r="I6721" s="1"/>
      <c r="J6721" s="1"/>
      <c r="K6721" s="1"/>
      <c r="L6721" s="1"/>
      <c r="M6721" s="1"/>
      <c r="N6721" s="1"/>
      <c r="O6721" s="1"/>
      <c r="P6721" s="1"/>
      <c r="Q6721" s="1"/>
      <c r="R6721" s="1"/>
      <c r="S6721" s="1"/>
      <c r="T6721" s="1"/>
      <c r="U6721" s="1"/>
      <c r="V6721" s="1"/>
      <c r="W6721" s="1"/>
      <c r="X6721" s="1"/>
      <c r="Y6721" s="1"/>
      <c r="Z6721" s="1"/>
      <c r="AA6721" s="1"/>
      <c r="AB6721" s="1"/>
    </row>
    <row r="6722" ht="50.25" customHeight="1">
      <c r="A6722" s="12">
        <v>6718.0</v>
      </c>
      <c r="B6722" s="13" t="s">
        <v>6141</v>
      </c>
      <c r="C6722" s="14" t="s">
        <v>6745</v>
      </c>
      <c r="D6722" s="1"/>
      <c r="E6722" s="1"/>
      <c r="F6722" s="1" t="str">
        <f>IFERROR(__xludf.DUMMYFUNCTION("GOOGLETRANSLATE(B6722, ""en"", ""fa"")
"),"موفقیت آمازون")</f>
        <v>موفقیت آمازون</v>
      </c>
      <c r="G6722" s="1" t="str">
        <f>IFERROR(__xludf.DUMMYFUNCTION("GOOGLETRANSLATE(C6722, ""en"", ""fa"")
"),"چگونه فروشندگان می توانند از کلمات کلیدی منفی و گزینه های هدف گذاری کمپین برای بهبود هدف گذاری تبلیغات و کاهش هزینه های تبلیغات استفاده کنند؟")</f>
        <v>چگونه فروشندگان می توانند از کلمات کلیدی منفی و گزینه های هدف گذاری کمپین برای بهبود هدف گذاری تبلیغات و کاهش هزینه های تبلیغات استفاده کنند؟</v>
      </c>
      <c r="H6722" s="1"/>
      <c r="I6722" s="1"/>
      <c r="J6722" s="1"/>
      <c r="K6722" s="1"/>
      <c r="L6722" s="1"/>
      <c r="M6722" s="1"/>
      <c r="N6722" s="1"/>
      <c r="O6722" s="1"/>
      <c r="P6722" s="1"/>
      <c r="Q6722" s="1"/>
      <c r="R6722" s="1"/>
      <c r="S6722" s="1"/>
      <c r="T6722" s="1"/>
      <c r="U6722" s="1"/>
      <c r="V6722" s="1"/>
      <c r="W6722" s="1"/>
      <c r="X6722" s="1"/>
      <c r="Y6722" s="1"/>
      <c r="Z6722" s="1"/>
      <c r="AA6722" s="1"/>
      <c r="AB6722" s="1"/>
    </row>
    <row r="6723" ht="50.25" customHeight="1">
      <c r="A6723" s="12">
        <v>6719.0</v>
      </c>
      <c r="B6723" s="13" t="s">
        <v>6141</v>
      </c>
      <c r="C6723" s="14" t="s">
        <v>6746</v>
      </c>
      <c r="D6723" s="1"/>
      <c r="E6723" s="1"/>
      <c r="F6723" s="1" t="str">
        <f>IFERROR(__xludf.DUMMYFUNCTION("GOOGLETRANSLATE(B6723, ""en"", ""fa"")
"),"موفقیت آمازون")</f>
        <v>موفقیت آمازون</v>
      </c>
      <c r="G6723" s="1" t="str">
        <f>IFERROR(__xludf.DUMMYFUNCTION("GOOGLETRANSLATE(C6723, ""en"", ""fa"")
"),"در مورد مزایای استفاده از زمان‌بندی تبلیغات و تکنیک‌های سپری کردن روز برای بهینه‌سازی دیده شدن آگهی در زمان اوج فعالیت مشتری بحث کنید.")</f>
        <v>در مورد مزایای استفاده از زمان‌بندی تبلیغات و تکنیک‌های سپری کردن روز برای بهینه‌سازی دیده شدن آگهی در زمان اوج فعالیت مشتری بحث کنید.</v>
      </c>
      <c r="H6723" s="1"/>
      <c r="I6723" s="1"/>
      <c r="J6723" s="1"/>
      <c r="K6723" s="1"/>
      <c r="L6723" s="1"/>
      <c r="M6723" s="1"/>
      <c r="N6723" s="1"/>
      <c r="O6723" s="1"/>
      <c r="P6723" s="1"/>
      <c r="Q6723" s="1"/>
      <c r="R6723" s="1"/>
      <c r="S6723" s="1"/>
      <c r="T6723" s="1"/>
      <c r="U6723" s="1"/>
      <c r="V6723" s="1"/>
      <c r="W6723" s="1"/>
      <c r="X6723" s="1"/>
      <c r="Y6723" s="1"/>
      <c r="Z6723" s="1"/>
      <c r="AA6723" s="1"/>
      <c r="AB6723" s="1"/>
    </row>
    <row r="6724" ht="50.25" customHeight="1">
      <c r="A6724" s="12">
        <v>6720.0</v>
      </c>
      <c r="B6724" s="13" t="s">
        <v>6141</v>
      </c>
      <c r="C6724" s="14" t="s">
        <v>6747</v>
      </c>
      <c r="D6724" s="1"/>
      <c r="E6724" s="1"/>
      <c r="F6724" s="1" t="str">
        <f>IFERROR(__xludf.DUMMYFUNCTION("GOOGLETRANSLATE(B6724, ""en"", ""fa"")
"),"موفقیت آمازون")</f>
        <v>موفقیت آمازون</v>
      </c>
      <c r="G6724" s="1" t="str">
        <f>IFERROR(__xludf.DUMMYFUNCTION("GOOGLETRANSLATE(C6724, ""en"", ""fa"")
"),"بهترین روش ها برای ایجاد کپی و تصاویر تبلیغاتی جذاب که توجه مشتری را به خود جلب می کند و باعث ایجاد تعامل می شود چیست؟")</f>
        <v>بهترین روش ها برای ایجاد کپی و تصاویر تبلیغاتی جذاب که توجه مشتری را به خود جلب می کند و باعث ایجاد تعامل می شود چیست؟</v>
      </c>
      <c r="H6724" s="1"/>
      <c r="I6724" s="1"/>
      <c r="J6724" s="1"/>
      <c r="K6724" s="1"/>
      <c r="L6724" s="1"/>
      <c r="M6724" s="1"/>
      <c r="N6724" s="1"/>
      <c r="O6724" s="1"/>
      <c r="P6724" s="1"/>
      <c r="Q6724" s="1"/>
      <c r="R6724" s="1"/>
      <c r="S6724" s="1"/>
      <c r="T6724" s="1"/>
      <c r="U6724" s="1"/>
      <c r="V6724" s="1"/>
      <c r="W6724" s="1"/>
      <c r="X6724" s="1"/>
      <c r="Y6724" s="1"/>
      <c r="Z6724" s="1"/>
      <c r="AA6724" s="1"/>
      <c r="AB6724" s="1"/>
    </row>
    <row r="6725" ht="50.25" customHeight="1">
      <c r="A6725" s="12">
        <v>6721.0</v>
      </c>
      <c r="B6725" s="13" t="s">
        <v>6141</v>
      </c>
      <c r="C6725" s="14" t="s">
        <v>6748</v>
      </c>
      <c r="D6725" s="1"/>
      <c r="E6725" s="1"/>
      <c r="F6725" s="1" t="str">
        <f>IFERROR(__xludf.DUMMYFUNCTION("GOOGLETRANSLATE(B6725, ""en"", ""fa"")
"),"موفقیت آمازون")</f>
        <v>موفقیت آمازون</v>
      </c>
      <c r="G6725" s="1" t="str">
        <f>IFERROR(__xludf.DUMMYFUNCTION("GOOGLETRANSLATE(C6725, ""en"", ""fa"")
"),"برای بهبود عملکرد کمپین تبلیغاتی، نکاتی را برای بهینه سازی فهرست محصولات و محتوا بر اساس عبارات جستجوی مشتری و کلمات کلیدی محبوب به اشتراک بگذارید.")</f>
        <v>برای بهبود عملکرد کمپین تبلیغاتی، نکاتی را برای بهینه سازی فهرست محصولات و محتوا بر اساس عبارات جستجوی مشتری و کلمات کلیدی محبوب به اشتراک بگذارید.</v>
      </c>
      <c r="H6725" s="1"/>
      <c r="I6725" s="1"/>
      <c r="J6725" s="1"/>
      <c r="K6725" s="1"/>
      <c r="L6725" s="1"/>
      <c r="M6725" s="1"/>
      <c r="N6725" s="1"/>
      <c r="O6725" s="1"/>
      <c r="P6725" s="1"/>
      <c r="Q6725" s="1"/>
      <c r="R6725" s="1"/>
      <c r="S6725" s="1"/>
      <c r="T6725" s="1"/>
      <c r="U6725" s="1"/>
      <c r="V6725" s="1"/>
      <c r="W6725" s="1"/>
      <c r="X6725" s="1"/>
      <c r="Y6725" s="1"/>
      <c r="Z6725" s="1"/>
      <c r="AA6725" s="1"/>
      <c r="AB6725" s="1"/>
    </row>
    <row r="6726" ht="50.25" customHeight="1">
      <c r="A6726" s="12">
        <v>6722.0</v>
      </c>
      <c r="B6726" s="13" t="s">
        <v>6141</v>
      </c>
      <c r="C6726" s="14" t="s">
        <v>6749</v>
      </c>
      <c r="D6726" s="1"/>
      <c r="E6726" s="1"/>
      <c r="F6726" s="1" t="str">
        <f>IFERROR(__xludf.DUMMYFUNCTION("GOOGLETRANSLATE(B6726, ""en"", ""fa"")
"),"موفقیت آمازون")</f>
        <v>موفقیت آمازون</v>
      </c>
      <c r="G6726" s="1" t="str">
        <f>IFERROR(__xludf.DUMMYFUNCTION("GOOGLETRANSLATE(C6726, ""en"", ""fa"")
"),"اهمیت انجام تست A/B و آزمایش با خلاقیت های تبلیغاتی مختلف، گزینه های هدف گیری و تنظیمات کمپین برای اصلاح استراتژی های تبلیغاتی را توضیح دهید.")</f>
        <v>اهمیت انجام تست A/B و آزمایش با خلاقیت های تبلیغاتی مختلف، گزینه های هدف گیری و تنظیمات کمپین برای اصلاح استراتژی های تبلیغاتی را توضیح دهید.</v>
      </c>
      <c r="H6726" s="1"/>
      <c r="I6726" s="1"/>
      <c r="J6726" s="1"/>
      <c r="K6726" s="1"/>
      <c r="L6726" s="1"/>
      <c r="M6726" s="1"/>
      <c r="N6726" s="1"/>
      <c r="O6726" s="1"/>
      <c r="P6726" s="1"/>
      <c r="Q6726" s="1"/>
      <c r="R6726" s="1"/>
      <c r="S6726" s="1"/>
      <c r="T6726" s="1"/>
      <c r="U6726" s="1"/>
      <c r="V6726" s="1"/>
      <c r="W6726" s="1"/>
      <c r="X6726" s="1"/>
      <c r="Y6726" s="1"/>
      <c r="Z6726" s="1"/>
      <c r="AA6726" s="1"/>
      <c r="AB6726" s="1"/>
    </row>
    <row r="6727" ht="50.25" customHeight="1">
      <c r="A6727" s="12">
        <v>6723.0</v>
      </c>
      <c r="B6727" s="13" t="s">
        <v>6141</v>
      </c>
      <c r="C6727" s="14" t="s">
        <v>6750</v>
      </c>
      <c r="D6727" s="1"/>
      <c r="E6727" s="1"/>
      <c r="F6727" s="1" t="str">
        <f>IFERROR(__xludf.DUMMYFUNCTION("GOOGLETRANSLATE(B6727, ""en"", ""fa"")
"),"موفقیت آمازون")</f>
        <v>موفقیت آمازون</v>
      </c>
      <c r="G6727" s="1" t="str">
        <f>IFERROR(__xludf.DUMMYFUNCTION("GOOGLETRANSLATE(C6727, ""en"", ""fa"")
"),"چگونه فروشندگان می توانند از کمپین های هدف گذاری محصول برای دستیابی به مشتریانی که فعالانه در جستجوی محصولات مشابه یا مکمل هستند استفاده کنند؟")</f>
        <v>چگونه فروشندگان می توانند از کمپین های هدف گذاری محصول برای دستیابی به مشتریانی که فعالانه در جستجوی محصولات مشابه یا مکمل هستند استفاده کنند؟</v>
      </c>
      <c r="H6727" s="1"/>
      <c r="I6727" s="1"/>
      <c r="J6727" s="1"/>
      <c r="K6727" s="1"/>
      <c r="L6727" s="1"/>
      <c r="M6727" s="1"/>
      <c r="N6727" s="1"/>
      <c r="O6727" s="1"/>
      <c r="P6727" s="1"/>
      <c r="Q6727" s="1"/>
      <c r="R6727" s="1"/>
      <c r="S6727" s="1"/>
      <c r="T6727" s="1"/>
      <c r="U6727" s="1"/>
      <c r="V6727" s="1"/>
      <c r="W6727" s="1"/>
      <c r="X6727" s="1"/>
      <c r="Y6727" s="1"/>
      <c r="Z6727" s="1"/>
      <c r="AA6727" s="1"/>
      <c r="AB6727" s="1"/>
    </row>
    <row r="6728" ht="50.25" customHeight="1">
      <c r="A6728" s="12">
        <v>6724.0</v>
      </c>
      <c r="B6728" s="13" t="s">
        <v>6141</v>
      </c>
      <c r="C6728" s="14" t="s">
        <v>6751</v>
      </c>
      <c r="D6728" s="1"/>
      <c r="E6728" s="1"/>
      <c r="F6728" s="1" t="str">
        <f>IFERROR(__xludf.DUMMYFUNCTION("GOOGLETRANSLATE(B6728, ""en"", ""fa"")
"),"موفقیت آمازون")</f>
        <v>موفقیت آمازون</v>
      </c>
      <c r="G6728" s="1" t="str">
        <f>IFERROR(__xludf.DUMMYFUNCTION("GOOGLETRANSLATE(C6728, ""en"", ""fa"")
"),"در مورد نقش تبلیغات نمایشی محصول در هدف قرار دادن دسته‌های محصول خاص، فهرست‌های رقبا یا علایق مشتری برای ایجاد تبدیل بحث کنید.")</f>
        <v>در مورد نقش تبلیغات نمایشی محصول در هدف قرار دادن دسته‌های محصول خاص، فهرست‌های رقبا یا علایق مشتری برای ایجاد تبدیل بحث کنید.</v>
      </c>
      <c r="H6728" s="1"/>
      <c r="I6728" s="1"/>
      <c r="J6728" s="1"/>
      <c r="K6728" s="1"/>
      <c r="L6728" s="1"/>
      <c r="M6728" s="1"/>
      <c r="N6728" s="1"/>
      <c r="O6728" s="1"/>
      <c r="P6728" s="1"/>
      <c r="Q6728" s="1"/>
      <c r="R6728" s="1"/>
      <c r="S6728" s="1"/>
      <c r="T6728" s="1"/>
      <c r="U6728" s="1"/>
      <c r="V6728" s="1"/>
      <c r="W6728" s="1"/>
      <c r="X6728" s="1"/>
      <c r="Y6728" s="1"/>
      <c r="Z6728" s="1"/>
      <c r="AA6728" s="1"/>
      <c r="AB6728" s="1"/>
    </row>
    <row r="6729" ht="50.25" customHeight="1">
      <c r="A6729" s="12">
        <v>6725.0</v>
      </c>
      <c r="B6729" s="13" t="s">
        <v>6141</v>
      </c>
      <c r="C6729" s="14" t="s">
        <v>6752</v>
      </c>
      <c r="D6729" s="1"/>
      <c r="E6729" s="1"/>
      <c r="F6729" s="1" t="str">
        <f>IFERROR(__xludf.DUMMYFUNCTION("GOOGLETRANSLATE(B6729, ""en"", ""fa"")
"),"موفقیت آمازون")</f>
        <v>موفقیت آمازون</v>
      </c>
      <c r="G6729" s="1" t="str">
        <f>IFERROR(__xludf.DUMMYFUNCTION("GOOGLETRANSLATE(C6729, ""en"", ""fa"")
"),"ملاحظات کلیدی هنگام استفاده از تبلیغات ویدیویی برند حمایت شده برای نمایش ویژگی های محصول، مزایا و داستان برند در آمازون چیست؟")</f>
        <v>ملاحظات کلیدی هنگام استفاده از تبلیغات ویدیویی برند حمایت شده برای نمایش ویژگی های محصول، مزایا و داستان برند در آمازون چیست؟</v>
      </c>
      <c r="H6729" s="1"/>
      <c r="I6729" s="1"/>
      <c r="J6729" s="1"/>
      <c r="K6729" s="1"/>
      <c r="L6729" s="1"/>
      <c r="M6729" s="1"/>
      <c r="N6729" s="1"/>
      <c r="O6729" s="1"/>
      <c r="P6729" s="1"/>
      <c r="Q6729" s="1"/>
      <c r="R6729" s="1"/>
      <c r="S6729" s="1"/>
      <c r="T6729" s="1"/>
      <c r="U6729" s="1"/>
      <c r="V6729" s="1"/>
      <c r="W6729" s="1"/>
      <c r="X6729" s="1"/>
      <c r="Y6729" s="1"/>
      <c r="Z6729" s="1"/>
      <c r="AA6729" s="1"/>
      <c r="AB6729" s="1"/>
    </row>
    <row r="6730" ht="50.25" customHeight="1">
      <c r="A6730" s="12">
        <v>6726.0</v>
      </c>
      <c r="B6730" s="13" t="s">
        <v>6141</v>
      </c>
      <c r="C6730" s="14" t="s">
        <v>6753</v>
      </c>
      <c r="D6730" s="1"/>
      <c r="E6730" s="1"/>
      <c r="F6730" s="1" t="str">
        <f>IFERROR(__xludf.DUMMYFUNCTION("GOOGLETRANSLATE(B6730, ""en"", ""fa"")
"),"موفقیت آمازون")</f>
        <v>موفقیت آمازون</v>
      </c>
      <c r="G6730" s="1" t="str">
        <f>IFERROR(__xludf.DUMMYFUNCTION("GOOGLETRANSLATE(C6730, ""en"", ""fa"")
"),"بینش هایی را در مورد چگونگی ردیابی و اندازه گیری مؤثر کمپین های تبلیغاتی آمازون بر فروش کلی و رشد کسب و کار به اشتراک بگذارید.")</f>
        <v>بینش هایی را در مورد چگونگی ردیابی و اندازه گیری مؤثر کمپین های تبلیغاتی آمازون بر فروش کلی و رشد کسب و کار به اشتراک بگذارید.</v>
      </c>
      <c r="H6730" s="1"/>
      <c r="I6730" s="1"/>
      <c r="J6730" s="1"/>
      <c r="K6730" s="1"/>
      <c r="L6730" s="1"/>
      <c r="M6730" s="1"/>
      <c r="N6730" s="1"/>
      <c r="O6730" s="1"/>
      <c r="P6730" s="1"/>
      <c r="Q6730" s="1"/>
      <c r="R6730" s="1"/>
      <c r="S6730" s="1"/>
      <c r="T6730" s="1"/>
      <c r="U6730" s="1"/>
      <c r="V6730" s="1"/>
      <c r="W6730" s="1"/>
      <c r="X6730" s="1"/>
      <c r="Y6730" s="1"/>
      <c r="Z6730" s="1"/>
      <c r="AA6730" s="1"/>
      <c r="AB6730" s="1"/>
    </row>
    <row r="6731" ht="50.25" customHeight="1">
      <c r="A6731" s="12">
        <v>6727.0</v>
      </c>
      <c r="B6731" s="13" t="s">
        <v>6141</v>
      </c>
      <c r="C6731" s="14" t="s">
        <v>6754</v>
      </c>
      <c r="D6731" s="1"/>
      <c r="E6731" s="1"/>
      <c r="F6731" s="1" t="str">
        <f>IFERROR(__xludf.DUMMYFUNCTION("GOOGLETRANSLATE(B6731, ""en"", ""fa"")
"),"موفقیت آمازون")</f>
        <v>موفقیت آمازون</v>
      </c>
      <c r="G6731" s="1" t="str">
        <f>IFERROR(__xludf.DUMMYFUNCTION("GOOGLETRANSLATE(C6731, ""en"", ""fa"")
"),"اهمیت نظارت و مدیریت بودجه و پیشنهادات کمپین تبلیغاتی را برای اطمینان از هزینه های تبلیغاتی مقرون به صرفه توضیح دهید.")</f>
        <v>اهمیت نظارت و مدیریت بودجه و پیشنهادات کمپین تبلیغاتی را برای اطمینان از هزینه های تبلیغاتی مقرون به صرفه توضیح دهید.</v>
      </c>
      <c r="H6731" s="1"/>
      <c r="I6731" s="1"/>
      <c r="J6731" s="1"/>
      <c r="K6731" s="1"/>
      <c r="L6731" s="1"/>
      <c r="M6731" s="1"/>
      <c r="N6731" s="1"/>
      <c r="O6731" s="1"/>
      <c r="P6731" s="1"/>
      <c r="Q6731" s="1"/>
      <c r="R6731" s="1"/>
      <c r="S6731" s="1"/>
      <c r="T6731" s="1"/>
      <c r="U6731" s="1"/>
      <c r="V6731" s="1"/>
      <c r="W6731" s="1"/>
      <c r="X6731" s="1"/>
      <c r="Y6731" s="1"/>
      <c r="Z6731" s="1"/>
      <c r="AA6731" s="1"/>
      <c r="AB6731" s="1"/>
    </row>
    <row r="6732" ht="50.25" customHeight="1">
      <c r="A6732" s="12">
        <v>6728.0</v>
      </c>
      <c r="B6732" s="13" t="s">
        <v>6141</v>
      </c>
      <c r="C6732" s="14" t="s">
        <v>6755</v>
      </c>
      <c r="D6732" s="1"/>
      <c r="E6732" s="1"/>
      <c r="F6732" s="1" t="str">
        <f>IFERROR(__xludf.DUMMYFUNCTION("GOOGLETRANSLATE(B6732, ""en"", ""fa"")
"),"موفقیت آمازون")</f>
        <v>موفقیت آمازون</v>
      </c>
      <c r="G6732" s="1" t="str">
        <f>IFERROR(__xludf.DUMMYFUNCTION("GOOGLETRANSLATE(C6732, ""en"", ""fa"")
"),"چگونه فروشندگان می‌توانند از گزینه‌های هدف‌گیری مخاطب، مانند بازاریابی مجدد یا مخاطبان مشابه، برای دستیابی و جذب بخش‌های خاص مشتری استفاده کنند؟")</f>
        <v>چگونه فروشندگان می‌توانند از گزینه‌های هدف‌گیری مخاطب، مانند بازاریابی مجدد یا مخاطبان مشابه، برای دستیابی و جذب بخش‌های خاص مشتری استفاده کنند؟</v>
      </c>
      <c r="H6732" s="1"/>
      <c r="I6732" s="1"/>
      <c r="J6732" s="1"/>
      <c r="K6732" s="1"/>
      <c r="L6732" s="1"/>
      <c r="M6732" s="1"/>
      <c r="N6732" s="1"/>
      <c r="O6732" s="1"/>
      <c r="P6732" s="1"/>
      <c r="Q6732" s="1"/>
      <c r="R6732" s="1"/>
      <c r="S6732" s="1"/>
      <c r="T6732" s="1"/>
      <c r="U6732" s="1"/>
      <c r="V6732" s="1"/>
      <c r="W6732" s="1"/>
      <c r="X6732" s="1"/>
      <c r="Y6732" s="1"/>
      <c r="Z6732" s="1"/>
      <c r="AA6732" s="1"/>
      <c r="AB6732" s="1"/>
    </row>
    <row r="6733" ht="50.25" customHeight="1">
      <c r="A6733" s="12">
        <v>6729.0</v>
      </c>
      <c r="B6733" s="13" t="s">
        <v>6141</v>
      </c>
      <c r="C6733" s="14" t="s">
        <v>6756</v>
      </c>
      <c r="D6733" s="1"/>
      <c r="E6733" s="1"/>
      <c r="F6733" s="1" t="str">
        <f>IFERROR(__xludf.DUMMYFUNCTION("GOOGLETRANSLATE(B6733, ""en"", ""fa"")
"),"موفقیت آمازون")</f>
        <v>موفقیت آمازون</v>
      </c>
      <c r="G6733" s="1" t="str">
        <f>IFERROR(__xludf.DUMMYFUNCTION("GOOGLETRANSLATE(C6733, ""en"", ""fa"")
"),"درباره مزایای استفاده از تبلیغات نمایشی حمایت‌شده برای هدف‌گیری مجدد مشتریانی که قبلاً محصولات فروشنده را مشاهده کرده‌اند یا با آنها تعامل داشته‌اند، بحث کنید.")</f>
        <v>درباره مزایای استفاده از تبلیغات نمایشی حمایت‌شده برای هدف‌گیری مجدد مشتریانی که قبلاً محصولات فروشنده را مشاهده کرده‌اند یا با آنها تعامل داشته‌اند، بحث کنید.</v>
      </c>
      <c r="H6733" s="1"/>
      <c r="I6733" s="1"/>
      <c r="J6733" s="1"/>
      <c r="K6733" s="1"/>
      <c r="L6733" s="1"/>
      <c r="M6733" s="1"/>
      <c r="N6733" s="1"/>
      <c r="O6733" s="1"/>
      <c r="P6733" s="1"/>
      <c r="Q6733" s="1"/>
      <c r="R6733" s="1"/>
      <c r="S6733" s="1"/>
      <c r="T6733" s="1"/>
      <c r="U6733" s="1"/>
      <c r="V6733" s="1"/>
      <c r="W6733" s="1"/>
      <c r="X6733" s="1"/>
      <c r="Y6733" s="1"/>
      <c r="Z6733" s="1"/>
      <c r="AA6733" s="1"/>
      <c r="AB6733" s="1"/>
    </row>
    <row r="6734" ht="50.25" customHeight="1">
      <c r="A6734" s="12">
        <v>6730.0</v>
      </c>
      <c r="B6734" s="13" t="s">
        <v>6141</v>
      </c>
      <c r="C6734" s="14" t="s">
        <v>6757</v>
      </c>
      <c r="D6734" s="1"/>
      <c r="E6734" s="1"/>
      <c r="F6734" s="1" t="str">
        <f>IFERROR(__xludf.DUMMYFUNCTION("GOOGLETRANSLATE(B6734, ""en"", ""fa"")
"),"موفقیت آمازون")</f>
        <v>موفقیت آمازون</v>
      </c>
      <c r="G6734" s="1" t="str">
        <f>IFERROR(__xludf.DUMMYFUNCTION("GOOGLETRANSLATE(C6734, ""en"", ""fa"")
"),"بهترین روش‌ها برای بهینه‌سازی تصاویر محصول و خلاقیت تبلیغات برای جلب توجه مشتری و افزایش نرخ کلیک (CTR) چیست؟")</f>
        <v>بهترین روش‌ها برای بهینه‌سازی تصاویر محصول و خلاقیت تبلیغات برای جلب توجه مشتری و افزایش نرخ کلیک (CTR) چیست؟</v>
      </c>
      <c r="H6734" s="1"/>
      <c r="I6734" s="1"/>
      <c r="J6734" s="1"/>
      <c r="K6734" s="1"/>
      <c r="L6734" s="1"/>
      <c r="M6734" s="1"/>
      <c r="N6734" s="1"/>
      <c r="O6734" s="1"/>
      <c r="P6734" s="1"/>
      <c r="Q6734" s="1"/>
      <c r="R6734" s="1"/>
      <c r="S6734" s="1"/>
      <c r="T6734" s="1"/>
      <c r="U6734" s="1"/>
      <c r="V6734" s="1"/>
      <c r="W6734" s="1"/>
      <c r="X6734" s="1"/>
      <c r="Y6734" s="1"/>
      <c r="Z6734" s="1"/>
      <c r="AA6734" s="1"/>
      <c r="AB6734" s="1"/>
    </row>
    <row r="6735" ht="50.25" customHeight="1">
      <c r="A6735" s="12">
        <v>6731.0</v>
      </c>
      <c r="B6735" s="13" t="s">
        <v>6141</v>
      </c>
      <c r="C6735" s="14" t="s">
        <v>6758</v>
      </c>
      <c r="D6735" s="1"/>
      <c r="E6735" s="1"/>
      <c r="F6735" s="1" t="str">
        <f>IFERROR(__xludf.DUMMYFUNCTION("GOOGLETRANSLATE(B6735, ""en"", ""fa"")
"),"موفقیت آمازون")</f>
        <v>موفقیت آمازون</v>
      </c>
      <c r="G6735" s="1" t="str">
        <f>IFERROR(__xludf.DUMMYFUNCTION("GOOGLETRANSLATE(C6735, ""en"", ""fa"")
"),"نکاتی را برای استفاده از تبلیغات جستجوی سرفصل نام تجاری حمایت شده برای تبلیغ چندین محصول و ایجاد یک تجربه برند منسجم برای مشتریان به اشتراک بگذارید.")</f>
        <v>نکاتی را برای استفاده از تبلیغات جستجوی سرفصل نام تجاری حمایت شده برای تبلیغ چندین محصول و ایجاد یک تجربه برند منسجم برای مشتریان به اشتراک بگذارید.</v>
      </c>
      <c r="H6735" s="1"/>
      <c r="I6735" s="1"/>
      <c r="J6735" s="1"/>
      <c r="K6735" s="1"/>
      <c r="L6735" s="1"/>
      <c r="M6735" s="1"/>
      <c r="N6735" s="1"/>
      <c r="O6735" s="1"/>
      <c r="P6735" s="1"/>
      <c r="Q6735" s="1"/>
      <c r="R6735" s="1"/>
      <c r="S6735" s="1"/>
      <c r="T6735" s="1"/>
      <c r="U6735" s="1"/>
      <c r="V6735" s="1"/>
      <c r="W6735" s="1"/>
      <c r="X6735" s="1"/>
      <c r="Y6735" s="1"/>
      <c r="Z6735" s="1"/>
      <c r="AA6735" s="1"/>
      <c r="AB6735" s="1"/>
    </row>
    <row r="6736" ht="50.25" customHeight="1">
      <c r="A6736" s="12">
        <v>6732.0</v>
      </c>
      <c r="B6736" s="13" t="s">
        <v>6141</v>
      </c>
      <c r="C6736" s="14" t="s">
        <v>6759</v>
      </c>
      <c r="D6736" s="1"/>
      <c r="E6736" s="1"/>
      <c r="F6736" s="1" t="str">
        <f>IFERROR(__xludf.DUMMYFUNCTION("GOOGLETRANSLATE(B6736, ""en"", ""fa"")
"),"موفقیت آمازون")</f>
        <v>موفقیت آمازون</v>
      </c>
      <c r="G6736" s="1" t="str">
        <f>IFERROR(__xludf.DUMMYFUNCTION("GOOGLETRANSLATE(C6736, ""en"", ""fa"")
"),"اهمیت نظارت و مدیریت مکان‌های کمپین تبلیغاتی را برای اطمینان از دیده شدن تبلیغات در صفحات محصول مرتبط و با تبدیل بالا توضیح دهید.")</f>
        <v>اهمیت نظارت و مدیریت مکان‌های کمپین تبلیغاتی را برای اطمینان از دیده شدن تبلیغات در صفحات محصول مرتبط و با تبدیل بالا توضیح دهید.</v>
      </c>
      <c r="H6736" s="1"/>
      <c r="I6736" s="1"/>
      <c r="J6736" s="1"/>
      <c r="K6736" s="1"/>
      <c r="L6736" s="1"/>
      <c r="M6736" s="1"/>
      <c r="N6736" s="1"/>
      <c r="O6736" s="1"/>
      <c r="P6736" s="1"/>
      <c r="Q6736" s="1"/>
      <c r="R6736" s="1"/>
      <c r="S6736" s="1"/>
      <c r="T6736" s="1"/>
      <c r="U6736" s="1"/>
      <c r="V6736" s="1"/>
      <c r="W6736" s="1"/>
      <c r="X6736" s="1"/>
      <c r="Y6736" s="1"/>
      <c r="Z6736" s="1"/>
      <c r="AA6736" s="1"/>
      <c r="AB6736" s="1"/>
    </row>
    <row r="6737" ht="50.25" customHeight="1">
      <c r="A6737" s="12">
        <v>6733.0</v>
      </c>
      <c r="B6737" s="13" t="s">
        <v>6141</v>
      </c>
      <c r="C6737" s="14" t="s">
        <v>6760</v>
      </c>
      <c r="D6737" s="1"/>
      <c r="E6737" s="1"/>
      <c r="F6737" s="1" t="str">
        <f>IFERROR(__xludf.DUMMYFUNCTION("GOOGLETRANSLATE(B6737, ""en"", ""fa"")
"),"موفقیت آمازون")</f>
        <v>موفقیت آمازون</v>
      </c>
      <c r="G6737" s="1" t="str">
        <f>IFERROR(__xludf.DUMMYFUNCTION("GOOGLETRANSLATE(C6737, ""en"", ""fa"")
"),"چگونه فروشندگان می توانند از DSP آمازون (پلتفرم سمت تقاضا) برای گسترش دامنه تبلیغات خود و هدف قرار دادن مشتریان در سراسر وب استفاده کنند؟")</f>
        <v>چگونه فروشندگان می توانند از DSP آمازون (پلتفرم سمت تقاضا) برای گسترش دامنه تبلیغات خود و هدف قرار دادن مشتریان در سراسر وب استفاده کنند؟</v>
      </c>
      <c r="H6737" s="1"/>
      <c r="I6737" s="1"/>
      <c r="J6737" s="1"/>
      <c r="K6737" s="1"/>
      <c r="L6737" s="1"/>
      <c r="M6737" s="1"/>
      <c r="N6737" s="1"/>
      <c r="O6737" s="1"/>
      <c r="P6737" s="1"/>
      <c r="Q6737" s="1"/>
      <c r="R6737" s="1"/>
      <c r="S6737" s="1"/>
      <c r="T6737" s="1"/>
      <c r="U6737" s="1"/>
      <c r="V6737" s="1"/>
      <c r="W6737" s="1"/>
      <c r="X6737" s="1"/>
      <c r="Y6737" s="1"/>
      <c r="Z6737" s="1"/>
      <c r="AA6737" s="1"/>
      <c r="AB6737" s="1"/>
    </row>
    <row r="6738" ht="50.25" customHeight="1">
      <c r="A6738" s="12">
        <v>6734.0</v>
      </c>
      <c r="B6738" s="13" t="s">
        <v>6141</v>
      </c>
      <c r="C6738" s="14" t="s">
        <v>6761</v>
      </c>
      <c r="D6738" s="1"/>
      <c r="E6738" s="1"/>
      <c r="F6738" s="1" t="str">
        <f>IFERROR(__xludf.DUMMYFUNCTION("GOOGLETRANSLATE(B6738, ""en"", ""fa"")
"),"موفقیت آمازون")</f>
        <v>موفقیت آمازون</v>
      </c>
      <c r="G6738" s="1" t="str">
        <f>IFERROR(__xludf.DUMMYFUNCTION("GOOGLETRANSLATE(C6738, ""en"", ""fa"")
"),"درباره نقش کمپین های بررسی محصول در به کارگیری نظرات مثبت مشتریان برای جلب اعتبار، اعتماد و تبدیل بحث کنید.")</f>
        <v>درباره نقش کمپین های بررسی محصول در به کارگیری نظرات مثبت مشتریان برای جلب اعتبار، اعتماد و تبدیل بحث کنید.</v>
      </c>
      <c r="H6738" s="1"/>
      <c r="I6738" s="1"/>
      <c r="J6738" s="1"/>
      <c r="K6738" s="1"/>
      <c r="L6738" s="1"/>
      <c r="M6738" s="1"/>
      <c r="N6738" s="1"/>
      <c r="O6738" s="1"/>
      <c r="P6738" s="1"/>
      <c r="Q6738" s="1"/>
      <c r="R6738" s="1"/>
      <c r="S6738" s="1"/>
      <c r="T6738" s="1"/>
      <c r="U6738" s="1"/>
      <c r="V6738" s="1"/>
      <c r="W6738" s="1"/>
      <c r="X6738" s="1"/>
      <c r="Y6738" s="1"/>
      <c r="Z6738" s="1"/>
      <c r="AA6738" s="1"/>
      <c r="AB6738" s="1"/>
    </row>
    <row r="6739" ht="50.25" customHeight="1">
      <c r="A6739" s="12">
        <v>6735.0</v>
      </c>
      <c r="B6739" s="13" t="s">
        <v>6141</v>
      </c>
      <c r="C6739" s="14" t="s">
        <v>6762</v>
      </c>
      <c r="D6739" s="1"/>
      <c r="E6739" s="1"/>
      <c r="F6739" s="1" t="str">
        <f>IFERROR(__xludf.DUMMYFUNCTION("GOOGLETRANSLATE(B6739, ""en"", ""fa"")
"),"موفقیت آمازون")</f>
        <v>موفقیت آمازون</v>
      </c>
      <c r="G6739" s="1" t="str">
        <f>IFERROR(__xludf.DUMMYFUNCTION("GOOGLETRANSLATE(C6739, ""en"", ""fa"")
"),"ملاحظات کلیدی هنگام استفاده از تبلیغات تصویری سفارشی برند حمایت شده برای ایجاد تجارب تبلیغاتی جذاب و بسیار هدفمند چیست؟")</f>
        <v>ملاحظات کلیدی هنگام استفاده از تبلیغات تصویری سفارشی برند حمایت شده برای ایجاد تجارب تبلیغاتی جذاب و بسیار هدفمند چیست؟</v>
      </c>
      <c r="H6739" s="1"/>
      <c r="I6739" s="1"/>
      <c r="J6739" s="1"/>
      <c r="K6739" s="1"/>
      <c r="L6739" s="1"/>
      <c r="M6739" s="1"/>
      <c r="N6739" s="1"/>
      <c r="O6739" s="1"/>
      <c r="P6739" s="1"/>
      <c r="Q6739" s="1"/>
      <c r="R6739" s="1"/>
      <c r="S6739" s="1"/>
      <c r="T6739" s="1"/>
      <c r="U6739" s="1"/>
      <c r="V6739" s="1"/>
      <c r="W6739" s="1"/>
      <c r="X6739" s="1"/>
      <c r="Y6739" s="1"/>
      <c r="Z6739" s="1"/>
      <c r="AA6739" s="1"/>
      <c r="AB6739" s="1"/>
    </row>
    <row r="6740" ht="50.25" customHeight="1">
      <c r="A6740" s="12">
        <v>6736.0</v>
      </c>
      <c r="B6740" s="13" t="s">
        <v>6141</v>
      </c>
      <c r="C6740" s="14" t="s">
        <v>6763</v>
      </c>
      <c r="D6740" s="1"/>
      <c r="E6740" s="1"/>
      <c r="F6740" s="1" t="str">
        <f>IFERROR(__xludf.DUMMYFUNCTION("GOOGLETRANSLATE(B6740, ""en"", ""fa"")
"),"موفقیت آمازون")</f>
        <v>موفقیت آمازون</v>
      </c>
      <c r="G6740" s="1" t="str">
        <f>IFERROR(__xludf.DUMMYFUNCTION("GOOGLETRANSLATE(C6740, ""en"", ""fa"")
"),"درباره نحوه استفاده مؤثر از تبلیغات ویدیویی برند حمایت‌شده در ارتباط با کمپین‌های بازاریابی تأثیرگذار برای تقویت دید و تعامل برند، بینش‌هایی را به اشتراک بگذارید.")</f>
        <v>درباره نحوه استفاده مؤثر از تبلیغات ویدیویی برند حمایت‌شده در ارتباط با کمپین‌های بازاریابی تأثیرگذار برای تقویت دید و تعامل برند، بینش‌هایی را به اشتراک بگذارید.</v>
      </c>
      <c r="H6740" s="1"/>
      <c r="I6740" s="1"/>
      <c r="J6740" s="1"/>
      <c r="K6740" s="1"/>
      <c r="L6740" s="1"/>
      <c r="M6740" s="1"/>
      <c r="N6740" s="1"/>
      <c r="O6740" s="1"/>
      <c r="P6740" s="1"/>
      <c r="Q6740" s="1"/>
      <c r="R6740" s="1"/>
      <c r="S6740" s="1"/>
      <c r="T6740" s="1"/>
      <c r="U6740" s="1"/>
      <c r="V6740" s="1"/>
      <c r="W6740" s="1"/>
      <c r="X6740" s="1"/>
      <c r="Y6740" s="1"/>
      <c r="Z6740" s="1"/>
      <c r="AA6740" s="1"/>
      <c r="AB6740" s="1"/>
    </row>
    <row r="6741" ht="50.25" customHeight="1">
      <c r="A6741" s="12">
        <v>6737.0</v>
      </c>
      <c r="B6741" s="13" t="s">
        <v>6141</v>
      </c>
      <c r="C6741" s="14" t="s">
        <v>6764</v>
      </c>
      <c r="D6741" s="1"/>
      <c r="E6741" s="1"/>
      <c r="F6741" s="1" t="str">
        <f>IFERROR(__xludf.DUMMYFUNCTION("GOOGLETRANSLATE(B6741, ""en"", ""fa"")
"),"موفقیت آمازون")</f>
        <v>موفقیت آمازون</v>
      </c>
      <c r="G6741" s="1" t="str">
        <f>IFERROR(__xludf.DUMMYFUNCTION("GOOGLETRANSLATE(C6741, ""en"", ""fa"")
"),"اهمیت همسویی اهداف کمپین تبلیغاتی با اهداف کلی کسب و کار و اهداف فروش برای برنامه ریزی کمپین استراتژیک را توضیح دهید.")</f>
        <v>اهمیت همسویی اهداف کمپین تبلیغاتی با اهداف کلی کسب و کار و اهداف فروش برای برنامه ریزی کمپین استراتژیک را توضیح دهید.</v>
      </c>
      <c r="H6741" s="1"/>
      <c r="I6741" s="1"/>
      <c r="J6741" s="1"/>
      <c r="K6741" s="1"/>
      <c r="L6741" s="1"/>
      <c r="M6741" s="1"/>
      <c r="N6741" s="1"/>
      <c r="O6741" s="1"/>
      <c r="P6741" s="1"/>
      <c r="Q6741" s="1"/>
      <c r="R6741" s="1"/>
      <c r="S6741" s="1"/>
      <c r="T6741" s="1"/>
      <c r="U6741" s="1"/>
      <c r="V6741" s="1"/>
      <c r="W6741" s="1"/>
      <c r="X6741" s="1"/>
      <c r="Y6741" s="1"/>
      <c r="Z6741" s="1"/>
      <c r="AA6741" s="1"/>
      <c r="AB6741" s="1"/>
    </row>
    <row r="6742" ht="50.25" customHeight="1">
      <c r="A6742" s="12">
        <v>6738.0</v>
      </c>
      <c r="B6742" s="13" t="s">
        <v>6141</v>
      </c>
      <c r="C6742" s="14" t="s">
        <v>6765</v>
      </c>
      <c r="D6742" s="1"/>
      <c r="E6742" s="1"/>
      <c r="F6742" s="1" t="str">
        <f>IFERROR(__xludf.DUMMYFUNCTION("GOOGLETRANSLATE(B6742, ""en"", ""fa"")
"),"موفقیت آمازون")</f>
        <v>موفقیت آمازون</v>
      </c>
      <c r="G6742" s="1" t="str">
        <f>IFERROR(__xludf.DUMMYFUNCTION("GOOGLETRANSLATE(C6742, ""en"", ""fa"")
"),"چگونه فروشندگان می‌توانند از گزینه‌های قرار دادن تبلیغات آمازون، مانند قرارگیری در بالای صفحه یا تبلیغات بالای جستجو، برای افزایش دید آگهی و نرخ کلیک (CTR) استفاده کنند؟")</f>
        <v>چگونه فروشندگان می‌توانند از گزینه‌های قرار دادن تبلیغات آمازون، مانند قرارگیری در بالای صفحه یا تبلیغات بالای جستجو، برای افزایش دید آگهی و نرخ کلیک (CTR) استفاده کنند؟</v>
      </c>
      <c r="H6742" s="1"/>
      <c r="I6742" s="1"/>
      <c r="J6742" s="1"/>
      <c r="K6742" s="1"/>
      <c r="L6742" s="1"/>
      <c r="M6742" s="1"/>
      <c r="N6742" s="1"/>
      <c r="O6742" s="1"/>
      <c r="P6742" s="1"/>
      <c r="Q6742" s="1"/>
      <c r="R6742" s="1"/>
      <c r="S6742" s="1"/>
      <c r="T6742" s="1"/>
      <c r="U6742" s="1"/>
      <c r="V6742" s="1"/>
      <c r="W6742" s="1"/>
      <c r="X6742" s="1"/>
      <c r="Y6742" s="1"/>
      <c r="Z6742" s="1"/>
      <c r="AA6742" s="1"/>
      <c r="AB6742" s="1"/>
    </row>
    <row r="6743" ht="50.25" customHeight="1">
      <c r="A6743" s="12">
        <v>6739.0</v>
      </c>
      <c r="B6743" s="13" t="s">
        <v>6141</v>
      </c>
      <c r="C6743" s="14" t="s">
        <v>6766</v>
      </c>
      <c r="D6743" s="1"/>
      <c r="E6743" s="1"/>
      <c r="F6743" s="1" t="str">
        <f>IFERROR(__xludf.DUMMYFUNCTION("GOOGLETRANSLATE(B6743, ""en"", ""fa"")
"),"موفقیت آمازون")</f>
        <v>موفقیت آمازون</v>
      </c>
      <c r="G6743" s="1" t="str">
        <f>IFERROR(__xludf.DUMMYFUNCTION("GOOGLETRANSLATE(C6743, ""en"", ""fa"")
"),"در مورد مزایای استفاده از گزارش تبلیغات و ابزارهای تجزیه و تحلیل آمازون برای به دست آوردن بینشی در مورد عملکرد کمپین و بهینه سازی داده محور بحث کنید.")</f>
        <v>در مورد مزایای استفاده از گزارش تبلیغات و ابزارهای تجزیه و تحلیل آمازون برای به دست آوردن بینشی در مورد عملکرد کمپین و بهینه سازی داده محور بحث کنید.</v>
      </c>
      <c r="H6743" s="1"/>
      <c r="I6743" s="1"/>
      <c r="J6743" s="1"/>
      <c r="K6743" s="1"/>
      <c r="L6743" s="1"/>
      <c r="M6743" s="1"/>
      <c r="N6743" s="1"/>
      <c r="O6743" s="1"/>
      <c r="P6743" s="1"/>
      <c r="Q6743" s="1"/>
      <c r="R6743" s="1"/>
      <c r="S6743" s="1"/>
      <c r="T6743" s="1"/>
      <c r="U6743" s="1"/>
      <c r="V6743" s="1"/>
      <c r="W6743" s="1"/>
      <c r="X6743" s="1"/>
      <c r="Y6743" s="1"/>
      <c r="Z6743" s="1"/>
      <c r="AA6743" s="1"/>
      <c r="AB6743" s="1"/>
    </row>
    <row r="6744" ht="50.25" customHeight="1">
      <c r="A6744" s="12">
        <v>6740.0</v>
      </c>
      <c r="B6744" s="13" t="s">
        <v>6141</v>
      </c>
      <c r="C6744" s="14" t="s">
        <v>6767</v>
      </c>
      <c r="D6744" s="1"/>
      <c r="E6744" s="1"/>
      <c r="F6744" s="1" t="str">
        <f>IFERROR(__xludf.DUMMYFUNCTION("GOOGLETRANSLATE(B6744, ""en"", ""fa"")
"),"موفقیت آمازون")</f>
        <v>موفقیت آمازون</v>
      </c>
      <c r="G6744" s="1" t="str">
        <f>IFERROR(__xludf.DUMMYFUNCTION("GOOGLETRANSLATE(C6744, ""en"", ""fa"")
"),"بهترین روش ها برای استفاده از هدف گذاری منفی کمپین و کلمات کلیدی منفی برای حذف ترافیک نامربوط یا با عملکرد پایین از تبلیغات چیست؟")</f>
        <v>بهترین روش ها برای استفاده از هدف گذاری منفی کمپین و کلمات کلیدی منفی برای حذف ترافیک نامربوط یا با عملکرد پایین از تبلیغات چیست؟</v>
      </c>
      <c r="H6744" s="1"/>
      <c r="I6744" s="1"/>
      <c r="J6744" s="1"/>
      <c r="K6744" s="1"/>
      <c r="L6744" s="1"/>
      <c r="M6744" s="1"/>
      <c r="N6744" s="1"/>
      <c r="O6744" s="1"/>
      <c r="P6744" s="1"/>
      <c r="Q6744" s="1"/>
      <c r="R6744" s="1"/>
      <c r="S6744" s="1"/>
      <c r="T6744" s="1"/>
      <c r="U6744" s="1"/>
      <c r="V6744" s="1"/>
      <c r="W6744" s="1"/>
      <c r="X6744" s="1"/>
      <c r="Y6744" s="1"/>
      <c r="Z6744" s="1"/>
      <c r="AA6744" s="1"/>
      <c r="AB6744" s="1"/>
    </row>
    <row r="6745" ht="50.25" customHeight="1">
      <c r="A6745" s="12">
        <v>6741.0</v>
      </c>
      <c r="B6745" s="13" t="s">
        <v>6141</v>
      </c>
      <c r="C6745" s="14" t="s">
        <v>6768</v>
      </c>
      <c r="D6745" s="1"/>
      <c r="E6745" s="1"/>
      <c r="F6745" s="1" t="str">
        <f>IFERROR(__xludf.DUMMYFUNCTION("GOOGLETRANSLATE(B6745, ""en"", ""fa"")
"),"موفقیت آمازون")</f>
        <v>موفقیت آمازون</v>
      </c>
      <c r="G6745" s="1" t="str">
        <f>IFERROR(__xludf.DUMMYFUNCTION("GOOGLETRANSLATE(C6745, ""en"", ""fa"")
"),"نکاتی را برای بهینه سازی قیمت گذاری محصول و تبلیغات در ارتباط با کمپین های تبلیغاتی برای افزایش فروش و تبدیل به اشتراک بگذارید.")</f>
        <v>نکاتی را برای بهینه سازی قیمت گذاری محصول و تبلیغات در ارتباط با کمپین های تبلیغاتی برای افزایش فروش و تبدیل به اشتراک بگذارید.</v>
      </c>
      <c r="H6745" s="1"/>
      <c r="I6745" s="1"/>
      <c r="J6745" s="1"/>
      <c r="K6745" s="1"/>
      <c r="L6745" s="1"/>
      <c r="M6745" s="1"/>
      <c r="N6745" s="1"/>
      <c r="O6745" s="1"/>
      <c r="P6745" s="1"/>
      <c r="Q6745" s="1"/>
      <c r="R6745" s="1"/>
      <c r="S6745" s="1"/>
      <c r="T6745" s="1"/>
      <c r="U6745" s="1"/>
      <c r="V6745" s="1"/>
      <c r="W6745" s="1"/>
      <c r="X6745" s="1"/>
      <c r="Y6745" s="1"/>
      <c r="Z6745" s="1"/>
      <c r="AA6745" s="1"/>
      <c r="AB6745" s="1"/>
    </row>
    <row r="6746" ht="50.25" customHeight="1">
      <c r="A6746" s="12">
        <v>6742.0</v>
      </c>
      <c r="B6746" s="13" t="s">
        <v>6141</v>
      </c>
      <c r="C6746" s="14" t="s">
        <v>6769</v>
      </c>
      <c r="D6746" s="1"/>
      <c r="E6746" s="1"/>
      <c r="F6746" s="1" t="str">
        <f>IFERROR(__xludf.DUMMYFUNCTION("GOOGLETRANSLATE(B6746, ""en"", ""fa"")
"),"موفقیت آمازون")</f>
        <v>موفقیت آمازون</v>
      </c>
      <c r="G6746" s="1" t="str">
        <f>IFERROR(__xludf.DUMMYFUNCTION("GOOGLETRANSLATE(C6746, ""en"", ""fa"")
"),"اهمیت استفاده از ابزارهای اتوماسیون کمپین تبلیغاتی و الگوریتم‌های پیشنهاد برای ساده‌سازی مدیریت کمپین و بهینه‌سازی عملکرد را توضیح دهید.")</f>
        <v>اهمیت استفاده از ابزارهای اتوماسیون کمپین تبلیغاتی و الگوریتم‌های پیشنهاد برای ساده‌سازی مدیریت کمپین و بهینه‌سازی عملکرد را توضیح دهید.</v>
      </c>
      <c r="H6746" s="1"/>
      <c r="I6746" s="1"/>
      <c r="J6746" s="1"/>
      <c r="K6746" s="1"/>
      <c r="L6746" s="1"/>
      <c r="M6746" s="1"/>
      <c r="N6746" s="1"/>
      <c r="O6746" s="1"/>
      <c r="P6746" s="1"/>
      <c r="Q6746" s="1"/>
      <c r="R6746" s="1"/>
      <c r="S6746" s="1"/>
      <c r="T6746" s="1"/>
      <c r="U6746" s="1"/>
      <c r="V6746" s="1"/>
      <c r="W6746" s="1"/>
      <c r="X6746" s="1"/>
      <c r="Y6746" s="1"/>
      <c r="Z6746" s="1"/>
      <c r="AA6746" s="1"/>
      <c r="AB6746" s="1"/>
    </row>
    <row r="6747" ht="50.25" customHeight="1">
      <c r="A6747" s="12">
        <v>6743.0</v>
      </c>
      <c r="B6747" s="13" t="s">
        <v>6141</v>
      </c>
      <c r="C6747" s="14" t="s">
        <v>6770</v>
      </c>
      <c r="D6747" s="1"/>
      <c r="E6747" s="1"/>
      <c r="F6747" s="1" t="str">
        <f>IFERROR(__xludf.DUMMYFUNCTION("GOOGLETRANSLATE(B6747, ""en"", ""fa"")
"),"موفقیت آمازون")</f>
        <v>موفقیت آمازون</v>
      </c>
      <c r="G6747" s="1" t="str">
        <f>IFERROR(__xludf.DUMMYFUNCTION("GOOGLETRANSLATE(C6747, ""en"", ""fa"")
"),"چگونه فروشندگان می توانند از فروشگاه برندهای حمایت شده آمازون برای ایجاد یک تجربه خرید انتخاب شده برای مشتریان و تبلیغ چندین محصول استفاده کنند؟")</f>
        <v>چگونه فروشندگان می توانند از فروشگاه برندهای حمایت شده آمازون برای ایجاد یک تجربه خرید انتخاب شده برای مشتریان و تبلیغ چندین محصول استفاده کنند؟</v>
      </c>
      <c r="H6747" s="1"/>
      <c r="I6747" s="1"/>
      <c r="J6747" s="1"/>
      <c r="K6747" s="1"/>
      <c r="L6747" s="1"/>
      <c r="M6747" s="1"/>
      <c r="N6747" s="1"/>
      <c r="O6747" s="1"/>
      <c r="P6747" s="1"/>
      <c r="Q6747" s="1"/>
      <c r="R6747" s="1"/>
      <c r="S6747" s="1"/>
      <c r="T6747" s="1"/>
      <c r="U6747" s="1"/>
      <c r="V6747" s="1"/>
      <c r="W6747" s="1"/>
      <c r="X6747" s="1"/>
      <c r="Y6747" s="1"/>
      <c r="Z6747" s="1"/>
      <c r="AA6747" s="1"/>
      <c r="AB6747" s="1"/>
    </row>
    <row r="6748" ht="50.25" customHeight="1">
      <c r="A6748" s="12">
        <v>6744.0</v>
      </c>
      <c r="B6748" s="13" t="s">
        <v>6141</v>
      </c>
      <c r="C6748" s="14" t="s">
        <v>6771</v>
      </c>
      <c r="D6748" s="1"/>
      <c r="E6748" s="1"/>
      <c r="F6748" s="1" t="str">
        <f>IFERROR(__xludf.DUMMYFUNCTION("GOOGLETRANSLATE(B6748, ""en"", ""fa"")
"),"موفقیت آمازون")</f>
        <v>موفقیت آمازون</v>
      </c>
      <c r="G6748" s="1" t="str">
        <f>IFERROR(__xludf.DUMMYFUNCTION("GOOGLETRANSLATE(C6748, ""en"", ""fa"")
"),"در مورد نقش تبلیغات هدفمند محصول در دستیابی به مشتریانی که قبلاً محصولات مشابهی را در آمازون مشاهده کرده یا خریداری کرده اند صحبت کنید.")</f>
        <v>در مورد نقش تبلیغات هدفمند محصول در دستیابی به مشتریانی که قبلاً محصولات مشابهی را در آمازون مشاهده کرده یا خریداری کرده اند صحبت کنید.</v>
      </c>
      <c r="H6748" s="1"/>
      <c r="I6748" s="1"/>
      <c r="J6748" s="1"/>
      <c r="K6748" s="1"/>
      <c r="L6748" s="1"/>
      <c r="M6748" s="1"/>
      <c r="N6748" s="1"/>
      <c r="O6748" s="1"/>
      <c r="P6748" s="1"/>
      <c r="Q6748" s="1"/>
      <c r="R6748" s="1"/>
      <c r="S6748" s="1"/>
      <c r="T6748" s="1"/>
      <c r="U6748" s="1"/>
      <c r="V6748" s="1"/>
      <c r="W6748" s="1"/>
      <c r="X6748" s="1"/>
      <c r="Y6748" s="1"/>
      <c r="Z6748" s="1"/>
      <c r="AA6748" s="1"/>
      <c r="AB6748" s="1"/>
    </row>
    <row r="6749" ht="50.25" customHeight="1">
      <c r="A6749" s="12">
        <v>6745.0</v>
      </c>
      <c r="B6749" s="13" t="s">
        <v>6141</v>
      </c>
      <c r="C6749" s="14" t="s">
        <v>6772</v>
      </c>
      <c r="D6749" s="1"/>
      <c r="E6749" s="1"/>
      <c r="F6749" s="1" t="str">
        <f>IFERROR(__xludf.DUMMYFUNCTION("GOOGLETRANSLATE(B6749, ""en"", ""fa"")
"),"موفقیت آمازون")</f>
        <v>موفقیت آمازون</v>
      </c>
      <c r="G6749" s="1" t="str">
        <f>IFERROR(__xludf.DUMMYFUNCTION("GOOGLETRANSLATE(C6749, ""en"", ""fa"")
"),"ملاحظات کلیدی هنگام اجرای کمپین های تبلیغاتی در دوره های فصلی یا تبلیغاتی برای به حداکثر رساندن فروش و سرمایه گذاری بر روی افزایش تقاضای مشتری چیست؟")</f>
        <v>ملاحظات کلیدی هنگام اجرای کمپین های تبلیغاتی در دوره های فصلی یا تبلیغاتی برای به حداکثر رساندن فروش و سرمایه گذاری بر روی افزایش تقاضای مشتری چیست؟</v>
      </c>
      <c r="H6749" s="1"/>
      <c r="I6749" s="1"/>
      <c r="J6749" s="1"/>
      <c r="K6749" s="1"/>
      <c r="L6749" s="1"/>
      <c r="M6749" s="1"/>
      <c r="N6749" s="1"/>
      <c r="O6749" s="1"/>
      <c r="P6749" s="1"/>
      <c r="Q6749" s="1"/>
      <c r="R6749" s="1"/>
      <c r="S6749" s="1"/>
      <c r="T6749" s="1"/>
      <c r="U6749" s="1"/>
      <c r="V6749" s="1"/>
      <c r="W6749" s="1"/>
      <c r="X6749" s="1"/>
      <c r="Y6749" s="1"/>
      <c r="Z6749" s="1"/>
      <c r="AA6749" s="1"/>
      <c r="AB6749" s="1"/>
    </row>
    <row r="6750" ht="50.25" customHeight="1">
      <c r="A6750" s="12">
        <v>6746.0</v>
      </c>
      <c r="B6750" s="13" t="s">
        <v>6141</v>
      </c>
      <c r="C6750" s="14" t="s">
        <v>6773</v>
      </c>
      <c r="D6750" s="1"/>
      <c r="E6750" s="1"/>
      <c r="F6750" s="1" t="str">
        <f>IFERROR(__xludf.DUMMYFUNCTION("GOOGLETRANSLATE(B6750, ""en"", ""fa"")
"),"موفقیت آمازون")</f>
        <v>موفقیت آمازون</v>
      </c>
      <c r="G6750" s="1" t="str">
        <f>IFERROR(__xludf.DUMMYFUNCTION("GOOGLETRANSLATE(C6750, ""en"", ""fa"")
"),"درباره نحوه بهینه‌سازی مؤثر گزینه‌های هدف‌یابی تبلیغات، مانند سن، جنسیت یا علایق، برای دستیابی به جمعیت‌شناسی مشتری خاص، بینش‌هایی را به اشتراک بگذارید.")</f>
        <v>درباره نحوه بهینه‌سازی مؤثر گزینه‌های هدف‌یابی تبلیغات، مانند سن، جنسیت یا علایق، برای دستیابی به جمعیت‌شناسی مشتری خاص، بینش‌هایی را به اشتراک بگذارید.</v>
      </c>
      <c r="H6750" s="1"/>
      <c r="I6750" s="1"/>
      <c r="J6750" s="1"/>
      <c r="K6750" s="1"/>
      <c r="L6750" s="1"/>
      <c r="M6750" s="1"/>
      <c r="N6750" s="1"/>
      <c r="O6750" s="1"/>
      <c r="P6750" s="1"/>
      <c r="Q6750" s="1"/>
      <c r="R6750" s="1"/>
      <c r="S6750" s="1"/>
      <c r="T6750" s="1"/>
      <c r="U6750" s="1"/>
      <c r="V6750" s="1"/>
      <c r="W6750" s="1"/>
      <c r="X6750" s="1"/>
      <c r="Y6750" s="1"/>
      <c r="Z6750" s="1"/>
      <c r="AA6750" s="1"/>
      <c r="AB6750" s="1"/>
    </row>
    <row r="6751" ht="50.25" customHeight="1">
      <c r="A6751" s="12">
        <v>6747.0</v>
      </c>
      <c r="B6751" s="13" t="s">
        <v>6141</v>
      </c>
      <c r="C6751" s="14" t="s">
        <v>6774</v>
      </c>
      <c r="D6751" s="1"/>
      <c r="E6751" s="1"/>
      <c r="F6751" s="1" t="str">
        <f>IFERROR(__xludf.DUMMYFUNCTION("GOOGLETRANSLATE(B6751, ""en"", ""fa"")
"),"موفقیت آمازون")</f>
        <v>موفقیت آمازون</v>
      </c>
      <c r="G6751" s="1" t="str">
        <f>IFERROR(__xludf.DUMMYFUNCTION("GOOGLETRANSLATE(C6751, ""en"", ""fa"")
"),"اهمیت گنجاندن نظرات و رتبه‌بندی‌های مشتریان در خلاقیت‌های تبلیغاتی را برای ایجاد اعتماد و اثبات اجتماعی برای محصولات تبلیغ‌شده توضیح دهید.")</f>
        <v>اهمیت گنجاندن نظرات و رتبه‌بندی‌های مشتریان در خلاقیت‌های تبلیغاتی را برای ایجاد اعتماد و اثبات اجتماعی برای محصولات تبلیغ‌شده توضیح دهید.</v>
      </c>
      <c r="H6751" s="1"/>
      <c r="I6751" s="1"/>
      <c r="J6751" s="1"/>
      <c r="K6751" s="1"/>
      <c r="L6751" s="1"/>
      <c r="M6751" s="1"/>
      <c r="N6751" s="1"/>
      <c r="O6751" s="1"/>
      <c r="P6751" s="1"/>
      <c r="Q6751" s="1"/>
      <c r="R6751" s="1"/>
      <c r="S6751" s="1"/>
      <c r="T6751" s="1"/>
      <c r="U6751" s="1"/>
      <c r="V6751" s="1"/>
      <c r="W6751" s="1"/>
      <c r="X6751" s="1"/>
      <c r="Y6751" s="1"/>
      <c r="Z6751" s="1"/>
      <c r="AA6751" s="1"/>
      <c r="AB6751" s="1"/>
    </row>
    <row r="6752" ht="50.25" customHeight="1">
      <c r="A6752" s="12">
        <v>6748.0</v>
      </c>
      <c r="B6752" s="13" t="s">
        <v>6141</v>
      </c>
      <c r="C6752" s="14" t="s">
        <v>6775</v>
      </c>
      <c r="D6752" s="1"/>
      <c r="E6752" s="1"/>
      <c r="F6752" s="1" t="str">
        <f>IFERROR(__xludf.DUMMYFUNCTION("GOOGLETRANSLATE(B6752, ""en"", ""fa"")
"),"موفقیت آمازون")</f>
        <v>موفقیت آمازون</v>
      </c>
      <c r="G6752" s="1" t="str">
        <f>IFERROR(__xludf.DUMMYFUNCTION("GOOGLETRANSLATE(C6752, ""en"", ""fa"")
"),"چگونه فروشندگان می‌توانند از تبلیغات فروشگاه ویدیویی با نام تجاری آمازون استفاده کنند تا ترافیک و تعامل را به ویترین برندشان هدایت کنند؟")</f>
        <v>چگونه فروشندگان می‌توانند از تبلیغات فروشگاه ویدیویی با نام تجاری آمازون استفاده کنند تا ترافیک و تعامل را به ویترین برندشان هدایت کنند؟</v>
      </c>
      <c r="H6752" s="1"/>
      <c r="I6752" s="1"/>
      <c r="J6752" s="1"/>
      <c r="K6752" s="1"/>
      <c r="L6752" s="1"/>
      <c r="M6752" s="1"/>
      <c r="N6752" s="1"/>
      <c r="O6752" s="1"/>
      <c r="P6752" s="1"/>
      <c r="Q6752" s="1"/>
      <c r="R6752" s="1"/>
      <c r="S6752" s="1"/>
      <c r="T6752" s="1"/>
      <c r="U6752" s="1"/>
      <c r="V6752" s="1"/>
      <c r="W6752" s="1"/>
      <c r="X6752" s="1"/>
      <c r="Y6752" s="1"/>
      <c r="Z6752" s="1"/>
      <c r="AA6752" s="1"/>
      <c r="AB6752" s="1"/>
    </row>
    <row r="6753" ht="50.25" customHeight="1">
      <c r="A6753" s="12">
        <v>6749.0</v>
      </c>
      <c r="B6753" s="13" t="s">
        <v>6141</v>
      </c>
      <c r="C6753" s="14" t="s">
        <v>6776</v>
      </c>
      <c r="D6753" s="1"/>
      <c r="E6753" s="1"/>
      <c r="F6753" s="1" t="str">
        <f>IFERROR(__xludf.DUMMYFUNCTION("GOOGLETRANSLATE(B6753, ""en"", ""fa"")
"),"موفقیت آمازون")</f>
        <v>موفقیت آمازون</v>
      </c>
      <c r="G6753" s="1" t="str">
        <f>IFERROR(__xludf.DUMMYFUNCTION("GOOGLETRANSLATE(C6753, ""en"", ""fa"")
"),"در مورد مزایای استفاده از محتوای برند پیشرفته آمازون و محتوای A+ در ارتباط با کمپین های تبلیغاتی برای ارائه یک محصول غنی تر برای مشتریان صحبت کنید.")</f>
        <v>در مورد مزایای استفاده از محتوای برند پیشرفته آمازون و محتوای A+ در ارتباط با کمپین های تبلیغاتی برای ارائه یک محصول غنی تر برای مشتریان صحبت کنید.</v>
      </c>
      <c r="H6753" s="1"/>
      <c r="I6753" s="1"/>
      <c r="J6753" s="1"/>
      <c r="K6753" s="1"/>
      <c r="L6753" s="1"/>
      <c r="M6753" s="1"/>
      <c r="N6753" s="1"/>
      <c r="O6753" s="1"/>
      <c r="P6753" s="1"/>
      <c r="Q6753" s="1"/>
      <c r="R6753" s="1"/>
      <c r="S6753" s="1"/>
      <c r="T6753" s="1"/>
      <c r="U6753" s="1"/>
      <c r="V6753" s="1"/>
      <c r="W6753" s="1"/>
      <c r="X6753" s="1"/>
      <c r="Y6753" s="1"/>
      <c r="Z6753" s="1"/>
      <c r="AA6753" s="1"/>
      <c r="AB6753" s="1"/>
    </row>
    <row r="6754" ht="50.25" customHeight="1">
      <c r="A6754" s="12">
        <v>6750.0</v>
      </c>
      <c r="B6754" s="13" t="s">
        <v>6141</v>
      </c>
      <c r="C6754" s="14" t="s">
        <v>6777</v>
      </c>
      <c r="D6754" s="1"/>
      <c r="E6754" s="1"/>
      <c r="F6754" s="1" t="str">
        <f>IFERROR(__xludf.DUMMYFUNCTION("GOOGLETRANSLATE(B6754, ""en"", ""fa"")
"),"موفقیت آمازون")</f>
        <v>موفقیت آمازون</v>
      </c>
      <c r="G6754" s="1" t="str">
        <f>IFERROR(__xludf.DUMMYFUNCTION("GOOGLETRANSLATE(C6754, ""en"", ""fa"")
"),"بهترین روش ها برای استفاده از گزینه های هدف گیری مشتری آمازون، مانند رفتار خرید قبلی یا سابقه جستجو، برای ارائه تبلیغات شخصی و مرتبط چیست؟")</f>
        <v>بهترین روش ها برای استفاده از گزینه های هدف گیری مشتری آمازون، مانند رفتار خرید قبلی یا سابقه جستجو، برای ارائه تبلیغات شخصی و مرتبط چیست؟</v>
      </c>
      <c r="H6754" s="1"/>
      <c r="I6754" s="1"/>
      <c r="J6754" s="1"/>
      <c r="K6754" s="1"/>
      <c r="L6754" s="1"/>
      <c r="M6754" s="1"/>
      <c r="N6754" s="1"/>
      <c r="O6754" s="1"/>
      <c r="P6754" s="1"/>
      <c r="Q6754" s="1"/>
      <c r="R6754" s="1"/>
      <c r="S6754" s="1"/>
      <c r="T6754" s="1"/>
      <c r="U6754" s="1"/>
      <c r="V6754" s="1"/>
      <c r="W6754" s="1"/>
      <c r="X6754" s="1"/>
      <c r="Y6754" s="1"/>
      <c r="Z6754" s="1"/>
      <c r="AA6754" s="1"/>
      <c r="AB6754" s="1"/>
    </row>
    <row r="6755" ht="50.25" customHeight="1">
      <c r="A6755" s="12">
        <v>6751.0</v>
      </c>
      <c r="B6755" s="13" t="s">
        <v>6141</v>
      </c>
      <c r="C6755" s="14" t="s">
        <v>6778</v>
      </c>
      <c r="D6755" s="1"/>
      <c r="E6755" s="1"/>
      <c r="F6755" s="1" t="str">
        <f>IFERROR(__xludf.DUMMYFUNCTION("GOOGLETRANSLATE(B6755, ""en"", ""fa"")
"),"موفقیت آمازون")</f>
        <v>موفقیت آمازون</v>
      </c>
      <c r="G6755" s="1" t="str">
        <f>IFERROR(__xludf.DUMMYFUNCTION("GOOGLETRANSLATE(C6755, ""en"", ""fa"")
"),"نکاتی را برای استفاده از پیشنهادات، تخفیف‌ها یا کوپن‌های تبلیغاتی در کمپین‌های تبلیغاتی برای تشویق به خرید مشتری و افزایش نرخ تبدیل به اشتراک بگذارید.")</f>
        <v>نکاتی را برای استفاده از پیشنهادات، تخفیف‌ها یا کوپن‌های تبلیغاتی در کمپین‌های تبلیغاتی برای تشویق به خرید مشتری و افزایش نرخ تبدیل به اشتراک بگذارید.</v>
      </c>
      <c r="H6755" s="1"/>
      <c r="I6755" s="1"/>
      <c r="J6755" s="1"/>
      <c r="K6755" s="1"/>
      <c r="L6755" s="1"/>
      <c r="M6755" s="1"/>
      <c r="N6755" s="1"/>
      <c r="O6755" s="1"/>
      <c r="P6755" s="1"/>
      <c r="Q6755" s="1"/>
      <c r="R6755" s="1"/>
      <c r="S6755" s="1"/>
      <c r="T6755" s="1"/>
      <c r="U6755" s="1"/>
      <c r="V6755" s="1"/>
      <c r="W6755" s="1"/>
      <c r="X6755" s="1"/>
      <c r="Y6755" s="1"/>
      <c r="Z6755" s="1"/>
      <c r="AA6755" s="1"/>
      <c r="AB6755" s="1"/>
    </row>
    <row r="6756" ht="50.25" customHeight="1">
      <c r="A6756" s="12">
        <v>6752.0</v>
      </c>
      <c r="B6756" s="13" t="s">
        <v>6141</v>
      </c>
      <c r="C6756" s="14" t="s">
        <v>6779</v>
      </c>
      <c r="D6756" s="1"/>
      <c r="E6756" s="1"/>
      <c r="F6756" s="1" t="str">
        <f>IFERROR(__xludf.DUMMYFUNCTION("GOOGLETRANSLATE(B6756, ""en"", ""fa"")
"),"موفقیت آمازون")</f>
        <v>موفقیت آمازون</v>
      </c>
      <c r="G6756" s="1" t="str">
        <f>IFERROR(__xludf.DUMMYFUNCTION("GOOGLETRANSLATE(C6756, ""en"", ""fa"")
"),"اهمیت نظارت و مدیریت قرار دادن کمپین های تبلیغاتی در بازارهای مختلف آمازون را برای به حداکثر رساندن دسترسی جهانی و فرصت های فروش توضیح دهید.")</f>
        <v>اهمیت نظارت و مدیریت قرار دادن کمپین های تبلیغاتی در بازارهای مختلف آمازون را برای به حداکثر رساندن دسترسی جهانی و فرصت های فروش توضیح دهید.</v>
      </c>
      <c r="H6756" s="1"/>
      <c r="I6756" s="1"/>
      <c r="J6756" s="1"/>
      <c r="K6756" s="1"/>
      <c r="L6756" s="1"/>
      <c r="M6756" s="1"/>
      <c r="N6756" s="1"/>
      <c r="O6756" s="1"/>
      <c r="P6756" s="1"/>
      <c r="Q6756" s="1"/>
      <c r="R6756" s="1"/>
      <c r="S6756" s="1"/>
      <c r="T6756" s="1"/>
      <c r="U6756" s="1"/>
      <c r="V6756" s="1"/>
      <c r="W6756" s="1"/>
      <c r="X6756" s="1"/>
      <c r="Y6756" s="1"/>
      <c r="Z6756" s="1"/>
      <c r="AA6756" s="1"/>
      <c r="AB6756" s="1"/>
    </row>
    <row r="6757" ht="50.25" customHeight="1">
      <c r="A6757" s="12">
        <v>6753.0</v>
      </c>
      <c r="B6757" s="13" t="s">
        <v>6141</v>
      </c>
      <c r="C6757" s="14" t="s">
        <v>6780</v>
      </c>
      <c r="D6757" s="1"/>
      <c r="E6757" s="1"/>
      <c r="F6757" s="1" t="str">
        <f>IFERROR(__xludf.DUMMYFUNCTION("GOOGLETRANSLATE(B6757, ""en"", ""fa"")
"),"موفقیت آمازون")</f>
        <v>موفقیت آمازون</v>
      </c>
      <c r="G6757" s="1" t="str">
        <f>IFERROR(__xludf.DUMMYFUNCTION("GOOGLETRANSLATE(C6757, ""en"", ""fa"")
"),"چگونه فروشندگان می توانند از ویژگی مخاطبان نمایش حامی مالی آمازون برای دسترسی و جذب مشتریان فراتر از پلتفرم آمازون استفاده کنند؟")</f>
        <v>چگونه فروشندگان می توانند از ویژگی مخاطبان نمایش حامی مالی آمازون برای دسترسی و جذب مشتریان فراتر از پلتفرم آمازون استفاده کنند؟</v>
      </c>
      <c r="H6757" s="1"/>
      <c r="I6757" s="1"/>
      <c r="J6757" s="1"/>
      <c r="K6757" s="1"/>
      <c r="L6757" s="1"/>
      <c r="M6757" s="1"/>
      <c r="N6757" s="1"/>
      <c r="O6757" s="1"/>
      <c r="P6757" s="1"/>
      <c r="Q6757" s="1"/>
      <c r="R6757" s="1"/>
      <c r="S6757" s="1"/>
      <c r="T6757" s="1"/>
      <c r="U6757" s="1"/>
      <c r="V6757" s="1"/>
      <c r="W6757" s="1"/>
      <c r="X6757" s="1"/>
      <c r="Y6757" s="1"/>
      <c r="Z6757" s="1"/>
      <c r="AA6757" s="1"/>
      <c r="AB6757" s="1"/>
    </row>
    <row r="6758" ht="50.25" customHeight="1">
      <c r="A6758" s="12">
        <v>6754.0</v>
      </c>
      <c r="B6758" s="13" t="s">
        <v>6141</v>
      </c>
      <c r="C6758" s="14" t="s">
        <v>6781</v>
      </c>
      <c r="D6758" s="1"/>
      <c r="E6758" s="1"/>
      <c r="F6758" s="1" t="str">
        <f>IFERROR(__xludf.DUMMYFUNCTION("GOOGLETRANSLATE(B6758, ""en"", ""fa"")
"),"موفقیت آمازون")</f>
        <v>موفقیت آمازون</v>
      </c>
      <c r="G6758" s="1" t="str">
        <f>IFERROR(__xludf.DUMMYFUNCTION("GOOGLETRANSLATE(C6758, ""en"", ""fa"")
"),"در مورد نقش تبلیغات جستجوی سرفصل در جلب توجه مشتریان برتر و افزایش آگاهی و توجه به نام تجاری بحث کنید.")</f>
        <v>در مورد نقش تبلیغات جستجوی سرفصل در جلب توجه مشتریان برتر و افزایش آگاهی و توجه به نام تجاری بحث کنید.</v>
      </c>
      <c r="H6758" s="1"/>
      <c r="I6758" s="1"/>
      <c r="J6758" s="1"/>
      <c r="K6758" s="1"/>
      <c r="L6758" s="1"/>
      <c r="M6758" s="1"/>
      <c r="N6758" s="1"/>
      <c r="O6758" s="1"/>
      <c r="P6758" s="1"/>
      <c r="Q6758" s="1"/>
      <c r="R6758" s="1"/>
      <c r="S6758" s="1"/>
      <c r="T6758" s="1"/>
      <c r="U6758" s="1"/>
      <c r="V6758" s="1"/>
      <c r="W6758" s="1"/>
      <c r="X6758" s="1"/>
      <c r="Y6758" s="1"/>
      <c r="Z6758" s="1"/>
      <c r="AA6758" s="1"/>
      <c r="AB6758" s="1"/>
    </row>
    <row r="6759" ht="50.25" customHeight="1">
      <c r="A6759" s="12">
        <v>6755.0</v>
      </c>
      <c r="B6759" s="13" t="s">
        <v>6141</v>
      </c>
      <c r="C6759" s="14" t="s">
        <v>6782</v>
      </c>
      <c r="D6759" s="1"/>
      <c r="E6759" s="1"/>
      <c r="F6759" s="1" t="str">
        <f>IFERROR(__xludf.DUMMYFUNCTION("GOOGLETRANSLATE(B6759, ""en"", ""fa"")
"),"موفقیت آمازون")</f>
        <v>موفقیت آمازون</v>
      </c>
      <c r="G6759" s="1" t="str">
        <f>IFERROR(__xludf.DUMMYFUNCTION("GOOGLETRANSLATE(C6759, ""en"", ""fa"")
"),"ملاحظات کلیدی هنگام استفاده از کمپین های هدف گذاری محصول برای محافظت در برابر هدف گذاری رقابتی و حفظ موقعیت بازار قوی چیست؟")</f>
        <v>ملاحظات کلیدی هنگام استفاده از کمپین های هدف گذاری محصول برای محافظت در برابر هدف گذاری رقابتی و حفظ موقعیت بازار قوی چیست؟</v>
      </c>
      <c r="H6759" s="1"/>
      <c r="I6759" s="1"/>
      <c r="J6759" s="1"/>
      <c r="K6759" s="1"/>
      <c r="L6759" s="1"/>
      <c r="M6759" s="1"/>
      <c r="N6759" s="1"/>
      <c r="O6759" s="1"/>
      <c r="P6759" s="1"/>
      <c r="Q6759" s="1"/>
      <c r="R6759" s="1"/>
      <c r="S6759" s="1"/>
      <c r="T6759" s="1"/>
      <c r="U6759" s="1"/>
      <c r="V6759" s="1"/>
      <c r="W6759" s="1"/>
      <c r="X6759" s="1"/>
      <c r="Y6759" s="1"/>
      <c r="Z6759" s="1"/>
      <c r="AA6759" s="1"/>
      <c r="AB6759" s="1"/>
    </row>
    <row r="6760" ht="50.25" customHeight="1">
      <c r="A6760" s="12">
        <v>6756.0</v>
      </c>
      <c r="B6760" s="13" t="s">
        <v>6141</v>
      </c>
      <c r="C6760" s="14" t="s">
        <v>6783</v>
      </c>
      <c r="D6760" s="1"/>
      <c r="E6760" s="1"/>
      <c r="F6760" s="1" t="str">
        <f>IFERROR(__xludf.DUMMYFUNCTION("GOOGLETRANSLATE(B6760, ""en"", ""fa"")
"),"موفقیت آمازون")</f>
        <v>موفقیت آمازون</v>
      </c>
      <c r="G6760" s="1" t="str">
        <f>IFERROR(__xludf.DUMMYFUNCTION("GOOGLETRANSLATE(C6760, ""en"", ""fa"")
"),"بینش هایی را در مورد چگونگی استفاده موثر از داده ها و بینش های مشتری برای اطلاع رسانی استراتژی های کمپین تبلیغاتی و بهینه سازی هدف گذاری تبلیغات به اشتراک بگذارید.")</f>
        <v>بینش هایی را در مورد چگونگی استفاده موثر از داده ها و بینش های مشتری برای اطلاع رسانی استراتژی های کمپین تبلیغاتی و بهینه سازی هدف گذاری تبلیغات به اشتراک بگذارید.</v>
      </c>
      <c r="H6760" s="1"/>
      <c r="I6760" s="1"/>
      <c r="J6760" s="1"/>
      <c r="K6760" s="1"/>
      <c r="L6760" s="1"/>
      <c r="M6760" s="1"/>
      <c r="N6760" s="1"/>
      <c r="O6760" s="1"/>
      <c r="P6760" s="1"/>
      <c r="Q6760" s="1"/>
      <c r="R6760" s="1"/>
      <c r="S6760" s="1"/>
      <c r="T6760" s="1"/>
      <c r="U6760" s="1"/>
      <c r="V6760" s="1"/>
      <c r="W6760" s="1"/>
      <c r="X6760" s="1"/>
      <c r="Y6760" s="1"/>
      <c r="Z6760" s="1"/>
      <c r="AA6760" s="1"/>
      <c r="AB6760" s="1"/>
    </row>
    <row r="6761" ht="50.25" customHeight="1">
      <c r="A6761" s="12">
        <v>6757.0</v>
      </c>
      <c r="B6761" s="13" t="s">
        <v>6141</v>
      </c>
      <c r="C6761" s="14" t="s">
        <v>6784</v>
      </c>
      <c r="D6761" s="1"/>
      <c r="E6761" s="1"/>
      <c r="F6761" s="1" t="str">
        <f>IFERROR(__xludf.DUMMYFUNCTION("GOOGLETRANSLATE(B6761, ""en"", ""fa"")
"),"موفقیت آمازون")</f>
        <v>موفقیت آمازون</v>
      </c>
      <c r="G6761" s="1" t="str">
        <f>IFERROR(__xludf.DUMMYFUNCTION("GOOGLETRANSLATE(C6761, ""en"", ""fa"")
"),"اهمیت نظارت مستمر و تنظیم بودجه کمپین های تبلیغاتی و پیشنهادات بر اساس عملکرد و پویایی بازار را توضیح دهید.")</f>
        <v>اهمیت نظارت مستمر و تنظیم بودجه کمپین های تبلیغاتی و پیشنهادات بر اساس عملکرد و پویایی بازار را توضیح دهید.</v>
      </c>
      <c r="H6761" s="1"/>
      <c r="I6761" s="1"/>
      <c r="J6761" s="1"/>
      <c r="K6761" s="1"/>
      <c r="L6761" s="1"/>
      <c r="M6761" s="1"/>
      <c r="N6761" s="1"/>
      <c r="O6761" s="1"/>
      <c r="P6761" s="1"/>
      <c r="Q6761" s="1"/>
      <c r="R6761" s="1"/>
      <c r="S6761" s="1"/>
      <c r="T6761" s="1"/>
      <c r="U6761" s="1"/>
      <c r="V6761" s="1"/>
      <c r="W6761" s="1"/>
      <c r="X6761" s="1"/>
      <c r="Y6761" s="1"/>
      <c r="Z6761" s="1"/>
      <c r="AA6761" s="1"/>
      <c r="AB6761" s="1"/>
    </row>
    <row r="6762" ht="50.25" customHeight="1">
      <c r="A6762" s="12">
        <v>6758.0</v>
      </c>
      <c r="B6762" s="13" t="s">
        <v>6141</v>
      </c>
      <c r="C6762" s="14" t="s">
        <v>6785</v>
      </c>
      <c r="D6762" s="1"/>
      <c r="E6762" s="1"/>
      <c r="F6762" s="1" t="str">
        <f>IFERROR(__xludf.DUMMYFUNCTION("GOOGLETRANSLATE(B6762, ""en"", ""fa"")
"),"موفقیت آمازون")</f>
        <v>موفقیت آمازون</v>
      </c>
      <c r="G6762" s="1" t="str">
        <f>IFERROR(__xludf.DUMMYFUNCTION("GOOGLETRANSLATE(C6762, ""en"", ""fa"")
"),"چگونه فروشندگان می توانند از تجزیه و تحلیل برند آمازون و بینش مشتری برای شناسایی فرصت های تبلیغاتی جدید و هدف قرار دادن بخش های مشتریان به طور موثر استفاده کنند؟")</f>
        <v>چگونه فروشندگان می توانند از تجزیه و تحلیل برند آمازون و بینش مشتری برای شناسایی فرصت های تبلیغاتی جدید و هدف قرار دادن بخش های مشتریان به طور موثر استفاده کنند؟</v>
      </c>
      <c r="H6762" s="1"/>
      <c r="I6762" s="1"/>
      <c r="J6762" s="1"/>
      <c r="K6762" s="1"/>
      <c r="L6762" s="1"/>
      <c r="M6762" s="1"/>
      <c r="N6762" s="1"/>
      <c r="O6762" s="1"/>
      <c r="P6762" s="1"/>
      <c r="Q6762" s="1"/>
      <c r="R6762" s="1"/>
      <c r="S6762" s="1"/>
      <c r="T6762" s="1"/>
      <c r="U6762" s="1"/>
      <c r="V6762" s="1"/>
      <c r="W6762" s="1"/>
      <c r="X6762" s="1"/>
      <c r="Y6762" s="1"/>
      <c r="Z6762" s="1"/>
      <c r="AA6762" s="1"/>
      <c r="AB6762" s="1"/>
    </row>
    <row r="6763" ht="50.25" customHeight="1">
      <c r="A6763" s="12">
        <v>6759.0</v>
      </c>
      <c r="B6763" s="13" t="s">
        <v>6141</v>
      </c>
      <c r="C6763" s="14" t="s">
        <v>6786</v>
      </c>
      <c r="D6763" s="1"/>
      <c r="E6763" s="1"/>
      <c r="F6763" s="1" t="str">
        <f>IFERROR(__xludf.DUMMYFUNCTION("GOOGLETRANSLATE(B6763, ""en"", ""fa"")
"),"موفقیت آمازون")</f>
        <v>موفقیت آمازون</v>
      </c>
      <c r="G6763" s="1" t="str">
        <f>IFERROR(__xludf.DUMMYFUNCTION("GOOGLETRANSLATE(C6763, ""en"", ""fa"")
"),"در مورد مزایای استفاده از تبلیغات ویدیویی برند حمایت شده در ارتباط با مشارکت اینفلوئنسرها برای افزایش اعتبار برند و دستیابی به مخاطبان جدید بحث کنید.")</f>
        <v>در مورد مزایای استفاده از تبلیغات ویدیویی برند حمایت شده در ارتباط با مشارکت اینفلوئنسرها برای افزایش اعتبار برند و دستیابی به مخاطبان جدید بحث کنید.</v>
      </c>
      <c r="H6763" s="1"/>
      <c r="I6763" s="1"/>
      <c r="J6763" s="1"/>
      <c r="K6763" s="1"/>
      <c r="L6763" s="1"/>
      <c r="M6763" s="1"/>
      <c r="N6763" s="1"/>
      <c r="O6763" s="1"/>
      <c r="P6763" s="1"/>
      <c r="Q6763" s="1"/>
      <c r="R6763" s="1"/>
      <c r="S6763" s="1"/>
      <c r="T6763" s="1"/>
      <c r="U6763" s="1"/>
      <c r="V6763" s="1"/>
      <c r="W6763" s="1"/>
      <c r="X6763" s="1"/>
      <c r="Y6763" s="1"/>
      <c r="Z6763" s="1"/>
      <c r="AA6763" s="1"/>
      <c r="AB6763" s="1"/>
    </row>
    <row r="6764" ht="50.25" customHeight="1">
      <c r="A6764" s="12">
        <v>6760.0</v>
      </c>
      <c r="B6764" s="13" t="s">
        <v>6141</v>
      </c>
      <c r="C6764" s="14" t="s">
        <v>6787</v>
      </c>
      <c r="D6764" s="1"/>
      <c r="E6764" s="1"/>
      <c r="F6764" s="1" t="str">
        <f>IFERROR(__xludf.DUMMYFUNCTION("GOOGLETRANSLATE(B6764, ""en"", ""fa"")
"),"موفقیت آمازون")</f>
        <v>موفقیت آمازون</v>
      </c>
      <c r="G6764" s="1" t="str">
        <f>IFERROR(__xludf.DUMMYFUNCTION("GOOGLETRANSLATE(C6764, ""en"", ""fa"")
"),"بهترین شیوه ها برای استفاده از تبلیغات مجموعه محصولات نمایشی حمایت شده برای نمایش تنوع محصول یا محصولات مرتبط در یک واحد تبلیغاتی چیست؟")</f>
        <v>بهترین شیوه ها برای استفاده از تبلیغات مجموعه محصولات نمایشی حمایت شده برای نمایش تنوع محصول یا محصولات مرتبط در یک واحد تبلیغاتی چیست؟</v>
      </c>
      <c r="H6764" s="1"/>
      <c r="I6764" s="1"/>
      <c r="J6764" s="1"/>
      <c r="K6764" s="1"/>
      <c r="L6764" s="1"/>
      <c r="M6764" s="1"/>
      <c r="N6764" s="1"/>
      <c r="O6764" s="1"/>
      <c r="P6764" s="1"/>
      <c r="Q6764" s="1"/>
      <c r="R6764" s="1"/>
      <c r="S6764" s="1"/>
      <c r="T6764" s="1"/>
      <c r="U6764" s="1"/>
      <c r="V6764" s="1"/>
      <c r="W6764" s="1"/>
      <c r="X6764" s="1"/>
      <c r="Y6764" s="1"/>
      <c r="Z6764" s="1"/>
      <c r="AA6764" s="1"/>
      <c r="AB6764" s="1"/>
    </row>
    <row r="6765" ht="50.25" customHeight="1">
      <c r="A6765" s="12">
        <v>6761.0</v>
      </c>
      <c r="B6765" s="13" t="s">
        <v>6141</v>
      </c>
      <c r="C6765" s="14" t="s">
        <v>6788</v>
      </c>
      <c r="D6765" s="1"/>
      <c r="E6765" s="1"/>
      <c r="F6765" s="1" t="str">
        <f>IFERROR(__xludf.DUMMYFUNCTION("GOOGLETRANSLATE(B6765, ""en"", ""fa"")
"),"موفقیت آمازون")</f>
        <v>موفقیت آمازون</v>
      </c>
      <c r="G6765" s="1" t="str">
        <f>IFERROR(__xludf.DUMMYFUNCTION("GOOGLETRANSLATE(C6765, ""en"", ""fa"")
"),"نکاتی را برای ایجاد عناوین تبلیغاتی قانع کننده به اشتراک بگذارید و کپی کنید که به سرعت پیشنهادهای ارزش محصول را به اشتراک می گذارد و توجه مشتری را به خود جلب می کند.")</f>
        <v>نکاتی را برای ایجاد عناوین تبلیغاتی قانع کننده به اشتراک بگذارید و کپی کنید که به سرعت پیشنهادهای ارزش محصول را به اشتراک می گذارد و توجه مشتری را به خود جلب می کند.</v>
      </c>
      <c r="H6765" s="1"/>
      <c r="I6765" s="1"/>
      <c r="J6765" s="1"/>
      <c r="K6765" s="1"/>
      <c r="L6765" s="1"/>
      <c r="M6765" s="1"/>
      <c r="N6765" s="1"/>
      <c r="O6765" s="1"/>
      <c r="P6765" s="1"/>
      <c r="Q6765" s="1"/>
      <c r="R6765" s="1"/>
      <c r="S6765" s="1"/>
      <c r="T6765" s="1"/>
      <c r="U6765" s="1"/>
      <c r="V6765" s="1"/>
      <c r="W6765" s="1"/>
      <c r="X6765" s="1"/>
      <c r="Y6765" s="1"/>
      <c r="Z6765" s="1"/>
      <c r="AA6765" s="1"/>
      <c r="AB6765" s="1"/>
    </row>
    <row r="6766" ht="50.25" customHeight="1">
      <c r="A6766" s="12">
        <v>6762.0</v>
      </c>
      <c r="B6766" s="13" t="s">
        <v>6141</v>
      </c>
      <c r="C6766" s="14" t="s">
        <v>6789</v>
      </c>
      <c r="D6766" s="1"/>
      <c r="E6766" s="1"/>
      <c r="F6766" s="1" t="str">
        <f>IFERROR(__xludf.DUMMYFUNCTION("GOOGLETRANSLATE(B6766, ""en"", ""fa"")
"),"موفقیت آمازون")</f>
        <v>موفقیت آمازون</v>
      </c>
      <c r="G6766" s="1" t="str">
        <f>IFERROR(__xludf.DUMMYFUNCTION("GOOGLETRANSLATE(C6766, ""en"", ""fa"")
"),"اهمیت استفاده از کمپین‌های هدف‌گیری مجدد را برای جذب مجدد مشتریانی که به محصولات فروشنده علاقه نشان داده‌اند اما خریدی انجام نداده‌اند، توضیح دهید.")</f>
        <v>اهمیت استفاده از کمپین‌های هدف‌گیری مجدد را برای جذب مجدد مشتریانی که به محصولات فروشنده علاقه نشان داده‌اند اما خریدی انجام نداده‌اند، توضیح دهید.</v>
      </c>
      <c r="H6766" s="1"/>
      <c r="I6766" s="1"/>
      <c r="J6766" s="1"/>
      <c r="K6766" s="1"/>
      <c r="L6766" s="1"/>
      <c r="M6766" s="1"/>
      <c r="N6766" s="1"/>
      <c r="O6766" s="1"/>
      <c r="P6766" s="1"/>
      <c r="Q6766" s="1"/>
      <c r="R6766" s="1"/>
      <c r="S6766" s="1"/>
      <c r="T6766" s="1"/>
      <c r="U6766" s="1"/>
      <c r="V6766" s="1"/>
      <c r="W6766" s="1"/>
      <c r="X6766" s="1"/>
      <c r="Y6766" s="1"/>
      <c r="Z6766" s="1"/>
      <c r="AA6766" s="1"/>
      <c r="AB6766" s="1"/>
    </row>
    <row r="6767" ht="50.25" customHeight="1">
      <c r="A6767" s="12">
        <v>6763.0</v>
      </c>
      <c r="B6767" s="13" t="s">
        <v>6141</v>
      </c>
      <c r="C6767" s="14" t="s">
        <v>6790</v>
      </c>
      <c r="D6767" s="1"/>
      <c r="E6767" s="1"/>
      <c r="F6767" s="1" t="str">
        <f>IFERROR(__xludf.DUMMYFUNCTION("GOOGLETRANSLATE(B6767, ""en"", ""fa"")
"),"موفقیت آمازون")</f>
        <v>موفقیت آمازون</v>
      </c>
      <c r="G6767" s="1" t="str">
        <f>IFERROR(__xludf.DUMMYFUNCTION("GOOGLETRANSLATE(C6767, ""en"", ""fa"")
"),"چگونه فروشندگان می توانند از Amazon Attribution برای اندازه گیری و بهینه سازی عملکرد کمپین تبلیغاتی در چندین کانال بازاریابی استفاده کنند؟")</f>
        <v>چگونه فروشندگان می توانند از Amazon Attribution برای اندازه گیری و بهینه سازی عملکرد کمپین تبلیغاتی در چندین کانال بازاریابی استفاده کنند؟</v>
      </c>
      <c r="H6767" s="1"/>
      <c r="I6767" s="1"/>
      <c r="J6767" s="1"/>
      <c r="K6767" s="1"/>
      <c r="L6767" s="1"/>
      <c r="M6767" s="1"/>
      <c r="N6767" s="1"/>
      <c r="O6767" s="1"/>
      <c r="P6767" s="1"/>
      <c r="Q6767" s="1"/>
      <c r="R6767" s="1"/>
      <c r="S6767" s="1"/>
      <c r="T6767" s="1"/>
      <c r="U6767" s="1"/>
      <c r="V6767" s="1"/>
      <c r="W6767" s="1"/>
      <c r="X6767" s="1"/>
      <c r="Y6767" s="1"/>
      <c r="Z6767" s="1"/>
      <c r="AA6767" s="1"/>
      <c r="AB6767" s="1"/>
    </row>
    <row r="6768" ht="50.25" customHeight="1">
      <c r="A6768" s="12">
        <v>6764.0</v>
      </c>
      <c r="B6768" s="13" t="s">
        <v>6141</v>
      </c>
      <c r="C6768" s="14" t="s">
        <v>6791</v>
      </c>
      <c r="D6768" s="1"/>
      <c r="E6768" s="1"/>
      <c r="F6768" s="1" t="str">
        <f>IFERROR(__xludf.DUMMYFUNCTION("GOOGLETRANSLATE(B6768, ""en"", ""fa"")
"),"موفقیت آمازون")</f>
        <v>موفقیت آمازون</v>
      </c>
      <c r="G6768" s="1" t="str">
        <f>IFERROR(__xludf.DUMMYFUNCTION("GOOGLETRANSLATE(C6768, ""en"", ""fa"")
"),"مزایای استفاده از Amazon Prime برای فروشندگان، مانند افزایش دید، اعتماد مشتری و دسترسی به معاملات انحصاری Prime را توضیح دهید.")</f>
        <v>مزایای استفاده از Amazon Prime برای فروشندگان، مانند افزایش دید، اعتماد مشتری و دسترسی به معاملات انحصاری Prime را توضیح دهید.</v>
      </c>
      <c r="H6768" s="1"/>
      <c r="I6768" s="1"/>
      <c r="J6768" s="1"/>
      <c r="K6768" s="1"/>
      <c r="L6768" s="1"/>
      <c r="M6768" s="1"/>
      <c r="N6768" s="1"/>
      <c r="O6768" s="1"/>
      <c r="P6768" s="1"/>
      <c r="Q6768" s="1"/>
      <c r="R6768" s="1"/>
      <c r="S6768" s="1"/>
      <c r="T6768" s="1"/>
      <c r="U6768" s="1"/>
      <c r="V6768" s="1"/>
      <c r="W6768" s="1"/>
      <c r="X6768" s="1"/>
      <c r="Y6768" s="1"/>
      <c r="Z6768" s="1"/>
      <c r="AA6768" s="1"/>
      <c r="AB6768" s="1"/>
    </row>
    <row r="6769" ht="50.25" customHeight="1">
      <c r="A6769" s="12">
        <v>6765.0</v>
      </c>
      <c r="B6769" s="13" t="s">
        <v>6141</v>
      </c>
      <c r="C6769" s="14" t="s">
        <v>6792</v>
      </c>
      <c r="D6769" s="1"/>
      <c r="E6769" s="1"/>
      <c r="F6769" s="1" t="str">
        <f>IFERROR(__xludf.DUMMYFUNCTION("GOOGLETRANSLATE(B6769, ""en"", ""fa"")
"),"موفقیت آمازون")</f>
        <v>موفقیت آمازون</v>
      </c>
      <c r="G6769" s="1" t="str">
        <f>IFERROR(__xludf.DUMMYFUNCTION("GOOGLETRANSLATE(C6769, ""en"", ""fa"")
"),"نکاتی را برای بهینه سازی فهرست محصولات به اشتراک بگذارید تا به طور خاص به مشتریان آمازون پرایم رسیدگی شود و مزایای واجد شرایط Prime را برجسته کنید.")</f>
        <v>نکاتی را برای بهینه سازی فهرست محصولات به اشتراک بگذارید تا به طور خاص به مشتریان آمازون پرایم رسیدگی شود و مزایای واجد شرایط Prime را برجسته کنید.</v>
      </c>
      <c r="H6769" s="1"/>
      <c r="I6769" s="1"/>
      <c r="J6769" s="1"/>
      <c r="K6769" s="1"/>
      <c r="L6769" s="1"/>
      <c r="M6769" s="1"/>
      <c r="N6769" s="1"/>
      <c r="O6769" s="1"/>
      <c r="P6769" s="1"/>
      <c r="Q6769" s="1"/>
      <c r="R6769" s="1"/>
      <c r="S6769" s="1"/>
      <c r="T6769" s="1"/>
      <c r="U6769" s="1"/>
      <c r="V6769" s="1"/>
      <c r="W6769" s="1"/>
      <c r="X6769" s="1"/>
      <c r="Y6769" s="1"/>
      <c r="Z6769" s="1"/>
      <c r="AA6769" s="1"/>
      <c r="AB6769" s="1"/>
    </row>
    <row r="6770" ht="50.25" customHeight="1">
      <c r="A6770" s="12">
        <v>6766.0</v>
      </c>
      <c r="B6770" s="13" t="s">
        <v>6141</v>
      </c>
      <c r="C6770" s="14" t="s">
        <v>6793</v>
      </c>
      <c r="D6770" s="1"/>
      <c r="E6770" s="1"/>
      <c r="F6770" s="1" t="str">
        <f>IFERROR(__xludf.DUMMYFUNCTION("GOOGLETRANSLATE(B6770, ""en"", ""fa"")
"),"موفقیت آمازون")</f>
        <v>موفقیت آمازون</v>
      </c>
      <c r="G6770" s="1" t="str">
        <f>IFERROR(__xludf.DUMMYFUNCTION("GOOGLETRANSLATE(C6770, ""en"", ""fa"")
"),"در مورد الزامات و فرآیند ثبت نام محصولات در برنامه Fulfillment by Amazon (FBA) و مزایایی که به فروشندگان ارائه می دهد بحث کنید.")</f>
        <v>در مورد الزامات و فرآیند ثبت نام محصولات در برنامه Fulfillment by Amazon (FBA) و مزایایی که به فروشندگان ارائه می دهد بحث کنید.</v>
      </c>
      <c r="H6770" s="1"/>
      <c r="I6770" s="1"/>
      <c r="J6770" s="1"/>
      <c r="K6770" s="1"/>
      <c r="L6770" s="1"/>
      <c r="M6770" s="1"/>
      <c r="N6770" s="1"/>
      <c r="O6770" s="1"/>
      <c r="P6770" s="1"/>
      <c r="Q6770" s="1"/>
      <c r="R6770" s="1"/>
      <c r="S6770" s="1"/>
      <c r="T6770" s="1"/>
      <c r="U6770" s="1"/>
      <c r="V6770" s="1"/>
      <c r="W6770" s="1"/>
      <c r="X6770" s="1"/>
      <c r="Y6770" s="1"/>
      <c r="Z6770" s="1"/>
      <c r="AA6770" s="1"/>
      <c r="AB6770" s="1"/>
    </row>
    <row r="6771" ht="50.25" customHeight="1">
      <c r="A6771" s="12">
        <v>6767.0</v>
      </c>
      <c r="B6771" s="13" t="s">
        <v>6141</v>
      </c>
      <c r="C6771" s="14" t="s">
        <v>6794</v>
      </c>
      <c r="D6771" s="1"/>
      <c r="E6771" s="1"/>
      <c r="F6771" s="1" t="str">
        <f>IFERROR(__xludf.DUMMYFUNCTION("GOOGLETRANSLATE(B6771, ""en"", ""fa"")
"),"موفقیت آمازون")</f>
        <v>موفقیت آمازون</v>
      </c>
      <c r="G6771" s="1" t="str">
        <f>IFERROR(__xludf.DUMMYFUNCTION("GOOGLETRANSLATE(C6771, ""en"", ""fa"")
"),"چگونه فروشندگان می توانند از نشان Prime و تبلیغات Prime Day برای افزایش فروش و جذب اعضای Prime استفاده کنند؟")</f>
        <v>چگونه فروشندگان می توانند از نشان Prime و تبلیغات Prime Day برای افزایش فروش و جذب اعضای Prime استفاده کنند؟</v>
      </c>
      <c r="H6771" s="1"/>
      <c r="I6771" s="1"/>
      <c r="J6771" s="1"/>
      <c r="K6771" s="1"/>
      <c r="L6771" s="1"/>
      <c r="M6771" s="1"/>
      <c r="N6771" s="1"/>
      <c r="O6771" s="1"/>
      <c r="P6771" s="1"/>
      <c r="Q6771" s="1"/>
      <c r="R6771" s="1"/>
      <c r="S6771" s="1"/>
      <c r="T6771" s="1"/>
      <c r="U6771" s="1"/>
      <c r="V6771" s="1"/>
      <c r="W6771" s="1"/>
      <c r="X6771" s="1"/>
      <c r="Y6771" s="1"/>
      <c r="Z6771" s="1"/>
      <c r="AA6771" s="1"/>
      <c r="AB6771" s="1"/>
    </row>
    <row r="6772" ht="50.25" customHeight="1">
      <c r="A6772" s="12">
        <v>6768.0</v>
      </c>
      <c r="B6772" s="13" t="s">
        <v>6141</v>
      </c>
      <c r="C6772" s="14" t="s">
        <v>6795</v>
      </c>
      <c r="D6772" s="1"/>
      <c r="E6772" s="1"/>
      <c r="F6772" s="1" t="str">
        <f>IFERROR(__xludf.DUMMYFUNCTION("GOOGLETRANSLATE(B6772, ""en"", ""fa"")
"),"موفقیت آمازون")</f>
        <v>موفقیت آمازون</v>
      </c>
      <c r="G6772" s="1" t="str">
        <f>IFERROR(__xludf.DUMMYFUNCTION("GOOGLETRANSLATE(C6772, ""en"", ""fa"")
"),"اهمیت حفظ سطح بالای موجودی و زمان‌های تحویل سریع برای برآورده کردن استانداردهای حمل و نقل سریع و قابل اعتماد Prime را توضیح دهید.")</f>
        <v>اهمیت حفظ سطح بالای موجودی و زمان‌های تحویل سریع برای برآورده کردن استانداردهای حمل و نقل سریع و قابل اعتماد Prime را توضیح دهید.</v>
      </c>
      <c r="H6772" s="1"/>
      <c r="I6772" s="1"/>
      <c r="J6772" s="1"/>
      <c r="K6772" s="1"/>
      <c r="L6772" s="1"/>
      <c r="M6772" s="1"/>
      <c r="N6772" s="1"/>
      <c r="O6772" s="1"/>
      <c r="P6772" s="1"/>
      <c r="Q6772" s="1"/>
      <c r="R6772" s="1"/>
      <c r="S6772" s="1"/>
      <c r="T6772" s="1"/>
      <c r="U6772" s="1"/>
      <c r="V6772" s="1"/>
      <c r="W6772" s="1"/>
      <c r="X6772" s="1"/>
      <c r="Y6772" s="1"/>
      <c r="Z6772" s="1"/>
      <c r="AA6772" s="1"/>
      <c r="AB6772" s="1"/>
    </row>
    <row r="6773" ht="50.25" customHeight="1">
      <c r="A6773" s="12">
        <v>6769.0</v>
      </c>
      <c r="B6773" s="13" t="s">
        <v>6141</v>
      </c>
      <c r="C6773" s="14" t="s">
        <v>6796</v>
      </c>
      <c r="D6773" s="1"/>
      <c r="E6773" s="1"/>
      <c r="F6773" s="1" t="str">
        <f>IFERROR(__xludf.DUMMYFUNCTION("GOOGLETRANSLATE(B6773, ""en"", ""fa"")
"),"موفقیت آمازون")</f>
        <v>موفقیت آمازون</v>
      </c>
      <c r="G6773" s="1" t="str">
        <f>IFERROR(__xludf.DUMMYFUNCTION("GOOGLETRANSLATE(C6773, ""en"", ""fa"")
"),"بینش هایی در مورد نحوه مدیریت موثر موجودی FBA برای به حداقل رساندن موجودی، به حداکثر رساندن در دسترس بودن و اجتناب از هزینه های ذخیره سازی به اشتراک بگذارید.")</f>
        <v>بینش هایی در مورد نحوه مدیریت موثر موجودی FBA برای به حداقل رساندن موجودی، به حداکثر رساندن در دسترس بودن و اجتناب از هزینه های ذخیره سازی به اشتراک بگذارید.</v>
      </c>
      <c r="H6773" s="1"/>
      <c r="I6773" s="1"/>
      <c r="J6773" s="1"/>
      <c r="K6773" s="1"/>
      <c r="L6773" s="1"/>
      <c r="M6773" s="1"/>
      <c r="N6773" s="1"/>
      <c r="O6773" s="1"/>
      <c r="P6773" s="1"/>
      <c r="Q6773" s="1"/>
      <c r="R6773" s="1"/>
      <c r="S6773" s="1"/>
      <c r="T6773" s="1"/>
      <c r="U6773" s="1"/>
      <c r="V6773" s="1"/>
      <c r="W6773" s="1"/>
      <c r="X6773" s="1"/>
      <c r="Y6773" s="1"/>
      <c r="Z6773" s="1"/>
      <c r="AA6773" s="1"/>
      <c r="AB6773" s="1"/>
    </row>
    <row r="6774" ht="50.25" customHeight="1">
      <c r="A6774" s="12">
        <v>6770.0</v>
      </c>
      <c r="B6774" s="13" t="s">
        <v>6141</v>
      </c>
      <c r="C6774" s="14" t="s">
        <v>6797</v>
      </c>
      <c r="D6774" s="1"/>
      <c r="E6774" s="1"/>
      <c r="F6774" s="1" t="str">
        <f>IFERROR(__xludf.DUMMYFUNCTION("GOOGLETRANSLATE(B6774, ""en"", ""fa"")
"),"موفقیت آمازون")</f>
        <v>موفقیت آمازون</v>
      </c>
      <c r="G6774" s="1" t="str">
        <f>IFERROR(__xludf.DUMMYFUNCTION("GOOGLETRANSLATE(C6774, ""en"", ""fa"")
"),"در مورد مزایای استفاده از FBA برای فروش بین المللی و اینکه چگونه لجستیک بین مرزی و تامین مشتری را ساده می کند، بحث کنید.")</f>
        <v>در مورد مزایای استفاده از FBA برای فروش بین المللی و اینکه چگونه لجستیک بین مرزی و تامین مشتری را ساده می کند، بحث کنید.</v>
      </c>
      <c r="H6774" s="1"/>
      <c r="I6774" s="1"/>
      <c r="J6774" s="1"/>
      <c r="K6774" s="1"/>
      <c r="L6774" s="1"/>
      <c r="M6774" s="1"/>
      <c r="N6774" s="1"/>
      <c r="O6774" s="1"/>
      <c r="P6774" s="1"/>
      <c r="Q6774" s="1"/>
      <c r="R6774" s="1"/>
      <c r="S6774" s="1"/>
      <c r="T6774" s="1"/>
      <c r="U6774" s="1"/>
      <c r="V6774" s="1"/>
      <c r="W6774" s="1"/>
      <c r="X6774" s="1"/>
      <c r="Y6774" s="1"/>
      <c r="Z6774" s="1"/>
      <c r="AA6774" s="1"/>
      <c r="AB6774" s="1"/>
    </row>
    <row r="6775" ht="50.25" customHeight="1">
      <c r="A6775" s="12">
        <v>6771.0</v>
      </c>
      <c r="B6775" s="13" t="s">
        <v>6141</v>
      </c>
      <c r="C6775" s="14" t="s">
        <v>6798</v>
      </c>
      <c r="D6775" s="1"/>
      <c r="E6775" s="1"/>
      <c r="F6775" s="1" t="str">
        <f>IFERROR(__xludf.DUMMYFUNCTION("GOOGLETRANSLATE(B6775, ""en"", ""fa"")
"),"موفقیت آمازون")</f>
        <v>موفقیت آمازون</v>
      </c>
      <c r="G6775" s="1" t="str">
        <f>IFERROR(__xludf.DUMMYFUNCTION("GOOGLETRANSLATE(C6775, ""en"", ""fa"")
"),"ملاحظات کلیدی هنگام قیمت گذاری محصولات برای مشتریان آمازون پرایم برای اطمینان از رقابت و سودآوری چیست؟")</f>
        <v>ملاحظات کلیدی هنگام قیمت گذاری محصولات برای مشتریان آمازون پرایم برای اطمینان از رقابت و سودآوری چیست؟</v>
      </c>
      <c r="H6775" s="1"/>
      <c r="I6775" s="1"/>
      <c r="J6775" s="1"/>
      <c r="K6775" s="1"/>
      <c r="L6775" s="1"/>
      <c r="M6775" s="1"/>
      <c r="N6775" s="1"/>
      <c r="O6775" s="1"/>
      <c r="P6775" s="1"/>
      <c r="Q6775" s="1"/>
      <c r="R6775" s="1"/>
      <c r="S6775" s="1"/>
      <c r="T6775" s="1"/>
      <c r="U6775" s="1"/>
      <c r="V6775" s="1"/>
      <c r="W6775" s="1"/>
      <c r="X6775" s="1"/>
      <c r="Y6775" s="1"/>
      <c r="Z6775" s="1"/>
      <c r="AA6775" s="1"/>
      <c r="AB6775" s="1"/>
    </row>
    <row r="6776" ht="50.25" customHeight="1">
      <c r="A6776" s="12">
        <v>6772.0</v>
      </c>
      <c r="B6776" s="13" t="s">
        <v>6141</v>
      </c>
      <c r="C6776" s="14" t="s">
        <v>6799</v>
      </c>
      <c r="D6776" s="1"/>
      <c r="E6776" s="1"/>
      <c r="F6776" s="1" t="str">
        <f>IFERROR(__xludf.DUMMYFUNCTION("GOOGLETRANSLATE(B6776, ""en"", ""fa"")
"),"موفقیت آمازون")</f>
        <v>موفقیت آمازون</v>
      </c>
      <c r="G6776" s="1" t="str">
        <f>IFERROR(__xludf.DUMMYFUNCTION("GOOGLETRANSLATE(C6776, ""en"", ""fa"")
"),"اهمیت استفاده از ابزارهای حمل و نقل ورودی آمازون FBA برای ساده سازی و بهینه سازی فرآیند حمل و نقل را توضیح دهید.")</f>
        <v>اهمیت استفاده از ابزارهای حمل و نقل ورودی آمازون FBA برای ساده سازی و بهینه سازی فرآیند حمل و نقل را توضیح دهید.</v>
      </c>
      <c r="H6776" s="1"/>
      <c r="I6776" s="1"/>
      <c r="J6776" s="1"/>
      <c r="K6776" s="1"/>
      <c r="L6776" s="1"/>
      <c r="M6776" s="1"/>
      <c r="N6776" s="1"/>
      <c r="O6776" s="1"/>
      <c r="P6776" s="1"/>
      <c r="Q6776" s="1"/>
      <c r="R6776" s="1"/>
      <c r="S6776" s="1"/>
      <c r="T6776" s="1"/>
      <c r="U6776" s="1"/>
      <c r="V6776" s="1"/>
      <c r="W6776" s="1"/>
      <c r="X6776" s="1"/>
      <c r="Y6776" s="1"/>
      <c r="Z6776" s="1"/>
      <c r="AA6776" s="1"/>
      <c r="AB6776" s="1"/>
    </row>
    <row r="6777" ht="50.25" customHeight="1">
      <c r="A6777" s="12">
        <v>6773.0</v>
      </c>
      <c r="B6777" s="13" t="s">
        <v>6141</v>
      </c>
      <c r="C6777" s="14" t="s">
        <v>6800</v>
      </c>
      <c r="D6777" s="1"/>
      <c r="E6777" s="1"/>
      <c r="F6777" s="1" t="str">
        <f>IFERROR(__xludf.DUMMYFUNCTION("GOOGLETRANSLATE(B6777, ""en"", ""fa"")
"),"موفقیت آمازون")</f>
        <v>موفقیت آمازون</v>
      </c>
      <c r="G6777" s="1" t="str">
        <f>IFERROR(__xludf.DUMMYFUNCTION("GOOGLETRANSLATE(C6777, ""en"", ""fa"")
"),"چگونه فروشندگان می توانند از مدیریت بازگشت مشتری و بازپرداخت FBA استفاده کنند تا تجربه ای بدون دردسر و بدون دردسر برای مشتریان فراهم کنند؟")</f>
        <v>چگونه فروشندگان می توانند از مدیریت بازگشت مشتری و بازپرداخت FBA استفاده کنند تا تجربه ای بدون دردسر و بدون دردسر برای مشتریان فراهم کنند؟</v>
      </c>
      <c r="H6777" s="1"/>
      <c r="I6777" s="1"/>
      <c r="J6777" s="1"/>
      <c r="K6777" s="1"/>
      <c r="L6777" s="1"/>
      <c r="M6777" s="1"/>
      <c r="N6777" s="1"/>
      <c r="O6777" s="1"/>
      <c r="P6777" s="1"/>
      <c r="Q6777" s="1"/>
      <c r="R6777" s="1"/>
      <c r="S6777" s="1"/>
      <c r="T6777" s="1"/>
      <c r="U6777" s="1"/>
      <c r="V6777" s="1"/>
      <c r="W6777" s="1"/>
      <c r="X6777" s="1"/>
      <c r="Y6777" s="1"/>
      <c r="Z6777" s="1"/>
      <c r="AA6777" s="1"/>
      <c r="AB6777" s="1"/>
    </row>
    <row r="6778" ht="50.25" customHeight="1">
      <c r="A6778" s="12">
        <v>6774.0</v>
      </c>
      <c r="B6778" s="13" t="s">
        <v>6141</v>
      </c>
      <c r="C6778" s="14" t="s">
        <v>6801</v>
      </c>
      <c r="D6778" s="1"/>
      <c r="E6778" s="1"/>
      <c r="F6778" s="1" t="str">
        <f>IFERROR(__xludf.DUMMYFUNCTION("GOOGLETRANSLATE(B6778, ""en"", ""fa"")
"),"موفقیت آمازون")</f>
        <v>موفقیت آمازون</v>
      </c>
      <c r="G6778" s="1" t="str">
        <f>IFERROR(__xludf.DUMMYFUNCTION("GOOGLETRANSLATE(C6778, ""en"", ""fa"")
"),"در مورد نقش FBA در ارائه پشتیبانی مشتری و رسیدگی به سوالات، بازخوردها و بررسی محصول از طرف فروشندگان بحث کنید.")</f>
        <v>در مورد نقش FBA در ارائه پشتیبانی مشتری و رسیدگی به سوالات، بازخوردها و بررسی محصول از طرف فروشندگان بحث کنید.</v>
      </c>
      <c r="H6778" s="1"/>
      <c r="I6778" s="1"/>
      <c r="J6778" s="1"/>
      <c r="K6778" s="1"/>
      <c r="L6778" s="1"/>
      <c r="M6778" s="1"/>
      <c r="N6778" s="1"/>
      <c r="O6778" s="1"/>
      <c r="P6778" s="1"/>
      <c r="Q6778" s="1"/>
      <c r="R6778" s="1"/>
      <c r="S6778" s="1"/>
      <c r="T6778" s="1"/>
      <c r="U6778" s="1"/>
      <c r="V6778" s="1"/>
      <c r="W6778" s="1"/>
      <c r="X6778" s="1"/>
      <c r="Y6778" s="1"/>
      <c r="Z6778" s="1"/>
      <c r="AA6778" s="1"/>
      <c r="AB6778" s="1"/>
    </row>
    <row r="6779" ht="50.25" customHeight="1">
      <c r="A6779" s="12">
        <v>6775.0</v>
      </c>
      <c r="B6779" s="13" t="s">
        <v>6141</v>
      </c>
      <c r="C6779" s="14" t="s">
        <v>6802</v>
      </c>
      <c r="D6779" s="1"/>
      <c r="E6779" s="1"/>
      <c r="F6779" s="1" t="str">
        <f>IFERROR(__xludf.DUMMYFUNCTION("GOOGLETRANSLATE(B6779, ""en"", ""fa"")
"),"موفقیت آمازون")</f>
        <v>موفقیت آمازون</v>
      </c>
      <c r="G6779" s="1" t="str">
        <f>IFERROR(__xludf.DUMMYFUNCTION("GOOGLETRANSLATE(C6779, ""en"", ""fa"")
"),"نکاتی را برای بهینه‌سازی بسته‌بندی و برچسب‌گذاری محصول برای مطابقت با الزامات FBA و اطمینان از حمل‌ونقل ورودی و خروجی روان به اشتراک بگذارید.")</f>
        <v>نکاتی را برای بهینه‌سازی بسته‌بندی و برچسب‌گذاری محصول برای مطابقت با الزامات FBA و اطمینان از حمل‌ونقل ورودی و خروجی روان به اشتراک بگذارید.</v>
      </c>
      <c r="H6779" s="1"/>
      <c r="I6779" s="1"/>
      <c r="J6779" s="1"/>
      <c r="K6779" s="1"/>
      <c r="L6779" s="1"/>
      <c r="M6779" s="1"/>
      <c r="N6779" s="1"/>
      <c r="O6779" s="1"/>
      <c r="P6779" s="1"/>
      <c r="Q6779" s="1"/>
      <c r="R6779" s="1"/>
      <c r="S6779" s="1"/>
      <c r="T6779" s="1"/>
      <c r="U6779" s="1"/>
      <c r="V6779" s="1"/>
      <c r="W6779" s="1"/>
      <c r="X6779" s="1"/>
      <c r="Y6779" s="1"/>
      <c r="Z6779" s="1"/>
      <c r="AA6779" s="1"/>
      <c r="AB6779" s="1"/>
    </row>
    <row r="6780" ht="50.25" customHeight="1">
      <c r="A6780" s="12">
        <v>6776.0</v>
      </c>
      <c r="B6780" s="13" t="s">
        <v>6141</v>
      </c>
      <c r="C6780" s="14" t="s">
        <v>6803</v>
      </c>
      <c r="D6780" s="1"/>
      <c r="E6780" s="1"/>
      <c r="F6780" s="1" t="str">
        <f>IFERROR(__xludf.DUMMYFUNCTION("GOOGLETRANSLATE(B6780, ""en"", ""fa"")
"),"موفقیت آمازون")</f>
        <v>موفقیت آمازون</v>
      </c>
      <c r="G6780" s="1" t="str">
        <f>IFERROR(__xludf.DUMMYFUNCTION("GOOGLETRANSLATE(C6780, ""en"", ""fa"")
"),"اهمیت نظارت بر معیارهای عملکرد FBA، مانند نرخ نقص سفارش (ODR) و نرخ ارسال دیرهنگام، برای حفظ سلامت و عملکرد حساب را توضیح دهید.")</f>
        <v>اهمیت نظارت بر معیارهای عملکرد FBA، مانند نرخ نقص سفارش (ODR) و نرخ ارسال دیرهنگام، برای حفظ سلامت و عملکرد حساب را توضیح دهید.</v>
      </c>
      <c r="H6780" s="1"/>
      <c r="I6780" s="1"/>
      <c r="J6780" s="1"/>
      <c r="K6780" s="1"/>
      <c r="L6780" s="1"/>
      <c r="M6780" s="1"/>
      <c r="N6780" s="1"/>
      <c r="O6780" s="1"/>
      <c r="P6780" s="1"/>
      <c r="Q6780" s="1"/>
      <c r="R6780" s="1"/>
      <c r="S6780" s="1"/>
      <c r="T6780" s="1"/>
      <c r="U6780" s="1"/>
      <c r="V6780" s="1"/>
      <c r="W6780" s="1"/>
      <c r="X6780" s="1"/>
      <c r="Y6780" s="1"/>
      <c r="Z6780" s="1"/>
      <c r="AA6780" s="1"/>
      <c r="AB6780" s="1"/>
    </row>
    <row r="6781" ht="50.25" customHeight="1">
      <c r="A6781" s="12">
        <v>6777.0</v>
      </c>
      <c r="B6781" s="13" t="s">
        <v>6141</v>
      </c>
      <c r="C6781" s="14" t="s">
        <v>6804</v>
      </c>
      <c r="D6781" s="1"/>
      <c r="E6781" s="1"/>
      <c r="F6781" s="1" t="str">
        <f>IFERROR(__xludf.DUMMYFUNCTION("GOOGLETRANSLATE(B6781, ""en"", ""fa"")
"),"موفقیت آمازون")</f>
        <v>موفقیت آمازون</v>
      </c>
      <c r="G6781" s="1" t="str">
        <f>IFERROR(__xludf.DUMMYFUNCTION("GOOGLETRANSLATE(C6781, ""en"", ""fa"")
"),"چگونه فروشندگان می توانند از سرویس انجام چند کاناله (MCF) FBA برای انجام سفارشات از کانال های فروش خارجی و گسترش دامنه دسترسی خود استفاده کنند؟")</f>
        <v>چگونه فروشندگان می توانند از سرویس انجام چند کاناله (MCF) FBA برای انجام سفارشات از کانال های فروش خارجی و گسترش دامنه دسترسی خود استفاده کنند؟</v>
      </c>
      <c r="H6781" s="1"/>
      <c r="I6781" s="1"/>
      <c r="J6781" s="1"/>
      <c r="K6781" s="1"/>
      <c r="L6781" s="1"/>
      <c r="M6781" s="1"/>
      <c r="N6781" s="1"/>
      <c r="O6781" s="1"/>
      <c r="P6781" s="1"/>
      <c r="Q6781" s="1"/>
      <c r="R6781" s="1"/>
      <c r="S6781" s="1"/>
      <c r="T6781" s="1"/>
      <c r="U6781" s="1"/>
      <c r="V6781" s="1"/>
      <c r="W6781" s="1"/>
      <c r="X6781" s="1"/>
      <c r="Y6781" s="1"/>
      <c r="Z6781" s="1"/>
      <c r="AA6781" s="1"/>
      <c r="AB6781" s="1"/>
    </row>
    <row r="6782" ht="50.25" customHeight="1">
      <c r="A6782" s="12">
        <v>6778.0</v>
      </c>
      <c r="B6782" s="13" t="s">
        <v>6141</v>
      </c>
      <c r="C6782" s="14" t="s">
        <v>6805</v>
      </c>
      <c r="D6782" s="1"/>
      <c r="E6782" s="1"/>
      <c r="F6782" s="1" t="str">
        <f>IFERROR(__xludf.DUMMYFUNCTION("GOOGLETRANSLATE(B6782, ""en"", ""fa"")
"),"موفقیت آمازون")</f>
        <v>موفقیت آمازون</v>
      </c>
      <c r="G6782" s="1" t="str">
        <f>IFERROR(__xludf.DUMMYFUNCTION("GOOGLETRANSLATE(C6782, ""en"", ""fa"")
"),"در مورد مزایای استفاده از ویژگی صادرات جهانی FBA برای دستیابی به مشتریان بین المللی و بهره برداری از فرصت های جدید بازار بحث کنید.")</f>
        <v>در مورد مزایای استفاده از ویژگی صادرات جهانی FBA برای دستیابی به مشتریان بین المللی و بهره برداری از فرصت های جدید بازار بحث کنید.</v>
      </c>
      <c r="H6782" s="1"/>
      <c r="I6782" s="1"/>
      <c r="J6782" s="1"/>
      <c r="K6782" s="1"/>
      <c r="L6782" s="1"/>
      <c r="M6782" s="1"/>
      <c r="N6782" s="1"/>
      <c r="O6782" s="1"/>
      <c r="P6782" s="1"/>
      <c r="Q6782" s="1"/>
      <c r="R6782" s="1"/>
      <c r="S6782" s="1"/>
      <c r="T6782" s="1"/>
      <c r="U6782" s="1"/>
      <c r="V6782" s="1"/>
      <c r="W6782" s="1"/>
      <c r="X6782" s="1"/>
      <c r="Y6782" s="1"/>
      <c r="Z6782" s="1"/>
      <c r="AA6782" s="1"/>
      <c r="AB6782" s="1"/>
    </row>
    <row r="6783" ht="50.25" customHeight="1">
      <c r="A6783" s="12">
        <v>6779.0</v>
      </c>
      <c r="B6783" s="13" t="s">
        <v>6141</v>
      </c>
      <c r="C6783" s="14" t="s">
        <v>6806</v>
      </c>
      <c r="D6783" s="1"/>
      <c r="E6783" s="1"/>
      <c r="F6783" s="1" t="str">
        <f>IFERROR(__xludf.DUMMYFUNCTION("GOOGLETRANSLATE(B6783, ""en"", ""fa"")
"),"موفقیت آمازون")</f>
        <v>موفقیت آمازون</v>
      </c>
      <c r="G6783" s="1" t="str">
        <f>IFERROR(__xludf.DUMMYFUNCTION("GOOGLETRANSLATE(C6783, ""en"", ""fa"")
"),"ملاحظات کلیدی هنگام محاسبه هزینه های FBA و در نظر گرفتن آنها در قیمت گذاری محصول و محاسبات سودآوری چیست؟")</f>
        <v>ملاحظات کلیدی هنگام محاسبه هزینه های FBA و در نظر گرفتن آنها در قیمت گذاری محصول و محاسبات سودآوری چیست؟</v>
      </c>
      <c r="H6783" s="1"/>
      <c r="I6783" s="1"/>
      <c r="J6783" s="1"/>
      <c r="K6783" s="1"/>
      <c r="L6783" s="1"/>
      <c r="M6783" s="1"/>
      <c r="N6783" s="1"/>
      <c r="O6783" s="1"/>
      <c r="P6783" s="1"/>
      <c r="Q6783" s="1"/>
      <c r="R6783" s="1"/>
      <c r="S6783" s="1"/>
      <c r="T6783" s="1"/>
      <c r="U6783" s="1"/>
      <c r="V6783" s="1"/>
      <c r="W6783" s="1"/>
      <c r="X6783" s="1"/>
      <c r="Y6783" s="1"/>
      <c r="Z6783" s="1"/>
      <c r="AA6783" s="1"/>
      <c r="AB6783" s="1"/>
    </row>
    <row r="6784" ht="50.25" customHeight="1">
      <c r="A6784" s="12">
        <v>6780.0</v>
      </c>
      <c r="B6784" s="13" t="s">
        <v>6141</v>
      </c>
      <c r="C6784" s="14" t="s">
        <v>6807</v>
      </c>
      <c r="D6784" s="1"/>
      <c r="E6784" s="1"/>
      <c r="F6784" s="1" t="str">
        <f>IFERROR(__xludf.DUMMYFUNCTION("GOOGLETRANSLATE(B6784, ""en"", ""fa"")
"),"موفقیت آمازون")</f>
        <v>موفقیت آمازون</v>
      </c>
      <c r="G6784" s="1" t="str">
        <f>IFERROR(__xludf.DUMMYFUNCTION("GOOGLETRANSLATE(C6784, ""en"", ""fa"")
"),"در مورد نحوه استفاده موثر از خدمات قرار دادن موجودی FBA برای کاهش هزینه های حمل و نقل و ساده کردن عملیات انجام، بینش هایی را به اشتراک بگذارید.")</f>
        <v>در مورد نحوه استفاده موثر از خدمات قرار دادن موجودی FBA برای کاهش هزینه های حمل و نقل و ساده کردن عملیات انجام، بینش هایی را به اشتراک بگذارید.</v>
      </c>
      <c r="H6784" s="1"/>
      <c r="I6784" s="1"/>
      <c r="J6784" s="1"/>
      <c r="K6784" s="1"/>
      <c r="L6784" s="1"/>
      <c r="M6784" s="1"/>
      <c r="N6784" s="1"/>
      <c r="O6784" s="1"/>
      <c r="P6784" s="1"/>
      <c r="Q6784" s="1"/>
      <c r="R6784" s="1"/>
      <c r="S6784" s="1"/>
      <c r="T6784" s="1"/>
      <c r="U6784" s="1"/>
      <c r="V6784" s="1"/>
      <c r="W6784" s="1"/>
      <c r="X6784" s="1"/>
      <c r="Y6784" s="1"/>
      <c r="Z6784" s="1"/>
      <c r="AA6784" s="1"/>
      <c r="AB6784" s="1"/>
    </row>
    <row r="6785" ht="50.25" customHeight="1">
      <c r="A6785" s="12">
        <v>6781.0</v>
      </c>
      <c r="B6785" s="13" t="s">
        <v>6141</v>
      </c>
      <c r="C6785" s="14" t="s">
        <v>6808</v>
      </c>
      <c r="D6785" s="1"/>
      <c r="E6785" s="1"/>
      <c r="F6785" s="1" t="str">
        <f>IFERROR(__xludf.DUMMYFUNCTION("GOOGLETRANSLATE(B6785, ""en"", ""fa"")
"),"موفقیت آمازون")</f>
        <v>موفقیت آمازون</v>
      </c>
      <c r="G6785" s="1" t="str">
        <f>IFERROR(__xludf.DUMMYFUNCTION("GOOGLETRANSLATE(C6785, ""en"", ""fa"")
"),"اهمیت استفاده از ابزارهای قیمت گذاری خودکار FBA را برای تنظیم پویا قیمت محصول و رقابتی ماندن در بازار توضیح دهید.")</f>
        <v>اهمیت استفاده از ابزارهای قیمت گذاری خودکار FBA را برای تنظیم پویا قیمت محصول و رقابتی ماندن در بازار توضیح دهید.</v>
      </c>
      <c r="H6785" s="1"/>
      <c r="I6785" s="1"/>
      <c r="J6785" s="1"/>
      <c r="K6785" s="1"/>
      <c r="L6785" s="1"/>
      <c r="M6785" s="1"/>
      <c r="N6785" s="1"/>
      <c r="O6785" s="1"/>
      <c r="P6785" s="1"/>
      <c r="Q6785" s="1"/>
      <c r="R6785" s="1"/>
      <c r="S6785" s="1"/>
      <c r="T6785" s="1"/>
      <c r="U6785" s="1"/>
      <c r="V6785" s="1"/>
      <c r="W6785" s="1"/>
      <c r="X6785" s="1"/>
      <c r="Y6785" s="1"/>
      <c r="Z6785" s="1"/>
      <c r="AA6785" s="1"/>
      <c r="AB6785" s="1"/>
    </row>
    <row r="6786" ht="50.25" customHeight="1">
      <c r="A6786" s="12">
        <v>6782.0</v>
      </c>
      <c r="B6786" s="13" t="s">
        <v>6141</v>
      </c>
      <c r="C6786" s="14" t="s">
        <v>6809</v>
      </c>
      <c r="D6786" s="1"/>
      <c r="E6786" s="1"/>
      <c r="F6786" s="1" t="str">
        <f>IFERROR(__xludf.DUMMYFUNCTION("GOOGLETRANSLATE(B6786, ""en"", ""fa"")
"),"موفقیت آمازون")</f>
        <v>موفقیت آمازون</v>
      </c>
      <c r="G6786" s="1" t="str">
        <f>IFERROR(__xludf.DUMMYFUNCTION("GOOGLETRANSLATE(C6786, ""en"", ""fa"")
"),"چگونه فروشندگان می توانند از ادغام FBA با پلتفرم تبلیغاتی آمازون برای بهینه سازی کمپین های تبلیغاتی و افزایش فروش استفاده کنند؟")</f>
        <v>چگونه فروشندگان می توانند از ادغام FBA با پلتفرم تبلیغاتی آمازون برای بهینه سازی کمپین های تبلیغاتی و افزایش فروش استفاده کنند؟</v>
      </c>
      <c r="H6786" s="1"/>
      <c r="I6786" s="1"/>
      <c r="J6786" s="1"/>
      <c r="K6786" s="1"/>
      <c r="L6786" s="1"/>
      <c r="M6786" s="1"/>
      <c r="N6786" s="1"/>
      <c r="O6786" s="1"/>
      <c r="P6786" s="1"/>
      <c r="Q6786" s="1"/>
      <c r="R6786" s="1"/>
      <c r="S6786" s="1"/>
      <c r="T6786" s="1"/>
      <c r="U6786" s="1"/>
      <c r="V6786" s="1"/>
      <c r="W6786" s="1"/>
      <c r="X6786" s="1"/>
      <c r="Y6786" s="1"/>
      <c r="Z6786" s="1"/>
      <c r="AA6786" s="1"/>
      <c r="AB6786" s="1"/>
    </row>
    <row r="6787" ht="50.25" customHeight="1">
      <c r="A6787" s="12">
        <v>6783.0</v>
      </c>
      <c r="B6787" s="13" t="s">
        <v>6141</v>
      </c>
      <c r="C6787" s="14" t="s">
        <v>6810</v>
      </c>
      <c r="D6787" s="1"/>
      <c r="E6787" s="1"/>
      <c r="F6787" s="1" t="str">
        <f>IFERROR(__xludf.DUMMYFUNCTION("GOOGLETRANSLATE(B6787, ""en"", ""fa"")
"),"موفقیت آمازون")</f>
        <v>موفقیت آمازون</v>
      </c>
      <c r="G6787" s="1" t="str">
        <f>IFERROR(__xludf.DUMMYFUNCTION("GOOGLETRANSLATE(C6787, ""en"", ""fa"")
"),"درباره نقش FBA در رسیدگی به انجام سفارش در دوره های اوج فروش، مانند فصول تعطیلات یا رویدادهای خرید عمده بحث کنید.")</f>
        <v>درباره نقش FBA در رسیدگی به انجام سفارش در دوره های اوج فروش، مانند فصول تعطیلات یا رویدادهای خرید عمده بحث کنید.</v>
      </c>
      <c r="H6787" s="1"/>
      <c r="I6787" s="1"/>
      <c r="J6787" s="1"/>
      <c r="K6787" s="1"/>
      <c r="L6787" s="1"/>
      <c r="M6787" s="1"/>
      <c r="N6787" s="1"/>
      <c r="O6787" s="1"/>
      <c r="P6787" s="1"/>
      <c r="Q6787" s="1"/>
      <c r="R6787" s="1"/>
      <c r="S6787" s="1"/>
      <c r="T6787" s="1"/>
      <c r="U6787" s="1"/>
      <c r="V6787" s="1"/>
      <c r="W6787" s="1"/>
      <c r="X6787" s="1"/>
      <c r="Y6787" s="1"/>
      <c r="Z6787" s="1"/>
      <c r="AA6787" s="1"/>
      <c r="AB6787" s="1"/>
    </row>
    <row r="6788" ht="50.25" customHeight="1">
      <c r="A6788" s="12">
        <v>6784.0</v>
      </c>
      <c r="B6788" s="13" t="s">
        <v>6141</v>
      </c>
      <c r="C6788" s="14" t="s">
        <v>6811</v>
      </c>
      <c r="D6788" s="1"/>
      <c r="E6788" s="1"/>
      <c r="F6788" s="1" t="str">
        <f>IFERROR(__xludf.DUMMYFUNCTION("GOOGLETRANSLATE(B6788, ""en"", ""fa"")
"),"موفقیت آمازون")</f>
        <v>موفقیت آمازون</v>
      </c>
      <c r="G6788" s="1" t="str">
        <f>IFERROR(__xludf.DUMMYFUNCTION("GOOGLETRANSLATE(C6788, ""en"", ""fa"")
"),"بهترین روش ها برای استفاده از داشبورد عملکرد موجودی FBA برای شناسایی محصولات آهسته، موجودی اضافی یا نیازهای تکمیل چیست؟")</f>
        <v>بهترین روش ها برای استفاده از داشبورد عملکرد موجودی FBA برای شناسایی محصولات آهسته، موجودی اضافی یا نیازهای تکمیل چیست؟</v>
      </c>
      <c r="H6788" s="1"/>
      <c r="I6788" s="1"/>
      <c r="J6788" s="1"/>
      <c r="K6788" s="1"/>
      <c r="L6788" s="1"/>
      <c r="M6788" s="1"/>
      <c r="N6788" s="1"/>
      <c r="O6788" s="1"/>
      <c r="P6788" s="1"/>
      <c r="Q6788" s="1"/>
      <c r="R6788" s="1"/>
      <c r="S6788" s="1"/>
      <c r="T6788" s="1"/>
      <c r="U6788" s="1"/>
      <c r="V6788" s="1"/>
      <c r="W6788" s="1"/>
      <c r="X6788" s="1"/>
      <c r="Y6788" s="1"/>
      <c r="Z6788" s="1"/>
      <c r="AA6788" s="1"/>
      <c r="AB6788" s="1"/>
    </row>
    <row r="6789" ht="50.25" customHeight="1">
      <c r="A6789" s="12">
        <v>6785.0</v>
      </c>
      <c r="B6789" s="13" t="s">
        <v>6141</v>
      </c>
      <c r="C6789" s="14" t="s">
        <v>6812</v>
      </c>
      <c r="D6789" s="1"/>
      <c r="E6789" s="1"/>
      <c r="F6789" s="1" t="str">
        <f>IFERROR(__xludf.DUMMYFUNCTION("GOOGLETRANSLATE(B6789, ""en"", ""fa"")
"),"موفقیت آمازون")</f>
        <v>موفقیت آمازون</v>
      </c>
      <c r="G6789" s="1" t="str">
        <f>IFERROR(__xludf.DUMMYFUNCTION("GOOGLETRANSLATE(C6789, ""en"", ""fa"")
"),"نکاتی را برای بهینه‌سازی فهرست‌های محصولات و محتوا به اشتراک بگذارید تا از مزایای ارسال سریع و رایگان FBA در رتبه‌بندی جستجو و مشاهده ارگانیک استفاده کنید.")</f>
        <v>نکاتی را برای بهینه‌سازی فهرست‌های محصولات و محتوا به اشتراک بگذارید تا از مزایای ارسال سریع و رایگان FBA در رتبه‌بندی جستجو و مشاهده ارگانیک استفاده کنید.</v>
      </c>
      <c r="H6789" s="1"/>
      <c r="I6789" s="1"/>
      <c r="J6789" s="1"/>
      <c r="K6789" s="1"/>
      <c r="L6789" s="1"/>
      <c r="M6789" s="1"/>
      <c r="N6789" s="1"/>
      <c r="O6789" s="1"/>
      <c r="P6789" s="1"/>
      <c r="Q6789" s="1"/>
      <c r="R6789" s="1"/>
      <c r="S6789" s="1"/>
      <c r="T6789" s="1"/>
      <c r="U6789" s="1"/>
      <c r="V6789" s="1"/>
      <c r="W6789" s="1"/>
      <c r="X6789" s="1"/>
      <c r="Y6789" s="1"/>
      <c r="Z6789" s="1"/>
      <c r="AA6789" s="1"/>
      <c r="AB6789" s="1"/>
    </row>
    <row r="6790" ht="50.25" customHeight="1">
      <c r="A6790" s="12">
        <v>6786.0</v>
      </c>
      <c r="B6790" s="13" t="s">
        <v>6141</v>
      </c>
      <c r="C6790" s="14" t="s">
        <v>6813</v>
      </c>
      <c r="D6790" s="1"/>
      <c r="E6790" s="1"/>
      <c r="F6790" s="1" t="str">
        <f>IFERROR(__xludf.DUMMYFUNCTION("GOOGLETRANSLATE(B6790, ""en"", ""fa"")
"),"موفقیت آمازون")</f>
        <v>موفقیت آمازون</v>
      </c>
      <c r="G6790" s="1" t="str">
        <f>IFERROR(__xludf.DUMMYFUNCTION("GOOGLETRANSLATE(C6790, ""en"", ""fa"")
"),"اهمیت نظارت بر بازپرداخت FBA و تطبیق مغایرت ها برای اطمینان از موجودی دقیق و سوابق مالی را توضیح دهید.")</f>
        <v>اهمیت نظارت بر بازپرداخت FBA و تطبیق مغایرت ها برای اطمینان از موجودی دقیق و سوابق مالی را توضیح دهید.</v>
      </c>
      <c r="H6790" s="1"/>
      <c r="I6790" s="1"/>
      <c r="J6790" s="1"/>
      <c r="K6790" s="1"/>
      <c r="L6790" s="1"/>
      <c r="M6790" s="1"/>
      <c r="N6790" s="1"/>
      <c r="O6790" s="1"/>
      <c r="P6790" s="1"/>
      <c r="Q6790" s="1"/>
      <c r="R6790" s="1"/>
      <c r="S6790" s="1"/>
      <c r="T6790" s="1"/>
      <c r="U6790" s="1"/>
      <c r="V6790" s="1"/>
      <c r="W6790" s="1"/>
      <c r="X6790" s="1"/>
      <c r="Y6790" s="1"/>
      <c r="Z6790" s="1"/>
      <c r="AA6790" s="1"/>
      <c r="AB6790" s="1"/>
    </row>
    <row r="6791" ht="50.25" customHeight="1">
      <c r="A6791" s="12">
        <v>6787.0</v>
      </c>
      <c r="B6791" s="13" t="s">
        <v>6141</v>
      </c>
      <c r="C6791" s="14" t="s">
        <v>6814</v>
      </c>
      <c r="D6791" s="1"/>
      <c r="E6791" s="1"/>
      <c r="F6791" s="1" t="str">
        <f>IFERROR(__xludf.DUMMYFUNCTION("GOOGLETRANSLATE(B6791, ""en"", ""fa"")
"),"موفقیت آمازون")</f>
        <v>موفقیت آمازون</v>
      </c>
      <c r="G6791" s="1" t="str">
        <f>IFERROR(__xludf.DUMMYFUNCTION("GOOGLETRANSLATE(C6791, ""en"", ""fa"")
"),"چگونه فروشندگان می توانند از گزینه های تکمیل موجودی چند کاناله FBA برای گسترش تجارت خود فراتر از بازار آمازون استفاده کنند؟")</f>
        <v>چگونه فروشندگان می توانند از گزینه های تکمیل موجودی چند کاناله FBA برای گسترش تجارت خود فراتر از بازار آمازون استفاده کنند؟</v>
      </c>
      <c r="H6791" s="1"/>
      <c r="I6791" s="1"/>
      <c r="J6791" s="1"/>
      <c r="K6791" s="1"/>
      <c r="L6791" s="1"/>
      <c r="M6791" s="1"/>
      <c r="N6791" s="1"/>
      <c r="O6791" s="1"/>
      <c r="P6791" s="1"/>
      <c r="Q6791" s="1"/>
      <c r="R6791" s="1"/>
      <c r="S6791" s="1"/>
      <c r="T6791" s="1"/>
      <c r="U6791" s="1"/>
      <c r="V6791" s="1"/>
      <c r="W6791" s="1"/>
      <c r="X6791" s="1"/>
      <c r="Y6791" s="1"/>
      <c r="Z6791" s="1"/>
      <c r="AA6791" s="1"/>
      <c r="AB6791" s="1"/>
    </row>
    <row r="6792" ht="50.25" customHeight="1">
      <c r="A6792" s="12">
        <v>6788.0</v>
      </c>
      <c r="B6792" s="13" t="s">
        <v>6141</v>
      </c>
      <c r="C6792" s="14" t="s">
        <v>6815</v>
      </c>
      <c r="D6792" s="1"/>
      <c r="E6792" s="1"/>
      <c r="F6792" s="1" t="str">
        <f>IFERROR(__xludf.DUMMYFUNCTION("GOOGLETRANSLATE(B6792, ""en"", ""fa"")
"),"موفقیت آمازون")</f>
        <v>موفقیت آمازون</v>
      </c>
      <c r="G6792" s="1" t="str">
        <f>IFERROR(__xludf.DUMMYFUNCTION("GOOGLETRANSLATE(C6792, ""en"", ""fa"")
"),"در مورد مزایای استفاده از برنامه Subscribe &amp; Save FBA برای افزایش وفاداری مشتری و فروش مکرر محصولات مصرفی بحث کنید.")</f>
        <v>در مورد مزایای استفاده از برنامه Subscribe &amp; Save FBA برای افزایش وفاداری مشتری و فروش مکرر محصولات مصرفی بحث کنید.</v>
      </c>
      <c r="H6792" s="1"/>
      <c r="I6792" s="1"/>
      <c r="J6792" s="1"/>
      <c r="K6792" s="1"/>
      <c r="L6792" s="1"/>
      <c r="M6792" s="1"/>
      <c r="N6792" s="1"/>
      <c r="O6792" s="1"/>
      <c r="P6792" s="1"/>
      <c r="Q6792" s="1"/>
      <c r="R6792" s="1"/>
      <c r="S6792" s="1"/>
      <c r="T6792" s="1"/>
      <c r="U6792" s="1"/>
      <c r="V6792" s="1"/>
      <c r="W6792" s="1"/>
      <c r="X6792" s="1"/>
      <c r="Y6792" s="1"/>
      <c r="Z6792" s="1"/>
      <c r="AA6792" s="1"/>
      <c r="AB6792" s="1"/>
    </row>
    <row r="6793" ht="50.25" customHeight="1">
      <c r="A6793" s="12">
        <v>6789.0</v>
      </c>
      <c r="B6793" s="13" t="s">
        <v>6141</v>
      </c>
      <c r="C6793" s="14" t="s">
        <v>6816</v>
      </c>
      <c r="D6793" s="1"/>
      <c r="E6793" s="1"/>
      <c r="F6793" s="1" t="str">
        <f>IFERROR(__xludf.DUMMYFUNCTION("GOOGLETRANSLATE(B6793, ""en"", ""fa"")
"),"موفقیت آمازون")</f>
        <v>موفقیت آمازون</v>
      </c>
      <c r="G6793" s="1" t="str">
        <f>IFERROR(__xludf.DUMMYFUNCTION("GOOGLETRANSLATE(C6793, ""en"", ""fa"")
"),"ملاحظات کلیدی هنگام انتقال از فروشنده به FBA برای استفاده از مزایای حمل و نقل Prime و اعتماد مشتری چیست؟")</f>
        <v>ملاحظات کلیدی هنگام انتقال از فروشنده به FBA برای استفاده از مزایای حمل و نقل Prime و اعتماد مشتری چیست؟</v>
      </c>
      <c r="H6793" s="1"/>
      <c r="I6793" s="1"/>
      <c r="J6793" s="1"/>
      <c r="K6793" s="1"/>
      <c r="L6793" s="1"/>
      <c r="M6793" s="1"/>
      <c r="N6793" s="1"/>
      <c r="O6793" s="1"/>
      <c r="P6793" s="1"/>
      <c r="Q6793" s="1"/>
      <c r="R6793" s="1"/>
      <c r="S6793" s="1"/>
      <c r="T6793" s="1"/>
      <c r="U6793" s="1"/>
      <c r="V6793" s="1"/>
      <c r="W6793" s="1"/>
      <c r="X6793" s="1"/>
      <c r="Y6793" s="1"/>
      <c r="Z6793" s="1"/>
      <c r="AA6793" s="1"/>
      <c r="AB6793" s="1"/>
    </row>
    <row r="6794" ht="50.25" customHeight="1">
      <c r="A6794" s="12">
        <v>6790.0</v>
      </c>
      <c r="B6794" s="13" t="s">
        <v>6141</v>
      </c>
      <c r="C6794" s="14" t="s">
        <v>6817</v>
      </c>
      <c r="D6794" s="1"/>
      <c r="E6794" s="1"/>
      <c r="F6794" s="1" t="str">
        <f>IFERROR(__xludf.DUMMYFUNCTION("GOOGLETRANSLATE(B6794, ""en"", ""fa"")
"),"موفقیت آمازون")</f>
        <v>موفقیت آمازون</v>
      </c>
      <c r="G6794" s="1" t="str">
        <f>IFERROR(__xludf.DUMMYFUNCTION("GOOGLETRANSLATE(C6794, ""en"", ""fa"")
"),"بینش هایی در مورد نحوه ارتباط موثر با پشتیبانی FBA و حل هر گونه مسائل مربوط به تکمیل یا موجودی به سرعت به اشتراک بگذارید.")</f>
        <v>بینش هایی در مورد نحوه ارتباط موثر با پشتیبانی FBA و حل هر گونه مسائل مربوط به تکمیل یا موجودی به سرعت به اشتراک بگذارید.</v>
      </c>
      <c r="H6794" s="1"/>
      <c r="I6794" s="1"/>
      <c r="J6794" s="1"/>
      <c r="K6794" s="1"/>
      <c r="L6794" s="1"/>
      <c r="M6794" s="1"/>
      <c r="N6794" s="1"/>
      <c r="O6794" s="1"/>
      <c r="P6794" s="1"/>
      <c r="Q6794" s="1"/>
      <c r="R6794" s="1"/>
      <c r="S6794" s="1"/>
      <c r="T6794" s="1"/>
      <c r="U6794" s="1"/>
      <c r="V6794" s="1"/>
      <c r="W6794" s="1"/>
      <c r="X6794" s="1"/>
      <c r="Y6794" s="1"/>
      <c r="Z6794" s="1"/>
      <c r="AA6794" s="1"/>
      <c r="AB6794" s="1"/>
    </row>
    <row r="6795" ht="50.25" customHeight="1">
      <c r="A6795" s="12">
        <v>6791.0</v>
      </c>
      <c r="B6795" s="13" t="s">
        <v>6141</v>
      </c>
      <c r="C6795" s="14" t="s">
        <v>6818</v>
      </c>
      <c r="D6795" s="1"/>
      <c r="E6795" s="1"/>
      <c r="F6795" s="1" t="str">
        <f>IFERROR(__xludf.DUMMYFUNCTION("GOOGLETRANSLATE(B6795, ""en"", ""fa"")
"),"موفقیت آمازون")</f>
        <v>موفقیت آمازون</v>
      </c>
      <c r="G6795" s="1" t="str">
        <f>IFERROR(__xludf.DUMMYFUNCTION("GOOGLETRANSLATE(C6795, ""en"", ""fa"")
"),"اهمیت استفاده از بازخورد مشتری و معیارهای عملکرد FBA را برای شناسایی زمینه های بهبود و افزایش تجربه مشتری توضیح دهید.")</f>
        <v>اهمیت استفاده از بازخورد مشتری و معیارهای عملکرد FBA را برای شناسایی زمینه های بهبود و افزایش تجربه مشتری توضیح دهید.</v>
      </c>
      <c r="H6795" s="1"/>
      <c r="I6795" s="1"/>
      <c r="J6795" s="1"/>
      <c r="K6795" s="1"/>
      <c r="L6795" s="1"/>
      <c r="M6795" s="1"/>
      <c r="N6795" s="1"/>
      <c r="O6795" s="1"/>
      <c r="P6795" s="1"/>
      <c r="Q6795" s="1"/>
      <c r="R6795" s="1"/>
      <c r="S6795" s="1"/>
      <c r="T6795" s="1"/>
      <c r="U6795" s="1"/>
      <c r="V6795" s="1"/>
      <c r="W6795" s="1"/>
      <c r="X6795" s="1"/>
      <c r="Y6795" s="1"/>
      <c r="Z6795" s="1"/>
      <c r="AA6795" s="1"/>
      <c r="AB6795" s="1"/>
    </row>
    <row r="6796" ht="50.25" customHeight="1">
      <c r="A6796" s="12">
        <v>6792.0</v>
      </c>
      <c r="B6796" s="13" t="s">
        <v>6141</v>
      </c>
      <c r="C6796" s="14" t="s">
        <v>6819</v>
      </c>
      <c r="D6796" s="1"/>
      <c r="E6796" s="1"/>
      <c r="F6796" s="1" t="str">
        <f>IFERROR(__xludf.DUMMYFUNCTION("GOOGLETRANSLATE(B6796, ""en"", ""fa"")
"),"موفقیت آمازون")</f>
        <v>موفقیت آمازون</v>
      </c>
      <c r="G6796" s="1" t="str">
        <f>IFERROR(__xludf.DUMMYFUNCTION("GOOGLETRANSLATE(C6796, ""en"", ""fa"")
"),"چگونه فروشندگان می توانند از برنامه معاملات انبار FBA برای فروش موجودی اضافی یا تخفیف خورده و افزایش دیده شدن محصولات خود استفاده کنند؟")</f>
        <v>چگونه فروشندگان می توانند از برنامه معاملات انبار FBA برای فروش موجودی اضافی یا تخفیف خورده و افزایش دیده شدن محصولات خود استفاده کنند؟</v>
      </c>
      <c r="H6796" s="1"/>
      <c r="I6796" s="1"/>
      <c r="J6796" s="1"/>
      <c r="K6796" s="1"/>
      <c r="L6796" s="1"/>
      <c r="M6796" s="1"/>
      <c r="N6796" s="1"/>
      <c r="O6796" s="1"/>
      <c r="P6796" s="1"/>
      <c r="Q6796" s="1"/>
      <c r="R6796" s="1"/>
      <c r="S6796" s="1"/>
      <c r="T6796" s="1"/>
      <c r="U6796" s="1"/>
      <c r="V6796" s="1"/>
      <c r="W6796" s="1"/>
      <c r="X6796" s="1"/>
      <c r="Y6796" s="1"/>
      <c r="Z6796" s="1"/>
      <c r="AA6796" s="1"/>
      <c r="AB6796" s="1"/>
    </row>
    <row r="6797" ht="50.25" customHeight="1">
      <c r="A6797" s="12">
        <v>6793.0</v>
      </c>
      <c r="B6797" s="13" t="s">
        <v>6141</v>
      </c>
      <c r="C6797" s="14" t="s">
        <v>6820</v>
      </c>
      <c r="D6797" s="1"/>
      <c r="E6797" s="1"/>
      <c r="F6797" s="1" t="str">
        <f>IFERROR(__xludf.DUMMYFUNCTION("GOOGLETRANSLATE(B6797, ""en"", ""fa"")
"),"موفقیت آمازون")</f>
        <v>موفقیت آمازون</v>
      </c>
      <c r="G6797" s="1" t="str">
        <f>IFERROR(__xludf.DUMMYFUNCTION("GOOGLETRANSLATE(C6797, ""en"", ""fa"")
"),"در مورد نقش ردیابی سفارش و اطلاعیه های تحویل شفاف و کارآمد FBA در تضمین تجربه مثبت مشتری بحث کنید.")</f>
        <v>در مورد نقش ردیابی سفارش و اطلاعیه های تحویل شفاف و کارآمد FBA در تضمین تجربه مثبت مشتری بحث کنید.</v>
      </c>
      <c r="H6797" s="1"/>
      <c r="I6797" s="1"/>
      <c r="J6797" s="1"/>
      <c r="K6797" s="1"/>
      <c r="L6797" s="1"/>
      <c r="M6797" s="1"/>
      <c r="N6797" s="1"/>
      <c r="O6797" s="1"/>
      <c r="P6797" s="1"/>
      <c r="Q6797" s="1"/>
      <c r="R6797" s="1"/>
      <c r="S6797" s="1"/>
      <c r="T6797" s="1"/>
      <c r="U6797" s="1"/>
      <c r="V6797" s="1"/>
      <c r="W6797" s="1"/>
      <c r="X6797" s="1"/>
      <c r="Y6797" s="1"/>
      <c r="Z6797" s="1"/>
      <c r="AA6797" s="1"/>
      <c r="AB6797" s="1"/>
    </row>
    <row r="6798" ht="50.25" customHeight="1">
      <c r="A6798" s="12">
        <v>6794.0</v>
      </c>
      <c r="B6798" s="13" t="s">
        <v>6141</v>
      </c>
      <c r="C6798" s="14" t="s">
        <v>6821</v>
      </c>
      <c r="D6798" s="1"/>
      <c r="E6798" s="1"/>
      <c r="F6798" s="1" t="str">
        <f>IFERROR(__xludf.DUMMYFUNCTION("GOOGLETRANSLATE(B6798, ""en"", ""fa"")
"),"موفقیت آمازون")</f>
        <v>موفقیت آمازون</v>
      </c>
      <c r="G6798" s="1" t="str">
        <f>IFERROR(__xludf.DUMMYFUNCTION("GOOGLETRANSLATE(C6798, ""en"", ""fa"")
"),"بهترین شیوه ها برای مدیریت محموله های FBA در دوره های فصلی یا تبلیغاتی برای پاسخگویی به تقاضای افزایش یافته مشتری و جلوگیری از تاخیر چیست؟")</f>
        <v>بهترین شیوه ها برای مدیریت محموله های FBA در دوره های فصلی یا تبلیغاتی برای پاسخگویی به تقاضای افزایش یافته مشتری و جلوگیری از تاخیر چیست؟</v>
      </c>
      <c r="H6798" s="1"/>
      <c r="I6798" s="1"/>
      <c r="J6798" s="1"/>
      <c r="K6798" s="1"/>
      <c r="L6798" s="1"/>
      <c r="M6798" s="1"/>
      <c r="N6798" s="1"/>
      <c r="O6798" s="1"/>
      <c r="P6798" s="1"/>
      <c r="Q6798" s="1"/>
      <c r="R6798" s="1"/>
      <c r="S6798" s="1"/>
      <c r="T6798" s="1"/>
      <c r="U6798" s="1"/>
      <c r="V6798" s="1"/>
      <c r="W6798" s="1"/>
      <c r="X6798" s="1"/>
      <c r="Y6798" s="1"/>
      <c r="Z6798" s="1"/>
      <c r="AA6798" s="1"/>
      <c r="AB6798" s="1"/>
    </row>
    <row r="6799" ht="50.25" customHeight="1">
      <c r="A6799" s="12">
        <v>6795.0</v>
      </c>
      <c r="B6799" s="13" t="s">
        <v>6141</v>
      </c>
      <c r="C6799" s="14" t="s">
        <v>6822</v>
      </c>
      <c r="D6799" s="1"/>
      <c r="E6799" s="1"/>
      <c r="F6799" s="1" t="str">
        <f>IFERROR(__xludf.DUMMYFUNCTION("GOOGLETRANSLATE(B6799, ""en"", ""fa"")
"),"موفقیت آمازون")</f>
        <v>موفقیت آمازون</v>
      </c>
      <c r="G6799" s="1" t="str">
        <f>IFERROR(__xludf.DUMMYFUNCTION("GOOGLETRANSLATE(C6799, ""en"", ""fa"")
"),"نکاتی را برای بهینه سازی بسته بندی محصول و گزینه های چند بسته برای افزایش میانگین ارزش سفارش و جذب اعضای Prime به اشتراک بگذارید.")</f>
        <v>نکاتی را برای بهینه سازی بسته بندی محصول و گزینه های چند بسته برای افزایش میانگین ارزش سفارش و جذب اعضای Prime به اشتراک بگذارید.</v>
      </c>
      <c r="H6799" s="1"/>
      <c r="I6799" s="1"/>
      <c r="J6799" s="1"/>
      <c r="K6799" s="1"/>
      <c r="L6799" s="1"/>
      <c r="M6799" s="1"/>
      <c r="N6799" s="1"/>
      <c r="O6799" s="1"/>
      <c r="P6799" s="1"/>
      <c r="Q6799" s="1"/>
      <c r="R6799" s="1"/>
      <c r="S6799" s="1"/>
      <c r="T6799" s="1"/>
      <c r="U6799" s="1"/>
      <c r="V6799" s="1"/>
      <c r="W6799" s="1"/>
      <c r="X6799" s="1"/>
      <c r="Y6799" s="1"/>
      <c r="Z6799" s="1"/>
      <c r="AA6799" s="1"/>
      <c r="AB6799" s="1"/>
    </row>
    <row r="6800" ht="50.25" customHeight="1">
      <c r="A6800" s="12">
        <v>6796.0</v>
      </c>
      <c r="B6800" s="13" t="s">
        <v>6141</v>
      </c>
      <c r="C6800" s="14" t="s">
        <v>6823</v>
      </c>
      <c r="D6800" s="1"/>
      <c r="E6800" s="1"/>
      <c r="F6800" s="1" t="str">
        <f>IFERROR(__xludf.DUMMYFUNCTION("GOOGLETRANSLATE(B6800, ""en"", ""fa"")
"),"موفقیت آمازون")</f>
        <v>موفقیت آمازون</v>
      </c>
      <c r="G6800" s="1" t="str">
        <f>IFERROR(__xludf.DUMMYFUNCTION("GOOGLETRANSLATE(C6800, ""en"", ""fa"")
"),"اهمیت استفاده از خدمات حذف و دفع موجودی FBA برای مدیریت موثر موجودی منسوخ یا غیرقابل فروش را توضیح دهید.")</f>
        <v>اهمیت استفاده از خدمات حذف و دفع موجودی FBA برای مدیریت موثر موجودی منسوخ یا غیرقابل فروش را توضیح دهید.</v>
      </c>
      <c r="H6800" s="1"/>
      <c r="I6800" s="1"/>
      <c r="J6800" s="1"/>
      <c r="K6800" s="1"/>
      <c r="L6800" s="1"/>
      <c r="M6800" s="1"/>
      <c r="N6800" s="1"/>
      <c r="O6800" s="1"/>
      <c r="P6800" s="1"/>
      <c r="Q6800" s="1"/>
      <c r="R6800" s="1"/>
      <c r="S6800" s="1"/>
      <c r="T6800" s="1"/>
      <c r="U6800" s="1"/>
      <c r="V6800" s="1"/>
      <c r="W6800" s="1"/>
      <c r="X6800" s="1"/>
      <c r="Y6800" s="1"/>
      <c r="Z6800" s="1"/>
      <c r="AA6800" s="1"/>
      <c r="AB6800" s="1"/>
    </row>
    <row r="6801" ht="50.25" customHeight="1">
      <c r="A6801" s="12">
        <v>6797.0</v>
      </c>
      <c r="B6801" s="13" t="s">
        <v>6141</v>
      </c>
      <c r="C6801" s="14" t="s">
        <v>6824</v>
      </c>
      <c r="D6801" s="1"/>
      <c r="E6801" s="1"/>
      <c r="F6801" s="1" t="str">
        <f>IFERROR(__xludf.DUMMYFUNCTION("GOOGLETRANSLATE(B6801, ""en"", ""fa"")
"),"موفقیت آمازون")</f>
        <v>موفقیت آمازون</v>
      </c>
      <c r="G6801" s="1" t="str">
        <f>IFERROR(__xludf.DUMMYFUNCTION("GOOGLETRANSLATE(C6801, ""en"", ""fa"")
"),"چگونه فروشندگان می توانند از معیارهای رضایت مشتری FBA، مانند رتبه بندی بازخورد و نرخ بازگشت، برای ایجاد اعتماد و اعتبار در مشتریان استفاده کنند؟")</f>
        <v>چگونه فروشندگان می توانند از معیارهای رضایت مشتری FBA، مانند رتبه بندی بازخورد و نرخ بازگشت، برای ایجاد اعتماد و اعتبار در مشتریان استفاده کنند؟</v>
      </c>
      <c r="H6801" s="1"/>
      <c r="I6801" s="1"/>
      <c r="J6801" s="1"/>
      <c r="K6801" s="1"/>
      <c r="L6801" s="1"/>
      <c r="M6801" s="1"/>
      <c r="N6801" s="1"/>
      <c r="O6801" s="1"/>
      <c r="P6801" s="1"/>
      <c r="Q6801" s="1"/>
      <c r="R6801" s="1"/>
      <c r="S6801" s="1"/>
      <c r="T6801" s="1"/>
      <c r="U6801" s="1"/>
      <c r="V6801" s="1"/>
      <c r="W6801" s="1"/>
      <c r="X6801" s="1"/>
      <c r="Y6801" s="1"/>
      <c r="Z6801" s="1"/>
      <c r="AA6801" s="1"/>
      <c r="AB6801" s="1"/>
    </row>
    <row r="6802" ht="50.25" customHeight="1">
      <c r="A6802" s="12">
        <v>6798.0</v>
      </c>
      <c r="B6802" s="13" t="s">
        <v>6141</v>
      </c>
      <c r="C6802" s="14" t="s">
        <v>6825</v>
      </c>
      <c r="D6802" s="1"/>
      <c r="E6802" s="1"/>
      <c r="F6802" s="1" t="str">
        <f>IFERROR(__xludf.DUMMYFUNCTION("GOOGLETRANSLATE(B6802, ""en"", ""fa"")
"),"موفقیت آمازون")</f>
        <v>موفقیت آمازون</v>
      </c>
      <c r="G6802" s="1" t="str">
        <f>IFERROR(__xludf.DUMMYFUNCTION("GOOGLETRANSLATE(C6802, ""en"", ""fa"")
"),"در مورد مزایای استفاده از برنامه کوچک و سبک FBA برای محصولات سبک وزن برای ارائه قیمت رقابتی و گزینه های ارسال سریع بحث کنید.")</f>
        <v>در مورد مزایای استفاده از برنامه کوچک و سبک FBA برای محصولات سبک وزن برای ارائه قیمت رقابتی و گزینه های ارسال سریع بحث کنید.</v>
      </c>
      <c r="H6802" s="1"/>
      <c r="I6802" s="1"/>
      <c r="J6802" s="1"/>
      <c r="K6802" s="1"/>
      <c r="L6802" s="1"/>
      <c r="M6802" s="1"/>
      <c r="N6802" s="1"/>
      <c r="O6802" s="1"/>
      <c r="P6802" s="1"/>
      <c r="Q6802" s="1"/>
      <c r="R6802" s="1"/>
      <c r="S6802" s="1"/>
      <c r="T6802" s="1"/>
      <c r="U6802" s="1"/>
      <c r="V6802" s="1"/>
      <c r="W6802" s="1"/>
      <c r="X6802" s="1"/>
      <c r="Y6802" s="1"/>
      <c r="Z6802" s="1"/>
      <c r="AA6802" s="1"/>
      <c r="AB6802" s="1"/>
    </row>
    <row r="6803" ht="50.25" customHeight="1">
      <c r="A6803" s="12">
        <v>6799.0</v>
      </c>
      <c r="B6803" s="13" t="s">
        <v>6141</v>
      </c>
      <c r="C6803" s="14" t="s">
        <v>6826</v>
      </c>
      <c r="D6803" s="1"/>
      <c r="E6803" s="1"/>
      <c r="F6803" s="1" t="str">
        <f>IFERROR(__xludf.DUMMYFUNCTION("GOOGLETRANSLATE(B6803, ""en"", ""fa"")
"),"موفقیت آمازون")</f>
        <v>موفقیت آمازون</v>
      </c>
      <c r="G6803" s="1" t="str">
        <f>IFERROR(__xludf.DUMMYFUNCTION("GOOGLETRANSLATE(C6803, ""en"", ""fa"")
"),"ملاحظات کلیدی هنگام بهینه سازی تصاویر و محتوای محصول برای دستگاه های تلفن همراه، با توجه به استفاده بالای تلفن همراه در میان اعضای Prime چیست؟")</f>
        <v>ملاحظات کلیدی هنگام بهینه سازی تصاویر و محتوای محصول برای دستگاه های تلفن همراه، با توجه به استفاده بالای تلفن همراه در میان اعضای Prime چیست؟</v>
      </c>
      <c r="H6803" s="1"/>
      <c r="I6803" s="1"/>
      <c r="J6803" s="1"/>
      <c r="K6803" s="1"/>
      <c r="L6803" s="1"/>
      <c r="M6803" s="1"/>
      <c r="N6803" s="1"/>
      <c r="O6803" s="1"/>
      <c r="P6803" s="1"/>
      <c r="Q6803" s="1"/>
      <c r="R6803" s="1"/>
      <c r="S6803" s="1"/>
      <c r="T6803" s="1"/>
      <c r="U6803" s="1"/>
      <c r="V6803" s="1"/>
      <c r="W6803" s="1"/>
      <c r="X6803" s="1"/>
      <c r="Y6803" s="1"/>
      <c r="Z6803" s="1"/>
      <c r="AA6803" s="1"/>
      <c r="AB6803" s="1"/>
    </row>
    <row r="6804" ht="50.25" customHeight="1">
      <c r="A6804" s="12">
        <v>6800.0</v>
      </c>
      <c r="B6804" s="13" t="s">
        <v>6141</v>
      </c>
      <c r="C6804" s="14" t="s">
        <v>6827</v>
      </c>
      <c r="D6804" s="1"/>
      <c r="E6804" s="1"/>
      <c r="F6804" s="1" t="str">
        <f>IFERROR(__xludf.DUMMYFUNCTION("GOOGLETRANSLATE(B6804, ""en"", ""fa"")
"),"موفقیت آمازون")</f>
        <v>موفقیت آمازون</v>
      </c>
      <c r="G6804" s="1" t="str">
        <f>IFERROR(__xludf.DUMMYFUNCTION("GOOGLETRANSLATE(C6804, ""en"", ""fa"")
"),"بینش هایی را در مورد نحوه مدیریت موثر پر کردن FBA و حفظ سطوح موجودی بهینه بر اساس تقاضا و سرعت فروش به اشتراک بگذارید.")</f>
        <v>بینش هایی را در مورد نحوه مدیریت موثر پر کردن FBA و حفظ سطوح موجودی بهینه بر اساس تقاضا و سرعت فروش به اشتراک بگذارید.</v>
      </c>
      <c r="H6804" s="1"/>
      <c r="I6804" s="1"/>
      <c r="J6804" s="1"/>
      <c r="K6804" s="1"/>
      <c r="L6804" s="1"/>
      <c r="M6804" s="1"/>
      <c r="N6804" s="1"/>
      <c r="O6804" s="1"/>
      <c r="P6804" s="1"/>
      <c r="Q6804" s="1"/>
      <c r="R6804" s="1"/>
      <c r="S6804" s="1"/>
      <c r="T6804" s="1"/>
      <c r="U6804" s="1"/>
      <c r="V6804" s="1"/>
      <c r="W6804" s="1"/>
      <c r="X6804" s="1"/>
      <c r="Y6804" s="1"/>
      <c r="Z6804" s="1"/>
      <c r="AA6804" s="1"/>
      <c r="AB6804" s="1"/>
    </row>
    <row r="6805" ht="50.25" customHeight="1">
      <c r="A6805" s="12">
        <v>6801.0</v>
      </c>
      <c r="B6805" s="13" t="s">
        <v>6141</v>
      </c>
      <c r="C6805" s="14" t="s">
        <v>6828</v>
      </c>
      <c r="D6805" s="1"/>
      <c r="E6805" s="1"/>
      <c r="F6805" s="1" t="str">
        <f>IFERROR(__xludf.DUMMYFUNCTION("GOOGLETRANSLATE(B6805, ""en"", ""fa"")
"),"موفقیت آمازون")</f>
        <v>موفقیت آمازون</v>
      </c>
      <c r="G6805" s="1" t="str">
        <f>IFERROR(__xludf.DUMMYFUNCTION("GOOGLETRANSLATE(C6805, ""en"", ""fa"")
"),"اهمیت استفاده از شاخص عملکرد موجودی FBA (IPI) برای ردیابی و بهبود کارایی مدیریت موجودی را توضیح دهید.")</f>
        <v>اهمیت استفاده از شاخص عملکرد موجودی FBA (IPI) برای ردیابی و بهبود کارایی مدیریت موجودی را توضیح دهید.</v>
      </c>
      <c r="H6805" s="1"/>
      <c r="I6805" s="1"/>
      <c r="J6805" s="1"/>
      <c r="K6805" s="1"/>
      <c r="L6805" s="1"/>
      <c r="M6805" s="1"/>
      <c r="N6805" s="1"/>
      <c r="O6805" s="1"/>
      <c r="P6805" s="1"/>
      <c r="Q6805" s="1"/>
      <c r="R6805" s="1"/>
      <c r="S6805" s="1"/>
      <c r="T6805" s="1"/>
      <c r="U6805" s="1"/>
      <c r="V6805" s="1"/>
      <c r="W6805" s="1"/>
      <c r="X6805" s="1"/>
      <c r="Y6805" s="1"/>
      <c r="Z6805" s="1"/>
      <c r="AA6805" s="1"/>
      <c r="AB6805" s="1"/>
    </row>
    <row r="6806" ht="50.25" customHeight="1">
      <c r="A6806" s="12">
        <v>6802.0</v>
      </c>
      <c r="B6806" s="13" t="s">
        <v>6141</v>
      </c>
      <c r="C6806" s="14" t="s">
        <v>6829</v>
      </c>
      <c r="D6806" s="1"/>
      <c r="E6806" s="1"/>
      <c r="F6806" s="1" t="str">
        <f>IFERROR(__xludf.DUMMYFUNCTION("GOOGLETRANSLATE(B6806, ""en"", ""fa"")
"),"موفقیت آمازون")</f>
        <v>موفقیت آمازون</v>
      </c>
      <c r="G6806" s="1" t="str">
        <f>IFERROR(__xludf.DUMMYFUNCTION("GOOGLETRANSLATE(C6806, ""en"", ""fa"")
"),"فروشندگان چگونه می‌توانند از گزارش‌های سفارش حذف FBA و گزارش‌های سلامت موجودی برای شناسایی و رسیدگی سریع به مشکلات موجودی استفاده کنند؟")</f>
        <v>فروشندگان چگونه می‌توانند از گزارش‌های سفارش حذف FBA و گزارش‌های سلامت موجودی برای شناسایی و رسیدگی سریع به مشکلات موجودی استفاده کنند؟</v>
      </c>
      <c r="H6806" s="1"/>
      <c r="I6806" s="1"/>
      <c r="J6806" s="1"/>
      <c r="K6806" s="1"/>
      <c r="L6806" s="1"/>
      <c r="M6806" s="1"/>
      <c r="N6806" s="1"/>
      <c r="O6806" s="1"/>
      <c r="P6806" s="1"/>
      <c r="Q6806" s="1"/>
      <c r="R6806" s="1"/>
      <c r="S6806" s="1"/>
      <c r="T6806" s="1"/>
      <c r="U6806" s="1"/>
      <c r="V6806" s="1"/>
      <c r="W6806" s="1"/>
      <c r="X6806" s="1"/>
      <c r="Y6806" s="1"/>
      <c r="Z6806" s="1"/>
      <c r="AA6806" s="1"/>
      <c r="AB6806" s="1"/>
    </row>
    <row r="6807" ht="50.25" customHeight="1">
      <c r="A6807" s="12">
        <v>6803.0</v>
      </c>
      <c r="B6807" s="13" t="s">
        <v>6141</v>
      </c>
      <c r="C6807" s="14" t="s">
        <v>6830</v>
      </c>
      <c r="D6807" s="1"/>
      <c r="E6807" s="1"/>
      <c r="F6807" s="1" t="str">
        <f>IFERROR(__xludf.DUMMYFUNCTION("GOOGLETRANSLATE(B6807, ""en"", ""fa"")
"),"موفقیت آمازون")</f>
        <v>موفقیت آمازون</v>
      </c>
      <c r="G6807" s="1" t="str">
        <f>IFERROR(__xludf.DUMMYFUNCTION("GOOGLETRANSLATE(C6807, ""en"", ""fa"")
"),"در مورد نقش هزینه های انجام چند کاناله FBA و محاسبات هزینه در ارزیابی سودآوری فروش در کانال های فروش خارجی بحث کنید.")</f>
        <v>در مورد نقش هزینه های انجام چند کاناله FBA و محاسبات هزینه در ارزیابی سودآوری فروش در کانال های فروش خارجی بحث کنید.</v>
      </c>
      <c r="H6807" s="1"/>
      <c r="I6807" s="1"/>
      <c r="J6807" s="1"/>
      <c r="K6807" s="1"/>
      <c r="L6807" s="1"/>
      <c r="M6807" s="1"/>
      <c r="N6807" s="1"/>
      <c r="O6807" s="1"/>
      <c r="P6807" s="1"/>
      <c r="Q6807" s="1"/>
      <c r="R6807" s="1"/>
      <c r="S6807" s="1"/>
      <c r="T6807" s="1"/>
      <c r="U6807" s="1"/>
      <c r="V6807" s="1"/>
      <c r="W6807" s="1"/>
      <c r="X6807" s="1"/>
      <c r="Y6807" s="1"/>
      <c r="Z6807" s="1"/>
      <c r="AA6807" s="1"/>
      <c r="AB6807" s="1"/>
    </row>
    <row r="6808" ht="50.25" customHeight="1">
      <c r="A6808" s="12">
        <v>6804.0</v>
      </c>
      <c r="B6808" s="13" t="s">
        <v>6141</v>
      </c>
      <c r="C6808" s="14" t="s">
        <v>6831</v>
      </c>
      <c r="D6808" s="1"/>
      <c r="E6808" s="1"/>
      <c r="F6808" s="1" t="str">
        <f>IFERROR(__xludf.DUMMYFUNCTION("GOOGLETRANSLATE(B6808, ""en"", ""fa"")
"),"موفقیت آمازون")</f>
        <v>موفقیت آمازون</v>
      </c>
      <c r="G6808" s="1" t="str">
        <f>IFERROR(__xludf.DUMMYFUNCTION("GOOGLETRANSLATE(C6808, ""en"", ""fa"")
"),"بهترین روش ها برای استفاده از ویژگی باندلینگ مجازی FBA برای ایجاد محصولات منحصر به فرد و افزایش تمایز محصول چیست؟")</f>
        <v>بهترین روش ها برای استفاده از ویژگی باندلینگ مجازی FBA برای ایجاد محصولات منحصر به فرد و افزایش تمایز محصول چیست؟</v>
      </c>
      <c r="H6808" s="1"/>
      <c r="I6808" s="1"/>
      <c r="J6808" s="1"/>
      <c r="K6808" s="1"/>
      <c r="L6808" s="1"/>
      <c r="M6808" s="1"/>
      <c r="N6808" s="1"/>
      <c r="O6808" s="1"/>
      <c r="P6808" s="1"/>
      <c r="Q6808" s="1"/>
      <c r="R6808" s="1"/>
      <c r="S6808" s="1"/>
      <c r="T6808" s="1"/>
      <c r="U6808" s="1"/>
      <c r="V6808" s="1"/>
      <c r="W6808" s="1"/>
      <c r="X6808" s="1"/>
      <c r="Y6808" s="1"/>
      <c r="Z6808" s="1"/>
      <c r="AA6808" s="1"/>
      <c r="AB6808" s="1"/>
    </row>
    <row r="6809" ht="50.25" customHeight="1">
      <c r="A6809" s="12">
        <v>6805.0</v>
      </c>
      <c r="B6809" s="13" t="s">
        <v>6141</v>
      </c>
      <c r="C6809" s="14" t="s">
        <v>6832</v>
      </c>
      <c r="D6809" s="1"/>
      <c r="E6809" s="1"/>
      <c r="F6809" s="1" t="str">
        <f>IFERROR(__xludf.DUMMYFUNCTION("GOOGLETRANSLATE(B6809, ""en"", ""fa"")
"),"موفقیت آمازون")</f>
        <v>موفقیت آمازون</v>
      </c>
      <c r="G6809" s="1" t="str">
        <f>IFERROR(__xludf.DUMMYFUNCTION("GOOGLETRANSLATE(C6809, ""en"", ""fa"")
"),"نکاتی را برای استفاده از شبکه مرکز تکمیل FBA به اشتراک بگذارید تا موجودی را به صورت استراتژیک به مشتریان نزدیک‌تر کنید و هزینه‌های حمل و نقل را کاهش دهید.")</f>
        <v>نکاتی را برای استفاده از شبکه مرکز تکمیل FBA به اشتراک بگذارید تا موجودی را به صورت استراتژیک به مشتریان نزدیک‌تر کنید و هزینه‌های حمل و نقل را کاهش دهید.</v>
      </c>
      <c r="H6809" s="1"/>
      <c r="I6809" s="1"/>
      <c r="J6809" s="1"/>
      <c r="K6809" s="1"/>
      <c r="L6809" s="1"/>
      <c r="M6809" s="1"/>
      <c r="N6809" s="1"/>
      <c r="O6809" s="1"/>
      <c r="P6809" s="1"/>
      <c r="Q6809" s="1"/>
      <c r="R6809" s="1"/>
      <c r="S6809" s="1"/>
      <c r="T6809" s="1"/>
      <c r="U6809" s="1"/>
      <c r="V6809" s="1"/>
      <c r="W6809" s="1"/>
      <c r="X6809" s="1"/>
      <c r="Y6809" s="1"/>
      <c r="Z6809" s="1"/>
      <c r="AA6809" s="1"/>
      <c r="AB6809" s="1"/>
    </row>
    <row r="6810" ht="50.25" customHeight="1">
      <c r="A6810" s="12">
        <v>6806.0</v>
      </c>
      <c r="B6810" s="13" t="s">
        <v>6141</v>
      </c>
      <c r="C6810" s="14" t="s">
        <v>6833</v>
      </c>
      <c r="D6810" s="1"/>
      <c r="E6810" s="1"/>
      <c r="F6810" s="1" t="str">
        <f>IFERROR(__xludf.DUMMYFUNCTION("GOOGLETRANSLATE(B6810, ""en"", ""fa"")
"),"موفقیت آمازون")</f>
        <v>موفقیت آمازون</v>
      </c>
      <c r="G6810" s="1" t="str">
        <f>IFERROR(__xludf.DUMMYFUNCTION("GOOGLETRANSLATE(C6810, ""en"", ""fa"")
"),"اهمیت نظارت بر هزینه‌های FBA، هزینه‌های ذخیره‌سازی و هزینه‌های ذخیره‌سازی بلندمدت برای بهینه‌سازی کارایی هزینه و سودآوری را توضیح دهید.")</f>
        <v>اهمیت نظارت بر هزینه‌های FBA، هزینه‌های ذخیره‌سازی و هزینه‌های ذخیره‌سازی بلندمدت برای بهینه‌سازی کارایی هزینه و سودآوری را توضیح دهید.</v>
      </c>
      <c r="H6810" s="1"/>
      <c r="I6810" s="1"/>
      <c r="J6810" s="1"/>
      <c r="K6810" s="1"/>
      <c r="L6810" s="1"/>
      <c r="M6810" s="1"/>
      <c r="N6810" s="1"/>
      <c r="O6810" s="1"/>
      <c r="P6810" s="1"/>
      <c r="Q6810" s="1"/>
      <c r="R6810" s="1"/>
      <c r="S6810" s="1"/>
      <c r="T6810" s="1"/>
      <c r="U6810" s="1"/>
      <c r="V6810" s="1"/>
      <c r="W6810" s="1"/>
      <c r="X6810" s="1"/>
      <c r="Y6810" s="1"/>
      <c r="Z6810" s="1"/>
      <c r="AA6810" s="1"/>
      <c r="AB6810" s="1"/>
    </row>
    <row r="6811" ht="50.25" customHeight="1">
      <c r="A6811" s="12">
        <v>6807.0</v>
      </c>
      <c r="B6811" s="13" t="s">
        <v>6141</v>
      </c>
      <c r="C6811" s="14" t="s">
        <v>6834</v>
      </c>
      <c r="D6811" s="1"/>
      <c r="E6811" s="1"/>
      <c r="F6811" s="1" t="str">
        <f>IFERROR(__xludf.DUMMYFUNCTION("GOOGLETRANSLATE(B6811, ""en"", ""fa"")
"),"موفقیت آمازون")</f>
        <v>موفقیت آمازون</v>
      </c>
      <c r="G6811" s="1" t="str">
        <f>IFERROR(__xludf.DUMMYFUNCTION("GOOGLETRANSLATE(C6811, ""en"", ""fa"")
"),"چگونه فروشندگان می توانند از برنامه معاملات انبار FBA برای به دست آوردن موجودی با تخفیف و افزایش حاشیه سود در فرصت های فروش مجدد استفاده کنند؟")</f>
        <v>چگونه فروشندگان می توانند از برنامه معاملات انبار FBA برای به دست آوردن موجودی با تخفیف و افزایش حاشیه سود در فرصت های فروش مجدد استفاده کنند؟</v>
      </c>
      <c r="H6811" s="1"/>
      <c r="I6811" s="1"/>
      <c r="J6811" s="1"/>
      <c r="K6811" s="1"/>
      <c r="L6811" s="1"/>
      <c r="M6811" s="1"/>
      <c r="N6811" s="1"/>
      <c r="O6811" s="1"/>
      <c r="P6811" s="1"/>
      <c r="Q6811" s="1"/>
      <c r="R6811" s="1"/>
      <c r="S6811" s="1"/>
      <c r="T6811" s="1"/>
      <c r="U6811" s="1"/>
      <c r="V6811" s="1"/>
      <c r="W6811" s="1"/>
      <c r="X6811" s="1"/>
      <c r="Y6811" s="1"/>
      <c r="Z6811" s="1"/>
      <c r="AA6811" s="1"/>
      <c r="AB6811" s="1"/>
    </row>
    <row r="6812" ht="50.25" customHeight="1">
      <c r="A6812" s="12">
        <v>6808.0</v>
      </c>
      <c r="B6812" s="13" t="s">
        <v>6141</v>
      </c>
      <c r="C6812" s="14" t="s">
        <v>6835</v>
      </c>
      <c r="D6812" s="1"/>
      <c r="E6812" s="1"/>
      <c r="F6812" s="1" t="str">
        <f>IFERROR(__xludf.DUMMYFUNCTION("GOOGLETRANSLATE(B6812, ""en"", ""fa"")
"),"موفقیت آمازون")</f>
        <v>موفقیت آمازون</v>
      </c>
      <c r="G6812" s="1" t="str">
        <f>IFERROR(__xludf.DUMMYFUNCTION("GOOGLETRANSLATE(C6812, ""en"", ""fa"")
"),"در مورد مزایای استفاده از سرویس سفارش حذف FBA برای انحلال موجودی اضافی یا آزمایش پیشنهادات محصول جدید بحث کنید.")</f>
        <v>در مورد مزایای استفاده از سرویس سفارش حذف FBA برای انحلال موجودی اضافی یا آزمایش پیشنهادات محصول جدید بحث کنید.</v>
      </c>
      <c r="H6812" s="1"/>
      <c r="I6812" s="1"/>
      <c r="J6812" s="1"/>
      <c r="K6812" s="1"/>
      <c r="L6812" s="1"/>
      <c r="M6812" s="1"/>
      <c r="N6812" s="1"/>
      <c r="O6812" s="1"/>
      <c r="P6812" s="1"/>
      <c r="Q6812" s="1"/>
      <c r="R6812" s="1"/>
      <c r="S6812" s="1"/>
      <c r="T6812" s="1"/>
      <c r="U6812" s="1"/>
      <c r="V6812" s="1"/>
      <c r="W6812" s="1"/>
      <c r="X6812" s="1"/>
      <c r="Y6812" s="1"/>
      <c r="Z6812" s="1"/>
      <c r="AA6812" s="1"/>
      <c r="AB6812" s="1"/>
    </row>
    <row r="6813" ht="50.25" customHeight="1">
      <c r="A6813" s="12">
        <v>6809.0</v>
      </c>
      <c r="B6813" s="13" t="s">
        <v>6141</v>
      </c>
      <c r="C6813" s="14" t="s">
        <v>6836</v>
      </c>
      <c r="D6813" s="1"/>
      <c r="E6813" s="1"/>
      <c r="F6813" s="1" t="str">
        <f>IFERROR(__xludf.DUMMYFUNCTION("GOOGLETRANSLATE(B6813, ""en"", ""fa"")
"),"موفقیت آمازون")</f>
        <v>موفقیت آمازون</v>
      </c>
      <c r="G6813" s="1" t="str">
        <f>IFERROR(__xludf.DUMMYFUNCTION("GOOGLETRANSLATE(C6813, ""en"", ""fa"")
"),"ملاحظات کلیدی هنگام ایجاد برنامه های حمل و نقل ورودی FBA برای اطمینان از مدیریت کارآمد و دقیق موجودی در مراکز انجام آمازون چیست؟")</f>
        <v>ملاحظات کلیدی هنگام ایجاد برنامه های حمل و نقل ورودی FBA برای اطمینان از مدیریت کارآمد و دقیق موجودی در مراکز انجام آمازون چیست؟</v>
      </c>
      <c r="H6813" s="1"/>
      <c r="I6813" s="1"/>
      <c r="J6813" s="1"/>
      <c r="K6813" s="1"/>
      <c r="L6813" s="1"/>
      <c r="M6813" s="1"/>
      <c r="N6813" s="1"/>
      <c r="O6813" s="1"/>
      <c r="P6813" s="1"/>
      <c r="Q6813" s="1"/>
      <c r="R6813" s="1"/>
      <c r="S6813" s="1"/>
      <c r="T6813" s="1"/>
      <c r="U6813" s="1"/>
      <c r="V6813" s="1"/>
      <c r="W6813" s="1"/>
      <c r="X6813" s="1"/>
      <c r="Y6813" s="1"/>
      <c r="Z6813" s="1"/>
      <c r="AA6813" s="1"/>
      <c r="AB6813" s="1"/>
    </row>
    <row r="6814" ht="50.25" customHeight="1">
      <c r="A6814" s="12">
        <v>6810.0</v>
      </c>
      <c r="B6814" s="13" t="s">
        <v>6141</v>
      </c>
      <c r="C6814" s="14" t="s">
        <v>6837</v>
      </c>
      <c r="D6814" s="1"/>
      <c r="E6814" s="1"/>
      <c r="F6814" s="1" t="str">
        <f>IFERROR(__xludf.DUMMYFUNCTION("GOOGLETRANSLATE(B6814, ""en"", ""fa"")
"),"موفقیت آمازون")</f>
        <v>موفقیت آمازون</v>
      </c>
      <c r="G6814" s="1" t="str">
        <f>IFERROR(__xludf.DUMMYFUNCTION("GOOGLETRANSLATE(C6814, ""en"", ""fa"")
"),"بینش‌هایی را در مورد نحوه استفاده مؤثر از گزارش‌های سن موجودی و مدت ذخیره‌سازی FBA برای مدیریت گردش موجودی و کاهش هزینه‌های ذخیره‌سازی بلندمدت به اشتراک بگذارید.")</f>
        <v>بینش‌هایی را در مورد نحوه استفاده مؤثر از گزارش‌های سن موجودی و مدت ذخیره‌سازی FBA برای مدیریت گردش موجودی و کاهش هزینه‌های ذخیره‌سازی بلندمدت به اشتراک بگذارید.</v>
      </c>
      <c r="H6814" s="1"/>
      <c r="I6814" s="1"/>
      <c r="J6814" s="1"/>
      <c r="K6814" s="1"/>
      <c r="L6814" s="1"/>
      <c r="M6814" s="1"/>
      <c r="N6814" s="1"/>
      <c r="O6814" s="1"/>
      <c r="P6814" s="1"/>
      <c r="Q6814" s="1"/>
      <c r="R6814" s="1"/>
      <c r="S6814" s="1"/>
      <c r="T6814" s="1"/>
      <c r="U6814" s="1"/>
      <c r="V6814" s="1"/>
      <c r="W6814" s="1"/>
      <c r="X6814" s="1"/>
      <c r="Y6814" s="1"/>
      <c r="Z6814" s="1"/>
      <c r="AA6814" s="1"/>
      <c r="AB6814" s="1"/>
    </row>
    <row r="6815" ht="50.25" customHeight="1">
      <c r="A6815" s="12">
        <v>6811.0</v>
      </c>
      <c r="B6815" s="13" t="s">
        <v>6141</v>
      </c>
      <c r="C6815" s="14" t="s">
        <v>6838</v>
      </c>
      <c r="D6815" s="1"/>
      <c r="E6815" s="1"/>
      <c r="F6815" s="1" t="str">
        <f>IFERROR(__xludf.DUMMYFUNCTION("GOOGLETRANSLATE(B6815, ""en"", ""fa"")
"),"موفقیت آمازون")</f>
        <v>موفقیت آمازون</v>
      </c>
      <c r="G6815" s="1" t="str">
        <f>IFERROR(__xludf.DUMMYFUNCTION("GOOGLETRANSLATE(C6815, ""en"", ""fa"")
"),"اهمیت استفاده از خدمات صادراتی FBA و قابلیت های تحقق جهانی برای گسترش به بازارهای بین المللی را توضیح دهید.")</f>
        <v>اهمیت استفاده از خدمات صادراتی FBA و قابلیت های تحقق جهانی برای گسترش به بازارهای بین المللی را توضیح دهید.</v>
      </c>
      <c r="H6815" s="1"/>
      <c r="I6815" s="1"/>
      <c r="J6815" s="1"/>
      <c r="K6815" s="1"/>
      <c r="L6815" s="1"/>
      <c r="M6815" s="1"/>
      <c r="N6815" s="1"/>
      <c r="O6815" s="1"/>
      <c r="P6815" s="1"/>
      <c r="Q6815" s="1"/>
      <c r="R6815" s="1"/>
      <c r="S6815" s="1"/>
      <c r="T6815" s="1"/>
      <c r="U6815" s="1"/>
      <c r="V6815" s="1"/>
      <c r="W6815" s="1"/>
      <c r="X6815" s="1"/>
      <c r="Y6815" s="1"/>
      <c r="Z6815" s="1"/>
      <c r="AA6815" s="1"/>
      <c r="AB6815" s="1"/>
    </row>
    <row r="6816" ht="50.25" customHeight="1">
      <c r="A6816" s="12">
        <v>6812.0</v>
      </c>
      <c r="B6816" s="13" t="s">
        <v>6141</v>
      </c>
      <c r="C6816" s="14" t="s">
        <v>6839</v>
      </c>
      <c r="D6816" s="1"/>
      <c r="E6816" s="1"/>
      <c r="F6816" s="1" t="str">
        <f>IFERROR(__xludf.DUMMYFUNCTION("GOOGLETRANSLATE(B6816, ""en"", ""fa"")
"),"موفقیت آمازون")</f>
        <v>موفقیت آمازون</v>
      </c>
      <c r="G6816" s="1" t="str">
        <f>IFERROR(__xludf.DUMMYFUNCTION("GOOGLETRANSLATE(C6816, ""en"", ""fa"")
"),"چگونه فروشندگان می توانند از قوانین قیمت گذاری خودکار FBA برای تنظیم قیمت ها به صورت پویا بر اساس عواملی مانند رقابت، تقاضا و سودآوری استفاده کنند؟")</f>
        <v>چگونه فروشندگان می توانند از قوانین قیمت گذاری خودکار FBA برای تنظیم قیمت ها به صورت پویا بر اساس عواملی مانند رقابت، تقاضا و سودآوری استفاده کنند؟</v>
      </c>
      <c r="H6816" s="1"/>
      <c r="I6816" s="1"/>
      <c r="J6816" s="1"/>
      <c r="K6816" s="1"/>
      <c r="L6816" s="1"/>
      <c r="M6816" s="1"/>
      <c r="N6816" s="1"/>
      <c r="O6816" s="1"/>
      <c r="P6816" s="1"/>
      <c r="Q6816" s="1"/>
      <c r="R6816" s="1"/>
      <c r="S6816" s="1"/>
      <c r="T6816" s="1"/>
      <c r="U6816" s="1"/>
      <c r="V6816" s="1"/>
      <c r="W6816" s="1"/>
      <c r="X6816" s="1"/>
      <c r="Y6816" s="1"/>
      <c r="Z6816" s="1"/>
      <c r="AA6816" s="1"/>
      <c r="AB6816" s="1"/>
    </row>
    <row r="6817" ht="50.25" customHeight="1">
      <c r="A6817" s="12">
        <v>6813.0</v>
      </c>
      <c r="B6817" s="13" t="s">
        <v>6141</v>
      </c>
      <c r="C6817" s="14" t="s">
        <v>6840</v>
      </c>
      <c r="D6817" s="1"/>
      <c r="E6817" s="1"/>
      <c r="F6817" s="1" t="str">
        <f>IFERROR(__xludf.DUMMYFUNCTION("GOOGLETRANSLATE(B6817, ""en"", ""fa"")
"),"موفقیت آمازون")</f>
        <v>موفقیت آمازون</v>
      </c>
      <c r="G6817" s="1" t="str">
        <f>IFERROR(__xludf.DUMMYFUNCTION("GOOGLETRANSLATE(C6817, ""en"", ""fa"")
"),"در مورد نقش سیاست بازگشت و بازپرداخت مشتری FBA در ایجاد اعتماد و اطمینان در بین مشتریان و افزایش خریدهای تکراری بحث کنید.")</f>
        <v>در مورد نقش سیاست بازگشت و بازپرداخت مشتری FBA در ایجاد اعتماد و اطمینان در بین مشتریان و افزایش خریدهای تکراری بحث کنید.</v>
      </c>
      <c r="H6817" s="1"/>
      <c r="I6817" s="1"/>
      <c r="J6817" s="1"/>
      <c r="K6817" s="1"/>
      <c r="L6817" s="1"/>
      <c r="M6817" s="1"/>
      <c r="N6817" s="1"/>
      <c r="O6817" s="1"/>
      <c r="P6817" s="1"/>
      <c r="Q6817" s="1"/>
      <c r="R6817" s="1"/>
      <c r="S6817" s="1"/>
      <c r="T6817" s="1"/>
      <c r="U6817" s="1"/>
      <c r="V6817" s="1"/>
      <c r="W6817" s="1"/>
      <c r="X6817" s="1"/>
      <c r="Y6817" s="1"/>
      <c r="Z6817" s="1"/>
      <c r="AA6817" s="1"/>
      <c r="AB6817" s="1"/>
    </row>
    <row r="6818" ht="50.25" customHeight="1">
      <c r="A6818" s="12">
        <v>6814.0</v>
      </c>
      <c r="B6818" s="13" t="s">
        <v>6141</v>
      </c>
      <c r="C6818" s="14" t="s">
        <v>6841</v>
      </c>
      <c r="D6818" s="1"/>
      <c r="E6818" s="1"/>
      <c r="F6818" s="1" t="str">
        <f>IFERROR(__xludf.DUMMYFUNCTION("GOOGLETRANSLATE(B6818, ""en"", ""fa"")
"),"موفقیت آمازون")</f>
        <v>موفقیت آمازون</v>
      </c>
      <c r="G6818" s="1" t="str">
        <f>IFERROR(__xludf.DUMMYFUNCTION("GOOGLETRANSLATE(C6818, ""en"", ""fa"")
"),"بهترین شیوه ها برای استفاده از ویژگی تخصیص موجودی تکمیل چند کاناله (MCF) FBA برای اولویت بندی تخصیص موجودی در کانال های فروش متعدد چیست؟")</f>
        <v>بهترین شیوه ها برای استفاده از ویژگی تخصیص موجودی تکمیل چند کاناله (MCF) FBA برای اولویت بندی تخصیص موجودی در کانال های فروش متعدد چیست؟</v>
      </c>
      <c r="H6818" s="1"/>
      <c r="I6818" s="1"/>
      <c r="J6818" s="1"/>
      <c r="K6818" s="1"/>
      <c r="L6818" s="1"/>
      <c r="M6818" s="1"/>
      <c r="N6818" s="1"/>
      <c r="O6818" s="1"/>
      <c r="P6818" s="1"/>
      <c r="Q6818" s="1"/>
      <c r="R6818" s="1"/>
      <c r="S6818" s="1"/>
      <c r="T6818" s="1"/>
      <c r="U6818" s="1"/>
      <c r="V6818" s="1"/>
      <c r="W6818" s="1"/>
      <c r="X6818" s="1"/>
      <c r="Y6818" s="1"/>
      <c r="Z6818" s="1"/>
      <c r="AA6818" s="1"/>
      <c r="AB6818" s="1"/>
    </row>
    <row r="6819" ht="50.25" customHeight="1">
      <c r="A6819" s="12">
        <v>6815.0</v>
      </c>
      <c r="B6819" s="13" t="s">
        <v>6141</v>
      </c>
      <c r="C6819" s="14" t="s">
        <v>6842</v>
      </c>
      <c r="D6819" s="1"/>
      <c r="E6819" s="1"/>
      <c r="F6819" s="1" t="str">
        <f>IFERROR(__xludf.DUMMYFUNCTION("GOOGLETRANSLATE(B6819, ""en"", ""fa"")
"),"موفقیت آمازون")</f>
        <v>موفقیت آمازون</v>
      </c>
      <c r="G6819" s="1" t="str">
        <f>IFERROR(__xludf.DUMMYFUNCTION("GOOGLETRANSLATE(C6819, ""en"", ""fa"")
"),"نکاتی را برای بهینه‌سازی فهرست‌های محصولات و محتوا برای هدف قرار دادن بخش‌های خاص مشتریان Amazon Prime، مانند Prime Pantry یا Prime Student، به اشتراک بگذارید.")</f>
        <v>نکاتی را برای بهینه‌سازی فهرست‌های محصولات و محتوا برای هدف قرار دادن بخش‌های خاص مشتریان Amazon Prime، مانند Prime Pantry یا Prime Student، به اشتراک بگذارید.</v>
      </c>
      <c r="H6819" s="1"/>
      <c r="I6819" s="1"/>
      <c r="J6819" s="1"/>
      <c r="K6819" s="1"/>
      <c r="L6819" s="1"/>
      <c r="M6819" s="1"/>
      <c r="N6819" s="1"/>
      <c r="O6819" s="1"/>
      <c r="P6819" s="1"/>
      <c r="Q6819" s="1"/>
      <c r="R6819" s="1"/>
      <c r="S6819" s="1"/>
      <c r="T6819" s="1"/>
      <c r="U6819" s="1"/>
      <c r="V6819" s="1"/>
      <c r="W6819" s="1"/>
      <c r="X6819" s="1"/>
      <c r="Y6819" s="1"/>
      <c r="Z6819" s="1"/>
      <c r="AA6819" s="1"/>
      <c r="AB6819" s="1"/>
    </row>
    <row r="6820" ht="50.25" customHeight="1">
      <c r="A6820" s="12">
        <v>6816.0</v>
      </c>
      <c r="B6820" s="13" t="s">
        <v>6141</v>
      </c>
      <c r="C6820" s="14" t="s">
        <v>6843</v>
      </c>
      <c r="D6820" s="1"/>
      <c r="E6820" s="1"/>
      <c r="F6820" s="1" t="str">
        <f>IFERROR(__xludf.DUMMYFUNCTION("GOOGLETRANSLATE(B6820, ""en"", ""fa"")
"),"موفقیت آمازون")</f>
        <v>موفقیت آمازون</v>
      </c>
      <c r="G6820" s="1" t="str">
        <f>IFERROR(__xludf.DUMMYFUNCTION("GOOGLETRANSLATE(C6820, ""en"", ""fa"")
"),"اهمیت حفظ اطلاعات دقیق و به روز محصول و سطوح موجودی کالا را برای جلوگیری از لغو سفارش و تجربیات منفی مشتری توضیح دهید.")</f>
        <v>اهمیت حفظ اطلاعات دقیق و به روز محصول و سطوح موجودی کالا را برای جلوگیری از لغو سفارش و تجربیات منفی مشتری توضیح دهید.</v>
      </c>
      <c r="H6820" s="1"/>
      <c r="I6820" s="1"/>
      <c r="J6820" s="1"/>
      <c r="K6820" s="1"/>
      <c r="L6820" s="1"/>
      <c r="M6820" s="1"/>
      <c r="N6820" s="1"/>
      <c r="O6820" s="1"/>
      <c r="P6820" s="1"/>
      <c r="Q6820" s="1"/>
      <c r="R6820" s="1"/>
      <c r="S6820" s="1"/>
      <c r="T6820" s="1"/>
      <c r="U6820" s="1"/>
      <c r="V6820" s="1"/>
      <c r="W6820" s="1"/>
      <c r="X6820" s="1"/>
      <c r="Y6820" s="1"/>
      <c r="Z6820" s="1"/>
      <c r="AA6820" s="1"/>
      <c r="AB6820" s="1"/>
    </row>
    <row r="6821" ht="50.25" customHeight="1">
      <c r="A6821" s="12">
        <v>6817.0</v>
      </c>
      <c r="B6821" s="13" t="s">
        <v>6141</v>
      </c>
      <c r="C6821" s="14" t="s">
        <v>6844</v>
      </c>
      <c r="D6821" s="1"/>
      <c r="E6821" s="1"/>
      <c r="F6821" s="1" t="str">
        <f>IFERROR(__xludf.DUMMYFUNCTION("GOOGLETRANSLATE(B6821, ""en"", ""fa"")
"),"موفقیت آمازون")</f>
        <v>موفقیت آمازون</v>
      </c>
      <c r="G6821" s="1" t="str">
        <f>IFERROR(__xludf.DUMMYFUNCTION("GOOGLETRANSLATE(C6821, ""en"", ""fa"")
"),"چگونه فروشندگان می‌توانند از گزارش‌های سلامت موجودی FBA و توصیه‌های موجودی مجدد برای اطمینان از در دسترس بودن موجودی کافی و جلوگیری از از دست رفتن فرصت‌های فروش استفاده کنند؟")</f>
        <v>چگونه فروشندگان می‌توانند از گزارش‌های سلامت موجودی FBA و توصیه‌های موجودی مجدد برای اطمینان از در دسترس بودن موجودی کافی و جلوگیری از از دست رفتن فرصت‌های فروش استفاده کنند؟</v>
      </c>
      <c r="H6821" s="1"/>
      <c r="I6821" s="1"/>
      <c r="J6821" s="1"/>
      <c r="K6821" s="1"/>
      <c r="L6821" s="1"/>
      <c r="M6821" s="1"/>
      <c r="N6821" s="1"/>
      <c r="O6821" s="1"/>
      <c r="P6821" s="1"/>
      <c r="Q6821" s="1"/>
      <c r="R6821" s="1"/>
      <c r="S6821" s="1"/>
      <c r="T6821" s="1"/>
      <c r="U6821" s="1"/>
      <c r="V6821" s="1"/>
      <c r="W6821" s="1"/>
      <c r="X6821" s="1"/>
      <c r="Y6821" s="1"/>
      <c r="Z6821" s="1"/>
      <c r="AA6821" s="1"/>
      <c r="AB6821" s="1"/>
    </row>
    <row r="6822" ht="50.25" customHeight="1">
      <c r="A6822" s="12">
        <v>6818.0</v>
      </c>
      <c r="B6822" s="13" t="s">
        <v>6141</v>
      </c>
      <c r="C6822" s="14" t="s">
        <v>6845</v>
      </c>
      <c r="D6822" s="1"/>
      <c r="E6822" s="1"/>
      <c r="F6822" s="1" t="str">
        <f>IFERROR(__xludf.DUMMYFUNCTION("GOOGLETRANSLATE(B6822, ""en"", ""fa"")
"),"موفقیت آمازون")</f>
        <v>موفقیت آمازون</v>
      </c>
      <c r="G6822" s="1" t="str">
        <f>IFERROR(__xludf.DUMMYFUNCTION("GOOGLETRANSLATE(C6822, ""en"", ""fa"")
"),"در مورد مزایای استفاده از سرویس سفارش حذف FBA برای از بین بردن موجودی آسیب دیده یا غیرقابل فروش و حفظ موجودی تمیز و سازمان یافته بحث کنید.")</f>
        <v>در مورد مزایای استفاده از سرویس سفارش حذف FBA برای از بین بردن موجودی آسیب دیده یا غیرقابل فروش و حفظ موجودی تمیز و سازمان یافته بحث کنید.</v>
      </c>
      <c r="H6822" s="1"/>
      <c r="I6822" s="1"/>
      <c r="J6822" s="1"/>
      <c r="K6822" s="1"/>
      <c r="L6822" s="1"/>
      <c r="M6822" s="1"/>
      <c r="N6822" s="1"/>
      <c r="O6822" s="1"/>
      <c r="P6822" s="1"/>
      <c r="Q6822" s="1"/>
      <c r="R6822" s="1"/>
      <c r="S6822" s="1"/>
      <c r="T6822" s="1"/>
      <c r="U6822" s="1"/>
      <c r="V6822" s="1"/>
      <c r="W6822" s="1"/>
      <c r="X6822" s="1"/>
      <c r="Y6822" s="1"/>
      <c r="Z6822" s="1"/>
      <c r="AA6822" s="1"/>
      <c r="AB6822" s="1"/>
    </row>
    <row r="6823" ht="50.25" customHeight="1">
      <c r="A6823" s="12">
        <v>6819.0</v>
      </c>
      <c r="B6823" s="13" t="s">
        <v>6141</v>
      </c>
      <c r="C6823" s="14" t="s">
        <v>6846</v>
      </c>
      <c r="D6823" s="1"/>
      <c r="E6823" s="1"/>
      <c r="F6823" s="1" t="str">
        <f>IFERROR(__xludf.DUMMYFUNCTION("GOOGLETRANSLATE(B6823, ""en"", ""fa"")
"),"موفقیت آمازون")</f>
        <v>موفقیت آمازون</v>
      </c>
      <c r="G6823" s="1" t="str">
        <f>IFERROR(__xludf.DUMMYFUNCTION("GOOGLETRANSLATE(C6823, ""en"", ""fa"")
"),"ملاحظات کلیدی هنگام استفاده از برنامه اشتراک و ذخیره FBA برای تشویق وفاداری مشتری و خرید اشتراک مکرر چیست؟")</f>
        <v>ملاحظات کلیدی هنگام استفاده از برنامه اشتراک و ذخیره FBA برای تشویق وفاداری مشتری و خرید اشتراک مکرر چیست؟</v>
      </c>
      <c r="H6823" s="1"/>
      <c r="I6823" s="1"/>
      <c r="J6823" s="1"/>
      <c r="K6823" s="1"/>
      <c r="L6823" s="1"/>
      <c r="M6823" s="1"/>
      <c r="N6823" s="1"/>
      <c r="O6823" s="1"/>
      <c r="P6823" s="1"/>
      <c r="Q6823" s="1"/>
      <c r="R6823" s="1"/>
      <c r="S6823" s="1"/>
      <c r="T6823" s="1"/>
      <c r="U6823" s="1"/>
      <c r="V6823" s="1"/>
      <c r="W6823" s="1"/>
      <c r="X6823" s="1"/>
      <c r="Y6823" s="1"/>
      <c r="Z6823" s="1"/>
      <c r="AA6823" s="1"/>
      <c r="AB6823" s="1"/>
    </row>
    <row r="6824" ht="50.25" customHeight="1">
      <c r="A6824" s="12">
        <v>6820.0</v>
      </c>
      <c r="B6824" s="13" t="s">
        <v>6141</v>
      </c>
      <c r="C6824" s="14" t="s">
        <v>6847</v>
      </c>
      <c r="D6824" s="1"/>
      <c r="E6824" s="1"/>
      <c r="F6824" s="1" t="str">
        <f>IFERROR(__xludf.DUMMYFUNCTION("GOOGLETRANSLATE(B6824, ""en"", ""fa"")
"),"موفقیت آمازون")</f>
        <v>موفقیت آمازون</v>
      </c>
      <c r="G6824" s="1" t="str">
        <f>IFERROR(__xludf.DUMMYFUNCTION("GOOGLETRANSLATE(C6824, ""en"", ""fa"")
"),"درباره نحوه استفاده مؤثر از گزینه‌های قرار دادن موجودی تکمیل چند کاناله (MCF) FBA برای به حداقل رساندن هزینه‌های حمل و نقل و بهبود زمان تحویل، اطلاعاتی را به اشتراک بگذارید.")</f>
        <v>درباره نحوه استفاده مؤثر از گزینه‌های قرار دادن موجودی تکمیل چند کاناله (MCF) FBA برای به حداقل رساندن هزینه‌های حمل و نقل و بهبود زمان تحویل، اطلاعاتی را به اشتراک بگذارید.</v>
      </c>
      <c r="H6824" s="1"/>
      <c r="I6824" s="1"/>
      <c r="J6824" s="1"/>
      <c r="K6824" s="1"/>
      <c r="L6824" s="1"/>
      <c r="M6824" s="1"/>
      <c r="N6824" s="1"/>
      <c r="O6824" s="1"/>
      <c r="P6824" s="1"/>
      <c r="Q6824" s="1"/>
      <c r="R6824" s="1"/>
      <c r="S6824" s="1"/>
      <c r="T6824" s="1"/>
      <c r="U6824" s="1"/>
      <c r="V6824" s="1"/>
      <c r="W6824" s="1"/>
      <c r="X6824" s="1"/>
      <c r="Y6824" s="1"/>
      <c r="Z6824" s="1"/>
      <c r="AA6824" s="1"/>
      <c r="AB6824" s="1"/>
    </row>
    <row r="6825" ht="50.25" customHeight="1">
      <c r="A6825" s="12">
        <v>6821.0</v>
      </c>
      <c r="B6825" s="13" t="s">
        <v>6141</v>
      </c>
      <c r="C6825" s="14" t="s">
        <v>6848</v>
      </c>
      <c r="D6825" s="1"/>
      <c r="E6825" s="1"/>
      <c r="F6825" s="1" t="str">
        <f>IFERROR(__xludf.DUMMYFUNCTION("GOOGLETRANSLATE(B6825, ""en"", ""fa"")
"),"موفقیت آمازون")</f>
        <v>موفقیت آمازون</v>
      </c>
      <c r="G6825" s="1" t="str">
        <f>IFERROR(__xludf.DUMMYFUNCTION("GOOGLETRANSLATE(C6825, ""en"", ""fa"")
"),"اهمیت استفاده از برنامه صادراتی FBA's Fulfilled by Amazon (FBA) برای دستیابی به مشتریان بین المللی و گسترش به بازارهای جهانی را توضیح دهید.")</f>
        <v>اهمیت استفاده از برنامه صادراتی FBA's Fulfilled by Amazon (FBA) برای دستیابی به مشتریان بین المللی و گسترش به بازارهای جهانی را توضیح دهید.</v>
      </c>
      <c r="H6825" s="1"/>
      <c r="I6825" s="1"/>
      <c r="J6825" s="1"/>
      <c r="K6825" s="1"/>
      <c r="L6825" s="1"/>
      <c r="M6825" s="1"/>
      <c r="N6825" s="1"/>
      <c r="O6825" s="1"/>
      <c r="P6825" s="1"/>
      <c r="Q6825" s="1"/>
      <c r="R6825" s="1"/>
      <c r="S6825" s="1"/>
      <c r="T6825" s="1"/>
      <c r="U6825" s="1"/>
      <c r="V6825" s="1"/>
      <c r="W6825" s="1"/>
      <c r="X6825" s="1"/>
      <c r="Y6825" s="1"/>
      <c r="Z6825" s="1"/>
      <c r="AA6825" s="1"/>
      <c r="AB6825" s="1"/>
    </row>
    <row r="6826" ht="50.25" customHeight="1">
      <c r="A6826" s="12">
        <v>6822.0</v>
      </c>
      <c r="B6826" s="13" t="s">
        <v>6141</v>
      </c>
      <c r="C6826" s="14" t="s">
        <v>6849</v>
      </c>
      <c r="D6826" s="1"/>
      <c r="E6826" s="1"/>
      <c r="F6826" s="1" t="str">
        <f>IFERROR(__xludf.DUMMYFUNCTION("GOOGLETRANSLATE(B6826, ""en"", ""fa"")
"),"موفقیت آمازون")</f>
        <v>موفقیت آمازون</v>
      </c>
      <c r="G6826" s="1" t="str">
        <f>IFERROR(__xludf.DUMMYFUNCTION("GOOGLETRANSLATE(C6826, ""en"", ""fa"")
"),"چگونه فروشندگان می توانند از ابزارهای قیمت گذاری خودکار FBA و استراتژی های قیمت گذاری مجدد برای برنده شدن جعبه خرید و به حداکثر رساندن فرصت های فروش استفاده کنند؟")</f>
        <v>چگونه فروشندگان می توانند از ابزارهای قیمت گذاری خودکار FBA و استراتژی های قیمت گذاری مجدد برای برنده شدن جعبه خرید و به حداکثر رساندن فرصت های فروش استفاده کنند؟</v>
      </c>
      <c r="H6826" s="1"/>
      <c r="I6826" s="1"/>
      <c r="J6826" s="1"/>
      <c r="K6826" s="1"/>
      <c r="L6826" s="1"/>
      <c r="M6826" s="1"/>
      <c r="N6826" s="1"/>
      <c r="O6826" s="1"/>
      <c r="P6826" s="1"/>
      <c r="Q6826" s="1"/>
      <c r="R6826" s="1"/>
      <c r="S6826" s="1"/>
      <c r="T6826" s="1"/>
      <c r="U6826" s="1"/>
      <c r="V6826" s="1"/>
      <c r="W6826" s="1"/>
      <c r="X6826" s="1"/>
      <c r="Y6826" s="1"/>
      <c r="Z6826" s="1"/>
      <c r="AA6826" s="1"/>
      <c r="AB6826" s="1"/>
    </row>
    <row r="6827" ht="50.25" customHeight="1">
      <c r="A6827" s="12">
        <v>6823.0</v>
      </c>
      <c r="B6827" s="13" t="s">
        <v>6141</v>
      </c>
      <c r="C6827" s="14" t="s">
        <v>6850</v>
      </c>
      <c r="D6827" s="1"/>
      <c r="E6827" s="1"/>
      <c r="F6827" s="1" t="str">
        <f>IFERROR(__xludf.DUMMYFUNCTION("GOOGLETRANSLATE(B6827, ""en"", ""fa"")
"),"موفقیت آمازون")</f>
        <v>موفقیت آمازون</v>
      </c>
      <c r="G6827" s="1" t="str">
        <f>IFERROR(__xludf.DUMMYFUNCTION("GOOGLETRANSLATE(C6827, ""en"", ""fa"")
"),"درباره نقش نظرات مشتریان FBA و رتبه بندی فروشنده در ایجاد شهرت و اعتماد در میان اعضای Prime و مشتریان بالقوه بحث کنید.")</f>
        <v>درباره نقش نظرات مشتریان FBA و رتبه بندی فروشنده در ایجاد شهرت و اعتماد در میان اعضای Prime و مشتریان بالقوه بحث کنید.</v>
      </c>
      <c r="H6827" s="1"/>
      <c r="I6827" s="1"/>
      <c r="J6827" s="1"/>
      <c r="K6827" s="1"/>
      <c r="L6827" s="1"/>
      <c r="M6827" s="1"/>
      <c r="N6827" s="1"/>
      <c r="O6827" s="1"/>
      <c r="P6827" s="1"/>
      <c r="Q6827" s="1"/>
      <c r="R6827" s="1"/>
      <c r="S6827" s="1"/>
      <c r="T6827" s="1"/>
      <c r="U6827" s="1"/>
      <c r="V6827" s="1"/>
      <c r="W6827" s="1"/>
      <c r="X6827" s="1"/>
      <c r="Y6827" s="1"/>
      <c r="Z6827" s="1"/>
      <c r="AA6827" s="1"/>
      <c r="AB6827" s="1"/>
    </row>
    <row r="6828" ht="50.25" customHeight="1">
      <c r="A6828" s="12">
        <v>6824.0</v>
      </c>
      <c r="B6828" s="13" t="s">
        <v>6141</v>
      </c>
      <c r="C6828" s="14" t="s">
        <v>6851</v>
      </c>
      <c r="D6828" s="1"/>
      <c r="E6828" s="1"/>
      <c r="F6828" s="1" t="str">
        <f>IFERROR(__xludf.DUMMYFUNCTION("GOOGLETRANSLATE(B6828, ""en"", ""fa"")
"),"موفقیت آمازون")</f>
        <v>موفقیت آمازون</v>
      </c>
      <c r="G6828" s="1" t="str">
        <f>IFERROR(__xludf.DUMMYFUNCTION("GOOGLETRANSLATE(C6828, ""en"", ""fa"")
"),"بهترین روش ها برای استفاده از سرویس سفارش حذف FBA برای انحلال موجودی آهسته و بهینه سازی فضای ذخیره سازی چیست؟")</f>
        <v>بهترین روش ها برای استفاده از سرویس سفارش حذف FBA برای انحلال موجودی آهسته و بهینه سازی فضای ذخیره سازی چیست؟</v>
      </c>
      <c r="H6828" s="1"/>
      <c r="I6828" s="1"/>
      <c r="J6828" s="1"/>
      <c r="K6828" s="1"/>
      <c r="L6828" s="1"/>
      <c r="M6828" s="1"/>
      <c r="N6828" s="1"/>
      <c r="O6828" s="1"/>
      <c r="P6828" s="1"/>
      <c r="Q6828" s="1"/>
      <c r="R6828" s="1"/>
      <c r="S6828" s="1"/>
      <c r="T6828" s="1"/>
      <c r="U6828" s="1"/>
      <c r="V6828" s="1"/>
      <c r="W6828" s="1"/>
      <c r="X6828" s="1"/>
      <c r="Y6828" s="1"/>
      <c r="Z6828" s="1"/>
      <c r="AA6828" s="1"/>
      <c r="AB6828" s="1"/>
    </row>
    <row r="6829" ht="50.25" customHeight="1">
      <c r="A6829" s="12">
        <v>6825.0</v>
      </c>
      <c r="B6829" s="13" t="s">
        <v>6141</v>
      </c>
      <c r="C6829" s="14" t="s">
        <v>6852</v>
      </c>
      <c r="D6829" s="1"/>
      <c r="E6829" s="1"/>
      <c r="F6829" s="1" t="str">
        <f>IFERROR(__xludf.DUMMYFUNCTION("GOOGLETRANSLATE(B6829, ""en"", ""fa"")
"),"موفقیت آمازون")</f>
        <v>موفقیت آمازون</v>
      </c>
      <c r="G6829" s="1" t="str">
        <f>IFERROR(__xludf.DUMMYFUNCTION("GOOGLETRANSLATE(C6829, ""en"", ""fa"")
"),"با توجه به پذیرش رو به رشد دستگاه‌های فعال‌کننده صوتی در میان اعضای Prime، نکاتی را برای بهینه‌سازی فهرست‌های محصولات و محتوا برای جست‌وجوی صوتی به اشتراک بگذارید.")</f>
        <v>با توجه به پذیرش رو به رشد دستگاه‌های فعال‌کننده صوتی در میان اعضای Prime، نکاتی را برای بهینه‌سازی فهرست‌های محصولات و محتوا برای جست‌وجوی صوتی به اشتراک بگذارید.</v>
      </c>
      <c r="H6829" s="1"/>
      <c r="I6829" s="1"/>
      <c r="J6829" s="1"/>
      <c r="K6829" s="1"/>
      <c r="L6829" s="1"/>
      <c r="M6829" s="1"/>
      <c r="N6829" s="1"/>
      <c r="O6829" s="1"/>
      <c r="P6829" s="1"/>
      <c r="Q6829" s="1"/>
      <c r="R6829" s="1"/>
      <c r="S6829" s="1"/>
      <c r="T6829" s="1"/>
      <c r="U6829" s="1"/>
      <c r="V6829" s="1"/>
      <c r="W6829" s="1"/>
      <c r="X6829" s="1"/>
      <c r="Y6829" s="1"/>
      <c r="Z6829" s="1"/>
      <c r="AA6829" s="1"/>
      <c r="AB6829" s="1"/>
    </row>
    <row r="6830" ht="50.25" customHeight="1">
      <c r="A6830" s="12">
        <v>6826.0</v>
      </c>
      <c r="B6830" s="13" t="s">
        <v>6141</v>
      </c>
      <c r="C6830" s="14" t="s">
        <v>6853</v>
      </c>
      <c r="D6830" s="1"/>
      <c r="E6830" s="1"/>
      <c r="F6830" s="1" t="str">
        <f>IFERROR(__xludf.DUMMYFUNCTION("GOOGLETRANSLATE(B6830, ""en"", ""fa"")
"),"موفقیت آمازون")</f>
        <v>موفقیت آمازون</v>
      </c>
      <c r="G6830" s="1" t="str">
        <f>IFERROR(__xludf.DUMMYFUNCTION("GOOGLETRANSLATE(C6830, ""en"", ""fa"")
"),"اهمیت به روز رسانی دقیق و به موقع موجودی را برای جلوگیری از فروش بیش از حد یا کم فروشی محصولات از طریق FBA توضیح دهید.")</f>
        <v>اهمیت به روز رسانی دقیق و به موقع موجودی را برای جلوگیری از فروش بیش از حد یا کم فروشی محصولات از طریق FBA توضیح دهید.</v>
      </c>
      <c r="H6830" s="1"/>
      <c r="I6830" s="1"/>
      <c r="J6830" s="1"/>
      <c r="K6830" s="1"/>
      <c r="L6830" s="1"/>
      <c r="M6830" s="1"/>
      <c r="N6830" s="1"/>
      <c r="O6830" s="1"/>
      <c r="P6830" s="1"/>
      <c r="Q6830" s="1"/>
      <c r="R6830" s="1"/>
      <c r="S6830" s="1"/>
      <c r="T6830" s="1"/>
      <c r="U6830" s="1"/>
      <c r="V6830" s="1"/>
      <c r="W6830" s="1"/>
      <c r="X6830" s="1"/>
      <c r="Y6830" s="1"/>
      <c r="Z6830" s="1"/>
      <c r="AA6830" s="1"/>
      <c r="AB6830" s="1"/>
    </row>
    <row r="6831" ht="50.25" customHeight="1">
      <c r="A6831" s="12">
        <v>6827.0</v>
      </c>
      <c r="B6831" s="13" t="s">
        <v>6141</v>
      </c>
      <c r="C6831" s="14" t="s">
        <v>6854</v>
      </c>
      <c r="D6831" s="1"/>
      <c r="E6831" s="1"/>
      <c r="F6831" s="1" t="str">
        <f>IFERROR(__xludf.DUMMYFUNCTION("GOOGLETRANSLATE(B6831, ""en"", ""fa"")
"),"موفقیت آمازون")</f>
        <v>موفقیت آمازون</v>
      </c>
      <c r="G6831" s="1" t="str">
        <f>IFERROR(__xludf.DUMMYFUNCTION("GOOGLETRANSLATE(C6831, ""en"", ""fa"")
"),"چگونه فروشندگان می توانند از ویژگی پیام رسانی خودکار مشتری FBA برای برقراری ارتباط فعالانه با مشتریان، رفع نگرانی ها و بهبود رضایت استفاده کنند؟")</f>
        <v>چگونه فروشندگان می توانند از ویژگی پیام رسانی خودکار مشتری FBA برای برقراری ارتباط فعالانه با مشتریان، رفع نگرانی ها و بهبود رضایت استفاده کنند؟</v>
      </c>
      <c r="H6831" s="1"/>
      <c r="I6831" s="1"/>
      <c r="J6831" s="1"/>
      <c r="K6831" s="1"/>
      <c r="L6831" s="1"/>
      <c r="M6831" s="1"/>
      <c r="N6831" s="1"/>
      <c r="O6831" s="1"/>
      <c r="P6831" s="1"/>
      <c r="Q6831" s="1"/>
      <c r="R6831" s="1"/>
      <c r="S6831" s="1"/>
      <c r="T6831" s="1"/>
      <c r="U6831" s="1"/>
      <c r="V6831" s="1"/>
      <c r="W6831" s="1"/>
      <c r="X6831" s="1"/>
      <c r="Y6831" s="1"/>
      <c r="Z6831" s="1"/>
      <c r="AA6831" s="1"/>
      <c r="AB6831" s="1"/>
    </row>
    <row r="6832" ht="50.25" customHeight="1">
      <c r="A6832" s="12">
        <v>6828.0</v>
      </c>
      <c r="B6832" s="13" t="s">
        <v>6141</v>
      </c>
      <c r="C6832" s="14" t="s">
        <v>6855</v>
      </c>
      <c r="D6832" s="1"/>
      <c r="E6832" s="1"/>
      <c r="F6832" s="1" t="str">
        <f>IFERROR(__xludf.DUMMYFUNCTION("GOOGLETRANSLATE(B6832, ""en"", ""fa"")
"),"موفقیت آمازون")</f>
        <v>موفقیت آمازون</v>
      </c>
      <c r="G6832" s="1" t="str">
        <f>IFERROR(__xludf.DUMMYFUNCTION("GOOGLETRANSLATE(C6832, ""en"", ""fa"")
"),"در مورد مزایای استفاده از گزینه های بسته بندی محصول FBA برای ارائه بسته های منحصر به فرد و جذاب که ارزش مشتری را افزایش می دهد و از رقبا متمایز می کند، بحث کنید.")</f>
        <v>در مورد مزایای استفاده از گزینه های بسته بندی محصول FBA برای ارائه بسته های منحصر به فرد و جذاب که ارزش مشتری را افزایش می دهد و از رقبا متمایز می کند، بحث کنید.</v>
      </c>
      <c r="H6832" s="1"/>
      <c r="I6832" s="1"/>
      <c r="J6832" s="1"/>
      <c r="K6832" s="1"/>
      <c r="L6832" s="1"/>
      <c r="M6832" s="1"/>
      <c r="N6832" s="1"/>
      <c r="O6832" s="1"/>
      <c r="P6832" s="1"/>
      <c r="Q6832" s="1"/>
      <c r="R6832" s="1"/>
      <c r="S6832" s="1"/>
      <c r="T6832" s="1"/>
      <c r="U6832" s="1"/>
      <c r="V6832" s="1"/>
      <c r="W6832" s="1"/>
      <c r="X6832" s="1"/>
      <c r="Y6832" s="1"/>
      <c r="Z6832" s="1"/>
      <c r="AA6832" s="1"/>
      <c r="AB6832" s="1"/>
    </row>
    <row r="6833" ht="50.25" customHeight="1">
      <c r="A6833" s="12">
        <v>6829.0</v>
      </c>
      <c r="B6833" s="13" t="s">
        <v>6141</v>
      </c>
      <c r="C6833" s="14" t="s">
        <v>6856</v>
      </c>
      <c r="D6833" s="1"/>
      <c r="E6833" s="1"/>
      <c r="F6833" s="1" t="str">
        <f>IFERROR(__xludf.DUMMYFUNCTION("GOOGLETRANSLATE(B6833, ""en"", ""fa"")
"),"موفقیت آمازون")</f>
        <v>موفقیت آمازون</v>
      </c>
      <c r="G6833" s="1" t="str">
        <f>IFERROR(__xludf.DUMMYFUNCTION("GOOGLETRANSLATE(C6833, ""en"", ""fa"")
"),"ملاحظات کلیدی هنگام استفاده از انتقال موجودی تکمیل چند کاناله (MCF) FBA برای بهینه سازی تخصیص موجودی و پاسخگویی موثر به تقاضای مشتری چیست؟")</f>
        <v>ملاحظات کلیدی هنگام استفاده از انتقال موجودی تکمیل چند کاناله (MCF) FBA برای بهینه سازی تخصیص موجودی و پاسخگویی موثر به تقاضای مشتری چیست؟</v>
      </c>
      <c r="H6833" s="1"/>
      <c r="I6833" s="1"/>
      <c r="J6833" s="1"/>
      <c r="K6833" s="1"/>
      <c r="L6833" s="1"/>
      <c r="M6833" s="1"/>
      <c r="N6833" s="1"/>
      <c r="O6833" s="1"/>
      <c r="P6833" s="1"/>
      <c r="Q6833" s="1"/>
      <c r="R6833" s="1"/>
      <c r="S6833" s="1"/>
      <c r="T6833" s="1"/>
      <c r="U6833" s="1"/>
      <c r="V6833" s="1"/>
      <c r="W6833" s="1"/>
      <c r="X6833" s="1"/>
      <c r="Y6833" s="1"/>
      <c r="Z6833" s="1"/>
      <c r="AA6833" s="1"/>
      <c r="AB6833" s="1"/>
    </row>
    <row r="6834" ht="50.25" customHeight="1">
      <c r="A6834" s="12">
        <v>6830.0</v>
      </c>
      <c r="B6834" s="13" t="s">
        <v>6141</v>
      </c>
      <c r="C6834" s="14" t="s">
        <v>6857</v>
      </c>
      <c r="D6834" s="1"/>
      <c r="E6834" s="1"/>
      <c r="F6834" s="1" t="str">
        <f>IFERROR(__xludf.DUMMYFUNCTION("GOOGLETRANSLATE(B6834, ""en"", ""fa"")
"),"موفقیت آمازون")</f>
        <v>موفقیت آمازون</v>
      </c>
      <c r="G6834" s="1" t="str">
        <f>IFERROR(__xludf.DUMMYFUNCTION("GOOGLETRANSLATE(C6834, ""en"", ""fa"")
"),"بینش هایی در مورد نحوه مدیریت موثر دستورات حذف FBA و تطبیق موجودی برای حفظ سوابق دقیق و به حداقل رساندن خطاها به اشتراک بگذارید.")</f>
        <v>بینش هایی در مورد نحوه مدیریت موثر دستورات حذف FBA و تطبیق موجودی برای حفظ سوابق دقیق و به حداقل رساندن خطاها به اشتراک بگذارید.</v>
      </c>
      <c r="H6834" s="1"/>
      <c r="I6834" s="1"/>
      <c r="J6834" s="1"/>
      <c r="K6834" s="1"/>
      <c r="L6834" s="1"/>
      <c r="M6834" s="1"/>
      <c r="N6834" s="1"/>
      <c r="O6834" s="1"/>
      <c r="P6834" s="1"/>
      <c r="Q6834" s="1"/>
      <c r="R6834" s="1"/>
      <c r="S6834" s="1"/>
      <c r="T6834" s="1"/>
      <c r="U6834" s="1"/>
      <c r="V6834" s="1"/>
      <c r="W6834" s="1"/>
      <c r="X6834" s="1"/>
      <c r="Y6834" s="1"/>
      <c r="Z6834" s="1"/>
      <c r="AA6834" s="1"/>
      <c r="AB6834" s="1"/>
    </row>
    <row r="6835" ht="50.25" customHeight="1">
      <c r="A6835" s="12">
        <v>6831.0</v>
      </c>
      <c r="B6835" s="13" t="s">
        <v>6141</v>
      </c>
      <c r="C6835" s="14" t="s">
        <v>6858</v>
      </c>
      <c r="D6835" s="1"/>
      <c r="E6835" s="1"/>
      <c r="F6835" s="1" t="str">
        <f>IFERROR(__xludf.DUMMYFUNCTION("GOOGLETRANSLATE(B6835, ""en"", ""fa"")
"),"موفقیت آمازون")</f>
        <v>موفقیت آمازون</v>
      </c>
      <c r="G6835" s="1" t="str">
        <f>IFERROR(__xludf.DUMMYFUNCTION("GOOGLETRANSLATE(C6835, ""en"", ""fa"")
"),"اهمیت استفاده از گزارش‌های موجودی رشته‌ای FBA را برای شناسایی و حل سریع مشکلات فهرست موجودی توضیح دهید.")</f>
        <v>اهمیت استفاده از گزارش‌های موجودی رشته‌ای FBA را برای شناسایی و حل سریع مشکلات فهرست موجودی توضیح دهید.</v>
      </c>
      <c r="H6835" s="1"/>
      <c r="I6835" s="1"/>
      <c r="J6835" s="1"/>
      <c r="K6835" s="1"/>
      <c r="L6835" s="1"/>
      <c r="M6835" s="1"/>
      <c r="N6835" s="1"/>
      <c r="O6835" s="1"/>
      <c r="P6835" s="1"/>
      <c r="Q6835" s="1"/>
      <c r="R6835" s="1"/>
      <c r="S6835" s="1"/>
      <c r="T6835" s="1"/>
      <c r="U6835" s="1"/>
      <c r="V6835" s="1"/>
      <c r="W6835" s="1"/>
      <c r="X6835" s="1"/>
      <c r="Y6835" s="1"/>
      <c r="Z6835" s="1"/>
      <c r="AA6835" s="1"/>
      <c r="AB6835" s="1"/>
    </row>
    <row r="6836" ht="50.25" customHeight="1">
      <c r="A6836" s="12">
        <v>6832.0</v>
      </c>
      <c r="B6836" s="13" t="s">
        <v>6141</v>
      </c>
      <c r="C6836" s="14" t="s">
        <v>6859</v>
      </c>
      <c r="D6836" s="1"/>
      <c r="E6836" s="1"/>
      <c r="F6836" s="1" t="str">
        <f>IFERROR(__xludf.DUMMYFUNCTION("GOOGLETRANSLATE(B6836, ""en"", ""fa"")
"),"موفقیت آمازون")</f>
        <v>موفقیت آمازون</v>
      </c>
      <c r="G6836" s="1" t="str">
        <f>IFERROR(__xludf.DUMMYFUNCTION("GOOGLETRANSLATE(C6836, ""en"", ""fa"")
"),"چگونه فروشندگان می توانند از بازخورد و رتبه بندی مشتریان FBA برای بهبود مستمر کیفیت محصول، خدمات مشتری و عملکرد کلی استفاده کنند؟")</f>
        <v>چگونه فروشندگان می توانند از بازخورد و رتبه بندی مشتریان FBA برای بهبود مستمر کیفیت محصول، خدمات مشتری و عملکرد کلی استفاده کنند؟</v>
      </c>
      <c r="H6836" s="1"/>
      <c r="I6836" s="1"/>
      <c r="J6836" s="1"/>
      <c r="K6836" s="1"/>
      <c r="L6836" s="1"/>
      <c r="M6836" s="1"/>
      <c r="N6836" s="1"/>
      <c r="O6836" s="1"/>
      <c r="P6836" s="1"/>
      <c r="Q6836" s="1"/>
      <c r="R6836" s="1"/>
      <c r="S6836" s="1"/>
      <c r="T6836" s="1"/>
      <c r="U6836" s="1"/>
      <c r="V6836" s="1"/>
      <c r="W6836" s="1"/>
      <c r="X6836" s="1"/>
      <c r="Y6836" s="1"/>
      <c r="Z6836" s="1"/>
      <c r="AA6836" s="1"/>
      <c r="AB6836" s="1"/>
    </row>
    <row r="6837" ht="50.25" customHeight="1">
      <c r="A6837" s="12">
        <v>6833.0</v>
      </c>
      <c r="B6837" s="13" t="s">
        <v>6141</v>
      </c>
      <c r="C6837" s="14" t="s">
        <v>6860</v>
      </c>
      <c r="D6837" s="1"/>
      <c r="E6837" s="1"/>
      <c r="F6837" s="1" t="str">
        <f>IFERROR(__xludf.DUMMYFUNCTION("GOOGLETRANSLATE(B6837, ""en"", ""fa"")
"),"موفقیت آمازون")</f>
        <v>موفقیت آمازون</v>
      </c>
      <c r="G6837" s="1" t="str">
        <f>IFERROR(__xludf.DUMMYFUNCTION("GOOGLETRANSLATE(C6837, ""en"", ""fa"")
"),"در مورد نقش هزینه های ذخیره سازی FBA و گزارش های سلامت موجودی در ارزیابی سودآوری محصولات و تصمیم گیری آگاهانه مدیریت موجودی بحث کنید.")</f>
        <v>در مورد نقش هزینه های ذخیره سازی FBA و گزارش های سلامت موجودی در ارزیابی سودآوری محصولات و تصمیم گیری آگاهانه مدیریت موجودی بحث کنید.</v>
      </c>
      <c r="H6837" s="1"/>
      <c r="I6837" s="1"/>
      <c r="J6837" s="1"/>
      <c r="K6837" s="1"/>
      <c r="L6837" s="1"/>
      <c r="M6837" s="1"/>
      <c r="N6837" s="1"/>
      <c r="O6837" s="1"/>
      <c r="P6837" s="1"/>
      <c r="Q6837" s="1"/>
      <c r="R6837" s="1"/>
      <c r="S6837" s="1"/>
      <c r="T6837" s="1"/>
      <c r="U6837" s="1"/>
      <c r="V6837" s="1"/>
      <c r="W6837" s="1"/>
      <c r="X6837" s="1"/>
      <c r="Y6837" s="1"/>
      <c r="Z6837" s="1"/>
      <c r="AA6837" s="1"/>
      <c r="AB6837" s="1"/>
    </row>
    <row r="6838" ht="50.25" customHeight="1">
      <c r="A6838" s="12">
        <v>6834.0</v>
      </c>
      <c r="B6838" s="13" t="s">
        <v>6141</v>
      </c>
      <c r="C6838" s="14" t="s">
        <v>6861</v>
      </c>
      <c r="D6838" s="1"/>
      <c r="E6838" s="1"/>
      <c r="F6838" s="1" t="str">
        <f>IFERROR(__xludf.DUMMYFUNCTION("GOOGLETRANSLATE(B6838, ""en"", ""fa"")
"),"موفقیت آمازون")</f>
        <v>موفقیت آمازون</v>
      </c>
      <c r="G6838" s="1" t="str">
        <f>IFERROR(__xludf.DUMMYFUNCTION("GOOGLETRANSLATE(C6838, ""en"", ""fa"")
"),"بهترین شیوه ها برای استفاده از خدمات صادراتی FBA برای رسیدگی موثر به حمل و نقل بین المللی، الزامات گمرکی و مالیات های وارداتی چیست؟")</f>
        <v>بهترین شیوه ها برای استفاده از خدمات صادراتی FBA برای رسیدگی موثر به حمل و نقل بین المللی، الزامات گمرکی و مالیات های وارداتی چیست؟</v>
      </c>
      <c r="H6838" s="1"/>
      <c r="I6838" s="1"/>
      <c r="J6838" s="1"/>
      <c r="K6838" s="1"/>
      <c r="L6838" s="1"/>
      <c r="M6838" s="1"/>
      <c r="N6838" s="1"/>
      <c r="O6838" s="1"/>
      <c r="P6838" s="1"/>
      <c r="Q6838" s="1"/>
      <c r="R6838" s="1"/>
      <c r="S6838" s="1"/>
      <c r="T6838" s="1"/>
      <c r="U6838" s="1"/>
      <c r="V6838" s="1"/>
      <c r="W6838" s="1"/>
      <c r="X6838" s="1"/>
      <c r="Y6838" s="1"/>
      <c r="Z6838" s="1"/>
      <c r="AA6838" s="1"/>
      <c r="AB6838" s="1"/>
    </row>
    <row r="6839" ht="50.25" customHeight="1">
      <c r="A6839" s="12">
        <v>6835.0</v>
      </c>
      <c r="B6839" s="13" t="s">
        <v>6141</v>
      </c>
      <c r="C6839" s="14" t="s">
        <v>6862</v>
      </c>
      <c r="D6839" s="1"/>
      <c r="E6839" s="1"/>
      <c r="F6839" s="1" t="str">
        <f>IFERROR(__xludf.DUMMYFUNCTION("GOOGLETRANSLATE(B6839, ""en"", ""fa"")
"),"موفقیت آمازون")</f>
        <v>موفقیت آمازون</v>
      </c>
      <c r="G6839" s="1" t="str">
        <f>IFERROR(__xludf.DUMMYFUNCTION("GOOGLETRANSLATE(C6839, ""en"", ""fa"")
"),"نکاتی را برای بهینه سازی عناوین محصول و کلمات کلیدی برای همسویی با رفتار جستجوی مشتری و افزایش دید در میان اعضای Amazon Prime به اشتراک بگذارید.")</f>
        <v>نکاتی را برای بهینه سازی عناوین محصول و کلمات کلیدی برای همسویی با رفتار جستجوی مشتری و افزایش دید در میان اعضای Amazon Prime به اشتراک بگذارید.</v>
      </c>
      <c r="H6839" s="1"/>
      <c r="I6839" s="1"/>
      <c r="J6839" s="1"/>
      <c r="K6839" s="1"/>
      <c r="L6839" s="1"/>
      <c r="M6839" s="1"/>
      <c r="N6839" s="1"/>
      <c r="O6839" s="1"/>
      <c r="P6839" s="1"/>
      <c r="Q6839" s="1"/>
      <c r="R6839" s="1"/>
      <c r="S6839" s="1"/>
      <c r="T6839" s="1"/>
      <c r="U6839" s="1"/>
      <c r="V6839" s="1"/>
      <c r="W6839" s="1"/>
      <c r="X6839" s="1"/>
      <c r="Y6839" s="1"/>
      <c r="Z6839" s="1"/>
      <c r="AA6839" s="1"/>
      <c r="AB6839" s="1"/>
    </row>
    <row r="6840" ht="50.25" customHeight="1">
      <c r="A6840" s="12">
        <v>6836.0</v>
      </c>
      <c r="B6840" s="13" t="s">
        <v>6141</v>
      </c>
      <c r="C6840" s="14" t="s">
        <v>6863</v>
      </c>
      <c r="D6840" s="1"/>
      <c r="E6840" s="1"/>
      <c r="F6840" s="1" t="str">
        <f>IFERROR(__xludf.DUMMYFUNCTION("GOOGLETRANSLATE(B6840, ""en"", ""fa"")
"),"موفقیت آمازون")</f>
        <v>موفقیت آمازون</v>
      </c>
      <c r="G6840" s="1" t="str">
        <f>IFERROR(__xludf.DUMMYFUNCTION("GOOGLETRANSLATE(C6840, ""en"", ""fa"")
"),"اهمیت نظارت بر معیارهای سلامت موجودی FBA، مانند موجودی اضافی یا موجودی رشته‌ای را برای حفظ سطوح موجودی بهینه توضیح دهید.")</f>
        <v>اهمیت نظارت بر معیارهای سلامت موجودی FBA، مانند موجودی اضافی یا موجودی رشته‌ای را برای حفظ سطوح موجودی بهینه توضیح دهید.</v>
      </c>
      <c r="H6840" s="1"/>
      <c r="I6840" s="1"/>
      <c r="J6840" s="1"/>
      <c r="K6840" s="1"/>
      <c r="L6840" s="1"/>
      <c r="M6840" s="1"/>
      <c r="N6840" s="1"/>
      <c r="O6840" s="1"/>
      <c r="P6840" s="1"/>
      <c r="Q6840" s="1"/>
      <c r="R6840" s="1"/>
      <c r="S6840" s="1"/>
      <c r="T6840" s="1"/>
      <c r="U6840" s="1"/>
      <c r="V6840" s="1"/>
      <c r="W6840" s="1"/>
      <c r="X6840" s="1"/>
      <c r="Y6840" s="1"/>
      <c r="Z6840" s="1"/>
      <c r="AA6840" s="1"/>
      <c r="AB6840" s="1"/>
    </row>
    <row r="6841" ht="50.25" customHeight="1">
      <c r="A6841" s="12">
        <v>6837.0</v>
      </c>
      <c r="B6841" s="13" t="s">
        <v>6141</v>
      </c>
      <c r="C6841" s="14" t="s">
        <v>6864</v>
      </c>
      <c r="D6841" s="1"/>
      <c r="E6841" s="1"/>
      <c r="F6841" s="1" t="str">
        <f>IFERROR(__xludf.DUMMYFUNCTION("GOOGLETRANSLATE(B6841, ""en"", ""fa"")
"),"موفقیت آمازون")</f>
        <v>موفقیت آمازون</v>
      </c>
      <c r="G6841" s="1" t="str">
        <f>IFERROR(__xludf.DUMMYFUNCTION("GOOGLETRANSLATE(C6841, ""en"", ""fa"")
"),"چگونه فروشندگان می توانند از خدمات قرار دادن موجودی FBA برای توزیع استراتژیک موجودی در مراکز تکمیل و کاهش هزینه های حمل و نقل استفاده کنند؟")</f>
        <v>چگونه فروشندگان می توانند از خدمات قرار دادن موجودی FBA برای توزیع استراتژیک موجودی در مراکز تکمیل و کاهش هزینه های حمل و نقل استفاده کنند؟</v>
      </c>
      <c r="H6841" s="1"/>
      <c r="I6841" s="1"/>
      <c r="J6841" s="1"/>
      <c r="K6841" s="1"/>
      <c r="L6841" s="1"/>
      <c r="M6841" s="1"/>
      <c r="N6841" s="1"/>
      <c r="O6841" s="1"/>
      <c r="P6841" s="1"/>
      <c r="Q6841" s="1"/>
      <c r="R6841" s="1"/>
      <c r="S6841" s="1"/>
      <c r="T6841" s="1"/>
      <c r="U6841" s="1"/>
      <c r="V6841" s="1"/>
      <c r="W6841" s="1"/>
      <c r="X6841" s="1"/>
      <c r="Y6841" s="1"/>
      <c r="Z6841" s="1"/>
      <c r="AA6841" s="1"/>
      <c r="AB6841" s="1"/>
    </row>
    <row r="6842" ht="50.25" customHeight="1">
      <c r="A6842" s="12">
        <v>6838.0</v>
      </c>
      <c r="B6842" s="13" t="s">
        <v>6141</v>
      </c>
      <c r="C6842" s="14" t="s">
        <v>6865</v>
      </c>
      <c r="D6842" s="1"/>
      <c r="E6842" s="1"/>
      <c r="F6842" s="1" t="str">
        <f>IFERROR(__xludf.DUMMYFUNCTION("GOOGLETRANSLATE(B6842, ""en"", ""fa"")
"),"موفقیت آمازون")</f>
        <v>موفقیت آمازون</v>
      </c>
      <c r="G6842" s="1" t="str">
        <f>IFERROR(__xludf.DUMMYFUNCTION("GOOGLETRANSLATE(C6842, ""en"", ""fa"")
"),"در مورد مزایای استفاده از ویژگی تطبیق موجودی تکمیل چند کاناله (MCF) FBA برای حفظ سوابق دقیق موجودی در کانال‌های فروش متعدد بحث کنید.")</f>
        <v>در مورد مزایای استفاده از ویژگی تطبیق موجودی تکمیل چند کاناله (MCF) FBA برای حفظ سوابق دقیق موجودی در کانال‌های فروش متعدد بحث کنید.</v>
      </c>
      <c r="H6842" s="1"/>
      <c r="I6842" s="1"/>
      <c r="J6842" s="1"/>
      <c r="K6842" s="1"/>
      <c r="L6842" s="1"/>
      <c r="M6842" s="1"/>
      <c r="N6842" s="1"/>
      <c r="O6842" s="1"/>
      <c r="P6842" s="1"/>
      <c r="Q6842" s="1"/>
      <c r="R6842" s="1"/>
      <c r="S6842" s="1"/>
      <c r="T6842" s="1"/>
      <c r="U6842" s="1"/>
      <c r="V6842" s="1"/>
      <c r="W6842" s="1"/>
      <c r="X6842" s="1"/>
      <c r="Y6842" s="1"/>
      <c r="Z6842" s="1"/>
      <c r="AA6842" s="1"/>
      <c r="AB6842" s="1"/>
    </row>
    <row r="6843" ht="50.25" customHeight="1">
      <c r="A6843" s="12">
        <v>6839.0</v>
      </c>
      <c r="B6843" s="13" t="s">
        <v>6141</v>
      </c>
      <c r="C6843" s="14" t="s">
        <v>6866</v>
      </c>
      <c r="D6843" s="1"/>
      <c r="E6843" s="1"/>
      <c r="F6843" s="1" t="str">
        <f>IFERROR(__xludf.DUMMYFUNCTION("GOOGLETRANSLATE(B6843, ""en"", ""fa"")
"),"موفقیت آمازون")</f>
        <v>موفقیت آمازون</v>
      </c>
      <c r="G6843" s="1" t="str">
        <f>IFERROR(__xludf.DUMMYFUNCTION("GOOGLETRANSLATE(C6843, ""en"", ""fa"")
"),"ملاحظات کلیدی هنگام استفاده از سیستم پردازش بازپرداخت و بازپرداخت FBA برای اطمینان از بازپرداخت به موقع و دقیق برای اقلام برگشتی چیست؟")</f>
        <v>ملاحظات کلیدی هنگام استفاده از سیستم پردازش بازپرداخت و بازپرداخت FBA برای اطمینان از بازپرداخت به موقع و دقیق برای اقلام برگشتی چیست؟</v>
      </c>
      <c r="H6843" s="1"/>
      <c r="I6843" s="1"/>
      <c r="J6843" s="1"/>
      <c r="K6843" s="1"/>
      <c r="L6843" s="1"/>
      <c r="M6843" s="1"/>
      <c r="N6843" s="1"/>
      <c r="O6843" s="1"/>
      <c r="P6843" s="1"/>
      <c r="Q6843" s="1"/>
      <c r="R6843" s="1"/>
      <c r="S6843" s="1"/>
      <c r="T6843" s="1"/>
      <c r="U6843" s="1"/>
      <c r="V6843" s="1"/>
      <c r="W6843" s="1"/>
      <c r="X6843" s="1"/>
      <c r="Y6843" s="1"/>
      <c r="Z6843" s="1"/>
      <c r="AA6843" s="1"/>
      <c r="AB6843" s="1"/>
    </row>
    <row r="6844" ht="50.25" customHeight="1">
      <c r="A6844" s="12">
        <v>6840.0</v>
      </c>
      <c r="B6844" s="13" t="s">
        <v>6141</v>
      </c>
      <c r="C6844" s="14" t="s">
        <v>6867</v>
      </c>
      <c r="D6844" s="1"/>
      <c r="E6844" s="1"/>
      <c r="F6844" s="1" t="str">
        <f>IFERROR(__xludf.DUMMYFUNCTION("GOOGLETRANSLATE(B6844, ""en"", ""fa"")
"),"موفقیت آمازون")</f>
        <v>موفقیت آمازون</v>
      </c>
      <c r="G6844" s="1" t="str">
        <f>IFERROR(__xludf.DUMMYFUNCTION("GOOGLETRANSLATE(C6844, ""en"", ""fa"")
"),"درباره نحوه استفاده مؤثر از توصیه‌های موجودی مجدد FBA برای جلوگیری از ریزش انبار و حفظ عرضه ثابت محصولات، بینش‌هایی را به اشتراک بگذارید.")</f>
        <v>درباره نحوه استفاده مؤثر از توصیه‌های موجودی مجدد FBA برای جلوگیری از ریزش انبار و حفظ عرضه ثابت محصولات، بینش‌هایی را به اشتراک بگذارید.</v>
      </c>
      <c r="H6844" s="1"/>
      <c r="I6844" s="1"/>
      <c r="J6844" s="1"/>
      <c r="K6844" s="1"/>
      <c r="L6844" s="1"/>
      <c r="M6844" s="1"/>
      <c r="N6844" s="1"/>
      <c r="O6844" s="1"/>
      <c r="P6844" s="1"/>
      <c r="Q6844" s="1"/>
      <c r="R6844" s="1"/>
      <c r="S6844" s="1"/>
      <c r="T6844" s="1"/>
      <c r="U6844" s="1"/>
      <c r="V6844" s="1"/>
      <c r="W6844" s="1"/>
      <c r="X6844" s="1"/>
      <c r="Y6844" s="1"/>
      <c r="Z6844" s="1"/>
      <c r="AA6844" s="1"/>
      <c r="AB6844" s="1"/>
    </row>
    <row r="6845" ht="50.25" customHeight="1">
      <c r="A6845" s="12">
        <v>6841.0</v>
      </c>
      <c r="B6845" s="13" t="s">
        <v>6141</v>
      </c>
      <c r="C6845" s="14" t="s">
        <v>6868</v>
      </c>
      <c r="D6845" s="1"/>
      <c r="E6845" s="1"/>
      <c r="F6845" s="1" t="str">
        <f>IFERROR(__xludf.DUMMYFUNCTION("GOOGLETRANSLATE(B6845, ""en"", ""fa"")
"),"موفقیت آمازون")</f>
        <v>موفقیت آمازون</v>
      </c>
      <c r="G6845" s="1" t="str">
        <f>IFERROR(__xludf.DUMMYFUNCTION("GOOGLETRANSLATE(C6845, ""en"", ""fa"")
"),"اهمیت استفاده از گزینه‌های دفع دستور حذف FBA را برای به حداقل رساندن ضایعات و مطابقت با شیوه‌های پایداری محیطی توضیح دهید.")</f>
        <v>اهمیت استفاده از گزینه‌های دفع دستور حذف FBA را برای به حداقل رساندن ضایعات و مطابقت با شیوه‌های پایداری محیطی توضیح دهید.</v>
      </c>
      <c r="H6845" s="1"/>
      <c r="I6845" s="1"/>
      <c r="J6845" s="1"/>
      <c r="K6845" s="1"/>
      <c r="L6845" s="1"/>
      <c r="M6845" s="1"/>
      <c r="N6845" s="1"/>
      <c r="O6845" s="1"/>
      <c r="P6845" s="1"/>
      <c r="Q6845" s="1"/>
      <c r="R6845" s="1"/>
      <c r="S6845" s="1"/>
      <c r="T6845" s="1"/>
      <c r="U6845" s="1"/>
      <c r="V6845" s="1"/>
      <c r="W6845" s="1"/>
      <c r="X6845" s="1"/>
      <c r="Y6845" s="1"/>
      <c r="Z6845" s="1"/>
      <c r="AA6845" s="1"/>
      <c r="AB6845" s="1"/>
    </row>
    <row r="6846" ht="50.25" customHeight="1">
      <c r="A6846" s="12">
        <v>6842.0</v>
      </c>
      <c r="B6846" s="13" t="s">
        <v>6141</v>
      </c>
      <c r="C6846" s="14" t="s">
        <v>6869</v>
      </c>
      <c r="D6846" s="1"/>
      <c r="E6846" s="1"/>
      <c r="F6846" s="1" t="str">
        <f>IFERROR(__xludf.DUMMYFUNCTION("GOOGLETRANSLATE(B6846, ""en"", ""fa"")
"),"موفقیت آمازون")</f>
        <v>موفقیت آمازون</v>
      </c>
      <c r="G6846" s="1" t="str">
        <f>IFERROR(__xludf.DUMMYFUNCTION("GOOGLETRANSLATE(C6846, ""en"", ""fa"")
"),"بینش هایی در مورد نحوه برخورد و رسیدگی به نظرات منفی در آمازون به شیوه ای حرفه ای و مشتری محور به اشتراک بگذارید.")</f>
        <v>بینش هایی در مورد نحوه برخورد و رسیدگی به نظرات منفی در آمازون به شیوه ای حرفه ای و مشتری محور به اشتراک بگذارید.</v>
      </c>
      <c r="H6846" s="1"/>
      <c r="I6846" s="1"/>
      <c r="J6846" s="1"/>
      <c r="K6846" s="1"/>
      <c r="L6846" s="1"/>
      <c r="M6846" s="1"/>
      <c r="N6846" s="1"/>
      <c r="O6846" s="1"/>
      <c r="P6846" s="1"/>
      <c r="Q6846" s="1"/>
      <c r="R6846" s="1"/>
      <c r="S6846" s="1"/>
      <c r="T6846" s="1"/>
      <c r="U6846" s="1"/>
      <c r="V6846" s="1"/>
      <c r="W6846" s="1"/>
      <c r="X6846" s="1"/>
      <c r="Y6846" s="1"/>
      <c r="Z6846" s="1"/>
      <c r="AA6846" s="1"/>
      <c r="AB6846" s="1"/>
    </row>
    <row r="6847" ht="50.25" customHeight="1">
      <c r="A6847" s="12">
        <v>6843.0</v>
      </c>
      <c r="B6847" s="13" t="s">
        <v>6141</v>
      </c>
      <c r="C6847" s="14" t="s">
        <v>6870</v>
      </c>
      <c r="D6847" s="1"/>
      <c r="E6847" s="1"/>
      <c r="F6847" s="1" t="str">
        <f>IFERROR(__xludf.DUMMYFUNCTION("GOOGLETRANSLATE(B6847, ""en"", ""fa"")
"),"موفقیت آمازون")</f>
        <v>موفقیت آمازون</v>
      </c>
      <c r="G6847" s="1" t="str">
        <f>IFERROR(__xludf.DUMMYFUNCTION("GOOGLETRANSLATE(C6847, ""en"", ""fa"")
"),"عوامل کلیدی که مشتریان را تحت تأثیر قرار می‌دهند تا برای محصولاتی که در آمازون خریداری کرده‌اند، نظرات و رتبه‌بندی بگذارند چیست؟")</f>
        <v>عوامل کلیدی که مشتریان را تحت تأثیر قرار می‌دهند تا برای محصولاتی که در آمازون خریداری کرده‌اند، نظرات و رتبه‌بندی بگذارند چیست؟</v>
      </c>
      <c r="H6847" s="1"/>
      <c r="I6847" s="1"/>
      <c r="J6847" s="1"/>
      <c r="K6847" s="1"/>
      <c r="L6847" s="1"/>
      <c r="M6847" s="1"/>
      <c r="N6847" s="1"/>
      <c r="O6847" s="1"/>
      <c r="P6847" s="1"/>
      <c r="Q6847" s="1"/>
      <c r="R6847" s="1"/>
      <c r="S6847" s="1"/>
      <c r="T6847" s="1"/>
      <c r="U6847" s="1"/>
      <c r="V6847" s="1"/>
      <c r="W6847" s="1"/>
      <c r="X6847" s="1"/>
      <c r="Y6847" s="1"/>
      <c r="Z6847" s="1"/>
      <c r="AA6847" s="1"/>
      <c r="AB6847" s="1"/>
    </row>
    <row r="6848" ht="50.25" customHeight="1">
      <c r="A6848" s="12">
        <v>6844.0</v>
      </c>
      <c r="B6848" s="13" t="s">
        <v>6141</v>
      </c>
      <c r="C6848" s="14" t="s">
        <v>6871</v>
      </c>
      <c r="D6848" s="1"/>
      <c r="E6848" s="1"/>
      <c r="F6848" s="1" t="str">
        <f>IFERROR(__xludf.DUMMYFUNCTION("GOOGLETRANSLATE(B6848, ""en"", ""fa"")
"),"موفقیت آمازون")</f>
        <v>موفقیت آمازون</v>
      </c>
      <c r="G6848" s="1" t="str">
        <f>IFERROR(__xludf.DUMMYFUNCTION("GOOGLETRANSLATE(C6848, ""en"", ""fa"")
"),"اهمیت به دست آوردن تعداد بالایی از بررسی های خرید تأیید شده برای ایجاد اعتبار و اعتماد در آمازون را توضیح دهید.")</f>
        <v>اهمیت به دست آوردن تعداد بالایی از بررسی های خرید تأیید شده برای ایجاد اعتبار و اعتماد در آمازون را توضیح دهید.</v>
      </c>
      <c r="H6848" s="1"/>
      <c r="I6848" s="1"/>
      <c r="J6848" s="1"/>
      <c r="K6848" s="1"/>
      <c r="L6848" s="1"/>
      <c r="M6848" s="1"/>
      <c r="N6848" s="1"/>
      <c r="O6848" s="1"/>
      <c r="P6848" s="1"/>
      <c r="Q6848" s="1"/>
      <c r="R6848" s="1"/>
      <c r="S6848" s="1"/>
      <c r="T6848" s="1"/>
      <c r="U6848" s="1"/>
      <c r="V6848" s="1"/>
      <c r="W6848" s="1"/>
      <c r="X6848" s="1"/>
      <c r="Y6848" s="1"/>
      <c r="Z6848" s="1"/>
      <c r="AA6848" s="1"/>
      <c r="AB6848" s="1"/>
    </row>
    <row r="6849" ht="50.25" customHeight="1">
      <c r="A6849" s="12">
        <v>6845.0</v>
      </c>
      <c r="B6849" s="13" t="s">
        <v>6141</v>
      </c>
      <c r="C6849" s="14" t="s">
        <v>6872</v>
      </c>
      <c r="D6849" s="1"/>
      <c r="E6849" s="1"/>
      <c r="F6849" s="1" t="str">
        <f>IFERROR(__xludf.DUMMYFUNCTION("GOOGLETRANSLATE(B6849, ""en"", ""fa"")
"),"موفقیت آمازون")</f>
        <v>موفقیت آمازون</v>
      </c>
      <c r="G6849" s="1" t="str">
        <f>IFERROR(__xludf.DUMMYFUNCTION("GOOGLETRANSLATE(C6849, ""en"", ""fa"")
"),"چگونه فروشندگان می توانند از نظرات و رتبه بندی های مشتریان به عنوان منبع ارزشمند بازخورد برای توسعه محصول و نوآوری استفاده کنند؟")</f>
        <v>چگونه فروشندگان می توانند از نظرات و رتبه بندی های مشتریان به عنوان منبع ارزشمند بازخورد برای توسعه محصول و نوآوری استفاده کنند؟</v>
      </c>
      <c r="H6849" s="1"/>
      <c r="I6849" s="1"/>
      <c r="J6849" s="1"/>
      <c r="K6849" s="1"/>
      <c r="L6849" s="1"/>
      <c r="M6849" s="1"/>
      <c r="N6849" s="1"/>
      <c r="O6849" s="1"/>
      <c r="P6849" s="1"/>
      <c r="Q6849" s="1"/>
      <c r="R6849" s="1"/>
      <c r="S6849" s="1"/>
      <c r="T6849" s="1"/>
      <c r="U6849" s="1"/>
      <c r="V6849" s="1"/>
      <c r="W6849" s="1"/>
      <c r="X6849" s="1"/>
      <c r="Y6849" s="1"/>
      <c r="Z6849" s="1"/>
      <c r="AA6849" s="1"/>
      <c r="AB6849" s="1"/>
    </row>
    <row r="6850" ht="50.25" customHeight="1">
      <c r="A6850" s="12">
        <v>6846.0</v>
      </c>
      <c r="B6850" s="13" t="s">
        <v>6141</v>
      </c>
      <c r="C6850" s="14" t="s">
        <v>6873</v>
      </c>
      <c r="D6850" s="1"/>
      <c r="E6850" s="1"/>
      <c r="F6850" s="1" t="str">
        <f>IFERROR(__xludf.DUMMYFUNCTION("GOOGLETRANSLATE(B6850, ""en"", ""fa"")
"),"موفقیت آمازون")</f>
        <v>موفقیت آمازون</v>
      </c>
      <c r="G6850" s="1" t="str">
        <f>IFERROR(__xludf.DUMMYFUNCTION("GOOGLETRANSLATE(C6850, ""en"", ""fa"")
"),"در مورد تأثیر بررسی ها و رتبه بندی محصول بر روی نرخ تبدیل و عملکرد فروش لیست محصولات در آمازون بحث کنید.")</f>
        <v>در مورد تأثیر بررسی ها و رتبه بندی محصول بر روی نرخ تبدیل و عملکرد فروش لیست محصولات در آمازون بحث کنید.</v>
      </c>
      <c r="H6850" s="1"/>
      <c r="I6850" s="1"/>
      <c r="J6850" s="1"/>
      <c r="K6850" s="1"/>
      <c r="L6850" s="1"/>
      <c r="M6850" s="1"/>
      <c r="N6850" s="1"/>
      <c r="O6850" s="1"/>
      <c r="P6850" s="1"/>
      <c r="Q6850" s="1"/>
      <c r="R6850" s="1"/>
      <c r="S6850" s="1"/>
      <c r="T6850" s="1"/>
      <c r="U6850" s="1"/>
      <c r="V6850" s="1"/>
      <c r="W6850" s="1"/>
      <c r="X6850" s="1"/>
      <c r="Y6850" s="1"/>
      <c r="Z6850" s="1"/>
      <c r="AA6850" s="1"/>
      <c r="AB6850" s="1"/>
    </row>
    <row r="6851" ht="50.25" customHeight="1">
      <c r="A6851" s="12">
        <v>6847.0</v>
      </c>
      <c r="B6851" s="13" t="s">
        <v>6141</v>
      </c>
      <c r="C6851" s="14" t="s">
        <v>6874</v>
      </c>
      <c r="D6851" s="1"/>
      <c r="E6851" s="1"/>
      <c r="F6851" s="1" t="str">
        <f>IFERROR(__xludf.DUMMYFUNCTION("GOOGLETRANSLATE(B6851, ""en"", ""fa"")
"),"موفقیت آمازون")</f>
        <v>موفقیت آمازون</v>
      </c>
      <c r="G6851" s="1" t="str">
        <f>IFERROR(__xludf.DUMMYFUNCTION("GOOGLETRANSLATE(C6851, ""en"", ""fa"")
"),"نکاتی را برای بهینه‌سازی فهرست‌های محصولات به اشتراک بگذارید تا نظرات و رتبه‌بندی‌های مثبت را به نمایش بگذارید و اعتماد مشتری را در خرید افزایش دهید.")</f>
        <v>نکاتی را برای بهینه‌سازی فهرست‌های محصولات به اشتراک بگذارید تا نظرات و رتبه‌بندی‌های مثبت را به نمایش بگذارید و اعتماد مشتری را در خرید افزایش دهید.</v>
      </c>
      <c r="H6851" s="1"/>
      <c r="I6851" s="1"/>
      <c r="J6851" s="1"/>
      <c r="K6851" s="1"/>
      <c r="L6851" s="1"/>
      <c r="M6851" s="1"/>
      <c r="N6851" s="1"/>
      <c r="O6851" s="1"/>
      <c r="P6851" s="1"/>
      <c r="Q6851" s="1"/>
      <c r="R6851" s="1"/>
      <c r="S6851" s="1"/>
      <c r="T6851" s="1"/>
      <c r="U6851" s="1"/>
      <c r="V6851" s="1"/>
      <c r="W6851" s="1"/>
      <c r="X6851" s="1"/>
      <c r="Y6851" s="1"/>
      <c r="Z6851" s="1"/>
      <c r="AA6851" s="1"/>
      <c r="AB6851" s="1"/>
    </row>
    <row r="6852" ht="50.25" customHeight="1">
      <c r="A6852" s="12">
        <v>6848.0</v>
      </c>
      <c r="B6852" s="13" t="s">
        <v>6141</v>
      </c>
      <c r="C6852" s="14" t="s">
        <v>6875</v>
      </c>
      <c r="D6852" s="1"/>
      <c r="E6852" s="1"/>
      <c r="F6852" s="1" t="str">
        <f>IFERROR(__xludf.DUMMYFUNCTION("GOOGLETRANSLATE(B6852, ""en"", ""fa"")
"),"موفقیت آمازون")</f>
        <v>موفقیت آمازون</v>
      </c>
      <c r="G6852" s="1" t="str">
        <f>IFERROR(__xludf.DUMMYFUNCTION("GOOGLETRANSLATE(C6852, ""en"", ""fa"")
"),"بهترین استراتژی ها برای پیمایش سیاست ها و دستورالعمل های بررسی آمازون در حالی که فعالانه به دنبال بازخورد مشتری هستید چیست؟")</f>
        <v>بهترین استراتژی ها برای پیمایش سیاست ها و دستورالعمل های بررسی آمازون در حالی که فعالانه به دنبال بازخورد مشتری هستید چیست؟</v>
      </c>
      <c r="H6852" s="1"/>
      <c r="I6852" s="1"/>
      <c r="J6852" s="1"/>
      <c r="K6852" s="1"/>
      <c r="L6852" s="1"/>
      <c r="M6852" s="1"/>
      <c r="N6852" s="1"/>
      <c r="O6852" s="1"/>
      <c r="P6852" s="1"/>
      <c r="Q6852" s="1"/>
      <c r="R6852" s="1"/>
      <c r="S6852" s="1"/>
      <c r="T6852" s="1"/>
      <c r="U6852" s="1"/>
      <c r="V6852" s="1"/>
      <c r="W6852" s="1"/>
      <c r="X6852" s="1"/>
      <c r="Y6852" s="1"/>
      <c r="Z6852" s="1"/>
      <c r="AA6852" s="1"/>
      <c r="AB6852" s="1"/>
    </row>
    <row r="6853" ht="50.25" customHeight="1">
      <c r="A6853" s="12">
        <v>6849.0</v>
      </c>
      <c r="B6853" s="13" t="s">
        <v>6141</v>
      </c>
      <c r="C6853" s="14" t="s">
        <v>6876</v>
      </c>
      <c r="D6853" s="1"/>
      <c r="E6853" s="1"/>
      <c r="F6853" s="1" t="str">
        <f>IFERROR(__xludf.DUMMYFUNCTION("GOOGLETRANSLATE(B6853, ""en"", ""fa"")
"),"موفقیت آمازون")</f>
        <v>موفقیت آمازون</v>
      </c>
      <c r="G6853" s="1" t="str">
        <f>IFERROR(__xludf.DUMMYFUNCTION("GOOGLETRANSLATE(C6853, ""en"", ""fa"")
"),"اهمیت حفظ تعادل بین نظرات مثبت و منفی را برای ارائه شفافیت و اعتبار برای مشتریان بالقوه توضیح دهید.")</f>
        <v>اهمیت حفظ تعادل بین نظرات مثبت و منفی را برای ارائه شفافیت و اعتبار برای مشتریان بالقوه توضیح دهید.</v>
      </c>
      <c r="H6853" s="1"/>
      <c r="I6853" s="1"/>
      <c r="J6853" s="1"/>
      <c r="K6853" s="1"/>
      <c r="L6853" s="1"/>
      <c r="M6853" s="1"/>
      <c r="N6853" s="1"/>
      <c r="O6853" s="1"/>
      <c r="P6853" s="1"/>
      <c r="Q6853" s="1"/>
      <c r="R6853" s="1"/>
      <c r="S6853" s="1"/>
      <c r="T6853" s="1"/>
      <c r="U6853" s="1"/>
      <c r="V6853" s="1"/>
      <c r="W6853" s="1"/>
      <c r="X6853" s="1"/>
      <c r="Y6853" s="1"/>
      <c r="Z6853" s="1"/>
      <c r="AA6853" s="1"/>
      <c r="AB6853" s="1"/>
    </row>
    <row r="6854" ht="50.25" customHeight="1">
      <c r="A6854" s="12">
        <v>6850.0</v>
      </c>
      <c r="B6854" s="13" t="s">
        <v>6141</v>
      </c>
      <c r="C6854" s="14" t="s">
        <v>6877</v>
      </c>
      <c r="D6854" s="1"/>
      <c r="E6854" s="1"/>
      <c r="F6854" s="1" t="str">
        <f>IFERROR(__xludf.DUMMYFUNCTION("GOOGLETRANSLATE(B6854, ""en"", ""fa"")
"),"موفقیت آمازون")</f>
        <v>موفقیت آمازون</v>
      </c>
      <c r="G6854" s="1" t="str">
        <f>IFERROR(__xludf.DUMMYFUNCTION("GOOGLETRANSLATE(C6854, ""en"", ""fa"")
"),"چگونه فروشندگان می توانند از برنامه Amazon Vine برای ایجاد نظرات صادقانه و معتبر از بازبینان مورد اعتماد استفاده کنند؟")</f>
        <v>چگونه فروشندگان می توانند از برنامه Amazon Vine برای ایجاد نظرات صادقانه و معتبر از بازبینان مورد اعتماد استفاده کنند؟</v>
      </c>
      <c r="H6854" s="1"/>
      <c r="I6854" s="1"/>
      <c r="J6854" s="1"/>
      <c r="K6854" s="1"/>
      <c r="L6854" s="1"/>
      <c r="M6854" s="1"/>
      <c r="N6854" s="1"/>
      <c r="O6854" s="1"/>
      <c r="P6854" s="1"/>
      <c r="Q6854" s="1"/>
      <c r="R6854" s="1"/>
      <c r="S6854" s="1"/>
      <c r="T6854" s="1"/>
      <c r="U6854" s="1"/>
      <c r="V6854" s="1"/>
      <c r="W6854" s="1"/>
      <c r="X6854" s="1"/>
      <c r="Y6854" s="1"/>
      <c r="Z6854" s="1"/>
      <c r="AA6854" s="1"/>
      <c r="AB6854" s="1"/>
    </row>
    <row r="6855" ht="50.25" customHeight="1">
      <c r="A6855" s="12">
        <v>6851.0</v>
      </c>
      <c r="B6855" s="13" t="s">
        <v>6141</v>
      </c>
      <c r="C6855" s="14" t="s">
        <v>6878</v>
      </c>
      <c r="D6855" s="1"/>
      <c r="E6855" s="1"/>
      <c r="F6855" s="1" t="str">
        <f>IFERROR(__xludf.DUMMYFUNCTION("GOOGLETRANSLATE(B6855, ""en"", ""fa"")
"),"موفقیت آمازون")</f>
        <v>موفقیت آمازون</v>
      </c>
      <c r="G6855" s="1" t="str">
        <f>IFERROR(__xludf.DUMMYFUNCTION("GOOGLETRANSLATE(C6855, ""en"", ""fa"")
"),"در مورد مزایای استفاده از عناصر اثبات اجتماعی، مانند چکیده نقد یا رتبه بندی ستاره، در تبلیغات محصول و مواد تبلیغاتی بحث کنید.")</f>
        <v>در مورد مزایای استفاده از عناصر اثبات اجتماعی، مانند چکیده نقد یا رتبه بندی ستاره، در تبلیغات محصول و مواد تبلیغاتی بحث کنید.</v>
      </c>
      <c r="H6855" s="1"/>
      <c r="I6855" s="1"/>
      <c r="J6855" s="1"/>
      <c r="K6855" s="1"/>
      <c r="L6855" s="1"/>
      <c r="M6855" s="1"/>
      <c r="N6855" s="1"/>
      <c r="O6855" s="1"/>
      <c r="P6855" s="1"/>
      <c r="Q6855" s="1"/>
      <c r="R6855" s="1"/>
      <c r="S6855" s="1"/>
      <c r="T6855" s="1"/>
      <c r="U6855" s="1"/>
      <c r="V6855" s="1"/>
      <c r="W6855" s="1"/>
      <c r="X6855" s="1"/>
      <c r="Y6855" s="1"/>
      <c r="Z6855" s="1"/>
      <c r="AA6855" s="1"/>
      <c r="AB6855" s="1"/>
    </row>
    <row r="6856" ht="50.25" customHeight="1">
      <c r="A6856" s="12">
        <v>6852.0</v>
      </c>
      <c r="B6856" s="13" t="s">
        <v>6141</v>
      </c>
      <c r="C6856" s="14" t="s">
        <v>6879</v>
      </c>
      <c r="D6856" s="1"/>
      <c r="E6856" s="1"/>
      <c r="F6856" s="1" t="str">
        <f>IFERROR(__xludf.DUMMYFUNCTION("GOOGLETRANSLATE(B6856, ""en"", ""fa"")
"),"موفقیت آمازون")</f>
        <v>موفقیت آمازون</v>
      </c>
      <c r="G6856" s="1" t="str">
        <f>IFERROR(__xludf.DUMMYFUNCTION("GOOGLETRANSLATE(C6856, ""en"", ""fa"")
"),"بینش‌هایی در مورد نحوه استفاده از نظرات و رتبه‌بندی‌های مثبت مشتریان برای متمایز کردن محصولات از رقبا و افزایش فروش به اشتراک بگذارید.")</f>
        <v>بینش‌هایی در مورد نحوه استفاده از نظرات و رتبه‌بندی‌های مثبت مشتریان برای متمایز کردن محصولات از رقبا و افزایش فروش به اشتراک بگذارید.</v>
      </c>
      <c r="H6856" s="1"/>
      <c r="I6856" s="1"/>
      <c r="J6856" s="1"/>
      <c r="K6856" s="1"/>
      <c r="L6856" s="1"/>
      <c r="M6856" s="1"/>
      <c r="N6856" s="1"/>
      <c r="O6856" s="1"/>
      <c r="P6856" s="1"/>
      <c r="Q6856" s="1"/>
      <c r="R6856" s="1"/>
      <c r="S6856" s="1"/>
      <c r="T6856" s="1"/>
      <c r="U6856" s="1"/>
      <c r="V6856" s="1"/>
      <c r="W6856" s="1"/>
      <c r="X6856" s="1"/>
      <c r="Y6856" s="1"/>
      <c r="Z6856" s="1"/>
      <c r="AA6856" s="1"/>
      <c r="AB6856" s="1"/>
    </row>
    <row r="6857" ht="50.25" customHeight="1">
      <c r="A6857" s="12">
        <v>6853.0</v>
      </c>
      <c r="B6857" s="13" t="s">
        <v>6141</v>
      </c>
      <c r="C6857" s="14" t="s">
        <v>6880</v>
      </c>
      <c r="D6857" s="1"/>
      <c r="E6857" s="1"/>
      <c r="F6857" s="1" t="str">
        <f>IFERROR(__xludf.DUMMYFUNCTION("GOOGLETRANSLATE(B6857, ""en"", ""fa"")
"),"موفقیت آمازون")</f>
        <v>موفقیت آمازون</v>
      </c>
      <c r="G6857" s="1" t="str">
        <f>IFERROR(__xludf.DUMMYFUNCTION("GOOGLETRANSLATE(C6857, ""en"", ""fa"")
"),"ملاحظات کلیدی هنگام استفاده از ابزارهای مدیریت بازبینی برای نظارت و پاسخگویی به موقع به بازخورد مشتری چیست؟")</f>
        <v>ملاحظات کلیدی هنگام استفاده از ابزارهای مدیریت بازبینی برای نظارت و پاسخگویی به موقع به بازخورد مشتری چیست؟</v>
      </c>
      <c r="H6857" s="1"/>
      <c r="I6857" s="1"/>
      <c r="J6857" s="1"/>
      <c r="K6857" s="1"/>
      <c r="L6857" s="1"/>
      <c r="M6857" s="1"/>
      <c r="N6857" s="1"/>
      <c r="O6857" s="1"/>
      <c r="P6857" s="1"/>
      <c r="Q6857" s="1"/>
      <c r="R6857" s="1"/>
      <c r="S6857" s="1"/>
      <c r="T6857" s="1"/>
      <c r="U6857" s="1"/>
      <c r="V6857" s="1"/>
      <c r="W6857" s="1"/>
      <c r="X6857" s="1"/>
      <c r="Y6857" s="1"/>
      <c r="Z6857" s="1"/>
      <c r="AA6857" s="1"/>
      <c r="AB6857" s="1"/>
    </row>
    <row r="6858" ht="50.25" customHeight="1">
      <c r="A6858" s="12">
        <v>6854.0</v>
      </c>
      <c r="B6858" s="13" t="s">
        <v>6141</v>
      </c>
      <c r="C6858" s="14" t="s">
        <v>6881</v>
      </c>
      <c r="D6858" s="1"/>
      <c r="E6858" s="1"/>
      <c r="F6858" s="1" t="str">
        <f>IFERROR(__xludf.DUMMYFUNCTION("GOOGLETRANSLATE(B6858, ""en"", ""fa"")
"),"موفقیت آمازون")</f>
        <v>موفقیت آمازون</v>
      </c>
      <c r="G6858" s="1" t="str">
        <f>IFERROR(__xludf.DUMMYFUNCTION("GOOGLETRANSLATE(C6858, ""en"", ""fa"")
"),"اهمیت تجزیه و تحلیل احساسات مشتری و روندها در بررسی ها را برای شناسایی فرصت ها برای بهبود محصول و رشد کسب و کار توضیح دهید.")</f>
        <v>اهمیت تجزیه و تحلیل احساسات مشتری و روندها در بررسی ها را برای شناسایی فرصت ها برای بهبود محصول و رشد کسب و کار توضیح دهید.</v>
      </c>
      <c r="H6858" s="1"/>
      <c r="I6858" s="1"/>
      <c r="J6858" s="1"/>
      <c r="K6858" s="1"/>
      <c r="L6858" s="1"/>
      <c r="M6858" s="1"/>
      <c r="N6858" s="1"/>
      <c r="O6858" s="1"/>
      <c r="P6858" s="1"/>
      <c r="Q6858" s="1"/>
      <c r="R6858" s="1"/>
      <c r="S6858" s="1"/>
      <c r="T6858" s="1"/>
      <c r="U6858" s="1"/>
      <c r="V6858" s="1"/>
      <c r="W6858" s="1"/>
      <c r="X6858" s="1"/>
      <c r="Y6858" s="1"/>
      <c r="Z6858" s="1"/>
      <c r="AA6858" s="1"/>
      <c r="AB6858" s="1"/>
    </row>
    <row r="6859" ht="50.25" customHeight="1">
      <c r="A6859" s="12">
        <v>6855.0</v>
      </c>
      <c r="B6859" s="13" t="s">
        <v>6141</v>
      </c>
      <c r="C6859" s="14" t="s">
        <v>6882</v>
      </c>
      <c r="D6859" s="1"/>
      <c r="E6859" s="1"/>
      <c r="F6859" s="1" t="str">
        <f>IFERROR(__xludf.DUMMYFUNCTION("GOOGLETRANSLATE(B6859, ""en"", ""fa"")
"),"موفقیت آمازون")</f>
        <v>موفقیت آمازون</v>
      </c>
      <c r="G6859" s="1" t="str">
        <f>IFERROR(__xludf.DUMMYFUNCTION("GOOGLETRANSLATE(C6859, ""en"", ""fa"")
"),"چگونه فروشندگان می توانند به طور موثر با مشتریانی که برای رفع نگرانی ها، ارائه راه حل ها یا ابراز قدردانی نظرات خود را ترک کرده اند، ارتباط برقرار کنند؟")</f>
        <v>چگونه فروشندگان می توانند به طور موثر با مشتریانی که برای رفع نگرانی ها، ارائه راه حل ها یا ابراز قدردانی نظرات خود را ترک کرده اند، ارتباط برقرار کنند؟</v>
      </c>
      <c r="H6859" s="1"/>
      <c r="I6859" s="1"/>
      <c r="J6859" s="1"/>
      <c r="K6859" s="1"/>
      <c r="L6859" s="1"/>
      <c r="M6859" s="1"/>
      <c r="N6859" s="1"/>
      <c r="O6859" s="1"/>
      <c r="P6859" s="1"/>
      <c r="Q6859" s="1"/>
      <c r="R6859" s="1"/>
      <c r="S6859" s="1"/>
      <c r="T6859" s="1"/>
      <c r="U6859" s="1"/>
      <c r="V6859" s="1"/>
      <c r="W6859" s="1"/>
      <c r="X6859" s="1"/>
      <c r="Y6859" s="1"/>
      <c r="Z6859" s="1"/>
      <c r="AA6859" s="1"/>
      <c r="AB6859" s="1"/>
    </row>
    <row r="6860" ht="50.25" customHeight="1">
      <c r="A6860" s="12">
        <v>6856.0</v>
      </c>
      <c r="B6860" s="13" t="s">
        <v>6141</v>
      </c>
      <c r="C6860" s="14" t="s">
        <v>6883</v>
      </c>
      <c r="D6860" s="1"/>
      <c r="E6860" s="1"/>
      <c r="F6860" s="1" t="str">
        <f>IFERROR(__xludf.DUMMYFUNCTION("GOOGLETRANSLATE(B6860, ""en"", ""fa"")
"),"موفقیت آمازون")</f>
        <v>موفقیت آمازون</v>
      </c>
      <c r="G6860" s="1" t="str">
        <f>IFERROR(__xludf.DUMMYFUNCTION("GOOGLETRANSLATE(C6860, ""en"", ""fa"")
"),"درباره تأثیر رتبه‌بندی فروشنده و بازخورد بر سلامت کلی حساب و توانایی برنده شدن در جعبه خرید در آمازون بحث کنید.")</f>
        <v>درباره تأثیر رتبه‌بندی فروشنده و بازخورد بر سلامت کلی حساب و توانایی برنده شدن در جعبه خرید در آمازون بحث کنید.</v>
      </c>
      <c r="H6860" s="1"/>
      <c r="I6860" s="1"/>
      <c r="J6860" s="1"/>
      <c r="K6860" s="1"/>
      <c r="L6860" s="1"/>
      <c r="M6860" s="1"/>
      <c r="N6860" s="1"/>
      <c r="O6860" s="1"/>
      <c r="P6860" s="1"/>
      <c r="Q6860" s="1"/>
      <c r="R6860" s="1"/>
      <c r="S6860" s="1"/>
      <c r="T6860" s="1"/>
      <c r="U6860" s="1"/>
      <c r="V6860" s="1"/>
      <c r="W6860" s="1"/>
      <c r="X6860" s="1"/>
      <c r="Y6860" s="1"/>
      <c r="Z6860" s="1"/>
      <c r="AA6860" s="1"/>
      <c r="AB6860" s="1"/>
    </row>
    <row r="6861" ht="50.25" customHeight="1">
      <c r="A6861" s="12">
        <v>6857.0</v>
      </c>
      <c r="B6861" s="13" t="s">
        <v>6141</v>
      </c>
      <c r="C6861" s="14" t="s">
        <v>6884</v>
      </c>
      <c r="D6861" s="1"/>
      <c r="E6861" s="1"/>
      <c r="F6861" s="1" t="str">
        <f>IFERROR(__xludf.DUMMYFUNCTION("GOOGLETRANSLATE(B6861, ""en"", ""fa"")
"),"موفقیت آمازون")</f>
        <v>موفقیت آمازون</v>
      </c>
      <c r="G6861" s="1" t="str">
        <f>IFERROR(__xludf.DUMMYFUNCTION("GOOGLETRANSLATE(C6861, ""en"", ""fa"")
"),"نکاتی را برای مدیریت و پاسخ به نظرات منفی به شیوه ای سازنده و مشتری مدار به اشتراک بگذارید.")</f>
        <v>نکاتی را برای مدیریت و پاسخ به نظرات منفی به شیوه ای سازنده و مشتری مدار به اشتراک بگذارید.</v>
      </c>
      <c r="H6861" s="1"/>
      <c r="I6861" s="1"/>
      <c r="J6861" s="1"/>
      <c r="K6861" s="1"/>
      <c r="L6861" s="1"/>
      <c r="M6861" s="1"/>
      <c r="N6861" s="1"/>
      <c r="O6861" s="1"/>
      <c r="P6861" s="1"/>
      <c r="Q6861" s="1"/>
      <c r="R6861" s="1"/>
      <c r="S6861" s="1"/>
      <c r="T6861" s="1"/>
      <c r="U6861" s="1"/>
      <c r="V6861" s="1"/>
      <c r="W6861" s="1"/>
      <c r="X6861" s="1"/>
      <c r="Y6861" s="1"/>
      <c r="Z6861" s="1"/>
      <c r="AA6861" s="1"/>
      <c r="AB6861" s="1"/>
    </row>
    <row r="6862" ht="50.25" customHeight="1">
      <c r="A6862" s="12">
        <v>6858.0</v>
      </c>
      <c r="B6862" s="13" t="s">
        <v>6141</v>
      </c>
      <c r="C6862" s="14" t="s">
        <v>6885</v>
      </c>
      <c r="D6862" s="1"/>
      <c r="E6862" s="1"/>
      <c r="F6862" s="1" t="str">
        <f>IFERROR(__xludf.DUMMYFUNCTION("GOOGLETRANSLATE(B6862, ""en"", ""fa"")
"),"موفقیت آمازون")</f>
        <v>موفقیت آمازون</v>
      </c>
      <c r="G6862" s="1" t="str">
        <f>IFERROR(__xludf.DUMMYFUNCTION("GOOGLETRANSLATE(C6862, ""en"", ""fa"")
"),"بهترین روش ها برای پیگیری مشتریان پس از خرید برای تشویق آنها به گذاشتن نظرات و رتبه بندی در آمازون چیست؟")</f>
        <v>بهترین روش ها برای پیگیری مشتریان پس از خرید برای تشویق آنها به گذاشتن نظرات و رتبه بندی در آمازون چیست؟</v>
      </c>
      <c r="H6862" s="1"/>
      <c r="I6862" s="1"/>
      <c r="J6862" s="1"/>
      <c r="K6862" s="1"/>
      <c r="L6862" s="1"/>
      <c r="M6862" s="1"/>
      <c r="N6862" s="1"/>
      <c r="O6862" s="1"/>
      <c r="P6862" s="1"/>
      <c r="Q6862" s="1"/>
      <c r="R6862" s="1"/>
      <c r="S6862" s="1"/>
      <c r="T6862" s="1"/>
      <c r="U6862" s="1"/>
      <c r="V6862" s="1"/>
      <c r="W6862" s="1"/>
      <c r="X6862" s="1"/>
      <c r="Y6862" s="1"/>
      <c r="Z6862" s="1"/>
      <c r="AA6862" s="1"/>
      <c r="AB6862" s="1"/>
    </row>
    <row r="6863" ht="50.25" customHeight="1">
      <c r="A6863" s="12">
        <v>6859.0</v>
      </c>
      <c r="B6863" s="13" t="s">
        <v>6141</v>
      </c>
      <c r="C6863" s="14" t="s">
        <v>6886</v>
      </c>
      <c r="D6863" s="1"/>
      <c r="E6863" s="1"/>
      <c r="F6863" s="1" t="str">
        <f>IFERROR(__xludf.DUMMYFUNCTION("GOOGLETRANSLATE(B6863, ""en"", ""fa"")
"),"موفقیت آمازون")</f>
        <v>موفقیت آمازون</v>
      </c>
      <c r="G6863" s="1" t="str">
        <f>IFERROR(__xludf.DUMMYFUNCTION("GOOGLETRANSLATE(C6863, ""en"", ""fa"")
"),"اهمیت استفاده از نظرات مشتریان و نظرات مثبت در مواد بازاریابی و بسته بندی محصول را توضیح دهید.")</f>
        <v>اهمیت استفاده از نظرات مشتریان و نظرات مثبت در مواد بازاریابی و بسته بندی محصول را توضیح دهید.</v>
      </c>
      <c r="H6863" s="1"/>
      <c r="I6863" s="1"/>
      <c r="J6863" s="1"/>
      <c r="K6863" s="1"/>
      <c r="L6863" s="1"/>
      <c r="M6863" s="1"/>
      <c r="N6863" s="1"/>
      <c r="O6863" s="1"/>
      <c r="P6863" s="1"/>
      <c r="Q6863" s="1"/>
      <c r="R6863" s="1"/>
      <c r="S6863" s="1"/>
      <c r="T6863" s="1"/>
      <c r="U6863" s="1"/>
      <c r="V6863" s="1"/>
      <c r="W6863" s="1"/>
      <c r="X6863" s="1"/>
      <c r="Y6863" s="1"/>
      <c r="Z6863" s="1"/>
      <c r="AA6863" s="1"/>
      <c r="AB6863" s="1"/>
    </row>
    <row r="6864" ht="50.25" customHeight="1">
      <c r="A6864" s="12">
        <v>6860.0</v>
      </c>
      <c r="B6864" s="13" t="s">
        <v>6141</v>
      </c>
      <c r="C6864" s="14" t="s">
        <v>6887</v>
      </c>
      <c r="D6864" s="1"/>
      <c r="E6864" s="1"/>
      <c r="F6864" s="1" t="str">
        <f>IFERROR(__xludf.DUMMYFUNCTION("GOOGLETRANSLATE(B6864, ""en"", ""fa"")
"),"موفقیت آمازون")</f>
        <v>موفقیت آمازون</v>
      </c>
      <c r="G6864" s="1" t="str">
        <f>IFERROR(__xludf.DUMMYFUNCTION("GOOGLETRANSLATE(C6864, ""en"", ""fa"")
"),"چگونه فروشندگان می توانند به طور فعالانه تأثیر بررسی های جعلی یا مخرب را در فهرست محصولات خود مدیریت و کاهش دهند؟")</f>
        <v>چگونه فروشندگان می توانند به طور فعالانه تأثیر بررسی های جعلی یا مخرب را در فهرست محصولات خود مدیریت و کاهش دهند؟</v>
      </c>
      <c r="H6864" s="1"/>
      <c r="I6864" s="1"/>
      <c r="J6864" s="1"/>
      <c r="K6864" s="1"/>
      <c r="L6864" s="1"/>
      <c r="M6864" s="1"/>
      <c r="N6864" s="1"/>
      <c r="O6864" s="1"/>
      <c r="P6864" s="1"/>
      <c r="Q6864" s="1"/>
      <c r="R6864" s="1"/>
      <c r="S6864" s="1"/>
      <c r="T6864" s="1"/>
      <c r="U6864" s="1"/>
      <c r="V6864" s="1"/>
      <c r="W6864" s="1"/>
      <c r="X6864" s="1"/>
      <c r="Y6864" s="1"/>
      <c r="Z6864" s="1"/>
      <c r="AA6864" s="1"/>
      <c r="AB6864" s="1"/>
    </row>
    <row r="6865" ht="50.25" customHeight="1">
      <c r="A6865" s="12">
        <v>6861.0</v>
      </c>
      <c r="B6865" s="13" t="s">
        <v>6141</v>
      </c>
      <c r="C6865" s="14" t="s">
        <v>6888</v>
      </c>
      <c r="D6865" s="1"/>
      <c r="E6865" s="1"/>
      <c r="F6865" s="1" t="str">
        <f>IFERROR(__xludf.DUMMYFUNCTION("GOOGLETRANSLATE(B6865, ""en"", ""fa"")
"),"موفقیت آمازون")</f>
        <v>موفقیت آمازون</v>
      </c>
      <c r="G6865" s="1" t="str">
        <f>IFERROR(__xludf.DUMMYFUNCTION("GOOGLETRANSLATE(C6865, ""en"", ""fa"")
"),"در مورد مزایای انجام تجزیه و تحلیل احساسات در بررسی مشتریان برای به دست آوردن بینش در مورد درک کلی یک محصول بحث کنید.")</f>
        <v>در مورد مزایای انجام تجزیه و تحلیل احساسات در بررسی مشتریان برای به دست آوردن بینش در مورد درک کلی یک محصول بحث کنید.</v>
      </c>
      <c r="H6865" s="1"/>
      <c r="I6865" s="1"/>
      <c r="J6865" s="1"/>
      <c r="K6865" s="1"/>
      <c r="L6865" s="1"/>
      <c r="M6865" s="1"/>
      <c r="N6865" s="1"/>
      <c r="O6865" s="1"/>
      <c r="P6865" s="1"/>
      <c r="Q6865" s="1"/>
      <c r="R6865" s="1"/>
      <c r="S6865" s="1"/>
      <c r="T6865" s="1"/>
      <c r="U6865" s="1"/>
      <c r="V6865" s="1"/>
      <c r="W6865" s="1"/>
      <c r="X6865" s="1"/>
      <c r="Y6865" s="1"/>
      <c r="Z6865" s="1"/>
      <c r="AA6865" s="1"/>
      <c r="AB6865" s="1"/>
    </row>
    <row r="6866" ht="50.25" customHeight="1">
      <c r="A6866" s="12">
        <v>6862.0</v>
      </c>
      <c r="B6866" s="13" t="s">
        <v>6141</v>
      </c>
      <c r="C6866" s="14" t="s">
        <v>6889</v>
      </c>
      <c r="D6866" s="1"/>
      <c r="E6866" s="1"/>
      <c r="F6866" s="1" t="str">
        <f>IFERROR(__xludf.DUMMYFUNCTION("GOOGLETRANSLATE(B6866, ""en"", ""fa"")
"),"موفقیت آمازون")</f>
        <v>موفقیت آمازون</v>
      </c>
      <c r="G6866" s="1" t="str">
        <f>IFERROR(__xludf.DUMMYFUNCTION("GOOGLETRANSLATE(C6866, ""en"", ""fa"")
"),"بینش هایی در مورد نحوه استفاده موثر از تجزیه و تحلیل مرور برای شناسایی نقاط قوت و ضعف محصول و اطلاع رسانی درباره تصمیمات تجاری به اشتراک بگذارید.")</f>
        <v>بینش هایی در مورد نحوه استفاده موثر از تجزیه و تحلیل مرور برای شناسایی نقاط قوت و ضعف محصول و اطلاع رسانی درباره تصمیمات تجاری به اشتراک بگذارید.</v>
      </c>
      <c r="H6866" s="1"/>
      <c r="I6866" s="1"/>
      <c r="J6866" s="1"/>
      <c r="K6866" s="1"/>
      <c r="L6866" s="1"/>
      <c r="M6866" s="1"/>
      <c r="N6866" s="1"/>
      <c r="O6866" s="1"/>
      <c r="P6866" s="1"/>
      <c r="Q6866" s="1"/>
      <c r="R6866" s="1"/>
      <c r="S6866" s="1"/>
      <c r="T6866" s="1"/>
      <c r="U6866" s="1"/>
      <c r="V6866" s="1"/>
      <c r="W6866" s="1"/>
      <c r="X6866" s="1"/>
      <c r="Y6866" s="1"/>
      <c r="Z6866" s="1"/>
      <c r="AA6866" s="1"/>
      <c r="AB6866" s="1"/>
    </row>
    <row r="6867" ht="50.25" customHeight="1">
      <c r="A6867" s="12">
        <v>6863.0</v>
      </c>
      <c r="B6867" s="13" t="s">
        <v>6141</v>
      </c>
      <c r="C6867" s="14" t="s">
        <v>6890</v>
      </c>
      <c r="D6867" s="1"/>
      <c r="E6867" s="1"/>
      <c r="F6867" s="1" t="str">
        <f>IFERROR(__xludf.DUMMYFUNCTION("GOOGLETRANSLATE(B6867, ""en"", ""fa"")
"),"موفقیت آمازون")</f>
        <v>موفقیت آمازون</v>
      </c>
      <c r="G6867" s="1" t="str">
        <f>IFERROR(__xludf.DUMMYFUNCTION("GOOGLETRANSLATE(C6867, ""en"", ""fa"")
"),"فروشندگان از چه استراتژی هایی می توانند برای تشویق مشتریان برای به روز رسانی یا اصلاح نظرات موجود در آمازون استفاده کنند؟")</f>
        <v>فروشندگان از چه استراتژی هایی می توانند برای تشویق مشتریان برای به روز رسانی یا اصلاح نظرات موجود در آمازون استفاده کنند؟</v>
      </c>
      <c r="H6867" s="1"/>
      <c r="I6867" s="1"/>
      <c r="J6867" s="1"/>
      <c r="K6867" s="1"/>
      <c r="L6867" s="1"/>
      <c r="M6867" s="1"/>
      <c r="N6867" s="1"/>
      <c r="O6867" s="1"/>
      <c r="P6867" s="1"/>
      <c r="Q6867" s="1"/>
      <c r="R6867" s="1"/>
      <c r="S6867" s="1"/>
      <c r="T6867" s="1"/>
      <c r="U6867" s="1"/>
      <c r="V6867" s="1"/>
      <c r="W6867" s="1"/>
      <c r="X6867" s="1"/>
      <c r="Y6867" s="1"/>
      <c r="Z6867" s="1"/>
      <c r="AA6867" s="1"/>
      <c r="AB6867" s="1"/>
    </row>
    <row r="6868" ht="50.25" customHeight="1">
      <c r="A6868" s="12">
        <v>6864.0</v>
      </c>
      <c r="B6868" s="13" t="s">
        <v>6141</v>
      </c>
      <c r="C6868" s="14" t="s">
        <v>6891</v>
      </c>
      <c r="D6868" s="1"/>
      <c r="E6868" s="1"/>
      <c r="F6868" s="1" t="str">
        <f>IFERROR(__xludf.DUMMYFUNCTION("GOOGLETRANSLATE(B6868, ""en"", ""fa"")
"),"موفقیت آمازون")</f>
        <v>موفقیت آمازون</v>
      </c>
      <c r="G6868" s="1" t="str">
        <f>IFERROR(__xludf.DUMMYFUNCTION("GOOGLETRANSLATE(C6868, ""en"", ""fa"")
"),"اهمیت نظارت و گزارش بررسی های تقلبی یا دستکاری را برای حفظ یک بازار منصفانه و قابل اعتماد توضیح دهید.")</f>
        <v>اهمیت نظارت و گزارش بررسی های تقلبی یا دستکاری را برای حفظ یک بازار منصفانه و قابل اعتماد توضیح دهید.</v>
      </c>
      <c r="H6868" s="1"/>
      <c r="I6868" s="1"/>
      <c r="J6868" s="1"/>
      <c r="K6868" s="1"/>
      <c r="L6868" s="1"/>
      <c r="M6868" s="1"/>
      <c r="N6868" s="1"/>
      <c r="O6868" s="1"/>
      <c r="P6868" s="1"/>
      <c r="Q6868" s="1"/>
      <c r="R6868" s="1"/>
      <c r="S6868" s="1"/>
      <c r="T6868" s="1"/>
      <c r="U6868" s="1"/>
      <c r="V6868" s="1"/>
      <c r="W6868" s="1"/>
      <c r="X6868" s="1"/>
      <c r="Y6868" s="1"/>
      <c r="Z6868" s="1"/>
      <c r="AA6868" s="1"/>
      <c r="AB6868" s="1"/>
    </row>
    <row r="6869" ht="50.25" customHeight="1">
      <c r="A6869" s="12">
        <v>6865.0</v>
      </c>
      <c r="B6869" s="13" t="s">
        <v>6141</v>
      </c>
      <c r="C6869" s="14" t="s">
        <v>6892</v>
      </c>
      <c r="D6869" s="1"/>
      <c r="E6869" s="1"/>
      <c r="F6869" s="1" t="str">
        <f>IFERROR(__xludf.DUMMYFUNCTION("GOOGLETRANSLATE(B6869, ""en"", ""fa"")
"),"موفقیت آمازون")</f>
        <v>موفقیت آمازون</v>
      </c>
      <c r="G6869" s="1" t="str">
        <f>IFERROR(__xludf.DUMMYFUNCTION("GOOGLETRANSLATE(C6869, ""en"", ""fa"")
"),"فروشندگان چگونه می‌توانند از نظرات و رتبه‌بندی‌های مثبت برای ایجاد شهرت و وفاداری برند در میان مشتریان آمازون استفاده کنند؟")</f>
        <v>فروشندگان چگونه می‌توانند از نظرات و رتبه‌بندی‌های مثبت برای ایجاد شهرت و وفاداری برند در میان مشتریان آمازون استفاده کنند؟</v>
      </c>
      <c r="H6869" s="1"/>
      <c r="I6869" s="1"/>
      <c r="J6869" s="1"/>
      <c r="K6869" s="1"/>
      <c r="L6869" s="1"/>
      <c r="M6869" s="1"/>
      <c r="N6869" s="1"/>
      <c r="O6869" s="1"/>
      <c r="P6869" s="1"/>
      <c r="Q6869" s="1"/>
      <c r="R6869" s="1"/>
      <c r="S6869" s="1"/>
      <c r="T6869" s="1"/>
      <c r="U6869" s="1"/>
      <c r="V6869" s="1"/>
      <c r="W6869" s="1"/>
      <c r="X6869" s="1"/>
      <c r="Y6869" s="1"/>
      <c r="Z6869" s="1"/>
      <c r="AA6869" s="1"/>
      <c r="AB6869" s="1"/>
    </row>
    <row r="6870" ht="50.25" customHeight="1">
      <c r="A6870" s="12">
        <v>6866.0</v>
      </c>
      <c r="B6870" s="13" t="s">
        <v>6141</v>
      </c>
      <c r="C6870" s="14" t="s">
        <v>6893</v>
      </c>
      <c r="D6870" s="1"/>
      <c r="E6870" s="1"/>
      <c r="F6870" s="1" t="str">
        <f>IFERROR(__xludf.DUMMYFUNCTION("GOOGLETRANSLATE(B6870, ""en"", ""fa"")
"),"موفقیت آمازون")</f>
        <v>موفقیت آمازون</v>
      </c>
      <c r="G6870" s="1" t="str">
        <f>IFERROR(__xludf.DUMMYFUNCTION("GOOGLETRANSLATE(C6870, ""en"", ""fa"")
"),"در مورد تأثیر عناصر بصری، مانند تصاویر یا ویدیوهای محصول، بر ادراک مشتری بحث کنید و تعامل را بررسی کنید.")</f>
        <v>در مورد تأثیر عناصر بصری، مانند تصاویر یا ویدیوهای محصول، بر ادراک مشتری بحث کنید و تعامل را بررسی کنید.</v>
      </c>
      <c r="H6870" s="1"/>
      <c r="I6870" s="1"/>
      <c r="J6870" s="1"/>
      <c r="K6870" s="1"/>
      <c r="L6870" s="1"/>
      <c r="M6870" s="1"/>
      <c r="N6870" s="1"/>
      <c r="O6870" s="1"/>
      <c r="P6870" s="1"/>
      <c r="Q6870" s="1"/>
      <c r="R6870" s="1"/>
      <c r="S6870" s="1"/>
      <c r="T6870" s="1"/>
      <c r="U6870" s="1"/>
      <c r="V6870" s="1"/>
      <c r="W6870" s="1"/>
      <c r="X6870" s="1"/>
      <c r="Y6870" s="1"/>
      <c r="Z6870" s="1"/>
      <c r="AA6870" s="1"/>
      <c r="AB6870" s="1"/>
    </row>
    <row r="6871" ht="50.25" customHeight="1">
      <c r="A6871" s="12">
        <v>6867.0</v>
      </c>
      <c r="B6871" s="13" t="s">
        <v>6141</v>
      </c>
      <c r="C6871" s="14" t="s">
        <v>6894</v>
      </c>
      <c r="D6871" s="1"/>
      <c r="E6871" s="1"/>
      <c r="F6871" s="1" t="str">
        <f>IFERROR(__xludf.DUMMYFUNCTION("GOOGLETRANSLATE(B6871, ""en"", ""fa"")
"),"موفقیت آمازون")</f>
        <v>موفقیت آمازون</v>
      </c>
      <c r="G6871" s="1" t="str">
        <f>IFERROR(__xludf.DUMMYFUNCTION("GOOGLETRANSLATE(C6871, ""en"", ""fa"")
"),"نکاتی را برای تشویق مشتریان به ارائه نظرات دقیق و آموزنده به اشتراک بگذارید که می تواند به سایر خریداران بالقوه در تصمیم گیری آگاهانه کمک کند.")</f>
        <v>نکاتی را برای تشویق مشتریان به ارائه نظرات دقیق و آموزنده به اشتراک بگذارید که می تواند به سایر خریداران بالقوه در تصمیم گیری آگاهانه کمک کند.</v>
      </c>
      <c r="H6871" s="1"/>
      <c r="I6871" s="1"/>
      <c r="J6871" s="1"/>
      <c r="K6871" s="1"/>
      <c r="L6871" s="1"/>
      <c r="M6871" s="1"/>
      <c r="N6871" s="1"/>
      <c r="O6871" s="1"/>
      <c r="P6871" s="1"/>
      <c r="Q6871" s="1"/>
      <c r="R6871" s="1"/>
      <c r="S6871" s="1"/>
      <c r="T6871" s="1"/>
      <c r="U6871" s="1"/>
      <c r="V6871" s="1"/>
      <c r="W6871" s="1"/>
      <c r="X6871" s="1"/>
      <c r="Y6871" s="1"/>
      <c r="Z6871" s="1"/>
      <c r="AA6871" s="1"/>
      <c r="AB6871" s="1"/>
    </row>
    <row r="6872" ht="50.25" customHeight="1">
      <c r="A6872" s="12">
        <v>6868.0</v>
      </c>
      <c r="B6872" s="13" t="s">
        <v>6141</v>
      </c>
      <c r="C6872" s="14" t="s">
        <v>6895</v>
      </c>
      <c r="D6872" s="1"/>
      <c r="E6872" s="1"/>
      <c r="F6872" s="1" t="str">
        <f>IFERROR(__xludf.DUMMYFUNCTION("GOOGLETRANSLATE(B6872, ""en"", ""fa"")
"),"موفقیت آمازون")</f>
        <v>موفقیت آمازون</v>
      </c>
      <c r="G6872" s="1" t="str">
        <f>IFERROR(__xludf.DUMMYFUNCTION("GOOGLETRANSLATE(C6872, ""en"", ""fa"")
"),"ملاحظات کلیدی هنگام استفاده از بازخورد و نظرات مشتری برای بهینه سازی لیست محصولات و استراتژی های بازاریابی چیست؟")</f>
        <v>ملاحظات کلیدی هنگام استفاده از بازخورد و نظرات مشتری برای بهینه سازی لیست محصولات و استراتژی های بازاریابی چیست؟</v>
      </c>
      <c r="H6872" s="1"/>
      <c r="I6872" s="1"/>
      <c r="J6872" s="1"/>
      <c r="K6872" s="1"/>
      <c r="L6872" s="1"/>
      <c r="M6872" s="1"/>
      <c r="N6872" s="1"/>
      <c r="O6872" s="1"/>
      <c r="P6872" s="1"/>
      <c r="Q6872" s="1"/>
      <c r="R6872" s="1"/>
      <c r="S6872" s="1"/>
      <c r="T6872" s="1"/>
      <c r="U6872" s="1"/>
      <c r="V6872" s="1"/>
      <c r="W6872" s="1"/>
      <c r="X6872" s="1"/>
      <c r="Y6872" s="1"/>
      <c r="Z6872" s="1"/>
      <c r="AA6872" s="1"/>
      <c r="AB6872" s="1"/>
    </row>
    <row r="6873" ht="50.25" customHeight="1">
      <c r="A6873" s="12">
        <v>6869.0</v>
      </c>
      <c r="B6873" s="13" t="s">
        <v>6141</v>
      </c>
      <c r="C6873" s="14" t="s">
        <v>6896</v>
      </c>
      <c r="D6873" s="1"/>
      <c r="E6873" s="1"/>
      <c r="F6873" s="1" t="str">
        <f>IFERROR(__xludf.DUMMYFUNCTION("GOOGLETRANSLATE(B6873, ""en"", ""fa"")
"),"موفقیت آمازون")</f>
        <v>موفقیت آمازون</v>
      </c>
      <c r="G6873" s="1" t="str">
        <f>IFERROR(__xludf.DUMMYFUNCTION("GOOGLETRANSLATE(C6873, ""en"", ""fa"")
"),"اهمیت استفاده از بینش های بازبینی برای درک ترجیحات، ترجیحات و نقاط دردسر مشتری برای توسعه محصول جدید را توضیح دهید.")</f>
        <v>اهمیت استفاده از بینش های بازبینی برای درک ترجیحات، ترجیحات و نقاط دردسر مشتری برای توسعه محصول جدید را توضیح دهید.</v>
      </c>
      <c r="H6873" s="1"/>
      <c r="I6873" s="1"/>
      <c r="J6873" s="1"/>
      <c r="K6873" s="1"/>
      <c r="L6873" s="1"/>
      <c r="M6873" s="1"/>
      <c r="N6873" s="1"/>
      <c r="O6873" s="1"/>
      <c r="P6873" s="1"/>
      <c r="Q6873" s="1"/>
      <c r="R6873" s="1"/>
      <c r="S6873" s="1"/>
      <c r="T6873" s="1"/>
      <c r="U6873" s="1"/>
      <c r="V6873" s="1"/>
      <c r="W6873" s="1"/>
      <c r="X6873" s="1"/>
      <c r="Y6873" s="1"/>
      <c r="Z6873" s="1"/>
      <c r="AA6873" s="1"/>
      <c r="AB6873" s="1"/>
    </row>
    <row r="6874" ht="50.25" customHeight="1">
      <c r="A6874" s="12">
        <v>6870.0</v>
      </c>
      <c r="B6874" s="13" t="s">
        <v>6141</v>
      </c>
      <c r="C6874" s="14" t="s">
        <v>6897</v>
      </c>
      <c r="D6874" s="1"/>
      <c r="E6874" s="1"/>
      <c r="F6874" s="1" t="str">
        <f>IFERROR(__xludf.DUMMYFUNCTION("GOOGLETRANSLATE(B6874, ""en"", ""fa"")
"),"موفقیت آمازون")</f>
        <v>موفقیت آمازون</v>
      </c>
      <c r="G6874" s="1" t="str">
        <f>IFERROR(__xludf.DUMMYFUNCTION("GOOGLETRANSLATE(C6874, ""en"", ""fa"")
"),"چگونه فروشندگان می توانند از نظرات و رتبه بندی های مثبت برای به دست آوردن مزیت رقابتی و افزایش شانس خود برای برنده شدن جعبه خرید استفاده کنند؟")</f>
        <v>چگونه فروشندگان می توانند از نظرات و رتبه بندی های مثبت برای به دست آوردن مزیت رقابتی و افزایش شانس خود برای برنده شدن جعبه خرید استفاده کنند؟</v>
      </c>
      <c r="H6874" s="1"/>
      <c r="I6874" s="1"/>
      <c r="J6874" s="1"/>
      <c r="K6874" s="1"/>
      <c r="L6874" s="1"/>
      <c r="M6874" s="1"/>
      <c r="N6874" s="1"/>
      <c r="O6874" s="1"/>
      <c r="P6874" s="1"/>
      <c r="Q6874" s="1"/>
      <c r="R6874" s="1"/>
      <c r="S6874" s="1"/>
      <c r="T6874" s="1"/>
      <c r="U6874" s="1"/>
      <c r="V6874" s="1"/>
      <c r="W6874" s="1"/>
      <c r="X6874" s="1"/>
      <c r="Y6874" s="1"/>
      <c r="Z6874" s="1"/>
      <c r="AA6874" s="1"/>
      <c r="AB6874" s="1"/>
    </row>
    <row r="6875" ht="50.25" customHeight="1">
      <c r="A6875" s="12">
        <v>6871.0</v>
      </c>
      <c r="B6875" s="13" t="s">
        <v>6141</v>
      </c>
      <c r="C6875" s="14" t="s">
        <v>6898</v>
      </c>
      <c r="D6875" s="1"/>
      <c r="E6875" s="1"/>
      <c r="F6875" s="1" t="str">
        <f>IFERROR(__xludf.DUMMYFUNCTION("GOOGLETRANSLATE(B6875, ""en"", ""fa"")
"),"موفقیت آمازون")</f>
        <v>موفقیت آمازون</v>
      </c>
      <c r="G6875" s="1" t="str">
        <f>IFERROR(__xludf.DUMMYFUNCTION("GOOGLETRANSLATE(C6875, ""en"", ""fa"")
"),"در مورد مزایای استفاده از ایمیل‌های درخواست بازبینی یا پیگیری‌های پس از خرید برای تشویق مشتریان به اشتراک‌گذاری تجربیات خود بحث کنید.")</f>
        <v>در مورد مزایای استفاده از ایمیل‌های درخواست بازبینی یا پیگیری‌های پس از خرید برای تشویق مشتریان به اشتراک‌گذاری تجربیات خود بحث کنید.</v>
      </c>
      <c r="H6875" s="1"/>
      <c r="I6875" s="1"/>
      <c r="J6875" s="1"/>
      <c r="K6875" s="1"/>
      <c r="L6875" s="1"/>
      <c r="M6875" s="1"/>
      <c r="N6875" s="1"/>
      <c r="O6875" s="1"/>
      <c r="P6875" s="1"/>
      <c r="Q6875" s="1"/>
      <c r="R6875" s="1"/>
      <c r="S6875" s="1"/>
      <c r="T6875" s="1"/>
      <c r="U6875" s="1"/>
      <c r="V6875" s="1"/>
      <c r="W6875" s="1"/>
      <c r="X6875" s="1"/>
      <c r="Y6875" s="1"/>
      <c r="Z6875" s="1"/>
      <c r="AA6875" s="1"/>
      <c r="AB6875" s="1"/>
    </row>
    <row r="6876" ht="50.25" customHeight="1">
      <c r="A6876" s="12">
        <v>6872.0</v>
      </c>
      <c r="B6876" s="13" t="s">
        <v>6141</v>
      </c>
      <c r="C6876" s="14" t="s">
        <v>6899</v>
      </c>
      <c r="D6876" s="1"/>
      <c r="E6876" s="1"/>
      <c r="F6876" s="1" t="str">
        <f>IFERROR(__xludf.DUMMYFUNCTION("GOOGLETRANSLATE(B6876, ""en"", ""fa"")
"),"موفقیت آمازون")</f>
        <v>موفقیت آمازون</v>
      </c>
      <c r="G6876" s="1" t="str">
        <f>IFERROR(__xludf.DUMMYFUNCTION("GOOGLETRANSLATE(C6876, ""en"", ""fa"")
"),"بینش هایی را در مورد چگونگی استفاده موثر از توصیفات مشتری و نظرات مثبت در بازاریابی رسانه های اجتماعی و کمپین های تبلیغاتی به اشتراک بگذارید.")</f>
        <v>بینش هایی را در مورد چگونگی استفاده موثر از توصیفات مشتری و نظرات مثبت در بازاریابی رسانه های اجتماعی و کمپین های تبلیغاتی به اشتراک بگذارید.</v>
      </c>
      <c r="H6876" s="1"/>
      <c r="I6876" s="1"/>
      <c r="J6876" s="1"/>
      <c r="K6876" s="1"/>
      <c r="L6876" s="1"/>
      <c r="M6876" s="1"/>
      <c r="N6876" s="1"/>
      <c r="O6876" s="1"/>
      <c r="P6876" s="1"/>
      <c r="Q6876" s="1"/>
      <c r="R6876" s="1"/>
      <c r="S6876" s="1"/>
      <c r="T6876" s="1"/>
      <c r="U6876" s="1"/>
      <c r="V6876" s="1"/>
      <c r="W6876" s="1"/>
      <c r="X6876" s="1"/>
      <c r="Y6876" s="1"/>
      <c r="Z6876" s="1"/>
      <c r="AA6876" s="1"/>
      <c r="AB6876" s="1"/>
    </row>
    <row r="6877" ht="50.25" customHeight="1">
      <c r="A6877" s="12">
        <v>6873.0</v>
      </c>
      <c r="B6877" s="13" t="s">
        <v>6141</v>
      </c>
      <c r="C6877" s="14" t="s">
        <v>6900</v>
      </c>
      <c r="D6877" s="1"/>
      <c r="E6877" s="1"/>
      <c r="F6877" s="1" t="str">
        <f>IFERROR(__xludf.DUMMYFUNCTION("GOOGLETRANSLATE(B6877, ""en"", ""fa"")
"),"موفقیت آمازون")</f>
        <v>موفقیت آمازون</v>
      </c>
      <c r="G6877" s="1" t="str">
        <f>IFERROR(__xludf.DUMMYFUNCTION("GOOGLETRANSLATE(C6877, ""en"", ""fa"")
"),"فروشندگان چه استراتژی هایی می توانند برای رسیدگی و حل و فصل مسائل مشتریان ذکر شده در بررسی های منفی و تبدیل آنها به تجربیات مثبت به کار گیرند؟")</f>
        <v>فروشندگان چه استراتژی هایی می توانند برای رسیدگی و حل و فصل مسائل مشتریان ذکر شده در بررسی های منفی و تبدیل آنها به تجربیات مثبت به کار گیرند؟</v>
      </c>
      <c r="H6877" s="1"/>
      <c r="I6877" s="1"/>
      <c r="J6877" s="1"/>
      <c r="K6877" s="1"/>
      <c r="L6877" s="1"/>
      <c r="M6877" s="1"/>
      <c r="N6877" s="1"/>
      <c r="O6877" s="1"/>
      <c r="P6877" s="1"/>
      <c r="Q6877" s="1"/>
      <c r="R6877" s="1"/>
      <c r="S6877" s="1"/>
      <c r="T6877" s="1"/>
      <c r="U6877" s="1"/>
      <c r="V6877" s="1"/>
      <c r="W6877" s="1"/>
      <c r="X6877" s="1"/>
      <c r="Y6877" s="1"/>
      <c r="Z6877" s="1"/>
      <c r="AA6877" s="1"/>
      <c r="AB6877" s="1"/>
    </row>
    <row r="6878" ht="50.25" customHeight="1">
      <c r="A6878" s="12">
        <v>6874.0</v>
      </c>
      <c r="B6878" s="13" t="s">
        <v>6141</v>
      </c>
      <c r="C6878" s="14" t="s">
        <v>6901</v>
      </c>
      <c r="D6878" s="1"/>
      <c r="E6878" s="1"/>
      <c r="F6878" s="1" t="str">
        <f>IFERROR(__xludf.DUMMYFUNCTION("GOOGLETRANSLATE(B6878, ""en"", ""fa"")
"),"موفقیت آمازون")</f>
        <v>موفقیت آمازون</v>
      </c>
      <c r="G6878" s="1" t="str">
        <f>IFERROR(__xludf.DUMMYFUNCTION("GOOGLETRANSLATE(C6878, ""en"", ""fa"")
"),"اهمیت نظارت و مدیریت فعال بررسی های محصول را برای اطمینان از انطباق با خط مشی ها و دستورالعمل های بررسی آمازون توضیح دهید.")</f>
        <v>اهمیت نظارت و مدیریت فعال بررسی های محصول را برای اطمینان از انطباق با خط مشی ها و دستورالعمل های بررسی آمازون توضیح دهید.</v>
      </c>
      <c r="H6878" s="1"/>
      <c r="I6878" s="1"/>
      <c r="J6878" s="1"/>
      <c r="K6878" s="1"/>
      <c r="L6878" s="1"/>
      <c r="M6878" s="1"/>
      <c r="N6878" s="1"/>
      <c r="O6878" s="1"/>
      <c r="P6878" s="1"/>
      <c r="Q6878" s="1"/>
      <c r="R6878" s="1"/>
      <c r="S6878" s="1"/>
      <c r="T6878" s="1"/>
      <c r="U6878" s="1"/>
      <c r="V6878" s="1"/>
      <c r="W6878" s="1"/>
      <c r="X6878" s="1"/>
      <c r="Y6878" s="1"/>
      <c r="Z6878" s="1"/>
      <c r="AA6878" s="1"/>
      <c r="AB6878" s="1"/>
    </row>
    <row r="6879" ht="50.25" customHeight="1">
      <c r="A6879" s="12">
        <v>6875.0</v>
      </c>
      <c r="B6879" s="13" t="s">
        <v>6141</v>
      </c>
      <c r="C6879" s="14" t="s">
        <v>6902</v>
      </c>
      <c r="D6879" s="1"/>
      <c r="E6879" s="1"/>
      <c r="F6879" s="1" t="str">
        <f>IFERROR(__xludf.DUMMYFUNCTION("GOOGLETRANSLATE(B6879, ""en"", ""fa"")
"),"موفقیت آمازون")</f>
        <v>موفقیت آمازون</v>
      </c>
      <c r="G6879" s="1" t="str">
        <f>IFERROR(__xludf.DUMMYFUNCTION("GOOGLETRANSLATE(C6879, ""en"", ""fa"")
"),"چگونه فروشندگان می توانند از نظرات و رتبه بندی های مثبت برای ایجاد اعتماد و تثبیت خود به عنوان برندهای معتبر در جایگاه های مربوطه استفاده کنند؟")</f>
        <v>چگونه فروشندگان می توانند از نظرات و رتبه بندی های مثبت برای ایجاد اعتماد و تثبیت خود به عنوان برندهای معتبر در جایگاه های مربوطه استفاده کنند؟</v>
      </c>
      <c r="H6879" s="1"/>
      <c r="I6879" s="1"/>
      <c r="J6879" s="1"/>
      <c r="K6879" s="1"/>
      <c r="L6879" s="1"/>
      <c r="M6879" s="1"/>
      <c r="N6879" s="1"/>
      <c r="O6879" s="1"/>
      <c r="P6879" s="1"/>
      <c r="Q6879" s="1"/>
      <c r="R6879" s="1"/>
      <c r="S6879" s="1"/>
      <c r="T6879" s="1"/>
      <c r="U6879" s="1"/>
      <c r="V6879" s="1"/>
      <c r="W6879" s="1"/>
      <c r="X6879" s="1"/>
      <c r="Y6879" s="1"/>
      <c r="Z6879" s="1"/>
      <c r="AA6879" s="1"/>
      <c r="AB6879" s="1"/>
    </row>
    <row r="6880" ht="50.25" customHeight="1">
      <c r="A6880" s="12">
        <v>6876.0</v>
      </c>
      <c r="B6880" s="13" t="s">
        <v>6141</v>
      </c>
      <c r="C6880" s="14" t="s">
        <v>6903</v>
      </c>
      <c r="D6880" s="1"/>
      <c r="E6880" s="1"/>
      <c r="F6880" s="1" t="str">
        <f>IFERROR(__xludf.DUMMYFUNCTION("GOOGLETRANSLATE(B6880, ""en"", ""fa"")
"),"موفقیت آمازون")</f>
        <v>موفقیت آمازون</v>
      </c>
      <c r="G6880" s="1" t="str">
        <f>IFERROR(__xludf.DUMMYFUNCTION("GOOGLETRANSLATE(C6880, ""en"", ""fa"")
"),"درباره تأثیر نظرات و رتبه‌بندی‌های مشتریان بر واجد شرایط بودن نشان انتخاب آمازون و بهترین فروشنده برای یک محصول بحث کنید.")</f>
        <v>درباره تأثیر نظرات و رتبه‌بندی‌های مشتریان بر واجد شرایط بودن نشان انتخاب آمازون و بهترین فروشنده برای یک محصول بحث کنید.</v>
      </c>
      <c r="H6880" s="1"/>
      <c r="I6880" s="1"/>
      <c r="J6880" s="1"/>
      <c r="K6880" s="1"/>
      <c r="L6880" s="1"/>
      <c r="M6880" s="1"/>
      <c r="N6880" s="1"/>
      <c r="O6880" s="1"/>
      <c r="P6880" s="1"/>
      <c r="Q6880" s="1"/>
      <c r="R6880" s="1"/>
      <c r="S6880" s="1"/>
      <c r="T6880" s="1"/>
      <c r="U6880" s="1"/>
      <c r="V6880" s="1"/>
      <c r="W6880" s="1"/>
      <c r="X6880" s="1"/>
      <c r="Y6880" s="1"/>
      <c r="Z6880" s="1"/>
      <c r="AA6880" s="1"/>
      <c r="AB6880" s="1"/>
    </row>
    <row r="6881" ht="50.25" customHeight="1">
      <c r="A6881" s="12">
        <v>6877.0</v>
      </c>
      <c r="B6881" s="13" t="s">
        <v>6141</v>
      </c>
      <c r="C6881" s="14" t="s">
        <v>6904</v>
      </c>
      <c r="D6881" s="1"/>
      <c r="E6881" s="1"/>
      <c r="F6881" s="1" t="str">
        <f>IFERROR(__xludf.DUMMYFUNCTION("GOOGLETRANSLATE(B6881, ""en"", ""fa"")
"),"موفقیت آمازون")</f>
        <v>موفقیت آمازون</v>
      </c>
      <c r="G6881" s="1" t="str">
        <f>IFERROR(__xludf.DUMMYFUNCTION("GOOGLETRANSLATE(C6881, ""en"", ""fa"")
"),"نکاتی را برای استفاده از نظرات و رتبه بندی مشتریان به عنوان محتوای ارزشمند برای بهینه سازی سئو و هدایت ترافیک ارگانیک به لیست محصولات به اشتراک بگذارید.")</f>
        <v>نکاتی را برای استفاده از نظرات و رتبه بندی مشتریان به عنوان محتوای ارزشمند برای بهینه سازی سئو و هدایت ترافیک ارگانیک به لیست محصولات به اشتراک بگذارید.</v>
      </c>
      <c r="H6881" s="1"/>
      <c r="I6881" s="1"/>
      <c r="J6881" s="1"/>
      <c r="K6881" s="1"/>
      <c r="L6881" s="1"/>
      <c r="M6881" s="1"/>
      <c r="N6881" s="1"/>
      <c r="O6881" s="1"/>
      <c r="P6881" s="1"/>
      <c r="Q6881" s="1"/>
      <c r="R6881" s="1"/>
      <c r="S6881" s="1"/>
      <c r="T6881" s="1"/>
      <c r="U6881" s="1"/>
      <c r="V6881" s="1"/>
      <c r="W6881" s="1"/>
      <c r="X6881" s="1"/>
      <c r="Y6881" s="1"/>
      <c r="Z6881" s="1"/>
      <c r="AA6881" s="1"/>
      <c r="AB6881" s="1"/>
    </row>
    <row r="6882" ht="50.25" customHeight="1">
      <c r="A6882" s="12">
        <v>6878.0</v>
      </c>
      <c r="B6882" s="13" t="s">
        <v>6141</v>
      </c>
      <c r="C6882" s="14" t="s">
        <v>6905</v>
      </c>
      <c r="D6882" s="1"/>
      <c r="E6882" s="1"/>
      <c r="F6882" s="1" t="str">
        <f>IFERROR(__xludf.DUMMYFUNCTION("GOOGLETRANSLATE(B6882, ""en"", ""fa"")
"),"موفقیت آمازون")</f>
        <v>موفقیت آمازون</v>
      </c>
      <c r="G6882" s="1" t="str">
        <f>IFERROR(__xludf.DUMMYFUNCTION("GOOGLETRANSLATE(C6882, ""en"", ""fa"")
"),"ملاحظات کلیدی هنگام استفاده از ابزارهای نظارت بر بررسی برای ردیابی و تجزیه و تحلیل نظرات و بازخورد رقبا چیست؟")</f>
        <v>ملاحظات کلیدی هنگام استفاده از ابزارهای نظارت بر بررسی برای ردیابی و تجزیه و تحلیل نظرات و بازخورد رقبا چیست؟</v>
      </c>
      <c r="H6882" s="1"/>
      <c r="I6882" s="1"/>
      <c r="J6882" s="1"/>
      <c r="K6882" s="1"/>
      <c r="L6882" s="1"/>
      <c r="M6882" s="1"/>
      <c r="N6882" s="1"/>
      <c r="O6882" s="1"/>
      <c r="P6882" s="1"/>
      <c r="Q6882" s="1"/>
      <c r="R6882" s="1"/>
      <c r="S6882" s="1"/>
      <c r="T6882" s="1"/>
      <c r="U6882" s="1"/>
      <c r="V6882" s="1"/>
      <c r="W6882" s="1"/>
      <c r="X6882" s="1"/>
      <c r="Y6882" s="1"/>
      <c r="Z6882" s="1"/>
      <c r="AA6882" s="1"/>
      <c r="AB6882" s="1"/>
    </row>
    <row r="6883" ht="50.25" customHeight="1">
      <c r="A6883" s="12">
        <v>6879.0</v>
      </c>
      <c r="B6883" s="13" t="s">
        <v>6141</v>
      </c>
      <c r="C6883" s="14" t="s">
        <v>6906</v>
      </c>
      <c r="D6883" s="1"/>
      <c r="E6883" s="1"/>
      <c r="F6883" s="1" t="str">
        <f>IFERROR(__xludf.DUMMYFUNCTION("GOOGLETRANSLATE(B6883, ""en"", ""fa"")
"),"موفقیت آمازون")</f>
        <v>موفقیت آمازون</v>
      </c>
      <c r="G6883" s="1" t="str">
        <f>IFERROR(__xludf.DUMMYFUNCTION("GOOGLETRANSLATE(C6883, ""en"", ""fa"")
"),"اهمیت حفظ تعادل بین بررسی های درخواستی و ارگانیک برای حفظ یکپارچگی و صحت بازخورد مشتری را توضیح دهید.")</f>
        <v>اهمیت حفظ تعادل بین بررسی های درخواستی و ارگانیک برای حفظ یکپارچگی و صحت بازخورد مشتری را توضیح دهید.</v>
      </c>
      <c r="H6883" s="1"/>
      <c r="I6883" s="1"/>
      <c r="J6883" s="1"/>
      <c r="K6883" s="1"/>
      <c r="L6883" s="1"/>
      <c r="M6883" s="1"/>
      <c r="N6883" s="1"/>
      <c r="O6883" s="1"/>
      <c r="P6883" s="1"/>
      <c r="Q6883" s="1"/>
      <c r="R6883" s="1"/>
      <c r="S6883" s="1"/>
      <c r="T6883" s="1"/>
      <c r="U6883" s="1"/>
      <c r="V6883" s="1"/>
      <c r="W6883" s="1"/>
      <c r="X6883" s="1"/>
      <c r="Y6883" s="1"/>
      <c r="Z6883" s="1"/>
      <c r="AA6883" s="1"/>
      <c r="AB6883" s="1"/>
    </row>
    <row r="6884" ht="50.25" customHeight="1">
      <c r="A6884" s="12">
        <v>6880.0</v>
      </c>
      <c r="B6884" s="13" t="s">
        <v>6141</v>
      </c>
      <c r="C6884" s="14" t="s">
        <v>6907</v>
      </c>
      <c r="D6884" s="1"/>
      <c r="E6884" s="1"/>
      <c r="F6884" s="1" t="str">
        <f>IFERROR(__xludf.DUMMYFUNCTION("GOOGLETRANSLATE(B6884, ""en"", ""fa"")
"),"موفقیت آمازون")</f>
        <v>موفقیت آمازون</v>
      </c>
      <c r="G6884" s="1" t="str">
        <f>IFERROR(__xludf.DUMMYFUNCTION("GOOGLETRANSLATE(C6884, ""en"", ""fa"")
"),"چگونه فروشندگان می توانند به طور موثر از پلتفرم ها یا ویجت های جمع آوری نظرات برای نمایش و نمایش نظرات در وب سایت ها یا کانال های خارجی خود استفاده کنند؟")</f>
        <v>چگونه فروشندگان می توانند به طور موثر از پلتفرم ها یا ویجت های جمع آوری نظرات برای نمایش و نمایش نظرات در وب سایت ها یا کانال های خارجی خود استفاده کنند؟</v>
      </c>
      <c r="H6884" s="1"/>
      <c r="I6884" s="1"/>
      <c r="J6884" s="1"/>
      <c r="K6884" s="1"/>
      <c r="L6884" s="1"/>
      <c r="M6884" s="1"/>
      <c r="N6884" s="1"/>
      <c r="O6884" s="1"/>
      <c r="P6884" s="1"/>
      <c r="Q6884" s="1"/>
      <c r="R6884" s="1"/>
      <c r="S6884" s="1"/>
      <c r="T6884" s="1"/>
      <c r="U6884" s="1"/>
      <c r="V6884" s="1"/>
      <c r="W6884" s="1"/>
      <c r="X6884" s="1"/>
      <c r="Y6884" s="1"/>
      <c r="Z6884" s="1"/>
      <c r="AA6884" s="1"/>
      <c r="AB6884" s="1"/>
    </row>
    <row r="6885" ht="50.25" customHeight="1">
      <c r="A6885" s="12">
        <v>6881.0</v>
      </c>
      <c r="B6885" s="13" t="s">
        <v>6141</v>
      </c>
      <c r="C6885" s="14" t="s">
        <v>6908</v>
      </c>
      <c r="D6885" s="1"/>
      <c r="E6885" s="1"/>
      <c r="F6885" s="1" t="str">
        <f>IFERROR(__xludf.DUMMYFUNCTION("GOOGLETRANSLATE(B6885, ""en"", ""fa"")
"),"موفقیت آمازون")</f>
        <v>موفقیت آمازون</v>
      </c>
      <c r="G6885" s="1" t="str">
        <f>IFERROR(__xludf.DUMMYFUNCTION("GOOGLETRANSLATE(C6885, ""en"", ""fa"")
"),"در مورد مزایای استفاده از نظرات و رتبه بندی مشتریان برای شناسایی فرصت های تمایز محصول و مزیت رقابتی بحث کنید.")</f>
        <v>در مورد مزایای استفاده از نظرات و رتبه بندی مشتریان برای شناسایی فرصت های تمایز محصول و مزیت رقابتی بحث کنید.</v>
      </c>
      <c r="H6885" s="1"/>
      <c r="I6885" s="1"/>
      <c r="J6885" s="1"/>
      <c r="K6885" s="1"/>
      <c r="L6885" s="1"/>
      <c r="M6885" s="1"/>
      <c r="N6885" s="1"/>
      <c r="O6885" s="1"/>
      <c r="P6885" s="1"/>
      <c r="Q6885" s="1"/>
      <c r="R6885" s="1"/>
      <c r="S6885" s="1"/>
      <c r="T6885" s="1"/>
      <c r="U6885" s="1"/>
      <c r="V6885" s="1"/>
      <c r="W6885" s="1"/>
      <c r="X6885" s="1"/>
      <c r="Y6885" s="1"/>
      <c r="Z6885" s="1"/>
      <c r="AA6885" s="1"/>
      <c r="AB6885" s="1"/>
    </row>
    <row r="6886" ht="50.25" customHeight="1">
      <c r="A6886" s="12">
        <v>6882.0</v>
      </c>
      <c r="B6886" s="13" t="s">
        <v>6141</v>
      </c>
      <c r="C6886" s="14" t="s">
        <v>6909</v>
      </c>
      <c r="D6886" s="1"/>
      <c r="E6886" s="1"/>
      <c r="F6886" s="1" t="str">
        <f>IFERROR(__xludf.DUMMYFUNCTION("GOOGLETRANSLATE(B6886, ""en"", ""fa"")
"),"موفقیت آمازون")</f>
        <v>موفقیت آمازون</v>
      </c>
      <c r="G6886" s="1" t="str">
        <f>IFERROR(__xludf.DUMMYFUNCTION("GOOGLETRANSLATE(C6886, ""en"", ""fa"")
"),"با ارائه مشوق‌هایی بدون نقض شرایط خدمات آمازون، بینش‌هایی درباره نحوه تشویق مشتریان به نظرات و رتبه‌بندی‌ها به اشتراک بگذارید.")</f>
        <v>با ارائه مشوق‌هایی بدون نقض شرایط خدمات آمازون، بینش‌هایی درباره نحوه تشویق مشتریان به نظرات و رتبه‌بندی‌ها به اشتراک بگذارید.</v>
      </c>
      <c r="H6886" s="1"/>
      <c r="I6886" s="1"/>
      <c r="J6886" s="1"/>
      <c r="K6886" s="1"/>
      <c r="L6886" s="1"/>
      <c r="M6886" s="1"/>
      <c r="N6886" s="1"/>
      <c r="O6886" s="1"/>
      <c r="P6886" s="1"/>
      <c r="Q6886" s="1"/>
      <c r="R6886" s="1"/>
      <c r="S6886" s="1"/>
      <c r="T6886" s="1"/>
      <c r="U6886" s="1"/>
      <c r="V6886" s="1"/>
      <c r="W6886" s="1"/>
      <c r="X6886" s="1"/>
      <c r="Y6886" s="1"/>
      <c r="Z6886" s="1"/>
      <c r="AA6886" s="1"/>
      <c r="AB6886" s="1"/>
    </row>
    <row r="6887" ht="50.25" customHeight="1">
      <c r="A6887" s="12">
        <v>6883.0</v>
      </c>
      <c r="B6887" s="13" t="s">
        <v>6141</v>
      </c>
      <c r="C6887" s="14" t="s">
        <v>6910</v>
      </c>
      <c r="D6887" s="1"/>
      <c r="E6887" s="1"/>
      <c r="F6887" s="1" t="str">
        <f>IFERROR(__xludf.DUMMYFUNCTION("GOOGLETRANSLATE(B6887, ""en"", ""fa"")
"),"موفقیت آمازون")</f>
        <v>موفقیت آمازون</v>
      </c>
      <c r="G6887" s="1" t="str">
        <f>IFERROR(__xludf.DUMMYFUNCTION("GOOGLETRANSLATE(C6887, ""en"", ""fa"")
"),"فروشندگان برای تعامل با بازبینان مثبت و تبدیل آنها به حامیان برند یا تأثیرگذاران از چه استراتژی هایی می توانند استفاده کنند؟")</f>
        <v>فروشندگان برای تعامل با بازبینان مثبت و تبدیل آنها به حامیان برند یا تأثیرگذاران از چه استراتژی هایی می توانند استفاده کنند؟</v>
      </c>
      <c r="H6887" s="1"/>
      <c r="I6887" s="1"/>
      <c r="J6887" s="1"/>
      <c r="K6887" s="1"/>
      <c r="L6887" s="1"/>
      <c r="M6887" s="1"/>
      <c r="N6887" s="1"/>
      <c r="O6887" s="1"/>
      <c r="P6887" s="1"/>
      <c r="Q6887" s="1"/>
      <c r="R6887" s="1"/>
      <c r="S6887" s="1"/>
      <c r="T6887" s="1"/>
      <c r="U6887" s="1"/>
      <c r="V6887" s="1"/>
      <c r="W6887" s="1"/>
      <c r="X6887" s="1"/>
      <c r="Y6887" s="1"/>
      <c r="Z6887" s="1"/>
      <c r="AA6887" s="1"/>
      <c r="AB6887" s="1"/>
    </row>
    <row r="6888" ht="50.25" customHeight="1">
      <c r="A6888" s="12">
        <v>6884.0</v>
      </c>
      <c r="B6888" s="13" t="s">
        <v>6141</v>
      </c>
      <c r="C6888" s="14" t="s">
        <v>6911</v>
      </c>
      <c r="D6888" s="1"/>
      <c r="E6888" s="1"/>
      <c r="F6888" s="1" t="str">
        <f>IFERROR(__xludf.DUMMYFUNCTION("GOOGLETRANSLATE(B6888, ""en"", ""fa"")
"),"موفقیت آمازون")</f>
        <v>موفقیت آمازون</v>
      </c>
      <c r="G6888" s="1" t="str">
        <f>IFERROR(__xludf.DUMMYFUNCTION("GOOGLETRANSLATE(C6888, ""en"", ""fa"")
"),"اهمیت نظارت و بهینه سازی بررسی مداوم را برای انطباق با ترجیحات مشتری در حال تحول و روندهای بازار توضیح دهید.")</f>
        <v>اهمیت نظارت و بهینه سازی بررسی مداوم را برای انطباق با ترجیحات مشتری در حال تحول و روندهای بازار توضیح دهید.</v>
      </c>
      <c r="H6888" s="1"/>
      <c r="I6888" s="1"/>
      <c r="J6888" s="1"/>
      <c r="K6888" s="1"/>
      <c r="L6888" s="1"/>
      <c r="M6888" s="1"/>
      <c r="N6888" s="1"/>
      <c r="O6888" s="1"/>
      <c r="P6888" s="1"/>
      <c r="Q6888" s="1"/>
      <c r="R6888" s="1"/>
      <c r="S6888" s="1"/>
      <c r="T6888" s="1"/>
      <c r="U6888" s="1"/>
      <c r="V6888" s="1"/>
      <c r="W6888" s="1"/>
      <c r="X6888" s="1"/>
      <c r="Y6888" s="1"/>
      <c r="Z6888" s="1"/>
      <c r="AA6888" s="1"/>
      <c r="AB6888" s="1"/>
    </row>
    <row r="6889" ht="50.25" customHeight="1">
      <c r="A6889" s="12">
        <v>6885.0</v>
      </c>
      <c r="B6889" s="13" t="s">
        <v>6141</v>
      </c>
      <c r="C6889" s="14" t="s">
        <v>6912</v>
      </c>
      <c r="D6889" s="1"/>
      <c r="E6889" s="1"/>
      <c r="F6889" s="1" t="str">
        <f>IFERROR(__xludf.DUMMYFUNCTION("GOOGLETRANSLATE(B6889, ""en"", ""fa"")
"),"موفقیت آمازون")</f>
        <v>موفقیت آمازون</v>
      </c>
      <c r="G6889" s="1" t="str">
        <f>IFERROR(__xludf.DUMMYFUNCTION("GOOGLETRANSLATE(C6889, ""en"", ""fa"")
"),"ابزارها و نرم افزارهای ضروری سئو آمازون که فروشندگان باید برای بهینه سازی لیست محصولات خود از آنها استفاده کنند چیست؟")</f>
        <v>ابزارها و نرم افزارهای ضروری سئو آمازون که فروشندگان باید برای بهینه سازی لیست محصولات خود از آنها استفاده کنند چیست؟</v>
      </c>
      <c r="H6889" s="1"/>
      <c r="I6889" s="1"/>
      <c r="J6889" s="1"/>
      <c r="K6889" s="1"/>
      <c r="L6889" s="1"/>
      <c r="M6889" s="1"/>
      <c r="N6889" s="1"/>
      <c r="O6889" s="1"/>
      <c r="P6889" s="1"/>
      <c r="Q6889" s="1"/>
      <c r="R6889" s="1"/>
      <c r="S6889" s="1"/>
      <c r="T6889" s="1"/>
      <c r="U6889" s="1"/>
      <c r="V6889" s="1"/>
      <c r="W6889" s="1"/>
      <c r="X6889" s="1"/>
      <c r="Y6889" s="1"/>
      <c r="Z6889" s="1"/>
      <c r="AA6889" s="1"/>
      <c r="AB6889" s="1"/>
    </row>
    <row r="6890" ht="50.25" customHeight="1">
      <c r="A6890" s="12">
        <v>6886.0</v>
      </c>
      <c r="B6890" s="13" t="s">
        <v>6141</v>
      </c>
      <c r="C6890" s="14" t="s">
        <v>6913</v>
      </c>
      <c r="D6890" s="1"/>
      <c r="E6890" s="1"/>
      <c r="F6890" s="1" t="str">
        <f>IFERROR(__xludf.DUMMYFUNCTION("GOOGLETRANSLATE(B6890, ""en"", ""fa"")
"),"موفقیت آمازون")</f>
        <v>موفقیت آمازون</v>
      </c>
      <c r="G6890" s="1" t="str">
        <f>IFERROR(__xludf.DUMMYFUNCTION("GOOGLETRANSLATE(C6890, ""en"", ""fa"")
"),"چگونه ابزارهای تحقیق کلمات کلیدی می توانند به فروشندگان کمک کنند تا کلمات کلیدی مرتبط و با عملکرد بالا را برای لیست محصولات آمازون خود شناسایی کنند؟")</f>
        <v>چگونه ابزارهای تحقیق کلمات کلیدی می توانند به فروشندگان کمک کنند تا کلمات کلیدی مرتبط و با عملکرد بالا را برای لیست محصولات آمازون خود شناسایی کنند؟</v>
      </c>
      <c r="H6890" s="1"/>
      <c r="I6890" s="1"/>
      <c r="J6890" s="1"/>
      <c r="K6890" s="1"/>
      <c r="L6890" s="1"/>
      <c r="M6890" s="1"/>
      <c r="N6890" s="1"/>
      <c r="O6890" s="1"/>
      <c r="P6890" s="1"/>
      <c r="Q6890" s="1"/>
      <c r="R6890" s="1"/>
      <c r="S6890" s="1"/>
      <c r="T6890" s="1"/>
      <c r="U6890" s="1"/>
      <c r="V6890" s="1"/>
      <c r="W6890" s="1"/>
      <c r="X6890" s="1"/>
      <c r="Y6890" s="1"/>
      <c r="Z6890" s="1"/>
      <c r="AA6890" s="1"/>
      <c r="AB6890" s="1"/>
    </row>
    <row r="6891" ht="50.25" customHeight="1">
      <c r="A6891" s="12">
        <v>6887.0</v>
      </c>
      <c r="B6891" s="13" t="s">
        <v>6141</v>
      </c>
      <c r="C6891" s="14" t="s">
        <v>6914</v>
      </c>
      <c r="D6891" s="1"/>
      <c r="E6891" s="1"/>
      <c r="F6891" s="1" t="str">
        <f>IFERROR(__xludf.DUMMYFUNCTION("GOOGLETRANSLATE(B6891, ""en"", ""fa"")
"),"موفقیت آمازون")</f>
        <v>موفقیت آمازون</v>
      </c>
      <c r="G6891" s="1" t="str">
        <f>IFERROR(__xludf.DUMMYFUNCTION("GOOGLETRANSLATE(C6891, ""en"", ""fa"")
"),"در مورد مزایای استفاده از ابزارهای بهینه سازی فهرست برای تجزیه و تحلیل و بهینه سازی عناوین محصول، نقاط گلوله و توضیحات برای حداکثر دید بحث کنید.")</f>
        <v>در مورد مزایای استفاده از ابزارهای بهینه سازی فهرست برای تجزیه و تحلیل و بهینه سازی عناوین محصول، نقاط گلوله و توضیحات برای حداکثر دید بحث کنید.</v>
      </c>
      <c r="H6891" s="1"/>
      <c r="I6891" s="1"/>
      <c r="J6891" s="1"/>
      <c r="K6891" s="1"/>
      <c r="L6891" s="1"/>
      <c r="M6891" s="1"/>
      <c r="N6891" s="1"/>
      <c r="O6891" s="1"/>
      <c r="P6891" s="1"/>
      <c r="Q6891" s="1"/>
      <c r="R6891" s="1"/>
      <c r="S6891" s="1"/>
      <c r="T6891" s="1"/>
      <c r="U6891" s="1"/>
      <c r="V6891" s="1"/>
      <c r="W6891" s="1"/>
      <c r="X6891" s="1"/>
      <c r="Y6891" s="1"/>
      <c r="Z6891" s="1"/>
      <c r="AA6891" s="1"/>
      <c r="AB6891" s="1"/>
    </row>
    <row r="6892" ht="50.25" customHeight="1">
      <c r="A6892" s="12">
        <v>6888.0</v>
      </c>
      <c r="B6892" s="13" t="s">
        <v>6141</v>
      </c>
      <c r="C6892" s="14" t="s">
        <v>6915</v>
      </c>
      <c r="D6892" s="1"/>
      <c r="E6892" s="1"/>
      <c r="F6892" s="1" t="str">
        <f>IFERROR(__xludf.DUMMYFUNCTION("GOOGLETRANSLATE(B6892, ""en"", ""fa"")
"),"موفقیت آمازون")</f>
        <v>موفقیت آمازون</v>
      </c>
      <c r="G6892" s="1" t="str">
        <f>IFERROR(__xludf.DUMMYFUNCTION("GOOGLETRANSLATE(C6892, ""en"", ""fa"")
"),"بینش هایی در مورد نحوه استفاده از نرم افزار سئو آمازون برای نظارت و ردیابی رتبه بندی کلمات کلیدی و عملکرد جستجوی ارگانیک به اشتراک بگذارید.")</f>
        <v>بینش هایی در مورد نحوه استفاده از نرم افزار سئو آمازون برای نظارت و ردیابی رتبه بندی کلمات کلیدی و عملکرد جستجوی ارگانیک به اشتراک بگذارید.</v>
      </c>
      <c r="H6892" s="1"/>
      <c r="I6892" s="1"/>
      <c r="J6892" s="1"/>
      <c r="K6892" s="1"/>
      <c r="L6892" s="1"/>
      <c r="M6892" s="1"/>
      <c r="N6892" s="1"/>
      <c r="O6892" s="1"/>
      <c r="P6892" s="1"/>
      <c r="Q6892" s="1"/>
      <c r="R6892" s="1"/>
      <c r="S6892" s="1"/>
      <c r="T6892" s="1"/>
      <c r="U6892" s="1"/>
      <c r="V6892" s="1"/>
      <c r="W6892" s="1"/>
      <c r="X6892" s="1"/>
      <c r="Y6892" s="1"/>
      <c r="Z6892" s="1"/>
      <c r="AA6892" s="1"/>
      <c r="AB6892" s="1"/>
    </row>
    <row r="6893" ht="50.25" customHeight="1">
      <c r="A6893" s="12">
        <v>6889.0</v>
      </c>
      <c r="B6893" s="13" t="s">
        <v>6141</v>
      </c>
      <c r="C6893" s="14" t="s">
        <v>6916</v>
      </c>
      <c r="D6893" s="1"/>
      <c r="E6893" s="1"/>
      <c r="F6893" s="1" t="str">
        <f>IFERROR(__xludf.DUMMYFUNCTION("GOOGLETRANSLATE(B6893, ""en"", ""fa"")
"),"موفقیت آمازون")</f>
        <v>موفقیت آمازون</v>
      </c>
      <c r="G6893" s="1" t="str">
        <f>IFERROR(__xludf.DUMMYFUNCTION("GOOGLETRANSLATE(C6893, ""en"", ""fa"")
"),"هنگام انتخاب ابزار تحقیق محصول آمازون برای شناسایی فرصت های محصول سودآور، باید به چه ویژگی های کلیدی توجه کرد؟")</f>
        <v>هنگام انتخاب ابزار تحقیق محصول آمازون برای شناسایی فرصت های محصول سودآور، باید به چه ویژگی های کلیدی توجه کرد؟</v>
      </c>
      <c r="H6893" s="1"/>
      <c r="I6893" s="1"/>
      <c r="J6893" s="1"/>
      <c r="K6893" s="1"/>
      <c r="L6893" s="1"/>
      <c r="M6893" s="1"/>
      <c r="N6893" s="1"/>
      <c r="O6893" s="1"/>
      <c r="P6893" s="1"/>
      <c r="Q6893" s="1"/>
      <c r="R6893" s="1"/>
      <c r="S6893" s="1"/>
      <c r="T6893" s="1"/>
      <c r="U6893" s="1"/>
      <c r="V6893" s="1"/>
      <c r="W6893" s="1"/>
      <c r="X6893" s="1"/>
      <c r="Y6893" s="1"/>
      <c r="Z6893" s="1"/>
      <c r="AA6893" s="1"/>
      <c r="AB6893" s="1"/>
    </row>
    <row r="6894" ht="50.25" customHeight="1">
      <c r="A6894" s="12">
        <v>6890.0</v>
      </c>
      <c r="B6894" s="13" t="s">
        <v>6141</v>
      </c>
      <c r="C6894" s="14" t="s">
        <v>6917</v>
      </c>
      <c r="D6894" s="1"/>
      <c r="E6894" s="1"/>
      <c r="F6894" s="1" t="str">
        <f>IFERROR(__xludf.DUMMYFUNCTION("GOOGLETRANSLATE(B6894, ""en"", ""fa"")
"),"موفقیت آمازون")</f>
        <v>موفقیت آمازون</v>
      </c>
      <c r="G6894" s="1" t="str">
        <f>IFERROR(__xludf.DUMMYFUNCTION("GOOGLETRANSLATE(C6894, ""en"", ""fa"")
"),"نرم افزار تحقیق محصول چگونه می تواند به فروشندگان کمک کند تا روندهای بازار، رقابت و تقاضای مشتری را تجزیه و تحلیل کنند تا تصمیمات منبع یابی محصول مبتنی بر داده را اتخاذ کنند؟")</f>
        <v>نرم افزار تحقیق محصول چگونه می تواند به فروشندگان کمک کند تا روندهای بازار، رقابت و تقاضای مشتری را تجزیه و تحلیل کنند تا تصمیمات منبع یابی محصول مبتنی بر داده را اتخاذ کنند؟</v>
      </c>
      <c r="H6894" s="1"/>
      <c r="I6894" s="1"/>
      <c r="J6894" s="1"/>
      <c r="K6894" s="1"/>
      <c r="L6894" s="1"/>
      <c r="M6894" s="1"/>
      <c r="N6894" s="1"/>
      <c r="O6894" s="1"/>
      <c r="P6894" s="1"/>
      <c r="Q6894" s="1"/>
      <c r="R6894" s="1"/>
      <c r="S6894" s="1"/>
      <c r="T6894" s="1"/>
      <c r="U6894" s="1"/>
      <c r="V6894" s="1"/>
      <c r="W6894" s="1"/>
      <c r="X6894" s="1"/>
      <c r="Y6894" s="1"/>
      <c r="Z6894" s="1"/>
      <c r="AA6894" s="1"/>
      <c r="AB6894" s="1"/>
    </row>
    <row r="6895" ht="50.25" customHeight="1">
      <c r="A6895" s="12">
        <v>6891.0</v>
      </c>
      <c r="B6895" s="13" t="s">
        <v>6141</v>
      </c>
      <c r="C6895" s="14" t="s">
        <v>6918</v>
      </c>
      <c r="D6895" s="1"/>
      <c r="E6895" s="1"/>
      <c r="F6895" s="1" t="str">
        <f>IFERROR(__xludf.DUMMYFUNCTION("GOOGLETRANSLATE(B6895, ""en"", ""fa"")
"),"موفقیت آمازون")</f>
        <v>موفقیت آمازون</v>
      </c>
      <c r="G6895" s="1" t="str">
        <f>IFERROR(__xludf.DUMMYFUNCTION("GOOGLETRANSLATE(C6895, ""en"", ""fa"")
"),"در مورد مزایای استفاده از ابزارهای تجزیه و تحلیل رقبا برای ارزیابی استراتژی های رقبا، قیمت گذاری و عملکرد محصول در آمازون بحث کنید.")</f>
        <v>در مورد مزایای استفاده از ابزارهای تجزیه و تحلیل رقبا برای ارزیابی استراتژی های رقبا، قیمت گذاری و عملکرد محصول در آمازون بحث کنید.</v>
      </c>
      <c r="H6895" s="1"/>
      <c r="I6895" s="1"/>
      <c r="J6895" s="1"/>
      <c r="K6895" s="1"/>
      <c r="L6895" s="1"/>
      <c r="M6895" s="1"/>
      <c r="N6895" s="1"/>
      <c r="O6895" s="1"/>
      <c r="P6895" s="1"/>
      <c r="Q6895" s="1"/>
      <c r="R6895" s="1"/>
      <c r="S6895" s="1"/>
      <c r="T6895" s="1"/>
      <c r="U6895" s="1"/>
      <c r="V6895" s="1"/>
      <c r="W6895" s="1"/>
      <c r="X6895" s="1"/>
      <c r="Y6895" s="1"/>
      <c r="Z6895" s="1"/>
      <c r="AA6895" s="1"/>
      <c r="AB6895" s="1"/>
    </row>
    <row r="6896" ht="50.25" customHeight="1">
      <c r="A6896" s="12">
        <v>6892.0</v>
      </c>
      <c r="B6896" s="13" t="s">
        <v>6141</v>
      </c>
      <c r="C6896" s="14" t="s">
        <v>6919</v>
      </c>
      <c r="D6896" s="1"/>
      <c r="E6896" s="1"/>
      <c r="F6896" s="1" t="str">
        <f>IFERROR(__xludf.DUMMYFUNCTION("GOOGLETRANSLATE(B6896, ""en"", ""fa"")
"),"موفقیت آمازون")</f>
        <v>موفقیت آمازون</v>
      </c>
      <c r="G6896" s="1" t="str">
        <f>IFERROR(__xludf.DUMMYFUNCTION("GOOGLETRANSLATE(C6896, ""en"", ""fa"")
"),"نکاتی را برای استفاده از ابزارهای مدیریت آمازون PPC برای بهینه سازی کمپین های تبلیغاتی، بهبود بازگشت سرمایه و افزایش دید محصول به اشتراک بگذارید.")</f>
        <v>نکاتی را برای استفاده از ابزارهای مدیریت آمازون PPC برای بهینه سازی کمپین های تبلیغاتی، بهبود بازگشت سرمایه و افزایش دید محصول به اشتراک بگذارید.</v>
      </c>
      <c r="H6896" s="1"/>
      <c r="I6896" s="1"/>
      <c r="J6896" s="1"/>
      <c r="K6896" s="1"/>
      <c r="L6896" s="1"/>
      <c r="M6896" s="1"/>
      <c r="N6896" s="1"/>
      <c r="O6896" s="1"/>
      <c r="P6896" s="1"/>
      <c r="Q6896" s="1"/>
      <c r="R6896" s="1"/>
      <c r="S6896" s="1"/>
      <c r="T6896" s="1"/>
      <c r="U6896" s="1"/>
      <c r="V6896" s="1"/>
      <c r="W6896" s="1"/>
      <c r="X6896" s="1"/>
      <c r="Y6896" s="1"/>
      <c r="Z6896" s="1"/>
      <c r="AA6896" s="1"/>
      <c r="AB6896" s="1"/>
    </row>
    <row r="6897" ht="50.25" customHeight="1">
      <c r="A6897" s="12">
        <v>6893.0</v>
      </c>
      <c r="B6897" s="13" t="s">
        <v>6141</v>
      </c>
      <c r="C6897" s="14" t="s">
        <v>6920</v>
      </c>
      <c r="D6897" s="1"/>
      <c r="E6897" s="1"/>
      <c r="F6897" s="1" t="str">
        <f>IFERROR(__xludf.DUMMYFUNCTION("GOOGLETRANSLATE(B6897, ""en"", ""fa"")
"),"موفقیت آمازون")</f>
        <v>موفقیت آمازون</v>
      </c>
      <c r="G6897" s="1" t="str">
        <f>IFERROR(__xludf.DUMMYFUNCTION("GOOGLETRANSLATE(C6897, ""en"", ""fa"")
"),"ملاحظات کلیدی هنگام انتخاب ابزار مدیریت بررسی آمازون برای نظارت و پاسخگویی موثر به بازخورد مشتری چیست؟")</f>
        <v>ملاحظات کلیدی هنگام انتخاب ابزار مدیریت بررسی آمازون برای نظارت و پاسخگویی موثر به بازخورد مشتری چیست؟</v>
      </c>
      <c r="H6897" s="1"/>
      <c r="I6897" s="1"/>
      <c r="J6897" s="1"/>
      <c r="K6897" s="1"/>
      <c r="L6897" s="1"/>
      <c r="M6897" s="1"/>
      <c r="N6897" s="1"/>
      <c r="O6897" s="1"/>
      <c r="P6897" s="1"/>
      <c r="Q6897" s="1"/>
      <c r="R6897" s="1"/>
      <c r="S6897" s="1"/>
      <c r="T6897" s="1"/>
      <c r="U6897" s="1"/>
      <c r="V6897" s="1"/>
      <c r="W6897" s="1"/>
      <c r="X6897" s="1"/>
      <c r="Y6897" s="1"/>
      <c r="Z6897" s="1"/>
      <c r="AA6897" s="1"/>
      <c r="AB6897" s="1"/>
    </row>
    <row r="6898" ht="50.25" customHeight="1">
      <c r="A6898" s="12">
        <v>6894.0</v>
      </c>
      <c r="B6898" s="13" t="s">
        <v>6141</v>
      </c>
      <c r="C6898" s="14" t="s">
        <v>6921</v>
      </c>
      <c r="D6898" s="1"/>
      <c r="E6898" s="1"/>
      <c r="F6898" s="1" t="str">
        <f>IFERROR(__xludf.DUMMYFUNCTION("GOOGLETRANSLATE(B6898, ""en"", ""fa"")
"),"موفقیت آمازون")</f>
        <v>موفقیت آمازون</v>
      </c>
      <c r="G6898" s="1" t="str">
        <f>IFERROR(__xludf.DUMMYFUNCTION("GOOGLETRANSLATE(C6898, ""en"", ""fa"")
"),"اهمیت استفاده از ابزارهای تحلیلی برای ردیابی معیارهای کلیدی عملکرد، مانند فروش، نرخ تبدیل، و ترافیک را برای لیست محصولات آمازون توضیح دهید.")</f>
        <v>اهمیت استفاده از ابزارهای تحلیلی برای ردیابی معیارهای کلیدی عملکرد، مانند فروش، نرخ تبدیل، و ترافیک را برای لیست محصولات آمازون توضیح دهید.</v>
      </c>
      <c r="H6898" s="1"/>
      <c r="I6898" s="1"/>
      <c r="J6898" s="1"/>
      <c r="K6898" s="1"/>
      <c r="L6898" s="1"/>
      <c r="M6898" s="1"/>
      <c r="N6898" s="1"/>
      <c r="O6898" s="1"/>
      <c r="P6898" s="1"/>
      <c r="Q6898" s="1"/>
      <c r="R6898" s="1"/>
      <c r="S6898" s="1"/>
      <c r="T6898" s="1"/>
      <c r="U6898" s="1"/>
      <c r="V6898" s="1"/>
      <c r="W6898" s="1"/>
      <c r="X6898" s="1"/>
      <c r="Y6898" s="1"/>
      <c r="Z6898" s="1"/>
      <c r="AA6898" s="1"/>
      <c r="AB6898" s="1"/>
    </row>
    <row r="6899" ht="50.25" customHeight="1">
      <c r="A6899" s="12">
        <v>6895.0</v>
      </c>
      <c r="B6899" s="13" t="s">
        <v>6141</v>
      </c>
      <c r="C6899" s="14" t="s">
        <v>6922</v>
      </c>
      <c r="D6899" s="1"/>
      <c r="E6899" s="1"/>
      <c r="F6899" s="1" t="str">
        <f>IFERROR(__xludf.DUMMYFUNCTION("GOOGLETRANSLATE(B6899, ""en"", ""fa"")
"),"موفقیت آمازون")</f>
        <v>موفقیت آمازون</v>
      </c>
      <c r="G6899" s="1" t="str">
        <f>IFERROR(__xludf.DUMMYFUNCTION("GOOGLETRANSLATE(C6899, ""en"", ""fa"")
"),"نرم‌افزار مدیریت موجودی چگونه می‌تواند به فروشندگان کمک کند زنجیره تامین خود را ساده‌سازی کنند، تقاضا را پیش‌بینی کنند و از وضعیت‌های موجودی انبار یا مازاد عرضه جلوگیری کنند؟")</f>
        <v>نرم‌افزار مدیریت موجودی چگونه می‌تواند به فروشندگان کمک کند زنجیره تامین خود را ساده‌سازی کنند، تقاضا را پیش‌بینی کنند و از وضعیت‌های موجودی انبار یا مازاد عرضه جلوگیری کنند؟</v>
      </c>
      <c r="H6899" s="1"/>
      <c r="I6899" s="1"/>
      <c r="J6899" s="1"/>
      <c r="K6899" s="1"/>
      <c r="L6899" s="1"/>
      <c r="M6899" s="1"/>
      <c r="N6899" s="1"/>
      <c r="O6899" s="1"/>
      <c r="P6899" s="1"/>
      <c r="Q6899" s="1"/>
      <c r="R6899" s="1"/>
      <c r="S6899" s="1"/>
      <c r="T6899" s="1"/>
      <c r="U6899" s="1"/>
      <c r="V6899" s="1"/>
      <c r="W6899" s="1"/>
      <c r="X6899" s="1"/>
      <c r="Y6899" s="1"/>
      <c r="Z6899" s="1"/>
      <c r="AA6899" s="1"/>
      <c r="AB6899" s="1"/>
    </row>
    <row r="6900" ht="50.25" customHeight="1">
      <c r="A6900" s="12">
        <v>6896.0</v>
      </c>
      <c r="B6900" s="13" t="s">
        <v>6141</v>
      </c>
      <c r="C6900" s="14" t="s">
        <v>6923</v>
      </c>
      <c r="D6900" s="1"/>
      <c r="E6900" s="1"/>
      <c r="F6900" s="1" t="str">
        <f>IFERROR(__xludf.DUMMYFUNCTION("GOOGLETRANSLATE(B6900, ""en"", ""fa"")
"),"موفقیت آمازون")</f>
        <v>موفقیت آمازون</v>
      </c>
      <c r="G6900" s="1" t="str">
        <f>IFERROR(__xludf.DUMMYFUNCTION("GOOGLETRANSLATE(C6900, ""en"", ""fa"")
"),"در مورد مزایای استفاده از ابزارهای قیمت گذاری مجدد برای خودکارسازی و بهینه سازی استراتژی های قیمت گذاری برای رقابتی ماندن در بازار آمازون بحث کنید.")</f>
        <v>در مورد مزایای استفاده از ابزارهای قیمت گذاری مجدد برای خودکارسازی و بهینه سازی استراتژی های قیمت گذاری برای رقابتی ماندن در بازار آمازون بحث کنید.</v>
      </c>
      <c r="H6900" s="1"/>
      <c r="I6900" s="1"/>
      <c r="J6900" s="1"/>
      <c r="K6900" s="1"/>
      <c r="L6900" s="1"/>
      <c r="M6900" s="1"/>
      <c r="N6900" s="1"/>
      <c r="O6900" s="1"/>
      <c r="P6900" s="1"/>
      <c r="Q6900" s="1"/>
      <c r="R6900" s="1"/>
      <c r="S6900" s="1"/>
      <c r="T6900" s="1"/>
      <c r="U6900" s="1"/>
      <c r="V6900" s="1"/>
      <c r="W6900" s="1"/>
      <c r="X6900" s="1"/>
      <c r="Y6900" s="1"/>
      <c r="Z6900" s="1"/>
      <c r="AA6900" s="1"/>
      <c r="AB6900" s="1"/>
    </row>
    <row r="6901" ht="50.25" customHeight="1">
      <c r="A6901" s="12">
        <v>6897.0</v>
      </c>
      <c r="B6901" s="13" t="s">
        <v>6141</v>
      </c>
      <c r="C6901" s="14" t="s">
        <v>6924</v>
      </c>
      <c r="D6901" s="1"/>
      <c r="E6901" s="1"/>
      <c r="F6901" s="1" t="str">
        <f>IFERROR(__xludf.DUMMYFUNCTION("GOOGLETRANSLATE(B6901, ""en"", ""fa"")
"),"موفقیت آمازون")</f>
        <v>موفقیت آمازون</v>
      </c>
      <c r="G6901" s="1" t="str">
        <f>IFERROR(__xludf.DUMMYFUNCTION("GOOGLETRANSLATE(C6901, ""en"", ""fa"")
"),"بینش هایی در مورد نحوه استفاده از نرم افزار مدیریت بازخورد برای جمع آوری و مدیریت پیشگیرانه نظرات و رتبه بندی مشتریان در آمازون به اشتراک بگذارید.")</f>
        <v>بینش هایی در مورد نحوه استفاده از نرم افزار مدیریت بازخورد برای جمع آوری و مدیریت پیشگیرانه نظرات و رتبه بندی مشتریان در آمازون به اشتراک بگذارید.</v>
      </c>
      <c r="H6901" s="1"/>
      <c r="I6901" s="1"/>
      <c r="J6901" s="1"/>
      <c r="K6901" s="1"/>
      <c r="L6901" s="1"/>
      <c r="M6901" s="1"/>
      <c r="N6901" s="1"/>
      <c r="O6901" s="1"/>
      <c r="P6901" s="1"/>
      <c r="Q6901" s="1"/>
      <c r="R6901" s="1"/>
      <c r="S6901" s="1"/>
      <c r="T6901" s="1"/>
      <c r="U6901" s="1"/>
      <c r="V6901" s="1"/>
      <c r="W6901" s="1"/>
      <c r="X6901" s="1"/>
      <c r="Y6901" s="1"/>
      <c r="Z6901" s="1"/>
      <c r="AA6901" s="1"/>
      <c r="AB6901" s="1"/>
    </row>
    <row r="6902" ht="50.25" customHeight="1">
      <c r="A6902" s="12">
        <v>6898.0</v>
      </c>
      <c r="B6902" s="13" t="s">
        <v>6141</v>
      </c>
      <c r="C6902" s="14" t="s">
        <v>6925</v>
      </c>
      <c r="D6902" s="1"/>
      <c r="E6902" s="1"/>
      <c r="F6902" s="1" t="str">
        <f>IFERROR(__xludf.DUMMYFUNCTION("GOOGLETRANSLATE(B6902, ""en"", ""fa"")
"),"موفقیت آمازون")</f>
        <v>موفقیت آمازون</v>
      </c>
      <c r="G6902" s="1" t="str">
        <f>IFERROR(__xludf.DUMMYFUNCTION("GOOGLETRANSLATE(C6902, ""en"", ""fa"")
"),"هنگام انتخاب ابزار نظارت بر فهرست آمازون برای ردیابی نمایان بودن محصول، هواپیماربایان و تغییرات فهرست، چه ویژگی های کلیدی را باید در نظر گرفت؟")</f>
        <v>هنگام انتخاب ابزار نظارت بر فهرست آمازون برای ردیابی نمایان بودن محصول، هواپیماربایان و تغییرات فهرست، چه ویژگی های کلیدی را باید در نظر گرفت؟</v>
      </c>
      <c r="H6902" s="1"/>
      <c r="I6902" s="1"/>
      <c r="J6902" s="1"/>
      <c r="K6902" s="1"/>
      <c r="L6902" s="1"/>
      <c r="M6902" s="1"/>
      <c r="N6902" s="1"/>
      <c r="O6902" s="1"/>
      <c r="P6902" s="1"/>
      <c r="Q6902" s="1"/>
      <c r="R6902" s="1"/>
      <c r="S6902" s="1"/>
      <c r="T6902" s="1"/>
      <c r="U6902" s="1"/>
      <c r="V6902" s="1"/>
      <c r="W6902" s="1"/>
      <c r="X6902" s="1"/>
      <c r="Y6902" s="1"/>
      <c r="Z6902" s="1"/>
      <c r="AA6902" s="1"/>
      <c r="AB6902" s="1"/>
    </row>
    <row r="6903" ht="50.25" customHeight="1">
      <c r="A6903" s="12">
        <v>6899.0</v>
      </c>
      <c r="B6903" s="13" t="s">
        <v>6141</v>
      </c>
      <c r="C6903" s="14" t="s">
        <v>6926</v>
      </c>
      <c r="D6903" s="1"/>
      <c r="E6903" s="1"/>
      <c r="F6903" s="1" t="str">
        <f>IFERROR(__xludf.DUMMYFUNCTION("GOOGLETRANSLATE(B6903, ""en"", ""fa"")
"),"موفقیت آمازون")</f>
        <v>موفقیت آمازون</v>
      </c>
      <c r="G6903" s="1" t="str">
        <f>IFERROR(__xludf.DUMMYFUNCTION("GOOGLETRANSLATE(C6903, ""en"", ""fa"")
"),"اهمیت استفاده از ابزارهای ردیابی کلمات کلیدی برای نظارت بر عملکرد کلمات کلیدی و شناسایی فرصت‌های بهینه‌سازی را توضیح دهید.")</f>
        <v>اهمیت استفاده از ابزارهای ردیابی کلمات کلیدی برای نظارت بر عملکرد کلمات کلیدی و شناسایی فرصت‌های بهینه‌سازی را توضیح دهید.</v>
      </c>
      <c r="H6903" s="1"/>
      <c r="I6903" s="1"/>
      <c r="J6903" s="1"/>
      <c r="K6903" s="1"/>
      <c r="L6903" s="1"/>
      <c r="M6903" s="1"/>
      <c r="N6903" s="1"/>
      <c r="O6903" s="1"/>
      <c r="P6903" s="1"/>
      <c r="Q6903" s="1"/>
      <c r="R6903" s="1"/>
      <c r="S6903" s="1"/>
      <c r="T6903" s="1"/>
      <c r="U6903" s="1"/>
      <c r="V6903" s="1"/>
      <c r="W6903" s="1"/>
      <c r="X6903" s="1"/>
      <c r="Y6903" s="1"/>
      <c r="Z6903" s="1"/>
      <c r="AA6903" s="1"/>
      <c r="AB6903" s="1"/>
    </row>
    <row r="6904" ht="50.25" customHeight="1">
      <c r="A6904" s="12">
        <v>6900.0</v>
      </c>
      <c r="B6904" s="13" t="s">
        <v>6141</v>
      </c>
      <c r="C6904" s="14" t="s">
        <v>6927</v>
      </c>
      <c r="D6904" s="1"/>
      <c r="E6904" s="1"/>
      <c r="F6904" s="1" t="str">
        <f>IFERROR(__xludf.DUMMYFUNCTION("GOOGLETRANSLATE(B6904, ""en"", ""fa"")
"),"موفقیت آمازون")</f>
        <v>موفقیت آمازون</v>
      </c>
      <c r="G6904" s="1" t="str">
        <f>IFERROR(__xludf.DUMMYFUNCTION("GOOGLETRANSLATE(C6904, ""en"", ""fa"")
"),"چگونه نرم افزار تجزیه و تحلیل فروش می تواند به فروشندگان در تجزیه و تحلیل داده های تاریخی، شناسایی روندها و تصمیم گیری آگاهانه تجاری در آمازون کمک کند؟")</f>
        <v>چگونه نرم افزار تجزیه و تحلیل فروش می تواند به فروشندگان در تجزیه و تحلیل داده های تاریخی، شناسایی روندها و تصمیم گیری آگاهانه تجاری در آمازون کمک کند؟</v>
      </c>
      <c r="H6904" s="1"/>
      <c r="I6904" s="1"/>
      <c r="J6904" s="1"/>
      <c r="K6904" s="1"/>
      <c r="L6904" s="1"/>
      <c r="M6904" s="1"/>
      <c r="N6904" s="1"/>
      <c r="O6904" s="1"/>
      <c r="P6904" s="1"/>
      <c r="Q6904" s="1"/>
      <c r="R6904" s="1"/>
      <c r="S6904" s="1"/>
      <c r="T6904" s="1"/>
      <c r="U6904" s="1"/>
      <c r="V6904" s="1"/>
      <c r="W6904" s="1"/>
      <c r="X6904" s="1"/>
      <c r="Y6904" s="1"/>
      <c r="Z6904" s="1"/>
      <c r="AA6904" s="1"/>
      <c r="AB6904" s="1"/>
    </row>
    <row r="6905" ht="50.25" customHeight="1">
      <c r="A6905" s="12">
        <v>6901.0</v>
      </c>
      <c r="B6905" s="13" t="s">
        <v>6141</v>
      </c>
      <c r="C6905" s="14" t="s">
        <v>6928</v>
      </c>
      <c r="D6905" s="1"/>
      <c r="E6905" s="1"/>
      <c r="F6905" s="1" t="str">
        <f>IFERROR(__xludf.DUMMYFUNCTION("GOOGLETRANSLATE(B6905, ""en"", ""fa"")
"),"موفقیت آمازون")</f>
        <v>موفقیت آمازون</v>
      </c>
      <c r="G6905" s="1" t="str">
        <f>IFERROR(__xludf.DUMMYFUNCTION("GOOGLETRANSLATE(C6905, ""en"", ""fa"")
"),"در مورد مزایای استفاده از ابزارهای پیش بینی موجودی برای اطمینان از سطوح بهینه موجودی و به حداقل رساندن هزینه های ذخیره سازی در آمازون بحث کنید.")</f>
        <v>در مورد مزایای استفاده از ابزارهای پیش بینی موجودی برای اطمینان از سطوح بهینه موجودی و به حداقل رساندن هزینه های ذخیره سازی در آمازون بحث کنید.</v>
      </c>
      <c r="H6905" s="1"/>
      <c r="I6905" s="1"/>
      <c r="J6905" s="1"/>
      <c r="K6905" s="1"/>
      <c r="L6905" s="1"/>
      <c r="M6905" s="1"/>
      <c r="N6905" s="1"/>
      <c r="O6905" s="1"/>
      <c r="P6905" s="1"/>
      <c r="Q6905" s="1"/>
      <c r="R6905" s="1"/>
      <c r="S6905" s="1"/>
      <c r="T6905" s="1"/>
      <c r="U6905" s="1"/>
      <c r="V6905" s="1"/>
      <c r="W6905" s="1"/>
      <c r="X6905" s="1"/>
      <c r="Y6905" s="1"/>
      <c r="Z6905" s="1"/>
      <c r="AA6905" s="1"/>
      <c r="AB6905" s="1"/>
    </row>
    <row r="6906" ht="50.25" customHeight="1">
      <c r="A6906" s="12">
        <v>6902.0</v>
      </c>
      <c r="B6906" s="13" t="s">
        <v>6141</v>
      </c>
      <c r="C6906" s="14" t="s">
        <v>6929</v>
      </c>
      <c r="D6906" s="1"/>
      <c r="E6906" s="1"/>
      <c r="F6906" s="1" t="str">
        <f>IFERROR(__xludf.DUMMYFUNCTION("GOOGLETRANSLATE(B6906, ""en"", ""fa"")
"),"موفقیت آمازون")</f>
        <v>موفقیت آمازون</v>
      </c>
      <c r="G6906" s="1" t="str">
        <f>IFERROR(__xludf.DUMMYFUNCTION("GOOGLETRANSLATE(C6906, ""en"", ""fa"")
"),"نکاتی را برای استفاده از نرم افزار تست A/B برای آزمایش انواع مختلف لیست محصولات و بهینه سازی نرخ تبدیل به اشتراک بگذارید.")</f>
        <v>نکاتی را برای استفاده از نرم افزار تست A/B برای آزمایش انواع مختلف لیست محصولات و بهینه سازی نرخ تبدیل به اشتراک بگذارید.</v>
      </c>
      <c r="H6906" s="1"/>
      <c r="I6906" s="1"/>
      <c r="J6906" s="1"/>
      <c r="K6906" s="1"/>
      <c r="L6906" s="1"/>
      <c r="M6906" s="1"/>
      <c r="N6906" s="1"/>
      <c r="O6906" s="1"/>
      <c r="P6906" s="1"/>
      <c r="Q6906" s="1"/>
      <c r="R6906" s="1"/>
      <c r="S6906" s="1"/>
      <c r="T6906" s="1"/>
      <c r="U6906" s="1"/>
      <c r="V6906" s="1"/>
      <c r="W6906" s="1"/>
      <c r="X6906" s="1"/>
      <c r="Y6906" s="1"/>
      <c r="Z6906" s="1"/>
      <c r="AA6906" s="1"/>
      <c r="AB6906" s="1"/>
    </row>
    <row r="6907" ht="50.25" customHeight="1">
      <c r="A6907" s="12">
        <v>6903.0</v>
      </c>
      <c r="B6907" s="13" t="s">
        <v>6141</v>
      </c>
      <c r="C6907" s="14" t="s">
        <v>6930</v>
      </c>
      <c r="D6907" s="1"/>
      <c r="E6907" s="1"/>
      <c r="F6907" s="1" t="str">
        <f>IFERROR(__xludf.DUMMYFUNCTION("GOOGLETRANSLATE(B6907, ""en"", ""fa"")
"),"موفقیت آمازون")</f>
        <v>موفقیت آمازون</v>
      </c>
      <c r="G6907" s="1" t="str">
        <f>IFERROR(__xludf.DUMMYFUNCTION("GOOGLETRANSLATE(C6907, ""en"", ""fa"")
"),"ملاحظات کلیدی هنگام انتخاب یک ابزار قیمت گذاری مجدد آمازون برای تنظیم پویا قیمت ها بر اساس رقابت و شرایط بازار چیست؟")</f>
        <v>ملاحظات کلیدی هنگام انتخاب یک ابزار قیمت گذاری مجدد آمازون برای تنظیم پویا قیمت ها بر اساس رقابت و شرایط بازار چیست؟</v>
      </c>
      <c r="H6907" s="1"/>
      <c r="I6907" s="1"/>
      <c r="J6907" s="1"/>
      <c r="K6907" s="1"/>
      <c r="L6907" s="1"/>
      <c r="M6907" s="1"/>
      <c r="N6907" s="1"/>
      <c r="O6907" s="1"/>
      <c r="P6907" s="1"/>
      <c r="Q6907" s="1"/>
      <c r="R6907" s="1"/>
      <c r="S6907" s="1"/>
      <c r="T6907" s="1"/>
      <c r="U6907" s="1"/>
      <c r="V6907" s="1"/>
      <c r="W6907" s="1"/>
      <c r="X6907" s="1"/>
      <c r="Y6907" s="1"/>
      <c r="Z6907" s="1"/>
      <c r="AA6907" s="1"/>
      <c r="AB6907" s="1"/>
    </row>
    <row r="6908" ht="50.25" customHeight="1">
      <c r="A6908" s="12">
        <v>6904.0</v>
      </c>
      <c r="B6908" s="13" t="s">
        <v>6141</v>
      </c>
      <c r="C6908" s="14" t="s">
        <v>6931</v>
      </c>
      <c r="D6908" s="1"/>
      <c r="E6908" s="1"/>
      <c r="F6908" s="1" t="str">
        <f>IFERROR(__xludf.DUMMYFUNCTION("GOOGLETRANSLATE(B6908, ""en"", ""fa"")
"),"موفقیت آمازون")</f>
        <v>موفقیت آمازون</v>
      </c>
      <c r="G6908" s="1" t="str">
        <f>IFERROR(__xludf.DUMMYFUNCTION("GOOGLETRANSLATE(C6908, ""en"", ""fa"")
"),"اهمیت استفاده از ابزارهای اتوماسیون درخواست بازخورد برای درخواست بررسی و رتبه بندی محصول از مشتریان در آمازون را توضیح دهید.")</f>
        <v>اهمیت استفاده از ابزارهای اتوماسیون درخواست بازخورد برای درخواست بررسی و رتبه بندی محصول از مشتریان در آمازون را توضیح دهید.</v>
      </c>
      <c r="H6908" s="1"/>
      <c r="I6908" s="1"/>
      <c r="J6908" s="1"/>
      <c r="K6908" s="1"/>
      <c r="L6908" s="1"/>
      <c r="M6908" s="1"/>
      <c r="N6908" s="1"/>
      <c r="O6908" s="1"/>
      <c r="P6908" s="1"/>
      <c r="Q6908" s="1"/>
      <c r="R6908" s="1"/>
      <c r="S6908" s="1"/>
      <c r="T6908" s="1"/>
      <c r="U6908" s="1"/>
      <c r="V6908" s="1"/>
      <c r="W6908" s="1"/>
      <c r="X6908" s="1"/>
      <c r="Y6908" s="1"/>
      <c r="Z6908" s="1"/>
      <c r="AA6908" s="1"/>
      <c r="AB6908" s="1"/>
    </row>
    <row r="6909" ht="50.25" customHeight="1">
      <c r="A6909" s="12">
        <v>6905.0</v>
      </c>
      <c r="B6909" s="13" t="s">
        <v>6141</v>
      </c>
      <c r="C6909" s="14" t="s">
        <v>6932</v>
      </c>
      <c r="D6909" s="1"/>
      <c r="E6909" s="1"/>
      <c r="F6909" s="1" t="str">
        <f>IFERROR(__xludf.DUMMYFUNCTION("GOOGLETRANSLATE(B6909, ""en"", ""fa"")
"),"موفقیت آمازون")</f>
        <v>موفقیت آمازون</v>
      </c>
      <c r="G6909" s="1" t="str">
        <f>IFERROR(__xludf.DUMMYFUNCTION("GOOGLETRANSLATE(C6909, ""en"", ""fa"")
"),"نرم افزار ردیابی رتبه فروش چگونه می تواند به فروشندگان کمک کند تا عملکرد محصولات خود را در ارتباط با رقبای خود در زمان واقعی نظارت کنند؟")</f>
        <v>نرم افزار ردیابی رتبه فروش چگونه می تواند به فروشندگان کمک کند تا عملکرد محصولات خود را در ارتباط با رقبای خود در زمان واقعی نظارت کنند؟</v>
      </c>
      <c r="H6909" s="1"/>
      <c r="I6909" s="1"/>
      <c r="J6909" s="1"/>
      <c r="K6909" s="1"/>
      <c r="L6909" s="1"/>
      <c r="M6909" s="1"/>
      <c r="N6909" s="1"/>
      <c r="O6909" s="1"/>
      <c r="P6909" s="1"/>
      <c r="Q6909" s="1"/>
      <c r="R6909" s="1"/>
      <c r="S6909" s="1"/>
      <c r="T6909" s="1"/>
      <c r="U6909" s="1"/>
      <c r="V6909" s="1"/>
      <c r="W6909" s="1"/>
      <c r="X6909" s="1"/>
      <c r="Y6909" s="1"/>
      <c r="Z6909" s="1"/>
      <c r="AA6909" s="1"/>
      <c r="AB6909" s="1"/>
    </row>
    <row r="6910" ht="50.25" customHeight="1">
      <c r="A6910" s="12">
        <v>6906.0</v>
      </c>
      <c r="B6910" s="13" t="s">
        <v>6141</v>
      </c>
      <c r="C6910" s="14" t="s">
        <v>6933</v>
      </c>
      <c r="D6910" s="1"/>
      <c r="E6910" s="1"/>
      <c r="F6910" s="1" t="str">
        <f>IFERROR(__xludf.DUMMYFUNCTION("GOOGLETRANSLATE(B6910, ""en"", ""fa"")
"),"موفقیت آمازون")</f>
        <v>موفقیت آمازون</v>
      </c>
      <c r="G6910" s="1" t="str">
        <f>IFERROR(__xludf.DUMMYFUNCTION("GOOGLETRANSLATE(C6910, ""en"", ""fa"")
"),"در مورد مزایای استفاده از ابزارهای تجزیه و تحلیل داده برای به دست آوردن بینش عملی در مورد رفتار مشتری، ترجیحات و الگوهای خرید در آمازون بحث کنید.")</f>
        <v>در مورد مزایای استفاده از ابزارهای تجزیه و تحلیل داده برای به دست آوردن بینش عملی در مورد رفتار مشتری، ترجیحات و الگوهای خرید در آمازون بحث کنید.</v>
      </c>
      <c r="H6910" s="1"/>
      <c r="I6910" s="1"/>
      <c r="J6910" s="1"/>
      <c r="K6910" s="1"/>
      <c r="L6910" s="1"/>
      <c r="M6910" s="1"/>
      <c r="N6910" s="1"/>
      <c r="O6910" s="1"/>
      <c r="P6910" s="1"/>
      <c r="Q6910" s="1"/>
      <c r="R6910" s="1"/>
      <c r="S6910" s="1"/>
      <c r="T6910" s="1"/>
      <c r="U6910" s="1"/>
      <c r="V6910" s="1"/>
      <c r="W6910" s="1"/>
      <c r="X6910" s="1"/>
      <c r="Y6910" s="1"/>
      <c r="Z6910" s="1"/>
      <c r="AA6910" s="1"/>
      <c r="AB6910" s="1"/>
    </row>
    <row r="6911" ht="50.25" customHeight="1">
      <c r="A6911" s="12">
        <v>6907.0</v>
      </c>
      <c r="B6911" s="13" t="s">
        <v>6141</v>
      </c>
      <c r="C6911" s="14" t="s">
        <v>6934</v>
      </c>
      <c r="D6911" s="1"/>
      <c r="E6911" s="1"/>
      <c r="F6911" s="1" t="str">
        <f>IFERROR(__xludf.DUMMYFUNCTION("GOOGLETRANSLATE(B6911, ""en"", ""fa"")
"),"موفقیت آمازون")</f>
        <v>موفقیت آمازون</v>
      </c>
      <c r="G6911" s="1" t="str">
        <f>IFERROR(__xludf.DUMMYFUNCTION("GOOGLETRANSLATE(C6911, ""en"", ""fa"")
"),"در مورد نحوه استفاده از ابزارهای بهینه سازی کلمات کلیدی برای شناسایی کلمات کلیدی طولانی و بهینه سازی لیست محصولات برای مشاهده بهتر جستجو، بینش هایی را به اشتراک بگذارید.")</f>
        <v>در مورد نحوه استفاده از ابزارهای بهینه سازی کلمات کلیدی برای شناسایی کلمات کلیدی طولانی و بهینه سازی لیست محصولات برای مشاهده بهتر جستجو، بینش هایی را به اشتراک بگذارید.</v>
      </c>
      <c r="H6911" s="1"/>
      <c r="I6911" s="1"/>
      <c r="J6911" s="1"/>
      <c r="K6911" s="1"/>
      <c r="L6911" s="1"/>
      <c r="M6911" s="1"/>
      <c r="N6911" s="1"/>
      <c r="O6911" s="1"/>
      <c r="P6911" s="1"/>
      <c r="Q6911" s="1"/>
      <c r="R6911" s="1"/>
      <c r="S6911" s="1"/>
      <c r="T6911" s="1"/>
      <c r="U6911" s="1"/>
      <c r="V6911" s="1"/>
      <c r="W6911" s="1"/>
      <c r="X6911" s="1"/>
      <c r="Y6911" s="1"/>
      <c r="Z6911" s="1"/>
      <c r="AA6911" s="1"/>
      <c r="AB6911" s="1"/>
    </row>
    <row r="6912" ht="50.25" customHeight="1">
      <c r="A6912" s="12">
        <v>6908.0</v>
      </c>
      <c r="B6912" s="13" t="s">
        <v>6141</v>
      </c>
      <c r="C6912" s="14" t="s">
        <v>6935</v>
      </c>
      <c r="D6912" s="1"/>
      <c r="E6912" s="1"/>
      <c r="F6912" s="1" t="str">
        <f>IFERROR(__xludf.DUMMYFUNCTION("GOOGLETRANSLATE(B6912, ""en"", ""fa"")
"),"موفقیت آمازون")</f>
        <v>موفقیت آمازون</v>
      </c>
      <c r="G6912" s="1" t="str">
        <f>IFERROR(__xludf.DUMMYFUNCTION("GOOGLETRANSLATE(C6912, ""en"", ""fa"")
"),"هنگام انتخاب ابزار مدیریت تبلیغات آمازون برای بهینه سازی کمپین های محصول حمایت شده، چه ویژگی های کلیدی را باید در نظر گرفت؟")</f>
        <v>هنگام انتخاب ابزار مدیریت تبلیغات آمازون برای بهینه سازی کمپین های محصول حمایت شده، چه ویژگی های کلیدی را باید در نظر گرفت؟</v>
      </c>
      <c r="H6912" s="1"/>
      <c r="I6912" s="1"/>
      <c r="J6912" s="1"/>
      <c r="K6912" s="1"/>
      <c r="L6912" s="1"/>
      <c r="M6912" s="1"/>
      <c r="N6912" s="1"/>
      <c r="O6912" s="1"/>
      <c r="P6912" s="1"/>
      <c r="Q6912" s="1"/>
      <c r="R6912" s="1"/>
      <c r="S6912" s="1"/>
      <c r="T6912" s="1"/>
      <c r="U6912" s="1"/>
      <c r="V6912" s="1"/>
      <c r="W6912" s="1"/>
      <c r="X6912" s="1"/>
      <c r="Y6912" s="1"/>
      <c r="Z6912" s="1"/>
      <c r="AA6912" s="1"/>
      <c r="AB6912" s="1"/>
    </row>
    <row r="6913" ht="50.25" customHeight="1">
      <c r="A6913" s="12">
        <v>6909.0</v>
      </c>
      <c r="B6913" s="13" t="s">
        <v>6141</v>
      </c>
      <c r="C6913" s="14" t="s">
        <v>6936</v>
      </c>
      <c r="D6913" s="1"/>
      <c r="E6913" s="1"/>
      <c r="F6913" s="1" t="str">
        <f>IFERROR(__xludf.DUMMYFUNCTION("GOOGLETRANSLATE(B6913, ""en"", ""fa"")
"),"موفقیت آمازون")</f>
        <v>موفقیت آمازون</v>
      </c>
      <c r="G6913" s="1" t="str">
        <f>IFERROR(__xludf.DUMMYFUNCTION("GOOGLETRANSLATE(C6913, ""en"", ""fa"")
"),"اهمیت استفاده از نرم افزار تحقیق محصول برای تجزیه و تحلیل نظرات محصول، رتبه بندی و بازخورد مشتریان برای بینش بازار و بهبود محصول را توضیح دهید.")</f>
        <v>اهمیت استفاده از نرم افزار تحقیق محصول برای تجزیه و تحلیل نظرات محصول، رتبه بندی و بازخورد مشتریان برای بینش بازار و بهبود محصول را توضیح دهید.</v>
      </c>
      <c r="H6913" s="1"/>
      <c r="I6913" s="1"/>
      <c r="J6913" s="1"/>
      <c r="K6913" s="1"/>
      <c r="L6913" s="1"/>
      <c r="M6913" s="1"/>
      <c r="N6913" s="1"/>
      <c r="O6913" s="1"/>
      <c r="P6913" s="1"/>
      <c r="Q6913" s="1"/>
      <c r="R6913" s="1"/>
      <c r="S6913" s="1"/>
      <c r="T6913" s="1"/>
      <c r="U6913" s="1"/>
      <c r="V6913" s="1"/>
      <c r="W6913" s="1"/>
      <c r="X6913" s="1"/>
      <c r="Y6913" s="1"/>
      <c r="Z6913" s="1"/>
      <c r="AA6913" s="1"/>
      <c r="AB6913" s="1"/>
    </row>
    <row r="6914" ht="50.25" customHeight="1">
      <c r="A6914" s="12">
        <v>6910.0</v>
      </c>
      <c r="B6914" s="13" t="s">
        <v>6141</v>
      </c>
      <c r="C6914" s="14" t="s">
        <v>6937</v>
      </c>
      <c r="D6914" s="1"/>
      <c r="E6914" s="1"/>
      <c r="F6914" s="1" t="str">
        <f>IFERROR(__xludf.DUMMYFUNCTION("GOOGLETRANSLATE(B6914, ""en"", ""fa"")
"),"موفقیت آمازون")</f>
        <v>موفقیت آمازون</v>
      </c>
      <c r="G6914" s="1" t="str">
        <f>IFERROR(__xludf.DUMMYFUNCTION("GOOGLETRANSLATE(C6914, ""en"", ""fa"")
"),"چگونه ابزارهای تجزیه و تحلیل فهرست‌بندی می‌توانند به فروشندگان کمک کنند فرصت‌های بهینه‌سازی را شناسایی کنند، مانند کلمات کلیدی با عملکرد پایین یا اطلاعات از دست رفته محصول؟")</f>
        <v>چگونه ابزارهای تجزیه و تحلیل فهرست‌بندی می‌توانند به فروشندگان کمک کنند فرصت‌های بهینه‌سازی را شناسایی کنند، مانند کلمات کلیدی با عملکرد پایین یا اطلاعات از دست رفته محصول؟</v>
      </c>
      <c r="H6914" s="1"/>
      <c r="I6914" s="1"/>
      <c r="J6914" s="1"/>
      <c r="K6914" s="1"/>
      <c r="L6914" s="1"/>
      <c r="M6914" s="1"/>
      <c r="N6914" s="1"/>
      <c r="O6914" s="1"/>
      <c r="P6914" s="1"/>
      <c r="Q6914" s="1"/>
      <c r="R6914" s="1"/>
      <c r="S6914" s="1"/>
      <c r="T6914" s="1"/>
      <c r="U6914" s="1"/>
      <c r="V6914" s="1"/>
      <c r="W6914" s="1"/>
      <c r="X6914" s="1"/>
      <c r="Y6914" s="1"/>
      <c r="Z6914" s="1"/>
      <c r="AA6914" s="1"/>
      <c r="AB6914" s="1"/>
    </row>
    <row r="6915" ht="50.25" customHeight="1">
      <c r="A6915" s="12">
        <v>6911.0</v>
      </c>
      <c r="B6915" s="13" t="s">
        <v>6141</v>
      </c>
      <c r="C6915" s="14" t="s">
        <v>6938</v>
      </c>
      <c r="D6915" s="1"/>
      <c r="E6915" s="1"/>
      <c r="F6915" s="1" t="str">
        <f>IFERROR(__xludf.DUMMYFUNCTION("GOOGLETRANSLATE(B6915, ""en"", ""fa"")
"),"موفقیت آمازون")</f>
        <v>موفقیت آمازون</v>
      </c>
      <c r="G6915" s="1" t="str">
        <f>IFERROR(__xludf.DUMMYFUNCTION("GOOGLETRANSLATE(C6915, ""en"", ""fa"")
"),"در مورد مزایای استفاده از نرم افزار ردیابی رقبا برای نظارت بر قیمت گذاری رقبا، تبلیغات و تغییرات فهرست در آمازون بحث کنید.")</f>
        <v>در مورد مزایای استفاده از نرم افزار ردیابی رقبا برای نظارت بر قیمت گذاری رقبا، تبلیغات و تغییرات فهرست در آمازون بحث کنید.</v>
      </c>
      <c r="H6915" s="1"/>
      <c r="I6915" s="1"/>
      <c r="J6915" s="1"/>
      <c r="K6915" s="1"/>
      <c r="L6915" s="1"/>
      <c r="M6915" s="1"/>
      <c r="N6915" s="1"/>
      <c r="O6915" s="1"/>
      <c r="P6915" s="1"/>
      <c r="Q6915" s="1"/>
      <c r="R6915" s="1"/>
      <c r="S6915" s="1"/>
      <c r="T6915" s="1"/>
      <c r="U6915" s="1"/>
      <c r="V6915" s="1"/>
      <c r="W6915" s="1"/>
      <c r="X6915" s="1"/>
      <c r="Y6915" s="1"/>
      <c r="Z6915" s="1"/>
      <c r="AA6915" s="1"/>
      <c r="AB6915" s="1"/>
    </row>
    <row r="6916" ht="50.25" customHeight="1">
      <c r="A6916" s="12">
        <v>6912.0</v>
      </c>
      <c r="B6916" s="13" t="s">
        <v>6141</v>
      </c>
      <c r="C6916" s="14" t="s">
        <v>6939</v>
      </c>
      <c r="D6916" s="1"/>
      <c r="E6916" s="1"/>
      <c r="F6916" s="1" t="str">
        <f>IFERROR(__xludf.DUMMYFUNCTION("GOOGLETRANSLATE(B6916, ""en"", ""fa"")
"),"موفقیت آمازون")</f>
        <v>موفقیت آمازون</v>
      </c>
      <c r="G6916" s="1" t="str">
        <f>IFERROR(__xludf.DUMMYFUNCTION("GOOGLETRANSLATE(C6916, ""en"", ""fa"")
"),"نکاتی را برای استفاده از ابزارهای منبع یابی محصول برای یافتن تامین کنندگان قابل اعتماد، مقایسه قیمت ها و منبع تولید محصولات به طور موثر برای یک تجارت آمازون به اشتراک بگذارید.")</f>
        <v>نکاتی را برای استفاده از ابزارهای منبع یابی محصول برای یافتن تامین کنندگان قابل اعتماد، مقایسه قیمت ها و منبع تولید محصولات به طور موثر برای یک تجارت آمازون به اشتراک بگذارید.</v>
      </c>
      <c r="H6916" s="1"/>
      <c r="I6916" s="1"/>
      <c r="J6916" s="1"/>
      <c r="K6916" s="1"/>
      <c r="L6916" s="1"/>
      <c r="M6916" s="1"/>
      <c r="N6916" s="1"/>
      <c r="O6916" s="1"/>
      <c r="P6916" s="1"/>
      <c r="Q6916" s="1"/>
      <c r="R6916" s="1"/>
      <c r="S6916" s="1"/>
      <c r="T6916" s="1"/>
      <c r="U6916" s="1"/>
      <c r="V6916" s="1"/>
      <c r="W6916" s="1"/>
      <c r="X6916" s="1"/>
      <c r="Y6916" s="1"/>
      <c r="Z6916" s="1"/>
      <c r="AA6916" s="1"/>
      <c r="AB6916" s="1"/>
    </row>
    <row r="6917" ht="50.25" customHeight="1">
      <c r="A6917" s="12">
        <v>6913.0</v>
      </c>
      <c r="B6917" s="13" t="s">
        <v>6141</v>
      </c>
      <c r="C6917" s="14" t="s">
        <v>6940</v>
      </c>
      <c r="D6917" s="1"/>
      <c r="E6917" s="1"/>
      <c r="F6917" s="1" t="str">
        <f>IFERROR(__xludf.DUMMYFUNCTION("GOOGLETRANSLATE(B6917, ""en"", ""fa"")
"),"موفقیت آمازون")</f>
        <v>موفقیت آمازون</v>
      </c>
      <c r="G6917" s="1" t="str">
        <f>IFERROR(__xludf.DUMMYFUNCTION("GOOGLETRANSLATE(C6917, ""en"", ""fa"")
"),"ملاحظات کلیدی هنگام انتخاب یک ابزار مدیریت موجودی آمازون برای خودکار کردن فرآیندهای سفارش مجدد و جلوگیری از انبارداری چیست؟")</f>
        <v>ملاحظات کلیدی هنگام انتخاب یک ابزار مدیریت موجودی آمازون برای خودکار کردن فرآیندهای سفارش مجدد و جلوگیری از انبارداری چیست؟</v>
      </c>
      <c r="H6917" s="1"/>
      <c r="I6917" s="1"/>
      <c r="J6917" s="1"/>
      <c r="K6917" s="1"/>
      <c r="L6917" s="1"/>
      <c r="M6917" s="1"/>
      <c r="N6917" s="1"/>
      <c r="O6917" s="1"/>
      <c r="P6917" s="1"/>
      <c r="Q6917" s="1"/>
      <c r="R6917" s="1"/>
      <c r="S6917" s="1"/>
      <c r="T6917" s="1"/>
      <c r="U6917" s="1"/>
      <c r="V6917" s="1"/>
      <c r="W6917" s="1"/>
      <c r="X6917" s="1"/>
      <c r="Y6917" s="1"/>
      <c r="Z6917" s="1"/>
      <c r="AA6917" s="1"/>
      <c r="AB6917" s="1"/>
    </row>
    <row r="6918" ht="50.25" customHeight="1">
      <c r="A6918" s="12">
        <v>6914.0</v>
      </c>
      <c r="B6918" s="13" t="s">
        <v>6141</v>
      </c>
      <c r="C6918" s="14" t="s">
        <v>6941</v>
      </c>
      <c r="D6918" s="1"/>
      <c r="E6918" s="1"/>
      <c r="F6918" s="1" t="str">
        <f>IFERROR(__xludf.DUMMYFUNCTION("GOOGLETRANSLATE(B6918, ""en"", ""fa"")
"),"موفقیت آمازون")</f>
        <v>موفقیت آمازون</v>
      </c>
      <c r="G6918" s="1" t="str">
        <f>IFERROR(__xludf.DUMMYFUNCTION("GOOGLETRANSLATE(C6918, ""en"", ""fa"")
"),"اهمیت استفاده از نرم افزار تست تقسیم برای مقایسه و بهینه سازی انواع مختلف تصاویر، عناوین یا توضیحات محصول را توضیح دهید.")</f>
        <v>اهمیت استفاده از نرم افزار تست تقسیم برای مقایسه و بهینه سازی انواع مختلف تصاویر، عناوین یا توضیحات محصول را توضیح دهید.</v>
      </c>
      <c r="H6918" s="1"/>
      <c r="I6918" s="1"/>
      <c r="J6918" s="1"/>
      <c r="K6918" s="1"/>
      <c r="L6918" s="1"/>
      <c r="M6918" s="1"/>
      <c r="N6918" s="1"/>
      <c r="O6918" s="1"/>
      <c r="P6918" s="1"/>
      <c r="Q6918" s="1"/>
      <c r="R6918" s="1"/>
      <c r="S6918" s="1"/>
      <c r="T6918" s="1"/>
      <c r="U6918" s="1"/>
      <c r="V6918" s="1"/>
      <c r="W6918" s="1"/>
      <c r="X6918" s="1"/>
      <c r="Y6918" s="1"/>
      <c r="Z6918" s="1"/>
      <c r="AA6918" s="1"/>
      <c r="AB6918" s="1"/>
    </row>
    <row r="6919" ht="50.25" customHeight="1">
      <c r="A6919" s="12">
        <v>6915.0</v>
      </c>
      <c r="B6919" s="13" t="s">
        <v>6141</v>
      </c>
      <c r="C6919" s="14" t="s">
        <v>6942</v>
      </c>
      <c r="D6919" s="1"/>
      <c r="E6919" s="1"/>
      <c r="F6919" s="1" t="str">
        <f>IFERROR(__xludf.DUMMYFUNCTION("GOOGLETRANSLATE(B6919, ""en"", ""fa"")
"),"موفقیت آمازون")</f>
        <v>موفقیت آمازون</v>
      </c>
      <c r="G6919" s="1" t="str">
        <f>IFERROR(__xludf.DUMMYFUNCTION("GOOGLETRANSLATE(C6919, ""en"", ""fa"")
"),"ابزارهای ردیابی سرعت فروش چگونه می توانند به فروشندگان کمک کنند روندهای فروش را تجزیه و تحلیل کنند، دوره های اوج را شناسایی کنند و مدیریت موجودی را در آمازون بهینه کنند؟")</f>
        <v>ابزارهای ردیابی سرعت فروش چگونه می توانند به فروشندگان کمک کنند روندهای فروش را تجزیه و تحلیل کنند، دوره های اوج را شناسایی کنند و مدیریت موجودی را در آمازون بهینه کنند؟</v>
      </c>
      <c r="H6919" s="1"/>
      <c r="I6919" s="1"/>
      <c r="J6919" s="1"/>
      <c r="K6919" s="1"/>
      <c r="L6919" s="1"/>
      <c r="M6919" s="1"/>
      <c r="N6919" s="1"/>
      <c r="O6919" s="1"/>
      <c r="P6919" s="1"/>
      <c r="Q6919" s="1"/>
      <c r="R6919" s="1"/>
      <c r="S6919" s="1"/>
      <c r="T6919" s="1"/>
      <c r="U6919" s="1"/>
      <c r="V6919" s="1"/>
      <c r="W6919" s="1"/>
      <c r="X6919" s="1"/>
      <c r="Y6919" s="1"/>
      <c r="Z6919" s="1"/>
      <c r="AA6919" s="1"/>
      <c r="AB6919" s="1"/>
    </row>
    <row r="6920" ht="50.25" customHeight="1">
      <c r="A6920" s="12">
        <v>6916.0</v>
      </c>
      <c r="B6920" s="13" t="s">
        <v>6141</v>
      </c>
      <c r="C6920" s="14" t="s">
        <v>6943</v>
      </c>
      <c r="D6920" s="1"/>
      <c r="E6920" s="1"/>
      <c r="F6920" s="1" t="str">
        <f>IFERROR(__xludf.DUMMYFUNCTION("GOOGLETRANSLATE(B6920, ""en"", ""fa"")
"),"موفقیت آمازون")</f>
        <v>موفقیت آمازون</v>
      </c>
      <c r="G6920" s="1" t="str">
        <f>IFERROR(__xludf.DUMMYFUNCTION("GOOGLETRANSLATE(C6920, ""en"", ""fa"")
"),"در مورد مزایای استفاده از ابزارهای مدیریت تبلیغات حمایت شده برای بهینه سازی کمپین های تبلیغاتی، هدف قرار دادن کلمات کلیدی خاص و بهبود عملکرد تبلیغات بحث کنید.")</f>
        <v>در مورد مزایای استفاده از ابزارهای مدیریت تبلیغات حمایت شده برای بهینه سازی کمپین های تبلیغاتی، هدف قرار دادن کلمات کلیدی خاص و بهبود عملکرد تبلیغات بحث کنید.</v>
      </c>
      <c r="H6920" s="1"/>
      <c r="I6920" s="1"/>
      <c r="J6920" s="1"/>
      <c r="K6920" s="1"/>
      <c r="L6920" s="1"/>
      <c r="M6920" s="1"/>
      <c r="N6920" s="1"/>
      <c r="O6920" s="1"/>
      <c r="P6920" s="1"/>
      <c r="Q6920" s="1"/>
      <c r="R6920" s="1"/>
      <c r="S6920" s="1"/>
      <c r="T6920" s="1"/>
      <c r="U6920" s="1"/>
      <c r="V6920" s="1"/>
      <c r="W6920" s="1"/>
      <c r="X6920" s="1"/>
      <c r="Y6920" s="1"/>
      <c r="Z6920" s="1"/>
      <c r="AA6920" s="1"/>
      <c r="AB6920" s="1"/>
    </row>
    <row r="6921" ht="50.25" customHeight="1">
      <c r="A6921" s="12">
        <v>6917.0</v>
      </c>
      <c r="B6921" s="13" t="s">
        <v>6141</v>
      </c>
      <c r="C6921" s="14" t="s">
        <v>6944</v>
      </c>
      <c r="D6921" s="1"/>
      <c r="E6921" s="1"/>
      <c r="F6921" s="1" t="str">
        <f>IFERROR(__xludf.DUMMYFUNCTION("GOOGLETRANSLATE(B6921, ""en"", ""fa"")
"),"موفقیت آمازون")</f>
        <v>موفقیت آمازون</v>
      </c>
      <c r="G6921" s="1" t="str">
        <f>IFERROR(__xludf.DUMMYFUNCTION("GOOGLETRANSLATE(C6921, ""en"", ""fa"")
"),"درباره نحوه استفاده از ابزارهای تحقیق کلمات کلیدی برای شناسایی و اولویت بندی کلمات کلیدی مرتبط برای کمپین های تبلیغاتی آمازون PPC، بینش هایی را به اشتراک بگذارید.")</f>
        <v>درباره نحوه استفاده از ابزارهای تحقیق کلمات کلیدی برای شناسایی و اولویت بندی کلمات کلیدی مرتبط برای کمپین های تبلیغاتی آمازون PPC، بینش هایی را به اشتراک بگذارید.</v>
      </c>
      <c r="H6921" s="1"/>
      <c r="I6921" s="1"/>
      <c r="J6921" s="1"/>
      <c r="K6921" s="1"/>
      <c r="L6921" s="1"/>
      <c r="M6921" s="1"/>
      <c r="N6921" s="1"/>
      <c r="O6921" s="1"/>
      <c r="P6921" s="1"/>
      <c r="Q6921" s="1"/>
      <c r="R6921" s="1"/>
      <c r="S6921" s="1"/>
      <c r="T6921" s="1"/>
      <c r="U6921" s="1"/>
      <c r="V6921" s="1"/>
      <c r="W6921" s="1"/>
      <c r="X6921" s="1"/>
      <c r="Y6921" s="1"/>
      <c r="Z6921" s="1"/>
      <c r="AA6921" s="1"/>
      <c r="AB6921" s="1"/>
    </row>
    <row r="6922" ht="50.25" customHeight="1">
      <c r="A6922" s="12">
        <v>6918.0</v>
      </c>
      <c r="B6922" s="13" t="s">
        <v>6141</v>
      </c>
      <c r="C6922" s="14" t="s">
        <v>6945</v>
      </c>
      <c r="D6922" s="1"/>
      <c r="E6922" s="1"/>
      <c r="F6922" s="1" t="str">
        <f>IFERROR(__xludf.DUMMYFUNCTION("GOOGLETRANSLATE(B6922, ""en"", ""fa"")
"),"موفقیت آمازون")</f>
        <v>موفقیت آمازون</v>
      </c>
      <c r="G6922" s="1" t="str">
        <f>IFERROR(__xludf.DUMMYFUNCTION("GOOGLETRANSLATE(C6922, ""en"", ""fa"")
"),"هنگام انتخاب ابزار مدیریت بازخورد آمازون برای تعامل فعال با مشتریان و حل مشکلات، چه ویژگی‌های کلیدی را باید در نظر گرفت؟")</f>
        <v>هنگام انتخاب ابزار مدیریت بازخورد آمازون برای تعامل فعال با مشتریان و حل مشکلات، چه ویژگی‌های کلیدی را باید در نظر گرفت؟</v>
      </c>
      <c r="H6922" s="1"/>
      <c r="I6922" s="1"/>
      <c r="J6922" s="1"/>
      <c r="K6922" s="1"/>
      <c r="L6922" s="1"/>
      <c r="M6922" s="1"/>
      <c r="N6922" s="1"/>
      <c r="O6922" s="1"/>
      <c r="P6922" s="1"/>
      <c r="Q6922" s="1"/>
      <c r="R6922" s="1"/>
      <c r="S6922" s="1"/>
      <c r="T6922" s="1"/>
      <c r="U6922" s="1"/>
      <c r="V6922" s="1"/>
      <c r="W6922" s="1"/>
      <c r="X6922" s="1"/>
      <c r="Y6922" s="1"/>
      <c r="Z6922" s="1"/>
      <c r="AA6922" s="1"/>
      <c r="AB6922" s="1"/>
    </row>
    <row r="6923" ht="50.25" customHeight="1">
      <c r="A6923" s="12">
        <v>6919.0</v>
      </c>
      <c r="B6923" s="13" t="s">
        <v>6141</v>
      </c>
      <c r="C6923" s="14" t="s">
        <v>6946</v>
      </c>
      <c r="D6923" s="1"/>
      <c r="E6923" s="1"/>
      <c r="F6923" s="1" t="str">
        <f>IFERROR(__xludf.DUMMYFUNCTION("GOOGLETRANSLATE(B6923, ""en"", ""fa"")
"),"موفقیت آمازون")</f>
        <v>موفقیت آمازون</v>
      </c>
      <c r="G6923" s="1" t="str">
        <f>IFERROR(__xludf.DUMMYFUNCTION("GOOGLETRANSLATE(C6923, ""en"", ""fa"")
"),"اهمیت استفاده از ابزارهای بهینه سازی نرخ تبدیل برای تجزیه و تحلیل و بهینه سازی لیست محصولات برای افزایش تبدیل فروش را توضیح دهید.")</f>
        <v>اهمیت استفاده از ابزارهای بهینه سازی نرخ تبدیل برای تجزیه و تحلیل و بهینه سازی لیست محصولات برای افزایش تبدیل فروش را توضیح دهید.</v>
      </c>
      <c r="H6923" s="1"/>
      <c r="I6923" s="1"/>
      <c r="J6923" s="1"/>
      <c r="K6923" s="1"/>
      <c r="L6923" s="1"/>
      <c r="M6923" s="1"/>
      <c r="N6923" s="1"/>
      <c r="O6923" s="1"/>
      <c r="P6923" s="1"/>
      <c r="Q6923" s="1"/>
      <c r="R6923" s="1"/>
      <c r="S6923" s="1"/>
      <c r="T6923" s="1"/>
      <c r="U6923" s="1"/>
      <c r="V6923" s="1"/>
      <c r="W6923" s="1"/>
      <c r="X6923" s="1"/>
      <c r="Y6923" s="1"/>
      <c r="Z6923" s="1"/>
      <c r="AA6923" s="1"/>
      <c r="AB6923" s="1"/>
    </row>
    <row r="6924" ht="50.25" customHeight="1">
      <c r="A6924" s="12">
        <v>6920.0</v>
      </c>
      <c r="B6924" s="13" t="s">
        <v>6141</v>
      </c>
      <c r="C6924" s="14" t="s">
        <v>6947</v>
      </c>
      <c r="D6924" s="1"/>
      <c r="E6924" s="1"/>
      <c r="F6924" s="1" t="str">
        <f>IFERROR(__xludf.DUMMYFUNCTION("GOOGLETRANSLATE(B6924, ""en"", ""fa"")
"),"موفقیت آمازون")</f>
        <v>موفقیت آمازون</v>
      </c>
      <c r="G6924" s="1" t="str">
        <f>IFERROR(__xludf.DUMMYFUNCTION("GOOGLETRANSLATE(C6924, ""en"", ""fa"")
"),"ابزارهای پیش‌بینی موجودی چگونه می‌توانند به فروشندگان کمک کنند تا هزینه‌های ذخیره‌سازی را به حداقل برسانند، از انبارداری اجتناب کنند و استراتژی کلی مدیریت موجودی خود را در آمازون بهینه کنند؟")</f>
        <v>ابزارهای پیش‌بینی موجودی چگونه می‌توانند به فروشندگان کمک کنند تا هزینه‌های ذخیره‌سازی را به حداقل برسانند، از انبارداری اجتناب کنند و استراتژی کلی مدیریت موجودی خود را در آمازون بهینه کنند؟</v>
      </c>
      <c r="H6924" s="1"/>
      <c r="I6924" s="1"/>
      <c r="J6924" s="1"/>
      <c r="K6924" s="1"/>
      <c r="L6924" s="1"/>
      <c r="M6924" s="1"/>
      <c r="N6924" s="1"/>
      <c r="O6924" s="1"/>
      <c r="P6924" s="1"/>
      <c r="Q6924" s="1"/>
      <c r="R6924" s="1"/>
      <c r="S6924" s="1"/>
      <c r="T6924" s="1"/>
      <c r="U6924" s="1"/>
      <c r="V6924" s="1"/>
      <c r="W6924" s="1"/>
      <c r="X6924" s="1"/>
      <c r="Y6924" s="1"/>
      <c r="Z6924" s="1"/>
      <c r="AA6924" s="1"/>
      <c r="AB6924" s="1"/>
    </row>
    <row r="6925" ht="50.25" customHeight="1">
      <c r="A6925" s="12">
        <v>6921.0</v>
      </c>
      <c r="B6925" s="13" t="s">
        <v>6141</v>
      </c>
      <c r="C6925" s="14" t="s">
        <v>6948</v>
      </c>
      <c r="D6925" s="1"/>
      <c r="E6925" s="1"/>
      <c r="F6925" s="1" t="str">
        <f>IFERROR(__xludf.DUMMYFUNCTION("GOOGLETRANSLATE(B6925, ""en"", ""fa"")
"),"موفقیت آمازون")</f>
        <v>موفقیت آمازون</v>
      </c>
      <c r="G6925" s="1" t="str">
        <f>IFERROR(__xludf.DUMMYFUNCTION("GOOGLETRANSLATE(C6925, ""en"", ""fa"")
"),"در مورد مزایای استفاده از نرم افزار منبع یابی محصول برای تجزیه و تحلیل تقاضا، رقابت و سودآوری محصول قبل از تصمیم گیری در مورد منبع بحث کنید.")</f>
        <v>در مورد مزایای استفاده از نرم افزار منبع یابی محصول برای تجزیه و تحلیل تقاضا، رقابت و سودآوری محصول قبل از تصمیم گیری در مورد منبع بحث کنید.</v>
      </c>
      <c r="H6925" s="1"/>
      <c r="I6925" s="1"/>
      <c r="J6925" s="1"/>
      <c r="K6925" s="1"/>
      <c r="L6925" s="1"/>
      <c r="M6925" s="1"/>
      <c r="N6925" s="1"/>
      <c r="O6925" s="1"/>
      <c r="P6925" s="1"/>
      <c r="Q6925" s="1"/>
      <c r="R6925" s="1"/>
      <c r="S6925" s="1"/>
      <c r="T6925" s="1"/>
      <c r="U6925" s="1"/>
      <c r="V6925" s="1"/>
      <c r="W6925" s="1"/>
      <c r="X6925" s="1"/>
      <c r="Y6925" s="1"/>
      <c r="Z6925" s="1"/>
      <c r="AA6925" s="1"/>
      <c r="AB6925" s="1"/>
    </row>
    <row r="6926" ht="50.25" customHeight="1">
      <c r="A6926" s="12">
        <v>6922.0</v>
      </c>
      <c r="B6926" s="13" t="s">
        <v>6141</v>
      </c>
      <c r="C6926" s="14" t="s">
        <v>6949</v>
      </c>
      <c r="D6926" s="1"/>
      <c r="E6926" s="1"/>
      <c r="F6926" s="1" t="str">
        <f>IFERROR(__xludf.DUMMYFUNCTION("GOOGLETRANSLATE(B6926, ""en"", ""fa"")
"),"موفقیت آمازون")</f>
        <v>موفقیت آمازون</v>
      </c>
      <c r="G6926" s="1" t="str">
        <f>IFERROR(__xludf.DUMMYFUNCTION("GOOGLETRANSLATE(C6926, ""en"", ""fa"")
"),"نکاتی را برای استفاده از ابزارهای ردیابی رتبه برای نظارت بر رتبه بندی کلمات کلیدی، پیگیری پیشرفت و بهینه سازی آگاهانه سئو در آمازون به اشتراک بگذارید.")</f>
        <v>نکاتی را برای استفاده از ابزارهای ردیابی رتبه برای نظارت بر رتبه بندی کلمات کلیدی، پیگیری پیشرفت و بهینه سازی آگاهانه سئو در آمازون به اشتراک بگذارید.</v>
      </c>
      <c r="H6926" s="1"/>
      <c r="I6926" s="1"/>
      <c r="J6926" s="1"/>
      <c r="K6926" s="1"/>
      <c r="L6926" s="1"/>
      <c r="M6926" s="1"/>
      <c r="N6926" s="1"/>
      <c r="O6926" s="1"/>
      <c r="P6926" s="1"/>
      <c r="Q6926" s="1"/>
      <c r="R6926" s="1"/>
      <c r="S6926" s="1"/>
      <c r="T6926" s="1"/>
      <c r="U6926" s="1"/>
      <c r="V6926" s="1"/>
      <c r="W6926" s="1"/>
      <c r="X6926" s="1"/>
      <c r="Y6926" s="1"/>
      <c r="Z6926" s="1"/>
      <c r="AA6926" s="1"/>
      <c r="AB6926" s="1"/>
    </row>
    <row r="6927" ht="50.25" customHeight="1">
      <c r="A6927" s="12">
        <v>6923.0</v>
      </c>
      <c r="B6927" s="13" t="s">
        <v>6141</v>
      </c>
      <c r="C6927" s="14" t="s">
        <v>6950</v>
      </c>
      <c r="D6927" s="1"/>
      <c r="E6927" s="1"/>
      <c r="F6927" s="1" t="str">
        <f>IFERROR(__xludf.DUMMYFUNCTION("GOOGLETRANSLATE(B6927, ""en"", ""fa"")
"),"موفقیت آمازون")</f>
        <v>موفقیت آمازون</v>
      </c>
      <c r="G6927" s="1" t="str">
        <f>IFERROR(__xludf.DUMMYFUNCTION("GOOGLETRANSLATE(C6927, ""en"", ""fa"")
"),"ملاحظات کلیدی هنگام انتخاب ابزار تجزیه و تحلیل آمازون برای ردیابی عملکرد فروش، نرخ تبدیل و سایر معیارهای مهم چیست؟")</f>
        <v>ملاحظات کلیدی هنگام انتخاب ابزار تجزیه و تحلیل آمازون برای ردیابی عملکرد فروش، نرخ تبدیل و سایر معیارهای مهم چیست؟</v>
      </c>
      <c r="H6927" s="1"/>
      <c r="I6927" s="1"/>
      <c r="J6927" s="1"/>
      <c r="K6927" s="1"/>
      <c r="L6927" s="1"/>
      <c r="M6927" s="1"/>
      <c r="N6927" s="1"/>
      <c r="O6927" s="1"/>
      <c r="P6927" s="1"/>
      <c r="Q6927" s="1"/>
      <c r="R6927" s="1"/>
      <c r="S6927" s="1"/>
      <c r="T6927" s="1"/>
      <c r="U6927" s="1"/>
      <c r="V6927" s="1"/>
      <c r="W6927" s="1"/>
      <c r="X6927" s="1"/>
      <c r="Y6927" s="1"/>
      <c r="Z6927" s="1"/>
      <c r="AA6927" s="1"/>
      <c r="AB6927" s="1"/>
    </row>
    <row r="6928" ht="50.25" customHeight="1">
      <c r="A6928" s="12">
        <v>6924.0</v>
      </c>
      <c r="B6928" s="13" t="s">
        <v>6141</v>
      </c>
      <c r="C6928" s="14" t="s">
        <v>6951</v>
      </c>
      <c r="D6928" s="1"/>
      <c r="E6928" s="1"/>
      <c r="F6928" s="1" t="str">
        <f>IFERROR(__xludf.DUMMYFUNCTION("GOOGLETRANSLATE(B6928, ""en"", ""fa"")
"),"موفقیت آمازون")</f>
        <v>موفقیت آمازون</v>
      </c>
      <c r="G6928" s="1" t="str">
        <f>IFERROR(__xludf.DUMMYFUNCTION("GOOGLETRANSLATE(C6928, ""en"", ""fa"")
"),"اهمیت استفاده از ابزارهای نظارت بر بررسی برای ردیابی بازخورد مشتری، پاسخ به نظرات و حفظ شهرت مثبت برند در آمازون را توضیح دهید.")</f>
        <v>اهمیت استفاده از ابزارهای نظارت بر بررسی برای ردیابی بازخورد مشتری، پاسخ به نظرات و حفظ شهرت مثبت برند در آمازون را توضیح دهید.</v>
      </c>
      <c r="H6928" s="1"/>
      <c r="I6928" s="1"/>
      <c r="J6928" s="1"/>
      <c r="K6928" s="1"/>
      <c r="L6928" s="1"/>
      <c r="M6928" s="1"/>
      <c r="N6928" s="1"/>
      <c r="O6928" s="1"/>
      <c r="P6928" s="1"/>
      <c r="Q6928" s="1"/>
      <c r="R6928" s="1"/>
      <c r="S6928" s="1"/>
      <c r="T6928" s="1"/>
      <c r="U6928" s="1"/>
      <c r="V6928" s="1"/>
      <c r="W6928" s="1"/>
      <c r="X6928" s="1"/>
      <c r="Y6928" s="1"/>
      <c r="Z6928" s="1"/>
      <c r="AA6928" s="1"/>
      <c r="AB6928" s="1"/>
    </row>
    <row r="6929" ht="50.25" customHeight="1">
      <c r="A6929" s="12">
        <v>6925.0</v>
      </c>
      <c r="B6929" s="13" t="s">
        <v>6141</v>
      </c>
      <c r="C6929" s="14" t="s">
        <v>6952</v>
      </c>
      <c r="D6929" s="1"/>
      <c r="E6929" s="1"/>
      <c r="F6929" s="1" t="str">
        <f>IFERROR(__xludf.DUMMYFUNCTION("GOOGLETRANSLATE(B6929, ""en"", ""fa"")
"),"موفقیت آمازون")</f>
        <v>موفقیت آمازون</v>
      </c>
      <c r="G6929" s="1" t="str">
        <f>IFERROR(__xludf.DUMMYFUNCTION("GOOGLETRANSLATE(C6929, ""en"", ""fa"")
"),"چگونه نرم‌افزار بهینه‌سازی قیمت‌گذاری می‌تواند به فروشندگان در تجزیه و تحلیل روند بازار، قیمت‌گذاری رقبا و تقاضای مشتری برای تعیین قیمت‌های بهینه محصول کمک کند؟")</f>
        <v>چگونه نرم‌افزار بهینه‌سازی قیمت‌گذاری می‌تواند به فروشندگان در تجزیه و تحلیل روند بازار، قیمت‌گذاری رقبا و تقاضای مشتری برای تعیین قیمت‌های بهینه محصول کمک کند؟</v>
      </c>
      <c r="H6929" s="1"/>
      <c r="I6929" s="1"/>
      <c r="J6929" s="1"/>
      <c r="K6929" s="1"/>
      <c r="L6929" s="1"/>
      <c r="M6929" s="1"/>
      <c r="N6929" s="1"/>
      <c r="O6929" s="1"/>
      <c r="P6929" s="1"/>
      <c r="Q6929" s="1"/>
      <c r="R6929" s="1"/>
      <c r="S6929" s="1"/>
      <c r="T6929" s="1"/>
      <c r="U6929" s="1"/>
      <c r="V6929" s="1"/>
      <c r="W6929" s="1"/>
      <c r="X6929" s="1"/>
      <c r="Y6929" s="1"/>
      <c r="Z6929" s="1"/>
      <c r="AA6929" s="1"/>
      <c r="AB6929" s="1"/>
    </row>
    <row r="6930" ht="50.25" customHeight="1">
      <c r="A6930" s="12">
        <v>6926.0</v>
      </c>
      <c r="B6930" s="13" t="s">
        <v>6141</v>
      </c>
      <c r="C6930" s="14" t="s">
        <v>6953</v>
      </c>
      <c r="D6930" s="1"/>
      <c r="E6930" s="1"/>
      <c r="F6930" s="1" t="str">
        <f>IFERROR(__xludf.DUMMYFUNCTION("GOOGLETRANSLATE(B6930, ""en"", ""fa"")
"),"موفقیت آمازون")</f>
        <v>موفقیت آمازون</v>
      </c>
      <c r="G6930" s="1" t="str">
        <f>IFERROR(__xludf.DUMMYFUNCTION("GOOGLETRANSLATE(C6930, ""en"", ""fa"")
"),"در مورد مزایای استفاده از ابزار تحقیق محصول با قابلیت تجزیه و تحلیل داده های تاریخی برای شناسایی روندهای فصلی و فرصت های محصول بحث کنید.")</f>
        <v>در مورد مزایای استفاده از ابزار تحقیق محصول با قابلیت تجزیه و تحلیل داده های تاریخی برای شناسایی روندهای فصلی و فرصت های محصول بحث کنید.</v>
      </c>
      <c r="H6930" s="1"/>
      <c r="I6930" s="1"/>
      <c r="J6930" s="1"/>
      <c r="K6930" s="1"/>
      <c r="L6930" s="1"/>
      <c r="M6930" s="1"/>
      <c r="N6930" s="1"/>
      <c r="O6930" s="1"/>
      <c r="P6930" s="1"/>
      <c r="Q6930" s="1"/>
      <c r="R6930" s="1"/>
      <c r="S6930" s="1"/>
      <c r="T6930" s="1"/>
      <c r="U6930" s="1"/>
      <c r="V6930" s="1"/>
      <c r="W6930" s="1"/>
      <c r="X6930" s="1"/>
      <c r="Y6930" s="1"/>
      <c r="Z6930" s="1"/>
      <c r="AA6930" s="1"/>
      <c r="AB6930" s="1"/>
    </row>
    <row r="6931" ht="50.25" customHeight="1">
      <c r="A6931" s="12">
        <v>6927.0</v>
      </c>
      <c r="B6931" s="13" t="s">
        <v>6141</v>
      </c>
      <c r="C6931" s="14" t="s">
        <v>6954</v>
      </c>
      <c r="D6931" s="1"/>
      <c r="E6931" s="1"/>
      <c r="F6931" s="1" t="str">
        <f>IFERROR(__xludf.DUMMYFUNCTION("GOOGLETRANSLATE(B6931, ""en"", ""fa"")
"),"موفقیت آمازون")</f>
        <v>موفقیت آمازون</v>
      </c>
      <c r="G6931" s="1" t="str">
        <f>IFERROR(__xludf.DUMMYFUNCTION("GOOGLETRANSLATE(C6931, ""en"", ""fa"")
"),"درباره نحوه استفاده از نرم‌افزار مدیریت موجودی برای همگام‌سازی سطوح موجودی در کانال‌های فروش متعدد و جلوگیری از فروش بیش از حد، بینش‌هایی را به اشتراک بگذارید.")</f>
        <v>درباره نحوه استفاده از نرم‌افزار مدیریت موجودی برای همگام‌سازی سطوح موجودی در کانال‌های فروش متعدد و جلوگیری از فروش بیش از حد، بینش‌هایی را به اشتراک بگذارید.</v>
      </c>
      <c r="H6931" s="1"/>
      <c r="I6931" s="1"/>
      <c r="J6931" s="1"/>
      <c r="K6931" s="1"/>
      <c r="L6931" s="1"/>
      <c r="M6931" s="1"/>
      <c r="N6931" s="1"/>
      <c r="O6931" s="1"/>
      <c r="P6931" s="1"/>
      <c r="Q6931" s="1"/>
      <c r="R6931" s="1"/>
      <c r="S6931" s="1"/>
      <c r="T6931" s="1"/>
      <c r="U6931" s="1"/>
      <c r="V6931" s="1"/>
      <c r="W6931" s="1"/>
      <c r="X6931" s="1"/>
      <c r="Y6931" s="1"/>
      <c r="Z6931" s="1"/>
      <c r="AA6931" s="1"/>
      <c r="AB6931" s="1"/>
    </row>
    <row r="6932" ht="50.25" customHeight="1">
      <c r="A6932" s="12">
        <v>6928.0</v>
      </c>
      <c r="B6932" s="13" t="s">
        <v>6141</v>
      </c>
      <c r="C6932" s="14" t="s">
        <v>6955</v>
      </c>
      <c r="D6932" s="1"/>
      <c r="E6932" s="1"/>
      <c r="F6932" s="1" t="str">
        <f>IFERROR(__xludf.DUMMYFUNCTION("GOOGLETRANSLATE(B6932, ""en"", ""fa"")
"),"موفقیت آمازون")</f>
        <v>موفقیت آمازون</v>
      </c>
      <c r="G6932" s="1" t="str">
        <f>IFERROR(__xludf.DUMMYFUNCTION("GOOGLETRANSLATE(C6932, ""en"", ""fa"")
"),"هنگام انتخاب ابزار بهینه سازی فهرست آمازون برای بهبود قابلیت کشف محصول و نرخ تبدیل، چه ویژگی های کلیدی را باید در نظر بگیرید؟")</f>
        <v>هنگام انتخاب ابزار بهینه سازی فهرست آمازون برای بهبود قابلیت کشف محصول و نرخ تبدیل، چه ویژگی های کلیدی را باید در نظر بگیرید؟</v>
      </c>
      <c r="H6932" s="1"/>
      <c r="I6932" s="1"/>
      <c r="J6932" s="1"/>
      <c r="K6932" s="1"/>
      <c r="L6932" s="1"/>
      <c r="M6932" s="1"/>
      <c r="N6932" s="1"/>
      <c r="O6932" s="1"/>
      <c r="P6932" s="1"/>
      <c r="Q6932" s="1"/>
      <c r="R6932" s="1"/>
      <c r="S6932" s="1"/>
      <c r="T6932" s="1"/>
      <c r="U6932" s="1"/>
      <c r="V6932" s="1"/>
      <c r="W6932" s="1"/>
      <c r="X6932" s="1"/>
      <c r="Y6932" s="1"/>
      <c r="Z6932" s="1"/>
      <c r="AA6932" s="1"/>
      <c r="AB6932" s="1"/>
    </row>
    <row r="6933" ht="50.25" customHeight="1">
      <c r="A6933" s="12">
        <v>6929.0</v>
      </c>
      <c r="B6933" s="13" t="s">
        <v>6141</v>
      </c>
      <c r="C6933" s="14" t="s">
        <v>6956</v>
      </c>
      <c r="D6933" s="1"/>
      <c r="E6933" s="1"/>
      <c r="F6933" s="1" t="str">
        <f>IFERROR(__xludf.DUMMYFUNCTION("GOOGLETRANSLATE(B6933, ""en"", ""fa"")
"),"موفقیت آمازون")</f>
        <v>موفقیت آمازون</v>
      </c>
      <c r="G6933" s="1" t="str">
        <f>IFERROR(__xludf.DUMMYFUNCTION("GOOGLETRANSLATE(C6933, ""en"", ""fa"")
"),"اهمیت استفاده از ابزارهای تجزیه و تحلیل تبلیغات برای اندازه گیری اثربخشی کمپین های آمازون PPC و بهینه سازی هزینه تبلیغات را توضیح دهید.")</f>
        <v>اهمیت استفاده از ابزارهای تجزیه و تحلیل تبلیغات برای اندازه گیری اثربخشی کمپین های آمازون PPC و بهینه سازی هزینه تبلیغات را توضیح دهید.</v>
      </c>
      <c r="H6933" s="1"/>
      <c r="I6933" s="1"/>
      <c r="J6933" s="1"/>
      <c r="K6933" s="1"/>
      <c r="L6933" s="1"/>
      <c r="M6933" s="1"/>
      <c r="N6933" s="1"/>
      <c r="O6933" s="1"/>
      <c r="P6933" s="1"/>
      <c r="Q6933" s="1"/>
      <c r="R6933" s="1"/>
      <c r="S6933" s="1"/>
      <c r="T6933" s="1"/>
      <c r="U6933" s="1"/>
      <c r="V6933" s="1"/>
      <c r="W6933" s="1"/>
      <c r="X6933" s="1"/>
      <c r="Y6933" s="1"/>
      <c r="Z6933" s="1"/>
      <c r="AA6933" s="1"/>
      <c r="AB6933" s="1"/>
    </row>
    <row r="6934" ht="50.25" customHeight="1">
      <c r="A6934" s="12">
        <v>6930.0</v>
      </c>
      <c r="B6934" s="13" t="s">
        <v>6141</v>
      </c>
      <c r="C6934" s="14" t="s">
        <v>6957</v>
      </c>
      <c r="D6934" s="1"/>
      <c r="E6934" s="1"/>
      <c r="F6934" s="1" t="str">
        <f>IFERROR(__xludf.DUMMYFUNCTION("GOOGLETRANSLATE(B6934, ""en"", ""fa"")
"),"موفقیت آمازون")</f>
        <v>موفقیت آمازون</v>
      </c>
      <c r="G6934" s="1" t="str">
        <f>IFERROR(__xludf.DUMMYFUNCTION("GOOGLETRANSLATE(C6934, ""en"", ""fa"")
"),"نرم‌افزار پیش‌بینی فروش چگونه می‌تواند به فروشندگان کمک کند تا فروش‌های آینده را پیش‌بینی کنند، سطح موجودی را برنامه‌ریزی کنند و تصمیمات تجاری آگاهانه در آمازون بگیرند؟")</f>
        <v>نرم‌افزار پیش‌بینی فروش چگونه می‌تواند به فروشندگان کمک کند تا فروش‌های آینده را پیش‌بینی کنند، سطح موجودی را برنامه‌ریزی کنند و تصمیمات تجاری آگاهانه در آمازون بگیرند؟</v>
      </c>
      <c r="H6934" s="1"/>
      <c r="I6934" s="1"/>
      <c r="J6934" s="1"/>
      <c r="K6934" s="1"/>
      <c r="L6934" s="1"/>
      <c r="M6934" s="1"/>
      <c r="N6934" s="1"/>
      <c r="O6934" s="1"/>
      <c r="P6934" s="1"/>
      <c r="Q6934" s="1"/>
      <c r="R6934" s="1"/>
      <c r="S6934" s="1"/>
      <c r="T6934" s="1"/>
      <c r="U6934" s="1"/>
      <c r="V6934" s="1"/>
      <c r="W6934" s="1"/>
      <c r="X6934" s="1"/>
      <c r="Y6934" s="1"/>
      <c r="Z6934" s="1"/>
      <c r="AA6934" s="1"/>
      <c r="AB6934" s="1"/>
    </row>
    <row r="6935" ht="50.25" customHeight="1">
      <c r="A6935" s="12">
        <v>6931.0</v>
      </c>
      <c r="B6935" s="13" t="s">
        <v>6141</v>
      </c>
      <c r="C6935" s="14" t="s">
        <v>6958</v>
      </c>
      <c r="D6935" s="1"/>
      <c r="E6935" s="1"/>
      <c r="F6935" s="1" t="str">
        <f>IFERROR(__xludf.DUMMYFUNCTION("GOOGLETRANSLATE(B6935, ""en"", ""fa"")
"),"موفقیت آمازون")</f>
        <v>موفقیت آمازون</v>
      </c>
      <c r="G6935" s="1" t="str">
        <f>IFERROR(__xludf.DUMMYFUNCTION("GOOGLETRANSLATE(C6935, ""en"", ""fa"")
"),"در مورد مزایای استفاده از ابزارهای تجزیه و تحلیل قیمت برای نظارت بر قیمت رقبا، ردیابی روند بازار و تنظیم استراتژی های قیمت گذاری بر اساس آن بحث کنید.")</f>
        <v>در مورد مزایای استفاده از ابزارهای تجزیه و تحلیل قیمت برای نظارت بر قیمت رقبا، ردیابی روند بازار و تنظیم استراتژی های قیمت گذاری بر اساس آن بحث کنید.</v>
      </c>
      <c r="H6935" s="1"/>
      <c r="I6935" s="1"/>
      <c r="J6935" s="1"/>
      <c r="K6935" s="1"/>
      <c r="L6935" s="1"/>
      <c r="M6935" s="1"/>
      <c r="N6935" s="1"/>
      <c r="O6935" s="1"/>
      <c r="P6935" s="1"/>
      <c r="Q6935" s="1"/>
      <c r="R6935" s="1"/>
      <c r="S6935" s="1"/>
      <c r="T6935" s="1"/>
      <c r="U6935" s="1"/>
      <c r="V6935" s="1"/>
      <c r="W6935" s="1"/>
      <c r="X6935" s="1"/>
      <c r="Y6935" s="1"/>
      <c r="Z6935" s="1"/>
      <c r="AA6935" s="1"/>
      <c r="AB6935" s="1"/>
    </row>
    <row r="6936" ht="50.25" customHeight="1">
      <c r="A6936" s="12">
        <v>6932.0</v>
      </c>
      <c r="B6936" s="13" t="s">
        <v>6141</v>
      </c>
      <c r="C6936" s="14" t="s">
        <v>6959</v>
      </c>
      <c r="D6936" s="1"/>
      <c r="E6936" s="1"/>
      <c r="F6936" s="1" t="str">
        <f>IFERROR(__xludf.DUMMYFUNCTION("GOOGLETRANSLATE(B6936, ""en"", ""fa"")
"),"موفقیت آمازون")</f>
        <v>موفقیت آمازون</v>
      </c>
      <c r="G6936" s="1" t="str">
        <f>IFERROR(__xludf.DUMMYFUNCTION("GOOGLETRANSLATE(C6936, ""en"", ""fa"")
"),"نکاتی را برای استفاده از نرم افزار تحقیق کلمات کلیدی برای کشف فرصت های استفاده نشده کلمات کلیدی و بهینه سازی لیست محصولات برای مشاهده بهتر جستجو به اشتراک بگذارید.")</f>
        <v>نکاتی را برای استفاده از نرم افزار تحقیق کلمات کلیدی برای کشف فرصت های استفاده نشده کلمات کلیدی و بهینه سازی لیست محصولات برای مشاهده بهتر جستجو به اشتراک بگذارید.</v>
      </c>
      <c r="H6936" s="1"/>
      <c r="I6936" s="1"/>
      <c r="J6936" s="1"/>
      <c r="K6936" s="1"/>
      <c r="L6936" s="1"/>
      <c r="M6936" s="1"/>
      <c r="N6936" s="1"/>
      <c r="O6936" s="1"/>
      <c r="P6936" s="1"/>
      <c r="Q6936" s="1"/>
      <c r="R6936" s="1"/>
      <c r="S6936" s="1"/>
      <c r="T6936" s="1"/>
      <c r="U6936" s="1"/>
      <c r="V6936" s="1"/>
      <c r="W6936" s="1"/>
      <c r="X6936" s="1"/>
      <c r="Y6936" s="1"/>
      <c r="Z6936" s="1"/>
      <c r="AA6936" s="1"/>
      <c r="AB6936" s="1"/>
    </row>
    <row r="6937" ht="50.25" customHeight="1">
      <c r="A6937" s="12">
        <v>6933.0</v>
      </c>
      <c r="B6937" s="13" t="s">
        <v>6141</v>
      </c>
      <c r="C6937" s="14" t="s">
        <v>6960</v>
      </c>
      <c r="D6937" s="1"/>
      <c r="E6937" s="1"/>
      <c r="F6937" s="1" t="str">
        <f>IFERROR(__xludf.DUMMYFUNCTION("GOOGLETRANSLATE(B6937, ""en"", ""fa"")
"),"موفقیت آمازون")</f>
        <v>موفقیت آمازون</v>
      </c>
      <c r="G6937" s="1" t="str">
        <f>IFERROR(__xludf.DUMMYFUNCTION("GOOGLETRANSLATE(C6937, ""en"", ""fa"")
"),"ملاحظات کلیدی هنگام انتخاب ابزار تجزیه و تحلیل رقبای آمازون برای ردیابی عملکرد رقبا، قیمت گذاری و تغییرات فهرست چیست؟")</f>
        <v>ملاحظات کلیدی هنگام انتخاب ابزار تجزیه و تحلیل رقبای آمازون برای ردیابی عملکرد رقبا، قیمت گذاری و تغییرات فهرست چیست؟</v>
      </c>
      <c r="H6937" s="1"/>
      <c r="I6937" s="1"/>
      <c r="J6937" s="1"/>
      <c r="K6937" s="1"/>
      <c r="L6937" s="1"/>
      <c r="M6937" s="1"/>
      <c r="N6937" s="1"/>
      <c r="O6937" s="1"/>
      <c r="P6937" s="1"/>
      <c r="Q6937" s="1"/>
      <c r="R6937" s="1"/>
      <c r="S6937" s="1"/>
      <c r="T6937" s="1"/>
      <c r="U6937" s="1"/>
      <c r="V6937" s="1"/>
      <c r="W6937" s="1"/>
      <c r="X6937" s="1"/>
      <c r="Y6937" s="1"/>
      <c r="Z6937" s="1"/>
      <c r="AA6937" s="1"/>
      <c r="AB6937" s="1"/>
    </row>
    <row r="6938" ht="50.25" customHeight="1">
      <c r="A6938" s="12">
        <v>6934.0</v>
      </c>
      <c r="B6938" s="13" t="s">
        <v>6141</v>
      </c>
      <c r="C6938" s="14" t="s">
        <v>6961</v>
      </c>
      <c r="D6938" s="1"/>
      <c r="E6938" s="1"/>
      <c r="F6938" s="1" t="str">
        <f>IFERROR(__xludf.DUMMYFUNCTION("GOOGLETRANSLATE(B6938, ""en"", ""fa"")
"),"موفقیت آمازون")</f>
        <v>موفقیت آمازون</v>
      </c>
      <c r="G6938" s="1" t="str">
        <f>IFERROR(__xludf.DUMMYFUNCTION("GOOGLETRANSLATE(C6938, ""en"", ""fa"")
"),"اهمیت استفاده از ابزارهای تجزیه و تحلیل محصول برای به دست آوردن بینش در مورد رفتار مشتری، عملکرد محصول و رشد کلی کسب و کار در آمازون را توضیح دهید.")</f>
        <v>اهمیت استفاده از ابزارهای تجزیه و تحلیل محصول برای به دست آوردن بینش در مورد رفتار مشتری، عملکرد محصول و رشد کلی کسب و کار در آمازون را توضیح دهید.</v>
      </c>
      <c r="H6938" s="1"/>
      <c r="I6938" s="1"/>
      <c r="J6938" s="1"/>
      <c r="K6938" s="1"/>
      <c r="L6938" s="1"/>
      <c r="M6938" s="1"/>
      <c r="N6938" s="1"/>
      <c r="O6938" s="1"/>
      <c r="P6938" s="1"/>
      <c r="Q6938" s="1"/>
      <c r="R6938" s="1"/>
      <c r="S6938" s="1"/>
      <c r="T6938" s="1"/>
      <c r="U6938" s="1"/>
      <c r="V6938" s="1"/>
      <c r="W6938" s="1"/>
      <c r="X6938" s="1"/>
      <c r="Y6938" s="1"/>
      <c r="Z6938" s="1"/>
      <c r="AA6938" s="1"/>
      <c r="AB6938" s="1"/>
    </row>
    <row r="6939" ht="50.25" customHeight="1">
      <c r="A6939" s="12">
        <v>6935.0</v>
      </c>
      <c r="B6939" s="13" t="s">
        <v>6141</v>
      </c>
      <c r="C6939" s="14" t="s">
        <v>6962</v>
      </c>
      <c r="D6939" s="1"/>
      <c r="E6939" s="1"/>
      <c r="F6939" s="1" t="str">
        <f>IFERROR(__xludf.DUMMYFUNCTION("GOOGLETRANSLATE(B6939, ""en"", ""fa"")
"),"موفقیت آمازون")</f>
        <v>موفقیت آمازون</v>
      </c>
      <c r="G6939" s="1" t="str">
        <f>IFERROR(__xludf.DUMMYFUNCTION("GOOGLETRANSLATE(C6939, ""en"", ""fa"")
"),"چگونه فروشندگان می توانند از بازاریابی ویدئویی در آمازون برای افزایش دید محصول و جذب مشتریان بالقوه استفاده کنند؟")</f>
        <v>چگونه فروشندگان می توانند از بازاریابی ویدئویی در آمازون برای افزایش دید محصول و جذب مشتریان بالقوه استفاده کنند؟</v>
      </c>
      <c r="H6939" s="1"/>
      <c r="I6939" s="1"/>
      <c r="J6939" s="1"/>
      <c r="K6939" s="1"/>
      <c r="L6939" s="1"/>
      <c r="M6939" s="1"/>
      <c r="N6939" s="1"/>
      <c r="O6939" s="1"/>
      <c r="P6939" s="1"/>
      <c r="Q6939" s="1"/>
      <c r="R6939" s="1"/>
      <c r="S6939" s="1"/>
      <c r="T6939" s="1"/>
      <c r="U6939" s="1"/>
      <c r="V6939" s="1"/>
      <c r="W6939" s="1"/>
      <c r="X6939" s="1"/>
      <c r="Y6939" s="1"/>
      <c r="Z6939" s="1"/>
      <c r="AA6939" s="1"/>
      <c r="AB6939" s="1"/>
    </row>
    <row r="6940" ht="50.25" customHeight="1">
      <c r="A6940" s="12">
        <v>6936.0</v>
      </c>
      <c r="B6940" s="13" t="s">
        <v>6141</v>
      </c>
      <c r="C6940" s="14" t="s">
        <v>6963</v>
      </c>
      <c r="D6940" s="1"/>
      <c r="E6940" s="1"/>
      <c r="F6940" s="1" t="str">
        <f>IFERROR(__xludf.DUMMYFUNCTION("GOOGLETRANSLATE(B6940, ""en"", ""fa"")
"),"موفقیت آمازون")</f>
        <v>موفقیت آمازون</v>
      </c>
      <c r="G6940" s="1" t="str">
        <f>IFERROR(__xludf.DUMMYFUNCTION("GOOGLETRANSLATE(C6940, ""en"", ""fa"")
"),"مزایای کلیدی گنجاندن محتوای ویدیویی در لیست محصولات در آمازون چیست؟")</f>
        <v>مزایای کلیدی گنجاندن محتوای ویدیویی در لیست محصولات در آمازون چیست؟</v>
      </c>
      <c r="H6940" s="1"/>
      <c r="I6940" s="1"/>
      <c r="J6940" s="1"/>
      <c r="K6940" s="1"/>
      <c r="L6940" s="1"/>
      <c r="M6940" s="1"/>
      <c r="N6940" s="1"/>
      <c r="O6940" s="1"/>
      <c r="P6940" s="1"/>
      <c r="Q6940" s="1"/>
      <c r="R6940" s="1"/>
      <c r="S6940" s="1"/>
      <c r="T6940" s="1"/>
      <c r="U6940" s="1"/>
      <c r="V6940" s="1"/>
      <c r="W6940" s="1"/>
      <c r="X6940" s="1"/>
      <c r="Y6940" s="1"/>
      <c r="Z6940" s="1"/>
      <c r="AA6940" s="1"/>
      <c r="AB6940" s="1"/>
    </row>
    <row r="6941" ht="50.25" customHeight="1">
      <c r="A6941" s="12">
        <v>6937.0</v>
      </c>
      <c r="B6941" s="13" t="s">
        <v>6141</v>
      </c>
      <c r="C6941" s="14" t="s">
        <v>6964</v>
      </c>
      <c r="D6941" s="1"/>
      <c r="E6941" s="1"/>
      <c r="F6941" s="1" t="str">
        <f>IFERROR(__xludf.DUMMYFUNCTION("GOOGLETRANSLATE(B6941, ""en"", ""fa"")
"),"موفقیت آمازون")</f>
        <v>موفقیت آمازون</v>
      </c>
      <c r="G6941" s="1" t="str">
        <f>IFERROR(__xludf.DUMMYFUNCTION("GOOGLETRANSLATE(C6941, ""en"", ""fa"")
"),"نکاتی را برای ایجاد ویدیوهای نمایشی محصول قانع کننده و آموزنده برای نمایش ویژگی ها و مزایا به اشتراک بگذارید.")</f>
        <v>نکاتی را برای ایجاد ویدیوهای نمایشی محصول قانع کننده و آموزنده برای نمایش ویژگی ها و مزایا به اشتراک بگذارید.</v>
      </c>
      <c r="H6941" s="1"/>
      <c r="I6941" s="1"/>
      <c r="J6941" s="1"/>
      <c r="K6941" s="1"/>
      <c r="L6941" s="1"/>
      <c r="M6941" s="1"/>
      <c r="N6941" s="1"/>
      <c r="O6941" s="1"/>
      <c r="P6941" s="1"/>
      <c r="Q6941" s="1"/>
      <c r="R6941" s="1"/>
      <c r="S6941" s="1"/>
      <c r="T6941" s="1"/>
      <c r="U6941" s="1"/>
      <c r="V6941" s="1"/>
      <c r="W6941" s="1"/>
      <c r="X6941" s="1"/>
      <c r="Y6941" s="1"/>
      <c r="Z6941" s="1"/>
      <c r="AA6941" s="1"/>
      <c r="AB6941" s="1"/>
    </row>
    <row r="6942" ht="50.25" customHeight="1">
      <c r="A6942" s="12">
        <v>6938.0</v>
      </c>
      <c r="B6942" s="13" t="s">
        <v>6141</v>
      </c>
      <c r="C6942" s="14" t="s">
        <v>6965</v>
      </c>
      <c r="D6942" s="1"/>
      <c r="E6942" s="1"/>
      <c r="F6942" s="1" t="str">
        <f>IFERROR(__xludf.DUMMYFUNCTION("GOOGLETRANSLATE(B6942, ""en"", ""fa"")
"),"موفقیت آمازون")</f>
        <v>موفقیت آمازون</v>
      </c>
      <c r="G6942" s="1" t="str">
        <f>IFERROR(__xludf.DUMMYFUNCTION("GOOGLETRANSLATE(C6942, ""en"", ""fa"")
"),"چگونه فروشندگان می توانند از تبلیغات ویدیویی در آمازون برای دستیابی به مخاطبان گسترده تر و افزایش فروش استفاده کنند؟")</f>
        <v>چگونه فروشندگان می توانند از تبلیغات ویدیویی در آمازون برای دستیابی به مخاطبان گسترده تر و افزایش فروش استفاده کنند؟</v>
      </c>
      <c r="H6942" s="1"/>
      <c r="I6942" s="1"/>
      <c r="J6942" s="1"/>
      <c r="K6942" s="1"/>
      <c r="L6942" s="1"/>
      <c r="M6942" s="1"/>
      <c r="N6942" s="1"/>
      <c r="O6942" s="1"/>
      <c r="P6942" s="1"/>
      <c r="Q6942" s="1"/>
      <c r="R6942" s="1"/>
      <c r="S6942" s="1"/>
      <c r="T6942" s="1"/>
      <c r="U6942" s="1"/>
      <c r="V6942" s="1"/>
      <c r="W6942" s="1"/>
      <c r="X6942" s="1"/>
      <c r="Y6942" s="1"/>
      <c r="Z6942" s="1"/>
      <c r="AA6942" s="1"/>
      <c r="AB6942" s="1"/>
    </row>
    <row r="6943" ht="50.25" customHeight="1">
      <c r="A6943" s="12">
        <v>6939.0</v>
      </c>
      <c r="B6943" s="13" t="s">
        <v>6141</v>
      </c>
      <c r="C6943" s="14" t="s">
        <v>6966</v>
      </c>
      <c r="D6943" s="1"/>
      <c r="E6943" s="1"/>
      <c r="F6943" s="1" t="str">
        <f>IFERROR(__xludf.DUMMYFUNCTION("GOOGLETRANSLATE(B6943, ""en"", ""fa"")
"),"موفقیت آمازون")</f>
        <v>موفقیت آمازون</v>
      </c>
      <c r="G6943" s="1" t="str">
        <f>IFERROR(__xludf.DUMMYFUNCTION("GOOGLETRANSLATE(C6943, ""en"", ""fa"")
"),"در مورد تأثیر توصیفات ویدیویی و نظرات مشتریان بر نرخ تبدیل فهرست محصولات در آمازون بحث کنید.")</f>
        <v>در مورد تأثیر توصیفات ویدیویی و نظرات مشتریان بر نرخ تبدیل فهرست محصولات در آمازون بحث کنید.</v>
      </c>
      <c r="H6943" s="1"/>
      <c r="I6943" s="1"/>
      <c r="J6943" s="1"/>
      <c r="K6943" s="1"/>
      <c r="L6943" s="1"/>
      <c r="M6943" s="1"/>
      <c r="N6943" s="1"/>
      <c r="O6943" s="1"/>
      <c r="P6943" s="1"/>
      <c r="Q6943" s="1"/>
      <c r="R6943" s="1"/>
      <c r="S6943" s="1"/>
      <c r="T6943" s="1"/>
      <c r="U6943" s="1"/>
      <c r="V6943" s="1"/>
      <c r="W6943" s="1"/>
      <c r="X6943" s="1"/>
      <c r="Y6943" s="1"/>
      <c r="Z6943" s="1"/>
      <c r="AA6943" s="1"/>
      <c r="AB6943" s="1"/>
    </row>
    <row r="6944" ht="50.25" customHeight="1">
      <c r="A6944" s="12">
        <v>6940.0</v>
      </c>
      <c r="B6944" s="13" t="s">
        <v>6141</v>
      </c>
      <c r="C6944" s="14" t="s">
        <v>6967</v>
      </c>
      <c r="D6944" s="1"/>
      <c r="E6944" s="1"/>
      <c r="F6944" s="1" t="str">
        <f>IFERROR(__xludf.DUMMYFUNCTION("GOOGLETRANSLATE(B6944, ""en"", ""fa"")
"),"موفقیت آمازون")</f>
        <v>موفقیت آمازون</v>
      </c>
      <c r="G6944" s="1" t="str">
        <f>IFERROR(__xludf.DUMMYFUNCTION("GOOGLETRANSLATE(C6944, ""en"", ""fa"")
"),"بهترین روش ها برای بهینه سازی عناوین، توضیحات و برچسب های ویدیو برای بهبود دید جستجو در آمازون چیست؟")</f>
        <v>بهترین روش ها برای بهینه سازی عناوین، توضیحات و برچسب های ویدیو برای بهبود دید جستجو در آمازون چیست؟</v>
      </c>
      <c r="H6944" s="1"/>
      <c r="I6944" s="1"/>
      <c r="J6944" s="1"/>
      <c r="K6944" s="1"/>
      <c r="L6944" s="1"/>
      <c r="M6944" s="1"/>
      <c r="N6944" s="1"/>
      <c r="O6944" s="1"/>
      <c r="P6944" s="1"/>
      <c r="Q6944" s="1"/>
      <c r="R6944" s="1"/>
      <c r="S6944" s="1"/>
      <c r="T6944" s="1"/>
      <c r="U6944" s="1"/>
      <c r="V6944" s="1"/>
      <c r="W6944" s="1"/>
      <c r="X6944" s="1"/>
      <c r="Y6944" s="1"/>
      <c r="Z6944" s="1"/>
      <c r="AA6944" s="1"/>
      <c r="AB6944" s="1"/>
    </row>
    <row r="6945" ht="50.25" customHeight="1">
      <c r="A6945" s="12">
        <v>6941.0</v>
      </c>
      <c r="B6945" s="13" t="s">
        <v>6141</v>
      </c>
      <c r="C6945" s="14" t="s">
        <v>6968</v>
      </c>
      <c r="D6945" s="1"/>
      <c r="E6945" s="1"/>
      <c r="F6945" s="1" t="str">
        <f>IFERROR(__xludf.DUMMYFUNCTION("GOOGLETRANSLATE(B6945, ""en"", ""fa"")
"),"موفقیت آمازون")</f>
        <v>موفقیت آمازون</v>
      </c>
      <c r="G6945" s="1" t="str">
        <f>IFERROR(__xludf.DUMMYFUNCTION("GOOGLETRANSLATE(C6945, ""en"", ""fa"")
"),"اهمیت استفاده از ابزارها و نرم افزارهای حرفه ای تولید ویدیو برای ایجاد ویدیوهای با کیفیت بالا برای بازاریابی آمازون را توضیح دهید.")</f>
        <v>اهمیت استفاده از ابزارها و نرم افزارهای حرفه ای تولید ویدیو برای ایجاد ویدیوهای با کیفیت بالا برای بازاریابی آمازون را توضیح دهید.</v>
      </c>
      <c r="H6945" s="1"/>
      <c r="I6945" s="1"/>
      <c r="J6945" s="1"/>
      <c r="K6945" s="1"/>
      <c r="L6945" s="1"/>
      <c r="M6945" s="1"/>
      <c r="N6945" s="1"/>
      <c r="O6945" s="1"/>
      <c r="P6945" s="1"/>
      <c r="Q6945" s="1"/>
      <c r="R6945" s="1"/>
      <c r="S6945" s="1"/>
      <c r="T6945" s="1"/>
      <c r="U6945" s="1"/>
      <c r="V6945" s="1"/>
      <c r="W6945" s="1"/>
      <c r="X6945" s="1"/>
      <c r="Y6945" s="1"/>
      <c r="Z6945" s="1"/>
      <c r="AA6945" s="1"/>
      <c r="AB6945" s="1"/>
    </row>
    <row r="6946" ht="50.25" customHeight="1">
      <c r="A6946" s="12">
        <v>6942.0</v>
      </c>
      <c r="B6946" s="13" t="s">
        <v>6141</v>
      </c>
      <c r="C6946" s="14" t="s">
        <v>6969</v>
      </c>
      <c r="D6946" s="1"/>
      <c r="E6946" s="1"/>
      <c r="F6946" s="1" t="str">
        <f>IFERROR(__xludf.DUMMYFUNCTION("GOOGLETRANSLATE(B6946, ""en"", ""fa"")
"),"موفقیت آمازون")</f>
        <v>موفقیت آمازون</v>
      </c>
      <c r="G6946" s="1" t="str">
        <f>IFERROR(__xludf.DUMMYFUNCTION("GOOGLETRANSLATE(C6946, ""en"", ""fa"")
"),"چگونه فروشندگان می توانند به طور موثر تکنیک های داستان سرایی را در ویدیوهای محصولات آمازون خود بگنجانند تا ارتباط عاطفی با مشتریان ایجاد کنند؟")</f>
        <v>چگونه فروشندگان می توانند به طور موثر تکنیک های داستان سرایی را در ویدیوهای محصولات آمازون خود بگنجانند تا ارتباط عاطفی با مشتریان ایجاد کنند؟</v>
      </c>
      <c r="H6946" s="1"/>
      <c r="I6946" s="1"/>
      <c r="J6946" s="1"/>
      <c r="K6946" s="1"/>
      <c r="L6946" s="1"/>
      <c r="M6946" s="1"/>
      <c r="N6946" s="1"/>
      <c r="O6946" s="1"/>
      <c r="P6946" s="1"/>
      <c r="Q6946" s="1"/>
      <c r="R6946" s="1"/>
      <c r="S6946" s="1"/>
      <c r="T6946" s="1"/>
      <c r="U6946" s="1"/>
      <c r="V6946" s="1"/>
      <c r="W6946" s="1"/>
      <c r="X6946" s="1"/>
      <c r="Y6946" s="1"/>
      <c r="Z6946" s="1"/>
      <c r="AA6946" s="1"/>
      <c r="AB6946" s="1"/>
    </row>
    <row r="6947" ht="50.25" customHeight="1">
      <c r="A6947" s="12">
        <v>6943.0</v>
      </c>
      <c r="B6947" s="13" t="s">
        <v>6141</v>
      </c>
      <c r="C6947" s="14" t="s">
        <v>6970</v>
      </c>
      <c r="D6947" s="1"/>
      <c r="E6947" s="1"/>
      <c r="F6947" s="1" t="str">
        <f>IFERROR(__xludf.DUMMYFUNCTION("GOOGLETRANSLATE(B6947, ""en"", ""fa"")
"),"موفقیت آمازون")</f>
        <v>موفقیت آمازون</v>
      </c>
      <c r="G6947" s="1" t="str">
        <f>IFERROR(__xludf.DUMMYFUNCTION("GOOGLETRANSLATE(C6947, ""en"", ""fa"")
"),"بینش‌هایی درباره نحوه استفاده از تبلیغات ویدیویی در کمپین‌های برندهای حمایت‌شده آمازون برای افزایش آگاهی از برند و افزایش فروش به اشتراک بگذارید.")</f>
        <v>بینش‌هایی درباره نحوه استفاده از تبلیغات ویدیویی در کمپین‌های برندهای حمایت‌شده آمازون برای افزایش آگاهی از برند و افزایش فروش به اشتراک بگذارید.</v>
      </c>
      <c r="H6947" s="1"/>
      <c r="I6947" s="1"/>
      <c r="J6947" s="1"/>
      <c r="K6947" s="1"/>
      <c r="L6947" s="1"/>
      <c r="M6947" s="1"/>
      <c r="N6947" s="1"/>
      <c r="O6947" s="1"/>
      <c r="P6947" s="1"/>
      <c r="Q6947" s="1"/>
      <c r="R6947" s="1"/>
      <c r="S6947" s="1"/>
      <c r="T6947" s="1"/>
      <c r="U6947" s="1"/>
      <c r="V6947" s="1"/>
      <c r="W6947" s="1"/>
      <c r="X6947" s="1"/>
      <c r="Y6947" s="1"/>
      <c r="Z6947" s="1"/>
      <c r="AA6947" s="1"/>
      <c r="AB6947" s="1"/>
    </row>
    <row r="6948" ht="50.25" customHeight="1">
      <c r="A6948" s="12">
        <v>6944.0</v>
      </c>
      <c r="B6948" s="13" t="s">
        <v>6141</v>
      </c>
      <c r="C6948" s="14" t="s">
        <v>6971</v>
      </c>
      <c r="D6948" s="1"/>
      <c r="E6948" s="1"/>
      <c r="F6948" s="1" t="str">
        <f>IFERROR(__xludf.DUMMYFUNCTION("GOOGLETRANSLATE(B6948, ""en"", ""fa"")
"),"موفقیت آمازون")</f>
        <v>موفقیت آمازون</v>
      </c>
      <c r="G6948" s="1" t="str">
        <f>IFERROR(__xludf.DUMMYFUNCTION("GOOGLETRANSLATE(C6948, ""en"", ""fa"")
"),"ملاحظات کلیدی هنگام بهینه سازی ریز عکس ها و پیش نمایش های ویدیو برای جلب توجه و تشویق کلیک کردن چیست؟")</f>
        <v>ملاحظات کلیدی هنگام بهینه سازی ریز عکس ها و پیش نمایش های ویدیو برای جلب توجه و تشویق کلیک کردن چیست؟</v>
      </c>
      <c r="H6948" s="1"/>
      <c r="I6948" s="1"/>
      <c r="J6948" s="1"/>
      <c r="K6948" s="1"/>
      <c r="L6948" s="1"/>
      <c r="M6948" s="1"/>
      <c r="N6948" s="1"/>
      <c r="O6948" s="1"/>
      <c r="P6948" s="1"/>
      <c r="Q6948" s="1"/>
      <c r="R6948" s="1"/>
      <c r="S6948" s="1"/>
      <c r="T6948" s="1"/>
      <c r="U6948" s="1"/>
      <c r="V6948" s="1"/>
      <c r="W6948" s="1"/>
      <c r="X6948" s="1"/>
      <c r="Y6948" s="1"/>
      <c r="Z6948" s="1"/>
      <c r="AA6948" s="1"/>
      <c r="AB6948" s="1"/>
    </row>
    <row r="6949" ht="50.25" customHeight="1">
      <c r="A6949" s="12">
        <v>6945.0</v>
      </c>
      <c r="B6949" s="13" t="s">
        <v>6141</v>
      </c>
      <c r="C6949" s="14" t="s">
        <v>6972</v>
      </c>
      <c r="D6949" s="1"/>
      <c r="E6949" s="1"/>
      <c r="F6949" s="1" t="str">
        <f>IFERROR(__xludf.DUMMYFUNCTION("GOOGLETRANSLATE(B6949, ""en"", ""fa"")
"),"موفقیت آمازون")</f>
        <v>موفقیت آمازون</v>
      </c>
      <c r="G6949" s="1" t="str">
        <f>IFERROR(__xludf.DUMMYFUNCTION("GOOGLETRANSLATE(C6949, ""en"", ""fa"")
"),"در مورد مزایای استفاده از پخش ویدئوی زنده آمازون برای تعامل با مشتریان، نمایش محصولات و پاسخ به سوالات در زمان واقعی بحث کنید.")</f>
        <v>در مورد مزایای استفاده از پخش ویدئوی زنده آمازون برای تعامل با مشتریان، نمایش محصولات و پاسخ به سوالات در زمان واقعی بحث کنید.</v>
      </c>
      <c r="H6949" s="1"/>
      <c r="I6949" s="1"/>
      <c r="J6949" s="1"/>
      <c r="K6949" s="1"/>
      <c r="L6949" s="1"/>
      <c r="M6949" s="1"/>
      <c r="N6949" s="1"/>
      <c r="O6949" s="1"/>
      <c r="P6949" s="1"/>
      <c r="Q6949" s="1"/>
      <c r="R6949" s="1"/>
      <c r="S6949" s="1"/>
      <c r="T6949" s="1"/>
      <c r="U6949" s="1"/>
      <c r="V6949" s="1"/>
      <c r="W6949" s="1"/>
      <c r="X6949" s="1"/>
      <c r="Y6949" s="1"/>
      <c r="Z6949" s="1"/>
      <c r="AA6949" s="1"/>
      <c r="AB6949" s="1"/>
    </row>
    <row r="6950" ht="50.25" customHeight="1">
      <c r="A6950" s="12">
        <v>6946.0</v>
      </c>
      <c r="B6950" s="13" t="s">
        <v>6141</v>
      </c>
      <c r="C6950" s="14" t="s">
        <v>6973</v>
      </c>
      <c r="D6950" s="1"/>
      <c r="E6950" s="1"/>
      <c r="F6950" s="1" t="str">
        <f>IFERROR(__xludf.DUMMYFUNCTION("GOOGLETRANSLATE(B6950, ""en"", ""fa"")
"),"موفقیت آمازون")</f>
        <v>موفقیت آمازون</v>
      </c>
      <c r="G6950" s="1" t="str">
        <f>IFERROR(__xludf.DUMMYFUNCTION("GOOGLETRANSLATE(C6950, ""en"", ""fa"")
"),"نکاتی را برای ایجاد محتوای ویدیویی جذاب و قابل اشتراک گذاری که می تواند ویروسی شود و در آمازون سر و صدا ایجاد کند، به اشتراک بگذارید.")</f>
        <v>نکاتی را برای ایجاد محتوای ویدیویی جذاب و قابل اشتراک گذاری که می تواند ویروسی شود و در آمازون سر و صدا ایجاد کند، به اشتراک بگذارید.</v>
      </c>
      <c r="H6950" s="1"/>
      <c r="I6950" s="1"/>
      <c r="J6950" s="1"/>
      <c r="K6950" s="1"/>
      <c r="L6950" s="1"/>
      <c r="M6950" s="1"/>
      <c r="N6950" s="1"/>
      <c r="O6950" s="1"/>
      <c r="P6950" s="1"/>
      <c r="Q6950" s="1"/>
      <c r="R6950" s="1"/>
      <c r="S6950" s="1"/>
      <c r="T6950" s="1"/>
      <c r="U6950" s="1"/>
      <c r="V6950" s="1"/>
      <c r="W6950" s="1"/>
      <c r="X6950" s="1"/>
      <c r="Y6950" s="1"/>
      <c r="Z6950" s="1"/>
      <c r="AA6950" s="1"/>
      <c r="AB6950" s="1"/>
    </row>
    <row r="6951" ht="50.25" customHeight="1">
      <c r="A6951" s="12">
        <v>6947.0</v>
      </c>
      <c r="B6951" s="13" t="s">
        <v>6141</v>
      </c>
      <c r="C6951" s="14" t="s">
        <v>6974</v>
      </c>
      <c r="D6951" s="1"/>
      <c r="E6951" s="1"/>
      <c r="F6951" s="1" t="str">
        <f>IFERROR(__xludf.DUMMYFUNCTION("GOOGLETRANSLATE(B6951, ""en"", ""fa"")
"),"موفقیت آمازون")</f>
        <v>موفقیت آمازون</v>
      </c>
      <c r="G6951" s="1" t="str">
        <f>IFERROR(__xludf.DUMMYFUNCTION("GOOGLETRANSLATE(C6951, ""en"", ""fa"")
"),"چگونه فروشندگان می توانند از کمپین های بازاریابی مجدد ویدیویی در آمازون برای جذب مجدد بازدیدکنندگان قبلی و تبدیل آنها به مشتری استفاده کنند؟")</f>
        <v>چگونه فروشندگان می توانند از کمپین های بازاریابی مجدد ویدیویی در آمازون برای جذب مجدد بازدیدکنندگان قبلی و تبدیل آنها به مشتری استفاده کنند؟</v>
      </c>
      <c r="H6951" s="1"/>
      <c r="I6951" s="1"/>
      <c r="J6951" s="1"/>
      <c r="K6951" s="1"/>
      <c r="L6951" s="1"/>
      <c r="M6951" s="1"/>
      <c r="N6951" s="1"/>
      <c r="O6951" s="1"/>
      <c r="P6951" s="1"/>
      <c r="Q6951" s="1"/>
      <c r="R6951" s="1"/>
      <c r="S6951" s="1"/>
      <c r="T6951" s="1"/>
      <c r="U6951" s="1"/>
      <c r="V6951" s="1"/>
      <c r="W6951" s="1"/>
      <c r="X6951" s="1"/>
      <c r="Y6951" s="1"/>
      <c r="Z6951" s="1"/>
      <c r="AA6951" s="1"/>
      <c r="AB6951" s="1"/>
    </row>
    <row r="6952" ht="50.25" customHeight="1">
      <c r="A6952" s="12">
        <v>6948.0</v>
      </c>
      <c r="B6952" s="13" t="s">
        <v>6141</v>
      </c>
      <c r="C6952" s="14" t="s">
        <v>6975</v>
      </c>
      <c r="D6952" s="1"/>
      <c r="E6952" s="1"/>
      <c r="F6952" s="1" t="str">
        <f>IFERROR(__xludf.DUMMYFUNCTION("GOOGLETRANSLATE(B6952, ""en"", ""fa"")
"),"موفقیت آمازون")</f>
        <v>موفقیت آمازون</v>
      </c>
      <c r="G6952" s="1" t="str">
        <f>IFERROR(__xludf.DUMMYFUNCTION("GOOGLETRANSLATE(C6952, ""en"", ""fa"")
"),"اهمیت تست A/B انواع مختلف ویدیو را برای تعیین مؤثرترین قالب و محتوا برای بازاریابی آمازون توضیح دهید.")</f>
        <v>اهمیت تست A/B انواع مختلف ویدیو را برای تعیین مؤثرترین قالب و محتوا برای بازاریابی آمازون توضیح دهید.</v>
      </c>
      <c r="H6952" s="1"/>
      <c r="I6952" s="1"/>
      <c r="J6952" s="1"/>
      <c r="K6952" s="1"/>
      <c r="L6952" s="1"/>
      <c r="M6952" s="1"/>
      <c r="N6952" s="1"/>
      <c r="O6952" s="1"/>
      <c r="P6952" s="1"/>
      <c r="Q6952" s="1"/>
      <c r="R6952" s="1"/>
      <c r="S6952" s="1"/>
      <c r="T6952" s="1"/>
      <c r="U6952" s="1"/>
      <c r="V6952" s="1"/>
      <c r="W6952" s="1"/>
      <c r="X6952" s="1"/>
      <c r="Y6952" s="1"/>
      <c r="Z6952" s="1"/>
      <c r="AA6952" s="1"/>
      <c r="AB6952" s="1"/>
    </row>
    <row r="6953" ht="50.25" customHeight="1">
      <c r="A6953" s="12">
        <v>6949.0</v>
      </c>
      <c r="B6953" s="13" t="s">
        <v>6141</v>
      </c>
      <c r="C6953" s="14" t="s">
        <v>6976</v>
      </c>
      <c r="D6953" s="1"/>
      <c r="E6953" s="1"/>
      <c r="F6953" s="1" t="str">
        <f>IFERROR(__xludf.DUMMYFUNCTION("GOOGLETRANSLATE(B6953, ""en"", ""fa"")
"),"موفقیت آمازون")</f>
        <v>موفقیت آمازون</v>
      </c>
      <c r="G6953" s="1" t="str">
        <f>IFERROR(__xludf.DUMMYFUNCTION("GOOGLETRANSLATE(C6953, ""en"", ""fa"")
"),"فروشندگان چه استراتژی هایی را می توانند برای بهینه سازی سرعت بارگذاری و عملکرد ویدئو برای جلوگیری از ریزش مشتری و افزایش تعامل به کار گیرند؟")</f>
        <v>فروشندگان چه استراتژی هایی را می توانند برای بهینه سازی سرعت بارگذاری و عملکرد ویدئو برای جلوگیری از ریزش مشتری و افزایش تعامل به کار گیرند؟</v>
      </c>
      <c r="H6953" s="1"/>
      <c r="I6953" s="1"/>
      <c r="J6953" s="1"/>
      <c r="K6953" s="1"/>
      <c r="L6953" s="1"/>
      <c r="M6953" s="1"/>
      <c r="N6953" s="1"/>
      <c r="O6953" s="1"/>
      <c r="P6953" s="1"/>
      <c r="Q6953" s="1"/>
      <c r="R6953" s="1"/>
      <c r="S6953" s="1"/>
      <c r="T6953" s="1"/>
      <c r="U6953" s="1"/>
      <c r="V6953" s="1"/>
      <c r="W6953" s="1"/>
      <c r="X6953" s="1"/>
      <c r="Y6953" s="1"/>
      <c r="Z6953" s="1"/>
      <c r="AA6953" s="1"/>
      <c r="AB6953" s="1"/>
    </row>
    <row r="6954" ht="50.25" customHeight="1">
      <c r="A6954" s="12">
        <v>6950.0</v>
      </c>
      <c r="B6954" s="13" t="s">
        <v>6141</v>
      </c>
      <c r="C6954" s="14" t="s">
        <v>6977</v>
      </c>
      <c r="D6954" s="1"/>
      <c r="E6954" s="1"/>
      <c r="F6954" s="1" t="str">
        <f>IFERROR(__xludf.DUMMYFUNCTION("GOOGLETRANSLATE(B6954, ""en"", ""fa"")
"),"موفقیت آمازون")</f>
        <v>موفقیت آمازون</v>
      </c>
      <c r="G6954" s="1" t="str">
        <f>IFERROR(__xludf.DUMMYFUNCTION("GOOGLETRANSLATE(C6954, ""en"", ""fa"")
"),"در مورد تاثیر آموزش های ویدئویی و محتوای آموزشی بر اعتماد و وفاداری مشتری در آمازون بحث کنید.")</f>
        <v>در مورد تاثیر آموزش های ویدئویی و محتوای آموزشی بر اعتماد و وفاداری مشتری در آمازون بحث کنید.</v>
      </c>
      <c r="H6954" s="1"/>
      <c r="I6954" s="1"/>
      <c r="J6954" s="1"/>
      <c r="K6954" s="1"/>
      <c r="L6954" s="1"/>
      <c r="M6954" s="1"/>
      <c r="N6954" s="1"/>
      <c r="O6954" s="1"/>
      <c r="P6954" s="1"/>
      <c r="Q6954" s="1"/>
      <c r="R6954" s="1"/>
      <c r="S6954" s="1"/>
      <c r="T6954" s="1"/>
      <c r="U6954" s="1"/>
      <c r="V6954" s="1"/>
      <c r="W6954" s="1"/>
      <c r="X6954" s="1"/>
      <c r="Y6954" s="1"/>
      <c r="Z6954" s="1"/>
      <c r="AA6954" s="1"/>
      <c r="AB6954" s="1"/>
    </row>
    <row r="6955" ht="50.25" customHeight="1">
      <c r="A6955" s="12">
        <v>6951.0</v>
      </c>
      <c r="B6955" s="13" t="s">
        <v>6141</v>
      </c>
      <c r="C6955" s="14" t="s">
        <v>6978</v>
      </c>
      <c r="D6955" s="1"/>
      <c r="E6955" s="1"/>
      <c r="F6955" s="1" t="str">
        <f>IFERROR(__xludf.DUMMYFUNCTION("GOOGLETRANSLATE(B6955, ""en"", ""fa"")
"),"موفقیت آمازون")</f>
        <v>موفقیت آمازون</v>
      </c>
      <c r="G6955" s="1" t="str">
        <f>IFERROR(__xludf.DUMMYFUNCTION("GOOGLETRANSLATE(C6955, ""en"", ""fa"")
"),"بینش هایی را در مورد نحوه تبلیغ و توزیع موثر ویدیوهای محصول آمازون در پلتفرم های رسانه های اجتماعی برای افزایش دسترسی و تعامل به اشتراک بگذارید.")</f>
        <v>بینش هایی را در مورد نحوه تبلیغ و توزیع موثر ویدیوهای محصول آمازون در پلتفرم های رسانه های اجتماعی برای افزایش دسترسی و تعامل به اشتراک بگذارید.</v>
      </c>
      <c r="H6955" s="1"/>
      <c r="I6955" s="1"/>
      <c r="J6955" s="1"/>
      <c r="K6955" s="1"/>
      <c r="L6955" s="1"/>
      <c r="M6955" s="1"/>
      <c r="N6955" s="1"/>
      <c r="O6955" s="1"/>
      <c r="P6955" s="1"/>
      <c r="Q6955" s="1"/>
      <c r="R6955" s="1"/>
      <c r="S6955" s="1"/>
      <c r="T6955" s="1"/>
      <c r="U6955" s="1"/>
      <c r="V6955" s="1"/>
      <c r="W6955" s="1"/>
      <c r="X6955" s="1"/>
      <c r="Y6955" s="1"/>
      <c r="Z6955" s="1"/>
      <c r="AA6955" s="1"/>
      <c r="AB6955" s="1"/>
    </row>
    <row r="6956" ht="50.25" customHeight="1">
      <c r="A6956" s="12">
        <v>6952.0</v>
      </c>
      <c r="B6956" s="13" t="s">
        <v>6141</v>
      </c>
      <c r="C6956" s="14" t="s">
        <v>6979</v>
      </c>
      <c r="D6956" s="1"/>
      <c r="E6956" s="1"/>
      <c r="F6956" s="1" t="str">
        <f>IFERROR(__xludf.DUMMYFUNCTION("GOOGLETRANSLATE(B6956, ""en"", ""fa"")
"),"موفقیت آمازون")</f>
        <v>موفقیت آمازون</v>
      </c>
      <c r="G6956" s="1" t="str">
        <f>IFERROR(__xludf.DUMMYFUNCTION("GOOGLETRANSLATE(C6956, ""en"", ""fa"")
"),"چگونه فروشندگان می توانند از محتوای تولید شده توسط کاربر در قالب بررسی های ویدیویی مشتری برای افزایش اثبات اجتماعی و اعتبار در آمازون استفاده کنند؟")</f>
        <v>چگونه فروشندگان می توانند از محتوای تولید شده توسط کاربر در قالب بررسی های ویدیویی مشتری برای افزایش اثبات اجتماعی و اعتبار در آمازون استفاده کنند؟</v>
      </c>
      <c r="H6956" s="1"/>
      <c r="I6956" s="1"/>
      <c r="J6956" s="1"/>
      <c r="K6956" s="1"/>
      <c r="L6956" s="1"/>
      <c r="M6956" s="1"/>
      <c r="N6956" s="1"/>
      <c r="O6956" s="1"/>
      <c r="P6956" s="1"/>
      <c r="Q6956" s="1"/>
      <c r="R6956" s="1"/>
      <c r="S6956" s="1"/>
      <c r="T6956" s="1"/>
      <c r="U6956" s="1"/>
      <c r="V6956" s="1"/>
      <c r="W6956" s="1"/>
      <c r="X6956" s="1"/>
      <c r="Y6956" s="1"/>
      <c r="Z6956" s="1"/>
      <c r="AA6956" s="1"/>
      <c r="AB6956" s="1"/>
    </row>
    <row r="6957" ht="50.25" customHeight="1">
      <c r="A6957" s="12">
        <v>6953.0</v>
      </c>
      <c r="B6957" s="13" t="s">
        <v>6141</v>
      </c>
      <c r="C6957" s="14" t="s">
        <v>6980</v>
      </c>
      <c r="D6957" s="1"/>
      <c r="E6957" s="1"/>
      <c r="F6957" s="1" t="str">
        <f>IFERROR(__xludf.DUMMYFUNCTION("GOOGLETRANSLATE(B6957, ""en"", ""fa"")
"),"موفقیت آمازون")</f>
        <v>موفقیت آمازون</v>
      </c>
      <c r="G6957" s="1" t="str">
        <f>IFERROR(__xludf.DUMMYFUNCTION("GOOGLETRANSLATE(C6957, ""en"", ""fa"")
"),"ملاحظات کلیدی هنگام بهینه سازی ابرداده ویدیو برای بهبود قابلیت کشف و ارتباط در نتایج جستجوی آمازون چیست؟")</f>
        <v>ملاحظات کلیدی هنگام بهینه سازی ابرداده ویدیو برای بهبود قابلیت کشف و ارتباط در نتایج جستجوی آمازون چیست؟</v>
      </c>
      <c r="H6957" s="1"/>
      <c r="I6957" s="1"/>
      <c r="J6957" s="1"/>
      <c r="K6957" s="1"/>
      <c r="L6957" s="1"/>
      <c r="M6957" s="1"/>
      <c r="N6957" s="1"/>
      <c r="O6957" s="1"/>
      <c r="P6957" s="1"/>
      <c r="Q6957" s="1"/>
      <c r="R6957" s="1"/>
      <c r="S6957" s="1"/>
      <c r="T6957" s="1"/>
      <c r="U6957" s="1"/>
      <c r="V6957" s="1"/>
      <c r="W6957" s="1"/>
      <c r="X6957" s="1"/>
      <c r="Y6957" s="1"/>
      <c r="Z6957" s="1"/>
      <c r="AA6957" s="1"/>
      <c r="AB6957" s="1"/>
    </row>
    <row r="6958" ht="50.25" customHeight="1">
      <c r="A6958" s="12">
        <v>6954.0</v>
      </c>
      <c r="B6958" s="13" t="s">
        <v>6141</v>
      </c>
      <c r="C6958" s="14" t="s">
        <v>6981</v>
      </c>
      <c r="D6958" s="1"/>
      <c r="E6958" s="1"/>
      <c r="F6958" s="1" t="str">
        <f>IFERROR(__xludf.DUMMYFUNCTION("GOOGLETRANSLATE(B6958, ""en"", ""fa"")
"),"موفقیت آمازون")</f>
        <v>موفقیت آمازون</v>
      </c>
      <c r="G6958" s="1" t="str">
        <f>IFERROR(__xludf.DUMMYFUNCTION("GOOGLETRANSLATE(C6958, ""en"", ""fa"")
"),"اهمیت ترکیب دکمه‌ها و پیوندهای فراخوان برای اقدام در ویدیوهای محصولات آمازون برای افزایش تبدیل و فروش را توضیح دهید.")</f>
        <v>اهمیت ترکیب دکمه‌ها و پیوندهای فراخوان برای اقدام در ویدیوهای محصولات آمازون برای افزایش تبدیل و فروش را توضیح دهید.</v>
      </c>
      <c r="H6958" s="1"/>
      <c r="I6958" s="1"/>
      <c r="J6958" s="1"/>
      <c r="K6958" s="1"/>
      <c r="L6958" s="1"/>
      <c r="M6958" s="1"/>
      <c r="N6958" s="1"/>
      <c r="O6958" s="1"/>
      <c r="P6958" s="1"/>
      <c r="Q6958" s="1"/>
      <c r="R6958" s="1"/>
      <c r="S6958" s="1"/>
      <c r="T6958" s="1"/>
      <c r="U6958" s="1"/>
      <c r="V6958" s="1"/>
      <c r="W6958" s="1"/>
      <c r="X6958" s="1"/>
      <c r="Y6958" s="1"/>
      <c r="Z6958" s="1"/>
      <c r="AA6958" s="1"/>
      <c r="AB6958" s="1"/>
    </row>
    <row r="6959" ht="50.25" customHeight="1">
      <c r="A6959" s="12">
        <v>6955.0</v>
      </c>
      <c r="B6959" s="13" t="s">
        <v>6141</v>
      </c>
      <c r="C6959" s="14" t="s">
        <v>6982</v>
      </c>
      <c r="D6959" s="1"/>
      <c r="E6959" s="1"/>
      <c r="F6959" s="1" t="str">
        <f>IFERROR(__xludf.DUMMYFUNCTION("GOOGLETRANSLATE(B6959, ""en"", ""fa"")
"),"موفقیت آمازون")</f>
        <v>موفقیت آمازون</v>
      </c>
      <c r="G6959" s="1" t="str">
        <f>IFERROR(__xludf.DUMMYFUNCTION("GOOGLETRANSLATE(C6959, ""en"", ""fa"")
"),"چگونه فروشندگان می‌توانند از کمپین‌های هدف‌گیری مجدد ویدیو برای جذب مجدد مشتریانی که به محصولات یا دسته‌های خاص علاقه نشان داده‌اند، استفاده کنند؟")</f>
        <v>چگونه فروشندگان می‌توانند از کمپین‌های هدف‌گیری مجدد ویدیو برای جذب مجدد مشتریانی که به محصولات یا دسته‌های خاص علاقه نشان داده‌اند، استفاده کنند؟</v>
      </c>
      <c r="H6959" s="1"/>
      <c r="I6959" s="1"/>
      <c r="J6959" s="1"/>
      <c r="K6959" s="1"/>
      <c r="L6959" s="1"/>
      <c r="M6959" s="1"/>
      <c r="N6959" s="1"/>
      <c r="O6959" s="1"/>
      <c r="P6959" s="1"/>
      <c r="Q6959" s="1"/>
      <c r="R6959" s="1"/>
      <c r="S6959" s="1"/>
      <c r="T6959" s="1"/>
      <c r="U6959" s="1"/>
      <c r="V6959" s="1"/>
      <c r="W6959" s="1"/>
      <c r="X6959" s="1"/>
      <c r="Y6959" s="1"/>
      <c r="Z6959" s="1"/>
      <c r="AA6959" s="1"/>
      <c r="AB6959" s="1"/>
    </row>
    <row r="6960" ht="50.25" customHeight="1">
      <c r="A6960" s="12">
        <v>6956.0</v>
      </c>
      <c r="B6960" s="13" t="s">
        <v>6141</v>
      </c>
      <c r="C6960" s="14" t="s">
        <v>6983</v>
      </c>
      <c r="D6960" s="1"/>
      <c r="E6960" s="1"/>
      <c r="F6960" s="1" t="str">
        <f>IFERROR(__xludf.DUMMYFUNCTION("GOOGLETRANSLATE(B6960, ""en"", ""fa"")
"),"موفقیت آمازون")</f>
        <v>موفقیت آمازون</v>
      </c>
      <c r="G6960" s="1" t="str">
        <f>IFERROR(__xludf.DUMMYFUNCTION("GOOGLETRANSLATE(C6960, ""en"", ""fa"")
"),"در مورد مزایای استفاده از ویدیوهای محصول 360 درجه در آمازون برای ارائه یک تجربه خرید همه جانبه و تعاملی بحث کنید.")</f>
        <v>در مورد مزایای استفاده از ویدیوهای محصول 360 درجه در آمازون برای ارائه یک تجربه خرید همه جانبه و تعاملی بحث کنید.</v>
      </c>
      <c r="H6960" s="1"/>
      <c r="I6960" s="1"/>
      <c r="J6960" s="1"/>
      <c r="K6960" s="1"/>
      <c r="L6960" s="1"/>
      <c r="M6960" s="1"/>
      <c r="N6960" s="1"/>
      <c r="O6960" s="1"/>
      <c r="P6960" s="1"/>
      <c r="Q6960" s="1"/>
      <c r="R6960" s="1"/>
      <c r="S6960" s="1"/>
      <c r="T6960" s="1"/>
      <c r="U6960" s="1"/>
      <c r="V6960" s="1"/>
      <c r="W6960" s="1"/>
      <c r="X6960" s="1"/>
      <c r="Y6960" s="1"/>
      <c r="Z6960" s="1"/>
      <c r="AA6960" s="1"/>
      <c r="AB6960" s="1"/>
    </row>
    <row r="6961" ht="50.25" customHeight="1">
      <c r="A6961" s="12">
        <v>6957.0</v>
      </c>
      <c r="B6961" s="13" t="s">
        <v>6141</v>
      </c>
      <c r="C6961" s="14" t="s">
        <v>6984</v>
      </c>
      <c r="D6961" s="1"/>
      <c r="E6961" s="1"/>
      <c r="F6961" s="1" t="str">
        <f>IFERROR(__xludf.DUMMYFUNCTION("GOOGLETRANSLATE(B6961, ""en"", ""fa"")
"),"موفقیت آمازون")</f>
        <v>موفقیت آمازون</v>
      </c>
      <c r="G6961" s="1" t="str">
        <f>IFERROR(__xludf.DUMMYFUNCTION("GOOGLETRANSLATE(C6961, ""en"", ""fa"")
"),"نکاتی را برای بهینه‌سازی طول و قالب ویدیو به اشتراک بگذارید تا اولویت‌ها و دامنه توجه مشتریان آمازون را برآورده کند.")</f>
        <v>نکاتی را برای بهینه‌سازی طول و قالب ویدیو به اشتراک بگذارید تا اولویت‌ها و دامنه توجه مشتریان آمازون را برآورده کند.</v>
      </c>
      <c r="H6961" s="1"/>
      <c r="I6961" s="1"/>
      <c r="J6961" s="1"/>
      <c r="K6961" s="1"/>
      <c r="L6961" s="1"/>
      <c r="M6961" s="1"/>
      <c r="N6961" s="1"/>
      <c r="O6961" s="1"/>
      <c r="P6961" s="1"/>
      <c r="Q6961" s="1"/>
      <c r="R6961" s="1"/>
      <c r="S6961" s="1"/>
      <c r="T6961" s="1"/>
      <c r="U6961" s="1"/>
      <c r="V6961" s="1"/>
      <c r="W6961" s="1"/>
      <c r="X6961" s="1"/>
      <c r="Y6961" s="1"/>
      <c r="Z6961" s="1"/>
      <c r="AA6961" s="1"/>
      <c r="AB6961" s="1"/>
    </row>
    <row r="6962" ht="50.25" customHeight="1">
      <c r="A6962" s="12">
        <v>6958.0</v>
      </c>
      <c r="B6962" s="13" t="s">
        <v>6141</v>
      </c>
      <c r="C6962" s="14" t="s">
        <v>6985</v>
      </c>
      <c r="D6962" s="1"/>
      <c r="E6962" s="1"/>
      <c r="F6962" s="1" t="str">
        <f>IFERROR(__xludf.DUMMYFUNCTION("GOOGLETRANSLATE(B6962, ""en"", ""fa"")
"),"موفقیت آمازون")</f>
        <v>موفقیت آمازون</v>
      </c>
      <c r="G6962" s="1" t="str">
        <f>IFERROR(__xludf.DUMMYFUNCTION("GOOGLETRANSLATE(C6962, ""en"", ""fa"")
"),"چگونه فروشندگان می توانند از ابزارهای تجزیه و تحلیل و گزارش آمازون برای به دست آوردن بینشی در مورد عملکرد فروش و رفتار مشتری استفاده کنند؟")</f>
        <v>چگونه فروشندگان می توانند از ابزارهای تجزیه و تحلیل و گزارش آمازون برای به دست آوردن بینشی در مورد عملکرد فروش و رفتار مشتری استفاده کنند؟</v>
      </c>
      <c r="H6962" s="1"/>
      <c r="I6962" s="1"/>
      <c r="J6962" s="1"/>
      <c r="K6962" s="1"/>
      <c r="L6962" s="1"/>
      <c r="M6962" s="1"/>
      <c r="N6962" s="1"/>
      <c r="O6962" s="1"/>
      <c r="P6962" s="1"/>
      <c r="Q6962" s="1"/>
      <c r="R6962" s="1"/>
      <c r="S6962" s="1"/>
      <c r="T6962" s="1"/>
      <c r="U6962" s="1"/>
      <c r="V6962" s="1"/>
      <c r="W6962" s="1"/>
      <c r="X6962" s="1"/>
      <c r="Y6962" s="1"/>
      <c r="Z6962" s="1"/>
      <c r="AA6962" s="1"/>
      <c r="AB6962" s="1"/>
    </row>
    <row r="6963" ht="50.25" customHeight="1">
      <c r="A6963" s="12">
        <v>6959.0</v>
      </c>
      <c r="B6963" s="13" t="s">
        <v>6141</v>
      </c>
      <c r="C6963" s="14" t="s">
        <v>6986</v>
      </c>
      <c r="D6963" s="1"/>
      <c r="E6963" s="1"/>
      <c r="F6963" s="1" t="str">
        <f>IFERROR(__xludf.DUMMYFUNCTION("GOOGLETRANSLATE(B6963, ""en"", ""fa"")
"),"موفقیت آمازون")</f>
        <v>موفقیت آمازون</v>
      </c>
      <c r="G6963" s="1" t="str">
        <f>IFERROR(__xludf.DUMMYFUNCTION("GOOGLETRANSLATE(C6963, ""en"", ""fa"")
"),"معیارها و KPIهای کلیدی که فروشندگان باید در داشبورد تحلیلی آمازون ردیابی و تجزیه و تحلیل کنند چیست؟")</f>
        <v>معیارها و KPIهای کلیدی که فروشندگان باید در داشبورد تحلیلی آمازون ردیابی و تجزیه و تحلیل کنند چیست؟</v>
      </c>
      <c r="H6963" s="1"/>
      <c r="I6963" s="1"/>
      <c r="J6963" s="1"/>
      <c r="K6963" s="1"/>
      <c r="L6963" s="1"/>
      <c r="M6963" s="1"/>
      <c r="N6963" s="1"/>
      <c r="O6963" s="1"/>
      <c r="P6963" s="1"/>
      <c r="Q6963" s="1"/>
      <c r="R6963" s="1"/>
      <c r="S6963" s="1"/>
      <c r="T6963" s="1"/>
      <c r="U6963" s="1"/>
      <c r="V6963" s="1"/>
      <c r="W6963" s="1"/>
      <c r="X6963" s="1"/>
      <c r="Y6963" s="1"/>
      <c r="Z6963" s="1"/>
      <c r="AA6963" s="1"/>
      <c r="AB6963" s="1"/>
    </row>
    <row r="6964" ht="50.25" customHeight="1">
      <c r="A6964" s="12">
        <v>6960.0</v>
      </c>
      <c r="B6964" s="13" t="s">
        <v>6141</v>
      </c>
      <c r="C6964" s="14" t="s">
        <v>6987</v>
      </c>
      <c r="D6964" s="1"/>
      <c r="E6964" s="1"/>
      <c r="F6964" s="1" t="str">
        <f>IFERROR(__xludf.DUMMYFUNCTION("GOOGLETRANSLATE(B6964, ""en"", ""fa"")
"),"موفقیت آمازون")</f>
        <v>موفقیت آمازون</v>
      </c>
      <c r="G6964" s="1" t="str">
        <f>IFERROR(__xludf.DUMMYFUNCTION("GOOGLETRANSLATE(C6964, ""en"", ""fa"")
"),"نکاتی را برای تفسیر و درک گزارش های فروش آمازون برای شناسایی روندها و فرصت های رشد به اشتراک بگذارید.")</f>
        <v>نکاتی را برای تفسیر و درک گزارش های فروش آمازون برای شناسایی روندها و فرصت های رشد به اشتراک بگذارید.</v>
      </c>
      <c r="H6964" s="1"/>
      <c r="I6964" s="1"/>
      <c r="J6964" s="1"/>
      <c r="K6964" s="1"/>
      <c r="L6964" s="1"/>
      <c r="M6964" s="1"/>
      <c r="N6964" s="1"/>
      <c r="O6964" s="1"/>
      <c r="P6964" s="1"/>
      <c r="Q6964" s="1"/>
      <c r="R6964" s="1"/>
      <c r="S6964" s="1"/>
      <c r="T6964" s="1"/>
      <c r="U6964" s="1"/>
      <c r="V6964" s="1"/>
      <c r="W6964" s="1"/>
      <c r="X6964" s="1"/>
      <c r="Y6964" s="1"/>
      <c r="Z6964" s="1"/>
      <c r="AA6964" s="1"/>
      <c r="AB6964" s="1"/>
    </row>
    <row r="6965" ht="50.25" customHeight="1">
      <c r="A6965" s="12">
        <v>6961.0</v>
      </c>
      <c r="B6965" s="13" t="s">
        <v>6141</v>
      </c>
      <c r="C6965" s="14" t="s">
        <v>6988</v>
      </c>
      <c r="D6965" s="1"/>
      <c r="E6965" s="1"/>
      <c r="F6965" s="1" t="str">
        <f>IFERROR(__xludf.DUMMYFUNCTION("GOOGLETRANSLATE(B6965, ""en"", ""fa"")
"),"موفقیت آمازون")</f>
        <v>موفقیت آمازون</v>
      </c>
      <c r="G6965" s="1" t="str">
        <f>IFERROR(__xludf.DUMMYFUNCTION("GOOGLETRANSLATE(C6965, ""en"", ""fa"")
"),"چگونه فروشندگان می توانند از داده های جمعیت شناختی مشتری آمازون برای هدف قرار دادن بخش های خاص مشتری و بهینه سازی استراتژی های بازاریابی استفاده کنند؟")</f>
        <v>چگونه فروشندگان می توانند از داده های جمعیت شناختی مشتری آمازون برای هدف قرار دادن بخش های خاص مشتری و بهینه سازی استراتژی های بازاریابی استفاده کنند؟</v>
      </c>
      <c r="H6965" s="1"/>
      <c r="I6965" s="1"/>
      <c r="J6965" s="1"/>
      <c r="K6965" s="1"/>
      <c r="L6965" s="1"/>
      <c r="M6965" s="1"/>
      <c r="N6965" s="1"/>
      <c r="O6965" s="1"/>
      <c r="P6965" s="1"/>
      <c r="Q6965" s="1"/>
      <c r="R6965" s="1"/>
      <c r="S6965" s="1"/>
      <c r="T6965" s="1"/>
      <c r="U6965" s="1"/>
      <c r="V6965" s="1"/>
      <c r="W6965" s="1"/>
      <c r="X6965" s="1"/>
      <c r="Y6965" s="1"/>
      <c r="Z6965" s="1"/>
      <c r="AA6965" s="1"/>
      <c r="AB6965" s="1"/>
    </row>
    <row r="6966" ht="50.25" customHeight="1">
      <c r="A6966" s="12">
        <v>6962.0</v>
      </c>
      <c r="B6966" s="13" t="s">
        <v>6141</v>
      </c>
      <c r="C6966" s="14" t="s">
        <v>6989</v>
      </c>
      <c r="D6966" s="1"/>
      <c r="E6966" s="1"/>
      <c r="F6966" s="1" t="str">
        <f>IFERROR(__xludf.DUMMYFUNCTION("GOOGLETRANSLATE(B6966, ""en"", ""fa"")
"),"موفقیت آمازون")</f>
        <v>موفقیت آمازون</v>
      </c>
      <c r="G6966" s="1" t="str">
        <f>IFERROR(__xludf.DUMMYFUNCTION("GOOGLETRANSLATE(C6966, ""en"", ""fa"")
"),"در مورد مزایای استفاده از ابزارهای تجزیه و تحلیل شخص ثالث برای تکمیل و افزایش داده های ارائه شده توسط تجزیه و تحلیل های بومی آمازون بحث کنید.")</f>
        <v>در مورد مزایای استفاده از ابزارهای تجزیه و تحلیل شخص ثالث برای تکمیل و افزایش داده های ارائه شده توسط تجزیه و تحلیل های بومی آمازون بحث کنید.</v>
      </c>
      <c r="H6966" s="1"/>
      <c r="I6966" s="1"/>
      <c r="J6966" s="1"/>
      <c r="K6966" s="1"/>
      <c r="L6966" s="1"/>
      <c r="M6966" s="1"/>
      <c r="N6966" s="1"/>
      <c r="O6966" s="1"/>
      <c r="P6966" s="1"/>
      <c r="Q6966" s="1"/>
      <c r="R6966" s="1"/>
      <c r="S6966" s="1"/>
      <c r="T6966" s="1"/>
      <c r="U6966" s="1"/>
      <c r="V6966" s="1"/>
      <c r="W6966" s="1"/>
      <c r="X6966" s="1"/>
      <c r="Y6966" s="1"/>
      <c r="Z6966" s="1"/>
      <c r="AA6966" s="1"/>
      <c r="AB6966" s="1"/>
    </row>
    <row r="6967" ht="50.25" customHeight="1">
      <c r="A6967" s="12">
        <v>6963.0</v>
      </c>
      <c r="B6967" s="13" t="s">
        <v>6141</v>
      </c>
      <c r="C6967" s="14" t="s">
        <v>6990</v>
      </c>
      <c r="D6967" s="1"/>
      <c r="E6967" s="1"/>
      <c r="F6967" s="1" t="str">
        <f>IFERROR(__xludf.DUMMYFUNCTION("GOOGLETRANSLATE(B6967, ""en"", ""fa"")
"),"موفقیت آمازون")</f>
        <v>موفقیت آمازون</v>
      </c>
      <c r="G6967" s="1" t="str">
        <f>IFERROR(__xludf.DUMMYFUNCTION("GOOGLETRANSLATE(C6967, ""en"", ""fa"")
"),"ملاحظات کلیدی هنگام تجزیه و تحلیل داده های عملکرد کلمه کلیدی برای بهینه سازی لیست محصولات و کمپین های PPC چیست؟")</f>
        <v>ملاحظات کلیدی هنگام تجزیه و تحلیل داده های عملکرد کلمه کلیدی برای بهینه سازی لیست محصولات و کمپین های PPC چیست؟</v>
      </c>
      <c r="H6967" s="1"/>
      <c r="I6967" s="1"/>
      <c r="J6967" s="1"/>
      <c r="K6967" s="1"/>
      <c r="L6967" s="1"/>
      <c r="M6967" s="1"/>
      <c r="N6967" s="1"/>
      <c r="O6967" s="1"/>
      <c r="P6967" s="1"/>
      <c r="Q6967" s="1"/>
      <c r="R6967" s="1"/>
      <c r="S6967" s="1"/>
      <c r="T6967" s="1"/>
      <c r="U6967" s="1"/>
      <c r="V6967" s="1"/>
      <c r="W6967" s="1"/>
      <c r="X6967" s="1"/>
      <c r="Y6967" s="1"/>
      <c r="Z6967" s="1"/>
      <c r="AA6967" s="1"/>
      <c r="AB6967" s="1"/>
    </row>
    <row r="6968" ht="50.25" customHeight="1">
      <c r="A6968" s="12">
        <v>6964.0</v>
      </c>
      <c r="B6968" s="13" t="s">
        <v>6141</v>
      </c>
      <c r="C6968" s="14" t="s">
        <v>6991</v>
      </c>
      <c r="D6968" s="1"/>
      <c r="E6968" s="1"/>
      <c r="F6968" s="1" t="str">
        <f>IFERROR(__xludf.DUMMYFUNCTION("GOOGLETRANSLATE(B6968, ""en"", ""fa"")
"),"موفقیت آمازون")</f>
        <v>موفقیت آمازون</v>
      </c>
      <c r="G6968" s="1" t="str">
        <f>IFERROR(__xludf.DUMMYFUNCTION("GOOGLETRANSLATE(C6968, ""en"", ""fa"")
"),"اهمیت تجزیه و تحلیل عبارات جستجوی مشتری و گزارش های پرس و جو را برای شناسایی فرصت های محصول جدید و روند کلمات کلیدی توضیح دهید.")</f>
        <v>اهمیت تجزیه و تحلیل عبارات جستجوی مشتری و گزارش های پرس و جو را برای شناسایی فرصت های محصول جدید و روند کلمات کلیدی توضیح دهید.</v>
      </c>
      <c r="H6968" s="1"/>
      <c r="I6968" s="1"/>
      <c r="J6968" s="1"/>
      <c r="K6968" s="1"/>
      <c r="L6968" s="1"/>
      <c r="M6968" s="1"/>
      <c r="N6968" s="1"/>
      <c r="O6968" s="1"/>
      <c r="P6968" s="1"/>
      <c r="Q6968" s="1"/>
      <c r="R6968" s="1"/>
      <c r="S6968" s="1"/>
      <c r="T6968" s="1"/>
      <c r="U6968" s="1"/>
      <c r="V6968" s="1"/>
      <c r="W6968" s="1"/>
      <c r="X6968" s="1"/>
      <c r="Y6968" s="1"/>
      <c r="Z6968" s="1"/>
      <c r="AA6968" s="1"/>
      <c r="AB6968" s="1"/>
    </row>
    <row r="6969" ht="50.25" customHeight="1">
      <c r="A6969" s="12">
        <v>6965.0</v>
      </c>
      <c r="B6969" s="13" t="s">
        <v>6141</v>
      </c>
      <c r="C6969" s="14" t="s">
        <v>6992</v>
      </c>
      <c r="D6969" s="1"/>
      <c r="E6969" s="1"/>
      <c r="F6969" s="1" t="str">
        <f>IFERROR(__xludf.DUMMYFUNCTION("GOOGLETRANSLATE(B6969, ""en"", ""fa"")
"),"موفقیت آمازون")</f>
        <v>موفقیت آمازون</v>
      </c>
      <c r="G6969" s="1" t="str">
        <f>IFERROR(__xludf.DUMMYFUNCTION("GOOGLETRANSLATE(C6969, ""en"", ""fa"")
"),"چگونه فروشندگان می توانند از ابزارهای پیش بینی فروش و درآمد برای تصمیم گیری آگاهانه تجاری و برنامه ریزی مدیریت موجودی استفاده کنند؟")</f>
        <v>چگونه فروشندگان می توانند از ابزارهای پیش بینی فروش و درآمد برای تصمیم گیری آگاهانه تجاری و برنامه ریزی مدیریت موجودی استفاده کنند؟</v>
      </c>
      <c r="H6969" s="1"/>
      <c r="I6969" s="1"/>
      <c r="J6969" s="1"/>
      <c r="K6969" s="1"/>
      <c r="L6969" s="1"/>
      <c r="M6969" s="1"/>
      <c r="N6969" s="1"/>
      <c r="O6969" s="1"/>
      <c r="P6969" s="1"/>
      <c r="Q6969" s="1"/>
      <c r="R6969" s="1"/>
      <c r="S6969" s="1"/>
      <c r="T6969" s="1"/>
      <c r="U6969" s="1"/>
      <c r="V6969" s="1"/>
      <c r="W6969" s="1"/>
      <c r="X6969" s="1"/>
      <c r="Y6969" s="1"/>
      <c r="Z6969" s="1"/>
      <c r="AA6969" s="1"/>
      <c r="AB6969" s="1"/>
    </row>
    <row r="6970" ht="50.25" customHeight="1">
      <c r="A6970" s="12">
        <v>6966.0</v>
      </c>
      <c r="B6970" s="13" t="s">
        <v>6141</v>
      </c>
      <c r="C6970" s="14" t="s">
        <v>6993</v>
      </c>
      <c r="D6970" s="1"/>
      <c r="E6970" s="1"/>
      <c r="F6970" s="1" t="str">
        <f>IFERROR(__xludf.DUMMYFUNCTION("GOOGLETRANSLATE(B6970, ""en"", ""fa"")
"),"موفقیت آمازون")</f>
        <v>موفقیت آمازون</v>
      </c>
      <c r="G6970" s="1" t="str">
        <f>IFERROR(__xludf.DUMMYFUNCTION("GOOGLETRANSLATE(C6970, ""en"", ""fa"")
"),"بینش هایی در مورد نحوه استفاده از درصد جعبه خرید آمازون و داده های به اشتراک گذاری جعبه خرید برای ارزیابی و بهبود رقابت به اشتراک بگذارید.")</f>
        <v>بینش هایی در مورد نحوه استفاده از درصد جعبه خرید آمازون و داده های به اشتراک گذاری جعبه خرید برای ارزیابی و بهبود رقابت به اشتراک بگذارید.</v>
      </c>
      <c r="H6970" s="1"/>
      <c r="I6970" s="1"/>
      <c r="J6970" s="1"/>
      <c r="K6970" s="1"/>
      <c r="L6970" s="1"/>
      <c r="M6970" s="1"/>
      <c r="N6970" s="1"/>
      <c r="O6970" s="1"/>
      <c r="P6970" s="1"/>
      <c r="Q6970" s="1"/>
      <c r="R6970" s="1"/>
      <c r="S6970" s="1"/>
      <c r="T6970" s="1"/>
      <c r="U6970" s="1"/>
      <c r="V6970" s="1"/>
      <c r="W6970" s="1"/>
      <c r="X6970" s="1"/>
      <c r="Y6970" s="1"/>
      <c r="Z6970" s="1"/>
      <c r="AA6970" s="1"/>
      <c r="AB6970" s="1"/>
    </row>
    <row r="6971" ht="50.25" customHeight="1">
      <c r="A6971" s="12">
        <v>6967.0</v>
      </c>
      <c r="B6971" s="13" t="s">
        <v>6141</v>
      </c>
      <c r="C6971" s="14" t="s">
        <v>6994</v>
      </c>
      <c r="D6971" s="1"/>
      <c r="E6971" s="1"/>
      <c r="F6971" s="1" t="str">
        <f>IFERROR(__xludf.DUMMYFUNCTION("GOOGLETRANSLATE(B6971, ""en"", ""fa"")
"),"موفقیت آمازون")</f>
        <v>موفقیت آمازون</v>
      </c>
      <c r="G6971" s="1" t="str">
        <f>IFERROR(__xludf.DUMMYFUNCTION("GOOGLETRANSLATE(C6971, ""en"", ""fa"")
"),"فروشندگان چه استراتژی هایی را می توانند برای ردیابی و نظارت بر عملکرد رقبا و روند بازار با استفاده از ابزارهای تحلیلی آمازون به کار گیرند؟")</f>
        <v>فروشندگان چه استراتژی هایی را می توانند برای ردیابی و نظارت بر عملکرد رقبا و روند بازار با استفاده از ابزارهای تحلیلی آمازون به کار گیرند؟</v>
      </c>
      <c r="H6971" s="1"/>
      <c r="I6971" s="1"/>
      <c r="J6971" s="1"/>
      <c r="K6971" s="1"/>
      <c r="L6971" s="1"/>
      <c r="M6971" s="1"/>
      <c r="N6971" s="1"/>
      <c r="O6971" s="1"/>
      <c r="P6971" s="1"/>
      <c r="Q6971" s="1"/>
      <c r="R6971" s="1"/>
      <c r="S6971" s="1"/>
      <c r="T6971" s="1"/>
      <c r="U6971" s="1"/>
      <c r="V6971" s="1"/>
      <c r="W6971" s="1"/>
      <c r="X6971" s="1"/>
      <c r="Y6971" s="1"/>
      <c r="Z6971" s="1"/>
      <c r="AA6971" s="1"/>
      <c r="AB6971" s="1"/>
    </row>
    <row r="6972" ht="50.25" customHeight="1">
      <c r="A6972" s="12">
        <v>6968.0</v>
      </c>
      <c r="B6972" s="13" t="s">
        <v>6141</v>
      </c>
      <c r="C6972" s="14" t="s">
        <v>6995</v>
      </c>
      <c r="D6972" s="1"/>
      <c r="E6972" s="1"/>
      <c r="F6972" s="1" t="str">
        <f>IFERROR(__xludf.DUMMYFUNCTION("GOOGLETRANSLATE(B6972, ""en"", ""fa"")
"),"موفقیت آمازون")</f>
        <v>موفقیت آمازون</v>
      </c>
      <c r="G6972" s="1" t="str">
        <f>IFERROR(__xludf.DUMMYFUNCTION("GOOGLETRANSLATE(C6972, ""en"", ""fa"")
"),"برای بهینه‌سازی تلاش‌های بهینه‌سازی فهرست، درباره تأثیر ردیابی نرخ تبدیل و نرخ کلیک روی فهرست‌های محصولات بحث کنید.")</f>
        <v>برای بهینه‌سازی تلاش‌های بهینه‌سازی فهرست، درباره تأثیر ردیابی نرخ تبدیل و نرخ کلیک روی فهرست‌های محصولات بحث کنید.</v>
      </c>
      <c r="H6972" s="1"/>
      <c r="I6972" s="1"/>
      <c r="J6972" s="1"/>
      <c r="K6972" s="1"/>
      <c r="L6972" s="1"/>
      <c r="M6972" s="1"/>
      <c r="N6972" s="1"/>
      <c r="O6972" s="1"/>
      <c r="P6972" s="1"/>
      <c r="Q6972" s="1"/>
      <c r="R6972" s="1"/>
      <c r="S6972" s="1"/>
      <c r="T6972" s="1"/>
      <c r="U6972" s="1"/>
      <c r="V6972" s="1"/>
      <c r="W6972" s="1"/>
      <c r="X6972" s="1"/>
      <c r="Y6972" s="1"/>
      <c r="Z6972" s="1"/>
      <c r="AA6972" s="1"/>
      <c r="AB6972" s="1"/>
    </row>
    <row r="6973" ht="50.25" customHeight="1">
      <c r="A6973" s="12">
        <v>6969.0</v>
      </c>
      <c r="B6973" s="13" t="s">
        <v>6141</v>
      </c>
      <c r="C6973" s="14" t="s">
        <v>6996</v>
      </c>
      <c r="D6973" s="1"/>
      <c r="E6973" s="1"/>
      <c r="F6973" s="1" t="str">
        <f>IFERROR(__xludf.DUMMYFUNCTION("GOOGLETRANSLATE(B6973, ""en"", ""fa"")
"),"موفقیت آمازون")</f>
        <v>موفقیت آمازون</v>
      </c>
      <c r="G6973" s="1" t="str">
        <f>IFERROR(__xludf.DUMMYFUNCTION("GOOGLETRANSLATE(C6973, ""en"", ""fa"")
"),"نکاتی را برای تجزیه و تحلیل نظرات مشتریان و داده های رتبه بندی برای شناسایی نقاط قوت محصول و زمینه های بهبود به اشتراک بگذارید.")</f>
        <v>نکاتی را برای تجزیه و تحلیل نظرات مشتریان و داده های رتبه بندی برای شناسایی نقاط قوت محصول و زمینه های بهبود به اشتراک بگذارید.</v>
      </c>
      <c r="H6973" s="1"/>
      <c r="I6973" s="1"/>
      <c r="J6973" s="1"/>
      <c r="K6973" s="1"/>
      <c r="L6973" s="1"/>
      <c r="M6973" s="1"/>
      <c r="N6973" s="1"/>
      <c r="O6973" s="1"/>
      <c r="P6973" s="1"/>
      <c r="Q6973" s="1"/>
      <c r="R6973" s="1"/>
      <c r="S6973" s="1"/>
      <c r="T6973" s="1"/>
      <c r="U6973" s="1"/>
      <c r="V6973" s="1"/>
      <c r="W6973" s="1"/>
      <c r="X6973" s="1"/>
      <c r="Y6973" s="1"/>
      <c r="Z6973" s="1"/>
      <c r="AA6973" s="1"/>
      <c r="AB6973" s="1"/>
    </row>
    <row r="6974" ht="50.25" customHeight="1">
      <c r="A6974" s="12">
        <v>6970.0</v>
      </c>
      <c r="B6974" s="13" t="s">
        <v>6141</v>
      </c>
      <c r="C6974" s="14" t="s">
        <v>6997</v>
      </c>
      <c r="D6974" s="1"/>
      <c r="E6974" s="1"/>
      <c r="F6974" s="1" t="str">
        <f>IFERROR(__xludf.DUMMYFUNCTION("GOOGLETRANSLATE(B6974, ""en"", ""fa"")
"),"موفقیت آمازون")</f>
        <v>موفقیت آمازون</v>
      </c>
      <c r="G6974" s="1" t="str">
        <f>IFERROR(__xludf.DUMMYFUNCTION("GOOGLETRANSLATE(C6974, ""en"", ""fa"")
"),"چگونه فروشندگان می توانند از داده های ترافیک و تبدیل برای بهینه سازی استراتژی های قیمت گذاری محصول و به حداکثر رساندن سود استفاده کنند؟")</f>
        <v>چگونه فروشندگان می توانند از داده های ترافیک و تبدیل برای بهینه سازی استراتژی های قیمت گذاری محصول و به حداکثر رساندن سود استفاده کنند؟</v>
      </c>
      <c r="H6974" s="1"/>
      <c r="I6974" s="1"/>
      <c r="J6974" s="1"/>
      <c r="K6974" s="1"/>
      <c r="L6974" s="1"/>
      <c r="M6974" s="1"/>
      <c r="N6974" s="1"/>
      <c r="O6974" s="1"/>
      <c r="P6974" s="1"/>
      <c r="Q6974" s="1"/>
      <c r="R6974" s="1"/>
      <c r="S6974" s="1"/>
      <c r="T6974" s="1"/>
      <c r="U6974" s="1"/>
      <c r="V6974" s="1"/>
      <c r="W6974" s="1"/>
      <c r="X6974" s="1"/>
      <c r="Y6974" s="1"/>
      <c r="Z6974" s="1"/>
      <c r="AA6974" s="1"/>
      <c r="AB6974" s="1"/>
    </row>
    <row r="6975" ht="50.25" customHeight="1">
      <c r="A6975" s="12">
        <v>6971.0</v>
      </c>
      <c r="B6975" s="13" t="s">
        <v>6141</v>
      </c>
      <c r="C6975" s="14" t="s">
        <v>6998</v>
      </c>
      <c r="D6975" s="1"/>
      <c r="E6975" s="1"/>
      <c r="F6975" s="1" t="str">
        <f>IFERROR(__xludf.DUMMYFUNCTION("GOOGLETRANSLATE(B6975, ""en"", ""fa"")
"),"موفقیت آمازون")</f>
        <v>موفقیت آمازون</v>
      </c>
      <c r="G6975" s="1" t="str">
        <f>IFERROR(__xludf.DUMMYFUNCTION("GOOGLETRANSLATE(C6975, ""en"", ""fa"")
"),"ثبت نام تجاری آمازون چیست و چگونه می تواند برای فروشندگان از نظر محافظت از نام تجاری و کنترل بیشتر بر لیست های آنها سودمند باشد؟")</f>
        <v>ثبت نام تجاری آمازون چیست و چگونه می تواند برای فروشندگان از نظر محافظت از نام تجاری و کنترل بیشتر بر لیست های آنها سودمند باشد؟</v>
      </c>
      <c r="H6975" s="1"/>
      <c r="I6975" s="1"/>
      <c r="J6975" s="1"/>
      <c r="K6975" s="1"/>
      <c r="L6975" s="1"/>
      <c r="M6975" s="1"/>
      <c r="N6975" s="1"/>
      <c r="O6975" s="1"/>
      <c r="P6975" s="1"/>
      <c r="Q6975" s="1"/>
      <c r="R6975" s="1"/>
      <c r="S6975" s="1"/>
      <c r="T6975" s="1"/>
      <c r="U6975" s="1"/>
      <c r="V6975" s="1"/>
      <c r="W6975" s="1"/>
      <c r="X6975" s="1"/>
      <c r="Y6975" s="1"/>
      <c r="Z6975" s="1"/>
      <c r="AA6975" s="1"/>
      <c r="AB6975" s="1"/>
    </row>
    <row r="6976" ht="50.25" customHeight="1">
      <c r="A6976" s="12">
        <v>6972.0</v>
      </c>
      <c r="B6976" s="13" t="s">
        <v>6141</v>
      </c>
      <c r="C6976" s="14" t="s">
        <v>6999</v>
      </c>
      <c r="D6976" s="1"/>
      <c r="E6976" s="1"/>
      <c r="F6976" s="1" t="str">
        <f>IFERROR(__xludf.DUMMYFUNCTION("GOOGLETRANSLATE(B6976, ""en"", ""fa"")
"),"موفقیت آمازون")</f>
        <v>موفقیت آمازون</v>
      </c>
      <c r="G6976" s="1" t="str">
        <f>IFERROR(__xludf.DUMMYFUNCTION("GOOGLETRANSLATE(C6976, ""en"", ""fa"")
"),"نکاتی برای ثبت نام تجاری در آمازون و الزامات و مدارک لازم برای یک برنامه موفق را به اشتراک بگذارید.")</f>
        <v>نکاتی برای ثبت نام تجاری در آمازون و الزامات و مدارک لازم برای یک برنامه موفق را به اشتراک بگذارید.</v>
      </c>
      <c r="H6976" s="1"/>
      <c r="I6976" s="1"/>
      <c r="J6976" s="1"/>
      <c r="K6976" s="1"/>
      <c r="L6976" s="1"/>
      <c r="M6976" s="1"/>
      <c r="N6976" s="1"/>
      <c r="O6976" s="1"/>
      <c r="P6976" s="1"/>
      <c r="Q6976" s="1"/>
      <c r="R6976" s="1"/>
      <c r="S6976" s="1"/>
      <c r="T6976" s="1"/>
      <c r="U6976" s="1"/>
      <c r="V6976" s="1"/>
      <c r="W6976" s="1"/>
      <c r="X6976" s="1"/>
      <c r="Y6976" s="1"/>
      <c r="Z6976" s="1"/>
      <c r="AA6976" s="1"/>
      <c r="AB6976" s="1"/>
    </row>
    <row r="6977" ht="50.25" customHeight="1">
      <c r="A6977" s="12">
        <v>6973.0</v>
      </c>
      <c r="B6977" s="13" t="s">
        <v>6141</v>
      </c>
      <c r="C6977" s="14" t="s">
        <v>7000</v>
      </c>
      <c r="D6977" s="1"/>
      <c r="E6977" s="1"/>
      <c r="F6977" s="1" t="str">
        <f>IFERROR(__xludf.DUMMYFUNCTION("GOOGLETRANSLATE(B6977, ""en"", ""fa"")
"),"موفقیت آمازون")</f>
        <v>موفقیت آمازون</v>
      </c>
      <c r="G6977" s="1" t="str">
        <f>IFERROR(__xludf.DUMMYFUNCTION("GOOGLETRANSLATE(C6977, ""en"", ""fa"")
"),"چگونه ثبت نام تجاری آمازون به فروشندگان کمک می کند تا از تعرض فروشندگان تقلبی و غیرمجاز به برند و فهرست آنها جلوگیری کنند؟")</f>
        <v>چگونه ثبت نام تجاری آمازون به فروشندگان کمک می کند تا از تعرض فروشندگان تقلبی و غیرمجاز به برند و فهرست آنها جلوگیری کنند؟</v>
      </c>
      <c r="H6977" s="1"/>
      <c r="I6977" s="1"/>
      <c r="J6977" s="1"/>
      <c r="K6977" s="1"/>
      <c r="L6977" s="1"/>
      <c r="M6977" s="1"/>
      <c r="N6977" s="1"/>
      <c r="O6977" s="1"/>
      <c r="P6977" s="1"/>
      <c r="Q6977" s="1"/>
      <c r="R6977" s="1"/>
      <c r="S6977" s="1"/>
      <c r="T6977" s="1"/>
      <c r="U6977" s="1"/>
      <c r="V6977" s="1"/>
      <c r="W6977" s="1"/>
      <c r="X6977" s="1"/>
      <c r="Y6977" s="1"/>
      <c r="Z6977" s="1"/>
      <c r="AA6977" s="1"/>
      <c r="AB6977" s="1"/>
    </row>
    <row r="6978" ht="50.25" customHeight="1">
      <c r="A6978" s="12">
        <v>6974.0</v>
      </c>
      <c r="B6978" s="13" t="s">
        <v>6141</v>
      </c>
      <c r="C6978" s="14" t="s">
        <v>7001</v>
      </c>
      <c r="D6978" s="1"/>
      <c r="E6978" s="1"/>
      <c r="F6978" s="1" t="str">
        <f>IFERROR(__xludf.DUMMYFUNCTION("GOOGLETRANSLATE(B6978, ""en"", ""fa"")
"),"موفقیت آمازون")</f>
        <v>موفقیت آمازون</v>
      </c>
      <c r="G6978" s="1" t="str">
        <f>IFERROR(__xludf.DUMMYFUNCTION("GOOGLETRANSLATE(C6978, ""en"", ""fa"")
"),"در مورد مزایای داشتن یک نام تجاری ثبت شده در آمازون، مانند دسترسی به ویژگی های محتوای برند پیشرفته و گزینه های تبلیغاتی خاص برند بحث کنید.")</f>
        <v>در مورد مزایای داشتن یک نام تجاری ثبت شده در آمازون، مانند دسترسی به ویژگی های محتوای برند پیشرفته و گزینه های تبلیغاتی خاص برند بحث کنید.</v>
      </c>
      <c r="H6978" s="1"/>
      <c r="I6978" s="1"/>
      <c r="J6978" s="1"/>
      <c r="K6978" s="1"/>
      <c r="L6978" s="1"/>
      <c r="M6978" s="1"/>
      <c r="N6978" s="1"/>
      <c r="O6978" s="1"/>
      <c r="P6978" s="1"/>
      <c r="Q6978" s="1"/>
      <c r="R6978" s="1"/>
      <c r="S6978" s="1"/>
      <c r="T6978" s="1"/>
      <c r="U6978" s="1"/>
      <c r="V6978" s="1"/>
      <c r="W6978" s="1"/>
      <c r="X6978" s="1"/>
      <c r="Y6978" s="1"/>
      <c r="Z6978" s="1"/>
      <c r="AA6978" s="1"/>
      <c r="AB6978" s="1"/>
    </row>
    <row r="6979" ht="50.25" customHeight="1">
      <c r="A6979" s="12">
        <v>6975.0</v>
      </c>
      <c r="B6979" s="13" t="s">
        <v>6141</v>
      </c>
      <c r="C6979" s="14" t="s">
        <v>7002</v>
      </c>
      <c r="D6979" s="1"/>
      <c r="E6979" s="1"/>
      <c r="F6979" s="1" t="str">
        <f>IFERROR(__xludf.DUMMYFUNCTION("GOOGLETRANSLATE(B6979, ""en"", ""fa"")
"),"موفقیت آمازون")</f>
        <v>موفقیت آمازون</v>
      </c>
      <c r="G6979" s="1" t="str">
        <f>IFERROR(__xludf.DUMMYFUNCTION("GOOGLETRANSLATE(C6979, ""en"", ""fa"")
"),"فروشندگان چه استراتژی هایی می توانند برای استفاده از ابزارهای گزارش ثبت برند برای شناسایی و گزارش موارد نقض مالکیت معنوی به کار گیرند؟")</f>
        <v>فروشندگان چه استراتژی هایی می توانند برای استفاده از ابزارهای گزارش ثبت برند برای شناسایی و گزارش موارد نقض مالکیت معنوی به کار گیرند؟</v>
      </c>
      <c r="H6979" s="1"/>
      <c r="I6979" s="1"/>
      <c r="J6979" s="1"/>
      <c r="K6979" s="1"/>
      <c r="L6979" s="1"/>
      <c r="M6979" s="1"/>
      <c r="N6979" s="1"/>
      <c r="O6979" s="1"/>
      <c r="P6979" s="1"/>
      <c r="Q6979" s="1"/>
      <c r="R6979" s="1"/>
      <c r="S6979" s="1"/>
      <c r="T6979" s="1"/>
      <c r="U6979" s="1"/>
      <c r="V6979" s="1"/>
      <c r="W6979" s="1"/>
      <c r="X6979" s="1"/>
      <c r="Y6979" s="1"/>
      <c r="Z6979" s="1"/>
      <c r="AA6979" s="1"/>
      <c r="AB6979" s="1"/>
    </row>
    <row r="6980" ht="50.25" customHeight="1">
      <c r="A6980" s="12">
        <v>6976.0</v>
      </c>
      <c r="B6980" s="13" t="s">
        <v>6141</v>
      </c>
      <c r="C6980" s="14" t="s">
        <v>7003</v>
      </c>
      <c r="D6980" s="1"/>
      <c r="E6980" s="1"/>
      <c r="F6980" s="1" t="str">
        <f>IFERROR(__xludf.DUMMYFUNCTION("GOOGLETRANSLATE(B6980, ""en"", ""fa"")
"),"موفقیت آمازون")</f>
        <v>موفقیت آمازون</v>
      </c>
      <c r="G6980" s="1" t="str">
        <f>IFERROR(__xludf.DUMMYFUNCTION("GOOGLETRANSLATE(C6980, ""en"", ""fa"")
"),"روند ثبت نام در برنامه شفافیت آمازون از طریق ثبت نام تجاری را برای کمک به جلوگیری از دستیابی محصولات تقلبی به مشتریان توضیح دهید.")</f>
        <v>روند ثبت نام در برنامه شفافیت آمازون از طریق ثبت نام تجاری را برای کمک به جلوگیری از دستیابی محصولات تقلبی به مشتریان توضیح دهید.</v>
      </c>
      <c r="H6980" s="1"/>
      <c r="I6980" s="1"/>
      <c r="J6980" s="1"/>
      <c r="K6980" s="1"/>
      <c r="L6980" s="1"/>
      <c r="M6980" s="1"/>
      <c r="N6980" s="1"/>
      <c r="O6980" s="1"/>
      <c r="P6980" s="1"/>
      <c r="Q6980" s="1"/>
      <c r="R6980" s="1"/>
      <c r="S6980" s="1"/>
      <c r="T6980" s="1"/>
      <c r="U6980" s="1"/>
      <c r="V6980" s="1"/>
      <c r="W6980" s="1"/>
      <c r="X6980" s="1"/>
      <c r="Y6980" s="1"/>
      <c r="Z6980" s="1"/>
      <c r="AA6980" s="1"/>
      <c r="AB6980" s="1"/>
    </row>
    <row r="6981" ht="50.25" customHeight="1">
      <c r="A6981" s="12">
        <v>6977.0</v>
      </c>
      <c r="B6981" s="13" t="s">
        <v>6141</v>
      </c>
      <c r="C6981" s="14" t="s">
        <v>7004</v>
      </c>
      <c r="D6981" s="1"/>
      <c r="E6981" s="1"/>
      <c r="F6981" s="1" t="str">
        <f>IFERROR(__xludf.DUMMYFUNCTION("GOOGLETRANSLATE(B6981, ""en"", ""fa"")
"),"موفقیت آمازون")</f>
        <v>موفقیت آمازون</v>
      </c>
      <c r="G6981" s="1" t="str">
        <f>IFERROR(__xludf.DUMMYFUNCTION("GOOGLETRANSLATE(C6981, ""en"", ""fa"")
"),"چگونه فروشندگان می توانند از ثبت نام تجاری آمازون برای دسترسی به اطلاعات اضافی و بینش در مورد عملکرد برند خود در پلتفرم استفاده کنند؟")</f>
        <v>چگونه فروشندگان می توانند از ثبت نام تجاری آمازون برای دسترسی به اطلاعات اضافی و بینش در مورد عملکرد برند خود در پلتفرم استفاده کنند؟</v>
      </c>
      <c r="H6981" s="1"/>
      <c r="I6981" s="1"/>
      <c r="J6981" s="1"/>
      <c r="K6981" s="1"/>
      <c r="L6981" s="1"/>
      <c r="M6981" s="1"/>
      <c r="N6981" s="1"/>
      <c r="O6981" s="1"/>
      <c r="P6981" s="1"/>
      <c r="Q6981" s="1"/>
      <c r="R6981" s="1"/>
      <c r="S6981" s="1"/>
      <c r="T6981" s="1"/>
      <c r="U6981" s="1"/>
      <c r="V6981" s="1"/>
      <c r="W6981" s="1"/>
      <c r="X6981" s="1"/>
      <c r="Y6981" s="1"/>
      <c r="Z6981" s="1"/>
      <c r="AA6981" s="1"/>
      <c r="AB6981" s="1"/>
    </row>
    <row r="6982" ht="50.25" customHeight="1">
      <c r="A6982" s="12">
        <v>6978.0</v>
      </c>
      <c r="B6982" s="13" t="s">
        <v>6141</v>
      </c>
      <c r="C6982" s="14" t="s">
        <v>7005</v>
      </c>
      <c r="D6982" s="1"/>
      <c r="E6982" s="1"/>
      <c r="F6982" s="1" t="str">
        <f>IFERROR(__xludf.DUMMYFUNCTION("GOOGLETRANSLATE(B6982, ""en"", ""fa"")
"),"موفقیت آمازون")</f>
        <v>موفقیت آمازون</v>
      </c>
      <c r="G6982" s="1" t="str">
        <f>IFERROR(__xludf.DUMMYFUNCTION("GOOGLETRANSLATE(C6982, ""en"", ""fa"")
"),"اطلاعاتی را در مورد اینکه چگونه ثبت نام تجاری به فروشندگان کمک می کند تا از اعتبار برند خود محافظت کنند، با قادر ساختن آنها به نظارت فعال و اجرای حقوق مالکیت معنوی خود، به اشتراک بگذارید.")</f>
        <v>اطلاعاتی را در مورد اینکه چگونه ثبت نام تجاری به فروشندگان کمک می کند تا از اعتبار برند خود محافظت کنند، با قادر ساختن آنها به نظارت فعال و اجرای حقوق مالکیت معنوی خود، به اشتراک بگذارید.</v>
      </c>
      <c r="H6982" s="1"/>
      <c r="I6982" s="1"/>
      <c r="J6982" s="1"/>
      <c r="K6982" s="1"/>
      <c r="L6982" s="1"/>
      <c r="M6982" s="1"/>
      <c r="N6982" s="1"/>
      <c r="O6982" s="1"/>
      <c r="P6982" s="1"/>
      <c r="Q6982" s="1"/>
      <c r="R6982" s="1"/>
      <c r="S6982" s="1"/>
      <c r="T6982" s="1"/>
      <c r="U6982" s="1"/>
      <c r="V6982" s="1"/>
      <c r="W6982" s="1"/>
      <c r="X6982" s="1"/>
      <c r="Y6982" s="1"/>
      <c r="Z6982" s="1"/>
      <c r="AA6982" s="1"/>
      <c r="AB6982" s="1"/>
    </row>
    <row r="6983" ht="50.25" customHeight="1">
      <c r="A6983" s="12">
        <v>6979.0</v>
      </c>
      <c r="B6983" s="13" t="s">
        <v>6141</v>
      </c>
      <c r="C6983" s="14" t="s">
        <v>7006</v>
      </c>
      <c r="D6983" s="1"/>
      <c r="E6983" s="1"/>
      <c r="F6983" s="1" t="str">
        <f>IFERROR(__xludf.DUMMYFUNCTION("GOOGLETRANSLATE(B6983, ""en"", ""fa"")
"),"موفقیت آمازون")</f>
        <v>موفقیت آمازون</v>
      </c>
      <c r="G6983" s="1" t="str">
        <f>IFERROR(__xludf.DUMMYFUNCTION("GOOGLETRANSLATE(C6983, ""en"", ""fa"")
"),"ملاحظات کلیدی هنگام استفاده از ثبت نام تجاری برای ایجاد یک حضور برند جامع در آمازون، از جمله ویترین فروشگاه های مارک دار و محتوای A+ چیست؟")</f>
        <v>ملاحظات کلیدی هنگام استفاده از ثبت نام تجاری برای ایجاد یک حضور برند جامع در آمازون، از جمله ویترین فروشگاه های مارک دار و محتوای A+ چیست؟</v>
      </c>
      <c r="H6983" s="1"/>
      <c r="I6983" s="1"/>
      <c r="J6983" s="1"/>
      <c r="K6983" s="1"/>
      <c r="L6983" s="1"/>
      <c r="M6983" s="1"/>
      <c r="N6983" s="1"/>
      <c r="O6983" s="1"/>
      <c r="P6983" s="1"/>
      <c r="Q6983" s="1"/>
      <c r="R6983" s="1"/>
      <c r="S6983" s="1"/>
      <c r="T6983" s="1"/>
      <c r="U6983" s="1"/>
      <c r="V6983" s="1"/>
      <c r="W6983" s="1"/>
      <c r="X6983" s="1"/>
      <c r="Y6983" s="1"/>
      <c r="Z6983" s="1"/>
      <c r="AA6983" s="1"/>
      <c r="AB6983" s="1"/>
    </row>
    <row r="6984" ht="50.25" customHeight="1">
      <c r="A6984" s="12">
        <v>6980.0</v>
      </c>
      <c r="B6984" s="13" t="s">
        <v>6141</v>
      </c>
      <c r="C6984" s="14" t="s">
        <v>7007</v>
      </c>
      <c r="D6984" s="1"/>
      <c r="E6984" s="1"/>
      <c r="F6984" s="1" t="str">
        <f>IFERROR(__xludf.DUMMYFUNCTION("GOOGLETRANSLATE(B6984, ""en"", ""fa"")
"),"موفقیت آمازون")</f>
        <v>موفقیت آمازون</v>
      </c>
      <c r="G6984" s="1" t="str">
        <f>IFERROR(__xludf.DUMMYFUNCTION("GOOGLETRANSLATE(C6984, ""en"", ""fa"")
"),"در مورد مزایای شرکت در برنامه بازبینی اولیه آمازون از طریق ثبت نام تجاری برای ایجاد نظرات معتبر مشتریان برای عرضه محصولات جدید بحث کنید.")</f>
        <v>در مورد مزایای شرکت در برنامه بازبینی اولیه آمازون از طریق ثبت نام تجاری برای ایجاد نظرات معتبر مشتریان برای عرضه محصولات جدید بحث کنید.</v>
      </c>
      <c r="H6984" s="1"/>
      <c r="I6984" s="1"/>
      <c r="J6984" s="1"/>
      <c r="K6984" s="1"/>
      <c r="L6984" s="1"/>
      <c r="M6984" s="1"/>
      <c r="N6984" s="1"/>
      <c r="O6984" s="1"/>
      <c r="P6984" s="1"/>
      <c r="Q6984" s="1"/>
      <c r="R6984" s="1"/>
      <c r="S6984" s="1"/>
      <c r="T6984" s="1"/>
      <c r="U6984" s="1"/>
      <c r="V6984" s="1"/>
      <c r="W6984" s="1"/>
      <c r="X6984" s="1"/>
      <c r="Y6984" s="1"/>
      <c r="Z6984" s="1"/>
      <c r="AA6984" s="1"/>
      <c r="AB6984" s="1"/>
    </row>
    <row r="6985" ht="50.25" customHeight="1">
      <c r="A6985" s="12">
        <v>6981.0</v>
      </c>
      <c r="B6985" s="13" t="s">
        <v>6141</v>
      </c>
      <c r="C6985" s="14" t="s">
        <v>7008</v>
      </c>
      <c r="D6985" s="1"/>
      <c r="E6985" s="1"/>
      <c r="F6985" s="1" t="str">
        <f>IFERROR(__xludf.DUMMYFUNCTION("GOOGLETRANSLATE(B6985, ""en"", ""fa"")
"),"موفقیت آمازون")</f>
        <v>موفقیت آمازون</v>
      </c>
      <c r="G6985" s="1" t="str">
        <f>IFERROR(__xludf.DUMMYFUNCTION("GOOGLETRANSLATE(C6985, ""en"", ""fa"")
"),"بسته بندی محصول در آمازون چیست و چگونه می تواند از نظر فروش و رضایت مشتری برای فروشندگان سودمند باشد؟")</f>
        <v>بسته بندی محصول در آمازون چیست و چگونه می تواند از نظر فروش و رضایت مشتری برای فروشندگان سودمند باشد؟</v>
      </c>
      <c r="H6985" s="1"/>
      <c r="I6985" s="1"/>
      <c r="J6985" s="1"/>
      <c r="K6985" s="1"/>
      <c r="L6985" s="1"/>
      <c r="M6985" s="1"/>
      <c r="N6985" s="1"/>
      <c r="O6985" s="1"/>
      <c r="P6985" s="1"/>
      <c r="Q6985" s="1"/>
      <c r="R6985" s="1"/>
      <c r="S6985" s="1"/>
      <c r="T6985" s="1"/>
      <c r="U6985" s="1"/>
      <c r="V6985" s="1"/>
      <c r="W6985" s="1"/>
      <c r="X6985" s="1"/>
      <c r="Y6985" s="1"/>
      <c r="Z6985" s="1"/>
      <c r="AA6985" s="1"/>
      <c r="AB6985" s="1"/>
    </row>
    <row r="6986" ht="50.25" customHeight="1">
      <c r="A6986" s="12">
        <v>6982.0</v>
      </c>
      <c r="B6986" s="13" t="s">
        <v>6141</v>
      </c>
      <c r="C6986" s="14" t="s">
        <v>7009</v>
      </c>
      <c r="D6986" s="1"/>
      <c r="E6986" s="1"/>
      <c r="F6986" s="1" t="str">
        <f>IFERROR(__xludf.DUMMYFUNCTION("GOOGLETRANSLATE(B6986, ""en"", ""fa"")
"),"موفقیت آمازون")</f>
        <v>موفقیت آمازون</v>
      </c>
      <c r="G6986" s="1" t="str">
        <f>IFERROR(__xludf.DUMMYFUNCTION("GOOGLETRANSLATE(C6986, ""en"", ""fa"")
"),"نکاتی را برای شناسایی محصولات مناسب با هم بر اساس ویژگی‌های مکمل، ترجیحات مشتری یا فرصت‌های فروش متقابل به اشتراک بگذارید.")</f>
        <v>نکاتی را برای شناسایی محصولات مناسب با هم بر اساس ویژگی‌های مکمل، ترجیحات مشتری یا فرصت‌های فروش متقابل به اشتراک بگذارید.</v>
      </c>
      <c r="H6986" s="1"/>
      <c r="I6986" s="1"/>
      <c r="J6986" s="1"/>
      <c r="K6986" s="1"/>
      <c r="L6986" s="1"/>
      <c r="M6986" s="1"/>
      <c r="N6986" s="1"/>
      <c r="O6986" s="1"/>
      <c r="P6986" s="1"/>
      <c r="Q6986" s="1"/>
      <c r="R6986" s="1"/>
      <c r="S6986" s="1"/>
      <c r="T6986" s="1"/>
      <c r="U6986" s="1"/>
      <c r="V6986" s="1"/>
      <c r="W6986" s="1"/>
      <c r="X6986" s="1"/>
      <c r="Y6986" s="1"/>
      <c r="Z6986" s="1"/>
      <c r="AA6986" s="1"/>
      <c r="AB6986" s="1"/>
    </row>
    <row r="6987" ht="50.25" customHeight="1">
      <c r="A6987" s="12">
        <v>6983.0</v>
      </c>
      <c r="B6987" s="13" t="s">
        <v>6141</v>
      </c>
      <c r="C6987" s="14" t="s">
        <v>7010</v>
      </c>
      <c r="D6987" s="1"/>
      <c r="E6987" s="1"/>
      <c r="F6987" s="1" t="str">
        <f>IFERROR(__xludf.DUMMYFUNCTION("GOOGLETRANSLATE(B6987, ""en"", ""fa"")
"),"موفقیت آمازون")</f>
        <v>موفقیت آمازون</v>
      </c>
      <c r="G6987" s="1" t="str">
        <f>IFERROR(__xludf.DUMMYFUNCTION("GOOGLETRANSLATE(C6987, ""en"", ""fa"")
"),"چگونه فروشندگان می توانند بسته های محصول را به طور موثر بسته بندی و ارائه کنند تا توجه مشتری را جلب کرده و ارزش افزوده را منتقل کنند؟")</f>
        <v>چگونه فروشندگان می توانند بسته های محصول را به طور موثر بسته بندی و ارائه کنند تا توجه مشتری را جلب کرده و ارزش افزوده را منتقل کنند؟</v>
      </c>
      <c r="H6987" s="1"/>
      <c r="I6987" s="1"/>
      <c r="J6987" s="1"/>
      <c r="K6987" s="1"/>
      <c r="L6987" s="1"/>
      <c r="M6987" s="1"/>
      <c r="N6987" s="1"/>
      <c r="O6987" s="1"/>
      <c r="P6987" s="1"/>
      <c r="Q6987" s="1"/>
      <c r="R6987" s="1"/>
      <c r="S6987" s="1"/>
      <c r="T6987" s="1"/>
      <c r="U6987" s="1"/>
      <c r="V6987" s="1"/>
      <c r="W6987" s="1"/>
      <c r="X6987" s="1"/>
      <c r="Y6987" s="1"/>
      <c r="Z6987" s="1"/>
      <c r="AA6987" s="1"/>
      <c r="AB6987" s="1"/>
    </row>
    <row r="6988" ht="50.25" customHeight="1">
      <c r="A6988" s="12">
        <v>6984.0</v>
      </c>
      <c r="B6988" s="13" t="s">
        <v>6141</v>
      </c>
      <c r="C6988" s="14" t="s">
        <v>7011</v>
      </c>
      <c r="D6988" s="1"/>
      <c r="E6988" s="1"/>
      <c r="F6988" s="1" t="str">
        <f>IFERROR(__xludf.DUMMYFUNCTION("GOOGLETRANSLATE(B6988, ""en"", ""fa"")
"),"موفقیت آمازون")</f>
        <v>موفقیت آمازون</v>
      </c>
      <c r="G6988" s="1" t="str">
        <f>IFERROR(__xludf.DUMMYFUNCTION("GOOGLETRANSLATE(C6988, ""en"", ""fa"")
"),"در مورد مزایای ایجاد پیشنهادات بسته انحصاری در آمازون برای متمایز شدن از رقبا و افزایش تبدیل فروش بحث کنید.")</f>
        <v>در مورد مزایای ایجاد پیشنهادات بسته انحصاری در آمازون برای متمایز شدن از رقبا و افزایش تبدیل فروش بحث کنید.</v>
      </c>
      <c r="H6988" s="1"/>
      <c r="I6988" s="1"/>
      <c r="J6988" s="1"/>
      <c r="K6988" s="1"/>
      <c r="L6988" s="1"/>
      <c r="M6988" s="1"/>
      <c r="N6988" s="1"/>
      <c r="O6988" s="1"/>
      <c r="P6988" s="1"/>
      <c r="Q6988" s="1"/>
      <c r="R6988" s="1"/>
      <c r="S6988" s="1"/>
      <c r="T6988" s="1"/>
      <c r="U6988" s="1"/>
      <c r="V6988" s="1"/>
      <c r="W6988" s="1"/>
      <c r="X6988" s="1"/>
      <c r="Y6988" s="1"/>
      <c r="Z6988" s="1"/>
      <c r="AA6988" s="1"/>
      <c r="AB6988" s="1"/>
    </row>
    <row r="6989" ht="50.25" customHeight="1">
      <c r="A6989" s="12">
        <v>6985.0</v>
      </c>
      <c r="B6989" s="13" t="s">
        <v>6141</v>
      </c>
      <c r="C6989" s="14" t="s">
        <v>7012</v>
      </c>
      <c r="D6989" s="1"/>
      <c r="E6989" s="1"/>
      <c r="F6989" s="1" t="str">
        <f>IFERROR(__xludf.DUMMYFUNCTION("GOOGLETRANSLATE(B6989, ""en"", ""fa"")
"),"موفقیت آمازون")</f>
        <v>موفقیت آمازون</v>
      </c>
      <c r="G6989" s="1" t="str">
        <f>IFERROR(__xludf.DUMMYFUNCTION("GOOGLETRANSLATE(C6989, ""en"", ""fa"")
"),"فروشندگان چه استراتژی هایی می توانند برای بهینه سازی قیمت گذاری و تخفیف برای بسته های محصول به کار گیرند تا سودآوری و جذابیت مشتری را به حداکثر برسانند؟")</f>
        <v>فروشندگان چه استراتژی هایی می توانند برای بهینه سازی قیمت گذاری و تخفیف برای بسته های محصول به کار گیرند تا سودآوری و جذابیت مشتری را به حداکثر برسانند؟</v>
      </c>
      <c r="H6989" s="1"/>
      <c r="I6989" s="1"/>
      <c r="J6989" s="1"/>
      <c r="K6989" s="1"/>
      <c r="L6989" s="1"/>
      <c r="M6989" s="1"/>
      <c r="N6989" s="1"/>
      <c r="O6989" s="1"/>
      <c r="P6989" s="1"/>
      <c r="Q6989" s="1"/>
      <c r="R6989" s="1"/>
      <c r="S6989" s="1"/>
      <c r="T6989" s="1"/>
      <c r="U6989" s="1"/>
      <c r="V6989" s="1"/>
      <c r="W6989" s="1"/>
      <c r="X6989" s="1"/>
      <c r="Y6989" s="1"/>
      <c r="Z6989" s="1"/>
      <c r="AA6989" s="1"/>
      <c r="AB6989" s="1"/>
    </row>
    <row r="6990" ht="50.25" customHeight="1">
      <c r="A6990" s="12">
        <v>6986.0</v>
      </c>
      <c r="B6990" s="13" t="s">
        <v>6141</v>
      </c>
      <c r="C6990" s="14" t="s">
        <v>7013</v>
      </c>
      <c r="D6990" s="1"/>
      <c r="E6990" s="1"/>
      <c r="F6990" s="1" t="str">
        <f>IFERROR(__xludf.DUMMYFUNCTION("GOOGLETRANSLATE(B6990, ""en"", ""fa"")
"),"موفقیت آمازون")</f>
        <v>موفقیت آمازون</v>
      </c>
      <c r="G6990" s="1" t="str">
        <f>IFERROR(__xludf.DUMMYFUNCTION("GOOGLETRANSLATE(C6990, ""en"", ""fa"")
"),"اهمیت انجام تحقیقات بازار و تجزیه و تحلیل تقاضای مشتری برای شناسایی فرصت های بالقوه برای بسته بندی محصول را توضیح دهید.")</f>
        <v>اهمیت انجام تحقیقات بازار و تجزیه و تحلیل تقاضای مشتری برای شناسایی فرصت های بالقوه برای بسته بندی محصول را توضیح دهید.</v>
      </c>
      <c r="H6990" s="1"/>
      <c r="I6990" s="1"/>
      <c r="J6990" s="1"/>
      <c r="K6990" s="1"/>
      <c r="L6990" s="1"/>
      <c r="M6990" s="1"/>
      <c r="N6990" s="1"/>
      <c r="O6990" s="1"/>
      <c r="P6990" s="1"/>
      <c r="Q6990" s="1"/>
      <c r="R6990" s="1"/>
      <c r="S6990" s="1"/>
      <c r="T6990" s="1"/>
      <c r="U6990" s="1"/>
      <c r="V6990" s="1"/>
      <c r="W6990" s="1"/>
      <c r="X6990" s="1"/>
      <c r="Y6990" s="1"/>
      <c r="Z6990" s="1"/>
      <c r="AA6990" s="1"/>
      <c r="AB6990" s="1"/>
    </row>
    <row r="6991" ht="50.25" customHeight="1">
      <c r="A6991" s="12">
        <v>6987.0</v>
      </c>
      <c r="B6991" s="13" t="s">
        <v>6141</v>
      </c>
      <c r="C6991" s="17" t="s">
        <v>7014</v>
      </c>
      <c r="D6991" s="1"/>
      <c r="E6991" s="1"/>
      <c r="F6991" s="1" t="str">
        <f>IFERROR(__xludf.DUMMYFUNCTION("GOOGLETRANSLATE(B6991, ""en"", ""fa"")
"),"موفقیت آمازون")</f>
        <v>موفقیت آمازون</v>
      </c>
      <c r="G6991" s="1" t="str">
        <f>IFERROR(__xludf.DUMMYFUNCTION("GOOGLETRANSLATE(C6991, ""en"", ""fa"")
"),"چگونه فروشندگان می توانند از محتوای برند پیشرفته آمازون یا محتوای A+ برای نمایش و تبلیغ بسته های محصول به طور موثر استفاده کنند؟")</f>
        <v>چگونه فروشندگان می توانند از محتوای برند پیشرفته آمازون یا محتوای A+ برای نمایش و تبلیغ بسته های محصول به طور موثر استفاده کنند؟</v>
      </c>
      <c r="H6991" s="1"/>
      <c r="I6991" s="1"/>
      <c r="J6991" s="1"/>
      <c r="K6991" s="1"/>
      <c r="L6991" s="1"/>
      <c r="M6991" s="1"/>
      <c r="N6991" s="1"/>
      <c r="O6991" s="1"/>
      <c r="P6991" s="1"/>
      <c r="Q6991" s="1"/>
      <c r="R6991" s="1"/>
      <c r="S6991" s="1"/>
      <c r="T6991" s="1"/>
      <c r="U6991" s="1"/>
      <c r="V6991" s="1"/>
      <c r="W6991" s="1"/>
      <c r="X6991" s="1"/>
      <c r="Y6991" s="1"/>
      <c r="Z6991" s="1"/>
      <c r="AA6991" s="1"/>
      <c r="AB6991" s="1"/>
    </row>
    <row r="6992" ht="50.25" customHeight="1">
      <c r="A6992" s="12">
        <v>6988.0</v>
      </c>
      <c r="B6992" s="13" t="s">
        <v>6141</v>
      </c>
      <c r="C6992" s="14" t="s">
        <v>7015</v>
      </c>
      <c r="D6992" s="1"/>
      <c r="E6992" s="1"/>
      <c r="F6992" s="1" t="str">
        <f>IFERROR(__xludf.DUMMYFUNCTION("GOOGLETRANSLATE(B6992, ""en"", ""fa"")
"),"موفقیت آمازون")</f>
        <v>موفقیت آمازون</v>
      </c>
      <c r="G6992" s="1" t="str">
        <f>IFERROR(__xludf.DUMMYFUNCTION("GOOGLETRANSLATE(C6992, ""en"", ""fa"")
"),"درباره اینکه چگونه دسته‌بندی محصول می‌تواند به فروشندگان کمک کند تا میانگین ارزش سفارش خود را افزایش دهند و محصولات مرتبط را به فروش متقابل برسانند، به اشتراک بگذارید.")</f>
        <v>درباره اینکه چگونه دسته‌بندی محصول می‌تواند به فروشندگان کمک کند تا میانگین ارزش سفارش خود را افزایش دهند و محصولات مرتبط را به فروش متقابل برسانند، به اشتراک بگذارید.</v>
      </c>
      <c r="H6992" s="1"/>
      <c r="I6992" s="1"/>
      <c r="J6992" s="1"/>
      <c r="K6992" s="1"/>
      <c r="L6992" s="1"/>
      <c r="M6992" s="1"/>
      <c r="N6992" s="1"/>
      <c r="O6992" s="1"/>
      <c r="P6992" s="1"/>
      <c r="Q6992" s="1"/>
      <c r="R6992" s="1"/>
      <c r="S6992" s="1"/>
      <c r="T6992" s="1"/>
      <c r="U6992" s="1"/>
      <c r="V6992" s="1"/>
      <c r="W6992" s="1"/>
      <c r="X6992" s="1"/>
      <c r="Y6992" s="1"/>
      <c r="Z6992" s="1"/>
      <c r="AA6992" s="1"/>
      <c r="AB6992" s="1"/>
    </row>
    <row r="6993" ht="50.25" customHeight="1">
      <c r="A6993" s="12">
        <v>6989.0</v>
      </c>
      <c r="B6993" s="13" t="s">
        <v>6141</v>
      </c>
      <c r="C6993" s="14" t="s">
        <v>7016</v>
      </c>
      <c r="D6993" s="1"/>
      <c r="E6993" s="1"/>
      <c r="F6993" s="1" t="str">
        <f>IFERROR(__xludf.DUMMYFUNCTION("GOOGLETRANSLATE(B6993, ""en"", ""fa"")
"),"موفقیت آمازون")</f>
        <v>موفقیت آمازون</v>
      </c>
      <c r="G6993" s="1" t="str">
        <f>IFERROR(__xludf.DUMMYFUNCTION("GOOGLETRANSLATE(C6993, ""en"", ""fa"")
"),"ملاحظات کلیدی هنگام مدیریت موجودی و تدارکات برای بسته‌های محصول در آمازون برای اطمینان از انجام یکپارچه چیست؟")</f>
        <v>ملاحظات کلیدی هنگام مدیریت موجودی و تدارکات برای بسته‌های محصول در آمازون برای اطمینان از انجام یکپارچه چیست؟</v>
      </c>
      <c r="H6993" s="1"/>
      <c r="I6993" s="1"/>
      <c r="J6993" s="1"/>
      <c r="K6993" s="1"/>
      <c r="L6993" s="1"/>
      <c r="M6993" s="1"/>
      <c r="N6993" s="1"/>
      <c r="O6993" s="1"/>
      <c r="P6993" s="1"/>
      <c r="Q6993" s="1"/>
      <c r="R6993" s="1"/>
      <c r="S6993" s="1"/>
      <c r="T6993" s="1"/>
      <c r="U6993" s="1"/>
      <c r="V6993" s="1"/>
      <c r="W6993" s="1"/>
      <c r="X6993" s="1"/>
      <c r="Y6993" s="1"/>
      <c r="Z6993" s="1"/>
      <c r="AA6993" s="1"/>
      <c r="AB6993" s="1"/>
    </row>
    <row r="6994" ht="50.25" customHeight="1">
      <c r="A6994" s="12">
        <v>6990.0</v>
      </c>
      <c r="B6994" s="13" t="s">
        <v>6141</v>
      </c>
      <c r="C6994" s="14" t="s">
        <v>7017</v>
      </c>
      <c r="D6994" s="1"/>
      <c r="E6994" s="1"/>
      <c r="F6994" s="1" t="str">
        <f>IFERROR(__xludf.DUMMYFUNCTION("GOOGLETRANSLATE(B6994, ""en"", ""fa"")
"),"موفقیت آمازون")</f>
        <v>موفقیت آمازون</v>
      </c>
      <c r="G6994" s="1" t="str">
        <f>IFERROR(__xludf.DUMMYFUNCTION("GOOGLETRANSLATE(C6994, ""en"", ""fa"")
"),"در مورد مزایای استفاده از نظرات و بازخورد مشتریان برای اصلاح و بهبود استراتژی‌های بسته‌بندی محصول برای افزایش رضایت مشتری بحث کنید.")</f>
        <v>در مورد مزایای استفاده از نظرات و بازخورد مشتریان برای اصلاح و بهبود استراتژی‌های بسته‌بندی محصول برای افزایش رضایت مشتری بحث کنید.</v>
      </c>
      <c r="H6994" s="1"/>
      <c r="I6994" s="1"/>
      <c r="J6994" s="1"/>
      <c r="K6994" s="1"/>
      <c r="L6994" s="1"/>
      <c r="M6994" s="1"/>
      <c r="N6994" s="1"/>
      <c r="O6994" s="1"/>
      <c r="P6994" s="1"/>
      <c r="Q6994" s="1"/>
      <c r="R6994" s="1"/>
      <c r="S6994" s="1"/>
      <c r="T6994" s="1"/>
      <c r="U6994" s="1"/>
      <c r="V6994" s="1"/>
      <c r="W6994" s="1"/>
      <c r="X6994" s="1"/>
      <c r="Y6994" s="1"/>
      <c r="Z6994" s="1"/>
      <c r="AA6994" s="1"/>
      <c r="AB6994" s="1"/>
    </row>
    <row r="6995" ht="50.25" customHeight="1">
      <c r="A6995" s="12">
        <v>6991.0</v>
      </c>
      <c r="B6995" s="13" t="s">
        <v>6141</v>
      </c>
      <c r="C6995" s="14" t="s">
        <v>7018</v>
      </c>
      <c r="D6995" s="1"/>
      <c r="E6995" s="1"/>
      <c r="F6995" s="1" t="str">
        <f>IFERROR(__xludf.DUMMYFUNCTION("GOOGLETRANSLATE(B6995, ""en"", ""fa"")
"),"موفقیت آمازون")</f>
        <v>موفقیت آمازون</v>
      </c>
      <c r="G6995" s="1" t="str">
        <f>IFERROR(__xludf.DUMMYFUNCTION("GOOGLETRANSLATE(C6995, ""en"", ""fa"")
"),"برندهای حمایت شده آمازون چیست و چگونه می توانند به فروشندگان کمک کنند تا دیده شدن برند را افزایش دهند و ترافیک را به لیست خود هدایت کنند؟")</f>
        <v>برندهای حمایت شده آمازون چیست و چگونه می توانند به فروشندگان کمک کنند تا دیده شدن برند را افزایش دهند و ترافیک را به لیست خود هدایت کنند؟</v>
      </c>
      <c r="H6995" s="1"/>
      <c r="I6995" s="1"/>
      <c r="J6995" s="1"/>
      <c r="K6995" s="1"/>
      <c r="L6995" s="1"/>
      <c r="M6995" s="1"/>
      <c r="N6995" s="1"/>
      <c r="O6995" s="1"/>
      <c r="P6995" s="1"/>
      <c r="Q6995" s="1"/>
      <c r="R6995" s="1"/>
      <c r="S6995" s="1"/>
      <c r="T6995" s="1"/>
      <c r="U6995" s="1"/>
      <c r="V6995" s="1"/>
      <c r="W6995" s="1"/>
      <c r="X6995" s="1"/>
      <c r="Y6995" s="1"/>
      <c r="Z6995" s="1"/>
      <c r="AA6995" s="1"/>
      <c r="AB6995" s="1"/>
    </row>
    <row r="6996" ht="50.25" customHeight="1">
      <c r="A6996" s="12">
        <v>6992.0</v>
      </c>
      <c r="B6996" s="13" t="s">
        <v>6141</v>
      </c>
      <c r="C6996" s="14" t="s">
        <v>7019</v>
      </c>
      <c r="D6996" s="1"/>
      <c r="E6996" s="1"/>
      <c r="F6996" s="1" t="str">
        <f>IFERROR(__xludf.DUMMYFUNCTION("GOOGLETRANSLATE(B6996, ""en"", ""fa"")
"),"موفقیت آمازون")</f>
        <v>موفقیت آمازون</v>
      </c>
      <c r="G6996" s="1" t="str">
        <f>IFERROR(__xludf.DUMMYFUNCTION("GOOGLETRANSLATE(C6996, ""en"", ""fa"")
"),"نکاتی را برای ایجاد کمپین‌های مؤثر برندهای حامی مالی، از جمله انتخاب کلمه کلیدی، خلاقیت تبلیغات و تخصیص بودجه به اشتراک بگذارید.")</f>
        <v>نکاتی را برای ایجاد کمپین‌های مؤثر برندهای حامی مالی، از جمله انتخاب کلمه کلیدی، خلاقیت تبلیغات و تخصیص بودجه به اشتراک بگذارید.</v>
      </c>
      <c r="H6996" s="1"/>
      <c r="I6996" s="1"/>
      <c r="J6996" s="1"/>
      <c r="K6996" s="1"/>
      <c r="L6996" s="1"/>
      <c r="M6996" s="1"/>
      <c r="N6996" s="1"/>
      <c r="O6996" s="1"/>
      <c r="P6996" s="1"/>
      <c r="Q6996" s="1"/>
      <c r="R6996" s="1"/>
      <c r="S6996" s="1"/>
      <c r="T6996" s="1"/>
      <c r="U6996" s="1"/>
      <c r="V6996" s="1"/>
      <c r="W6996" s="1"/>
      <c r="X6996" s="1"/>
      <c r="Y6996" s="1"/>
      <c r="Z6996" s="1"/>
      <c r="AA6996" s="1"/>
      <c r="AB6996" s="1"/>
    </row>
    <row r="6997" ht="50.25" customHeight="1">
      <c r="A6997" s="12">
        <v>6993.0</v>
      </c>
      <c r="B6997" s="13" t="s">
        <v>6141</v>
      </c>
      <c r="C6997" s="14" t="s">
        <v>7020</v>
      </c>
      <c r="D6997" s="1"/>
      <c r="E6997" s="1"/>
      <c r="F6997" s="1" t="str">
        <f>IFERROR(__xludf.DUMMYFUNCTION("GOOGLETRANSLATE(B6997, ""en"", ""fa"")
"),"موفقیت آمازون")</f>
        <v>موفقیت آمازون</v>
      </c>
      <c r="G6997" s="1" t="str">
        <f>IFERROR(__xludf.DUMMYFUNCTION("GOOGLETRANSLATE(C6997, ""en"", ""fa"")
"),"چگونه فروشندگان می توانند از برندهای حمایت شده برای تبلیغ چندین محصول در برند خود و ایجاد حضور منسجم برند در آمازون استفاده کنند؟")</f>
        <v>چگونه فروشندگان می توانند از برندهای حمایت شده برای تبلیغ چندین محصول در برند خود و ایجاد حضور منسجم برند در آمازون استفاده کنند؟</v>
      </c>
      <c r="H6997" s="1"/>
      <c r="I6997" s="1"/>
      <c r="J6997" s="1"/>
      <c r="K6997" s="1"/>
      <c r="L6997" s="1"/>
      <c r="M6997" s="1"/>
      <c r="N6997" s="1"/>
      <c r="O6997" s="1"/>
      <c r="P6997" s="1"/>
      <c r="Q6997" s="1"/>
      <c r="R6997" s="1"/>
      <c r="S6997" s="1"/>
      <c r="T6997" s="1"/>
      <c r="U6997" s="1"/>
      <c r="V6997" s="1"/>
      <c r="W6997" s="1"/>
      <c r="X6997" s="1"/>
      <c r="Y6997" s="1"/>
      <c r="Z6997" s="1"/>
      <c r="AA6997" s="1"/>
      <c r="AB6997" s="1"/>
    </row>
    <row r="6998" ht="50.25" customHeight="1">
      <c r="A6998" s="12">
        <v>6994.0</v>
      </c>
      <c r="B6998" s="13" t="s">
        <v>6141</v>
      </c>
      <c r="C6998" s="14" t="s">
        <v>7021</v>
      </c>
      <c r="D6998" s="1"/>
      <c r="E6998" s="1"/>
      <c r="F6998" s="1" t="str">
        <f>IFERROR(__xludf.DUMMYFUNCTION("GOOGLETRANSLATE(B6998, ""en"", ""fa"")
"),"موفقیت آمازون")</f>
        <v>موفقیت آمازون</v>
      </c>
      <c r="G6998" s="1" t="str">
        <f>IFERROR(__xludf.DUMMYFUNCTION("GOOGLETRANSLATE(C6998, ""en"", ""fa"")
"),"در مورد مزایای استفاده از تبلیغات ویدیویی برندهای حامی برای جلب مشتری و نمایش ویژگی ها و مزایای محصول بحث کنید.")</f>
        <v>در مورد مزایای استفاده از تبلیغات ویدیویی برندهای حامی برای جلب مشتری و نمایش ویژگی ها و مزایای محصول بحث کنید.</v>
      </c>
      <c r="H6998" s="1"/>
      <c r="I6998" s="1"/>
      <c r="J6998" s="1"/>
      <c r="K6998" s="1"/>
      <c r="L6998" s="1"/>
      <c r="M6998" s="1"/>
      <c r="N6998" s="1"/>
      <c r="O6998" s="1"/>
      <c r="P6998" s="1"/>
      <c r="Q6998" s="1"/>
      <c r="R6998" s="1"/>
      <c r="S6998" s="1"/>
      <c r="T6998" s="1"/>
      <c r="U6998" s="1"/>
      <c r="V6998" s="1"/>
      <c r="W6998" s="1"/>
      <c r="X6998" s="1"/>
      <c r="Y6998" s="1"/>
      <c r="Z6998" s="1"/>
      <c r="AA6998" s="1"/>
      <c r="AB6998" s="1"/>
    </row>
    <row r="6999" ht="50.25" customHeight="1">
      <c r="A6999" s="12">
        <v>6995.0</v>
      </c>
      <c r="B6999" s="13" t="s">
        <v>6141</v>
      </c>
      <c r="C6999" s="14" t="s">
        <v>7022</v>
      </c>
      <c r="D6999" s="1"/>
      <c r="E6999" s="1"/>
      <c r="F6999" s="1" t="str">
        <f>IFERROR(__xludf.DUMMYFUNCTION("GOOGLETRANSLATE(B6999, ""en"", ""fa"")
"),"موفقیت آمازون")</f>
        <v>موفقیت آمازون</v>
      </c>
      <c r="G6999" s="1" t="str">
        <f>IFERROR(__xludf.DUMMYFUNCTION("GOOGLETRANSLATE(C6999, ""en"", ""fa"")
"),"فروشندگان چه استراتژی‌هایی را می‌توانند برای بهینه‌سازی مناقصه و مدیریت بودجه برای کمپین‌های اسپانسر شده برای به حداکثر رساندن بازگشت سرمایه به کار گیرند؟")</f>
        <v>فروشندگان چه استراتژی‌هایی را می‌توانند برای بهینه‌سازی مناقصه و مدیریت بودجه برای کمپین‌های اسپانسر شده برای به حداکثر رساندن بازگشت سرمایه به کار گیرند؟</v>
      </c>
      <c r="H6999" s="1"/>
      <c r="I6999" s="1"/>
      <c r="J6999" s="1"/>
      <c r="K6999" s="1"/>
      <c r="L6999" s="1"/>
      <c r="M6999" s="1"/>
      <c r="N6999" s="1"/>
      <c r="O6999" s="1"/>
      <c r="P6999" s="1"/>
      <c r="Q6999" s="1"/>
      <c r="R6999" s="1"/>
      <c r="S6999" s="1"/>
      <c r="T6999" s="1"/>
      <c r="U6999" s="1"/>
      <c r="V6999" s="1"/>
      <c r="W6999" s="1"/>
      <c r="X6999" s="1"/>
      <c r="Y6999" s="1"/>
      <c r="Z6999" s="1"/>
      <c r="AA6999" s="1"/>
      <c r="AB6999" s="1"/>
    </row>
    <row r="7000" ht="50.25" customHeight="1">
      <c r="A7000" s="12">
        <v>6996.0</v>
      </c>
      <c r="B7000" s="13" t="s">
        <v>6141</v>
      </c>
      <c r="C7000" s="14" t="s">
        <v>7023</v>
      </c>
      <c r="D7000" s="1"/>
      <c r="E7000" s="1"/>
      <c r="F7000" s="1" t="str">
        <f>IFERROR(__xludf.DUMMYFUNCTION("GOOGLETRANSLATE(B7000, ""en"", ""fa"")
"),"موفقیت آمازون")</f>
        <v>موفقیت آمازون</v>
      </c>
      <c r="G7000" s="1" t="str">
        <f>IFERROR(__xludf.DUMMYFUNCTION("GOOGLETRANSLATE(C7000, ""en"", ""fa"")
"),"اهمیت استفاده از کلمات کلیدی مرتبط و کلیدواژه های منفی را برای هدف قرار دادن سوالات جستجوی مشتری خاص و بهینه سازی عملکرد تبلیغات توضیح دهید.")</f>
        <v>اهمیت استفاده از کلمات کلیدی مرتبط و کلیدواژه های منفی را برای هدف قرار دادن سوالات جستجوی مشتری خاص و بهینه سازی عملکرد تبلیغات توضیح دهید.</v>
      </c>
      <c r="H7000" s="1"/>
      <c r="I7000" s="1"/>
      <c r="J7000" s="1"/>
      <c r="K7000" s="1"/>
      <c r="L7000" s="1"/>
      <c r="M7000" s="1"/>
      <c r="N7000" s="1"/>
      <c r="O7000" s="1"/>
      <c r="P7000" s="1"/>
      <c r="Q7000" s="1"/>
      <c r="R7000" s="1"/>
      <c r="S7000" s="1"/>
      <c r="T7000" s="1"/>
      <c r="U7000" s="1"/>
      <c r="V7000" s="1"/>
      <c r="W7000" s="1"/>
      <c r="X7000" s="1"/>
      <c r="Y7000" s="1"/>
      <c r="Z7000" s="1"/>
      <c r="AA7000" s="1"/>
      <c r="AB7000" s="1"/>
    </row>
    <row r="7001" ht="50.25" customHeight="1">
      <c r="A7001" s="12">
        <v>6997.0</v>
      </c>
      <c r="B7001" s="13" t="s">
        <v>6141</v>
      </c>
      <c r="C7001" s="14" t="s">
        <v>7024</v>
      </c>
      <c r="D7001" s="1"/>
      <c r="E7001" s="1"/>
      <c r="F7001" s="1" t="str">
        <f>IFERROR(__xludf.DUMMYFUNCTION("GOOGLETRANSLATE(B7001, ""en"", ""fa"")
"),"موفقیت آمازون")</f>
        <v>موفقیت آمازون</v>
      </c>
      <c r="G7001" s="1" t="str">
        <f>IFERROR(__xludf.DUMMYFUNCTION("GOOGLETRANSLATE(C7001, ""en"", ""fa"")
"),"چگونه فروشندگان می توانند از تجزیه و تحلیل و گزارش داده های مارک های حمایت شده برای ردیابی عملکرد کمپین و بهینه سازی داده محور استفاده کنند؟")</f>
        <v>چگونه فروشندگان می توانند از تجزیه و تحلیل و گزارش داده های مارک های حمایت شده برای ردیابی عملکرد کمپین و بهینه سازی داده محور استفاده کنند؟</v>
      </c>
      <c r="H7001" s="1"/>
      <c r="I7001" s="1"/>
      <c r="J7001" s="1"/>
      <c r="K7001" s="1"/>
      <c r="L7001" s="1"/>
      <c r="M7001" s="1"/>
      <c r="N7001" s="1"/>
      <c r="O7001" s="1"/>
      <c r="P7001" s="1"/>
      <c r="Q7001" s="1"/>
      <c r="R7001" s="1"/>
      <c r="S7001" s="1"/>
      <c r="T7001" s="1"/>
      <c r="U7001" s="1"/>
      <c r="V7001" s="1"/>
      <c r="W7001" s="1"/>
      <c r="X7001" s="1"/>
      <c r="Y7001" s="1"/>
      <c r="Z7001" s="1"/>
      <c r="AA7001" s="1"/>
      <c r="AB7001" s="1"/>
    </row>
    <row r="7002" ht="50.25" customHeight="1">
      <c r="A7002" s="12">
        <v>6998.0</v>
      </c>
      <c r="B7002" s="13" t="s">
        <v>6141</v>
      </c>
      <c r="C7002" s="14" t="s">
        <v>7025</v>
      </c>
      <c r="D7002" s="1"/>
      <c r="E7002" s="1"/>
      <c r="F7002" s="1" t="str">
        <f>IFERROR(__xludf.DUMMYFUNCTION("GOOGLETRANSLATE(B7002, ""en"", ""fa"")
"),"موفقیت آمازون")</f>
        <v>موفقیت آمازون</v>
      </c>
      <c r="G7002" s="1" t="str">
        <f>IFERROR(__xludf.DUMMYFUNCTION("GOOGLETRANSLATE(C7002, ""en"", ""fa"")
"),"درباره نحوه ایجاد ترکیب‌های قانع‌کننده سرفصل و لوگو برای تبلیغات مارک‌های حمایت‌شده برای جلب توجه مشتری و جلب کلیک، اطلاعاتی را به اشتراک بگذارید.")</f>
        <v>درباره نحوه ایجاد ترکیب‌های قانع‌کننده سرفصل و لوگو برای تبلیغات مارک‌های حمایت‌شده برای جلب توجه مشتری و جلب کلیک، اطلاعاتی را به اشتراک بگذارید.</v>
      </c>
      <c r="H7002" s="1"/>
      <c r="I7002" s="1"/>
      <c r="J7002" s="1"/>
      <c r="K7002" s="1"/>
      <c r="L7002" s="1"/>
      <c r="M7002" s="1"/>
      <c r="N7002" s="1"/>
      <c r="O7002" s="1"/>
      <c r="P7002" s="1"/>
      <c r="Q7002" s="1"/>
      <c r="R7002" s="1"/>
      <c r="S7002" s="1"/>
      <c r="T7002" s="1"/>
      <c r="U7002" s="1"/>
      <c r="V7002" s="1"/>
      <c r="W7002" s="1"/>
      <c r="X7002" s="1"/>
      <c r="Y7002" s="1"/>
      <c r="Z7002" s="1"/>
      <c r="AA7002" s="1"/>
      <c r="AB7002" s="1"/>
    </row>
    <row r="7003" ht="50.25" customHeight="1">
      <c r="A7003" s="12">
        <v>6999.0</v>
      </c>
      <c r="B7003" s="13" t="s">
        <v>6141</v>
      </c>
      <c r="C7003" s="14" t="s">
        <v>7026</v>
      </c>
      <c r="D7003" s="1"/>
      <c r="E7003" s="1"/>
      <c r="F7003" s="1" t="str">
        <f>IFERROR(__xludf.DUMMYFUNCTION("GOOGLETRANSLATE(B7003, ""en"", ""fa"")
"),"موفقیت آمازون")</f>
        <v>موفقیت آمازون</v>
      </c>
      <c r="G7003" s="1" t="str">
        <f>IFERROR(__xludf.DUMMYFUNCTION("GOOGLETRANSLATE(C7003, ""en"", ""fa"")
"),"ملاحظات کلیدی هنگام هدف قرار دادن مخاطبان خاص، مانند جمعیت شناسی یا علایق، در کمپین های برندهای حمایت شده چیست؟")</f>
        <v>ملاحظات کلیدی هنگام هدف قرار دادن مخاطبان خاص، مانند جمعیت شناسی یا علایق، در کمپین های برندهای حمایت شده چیست؟</v>
      </c>
      <c r="H7003" s="1"/>
      <c r="I7003" s="1"/>
      <c r="J7003" s="1"/>
      <c r="K7003" s="1"/>
      <c r="L7003" s="1"/>
      <c r="M7003" s="1"/>
      <c r="N7003" s="1"/>
      <c r="O7003" s="1"/>
      <c r="P7003" s="1"/>
      <c r="Q7003" s="1"/>
      <c r="R7003" s="1"/>
      <c r="S7003" s="1"/>
      <c r="T7003" s="1"/>
      <c r="U7003" s="1"/>
      <c r="V7003" s="1"/>
      <c r="W7003" s="1"/>
      <c r="X7003" s="1"/>
      <c r="Y7003" s="1"/>
      <c r="Z7003" s="1"/>
      <c r="AA7003" s="1"/>
      <c r="AB7003" s="1"/>
    </row>
    <row r="7004" ht="50.25" customHeight="1">
      <c r="A7004" s="12">
        <v>7000.0</v>
      </c>
      <c r="B7004" s="13" t="s">
        <v>6141</v>
      </c>
      <c r="C7004" s="14" t="s">
        <v>7027</v>
      </c>
      <c r="D7004" s="1"/>
      <c r="E7004" s="1"/>
      <c r="F7004" s="1" t="str">
        <f>IFERROR(__xludf.DUMMYFUNCTION("GOOGLETRANSLATE(B7004, ""en"", ""fa"")
"),"موفقیت آمازون")</f>
        <v>موفقیت آمازون</v>
      </c>
      <c r="G7004" s="1" t="str">
        <f>IFERROR(__xludf.DUMMYFUNCTION("GOOGLETRANSLATE(C7004, ""en"", ""fa"")
"),"در مورد مزایای استفاده از صفحات فروشگاه برندهای حمایت شده برای ارائه تجربه برند بهتر و نمایش طیف وسیعی از محصولات بحث کنید.")</f>
        <v>در مورد مزایای استفاده از صفحات فروشگاه برندهای حمایت شده برای ارائه تجربه برند بهتر و نمایش طیف وسیعی از محصولات بحث کنید.</v>
      </c>
      <c r="H7004" s="1"/>
      <c r="I7004" s="1"/>
      <c r="J7004" s="1"/>
      <c r="K7004" s="1"/>
      <c r="L7004" s="1"/>
      <c r="M7004" s="1"/>
      <c r="N7004" s="1"/>
      <c r="O7004" s="1"/>
      <c r="P7004" s="1"/>
      <c r="Q7004" s="1"/>
      <c r="R7004" s="1"/>
      <c r="S7004" s="1"/>
      <c r="T7004" s="1"/>
      <c r="U7004" s="1"/>
      <c r="V7004" s="1"/>
      <c r="W7004" s="1"/>
      <c r="X7004" s="1"/>
      <c r="Y7004" s="1"/>
      <c r="Z7004" s="1"/>
      <c r="AA7004" s="1"/>
      <c r="AB7004" s="1"/>
    </row>
    <row r="7005" ht="50.25" customHeight="1">
      <c r="A7005" s="12">
        <v>7001.0</v>
      </c>
      <c r="B7005" s="13" t="s">
        <v>7028</v>
      </c>
      <c r="C7005" s="14" t="s">
        <v>7029</v>
      </c>
      <c r="D7005" s="1"/>
      <c r="E7005" s="1"/>
      <c r="F7005" s="1" t="str">
        <f>IFERROR(__xludf.DUMMYFUNCTION("GOOGLETRANSLATE(B7005, ""en"", ""fa"")
"),"موفقیت در ای بی")</f>
        <v>موفقیت در ای بی</v>
      </c>
      <c r="G7005" s="1" t="str">
        <f>IFERROR(__xludf.DUMMYFUNCTION("GOOGLETRANSLATE(C7005, ""en"", ""fa"")
"),"چگونه می توانم تقاضا برای محصولاتی را که به علایق خاص در فضای باز یا تفریحی در eBay پاسخ می دهند، تحقیق و ارزیابی کنم؟")</f>
        <v>چگونه می توانم تقاضا برای محصولاتی را که به علایق خاص در فضای باز یا تفریحی در eBay پاسخ می دهند، تحقیق و ارزیابی کنم؟</v>
      </c>
      <c r="H7005" s="1"/>
      <c r="I7005" s="1"/>
      <c r="J7005" s="1"/>
      <c r="K7005" s="1"/>
      <c r="L7005" s="1"/>
      <c r="M7005" s="1"/>
      <c r="N7005" s="1"/>
      <c r="O7005" s="1"/>
      <c r="P7005" s="1"/>
      <c r="Q7005" s="1"/>
      <c r="R7005" s="1"/>
      <c r="S7005" s="1"/>
      <c r="T7005" s="1"/>
      <c r="U7005" s="1"/>
      <c r="V7005" s="1"/>
      <c r="W7005" s="1"/>
      <c r="X7005" s="1"/>
      <c r="Y7005" s="1"/>
      <c r="Z7005" s="1"/>
      <c r="AA7005" s="1"/>
      <c r="AB7005" s="1"/>
    </row>
    <row r="7006" ht="50.25" customHeight="1">
      <c r="A7006" s="12">
        <v>7002.0</v>
      </c>
      <c r="B7006" s="13" t="s">
        <v>7028</v>
      </c>
      <c r="C7006" s="14" t="s">
        <v>7030</v>
      </c>
      <c r="D7006" s="1"/>
      <c r="E7006" s="1"/>
      <c r="F7006" s="1" t="str">
        <f>IFERROR(__xludf.DUMMYFUNCTION("GOOGLETRANSLATE(B7006, ""en"", ""fa"")
"),"موفقیت در ای بی")</f>
        <v>موفقیت در ای بی</v>
      </c>
      <c r="G7006" s="1" t="str">
        <f>IFERROR(__xludf.DUMMYFUNCTION("GOOGLETRANSLATE(C7006, ""en"", ""fa"")
"),"چند استراتژی برای شناسایی و تحقیق در مورد محصولاتی که مناسبت‌های خاص تعطیلات یا هدیه دادن در eBay هستند چیست؟")</f>
        <v>چند استراتژی برای شناسایی و تحقیق در مورد محصولاتی که مناسبت‌های خاص تعطیلات یا هدیه دادن در eBay هستند چیست؟</v>
      </c>
      <c r="H7006" s="1"/>
      <c r="I7006" s="1"/>
      <c r="J7006" s="1"/>
      <c r="K7006" s="1"/>
      <c r="L7006" s="1"/>
      <c r="M7006" s="1"/>
      <c r="N7006" s="1"/>
      <c r="O7006" s="1"/>
      <c r="P7006" s="1"/>
      <c r="Q7006" s="1"/>
      <c r="R7006" s="1"/>
      <c r="S7006" s="1"/>
      <c r="T7006" s="1"/>
      <c r="U7006" s="1"/>
      <c r="V7006" s="1"/>
      <c r="W7006" s="1"/>
      <c r="X7006" s="1"/>
      <c r="Y7006" s="1"/>
      <c r="Z7006" s="1"/>
      <c r="AA7006" s="1"/>
      <c r="AB7006" s="1"/>
    </row>
    <row r="7007" ht="50.25" customHeight="1">
      <c r="A7007" s="12">
        <v>7003.0</v>
      </c>
      <c r="B7007" s="13" t="s">
        <v>7028</v>
      </c>
      <c r="C7007" s="14" t="s">
        <v>7031</v>
      </c>
      <c r="D7007" s="1"/>
      <c r="E7007" s="1"/>
      <c r="F7007" s="1" t="str">
        <f>IFERROR(__xludf.DUMMYFUNCTION("GOOGLETRANSLATE(B7007, ""en"", ""fa"")
"),"موفقیت در ای بی")</f>
        <v>موفقیت در ای بی</v>
      </c>
      <c r="G7007" s="1" t="str">
        <f>IFERROR(__xludf.DUMMYFUNCTION("GOOGLETRANSLATE(C7007, ""en"", ""fa"")
"),"چگونه می توانم از ویژگی ""بینش فروشنده"" eBay برای به دست آوردن بینش در مورد ترجیحات محصول و رفتار خرید در میان جمعیت شناسی خاص خریدار استفاده کنم؟")</f>
        <v>چگونه می توانم از ویژگی "بینش فروشنده" eBay برای به دست آوردن بینش در مورد ترجیحات محصول و رفتار خرید در میان جمعیت شناسی خاص خریدار استفاده کنم؟</v>
      </c>
      <c r="H7007" s="1"/>
      <c r="I7007" s="1"/>
      <c r="J7007" s="1"/>
      <c r="K7007" s="1"/>
      <c r="L7007" s="1"/>
      <c r="M7007" s="1"/>
      <c r="N7007" s="1"/>
      <c r="O7007" s="1"/>
      <c r="P7007" s="1"/>
      <c r="Q7007" s="1"/>
      <c r="R7007" s="1"/>
      <c r="S7007" s="1"/>
      <c r="T7007" s="1"/>
      <c r="U7007" s="1"/>
      <c r="V7007" s="1"/>
      <c r="W7007" s="1"/>
      <c r="X7007" s="1"/>
      <c r="Y7007" s="1"/>
      <c r="Z7007" s="1"/>
      <c r="AA7007" s="1"/>
      <c r="AB7007" s="1"/>
    </row>
    <row r="7008" ht="50.25" customHeight="1">
      <c r="A7008" s="12">
        <v>7004.0</v>
      </c>
      <c r="B7008" s="13" t="s">
        <v>7028</v>
      </c>
      <c r="C7008" s="14" t="s">
        <v>7032</v>
      </c>
      <c r="D7008" s="1"/>
      <c r="E7008" s="1"/>
      <c r="F7008" s="1" t="str">
        <f>IFERROR(__xludf.DUMMYFUNCTION("GOOGLETRANSLATE(B7008, ""en"", ""fa"")
"),"موفقیت در ای بی")</f>
        <v>موفقیت در ای بی</v>
      </c>
      <c r="G7008" s="1" t="str">
        <f>IFERROR(__xludf.DUMMYFUNCTION("GOOGLETRANSLATE(C7008, ""en"", ""fa"")
"),"چند استراتژی برای شناسایی و ارزیابی محصولات پرطرفدار در دسته بندی های دوام یا طول عمر محصول خاص در eBay چیست؟")</f>
        <v>چند استراتژی برای شناسایی و ارزیابی محصولات پرطرفدار در دسته بندی های دوام یا طول عمر محصول خاص در eBay چیست؟</v>
      </c>
      <c r="H7008" s="1"/>
      <c r="I7008" s="1"/>
      <c r="J7008" s="1"/>
      <c r="K7008" s="1"/>
      <c r="L7008" s="1"/>
      <c r="M7008" s="1"/>
      <c r="N7008" s="1"/>
      <c r="O7008" s="1"/>
      <c r="P7008" s="1"/>
      <c r="Q7008" s="1"/>
      <c r="R7008" s="1"/>
      <c r="S7008" s="1"/>
      <c r="T7008" s="1"/>
      <c r="U7008" s="1"/>
      <c r="V7008" s="1"/>
      <c r="W7008" s="1"/>
      <c r="X7008" s="1"/>
      <c r="Y7008" s="1"/>
      <c r="Z7008" s="1"/>
      <c r="AA7008" s="1"/>
      <c r="AB7008" s="1"/>
    </row>
    <row r="7009" ht="50.25" customHeight="1">
      <c r="A7009" s="12">
        <v>7005.0</v>
      </c>
      <c r="B7009" s="13" t="s">
        <v>7028</v>
      </c>
      <c r="C7009" s="14" t="s">
        <v>7033</v>
      </c>
      <c r="D7009" s="1"/>
      <c r="E7009" s="1"/>
      <c r="F7009" s="1" t="str">
        <f>IFERROR(__xludf.DUMMYFUNCTION("GOOGLETRANSLATE(B7009, ""en"", ""fa"")
"),"موفقیت در ای بی")</f>
        <v>موفقیت در ای بی</v>
      </c>
      <c r="G7009" s="1" t="str">
        <f>IFERROR(__xludf.DUMMYFUNCTION("GOOGLETRANSLATE(C7009, ""en"", ""fa"")
"),"چگونه می توانم تقاضا برای محصولاتی را که مطابق با ترجیحات مد یا سبک خاص در eBay هستند تحقیق و ارزیابی کنم؟")</f>
        <v>چگونه می توانم تقاضا برای محصولاتی را که مطابق با ترجیحات مد یا سبک خاص در eBay هستند تحقیق و ارزیابی کنم؟</v>
      </c>
      <c r="H7009" s="1"/>
      <c r="I7009" s="1"/>
      <c r="J7009" s="1"/>
      <c r="K7009" s="1"/>
      <c r="L7009" s="1"/>
      <c r="M7009" s="1"/>
      <c r="N7009" s="1"/>
      <c r="O7009" s="1"/>
      <c r="P7009" s="1"/>
      <c r="Q7009" s="1"/>
      <c r="R7009" s="1"/>
      <c r="S7009" s="1"/>
      <c r="T7009" s="1"/>
      <c r="U7009" s="1"/>
      <c r="V7009" s="1"/>
      <c r="W7009" s="1"/>
      <c r="X7009" s="1"/>
      <c r="Y7009" s="1"/>
      <c r="Z7009" s="1"/>
      <c r="AA7009" s="1"/>
      <c r="AB7009" s="1"/>
    </row>
    <row r="7010" ht="50.25" customHeight="1">
      <c r="A7010" s="12">
        <v>7006.0</v>
      </c>
      <c r="B7010" s="13" t="s">
        <v>7028</v>
      </c>
      <c r="C7010" s="14" t="s">
        <v>7034</v>
      </c>
      <c r="D7010" s="1"/>
      <c r="E7010" s="1"/>
      <c r="F7010" s="1" t="str">
        <f>IFERROR(__xludf.DUMMYFUNCTION("GOOGLETRANSLATE(B7010, ""en"", ""fa"")
"),"موفقیت در ای بی")</f>
        <v>موفقیت در ای بی</v>
      </c>
      <c r="G7010" s="1" t="str">
        <f>IFERROR(__xludf.DUMMYFUNCTION("GOOGLETRANSLATE(C7010, ""en"", ""fa"")
"),"چند استراتژی برای شناسایی و تحقیق فرصت های محصول در بخش های خاص بازار هدف یا پروفایل های مشتری در eBay چیست؟")</f>
        <v>چند استراتژی برای شناسایی و تحقیق فرصت های محصول در بخش های خاص بازار هدف یا پروفایل های مشتری در eBay چیست؟</v>
      </c>
      <c r="H7010" s="1"/>
      <c r="I7010" s="1"/>
      <c r="J7010" s="1"/>
      <c r="K7010" s="1"/>
      <c r="L7010" s="1"/>
      <c r="M7010" s="1"/>
      <c r="N7010" s="1"/>
      <c r="O7010" s="1"/>
      <c r="P7010" s="1"/>
      <c r="Q7010" s="1"/>
      <c r="R7010" s="1"/>
      <c r="S7010" s="1"/>
      <c r="T7010" s="1"/>
      <c r="U7010" s="1"/>
      <c r="V7010" s="1"/>
      <c r="W7010" s="1"/>
      <c r="X7010" s="1"/>
      <c r="Y7010" s="1"/>
      <c r="Z7010" s="1"/>
      <c r="AA7010" s="1"/>
      <c r="AB7010" s="1"/>
    </row>
    <row r="7011" ht="50.25" customHeight="1">
      <c r="A7011" s="12">
        <v>7007.0</v>
      </c>
      <c r="B7011" s="13" t="s">
        <v>7028</v>
      </c>
      <c r="C7011" s="14" t="s">
        <v>7035</v>
      </c>
      <c r="D7011" s="1"/>
      <c r="E7011" s="1"/>
      <c r="F7011" s="1" t="str">
        <f>IFERROR(__xludf.DUMMYFUNCTION("GOOGLETRANSLATE(B7011, ""en"", ""fa"")
"),"موفقیت در ای بی")</f>
        <v>موفقیت در ای بی</v>
      </c>
      <c r="G7011" s="1" t="str">
        <f>IFERROR(__xludf.DUMMYFUNCTION("GOOGLETRANSLATE(C7011, ""en"", ""fa"")
"),"چگونه می توانم از ویژگی «بینش فروشنده» eBay برای به دست آوردن بینش در مورد ترجیحات محصول و رفتار خرید در میان مکان ها یا مناطق خاص خریدار استفاده کنم؟")</f>
        <v>چگونه می توانم از ویژگی «بینش فروشنده» eBay برای به دست آوردن بینش در مورد ترجیحات محصول و رفتار خرید در میان مکان ها یا مناطق خاص خریدار استفاده کنم؟</v>
      </c>
      <c r="H7011" s="1"/>
      <c r="I7011" s="1"/>
      <c r="J7011" s="1"/>
      <c r="K7011" s="1"/>
      <c r="L7011" s="1"/>
      <c r="M7011" s="1"/>
      <c r="N7011" s="1"/>
      <c r="O7011" s="1"/>
      <c r="P7011" s="1"/>
      <c r="Q7011" s="1"/>
      <c r="R7011" s="1"/>
      <c r="S7011" s="1"/>
      <c r="T7011" s="1"/>
      <c r="U7011" s="1"/>
      <c r="V7011" s="1"/>
      <c r="W7011" s="1"/>
      <c r="X7011" s="1"/>
      <c r="Y7011" s="1"/>
      <c r="Z7011" s="1"/>
      <c r="AA7011" s="1"/>
      <c r="AB7011" s="1"/>
    </row>
    <row r="7012" ht="50.25" customHeight="1">
      <c r="A7012" s="12">
        <v>7008.0</v>
      </c>
      <c r="B7012" s="13" t="s">
        <v>7028</v>
      </c>
      <c r="C7012" s="14" t="s">
        <v>7036</v>
      </c>
      <c r="D7012" s="1"/>
      <c r="E7012" s="1"/>
      <c r="F7012" s="1" t="str">
        <f>IFERROR(__xludf.DUMMYFUNCTION("GOOGLETRANSLATE(B7012, ""en"", ""fa"")
"),"موفقیت در ای بی")</f>
        <v>موفقیت در ای بی</v>
      </c>
      <c r="G7012" s="1" t="str">
        <f>IFERROR(__xludf.DUMMYFUNCTION("GOOGLETRANSLATE(C7012, ""en"", ""fa"")
"),"چند استراتژی برای شناسایی و ارزیابی محصولات پرطرفدار در دسته بندی های ایمنی محصول یا گواهینامه خاص در eBay چیست؟")</f>
        <v>چند استراتژی برای شناسایی و ارزیابی محصولات پرطرفدار در دسته بندی های ایمنی محصول یا گواهینامه خاص در eBay چیست؟</v>
      </c>
      <c r="H7012" s="1"/>
      <c r="I7012" s="1"/>
      <c r="J7012" s="1"/>
      <c r="K7012" s="1"/>
      <c r="L7012" s="1"/>
      <c r="M7012" s="1"/>
      <c r="N7012" s="1"/>
      <c r="O7012" s="1"/>
      <c r="P7012" s="1"/>
      <c r="Q7012" s="1"/>
      <c r="R7012" s="1"/>
      <c r="S7012" s="1"/>
      <c r="T7012" s="1"/>
      <c r="U7012" s="1"/>
      <c r="V7012" s="1"/>
      <c r="W7012" s="1"/>
      <c r="X7012" s="1"/>
      <c r="Y7012" s="1"/>
      <c r="Z7012" s="1"/>
      <c r="AA7012" s="1"/>
      <c r="AB7012" s="1"/>
    </row>
    <row r="7013" ht="50.25" customHeight="1">
      <c r="A7013" s="12">
        <v>7009.0</v>
      </c>
      <c r="B7013" s="13" t="s">
        <v>7028</v>
      </c>
      <c r="C7013" s="14" t="s">
        <v>7037</v>
      </c>
      <c r="D7013" s="1"/>
      <c r="E7013" s="1"/>
      <c r="F7013" s="1" t="str">
        <f>IFERROR(__xludf.DUMMYFUNCTION("GOOGLETRANSLATE(B7013, ""en"", ""fa"")
"),"موفقیت در ای بی")</f>
        <v>موفقیت در ای بی</v>
      </c>
      <c r="G7013" s="1" t="str">
        <f>IFERROR(__xludf.DUMMYFUNCTION("GOOGLETRANSLATE(C7013, ""en"", ""fa"")
"),"چگونه می توانم تقاضا برای محصولاتی را که به پروژه های DIY خاص یا بهبود خانه در eBay پاسخ می دهند، تحقیق و ارزیابی کنم؟")</f>
        <v>چگونه می توانم تقاضا برای محصولاتی را که به پروژه های DIY خاص یا بهبود خانه در eBay پاسخ می دهند، تحقیق و ارزیابی کنم؟</v>
      </c>
      <c r="H7013" s="1"/>
      <c r="I7013" s="1"/>
      <c r="J7013" s="1"/>
      <c r="K7013" s="1"/>
      <c r="L7013" s="1"/>
      <c r="M7013" s="1"/>
      <c r="N7013" s="1"/>
      <c r="O7013" s="1"/>
      <c r="P7013" s="1"/>
      <c r="Q7013" s="1"/>
      <c r="R7013" s="1"/>
      <c r="S7013" s="1"/>
      <c r="T7013" s="1"/>
      <c r="U7013" s="1"/>
      <c r="V7013" s="1"/>
      <c r="W7013" s="1"/>
      <c r="X7013" s="1"/>
      <c r="Y7013" s="1"/>
      <c r="Z7013" s="1"/>
      <c r="AA7013" s="1"/>
      <c r="AB7013" s="1"/>
    </row>
    <row r="7014" ht="50.25" customHeight="1">
      <c r="A7014" s="12">
        <v>7010.0</v>
      </c>
      <c r="B7014" s="13" t="s">
        <v>7028</v>
      </c>
      <c r="C7014" s="14" t="s">
        <v>7038</v>
      </c>
      <c r="D7014" s="1"/>
      <c r="E7014" s="1"/>
      <c r="F7014" s="1" t="str">
        <f>IFERROR(__xludf.DUMMYFUNCTION("GOOGLETRANSLATE(B7014, ""en"", ""fa"")
"),"موفقیت در ای بی")</f>
        <v>موفقیت در ای بی</v>
      </c>
      <c r="G7014" s="1" t="str">
        <f>IFERROR(__xludf.DUMMYFUNCTION("GOOGLETRANSLATE(C7014, ""en"", ""fa"")
"),"چند استراتژی برای شناسایی و تحقیق در مورد محصولاتی که سرگرمی‌ها یا فعالیت‌های تفریحی خاصی را در eBay انجام می‌دهند چیست؟")</f>
        <v>چند استراتژی برای شناسایی و تحقیق در مورد محصولاتی که سرگرمی‌ها یا فعالیت‌های تفریحی خاصی را در eBay انجام می‌دهند چیست؟</v>
      </c>
      <c r="H7014" s="1"/>
      <c r="I7014" s="1"/>
      <c r="J7014" s="1"/>
      <c r="K7014" s="1"/>
      <c r="L7014" s="1"/>
      <c r="M7014" s="1"/>
      <c r="N7014" s="1"/>
      <c r="O7014" s="1"/>
      <c r="P7014" s="1"/>
      <c r="Q7014" s="1"/>
      <c r="R7014" s="1"/>
      <c r="S7014" s="1"/>
      <c r="T7014" s="1"/>
      <c r="U7014" s="1"/>
      <c r="V7014" s="1"/>
      <c r="W7014" s="1"/>
      <c r="X7014" s="1"/>
      <c r="Y7014" s="1"/>
      <c r="Z7014" s="1"/>
      <c r="AA7014" s="1"/>
      <c r="AB7014" s="1"/>
    </row>
    <row r="7015" ht="50.25" customHeight="1">
      <c r="A7015" s="12">
        <v>7011.0</v>
      </c>
      <c r="B7015" s="13" t="s">
        <v>7028</v>
      </c>
      <c r="C7015" s="14" t="s">
        <v>7039</v>
      </c>
      <c r="D7015" s="1"/>
      <c r="E7015" s="1"/>
      <c r="F7015" s="1" t="str">
        <f>IFERROR(__xludf.DUMMYFUNCTION("GOOGLETRANSLATE(B7015, ""en"", ""fa"")
"),"موفقیت در ای بی")</f>
        <v>موفقیت در ای بی</v>
      </c>
      <c r="G7015" s="1" t="str">
        <f>IFERROR(__xludf.DUMMYFUNCTION("GOOGLETRANSLATE(C7015, ""en"", ""fa"")
"),"چگونه می توانم از ویژگی «بینش فروشنده» eBay برای به دست آوردن بینش در مورد ترجیحات محصول و رفتار خرید در میان گروه های درآمدی خاص خریدار استفاده کنم؟")</f>
        <v>چگونه می توانم از ویژگی «بینش فروشنده» eBay برای به دست آوردن بینش در مورد ترجیحات محصول و رفتار خرید در میان گروه های درآمدی خاص خریدار استفاده کنم؟</v>
      </c>
      <c r="H7015" s="1"/>
      <c r="I7015" s="1"/>
      <c r="J7015" s="1"/>
      <c r="K7015" s="1"/>
      <c r="L7015" s="1"/>
      <c r="M7015" s="1"/>
      <c r="N7015" s="1"/>
      <c r="O7015" s="1"/>
      <c r="P7015" s="1"/>
      <c r="Q7015" s="1"/>
      <c r="R7015" s="1"/>
      <c r="S7015" s="1"/>
      <c r="T7015" s="1"/>
      <c r="U7015" s="1"/>
      <c r="V7015" s="1"/>
      <c r="W7015" s="1"/>
      <c r="X7015" s="1"/>
      <c r="Y7015" s="1"/>
      <c r="Z7015" s="1"/>
      <c r="AA7015" s="1"/>
      <c r="AB7015" s="1"/>
    </row>
    <row r="7016" ht="50.25" customHeight="1">
      <c r="A7016" s="12">
        <v>7012.0</v>
      </c>
      <c r="B7016" s="13" t="s">
        <v>7028</v>
      </c>
      <c r="C7016" s="14" t="s">
        <v>7040</v>
      </c>
      <c r="D7016" s="1"/>
      <c r="E7016" s="1"/>
      <c r="F7016" s="1" t="str">
        <f>IFERROR(__xludf.DUMMYFUNCTION("GOOGLETRANSLATE(B7016, ""en"", ""fa"")
"),"موفقیت در ای بی")</f>
        <v>موفقیت در ای بی</v>
      </c>
      <c r="G7016" s="1" t="str">
        <f>IFERROR(__xludf.DUMMYFUNCTION("GOOGLETRANSLATE(C7016, ""en"", ""fa"")
"),"چند استراتژی برای شناسایی و ارزیابی محصولات پرطرفدار در بافت محصول یا دسته بندی مواد خاص در eBay چیست؟")</f>
        <v>چند استراتژی برای شناسایی و ارزیابی محصولات پرطرفدار در بافت محصول یا دسته بندی مواد خاص در eBay چیست؟</v>
      </c>
      <c r="H7016" s="1"/>
      <c r="I7016" s="1"/>
      <c r="J7016" s="1"/>
      <c r="K7016" s="1"/>
      <c r="L7016" s="1"/>
      <c r="M7016" s="1"/>
      <c r="N7016" s="1"/>
      <c r="O7016" s="1"/>
      <c r="P7016" s="1"/>
      <c r="Q7016" s="1"/>
      <c r="R7016" s="1"/>
      <c r="S7016" s="1"/>
      <c r="T7016" s="1"/>
      <c r="U7016" s="1"/>
      <c r="V7016" s="1"/>
      <c r="W7016" s="1"/>
      <c r="X7016" s="1"/>
      <c r="Y7016" s="1"/>
      <c r="Z7016" s="1"/>
      <c r="AA7016" s="1"/>
      <c r="AB7016" s="1"/>
    </row>
    <row r="7017" ht="50.25" customHeight="1">
      <c r="A7017" s="12">
        <v>7013.0</v>
      </c>
      <c r="B7017" s="13" t="s">
        <v>7028</v>
      </c>
      <c r="C7017" s="14" t="s">
        <v>7041</v>
      </c>
      <c r="D7017" s="1"/>
      <c r="E7017" s="1"/>
      <c r="F7017" s="1" t="str">
        <f>IFERROR(__xludf.DUMMYFUNCTION("GOOGLETRANSLATE(B7017, ""en"", ""fa"")
"),"موفقیت در ای بی")</f>
        <v>موفقیت در ای بی</v>
      </c>
      <c r="G7017" s="1" t="str">
        <f>IFERROR(__xludf.DUMMYFUNCTION("GOOGLETRANSLATE(C7017, ""en"", ""fa"")
"),"چگونه می توانم تقاضا برای محصولاتی را که به نگرانی های سلامت یا تندرستی خاص در eBay پاسخ می دهند، تحقیق و ارزیابی کنم؟")</f>
        <v>چگونه می توانم تقاضا برای محصولاتی را که به نگرانی های سلامت یا تندرستی خاص در eBay پاسخ می دهند، تحقیق و ارزیابی کنم؟</v>
      </c>
      <c r="H7017" s="1"/>
      <c r="I7017" s="1"/>
      <c r="J7017" s="1"/>
      <c r="K7017" s="1"/>
      <c r="L7017" s="1"/>
      <c r="M7017" s="1"/>
      <c r="N7017" s="1"/>
      <c r="O7017" s="1"/>
      <c r="P7017" s="1"/>
      <c r="Q7017" s="1"/>
      <c r="R7017" s="1"/>
      <c r="S7017" s="1"/>
      <c r="T7017" s="1"/>
      <c r="U7017" s="1"/>
      <c r="V7017" s="1"/>
      <c r="W7017" s="1"/>
      <c r="X7017" s="1"/>
      <c r="Y7017" s="1"/>
      <c r="Z7017" s="1"/>
      <c r="AA7017" s="1"/>
      <c r="AB7017" s="1"/>
    </row>
    <row r="7018" ht="50.25" customHeight="1">
      <c r="A7018" s="12">
        <v>7014.0</v>
      </c>
      <c r="B7018" s="13" t="s">
        <v>7028</v>
      </c>
      <c r="C7018" s="14" t="s">
        <v>7042</v>
      </c>
      <c r="D7018" s="1"/>
      <c r="E7018" s="1"/>
      <c r="F7018" s="1" t="str">
        <f>IFERROR(__xludf.DUMMYFUNCTION("GOOGLETRANSLATE(B7018, ""en"", ""fa"")
"),"موفقیت در ای بی")</f>
        <v>موفقیت در ای بی</v>
      </c>
      <c r="G7018" s="1" t="str">
        <f>IFERROR(__xludf.DUMMYFUNCTION("GOOGLETRANSLATE(C7018, ""en"", ""fa"")
"),"چند استراتژی برای شناسایی و تحقیق در مورد فرصت های محصول در دسته بندی های بسته بندی یا ارائه محصول خاص در eBay چیست؟")</f>
        <v>چند استراتژی برای شناسایی و تحقیق در مورد فرصت های محصول در دسته بندی های بسته بندی یا ارائه محصول خاص در eBay چیست؟</v>
      </c>
      <c r="H7018" s="1"/>
      <c r="I7018" s="1"/>
      <c r="J7018" s="1"/>
      <c r="K7018" s="1"/>
      <c r="L7018" s="1"/>
      <c r="M7018" s="1"/>
      <c r="N7018" s="1"/>
      <c r="O7018" s="1"/>
      <c r="P7018" s="1"/>
      <c r="Q7018" s="1"/>
      <c r="R7018" s="1"/>
      <c r="S7018" s="1"/>
      <c r="T7018" s="1"/>
      <c r="U7018" s="1"/>
      <c r="V7018" s="1"/>
      <c r="W7018" s="1"/>
      <c r="X7018" s="1"/>
      <c r="Y7018" s="1"/>
      <c r="Z7018" s="1"/>
      <c r="AA7018" s="1"/>
      <c r="AB7018" s="1"/>
    </row>
    <row r="7019" ht="50.25" customHeight="1">
      <c r="A7019" s="12">
        <v>7015.0</v>
      </c>
      <c r="B7019" s="13" t="s">
        <v>7028</v>
      </c>
      <c r="C7019" s="14" t="s">
        <v>7043</v>
      </c>
      <c r="D7019" s="1"/>
      <c r="E7019" s="1"/>
      <c r="F7019" s="1" t="str">
        <f>IFERROR(__xludf.DUMMYFUNCTION("GOOGLETRANSLATE(B7019, ""en"", ""fa"")
"),"موفقیت در ای بی")</f>
        <v>موفقیت در ای بی</v>
      </c>
      <c r="G7019" s="1" t="str">
        <f>IFERROR(__xludf.DUMMYFUNCTION("GOOGLETRANSLATE(C7019, ""en"", ""fa"")
"),"چگونه می توانم از ویژگی ""بینش فروشنده"" eBay برای به دست آوردن بینش در مورد ترجیحات محصول و رفتار خرید در میان علایق یا سرگرمی های خاص خریدار استفاده کنم؟")</f>
        <v>چگونه می توانم از ویژگی "بینش فروشنده" eBay برای به دست آوردن بینش در مورد ترجیحات محصول و رفتار خرید در میان علایق یا سرگرمی های خاص خریدار استفاده کنم؟</v>
      </c>
      <c r="H7019" s="1"/>
      <c r="I7019" s="1"/>
      <c r="J7019" s="1"/>
      <c r="K7019" s="1"/>
      <c r="L7019" s="1"/>
      <c r="M7019" s="1"/>
      <c r="N7019" s="1"/>
      <c r="O7019" s="1"/>
      <c r="P7019" s="1"/>
      <c r="Q7019" s="1"/>
      <c r="R7019" s="1"/>
      <c r="S7019" s="1"/>
      <c r="T7019" s="1"/>
      <c r="U7019" s="1"/>
      <c r="V7019" s="1"/>
      <c r="W7019" s="1"/>
      <c r="X7019" s="1"/>
      <c r="Y7019" s="1"/>
      <c r="Z7019" s="1"/>
      <c r="AA7019" s="1"/>
      <c r="AB7019" s="1"/>
    </row>
    <row r="7020" ht="50.25" customHeight="1">
      <c r="A7020" s="12">
        <v>7016.0</v>
      </c>
      <c r="B7020" s="13" t="s">
        <v>7028</v>
      </c>
      <c r="C7020" s="14" t="s">
        <v>7044</v>
      </c>
      <c r="D7020" s="1"/>
      <c r="E7020" s="1"/>
      <c r="F7020" s="1" t="str">
        <f>IFERROR(__xludf.DUMMYFUNCTION("GOOGLETRANSLATE(B7020, ""en"", ""fa"")
"),"موفقیت در ای بی")</f>
        <v>موفقیت در ای بی</v>
      </c>
      <c r="G7020" s="1" t="str">
        <f>IFERROR(__xludf.DUMMYFUNCTION("GOOGLETRANSLATE(C7020, ""en"", ""fa"")
"),"چند استراتژی برای شناسایی و ارزیابی محصولات پرطرفدار در دسته‌های نویز محصول یا سطح صدای خاص در eBay چیست؟")</f>
        <v>چند استراتژی برای شناسایی و ارزیابی محصولات پرطرفدار در دسته‌های نویز محصول یا سطح صدای خاص در eBay چیست؟</v>
      </c>
      <c r="H7020" s="1"/>
      <c r="I7020" s="1"/>
      <c r="J7020" s="1"/>
      <c r="K7020" s="1"/>
      <c r="L7020" s="1"/>
      <c r="M7020" s="1"/>
      <c r="N7020" s="1"/>
      <c r="O7020" s="1"/>
      <c r="P7020" s="1"/>
      <c r="Q7020" s="1"/>
      <c r="R7020" s="1"/>
      <c r="S7020" s="1"/>
      <c r="T7020" s="1"/>
      <c r="U7020" s="1"/>
      <c r="V7020" s="1"/>
      <c r="W7020" s="1"/>
      <c r="X7020" s="1"/>
      <c r="Y7020" s="1"/>
      <c r="Z7020" s="1"/>
      <c r="AA7020" s="1"/>
      <c r="AB7020" s="1"/>
    </row>
    <row r="7021" ht="50.25" customHeight="1">
      <c r="A7021" s="12">
        <v>7017.0</v>
      </c>
      <c r="B7021" s="13" t="s">
        <v>7028</v>
      </c>
      <c r="C7021" s="14" t="s">
        <v>7045</v>
      </c>
      <c r="D7021" s="1"/>
      <c r="E7021" s="1"/>
      <c r="F7021" s="1" t="str">
        <f>IFERROR(__xludf.DUMMYFUNCTION("GOOGLETRANSLATE(B7021, ""en"", ""fa"")
"),"موفقیت در ای بی")</f>
        <v>موفقیت در ای بی</v>
      </c>
      <c r="G7021" s="1" t="str">
        <f>IFERROR(__xludf.DUMMYFUNCTION("GOOGLETRANSLATE(C7021, ""en"", ""fa"")
"),"چگونه می توانم تقاضا برای محصولاتی را که نیازهای خاص والدین یا مربوط به کودک را برآورده می کنند در eBay تحقیق و ارزیابی کنم؟")</f>
        <v>چگونه می توانم تقاضا برای محصولاتی را که نیازهای خاص والدین یا مربوط به کودک را برآورده می کنند در eBay تحقیق و ارزیابی کنم؟</v>
      </c>
      <c r="H7021" s="1"/>
      <c r="I7021" s="1"/>
      <c r="J7021" s="1"/>
      <c r="K7021" s="1"/>
      <c r="L7021" s="1"/>
      <c r="M7021" s="1"/>
      <c r="N7021" s="1"/>
      <c r="O7021" s="1"/>
      <c r="P7021" s="1"/>
      <c r="Q7021" s="1"/>
      <c r="R7021" s="1"/>
      <c r="S7021" s="1"/>
      <c r="T7021" s="1"/>
      <c r="U7021" s="1"/>
      <c r="V7021" s="1"/>
      <c r="W7021" s="1"/>
      <c r="X7021" s="1"/>
      <c r="Y7021" s="1"/>
      <c r="Z7021" s="1"/>
      <c r="AA7021" s="1"/>
      <c r="AB7021" s="1"/>
    </row>
    <row r="7022" ht="50.25" customHeight="1">
      <c r="A7022" s="12">
        <v>7018.0</v>
      </c>
      <c r="B7022" s="13" t="s">
        <v>7028</v>
      </c>
      <c r="C7022" s="14" t="s">
        <v>7046</v>
      </c>
      <c r="D7022" s="1"/>
      <c r="E7022" s="1"/>
      <c r="F7022" s="1" t="str">
        <f>IFERROR(__xludf.DUMMYFUNCTION("GOOGLETRANSLATE(B7022, ""en"", ""fa"")
"),"موفقیت در ای بی")</f>
        <v>موفقیت در ای بی</v>
      </c>
      <c r="G7022" s="1" t="str">
        <f>IFERROR(__xludf.DUMMYFUNCTION("GOOGLETRANSLATE(C7022, ""en"", ""fa"")
"),"چند استراتژی برای شناسایی و تحقیق در مورد محصولاتی که به فعالیت های هنری یا خلاقانه خاصی در eBay می پردازند چیست؟")</f>
        <v>چند استراتژی برای شناسایی و تحقیق در مورد محصولاتی که به فعالیت های هنری یا خلاقانه خاصی در eBay می پردازند چیست؟</v>
      </c>
      <c r="H7022" s="1"/>
      <c r="I7022" s="1"/>
      <c r="J7022" s="1"/>
      <c r="K7022" s="1"/>
      <c r="L7022" s="1"/>
      <c r="M7022" s="1"/>
      <c r="N7022" s="1"/>
      <c r="O7022" s="1"/>
      <c r="P7022" s="1"/>
      <c r="Q7022" s="1"/>
      <c r="R7022" s="1"/>
      <c r="S7022" s="1"/>
      <c r="T7022" s="1"/>
      <c r="U7022" s="1"/>
      <c r="V7022" s="1"/>
      <c r="W7022" s="1"/>
      <c r="X7022" s="1"/>
      <c r="Y7022" s="1"/>
      <c r="Z7022" s="1"/>
      <c r="AA7022" s="1"/>
      <c r="AB7022" s="1"/>
    </row>
    <row r="7023" ht="50.25" customHeight="1">
      <c r="A7023" s="12">
        <v>7019.0</v>
      </c>
      <c r="B7023" s="13" t="s">
        <v>7028</v>
      </c>
      <c r="C7023" s="14" t="s">
        <v>7047</v>
      </c>
      <c r="D7023" s="1"/>
      <c r="E7023" s="1"/>
      <c r="F7023" s="1" t="str">
        <f>IFERROR(__xludf.DUMMYFUNCTION("GOOGLETRANSLATE(B7023, ""en"", ""fa"")
"),"موفقیت در ای بی")</f>
        <v>موفقیت در ای بی</v>
      </c>
      <c r="G7023" s="1" t="str">
        <f>IFERROR(__xludf.DUMMYFUNCTION("GOOGLETRANSLATE(C7023, ""en"", ""fa"")
"),"چگونه می توانم از ویژگی «بینش فروشنده» eBay برای به دست آوردن بینش در مورد ترجیحات محصول و رفتار خرید در میان جمعیت شناسی خاص خریداران (مانند والدین، متخصصان و غیره) استفاده کنم؟")</f>
        <v>چگونه می توانم از ویژگی «بینش فروشنده» eBay برای به دست آوردن بینش در مورد ترجیحات محصول و رفتار خرید در میان جمعیت شناسی خاص خریداران (مانند والدین، متخصصان و غیره) استفاده کنم؟</v>
      </c>
      <c r="H7023" s="1"/>
      <c r="I7023" s="1"/>
      <c r="J7023" s="1"/>
      <c r="K7023" s="1"/>
      <c r="L7023" s="1"/>
      <c r="M7023" s="1"/>
      <c r="N7023" s="1"/>
      <c r="O7023" s="1"/>
      <c r="P7023" s="1"/>
      <c r="Q7023" s="1"/>
      <c r="R7023" s="1"/>
      <c r="S7023" s="1"/>
      <c r="T7023" s="1"/>
      <c r="U7023" s="1"/>
      <c r="V7023" s="1"/>
      <c r="W7023" s="1"/>
      <c r="X7023" s="1"/>
      <c r="Y7023" s="1"/>
      <c r="Z7023" s="1"/>
      <c r="AA7023" s="1"/>
      <c r="AB7023" s="1"/>
    </row>
    <row r="7024" ht="50.25" customHeight="1">
      <c r="A7024" s="12">
        <v>7020.0</v>
      </c>
      <c r="B7024" s="13" t="s">
        <v>7028</v>
      </c>
      <c r="C7024" s="14" t="s">
        <v>7048</v>
      </c>
      <c r="D7024" s="1"/>
      <c r="E7024" s="1"/>
      <c r="F7024" s="1" t="str">
        <f>IFERROR(__xludf.DUMMYFUNCTION("GOOGLETRANSLATE(B7024, ""en"", ""fa"")
"),"موفقیت در ای بی")</f>
        <v>موفقیت در ای بی</v>
      </c>
      <c r="G7024" s="1" t="str">
        <f>IFERROR(__xludf.DUMMYFUNCTION("GOOGLETRANSLATE(C7024, ""en"", ""fa"")
"),"برخی از استراتژی‌ها برای شناسایی و ارزیابی محصولات پرطرفدار در دسته‌های بازده انرژی محصول خاص یا دوستدار محیط زیست در eBay چیست؟")</f>
        <v>برخی از استراتژی‌ها برای شناسایی و ارزیابی محصولات پرطرفدار در دسته‌های بازده انرژی محصول خاص یا دوستدار محیط زیست در eBay چیست؟</v>
      </c>
      <c r="H7024" s="1"/>
      <c r="I7024" s="1"/>
      <c r="J7024" s="1"/>
      <c r="K7024" s="1"/>
      <c r="L7024" s="1"/>
      <c r="M7024" s="1"/>
      <c r="N7024" s="1"/>
      <c r="O7024" s="1"/>
      <c r="P7024" s="1"/>
      <c r="Q7024" s="1"/>
      <c r="R7024" s="1"/>
      <c r="S7024" s="1"/>
      <c r="T7024" s="1"/>
      <c r="U7024" s="1"/>
      <c r="V7024" s="1"/>
      <c r="W7024" s="1"/>
      <c r="X7024" s="1"/>
      <c r="Y7024" s="1"/>
      <c r="Z7024" s="1"/>
      <c r="AA7024" s="1"/>
      <c r="AB7024" s="1"/>
    </row>
    <row r="7025" ht="50.25" customHeight="1">
      <c r="A7025" s="12">
        <v>7021.0</v>
      </c>
      <c r="B7025" s="13" t="s">
        <v>7028</v>
      </c>
      <c r="C7025" s="14" t="s">
        <v>7049</v>
      </c>
      <c r="D7025" s="1"/>
      <c r="E7025" s="1"/>
      <c r="F7025" s="1" t="str">
        <f>IFERROR(__xludf.DUMMYFUNCTION("GOOGLETRANSLATE(B7025, ""en"", ""fa"")
"),"موفقیت در ای بی")</f>
        <v>موفقیت در ای بی</v>
      </c>
      <c r="G7025" s="1" t="str">
        <f>IFERROR(__xludf.DUMMYFUNCTION("GOOGLETRANSLATE(C7025, ""en"", ""fa"")
"),"چگونه می توانم تقاضا برای محصولاتی را که به اولویت های سرگرمی یا رسانه ای خاص در eBay پاسخ می دهند، تحقیق و ارزیابی کنم؟")</f>
        <v>چگونه می توانم تقاضا برای محصولاتی را که به اولویت های سرگرمی یا رسانه ای خاص در eBay پاسخ می دهند، تحقیق و ارزیابی کنم؟</v>
      </c>
      <c r="H7025" s="1"/>
      <c r="I7025" s="1"/>
      <c r="J7025" s="1"/>
      <c r="K7025" s="1"/>
      <c r="L7025" s="1"/>
      <c r="M7025" s="1"/>
      <c r="N7025" s="1"/>
      <c r="O7025" s="1"/>
      <c r="P7025" s="1"/>
      <c r="Q7025" s="1"/>
      <c r="R7025" s="1"/>
      <c r="S7025" s="1"/>
      <c r="T7025" s="1"/>
      <c r="U7025" s="1"/>
      <c r="V7025" s="1"/>
      <c r="W7025" s="1"/>
      <c r="X7025" s="1"/>
      <c r="Y7025" s="1"/>
      <c r="Z7025" s="1"/>
      <c r="AA7025" s="1"/>
      <c r="AB7025" s="1"/>
    </row>
    <row r="7026" ht="50.25" customHeight="1">
      <c r="A7026" s="12">
        <v>7022.0</v>
      </c>
      <c r="B7026" s="13" t="s">
        <v>7028</v>
      </c>
      <c r="C7026" s="14" t="s">
        <v>7050</v>
      </c>
      <c r="D7026" s="1"/>
      <c r="E7026" s="1"/>
      <c r="F7026" s="1" t="str">
        <f>IFERROR(__xludf.DUMMYFUNCTION("GOOGLETRANSLATE(B7026, ""en"", ""fa"")
"),"موفقیت در ای بی")</f>
        <v>موفقیت در ای بی</v>
      </c>
      <c r="G7026" s="1" t="str">
        <f>IFERROR(__xludf.DUMMYFUNCTION("GOOGLETRANSLATE(C7026, ""en"", ""fa"")
"),"چند استراتژی برای شناسایی و تحقیق فرصت های محصول در دسته بندی طعم یا طعم خاص محصول در eBay چیست؟")</f>
        <v>چند استراتژی برای شناسایی و تحقیق فرصت های محصول در دسته بندی طعم یا طعم خاص محصول در eBay چیست؟</v>
      </c>
      <c r="H7026" s="1"/>
      <c r="I7026" s="1"/>
      <c r="J7026" s="1"/>
      <c r="K7026" s="1"/>
      <c r="L7026" s="1"/>
      <c r="M7026" s="1"/>
      <c r="N7026" s="1"/>
      <c r="O7026" s="1"/>
      <c r="P7026" s="1"/>
      <c r="Q7026" s="1"/>
      <c r="R7026" s="1"/>
      <c r="S7026" s="1"/>
      <c r="T7026" s="1"/>
      <c r="U7026" s="1"/>
      <c r="V7026" s="1"/>
      <c r="W7026" s="1"/>
      <c r="X7026" s="1"/>
      <c r="Y7026" s="1"/>
      <c r="Z7026" s="1"/>
      <c r="AA7026" s="1"/>
      <c r="AB7026" s="1"/>
    </row>
    <row r="7027" ht="50.25" customHeight="1">
      <c r="A7027" s="12">
        <v>7023.0</v>
      </c>
      <c r="B7027" s="13" t="s">
        <v>7028</v>
      </c>
      <c r="C7027" s="14" t="s">
        <v>7051</v>
      </c>
      <c r="D7027" s="1"/>
      <c r="E7027" s="1"/>
      <c r="F7027" s="1" t="str">
        <f>IFERROR(__xludf.DUMMYFUNCTION("GOOGLETRANSLATE(B7027, ""en"", ""fa"")
"),"موفقیت در ای بی")</f>
        <v>موفقیت در ای بی</v>
      </c>
      <c r="G7027" s="1" t="str">
        <f>IFERROR(__xludf.DUMMYFUNCTION("GOOGLETRANSLATE(C7027, ""en"", ""fa"")
"),"چگونه می توانم از ویژگی «بینش فروشنده» eBay برای به دست آوردن بینشی در مورد ترجیحات محصول و رفتار خرید در میان بخش های روانشناختی یا سبک زندگی خریداران خاص استفاده کنم؟")</f>
        <v>چگونه می توانم از ویژگی «بینش فروشنده» eBay برای به دست آوردن بینشی در مورد ترجیحات محصول و رفتار خرید در میان بخش های روانشناختی یا سبک زندگی خریداران خاص استفاده کنم؟</v>
      </c>
      <c r="H7027" s="1"/>
      <c r="I7027" s="1"/>
      <c r="J7027" s="1"/>
      <c r="K7027" s="1"/>
      <c r="L7027" s="1"/>
      <c r="M7027" s="1"/>
      <c r="N7027" s="1"/>
      <c r="O7027" s="1"/>
      <c r="P7027" s="1"/>
      <c r="Q7027" s="1"/>
      <c r="R7027" s="1"/>
      <c r="S7027" s="1"/>
      <c r="T7027" s="1"/>
      <c r="U7027" s="1"/>
      <c r="V7027" s="1"/>
      <c r="W7027" s="1"/>
      <c r="X7027" s="1"/>
      <c r="Y7027" s="1"/>
      <c r="Z7027" s="1"/>
      <c r="AA7027" s="1"/>
      <c r="AB7027" s="1"/>
    </row>
    <row r="7028" ht="50.25" customHeight="1">
      <c r="A7028" s="12">
        <v>7024.0</v>
      </c>
      <c r="B7028" s="13" t="s">
        <v>7028</v>
      </c>
      <c r="C7028" s="14" t="s">
        <v>7052</v>
      </c>
      <c r="D7028" s="1"/>
      <c r="E7028" s="1"/>
      <c r="F7028" s="1" t="str">
        <f>IFERROR(__xludf.DUMMYFUNCTION("GOOGLETRANSLATE(B7028, ""en"", ""fa"")
"),"موفقیت در ای بی")</f>
        <v>موفقیت در ای بی</v>
      </c>
      <c r="G7028" s="1" t="str">
        <f>IFERROR(__xludf.DUMMYFUNCTION("GOOGLETRANSLATE(C7028, ""en"", ""fa"")
"),"چند استراتژی برای شناسایی و ارزیابی محصولات پرطرفدار در دسته‌های قابل حمل یا فشرده بودن محصول در eBay چیست؟")</f>
        <v>چند استراتژی برای شناسایی و ارزیابی محصولات پرطرفدار در دسته‌های قابل حمل یا فشرده بودن محصول در eBay چیست؟</v>
      </c>
      <c r="H7028" s="1"/>
      <c r="I7028" s="1"/>
      <c r="J7028" s="1"/>
      <c r="K7028" s="1"/>
      <c r="L7028" s="1"/>
      <c r="M7028" s="1"/>
      <c r="N7028" s="1"/>
      <c r="O7028" s="1"/>
      <c r="P7028" s="1"/>
      <c r="Q7028" s="1"/>
      <c r="R7028" s="1"/>
      <c r="S7028" s="1"/>
      <c r="T7028" s="1"/>
      <c r="U7028" s="1"/>
      <c r="V7028" s="1"/>
      <c r="W7028" s="1"/>
      <c r="X7028" s="1"/>
      <c r="Y7028" s="1"/>
      <c r="Z7028" s="1"/>
      <c r="AA7028" s="1"/>
      <c r="AB7028" s="1"/>
    </row>
    <row r="7029" ht="50.25" customHeight="1">
      <c r="A7029" s="12">
        <v>7025.0</v>
      </c>
      <c r="B7029" s="13" t="s">
        <v>7028</v>
      </c>
      <c r="C7029" s="14" t="s">
        <v>7053</v>
      </c>
      <c r="D7029" s="1"/>
      <c r="E7029" s="1"/>
      <c r="F7029" s="1" t="str">
        <f>IFERROR(__xludf.DUMMYFUNCTION("GOOGLETRANSLATE(B7029, ""en"", ""fa"")
"),"موفقیت در ای بی")</f>
        <v>موفقیت در ای بی</v>
      </c>
      <c r="G7029" s="1" t="str">
        <f>IFERROR(__xludf.DUMMYFUNCTION("GOOGLETRANSLATE(C7029, ""en"", ""fa"")
"),"چگونه می توانم تقاضا برای محصولاتی را که به شیوه های خاص فرهنگی یا سنتی در eBay پاسخ می دهند، تحقیق و ارزیابی کنم؟")</f>
        <v>چگونه می توانم تقاضا برای محصولاتی را که به شیوه های خاص فرهنگی یا سنتی در eBay پاسخ می دهند، تحقیق و ارزیابی کنم؟</v>
      </c>
      <c r="H7029" s="1"/>
      <c r="I7029" s="1"/>
      <c r="J7029" s="1"/>
      <c r="K7029" s="1"/>
      <c r="L7029" s="1"/>
      <c r="M7029" s="1"/>
      <c r="N7029" s="1"/>
      <c r="O7029" s="1"/>
      <c r="P7029" s="1"/>
      <c r="Q7029" s="1"/>
      <c r="R7029" s="1"/>
      <c r="S7029" s="1"/>
      <c r="T7029" s="1"/>
      <c r="U7029" s="1"/>
      <c r="V7029" s="1"/>
      <c r="W7029" s="1"/>
      <c r="X7029" s="1"/>
      <c r="Y7029" s="1"/>
      <c r="Z7029" s="1"/>
      <c r="AA7029" s="1"/>
      <c r="AB7029" s="1"/>
    </row>
    <row r="7030" ht="50.25" customHeight="1">
      <c r="A7030" s="12">
        <v>7026.0</v>
      </c>
      <c r="B7030" s="13" t="s">
        <v>7028</v>
      </c>
      <c r="C7030" s="14" t="s">
        <v>7054</v>
      </c>
      <c r="D7030" s="1"/>
      <c r="E7030" s="1"/>
      <c r="F7030" s="1" t="str">
        <f>IFERROR(__xludf.DUMMYFUNCTION("GOOGLETRANSLATE(B7030, ""en"", ""fa"")
"),"موفقیت در ای بی")</f>
        <v>موفقیت در ای بی</v>
      </c>
      <c r="G7030" s="1" t="str">
        <f>IFERROR(__xludf.DUMMYFUNCTION("GOOGLETRANSLATE(C7030, ""en"", ""fa"")
"),"چگونه می توانم یک عنوان لیست eBay جلب توجه کنم؟")</f>
        <v>چگونه می توانم یک عنوان لیست eBay جلب توجه کنم؟</v>
      </c>
      <c r="H7030" s="1"/>
      <c r="I7030" s="1"/>
      <c r="J7030" s="1"/>
      <c r="K7030" s="1"/>
      <c r="L7030" s="1"/>
      <c r="M7030" s="1"/>
      <c r="N7030" s="1"/>
      <c r="O7030" s="1"/>
      <c r="P7030" s="1"/>
      <c r="Q7030" s="1"/>
      <c r="R7030" s="1"/>
      <c r="S7030" s="1"/>
      <c r="T7030" s="1"/>
      <c r="U7030" s="1"/>
      <c r="V7030" s="1"/>
      <c r="W7030" s="1"/>
      <c r="X7030" s="1"/>
      <c r="Y7030" s="1"/>
      <c r="Z7030" s="1"/>
      <c r="AA7030" s="1"/>
      <c r="AB7030" s="1"/>
    </row>
    <row r="7031" ht="50.25" customHeight="1">
      <c r="A7031" s="12">
        <v>7027.0</v>
      </c>
      <c r="B7031" s="13" t="s">
        <v>7028</v>
      </c>
      <c r="C7031" s="14" t="s">
        <v>7055</v>
      </c>
      <c r="D7031" s="1"/>
      <c r="E7031" s="1"/>
      <c r="F7031" s="1" t="str">
        <f>IFERROR(__xludf.DUMMYFUNCTION("GOOGLETRANSLATE(B7031, ""en"", ""fa"")
"),"موفقیت در ای بی")</f>
        <v>موفقیت در ای بی</v>
      </c>
      <c r="G7031" s="1" t="str">
        <f>IFERROR(__xludf.DUMMYFUNCTION("GOOGLETRANSLATE(C7031, ""en"", ""fa"")
"),"عناصر کلیدی برای درج در توضیحات محصول قانع کننده در eBay چیست؟")</f>
        <v>عناصر کلیدی برای درج در توضیحات محصول قانع کننده در eBay چیست؟</v>
      </c>
      <c r="H7031" s="1"/>
      <c r="I7031" s="1"/>
      <c r="J7031" s="1"/>
      <c r="K7031" s="1"/>
      <c r="L7031" s="1"/>
      <c r="M7031" s="1"/>
      <c r="N7031" s="1"/>
      <c r="O7031" s="1"/>
      <c r="P7031" s="1"/>
      <c r="Q7031" s="1"/>
      <c r="R7031" s="1"/>
      <c r="S7031" s="1"/>
      <c r="T7031" s="1"/>
      <c r="U7031" s="1"/>
      <c r="V7031" s="1"/>
      <c r="W7031" s="1"/>
      <c r="X7031" s="1"/>
      <c r="Y7031" s="1"/>
      <c r="Z7031" s="1"/>
      <c r="AA7031" s="1"/>
      <c r="AB7031" s="1"/>
    </row>
    <row r="7032" ht="50.25" customHeight="1">
      <c r="A7032" s="12">
        <v>7028.0</v>
      </c>
      <c r="B7032" s="13" t="s">
        <v>7028</v>
      </c>
      <c r="C7032" s="14" t="s">
        <v>7056</v>
      </c>
      <c r="D7032" s="1"/>
      <c r="E7032" s="1"/>
      <c r="F7032" s="1" t="str">
        <f>IFERROR(__xludf.DUMMYFUNCTION("GOOGLETRANSLATE(B7032, ""en"", ""fa"")
"),"موفقیت در ای بی")</f>
        <v>موفقیت در ای بی</v>
      </c>
      <c r="G7032" s="1" t="str">
        <f>IFERROR(__xludf.DUMMYFUNCTION("GOOGLETRANSLATE(C7032, ""en"", ""fa"")
"),"چگونه می توانم لیست eBay خود را برای مشاهده بهتر موتورهای جستجو بهینه کنم؟")</f>
        <v>چگونه می توانم لیست eBay خود را برای مشاهده بهتر موتورهای جستجو بهینه کنم؟</v>
      </c>
      <c r="H7032" s="1"/>
      <c r="I7032" s="1"/>
      <c r="J7032" s="1"/>
      <c r="K7032" s="1"/>
      <c r="L7032" s="1"/>
      <c r="M7032" s="1"/>
      <c r="N7032" s="1"/>
      <c r="O7032" s="1"/>
      <c r="P7032" s="1"/>
      <c r="Q7032" s="1"/>
      <c r="R7032" s="1"/>
      <c r="S7032" s="1"/>
      <c r="T7032" s="1"/>
      <c r="U7032" s="1"/>
      <c r="V7032" s="1"/>
      <c r="W7032" s="1"/>
      <c r="X7032" s="1"/>
      <c r="Y7032" s="1"/>
      <c r="Z7032" s="1"/>
      <c r="AA7032" s="1"/>
      <c r="AB7032" s="1"/>
    </row>
    <row r="7033" ht="50.25" customHeight="1">
      <c r="A7033" s="12">
        <v>7029.0</v>
      </c>
      <c r="B7033" s="13" t="s">
        <v>7028</v>
      </c>
      <c r="C7033" s="14" t="s">
        <v>7057</v>
      </c>
      <c r="D7033" s="1"/>
      <c r="E7033" s="1"/>
      <c r="F7033" s="1" t="str">
        <f>IFERROR(__xludf.DUMMYFUNCTION("GOOGLETRANSLATE(B7033, ""en"", ""fa"")
"),"موفقیت در ای بی")</f>
        <v>موفقیت در ای بی</v>
      </c>
      <c r="G7033" s="1" t="str">
        <f>IFERROR(__xludf.DUMMYFUNCTION("GOOGLETRANSLATE(C7033, ""en"", ""fa"")
"),"چند استراتژی موثر برای گنجاندن کلمات کلیدی مرتبط در فهرست eBay من چیست؟")</f>
        <v>چند استراتژی موثر برای گنجاندن کلمات کلیدی مرتبط در فهرست eBay من چیست؟</v>
      </c>
      <c r="H7033" s="1"/>
      <c r="I7033" s="1"/>
      <c r="J7033" s="1"/>
      <c r="K7033" s="1"/>
      <c r="L7033" s="1"/>
      <c r="M7033" s="1"/>
      <c r="N7033" s="1"/>
      <c r="O7033" s="1"/>
      <c r="P7033" s="1"/>
      <c r="Q7033" s="1"/>
      <c r="R7033" s="1"/>
      <c r="S7033" s="1"/>
      <c r="T7033" s="1"/>
      <c r="U7033" s="1"/>
      <c r="V7033" s="1"/>
      <c r="W7033" s="1"/>
      <c r="X7033" s="1"/>
      <c r="Y7033" s="1"/>
      <c r="Z7033" s="1"/>
      <c r="AA7033" s="1"/>
      <c r="AB7033" s="1"/>
    </row>
    <row r="7034" ht="50.25" customHeight="1">
      <c r="A7034" s="12">
        <v>7030.0</v>
      </c>
      <c r="B7034" s="13" t="s">
        <v>7028</v>
      </c>
      <c r="C7034" s="14" t="s">
        <v>7058</v>
      </c>
      <c r="D7034" s="1"/>
      <c r="E7034" s="1"/>
      <c r="F7034" s="1" t="str">
        <f>IFERROR(__xludf.DUMMYFUNCTION("GOOGLETRANSLATE(B7034, ""en"", ""fa"")
"),"موفقیت در ای بی")</f>
        <v>موفقیت در ای بی</v>
      </c>
      <c r="G7034" s="1" t="str">
        <f>IFERROR(__xludf.DUMMYFUNCTION("GOOGLETRANSLATE(C7034, ""en"", ""fa"")
"),"چگونه می توانم شرح فهرست eBay خود را برای خوانایی بهتر قالب بندی و ساختار دهم؟")</f>
        <v>چگونه می توانم شرح فهرست eBay خود را برای خوانایی بهتر قالب بندی و ساختار دهم؟</v>
      </c>
      <c r="H7034" s="1"/>
      <c r="I7034" s="1"/>
      <c r="J7034" s="1"/>
      <c r="K7034" s="1"/>
      <c r="L7034" s="1"/>
      <c r="M7034" s="1"/>
      <c r="N7034" s="1"/>
      <c r="O7034" s="1"/>
      <c r="P7034" s="1"/>
      <c r="Q7034" s="1"/>
      <c r="R7034" s="1"/>
      <c r="S7034" s="1"/>
      <c r="T7034" s="1"/>
      <c r="U7034" s="1"/>
      <c r="V7034" s="1"/>
      <c r="W7034" s="1"/>
      <c r="X7034" s="1"/>
      <c r="Y7034" s="1"/>
      <c r="Z7034" s="1"/>
      <c r="AA7034" s="1"/>
      <c r="AB7034" s="1"/>
    </row>
    <row r="7035" ht="50.25" customHeight="1">
      <c r="A7035" s="12">
        <v>7031.0</v>
      </c>
      <c r="B7035" s="13" t="s">
        <v>7028</v>
      </c>
      <c r="C7035" s="14" t="s">
        <v>7059</v>
      </c>
      <c r="D7035" s="1"/>
      <c r="E7035" s="1"/>
      <c r="F7035" s="1" t="str">
        <f>IFERROR(__xludf.DUMMYFUNCTION("GOOGLETRANSLATE(B7035, ""en"", ""fa"")
"),"موفقیت در ای بی")</f>
        <v>موفقیت در ای بی</v>
      </c>
      <c r="G7035" s="1" t="str">
        <f>IFERROR(__xludf.DUMMYFUNCTION("GOOGLETRANSLATE(C7035, ""en"", ""fa"")
"),"مزایای استفاده از نقاط گلوله در لیست eBay من چیست؟")</f>
        <v>مزایای استفاده از نقاط گلوله در لیست eBay من چیست؟</v>
      </c>
      <c r="H7035" s="1"/>
      <c r="I7035" s="1"/>
      <c r="J7035" s="1"/>
      <c r="K7035" s="1"/>
      <c r="L7035" s="1"/>
      <c r="M7035" s="1"/>
      <c r="N7035" s="1"/>
      <c r="O7035" s="1"/>
      <c r="P7035" s="1"/>
      <c r="Q7035" s="1"/>
      <c r="R7035" s="1"/>
      <c r="S7035" s="1"/>
      <c r="T7035" s="1"/>
      <c r="U7035" s="1"/>
      <c r="V7035" s="1"/>
      <c r="W7035" s="1"/>
      <c r="X7035" s="1"/>
      <c r="Y7035" s="1"/>
      <c r="Z7035" s="1"/>
      <c r="AA7035" s="1"/>
      <c r="AB7035" s="1"/>
    </row>
    <row r="7036" ht="50.25" customHeight="1">
      <c r="A7036" s="12">
        <v>7032.0</v>
      </c>
      <c r="B7036" s="13" t="s">
        <v>7028</v>
      </c>
      <c r="C7036" s="14" t="s">
        <v>7060</v>
      </c>
      <c r="D7036" s="1"/>
      <c r="E7036" s="1"/>
      <c r="F7036" s="1" t="str">
        <f>IFERROR(__xludf.DUMMYFUNCTION("GOOGLETRANSLATE(B7036, ""en"", ""fa"")
"),"موفقیت در ای بی")</f>
        <v>موفقیت در ای بی</v>
      </c>
      <c r="G7036" s="1" t="str">
        <f>IFERROR(__xludf.DUMMYFUNCTION("GOOGLETRANSLATE(C7036, ""en"", ""fa"")
"),"چگونه می توانم تصاویر محصول خود را برای جذب خریداران در eBay افزایش دهم؟")</f>
        <v>چگونه می توانم تصاویر محصول خود را برای جذب خریداران در eBay افزایش دهم؟</v>
      </c>
      <c r="H7036" s="1"/>
      <c r="I7036" s="1"/>
      <c r="J7036" s="1"/>
      <c r="K7036" s="1"/>
      <c r="L7036" s="1"/>
      <c r="M7036" s="1"/>
      <c r="N7036" s="1"/>
      <c r="O7036" s="1"/>
      <c r="P7036" s="1"/>
      <c r="Q7036" s="1"/>
      <c r="R7036" s="1"/>
      <c r="S7036" s="1"/>
      <c r="T7036" s="1"/>
      <c r="U7036" s="1"/>
      <c r="V7036" s="1"/>
      <c r="W7036" s="1"/>
      <c r="X7036" s="1"/>
      <c r="Y7036" s="1"/>
      <c r="Z7036" s="1"/>
      <c r="AA7036" s="1"/>
      <c r="AB7036" s="1"/>
    </row>
    <row r="7037" ht="50.25" customHeight="1">
      <c r="A7037" s="12">
        <v>7033.0</v>
      </c>
      <c r="B7037" s="13" t="s">
        <v>7028</v>
      </c>
      <c r="C7037" s="14" t="s">
        <v>7061</v>
      </c>
      <c r="D7037" s="1"/>
      <c r="E7037" s="1"/>
      <c r="F7037" s="1" t="str">
        <f>IFERROR(__xludf.DUMMYFUNCTION("GOOGLETRANSLATE(B7037, ""en"", ""fa"")
"),"موفقیت در ای بی")</f>
        <v>موفقیت در ای بی</v>
      </c>
      <c r="G7037" s="1" t="str">
        <f>IFERROR(__xludf.DUMMYFUNCTION("GOOGLETRANSLATE(C7037, ""en"", ""fa"")
"),"بهترین روش ها برای ایجاد یک گالری تصویری جذاب در eBay چیست؟")</f>
        <v>بهترین روش ها برای ایجاد یک گالری تصویری جذاب در eBay چیست؟</v>
      </c>
      <c r="H7037" s="1"/>
      <c r="I7037" s="1"/>
      <c r="J7037" s="1"/>
      <c r="K7037" s="1"/>
      <c r="L7037" s="1"/>
      <c r="M7037" s="1"/>
      <c r="N7037" s="1"/>
      <c r="O7037" s="1"/>
      <c r="P7037" s="1"/>
      <c r="Q7037" s="1"/>
      <c r="R7037" s="1"/>
      <c r="S7037" s="1"/>
      <c r="T7037" s="1"/>
      <c r="U7037" s="1"/>
      <c r="V7037" s="1"/>
      <c r="W7037" s="1"/>
      <c r="X7037" s="1"/>
      <c r="Y7037" s="1"/>
      <c r="Z7037" s="1"/>
      <c r="AA7037" s="1"/>
      <c r="AB7037" s="1"/>
    </row>
    <row r="7038" ht="50.25" customHeight="1">
      <c r="A7038" s="12">
        <v>7034.0</v>
      </c>
      <c r="B7038" s="13" t="s">
        <v>7028</v>
      </c>
      <c r="C7038" s="14" t="s">
        <v>7062</v>
      </c>
      <c r="D7038" s="1"/>
      <c r="E7038" s="1"/>
      <c r="F7038" s="1" t="str">
        <f>IFERROR(__xludf.DUMMYFUNCTION("GOOGLETRANSLATE(B7038, ""en"", ""fa"")
"),"موفقیت در ای بی")</f>
        <v>موفقیت در ای بی</v>
      </c>
      <c r="G7038" s="1" t="str">
        <f>IFERROR(__xludf.DUMMYFUNCTION("GOOGLETRANSLATE(C7038, ""en"", ""fa"")
"),"چگونه می توانم اطلاعات قیمت و حمل و نقل خود را در لیست eBay بهینه کنم؟")</f>
        <v>چگونه می توانم اطلاعات قیمت و حمل و نقل خود را در لیست eBay بهینه کنم؟</v>
      </c>
      <c r="H7038" s="1"/>
      <c r="I7038" s="1"/>
      <c r="J7038" s="1"/>
      <c r="K7038" s="1"/>
      <c r="L7038" s="1"/>
      <c r="M7038" s="1"/>
      <c r="N7038" s="1"/>
      <c r="O7038" s="1"/>
      <c r="P7038" s="1"/>
      <c r="Q7038" s="1"/>
      <c r="R7038" s="1"/>
      <c r="S7038" s="1"/>
      <c r="T7038" s="1"/>
      <c r="U7038" s="1"/>
      <c r="V7038" s="1"/>
      <c r="W7038" s="1"/>
      <c r="X7038" s="1"/>
      <c r="Y7038" s="1"/>
      <c r="Z7038" s="1"/>
      <c r="AA7038" s="1"/>
      <c r="AB7038" s="1"/>
    </row>
    <row r="7039" ht="50.25" customHeight="1">
      <c r="A7039" s="12">
        <v>7035.0</v>
      </c>
      <c r="B7039" s="13" t="s">
        <v>7028</v>
      </c>
      <c r="C7039" s="14" t="s">
        <v>7063</v>
      </c>
      <c r="D7039" s="1"/>
      <c r="E7039" s="1"/>
      <c r="F7039" s="1" t="str">
        <f>IFERROR(__xludf.DUMMYFUNCTION("GOOGLETRANSLATE(B7039, ""en"", ""fa"")
"),"موفقیت در ای بی")</f>
        <v>موفقیت در ای بی</v>
      </c>
      <c r="G7039" s="1" t="str">
        <f>IFERROR(__xludf.DUMMYFUNCTION("GOOGLETRANSLATE(C7039, ""en"", ""fa"")
"),"از چه استراتژی هایی می توانم برای استفاده مؤثر از ویژگی ها و ویژگی های موردی eBay استفاده کنم؟")</f>
        <v>از چه استراتژی هایی می توانم برای استفاده مؤثر از ویژگی ها و ویژگی های موردی eBay استفاده کنم؟</v>
      </c>
      <c r="H7039" s="1"/>
      <c r="I7039" s="1"/>
      <c r="J7039" s="1"/>
      <c r="K7039" s="1"/>
      <c r="L7039" s="1"/>
      <c r="M7039" s="1"/>
      <c r="N7039" s="1"/>
      <c r="O7039" s="1"/>
      <c r="P7039" s="1"/>
      <c r="Q7039" s="1"/>
      <c r="R7039" s="1"/>
      <c r="S7039" s="1"/>
      <c r="T7039" s="1"/>
      <c r="U7039" s="1"/>
      <c r="V7039" s="1"/>
      <c r="W7039" s="1"/>
      <c r="X7039" s="1"/>
      <c r="Y7039" s="1"/>
      <c r="Z7039" s="1"/>
      <c r="AA7039" s="1"/>
      <c r="AB7039" s="1"/>
    </row>
    <row r="7040" ht="50.25" customHeight="1">
      <c r="A7040" s="12">
        <v>7036.0</v>
      </c>
      <c r="B7040" s="13" t="s">
        <v>7028</v>
      </c>
      <c r="C7040" s="14" t="s">
        <v>7064</v>
      </c>
      <c r="D7040" s="1"/>
      <c r="E7040" s="1"/>
      <c r="F7040" s="1" t="str">
        <f>IFERROR(__xludf.DUMMYFUNCTION("GOOGLETRANSLATE(B7040, ""en"", ""fa"")
"),"موفقیت در ای بی")</f>
        <v>موفقیت در ای بی</v>
      </c>
      <c r="G7040" s="1" t="str">
        <f>IFERROR(__xludf.DUMMYFUNCTION("GOOGLETRANSLATE(C7040, ""en"", ""fa"")
"),"چگونه می توانم لیست eBay خود را برای کاربران تلفن همراه بهینه کنم؟")</f>
        <v>چگونه می توانم لیست eBay خود را برای کاربران تلفن همراه بهینه کنم؟</v>
      </c>
      <c r="H7040" s="1"/>
      <c r="I7040" s="1"/>
      <c r="J7040" s="1"/>
      <c r="K7040" s="1"/>
      <c r="L7040" s="1"/>
      <c r="M7040" s="1"/>
      <c r="N7040" s="1"/>
      <c r="O7040" s="1"/>
      <c r="P7040" s="1"/>
      <c r="Q7040" s="1"/>
      <c r="R7040" s="1"/>
      <c r="S7040" s="1"/>
      <c r="T7040" s="1"/>
      <c r="U7040" s="1"/>
      <c r="V7040" s="1"/>
      <c r="W7040" s="1"/>
      <c r="X7040" s="1"/>
      <c r="Y7040" s="1"/>
      <c r="Z7040" s="1"/>
      <c r="AA7040" s="1"/>
      <c r="AB7040" s="1"/>
    </row>
    <row r="7041" ht="50.25" customHeight="1">
      <c r="A7041" s="12">
        <v>7037.0</v>
      </c>
      <c r="B7041" s="13" t="s">
        <v>7028</v>
      </c>
      <c r="C7041" s="14" t="s">
        <v>7065</v>
      </c>
      <c r="D7041" s="1"/>
      <c r="E7041" s="1"/>
      <c r="F7041" s="1" t="str">
        <f>IFERROR(__xludf.DUMMYFUNCTION("GOOGLETRANSLATE(B7041, ""en"", ""fa"")
"),"موفقیت در ای بی")</f>
        <v>موفقیت در ای بی</v>
      </c>
      <c r="G7041" s="1" t="str">
        <f>IFERROR(__xludf.DUMMYFUNCTION("GOOGLETRANSLATE(C7041, ""en"", ""fa"")
"),"چند تکنیک موثر برای جلب اعتماد خریداران از طریق بررسی و رتبه بندی در eBay چیست؟")</f>
        <v>چند تکنیک موثر برای جلب اعتماد خریداران از طریق بررسی و رتبه بندی در eBay چیست؟</v>
      </c>
      <c r="H7041" s="1"/>
      <c r="I7041" s="1"/>
      <c r="J7041" s="1"/>
      <c r="K7041" s="1"/>
      <c r="L7041" s="1"/>
      <c r="M7041" s="1"/>
      <c r="N7041" s="1"/>
      <c r="O7041" s="1"/>
      <c r="P7041" s="1"/>
      <c r="Q7041" s="1"/>
      <c r="R7041" s="1"/>
      <c r="S7041" s="1"/>
      <c r="T7041" s="1"/>
      <c r="U7041" s="1"/>
      <c r="V7041" s="1"/>
      <c r="W7041" s="1"/>
      <c r="X7041" s="1"/>
      <c r="Y7041" s="1"/>
      <c r="Z7041" s="1"/>
      <c r="AA7041" s="1"/>
      <c r="AB7041" s="1"/>
    </row>
    <row r="7042" ht="50.25" customHeight="1">
      <c r="A7042" s="12">
        <v>7038.0</v>
      </c>
      <c r="B7042" s="13" t="s">
        <v>7028</v>
      </c>
      <c r="C7042" s="14" t="s">
        <v>7066</v>
      </c>
      <c r="D7042" s="1"/>
      <c r="E7042" s="1"/>
      <c r="F7042" s="1" t="str">
        <f>IFERROR(__xludf.DUMMYFUNCTION("GOOGLETRANSLATE(B7042, ""en"", ""fa"")
"),"موفقیت در ای بی")</f>
        <v>موفقیت در ای بی</v>
      </c>
      <c r="G7042" s="1" t="str">
        <f>IFERROR(__xludf.DUMMYFUNCTION("GOOGLETRANSLATE(C7042, ""en"", ""fa"")
"),"چگونه می توانم در فهرست eBay خود احساس فوریت ایجاد کنم تا تبدیل ها را افزایش دهم؟")</f>
        <v>چگونه می توانم در فهرست eBay خود احساس فوریت ایجاد کنم تا تبدیل ها را افزایش دهم؟</v>
      </c>
      <c r="H7042" s="1"/>
      <c r="I7042" s="1"/>
      <c r="J7042" s="1"/>
      <c r="K7042" s="1"/>
      <c r="L7042" s="1"/>
      <c r="M7042" s="1"/>
      <c r="N7042" s="1"/>
      <c r="O7042" s="1"/>
      <c r="P7042" s="1"/>
      <c r="Q7042" s="1"/>
      <c r="R7042" s="1"/>
      <c r="S7042" s="1"/>
      <c r="T7042" s="1"/>
      <c r="U7042" s="1"/>
      <c r="V7042" s="1"/>
      <c r="W7042" s="1"/>
      <c r="X7042" s="1"/>
      <c r="Y7042" s="1"/>
      <c r="Z7042" s="1"/>
      <c r="AA7042" s="1"/>
      <c r="AB7042" s="1"/>
    </row>
    <row r="7043" ht="50.25" customHeight="1">
      <c r="A7043" s="12">
        <v>7039.0</v>
      </c>
      <c r="B7043" s="13" t="s">
        <v>7028</v>
      </c>
      <c r="C7043" s="14" t="s">
        <v>7067</v>
      </c>
      <c r="D7043" s="1"/>
      <c r="E7043" s="1"/>
      <c r="F7043" s="1" t="str">
        <f>IFERROR(__xludf.DUMMYFUNCTION("GOOGLETRANSLATE(B7043, ""en"", ""fa"")
"),"موفقیت در ای بی")</f>
        <v>موفقیت در ای بی</v>
      </c>
      <c r="G7043" s="1" t="str">
        <f>IFERROR(__xludf.DUMMYFUNCTION("GOOGLETRANSLATE(C7043, ""en"", ""fa"")
"),"مزایای تبلیغات متقابل محصولات در فهرست eBay من چیست؟")</f>
        <v>مزایای تبلیغات متقابل محصولات در فهرست eBay من چیست؟</v>
      </c>
      <c r="H7043" s="1"/>
      <c r="I7043" s="1"/>
      <c r="J7043" s="1"/>
      <c r="K7043" s="1"/>
      <c r="L7043" s="1"/>
      <c r="M7043" s="1"/>
      <c r="N7043" s="1"/>
      <c r="O7043" s="1"/>
      <c r="P7043" s="1"/>
      <c r="Q7043" s="1"/>
      <c r="R7043" s="1"/>
      <c r="S7043" s="1"/>
      <c r="T7043" s="1"/>
      <c r="U7043" s="1"/>
      <c r="V7043" s="1"/>
      <c r="W7043" s="1"/>
      <c r="X7043" s="1"/>
      <c r="Y7043" s="1"/>
      <c r="Z7043" s="1"/>
      <c r="AA7043" s="1"/>
      <c r="AB7043" s="1"/>
    </row>
    <row r="7044" ht="50.25" customHeight="1">
      <c r="A7044" s="12">
        <v>7040.0</v>
      </c>
      <c r="B7044" s="13" t="s">
        <v>7028</v>
      </c>
      <c r="C7044" s="14" t="s">
        <v>7068</v>
      </c>
      <c r="D7044" s="1"/>
      <c r="E7044" s="1"/>
      <c r="F7044" s="1" t="str">
        <f>IFERROR(__xludf.DUMMYFUNCTION("GOOGLETRANSLATE(B7044, ""en"", ""fa"")
"),"موفقیت در ای بی")</f>
        <v>موفقیت در ای بی</v>
      </c>
      <c r="G7044" s="1" t="str">
        <f>IFERROR(__xludf.DUMMYFUNCTION("GOOGLETRANSLATE(C7044, ""en"", ""fa"")
"),"چگونه می توانم از ویژگی لیست های تبلیغاتی eBay برای افزایش دید و فروش استفاده کنم؟")</f>
        <v>چگونه می توانم از ویژگی لیست های تبلیغاتی eBay برای افزایش دید و فروش استفاده کنم؟</v>
      </c>
      <c r="H7044" s="1"/>
      <c r="I7044" s="1"/>
      <c r="J7044" s="1"/>
      <c r="K7044" s="1"/>
      <c r="L7044" s="1"/>
      <c r="M7044" s="1"/>
      <c r="N7044" s="1"/>
      <c r="O7044" s="1"/>
      <c r="P7044" s="1"/>
      <c r="Q7044" s="1"/>
      <c r="R7044" s="1"/>
      <c r="S7044" s="1"/>
      <c r="T7044" s="1"/>
      <c r="U7044" s="1"/>
      <c r="V7044" s="1"/>
      <c r="W7044" s="1"/>
      <c r="X7044" s="1"/>
      <c r="Y7044" s="1"/>
      <c r="Z7044" s="1"/>
      <c r="AA7044" s="1"/>
      <c r="AB7044" s="1"/>
    </row>
    <row r="7045" ht="50.25" customHeight="1">
      <c r="A7045" s="12">
        <v>7041.0</v>
      </c>
      <c r="B7045" s="13" t="s">
        <v>7028</v>
      </c>
      <c r="C7045" s="14" t="s">
        <v>7069</v>
      </c>
      <c r="D7045" s="1"/>
      <c r="E7045" s="1"/>
      <c r="F7045" s="1" t="str">
        <f>IFERROR(__xludf.DUMMYFUNCTION("GOOGLETRANSLATE(B7045, ""en"", ""fa"")
"),"موفقیت در ای بی")</f>
        <v>موفقیت در ای بی</v>
      </c>
      <c r="G7045" s="1" t="str">
        <f>IFERROR(__xludf.DUMMYFUNCTION("GOOGLETRANSLATE(C7045, ""en"", ""fa"")
"),"از چه استراتژی هایی می توانم برای آزمایش و بهبود عملکرد لیست eBay خود به طور مداوم استفاده کنم؟")</f>
        <v>از چه استراتژی هایی می توانم برای آزمایش و بهبود عملکرد لیست eBay خود به طور مداوم استفاده کنم؟</v>
      </c>
      <c r="H7045" s="1"/>
      <c r="I7045" s="1"/>
      <c r="J7045" s="1"/>
      <c r="K7045" s="1"/>
      <c r="L7045" s="1"/>
      <c r="M7045" s="1"/>
      <c r="N7045" s="1"/>
      <c r="O7045" s="1"/>
      <c r="P7045" s="1"/>
      <c r="Q7045" s="1"/>
      <c r="R7045" s="1"/>
      <c r="S7045" s="1"/>
      <c r="T7045" s="1"/>
      <c r="U7045" s="1"/>
      <c r="V7045" s="1"/>
      <c r="W7045" s="1"/>
      <c r="X7045" s="1"/>
      <c r="Y7045" s="1"/>
      <c r="Z7045" s="1"/>
      <c r="AA7045" s="1"/>
      <c r="AB7045" s="1"/>
    </row>
    <row r="7046" ht="50.25" customHeight="1">
      <c r="A7046" s="12">
        <v>7042.0</v>
      </c>
      <c r="B7046" s="13" t="s">
        <v>7028</v>
      </c>
      <c r="C7046" s="14" t="s">
        <v>7070</v>
      </c>
      <c r="D7046" s="1"/>
      <c r="E7046" s="1"/>
      <c r="F7046" s="1" t="str">
        <f>IFERROR(__xludf.DUMMYFUNCTION("GOOGLETRANSLATE(B7046, ""en"", ""fa"")
"),"موفقیت در ای بی")</f>
        <v>موفقیت در ای بی</v>
      </c>
      <c r="G7046" s="1" t="str">
        <f>IFERROR(__xludf.DUMMYFUNCTION("GOOGLETRANSLATE(C7046, ""en"", ""fa"")
"),"چگونه می توانم لیست eBay خود را برای یک دسته محصول یا جایگاه خاص بهینه کنم؟")</f>
        <v>چگونه می توانم لیست eBay خود را برای یک دسته محصول یا جایگاه خاص بهینه کنم؟</v>
      </c>
      <c r="H7046" s="1"/>
      <c r="I7046" s="1"/>
      <c r="J7046" s="1"/>
      <c r="K7046" s="1"/>
      <c r="L7046" s="1"/>
      <c r="M7046" s="1"/>
      <c r="N7046" s="1"/>
      <c r="O7046" s="1"/>
      <c r="P7046" s="1"/>
      <c r="Q7046" s="1"/>
      <c r="R7046" s="1"/>
      <c r="S7046" s="1"/>
      <c r="T7046" s="1"/>
      <c r="U7046" s="1"/>
      <c r="V7046" s="1"/>
      <c r="W7046" s="1"/>
      <c r="X7046" s="1"/>
      <c r="Y7046" s="1"/>
      <c r="Z7046" s="1"/>
      <c r="AA7046" s="1"/>
      <c r="AB7046" s="1"/>
    </row>
    <row r="7047" ht="50.25" customHeight="1">
      <c r="A7047" s="12">
        <v>7043.0</v>
      </c>
      <c r="B7047" s="13" t="s">
        <v>7028</v>
      </c>
      <c r="C7047" s="14" t="s">
        <v>7071</v>
      </c>
      <c r="D7047" s="1"/>
      <c r="E7047" s="1"/>
      <c r="F7047" s="1" t="str">
        <f>IFERROR(__xludf.DUMMYFUNCTION("GOOGLETRANSLATE(B7047, ""en"", ""fa"")
"),"موفقیت در ای بی")</f>
        <v>موفقیت در ای بی</v>
      </c>
      <c r="G7047" s="1" t="str">
        <f>IFERROR(__xludf.DUMMYFUNCTION("GOOGLETRANSLATE(C7047, ""en"", ""fa"")
"),"ملاحظات کلیدی برای فروش بین المللی در eBay و بهینه سازی لیست ها برای خریداران جهانی چیست؟")</f>
        <v>ملاحظات کلیدی برای فروش بین المللی در eBay و بهینه سازی لیست ها برای خریداران جهانی چیست؟</v>
      </c>
      <c r="H7047" s="1"/>
      <c r="I7047" s="1"/>
      <c r="J7047" s="1"/>
      <c r="K7047" s="1"/>
      <c r="L7047" s="1"/>
      <c r="M7047" s="1"/>
      <c r="N7047" s="1"/>
      <c r="O7047" s="1"/>
      <c r="P7047" s="1"/>
      <c r="Q7047" s="1"/>
      <c r="R7047" s="1"/>
      <c r="S7047" s="1"/>
      <c r="T7047" s="1"/>
      <c r="U7047" s="1"/>
      <c r="V7047" s="1"/>
      <c r="W7047" s="1"/>
      <c r="X7047" s="1"/>
      <c r="Y7047" s="1"/>
      <c r="Z7047" s="1"/>
      <c r="AA7047" s="1"/>
      <c r="AB7047" s="1"/>
    </row>
    <row r="7048" ht="50.25" customHeight="1">
      <c r="A7048" s="12">
        <v>7044.0</v>
      </c>
      <c r="B7048" s="13" t="s">
        <v>7028</v>
      </c>
      <c r="C7048" s="14" t="s">
        <v>7072</v>
      </c>
      <c r="D7048" s="1"/>
      <c r="E7048" s="1"/>
      <c r="F7048" s="1" t="str">
        <f>IFERROR(__xludf.DUMMYFUNCTION("GOOGLETRANSLATE(B7048, ""en"", ""fa"")
"),"موفقیت در ای بی")</f>
        <v>موفقیت در ای بی</v>
      </c>
      <c r="G7048" s="1" t="str">
        <f>IFERROR(__xludf.DUMMYFUNCTION("GOOGLETRANSLATE(C7048, ""en"", ""fa"")
"),"چگونه می توانم فروشگاه eBay خود را برای افزایش فروش و جذب مشتری بهینه کنم؟")</f>
        <v>چگونه می توانم فروشگاه eBay خود را برای افزایش فروش و جذب مشتری بهینه کنم؟</v>
      </c>
      <c r="H7048" s="1"/>
      <c r="I7048" s="1"/>
      <c r="J7048" s="1"/>
      <c r="K7048" s="1"/>
      <c r="L7048" s="1"/>
      <c r="M7048" s="1"/>
      <c r="N7048" s="1"/>
      <c r="O7048" s="1"/>
      <c r="P7048" s="1"/>
      <c r="Q7048" s="1"/>
      <c r="R7048" s="1"/>
      <c r="S7048" s="1"/>
      <c r="T7048" s="1"/>
      <c r="U7048" s="1"/>
      <c r="V7048" s="1"/>
      <c r="W7048" s="1"/>
      <c r="X7048" s="1"/>
      <c r="Y7048" s="1"/>
      <c r="Z7048" s="1"/>
      <c r="AA7048" s="1"/>
      <c r="AB7048" s="1"/>
    </row>
    <row r="7049" ht="50.25" customHeight="1">
      <c r="A7049" s="12">
        <v>7045.0</v>
      </c>
      <c r="B7049" s="13" t="s">
        <v>7028</v>
      </c>
      <c r="C7049" s="14" t="s">
        <v>7073</v>
      </c>
      <c r="D7049" s="1"/>
      <c r="E7049" s="1"/>
      <c r="F7049" s="1" t="str">
        <f>IFERROR(__xludf.DUMMYFUNCTION("GOOGLETRANSLATE(B7049, ""en"", ""fa"")
"),"موفقیت در ای بی")</f>
        <v>موفقیت در ای بی</v>
      </c>
      <c r="G7049" s="1" t="str">
        <f>IFERROR(__xludf.DUMMYFUNCTION("GOOGLETRANSLATE(C7049, ""en"", ""fa"")
"),"چند تکنیک موثر برای گنجاندن هشتگ های مرتبط در لیست eBay من چیست؟")</f>
        <v>چند تکنیک موثر برای گنجاندن هشتگ های مرتبط در لیست eBay من چیست؟</v>
      </c>
      <c r="H7049" s="1"/>
      <c r="I7049" s="1"/>
      <c r="J7049" s="1"/>
      <c r="K7049" s="1"/>
      <c r="L7049" s="1"/>
      <c r="M7049" s="1"/>
      <c r="N7049" s="1"/>
      <c r="O7049" s="1"/>
      <c r="P7049" s="1"/>
      <c r="Q7049" s="1"/>
      <c r="R7049" s="1"/>
      <c r="S7049" s="1"/>
      <c r="T7049" s="1"/>
      <c r="U7049" s="1"/>
      <c r="V7049" s="1"/>
      <c r="W7049" s="1"/>
      <c r="X7049" s="1"/>
      <c r="Y7049" s="1"/>
      <c r="Z7049" s="1"/>
      <c r="AA7049" s="1"/>
      <c r="AB7049" s="1"/>
    </row>
    <row r="7050" ht="50.25" customHeight="1">
      <c r="A7050" s="12">
        <v>7046.0</v>
      </c>
      <c r="B7050" s="13" t="s">
        <v>7028</v>
      </c>
      <c r="C7050" s="14" t="s">
        <v>7074</v>
      </c>
      <c r="D7050" s="1"/>
      <c r="E7050" s="1"/>
      <c r="F7050" s="1" t="str">
        <f>IFERROR(__xludf.DUMMYFUNCTION("GOOGLETRANSLATE(B7050, ""en"", ""fa"")
"),"موفقیت در ای بی")</f>
        <v>موفقیت در ای بی</v>
      </c>
      <c r="G7050" s="1" t="str">
        <f>IFERROR(__xludf.DUMMYFUNCTION("GOOGLETRANSLATE(C7050, ""en"", ""fa"")
"),"چگونه می توانم لیست های رقبای خود را تجزیه و تحلیل کنم تا بینش هایی برای بهینه سازی لیست خود به دست بیاورم؟")</f>
        <v>چگونه می توانم لیست های رقبای خود را تجزیه و تحلیل کنم تا بینش هایی برای بهینه سازی لیست خود به دست بیاورم؟</v>
      </c>
      <c r="H7050" s="1"/>
      <c r="I7050" s="1"/>
      <c r="J7050" s="1"/>
      <c r="K7050" s="1"/>
      <c r="L7050" s="1"/>
      <c r="M7050" s="1"/>
      <c r="N7050" s="1"/>
      <c r="O7050" s="1"/>
      <c r="P7050" s="1"/>
      <c r="Q7050" s="1"/>
      <c r="R7050" s="1"/>
      <c r="S7050" s="1"/>
      <c r="T7050" s="1"/>
      <c r="U7050" s="1"/>
      <c r="V7050" s="1"/>
      <c r="W7050" s="1"/>
      <c r="X7050" s="1"/>
      <c r="Y7050" s="1"/>
      <c r="Z7050" s="1"/>
      <c r="AA7050" s="1"/>
      <c r="AB7050" s="1"/>
    </row>
    <row r="7051" ht="50.25" customHeight="1">
      <c r="A7051" s="12">
        <v>7047.0</v>
      </c>
      <c r="B7051" s="13" t="s">
        <v>7028</v>
      </c>
      <c r="C7051" s="14" t="s">
        <v>7075</v>
      </c>
      <c r="D7051" s="1"/>
      <c r="E7051" s="1"/>
      <c r="F7051" s="1" t="str">
        <f>IFERROR(__xludf.DUMMYFUNCTION("GOOGLETRANSLATE(B7051, ""en"", ""fa"")
"),"موفقیت در ای بی")</f>
        <v>موفقیت در ای بی</v>
      </c>
      <c r="G7051" s="1" t="str">
        <f>IFERROR(__xludf.DUMMYFUNCTION("GOOGLETRANSLATE(C7051, ""en"", ""fa"")
"),"بهترین روش ها برای نوشتن بیانیه های دعوت به اقدام متقاعد کننده در فهرست eBay من چیست؟")</f>
        <v>بهترین روش ها برای نوشتن بیانیه های دعوت به اقدام متقاعد کننده در فهرست eBay من چیست؟</v>
      </c>
      <c r="H7051" s="1"/>
      <c r="I7051" s="1"/>
      <c r="J7051" s="1"/>
      <c r="K7051" s="1"/>
      <c r="L7051" s="1"/>
      <c r="M7051" s="1"/>
      <c r="N7051" s="1"/>
      <c r="O7051" s="1"/>
      <c r="P7051" s="1"/>
      <c r="Q7051" s="1"/>
      <c r="R7051" s="1"/>
      <c r="S7051" s="1"/>
      <c r="T7051" s="1"/>
      <c r="U7051" s="1"/>
      <c r="V7051" s="1"/>
      <c r="W7051" s="1"/>
      <c r="X7051" s="1"/>
      <c r="Y7051" s="1"/>
      <c r="Z7051" s="1"/>
      <c r="AA7051" s="1"/>
      <c r="AB7051" s="1"/>
    </row>
    <row r="7052" ht="50.25" customHeight="1">
      <c r="A7052" s="12">
        <v>7048.0</v>
      </c>
      <c r="B7052" s="13" t="s">
        <v>7028</v>
      </c>
      <c r="C7052" s="14" t="s">
        <v>7076</v>
      </c>
      <c r="D7052" s="1"/>
      <c r="E7052" s="1"/>
      <c r="F7052" s="1" t="str">
        <f>IFERROR(__xludf.DUMMYFUNCTION("GOOGLETRANSLATE(B7052, ""en"", ""fa"")
"),"موفقیت در ای بی")</f>
        <v>موفقیت در ای بی</v>
      </c>
      <c r="G7052" s="1" t="str">
        <f>IFERROR(__xludf.DUMMYFUNCTION("GOOGLETRANSLATE(C7052, ""en"", ""fa"")
"),"چگونه می توانم عناصر اثبات اجتماعی، مانند گواهی نامه ها یا تأییدیه ها را در فهرست eBay خود وارد کنم؟")</f>
        <v>چگونه می توانم عناصر اثبات اجتماعی، مانند گواهی نامه ها یا تأییدیه ها را در فهرست eBay خود وارد کنم؟</v>
      </c>
      <c r="H7052" s="1"/>
      <c r="I7052" s="1"/>
      <c r="J7052" s="1"/>
      <c r="K7052" s="1"/>
      <c r="L7052" s="1"/>
      <c r="M7052" s="1"/>
      <c r="N7052" s="1"/>
      <c r="O7052" s="1"/>
      <c r="P7052" s="1"/>
      <c r="Q7052" s="1"/>
      <c r="R7052" s="1"/>
      <c r="S7052" s="1"/>
      <c r="T7052" s="1"/>
      <c r="U7052" s="1"/>
      <c r="V7052" s="1"/>
      <c r="W7052" s="1"/>
      <c r="X7052" s="1"/>
      <c r="Y7052" s="1"/>
      <c r="Z7052" s="1"/>
      <c r="AA7052" s="1"/>
      <c r="AB7052" s="1"/>
    </row>
    <row r="7053" ht="50.25" customHeight="1">
      <c r="A7053" s="12">
        <v>7049.0</v>
      </c>
      <c r="B7053" s="13" t="s">
        <v>7028</v>
      </c>
      <c r="C7053" s="14" t="s">
        <v>7077</v>
      </c>
      <c r="D7053" s="1"/>
      <c r="E7053" s="1"/>
      <c r="F7053" s="1" t="str">
        <f>IFERROR(__xludf.DUMMYFUNCTION("GOOGLETRANSLATE(B7053, ""en"", ""fa"")
"),"موفقیت در ای بی")</f>
        <v>موفقیت در ای بی</v>
      </c>
      <c r="G7053" s="1" t="str">
        <f>IFERROR(__xludf.DUMMYFUNCTION("GOOGLETRANSLATE(C7053, ""en"", ""fa"")
"),"از چه استراتژی هایی می توانم برای بهینه سازی لیست eBay خود برای بهبود عملکرد در نتایج جستجوی گوگل استفاده کنم؟")</f>
        <v>از چه استراتژی هایی می توانم برای بهینه سازی لیست eBay خود برای بهبود عملکرد در نتایج جستجوی گوگل استفاده کنم؟</v>
      </c>
      <c r="H7053" s="1"/>
      <c r="I7053" s="1"/>
      <c r="J7053" s="1"/>
      <c r="K7053" s="1"/>
      <c r="L7053" s="1"/>
      <c r="M7053" s="1"/>
      <c r="N7053" s="1"/>
      <c r="O7053" s="1"/>
      <c r="P7053" s="1"/>
      <c r="Q7053" s="1"/>
      <c r="R7053" s="1"/>
      <c r="S7053" s="1"/>
      <c r="T7053" s="1"/>
      <c r="U7053" s="1"/>
      <c r="V7053" s="1"/>
      <c r="W7053" s="1"/>
      <c r="X7053" s="1"/>
      <c r="Y7053" s="1"/>
      <c r="Z7053" s="1"/>
      <c r="AA7053" s="1"/>
      <c r="AB7053" s="1"/>
    </row>
    <row r="7054" ht="50.25" customHeight="1">
      <c r="A7054" s="12">
        <v>7050.0</v>
      </c>
      <c r="B7054" s="13" t="s">
        <v>7028</v>
      </c>
      <c r="C7054" s="14" t="s">
        <v>7078</v>
      </c>
      <c r="D7054" s="1"/>
      <c r="E7054" s="1"/>
      <c r="F7054" s="1" t="str">
        <f>IFERROR(__xludf.DUMMYFUNCTION("GOOGLETRANSLATE(B7054, ""en"", ""fa"")
"),"موفقیت در ای بی")</f>
        <v>موفقیت در ای بی</v>
      </c>
      <c r="G7054" s="1" t="str">
        <f>IFERROR(__xludf.DUMMYFUNCTION("GOOGLETRANSLATE(C7054, ""en"", ""fa"")
"),"چگونه می توانم فهرست eBay خود را بهینه کنم تا با الگوریتم جستجوی بهترین تطابق eBay هماهنگ شود؟")</f>
        <v>چگونه می توانم فهرست eBay خود را بهینه کنم تا با الگوریتم جستجوی بهترین تطابق eBay هماهنگ شود؟</v>
      </c>
      <c r="H7054" s="1"/>
      <c r="I7054" s="1"/>
      <c r="J7054" s="1"/>
      <c r="K7054" s="1"/>
      <c r="L7054" s="1"/>
      <c r="M7054" s="1"/>
      <c r="N7054" s="1"/>
      <c r="O7054" s="1"/>
      <c r="P7054" s="1"/>
      <c r="Q7054" s="1"/>
      <c r="R7054" s="1"/>
      <c r="S7054" s="1"/>
      <c r="T7054" s="1"/>
      <c r="U7054" s="1"/>
      <c r="V7054" s="1"/>
      <c r="W7054" s="1"/>
      <c r="X7054" s="1"/>
      <c r="Y7054" s="1"/>
      <c r="Z7054" s="1"/>
      <c r="AA7054" s="1"/>
      <c r="AB7054" s="1"/>
    </row>
    <row r="7055" ht="50.25" customHeight="1">
      <c r="A7055" s="12">
        <v>7051.0</v>
      </c>
      <c r="B7055" s="13" t="s">
        <v>7028</v>
      </c>
      <c r="C7055" s="14" t="s">
        <v>7079</v>
      </c>
      <c r="D7055" s="1"/>
      <c r="E7055" s="1"/>
      <c r="F7055" s="1" t="str">
        <f>IFERROR(__xludf.DUMMYFUNCTION("GOOGLETRANSLATE(B7055, ""en"", ""fa"")
"),"موفقیت در ای بی")</f>
        <v>موفقیت در ای بی</v>
      </c>
      <c r="G7055" s="1" t="str">
        <f>IFERROR(__xludf.DUMMYFUNCTION("GOOGLETRANSLATE(C7055, ""en"", ""fa"")
"),"مزایای نوشتن عناوین جذاب محصولات در eBay چیست؟")</f>
        <v>مزایای نوشتن عناوین جذاب محصولات در eBay چیست؟</v>
      </c>
      <c r="H7055" s="1"/>
      <c r="I7055" s="1"/>
      <c r="J7055" s="1"/>
      <c r="K7055" s="1"/>
      <c r="L7055" s="1"/>
      <c r="M7055" s="1"/>
      <c r="N7055" s="1"/>
      <c r="O7055" s="1"/>
      <c r="P7055" s="1"/>
      <c r="Q7055" s="1"/>
      <c r="R7055" s="1"/>
      <c r="S7055" s="1"/>
      <c r="T7055" s="1"/>
      <c r="U7055" s="1"/>
      <c r="V7055" s="1"/>
      <c r="W7055" s="1"/>
      <c r="X7055" s="1"/>
      <c r="Y7055" s="1"/>
      <c r="Z7055" s="1"/>
      <c r="AA7055" s="1"/>
      <c r="AB7055" s="1"/>
    </row>
    <row r="7056" ht="50.25" customHeight="1">
      <c r="A7056" s="12">
        <v>7052.0</v>
      </c>
      <c r="B7056" s="13" t="s">
        <v>7028</v>
      </c>
      <c r="C7056" s="14" t="s">
        <v>7080</v>
      </c>
      <c r="D7056" s="1"/>
      <c r="E7056" s="1"/>
      <c r="F7056" s="1" t="str">
        <f>IFERROR(__xludf.DUMMYFUNCTION("GOOGLETRANSLATE(B7056, ""en"", ""fa"")
"),"موفقیت در ای بی")</f>
        <v>موفقیت در ای بی</v>
      </c>
      <c r="G7056" s="1" t="str">
        <f>IFERROR(__xludf.DUMMYFUNCTION("GOOGLETRANSLATE(C7056, ""en"", ""fa"")
"),"چگونه می توانم شرح فهرست eBay خود را برای وضوح و دقت بهتر بهینه کنم؟")</f>
        <v>چگونه می توانم شرح فهرست eBay خود را برای وضوح و دقت بهتر بهینه کنم؟</v>
      </c>
      <c r="H7056" s="1"/>
      <c r="I7056" s="1"/>
      <c r="J7056" s="1"/>
      <c r="K7056" s="1"/>
      <c r="L7056" s="1"/>
      <c r="M7056" s="1"/>
      <c r="N7056" s="1"/>
      <c r="O7056" s="1"/>
      <c r="P7056" s="1"/>
      <c r="Q7056" s="1"/>
      <c r="R7056" s="1"/>
      <c r="S7056" s="1"/>
      <c r="T7056" s="1"/>
      <c r="U7056" s="1"/>
      <c r="V7056" s="1"/>
      <c r="W7056" s="1"/>
      <c r="X7056" s="1"/>
      <c r="Y7056" s="1"/>
      <c r="Z7056" s="1"/>
      <c r="AA7056" s="1"/>
      <c r="AB7056" s="1"/>
    </row>
    <row r="7057" ht="50.25" customHeight="1">
      <c r="A7057" s="12">
        <v>7053.0</v>
      </c>
      <c r="B7057" s="13" t="s">
        <v>7028</v>
      </c>
      <c r="C7057" s="14" t="s">
        <v>7081</v>
      </c>
      <c r="D7057" s="1"/>
      <c r="E7057" s="1"/>
      <c r="F7057" s="1" t="str">
        <f>IFERROR(__xludf.DUMMYFUNCTION("GOOGLETRANSLATE(B7057, ""en"", ""fa"")
"),"موفقیت در ای بی")</f>
        <v>موفقیت در ای بی</v>
      </c>
      <c r="G7057" s="1" t="str">
        <f>IFERROR(__xludf.DUMMYFUNCTION("GOOGLETRANSLATE(C7057, ""en"", ""fa"")
"),"چه استراتژی هایی را می توانم برای بهبود نرخ کلیک و تعامل خریدار در فهرست eBay خود به کار بگیرم؟")</f>
        <v>چه استراتژی هایی را می توانم برای بهبود نرخ کلیک و تعامل خریدار در فهرست eBay خود به کار بگیرم؟</v>
      </c>
      <c r="H7057" s="1"/>
      <c r="I7057" s="1"/>
      <c r="J7057" s="1"/>
      <c r="K7057" s="1"/>
      <c r="L7057" s="1"/>
      <c r="M7057" s="1"/>
      <c r="N7057" s="1"/>
      <c r="O7057" s="1"/>
      <c r="P7057" s="1"/>
      <c r="Q7057" s="1"/>
      <c r="R7057" s="1"/>
      <c r="S7057" s="1"/>
      <c r="T7057" s="1"/>
      <c r="U7057" s="1"/>
      <c r="V7057" s="1"/>
      <c r="W7057" s="1"/>
      <c r="X7057" s="1"/>
      <c r="Y7057" s="1"/>
      <c r="Z7057" s="1"/>
      <c r="AA7057" s="1"/>
      <c r="AB7057" s="1"/>
    </row>
    <row r="7058" ht="50.25" customHeight="1">
      <c r="A7058" s="12">
        <v>7054.0</v>
      </c>
      <c r="B7058" s="13" t="s">
        <v>7028</v>
      </c>
      <c r="C7058" s="14" t="s">
        <v>7082</v>
      </c>
      <c r="D7058" s="1"/>
      <c r="E7058" s="1"/>
      <c r="F7058" s="1" t="str">
        <f>IFERROR(__xludf.DUMMYFUNCTION("GOOGLETRANSLATE(B7058, ""en"", ""fa"")
"),"موفقیت در ای بی")</f>
        <v>موفقیت در ای بی</v>
      </c>
      <c r="G7058" s="1" t="str">
        <f>IFERROR(__xludf.DUMMYFUNCTION("GOOGLETRANSLATE(C7058, ""en"", ""fa"")
"),"چگونه می توانم برای شناسایی عبارات مرتبط برای لیست eBay خود تحقیق کلمات کلیدی انجام دهم؟")</f>
        <v>چگونه می توانم برای شناسایی عبارات مرتبط برای لیست eBay خود تحقیق کلمات کلیدی انجام دهم؟</v>
      </c>
      <c r="H7058" s="1"/>
      <c r="I7058" s="1"/>
      <c r="J7058" s="1"/>
      <c r="K7058" s="1"/>
      <c r="L7058" s="1"/>
      <c r="M7058" s="1"/>
      <c r="N7058" s="1"/>
      <c r="O7058" s="1"/>
      <c r="P7058" s="1"/>
      <c r="Q7058" s="1"/>
      <c r="R7058" s="1"/>
      <c r="S7058" s="1"/>
      <c r="T7058" s="1"/>
      <c r="U7058" s="1"/>
      <c r="V7058" s="1"/>
      <c r="W7058" s="1"/>
      <c r="X7058" s="1"/>
      <c r="Y7058" s="1"/>
      <c r="Z7058" s="1"/>
      <c r="AA7058" s="1"/>
      <c r="AB7058" s="1"/>
    </row>
    <row r="7059" ht="50.25" customHeight="1">
      <c r="A7059" s="12">
        <v>7055.0</v>
      </c>
      <c r="B7059" s="13" t="s">
        <v>7028</v>
      </c>
      <c r="C7059" s="14" t="s">
        <v>7083</v>
      </c>
      <c r="D7059" s="1"/>
      <c r="E7059" s="1"/>
      <c r="F7059" s="1" t="str">
        <f>IFERROR(__xludf.DUMMYFUNCTION("GOOGLETRANSLATE(B7059, ""en"", ""fa"")
"),"موفقیت در ای بی")</f>
        <v>موفقیت در ای بی</v>
      </c>
      <c r="G7059" s="1" t="str">
        <f>IFERROR(__xludf.DUMMYFUNCTION("GOOGLETRANSLATE(C7059, ""en"", ""fa"")
"),"بهترین روش ها برای استفاده از تصاویر محصول با کیفیت بالا که کالای من را به طور موثر به نمایش می گذارد چیست؟")</f>
        <v>بهترین روش ها برای استفاده از تصاویر محصول با کیفیت بالا که کالای من را به طور موثر به نمایش می گذارد چیست؟</v>
      </c>
      <c r="H7059" s="1"/>
      <c r="I7059" s="1"/>
      <c r="J7059" s="1"/>
      <c r="K7059" s="1"/>
      <c r="L7059" s="1"/>
      <c r="M7059" s="1"/>
      <c r="N7059" s="1"/>
      <c r="O7059" s="1"/>
      <c r="P7059" s="1"/>
      <c r="Q7059" s="1"/>
      <c r="R7059" s="1"/>
      <c r="S7059" s="1"/>
      <c r="T7059" s="1"/>
      <c r="U7059" s="1"/>
      <c r="V7059" s="1"/>
      <c r="W7059" s="1"/>
      <c r="X7059" s="1"/>
      <c r="Y7059" s="1"/>
      <c r="Z7059" s="1"/>
      <c r="AA7059" s="1"/>
      <c r="AB7059" s="1"/>
    </row>
    <row r="7060" ht="50.25" customHeight="1">
      <c r="A7060" s="12">
        <v>7056.0</v>
      </c>
      <c r="B7060" s="13" t="s">
        <v>7028</v>
      </c>
      <c r="C7060" s="14" t="s">
        <v>7084</v>
      </c>
      <c r="D7060" s="1"/>
      <c r="E7060" s="1"/>
      <c r="F7060" s="1" t="str">
        <f>IFERROR(__xludf.DUMMYFUNCTION("GOOGLETRANSLATE(B7060, ""en"", ""fa"")
"),"موفقیت در ای بی")</f>
        <v>موفقیت در ای بی</v>
      </c>
      <c r="G7060" s="1" t="str">
        <f>IFERROR(__xludf.DUMMYFUNCTION("GOOGLETRANSLATE(C7060, ""en"", ""fa"")
"),"چگونه می توانم لیست eBay خود را برای سرعت بارگذاری سریعتر و عملکرد مطلوب بهینه کنم؟")</f>
        <v>چگونه می توانم لیست eBay خود را برای سرعت بارگذاری سریعتر و عملکرد مطلوب بهینه کنم؟</v>
      </c>
      <c r="H7060" s="1"/>
      <c r="I7060" s="1"/>
      <c r="J7060" s="1"/>
      <c r="K7060" s="1"/>
      <c r="L7060" s="1"/>
      <c r="M7060" s="1"/>
      <c r="N7060" s="1"/>
      <c r="O7060" s="1"/>
      <c r="P7060" s="1"/>
      <c r="Q7060" s="1"/>
      <c r="R7060" s="1"/>
      <c r="S7060" s="1"/>
      <c r="T7060" s="1"/>
      <c r="U7060" s="1"/>
      <c r="V7060" s="1"/>
      <c r="W7060" s="1"/>
      <c r="X7060" s="1"/>
      <c r="Y7060" s="1"/>
      <c r="Z7060" s="1"/>
      <c r="AA7060" s="1"/>
      <c r="AB7060" s="1"/>
    </row>
    <row r="7061" ht="50.25" customHeight="1">
      <c r="A7061" s="12">
        <v>7057.0</v>
      </c>
      <c r="B7061" s="13" t="s">
        <v>7028</v>
      </c>
      <c r="C7061" s="14" t="s">
        <v>7085</v>
      </c>
      <c r="D7061" s="1"/>
      <c r="E7061" s="1"/>
      <c r="F7061" s="1" t="str">
        <f>IFERROR(__xludf.DUMMYFUNCTION("GOOGLETRANSLATE(B7061, ""en"", ""fa"")
"),"موفقیت در ای بی")</f>
        <v>موفقیت در ای بی</v>
      </c>
      <c r="G7061" s="1" t="str">
        <f>IFERROR(__xludf.DUMMYFUNCTION("GOOGLETRANSLATE(C7061, ""en"", ""fa"")
"),"مزایای گنجاندن سیگنال های اعتماد در لیست eBay من چیست؟")</f>
        <v>مزایای گنجاندن سیگنال های اعتماد در لیست eBay من چیست؟</v>
      </c>
      <c r="H7061" s="1"/>
      <c r="I7061" s="1"/>
      <c r="J7061" s="1"/>
      <c r="K7061" s="1"/>
      <c r="L7061" s="1"/>
      <c r="M7061" s="1"/>
      <c r="N7061" s="1"/>
      <c r="O7061" s="1"/>
      <c r="P7061" s="1"/>
      <c r="Q7061" s="1"/>
      <c r="R7061" s="1"/>
      <c r="S7061" s="1"/>
      <c r="T7061" s="1"/>
      <c r="U7061" s="1"/>
      <c r="V7061" s="1"/>
      <c r="W7061" s="1"/>
      <c r="X7061" s="1"/>
      <c r="Y7061" s="1"/>
      <c r="Z7061" s="1"/>
      <c r="AA7061" s="1"/>
      <c r="AB7061" s="1"/>
    </row>
    <row r="7062" ht="50.25" customHeight="1">
      <c r="A7062" s="12">
        <v>7058.0</v>
      </c>
      <c r="B7062" s="13" t="s">
        <v>7028</v>
      </c>
      <c r="C7062" s="14" t="s">
        <v>7086</v>
      </c>
      <c r="D7062" s="1"/>
      <c r="E7062" s="1"/>
      <c r="F7062" s="1" t="str">
        <f>IFERROR(__xludf.DUMMYFUNCTION("GOOGLETRANSLATE(B7062, ""en"", ""fa"")
"),"موفقیت در ای بی")</f>
        <v>موفقیت در ای بی</v>
      </c>
      <c r="G7062" s="1" t="str">
        <f>IFERROR(__xludf.DUMMYFUNCTION("GOOGLETRANSLATE(C7062, ""en"", ""fa"")
"),"چگونه می توانم لیست eBay خود را برای بهبود عملکرد در بخش موارد مشابه و جستجوهای مرتبط eBay بهینه کنم؟")</f>
        <v>چگونه می توانم لیست eBay خود را برای بهبود عملکرد در بخش موارد مشابه و جستجوهای مرتبط eBay بهینه کنم؟</v>
      </c>
      <c r="H7062" s="1"/>
      <c r="I7062" s="1"/>
      <c r="J7062" s="1"/>
      <c r="K7062" s="1"/>
      <c r="L7062" s="1"/>
      <c r="M7062" s="1"/>
      <c r="N7062" s="1"/>
      <c r="O7062" s="1"/>
      <c r="P7062" s="1"/>
      <c r="Q7062" s="1"/>
      <c r="R7062" s="1"/>
      <c r="S7062" s="1"/>
      <c r="T7062" s="1"/>
      <c r="U7062" s="1"/>
      <c r="V7062" s="1"/>
      <c r="W7062" s="1"/>
      <c r="X7062" s="1"/>
      <c r="Y7062" s="1"/>
      <c r="Z7062" s="1"/>
      <c r="AA7062" s="1"/>
      <c r="AB7062" s="1"/>
    </row>
    <row r="7063" ht="50.25" customHeight="1">
      <c r="A7063" s="12">
        <v>7059.0</v>
      </c>
      <c r="B7063" s="13" t="s">
        <v>7028</v>
      </c>
      <c r="C7063" s="14" t="s">
        <v>7087</v>
      </c>
      <c r="D7063" s="1"/>
      <c r="E7063" s="1"/>
      <c r="F7063" s="1" t="str">
        <f>IFERROR(__xludf.DUMMYFUNCTION("GOOGLETRANSLATE(B7063, ""en"", ""fa"")
"),"موفقیت در ای بی")</f>
        <v>موفقیت در ای بی</v>
      </c>
      <c r="G7063" s="1" t="str">
        <f>IFERROR(__xludf.DUMMYFUNCTION("GOOGLETRANSLATE(C7063, ""en"", ""fa"")
"),"از چه استراتژی هایی می توانم برای بهینه سازی فهرست eBay خود برای افزایش دید در دسته های خاص eBay استفاده کنم؟")</f>
        <v>از چه استراتژی هایی می توانم برای بهینه سازی فهرست eBay خود برای افزایش دید در دسته های خاص eBay استفاده کنم؟</v>
      </c>
      <c r="H7063" s="1"/>
      <c r="I7063" s="1"/>
      <c r="J7063" s="1"/>
      <c r="K7063" s="1"/>
      <c r="L7063" s="1"/>
      <c r="M7063" s="1"/>
      <c r="N7063" s="1"/>
      <c r="O7063" s="1"/>
      <c r="P7063" s="1"/>
      <c r="Q7063" s="1"/>
      <c r="R7063" s="1"/>
      <c r="S7063" s="1"/>
      <c r="T7063" s="1"/>
      <c r="U7063" s="1"/>
      <c r="V7063" s="1"/>
      <c r="W7063" s="1"/>
      <c r="X7063" s="1"/>
      <c r="Y7063" s="1"/>
      <c r="Z7063" s="1"/>
      <c r="AA7063" s="1"/>
      <c r="AB7063" s="1"/>
    </row>
    <row r="7064" ht="50.25" customHeight="1">
      <c r="A7064" s="12">
        <v>7060.0</v>
      </c>
      <c r="B7064" s="13" t="s">
        <v>7028</v>
      </c>
      <c r="C7064" s="14" t="s">
        <v>7088</v>
      </c>
      <c r="D7064" s="1"/>
      <c r="E7064" s="1"/>
      <c r="F7064" s="1" t="str">
        <f>IFERROR(__xludf.DUMMYFUNCTION("GOOGLETRANSLATE(B7064, ""en"", ""fa"")
"),"موفقیت در ای بی")</f>
        <v>موفقیت در ای بی</v>
      </c>
      <c r="G7064" s="1" t="str">
        <f>IFERROR(__xludf.DUMMYFUNCTION("GOOGLETRANSLATE(C7064, ""en"", ""fa"")
"),"چگونه می توانم عناوین محصولات قانع کننده ای ایجاد کنم که از رقبا در eBay متمایز باشند؟")</f>
        <v>چگونه می توانم عناوین محصولات قانع کننده ای ایجاد کنم که از رقبا در eBay متمایز باشند؟</v>
      </c>
      <c r="H7064" s="1"/>
      <c r="I7064" s="1"/>
      <c r="J7064" s="1"/>
      <c r="K7064" s="1"/>
      <c r="L7064" s="1"/>
      <c r="M7064" s="1"/>
      <c r="N7064" s="1"/>
      <c r="O7064" s="1"/>
      <c r="P7064" s="1"/>
      <c r="Q7064" s="1"/>
      <c r="R7064" s="1"/>
      <c r="S7064" s="1"/>
      <c r="T7064" s="1"/>
      <c r="U7064" s="1"/>
      <c r="V7064" s="1"/>
      <c r="W7064" s="1"/>
      <c r="X7064" s="1"/>
      <c r="Y7064" s="1"/>
      <c r="Z7064" s="1"/>
      <c r="AA7064" s="1"/>
      <c r="AB7064" s="1"/>
    </row>
    <row r="7065" ht="50.25" customHeight="1">
      <c r="A7065" s="12">
        <v>7061.0</v>
      </c>
      <c r="B7065" s="13" t="s">
        <v>7028</v>
      </c>
      <c r="C7065" s="14" t="s">
        <v>7089</v>
      </c>
      <c r="D7065" s="1"/>
      <c r="E7065" s="1"/>
      <c r="F7065" s="1" t="str">
        <f>IFERROR(__xludf.DUMMYFUNCTION("GOOGLETRANSLATE(B7065, ""en"", ""fa"")
"),"موفقیت در ای بی")</f>
        <v>موفقیت در ای بی</v>
      </c>
      <c r="G7065" s="1" t="str">
        <f>IFERROR(__xludf.DUMMYFUNCTION("GOOGLETRANSLATE(C7065, ""en"", ""fa"")
"),"مزایای نوشتن توضیحات دقیق و آموزنده محصول در eBay چیست؟")</f>
        <v>مزایای نوشتن توضیحات دقیق و آموزنده محصول در eBay چیست؟</v>
      </c>
      <c r="H7065" s="1"/>
      <c r="I7065" s="1"/>
      <c r="J7065" s="1"/>
      <c r="K7065" s="1"/>
      <c r="L7065" s="1"/>
      <c r="M7065" s="1"/>
      <c r="N7065" s="1"/>
      <c r="O7065" s="1"/>
      <c r="P7065" s="1"/>
      <c r="Q7065" s="1"/>
      <c r="R7065" s="1"/>
      <c r="S7065" s="1"/>
      <c r="T7065" s="1"/>
      <c r="U7065" s="1"/>
      <c r="V7065" s="1"/>
      <c r="W7065" s="1"/>
      <c r="X7065" s="1"/>
      <c r="Y7065" s="1"/>
      <c r="Z7065" s="1"/>
      <c r="AA7065" s="1"/>
      <c r="AB7065" s="1"/>
    </row>
    <row r="7066" ht="50.25" customHeight="1">
      <c r="A7066" s="12">
        <v>7062.0</v>
      </c>
      <c r="B7066" s="13" t="s">
        <v>7028</v>
      </c>
      <c r="C7066" s="14" t="s">
        <v>7090</v>
      </c>
      <c r="D7066" s="1"/>
      <c r="E7066" s="1"/>
      <c r="F7066" s="1" t="str">
        <f>IFERROR(__xludf.DUMMYFUNCTION("GOOGLETRANSLATE(B7066, ""en"", ""fa"")
"),"موفقیت در ای بی")</f>
        <v>موفقیت در ای بی</v>
      </c>
      <c r="G7066" s="1" t="str">
        <f>IFERROR(__xludf.DUMMYFUNCTION("GOOGLETRANSLATE(C7066, ""en"", ""fa"")
"),"ملاحظات کلیدی برای بهینه‌سازی فهرست‌های eBay برای بهبود عملکرد در فیلترهای «تعاملات محلی» و «پیکاپ نزدیک» eBay چیست؟")</f>
        <v>ملاحظات کلیدی برای بهینه‌سازی فهرست‌های eBay برای بهبود عملکرد در فیلترهای «تعاملات محلی» و «پیکاپ نزدیک» eBay چیست؟</v>
      </c>
      <c r="H7066" s="1"/>
      <c r="I7066" s="1"/>
      <c r="J7066" s="1"/>
      <c r="K7066" s="1"/>
      <c r="L7066" s="1"/>
      <c r="M7066" s="1"/>
      <c r="N7066" s="1"/>
      <c r="O7066" s="1"/>
      <c r="P7066" s="1"/>
      <c r="Q7066" s="1"/>
      <c r="R7066" s="1"/>
      <c r="S7066" s="1"/>
      <c r="T7066" s="1"/>
      <c r="U7066" s="1"/>
      <c r="V7066" s="1"/>
      <c r="W7066" s="1"/>
      <c r="X7066" s="1"/>
      <c r="Y7066" s="1"/>
      <c r="Z7066" s="1"/>
      <c r="AA7066" s="1"/>
      <c r="AB7066" s="1"/>
    </row>
    <row r="7067" ht="50.25" customHeight="1">
      <c r="A7067" s="12">
        <v>7063.0</v>
      </c>
      <c r="B7067" s="13" t="s">
        <v>7028</v>
      </c>
      <c r="C7067" s="14" t="s">
        <v>7091</v>
      </c>
      <c r="D7067" s="1"/>
      <c r="E7067" s="1"/>
      <c r="F7067" s="1" t="str">
        <f>IFERROR(__xludf.DUMMYFUNCTION("GOOGLETRANSLATE(B7067, ""en"", ""fa"")
"),"موفقیت در ای بی")</f>
        <v>موفقیت در ای بی</v>
      </c>
      <c r="G7067" s="1" t="str">
        <f>IFERROR(__xludf.DUMMYFUNCTION("GOOGLETRANSLATE(C7067, ""en"", ""fa"")
"),"چگونه می توانم توضیحات لیست eBay را برای اسکن بهتر و شناسایی آسان اطلاعات کلیدی محصول بهینه کنم؟")</f>
        <v>چگونه می توانم توضیحات لیست eBay را برای اسکن بهتر و شناسایی آسان اطلاعات کلیدی محصول بهینه کنم؟</v>
      </c>
      <c r="H7067" s="1"/>
      <c r="I7067" s="1"/>
      <c r="J7067" s="1"/>
      <c r="K7067" s="1"/>
      <c r="L7067" s="1"/>
      <c r="M7067" s="1"/>
      <c r="N7067" s="1"/>
      <c r="O7067" s="1"/>
      <c r="P7067" s="1"/>
      <c r="Q7067" s="1"/>
      <c r="R7067" s="1"/>
      <c r="S7067" s="1"/>
      <c r="T7067" s="1"/>
      <c r="U7067" s="1"/>
      <c r="V7067" s="1"/>
      <c r="W7067" s="1"/>
      <c r="X7067" s="1"/>
      <c r="Y7067" s="1"/>
      <c r="Z7067" s="1"/>
      <c r="AA7067" s="1"/>
      <c r="AB7067" s="1"/>
    </row>
    <row r="7068" ht="50.25" customHeight="1">
      <c r="A7068" s="12">
        <v>7064.0</v>
      </c>
      <c r="B7068" s="13" t="s">
        <v>7028</v>
      </c>
      <c r="C7068" s="14" t="s">
        <v>7092</v>
      </c>
      <c r="D7068" s="1"/>
      <c r="E7068" s="1"/>
      <c r="F7068" s="1" t="str">
        <f>IFERROR(__xludf.DUMMYFUNCTION("GOOGLETRANSLATE(B7068, ""en"", ""fa"")
"),"موفقیت در ای بی")</f>
        <v>موفقیت در ای بی</v>
      </c>
      <c r="G7068" s="1" t="str">
        <f>IFERROR(__xludf.DUMMYFUNCTION("GOOGLETRANSLATE(C7068, ""en"", ""fa"")
"),"چه استراتژی‌هایی را می‌توانم برای بهینه‌سازی فهرست‌های eBay برای افزایش دیده شدن و رتبه‌بندی در بخش‌های «Hot This Week» و «Trending on eBay» eBay استفاده کنم؟")</f>
        <v>چه استراتژی‌هایی را می‌توانم برای بهینه‌سازی فهرست‌های eBay برای افزایش دیده شدن و رتبه‌بندی در بخش‌های «Hot This Week» و «Trending on eBay» eBay استفاده کنم؟</v>
      </c>
      <c r="H7068" s="1"/>
      <c r="I7068" s="1"/>
      <c r="J7068" s="1"/>
      <c r="K7068" s="1"/>
      <c r="L7068" s="1"/>
      <c r="M7068" s="1"/>
      <c r="N7068" s="1"/>
      <c r="O7068" s="1"/>
      <c r="P7068" s="1"/>
      <c r="Q7068" s="1"/>
      <c r="R7068" s="1"/>
      <c r="S7068" s="1"/>
      <c r="T7068" s="1"/>
      <c r="U7068" s="1"/>
      <c r="V7068" s="1"/>
      <c r="W7068" s="1"/>
      <c r="X7068" s="1"/>
      <c r="Y7068" s="1"/>
      <c r="Z7068" s="1"/>
      <c r="AA7068" s="1"/>
      <c r="AB7068" s="1"/>
    </row>
    <row r="7069" ht="50.25" customHeight="1">
      <c r="A7069" s="12">
        <v>7065.0</v>
      </c>
      <c r="B7069" s="13" t="s">
        <v>7028</v>
      </c>
      <c r="C7069" s="14" t="s">
        <v>7093</v>
      </c>
      <c r="D7069" s="1"/>
      <c r="E7069" s="1"/>
      <c r="F7069" s="1" t="str">
        <f>IFERROR(__xludf.DUMMYFUNCTION("GOOGLETRANSLATE(B7069, ""en"", ""fa"")
"),"موفقیت در ای بی")</f>
        <v>موفقیت در ای بی</v>
      </c>
      <c r="G7069" s="1" t="str">
        <f>IFERROR(__xludf.DUMMYFUNCTION("GOOGLETRANSLATE(C7069, ""en"", ""fa"")
"),"چگونه می توانم از بازخورد و رتبه بندی خریداران برای بهبود مستمر و بهینه سازی لیست های eBay خود استفاده کنم؟")</f>
        <v>چگونه می توانم از بازخورد و رتبه بندی خریداران برای بهبود مستمر و بهینه سازی لیست های eBay خود استفاده کنم؟</v>
      </c>
      <c r="H7069" s="1"/>
      <c r="I7069" s="1"/>
      <c r="J7069" s="1"/>
      <c r="K7069" s="1"/>
      <c r="L7069" s="1"/>
      <c r="M7069" s="1"/>
      <c r="N7069" s="1"/>
      <c r="O7069" s="1"/>
      <c r="P7069" s="1"/>
      <c r="Q7069" s="1"/>
      <c r="R7069" s="1"/>
      <c r="S7069" s="1"/>
      <c r="T7069" s="1"/>
      <c r="U7069" s="1"/>
      <c r="V7069" s="1"/>
      <c r="W7069" s="1"/>
      <c r="X7069" s="1"/>
      <c r="Y7069" s="1"/>
      <c r="Z7069" s="1"/>
      <c r="AA7069" s="1"/>
      <c r="AB7069" s="1"/>
    </row>
    <row r="7070" ht="50.25" customHeight="1">
      <c r="A7070" s="12">
        <v>7066.0</v>
      </c>
      <c r="B7070" s="13" t="s">
        <v>7028</v>
      </c>
      <c r="C7070" s="14" t="s">
        <v>7094</v>
      </c>
      <c r="D7070" s="1"/>
      <c r="E7070" s="1"/>
      <c r="F7070" s="1" t="str">
        <f>IFERROR(__xludf.DUMMYFUNCTION("GOOGLETRANSLATE(B7070, ""en"", ""fa"")
"),"موفقیت در ای بی")</f>
        <v>موفقیت در ای بی</v>
      </c>
      <c r="G7070" s="1" t="str">
        <f>IFERROR(__xludf.DUMMYFUNCTION("GOOGLETRANSLATE(C7070, ""en"", ""fa"")
"),"بهترین شیوه ها برای استفاده از زبان متقاعد کننده و عبارات سود محور در عناوین فهرست eBay چیست؟")</f>
        <v>بهترین شیوه ها برای استفاده از زبان متقاعد کننده و عبارات سود محور در عناوین فهرست eBay چیست؟</v>
      </c>
      <c r="H7070" s="1"/>
      <c r="I7070" s="1"/>
      <c r="J7070" s="1"/>
      <c r="K7070" s="1"/>
      <c r="L7070" s="1"/>
      <c r="M7070" s="1"/>
      <c r="N7070" s="1"/>
      <c r="O7070" s="1"/>
      <c r="P7070" s="1"/>
      <c r="Q7070" s="1"/>
      <c r="R7070" s="1"/>
      <c r="S7070" s="1"/>
      <c r="T7070" s="1"/>
      <c r="U7070" s="1"/>
      <c r="V7070" s="1"/>
      <c r="W7070" s="1"/>
      <c r="X7070" s="1"/>
      <c r="Y7070" s="1"/>
      <c r="Z7070" s="1"/>
      <c r="AA7070" s="1"/>
      <c r="AB7070" s="1"/>
    </row>
    <row r="7071" ht="50.25" customHeight="1">
      <c r="A7071" s="12">
        <v>7067.0</v>
      </c>
      <c r="B7071" s="13" t="s">
        <v>7028</v>
      </c>
      <c r="C7071" s="14" t="s">
        <v>7095</v>
      </c>
      <c r="D7071" s="1"/>
      <c r="E7071" s="1"/>
      <c r="F7071" s="1" t="str">
        <f>IFERROR(__xludf.DUMMYFUNCTION("GOOGLETRANSLATE(B7071, ""en"", ""fa"")
"),"موفقیت در ای بی")</f>
        <v>موفقیت در ای بی</v>
      </c>
      <c r="G7071" s="1" t="str">
        <f>IFERROR(__xludf.DUMMYFUNCTION("GOOGLETRANSLATE(C7071, ""en"", ""fa"")
"),"چگونه می‌توانم لیست‌های eBay را برای عملکرد بهتر در فیلترهای «تعاملات زمان محدود» و «فروش فلش» eBay بهینه کنم؟")</f>
        <v>چگونه می‌توانم لیست‌های eBay را برای عملکرد بهتر در فیلترهای «تعاملات زمان محدود» و «فروش فلش» eBay بهینه کنم؟</v>
      </c>
      <c r="H7071" s="1"/>
      <c r="I7071" s="1"/>
      <c r="J7071" s="1"/>
      <c r="K7071" s="1"/>
      <c r="L7071" s="1"/>
      <c r="M7071" s="1"/>
      <c r="N7071" s="1"/>
      <c r="O7071" s="1"/>
      <c r="P7071" s="1"/>
      <c r="Q7071" s="1"/>
      <c r="R7071" s="1"/>
      <c r="S7071" s="1"/>
      <c r="T7071" s="1"/>
      <c r="U7071" s="1"/>
      <c r="V7071" s="1"/>
      <c r="W7071" s="1"/>
      <c r="X7071" s="1"/>
      <c r="Y7071" s="1"/>
      <c r="Z7071" s="1"/>
      <c r="AA7071" s="1"/>
      <c r="AB7071" s="1"/>
    </row>
    <row r="7072" ht="50.25" customHeight="1">
      <c r="A7072" s="12">
        <v>7068.0</v>
      </c>
      <c r="B7072" s="13" t="s">
        <v>7028</v>
      </c>
      <c r="C7072" s="14" t="s">
        <v>7096</v>
      </c>
      <c r="D7072" s="1"/>
      <c r="E7072" s="1"/>
      <c r="F7072" s="1" t="str">
        <f>IFERROR(__xludf.DUMMYFUNCTION("GOOGLETRANSLATE(B7072, ""en"", ""fa"")
"),"موفقیت در ای بی")</f>
        <v>موفقیت در ای بی</v>
      </c>
      <c r="G7072" s="1" t="str">
        <f>IFERROR(__xludf.DUMMYFUNCTION("GOOGLETRANSLATE(C7072, ""en"", ""fa"")
"),"از چه استراتژی هایی می توانم برای بهینه سازی لیست های eBay برای افزایش اعتماد و اطمینان خریدار استفاده کنم؟")</f>
        <v>از چه استراتژی هایی می توانم برای بهینه سازی لیست های eBay برای افزایش اعتماد و اطمینان خریدار استفاده کنم؟</v>
      </c>
      <c r="H7072" s="1"/>
      <c r="I7072" s="1"/>
      <c r="J7072" s="1"/>
      <c r="K7072" s="1"/>
      <c r="L7072" s="1"/>
      <c r="M7072" s="1"/>
      <c r="N7072" s="1"/>
      <c r="O7072" s="1"/>
      <c r="P7072" s="1"/>
      <c r="Q7072" s="1"/>
      <c r="R7072" s="1"/>
      <c r="S7072" s="1"/>
      <c r="T7072" s="1"/>
      <c r="U7072" s="1"/>
      <c r="V7072" s="1"/>
      <c r="W7072" s="1"/>
      <c r="X7072" s="1"/>
      <c r="Y7072" s="1"/>
      <c r="Z7072" s="1"/>
      <c r="AA7072" s="1"/>
      <c r="AB7072" s="1"/>
    </row>
    <row r="7073" ht="50.25" customHeight="1">
      <c r="A7073" s="12">
        <v>7069.0</v>
      </c>
      <c r="B7073" s="13" t="s">
        <v>7028</v>
      </c>
      <c r="C7073" s="14" t="s">
        <v>7097</v>
      </c>
      <c r="D7073" s="1"/>
      <c r="E7073" s="1"/>
      <c r="F7073" s="1" t="str">
        <f>IFERROR(__xludf.DUMMYFUNCTION("GOOGLETRANSLATE(B7073, ""en"", ""fa"")
"),"موفقیت در ای بی")</f>
        <v>موفقیت در ای بی</v>
      </c>
      <c r="G7073" s="1" t="str">
        <f>IFERROR(__xludf.DUMMYFUNCTION("GOOGLETRANSLATE(C7073, ""en"", ""fa"")
"),"چگونه می توانم تکنیک های داستان سرایی و روایت های قانع کننده را در توضیحات فهرست eBay بگنجانم تا خریداران را درگیر کنم؟")</f>
        <v>چگونه می توانم تکنیک های داستان سرایی و روایت های قانع کننده را در توضیحات فهرست eBay بگنجانم تا خریداران را درگیر کنم؟</v>
      </c>
      <c r="H7073" s="1"/>
      <c r="I7073" s="1"/>
      <c r="J7073" s="1"/>
      <c r="K7073" s="1"/>
      <c r="L7073" s="1"/>
      <c r="M7073" s="1"/>
      <c r="N7073" s="1"/>
      <c r="O7073" s="1"/>
      <c r="P7073" s="1"/>
      <c r="Q7073" s="1"/>
      <c r="R7073" s="1"/>
      <c r="S7073" s="1"/>
      <c r="T7073" s="1"/>
      <c r="U7073" s="1"/>
      <c r="V7073" s="1"/>
      <c r="W7073" s="1"/>
      <c r="X7073" s="1"/>
      <c r="Y7073" s="1"/>
      <c r="Z7073" s="1"/>
      <c r="AA7073" s="1"/>
      <c r="AB7073" s="1"/>
    </row>
    <row r="7074" ht="50.25" customHeight="1">
      <c r="A7074" s="12">
        <v>7070.0</v>
      </c>
      <c r="B7074" s="13" t="s">
        <v>7028</v>
      </c>
      <c r="C7074" s="14" t="s">
        <v>7098</v>
      </c>
      <c r="D7074" s="1"/>
      <c r="E7074" s="1"/>
      <c r="F7074" s="1" t="str">
        <f>IFERROR(__xludf.DUMMYFUNCTION("GOOGLETRANSLATE(B7074, ""en"", ""fa"")
"),"موفقیت در ای بی")</f>
        <v>موفقیت در ای بی</v>
      </c>
      <c r="G7074" s="1" t="str">
        <f>IFERROR(__xludf.DUMMYFUNCTION("GOOGLETRANSLATE(C7074, ""en"", ""fa"")
"),"هنگام ایجاد تصاویر فهرست شده در eBay که ویژگی های محصول را به نمایش می گذارند، چه عناصر کلیدی را باید در نظر گرفت؟")</f>
        <v>هنگام ایجاد تصاویر فهرست شده در eBay که ویژگی های محصول را به نمایش می گذارند، چه عناصر کلیدی را باید در نظر گرفت؟</v>
      </c>
      <c r="H7074" s="1"/>
      <c r="I7074" s="1"/>
      <c r="J7074" s="1"/>
      <c r="K7074" s="1"/>
      <c r="L7074" s="1"/>
      <c r="M7074" s="1"/>
      <c r="N7074" s="1"/>
      <c r="O7074" s="1"/>
      <c r="P7074" s="1"/>
      <c r="Q7074" s="1"/>
      <c r="R7074" s="1"/>
      <c r="S7074" s="1"/>
      <c r="T7074" s="1"/>
      <c r="U7074" s="1"/>
      <c r="V7074" s="1"/>
      <c r="W7074" s="1"/>
      <c r="X7074" s="1"/>
      <c r="Y7074" s="1"/>
      <c r="Z7074" s="1"/>
      <c r="AA7074" s="1"/>
      <c r="AB7074" s="1"/>
    </row>
    <row r="7075" ht="50.25" customHeight="1">
      <c r="A7075" s="12">
        <v>7071.0</v>
      </c>
      <c r="B7075" s="13" t="s">
        <v>7028</v>
      </c>
      <c r="C7075" s="14" t="s">
        <v>7099</v>
      </c>
      <c r="D7075" s="1"/>
      <c r="E7075" s="1"/>
      <c r="F7075" s="1" t="str">
        <f>IFERROR(__xludf.DUMMYFUNCTION("GOOGLETRANSLATE(B7075, ""en"", ""fa"")
"),"موفقیت در ای بی")</f>
        <v>موفقیت در ای بی</v>
      </c>
      <c r="G7075" s="1" t="str">
        <f>IFERROR(__xludf.DUMMYFUNCTION("GOOGLETRANSLATE(C7075, ""en"", ""fa"")
"),"چگونه می‌توانم فهرست‌های eBay را برای عملکرد بهتر در فیلترهای «Top Rated Plus» و «30-Day Returns» eBay بهینه کنم؟")</f>
        <v>چگونه می‌توانم فهرست‌های eBay را برای عملکرد بهتر در فیلترهای «Top Rated Plus» و «30-Day Returns» eBay بهینه کنم؟</v>
      </c>
      <c r="H7075" s="1"/>
      <c r="I7075" s="1"/>
      <c r="J7075" s="1"/>
      <c r="K7075" s="1"/>
      <c r="L7075" s="1"/>
      <c r="M7075" s="1"/>
      <c r="N7075" s="1"/>
      <c r="O7075" s="1"/>
      <c r="P7075" s="1"/>
      <c r="Q7075" s="1"/>
      <c r="R7075" s="1"/>
      <c r="S7075" s="1"/>
      <c r="T7075" s="1"/>
      <c r="U7075" s="1"/>
      <c r="V7075" s="1"/>
      <c r="W7075" s="1"/>
      <c r="X7075" s="1"/>
      <c r="Y7075" s="1"/>
      <c r="Z7075" s="1"/>
      <c r="AA7075" s="1"/>
      <c r="AB7075" s="1"/>
    </row>
    <row r="7076" ht="50.25" customHeight="1">
      <c r="A7076" s="12">
        <v>7072.0</v>
      </c>
      <c r="B7076" s="13" t="s">
        <v>7028</v>
      </c>
      <c r="C7076" s="14" t="s">
        <v>7100</v>
      </c>
      <c r="D7076" s="1"/>
      <c r="E7076" s="1"/>
      <c r="F7076" s="1" t="str">
        <f>IFERROR(__xludf.DUMMYFUNCTION("GOOGLETRANSLATE(B7076, ""en"", ""fa"")
"),"موفقیت در ای بی")</f>
        <v>موفقیت در ای بی</v>
      </c>
      <c r="G7076" s="1" t="str">
        <f>IFERROR(__xludf.DUMMYFUNCTION("GOOGLETRANSLATE(C7076, ""en"", ""fa"")
"),"چه استراتژی هایی را می توانم برای بهینه سازی لیست های eBay برای نرخ تبدیل بالاتر و بهبود عملکرد فروش به کار بگیرم؟")</f>
        <v>چه استراتژی هایی را می توانم برای بهینه سازی لیست های eBay برای نرخ تبدیل بالاتر و بهبود عملکرد فروش به کار بگیرم؟</v>
      </c>
      <c r="H7076" s="1"/>
      <c r="I7076" s="1"/>
      <c r="J7076" s="1"/>
      <c r="K7076" s="1"/>
      <c r="L7076" s="1"/>
      <c r="M7076" s="1"/>
      <c r="N7076" s="1"/>
      <c r="O7076" s="1"/>
      <c r="P7076" s="1"/>
      <c r="Q7076" s="1"/>
      <c r="R7076" s="1"/>
      <c r="S7076" s="1"/>
      <c r="T7076" s="1"/>
      <c r="U7076" s="1"/>
      <c r="V7076" s="1"/>
      <c r="W7076" s="1"/>
      <c r="X7076" s="1"/>
      <c r="Y7076" s="1"/>
      <c r="Z7076" s="1"/>
      <c r="AA7076" s="1"/>
      <c r="AB7076" s="1"/>
    </row>
    <row r="7077" ht="50.25" customHeight="1">
      <c r="A7077" s="12">
        <v>7073.0</v>
      </c>
      <c r="B7077" s="13" t="s">
        <v>7028</v>
      </c>
      <c r="C7077" s="14" t="s">
        <v>7101</v>
      </c>
      <c r="D7077" s="1"/>
      <c r="E7077" s="1"/>
      <c r="F7077" s="1" t="str">
        <f>IFERROR(__xludf.DUMMYFUNCTION("GOOGLETRANSLATE(B7077, ""en"", ""fa"")
"),"موفقیت در ای بی")</f>
        <v>موفقیت در ای بی</v>
      </c>
      <c r="G7077" s="1" t="str">
        <f>IFERROR(__xludf.DUMMYFUNCTION("GOOGLETRANSLATE(C7077, ""en"", ""fa"")
"),"چه عناصر ضروری را باید در عنوان فهرست eBay جلب توجه کرد؟")</f>
        <v>چه عناصر ضروری را باید در عنوان فهرست eBay جلب توجه کرد؟</v>
      </c>
      <c r="H7077" s="1"/>
      <c r="I7077" s="1"/>
      <c r="J7077" s="1"/>
      <c r="K7077" s="1"/>
      <c r="L7077" s="1"/>
      <c r="M7077" s="1"/>
      <c r="N7077" s="1"/>
      <c r="O7077" s="1"/>
      <c r="P7077" s="1"/>
      <c r="Q7077" s="1"/>
      <c r="R7077" s="1"/>
      <c r="S7077" s="1"/>
      <c r="T7077" s="1"/>
      <c r="U7077" s="1"/>
      <c r="V7077" s="1"/>
      <c r="W7077" s="1"/>
      <c r="X7077" s="1"/>
      <c r="Y7077" s="1"/>
      <c r="Z7077" s="1"/>
      <c r="AA7077" s="1"/>
      <c r="AB7077" s="1"/>
    </row>
    <row r="7078" ht="50.25" customHeight="1">
      <c r="A7078" s="12">
        <v>7074.0</v>
      </c>
      <c r="B7078" s="13" t="s">
        <v>7028</v>
      </c>
      <c r="C7078" s="14" t="s">
        <v>7102</v>
      </c>
      <c r="D7078" s="1"/>
      <c r="E7078" s="1"/>
      <c r="F7078" s="1" t="str">
        <f>IFERROR(__xludf.DUMMYFUNCTION("GOOGLETRANSLATE(B7078, ""en"", ""fa"")
"),"موفقیت در ای بی")</f>
        <v>موفقیت در ای بی</v>
      </c>
      <c r="G7078" s="1" t="str">
        <f>IFERROR(__xludf.DUMMYFUNCTION("GOOGLETRANSLATE(C7078, ""en"", ""fa"")
"),"چگونه می توانم توضیحات محصول قانع کننده ای بنویسم که اطلاعات دقیقی را ارائه کند و خریداران را ترغیب کند؟")</f>
        <v>چگونه می توانم توضیحات محصول قانع کننده ای بنویسم که اطلاعات دقیقی را ارائه کند و خریداران را ترغیب کند؟</v>
      </c>
      <c r="H7078" s="1"/>
      <c r="I7078" s="1"/>
      <c r="J7078" s="1"/>
      <c r="K7078" s="1"/>
      <c r="L7078" s="1"/>
      <c r="M7078" s="1"/>
      <c r="N7078" s="1"/>
      <c r="O7078" s="1"/>
      <c r="P7078" s="1"/>
      <c r="Q7078" s="1"/>
      <c r="R7078" s="1"/>
      <c r="S7078" s="1"/>
      <c r="T7078" s="1"/>
      <c r="U7078" s="1"/>
      <c r="V7078" s="1"/>
      <c r="W7078" s="1"/>
      <c r="X7078" s="1"/>
      <c r="Y7078" s="1"/>
      <c r="Z7078" s="1"/>
      <c r="AA7078" s="1"/>
      <c r="AB7078" s="1"/>
    </row>
    <row r="7079" ht="50.25" customHeight="1">
      <c r="A7079" s="12">
        <v>7075.0</v>
      </c>
      <c r="B7079" s="13" t="s">
        <v>7028</v>
      </c>
      <c r="C7079" s="14" t="s">
        <v>7103</v>
      </c>
      <c r="D7079" s="1"/>
      <c r="E7079" s="1"/>
      <c r="F7079" s="1" t="str">
        <f>IFERROR(__xludf.DUMMYFUNCTION("GOOGLETRANSLATE(B7079, ""en"", ""fa"")
"),"موفقیت در ای بی")</f>
        <v>موفقیت در ای بی</v>
      </c>
      <c r="G7079" s="1" t="str">
        <f>IFERROR(__xludf.DUMMYFUNCTION("GOOGLETRANSLATE(C7079, ""en"", ""fa"")
"),"از چه استراتژی هایی می توانم برای بهینه سازی لیست eBay خود برای مشاهده موتورهای جستجو استفاده کنم؟")</f>
        <v>از چه استراتژی هایی می توانم برای بهینه سازی لیست eBay خود برای مشاهده موتورهای جستجو استفاده کنم؟</v>
      </c>
      <c r="H7079" s="1"/>
      <c r="I7079" s="1"/>
      <c r="J7079" s="1"/>
      <c r="K7079" s="1"/>
      <c r="L7079" s="1"/>
      <c r="M7079" s="1"/>
      <c r="N7079" s="1"/>
      <c r="O7079" s="1"/>
      <c r="P7079" s="1"/>
      <c r="Q7079" s="1"/>
      <c r="R7079" s="1"/>
      <c r="S7079" s="1"/>
      <c r="T7079" s="1"/>
      <c r="U7079" s="1"/>
      <c r="V7079" s="1"/>
      <c r="W7079" s="1"/>
      <c r="X7079" s="1"/>
      <c r="Y7079" s="1"/>
      <c r="Z7079" s="1"/>
      <c r="AA7079" s="1"/>
      <c r="AB7079" s="1"/>
    </row>
    <row r="7080" ht="50.25" customHeight="1">
      <c r="A7080" s="12">
        <v>7076.0</v>
      </c>
      <c r="B7080" s="13" t="s">
        <v>7028</v>
      </c>
      <c r="C7080" s="14" t="s">
        <v>7104</v>
      </c>
      <c r="D7080" s="1"/>
      <c r="E7080" s="1"/>
      <c r="F7080" s="1" t="str">
        <f>IFERROR(__xludf.DUMMYFUNCTION("GOOGLETRANSLATE(B7080, ""en"", ""fa"")
"),"موفقیت در ای بی")</f>
        <v>موفقیت در ای بی</v>
      </c>
      <c r="G7080" s="1" t="str">
        <f>IFERROR(__xludf.DUMMYFUNCTION("GOOGLETRANSLATE(C7080, ""en"", ""fa"")
"),"چگونه می توانم کلمات کلیدی و عبارات کلیدی مرتبط را در لیست eBay خود برای بهبود رتبه بندی جستجو بگنجانم؟")</f>
        <v>چگونه می توانم کلمات کلیدی و عبارات کلیدی مرتبط را در لیست eBay خود برای بهبود رتبه بندی جستجو بگنجانم؟</v>
      </c>
      <c r="H7080" s="1"/>
      <c r="I7080" s="1"/>
      <c r="J7080" s="1"/>
      <c r="K7080" s="1"/>
      <c r="L7080" s="1"/>
      <c r="M7080" s="1"/>
      <c r="N7080" s="1"/>
      <c r="O7080" s="1"/>
      <c r="P7080" s="1"/>
      <c r="Q7080" s="1"/>
      <c r="R7080" s="1"/>
      <c r="S7080" s="1"/>
      <c r="T7080" s="1"/>
      <c r="U7080" s="1"/>
      <c r="V7080" s="1"/>
      <c r="W7080" s="1"/>
      <c r="X7080" s="1"/>
      <c r="Y7080" s="1"/>
      <c r="Z7080" s="1"/>
      <c r="AA7080" s="1"/>
      <c r="AB7080" s="1"/>
    </row>
    <row r="7081" ht="50.25" customHeight="1">
      <c r="A7081" s="12">
        <v>7077.0</v>
      </c>
      <c r="B7081" s="13" t="s">
        <v>7028</v>
      </c>
      <c r="C7081" s="14" t="s">
        <v>7105</v>
      </c>
      <c r="D7081" s="1"/>
      <c r="E7081" s="1"/>
      <c r="F7081" s="1" t="str">
        <f>IFERROR(__xludf.DUMMYFUNCTION("GOOGLETRANSLATE(B7081, ""en"", ""fa"")
"),"موفقیت در ای بی")</f>
        <v>موفقیت در ای بی</v>
      </c>
      <c r="G7081" s="1" t="str">
        <f>IFERROR(__xludf.DUMMYFUNCTION("GOOGLETRANSLATE(C7081, ""en"", ""fa"")
"),"چند تکنیک موثر برای قالب بندی و ساختاربندی توضیحات فهرست eBay برای خوانایی بهتر چیست؟")</f>
        <v>چند تکنیک موثر برای قالب بندی و ساختاربندی توضیحات فهرست eBay برای خوانایی بهتر چیست؟</v>
      </c>
      <c r="H7081" s="1"/>
      <c r="I7081" s="1"/>
      <c r="J7081" s="1"/>
      <c r="K7081" s="1"/>
      <c r="L7081" s="1"/>
      <c r="M7081" s="1"/>
      <c r="N7081" s="1"/>
      <c r="O7081" s="1"/>
      <c r="P7081" s="1"/>
      <c r="Q7081" s="1"/>
      <c r="R7081" s="1"/>
      <c r="S7081" s="1"/>
      <c r="T7081" s="1"/>
      <c r="U7081" s="1"/>
      <c r="V7081" s="1"/>
      <c r="W7081" s="1"/>
      <c r="X7081" s="1"/>
      <c r="Y7081" s="1"/>
      <c r="Z7081" s="1"/>
      <c r="AA7081" s="1"/>
      <c r="AB7081" s="1"/>
    </row>
    <row r="7082" ht="50.25" customHeight="1">
      <c r="A7082" s="12">
        <v>7078.0</v>
      </c>
      <c r="B7082" s="13" t="s">
        <v>7028</v>
      </c>
      <c r="C7082" s="14" t="s">
        <v>7106</v>
      </c>
      <c r="D7082" s="1"/>
      <c r="E7082" s="1"/>
      <c r="F7082" s="1" t="str">
        <f>IFERROR(__xludf.DUMMYFUNCTION("GOOGLETRANSLATE(B7082, ""en"", ""fa"")
"),"موفقیت در ای بی")</f>
        <v>موفقیت در ای بی</v>
      </c>
      <c r="G7082" s="1" t="str">
        <f>IFERROR(__xludf.DUMMYFUNCTION("GOOGLETRANSLATE(C7082, ""en"", ""fa"")
"),"چگونه می توانم از نقاط گلوله و قالب بندی مختصر برای برجسته کردن ویژگی ها و مزایای کلیدی در لیست های eBay خود استفاده کنم؟")</f>
        <v>چگونه می توانم از نقاط گلوله و قالب بندی مختصر برای برجسته کردن ویژگی ها و مزایای کلیدی در لیست های eBay خود استفاده کنم؟</v>
      </c>
      <c r="H7082" s="1"/>
      <c r="I7082" s="1"/>
      <c r="J7082" s="1"/>
      <c r="K7082" s="1"/>
      <c r="L7082" s="1"/>
      <c r="M7082" s="1"/>
      <c r="N7082" s="1"/>
      <c r="O7082" s="1"/>
      <c r="P7082" s="1"/>
      <c r="Q7082" s="1"/>
      <c r="R7082" s="1"/>
      <c r="S7082" s="1"/>
      <c r="T7082" s="1"/>
      <c r="U7082" s="1"/>
      <c r="V7082" s="1"/>
      <c r="W7082" s="1"/>
      <c r="X7082" s="1"/>
      <c r="Y7082" s="1"/>
      <c r="Z7082" s="1"/>
      <c r="AA7082" s="1"/>
      <c r="AB7082" s="1"/>
    </row>
    <row r="7083" ht="50.25" customHeight="1">
      <c r="A7083" s="12">
        <v>7079.0</v>
      </c>
      <c r="B7083" s="13" t="s">
        <v>7028</v>
      </c>
      <c r="C7083" s="14" t="s">
        <v>7107</v>
      </c>
      <c r="D7083" s="1"/>
      <c r="E7083" s="1"/>
      <c r="F7083" s="1" t="str">
        <f>IFERROR(__xludf.DUMMYFUNCTION("GOOGLETRANSLATE(B7083, ""en"", ""fa"")
"),"موفقیت در ای بی")</f>
        <v>موفقیت در ای بی</v>
      </c>
      <c r="G7083" s="1" t="str">
        <f>IFERROR(__xludf.DUMMYFUNCTION("GOOGLETRANSLATE(C7083, ""en"", ""fa"")
"),"بهترین روش ها برای بهینه سازی تصاویر محصول در لیست های eBay برای جلب توجه خریداران چیست؟")</f>
        <v>بهترین روش ها برای بهینه سازی تصاویر محصول در لیست های eBay برای جلب توجه خریداران چیست؟</v>
      </c>
      <c r="H7083" s="1"/>
      <c r="I7083" s="1"/>
      <c r="J7083" s="1"/>
      <c r="K7083" s="1"/>
      <c r="L7083" s="1"/>
      <c r="M7083" s="1"/>
      <c r="N7083" s="1"/>
      <c r="O7083" s="1"/>
      <c r="P7083" s="1"/>
      <c r="Q7083" s="1"/>
      <c r="R7083" s="1"/>
      <c r="S7083" s="1"/>
      <c r="T7083" s="1"/>
      <c r="U7083" s="1"/>
      <c r="V7083" s="1"/>
      <c r="W7083" s="1"/>
      <c r="X7083" s="1"/>
      <c r="Y7083" s="1"/>
      <c r="Z7083" s="1"/>
      <c r="AA7083" s="1"/>
      <c r="AB7083" s="1"/>
    </row>
    <row r="7084" ht="50.25" customHeight="1">
      <c r="A7084" s="12">
        <v>7080.0</v>
      </c>
      <c r="B7084" s="13" t="s">
        <v>7028</v>
      </c>
      <c r="C7084" s="14" t="s">
        <v>7108</v>
      </c>
      <c r="D7084" s="1"/>
      <c r="E7084" s="1"/>
      <c r="F7084" s="1" t="str">
        <f>IFERROR(__xludf.DUMMYFUNCTION("GOOGLETRANSLATE(B7084, ""en"", ""fa"")
"),"موفقیت در ای بی")</f>
        <v>موفقیت در ای بی</v>
      </c>
      <c r="G7084" s="1" t="str">
        <f>IFERROR(__xludf.DUMMYFUNCTION("GOOGLETRANSLATE(C7084, ""en"", ""fa"")
"),"چگونه می‌توانم گالری‌های تصویری محصول جذابی ایجاد کنم که زوایای مختلف و تغییرات را به نمایش بگذارد؟")</f>
        <v>چگونه می‌توانم گالری‌های تصویری محصول جذابی ایجاد کنم که زوایای مختلف و تغییرات را به نمایش بگذارد؟</v>
      </c>
      <c r="H7084" s="1"/>
      <c r="I7084" s="1"/>
      <c r="J7084" s="1"/>
      <c r="K7084" s="1"/>
      <c r="L7084" s="1"/>
      <c r="M7084" s="1"/>
      <c r="N7084" s="1"/>
      <c r="O7084" s="1"/>
      <c r="P7084" s="1"/>
      <c r="Q7084" s="1"/>
      <c r="R7084" s="1"/>
      <c r="S7084" s="1"/>
      <c r="T7084" s="1"/>
      <c r="U7084" s="1"/>
      <c r="V7084" s="1"/>
      <c r="W7084" s="1"/>
      <c r="X7084" s="1"/>
      <c r="Y7084" s="1"/>
      <c r="Z7084" s="1"/>
      <c r="AA7084" s="1"/>
      <c r="AB7084" s="1"/>
    </row>
    <row r="7085" ht="50.25" customHeight="1">
      <c r="A7085" s="12">
        <v>7081.0</v>
      </c>
      <c r="B7085" s="13" t="s">
        <v>7028</v>
      </c>
      <c r="C7085" s="14" t="s">
        <v>7109</v>
      </c>
      <c r="D7085" s="1"/>
      <c r="E7085" s="1"/>
      <c r="F7085" s="1" t="str">
        <f>IFERROR(__xludf.DUMMYFUNCTION("GOOGLETRANSLATE(B7085, ""en"", ""fa"")
"),"موفقیت در ای بی")</f>
        <v>موفقیت در ای بی</v>
      </c>
      <c r="G7085" s="1" t="str">
        <f>IFERROR(__xludf.DUMMYFUNCTION("GOOGLETRANSLATE(C7085, ""en"", ""fa"")
"),"چه استراتژی هایی را می توانم برای بهینه سازی اطلاعات قیمت و حمل و نقل در لیست های eBay خود به کار بگیرم؟")</f>
        <v>چه استراتژی هایی را می توانم برای بهینه سازی اطلاعات قیمت و حمل و نقل در لیست های eBay خود به کار بگیرم؟</v>
      </c>
      <c r="H7085" s="1"/>
      <c r="I7085" s="1"/>
      <c r="J7085" s="1"/>
      <c r="K7085" s="1"/>
      <c r="L7085" s="1"/>
      <c r="M7085" s="1"/>
      <c r="N7085" s="1"/>
      <c r="O7085" s="1"/>
      <c r="P7085" s="1"/>
      <c r="Q7085" s="1"/>
      <c r="R7085" s="1"/>
      <c r="S7085" s="1"/>
      <c r="T7085" s="1"/>
      <c r="U7085" s="1"/>
      <c r="V7085" s="1"/>
      <c r="W7085" s="1"/>
      <c r="X7085" s="1"/>
      <c r="Y7085" s="1"/>
      <c r="Z7085" s="1"/>
      <c r="AA7085" s="1"/>
      <c r="AB7085" s="1"/>
    </row>
    <row r="7086" ht="50.25" customHeight="1">
      <c r="A7086" s="12">
        <v>7082.0</v>
      </c>
      <c r="B7086" s="13" t="s">
        <v>7028</v>
      </c>
      <c r="C7086" s="14" t="s">
        <v>7110</v>
      </c>
      <c r="D7086" s="1"/>
      <c r="E7086" s="1"/>
      <c r="F7086" s="1" t="str">
        <f>IFERROR(__xludf.DUMMYFUNCTION("GOOGLETRANSLATE(B7086, ""en"", ""fa"")
"),"موفقیت در ای بی")</f>
        <v>موفقیت در ای بی</v>
      </c>
      <c r="G7086" s="1" t="str">
        <f>IFERROR(__xludf.DUMMYFUNCTION("GOOGLETRANSLATE(C7086, ""en"", ""fa"")
"),"چگونه می توانم از مشخصات و ویژگی های اقلام eBay به طور موثر برای ارائه اطلاعات دقیق و دقیق محصول استفاده کنم؟")</f>
        <v>چگونه می توانم از مشخصات و ویژگی های اقلام eBay به طور موثر برای ارائه اطلاعات دقیق و دقیق محصول استفاده کنم؟</v>
      </c>
      <c r="H7086" s="1"/>
      <c r="I7086" s="1"/>
      <c r="J7086" s="1"/>
      <c r="K7086" s="1"/>
      <c r="L7086" s="1"/>
      <c r="M7086" s="1"/>
      <c r="N7086" s="1"/>
      <c r="O7086" s="1"/>
      <c r="P7086" s="1"/>
      <c r="Q7086" s="1"/>
      <c r="R7086" s="1"/>
      <c r="S7086" s="1"/>
      <c r="T7086" s="1"/>
      <c r="U7086" s="1"/>
      <c r="V7086" s="1"/>
      <c r="W7086" s="1"/>
      <c r="X7086" s="1"/>
      <c r="Y7086" s="1"/>
      <c r="Z7086" s="1"/>
      <c r="AA7086" s="1"/>
      <c r="AB7086" s="1"/>
    </row>
    <row r="7087" ht="50.25" customHeight="1">
      <c r="A7087" s="12">
        <v>7083.0</v>
      </c>
      <c r="B7087" s="13" t="s">
        <v>7028</v>
      </c>
      <c r="C7087" s="14" t="s">
        <v>7111</v>
      </c>
      <c r="D7087" s="1"/>
      <c r="E7087" s="1"/>
      <c r="F7087" s="1" t="str">
        <f>IFERROR(__xludf.DUMMYFUNCTION("GOOGLETRANSLATE(B7087, ""en"", ""fa"")
"),"موفقیت در ای بی")</f>
        <v>موفقیت در ای بی</v>
      </c>
      <c r="G7087" s="1" t="str">
        <f>IFERROR(__xludf.DUMMYFUNCTION("GOOGLETRANSLATE(C7087, ""en"", ""fa"")
"),"راه‌هایی برای بهینه‌سازی لیست‌های eBay برای کاربران تلفن همراه و اطمینان از تجربه خرید بی‌نظیر از طریق موبایل چیست؟")</f>
        <v>راه‌هایی برای بهینه‌سازی لیست‌های eBay برای کاربران تلفن همراه و اطمینان از تجربه خرید بی‌نظیر از طریق موبایل چیست؟</v>
      </c>
      <c r="H7087" s="1"/>
      <c r="I7087" s="1"/>
      <c r="J7087" s="1"/>
      <c r="K7087" s="1"/>
      <c r="L7087" s="1"/>
      <c r="M7087" s="1"/>
      <c r="N7087" s="1"/>
      <c r="O7087" s="1"/>
      <c r="P7087" s="1"/>
      <c r="Q7087" s="1"/>
      <c r="R7087" s="1"/>
      <c r="S7087" s="1"/>
      <c r="T7087" s="1"/>
      <c r="U7087" s="1"/>
      <c r="V7087" s="1"/>
      <c r="W7087" s="1"/>
      <c r="X7087" s="1"/>
      <c r="Y7087" s="1"/>
      <c r="Z7087" s="1"/>
      <c r="AA7087" s="1"/>
      <c r="AB7087" s="1"/>
    </row>
    <row r="7088" ht="50.25" customHeight="1">
      <c r="A7088" s="12">
        <v>7084.0</v>
      </c>
      <c r="B7088" s="13" t="s">
        <v>7028</v>
      </c>
      <c r="C7088" s="14" t="s">
        <v>7112</v>
      </c>
      <c r="D7088" s="1"/>
      <c r="E7088" s="1"/>
      <c r="F7088" s="1" t="str">
        <f>IFERROR(__xludf.DUMMYFUNCTION("GOOGLETRANSLATE(B7088, ""en"", ""fa"")
"),"موفقیت در ای بی")</f>
        <v>موفقیت در ای بی</v>
      </c>
      <c r="G7088" s="1" t="str">
        <f>IFERROR(__xludf.DUMMYFUNCTION("GOOGLETRANSLATE(C7088, ""en"", ""fa"")
"),"چگونه می‌توانم از نظرات و رتبه‌بندی‌های مشتریان برای افزایش اعتبار و اعتماد فهرست‌های eBay خود استفاده کنم؟")</f>
        <v>چگونه می‌توانم از نظرات و رتبه‌بندی‌های مشتریان برای افزایش اعتبار و اعتماد فهرست‌های eBay خود استفاده کنم؟</v>
      </c>
      <c r="H7088" s="1"/>
      <c r="I7088" s="1"/>
      <c r="J7088" s="1"/>
      <c r="K7088" s="1"/>
      <c r="L7088" s="1"/>
      <c r="M7088" s="1"/>
      <c r="N7088" s="1"/>
      <c r="O7088" s="1"/>
      <c r="P7088" s="1"/>
      <c r="Q7088" s="1"/>
      <c r="R7088" s="1"/>
      <c r="S7088" s="1"/>
      <c r="T7088" s="1"/>
      <c r="U7088" s="1"/>
      <c r="V7088" s="1"/>
      <c r="W7088" s="1"/>
      <c r="X7088" s="1"/>
      <c r="Y7088" s="1"/>
      <c r="Z7088" s="1"/>
      <c r="AA7088" s="1"/>
      <c r="AB7088" s="1"/>
    </row>
    <row r="7089" ht="50.25" customHeight="1">
      <c r="A7089" s="12">
        <v>7085.0</v>
      </c>
      <c r="B7089" s="13" t="s">
        <v>7028</v>
      </c>
      <c r="C7089" s="14" t="s">
        <v>7113</v>
      </c>
      <c r="D7089" s="1"/>
      <c r="E7089" s="1"/>
      <c r="F7089" s="1" t="str">
        <f>IFERROR(__xludf.DUMMYFUNCTION("GOOGLETRANSLATE(B7089, ""en"", ""fa"")
"),"موفقیت در ای بی")</f>
        <v>موفقیت در ای بی</v>
      </c>
      <c r="G7089" s="1" t="str">
        <f>IFERROR(__xludf.DUMMYFUNCTION("GOOGLETRANSLATE(C7089, ""en"", ""fa"")
"),"چه عناصر کلیدی را باید در هنگام ایجاد بیانیه‌های دعوت به اقدام متقاعدکننده در فهرست‌های eBay در نظر گرفت؟")</f>
        <v>چه عناصر کلیدی را باید در هنگام ایجاد بیانیه‌های دعوت به اقدام متقاعدکننده در فهرست‌های eBay در نظر گرفت؟</v>
      </c>
      <c r="H7089" s="1"/>
      <c r="I7089" s="1"/>
      <c r="J7089" s="1"/>
      <c r="K7089" s="1"/>
      <c r="L7089" s="1"/>
      <c r="M7089" s="1"/>
      <c r="N7089" s="1"/>
      <c r="O7089" s="1"/>
      <c r="P7089" s="1"/>
      <c r="Q7089" s="1"/>
      <c r="R7089" s="1"/>
      <c r="S7089" s="1"/>
      <c r="T7089" s="1"/>
      <c r="U7089" s="1"/>
      <c r="V7089" s="1"/>
      <c r="W7089" s="1"/>
      <c r="X7089" s="1"/>
      <c r="Y7089" s="1"/>
      <c r="Z7089" s="1"/>
      <c r="AA7089" s="1"/>
      <c r="AB7089" s="1"/>
    </row>
    <row r="7090" ht="50.25" customHeight="1">
      <c r="A7090" s="12">
        <v>7086.0</v>
      </c>
      <c r="B7090" s="13" t="s">
        <v>7028</v>
      </c>
      <c r="C7090" s="14" t="s">
        <v>7114</v>
      </c>
      <c r="D7090" s="1"/>
      <c r="E7090" s="1"/>
      <c r="F7090" s="1" t="str">
        <f>IFERROR(__xludf.DUMMYFUNCTION("GOOGLETRANSLATE(B7090, ""en"", ""fa"")
"),"موفقیت در ای بی")</f>
        <v>موفقیت در ای بی</v>
      </c>
      <c r="G7090" s="1" t="str">
        <f>IFERROR(__xludf.DUMMYFUNCTION("GOOGLETRANSLATE(C7090, ""en"", ""fa"")
"),"چگونه می توانم عناصر اثبات اجتماعی، مانند گواهی نامه ها یا تاییدیه ها را در لیست های eBay خود بگنجانم؟")</f>
        <v>چگونه می توانم عناصر اثبات اجتماعی، مانند گواهی نامه ها یا تاییدیه ها را در لیست های eBay خود بگنجانم؟</v>
      </c>
      <c r="H7090" s="1"/>
      <c r="I7090" s="1"/>
      <c r="J7090" s="1"/>
      <c r="K7090" s="1"/>
      <c r="L7090" s="1"/>
      <c r="M7090" s="1"/>
      <c r="N7090" s="1"/>
      <c r="O7090" s="1"/>
      <c r="P7090" s="1"/>
      <c r="Q7090" s="1"/>
      <c r="R7090" s="1"/>
      <c r="S7090" s="1"/>
      <c r="T7090" s="1"/>
      <c r="U7090" s="1"/>
      <c r="V7090" s="1"/>
      <c r="W7090" s="1"/>
      <c r="X7090" s="1"/>
      <c r="Y7090" s="1"/>
      <c r="Z7090" s="1"/>
      <c r="AA7090" s="1"/>
      <c r="AB7090" s="1"/>
    </row>
    <row r="7091" ht="50.25" customHeight="1">
      <c r="A7091" s="12">
        <v>7087.0</v>
      </c>
      <c r="B7091" s="13" t="s">
        <v>7028</v>
      </c>
      <c r="C7091" s="14" t="s">
        <v>7115</v>
      </c>
      <c r="D7091" s="1"/>
      <c r="E7091" s="1"/>
      <c r="F7091" s="1" t="str">
        <f>IFERROR(__xludf.DUMMYFUNCTION("GOOGLETRANSLATE(B7091, ""en"", ""fa"")
"),"موفقیت در ای بی")</f>
        <v>موفقیت در ای بی</v>
      </c>
      <c r="G7091" s="1" t="str">
        <f>IFERROR(__xludf.DUMMYFUNCTION("GOOGLETRANSLATE(C7091, ""en"", ""fa"")
"),"چند تکنیک موثر برای ایجاد حس فوریت و کمبود در لیست‌های eBay برای ایجاد تبدیل چیست؟")</f>
        <v>چند تکنیک موثر برای ایجاد حس فوریت و کمبود در لیست‌های eBay برای ایجاد تبدیل چیست؟</v>
      </c>
      <c r="H7091" s="1"/>
      <c r="I7091" s="1"/>
      <c r="J7091" s="1"/>
      <c r="K7091" s="1"/>
      <c r="L7091" s="1"/>
      <c r="M7091" s="1"/>
      <c r="N7091" s="1"/>
      <c r="O7091" s="1"/>
      <c r="P7091" s="1"/>
      <c r="Q7091" s="1"/>
      <c r="R7091" s="1"/>
      <c r="S7091" s="1"/>
      <c r="T7091" s="1"/>
      <c r="U7091" s="1"/>
      <c r="V7091" s="1"/>
      <c r="W7091" s="1"/>
      <c r="X7091" s="1"/>
      <c r="Y7091" s="1"/>
      <c r="Z7091" s="1"/>
      <c r="AA7091" s="1"/>
      <c r="AB7091" s="1"/>
    </row>
    <row r="7092" ht="50.25" customHeight="1">
      <c r="A7092" s="12">
        <v>7088.0</v>
      </c>
      <c r="B7092" s="13" t="s">
        <v>7028</v>
      </c>
      <c r="C7092" s="14" t="s">
        <v>7116</v>
      </c>
      <c r="D7092" s="1"/>
      <c r="E7092" s="1"/>
      <c r="F7092" s="1" t="str">
        <f>IFERROR(__xludf.DUMMYFUNCTION("GOOGLETRANSLATE(B7092, ""en"", ""fa"")
"),"موفقیت در ای بی")</f>
        <v>موفقیت در ای بی</v>
      </c>
      <c r="G7092" s="1" t="str">
        <f>IFERROR(__xludf.DUMMYFUNCTION("GOOGLETRANSLATE(C7092, ""en"", ""fa"")
"),"چگونه می توانم فهرست eBay خود را برای فرصت های تبلیغات متقابل و فروش در موجودی خود بهینه کنم؟")</f>
        <v>چگونه می توانم فهرست eBay خود را برای فرصت های تبلیغات متقابل و فروش در موجودی خود بهینه کنم؟</v>
      </c>
      <c r="H7092" s="1"/>
      <c r="I7092" s="1"/>
      <c r="J7092" s="1"/>
      <c r="K7092" s="1"/>
      <c r="L7092" s="1"/>
      <c r="M7092" s="1"/>
      <c r="N7092" s="1"/>
      <c r="O7092" s="1"/>
      <c r="P7092" s="1"/>
      <c r="Q7092" s="1"/>
      <c r="R7092" s="1"/>
      <c r="S7092" s="1"/>
      <c r="T7092" s="1"/>
      <c r="U7092" s="1"/>
      <c r="V7092" s="1"/>
      <c r="W7092" s="1"/>
      <c r="X7092" s="1"/>
      <c r="Y7092" s="1"/>
      <c r="Z7092" s="1"/>
      <c r="AA7092" s="1"/>
      <c r="AB7092" s="1"/>
    </row>
    <row r="7093" ht="50.25" customHeight="1">
      <c r="A7093" s="12">
        <v>7089.0</v>
      </c>
      <c r="B7093" s="13" t="s">
        <v>7028</v>
      </c>
      <c r="C7093" s="14" t="s">
        <v>7117</v>
      </c>
      <c r="D7093" s="1"/>
      <c r="E7093" s="1"/>
      <c r="F7093" s="1" t="str">
        <f>IFERROR(__xludf.DUMMYFUNCTION("GOOGLETRANSLATE(B7093, ""en"", ""fa"")
"),"موفقیت در ای بی")</f>
        <v>موفقیت در ای بی</v>
      </c>
      <c r="G7093" s="1" t="str">
        <f>IFERROR(__xludf.DUMMYFUNCTION("GOOGLETRANSLATE(C7093, ""en"", ""fa"")
"),"بهترین روش ها برای استفاده از ویژگی لیست های تبلیغاتی eBay برای افزایش دید و فروش چیست؟")</f>
        <v>بهترین روش ها برای استفاده از ویژگی لیست های تبلیغاتی eBay برای افزایش دید و فروش چیست؟</v>
      </c>
      <c r="H7093" s="1"/>
      <c r="I7093" s="1"/>
      <c r="J7093" s="1"/>
      <c r="K7093" s="1"/>
      <c r="L7093" s="1"/>
      <c r="M7093" s="1"/>
      <c r="N7093" s="1"/>
      <c r="O7093" s="1"/>
      <c r="P7093" s="1"/>
      <c r="Q7093" s="1"/>
      <c r="R7093" s="1"/>
      <c r="S7093" s="1"/>
      <c r="T7093" s="1"/>
      <c r="U7093" s="1"/>
      <c r="V7093" s="1"/>
      <c r="W7093" s="1"/>
      <c r="X7093" s="1"/>
      <c r="Y7093" s="1"/>
      <c r="Z7093" s="1"/>
      <c r="AA7093" s="1"/>
      <c r="AB7093" s="1"/>
    </row>
    <row r="7094" ht="50.25" customHeight="1">
      <c r="A7094" s="12">
        <v>7090.0</v>
      </c>
      <c r="B7094" s="13" t="s">
        <v>7028</v>
      </c>
      <c r="C7094" s="14" t="s">
        <v>7118</v>
      </c>
      <c r="D7094" s="1"/>
      <c r="E7094" s="1"/>
      <c r="F7094" s="1" t="str">
        <f>IFERROR(__xludf.DUMMYFUNCTION("GOOGLETRANSLATE(B7094, ""en"", ""fa"")
"),"موفقیت در ای بی")</f>
        <v>موفقیت در ای بی</v>
      </c>
      <c r="G7094" s="1" t="str">
        <f>IFERROR(__xludf.DUMMYFUNCTION("GOOGLETRANSLATE(C7094, ""en"", ""fa"")
"),"چگونه می توانم تست A/B و تجزیه و تحلیل عملکرد را برای بهینه سازی مستمر لیست های eBay خود انجام دهم؟")</f>
        <v>چگونه می توانم تست A/B و تجزیه و تحلیل عملکرد را برای بهینه سازی مستمر لیست های eBay خود انجام دهم؟</v>
      </c>
      <c r="H7094" s="1"/>
      <c r="I7094" s="1"/>
      <c r="J7094" s="1"/>
      <c r="K7094" s="1"/>
      <c r="L7094" s="1"/>
      <c r="M7094" s="1"/>
      <c r="N7094" s="1"/>
      <c r="O7094" s="1"/>
      <c r="P7094" s="1"/>
      <c r="Q7094" s="1"/>
      <c r="R7094" s="1"/>
      <c r="S7094" s="1"/>
      <c r="T7094" s="1"/>
      <c r="U7094" s="1"/>
      <c r="V7094" s="1"/>
      <c r="W7094" s="1"/>
      <c r="X7094" s="1"/>
      <c r="Y7094" s="1"/>
      <c r="Z7094" s="1"/>
      <c r="AA7094" s="1"/>
      <c r="AB7094" s="1"/>
    </row>
    <row r="7095" ht="50.25" customHeight="1">
      <c r="A7095" s="12">
        <v>7091.0</v>
      </c>
      <c r="B7095" s="13" t="s">
        <v>7028</v>
      </c>
      <c r="C7095" s="14" t="s">
        <v>7119</v>
      </c>
      <c r="D7095" s="1"/>
      <c r="E7095" s="1"/>
      <c r="F7095" s="1" t="str">
        <f>IFERROR(__xludf.DUMMYFUNCTION("GOOGLETRANSLATE(B7095, ""en"", ""fa"")
"),"موفقیت در ای بی")</f>
        <v>موفقیت در ای بی</v>
      </c>
      <c r="G7095" s="1" t="str">
        <f>IFERROR(__xludf.DUMMYFUNCTION("GOOGLETRANSLATE(C7095, ""en"", ""fa"")
"),"از چه استراتژی هایی می توانم برای بهینه سازی لیست های eBay برای دسته ها یا جایگاه های خاص محصول استفاده کنم؟")</f>
        <v>از چه استراتژی هایی می توانم برای بهینه سازی لیست های eBay برای دسته ها یا جایگاه های خاص محصول استفاده کنم؟</v>
      </c>
      <c r="H7095" s="1"/>
      <c r="I7095" s="1"/>
      <c r="J7095" s="1"/>
      <c r="K7095" s="1"/>
      <c r="L7095" s="1"/>
      <c r="M7095" s="1"/>
      <c r="N7095" s="1"/>
      <c r="O7095" s="1"/>
      <c r="P7095" s="1"/>
      <c r="Q7095" s="1"/>
      <c r="R7095" s="1"/>
      <c r="S7095" s="1"/>
      <c r="T7095" s="1"/>
      <c r="U7095" s="1"/>
      <c r="V7095" s="1"/>
      <c r="W7095" s="1"/>
      <c r="X7095" s="1"/>
      <c r="Y7095" s="1"/>
      <c r="Z7095" s="1"/>
      <c r="AA7095" s="1"/>
      <c r="AB7095" s="1"/>
    </row>
    <row r="7096" ht="50.25" customHeight="1">
      <c r="A7096" s="12">
        <v>7092.0</v>
      </c>
      <c r="B7096" s="13" t="s">
        <v>7028</v>
      </c>
      <c r="C7096" s="14" t="s">
        <v>7120</v>
      </c>
      <c r="D7096" s="1"/>
      <c r="E7096" s="1"/>
      <c r="F7096" s="1" t="str">
        <f>IFERROR(__xludf.DUMMYFUNCTION("GOOGLETRANSLATE(B7096, ""en"", ""fa"")
"),"موفقیت در ای بی")</f>
        <v>موفقیت در ای بی</v>
      </c>
      <c r="G7096" s="1" t="str">
        <f>IFERROR(__xludf.DUMMYFUNCTION("GOOGLETRANSLATE(C7096, ""en"", ""fa"")
"),"چگونه می‌توانم هشتگ‌های مرتبط و پرطرفدار را در فهرست‌های eBay خود بگنجانم تا به مخاطبان بیشتری دست یابم؟")</f>
        <v>چگونه می‌توانم هشتگ‌های مرتبط و پرطرفدار را در فهرست‌های eBay خود بگنجانم تا به مخاطبان بیشتری دست یابم؟</v>
      </c>
      <c r="H7096" s="1"/>
      <c r="I7096" s="1"/>
      <c r="J7096" s="1"/>
      <c r="K7096" s="1"/>
      <c r="L7096" s="1"/>
      <c r="M7096" s="1"/>
      <c r="N7096" s="1"/>
      <c r="O7096" s="1"/>
      <c r="P7096" s="1"/>
      <c r="Q7096" s="1"/>
      <c r="R7096" s="1"/>
      <c r="S7096" s="1"/>
      <c r="T7096" s="1"/>
      <c r="U7096" s="1"/>
      <c r="V7096" s="1"/>
      <c r="W7096" s="1"/>
      <c r="X7096" s="1"/>
      <c r="Y7096" s="1"/>
      <c r="Z7096" s="1"/>
      <c r="AA7096" s="1"/>
      <c r="AB7096" s="1"/>
    </row>
    <row r="7097" ht="50.25" customHeight="1">
      <c r="A7097" s="12">
        <v>7093.0</v>
      </c>
      <c r="B7097" s="13" t="s">
        <v>7028</v>
      </c>
      <c r="C7097" s="14" t="s">
        <v>7121</v>
      </c>
      <c r="D7097" s="1"/>
      <c r="E7097" s="1"/>
      <c r="F7097" s="1" t="str">
        <f>IFERROR(__xludf.DUMMYFUNCTION("GOOGLETRANSLATE(B7097, ""en"", ""fa"")
"),"موفقیت در ای بی")</f>
        <v>موفقیت در ای بی</v>
      </c>
      <c r="G7097" s="1" t="str">
        <f>IFERROR(__xludf.DUMMYFUNCTION("GOOGLETRANSLATE(C7097, ""en"", ""fa"")
"),"ملاحظات کلیدی برای بهینه سازی لیست eBay برای خریداران بین المللی و فروش برون مرزی چیست؟")</f>
        <v>ملاحظات کلیدی برای بهینه سازی لیست eBay برای خریداران بین المللی و فروش برون مرزی چیست؟</v>
      </c>
      <c r="H7097" s="1"/>
      <c r="I7097" s="1"/>
      <c r="J7097" s="1"/>
      <c r="K7097" s="1"/>
      <c r="L7097" s="1"/>
      <c r="M7097" s="1"/>
      <c r="N7097" s="1"/>
      <c r="O7097" s="1"/>
      <c r="P7097" s="1"/>
      <c r="Q7097" s="1"/>
      <c r="R7097" s="1"/>
      <c r="S7097" s="1"/>
      <c r="T7097" s="1"/>
      <c r="U7097" s="1"/>
      <c r="V7097" s="1"/>
      <c r="W7097" s="1"/>
      <c r="X7097" s="1"/>
      <c r="Y7097" s="1"/>
      <c r="Z7097" s="1"/>
      <c r="AA7097" s="1"/>
      <c r="AB7097" s="1"/>
    </row>
    <row r="7098" ht="50.25" customHeight="1">
      <c r="A7098" s="12">
        <v>7094.0</v>
      </c>
      <c r="B7098" s="13" t="s">
        <v>7028</v>
      </c>
      <c r="C7098" s="14" t="s">
        <v>7122</v>
      </c>
      <c r="D7098" s="1"/>
      <c r="E7098" s="1"/>
      <c r="F7098" s="1" t="str">
        <f>IFERROR(__xludf.DUMMYFUNCTION("GOOGLETRANSLATE(B7098, ""en"", ""fa"")
"),"موفقیت در ای بی")</f>
        <v>موفقیت در ای بی</v>
      </c>
      <c r="G7098" s="1" t="str">
        <f>IFERROR(__xludf.DUMMYFUNCTION("GOOGLETRANSLATE(C7098, ""en"", ""fa"")
"),"چگونه می توانم لیست های رقبا را تحقیق و تجزیه و تحلیل کنم تا بینش و الهام برای بهینه سازی فهرست به دست بیاورم؟")</f>
        <v>چگونه می توانم لیست های رقبا را تحقیق و تجزیه و تحلیل کنم تا بینش و الهام برای بهینه سازی فهرست به دست بیاورم؟</v>
      </c>
      <c r="H7098" s="1"/>
      <c r="I7098" s="1"/>
      <c r="J7098" s="1"/>
      <c r="K7098" s="1"/>
      <c r="L7098" s="1"/>
      <c r="M7098" s="1"/>
      <c r="N7098" s="1"/>
      <c r="O7098" s="1"/>
      <c r="P7098" s="1"/>
      <c r="Q7098" s="1"/>
      <c r="R7098" s="1"/>
      <c r="S7098" s="1"/>
      <c r="T7098" s="1"/>
      <c r="U7098" s="1"/>
      <c r="V7098" s="1"/>
      <c r="W7098" s="1"/>
      <c r="X7098" s="1"/>
      <c r="Y7098" s="1"/>
      <c r="Z7098" s="1"/>
      <c r="AA7098" s="1"/>
      <c r="AB7098" s="1"/>
    </row>
    <row r="7099" ht="50.25" customHeight="1">
      <c r="A7099" s="12">
        <v>7095.0</v>
      </c>
      <c r="B7099" s="13" t="s">
        <v>7028</v>
      </c>
      <c r="C7099" s="14" t="s">
        <v>7123</v>
      </c>
      <c r="D7099" s="1"/>
      <c r="E7099" s="1"/>
      <c r="F7099" s="1" t="str">
        <f>IFERROR(__xludf.DUMMYFUNCTION("GOOGLETRANSLATE(B7099, ""en"", ""fa"")
"),"موفقیت در ای بی")</f>
        <v>موفقیت در ای بی</v>
      </c>
      <c r="G7099" s="1" t="str">
        <f>IFERROR(__xludf.DUMMYFUNCTION("GOOGLETRANSLATE(C7099, ""en"", ""fa"")
"),"چند تکنیک موثر برای استفاده از داستان سرایی در لیست های eBay برای ایجاد ارتباطات عاطفی با خریداران چیست؟")</f>
        <v>چند تکنیک موثر برای استفاده از داستان سرایی در لیست های eBay برای ایجاد ارتباطات عاطفی با خریداران چیست؟</v>
      </c>
      <c r="H7099" s="1"/>
      <c r="I7099" s="1"/>
      <c r="J7099" s="1"/>
      <c r="K7099" s="1"/>
      <c r="L7099" s="1"/>
      <c r="M7099" s="1"/>
      <c r="N7099" s="1"/>
      <c r="O7099" s="1"/>
      <c r="P7099" s="1"/>
      <c r="Q7099" s="1"/>
      <c r="R7099" s="1"/>
      <c r="S7099" s="1"/>
      <c r="T7099" s="1"/>
      <c r="U7099" s="1"/>
      <c r="V7099" s="1"/>
      <c r="W7099" s="1"/>
      <c r="X7099" s="1"/>
      <c r="Y7099" s="1"/>
      <c r="Z7099" s="1"/>
      <c r="AA7099" s="1"/>
      <c r="AB7099" s="1"/>
    </row>
    <row r="7100" ht="50.25" customHeight="1">
      <c r="A7100" s="12">
        <v>7096.0</v>
      </c>
      <c r="B7100" s="13" t="s">
        <v>7028</v>
      </c>
      <c r="C7100" s="14" t="s">
        <v>7124</v>
      </c>
      <c r="D7100" s="1"/>
      <c r="E7100" s="1"/>
      <c r="F7100" s="1" t="str">
        <f>IFERROR(__xludf.DUMMYFUNCTION("GOOGLETRANSLATE(B7100, ""en"", ""fa"")
"),"موفقیت در ای بی")</f>
        <v>موفقیت در ای بی</v>
      </c>
      <c r="G7100" s="1" t="str">
        <f>IFERROR(__xludf.DUMMYFUNCTION("GOOGLETRANSLATE(C7100, ""en"", ""fa"")
"),"چگونه می توانم لیست های eBay خود را برای نرخ تبدیل بهتر با استفاده از اصول روانشناختی بهینه کنم؟")</f>
        <v>چگونه می توانم لیست های eBay خود را برای نرخ تبدیل بهتر با استفاده از اصول روانشناختی بهینه کنم؟</v>
      </c>
      <c r="H7100" s="1"/>
      <c r="I7100" s="1"/>
      <c r="J7100" s="1"/>
      <c r="K7100" s="1"/>
      <c r="L7100" s="1"/>
      <c r="M7100" s="1"/>
      <c r="N7100" s="1"/>
      <c r="O7100" s="1"/>
      <c r="P7100" s="1"/>
      <c r="Q7100" s="1"/>
      <c r="R7100" s="1"/>
      <c r="S7100" s="1"/>
      <c r="T7100" s="1"/>
      <c r="U7100" s="1"/>
      <c r="V7100" s="1"/>
      <c r="W7100" s="1"/>
      <c r="X7100" s="1"/>
      <c r="Y7100" s="1"/>
      <c r="Z7100" s="1"/>
      <c r="AA7100" s="1"/>
      <c r="AB7100" s="1"/>
    </row>
    <row r="7101" ht="50.25" customHeight="1">
      <c r="A7101" s="12">
        <v>7097.0</v>
      </c>
      <c r="B7101" s="13" t="s">
        <v>7028</v>
      </c>
      <c r="C7101" s="14" t="s">
        <v>7125</v>
      </c>
      <c r="D7101" s="1"/>
      <c r="E7101" s="1"/>
      <c r="F7101" s="1" t="str">
        <f>IFERROR(__xludf.DUMMYFUNCTION("GOOGLETRANSLATE(B7101, ""en"", ""fa"")
"),"موفقیت در ای بی")</f>
        <v>موفقیت در ای بی</v>
      </c>
      <c r="G7101" s="1" t="str">
        <f>IFERROR(__xludf.DUMMYFUNCTION("GOOGLETRANSLATE(C7101, ""en"", ""fa"")
"),"بهترین روش ها برای گنجاندن نظرات و نظرات مشتریان در لیست های eBay چیست؟")</f>
        <v>بهترین روش ها برای گنجاندن نظرات و نظرات مشتریان در لیست های eBay چیست؟</v>
      </c>
      <c r="H7101" s="1"/>
      <c r="I7101" s="1"/>
      <c r="J7101" s="1"/>
      <c r="K7101" s="1"/>
      <c r="L7101" s="1"/>
      <c r="M7101" s="1"/>
      <c r="N7101" s="1"/>
      <c r="O7101" s="1"/>
      <c r="P7101" s="1"/>
      <c r="Q7101" s="1"/>
      <c r="R7101" s="1"/>
      <c r="S7101" s="1"/>
      <c r="T7101" s="1"/>
      <c r="U7101" s="1"/>
      <c r="V7101" s="1"/>
      <c r="W7101" s="1"/>
      <c r="X7101" s="1"/>
      <c r="Y7101" s="1"/>
      <c r="Z7101" s="1"/>
      <c r="AA7101" s="1"/>
      <c r="AB7101" s="1"/>
    </row>
    <row r="7102" ht="50.25" customHeight="1">
      <c r="A7102" s="12">
        <v>7098.0</v>
      </c>
      <c r="B7102" s="13" t="s">
        <v>7028</v>
      </c>
      <c r="C7102" s="14" t="s">
        <v>7126</v>
      </c>
      <c r="D7102" s="1"/>
      <c r="E7102" s="1"/>
      <c r="F7102" s="1" t="str">
        <f>IFERROR(__xludf.DUMMYFUNCTION("GOOGLETRANSLATE(B7102, ""en"", ""fa"")
"),"موفقیت در ای بی")</f>
        <v>موفقیت در ای بی</v>
      </c>
      <c r="G7102" s="1" t="str">
        <f>IFERROR(__xludf.DUMMYFUNCTION("GOOGLETRANSLATE(C7102, ""en"", ""fa"")
"),"چگونه می توانم لیست های eBay خود را برای عملکرد بهتر در فیلترها و اصلاحات جستجوی خاص بهینه کنم؟")</f>
        <v>چگونه می توانم لیست های eBay خود را برای عملکرد بهتر در فیلترها و اصلاحات جستجوی خاص بهینه کنم؟</v>
      </c>
      <c r="H7102" s="1"/>
      <c r="I7102" s="1"/>
      <c r="J7102" s="1"/>
      <c r="K7102" s="1"/>
      <c r="L7102" s="1"/>
      <c r="M7102" s="1"/>
      <c r="N7102" s="1"/>
      <c r="O7102" s="1"/>
      <c r="P7102" s="1"/>
      <c r="Q7102" s="1"/>
      <c r="R7102" s="1"/>
      <c r="S7102" s="1"/>
      <c r="T7102" s="1"/>
      <c r="U7102" s="1"/>
      <c r="V7102" s="1"/>
      <c r="W7102" s="1"/>
      <c r="X7102" s="1"/>
      <c r="Y7102" s="1"/>
      <c r="Z7102" s="1"/>
      <c r="AA7102" s="1"/>
      <c r="AB7102" s="1"/>
    </row>
    <row r="7103" ht="50.25" customHeight="1">
      <c r="A7103" s="12">
        <v>7099.0</v>
      </c>
      <c r="B7103" s="13" t="s">
        <v>7028</v>
      </c>
      <c r="C7103" s="14" t="s">
        <v>7127</v>
      </c>
      <c r="D7103" s="1"/>
      <c r="E7103" s="1"/>
      <c r="F7103" s="1" t="str">
        <f>IFERROR(__xludf.DUMMYFUNCTION("GOOGLETRANSLATE(B7103, ""en"", ""fa"")
"),"موفقیت در ای بی")</f>
        <v>موفقیت در ای بی</v>
      </c>
      <c r="G7103" s="1" t="str">
        <f>IFERROR(__xludf.DUMMYFUNCTION("GOOGLETRANSLATE(C7103, ""en"", ""fa"")
"),"از چه استراتژی هایی می توانم برای بهینه سازی لیست های eBay برای افزایش اعتماد و اعتبار استفاده کنم؟")</f>
        <v>از چه استراتژی هایی می توانم برای بهینه سازی لیست های eBay برای افزایش اعتماد و اعتبار استفاده کنم؟</v>
      </c>
      <c r="H7103" s="1"/>
      <c r="I7103" s="1"/>
      <c r="J7103" s="1"/>
      <c r="K7103" s="1"/>
      <c r="L7103" s="1"/>
      <c r="M7103" s="1"/>
      <c r="N7103" s="1"/>
      <c r="O7103" s="1"/>
      <c r="P7103" s="1"/>
      <c r="Q7103" s="1"/>
      <c r="R7103" s="1"/>
      <c r="S7103" s="1"/>
      <c r="T7103" s="1"/>
      <c r="U7103" s="1"/>
      <c r="V7103" s="1"/>
      <c r="W7103" s="1"/>
      <c r="X7103" s="1"/>
      <c r="Y7103" s="1"/>
      <c r="Z7103" s="1"/>
      <c r="AA7103" s="1"/>
      <c r="AB7103" s="1"/>
    </row>
    <row r="7104" ht="50.25" customHeight="1">
      <c r="A7104" s="12">
        <v>7100.0</v>
      </c>
      <c r="B7104" s="13" t="s">
        <v>7028</v>
      </c>
      <c r="C7104" s="14" t="s">
        <v>7128</v>
      </c>
      <c r="D7104" s="1"/>
      <c r="E7104" s="1"/>
      <c r="F7104" s="1" t="str">
        <f>IFERROR(__xludf.DUMMYFUNCTION("GOOGLETRANSLATE(B7104, ""en"", ""fa"")
"),"موفقیت در ای بی")</f>
        <v>موفقیت در ای بی</v>
      </c>
      <c r="G7104" s="1" t="str">
        <f>IFERROR(__xludf.DUMMYFUNCTION("GOOGLETRANSLATE(C7104, ""en"", ""fa"")
"),"چگونه می توانم از مدیر نشانه گذاری یا مدیر تبلیغات eBay برای بهینه سازی قیمت و ارائه تخفیف استفاده کنم؟")</f>
        <v>چگونه می توانم از مدیر نشانه گذاری یا مدیر تبلیغات eBay برای بهینه سازی قیمت و ارائه تخفیف استفاده کنم؟</v>
      </c>
      <c r="H7104" s="1"/>
      <c r="I7104" s="1"/>
      <c r="J7104" s="1"/>
      <c r="K7104" s="1"/>
      <c r="L7104" s="1"/>
      <c r="M7104" s="1"/>
      <c r="N7104" s="1"/>
      <c r="O7104" s="1"/>
      <c r="P7104" s="1"/>
      <c r="Q7104" s="1"/>
      <c r="R7104" s="1"/>
      <c r="S7104" s="1"/>
      <c r="T7104" s="1"/>
      <c r="U7104" s="1"/>
      <c r="V7104" s="1"/>
      <c r="W7104" s="1"/>
      <c r="X7104" s="1"/>
      <c r="Y7104" s="1"/>
      <c r="Z7104" s="1"/>
      <c r="AA7104" s="1"/>
      <c r="AB7104" s="1"/>
    </row>
    <row r="7105" ht="50.25" customHeight="1">
      <c r="A7105" s="12">
        <v>7101.0</v>
      </c>
      <c r="B7105" s="13" t="s">
        <v>7028</v>
      </c>
      <c r="C7105" s="14" t="s">
        <v>7129</v>
      </c>
      <c r="D7105" s="1"/>
      <c r="E7105" s="1"/>
      <c r="F7105" s="1" t="str">
        <f>IFERROR(__xludf.DUMMYFUNCTION("GOOGLETRANSLATE(B7105, ""en"", ""fa"")
"),"موفقیت در ای بی")</f>
        <v>موفقیت در ای بی</v>
      </c>
      <c r="G7105" s="1" t="str">
        <f>IFERROR(__xludf.DUMMYFUNCTION("GOOGLETRANSLATE(C7105, ""en"", ""fa"")
"),"ملاحظات کلیدی برای بهینه سازی لیست های eBay برای دیده شدن بیشتر در نتایج جستجوی گوگل چیست؟")</f>
        <v>ملاحظات کلیدی برای بهینه سازی لیست های eBay برای دیده شدن بیشتر در نتایج جستجوی گوگل چیست؟</v>
      </c>
      <c r="H7105" s="1"/>
      <c r="I7105" s="1"/>
      <c r="J7105" s="1"/>
      <c r="K7105" s="1"/>
      <c r="L7105" s="1"/>
      <c r="M7105" s="1"/>
      <c r="N7105" s="1"/>
      <c r="O7105" s="1"/>
      <c r="P7105" s="1"/>
      <c r="Q7105" s="1"/>
      <c r="R7105" s="1"/>
      <c r="S7105" s="1"/>
      <c r="T7105" s="1"/>
      <c r="U7105" s="1"/>
      <c r="V7105" s="1"/>
      <c r="W7105" s="1"/>
      <c r="X7105" s="1"/>
      <c r="Y7105" s="1"/>
      <c r="Z7105" s="1"/>
      <c r="AA7105" s="1"/>
      <c r="AB7105" s="1"/>
    </row>
    <row r="7106" ht="50.25" customHeight="1">
      <c r="A7106" s="12">
        <v>7102.0</v>
      </c>
      <c r="B7106" s="13" t="s">
        <v>7028</v>
      </c>
      <c r="C7106" s="14" t="s">
        <v>7130</v>
      </c>
      <c r="D7106" s="1"/>
      <c r="E7106" s="1"/>
      <c r="F7106" s="1" t="str">
        <f>IFERROR(__xludf.DUMMYFUNCTION("GOOGLETRANSLATE(B7106, ""en"", ""fa"")
"),"موفقیت در ای بی")</f>
        <v>موفقیت در ای بی</v>
      </c>
      <c r="G7106" s="1" t="str">
        <f>IFERROR(__xludf.DUMMYFUNCTION("GOOGLETRANSLATE(C7106, ""en"", ""fa"")
"),"چگونه می توانم لیست های eBay را برای عملکرد بهتر در الگوریتم جستجوی بهترین بازی eBay بهینه کنم؟")</f>
        <v>چگونه می توانم لیست های eBay را برای عملکرد بهتر در الگوریتم جستجوی بهترین بازی eBay بهینه کنم؟</v>
      </c>
      <c r="H7106" s="1"/>
      <c r="I7106" s="1"/>
      <c r="J7106" s="1"/>
      <c r="K7106" s="1"/>
      <c r="L7106" s="1"/>
      <c r="M7106" s="1"/>
      <c r="N7106" s="1"/>
      <c r="O7106" s="1"/>
      <c r="P7106" s="1"/>
      <c r="Q7106" s="1"/>
      <c r="R7106" s="1"/>
      <c r="S7106" s="1"/>
      <c r="T7106" s="1"/>
      <c r="U7106" s="1"/>
      <c r="V7106" s="1"/>
      <c r="W7106" s="1"/>
      <c r="X7106" s="1"/>
      <c r="Y7106" s="1"/>
      <c r="Z7106" s="1"/>
      <c r="AA7106" s="1"/>
      <c r="AB7106" s="1"/>
    </row>
    <row r="7107" ht="50.25" customHeight="1">
      <c r="A7107" s="12">
        <v>7103.0</v>
      </c>
      <c r="B7107" s="13" t="s">
        <v>7028</v>
      </c>
      <c r="C7107" s="14" t="s">
        <v>7131</v>
      </c>
      <c r="D7107" s="1"/>
      <c r="E7107" s="1"/>
      <c r="F7107" s="1" t="str">
        <f>IFERROR(__xludf.DUMMYFUNCTION("GOOGLETRANSLATE(B7107, ""en"", ""fa"")
"),"موفقیت در ای بی")</f>
        <v>موفقیت در ای بی</v>
      </c>
      <c r="G7107" s="1" t="str">
        <f>IFERROR(__xludf.DUMMYFUNCTION("GOOGLETRANSLATE(C7107, ""en"", ""fa"")
"),"چند تکنیک موثر برای نوشتن عناوین محصولات قانع کننده که توجه را جلب می کند و شامل کلمات کلیدی مرتبط می شود چیست؟")</f>
        <v>چند تکنیک موثر برای نوشتن عناوین محصولات قانع کننده که توجه را جلب می کند و شامل کلمات کلیدی مرتبط می شود چیست؟</v>
      </c>
      <c r="H7107" s="1"/>
      <c r="I7107" s="1"/>
      <c r="J7107" s="1"/>
      <c r="K7107" s="1"/>
      <c r="L7107" s="1"/>
      <c r="M7107" s="1"/>
      <c r="N7107" s="1"/>
      <c r="O7107" s="1"/>
      <c r="P7107" s="1"/>
      <c r="Q7107" s="1"/>
      <c r="R7107" s="1"/>
      <c r="S7107" s="1"/>
      <c r="T7107" s="1"/>
      <c r="U7107" s="1"/>
      <c r="V7107" s="1"/>
      <c r="W7107" s="1"/>
      <c r="X7107" s="1"/>
      <c r="Y7107" s="1"/>
      <c r="Z7107" s="1"/>
      <c r="AA7107" s="1"/>
      <c r="AB7107" s="1"/>
    </row>
    <row r="7108" ht="50.25" customHeight="1">
      <c r="A7108" s="12">
        <v>7104.0</v>
      </c>
      <c r="B7108" s="13" t="s">
        <v>7028</v>
      </c>
      <c r="C7108" s="14" t="s">
        <v>7132</v>
      </c>
      <c r="D7108" s="1"/>
      <c r="E7108" s="1"/>
      <c r="F7108" s="1" t="str">
        <f>IFERROR(__xludf.DUMMYFUNCTION("GOOGLETRANSLATE(B7108, ""en"", ""fa"")
"),"موفقیت در ای بی")</f>
        <v>موفقیت در ای بی</v>
      </c>
      <c r="G7108" s="1" t="str">
        <f>IFERROR(__xludf.DUMMYFUNCTION("GOOGLETRANSLATE(C7108, ""en"", ""fa"")
"),"چگونه می توانم توضیحات لیست eBay را برای وضوح، کوتاهی و نمایش دقیق محصول بهینه کنم؟")</f>
        <v>چگونه می توانم توضیحات لیست eBay را برای وضوح، کوتاهی و نمایش دقیق محصول بهینه کنم؟</v>
      </c>
      <c r="H7108" s="1"/>
      <c r="I7108" s="1"/>
      <c r="J7108" s="1"/>
      <c r="K7108" s="1"/>
      <c r="L7108" s="1"/>
      <c r="M7108" s="1"/>
      <c r="N7108" s="1"/>
      <c r="O7108" s="1"/>
      <c r="P7108" s="1"/>
      <c r="Q7108" s="1"/>
      <c r="R7108" s="1"/>
      <c r="S7108" s="1"/>
      <c r="T7108" s="1"/>
      <c r="U7108" s="1"/>
      <c r="V7108" s="1"/>
      <c r="W7108" s="1"/>
      <c r="X7108" s="1"/>
      <c r="Y7108" s="1"/>
      <c r="Z7108" s="1"/>
      <c r="AA7108" s="1"/>
      <c r="AB7108" s="1"/>
    </row>
    <row r="7109" ht="50.25" customHeight="1">
      <c r="A7109" s="12">
        <v>7105.0</v>
      </c>
      <c r="B7109" s="13" t="s">
        <v>7028</v>
      </c>
      <c r="C7109" s="14" t="s">
        <v>7133</v>
      </c>
      <c r="D7109" s="1"/>
      <c r="E7109" s="1"/>
      <c r="F7109" s="1" t="str">
        <f>IFERROR(__xludf.DUMMYFUNCTION("GOOGLETRANSLATE(B7109, ""en"", ""fa"")
"),"موفقیت در ای بی")</f>
        <v>موفقیت در ای بی</v>
      </c>
      <c r="G7109" s="1" t="str">
        <f>IFERROR(__xludf.DUMMYFUNCTION("GOOGLETRANSLATE(C7109, ""en"", ""fa"")
"),"از چه استراتژی هایی می توانم برای بهینه سازی لیست های eBay برای بهبود نرخ کلیک و تعامل خریدار استفاده کنم؟")</f>
        <v>از چه استراتژی هایی می توانم برای بهینه سازی لیست های eBay برای بهبود نرخ کلیک و تعامل خریدار استفاده کنم؟</v>
      </c>
      <c r="H7109" s="1"/>
      <c r="I7109" s="1"/>
      <c r="J7109" s="1"/>
      <c r="K7109" s="1"/>
      <c r="L7109" s="1"/>
      <c r="M7109" s="1"/>
      <c r="N7109" s="1"/>
      <c r="O7109" s="1"/>
      <c r="P7109" s="1"/>
      <c r="Q7109" s="1"/>
      <c r="R7109" s="1"/>
      <c r="S7109" s="1"/>
      <c r="T7109" s="1"/>
      <c r="U7109" s="1"/>
      <c r="V7109" s="1"/>
      <c r="W7109" s="1"/>
      <c r="X7109" s="1"/>
      <c r="Y7109" s="1"/>
      <c r="Z7109" s="1"/>
      <c r="AA7109" s="1"/>
      <c r="AB7109" s="1"/>
    </row>
    <row r="7110" ht="50.25" customHeight="1">
      <c r="A7110" s="12">
        <v>7106.0</v>
      </c>
      <c r="B7110" s="13" t="s">
        <v>7028</v>
      </c>
      <c r="C7110" s="14" t="s">
        <v>7134</v>
      </c>
      <c r="D7110" s="1"/>
      <c r="E7110" s="1"/>
      <c r="F7110" s="1" t="str">
        <f>IFERROR(__xludf.DUMMYFUNCTION("GOOGLETRANSLATE(B7110, ""en"", ""fa"")
"),"موفقیت در ای بی")</f>
        <v>موفقیت در ای بی</v>
      </c>
      <c r="G7110" s="1" t="str">
        <f>IFERROR(__xludf.DUMMYFUNCTION("GOOGLETRANSLATE(C7110, ""en"", ""fa"")
"),"چگونه می توانم تحقیقات کلمات کلیدی را انجام دهم و عبارات جستجوی مرتبط را در لیست های eBay خود ادغام کنم؟")</f>
        <v>چگونه می توانم تحقیقات کلمات کلیدی را انجام دهم و عبارات جستجوی مرتبط را در لیست های eBay خود ادغام کنم؟</v>
      </c>
      <c r="H7110" s="1"/>
      <c r="I7110" s="1"/>
      <c r="J7110" s="1"/>
      <c r="K7110" s="1"/>
      <c r="L7110" s="1"/>
      <c r="M7110" s="1"/>
      <c r="N7110" s="1"/>
      <c r="O7110" s="1"/>
      <c r="P7110" s="1"/>
      <c r="Q7110" s="1"/>
      <c r="R7110" s="1"/>
      <c r="S7110" s="1"/>
      <c r="T7110" s="1"/>
      <c r="U7110" s="1"/>
      <c r="V7110" s="1"/>
      <c r="W7110" s="1"/>
      <c r="X7110" s="1"/>
      <c r="Y7110" s="1"/>
      <c r="Z7110" s="1"/>
      <c r="AA7110" s="1"/>
      <c r="AB7110" s="1"/>
    </row>
    <row r="7111" ht="50.25" customHeight="1">
      <c r="A7111" s="12">
        <v>7107.0</v>
      </c>
      <c r="B7111" s="13" t="s">
        <v>7028</v>
      </c>
      <c r="C7111" s="14" t="s">
        <v>7135</v>
      </c>
      <c r="D7111" s="1"/>
      <c r="E7111" s="1"/>
      <c r="F7111" s="1" t="str">
        <f>IFERROR(__xludf.DUMMYFUNCTION("GOOGLETRANSLATE(B7111, ""en"", ""fa"")
"),"موفقیت در ای بی")</f>
        <v>موفقیت در ای بی</v>
      </c>
      <c r="G7111" s="1" t="str">
        <f>IFERROR(__xludf.DUMMYFUNCTION("GOOGLETRANSLATE(C7111, ""en"", ""fa"")
"),"بهترین روش ها برای استفاده از تصاویر محصول با کیفیت و با نور مناسب که ویژگی های محصول را به نمایش می گذارد چیست؟")</f>
        <v>بهترین روش ها برای استفاده از تصاویر محصول با کیفیت و با نور مناسب که ویژگی های محصول را به نمایش می گذارد چیست؟</v>
      </c>
      <c r="H7111" s="1"/>
      <c r="I7111" s="1"/>
      <c r="J7111" s="1"/>
      <c r="K7111" s="1"/>
      <c r="L7111" s="1"/>
      <c r="M7111" s="1"/>
      <c r="N7111" s="1"/>
      <c r="O7111" s="1"/>
      <c r="P7111" s="1"/>
      <c r="Q7111" s="1"/>
      <c r="R7111" s="1"/>
      <c r="S7111" s="1"/>
      <c r="T7111" s="1"/>
      <c r="U7111" s="1"/>
      <c r="V7111" s="1"/>
      <c r="W7111" s="1"/>
      <c r="X7111" s="1"/>
      <c r="Y7111" s="1"/>
      <c r="Z7111" s="1"/>
      <c r="AA7111" s="1"/>
      <c r="AB7111" s="1"/>
    </row>
    <row r="7112" ht="50.25" customHeight="1">
      <c r="A7112" s="12">
        <v>7108.0</v>
      </c>
      <c r="B7112" s="13" t="s">
        <v>7028</v>
      </c>
      <c r="C7112" s="14" t="s">
        <v>7136</v>
      </c>
      <c r="D7112" s="1"/>
      <c r="E7112" s="1"/>
      <c r="F7112" s="1" t="str">
        <f>IFERROR(__xludf.DUMMYFUNCTION("GOOGLETRANSLATE(B7112, ""en"", ""fa"")
"),"موفقیت در ای بی")</f>
        <v>موفقیت در ای بی</v>
      </c>
      <c r="G7112" s="1" t="str">
        <f>IFERROR(__xludf.DUMMYFUNCTION("GOOGLETRANSLATE(C7112, ""en"", ""fa"")
"),"چگونه می توانم لیست های eBay را برای سرعت بارگذاری سریع و عملکرد مطلوب در دستگاه های مختلف بهینه کنم؟")</f>
        <v>چگونه می توانم لیست های eBay را برای سرعت بارگذاری سریع و عملکرد مطلوب در دستگاه های مختلف بهینه کنم؟</v>
      </c>
      <c r="H7112" s="1"/>
      <c r="I7112" s="1"/>
      <c r="J7112" s="1"/>
      <c r="K7112" s="1"/>
      <c r="L7112" s="1"/>
      <c r="M7112" s="1"/>
      <c r="N7112" s="1"/>
      <c r="O7112" s="1"/>
      <c r="P7112" s="1"/>
      <c r="Q7112" s="1"/>
      <c r="R7112" s="1"/>
      <c r="S7112" s="1"/>
      <c r="T7112" s="1"/>
      <c r="U7112" s="1"/>
      <c r="V7112" s="1"/>
      <c r="W7112" s="1"/>
      <c r="X7112" s="1"/>
      <c r="Y7112" s="1"/>
      <c r="Z7112" s="1"/>
      <c r="AA7112" s="1"/>
      <c r="AB7112" s="1"/>
    </row>
    <row r="7113" ht="50.25" customHeight="1">
      <c r="A7113" s="12">
        <v>7109.0</v>
      </c>
      <c r="B7113" s="13" t="s">
        <v>7028</v>
      </c>
      <c r="C7113" s="14" t="s">
        <v>7137</v>
      </c>
      <c r="D7113" s="1"/>
      <c r="E7113" s="1"/>
      <c r="F7113" s="1" t="str">
        <f>IFERROR(__xludf.DUMMYFUNCTION("GOOGLETRANSLATE(B7113, ""en"", ""fa"")
"),"موفقیت در ای بی")</f>
        <v>موفقیت در ای بی</v>
      </c>
      <c r="G7113" s="1" t="str">
        <f>IFERROR(__xludf.DUMMYFUNCTION("GOOGLETRANSLATE(C7113, ""en"", ""fa"")
"),"برخی از تکنیک های موثر برای گنجاندن سیگنال های اعتماد، مانند نشان های امنیتی یا تضمین ها، در لیست های eBay چیست؟")</f>
        <v>برخی از تکنیک های موثر برای گنجاندن سیگنال های اعتماد، مانند نشان های امنیتی یا تضمین ها، در لیست های eBay چیست؟</v>
      </c>
      <c r="H7113" s="1"/>
      <c r="I7113" s="1"/>
      <c r="J7113" s="1"/>
      <c r="K7113" s="1"/>
      <c r="L7113" s="1"/>
      <c r="M7113" s="1"/>
      <c r="N7113" s="1"/>
      <c r="O7113" s="1"/>
      <c r="P7113" s="1"/>
      <c r="Q7113" s="1"/>
      <c r="R7113" s="1"/>
      <c r="S7113" s="1"/>
      <c r="T7113" s="1"/>
      <c r="U7113" s="1"/>
      <c r="V7113" s="1"/>
      <c r="W7113" s="1"/>
      <c r="X7113" s="1"/>
      <c r="Y7113" s="1"/>
      <c r="Z7113" s="1"/>
      <c r="AA7113" s="1"/>
      <c r="AB7113" s="1"/>
    </row>
    <row r="7114" ht="50.25" customHeight="1">
      <c r="A7114" s="12">
        <v>7110.0</v>
      </c>
      <c r="B7114" s="13" t="s">
        <v>7028</v>
      </c>
      <c r="C7114" s="14" t="s">
        <v>7138</v>
      </c>
      <c r="D7114" s="1"/>
      <c r="E7114" s="1"/>
      <c r="F7114" s="1" t="str">
        <f>IFERROR(__xludf.DUMMYFUNCTION("GOOGLETRANSLATE(B7114, ""en"", ""fa"")
"),"موفقیت در ای بی")</f>
        <v>موفقیت در ای بی</v>
      </c>
      <c r="G7114" s="1" t="str">
        <f>IFERROR(__xludf.DUMMYFUNCTION("GOOGLETRANSLATE(C7114, ""en"", ""fa"")
"),"چگونه می‌توانم لیست‌های eBay را برای بهبود عملکرد در بخش‌های «موارد مشابه» و «جستجوهای مرتبط» eBay بهینه کنم؟")</f>
        <v>چگونه می‌توانم لیست‌های eBay را برای بهبود عملکرد در بخش‌های «موارد مشابه» و «جستجوهای مرتبط» eBay بهینه کنم؟</v>
      </c>
      <c r="H7114" s="1"/>
      <c r="I7114" s="1"/>
      <c r="J7114" s="1"/>
      <c r="K7114" s="1"/>
      <c r="L7114" s="1"/>
      <c r="M7114" s="1"/>
      <c r="N7114" s="1"/>
      <c r="O7114" s="1"/>
      <c r="P7114" s="1"/>
      <c r="Q7114" s="1"/>
      <c r="R7114" s="1"/>
      <c r="S7114" s="1"/>
      <c r="T7114" s="1"/>
      <c r="U7114" s="1"/>
      <c r="V7114" s="1"/>
      <c r="W7114" s="1"/>
      <c r="X7114" s="1"/>
      <c r="Y7114" s="1"/>
      <c r="Z7114" s="1"/>
      <c r="AA7114" s="1"/>
      <c r="AB7114" s="1"/>
    </row>
    <row r="7115" ht="50.25" customHeight="1">
      <c r="A7115" s="12">
        <v>7111.0</v>
      </c>
      <c r="B7115" s="13" t="s">
        <v>7028</v>
      </c>
      <c r="C7115" s="14" t="s">
        <v>7139</v>
      </c>
      <c r="D7115" s="1"/>
      <c r="E7115" s="1"/>
      <c r="F7115" s="1" t="str">
        <f>IFERROR(__xludf.DUMMYFUNCTION("GOOGLETRANSLATE(B7115, ""en"", ""fa"")
"),"موفقیت در ای بی")</f>
        <v>موفقیت در ای بی</v>
      </c>
      <c r="G7115" s="1" t="str">
        <f>IFERROR(__xludf.DUMMYFUNCTION("GOOGLETRANSLATE(C7115, ""en"", ""fa"")
"),"از چه استراتژی هایی می توانم برای بهینه سازی لیست های eBay برای بهبود دید در دسته ها یا زیرمجموعه های خاص eBay استفاده کنم؟")</f>
        <v>از چه استراتژی هایی می توانم برای بهینه سازی لیست های eBay برای بهبود دید در دسته ها یا زیرمجموعه های خاص eBay استفاده کنم؟</v>
      </c>
      <c r="H7115" s="1"/>
      <c r="I7115" s="1"/>
      <c r="J7115" s="1"/>
      <c r="K7115" s="1"/>
      <c r="L7115" s="1"/>
      <c r="M7115" s="1"/>
      <c r="N7115" s="1"/>
      <c r="O7115" s="1"/>
      <c r="P7115" s="1"/>
      <c r="Q7115" s="1"/>
      <c r="R7115" s="1"/>
      <c r="S7115" s="1"/>
      <c r="T7115" s="1"/>
      <c r="U7115" s="1"/>
      <c r="V7115" s="1"/>
      <c r="W7115" s="1"/>
      <c r="X7115" s="1"/>
      <c r="Y7115" s="1"/>
      <c r="Z7115" s="1"/>
      <c r="AA7115" s="1"/>
      <c r="AB7115" s="1"/>
    </row>
    <row r="7116" ht="50.25" customHeight="1">
      <c r="A7116" s="12">
        <v>7112.0</v>
      </c>
      <c r="B7116" s="13" t="s">
        <v>7028</v>
      </c>
      <c r="C7116" s="14" t="s">
        <v>7140</v>
      </c>
      <c r="D7116" s="1"/>
      <c r="E7116" s="1"/>
      <c r="F7116" s="1" t="str">
        <f>IFERROR(__xludf.DUMMYFUNCTION("GOOGLETRANSLATE(B7116, ""en"", ""fa"")
"),"موفقیت در ای بی")</f>
        <v>موفقیت در ای بی</v>
      </c>
      <c r="G7116" s="1" t="str">
        <f>IFERROR(__xludf.DUMMYFUNCTION("GOOGLETRANSLATE(C7116, ""en"", ""fa"")
"),"چگونه می توانم تکنیک های داستان سرایی متقاعد کننده را در توضیحات لیست eBay برای ارتباط با خریداران در سطح احساسی بگنجانم؟")</f>
        <v>چگونه می توانم تکنیک های داستان سرایی متقاعد کننده را در توضیحات لیست eBay برای ارتباط با خریداران در سطح احساسی بگنجانم؟</v>
      </c>
      <c r="H7116" s="1"/>
      <c r="I7116" s="1"/>
      <c r="J7116" s="1"/>
      <c r="K7116" s="1"/>
      <c r="L7116" s="1"/>
      <c r="M7116" s="1"/>
      <c r="N7116" s="1"/>
      <c r="O7116" s="1"/>
      <c r="P7116" s="1"/>
      <c r="Q7116" s="1"/>
      <c r="R7116" s="1"/>
      <c r="S7116" s="1"/>
      <c r="T7116" s="1"/>
      <c r="U7116" s="1"/>
      <c r="V7116" s="1"/>
      <c r="W7116" s="1"/>
      <c r="X7116" s="1"/>
      <c r="Y7116" s="1"/>
      <c r="Z7116" s="1"/>
      <c r="AA7116" s="1"/>
      <c r="AB7116" s="1"/>
    </row>
    <row r="7117" ht="50.25" customHeight="1">
      <c r="A7117" s="12">
        <v>7113.0</v>
      </c>
      <c r="B7117" s="13" t="s">
        <v>7028</v>
      </c>
      <c r="C7117" s="14" t="s">
        <v>7141</v>
      </c>
      <c r="D7117" s="1"/>
      <c r="E7117" s="1"/>
      <c r="F7117" s="1" t="str">
        <f>IFERROR(__xludf.DUMMYFUNCTION("GOOGLETRANSLATE(B7117, ""en"", ""fa"")
"),"موفقیت در ای بی")</f>
        <v>موفقیت در ای بی</v>
      </c>
      <c r="G7117" s="1" t="str">
        <f>IFERROR(__xludf.DUMMYFUNCTION("GOOGLETRANSLATE(C7117, ""en"", ""fa"")
"),"هنگام ایجاد عناوین محصولات قانع‌کننده که در یک بازار شلوغ برجسته می‌شوند، چه عناصر کلیدی را باید در نظر گرفت؟")</f>
        <v>هنگام ایجاد عناوین محصولات قانع‌کننده که در یک بازار شلوغ برجسته می‌شوند، چه عناصر کلیدی را باید در نظر گرفت؟</v>
      </c>
      <c r="H7117" s="1"/>
      <c r="I7117" s="1"/>
      <c r="J7117" s="1"/>
      <c r="K7117" s="1"/>
      <c r="L7117" s="1"/>
      <c r="M7117" s="1"/>
      <c r="N7117" s="1"/>
      <c r="O7117" s="1"/>
      <c r="P7117" s="1"/>
      <c r="Q7117" s="1"/>
      <c r="R7117" s="1"/>
      <c r="S7117" s="1"/>
      <c r="T7117" s="1"/>
      <c r="U7117" s="1"/>
      <c r="V7117" s="1"/>
      <c r="W7117" s="1"/>
      <c r="X7117" s="1"/>
      <c r="Y7117" s="1"/>
      <c r="Z7117" s="1"/>
      <c r="AA7117" s="1"/>
      <c r="AB7117" s="1"/>
    </row>
    <row r="7118" ht="50.25" customHeight="1">
      <c r="A7118" s="12">
        <v>7114.0</v>
      </c>
      <c r="B7118" s="13" t="s">
        <v>7028</v>
      </c>
      <c r="C7118" s="14" t="s">
        <v>7142</v>
      </c>
      <c r="D7118" s="1"/>
      <c r="E7118" s="1"/>
      <c r="F7118" s="1" t="str">
        <f>IFERROR(__xludf.DUMMYFUNCTION("GOOGLETRANSLATE(B7118, ""en"", ""fa"")
"),"موفقیت در ای بی")</f>
        <v>موفقیت در ای بی</v>
      </c>
      <c r="G7118" s="1" t="str">
        <f>IFERROR(__xludf.DUMMYFUNCTION("GOOGLETRANSLATE(C7118, ""en"", ""fa"")
"),"چگونه می توانم توضیحات لیست eBay را برای خوانایی و اسکن بهتر بهینه کنم؟")</f>
        <v>چگونه می توانم توضیحات لیست eBay را برای خوانایی و اسکن بهتر بهینه کنم؟</v>
      </c>
      <c r="H7118" s="1"/>
      <c r="I7118" s="1"/>
      <c r="J7118" s="1"/>
      <c r="K7118" s="1"/>
      <c r="L7118" s="1"/>
      <c r="M7118" s="1"/>
      <c r="N7118" s="1"/>
      <c r="O7118" s="1"/>
      <c r="P7118" s="1"/>
      <c r="Q7118" s="1"/>
      <c r="R7118" s="1"/>
      <c r="S7118" s="1"/>
      <c r="T7118" s="1"/>
      <c r="U7118" s="1"/>
      <c r="V7118" s="1"/>
      <c r="W7118" s="1"/>
      <c r="X7118" s="1"/>
      <c r="Y7118" s="1"/>
      <c r="Z7118" s="1"/>
      <c r="AA7118" s="1"/>
      <c r="AB7118" s="1"/>
    </row>
    <row r="7119" ht="50.25" customHeight="1">
      <c r="A7119" s="12">
        <v>7115.0</v>
      </c>
      <c r="B7119" s="13" t="s">
        <v>7028</v>
      </c>
      <c r="C7119" s="14" t="s">
        <v>7143</v>
      </c>
      <c r="D7119" s="1"/>
      <c r="E7119" s="1"/>
      <c r="F7119" s="1" t="str">
        <f>IFERROR(__xludf.DUMMYFUNCTION("GOOGLETRANSLATE(B7119, ""en"", ""fa"")
"),"موفقیت در ای بی")</f>
        <v>موفقیت در ای بی</v>
      </c>
      <c r="G7119" s="1" t="str">
        <f>IFERROR(__xludf.DUMMYFUNCTION("GOOGLETRANSLATE(C7119, ""en"", ""fa"")
"),"چه استراتژی هایی را می توانم برای بهینه سازی لیست های eBay برای افزایش اعتماد و اطمینان خریدار به کار بگیرم؟")</f>
        <v>چه استراتژی هایی را می توانم برای بهینه سازی لیست های eBay برای افزایش اعتماد و اطمینان خریدار به کار بگیرم؟</v>
      </c>
      <c r="H7119" s="1"/>
      <c r="I7119" s="1"/>
      <c r="J7119" s="1"/>
      <c r="K7119" s="1"/>
      <c r="L7119" s="1"/>
      <c r="M7119" s="1"/>
      <c r="N7119" s="1"/>
      <c r="O7119" s="1"/>
      <c r="P7119" s="1"/>
      <c r="Q7119" s="1"/>
      <c r="R7119" s="1"/>
      <c r="S7119" s="1"/>
      <c r="T7119" s="1"/>
      <c r="U7119" s="1"/>
      <c r="V7119" s="1"/>
      <c r="W7119" s="1"/>
      <c r="X7119" s="1"/>
      <c r="Y7119" s="1"/>
      <c r="Z7119" s="1"/>
      <c r="AA7119" s="1"/>
      <c r="AB7119" s="1"/>
    </row>
    <row r="7120" ht="50.25" customHeight="1">
      <c r="A7120" s="12">
        <v>7116.0</v>
      </c>
      <c r="B7120" s="13" t="s">
        <v>7028</v>
      </c>
      <c r="C7120" s="14" t="s">
        <v>7144</v>
      </c>
      <c r="D7120" s="1"/>
      <c r="E7120" s="1"/>
      <c r="F7120" s="1" t="str">
        <f>IFERROR(__xludf.DUMMYFUNCTION("GOOGLETRANSLATE(B7120, ""en"", ""fa"")
"),"موفقیت در ای بی")</f>
        <v>موفقیت در ای بی</v>
      </c>
      <c r="G7120" s="1" t="str">
        <f>IFERROR(__xludf.DUMMYFUNCTION("GOOGLETRANSLATE(C7120, ""en"", ""fa"")
"),"چگونه می توانم از شخصیت های خریدار و تجزیه و تحلیل مخاطبان هدف استفاده کنم تا لیست های eBay را برای بخش های خاص خریداران تنظیم کنم؟")</f>
        <v>چگونه می توانم از شخصیت های خریدار و تجزیه و تحلیل مخاطبان هدف استفاده کنم تا لیست های eBay را برای بخش های خاص خریداران تنظیم کنم؟</v>
      </c>
      <c r="H7120" s="1"/>
      <c r="I7120" s="1"/>
      <c r="J7120" s="1"/>
      <c r="K7120" s="1"/>
      <c r="L7120" s="1"/>
      <c r="M7120" s="1"/>
      <c r="N7120" s="1"/>
      <c r="O7120" s="1"/>
      <c r="P7120" s="1"/>
      <c r="Q7120" s="1"/>
      <c r="R7120" s="1"/>
      <c r="S7120" s="1"/>
      <c r="T7120" s="1"/>
      <c r="U7120" s="1"/>
      <c r="V7120" s="1"/>
      <c r="W7120" s="1"/>
      <c r="X7120" s="1"/>
      <c r="Y7120" s="1"/>
      <c r="Z7120" s="1"/>
      <c r="AA7120" s="1"/>
      <c r="AB7120" s="1"/>
    </row>
    <row r="7121" ht="50.25" customHeight="1">
      <c r="A7121" s="12">
        <v>7117.0</v>
      </c>
      <c r="B7121" s="13" t="s">
        <v>7028</v>
      </c>
      <c r="C7121" s="14" t="s">
        <v>7145</v>
      </c>
      <c r="D7121" s="1"/>
      <c r="E7121" s="1"/>
      <c r="F7121" s="1" t="str">
        <f>IFERROR(__xludf.DUMMYFUNCTION("GOOGLETRANSLATE(B7121, ""en"", ""fa"")
"),"موفقیت در ای بی")</f>
        <v>موفقیت در ای بی</v>
      </c>
      <c r="G7121" s="1" t="str">
        <f>IFERROR(__xludf.DUMMYFUNCTION("GOOGLETRANSLATE(C7121, ""en"", ""fa"")
"),"چند تکنیک موثر برای استفاده از تصاویر محصول با وضوح بالا که ویژگی ها و کیفیت محصول را به وضوح نشان می دهد چیست؟")</f>
        <v>چند تکنیک موثر برای استفاده از تصاویر محصول با وضوح بالا که ویژگی ها و کیفیت محصول را به وضوح نشان می دهد چیست؟</v>
      </c>
      <c r="H7121" s="1"/>
      <c r="I7121" s="1"/>
      <c r="J7121" s="1"/>
      <c r="K7121" s="1"/>
      <c r="L7121" s="1"/>
      <c r="M7121" s="1"/>
      <c r="N7121" s="1"/>
      <c r="O7121" s="1"/>
      <c r="P7121" s="1"/>
      <c r="Q7121" s="1"/>
      <c r="R7121" s="1"/>
      <c r="S7121" s="1"/>
      <c r="T7121" s="1"/>
      <c r="U7121" s="1"/>
      <c r="V7121" s="1"/>
      <c r="W7121" s="1"/>
      <c r="X7121" s="1"/>
      <c r="Y7121" s="1"/>
      <c r="Z7121" s="1"/>
      <c r="AA7121" s="1"/>
      <c r="AB7121" s="1"/>
    </row>
    <row r="7122" ht="50.25" customHeight="1">
      <c r="A7122" s="12">
        <v>7118.0</v>
      </c>
      <c r="B7122" s="13" t="s">
        <v>7028</v>
      </c>
      <c r="C7122" s="14" t="s">
        <v>7146</v>
      </c>
      <c r="D7122" s="1"/>
      <c r="E7122" s="1"/>
      <c r="F7122" s="1" t="str">
        <f>IFERROR(__xludf.DUMMYFUNCTION("GOOGLETRANSLATE(B7122, ""en"", ""fa"")
"),"موفقیت در ای بی")</f>
        <v>موفقیت در ای بی</v>
      </c>
      <c r="G7122" s="1" t="str">
        <f>IFERROR(__xludf.DUMMYFUNCTION("GOOGLETRANSLATE(C7122, ""en"", ""fa"")
"),"چگونه می توانم لیست های eBay را برای عملکرد بهتر در گزینه های مرتب سازی ""Ending Soonest"" و ""Newly Listed"" eBay بهینه کنم؟")</f>
        <v>چگونه می توانم لیست های eBay را برای عملکرد بهتر در گزینه های مرتب سازی "Ending Soonest" و "Newly Listed" eBay بهینه کنم؟</v>
      </c>
      <c r="H7122" s="1"/>
      <c r="I7122" s="1"/>
      <c r="J7122" s="1"/>
      <c r="K7122" s="1"/>
      <c r="L7122" s="1"/>
      <c r="M7122" s="1"/>
      <c r="N7122" s="1"/>
      <c r="O7122" s="1"/>
      <c r="P7122" s="1"/>
      <c r="Q7122" s="1"/>
      <c r="R7122" s="1"/>
      <c r="S7122" s="1"/>
      <c r="T7122" s="1"/>
      <c r="U7122" s="1"/>
      <c r="V7122" s="1"/>
      <c r="W7122" s="1"/>
      <c r="X7122" s="1"/>
      <c r="Y7122" s="1"/>
      <c r="Z7122" s="1"/>
      <c r="AA7122" s="1"/>
      <c r="AB7122" s="1"/>
    </row>
    <row r="7123" ht="50.25" customHeight="1">
      <c r="A7123" s="12">
        <v>7119.0</v>
      </c>
      <c r="B7123" s="13" t="s">
        <v>7028</v>
      </c>
      <c r="C7123" s="14" t="s">
        <v>7147</v>
      </c>
      <c r="D7123" s="1"/>
      <c r="E7123" s="1"/>
      <c r="F7123" s="1" t="str">
        <f>IFERROR(__xludf.DUMMYFUNCTION("GOOGLETRANSLATE(B7123, ""en"", ""fa"")
"),"موفقیت در ای بی")</f>
        <v>موفقیت در ای بی</v>
      </c>
      <c r="G7123" s="1" t="str">
        <f>IFERROR(__xludf.DUMMYFUNCTION("GOOGLETRANSLATE(C7123, ""en"", ""fa"")
"),"بهترین شیوه ها برای ترکیب زبان متقاعدکننده و عبارات سود محور در توضیحات فهرست eBay چیست؟")</f>
        <v>بهترین شیوه ها برای ترکیب زبان متقاعدکننده و عبارات سود محور در توضیحات فهرست eBay چیست؟</v>
      </c>
      <c r="H7123" s="1"/>
      <c r="I7123" s="1"/>
      <c r="J7123" s="1"/>
      <c r="K7123" s="1"/>
      <c r="L7123" s="1"/>
      <c r="M7123" s="1"/>
      <c r="N7123" s="1"/>
      <c r="O7123" s="1"/>
      <c r="P7123" s="1"/>
      <c r="Q7123" s="1"/>
      <c r="R7123" s="1"/>
      <c r="S7123" s="1"/>
      <c r="T7123" s="1"/>
      <c r="U7123" s="1"/>
      <c r="V7123" s="1"/>
      <c r="W7123" s="1"/>
      <c r="X7123" s="1"/>
      <c r="Y7123" s="1"/>
      <c r="Z7123" s="1"/>
      <c r="AA7123" s="1"/>
      <c r="AB7123" s="1"/>
    </row>
    <row r="7124" ht="50.25" customHeight="1">
      <c r="A7124" s="12">
        <v>7120.0</v>
      </c>
      <c r="B7124" s="13" t="s">
        <v>7028</v>
      </c>
      <c r="C7124" s="14" t="s">
        <v>7148</v>
      </c>
      <c r="D7124" s="1"/>
      <c r="E7124" s="1"/>
      <c r="F7124" s="1" t="str">
        <f>IFERROR(__xludf.DUMMYFUNCTION("GOOGLETRANSLATE(B7124, ""en"", ""fa"")
"),"موفقیت در ای بی")</f>
        <v>موفقیت در ای بی</v>
      </c>
      <c r="G7124" s="1" t="str">
        <f>IFERROR(__xludf.DUMMYFUNCTION("GOOGLETRANSLATE(C7124, ""en"", ""fa"")
"),"چگونه می‌توانم فهرست‌های eBay را برای بهبود عملکرد در بخش‌های «راهنمای خریدار» و «ایده‌های هدیه» eBay بهینه کنم؟")</f>
        <v>چگونه می‌توانم فهرست‌های eBay را برای بهبود عملکرد در بخش‌های «راهنمای خریدار» و «ایده‌های هدیه» eBay بهینه کنم؟</v>
      </c>
      <c r="H7124" s="1"/>
      <c r="I7124" s="1"/>
      <c r="J7124" s="1"/>
      <c r="K7124" s="1"/>
      <c r="L7124" s="1"/>
      <c r="M7124" s="1"/>
      <c r="N7124" s="1"/>
      <c r="O7124" s="1"/>
      <c r="P7124" s="1"/>
      <c r="Q7124" s="1"/>
      <c r="R7124" s="1"/>
      <c r="S7124" s="1"/>
      <c r="T7124" s="1"/>
      <c r="U7124" s="1"/>
      <c r="V7124" s="1"/>
      <c r="W7124" s="1"/>
      <c r="X7124" s="1"/>
      <c r="Y7124" s="1"/>
      <c r="Z7124" s="1"/>
      <c r="AA7124" s="1"/>
      <c r="AB7124" s="1"/>
    </row>
    <row r="7125" ht="50.25" customHeight="1">
      <c r="A7125" s="12">
        <v>7121.0</v>
      </c>
      <c r="B7125" s="13" t="s">
        <v>7028</v>
      </c>
      <c r="C7125" s="14" t="s">
        <v>7149</v>
      </c>
      <c r="D7125" s="1"/>
      <c r="E7125" s="1"/>
      <c r="F7125" s="1" t="str">
        <f>IFERROR(__xludf.DUMMYFUNCTION("GOOGLETRANSLATE(B7125, ""en"", ""fa"")
"),"موفقیت در ای بی")</f>
        <v>موفقیت در ای بی</v>
      </c>
      <c r="G7125" s="1" t="str">
        <f>IFERROR(__xludf.DUMMYFUNCTION("GOOGLETRANSLATE(C7125, ""en"", ""fa"")
"),"از چه استراتژی هایی می توانم برای بهینه سازی لیست های eBay برای نرخ تبدیل بالاتر و کاهش نرخ پرش استفاده کنم؟")</f>
        <v>از چه استراتژی هایی می توانم برای بهینه سازی لیست های eBay برای نرخ تبدیل بالاتر و کاهش نرخ پرش استفاده کنم؟</v>
      </c>
      <c r="H7125" s="1"/>
      <c r="I7125" s="1"/>
      <c r="J7125" s="1"/>
      <c r="K7125" s="1"/>
      <c r="L7125" s="1"/>
      <c r="M7125" s="1"/>
      <c r="N7125" s="1"/>
      <c r="O7125" s="1"/>
      <c r="P7125" s="1"/>
      <c r="Q7125" s="1"/>
      <c r="R7125" s="1"/>
      <c r="S7125" s="1"/>
      <c r="T7125" s="1"/>
      <c r="U7125" s="1"/>
      <c r="V7125" s="1"/>
      <c r="W7125" s="1"/>
      <c r="X7125" s="1"/>
      <c r="Y7125" s="1"/>
      <c r="Z7125" s="1"/>
      <c r="AA7125" s="1"/>
      <c r="AB7125" s="1"/>
    </row>
    <row r="7126" ht="50.25" customHeight="1">
      <c r="A7126" s="12">
        <v>7122.0</v>
      </c>
      <c r="B7126" s="13" t="s">
        <v>7028</v>
      </c>
      <c r="C7126" s="14" t="s">
        <v>7150</v>
      </c>
      <c r="D7126" s="1"/>
      <c r="E7126" s="1"/>
      <c r="F7126" s="1" t="str">
        <f>IFERROR(__xludf.DUMMYFUNCTION("GOOGLETRANSLATE(B7126, ""en"", ""fa"")
"),"موفقیت در ای بی")</f>
        <v>موفقیت در ای بی</v>
      </c>
      <c r="G7126" s="1" t="str">
        <f>IFERROR(__xludf.DUMMYFUNCTION("GOOGLETRANSLATE(C7126, ""en"", ""fa"")
"),"چگونه می توانم تست کاربر را انجام دهم و بازخورد جمع آوری کنم تا لیست های eBay خود را به طور مداوم اصلاح و بهینه کنم؟")</f>
        <v>چگونه می توانم تست کاربر را انجام دهم و بازخورد جمع آوری کنم تا لیست های eBay خود را به طور مداوم اصلاح و بهینه کنم؟</v>
      </c>
      <c r="H7126" s="1"/>
      <c r="I7126" s="1"/>
      <c r="J7126" s="1"/>
      <c r="K7126" s="1"/>
      <c r="L7126" s="1"/>
      <c r="M7126" s="1"/>
      <c r="N7126" s="1"/>
      <c r="O7126" s="1"/>
      <c r="P7126" s="1"/>
      <c r="Q7126" s="1"/>
      <c r="R7126" s="1"/>
      <c r="S7126" s="1"/>
      <c r="T7126" s="1"/>
      <c r="U7126" s="1"/>
      <c r="V7126" s="1"/>
      <c r="W7126" s="1"/>
      <c r="X7126" s="1"/>
      <c r="Y7126" s="1"/>
      <c r="Z7126" s="1"/>
      <c r="AA7126" s="1"/>
      <c r="AB7126" s="1"/>
    </row>
    <row r="7127" ht="50.25" customHeight="1">
      <c r="A7127" s="12">
        <v>7123.0</v>
      </c>
      <c r="B7127" s="13" t="s">
        <v>7028</v>
      </c>
      <c r="C7127" s="14" t="s">
        <v>7151</v>
      </c>
      <c r="D7127" s="1"/>
      <c r="E7127" s="1"/>
      <c r="F7127" s="1" t="str">
        <f>IFERROR(__xludf.DUMMYFUNCTION("GOOGLETRANSLATE(B7127, ""en"", ""fa"")
"),"موفقیت در ای بی")</f>
        <v>موفقیت در ای بی</v>
      </c>
      <c r="G7127" s="1" t="str">
        <f>IFERROR(__xludf.DUMMYFUNCTION("GOOGLETRANSLATE(C7127, ""en"", ""fa"")
"),"ملاحظات کلیدی برای بهینه سازی لیست های eBay برای دید بهتر در پیشنهادات جستجوی eBay و ویژگی تکمیل خودکار چیست؟")</f>
        <v>ملاحظات کلیدی برای بهینه سازی لیست های eBay برای دید بهتر در پیشنهادات جستجوی eBay و ویژگی تکمیل خودکار چیست؟</v>
      </c>
      <c r="H7127" s="1"/>
      <c r="I7127" s="1"/>
      <c r="J7127" s="1"/>
      <c r="K7127" s="1"/>
      <c r="L7127" s="1"/>
      <c r="M7127" s="1"/>
      <c r="N7127" s="1"/>
      <c r="O7127" s="1"/>
      <c r="P7127" s="1"/>
      <c r="Q7127" s="1"/>
      <c r="R7127" s="1"/>
      <c r="S7127" s="1"/>
      <c r="T7127" s="1"/>
      <c r="U7127" s="1"/>
      <c r="V7127" s="1"/>
      <c r="W7127" s="1"/>
      <c r="X7127" s="1"/>
      <c r="Y7127" s="1"/>
      <c r="Z7127" s="1"/>
      <c r="AA7127" s="1"/>
      <c r="AB7127" s="1"/>
    </row>
    <row r="7128" ht="50.25" customHeight="1">
      <c r="A7128" s="12">
        <v>7124.0</v>
      </c>
      <c r="B7128" s="13" t="s">
        <v>7028</v>
      </c>
      <c r="C7128" s="14" t="s">
        <v>7152</v>
      </c>
      <c r="D7128" s="1"/>
      <c r="E7128" s="1"/>
      <c r="F7128" s="1" t="str">
        <f>IFERROR(__xludf.DUMMYFUNCTION("GOOGLETRANSLATE(B7128, ""en"", ""fa"")
"),"موفقیت در ای بی")</f>
        <v>موفقیت در ای بی</v>
      </c>
      <c r="G7128" s="1" t="str">
        <f>IFERROR(__xludf.DUMMYFUNCTION("GOOGLETRANSLATE(C7128, ""en"", ""fa"")
"),"چگونه می توانم عناوین فهرست eBay را برای بهبود عملکرد در موتورهای جستجوی خارجی مانند گوگل یا بینگ بهینه کنم؟")</f>
        <v>چگونه می توانم عناوین فهرست eBay را برای بهبود عملکرد در موتورهای جستجوی خارجی مانند گوگل یا بینگ بهینه کنم؟</v>
      </c>
      <c r="H7128" s="1"/>
      <c r="I7128" s="1"/>
      <c r="J7128" s="1"/>
      <c r="K7128" s="1"/>
      <c r="L7128" s="1"/>
      <c r="M7128" s="1"/>
      <c r="N7128" s="1"/>
      <c r="O7128" s="1"/>
      <c r="P7128" s="1"/>
      <c r="Q7128" s="1"/>
      <c r="R7128" s="1"/>
      <c r="S7128" s="1"/>
      <c r="T7128" s="1"/>
      <c r="U7128" s="1"/>
      <c r="V7128" s="1"/>
      <c r="W7128" s="1"/>
      <c r="X7128" s="1"/>
      <c r="Y7128" s="1"/>
      <c r="Z7128" s="1"/>
      <c r="AA7128" s="1"/>
      <c r="AB7128" s="1"/>
    </row>
    <row r="7129" ht="50.25" customHeight="1">
      <c r="A7129" s="12">
        <v>7125.0</v>
      </c>
      <c r="B7129" s="13" t="s">
        <v>7028</v>
      </c>
      <c r="C7129" s="14" t="s">
        <v>7153</v>
      </c>
      <c r="D7129" s="1"/>
      <c r="E7129" s="1"/>
      <c r="F7129" s="1" t="str">
        <f>IFERROR(__xludf.DUMMYFUNCTION("GOOGLETRANSLATE(B7129, ""en"", ""fa"")
"),"موفقیت در ای بی")</f>
        <v>موفقیت در ای بی</v>
      </c>
      <c r="G7129" s="1" t="str">
        <f>IFERROR(__xludf.DUMMYFUNCTION("GOOGLETRANSLATE(C7129, ""en"", ""fa"")
"),"چه استراتژی هایی را می توانم برای بهینه سازی لیست های eBay برای افزایش تعامل خریدار و زمان صرف شده در صفحه به کار ببرم؟")</f>
        <v>چه استراتژی هایی را می توانم برای بهینه سازی لیست های eBay برای افزایش تعامل خریدار و زمان صرف شده در صفحه به کار ببرم؟</v>
      </c>
      <c r="H7129" s="1"/>
      <c r="I7129" s="1"/>
      <c r="J7129" s="1"/>
      <c r="K7129" s="1"/>
      <c r="L7129" s="1"/>
      <c r="M7129" s="1"/>
      <c r="N7129" s="1"/>
      <c r="O7129" s="1"/>
      <c r="P7129" s="1"/>
      <c r="Q7129" s="1"/>
      <c r="R7129" s="1"/>
      <c r="S7129" s="1"/>
      <c r="T7129" s="1"/>
      <c r="U7129" s="1"/>
      <c r="V7129" s="1"/>
      <c r="W7129" s="1"/>
      <c r="X7129" s="1"/>
      <c r="Y7129" s="1"/>
      <c r="Z7129" s="1"/>
      <c r="AA7129" s="1"/>
      <c r="AB7129" s="1"/>
    </row>
    <row r="7130" ht="50.25" customHeight="1">
      <c r="A7130" s="12">
        <v>7126.0</v>
      </c>
      <c r="B7130" s="13" t="s">
        <v>7028</v>
      </c>
      <c r="C7130" s="14" t="s">
        <v>7154</v>
      </c>
      <c r="D7130" s="1"/>
      <c r="E7130" s="1"/>
      <c r="F7130" s="1" t="str">
        <f>IFERROR(__xludf.DUMMYFUNCTION("GOOGLETRANSLATE(B7130, ""en"", ""fa"")
"),"موفقیت در ای بی")</f>
        <v>موفقیت در ای بی</v>
      </c>
      <c r="G7130" s="1" t="str">
        <f>IFERROR(__xludf.DUMMYFUNCTION("GOOGLETRANSLATE(C7130, ""en"", ""fa"")
"),"چگونه می توانم از نظرات و نظرات خریداران در لیست های eBay برای ایجاد مدرک اجتماعی و اعتماد استفاده کنم؟")</f>
        <v>چگونه می توانم از نظرات و نظرات خریداران در لیست های eBay برای ایجاد مدرک اجتماعی و اعتماد استفاده کنم؟</v>
      </c>
      <c r="H7130" s="1"/>
      <c r="I7130" s="1"/>
      <c r="J7130" s="1"/>
      <c r="K7130" s="1"/>
      <c r="L7130" s="1"/>
      <c r="M7130" s="1"/>
      <c r="N7130" s="1"/>
      <c r="O7130" s="1"/>
      <c r="P7130" s="1"/>
      <c r="Q7130" s="1"/>
      <c r="R7130" s="1"/>
      <c r="S7130" s="1"/>
      <c r="T7130" s="1"/>
      <c r="U7130" s="1"/>
      <c r="V7130" s="1"/>
      <c r="W7130" s="1"/>
      <c r="X7130" s="1"/>
      <c r="Y7130" s="1"/>
      <c r="Z7130" s="1"/>
      <c r="AA7130" s="1"/>
      <c r="AB7130" s="1"/>
    </row>
    <row r="7131" ht="50.25" customHeight="1">
      <c r="A7131" s="12">
        <v>7127.0</v>
      </c>
      <c r="B7131" s="13" t="s">
        <v>7028</v>
      </c>
      <c r="C7131" s="14" t="s">
        <v>7155</v>
      </c>
      <c r="D7131" s="1"/>
      <c r="E7131" s="1"/>
      <c r="F7131" s="1" t="str">
        <f>IFERROR(__xludf.DUMMYFUNCTION("GOOGLETRANSLATE(B7131, ""en"", ""fa"")
"),"موفقیت در ای بی")</f>
        <v>موفقیت در ای بی</v>
      </c>
      <c r="G7131" s="1" t="str">
        <f>IFERROR(__xludf.DUMMYFUNCTION("GOOGLETRANSLATE(C7131, ""en"", ""fa"")
"),"چند تکنیک موثر برای بهینه سازی لیست های eBay برای افزایش نرخ کلیک از نتایج جستجو چیست؟")</f>
        <v>چند تکنیک موثر برای بهینه سازی لیست های eBay برای افزایش نرخ کلیک از نتایج جستجو چیست؟</v>
      </c>
      <c r="H7131" s="1"/>
      <c r="I7131" s="1"/>
      <c r="J7131" s="1"/>
      <c r="K7131" s="1"/>
      <c r="L7131" s="1"/>
      <c r="M7131" s="1"/>
      <c r="N7131" s="1"/>
      <c r="O7131" s="1"/>
      <c r="P7131" s="1"/>
      <c r="Q7131" s="1"/>
      <c r="R7131" s="1"/>
      <c r="S7131" s="1"/>
      <c r="T7131" s="1"/>
      <c r="U7131" s="1"/>
      <c r="V7131" s="1"/>
      <c r="W7131" s="1"/>
      <c r="X7131" s="1"/>
      <c r="Y7131" s="1"/>
      <c r="Z7131" s="1"/>
      <c r="AA7131" s="1"/>
      <c r="AB7131" s="1"/>
    </row>
    <row r="7132" ht="50.25" customHeight="1">
      <c r="A7132" s="12">
        <v>7128.0</v>
      </c>
      <c r="B7132" s="13" t="s">
        <v>7028</v>
      </c>
      <c r="C7132" s="14" t="s">
        <v>7156</v>
      </c>
      <c r="D7132" s="1"/>
      <c r="E7132" s="1"/>
      <c r="F7132" s="1" t="str">
        <f>IFERROR(__xludf.DUMMYFUNCTION("GOOGLETRANSLATE(B7132, ""en"", ""fa"")
"),"موفقیت در ای بی")</f>
        <v>موفقیت در ای بی</v>
      </c>
      <c r="G7132" s="1" t="str">
        <f>IFERROR(__xludf.DUMMYFUNCTION("GOOGLETRANSLATE(C7132, ""en"", ""fa"")
"),"چگونه می توانم مشخصات و ویژگی های محصول مرتبط را در لیست های eBay برای ارائه اطلاعات جامع وارد کنم؟")</f>
        <v>چگونه می توانم مشخصات و ویژگی های محصول مرتبط را در لیست های eBay برای ارائه اطلاعات جامع وارد کنم؟</v>
      </c>
      <c r="H7132" s="1"/>
      <c r="I7132" s="1"/>
      <c r="J7132" s="1"/>
      <c r="K7132" s="1"/>
      <c r="L7132" s="1"/>
      <c r="M7132" s="1"/>
      <c r="N7132" s="1"/>
      <c r="O7132" s="1"/>
      <c r="P7132" s="1"/>
      <c r="Q7132" s="1"/>
      <c r="R7132" s="1"/>
      <c r="S7132" s="1"/>
      <c r="T7132" s="1"/>
      <c r="U7132" s="1"/>
      <c r="V7132" s="1"/>
      <c r="W7132" s="1"/>
      <c r="X7132" s="1"/>
      <c r="Y7132" s="1"/>
      <c r="Z7132" s="1"/>
      <c r="AA7132" s="1"/>
      <c r="AB7132" s="1"/>
    </row>
    <row r="7133" ht="50.25" customHeight="1">
      <c r="A7133" s="12">
        <v>7129.0</v>
      </c>
      <c r="B7133" s="13" t="s">
        <v>7028</v>
      </c>
      <c r="C7133" s="14" t="s">
        <v>7157</v>
      </c>
      <c r="D7133" s="1"/>
      <c r="E7133" s="1"/>
      <c r="F7133" s="1" t="str">
        <f>IFERROR(__xludf.DUMMYFUNCTION("GOOGLETRANSLATE(B7133, ""en"", ""fa"")
"),"موفقیت در ای بی")</f>
        <v>موفقیت در ای بی</v>
      </c>
      <c r="G7133" s="1" t="str">
        <f>IFERROR(__xludf.DUMMYFUNCTION("GOOGLETRANSLATE(C7133, ""en"", ""fa"")
"),"بهترین شیوه‌ها برای استفاده از استراتژی‌های قیمت‌گذاری متقاعدکننده، مانند قیمت‌گذاری سطحی یا پیشنهادات با زمان محدود، در فهرست‌های eBay چیست؟")</f>
        <v>بهترین شیوه‌ها برای استفاده از استراتژی‌های قیمت‌گذاری متقاعدکننده، مانند قیمت‌گذاری سطحی یا پیشنهادات با زمان محدود، در فهرست‌های eBay چیست؟</v>
      </c>
      <c r="H7133" s="1"/>
      <c r="I7133" s="1"/>
      <c r="J7133" s="1"/>
      <c r="K7133" s="1"/>
      <c r="L7133" s="1"/>
      <c r="M7133" s="1"/>
      <c r="N7133" s="1"/>
      <c r="O7133" s="1"/>
      <c r="P7133" s="1"/>
      <c r="Q7133" s="1"/>
      <c r="R7133" s="1"/>
      <c r="S7133" s="1"/>
      <c r="T7133" s="1"/>
      <c r="U7133" s="1"/>
      <c r="V7133" s="1"/>
      <c r="W7133" s="1"/>
      <c r="X7133" s="1"/>
      <c r="Y7133" s="1"/>
      <c r="Z7133" s="1"/>
      <c r="AA7133" s="1"/>
      <c r="AB7133" s="1"/>
    </row>
    <row r="7134" ht="50.25" customHeight="1">
      <c r="A7134" s="12">
        <v>7130.0</v>
      </c>
      <c r="B7134" s="13" t="s">
        <v>7028</v>
      </c>
      <c r="C7134" s="14" t="s">
        <v>7158</v>
      </c>
      <c r="D7134" s="1"/>
      <c r="E7134" s="1"/>
      <c r="F7134" s="1" t="str">
        <f>IFERROR(__xludf.DUMMYFUNCTION("GOOGLETRANSLATE(B7134, ""en"", ""fa"")
"),"موفقیت در ای بی")</f>
        <v>موفقیت در ای بی</v>
      </c>
      <c r="G7134" s="1" t="str">
        <f>IFERROR(__xludf.DUMMYFUNCTION("GOOGLETRANSLATE(C7134, ""en"", ""fa"")
"),"چگونه می توانم لیست های eBay را برای عملکرد بهبود یافته در فیلترهای ""Top Rated Plus"" و ""Fast ""N Free"" eBay بهینه کنم؟")</f>
        <v>چگونه می توانم لیست های eBay را برای عملکرد بهبود یافته در فیلترهای "Top Rated Plus" و "Fast "N Free" eBay بهینه کنم؟</v>
      </c>
      <c r="H7134" s="1"/>
      <c r="I7134" s="1"/>
      <c r="J7134" s="1"/>
      <c r="K7134" s="1"/>
      <c r="L7134" s="1"/>
      <c r="M7134" s="1"/>
      <c r="N7134" s="1"/>
      <c r="O7134" s="1"/>
      <c r="P7134" s="1"/>
      <c r="Q7134" s="1"/>
      <c r="R7134" s="1"/>
      <c r="S7134" s="1"/>
      <c r="T7134" s="1"/>
      <c r="U7134" s="1"/>
      <c r="V7134" s="1"/>
      <c r="W7134" s="1"/>
      <c r="X7134" s="1"/>
      <c r="Y7134" s="1"/>
      <c r="Z7134" s="1"/>
      <c r="AA7134" s="1"/>
      <c r="AB7134" s="1"/>
    </row>
    <row r="7135" ht="50.25" customHeight="1">
      <c r="A7135" s="12">
        <v>7131.0</v>
      </c>
      <c r="B7135" s="13" t="s">
        <v>7028</v>
      </c>
      <c r="C7135" s="14" t="s">
        <v>7159</v>
      </c>
      <c r="D7135" s="1"/>
      <c r="E7135" s="1"/>
      <c r="F7135" s="1" t="str">
        <f>IFERROR(__xludf.DUMMYFUNCTION("GOOGLETRANSLATE(B7135, ""en"", ""fa"")
"),"موفقیت در ای بی")</f>
        <v>موفقیت در ای بی</v>
      </c>
      <c r="G7135" s="1" t="str">
        <f>IFERROR(__xludf.DUMMYFUNCTION("GOOGLETRANSLATE(C7135, ""en"", ""fa"")
"),"از چه استراتژی هایی می توانم برای بهینه سازی لیست های eBay برای افزایش اطمینان خریدار و کاهش تردید استفاده کنم؟")</f>
        <v>از چه استراتژی هایی می توانم برای بهینه سازی لیست های eBay برای افزایش اطمینان خریدار و کاهش تردید استفاده کنم؟</v>
      </c>
      <c r="H7135" s="1"/>
      <c r="I7135" s="1"/>
      <c r="J7135" s="1"/>
      <c r="K7135" s="1"/>
      <c r="L7135" s="1"/>
      <c r="M7135" s="1"/>
      <c r="N7135" s="1"/>
      <c r="O7135" s="1"/>
      <c r="P7135" s="1"/>
      <c r="Q7135" s="1"/>
      <c r="R7135" s="1"/>
      <c r="S7135" s="1"/>
      <c r="T7135" s="1"/>
      <c r="U7135" s="1"/>
      <c r="V7135" s="1"/>
      <c r="W7135" s="1"/>
      <c r="X7135" s="1"/>
      <c r="Y7135" s="1"/>
      <c r="Z7135" s="1"/>
      <c r="AA7135" s="1"/>
      <c r="AB7135" s="1"/>
    </row>
    <row r="7136" ht="50.25" customHeight="1">
      <c r="A7136" s="12">
        <v>7132.0</v>
      </c>
      <c r="B7136" s="13" t="s">
        <v>7028</v>
      </c>
      <c r="C7136" s="14" t="s">
        <v>7160</v>
      </c>
      <c r="D7136" s="1"/>
      <c r="E7136" s="1"/>
      <c r="F7136" s="1" t="str">
        <f>IFERROR(__xludf.DUMMYFUNCTION("GOOGLETRANSLATE(B7136, ""en"", ""fa"")
"),"موفقیت در ای بی")</f>
        <v>موفقیت در ای بی</v>
      </c>
      <c r="G7136" s="1" t="str">
        <f>IFERROR(__xludf.DUMMYFUNCTION("GOOGLETRANSLATE(C7136, ""en"", ""fa"")
"),"چگونه می توانم گزارش های عبارت جستجو و داده های رفتار خریدار را برای بهینه سازی لیست های eBay خود تجزیه و تحلیل و استفاده کنم؟")</f>
        <v>چگونه می توانم گزارش های عبارت جستجو و داده های رفتار خریدار را برای بهینه سازی لیست های eBay خود تجزیه و تحلیل و استفاده کنم؟</v>
      </c>
      <c r="H7136" s="1"/>
      <c r="I7136" s="1"/>
      <c r="J7136" s="1"/>
      <c r="K7136" s="1"/>
      <c r="L7136" s="1"/>
      <c r="M7136" s="1"/>
      <c r="N7136" s="1"/>
      <c r="O7136" s="1"/>
      <c r="P7136" s="1"/>
      <c r="Q7136" s="1"/>
      <c r="R7136" s="1"/>
      <c r="S7136" s="1"/>
      <c r="T7136" s="1"/>
      <c r="U7136" s="1"/>
      <c r="V7136" s="1"/>
      <c r="W7136" s="1"/>
      <c r="X7136" s="1"/>
      <c r="Y7136" s="1"/>
      <c r="Z7136" s="1"/>
      <c r="AA7136" s="1"/>
      <c r="AB7136" s="1"/>
    </row>
    <row r="7137" ht="50.25" customHeight="1">
      <c r="A7137" s="12">
        <v>7133.0</v>
      </c>
      <c r="B7137" s="13" t="s">
        <v>7028</v>
      </c>
      <c r="C7137" s="14" t="s">
        <v>7161</v>
      </c>
      <c r="D7137" s="1"/>
      <c r="E7137" s="1"/>
      <c r="F7137" s="1" t="str">
        <f>IFERROR(__xludf.DUMMYFUNCTION("GOOGLETRANSLATE(B7137, ""en"", ""fa"")
"),"موفقیت در ای بی")</f>
        <v>موفقیت در ای بی</v>
      </c>
      <c r="G7137" s="1" t="str">
        <f>IFERROR(__xludf.DUMMYFUNCTION("GOOGLETRANSLATE(C7137, ""en"", ""fa"")
"),"هنگام انتخاب مناسب ترین دسته و زیرمجموعه برای لیست های eBay چه عناصر کلیدی باید در نظر گرفته شود؟")</f>
        <v>هنگام انتخاب مناسب ترین دسته و زیرمجموعه برای لیست های eBay چه عناصر کلیدی باید در نظر گرفته شود؟</v>
      </c>
      <c r="H7137" s="1"/>
      <c r="I7137" s="1"/>
      <c r="J7137" s="1"/>
      <c r="K7137" s="1"/>
      <c r="L7137" s="1"/>
      <c r="M7137" s="1"/>
      <c r="N7137" s="1"/>
      <c r="O7137" s="1"/>
      <c r="P7137" s="1"/>
      <c r="Q7137" s="1"/>
      <c r="R7137" s="1"/>
      <c r="S7137" s="1"/>
      <c r="T7137" s="1"/>
      <c r="U7137" s="1"/>
      <c r="V7137" s="1"/>
      <c r="W7137" s="1"/>
      <c r="X7137" s="1"/>
      <c r="Y7137" s="1"/>
      <c r="Z7137" s="1"/>
      <c r="AA7137" s="1"/>
      <c r="AB7137" s="1"/>
    </row>
    <row r="7138" ht="50.25" customHeight="1">
      <c r="A7138" s="12">
        <v>7134.0</v>
      </c>
      <c r="B7138" s="13" t="s">
        <v>7028</v>
      </c>
      <c r="C7138" s="14" t="s">
        <v>7162</v>
      </c>
      <c r="D7138" s="1"/>
      <c r="E7138" s="1"/>
      <c r="F7138" s="1" t="str">
        <f>IFERROR(__xludf.DUMMYFUNCTION("GOOGLETRANSLATE(B7138, ""en"", ""fa"")
"),"موفقیت در ای بی")</f>
        <v>موفقیت در ای بی</v>
      </c>
      <c r="G7138" s="1" t="str">
        <f>IFERROR(__xludf.DUMMYFUNCTION("GOOGLETRANSLATE(C7138, ""en"", ""fa"")
"),"چگونه می توانم توضیحات لیست eBay را برای وضوح، دقت و اجتناب از زبان مبهم بهینه کنم؟")</f>
        <v>چگونه می توانم توضیحات لیست eBay را برای وضوح، دقت و اجتناب از زبان مبهم بهینه کنم؟</v>
      </c>
      <c r="H7138" s="1"/>
      <c r="I7138" s="1"/>
      <c r="J7138" s="1"/>
      <c r="K7138" s="1"/>
      <c r="L7138" s="1"/>
      <c r="M7138" s="1"/>
      <c r="N7138" s="1"/>
      <c r="O7138" s="1"/>
      <c r="P7138" s="1"/>
      <c r="Q7138" s="1"/>
      <c r="R7138" s="1"/>
      <c r="S7138" s="1"/>
      <c r="T7138" s="1"/>
      <c r="U7138" s="1"/>
      <c r="V7138" s="1"/>
      <c r="W7138" s="1"/>
      <c r="X7138" s="1"/>
      <c r="Y7138" s="1"/>
      <c r="Z7138" s="1"/>
      <c r="AA7138" s="1"/>
      <c r="AB7138" s="1"/>
    </row>
    <row r="7139" ht="50.25" customHeight="1">
      <c r="A7139" s="12">
        <v>7135.0</v>
      </c>
      <c r="B7139" s="13" t="s">
        <v>7028</v>
      </c>
      <c r="C7139" s="14" t="s">
        <v>7163</v>
      </c>
      <c r="D7139" s="1"/>
      <c r="E7139" s="1"/>
      <c r="F7139" s="1" t="str">
        <f>IFERROR(__xludf.DUMMYFUNCTION("GOOGLETRANSLATE(B7139, ""en"", ""fa"")
"),"موفقیت در ای بی")</f>
        <v>موفقیت در ای بی</v>
      </c>
      <c r="G7139" s="1" t="str">
        <f>IFERROR(__xludf.DUMMYFUNCTION("GOOGLETRANSLATE(C7139, ""en"", ""fa"")
"),"چه استراتژی‌هایی را می‌توانم برای بهینه‌سازی فهرست‌های eBay برای بهبود عملکرد در بخش «تعاملات و پیشنهادات ویژه» eBay به کار ببرم؟")</f>
        <v>چه استراتژی‌هایی را می‌توانم برای بهینه‌سازی فهرست‌های eBay برای بهبود عملکرد در بخش «تعاملات و پیشنهادات ویژه» eBay به کار ببرم؟</v>
      </c>
      <c r="H7139" s="1"/>
      <c r="I7139" s="1"/>
      <c r="J7139" s="1"/>
      <c r="K7139" s="1"/>
      <c r="L7139" s="1"/>
      <c r="M7139" s="1"/>
      <c r="N7139" s="1"/>
      <c r="O7139" s="1"/>
      <c r="P7139" s="1"/>
      <c r="Q7139" s="1"/>
      <c r="R7139" s="1"/>
      <c r="S7139" s="1"/>
      <c r="T7139" s="1"/>
      <c r="U7139" s="1"/>
      <c r="V7139" s="1"/>
      <c r="W7139" s="1"/>
      <c r="X7139" s="1"/>
      <c r="Y7139" s="1"/>
      <c r="Z7139" s="1"/>
      <c r="AA7139" s="1"/>
      <c r="AB7139" s="1"/>
    </row>
    <row r="7140" ht="50.25" customHeight="1">
      <c r="A7140" s="12">
        <v>7136.0</v>
      </c>
      <c r="B7140" s="13" t="s">
        <v>7028</v>
      </c>
      <c r="C7140" s="14" t="s">
        <v>7164</v>
      </c>
      <c r="D7140" s="1"/>
      <c r="E7140" s="1"/>
      <c r="F7140" s="1" t="str">
        <f>IFERROR(__xludf.DUMMYFUNCTION("GOOGLETRANSLATE(B7140, ""en"", ""fa"")
"),"موفقیت در ای بی")</f>
        <v>موفقیت در ای بی</v>
      </c>
      <c r="G7140" s="1" t="str">
        <f>IFERROR(__xludf.DUMMYFUNCTION("GOOGLETRANSLATE(C7140, ""en"", ""fa"")
"),"چگونه می توانم از قدرت داستان سرایی و جذابیت های احساسی در لیست تصاویر و زیرنویس های eBay استفاده کنم؟")</f>
        <v>چگونه می توانم از قدرت داستان سرایی و جذابیت های احساسی در لیست تصاویر و زیرنویس های eBay استفاده کنم؟</v>
      </c>
      <c r="H7140" s="1"/>
      <c r="I7140" s="1"/>
      <c r="J7140" s="1"/>
      <c r="K7140" s="1"/>
      <c r="L7140" s="1"/>
      <c r="M7140" s="1"/>
      <c r="N7140" s="1"/>
      <c r="O7140" s="1"/>
      <c r="P7140" s="1"/>
      <c r="Q7140" s="1"/>
      <c r="R7140" s="1"/>
      <c r="S7140" s="1"/>
      <c r="T7140" s="1"/>
      <c r="U7140" s="1"/>
      <c r="V7140" s="1"/>
      <c r="W7140" s="1"/>
      <c r="X7140" s="1"/>
      <c r="Y7140" s="1"/>
      <c r="Z7140" s="1"/>
      <c r="AA7140" s="1"/>
      <c r="AB7140" s="1"/>
    </row>
    <row r="7141" ht="50.25" customHeight="1">
      <c r="A7141" s="12">
        <v>7137.0</v>
      </c>
      <c r="B7141" s="13" t="s">
        <v>7028</v>
      </c>
      <c r="C7141" s="14" t="s">
        <v>7165</v>
      </c>
      <c r="D7141" s="1"/>
      <c r="E7141" s="1"/>
      <c r="F7141" s="1" t="str">
        <f>IFERROR(__xludf.DUMMYFUNCTION("GOOGLETRANSLATE(B7141, ""en"", ""fa"")
"),"موفقیت در ای بی")</f>
        <v>موفقیت در ای بی</v>
      </c>
      <c r="G7141" s="1" t="str">
        <f>IFERROR(__xludf.DUMMYFUNCTION("GOOGLETRANSLATE(C7141, ""en"", ""fa"")
"),"چند تکنیک موثر برای استفاده از محتوای تولید شده توسط مشتری، مانند عکس‌ها یا ویدیوهای کاربر، در فهرست‌های eBay چیست؟")</f>
        <v>چند تکنیک موثر برای استفاده از محتوای تولید شده توسط مشتری، مانند عکس‌ها یا ویدیوهای کاربر، در فهرست‌های eBay چیست؟</v>
      </c>
      <c r="H7141" s="1"/>
      <c r="I7141" s="1"/>
      <c r="J7141" s="1"/>
      <c r="K7141" s="1"/>
      <c r="L7141" s="1"/>
      <c r="M7141" s="1"/>
      <c r="N7141" s="1"/>
      <c r="O7141" s="1"/>
      <c r="P7141" s="1"/>
      <c r="Q7141" s="1"/>
      <c r="R7141" s="1"/>
      <c r="S7141" s="1"/>
      <c r="T7141" s="1"/>
      <c r="U7141" s="1"/>
      <c r="V7141" s="1"/>
      <c r="W7141" s="1"/>
      <c r="X7141" s="1"/>
      <c r="Y7141" s="1"/>
      <c r="Z7141" s="1"/>
      <c r="AA7141" s="1"/>
      <c r="AB7141" s="1"/>
    </row>
    <row r="7142" ht="50.25" customHeight="1">
      <c r="A7142" s="12">
        <v>7138.0</v>
      </c>
      <c r="B7142" s="13" t="s">
        <v>7028</v>
      </c>
      <c r="C7142" s="14" t="s">
        <v>7166</v>
      </c>
      <c r="D7142" s="1"/>
      <c r="E7142" s="1"/>
      <c r="F7142" s="1" t="str">
        <f>IFERROR(__xludf.DUMMYFUNCTION("GOOGLETRANSLATE(B7142, ""en"", ""fa"")
"),"موفقیت در ای بی")</f>
        <v>موفقیت در ای بی</v>
      </c>
      <c r="G7142" s="1" t="str">
        <f>IFERROR(__xludf.DUMMYFUNCTION("GOOGLETRANSLATE(C7142, ""en"", ""fa"")
"),"چگونه می توانم لیست های eBay را برای عملکرد بهتر در فیلترهای ""بهترین ارزش"" و ""برترین رتبه"" eBay بهینه کنم؟")</f>
        <v>چگونه می توانم لیست های eBay را برای عملکرد بهتر در فیلترهای "بهترین ارزش" و "برترین رتبه" eBay بهینه کنم؟</v>
      </c>
      <c r="H7142" s="1"/>
      <c r="I7142" s="1"/>
      <c r="J7142" s="1"/>
      <c r="K7142" s="1"/>
      <c r="L7142" s="1"/>
      <c r="M7142" s="1"/>
      <c r="N7142" s="1"/>
      <c r="O7142" s="1"/>
      <c r="P7142" s="1"/>
      <c r="Q7142" s="1"/>
      <c r="R7142" s="1"/>
      <c r="S7142" s="1"/>
      <c r="T7142" s="1"/>
      <c r="U7142" s="1"/>
      <c r="V7142" s="1"/>
      <c r="W7142" s="1"/>
      <c r="X7142" s="1"/>
      <c r="Y7142" s="1"/>
      <c r="Z7142" s="1"/>
      <c r="AA7142" s="1"/>
      <c r="AB7142" s="1"/>
    </row>
    <row r="7143" ht="50.25" customHeight="1">
      <c r="A7143" s="12">
        <v>7139.0</v>
      </c>
      <c r="B7143" s="13" t="s">
        <v>7028</v>
      </c>
      <c r="C7143" s="14" t="s">
        <v>7167</v>
      </c>
      <c r="D7143" s="1"/>
      <c r="E7143" s="1"/>
      <c r="F7143" s="1" t="str">
        <f>IFERROR(__xludf.DUMMYFUNCTION("GOOGLETRANSLATE(B7143, ""en"", ""fa"")
"),"موفقیت در ای بی")</f>
        <v>موفقیت در ای بی</v>
      </c>
      <c r="G7143" s="1" t="str">
        <f>IFERROR(__xludf.DUMMYFUNCTION("GOOGLETRANSLATE(C7143, ""en"", ""fa"")
"),"چگونه می توانم عناصر کمیاب و فوری، مانند سهام محدود یا تبلیغات با زمان محدود را در فهرست های eBay بگنجانم؟")</f>
        <v>چگونه می توانم عناصر کمیاب و فوری، مانند سهام محدود یا تبلیغات با زمان محدود را در فهرست های eBay بگنجانم؟</v>
      </c>
      <c r="H7143" s="1"/>
      <c r="I7143" s="1"/>
      <c r="J7143" s="1"/>
      <c r="K7143" s="1"/>
      <c r="L7143" s="1"/>
      <c r="M7143" s="1"/>
      <c r="N7143" s="1"/>
      <c r="O7143" s="1"/>
      <c r="P7143" s="1"/>
      <c r="Q7143" s="1"/>
      <c r="R7143" s="1"/>
      <c r="S7143" s="1"/>
      <c r="T7143" s="1"/>
      <c r="U7143" s="1"/>
      <c r="V7143" s="1"/>
      <c r="W7143" s="1"/>
      <c r="X7143" s="1"/>
      <c r="Y7143" s="1"/>
      <c r="Z7143" s="1"/>
      <c r="AA7143" s="1"/>
      <c r="AB7143" s="1"/>
    </row>
    <row r="7144" ht="50.25" customHeight="1">
      <c r="A7144" s="12">
        <v>7140.0</v>
      </c>
      <c r="B7144" s="13" t="s">
        <v>7028</v>
      </c>
      <c r="C7144" s="14" t="s">
        <v>7168</v>
      </c>
      <c r="D7144" s="1"/>
      <c r="E7144" s="1"/>
      <c r="F7144" s="1" t="str">
        <f>IFERROR(__xludf.DUMMYFUNCTION("GOOGLETRANSLATE(B7144, ""en"", ""fa"")
"),"موفقیت در ای بی")</f>
        <v>موفقیت در ای بی</v>
      </c>
      <c r="G7144" s="1" t="str">
        <f>IFERROR(__xludf.DUMMYFUNCTION("GOOGLETRANSLATE(C7144, ""en"", ""fa"")
"),"بهترین شیوه ها برای استفاده از زبان متقاعد کننده و تکنیک های بلاغی در عناوین لیست eBay چیست؟")</f>
        <v>بهترین شیوه ها برای استفاده از زبان متقاعد کننده و تکنیک های بلاغی در عناوین لیست eBay چیست؟</v>
      </c>
      <c r="H7144" s="1"/>
      <c r="I7144" s="1"/>
      <c r="J7144" s="1"/>
      <c r="K7144" s="1"/>
      <c r="L7144" s="1"/>
      <c r="M7144" s="1"/>
      <c r="N7144" s="1"/>
      <c r="O7144" s="1"/>
      <c r="P7144" s="1"/>
      <c r="Q7144" s="1"/>
      <c r="R7144" s="1"/>
      <c r="S7144" s="1"/>
      <c r="T7144" s="1"/>
      <c r="U7144" s="1"/>
      <c r="V7144" s="1"/>
      <c r="W7144" s="1"/>
      <c r="X7144" s="1"/>
      <c r="Y7144" s="1"/>
      <c r="Z7144" s="1"/>
      <c r="AA7144" s="1"/>
      <c r="AB7144" s="1"/>
    </row>
    <row r="7145" ht="50.25" customHeight="1">
      <c r="A7145" s="12">
        <v>7141.0</v>
      </c>
      <c r="B7145" s="13" t="s">
        <v>7028</v>
      </c>
      <c r="C7145" s="14" t="s">
        <v>7169</v>
      </c>
      <c r="D7145" s="1"/>
      <c r="E7145" s="1"/>
      <c r="F7145" s="1" t="str">
        <f>IFERROR(__xludf.DUMMYFUNCTION("GOOGLETRANSLATE(B7145, ""en"", ""fa"")
"),"موفقیت در ای بی")</f>
        <v>موفقیت در ای بی</v>
      </c>
      <c r="G7145" s="1" t="str">
        <f>IFERROR(__xludf.DUMMYFUNCTION("GOOGLETRANSLATE(C7145, ""en"", ""fa"")
"),"چگونه می توانم لیست های eBay را برای بهبود عملکرد در فیلترهای ""Seller Refurbished"" و ""New with Tags"" eBay بهینه کنم؟")</f>
        <v>چگونه می توانم لیست های eBay را برای بهبود عملکرد در فیلترهای "Seller Refurbished" و "New with Tags" eBay بهینه کنم؟</v>
      </c>
      <c r="H7145" s="1"/>
      <c r="I7145" s="1"/>
      <c r="J7145" s="1"/>
      <c r="K7145" s="1"/>
      <c r="L7145" s="1"/>
      <c r="M7145" s="1"/>
      <c r="N7145" s="1"/>
      <c r="O7145" s="1"/>
      <c r="P7145" s="1"/>
      <c r="Q7145" s="1"/>
      <c r="R7145" s="1"/>
      <c r="S7145" s="1"/>
      <c r="T7145" s="1"/>
      <c r="U7145" s="1"/>
      <c r="V7145" s="1"/>
      <c r="W7145" s="1"/>
      <c r="X7145" s="1"/>
      <c r="Y7145" s="1"/>
      <c r="Z7145" s="1"/>
      <c r="AA7145" s="1"/>
      <c r="AB7145" s="1"/>
    </row>
    <row r="7146" ht="50.25" customHeight="1">
      <c r="A7146" s="12">
        <v>7142.0</v>
      </c>
      <c r="B7146" s="13" t="s">
        <v>7028</v>
      </c>
      <c r="C7146" s="14" t="s">
        <v>7170</v>
      </c>
      <c r="D7146" s="1"/>
      <c r="E7146" s="1"/>
      <c r="F7146" s="1" t="str">
        <f>IFERROR(__xludf.DUMMYFUNCTION("GOOGLETRANSLATE(B7146, ""en"", ""fa"")
"),"موفقیت در ای بی")</f>
        <v>موفقیت در ای بی</v>
      </c>
      <c r="G7146" s="1" t="str">
        <f>IFERROR(__xludf.DUMMYFUNCTION("GOOGLETRANSLATE(C7146, ""en"", ""fa"")
"),"از چه استراتژی هایی می توانم برای بهینه سازی لیست های eBay برای افزایش دیده شدن و رتبه بندی در بخش های ""بیشترین تماشا"" و ""محبوب در حال حاضر"" eBay استفاده کنم؟")</f>
        <v>از چه استراتژی هایی می توانم برای بهینه سازی لیست های eBay برای افزایش دیده شدن و رتبه بندی در بخش های "بیشترین تماشا" و "محبوب در حال حاضر" eBay استفاده کنم؟</v>
      </c>
      <c r="H7146" s="1"/>
      <c r="I7146" s="1"/>
      <c r="J7146" s="1"/>
      <c r="K7146" s="1"/>
      <c r="L7146" s="1"/>
      <c r="M7146" s="1"/>
      <c r="N7146" s="1"/>
      <c r="O7146" s="1"/>
      <c r="P7146" s="1"/>
      <c r="Q7146" s="1"/>
      <c r="R7146" s="1"/>
      <c r="S7146" s="1"/>
      <c r="T7146" s="1"/>
      <c r="U7146" s="1"/>
      <c r="V7146" s="1"/>
      <c r="W7146" s="1"/>
      <c r="X7146" s="1"/>
      <c r="Y7146" s="1"/>
      <c r="Z7146" s="1"/>
      <c r="AA7146" s="1"/>
      <c r="AB7146" s="1"/>
    </row>
    <row r="7147" ht="50.25" customHeight="1">
      <c r="A7147" s="12">
        <v>7143.0</v>
      </c>
      <c r="B7147" s="13" t="s">
        <v>7028</v>
      </c>
      <c r="C7147" s="14" t="s">
        <v>7171</v>
      </c>
      <c r="D7147" s="1"/>
      <c r="E7147" s="1"/>
      <c r="F7147" s="1" t="str">
        <f>IFERROR(__xludf.DUMMYFUNCTION("GOOGLETRANSLATE(B7147, ""en"", ""fa"")
"),"موفقیت در ای بی")</f>
        <v>موفقیت در ای بی</v>
      </c>
      <c r="G7147" s="1" t="str">
        <f>IFERROR(__xludf.DUMMYFUNCTION("GOOGLETRANSLATE(C7147, ""en"", ""fa"")
"),"چگونه می توانم از پرسش ها و بازخوردهای مشتری برای بهینه سازی و بهبود مستمر لیست های eBay خود استفاده کنم؟")</f>
        <v>چگونه می توانم از پرسش ها و بازخوردهای مشتری برای بهینه سازی و بهبود مستمر لیست های eBay خود استفاده کنم؟</v>
      </c>
      <c r="H7147" s="1"/>
      <c r="I7147" s="1"/>
      <c r="J7147" s="1"/>
      <c r="K7147" s="1"/>
      <c r="L7147" s="1"/>
      <c r="M7147" s="1"/>
      <c r="N7147" s="1"/>
      <c r="O7147" s="1"/>
      <c r="P7147" s="1"/>
      <c r="Q7147" s="1"/>
      <c r="R7147" s="1"/>
      <c r="S7147" s="1"/>
      <c r="T7147" s="1"/>
      <c r="U7147" s="1"/>
      <c r="V7147" s="1"/>
      <c r="W7147" s="1"/>
      <c r="X7147" s="1"/>
      <c r="Y7147" s="1"/>
      <c r="Z7147" s="1"/>
      <c r="AA7147" s="1"/>
      <c r="AB7147" s="1"/>
    </row>
    <row r="7148" ht="50.25" customHeight="1">
      <c r="A7148" s="12">
        <v>7144.0</v>
      </c>
      <c r="B7148" s="13" t="s">
        <v>7028</v>
      </c>
      <c r="C7148" s="14" t="s">
        <v>7172</v>
      </c>
      <c r="D7148" s="1"/>
      <c r="E7148" s="1"/>
      <c r="F7148" s="1" t="str">
        <f>IFERROR(__xludf.DUMMYFUNCTION("GOOGLETRANSLATE(B7148, ""en"", ""fa"")
"),"موفقیت در ای بی")</f>
        <v>موفقیت در ای بی</v>
      </c>
      <c r="G7148" s="1" t="str">
        <f>IFERROR(__xludf.DUMMYFUNCTION("GOOGLETRANSLATE(C7148, ""en"", ""fa"")
"),"ملاحظات کلیدی برای بهینه‌سازی فهرست‌های eBay برای بهبود عملکرد در فیلترهای «ارسال رایگان» و «تحویل محلی» eBay چیست؟")</f>
        <v>ملاحظات کلیدی برای بهینه‌سازی فهرست‌های eBay برای بهبود عملکرد در فیلترهای «ارسال رایگان» و «تحویل محلی» eBay چیست؟</v>
      </c>
      <c r="H7148" s="1"/>
      <c r="I7148" s="1"/>
      <c r="J7148" s="1"/>
      <c r="K7148" s="1"/>
      <c r="L7148" s="1"/>
      <c r="M7148" s="1"/>
      <c r="N7148" s="1"/>
      <c r="O7148" s="1"/>
      <c r="P7148" s="1"/>
      <c r="Q7148" s="1"/>
      <c r="R7148" s="1"/>
      <c r="S7148" s="1"/>
      <c r="T7148" s="1"/>
      <c r="U7148" s="1"/>
      <c r="V7148" s="1"/>
      <c r="W7148" s="1"/>
      <c r="X7148" s="1"/>
      <c r="Y7148" s="1"/>
      <c r="Z7148" s="1"/>
      <c r="AA7148" s="1"/>
      <c r="AB7148" s="1"/>
    </row>
    <row r="7149" ht="50.25" customHeight="1">
      <c r="A7149" s="12">
        <v>7145.0</v>
      </c>
      <c r="B7149" s="13" t="s">
        <v>7028</v>
      </c>
      <c r="C7149" s="14" t="s">
        <v>7173</v>
      </c>
      <c r="D7149" s="1"/>
      <c r="E7149" s="1"/>
      <c r="F7149" s="1" t="str">
        <f>IFERROR(__xludf.DUMMYFUNCTION("GOOGLETRANSLATE(B7149, ""en"", ""fa"")
"),"موفقیت در ای بی")</f>
        <v>موفقیت در ای بی</v>
      </c>
      <c r="G7149" s="1" t="str">
        <f>IFERROR(__xludf.DUMMYFUNCTION("GOOGLETRANSLATE(C7149, ""en"", ""fa"")
"),"چگونه می توانم توضیحات لیست eBay را برای داستان سرایی بهتر و ایجاد ارتباط شخصی با خریداران بالقوه بهینه کنم؟")</f>
        <v>چگونه می توانم توضیحات لیست eBay را برای داستان سرایی بهتر و ایجاد ارتباط شخصی با خریداران بالقوه بهینه کنم؟</v>
      </c>
      <c r="H7149" s="1"/>
      <c r="I7149" s="1"/>
      <c r="J7149" s="1"/>
      <c r="K7149" s="1"/>
      <c r="L7149" s="1"/>
      <c r="M7149" s="1"/>
      <c r="N7149" s="1"/>
      <c r="O7149" s="1"/>
      <c r="P7149" s="1"/>
      <c r="Q7149" s="1"/>
      <c r="R7149" s="1"/>
      <c r="S7149" s="1"/>
      <c r="T7149" s="1"/>
      <c r="U7149" s="1"/>
      <c r="V7149" s="1"/>
      <c r="W7149" s="1"/>
      <c r="X7149" s="1"/>
      <c r="Y7149" s="1"/>
      <c r="Z7149" s="1"/>
      <c r="AA7149" s="1"/>
      <c r="AB7149" s="1"/>
    </row>
    <row r="7150" ht="50.25" customHeight="1">
      <c r="A7150" s="12">
        <v>7146.0</v>
      </c>
      <c r="B7150" s="13" t="s">
        <v>7028</v>
      </c>
      <c r="C7150" s="14" t="s">
        <v>7174</v>
      </c>
      <c r="D7150" s="1"/>
      <c r="E7150" s="1"/>
      <c r="F7150" s="1" t="str">
        <f>IFERROR(__xludf.DUMMYFUNCTION("GOOGLETRANSLATE(B7150, ""en"", ""fa"")
"),"موفقیت در ای بی")</f>
        <v>موفقیت در ای بی</v>
      </c>
      <c r="G7150" s="1" t="str">
        <f>IFERROR(__xludf.DUMMYFUNCTION("GOOGLETRANSLATE(C7150, ""en"", ""fa"")
"),"چه استراتژی‌هایی را می‌توانم برای بهینه‌سازی فهرست‌های eBay برای بهبود عملکرد در قالب‌های «اکنون خرید کن» و «حراج» eBay به کار ببرم؟")</f>
        <v>چه استراتژی‌هایی را می‌توانم برای بهینه‌سازی فهرست‌های eBay برای بهبود عملکرد در قالب‌های «اکنون خرید کن» و «حراج» eBay به کار ببرم؟</v>
      </c>
      <c r="H7150" s="1"/>
      <c r="I7150" s="1"/>
      <c r="J7150" s="1"/>
      <c r="K7150" s="1"/>
      <c r="L7150" s="1"/>
      <c r="M7150" s="1"/>
      <c r="N7150" s="1"/>
      <c r="O7150" s="1"/>
      <c r="P7150" s="1"/>
      <c r="Q7150" s="1"/>
      <c r="R7150" s="1"/>
      <c r="S7150" s="1"/>
      <c r="T7150" s="1"/>
      <c r="U7150" s="1"/>
      <c r="V7150" s="1"/>
      <c r="W7150" s="1"/>
      <c r="X7150" s="1"/>
      <c r="Y7150" s="1"/>
      <c r="Z7150" s="1"/>
      <c r="AA7150" s="1"/>
      <c r="AB7150" s="1"/>
    </row>
    <row r="7151" ht="50.25" customHeight="1">
      <c r="A7151" s="12">
        <v>7147.0</v>
      </c>
      <c r="B7151" s="13" t="s">
        <v>7028</v>
      </c>
      <c r="C7151" s="14" t="s">
        <v>7175</v>
      </c>
      <c r="D7151" s="1"/>
      <c r="E7151" s="1"/>
      <c r="F7151" s="1" t="str">
        <f>IFERROR(__xludf.DUMMYFUNCTION("GOOGLETRANSLATE(B7151, ""en"", ""fa"")
"),"موفقیت در ای بی")</f>
        <v>موفقیت در ای بی</v>
      </c>
      <c r="G7151" s="1" t="str">
        <f>IFERROR(__xludf.DUMMYFUNCTION("GOOGLETRANSLATE(C7151, ""en"", ""fa"")
"),"چگونه می توانم از پلتفرم های رسانه های اجتماعی برای هدایت ترافیک و تعامل در لیست های eBay خود استفاده کنم؟")</f>
        <v>چگونه می توانم از پلتفرم های رسانه های اجتماعی برای هدایت ترافیک و تعامل در لیست های eBay خود استفاده کنم؟</v>
      </c>
      <c r="H7151" s="1"/>
      <c r="I7151" s="1"/>
      <c r="J7151" s="1"/>
      <c r="K7151" s="1"/>
      <c r="L7151" s="1"/>
      <c r="M7151" s="1"/>
      <c r="N7151" s="1"/>
      <c r="O7151" s="1"/>
      <c r="P7151" s="1"/>
      <c r="Q7151" s="1"/>
      <c r="R7151" s="1"/>
      <c r="S7151" s="1"/>
      <c r="T7151" s="1"/>
      <c r="U7151" s="1"/>
      <c r="V7151" s="1"/>
      <c r="W7151" s="1"/>
      <c r="X7151" s="1"/>
      <c r="Y7151" s="1"/>
      <c r="Z7151" s="1"/>
      <c r="AA7151" s="1"/>
      <c r="AB7151" s="1"/>
    </row>
    <row r="7152" ht="50.25" customHeight="1">
      <c r="A7152" s="12">
        <v>7148.0</v>
      </c>
      <c r="B7152" s="13" t="s">
        <v>7028</v>
      </c>
      <c r="C7152" s="14" t="s">
        <v>7176</v>
      </c>
      <c r="D7152" s="1"/>
      <c r="E7152" s="1"/>
      <c r="F7152" s="1" t="str">
        <f>IFERROR(__xludf.DUMMYFUNCTION("GOOGLETRANSLATE(B7152, ""en"", ""fa"")
"),"موفقیت در ای بی")</f>
        <v>موفقیت در ای بی</v>
      </c>
      <c r="G7152" s="1" t="str">
        <f>IFERROR(__xludf.DUMMYFUNCTION("GOOGLETRANSLATE(C7152, ""en"", ""fa"")
"),"بهترین روش ها برای استفاده از مقایسه محصول و عبارات کنتراست در توضیحات فهرست eBay چیست؟")</f>
        <v>بهترین روش ها برای استفاده از مقایسه محصول و عبارات کنتراست در توضیحات فهرست eBay چیست؟</v>
      </c>
      <c r="H7152" s="1"/>
      <c r="I7152" s="1"/>
      <c r="J7152" s="1"/>
      <c r="K7152" s="1"/>
      <c r="L7152" s="1"/>
      <c r="M7152" s="1"/>
      <c r="N7152" s="1"/>
      <c r="O7152" s="1"/>
      <c r="P7152" s="1"/>
      <c r="Q7152" s="1"/>
      <c r="R7152" s="1"/>
      <c r="S7152" s="1"/>
      <c r="T7152" s="1"/>
      <c r="U7152" s="1"/>
      <c r="V7152" s="1"/>
      <c r="W7152" s="1"/>
      <c r="X7152" s="1"/>
      <c r="Y7152" s="1"/>
      <c r="Z7152" s="1"/>
      <c r="AA7152" s="1"/>
      <c r="AB7152" s="1"/>
    </row>
    <row r="7153" ht="50.25" customHeight="1">
      <c r="A7153" s="12">
        <v>7149.0</v>
      </c>
      <c r="B7153" s="13" t="s">
        <v>7028</v>
      </c>
      <c r="C7153" s="14" t="s">
        <v>7177</v>
      </c>
      <c r="D7153" s="1"/>
      <c r="E7153" s="1"/>
      <c r="F7153" s="1" t="str">
        <f>IFERROR(__xludf.DUMMYFUNCTION("GOOGLETRANSLATE(B7153, ""en"", ""fa"")
"),"موفقیت در ای بی")</f>
        <v>موفقیت در ای بی</v>
      </c>
      <c r="G7153" s="1" t="str">
        <f>IFERROR(__xludf.DUMMYFUNCTION("GOOGLETRANSLATE(C7153, ""en"", ""fa"")
"),"چگونه می توانم لیست های eBay را برای عملکرد بهتر در فیلترهای «فروشنده رتبه برتر» و «زمان رسیدگی سریع» eBay بهینه کنم؟")</f>
        <v>چگونه می توانم لیست های eBay را برای عملکرد بهتر در فیلترهای «فروشنده رتبه برتر» و «زمان رسیدگی سریع» eBay بهینه کنم؟</v>
      </c>
      <c r="H7153" s="1"/>
      <c r="I7153" s="1"/>
      <c r="J7153" s="1"/>
      <c r="K7153" s="1"/>
      <c r="L7153" s="1"/>
      <c r="M7153" s="1"/>
      <c r="N7153" s="1"/>
      <c r="O7153" s="1"/>
      <c r="P7153" s="1"/>
      <c r="Q7153" s="1"/>
      <c r="R7153" s="1"/>
      <c r="S7153" s="1"/>
      <c r="T7153" s="1"/>
      <c r="U7153" s="1"/>
      <c r="V7153" s="1"/>
      <c r="W7153" s="1"/>
      <c r="X7153" s="1"/>
      <c r="Y7153" s="1"/>
      <c r="Z7153" s="1"/>
      <c r="AA7153" s="1"/>
      <c r="AB7153" s="1"/>
    </row>
    <row r="7154" ht="50.25" customHeight="1">
      <c r="A7154" s="12">
        <v>7150.0</v>
      </c>
      <c r="B7154" s="13" t="s">
        <v>7028</v>
      </c>
      <c r="C7154" s="14" t="s">
        <v>7178</v>
      </c>
      <c r="D7154" s="1"/>
      <c r="E7154" s="1"/>
      <c r="F7154" s="1" t="str">
        <f>IFERROR(__xludf.DUMMYFUNCTION("GOOGLETRANSLATE(B7154, ""en"", ""fa"")
"),"موفقیت در ای بی")</f>
        <v>موفقیت در ای بی</v>
      </c>
      <c r="G7154" s="1" t="str">
        <f>IFERROR(__xludf.DUMMYFUNCTION("GOOGLETRANSLATE(C7154, ""en"", ""fa"")
"),"چگونه می توانم مزایای مشتری و پیشنهادهای فروش منحصر به فرد را در عناوین فهرست eBay برای جلب توجه خریدار بگنجانم؟")</f>
        <v>چگونه می توانم مزایای مشتری و پیشنهادهای فروش منحصر به فرد را در عناوین فهرست eBay برای جلب توجه خریدار بگنجانم؟</v>
      </c>
      <c r="H7154" s="1"/>
      <c r="I7154" s="1"/>
      <c r="J7154" s="1"/>
      <c r="K7154" s="1"/>
      <c r="L7154" s="1"/>
      <c r="M7154" s="1"/>
      <c r="N7154" s="1"/>
      <c r="O7154" s="1"/>
      <c r="P7154" s="1"/>
      <c r="Q7154" s="1"/>
      <c r="R7154" s="1"/>
      <c r="S7154" s="1"/>
      <c r="T7154" s="1"/>
      <c r="U7154" s="1"/>
      <c r="V7154" s="1"/>
      <c r="W7154" s="1"/>
      <c r="X7154" s="1"/>
      <c r="Y7154" s="1"/>
      <c r="Z7154" s="1"/>
      <c r="AA7154" s="1"/>
      <c r="AB7154" s="1"/>
    </row>
    <row r="7155" ht="50.25" customHeight="1">
      <c r="A7155" s="12">
        <v>7151.0</v>
      </c>
      <c r="B7155" s="13" t="s">
        <v>7028</v>
      </c>
      <c r="C7155" s="14" t="s">
        <v>7179</v>
      </c>
      <c r="D7155" s="1"/>
      <c r="E7155" s="1"/>
      <c r="F7155" s="1" t="str">
        <f>IFERROR(__xludf.DUMMYFUNCTION("GOOGLETRANSLATE(B7155, ""en"", ""fa"")
"),"موفقیت در ای بی")</f>
        <v>موفقیت در ای بی</v>
      </c>
      <c r="G7155" s="1" t="str">
        <f>IFERROR(__xludf.DUMMYFUNCTION("GOOGLETRANSLATE(C7155, ""en"", ""fa"")
"),"از چه استراتژی هایی می توانم برای بهینه سازی لیست های eBay برای بهبود عملکرد در فیلترهای «حمل و نقل بین المللی» و «برنامه حمل و نقل جهانی» eBay استفاده کنم؟")</f>
        <v>از چه استراتژی هایی می توانم برای بهینه سازی لیست های eBay برای بهبود عملکرد در فیلترهای «حمل و نقل بین المللی» و «برنامه حمل و نقل جهانی» eBay استفاده کنم؟</v>
      </c>
      <c r="H7155" s="1"/>
      <c r="I7155" s="1"/>
      <c r="J7155" s="1"/>
      <c r="K7155" s="1"/>
      <c r="L7155" s="1"/>
      <c r="M7155" s="1"/>
      <c r="N7155" s="1"/>
      <c r="O7155" s="1"/>
      <c r="P7155" s="1"/>
      <c r="Q7155" s="1"/>
      <c r="R7155" s="1"/>
      <c r="S7155" s="1"/>
      <c r="T7155" s="1"/>
      <c r="U7155" s="1"/>
      <c r="V7155" s="1"/>
      <c r="W7155" s="1"/>
      <c r="X7155" s="1"/>
      <c r="Y7155" s="1"/>
      <c r="Z7155" s="1"/>
      <c r="AA7155" s="1"/>
      <c r="AB7155" s="1"/>
    </row>
    <row r="7156" ht="50.25" customHeight="1">
      <c r="A7156" s="12">
        <v>7152.0</v>
      </c>
      <c r="B7156" s="13" t="s">
        <v>7028</v>
      </c>
      <c r="C7156" s="14" t="s">
        <v>7180</v>
      </c>
      <c r="D7156" s="1"/>
      <c r="E7156" s="1"/>
      <c r="F7156" s="1" t="str">
        <f>IFERROR(__xludf.DUMMYFUNCTION("GOOGLETRANSLATE(B7156, ""en"", ""fa"")
"),"موفقیت در ای بی")</f>
        <v>موفقیت در ای بی</v>
      </c>
      <c r="G7156" s="1" t="str">
        <f>IFERROR(__xludf.DUMMYFUNCTION("GOOGLETRANSLATE(C7156, ""en"", ""fa"")
"),"چگونه می توانم از زبان متقاعد کننده و تکنیک های داستان سرایی در توضیحات لیست eBay برای ایجاد یک تجربه خرید به یاد ماندنی استفاده کنم؟")</f>
        <v>چگونه می توانم از زبان متقاعد کننده و تکنیک های داستان سرایی در توضیحات لیست eBay برای ایجاد یک تجربه خرید به یاد ماندنی استفاده کنم؟</v>
      </c>
      <c r="H7156" s="1"/>
      <c r="I7156" s="1"/>
      <c r="J7156" s="1"/>
      <c r="K7156" s="1"/>
      <c r="L7156" s="1"/>
      <c r="M7156" s="1"/>
      <c r="N7156" s="1"/>
      <c r="O7156" s="1"/>
      <c r="P7156" s="1"/>
      <c r="Q7156" s="1"/>
      <c r="R7156" s="1"/>
      <c r="S7156" s="1"/>
      <c r="T7156" s="1"/>
      <c r="U7156" s="1"/>
      <c r="V7156" s="1"/>
      <c r="W7156" s="1"/>
      <c r="X7156" s="1"/>
      <c r="Y7156" s="1"/>
      <c r="Z7156" s="1"/>
      <c r="AA7156" s="1"/>
      <c r="AB7156" s="1"/>
    </row>
    <row r="7157" ht="50.25" customHeight="1">
      <c r="A7157" s="12">
        <v>7153.0</v>
      </c>
      <c r="B7157" s="13" t="s">
        <v>7028</v>
      </c>
      <c r="C7157" s="14" t="s">
        <v>7181</v>
      </c>
      <c r="D7157" s="1"/>
      <c r="E7157" s="1"/>
      <c r="F7157" s="1" t="str">
        <f>IFERROR(__xludf.DUMMYFUNCTION("GOOGLETRANSLATE(B7157, ""en"", ""fa"")
"),"موفقیت در ای بی")</f>
        <v>موفقیت در ای بی</v>
      </c>
      <c r="G7157" s="1" t="str">
        <f>IFERROR(__xludf.DUMMYFUNCTION("GOOGLETRANSLATE(C7157, ""en"", ""fa"")
"),"عناصر کلیدی که باید در هنگام طراحی قالب های لیست eBay از نظر بصری منسجم که تصویر برند من را منعکس می کنند در نظر بگیریم، چیست؟")</f>
        <v>عناصر کلیدی که باید در هنگام طراحی قالب های لیست eBay از نظر بصری منسجم که تصویر برند من را منعکس می کنند در نظر بگیریم، چیست؟</v>
      </c>
      <c r="H7157" s="1"/>
      <c r="I7157" s="1"/>
      <c r="J7157" s="1"/>
      <c r="K7157" s="1"/>
      <c r="L7157" s="1"/>
      <c r="M7157" s="1"/>
      <c r="N7157" s="1"/>
      <c r="O7157" s="1"/>
      <c r="P7157" s="1"/>
      <c r="Q7157" s="1"/>
      <c r="R7157" s="1"/>
      <c r="S7157" s="1"/>
      <c r="T7157" s="1"/>
      <c r="U7157" s="1"/>
      <c r="V7157" s="1"/>
      <c r="W7157" s="1"/>
      <c r="X7157" s="1"/>
      <c r="Y7157" s="1"/>
      <c r="Z7157" s="1"/>
      <c r="AA7157" s="1"/>
      <c r="AB7157" s="1"/>
    </row>
    <row r="7158" ht="50.25" customHeight="1">
      <c r="A7158" s="12">
        <v>7154.0</v>
      </c>
      <c r="B7158" s="13" t="s">
        <v>7028</v>
      </c>
      <c r="C7158" s="14" t="s">
        <v>7182</v>
      </c>
      <c r="D7158" s="1"/>
      <c r="E7158" s="1"/>
      <c r="F7158" s="1" t="str">
        <f>IFERROR(__xludf.DUMMYFUNCTION("GOOGLETRANSLATE(B7158, ""en"", ""fa"")
"),"موفقیت در ای بی")</f>
        <v>موفقیت در ای بی</v>
      </c>
      <c r="G7158" s="1" t="str">
        <f>IFERROR(__xludf.DUMMYFUNCTION("GOOGLETRANSLATE(C7158, ""en"", ""fa"")
"),"چگونه می‌توانم لیست‌های eBay را برای عملکرد بهتر در فیلترهای «وضعیت» و «نوع فروشنده» eBay بهینه کنم؟")</f>
        <v>چگونه می‌توانم لیست‌های eBay را برای عملکرد بهتر در فیلترهای «وضعیت» و «نوع فروشنده» eBay بهینه کنم؟</v>
      </c>
      <c r="H7158" s="1"/>
      <c r="I7158" s="1"/>
      <c r="J7158" s="1"/>
      <c r="K7158" s="1"/>
      <c r="L7158" s="1"/>
      <c r="M7158" s="1"/>
      <c r="N7158" s="1"/>
      <c r="O7158" s="1"/>
      <c r="P7158" s="1"/>
      <c r="Q7158" s="1"/>
      <c r="R7158" s="1"/>
      <c r="S7158" s="1"/>
      <c r="T7158" s="1"/>
      <c r="U7158" s="1"/>
      <c r="V7158" s="1"/>
      <c r="W7158" s="1"/>
      <c r="X7158" s="1"/>
      <c r="Y7158" s="1"/>
      <c r="Z7158" s="1"/>
      <c r="AA7158" s="1"/>
      <c r="AB7158" s="1"/>
    </row>
    <row r="7159" ht="50.25" customHeight="1">
      <c r="A7159" s="12">
        <v>7155.0</v>
      </c>
      <c r="B7159" s="13" t="s">
        <v>7028</v>
      </c>
      <c r="C7159" s="14" t="s">
        <v>7183</v>
      </c>
      <c r="D7159" s="1"/>
      <c r="E7159" s="1"/>
      <c r="F7159" s="1" t="str">
        <f>IFERROR(__xludf.DUMMYFUNCTION("GOOGLETRANSLATE(B7159, ""en"", ""fa"")
"),"موفقیت در ای بی")</f>
        <v>موفقیت در ای بی</v>
      </c>
      <c r="G7159" s="1" t="str">
        <f>IFERROR(__xludf.DUMMYFUNCTION("GOOGLETRANSLATE(C7159, ""en"", ""fa"")
"),"چه استراتژی هایی را می توانم برای بهینه سازی لیست های eBay برای افزایش تعامل و تعامل خریدار استفاده کنم؟")</f>
        <v>چه استراتژی هایی را می توانم برای بهینه سازی لیست های eBay برای افزایش تعامل و تعامل خریدار استفاده کنم؟</v>
      </c>
      <c r="H7159" s="1"/>
      <c r="I7159" s="1"/>
      <c r="J7159" s="1"/>
      <c r="K7159" s="1"/>
      <c r="L7159" s="1"/>
      <c r="M7159" s="1"/>
      <c r="N7159" s="1"/>
      <c r="O7159" s="1"/>
      <c r="P7159" s="1"/>
      <c r="Q7159" s="1"/>
      <c r="R7159" s="1"/>
      <c r="S7159" s="1"/>
      <c r="T7159" s="1"/>
      <c r="U7159" s="1"/>
      <c r="V7159" s="1"/>
      <c r="W7159" s="1"/>
      <c r="X7159" s="1"/>
      <c r="Y7159" s="1"/>
      <c r="Z7159" s="1"/>
      <c r="AA7159" s="1"/>
      <c r="AB7159" s="1"/>
    </row>
    <row r="7160" ht="50.25" customHeight="1">
      <c r="A7160" s="12">
        <v>7156.0</v>
      </c>
      <c r="B7160" s="13" t="s">
        <v>7028</v>
      </c>
      <c r="C7160" s="14" t="s">
        <v>7184</v>
      </c>
      <c r="D7160" s="1"/>
      <c r="E7160" s="1"/>
      <c r="F7160" s="1" t="str">
        <f>IFERROR(__xludf.DUMMYFUNCTION("GOOGLETRANSLATE(B7160, ""en"", ""fa"")
"),"موفقیت در ای بی")</f>
        <v>موفقیت در ای بی</v>
      </c>
      <c r="G7160" s="1" t="str">
        <f>IFERROR(__xludf.DUMMYFUNCTION("GOOGLETRANSLATE(C7160, ""en"", ""fa"")
"),"چگونه می توانم از قدرت اثبات اجتماعی و توصیفات مشتری برای افزایش اعتبار و اعتماد در لیست های eBay خود استفاده کنم؟")</f>
        <v>چگونه می توانم از قدرت اثبات اجتماعی و توصیفات مشتری برای افزایش اعتبار و اعتماد در لیست های eBay خود استفاده کنم؟</v>
      </c>
      <c r="H7160" s="1"/>
      <c r="I7160" s="1"/>
      <c r="J7160" s="1"/>
      <c r="K7160" s="1"/>
      <c r="L7160" s="1"/>
      <c r="M7160" s="1"/>
      <c r="N7160" s="1"/>
      <c r="O7160" s="1"/>
      <c r="P7160" s="1"/>
      <c r="Q7160" s="1"/>
      <c r="R7160" s="1"/>
      <c r="S7160" s="1"/>
      <c r="T7160" s="1"/>
      <c r="U7160" s="1"/>
      <c r="V7160" s="1"/>
      <c r="W7160" s="1"/>
      <c r="X7160" s="1"/>
      <c r="Y7160" s="1"/>
      <c r="Z7160" s="1"/>
      <c r="AA7160" s="1"/>
      <c r="AB7160" s="1"/>
    </row>
    <row r="7161" ht="50.25" customHeight="1">
      <c r="A7161" s="12">
        <v>7157.0</v>
      </c>
      <c r="B7161" s="13" t="s">
        <v>7028</v>
      </c>
      <c r="C7161" s="14" t="s">
        <v>7185</v>
      </c>
      <c r="D7161" s="1"/>
      <c r="E7161" s="1"/>
      <c r="F7161" s="1" t="str">
        <f>IFERROR(__xludf.DUMMYFUNCTION("GOOGLETRANSLATE(B7161, ""en"", ""fa"")
"),"موفقیت در ای بی")</f>
        <v>موفقیت در ای بی</v>
      </c>
      <c r="G7161" s="1" t="str">
        <f>IFERROR(__xludf.DUMMYFUNCTION("GOOGLETRANSLATE(C7161, ""en"", ""fa"")
"),"چند تکنیک موثر برای استفاده از ایموجی ها و نمادها در فهرست عناوین و توضیحات eBay برای جلب توجه چیست؟")</f>
        <v>چند تکنیک موثر برای استفاده از ایموجی ها و نمادها در فهرست عناوین و توضیحات eBay برای جلب توجه چیست؟</v>
      </c>
      <c r="H7161" s="1"/>
      <c r="I7161" s="1"/>
      <c r="J7161" s="1"/>
      <c r="K7161" s="1"/>
      <c r="L7161" s="1"/>
      <c r="M7161" s="1"/>
      <c r="N7161" s="1"/>
      <c r="O7161" s="1"/>
      <c r="P7161" s="1"/>
      <c r="Q7161" s="1"/>
      <c r="R7161" s="1"/>
      <c r="S7161" s="1"/>
      <c r="T7161" s="1"/>
      <c r="U7161" s="1"/>
      <c r="V7161" s="1"/>
      <c r="W7161" s="1"/>
      <c r="X7161" s="1"/>
      <c r="Y7161" s="1"/>
      <c r="Z7161" s="1"/>
      <c r="AA7161" s="1"/>
      <c r="AB7161" s="1"/>
    </row>
    <row r="7162" ht="50.25" customHeight="1">
      <c r="A7162" s="12">
        <v>7158.0</v>
      </c>
      <c r="B7162" s="13" t="s">
        <v>7028</v>
      </c>
      <c r="C7162" s="14" t="s">
        <v>7186</v>
      </c>
      <c r="D7162" s="1"/>
      <c r="E7162" s="1"/>
      <c r="F7162" s="1" t="str">
        <f>IFERROR(__xludf.DUMMYFUNCTION("GOOGLETRANSLATE(B7162, ""en"", ""fa"")
"),"موفقیت در ای بی")</f>
        <v>موفقیت در ای بی</v>
      </c>
      <c r="G7162" s="1" t="str">
        <f>IFERROR(__xludf.DUMMYFUNCTION("GOOGLETRANSLATE(C7162, ""en"", ""fa"")
"),"چگونه می توانم لیست های eBay را برای عملکرد بهتر در فیلترهای «پرفروش» و «پرطرفدار» eBay بهینه کنم؟")</f>
        <v>چگونه می توانم لیست های eBay را برای عملکرد بهتر در فیلترهای «پرفروش» و «پرطرفدار» eBay بهینه کنم؟</v>
      </c>
      <c r="H7162" s="1"/>
      <c r="I7162" s="1"/>
      <c r="J7162" s="1"/>
      <c r="K7162" s="1"/>
      <c r="L7162" s="1"/>
      <c r="M7162" s="1"/>
      <c r="N7162" s="1"/>
      <c r="O7162" s="1"/>
      <c r="P7162" s="1"/>
      <c r="Q7162" s="1"/>
      <c r="R7162" s="1"/>
      <c r="S7162" s="1"/>
      <c r="T7162" s="1"/>
      <c r="U7162" s="1"/>
      <c r="V7162" s="1"/>
      <c r="W7162" s="1"/>
      <c r="X7162" s="1"/>
      <c r="Y7162" s="1"/>
      <c r="Z7162" s="1"/>
      <c r="AA7162" s="1"/>
      <c r="AB7162" s="1"/>
    </row>
    <row r="7163" ht="50.25" customHeight="1">
      <c r="A7163" s="12">
        <v>7159.0</v>
      </c>
      <c r="B7163" s="13" t="s">
        <v>7028</v>
      </c>
      <c r="C7163" s="14" t="s">
        <v>7187</v>
      </c>
      <c r="D7163" s="1"/>
      <c r="E7163" s="1"/>
      <c r="F7163" s="1" t="str">
        <f>IFERROR(__xludf.DUMMYFUNCTION("GOOGLETRANSLATE(B7163, ""en"", ""fa"")
"),"موفقیت در ای بی")</f>
        <v>موفقیت در ای بی</v>
      </c>
      <c r="G7163" s="1" t="str">
        <f>IFERROR(__xludf.DUMMYFUNCTION("GOOGLETRANSLATE(C7163, ""en"", ""fa"")
"),"چگونه می توانم تکنیک های متقاعد کننده کپی رایتینگ، مانند داستان سرایی یا روایت های حل مسئله را در فهرست های eBay بگنجانم؟")</f>
        <v>چگونه می توانم تکنیک های متقاعد کننده کپی رایتینگ، مانند داستان سرایی یا روایت های حل مسئله را در فهرست های eBay بگنجانم؟</v>
      </c>
      <c r="H7163" s="1"/>
      <c r="I7163" s="1"/>
      <c r="J7163" s="1"/>
      <c r="K7163" s="1"/>
      <c r="L7163" s="1"/>
      <c r="M7163" s="1"/>
      <c r="N7163" s="1"/>
      <c r="O7163" s="1"/>
      <c r="P7163" s="1"/>
      <c r="Q7163" s="1"/>
      <c r="R7163" s="1"/>
      <c r="S7163" s="1"/>
      <c r="T7163" s="1"/>
      <c r="U7163" s="1"/>
      <c r="V7163" s="1"/>
      <c r="W7163" s="1"/>
      <c r="X7163" s="1"/>
      <c r="Y7163" s="1"/>
      <c r="Z7163" s="1"/>
      <c r="AA7163" s="1"/>
      <c r="AB7163" s="1"/>
    </row>
    <row r="7164" ht="50.25" customHeight="1">
      <c r="A7164" s="12">
        <v>7160.0</v>
      </c>
      <c r="B7164" s="13" t="s">
        <v>7028</v>
      </c>
      <c r="C7164" s="14" t="s">
        <v>7188</v>
      </c>
      <c r="D7164" s="1"/>
      <c r="E7164" s="1"/>
      <c r="F7164" s="1" t="str">
        <f>IFERROR(__xludf.DUMMYFUNCTION("GOOGLETRANSLATE(B7164, ""en"", ""fa"")
"),"موفقیت در ای بی")</f>
        <v>موفقیت در ای بی</v>
      </c>
      <c r="G7164" s="1" t="str">
        <f>IFERROR(__xludf.DUMMYFUNCTION("GOOGLETRANSLATE(C7164, ""en"", ""fa"")
"),"از چه استراتژی هایی می توانم برای بهینه سازی لیست های eBay برای افزایش تبدیل و کاهش نرخ رها شدن سبد خرید استفاده کنم؟")</f>
        <v>از چه استراتژی هایی می توانم برای بهینه سازی لیست های eBay برای افزایش تبدیل و کاهش نرخ رها شدن سبد خرید استفاده کنم؟</v>
      </c>
      <c r="H7164" s="1"/>
      <c r="I7164" s="1"/>
      <c r="J7164" s="1"/>
      <c r="K7164" s="1"/>
      <c r="L7164" s="1"/>
      <c r="M7164" s="1"/>
      <c r="N7164" s="1"/>
      <c r="O7164" s="1"/>
      <c r="P7164" s="1"/>
      <c r="Q7164" s="1"/>
      <c r="R7164" s="1"/>
      <c r="S7164" s="1"/>
      <c r="T7164" s="1"/>
      <c r="U7164" s="1"/>
      <c r="V7164" s="1"/>
      <c r="W7164" s="1"/>
      <c r="X7164" s="1"/>
      <c r="Y7164" s="1"/>
      <c r="Z7164" s="1"/>
      <c r="AA7164" s="1"/>
      <c r="AB7164" s="1"/>
    </row>
    <row r="7165" ht="50.25" customHeight="1">
      <c r="A7165" s="12">
        <v>7161.0</v>
      </c>
      <c r="B7165" s="13" t="s">
        <v>7028</v>
      </c>
      <c r="C7165" s="14" t="s">
        <v>7189</v>
      </c>
      <c r="D7165" s="1"/>
      <c r="E7165" s="1"/>
      <c r="F7165" s="1" t="str">
        <f>IFERROR(__xludf.DUMMYFUNCTION("GOOGLETRANSLATE(B7165, ""en"", ""fa"")
"),"موفقیت در ای بی")</f>
        <v>موفقیت در ای بی</v>
      </c>
      <c r="G7165" s="1" t="str">
        <f>IFERROR(__xludf.DUMMYFUNCTION("GOOGLETRANSLATE(C7165, ""en"", ""fa"")
"),"چگونه می توانم لیست های eBay خود را بر اساس معیارهای عملکرد مانند نرخ کلیک و نرخ تبدیل تجزیه و تحلیل و بهینه کنم؟")</f>
        <v>چگونه می توانم لیست های eBay خود را بر اساس معیارهای عملکرد مانند نرخ کلیک و نرخ تبدیل تجزیه و تحلیل و بهینه کنم؟</v>
      </c>
      <c r="H7165" s="1"/>
      <c r="I7165" s="1"/>
      <c r="J7165" s="1"/>
      <c r="K7165" s="1"/>
      <c r="L7165" s="1"/>
      <c r="M7165" s="1"/>
      <c r="N7165" s="1"/>
      <c r="O7165" s="1"/>
      <c r="P7165" s="1"/>
      <c r="Q7165" s="1"/>
      <c r="R7165" s="1"/>
      <c r="S7165" s="1"/>
      <c r="T7165" s="1"/>
      <c r="U7165" s="1"/>
      <c r="V7165" s="1"/>
      <c r="W7165" s="1"/>
      <c r="X7165" s="1"/>
      <c r="Y7165" s="1"/>
      <c r="Z7165" s="1"/>
      <c r="AA7165" s="1"/>
      <c r="AB7165" s="1"/>
    </row>
    <row r="7166" ht="50.25" customHeight="1">
      <c r="A7166" s="12">
        <v>7162.0</v>
      </c>
      <c r="B7166" s="13" t="s">
        <v>7028</v>
      </c>
      <c r="C7166" s="14" t="s">
        <v>7190</v>
      </c>
      <c r="D7166" s="1"/>
      <c r="E7166" s="1"/>
      <c r="F7166" s="1" t="str">
        <f>IFERROR(__xludf.DUMMYFUNCTION("GOOGLETRANSLATE(B7166, ""en"", ""fa"")
"),"موفقیت در ای بی")</f>
        <v>موفقیت در ای بی</v>
      </c>
      <c r="G7166" s="1" t="str">
        <f>IFERROR(__xludf.DUMMYFUNCTION("GOOGLETRANSLATE(C7166, ""en"", ""fa"")
"),"چگونه می توانم از داشبورد تجزیه و تحلیل eBay برای پیگیری عملکرد لیست های خود استفاده کنم؟")</f>
        <v>چگونه می توانم از داشبورد تجزیه و تحلیل eBay برای پیگیری عملکرد لیست های خود استفاده کنم؟</v>
      </c>
      <c r="H7166" s="1"/>
      <c r="I7166" s="1"/>
      <c r="J7166" s="1"/>
      <c r="K7166" s="1"/>
      <c r="L7166" s="1"/>
      <c r="M7166" s="1"/>
      <c r="N7166" s="1"/>
      <c r="O7166" s="1"/>
      <c r="P7166" s="1"/>
      <c r="Q7166" s="1"/>
      <c r="R7166" s="1"/>
      <c r="S7166" s="1"/>
      <c r="T7166" s="1"/>
      <c r="U7166" s="1"/>
      <c r="V7166" s="1"/>
      <c r="W7166" s="1"/>
      <c r="X7166" s="1"/>
      <c r="Y7166" s="1"/>
      <c r="Z7166" s="1"/>
      <c r="AA7166" s="1"/>
      <c r="AB7166" s="1"/>
    </row>
    <row r="7167" ht="50.25" customHeight="1">
      <c r="A7167" s="12">
        <v>7163.0</v>
      </c>
      <c r="B7167" s="13" t="s">
        <v>7028</v>
      </c>
      <c r="C7167" s="14" t="s">
        <v>7191</v>
      </c>
      <c r="D7167" s="1"/>
      <c r="E7167" s="1"/>
      <c r="F7167" s="1" t="str">
        <f>IFERROR(__xludf.DUMMYFUNCTION("GOOGLETRANSLATE(B7167, ""en"", ""fa"")
"),"موفقیت در ای بی")</f>
        <v>موفقیت در ای بی</v>
      </c>
      <c r="G7167" s="1" t="str">
        <f>IFERROR(__xludf.DUMMYFUNCTION("GOOGLETRANSLATE(C7167, ""en"", ""fa"")
"),"معیارهای کلیدی که باید به منظور سنجش موفقیت لیست های eBay من نظارت شوند چیست؟")</f>
        <v>معیارهای کلیدی که باید به منظور سنجش موفقیت لیست های eBay من نظارت شوند چیست؟</v>
      </c>
      <c r="H7167" s="1"/>
      <c r="I7167" s="1"/>
      <c r="J7167" s="1"/>
      <c r="K7167" s="1"/>
      <c r="L7167" s="1"/>
      <c r="M7167" s="1"/>
      <c r="N7167" s="1"/>
      <c r="O7167" s="1"/>
      <c r="P7167" s="1"/>
      <c r="Q7167" s="1"/>
      <c r="R7167" s="1"/>
      <c r="S7167" s="1"/>
      <c r="T7167" s="1"/>
      <c r="U7167" s="1"/>
      <c r="V7167" s="1"/>
      <c r="W7167" s="1"/>
      <c r="X7167" s="1"/>
      <c r="Y7167" s="1"/>
      <c r="Z7167" s="1"/>
      <c r="AA7167" s="1"/>
      <c r="AB7167" s="1"/>
    </row>
    <row r="7168" ht="50.25" customHeight="1">
      <c r="A7168" s="12">
        <v>7164.0</v>
      </c>
      <c r="B7168" s="13" t="s">
        <v>7028</v>
      </c>
      <c r="C7168" s="14" t="s">
        <v>7192</v>
      </c>
      <c r="D7168" s="1"/>
      <c r="E7168" s="1"/>
      <c r="F7168" s="1" t="str">
        <f>IFERROR(__xludf.DUMMYFUNCTION("GOOGLETRANSLATE(B7168, ""en"", ""fa"")
"),"موفقیت در ای بی")</f>
        <v>موفقیت در ای بی</v>
      </c>
      <c r="G7168" s="1" t="str">
        <f>IFERROR(__xludf.DUMMYFUNCTION("GOOGLETRANSLATE(C7168, ""en"", ""fa"")
"),"چگونه می توانم نرخ کلیک لیست های eBay خود را ردیابی و تجزیه و تحلیل کنم؟")</f>
        <v>چگونه می توانم نرخ کلیک لیست های eBay خود را ردیابی و تجزیه و تحلیل کنم؟</v>
      </c>
      <c r="H7168" s="1"/>
      <c r="I7168" s="1"/>
      <c r="J7168" s="1"/>
      <c r="K7168" s="1"/>
      <c r="L7168" s="1"/>
      <c r="M7168" s="1"/>
      <c r="N7168" s="1"/>
      <c r="O7168" s="1"/>
      <c r="P7168" s="1"/>
      <c r="Q7168" s="1"/>
      <c r="R7168" s="1"/>
      <c r="S7168" s="1"/>
      <c r="T7168" s="1"/>
      <c r="U7168" s="1"/>
      <c r="V7168" s="1"/>
      <c r="W7168" s="1"/>
      <c r="X7168" s="1"/>
      <c r="Y7168" s="1"/>
      <c r="Z7168" s="1"/>
      <c r="AA7168" s="1"/>
      <c r="AB7168" s="1"/>
    </row>
    <row r="7169" ht="50.25" customHeight="1">
      <c r="A7169" s="12">
        <v>7165.0</v>
      </c>
      <c r="B7169" s="13" t="s">
        <v>7028</v>
      </c>
      <c r="C7169" s="14" t="s">
        <v>7193</v>
      </c>
      <c r="D7169" s="1"/>
      <c r="E7169" s="1"/>
      <c r="F7169" s="1" t="str">
        <f>IFERROR(__xludf.DUMMYFUNCTION("GOOGLETRANSLATE(B7169, ""en"", ""fa"")
"),"موفقیت در ای بی")</f>
        <v>موفقیت در ای بی</v>
      </c>
      <c r="G7169" s="1" t="str">
        <f>IFERROR(__xludf.DUMMYFUNCTION("GOOGLETRANSLATE(C7169, ""en"", ""fa"")
"),"از چه استراتژی هایی می توانم برای نظارت و بهبود نرخ تبدیل لیست های eBay خود استفاده کنم؟")</f>
        <v>از چه استراتژی هایی می توانم برای نظارت و بهبود نرخ تبدیل لیست های eBay خود استفاده کنم؟</v>
      </c>
      <c r="H7169" s="1"/>
      <c r="I7169" s="1"/>
      <c r="J7169" s="1"/>
      <c r="K7169" s="1"/>
      <c r="L7169" s="1"/>
      <c r="M7169" s="1"/>
      <c r="N7169" s="1"/>
      <c r="O7169" s="1"/>
      <c r="P7169" s="1"/>
      <c r="Q7169" s="1"/>
      <c r="R7169" s="1"/>
      <c r="S7169" s="1"/>
      <c r="T7169" s="1"/>
      <c r="U7169" s="1"/>
      <c r="V7169" s="1"/>
      <c r="W7169" s="1"/>
      <c r="X7169" s="1"/>
      <c r="Y7169" s="1"/>
      <c r="Z7169" s="1"/>
      <c r="AA7169" s="1"/>
      <c r="AB7169" s="1"/>
    </row>
    <row r="7170" ht="50.25" customHeight="1">
      <c r="A7170" s="12">
        <v>7166.0</v>
      </c>
      <c r="B7170" s="13" t="s">
        <v>7028</v>
      </c>
      <c r="C7170" s="14" t="s">
        <v>7194</v>
      </c>
      <c r="D7170" s="1"/>
      <c r="E7170" s="1"/>
      <c r="F7170" s="1" t="str">
        <f>IFERROR(__xludf.DUMMYFUNCTION("GOOGLETRANSLATE(B7170, ""en"", ""fa"")
"),"موفقیت در ای بی")</f>
        <v>موفقیت در ای بی</v>
      </c>
      <c r="G7170" s="1" t="str">
        <f>IFERROR(__xludf.DUMMYFUNCTION("GOOGLETRANSLATE(C7170, ""en"", ""fa"")
"),"چگونه می توانم از بینش داده های eBay برای بهینه سازی عناوین و توضیحات فهرست خود استفاده کنم؟")</f>
        <v>چگونه می توانم از بینش داده های eBay برای بهینه سازی عناوین و توضیحات فهرست خود استفاده کنم؟</v>
      </c>
      <c r="H7170" s="1"/>
      <c r="I7170" s="1"/>
      <c r="J7170" s="1"/>
      <c r="K7170" s="1"/>
      <c r="L7170" s="1"/>
      <c r="M7170" s="1"/>
      <c r="N7170" s="1"/>
      <c r="O7170" s="1"/>
      <c r="P7170" s="1"/>
      <c r="Q7170" s="1"/>
      <c r="R7170" s="1"/>
      <c r="S7170" s="1"/>
      <c r="T7170" s="1"/>
      <c r="U7170" s="1"/>
      <c r="V7170" s="1"/>
      <c r="W7170" s="1"/>
      <c r="X7170" s="1"/>
      <c r="Y7170" s="1"/>
      <c r="Z7170" s="1"/>
      <c r="AA7170" s="1"/>
      <c r="AB7170" s="1"/>
    </row>
    <row r="7171" ht="50.25" customHeight="1">
      <c r="A7171" s="12">
        <v>7167.0</v>
      </c>
      <c r="B7171" s="13" t="s">
        <v>7028</v>
      </c>
      <c r="C7171" s="14" t="s">
        <v>7195</v>
      </c>
      <c r="D7171" s="1"/>
      <c r="E7171" s="1"/>
      <c r="F7171" s="1" t="str">
        <f>IFERROR(__xludf.DUMMYFUNCTION("GOOGLETRANSLATE(B7171, ""en"", ""fa"")
"),"موفقیت در ای بی")</f>
        <v>موفقیت در ای بی</v>
      </c>
      <c r="G7171" s="1" t="str">
        <f>IFERROR(__xludf.DUMMYFUNCTION("GOOGLETRANSLATE(C7171, ""en"", ""fa"")
"),"مزایای استفاده از ابزارهای تجزیه و تحلیل شخص ثالث برای ردیابی عملکرد لیست های eBay من چیست؟")</f>
        <v>مزایای استفاده از ابزارهای تجزیه و تحلیل شخص ثالث برای ردیابی عملکرد لیست های eBay من چیست؟</v>
      </c>
      <c r="H7171" s="1"/>
      <c r="I7171" s="1"/>
      <c r="J7171" s="1"/>
      <c r="K7171" s="1"/>
      <c r="L7171" s="1"/>
      <c r="M7171" s="1"/>
      <c r="N7171" s="1"/>
      <c r="O7171" s="1"/>
      <c r="P7171" s="1"/>
      <c r="Q7171" s="1"/>
      <c r="R7171" s="1"/>
      <c r="S7171" s="1"/>
      <c r="T7171" s="1"/>
      <c r="U7171" s="1"/>
      <c r="V7171" s="1"/>
      <c r="W7171" s="1"/>
      <c r="X7171" s="1"/>
      <c r="Y7171" s="1"/>
      <c r="Z7171" s="1"/>
      <c r="AA7171" s="1"/>
      <c r="AB7171" s="1"/>
    </row>
    <row r="7172" ht="50.25" customHeight="1">
      <c r="A7172" s="12">
        <v>7168.0</v>
      </c>
      <c r="B7172" s="13" t="s">
        <v>7028</v>
      </c>
      <c r="C7172" s="14" t="s">
        <v>7196</v>
      </c>
      <c r="D7172" s="1"/>
      <c r="E7172" s="1"/>
      <c r="F7172" s="1" t="str">
        <f>IFERROR(__xludf.DUMMYFUNCTION("GOOGLETRANSLATE(B7172, ""en"", ""fa"")
"),"موفقیت در ای بی")</f>
        <v>موفقیت در ای بی</v>
      </c>
      <c r="G7172" s="1" t="str">
        <f>IFERROR(__xludf.DUMMYFUNCTION("GOOGLETRANSLATE(C7172, ""en"", ""fa"")
"),"چگونه می توانم معیارهای تعامل لیست های eBay خود را تجزیه و تحلیل کنم، مانند بازدیدها و تماشاگران؟")</f>
        <v>چگونه می توانم معیارهای تعامل لیست های eBay خود را تجزیه و تحلیل کنم، مانند بازدیدها و تماشاگران؟</v>
      </c>
      <c r="H7172" s="1"/>
      <c r="I7172" s="1"/>
      <c r="J7172" s="1"/>
      <c r="K7172" s="1"/>
      <c r="L7172" s="1"/>
      <c r="M7172" s="1"/>
      <c r="N7172" s="1"/>
      <c r="O7172" s="1"/>
      <c r="P7172" s="1"/>
      <c r="Q7172" s="1"/>
      <c r="R7172" s="1"/>
      <c r="S7172" s="1"/>
      <c r="T7172" s="1"/>
      <c r="U7172" s="1"/>
      <c r="V7172" s="1"/>
      <c r="W7172" s="1"/>
      <c r="X7172" s="1"/>
      <c r="Y7172" s="1"/>
      <c r="Z7172" s="1"/>
      <c r="AA7172" s="1"/>
      <c r="AB7172" s="1"/>
    </row>
    <row r="7173" ht="50.25" customHeight="1">
      <c r="A7173" s="12">
        <v>7169.0</v>
      </c>
      <c r="B7173" s="13" t="s">
        <v>7028</v>
      </c>
      <c r="C7173" s="14" t="s">
        <v>7197</v>
      </c>
      <c r="D7173" s="1"/>
      <c r="E7173" s="1"/>
      <c r="F7173" s="1" t="str">
        <f>IFERROR(__xludf.DUMMYFUNCTION("GOOGLETRANSLATE(B7173, ""en"", ""fa"")
"),"موفقیت در ای بی")</f>
        <v>موفقیت در ای بی</v>
      </c>
      <c r="G7173" s="1" t="str">
        <f>IFERROR(__xludf.DUMMYFUNCTION("GOOGLETRANSLATE(C7173, ""en"", ""fa"")
"),"چه استراتژی هایی را می توانم برای شناسایی روندها و الگوهای عملکرد لیست های eBay خود به کار بگیرم؟")</f>
        <v>چه استراتژی هایی را می توانم برای شناسایی روندها و الگوهای عملکرد لیست های eBay خود به کار بگیرم؟</v>
      </c>
      <c r="H7173" s="1"/>
      <c r="I7173" s="1"/>
      <c r="J7173" s="1"/>
      <c r="K7173" s="1"/>
      <c r="L7173" s="1"/>
      <c r="M7173" s="1"/>
      <c r="N7173" s="1"/>
      <c r="O7173" s="1"/>
      <c r="P7173" s="1"/>
      <c r="Q7173" s="1"/>
      <c r="R7173" s="1"/>
      <c r="S7173" s="1"/>
      <c r="T7173" s="1"/>
      <c r="U7173" s="1"/>
      <c r="V7173" s="1"/>
      <c r="W7173" s="1"/>
      <c r="X7173" s="1"/>
      <c r="Y7173" s="1"/>
      <c r="Z7173" s="1"/>
      <c r="AA7173" s="1"/>
      <c r="AB7173" s="1"/>
    </row>
    <row r="7174" ht="50.25" customHeight="1">
      <c r="A7174" s="12">
        <v>7170.0</v>
      </c>
      <c r="B7174" s="13" t="s">
        <v>7028</v>
      </c>
      <c r="C7174" s="14" t="s">
        <v>7198</v>
      </c>
      <c r="D7174" s="1"/>
      <c r="E7174" s="1"/>
      <c r="F7174" s="1" t="str">
        <f>IFERROR(__xludf.DUMMYFUNCTION("GOOGLETRANSLATE(B7174, ""en"", ""fa"")
"),"موفقیت در ای بی")</f>
        <v>موفقیت در ای بی</v>
      </c>
      <c r="G7174" s="1" t="str">
        <f>IFERROR(__xludf.DUMMYFUNCTION("GOOGLETRANSLATE(C7174, ""en"", ""fa"")
"),"چگونه می توانم از تست تقسیم برای آزمایش عناصر مختلف لیست و اندازه گیری تأثیر آنها استفاده کنم؟")</f>
        <v>چگونه می توانم از تست تقسیم برای آزمایش عناصر مختلف لیست و اندازه گیری تأثیر آنها استفاده کنم؟</v>
      </c>
      <c r="H7174" s="1"/>
      <c r="I7174" s="1"/>
      <c r="J7174" s="1"/>
      <c r="K7174" s="1"/>
      <c r="L7174" s="1"/>
      <c r="M7174" s="1"/>
      <c r="N7174" s="1"/>
      <c r="O7174" s="1"/>
      <c r="P7174" s="1"/>
      <c r="Q7174" s="1"/>
      <c r="R7174" s="1"/>
      <c r="S7174" s="1"/>
      <c r="T7174" s="1"/>
      <c r="U7174" s="1"/>
      <c r="V7174" s="1"/>
      <c r="W7174" s="1"/>
      <c r="X7174" s="1"/>
      <c r="Y7174" s="1"/>
      <c r="Z7174" s="1"/>
      <c r="AA7174" s="1"/>
      <c r="AB7174" s="1"/>
    </row>
    <row r="7175" ht="50.25" customHeight="1">
      <c r="A7175" s="12">
        <v>7171.0</v>
      </c>
      <c r="B7175" s="13" t="s">
        <v>7028</v>
      </c>
      <c r="C7175" s="14" t="s">
        <v>7199</v>
      </c>
      <c r="D7175" s="1"/>
      <c r="E7175" s="1"/>
      <c r="F7175" s="1" t="str">
        <f>IFERROR(__xludf.DUMMYFUNCTION("GOOGLETRANSLATE(B7175, ""en"", ""fa"")
"),"موفقیت در ای بی")</f>
        <v>موفقیت در ای بی</v>
      </c>
      <c r="G7175" s="1" t="str">
        <f>IFERROR(__xludf.DUMMYFUNCTION("GOOGLETRANSLATE(C7175, ""en"", ""fa"")
"),"بهترین روش ها برای تنظیم پارامترهای ردیابی سفارشی برای لیست های eBay من چیست؟")</f>
        <v>بهترین روش ها برای تنظیم پارامترهای ردیابی سفارشی برای لیست های eBay من چیست؟</v>
      </c>
      <c r="H7175" s="1"/>
      <c r="I7175" s="1"/>
      <c r="J7175" s="1"/>
      <c r="K7175" s="1"/>
      <c r="L7175" s="1"/>
      <c r="M7175" s="1"/>
      <c r="N7175" s="1"/>
      <c r="O7175" s="1"/>
      <c r="P7175" s="1"/>
      <c r="Q7175" s="1"/>
      <c r="R7175" s="1"/>
      <c r="S7175" s="1"/>
      <c r="T7175" s="1"/>
      <c r="U7175" s="1"/>
      <c r="V7175" s="1"/>
      <c r="W7175" s="1"/>
      <c r="X7175" s="1"/>
      <c r="Y7175" s="1"/>
      <c r="Z7175" s="1"/>
      <c r="AA7175" s="1"/>
      <c r="AB7175" s="1"/>
    </row>
    <row r="7176" ht="50.25" customHeight="1">
      <c r="A7176" s="12">
        <v>7172.0</v>
      </c>
      <c r="B7176" s="13" t="s">
        <v>7028</v>
      </c>
      <c r="C7176" s="14" t="s">
        <v>7200</v>
      </c>
      <c r="D7176" s="1"/>
      <c r="E7176" s="1"/>
      <c r="F7176" s="1" t="str">
        <f>IFERROR(__xludf.DUMMYFUNCTION("GOOGLETRANSLATE(B7176, ""en"", ""fa"")
"),"موفقیت در ای بی")</f>
        <v>موفقیت در ای بی</v>
      </c>
      <c r="G7176" s="1" t="str">
        <f>IFERROR(__xludf.DUMMYFUNCTION("GOOGLETRANSLATE(C7176, ""en"", ""fa"")
"),"چگونه می توانم عملکرد لیست های eBay خود را در دستگاه های مختلف مانند موبایل و دسکتاپ پیگیری کنم؟")</f>
        <v>چگونه می توانم عملکرد لیست های eBay خود را در دستگاه های مختلف مانند موبایل و دسکتاپ پیگیری کنم؟</v>
      </c>
      <c r="H7176" s="1"/>
      <c r="I7176" s="1"/>
      <c r="J7176" s="1"/>
      <c r="K7176" s="1"/>
      <c r="L7176" s="1"/>
      <c r="M7176" s="1"/>
      <c r="N7176" s="1"/>
      <c r="O7176" s="1"/>
      <c r="P7176" s="1"/>
      <c r="Q7176" s="1"/>
      <c r="R7176" s="1"/>
      <c r="S7176" s="1"/>
      <c r="T7176" s="1"/>
      <c r="U7176" s="1"/>
      <c r="V7176" s="1"/>
      <c r="W7176" s="1"/>
      <c r="X7176" s="1"/>
      <c r="Y7176" s="1"/>
      <c r="Z7176" s="1"/>
      <c r="AA7176" s="1"/>
      <c r="AB7176" s="1"/>
    </row>
    <row r="7177" ht="50.25" customHeight="1">
      <c r="A7177" s="12">
        <v>7173.0</v>
      </c>
      <c r="B7177" s="13" t="s">
        <v>7028</v>
      </c>
      <c r="C7177" s="14" t="s">
        <v>7201</v>
      </c>
      <c r="D7177" s="1"/>
      <c r="E7177" s="1"/>
      <c r="F7177" s="1" t="str">
        <f>IFERROR(__xludf.DUMMYFUNCTION("GOOGLETRANSLATE(B7177, ""en"", ""fa"")
"),"موفقیت در ای بی")</f>
        <v>موفقیت در ای بی</v>
      </c>
      <c r="G7177" s="1" t="str">
        <f>IFERROR(__xludf.DUMMYFUNCTION("GOOGLETRANSLATE(C7177, ""en"", ""fa"")
"),"مزایای ردیابی و تجزیه و تحلیل عملکرد لیست های eBay من در طول زمان چیست؟")</f>
        <v>مزایای ردیابی و تجزیه و تحلیل عملکرد لیست های eBay من در طول زمان چیست؟</v>
      </c>
      <c r="H7177" s="1"/>
      <c r="I7177" s="1"/>
      <c r="J7177" s="1"/>
      <c r="K7177" s="1"/>
      <c r="L7177" s="1"/>
      <c r="M7177" s="1"/>
      <c r="N7177" s="1"/>
      <c r="O7177" s="1"/>
      <c r="P7177" s="1"/>
      <c r="Q7177" s="1"/>
      <c r="R7177" s="1"/>
      <c r="S7177" s="1"/>
      <c r="T7177" s="1"/>
      <c r="U7177" s="1"/>
      <c r="V7177" s="1"/>
      <c r="W7177" s="1"/>
      <c r="X7177" s="1"/>
      <c r="Y7177" s="1"/>
      <c r="Z7177" s="1"/>
      <c r="AA7177" s="1"/>
      <c r="AB7177" s="1"/>
    </row>
    <row r="7178" ht="50.25" customHeight="1">
      <c r="A7178" s="12">
        <v>7174.0</v>
      </c>
      <c r="B7178" s="13" t="s">
        <v>7028</v>
      </c>
      <c r="C7178" s="14" t="s">
        <v>7202</v>
      </c>
      <c r="D7178" s="1"/>
      <c r="E7178" s="1"/>
      <c r="F7178" s="1" t="str">
        <f>IFERROR(__xludf.DUMMYFUNCTION("GOOGLETRANSLATE(B7178, ""en"", ""fa"")
"),"موفقیت در ای بی")</f>
        <v>موفقیت در ای بی</v>
      </c>
      <c r="G7178" s="1" t="str">
        <f>IFERROR(__xludf.DUMMYFUNCTION("GOOGLETRANSLATE(C7178, ""en"", ""fa"")
"),"چگونه می توانم لیست هایی را که عملکرد ضعیفی دارند شناسایی کنم و برای بهبود عملکرد آنها گام بردارم؟")</f>
        <v>چگونه می توانم لیست هایی را که عملکرد ضعیفی دارند شناسایی کنم و برای بهبود عملکرد آنها گام بردارم؟</v>
      </c>
      <c r="H7178" s="1"/>
      <c r="I7178" s="1"/>
      <c r="J7178" s="1"/>
      <c r="K7178" s="1"/>
      <c r="L7178" s="1"/>
      <c r="M7178" s="1"/>
      <c r="N7178" s="1"/>
      <c r="O7178" s="1"/>
      <c r="P7178" s="1"/>
      <c r="Q7178" s="1"/>
      <c r="R7178" s="1"/>
      <c r="S7178" s="1"/>
      <c r="T7178" s="1"/>
      <c r="U7178" s="1"/>
      <c r="V7178" s="1"/>
      <c r="W7178" s="1"/>
      <c r="X7178" s="1"/>
      <c r="Y7178" s="1"/>
      <c r="Z7178" s="1"/>
      <c r="AA7178" s="1"/>
      <c r="AB7178" s="1"/>
    </row>
    <row r="7179" ht="50.25" customHeight="1">
      <c r="A7179" s="12">
        <v>7175.0</v>
      </c>
      <c r="B7179" s="13" t="s">
        <v>7028</v>
      </c>
      <c r="C7179" s="14" t="s">
        <v>7203</v>
      </c>
      <c r="D7179" s="1"/>
      <c r="E7179" s="1"/>
      <c r="F7179" s="1" t="str">
        <f>IFERROR(__xludf.DUMMYFUNCTION("GOOGLETRANSLATE(B7179, ""en"", ""fa"")
"),"موفقیت در ای بی")</f>
        <v>موفقیت در ای بی</v>
      </c>
      <c r="G7179" s="1" t="str">
        <f>IFERROR(__xludf.DUMMYFUNCTION("GOOGLETRANSLATE(C7179, ""en"", ""fa"")
"),"از چه استراتژی هایی می توانم برای ردیابی و تجزیه و تحلیل تاثیر تغییرات قیمت گذاری بر لیست های eBay خود استفاده کنم؟")</f>
        <v>از چه استراتژی هایی می توانم برای ردیابی و تجزیه و تحلیل تاثیر تغییرات قیمت گذاری بر لیست های eBay خود استفاده کنم؟</v>
      </c>
      <c r="H7179" s="1"/>
      <c r="I7179" s="1"/>
      <c r="J7179" s="1"/>
      <c r="K7179" s="1"/>
      <c r="L7179" s="1"/>
      <c r="M7179" s="1"/>
      <c r="N7179" s="1"/>
      <c r="O7179" s="1"/>
      <c r="P7179" s="1"/>
      <c r="Q7179" s="1"/>
      <c r="R7179" s="1"/>
      <c r="S7179" s="1"/>
      <c r="T7179" s="1"/>
      <c r="U7179" s="1"/>
      <c r="V7179" s="1"/>
      <c r="W7179" s="1"/>
      <c r="X7179" s="1"/>
      <c r="Y7179" s="1"/>
      <c r="Z7179" s="1"/>
      <c r="AA7179" s="1"/>
      <c r="AB7179" s="1"/>
    </row>
    <row r="7180" ht="50.25" customHeight="1">
      <c r="A7180" s="12">
        <v>7176.0</v>
      </c>
      <c r="B7180" s="13" t="s">
        <v>7028</v>
      </c>
      <c r="C7180" s="14" t="s">
        <v>7204</v>
      </c>
      <c r="D7180" s="1"/>
      <c r="E7180" s="1"/>
      <c r="F7180" s="1" t="str">
        <f>IFERROR(__xludf.DUMMYFUNCTION("GOOGLETRANSLATE(B7180, ""en"", ""fa"")
"),"موفقیت در ای بی")</f>
        <v>موفقیت در ای بی</v>
      </c>
      <c r="G7180" s="1" t="str">
        <f>IFERROR(__xludf.DUMMYFUNCTION("GOOGLETRANSLATE(C7180, ""en"", ""fa"")
"),"چگونه می توانم عملکرد لیست های eBay خود را در رابطه با رقبای خود نظارت کنم؟")</f>
        <v>چگونه می توانم عملکرد لیست های eBay خود را در رابطه با رقبای خود نظارت کنم؟</v>
      </c>
      <c r="H7180" s="1"/>
      <c r="I7180" s="1"/>
      <c r="J7180" s="1"/>
      <c r="K7180" s="1"/>
      <c r="L7180" s="1"/>
      <c r="M7180" s="1"/>
      <c r="N7180" s="1"/>
      <c r="O7180" s="1"/>
      <c r="P7180" s="1"/>
      <c r="Q7180" s="1"/>
      <c r="R7180" s="1"/>
      <c r="S7180" s="1"/>
      <c r="T7180" s="1"/>
      <c r="U7180" s="1"/>
      <c r="V7180" s="1"/>
      <c r="W7180" s="1"/>
      <c r="X7180" s="1"/>
      <c r="Y7180" s="1"/>
      <c r="Z7180" s="1"/>
      <c r="AA7180" s="1"/>
      <c r="AB7180" s="1"/>
    </row>
    <row r="7181" ht="50.25" customHeight="1">
      <c r="A7181" s="12">
        <v>7177.0</v>
      </c>
      <c r="B7181" s="13" t="s">
        <v>7028</v>
      </c>
      <c r="C7181" s="14" t="s">
        <v>7205</v>
      </c>
      <c r="D7181" s="1"/>
      <c r="E7181" s="1"/>
      <c r="F7181" s="1" t="str">
        <f>IFERROR(__xludf.DUMMYFUNCTION("GOOGLETRANSLATE(B7181, ""en"", ""fa"")
"),"موفقیت در ای بی")</f>
        <v>موفقیت در ای بی</v>
      </c>
      <c r="G7181" s="1" t="str">
        <f>IFERROR(__xludf.DUMMYFUNCTION("GOOGLETRANSLATE(C7181, ""en"", ""fa"")
"),"بینش‌های کلیدی که می‌توانم از گزارش‌های عبارت جستجوی eBay برای بهینه‌سازی فهرست‌هایم جمع‌آوری کنم، چیست؟")</f>
        <v>بینش‌های کلیدی که می‌توانم از گزارش‌های عبارت جستجوی eBay برای بهینه‌سازی فهرست‌هایم جمع‌آوری کنم، چیست؟</v>
      </c>
      <c r="H7181" s="1"/>
      <c r="I7181" s="1"/>
      <c r="J7181" s="1"/>
      <c r="K7181" s="1"/>
      <c r="L7181" s="1"/>
      <c r="M7181" s="1"/>
      <c r="N7181" s="1"/>
      <c r="O7181" s="1"/>
      <c r="P7181" s="1"/>
      <c r="Q7181" s="1"/>
      <c r="R7181" s="1"/>
      <c r="S7181" s="1"/>
      <c r="T7181" s="1"/>
      <c r="U7181" s="1"/>
      <c r="V7181" s="1"/>
      <c r="W7181" s="1"/>
      <c r="X7181" s="1"/>
      <c r="Y7181" s="1"/>
      <c r="Z7181" s="1"/>
      <c r="AA7181" s="1"/>
      <c r="AB7181" s="1"/>
    </row>
    <row r="7182" ht="50.25" customHeight="1">
      <c r="A7182" s="12">
        <v>7178.0</v>
      </c>
      <c r="B7182" s="13" t="s">
        <v>7028</v>
      </c>
      <c r="C7182" s="14" t="s">
        <v>7206</v>
      </c>
      <c r="D7182" s="1"/>
      <c r="E7182" s="1"/>
      <c r="F7182" s="1" t="str">
        <f>IFERROR(__xludf.DUMMYFUNCTION("GOOGLETRANSLATE(B7182, ""en"", ""fa"")
"),"موفقیت در ای بی")</f>
        <v>موفقیت در ای بی</v>
      </c>
      <c r="G7182" s="1" t="str">
        <f>IFERROR(__xludf.DUMMYFUNCTION("GOOGLETRANSLATE(C7182, ""en"", ""fa"")
"),"چگونه می توانم عملکرد لیست های eBay خود را در مناطق جغرافیایی خاص یا بازارهای هدف پیگیری کنم؟")</f>
        <v>چگونه می توانم عملکرد لیست های eBay خود را در مناطق جغرافیایی خاص یا بازارهای هدف پیگیری کنم؟</v>
      </c>
      <c r="H7182" s="1"/>
      <c r="I7182" s="1"/>
      <c r="J7182" s="1"/>
      <c r="K7182" s="1"/>
      <c r="L7182" s="1"/>
      <c r="M7182" s="1"/>
      <c r="N7182" s="1"/>
      <c r="O7182" s="1"/>
      <c r="P7182" s="1"/>
      <c r="Q7182" s="1"/>
      <c r="R7182" s="1"/>
      <c r="S7182" s="1"/>
      <c r="T7182" s="1"/>
      <c r="U7182" s="1"/>
      <c r="V7182" s="1"/>
      <c r="W7182" s="1"/>
      <c r="X7182" s="1"/>
      <c r="Y7182" s="1"/>
      <c r="Z7182" s="1"/>
      <c r="AA7182" s="1"/>
      <c r="AB7182" s="1"/>
    </row>
    <row r="7183" ht="50.25" customHeight="1">
      <c r="A7183" s="12">
        <v>7179.0</v>
      </c>
      <c r="B7183" s="13" t="s">
        <v>7028</v>
      </c>
      <c r="C7183" s="14" t="s">
        <v>7207</v>
      </c>
      <c r="D7183" s="1"/>
      <c r="E7183" s="1"/>
      <c r="F7183" s="1" t="str">
        <f>IFERROR(__xludf.DUMMYFUNCTION("GOOGLETRANSLATE(B7183, ""en"", ""fa"")
"),"موفقیت در ای بی")</f>
        <v>موفقیت در ای بی</v>
      </c>
      <c r="G7183" s="1" t="str">
        <f>IFERROR(__xludf.DUMMYFUNCTION("GOOGLETRANSLATE(C7183, ""en"", ""fa"")
"),"چه استراتژی هایی را می توانم برای اندازه گیری و بهبود دید لیست های eBay در نتایج جستجو به کار ببرم؟")</f>
        <v>چه استراتژی هایی را می توانم برای اندازه گیری و بهبود دید لیست های eBay در نتایج جستجو به کار ببرم؟</v>
      </c>
      <c r="H7183" s="1"/>
      <c r="I7183" s="1"/>
      <c r="J7183" s="1"/>
      <c r="K7183" s="1"/>
      <c r="L7183" s="1"/>
      <c r="M7183" s="1"/>
      <c r="N7183" s="1"/>
      <c r="O7183" s="1"/>
      <c r="P7183" s="1"/>
      <c r="Q7183" s="1"/>
      <c r="R7183" s="1"/>
      <c r="S7183" s="1"/>
      <c r="T7183" s="1"/>
      <c r="U7183" s="1"/>
      <c r="V7183" s="1"/>
      <c r="W7183" s="1"/>
      <c r="X7183" s="1"/>
      <c r="Y7183" s="1"/>
      <c r="Z7183" s="1"/>
      <c r="AA7183" s="1"/>
      <c r="AB7183" s="1"/>
    </row>
    <row r="7184" ht="50.25" customHeight="1">
      <c r="A7184" s="12">
        <v>7180.0</v>
      </c>
      <c r="B7184" s="13" t="s">
        <v>7028</v>
      </c>
      <c r="C7184" s="14" t="s">
        <v>7208</v>
      </c>
      <c r="D7184" s="1"/>
      <c r="E7184" s="1"/>
      <c r="F7184" s="1" t="str">
        <f>IFERROR(__xludf.DUMMYFUNCTION("GOOGLETRANSLATE(B7184, ""en"", ""fa"")
"),"موفقیت در ای بی")</f>
        <v>موفقیت در ای بی</v>
      </c>
      <c r="G7184" s="1" t="str">
        <f>IFERROR(__xludf.DUMMYFUNCTION("GOOGLETRANSLATE(C7184, ""en"", ""fa"")
"),"چگونه می توانم تأثیر تبلیغات و تخفیف های eBay را بر عملکرد لیست های خود پیگیری کنم؟")</f>
        <v>چگونه می توانم تأثیر تبلیغات و تخفیف های eBay را بر عملکرد لیست های خود پیگیری کنم؟</v>
      </c>
      <c r="H7184" s="1"/>
      <c r="I7184" s="1"/>
      <c r="J7184" s="1"/>
      <c r="K7184" s="1"/>
      <c r="L7184" s="1"/>
      <c r="M7184" s="1"/>
      <c r="N7184" s="1"/>
      <c r="O7184" s="1"/>
      <c r="P7184" s="1"/>
      <c r="Q7184" s="1"/>
      <c r="R7184" s="1"/>
      <c r="S7184" s="1"/>
      <c r="T7184" s="1"/>
      <c r="U7184" s="1"/>
      <c r="V7184" s="1"/>
      <c r="W7184" s="1"/>
      <c r="X7184" s="1"/>
      <c r="Y7184" s="1"/>
      <c r="Z7184" s="1"/>
      <c r="AA7184" s="1"/>
      <c r="AB7184" s="1"/>
    </row>
    <row r="7185" ht="50.25" customHeight="1">
      <c r="A7185" s="12">
        <v>7181.0</v>
      </c>
      <c r="B7185" s="13" t="s">
        <v>7028</v>
      </c>
      <c r="C7185" s="14" t="s">
        <v>7209</v>
      </c>
      <c r="D7185" s="1"/>
      <c r="E7185" s="1"/>
      <c r="F7185" s="1" t="str">
        <f>IFERROR(__xludf.DUMMYFUNCTION("GOOGLETRANSLATE(B7185, ""en"", ""fa"")
"),"موفقیت در ای بی")</f>
        <v>موفقیت در ای بی</v>
      </c>
      <c r="G7185" s="1" t="str">
        <f>IFERROR(__xludf.DUMMYFUNCTION("GOOGLETRANSLATE(C7185, ""en"", ""fa"")
"),"مزایای پیگیری عملکرد لیست‌های eBay من بر اساس زمان روز یا روز هفته چیست؟")</f>
        <v>مزایای پیگیری عملکرد لیست‌های eBay من بر اساس زمان روز یا روز هفته چیست؟</v>
      </c>
      <c r="H7185" s="1"/>
      <c r="I7185" s="1"/>
      <c r="J7185" s="1"/>
      <c r="K7185" s="1"/>
      <c r="L7185" s="1"/>
      <c r="M7185" s="1"/>
      <c r="N7185" s="1"/>
      <c r="O7185" s="1"/>
      <c r="P7185" s="1"/>
      <c r="Q7185" s="1"/>
      <c r="R7185" s="1"/>
      <c r="S7185" s="1"/>
      <c r="T7185" s="1"/>
      <c r="U7185" s="1"/>
      <c r="V7185" s="1"/>
      <c r="W7185" s="1"/>
      <c r="X7185" s="1"/>
      <c r="Y7185" s="1"/>
      <c r="Z7185" s="1"/>
      <c r="AA7185" s="1"/>
      <c r="AB7185" s="1"/>
    </row>
    <row r="7186" ht="50.25" customHeight="1">
      <c r="A7186" s="12">
        <v>7182.0</v>
      </c>
      <c r="B7186" s="13" t="s">
        <v>7028</v>
      </c>
      <c r="C7186" s="14" t="s">
        <v>7210</v>
      </c>
      <c r="D7186" s="1"/>
      <c r="E7186" s="1"/>
      <c r="F7186" s="1" t="str">
        <f>IFERROR(__xludf.DUMMYFUNCTION("GOOGLETRANSLATE(B7186, ""en"", ""fa"")
"),"موفقیت در ای بی")</f>
        <v>موفقیت در ای بی</v>
      </c>
      <c r="G7186" s="1" t="str">
        <f>IFERROR(__xludf.DUMMYFUNCTION("GOOGLETRANSLATE(C7186, ""en"", ""fa"")
"),"چگونه می توانم از ابزارهای ردیابی عملکرد eBay برای شناسایی و رسیدگی به موارد نقض لیست یا مشکلات خط مشی استفاده کنم؟")</f>
        <v>چگونه می توانم از ابزارهای ردیابی عملکرد eBay برای شناسایی و رسیدگی به موارد نقض لیست یا مشکلات خط مشی استفاده کنم؟</v>
      </c>
      <c r="H7186" s="1"/>
      <c r="I7186" s="1"/>
      <c r="J7186" s="1"/>
      <c r="K7186" s="1"/>
      <c r="L7186" s="1"/>
      <c r="M7186" s="1"/>
      <c r="N7186" s="1"/>
      <c r="O7186" s="1"/>
      <c r="P7186" s="1"/>
      <c r="Q7186" s="1"/>
      <c r="R7186" s="1"/>
      <c r="S7186" s="1"/>
      <c r="T7186" s="1"/>
      <c r="U7186" s="1"/>
      <c r="V7186" s="1"/>
      <c r="W7186" s="1"/>
      <c r="X7186" s="1"/>
      <c r="Y7186" s="1"/>
      <c r="Z7186" s="1"/>
      <c r="AA7186" s="1"/>
      <c r="AB7186" s="1"/>
    </row>
    <row r="7187" ht="50.25" customHeight="1">
      <c r="A7187" s="12">
        <v>7183.0</v>
      </c>
      <c r="B7187" s="13" t="s">
        <v>7028</v>
      </c>
      <c r="C7187" s="14" t="s">
        <v>7211</v>
      </c>
      <c r="D7187" s="1"/>
      <c r="E7187" s="1"/>
      <c r="F7187" s="1" t="str">
        <f>IFERROR(__xludf.DUMMYFUNCTION("GOOGLETRANSLATE(B7187, ""en"", ""fa"")
"),"موفقیت در ای بی")</f>
        <v>موفقیت در ای بی</v>
      </c>
      <c r="G7187" s="1" t="str">
        <f>IFERROR(__xludf.DUMMYFUNCTION("GOOGLETRANSLATE(C7187, ""en"", ""fa"")
"),"معیارهای کلیدی که باید هنگام ارزیابی سودآوری لیست های eBay در نظر بگیریم چیست؟")</f>
        <v>معیارهای کلیدی که باید هنگام ارزیابی سودآوری لیست های eBay در نظر بگیریم چیست؟</v>
      </c>
      <c r="H7187" s="1"/>
      <c r="I7187" s="1"/>
      <c r="J7187" s="1"/>
      <c r="K7187" s="1"/>
      <c r="L7187" s="1"/>
      <c r="M7187" s="1"/>
      <c r="N7187" s="1"/>
      <c r="O7187" s="1"/>
      <c r="P7187" s="1"/>
      <c r="Q7187" s="1"/>
      <c r="R7187" s="1"/>
      <c r="S7187" s="1"/>
      <c r="T7187" s="1"/>
      <c r="U7187" s="1"/>
      <c r="V7187" s="1"/>
      <c r="W7187" s="1"/>
      <c r="X7187" s="1"/>
      <c r="Y7187" s="1"/>
      <c r="Z7187" s="1"/>
      <c r="AA7187" s="1"/>
      <c r="AB7187" s="1"/>
    </row>
    <row r="7188" ht="50.25" customHeight="1">
      <c r="A7188" s="12">
        <v>7184.0</v>
      </c>
      <c r="B7188" s="13" t="s">
        <v>7028</v>
      </c>
      <c r="C7188" s="14" t="s">
        <v>7212</v>
      </c>
      <c r="D7188" s="1"/>
      <c r="E7188" s="1"/>
      <c r="F7188" s="1" t="str">
        <f>IFERROR(__xludf.DUMMYFUNCTION("GOOGLETRANSLATE(B7188, ""en"", ""fa"")
"),"موفقیت در ای بی")</f>
        <v>موفقیت در ای بی</v>
      </c>
      <c r="G7188" s="1" t="str">
        <f>IFERROR(__xludf.DUMMYFUNCTION("GOOGLETRANSLATE(C7188, ""en"", ""fa"")
"),"چگونه می توانم تأثیر گزینه های حمل و نقل و زمان تحویل را بر لیست های eBay خود ردیابی و تجزیه و تحلیل کنم؟")</f>
        <v>چگونه می توانم تأثیر گزینه های حمل و نقل و زمان تحویل را بر لیست های eBay خود ردیابی و تجزیه و تحلیل کنم؟</v>
      </c>
      <c r="H7188" s="1"/>
      <c r="I7188" s="1"/>
      <c r="J7188" s="1"/>
      <c r="K7188" s="1"/>
      <c r="L7188" s="1"/>
      <c r="M7188" s="1"/>
      <c r="N7188" s="1"/>
      <c r="O7188" s="1"/>
      <c r="P7188" s="1"/>
      <c r="Q7188" s="1"/>
      <c r="R7188" s="1"/>
      <c r="S7188" s="1"/>
      <c r="T7188" s="1"/>
      <c r="U7188" s="1"/>
      <c r="V7188" s="1"/>
      <c r="W7188" s="1"/>
      <c r="X7188" s="1"/>
      <c r="Y7188" s="1"/>
      <c r="Z7188" s="1"/>
      <c r="AA7188" s="1"/>
      <c r="AB7188" s="1"/>
    </row>
    <row r="7189" ht="50.25" customHeight="1">
      <c r="A7189" s="12">
        <v>7185.0</v>
      </c>
      <c r="B7189" s="13" t="s">
        <v>7028</v>
      </c>
      <c r="C7189" s="14" t="s">
        <v>7213</v>
      </c>
      <c r="D7189" s="1"/>
      <c r="E7189" s="1"/>
      <c r="F7189" s="1" t="str">
        <f>IFERROR(__xludf.DUMMYFUNCTION("GOOGLETRANSLATE(B7189, ""en"", ""fa"")
"),"موفقیت در ای بی")</f>
        <v>موفقیت در ای بی</v>
      </c>
      <c r="G7189" s="1" t="str">
        <f>IFERROR(__xludf.DUMMYFUNCTION("GOOGLETRANSLATE(C7189, ""en"", ""fa"")
"),"از چه استراتژی هایی می توانم برای شناسایی و بهینه سازی کلمات کلیدی پرتقاضا در لیست های eBay استفاده کنم؟")</f>
        <v>از چه استراتژی هایی می توانم برای شناسایی و بهینه سازی کلمات کلیدی پرتقاضا در لیست های eBay استفاده کنم؟</v>
      </c>
      <c r="H7189" s="1"/>
      <c r="I7189" s="1"/>
      <c r="J7189" s="1"/>
      <c r="K7189" s="1"/>
      <c r="L7189" s="1"/>
      <c r="M7189" s="1"/>
      <c r="N7189" s="1"/>
      <c r="O7189" s="1"/>
      <c r="P7189" s="1"/>
      <c r="Q7189" s="1"/>
      <c r="R7189" s="1"/>
      <c r="S7189" s="1"/>
      <c r="T7189" s="1"/>
      <c r="U7189" s="1"/>
      <c r="V7189" s="1"/>
      <c r="W7189" s="1"/>
      <c r="X7189" s="1"/>
      <c r="Y7189" s="1"/>
      <c r="Z7189" s="1"/>
      <c r="AA7189" s="1"/>
      <c r="AB7189" s="1"/>
    </row>
    <row r="7190" ht="50.25" customHeight="1">
      <c r="A7190" s="12">
        <v>7186.0</v>
      </c>
      <c r="B7190" s="13" t="s">
        <v>7028</v>
      </c>
      <c r="C7190" s="14" t="s">
        <v>7214</v>
      </c>
      <c r="D7190" s="1"/>
      <c r="E7190" s="1"/>
      <c r="F7190" s="1" t="str">
        <f>IFERROR(__xludf.DUMMYFUNCTION("GOOGLETRANSLATE(B7190, ""en"", ""fa"")
"),"موفقیت در ای بی")</f>
        <v>موفقیت در ای بی</v>
      </c>
      <c r="G7190" s="1" t="str">
        <f>IFERROR(__xludf.DUMMYFUNCTION("GOOGLETRANSLATE(C7190, ""en"", ""fa"")
"),"چگونه می‌توانم تأثیر رتبه‌بندی‌ها و بازخوردهای فروشنده بر عملکرد فهرست‌هایم را ردیابی و اندازه‌گیری کنم؟")</f>
        <v>چگونه می‌توانم تأثیر رتبه‌بندی‌ها و بازخوردهای فروشنده بر عملکرد فهرست‌هایم را ردیابی و اندازه‌گیری کنم؟</v>
      </c>
      <c r="H7190" s="1"/>
      <c r="I7190" s="1"/>
      <c r="J7190" s="1"/>
      <c r="K7190" s="1"/>
      <c r="L7190" s="1"/>
      <c r="M7190" s="1"/>
      <c r="N7190" s="1"/>
      <c r="O7190" s="1"/>
      <c r="P7190" s="1"/>
      <c r="Q7190" s="1"/>
      <c r="R7190" s="1"/>
      <c r="S7190" s="1"/>
      <c r="T7190" s="1"/>
      <c r="U7190" s="1"/>
      <c r="V7190" s="1"/>
      <c r="W7190" s="1"/>
      <c r="X7190" s="1"/>
      <c r="Y7190" s="1"/>
      <c r="Z7190" s="1"/>
      <c r="AA7190" s="1"/>
      <c r="AB7190" s="1"/>
    </row>
    <row r="7191" ht="50.25" customHeight="1">
      <c r="A7191" s="12">
        <v>7187.0</v>
      </c>
      <c r="B7191" s="13" t="s">
        <v>7028</v>
      </c>
      <c r="C7191" s="14" t="s">
        <v>7215</v>
      </c>
      <c r="D7191" s="1"/>
      <c r="E7191" s="1"/>
      <c r="F7191" s="1" t="str">
        <f>IFERROR(__xludf.DUMMYFUNCTION("GOOGLETRANSLATE(B7191, ""en"", ""fa"")
"),"موفقیت در ای بی")</f>
        <v>موفقیت در ای بی</v>
      </c>
      <c r="G7191" s="1" t="str">
        <f>IFERROR(__xludf.DUMMYFUNCTION("GOOGLETRANSLATE(C7191, ""en"", ""fa"")
"),"مزایای ردیابی و تجزیه و تحلیل عملکرد لیست های eBay من بر اساس دسته بندی محصول چیست؟")</f>
        <v>مزایای ردیابی و تجزیه و تحلیل عملکرد لیست های eBay من بر اساس دسته بندی محصول چیست؟</v>
      </c>
      <c r="H7191" s="1"/>
      <c r="I7191" s="1"/>
      <c r="J7191" s="1"/>
      <c r="K7191" s="1"/>
      <c r="L7191" s="1"/>
      <c r="M7191" s="1"/>
      <c r="N7191" s="1"/>
      <c r="O7191" s="1"/>
      <c r="P7191" s="1"/>
      <c r="Q7191" s="1"/>
      <c r="R7191" s="1"/>
      <c r="S7191" s="1"/>
      <c r="T7191" s="1"/>
      <c r="U7191" s="1"/>
      <c r="V7191" s="1"/>
      <c r="W7191" s="1"/>
      <c r="X7191" s="1"/>
      <c r="Y7191" s="1"/>
      <c r="Z7191" s="1"/>
      <c r="AA7191" s="1"/>
      <c r="AB7191" s="1"/>
    </row>
    <row r="7192" ht="50.25" customHeight="1">
      <c r="A7192" s="12">
        <v>7188.0</v>
      </c>
      <c r="B7192" s="13" t="s">
        <v>7028</v>
      </c>
      <c r="C7192" s="14" t="s">
        <v>7216</v>
      </c>
      <c r="D7192" s="1"/>
      <c r="E7192" s="1"/>
      <c r="F7192" s="1" t="str">
        <f>IFERROR(__xludf.DUMMYFUNCTION("GOOGLETRANSLATE(B7192, ""en"", ""fa"")
"),"موفقیت در ای بی")</f>
        <v>موفقیت در ای بی</v>
      </c>
      <c r="G7192" s="1" t="str">
        <f>IFERROR(__xludf.DUMMYFUNCTION("GOOGLETRANSLATE(C7192, ""en"", ""fa"")
"),"چگونه می توانم از معیارهای عملکرد فروشنده eBay برای شناسایی زمینه های بهبود فهرست خود استفاده کنم؟")</f>
        <v>چگونه می توانم از معیارهای عملکرد فروشنده eBay برای شناسایی زمینه های بهبود فهرست خود استفاده کنم؟</v>
      </c>
      <c r="H7192" s="1"/>
      <c r="I7192" s="1"/>
      <c r="J7192" s="1"/>
      <c r="K7192" s="1"/>
      <c r="L7192" s="1"/>
      <c r="M7192" s="1"/>
      <c r="N7192" s="1"/>
      <c r="O7192" s="1"/>
      <c r="P7192" s="1"/>
      <c r="Q7192" s="1"/>
      <c r="R7192" s="1"/>
      <c r="S7192" s="1"/>
      <c r="T7192" s="1"/>
      <c r="U7192" s="1"/>
      <c r="V7192" s="1"/>
      <c r="W7192" s="1"/>
      <c r="X7192" s="1"/>
      <c r="Y7192" s="1"/>
      <c r="Z7192" s="1"/>
      <c r="AA7192" s="1"/>
      <c r="AB7192" s="1"/>
    </row>
    <row r="7193" ht="50.25" customHeight="1">
      <c r="A7193" s="12">
        <v>7189.0</v>
      </c>
      <c r="B7193" s="13" t="s">
        <v>7028</v>
      </c>
      <c r="C7193" s="14" t="s">
        <v>7217</v>
      </c>
      <c r="D7193" s="1"/>
      <c r="E7193" s="1"/>
      <c r="F7193" s="1" t="str">
        <f>IFERROR(__xludf.DUMMYFUNCTION("GOOGLETRANSLATE(B7193, ""en"", ""fa"")
"),"موفقیت در ای بی")</f>
        <v>موفقیت در ای بی</v>
      </c>
      <c r="G7193" s="1" t="str">
        <f>IFERROR(__xludf.DUMMYFUNCTION("GOOGLETRANSLATE(C7193, ""en"", ""fa"")
"),"چه استراتژی‌هایی را می‌توانم برای ردیابی و تجزیه و تحلیل تأثیر پیشرفت‌های فهرست، مانند پررنگ یا برجسته کردن، در فهرست‌های eBay به کار ببرم؟")</f>
        <v>چه استراتژی‌هایی را می‌توانم برای ردیابی و تجزیه و تحلیل تأثیر پیشرفت‌های فهرست، مانند پررنگ یا برجسته کردن، در فهرست‌های eBay به کار ببرم؟</v>
      </c>
      <c r="H7193" s="1"/>
      <c r="I7193" s="1"/>
      <c r="J7193" s="1"/>
      <c r="K7193" s="1"/>
      <c r="L7193" s="1"/>
      <c r="M7193" s="1"/>
      <c r="N7193" s="1"/>
      <c r="O7193" s="1"/>
      <c r="P7193" s="1"/>
      <c r="Q7193" s="1"/>
      <c r="R7193" s="1"/>
      <c r="S7193" s="1"/>
      <c r="T7193" s="1"/>
      <c r="U7193" s="1"/>
      <c r="V7193" s="1"/>
      <c r="W7193" s="1"/>
      <c r="X7193" s="1"/>
      <c r="Y7193" s="1"/>
      <c r="Z7193" s="1"/>
      <c r="AA7193" s="1"/>
      <c r="AB7193" s="1"/>
    </row>
    <row r="7194" ht="50.25" customHeight="1">
      <c r="A7194" s="12">
        <v>7190.0</v>
      </c>
      <c r="B7194" s="13" t="s">
        <v>7028</v>
      </c>
      <c r="C7194" s="14" t="s">
        <v>7218</v>
      </c>
      <c r="D7194" s="1"/>
      <c r="E7194" s="1"/>
      <c r="F7194" s="1" t="str">
        <f>IFERROR(__xludf.DUMMYFUNCTION("GOOGLETRANSLATE(B7194, ""en"", ""fa"")
"),"موفقیت در ای بی")</f>
        <v>موفقیت در ای بی</v>
      </c>
      <c r="G7194" s="1" t="str">
        <f>IFERROR(__xludf.DUMMYFUNCTION("GOOGLETRANSLATE(C7194, ""en"", ""fa"")
"),"چگونه می توانم عملکرد لیست های eBay خود را در کانال های بازاریابی مختلف، مانند رسانه های اجتماعی یا کمپین های ایمیل، پیگیری کنم؟")</f>
        <v>چگونه می توانم عملکرد لیست های eBay خود را در کانال های بازاریابی مختلف، مانند رسانه های اجتماعی یا کمپین های ایمیل، پیگیری کنم؟</v>
      </c>
      <c r="H7194" s="1"/>
      <c r="I7194" s="1"/>
      <c r="J7194" s="1"/>
      <c r="K7194" s="1"/>
      <c r="L7194" s="1"/>
      <c r="M7194" s="1"/>
      <c r="N7194" s="1"/>
      <c r="O7194" s="1"/>
      <c r="P7194" s="1"/>
      <c r="Q7194" s="1"/>
      <c r="R7194" s="1"/>
      <c r="S7194" s="1"/>
      <c r="T7194" s="1"/>
      <c r="U7194" s="1"/>
      <c r="V7194" s="1"/>
      <c r="W7194" s="1"/>
      <c r="X7194" s="1"/>
      <c r="Y7194" s="1"/>
      <c r="Z7194" s="1"/>
      <c r="AA7194" s="1"/>
      <c r="AB7194" s="1"/>
    </row>
    <row r="7195" ht="50.25" customHeight="1">
      <c r="A7195" s="12">
        <v>7191.0</v>
      </c>
      <c r="B7195" s="13" t="s">
        <v>7028</v>
      </c>
      <c r="C7195" s="14" t="s">
        <v>7219</v>
      </c>
      <c r="D7195" s="1"/>
      <c r="E7195" s="1"/>
      <c r="F7195" s="1" t="str">
        <f>IFERROR(__xludf.DUMMYFUNCTION("GOOGLETRANSLATE(B7195, ""en"", ""fa"")
"),"موفقیت در ای بی")</f>
        <v>موفقیت در ای بی</v>
      </c>
      <c r="G7195" s="1" t="str">
        <f>IFERROR(__xludf.DUMMYFUNCTION("GOOGLETRANSLATE(C7195, ""en"", ""fa"")
"),"بینش‌های کلیدی که می‌توانم از داده‌های رفتار خریدار eBay برای بهینه‌سازی فهرست‌هایم جمع‌آوری کنم، چیست؟")</f>
        <v>بینش‌های کلیدی که می‌توانم از داده‌های رفتار خریدار eBay برای بهینه‌سازی فهرست‌هایم جمع‌آوری کنم، چیست؟</v>
      </c>
      <c r="H7195" s="1"/>
      <c r="I7195" s="1"/>
      <c r="J7195" s="1"/>
      <c r="K7195" s="1"/>
      <c r="L7195" s="1"/>
      <c r="M7195" s="1"/>
      <c r="N7195" s="1"/>
      <c r="O7195" s="1"/>
      <c r="P7195" s="1"/>
      <c r="Q7195" s="1"/>
      <c r="R7195" s="1"/>
      <c r="S7195" s="1"/>
      <c r="T7195" s="1"/>
      <c r="U7195" s="1"/>
      <c r="V7195" s="1"/>
      <c r="W7195" s="1"/>
      <c r="X7195" s="1"/>
      <c r="Y7195" s="1"/>
      <c r="Z7195" s="1"/>
      <c r="AA7195" s="1"/>
      <c r="AB7195" s="1"/>
    </row>
    <row r="7196" ht="50.25" customHeight="1">
      <c r="A7196" s="12">
        <v>7192.0</v>
      </c>
      <c r="B7196" s="13" t="s">
        <v>7028</v>
      </c>
      <c r="C7196" s="14" t="s">
        <v>7220</v>
      </c>
      <c r="D7196" s="1"/>
      <c r="E7196" s="1"/>
      <c r="F7196" s="1" t="str">
        <f>IFERROR(__xludf.DUMMYFUNCTION("GOOGLETRANSLATE(B7196, ""en"", ""fa"")
"),"موفقیت در ای بی")</f>
        <v>موفقیت در ای بی</v>
      </c>
      <c r="G7196" s="1" t="str">
        <f>IFERROR(__xludf.DUMMYFUNCTION("GOOGLETRANSLATE(C7196, ""en"", ""fa"")
"),"چگونه می توانم مشاهده لیست های eBay خود را در فیلترهای جستجوی خاص eBay کنترل و بهبود بخشم؟")</f>
        <v>چگونه می توانم مشاهده لیست های eBay خود را در فیلترهای جستجوی خاص eBay کنترل و بهبود بخشم؟</v>
      </c>
      <c r="H7196" s="1"/>
      <c r="I7196" s="1"/>
      <c r="J7196" s="1"/>
      <c r="K7196" s="1"/>
      <c r="L7196" s="1"/>
      <c r="M7196" s="1"/>
      <c r="N7196" s="1"/>
      <c r="O7196" s="1"/>
      <c r="P7196" s="1"/>
      <c r="Q7196" s="1"/>
      <c r="R7196" s="1"/>
      <c r="S7196" s="1"/>
      <c r="T7196" s="1"/>
      <c r="U7196" s="1"/>
      <c r="V7196" s="1"/>
      <c r="W7196" s="1"/>
      <c r="X7196" s="1"/>
      <c r="Y7196" s="1"/>
      <c r="Z7196" s="1"/>
      <c r="AA7196" s="1"/>
      <c r="AB7196" s="1"/>
    </row>
    <row r="7197" ht="50.25" customHeight="1">
      <c r="A7197" s="12">
        <v>7193.0</v>
      </c>
      <c r="B7197" s="13" t="s">
        <v>7028</v>
      </c>
      <c r="C7197" s="14" t="s">
        <v>7221</v>
      </c>
      <c r="D7197" s="1"/>
      <c r="E7197" s="1"/>
      <c r="F7197" s="1" t="str">
        <f>IFERROR(__xludf.DUMMYFUNCTION("GOOGLETRANSLATE(B7197, ""en"", ""fa"")
"),"موفقیت در ای بی")</f>
        <v>موفقیت در ای بی</v>
      </c>
      <c r="G7197" s="1" t="str">
        <f>IFERROR(__xludf.DUMMYFUNCTION("GOOGLETRANSLATE(C7197, ""en"", ""fa"")
"),"از چه استراتژی هایی می توانم برای ردیابی و تجزیه و تحلیل تأثیر فصلی یا روندها بر عملکرد لیست های eBay خود استفاده کنم؟")</f>
        <v>از چه استراتژی هایی می توانم برای ردیابی و تجزیه و تحلیل تأثیر فصلی یا روندها بر عملکرد لیست های eBay خود استفاده کنم؟</v>
      </c>
      <c r="H7197" s="1"/>
      <c r="I7197" s="1"/>
      <c r="J7197" s="1"/>
      <c r="K7197" s="1"/>
      <c r="L7197" s="1"/>
      <c r="M7197" s="1"/>
      <c r="N7197" s="1"/>
      <c r="O7197" s="1"/>
      <c r="P7197" s="1"/>
      <c r="Q7197" s="1"/>
      <c r="R7197" s="1"/>
      <c r="S7197" s="1"/>
      <c r="T7197" s="1"/>
      <c r="U7197" s="1"/>
      <c r="V7197" s="1"/>
      <c r="W7197" s="1"/>
      <c r="X7197" s="1"/>
      <c r="Y7197" s="1"/>
      <c r="Z7197" s="1"/>
      <c r="AA7197" s="1"/>
      <c r="AB7197" s="1"/>
    </row>
    <row r="7198" ht="50.25" customHeight="1">
      <c r="A7198" s="12">
        <v>7194.0</v>
      </c>
      <c r="B7198" s="13" t="s">
        <v>7028</v>
      </c>
      <c r="C7198" s="14" t="s">
        <v>7222</v>
      </c>
      <c r="D7198" s="1"/>
      <c r="E7198" s="1"/>
      <c r="F7198" s="1" t="str">
        <f>IFERROR(__xludf.DUMMYFUNCTION("GOOGLETRANSLATE(B7198, ""en"", ""fa"")
"),"موفقیت در ای بی")</f>
        <v>موفقیت در ای بی</v>
      </c>
      <c r="G7198" s="1" t="str">
        <f>IFERROR(__xludf.DUMMYFUNCTION("GOOGLETRANSLATE(C7198, ""en"", ""fa"")
"),"چگونه می‌توانم اثربخشی تبلیغات فهرست eBay خود را ردیابی و اندازه‌گیری کنم، مانند ارسال رایگان یا خرید یکی از آن‌ها؟")</f>
        <v>چگونه می‌توانم اثربخشی تبلیغات فهرست eBay خود را ردیابی و اندازه‌گیری کنم، مانند ارسال رایگان یا خرید یکی از آن‌ها؟</v>
      </c>
      <c r="H7198" s="1"/>
      <c r="I7198" s="1"/>
      <c r="J7198" s="1"/>
      <c r="K7198" s="1"/>
      <c r="L7198" s="1"/>
      <c r="M7198" s="1"/>
      <c r="N7198" s="1"/>
      <c r="O7198" s="1"/>
      <c r="P7198" s="1"/>
      <c r="Q7198" s="1"/>
      <c r="R7198" s="1"/>
      <c r="S7198" s="1"/>
      <c r="T7198" s="1"/>
      <c r="U7198" s="1"/>
      <c r="V7198" s="1"/>
      <c r="W7198" s="1"/>
      <c r="X7198" s="1"/>
      <c r="Y7198" s="1"/>
      <c r="Z7198" s="1"/>
      <c r="AA7198" s="1"/>
      <c r="AB7198" s="1"/>
    </row>
    <row r="7199" ht="50.25" customHeight="1">
      <c r="A7199" s="12">
        <v>7195.0</v>
      </c>
      <c r="B7199" s="13" t="s">
        <v>7028</v>
      </c>
      <c r="C7199" s="14" t="s">
        <v>7223</v>
      </c>
      <c r="D7199" s="1"/>
      <c r="E7199" s="1"/>
      <c r="F7199" s="1" t="str">
        <f>IFERROR(__xludf.DUMMYFUNCTION("GOOGLETRANSLATE(B7199, ""en"", ""fa"")
"),"موفقیت در ای بی")</f>
        <v>موفقیت در ای بی</v>
      </c>
      <c r="G7199" s="1" t="str">
        <f>IFERROR(__xludf.DUMMYFUNCTION("GOOGLETRANSLATE(C7199, ""en"", ""fa"")
"),"مزایای ردیابی و تجزیه و تحلیل عملکرد لیست های eBay من بر اساس جمعیت شناسی و ترجیحات خریدار چیست؟")</f>
        <v>مزایای ردیابی و تجزیه و تحلیل عملکرد لیست های eBay من بر اساس جمعیت شناسی و ترجیحات خریدار چیست؟</v>
      </c>
      <c r="H7199" s="1"/>
      <c r="I7199" s="1"/>
      <c r="J7199" s="1"/>
      <c r="K7199" s="1"/>
      <c r="L7199" s="1"/>
      <c r="M7199" s="1"/>
      <c r="N7199" s="1"/>
      <c r="O7199" s="1"/>
      <c r="P7199" s="1"/>
      <c r="Q7199" s="1"/>
      <c r="R7199" s="1"/>
      <c r="S7199" s="1"/>
      <c r="T7199" s="1"/>
      <c r="U7199" s="1"/>
      <c r="V7199" s="1"/>
      <c r="W7199" s="1"/>
      <c r="X7199" s="1"/>
      <c r="Y7199" s="1"/>
      <c r="Z7199" s="1"/>
      <c r="AA7199" s="1"/>
      <c r="AB7199" s="1"/>
    </row>
    <row r="7200" ht="50.25" customHeight="1">
      <c r="A7200" s="12">
        <v>7196.0</v>
      </c>
      <c r="B7200" s="13" t="s">
        <v>7028</v>
      </c>
      <c r="C7200" s="14" t="s">
        <v>7224</v>
      </c>
      <c r="D7200" s="1"/>
      <c r="E7200" s="1"/>
      <c r="F7200" s="1" t="str">
        <f>IFERROR(__xludf.DUMMYFUNCTION("GOOGLETRANSLATE(B7200, ""en"", ""fa"")
"),"موفقیت در ای بی")</f>
        <v>موفقیت در ای بی</v>
      </c>
      <c r="G7200" s="1" t="str">
        <f>IFERROR(__xludf.DUMMYFUNCTION("GOOGLETRANSLATE(C7200, ""en"", ""fa"")
"),"چگونه می توانم از تجزیه و تحلیل لیست eBay برای شناسایی فرصت هایی برای فروش متقابل یا افزایش فروش در لیست های خود استفاده کنم؟")</f>
        <v>چگونه می توانم از تجزیه و تحلیل لیست eBay برای شناسایی فرصت هایی برای فروش متقابل یا افزایش فروش در لیست های خود استفاده کنم؟</v>
      </c>
      <c r="H7200" s="1"/>
      <c r="I7200" s="1"/>
      <c r="J7200" s="1"/>
      <c r="K7200" s="1"/>
      <c r="L7200" s="1"/>
      <c r="M7200" s="1"/>
      <c r="N7200" s="1"/>
      <c r="O7200" s="1"/>
      <c r="P7200" s="1"/>
      <c r="Q7200" s="1"/>
      <c r="R7200" s="1"/>
      <c r="S7200" s="1"/>
      <c r="T7200" s="1"/>
      <c r="U7200" s="1"/>
      <c r="V7200" s="1"/>
      <c r="W7200" s="1"/>
      <c r="X7200" s="1"/>
      <c r="Y7200" s="1"/>
      <c r="Z7200" s="1"/>
      <c r="AA7200" s="1"/>
      <c r="AB7200" s="1"/>
    </row>
    <row r="7201" ht="50.25" customHeight="1">
      <c r="A7201" s="12">
        <v>7197.0</v>
      </c>
      <c r="B7201" s="13" t="s">
        <v>7028</v>
      </c>
      <c r="C7201" s="14" t="s">
        <v>7225</v>
      </c>
      <c r="D7201" s="1"/>
      <c r="E7201" s="1"/>
      <c r="F7201" s="1" t="str">
        <f>IFERROR(__xludf.DUMMYFUNCTION("GOOGLETRANSLATE(B7201, ""en"", ""fa"")
"),"موفقیت در ای بی")</f>
        <v>موفقیت در ای بی</v>
      </c>
      <c r="G7201" s="1" t="str">
        <f>IFERROR(__xludf.DUMMYFUNCTION("GOOGLETRANSLATE(C7201, ""en"", ""fa"")
"),"چه استراتژی هایی را می توانم برای ردیابی و اندازه گیری تأثیر بهینه سازی لیست بر عملکرد لیست های eBay خود به کار بگیرم؟")</f>
        <v>چه استراتژی هایی را می توانم برای ردیابی و اندازه گیری تأثیر بهینه سازی لیست بر عملکرد لیست های eBay خود به کار بگیرم؟</v>
      </c>
      <c r="H7201" s="1"/>
      <c r="I7201" s="1"/>
      <c r="J7201" s="1"/>
      <c r="K7201" s="1"/>
      <c r="L7201" s="1"/>
      <c r="M7201" s="1"/>
      <c r="N7201" s="1"/>
      <c r="O7201" s="1"/>
      <c r="P7201" s="1"/>
      <c r="Q7201" s="1"/>
      <c r="R7201" s="1"/>
      <c r="S7201" s="1"/>
      <c r="T7201" s="1"/>
      <c r="U7201" s="1"/>
      <c r="V7201" s="1"/>
      <c r="W7201" s="1"/>
      <c r="X7201" s="1"/>
      <c r="Y7201" s="1"/>
      <c r="Z7201" s="1"/>
      <c r="AA7201" s="1"/>
      <c r="AB7201" s="1"/>
    </row>
    <row r="7202" ht="50.25" customHeight="1">
      <c r="A7202" s="12">
        <v>7198.0</v>
      </c>
      <c r="B7202" s="13" t="s">
        <v>7028</v>
      </c>
      <c r="C7202" s="14" t="s">
        <v>7226</v>
      </c>
      <c r="D7202" s="1"/>
      <c r="E7202" s="1"/>
      <c r="F7202" s="1" t="str">
        <f>IFERROR(__xludf.DUMMYFUNCTION("GOOGLETRANSLATE(B7202, ""en"", ""fa"")
"),"موفقیت در ای بی")</f>
        <v>موفقیت در ای بی</v>
      </c>
      <c r="G7202" s="1" t="str">
        <f>IFERROR(__xludf.DUMMYFUNCTION("GOOGLETRANSLATE(C7202, ""en"", ""fa"")
"),"چگونه می‌توانم تأثیر برنامه‌های تبلیغاتی eBay، مانند فهرست‌های تبلیغاتی، بر روی دید و فروش فهرست‌هایم را ردیابی و تجزیه و تحلیل کنم؟")</f>
        <v>چگونه می‌توانم تأثیر برنامه‌های تبلیغاتی eBay، مانند فهرست‌های تبلیغاتی، بر روی دید و فروش فهرست‌هایم را ردیابی و تجزیه و تحلیل کنم؟</v>
      </c>
      <c r="H7202" s="1"/>
      <c r="I7202" s="1"/>
      <c r="J7202" s="1"/>
      <c r="K7202" s="1"/>
      <c r="L7202" s="1"/>
      <c r="M7202" s="1"/>
      <c r="N7202" s="1"/>
      <c r="O7202" s="1"/>
      <c r="P7202" s="1"/>
      <c r="Q7202" s="1"/>
      <c r="R7202" s="1"/>
      <c r="S7202" s="1"/>
      <c r="T7202" s="1"/>
      <c r="U7202" s="1"/>
      <c r="V7202" s="1"/>
      <c r="W7202" s="1"/>
      <c r="X7202" s="1"/>
      <c r="Y7202" s="1"/>
      <c r="Z7202" s="1"/>
      <c r="AA7202" s="1"/>
      <c r="AB7202" s="1"/>
    </row>
    <row r="7203" ht="50.25" customHeight="1">
      <c r="A7203" s="12">
        <v>7199.0</v>
      </c>
      <c r="B7203" s="13" t="s">
        <v>7028</v>
      </c>
      <c r="C7203" s="14" t="s">
        <v>7227</v>
      </c>
      <c r="D7203" s="1"/>
      <c r="E7203" s="1"/>
      <c r="F7203" s="1" t="str">
        <f>IFERROR(__xludf.DUMMYFUNCTION("GOOGLETRANSLATE(B7203, ""en"", ""fa"")
"),"موفقیت در ای بی")</f>
        <v>موفقیت در ای بی</v>
      </c>
      <c r="G7203" s="1" t="str">
        <f>IFERROR(__xludf.DUMMYFUNCTION("GOOGLETRANSLATE(C7203, ""en"", ""fa"")
"),"معیارهای کلیدی که باید هنگام ارزیابی موفقیت بازگشت سرمایه (ROI) فهرست های eBay من در نظر بگیریم چیست؟")</f>
        <v>معیارهای کلیدی که باید هنگام ارزیابی موفقیت بازگشت سرمایه (ROI) فهرست های eBay من در نظر بگیریم چیست؟</v>
      </c>
      <c r="H7203" s="1"/>
      <c r="I7203" s="1"/>
      <c r="J7203" s="1"/>
      <c r="K7203" s="1"/>
      <c r="L7203" s="1"/>
      <c r="M7203" s="1"/>
      <c r="N7203" s="1"/>
      <c r="O7203" s="1"/>
      <c r="P7203" s="1"/>
      <c r="Q7203" s="1"/>
      <c r="R7203" s="1"/>
      <c r="S7203" s="1"/>
      <c r="T7203" s="1"/>
      <c r="U7203" s="1"/>
      <c r="V7203" s="1"/>
      <c r="W7203" s="1"/>
      <c r="X7203" s="1"/>
      <c r="Y7203" s="1"/>
      <c r="Z7203" s="1"/>
      <c r="AA7203" s="1"/>
      <c r="AB7203" s="1"/>
    </row>
    <row r="7204" ht="50.25" customHeight="1">
      <c r="A7204" s="12">
        <v>7200.0</v>
      </c>
      <c r="B7204" s="13" t="s">
        <v>7028</v>
      </c>
      <c r="C7204" s="14" t="s">
        <v>7228</v>
      </c>
      <c r="D7204" s="1"/>
      <c r="E7204" s="1"/>
      <c r="F7204" s="1" t="str">
        <f>IFERROR(__xludf.DUMMYFUNCTION("GOOGLETRANSLATE(B7204, ""en"", ""fa"")
"),"موفقیت در ای بی")</f>
        <v>موفقیت در ای بی</v>
      </c>
      <c r="G7204" s="1" t="str">
        <f>IFERROR(__xludf.DUMMYFUNCTION("GOOGLETRANSLATE(C7204, ""en"", ""fa"")
"),"چگونه می توانم تأثیر تغییرات در الگوریتم جستجوی eBay را بر عملکرد لیست های خود ردیابی و اندازه گیری کنم؟")</f>
        <v>چگونه می توانم تأثیر تغییرات در الگوریتم جستجوی eBay را بر عملکرد لیست های خود ردیابی و اندازه گیری کنم؟</v>
      </c>
      <c r="H7204" s="1"/>
      <c r="I7204" s="1"/>
      <c r="J7204" s="1"/>
      <c r="K7204" s="1"/>
      <c r="L7204" s="1"/>
      <c r="M7204" s="1"/>
      <c r="N7204" s="1"/>
      <c r="O7204" s="1"/>
      <c r="P7204" s="1"/>
      <c r="Q7204" s="1"/>
      <c r="R7204" s="1"/>
      <c r="S7204" s="1"/>
      <c r="T7204" s="1"/>
      <c r="U7204" s="1"/>
      <c r="V7204" s="1"/>
      <c r="W7204" s="1"/>
      <c r="X7204" s="1"/>
      <c r="Y7204" s="1"/>
      <c r="Z7204" s="1"/>
      <c r="AA7204" s="1"/>
      <c r="AB7204" s="1"/>
    </row>
    <row r="7205" ht="50.25" customHeight="1">
      <c r="A7205" s="12">
        <v>7201.0</v>
      </c>
      <c r="B7205" s="13" t="s">
        <v>7028</v>
      </c>
      <c r="C7205" s="14" t="s">
        <v>7229</v>
      </c>
      <c r="D7205" s="1"/>
      <c r="E7205" s="1"/>
      <c r="F7205" s="1" t="str">
        <f>IFERROR(__xludf.DUMMYFUNCTION("GOOGLETRANSLATE(B7205, ""en"", ""fa"")
"),"موفقیت در ای بی")</f>
        <v>موفقیت در ای بی</v>
      </c>
      <c r="G7205" s="1" t="str">
        <f>IFERROR(__xludf.DUMMYFUNCTION("GOOGLETRANSLATE(C7205, ""en"", ""fa"")
"),"از چه استراتژی هایی می توانم برای ردیابی و تجزیه و تحلیل عملکرد لیست های eBay خود در رابطه با عبارات خاص جستجوی خریداران استفاده کنم؟")</f>
        <v>از چه استراتژی هایی می توانم برای ردیابی و تجزیه و تحلیل عملکرد لیست های eBay خود در رابطه با عبارات خاص جستجوی خریداران استفاده کنم؟</v>
      </c>
      <c r="H7205" s="1"/>
      <c r="I7205" s="1"/>
      <c r="J7205" s="1"/>
      <c r="K7205" s="1"/>
      <c r="L7205" s="1"/>
      <c r="M7205" s="1"/>
      <c r="N7205" s="1"/>
      <c r="O7205" s="1"/>
      <c r="P7205" s="1"/>
      <c r="Q7205" s="1"/>
      <c r="R7205" s="1"/>
      <c r="S7205" s="1"/>
      <c r="T7205" s="1"/>
      <c r="U7205" s="1"/>
      <c r="V7205" s="1"/>
      <c r="W7205" s="1"/>
      <c r="X7205" s="1"/>
      <c r="Y7205" s="1"/>
      <c r="Z7205" s="1"/>
      <c r="AA7205" s="1"/>
      <c r="AB7205" s="1"/>
    </row>
    <row r="7206" ht="50.25" customHeight="1">
      <c r="A7206" s="12">
        <v>7202.0</v>
      </c>
      <c r="B7206" s="13" t="s">
        <v>7028</v>
      </c>
      <c r="C7206" s="14" t="s">
        <v>7230</v>
      </c>
      <c r="D7206" s="1"/>
      <c r="E7206" s="1"/>
      <c r="F7206" s="1" t="str">
        <f>IFERROR(__xludf.DUMMYFUNCTION("GOOGLETRANSLATE(B7206, ""en"", ""fa"")
"),"موفقیت در ای بی")</f>
        <v>موفقیت در ای بی</v>
      </c>
      <c r="G7206" s="1" t="str">
        <f>IFERROR(__xludf.DUMMYFUNCTION("GOOGLETRANSLATE(C7206, ""en"", ""fa"")
"),"چگونه می توانم عملکرد لیست های eBay خود را در رابطه با استراتژی های قیمت گذاری رقبای خود نظارت و بهبود بخشم؟")</f>
        <v>چگونه می توانم عملکرد لیست های eBay خود را در رابطه با استراتژی های قیمت گذاری رقبای خود نظارت و بهبود بخشم؟</v>
      </c>
      <c r="H7206" s="1"/>
      <c r="I7206" s="1"/>
      <c r="J7206" s="1"/>
      <c r="K7206" s="1"/>
      <c r="L7206" s="1"/>
      <c r="M7206" s="1"/>
      <c r="N7206" s="1"/>
      <c r="O7206" s="1"/>
      <c r="P7206" s="1"/>
      <c r="Q7206" s="1"/>
      <c r="R7206" s="1"/>
      <c r="S7206" s="1"/>
      <c r="T7206" s="1"/>
      <c r="U7206" s="1"/>
      <c r="V7206" s="1"/>
      <c r="W7206" s="1"/>
      <c r="X7206" s="1"/>
      <c r="Y7206" s="1"/>
      <c r="Z7206" s="1"/>
      <c r="AA7206" s="1"/>
      <c r="AB7206" s="1"/>
    </row>
    <row r="7207" ht="50.25" customHeight="1">
      <c r="A7207" s="12">
        <v>7203.0</v>
      </c>
      <c r="B7207" s="13" t="s">
        <v>7028</v>
      </c>
      <c r="C7207" s="14" t="s">
        <v>7231</v>
      </c>
      <c r="D7207" s="1"/>
      <c r="E7207" s="1"/>
      <c r="F7207" s="1" t="str">
        <f>IFERROR(__xludf.DUMMYFUNCTION("GOOGLETRANSLATE(B7207, ""en"", ""fa"")
"),"موفقیت در ای بی")</f>
        <v>موفقیت در ای بی</v>
      </c>
      <c r="G7207" s="1" t="str">
        <f>IFERROR(__xludf.DUMMYFUNCTION("GOOGLETRANSLATE(C7207, ""en"", ""fa"")
"),"مزایای ردیابی و تجزیه و تحلیل عملکرد لیست های eBay من بر اساس بازخورد و رتبه بندی خریداران چیست؟")</f>
        <v>مزایای ردیابی و تجزیه و تحلیل عملکرد لیست های eBay من بر اساس بازخورد و رتبه بندی خریداران چیست؟</v>
      </c>
      <c r="H7207" s="1"/>
      <c r="I7207" s="1"/>
      <c r="J7207" s="1"/>
      <c r="K7207" s="1"/>
      <c r="L7207" s="1"/>
      <c r="M7207" s="1"/>
      <c r="N7207" s="1"/>
      <c r="O7207" s="1"/>
      <c r="P7207" s="1"/>
      <c r="Q7207" s="1"/>
      <c r="R7207" s="1"/>
      <c r="S7207" s="1"/>
      <c r="T7207" s="1"/>
      <c r="U7207" s="1"/>
      <c r="V7207" s="1"/>
      <c r="W7207" s="1"/>
      <c r="X7207" s="1"/>
      <c r="Y7207" s="1"/>
      <c r="Z7207" s="1"/>
      <c r="AA7207" s="1"/>
      <c r="AB7207" s="1"/>
    </row>
    <row r="7208" ht="50.25" customHeight="1">
      <c r="A7208" s="12">
        <v>7204.0</v>
      </c>
      <c r="B7208" s="13" t="s">
        <v>7028</v>
      </c>
      <c r="C7208" s="14" t="s">
        <v>7232</v>
      </c>
      <c r="D7208" s="1"/>
      <c r="E7208" s="1"/>
      <c r="F7208" s="1" t="str">
        <f>IFERROR(__xludf.DUMMYFUNCTION("GOOGLETRANSLATE(B7208, ""en"", ""fa"")
"),"موفقیت در ای بی")</f>
        <v>موفقیت در ای بی</v>
      </c>
      <c r="G7208" s="1" t="str">
        <f>IFERROR(__xludf.DUMMYFUNCTION("GOOGLETRANSLATE(C7208, ""en"", ""fa"")
"),"چگونه می‌توانم تأثیر گزینه‌های مدت زمان فهرست‌بندی، مانند فهرست‌های 3 روزه در مقابل فهرست‌های 7 روزه را بر روی دید و فروش فهرست‌های eBay خود ردیابی و اندازه‌گیری کنم؟")</f>
        <v>چگونه می‌توانم تأثیر گزینه‌های مدت زمان فهرست‌بندی، مانند فهرست‌های 3 روزه در مقابل فهرست‌های 7 روزه را بر روی دید و فروش فهرست‌های eBay خود ردیابی و اندازه‌گیری کنم؟</v>
      </c>
      <c r="H7208" s="1"/>
      <c r="I7208" s="1"/>
      <c r="J7208" s="1"/>
      <c r="K7208" s="1"/>
      <c r="L7208" s="1"/>
      <c r="M7208" s="1"/>
      <c r="N7208" s="1"/>
      <c r="O7208" s="1"/>
      <c r="P7208" s="1"/>
      <c r="Q7208" s="1"/>
      <c r="R7208" s="1"/>
      <c r="S7208" s="1"/>
      <c r="T7208" s="1"/>
      <c r="U7208" s="1"/>
      <c r="V7208" s="1"/>
      <c r="W7208" s="1"/>
      <c r="X7208" s="1"/>
      <c r="Y7208" s="1"/>
      <c r="Z7208" s="1"/>
      <c r="AA7208" s="1"/>
      <c r="AB7208" s="1"/>
    </row>
    <row r="7209" ht="50.25" customHeight="1">
      <c r="A7209" s="12">
        <v>7205.0</v>
      </c>
      <c r="B7209" s="13" t="s">
        <v>7028</v>
      </c>
      <c r="C7209" s="14" t="s">
        <v>7233</v>
      </c>
      <c r="D7209" s="1"/>
      <c r="E7209" s="1"/>
      <c r="F7209" s="1" t="str">
        <f>IFERROR(__xludf.DUMMYFUNCTION("GOOGLETRANSLATE(B7209, ""en"", ""fa"")
"),"موفقیت در ای بی")</f>
        <v>موفقیت در ای بی</v>
      </c>
      <c r="G7209" s="1" t="str">
        <f>IFERROR(__xludf.DUMMYFUNCTION("GOOGLETRANSLATE(C7209, ""en"", ""fa"")
"),"چه استراتژی‌هایی را می‌توانم برای ردیابی و تحلیل تأثیر قالب‌های مختلف فهرست‌بندی، مانند سبک حراج در مقابل قیمت ثابت، بر فهرست‌های eBay خود به کار بگیرم؟")</f>
        <v>چه استراتژی‌هایی را می‌توانم برای ردیابی و تحلیل تأثیر قالب‌های مختلف فهرست‌بندی، مانند سبک حراج در مقابل قیمت ثابت، بر فهرست‌های eBay خود به کار بگیرم؟</v>
      </c>
      <c r="H7209" s="1"/>
      <c r="I7209" s="1"/>
      <c r="J7209" s="1"/>
      <c r="K7209" s="1"/>
      <c r="L7209" s="1"/>
      <c r="M7209" s="1"/>
      <c r="N7209" s="1"/>
      <c r="O7209" s="1"/>
      <c r="P7209" s="1"/>
      <c r="Q7209" s="1"/>
      <c r="R7209" s="1"/>
      <c r="S7209" s="1"/>
      <c r="T7209" s="1"/>
      <c r="U7209" s="1"/>
      <c r="V7209" s="1"/>
      <c r="W7209" s="1"/>
      <c r="X7209" s="1"/>
      <c r="Y7209" s="1"/>
      <c r="Z7209" s="1"/>
      <c r="AA7209" s="1"/>
      <c r="AB7209" s="1"/>
    </row>
    <row r="7210" ht="50.25" customHeight="1">
      <c r="A7210" s="12">
        <v>7206.0</v>
      </c>
      <c r="B7210" s="13" t="s">
        <v>7028</v>
      </c>
      <c r="C7210" s="14" t="s">
        <v>7234</v>
      </c>
      <c r="D7210" s="1"/>
      <c r="E7210" s="1"/>
      <c r="F7210" s="1" t="str">
        <f>IFERROR(__xludf.DUMMYFUNCTION("GOOGLETRANSLATE(B7210, ""en"", ""fa"")
"),"موفقیت در ای بی")</f>
        <v>موفقیت در ای بی</v>
      </c>
      <c r="G7210" s="1" t="str">
        <f>IFERROR(__xludf.DUMMYFUNCTION("GOOGLETRANSLATE(C7210, ""en"", ""fa"")
"),"چگونه می توانم تأثیر سیاست های مختلف حمل و نقل، مانند ارسال رایگان یا ارسال سریع، را بر عملکرد فهرست های eBay خود ردیابی و تجزیه و تحلیل کنم؟")</f>
        <v>چگونه می توانم تأثیر سیاست های مختلف حمل و نقل، مانند ارسال رایگان یا ارسال سریع، را بر عملکرد فهرست های eBay خود ردیابی و تجزیه و تحلیل کنم؟</v>
      </c>
      <c r="H7210" s="1"/>
      <c r="I7210" s="1"/>
      <c r="J7210" s="1"/>
      <c r="K7210" s="1"/>
      <c r="L7210" s="1"/>
      <c r="M7210" s="1"/>
      <c r="N7210" s="1"/>
      <c r="O7210" s="1"/>
      <c r="P7210" s="1"/>
      <c r="Q7210" s="1"/>
      <c r="R7210" s="1"/>
      <c r="S7210" s="1"/>
      <c r="T7210" s="1"/>
      <c r="U7210" s="1"/>
      <c r="V7210" s="1"/>
      <c r="W7210" s="1"/>
      <c r="X7210" s="1"/>
      <c r="Y7210" s="1"/>
      <c r="Z7210" s="1"/>
      <c r="AA7210" s="1"/>
      <c r="AB7210" s="1"/>
    </row>
    <row r="7211" ht="50.25" customHeight="1">
      <c r="A7211" s="12">
        <v>7207.0</v>
      </c>
      <c r="B7211" s="13" t="s">
        <v>7028</v>
      </c>
      <c r="C7211" s="14" t="s">
        <v>7235</v>
      </c>
      <c r="D7211" s="1"/>
      <c r="E7211" s="1"/>
      <c r="F7211" s="1" t="str">
        <f>IFERROR(__xludf.DUMMYFUNCTION("GOOGLETRANSLATE(B7211, ""en"", ""fa"")
"),"موفقیت در ای بی")</f>
        <v>موفقیت در ای بی</v>
      </c>
      <c r="G7211" s="1" t="str">
        <f>IFERROR(__xludf.DUMMYFUNCTION("GOOGLETRANSLATE(C7211, ""en"", ""fa"")
"),"بینش‌های کلیدی که می‌توانم از گزارش عبارات جستجوی خریداران eBay برای بهینه‌سازی فهرست‌هایم برای کلمات کلیدی خاص جمع‌آوری کنم، چیست؟")</f>
        <v>بینش‌های کلیدی که می‌توانم از گزارش عبارات جستجوی خریداران eBay برای بهینه‌سازی فهرست‌هایم برای کلمات کلیدی خاص جمع‌آوری کنم، چیست؟</v>
      </c>
      <c r="H7211" s="1"/>
      <c r="I7211" s="1"/>
      <c r="J7211" s="1"/>
      <c r="K7211" s="1"/>
      <c r="L7211" s="1"/>
      <c r="M7211" s="1"/>
      <c r="N7211" s="1"/>
      <c r="O7211" s="1"/>
      <c r="P7211" s="1"/>
      <c r="Q7211" s="1"/>
      <c r="R7211" s="1"/>
      <c r="S7211" s="1"/>
      <c r="T7211" s="1"/>
      <c r="U7211" s="1"/>
      <c r="V7211" s="1"/>
      <c r="W7211" s="1"/>
      <c r="X7211" s="1"/>
      <c r="Y7211" s="1"/>
      <c r="Z7211" s="1"/>
      <c r="AA7211" s="1"/>
      <c r="AB7211" s="1"/>
    </row>
    <row r="7212" ht="50.25" customHeight="1">
      <c r="A7212" s="12">
        <v>7208.0</v>
      </c>
      <c r="B7212" s="13" t="s">
        <v>7028</v>
      </c>
      <c r="C7212" s="14" t="s">
        <v>7236</v>
      </c>
      <c r="D7212" s="1"/>
      <c r="E7212" s="1"/>
      <c r="F7212" s="1" t="str">
        <f>IFERROR(__xludf.DUMMYFUNCTION("GOOGLETRANSLATE(B7212, ""en"", ""fa"")
"),"موفقیت در ای بی")</f>
        <v>موفقیت در ای بی</v>
      </c>
      <c r="G7212" s="1" t="str">
        <f>IFERROR(__xludf.DUMMYFUNCTION("GOOGLETRANSLATE(C7212, ""en"", ""fa"")
"),"چگونه می توانم عملکرد لیست های eBay خود را در رابطه با تغییرات در تقاضا و روند بازار نظارت و بهبود بخشم؟")</f>
        <v>چگونه می توانم عملکرد لیست های eBay خود را در رابطه با تغییرات در تقاضا و روند بازار نظارت و بهبود بخشم؟</v>
      </c>
      <c r="H7212" s="1"/>
      <c r="I7212" s="1"/>
      <c r="J7212" s="1"/>
      <c r="K7212" s="1"/>
      <c r="L7212" s="1"/>
      <c r="M7212" s="1"/>
      <c r="N7212" s="1"/>
      <c r="O7212" s="1"/>
      <c r="P7212" s="1"/>
      <c r="Q7212" s="1"/>
      <c r="R7212" s="1"/>
      <c r="S7212" s="1"/>
      <c r="T7212" s="1"/>
      <c r="U7212" s="1"/>
      <c r="V7212" s="1"/>
      <c r="W7212" s="1"/>
      <c r="X7212" s="1"/>
      <c r="Y7212" s="1"/>
      <c r="Z7212" s="1"/>
      <c r="AA7212" s="1"/>
      <c r="AB7212" s="1"/>
    </row>
    <row r="7213" ht="50.25" customHeight="1">
      <c r="A7213" s="12">
        <v>7209.0</v>
      </c>
      <c r="B7213" s="13" t="s">
        <v>7028</v>
      </c>
      <c r="C7213" s="14" t="s">
        <v>7237</v>
      </c>
      <c r="D7213" s="1"/>
      <c r="E7213" s="1"/>
      <c r="F7213" s="1" t="str">
        <f>IFERROR(__xludf.DUMMYFUNCTION("GOOGLETRANSLATE(B7213, ""en"", ""fa"")
"),"موفقیت در ای بی")</f>
        <v>موفقیت در ای بی</v>
      </c>
      <c r="G7213" s="1" t="str">
        <f>IFERROR(__xludf.DUMMYFUNCTION("GOOGLETRANSLATE(C7213, ""en"", ""fa"")
"),"از چه استراتژی‌هایی می‌توانم برای ردیابی و تجزیه و تحلیل تأثیر ارتقاء نمایان بودن فهرست، مانند اشتراک‌های Featured Plus یا Anchor Store، در فهرست‌های eBay استفاده کنم؟")</f>
        <v>از چه استراتژی‌هایی می‌توانم برای ردیابی و تجزیه و تحلیل تأثیر ارتقاء نمایان بودن فهرست، مانند اشتراک‌های Featured Plus یا Anchor Store، در فهرست‌های eBay استفاده کنم؟</v>
      </c>
      <c r="H7213" s="1"/>
      <c r="I7213" s="1"/>
      <c r="J7213" s="1"/>
      <c r="K7213" s="1"/>
      <c r="L7213" s="1"/>
      <c r="M7213" s="1"/>
      <c r="N7213" s="1"/>
      <c r="O7213" s="1"/>
      <c r="P7213" s="1"/>
      <c r="Q7213" s="1"/>
      <c r="R7213" s="1"/>
      <c r="S7213" s="1"/>
      <c r="T7213" s="1"/>
      <c r="U7213" s="1"/>
      <c r="V7213" s="1"/>
      <c r="W7213" s="1"/>
      <c r="X7213" s="1"/>
      <c r="Y7213" s="1"/>
      <c r="Z7213" s="1"/>
      <c r="AA7213" s="1"/>
      <c r="AB7213" s="1"/>
    </row>
    <row r="7214" ht="50.25" customHeight="1">
      <c r="A7214" s="12">
        <v>7210.0</v>
      </c>
      <c r="B7214" s="13" t="s">
        <v>7028</v>
      </c>
      <c r="C7214" s="14" t="s">
        <v>7238</v>
      </c>
      <c r="D7214" s="1"/>
      <c r="E7214" s="1"/>
      <c r="F7214" s="1" t="str">
        <f>IFERROR(__xludf.DUMMYFUNCTION("GOOGLETRANSLATE(B7214, ""en"", ""fa"")
"),"موفقیت در ای بی")</f>
        <v>موفقیت در ای بی</v>
      </c>
      <c r="G7214" s="1" t="str">
        <f>IFERROR(__xludf.DUMMYFUNCTION("GOOGLETRANSLATE(C7214, ""en"", ""fa"")
"),"چگونه می‌توانم اثربخشی فعالیت‌های تبلیغاتی فهرست‌های eBay خود مانند تخفیف‌ها یا کدهای کوپن را ردیابی و اندازه‌گیری کنم؟")</f>
        <v>چگونه می‌توانم اثربخشی فعالیت‌های تبلیغاتی فهرست‌های eBay خود مانند تخفیف‌ها یا کدهای کوپن را ردیابی و اندازه‌گیری کنم؟</v>
      </c>
      <c r="H7214" s="1"/>
      <c r="I7214" s="1"/>
      <c r="J7214" s="1"/>
      <c r="K7214" s="1"/>
      <c r="L7214" s="1"/>
      <c r="M7214" s="1"/>
      <c r="N7214" s="1"/>
      <c r="O7214" s="1"/>
      <c r="P7214" s="1"/>
      <c r="Q7214" s="1"/>
      <c r="R7214" s="1"/>
      <c r="S7214" s="1"/>
      <c r="T7214" s="1"/>
      <c r="U7214" s="1"/>
      <c r="V7214" s="1"/>
      <c r="W7214" s="1"/>
      <c r="X7214" s="1"/>
      <c r="Y7214" s="1"/>
      <c r="Z7214" s="1"/>
      <c r="AA7214" s="1"/>
      <c r="AB7214" s="1"/>
    </row>
    <row r="7215" ht="50.25" customHeight="1">
      <c r="A7215" s="12">
        <v>7211.0</v>
      </c>
      <c r="B7215" s="13" t="s">
        <v>7028</v>
      </c>
      <c r="C7215" s="14" t="s">
        <v>7239</v>
      </c>
      <c r="D7215" s="1"/>
      <c r="E7215" s="1"/>
      <c r="F7215" s="1" t="str">
        <f>IFERROR(__xludf.DUMMYFUNCTION("GOOGLETRANSLATE(B7215, ""en"", ""fa"")
"),"موفقیت در ای بی")</f>
        <v>موفقیت در ای بی</v>
      </c>
      <c r="G7215" s="1" t="str">
        <f>IFERROR(__xludf.DUMMYFUNCTION("GOOGLETRANSLATE(C7215, ""en"", ""fa"")
"),"مزایای ردیابی و تجزیه و تحلیل عملکرد لیست های eBay من بر اساس معیارهای تعامل خریدار، مانند نرخ کلیک و زمان در صفحه چیست؟")</f>
        <v>مزایای ردیابی و تجزیه و تحلیل عملکرد لیست های eBay من بر اساس معیارهای تعامل خریدار، مانند نرخ کلیک و زمان در صفحه چیست؟</v>
      </c>
      <c r="H7215" s="1"/>
      <c r="I7215" s="1"/>
      <c r="J7215" s="1"/>
      <c r="K7215" s="1"/>
      <c r="L7215" s="1"/>
      <c r="M7215" s="1"/>
      <c r="N7215" s="1"/>
      <c r="O7215" s="1"/>
      <c r="P7215" s="1"/>
      <c r="Q7215" s="1"/>
      <c r="R7215" s="1"/>
      <c r="S7215" s="1"/>
      <c r="T7215" s="1"/>
      <c r="U7215" s="1"/>
      <c r="V7215" s="1"/>
      <c r="W7215" s="1"/>
      <c r="X7215" s="1"/>
      <c r="Y7215" s="1"/>
      <c r="Z7215" s="1"/>
      <c r="AA7215" s="1"/>
      <c r="AB7215" s="1"/>
    </row>
    <row r="7216" ht="50.25" customHeight="1">
      <c r="A7216" s="12">
        <v>7212.0</v>
      </c>
      <c r="B7216" s="13" t="s">
        <v>7028</v>
      </c>
      <c r="C7216" s="14" t="s">
        <v>7240</v>
      </c>
      <c r="D7216" s="1"/>
      <c r="E7216" s="1"/>
      <c r="F7216" s="1" t="str">
        <f>IFERROR(__xludf.DUMMYFUNCTION("GOOGLETRANSLATE(B7216, ""en"", ""fa"")
"),"موفقیت در ای بی")</f>
        <v>موفقیت در ای بی</v>
      </c>
      <c r="G7216" s="1" t="str">
        <f>IFERROR(__xludf.DUMMYFUNCTION("GOOGLETRANSLATE(C7216, ""en"", ""fa"")
"),"چگونه می توانم رقبای برتر خود را در بازار eBay شناسایی کنم؟")</f>
        <v>چگونه می توانم رقبای برتر خود را در بازار eBay شناسایی کنم؟</v>
      </c>
      <c r="H7216" s="1"/>
      <c r="I7216" s="1"/>
      <c r="J7216" s="1"/>
      <c r="K7216" s="1"/>
      <c r="L7216" s="1"/>
      <c r="M7216" s="1"/>
      <c r="N7216" s="1"/>
      <c r="O7216" s="1"/>
      <c r="P7216" s="1"/>
      <c r="Q7216" s="1"/>
      <c r="R7216" s="1"/>
      <c r="S7216" s="1"/>
      <c r="T7216" s="1"/>
      <c r="U7216" s="1"/>
      <c r="V7216" s="1"/>
      <c r="W7216" s="1"/>
      <c r="X7216" s="1"/>
      <c r="Y7216" s="1"/>
      <c r="Z7216" s="1"/>
      <c r="AA7216" s="1"/>
      <c r="AB7216" s="1"/>
    </row>
    <row r="7217" ht="50.25" customHeight="1">
      <c r="A7217" s="12">
        <v>7213.0</v>
      </c>
      <c r="B7217" s="13" t="s">
        <v>7028</v>
      </c>
      <c r="C7217" s="14" t="s">
        <v>7241</v>
      </c>
      <c r="D7217" s="1"/>
      <c r="E7217" s="1"/>
      <c r="F7217" s="1" t="str">
        <f>IFERROR(__xludf.DUMMYFUNCTION("GOOGLETRANSLATE(B7217, ""en"", ""fa"")
"),"موفقیت در ای بی")</f>
        <v>موفقیت در ای بی</v>
      </c>
      <c r="G7217" s="1" t="str">
        <f>IFERROR(__xludf.DUMMYFUNCTION("GOOGLETRANSLATE(C7217, ""en"", ""fa"")
"),"هنگام تجزیه و تحلیل استراتژی های قیمت گذاری رقبای من در eBay، چه عوامل کلیدی را باید در نظر گرفت؟")</f>
        <v>هنگام تجزیه و تحلیل استراتژی های قیمت گذاری رقبای من در eBay، چه عوامل کلیدی را باید در نظر گرفت؟</v>
      </c>
      <c r="H7217" s="1"/>
      <c r="I7217" s="1"/>
      <c r="J7217" s="1"/>
      <c r="K7217" s="1"/>
      <c r="L7217" s="1"/>
      <c r="M7217" s="1"/>
      <c r="N7217" s="1"/>
      <c r="O7217" s="1"/>
      <c r="P7217" s="1"/>
      <c r="Q7217" s="1"/>
      <c r="R7217" s="1"/>
      <c r="S7217" s="1"/>
      <c r="T7217" s="1"/>
      <c r="U7217" s="1"/>
      <c r="V7217" s="1"/>
      <c r="W7217" s="1"/>
      <c r="X7217" s="1"/>
      <c r="Y7217" s="1"/>
      <c r="Z7217" s="1"/>
      <c r="AA7217" s="1"/>
      <c r="AB7217" s="1"/>
    </row>
    <row r="7218" ht="50.25" customHeight="1">
      <c r="A7218" s="12">
        <v>7214.0</v>
      </c>
      <c r="B7218" s="13" t="s">
        <v>7028</v>
      </c>
      <c r="C7218" s="14" t="s">
        <v>7242</v>
      </c>
      <c r="D7218" s="1"/>
      <c r="E7218" s="1"/>
      <c r="F7218" s="1" t="str">
        <f>IFERROR(__xludf.DUMMYFUNCTION("GOOGLETRANSLATE(B7218, ""en"", ""fa"")
"),"موفقیت در ای بی")</f>
        <v>موفقیت در ای بی</v>
      </c>
      <c r="G7218" s="1" t="str">
        <f>IFERROR(__xludf.DUMMYFUNCTION("GOOGLETRANSLATE(C7218, ""en"", ""fa"")
"),"چگونه می توانم محصولات پرفروش رقبای خود را در eBay شناسایی کنم؟")</f>
        <v>چگونه می توانم محصولات پرفروش رقبای خود را در eBay شناسایی کنم؟</v>
      </c>
      <c r="H7218" s="1"/>
      <c r="I7218" s="1"/>
      <c r="J7218" s="1"/>
      <c r="K7218" s="1"/>
      <c r="L7218" s="1"/>
      <c r="M7218" s="1"/>
      <c r="N7218" s="1"/>
      <c r="O7218" s="1"/>
      <c r="P7218" s="1"/>
      <c r="Q7218" s="1"/>
      <c r="R7218" s="1"/>
      <c r="S7218" s="1"/>
      <c r="T7218" s="1"/>
      <c r="U7218" s="1"/>
      <c r="V7218" s="1"/>
      <c r="W7218" s="1"/>
      <c r="X7218" s="1"/>
      <c r="Y7218" s="1"/>
      <c r="Z7218" s="1"/>
      <c r="AA7218" s="1"/>
      <c r="AB7218" s="1"/>
    </row>
    <row r="7219" ht="50.25" customHeight="1">
      <c r="A7219" s="12">
        <v>7215.0</v>
      </c>
      <c r="B7219" s="13" t="s">
        <v>7028</v>
      </c>
      <c r="C7219" s="14" t="s">
        <v>7243</v>
      </c>
      <c r="D7219" s="1"/>
      <c r="E7219" s="1"/>
      <c r="F7219" s="1" t="str">
        <f>IFERROR(__xludf.DUMMYFUNCTION("GOOGLETRANSLATE(B7219, ""en"", ""fa"")
"),"موفقیت در ای بی")</f>
        <v>موفقیت در ای بی</v>
      </c>
      <c r="G7219" s="1" t="str">
        <f>IFERROR(__xludf.DUMMYFUNCTION("GOOGLETRANSLATE(C7219, ""en"", ""fa"")
"),"از چه استراتژی هایی می توانم برای تجزیه و تحلیل عناوین و توضیحات فهرست رقبای خود در eBay استفاده کنم؟")</f>
        <v>از چه استراتژی هایی می توانم برای تجزیه و تحلیل عناوین و توضیحات فهرست رقبای خود در eBay استفاده کنم؟</v>
      </c>
      <c r="H7219" s="1"/>
      <c r="I7219" s="1"/>
      <c r="J7219" s="1"/>
      <c r="K7219" s="1"/>
      <c r="L7219" s="1"/>
      <c r="M7219" s="1"/>
      <c r="N7219" s="1"/>
      <c r="O7219" s="1"/>
      <c r="P7219" s="1"/>
      <c r="Q7219" s="1"/>
      <c r="R7219" s="1"/>
      <c r="S7219" s="1"/>
      <c r="T7219" s="1"/>
      <c r="U7219" s="1"/>
      <c r="V7219" s="1"/>
      <c r="W7219" s="1"/>
      <c r="X7219" s="1"/>
      <c r="Y7219" s="1"/>
      <c r="Z7219" s="1"/>
      <c r="AA7219" s="1"/>
      <c r="AB7219" s="1"/>
    </row>
    <row r="7220" ht="50.25" customHeight="1">
      <c r="A7220" s="12">
        <v>7216.0</v>
      </c>
      <c r="B7220" s="13" t="s">
        <v>7028</v>
      </c>
      <c r="C7220" s="14" t="s">
        <v>7244</v>
      </c>
      <c r="D7220" s="1"/>
      <c r="E7220" s="1"/>
      <c r="F7220" s="1" t="str">
        <f>IFERROR(__xludf.DUMMYFUNCTION("GOOGLETRANSLATE(B7220, ""en"", ""fa"")
"),"موفقیت در ای بی")</f>
        <v>موفقیت در ای بی</v>
      </c>
      <c r="G7220" s="1" t="str">
        <f>IFERROR(__xludf.DUMMYFUNCTION("GOOGLETRANSLATE(C7220, ""en"", ""fa"")
"),"چگونه می توانم مخاطبان هدف و جمعیت خریدار رقبای خود را در eBay شناسایی کنم؟")</f>
        <v>چگونه می توانم مخاطبان هدف و جمعیت خریدار رقبای خود را در eBay شناسایی کنم؟</v>
      </c>
      <c r="H7220" s="1"/>
      <c r="I7220" s="1"/>
      <c r="J7220" s="1"/>
      <c r="K7220" s="1"/>
      <c r="L7220" s="1"/>
      <c r="M7220" s="1"/>
      <c r="N7220" s="1"/>
      <c r="O7220" s="1"/>
      <c r="P7220" s="1"/>
      <c r="Q7220" s="1"/>
      <c r="R7220" s="1"/>
      <c r="S7220" s="1"/>
      <c r="T7220" s="1"/>
      <c r="U7220" s="1"/>
      <c r="V7220" s="1"/>
      <c r="W7220" s="1"/>
      <c r="X7220" s="1"/>
      <c r="Y7220" s="1"/>
      <c r="Z7220" s="1"/>
      <c r="AA7220" s="1"/>
      <c r="AB7220" s="1"/>
    </row>
    <row r="7221" ht="50.25" customHeight="1">
      <c r="A7221" s="12">
        <v>7217.0</v>
      </c>
      <c r="B7221" s="13" t="s">
        <v>7028</v>
      </c>
      <c r="C7221" s="14" t="s">
        <v>7245</v>
      </c>
      <c r="D7221" s="1"/>
      <c r="E7221" s="1"/>
      <c r="F7221" s="1" t="str">
        <f>IFERROR(__xludf.DUMMYFUNCTION("GOOGLETRANSLATE(B7221, ""en"", ""fa"")
"),"موفقیت در ای بی")</f>
        <v>موفقیت در ای بی</v>
      </c>
      <c r="G7221" s="1" t="str">
        <f>IFERROR(__xludf.DUMMYFUNCTION("GOOGLETRANSLATE(C7221, ""en"", ""fa"")
"),"مزایای تجزیه و تحلیل بازخورد و رتبه بندی رقبای من در eBay چیست؟")</f>
        <v>مزایای تجزیه و تحلیل بازخورد و رتبه بندی رقبای من در eBay چیست؟</v>
      </c>
      <c r="H7221" s="1"/>
      <c r="I7221" s="1"/>
      <c r="J7221" s="1"/>
      <c r="K7221" s="1"/>
      <c r="L7221" s="1"/>
      <c r="M7221" s="1"/>
      <c r="N7221" s="1"/>
      <c r="O7221" s="1"/>
      <c r="P7221" s="1"/>
      <c r="Q7221" s="1"/>
      <c r="R7221" s="1"/>
      <c r="S7221" s="1"/>
      <c r="T7221" s="1"/>
      <c r="U7221" s="1"/>
      <c r="V7221" s="1"/>
      <c r="W7221" s="1"/>
      <c r="X7221" s="1"/>
      <c r="Y7221" s="1"/>
      <c r="Z7221" s="1"/>
      <c r="AA7221" s="1"/>
      <c r="AB7221" s="1"/>
    </row>
    <row r="7222" ht="50.25" customHeight="1">
      <c r="A7222" s="12">
        <v>7218.0</v>
      </c>
      <c r="B7222" s="13" t="s">
        <v>7028</v>
      </c>
      <c r="C7222" s="14" t="s">
        <v>7246</v>
      </c>
      <c r="D7222" s="1"/>
      <c r="E7222" s="1"/>
      <c r="F7222" s="1" t="str">
        <f>IFERROR(__xludf.DUMMYFUNCTION("GOOGLETRANSLATE(B7222, ""en"", ""fa"")
"),"موفقیت در ای بی")</f>
        <v>موفقیت در ای بی</v>
      </c>
      <c r="G7222" s="1" t="str">
        <f>IFERROR(__xludf.DUMMYFUNCTION("GOOGLETRANSLATE(C7222, ""en"", ""fa"")
"),"چگونه می توانم حجم فروش و عملکرد رقبای خود را در eBay پیگیری کنم؟")</f>
        <v>چگونه می توانم حجم فروش و عملکرد رقبای خود را در eBay پیگیری کنم؟</v>
      </c>
      <c r="H7222" s="1"/>
      <c r="I7222" s="1"/>
      <c r="J7222" s="1"/>
      <c r="K7222" s="1"/>
      <c r="L7222" s="1"/>
      <c r="M7222" s="1"/>
      <c r="N7222" s="1"/>
      <c r="O7222" s="1"/>
      <c r="P7222" s="1"/>
      <c r="Q7222" s="1"/>
      <c r="R7222" s="1"/>
      <c r="S7222" s="1"/>
      <c r="T7222" s="1"/>
      <c r="U7222" s="1"/>
      <c r="V7222" s="1"/>
      <c r="W7222" s="1"/>
      <c r="X7222" s="1"/>
      <c r="Y7222" s="1"/>
      <c r="Z7222" s="1"/>
      <c r="AA7222" s="1"/>
      <c r="AB7222" s="1"/>
    </row>
    <row r="7223" ht="50.25" customHeight="1">
      <c r="A7223" s="12">
        <v>7219.0</v>
      </c>
      <c r="B7223" s="13" t="s">
        <v>7028</v>
      </c>
      <c r="C7223" s="14" t="s">
        <v>7247</v>
      </c>
      <c r="D7223" s="1"/>
      <c r="E7223" s="1"/>
      <c r="F7223" s="1" t="str">
        <f>IFERROR(__xludf.DUMMYFUNCTION("GOOGLETRANSLATE(B7223, ""en"", ""fa"")
"),"موفقیت در ای بی")</f>
        <v>موفقیت در ای بی</v>
      </c>
      <c r="G7223" s="1" t="str">
        <f>IFERROR(__xludf.DUMMYFUNCTION("GOOGLETRANSLATE(C7223, ""en"", ""fa"")
"),"از چه استراتژی هایی می توانم برای نظارت بر سطح موجودی و در دسترس بودن رقبای خود در eBay استفاده کنم؟")</f>
        <v>از چه استراتژی هایی می توانم برای نظارت بر سطح موجودی و در دسترس بودن رقبای خود در eBay استفاده کنم؟</v>
      </c>
      <c r="H7223" s="1"/>
      <c r="I7223" s="1"/>
      <c r="J7223" s="1"/>
      <c r="K7223" s="1"/>
      <c r="L7223" s="1"/>
      <c r="M7223" s="1"/>
      <c r="N7223" s="1"/>
      <c r="O7223" s="1"/>
      <c r="P7223" s="1"/>
      <c r="Q7223" s="1"/>
      <c r="R7223" s="1"/>
      <c r="S7223" s="1"/>
      <c r="T7223" s="1"/>
      <c r="U7223" s="1"/>
      <c r="V7223" s="1"/>
      <c r="W7223" s="1"/>
      <c r="X7223" s="1"/>
      <c r="Y7223" s="1"/>
      <c r="Z7223" s="1"/>
      <c r="AA7223" s="1"/>
      <c r="AB7223" s="1"/>
    </row>
    <row r="7224" ht="50.25" customHeight="1">
      <c r="A7224" s="12">
        <v>7220.0</v>
      </c>
      <c r="B7224" s="13" t="s">
        <v>7028</v>
      </c>
      <c r="C7224" s="14" t="s">
        <v>7248</v>
      </c>
      <c r="D7224" s="1"/>
      <c r="E7224" s="1"/>
      <c r="F7224" s="1" t="str">
        <f>IFERROR(__xludf.DUMMYFUNCTION("GOOGLETRANSLATE(B7224, ""en"", ""fa"")
"),"موفقیت در ای بی")</f>
        <v>موفقیت در ای بی</v>
      </c>
      <c r="G7224" s="1" t="str">
        <f>IFERROR(__xludf.DUMMYFUNCTION("GOOGLETRANSLATE(C7224, ""en"", ""fa"")
"),"چگونه می توانم سیاست های حمل و نقل و بازگشت رقبای خود را در eBay تجزیه و تحلیل کنم؟")</f>
        <v>چگونه می توانم سیاست های حمل و نقل و بازگشت رقبای خود را در eBay تجزیه و تحلیل کنم؟</v>
      </c>
      <c r="H7224" s="1"/>
      <c r="I7224" s="1"/>
      <c r="J7224" s="1"/>
      <c r="K7224" s="1"/>
      <c r="L7224" s="1"/>
      <c r="M7224" s="1"/>
      <c r="N7224" s="1"/>
      <c r="O7224" s="1"/>
      <c r="P7224" s="1"/>
      <c r="Q7224" s="1"/>
      <c r="R7224" s="1"/>
      <c r="S7224" s="1"/>
      <c r="T7224" s="1"/>
      <c r="U7224" s="1"/>
      <c r="V7224" s="1"/>
      <c r="W7224" s="1"/>
      <c r="X7224" s="1"/>
      <c r="Y7224" s="1"/>
      <c r="Z7224" s="1"/>
      <c r="AA7224" s="1"/>
      <c r="AB7224" s="1"/>
    </row>
    <row r="7225" ht="50.25" customHeight="1">
      <c r="A7225" s="12">
        <v>7221.0</v>
      </c>
      <c r="B7225" s="13" t="s">
        <v>7028</v>
      </c>
      <c r="C7225" s="14" t="s">
        <v>7249</v>
      </c>
      <c r="D7225" s="1"/>
      <c r="E7225" s="1"/>
      <c r="F7225" s="1" t="str">
        <f>IFERROR(__xludf.DUMMYFUNCTION("GOOGLETRANSLATE(B7225, ""en"", ""fa"")
"),"موفقیت در ای بی")</f>
        <v>موفقیت در ای بی</v>
      </c>
      <c r="G7225" s="1" t="str">
        <f>IFERROR(__xludf.DUMMYFUNCTION("GOOGLETRANSLATE(C7225, ""en"", ""fa"")
"),"بینش های کلیدی که می توانم از تجزیه و تحلیل نظرات و نظرات مشتریان رقبای خود در eBay به دست بیاورم چیست؟")</f>
        <v>بینش های کلیدی که می توانم از تجزیه و تحلیل نظرات و نظرات مشتریان رقبای خود در eBay به دست بیاورم چیست؟</v>
      </c>
      <c r="H7225" s="1"/>
      <c r="I7225" s="1"/>
      <c r="J7225" s="1"/>
      <c r="K7225" s="1"/>
      <c r="L7225" s="1"/>
      <c r="M7225" s="1"/>
      <c r="N7225" s="1"/>
      <c r="O7225" s="1"/>
      <c r="P7225" s="1"/>
      <c r="Q7225" s="1"/>
      <c r="R7225" s="1"/>
      <c r="S7225" s="1"/>
      <c r="T7225" s="1"/>
      <c r="U7225" s="1"/>
      <c r="V7225" s="1"/>
      <c r="W7225" s="1"/>
      <c r="X7225" s="1"/>
      <c r="Y7225" s="1"/>
      <c r="Z7225" s="1"/>
      <c r="AA7225" s="1"/>
      <c r="AB7225" s="1"/>
    </row>
    <row r="7226" ht="50.25" customHeight="1">
      <c r="A7226" s="12">
        <v>7222.0</v>
      </c>
      <c r="B7226" s="13" t="s">
        <v>7028</v>
      </c>
      <c r="C7226" s="14" t="s">
        <v>7250</v>
      </c>
      <c r="D7226" s="1"/>
      <c r="E7226" s="1"/>
      <c r="F7226" s="1" t="str">
        <f>IFERROR(__xludf.DUMMYFUNCTION("GOOGLETRANSLATE(B7226, ""en"", ""fa"")
"),"موفقیت در ای بی")</f>
        <v>موفقیت در ای بی</v>
      </c>
      <c r="G7226" s="1" t="str">
        <f>IFERROR(__xludf.DUMMYFUNCTION("GOOGLETRANSLATE(C7226, ""en"", ""fa"")
"),"چگونه می توانم روند قیمت گذاری و نوسانات رقبای خود را در eBay شناسایی کنم؟")</f>
        <v>چگونه می توانم روند قیمت گذاری و نوسانات رقبای خود را در eBay شناسایی کنم؟</v>
      </c>
      <c r="H7226" s="1"/>
      <c r="I7226" s="1"/>
      <c r="J7226" s="1"/>
      <c r="K7226" s="1"/>
      <c r="L7226" s="1"/>
      <c r="M7226" s="1"/>
      <c r="N7226" s="1"/>
      <c r="O7226" s="1"/>
      <c r="P7226" s="1"/>
      <c r="Q7226" s="1"/>
      <c r="R7226" s="1"/>
      <c r="S7226" s="1"/>
      <c r="T7226" s="1"/>
      <c r="U7226" s="1"/>
      <c r="V7226" s="1"/>
      <c r="W7226" s="1"/>
      <c r="X7226" s="1"/>
      <c r="Y7226" s="1"/>
      <c r="Z7226" s="1"/>
      <c r="AA7226" s="1"/>
      <c r="AB7226" s="1"/>
    </row>
    <row r="7227" ht="50.25" customHeight="1">
      <c r="A7227" s="12">
        <v>7223.0</v>
      </c>
      <c r="B7227" s="13" t="s">
        <v>7028</v>
      </c>
      <c r="C7227" s="14" t="s">
        <v>7251</v>
      </c>
      <c r="D7227" s="1"/>
      <c r="E7227" s="1"/>
      <c r="F7227" s="1" t="str">
        <f>IFERROR(__xludf.DUMMYFUNCTION("GOOGLETRANSLATE(B7227, ""en"", ""fa"")
"),"موفقیت در ای بی")</f>
        <v>موفقیت در ای بی</v>
      </c>
      <c r="G7227" s="1" t="str">
        <f>IFERROR(__xludf.DUMMYFUNCTION("GOOGLETRANSLATE(C7227, ""en"", ""fa"")
"),"از چه استراتژی هایی می توانم برای تجزیه و تحلیل فعالیت های تبلیغاتی و تخفیف های رقبای خود در eBay استفاده کنم؟")</f>
        <v>از چه استراتژی هایی می توانم برای تجزیه و تحلیل فعالیت های تبلیغاتی و تخفیف های رقبای خود در eBay استفاده کنم؟</v>
      </c>
      <c r="H7227" s="1"/>
      <c r="I7227" s="1"/>
      <c r="J7227" s="1"/>
      <c r="K7227" s="1"/>
      <c r="L7227" s="1"/>
      <c r="M7227" s="1"/>
      <c r="N7227" s="1"/>
      <c r="O7227" s="1"/>
      <c r="P7227" s="1"/>
      <c r="Q7227" s="1"/>
      <c r="R7227" s="1"/>
      <c r="S7227" s="1"/>
      <c r="T7227" s="1"/>
      <c r="U7227" s="1"/>
      <c r="V7227" s="1"/>
      <c r="W7227" s="1"/>
      <c r="X7227" s="1"/>
      <c r="Y7227" s="1"/>
      <c r="Z7227" s="1"/>
      <c r="AA7227" s="1"/>
      <c r="AB7227" s="1"/>
    </row>
    <row r="7228" ht="50.25" customHeight="1">
      <c r="A7228" s="12">
        <v>7224.0</v>
      </c>
      <c r="B7228" s="13" t="s">
        <v>7028</v>
      </c>
      <c r="C7228" s="14" t="s">
        <v>7252</v>
      </c>
      <c r="D7228" s="1"/>
      <c r="E7228" s="1"/>
      <c r="F7228" s="1" t="str">
        <f>IFERROR(__xludf.DUMMYFUNCTION("GOOGLETRANSLATE(B7228, ""en"", ""fa"")
"),"موفقیت در ای بی")</f>
        <v>موفقیت در ای بی</v>
      </c>
      <c r="G7228" s="1" t="str">
        <f>IFERROR(__xludf.DUMMYFUNCTION("GOOGLETRANSLATE(C7228, ""en"", ""fa"")
"),"چگونه می توانم نقاط قوت و ضعف رقبای خود را در لیست های eBay و برندسازی آنها شناسایی کنم؟")</f>
        <v>چگونه می توانم نقاط قوت و ضعف رقبای خود را در لیست های eBay و برندسازی آنها شناسایی کنم؟</v>
      </c>
      <c r="H7228" s="1"/>
      <c r="I7228" s="1"/>
      <c r="J7228" s="1"/>
      <c r="K7228" s="1"/>
      <c r="L7228" s="1"/>
      <c r="M7228" s="1"/>
      <c r="N7228" s="1"/>
      <c r="O7228" s="1"/>
      <c r="P7228" s="1"/>
      <c r="Q7228" s="1"/>
      <c r="R7228" s="1"/>
      <c r="S7228" s="1"/>
      <c r="T7228" s="1"/>
      <c r="U7228" s="1"/>
      <c r="V7228" s="1"/>
      <c r="W7228" s="1"/>
      <c r="X7228" s="1"/>
      <c r="Y7228" s="1"/>
      <c r="Z7228" s="1"/>
      <c r="AA7228" s="1"/>
      <c r="AB7228" s="1"/>
    </row>
    <row r="7229" ht="50.25" customHeight="1">
      <c r="A7229" s="12">
        <v>7225.0</v>
      </c>
      <c r="B7229" s="13" t="s">
        <v>7028</v>
      </c>
      <c r="C7229" s="14" t="s">
        <v>7253</v>
      </c>
      <c r="D7229" s="1"/>
      <c r="E7229" s="1"/>
      <c r="F7229" s="1" t="str">
        <f>IFERROR(__xludf.DUMMYFUNCTION("GOOGLETRANSLATE(B7229, ""en"", ""fa"")
"),"موفقیت در ای بی")</f>
        <v>موفقیت در ای بی</v>
      </c>
      <c r="G7229" s="1" t="str">
        <f>IFERROR(__xludf.DUMMYFUNCTION("GOOGLETRANSLATE(C7229, ""en"", ""fa"")
"),"مزایای نظارت بر خدمات مشتری و زمان پاسخگویی رقبای من در eBay چیست؟")</f>
        <v>مزایای نظارت بر خدمات مشتری و زمان پاسخگویی رقبای من در eBay چیست؟</v>
      </c>
      <c r="H7229" s="1"/>
      <c r="I7229" s="1"/>
      <c r="J7229" s="1"/>
      <c r="K7229" s="1"/>
      <c r="L7229" s="1"/>
      <c r="M7229" s="1"/>
      <c r="N7229" s="1"/>
      <c r="O7229" s="1"/>
      <c r="P7229" s="1"/>
      <c r="Q7229" s="1"/>
      <c r="R7229" s="1"/>
      <c r="S7229" s="1"/>
      <c r="T7229" s="1"/>
      <c r="U7229" s="1"/>
      <c r="V7229" s="1"/>
      <c r="W7229" s="1"/>
      <c r="X7229" s="1"/>
      <c r="Y7229" s="1"/>
      <c r="Z7229" s="1"/>
      <c r="AA7229" s="1"/>
      <c r="AB7229" s="1"/>
    </row>
    <row r="7230" ht="50.25" customHeight="1">
      <c r="A7230" s="12">
        <v>7226.0</v>
      </c>
      <c r="B7230" s="13" t="s">
        <v>7028</v>
      </c>
      <c r="C7230" s="14" t="s">
        <v>7254</v>
      </c>
      <c r="D7230" s="1"/>
      <c r="E7230" s="1"/>
      <c r="F7230" s="1" t="str">
        <f>IFERROR(__xludf.DUMMYFUNCTION("GOOGLETRANSLATE(B7230, ""en"", ""fa"")
"),"موفقیت در ای بی")</f>
        <v>موفقیت در ای بی</v>
      </c>
      <c r="G7230" s="1" t="str">
        <f>IFERROR(__xludf.DUMMYFUNCTION("GOOGLETRANSLATE(C7230, ""en"", ""fa"")
"),"چگونه می توانم کلمات کلیدی و عبارات جستجوی رقبای خود را که در لیست های eBay هدف قرار می دهند، ردیابی کنم؟")</f>
        <v>چگونه می توانم کلمات کلیدی و عبارات جستجوی رقبای خود را که در لیست های eBay هدف قرار می دهند، ردیابی کنم؟</v>
      </c>
      <c r="H7230" s="1"/>
      <c r="I7230" s="1"/>
      <c r="J7230" s="1"/>
      <c r="K7230" s="1"/>
      <c r="L7230" s="1"/>
      <c r="M7230" s="1"/>
      <c r="N7230" s="1"/>
      <c r="O7230" s="1"/>
      <c r="P7230" s="1"/>
      <c r="Q7230" s="1"/>
      <c r="R7230" s="1"/>
      <c r="S7230" s="1"/>
      <c r="T7230" s="1"/>
      <c r="U7230" s="1"/>
      <c r="V7230" s="1"/>
      <c r="W7230" s="1"/>
      <c r="X7230" s="1"/>
      <c r="Y7230" s="1"/>
      <c r="Z7230" s="1"/>
      <c r="AA7230" s="1"/>
      <c r="AB7230" s="1"/>
    </row>
    <row r="7231" ht="50.25" customHeight="1">
      <c r="A7231" s="12">
        <v>7227.0</v>
      </c>
      <c r="B7231" s="13" t="s">
        <v>7028</v>
      </c>
      <c r="C7231" s="14" t="s">
        <v>7255</v>
      </c>
      <c r="D7231" s="1"/>
      <c r="E7231" s="1"/>
      <c r="F7231" s="1" t="str">
        <f>IFERROR(__xludf.DUMMYFUNCTION("GOOGLETRANSLATE(B7231, ""en"", ""fa"")
"),"موفقیت در ای بی")</f>
        <v>موفقیت در ای بی</v>
      </c>
      <c r="G7231" s="1" t="str">
        <f>IFERROR(__xludf.DUMMYFUNCTION("GOOGLETRANSLATE(C7231, ""en"", ""fa"")
"),"چه استراتژی هایی را می توانم برای تجزیه و تحلیل حضور و مشارکت رقبای خود در رسانه های اجتماعی مرتبط با فروش eBay به کار بگیرم؟")</f>
        <v>چه استراتژی هایی را می توانم برای تجزیه و تحلیل حضور و مشارکت رقبای خود در رسانه های اجتماعی مرتبط با فروش eBay به کار بگیرم؟</v>
      </c>
      <c r="H7231" s="1"/>
      <c r="I7231" s="1"/>
      <c r="J7231" s="1"/>
      <c r="K7231" s="1"/>
      <c r="L7231" s="1"/>
      <c r="M7231" s="1"/>
      <c r="N7231" s="1"/>
      <c r="O7231" s="1"/>
      <c r="P7231" s="1"/>
      <c r="Q7231" s="1"/>
      <c r="R7231" s="1"/>
      <c r="S7231" s="1"/>
      <c r="T7231" s="1"/>
      <c r="U7231" s="1"/>
      <c r="V7231" s="1"/>
      <c r="W7231" s="1"/>
      <c r="X7231" s="1"/>
      <c r="Y7231" s="1"/>
      <c r="Z7231" s="1"/>
      <c r="AA7231" s="1"/>
      <c r="AB7231" s="1"/>
    </row>
    <row r="7232" ht="50.25" customHeight="1">
      <c r="A7232" s="12">
        <v>7228.0</v>
      </c>
      <c r="B7232" s="13" t="s">
        <v>7028</v>
      </c>
      <c r="C7232" s="14" t="s">
        <v>7256</v>
      </c>
      <c r="D7232" s="1"/>
      <c r="E7232" s="1"/>
      <c r="F7232" s="1" t="str">
        <f>IFERROR(__xludf.DUMMYFUNCTION("GOOGLETRANSLATE(B7232, ""en"", ""fa"")
"),"موفقیت در ای بی")</f>
        <v>موفقیت در ای بی</v>
      </c>
      <c r="G7232" s="1" t="str">
        <f>IFERROR(__xludf.DUMMYFUNCTION("GOOGLETRANSLATE(C7232, ""en"", ""fa"")
"),"چگونه می توانم تلاش ها و کمپین های بازاریابی خارجی رقبای خود را که ترافیک را به لیست eBay آنها هدایت می کند شناسایی کنم؟")</f>
        <v>چگونه می توانم تلاش ها و کمپین های بازاریابی خارجی رقبای خود را که ترافیک را به لیست eBay آنها هدایت می کند شناسایی کنم؟</v>
      </c>
      <c r="H7232" s="1"/>
      <c r="I7232" s="1"/>
      <c r="J7232" s="1"/>
      <c r="K7232" s="1"/>
      <c r="L7232" s="1"/>
      <c r="M7232" s="1"/>
      <c r="N7232" s="1"/>
      <c r="O7232" s="1"/>
      <c r="P7232" s="1"/>
      <c r="Q7232" s="1"/>
      <c r="R7232" s="1"/>
      <c r="S7232" s="1"/>
      <c r="T7232" s="1"/>
      <c r="U7232" s="1"/>
      <c r="V7232" s="1"/>
      <c r="W7232" s="1"/>
      <c r="X7232" s="1"/>
      <c r="Y7232" s="1"/>
      <c r="Z7232" s="1"/>
      <c r="AA7232" s="1"/>
      <c r="AB7232" s="1"/>
    </row>
    <row r="7233" ht="50.25" customHeight="1">
      <c r="A7233" s="12">
        <v>7229.0</v>
      </c>
      <c r="B7233" s="13" t="s">
        <v>7028</v>
      </c>
      <c r="C7233" s="14" t="s">
        <v>7257</v>
      </c>
      <c r="D7233" s="1"/>
      <c r="E7233" s="1"/>
      <c r="F7233" s="1" t="str">
        <f>IFERROR(__xludf.DUMMYFUNCTION("GOOGLETRANSLATE(B7233, ""en"", ""fa"")
"),"موفقیت در ای بی")</f>
        <v>موفقیت در ای بی</v>
      </c>
      <c r="G7233" s="1" t="str">
        <f>IFERROR(__xludf.DUMMYFUNCTION("GOOGLETRANSLATE(C7233, ""en"", ""fa"")
"),"هنگام تجزیه و تحلیل تصاویر محصول و ارائه بصری رقبای من در eBay، چه فاکتورهای کلیدی را باید در نظر گرفت؟")</f>
        <v>هنگام تجزیه و تحلیل تصاویر محصول و ارائه بصری رقبای من در eBay، چه فاکتورهای کلیدی را باید در نظر گرفت؟</v>
      </c>
      <c r="H7233" s="1"/>
      <c r="I7233" s="1"/>
      <c r="J7233" s="1"/>
      <c r="K7233" s="1"/>
      <c r="L7233" s="1"/>
      <c r="M7233" s="1"/>
      <c r="N7233" s="1"/>
      <c r="O7233" s="1"/>
      <c r="P7233" s="1"/>
      <c r="Q7233" s="1"/>
      <c r="R7233" s="1"/>
      <c r="S7233" s="1"/>
      <c r="T7233" s="1"/>
      <c r="U7233" s="1"/>
      <c r="V7233" s="1"/>
      <c r="W7233" s="1"/>
      <c r="X7233" s="1"/>
      <c r="Y7233" s="1"/>
      <c r="Z7233" s="1"/>
      <c r="AA7233" s="1"/>
      <c r="AB7233" s="1"/>
    </row>
    <row r="7234" ht="50.25" customHeight="1">
      <c r="A7234" s="12">
        <v>7230.0</v>
      </c>
      <c r="B7234" s="13" t="s">
        <v>7028</v>
      </c>
      <c r="C7234" s="14" t="s">
        <v>7258</v>
      </c>
      <c r="D7234" s="1"/>
      <c r="E7234" s="1"/>
      <c r="F7234" s="1" t="str">
        <f>IFERROR(__xludf.DUMMYFUNCTION("GOOGLETRANSLATE(B7234, ""en"", ""fa"")
"),"موفقیت در ای بی")</f>
        <v>موفقیت در ای بی</v>
      </c>
      <c r="G7234" s="1" t="str">
        <f>IFERROR(__xludf.DUMMYFUNCTION("GOOGLETRANSLATE(C7234, ""en"", ""fa"")
"),"چگونه می توانم مدت زمان و فراوانی لیست رقبای خود را در eBay پیگیری کنم؟")</f>
        <v>چگونه می توانم مدت زمان و فراوانی لیست رقبای خود را در eBay پیگیری کنم؟</v>
      </c>
      <c r="H7234" s="1"/>
      <c r="I7234" s="1"/>
      <c r="J7234" s="1"/>
      <c r="K7234" s="1"/>
      <c r="L7234" s="1"/>
      <c r="M7234" s="1"/>
      <c r="N7234" s="1"/>
      <c r="O7234" s="1"/>
      <c r="P7234" s="1"/>
      <c r="Q7234" s="1"/>
      <c r="R7234" s="1"/>
      <c r="S7234" s="1"/>
      <c r="T7234" s="1"/>
      <c r="U7234" s="1"/>
      <c r="V7234" s="1"/>
      <c r="W7234" s="1"/>
      <c r="X7234" s="1"/>
      <c r="Y7234" s="1"/>
      <c r="Z7234" s="1"/>
      <c r="AA7234" s="1"/>
      <c r="AB7234" s="1"/>
    </row>
    <row r="7235" ht="50.25" customHeight="1">
      <c r="A7235" s="12">
        <v>7231.0</v>
      </c>
      <c r="B7235" s="13" t="s">
        <v>7028</v>
      </c>
      <c r="C7235" s="14" t="s">
        <v>7259</v>
      </c>
      <c r="D7235" s="1"/>
      <c r="E7235" s="1"/>
      <c r="F7235" s="1" t="str">
        <f>IFERROR(__xludf.DUMMYFUNCTION("GOOGLETRANSLATE(B7235, ""en"", ""fa"")
"),"موفقیت در ای بی")</f>
        <v>موفقیت در ای بی</v>
      </c>
      <c r="G7235" s="1" t="str">
        <f>IFERROR(__xludf.DUMMYFUNCTION("GOOGLETRANSLATE(C7235, ""en"", ""fa"")
"),"از چه استراتژی هایی می توانم برای تجزیه و تحلیل تکنیک های فروش متقابل و افزایش فروش رقبای خود در eBay استفاده کنم؟")</f>
        <v>از چه استراتژی هایی می توانم برای تجزیه و تحلیل تکنیک های فروش متقابل و افزایش فروش رقبای خود در eBay استفاده کنم؟</v>
      </c>
      <c r="H7235" s="1"/>
      <c r="I7235" s="1"/>
      <c r="J7235" s="1"/>
      <c r="K7235" s="1"/>
      <c r="L7235" s="1"/>
      <c r="M7235" s="1"/>
      <c r="N7235" s="1"/>
      <c r="O7235" s="1"/>
      <c r="P7235" s="1"/>
      <c r="Q7235" s="1"/>
      <c r="R7235" s="1"/>
      <c r="S7235" s="1"/>
      <c r="T7235" s="1"/>
      <c r="U7235" s="1"/>
      <c r="V7235" s="1"/>
      <c r="W7235" s="1"/>
      <c r="X7235" s="1"/>
      <c r="Y7235" s="1"/>
      <c r="Z7235" s="1"/>
      <c r="AA7235" s="1"/>
      <c r="AB7235" s="1"/>
    </row>
    <row r="7236" ht="50.25" customHeight="1">
      <c r="A7236" s="12">
        <v>7232.0</v>
      </c>
      <c r="B7236" s="13" t="s">
        <v>7028</v>
      </c>
      <c r="C7236" s="14" t="s">
        <v>7260</v>
      </c>
      <c r="D7236" s="1"/>
      <c r="E7236" s="1"/>
      <c r="F7236" s="1" t="str">
        <f>IFERROR(__xludf.DUMMYFUNCTION("GOOGLETRANSLATE(B7236, ""en"", ""fa"")
"),"موفقیت در ای بی")</f>
        <v>موفقیت در ای بی</v>
      </c>
      <c r="G7236" s="1" t="str">
        <f>IFERROR(__xludf.DUMMYFUNCTION("GOOGLETRANSLATE(C7236, ""en"", ""fa"")
"),"چگونه می توانم تامین کننده رقبای خود یا روابط منبع یابی محصولات eBay آنها را شناسایی کنم؟")</f>
        <v>چگونه می توانم تامین کننده رقبای خود یا روابط منبع یابی محصولات eBay آنها را شناسایی کنم؟</v>
      </c>
      <c r="H7236" s="1"/>
      <c r="I7236" s="1"/>
      <c r="J7236" s="1"/>
      <c r="K7236" s="1"/>
      <c r="L7236" s="1"/>
      <c r="M7236" s="1"/>
      <c r="N7236" s="1"/>
      <c r="O7236" s="1"/>
      <c r="P7236" s="1"/>
      <c r="Q7236" s="1"/>
      <c r="R7236" s="1"/>
      <c r="S7236" s="1"/>
      <c r="T7236" s="1"/>
      <c r="U7236" s="1"/>
      <c r="V7236" s="1"/>
      <c r="W7236" s="1"/>
      <c r="X7236" s="1"/>
      <c r="Y7236" s="1"/>
      <c r="Z7236" s="1"/>
      <c r="AA7236" s="1"/>
      <c r="AB7236" s="1"/>
    </row>
    <row r="7237" ht="50.25" customHeight="1">
      <c r="A7237" s="12">
        <v>7233.0</v>
      </c>
      <c r="B7237" s="13" t="s">
        <v>7028</v>
      </c>
      <c r="C7237" s="14" t="s">
        <v>7261</v>
      </c>
      <c r="D7237" s="1"/>
      <c r="E7237" s="1"/>
      <c r="F7237" s="1" t="str">
        <f>IFERROR(__xludf.DUMMYFUNCTION("GOOGLETRANSLATE(B7237, ""en"", ""fa"")
"),"موفقیت در ای بی")</f>
        <v>موفقیت در ای بی</v>
      </c>
      <c r="G7237" s="1" t="str">
        <f>IFERROR(__xludf.DUMMYFUNCTION("GOOGLETRANSLATE(C7237, ""en"", ""fa"")
"),"مزایای تجزیه و تحلیل طرح و طراحی فروشگاه eBay رقبای من چیست؟")</f>
        <v>مزایای تجزیه و تحلیل طرح و طراحی فروشگاه eBay رقبای من چیست؟</v>
      </c>
      <c r="H7237" s="1"/>
      <c r="I7237" s="1"/>
      <c r="J7237" s="1"/>
      <c r="K7237" s="1"/>
      <c r="L7237" s="1"/>
      <c r="M7237" s="1"/>
      <c r="N7237" s="1"/>
      <c r="O7237" s="1"/>
      <c r="P7237" s="1"/>
      <c r="Q7237" s="1"/>
      <c r="R7237" s="1"/>
      <c r="S7237" s="1"/>
      <c r="T7237" s="1"/>
      <c r="U7237" s="1"/>
      <c r="V7237" s="1"/>
      <c r="W7237" s="1"/>
      <c r="X7237" s="1"/>
      <c r="Y7237" s="1"/>
      <c r="Z7237" s="1"/>
      <c r="AA7237" s="1"/>
      <c r="AB7237" s="1"/>
    </row>
    <row r="7238" ht="50.25" customHeight="1">
      <c r="A7238" s="12">
        <v>7234.0</v>
      </c>
      <c r="B7238" s="13" t="s">
        <v>7028</v>
      </c>
      <c r="C7238" s="14" t="s">
        <v>7262</v>
      </c>
      <c r="D7238" s="1"/>
      <c r="E7238" s="1"/>
      <c r="F7238" s="1" t="str">
        <f>IFERROR(__xludf.DUMMYFUNCTION("GOOGLETRANSLATE(B7238, ""en"", ""fa"")
"),"موفقیت در ای بی")</f>
        <v>موفقیت در ای بی</v>
      </c>
      <c r="G7238" s="1" t="str">
        <f>IFERROR(__xludf.DUMMYFUNCTION("GOOGLETRANSLATE(C7238, ""en"", ""fa"")
"),"چگونه می توانم شیوه های فروش و حمل و نقل بین المللی رقبای خود را در eBay پیگیری کنم؟")</f>
        <v>چگونه می توانم شیوه های فروش و حمل و نقل بین المللی رقبای خود را در eBay پیگیری کنم؟</v>
      </c>
      <c r="H7238" s="1"/>
      <c r="I7238" s="1"/>
      <c r="J7238" s="1"/>
      <c r="K7238" s="1"/>
      <c r="L7238" s="1"/>
      <c r="M7238" s="1"/>
      <c r="N7238" s="1"/>
      <c r="O7238" s="1"/>
      <c r="P7238" s="1"/>
      <c r="Q7238" s="1"/>
      <c r="R7238" s="1"/>
      <c r="S7238" s="1"/>
      <c r="T7238" s="1"/>
      <c r="U7238" s="1"/>
      <c r="V7238" s="1"/>
      <c r="W7238" s="1"/>
      <c r="X7238" s="1"/>
      <c r="Y7238" s="1"/>
      <c r="Z7238" s="1"/>
      <c r="AA7238" s="1"/>
      <c r="AB7238" s="1"/>
    </row>
    <row r="7239" ht="50.25" customHeight="1">
      <c r="A7239" s="12">
        <v>7235.0</v>
      </c>
      <c r="B7239" s="13" t="s">
        <v>7028</v>
      </c>
      <c r="C7239" s="14" t="s">
        <v>7263</v>
      </c>
      <c r="D7239" s="1"/>
      <c r="E7239" s="1"/>
      <c r="F7239" s="1" t="str">
        <f>IFERROR(__xludf.DUMMYFUNCTION("GOOGLETRANSLATE(B7239, ""en"", ""fa"")
"),"موفقیت در ای بی")</f>
        <v>موفقیت در ای بی</v>
      </c>
      <c r="G7239" s="1" t="str">
        <f>IFERROR(__xludf.DUMMYFUNCTION("GOOGLETRANSLATE(C7239, ""en"", ""fa"")
"),"چه استراتژی هایی را می توانم برای نظارت بر حفظ مشتری رقبای خود و تکرار خرید در eBay به کار بگیرم؟")</f>
        <v>چه استراتژی هایی را می توانم برای نظارت بر حفظ مشتری رقبای خود و تکرار خرید در eBay به کار بگیرم؟</v>
      </c>
      <c r="H7239" s="1"/>
      <c r="I7239" s="1"/>
      <c r="J7239" s="1"/>
      <c r="K7239" s="1"/>
      <c r="L7239" s="1"/>
      <c r="M7239" s="1"/>
      <c r="N7239" s="1"/>
      <c r="O7239" s="1"/>
      <c r="P7239" s="1"/>
      <c r="Q7239" s="1"/>
      <c r="R7239" s="1"/>
      <c r="S7239" s="1"/>
      <c r="T7239" s="1"/>
      <c r="U7239" s="1"/>
      <c r="V7239" s="1"/>
      <c r="W7239" s="1"/>
      <c r="X7239" s="1"/>
      <c r="Y7239" s="1"/>
      <c r="Z7239" s="1"/>
      <c r="AA7239" s="1"/>
      <c r="AB7239" s="1"/>
    </row>
    <row r="7240" ht="50.25" customHeight="1">
      <c r="A7240" s="12">
        <v>7236.0</v>
      </c>
      <c r="B7240" s="13" t="s">
        <v>7028</v>
      </c>
      <c r="C7240" s="14" t="s">
        <v>7264</v>
      </c>
      <c r="D7240" s="1"/>
      <c r="E7240" s="1"/>
      <c r="F7240" s="1" t="str">
        <f>IFERROR(__xludf.DUMMYFUNCTION("GOOGLETRANSLATE(B7240, ""en"", ""fa"")
"),"موفقیت در ای بی")</f>
        <v>موفقیت در ای بی</v>
      </c>
      <c r="G7240" s="1" t="str">
        <f>IFERROR(__xludf.DUMMYFUNCTION("GOOGLETRANSLATE(C7240, ""en"", ""fa"")
"),"چگونه می توانم شهرت و شناخت برند رقبای خود را در eBay شناسایی کنم؟")</f>
        <v>چگونه می توانم شهرت و شناخت برند رقبای خود را در eBay شناسایی کنم؟</v>
      </c>
      <c r="H7240" s="1"/>
      <c r="I7240" s="1"/>
      <c r="J7240" s="1"/>
      <c r="K7240" s="1"/>
      <c r="L7240" s="1"/>
      <c r="M7240" s="1"/>
      <c r="N7240" s="1"/>
      <c r="O7240" s="1"/>
      <c r="P7240" s="1"/>
      <c r="Q7240" s="1"/>
      <c r="R7240" s="1"/>
      <c r="S7240" s="1"/>
      <c r="T7240" s="1"/>
      <c r="U7240" s="1"/>
      <c r="V7240" s="1"/>
      <c r="W7240" s="1"/>
      <c r="X7240" s="1"/>
      <c r="Y7240" s="1"/>
      <c r="Z7240" s="1"/>
      <c r="AA7240" s="1"/>
      <c r="AB7240" s="1"/>
    </row>
    <row r="7241" ht="50.25" customHeight="1">
      <c r="A7241" s="12">
        <v>7237.0</v>
      </c>
      <c r="B7241" s="13" t="s">
        <v>7028</v>
      </c>
      <c r="C7241" s="14" t="s">
        <v>7265</v>
      </c>
      <c r="D7241" s="1"/>
      <c r="E7241" s="1"/>
      <c r="F7241" s="1" t="str">
        <f>IFERROR(__xludf.DUMMYFUNCTION("GOOGLETRANSLATE(B7241, ""en"", ""fa"")
"),"موفقیت در ای بی")</f>
        <v>موفقیت در ای بی</v>
      </c>
      <c r="G7241" s="1" t="str">
        <f>IFERROR(__xludf.DUMMYFUNCTION("GOOGLETRANSLATE(C7241, ""en"", ""fa"")
"),"بینش های کلیدی که می توانم از تجزیه و تحلیل کلمات کلیدی و برچسب های رقبای خود در لیست های eBay آنها به دست بیاورم چیست؟")</f>
        <v>بینش های کلیدی که می توانم از تجزیه و تحلیل کلمات کلیدی و برچسب های رقبای خود در لیست های eBay آنها به دست بیاورم چیست؟</v>
      </c>
      <c r="H7241" s="1"/>
      <c r="I7241" s="1"/>
      <c r="J7241" s="1"/>
      <c r="K7241" s="1"/>
      <c r="L7241" s="1"/>
      <c r="M7241" s="1"/>
      <c r="N7241" s="1"/>
      <c r="O7241" s="1"/>
      <c r="P7241" s="1"/>
      <c r="Q7241" s="1"/>
      <c r="R7241" s="1"/>
      <c r="S7241" s="1"/>
      <c r="T7241" s="1"/>
      <c r="U7241" s="1"/>
      <c r="V7241" s="1"/>
      <c r="W7241" s="1"/>
      <c r="X7241" s="1"/>
      <c r="Y7241" s="1"/>
      <c r="Z7241" s="1"/>
      <c r="AA7241" s="1"/>
      <c r="AB7241" s="1"/>
    </row>
    <row r="7242" ht="50.25" customHeight="1">
      <c r="A7242" s="12">
        <v>7238.0</v>
      </c>
      <c r="B7242" s="13" t="s">
        <v>7028</v>
      </c>
      <c r="C7242" s="14" t="s">
        <v>7266</v>
      </c>
      <c r="D7242" s="1"/>
      <c r="E7242" s="1"/>
      <c r="F7242" s="1" t="str">
        <f>IFERROR(__xludf.DUMMYFUNCTION("GOOGLETRANSLATE(B7242, ""en"", ""fa"")
"),"موفقیت در ای بی")</f>
        <v>موفقیت در ای بی</v>
      </c>
      <c r="G7242" s="1" t="str">
        <f>IFERROR(__xludf.DUMMYFUNCTION("GOOGLETRANSLATE(C7242, ""en"", ""fa"")
"),"چگونه می توانم عملکرد و رتبه بندی رقبای خود را در نتایج جستجوی eBay دنبال کنم؟")</f>
        <v>چگونه می توانم عملکرد و رتبه بندی رقبای خود را در نتایج جستجوی eBay دنبال کنم؟</v>
      </c>
      <c r="H7242" s="1"/>
      <c r="I7242" s="1"/>
      <c r="J7242" s="1"/>
      <c r="K7242" s="1"/>
      <c r="L7242" s="1"/>
      <c r="M7242" s="1"/>
      <c r="N7242" s="1"/>
      <c r="O7242" s="1"/>
      <c r="P7242" s="1"/>
      <c r="Q7242" s="1"/>
      <c r="R7242" s="1"/>
      <c r="S7242" s="1"/>
      <c r="T7242" s="1"/>
      <c r="U7242" s="1"/>
      <c r="V7242" s="1"/>
      <c r="W7242" s="1"/>
      <c r="X7242" s="1"/>
      <c r="Y7242" s="1"/>
      <c r="Z7242" s="1"/>
      <c r="AA7242" s="1"/>
      <c r="AB7242" s="1"/>
    </row>
    <row r="7243" ht="50.25" customHeight="1">
      <c r="A7243" s="12">
        <v>7239.0</v>
      </c>
      <c r="B7243" s="13" t="s">
        <v>7028</v>
      </c>
      <c r="C7243" s="14" t="s">
        <v>7267</v>
      </c>
      <c r="D7243" s="1"/>
      <c r="E7243" s="1"/>
      <c r="F7243" s="1" t="str">
        <f>IFERROR(__xludf.DUMMYFUNCTION("GOOGLETRANSLATE(B7243, ""en"", ""fa"")
"),"موفقیت در ای بی")</f>
        <v>موفقیت در ای بی</v>
      </c>
      <c r="G7243" s="1" t="str">
        <f>IFERROR(__xludf.DUMMYFUNCTION("GOOGLETRANSLATE(C7243, ""en"", ""fa"")
"),"از چه استراتژی هایی می توانم برای تجزیه و تحلیل استراتژی های قیمت گذاری رقبای خود برای اقلام همراه یا چند بسته در eBay استفاده کنم؟")</f>
        <v>از چه استراتژی هایی می توانم برای تجزیه و تحلیل استراتژی های قیمت گذاری رقبای خود برای اقلام همراه یا چند بسته در eBay استفاده کنم؟</v>
      </c>
      <c r="H7243" s="1"/>
      <c r="I7243" s="1"/>
      <c r="J7243" s="1"/>
      <c r="K7243" s="1"/>
      <c r="L7243" s="1"/>
      <c r="M7243" s="1"/>
      <c r="N7243" s="1"/>
      <c r="O7243" s="1"/>
      <c r="P7243" s="1"/>
      <c r="Q7243" s="1"/>
      <c r="R7243" s="1"/>
      <c r="S7243" s="1"/>
      <c r="T7243" s="1"/>
      <c r="U7243" s="1"/>
      <c r="V7243" s="1"/>
      <c r="W7243" s="1"/>
      <c r="X7243" s="1"/>
      <c r="Y7243" s="1"/>
      <c r="Z7243" s="1"/>
      <c r="AA7243" s="1"/>
      <c r="AB7243" s="1"/>
    </row>
    <row r="7244" ht="50.25" customHeight="1">
      <c r="A7244" s="12">
        <v>7240.0</v>
      </c>
      <c r="B7244" s="13" t="s">
        <v>7028</v>
      </c>
      <c r="C7244" s="14" t="s">
        <v>7268</v>
      </c>
      <c r="D7244" s="1"/>
      <c r="E7244" s="1"/>
      <c r="F7244" s="1" t="str">
        <f>IFERROR(__xludf.DUMMYFUNCTION("GOOGLETRANSLATE(B7244, ""en"", ""fa"")
"),"موفقیت در ای بی")</f>
        <v>موفقیت در ای بی</v>
      </c>
      <c r="G7244" s="1" t="str">
        <f>IFERROR(__xludf.DUMMYFUNCTION("GOOGLETRANSLATE(C7244, ""en"", ""fa"")
"),"چگونه می توانم مشارکت های تبلیغاتی یا همکاری های رقبای خود را در eBay شناسایی کنم؟")</f>
        <v>چگونه می توانم مشارکت های تبلیغاتی یا همکاری های رقبای خود را در eBay شناسایی کنم؟</v>
      </c>
      <c r="H7244" s="1"/>
      <c r="I7244" s="1"/>
      <c r="J7244" s="1"/>
      <c r="K7244" s="1"/>
      <c r="L7244" s="1"/>
      <c r="M7244" s="1"/>
      <c r="N7244" s="1"/>
      <c r="O7244" s="1"/>
      <c r="P7244" s="1"/>
      <c r="Q7244" s="1"/>
      <c r="R7244" s="1"/>
      <c r="S7244" s="1"/>
      <c r="T7244" s="1"/>
      <c r="U7244" s="1"/>
      <c r="V7244" s="1"/>
      <c r="W7244" s="1"/>
      <c r="X7244" s="1"/>
      <c r="Y7244" s="1"/>
      <c r="Z7244" s="1"/>
      <c r="AA7244" s="1"/>
      <c r="AB7244" s="1"/>
    </row>
    <row r="7245" ht="50.25" customHeight="1">
      <c r="A7245" s="12">
        <v>7241.0</v>
      </c>
      <c r="B7245" s="13" t="s">
        <v>7028</v>
      </c>
      <c r="C7245" s="14" t="s">
        <v>7269</v>
      </c>
      <c r="D7245" s="1"/>
      <c r="E7245" s="1"/>
      <c r="F7245" s="1" t="str">
        <f>IFERROR(__xludf.DUMMYFUNCTION("GOOGLETRANSLATE(B7245, ""en"", ""fa"")
"),"موفقیت در ای بی")</f>
        <v>موفقیت در ای بی</v>
      </c>
      <c r="G7245" s="1" t="str">
        <f>IFERROR(__xludf.DUMMYFUNCTION("GOOGLETRANSLATE(C7245, ""en"", ""fa"")
"),"مزایای نظارت بر روش های منبع یابی محصول و مدیریت موجودی رقبای من در eBay چیست؟")</f>
        <v>مزایای نظارت بر روش های منبع یابی محصول و مدیریت موجودی رقبای من در eBay چیست؟</v>
      </c>
      <c r="H7245" s="1"/>
      <c r="I7245" s="1"/>
      <c r="J7245" s="1"/>
      <c r="K7245" s="1"/>
      <c r="L7245" s="1"/>
      <c r="M7245" s="1"/>
      <c r="N7245" s="1"/>
      <c r="O7245" s="1"/>
      <c r="P7245" s="1"/>
      <c r="Q7245" s="1"/>
      <c r="R7245" s="1"/>
      <c r="S7245" s="1"/>
      <c r="T7245" s="1"/>
      <c r="U7245" s="1"/>
      <c r="V7245" s="1"/>
      <c r="W7245" s="1"/>
      <c r="X7245" s="1"/>
      <c r="Y7245" s="1"/>
      <c r="Z7245" s="1"/>
      <c r="AA7245" s="1"/>
      <c r="AB7245" s="1"/>
    </row>
    <row r="7246" ht="50.25" customHeight="1">
      <c r="A7246" s="12">
        <v>7242.0</v>
      </c>
      <c r="B7246" s="13" t="s">
        <v>7028</v>
      </c>
      <c r="C7246" s="14" t="s">
        <v>7270</v>
      </c>
      <c r="D7246" s="1"/>
      <c r="E7246" s="1"/>
      <c r="F7246" s="1" t="str">
        <f>IFERROR(__xludf.DUMMYFUNCTION("GOOGLETRANSLATE(B7246, ""en"", ""fa"")
"),"موفقیت در ای بی")</f>
        <v>موفقیت در ای بی</v>
      </c>
      <c r="G7246" s="1" t="str">
        <f>IFERROR(__xludf.DUMMYFUNCTION("GOOGLETRANSLATE(C7246, ""en"", ""fa"")
"),"چگونه می توانم استراتژی های بهینه سازی فهرست eBay رقبای خود را تجزیه و تحلیل کنم، مانند کلمات کلیدی عنوان و مشخصات آیتم ها؟")</f>
        <v>چگونه می توانم استراتژی های بهینه سازی فهرست eBay رقبای خود را تجزیه و تحلیل کنم، مانند کلمات کلیدی عنوان و مشخصات آیتم ها؟</v>
      </c>
      <c r="H7246" s="1"/>
      <c r="I7246" s="1"/>
      <c r="J7246" s="1"/>
      <c r="K7246" s="1"/>
      <c r="L7246" s="1"/>
      <c r="M7246" s="1"/>
      <c r="N7246" s="1"/>
      <c r="O7246" s="1"/>
      <c r="P7246" s="1"/>
      <c r="Q7246" s="1"/>
      <c r="R7246" s="1"/>
      <c r="S7246" s="1"/>
      <c r="T7246" s="1"/>
      <c r="U7246" s="1"/>
      <c r="V7246" s="1"/>
      <c r="W7246" s="1"/>
      <c r="X7246" s="1"/>
      <c r="Y7246" s="1"/>
      <c r="Z7246" s="1"/>
      <c r="AA7246" s="1"/>
      <c r="AB7246" s="1"/>
    </row>
    <row r="7247" ht="50.25" customHeight="1">
      <c r="A7247" s="12">
        <v>7243.0</v>
      </c>
      <c r="B7247" s="13" t="s">
        <v>7028</v>
      </c>
      <c r="C7247" s="14" t="s">
        <v>7271</v>
      </c>
      <c r="D7247" s="1"/>
      <c r="E7247" s="1"/>
      <c r="F7247" s="1" t="str">
        <f>IFERROR(__xludf.DUMMYFUNCTION("GOOGLETRANSLATE(B7247, ""en"", ""fa"")
"),"موفقیت در ای بی")</f>
        <v>موفقیت در ای بی</v>
      </c>
      <c r="G7247" s="1" t="str">
        <f>IFERROR(__xludf.DUMMYFUNCTION("GOOGLETRANSLATE(C7247, ""en"", ""fa"")
"),"چه استراتژی هایی را می توانم برای پیگیری پاسخ رقبای خود به سوالات و پیام های مشتری در eBay به کار بگیرم؟")</f>
        <v>چه استراتژی هایی را می توانم برای پیگیری پاسخ رقبای خود به سوالات و پیام های مشتری در eBay به کار بگیرم؟</v>
      </c>
      <c r="H7247" s="1"/>
      <c r="I7247" s="1"/>
      <c r="J7247" s="1"/>
      <c r="K7247" s="1"/>
      <c r="L7247" s="1"/>
      <c r="M7247" s="1"/>
      <c r="N7247" s="1"/>
      <c r="O7247" s="1"/>
      <c r="P7247" s="1"/>
      <c r="Q7247" s="1"/>
      <c r="R7247" s="1"/>
      <c r="S7247" s="1"/>
      <c r="T7247" s="1"/>
      <c r="U7247" s="1"/>
      <c r="V7247" s="1"/>
      <c r="W7247" s="1"/>
      <c r="X7247" s="1"/>
      <c r="Y7247" s="1"/>
      <c r="Z7247" s="1"/>
      <c r="AA7247" s="1"/>
      <c r="AB7247" s="1"/>
    </row>
    <row r="7248" ht="50.25" customHeight="1">
      <c r="A7248" s="12">
        <v>7244.0</v>
      </c>
      <c r="B7248" s="13" t="s">
        <v>7028</v>
      </c>
      <c r="C7248" s="14" t="s">
        <v>7272</v>
      </c>
      <c r="D7248" s="1"/>
      <c r="E7248" s="1"/>
      <c r="F7248" s="1" t="str">
        <f>IFERROR(__xludf.DUMMYFUNCTION("GOOGLETRANSLATE(B7248, ""en"", ""fa"")
"),"موفقیت در ای بی")</f>
        <v>موفقیت در ای بی</v>
      </c>
      <c r="G7248" s="1" t="str">
        <f>IFERROR(__xludf.DUMMYFUNCTION("GOOGLETRANSLATE(C7248, ""en"", ""fa"")
"),"چگونه می توانم دسته ها و جایگاه های رقبای خود را در eBay با عملکرد برتر شناسایی کنم؟")</f>
        <v>چگونه می توانم دسته ها و جایگاه های رقبای خود را در eBay با عملکرد برتر شناسایی کنم؟</v>
      </c>
      <c r="H7248" s="1"/>
      <c r="I7248" s="1"/>
      <c r="J7248" s="1"/>
      <c r="K7248" s="1"/>
      <c r="L7248" s="1"/>
      <c r="M7248" s="1"/>
      <c r="N7248" s="1"/>
      <c r="O7248" s="1"/>
      <c r="P7248" s="1"/>
      <c r="Q7248" s="1"/>
      <c r="R7248" s="1"/>
      <c r="S7248" s="1"/>
      <c r="T7248" s="1"/>
      <c r="U7248" s="1"/>
      <c r="V7248" s="1"/>
      <c r="W7248" s="1"/>
      <c r="X7248" s="1"/>
      <c r="Y7248" s="1"/>
      <c r="Z7248" s="1"/>
      <c r="AA7248" s="1"/>
      <c r="AB7248" s="1"/>
    </row>
    <row r="7249" ht="50.25" customHeight="1">
      <c r="A7249" s="12">
        <v>7245.0</v>
      </c>
      <c r="B7249" s="13" t="s">
        <v>7028</v>
      </c>
      <c r="C7249" s="14" t="s">
        <v>7273</v>
      </c>
      <c r="D7249" s="1"/>
      <c r="E7249" s="1"/>
      <c r="F7249" s="1" t="str">
        <f>IFERROR(__xludf.DUMMYFUNCTION("GOOGLETRANSLATE(B7249, ""en"", ""fa"")
"),"موفقیت در ای بی")</f>
        <v>موفقیت در ای بی</v>
      </c>
      <c r="G7249" s="1" t="str">
        <f>IFERROR(__xludf.DUMMYFUNCTION("GOOGLETRANSLATE(C7249, ""en"", ""fa"")
"),"فاکتورهای کلیدی که باید هنگام تجزیه و تحلیل استراتژی های جذب مشتری و حفظ مشتری رقبای من در eBay در نظر بگیریم چیست؟")</f>
        <v>فاکتورهای کلیدی که باید هنگام تجزیه و تحلیل استراتژی های جذب مشتری و حفظ مشتری رقبای من در eBay در نظر بگیریم چیست؟</v>
      </c>
      <c r="H7249" s="1"/>
      <c r="I7249" s="1"/>
      <c r="J7249" s="1"/>
      <c r="K7249" s="1"/>
      <c r="L7249" s="1"/>
      <c r="M7249" s="1"/>
      <c r="N7249" s="1"/>
      <c r="O7249" s="1"/>
      <c r="P7249" s="1"/>
      <c r="Q7249" s="1"/>
      <c r="R7249" s="1"/>
      <c r="S7249" s="1"/>
      <c r="T7249" s="1"/>
      <c r="U7249" s="1"/>
      <c r="V7249" s="1"/>
      <c r="W7249" s="1"/>
      <c r="X7249" s="1"/>
      <c r="Y7249" s="1"/>
      <c r="Z7249" s="1"/>
      <c r="AA7249" s="1"/>
      <c r="AB7249" s="1"/>
    </row>
    <row r="7250" ht="50.25" customHeight="1">
      <c r="A7250" s="12">
        <v>7246.0</v>
      </c>
      <c r="B7250" s="13" t="s">
        <v>7028</v>
      </c>
      <c r="C7250" s="14" t="s">
        <v>7274</v>
      </c>
      <c r="D7250" s="1"/>
      <c r="E7250" s="1"/>
      <c r="F7250" s="1" t="str">
        <f>IFERROR(__xludf.DUMMYFUNCTION("GOOGLETRANSLATE(B7250, ""en"", ""fa"")
"),"موفقیت در ای بی")</f>
        <v>موفقیت در ای بی</v>
      </c>
      <c r="G7250" s="1" t="str">
        <f>IFERROR(__xludf.DUMMYFUNCTION("GOOGLETRANSLATE(C7250, ""en"", ""fa"")
"),"چگونه می توانم عملکرد و رتبه بندی رقبای خود را در برنامه فروشنده رتبه برتر eBay پیگیری کنم؟")</f>
        <v>چگونه می توانم عملکرد و رتبه بندی رقبای خود را در برنامه فروشنده رتبه برتر eBay پیگیری کنم؟</v>
      </c>
      <c r="H7250" s="1"/>
      <c r="I7250" s="1"/>
      <c r="J7250" s="1"/>
      <c r="K7250" s="1"/>
      <c r="L7250" s="1"/>
      <c r="M7250" s="1"/>
      <c r="N7250" s="1"/>
      <c r="O7250" s="1"/>
      <c r="P7250" s="1"/>
      <c r="Q7250" s="1"/>
      <c r="R7250" s="1"/>
      <c r="S7250" s="1"/>
      <c r="T7250" s="1"/>
      <c r="U7250" s="1"/>
      <c r="V7250" s="1"/>
      <c r="W7250" s="1"/>
      <c r="X7250" s="1"/>
      <c r="Y7250" s="1"/>
      <c r="Z7250" s="1"/>
      <c r="AA7250" s="1"/>
      <c r="AB7250" s="1"/>
    </row>
    <row r="7251" ht="50.25" customHeight="1">
      <c r="A7251" s="12">
        <v>7247.0</v>
      </c>
      <c r="B7251" s="13" t="s">
        <v>7028</v>
      </c>
      <c r="C7251" s="14" t="s">
        <v>7275</v>
      </c>
      <c r="D7251" s="1"/>
      <c r="E7251" s="1"/>
      <c r="F7251" s="1" t="str">
        <f>IFERROR(__xludf.DUMMYFUNCTION("GOOGLETRANSLATE(B7251, ""en"", ""fa"")
"),"موفقیت در ای بی")</f>
        <v>موفقیت در ای بی</v>
      </c>
      <c r="G7251" s="1" t="str">
        <f>IFERROR(__xludf.DUMMYFUNCTION("GOOGLETRANSLATE(C7251, ""en"", ""fa"")
"),"از چه استراتژی هایی می توانم برای تجزیه و تحلیل مجموعه محصولات رقبا و پیشنهادات ارزش افزوده خود در eBay استفاده کنم؟")</f>
        <v>از چه استراتژی هایی می توانم برای تجزیه و تحلیل مجموعه محصولات رقبا و پیشنهادات ارزش افزوده خود در eBay استفاده کنم؟</v>
      </c>
      <c r="H7251" s="1"/>
      <c r="I7251" s="1"/>
      <c r="J7251" s="1"/>
      <c r="K7251" s="1"/>
      <c r="L7251" s="1"/>
      <c r="M7251" s="1"/>
      <c r="N7251" s="1"/>
      <c r="O7251" s="1"/>
      <c r="P7251" s="1"/>
      <c r="Q7251" s="1"/>
      <c r="R7251" s="1"/>
      <c r="S7251" s="1"/>
      <c r="T7251" s="1"/>
      <c r="U7251" s="1"/>
      <c r="V7251" s="1"/>
      <c r="W7251" s="1"/>
      <c r="X7251" s="1"/>
      <c r="Y7251" s="1"/>
      <c r="Z7251" s="1"/>
      <c r="AA7251" s="1"/>
      <c r="AB7251" s="1"/>
    </row>
    <row r="7252" ht="50.25" customHeight="1">
      <c r="A7252" s="12">
        <v>7248.0</v>
      </c>
      <c r="B7252" s="13" t="s">
        <v>7028</v>
      </c>
      <c r="C7252" s="14" t="s">
        <v>7276</v>
      </c>
      <c r="D7252" s="1"/>
      <c r="E7252" s="1"/>
      <c r="F7252" s="1" t="str">
        <f>IFERROR(__xludf.DUMMYFUNCTION("GOOGLETRANSLATE(B7252, ""en"", ""fa"")
"),"موفقیت در ای بی")</f>
        <v>موفقیت در ای بی</v>
      </c>
      <c r="G7252" s="1" t="str">
        <f>IFERROR(__xludf.DUMMYFUNCTION("GOOGLETRANSLATE(C7252, ""en"", ""fa"")
"),"چگونه می توانم تاکتیک های بازاریابی و تبلیغات رقبای خود را در eBay شناسایی کنم؟")</f>
        <v>چگونه می توانم تاکتیک های بازاریابی و تبلیغات رقبای خود را در eBay شناسایی کنم؟</v>
      </c>
      <c r="H7252" s="1"/>
      <c r="I7252" s="1"/>
      <c r="J7252" s="1"/>
      <c r="K7252" s="1"/>
      <c r="L7252" s="1"/>
      <c r="M7252" s="1"/>
      <c r="N7252" s="1"/>
      <c r="O7252" s="1"/>
      <c r="P7252" s="1"/>
      <c r="Q7252" s="1"/>
      <c r="R7252" s="1"/>
      <c r="S7252" s="1"/>
      <c r="T7252" s="1"/>
      <c r="U7252" s="1"/>
      <c r="V7252" s="1"/>
      <c r="W7252" s="1"/>
      <c r="X7252" s="1"/>
      <c r="Y7252" s="1"/>
      <c r="Z7252" s="1"/>
      <c r="AA7252" s="1"/>
      <c r="AB7252" s="1"/>
    </row>
    <row r="7253" ht="50.25" customHeight="1">
      <c r="A7253" s="12">
        <v>7249.0</v>
      </c>
      <c r="B7253" s="13" t="s">
        <v>7028</v>
      </c>
      <c r="C7253" s="14" t="s">
        <v>7277</v>
      </c>
      <c r="D7253" s="1"/>
      <c r="E7253" s="1"/>
      <c r="F7253" s="1" t="str">
        <f>IFERROR(__xludf.DUMMYFUNCTION("GOOGLETRANSLATE(B7253, ""en"", ""fa"")
"),"موفقیت در ای بی")</f>
        <v>موفقیت در ای بی</v>
      </c>
      <c r="G7253" s="1" t="str">
        <f>IFERROR(__xludf.DUMMYFUNCTION("GOOGLETRANSLATE(C7253, ""en"", ""fa"")
"),"مزایای تجزیه و تحلیل سیاست ها و شرایط خدمات فروشگاه eBay رقبای من چیست؟")</f>
        <v>مزایای تجزیه و تحلیل سیاست ها و شرایط خدمات فروشگاه eBay رقبای من چیست؟</v>
      </c>
      <c r="H7253" s="1"/>
      <c r="I7253" s="1"/>
      <c r="J7253" s="1"/>
      <c r="K7253" s="1"/>
      <c r="L7253" s="1"/>
      <c r="M7253" s="1"/>
      <c r="N7253" s="1"/>
      <c r="O7253" s="1"/>
      <c r="P7253" s="1"/>
      <c r="Q7253" s="1"/>
      <c r="R7253" s="1"/>
      <c r="S7253" s="1"/>
      <c r="T7253" s="1"/>
      <c r="U7253" s="1"/>
      <c r="V7253" s="1"/>
      <c r="W7253" s="1"/>
      <c r="X7253" s="1"/>
      <c r="Y7253" s="1"/>
      <c r="Z7253" s="1"/>
      <c r="AA7253" s="1"/>
      <c r="AB7253" s="1"/>
    </row>
    <row r="7254" ht="50.25" customHeight="1">
      <c r="A7254" s="12">
        <v>7250.0</v>
      </c>
      <c r="B7254" s="13" t="s">
        <v>7028</v>
      </c>
      <c r="C7254" s="14" t="s">
        <v>7278</v>
      </c>
      <c r="D7254" s="1"/>
      <c r="E7254" s="1"/>
      <c r="F7254" s="1" t="str">
        <f>IFERROR(__xludf.DUMMYFUNCTION("GOOGLETRANSLATE(B7254, ""en"", ""fa"")
"),"موفقیت در ای بی")</f>
        <v>موفقیت در ای بی</v>
      </c>
      <c r="G7254" s="1" t="str">
        <f>IFERROR(__xludf.DUMMYFUNCTION("GOOGLETRANSLATE(C7254, ""en"", ""fa"")
"),"چگونه می‌توانم به‌روزرسانی‌ها و بازبینی‌های فهرست eBay رقبای خود را برای بهبود مستمر نظارت کنم؟")</f>
        <v>چگونه می‌توانم به‌روزرسانی‌ها و بازبینی‌های فهرست eBay رقبای خود را برای بهبود مستمر نظارت کنم؟</v>
      </c>
      <c r="H7254" s="1"/>
      <c r="I7254" s="1"/>
      <c r="J7254" s="1"/>
      <c r="K7254" s="1"/>
      <c r="L7254" s="1"/>
      <c r="M7254" s="1"/>
      <c r="N7254" s="1"/>
      <c r="O7254" s="1"/>
      <c r="P7254" s="1"/>
      <c r="Q7254" s="1"/>
      <c r="R7254" s="1"/>
      <c r="S7254" s="1"/>
      <c r="T7254" s="1"/>
      <c r="U7254" s="1"/>
      <c r="V7254" s="1"/>
      <c r="W7254" s="1"/>
      <c r="X7254" s="1"/>
      <c r="Y7254" s="1"/>
      <c r="Z7254" s="1"/>
      <c r="AA7254" s="1"/>
      <c r="AB7254" s="1"/>
    </row>
    <row r="7255" ht="50.25" customHeight="1">
      <c r="A7255" s="12">
        <v>7251.0</v>
      </c>
      <c r="B7255" s="13" t="s">
        <v>7028</v>
      </c>
      <c r="C7255" s="14" t="s">
        <v>7279</v>
      </c>
      <c r="D7255" s="1"/>
      <c r="E7255" s="1"/>
      <c r="F7255" s="1" t="str">
        <f>IFERROR(__xludf.DUMMYFUNCTION("GOOGLETRANSLATE(B7255, ""en"", ""fa"")
"),"موفقیت در ای بی")</f>
        <v>موفقیت در ای بی</v>
      </c>
      <c r="G7255" s="1" t="str">
        <f>IFERROR(__xludf.DUMMYFUNCTION("GOOGLETRANSLATE(C7255, ""en"", ""fa"")
"),"برای تجزیه و تحلیل نظرات و پیشنهادات مشتریان رقبای خود در eBay از چه استراتژی هایی می توانم استفاده کنم؟")</f>
        <v>برای تجزیه و تحلیل نظرات و پیشنهادات مشتریان رقبای خود در eBay از چه استراتژی هایی می توانم استفاده کنم؟</v>
      </c>
      <c r="H7255" s="1"/>
      <c r="I7255" s="1"/>
      <c r="J7255" s="1"/>
      <c r="K7255" s="1"/>
      <c r="L7255" s="1"/>
      <c r="M7255" s="1"/>
      <c r="N7255" s="1"/>
      <c r="O7255" s="1"/>
      <c r="P7255" s="1"/>
      <c r="Q7255" s="1"/>
      <c r="R7255" s="1"/>
      <c r="S7255" s="1"/>
      <c r="T7255" s="1"/>
      <c r="U7255" s="1"/>
      <c r="V7255" s="1"/>
      <c r="W7255" s="1"/>
      <c r="X7255" s="1"/>
      <c r="Y7255" s="1"/>
      <c r="Z7255" s="1"/>
      <c r="AA7255" s="1"/>
      <c r="AB7255" s="1"/>
    </row>
    <row r="7256" ht="50.25" customHeight="1">
      <c r="A7256" s="12">
        <v>7252.0</v>
      </c>
      <c r="B7256" s="13" t="s">
        <v>7028</v>
      </c>
      <c r="C7256" s="14" t="s">
        <v>7280</v>
      </c>
      <c r="D7256" s="1"/>
      <c r="E7256" s="1"/>
      <c r="F7256" s="1" t="str">
        <f>IFERROR(__xludf.DUMMYFUNCTION("GOOGLETRANSLATE(B7256, ""en"", ""fa"")
"),"موفقیت در ای بی")</f>
        <v>موفقیت در ای بی</v>
      </c>
      <c r="G7256" s="1" t="str">
        <f>IFERROR(__xludf.DUMMYFUNCTION("GOOGLETRANSLATE(C7256, ""en"", ""fa"")
"),"چگونه می توانم شیوه های فروش فرامرزی و موفقیت رقبای خود را در eBay شناسایی کنم؟")</f>
        <v>چگونه می توانم شیوه های فروش فرامرزی و موفقیت رقبای خود را در eBay شناسایی کنم؟</v>
      </c>
      <c r="H7256" s="1"/>
      <c r="I7256" s="1"/>
      <c r="J7256" s="1"/>
      <c r="K7256" s="1"/>
      <c r="L7256" s="1"/>
      <c r="M7256" s="1"/>
      <c r="N7256" s="1"/>
      <c r="O7256" s="1"/>
      <c r="P7256" s="1"/>
      <c r="Q7256" s="1"/>
      <c r="R7256" s="1"/>
      <c r="S7256" s="1"/>
      <c r="T7256" s="1"/>
      <c r="U7256" s="1"/>
      <c r="V7256" s="1"/>
      <c r="W7256" s="1"/>
      <c r="X7256" s="1"/>
      <c r="Y7256" s="1"/>
      <c r="Z7256" s="1"/>
      <c r="AA7256" s="1"/>
      <c r="AB7256" s="1"/>
    </row>
    <row r="7257" ht="50.25" customHeight="1">
      <c r="A7257" s="12">
        <v>7253.0</v>
      </c>
      <c r="B7257" s="13" t="s">
        <v>7028</v>
      </c>
      <c r="C7257" s="14" t="s">
        <v>7281</v>
      </c>
      <c r="D7257" s="1"/>
      <c r="E7257" s="1"/>
      <c r="F7257" s="1" t="str">
        <f>IFERROR(__xludf.DUMMYFUNCTION("GOOGLETRANSLATE(B7257, ""en"", ""fa"")
"),"موفقیت در ای بی")</f>
        <v>موفقیت در ای بی</v>
      </c>
      <c r="G7257" s="1" t="str">
        <f>IFERROR(__xludf.DUMMYFUNCTION("GOOGLETRANSLATE(C7257, ""en"", ""fa"")
"),"بینش های کلیدی که می توانم از تجزیه و تحلیل الگوها و روندهای فروش eBay رقبای خود در طول زمان به دست بیاورم چیست؟")</f>
        <v>بینش های کلیدی که می توانم از تجزیه و تحلیل الگوها و روندهای فروش eBay رقبای خود در طول زمان به دست بیاورم چیست؟</v>
      </c>
      <c r="H7257" s="1"/>
      <c r="I7257" s="1"/>
      <c r="J7257" s="1"/>
      <c r="K7257" s="1"/>
      <c r="L7257" s="1"/>
      <c r="M7257" s="1"/>
      <c r="N7257" s="1"/>
      <c r="O7257" s="1"/>
      <c r="P7257" s="1"/>
      <c r="Q7257" s="1"/>
      <c r="R7257" s="1"/>
      <c r="S7257" s="1"/>
      <c r="T7257" s="1"/>
      <c r="U7257" s="1"/>
      <c r="V7257" s="1"/>
      <c r="W7257" s="1"/>
      <c r="X7257" s="1"/>
      <c r="Y7257" s="1"/>
      <c r="Z7257" s="1"/>
      <c r="AA7257" s="1"/>
      <c r="AB7257" s="1"/>
    </row>
    <row r="7258" ht="50.25" customHeight="1">
      <c r="A7258" s="12">
        <v>7254.0</v>
      </c>
      <c r="B7258" s="13" t="s">
        <v>7028</v>
      </c>
      <c r="C7258" s="14" t="s">
        <v>7282</v>
      </c>
      <c r="D7258" s="1"/>
      <c r="E7258" s="1"/>
      <c r="F7258" s="1" t="str">
        <f>IFERROR(__xludf.DUMMYFUNCTION("GOOGLETRANSLATE(B7258, ""en"", ""fa"")
"),"موفقیت در ای بی")</f>
        <v>موفقیت در ای بی</v>
      </c>
      <c r="G7258" s="1" t="str">
        <f>IFERROR(__xludf.DUMMYFUNCTION("GOOGLETRANSLATE(C7258, ""en"", ""fa"")
"),"چگونه می توانم عملکرد رقبای خود را در الگوریتم جستجوی Best Match eBay دنبال کنم؟")</f>
        <v>چگونه می توانم عملکرد رقبای خود را در الگوریتم جستجوی Best Match eBay دنبال کنم؟</v>
      </c>
      <c r="H7258" s="1"/>
      <c r="I7258" s="1"/>
      <c r="J7258" s="1"/>
      <c r="K7258" s="1"/>
      <c r="L7258" s="1"/>
      <c r="M7258" s="1"/>
      <c r="N7258" s="1"/>
      <c r="O7258" s="1"/>
      <c r="P7258" s="1"/>
      <c r="Q7258" s="1"/>
      <c r="R7258" s="1"/>
      <c r="S7258" s="1"/>
      <c r="T7258" s="1"/>
      <c r="U7258" s="1"/>
      <c r="V7258" s="1"/>
      <c r="W7258" s="1"/>
      <c r="X7258" s="1"/>
      <c r="Y7258" s="1"/>
      <c r="Z7258" s="1"/>
      <c r="AA7258" s="1"/>
      <c r="AB7258" s="1"/>
    </row>
    <row r="7259" ht="50.25" customHeight="1">
      <c r="A7259" s="12">
        <v>7255.0</v>
      </c>
      <c r="B7259" s="13" t="s">
        <v>7028</v>
      </c>
      <c r="C7259" s="14" t="s">
        <v>7283</v>
      </c>
      <c r="D7259" s="1"/>
      <c r="E7259" s="1"/>
      <c r="F7259" s="1" t="str">
        <f>IFERROR(__xludf.DUMMYFUNCTION("GOOGLETRANSLATE(B7259, ""en"", ""fa"")
"),"موفقیت در ای بی")</f>
        <v>موفقیت در ای بی</v>
      </c>
      <c r="G7259" s="1" t="str">
        <f>IFERROR(__xludf.DUMMYFUNCTION("GOOGLETRANSLATE(C7259, ""en"", ""fa"")
"),"از چه استراتژی هایی می توانم برای تجزیه و تحلیل بسته بندی و ارائه محصولات رقبای خود در eBay استفاده کنم؟")</f>
        <v>از چه استراتژی هایی می توانم برای تجزیه و تحلیل بسته بندی و ارائه محصولات رقبای خود در eBay استفاده کنم؟</v>
      </c>
      <c r="H7259" s="1"/>
      <c r="I7259" s="1"/>
      <c r="J7259" s="1"/>
      <c r="K7259" s="1"/>
      <c r="L7259" s="1"/>
      <c r="M7259" s="1"/>
      <c r="N7259" s="1"/>
      <c r="O7259" s="1"/>
      <c r="P7259" s="1"/>
      <c r="Q7259" s="1"/>
      <c r="R7259" s="1"/>
      <c r="S7259" s="1"/>
      <c r="T7259" s="1"/>
      <c r="U7259" s="1"/>
      <c r="V7259" s="1"/>
      <c r="W7259" s="1"/>
      <c r="X7259" s="1"/>
      <c r="Y7259" s="1"/>
      <c r="Z7259" s="1"/>
      <c r="AA7259" s="1"/>
      <c r="AB7259" s="1"/>
    </row>
    <row r="7260" ht="50.25" customHeight="1">
      <c r="A7260" s="12">
        <v>7256.0</v>
      </c>
      <c r="B7260" s="13" t="s">
        <v>7028</v>
      </c>
      <c r="C7260" s="14" t="s">
        <v>7284</v>
      </c>
      <c r="D7260" s="1"/>
      <c r="E7260" s="1"/>
      <c r="F7260" s="1" t="str">
        <f>IFERROR(__xludf.DUMMYFUNCTION("GOOGLETRANSLATE(B7260, ""en"", ""fa"")
"),"موفقیت در ای بی")</f>
        <v>موفقیت در ای بی</v>
      </c>
      <c r="G7260" s="1" t="str">
        <f>IFERROR(__xludf.DUMMYFUNCTION("GOOGLETRANSLATE(C7260, ""en"", ""fa"")
"),"چگونه می توانم پیشنهادات فروش منحصر به فرد رقبای خود (USPs) و ارزش پیشنهادی خود را در eBay شناسایی کنم؟")</f>
        <v>چگونه می توانم پیشنهادات فروش منحصر به فرد رقبای خود (USPs) و ارزش پیشنهادی خود را در eBay شناسایی کنم؟</v>
      </c>
      <c r="H7260" s="1"/>
      <c r="I7260" s="1"/>
      <c r="J7260" s="1"/>
      <c r="K7260" s="1"/>
      <c r="L7260" s="1"/>
      <c r="M7260" s="1"/>
      <c r="N7260" s="1"/>
      <c r="O7260" s="1"/>
      <c r="P7260" s="1"/>
      <c r="Q7260" s="1"/>
      <c r="R7260" s="1"/>
      <c r="S7260" s="1"/>
      <c r="T7260" s="1"/>
      <c r="U7260" s="1"/>
      <c r="V7260" s="1"/>
      <c r="W7260" s="1"/>
      <c r="X7260" s="1"/>
      <c r="Y7260" s="1"/>
      <c r="Z7260" s="1"/>
      <c r="AA7260" s="1"/>
      <c r="AB7260" s="1"/>
    </row>
    <row r="7261" ht="50.25" customHeight="1">
      <c r="A7261" s="12">
        <v>7257.0</v>
      </c>
      <c r="B7261" s="13" t="s">
        <v>7028</v>
      </c>
      <c r="C7261" s="14" t="s">
        <v>7285</v>
      </c>
      <c r="D7261" s="1"/>
      <c r="E7261" s="1"/>
      <c r="F7261" s="1" t="str">
        <f>IFERROR(__xludf.DUMMYFUNCTION("GOOGLETRANSLATE(B7261, ""en"", ""fa"")
"),"موفقیت در ای بی")</f>
        <v>موفقیت در ای بی</v>
      </c>
      <c r="G7261" s="1" t="str">
        <f>IFERROR(__xludf.DUMMYFUNCTION("GOOGLETRANSLATE(C7261, ""en"", ""fa"")
"),"مزایای نظارت بر مشارکت و موفقیت رقبای من در تبلیغات و رویدادهای eBay چیست؟")</f>
        <v>مزایای نظارت بر مشارکت و موفقیت رقبای من در تبلیغات و رویدادهای eBay چیست؟</v>
      </c>
      <c r="H7261" s="1"/>
      <c r="I7261" s="1"/>
      <c r="J7261" s="1"/>
      <c r="K7261" s="1"/>
      <c r="L7261" s="1"/>
      <c r="M7261" s="1"/>
      <c r="N7261" s="1"/>
      <c r="O7261" s="1"/>
      <c r="P7261" s="1"/>
      <c r="Q7261" s="1"/>
      <c r="R7261" s="1"/>
      <c r="S7261" s="1"/>
      <c r="T7261" s="1"/>
      <c r="U7261" s="1"/>
      <c r="V7261" s="1"/>
      <c r="W7261" s="1"/>
      <c r="X7261" s="1"/>
      <c r="Y7261" s="1"/>
      <c r="Z7261" s="1"/>
      <c r="AA7261" s="1"/>
      <c r="AB7261" s="1"/>
    </row>
    <row r="7262" ht="50.25" customHeight="1">
      <c r="A7262" s="12">
        <v>7258.0</v>
      </c>
      <c r="B7262" s="13" t="s">
        <v>7028</v>
      </c>
      <c r="C7262" s="14" t="s">
        <v>7286</v>
      </c>
      <c r="D7262" s="1"/>
      <c r="E7262" s="1"/>
      <c r="F7262" s="1" t="str">
        <f>IFERROR(__xludf.DUMMYFUNCTION("GOOGLETRANSLATE(B7262, ""en"", ""fa"")
"),"موفقیت در ای بی")</f>
        <v>موفقیت در ای بی</v>
      </c>
      <c r="G7262" s="1" t="str">
        <f>IFERROR(__xludf.DUMMYFUNCTION("GOOGLETRANSLATE(C7262, ""en"", ""fa"")
"),"چگونه می توانم منابع ترافیک لیست eBay و منابع ارجاع رقبای خود را تجزیه و تحلیل کنم؟")</f>
        <v>چگونه می توانم منابع ترافیک لیست eBay و منابع ارجاع رقبای خود را تجزیه و تحلیل کنم؟</v>
      </c>
      <c r="H7262" s="1"/>
      <c r="I7262" s="1"/>
      <c r="J7262" s="1"/>
      <c r="K7262" s="1"/>
      <c r="L7262" s="1"/>
      <c r="M7262" s="1"/>
      <c r="N7262" s="1"/>
      <c r="O7262" s="1"/>
      <c r="P7262" s="1"/>
      <c r="Q7262" s="1"/>
      <c r="R7262" s="1"/>
      <c r="S7262" s="1"/>
      <c r="T7262" s="1"/>
      <c r="U7262" s="1"/>
      <c r="V7262" s="1"/>
      <c r="W7262" s="1"/>
      <c r="X7262" s="1"/>
      <c r="Y7262" s="1"/>
      <c r="Z7262" s="1"/>
      <c r="AA7262" s="1"/>
      <c r="AB7262" s="1"/>
    </row>
    <row r="7263" ht="50.25" customHeight="1">
      <c r="A7263" s="12">
        <v>7259.0</v>
      </c>
      <c r="B7263" s="13" t="s">
        <v>7028</v>
      </c>
      <c r="C7263" s="14" t="s">
        <v>7287</v>
      </c>
      <c r="D7263" s="1"/>
      <c r="E7263" s="1"/>
      <c r="F7263" s="1" t="str">
        <f>IFERROR(__xludf.DUMMYFUNCTION("GOOGLETRANSLATE(B7263, ""en"", ""fa"")
"),"موفقیت در ای بی")</f>
        <v>موفقیت در ای بی</v>
      </c>
      <c r="G7263" s="1" t="str">
        <f>IFERROR(__xludf.DUMMYFUNCTION("GOOGLETRANSLATE(C7263, ""en"", ""fa"")
"),"چه استراتژی هایی را می توانم برای پیگیری رضایت مشتری و بازخورد رقبای خود در eBay به کار بگیرم؟")</f>
        <v>چه استراتژی هایی را می توانم برای پیگیری رضایت مشتری و بازخورد رقبای خود در eBay به کار بگیرم؟</v>
      </c>
      <c r="H7263" s="1"/>
      <c r="I7263" s="1"/>
      <c r="J7263" s="1"/>
      <c r="K7263" s="1"/>
      <c r="L7263" s="1"/>
      <c r="M7263" s="1"/>
      <c r="N7263" s="1"/>
      <c r="O7263" s="1"/>
      <c r="P7263" s="1"/>
      <c r="Q7263" s="1"/>
      <c r="R7263" s="1"/>
      <c r="S7263" s="1"/>
      <c r="T7263" s="1"/>
      <c r="U7263" s="1"/>
      <c r="V7263" s="1"/>
      <c r="W7263" s="1"/>
      <c r="X7263" s="1"/>
      <c r="Y7263" s="1"/>
      <c r="Z7263" s="1"/>
      <c r="AA7263" s="1"/>
      <c r="AB7263" s="1"/>
    </row>
    <row r="7264" ht="50.25" customHeight="1">
      <c r="A7264" s="12">
        <v>7260.0</v>
      </c>
      <c r="B7264" s="13" t="s">
        <v>7028</v>
      </c>
      <c r="C7264" s="14" t="s">
        <v>7288</v>
      </c>
      <c r="D7264" s="1"/>
      <c r="E7264" s="1"/>
      <c r="F7264" s="1" t="str">
        <f>IFERROR(__xludf.DUMMYFUNCTION("GOOGLETRANSLATE(B7264, ""en"", ""fa"")
"),"موفقیت در ای بی")</f>
        <v>موفقیت در ای بی</v>
      </c>
      <c r="G7264" s="1" t="str">
        <f>IFERROR(__xludf.DUMMYFUNCTION("GOOGLETRANSLATE(C7264, ""en"", ""fa"")
"),"چگونه می توانم گسترش رقبای خود را در کانال های فروش دیگر فراتر از eBay شناسایی کنم؟")</f>
        <v>چگونه می توانم گسترش رقبای خود را در کانال های فروش دیگر فراتر از eBay شناسایی کنم؟</v>
      </c>
      <c r="H7264" s="1"/>
      <c r="I7264" s="1"/>
      <c r="J7264" s="1"/>
      <c r="K7264" s="1"/>
      <c r="L7264" s="1"/>
      <c r="M7264" s="1"/>
      <c r="N7264" s="1"/>
      <c r="O7264" s="1"/>
      <c r="P7264" s="1"/>
      <c r="Q7264" s="1"/>
      <c r="R7264" s="1"/>
      <c r="S7264" s="1"/>
      <c r="T7264" s="1"/>
      <c r="U7264" s="1"/>
      <c r="V7264" s="1"/>
      <c r="W7264" s="1"/>
      <c r="X7264" s="1"/>
      <c r="Y7264" s="1"/>
      <c r="Z7264" s="1"/>
      <c r="AA7264" s="1"/>
      <c r="AB7264" s="1"/>
    </row>
    <row r="7265" ht="50.25" customHeight="1">
      <c r="A7265" s="12">
        <v>7261.0</v>
      </c>
      <c r="B7265" s="13" t="s">
        <v>7028</v>
      </c>
      <c r="C7265" s="14" t="s">
        <v>7289</v>
      </c>
      <c r="D7265" s="1"/>
      <c r="E7265" s="1"/>
      <c r="F7265" s="1" t="str">
        <f>IFERROR(__xludf.DUMMYFUNCTION("GOOGLETRANSLATE(B7265, ""en"", ""fa"")
"),"موفقیت در ای بی")</f>
        <v>موفقیت در ای بی</v>
      </c>
      <c r="G7265" s="1" t="str">
        <f>IFERROR(__xludf.DUMMYFUNCTION("GOOGLETRANSLATE(C7265, ""en"", ""fa"")
"),"فاکتورهای کلیدی برای تجزیه و تحلیل عملکرد رقبای من و سرعت ارسال در eBay چیست؟")</f>
        <v>فاکتورهای کلیدی برای تجزیه و تحلیل عملکرد رقبای من و سرعت ارسال در eBay چیست؟</v>
      </c>
      <c r="H7265" s="1"/>
      <c r="I7265" s="1"/>
      <c r="J7265" s="1"/>
      <c r="K7265" s="1"/>
      <c r="L7265" s="1"/>
      <c r="M7265" s="1"/>
      <c r="N7265" s="1"/>
      <c r="O7265" s="1"/>
      <c r="P7265" s="1"/>
      <c r="Q7265" s="1"/>
      <c r="R7265" s="1"/>
      <c r="S7265" s="1"/>
      <c r="T7265" s="1"/>
      <c r="U7265" s="1"/>
      <c r="V7265" s="1"/>
      <c r="W7265" s="1"/>
      <c r="X7265" s="1"/>
      <c r="Y7265" s="1"/>
      <c r="Z7265" s="1"/>
      <c r="AA7265" s="1"/>
      <c r="AB7265" s="1"/>
    </row>
    <row r="7266" ht="50.25" customHeight="1">
      <c r="A7266" s="12">
        <v>7262.0</v>
      </c>
      <c r="B7266" s="13" t="s">
        <v>7028</v>
      </c>
      <c r="C7266" s="14" t="s">
        <v>7290</v>
      </c>
      <c r="D7266" s="1"/>
      <c r="E7266" s="1"/>
      <c r="F7266" s="1" t="str">
        <f>IFERROR(__xludf.DUMMYFUNCTION("GOOGLETRANSLATE(B7266, ""en"", ""fa"")
"),"موفقیت در ای بی")</f>
        <v>موفقیت در ای بی</v>
      </c>
      <c r="G7266" s="1" t="str">
        <f>IFERROR(__xludf.DUMMYFUNCTION("GOOGLETRANSLATE(C7266, ""en"", ""fa"")
"),"موثرترین استراتژی های بازاریابی برای هدایت ترافیک به لیست های eBay من چیست؟")</f>
        <v>موثرترین استراتژی های بازاریابی برای هدایت ترافیک به لیست های eBay من چیست؟</v>
      </c>
      <c r="H7266" s="1"/>
      <c r="I7266" s="1"/>
      <c r="J7266" s="1"/>
      <c r="K7266" s="1"/>
      <c r="L7266" s="1"/>
      <c r="M7266" s="1"/>
      <c r="N7266" s="1"/>
      <c r="O7266" s="1"/>
      <c r="P7266" s="1"/>
      <c r="Q7266" s="1"/>
      <c r="R7266" s="1"/>
      <c r="S7266" s="1"/>
      <c r="T7266" s="1"/>
      <c r="U7266" s="1"/>
      <c r="V7266" s="1"/>
      <c r="W7266" s="1"/>
      <c r="X7266" s="1"/>
      <c r="Y7266" s="1"/>
      <c r="Z7266" s="1"/>
      <c r="AA7266" s="1"/>
      <c r="AB7266" s="1"/>
    </row>
    <row r="7267" ht="50.25" customHeight="1">
      <c r="A7267" s="12">
        <v>7263.0</v>
      </c>
      <c r="B7267" s="13" t="s">
        <v>7028</v>
      </c>
      <c r="C7267" s="14" t="s">
        <v>7291</v>
      </c>
      <c r="D7267" s="1"/>
      <c r="E7267" s="1"/>
      <c r="F7267" s="1" t="str">
        <f>IFERROR(__xludf.DUMMYFUNCTION("GOOGLETRANSLATE(B7267, ""en"", ""fa"")
"),"موفقیت در ای بی")</f>
        <v>موفقیت در ای بی</v>
      </c>
      <c r="G7267" s="1" t="str">
        <f>IFERROR(__xludf.DUMMYFUNCTION("GOOGLETRANSLATE(C7267, ""en"", ""fa"")
"),"چگونه می توانم از پلتفرم های رسانه های اجتماعی برای تبلیغ محصولات eBay خود استفاده کنم؟")</f>
        <v>چگونه می توانم از پلتفرم های رسانه های اجتماعی برای تبلیغ محصولات eBay خود استفاده کنم؟</v>
      </c>
      <c r="H7267" s="1"/>
      <c r="I7267" s="1"/>
      <c r="J7267" s="1"/>
      <c r="K7267" s="1"/>
      <c r="L7267" s="1"/>
      <c r="M7267" s="1"/>
      <c r="N7267" s="1"/>
      <c r="O7267" s="1"/>
      <c r="P7267" s="1"/>
      <c r="Q7267" s="1"/>
      <c r="R7267" s="1"/>
      <c r="S7267" s="1"/>
      <c r="T7267" s="1"/>
      <c r="U7267" s="1"/>
      <c r="V7267" s="1"/>
      <c r="W7267" s="1"/>
      <c r="X7267" s="1"/>
      <c r="Y7267" s="1"/>
      <c r="Z7267" s="1"/>
      <c r="AA7267" s="1"/>
      <c r="AB7267" s="1"/>
    </row>
    <row r="7268" ht="50.25" customHeight="1">
      <c r="A7268" s="12">
        <v>7264.0</v>
      </c>
      <c r="B7268" s="13" t="s">
        <v>7028</v>
      </c>
      <c r="C7268" s="14" t="s">
        <v>7292</v>
      </c>
      <c r="D7268" s="1"/>
      <c r="E7268" s="1"/>
      <c r="F7268" s="1" t="str">
        <f>IFERROR(__xludf.DUMMYFUNCTION("GOOGLETRANSLATE(B7268, ""en"", ""fa"")
"),"موفقیت در ای بی")</f>
        <v>موفقیت در ای بی</v>
      </c>
      <c r="G7268" s="1" t="str">
        <f>IFERROR(__xludf.DUMMYFUNCTION("GOOGLETRANSLATE(C7268, ""en"", ""fa"")
"),"عناصر کلیدی یک توصیف محصول قانع کننده که می تواند تلاش های بازاریابی در eBay را افزایش دهد چیست؟")</f>
        <v>عناصر کلیدی یک توصیف محصول قانع کننده که می تواند تلاش های بازاریابی در eBay را افزایش دهد چیست؟</v>
      </c>
      <c r="H7268" s="1"/>
      <c r="I7268" s="1"/>
      <c r="J7268" s="1"/>
      <c r="K7268" s="1"/>
      <c r="L7268" s="1"/>
      <c r="M7268" s="1"/>
      <c r="N7268" s="1"/>
      <c r="O7268" s="1"/>
      <c r="P7268" s="1"/>
      <c r="Q7268" s="1"/>
      <c r="R7268" s="1"/>
      <c r="S7268" s="1"/>
      <c r="T7268" s="1"/>
      <c r="U7268" s="1"/>
      <c r="V7268" s="1"/>
      <c r="W7268" s="1"/>
      <c r="X7268" s="1"/>
      <c r="Y7268" s="1"/>
      <c r="Z7268" s="1"/>
      <c r="AA7268" s="1"/>
      <c r="AB7268" s="1"/>
    </row>
    <row r="7269" ht="50.25" customHeight="1">
      <c r="A7269" s="12">
        <v>7265.0</v>
      </c>
      <c r="B7269" s="13" t="s">
        <v>7028</v>
      </c>
      <c r="C7269" s="14" t="s">
        <v>7293</v>
      </c>
      <c r="D7269" s="1"/>
      <c r="E7269" s="1"/>
      <c r="F7269" s="1" t="str">
        <f>IFERROR(__xludf.DUMMYFUNCTION("GOOGLETRANSLATE(B7269, ""en"", ""fa"")
"),"موفقیت در ای بی")</f>
        <v>موفقیت در ای بی</v>
      </c>
      <c r="G7269" s="1" t="str">
        <f>IFERROR(__xludf.DUMMYFUNCTION("GOOGLETRANSLATE(C7269, ""en"", ""fa"")
"),"چگونه می توانم از بازاریابی ایمیلی برای جذب و حفظ مشتریان برای تجارت eBay خود استفاده کنم؟")</f>
        <v>چگونه می توانم از بازاریابی ایمیلی برای جذب و حفظ مشتریان برای تجارت eBay خود استفاده کنم؟</v>
      </c>
      <c r="H7269" s="1"/>
      <c r="I7269" s="1"/>
      <c r="J7269" s="1"/>
      <c r="K7269" s="1"/>
      <c r="L7269" s="1"/>
      <c r="M7269" s="1"/>
      <c r="N7269" s="1"/>
      <c r="O7269" s="1"/>
      <c r="P7269" s="1"/>
      <c r="Q7269" s="1"/>
      <c r="R7269" s="1"/>
      <c r="S7269" s="1"/>
      <c r="T7269" s="1"/>
      <c r="U7269" s="1"/>
      <c r="V7269" s="1"/>
      <c r="W7269" s="1"/>
      <c r="X7269" s="1"/>
      <c r="Y7269" s="1"/>
      <c r="Z7269" s="1"/>
      <c r="AA7269" s="1"/>
      <c r="AB7269" s="1"/>
    </row>
    <row r="7270" ht="50.25" customHeight="1">
      <c r="A7270" s="12">
        <v>7266.0</v>
      </c>
      <c r="B7270" s="13" t="s">
        <v>7028</v>
      </c>
      <c r="C7270" s="14" t="s">
        <v>7294</v>
      </c>
      <c r="D7270" s="1"/>
      <c r="E7270" s="1"/>
      <c r="F7270" s="1" t="str">
        <f>IFERROR(__xludf.DUMMYFUNCTION("GOOGLETRANSLATE(B7270, ""en"", ""fa"")
"),"موفقیت در ای بی")</f>
        <v>موفقیت در ای بی</v>
      </c>
      <c r="G7270" s="1" t="str">
        <f>IFERROR(__xludf.DUMMYFUNCTION("GOOGLETRANSLATE(C7270, ""en"", ""fa"")
"),"از چه استراتژی هایی می توانم برای ایجاد تصاویر جذاب و بصری محصول برای بازاریابی eBay استفاده کنم؟")</f>
        <v>از چه استراتژی هایی می توانم برای ایجاد تصاویر جذاب و بصری محصول برای بازاریابی eBay استفاده کنم؟</v>
      </c>
      <c r="H7270" s="1"/>
      <c r="I7270" s="1"/>
      <c r="J7270" s="1"/>
      <c r="K7270" s="1"/>
      <c r="L7270" s="1"/>
      <c r="M7270" s="1"/>
      <c r="N7270" s="1"/>
      <c r="O7270" s="1"/>
      <c r="P7270" s="1"/>
      <c r="Q7270" s="1"/>
      <c r="R7270" s="1"/>
      <c r="S7270" s="1"/>
      <c r="T7270" s="1"/>
      <c r="U7270" s="1"/>
      <c r="V7270" s="1"/>
      <c r="W7270" s="1"/>
      <c r="X7270" s="1"/>
      <c r="Y7270" s="1"/>
      <c r="Z7270" s="1"/>
      <c r="AA7270" s="1"/>
      <c r="AB7270" s="1"/>
    </row>
    <row r="7271" ht="50.25" customHeight="1">
      <c r="A7271" s="12">
        <v>7267.0</v>
      </c>
      <c r="B7271" s="13" t="s">
        <v>7028</v>
      </c>
      <c r="C7271" s="14" t="s">
        <v>7295</v>
      </c>
      <c r="D7271" s="1"/>
      <c r="E7271" s="1"/>
      <c r="F7271" s="1" t="str">
        <f>IFERROR(__xludf.DUMMYFUNCTION("GOOGLETRANSLATE(B7271, ""en"", ""fa"")
"),"موفقیت در ای بی")</f>
        <v>موفقیت در ای بی</v>
      </c>
      <c r="G7271" s="1" t="str">
        <f>IFERROR(__xludf.DUMMYFUNCTION("GOOGLETRANSLATE(C7271, ""en"", ""fa"")
"),"چگونه می توانم از اینفلوئنسر مارکتینگ برای افزایش دیده شدن برند و فروش در eBay استفاده کنم؟")</f>
        <v>چگونه می توانم از اینفلوئنسر مارکتینگ برای افزایش دیده شدن برند و فروش در eBay استفاده کنم؟</v>
      </c>
      <c r="H7271" s="1"/>
      <c r="I7271" s="1"/>
      <c r="J7271" s="1"/>
      <c r="K7271" s="1"/>
      <c r="L7271" s="1"/>
      <c r="M7271" s="1"/>
      <c r="N7271" s="1"/>
      <c r="O7271" s="1"/>
      <c r="P7271" s="1"/>
      <c r="Q7271" s="1"/>
      <c r="R7271" s="1"/>
      <c r="S7271" s="1"/>
      <c r="T7271" s="1"/>
      <c r="U7271" s="1"/>
      <c r="V7271" s="1"/>
      <c r="W7271" s="1"/>
      <c r="X7271" s="1"/>
      <c r="Y7271" s="1"/>
      <c r="Z7271" s="1"/>
      <c r="AA7271" s="1"/>
      <c r="AB7271" s="1"/>
    </row>
    <row r="7272" ht="50.25" customHeight="1">
      <c r="A7272" s="12">
        <v>7268.0</v>
      </c>
      <c r="B7272" s="13" t="s">
        <v>7028</v>
      </c>
      <c r="C7272" s="14" t="s">
        <v>7296</v>
      </c>
      <c r="D7272" s="1"/>
      <c r="E7272" s="1"/>
      <c r="F7272" s="1" t="str">
        <f>IFERROR(__xludf.DUMMYFUNCTION("GOOGLETRANSLATE(B7272, ""en"", ""fa"")
"),"موفقیت در ای بی")</f>
        <v>موفقیت در ای بی</v>
      </c>
      <c r="G7272" s="1" t="str">
        <f>IFERROR(__xludf.DUMMYFUNCTION("GOOGLETRANSLATE(C7272, ""en"", ""fa"")
"),"مزایای استفاده از گزینه های تبلیغات پولی در eBay برای تبلیغ لیست من چیست؟")</f>
        <v>مزایای استفاده از گزینه های تبلیغات پولی در eBay برای تبلیغ لیست من چیست؟</v>
      </c>
      <c r="H7272" s="1"/>
      <c r="I7272" s="1"/>
      <c r="J7272" s="1"/>
      <c r="K7272" s="1"/>
      <c r="L7272" s="1"/>
      <c r="M7272" s="1"/>
      <c r="N7272" s="1"/>
      <c r="O7272" s="1"/>
      <c r="P7272" s="1"/>
      <c r="Q7272" s="1"/>
      <c r="R7272" s="1"/>
      <c r="S7272" s="1"/>
      <c r="T7272" s="1"/>
      <c r="U7272" s="1"/>
      <c r="V7272" s="1"/>
      <c r="W7272" s="1"/>
      <c r="X7272" s="1"/>
      <c r="Y7272" s="1"/>
      <c r="Z7272" s="1"/>
      <c r="AA7272" s="1"/>
      <c r="AB7272" s="1"/>
    </row>
    <row r="7273" ht="50.25" customHeight="1">
      <c r="A7273" s="12">
        <v>7269.0</v>
      </c>
      <c r="B7273" s="13" t="s">
        <v>7028</v>
      </c>
      <c r="C7273" s="14" t="s">
        <v>7297</v>
      </c>
      <c r="D7273" s="1"/>
      <c r="E7273" s="1"/>
      <c r="F7273" s="1" t="str">
        <f>IFERROR(__xludf.DUMMYFUNCTION("GOOGLETRANSLATE(B7273, ""en"", ""fa"")
"),"موفقیت در ای بی")</f>
        <v>موفقیت در ای بی</v>
      </c>
      <c r="G7273" s="1" t="str">
        <f>IFERROR(__xludf.DUMMYFUNCTION("GOOGLETRANSLATE(C7273, ""en"", ""fa"")
"),"چگونه می توانم طراحی و چیدمان فروشگاه eBay خود را برای بازاریابی و تبلیغات موثر بهینه کنم؟")</f>
        <v>چگونه می توانم طراحی و چیدمان فروشگاه eBay خود را برای بازاریابی و تبلیغات موثر بهینه کنم؟</v>
      </c>
      <c r="H7273" s="1"/>
      <c r="I7273" s="1"/>
      <c r="J7273" s="1"/>
      <c r="K7273" s="1"/>
      <c r="L7273" s="1"/>
      <c r="M7273" s="1"/>
      <c r="N7273" s="1"/>
      <c r="O7273" s="1"/>
      <c r="P7273" s="1"/>
      <c r="Q7273" s="1"/>
      <c r="R7273" s="1"/>
      <c r="S7273" s="1"/>
      <c r="T7273" s="1"/>
      <c r="U7273" s="1"/>
      <c r="V7273" s="1"/>
      <c r="W7273" s="1"/>
      <c r="X7273" s="1"/>
      <c r="Y7273" s="1"/>
      <c r="Z7273" s="1"/>
      <c r="AA7273" s="1"/>
      <c r="AB7273" s="1"/>
    </row>
    <row r="7274" ht="50.25" customHeight="1">
      <c r="A7274" s="12">
        <v>7270.0</v>
      </c>
      <c r="B7274" s="13" t="s">
        <v>7028</v>
      </c>
      <c r="C7274" s="14" t="s">
        <v>7298</v>
      </c>
      <c r="D7274" s="1"/>
      <c r="E7274" s="1"/>
      <c r="F7274" s="1" t="str">
        <f>IFERROR(__xludf.DUMMYFUNCTION("GOOGLETRANSLATE(B7274, ""en"", ""fa"")
"),"موفقیت در ای بی")</f>
        <v>موفقیت در ای بی</v>
      </c>
      <c r="G7274" s="1" t="str">
        <f>IFERROR(__xludf.DUMMYFUNCTION("GOOGLETRANSLATE(C7274, ""en"", ""fa"")
"),"از چه استراتژی هایی می توانم برای ایجاد و بهینه سازی صفحات فرود eBay برای کمپین های بازاریابی خاص استفاده کنم؟")</f>
        <v>از چه استراتژی هایی می توانم برای ایجاد و بهینه سازی صفحات فرود eBay برای کمپین های بازاریابی خاص استفاده کنم؟</v>
      </c>
      <c r="H7274" s="1"/>
      <c r="I7274" s="1"/>
      <c r="J7274" s="1"/>
      <c r="K7274" s="1"/>
      <c r="L7274" s="1"/>
      <c r="M7274" s="1"/>
      <c r="N7274" s="1"/>
      <c r="O7274" s="1"/>
      <c r="P7274" s="1"/>
      <c r="Q7274" s="1"/>
      <c r="R7274" s="1"/>
      <c r="S7274" s="1"/>
      <c r="T7274" s="1"/>
      <c r="U7274" s="1"/>
      <c r="V7274" s="1"/>
      <c r="W7274" s="1"/>
      <c r="X7274" s="1"/>
      <c r="Y7274" s="1"/>
      <c r="Z7274" s="1"/>
      <c r="AA7274" s="1"/>
      <c r="AB7274" s="1"/>
    </row>
    <row r="7275" ht="50.25" customHeight="1">
      <c r="A7275" s="12">
        <v>7271.0</v>
      </c>
      <c r="B7275" s="13" t="s">
        <v>7028</v>
      </c>
      <c r="C7275" s="14" t="s">
        <v>7299</v>
      </c>
      <c r="D7275" s="1"/>
      <c r="E7275" s="1"/>
      <c r="F7275" s="1" t="str">
        <f>IFERROR(__xludf.DUMMYFUNCTION("GOOGLETRANSLATE(B7275, ""en"", ""fa"")
"),"موفقیت در ای بی")</f>
        <v>موفقیت در ای بی</v>
      </c>
      <c r="G7275" s="1" t="str">
        <f>IFERROR(__xludf.DUMMYFUNCTION("GOOGLETRANSLATE(C7275, ""en"", ""fa"")
"),"چگونه می توانم از نظرات و توصیفات مشتریان برای افزایش تلاش های بازاریابی در eBay استفاده کنم؟")</f>
        <v>چگونه می توانم از نظرات و توصیفات مشتریان برای افزایش تلاش های بازاریابی در eBay استفاده کنم؟</v>
      </c>
      <c r="H7275" s="1"/>
      <c r="I7275" s="1"/>
      <c r="J7275" s="1"/>
      <c r="K7275" s="1"/>
      <c r="L7275" s="1"/>
      <c r="M7275" s="1"/>
      <c r="N7275" s="1"/>
      <c r="O7275" s="1"/>
      <c r="P7275" s="1"/>
      <c r="Q7275" s="1"/>
      <c r="R7275" s="1"/>
      <c r="S7275" s="1"/>
      <c r="T7275" s="1"/>
      <c r="U7275" s="1"/>
      <c r="V7275" s="1"/>
      <c r="W7275" s="1"/>
      <c r="X7275" s="1"/>
      <c r="Y7275" s="1"/>
      <c r="Z7275" s="1"/>
      <c r="AA7275" s="1"/>
      <c r="AB7275" s="1"/>
    </row>
    <row r="7276" ht="50.25" customHeight="1">
      <c r="A7276" s="12">
        <v>7272.0</v>
      </c>
      <c r="B7276" s="13" t="s">
        <v>7028</v>
      </c>
      <c r="C7276" s="14" t="s">
        <v>7300</v>
      </c>
      <c r="D7276" s="1"/>
      <c r="E7276" s="1"/>
      <c r="F7276" s="1" t="str">
        <f>IFERROR(__xludf.DUMMYFUNCTION("GOOGLETRANSLATE(B7276, ""en"", ""fa"")
"),"موفقیت در ای بی")</f>
        <v>موفقیت در ای بی</v>
      </c>
      <c r="G7276" s="1" t="str">
        <f>IFERROR(__xludf.DUMMYFUNCTION("GOOGLETRANSLATE(C7276, ""en"", ""fa"")
"),"مولفه های کلیدی یک کمپین بازاریابی ایمیلی موفق برای تبلیغ لیست های eBay چیست؟")</f>
        <v>مولفه های کلیدی یک کمپین بازاریابی ایمیلی موفق برای تبلیغ لیست های eBay چیست؟</v>
      </c>
      <c r="H7276" s="1"/>
      <c r="I7276" s="1"/>
      <c r="J7276" s="1"/>
      <c r="K7276" s="1"/>
      <c r="L7276" s="1"/>
      <c r="M7276" s="1"/>
      <c r="N7276" s="1"/>
      <c r="O7276" s="1"/>
      <c r="P7276" s="1"/>
      <c r="Q7276" s="1"/>
      <c r="R7276" s="1"/>
      <c r="S7276" s="1"/>
      <c r="T7276" s="1"/>
      <c r="U7276" s="1"/>
      <c r="V7276" s="1"/>
      <c r="W7276" s="1"/>
      <c r="X7276" s="1"/>
      <c r="Y7276" s="1"/>
      <c r="Z7276" s="1"/>
      <c r="AA7276" s="1"/>
      <c r="AB7276" s="1"/>
    </row>
    <row r="7277" ht="50.25" customHeight="1">
      <c r="A7277" s="12">
        <v>7273.0</v>
      </c>
      <c r="B7277" s="13" t="s">
        <v>7028</v>
      </c>
      <c r="C7277" s="14" t="s">
        <v>7301</v>
      </c>
      <c r="D7277" s="1"/>
      <c r="E7277" s="1"/>
      <c r="F7277" s="1" t="str">
        <f>IFERROR(__xludf.DUMMYFUNCTION("GOOGLETRANSLATE(B7277, ""en"", ""fa"")
"),"موفقیت در ای بی")</f>
        <v>موفقیت در ای بی</v>
      </c>
      <c r="G7277" s="1" t="str">
        <f>IFERROR(__xludf.DUMMYFUNCTION("GOOGLETRANSLATE(C7277, ""en"", ""fa"")
"),"چگونه می توانم به طور موثر از بازاریابی ویدئویی برای نمایش و تبلیغ محصولات eBay خود استفاده کنم؟")</f>
        <v>چگونه می توانم به طور موثر از بازاریابی ویدئویی برای نمایش و تبلیغ محصولات eBay خود استفاده کنم؟</v>
      </c>
      <c r="H7277" s="1"/>
      <c r="I7277" s="1"/>
      <c r="J7277" s="1"/>
      <c r="K7277" s="1"/>
      <c r="L7277" s="1"/>
      <c r="M7277" s="1"/>
      <c r="N7277" s="1"/>
      <c r="O7277" s="1"/>
      <c r="P7277" s="1"/>
      <c r="Q7277" s="1"/>
      <c r="R7277" s="1"/>
      <c r="S7277" s="1"/>
      <c r="T7277" s="1"/>
      <c r="U7277" s="1"/>
      <c r="V7277" s="1"/>
      <c r="W7277" s="1"/>
      <c r="X7277" s="1"/>
      <c r="Y7277" s="1"/>
      <c r="Z7277" s="1"/>
      <c r="AA7277" s="1"/>
      <c r="AB7277" s="1"/>
    </row>
    <row r="7278" ht="50.25" customHeight="1">
      <c r="A7278" s="12">
        <v>7274.0</v>
      </c>
      <c r="B7278" s="13" t="s">
        <v>7028</v>
      </c>
      <c r="C7278" s="14" t="s">
        <v>7302</v>
      </c>
      <c r="D7278" s="1"/>
      <c r="E7278" s="1"/>
      <c r="F7278" s="1" t="str">
        <f>IFERROR(__xludf.DUMMYFUNCTION("GOOGLETRANSLATE(B7278, ""en"", ""fa"")
"),"موفقیت در ای بی")</f>
        <v>موفقیت در ای بی</v>
      </c>
      <c r="G7278" s="1" t="str">
        <f>IFERROR(__xludf.DUMMYFUNCTION("GOOGLETRANSLATE(C7278, ""en"", ""fa"")
"),"چه استراتژی هایی را می توانم برای همکاری با سایر فروشندگان eBay برای تبلیغات متقابل و تلاش های بازاریابی مشترک به کار بگیرم؟")</f>
        <v>چه استراتژی هایی را می توانم برای همکاری با سایر فروشندگان eBay برای تبلیغات متقابل و تلاش های بازاریابی مشترک به کار بگیرم؟</v>
      </c>
      <c r="H7278" s="1"/>
      <c r="I7278" s="1"/>
      <c r="J7278" s="1"/>
      <c r="K7278" s="1"/>
      <c r="L7278" s="1"/>
      <c r="M7278" s="1"/>
      <c r="N7278" s="1"/>
      <c r="O7278" s="1"/>
      <c r="P7278" s="1"/>
      <c r="Q7278" s="1"/>
      <c r="R7278" s="1"/>
      <c r="S7278" s="1"/>
      <c r="T7278" s="1"/>
      <c r="U7278" s="1"/>
      <c r="V7278" s="1"/>
      <c r="W7278" s="1"/>
      <c r="X7278" s="1"/>
      <c r="Y7278" s="1"/>
      <c r="Z7278" s="1"/>
      <c r="AA7278" s="1"/>
      <c r="AB7278" s="1"/>
    </row>
    <row r="7279" ht="50.25" customHeight="1">
      <c r="A7279" s="12">
        <v>7275.0</v>
      </c>
      <c r="B7279" s="13" t="s">
        <v>7028</v>
      </c>
      <c r="C7279" s="14" t="s">
        <v>7303</v>
      </c>
      <c r="D7279" s="1"/>
      <c r="E7279" s="1"/>
      <c r="F7279" s="1" t="str">
        <f>IFERROR(__xludf.DUMMYFUNCTION("GOOGLETRANSLATE(B7279, ""en"", ""fa"")
"),"موفقیت در ای بی")</f>
        <v>موفقیت در ای بی</v>
      </c>
      <c r="G7279" s="1" t="str">
        <f>IFERROR(__xludf.DUMMYFUNCTION("GOOGLETRANSLATE(C7279, ""en"", ""fa"")
"),"چگونه می توانم از بازاریابی محتوا، مانند وبلاگ نویسی یا پست مهمان، برای تبلیغ کسب و کار خود در eBay استفاده کنم؟")</f>
        <v>چگونه می توانم از بازاریابی محتوا، مانند وبلاگ نویسی یا پست مهمان، برای تبلیغ کسب و کار خود در eBay استفاده کنم؟</v>
      </c>
      <c r="H7279" s="1"/>
      <c r="I7279" s="1"/>
      <c r="J7279" s="1"/>
      <c r="K7279" s="1"/>
      <c r="L7279" s="1"/>
      <c r="M7279" s="1"/>
      <c r="N7279" s="1"/>
      <c r="O7279" s="1"/>
      <c r="P7279" s="1"/>
      <c r="Q7279" s="1"/>
      <c r="R7279" s="1"/>
      <c r="S7279" s="1"/>
      <c r="T7279" s="1"/>
      <c r="U7279" s="1"/>
      <c r="V7279" s="1"/>
      <c r="W7279" s="1"/>
      <c r="X7279" s="1"/>
      <c r="Y7279" s="1"/>
      <c r="Z7279" s="1"/>
      <c r="AA7279" s="1"/>
      <c r="AB7279" s="1"/>
    </row>
    <row r="7280" ht="50.25" customHeight="1">
      <c r="A7280" s="12">
        <v>7276.0</v>
      </c>
      <c r="B7280" s="13" t="s">
        <v>7028</v>
      </c>
      <c r="C7280" s="14" t="s">
        <v>7304</v>
      </c>
      <c r="D7280" s="1"/>
      <c r="E7280" s="1"/>
      <c r="F7280" s="1" t="str">
        <f>IFERROR(__xludf.DUMMYFUNCTION("GOOGLETRANSLATE(B7280, ""en"", ""fa"")
"),"موفقیت در ای بی")</f>
        <v>موفقیت در ای بی</v>
      </c>
      <c r="G7280" s="1" t="str">
        <f>IFERROR(__xludf.DUMMYFUNCTION("GOOGLETRANSLATE(C7280, ""en"", ""fa"")
"),"مزایای شرکت در رویدادها و کمپین های تبلیغاتی eBay برای اهداف بازاریابی چیست؟")</f>
        <v>مزایای شرکت در رویدادها و کمپین های تبلیغاتی eBay برای اهداف بازاریابی چیست؟</v>
      </c>
      <c r="H7280" s="1"/>
      <c r="I7280" s="1"/>
      <c r="J7280" s="1"/>
      <c r="K7280" s="1"/>
      <c r="L7280" s="1"/>
      <c r="M7280" s="1"/>
      <c r="N7280" s="1"/>
      <c r="O7280" s="1"/>
      <c r="P7280" s="1"/>
      <c r="Q7280" s="1"/>
      <c r="R7280" s="1"/>
      <c r="S7280" s="1"/>
      <c r="T7280" s="1"/>
      <c r="U7280" s="1"/>
      <c r="V7280" s="1"/>
      <c r="W7280" s="1"/>
      <c r="X7280" s="1"/>
      <c r="Y7280" s="1"/>
      <c r="Z7280" s="1"/>
      <c r="AA7280" s="1"/>
      <c r="AB7280" s="1"/>
    </row>
    <row r="7281" ht="50.25" customHeight="1">
      <c r="A7281" s="12">
        <v>7277.0</v>
      </c>
      <c r="B7281" s="13" t="s">
        <v>7028</v>
      </c>
      <c r="C7281" s="14" t="s">
        <v>7305</v>
      </c>
      <c r="D7281" s="1"/>
      <c r="E7281" s="1"/>
      <c r="F7281" s="1" t="str">
        <f>IFERROR(__xludf.DUMMYFUNCTION("GOOGLETRANSLATE(B7281, ""en"", ""fa"")
"),"موفقیت در ای بی")</f>
        <v>موفقیت در ای بی</v>
      </c>
      <c r="G7281" s="1" t="str">
        <f>IFERROR(__xludf.DUMMYFUNCTION("GOOGLETRANSLATE(C7281, ""en"", ""fa"")
"),"چگونه می توانم لیست های eBay خود را برای موتورهای جستجو بهینه کنم تا دید و ترافیک ارگانیک را افزایش دهم؟")</f>
        <v>چگونه می توانم لیست های eBay خود را برای موتورهای جستجو بهینه کنم تا دید و ترافیک ارگانیک را افزایش دهم؟</v>
      </c>
      <c r="H7281" s="1"/>
      <c r="I7281" s="1"/>
      <c r="J7281" s="1"/>
      <c r="K7281" s="1"/>
      <c r="L7281" s="1"/>
      <c r="M7281" s="1"/>
      <c r="N7281" s="1"/>
      <c r="O7281" s="1"/>
      <c r="P7281" s="1"/>
      <c r="Q7281" s="1"/>
      <c r="R7281" s="1"/>
      <c r="S7281" s="1"/>
      <c r="T7281" s="1"/>
      <c r="U7281" s="1"/>
      <c r="V7281" s="1"/>
      <c r="W7281" s="1"/>
      <c r="X7281" s="1"/>
      <c r="Y7281" s="1"/>
      <c r="Z7281" s="1"/>
      <c r="AA7281" s="1"/>
      <c r="AB7281" s="1"/>
    </row>
    <row r="7282" ht="50.25" customHeight="1">
      <c r="A7282" s="12">
        <v>7278.0</v>
      </c>
      <c r="B7282" s="13" t="s">
        <v>7028</v>
      </c>
      <c r="C7282" s="14" t="s">
        <v>7306</v>
      </c>
      <c r="D7282" s="1"/>
      <c r="E7282" s="1"/>
      <c r="F7282" s="1" t="str">
        <f>IFERROR(__xludf.DUMMYFUNCTION("GOOGLETRANSLATE(B7282, ""en"", ""fa"")
"),"موفقیت در ای بی")</f>
        <v>موفقیت در ای بی</v>
      </c>
      <c r="G7282" s="1" t="str">
        <f>IFERROR(__xludf.DUMMYFUNCTION("GOOGLETRANSLATE(C7282, ""en"", ""fa"")
"),"از چه استراتژی هایی می توانم برای اجرای برنامه های بازاریابی وابسته برای تبلیغ لیست های خود در eBay استفاده کنم؟")</f>
        <v>از چه استراتژی هایی می توانم برای اجرای برنامه های بازاریابی وابسته برای تبلیغ لیست های خود در eBay استفاده کنم؟</v>
      </c>
      <c r="H7282" s="1"/>
      <c r="I7282" s="1"/>
      <c r="J7282" s="1"/>
      <c r="K7282" s="1"/>
      <c r="L7282" s="1"/>
      <c r="M7282" s="1"/>
      <c r="N7282" s="1"/>
      <c r="O7282" s="1"/>
      <c r="P7282" s="1"/>
      <c r="Q7282" s="1"/>
      <c r="R7282" s="1"/>
      <c r="S7282" s="1"/>
      <c r="T7282" s="1"/>
      <c r="U7282" s="1"/>
      <c r="V7282" s="1"/>
      <c r="W7282" s="1"/>
      <c r="X7282" s="1"/>
      <c r="Y7282" s="1"/>
      <c r="Z7282" s="1"/>
      <c r="AA7282" s="1"/>
      <c r="AB7282" s="1"/>
    </row>
    <row r="7283" ht="50.25" customHeight="1">
      <c r="A7283" s="12">
        <v>7279.0</v>
      </c>
      <c r="B7283" s="13" t="s">
        <v>7028</v>
      </c>
      <c r="C7283" s="14" t="s">
        <v>7307</v>
      </c>
      <c r="D7283" s="1"/>
      <c r="E7283" s="1"/>
      <c r="F7283" s="1" t="str">
        <f>IFERROR(__xludf.DUMMYFUNCTION("GOOGLETRANSLATE(B7283, ""en"", ""fa"")
"),"موفقیت در ای بی")</f>
        <v>موفقیت در ای بی</v>
      </c>
      <c r="G7283" s="1" t="str">
        <f>IFERROR(__xludf.DUMMYFUNCTION("GOOGLETRANSLATE(C7283, ""en"", ""fa"")
"),"چگونه می توانم از تقسیم بندی مشتری و بازاریابی هدفمند برای به حداکثر رساندن فروش eBay استفاده کنم؟")</f>
        <v>چگونه می توانم از تقسیم بندی مشتری و بازاریابی هدفمند برای به حداکثر رساندن فروش eBay استفاده کنم؟</v>
      </c>
      <c r="H7283" s="1"/>
      <c r="I7283" s="1"/>
      <c r="J7283" s="1"/>
      <c r="K7283" s="1"/>
      <c r="L7283" s="1"/>
      <c r="M7283" s="1"/>
      <c r="N7283" s="1"/>
      <c r="O7283" s="1"/>
      <c r="P7283" s="1"/>
      <c r="Q7283" s="1"/>
      <c r="R7283" s="1"/>
      <c r="S7283" s="1"/>
      <c r="T7283" s="1"/>
      <c r="U7283" s="1"/>
      <c r="V7283" s="1"/>
      <c r="W7283" s="1"/>
      <c r="X7283" s="1"/>
      <c r="Y7283" s="1"/>
      <c r="Z7283" s="1"/>
      <c r="AA7283" s="1"/>
      <c r="AB7283" s="1"/>
    </row>
    <row r="7284" ht="50.25" customHeight="1">
      <c r="A7284" s="12">
        <v>7280.0</v>
      </c>
      <c r="B7284" s="13" t="s">
        <v>7028</v>
      </c>
      <c r="C7284" s="14" t="s">
        <v>7308</v>
      </c>
      <c r="D7284" s="1"/>
      <c r="E7284" s="1"/>
      <c r="F7284" s="1" t="str">
        <f>IFERROR(__xludf.DUMMYFUNCTION("GOOGLETRANSLATE(B7284, ""en"", ""fa"")
"),"موفقیت در ای بی")</f>
        <v>موفقیت در ای بی</v>
      </c>
      <c r="G7284" s="1" t="str">
        <f>IFERROR(__xludf.DUMMYFUNCTION("GOOGLETRANSLATE(C7284, ""en"", ""fa"")
"),"عناصر کلیدی یک فراخوان برای اقدام موثر (CTA) برای ایجاد تبدیل در بازاریابی eBay چیست؟")</f>
        <v>عناصر کلیدی یک فراخوان برای اقدام موثر (CTA) برای ایجاد تبدیل در بازاریابی eBay چیست؟</v>
      </c>
      <c r="H7284" s="1"/>
      <c r="I7284" s="1"/>
      <c r="J7284" s="1"/>
      <c r="K7284" s="1"/>
      <c r="L7284" s="1"/>
      <c r="M7284" s="1"/>
      <c r="N7284" s="1"/>
      <c r="O7284" s="1"/>
      <c r="P7284" s="1"/>
      <c r="Q7284" s="1"/>
      <c r="R7284" s="1"/>
      <c r="S7284" s="1"/>
      <c r="T7284" s="1"/>
      <c r="U7284" s="1"/>
      <c r="V7284" s="1"/>
      <c r="W7284" s="1"/>
      <c r="X7284" s="1"/>
      <c r="Y7284" s="1"/>
      <c r="Z7284" s="1"/>
      <c r="AA7284" s="1"/>
      <c r="AB7284" s="1"/>
    </row>
    <row r="7285" ht="50.25" customHeight="1">
      <c r="A7285" s="12">
        <v>7281.0</v>
      </c>
      <c r="B7285" s="13" t="s">
        <v>7028</v>
      </c>
      <c r="C7285" s="14" t="s">
        <v>7309</v>
      </c>
      <c r="D7285" s="1"/>
      <c r="E7285" s="1"/>
      <c r="F7285" s="1" t="str">
        <f>IFERROR(__xludf.DUMMYFUNCTION("GOOGLETRANSLATE(B7285, ""en"", ""fa"")
"),"موفقیت در ای بی")</f>
        <v>موفقیت در ای بی</v>
      </c>
      <c r="G7285" s="1" t="str">
        <f>IFERROR(__xludf.DUMMYFUNCTION("GOOGLETRANSLATE(C7285, ""en"", ""fa"")
"),"چگونه می توانم از تکنیک های بازاریابی مجدد و هدف گذاری مجدد برای جذب مجدد مشتریان بالقوه eBay استفاده کنم؟")</f>
        <v>چگونه می توانم از تکنیک های بازاریابی مجدد و هدف گذاری مجدد برای جذب مجدد مشتریان بالقوه eBay استفاده کنم؟</v>
      </c>
      <c r="H7285" s="1"/>
      <c r="I7285" s="1"/>
      <c r="J7285" s="1"/>
      <c r="K7285" s="1"/>
      <c r="L7285" s="1"/>
      <c r="M7285" s="1"/>
      <c r="N7285" s="1"/>
      <c r="O7285" s="1"/>
      <c r="P7285" s="1"/>
      <c r="Q7285" s="1"/>
      <c r="R7285" s="1"/>
      <c r="S7285" s="1"/>
      <c r="T7285" s="1"/>
      <c r="U7285" s="1"/>
      <c r="V7285" s="1"/>
      <c r="W7285" s="1"/>
      <c r="X7285" s="1"/>
      <c r="Y7285" s="1"/>
      <c r="Z7285" s="1"/>
      <c r="AA7285" s="1"/>
      <c r="AB7285" s="1"/>
    </row>
    <row r="7286" ht="50.25" customHeight="1">
      <c r="A7286" s="12">
        <v>7282.0</v>
      </c>
      <c r="B7286" s="13" t="s">
        <v>7028</v>
      </c>
      <c r="C7286" s="14" t="s">
        <v>7310</v>
      </c>
      <c r="D7286" s="1"/>
      <c r="E7286" s="1"/>
      <c r="F7286" s="1" t="str">
        <f>IFERROR(__xludf.DUMMYFUNCTION("GOOGLETRANSLATE(B7286, ""en"", ""fa"")
"),"موفقیت در ای بی")</f>
        <v>موفقیت در ای بی</v>
      </c>
      <c r="G7286" s="1" t="str">
        <f>IFERROR(__xludf.DUMMYFUNCTION("GOOGLETRANSLATE(C7286, ""en"", ""fa"")
"),"چه استراتژی هایی را می توانم به کار بگیرم تا عناوین لیست eBay قانع کننده و متقاعدکننده برای بازاریابی موثر ایجاد کنم؟")</f>
        <v>چه استراتژی هایی را می توانم به کار بگیرم تا عناوین لیست eBay قانع کننده و متقاعدکننده برای بازاریابی موثر ایجاد کنم؟</v>
      </c>
      <c r="H7286" s="1"/>
      <c r="I7286" s="1"/>
      <c r="J7286" s="1"/>
      <c r="K7286" s="1"/>
      <c r="L7286" s="1"/>
      <c r="M7286" s="1"/>
      <c r="N7286" s="1"/>
      <c r="O7286" s="1"/>
      <c r="P7286" s="1"/>
      <c r="Q7286" s="1"/>
      <c r="R7286" s="1"/>
      <c r="S7286" s="1"/>
      <c r="T7286" s="1"/>
      <c r="U7286" s="1"/>
      <c r="V7286" s="1"/>
      <c r="W7286" s="1"/>
      <c r="X7286" s="1"/>
      <c r="Y7286" s="1"/>
      <c r="Z7286" s="1"/>
      <c r="AA7286" s="1"/>
      <c r="AB7286" s="1"/>
    </row>
    <row r="7287" ht="50.25" customHeight="1">
      <c r="A7287" s="12">
        <v>7283.0</v>
      </c>
      <c r="B7287" s="13" t="s">
        <v>7028</v>
      </c>
      <c r="C7287" s="14" t="s">
        <v>7311</v>
      </c>
      <c r="D7287" s="1"/>
      <c r="E7287" s="1"/>
      <c r="F7287" s="1" t="str">
        <f>IFERROR(__xludf.DUMMYFUNCTION("GOOGLETRANSLATE(B7287, ""en"", ""fa"")
"),"موفقیت در ای بی")</f>
        <v>موفقیت در ای بی</v>
      </c>
      <c r="G7287" s="1" t="str">
        <f>IFERROR(__xludf.DUMMYFUNCTION("GOOGLETRANSLATE(C7287, ""en"", ""fa"")
"),"چگونه می توانم به طور موثر از اثبات اجتماعی، مانند توصیفات مشتری و رتبه بندی، برای تقویت تلاش های بازاریابی eBay استفاده کنم؟")</f>
        <v>چگونه می توانم به طور موثر از اثبات اجتماعی، مانند توصیفات مشتری و رتبه بندی، برای تقویت تلاش های بازاریابی eBay استفاده کنم؟</v>
      </c>
      <c r="H7287" s="1"/>
      <c r="I7287" s="1"/>
      <c r="J7287" s="1"/>
      <c r="K7287" s="1"/>
      <c r="L7287" s="1"/>
      <c r="M7287" s="1"/>
      <c r="N7287" s="1"/>
      <c r="O7287" s="1"/>
      <c r="P7287" s="1"/>
      <c r="Q7287" s="1"/>
      <c r="R7287" s="1"/>
      <c r="S7287" s="1"/>
      <c r="T7287" s="1"/>
      <c r="U7287" s="1"/>
      <c r="V7287" s="1"/>
      <c r="W7287" s="1"/>
      <c r="X7287" s="1"/>
      <c r="Y7287" s="1"/>
      <c r="Z7287" s="1"/>
      <c r="AA7287" s="1"/>
      <c r="AB7287" s="1"/>
    </row>
    <row r="7288" ht="50.25" customHeight="1">
      <c r="A7288" s="12">
        <v>7284.0</v>
      </c>
      <c r="B7288" s="13" t="s">
        <v>7028</v>
      </c>
      <c r="C7288" s="14" t="s">
        <v>7312</v>
      </c>
      <c r="D7288" s="1"/>
      <c r="E7288" s="1"/>
      <c r="F7288" s="1" t="str">
        <f>IFERROR(__xludf.DUMMYFUNCTION("GOOGLETRANSLATE(B7288, ""en"", ""fa"")
"),"موفقیت در ای بی")</f>
        <v>موفقیت در ای بی</v>
      </c>
      <c r="G7288" s="1" t="str">
        <f>IFERROR(__xludf.DUMMYFUNCTION("GOOGLETRANSLATE(C7288, ""en"", ""fa"")
"),"مزایای استفاده از تخفیف ها و پیشنهادات تبلیغاتی برای افزایش فروش در eBay چیست؟")</f>
        <v>مزایای استفاده از تخفیف ها و پیشنهادات تبلیغاتی برای افزایش فروش در eBay چیست؟</v>
      </c>
      <c r="H7288" s="1"/>
      <c r="I7288" s="1"/>
      <c r="J7288" s="1"/>
      <c r="K7288" s="1"/>
      <c r="L7288" s="1"/>
      <c r="M7288" s="1"/>
      <c r="N7288" s="1"/>
      <c r="O7288" s="1"/>
      <c r="P7288" s="1"/>
      <c r="Q7288" s="1"/>
      <c r="R7288" s="1"/>
      <c r="S7288" s="1"/>
      <c r="T7288" s="1"/>
      <c r="U7288" s="1"/>
      <c r="V7288" s="1"/>
      <c r="W7288" s="1"/>
      <c r="X7288" s="1"/>
      <c r="Y7288" s="1"/>
      <c r="Z7288" s="1"/>
      <c r="AA7288" s="1"/>
      <c r="AB7288" s="1"/>
    </row>
    <row r="7289" ht="50.25" customHeight="1">
      <c r="A7289" s="12">
        <v>7285.0</v>
      </c>
      <c r="B7289" s="13" t="s">
        <v>7028</v>
      </c>
      <c r="C7289" s="14" t="s">
        <v>7313</v>
      </c>
      <c r="D7289" s="1"/>
      <c r="E7289" s="1"/>
      <c r="F7289" s="1" t="str">
        <f>IFERROR(__xludf.DUMMYFUNCTION("GOOGLETRANSLATE(B7289, ""en"", ""fa"")
"),"موفقیت در ای بی")</f>
        <v>موفقیت در ای بی</v>
      </c>
      <c r="G7289" s="1" t="str">
        <f>IFERROR(__xludf.DUMMYFUNCTION("GOOGLETRANSLATE(C7289, ""en"", ""fa"")
"),"چگونه می توانم لیست های eBay خود را برای دستگاه های تلفن همراه بهینه کنم تا خریداران موبایل را جذب کنم؟")</f>
        <v>چگونه می توانم لیست های eBay خود را برای دستگاه های تلفن همراه بهینه کنم تا خریداران موبایل را جذب کنم؟</v>
      </c>
      <c r="H7289" s="1"/>
      <c r="I7289" s="1"/>
      <c r="J7289" s="1"/>
      <c r="K7289" s="1"/>
      <c r="L7289" s="1"/>
      <c r="M7289" s="1"/>
      <c r="N7289" s="1"/>
      <c r="O7289" s="1"/>
      <c r="P7289" s="1"/>
      <c r="Q7289" s="1"/>
      <c r="R7289" s="1"/>
      <c r="S7289" s="1"/>
      <c r="T7289" s="1"/>
      <c r="U7289" s="1"/>
      <c r="V7289" s="1"/>
      <c r="W7289" s="1"/>
      <c r="X7289" s="1"/>
      <c r="Y7289" s="1"/>
      <c r="Z7289" s="1"/>
      <c r="AA7289" s="1"/>
      <c r="AB7289" s="1"/>
    </row>
    <row r="7290" ht="50.25" customHeight="1">
      <c r="A7290" s="12">
        <v>7286.0</v>
      </c>
      <c r="B7290" s="13" t="s">
        <v>7028</v>
      </c>
      <c r="C7290" s="14" t="s">
        <v>7314</v>
      </c>
      <c r="D7290" s="1"/>
      <c r="E7290" s="1"/>
      <c r="F7290" s="1" t="str">
        <f>IFERROR(__xludf.DUMMYFUNCTION("GOOGLETRANSLATE(B7290, ""en"", ""fa"")
"),"موفقیت در ای بی")</f>
        <v>موفقیت در ای بی</v>
      </c>
      <c r="G7290" s="1" t="str">
        <f>IFERROR(__xludf.DUMMYFUNCTION("GOOGLETRANSLATE(C7290, ""en"", ""fa"")
"),"از چه استراتژی هایی می توانم برای اجرای برنامه های بازاریابی ارجاعی برای گسترش پایگاه مشتریان eBay خود استفاده کنم؟")</f>
        <v>از چه استراتژی هایی می توانم برای اجرای برنامه های بازاریابی ارجاعی برای گسترش پایگاه مشتریان eBay خود استفاده کنم؟</v>
      </c>
      <c r="H7290" s="1"/>
      <c r="I7290" s="1"/>
      <c r="J7290" s="1"/>
      <c r="K7290" s="1"/>
      <c r="L7290" s="1"/>
      <c r="M7290" s="1"/>
      <c r="N7290" s="1"/>
      <c r="O7290" s="1"/>
      <c r="P7290" s="1"/>
      <c r="Q7290" s="1"/>
      <c r="R7290" s="1"/>
      <c r="S7290" s="1"/>
      <c r="T7290" s="1"/>
      <c r="U7290" s="1"/>
      <c r="V7290" s="1"/>
      <c r="W7290" s="1"/>
      <c r="X7290" s="1"/>
      <c r="Y7290" s="1"/>
      <c r="Z7290" s="1"/>
      <c r="AA7290" s="1"/>
      <c r="AB7290" s="1"/>
    </row>
    <row r="7291" ht="50.25" customHeight="1">
      <c r="A7291" s="12">
        <v>7287.0</v>
      </c>
      <c r="B7291" s="13" t="s">
        <v>7028</v>
      </c>
      <c r="C7291" s="14" t="s">
        <v>7315</v>
      </c>
      <c r="D7291" s="1"/>
      <c r="E7291" s="1"/>
      <c r="F7291" s="1" t="str">
        <f>IFERROR(__xludf.DUMMYFUNCTION("GOOGLETRANSLATE(B7291, ""en"", ""fa"")
"),"موفقیت در ای بی")</f>
        <v>موفقیت در ای بی</v>
      </c>
      <c r="G7291" s="1" t="str">
        <f>IFERROR(__xludf.DUMMYFUNCTION("GOOGLETRANSLATE(C7291, ""en"", ""fa"")
"),"چگونه می توانم از محتوای تولید شده توسط کاربر، مانند عکس ها و نظرات مشتریان، برای بازاریابی eBay استفاده کنم؟")</f>
        <v>چگونه می توانم از محتوای تولید شده توسط کاربر، مانند عکس ها و نظرات مشتریان، برای بازاریابی eBay استفاده کنم؟</v>
      </c>
      <c r="H7291" s="1"/>
      <c r="I7291" s="1"/>
      <c r="J7291" s="1"/>
      <c r="K7291" s="1"/>
      <c r="L7291" s="1"/>
      <c r="M7291" s="1"/>
      <c r="N7291" s="1"/>
      <c r="O7291" s="1"/>
      <c r="P7291" s="1"/>
      <c r="Q7291" s="1"/>
      <c r="R7291" s="1"/>
      <c r="S7291" s="1"/>
      <c r="T7291" s="1"/>
      <c r="U7291" s="1"/>
      <c r="V7291" s="1"/>
      <c r="W7291" s="1"/>
      <c r="X7291" s="1"/>
      <c r="Y7291" s="1"/>
      <c r="Z7291" s="1"/>
      <c r="AA7291" s="1"/>
      <c r="AB7291" s="1"/>
    </row>
    <row r="7292" ht="50.25" customHeight="1">
      <c r="A7292" s="12">
        <v>7288.0</v>
      </c>
      <c r="B7292" s="13" t="s">
        <v>7028</v>
      </c>
      <c r="C7292" s="14" t="s">
        <v>7316</v>
      </c>
      <c r="D7292" s="1"/>
      <c r="E7292" s="1"/>
      <c r="F7292" s="1" t="str">
        <f>IFERROR(__xludf.DUMMYFUNCTION("GOOGLETRANSLATE(B7292, ""en"", ""fa"")
"),"موفقیت در ای بی")</f>
        <v>موفقیت در ای بی</v>
      </c>
      <c r="G7292" s="1" t="str">
        <f>IFERROR(__xludf.DUMMYFUNCTION("GOOGLETRANSLATE(C7292, ""en"", ""fa"")
"),"مؤلفه‌های کلیدی یک همکاری مؤثر تأثیرگذار برای تبلیغ eBay چیست؟")</f>
        <v>مؤلفه‌های کلیدی یک همکاری مؤثر تأثیرگذار برای تبلیغ eBay چیست؟</v>
      </c>
      <c r="H7292" s="1"/>
      <c r="I7292" s="1"/>
      <c r="J7292" s="1"/>
      <c r="K7292" s="1"/>
      <c r="L7292" s="1"/>
      <c r="M7292" s="1"/>
      <c r="N7292" s="1"/>
      <c r="O7292" s="1"/>
      <c r="P7292" s="1"/>
      <c r="Q7292" s="1"/>
      <c r="R7292" s="1"/>
      <c r="S7292" s="1"/>
      <c r="T7292" s="1"/>
      <c r="U7292" s="1"/>
      <c r="V7292" s="1"/>
      <c r="W7292" s="1"/>
      <c r="X7292" s="1"/>
      <c r="Y7292" s="1"/>
      <c r="Z7292" s="1"/>
      <c r="AA7292" s="1"/>
      <c r="AB7292" s="1"/>
    </row>
    <row r="7293" ht="50.25" customHeight="1">
      <c r="A7293" s="12">
        <v>7289.0</v>
      </c>
      <c r="B7293" s="13" t="s">
        <v>7028</v>
      </c>
      <c r="C7293" s="14" t="s">
        <v>7317</v>
      </c>
      <c r="D7293" s="1"/>
      <c r="E7293" s="1"/>
      <c r="F7293" s="1" t="str">
        <f>IFERROR(__xludf.DUMMYFUNCTION("GOOGLETRANSLATE(B7293, ""en"", ""fa"")
"),"موفقیت در ای بی")</f>
        <v>موفقیت در ای بی</v>
      </c>
      <c r="G7293" s="1" t="str">
        <f>IFERROR(__xludf.DUMMYFUNCTION("GOOGLETRANSLATE(C7293, ""en"", ""fa"")
"),"چگونه می توانم به طور موثر از داستان سرایی در بازاریابی eBay خود برای ایجاد یک روایت برند قانع کننده استفاده کنم؟")</f>
        <v>چگونه می توانم به طور موثر از داستان سرایی در بازاریابی eBay خود برای ایجاد یک روایت برند قانع کننده استفاده کنم؟</v>
      </c>
      <c r="H7293" s="1"/>
      <c r="I7293" s="1"/>
      <c r="J7293" s="1"/>
      <c r="K7293" s="1"/>
      <c r="L7293" s="1"/>
      <c r="M7293" s="1"/>
      <c r="N7293" s="1"/>
      <c r="O7293" s="1"/>
      <c r="P7293" s="1"/>
      <c r="Q7293" s="1"/>
      <c r="R7293" s="1"/>
      <c r="S7293" s="1"/>
      <c r="T7293" s="1"/>
      <c r="U7293" s="1"/>
      <c r="V7293" s="1"/>
      <c r="W7293" s="1"/>
      <c r="X7293" s="1"/>
      <c r="Y7293" s="1"/>
      <c r="Z7293" s="1"/>
      <c r="AA7293" s="1"/>
      <c r="AB7293" s="1"/>
    </row>
    <row r="7294" ht="50.25" customHeight="1">
      <c r="A7294" s="12">
        <v>7290.0</v>
      </c>
      <c r="B7294" s="13" t="s">
        <v>7028</v>
      </c>
      <c r="C7294" s="14" t="s">
        <v>7318</v>
      </c>
      <c r="D7294" s="1"/>
      <c r="E7294" s="1"/>
      <c r="F7294" s="1" t="str">
        <f>IFERROR(__xludf.DUMMYFUNCTION("GOOGLETRANSLATE(B7294, ""en"", ""fa"")
"),"موفقیت در ای بی")</f>
        <v>موفقیت در ای بی</v>
      </c>
      <c r="G7294" s="1" t="str">
        <f>IFERROR(__xludf.DUMMYFUNCTION("GOOGLETRANSLATE(C7294, ""en"", ""fa"")
"),"برای استفاده از تعطیلات و رویدادهای فصلی برای کمپین های بازاریابی eBay از چه استراتژی هایی می توانم استفاده کنم؟")</f>
        <v>برای استفاده از تعطیلات و رویدادهای فصلی برای کمپین های بازاریابی eBay از چه استراتژی هایی می توانم استفاده کنم؟</v>
      </c>
      <c r="H7294" s="1"/>
      <c r="I7294" s="1"/>
      <c r="J7294" s="1"/>
      <c r="K7294" s="1"/>
      <c r="L7294" s="1"/>
      <c r="M7294" s="1"/>
      <c r="N7294" s="1"/>
      <c r="O7294" s="1"/>
      <c r="P7294" s="1"/>
      <c r="Q7294" s="1"/>
      <c r="R7294" s="1"/>
      <c r="S7294" s="1"/>
      <c r="T7294" s="1"/>
      <c r="U7294" s="1"/>
      <c r="V7294" s="1"/>
      <c r="W7294" s="1"/>
      <c r="X7294" s="1"/>
      <c r="Y7294" s="1"/>
      <c r="Z7294" s="1"/>
      <c r="AA7294" s="1"/>
      <c r="AB7294" s="1"/>
    </row>
    <row r="7295" ht="50.25" customHeight="1">
      <c r="A7295" s="12">
        <v>7291.0</v>
      </c>
      <c r="B7295" s="13" t="s">
        <v>7028</v>
      </c>
      <c r="C7295" s="14" t="s">
        <v>7319</v>
      </c>
      <c r="D7295" s="1"/>
      <c r="E7295" s="1"/>
      <c r="F7295" s="1" t="str">
        <f>IFERROR(__xludf.DUMMYFUNCTION("GOOGLETRANSLATE(B7295, ""en"", ""fa"")
"),"موفقیت در ای بی")</f>
        <v>موفقیت در ای بی</v>
      </c>
      <c r="G7295" s="1" t="str">
        <f>IFERROR(__xludf.DUMMYFUNCTION("GOOGLETRANSLATE(C7295, ""en"", ""fa"")
"),"چگونه می توانم از برنامه ها و پاداش های وفاداری مشتری برای تشویق خریدهای تکراری در eBay استفاده کنم؟")</f>
        <v>چگونه می توانم از برنامه ها و پاداش های وفاداری مشتری برای تشویق خریدهای تکراری در eBay استفاده کنم؟</v>
      </c>
      <c r="H7295" s="1"/>
      <c r="I7295" s="1"/>
      <c r="J7295" s="1"/>
      <c r="K7295" s="1"/>
      <c r="L7295" s="1"/>
      <c r="M7295" s="1"/>
      <c r="N7295" s="1"/>
      <c r="O7295" s="1"/>
      <c r="P7295" s="1"/>
      <c r="Q7295" s="1"/>
      <c r="R7295" s="1"/>
      <c r="S7295" s="1"/>
      <c r="T7295" s="1"/>
      <c r="U7295" s="1"/>
      <c r="V7295" s="1"/>
      <c r="W7295" s="1"/>
      <c r="X7295" s="1"/>
      <c r="Y7295" s="1"/>
      <c r="Z7295" s="1"/>
      <c r="AA7295" s="1"/>
      <c r="AB7295" s="1"/>
    </row>
    <row r="7296" ht="50.25" customHeight="1">
      <c r="A7296" s="12">
        <v>7292.0</v>
      </c>
      <c r="B7296" s="13" t="s">
        <v>7028</v>
      </c>
      <c r="C7296" s="14" t="s">
        <v>7320</v>
      </c>
      <c r="D7296" s="1"/>
      <c r="E7296" s="1"/>
      <c r="F7296" s="1" t="str">
        <f>IFERROR(__xludf.DUMMYFUNCTION("GOOGLETRANSLATE(B7296, ""en"", ""fa"")
"),"موفقیت در ای بی")</f>
        <v>موفقیت در ای بی</v>
      </c>
      <c r="G7296" s="1" t="str">
        <f>IFERROR(__xludf.DUMMYFUNCTION("GOOGLETRANSLATE(C7296, ""en"", ""fa"")
"),"چگونه می توانم بازارهای بالقوه بین المللی را برای هدف گذاری برای فروش در eBay شناسایی و تحقیق کنم؟")</f>
        <v>چگونه می توانم بازارهای بالقوه بین المللی را برای هدف گذاری برای فروش در eBay شناسایی و تحقیق کنم؟</v>
      </c>
      <c r="H7296" s="1"/>
      <c r="I7296" s="1"/>
      <c r="J7296" s="1"/>
      <c r="K7296" s="1"/>
      <c r="L7296" s="1"/>
      <c r="M7296" s="1"/>
      <c r="N7296" s="1"/>
      <c r="O7296" s="1"/>
      <c r="P7296" s="1"/>
      <c r="Q7296" s="1"/>
      <c r="R7296" s="1"/>
      <c r="S7296" s="1"/>
      <c r="T7296" s="1"/>
      <c r="U7296" s="1"/>
      <c r="V7296" s="1"/>
      <c r="W7296" s="1"/>
      <c r="X7296" s="1"/>
      <c r="Y7296" s="1"/>
      <c r="Z7296" s="1"/>
      <c r="AA7296" s="1"/>
      <c r="AB7296" s="1"/>
    </row>
    <row r="7297" ht="50.25" customHeight="1">
      <c r="A7297" s="12">
        <v>7293.0</v>
      </c>
      <c r="B7297" s="13" t="s">
        <v>7028</v>
      </c>
      <c r="C7297" s="14" t="s">
        <v>7321</v>
      </c>
      <c r="D7297" s="1"/>
      <c r="E7297" s="1"/>
      <c r="F7297" s="1" t="str">
        <f>IFERROR(__xludf.DUMMYFUNCTION("GOOGLETRANSLATE(B7297, ""en"", ""fa"")
"),"موفقیت در ای بی")</f>
        <v>موفقیت در ای بی</v>
      </c>
      <c r="G7297" s="1" t="str">
        <f>IFERROR(__xludf.DUMMYFUNCTION("GOOGLETRANSLATE(C7297, ""en"", ""fa"")
"),"از چه استراتژی هایی می توانم برای غلبه بر موانع زبانی و برقراری ارتباط موثر با خریداران بین المللی در eBay استفاده کنم؟")</f>
        <v>از چه استراتژی هایی می توانم برای غلبه بر موانع زبانی و برقراری ارتباط موثر با خریداران بین المللی در eBay استفاده کنم؟</v>
      </c>
      <c r="H7297" s="1"/>
      <c r="I7297" s="1"/>
      <c r="J7297" s="1"/>
      <c r="K7297" s="1"/>
      <c r="L7297" s="1"/>
      <c r="M7297" s="1"/>
      <c r="N7297" s="1"/>
      <c r="O7297" s="1"/>
      <c r="P7297" s="1"/>
      <c r="Q7297" s="1"/>
      <c r="R7297" s="1"/>
      <c r="S7297" s="1"/>
      <c r="T7297" s="1"/>
      <c r="U7297" s="1"/>
      <c r="V7297" s="1"/>
      <c r="W7297" s="1"/>
      <c r="X7297" s="1"/>
      <c r="Y7297" s="1"/>
      <c r="Z7297" s="1"/>
      <c r="AA7297" s="1"/>
      <c r="AB7297" s="1"/>
    </row>
    <row r="7298" ht="50.25" customHeight="1">
      <c r="A7298" s="12">
        <v>7294.0</v>
      </c>
      <c r="B7298" s="13" t="s">
        <v>7028</v>
      </c>
      <c r="C7298" s="14" t="s">
        <v>7322</v>
      </c>
      <c r="D7298" s="1"/>
      <c r="E7298" s="1"/>
      <c r="F7298" s="1" t="str">
        <f>IFERROR(__xludf.DUMMYFUNCTION("GOOGLETRANSLATE(B7298, ""en"", ""fa"")
"),"موفقیت در ای بی")</f>
        <v>موفقیت در ای بی</v>
      </c>
      <c r="G7298" s="1" t="str">
        <f>IFERROR(__xludf.DUMMYFUNCTION("GOOGLETRANSLATE(C7298, ""en"", ""fa"")
"),"چگونه می توانم لیست های eBay خود را برای جذب خریداران بین المللی و نمایش گزینه های حمل و نقل جهانی بهینه کنم؟")</f>
        <v>چگونه می توانم لیست های eBay خود را برای جذب خریداران بین المللی و نمایش گزینه های حمل و نقل جهانی بهینه کنم؟</v>
      </c>
      <c r="H7298" s="1"/>
      <c r="I7298" s="1"/>
      <c r="J7298" s="1"/>
      <c r="K7298" s="1"/>
      <c r="L7298" s="1"/>
      <c r="M7298" s="1"/>
      <c r="N7298" s="1"/>
      <c r="O7298" s="1"/>
      <c r="P7298" s="1"/>
      <c r="Q7298" s="1"/>
      <c r="R7298" s="1"/>
      <c r="S7298" s="1"/>
      <c r="T7298" s="1"/>
      <c r="U7298" s="1"/>
      <c r="V7298" s="1"/>
      <c r="W7298" s="1"/>
      <c r="X7298" s="1"/>
      <c r="Y7298" s="1"/>
      <c r="Z7298" s="1"/>
      <c r="AA7298" s="1"/>
      <c r="AB7298" s="1"/>
    </row>
    <row r="7299" ht="50.25" customHeight="1">
      <c r="A7299" s="12">
        <v>7295.0</v>
      </c>
      <c r="B7299" s="13" t="s">
        <v>7028</v>
      </c>
      <c r="C7299" s="14" t="s">
        <v>7323</v>
      </c>
      <c r="D7299" s="1"/>
      <c r="E7299" s="1"/>
      <c r="F7299" s="1" t="str">
        <f>IFERROR(__xludf.DUMMYFUNCTION("GOOGLETRANSLATE(B7299, ""en"", ""fa"")
"),"موفقیت در ای بی")</f>
        <v>موفقیت در ای بی</v>
      </c>
      <c r="G7299" s="1" t="str">
        <f>IFERROR(__xludf.DUMMYFUNCTION("GOOGLETRANSLATE(C7299, ""en"", ""fa"")
"),"مزایای استفاده از برنامه حمل و نقل جهانی eBay یا سایر خدمات حمل و نقل بین المللی برای تراکنش های بدون درز بین مرزی چیست؟")</f>
        <v>مزایای استفاده از برنامه حمل و نقل جهانی eBay یا سایر خدمات حمل و نقل بین المللی برای تراکنش های بدون درز بین مرزی چیست؟</v>
      </c>
      <c r="H7299" s="1"/>
      <c r="I7299" s="1"/>
      <c r="J7299" s="1"/>
      <c r="K7299" s="1"/>
      <c r="L7299" s="1"/>
      <c r="M7299" s="1"/>
      <c r="N7299" s="1"/>
      <c r="O7299" s="1"/>
      <c r="P7299" s="1"/>
      <c r="Q7299" s="1"/>
      <c r="R7299" s="1"/>
      <c r="S7299" s="1"/>
      <c r="T7299" s="1"/>
      <c r="U7299" s="1"/>
      <c r="V7299" s="1"/>
      <c r="W7299" s="1"/>
      <c r="X7299" s="1"/>
      <c r="Y7299" s="1"/>
      <c r="Z7299" s="1"/>
      <c r="AA7299" s="1"/>
      <c r="AB7299" s="1"/>
    </row>
    <row r="7300" ht="50.25" customHeight="1">
      <c r="A7300" s="12">
        <v>7296.0</v>
      </c>
      <c r="B7300" s="13" t="s">
        <v>7028</v>
      </c>
      <c r="C7300" s="14" t="s">
        <v>7324</v>
      </c>
      <c r="D7300" s="1"/>
      <c r="E7300" s="1"/>
      <c r="F7300" s="1" t="str">
        <f>IFERROR(__xludf.DUMMYFUNCTION("GOOGLETRANSLATE(B7300, ""en"", ""fa"")
"),"موفقیت در ای بی")</f>
        <v>موفقیت در ای بی</v>
      </c>
      <c r="G7300" s="1" t="str">
        <f>IFERROR(__xludf.DUMMYFUNCTION("GOOGLETRANSLATE(C7300, ""en"", ""fa"")
"),"چگونه می توانم هنگام حمل و نقل بین المللی در eBay، قوانین و مقررات گمرکی بین المللی را دنبال کنم و آنها را رعایت کنم؟")</f>
        <v>چگونه می توانم هنگام حمل و نقل بین المللی در eBay، قوانین و مقررات گمرکی بین المللی را دنبال کنم و آنها را رعایت کنم؟</v>
      </c>
      <c r="H7300" s="1"/>
      <c r="I7300" s="1"/>
      <c r="J7300" s="1"/>
      <c r="K7300" s="1"/>
      <c r="L7300" s="1"/>
      <c r="M7300" s="1"/>
      <c r="N7300" s="1"/>
      <c r="O7300" s="1"/>
      <c r="P7300" s="1"/>
      <c r="Q7300" s="1"/>
      <c r="R7300" s="1"/>
      <c r="S7300" s="1"/>
      <c r="T7300" s="1"/>
      <c r="U7300" s="1"/>
      <c r="V7300" s="1"/>
      <c r="W7300" s="1"/>
      <c r="X7300" s="1"/>
      <c r="Y7300" s="1"/>
      <c r="Z7300" s="1"/>
      <c r="AA7300" s="1"/>
      <c r="AB7300" s="1"/>
    </row>
    <row r="7301" ht="50.25" customHeight="1">
      <c r="A7301" s="12">
        <v>7297.0</v>
      </c>
      <c r="B7301" s="13" t="s">
        <v>7028</v>
      </c>
      <c r="C7301" s="14" t="s">
        <v>7325</v>
      </c>
      <c r="D7301" s="1"/>
      <c r="E7301" s="1"/>
      <c r="F7301" s="1" t="str">
        <f>IFERROR(__xludf.DUMMYFUNCTION("GOOGLETRANSLATE(B7301, ""en"", ""fa"")
"),"موفقیت در ای بی")</f>
        <v>موفقیت در ای بی</v>
      </c>
      <c r="G7301" s="1" t="str">
        <f>IFERROR(__xludf.DUMMYFUNCTION("GOOGLETRANSLATE(C7301, ""en"", ""fa"")
"),"از چه استراتژی هایی می توانم برای ارائه پشتیبانی و خدمات مشتری محلی برای خریداران بین المللی در eBay استفاده کنم؟")</f>
        <v>از چه استراتژی هایی می توانم برای ارائه پشتیبانی و خدمات مشتری محلی برای خریداران بین المللی در eBay استفاده کنم؟</v>
      </c>
      <c r="H7301" s="1"/>
      <c r="I7301" s="1"/>
      <c r="J7301" s="1"/>
      <c r="K7301" s="1"/>
      <c r="L7301" s="1"/>
      <c r="M7301" s="1"/>
      <c r="N7301" s="1"/>
      <c r="O7301" s="1"/>
      <c r="P7301" s="1"/>
      <c r="Q7301" s="1"/>
      <c r="R7301" s="1"/>
      <c r="S7301" s="1"/>
      <c r="T7301" s="1"/>
      <c r="U7301" s="1"/>
      <c r="V7301" s="1"/>
      <c r="W7301" s="1"/>
      <c r="X7301" s="1"/>
      <c r="Y7301" s="1"/>
      <c r="Z7301" s="1"/>
      <c r="AA7301" s="1"/>
      <c r="AB7301" s="1"/>
    </row>
    <row r="7302" ht="50.25" customHeight="1">
      <c r="A7302" s="12">
        <v>7298.0</v>
      </c>
      <c r="B7302" s="13" t="s">
        <v>7028</v>
      </c>
      <c r="C7302" s="14" t="s">
        <v>7326</v>
      </c>
      <c r="D7302" s="1"/>
      <c r="E7302" s="1"/>
      <c r="F7302" s="1" t="str">
        <f>IFERROR(__xludf.DUMMYFUNCTION("GOOGLETRANSLATE(B7302, ""en"", ""fa"")
"),"موفقیت در ای بی")</f>
        <v>موفقیت در ای بی</v>
      </c>
      <c r="G7302" s="1" t="str">
        <f>IFERROR(__xludf.DUMMYFUNCTION("GOOGLETRANSLATE(C7302, ""en"", ""fa"")
"),"چگونه می توانم فروشگاه eBay خود را برای قیمت گذاری چند ارزی و گزینه های پرداخت بین المللی بهینه کنم تا خریداران جهانی را در خود جای دهد؟")</f>
        <v>چگونه می توانم فروشگاه eBay خود را برای قیمت گذاری چند ارزی و گزینه های پرداخت بین المللی بهینه کنم تا خریداران جهانی را در خود جای دهد؟</v>
      </c>
      <c r="H7302" s="1"/>
      <c r="I7302" s="1"/>
      <c r="J7302" s="1"/>
      <c r="K7302" s="1"/>
      <c r="L7302" s="1"/>
      <c r="M7302" s="1"/>
      <c r="N7302" s="1"/>
      <c r="O7302" s="1"/>
      <c r="P7302" s="1"/>
      <c r="Q7302" s="1"/>
      <c r="R7302" s="1"/>
      <c r="S7302" s="1"/>
      <c r="T7302" s="1"/>
      <c r="U7302" s="1"/>
      <c r="V7302" s="1"/>
      <c r="W7302" s="1"/>
      <c r="X7302" s="1"/>
      <c r="Y7302" s="1"/>
      <c r="Z7302" s="1"/>
      <c r="AA7302" s="1"/>
      <c r="AB7302" s="1"/>
    </row>
    <row r="7303" ht="50.25" customHeight="1">
      <c r="A7303" s="12">
        <v>7299.0</v>
      </c>
      <c r="B7303" s="13" t="s">
        <v>7028</v>
      </c>
      <c r="C7303" s="14" t="s">
        <v>7327</v>
      </c>
      <c r="D7303" s="1"/>
      <c r="E7303" s="1"/>
      <c r="F7303" s="1" t="str">
        <f>IFERROR(__xludf.DUMMYFUNCTION("GOOGLETRANSLATE(B7303, ""en"", ""fa"")
"),"موفقیت در ای بی")</f>
        <v>موفقیت در ای بی</v>
      </c>
      <c r="G7303" s="1" t="str">
        <f>IFERROR(__xludf.DUMMYFUNCTION("GOOGLETRANSLATE(C7303, ""en"", ""fa"")
"),"عناصر کلیدی یک سیاست بازگشت بین المللی برای رسیدگی به بازگشت و مبادلات از خریداران بین المللی در eBay چیست؟")</f>
        <v>عناصر کلیدی یک سیاست بازگشت بین المللی برای رسیدگی به بازگشت و مبادلات از خریداران بین المللی در eBay چیست؟</v>
      </c>
      <c r="H7303" s="1"/>
      <c r="I7303" s="1"/>
      <c r="J7303" s="1"/>
      <c r="K7303" s="1"/>
      <c r="L7303" s="1"/>
      <c r="M7303" s="1"/>
      <c r="N7303" s="1"/>
      <c r="O7303" s="1"/>
      <c r="P7303" s="1"/>
      <c r="Q7303" s="1"/>
      <c r="R7303" s="1"/>
      <c r="S7303" s="1"/>
      <c r="T7303" s="1"/>
      <c r="U7303" s="1"/>
      <c r="V7303" s="1"/>
      <c r="W7303" s="1"/>
      <c r="X7303" s="1"/>
      <c r="Y7303" s="1"/>
      <c r="Z7303" s="1"/>
      <c r="AA7303" s="1"/>
      <c r="AB7303" s="1"/>
    </row>
    <row r="7304" ht="50.25" customHeight="1">
      <c r="A7304" s="12">
        <v>7300.0</v>
      </c>
      <c r="B7304" s="13" t="s">
        <v>7028</v>
      </c>
      <c r="C7304" s="14" t="s">
        <v>7328</v>
      </c>
      <c r="D7304" s="1"/>
      <c r="E7304" s="1"/>
      <c r="F7304" s="1" t="str">
        <f>IFERROR(__xludf.DUMMYFUNCTION("GOOGLETRANSLATE(B7304, ""en"", ""fa"")
"),"موفقیت در ای بی")</f>
        <v>موفقیت در ای بی</v>
      </c>
      <c r="G7304" s="1" t="str">
        <f>IFERROR(__xludf.DUMMYFUNCTION("GOOGLETRANSLATE(C7304, ""en"", ""fa"")
"),"چگونه می توانم از روندها و ترجیحات بازار بین المللی استفاده کنم تا پیشنهادات محصول خود را برای مشتریان جهانی eBay تنظیم کنم؟")</f>
        <v>چگونه می توانم از روندها و ترجیحات بازار بین المللی استفاده کنم تا پیشنهادات محصول خود را برای مشتریان جهانی eBay تنظیم کنم؟</v>
      </c>
      <c r="H7304" s="1"/>
      <c r="I7304" s="1"/>
      <c r="J7304" s="1"/>
      <c r="K7304" s="1"/>
      <c r="L7304" s="1"/>
      <c r="M7304" s="1"/>
      <c r="N7304" s="1"/>
      <c r="O7304" s="1"/>
      <c r="P7304" s="1"/>
      <c r="Q7304" s="1"/>
      <c r="R7304" s="1"/>
      <c r="S7304" s="1"/>
      <c r="T7304" s="1"/>
      <c r="U7304" s="1"/>
      <c r="V7304" s="1"/>
      <c r="W7304" s="1"/>
      <c r="X7304" s="1"/>
      <c r="Y7304" s="1"/>
      <c r="Z7304" s="1"/>
      <c r="AA7304" s="1"/>
      <c r="AB7304" s="1"/>
    </row>
    <row r="7305" ht="50.25" customHeight="1">
      <c r="A7305" s="12">
        <v>7301.0</v>
      </c>
      <c r="B7305" s="13" t="s">
        <v>7028</v>
      </c>
      <c r="C7305" s="14" t="s">
        <v>7329</v>
      </c>
      <c r="D7305" s="1"/>
      <c r="E7305" s="1"/>
      <c r="F7305" s="1" t="str">
        <f>IFERROR(__xludf.DUMMYFUNCTION("GOOGLETRANSLATE(B7305, ""en"", ""fa"")
"),"موفقیت در ای بی")</f>
        <v>موفقیت در ای بی</v>
      </c>
      <c r="G7305" s="1" t="str">
        <f>IFERROR(__xludf.DUMMYFUNCTION("GOOGLETRANSLATE(C7305, ""en"", ""fa"")
"),"از چه استراتژی هایی می توانم برای تحقیق و تعیین قیمت رقابتی برای بازارهای بین المللی در eBay استفاده کنم؟")</f>
        <v>از چه استراتژی هایی می توانم برای تحقیق و تعیین قیمت رقابتی برای بازارهای بین المللی در eBay استفاده کنم؟</v>
      </c>
      <c r="H7305" s="1"/>
      <c r="I7305" s="1"/>
      <c r="J7305" s="1"/>
      <c r="K7305" s="1"/>
      <c r="L7305" s="1"/>
      <c r="M7305" s="1"/>
      <c r="N7305" s="1"/>
      <c r="O7305" s="1"/>
      <c r="P7305" s="1"/>
      <c r="Q7305" s="1"/>
      <c r="R7305" s="1"/>
      <c r="S7305" s="1"/>
      <c r="T7305" s="1"/>
      <c r="U7305" s="1"/>
      <c r="V7305" s="1"/>
      <c r="W7305" s="1"/>
      <c r="X7305" s="1"/>
      <c r="Y7305" s="1"/>
      <c r="Z7305" s="1"/>
      <c r="AA7305" s="1"/>
      <c r="AB7305" s="1"/>
    </row>
    <row r="7306" ht="50.25" customHeight="1">
      <c r="A7306" s="12">
        <v>7302.0</v>
      </c>
      <c r="B7306" s="13" t="s">
        <v>7028</v>
      </c>
      <c r="C7306" s="14" t="s">
        <v>7330</v>
      </c>
      <c r="D7306" s="1"/>
      <c r="E7306" s="1"/>
      <c r="F7306" s="1" t="str">
        <f>IFERROR(__xludf.DUMMYFUNCTION("GOOGLETRANSLATE(B7306, ""en"", ""fa"")
"),"موفقیت در ای بی")</f>
        <v>موفقیت در ای بی</v>
      </c>
      <c r="G7306" s="1" t="str">
        <f>IFERROR(__xludf.DUMMYFUNCTION("GOOGLETRANSLATE(C7306, ""en"", ""fa"")
"),"چگونه می توانم به طور موثر موارد تاخیر حمل و نقل بین المللی یا مسائل مربوط به گمرک را در eBay مدیریت و حل کنم؟")</f>
        <v>چگونه می توانم به طور موثر موارد تاخیر حمل و نقل بین المللی یا مسائل مربوط به گمرک را در eBay مدیریت و حل کنم؟</v>
      </c>
      <c r="H7306" s="1"/>
      <c r="I7306" s="1"/>
      <c r="J7306" s="1"/>
      <c r="K7306" s="1"/>
      <c r="L7306" s="1"/>
      <c r="M7306" s="1"/>
      <c r="N7306" s="1"/>
      <c r="O7306" s="1"/>
      <c r="P7306" s="1"/>
      <c r="Q7306" s="1"/>
      <c r="R7306" s="1"/>
      <c r="S7306" s="1"/>
      <c r="T7306" s="1"/>
      <c r="U7306" s="1"/>
      <c r="V7306" s="1"/>
      <c r="W7306" s="1"/>
      <c r="X7306" s="1"/>
      <c r="Y7306" s="1"/>
      <c r="Z7306" s="1"/>
      <c r="AA7306" s="1"/>
      <c r="AB7306" s="1"/>
    </row>
    <row r="7307" ht="50.25" customHeight="1">
      <c r="A7307" s="12">
        <v>7303.0</v>
      </c>
      <c r="B7307" s="13" t="s">
        <v>7028</v>
      </c>
      <c r="C7307" s="14" t="s">
        <v>7331</v>
      </c>
      <c r="D7307" s="1"/>
      <c r="E7307" s="1"/>
      <c r="F7307" s="1" t="str">
        <f>IFERROR(__xludf.DUMMYFUNCTION("GOOGLETRANSLATE(B7307, ""en"", ""fa"")
"),"موفقیت در ای بی")</f>
        <v>موفقیت در ای بی</v>
      </c>
      <c r="G7307" s="1" t="str">
        <f>IFERROR(__xludf.DUMMYFUNCTION("GOOGLETRANSLATE(C7307, ""en"", ""fa"")
"),"مزایای ارائه تبلیغات یا تخفیف های انحصاری به خریداران بین المللی برای تشویق خریدهای فرامرزی در eBay چیست؟")</f>
        <v>مزایای ارائه تبلیغات یا تخفیف های انحصاری به خریداران بین المللی برای تشویق خریدهای فرامرزی در eBay چیست؟</v>
      </c>
      <c r="H7307" s="1"/>
      <c r="I7307" s="1"/>
      <c r="J7307" s="1"/>
      <c r="K7307" s="1"/>
      <c r="L7307" s="1"/>
      <c r="M7307" s="1"/>
      <c r="N7307" s="1"/>
      <c r="O7307" s="1"/>
      <c r="P7307" s="1"/>
      <c r="Q7307" s="1"/>
      <c r="R7307" s="1"/>
      <c r="S7307" s="1"/>
      <c r="T7307" s="1"/>
      <c r="U7307" s="1"/>
      <c r="V7307" s="1"/>
      <c r="W7307" s="1"/>
      <c r="X7307" s="1"/>
      <c r="Y7307" s="1"/>
      <c r="Z7307" s="1"/>
      <c r="AA7307" s="1"/>
      <c r="AB7307" s="1"/>
    </row>
    <row r="7308" ht="50.25" customHeight="1">
      <c r="A7308" s="12">
        <v>7304.0</v>
      </c>
      <c r="B7308" s="13" t="s">
        <v>7028</v>
      </c>
      <c r="C7308" s="14" t="s">
        <v>7332</v>
      </c>
      <c r="D7308" s="1"/>
      <c r="E7308" s="1"/>
      <c r="F7308" s="1" t="str">
        <f>IFERROR(__xludf.DUMMYFUNCTION("GOOGLETRANSLATE(B7308, ""en"", ""fa"")
"),"موفقیت در ای بی")</f>
        <v>موفقیت در ای بی</v>
      </c>
      <c r="G7308" s="1" t="str">
        <f>IFERROR(__xludf.DUMMYFUNCTION("GOOGLETRANSLATE(C7308, ""en"", ""fa"")
"),"چگونه می توانم لیست های eBay خود را برای مشاهده جستجوی بین المللی و رتبه بندی در پلت فرم های بین المللی eBay بهینه کنم؟")</f>
        <v>چگونه می توانم لیست های eBay خود را برای مشاهده جستجوی بین المللی و رتبه بندی در پلت فرم های بین المللی eBay بهینه کنم؟</v>
      </c>
      <c r="H7308" s="1"/>
      <c r="I7308" s="1"/>
      <c r="J7308" s="1"/>
      <c r="K7308" s="1"/>
      <c r="L7308" s="1"/>
      <c r="M7308" s="1"/>
      <c r="N7308" s="1"/>
      <c r="O7308" s="1"/>
      <c r="P7308" s="1"/>
      <c r="Q7308" s="1"/>
      <c r="R7308" s="1"/>
      <c r="S7308" s="1"/>
      <c r="T7308" s="1"/>
      <c r="U7308" s="1"/>
      <c r="V7308" s="1"/>
      <c r="W7308" s="1"/>
      <c r="X7308" s="1"/>
      <c r="Y7308" s="1"/>
      <c r="Z7308" s="1"/>
      <c r="AA7308" s="1"/>
      <c r="AB7308" s="1"/>
    </row>
    <row r="7309" ht="50.25" customHeight="1">
      <c r="A7309" s="12">
        <v>7305.0</v>
      </c>
      <c r="B7309" s="13" t="s">
        <v>7028</v>
      </c>
      <c r="C7309" s="14" t="s">
        <v>7333</v>
      </c>
      <c r="D7309" s="1"/>
      <c r="E7309" s="1"/>
      <c r="F7309" s="1" t="str">
        <f>IFERROR(__xludf.DUMMYFUNCTION("GOOGLETRANSLATE(B7309, ""en"", ""fa"")
"),"موفقیت در ای بی")</f>
        <v>موفقیت در ای بی</v>
      </c>
      <c r="G7309" s="1" t="str">
        <f>IFERROR(__xludf.DUMMYFUNCTION("GOOGLETRANSLATE(C7309, ""en"", ""fa"")
"),"چه استراتژی هایی را می توانم برای ارائه توضیحات و اطلاعات محلی محصول برای خریداران بین المللی در eBay به کار بگیرم؟")</f>
        <v>چه استراتژی هایی را می توانم برای ارائه توضیحات و اطلاعات محلی محصول برای خریداران بین المللی در eBay به کار بگیرم؟</v>
      </c>
      <c r="H7309" s="1"/>
      <c r="I7309" s="1"/>
      <c r="J7309" s="1"/>
      <c r="K7309" s="1"/>
      <c r="L7309" s="1"/>
      <c r="M7309" s="1"/>
      <c r="N7309" s="1"/>
      <c r="O7309" s="1"/>
      <c r="P7309" s="1"/>
      <c r="Q7309" s="1"/>
      <c r="R7309" s="1"/>
      <c r="S7309" s="1"/>
      <c r="T7309" s="1"/>
      <c r="U7309" s="1"/>
      <c r="V7309" s="1"/>
      <c r="W7309" s="1"/>
      <c r="X7309" s="1"/>
      <c r="Y7309" s="1"/>
      <c r="Z7309" s="1"/>
      <c r="AA7309" s="1"/>
      <c r="AB7309" s="1"/>
    </row>
    <row r="7310" ht="50.25" customHeight="1">
      <c r="A7310" s="12">
        <v>7306.0</v>
      </c>
      <c r="B7310" s="13" t="s">
        <v>7028</v>
      </c>
      <c r="C7310" s="14" t="s">
        <v>7334</v>
      </c>
      <c r="D7310" s="1"/>
      <c r="E7310" s="1"/>
      <c r="F7310" s="1" t="str">
        <f>IFERROR(__xludf.DUMMYFUNCTION("GOOGLETRANSLATE(B7310, ""en"", ""fa"")
"),"موفقیت در ای بی")</f>
        <v>موفقیت در ای بی</v>
      </c>
      <c r="G7310" s="1" t="str">
        <f>IFERROR(__xludf.DUMMYFUNCTION("GOOGLETRANSLATE(C7310, ""en"", ""fa"")
"),"چگونه می توانم به طور فعال به موارد اختلاف یا درگیری بین خریداران در eBay رسیدگی و حل کنم؟")</f>
        <v>چگونه می توانم به طور فعال به موارد اختلاف یا درگیری بین خریداران در eBay رسیدگی و حل کنم؟</v>
      </c>
      <c r="H7310" s="1"/>
      <c r="I7310" s="1"/>
      <c r="J7310" s="1"/>
      <c r="K7310" s="1"/>
      <c r="L7310" s="1"/>
      <c r="M7310" s="1"/>
      <c r="N7310" s="1"/>
      <c r="O7310" s="1"/>
      <c r="P7310" s="1"/>
      <c r="Q7310" s="1"/>
      <c r="R7310" s="1"/>
      <c r="S7310" s="1"/>
      <c r="T7310" s="1"/>
      <c r="U7310" s="1"/>
      <c r="V7310" s="1"/>
      <c r="W7310" s="1"/>
      <c r="X7310" s="1"/>
      <c r="Y7310" s="1"/>
      <c r="Z7310" s="1"/>
      <c r="AA7310" s="1"/>
      <c r="AB7310" s="1"/>
    </row>
    <row r="7311" ht="50.25" customHeight="1">
      <c r="A7311" s="12">
        <v>7307.0</v>
      </c>
      <c r="B7311" s="13" t="s">
        <v>7028</v>
      </c>
      <c r="C7311" s="14" t="s">
        <v>7335</v>
      </c>
      <c r="D7311" s="1"/>
      <c r="E7311" s="1"/>
      <c r="F7311" s="1" t="str">
        <f>IFERROR(__xludf.DUMMYFUNCTION("GOOGLETRANSLATE(B7311, ""en"", ""fa"")
"),"موفقیت در ای بی")</f>
        <v>موفقیت در ای بی</v>
      </c>
      <c r="G7311" s="1" t="str">
        <f>IFERROR(__xludf.DUMMYFUNCTION("GOOGLETRANSLATE(C7311, ""en"", ""fa"")
"),"عناصر کلیدی یک استراتژی حمل و نقل بین المللی کارآمد و مقرون به صرفه برای فروشندگان eBay چیست؟")</f>
        <v>عناصر کلیدی یک استراتژی حمل و نقل بین المللی کارآمد و مقرون به صرفه برای فروشندگان eBay چیست؟</v>
      </c>
      <c r="H7311" s="1"/>
      <c r="I7311" s="1"/>
      <c r="J7311" s="1"/>
      <c r="K7311" s="1"/>
      <c r="L7311" s="1"/>
      <c r="M7311" s="1"/>
      <c r="N7311" s="1"/>
      <c r="O7311" s="1"/>
      <c r="P7311" s="1"/>
      <c r="Q7311" s="1"/>
      <c r="R7311" s="1"/>
      <c r="S7311" s="1"/>
      <c r="T7311" s="1"/>
      <c r="U7311" s="1"/>
      <c r="V7311" s="1"/>
      <c r="W7311" s="1"/>
      <c r="X7311" s="1"/>
      <c r="Y7311" s="1"/>
      <c r="Z7311" s="1"/>
      <c r="AA7311" s="1"/>
      <c r="AB7311" s="1"/>
    </row>
    <row r="7312" ht="50.25" customHeight="1">
      <c r="A7312" s="12">
        <v>7308.0</v>
      </c>
      <c r="B7312" s="13" t="s">
        <v>7028</v>
      </c>
      <c r="C7312" s="14" t="s">
        <v>7336</v>
      </c>
      <c r="D7312" s="1"/>
      <c r="E7312" s="1"/>
      <c r="F7312" s="1" t="str">
        <f>IFERROR(__xludf.DUMMYFUNCTION("GOOGLETRANSLATE(B7312, ""en"", ""fa"")
"),"موفقیت در ای بی")</f>
        <v>موفقیت در ای بی</v>
      </c>
      <c r="G7312" s="1" t="str">
        <f>IFERROR(__xludf.DUMMYFUNCTION("GOOGLETRANSLATE(C7312, ""en"", ""fa"")
"),"چگونه می توانم از تعطیلات بین المللی و رویدادهای فرهنگی برای هدایت کمپین های فروش و بازاریابی برای مشتریان بین المللی eBay استفاده کنم؟")</f>
        <v>چگونه می توانم از تعطیلات بین المللی و رویدادهای فرهنگی برای هدایت کمپین های فروش و بازاریابی برای مشتریان بین المللی eBay استفاده کنم؟</v>
      </c>
      <c r="H7312" s="1"/>
      <c r="I7312" s="1"/>
      <c r="J7312" s="1"/>
      <c r="K7312" s="1"/>
      <c r="L7312" s="1"/>
      <c r="M7312" s="1"/>
      <c r="N7312" s="1"/>
      <c r="O7312" s="1"/>
      <c r="P7312" s="1"/>
      <c r="Q7312" s="1"/>
      <c r="R7312" s="1"/>
      <c r="S7312" s="1"/>
      <c r="T7312" s="1"/>
      <c r="U7312" s="1"/>
      <c r="V7312" s="1"/>
      <c r="W7312" s="1"/>
      <c r="X7312" s="1"/>
      <c r="Y7312" s="1"/>
      <c r="Z7312" s="1"/>
      <c r="AA7312" s="1"/>
      <c r="AB7312" s="1"/>
    </row>
    <row r="7313" ht="50.25" customHeight="1">
      <c r="A7313" s="12">
        <v>7309.0</v>
      </c>
      <c r="B7313" s="13" t="s">
        <v>7028</v>
      </c>
      <c r="C7313" s="14" t="s">
        <v>7337</v>
      </c>
      <c r="D7313" s="1"/>
      <c r="E7313" s="1"/>
      <c r="F7313" s="1" t="str">
        <f>IFERROR(__xludf.DUMMYFUNCTION("GOOGLETRANSLATE(B7313, ""en"", ""fa"")
"),"موفقیت در ای بی")</f>
        <v>موفقیت در ای بی</v>
      </c>
      <c r="G7313" s="1" t="str">
        <f>IFERROR(__xludf.DUMMYFUNCTION("GOOGLETRANSLATE(C7313, ""en"", ""fa"")
"),"از چه استراتژی هایی می توانم برای پیمایش هزینه های حمل و نقل بین المللی و محاسبه هزینه های حمل و نقل دقیق برای سفارش های بین المللی eBay استفاده کنم؟")</f>
        <v>از چه استراتژی هایی می توانم برای پیمایش هزینه های حمل و نقل بین المللی و محاسبه هزینه های حمل و نقل دقیق برای سفارش های بین المللی eBay استفاده کنم؟</v>
      </c>
      <c r="H7313" s="1"/>
      <c r="I7313" s="1"/>
      <c r="J7313" s="1"/>
      <c r="K7313" s="1"/>
      <c r="L7313" s="1"/>
      <c r="M7313" s="1"/>
      <c r="N7313" s="1"/>
      <c r="O7313" s="1"/>
      <c r="P7313" s="1"/>
      <c r="Q7313" s="1"/>
      <c r="R7313" s="1"/>
      <c r="S7313" s="1"/>
      <c r="T7313" s="1"/>
      <c r="U7313" s="1"/>
      <c r="V7313" s="1"/>
      <c r="W7313" s="1"/>
      <c r="X7313" s="1"/>
      <c r="Y7313" s="1"/>
      <c r="Z7313" s="1"/>
      <c r="AA7313" s="1"/>
      <c r="AB7313" s="1"/>
    </row>
    <row r="7314" ht="50.25" customHeight="1">
      <c r="A7314" s="12">
        <v>7310.0</v>
      </c>
      <c r="B7314" s="13" t="s">
        <v>7028</v>
      </c>
      <c r="C7314" s="14" t="s">
        <v>7338</v>
      </c>
      <c r="D7314" s="1"/>
      <c r="E7314" s="1"/>
      <c r="F7314" s="1" t="str">
        <f>IFERROR(__xludf.DUMMYFUNCTION("GOOGLETRANSLATE(B7314, ""en"", ""fa"")
"),"موفقیت در ای بی")</f>
        <v>موفقیت در ای بی</v>
      </c>
      <c r="G7314" s="1" t="str">
        <f>IFERROR(__xludf.DUMMYFUNCTION("GOOGLETRANSLATE(C7314, ""en"", ""fa"")
"),"چگونه می توانم فروشگاه eBay خود را برای اعتماد و اعتبار خریدار بین المللی از طریق رتبه بندی و بررسی های فروشنده بهینه کنم؟")</f>
        <v>چگونه می توانم فروشگاه eBay خود را برای اعتماد و اعتبار خریدار بین المللی از طریق رتبه بندی و بررسی های فروشنده بهینه کنم؟</v>
      </c>
      <c r="H7314" s="1"/>
      <c r="I7314" s="1"/>
      <c r="J7314" s="1"/>
      <c r="K7314" s="1"/>
      <c r="L7314" s="1"/>
      <c r="M7314" s="1"/>
      <c r="N7314" s="1"/>
      <c r="O7314" s="1"/>
      <c r="P7314" s="1"/>
      <c r="Q7314" s="1"/>
      <c r="R7314" s="1"/>
      <c r="S7314" s="1"/>
      <c r="T7314" s="1"/>
      <c r="U7314" s="1"/>
      <c r="V7314" s="1"/>
      <c r="W7314" s="1"/>
      <c r="X7314" s="1"/>
      <c r="Y7314" s="1"/>
      <c r="Z7314" s="1"/>
      <c r="AA7314" s="1"/>
      <c r="AB7314" s="1"/>
    </row>
    <row r="7315" ht="50.25" customHeight="1">
      <c r="A7315" s="12">
        <v>7311.0</v>
      </c>
      <c r="B7315" s="13" t="s">
        <v>7028</v>
      </c>
      <c r="C7315" s="14" t="s">
        <v>7339</v>
      </c>
      <c r="D7315" s="1"/>
      <c r="E7315" s="1"/>
      <c r="F7315" s="1" t="str">
        <f>IFERROR(__xludf.DUMMYFUNCTION("GOOGLETRANSLATE(B7315, ""en"", ""fa"")
"),"موفقیت در ای بی")</f>
        <v>موفقیت در ای بی</v>
      </c>
      <c r="G7315" s="1" t="str">
        <f>IFERROR(__xludf.DUMMYFUNCTION("GOOGLETRANSLATE(C7315, ""en"", ""fa"")
"),"چگونه می توانم به طور پیشگیرانه با موارد مفقود شدن بسته بین المللی یا آسیب برای خریداران eBay برخورد کنم؟")</f>
        <v>چگونه می توانم به طور پیشگیرانه با موارد مفقود شدن بسته بین المللی یا آسیب برای خریداران eBay برخورد کنم؟</v>
      </c>
      <c r="H7315" s="1"/>
      <c r="I7315" s="1"/>
      <c r="J7315" s="1"/>
      <c r="K7315" s="1"/>
      <c r="L7315" s="1"/>
      <c r="M7315" s="1"/>
      <c r="N7315" s="1"/>
      <c r="O7315" s="1"/>
      <c r="P7315" s="1"/>
      <c r="Q7315" s="1"/>
      <c r="R7315" s="1"/>
      <c r="S7315" s="1"/>
      <c r="T7315" s="1"/>
      <c r="U7315" s="1"/>
      <c r="V7315" s="1"/>
      <c r="W7315" s="1"/>
      <c r="X7315" s="1"/>
      <c r="Y7315" s="1"/>
      <c r="Z7315" s="1"/>
      <c r="AA7315" s="1"/>
      <c r="AB7315" s="1"/>
    </row>
    <row r="7316" ht="50.25" customHeight="1">
      <c r="A7316" s="12">
        <v>7312.0</v>
      </c>
      <c r="B7316" s="13" t="s">
        <v>7028</v>
      </c>
      <c r="C7316" s="14" t="s">
        <v>7340</v>
      </c>
      <c r="D7316" s="1"/>
      <c r="E7316" s="1"/>
      <c r="F7316" s="1" t="str">
        <f>IFERROR(__xludf.DUMMYFUNCTION("GOOGLETRANSLATE(B7316, ""en"", ""fa"")
"),"موفقیت در ای بی")</f>
        <v>موفقیت در ای بی</v>
      </c>
      <c r="G7316" s="1" t="str">
        <f>IFERROR(__xludf.DUMMYFUNCTION("GOOGLETRANSLATE(C7316, ""en"", ""fa"")
"),"چه استراتژی هایی را می توانم برای ارائه کانال های خدمات مشتری محلی، مانند پشتیبانی تلفنی بین المللی یا چت زنده، برای مشتریان جهانی eBay به کار بگیرم؟")</f>
        <v>چه استراتژی هایی را می توانم برای ارائه کانال های خدمات مشتری محلی، مانند پشتیبانی تلفنی بین المللی یا چت زنده، برای مشتریان جهانی eBay به کار بگیرم؟</v>
      </c>
      <c r="H7316" s="1"/>
      <c r="I7316" s="1"/>
      <c r="J7316" s="1"/>
      <c r="K7316" s="1"/>
      <c r="L7316" s="1"/>
      <c r="M7316" s="1"/>
      <c r="N7316" s="1"/>
      <c r="O7316" s="1"/>
      <c r="P7316" s="1"/>
      <c r="Q7316" s="1"/>
      <c r="R7316" s="1"/>
      <c r="S7316" s="1"/>
      <c r="T7316" s="1"/>
      <c r="U7316" s="1"/>
      <c r="V7316" s="1"/>
      <c r="W7316" s="1"/>
      <c r="X7316" s="1"/>
      <c r="Y7316" s="1"/>
      <c r="Z7316" s="1"/>
      <c r="AA7316" s="1"/>
      <c r="AB7316" s="1"/>
    </row>
    <row r="7317" ht="50.25" customHeight="1">
      <c r="A7317" s="12">
        <v>7313.0</v>
      </c>
      <c r="B7317" s="13" t="s">
        <v>7028</v>
      </c>
      <c r="C7317" s="14" t="s">
        <v>7341</v>
      </c>
      <c r="D7317" s="1"/>
      <c r="E7317" s="1"/>
      <c r="F7317" s="1" t="str">
        <f>IFERROR(__xludf.DUMMYFUNCTION("GOOGLETRANSLATE(B7317, ""en"", ""fa"")
"),"موفقیت در ای بی")</f>
        <v>موفقیت در ای بی</v>
      </c>
      <c r="G7317" s="1" t="str">
        <f>IFERROR(__xludf.DUMMYFUNCTION("GOOGLETRANSLATE(C7317, ""en"", ""fa"")
"),"چگونه می توانم به طور موثری با خریداران بین المللی در مورد مالیات و عوارض واردات در eBay مدیریت و ارتباط برقرار کنم؟")</f>
        <v>چگونه می توانم به طور موثری با خریداران بین المللی در مورد مالیات و عوارض واردات در eBay مدیریت و ارتباط برقرار کنم؟</v>
      </c>
      <c r="H7317" s="1"/>
      <c r="I7317" s="1"/>
      <c r="J7317" s="1"/>
      <c r="K7317" s="1"/>
      <c r="L7317" s="1"/>
      <c r="M7317" s="1"/>
      <c r="N7317" s="1"/>
      <c r="O7317" s="1"/>
      <c r="P7317" s="1"/>
      <c r="Q7317" s="1"/>
      <c r="R7317" s="1"/>
      <c r="S7317" s="1"/>
      <c r="T7317" s="1"/>
      <c r="U7317" s="1"/>
      <c r="V7317" s="1"/>
      <c r="W7317" s="1"/>
      <c r="X7317" s="1"/>
      <c r="Y7317" s="1"/>
      <c r="Z7317" s="1"/>
      <c r="AA7317" s="1"/>
      <c r="AB7317" s="1"/>
    </row>
    <row r="7318" ht="50.25" customHeight="1">
      <c r="A7318" s="12">
        <v>7314.0</v>
      </c>
      <c r="B7318" s="13" t="s">
        <v>7028</v>
      </c>
      <c r="C7318" s="14" t="s">
        <v>7342</v>
      </c>
      <c r="D7318" s="1"/>
      <c r="E7318" s="1"/>
      <c r="F7318" s="1" t="str">
        <f>IFERROR(__xludf.DUMMYFUNCTION("GOOGLETRANSLATE(B7318, ""en"", ""fa"")
"),"موفقیت در ای بی")</f>
        <v>موفقیت در ای بی</v>
      </c>
      <c r="G7318" s="1" t="str">
        <f>IFERROR(__xludf.DUMMYFUNCTION("GOOGLETRANSLATE(C7318, ""en"", ""fa"")
"),"مزایای استفاده از مراکز یا انبارهای بین المللی برای ساده سازی پردازش و ارسال سفارشات بین المللی در eBay چیست؟")</f>
        <v>مزایای استفاده از مراکز یا انبارهای بین المللی برای ساده سازی پردازش و ارسال سفارشات بین المللی در eBay چیست؟</v>
      </c>
      <c r="H7318" s="1"/>
      <c r="I7318" s="1"/>
      <c r="J7318" s="1"/>
      <c r="K7318" s="1"/>
      <c r="L7318" s="1"/>
      <c r="M7318" s="1"/>
      <c r="N7318" s="1"/>
      <c r="O7318" s="1"/>
      <c r="P7318" s="1"/>
      <c r="Q7318" s="1"/>
      <c r="R7318" s="1"/>
      <c r="S7318" s="1"/>
      <c r="T7318" s="1"/>
      <c r="U7318" s="1"/>
      <c r="V7318" s="1"/>
      <c r="W7318" s="1"/>
      <c r="X7318" s="1"/>
      <c r="Y7318" s="1"/>
      <c r="Z7318" s="1"/>
      <c r="AA7318" s="1"/>
      <c r="AB7318" s="1"/>
    </row>
    <row r="7319" ht="50.25" customHeight="1">
      <c r="A7319" s="12">
        <v>7315.0</v>
      </c>
      <c r="B7319" s="13" t="s">
        <v>7028</v>
      </c>
      <c r="C7319" s="14" t="s">
        <v>7343</v>
      </c>
      <c r="D7319" s="1"/>
      <c r="E7319" s="1"/>
      <c r="F7319" s="1" t="str">
        <f>IFERROR(__xludf.DUMMYFUNCTION("GOOGLETRANSLATE(B7319, ""en"", ""fa"")
"),"موفقیت در ای بی")</f>
        <v>موفقیت در ای بی</v>
      </c>
      <c r="G7319" s="1" t="str">
        <f>IFERROR(__xludf.DUMMYFUNCTION("GOOGLETRANSLATE(C7319, ""en"", ""fa"")
"),"چگونه می توانم لیست های eBay خود را برای سئوی بین المللی و بهینه سازی کلمات کلیدی برای دستیابی به خریداران جهانی بهینه کنم؟")</f>
        <v>چگونه می توانم لیست های eBay خود را برای سئوی بین المللی و بهینه سازی کلمات کلیدی برای دستیابی به خریداران جهانی بهینه کنم؟</v>
      </c>
      <c r="H7319" s="1"/>
      <c r="I7319" s="1"/>
      <c r="J7319" s="1"/>
      <c r="K7319" s="1"/>
      <c r="L7319" s="1"/>
      <c r="M7319" s="1"/>
      <c r="N7319" s="1"/>
      <c r="O7319" s="1"/>
      <c r="P7319" s="1"/>
      <c r="Q7319" s="1"/>
      <c r="R7319" s="1"/>
      <c r="S7319" s="1"/>
      <c r="T7319" s="1"/>
      <c r="U7319" s="1"/>
      <c r="V7319" s="1"/>
      <c r="W7319" s="1"/>
      <c r="X7319" s="1"/>
      <c r="Y7319" s="1"/>
      <c r="Z7319" s="1"/>
      <c r="AA7319" s="1"/>
      <c r="AB7319" s="1"/>
    </row>
    <row r="7320" ht="50.25" customHeight="1">
      <c r="A7320" s="12">
        <v>7316.0</v>
      </c>
      <c r="B7320" s="13" t="s">
        <v>7028</v>
      </c>
      <c r="C7320" s="14" t="s">
        <v>7344</v>
      </c>
      <c r="D7320" s="1"/>
      <c r="E7320" s="1"/>
      <c r="F7320" s="1" t="str">
        <f>IFERROR(__xludf.DUMMYFUNCTION("GOOGLETRANSLATE(B7320, ""en"", ""fa"")
"),"موفقیت در ای بی")</f>
        <v>موفقیت در ای بی</v>
      </c>
      <c r="G7320" s="1" t="str">
        <f>IFERROR(__xludf.DUMMYFUNCTION("GOOGLETRANSLATE(C7320, ""en"", ""fa"")
"),"از چه استراتژی هایی می توانم برای تحقیق و تطبیق بسته بندی و برچسب گذاری محصولم برای مطابقت با استانداردها و الزامات بین المللی در eBay استفاده کنم؟")</f>
        <v>از چه استراتژی هایی می توانم برای تحقیق و تطبیق بسته بندی و برچسب گذاری محصولم برای مطابقت با استانداردها و الزامات بین المللی در eBay استفاده کنم؟</v>
      </c>
      <c r="H7320" s="1"/>
      <c r="I7320" s="1"/>
      <c r="J7320" s="1"/>
      <c r="K7320" s="1"/>
      <c r="L7320" s="1"/>
      <c r="M7320" s="1"/>
      <c r="N7320" s="1"/>
      <c r="O7320" s="1"/>
      <c r="P7320" s="1"/>
      <c r="Q7320" s="1"/>
      <c r="R7320" s="1"/>
      <c r="S7320" s="1"/>
      <c r="T7320" s="1"/>
      <c r="U7320" s="1"/>
      <c r="V7320" s="1"/>
      <c r="W7320" s="1"/>
      <c r="X7320" s="1"/>
      <c r="Y7320" s="1"/>
      <c r="Z7320" s="1"/>
      <c r="AA7320" s="1"/>
      <c r="AB7320" s="1"/>
    </row>
    <row r="7321" ht="50.25" customHeight="1">
      <c r="A7321" s="12">
        <v>7317.0</v>
      </c>
      <c r="B7321" s="13" t="s">
        <v>7028</v>
      </c>
      <c r="C7321" s="14" t="s">
        <v>7345</v>
      </c>
      <c r="D7321" s="1"/>
      <c r="E7321" s="1"/>
      <c r="F7321" s="1" t="str">
        <f>IFERROR(__xludf.DUMMYFUNCTION("GOOGLETRANSLATE(B7321, ""en"", ""fa"")
"),"موفقیت در ای بی")</f>
        <v>موفقیت در ای بی</v>
      </c>
      <c r="G7321" s="1" t="str">
        <f>IFERROR(__xludf.DUMMYFUNCTION("GOOGLETRANSLATE(C7321, ""en"", ""fa"")
"),"چگونه می توانم به طور فعال به موارد سوء تفاهم زبانی یا فرهنگی با خریداران بین المللی eBay رسیدگی و حل کنم؟")</f>
        <v>چگونه می توانم به طور فعال به موارد سوء تفاهم زبانی یا فرهنگی با خریداران بین المللی eBay رسیدگی و حل کنم؟</v>
      </c>
      <c r="H7321" s="1"/>
      <c r="I7321" s="1"/>
      <c r="J7321" s="1"/>
      <c r="K7321" s="1"/>
      <c r="L7321" s="1"/>
      <c r="M7321" s="1"/>
      <c r="N7321" s="1"/>
      <c r="O7321" s="1"/>
      <c r="P7321" s="1"/>
      <c r="Q7321" s="1"/>
      <c r="R7321" s="1"/>
      <c r="S7321" s="1"/>
      <c r="T7321" s="1"/>
      <c r="U7321" s="1"/>
      <c r="V7321" s="1"/>
      <c r="W7321" s="1"/>
      <c r="X7321" s="1"/>
      <c r="Y7321" s="1"/>
      <c r="Z7321" s="1"/>
      <c r="AA7321" s="1"/>
      <c r="AB7321" s="1"/>
    </row>
    <row r="7322" ht="50.25" customHeight="1">
      <c r="A7322" s="12">
        <v>7318.0</v>
      </c>
      <c r="B7322" s="13" t="s">
        <v>7028</v>
      </c>
      <c r="C7322" s="14" t="s">
        <v>7346</v>
      </c>
      <c r="D7322" s="1"/>
      <c r="E7322" s="1"/>
      <c r="F7322" s="1" t="str">
        <f>IFERROR(__xludf.DUMMYFUNCTION("GOOGLETRANSLATE(B7322, ""en"", ""fa"")
"),"موفقیت در ای بی")</f>
        <v>موفقیت در ای بی</v>
      </c>
      <c r="G7322" s="1" t="str">
        <f>IFERROR(__xludf.DUMMYFUNCTION("GOOGLETRANSLATE(C7322, ""en"", ""fa"")
"),"عناصر کلیدی یک استراتژی بازاریابی و تبلیغات بین المللی برای تبلیغ کسب و کار eBay من به مخاطبان جهانی چیست؟")</f>
        <v>عناصر کلیدی یک استراتژی بازاریابی و تبلیغات بین المللی برای تبلیغ کسب و کار eBay من به مخاطبان جهانی چیست؟</v>
      </c>
      <c r="H7322" s="1"/>
      <c r="I7322" s="1"/>
      <c r="J7322" s="1"/>
      <c r="K7322" s="1"/>
      <c r="L7322" s="1"/>
      <c r="M7322" s="1"/>
      <c r="N7322" s="1"/>
      <c r="O7322" s="1"/>
      <c r="P7322" s="1"/>
      <c r="Q7322" s="1"/>
      <c r="R7322" s="1"/>
      <c r="S7322" s="1"/>
      <c r="T7322" s="1"/>
      <c r="U7322" s="1"/>
      <c r="V7322" s="1"/>
      <c r="W7322" s="1"/>
      <c r="X7322" s="1"/>
      <c r="Y7322" s="1"/>
      <c r="Z7322" s="1"/>
      <c r="AA7322" s="1"/>
      <c r="AB7322" s="1"/>
    </row>
    <row r="7323" ht="50.25" customHeight="1">
      <c r="A7323" s="12">
        <v>7319.0</v>
      </c>
      <c r="B7323" s="13" t="s">
        <v>7028</v>
      </c>
      <c r="C7323" s="14" t="s">
        <v>7347</v>
      </c>
      <c r="D7323" s="1"/>
      <c r="E7323" s="1"/>
      <c r="F7323" s="1" t="str">
        <f>IFERROR(__xludf.DUMMYFUNCTION("GOOGLETRANSLATE(B7323, ""en"", ""fa"")
"),"موفقیت در ای بی")</f>
        <v>موفقیت در ای بی</v>
      </c>
      <c r="G7323" s="1" t="str">
        <f>IFERROR(__xludf.DUMMYFUNCTION("GOOGLETRANSLATE(C7323, ""en"", ""fa"")
"),"چگونه می توانم از شبکه های منبع یابی و تامین کننده جهانی برای گسترش محصولات خود برای فروش بین المللی در eBay استفاده کنم؟")</f>
        <v>چگونه می توانم از شبکه های منبع یابی و تامین کننده جهانی برای گسترش محصولات خود برای فروش بین المللی در eBay استفاده کنم؟</v>
      </c>
      <c r="H7323" s="1"/>
      <c r="I7323" s="1"/>
      <c r="J7323" s="1"/>
      <c r="K7323" s="1"/>
      <c r="L7323" s="1"/>
      <c r="M7323" s="1"/>
      <c r="N7323" s="1"/>
      <c r="O7323" s="1"/>
      <c r="P7323" s="1"/>
      <c r="Q7323" s="1"/>
      <c r="R7323" s="1"/>
      <c r="S7323" s="1"/>
      <c r="T7323" s="1"/>
      <c r="U7323" s="1"/>
      <c r="V7323" s="1"/>
      <c r="W7323" s="1"/>
      <c r="X7323" s="1"/>
      <c r="Y7323" s="1"/>
      <c r="Z7323" s="1"/>
      <c r="AA7323" s="1"/>
      <c r="AB7323" s="1"/>
    </row>
    <row r="7324" ht="50.25" customHeight="1">
      <c r="A7324" s="12">
        <v>7320.0</v>
      </c>
      <c r="B7324" s="13" t="s">
        <v>7028</v>
      </c>
      <c r="C7324" s="14" t="s">
        <v>7348</v>
      </c>
      <c r="D7324" s="1"/>
      <c r="E7324" s="1"/>
      <c r="F7324" s="1" t="str">
        <f>IFERROR(__xludf.DUMMYFUNCTION("GOOGLETRANSLATE(B7324, ""en"", ""fa"")
"),"موفقیت در ای بی")</f>
        <v>موفقیت در ای بی</v>
      </c>
      <c r="G7324" s="1" t="str">
        <f>IFERROR(__xludf.DUMMYFUNCTION("GOOGLETRANSLATE(C7324, ""en"", ""fa"")
"),"چه استراتژی هایی را می توانم برای ارائه اطلاعات دقیق و بومی سازی اندازه و اندازه گیری محصول برای خریداران بین المللی در eBay به کار بگیرم؟")</f>
        <v>چه استراتژی هایی را می توانم برای ارائه اطلاعات دقیق و بومی سازی اندازه و اندازه گیری محصول برای خریداران بین المللی در eBay به کار بگیرم؟</v>
      </c>
      <c r="H7324" s="1"/>
      <c r="I7324" s="1"/>
      <c r="J7324" s="1"/>
      <c r="K7324" s="1"/>
      <c r="L7324" s="1"/>
      <c r="M7324" s="1"/>
      <c r="N7324" s="1"/>
      <c r="O7324" s="1"/>
      <c r="P7324" s="1"/>
      <c r="Q7324" s="1"/>
      <c r="R7324" s="1"/>
      <c r="S7324" s="1"/>
      <c r="T7324" s="1"/>
      <c r="U7324" s="1"/>
      <c r="V7324" s="1"/>
      <c r="W7324" s="1"/>
      <c r="X7324" s="1"/>
      <c r="Y7324" s="1"/>
      <c r="Z7324" s="1"/>
      <c r="AA7324" s="1"/>
      <c r="AB7324" s="1"/>
    </row>
    <row r="7325" ht="50.25" customHeight="1">
      <c r="A7325" s="12">
        <v>7321.0</v>
      </c>
      <c r="B7325" s="13" t="s">
        <v>7028</v>
      </c>
      <c r="C7325" s="14" t="s">
        <v>7349</v>
      </c>
      <c r="D7325" s="1"/>
      <c r="E7325" s="1"/>
      <c r="F7325" s="1" t="str">
        <f>IFERROR(__xludf.DUMMYFUNCTION("GOOGLETRANSLATE(B7325, ""en"", ""fa"")
"),"موفقیت در ای بی")</f>
        <v>موفقیت در ای بی</v>
      </c>
      <c r="G7325" s="1" t="str">
        <f>IFERROR(__xludf.DUMMYFUNCTION("GOOGLETRANSLATE(C7325, ""en"", ""fa"")
"),"چگونه می توانم سطوح موجودی بین المللی و در دسترس بودن را برای مشتریان جهانی eBay به طور موثر مدیریت و پیگیری کنم؟")</f>
        <v>چگونه می توانم سطوح موجودی بین المللی و در دسترس بودن را برای مشتریان جهانی eBay به طور موثر مدیریت و پیگیری کنم؟</v>
      </c>
      <c r="H7325" s="1"/>
      <c r="I7325" s="1"/>
      <c r="J7325" s="1"/>
      <c r="K7325" s="1"/>
      <c r="L7325" s="1"/>
      <c r="M7325" s="1"/>
      <c r="N7325" s="1"/>
      <c r="O7325" s="1"/>
      <c r="P7325" s="1"/>
      <c r="Q7325" s="1"/>
      <c r="R7325" s="1"/>
      <c r="S7325" s="1"/>
      <c r="T7325" s="1"/>
      <c r="U7325" s="1"/>
      <c r="V7325" s="1"/>
      <c r="W7325" s="1"/>
      <c r="X7325" s="1"/>
      <c r="Y7325" s="1"/>
      <c r="Z7325" s="1"/>
      <c r="AA7325" s="1"/>
      <c r="AB7325" s="1"/>
    </row>
    <row r="7326" ht="50.25" customHeight="1">
      <c r="A7326" s="12">
        <v>7322.0</v>
      </c>
      <c r="B7326" s="13" t="s">
        <v>7028</v>
      </c>
      <c r="C7326" s="14" t="s">
        <v>7350</v>
      </c>
      <c r="D7326" s="1"/>
      <c r="E7326" s="1"/>
      <c r="F7326" s="1" t="str">
        <f>IFERROR(__xludf.DUMMYFUNCTION("GOOGLETRANSLATE(B7326, ""en"", ""fa"")
"),"موفقیت در ای بی")</f>
        <v>موفقیت در ای بی</v>
      </c>
      <c r="G7326" s="1" t="str">
        <f>IFERROR(__xludf.DUMMYFUNCTION("GOOGLETRANSLATE(C7326, ""en"", ""fa"")
"),"از چه استراتژی هایی می توانم برای برقراری ارتباط فعالانه با خریداران بین المللی در مورد به روز رسانی های حمل و نقل و اطلاعات ردیابی در eBay استفاده کنم؟")</f>
        <v>از چه استراتژی هایی می توانم برای برقراری ارتباط فعالانه با خریداران بین المللی در مورد به روز رسانی های حمل و نقل و اطلاعات ردیابی در eBay استفاده کنم؟</v>
      </c>
      <c r="H7326" s="1"/>
      <c r="I7326" s="1"/>
      <c r="J7326" s="1"/>
      <c r="K7326" s="1"/>
      <c r="L7326" s="1"/>
      <c r="M7326" s="1"/>
      <c r="N7326" s="1"/>
      <c r="O7326" s="1"/>
      <c r="P7326" s="1"/>
      <c r="Q7326" s="1"/>
      <c r="R7326" s="1"/>
      <c r="S7326" s="1"/>
      <c r="T7326" s="1"/>
      <c r="U7326" s="1"/>
      <c r="V7326" s="1"/>
      <c r="W7326" s="1"/>
      <c r="X7326" s="1"/>
      <c r="Y7326" s="1"/>
      <c r="Z7326" s="1"/>
      <c r="AA7326" s="1"/>
      <c r="AB7326" s="1"/>
    </row>
    <row r="7327" ht="50.25" customHeight="1">
      <c r="A7327" s="12">
        <v>7323.0</v>
      </c>
      <c r="B7327" s="13" t="s">
        <v>7028</v>
      </c>
      <c r="C7327" s="14" t="s">
        <v>7351</v>
      </c>
      <c r="D7327" s="1"/>
      <c r="E7327" s="1"/>
      <c r="F7327" s="1" t="str">
        <f>IFERROR(__xludf.DUMMYFUNCTION("GOOGLETRANSLATE(B7327, ""en"", ""fa"")
"),"موفقیت در ای بی")</f>
        <v>موفقیت در ای بی</v>
      </c>
      <c r="G7327" s="1" t="str">
        <f>IFERROR(__xludf.DUMMYFUNCTION("GOOGLETRANSLATE(C7327, ""en"", ""fa"")
"),"چگونه می توانم فروشگاه eBay خود را برای اعتماد و امنیت خریدار بین المللی از طریق گزینه های پرداخت امن و برنامه های محافظت از خریدار بهینه کنم؟")</f>
        <v>چگونه می توانم فروشگاه eBay خود را برای اعتماد و امنیت خریدار بین المللی از طریق گزینه های پرداخت امن و برنامه های محافظت از خریدار بهینه کنم؟</v>
      </c>
      <c r="H7327" s="1"/>
      <c r="I7327" s="1"/>
      <c r="J7327" s="1"/>
      <c r="K7327" s="1"/>
      <c r="L7327" s="1"/>
      <c r="M7327" s="1"/>
      <c r="N7327" s="1"/>
      <c r="O7327" s="1"/>
      <c r="P7327" s="1"/>
      <c r="Q7327" s="1"/>
      <c r="R7327" s="1"/>
      <c r="S7327" s="1"/>
      <c r="T7327" s="1"/>
      <c r="U7327" s="1"/>
      <c r="V7327" s="1"/>
      <c r="W7327" s="1"/>
      <c r="X7327" s="1"/>
      <c r="Y7327" s="1"/>
      <c r="Z7327" s="1"/>
      <c r="AA7327" s="1"/>
      <c r="AB7327" s="1"/>
    </row>
    <row r="7328" ht="50.25" customHeight="1">
      <c r="A7328" s="12">
        <v>7324.0</v>
      </c>
      <c r="B7328" s="13" t="s">
        <v>7028</v>
      </c>
      <c r="C7328" s="14" t="s">
        <v>7352</v>
      </c>
      <c r="D7328" s="1"/>
      <c r="E7328" s="1"/>
      <c r="F7328" s="1" t="str">
        <f>IFERROR(__xludf.DUMMYFUNCTION("GOOGLETRANSLATE(B7328, ""en"", ""fa"")
"),"موفقیت در ای بی")</f>
        <v>موفقیت در ای بی</v>
      </c>
      <c r="G7328" s="1" t="str">
        <f>IFERROR(__xludf.DUMMYFUNCTION("GOOGLETRANSLATE(C7328, ""en"", ""fa"")
"),"مزایای ارائه گزینه های حمل و نقل انعطاف پذیر به خریداران بین المللی، مانند حمل و نقل سریع یا اقتصادی، در eBay چیست؟")</f>
        <v>مزایای ارائه گزینه های حمل و نقل انعطاف پذیر به خریداران بین المللی، مانند حمل و نقل سریع یا اقتصادی، در eBay چیست؟</v>
      </c>
      <c r="H7328" s="1"/>
      <c r="I7328" s="1"/>
      <c r="J7328" s="1"/>
      <c r="K7328" s="1"/>
      <c r="L7328" s="1"/>
      <c r="M7328" s="1"/>
      <c r="N7328" s="1"/>
      <c r="O7328" s="1"/>
      <c r="P7328" s="1"/>
      <c r="Q7328" s="1"/>
      <c r="R7328" s="1"/>
      <c r="S7328" s="1"/>
      <c r="T7328" s="1"/>
      <c r="U7328" s="1"/>
      <c r="V7328" s="1"/>
      <c r="W7328" s="1"/>
      <c r="X7328" s="1"/>
      <c r="Y7328" s="1"/>
      <c r="Z7328" s="1"/>
      <c r="AA7328" s="1"/>
      <c r="AB7328" s="1"/>
    </row>
    <row r="7329" ht="50.25" customHeight="1">
      <c r="A7329" s="12">
        <v>7325.0</v>
      </c>
      <c r="B7329" s="13" t="s">
        <v>7028</v>
      </c>
      <c r="C7329" s="14" t="s">
        <v>7353</v>
      </c>
      <c r="D7329" s="1"/>
      <c r="E7329" s="1"/>
      <c r="F7329" s="1" t="str">
        <f>IFERROR(__xludf.DUMMYFUNCTION("GOOGLETRANSLATE(B7329, ""en"", ""fa"")
"),"موفقیت در ای بی")</f>
        <v>موفقیت در ای بی</v>
      </c>
      <c r="G7329" s="1" t="str">
        <f>IFERROR(__xludf.DUMMYFUNCTION("GOOGLETRANSLATE(C7329, ""en"", ""fa"")
"),"چگونه می توانم برای اقلام خطرناک یا محدود در eBay پیمایش کنم و از الزامات برچسب گذاری و بسته بندی بین المللی پیروی کنم؟")</f>
        <v>چگونه می توانم برای اقلام خطرناک یا محدود در eBay پیمایش کنم و از الزامات برچسب گذاری و بسته بندی بین المللی پیروی کنم؟</v>
      </c>
      <c r="H7329" s="1"/>
      <c r="I7329" s="1"/>
      <c r="J7329" s="1"/>
      <c r="K7329" s="1"/>
      <c r="L7329" s="1"/>
      <c r="M7329" s="1"/>
      <c r="N7329" s="1"/>
      <c r="O7329" s="1"/>
      <c r="P7329" s="1"/>
      <c r="Q7329" s="1"/>
      <c r="R7329" s="1"/>
      <c r="S7329" s="1"/>
      <c r="T7329" s="1"/>
      <c r="U7329" s="1"/>
      <c r="V7329" s="1"/>
      <c r="W7329" s="1"/>
      <c r="X7329" s="1"/>
      <c r="Y7329" s="1"/>
      <c r="Z7329" s="1"/>
      <c r="AA7329" s="1"/>
      <c r="AB7329" s="1"/>
    </row>
    <row r="7330" ht="50.25" customHeight="1">
      <c r="A7330" s="12">
        <v>7326.0</v>
      </c>
      <c r="B7330" s="13" t="s">
        <v>7028</v>
      </c>
      <c r="C7330" s="14" t="s">
        <v>7354</v>
      </c>
      <c r="D7330" s="1"/>
      <c r="E7330" s="1"/>
      <c r="F7330" s="1" t="str">
        <f>IFERROR(__xludf.DUMMYFUNCTION("GOOGLETRANSLATE(B7330, ""en"", ""fa"")
"),"موفقیت در ای بی")</f>
        <v>موفقیت در ای بی</v>
      </c>
      <c r="G7330" s="1" t="str">
        <f>IFERROR(__xludf.DUMMYFUNCTION("GOOGLETRANSLATE(C7330, ""en"", ""fa"")
"),"از چه استراتژی هایی می توانم برای ارائه توصیه های محصول محلی و فرصت های فروش متقابل برای مشتریان بین المللی eBay استفاده کنم؟")</f>
        <v>از چه استراتژی هایی می توانم برای ارائه توصیه های محصول محلی و فرصت های فروش متقابل برای مشتریان بین المللی eBay استفاده کنم؟</v>
      </c>
      <c r="H7330" s="1"/>
      <c r="I7330" s="1"/>
      <c r="J7330" s="1"/>
      <c r="K7330" s="1"/>
      <c r="L7330" s="1"/>
      <c r="M7330" s="1"/>
      <c r="N7330" s="1"/>
      <c r="O7330" s="1"/>
      <c r="P7330" s="1"/>
      <c r="Q7330" s="1"/>
      <c r="R7330" s="1"/>
      <c r="S7330" s="1"/>
      <c r="T7330" s="1"/>
      <c r="U7330" s="1"/>
      <c r="V7330" s="1"/>
      <c r="W7330" s="1"/>
      <c r="X7330" s="1"/>
      <c r="Y7330" s="1"/>
      <c r="Z7330" s="1"/>
      <c r="AA7330" s="1"/>
      <c r="AB7330" s="1"/>
    </row>
    <row r="7331" ht="50.25" customHeight="1">
      <c r="A7331" s="12">
        <v>7327.0</v>
      </c>
      <c r="B7331" s="13" t="s">
        <v>7028</v>
      </c>
      <c r="C7331" s="14" t="s">
        <v>7355</v>
      </c>
      <c r="D7331" s="1"/>
      <c r="E7331" s="1"/>
      <c r="F7331" s="1" t="str">
        <f>IFERROR(__xludf.DUMMYFUNCTION("GOOGLETRANSLATE(B7331, ""en"", ""fa"")
"),"موفقیت در ای بی")</f>
        <v>موفقیت در ای بی</v>
      </c>
      <c r="G7331" s="1" t="str">
        <f>IFERROR(__xludf.DUMMYFUNCTION("GOOGLETRANSLATE(C7331, ""en"", ""fa"")
"),"چگونه می توانم به طور فعال به موارد تبدیل ارز بین المللی یا نوسانات نرخ مبادله در eBay رسیدگی و حل کنم؟")</f>
        <v>چگونه می توانم به طور فعال به موارد تبدیل ارز بین المللی یا نوسانات نرخ مبادله در eBay رسیدگی و حل کنم؟</v>
      </c>
      <c r="H7331" s="1"/>
      <c r="I7331" s="1"/>
      <c r="J7331" s="1"/>
      <c r="K7331" s="1"/>
      <c r="L7331" s="1"/>
      <c r="M7331" s="1"/>
      <c r="N7331" s="1"/>
      <c r="O7331" s="1"/>
      <c r="P7331" s="1"/>
      <c r="Q7331" s="1"/>
      <c r="R7331" s="1"/>
      <c r="S7331" s="1"/>
      <c r="T7331" s="1"/>
      <c r="U7331" s="1"/>
      <c r="V7331" s="1"/>
      <c r="W7331" s="1"/>
      <c r="X7331" s="1"/>
      <c r="Y7331" s="1"/>
      <c r="Z7331" s="1"/>
      <c r="AA7331" s="1"/>
      <c r="AB7331" s="1"/>
    </row>
    <row r="7332" ht="50.25" customHeight="1">
      <c r="A7332" s="12">
        <v>7328.0</v>
      </c>
      <c r="B7332" s="13" t="s">
        <v>7028</v>
      </c>
      <c r="C7332" s="14" t="s">
        <v>7356</v>
      </c>
      <c r="D7332" s="1"/>
      <c r="E7332" s="1"/>
      <c r="F7332" s="1" t="str">
        <f>IFERROR(__xludf.DUMMYFUNCTION("GOOGLETRANSLATE(B7332, ""en"", ""fa"")
"),"موفقیت در ای بی")</f>
        <v>موفقیت در ای بی</v>
      </c>
      <c r="G7332" s="1" t="str">
        <f>IFERROR(__xludf.DUMMYFUNCTION("GOOGLETRANSLATE(C7332, ""en"", ""fa"")
"),"عناصر کلیدی یک بیمه نامه حمل و نقل بین المللی جامع برای محافظت از محموله ها برای خریداران جهانی eBay چیست؟")</f>
        <v>عناصر کلیدی یک بیمه نامه حمل و نقل بین المللی جامع برای محافظت از محموله ها برای خریداران جهانی eBay چیست؟</v>
      </c>
      <c r="H7332" s="1"/>
      <c r="I7332" s="1"/>
      <c r="J7332" s="1"/>
      <c r="K7332" s="1"/>
      <c r="L7332" s="1"/>
      <c r="M7332" s="1"/>
      <c r="N7332" s="1"/>
      <c r="O7332" s="1"/>
      <c r="P7332" s="1"/>
      <c r="Q7332" s="1"/>
      <c r="R7332" s="1"/>
      <c r="S7332" s="1"/>
      <c r="T7332" s="1"/>
      <c r="U7332" s="1"/>
      <c r="V7332" s="1"/>
      <c r="W7332" s="1"/>
      <c r="X7332" s="1"/>
      <c r="Y7332" s="1"/>
      <c r="Z7332" s="1"/>
      <c r="AA7332" s="1"/>
      <c r="AB7332" s="1"/>
    </row>
    <row r="7333" ht="50.25" customHeight="1">
      <c r="A7333" s="12">
        <v>7329.0</v>
      </c>
      <c r="B7333" s="13" t="s">
        <v>7028</v>
      </c>
      <c r="C7333" s="14" t="s">
        <v>7357</v>
      </c>
      <c r="D7333" s="1"/>
      <c r="E7333" s="1"/>
      <c r="F7333" s="1" t="str">
        <f>IFERROR(__xludf.DUMMYFUNCTION("GOOGLETRANSLATE(B7333, ""en"", ""fa"")
"),"موفقیت در ای بی")</f>
        <v>موفقیت در ای بی</v>
      </c>
      <c r="G7333" s="1" t="str">
        <f>IFERROR(__xludf.DUMMYFUNCTION("GOOGLETRANSLATE(C7333, ""en"", ""fa"")
"),"چگونه می توانم از بینش های بازار بین المللی و تجزیه و تحلیل داده ها برای تصمیم گیری آگاهانه برای گسترش تجارت eBay خود در سطح جهانی استفاده کنم؟")</f>
        <v>چگونه می توانم از بینش های بازار بین المللی و تجزیه و تحلیل داده ها برای تصمیم گیری آگاهانه برای گسترش تجارت eBay خود در سطح جهانی استفاده کنم؟</v>
      </c>
      <c r="H7333" s="1"/>
      <c r="I7333" s="1"/>
      <c r="J7333" s="1"/>
      <c r="K7333" s="1"/>
      <c r="L7333" s="1"/>
      <c r="M7333" s="1"/>
      <c r="N7333" s="1"/>
      <c r="O7333" s="1"/>
      <c r="P7333" s="1"/>
      <c r="Q7333" s="1"/>
      <c r="R7333" s="1"/>
      <c r="S7333" s="1"/>
      <c r="T7333" s="1"/>
      <c r="U7333" s="1"/>
      <c r="V7333" s="1"/>
      <c r="W7333" s="1"/>
      <c r="X7333" s="1"/>
      <c r="Y7333" s="1"/>
      <c r="Z7333" s="1"/>
      <c r="AA7333" s="1"/>
      <c r="AB7333" s="1"/>
    </row>
    <row r="7334" ht="50.25" customHeight="1">
      <c r="A7334" s="12">
        <v>7330.0</v>
      </c>
      <c r="B7334" s="13" t="s">
        <v>7028</v>
      </c>
      <c r="C7334" s="14" t="s">
        <v>7358</v>
      </c>
      <c r="D7334" s="1"/>
      <c r="E7334" s="1"/>
      <c r="F7334" s="1" t="str">
        <f>IFERROR(__xludf.DUMMYFUNCTION("GOOGLETRANSLATE(B7334, ""en"", ""fa"")
"),"موفقیت در ای بی")</f>
        <v>موفقیت در ای بی</v>
      </c>
      <c r="G7334" s="1" t="str">
        <f>IFERROR(__xludf.DUMMYFUNCTION("GOOGLETRANSLATE(C7334, ""en"", ""fa"")
"),"چگونه می توانم لیست های eBay خود را برای مقررات تجارت فرامرزی و الزامات انطباق برای فروش بین المللی بهینه کنم؟")</f>
        <v>چگونه می توانم لیست های eBay خود را برای مقررات تجارت فرامرزی و الزامات انطباق برای فروش بین المللی بهینه کنم؟</v>
      </c>
      <c r="H7334" s="1"/>
      <c r="I7334" s="1"/>
      <c r="J7334" s="1"/>
      <c r="K7334" s="1"/>
      <c r="L7334" s="1"/>
      <c r="M7334" s="1"/>
      <c r="N7334" s="1"/>
      <c r="O7334" s="1"/>
      <c r="P7334" s="1"/>
      <c r="Q7334" s="1"/>
      <c r="R7334" s="1"/>
      <c r="S7334" s="1"/>
      <c r="T7334" s="1"/>
      <c r="U7334" s="1"/>
      <c r="V7334" s="1"/>
      <c r="W7334" s="1"/>
      <c r="X7334" s="1"/>
      <c r="Y7334" s="1"/>
      <c r="Z7334" s="1"/>
      <c r="AA7334" s="1"/>
      <c r="AB7334" s="1"/>
    </row>
    <row r="7335" ht="50.25" customHeight="1">
      <c r="A7335" s="12">
        <v>7331.0</v>
      </c>
      <c r="B7335" s="13" t="s">
        <v>7028</v>
      </c>
      <c r="C7335" s="14" t="s">
        <v>7359</v>
      </c>
      <c r="D7335" s="1"/>
      <c r="E7335" s="1"/>
      <c r="F7335" s="1" t="str">
        <f>IFERROR(__xludf.DUMMYFUNCTION("GOOGLETRANSLATE(B7335, ""en"", ""fa"")
"),"موفقیت در ای بی")</f>
        <v>موفقیت در ای بی</v>
      </c>
      <c r="G7335" s="1" t="str">
        <f>IFERROR(__xludf.DUMMYFUNCTION("GOOGLETRANSLATE(C7335, ""en"", ""fa"")
"),"از چه استراتژی هایی می توانم استفاده کنم تا به خریداران بین المللی بازه های زمانی رقابتی حمل و نقل و گزینه های تحویل در eBay ارائه دهم؟")</f>
        <v>از چه استراتژی هایی می توانم استفاده کنم تا به خریداران بین المللی بازه های زمانی رقابتی حمل و نقل و گزینه های تحویل در eBay ارائه دهم؟</v>
      </c>
      <c r="H7335" s="1"/>
      <c r="I7335" s="1"/>
      <c r="J7335" s="1"/>
      <c r="K7335" s="1"/>
      <c r="L7335" s="1"/>
      <c r="M7335" s="1"/>
      <c r="N7335" s="1"/>
      <c r="O7335" s="1"/>
      <c r="P7335" s="1"/>
      <c r="Q7335" s="1"/>
      <c r="R7335" s="1"/>
      <c r="S7335" s="1"/>
      <c r="T7335" s="1"/>
      <c r="U7335" s="1"/>
      <c r="V7335" s="1"/>
      <c r="W7335" s="1"/>
      <c r="X7335" s="1"/>
      <c r="Y7335" s="1"/>
      <c r="Z7335" s="1"/>
      <c r="AA7335" s="1"/>
      <c r="AB7335" s="1"/>
    </row>
    <row r="7336" ht="50.25" customHeight="1">
      <c r="A7336" s="12">
        <v>7332.0</v>
      </c>
      <c r="B7336" s="13" t="s">
        <v>7028</v>
      </c>
      <c r="C7336" s="14" t="s">
        <v>7360</v>
      </c>
      <c r="D7336" s="1"/>
      <c r="E7336" s="1"/>
      <c r="F7336" s="1" t="str">
        <f>IFERROR(__xludf.DUMMYFUNCTION("GOOGLETRANSLATE(B7336, ""en"", ""fa"")
"),"موفقیت در ای بی")</f>
        <v>موفقیت در ای بی</v>
      </c>
      <c r="G7336" s="1" t="str">
        <f>IFERROR(__xludf.DUMMYFUNCTION("GOOGLETRANSLATE(C7336, ""en"", ""fa"")
"),"چگونه می توانم به طور موثر ضمانت ها یا ضمانت های محصول بین المللی را برای مشتریان جهانی eBay مدیریت و پردازش کنم؟")</f>
        <v>چگونه می توانم به طور موثر ضمانت ها یا ضمانت های محصول بین المللی را برای مشتریان جهانی eBay مدیریت و پردازش کنم؟</v>
      </c>
      <c r="H7336" s="1"/>
      <c r="I7336" s="1"/>
      <c r="J7336" s="1"/>
      <c r="K7336" s="1"/>
      <c r="L7336" s="1"/>
      <c r="M7336" s="1"/>
      <c r="N7336" s="1"/>
      <c r="O7336" s="1"/>
      <c r="P7336" s="1"/>
      <c r="Q7336" s="1"/>
      <c r="R7336" s="1"/>
      <c r="S7336" s="1"/>
      <c r="T7336" s="1"/>
      <c r="U7336" s="1"/>
      <c r="V7336" s="1"/>
      <c r="W7336" s="1"/>
      <c r="X7336" s="1"/>
      <c r="Y7336" s="1"/>
      <c r="Z7336" s="1"/>
      <c r="AA7336" s="1"/>
      <c r="AB7336" s="1"/>
    </row>
    <row r="7337" ht="50.25" customHeight="1">
      <c r="A7337" s="12">
        <v>7333.0</v>
      </c>
      <c r="B7337" s="13" t="s">
        <v>7028</v>
      </c>
      <c r="C7337" s="14" t="s">
        <v>7361</v>
      </c>
      <c r="D7337" s="1"/>
      <c r="E7337" s="1"/>
      <c r="F7337" s="1" t="str">
        <f>IFERROR(__xludf.DUMMYFUNCTION("GOOGLETRANSLATE(B7337, ""en"", ""fa"")
"),"موفقیت در ای بی")</f>
        <v>موفقیت در ای بی</v>
      </c>
      <c r="G7337" s="1" t="str">
        <f>IFERROR(__xludf.DUMMYFUNCTION("GOOGLETRANSLATE(C7337, ""en"", ""fa"")
"),"مزایای استفاده از کانال های بازاریابی و تبلیغات محلی، مانند پلت فرم های رسانه های اجتماعی، برای هدف قرار دادن خریداران بین المللی eBay چیست؟")</f>
        <v>مزایای استفاده از کانال های بازاریابی و تبلیغات محلی، مانند پلت فرم های رسانه های اجتماعی، برای هدف قرار دادن خریداران بین المللی eBay چیست؟</v>
      </c>
      <c r="H7337" s="1"/>
      <c r="I7337" s="1"/>
      <c r="J7337" s="1"/>
      <c r="K7337" s="1"/>
      <c r="L7337" s="1"/>
      <c r="M7337" s="1"/>
      <c r="N7337" s="1"/>
      <c r="O7337" s="1"/>
      <c r="P7337" s="1"/>
      <c r="Q7337" s="1"/>
      <c r="R7337" s="1"/>
      <c r="S7337" s="1"/>
      <c r="T7337" s="1"/>
      <c r="U7337" s="1"/>
      <c r="V7337" s="1"/>
      <c r="W7337" s="1"/>
      <c r="X7337" s="1"/>
      <c r="Y7337" s="1"/>
      <c r="Z7337" s="1"/>
      <c r="AA7337" s="1"/>
      <c r="AB7337" s="1"/>
    </row>
    <row r="7338" ht="50.25" customHeight="1">
      <c r="A7338" s="12">
        <v>7334.0</v>
      </c>
      <c r="B7338" s="13" t="s">
        <v>7028</v>
      </c>
      <c r="C7338" s="14" t="s">
        <v>7362</v>
      </c>
      <c r="D7338" s="1"/>
      <c r="E7338" s="1"/>
      <c r="F7338" s="1" t="str">
        <f>IFERROR(__xludf.DUMMYFUNCTION("GOOGLETRANSLATE(B7338, ""en"", ""fa"")
"),"موفقیت در ای بی")</f>
        <v>موفقیت در ای بی</v>
      </c>
      <c r="G7338" s="1" t="str">
        <f>IFERROR(__xludf.DUMMYFUNCTION("GOOGLETRANSLATE(C7338, ""en"", ""fa"")
"),"چگونه می توانم فروشگاه eBay خود را برای بومی سازی و ترجمه زبان بهینه کنم تا بتواند خریداران بین المللی را تامین کند؟")</f>
        <v>چگونه می توانم فروشگاه eBay خود را برای بومی سازی و ترجمه زبان بهینه کنم تا بتواند خریداران بین المللی را تامین کند؟</v>
      </c>
      <c r="H7338" s="1"/>
      <c r="I7338" s="1"/>
      <c r="J7338" s="1"/>
      <c r="K7338" s="1"/>
      <c r="L7338" s="1"/>
      <c r="M7338" s="1"/>
      <c r="N7338" s="1"/>
      <c r="O7338" s="1"/>
      <c r="P7338" s="1"/>
      <c r="Q7338" s="1"/>
      <c r="R7338" s="1"/>
      <c r="S7338" s="1"/>
      <c r="T7338" s="1"/>
      <c r="U7338" s="1"/>
      <c r="V7338" s="1"/>
      <c r="W7338" s="1"/>
      <c r="X7338" s="1"/>
      <c r="Y7338" s="1"/>
      <c r="Z7338" s="1"/>
      <c r="AA7338" s="1"/>
      <c r="AB7338" s="1"/>
    </row>
    <row r="7339" ht="50.25" customHeight="1">
      <c r="A7339" s="12">
        <v>7335.0</v>
      </c>
      <c r="B7339" s="13" t="s">
        <v>7028</v>
      </c>
      <c r="C7339" s="14" t="s">
        <v>7363</v>
      </c>
      <c r="D7339" s="1"/>
      <c r="E7339" s="1"/>
      <c r="F7339" s="1" t="str">
        <f>IFERROR(__xludf.DUMMYFUNCTION("GOOGLETRANSLATE(B7339, ""en"", ""fa"")
"),"موفقیت در ای بی")</f>
        <v>موفقیت در ای بی</v>
      </c>
      <c r="G7339" s="1" t="str">
        <f>IFERROR(__xludf.DUMMYFUNCTION("GOOGLETRANSLATE(C7339, ""en"", ""fa"")
"),"چه استراتژی هایی را می توانم برای ارائه بسته بندی محصول بومی سازی شده یا تطبیق های نام تجاری برای بازارهای بین المللی در eBay به کار بگیرم؟")</f>
        <v>چه استراتژی هایی را می توانم برای ارائه بسته بندی محصول بومی سازی شده یا تطبیق های نام تجاری برای بازارهای بین المللی در eBay به کار بگیرم؟</v>
      </c>
      <c r="H7339" s="1"/>
      <c r="I7339" s="1"/>
      <c r="J7339" s="1"/>
      <c r="K7339" s="1"/>
      <c r="L7339" s="1"/>
      <c r="M7339" s="1"/>
      <c r="N7339" s="1"/>
      <c r="O7339" s="1"/>
      <c r="P7339" s="1"/>
      <c r="Q7339" s="1"/>
      <c r="R7339" s="1"/>
      <c r="S7339" s="1"/>
      <c r="T7339" s="1"/>
      <c r="U7339" s="1"/>
      <c r="V7339" s="1"/>
      <c r="W7339" s="1"/>
      <c r="X7339" s="1"/>
      <c r="Y7339" s="1"/>
      <c r="Z7339" s="1"/>
      <c r="AA7339" s="1"/>
      <c r="AB7339" s="1"/>
    </row>
    <row r="7340" ht="50.25" customHeight="1">
      <c r="A7340" s="12">
        <v>7336.0</v>
      </c>
      <c r="B7340" s="13" t="s">
        <v>7028</v>
      </c>
      <c r="C7340" s="14" t="s">
        <v>7364</v>
      </c>
      <c r="D7340" s="1"/>
      <c r="E7340" s="1"/>
      <c r="F7340" s="1" t="str">
        <f>IFERROR(__xludf.DUMMYFUNCTION("GOOGLETRANSLATE(B7340, ""en"", ""fa"")
"),"موفقیت در ای بی")</f>
        <v>موفقیت در ای بی</v>
      </c>
      <c r="G7340" s="1" t="str">
        <f>IFERROR(__xludf.DUMMYFUNCTION("GOOGLETRANSLATE(C7340, ""en"", ""fa"")
"),"چگونه می توانم به طور فعال با موارد تقلب خریدار بین المللی یا فعالیت مشکوک در eBay رسیدگی کنم؟")</f>
        <v>چگونه می توانم به طور فعال با موارد تقلب خریدار بین المللی یا فعالیت مشکوک در eBay رسیدگی کنم؟</v>
      </c>
      <c r="H7340" s="1"/>
      <c r="I7340" s="1"/>
      <c r="J7340" s="1"/>
      <c r="K7340" s="1"/>
      <c r="L7340" s="1"/>
      <c r="M7340" s="1"/>
      <c r="N7340" s="1"/>
      <c r="O7340" s="1"/>
      <c r="P7340" s="1"/>
      <c r="Q7340" s="1"/>
      <c r="R7340" s="1"/>
      <c r="S7340" s="1"/>
      <c r="T7340" s="1"/>
      <c r="U7340" s="1"/>
      <c r="V7340" s="1"/>
      <c r="W7340" s="1"/>
      <c r="X7340" s="1"/>
      <c r="Y7340" s="1"/>
      <c r="Z7340" s="1"/>
      <c r="AA7340" s="1"/>
      <c r="AB7340" s="1"/>
    </row>
    <row r="7341" ht="50.25" customHeight="1">
      <c r="A7341" s="12">
        <v>7337.0</v>
      </c>
      <c r="B7341" s="13" t="s">
        <v>7028</v>
      </c>
      <c r="C7341" s="14" t="s">
        <v>7365</v>
      </c>
      <c r="D7341" s="1"/>
      <c r="E7341" s="1"/>
      <c r="F7341" s="1" t="str">
        <f>IFERROR(__xludf.DUMMYFUNCTION("GOOGLETRANSLATE(B7341, ""en"", ""fa"")
"),"موفقیت در ای بی")</f>
        <v>موفقیت در ای بی</v>
      </c>
      <c r="G7341" s="1" t="str">
        <f>IFERROR(__xludf.DUMMYFUNCTION("GOOGLETRANSLATE(C7341, ""en"", ""fa"")
"),"عناصر کلیدی یک سیستم مدیریت موجودی بین المللی برای اطمینان از سطح دقیق موجودی و در دسترس بودن برای خریداران جهانی eBay چیست؟")</f>
        <v>عناصر کلیدی یک سیستم مدیریت موجودی بین المللی برای اطمینان از سطح دقیق موجودی و در دسترس بودن برای خریداران جهانی eBay چیست؟</v>
      </c>
      <c r="H7341" s="1"/>
      <c r="I7341" s="1"/>
      <c r="J7341" s="1"/>
      <c r="K7341" s="1"/>
      <c r="L7341" s="1"/>
      <c r="M7341" s="1"/>
      <c r="N7341" s="1"/>
      <c r="O7341" s="1"/>
      <c r="P7341" s="1"/>
      <c r="Q7341" s="1"/>
      <c r="R7341" s="1"/>
      <c r="S7341" s="1"/>
      <c r="T7341" s="1"/>
      <c r="U7341" s="1"/>
      <c r="V7341" s="1"/>
      <c r="W7341" s="1"/>
      <c r="X7341" s="1"/>
      <c r="Y7341" s="1"/>
      <c r="Z7341" s="1"/>
      <c r="AA7341" s="1"/>
      <c r="AB7341" s="1"/>
    </row>
    <row r="7342" ht="50.25" customHeight="1">
      <c r="A7342" s="12">
        <v>7338.0</v>
      </c>
      <c r="B7342" s="13" t="s">
        <v>7028</v>
      </c>
      <c r="C7342" s="14" t="s">
        <v>7366</v>
      </c>
      <c r="D7342" s="1"/>
      <c r="E7342" s="1"/>
      <c r="F7342" s="1" t="str">
        <f>IFERROR(__xludf.DUMMYFUNCTION("GOOGLETRANSLATE(B7342, ""en"", ""fa"")
"),"موفقیت در ای بی")</f>
        <v>موفقیت در ای بی</v>
      </c>
      <c r="G7342" s="1" t="str">
        <f>IFERROR(__xludf.DUMMYFUNCTION("GOOGLETRANSLATE(C7342, ""en"", ""fa"")
"),"چگونه می توانم از روندهای محصولات بین المللی و الگوهای تقاضا برای تهیه و ارائه اقلام با تقاضای بالا برای مشتریان جهانی eBay استفاده کنم؟")</f>
        <v>چگونه می توانم از روندهای محصولات بین المللی و الگوهای تقاضا برای تهیه و ارائه اقلام با تقاضای بالا برای مشتریان جهانی eBay استفاده کنم؟</v>
      </c>
      <c r="H7342" s="1"/>
      <c r="I7342" s="1"/>
      <c r="J7342" s="1"/>
      <c r="K7342" s="1"/>
      <c r="L7342" s="1"/>
      <c r="M7342" s="1"/>
      <c r="N7342" s="1"/>
      <c r="O7342" s="1"/>
      <c r="P7342" s="1"/>
      <c r="Q7342" s="1"/>
      <c r="R7342" s="1"/>
      <c r="S7342" s="1"/>
      <c r="T7342" s="1"/>
      <c r="U7342" s="1"/>
      <c r="V7342" s="1"/>
      <c r="W7342" s="1"/>
      <c r="X7342" s="1"/>
      <c r="Y7342" s="1"/>
      <c r="Z7342" s="1"/>
      <c r="AA7342" s="1"/>
      <c r="AB7342" s="1"/>
    </row>
    <row r="7343" ht="50.25" customHeight="1">
      <c r="A7343" s="12">
        <v>7339.0</v>
      </c>
      <c r="B7343" s="13" t="s">
        <v>7028</v>
      </c>
      <c r="C7343" s="14" t="s">
        <v>7367</v>
      </c>
      <c r="D7343" s="1"/>
      <c r="E7343" s="1"/>
      <c r="F7343" s="1" t="str">
        <f>IFERROR(__xludf.DUMMYFUNCTION("GOOGLETRANSLATE(B7343, ""en"", ""fa"")
"),"موفقیت در ای بی")</f>
        <v>موفقیت در ای بی</v>
      </c>
      <c r="G7343" s="1" t="str">
        <f>IFERROR(__xludf.DUMMYFUNCTION("GOOGLETRANSLATE(C7343, ""en"", ""fa"")
"),"از چه استراتژی هایی می توانم برای ایجاد اعتماد و ایجاد روابط بلندمدت با خریداران بین المللی در eBay استفاده کنم؟")</f>
        <v>از چه استراتژی هایی می توانم برای ایجاد اعتماد و ایجاد روابط بلندمدت با خریداران بین المللی در eBay استفاده کنم؟</v>
      </c>
      <c r="H7343" s="1"/>
      <c r="I7343" s="1"/>
      <c r="J7343" s="1"/>
      <c r="K7343" s="1"/>
      <c r="L7343" s="1"/>
      <c r="M7343" s="1"/>
      <c r="N7343" s="1"/>
      <c r="O7343" s="1"/>
      <c r="P7343" s="1"/>
      <c r="Q7343" s="1"/>
      <c r="R7343" s="1"/>
      <c r="S7343" s="1"/>
      <c r="T7343" s="1"/>
      <c r="U7343" s="1"/>
      <c r="V7343" s="1"/>
      <c r="W7343" s="1"/>
      <c r="X7343" s="1"/>
      <c r="Y7343" s="1"/>
      <c r="Z7343" s="1"/>
      <c r="AA7343" s="1"/>
      <c r="AB7343" s="1"/>
    </row>
    <row r="7344" ht="50.25" customHeight="1">
      <c r="A7344" s="12">
        <v>7340.0</v>
      </c>
      <c r="B7344" s="13" t="s">
        <v>7028</v>
      </c>
      <c r="C7344" s="14" t="s">
        <v>7368</v>
      </c>
      <c r="D7344" s="1"/>
      <c r="E7344" s="1"/>
      <c r="F7344" s="1" t="str">
        <f>IFERROR(__xludf.DUMMYFUNCTION("GOOGLETRANSLATE(B7344, ""en"", ""fa"")
"),"موفقیت در ای بی")</f>
        <v>موفقیت در ای بی</v>
      </c>
      <c r="G7344" s="1" t="str">
        <f>IFERROR(__xludf.DUMMYFUNCTION("GOOGLETRANSLATE(C7344, ""en"", ""fa"")
"),"چگونه می توانم لیست های eBay خود را برای بهینه سازی کلمات کلیدی فرامرزی و سئوی بین المللی بهینه کنم تا ترافیک موتورهای جستجوی جهانی را جذب کنم؟")</f>
        <v>چگونه می توانم لیست های eBay خود را برای بهینه سازی کلمات کلیدی فرامرزی و سئوی بین المللی بهینه کنم تا ترافیک موتورهای جستجوی جهانی را جذب کنم؟</v>
      </c>
      <c r="H7344" s="1"/>
      <c r="I7344" s="1"/>
      <c r="J7344" s="1"/>
      <c r="K7344" s="1"/>
      <c r="L7344" s="1"/>
      <c r="M7344" s="1"/>
      <c r="N7344" s="1"/>
      <c r="O7344" s="1"/>
      <c r="P7344" s="1"/>
      <c r="Q7344" s="1"/>
      <c r="R7344" s="1"/>
      <c r="S7344" s="1"/>
      <c r="T7344" s="1"/>
      <c r="U7344" s="1"/>
      <c r="V7344" s="1"/>
      <c r="W7344" s="1"/>
      <c r="X7344" s="1"/>
      <c r="Y7344" s="1"/>
      <c r="Z7344" s="1"/>
      <c r="AA7344" s="1"/>
      <c r="AB7344" s="1"/>
    </row>
    <row r="7345" ht="50.25" customHeight="1">
      <c r="A7345" s="12">
        <v>7341.0</v>
      </c>
      <c r="B7345" s="13" t="s">
        <v>7028</v>
      </c>
      <c r="C7345" s="14" t="s">
        <v>7369</v>
      </c>
      <c r="D7345" s="1"/>
      <c r="E7345" s="1"/>
      <c r="F7345" s="1" t="str">
        <f>IFERROR(__xludf.DUMMYFUNCTION("GOOGLETRANSLATE(B7345, ""en"", ""fa"")
"),"موفقیت در ای بی")</f>
        <v>موفقیت در ای بی</v>
      </c>
      <c r="G7345" s="1" t="str">
        <f>IFERROR(__xludf.DUMMYFUNCTION("GOOGLETRANSLATE(C7345, ""en"", ""fa"")
"),"مزایای کلیدی پیاده سازی یک سیستم مدیریت موجودی کارآمد برای تجارت eBay من چیست؟")</f>
        <v>مزایای کلیدی پیاده سازی یک سیستم مدیریت موجودی کارآمد برای تجارت eBay من چیست؟</v>
      </c>
      <c r="H7345" s="1"/>
      <c r="I7345" s="1"/>
      <c r="J7345" s="1"/>
      <c r="K7345" s="1"/>
      <c r="L7345" s="1"/>
      <c r="M7345" s="1"/>
      <c r="N7345" s="1"/>
      <c r="O7345" s="1"/>
      <c r="P7345" s="1"/>
      <c r="Q7345" s="1"/>
      <c r="R7345" s="1"/>
      <c r="S7345" s="1"/>
      <c r="T7345" s="1"/>
      <c r="U7345" s="1"/>
      <c r="V7345" s="1"/>
      <c r="W7345" s="1"/>
      <c r="X7345" s="1"/>
      <c r="Y7345" s="1"/>
      <c r="Z7345" s="1"/>
      <c r="AA7345" s="1"/>
      <c r="AB7345" s="1"/>
    </row>
    <row r="7346" ht="50.25" customHeight="1">
      <c r="A7346" s="12">
        <v>7342.0</v>
      </c>
      <c r="B7346" s="13" t="s">
        <v>7028</v>
      </c>
      <c r="C7346" s="14" t="s">
        <v>7370</v>
      </c>
      <c r="D7346" s="1"/>
      <c r="E7346" s="1"/>
      <c r="F7346" s="1" t="str">
        <f>IFERROR(__xludf.DUMMYFUNCTION("GOOGLETRANSLATE(B7346, ""en"", ""fa"")
"),"موفقیت در ای بی")</f>
        <v>موفقیت در ای بی</v>
      </c>
      <c r="G7346" s="1" t="str">
        <f>IFERROR(__xludf.DUMMYFUNCTION("GOOGLETRANSLATE(C7346, ""en"", ""fa"")
"),"چگونه می توانم موجودی خود را دسته بندی و سازماندهی کنم تا شناسایی و بازیابی محصول در eBay ساده شود؟")</f>
        <v>چگونه می توانم موجودی خود را دسته بندی و سازماندهی کنم تا شناسایی و بازیابی محصول در eBay ساده شود؟</v>
      </c>
      <c r="H7346" s="1"/>
      <c r="I7346" s="1"/>
      <c r="J7346" s="1"/>
      <c r="K7346" s="1"/>
      <c r="L7346" s="1"/>
      <c r="M7346" s="1"/>
      <c r="N7346" s="1"/>
      <c r="O7346" s="1"/>
      <c r="P7346" s="1"/>
      <c r="Q7346" s="1"/>
      <c r="R7346" s="1"/>
      <c r="S7346" s="1"/>
      <c r="T7346" s="1"/>
      <c r="U7346" s="1"/>
      <c r="V7346" s="1"/>
      <c r="W7346" s="1"/>
      <c r="X7346" s="1"/>
      <c r="Y7346" s="1"/>
      <c r="Z7346" s="1"/>
      <c r="AA7346" s="1"/>
      <c r="AB7346" s="1"/>
    </row>
    <row r="7347" ht="50.25" customHeight="1">
      <c r="A7347" s="12">
        <v>7343.0</v>
      </c>
      <c r="B7347" s="13" t="s">
        <v>7028</v>
      </c>
      <c r="C7347" s="14" t="s">
        <v>7371</v>
      </c>
      <c r="D7347" s="1"/>
      <c r="E7347" s="1"/>
      <c r="F7347" s="1" t="str">
        <f>IFERROR(__xludf.DUMMYFUNCTION("GOOGLETRANSLATE(B7347, ""en"", ""fa"")
"),"موفقیت در ای بی")</f>
        <v>موفقیت در ای بی</v>
      </c>
      <c r="G7347" s="1" t="str">
        <f>IFERROR(__xludf.DUMMYFUNCTION("GOOGLETRANSLATE(C7347, ""en"", ""fa"")
"),"از چه استراتژی هایی می توانم برای ردیابی و نظارت دقیق بر سطح موجودی استفاده کنم تا از انباشته شدن یا اضافه شدن موجودی در eBay جلوگیری کنم؟")</f>
        <v>از چه استراتژی هایی می توانم برای ردیابی و نظارت دقیق بر سطح موجودی استفاده کنم تا از انباشته شدن یا اضافه شدن موجودی در eBay جلوگیری کنم؟</v>
      </c>
      <c r="H7347" s="1"/>
      <c r="I7347" s="1"/>
      <c r="J7347" s="1"/>
      <c r="K7347" s="1"/>
      <c r="L7347" s="1"/>
      <c r="M7347" s="1"/>
      <c r="N7347" s="1"/>
      <c r="O7347" s="1"/>
      <c r="P7347" s="1"/>
      <c r="Q7347" s="1"/>
      <c r="R7347" s="1"/>
      <c r="S7347" s="1"/>
      <c r="T7347" s="1"/>
      <c r="U7347" s="1"/>
      <c r="V7347" s="1"/>
      <c r="W7347" s="1"/>
      <c r="X7347" s="1"/>
      <c r="Y7347" s="1"/>
      <c r="Z7347" s="1"/>
      <c r="AA7347" s="1"/>
      <c r="AB7347" s="1"/>
    </row>
    <row r="7348" ht="50.25" customHeight="1">
      <c r="A7348" s="12">
        <v>7344.0</v>
      </c>
      <c r="B7348" s="13" t="s">
        <v>7028</v>
      </c>
      <c r="C7348" s="14" t="s">
        <v>7372</v>
      </c>
      <c r="D7348" s="1"/>
      <c r="E7348" s="1"/>
      <c r="F7348" s="1" t="str">
        <f>IFERROR(__xludf.DUMMYFUNCTION("GOOGLETRANSLATE(B7348, ""en"", ""fa"")
"),"موفقیت در ای بی")</f>
        <v>موفقیت در ای بی</v>
      </c>
      <c r="G7348" s="1" t="str">
        <f>IFERROR(__xludf.DUMMYFUNCTION("GOOGLETRANSLATE(C7348, ""en"", ""fa"")
"),"چگونه می‌توانم فهرست‌های eBay خود را بهینه کنم تا در دسترس بودن موجودی را در زمان واقعی به نمایش بگذارم و از فروش بیش از حد جلوگیری کنم؟")</f>
        <v>چگونه می‌توانم فهرست‌های eBay خود را بهینه کنم تا در دسترس بودن موجودی را در زمان واقعی به نمایش بگذارم و از فروش بیش از حد جلوگیری کنم؟</v>
      </c>
      <c r="H7348" s="1"/>
      <c r="I7348" s="1"/>
      <c r="J7348" s="1"/>
      <c r="K7348" s="1"/>
      <c r="L7348" s="1"/>
      <c r="M7348" s="1"/>
      <c r="N7348" s="1"/>
      <c r="O7348" s="1"/>
      <c r="P7348" s="1"/>
      <c r="Q7348" s="1"/>
      <c r="R7348" s="1"/>
      <c r="S7348" s="1"/>
      <c r="T7348" s="1"/>
      <c r="U7348" s="1"/>
      <c r="V7348" s="1"/>
      <c r="W7348" s="1"/>
      <c r="X7348" s="1"/>
      <c r="Y7348" s="1"/>
      <c r="Z7348" s="1"/>
      <c r="AA7348" s="1"/>
      <c r="AB7348" s="1"/>
    </row>
    <row r="7349" ht="50.25" customHeight="1">
      <c r="A7349" s="12">
        <v>7345.0</v>
      </c>
      <c r="B7349" s="13" t="s">
        <v>7028</v>
      </c>
      <c r="C7349" s="14" t="s">
        <v>7373</v>
      </c>
      <c r="D7349" s="1"/>
      <c r="E7349" s="1"/>
      <c r="F7349" s="1" t="str">
        <f>IFERROR(__xludf.DUMMYFUNCTION("GOOGLETRANSLATE(B7349, ""en"", ""fa"")
"),"موفقیت در ای بی")</f>
        <v>موفقیت در ای بی</v>
      </c>
      <c r="G7349" s="1" t="str">
        <f>IFERROR(__xludf.DUMMYFUNCTION("GOOGLETRANSLATE(C7349, ""en"", ""fa"")
"),"مزایای استفاده از بارکدینگ یا فناوری RFID برای بهبود دقت و کارایی موجودی در eBay چیست؟")</f>
        <v>مزایای استفاده از بارکدینگ یا فناوری RFID برای بهبود دقت و کارایی موجودی در eBay چیست؟</v>
      </c>
      <c r="H7349" s="1"/>
      <c r="I7349" s="1"/>
      <c r="J7349" s="1"/>
      <c r="K7349" s="1"/>
      <c r="L7349" s="1"/>
      <c r="M7349" s="1"/>
      <c r="N7349" s="1"/>
      <c r="O7349" s="1"/>
      <c r="P7349" s="1"/>
      <c r="Q7349" s="1"/>
      <c r="R7349" s="1"/>
      <c r="S7349" s="1"/>
      <c r="T7349" s="1"/>
      <c r="U7349" s="1"/>
      <c r="V7349" s="1"/>
      <c r="W7349" s="1"/>
      <c r="X7349" s="1"/>
      <c r="Y7349" s="1"/>
      <c r="Z7349" s="1"/>
      <c r="AA7349" s="1"/>
      <c r="AB7349" s="1"/>
    </row>
    <row r="7350" ht="50.25" customHeight="1">
      <c r="A7350" s="12">
        <v>7346.0</v>
      </c>
      <c r="B7350" s="13" t="s">
        <v>7028</v>
      </c>
      <c r="C7350" s="14" t="s">
        <v>7374</v>
      </c>
      <c r="D7350" s="1"/>
      <c r="E7350" s="1"/>
      <c r="F7350" s="1" t="str">
        <f>IFERROR(__xludf.DUMMYFUNCTION("GOOGLETRANSLATE(B7350, ""en"", ""fa"")
"),"موفقیت در ای بی")</f>
        <v>موفقیت در ای بی</v>
      </c>
      <c r="G7350" s="1" t="str">
        <f>IFERROR(__xludf.DUMMYFUNCTION("GOOGLETRANSLATE(C7350, ""en"", ""fa"")
"),"چگونه می توانم سیستمی برای شمارش چرخه و ممیزی منظم موجودی برای حفظ دقت موجودی در eBay پیاده سازی کنم؟")</f>
        <v>چگونه می توانم سیستمی برای شمارش چرخه و ممیزی منظم موجودی برای حفظ دقت موجودی در eBay پیاده سازی کنم؟</v>
      </c>
      <c r="H7350" s="1"/>
      <c r="I7350" s="1"/>
      <c r="J7350" s="1"/>
      <c r="K7350" s="1"/>
      <c r="L7350" s="1"/>
      <c r="M7350" s="1"/>
      <c r="N7350" s="1"/>
      <c r="O7350" s="1"/>
      <c r="P7350" s="1"/>
      <c r="Q7350" s="1"/>
      <c r="R7350" s="1"/>
      <c r="S7350" s="1"/>
      <c r="T7350" s="1"/>
      <c r="U7350" s="1"/>
      <c r="V7350" s="1"/>
      <c r="W7350" s="1"/>
      <c r="X7350" s="1"/>
      <c r="Y7350" s="1"/>
      <c r="Z7350" s="1"/>
      <c r="AA7350" s="1"/>
      <c r="AB7350" s="1"/>
    </row>
    <row r="7351" ht="50.25" customHeight="1">
      <c r="A7351" s="12">
        <v>7347.0</v>
      </c>
      <c r="B7351" s="13" t="s">
        <v>7028</v>
      </c>
      <c r="C7351" s="14" t="s">
        <v>7375</v>
      </c>
      <c r="D7351" s="1"/>
      <c r="E7351" s="1"/>
      <c r="F7351" s="1" t="str">
        <f>IFERROR(__xludf.DUMMYFUNCTION("GOOGLETRANSLATE(B7351, ""en"", ""fa"")
"),"موفقیت در ای بی")</f>
        <v>موفقیت در ای بی</v>
      </c>
      <c r="G7351" s="1" t="str">
        <f>IFERROR(__xludf.DUMMYFUNCTION("GOOGLETRANSLATE(C7351, ""en"", ""fa"")
"),"چه استراتژی هایی را می توانم برای پیش بینی تقاضا و برنامه ریزی چرخه های تکمیل موجودی برای مدیریت کارآمد سهام در eBay به کار بگیرم؟")</f>
        <v>چه استراتژی هایی را می توانم برای پیش بینی تقاضا و برنامه ریزی چرخه های تکمیل موجودی برای مدیریت کارآمد سهام در eBay به کار بگیرم؟</v>
      </c>
      <c r="H7351" s="1"/>
      <c r="I7351" s="1"/>
      <c r="J7351" s="1"/>
      <c r="K7351" s="1"/>
      <c r="L7351" s="1"/>
      <c r="M7351" s="1"/>
      <c r="N7351" s="1"/>
      <c r="O7351" s="1"/>
      <c r="P7351" s="1"/>
      <c r="Q7351" s="1"/>
      <c r="R7351" s="1"/>
      <c r="S7351" s="1"/>
      <c r="T7351" s="1"/>
      <c r="U7351" s="1"/>
      <c r="V7351" s="1"/>
      <c r="W7351" s="1"/>
      <c r="X7351" s="1"/>
      <c r="Y7351" s="1"/>
      <c r="Z7351" s="1"/>
      <c r="AA7351" s="1"/>
      <c r="AB7351" s="1"/>
    </row>
    <row r="7352" ht="50.25" customHeight="1">
      <c r="A7352" s="12">
        <v>7348.0</v>
      </c>
      <c r="B7352" s="13" t="s">
        <v>7028</v>
      </c>
      <c r="C7352" s="14" t="s">
        <v>7376</v>
      </c>
      <c r="D7352" s="1"/>
      <c r="E7352" s="1"/>
      <c r="F7352" s="1" t="str">
        <f>IFERROR(__xludf.DUMMYFUNCTION("GOOGLETRANSLATE(B7352, ""en"", ""fa"")
"),"موفقیت در ای بی")</f>
        <v>موفقیت در ای بی</v>
      </c>
      <c r="G7352" s="1" t="str">
        <f>IFERROR(__xludf.DUMMYFUNCTION("GOOGLETRANSLATE(C7352, ""en"", ""fa"")
"),"چگونه می توانم فروشگاه eBay خود را برای کنترل تغییرات در ویژگی های محصول، مانند اندازه یا رنگ، در موجودی خود بهینه کنم؟")</f>
        <v>چگونه می توانم فروشگاه eBay خود را برای کنترل تغییرات در ویژگی های محصول، مانند اندازه یا رنگ، در موجودی خود بهینه کنم؟</v>
      </c>
      <c r="H7352" s="1"/>
      <c r="I7352" s="1"/>
      <c r="J7352" s="1"/>
      <c r="K7352" s="1"/>
      <c r="L7352" s="1"/>
      <c r="M7352" s="1"/>
      <c r="N7352" s="1"/>
      <c r="O7352" s="1"/>
      <c r="P7352" s="1"/>
      <c r="Q7352" s="1"/>
      <c r="R7352" s="1"/>
      <c r="S7352" s="1"/>
      <c r="T7352" s="1"/>
      <c r="U7352" s="1"/>
      <c r="V7352" s="1"/>
      <c r="W7352" s="1"/>
      <c r="X7352" s="1"/>
      <c r="Y7352" s="1"/>
      <c r="Z7352" s="1"/>
      <c r="AA7352" s="1"/>
      <c r="AB7352" s="1"/>
    </row>
    <row r="7353" ht="50.25" customHeight="1">
      <c r="A7353" s="12">
        <v>7349.0</v>
      </c>
      <c r="B7353" s="13" t="s">
        <v>7028</v>
      </c>
      <c r="C7353" s="14" t="s">
        <v>7377</v>
      </c>
      <c r="D7353" s="1"/>
      <c r="E7353" s="1"/>
      <c r="F7353" s="1" t="str">
        <f>IFERROR(__xludf.DUMMYFUNCTION("GOOGLETRANSLATE(B7353, ""en"", ""fa"")
"),"موفقیت در ای بی")</f>
        <v>موفقیت در ای بی</v>
      </c>
      <c r="G7353" s="1" t="str">
        <f>IFERROR(__xludf.DUMMYFUNCTION("GOOGLETRANSLATE(C7353, ""en"", ""fa"")
"),"عناصر کلیدی یک سیستم ذخیره سازی و سازماندهی موجودی برای به حداکثر رساندن استفاده از فضا و دسترسی در eBay چیست؟")</f>
        <v>عناصر کلیدی یک سیستم ذخیره سازی و سازماندهی موجودی برای به حداکثر رساندن استفاده از فضا و دسترسی در eBay چیست؟</v>
      </c>
      <c r="H7353" s="1"/>
      <c r="I7353" s="1"/>
      <c r="J7353" s="1"/>
      <c r="K7353" s="1"/>
      <c r="L7353" s="1"/>
      <c r="M7353" s="1"/>
      <c r="N7353" s="1"/>
      <c r="O7353" s="1"/>
      <c r="P7353" s="1"/>
      <c r="Q7353" s="1"/>
      <c r="R7353" s="1"/>
      <c r="S7353" s="1"/>
      <c r="T7353" s="1"/>
      <c r="U7353" s="1"/>
      <c r="V7353" s="1"/>
      <c r="W7353" s="1"/>
      <c r="X7353" s="1"/>
      <c r="Y7353" s="1"/>
      <c r="Z7353" s="1"/>
      <c r="AA7353" s="1"/>
      <c r="AB7353" s="1"/>
    </row>
    <row r="7354" ht="50.25" customHeight="1">
      <c r="A7354" s="12">
        <v>7350.0</v>
      </c>
      <c r="B7354" s="13" t="s">
        <v>7028</v>
      </c>
      <c r="C7354" s="14" t="s">
        <v>7378</v>
      </c>
      <c r="D7354" s="1"/>
      <c r="E7354" s="1"/>
      <c r="F7354" s="1" t="str">
        <f>IFERROR(__xludf.DUMMYFUNCTION("GOOGLETRANSLATE(B7354, ""en"", ""fa"")
"),"موفقیت در ای بی")</f>
        <v>موفقیت در ای بی</v>
      </c>
      <c r="G7354" s="1" t="str">
        <f>IFERROR(__xludf.DUMMYFUNCTION("GOOGLETRANSLATE(C7354, ""en"", ""fa"")
"),"چگونه می توانم از داده های تاریخی فروش و تجزیه و تحلیل برای تصمیم گیری آگاهانه برای برنامه ریزی موجودی و ذخیره سازی در eBay استفاده کنم؟")</f>
        <v>چگونه می توانم از داده های تاریخی فروش و تجزیه و تحلیل برای تصمیم گیری آگاهانه برای برنامه ریزی موجودی و ذخیره سازی در eBay استفاده کنم؟</v>
      </c>
      <c r="H7354" s="1"/>
      <c r="I7354" s="1"/>
      <c r="J7354" s="1"/>
      <c r="K7354" s="1"/>
      <c r="L7354" s="1"/>
      <c r="M7354" s="1"/>
      <c r="N7354" s="1"/>
      <c r="O7354" s="1"/>
      <c r="P7354" s="1"/>
      <c r="Q7354" s="1"/>
      <c r="R7354" s="1"/>
      <c r="S7354" s="1"/>
      <c r="T7354" s="1"/>
      <c r="U7354" s="1"/>
      <c r="V7354" s="1"/>
      <c r="W7354" s="1"/>
      <c r="X7354" s="1"/>
      <c r="Y7354" s="1"/>
      <c r="Z7354" s="1"/>
      <c r="AA7354" s="1"/>
      <c r="AB7354" s="1"/>
    </row>
    <row r="7355" ht="50.25" customHeight="1">
      <c r="A7355" s="12">
        <v>7351.0</v>
      </c>
      <c r="B7355" s="13" t="s">
        <v>7028</v>
      </c>
      <c r="C7355" s="14" t="s">
        <v>7379</v>
      </c>
      <c r="D7355" s="1"/>
      <c r="E7355" s="1"/>
      <c r="F7355" s="1" t="str">
        <f>IFERROR(__xludf.DUMMYFUNCTION("GOOGLETRANSLATE(B7355, ""en"", ""fa"")
"),"موفقیت در ای بی")</f>
        <v>موفقیت در ای بی</v>
      </c>
      <c r="G7355" s="1" t="str">
        <f>IFERROR(__xludf.DUMMYFUNCTION("GOOGLETRANSLATE(C7355, ""en"", ""fa"")
"),"از چه استراتژی هایی می توانم برای شناسایی موجودی کند یا منسوخ شده و انجام اقدامات لازم برای انحلال یا تغییر موقعیت در eBay استفاده کنم؟")</f>
        <v>از چه استراتژی هایی می توانم برای شناسایی موجودی کند یا منسوخ شده و انجام اقدامات لازم برای انحلال یا تغییر موقعیت در eBay استفاده کنم؟</v>
      </c>
      <c r="H7355" s="1"/>
      <c r="I7355" s="1"/>
      <c r="J7355" s="1"/>
      <c r="K7355" s="1"/>
      <c r="L7355" s="1"/>
      <c r="M7355" s="1"/>
      <c r="N7355" s="1"/>
      <c r="O7355" s="1"/>
      <c r="P7355" s="1"/>
      <c r="Q7355" s="1"/>
      <c r="R7355" s="1"/>
      <c r="S7355" s="1"/>
      <c r="T7355" s="1"/>
      <c r="U7355" s="1"/>
      <c r="V7355" s="1"/>
      <c r="W7355" s="1"/>
      <c r="X7355" s="1"/>
      <c r="Y7355" s="1"/>
      <c r="Z7355" s="1"/>
      <c r="AA7355" s="1"/>
      <c r="AB7355" s="1"/>
    </row>
    <row r="7356" ht="50.25" customHeight="1">
      <c r="A7356" s="12">
        <v>7352.0</v>
      </c>
      <c r="B7356" s="13" t="s">
        <v>7028</v>
      </c>
      <c r="C7356" s="14" t="s">
        <v>7380</v>
      </c>
      <c r="D7356" s="1"/>
      <c r="E7356" s="1"/>
      <c r="F7356" s="1" t="str">
        <f>IFERROR(__xludf.DUMMYFUNCTION("GOOGLETRANSLATE(B7356, ""en"", ""fa"")
"),"موفقیت در ای بی")</f>
        <v>موفقیت در ای بی</v>
      </c>
      <c r="G7356" s="1" t="str">
        <f>IFERROR(__xludf.DUMMYFUNCTION("GOOGLETRANSLATE(C7356, ""en"", ""fa"")
"),"چگونه می توانم علاوه بر eBay، موجودی را در چندین کانال فروش یا بازار به طور موثر مدیریت و پیگیری کنم؟")</f>
        <v>چگونه می توانم علاوه بر eBay، موجودی را در چندین کانال فروش یا بازار به طور موثر مدیریت و پیگیری کنم؟</v>
      </c>
      <c r="H7356" s="1"/>
      <c r="I7356" s="1"/>
      <c r="J7356" s="1"/>
      <c r="K7356" s="1"/>
      <c r="L7356" s="1"/>
      <c r="M7356" s="1"/>
      <c r="N7356" s="1"/>
      <c r="O7356" s="1"/>
      <c r="P7356" s="1"/>
      <c r="Q7356" s="1"/>
      <c r="R7356" s="1"/>
      <c r="S7356" s="1"/>
      <c r="T7356" s="1"/>
      <c r="U7356" s="1"/>
      <c r="V7356" s="1"/>
      <c r="W7356" s="1"/>
      <c r="X7356" s="1"/>
      <c r="Y7356" s="1"/>
      <c r="Z7356" s="1"/>
      <c r="AA7356" s="1"/>
      <c r="AB7356" s="1"/>
    </row>
    <row r="7357" ht="50.25" customHeight="1">
      <c r="A7357" s="12">
        <v>7353.0</v>
      </c>
      <c r="B7357" s="13" t="s">
        <v>7028</v>
      </c>
      <c r="C7357" s="14" t="s">
        <v>7381</v>
      </c>
      <c r="D7357" s="1"/>
      <c r="E7357" s="1"/>
      <c r="F7357" s="1" t="str">
        <f>IFERROR(__xludf.DUMMYFUNCTION("GOOGLETRANSLATE(B7357, ""en"", ""fa"")
"),"موفقیت در ای بی")</f>
        <v>موفقیت در ای بی</v>
      </c>
      <c r="G7357" s="1" t="str">
        <f>IFERROR(__xludf.DUMMYFUNCTION("GOOGLETRANSLATE(C7357, ""en"", ""fa"")
"),"مزایای استفاده از dropshipping یا خدمات انجام شخص ثالث برای مدیریت موجودی و انجام سفارش در eBay چیست؟")</f>
        <v>مزایای استفاده از dropshipping یا خدمات انجام شخص ثالث برای مدیریت موجودی و انجام سفارش در eBay چیست؟</v>
      </c>
      <c r="H7357" s="1"/>
      <c r="I7357" s="1"/>
      <c r="J7357" s="1"/>
      <c r="K7357" s="1"/>
      <c r="L7357" s="1"/>
      <c r="M7357" s="1"/>
      <c r="N7357" s="1"/>
      <c r="O7357" s="1"/>
      <c r="P7357" s="1"/>
      <c r="Q7357" s="1"/>
      <c r="R7357" s="1"/>
      <c r="S7357" s="1"/>
      <c r="T7357" s="1"/>
      <c r="U7357" s="1"/>
      <c r="V7357" s="1"/>
      <c r="W7357" s="1"/>
      <c r="X7357" s="1"/>
      <c r="Y7357" s="1"/>
      <c r="Z7357" s="1"/>
      <c r="AA7357" s="1"/>
      <c r="AB7357" s="1"/>
    </row>
    <row r="7358" ht="50.25" customHeight="1">
      <c r="A7358" s="12">
        <v>7354.0</v>
      </c>
      <c r="B7358" s="13" t="s">
        <v>7028</v>
      </c>
      <c r="C7358" s="14" t="s">
        <v>7382</v>
      </c>
      <c r="D7358" s="1"/>
      <c r="E7358" s="1"/>
      <c r="F7358" s="1" t="str">
        <f>IFERROR(__xludf.DUMMYFUNCTION("GOOGLETRANSLATE(B7358, ""en"", ""fa"")
"),"موفقیت در ای بی")</f>
        <v>موفقیت در ای بی</v>
      </c>
      <c r="G7358" s="1" t="str">
        <f>IFERROR(__xludf.DUMMYFUNCTION("GOOGLETRANSLATE(C7358, ""en"", ""fa"")
"),"چگونه می توانم لیست های eBay خود را برای برجسته کردن تعداد محدود یا موجودی انحصاری برای ایجاد حس فوریت برای خریداران بهینه کنم؟")</f>
        <v>چگونه می توانم لیست های eBay خود را برای برجسته کردن تعداد محدود یا موجودی انحصاری برای ایجاد حس فوریت برای خریداران بهینه کنم؟</v>
      </c>
      <c r="H7358" s="1"/>
      <c r="I7358" s="1"/>
      <c r="J7358" s="1"/>
      <c r="K7358" s="1"/>
      <c r="L7358" s="1"/>
      <c r="M7358" s="1"/>
      <c r="N7358" s="1"/>
      <c r="O7358" s="1"/>
      <c r="P7358" s="1"/>
      <c r="Q7358" s="1"/>
      <c r="R7358" s="1"/>
      <c r="S7358" s="1"/>
      <c r="T7358" s="1"/>
      <c r="U7358" s="1"/>
      <c r="V7358" s="1"/>
      <c r="W7358" s="1"/>
      <c r="X7358" s="1"/>
      <c r="Y7358" s="1"/>
      <c r="Z7358" s="1"/>
      <c r="AA7358" s="1"/>
      <c r="AB7358" s="1"/>
    </row>
    <row r="7359" ht="50.25" customHeight="1">
      <c r="A7359" s="12">
        <v>7355.0</v>
      </c>
      <c r="B7359" s="13" t="s">
        <v>7028</v>
      </c>
      <c r="C7359" s="14" t="s">
        <v>7383</v>
      </c>
      <c r="D7359" s="1"/>
      <c r="E7359" s="1"/>
      <c r="F7359" s="1" t="str">
        <f>IFERROR(__xludf.DUMMYFUNCTION("GOOGLETRANSLATE(B7359, ""en"", ""fa"")
"),"موفقیت در ای بی")</f>
        <v>موفقیت در ای بی</v>
      </c>
      <c r="G7359" s="1" t="str">
        <f>IFERROR(__xludf.DUMMYFUNCTION("GOOGLETRANSLATE(C7359, ""en"", ""fa"")
"),"چه استراتژی هایی را می توانم برای ساده کردن فرآیند دریافت و ذخیره مجدد موجودی برای مدیریت کارآمد موجودی در eBay به کار بگیرم؟")</f>
        <v>چه استراتژی هایی را می توانم برای ساده کردن فرآیند دریافت و ذخیره مجدد موجودی برای مدیریت کارآمد موجودی در eBay به کار بگیرم؟</v>
      </c>
      <c r="H7359" s="1"/>
      <c r="I7359" s="1"/>
      <c r="J7359" s="1"/>
      <c r="K7359" s="1"/>
      <c r="L7359" s="1"/>
      <c r="M7359" s="1"/>
      <c r="N7359" s="1"/>
      <c r="O7359" s="1"/>
      <c r="P7359" s="1"/>
      <c r="Q7359" s="1"/>
      <c r="R7359" s="1"/>
      <c r="S7359" s="1"/>
      <c r="T7359" s="1"/>
      <c r="U7359" s="1"/>
      <c r="V7359" s="1"/>
      <c r="W7359" s="1"/>
      <c r="X7359" s="1"/>
      <c r="Y7359" s="1"/>
      <c r="Z7359" s="1"/>
      <c r="AA7359" s="1"/>
      <c r="AB7359" s="1"/>
    </row>
    <row r="7360" ht="50.25" customHeight="1">
      <c r="A7360" s="12">
        <v>7356.0</v>
      </c>
      <c r="B7360" s="13" t="s">
        <v>7028</v>
      </c>
      <c r="C7360" s="14" t="s">
        <v>7384</v>
      </c>
      <c r="D7360" s="1"/>
      <c r="E7360" s="1"/>
      <c r="F7360" s="1" t="str">
        <f>IFERROR(__xludf.DUMMYFUNCTION("GOOGLETRANSLATE(B7360, ""en"", ""fa"")
"),"موفقیت در ای بی")</f>
        <v>موفقیت در ای بی</v>
      </c>
      <c r="G7360" s="1" t="str">
        <f>IFERROR(__xludf.DUMMYFUNCTION("GOOGLETRANSLATE(C7360, ""en"", ""fa"")
"),"چگونه می توانم به طور پیشگیرانه با موارد مغایرت موجودی یا عدم دقت بین موجودی فیزیکی خود و لیست های eBay برخورد کنم؟")</f>
        <v>چگونه می توانم به طور پیشگیرانه با موارد مغایرت موجودی یا عدم دقت بین موجودی فیزیکی خود و لیست های eBay برخورد کنم؟</v>
      </c>
      <c r="H7360" s="1"/>
      <c r="I7360" s="1"/>
      <c r="J7360" s="1"/>
      <c r="K7360" s="1"/>
      <c r="L7360" s="1"/>
      <c r="M7360" s="1"/>
      <c r="N7360" s="1"/>
      <c r="O7360" s="1"/>
      <c r="P7360" s="1"/>
      <c r="Q7360" s="1"/>
      <c r="R7360" s="1"/>
      <c r="S7360" s="1"/>
      <c r="T7360" s="1"/>
      <c r="U7360" s="1"/>
      <c r="V7360" s="1"/>
      <c r="W7360" s="1"/>
      <c r="X7360" s="1"/>
      <c r="Y7360" s="1"/>
      <c r="Z7360" s="1"/>
      <c r="AA7360" s="1"/>
      <c r="AB7360" s="1"/>
    </row>
    <row r="7361" ht="50.25" customHeight="1">
      <c r="A7361" s="12">
        <v>7357.0</v>
      </c>
      <c r="B7361" s="13" t="s">
        <v>7028</v>
      </c>
      <c r="C7361" s="14" t="s">
        <v>7385</v>
      </c>
      <c r="D7361" s="1"/>
      <c r="E7361" s="1"/>
      <c r="F7361" s="1" t="str">
        <f>IFERROR(__xludf.DUMMYFUNCTION("GOOGLETRANSLATE(B7361, ""en"", ""fa"")
"),"موفقیت در ای بی")</f>
        <v>موفقیت در ای بی</v>
      </c>
      <c r="G7361" s="1" t="str">
        <f>IFERROR(__xludf.DUMMYFUNCTION("GOOGLETRANSLATE(C7361, ""en"", ""fa"")
"),"عناصر کلیدی یک استراتژی پر کردن موجودی برای اطمینان از عرضه مداوم محصولات برای فروش eBay چیست؟")</f>
        <v>عناصر کلیدی یک استراتژی پر کردن موجودی برای اطمینان از عرضه مداوم محصولات برای فروش eBay چیست؟</v>
      </c>
      <c r="H7361" s="1"/>
      <c r="I7361" s="1"/>
      <c r="J7361" s="1"/>
      <c r="K7361" s="1"/>
      <c r="L7361" s="1"/>
      <c r="M7361" s="1"/>
      <c r="N7361" s="1"/>
      <c r="O7361" s="1"/>
      <c r="P7361" s="1"/>
      <c r="Q7361" s="1"/>
      <c r="R7361" s="1"/>
      <c r="S7361" s="1"/>
      <c r="T7361" s="1"/>
      <c r="U7361" s="1"/>
      <c r="V7361" s="1"/>
      <c r="W7361" s="1"/>
      <c r="X7361" s="1"/>
      <c r="Y7361" s="1"/>
      <c r="Z7361" s="1"/>
      <c r="AA7361" s="1"/>
      <c r="AB7361" s="1"/>
    </row>
    <row r="7362" ht="50.25" customHeight="1">
      <c r="A7362" s="12">
        <v>7358.0</v>
      </c>
      <c r="B7362" s="13" t="s">
        <v>7028</v>
      </c>
      <c r="C7362" s="14" t="s">
        <v>7386</v>
      </c>
      <c r="D7362" s="1"/>
      <c r="E7362" s="1"/>
      <c r="F7362" s="1" t="str">
        <f>IFERROR(__xludf.DUMMYFUNCTION("GOOGLETRANSLATE(B7362, ""en"", ""fa"")
"),"موفقیت در ای بی")</f>
        <v>موفقیت در ای بی</v>
      </c>
      <c r="G7362" s="1" t="str">
        <f>IFERROR(__xludf.DUMMYFUNCTION("GOOGLETRANSLATE(C7362, ""en"", ""fa"")
"),"چگونه می‌توانم از مدل‌های پیش‌بینی فروش و ابزارهای برنامه‌ریزی تقاضا برای بهینه‌سازی سطح موجودی و جلوگیری از گرانی در eBay استفاده کنم؟")</f>
        <v>چگونه می‌توانم از مدل‌های پیش‌بینی فروش و ابزارهای برنامه‌ریزی تقاضا برای بهینه‌سازی سطح موجودی و جلوگیری از گرانی در eBay استفاده کنم؟</v>
      </c>
      <c r="H7362" s="1"/>
      <c r="I7362" s="1"/>
      <c r="J7362" s="1"/>
      <c r="K7362" s="1"/>
      <c r="L7362" s="1"/>
      <c r="M7362" s="1"/>
      <c r="N7362" s="1"/>
      <c r="O7362" s="1"/>
      <c r="P7362" s="1"/>
      <c r="Q7362" s="1"/>
      <c r="R7362" s="1"/>
      <c r="S7362" s="1"/>
      <c r="T7362" s="1"/>
      <c r="U7362" s="1"/>
      <c r="V7362" s="1"/>
      <c r="W7362" s="1"/>
      <c r="X7362" s="1"/>
      <c r="Y7362" s="1"/>
      <c r="Z7362" s="1"/>
      <c r="AA7362" s="1"/>
      <c r="AB7362" s="1"/>
    </row>
    <row r="7363" ht="50.25" customHeight="1">
      <c r="A7363" s="12">
        <v>7359.0</v>
      </c>
      <c r="B7363" s="13" t="s">
        <v>7028</v>
      </c>
      <c r="C7363" s="14" t="s">
        <v>7387</v>
      </c>
      <c r="D7363" s="1"/>
      <c r="E7363" s="1"/>
      <c r="F7363" s="1" t="str">
        <f>IFERROR(__xludf.DUMMYFUNCTION("GOOGLETRANSLATE(B7363, ""en"", ""fa"")
"),"موفقیت در ای بی")</f>
        <v>موفقیت در ای بی</v>
      </c>
      <c r="G7363" s="1" t="str">
        <f>IFERROR(__xludf.DUMMYFUNCTION("GOOGLETRANSLATE(C7363, ""en"", ""fa"")
"),"برای به حداکثر رساندن استفاده از موجودی و فروش در eBay از چه استراتژی هایی می توانم برای پیاده سازی بسته بندی محصول یا مونتاژ کیت استفاده کنم؟")</f>
        <v>برای به حداکثر رساندن استفاده از موجودی و فروش در eBay از چه استراتژی هایی می توانم برای پیاده سازی بسته بندی محصول یا مونتاژ کیت استفاده کنم؟</v>
      </c>
      <c r="H7363" s="1"/>
      <c r="I7363" s="1"/>
      <c r="J7363" s="1"/>
      <c r="K7363" s="1"/>
      <c r="L7363" s="1"/>
      <c r="M7363" s="1"/>
      <c r="N7363" s="1"/>
      <c r="O7363" s="1"/>
      <c r="P7363" s="1"/>
      <c r="Q7363" s="1"/>
      <c r="R7363" s="1"/>
      <c r="S7363" s="1"/>
      <c r="T7363" s="1"/>
      <c r="U7363" s="1"/>
      <c r="V7363" s="1"/>
      <c r="W7363" s="1"/>
      <c r="X7363" s="1"/>
      <c r="Y7363" s="1"/>
      <c r="Z7363" s="1"/>
      <c r="AA7363" s="1"/>
      <c r="AB7363" s="1"/>
    </row>
    <row r="7364" ht="50.25" customHeight="1">
      <c r="A7364" s="12">
        <v>7360.0</v>
      </c>
      <c r="B7364" s="13" t="s">
        <v>7028</v>
      </c>
      <c r="C7364" s="14" t="s">
        <v>7388</v>
      </c>
      <c r="D7364" s="1"/>
      <c r="E7364" s="1"/>
      <c r="F7364" s="1" t="str">
        <f>IFERROR(__xludf.DUMMYFUNCTION("GOOGLETRANSLATE(B7364, ""en"", ""fa"")
"),"موفقیت در ای بی")</f>
        <v>موفقیت در ای بی</v>
      </c>
      <c r="G7364" s="1" t="str">
        <f>IFERROR(__xludf.DUMMYFUNCTION("GOOGLETRANSLATE(C7364, ""en"", ""fa"")
"),"چگونه می توانم فروشگاه eBay خود را برای کنترل نوسانات فصلی تقاضا و تنظیم سطح موجودی بر اساس آن بهینه کنم؟")</f>
        <v>چگونه می توانم فروشگاه eBay خود را برای کنترل نوسانات فصلی تقاضا و تنظیم سطح موجودی بر اساس آن بهینه کنم؟</v>
      </c>
      <c r="H7364" s="1"/>
      <c r="I7364" s="1"/>
      <c r="J7364" s="1"/>
      <c r="K7364" s="1"/>
      <c r="L7364" s="1"/>
      <c r="M7364" s="1"/>
      <c r="N7364" s="1"/>
      <c r="O7364" s="1"/>
      <c r="P7364" s="1"/>
      <c r="Q7364" s="1"/>
      <c r="R7364" s="1"/>
      <c r="S7364" s="1"/>
      <c r="T7364" s="1"/>
      <c r="U7364" s="1"/>
      <c r="V7364" s="1"/>
      <c r="W7364" s="1"/>
      <c r="X7364" s="1"/>
      <c r="Y7364" s="1"/>
      <c r="Z7364" s="1"/>
      <c r="AA7364" s="1"/>
      <c r="AB7364" s="1"/>
    </row>
    <row r="7365" ht="50.25" customHeight="1">
      <c r="A7365" s="12">
        <v>7361.0</v>
      </c>
      <c r="B7365" s="13" t="s">
        <v>7028</v>
      </c>
      <c r="C7365" s="14" t="s">
        <v>7389</v>
      </c>
      <c r="D7365" s="1"/>
      <c r="E7365" s="1"/>
      <c r="F7365" s="1" t="str">
        <f>IFERROR(__xludf.DUMMYFUNCTION("GOOGLETRANSLATE(B7365, ""en"", ""fa"")
"),"موفقیت در ای بی")</f>
        <v>موفقیت در ای بی</v>
      </c>
      <c r="G7365" s="1" t="str">
        <f>IFERROR(__xludf.DUMMYFUNCTION("GOOGLETRANSLATE(C7365, ""en"", ""fa"")
"),"چگونه می توانم به طور موثر شناسه های محصول سریال یا منحصر به فرد را در موجودی خود در eBay مدیریت و ردیابی کنم؟")</f>
        <v>چگونه می توانم به طور موثر شناسه های محصول سریال یا منحصر به فرد را در موجودی خود در eBay مدیریت و ردیابی کنم؟</v>
      </c>
      <c r="H7365" s="1"/>
      <c r="I7365" s="1"/>
      <c r="J7365" s="1"/>
      <c r="K7365" s="1"/>
      <c r="L7365" s="1"/>
      <c r="M7365" s="1"/>
      <c r="N7365" s="1"/>
      <c r="O7365" s="1"/>
      <c r="P7365" s="1"/>
      <c r="Q7365" s="1"/>
      <c r="R7365" s="1"/>
      <c r="S7365" s="1"/>
      <c r="T7365" s="1"/>
      <c r="U7365" s="1"/>
      <c r="V7365" s="1"/>
      <c r="W7365" s="1"/>
      <c r="X7365" s="1"/>
      <c r="Y7365" s="1"/>
      <c r="Z7365" s="1"/>
      <c r="AA7365" s="1"/>
      <c r="AB7365" s="1"/>
    </row>
    <row r="7366" ht="50.25" customHeight="1">
      <c r="A7366" s="12">
        <v>7362.0</v>
      </c>
      <c r="B7366" s="13" t="s">
        <v>7028</v>
      </c>
      <c r="C7366" s="14" t="s">
        <v>7390</v>
      </c>
      <c r="D7366" s="1"/>
      <c r="E7366" s="1"/>
      <c r="F7366" s="1" t="str">
        <f>IFERROR(__xludf.DUMMYFUNCTION("GOOGLETRANSLATE(B7366, ""en"", ""fa"")
"),"موفقیت در ای بی")</f>
        <v>موفقیت در ای بی</v>
      </c>
      <c r="G7366" s="1" t="str">
        <f>IFERROR(__xludf.DUMMYFUNCTION("GOOGLETRANSLATE(C7366, ""en"", ""fa"")
"),"چه استراتژی هایی را می توانم برای پیاده سازی موجودی سهام ایمنی یا بافر برای کاهش خطرات موجودی انبارها در eBay به کار بگیرم؟")</f>
        <v>چه استراتژی هایی را می توانم برای پیاده سازی موجودی سهام ایمنی یا بافر برای کاهش خطرات موجودی انبارها در eBay به کار بگیرم؟</v>
      </c>
      <c r="H7366" s="1"/>
      <c r="I7366" s="1"/>
      <c r="J7366" s="1"/>
      <c r="K7366" s="1"/>
      <c r="L7366" s="1"/>
      <c r="M7366" s="1"/>
      <c r="N7366" s="1"/>
      <c r="O7366" s="1"/>
      <c r="P7366" s="1"/>
      <c r="Q7366" s="1"/>
      <c r="R7366" s="1"/>
      <c r="S7366" s="1"/>
      <c r="T7366" s="1"/>
      <c r="U7366" s="1"/>
      <c r="V7366" s="1"/>
      <c r="W7366" s="1"/>
      <c r="X7366" s="1"/>
      <c r="Y7366" s="1"/>
      <c r="Z7366" s="1"/>
      <c r="AA7366" s="1"/>
      <c r="AB7366" s="1"/>
    </row>
    <row r="7367" ht="50.25" customHeight="1">
      <c r="A7367" s="12">
        <v>7363.0</v>
      </c>
      <c r="B7367" s="13" t="s">
        <v>7028</v>
      </c>
      <c r="C7367" s="14" t="s">
        <v>7391</v>
      </c>
      <c r="D7367" s="1"/>
      <c r="E7367" s="1"/>
      <c r="F7367" s="1" t="str">
        <f>IFERROR(__xludf.DUMMYFUNCTION("GOOGLETRANSLATE(B7367, ""en"", ""fa"")
"),"موفقیت در ای بی")</f>
        <v>موفقیت در ای بی</v>
      </c>
      <c r="G7367" s="1" t="str">
        <f>IFERROR(__xludf.DUMMYFUNCTION("GOOGLETRANSLATE(C7367, ""en"", ""fa"")
"),"چگونه می توانم به طور فعال موارد انقضای محصول یا محدودیت های ماندگاری را در موجودی خود در eBay مدیریت کنم؟")</f>
        <v>چگونه می توانم به طور فعال موارد انقضای محصول یا محدودیت های ماندگاری را در موجودی خود در eBay مدیریت کنم؟</v>
      </c>
      <c r="H7367" s="1"/>
      <c r="I7367" s="1"/>
      <c r="J7367" s="1"/>
      <c r="K7367" s="1"/>
      <c r="L7367" s="1"/>
      <c r="M7367" s="1"/>
      <c r="N7367" s="1"/>
      <c r="O7367" s="1"/>
      <c r="P7367" s="1"/>
      <c r="Q7367" s="1"/>
      <c r="R7367" s="1"/>
      <c r="S7367" s="1"/>
      <c r="T7367" s="1"/>
      <c r="U7367" s="1"/>
      <c r="V7367" s="1"/>
      <c r="W7367" s="1"/>
      <c r="X7367" s="1"/>
      <c r="Y7367" s="1"/>
      <c r="Z7367" s="1"/>
      <c r="AA7367" s="1"/>
      <c r="AB7367" s="1"/>
    </row>
    <row r="7368" ht="50.25" customHeight="1">
      <c r="A7368" s="12">
        <v>7364.0</v>
      </c>
      <c r="B7368" s="13" t="s">
        <v>7028</v>
      </c>
      <c r="C7368" s="14" t="s">
        <v>7392</v>
      </c>
      <c r="D7368" s="1"/>
      <c r="E7368" s="1"/>
      <c r="F7368" s="1" t="str">
        <f>IFERROR(__xludf.DUMMYFUNCTION("GOOGLETRANSLATE(B7368, ""en"", ""fa"")
"),"موفقیت در ای بی")</f>
        <v>موفقیت در ای بی</v>
      </c>
      <c r="G7368" s="1" t="str">
        <f>IFERROR(__xludf.DUMMYFUNCTION("GOOGLETRANSLATE(C7368, ""en"", ""fa"")
"),"مزایای استفاده از نرم افزار مدیریت موجودی یا یکپارچه سازی برای خودکارسازی و ساده سازی فرآیندهای موجودی در eBay چیست؟")</f>
        <v>مزایای استفاده از نرم افزار مدیریت موجودی یا یکپارچه سازی برای خودکارسازی و ساده سازی فرآیندهای موجودی در eBay چیست؟</v>
      </c>
      <c r="H7368" s="1"/>
      <c r="I7368" s="1"/>
      <c r="J7368" s="1"/>
      <c r="K7368" s="1"/>
      <c r="L7368" s="1"/>
      <c r="M7368" s="1"/>
      <c r="N7368" s="1"/>
      <c r="O7368" s="1"/>
      <c r="P7368" s="1"/>
      <c r="Q7368" s="1"/>
      <c r="R7368" s="1"/>
      <c r="S7368" s="1"/>
      <c r="T7368" s="1"/>
      <c r="U7368" s="1"/>
      <c r="V7368" s="1"/>
      <c r="W7368" s="1"/>
      <c r="X7368" s="1"/>
      <c r="Y7368" s="1"/>
      <c r="Z7368" s="1"/>
      <c r="AA7368" s="1"/>
      <c r="AB7368" s="1"/>
    </row>
    <row r="7369" ht="50.25" customHeight="1">
      <c r="A7369" s="12">
        <v>7365.0</v>
      </c>
      <c r="B7369" s="13" t="s">
        <v>7028</v>
      </c>
      <c r="C7369" s="14" t="s">
        <v>7393</v>
      </c>
      <c r="D7369" s="1"/>
      <c r="E7369" s="1"/>
      <c r="F7369" s="1" t="str">
        <f>IFERROR(__xludf.DUMMYFUNCTION("GOOGLETRANSLATE(B7369, ""en"", ""fa"")
"),"موفقیت در ای بی")</f>
        <v>موفقیت در ای بی</v>
      </c>
      <c r="G7369" s="1" t="str">
        <f>IFERROR(__xludf.DUMMYFUNCTION("GOOGLETRANSLATE(C7369, ""en"", ""fa"")
"),"چگونه می‌توانم فهرست‌های eBay خود را برای ارائه پیش‌سفارش یا سفارش‌های برگشتی برای اقلامی که به طور موقت موجود نیستند، بهینه کنم؟")</f>
        <v>چگونه می‌توانم فهرست‌های eBay خود را برای ارائه پیش‌سفارش یا سفارش‌های برگشتی برای اقلامی که به طور موقت موجود نیستند، بهینه کنم؟</v>
      </c>
      <c r="H7369" s="1"/>
      <c r="I7369" s="1"/>
      <c r="J7369" s="1"/>
      <c r="K7369" s="1"/>
      <c r="L7369" s="1"/>
      <c r="M7369" s="1"/>
      <c r="N7369" s="1"/>
      <c r="O7369" s="1"/>
      <c r="P7369" s="1"/>
      <c r="Q7369" s="1"/>
      <c r="R7369" s="1"/>
      <c r="S7369" s="1"/>
      <c r="T7369" s="1"/>
      <c r="U7369" s="1"/>
      <c r="V7369" s="1"/>
      <c r="W7369" s="1"/>
      <c r="X7369" s="1"/>
      <c r="Y7369" s="1"/>
      <c r="Z7369" s="1"/>
      <c r="AA7369" s="1"/>
      <c r="AB7369" s="1"/>
    </row>
    <row r="7370" ht="50.25" customHeight="1">
      <c r="A7370" s="12">
        <v>7366.0</v>
      </c>
      <c r="B7370" s="13" t="s">
        <v>7028</v>
      </c>
      <c r="C7370" s="14" t="s">
        <v>7394</v>
      </c>
      <c r="D7370" s="1"/>
      <c r="E7370" s="1"/>
      <c r="F7370" s="1" t="str">
        <f>IFERROR(__xludf.DUMMYFUNCTION("GOOGLETRANSLATE(B7370, ""en"", ""fa"")
"),"موفقیت در ای بی")</f>
        <v>موفقیت در ای بی</v>
      </c>
      <c r="G7370" s="1" t="str">
        <f>IFERROR(__xludf.DUMMYFUNCTION("GOOGLETRANSLATE(C7370, ""en"", ""fa"")
"),"از چه استراتژی هایی می توانم برای پیاده سازی سیستمی برای بارگیری متقابل یا تکمیل به موقع موجودی در eBay استفاده کنم؟")</f>
        <v>از چه استراتژی هایی می توانم برای پیاده سازی سیستمی برای بارگیری متقابل یا تکمیل به موقع موجودی در eBay استفاده کنم؟</v>
      </c>
      <c r="H7370" s="1"/>
      <c r="I7370" s="1"/>
      <c r="J7370" s="1"/>
      <c r="K7370" s="1"/>
      <c r="L7370" s="1"/>
      <c r="M7370" s="1"/>
      <c r="N7370" s="1"/>
      <c r="O7370" s="1"/>
      <c r="P7370" s="1"/>
      <c r="Q7370" s="1"/>
      <c r="R7370" s="1"/>
      <c r="S7370" s="1"/>
      <c r="T7370" s="1"/>
      <c r="U7370" s="1"/>
      <c r="V7370" s="1"/>
      <c r="W7370" s="1"/>
      <c r="X7370" s="1"/>
      <c r="Y7370" s="1"/>
      <c r="Z7370" s="1"/>
      <c r="AA7370" s="1"/>
      <c r="AB7370" s="1"/>
    </row>
    <row r="7371" ht="50.25" customHeight="1">
      <c r="A7371" s="12">
        <v>7367.0</v>
      </c>
      <c r="B7371" s="13" t="s">
        <v>7028</v>
      </c>
      <c r="C7371" s="14" t="s">
        <v>7395</v>
      </c>
      <c r="D7371" s="1"/>
      <c r="E7371" s="1"/>
      <c r="F7371" s="1" t="str">
        <f>IFERROR(__xludf.DUMMYFUNCTION("GOOGLETRANSLATE(B7371, ""en"", ""fa"")
"),"موفقیت در ای بی")</f>
        <v>موفقیت در ای بی</v>
      </c>
      <c r="G7371" s="1" t="str">
        <f>IFERROR(__xludf.DUMMYFUNCTION("GOOGLETRANSLATE(C7371, ""en"", ""fa"")
"),"چگونه می توانم موجودی محصولات با تنوع یا گزینه های متعدد در eBay را به طور موثر مدیریت و پیگیری کنم؟")</f>
        <v>چگونه می توانم موجودی محصولات با تنوع یا گزینه های متعدد در eBay را به طور موثر مدیریت و پیگیری کنم؟</v>
      </c>
      <c r="H7371" s="1"/>
      <c r="I7371" s="1"/>
      <c r="J7371" s="1"/>
      <c r="K7371" s="1"/>
      <c r="L7371" s="1"/>
      <c r="M7371" s="1"/>
      <c r="N7371" s="1"/>
      <c r="O7371" s="1"/>
      <c r="P7371" s="1"/>
      <c r="Q7371" s="1"/>
      <c r="R7371" s="1"/>
      <c r="S7371" s="1"/>
      <c r="T7371" s="1"/>
      <c r="U7371" s="1"/>
      <c r="V7371" s="1"/>
      <c r="W7371" s="1"/>
      <c r="X7371" s="1"/>
      <c r="Y7371" s="1"/>
      <c r="Z7371" s="1"/>
      <c r="AA7371" s="1"/>
      <c r="AB7371" s="1"/>
    </row>
    <row r="7372" ht="50.25" customHeight="1">
      <c r="A7372" s="12">
        <v>7368.0</v>
      </c>
      <c r="B7372" s="13" t="s">
        <v>7028</v>
      </c>
      <c r="C7372" s="14" t="s">
        <v>7396</v>
      </c>
      <c r="D7372" s="1"/>
      <c r="E7372" s="1"/>
      <c r="F7372" s="1" t="str">
        <f>IFERROR(__xludf.DUMMYFUNCTION("GOOGLETRANSLATE(B7372, ""en"", ""fa"")
"),"موفقیت در ای بی")</f>
        <v>موفقیت در ای بی</v>
      </c>
      <c r="G7372" s="1" t="str">
        <f>IFERROR(__xludf.DUMMYFUNCTION("GOOGLETRANSLATE(C7372, ""en"", ""fa"")
"),"عناصر کلیدی یک فرآیند جمع آوری و بسته بندی موجودی کارآمد برای اطمینان از انجام دقیق سفارش در eBay چیست؟")</f>
        <v>عناصر کلیدی یک فرآیند جمع آوری و بسته بندی موجودی کارآمد برای اطمینان از انجام دقیق سفارش در eBay چیست؟</v>
      </c>
      <c r="H7372" s="1"/>
      <c r="I7372" s="1"/>
      <c r="J7372" s="1"/>
      <c r="K7372" s="1"/>
      <c r="L7372" s="1"/>
      <c r="M7372" s="1"/>
      <c r="N7372" s="1"/>
      <c r="O7372" s="1"/>
      <c r="P7372" s="1"/>
      <c r="Q7372" s="1"/>
      <c r="R7372" s="1"/>
      <c r="S7372" s="1"/>
      <c r="T7372" s="1"/>
      <c r="U7372" s="1"/>
      <c r="V7372" s="1"/>
      <c r="W7372" s="1"/>
      <c r="X7372" s="1"/>
      <c r="Y7372" s="1"/>
      <c r="Z7372" s="1"/>
      <c r="AA7372" s="1"/>
      <c r="AB7372" s="1"/>
    </row>
    <row r="7373" ht="50.25" customHeight="1">
      <c r="A7373" s="12">
        <v>7369.0</v>
      </c>
      <c r="B7373" s="13" t="s">
        <v>7028</v>
      </c>
      <c r="C7373" s="14" t="s">
        <v>7397</v>
      </c>
      <c r="D7373" s="1"/>
      <c r="E7373" s="1"/>
      <c r="F7373" s="1" t="str">
        <f>IFERROR(__xludf.DUMMYFUNCTION("GOOGLETRANSLATE(B7373, ""en"", ""fa"")
"),"موفقیت در ای بی")</f>
        <v>موفقیت در ای بی</v>
      </c>
      <c r="G7373" s="1" t="str">
        <f>IFERROR(__xludf.DUMMYFUNCTION("GOOGLETRANSLATE(C7373, ""en"", ""fa"")
"),"چگونه می توانم از فرصت های بسته بندی محصول یا فروش متقابل در موجودی خود برای افزایش میانگین ارزش سفارش در eBay استفاده کنم؟")</f>
        <v>چگونه می توانم از فرصت های بسته بندی محصول یا فروش متقابل در موجودی خود برای افزایش میانگین ارزش سفارش در eBay استفاده کنم؟</v>
      </c>
      <c r="H7373" s="1"/>
      <c r="I7373" s="1"/>
      <c r="J7373" s="1"/>
      <c r="K7373" s="1"/>
      <c r="L7373" s="1"/>
      <c r="M7373" s="1"/>
      <c r="N7373" s="1"/>
      <c r="O7373" s="1"/>
      <c r="P7373" s="1"/>
      <c r="Q7373" s="1"/>
      <c r="R7373" s="1"/>
      <c r="S7373" s="1"/>
      <c r="T7373" s="1"/>
      <c r="U7373" s="1"/>
      <c r="V7373" s="1"/>
      <c r="W7373" s="1"/>
      <c r="X7373" s="1"/>
      <c r="Y7373" s="1"/>
      <c r="Z7373" s="1"/>
      <c r="AA7373" s="1"/>
      <c r="AB7373" s="1"/>
    </row>
    <row r="7374" ht="50.25" customHeight="1">
      <c r="A7374" s="12">
        <v>7370.0</v>
      </c>
      <c r="B7374" s="13" t="s">
        <v>7028</v>
      </c>
      <c r="C7374" s="14" t="s">
        <v>7398</v>
      </c>
      <c r="D7374" s="1"/>
      <c r="E7374" s="1"/>
      <c r="F7374" s="1" t="str">
        <f>IFERROR(__xludf.DUMMYFUNCTION("GOOGLETRANSLATE(B7374, ""en"", ""fa"")
"),"موفقیت در ای بی")</f>
        <v>موفقیت در ای بی</v>
      </c>
      <c r="G7374" s="1" t="str">
        <f>IFERROR(__xludf.DUMMYFUNCTION("GOOGLETRANSLATE(C7374, ""en"", ""fa"")
"),"چه استراتژی هایی را می توانم برای نظارت و تنظیم نسبت گردش موجودی برای بهینه سازی جریان نقدی و به حداقل رساندن هزینه های نگهداری در eBay استفاده کنم؟")</f>
        <v>چه استراتژی هایی را می توانم برای نظارت و تنظیم نسبت گردش موجودی برای بهینه سازی جریان نقدی و به حداقل رساندن هزینه های نگهداری در eBay استفاده کنم؟</v>
      </c>
      <c r="H7374" s="1"/>
      <c r="I7374" s="1"/>
      <c r="J7374" s="1"/>
      <c r="K7374" s="1"/>
      <c r="L7374" s="1"/>
      <c r="M7374" s="1"/>
      <c r="N7374" s="1"/>
      <c r="O7374" s="1"/>
      <c r="P7374" s="1"/>
      <c r="Q7374" s="1"/>
      <c r="R7374" s="1"/>
      <c r="S7374" s="1"/>
      <c r="T7374" s="1"/>
      <c r="U7374" s="1"/>
      <c r="V7374" s="1"/>
      <c r="W7374" s="1"/>
      <c r="X7374" s="1"/>
      <c r="Y7374" s="1"/>
      <c r="Z7374" s="1"/>
      <c r="AA7374" s="1"/>
      <c r="AB7374" s="1"/>
    </row>
    <row r="7375" ht="50.25" customHeight="1">
      <c r="A7375" s="12">
        <v>7371.0</v>
      </c>
      <c r="B7375" s="13" t="s">
        <v>7028</v>
      </c>
      <c r="C7375" s="14" t="s">
        <v>7399</v>
      </c>
      <c r="D7375" s="1"/>
      <c r="E7375" s="1"/>
      <c r="F7375" s="1" t="str">
        <f>IFERROR(__xludf.DUMMYFUNCTION("GOOGLETRANSLATE(B7375, ""en"", ""fa"")
"),"موفقیت در ای بی")</f>
        <v>موفقیت در ای بی</v>
      </c>
      <c r="G7375" s="1" t="str">
        <f>IFERROR(__xludf.DUMMYFUNCTION("GOOGLETRANSLATE(C7375, ""en"", ""fa"")
"),"چگونه می توانم به طور فعال نمونه هایی از فراخوان محصول یا مشکلات کیفیت موجودی خود را در eBay مدیریت کنم؟")</f>
        <v>چگونه می توانم به طور فعال نمونه هایی از فراخوان محصول یا مشکلات کیفیت موجودی خود را در eBay مدیریت کنم؟</v>
      </c>
      <c r="H7375" s="1"/>
      <c r="I7375" s="1"/>
      <c r="J7375" s="1"/>
      <c r="K7375" s="1"/>
      <c r="L7375" s="1"/>
      <c r="M7375" s="1"/>
      <c r="N7375" s="1"/>
      <c r="O7375" s="1"/>
      <c r="P7375" s="1"/>
      <c r="Q7375" s="1"/>
      <c r="R7375" s="1"/>
      <c r="S7375" s="1"/>
      <c r="T7375" s="1"/>
      <c r="U7375" s="1"/>
      <c r="V7375" s="1"/>
      <c r="W7375" s="1"/>
      <c r="X7375" s="1"/>
      <c r="Y7375" s="1"/>
      <c r="Z7375" s="1"/>
      <c r="AA7375" s="1"/>
      <c r="AB7375" s="1"/>
    </row>
    <row r="7376" ht="50.25" customHeight="1">
      <c r="A7376" s="12">
        <v>7372.0</v>
      </c>
      <c r="B7376" s="13" t="s">
        <v>7028</v>
      </c>
      <c r="C7376" s="14" t="s">
        <v>7400</v>
      </c>
      <c r="D7376" s="1"/>
      <c r="E7376" s="1"/>
      <c r="F7376" s="1" t="str">
        <f>IFERROR(__xludf.DUMMYFUNCTION("GOOGLETRANSLATE(B7376, ""en"", ""fa"")
"),"موفقیت در ای بی")</f>
        <v>موفقیت در ای بی</v>
      </c>
      <c r="G7376" s="1" t="str">
        <f>IFERROR(__xludf.DUMMYFUNCTION("GOOGLETRANSLATE(C7376, ""en"", ""fa"")
"),"از چه استراتژی هایی می توانم برای پیاده سازی سیستمی برای ردیابی تعداد زیادی یا دسته ای موجودی در eBay استفاده کنم؟")</f>
        <v>از چه استراتژی هایی می توانم برای پیاده سازی سیستمی برای ردیابی تعداد زیادی یا دسته ای موجودی در eBay استفاده کنم؟</v>
      </c>
      <c r="H7376" s="1"/>
      <c r="I7376" s="1"/>
      <c r="J7376" s="1"/>
      <c r="K7376" s="1"/>
      <c r="L7376" s="1"/>
      <c r="M7376" s="1"/>
      <c r="N7376" s="1"/>
      <c r="O7376" s="1"/>
      <c r="P7376" s="1"/>
      <c r="Q7376" s="1"/>
      <c r="R7376" s="1"/>
      <c r="S7376" s="1"/>
      <c r="T7376" s="1"/>
      <c r="U7376" s="1"/>
      <c r="V7376" s="1"/>
      <c r="W7376" s="1"/>
      <c r="X7376" s="1"/>
      <c r="Y7376" s="1"/>
      <c r="Z7376" s="1"/>
      <c r="AA7376" s="1"/>
      <c r="AB7376" s="1"/>
    </row>
    <row r="7377" ht="50.25" customHeight="1">
      <c r="A7377" s="12">
        <v>7373.0</v>
      </c>
      <c r="B7377" s="13" t="s">
        <v>7028</v>
      </c>
      <c r="C7377" s="14" t="s">
        <v>7401</v>
      </c>
      <c r="D7377" s="1"/>
      <c r="E7377" s="1"/>
      <c r="F7377" s="1" t="str">
        <f>IFERROR(__xludf.DUMMYFUNCTION("GOOGLETRANSLATE(B7377, ""en"", ""fa"")
"),"موفقیت در ای بی")</f>
        <v>موفقیت در ای بی</v>
      </c>
      <c r="G7377" s="1" t="str">
        <f>IFERROR(__xludf.DUMMYFUNCTION("GOOGLETRANSLATE(C7377, ""en"", ""fa"")
"),"چگونه می توانم فروشگاه eBay خود را بهینه کنم تا امکان مشاهده موجودی را برای خریداران فراهم کند، مانند نمایش مقادیر موجودی موجودی یا تاریخ های تخمینی موجودی مجدد؟")</f>
        <v>چگونه می توانم فروشگاه eBay خود را بهینه کنم تا امکان مشاهده موجودی را برای خریداران فراهم کند، مانند نمایش مقادیر موجودی موجودی یا تاریخ های تخمینی موجودی مجدد؟</v>
      </c>
      <c r="H7377" s="1"/>
      <c r="I7377" s="1"/>
      <c r="J7377" s="1"/>
      <c r="K7377" s="1"/>
      <c r="L7377" s="1"/>
      <c r="M7377" s="1"/>
      <c r="N7377" s="1"/>
      <c r="O7377" s="1"/>
      <c r="P7377" s="1"/>
      <c r="Q7377" s="1"/>
      <c r="R7377" s="1"/>
      <c r="S7377" s="1"/>
      <c r="T7377" s="1"/>
      <c r="U7377" s="1"/>
      <c r="V7377" s="1"/>
      <c r="W7377" s="1"/>
      <c r="X7377" s="1"/>
      <c r="Y7377" s="1"/>
      <c r="Z7377" s="1"/>
      <c r="AA7377" s="1"/>
      <c r="AB7377" s="1"/>
    </row>
    <row r="7378" ht="50.25" customHeight="1">
      <c r="A7378" s="12">
        <v>7374.0</v>
      </c>
      <c r="B7378" s="13" t="s">
        <v>7028</v>
      </c>
      <c r="C7378" s="14" t="s">
        <v>7402</v>
      </c>
      <c r="D7378" s="1"/>
      <c r="E7378" s="1"/>
      <c r="F7378" s="1" t="str">
        <f>IFERROR(__xludf.DUMMYFUNCTION("GOOGLETRANSLATE(B7378, ""en"", ""fa"")
"),"موفقیت در ای بی")</f>
        <v>موفقیت در ای بی</v>
      </c>
      <c r="G7378" s="1" t="str">
        <f>IFERROR(__xludf.DUMMYFUNCTION("GOOGLETRANSLATE(C7378, ""en"", ""fa"")
"),"مزایای اجرای نقاط سفارش مجدد خودکار یا هشدارهای موجودی برای ساده‌سازی تکمیل موجودی در eBay چیست؟")</f>
        <v>مزایای اجرای نقاط سفارش مجدد خودکار یا هشدارهای موجودی برای ساده‌سازی تکمیل موجودی در eBay چیست؟</v>
      </c>
      <c r="H7378" s="1"/>
      <c r="I7378" s="1"/>
      <c r="J7378" s="1"/>
      <c r="K7378" s="1"/>
      <c r="L7378" s="1"/>
      <c r="M7378" s="1"/>
      <c r="N7378" s="1"/>
      <c r="O7378" s="1"/>
      <c r="P7378" s="1"/>
      <c r="Q7378" s="1"/>
      <c r="R7378" s="1"/>
      <c r="S7378" s="1"/>
      <c r="T7378" s="1"/>
      <c r="U7378" s="1"/>
      <c r="V7378" s="1"/>
      <c r="W7378" s="1"/>
      <c r="X7378" s="1"/>
      <c r="Y7378" s="1"/>
      <c r="Z7378" s="1"/>
      <c r="AA7378" s="1"/>
      <c r="AB7378" s="1"/>
    </row>
    <row r="7379" ht="50.25" customHeight="1">
      <c r="A7379" s="12">
        <v>7375.0</v>
      </c>
      <c r="B7379" s="13" t="s">
        <v>7028</v>
      </c>
      <c r="C7379" s="14" t="s">
        <v>7403</v>
      </c>
      <c r="D7379" s="1"/>
      <c r="E7379" s="1"/>
      <c r="F7379" s="1" t="str">
        <f>IFERROR(__xludf.DUMMYFUNCTION("GOOGLETRANSLATE(B7379, ""en"", ""fa"")
"),"موفقیت در ای بی")</f>
        <v>موفقیت در ای بی</v>
      </c>
      <c r="G7379" s="1" t="str">
        <f>IFERROR(__xludf.DUMMYFUNCTION("GOOGLETRANSLATE(C7379, ""en"", ""fa"")
"),"چگونه می توانم موجودی کالاهای فاسد شدنی یا فصلی با ماندگاری محدود را در eBay به طور موثر مدیریت و پیگیری کنم؟")</f>
        <v>چگونه می توانم موجودی کالاهای فاسد شدنی یا فصلی با ماندگاری محدود را در eBay به طور موثر مدیریت و پیگیری کنم؟</v>
      </c>
      <c r="H7379" s="1"/>
      <c r="I7379" s="1"/>
      <c r="J7379" s="1"/>
      <c r="K7379" s="1"/>
      <c r="L7379" s="1"/>
      <c r="M7379" s="1"/>
      <c r="N7379" s="1"/>
      <c r="O7379" s="1"/>
      <c r="P7379" s="1"/>
      <c r="Q7379" s="1"/>
      <c r="R7379" s="1"/>
      <c r="S7379" s="1"/>
      <c r="T7379" s="1"/>
      <c r="U7379" s="1"/>
      <c r="V7379" s="1"/>
      <c r="W7379" s="1"/>
      <c r="X7379" s="1"/>
      <c r="Y7379" s="1"/>
      <c r="Z7379" s="1"/>
      <c r="AA7379" s="1"/>
      <c r="AB7379" s="1"/>
    </row>
    <row r="7380" ht="50.25" customHeight="1">
      <c r="A7380" s="12">
        <v>7376.0</v>
      </c>
      <c r="B7380" s="13" t="s">
        <v>7028</v>
      </c>
      <c r="C7380" s="14" t="s">
        <v>7404</v>
      </c>
      <c r="D7380" s="1"/>
      <c r="E7380" s="1"/>
      <c r="F7380" s="1" t="str">
        <f>IFERROR(__xludf.DUMMYFUNCTION("GOOGLETRANSLATE(B7380, ""en"", ""fa"")
"),"موفقیت در ای بی")</f>
        <v>موفقیت در ای بی</v>
      </c>
      <c r="G7380" s="1" t="str">
        <f>IFERROR(__xludf.DUMMYFUNCTION("GOOGLETRANSLATE(C7380, ""en"", ""fa"")
"),"چه استراتژی هایی را می توانم برای بهینه سازی چیدمان ذخیره سازی و سازماندهی موجودی خود برای انتخاب و انجام کارآمد سفارش در eBay به کار بگیرم؟")</f>
        <v>چه استراتژی هایی را می توانم برای بهینه سازی چیدمان ذخیره سازی و سازماندهی موجودی خود برای انتخاب و انجام کارآمد سفارش در eBay به کار بگیرم؟</v>
      </c>
      <c r="H7380" s="1"/>
      <c r="I7380" s="1"/>
      <c r="J7380" s="1"/>
      <c r="K7380" s="1"/>
      <c r="L7380" s="1"/>
      <c r="M7380" s="1"/>
      <c r="N7380" s="1"/>
      <c r="O7380" s="1"/>
      <c r="P7380" s="1"/>
      <c r="Q7380" s="1"/>
      <c r="R7380" s="1"/>
      <c r="S7380" s="1"/>
      <c r="T7380" s="1"/>
      <c r="U7380" s="1"/>
      <c r="V7380" s="1"/>
      <c r="W7380" s="1"/>
      <c r="X7380" s="1"/>
      <c r="Y7380" s="1"/>
      <c r="Z7380" s="1"/>
      <c r="AA7380" s="1"/>
      <c r="AB7380" s="1"/>
    </row>
    <row r="7381" ht="50.25" customHeight="1">
      <c r="A7381" s="12">
        <v>7377.0</v>
      </c>
      <c r="B7381" s="13" t="s">
        <v>7028</v>
      </c>
      <c r="C7381" s="14" t="s">
        <v>7405</v>
      </c>
      <c r="D7381" s="1"/>
      <c r="E7381" s="1"/>
      <c r="F7381" s="1" t="str">
        <f>IFERROR(__xludf.DUMMYFUNCTION("GOOGLETRANSLATE(B7381, ""en"", ""fa"")
"),"موفقیت در ای بی")</f>
        <v>موفقیت در ای بی</v>
      </c>
      <c r="G7381" s="1" t="str">
        <f>IFERROR(__xludf.DUMMYFUNCTION("GOOGLETRANSLATE(C7381, ""en"", ""fa"")
"),"چگونه می توانم از تجزیه و تحلیل موجودی و منطقی سازی SKU برای بهینه سازی مجموعه محصولات و حذف موارد کند حرکت در eBay استفاده کنم؟")</f>
        <v>چگونه می توانم از تجزیه و تحلیل موجودی و منطقی سازی SKU برای بهینه سازی مجموعه محصولات و حذف موارد کند حرکت در eBay استفاده کنم؟</v>
      </c>
      <c r="H7381" s="1"/>
      <c r="I7381" s="1"/>
      <c r="J7381" s="1"/>
      <c r="K7381" s="1"/>
      <c r="L7381" s="1"/>
      <c r="M7381" s="1"/>
      <c r="N7381" s="1"/>
      <c r="O7381" s="1"/>
      <c r="P7381" s="1"/>
      <c r="Q7381" s="1"/>
      <c r="R7381" s="1"/>
      <c r="S7381" s="1"/>
      <c r="T7381" s="1"/>
      <c r="U7381" s="1"/>
      <c r="V7381" s="1"/>
      <c r="W7381" s="1"/>
      <c r="X7381" s="1"/>
      <c r="Y7381" s="1"/>
      <c r="Z7381" s="1"/>
      <c r="AA7381" s="1"/>
      <c r="AB7381" s="1"/>
    </row>
    <row r="7382" ht="50.25" customHeight="1">
      <c r="A7382" s="12">
        <v>7378.0</v>
      </c>
      <c r="B7382" s="13" t="s">
        <v>7028</v>
      </c>
      <c r="C7382" s="14" t="s">
        <v>7406</v>
      </c>
      <c r="D7382" s="1"/>
      <c r="E7382" s="1"/>
      <c r="F7382" s="1" t="str">
        <f>IFERROR(__xludf.DUMMYFUNCTION("GOOGLETRANSLATE(B7382, ""en"", ""fa"")
"),"موفقیت در ای بی")</f>
        <v>موفقیت در ای بی</v>
      </c>
      <c r="G7382" s="1" t="str">
        <f>IFERROR(__xludf.DUMMYFUNCTION("GOOGLETRANSLATE(C7382, ""en"", ""fa"")
"),"عناصر کلیدی یک استراتژی دفع یا ترخیص موجودی برای انحلال موجودی اضافی یا قدیمی در eBay چیست؟")</f>
        <v>عناصر کلیدی یک استراتژی دفع یا ترخیص موجودی برای انحلال موجودی اضافی یا قدیمی در eBay چیست؟</v>
      </c>
      <c r="H7382" s="1"/>
      <c r="I7382" s="1"/>
      <c r="J7382" s="1"/>
      <c r="K7382" s="1"/>
      <c r="L7382" s="1"/>
      <c r="M7382" s="1"/>
      <c r="N7382" s="1"/>
      <c r="O7382" s="1"/>
      <c r="P7382" s="1"/>
      <c r="Q7382" s="1"/>
      <c r="R7382" s="1"/>
      <c r="S7382" s="1"/>
      <c r="T7382" s="1"/>
      <c r="U7382" s="1"/>
      <c r="V7382" s="1"/>
      <c r="W7382" s="1"/>
      <c r="X7382" s="1"/>
      <c r="Y7382" s="1"/>
      <c r="Z7382" s="1"/>
      <c r="AA7382" s="1"/>
      <c r="AB7382" s="1"/>
    </row>
    <row r="7383" ht="50.25" customHeight="1">
      <c r="A7383" s="12">
        <v>7379.0</v>
      </c>
      <c r="B7383" s="13" t="s">
        <v>7028</v>
      </c>
      <c r="C7383" s="14" t="s">
        <v>7407</v>
      </c>
      <c r="D7383" s="1"/>
      <c r="E7383" s="1"/>
      <c r="F7383" s="1" t="str">
        <f>IFERROR(__xludf.DUMMYFUNCTION("GOOGLETRANSLATE(B7383, ""en"", ""fa"")
"),"موفقیت در ای بی")</f>
        <v>موفقیت در ای بی</v>
      </c>
      <c r="G7383" s="1" t="str">
        <f>IFERROR(__xludf.DUMMYFUNCTION("GOOGLETRANSLATE(C7383, ""en"", ""fa"")
"),"چگونه می توانم در فرآیندهای مدیریت موجودی eBay خود به طور پیشگیرانه با موارد کوچک شدن یا سرقت موجودی رسیدگی کنم؟")</f>
        <v>چگونه می توانم در فرآیندهای مدیریت موجودی eBay خود به طور پیشگیرانه با موارد کوچک شدن یا سرقت موجودی رسیدگی کنم؟</v>
      </c>
      <c r="H7383" s="1"/>
      <c r="I7383" s="1"/>
      <c r="J7383" s="1"/>
      <c r="K7383" s="1"/>
      <c r="L7383" s="1"/>
      <c r="M7383" s="1"/>
      <c r="N7383" s="1"/>
      <c r="O7383" s="1"/>
      <c r="P7383" s="1"/>
      <c r="Q7383" s="1"/>
      <c r="R7383" s="1"/>
      <c r="S7383" s="1"/>
      <c r="T7383" s="1"/>
      <c r="U7383" s="1"/>
      <c r="V7383" s="1"/>
      <c r="W7383" s="1"/>
      <c r="X7383" s="1"/>
      <c r="Y7383" s="1"/>
      <c r="Z7383" s="1"/>
      <c r="AA7383" s="1"/>
      <c r="AB7383" s="1"/>
    </row>
    <row r="7384" ht="50.25" customHeight="1">
      <c r="A7384" s="12">
        <v>7380.0</v>
      </c>
      <c r="B7384" s="13" t="s">
        <v>7028</v>
      </c>
      <c r="C7384" s="14" t="s">
        <v>7408</v>
      </c>
      <c r="D7384" s="1"/>
      <c r="E7384" s="1"/>
      <c r="F7384" s="1" t="str">
        <f>IFERROR(__xludf.DUMMYFUNCTION("GOOGLETRANSLATE(B7384, ""en"", ""fa"")
"),"موفقیت در ای بی")</f>
        <v>موفقیت در ای بی</v>
      </c>
      <c r="G7384" s="1" t="str">
        <f>IFERROR(__xludf.DUMMYFUNCTION("GOOGLETRANSLATE(C7384, ""en"", ""fa"")
"),"چگونه می‌توانم فهرست‌های eBay خود را برای نمایش معاملات بسته‌ای یا چند بسته برای افزایش فروش و گردش موجودی بهینه‌سازی کنم؟")</f>
        <v>چگونه می‌توانم فهرست‌های eBay خود را برای نمایش معاملات بسته‌ای یا چند بسته برای افزایش فروش و گردش موجودی بهینه‌سازی کنم؟</v>
      </c>
      <c r="H7384" s="1"/>
      <c r="I7384" s="1"/>
      <c r="J7384" s="1"/>
      <c r="K7384" s="1"/>
      <c r="L7384" s="1"/>
      <c r="M7384" s="1"/>
      <c r="N7384" s="1"/>
      <c r="O7384" s="1"/>
      <c r="P7384" s="1"/>
      <c r="Q7384" s="1"/>
      <c r="R7384" s="1"/>
      <c r="S7384" s="1"/>
      <c r="T7384" s="1"/>
      <c r="U7384" s="1"/>
      <c r="V7384" s="1"/>
      <c r="W7384" s="1"/>
      <c r="X7384" s="1"/>
      <c r="Y7384" s="1"/>
      <c r="Z7384" s="1"/>
      <c r="AA7384" s="1"/>
      <c r="AB7384" s="1"/>
    </row>
    <row r="7385" ht="50.25" customHeight="1">
      <c r="A7385" s="12">
        <v>7381.0</v>
      </c>
      <c r="B7385" s="13" t="s">
        <v>7028</v>
      </c>
      <c r="C7385" s="14" t="s">
        <v>7409</v>
      </c>
      <c r="D7385" s="1"/>
      <c r="E7385" s="1"/>
      <c r="F7385" s="1" t="str">
        <f>IFERROR(__xludf.DUMMYFUNCTION("GOOGLETRANSLATE(B7385, ""en"", ""fa"")
"),"موفقیت در ای بی")</f>
        <v>موفقیت در ای بی</v>
      </c>
      <c r="G7385" s="1" t="str">
        <f>IFERROR(__xludf.DUMMYFUNCTION("GOOGLETRANSLATE(C7385, ""en"", ""fa"")
"),"از چه استراتژی هایی می توانم برای پیاده سازی سیستمی برای همگام سازی و تخصیص موجودی بین کانالی در eBay استفاده کنم؟")</f>
        <v>از چه استراتژی هایی می توانم برای پیاده سازی سیستمی برای همگام سازی و تخصیص موجودی بین کانالی در eBay استفاده کنم؟</v>
      </c>
      <c r="H7385" s="1"/>
      <c r="I7385" s="1"/>
      <c r="J7385" s="1"/>
      <c r="K7385" s="1"/>
      <c r="L7385" s="1"/>
      <c r="M7385" s="1"/>
      <c r="N7385" s="1"/>
      <c r="O7385" s="1"/>
      <c r="P7385" s="1"/>
      <c r="Q7385" s="1"/>
      <c r="R7385" s="1"/>
      <c r="S7385" s="1"/>
      <c r="T7385" s="1"/>
      <c r="U7385" s="1"/>
      <c r="V7385" s="1"/>
      <c r="W7385" s="1"/>
      <c r="X7385" s="1"/>
      <c r="Y7385" s="1"/>
      <c r="Z7385" s="1"/>
      <c r="AA7385" s="1"/>
      <c r="AB7385" s="1"/>
    </row>
    <row r="7386" ht="50.25" customHeight="1">
      <c r="A7386" s="12">
        <v>7382.0</v>
      </c>
      <c r="B7386" s="13" t="s">
        <v>7028</v>
      </c>
      <c r="C7386" s="14" t="s">
        <v>7410</v>
      </c>
      <c r="D7386" s="1"/>
      <c r="E7386" s="1"/>
      <c r="F7386" s="1" t="str">
        <f>IFERROR(__xludf.DUMMYFUNCTION("GOOGLETRANSLATE(B7386, ""en"", ""fa"")
"),"موفقیت در ای بی")</f>
        <v>موفقیت در ای بی</v>
      </c>
      <c r="G7386" s="1" t="str">
        <f>IFERROR(__xludf.DUMMYFUNCTION("GOOGLETRANSLATE(C7386, ""en"", ""fa"")
"),"چگونه می توانم موجودی محصولات با تاریخ انقضا یا مدت زمان ماندگاری را در eBay به طور موثر مدیریت و پیگیری کنم؟")</f>
        <v>چگونه می توانم موجودی محصولات با تاریخ انقضا یا مدت زمان ماندگاری را در eBay به طور موثر مدیریت و پیگیری کنم؟</v>
      </c>
      <c r="H7386" s="1"/>
      <c r="I7386" s="1"/>
      <c r="J7386" s="1"/>
      <c r="K7386" s="1"/>
      <c r="L7386" s="1"/>
      <c r="M7386" s="1"/>
      <c r="N7386" s="1"/>
      <c r="O7386" s="1"/>
      <c r="P7386" s="1"/>
      <c r="Q7386" s="1"/>
      <c r="R7386" s="1"/>
      <c r="S7386" s="1"/>
      <c r="T7386" s="1"/>
      <c r="U7386" s="1"/>
      <c r="V7386" s="1"/>
      <c r="W7386" s="1"/>
      <c r="X7386" s="1"/>
      <c r="Y7386" s="1"/>
      <c r="Z7386" s="1"/>
      <c r="AA7386" s="1"/>
      <c r="AB7386" s="1"/>
    </row>
    <row r="7387" ht="50.25" customHeight="1">
      <c r="A7387" s="12">
        <v>7383.0</v>
      </c>
      <c r="B7387" s="13" t="s">
        <v>7028</v>
      </c>
      <c r="C7387" s="14" t="s">
        <v>7411</v>
      </c>
      <c r="D7387" s="1"/>
      <c r="E7387" s="1"/>
      <c r="F7387" s="1" t="str">
        <f>IFERROR(__xludf.DUMMYFUNCTION("GOOGLETRANSLATE(B7387, ""en"", ""fa"")
"),"موفقیت در ای بی")</f>
        <v>موفقیت در ای بی</v>
      </c>
      <c r="G7387" s="1" t="str">
        <f>IFERROR(__xludf.DUMMYFUNCTION("GOOGLETRANSLATE(C7387, ""en"", ""fa"")
"),"مزایای اجرای یک استراتژی موجودی فقط در مورد برای کاهش خطرات اختلالات زنجیره تامین در eBay چیست؟")</f>
        <v>مزایای اجرای یک استراتژی موجودی فقط در مورد برای کاهش خطرات اختلالات زنجیره تامین در eBay چیست؟</v>
      </c>
      <c r="H7387" s="1"/>
      <c r="I7387" s="1"/>
      <c r="J7387" s="1"/>
      <c r="K7387" s="1"/>
      <c r="L7387" s="1"/>
      <c r="M7387" s="1"/>
      <c r="N7387" s="1"/>
      <c r="O7387" s="1"/>
      <c r="P7387" s="1"/>
      <c r="Q7387" s="1"/>
      <c r="R7387" s="1"/>
      <c r="S7387" s="1"/>
      <c r="T7387" s="1"/>
      <c r="U7387" s="1"/>
      <c r="V7387" s="1"/>
      <c r="W7387" s="1"/>
      <c r="X7387" s="1"/>
      <c r="Y7387" s="1"/>
      <c r="Z7387" s="1"/>
      <c r="AA7387" s="1"/>
      <c r="AB7387" s="1"/>
    </row>
    <row r="7388" ht="50.25" customHeight="1">
      <c r="A7388" s="12">
        <v>7384.0</v>
      </c>
      <c r="B7388" s="13" t="s">
        <v>7028</v>
      </c>
      <c r="C7388" s="14" t="s">
        <v>7412</v>
      </c>
      <c r="D7388" s="1"/>
      <c r="E7388" s="1"/>
      <c r="F7388" s="1" t="str">
        <f>IFERROR(__xludf.DUMMYFUNCTION("GOOGLETRANSLATE(B7388, ""en"", ""fa"")
"),"موفقیت در ای بی")</f>
        <v>موفقیت در ای بی</v>
      </c>
      <c r="G7388" s="1" t="str">
        <f>IFERROR(__xludf.DUMMYFUNCTION("GOOGLETRANSLATE(C7388, ""en"", ""fa"")
"),"چگونه می توانم فروشگاه eBay خود را برای مدیریت و مدیریت موجودی محصولات با شناسه های سریال یا منحصر به فرد بهینه کنم؟")</f>
        <v>چگونه می توانم فروشگاه eBay خود را برای مدیریت و مدیریت موجودی محصولات با شناسه های سریال یا منحصر به فرد بهینه کنم؟</v>
      </c>
      <c r="H7388" s="1"/>
      <c r="I7388" s="1"/>
      <c r="J7388" s="1"/>
      <c r="K7388" s="1"/>
      <c r="L7388" s="1"/>
      <c r="M7388" s="1"/>
      <c r="N7388" s="1"/>
      <c r="O7388" s="1"/>
      <c r="P7388" s="1"/>
      <c r="Q7388" s="1"/>
      <c r="R7388" s="1"/>
      <c r="S7388" s="1"/>
      <c r="T7388" s="1"/>
      <c r="U7388" s="1"/>
      <c r="V7388" s="1"/>
      <c r="W7388" s="1"/>
      <c r="X7388" s="1"/>
      <c r="Y7388" s="1"/>
      <c r="Z7388" s="1"/>
      <c r="AA7388" s="1"/>
      <c r="AB7388" s="1"/>
    </row>
    <row r="7389" ht="50.25" customHeight="1">
      <c r="A7389" s="12">
        <v>7385.0</v>
      </c>
      <c r="B7389" s="13" t="s">
        <v>7028</v>
      </c>
      <c r="C7389" s="14" t="s">
        <v>7413</v>
      </c>
      <c r="D7389" s="1"/>
      <c r="E7389" s="1"/>
      <c r="F7389" s="1" t="str">
        <f>IFERROR(__xludf.DUMMYFUNCTION("GOOGLETRANSLATE(B7389, ""en"", ""fa"")
"),"موفقیت در ای بی")</f>
        <v>موفقیت در ای بی</v>
      </c>
      <c r="G7389" s="1" t="str">
        <f>IFERROR(__xludf.DUMMYFUNCTION("GOOGLETRANSLATE(C7389, ""en"", ""fa"")
"),"چه استراتژی هایی را می توانم برای پیاده سازی سیستمی برای به روز رسانی موجودی در زمان واقعی و اعلان های در دسترس بودن در eBay به کار بگیرم؟")</f>
        <v>چه استراتژی هایی را می توانم برای پیاده سازی سیستمی برای به روز رسانی موجودی در زمان واقعی و اعلان های در دسترس بودن در eBay به کار بگیرم؟</v>
      </c>
      <c r="H7389" s="1"/>
      <c r="I7389" s="1"/>
      <c r="J7389" s="1"/>
      <c r="K7389" s="1"/>
      <c r="L7389" s="1"/>
      <c r="M7389" s="1"/>
      <c r="N7389" s="1"/>
      <c r="O7389" s="1"/>
      <c r="P7389" s="1"/>
      <c r="Q7389" s="1"/>
      <c r="R7389" s="1"/>
      <c r="S7389" s="1"/>
      <c r="T7389" s="1"/>
      <c r="U7389" s="1"/>
      <c r="V7389" s="1"/>
      <c r="W7389" s="1"/>
      <c r="X7389" s="1"/>
      <c r="Y7389" s="1"/>
      <c r="Z7389" s="1"/>
      <c r="AA7389" s="1"/>
      <c r="AB7389" s="1"/>
    </row>
    <row r="7390" ht="50.25" customHeight="1">
      <c r="A7390" s="12">
        <v>7386.0</v>
      </c>
      <c r="B7390" s="13" t="s">
        <v>7028</v>
      </c>
      <c r="C7390" s="14" t="s">
        <v>7414</v>
      </c>
      <c r="D7390" s="1"/>
      <c r="E7390" s="1"/>
      <c r="F7390" s="1" t="str">
        <f>IFERROR(__xludf.DUMMYFUNCTION("GOOGLETRANSLATE(B7390, ""en"", ""fa"")
"),"موفقیت در ای بی")</f>
        <v>موفقیت در ای بی</v>
      </c>
      <c r="G7390" s="1" t="str">
        <f>IFERROR(__xludf.DUMMYFUNCTION("GOOGLETRANSLATE(C7390, ""en"", ""fa"")
"),"چگونه می توانم به طور فعال با موارد منسوخ شدن موجودی یا تغییر در تقاضای بازار در eBay برخورد کنم؟")</f>
        <v>چگونه می توانم به طور فعال با موارد منسوخ شدن موجودی یا تغییر در تقاضای بازار در eBay برخورد کنم؟</v>
      </c>
      <c r="H7390" s="1"/>
      <c r="I7390" s="1"/>
      <c r="J7390" s="1"/>
      <c r="K7390" s="1"/>
      <c r="L7390" s="1"/>
      <c r="M7390" s="1"/>
      <c r="N7390" s="1"/>
      <c r="O7390" s="1"/>
      <c r="P7390" s="1"/>
      <c r="Q7390" s="1"/>
      <c r="R7390" s="1"/>
      <c r="S7390" s="1"/>
      <c r="T7390" s="1"/>
      <c r="U7390" s="1"/>
      <c r="V7390" s="1"/>
      <c r="W7390" s="1"/>
      <c r="X7390" s="1"/>
      <c r="Y7390" s="1"/>
      <c r="Z7390" s="1"/>
      <c r="AA7390" s="1"/>
      <c r="AB7390" s="1"/>
    </row>
    <row r="7391" ht="50.25" customHeight="1">
      <c r="A7391" s="12">
        <v>7387.0</v>
      </c>
      <c r="B7391" s="13" t="s">
        <v>7028</v>
      </c>
      <c r="C7391" s="14" t="s">
        <v>7415</v>
      </c>
      <c r="D7391" s="1"/>
      <c r="E7391" s="1"/>
      <c r="F7391" s="1" t="str">
        <f>IFERROR(__xludf.DUMMYFUNCTION("GOOGLETRANSLATE(B7391, ""en"", ""fa"")
"),"موفقیت در ای بی")</f>
        <v>موفقیت در ای بی</v>
      </c>
      <c r="G7391" s="1" t="str">
        <f>IFERROR(__xludf.DUMMYFUNCTION("GOOGLETRANSLATE(C7391, ""en"", ""fa"")
"),"عناصر کلیدی فرآیند تطبیق موجودی برای اطمینان از صحت بین فروش eBay من و موجودی واقعی موجود در دست چیست؟")</f>
        <v>عناصر کلیدی فرآیند تطبیق موجودی برای اطمینان از صحت بین فروش eBay من و موجودی واقعی موجود در دست چیست؟</v>
      </c>
      <c r="H7391" s="1"/>
      <c r="I7391" s="1"/>
      <c r="J7391" s="1"/>
      <c r="K7391" s="1"/>
      <c r="L7391" s="1"/>
      <c r="M7391" s="1"/>
      <c r="N7391" s="1"/>
      <c r="O7391" s="1"/>
      <c r="P7391" s="1"/>
      <c r="Q7391" s="1"/>
      <c r="R7391" s="1"/>
      <c r="S7391" s="1"/>
      <c r="T7391" s="1"/>
      <c r="U7391" s="1"/>
      <c r="V7391" s="1"/>
      <c r="W7391" s="1"/>
      <c r="X7391" s="1"/>
      <c r="Y7391" s="1"/>
      <c r="Z7391" s="1"/>
      <c r="AA7391" s="1"/>
      <c r="AB7391" s="1"/>
    </row>
    <row r="7392" ht="50.25" customHeight="1">
      <c r="A7392" s="12">
        <v>7388.0</v>
      </c>
      <c r="B7392" s="13" t="s">
        <v>7028</v>
      </c>
      <c r="C7392" s="14" t="s">
        <v>7416</v>
      </c>
      <c r="D7392" s="1"/>
      <c r="E7392" s="1"/>
      <c r="F7392" s="1" t="str">
        <f>IFERROR(__xludf.DUMMYFUNCTION("GOOGLETRANSLATE(B7392, ""en"", ""fa"")
"),"موفقیت در ای بی")</f>
        <v>موفقیت در ای بی</v>
      </c>
      <c r="G7392" s="1" t="str">
        <f>IFERROR(__xludf.DUMMYFUNCTION("GOOGLETRANSLATE(C7392, ""en"", ""fa"")
"),"چگونه می‌توانم از مدل‌های پیش‌بینی موجودی و تجزیه و تحلیل پیش‌بینی‌کننده برای بهینه‌سازی سطح موجودی و جلوگیری از ذخیره بیش از حد در eBay استفاده کنم؟")</f>
        <v>چگونه می‌توانم از مدل‌های پیش‌بینی موجودی و تجزیه و تحلیل پیش‌بینی‌کننده برای بهینه‌سازی سطح موجودی و جلوگیری از ذخیره بیش از حد در eBay استفاده کنم؟</v>
      </c>
      <c r="H7392" s="1"/>
      <c r="I7392" s="1"/>
      <c r="J7392" s="1"/>
      <c r="K7392" s="1"/>
      <c r="L7392" s="1"/>
      <c r="M7392" s="1"/>
      <c r="N7392" s="1"/>
      <c r="O7392" s="1"/>
      <c r="P7392" s="1"/>
      <c r="Q7392" s="1"/>
      <c r="R7392" s="1"/>
      <c r="S7392" s="1"/>
      <c r="T7392" s="1"/>
      <c r="U7392" s="1"/>
      <c r="V7392" s="1"/>
      <c r="W7392" s="1"/>
      <c r="X7392" s="1"/>
      <c r="Y7392" s="1"/>
      <c r="Z7392" s="1"/>
      <c r="AA7392" s="1"/>
      <c r="AB7392" s="1"/>
    </row>
    <row r="7393" ht="50.25" customHeight="1">
      <c r="A7393" s="12">
        <v>7389.0</v>
      </c>
      <c r="B7393" s="13" t="s">
        <v>7028</v>
      </c>
      <c r="C7393" s="14" t="s">
        <v>7417</v>
      </c>
      <c r="D7393" s="1"/>
      <c r="E7393" s="1"/>
      <c r="F7393" s="1" t="str">
        <f>IFERROR(__xludf.DUMMYFUNCTION("GOOGLETRANSLATE(B7393, ""en"", ""fa"")
"),"موفقیت در ای بی")</f>
        <v>موفقیت در ای بی</v>
      </c>
      <c r="G7393" s="1" t="str">
        <f>IFERROR(__xludf.DUMMYFUNCTION("GOOGLETRANSLATE(C7393, ""en"", ""fa"")
"),"از چه استراتژی هایی می توانم برای پیاده سازی سیستمی برای مکان یابی بن یا بهینه سازی شکاف ها برای بهبود کارایی انتخاب در eBay استفاده کنم؟")</f>
        <v>از چه استراتژی هایی می توانم برای پیاده سازی سیستمی برای مکان یابی بن یا بهینه سازی شکاف ها برای بهبود کارایی انتخاب در eBay استفاده کنم؟</v>
      </c>
      <c r="H7393" s="1"/>
      <c r="I7393" s="1"/>
      <c r="J7393" s="1"/>
      <c r="K7393" s="1"/>
      <c r="L7393" s="1"/>
      <c r="M7393" s="1"/>
      <c r="N7393" s="1"/>
      <c r="O7393" s="1"/>
      <c r="P7393" s="1"/>
      <c r="Q7393" s="1"/>
      <c r="R7393" s="1"/>
      <c r="S7393" s="1"/>
      <c r="T7393" s="1"/>
      <c r="U7393" s="1"/>
      <c r="V7393" s="1"/>
      <c r="W7393" s="1"/>
      <c r="X7393" s="1"/>
      <c r="Y7393" s="1"/>
      <c r="Z7393" s="1"/>
      <c r="AA7393" s="1"/>
      <c r="AB7393" s="1"/>
    </row>
    <row r="7394" ht="50.25" customHeight="1">
      <c r="A7394" s="12">
        <v>7390.0</v>
      </c>
      <c r="B7394" s="13" t="s">
        <v>7028</v>
      </c>
      <c r="C7394" s="14" t="s">
        <v>7418</v>
      </c>
      <c r="D7394" s="1"/>
      <c r="E7394" s="1"/>
      <c r="F7394" s="1" t="str">
        <f>IFERROR(__xludf.DUMMYFUNCTION("GOOGLETRANSLATE(B7394, ""en"", ""fa"")
"),"موفقیت در ای بی")</f>
        <v>موفقیت در ای بی</v>
      </c>
      <c r="G7394" s="1" t="str">
        <f>IFERROR(__xludf.DUMMYFUNCTION("GOOGLETRANSLATE(C7394, ""en"", ""fa"")
"),"چگونه می‌توانم فهرست‌های eBay خود را بهینه‌سازی کنم تا کالاهای تازه وارد شده یا مواردی که اخیراً ذخیره شده‌اند را برجسته کنم تا توجه خریدار را جلب کنم و فروش را افزایش دهم؟")</f>
        <v>چگونه می‌توانم فهرست‌های eBay خود را بهینه‌سازی کنم تا کالاهای تازه وارد شده یا مواردی که اخیراً ذخیره شده‌اند را برجسته کنم تا توجه خریدار را جلب کنم و فروش را افزایش دهم؟</v>
      </c>
      <c r="H7394" s="1"/>
      <c r="I7394" s="1"/>
      <c r="J7394" s="1"/>
      <c r="K7394" s="1"/>
      <c r="L7394" s="1"/>
      <c r="M7394" s="1"/>
      <c r="N7394" s="1"/>
      <c r="O7394" s="1"/>
      <c r="P7394" s="1"/>
      <c r="Q7394" s="1"/>
      <c r="R7394" s="1"/>
      <c r="S7394" s="1"/>
      <c r="T7394" s="1"/>
      <c r="U7394" s="1"/>
      <c r="V7394" s="1"/>
      <c r="W7394" s="1"/>
      <c r="X7394" s="1"/>
      <c r="Y7394" s="1"/>
      <c r="Z7394" s="1"/>
      <c r="AA7394" s="1"/>
      <c r="AB7394" s="1"/>
    </row>
    <row r="7395" ht="50.25" customHeight="1">
      <c r="A7395" s="12">
        <v>7391.0</v>
      </c>
      <c r="B7395" s="13" t="s">
        <v>7028</v>
      </c>
      <c r="C7395" s="14" t="s">
        <v>7419</v>
      </c>
      <c r="D7395" s="1"/>
      <c r="E7395" s="1"/>
      <c r="F7395" s="1" t="str">
        <f>IFERROR(__xludf.DUMMYFUNCTION("GOOGLETRANSLATE(B7395, ""en"", ""fa"")
"),"موفقیت در ای بی")</f>
        <v>موفقیت در ای بی</v>
      </c>
      <c r="G7395" s="1" t="str">
        <f>IFERROR(__xludf.DUMMYFUNCTION("GOOGLETRANSLATE(C7395, ""en"", ""fa"")
"),"چگونه می توانم طراحی و چیدمان کلی فروشگاه eBay خود را بهبود بخشم تا یک ویترین فروشگاهی از نظر بصری جذاب و حرفه ای ایجاد کنم؟")</f>
        <v>چگونه می توانم طراحی و چیدمان کلی فروشگاه eBay خود را بهبود بخشم تا یک ویترین فروشگاهی از نظر بصری جذاب و حرفه ای ایجاد کنم؟</v>
      </c>
      <c r="H7395" s="1"/>
      <c r="I7395" s="1"/>
      <c r="J7395" s="1"/>
      <c r="K7395" s="1"/>
      <c r="L7395" s="1"/>
      <c r="M7395" s="1"/>
      <c r="N7395" s="1"/>
      <c r="O7395" s="1"/>
      <c r="P7395" s="1"/>
      <c r="Q7395" s="1"/>
      <c r="R7395" s="1"/>
      <c r="S7395" s="1"/>
      <c r="T7395" s="1"/>
      <c r="U7395" s="1"/>
      <c r="V7395" s="1"/>
      <c r="W7395" s="1"/>
      <c r="X7395" s="1"/>
      <c r="Y7395" s="1"/>
      <c r="Z7395" s="1"/>
      <c r="AA7395" s="1"/>
      <c r="AB7395" s="1"/>
    </row>
    <row r="7396" ht="50.25" customHeight="1">
      <c r="A7396" s="12">
        <v>7392.0</v>
      </c>
      <c r="B7396" s="13" t="s">
        <v>7028</v>
      </c>
      <c r="C7396" s="14" t="s">
        <v>7420</v>
      </c>
      <c r="D7396" s="1"/>
      <c r="E7396" s="1"/>
      <c r="F7396" s="1" t="str">
        <f>IFERROR(__xludf.DUMMYFUNCTION("GOOGLETRANSLATE(B7396, ""en"", ""fa"")
"),"موفقیت در ای بی")</f>
        <v>موفقیت در ای بی</v>
      </c>
      <c r="G7396" s="1" t="str">
        <f>IFERROR(__xludf.DUMMYFUNCTION("GOOGLETRANSLATE(C7396, ""en"", ""fa"")
"),"عناصر کلیدی یک بنر یا آرم فروشگاهی قانع کننده و آموزنده برای نشان دادن موثر برند من در eBay چیست؟")</f>
        <v>عناصر کلیدی یک بنر یا آرم فروشگاهی قانع کننده و آموزنده برای نشان دادن موثر برند من در eBay چیست؟</v>
      </c>
      <c r="H7396" s="1"/>
      <c r="I7396" s="1"/>
      <c r="J7396" s="1"/>
      <c r="K7396" s="1"/>
      <c r="L7396" s="1"/>
      <c r="M7396" s="1"/>
      <c r="N7396" s="1"/>
      <c r="O7396" s="1"/>
      <c r="P7396" s="1"/>
      <c r="Q7396" s="1"/>
      <c r="R7396" s="1"/>
      <c r="S7396" s="1"/>
      <c r="T7396" s="1"/>
      <c r="U7396" s="1"/>
      <c r="V7396" s="1"/>
      <c r="W7396" s="1"/>
      <c r="X7396" s="1"/>
      <c r="Y7396" s="1"/>
      <c r="Z7396" s="1"/>
      <c r="AA7396" s="1"/>
      <c r="AB7396" s="1"/>
    </row>
    <row r="7397" ht="50.25" customHeight="1">
      <c r="A7397" s="12">
        <v>7393.0</v>
      </c>
      <c r="B7397" s="13" t="s">
        <v>7028</v>
      </c>
      <c r="C7397" s="14" t="s">
        <v>7421</v>
      </c>
      <c r="D7397" s="1"/>
      <c r="E7397" s="1"/>
      <c r="F7397" s="1" t="str">
        <f>IFERROR(__xludf.DUMMYFUNCTION("GOOGLETRANSLATE(B7397, ""en"", ""fa"")
"),"موفقیت در ای بی")</f>
        <v>موفقیت در ای بی</v>
      </c>
      <c r="G7397" s="1" t="str">
        <f>IFERROR(__xludf.DUMMYFUNCTION("GOOGLETRANSLATE(C7397, ""en"", ""fa"")
"),"چگونه می توانم دسته ها و زیرمجموعه های فروشگاه eBay خود را برای ناوبری و مرور آسان برای خریداران بهینه کنم؟")</f>
        <v>چگونه می توانم دسته ها و زیرمجموعه های فروشگاه eBay خود را برای ناوبری و مرور آسان برای خریداران بهینه کنم؟</v>
      </c>
      <c r="H7397" s="1"/>
      <c r="I7397" s="1"/>
      <c r="J7397" s="1"/>
      <c r="K7397" s="1"/>
      <c r="L7397" s="1"/>
      <c r="M7397" s="1"/>
      <c r="N7397" s="1"/>
      <c r="O7397" s="1"/>
      <c r="P7397" s="1"/>
      <c r="Q7397" s="1"/>
      <c r="R7397" s="1"/>
      <c r="S7397" s="1"/>
      <c r="T7397" s="1"/>
      <c r="U7397" s="1"/>
      <c r="V7397" s="1"/>
      <c r="W7397" s="1"/>
      <c r="X7397" s="1"/>
      <c r="Y7397" s="1"/>
      <c r="Z7397" s="1"/>
      <c r="AA7397" s="1"/>
      <c r="AB7397" s="1"/>
    </row>
    <row r="7398" ht="50.25" customHeight="1">
      <c r="A7398" s="12">
        <v>7394.0</v>
      </c>
      <c r="B7398" s="13" t="s">
        <v>7028</v>
      </c>
      <c r="C7398" s="14" t="s">
        <v>7422</v>
      </c>
      <c r="D7398" s="1"/>
      <c r="E7398" s="1"/>
      <c r="F7398" s="1" t="str">
        <f>IFERROR(__xludf.DUMMYFUNCTION("GOOGLETRANSLATE(B7398, ""en"", ""fa"")
"),"موفقیت در ای بی")</f>
        <v>موفقیت در ای بی</v>
      </c>
      <c r="G7398" s="1" t="str">
        <f>IFERROR(__xludf.DUMMYFUNCTION("GOOGLETRANSLATE(C7398, ""en"", ""fa"")
"),"از چه استراتژی هایی می توانم برای نمایش محصولات پرفروش یا برجسته در صفحه اصلی فروشگاه eBay خود استفاده کنم؟")</f>
        <v>از چه استراتژی هایی می توانم برای نمایش محصولات پرفروش یا برجسته در صفحه اصلی فروشگاه eBay خود استفاده کنم؟</v>
      </c>
      <c r="H7398" s="1"/>
      <c r="I7398" s="1"/>
      <c r="J7398" s="1"/>
      <c r="K7398" s="1"/>
      <c r="L7398" s="1"/>
      <c r="M7398" s="1"/>
      <c r="N7398" s="1"/>
      <c r="O7398" s="1"/>
      <c r="P7398" s="1"/>
      <c r="Q7398" s="1"/>
      <c r="R7398" s="1"/>
      <c r="S7398" s="1"/>
      <c r="T7398" s="1"/>
      <c r="U7398" s="1"/>
      <c r="V7398" s="1"/>
      <c r="W7398" s="1"/>
      <c r="X7398" s="1"/>
      <c r="Y7398" s="1"/>
      <c r="Z7398" s="1"/>
      <c r="AA7398" s="1"/>
      <c r="AB7398" s="1"/>
    </row>
    <row r="7399" ht="50.25" customHeight="1">
      <c r="A7399" s="12">
        <v>7395.0</v>
      </c>
      <c r="B7399" s="13" t="s">
        <v>7028</v>
      </c>
      <c r="C7399" s="14" t="s">
        <v>7423</v>
      </c>
      <c r="D7399" s="1"/>
      <c r="E7399" s="1"/>
      <c r="F7399" s="1" t="str">
        <f>IFERROR(__xludf.DUMMYFUNCTION("GOOGLETRANSLATE(B7399, ""en"", ""fa"")
"),"موفقیت در ای بی")</f>
        <v>موفقیت در ای بی</v>
      </c>
      <c r="G7399" s="1" t="str">
        <f>IFERROR(__xludf.DUMMYFUNCTION("GOOGLETRANSLATE(C7399, ""en"", ""fa"")
"),"چگونه می‌توانم از گزینه‌های سفارشی‌سازی فروشگاه eBay، مانند رنگ‌ها، فونت‌ها و قالب‌ها برای ایجاد یک تجربه فروشگاهی منسجم و برند استفاده کنم؟")</f>
        <v>چگونه می‌توانم از گزینه‌های سفارشی‌سازی فروشگاه eBay، مانند رنگ‌ها، فونت‌ها و قالب‌ها برای ایجاد یک تجربه فروشگاهی منسجم و برند استفاده کنم؟</v>
      </c>
      <c r="H7399" s="1"/>
      <c r="I7399" s="1"/>
      <c r="J7399" s="1"/>
      <c r="K7399" s="1"/>
      <c r="L7399" s="1"/>
      <c r="M7399" s="1"/>
      <c r="N7399" s="1"/>
      <c r="O7399" s="1"/>
      <c r="P7399" s="1"/>
      <c r="Q7399" s="1"/>
      <c r="R7399" s="1"/>
      <c r="S7399" s="1"/>
      <c r="T7399" s="1"/>
      <c r="U7399" s="1"/>
      <c r="V7399" s="1"/>
      <c r="W7399" s="1"/>
      <c r="X7399" s="1"/>
      <c r="Y7399" s="1"/>
      <c r="Z7399" s="1"/>
      <c r="AA7399" s="1"/>
      <c r="AB7399" s="1"/>
    </row>
    <row r="7400" ht="50.25" customHeight="1">
      <c r="A7400" s="12">
        <v>7396.0</v>
      </c>
      <c r="B7400" s="13" t="s">
        <v>7028</v>
      </c>
      <c r="C7400" s="14" t="s">
        <v>7424</v>
      </c>
      <c r="D7400" s="1"/>
      <c r="E7400" s="1"/>
      <c r="F7400" s="1" t="str">
        <f>IFERROR(__xludf.DUMMYFUNCTION("GOOGLETRANSLATE(B7400, ""en"", ""fa"")
"),"موفقیت در ای بی")</f>
        <v>موفقیت در ای بی</v>
      </c>
      <c r="G7400" s="1" t="str">
        <f>IFERROR(__xludf.DUMMYFUNCTION("GOOGLETRANSLATE(C7400, ""en"", ""fa"")
"),"مزایای استفاده از بنرهای تبلیغاتی یا لغزنده چرخ فلک برای برجسته کردن پیشنهادات یا تخفیف های ویژه در فروشگاه eBay چیست؟")</f>
        <v>مزایای استفاده از بنرهای تبلیغاتی یا لغزنده چرخ فلک برای برجسته کردن پیشنهادات یا تخفیف های ویژه در فروشگاه eBay چیست؟</v>
      </c>
      <c r="H7400" s="1"/>
      <c r="I7400" s="1"/>
      <c r="J7400" s="1"/>
      <c r="K7400" s="1"/>
      <c r="L7400" s="1"/>
      <c r="M7400" s="1"/>
      <c r="N7400" s="1"/>
      <c r="O7400" s="1"/>
      <c r="P7400" s="1"/>
      <c r="Q7400" s="1"/>
      <c r="R7400" s="1"/>
      <c r="S7400" s="1"/>
      <c r="T7400" s="1"/>
      <c r="U7400" s="1"/>
      <c r="V7400" s="1"/>
      <c r="W7400" s="1"/>
      <c r="X7400" s="1"/>
      <c r="Y7400" s="1"/>
      <c r="Z7400" s="1"/>
      <c r="AA7400" s="1"/>
      <c r="AB7400" s="1"/>
    </row>
    <row r="7401" ht="50.25" customHeight="1">
      <c r="A7401" s="12">
        <v>7397.0</v>
      </c>
      <c r="B7401" s="13" t="s">
        <v>7028</v>
      </c>
      <c r="C7401" s="14" t="s">
        <v>7425</v>
      </c>
      <c r="D7401" s="1"/>
      <c r="E7401" s="1"/>
      <c r="F7401" s="1" t="str">
        <f>IFERROR(__xludf.DUMMYFUNCTION("GOOGLETRANSLATE(B7401, ""en"", ""fa"")
"),"موفقیت در ای بی")</f>
        <v>موفقیت در ای بی</v>
      </c>
      <c r="G7401" s="1" t="str">
        <f>IFERROR(__xludf.DUMMYFUNCTION("GOOGLETRANSLATE(C7401, ""en"", ""fa"")
"),"چگونه می توانم فروشگاه eBay خود را برای دستگاه های تلفن همراه بهینه کنم تا از یک مرور و خرید یکپارچه برای کاربران تلفن همراه اطمینان حاصل کنم؟")</f>
        <v>چگونه می توانم فروشگاه eBay خود را برای دستگاه های تلفن همراه بهینه کنم تا از یک مرور و خرید یکپارچه برای کاربران تلفن همراه اطمینان حاصل کنم؟</v>
      </c>
      <c r="H7401" s="1"/>
      <c r="I7401" s="1"/>
      <c r="J7401" s="1"/>
      <c r="K7401" s="1"/>
      <c r="L7401" s="1"/>
      <c r="M7401" s="1"/>
      <c r="N7401" s="1"/>
      <c r="O7401" s="1"/>
      <c r="P7401" s="1"/>
      <c r="Q7401" s="1"/>
      <c r="R7401" s="1"/>
      <c r="S7401" s="1"/>
      <c r="T7401" s="1"/>
      <c r="U7401" s="1"/>
      <c r="V7401" s="1"/>
      <c r="W7401" s="1"/>
      <c r="X7401" s="1"/>
      <c r="Y7401" s="1"/>
      <c r="Z7401" s="1"/>
      <c r="AA7401" s="1"/>
      <c r="AB7401" s="1"/>
    </row>
    <row r="7402" ht="50.25" customHeight="1">
      <c r="A7402" s="12">
        <v>7398.0</v>
      </c>
      <c r="B7402" s="13" t="s">
        <v>7028</v>
      </c>
      <c r="C7402" s="14" t="s">
        <v>7426</v>
      </c>
      <c r="D7402" s="1"/>
      <c r="E7402" s="1"/>
      <c r="F7402" s="1" t="str">
        <f>IFERROR(__xludf.DUMMYFUNCTION("GOOGLETRANSLATE(B7402, ""en"", ""fa"")
"),"موفقیت در ای بی")</f>
        <v>موفقیت در ای بی</v>
      </c>
      <c r="G7402" s="1" t="str">
        <f>IFERROR(__xludf.DUMMYFUNCTION("GOOGLETRANSLATE(C7402, ""en"", ""fa"")
"),"چه استراتژی هایی را می توانم برای پیاده سازی نظرات یا نظرات مشتریان در فروشگاه eBay برای ایجاد اعتماد و اعتبار خریدار به کار بگیرم؟")</f>
        <v>چه استراتژی هایی را می توانم برای پیاده سازی نظرات یا نظرات مشتریان در فروشگاه eBay برای ایجاد اعتماد و اعتبار خریدار به کار بگیرم؟</v>
      </c>
      <c r="H7402" s="1"/>
      <c r="I7402" s="1"/>
      <c r="J7402" s="1"/>
      <c r="K7402" s="1"/>
      <c r="L7402" s="1"/>
      <c r="M7402" s="1"/>
      <c r="N7402" s="1"/>
      <c r="O7402" s="1"/>
      <c r="P7402" s="1"/>
      <c r="Q7402" s="1"/>
      <c r="R7402" s="1"/>
      <c r="S7402" s="1"/>
      <c r="T7402" s="1"/>
      <c r="U7402" s="1"/>
      <c r="V7402" s="1"/>
      <c r="W7402" s="1"/>
      <c r="X7402" s="1"/>
      <c r="Y7402" s="1"/>
      <c r="Z7402" s="1"/>
      <c r="AA7402" s="1"/>
      <c r="AB7402" s="1"/>
    </row>
    <row r="7403" ht="50.25" customHeight="1">
      <c r="A7403" s="12">
        <v>7399.0</v>
      </c>
      <c r="B7403" s="13" t="s">
        <v>7028</v>
      </c>
      <c r="C7403" s="14" t="s">
        <v>7427</v>
      </c>
      <c r="D7403" s="1"/>
      <c r="E7403" s="1"/>
      <c r="F7403" s="1" t="str">
        <f>IFERROR(__xludf.DUMMYFUNCTION("GOOGLETRANSLATE(B7403, ""en"", ""fa"")
"),"موفقیت در ای بی")</f>
        <v>موفقیت در ای بی</v>
      </c>
      <c r="G7403" s="1" t="str">
        <f>IFERROR(__xludf.DUMMYFUNCTION("GOOGLETRANSLATE(C7403, ""en"", ""fa"")
"),"چگونه می توانم به طور موثر از ماژول های تبلیغات متقابل یا پیشنهادات مورد مرتبط برای تشویق خریدهای اضافی در فروشگاه eBay استفاده کنم؟")</f>
        <v>چگونه می توانم به طور موثر از ماژول های تبلیغات متقابل یا پیشنهادات مورد مرتبط برای تشویق خریدهای اضافی در فروشگاه eBay استفاده کنم؟</v>
      </c>
      <c r="H7403" s="1"/>
      <c r="I7403" s="1"/>
      <c r="J7403" s="1"/>
      <c r="K7403" s="1"/>
      <c r="L7403" s="1"/>
      <c r="M7403" s="1"/>
      <c r="N7403" s="1"/>
      <c r="O7403" s="1"/>
      <c r="P7403" s="1"/>
      <c r="Q7403" s="1"/>
      <c r="R7403" s="1"/>
      <c r="S7403" s="1"/>
      <c r="T7403" s="1"/>
      <c r="U7403" s="1"/>
      <c r="V7403" s="1"/>
      <c r="W7403" s="1"/>
      <c r="X7403" s="1"/>
      <c r="Y7403" s="1"/>
      <c r="Z7403" s="1"/>
      <c r="AA7403" s="1"/>
      <c r="AB7403" s="1"/>
    </row>
    <row r="7404" ht="50.25" customHeight="1">
      <c r="A7404" s="12">
        <v>7400.0</v>
      </c>
      <c r="B7404" s="13" t="s">
        <v>7028</v>
      </c>
      <c r="C7404" s="14" t="s">
        <v>7428</v>
      </c>
      <c r="D7404" s="1"/>
      <c r="E7404" s="1"/>
      <c r="F7404" s="1" t="str">
        <f>IFERROR(__xludf.DUMMYFUNCTION("GOOGLETRANSLATE(B7404, ""en"", ""fa"")
"),"موفقیت در ای بی")</f>
        <v>موفقیت در ای بی</v>
      </c>
      <c r="G7404" s="1" t="str">
        <f>IFERROR(__xludf.DUMMYFUNCTION("GOOGLETRANSLATE(C7404, ""en"", ""fa"")
"),"چگونه می توانم از تجزیه و تحلیل و داده های فروشگاه eBay برای شناسایی زمینه های بهبود و پیگیری عملکرد فروشگاه خود استفاده کنم؟")</f>
        <v>چگونه می توانم از تجزیه و تحلیل و داده های فروشگاه eBay برای شناسایی زمینه های بهبود و پیگیری عملکرد فروشگاه خود استفاده کنم؟</v>
      </c>
      <c r="H7404" s="1"/>
      <c r="I7404" s="1"/>
      <c r="J7404" s="1"/>
      <c r="K7404" s="1"/>
      <c r="L7404" s="1"/>
      <c r="M7404" s="1"/>
      <c r="N7404" s="1"/>
      <c r="O7404" s="1"/>
      <c r="P7404" s="1"/>
      <c r="Q7404" s="1"/>
      <c r="R7404" s="1"/>
      <c r="S7404" s="1"/>
      <c r="T7404" s="1"/>
      <c r="U7404" s="1"/>
      <c r="V7404" s="1"/>
      <c r="W7404" s="1"/>
      <c r="X7404" s="1"/>
      <c r="Y7404" s="1"/>
      <c r="Z7404" s="1"/>
      <c r="AA7404" s="1"/>
      <c r="AB7404" s="1"/>
    </row>
    <row r="7405" ht="50.25" customHeight="1">
      <c r="A7405" s="12">
        <v>7401.0</v>
      </c>
      <c r="B7405" s="13" t="s">
        <v>7028</v>
      </c>
      <c r="C7405" s="14" t="s">
        <v>7429</v>
      </c>
      <c r="D7405" s="1"/>
      <c r="E7405" s="1"/>
      <c r="F7405" s="1" t="str">
        <f>IFERROR(__xludf.DUMMYFUNCTION("GOOGLETRANSLATE(B7405, ""en"", ""fa"")
"),"موفقیت در ای بی")</f>
        <v>موفقیت در ای بی</v>
      </c>
      <c r="G7405" s="1" t="str">
        <f>IFERROR(__xludf.DUMMYFUNCTION("GOOGLETRANSLATE(C7405, ""en"", ""fa"")
"),"از چه استراتژی هایی می توانم برای بهینه سازی دید و رتبه بندی فروشگاه eBay خود برای جذب ترافیک ارگانیک استفاده کنم؟")</f>
        <v>از چه استراتژی هایی می توانم برای بهینه سازی دید و رتبه بندی فروشگاه eBay خود برای جذب ترافیک ارگانیک استفاده کنم؟</v>
      </c>
      <c r="H7405" s="1"/>
      <c r="I7405" s="1"/>
      <c r="J7405" s="1"/>
      <c r="K7405" s="1"/>
      <c r="L7405" s="1"/>
      <c r="M7405" s="1"/>
      <c r="N7405" s="1"/>
      <c r="O7405" s="1"/>
      <c r="P7405" s="1"/>
      <c r="Q7405" s="1"/>
      <c r="R7405" s="1"/>
      <c r="S7405" s="1"/>
      <c r="T7405" s="1"/>
      <c r="U7405" s="1"/>
      <c r="V7405" s="1"/>
      <c r="W7405" s="1"/>
      <c r="X7405" s="1"/>
      <c r="Y7405" s="1"/>
      <c r="Z7405" s="1"/>
      <c r="AA7405" s="1"/>
      <c r="AB7405" s="1"/>
    </row>
    <row r="7406" ht="50.25" customHeight="1">
      <c r="A7406" s="12">
        <v>7402.0</v>
      </c>
      <c r="B7406" s="13" t="s">
        <v>7028</v>
      </c>
      <c r="C7406" s="14" t="s">
        <v>7430</v>
      </c>
      <c r="D7406" s="1"/>
      <c r="E7406" s="1"/>
      <c r="F7406" s="1" t="str">
        <f>IFERROR(__xludf.DUMMYFUNCTION("GOOGLETRANSLATE(B7406, ""en"", ""fa"")
"),"موفقیت در ای بی")</f>
        <v>موفقیت در ای بی</v>
      </c>
      <c r="G7406" s="1" t="str">
        <f>IFERROR(__xludf.DUMMYFUNCTION("GOOGLETRANSLATE(C7406, ""en"", ""fa"")
"),"چگونه می توانم عکاسی محصول و کیفیت تصویر را در لیست های فروشگاه eBay خود بهبود بخشم تا جذابیت بصری و اطمینان خریدار را افزایش دهم؟")</f>
        <v>چگونه می توانم عکاسی محصول و کیفیت تصویر را در لیست های فروشگاه eBay خود بهبود بخشم تا جذابیت بصری و اطمینان خریدار را افزایش دهم؟</v>
      </c>
      <c r="H7406" s="1"/>
      <c r="I7406" s="1"/>
      <c r="J7406" s="1"/>
      <c r="K7406" s="1"/>
      <c r="L7406" s="1"/>
      <c r="M7406" s="1"/>
      <c r="N7406" s="1"/>
      <c r="O7406" s="1"/>
      <c r="P7406" s="1"/>
      <c r="Q7406" s="1"/>
      <c r="R7406" s="1"/>
      <c r="S7406" s="1"/>
      <c r="T7406" s="1"/>
      <c r="U7406" s="1"/>
      <c r="V7406" s="1"/>
      <c r="W7406" s="1"/>
      <c r="X7406" s="1"/>
      <c r="Y7406" s="1"/>
      <c r="Z7406" s="1"/>
      <c r="AA7406" s="1"/>
      <c r="AB7406" s="1"/>
    </row>
    <row r="7407" ht="50.25" customHeight="1">
      <c r="A7407" s="12">
        <v>7403.0</v>
      </c>
      <c r="B7407" s="13" t="s">
        <v>7028</v>
      </c>
      <c r="C7407" s="14" t="s">
        <v>7431</v>
      </c>
      <c r="D7407" s="1"/>
      <c r="E7407" s="1"/>
      <c r="F7407" s="1" t="str">
        <f>IFERROR(__xludf.DUMMYFUNCTION("GOOGLETRANSLATE(B7407, ""en"", ""fa"")
"),"موفقیت در ای بی")</f>
        <v>موفقیت در ای بی</v>
      </c>
      <c r="G7407" s="1" t="str">
        <f>IFERROR(__xludf.DUMMYFUNCTION("GOOGLETRANSLATE(C7407, ""en"", ""fa"")
"),"مزایای استفاده از ابزارهای بازاریابی فروشگاه eBay، مانند خبرنامه های ایمیل یا کمپین های تبلیغاتی، برای تعامل با خریداران چیست؟")</f>
        <v>مزایای استفاده از ابزارهای بازاریابی فروشگاه eBay، مانند خبرنامه های ایمیل یا کمپین های تبلیغاتی، برای تعامل با خریداران چیست؟</v>
      </c>
      <c r="H7407" s="1"/>
      <c r="I7407" s="1"/>
      <c r="J7407" s="1"/>
      <c r="K7407" s="1"/>
      <c r="L7407" s="1"/>
      <c r="M7407" s="1"/>
      <c r="N7407" s="1"/>
      <c r="O7407" s="1"/>
      <c r="P7407" s="1"/>
      <c r="Q7407" s="1"/>
      <c r="R7407" s="1"/>
      <c r="S7407" s="1"/>
      <c r="T7407" s="1"/>
      <c r="U7407" s="1"/>
      <c r="V7407" s="1"/>
      <c r="W7407" s="1"/>
      <c r="X7407" s="1"/>
      <c r="Y7407" s="1"/>
      <c r="Z7407" s="1"/>
      <c r="AA7407" s="1"/>
      <c r="AB7407" s="1"/>
    </row>
    <row r="7408" ht="50.25" customHeight="1">
      <c r="A7408" s="12">
        <v>7404.0</v>
      </c>
      <c r="B7408" s="13" t="s">
        <v>7028</v>
      </c>
      <c r="C7408" s="14" t="s">
        <v>7432</v>
      </c>
      <c r="D7408" s="1"/>
      <c r="E7408" s="1"/>
      <c r="F7408" s="1" t="str">
        <f>IFERROR(__xludf.DUMMYFUNCTION("GOOGLETRANSLATE(B7408, ""en"", ""fa"")
"),"موفقیت در ای بی")</f>
        <v>موفقیت در ای بی</v>
      </c>
      <c r="G7408" s="1" t="str">
        <f>IFERROR(__xludf.DUMMYFUNCTION("GOOGLETRANSLATE(C7408, ""en"", ""fa"")
"),"چگونه می توانم توضیحات محصول و کلمات کلیدی فروشگاه eBay خود را برای بهبود ارتباط جستجو و دستیابی به مخاطبان وسیع تری بهینه کنم؟")</f>
        <v>چگونه می توانم توضیحات محصول و کلمات کلیدی فروشگاه eBay خود را برای بهبود ارتباط جستجو و دستیابی به مخاطبان وسیع تری بهینه کنم؟</v>
      </c>
      <c r="H7408" s="1"/>
      <c r="I7408" s="1"/>
      <c r="J7408" s="1"/>
      <c r="K7408" s="1"/>
      <c r="L7408" s="1"/>
      <c r="M7408" s="1"/>
      <c r="N7408" s="1"/>
      <c r="O7408" s="1"/>
      <c r="P7408" s="1"/>
      <c r="Q7408" s="1"/>
      <c r="R7408" s="1"/>
      <c r="S7408" s="1"/>
      <c r="T7408" s="1"/>
      <c r="U7408" s="1"/>
      <c r="V7408" s="1"/>
      <c r="W7408" s="1"/>
      <c r="X7408" s="1"/>
      <c r="Y7408" s="1"/>
      <c r="Z7408" s="1"/>
      <c r="AA7408" s="1"/>
      <c r="AB7408" s="1"/>
    </row>
    <row r="7409" ht="50.25" customHeight="1">
      <c r="A7409" s="12">
        <v>7405.0</v>
      </c>
      <c r="B7409" s="13" t="s">
        <v>7028</v>
      </c>
      <c r="C7409" s="14" t="s">
        <v>7433</v>
      </c>
      <c r="D7409" s="1"/>
      <c r="E7409" s="1"/>
      <c r="F7409" s="1" t="str">
        <f>IFERROR(__xludf.DUMMYFUNCTION("GOOGLETRANSLATE(B7409, ""en"", ""fa"")
"),"موفقیت در ای بی")</f>
        <v>موفقیت در ای بی</v>
      </c>
      <c r="G7409" s="1" t="str">
        <f>IFERROR(__xludf.DUMMYFUNCTION("GOOGLETRANSLATE(C7409, ""en"", ""fa"")
"),"برای ارائه معاملات یا تبلیغات انحصاری به مشترکین یا دنبال کنندگان فروشگاه eBay از چه استراتژی هایی می توانم استفاده کنم؟")</f>
        <v>برای ارائه معاملات یا تبلیغات انحصاری به مشترکین یا دنبال کنندگان فروشگاه eBay از چه استراتژی هایی می توانم استفاده کنم؟</v>
      </c>
      <c r="H7409" s="1"/>
      <c r="I7409" s="1"/>
      <c r="J7409" s="1"/>
      <c r="K7409" s="1"/>
      <c r="L7409" s="1"/>
      <c r="M7409" s="1"/>
      <c r="N7409" s="1"/>
      <c r="O7409" s="1"/>
      <c r="P7409" s="1"/>
      <c r="Q7409" s="1"/>
      <c r="R7409" s="1"/>
      <c r="S7409" s="1"/>
      <c r="T7409" s="1"/>
      <c r="U7409" s="1"/>
      <c r="V7409" s="1"/>
      <c r="W7409" s="1"/>
      <c r="X7409" s="1"/>
      <c r="Y7409" s="1"/>
      <c r="Z7409" s="1"/>
      <c r="AA7409" s="1"/>
      <c r="AB7409" s="1"/>
    </row>
    <row r="7410" ht="50.25" customHeight="1">
      <c r="A7410" s="12">
        <v>7406.0</v>
      </c>
      <c r="B7410" s="13" t="s">
        <v>7028</v>
      </c>
      <c r="C7410" s="14" t="s">
        <v>7434</v>
      </c>
      <c r="D7410" s="1"/>
      <c r="E7410" s="1"/>
      <c r="F7410" s="1" t="str">
        <f>IFERROR(__xludf.DUMMYFUNCTION("GOOGLETRANSLATE(B7410, ""en"", ""fa"")
"),"موفقیت در ای بی")</f>
        <v>موفقیت در ای بی</v>
      </c>
      <c r="G7410" s="1" t="str">
        <f>IFERROR(__xludf.DUMMYFUNCTION("GOOGLETRANSLATE(C7410, ""en"", ""fa"")
"),"چگونه می توانم به طور پیشگیرانه با موارد بازخورد یا بررسی های منفی در فروشگاه eBay مقابله کنم تا شهرت مثبت خود را حفظ کنم؟")</f>
        <v>چگونه می توانم به طور پیشگیرانه با موارد بازخورد یا بررسی های منفی در فروشگاه eBay مقابله کنم تا شهرت مثبت خود را حفظ کنم؟</v>
      </c>
      <c r="H7410" s="1"/>
      <c r="I7410" s="1"/>
      <c r="J7410" s="1"/>
      <c r="K7410" s="1"/>
      <c r="L7410" s="1"/>
      <c r="M7410" s="1"/>
      <c r="N7410" s="1"/>
      <c r="O7410" s="1"/>
      <c r="P7410" s="1"/>
      <c r="Q7410" s="1"/>
      <c r="R7410" s="1"/>
      <c r="S7410" s="1"/>
      <c r="T7410" s="1"/>
      <c r="U7410" s="1"/>
      <c r="V7410" s="1"/>
      <c r="W7410" s="1"/>
      <c r="X7410" s="1"/>
      <c r="Y7410" s="1"/>
      <c r="Z7410" s="1"/>
      <c r="AA7410" s="1"/>
      <c r="AB7410" s="1"/>
    </row>
    <row r="7411" ht="50.25" customHeight="1">
      <c r="A7411" s="12">
        <v>7407.0</v>
      </c>
      <c r="B7411" s="13" t="s">
        <v>7028</v>
      </c>
      <c r="C7411" s="14" t="s">
        <v>7435</v>
      </c>
      <c r="D7411" s="1"/>
      <c r="E7411" s="1"/>
      <c r="F7411" s="1" t="str">
        <f>IFERROR(__xludf.DUMMYFUNCTION("GOOGLETRANSLATE(B7411, ""en"", ""fa"")
"),"موفقیت در ای بی")</f>
        <v>موفقیت در ای بی</v>
      </c>
      <c r="G7411" s="1" t="str">
        <f>IFERROR(__xludf.DUMMYFUNCTION("GOOGLETRANSLATE(C7411, ""en"", ""fa"")
"),"عناصر کلیدی یک صفحه خط مشی فروشگاه موثر برای ترسیم اطلاعات حمل و نقل، بازگشت و خدمات مشتری برای خریداران چیست؟")</f>
        <v>عناصر کلیدی یک صفحه خط مشی فروشگاه موثر برای ترسیم اطلاعات حمل و نقل، بازگشت و خدمات مشتری برای خریداران چیست؟</v>
      </c>
      <c r="H7411" s="1"/>
      <c r="I7411" s="1"/>
      <c r="J7411" s="1"/>
      <c r="K7411" s="1"/>
      <c r="L7411" s="1"/>
      <c r="M7411" s="1"/>
      <c r="N7411" s="1"/>
      <c r="O7411" s="1"/>
      <c r="P7411" s="1"/>
      <c r="Q7411" s="1"/>
      <c r="R7411" s="1"/>
      <c r="S7411" s="1"/>
      <c r="T7411" s="1"/>
      <c r="U7411" s="1"/>
      <c r="V7411" s="1"/>
      <c r="W7411" s="1"/>
      <c r="X7411" s="1"/>
      <c r="Y7411" s="1"/>
      <c r="Z7411" s="1"/>
      <c r="AA7411" s="1"/>
      <c r="AB7411" s="1"/>
    </row>
    <row r="7412" ht="50.25" customHeight="1">
      <c r="A7412" s="12">
        <v>7408.0</v>
      </c>
      <c r="B7412" s="13" t="s">
        <v>7028</v>
      </c>
      <c r="C7412" s="14" t="s">
        <v>7436</v>
      </c>
      <c r="D7412" s="1"/>
      <c r="E7412" s="1"/>
      <c r="F7412" s="1" t="str">
        <f>IFERROR(__xludf.DUMMYFUNCTION("GOOGLETRANSLATE(B7412, ""en"", ""fa"")
"),"موفقیت در ای بی")</f>
        <v>موفقیت در ای بی</v>
      </c>
      <c r="G7412" s="1" t="str">
        <f>IFERROR(__xludf.DUMMYFUNCTION("GOOGLETRANSLATE(C7412, ""en"", ""fa"")
"),"چگونه می توانم از ادغام رسانه های اجتماعی برای ترویج و هدایت ترافیک به فروشگاه eBay خود از پلتفرم های خارجی استفاده کنم؟")</f>
        <v>چگونه می توانم از ادغام رسانه های اجتماعی برای ترویج و هدایت ترافیک به فروشگاه eBay خود از پلتفرم های خارجی استفاده کنم؟</v>
      </c>
      <c r="H7412" s="1"/>
      <c r="I7412" s="1"/>
      <c r="J7412" s="1"/>
      <c r="K7412" s="1"/>
      <c r="L7412" s="1"/>
      <c r="M7412" s="1"/>
      <c r="N7412" s="1"/>
      <c r="O7412" s="1"/>
      <c r="P7412" s="1"/>
      <c r="Q7412" s="1"/>
      <c r="R7412" s="1"/>
      <c r="S7412" s="1"/>
      <c r="T7412" s="1"/>
      <c r="U7412" s="1"/>
      <c r="V7412" s="1"/>
      <c r="W7412" s="1"/>
      <c r="X7412" s="1"/>
      <c r="Y7412" s="1"/>
      <c r="Z7412" s="1"/>
      <c r="AA7412" s="1"/>
      <c r="AB7412" s="1"/>
    </row>
    <row r="7413" ht="50.25" customHeight="1">
      <c r="A7413" s="12">
        <v>7409.0</v>
      </c>
      <c r="B7413" s="13" t="s">
        <v>7028</v>
      </c>
      <c r="C7413" s="14" t="s">
        <v>7437</v>
      </c>
      <c r="D7413" s="1"/>
      <c r="E7413" s="1"/>
      <c r="F7413" s="1" t="str">
        <f>IFERROR(__xludf.DUMMYFUNCTION("GOOGLETRANSLATE(B7413, ""en"", ""fa"")
"),"موفقیت در ای بی")</f>
        <v>موفقیت در ای بی</v>
      </c>
      <c r="G7413" s="1" t="str">
        <f>IFERROR(__xludf.DUMMYFUNCTION("GOOGLETRANSLATE(C7413, ""en"", ""fa"")
"),"از چه استراتژی هایی می توانم برای بهینه سازی فروشگاه eBay برای تجارت فرامرزی و ارائه خدمات به خریداران بین المللی استفاده کنم؟")</f>
        <v>از چه استراتژی هایی می توانم برای بهینه سازی فروشگاه eBay برای تجارت فرامرزی و ارائه خدمات به خریداران بین المللی استفاده کنم؟</v>
      </c>
      <c r="H7413" s="1"/>
      <c r="I7413" s="1"/>
      <c r="J7413" s="1"/>
      <c r="K7413" s="1"/>
      <c r="L7413" s="1"/>
      <c r="M7413" s="1"/>
      <c r="N7413" s="1"/>
      <c r="O7413" s="1"/>
      <c r="P7413" s="1"/>
      <c r="Q7413" s="1"/>
      <c r="R7413" s="1"/>
      <c r="S7413" s="1"/>
      <c r="T7413" s="1"/>
      <c r="U7413" s="1"/>
      <c r="V7413" s="1"/>
      <c r="W7413" s="1"/>
      <c r="X7413" s="1"/>
      <c r="Y7413" s="1"/>
      <c r="Z7413" s="1"/>
      <c r="AA7413" s="1"/>
      <c r="AB7413" s="1"/>
    </row>
    <row r="7414" ht="50.25" customHeight="1">
      <c r="A7414" s="12">
        <v>7410.0</v>
      </c>
      <c r="B7414" s="13" t="s">
        <v>7028</v>
      </c>
      <c r="C7414" s="14" t="s">
        <v>7438</v>
      </c>
      <c r="D7414" s="1"/>
      <c r="E7414" s="1"/>
      <c r="F7414" s="1" t="str">
        <f>IFERROR(__xludf.DUMMYFUNCTION("GOOGLETRANSLATE(B7414, ""en"", ""fa"")
"),"موفقیت در ای بی")</f>
        <v>موفقیت در ای بی</v>
      </c>
      <c r="G7414" s="1" t="str">
        <f>IFERROR(__xludf.DUMMYFUNCTION("GOOGLETRANSLATE(C7414, ""en"", ""fa"")
"),"چگونه می توانم به طور موثر از تکنیک های فروش و فروش متقابل در فروشگاه eBay برای افزایش میانگین ارزش سفارش استفاده کنم؟")</f>
        <v>چگونه می توانم به طور موثر از تکنیک های فروش و فروش متقابل در فروشگاه eBay برای افزایش میانگین ارزش سفارش استفاده کنم؟</v>
      </c>
      <c r="H7414" s="1"/>
      <c r="I7414" s="1"/>
      <c r="J7414" s="1"/>
      <c r="K7414" s="1"/>
      <c r="L7414" s="1"/>
      <c r="M7414" s="1"/>
      <c r="N7414" s="1"/>
      <c r="O7414" s="1"/>
      <c r="P7414" s="1"/>
      <c r="Q7414" s="1"/>
      <c r="R7414" s="1"/>
      <c r="S7414" s="1"/>
      <c r="T7414" s="1"/>
      <c r="U7414" s="1"/>
      <c r="V7414" s="1"/>
      <c r="W7414" s="1"/>
      <c r="X7414" s="1"/>
      <c r="Y7414" s="1"/>
      <c r="Z7414" s="1"/>
      <c r="AA7414" s="1"/>
      <c r="AB7414" s="1"/>
    </row>
    <row r="7415" ht="50.25" customHeight="1">
      <c r="A7415" s="12">
        <v>7411.0</v>
      </c>
      <c r="B7415" s="13" t="s">
        <v>7028</v>
      </c>
      <c r="C7415" s="14" t="s">
        <v>7439</v>
      </c>
      <c r="D7415" s="1"/>
      <c r="E7415" s="1"/>
      <c r="F7415" s="1" t="str">
        <f>IFERROR(__xludf.DUMMYFUNCTION("GOOGLETRANSLATE(B7415, ""en"", ""fa"")
"),"موفقیت در ای بی")</f>
        <v>موفقیت در ای بی</v>
      </c>
      <c r="G7415" s="1" t="str">
        <f>IFERROR(__xludf.DUMMYFUNCTION("GOOGLETRANSLATE(C7415, ""en"", ""fa"")
"),"مزایای استفاده از تجزیه و تحلیل و داده های فروشگاه eBay برای شناسایی گرایش ها، دسته بندی های محبوب و ترجیحات خریداران چیست؟")</f>
        <v>مزایای استفاده از تجزیه و تحلیل و داده های فروشگاه eBay برای شناسایی گرایش ها، دسته بندی های محبوب و ترجیحات خریداران چیست؟</v>
      </c>
      <c r="H7415" s="1"/>
      <c r="I7415" s="1"/>
      <c r="J7415" s="1"/>
      <c r="K7415" s="1"/>
      <c r="L7415" s="1"/>
      <c r="M7415" s="1"/>
      <c r="N7415" s="1"/>
      <c r="O7415" s="1"/>
      <c r="P7415" s="1"/>
      <c r="Q7415" s="1"/>
      <c r="R7415" s="1"/>
      <c r="S7415" s="1"/>
      <c r="T7415" s="1"/>
      <c r="U7415" s="1"/>
      <c r="V7415" s="1"/>
      <c r="W7415" s="1"/>
      <c r="X7415" s="1"/>
      <c r="Y7415" s="1"/>
      <c r="Z7415" s="1"/>
      <c r="AA7415" s="1"/>
      <c r="AB7415" s="1"/>
    </row>
    <row r="7416" ht="50.25" customHeight="1">
      <c r="A7416" s="12">
        <v>7412.0</v>
      </c>
      <c r="B7416" s="13" t="s">
        <v>7028</v>
      </c>
      <c r="C7416" s="14" t="s">
        <v>7440</v>
      </c>
      <c r="D7416" s="1"/>
      <c r="E7416" s="1"/>
      <c r="F7416" s="1" t="str">
        <f>IFERROR(__xludf.DUMMYFUNCTION("GOOGLETRANSLATE(B7416, ""en"", ""fa"")
"),"موفقیت در ای بی")</f>
        <v>موفقیت در ای بی</v>
      </c>
      <c r="G7416" s="1" t="str">
        <f>IFERROR(__xludf.DUMMYFUNCTION("GOOGLETRANSLATE(C7416, ""en"", ""fa"")
"),"چگونه می توانم فروشگاه eBay خود را برای سرعت بارگذاری سریع و ناوبری روان بهینه کنم تا تجربه کاربر را افزایش دهم؟")</f>
        <v>چگونه می توانم فروشگاه eBay خود را برای سرعت بارگذاری سریع و ناوبری روان بهینه کنم تا تجربه کاربر را افزایش دهم؟</v>
      </c>
      <c r="H7416" s="1"/>
      <c r="I7416" s="1"/>
      <c r="J7416" s="1"/>
      <c r="K7416" s="1"/>
      <c r="L7416" s="1"/>
      <c r="M7416" s="1"/>
      <c r="N7416" s="1"/>
      <c r="O7416" s="1"/>
      <c r="P7416" s="1"/>
      <c r="Q7416" s="1"/>
      <c r="R7416" s="1"/>
      <c r="S7416" s="1"/>
      <c r="T7416" s="1"/>
      <c r="U7416" s="1"/>
      <c r="V7416" s="1"/>
      <c r="W7416" s="1"/>
      <c r="X7416" s="1"/>
      <c r="Y7416" s="1"/>
      <c r="Z7416" s="1"/>
      <c r="AA7416" s="1"/>
      <c r="AB7416" s="1"/>
    </row>
    <row r="7417" ht="50.25" customHeight="1">
      <c r="A7417" s="12">
        <v>7413.0</v>
      </c>
      <c r="B7417" s="13" t="s">
        <v>7028</v>
      </c>
      <c r="C7417" s="14" t="s">
        <v>7441</v>
      </c>
      <c r="D7417" s="1"/>
      <c r="E7417" s="1"/>
      <c r="F7417" s="1" t="str">
        <f>IFERROR(__xludf.DUMMYFUNCTION("GOOGLETRANSLATE(B7417, ""en"", ""fa"")
"),"موفقیت در ای بی")</f>
        <v>موفقیت در ای بی</v>
      </c>
      <c r="G7417" s="1" t="str">
        <f>IFERROR(__xludf.DUMMYFUNCTION("GOOGLETRANSLATE(C7417, ""en"", ""fa"")
"),"چه استراتژی هایی را می توانم برای پیاده سازی نشان های اعتماد، نمادهای پرداخت ایمن و گواهی های SSL در فروشگاه eBay به کار بگیرم تا اعتماد خریداران را ایجاد کنم؟")</f>
        <v>چه استراتژی هایی را می توانم برای پیاده سازی نشان های اعتماد، نمادهای پرداخت ایمن و گواهی های SSL در فروشگاه eBay به کار بگیرم تا اعتماد خریداران را ایجاد کنم؟</v>
      </c>
      <c r="H7417" s="1"/>
      <c r="I7417" s="1"/>
      <c r="J7417" s="1"/>
      <c r="K7417" s="1"/>
      <c r="L7417" s="1"/>
      <c r="M7417" s="1"/>
      <c r="N7417" s="1"/>
      <c r="O7417" s="1"/>
      <c r="P7417" s="1"/>
      <c r="Q7417" s="1"/>
      <c r="R7417" s="1"/>
      <c r="S7417" s="1"/>
      <c r="T7417" s="1"/>
      <c r="U7417" s="1"/>
      <c r="V7417" s="1"/>
      <c r="W7417" s="1"/>
      <c r="X7417" s="1"/>
      <c r="Y7417" s="1"/>
      <c r="Z7417" s="1"/>
      <c r="AA7417" s="1"/>
      <c r="AB7417" s="1"/>
    </row>
    <row r="7418" ht="50.25" customHeight="1">
      <c r="A7418" s="12">
        <v>7414.0</v>
      </c>
      <c r="B7418" s="13" t="s">
        <v>7028</v>
      </c>
      <c r="C7418" s="14" t="s">
        <v>7442</v>
      </c>
      <c r="D7418" s="1"/>
      <c r="E7418" s="1"/>
      <c r="F7418" s="1" t="str">
        <f>IFERROR(__xludf.DUMMYFUNCTION("GOOGLETRANSLATE(B7418, ""en"", ""fa"")
"),"موفقیت در ای بی")</f>
        <v>موفقیت در ای بی</v>
      </c>
      <c r="G7418" s="1" t="str">
        <f>IFERROR(__xludf.DUMMYFUNCTION("GOOGLETRANSLATE(C7418, ""en"", ""fa"")
"),"چگونه می توانم به طور پیشگیرانه با مواردی از فعالیت های تقلبی یا مشکوک در فروشگاه eBay رسیدگی کنم تا هم از خریداران و هم از کسب و کارم محافظت کنم؟")</f>
        <v>چگونه می توانم به طور پیشگیرانه با مواردی از فعالیت های تقلبی یا مشکوک در فروشگاه eBay رسیدگی کنم تا هم از خریداران و هم از کسب و کارم محافظت کنم؟</v>
      </c>
      <c r="H7418" s="1"/>
      <c r="I7418" s="1"/>
      <c r="J7418" s="1"/>
      <c r="K7418" s="1"/>
      <c r="L7418" s="1"/>
      <c r="M7418" s="1"/>
      <c r="N7418" s="1"/>
      <c r="O7418" s="1"/>
      <c r="P7418" s="1"/>
      <c r="Q7418" s="1"/>
      <c r="R7418" s="1"/>
      <c r="S7418" s="1"/>
      <c r="T7418" s="1"/>
      <c r="U7418" s="1"/>
      <c r="V7418" s="1"/>
      <c r="W7418" s="1"/>
      <c r="X7418" s="1"/>
      <c r="Y7418" s="1"/>
      <c r="Z7418" s="1"/>
      <c r="AA7418" s="1"/>
      <c r="AB7418" s="1"/>
    </row>
    <row r="7419" ht="50.25" customHeight="1">
      <c r="A7419" s="12">
        <v>7415.0</v>
      </c>
      <c r="B7419" s="13" t="s">
        <v>7028</v>
      </c>
      <c r="C7419" s="14" t="s">
        <v>7443</v>
      </c>
      <c r="D7419" s="1"/>
      <c r="E7419" s="1"/>
      <c r="F7419" s="1" t="str">
        <f>IFERROR(__xludf.DUMMYFUNCTION("GOOGLETRANSLATE(B7419, ""en"", ""fa"")
"),"موفقیت در ای بی")</f>
        <v>موفقیت در ای بی</v>
      </c>
      <c r="G7419" s="1" t="str">
        <f>IFERROR(__xludf.DUMMYFUNCTION("GOOGLETRANSLATE(C7419, ""en"", ""fa"")
"),"عناصر کلیدی یک صفحه آموزنده و جامع ""درباره ما"" در فروشگاه eBay من برای انتقال داستان و ارزش های برند من چیست؟")</f>
        <v>عناصر کلیدی یک صفحه آموزنده و جامع "درباره ما" در فروشگاه eBay من برای انتقال داستان و ارزش های برند من چیست؟</v>
      </c>
      <c r="H7419" s="1"/>
      <c r="I7419" s="1"/>
      <c r="J7419" s="1"/>
      <c r="K7419" s="1"/>
      <c r="L7419" s="1"/>
      <c r="M7419" s="1"/>
      <c r="N7419" s="1"/>
      <c r="O7419" s="1"/>
      <c r="P7419" s="1"/>
      <c r="Q7419" s="1"/>
      <c r="R7419" s="1"/>
      <c r="S7419" s="1"/>
      <c r="T7419" s="1"/>
      <c r="U7419" s="1"/>
      <c r="V7419" s="1"/>
      <c r="W7419" s="1"/>
      <c r="X7419" s="1"/>
      <c r="Y7419" s="1"/>
      <c r="Z7419" s="1"/>
      <c r="AA7419" s="1"/>
      <c r="AB7419" s="1"/>
    </row>
    <row r="7420" ht="50.25" customHeight="1">
      <c r="A7420" s="12">
        <v>7416.0</v>
      </c>
      <c r="B7420" s="13" t="s">
        <v>7028</v>
      </c>
      <c r="C7420" s="14" t="s">
        <v>7444</v>
      </c>
      <c r="D7420" s="1"/>
      <c r="E7420" s="1"/>
      <c r="F7420" s="1" t="str">
        <f>IFERROR(__xludf.DUMMYFUNCTION("GOOGLETRANSLATE(B7420, ""en"", ""fa"")
"),"موفقیت در ای بی")</f>
        <v>موفقیت در ای بی</v>
      </c>
      <c r="G7420" s="1" t="str">
        <f>IFERROR(__xludf.DUMMYFUNCTION("GOOGLETRANSLATE(C7420, ""en"", ""fa"")
"),"چگونه می توانم از بازخورد و نظرات مشتریان برای بهبود انتخاب و مجموعه محصولات در فروشگاه eBay استفاده کنم؟")</f>
        <v>چگونه می توانم از بازخورد و نظرات مشتریان برای بهبود انتخاب و مجموعه محصولات در فروشگاه eBay استفاده کنم؟</v>
      </c>
      <c r="H7420" s="1"/>
      <c r="I7420" s="1"/>
      <c r="J7420" s="1"/>
      <c r="K7420" s="1"/>
      <c r="L7420" s="1"/>
      <c r="M7420" s="1"/>
      <c r="N7420" s="1"/>
      <c r="O7420" s="1"/>
      <c r="P7420" s="1"/>
      <c r="Q7420" s="1"/>
      <c r="R7420" s="1"/>
      <c r="S7420" s="1"/>
      <c r="T7420" s="1"/>
      <c r="U7420" s="1"/>
      <c r="V7420" s="1"/>
      <c r="W7420" s="1"/>
      <c r="X7420" s="1"/>
      <c r="Y7420" s="1"/>
      <c r="Z7420" s="1"/>
      <c r="AA7420" s="1"/>
      <c r="AB7420" s="1"/>
    </row>
    <row r="7421" ht="50.25" customHeight="1">
      <c r="A7421" s="12">
        <v>7417.0</v>
      </c>
      <c r="B7421" s="13" t="s">
        <v>7028</v>
      </c>
      <c r="C7421" s="14" t="s">
        <v>7445</v>
      </c>
      <c r="D7421" s="1"/>
      <c r="E7421" s="1"/>
      <c r="F7421" s="1" t="str">
        <f>IFERROR(__xludf.DUMMYFUNCTION("GOOGLETRANSLATE(B7421, ""en"", ""fa"")
"),"موفقیت در ای بی")</f>
        <v>موفقیت در ای بی</v>
      </c>
      <c r="G7421" s="1" t="str">
        <f>IFERROR(__xludf.DUMMYFUNCTION("GOOGLETRANSLATE(C7421, ""en"", ""fa"")
"),"از چه استراتژی هایی می توانم برای اجرای چت زنده یا پشتیبانی پیام رسانی در فروشگاه eBay خود برای ارائه کمک به مشتری در زمان واقعی استفاده کنم؟")</f>
        <v>از چه استراتژی هایی می توانم برای اجرای چت زنده یا پشتیبانی پیام رسانی در فروشگاه eBay خود برای ارائه کمک به مشتری در زمان واقعی استفاده کنم؟</v>
      </c>
      <c r="H7421" s="1"/>
      <c r="I7421" s="1"/>
      <c r="J7421" s="1"/>
      <c r="K7421" s="1"/>
      <c r="L7421" s="1"/>
      <c r="M7421" s="1"/>
      <c r="N7421" s="1"/>
      <c r="O7421" s="1"/>
      <c r="P7421" s="1"/>
      <c r="Q7421" s="1"/>
      <c r="R7421" s="1"/>
      <c r="S7421" s="1"/>
      <c r="T7421" s="1"/>
      <c r="U7421" s="1"/>
      <c r="V7421" s="1"/>
      <c r="W7421" s="1"/>
      <c r="X7421" s="1"/>
      <c r="Y7421" s="1"/>
      <c r="Z7421" s="1"/>
      <c r="AA7421" s="1"/>
      <c r="AB7421" s="1"/>
    </row>
    <row r="7422" ht="50.25" customHeight="1">
      <c r="A7422" s="12">
        <v>7418.0</v>
      </c>
      <c r="B7422" s="13" t="s">
        <v>7028</v>
      </c>
      <c r="C7422" s="14" t="s">
        <v>7446</v>
      </c>
      <c r="D7422" s="1"/>
      <c r="E7422" s="1"/>
      <c r="F7422" s="1" t="str">
        <f>IFERROR(__xludf.DUMMYFUNCTION("GOOGLETRANSLATE(B7422, ""en"", ""fa"")
"),"موفقیت در ای بی")</f>
        <v>موفقیت در ای بی</v>
      </c>
      <c r="G7422" s="1" t="str">
        <f>IFERROR(__xludf.DUMMYFUNCTION("GOOGLETRANSLATE(C7422, ""en"", ""fa"")
"),"چگونه می توانم فروشگاه eBay خود را برای SEO (بهینه سازی موتور جستجو) برای بهبود دید و افزایش ترافیک ارگانیک بهینه کنم؟")</f>
        <v>چگونه می توانم فروشگاه eBay خود را برای SEO (بهینه سازی موتور جستجو) برای بهبود دید و افزایش ترافیک ارگانیک بهینه کنم؟</v>
      </c>
      <c r="H7422" s="1"/>
      <c r="I7422" s="1"/>
      <c r="J7422" s="1"/>
      <c r="K7422" s="1"/>
      <c r="L7422" s="1"/>
      <c r="M7422" s="1"/>
      <c r="N7422" s="1"/>
      <c r="O7422" s="1"/>
      <c r="P7422" s="1"/>
      <c r="Q7422" s="1"/>
      <c r="R7422" s="1"/>
      <c r="S7422" s="1"/>
      <c r="T7422" s="1"/>
      <c r="U7422" s="1"/>
      <c r="V7422" s="1"/>
      <c r="W7422" s="1"/>
      <c r="X7422" s="1"/>
      <c r="Y7422" s="1"/>
      <c r="Z7422" s="1"/>
      <c r="AA7422" s="1"/>
      <c r="AB7422" s="1"/>
    </row>
    <row r="7423" ht="50.25" customHeight="1">
      <c r="A7423" s="12">
        <v>7419.0</v>
      </c>
      <c r="B7423" s="13" t="s">
        <v>7028</v>
      </c>
      <c r="C7423" s="14" t="s">
        <v>7447</v>
      </c>
      <c r="D7423" s="1"/>
      <c r="E7423" s="1"/>
      <c r="F7423" s="1" t="str">
        <f>IFERROR(__xludf.DUMMYFUNCTION("GOOGLETRANSLATE(B7423, ""en"", ""fa"")
"),"موفقیت در ای بی")</f>
        <v>موفقیت در ای بی</v>
      </c>
      <c r="G7423" s="1" t="str">
        <f>IFERROR(__xludf.DUMMYFUNCTION("GOOGLETRANSLATE(C7423, ""en"", ""fa"")
"),"مزایای ارائه تخفیف یا تبلیغات انحصاری برای مشترکین فروشگاه eBay یا مشتریان مکرر چیست؟")</f>
        <v>مزایای ارائه تخفیف یا تبلیغات انحصاری برای مشترکین فروشگاه eBay یا مشتریان مکرر چیست؟</v>
      </c>
      <c r="H7423" s="1"/>
      <c r="I7423" s="1"/>
      <c r="J7423" s="1"/>
      <c r="K7423" s="1"/>
      <c r="L7423" s="1"/>
      <c r="M7423" s="1"/>
      <c r="N7423" s="1"/>
      <c r="O7423" s="1"/>
      <c r="P7423" s="1"/>
      <c r="Q7423" s="1"/>
      <c r="R7423" s="1"/>
      <c r="S7423" s="1"/>
      <c r="T7423" s="1"/>
      <c r="U7423" s="1"/>
      <c r="V7423" s="1"/>
      <c r="W7423" s="1"/>
      <c r="X7423" s="1"/>
      <c r="Y7423" s="1"/>
      <c r="Z7423" s="1"/>
      <c r="AA7423" s="1"/>
      <c r="AB7423" s="1"/>
    </row>
    <row r="7424" ht="50.25" customHeight="1">
      <c r="A7424" s="12">
        <v>7420.0</v>
      </c>
      <c r="B7424" s="13" t="s">
        <v>7028</v>
      </c>
      <c r="C7424" s="14" t="s">
        <v>7448</v>
      </c>
      <c r="D7424" s="1"/>
      <c r="E7424" s="1"/>
      <c r="F7424" s="1" t="str">
        <f>IFERROR(__xludf.DUMMYFUNCTION("GOOGLETRANSLATE(B7424, ""en"", ""fa"")
"),"موفقیت در ای بی")</f>
        <v>موفقیت در ای بی</v>
      </c>
      <c r="G7424" s="1" t="str">
        <f>IFERROR(__xludf.DUMMYFUNCTION("GOOGLETRANSLATE(C7424, ""en"", ""fa"")
"),"چگونه می توانم به طور موثر از تقسیم بندی مشتری و بازاریابی شخصی در فروشگاه eBay خود برای تطبیق پیشنهادات برای بخش های خاص خریداران استفاده کنم؟")</f>
        <v>چگونه می توانم به طور موثر از تقسیم بندی مشتری و بازاریابی شخصی در فروشگاه eBay خود برای تطبیق پیشنهادات برای بخش های خاص خریداران استفاده کنم؟</v>
      </c>
      <c r="H7424" s="1"/>
      <c r="I7424" s="1"/>
      <c r="J7424" s="1"/>
      <c r="K7424" s="1"/>
      <c r="L7424" s="1"/>
      <c r="M7424" s="1"/>
      <c r="N7424" s="1"/>
      <c r="O7424" s="1"/>
      <c r="P7424" s="1"/>
      <c r="Q7424" s="1"/>
      <c r="R7424" s="1"/>
      <c r="S7424" s="1"/>
      <c r="T7424" s="1"/>
      <c r="U7424" s="1"/>
      <c r="V7424" s="1"/>
      <c r="W7424" s="1"/>
      <c r="X7424" s="1"/>
      <c r="Y7424" s="1"/>
      <c r="Z7424" s="1"/>
      <c r="AA7424" s="1"/>
      <c r="AB7424" s="1"/>
    </row>
    <row r="7425" ht="50.25" customHeight="1">
      <c r="A7425" s="12">
        <v>7421.0</v>
      </c>
      <c r="B7425" s="13" t="s">
        <v>7028</v>
      </c>
      <c r="C7425" s="14" t="s">
        <v>7449</v>
      </c>
      <c r="D7425" s="1"/>
      <c r="E7425" s="1"/>
      <c r="F7425" s="1" t="str">
        <f>IFERROR(__xludf.DUMMYFUNCTION("GOOGLETRANSLATE(B7425, ""en"", ""fa"")
"),"موفقیت در ای بی")</f>
        <v>موفقیت در ای بی</v>
      </c>
      <c r="G7425" s="1" t="str">
        <f>IFERROR(__xludf.DUMMYFUNCTION("GOOGLETRANSLATE(C7425, ""en"", ""fa"")
"),"چه استراتژی هایی را می توانم برای بهینه سازی فروشگاه eBay برای دسترسی و مطابقت با دستورالعمل های دسترسی به وب به کار ببرم؟")</f>
        <v>چه استراتژی هایی را می توانم برای بهینه سازی فروشگاه eBay برای دسترسی و مطابقت با دستورالعمل های دسترسی به وب به کار ببرم؟</v>
      </c>
      <c r="H7425" s="1"/>
      <c r="I7425" s="1"/>
      <c r="J7425" s="1"/>
      <c r="K7425" s="1"/>
      <c r="L7425" s="1"/>
      <c r="M7425" s="1"/>
      <c r="N7425" s="1"/>
      <c r="O7425" s="1"/>
      <c r="P7425" s="1"/>
      <c r="Q7425" s="1"/>
      <c r="R7425" s="1"/>
      <c r="S7425" s="1"/>
      <c r="T7425" s="1"/>
      <c r="U7425" s="1"/>
      <c r="V7425" s="1"/>
      <c r="W7425" s="1"/>
      <c r="X7425" s="1"/>
      <c r="Y7425" s="1"/>
      <c r="Z7425" s="1"/>
      <c r="AA7425" s="1"/>
      <c r="AB7425" s="1"/>
    </row>
    <row r="7426" ht="50.25" customHeight="1">
      <c r="A7426" s="12">
        <v>7422.0</v>
      </c>
      <c r="B7426" s="13" t="s">
        <v>7028</v>
      </c>
      <c r="C7426" s="14" t="s">
        <v>7450</v>
      </c>
      <c r="D7426" s="1"/>
      <c r="E7426" s="1"/>
      <c r="F7426" s="1" t="str">
        <f>IFERROR(__xludf.DUMMYFUNCTION("GOOGLETRANSLATE(B7426, ""en"", ""fa"")
"),"موفقیت در ای بی")</f>
        <v>موفقیت در ای بی</v>
      </c>
      <c r="G7426" s="1" t="str">
        <f>IFERROR(__xludf.DUMMYFUNCTION("GOOGLETRANSLATE(C7426, ""en"", ""fa"")
"),"چگونه می توانم دسته بندی و سازماندهی محصولات را در فروشگاه eBay بهبود بخشم تا جستجو و کشف آسان را برای خریداران تسهیل کنم؟")</f>
        <v>چگونه می توانم دسته بندی و سازماندهی محصولات را در فروشگاه eBay بهبود بخشم تا جستجو و کشف آسان را برای خریداران تسهیل کنم؟</v>
      </c>
      <c r="H7426" s="1"/>
      <c r="I7426" s="1"/>
      <c r="J7426" s="1"/>
      <c r="K7426" s="1"/>
      <c r="L7426" s="1"/>
      <c r="M7426" s="1"/>
      <c r="N7426" s="1"/>
      <c r="O7426" s="1"/>
      <c r="P7426" s="1"/>
      <c r="Q7426" s="1"/>
      <c r="R7426" s="1"/>
      <c r="S7426" s="1"/>
      <c r="T7426" s="1"/>
      <c r="U7426" s="1"/>
      <c r="V7426" s="1"/>
      <c r="W7426" s="1"/>
      <c r="X7426" s="1"/>
      <c r="Y7426" s="1"/>
      <c r="Z7426" s="1"/>
      <c r="AA7426" s="1"/>
      <c r="AB7426" s="1"/>
    </row>
    <row r="7427" ht="50.25" customHeight="1">
      <c r="A7427" s="12">
        <v>7423.0</v>
      </c>
      <c r="B7427" s="13" t="s">
        <v>7028</v>
      </c>
      <c r="C7427" s="14" t="s">
        <v>7451</v>
      </c>
      <c r="D7427" s="1"/>
      <c r="E7427" s="1"/>
      <c r="F7427" s="1" t="str">
        <f>IFERROR(__xludf.DUMMYFUNCTION("GOOGLETRANSLATE(B7427, ""en"", ""fa"")
"),"موفقیت در ای بی")</f>
        <v>موفقیت در ای بی</v>
      </c>
      <c r="G7427" s="1" t="str">
        <f>IFERROR(__xludf.DUMMYFUNCTION("GOOGLETRANSLATE(C7427, ""en"", ""fa"")
"),"عناصر کلیدی یک سیستم فیلترینگ و مرتب‌سازی محصول در فروشگاه eBay من برای کمک به خریداران برای یافتن سریع اقلام مورد نظر چیست؟")</f>
        <v>عناصر کلیدی یک سیستم فیلترینگ و مرتب‌سازی محصول در فروشگاه eBay من برای کمک به خریداران برای یافتن سریع اقلام مورد نظر چیست؟</v>
      </c>
      <c r="H7427" s="1"/>
      <c r="I7427" s="1"/>
      <c r="J7427" s="1"/>
      <c r="K7427" s="1"/>
      <c r="L7427" s="1"/>
      <c r="M7427" s="1"/>
      <c r="N7427" s="1"/>
      <c r="O7427" s="1"/>
      <c r="P7427" s="1"/>
      <c r="Q7427" s="1"/>
      <c r="R7427" s="1"/>
      <c r="S7427" s="1"/>
      <c r="T7427" s="1"/>
      <c r="U7427" s="1"/>
      <c r="V7427" s="1"/>
      <c r="W7427" s="1"/>
      <c r="X7427" s="1"/>
      <c r="Y7427" s="1"/>
      <c r="Z7427" s="1"/>
      <c r="AA7427" s="1"/>
      <c r="AB7427" s="1"/>
    </row>
    <row r="7428" ht="50.25" customHeight="1">
      <c r="A7428" s="12">
        <v>7424.0</v>
      </c>
      <c r="B7428" s="13" t="s">
        <v>7028</v>
      </c>
      <c r="C7428" s="14" t="s">
        <v>7452</v>
      </c>
      <c r="D7428" s="1"/>
      <c r="E7428" s="1"/>
      <c r="F7428" s="1" t="str">
        <f>IFERROR(__xludf.DUMMYFUNCTION("GOOGLETRANSLATE(B7428, ""en"", ""fa"")
"),"موفقیت در ای بی")</f>
        <v>موفقیت در ای بی</v>
      </c>
      <c r="G7428" s="1" t="str">
        <f>IFERROR(__xludf.DUMMYFUNCTION("GOOGLETRANSLATE(C7428, ""en"", ""fa"")
"),"چگونه می توانم از تجزیه و تحلیل فروشگاه eBay برای شناسایی لیست های با عملکرد برتر و اولویت بندی آنها در فروشگاه خود استفاده کنم؟")</f>
        <v>چگونه می توانم از تجزیه و تحلیل فروشگاه eBay برای شناسایی لیست های با عملکرد برتر و اولویت بندی آنها در فروشگاه خود استفاده کنم؟</v>
      </c>
      <c r="H7428" s="1"/>
      <c r="I7428" s="1"/>
      <c r="J7428" s="1"/>
      <c r="K7428" s="1"/>
      <c r="L7428" s="1"/>
      <c r="M7428" s="1"/>
      <c r="N7428" s="1"/>
      <c r="O7428" s="1"/>
      <c r="P7428" s="1"/>
      <c r="Q7428" s="1"/>
      <c r="R7428" s="1"/>
      <c r="S7428" s="1"/>
      <c r="T7428" s="1"/>
      <c r="U7428" s="1"/>
      <c r="V7428" s="1"/>
      <c r="W7428" s="1"/>
      <c r="X7428" s="1"/>
      <c r="Y7428" s="1"/>
      <c r="Z7428" s="1"/>
      <c r="AA7428" s="1"/>
      <c r="AB7428" s="1"/>
    </row>
    <row r="7429" ht="50.25" customHeight="1">
      <c r="A7429" s="12">
        <v>7425.0</v>
      </c>
      <c r="B7429" s="13" t="s">
        <v>7028</v>
      </c>
      <c r="C7429" s="14" t="s">
        <v>7453</v>
      </c>
      <c r="D7429" s="1"/>
      <c r="E7429" s="1"/>
      <c r="F7429" s="1" t="str">
        <f>IFERROR(__xludf.DUMMYFUNCTION("GOOGLETRANSLATE(B7429, ""en"", ""fa"")
"),"موفقیت در ای بی")</f>
        <v>موفقیت در ای بی</v>
      </c>
      <c r="G7429" s="1" t="str">
        <f>IFERROR(__xludf.DUMMYFUNCTION("GOOGLETRANSLATE(C7429, ""en"", ""fa"")
"),"برای کشف بهتر محصول از چه استراتژی هایی می توانم برای پیاده سازی عملکرد جستجوی کاربرپسند و شهودی در فروشگاه eBay خود استفاده کنم؟")</f>
        <v>برای کشف بهتر محصول از چه استراتژی هایی می توانم برای پیاده سازی عملکرد جستجوی کاربرپسند و شهودی در فروشگاه eBay خود استفاده کنم؟</v>
      </c>
      <c r="H7429" s="1"/>
      <c r="I7429" s="1"/>
      <c r="J7429" s="1"/>
      <c r="K7429" s="1"/>
      <c r="L7429" s="1"/>
      <c r="M7429" s="1"/>
      <c r="N7429" s="1"/>
      <c r="O7429" s="1"/>
      <c r="P7429" s="1"/>
      <c r="Q7429" s="1"/>
      <c r="R7429" s="1"/>
      <c r="S7429" s="1"/>
      <c r="T7429" s="1"/>
      <c r="U7429" s="1"/>
      <c r="V7429" s="1"/>
      <c r="W7429" s="1"/>
      <c r="X7429" s="1"/>
      <c r="Y7429" s="1"/>
      <c r="Z7429" s="1"/>
      <c r="AA7429" s="1"/>
      <c r="AB7429" s="1"/>
    </row>
    <row r="7430" ht="50.25" customHeight="1">
      <c r="A7430" s="12">
        <v>7426.0</v>
      </c>
      <c r="B7430" s="13" t="s">
        <v>7028</v>
      </c>
      <c r="C7430" s="14" t="s">
        <v>7454</v>
      </c>
      <c r="D7430" s="1"/>
      <c r="E7430" s="1"/>
      <c r="F7430" s="1" t="str">
        <f>IFERROR(__xludf.DUMMYFUNCTION("GOOGLETRANSLATE(B7430, ""en"", ""fa"")
"),"موفقیت در ای بی")</f>
        <v>موفقیت در ای بی</v>
      </c>
      <c r="G7430" s="1" t="str">
        <f>IFERROR(__xludf.DUMMYFUNCTION("GOOGLETRANSLATE(C7430, ""en"", ""fa"")
"),"چگونه می توانم با نمایش محصولات مرتبط یا مکمل، فروشگاه eBay خود را برای تبلیغات متقابل و افزایش فروش بهینه کنم؟")</f>
        <v>چگونه می توانم با نمایش محصولات مرتبط یا مکمل، فروشگاه eBay خود را برای تبلیغات متقابل و افزایش فروش بهینه کنم؟</v>
      </c>
      <c r="H7430" s="1"/>
      <c r="I7430" s="1"/>
      <c r="J7430" s="1"/>
      <c r="K7430" s="1"/>
      <c r="L7430" s="1"/>
      <c r="M7430" s="1"/>
      <c r="N7430" s="1"/>
      <c r="O7430" s="1"/>
      <c r="P7430" s="1"/>
      <c r="Q7430" s="1"/>
      <c r="R7430" s="1"/>
      <c r="S7430" s="1"/>
      <c r="T7430" s="1"/>
      <c r="U7430" s="1"/>
      <c r="V7430" s="1"/>
      <c r="W7430" s="1"/>
      <c r="X7430" s="1"/>
      <c r="Y7430" s="1"/>
      <c r="Z7430" s="1"/>
      <c r="AA7430" s="1"/>
      <c r="AB7430" s="1"/>
    </row>
    <row r="7431" ht="50.25" customHeight="1">
      <c r="A7431" s="12">
        <v>7427.0</v>
      </c>
      <c r="B7431" s="13" t="s">
        <v>7028</v>
      </c>
      <c r="C7431" s="14" t="s">
        <v>7455</v>
      </c>
      <c r="D7431" s="1"/>
      <c r="E7431" s="1"/>
      <c r="F7431" s="1" t="str">
        <f>IFERROR(__xludf.DUMMYFUNCTION("GOOGLETRANSLATE(B7431, ""en"", ""fa"")
"),"موفقیت در ای بی")</f>
        <v>موفقیت در ای بی</v>
      </c>
      <c r="G7431" s="1" t="str">
        <f>IFERROR(__xludf.DUMMYFUNCTION("GOOGLETRANSLATE(C7431, ""en"", ""fa"")
"),"مزایای استفاده از برنامه‌های وفاداری مشتری یا پاداش‌ها در فروشگاه eBay برای تشویق مجدد خرید چیست؟")</f>
        <v>مزایای استفاده از برنامه‌های وفاداری مشتری یا پاداش‌ها در فروشگاه eBay برای تشویق مجدد خرید چیست؟</v>
      </c>
      <c r="H7431" s="1"/>
      <c r="I7431" s="1"/>
      <c r="J7431" s="1"/>
      <c r="K7431" s="1"/>
      <c r="L7431" s="1"/>
      <c r="M7431" s="1"/>
      <c r="N7431" s="1"/>
      <c r="O7431" s="1"/>
      <c r="P7431" s="1"/>
      <c r="Q7431" s="1"/>
      <c r="R7431" s="1"/>
      <c r="S7431" s="1"/>
      <c r="T7431" s="1"/>
      <c r="U7431" s="1"/>
      <c r="V7431" s="1"/>
      <c r="W7431" s="1"/>
      <c r="X7431" s="1"/>
      <c r="Y7431" s="1"/>
      <c r="Z7431" s="1"/>
      <c r="AA7431" s="1"/>
      <c r="AB7431" s="1"/>
    </row>
    <row r="7432" ht="50.25" customHeight="1">
      <c r="A7432" s="12">
        <v>7428.0</v>
      </c>
      <c r="B7432" s="13" t="s">
        <v>7028</v>
      </c>
      <c r="C7432" s="14" t="s">
        <v>7456</v>
      </c>
      <c r="D7432" s="1"/>
      <c r="E7432" s="1"/>
      <c r="F7432" s="1" t="str">
        <f>IFERROR(__xludf.DUMMYFUNCTION("GOOGLETRANSLATE(B7432, ""en"", ""fa"")
"),"موفقیت در ای بی")</f>
        <v>موفقیت در ای بی</v>
      </c>
      <c r="G7432" s="1" t="str">
        <f>IFERROR(__xludf.DUMMYFUNCTION("GOOGLETRANSLATE(C7432, ""en"", ""fa"")
"),"چگونه می توانم به طور فعال با نمونه هایی از موجودی کم یا اقلام موجود در فروشگاه eBay خود برخورد کنم تا ناامیدی خریدار را به حداقل برسانم؟")</f>
        <v>چگونه می توانم به طور فعال با نمونه هایی از موجودی کم یا اقلام موجود در فروشگاه eBay خود برخورد کنم تا ناامیدی خریدار را به حداقل برسانم؟</v>
      </c>
      <c r="H7432" s="1"/>
      <c r="I7432" s="1"/>
      <c r="J7432" s="1"/>
      <c r="K7432" s="1"/>
      <c r="L7432" s="1"/>
      <c r="M7432" s="1"/>
      <c r="N7432" s="1"/>
      <c r="O7432" s="1"/>
      <c r="P7432" s="1"/>
      <c r="Q7432" s="1"/>
      <c r="R7432" s="1"/>
      <c r="S7432" s="1"/>
      <c r="T7432" s="1"/>
      <c r="U7432" s="1"/>
      <c r="V7432" s="1"/>
      <c r="W7432" s="1"/>
      <c r="X7432" s="1"/>
      <c r="Y7432" s="1"/>
      <c r="Z7432" s="1"/>
      <c r="AA7432" s="1"/>
      <c r="AB7432" s="1"/>
    </row>
    <row r="7433" ht="50.25" customHeight="1">
      <c r="A7433" s="12">
        <v>7429.0</v>
      </c>
      <c r="B7433" s="13" t="s">
        <v>7028</v>
      </c>
      <c r="C7433" s="14" t="s">
        <v>7457</v>
      </c>
      <c r="D7433" s="1"/>
      <c r="E7433" s="1"/>
      <c r="F7433" s="1" t="str">
        <f>IFERROR(__xludf.DUMMYFUNCTION("GOOGLETRANSLATE(B7433, ""en"", ""fa"")
"),"موفقیت در ای بی")</f>
        <v>موفقیت در ای بی</v>
      </c>
      <c r="G7433" s="1" t="str">
        <f>IFERROR(__xludf.DUMMYFUNCTION("GOOGLETRANSLATE(C7433, ""en"", ""fa"")
"),"برای کاهش نرخ رها کردن سبد خرید، چه استراتژی‌هایی را می‌توانم برای اجرای فرآیند تسویه‌حساب یکپارچه در فروشگاه eBay به کار بگیرم؟")</f>
        <v>برای کاهش نرخ رها کردن سبد خرید، چه استراتژی‌هایی را می‌توانم برای اجرای فرآیند تسویه‌حساب یکپارچه در فروشگاه eBay به کار بگیرم؟</v>
      </c>
      <c r="H7433" s="1"/>
      <c r="I7433" s="1"/>
      <c r="J7433" s="1"/>
      <c r="K7433" s="1"/>
      <c r="L7433" s="1"/>
      <c r="M7433" s="1"/>
      <c r="N7433" s="1"/>
      <c r="O7433" s="1"/>
      <c r="P7433" s="1"/>
      <c r="Q7433" s="1"/>
      <c r="R7433" s="1"/>
      <c r="S7433" s="1"/>
      <c r="T7433" s="1"/>
      <c r="U7433" s="1"/>
      <c r="V7433" s="1"/>
      <c r="W7433" s="1"/>
      <c r="X7433" s="1"/>
      <c r="Y7433" s="1"/>
      <c r="Z7433" s="1"/>
      <c r="AA7433" s="1"/>
      <c r="AB7433" s="1"/>
    </row>
    <row r="7434" ht="50.25" customHeight="1">
      <c r="A7434" s="12">
        <v>7430.0</v>
      </c>
      <c r="B7434" s="13" t="s">
        <v>7028</v>
      </c>
      <c r="C7434" s="14" t="s">
        <v>7458</v>
      </c>
      <c r="D7434" s="1"/>
      <c r="E7434" s="1"/>
      <c r="F7434" s="1" t="str">
        <f>IFERROR(__xludf.DUMMYFUNCTION("GOOGLETRANSLATE(B7434, ""en"", ""fa"")
"),"موفقیت در ای بی")</f>
        <v>موفقیت در ای بی</v>
      </c>
      <c r="G7434" s="1" t="str">
        <f>IFERROR(__xludf.DUMMYFUNCTION("GOOGLETRANSLATE(C7434, ""en"", ""fa"")
"),"چگونه می توانم فروشگاه eBay خود را برای اثبات اجتماعی با نمایش نظرات مثبت مشتریان یا نظرات به طور برجسته بهینه کنم؟")</f>
        <v>چگونه می توانم فروشگاه eBay خود را برای اثبات اجتماعی با نمایش نظرات مثبت مشتریان یا نظرات به طور برجسته بهینه کنم؟</v>
      </c>
      <c r="H7434" s="1"/>
      <c r="I7434" s="1"/>
      <c r="J7434" s="1"/>
      <c r="K7434" s="1"/>
      <c r="L7434" s="1"/>
      <c r="M7434" s="1"/>
      <c r="N7434" s="1"/>
      <c r="O7434" s="1"/>
      <c r="P7434" s="1"/>
      <c r="Q7434" s="1"/>
      <c r="R7434" s="1"/>
      <c r="S7434" s="1"/>
      <c r="T7434" s="1"/>
      <c r="U7434" s="1"/>
      <c r="V7434" s="1"/>
      <c r="W7434" s="1"/>
      <c r="X7434" s="1"/>
      <c r="Y7434" s="1"/>
      <c r="Z7434" s="1"/>
      <c r="AA7434" s="1"/>
      <c r="AB7434" s="1"/>
    </row>
    <row r="7435" ht="50.25" customHeight="1">
      <c r="A7435" s="12">
        <v>7431.0</v>
      </c>
      <c r="B7435" s="13" t="s">
        <v>7028</v>
      </c>
      <c r="C7435" s="14" t="s">
        <v>7459</v>
      </c>
      <c r="D7435" s="1"/>
      <c r="E7435" s="1"/>
      <c r="F7435" s="1" t="str">
        <f>IFERROR(__xludf.DUMMYFUNCTION("GOOGLETRANSLATE(B7435, ""en"", ""fa"")
"),"موفقیت در ای بی")</f>
        <v>موفقیت در ای بی</v>
      </c>
      <c r="G7435" s="1" t="str">
        <f>IFERROR(__xludf.DUMMYFUNCTION("GOOGLETRANSLATE(C7435, ""en"", ""fa"")
"),"چگونه می توانم به طور موثر از تبلیغات و تخفیف های فروشگاه eBay برای جذب خریداران جدید و افزایش نرخ تبدیل استفاده کنم؟")</f>
        <v>چگونه می توانم به طور موثر از تبلیغات و تخفیف های فروشگاه eBay برای جذب خریداران جدید و افزایش نرخ تبدیل استفاده کنم؟</v>
      </c>
      <c r="H7435" s="1"/>
      <c r="I7435" s="1"/>
      <c r="J7435" s="1"/>
      <c r="K7435" s="1"/>
      <c r="L7435" s="1"/>
      <c r="M7435" s="1"/>
      <c r="N7435" s="1"/>
      <c r="O7435" s="1"/>
      <c r="P7435" s="1"/>
      <c r="Q7435" s="1"/>
      <c r="R7435" s="1"/>
      <c r="S7435" s="1"/>
      <c r="T7435" s="1"/>
      <c r="U7435" s="1"/>
      <c r="V7435" s="1"/>
      <c r="W7435" s="1"/>
      <c r="X7435" s="1"/>
      <c r="Y7435" s="1"/>
      <c r="Z7435" s="1"/>
      <c r="AA7435" s="1"/>
      <c r="AB7435" s="1"/>
    </row>
    <row r="7436" ht="50.25" customHeight="1">
      <c r="A7436" s="12">
        <v>7432.0</v>
      </c>
      <c r="B7436" s="13" t="s">
        <v>7028</v>
      </c>
      <c r="C7436" s="14" t="s">
        <v>7460</v>
      </c>
      <c r="D7436" s="1"/>
      <c r="E7436" s="1"/>
      <c r="F7436" s="1" t="str">
        <f>IFERROR(__xludf.DUMMYFUNCTION("GOOGLETRANSLATE(B7436, ""en"", ""fa"")
"),"موفقیت در ای بی")</f>
        <v>موفقیت در ای بی</v>
      </c>
      <c r="G7436" s="1" t="str">
        <f>IFERROR(__xludf.DUMMYFUNCTION("GOOGLETRANSLATE(C7436, ""en"", ""fa"")
"),"از چه استراتژی هایی می توانم برای پیاده سازی یک منوی ناوبری کاربرپسند و بصری در فروشگاه eBay خود برای مرور دسته بندی آسان استفاده کنم؟")</f>
        <v>از چه استراتژی هایی می توانم برای پیاده سازی یک منوی ناوبری کاربرپسند و بصری در فروشگاه eBay خود برای مرور دسته بندی آسان استفاده کنم؟</v>
      </c>
      <c r="H7436" s="1"/>
      <c r="I7436" s="1"/>
      <c r="J7436" s="1"/>
      <c r="K7436" s="1"/>
      <c r="L7436" s="1"/>
      <c r="M7436" s="1"/>
      <c r="N7436" s="1"/>
      <c r="O7436" s="1"/>
      <c r="P7436" s="1"/>
      <c r="Q7436" s="1"/>
      <c r="R7436" s="1"/>
      <c r="S7436" s="1"/>
      <c r="T7436" s="1"/>
      <c r="U7436" s="1"/>
      <c r="V7436" s="1"/>
      <c r="W7436" s="1"/>
      <c r="X7436" s="1"/>
      <c r="Y7436" s="1"/>
      <c r="Z7436" s="1"/>
      <c r="AA7436" s="1"/>
      <c r="AB7436" s="1"/>
    </row>
    <row r="7437" ht="50.25" customHeight="1">
      <c r="A7437" s="12">
        <v>7433.0</v>
      </c>
      <c r="B7437" s="13" t="s">
        <v>7028</v>
      </c>
      <c r="C7437" s="14" t="s">
        <v>7461</v>
      </c>
      <c r="D7437" s="1"/>
      <c r="E7437" s="1"/>
      <c r="F7437" s="1" t="str">
        <f>IFERROR(__xludf.DUMMYFUNCTION("GOOGLETRANSLATE(B7437, ""en"", ""fa"")
"),"موفقیت در ای بی")</f>
        <v>موفقیت در ای بی</v>
      </c>
      <c r="G7437" s="1" t="str">
        <f>IFERROR(__xludf.DUMMYFUNCTION("GOOGLETRANSLATE(C7437, ""en"", ""fa"")
"),"چگونه می توانم با استفاده از تصاویر، ویدیوها یا نماهای 360 درجه، ارائه محصول را در فروشگاه eBay خود بهبود بخشم؟")</f>
        <v>چگونه می توانم با استفاده از تصاویر، ویدیوها یا نماهای 360 درجه، ارائه محصول را در فروشگاه eBay خود بهبود بخشم؟</v>
      </c>
      <c r="H7437" s="1"/>
      <c r="I7437" s="1"/>
      <c r="J7437" s="1"/>
      <c r="K7437" s="1"/>
      <c r="L7437" s="1"/>
      <c r="M7437" s="1"/>
      <c r="N7437" s="1"/>
      <c r="O7437" s="1"/>
      <c r="P7437" s="1"/>
      <c r="Q7437" s="1"/>
      <c r="R7437" s="1"/>
      <c r="S7437" s="1"/>
      <c r="T7437" s="1"/>
      <c r="U7437" s="1"/>
      <c r="V7437" s="1"/>
      <c r="W7437" s="1"/>
      <c r="X7437" s="1"/>
      <c r="Y7437" s="1"/>
      <c r="Z7437" s="1"/>
      <c r="AA7437" s="1"/>
      <c r="AB7437" s="1"/>
    </row>
    <row r="7438" ht="50.25" customHeight="1">
      <c r="A7438" s="12">
        <v>7434.0</v>
      </c>
      <c r="B7438" s="13" t="s">
        <v>7028</v>
      </c>
      <c r="C7438" s="14" t="s">
        <v>7462</v>
      </c>
      <c r="D7438" s="1"/>
      <c r="E7438" s="1"/>
      <c r="F7438" s="1" t="str">
        <f>IFERROR(__xludf.DUMMYFUNCTION("GOOGLETRANSLATE(B7438, ""en"", ""fa"")
"),"موفقیت در ای بی")</f>
        <v>موفقیت در ای بی</v>
      </c>
      <c r="G7438" s="1" t="str">
        <f>IFERROR(__xludf.DUMMYFUNCTION("GOOGLETRANSLATE(C7438, ""en"", ""fa"")
"),"عناصر کلیدی یک بخش پرسش‌های متداول مؤثر در فروشگاه eBay برای پاسخگویی به سؤالات و نگرانی‌های رایج خریداران چیست؟")</f>
        <v>عناصر کلیدی یک بخش پرسش‌های متداول مؤثر در فروشگاه eBay برای پاسخگویی به سؤالات و نگرانی‌های رایج خریداران چیست؟</v>
      </c>
      <c r="H7438" s="1"/>
      <c r="I7438" s="1"/>
      <c r="J7438" s="1"/>
      <c r="K7438" s="1"/>
      <c r="L7438" s="1"/>
      <c r="M7438" s="1"/>
      <c r="N7438" s="1"/>
      <c r="O7438" s="1"/>
      <c r="P7438" s="1"/>
      <c r="Q7438" s="1"/>
      <c r="R7438" s="1"/>
      <c r="S7438" s="1"/>
      <c r="T7438" s="1"/>
      <c r="U7438" s="1"/>
      <c r="V7438" s="1"/>
      <c r="W7438" s="1"/>
      <c r="X7438" s="1"/>
      <c r="Y7438" s="1"/>
      <c r="Z7438" s="1"/>
      <c r="AA7438" s="1"/>
      <c r="AB7438" s="1"/>
    </row>
    <row r="7439" ht="50.25" customHeight="1">
      <c r="A7439" s="12">
        <v>7435.0</v>
      </c>
      <c r="B7439" s="13" t="s">
        <v>7028</v>
      </c>
      <c r="C7439" s="14" t="s">
        <v>7463</v>
      </c>
      <c r="D7439" s="1"/>
      <c r="E7439" s="1"/>
      <c r="F7439" s="1" t="str">
        <f>IFERROR(__xludf.DUMMYFUNCTION("GOOGLETRANSLATE(B7439, ""en"", ""fa"")
"),"موفقیت در ای بی")</f>
        <v>موفقیت در ای بی</v>
      </c>
      <c r="G7439" s="1" t="str">
        <f>IFERROR(__xludf.DUMMYFUNCTION("GOOGLETRANSLATE(C7439, ""en"", ""fa"")
"),"چگونه می توانم از داده های مشتری و سابقه خرید برای ارائه توصیه های شخصی و پیشنهادات محصول در فروشگاه eBay استفاده کنم؟")</f>
        <v>چگونه می توانم از داده های مشتری و سابقه خرید برای ارائه توصیه های شخصی و پیشنهادات محصول در فروشگاه eBay استفاده کنم؟</v>
      </c>
      <c r="H7439" s="1"/>
      <c r="I7439" s="1"/>
      <c r="J7439" s="1"/>
      <c r="K7439" s="1"/>
      <c r="L7439" s="1"/>
      <c r="M7439" s="1"/>
      <c r="N7439" s="1"/>
      <c r="O7439" s="1"/>
      <c r="P7439" s="1"/>
      <c r="Q7439" s="1"/>
      <c r="R7439" s="1"/>
      <c r="S7439" s="1"/>
      <c r="T7439" s="1"/>
      <c r="U7439" s="1"/>
      <c r="V7439" s="1"/>
      <c r="W7439" s="1"/>
      <c r="X7439" s="1"/>
      <c r="Y7439" s="1"/>
      <c r="Z7439" s="1"/>
      <c r="AA7439" s="1"/>
      <c r="AB7439" s="1"/>
    </row>
    <row r="7440" ht="50.25" customHeight="1">
      <c r="A7440" s="12">
        <v>7436.0</v>
      </c>
      <c r="B7440" s="13" t="s">
        <v>7028</v>
      </c>
      <c r="C7440" s="14" t="s">
        <v>7464</v>
      </c>
      <c r="D7440" s="1"/>
      <c r="E7440" s="1"/>
      <c r="F7440" s="1" t="str">
        <f>IFERROR(__xludf.DUMMYFUNCTION("GOOGLETRANSLATE(B7440, ""en"", ""fa"")
"),"موفقیت در ای بی")</f>
        <v>موفقیت در ای بی</v>
      </c>
      <c r="G7440" s="1" t="str">
        <f>IFERROR(__xludf.DUMMYFUNCTION("GOOGLETRANSLATE(C7440, ""en"", ""fa"")
"),"چه استراتژی هایی را می توانم برای بهینه سازی فروشگاه eBay خود برای سازگاری با جستجوی صوتی و استفاده از روندهای جستجوی نوظهور استفاده کنم؟")</f>
        <v>چه استراتژی هایی را می توانم برای بهینه سازی فروشگاه eBay خود برای سازگاری با جستجوی صوتی و استفاده از روندهای جستجوی نوظهور استفاده کنم؟</v>
      </c>
      <c r="H7440" s="1"/>
      <c r="I7440" s="1"/>
      <c r="J7440" s="1"/>
      <c r="K7440" s="1"/>
      <c r="L7440" s="1"/>
      <c r="M7440" s="1"/>
      <c r="N7440" s="1"/>
      <c r="O7440" s="1"/>
      <c r="P7440" s="1"/>
      <c r="Q7440" s="1"/>
      <c r="R7440" s="1"/>
      <c r="S7440" s="1"/>
      <c r="T7440" s="1"/>
      <c r="U7440" s="1"/>
      <c r="V7440" s="1"/>
      <c r="W7440" s="1"/>
      <c r="X7440" s="1"/>
      <c r="Y7440" s="1"/>
      <c r="Z7440" s="1"/>
      <c r="AA7440" s="1"/>
      <c r="AB7440" s="1"/>
    </row>
    <row r="7441" ht="50.25" customHeight="1">
      <c r="A7441" s="12">
        <v>7437.0</v>
      </c>
      <c r="B7441" s="13" t="s">
        <v>7028</v>
      </c>
      <c r="C7441" s="14" t="s">
        <v>7465</v>
      </c>
      <c r="D7441" s="1"/>
      <c r="E7441" s="1"/>
      <c r="F7441" s="1" t="str">
        <f>IFERROR(__xludf.DUMMYFUNCTION("GOOGLETRANSLATE(B7441, ""en"", ""fa"")
"),"موفقیت در ای بی")</f>
        <v>موفقیت در ای بی</v>
      </c>
      <c r="G7441" s="1" t="str">
        <f>IFERROR(__xludf.DUMMYFUNCTION("GOOGLETRANSLATE(C7441, ""en"", ""fa"")
"),"چگونه می توانم به طور پیشگیرانه با موارد بازخورد منفی یا اختلافات در فروشگاه eBay خود رسیدگی کنم تا رتبه فروشنده مثبت را حفظ کنم؟")</f>
        <v>چگونه می توانم به طور پیشگیرانه با موارد بازخورد منفی یا اختلافات در فروشگاه eBay خود رسیدگی کنم تا رتبه فروشنده مثبت را حفظ کنم؟</v>
      </c>
      <c r="H7441" s="1"/>
      <c r="I7441" s="1"/>
      <c r="J7441" s="1"/>
      <c r="K7441" s="1"/>
      <c r="L7441" s="1"/>
      <c r="M7441" s="1"/>
      <c r="N7441" s="1"/>
      <c r="O7441" s="1"/>
      <c r="P7441" s="1"/>
      <c r="Q7441" s="1"/>
      <c r="R7441" s="1"/>
      <c r="S7441" s="1"/>
      <c r="T7441" s="1"/>
      <c r="U7441" s="1"/>
      <c r="V7441" s="1"/>
      <c r="W7441" s="1"/>
      <c r="X7441" s="1"/>
      <c r="Y7441" s="1"/>
      <c r="Z7441" s="1"/>
      <c r="AA7441" s="1"/>
      <c r="AB7441" s="1"/>
    </row>
    <row r="7442" ht="50.25" customHeight="1">
      <c r="A7442" s="12">
        <v>7438.0</v>
      </c>
      <c r="B7442" s="13" t="s">
        <v>7028</v>
      </c>
      <c r="C7442" s="14" t="s">
        <v>7466</v>
      </c>
      <c r="D7442" s="1"/>
      <c r="E7442" s="1"/>
      <c r="F7442" s="1" t="str">
        <f>IFERROR(__xludf.DUMMYFUNCTION("GOOGLETRANSLATE(B7442, ""en"", ""fa"")
"),"موفقیت در ای بی")</f>
        <v>موفقیت در ای بی</v>
      </c>
      <c r="G7442" s="1" t="str">
        <f>IFERROR(__xludf.DUMMYFUNCTION("GOOGLETRANSLATE(C7442, ""en"", ""fa"")
"),"مزایای اجرای چت زنده یا ویژگی پشتیبانی پیام در فروشگاه eBay برای کمک به خریدار در زمان واقعی چیست؟")</f>
        <v>مزایای اجرای چت زنده یا ویژگی پشتیبانی پیام در فروشگاه eBay برای کمک به خریدار در زمان واقعی چیست؟</v>
      </c>
      <c r="H7442" s="1"/>
      <c r="I7442" s="1"/>
      <c r="J7442" s="1"/>
      <c r="K7442" s="1"/>
      <c r="L7442" s="1"/>
      <c r="M7442" s="1"/>
      <c r="N7442" s="1"/>
      <c r="O7442" s="1"/>
      <c r="P7442" s="1"/>
      <c r="Q7442" s="1"/>
      <c r="R7442" s="1"/>
      <c r="S7442" s="1"/>
      <c r="T7442" s="1"/>
      <c r="U7442" s="1"/>
      <c r="V7442" s="1"/>
      <c r="W7442" s="1"/>
      <c r="X7442" s="1"/>
      <c r="Y7442" s="1"/>
      <c r="Z7442" s="1"/>
      <c r="AA7442" s="1"/>
      <c r="AB7442" s="1"/>
    </row>
    <row r="7443" ht="50.25" customHeight="1">
      <c r="A7443" s="12">
        <v>7439.0</v>
      </c>
      <c r="B7443" s="13" t="s">
        <v>7028</v>
      </c>
      <c r="C7443" s="14" t="s">
        <v>7467</v>
      </c>
      <c r="D7443" s="1"/>
      <c r="E7443" s="1"/>
      <c r="F7443" s="1" t="str">
        <f>IFERROR(__xludf.DUMMYFUNCTION("GOOGLETRANSLATE(B7443, ""en"", ""fa"")
"),"موفقیت در ای بی")</f>
        <v>موفقیت در ای بی</v>
      </c>
      <c r="G7443" s="1" t="str">
        <f>IFERROR(__xludf.DUMMYFUNCTION("GOOGLETRANSLATE(C7443, ""en"", ""fa"")
"),"چگونه می توانم فروشگاه eBay خود را برای فروش چند کانالی با ادغام با سایر بازارها یا پلتفرم های تجارت الکترونیک بهینه کنم؟")</f>
        <v>چگونه می توانم فروشگاه eBay خود را برای فروش چند کانالی با ادغام با سایر بازارها یا پلتفرم های تجارت الکترونیک بهینه کنم؟</v>
      </c>
      <c r="H7443" s="1"/>
      <c r="I7443" s="1"/>
      <c r="J7443" s="1"/>
      <c r="K7443" s="1"/>
      <c r="L7443" s="1"/>
      <c r="M7443" s="1"/>
      <c r="N7443" s="1"/>
      <c r="O7443" s="1"/>
      <c r="P7443" s="1"/>
      <c r="Q7443" s="1"/>
      <c r="R7443" s="1"/>
      <c r="S7443" s="1"/>
      <c r="T7443" s="1"/>
      <c r="U7443" s="1"/>
      <c r="V7443" s="1"/>
      <c r="W7443" s="1"/>
      <c r="X7443" s="1"/>
      <c r="Y7443" s="1"/>
      <c r="Z7443" s="1"/>
      <c r="AA7443" s="1"/>
      <c r="AB7443" s="1"/>
    </row>
    <row r="7444" ht="50.25" customHeight="1">
      <c r="A7444" s="12">
        <v>7440.0</v>
      </c>
      <c r="B7444" s="13" t="s">
        <v>7028</v>
      </c>
      <c r="C7444" s="14" t="s">
        <v>7468</v>
      </c>
      <c r="D7444" s="1"/>
      <c r="E7444" s="1"/>
      <c r="F7444" s="1" t="str">
        <f>IFERROR(__xludf.DUMMYFUNCTION("GOOGLETRANSLATE(B7444, ""en"", ""fa"")
"),"موفقیت در ای بی")</f>
        <v>موفقیت در ای بی</v>
      </c>
      <c r="G7444" s="1" t="str">
        <f>IFERROR(__xludf.DUMMYFUNCTION("GOOGLETRANSLATE(C7444, ""en"", ""fa"")
"),"چگونه می توانم به طور موثر از تبلیغات فروشگاه eBay و پیشنهادات انحصاری برای ایجاد انگیزه برای خریدهای تکراری و تقویت وفاداری مشتری استفاده کنم؟")</f>
        <v>چگونه می توانم به طور موثر از تبلیغات فروشگاه eBay و پیشنهادات انحصاری برای ایجاد انگیزه برای خریدهای تکراری و تقویت وفاداری مشتری استفاده کنم؟</v>
      </c>
      <c r="H7444" s="1"/>
      <c r="I7444" s="1"/>
      <c r="J7444" s="1"/>
      <c r="K7444" s="1"/>
      <c r="L7444" s="1"/>
      <c r="M7444" s="1"/>
      <c r="N7444" s="1"/>
      <c r="O7444" s="1"/>
      <c r="P7444" s="1"/>
      <c r="Q7444" s="1"/>
      <c r="R7444" s="1"/>
      <c r="S7444" s="1"/>
      <c r="T7444" s="1"/>
      <c r="U7444" s="1"/>
      <c r="V7444" s="1"/>
      <c r="W7444" s="1"/>
      <c r="X7444" s="1"/>
      <c r="Y7444" s="1"/>
      <c r="Z7444" s="1"/>
      <c r="AA7444" s="1"/>
      <c r="AB7444" s="1"/>
    </row>
    <row r="7445" ht="50.25" customHeight="1">
      <c r="A7445" s="12">
        <v>7441.0</v>
      </c>
      <c r="B7445" s="13" t="s">
        <v>7028</v>
      </c>
      <c r="C7445" s="14" t="s">
        <v>7469</v>
      </c>
      <c r="D7445" s="1"/>
      <c r="E7445" s="1"/>
      <c r="F7445" s="1" t="str">
        <f>IFERROR(__xludf.DUMMYFUNCTION("GOOGLETRANSLATE(B7445, ""en"", ""fa"")
"),"موفقیت در ای بی")</f>
        <v>موفقیت در ای بی</v>
      </c>
      <c r="G7445" s="1" t="str">
        <f>IFERROR(__xludf.DUMMYFUNCTION("GOOGLETRANSLATE(C7445, ""en"", ""fa"")
"),"استراتژی‌های کلیدی برای گسترش کسب‌وکار eBay و گسترش پیشنهادات محصول به دسته‌های جدید چیست؟")</f>
        <v>استراتژی‌های کلیدی برای گسترش کسب‌وکار eBay و گسترش پیشنهادات محصول به دسته‌های جدید چیست؟</v>
      </c>
      <c r="H7445" s="1"/>
      <c r="I7445" s="1"/>
      <c r="J7445" s="1"/>
      <c r="K7445" s="1"/>
      <c r="L7445" s="1"/>
      <c r="M7445" s="1"/>
      <c r="N7445" s="1"/>
      <c r="O7445" s="1"/>
      <c r="P7445" s="1"/>
      <c r="Q7445" s="1"/>
      <c r="R7445" s="1"/>
      <c r="S7445" s="1"/>
      <c r="T7445" s="1"/>
      <c r="U7445" s="1"/>
      <c r="V7445" s="1"/>
      <c r="W7445" s="1"/>
      <c r="X7445" s="1"/>
      <c r="Y7445" s="1"/>
      <c r="Z7445" s="1"/>
      <c r="AA7445" s="1"/>
      <c r="AB7445" s="1"/>
    </row>
    <row r="7446" ht="50.25" customHeight="1">
      <c r="A7446" s="12">
        <v>7442.0</v>
      </c>
      <c r="B7446" s="13" t="s">
        <v>7028</v>
      </c>
      <c r="C7446" s="14" t="s">
        <v>7470</v>
      </c>
      <c r="D7446" s="1"/>
      <c r="E7446" s="1"/>
      <c r="F7446" s="1" t="str">
        <f>IFERROR(__xludf.DUMMYFUNCTION("GOOGLETRANSLATE(B7446, ""en"", ""fa"")
"),"موفقیت در ای بی")</f>
        <v>موفقیت در ای بی</v>
      </c>
      <c r="G7446" s="1" t="str">
        <f>IFERROR(__xludf.DUMMYFUNCTION("GOOGLETRANSLATE(C7446, ""en"", ""fa"")
"),"چگونه می توانم پتانسیل مقیاس پذیری کسب و کار eBay خود را به طور موثر ارزیابی کنم و زمینه های رشد را شناسایی کنم؟")</f>
        <v>چگونه می توانم پتانسیل مقیاس پذیری کسب و کار eBay خود را به طور موثر ارزیابی کنم و زمینه های رشد را شناسایی کنم؟</v>
      </c>
      <c r="H7446" s="1"/>
      <c r="I7446" s="1"/>
      <c r="J7446" s="1"/>
      <c r="K7446" s="1"/>
      <c r="L7446" s="1"/>
      <c r="M7446" s="1"/>
      <c r="N7446" s="1"/>
      <c r="O7446" s="1"/>
      <c r="P7446" s="1"/>
      <c r="Q7446" s="1"/>
      <c r="R7446" s="1"/>
      <c r="S7446" s="1"/>
      <c r="T7446" s="1"/>
      <c r="U7446" s="1"/>
      <c r="V7446" s="1"/>
      <c r="W7446" s="1"/>
      <c r="X7446" s="1"/>
      <c r="Y7446" s="1"/>
      <c r="Z7446" s="1"/>
      <c r="AA7446" s="1"/>
      <c r="AB7446" s="1"/>
    </row>
    <row r="7447" ht="50.25" customHeight="1">
      <c r="A7447" s="12">
        <v>7443.0</v>
      </c>
      <c r="B7447" s="13" t="s">
        <v>7028</v>
      </c>
      <c r="C7447" s="14" t="s">
        <v>7471</v>
      </c>
      <c r="D7447" s="1"/>
      <c r="E7447" s="1"/>
      <c r="F7447" s="1" t="str">
        <f>IFERROR(__xludf.DUMMYFUNCTION("GOOGLETRANSLATE(B7447, ""en"", ""fa"")
"),"موفقیت در ای بی")</f>
        <v>موفقیت در ای بی</v>
      </c>
      <c r="G7447" s="1" t="str">
        <f>IFERROR(__xludf.DUMMYFUNCTION("GOOGLETRANSLATE(C7447, ""en"", ""fa"")
"),"مزایای متنوع کردن کانال‌های فروش و گسترش فراتر از eBay برای دستیابی به پایگاه مشتریان گسترده‌تر چیست؟")</f>
        <v>مزایای متنوع کردن کانال‌های فروش و گسترش فراتر از eBay برای دستیابی به پایگاه مشتریان گسترده‌تر چیست؟</v>
      </c>
      <c r="H7447" s="1"/>
      <c r="I7447" s="1"/>
      <c r="J7447" s="1"/>
      <c r="K7447" s="1"/>
      <c r="L7447" s="1"/>
      <c r="M7447" s="1"/>
      <c r="N7447" s="1"/>
      <c r="O7447" s="1"/>
      <c r="P7447" s="1"/>
      <c r="Q7447" s="1"/>
      <c r="R7447" s="1"/>
      <c r="S7447" s="1"/>
      <c r="T7447" s="1"/>
      <c r="U7447" s="1"/>
      <c r="V7447" s="1"/>
      <c r="W7447" s="1"/>
      <c r="X7447" s="1"/>
      <c r="Y7447" s="1"/>
      <c r="Z7447" s="1"/>
      <c r="AA7447" s="1"/>
      <c r="AB7447" s="1"/>
    </row>
    <row r="7448" ht="50.25" customHeight="1">
      <c r="A7448" s="12">
        <v>7444.0</v>
      </c>
      <c r="B7448" s="13" t="s">
        <v>7028</v>
      </c>
      <c r="C7448" s="14" t="s">
        <v>7472</v>
      </c>
      <c r="D7448" s="1"/>
      <c r="E7448" s="1"/>
      <c r="F7448" s="1" t="str">
        <f>IFERROR(__xludf.DUMMYFUNCTION("GOOGLETRANSLATE(B7448, ""en"", ""fa"")
"),"موفقیت در ای بی")</f>
        <v>موفقیت در ای بی</v>
      </c>
      <c r="G7448" s="1" t="str">
        <f>IFERROR(__xludf.DUMMYFUNCTION("GOOGLETRANSLATE(C7448, ""en"", ""fa"")
"),"از چه استراتژی هایی می توانم برای بهینه سازی مدیریت موجودی و فرآیندهای تکمیل برای حمایت از رشد کسب و کار در eBay استفاده کنم؟")</f>
        <v>از چه استراتژی هایی می توانم برای بهینه سازی مدیریت موجودی و فرآیندهای تکمیل برای حمایت از رشد کسب و کار در eBay استفاده کنم؟</v>
      </c>
      <c r="H7448" s="1"/>
      <c r="I7448" s="1"/>
      <c r="J7448" s="1"/>
      <c r="K7448" s="1"/>
      <c r="L7448" s="1"/>
      <c r="M7448" s="1"/>
      <c r="N7448" s="1"/>
      <c r="O7448" s="1"/>
      <c r="P7448" s="1"/>
      <c r="Q7448" s="1"/>
      <c r="R7448" s="1"/>
      <c r="S7448" s="1"/>
      <c r="T7448" s="1"/>
      <c r="U7448" s="1"/>
      <c r="V7448" s="1"/>
      <c r="W7448" s="1"/>
      <c r="X7448" s="1"/>
      <c r="Y7448" s="1"/>
      <c r="Z7448" s="1"/>
      <c r="AA7448" s="1"/>
      <c r="AB7448" s="1"/>
    </row>
    <row r="7449" ht="50.25" customHeight="1">
      <c r="A7449" s="12">
        <v>7445.0</v>
      </c>
      <c r="B7449" s="13" t="s">
        <v>7028</v>
      </c>
      <c r="C7449" s="14" t="s">
        <v>7473</v>
      </c>
      <c r="D7449" s="1"/>
      <c r="E7449" s="1"/>
      <c r="F7449" s="1" t="str">
        <f>IFERROR(__xludf.DUMMYFUNCTION("GOOGLETRANSLATE(B7449, ""en"", ""fa"")
"),"موفقیت در ای بی")</f>
        <v>موفقیت در ای بی</v>
      </c>
      <c r="G7449" s="1" t="str">
        <f>IFERROR(__xludf.DUMMYFUNCTION("GOOGLETRANSLATE(C7449, ""en"", ""fa"")
"),"چگونه می توانم از تجزیه و تحلیل داده ها و تحقیقات بازار برای شناسایی روندهای نوظهور و فرصت های گسترش در eBay استفاده کنم؟")</f>
        <v>چگونه می توانم از تجزیه و تحلیل داده ها و تحقیقات بازار برای شناسایی روندهای نوظهور و فرصت های گسترش در eBay استفاده کنم؟</v>
      </c>
      <c r="H7449" s="1"/>
      <c r="I7449" s="1"/>
      <c r="J7449" s="1"/>
      <c r="K7449" s="1"/>
      <c r="L7449" s="1"/>
      <c r="M7449" s="1"/>
      <c r="N7449" s="1"/>
      <c r="O7449" s="1"/>
      <c r="P7449" s="1"/>
      <c r="Q7449" s="1"/>
      <c r="R7449" s="1"/>
      <c r="S7449" s="1"/>
      <c r="T7449" s="1"/>
      <c r="U7449" s="1"/>
      <c r="V7449" s="1"/>
      <c r="W7449" s="1"/>
      <c r="X7449" s="1"/>
      <c r="Y7449" s="1"/>
      <c r="Z7449" s="1"/>
      <c r="AA7449" s="1"/>
      <c r="AB7449" s="1"/>
    </row>
    <row r="7450" ht="50.25" customHeight="1">
      <c r="A7450" s="12">
        <v>7446.0</v>
      </c>
      <c r="B7450" s="13" t="s">
        <v>7028</v>
      </c>
      <c r="C7450" s="14" t="s">
        <v>7474</v>
      </c>
      <c r="D7450" s="1"/>
      <c r="E7450" s="1"/>
      <c r="F7450" s="1" t="str">
        <f>IFERROR(__xludf.DUMMYFUNCTION("GOOGLETRANSLATE(B7450, ""en"", ""fa"")
"),"موفقیت در ای بی")</f>
        <v>موفقیت در ای بی</v>
      </c>
      <c r="G7450" s="1" t="str">
        <f>IFERROR(__xludf.DUMMYFUNCTION("GOOGLETRANSLATE(C7450, ""en"", ""fa"")
"),"ملاحظات کلیدی برای گسترش بین المللی و دستیابی به بازارهای جهانی از طریق eBay چیست؟")</f>
        <v>ملاحظات کلیدی برای گسترش بین المللی و دستیابی به بازارهای جهانی از طریق eBay چیست؟</v>
      </c>
      <c r="H7450" s="1"/>
      <c r="I7450" s="1"/>
      <c r="J7450" s="1"/>
      <c r="K7450" s="1"/>
      <c r="L7450" s="1"/>
      <c r="M7450" s="1"/>
      <c r="N7450" s="1"/>
      <c r="O7450" s="1"/>
      <c r="P7450" s="1"/>
      <c r="Q7450" s="1"/>
      <c r="R7450" s="1"/>
      <c r="S7450" s="1"/>
      <c r="T7450" s="1"/>
      <c r="U7450" s="1"/>
      <c r="V7450" s="1"/>
      <c r="W7450" s="1"/>
      <c r="X7450" s="1"/>
      <c r="Y7450" s="1"/>
      <c r="Z7450" s="1"/>
      <c r="AA7450" s="1"/>
      <c r="AB7450" s="1"/>
    </row>
    <row r="7451" ht="50.25" customHeight="1">
      <c r="A7451" s="12">
        <v>7447.0</v>
      </c>
      <c r="B7451" s="13" t="s">
        <v>7028</v>
      </c>
      <c r="C7451" s="14" t="s">
        <v>7475</v>
      </c>
      <c r="D7451" s="1"/>
      <c r="E7451" s="1"/>
      <c r="F7451" s="1" t="str">
        <f>IFERROR(__xludf.DUMMYFUNCTION("GOOGLETRANSLATE(B7451, ""en"", ""fa"")
"),"موفقیت در ای بی")</f>
        <v>موفقیت در ای بی</v>
      </c>
      <c r="G7451" s="1" t="str">
        <f>IFERROR(__xludf.DUMMYFUNCTION("GOOGLETRANSLATE(C7451, ""en"", ""fa"")
"),"چه استراتژی هایی را می توانم برای ایجاد شراکت یا همکاری استراتژیک برای توسعه تجارت در eBay به کار بگیرم؟")</f>
        <v>چه استراتژی هایی را می توانم برای ایجاد شراکت یا همکاری استراتژیک برای توسعه تجارت در eBay به کار بگیرم؟</v>
      </c>
      <c r="H7451" s="1"/>
      <c r="I7451" s="1"/>
      <c r="J7451" s="1"/>
      <c r="K7451" s="1"/>
      <c r="L7451" s="1"/>
      <c r="M7451" s="1"/>
      <c r="N7451" s="1"/>
      <c r="O7451" s="1"/>
      <c r="P7451" s="1"/>
      <c r="Q7451" s="1"/>
      <c r="R7451" s="1"/>
      <c r="S7451" s="1"/>
      <c r="T7451" s="1"/>
      <c r="U7451" s="1"/>
      <c r="V7451" s="1"/>
      <c r="W7451" s="1"/>
      <c r="X7451" s="1"/>
      <c r="Y7451" s="1"/>
      <c r="Z7451" s="1"/>
      <c r="AA7451" s="1"/>
      <c r="AB7451" s="1"/>
    </row>
    <row r="7452" ht="50.25" customHeight="1">
      <c r="A7452" s="12">
        <v>7448.0</v>
      </c>
      <c r="B7452" s="13" t="s">
        <v>7028</v>
      </c>
      <c r="C7452" s="14" t="s">
        <v>7476</v>
      </c>
      <c r="D7452" s="1"/>
      <c r="E7452" s="1"/>
      <c r="F7452" s="1" t="str">
        <f>IFERROR(__xludf.DUMMYFUNCTION("GOOGLETRANSLATE(B7452, ""en"", ""fa"")
"),"موفقیت در ای بی")</f>
        <v>موفقیت در ای بی</v>
      </c>
      <c r="G7452" s="1" t="str">
        <f>IFERROR(__xludf.DUMMYFUNCTION("GOOGLETRANSLATE(C7452, ""en"", ""fa"")
"),"چگونه می‌توانم فهرست‌ها و فروشگاه‌های eBay خود را برای هدف قرار دادن بخش‌های مشتریان جدید و جذب مخاطبان گسترده‌تر بهینه کنم؟")</f>
        <v>چگونه می‌توانم فهرست‌ها و فروشگاه‌های eBay خود را برای هدف قرار دادن بخش‌های مشتریان جدید و جذب مخاطبان گسترده‌تر بهینه کنم؟</v>
      </c>
      <c r="H7452" s="1"/>
      <c r="I7452" s="1"/>
      <c r="J7452" s="1"/>
      <c r="K7452" s="1"/>
      <c r="L7452" s="1"/>
      <c r="M7452" s="1"/>
      <c r="N7452" s="1"/>
      <c r="O7452" s="1"/>
      <c r="P7452" s="1"/>
      <c r="Q7452" s="1"/>
      <c r="R7452" s="1"/>
      <c r="S7452" s="1"/>
      <c r="T7452" s="1"/>
      <c r="U7452" s="1"/>
      <c r="V7452" s="1"/>
      <c r="W7452" s="1"/>
      <c r="X7452" s="1"/>
      <c r="Y7452" s="1"/>
      <c r="Z7452" s="1"/>
      <c r="AA7452" s="1"/>
      <c r="AB7452" s="1"/>
    </row>
    <row r="7453" ht="50.25" customHeight="1">
      <c r="A7453" s="12">
        <v>7449.0</v>
      </c>
      <c r="B7453" s="13" t="s">
        <v>7028</v>
      </c>
      <c r="C7453" s="14" t="s">
        <v>7477</v>
      </c>
      <c r="D7453" s="1"/>
      <c r="E7453" s="1"/>
      <c r="F7453" s="1" t="str">
        <f>IFERROR(__xludf.DUMMYFUNCTION("GOOGLETRANSLATE(B7453, ""en"", ""fa"")
"),"موفقیت در ای بی")</f>
        <v>موفقیت در ای بی</v>
      </c>
      <c r="G7453" s="1" t="str">
        <f>IFERROR(__xludf.DUMMYFUNCTION("GOOGLETRANSLATE(C7453, ""en"", ""fa"")
"),"سرمایه گذاری در کمپین های بازاریابی و تبلیغاتی برای حمایت از گسترش کسب و کار در eBay چه مزایایی دارد؟")</f>
        <v>سرمایه گذاری در کمپین های بازاریابی و تبلیغاتی برای حمایت از گسترش کسب و کار در eBay چه مزایایی دارد؟</v>
      </c>
      <c r="H7453" s="1"/>
      <c r="I7453" s="1"/>
      <c r="J7453" s="1"/>
      <c r="K7453" s="1"/>
      <c r="L7453" s="1"/>
      <c r="M7453" s="1"/>
      <c r="N7453" s="1"/>
      <c r="O7453" s="1"/>
      <c r="P7453" s="1"/>
      <c r="Q7453" s="1"/>
      <c r="R7453" s="1"/>
      <c r="S7453" s="1"/>
      <c r="T7453" s="1"/>
      <c r="U7453" s="1"/>
      <c r="V7453" s="1"/>
      <c r="W7453" s="1"/>
      <c r="X7453" s="1"/>
      <c r="Y7453" s="1"/>
      <c r="Z7453" s="1"/>
      <c r="AA7453" s="1"/>
      <c r="AB7453" s="1"/>
    </row>
    <row r="7454" ht="50.25" customHeight="1">
      <c r="A7454" s="12">
        <v>7450.0</v>
      </c>
      <c r="B7454" s="13" t="s">
        <v>7028</v>
      </c>
      <c r="C7454" s="14" t="s">
        <v>7478</v>
      </c>
      <c r="D7454" s="1"/>
      <c r="E7454" s="1"/>
      <c r="F7454" s="1" t="str">
        <f>IFERROR(__xludf.DUMMYFUNCTION("GOOGLETRANSLATE(B7454, ""en"", ""fa"")
"),"موفقیت در ای بی")</f>
        <v>موفقیت در ای بی</v>
      </c>
      <c r="G7454" s="1" t="str">
        <f>IFERROR(__xludf.DUMMYFUNCTION("GOOGLETRANSLATE(C7454, ""en"", ""fa"")
"),"چگونه می توانم به طور موثر عملیات پشتیبانی مشتری را مدیریت و مقیاس دهم تا حجم فروش افزایش یافته در eBay را برآورده کنم؟")</f>
        <v>چگونه می توانم به طور موثر عملیات پشتیبانی مشتری را مدیریت و مقیاس دهم تا حجم فروش افزایش یافته در eBay را برآورده کنم؟</v>
      </c>
      <c r="H7454" s="1"/>
      <c r="I7454" s="1"/>
      <c r="J7454" s="1"/>
      <c r="K7454" s="1"/>
      <c r="L7454" s="1"/>
      <c r="M7454" s="1"/>
      <c r="N7454" s="1"/>
      <c r="O7454" s="1"/>
      <c r="P7454" s="1"/>
      <c r="Q7454" s="1"/>
      <c r="R7454" s="1"/>
      <c r="S7454" s="1"/>
      <c r="T7454" s="1"/>
      <c r="U7454" s="1"/>
      <c r="V7454" s="1"/>
      <c r="W7454" s="1"/>
      <c r="X7454" s="1"/>
      <c r="Y7454" s="1"/>
      <c r="Z7454" s="1"/>
      <c r="AA7454" s="1"/>
      <c r="AB7454" s="1"/>
    </row>
    <row r="7455" ht="50.25" customHeight="1">
      <c r="A7455" s="12">
        <v>7451.0</v>
      </c>
      <c r="B7455" s="13" t="s">
        <v>7028</v>
      </c>
      <c r="C7455" s="14" t="s">
        <v>7479</v>
      </c>
      <c r="D7455" s="1"/>
      <c r="E7455" s="1"/>
      <c r="F7455" s="1" t="str">
        <f>IFERROR(__xludf.DUMMYFUNCTION("GOOGLETRANSLATE(B7455, ""en"", ""fa"")
"),"موفقیت در ای بی")</f>
        <v>موفقیت در ای بی</v>
      </c>
      <c r="G7455" s="1" t="str">
        <f>IFERROR(__xludf.DUMMYFUNCTION("GOOGLETRANSLATE(C7455, ""en"", ""fa"")
"),"از چه استراتژی هایی می توانم برای بهینه سازی قیمت گذاری و موقعیت رقابتی برای حمایت از رشد کسب و کار در eBay استفاده کنم؟")</f>
        <v>از چه استراتژی هایی می توانم برای بهینه سازی قیمت گذاری و موقعیت رقابتی برای حمایت از رشد کسب و کار در eBay استفاده کنم؟</v>
      </c>
      <c r="H7455" s="1"/>
      <c r="I7455" s="1"/>
      <c r="J7455" s="1"/>
      <c r="K7455" s="1"/>
      <c r="L7455" s="1"/>
      <c r="M7455" s="1"/>
      <c r="N7455" s="1"/>
      <c r="O7455" s="1"/>
      <c r="P7455" s="1"/>
      <c r="Q7455" s="1"/>
      <c r="R7455" s="1"/>
      <c r="S7455" s="1"/>
      <c r="T7455" s="1"/>
      <c r="U7455" s="1"/>
      <c r="V7455" s="1"/>
      <c r="W7455" s="1"/>
      <c r="X7455" s="1"/>
      <c r="Y7455" s="1"/>
      <c r="Z7455" s="1"/>
      <c r="AA7455" s="1"/>
      <c r="AB7455" s="1"/>
    </row>
    <row r="7456" ht="50.25" customHeight="1">
      <c r="A7456" s="12">
        <v>7452.0</v>
      </c>
      <c r="B7456" s="13" t="s">
        <v>7028</v>
      </c>
      <c r="C7456" s="14" t="s">
        <v>7480</v>
      </c>
      <c r="D7456" s="1"/>
      <c r="E7456" s="1"/>
      <c r="F7456" s="1" t="str">
        <f>IFERROR(__xludf.DUMMYFUNCTION("GOOGLETRANSLATE(B7456, ""en"", ""fa"")
"),"موفقیت در ای بی")</f>
        <v>موفقیت در ای بی</v>
      </c>
      <c r="G7456" s="1" t="str">
        <f>IFERROR(__xludf.DUMMYFUNCTION("GOOGLETRANSLATE(C7456, ""en"", ""fa"")
"),"چگونه می توانم از ابزارها و فناوری های اتوماسیون برای ساده کردن فرآیندها و مقیاس عملیات در eBay استفاده کنم؟")</f>
        <v>چگونه می توانم از ابزارها و فناوری های اتوماسیون برای ساده کردن فرآیندها و مقیاس عملیات در eBay استفاده کنم؟</v>
      </c>
      <c r="H7456" s="1"/>
      <c r="I7456" s="1"/>
      <c r="J7456" s="1"/>
      <c r="K7456" s="1"/>
      <c r="L7456" s="1"/>
      <c r="M7456" s="1"/>
      <c r="N7456" s="1"/>
      <c r="O7456" s="1"/>
      <c r="P7456" s="1"/>
      <c r="Q7456" s="1"/>
      <c r="R7456" s="1"/>
      <c r="S7456" s="1"/>
      <c r="T7456" s="1"/>
      <c r="U7456" s="1"/>
      <c r="V7456" s="1"/>
      <c r="W7456" s="1"/>
      <c r="X7456" s="1"/>
      <c r="Y7456" s="1"/>
      <c r="Z7456" s="1"/>
      <c r="AA7456" s="1"/>
      <c r="AB7456" s="1"/>
    </row>
    <row r="7457" ht="50.25" customHeight="1">
      <c r="A7457" s="12">
        <v>7453.0</v>
      </c>
      <c r="B7457" s="13" t="s">
        <v>7028</v>
      </c>
      <c r="C7457" s="14" t="s">
        <v>7481</v>
      </c>
      <c r="D7457" s="1"/>
      <c r="E7457" s="1"/>
      <c r="F7457" s="1" t="str">
        <f>IFERROR(__xludf.DUMMYFUNCTION("GOOGLETRANSLATE(B7457, ""en"", ""fa"")
"),"موفقیت در ای بی")</f>
        <v>موفقیت در ای بی</v>
      </c>
      <c r="G7457" s="1" t="str">
        <f>IFERROR(__xludf.DUMMYFUNCTION("GOOGLETRANSLATE(C7457, ""en"", ""fa"")
"),"عناصر کلیدی یک استراتژی مدیریت زنجیره تامین قوی برای حمایت از گسترش کسب و کار در eBay چیست؟")</f>
        <v>عناصر کلیدی یک استراتژی مدیریت زنجیره تامین قوی برای حمایت از گسترش کسب و کار در eBay چیست؟</v>
      </c>
      <c r="H7457" s="1"/>
      <c r="I7457" s="1"/>
      <c r="J7457" s="1"/>
      <c r="K7457" s="1"/>
      <c r="L7457" s="1"/>
      <c r="M7457" s="1"/>
      <c r="N7457" s="1"/>
      <c r="O7457" s="1"/>
      <c r="P7457" s="1"/>
      <c r="Q7457" s="1"/>
      <c r="R7457" s="1"/>
      <c r="S7457" s="1"/>
      <c r="T7457" s="1"/>
      <c r="U7457" s="1"/>
      <c r="V7457" s="1"/>
      <c r="W7457" s="1"/>
      <c r="X7457" s="1"/>
      <c r="Y7457" s="1"/>
      <c r="Z7457" s="1"/>
      <c r="AA7457" s="1"/>
      <c r="AB7457" s="1"/>
    </row>
    <row r="7458" ht="50.25" customHeight="1">
      <c r="A7458" s="12">
        <v>7454.0</v>
      </c>
      <c r="B7458" s="13" t="s">
        <v>7028</v>
      </c>
      <c r="C7458" s="14" t="s">
        <v>7482</v>
      </c>
      <c r="D7458" s="1"/>
      <c r="E7458" s="1"/>
      <c r="F7458" s="1" t="str">
        <f>IFERROR(__xludf.DUMMYFUNCTION("GOOGLETRANSLATE(B7458, ""en"", ""fa"")
"),"موفقیت در ای بی")</f>
        <v>موفقیت در ای بی</v>
      </c>
      <c r="G7458" s="1" t="str">
        <f>IFERROR(__xludf.DUMMYFUNCTION("GOOGLETRANSLATE(C7458, ""en"", ""fa"")
"),"چگونه می توانم پیش بینی و تکمیل موجودی را به طور فعال مدیریت کنم تا با افزایش تقاضا در بازار eBay پاسخگوی باشم؟")</f>
        <v>چگونه می توانم پیش بینی و تکمیل موجودی را به طور فعال مدیریت کنم تا با افزایش تقاضا در بازار eBay پاسخگوی باشم؟</v>
      </c>
      <c r="H7458" s="1"/>
      <c r="I7458" s="1"/>
      <c r="J7458" s="1"/>
      <c r="K7458" s="1"/>
      <c r="L7458" s="1"/>
      <c r="M7458" s="1"/>
      <c r="N7458" s="1"/>
      <c r="O7458" s="1"/>
      <c r="P7458" s="1"/>
      <c r="Q7458" s="1"/>
      <c r="R7458" s="1"/>
      <c r="S7458" s="1"/>
      <c r="T7458" s="1"/>
      <c r="U7458" s="1"/>
      <c r="V7458" s="1"/>
      <c r="W7458" s="1"/>
      <c r="X7458" s="1"/>
      <c r="Y7458" s="1"/>
      <c r="Z7458" s="1"/>
      <c r="AA7458" s="1"/>
      <c r="AB7458" s="1"/>
    </row>
    <row r="7459" ht="50.25" customHeight="1">
      <c r="A7459" s="12">
        <v>7455.0</v>
      </c>
      <c r="B7459" s="13" t="s">
        <v>7028</v>
      </c>
      <c r="C7459" s="14" t="s">
        <v>7483</v>
      </c>
      <c r="D7459" s="1"/>
      <c r="E7459" s="1"/>
      <c r="F7459" s="1" t="str">
        <f>IFERROR(__xludf.DUMMYFUNCTION("GOOGLETRANSLATE(B7459, ""en"", ""fa"")
"),"موفقیت در ای بی")</f>
        <v>موفقیت در ای بی</v>
      </c>
      <c r="G7459" s="1" t="str">
        <f>IFERROR(__xludf.DUMMYFUNCTION("GOOGLETRANSLATE(C7459, ""en"", ""fa"")
"),"چه استراتژی هایی را می توانم برای گسترش دسترسی و دیده شدن محصول از طریق تکنیک های بهینه سازی موتور جستجوی استراتژیک (SEO) در eBay به کار بگیرم؟")</f>
        <v>چه استراتژی هایی را می توانم برای گسترش دسترسی و دیده شدن محصول از طریق تکنیک های بهینه سازی موتور جستجوی استراتژیک (SEO) در eBay به کار بگیرم؟</v>
      </c>
      <c r="H7459" s="1"/>
      <c r="I7459" s="1"/>
      <c r="J7459" s="1"/>
      <c r="K7459" s="1"/>
      <c r="L7459" s="1"/>
      <c r="M7459" s="1"/>
      <c r="N7459" s="1"/>
      <c r="O7459" s="1"/>
      <c r="P7459" s="1"/>
      <c r="Q7459" s="1"/>
      <c r="R7459" s="1"/>
      <c r="S7459" s="1"/>
      <c r="T7459" s="1"/>
      <c r="U7459" s="1"/>
      <c r="V7459" s="1"/>
      <c r="W7459" s="1"/>
      <c r="X7459" s="1"/>
      <c r="Y7459" s="1"/>
      <c r="Z7459" s="1"/>
      <c r="AA7459" s="1"/>
      <c r="AB7459" s="1"/>
    </row>
    <row r="7460" ht="50.25" customHeight="1">
      <c r="A7460" s="12">
        <v>7456.0</v>
      </c>
      <c r="B7460" s="13" t="s">
        <v>7028</v>
      </c>
      <c r="C7460" s="14" t="s">
        <v>7484</v>
      </c>
      <c r="D7460" s="1"/>
      <c r="E7460" s="1"/>
      <c r="F7460" s="1" t="str">
        <f>IFERROR(__xludf.DUMMYFUNCTION("GOOGLETRANSLATE(B7460, ""en"", ""fa"")
"),"موفقیت در ای بی")</f>
        <v>موفقیت در ای بی</v>
      </c>
      <c r="G7460" s="1" t="str">
        <f>IFERROR(__xludf.DUMMYFUNCTION("GOOGLETRANSLATE(C7460, ""en"", ""fa"")
"),"چگونه می توانم فروشگاه eBay خود را برای مدیریت افزایش ترافیک و حجم فروش در مقیاس کسب و کار بهینه کنم؟")</f>
        <v>چگونه می توانم فروشگاه eBay خود را برای مدیریت افزایش ترافیک و حجم فروش در مقیاس کسب و کار بهینه کنم؟</v>
      </c>
      <c r="H7460" s="1"/>
      <c r="I7460" s="1"/>
      <c r="J7460" s="1"/>
      <c r="K7460" s="1"/>
      <c r="L7460" s="1"/>
      <c r="M7460" s="1"/>
      <c r="N7460" s="1"/>
      <c r="O7460" s="1"/>
      <c r="P7460" s="1"/>
      <c r="Q7460" s="1"/>
      <c r="R7460" s="1"/>
      <c r="S7460" s="1"/>
      <c r="T7460" s="1"/>
      <c r="U7460" s="1"/>
      <c r="V7460" s="1"/>
      <c r="W7460" s="1"/>
      <c r="X7460" s="1"/>
      <c r="Y7460" s="1"/>
      <c r="Z7460" s="1"/>
      <c r="AA7460" s="1"/>
      <c r="AB7460" s="1"/>
    </row>
    <row r="7461" ht="50.25" customHeight="1">
      <c r="A7461" s="12">
        <v>7457.0</v>
      </c>
      <c r="B7461" s="13" t="s">
        <v>7028</v>
      </c>
      <c r="C7461" s="14" t="s">
        <v>7485</v>
      </c>
      <c r="D7461" s="1"/>
      <c r="E7461" s="1"/>
      <c r="F7461" s="1" t="str">
        <f>IFERROR(__xludf.DUMMYFUNCTION("GOOGLETRANSLATE(B7461, ""en"", ""fa"")
"),"موفقیت در ای بی")</f>
        <v>موفقیت در ای بی</v>
      </c>
      <c r="G7461" s="1" t="str">
        <f>IFERROR(__xludf.DUMMYFUNCTION("GOOGLETRANSLATE(C7461, ""en"", ""fa"")
"),"مزایای کاوش گزینه های جدید منبع یابی و تامین کنندگان برای حمایت از رشد کسب و کار در eBay چیست؟")</f>
        <v>مزایای کاوش گزینه های جدید منبع یابی و تامین کنندگان برای حمایت از رشد کسب و کار در eBay چیست؟</v>
      </c>
      <c r="H7461" s="1"/>
      <c r="I7461" s="1"/>
      <c r="J7461" s="1"/>
      <c r="K7461" s="1"/>
      <c r="L7461" s="1"/>
      <c r="M7461" s="1"/>
      <c r="N7461" s="1"/>
      <c r="O7461" s="1"/>
      <c r="P7461" s="1"/>
      <c r="Q7461" s="1"/>
      <c r="R7461" s="1"/>
      <c r="S7461" s="1"/>
      <c r="T7461" s="1"/>
      <c r="U7461" s="1"/>
      <c r="V7461" s="1"/>
      <c r="W7461" s="1"/>
      <c r="X7461" s="1"/>
      <c r="Y7461" s="1"/>
      <c r="Z7461" s="1"/>
      <c r="AA7461" s="1"/>
      <c r="AB7461" s="1"/>
    </row>
    <row r="7462" ht="50.25" customHeight="1">
      <c r="A7462" s="12">
        <v>7458.0</v>
      </c>
      <c r="B7462" s="13" t="s">
        <v>7028</v>
      </c>
      <c r="C7462" s="14" t="s">
        <v>7486</v>
      </c>
      <c r="D7462" s="1"/>
      <c r="E7462" s="1"/>
      <c r="F7462" s="1" t="str">
        <f>IFERROR(__xludf.DUMMYFUNCTION("GOOGLETRANSLATE(B7462, ""en"", ""fa"")
"),"موفقیت در ای بی")</f>
        <v>موفقیت در ای بی</v>
      </c>
      <c r="G7462" s="1" t="str">
        <f>IFERROR(__xludf.DUMMYFUNCTION("GOOGLETRANSLATE(C7462, ""en"", ""fa"")
"),"چگونه می توانم به طور موثر از داده ها و بینش های مشتری برای شخصی سازی تلاش های بازاریابی و انجام خریدهای تکراری در طول فرآیند مقیاس گذاری در eBay استفاده کنم؟")</f>
        <v>چگونه می توانم به طور موثر از داده ها و بینش های مشتری برای شخصی سازی تلاش های بازاریابی و انجام خریدهای تکراری در طول فرآیند مقیاس گذاری در eBay استفاده کنم؟</v>
      </c>
      <c r="H7462" s="1"/>
      <c r="I7462" s="1"/>
      <c r="J7462" s="1"/>
      <c r="K7462" s="1"/>
      <c r="L7462" s="1"/>
      <c r="M7462" s="1"/>
      <c r="N7462" s="1"/>
      <c r="O7462" s="1"/>
      <c r="P7462" s="1"/>
      <c r="Q7462" s="1"/>
      <c r="R7462" s="1"/>
      <c r="S7462" s="1"/>
      <c r="T7462" s="1"/>
      <c r="U7462" s="1"/>
      <c r="V7462" s="1"/>
      <c r="W7462" s="1"/>
      <c r="X7462" s="1"/>
      <c r="Y7462" s="1"/>
      <c r="Z7462" s="1"/>
      <c r="AA7462" s="1"/>
      <c r="AB7462" s="1"/>
    </row>
    <row r="7463" ht="50.25" customHeight="1">
      <c r="A7463" s="12">
        <v>7459.0</v>
      </c>
      <c r="B7463" s="13" t="s">
        <v>7028</v>
      </c>
      <c r="C7463" s="14" t="s">
        <v>7487</v>
      </c>
      <c r="D7463" s="1"/>
      <c r="E7463" s="1"/>
      <c r="F7463" s="1" t="str">
        <f>IFERROR(__xludf.DUMMYFUNCTION("GOOGLETRANSLATE(B7463, ""en"", ""fa"")
"),"موفقیت در ای بی")</f>
        <v>موفقیت در ای بی</v>
      </c>
      <c r="G7463" s="1" t="str">
        <f>IFERROR(__xludf.DUMMYFUNCTION("GOOGLETRANSLATE(C7463, ""en"", ""fa"")
"),"از چه استراتژی هایی می توانم برای پیاده سازی سیستم های مدیریت سفارش و انجام کارآمد برای پشتیبانی از گسترش کسب و کار در eBay استفاده کنم؟")</f>
        <v>از چه استراتژی هایی می توانم برای پیاده سازی سیستم های مدیریت سفارش و انجام کارآمد برای پشتیبانی از گسترش کسب و کار در eBay استفاده کنم؟</v>
      </c>
      <c r="H7463" s="1"/>
      <c r="I7463" s="1"/>
      <c r="J7463" s="1"/>
      <c r="K7463" s="1"/>
      <c r="L7463" s="1"/>
      <c r="M7463" s="1"/>
      <c r="N7463" s="1"/>
      <c r="O7463" s="1"/>
      <c r="P7463" s="1"/>
      <c r="Q7463" s="1"/>
      <c r="R7463" s="1"/>
      <c r="S7463" s="1"/>
      <c r="T7463" s="1"/>
      <c r="U7463" s="1"/>
      <c r="V7463" s="1"/>
      <c r="W7463" s="1"/>
      <c r="X7463" s="1"/>
      <c r="Y7463" s="1"/>
      <c r="Z7463" s="1"/>
      <c r="AA7463" s="1"/>
      <c r="AB7463" s="1"/>
    </row>
    <row r="7464" ht="50.25" customHeight="1">
      <c r="A7464" s="12">
        <v>7460.0</v>
      </c>
      <c r="B7464" s="13" t="s">
        <v>7028</v>
      </c>
      <c r="C7464" s="14" t="s">
        <v>7488</v>
      </c>
      <c r="D7464" s="1"/>
      <c r="E7464" s="1"/>
      <c r="F7464" s="1" t="str">
        <f>IFERROR(__xludf.DUMMYFUNCTION("GOOGLETRANSLATE(B7464, ""en"", ""fa"")
"),"موفقیت در ای بی")</f>
        <v>موفقیت در ای بی</v>
      </c>
      <c r="G7464" s="1" t="str">
        <f>IFERROR(__xludf.DUMMYFUNCTION("GOOGLETRANSLATE(C7464, ""en"", ""fa"")
"),"چگونه می توانم از بازخورد و نظرات مشتریان برای بهبود پیشنهادات محصول و رضایت مشتری در مقیاس تجاری در eBay استفاده کنم؟")</f>
        <v>چگونه می توانم از بازخورد و نظرات مشتریان برای بهبود پیشنهادات محصول و رضایت مشتری در مقیاس تجاری در eBay استفاده کنم؟</v>
      </c>
      <c r="H7464" s="1"/>
      <c r="I7464" s="1"/>
      <c r="J7464" s="1"/>
      <c r="K7464" s="1"/>
      <c r="L7464" s="1"/>
      <c r="M7464" s="1"/>
      <c r="N7464" s="1"/>
      <c r="O7464" s="1"/>
      <c r="P7464" s="1"/>
      <c r="Q7464" s="1"/>
      <c r="R7464" s="1"/>
      <c r="S7464" s="1"/>
      <c r="T7464" s="1"/>
      <c r="U7464" s="1"/>
      <c r="V7464" s="1"/>
      <c r="W7464" s="1"/>
      <c r="X7464" s="1"/>
      <c r="Y7464" s="1"/>
      <c r="Z7464" s="1"/>
      <c r="AA7464" s="1"/>
      <c r="AB7464" s="1"/>
    </row>
    <row r="7465" ht="50.25" customHeight="1">
      <c r="A7465" s="12">
        <v>7461.0</v>
      </c>
      <c r="B7465" s="13" t="s">
        <v>7028</v>
      </c>
      <c r="C7465" s="14" t="s">
        <v>7489</v>
      </c>
      <c r="D7465" s="1"/>
      <c r="E7465" s="1"/>
      <c r="F7465" s="1" t="str">
        <f>IFERROR(__xludf.DUMMYFUNCTION("GOOGLETRANSLATE(B7465, ""en"", ""fa"")
"),"موفقیت در ای بی")</f>
        <v>موفقیت در ای بی</v>
      </c>
      <c r="G7465" s="1" t="str">
        <f>IFERROR(__xludf.DUMMYFUNCTION("GOOGLETRANSLATE(C7465, ""en"", ""fa"")
"),"ملاحظات کلیدی برای گسترش محصولات با برچسب خصوصی یا برند به عنوان بخشی از فرآیند مقیاس‌بندی کسب‌وکار در eBay چیست؟")</f>
        <v>ملاحظات کلیدی برای گسترش محصولات با برچسب خصوصی یا برند به عنوان بخشی از فرآیند مقیاس‌بندی کسب‌وکار در eBay چیست؟</v>
      </c>
      <c r="H7465" s="1"/>
      <c r="I7465" s="1"/>
      <c r="J7465" s="1"/>
      <c r="K7465" s="1"/>
      <c r="L7465" s="1"/>
      <c r="M7465" s="1"/>
      <c r="N7465" s="1"/>
      <c r="O7465" s="1"/>
      <c r="P7465" s="1"/>
      <c r="Q7465" s="1"/>
      <c r="R7465" s="1"/>
      <c r="S7465" s="1"/>
      <c r="T7465" s="1"/>
      <c r="U7465" s="1"/>
      <c r="V7465" s="1"/>
      <c r="W7465" s="1"/>
      <c r="X7465" s="1"/>
      <c r="Y7465" s="1"/>
      <c r="Z7465" s="1"/>
      <c r="AA7465" s="1"/>
      <c r="AB7465" s="1"/>
    </row>
    <row r="7466" ht="50.25" customHeight="1">
      <c r="A7466" s="12">
        <v>7462.0</v>
      </c>
      <c r="B7466" s="13" t="s">
        <v>7028</v>
      </c>
      <c r="C7466" s="14" t="s">
        <v>7490</v>
      </c>
      <c r="D7466" s="1"/>
      <c r="E7466" s="1"/>
      <c r="F7466" s="1" t="str">
        <f>IFERROR(__xludf.DUMMYFUNCTION("GOOGLETRANSLATE(B7466, ""en"", ""fa"")
"),"موفقیت در ای بی")</f>
        <v>موفقیت در ای بی</v>
      </c>
      <c r="G7466" s="1" t="str">
        <f>IFERROR(__xludf.DUMMYFUNCTION("GOOGLETRANSLATE(C7466, ""en"", ""fa"")
"),"چگونه می‌توانم فهرست‌های eBay خود را برای دستگاه‌های تلفن همراه بهینه کنم تا با گسترش کسب‌وکار، پایگاه مشتریان تلفن همراه رو به رشدی را جذب کنم؟")</f>
        <v>چگونه می‌توانم فهرست‌های eBay خود را برای دستگاه‌های تلفن همراه بهینه کنم تا با گسترش کسب‌وکار، پایگاه مشتریان تلفن همراه رو به رشدی را جذب کنم؟</v>
      </c>
      <c r="H7466" s="1"/>
      <c r="I7466" s="1"/>
      <c r="J7466" s="1"/>
      <c r="K7466" s="1"/>
      <c r="L7466" s="1"/>
      <c r="M7466" s="1"/>
      <c r="N7466" s="1"/>
      <c r="O7466" s="1"/>
      <c r="P7466" s="1"/>
      <c r="Q7466" s="1"/>
      <c r="R7466" s="1"/>
      <c r="S7466" s="1"/>
      <c r="T7466" s="1"/>
      <c r="U7466" s="1"/>
      <c r="V7466" s="1"/>
      <c r="W7466" s="1"/>
      <c r="X7466" s="1"/>
      <c r="Y7466" s="1"/>
      <c r="Z7466" s="1"/>
      <c r="AA7466" s="1"/>
      <c r="AB7466" s="1"/>
    </row>
    <row r="7467" ht="50.25" customHeight="1">
      <c r="A7467" s="12">
        <v>7463.0</v>
      </c>
      <c r="B7467" s="13" t="s">
        <v>7028</v>
      </c>
      <c r="C7467" s="14" t="s">
        <v>7491</v>
      </c>
      <c r="D7467" s="1"/>
      <c r="E7467" s="1"/>
      <c r="F7467" s="1" t="str">
        <f>IFERROR(__xludf.DUMMYFUNCTION("GOOGLETRANSLATE(B7467, ""en"", ""fa"")
"),"موفقیت در ای بی")</f>
        <v>موفقیت در ای بی</v>
      </c>
      <c r="G7467" s="1" t="str">
        <f>IFERROR(__xludf.DUMMYFUNCTION("GOOGLETRANSLATE(C7467, ""en"", ""fa"")
"),"چه استراتژی‌هایی را می‌توانم برای ساده‌سازی و مقیاس‌بندی تلاش‌های جذب مشتری از طریق کمپین‌های تبلیغاتی و بازاریابی هدفمند در eBay به کار بگیرم؟")</f>
        <v>چه استراتژی‌هایی را می‌توانم برای ساده‌سازی و مقیاس‌بندی تلاش‌های جذب مشتری از طریق کمپین‌های تبلیغاتی و بازاریابی هدفمند در eBay به کار بگیرم؟</v>
      </c>
      <c r="H7467" s="1"/>
      <c r="I7467" s="1"/>
      <c r="J7467" s="1"/>
      <c r="K7467" s="1"/>
      <c r="L7467" s="1"/>
      <c r="M7467" s="1"/>
      <c r="N7467" s="1"/>
      <c r="O7467" s="1"/>
      <c r="P7467" s="1"/>
      <c r="Q7467" s="1"/>
      <c r="R7467" s="1"/>
      <c r="S7467" s="1"/>
      <c r="T7467" s="1"/>
      <c r="U7467" s="1"/>
      <c r="V7467" s="1"/>
      <c r="W7467" s="1"/>
      <c r="X7467" s="1"/>
      <c r="Y7467" s="1"/>
      <c r="Z7467" s="1"/>
      <c r="AA7467" s="1"/>
      <c r="AB7467" s="1"/>
    </row>
    <row r="7468" ht="50.25" customHeight="1">
      <c r="A7468" s="12">
        <v>7464.0</v>
      </c>
      <c r="B7468" s="13" t="s">
        <v>7028</v>
      </c>
      <c r="C7468" s="14" t="s">
        <v>7492</v>
      </c>
      <c r="D7468" s="1"/>
      <c r="E7468" s="1"/>
      <c r="F7468" s="1" t="str">
        <f>IFERROR(__xludf.DUMMYFUNCTION("GOOGLETRANSLATE(B7468, ""en"", ""fa"")
"),"موفقیت در ای بی")</f>
        <v>موفقیت در ای بی</v>
      </c>
      <c r="G7468" s="1" t="str">
        <f>IFERROR(__xludf.DUMMYFUNCTION("GOOGLETRANSLATE(C7468, ""en"", ""fa"")
"),"چگونه می توانم به طور پیشگیرانه با موارد افزایش رقابت و اشباع بازار در مقیاس تجاری در eBay برخورد کنم؟")</f>
        <v>چگونه می توانم به طور پیشگیرانه با موارد افزایش رقابت و اشباع بازار در مقیاس تجاری در eBay برخورد کنم؟</v>
      </c>
      <c r="H7468" s="1"/>
      <c r="I7468" s="1"/>
      <c r="J7468" s="1"/>
      <c r="K7468" s="1"/>
      <c r="L7468" s="1"/>
      <c r="M7468" s="1"/>
      <c r="N7468" s="1"/>
      <c r="O7468" s="1"/>
      <c r="P7468" s="1"/>
      <c r="Q7468" s="1"/>
      <c r="R7468" s="1"/>
      <c r="S7468" s="1"/>
      <c r="T7468" s="1"/>
      <c r="U7468" s="1"/>
      <c r="V7468" s="1"/>
      <c r="W7468" s="1"/>
      <c r="X7468" s="1"/>
      <c r="Y7468" s="1"/>
      <c r="Z7468" s="1"/>
      <c r="AA7468" s="1"/>
      <c r="AB7468" s="1"/>
    </row>
    <row r="7469" ht="50.25" customHeight="1">
      <c r="A7469" s="12">
        <v>7465.0</v>
      </c>
      <c r="B7469" s="13" t="s">
        <v>7028</v>
      </c>
      <c r="C7469" s="14" t="s">
        <v>7493</v>
      </c>
      <c r="D7469" s="1"/>
      <c r="E7469" s="1"/>
      <c r="F7469" s="1" t="str">
        <f>IFERROR(__xludf.DUMMYFUNCTION("GOOGLETRANSLATE(B7469, ""en"", ""fa"")
"),"موفقیت در ای بی")</f>
        <v>موفقیت در ای بی</v>
      </c>
      <c r="G7469" s="1" t="str">
        <f>IFERROR(__xludf.DUMMYFUNCTION("GOOGLETRANSLATE(C7469, ""en"", ""fa"")
"),"مزایای اجرای برنامه ها یا پاداش های وفاداری مشتری برای تقویت تجارت تکراری و حمایت از رشد کسب و کار در eBay چیست؟")</f>
        <v>مزایای اجرای برنامه ها یا پاداش های وفاداری مشتری برای تقویت تجارت تکراری و حمایت از رشد کسب و کار در eBay چیست؟</v>
      </c>
      <c r="H7469" s="1"/>
      <c r="I7469" s="1"/>
      <c r="J7469" s="1"/>
      <c r="K7469" s="1"/>
      <c r="L7469" s="1"/>
      <c r="M7469" s="1"/>
      <c r="N7469" s="1"/>
      <c r="O7469" s="1"/>
      <c r="P7469" s="1"/>
      <c r="Q7469" s="1"/>
      <c r="R7469" s="1"/>
      <c r="S7469" s="1"/>
      <c r="T7469" s="1"/>
      <c r="U7469" s="1"/>
      <c r="V7469" s="1"/>
      <c r="W7469" s="1"/>
      <c r="X7469" s="1"/>
      <c r="Y7469" s="1"/>
      <c r="Z7469" s="1"/>
      <c r="AA7469" s="1"/>
      <c r="AB7469" s="1"/>
    </row>
    <row r="7470" ht="50.25" customHeight="1">
      <c r="A7470" s="12">
        <v>7466.0</v>
      </c>
      <c r="B7470" s="13" t="s">
        <v>7028</v>
      </c>
      <c r="C7470" s="14" t="s">
        <v>7494</v>
      </c>
      <c r="D7470" s="1"/>
      <c r="E7470" s="1"/>
      <c r="F7470" s="1" t="str">
        <f>IFERROR(__xludf.DUMMYFUNCTION("GOOGLETRANSLATE(B7470, ""en"", ""fa"")
"),"موفقیت در ای بی")</f>
        <v>موفقیت در ای بی</v>
      </c>
      <c r="G7470" s="1" t="str">
        <f>IFERROR(__xludf.DUMMYFUNCTION("GOOGLETRANSLATE(C7470, ""en"", ""fa"")
"),"چگونه می توانم فروشگاه eBay خود را برای فروش چند کاناله و ادغام با سایر پلتفرم های تجارت الکترونیکی برای گسترش فرصت های فروش بهینه کنم؟")</f>
        <v>چگونه می توانم فروشگاه eBay خود را برای فروش چند کاناله و ادغام با سایر پلتفرم های تجارت الکترونیکی برای گسترش فرصت های فروش بهینه کنم؟</v>
      </c>
      <c r="H7470" s="1"/>
      <c r="I7470" s="1"/>
      <c r="J7470" s="1"/>
      <c r="K7470" s="1"/>
      <c r="L7470" s="1"/>
      <c r="M7470" s="1"/>
      <c r="N7470" s="1"/>
      <c r="O7470" s="1"/>
      <c r="P7470" s="1"/>
      <c r="Q7470" s="1"/>
      <c r="R7470" s="1"/>
      <c r="S7470" s="1"/>
      <c r="T7470" s="1"/>
      <c r="U7470" s="1"/>
      <c r="V7470" s="1"/>
      <c r="W7470" s="1"/>
      <c r="X7470" s="1"/>
      <c r="Y7470" s="1"/>
      <c r="Z7470" s="1"/>
      <c r="AA7470" s="1"/>
      <c r="AB7470" s="1"/>
    </row>
    <row r="7471" ht="50.25" customHeight="1">
      <c r="A7471" s="12">
        <v>7467.0</v>
      </c>
      <c r="B7471" s="13" t="s">
        <v>7028</v>
      </c>
      <c r="C7471" s="14" t="s">
        <v>7495</v>
      </c>
      <c r="D7471" s="1"/>
      <c r="E7471" s="1"/>
      <c r="F7471" s="1" t="str">
        <f>IFERROR(__xludf.DUMMYFUNCTION("GOOGLETRANSLATE(B7471, ""en"", ""fa"")
"),"موفقیت در ای بی")</f>
        <v>موفقیت در ای بی</v>
      </c>
      <c r="G7471" s="1" t="str">
        <f>IFERROR(__xludf.DUMMYFUNCTION("GOOGLETRANSLATE(C7471, ""en"", ""fa"")
"),"از چه استراتژی هایی می توانم برای توسعه هویت برند و ایجاد یک حضور قوی برند در مقیاس تجاری در eBay استفاده کنم؟")</f>
        <v>از چه استراتژی هایی می توانم برای توسعه هویت برند و ایجاد یک حضور قوی برند در مقیاس تجاری در eBay استفاده کنم؟</v>
      </c>
      <c r="H7471" s="1"/>
      <c r="I7471" s="1"/>
      <c r="J7471" s="1"/>
      <c r="K7471" s="1"/>
      <c r="L7471" s="1"/>
      <c r="M7471" s="1"/>
      <c r="N7471" s="1"/>
      <c r="O7471" s="1"/>
      <c r="P7471" s="1"/>
      <c r="Q7471" s="1"/>
      <c r="R7471" s="1"/>
      <c r="S7471" s="1"/>
      <c r="T7471" s="1"/>
      <c r="U7471" s="1"/>
      <c r="V7471" s="1"/>
      <c r="W7471" s="1"/>
      <c r="X7471" s="1"/>
      <c r="Y7471" s="1"/>
      <c r="Z7471" s="1"/>
      <c r="AA7471" s="1"/>
      <c r="AB7471" s="1"/>
    </row>
    <row r="7472" ht="50.25" customHeight="1">
      <c r="A7472" s="12">
        <v>7468.0</v>
      </c>
      <c r="B7472" s="13" t="s">
        <v>7028</v>
      </c>
      <c r="C7472" s="14" t="s">
        <v>7496</v>
      </c>
      <c r="D7472" s="1"/>
      <c r="E7472" s="1"/>
      <c r="F7472" s="1" t="str">
        <f>IFERROR(__xludf.DUMMYFUNCTION("GOOGLETRANSLATE(B7472, ""en"", ""fa"")
"),"موفقیت در ای بی")</f>
        <v>موفقیت در ای بی</v>
      </c>
      <c r="G7472" s="1" t="str">
        <f>IFERROR(__xludf.DUMMYFUNCTION("GOOGLETRANSLATE(C7472, ""en"", ""fa"")
"),"چگونه می توانم به طور مؤثر عملیات انجام و حمل و نقل را برای برآورده کردن تقاضای افزایش یافته در eBay مدیریت و مقیاس دهم؟")</f>
        <v>چگونه می توانم به طور مؤثر عملیات انجام و حمل و نقل را برای برآورده کردن تقاضای افزایش یافته در eBay مدیریت و مقیاس دهم؟</v>
      </c>
      <c r="H7472" s="1"/>
      <c r="I7472" s="1"/>
      <c r="J7472" s="1"/>
      <c r="K7472" s="1"/>
      <c r="L7472" s="1"/>
      <c r="M7472" s="1"/>
      <c r="N7472" s="1"/>
      <c r="O7472" s="1"/>
      <c r="P7472" s="1"/>
      <c r="Q7472" s="1"/>
      <c r="R7472" s="1"/>
      <c r="S7472" s="1"/>
      <c r="T7472" s="1"/>
      <c r="U7472" s="1"/>
      <c r="V7472" s="1"/>
      <c r="W7472" s="1"/>
      <c r="X7472" s="1"/>
      <c r="Y7472" s="1"/>
      <c r="Z7472" s="1"/>
      <c r="AA7472" s="1"/>
      <c r="AB7472" s="1"/>
    </row>
    <row r="7473" ht="50.25" customHeight="1">
      <c r="A7473" s="12">
        <v>7469.0</v>
      </c>
      <c r="B7473" s="13" t="s">
        <v>7028</v>
      </c>
      <c r="C7473" s="14" t="s">
        <v>7497</v>
      </c>
      <c r="D7473" s="1"/>
      <c r="E7473" s="1"/>
      <c r="F7473" s="1" t="str">
        <f>IFERROR(__xludf.DUMMYFUNCTION("GOOGLETRANSLATE(B7473, ""en"", ""fa"")
"),"موفقیت در ای بی")</f>
        <v>موفقیت در ای بی</v>
      </c>
      <c r="G7473" s="1" t="str">
        <f>IFERROR(__xludf.DUMMYFUNCTION("GOOGLETRANSLATE(C7473, ""en"", ""fa"")
"),"ملاحظات کلیدی برای گسترش به خرید عمده یا عمده برای حمایت از رشد کسب و کار در eBay چیست؟")</f>
        <v>ملاحظات کلیدی برای گسترش به خرید عمده یا عمده برای حمایت از رشد کسب و کار در eBay چیست؟</v>
      </c>
      <c r="H7473" s="1"/>
      <c r="I7473" s="1"/>
      <c r="J7473" s="1"/>
      <c r="K7473" s="1"/>
      <c r="L7473" s="1"/>
      <c r="M7473" s="1"/>
      <c r="N7473" s="1"/>
      <c r="O7473" s="1"/>
      <c r="P7473" s="1"/>
      <c r="Q7473" s="1"/>
      <c r="R7473" s="1"/>
      <c r="S7473" s="1"/>
      <c r="T7473" s="1"/>
      <c r="U7473" s="1"/>
      <c r="V7473" s="1"/>
      <c r="W7473" s="1"/>
      <c r="X7473" s="1"/>
      <c r="Y7473" s="1"/>
      <c r="Z7473" s="1"/>
      <c r="AA7473" s="1"/>
      <c r="AB7473" s="1"/>
    </row>
    <row r="7474" ht="50.25" customHeight="1">
      <c r="A7474" s="12">
        <v>7470.0</v>
      </c>
      <c r="B7474" s="13" t="s">
        <v>7028</v>
      </c>
      <c r="C7474" s="14" t="s">
        <v>7498</v>
      </c>
      <c r="D7474" s="1"/>
      <c r="E7474" s="1"/>
      <c r="F7474" s="1" t="str">
        <f>IFERROR(__xludf.DUMMYFUNCTION("GOOGLETRANSLATE(B7474, ""en"", ""fa"")
"),"موفقیت در ای بی")</f>
        <v>موفقیت در ای بی</v>
      </c>
      <c r="G7474" s="1" t="str">
        <f>IFERROR(__xludf.DUMMYFUNCTION("GOOGLETRANSLATE(C7474, ""en"", ""fa"")
"),"چگونه می توانم از رسانه های اجتماعی و بازاریابی تأثیرگذار برای گسترش آگاهی از برند و دستیابی به مشتریان جدید در eBay استفاده کنم؟")</f>
        <v>چگونه می توانم از رسانه های اجتماعی و بازاریابی تأثیرگذار برای گسترش آگاهی از برند و دستیابی به مشتریان جدید در eBay استفاده کنم؟</v>
      </c>
      <c r="H7474" s="1"/>
      <c r="I7474" s="1"/>
      <c r="J7474" s="1"/>
      <c r="K7474" s="1"/>
      <c r="L7474" s="1"/>
      <c r="M7474" s="1"/>
      <c r="N7474" s="1"/>
      <c r="O7474" s="1"/>
      <c r="P7474" s="1"/>
      <c r="Q7474" s="1"/>
      <c r="R7474" s="1"/>
      <c r="S7474" s="1"/>
      <c r="T7474" s="1"/>
      <c r="U7474" s="1"/>
      <c r="V7474" s="1"/>
      <c r="W7474" s="1"/>
      <c r="X7474" s="1"/>
      <c r="Y7474" s="1"/>
      <c r="Z7474" s="1"/>
      <c r="AA7474" s="1"/>
      <c r="AB7474" s="1"/>
    </row>
    <row r="7475" ht="50.25" customHeight="1">
      <c r="A7475" s="12">
        <v>7471.0</v>
      </c>
      <c r="B7475" s="13" t="s">
        <v>7028</v>
      </c>
      <c r="C7475" s="14" t="s">
        <v>7499</v>
      </c>
      <c r="D7475" s="1"/>
      <c r="E7475" s="1"/>
      <c r="F7475" s="1" t="str">
        <f>IFERROR(__xludf.DUMMYFUNCTION("GOOGLETRANSLATE(B7475, ""en"", ""fa"")
"),"موفقیت در ای بی")</f>
        <v>موفقیت در ای بی</v>
      </c>
      <c r="G7475" s="1" t="str">
        <f>IFERROR(__xludf.DUMMYFUNCTION("GOOGLETRANSLATE(C7475, ""en"", ""fa"")
"),"چه استراتژی هایی را می توانم برای بهینه سازی حفظ مشتری و پرورش روابط بلندمدت به عنوان مقیاس های تجاری در eBay به کار بگیرم؟")</f>
        <v>چه استراتژی هایی را می توانم برای بهینه سازی حفظ مشتری و پرورش روابط بلندمدت به عنوان مقیاس های تجاری در eBay به کار بگیرم؟</v>
      </c>
      <c r="H7475" s="1"/>
      <c r="I7475" s="1"/>
      <c r="J7475" s="1"/>
      <c r="K7475" s="1"/>
      <c r="L7475" s="1"/>
      <c r="M7475" s="1"/>
      <c r="N7475" s="1"/>
      <c r="O7475" s="1"/>
      <c r="P7475" s="1"/>
      <c r="Q7475" s="1"/>
      <c r="R7475" s="1"/>
      <c r="S7475" s="1"/>
      <c r="T7475" s="1"/>
      <c r="U7475" s="1"/>
      <c r="V7475" s="1"/>
      <c r="W7475" s="1"/>
      <c r="X7475" s="1"/>
      <c r="Y7475" s="1"/>
      <c r="Z7475" s="1"/>
      <c r="AA7475" s="1"/>
      <c r="AB7475" s="1"/>
    </row>
    <row r="7476" ht="50.25" customHeight="1">
      <c r="A7476" s="12">
        <v>7472.0</v>
      </c>
      <c r="B7476" s="13" t="s">
        <v>7028</v>
      </c>
      <c r="C7476" s="14" t="s">
        <v>7500</v>
      </c>
      <c r="D7476" s="1"/>
      <c r="E7476" s="1"/>
      <c r="F7476" s="1" t="str">
        <f>IFERROR(__xludf.DUMMYFUNCTION("GOOGLETRANSLATE(B7476, ""en"", ""fa"")
"),"موفقیت در ای بی")</f>
        <v>موفقیت در ای بی</v>
      </c>
      <c r="G7476" s="1" t="str">
        <f>IFERROR(__xludf.DUMMYFUNCTION("GOOGLETRANSLATE(C7476, ""en"", ""fa"")
"),"چگونه می توانم به طور فعال با مواردی از اختلالات زنجیره تامین یا چالش های موجودی در طول فرآیند مقیاس گذاری در eBay رسیدگی کنم؟")</f>
        <v>چگونه می توانم به طور فعال با مواردی از اختلالات زنجیره تامین یا چالش های موجودی در طول فرآیند مقیاس گذاری در eBay رسیدگی کنم؟</v>
      </c>
      <c r="H7476" s="1"/>
      <c r="I7476" s="1"/>
      <c r="J7476" s="1"/>
      <c r="K7476" s="1"/>
      <c r="L7476" s="1"/>
      <c r="M7476" s="1"/>
      <c r="N7476" s="1"/>
      <c r="O7476" s="1"/>
      <c r="P7476" s="1"/>
      <c r="Q7476" s="1"/>
      <c r="R7476" s="1"/>
      <c r="S7476" s="1"/>
      <c r="T7476" s="1"/>
      <c r="U7476" s="1"/>
      <c r="V7476" s="1"/>
      <c r="W7476" s="1"/>
      <c r="X7476" s="1"/>
      <c r="Y7476" s="1"/>
      <c r="Z7476" s="1"/>
      <c r="AA7476" s="1"/>
      <c r="AB7476" s="1"/>
    </row>
    <row r="7477" ht="50.25" customHeight="1">
      <c r="A7477" s="12">
        <v>7473.0</v>
      </c>
      <c r="B7477" s="13" t="s">
        <v>7028</v>
      </c>
      <c r="C7477" s="14" t="s">
        <v>7501</v>
      </c>
      <c r="D7477" s="1"/>
      <c r="E7477" s="1"/>
      <c r="F7477" s="1" t="str">
        <f>IFERROR(__xludf.DUMMYFUNCTION("GOOGLETRANSLATE(B7477, ""en"", ""fa"")
"),"موفقیت در ای بی")</f>
        <v>موفقیت در ای بی</v>
      </c>
      <c r="G7477" s="1" t="str">
        <f>IFERROR(__xludf.DUMMYFUNCTION("GOOGLETRANSLATE(C7477, ""en"", ""fa"")
"),"مزایای کاوش در بازارهای جغرافیایی یا جمعیتی جدید برای گسترش پایگاه مشتری در eBay چیست؟")</f>
        <v>مزایای کاوش در بازارهای جغرافیایی یا جمعیتی جدید برای گسترش پایگاه مشتری در eBay چیست؟</v>
      </c>
      <c r="H7477" s="1"/>
      <c r="I7477" s="1"/>
      <c r="J7477" s="1"/>
      <c r="K7477" s="1"/>
      <c r="L7477" s="1"/>
      <c r="M7477" s="1"/>
      <c r="N7477" s="1"/>
      <c r="O7477" s="1"/>
      <c r="P7477" s="1"/>
      <c r="Q7477" s="1"/>
      <c r="R7477" s="1"/>
      <c r="S7477" s="1"/>
      <c r="T7477" s="1"/>
      <c r="U7477" s="1"/>
      <c r="V7477" s="1"/>
      <c r="W7477" s="1"/>
      <c r="X7477" s="1"/>
      <c r="Y7477" s="1"/>
      <c r="Z7477" s="1"/>
      <c r="AA7477" s="1"/>
      <c r="AB7477" s="1"/>
    </row>
    <row r="7478" ht="50.25" customHeight="1">
      <c r="A7478" s="12">
        <v>7474.0</v>
      </c>
      <c r="B7478" s="13" t="s">
        <v>7028</v>
      </c>
      <c r="C7478" s="14" t="s">
        <v>7502</v>
      </c>
      <c r="D7478" s="1"/>
      <c r="E7478" s="1"/>
      <c r="F7478" s="1" t="str">
        <f>IFERROR(__xludf.DUMMYFUNCTION("GOOGLETRANSLATE(B7478, ""en"", ""fa"")
"),"موفقیت در ای بی")</f>
        <v>موفقیت در ای بی</v>
      </c>
      <c r="G7478" s="1" t="str">
        <f>IFERROR(__xludf.DUMMYFUNCTION("GOOGLETRANSLATE(C7478, ""en"", ""fa"")
"),"چگونه می توانم فروشگاه eBay خود را برای فرصت های فروش متقابل و افزایش فروش بهینه کنم تا میانگین ارزش سفارش را در مقیاس کسب و کار به حداکثر برسانم؟")</f>
        <v>چگونه می توانم فروشگاه eBay خود را برای فرصت های فروش متقابل و افزایش فروش بهینه کنم تا میانگین ارزش سفارش را در مقیاس کسب و کار به حداکثر برسانم؟</v>
      </c>
      <c r="H7478" s="1"/>
      <c r="I7478" s="1"/>
      <c r="J7478" s="1"/>
      <c r="K7478" s="1"/>
      <c r="L7478" s="1"/>
      <c r="M7478" s="1"/>
      <c r="N7478" s="1"/>
      <c r="O7478" s="1"/>
      <c r="P7478" s="1"/>
      <c r="Q7478" s="1"/>
      <c r="R7478" s="1"/>
      <c r="S7478" s="1"/>
      <c r="T7478" s="1"/>
      <c r="U7478" s="1"/>
      <c r="V7478" s="1"/>
      <c r="W7478" s="1"/>
      <c r="X7478" s="1"/>
      <c r="Y7478" s="1"/>
      <c r="Z7478" s="1"/>
      <c r="AA7478" s="1"/>
      <c r="AB7478" s="1"/>
    </row>
    <row r="7479" ht="50.25" customHeight="1">
      <c r="A7479" s="12">
        <v>7475.0</v>
      </c>
      <c r="B7479" s="13" t="s">
        <v>7028</v>
      </c>
      <c r="C7479" s="14" t="s">
        <v>7503</v>
      </c>
      <c r="D7479" s="1"/>
      <c r="E7479" s="1"/>
      <c r="F7479" s="1" t="str">
        <f>IFERROR(__xludf.DUMMYFUNCTION("GOOGLETRANSLATE(B7479, ""en"", ""fa"")
"),"موفقیت در ای بی")</f>
        <v>موفقیت در ای بی</v>
      </c>
      <c r="G7479" s="1" t="str">
        <f>IFERROR(__xludf.DUMMYFUNCTION("GOOGLETRANSLATE(C7479, ""en"", ""fa"")
"),"از چه استراتژی هایی می توانم برای اجرای استراتژی های قیمت گذاری موثر و تبلیغات برای حمایت از رشد کسب و کار در eBay استفاده کنم؟")</f>
        <v>از چه استراتژی هایی می توانم برای اجرای استراتژی های قیمت گذاری موثر و تبلیغات برای حمایت از رشد کسب و کار در eBay استفاده کنم؟</v>
      </c>
      <c r="H7479" s="1"/>
      <c r="I7479" s="1"/>
      <c r="J7479" s="1"/>
      <c r="K7479" s="1"/>
      <c r="L7479" s="1"/>
      <c r="M7479" s="1"/>
      <c r="N7479" s="1"/>
      <c r="O7479" s="1"/>
      <c r="P7479" s="1"/>
      <c r="Q7479" s="1"/>
      <c r="R7479" s="1"/>
      <c r="S7479" s="1"/>
      <c r="T7479" s="1"/>
      <c r="U7479" s="1"/>
      <c r="V7479" s="1"/>
      <c r="W7479" s="1"/>
      <c r="X7479" s="1"/>
      <c r="Y7479" s="1"/>
      <c r="Z7479" s="1"/>
      <c r="AA7479" s="1"/>
      <c r="AB7479" s="1"/>
    </row>
    <row r="7480" ht="50.25" customHeight="1">
      <c r="A7480" s="12">
        <v>7476.0</v>
      </c>
      <c r="B7480" s="13" t="s">
        <v>7028</v>
      </c>
      <c r="C7480" s="14" t="s">
        <v>7504</v>
      </c>
      <c r="D7480" s="1"/>
      <c r="E7480" s="1"/>
      <c r="F7480" s="1" t="str">
        <f>IFERROR(__xludf.DUMMYFUNCTION("GOOGLETRANSLATE(B7480, ""en"", ""fa"")
"),"موفقیت در ای بی")</f>
        <v>موفقیت در ای بی</v>
      </c>
      <c r="G7480" s="1" t="str">
        <f>IFERROR(__xludf.DUMMYFUNCTION("GOOGLETRANSLATE(C7480, ""en"", ""fa"")
"),"چگونه می توانم کمپین های بازاریابی را در چندین کانال به طور موثر مدیریت و مقیاس دهم تا به مخاطبان گسترده تری در eBay دست یابم؟")</f>
        <v>چگونه می توانم کمپین های بازاریابی را در چندین کانال به طور موثر مدیریت و مقیاس دهم تا به مخاطبان گسترده تری در eBay دست یابم؟</v>
      </c>
      <c r="H7480" s="1"/>
      <c r="I7480" s="1"/>
      <c r="J7480" s="1"/>
      <c r="K7480" s="1"/>
      <c r="L7480" s="1"/>
      <c r="M7480" s="1"/>
      <c r="N7480" s="1"/>
      <c r="O7480" s="1"/>
      <c r="P7480" s="1"/>
      <c r="Q7480" s="1"/>
      <c r="R7480" s="1"/>
      <c r="S7480" s="1"/>
      <c r="T7480" s="1"/>
      <c r="U7480" s="1"/>
      <c r="V7480" s="1"/>
      <c r="W7480" s="1"/>
      <c r="X7480" s="1"/>
      <c r="Y7480" s="1"/>
      <c r="Z7480" s="1"/>
      <c r="AA7480" s="1"/>
      <c r="AB7480" s="1"/>
    </row>
    <row r="7481" ht="50.25" customHeight="1">
      <c r="A7481" s="12">
        <v>7477.0</v>
      </c>
      <c r="B7481" s="13" t="s">
        <v>7028</v>
      </c>
      <c r="C7481" s="14" t="s">
        <v>7505</v>
      </c>
      <c r="D7481" s="1"/>
      <c r="E7481" s="1"/>
      <c r="F7481" s="1" t="str">
        <f>IFERROR(__xludf.DUMMYFUNCTION("GOOGLETRANSLATE(B7481, ""en"", ""fa"")
"),"موفقیت در ای بی")</f>
        <v>موفقیت در ای بی</v>
      </c>
      <c r="G7481" s="1" t="str">
        <f>IFERROR(__xludf.DUMMYFUNCTION("GOOGLETRANSLATE(C7481, ""en"", ""fa"")
"),"ملاحظات کلیدی برای گسترش به اجرای آمازون (FBA) یا سایر گزینه‌های تحقق شخص ثالث در مقیاس تجاری در eBay چیست؟")</f>
        <v>ملاحظات کلیدی برای گسترش به اجرای آمازون (FBA) یا سایر گزینه‌های تحقق شخص ثالث در مقیاس تجاری در eBay چیست؟</v>
      </c>
      <c r="H7481" s="1"/>
      <c r="I7481" s="1"/>
      <c r="J7481" s="1"/>
      <c r="K7481" s="1"/>
      <c r="L7481" s="1"/>
      <c r="M7481" s="1"/>
      <c r="N7481" s="1"/>
      <c r="O7481" s="1"/>
      <c r="P7481" s="1"/>
      <c r="Q7481" s="1"/>
      <c r="R7481" s="1"/>
      <c r="S7481" s="1"/>
      <c r="T7481" s="1"/>
      <c r="U7481" s="1"/>
      <c r="V7481" s="1"/>
      <c r="W7481" s="1"/>
      <c r="X7481" s="1"/>
      <c r="Y7481" s="1"/>
      <c r="Z7481" s="1"/>
      <c r="AA7481" s="1"/>
      <c r="AB7481" s="1"/>
    </row>
    <row r="7482" ht="50.25" customHeight="1">
      <c r="A7482" s="12">
        <v>7478.0</v>
      </c>
      <c r="B7482" s="13" t="s">
        <v>7028</v>
      </c>
      <c r="C7482" s="14" t="s">
        <v>7506</v>
      </c>
      <c r="D7482" s="1"/>
      <c r="E7482" s="1"/>
      <c r="F7482" s="1" t="str">
        <f>IFERROR(__xludf.DUMMYFUNCTION("GOOGLETRANSLATE(B7482, ""en"", ""fa"")
"),"موفقیت در ای بی")</f>
        <v>موفقیت در ای بی</v>
      </c>
      <c r="G7482" s="1" t="str">
        <f>IFERROR(__xludf.DUMMYFUNCTION("GOOGLETRANSLATE(C7482, ""en"", ""fa"")
"),"چگونه می توانم از ارجاع مشتری و بازاریابی دهان به دهان برای گسترش پایگاه مشتری و رشد ارگانیک در eBay استفاده کنم؟")</f>
        <v>چگونه می توانم از ارجاع مشتری و بازاریابی دهان به دهان برای گسترش پایگاه مشتری و رشد ارگانیک در eBay استفاده کنم؟</v>
      </c>
      <c r="H7482" s="1"/>
      <c r="I7482" s="1"/>
      <c r="J7482" s="1"/>
      <c r="K7482" s="1"/>
      <c r="L7482" s="1"/>
      <c r="M7482" s="1"/>
      <c r="N7482" s="1"/>
      <c r="O7482" s="1"/>
      <c r="P7482" s="1"/>
      <c r="Q7482" s="1"/>
      <c r="R7482" s="1"/>
      <c r="S7482" s="1"/>
      <c r="T7482" s="1"/>
      <c r="U7482" s="1"/>
      <c r="V7482" s="1"/>
      <c r="W7482" s="1"/>
      <c r="X7482" s="1"/>
      <c r="Y7482" s="1"/>
      <c r="Z7482" s="1"/>
      <c r="AA7482" s="1"/>
      <c r="AB7482" s="1"/>
    </row>
    <row r="7483" ht="50.25" customHeight="1">
      <c r="A7483" s="12">
        <v>7479.0</v>
      </c>
      <c r="B7483" s="13" t="s">
        <v>7028</v>
      </c>
      <c r="C7483" s="14" t="s">
        <v>7507</v>
      </c>
      <c r="D7483" s="1"/>
      <c r="E7483" s="1"/>
      <c r="F7483" s="1" t="str">
        <f>IFERROR(__xludf.DUMMYFUNCTION("GOOGLETRANSLATE(B7483, ""en"", ""fa"")
"),"موفقیت در ای بی")</f>
        <v>موفقیت در ای بی</v>
      </c>
      <c r="G7483" s="1" t="str">
        <f>IFERROR(__xludf.DUMMYFUNCTION("GOOGLETRANSLATE(C7483, ""en"", ""fa"")
"),"چه استراتژی‌هایی را می‌توانم برای بهینه‌سازی بسته‌بندی و ارائه محصول برای ایجاد یک تجربه جعبه‌گشایی به یاد ماندنی برای مشتریان در مقیاس تجاری در eBay به کار بگیرم؟")</f>
        <v>چه استراتژی‌هایی را می‌توانم برای بهینه‌سازی بسته‌بندی و ارائه محصول برای ایجاد یک تجربه جعبه‌گشایی به یاد ماندنی برای مشتریان در مقیاس تجاری در eBay به کار بگیرم؟</v>
      </c>
      <c r="H7483" s="1"/>
      <c r="I7483" s="1"/>
      <c r="J7483" s="1"/>
      <c r="K7483" s="1"/>
      <c r="L7483" s="1"/>
      <c r="M7483" s="1"/>
      <c r="N7483" s="1"/>
      <c r="O7483" s="1"/>
      <c r="P7483" s="1"/>
      <c r="Q7483" s="1"/>
      <c r="R7483" s="1"/>
      <c r="S7483" s="1"/>
      <c r="T7483" s="1"/>
      <c r="U7483" s="1"/>
      <c r="V7483" s="1"/>
      <c r="W7483" s="1"/>
      <c r="X7483" s="1"/>
      <c r="Y7483" s="1"/>
      <c r="Z7483" s="1"/>
      <c r="AA7483" s="1"/>
      <c r="AB7483" s="1"/>
    </row>
    <row r="7484" ht="50.25" customHeight="1">
      <c r="A7484" s="12">
        <v>7480.0</v>
      </c>
      <c r="B7484" s="13" t="s">
        <v>7028</v>
      </c>
      <c r="C7484" s="14" t="s">
        <v>7508</v>
      </c>
      <c r="D7484" s="1"/>
      <c r="E7484" s="1"/>
      <c r="F7484" s="1" t="str">
        <f>IFERROR(__xludf.DUMMYFUNCTION("GOOGLETRANSLATE(B7484, ""en"", ""fa"")
"),"موفقیت در ای بی")</f>
        <v>موفقیت در ای بی</v>
      </c>
      <c r="G7484" s="1" t="str">
        <f>IFERROR(__xludf.DUMMYFUNCTION("GOOGLETRANSLATE(C7484, ""en"", ""fa"")
"),"چگونه می توانم به طور فعال با مواردی از افزایش درخواست های مشتری و درخواست های پشتیبانی با گسترش تجارت در eBay رسیدگی کنم؟")</f>
        <v>چگونه می توانم به طور فعال با مواردی از افزایش درخواست های مشتری و درخواست های پشتیبانی با گسترش تجارت در eBay رسیدگی کنم؟</v>
      </c>
      <c r="H7484" s="1"/>
      <c r="I7484" s="1"/>
      <c r="J7484" s="1"/>
      <c r="K7484" s="1"/>
      <c r="L7484" s="1"/>
      <c r="M7484" s="1"/>
      <c r="N7484" s="1"/>
      <c r="O7484" s="1"/>
      <c r="P7484" s="1"/>
      <c r="Q7484" s="1"/>
      <c r="R7484" s="1"/>
      <c r="S7484" s="1"/>
      <c r="T7484" s="1"/>
      <c r="U7484" s="1"/>
      <c r="V7484" s="1"/>
      <c r="W7484" s="1"/>
      <c r="X7484" s="1"/>
      <c r="Y7484" s="1"/>
      <c r="Z7484" s="1"/>
      <c r="AA7484" s="1"/>
      <c r="AB7484" s="1"/>
    </row>
    <row r="7485" ht="50.25" customHeight="1">
      <c r="A7485" s="12">
        <v>7481.0</v>
      </c>
      <c r="B7485" s="13" t="s">
        <v>7028</v>
      </c>
      <c r="C7485" s="14" t="s">
        <v>7509</v>
      </c>
      <c r="D7485" s="1"/>
      <c r="E7485" s="1"/>
      <c r="F7485" s="1" t="str">
        <f>IFERROR(__xludf.DUMMYFUNCTION("GOOGLETRANSLATE(B7485, ""en"", ""fa"")
"),"موفقیت در ای بی")</f>
        <v>موفقیت در ای بی</v>
      </c>
      <c r="G7485" s="1" t="str">
        <f>IFERROR(__xludf.DUMMYFUNCTION("GOOGLETRANSLATE(C7485, ""en"", ""fa"")
"),"مزایای کاوش در مشارکت های عمده فروشی یا ترتیبات dropshipping برای حمایت از رشد کسب و کار در eBay چیست؟")</f>
        <v>مزایای کاوش در مشارکت های عمده فروشی یا ترتیبات dropshipping برای حمایت از رشد کسب و کار در eBay چیست؟</v>
      </c>
      <c r="H7485" s="1"/>
      <c r="I7485" s="1"/>
      <c r="J7485" s="1"/>
      <c r="K7485" s="1"/>
      <c r="L7485" s="1"/>
      <c r="M7485" s="1"/>
      <c r="N7485" s="1"/>
      <c r="O7485" s="1"/>
      <c r="P7485" s="1"/>
      <c r="Q7485" s="1"/>
      <c r="R7485" s="1"/>
      <c r="S7485" s="1"/>
      <c r="T7485" s="1"/>
      <c r="U7485" s="1"/>
      <c r="V7485" s="1"/>
      <c r="W7485" s="1"/>
      <c r="X7485" s="1"/>
      <c r="Y7485" s="1"/>
      <c r="Z7485" s="1"/>
      <c r="AA7485" s="1"/>
      <c r="AB7485" s="1"/>
    </row>
    <row r="7486" ht="50.25" customHeight="1">
      <c r="A7486" s="12">
        <v>7482.0</v>
      </c>
      <c r="B7486" s="13" t="s">
        <v>7028</v>
      </c>
      <c r="C7486" s="14" t="s">
        <v>7510</v>
      </c>
      <c r="D7486" s="1"/>
      <c r="E7486" s="1"/>
      <c r="F7486" s="1" t="str">
        <f>IFERROR(__xludf.DUMMYFUNCTION("GOOGLETRANSLATE(B7486, ""en"", ""fa"")
"),"موفقیت در ای بی")</f>
        <v>موفقیت در ای بی</v>
      </c>
      <c r="G7486" s="1" t="str">
        <f>IFERROR(__xludf.DUMMYFUNCTION("GOOGLETRANSLATE(C7486, ""en"", ""fa"")
"),"چگونه می توانم فروشگاه eBay خود را برای فروش بین المللی بهینه کنم و نیازهای مشتریان جهانی را در طول فرآیند مقیاس بندی برآورده کنم؟")</f>
        <v>چگونه می توانم فروشگاه eBay خود را برای فروش بین المللی بهینه کنم و نیازهای مشتریان جهانی را در طول فرآیند مقیاس بندی برآورده کنم؟</v>
      </c>
      <c r="H7486" s="1"/>
      <c r="I7486" s="1"/>
      <c r="J7486" s="1"/>
      <c r="K7486" s="1"/>
      <c r="L7486" s="1"/>
      <c r="M7486" s="1"/>
      <c r="N7486" s="1"/>
      <c r="O7486" s="1"/>
      <c r="P7486" s="1"/>
      <c r="Q7486" s="1"/>
      <c r="R7486" s="1"/>
      <c r="S7486" s="1"/>
      <c r="T7486" s="1"/>
      <c r="U7486" s="1"/>
      <c r="V7486" s="1"/>
      <c r="W7486" s="1"/>
      <c r="X7486" s="1"/>
      <c r="Y7486" s="1"/>
      <c r="Z7486" s="1"/>
      <c r="AA7486" s="1"/>
      <c r="AB7486" s="1"/>
    </row>
    <row r="7487" ht="50.25" customHeight="1">
      <c r="A7487" s="12">
        <v>7483.0</v>
      </c>
      <c r="B7487" s="13" t="s">
        <v>7028</v>
      </c>
      <c r="C7487" s="14" t="s">
        <v>7511</v>
      </c>
      <c r="D7487" s="1"/>
      <c r="E7487" s="1"/>
      <c r="F7487" s="1" t="str">
        <f>IFERROR(__xludf.DUMMYFUNCTION("GOOGLETRANSLATE(B7487, ""en"", ""fa"")
"),"موفقیت در ای بی")</f>
        <v>موفقیت در ای بی</v>
      </c>
      <c r="G7487" s="1" t="str">
        <f>IFERROR(__xludf.DUMMYFUNCTION("GOOGLETRANSLATE(C7487, ""en"", ""fa"")
"),"از چه استراتژی هایی می توانم برای اجرای پیش بینی موجودی موثر و برنامه ریزی تقاضا برای حمایت از گسترش کسب و کار در eBay استفاده کنم؟")</f>
        <v>از چه استراتژی هایی می توانم برای اجرای پیش بینی موجودی موثر و برنامه ریزی تقاضا برای حمایت از گسترش کسب و کار در eBay استفاده کنم؟</v>
      </c>
      <c r="H7487" s="1"/>
      <c r="I7487" s="1"/>
      <c r="J7487" s="1"/>
      <c r="K7487" s="1"/>
      <c r="L7487" s="1"/>
      <c r="M7487" s="1"/>
      <c r="N7487" s="1"/>
      <c r="O7487" s="1"/>
      <c r="P7487" s="1"/>
      <c r="Q7487" s="1"/>
      <c r="R7487" s="1"/>
      <c r="S7487" s="1"/>
      <c r="T7487" s="1"/>
      <c r="U7487" s="1"/>
      <c r="V7487" s="1"/>
      <c r="W7487" s="1"/>
      <c r="X7487" s="1"/>
      <c r="Y7487" s="1"/>
      <c r="Z7487" s="1"/>
      <c r="AA7487" s="1"/>
      <c r="AB7487" s="1"/>
    </row>
    <row r="7488" ht="50.25" customHeight="1">
      <c r="A7488" s="12">
        <v>7484.0</v>
      </c>
      <c r="B7488" s="13" t="s">
        <v>7028</v>
      </c>
      <c r="C7488" s="14" t="s">
        <v>7512</v>
      </c>
      <c r="D7488" s="1"/>
      <c r="E7488" s="1"/>
      <c r="F7488" s="1" t="str">
        <f>IFERROR(__xludf.DUMMYFUNCTION("GOOGLETRANSLATE(B7488, ""en"", ""fa"")
"),"موفقیت در ای بی")</f>
        <v>موفقیت در ای بی</v>
      </c>
      <c r="G7488" s="1" t="str">
        <f>IFERROR(__xludf.DUMMYFUNCTION("GOOGLETRANSLATE(C7488, ""en"", ""fa"")
"),"چگونه می توانم به طور مؤثر بازخورد و نظرات مشتریان را مدیریت و مقیاس کنم تا اعتبار مثبتی را در مقیاس کسب و کار در eBay حفظ کنم؟")</f>
        <v>چگونه می توانم به طور مؤثر بازخورد و نظرات مشتریان را مدیریت و مقیاس کنم تا اعتبار مثبتی را در مقیاس کسب و کار در eBay حفظ کنم؟</v>
      </c>
      <c r="H7488" s="1"/>
      <c r="I7488" s="1"/>
      <c r="J7488" s="1"/>
      <c r="K7488" s="1"/>
      <c r="L7488" s="1"/>
      <c r="M7488" s="1"/>
      <c r="N7488" s="1"/>
      <c r="O7488" s="1"/>
      <c r="P7488" s="1"/>
      <c r="Q7488" s="1"/>
      <c r="R7488" s="1"/>
      <c r="S7488" s="1"/>
      <c r="T7488" s="1"/>
      <c r="U7488" s="1"/>
      <c r="V7488" s="1"/>
      <c r="W7488" s="1"/>
      <c r="X7488" s="1"/>
      <c r="Y7488" s="1"/>
      <c r="Z7488" s="1"/>
      <c r="AA7488" s="1"/>
      <c r="AB7488" s="1"/>
    </row>
    <row r="7489" ht="50.25" customHeight="1">
      <c r="A7489" s="12">
        <v>7485.0</v>
      </c>
      <c r="B7489" s="13" t="s">
        <v>7028</v>
      </c>
      <c r="C7489" s="14" t="s">
        <v>7513</v>
      </c>
      <c r="D7489" s="1"/>
      <c r="E7489" s="1"/>
      <c r="F7489" s="1" t="str">
        <f>IFERROR(__xludf.DUMMYFUNCTION("GOOGLETRANSLATE(B7489, ""en"", ""fa"")
"),"موفقیت در ای بی")</f>
        <v>موفقیت در ای بی</v>
      </c>
      <c r="G7489" s="1" t="str">
        <f>IFERROR(__xludf.DUMMYFUNCTION("GOOGLETRANSLATE(C7489, ""en"", ""fa"")
"),"ملاحظات کلیدی برای گسترش به دسته‌های محصول یا جایگاه‌های جدید برای تنوع بخشیدن به جریان‌های درآمد در eBay چیست؟")</f>
        <v>ملاحظات کلیدی برای گسترش به دسته‌های محصول یا جایگاه‌های جدید برای تنوع بخشیدن به جریان‌های درآمد در eBay چیست؟</v>
      </c>
      <c r="H7489" s="1"/>
      <c r="I7489" s="1"/>
      <c r="J7489" s="1"/>
      <c r="K7489" s="1"/>
      <c r="L7489" s="1"/>
      <c r="M7489" s="1"/>
      <c r="N7489" s="1"/>
      <c r="O7489" s="1"/>
      <c r="P7489" s="1"/>
      <c r="Q7489" s="1"/>
      <c r="R7489" s="1"/>
      <c r="S7489" s="1"/>
      <c r="T7489" s="1"/>
      <c r="U7489" s="1"/>
      <c r="V7489" s="1"/>
      <c r="W7489" s="1"/>
      <c r="X7489" s="1"/>
      <c r="Y7489" s="1"/>
      <c r="Z7489" s="1"/>
      <c r="AA7489" s="1"/>
      <c r="AB7489" s="1"/>
    </row>
    <row r="7490" ht="50.25" customHeight="1">
      <c r="A7490" s="12">
        <v>7486.0</v>
      </c>
      <c r="B7490" s="13" t="s">
        <v>7028</v>
      </c>
      <c r="C7490" s="14" t="s">
        <v>7514</v>
      </c>
      <c r="D7490" s="1"/>
      <c r="E7490" s="1"/>
      <c r="F7490" s="1" t="str">
        <f>IFERROR(__xludf.DUMMYFUNCTION("GOOGLETRANSLATE(B7490, ""en"", ""fa"")
"),"موفقیت در ای بی")</f>
        <v>موفقیت در ای بی</v>
      </c>
      <c r="G7490" s="1" t="str">
        <f>IFERROR(__xludf.DUMMYFUNCTION("GOOGLETRANSLATE(C7490, ""en"", ""fa"")
"),"چگونه می توانم از تجزیه و تحلیل داده ها و روندهای بازار برای شناسایی فرصت های محصول در حال ظهور و تصمیم گیری آگاهانه برای گسترش تجارت در eBay استفاده کنم؟")</f>
        <v>چگونه می توانم از تجزیه و تحلیل داده ها و روندهای بازار برای شناسایی فرصت های محصول در حال ظهور و تصمیم گیری آگاهانه برای گسترش تجارت در eBay استفاده کنم؟</v>
      </c>
      <c r="H7490" s="1"/>
      <c r="I7490" s="1"/>
      <c r="J7490" s="1"/>
      <c r="K7490" s="1"/>
      <c r="L7490" s="1"/>
      <c r="M7490" s="1"/>
      <c r="N7490" s="1"/>
      <c r="O7490" s="1"/>
      <c r="P7490" s="1"/>
      <c r="Q7490" s="1"/>
      <c r="R7490" s="1"/>
      <c r="S7490" s="1"/>
      <c r="T7490" s="1"/>
      <c r="U7490" s="1"/>
      <c r="V7490" s="1"/>
      <c r="W7490" s="1"/>
      <c r="X7490" s="1"/>
      <c r="Y7490" s="1"/>
      <c r="Z7490" s="1"/>
      <c r="AA7490" s="1"/>
      <c r="AB7490" s="1"/>
    </row>
    <row r="7491" ht="50.25" customHeight="1">
      <c r="A7491" s="12">
        <v>7487.0</v>
      </c>
      <c r="B7491" s="13" t="s">
        <v>7028</v>
      </c>
      <c r="C7491" s="14" t="s">
        <v>7515</v>
      </c>
      <c r="D7491" s="1"/>
      <c r="E7491" s="1"/>
      <c r="F7491" s="1" t="str">
        <f>IFERROR(__xludf.DUMMYFUNCTION("GOOGLETRANSLATE(B7491, ""en"", ""fa"")
"),"موفقیت در ای بی")</f>
        <v>موفقیت در ای بی</v>
      </c>
      <c r="G7491" s="1" t="str">
        <f>IFERROR(__xludf.DUMMYFUNCTION("GOOGLETRANSLATE(C7491, ""en"", ""fa"")
"),"چه استراتژی‌هایی را می‌توانم برای بهینه‌سازی حضور مشتری و اطمینان از تجربه خرید یکپارچه در مقیاس کسب‌وکار در eBay به کار بگیرم؟")</f>
        <v>چه استراتژی‌هایی را می‌توانم برای بهینه‌سازی حضور مشتری و اطمینان از تجربه خرید یکپارچه در مقیاس کسب‌وکار در eBay به کار بگیرم؟</v>
      </c>
      <c r="H7491" s="1"/>
      <c r="I7491" s="1"/>
      <c r="J7491" s="1"/>
      <c r="K7491" s="1"/>
      <c r="L7491" s="1"/>
      <c r="M7491" s="1"/>
      <c r="N7491" s="1"/>
      <c r="O7491" s="1"/>
      <c r="P7491" s="1"/>
      <c r="Q7491" s="1"/>
      <c r="R7491" s="1"/>
      <c r="S7491" s="1"/>
      <c r="T7491" s="1"/>
      <c r="U7491" s="1"/>
      <c r="V7491" s="1"/>
      <c r="W7491" s="1"/>
      <c r="X7491" s="1"/>
      <c r="Y7491" s="1"/>
      <c r="Z7491" s="1"/>
      <c r="AA7491" s="1"/>
      <c r="AB7491" s="1"/>
    </row>
    <row r="7492" ht="50.25" customHeight="1">
      <c r="A7492" s="12">
        <v>7488.0</v>
      </c>
      <c r="B7492" s="13" t="s">
        <v>7028</v>
      </c>
      <c r="C7492" s="14" t="s">
        <v>7516</v>
      </c>
      <c r="D7492" s="1"/>
      <c r="E7492" s="1"/>
      <c r="F7492" s="1" t="str">
        <f>IFERROR(__xludf.DUMMYFUNCTION("GOOGLETRANSLATE(B7492, ""en"", ""fa"")
"),"موفقیت در ای بی")</f>
        <v>موفقیت در ای بی</v>
      </c>
      <c r="G7492" s="1" t="str">
        <f>IFERROR(__xludf.DUMMYFUNCTION("GOOGLETRANSLATE(C7492, ""en"", ""fa"")
"),"چگونه می توانم به طور فعال با موارد افزایش درخواست بازگشت و بازپرداخت با گسترش کسب و کار در eBay رسیدگی کنم؟")</f>
        <v>چگونه می توانم به طور فعال با موارد افزایش درخواست بازگشت و بازپرداخت با گسترش کسب و کار در eBay رسیدگی کنم؟</v>
      </c>
      <c r="H7492" s="1"/>
      <c r="I7492" s="1"/>
      <c r="J7492" s="1"/>
      <c r="K7492" s="1"/>
      <c r="L7492" s="1"/>
      <c r="M7492" s="1"/>
      <c r="N7492" s="1"/>
      <c r="O7492" s="1"/>
      <c r="P7492" s="1"/>
      <c r="Q7492" s="1"/>
      <c r="R7492" s="1"/>
      <c r="S7492" s="1"/>
      <c r="T7492" s="1"/>
      <c r="U7492" s="1"/>
      <c r="V7492" s="1"/>
      <c r="W7492" s="1"/>
      <c r="X7492" s="1"/>
      <c r="Y7492" s="1"/>
      <c r="Z7492" s="1"/>
      <c r="AA7492" s="1"/>
      <c r="AB7492" s="1"/>
    </row>
    <row r="7493" ht="50.25" customHeight="1">
      <c r="A7493" s="12">
        <v>7489.0</v>
      </c>
      <c r="B7493" s="13" t="s">
        <v>7028</v>
      </c>
      <c r="C7493" s="14" t="s">
        <v>7517</v>
      </c>
      <c r="D7493" s="1"/>
      <c r="E7493" s="1"/>
      <c r="F7493" s="1" t="str">
        <f>IFERROR(__xludf.DUMMYFUNCTION("GOOGLETRANSLATE(B7493, ""en"", ""fa"")
"),"موفقیت در ای بی")</f>
        <v>موفقیت در ای بی</v>
      </c>
      <c r="G7493" s="1" t="str">
        <f>IFERROR(__xludf.DUMMYFUNCTION("GOOGLETRANSLATE(C7493, ""en"", ""fa"")
"),"مزایای سرمایه گذاری در آموزش و توسعه کارکنان برای حمایت از رشد کسب و کار و حفظ برتری عملیاتی در eBay چیست؟")</f>
        <v>مزایای سرمایه گذاری در آموزش و توسعه کارکنان برای حمایت از رشد کسب و کار و حفظ برتری عملیاتی در eBay چیست؟</v>
      </c>
      <c r="H7493" s="1"/>
      <c r="I7493" s="1"/>
      <c r="J7493" s="1"/>
      <c r="K7493" s="1"/>
      <c r="L7493" s="1"/>
      <c r="M7493" s="1"/>
      <c r="N7493" s="1"/>
      <c r="O7493" s="1"/>
      <c r="P7493" s="1"/>
      <c r="Q7493" s="1"/>
      <c r="R7493" s="1"/>
      <c r="S7493" s="1"/>
      <c r="T7493" s="1"/>
      <c r="U7493" s="1"/>
      <c r="V7493" s="1"/>
      <c r="W7493" s="1"/>
      <c r="X7493" s="1"/>
      <c r="Y7493" s="1"/>
      <c r="Z7493" s="1"/>
      <c r="AA7493" s="1"/>
      <c r="AB7493" s="1"/>
    </row>
    <row r="7494" ht="50.25" customHeight="1">
      <c r="A7494" s="12">
        <v>7490.0</v>
      </c>
      <c r="B7494" s="13" t="s">
        <v>7028</v>
      </c>
      <c r="C7494" s="14" t="s">
        <v>7518</v>
      </c>
      <c r="D7494" s="1"/>
      <c r="E7494" s="1"/>
      <c r="F7494" s="1" t="str">
        <f>IFERROR(__xludf.DUMMYFUNCTION("GOOGLETRANSLATE(B7494, ""en"", ""fa"")
"),"موفقیت در ای بی")</f>
        <v>موفقیت در ای بی</v>
      </c>
      <c r="G7494" s="1" t="str">
        <f>IFERROR(__xludf.DUMMYFUNCTION("GOOGLETRANSLATE(C7494, ""en"", ""fa"")
"),"چگونه می‌توانم فروشگاه eBay خود را برای مقیاس‌پذیری و انعطاف‌پذیری بهینه کنم تا بتوانم با گسترش تجارت آینده و پویایی بازار در حال تغییر سازگاری داشته باشم؟")</f>
        <v>چگونه می‌توانم فروشگاه eBay خود را برای مقیاس‌پذیری و انعطاف‌پذیری بهینه کنم تا بتوانم با گسترش تجارت آینده و پویایی بازار در حال تغییر سازگاری داشته باشم؟</v>
      </c>
      <c r="H7494" s="1"/>
      <c r="I7494" s="1"/>
      <c r="J7494" s="1"/>
      <c r="K7494" s="1"/>
      <c r="L7494" s="1"/>
      <c r="M7494" s="1"/>
      <c r="N7494" s="1"/>
      <c r="O7494" s="1"/>
      <c r="P7494" s="1"/>
      <c r="Q7494" s="1"/>
      <c r="R7494" s="1"/>
      <c r="S7494" s="1"/>
      <c r="T7494" s="1"/>
      <c r="U7494" s="1"/>
      <c r="V7494" s="1"/>
      <c r="W7494" s="1"/>
      <c r="X7494" s="1"/>
      <c r="Y7494" s="1"/>
      <c r="Z7494" s="1"/>
      <c r="AA7494" s="1"/>
      <c r="AB7494" s="1"/>
    </row>
    <row r="7495" ht="50.25" customHeight="1">
      <c r="A7495" s="12">
        <v>7491.0</v>
      </c>
      <c r="B7495" s="13" t="s">
        <v>7028</v>
      </c>
      <c r="C7495" s="14" t="s">
        <v>7519</v>
      </c>
      <c r="D7495" s="1"/>
      <c r="E7495" s="1"/>
      <c r="F7495" s="1" t="str">
        <f>IFERROR(__xludf.DUMMYFUNCTION("GOOGLETRANSLATE(B7495, ""en"", ""fa"")
"),"موفقیت در ای بی")</f>
        <v>موفقیت در ای بی</v>
      </c>
      <c r="G7495" s="1" t="str">
        <f>IFERROR(__xludf.DUMMYFUNCTION("GOOGLETRANSLATE(C7495, ""en"", ""fa"")
"),"چه عواملی را باید هنگام تعیین قیمت اولیه برای لیست های eBay در نظر بگیرم تا خریداران را جذب کرده و رقابتی باقی بمانم؟")</f>
        <v>چه عواملی را باید هنگام تعیین قیمت اولیه برای لیست های eBay در نظر بگیرم تا خریداران را جذب کرده و رقابتی باقی بمانم؟</v>
      </c>
      <c r="H7495" s="1"/>
      <c r="I7495" s="1"/>
      <c r="J7495" s="1"/>
      <c r="K7495" s="1"/>
      <c r="L7495" s="1"/>
      <c r="M7495" s="1"/>
      <c r="N7495" s="1"/>
      <c r="O7495" s="1"/>
      <c r="P7495" s="1"/>
      <c r="Q7495" s="1"/>
      <c r="R7495" s="1"/>
      <c r="S7495" s="1"/>
      <c r="T7495" s="1"/>
      <c r="U7495" s="1"/>
      <c r="V7495" s="1"/>
      <c r="W7495" s="1"/>
      <c r="X7495" s="1"/>
      <c r="Y7495" s="1"/>
      <c r="Z7495" s="1"/>
      <c r="AA7495" s="1"/>
      <c r="AB7495" s="1"/>
    </row>
    <row r="7496" ht="50.25" customHeight="1">
      <c r="A7496" s="12">
        <v>7492.0</v>
      </c>
      <c r="B7496" s="13" t="s">
        <v>7028</v>
      </c>
      <c r="C7496" s="14" t="s">
        <v>7520</v>
      </c>
      <c r="D7496" s="1"/>
      <c r="E7496" s="1"/>
      <c r="F7496" s="1" t="str">
        <f>IFERROR(__xludf.DUMMYFUNCTION("GOOGLETRANSLATE(B7496, ""en"", ""fa"")
"),"موفقیت در ای بی")</f>
        <v>موفقیت در ای بی</v>
      </c>
      <c r="G7496" s="1" t="str">
        <f>IFERROR(__xludf.DUMMYFUNCTION("GOOGLETRANSLATE(C7496, ""en"", ""fa"")
"),"چگونه می توانم روندهای بازار و قیمت گذاری رقبا را برای تعیین محدوده قیمت بهینه برای محصولات خود در eBay تجزیه و تحلیل کنم؟")</f>
        <v>چگونه می توانم روندهای بازار و قیمت گذاری رقبا را برای تعیین محدوده قیمت بهینه برای محصولات خود در eBay تجزیه و تحلیل کنم؟</v>
      </c>
      <c r="H7496" s="1"/>
      <c r="I7496" s="1"/>
      <c r="J7496" s="1"/>
      <c r="K7496" s="1"/>
      <c r="L7496" s="1"/>
      <c r="M7496" s="1"/>
      <c r="N7496" s="1"/>
      <c r="O7496" s="1"/>
      <c r="P7496" s="1"/>
      <c r="Q7496" s="1"/>
      <c r="R7496" s="1"/>
      <c r="S7496" s="1"/>
      <c r="T7496" s="1"/>
      <c r="U7496" s="1"/>
      <c r="V7496" s="1"/>
      <c r="W7496" s="1"/>
      <c r="X7496" s="1"/>
      <c r="Y7496" s="1"/>
      <c r="Z7496" s="1"/>
      <c r="AA7496" s="1"/>
      <c r="AB7496" s="1"/>
    </row>
    <row r="7497" ht="50.25" customHeight="1">
      <c r="A7497" s="12">
        <v>7493.0</v>
      </c>
      <c r="B7497" s="13" t="s">
        <v>7028</v>
      </c>
      <c r="C7497" s="14" t="s">
        <v>7521</v>
      </c>
      <c r="D7497" s="1"/>
      <c r="E7497" s="1"/>
      <c r="F7497" s="1" t="str">
        <f>IFERROR(__xludf.DUMMYFUNCTION("GOOGLETRANSLATE(B7497, ""en"", ""fa"")
"),"موفقیت در ای بی")</f>
        <v>موفقیت در ای بی</v>
      </c>
      <c r="G7497" s="1" t="str">
        <f>IFERROR(__xludf.DUMMYFUNCTION("GOOGLETRANSLATE(C7497, ""en"", ""fa"")
"),"از چه استراتژی هایی می توانم برای اجرای قیمت گذاری پویا بر اساس عواملی مانند تقاضا، فصلی بودن و رفتار خریدار در eBay استفاده کنم؟")</f>
        <v>از چه استراتژی هایی می توانم برای اجرای قیمت گذاری پویا بر اساس عواملی مانند تقاضا، فصلی بودن و رفتار خریدار در eBay استفاده کنم؟</v>
      </c>
      <c r="H7497" s="1"/>
      <c r="I7497" s="1"/>
      <c r="J7497" s="1"/>
      <c r="K7497" s="1"/>
      <c r="L7497" s="1"/>
      <c r="M7497" s="1"/>
      <c r="N7497" s="1"/>
      <c r="O7497" s="1"/>
      <c r="P7497" s="1"/>
      <c r="Q7497" s="1"/>
      <c r="R7497" s="1"/>
      <c r="S7497" s="1"/>
      <c r="T7497" s="1"/>
      <c r="U7497" s="1"/>
      <c r="V7497" s="1"/>
      <c r="W7497" s="1"/>
      <c r="X7497" s="1"/>
      <c r="Y7497" s="1"/>
      <c r="Z7497" s="1"/>
      <c r="AA7497" s="1"/>
      <c r="AB7497" s="1"/>
    </row>
    <row r="7498" ht="50.25" customHeight="1">
      <c r="A7498" s="12">
        <v>7494.0</v>
      </c>
      <c r="B7498" s="13" t="s">
        <v>7028</v>
      </c>
      <c r="C7498" s="14" t="s">
        <v>7522</v>
      </c>
      <c r="D7498" s="1"/>
      <c r="E7498" s="1"/>
      <c r="F7498" s="1" t="str">
        <f>IFERROR(__xludf.DUMMYFUNCTION("GOOGLETRANSLATE(B7498, ""en"", ""fa"")
"),"موفقیت در ای بی")</f>
        <v>موفقیت در ای بی</v>
      </c>
      <c r="G7498" s="1" t="str">
        <f>IFERROR(__xludf.DUMMYFUNCTION("GOOGLETRANSLATE(C7498, ""en"", ""fa"")
"),"چگونه می توانم از تجزیه و تحلیل داده ها و داده های تاریخی فروش برای شناسایی الگوهای قیمت گذاری و تنظیم قیمت ها بر اساس آن در eBay استفاده کنم؟")</f>
        <v>چگونه می توانم از تجزیه و تحلیل داده ها و داده های تاریخی فروش برای شناسایی الگوهای قیمت گذاری و تنظیم قیمت ها بر اساس آن در eBay استفاده کنم؟</v>
      </c>
      <c r="H7498" s="1"/>
      <c r="I7498" s="1"/>
      <c r="J7498" s="1"/>
      <c r="K7498" s="1"/>
      <c r="L7498" s="1"/>
      <c r="M7498" s="1"/>
      <c r="N7498" s="1"/>
      <c r="O7498" s="1"/>
      <c r="P7498" s="1"/>
      <c r="Q7498" s="1"/>
      <c r="R7498" s="1"/>
      <c r="S7498" s="1"/>
      <c r="T7498" s="1"/>
      <c r="U7498" s="1"/>
      <c r="V7498" s="1"/>
      <c r="W7498" s="1"/>
      <c r="X7498" s="1"/>
      <c r="Y7498" s="1"/>
      <c r="Z7498" s="1"/>
      <c r="AA7498" s="1"/>
      <c r="AB7498" s="1"/>
    </row>
    <row r="7499" ht="50.25" customHeight="1">
      <c r="A7499" s="12">
        <v>7495.0</v>
      </c>
      <c r="B7499" s="13" t="s">
        <v>7028</v>
      </c>
      <c r="C7499" s="14" t="s">
        <v>7523</v>
      </c>
      <c r="D7499" s="1"/>
      <c r="E7499" s="1"/>
      <c r="F7499" s="1" t="str">
        <f>IFERROR(__xludf.DUMMYFUNCTION("GOOGLETRANSLATE(B7499, ""en"", ""fa"")
"),"موفقیت در ای بی")</f>
        <v>موفقیت در ای بی</v>
      </c>
      <c r="G7499" s="1" t="str">
        <f>IFERROR(__xludf.DUMMYFUNCTION("GOOGLETRANSLATE(C7499, ""en"", ""fa"")
"),"مزایای انجام تست A/B و آزمایش‌های قیمت برای یافتن قیمت بهینه که فروش و سودآوری را در eBay به حداکثر می‌رساند چیست؟")</f>
        <v>مزایای انجام تست A/B و آزمایش‌های قیمت برای یافتن قیمت بهینه که فروش و سودآوری را در eBay به حداکثر می‌رساند چیست؟</v>
      </c>
      <c r="H7499" s="1"/>
      <c r="I7499" s="1"/>
      <c r="J7499" s="1"/>
      <c r="K7499" s="1"/>
      <c r="L7499" s="1"/>
      <c r="M7499" s="1"/>
      <c r="N7499" s="1"/>
      <c r="O7499" s="1"/>
      <c r="P7499" s="1"/>
      <c r="Q7499" s="1"/>
      <c r="R7499" s="1"/>
      <c r="S7499" s="1"/>
      <c r="T7499" s="1"/>
      <c r="U7499" s="1"/>
      <c r="V7499" s="1"/>
      <c r="W7499" s="1"/>
      <c r="X7499" s="1"/>
      <c r="Y7499" s="1"/>
      <c r="Z7499" s="1"/>
      <c r="AA7499" s="1"/>
      <c r="AB7499" s="1"/>
    </row>
    <row r="7500" ht="50.25" customHeight="1">
      <c r="A7500" s="12">
        <v>7496.0</v>
      </c>
      <c r="B7500" s="13" t="s">
        <v>7028</v>
      </c>
      <c r="C7500" s="14" t="s">
        <v>7524</v>
      </c>
      <c r="D7500" s="1"/>
      <c r="E7500" s="1"/>
      <c r="F7500" s="1" t="str">
        <f>IFERROR(__xludf.DUMMYFUNCTION("GOOGLETRANSLATE(B7500, ""en"", ""fa"")
"),"موفقیت در ای بی")</f>
        <v>موفقیت در ای بی</v>
      </c>
      <c r="G7500" s="1" t="str">
        <f>IFERROR(__xludf.DUMMYFUNCTION("GOOGLETRANSLATE(C7500, ""en"", ""fa"")
"),"چگونه می‌توانم از استراتژی‌های قیمت‌گذاری مانند بسته‌بندی، افزایش فروش یا ارائه تخفیف برای تشویق اندازه سفارش‌های بزرگ‌تر و افزایش میانگین ارزش سفارش در eBay استفاده کنم؟")</f>
        <v>چگونه می‌توانم از استراتژی‌های قیمت‌گذاری مانند بسته‌بندی، افزایش فروش یا ارائه تخفیف برای تشویق اندازه سفارش‌های بزرگ‌تر و افزایش میانگین ارزش سفارش در eBay استفاده کنم؟</v>
      </c>
      <c r="H7500" s="1"/>
      <c r="I7500" s="1"/>
      <c r="J7500" s="1"/>
      <c r="K7500" s="1"/>
      <c r="L7500" s="1"/>
      <c r="M7500" s="1"/>
      <c r="N7500" s="1"/>
      <c r="O7500" s="1"/>
      <c r="P7500" s="1"/>
      <c r="Q7500" s="1"/>
      <c r="R7500" s="1"/>
      <c r="S7500" s="1"/>
      <c r="T7500" s="1"/>
      <c r="U7500" s="1"/>
      <c r="V7500" s="1"/>
      <c r="W7500" s="1"/>
      <c r="X7500" s="1"/>
      <c r="Y7500" s="1"/>
      <c r="Z7500" s="1"/>
      <c r="AA7500" s="1"/>
      <c r="AB7500" s="1"/>
    </row>
    <row r="7501" ht="50.25" customHeight="1">
      <c r="A7501" s="12">
        <v>7497.0</v>
      </c>
      <c r="B7501" s="13" t="s">
        <v>7028</v>
      </c>
      <c r="C7501" s="14" t="s">
        <v>7525</v>
      </c>
      <c r="D7501" s="1"/>
      <c r="E7501" s="1"/>
      <c r="F7501" s="1" t="str">
        <f>IFERROR(__xludf.DUMMYFUNCTION("GOOGLETRANSLATE(B7501, ""en"", ""fa"")
"),"موفقیت در ای بی")</f>
        <v>موفقیت در ای بی</v>
      </c>
      <c r="G7501" s="1" t="str">
        <f>IFERROR(__xludf.DUMMYFUNCTION("GOOGLETRANSLATE(C7501, ""en"", ""fa"")
"),"ملاحظات کلیدی هنگام اعمال تعدیل قیمت و تخفیف در دوره های تبلیغاتی یا رویدادهای فروش در eBay چیست؟")</f>
        <v>ملاحظات کلیدی هنگام اعمال تعدیل قیمت و تخفیف در دوره های تبلیغاتی یا رویدادهای فروش در eBay چیست؟</v>
      </c>
      <c r="H7501" s="1"/>
      <c r="I7501" s="1"/>
      <c r="J7501" s="1"/>
      <c r="K7501" s="1"/>
      <c r="L7501" s="1"/>
      <c r="M7501" s="1"/>
      <c r="N7501" s="1"/>
      <c r="O7501" s="1"/>
      <c r="P7501" s="1"/>
      <c r="Q7501" s="1"/>
      <c r="R7501" s="1"/>
      <c r="S7501" s="1"/>
      <c r="T7501" s="1"/>
      <c r="U7501" s="1"/>
      <c r="V7501" s="1"/>
      <c r="W7501" s="1"/>
      <c r="X7501" s="1"/>
      <c r="Y7501" s="1"/>
      <c r="Z7501" s="1"/>
      <c r="AA7501" s="1"/>
      <c r="AB7501" s="1"/>
    </row>
    <row r="7502" ht="50.25" customHeight="1">
      <c r="A7502" s="12">
        <v>7498.0</v>
      </c>
      <c r="B7502" s="13" t="s">
        <v>7028</v>
      </c>
      <c r="C7502" s="14" t="s">
        <v>7526</v>
      </c>
      <c r="D7502" s="1"/>
      <c r="E7502" s="1"/>
      <c r="F7502" s="1" t="str">
        <f>IFERROR(__xludf.DUMMYFUNCTION("GOOGLETRANSLATE(B7502, ""en"", ""fa"")
"),"موفقیت در ای بی")</f>
        <v>موفقیت در ای بی</v>
      </c>
      <c r="G7502" s="1" t="str">
        <f>IFERROR(__xludf.DUMMYFUNCTION("GOOGLETRANSLATE(C7502, ""en"", ""fa"")
"),"چگونه می توانم به طور موثر از ابزارها و نرم افزارهای ردیابی قیمت برای نظارت بر قیمت های رقبا و تصمیم گیری آگاهانه درباره قیمت گذاری در eBay استفاده کنم؟")</f>
        <v>چگونه می توانم به طور موثر از ابزارها و نرم افزارهای ردیابی قیمت برای نظارت بر قیمت های رقبا و تصمیم گیری آگاهانه درباره قیمت گذاری در eBay استفاده کنم؟</v>
      </c>
      <c r="H7502" s="1"/>
      <c r="I7502" s="1"/>
      <c r="J7502" s="1"/>
      <c r="K7502" s="1"/>
      <c r="L7502" s="1"/>
      <c r="M7502" s="1"/>
      <c r="N7502" s="1"/>
      <c r="O7502" s="1"/>
      <c r="P7502" s="1"/>
      <c r="Q7502" s="1"/>
      <c r="R7502" s="1"/>
      <c r="S7502" s="1"/>
      <c r="T7502" s="1"/>
      <c r="U7502" s="1"/>
      <c r="V7502" s="1"/>
      <c r="W7502" s="1"/>
      <c r="X7502" s="1"/>
      <c r="Y7502" s="1"/>
      <c r="Z7502" s="1"/>
      <c r="AA7502" s="1"/>
      <c r="AB7502" s="1"/>
    </row>
    <row r="7503" ht="50.25" customHeight="1">
      <c r="A7503" s="12">
        <v>7499.0</v>
      </c>
      <c r="B7503" s="13" t="s">
        <v>7028</v>
      </c>
      <c r="C7503" s="14" t="s">
        <v>7527</v>
      </c>
      <c r="D7503" s="1"/>
      <c r="E7503" s="1"/>
      <c r="F7503" s="1" t="str">
        <f>IFERROR(__xludf.DUMMYFUNCTION("GOOGLETRANSLATE(B7503, ""en"", ""fa"")
"),"موفقیت در ای بی")</f>
        <v>موفقیت در ای بی</v>
      </c>
      <c r="G7503" s="1" t="str">
        <f>IFERROR(__xludf.DUMMYFUNCTION("GOOGLETRANSLATE(C7503, ""en"", ""fa"")
"),"برای اجرای قیمت گذاری پویا بر اساس عواملی مانند سطح موجودی، هزینه های حمل و نقل و محبوبیت محصول در eBay از چه استراتژی هایی می توانم استفاده کنم؟")</f>
        <v>برای اجرای قیمت گذاری پویا بر اساس عواملی مانند سطح موجودی، هزینه های حمل و نقل و محبوبیت محصول در eBay از چه استراتژی هایی می توانم استفاده کنم؟</v>
      </c>
      <c r="H7503" s="1"/>
      <c r="I7503" s="1"/>
      <c r="J7503" s="1"/>
      <c r="K7503" s="1"/>
      <c r="L7503" s="1"/>
      <c r="M7503" s="1"/>
      <c r="N7503" s="1"/>
      <c r="O7503" s="1"/>
      <c r="P7503" s="1"/>
      <c r="Q7503" s="1"/>
      <c r="R7503" s="1"/>
      <c r="S7503" s="1"/>
      <c r="T7503" s="1"/>
      <c r="U7503" s="1"/>
      <c r="V7503" s="1"/>
      <c r="W7503" s="1"/>
      <c r="X7503" s="1"/>
      <c r="Y7503" s="1"/>
      <c r="Z7503" s="1"/>
      <c r="AA7503" s="1"/>
      <c r="AB7503" s="1"/>
    </row>
    <row r="7504" ht="50.25" customHeight="1">
      <c r="A7504" s="12">
        <v>7500.0</v>
      </c>
      <c r="B7504" s="13" t="s">
        <v>7028</v>
      </c>
      <c r="C7504" s="14" t="s">
        <v>7528</v>
      </c>
      <c r="D7504" s="1"/>
      <c r="E7504" s="1"/>
      <c r="F7504" s="1" t="str">
        <f>IFERROR(__xludf.DUMMYFUNCTION("GOOGLETRANSLATE(B7504, ""en"", ""fa"")
"),"موفقیت در ای بی")</f>
        <v>موفقیت در ای بی</v>
      </c>
      <c r="G7504" s="1" t="str">
        <f>IFERROR(__xludf.DUMMYFUNCTION("GOOGLETRANSLATE(C7504, ""en"", ""fa"")
"),"چگونه می توانم لیست های eBay خود را با بیان شفاف ارزش و مزایای محصولاتم برای توجیه امتیازهای بالاتر قیمت، بهینه کنم؟")</f>
        <v>چگونه می توانم لیست های eBay خود را با بیان شفاف ارزش و مزایای محصولاتم برای توجیه امتیازهای بالاتر قیمت، بهینه کنم؟</v>
      </c>
      <c r="H7504" s="1"/>
      <c r="I7504" s="1"/>
      <c r="J7504" s="1"/>
      <c r="K7504" s="1"/>
      <c r="L7504" s="1"/>
      <c r="M7504" s="1"/>
      <c r="N7504" s="1"/>
      <c r="O7504" s="1"/>
      <c r="P7504" s="1"/>
      <c r="Q7504" s="1"/>
      <c r="R7504" s="1"/>
      <c r="S7504" s="1"/>
      <c r="T7504" s="1"/>
      <c r="U7504" s="1"/>
      <c r="V7504" s="1"/>
      <c r="W7504" s="1"/>
      <c r="X7504" s="1"/>
      <c r="Y7504" s="1"/>
      <c r="Z7504" s="1"/>
      <c r="AA7504" s="1"/>
      <c r="AB7504" s="1"/>
    </row>
    <row r="7505" ht="50.25" customHeight="1">
      <c r="A7505" s="12">
        <v>7501.0</v>
      </c>
      <c r="B7505" s="13" t="s">
        <v>7028</v>
      </c>
      <c r="C7505" s="14" t="s">
        <v>7529</v>
      </c>
      <c r="D7505" s="1"/>
      <c r="E7505" s="1"/>
      <c r="F7505" s="1" t="str">
        <f>IFERROR(__xludf.DUMMYFUNCTION("GOOGLETRANSLATE(B7505, ""en"", ""fa"")
"),"موفقیت در ای بی")</f>
        <v>موفقیت در ای بی</v>
      </c>
      <c r="G7505" s="1" t="str">
        <f>IFERROR(__xludf.DUMMYFUNCTION("GOOGLETRANSLATE(C7505, ""en"", ""fa"")
"),"مزایای ارائه قیمت رقابتی با ارسال رایگان برای جذب خریداران و افزایش نرخ تبدیل در eBay چیست؟")</f>
        <v>مزایای ارائه قیمت رقابتی با ارسال رایگان برای جذب خریداران و افزایش نرخ تبدیل در eBay چیست؟</v>
      </c>
      <c r="H7505" s="1"/>
      <c r="I7505" s="1"/>
      <c r="J7505" s="1"/>
      <c r="K7505" s="1"/>
      <c r="L7505" s="1"/>
      <c r="M7505" s="1"/>
      <c r="N7505" s="1"/>
      <c r="O7505" s="1"/>
      <c r="P7505" s="1"/>
      <c r="Q7505" s="1"/>
      <c r="R7505" s="1"/>
      <c r="S7505" s="1"/>
      <c r="T7505" s="1"/>
      <c r="U7505" s="1"/>
      <c r="V7505" s="1"/>
      <c r="W7505" s="1"/>
      <c r="X7505" s="1"/>
      <c r="Y7505" s="1"/>
      <c r="Z7505" s="1"/>
      <c r="AA7505" s="1"/>
      <c r="AB7505" s="1"/>
    </row>
    <row r="7506" ht="50.25" customHeight="1">
      <c r="A7506" s="12">
        <v>7502.0</v>
      </c>
      <c r="B7506" s="13" t="s">
        <v>7028</v>
      </c>
      <c r="C7506" s="14" t="s">
        <v>7530</v>
      </c>
      <c r="D7506" s="1"/>
      <c r="E7506" s="1"/>
      <c r="F7506" s="1" t="str">
        <f>IFERROR(__xludf.DUMMYFUNCTION("GOOGLETRANSLATE(B7506, ""en"", ""fa"")
"),"موفقیت در ای بی")</f>
        <v>موفقیت در ای بی</v>
      </c>
      <c r="G7506" s="1" t="str">
        <f>IFERROR(__xludf.DUMMYFUNCTION("GOOGLETRANSLATE(C7506, ""en"", ""fa"")
"),"چگونه می توانم به طور موثر استراتژی های قیمت گذاری محصولات فصلی یا با زمان محدود را برای به حداکثر رساندن فروش و به حداقل رساندن هزینه های نگهداری موجودی در eBay مدیریت کنم؟")</f>
        <v>چگونه می توانم به طور موثر استراتژی های قیمت گذاری محصولات فصلی یا با زمان محدود را برای به حداکثر رساندن فروش و به حداقل رساندن هزینه های نگهداری موجودی در eBay مدیریت کنم؟</v>
      </c>
      <c r="H7506" s="1"/>
      <c r="I7506" s="1"/>
      <c r="J7506" s="1"/>
      <c r="K7506" s="1"/>
      <c r="L7506" s="1"/>
      <c r="M7506" s="1"/>
      <c r="N7506" s="1"/>
      <c r="O7506" s="1"/>
      <c r="P7506" s="1"/>
      <c r="Q7506" s="1"/>
      <c r="R7506" s="1"/>
      <c r="S7506" s="1"/>
      <c r="T7506" s="1"/>
      <c r="U7506" s="1"/>
      <c r="V7506" s="1"/>
      <c r="W7506" s="1"/>
      <c r="X7506" s="1"/>
      <c r="Y7506" s="1"/>
      <c r="Z7506" s="1"/>
      <c r="AA7506" s="1"/>
      <c r="AB7506" s="1"/>
    </row>
    <row r="7507" ht="50.25" customHeight="1">
      <c r="A7507" s="12">
        <v>7503.0</v>
      </c>
      <c r="B7507" s="13" t="s">
        <v>7028</v>
      </c>
      <c r="C7507" s="14" t="s">
        <v>7531</v>
      </c>
      <c r="D7507" s="1"/>
      <c r="E7507" s="1"/>
      <c r="F7507" s="1" t="str">
        <f>IFERROR(__xludf.DUMMYFUNCTION("GOOGLETRANSLATE(B7507, ""en"", ""fa"")
"),"موفقیت در ای بی")</f>
        <v>موفقیت در ای بی</v>
      </c>
      <c r="G7507" s="1" t="str">
        <f>IFERROR(__xludf.DUMMYFUNCTION("GOOGLETRANSLATE(C7507, ""en"", ""fa"")
"),"از چه استراتژی‌هایی می‌توانم برای اعمال قیمت‌های سطحی یا تخفیف‌های حجمی استفاده کنم تا انگیزه خریدهای عمده را فراهم کنم و به بخش‌های مختلف خریداران در eBay پاسخ دهم؟")</f>
        <v>از چه استراتژی‌هایی می‌توانم برای اعمال قیمت‌های سطحی یا تخفیف‌های حجمی استفاده کنم تا انگیزه خریدهای عمده را فراهم کنم و به بخش‌های مختلف خریداران در eBay پاسخ دهم؟</v>
      </c>
      <c r="H7507" s="1"/>
      <c r="I7507" s="1"/>
      <c r="J7507" s="1"/>
      <c r="K7507" s="1"/>
      <c r="L7507" s="1"/>
      <c r="M7507" s="1"/>
      <c r="N7507" s="1"/>
      <c r="O7507" s="1"/>
      <c r="P7507" s="1"/>
      <c r="Q7507" s="1"/>
      <c r="R7507" s="1"/>
      <c r="S7507" s="1"/>
      <c r="T7507" s="1"/>
      <c r="U7507" s="1"/>
      <c r="V7507" s="1"/>
      <c r="W7507" s="1"/>
      <c r="X7507" s="1"/>
      <c r="Y7507" s="1"/>
      <c r="Z7507" s="1"/>
      <c r="AA7507" s="1"/>
      <c r="AB7507" s="1"/>
    </row>
    <row r="7508" ht="50.25" customHeight="1">
      <c r="A7508" s="12">
        <v>7504.0</v>
      </c>
      <c r="B7508" s="13" t="s">
        <v>7028</v>
      </c>
      <c r="C7508" s="14" t="s">
        <v>7532</v>
      </c>
      <c r="D7508" s="1"/>
      <c r="E7508" s="1"/>
      <c r="F7508" s="1" t="str">
        <f>IFERROR(__xludf.DUMMYFUNCTION("GOOGLETRANSLATE(B7508, ""en"", ""fa"")
"),"موفقیت در ای بی")</f>
        <v>موفقیت در ای بی</v>
      </c>
      <c r="G7508" s="1" t="str">
        <f>IFERROR(__xludf.DUMMYFUNCTION("GOOGLETRANSLATE(C7508, ""en"", ""fa"")
"),"چگونه می توانم از داده های مشتری و سابقه خرید برای شخصی سازی قیمت ها و ارائه تخفیف ها یا تبلیغات متناسب در eBay استفاده کنم؟")</f>
        <v>چگونه می توانم از داده های مشتری و سابقه خرید برای شخصی سازی قیمت ها و ارائه تخفیف ها یا تبلیغات متناسب در eBay استفاده کنم؟</v>
      </c>
      <c r="H7508" s="1"/>
      <c r="I7508" s="1"/>
      <c r="J7508" s="1"/>
      <c r="K7508" s="1"/>
      <c r="L7508" s="1"/>
      <c r="M7508" s="1"/>
      <c r="N7508" s="1"/>
      <c r="O7508" s="1"/>
      <c r="P7508" s="1"/>
      <c r="Q7508" s="1"/>
      <c r="R7508" s="1"/>
      <c r="S7508" s="1"/>
      <c r="T7508" s="1"/>
      <c r="U7508" s="1"/>
      <c r="V7508" s="1"/>
      <c r="W7508" s="1"/>
      <c r="X7508" s="1"/>
      <c r="Y7508" s="1"/>
      <c r="Z7508" s="1"/>
      <c r="AA7508" s="1"/>
      <c r="AB7508" s="1"/>
    </row>
    <row r="7509" ht="50.25" customHeight="1">
      <c r="A7509" s="12">
        <v>7505.0</v>
      </c>
      <c r="B7509" s="13" t="s">
        <v>7028</v>
      </c>
      <c r="C7509" s="14" t="s">
        <v>7533</v>
      </c>
      <c r="D7509" s="1"/>
      <c r="E7509" s="1"/>
      <c r="F7509" s="1" t="str">
        <f>IFERROR(__xludf.DUMMYFUNCTION("GOOGLETRANSLATE(B7509, ""en"", ""fa"")
"),"موفقیت در ای بی")</f>
        <v>موفقیت در ای بی</v>
      </c>
      <c r="G7509" s="1" t="str">
        <f>IFERROR(__xludf.DUMMYFUNCTION("GOOGLETRANSLATE(C7509, ""en"", ""fa"")
"),"ملاحظات کلیدی هنگام اجرای استراتژی‌های قیمت‌گذاری پویا بر اساس شرایط واقعی بازار و نوسانات تقاضا در eBay چیست؟")</f>
        <v>ملاحظات کلیدی هنگام اجرای استراتژی‌های قیمت‌گذاری پویا بر اساس شرایط واقعی بازار و نوسانات تقاضا در eBay چیست؟</v>
      </c>
      <c r="H7509" s="1"/>
      <c r="I7509" s="1"/>
      <c r="J7509" s="1"/>
      <c r="K7509" s="1"/>
      <c r="L7509" s="1"/>
      <c r="M7509" s="1"/>
      <c r="N7509" s="1"/>
      <c r="O7509" s="1"/>
      <c r="P7509" s="1"/>
      <c r="Q7509" s="1"/>
      <c r="R7509" s="1"/>
      <c r="S7509" s="1"/>
      <c r="T7509" s="1"/>
      <c r="U7509" s="1"/>
      <c r="V7509" s="1"/>
      <c r="W7509" s="1"/>
      <c r="X7509" s="1"/>
      <c r="Y7509" s="1"/>
      <c r="Z7509" s="1"/>
      <c r="AA7509" s="1"/>
      <c r="AB7509" s="1"/>
    </row>
    <row r="7510" ht="50.25" customHeight="1">
      <c r="A7510" s="12">
        <v>7506.0</v>
      </c>
      <c r="B7510" s="13" t="s">
        <v>7028</v>
      </c>
      <c r="C7510" s="14" t="s">
        <v>7534</v>
      </c>
      <c r="D7510" s="1"/>
      <c r="E7510" s="1"/>
      <c r="F7510" s="1" t="str">
        <f>IFERROR(__xludf.DUMMYFUNCTION("GOOGLETRANSLATE(B7510, ""en"", ""fa"")
"),"موفقیت در ای بی")</f>
        <v>موفقیت در ای بی</v>
      </c>
      <c r="G7510" s="1" t="str">
        <f>IFERROR(__xludf.DUMMYFUNCTION("GOOGLETRANSLATE(C7510, ""en"", ""fa"")
"),"چگونه می توانم به طور فعالانه قیمت ها را در پاسخ به تغییرات در هزینه های حمل و نقل، نرخ تبدیل ارز، یا شرایط بازار در eBay نظارت و تنظیم کنم؟")</f>
        <v>چگونه می توانم به طور فعالانه قیمت ها را در پاسخ به تغییرات در هزینه های حمل و نقل، نرخ تبدیل ارز، یا شرایط بازار در eBay نظارت و تنظیم کنم؟</v>
      </c>
      <c r="H7510" s="1"/>
      <c r="I7510" s="1"/>
      <c r="J7510" s="1"/>
      <c r="K7510" s="1"/>
      <c r="L7510" s="1"/>
      <c r="M7510" s="1"/>
      <c r="N7510" s="1"/>
      <c r="O7510" s="1"/>
      <c r="P7510" s="1"/>
      <c r="Q7510" s="1"/>
      <c r="R7510" s="1"/>
      <c r="S7510" s="1"/>
      <c r="T7510" s="1"/>
      <c r="U7510" s="1"/>
      <c r="V7510" s="1"/>
      <c r="W7510" s="1"/>
      <c r="X7510" s="1"/>
      <c r="Y7510" s="1"/>
      <c r="Z7510" s="1"/>
      <c r="AA7510" s="1"/>
      <c r="AB7510" s="1"/>
    </row>
    <row r="7511" ht="50.25" customHeight="1">
      <c r="A7511" s="12">
        <v>7507.0</v>
      </c>
      <c r="B7511" s="13" t="s">
        <v>7028</v>
      </c>
      <c r="C7511" s="14" t="s">
        <v>7535</v>
      </c>
      <c r="D7511" s="1"/>
      <c r="E7511" s="1"/>
      <c r="F7511" s="1" t="str">
        <f>IFERROR(__xludf.DUMMYFUNCTION("GOOGLETRANSLATE(B7511, ""en"", ""fa"")
"),"موفقیت در ای بی")</f>
        <v>موفقیت در ای بی</v>
      </c>
      <c r="G7511" s="1" t="str">
        <f>IFERROR(__xludf.DUMMYFUNCTION("GOOGLETRANSLATE(C7511, ""en"", ""fa"")
"),"چه استراتژی هایی را می توانم برای اجرای بهینه سازی قیمت در انواع مختلف محصول یا گزینه هایی برای به حداکثر رساندن سود در eBay به کار بگیرم؟")</f>
        <v>چه استراتژی هایی را می توانم برای اجرای بهینه سازی قیمت در انواع مختلف محصول یا گزینه هایی برای به حداکثر رساندن سود در eBay به کار بگیرم؟</v>
      </c>
      <c r="H7511" s="1"/>
      <c r="I7511" s="1"/>
      <c r="J7511" s="1"/>
      <c r="K7511" s="1"/>
      <c r="L7511" s="1"/>
      <c r="M7511" s="1"/>
      <c r="N7511" s="1"/>
      <c r="O7511" s="1"/>
      <c r="P7511" s="1"/>
      <c r="Q7511" s="1"/>
      <c r="R7511" s="1"/>
      <c r="S7511" s="1"/>
      <c r="T7511" s="1"/>
      <c r="U7511" s="1"/>
      <c r="V7511" s="1"/>
      <c r="W7511" s="1"/>
      <c r="X7511" s="1"/>
      <c r="Y7511" s="1"/>
      <c r="Z7511" s="1"/>
      <c r="AA7511" s="1"/>
      <c r="AB7511" s="1"/>
    </row>
    <row r="7512" ht="50.25" customHeight="1">
      <c r="A7512" s="12">
        <v>7508.0</v>
      </c>
      <c r="B7512" s="13" t="s">
        <v>7028</v>
      </c>
      <c r="C7512" s="14" t="s">
        <v>7536</v>
      </c>
      <c r="D7512" s="1"/>
      <c r="E7512" s="1"/>
      <c r="F7512" s="1" t="str">
        <f>IFERROR(__xludf.DUMMYFUNCTION("GOOGLETRANSLATE(B7512, ""en"", ""fa"")
"),"موفقیت در ای بی")</f>
        <v>موفقیت در ای بی</v>
      </c>
      <c r="G7512" s="1" t="str">
        <f>IFERROR(__xludf.DUMMYFUNCTION("GOOGLETRANSLATE(C7512, ""en"", ""fa"")
"),"چگونه می توانم به طور موثر با متمایزکننده های قیمت، مانند کیفیت محصول، شهرت نام تجاری، یا ویژگی های منحصر به فرد ارتباط برقرار کنم تا امتیاز قیمت بالاتر را در eBay توجیه کنم؟")</f>
        <v>چگونه می توانم به طور موثر با متمایزکننده های قیمت، مانند کیفیت محصول، شهرت نام تجاری، یا ویژگی های منحصر به فرد ارتباط برقرار کنم تا امتیاز قیمت بالاتر را در eBay توجیه کنم؟</v>
      </c>
      <c r="H7512" s="1"/>
      <c r="I7512" s="1"/>
      <c r="J7512" s="1"/>
      <c r="K7512" s="1"/>
      <c r="L7512" s="1"/>
      <c r="M7512" s="1"/>
      <c r="N7512" s="1"/>
      <c r="O7512" s="1"/>
      <c r="P7512" s="1"/>
      <c r="Q7512" s="1"/>
      <c r="R7512" s="1"/>
      <c r="S7512" s="1"/>
      <c r="T7512" s="1"/>
      <c r="U7512" s="1"/>
      <c r="V7512" s="1"/>
      <c r="W7512" s="1"/>
      <c r="X7512" s="1"/>
      <c r="Y7512" s="1"/>
      <c r="Z7512" s="1"/>
      <c r="AA7512" s="1"/>
      <c r="AB7512" s="1"/>
    </row>
    <row r="7513" ht="50.25" customHeight="1">
      <c r="A7513" s="12">
        <v>7509.0</v>
      </c>
      <c r="B7513" s="13" t="s">
        <v>7028</v>
      </c>
      <c r="C7513" s="14" t="s">
        <v>7537</v>
      </c>
      <c r="D7513" s="1"/>
      <c r="E7513" s="1"/>
      <c r="F7513" s="1" t="str">
        <f>IFERROR(__xludf.DUMMYFUNCTION("GOOGLETRANSLATE(B7513, ""en"", ""fa"")
"),"موفقیت در ای بی")</f>
        <v>موفقیت در ای بی</v>
      </c>
      <c r="G7513" s="1" t="str">
        <f>IFERROR(__xludf.DUMMYFUNCTION("GOOGLETRANSLATE(C7513, ""en"", ""fa"")
"),"مزایای استفاده از نرم افزار یا ابزارهای قیمت گذاری مجدد پویا برای تنظیم خودکار قیمت و حفظ رقابت در eBay چیست؟")</f>
        <v>مزایای استفاده از نرم افزار یا ابزارهای قیمت گذاری مجدد پویا برای تنظیم خودکار قیمت و حفظ رقابت در eBay چیست؟</v>
      </c>
      <c r="H7513" s="1"/>
      <c r="I7513" s="1"/>
      <c r="J7513" s="1"/>
      <c r="K7513" s="1"/>
      <c r="L7513" s="1"/>
      <c r="M7513" s="1"/>
      <c r="N7513" s="1"/>
      <c r="O7513" s="1"/>
      <c r="P7513" s="1"/>
      <c r="Q7513" s="1"/>
      <c r="R7513" s="1"/>
      <c r="S7513" s="1"/>
      <c r="T7513" s="1"/>
      <c r="U7513" s="1"/>
      <c r="V7513" s="1"/>
      <c r="W7513" s="1"/>
      <c r="X7513" s="1"/>
      <c r="Y7513" s="1"/>
      <c r="Z7513" s="1"/>
      <c r="AA7513" s="1"/>
      <c r="AB7513" s="1"/>
    </row>
    <row r="7514" ht="50.25" customHeight="1">
      <c r="A7514" s="12">
        <v>7510.0</v>
      </c>
      <c r="B7514" s="13" t="s">
        <v>7028</v>
      </c>
      <c r="C7514" s="14" t="s">
        <v>7538</v>
      </c>
      <c r="D7514" s="1"/>
      <c r="E7514" s="1"/>
      <c r="F7514" s="1" t="str">
        <f>IFERROR(__xludf.DUMMYFUNCTION("GOOGLETRANSLATE(B7514, ""en"", ""fa"")
"),"موفقیت در ای بی")</f>
        <v>موفقیت در ای بی</v>
      </c>
      <c r="G7514" s="1" t="str">
        <f>IFERROR(__xludf.DUMMYFUNCTION("GOOGLETRANSLATE(C7514, ""en"", ""fa"")
"),"چگونه می‌توانم فهرست‌های eBay خود را با اطلاعات قیمت‌گذاری واضح و شفاف، از جمله هزینه‌ها یا هزینه‌های اضافی، برای ایجاد اعتماد و اطمینان خریدار بهینه کنم؟")</f>
        <v>چگونه می‌توانم فهرست‌های eBay خود را با اطلاعات قیمت‌گذاری واضح و شفاف، از جمله هزینه‌ها یا هزینه‌های اضافی، برای ایجاد اعتماد و اطمینان خریدار بهینه کنم؟</v>
      </c>
      <c r="H7514" s="1"/>
      <c r="I7514" s="1"/>
      <c r="J7514" s="1"/>
      <c r="K7514" s="1"/>
      <c r="L7514" s="1"/>
      <c r="M7514" s="1"/>
      <c r="N7514" s="1"/>
      <c r="O7514" s="1"/>
      <c r="P7514" s="1"/>
      <c r="Q7514" s="1"/>
      <c r="R7514" s="1"/>
      <c r="S7514" s="1"/>
      <c r="T7514" s="1"/>
      <c r="U7514" s="1"/>
      <c r="V7514" s="1"/>
      <c r="W7514" s="1"/>
      <c r="X7514" s="1"/>
      <c r="Y7514" s="1"/>
      <c r="Z7514" s="1"/>
      <c r="AA7514" s="1"/>
      <c r="AB7514" s="1"/>
    </row>
    <row r="7515" ht="50.25" customHeight="1">
      <c r="A7515" s="12">
        <v>7511.0</v>
      </c>
      <c r="B7515" s="13" t="s">
        <v>7028</v>
      </c>
      <c r="C7515" s="14" t="s">
        <v>7539</v>
      </c>
      <c r="D7515" s="1"/>
      <c r="E7515" s="1"/>
      <c r="F7515" s="1" t="str">
        <f>IFERROR(__xludf.DUMMYFUNCTION("GOOGLETRANSLATE(B7515, ""en"", ""fa"")
"),"موفقیت در ای بی")</f>
        <v>موفقیت در ای بی</v>
      </c>
      <c r="G7515" s="1" t="str">
        <f>IFERROR(__xludf.DUMMYFUNCTION("GOOGLETRANSLATE(C7515, ""en"", ""fa"")
"),"از چه استراتژی‌هایی می‌توانم برای پیاده‌سازی تکنیک‌های قیمت‌گذاری روان‌شناختی، مانند قیمت‌گذاری جذاب یا لنگر انداختن قیمت، برای تأثیرگذاری بر ادراک خریدار و افزایش تبدیل‌ها در eBay استفاده کنم؟")</f>
        <v>از چه استراتژی‌هایی می‌توانم برای پیاده‌سازی تکنیک‌های قیمت‌گذاری روان‌شناختی، مانند قیمت‌گذاری جذاب یا لنگر انداختن قیمت، برای تأثیرگذاری بر ادراک خریدار و افزایش تبدیل‌ها در eBay استفاده کنم؟</v>
      </c>
      <c r="H7515" s="1"/>
      <c r="I7515" s="1"/>
      <c r="J7515" s="1"/>
      <c r="K7515" s="1"/>
      <c r="L7515" s="1"/>
      <c r="M7515" s="1"/>
      <c r="N7515" s="1"/>
      <c r="O7515" s="1"/>
      <c r="P7515" s="1"/>
      <c r="Q7515" s="1"/>
      <c r="R7515" s="1"/>
      <c r="S7515" s="1"/>
      <c r="T7515" s="1"/>
      <c r="U7515" s="1"/>
      <c r="V7515" s="1"/>
      <c r="W7515" s="1"/>
      <c r="X7515" s="1"/>
      <c r="Y7515" s="1"/>
      <c r="Z7515" s="1"/>
      <c r="AA7515" s="1"/>
      <c r="AB7515" s="1"/>
    </row>
    <row r="7516" ht="50.25" customHeight="1">
      <c r="A7516" s="12">
        <v>7512.0</v>
      </c>
      <c r="B7516" s="13" t="s">
        <v>7028</v>
      </c>
      <c r="C7516" s="14" t="s">
        <v>7540</v>
      </c>
      <c r="D7516" s="1"/>
      <c r="E7516" s="1"/>
      <c r="F7516" s="1" t="str">
        <f>IFERROR(__xludf.DUMMYFUNCTION("GOOGLETRANSLATE(B7516, ""en"", ""fa"")
"),"موفقیت در ای بی")</f>
        <v>موفقیت در ای بی</v>
      </c>
      <c r="G7516" s="1" t="str">
        <f>IFERROR(__xludf.DUMMYFUNCTION("GOOGLETRANSLATE(C7516, ""en"", ""fa"")
"),"چگونه می توانم به طور موثر از استراتژی های قیمت گذاری تبلیغاتی، مانند فروش فلش یا پیشنهادات با زمان محدود، برای ایجاد احساس فوریت و افزایش فروش در eBay استفاده کنم؟")</f>
        <v>چگونه می توانم به طور موثر از استراتژی های قیمت گذاری تبلیغاتی، مانند فروش فلش یا پیشنهادات با زمان محدود، برای ایجاد احساس فوریت و افزایش فروش در eBay استفاده کنم؟</v>
      </c>
      <c r="H7516" s="1"/>
      <c r="I7516" s="1"/>
      <c r="J7516" s="1"/>
      <c r="K7516" s="1"/>
      <c r="L7516" s="1"/>
      <c r="M7516" s="1"/>
      <c r="N7516" s="1"/>
      <c r="O7516" s="1"/>
      <c r="P7516" s="1"/>
      <c r="Q7516" s="1"/>
      <c r="R7516" s="1"/>
      <c r="S7516" s="1"/>
      <c r="T7516" s="1"/>
      <c r="U7516" s="1"/>
      <c r="V7516" s="1"/>
      <c r="W7516" s="1"/>
      <c r="X7516" s="1"/>
      <c r="Y7516" s="1"/>
      <c r="Z7516" s="1"/>
      <c r="AA7516" s="1"/>
      <c r="AB7516" s="1"/>
    </row>
    <row r="7517" ht="50.25" customHeight="1">
      <c r="A7517" s="12">
        <v>7513.0</v>
      </c>
      <c r="B7517" s="13" t="s">
        <v>7028</v>
      </c>
      <c r="C7517" s="14" t="s">
        <v>7541</v>
      </c>
      <c r="D7517" s="1"/>
      <c r="E7517" s="1"/>
      <c r="F7517" s="1" t="str">
        <f>IFERROR(__xludf.DUMMYFUNCTION("GOOGLETRANSLATE(B7517, ""en"", ""fa"")
"),"موفقیت در ای بی")</f>
        <v>موفقیت در ای بی</v>
      </c>
      <c r="G7517" s="1" t="str">
        <f>IFERROR(__xludf.DUMMYFUNCTION("GOOGLETRANSLATE(C7517, ""en"", ""fa"")
"),"ملاحظات کلیدی هنگام اجرای استراتژی های قیمت گذاری برای اقلام بازسازی شده یا دارای مالکیت قبلی برای به حداکثر رساندن سود در eBay چیست؟")</f>
        <v>ملاحظات کلیدی هنگام اجرای استراتژی های قیمت گذاری برای اقلام بازسازی شده یا دارای مالکیت قبلی برای به حداکثر رساندن سود در eBay چیست؟</v>
      </c>
      <c r="H7517" s="1"/>
      <c r="I7517" s="1"/>
      <c r="J7517" s="1"/>
      <c r="K7517" s="1"/>
      <c r="L7517" s="1"/>
      <c r="M7517" s="1"/>
      <c r="N7517" s="1"/>
      <c r="O7517" s="1"/>
      <c r="P7517" s="1"/>
      <c r="Q7517" s="1"/>
      <c r="R7517" s="1"/>
      <c r="S7517" s="1"/>
      <c r="T7517" s="1"/>
      <c r="U7517" s="1"/>
      <c r="V7517" s="1"/>
      <c r="W7517" s="1"/>
      <c r="X7517" s="1"/>
      <c r="Y7517" s="1"/>
      <c r="Z7517" s="1"/>
      <c r="AA7517" s="1"/>
      <c r="AB7517" s="1"/>
    </row>
    <row r="7518" ht="50.25" customHeight="1">
      <c r="A7518" s="12">
        <v>7514.0</v>
      </c>
      <c r="B7518" s="13" t="s">
        <v>7028</v>
      </c>
      <c r="C7518" s="14" t="s">
        <v>7542</v>
      </c>
      <c r="D7518" s="1"/>
      <c r="E7518" s="1"/>
      <c r="F7518" s="1" t="str">
        <f>IFERROR(__xludf.DUMMYFUNCTION("GOOGLETRANSLATE(B7518, ""en"", ""fa"")
"),"موفقیت در ای بی")</f>
        <v>موفقیت در ای بی</v>
      </c>
      <c r="G7518" s="1" t="str">
        <f>IFERROR(__xludf.DUMMYFUNCTION("GOOGLETRANSLATE(C7518, ""en"", ""fa"")
"),"چگونه می توانم از نظرات و بازخورد مشتریان برای ارزیابی ارزش درک شده و تعدیل قیمت بر اساس احساسات خریدار در eBay استفاده کنم؟")</f>
        <v>چگونه می توانم از نظرات و بازخورد مشتریان برای ارزیابی ارزش درک شده و تعدیل قیمت بر اساس احساسات خریدار در eBay استفاده کنم؟</v>
      </c>
      <c r="H7518" s="1"/>
      <c r="I7518" s="1"/>
      <c r="J7518" s="1"/>
      <c r="K7518" s="1"/>
      <c r="L7518" s="1"/>
      <c r="M7518" s="1"/>
      <c r="N7518" s="1"/>
      <c r="O7518" s="1"/>
      <c r="P7518" s="1"/>
      <c r="Q7518" s="1"/>
      <c r="R7518" s="1"/>
      <c r="S7518" s="1"/>
      <c r="T7518" s="1"/>
      <c r="U7518" s="1"/>
      <c r="V7518" s="1"/>
      <c r="W7518" s="1"/>
      <c r="X7518" s="1"/>
      <c r="Y7518" s="1"/>
      <c r="Z7518" s="1"/>
      <c r="AA7518" s="1"/>
      <c r="AB7518" s="1"/>
    </row>
    <row r="7519" ht="50.25" customHeight="1">
      <c r="A7519" s="12">
        <v>7515.0</v>
      </c>
      <c r="B7519" s="13" t="s">
        <v>7028</v>
      </c>
      <c r="C7519" s="14" t="s">
        <v>7543</v>
      </c>
      <c r="D7519" s="1"/>
      <c r="E7519" s="1"/>
      <c r="F7519" s="1" t="str">
        <f>IFERROR(__xludf.DUMMYFUNCTION("GOOGLETRANSLATE(B7519, ""en"", ""fa"")
"),"موفقیت در ای بی")</f>
        <v>موفقیت در ای بی</v>
      </c>
      <c r="G7519" s="1" t="str">
        <f>IFERROR(__xludf.DUMMYFUNCTION("GOOGLETRANSLATE(C7519, ""en"", ""fa"")
"),"برای بهینه‌سازی قیمت‌ها در eBay از چه استراتژی‌هایی می‌توانم برای اجرای هوشمندی قیمت‌گذاری رقابتی، مانند ردیابی روند قیمت‌گذاری و تقاضای بازار استفاده کنم؟")</f>
        <v>برای بهینه‌سازی قیمت‌ها در eBay از چه استراتژی‌هایی می‌توانم برای اجرای هوشمندی قیمت‌گذاری رقابتی، مانند ردیابی روند قیمت‌گذاری و تقاضای بازار استفاده کنم؟</v>
      </c>
      <c r="H7519" s="1"/>
      <c r="I7519" s="1"/>
      <c r="J7519" s="1"/>
      <c r="K7519" s="1"/>
      <c r="L7519" s="1"/>
      <c r="M7519" s="1"/>
      <c r="N7519" s="1"/>
      <c r="O7519" s="1"/>
      <c r="P7519" s="1"/>
      <c r="Q7519" s="1"/>
      <c r="R7519" s="1"/>
      <c r="S7519" s="1"/>
      <c r="T7519" s="1"/>
      <c r="U7519" s="1"/>
      <c r="V7519" s="1"/>
      <c r="W7519" s="1"/>
      <c r="X7519" s="1"/>
      <c r="Y7519" s="1"/>
      <c r="Z7519" s="1"/>
      <c r="AA7519" s="1"/>
      <c r="AB7519" s="1"/>
    </row>
    <row r="7520" ht="50.25" customHeight="1">
      <c r="A7520" s="12">
        <v>7516.0</v>
      </c>
      <c r="B7520" s="13" t="s">
        <v>7028</v>
      </c>
      <c r="C7520" s="14" t="s">
        <v>7544</v>
      </c>
      <c r="D7520" s="1"/>
      <c r="E7520" s="1"/>
      <c r="F7520" s="1" t="str">
        <f>IFERROR(__xludf.DUMMYFUNCTION("GOOGLETRANSLATE(B7520, ""en"", ""fa"")
"),"موفقیت در ای بی")</f>
        <v>موفقیت در ای بی</v>
      </c>
      <c r="G7520" s="1" t="str">
        <f>IFERROR(__xludf.DUMMYFUNCTION("GOOGLETRANSLATE(C7520, ""en"", ""fa"")
"),"چگونه می توانم فروشگاه eBay خود را با ارائه ضمانت های تطبیق قیمت یا سیاست های کاهش قیمت برای جذب خریداران آگاه از قیمت و متمایز شدن از رقبا، بهینه کنم؟")</f>
        <v>چگونه می توانم فروشگاه eBay خود را با ارائه ضمانت های تطبیق قیمت یا سیاست های کاهش قیمت برای جذب خریداران آگاه از قیمت و متمایز شدن از رقبا، بهینه کنم؟</v>
      </c>
      <c r="H7520" s="1"/>
      <c r="I7520" s="1"/>
      <c r="J7520" s="1"/>
      <c r="K7520" s="1"/>
      <c r="L7520" s="1"/>
      <c r="M7520" s="1"/>
      <c r="N7520" s="1"/>
      <c r="O7520" s="1"/>
      <c r="P7520" s="1"/>
      <c r="Q7520" s="1"/>
      <c r="R7520" s="1"/>
      <c r="S7520" s="1"/>
      <c r="T7520" s="1"/>
      <c r="U7520" s="1"/>
      <c r="V7520" s="1"/>
      <c r="W7520" s="1"/>
      <c r="X7520" s="1"/>
      <c r="Y7520" s="1"/>
      <c r="Z7520" s="1"/>
      <c r="AA7520" s="1"/>
      <c r="AB7520" s="1"/>
    </row>
    <row r="7521" ht="50.25" customHeight="1">
      <c r="A7521" s="12">
        <v>7517.0</v>
      </c>
      <c r="B7521" s="13" t="s">
        <v>7028</v>
      </c>
      <c r="C7521" s="14" t="s">
        <v>7545</v>
      </c>
      <c r="D7521" s="1"/>
      <c r="E7521" s="1"/>
      <c r="F7521" s="1" t="str">
        <f>IFERROR(__xludf.DUMMYFUNCTION("GOOGLETRANSLATE(B7521, ""en"", ""fa"")
"),"موفقیت در ای بی")</f>
        <v>موفقیت در ای بی</v>
      </c>
      <c r="G7521" s="1" t="str">
        <f>IFERROR(__xludf.DUMMYFUNCTION("GOOGLETRANSLATE(C7521, ""en"", ""fa"")
"),"مزایای اجرای استراتژی‌های قیمت‌گذاری پویا که با جمعیت‌شناسی خریدار یا بازارهای جغرافیایی در eBay همسو هستند چیست؟")</f>
        <v>مزایای اجرای استراتژی‌های قیمت‌گذاری پویا که با جمعیت‌شناسی خریدار یا بازارهای جغرافیایی در eBay همسو هستند چیست؟</v>
      </c>
      <c r="H7521" s="1"/>
      <c r="I7521" s="1"/>
      <c r="J7521" s="1"/>
      <c r="K7521" s="1"/>
      <c r="L7521" s="1"/>
      <c r="M7521" s="1"/>
      <c r="N7521" s="1"/>
      <c r="O7521" s="1"/>
      <c r="P7521" s="1"/>
      <c r="Q7521" s="1"/>
      <c r="R7521" s="1"/>
      <c r="S7521" s="1"/>
      <c r="T7521" s="1"/>
      <c r="U7521" s="1"/>
      <c r="V7521" s="1"/>
      <c r="W7521" s="1"/>
      <c r="X7521" s="1"/>
      <c r="Y7521" s="1"/>
      <c r="Z7521" s="1"/>
      <c r="AA7521" s="1"/>
      <c r="AB7521" s="1"/>
    </row>
    <row r="7522" ht="50.25" customHeight="1">
      <c r="A7522" s="12">
        <v>7518.0</v>
      </c>
      <c r="B7522" s="13" t="s">
        <v>7028</v>
      </c>
      <c r="C7522" s="14" t="s">
        <v>7546</v>
      </c>
      <c r="D7522" s="1"/>
      <c r="E7522" s="1"/>
      <c r="F7522" s="1" t="str">
        <f>IFERROR(__xludf.DUMMYFUNCTION("GOOGLETRANSLATE(B7522, ""en"", ""fa"")
"),"موفقیت در ای بی")</f>
        <v>موفقیت در ای بی</v>
      </c>
      <c r="G7522" s="1" t="str">
        <f>IFERROR(__xludf.DUMMYFUNCTION("GOOGLETRANSLATE(C7522, ""en"", ""fa"")
"),"چگونه می توانم به طور پیشگیرانه با موارد کاهش قیمت یا جنگ قیمت با رقبا و در عین حال حفظ سودآوری در eBay برخورد کنم؟")</f>
        <v>چگونه می توانم به طور پیشگیرانه با موارد کاهش قیمت یا جنگ قیمت با رقبا و در عین حال حفظ سودآوری در eBay برخورد کنم؟</v>
      </c>
      <c r="H7522" s="1"/>
      <c r="I7522" s="1"/>
      <c r="J7522" s="1"/>
      <c r="K7522" s="1"/>
      <c r="L7522" s="1"/>
      <c r="M7522" s="1"/>
      <c r="N7522" s="1"/>
      <c r="O7522" s="1"/>
      <c r="P7522" s="1"/>
      <c r="Q7522" s="1"/>
      <c r="R7522" s="1"/>
      <c r="S7522" s="1"/>
      <c r="T7522" s="1"/>
      <c r="U7522" s="1"/>
      <c r="V7522" s="1"/>
      <c r="W7522" s="1"/>
      <c r="X7522" s="1"/>
      <c r="Y7522" s="1"/>
      <c r="Z7522" s="1"/>
      <c r="AA7522" s="1"/>
      <c r="AB7522" s="1"/>
    </row>
    <row r="7523" ht="50.25" customHeight="1">
      <c r="A7523" s="12">
        <v>7519.0</v>
      </c>
      <c r="B7523" s="13" t="s">
        <v>7028</v>
      </c>
      <c r="C7523" s="14" t="s">
        <v>7547</v>
      </c>
      <c r="D7523" s="1"/>
      <c r="E7523" s="1"/>
      <c r="F7523" s="1" t="str">
        <f>IFERROR(__xludf.DUMMYFUNCTION("GOOGLETRANSLATE(B7523, ""en"", ""fa"")
"),"موفقیت در ای بی")</f>
        <v>موفقیت در ای بی</v>
      </c>
      <c r="G7523" s="1" t="str">
        <f>IFERROR(__xludf.DUMMYFUNCTION("GOOGLETRANSLATE(C7523, ""en"", ""fa"")
"),"چه استراتژی‌هایی می‌توانم برای اجرای گزینه‌های قیمت‌گذاری انعطاف‌پذیر، مانند حراج‌ها یا بهترین پیشنهادها، برای پاسخگویی به ترجیحات مختلف خریداران و به حداکثر رساندن فروش در eBay استفاده کنم؟")</f>
        <v>چه استراتژی‌هایی می‌توانم برای اجرای گزینه‌های قیمت‌گذاری انعطاف‌پذیر، مانند حراج‌ها یا بهترین پیشنهادها، برای پاسخگویی به ترجیحات مختلف خریداران و به حداکثر رساندن فروش در eBay استفاده کنم؟</v>
      </c>
      <c r="H7523" s="1"/>
      <c r="I7523" s="1"/>
      <c r="J7523" s="1"/>
      <c r="K7523" s="1"/>
      <c r="L7523" s="1"/>
      <c r="M7523" s="1"/>
      <c r="N7523" s="1"/>
      <c r="O7523" s="1"/>
      <c r="P7523" s="1"/>
      <c r="Q7523" s="1"/>
      <c r="R7523" s="1"/>
      <c r="S7523" s="1"/>
      <c r="T7523" s="1"/>
      <c r="U7523" s="1"/>
      <c r="V7523" s="1"/>
      <c r="W7523" s="1"/>
      <c r="X7523" s="1"/>
      <c r="Y7523" s="1"/>
      <c r="Z7523" s="1"/>
      <c r="AA7523" s="1"/>
      <c r="AB7523" s="1"/>
    </row>
    <row r="7524" ht="50.25" customHeight="1">
      <c r="A7524" s="12">
        <v>7520.0</v>
      </c>
      <c r="B7524" s="13" t="s">
        <v>7028</v>
      </c>
      <c r="C7524" s="14" t="s">
        <v>7548</v>
      </c>
      <c r="D7524" s="1"/>
      <c r="E7524" s="1"/>
      <c r="F7524" s="1" t="str">
        <f>IFERROR(__xludf.DUMMYFUNCTION("GOOGLETRANSLATE(B7524, ""en"", ""fa"")
"),"موفقیت در ای بی")</f>
        <v>موفقیت در ای بی</v>
      </c>
      <c r="G7524" s="1" t="str">
        <f>IFERROR(__xludf.DUMMYFUNCTION("GOOGLETRANSLATE(C7524, ""en"", ""fa"")
"),"چگونه می توانم لیست های eBay خود را با توضیحات و تصاویر قانع کننده محصول بهینه کنم تا ارزش درک شده را افزایش داده و امتیاز قیمت بالاتر را توجیه کنم؟")</f>
        <v>چگونه می توانم لیست های eBay خود را با توضیحات و تصاویر قانع کننده محصول بهینه کنم تا ارزش درک شده را افزایش داده و امتیاز قیمت بالاتر را توجیه کنم؟</v>
      </c>
      <c r="H7524" s="1"/>
      <c r="I7524" s="1"/>
      <c r="J7524" s="1"/>
      <c r="K7524" s="1"/>
      <c r="L7524" s="1"/>
      <c r="M7524" s="1"/>
      <c r="N7524" s="1"/>
      <c r="O7524" s="1"/>
      <c r="P7524" s="1"/>
      <c r="Q7524" s="1"/>
      <c r="R7524" s="1"/>
      <c r="S7524" s="1"/>
      <c r="T7524" s="1"/>
      <c r="U7524" s="1"/>
      <c r="V7524" s="1"/>
      <c r="W7524" s="1"/>
      <c r="X7524" s="1"/>
      <c r="Y7524" s="1"/>
      <c r="Z7524" s="1"/>
      <c r="AA7524" s="1"/>
      <c r="AB7524" s="1"/>
    </row>
    <row r="7525" ht="50.25" customHeight="1">
      <c r="A7525" s="12">
        <v>7521.0</v>
      </c>
      <c r="B7525" s="13" t="s">
        <v>7028</v>
      </c>
      <c r="C7525" s="14" t="s">
        <v>7549</v>
      </c>
      <c r="D7525" s="1"/>
      <c r="E7525" s="1"/>
      <c r="F7525" s="1" t="str">
        <f>IFERROR(__xludf.DUMMYFUNCTION("GOOGLETRANSLATE(B7525, ""en"", ""fa"")
"),"موفقیت در ای بی")</f>
        <v>موفقیت در ای بی</v>
      </c>
      <c r="G7525" s="1" t="str">
        <f>IFERROR(__xludf.DUMMYFUNCTION("GOOGLETRANSLATE(C7525, ""en"", ""fa"")
"),"مزایای استفاده از استراتژی های قیمت گذاری مجدد بر اساس رفتار مرور خریدار یا سابقه خرید برای بهینه سازی قیمت ها در eBay چیست؟")</f>
        <v>مزایای استفاده از استراتژی های قیمت گذاری مجدد بر اساس رفتار مرور خریدار یا سابقه خرید برای بهینه سازی قیمت ها در eBay چیست؟</v>
      </c>
      <c r="H7525" s="1"/>
      <c r="I7525" s="1"/>
      <c r="J7525" s="1"/>
      <c r="K7525" s="1"/>
      <c r="L7525" s="1"/>
      <c r="M7525" s="1"/>
      <c r="N7525" s="1"/>
      <c r="O7525" s="1"/>
      <c r="P7525" s="1"/>
      <c r="Q7525" s="1"/>
      <c r="R7525" s="1"/>
      <c r="S7525" s="1"/>
      <c r="T7525" s="1"/>
      <c r="U7525" s="1"/>
      <c r="V7525" s="1"/>
      <c r="W7525" s="1"/>
      <c r="X7525" s="1"/>
      <c r="Y7525" s="1"/>
      <c r="Z7525" s="1"/>
      <c r="AA7525" s="1"/>
      <c r="AB7525" s="1"/>
    </row>
    <row r="7526" ht="50.25" customHeight="1">
      <c r="A7526" s="12">
        <v>7522.0</v>
      </c>
      <c r="B7526" s="13" t="s">
        <v>7028</v>
      </c>
      <c r="C7526" s="14" t="s">
        <v>7550</v>
      </c>
      <c r="D7526" s="1"/>
      <c r="E7526" s="1"/>
      <c r="F7526" s="1" t="str">
        <f>IFERROR(__xludf.DUMMYFUNCTION("GOOGLETRANSLATE(B7526, ""en"", ""fa"")
"),"موفقیت در ای بی")</f>
        <v>موفقیت در ای بی</v>
      </c>
      <c r="G7526" s="1" t="str">
        <f>IFERROR(__xludf.DUMMYFUNCTION("GOOGLETRANSLATE(C7526, ""en"", ""fa"")
"),"چگونه می توانم به طور موثر قیمت ها را برای فروش ترخیص فصلی یا تبلیغات پایان فصل مدیریت و تنظیم کنم تا موجودی را نقد کنم و درآمد را در eBay به حداکثر برسانم؟")</f>
        <v>چگونه می توانم به طور موثر قیمت ها را برای فروش ترخیص فصلی یا تبلیغات پایان فصل مدیریت و تنظیم کنم تا موجودی را نقد کنم و درآمد را در eBay به حداکثر برسانم؟</v>
      </c>
      <c r="H7526" s="1"/>
      <c r="I7526" s="1"/>
      <c r="J7526" s="1"/>
      <c r="K7526" s="1"/>
      <c r="L7526" s="1"/>
      <c r="M7526" s="1"/>
      <c r="N7526" s="1"/>
      <c r="O7526" s="1"/>
      <c r="P7526" s="1"/>
      <c r="Q7526" s="1"/>
      <c r="R7526" s="1"/>
      <c r="S7526" s="1"/>
      <c r="T7526" s="1"/>
      <c r="U7526" s="1"/>
      <c r="V7526" s="1"/>
      <c r="W7526" s="1"/>
      <c r="X7526" s="1"/>
      <c r="Y7526" s="1"/>
      <c r="Z7526" s="1"/>
      <c r="AA7526" s="1"/>
      <c r="AB7526" s="1"/>
    </row>
    <row r="7527" ht="50.25" customHeight="1">
      <c r="A7527" s="12">
        <v>7523.0</v>
      </c>
      <c r="B7527" s="13" t="s">
        <v>7028</v>
      </c>
      <c r="C7527" s="14" t="s">
        <v>7551</v>
      </c>
      <c r="D7527" s="1"/>
      <c r="E7527" s="1"/>
      <c r="F7527" s="1" t="str">
        <f>IFERROR(__xludf.DUMMYFUNCTION("GOOGLETRANSLATE(B7527, ""en"", ""fa"")
"),"موفقیت در ای بی")</f>
        <v>موفقیت در ای بی</v>
      </c>
      <c r="G7527" s="1" t="str">
        <f>IFERROR(__xludf.DUMMYFUNCTION("GOOGLETRANSLATE(C7527, ""en"", ""fa"")
"),"چه استراتژی‌هایی را می‌توانم برای اجرای بهینه‌سازی قیمت در بازارهای مختلف eBay یا فروش بین‌المللی برای تطبیق با پویایی‌های مختلف بازار به کار ببرم؟")</f>
        <v>چه استراتژی‌هایی را می‌توانم برای اجرای بهینه‌سازی قیمت در بازارهای مختلف eBay یا فروش بین‌المللی برای تطبیق با پویایی‌های مختلف بازار به کار ببرم؟</v>
      </c>
      <c r="H7527" s="1"/>
      <c r="I7527" s="1"/>
      <c r="J7527" s="1"/>
      <c r="K7527" s="1"/>
      <c r="L7527" s="1"/>
      <c r="M7527" s="1"/>
      <c r="N7527" s="1"/>
      <c r="O7527" s="1"/>
      <c r="P7527" s="1"/>
      <c r="Q7527" s="1"/>
      <c r="R7527" s="1"/>
      <c r="S7527" s="1"/>
      <c r="T7527" s="1"/>
      <c r="U7527" s="1"/>
      <c r="V7527" s="1"/>
      <c r="W7527" s="1"/>
      <c r="X7527" s="1"/>
      <c r="Y7527" s="1"/>
      <c r="Z7527" s="1"/>
      <c r="AA7527" s="1"/>
      <c r="AB7527" s="1"/>
    </row>
    <row r="7528" ht="50.25" customHeight="1">
      <c r="A7528" s="12">
        <v>7524.0</v>
      </c>
      <c r="B7528" s="13" t="s">
        <v>7028</v>
      </c>
      <c r="C7528" s="14" t="s">
        <v>7552</v>
      </c>
      <c r="D7528" s="1"/>
      <c r="E7528" s="1"/>
      <c r="F7528" s="1" t="str">
        <f>IFERROR(__xludf.DUMMYFUNCTION("GOOGLETRANSLATE(B7528, ""en"", ""fa"")
"),"موفقیت در ای بی")</f>
        <v>موفقیت در ای بی</v>
      </c>
      <c r="G7528" s="1" t="str">
        <f>IFERROR(__xludf.DUMMYFUNCTION("GOOGLETRANSLATE(C7528, ""en"", ""fa"")
"),"چگونه می توانم از داده های قیمت گذاری و بینش های Terapeak eBay یا ابزارهای تجزیه و تحلیل شخص ثالث برای شناسایی فرصت های قیمت گذاری و بهینه سازی قیمت ها استفاده کنم؟")</f>
        <v>چگونه می توانم از داده های قیمت گذاری و بینش های Terapeak eBay یا ابزارهای تجزیه و تحلیل شخص ثالث برای شناسایی فرصت های قیمت گذاری و بهینه سازی قیمت ها استفاده کنم؟</v>
      </c>
      <c r="H7528" s="1"/>
      <c r="I7528" s="1"/>
      <c r="J7528" s="1"/>
      <c r="K7528" s="1"/>
      <c r="L7528" s="1"/>
      <c r="M7528" s="1"/>
      <c r="N7528" s="1"/>
      <c r="O7528" s="1"/>
      <c r="P7528" s="1"/>
      <c r="Q7528" s="1"/>
      <c r="R7528" s="1"/>
      <c r="S7528" s="1"/>
      <c r="T7528" s="1"/>
      <c r="U7528" s="1"/>
      <c r="V7528" s="1"/>
      <c r="W7528" s="1"/>
      <c r="X7528" s="1"/>
      <c r="Y7528" s="1"/>
      <c r="Z7528" s="1"/>
      <c r="AA7528" s="1"/>
      <c r="AB7528" s="1"/>
    </row>
    <row r="7529" ht="50.25" customHeight="1">
      <c r="A7529" s="12">
        <v>7525.0</v>
      </c>
      <c r="B7529" s="13" t="s">
        <v>7028</v>
      </c>
      <c r="C7529" s="14" t="s">
        <v>7553</v>
      </c>
      <c r="D7529" s="1"/>
      <c r="E7529" s="1"/>
      <c r="F7529" s="1" t="str">
        <f>IFERROR(__xludf.DUMMYFUNCTION("GOOGLETRANSLATE(B7529, ""en"", ""fa"")
"),"موفقیت در ای بی")</f>
        <v>موفقیت در ای بی</v>
      </c>
      <c r="G7529" s="1" t="str">
        <f>IFERROR(__xludf.DUMMYFUNCTION("GOOGLETRANSLATE(C7529, ""en"", ""fa"")
"),"ملاحظات کلیدی هنگام اجرای استراتژی های قیمت گذاری برای اقلام با تعداد محدود یا کمیاب برای به حداکثر رساندن سود در eBay چیست؟")</f>
        <v>ملاحظات کلیدی هنگام اجرای استراتژی های قیمت گذاری برای اقلام با تعداد محدود یا کمیاب برای به حداکثر رساندن سود در eBay چیست؟</v>
      </c>
      <c r="H7529" s="1"/>
      <c r="I7529" s="1"/>
      <c r="J7529" s="1"/>
      <c r="K7529" s="1"/>
      <c r="L7529" s="1"/>
      <c r="M7529" s="1"/>
      <c r="N7529" s="1"/>
      <c r="O7529" s="1"/>
      <c r="P7529" s="1"/>
      <c r="Q7529" s="1"/>
      <c r="R7529" s="1"/>
      <c r="S7529" s="1"/>
      <c r="T7529" s="1"/>
      <c r="U7529" s="1"/>
      <c r="V7529" s="1"/>
      <c r="W7529" s="1"/>
      <c r="X7529" s="1"/>
      <c r="Y7529" s="1"/>
      <c r="Z7529" s="1"/>
      <c r="AA7529" s="1"/>
      <c r="AB7529" s="1"/>
    </row>
    <row r="7530" ht="50.25" customHeight="1">
      <c r="A7530" s="12">
        <v>7526.0</v>
      </c>
      <c r="B7530" s="13" t="s">
        <v>7028</v>
      </c>
      <c r="C7530" s="14" t="s">
        <v>7554</v>
      </c>
      <c r="D7530" s="1"/>
      <c r="E7530" s="1"/>
      <c r="F7530" s="1" t="str">
        <f>IFERROR(__xludf.DUMMYFUNCTION("GOOGLETRANSLATE(B7530, ""en"", ""fa"")
"),"موفقیت در ای بی")</f>
        <v>موفقیت در ای بی</v>
      </c>
      <c r="G7530" s="1" t="str">
        <f>IFERROR(__xludf.DUMMYFUNCTION("GOOGLETRANSLATE(C7530, ""en"", ""fa"")
"),"چگونه می‌توانم از طریق توضیحات متقاعدکننده محصول یا پیام‌های شخصی‌سازی شده در eBay، مزایا یا صرفه‌جویی در هزینه‌های افزایش فروش را به طور فعال به مشتریان منتقل کنم؟")</f>
        <v>چگونه می‌توانم از طریق توضیحات متقاعدکننده محصول یا پیام‌های شخصی‌سازی شده در eBay، مزایا یا صرفه‌جویی در هزینه‌های افزایش فروش را به طور فعال به مشتریان منتقل کنم؟</v>
      </c>
      <c r="H7530" s="1"/>
      <c r="I7530" s="1"/>
      <c r="J7530" s="1"/>
      <c r="K7530" s="1"/>
      <c r="L7530" s="1"/>
      <c r="M7530" s="1"/>
      <c r="N7530" s="1"/>
      <c r="O7530" s="1"/>
      <c r="P7530" s="1"/>
      <c r="Q7530" s="1"/>
      <c r="R7530" s="1"/>
      <c r="S7530" s="1"/>
      <c r="T7530" s="1"/>
      <c r="U7530" s="1"/>
      <c r="V7530" s="1"/>
      <c r="W7530" s="1"/>
      <c r="X7530" s="1"/>
      <c r="Y7530" s="1"/>
      <c r="Z7530" s="1"/>
      <c r="AA7530" s="1"/>
      <c r="AB7530" s="1"/>
    </row>
    <row r="7531" ht="50.25" customHeight="1">
      <c r="A7531" s="12">
        <v>7527.0</v>
      </c>
      <c r="B7531" s="13" t="s">
        <v>7028</v>
      </c>
      <c r="C7531" s="14" t="s">
        <v>7555</v>
      </c>
      <c r="D7531" s="1"/>
      <c r="E7531" s="1"/>
      <c r="F7531" s="1" t="str">
        <f>IFERROR(__xludf.DUMMYFUNCTION("GOOGLETRANSLATE(B7531, ""en"", ""fa"")
"),"موفقیت در ای بی")</f>
        <v>موفقیت در ای بی</v>
      </c>
      <c r="G7531" s="1" t="str">
        <f>IFERROR(__xludf.DUMMYFUNCTION("GOOGLETRANSLATE(C7531, ""en"", ""fa"")
"),"مزایای ایجاد کمپین ها یا بسته های تبلیغاتی متقابل برای مناسبت های فصلی یا موضوعی، مانند تعطیلات یا رویدادهای خاص، در eBay چیست؟")</f>
        <v>مزایای ایجاد کمپین ها یا بسته های تبلیغاتی متقابل برای مناسبت های فصلی یا موضوعی، مانند تعطیلات یا رویدادهای خاص، در eBay چیست؟</v>
      </c>
      <c r="H7531" s="1"/>
      <c r="I7531" s="1"/>
      <c r="J7531" s="1"/>
      <c r="K7531" s="1"/>
      <c r="L7531" s="1"/>
      <c r="M7531" s="1"/>
      <c r="N7531" s="1"/>
      <c r="O7531" s="1"/>
      <c r="P7531" s="1"/>
      <c r="Q7531" s="1"/>
      <c r="R7531" s="1"/>
      <c r="S7531" s="1"/>
      <c r="T7531" s="1"/>
      <c r="U7531" s="1"/>
      <c r="V7531" s="1"/>
      <c r="W7531" s="1"/>
      <c r="X7531" s="1"/>
      <c r="Y7531" s="1"/>
      <c r="Z7531" s="1"/>
      <c r="AA7531" s="1"/>
      <c r="AB7531" s="1"/>
    </row>
    <row r="7532" ht="50.25" customHeight="1">
      <c r="A7532" s="12">
        <v>7528.0</v>
      </c>
      <c r="B7532" s="13" t="s">
        <v>7028</v>
      </c>
      <c r="C7532" s="14" t="s">
        <v>7556</v>
      </c>
      <c r="D7532" s="1"/>
      <c r="E7532" s="1"/>
      <c r="F7532" s="1" t="str">
        <f>IFERROR(__xludf.DUMMYFUNCTION("GOOGLETRANSLATE(B7532, ""en"", ""fa"")
"),"موفقیت در ای بی")</f>
        <v>موفقیت در ای بی</v>
      </c>
      <c r="G7532" s="1" t="str">
        <f>IFERROR(__xludf.DUMMYFUNCTION("GOOGLETRANSLATE(C7532, ""en"", ""fa"")
"),"چگونه می توانم برای جلب توجه خریداران و تشویق به افزایش فروش، قرار دادن و مشاهده لینک ها یا بنرهای تبلیغات متقابل را در لیست های eBay بهینه کنم؟")</f>
        <v>چگونه می توانم برای جلب توجه خریداران و تشویق به افزایش فروش، قرار دادن و مشاهده لینک ها یا بنرهای تبلیغات متقابل را در لیست های eBay بهینه کنم؟</v>
      </c>
      <c r="H7532" s="1"/>
      <c r="I7532" s="1"/>
      <c r="J7532" s="1"/>
      <c r="K7532" s="1"/>
      <c r="L7532" s="1"/>
      <c r="M7532" s="1"/>
      <c r="N7532" s="1"/>
      <c r="O7532" s="1"/>
      <c r="P7532" s="1"/>
      <c r="Q7532" s="1"/>
      <c r="R7532" s="1"/>
      <c r="S7532" s="1"/>
      <c r="T7532" s="1"/>
      <c r="U7532" s="1"/>
      <c r="V7532" s="1"/>
      <c r="W7532" s="1"/>
      <c r="X7532" s="1"/>
      <c r="Y7532" s="1"/>
      <c r="Z7532" s="1"/>
      <c r="AA7532" s="1"/>
      <c r="AB7532" s="1"/>
    </row>
    <row r="7533" ht="50.25" customHeight="1">
      <c r="A7533" s="12">
        <v>7529.0</v>
      </c>
      <c r="B7533" s="13" t="s">
        <v>7028</v>
      </c>
      <c r="C7533" s="14" t="s">
        <v>7557</v>
      </c>
      <c r="D7533" s="1"/>
      <c r="E7533" s="1"/>
      <c r="F7533" s="1" t="str">
        <f>IFERROR(__xludf.DUMMYFUNCTION("GOOGLETRANSLATE(B7533, ""en"", ""fa"")
"),"موفقیت در ای بی")</f>
        <v>موفقیت در ای بی</v>
      </c>
      <c r="G7533" s="1" t="str">
        <f>IFERROR(__xludf.DUMMYFUNCTION("GOOGLETRANSLATE(C7533, ""en"", ""fa"")
"),"ملاحظات کلیدی هنگام شناسایی فرصت‌های فروش متقابل بر اساس تقسیم‌بندی مشتری، الگوهای خرید یا تمایل به محصول در eBay چیست؟")</f>
        <v>ملاحظات کلیدی هنگام شناسایی فرصت‌های فروش متقابل بر اساس تقسیم‌بندی مشتری، الگوهای خرید یا تمایل به محصول در eBay چیست؟</v>
      </c>
      <c r="H7533" s="1"/>
      <c r="I7533" s="1"/>
      <c r="J7533" s="1"/>
      <c r="K7533" s="1"/>
      <c r="L7533" s="1"/>
      <c r="M7533" s="1"/>
      <c r="N7533" s="1"/>
      <c r="O7533" s="1"/>
      <c r="P7533" s="1"/>
      <c r="Q7533" s="1"/>
      <c r="R7533" s="1"/>
      <c r="S7533" s="1"/>
      <c r="T7533" s="1"/>
      <c r="U7533" s="1"/>
      <c r="V7533" s="1"/>
      <c r="W7533" s="1"/>
      <c r="X7533" s="1"/>
      <c r="Y7533" s="1"/>
      <c r="Z7533" s="1"/>
      <c r="AA7533" s="1"/>
      <c r="AB7533" s="1"/>
    </row>
    <row r="7534" ht="50.25" customHeight="1">
      <c r="A7534" s="12">
        <v>7530.0</v>
      </c>
      <c r="B7534" s="13" t="s">
        <v>7028</v>
      </c>
      <c r="C7534" s="14" t="s">
        <v>7558</v>
      </c>
      <c r="D7534" s="1"/>
      <c r="E7534" s="1"/>
      <c r="F7534" s="1" t="str">
        <f>IFERROR(__xludf.DUMMYFUNCTION("GOOGLETRANSLATE(B7534, ""en"", ""fa"")
"),"موفقیت در ای بی")</f>
        <v>موفقیت در ای بی</v>
      </c>
      <c r="G7534" s="1" t="str">
        <f>IFERROR(__xludf.DUMMYFUNCTION("GOOGLETRANSLATE(C7534, ""en"", ""fa"")
"),"چگونه می توانم ارزش پیشنهادی اقلام خریداری شده را به طور موثر به نمایش بگذارم، با تاکید بر اینکه چگونه آنها محصول اصلی را بهبود می بخشند یا عملکردهای اضافی را در eBay ارائه می دهند؟")</f>
        <v>چگونه می توانم ارزش پیشنهادی اقلام خریداری شده را به طور موثر به نمایش بگذارم، با تاکید بر اینکه چگونه آنها محصول اصلی را بهبود می بخشند یا عملکردهای اضافی را در eBay ارائه می دهند؟</v>
      </c>
      <c r="H7534" s="1"/>
      <c r="I7534" s="1"/>
      <c r="J7534" s="1"/>
      <c r="K7534" s="1"/>
      <c r="L7534" s="1"/>
      <c r="M7534" s="1"/>
      <c r="N7534" s="1"/>
      <c r="O7534" s="1"/>
      <c r="P7534" s="1"/>
      <c r="Q7534" s="1"/>
      <c r="R7534" s="1"/>
      <c r="S7534" s="1"/>
      <c r="T7534" s="1"/>
      <c r="U7534" s="1"/>
      <c r="V7534" s="1"/>
      <c r="W7534" s="1"/>
      <c r="X7534" s="1"/>
      <c r="Y7534" s="1"/>
      <c r="Z7534" s="1"/>
      <c r="AA7534" s="1"/>
      <c r="AB7534" s="1"/>
    </row>
    <row r="7535" ht="50.25" customHeight="1">
      <c r="A7535" s="12">
        <v>7531.0</v>
      </c>
      <c r="B7535" s="13" t="s">
        <v>7028</v>
      </c>
      <c r="C7535" s="14" t="s">
        <v>7559</v>
      </c>
      <c r="D7535" s="1"/>
      <c r="E7535" s="1"/>
      <c r="F7535" s="1" t="str">
        <f>IFERROR(__xludf.DUMMYFUNCTION("GOOGLETRANSLATE(B7535, ""en"", ""fa"")
"),"موفقیت در ای بی")</f>
        <v>موفقیت در ای بی</v>
      </c>
      <c r="G7535" s="1" t="str">
        <f>IFERROR(__xludf.DUMMYFUNCTION("GOOGLETRANSLATE(C7535, ""en"", ""fa"")
"),"چه استراتژی‌هایی را می‌توانم به کار بگیرم تا با نمایش تجربیات مثبت در eBay، از نظرات یا توصیفات مشتریان برای حمایت از تلاش‌های تبلیغات متقابل و افزایش فروش حمایت کنم؟")</f>
        <v>چه استراتژی‌هایی را می‌توانم به کار بگیرم تا با نمایش تجربیات مثبت در eBay، از نظرات یا توصیفات مشتریان برای حمایت از تلاش‌های تبلیغات متقابل و افزایش فروش حمایت کنم؟</v>
      </c>
      <c r="H7535" s="1"/>
      <c r="I7535" s="1"/>
      <c r="J7535" s="1"/>
      <c r="K7535" s="1"/>
      <c r="L7535" s="1"/>
      <c r="M7535" s="1"/>
      <c r="N7535" s="1"/>
      <c r="O7535" s="1"/>
      <c r="P7535" s="1"/>
      <c r="Q7535" s="1"/>
      <c r="R7535" s="1"/>
      <c r="S7535" s="1"/>
      <c r="T7535" s="1"/>
      <c r="U7535" s="1"/>
      <c r="V7535" s="1"/>
      <c r="W7535" s="1"/>
      <c r="X7535" s="1"/>
      <c r="Y7535" s="1"/>
      <c r="Z7535" s="1"/>
      <c r="AA7535" s="1"/>
      <c r="AB7535" s="1"/>
    </row>
    <row r="7536" ht="50.25" customHeight="1">
      <c r="A7536" s="12">
        <v>7532.0</v>
      </c>
      <c r="B7536" s="13" t="s">
        <v>7028</v>
      </c>
      <c r="C7536" s="14" t="s">
        <v>7560</v>
      </c>
      <c r="D7536" s="1"/>
      <c r="E7536" s="1"/>
      <c r="F7536" s="1" t="str">
        <f>IFERROR(__xludf.DUMMYFUNCTION("GOOGLETRANSLATE(B7536, ""en"", ""fa"")
"),"موفقیت در ای بی")</f>
        <v>موفقیت در ای بی</v>
      </c>
      <c r="G7536" s="1" t="str">
        <f>IFERROR(__xludf.DUMMYFUNCTION("GOOGLETRANSLATE(C7536, ""en"", ""fa"")
"),"چگونه می‌توانم مشتریان مکرر را تشویق کنم تا محصولات مرتبط یا گزینه‌های سطح بالاتر را از طریق پاداش‌های وفاداری، پیشنهادات انحصاری، یا توصیه‌های شخصی‌شده در eBay کشف کنند؟")</f>
        <v>چگونه می‌توانم مشتریان مکرر را تشویق کنم تا محصولات مرتبط یا گزینه‌های سطح بالاتر را از طریق پاداش‌های وفاداری، پیشنهادات انحصاری، یا توصیه‌های شخصی‌شده در eBay کشف کنند؟</v>
      </c>
      <c r="H7536" s="1"/>
      <c r="I7536" s="1"/>
      <c r="J7536" s="1"/>
      <c r="K7536" s="1"/>
      <c r="L7536" s="1"/>
      <c r="M7536" s="1"/>
      <c r="N7536" s="1"/>
      <c r="O7536" s="1"/>
      <c r="P7536" s="1"/>
      <c r="Q7536" s="1"/>
      <c r="R7536" s="1"/>
      <c r="S7536" s="1"/>
      <c r="T7536" s="1"/>
      <c r="U7536" s="1"/>
      <c r="V7536" s="1"/>
      <c r="W7536" s="1"/>
      <c r="X7536" s="1"/>
      <c r="Y7536" s="1"/>
      <c r="Z7536" s="1"/>
      <c r="AA7536" s="1"/>
      <c r="AB7536" s="1"/>
    </row>
    <row r="7537" ht="50.25" customHeight="1">
      <c r="A7537" s="12">
        <v>7533.0</v>
      </c>
      <c r="B7537" s="13" t="s">
        <v>7028</v>
      </c>
      <c r="C7537" s="14" t="s">
        <v>7561</v>
      </c>
      <c r="D7537" s="1"/>
      <c r="E7537" s="1"/>
      <c r="F7537" s="1" t="str">
        <f>IFERROR(__xludf.DUMMYFUNCTION("GOOGLETRANSLATE(B7537, ""en"", ""fa"")
"),"موفقیت در ای بی")</f>
        <v>موفقیت در ای بی</v>
      </c>
      <c r="G7537" s="1" t="str">
        <f>IFERROR(__xludf.DUMMYFUNCTION("GOOGLETRANSLATE(C7537, ""en"", ""fa"")
"),"مزایای استفاده از نشانه‌های بصری، مانند تصاویر یا نمادهای «که اغلب با هم خریداری می‌شوند»، برای تشویق خرید متقابل و افزایش فروش در eBay چیست؟")</f>
        <v>مزایای استفاده از نشانه‌های بصری، مانند تصاویر یا نمادهای «که اغلب با هم خریداری می‌شوند»، برای تشویق خرید متقابل و افزایش فروش در eBay چیست؟</v>
      </c>
      <c r="H7537" s="1"/>
      <c r="I7537" s="1"/>
      <c r="J7537" s="1"/>
      <c r="K7537" s="1"/>
      <c r="L7537" s="1"/>
      <c r="M7537" s="1"/>
      <c r="N7537" s="1"/>
      <c r="O7537" s="1"/>
      <c r="P7537" s="1"/>
      <c r="Q7537" s="1"/>
      <c r="R7537" s="1"/>
      <c r="S7537" s="1"/>
      <c r="T7537" s="1"/>
      <c r="U7537" s="1"/>
      <c r="V7537" s="1"/>
      <c r="W7537" s="1"/>
      <c r="X7537" s="1"/>
      <c r="Y7537" s="1"/>
      <c r="Z7537" s="1"/>
      <c r="AA7537" s="1"/>
      <c r="AB7537" s="1"/>
    </row>
    <row r="7538" ht="50.25" customHeight="1">
      <c r="A7538" s="12">
        <v>7534.0</v>
      </c>
      <c r="B7538" s="13" t="s">
        <v>7028</v>
      </c>
      <c r="C7538" s="14" t="s">
        <v>7562</v>
      </c>
      <c r="D7538" s="1"/>
      <c r="E7538" s="1"/>
      <c r="F7538" s="1" t="str">
        <f>IFERROR(__xludf.DUMMYFUNCTION("GOOGLETRANSLATE(B7538, ""en"", ""fa"")
"),"موفقیت در ای بی")</f>
        <v>موفقیت در ای بی</v>
      </c>
      <c r="G7538" s="1" t="str">
        <f>IFERROR(__xludf.DUMMYFUNCTION("GOOGLETRANSLATE(C7538, ""en"", ""fa"")
"),"چگونه می توانم استفاده از بسته بندی محصول یا معاملات بسته را برای ارائه قیمت با تخفیف یا ارزش افزوده و افزایش فرصت های فروش در eBay بهینه کنم؟")</f>
        <v>چگونه می توانم استفاده از بسته بندی محصول یا معاملات بسته را برای ارائه قیمت با تخفیف یا ارزش افزوده و افزایش فرصت های فروش در eBay بهینه کنم؟</v>
      </c>
      <c r="H7538" s="1"/>
      <c r="I7538" s="1"/>
      <c r="J7538" s="1"/>
      <c r="K7538" s="1"/>
      <c r="L7538" s="1"/>
      <c r="M7538" s="1"/>
      <c r="N7538" s="1"/>
      <c r="O7538" s="1"/>
      <c r="P7538" s="1"/>
      <c r="Q7538" s="1"/>
      <c r="R7538" s="1"/>
      <c r="S7538" s="1"/>
      <c r="T7538" s="1"/>
      <c r="U7538" s="1"/>
      <c r="V7538" s="1"/>
      <c r="W7538" s="1"/>
      <c r="X7538" s="1"/>
      <c r="Y7538" s="1"/>
      <c r="Z7538" s="1"/>
      <c r="AA7538" s="1"/>
      <c r="AB7538" s="1"/>
    </row>
    <row r="7539" ht="50.25" customHeight="1">
      <c r="A7539" s="12">
        <v>7535.0</v>
      </c>
      <c r="B7539" s="13" t="s">
        <v>7028</v>
      </c>
      <c r="C7539" s="14" t="s">
        <v>7563</v>
      </c>
      <c r="D7539" s="1"/>
      <c r="E7539" s="1"/>
      <c r="F7539" s="1" t="str">
        <f>IFERROR(__xludf.DUMMYFUNCTION("GOOGLETRANSLATE(B7539, ""en"", ""fa"")
"),"موفقیت در ای بی")</f>
        <v>موفقیت در ای بی</v>
      </c>
      <c r="G7539" s="1" t="str">
        <f>IFERROR(__xludf.DUMMYFUNCTION("GOOGLETRANSLATE(C7539, ""en"", ""fa"")
"),"از چه استراتژی هایی می توانم برای مقایسه محصولات قانع کننده یا راهنماهای ارتقاء استفاده کنم که مشتریان را تشویق به انتخاب گزینه های با قیمت بالاتر در eBay کند؟")</f>
        <v>از چه استراتژی هایی می توانم برای مقایسه محصولات قانع کننده یا راهنماهای ارتقاء استفاده کنم که مشتریان را تشویق به انتخاب گزینه های با قیمت بالاتر در eBay کند؟</v>
      </c>
      <c r="H7539" s="1"/>
      <c r="I7539" s="1"/>
      <c r="J7539" s="1"/>
      <c r="K7539" s="1"/>
      <c r="L7539" s="1"/>
      <c r="M7539" s="1"/>
      <c r="N7539" s="1"/>
      <c r="O7539" s="1"/>
      <c r="P7539" s="1"/>
      <c r="Q7539" s="1"/>
      <c r="R7539" s="1"/>
      <c r="S7539" s="1"/>
      <c r="T7539" s="1"/>
      <c r="U7539" s="1"/>
      <c r="V7539" s="1"/>
      <c r="W7539" s="1"/>
      <c r="X7539" s="1"/>
      <c r="Y7539" s="1"/>
      <c r="Z7539" s="1"/>
      <c r="AA7539" s="1"/>
      <c r="AB7539" s="1"/>
    </row>
    <row r="7540" ht="50.25" customHeight="1">
      <c r="A7540" s="12">
        <v>7536.0</v>
      </c>
      <c r="B7540" s="13" t="s">
        <v>7028</v>
      </c>
      <c r="C7540" s="14" t="s">
        <v>7564</v>
      </c>
      <c r="D7540" s="1"/>
      <c r="E7540" s="1"/>
      <c r="F7540" s="1" t="str">
        <f>IFERROR(__xludf.DUMMYFUNCTION("GOOGLETRANSLATE(B7540, ""en"", ""fa"")
"),"موفقیت در ای بی")</f>
        <v>موفقیت در ای بی</v>
      </c>
      <c r="G7540" s="1" t="str">
        <f>IFERROR(__xludf.DUMMYFUNCTION("GOOGLETRANSLATE(C7540, ""en"", ""fa"")
"),"چگونه می توانم با ارائه اطلاعات شفاف، نمایش محصول یا پشتیبانی مشتری در eBay، اعتراض یا تردید خریدار در مورد افزایش فروش را فعالانه برطرف کنم؟")</f>
        <v>چگونه می توانم با ارائه اطلاعات شفاف، نمایش محصول یا پشتیبانی مشتری در eBay، اعتراض یا تردید خریدار در مورد افزایش فروش را فعالانه برطرف کنم؟</v>
      </c>
      <c r="H7540" s="1"/>
      <c r="I7540" s="1"/>
      <c r="J7540" s="1"/>
      <c r="K7540" s="1"/>
      <c r="L7540" s="1"/>
      <c r="M7540" s="1"/>
      <c r="N7540" s="1"/>
      <c r="O7540" s="1"/>
      <c r="P7540" s="1"/>
      <c r="Q7540" s="1"/>
      <c r="R7540" s="1"/>
      <c r="S7540" s="1"/>
      <c r="T7540" s="1"/>
      <c r="U7540" s="1"/>
      <c r="V7540" s="1"/>
      <c r="W7540" s="1"/>
      <c r="X7540" s="1"/>
      <c r="Y7540" s="1"/>
      <c r="Z7540" s="1"/>
      <c r="AA7540" s="1"/>
      <c r="AB7540" s="1"/>
    </row>
    <row r="7541" ht="50.25" customHeight="1">
      <c r="A7541" s="12">
        <v>7537.0</v>
      </c>
      <c r="B7541" s="13" t="s">
        <v>7028</v>
      </c>
      <c r="C7541" s="14" t="s">
        <v>7565</v>
      </c>
      <c r="D7541" s="1"/>
      <c r="E7541" s="1"/>
      <c r="F7541" s="1" t="str">
        <f>IFERROR(__xludf.DUMMYFUNCTION("GOOGLETRANSLATE(B7541, ""en"", ""fa"")
"),"موفقیت در ای بی")</f>
        <v>موفقیت در ای بی</v>
      </c>
      <c r="G7541" s="1" t="str">
        <f>IFERROR(__xludf.DUMMYFUNCTION("GOOGLETRANSLATE(C7541, ""en"", ""fa"")
"),"ملاحظات کلیدی هنگام زمان‌بندی پیشنهادهای تبلیغات متقابل، از جمله در دوره‌های اوج خرید یا در ارتباطات بعدی، برای به حداکثر رساندن فروش در eBay چیست؟")</f>
        <v>ملاحظات کلیدی هنگام زمان‌بندی پیشنهادهای تبلیغات متقابل، از جمله در دوره‌های اوج خرید یا در ارتباطات بعدی، برای به حداکثر رساندن فروش در eBay چیست؟</v>
      </c>
      <c r="H7541" s="1"/>
      <c r="I7541" s="1"/>
      <c r="J7541" s="1"/>
      <c r="K7541" s="1"/>
      <c r="L7541" s="1"/>
      <c r="M7541" s="1"/>
      <c r="N7541" s="1"/>
      <c r="O7541" s="1"/>
      <c r="P7541" s="1"/>
      <c r="Q7541" s="1"/>
      <c r="R7541" s="1"/>
      <c r="S7541" s="1"/>
      <c r="T7541" s="1"/>
      <c r="U7541" s="1"/>
      <c r="V7541" s="1"/>
      <c r="W7541" s="1"/>
      <c r="X7541" s="1"/>
      <c r="Y7541" s="1"/>
      <c r="Z7541" s="1"/>
      <c r="AA7541" s="1"/>
      <c r="AB7541" s="1"/>
    </row>
    <row r="7542" ht="50.25" customHeight="1">
      <c r="A7542" s="12">
        <v>7538.0</v>
      </c>
      <c r="B7542" s="13" t="s">
        <v>7028</v>
      </c>
      <c r="C7542" s="14" t="s">
        <v>7566</v>
      </c>
      <c r="D7542" s="1"/>
      <c r="E7542" s="1"/>
      <c r="F7542" s="1" t="str">
        <f>IFERROR(__xludf.DUMMYFUNCTION("GOOGLETRANSLATE(B7542, ""en"", ""fa"")
"),"موفقیت در ای بی")</f>
        <v>موفقیت در ای بی</v>
      </c>
      <c r="G7542" s="1" t="str">
        <f>IFERROR(__xludf.DUMMYFUNCTION("GOOGLETRANSLATE(C7542, ""en"", ""fa"")
"),"چگونه می توانم از تقسیم بندی مشتری و داده های سابقه خرید برای ایجاد کمپین های تبلیغات متقابل شخصی سازی شده استفاده کنم که با بخش های خاص خریداران در eBay طنین انداز شود؟")</f>
        <v>چگونه می توانم از تقسیم بندی مشتری و داده های سابقه خرید برای ایجاد کمپین های تبلیغات متقابل شخصی سازی شده استفاده کنم که با بخش های خاص خریداران در eBay طنین انداز شود؟</v>
      </c>
      <c r="H7542" s="1"/>
      <c r="I7542" s="1"/>
      <c r="J7542" s="1"/>
      <c r="K7542" s="1"/>
      <c r="L7542" s="1"/>
      <c r="M7542" s="1"/>
      <c r="N7542" s="1"/>
      <c r="O7542" s="1"/>
      <c r="P7542" s="1"/>
      <c r="Q7542" s="1"/>
      <c r="R7542" s="1"/>
      <c r="S7542" s="1"/>
      <c r="T7542" s="1"/>
      <c r="U7542" s="1"/>
      <c r="V7542" s="1"/>
      <c r="W7542" s="1"/>
      <c r="X7542" s="1"/>
      <c r="Y7542" s="1"/>
      <c r="Z7542" s="1"/>
      <c r="AA7542" s="1"/>
      <c r="AB7542" s="1"/>
    </row>
    <row r="7543" ht="50.25" customHeight="1">
      <c r="A7543" s="12">
        <v>7539.0</v>
      </c>
      <c r="B7543" s="13" t="s">
        <v>7028</v>
      </c>
      <c r="C7543" s="14" t="s">
        <v>7567</v>
      </c>
      <c r="D7543" s="1"/>
      <c r="E7543" s="1"/>
      <c r="F7543" s="1" t="str">
        <f>IFERROR(__xludf.DUMMYFUNCTION("GOOGLETRANSLATE(B7543, ""en"", ""fa"")
"),"موفقیت در ای بی")</f>
        <v>موفقیت در ای بی</v>
      </c>
      <c r="G7543" s="1" t="str">
        <f>IFERROR(__xludf.DUMMYFUNCTION("GOOGLETRANSLATE(C7543, ""en"", ""fa"")
"),"از چه تاکتیک‌های تبلیغاتی می‌توانم استفاده کنم، مانند پیشنهادهای محدود، هدایای رایگان، یا بسته‌های انحصاری، تا احساس فوریت ایجاد کنم و باعث افزایش فروش در eBay شوم؟")</f>
        <v>از چه تاکتیک‌های تبلیغاتی می‌توانم استفاده کنم، مانند پیشنهادهای محدود، هدایای رایگان، یا بسته‌های انحصاری، تا احساس فوریت ایجاد کنم و باعث افزایش فروش در eBay شوم؟</v>
      </c>
      <c r="H7543" s="1"/>
      <c r="I7543" s="1"/>
      <c r="J7543" s="1"/>
      <c r="K7543" s="1"/>
      <c r="L7543" s="1"/>
      <c r="M7543" s="1"/>
      <c r="N7543" s="1"/>
      <c r="O7543" s="1"/>
      <c r="P7543" s="1"/>
      <c r="Q7543" s="1"/>
      <c r="R7543" s="1"/>
      <c r="S7543" s="1"/>
      <c r="T7543" s="1"/>
      <c r="U7543" s="1"/>
      <c r="V7543" s="1"/>
      <c r="W7543" s="1"/>
      <c r="X7543" s="1"/>
      <c r="Y7543" s="1"/>
      <c r="Z7543" s="1"/>
      <c r="AA7543" s="1"/>
      <c r="AB7543" s="1"/>
    </row>
    <row r="7544" ht="50.25" customHeight="1">
      <c r="A7544" s="12">
        <v>7540.0</v>
      </c>
      <c r="B7544" s="13" t="s">
        <v>7028</v>
      </c>
      <c r="C7544" s="14" t="s">
        <v>7568</v>
      </c>
      <c r="D7544" s="1"/>
      <c r="E7544" s="1"/>
      <c r="F7544" s="1" t="str">
        <f>IFERROR(__xludf.DUMMYFUNCTION("GOOGLETRANSLATE(B7544, ""en"", ""fa"")
"),"موفقیت در ای بی")</f>
        <v>موفقیت در ای بی</v>
      </c>
      <c r="G7544" s="1" t="str">
        <f>IFERROR(__xludf.DUMMYFUNCTION("GOOGLETRANSLATE(C7544, ""en"", ""fa"")
"),"چگونه می توانم از طریق پیام کوتاه و متقاعدکننده در eBay، نقاط فروش منحصر به فرد یا مزایای اقلام خریداری شده را به طور موثر ارتباط برقرار کنم؟")</f>
        <v>چگونه می توانم از طریق پیام کوتاه و متقاعدکننده در eBay، نقاط فروش منحصر به فرد یا مزایای اقلام خریداری شده را به طور موثر ارتباط برقرار کنم؟</v>
      </c>
      <c r="H7544" s="1"/>
      <c r="I7544" s="1"/>
      <c r="J7544" s="1"/>
      <c r="K7544" s="1"/>
      <c r="L7544" s="1"/>
      <c r="M7544" s="1"/>
      <c r="N7544" s="1"/>
      <c r="O7544" s="1"/>
      <c r="P7544" s="1"/>
      <c r="Q7544" s="1"/>
      <c r="R7544" s="1"/>
      <c r="S7544" s="1"/>
      <c r="T7544" s="1"/>
      <c r="U7544" s="1"/>
      <c r="V7544" s="1"/>
      <c r="W7544" s="1"/>
      <c r="X7544" s="1"/>
      <c r="Y7544" s="1"/>
      <c r="Z7544" s="1"/>
      <c r="AA7544" s="1"/>
      <c r="AB7544" s="1"/>
    </row>
    <row r="7545" ht="50.25" customHeight="1">
      <c r="A7545" s="12">
        <v>7541.0</v>
      </c>
      <c r="B7545" s="13" t="s">
        <v>7028</v>
      </c>
      <c r="C7545" s="14" t="s">
        <v>7569</v>
      </c>
      <c r="D7545" s="1"/>
      <c r="E7545" s="1"/>
      <c r="F7545" s="1" t="str">
        <f>IFERROR(__xludf.DUMMYFUNCTION("GOOGLETRANSLATE(B7545, ""en"", ""fa"")
"),"موفقیت در ای بی")</f>
        <v>موفقیت در ای بی</v>
      </c>
      <c r="G7545" s="1" t="str">
        <f>IFERROR(__xludf.DUMMYFUNCTION("GOOGLETRANSLATE(C7545, ""en"", ""fa"")
"),"از چه استراتژی هایی می توانم برای استفاده از تکنیک های تبلیغات متقابل و افزایش فروش در طراحی، چیدمان یا پیمایش فروشگاه eBay استفاده کنم تا مشتریان را به سمت خریدهای اضافی راهنمایی کنم؟")</f>
        <v>از چه استراتژی هایی می توانم برای استفاده از تکنیک های تبلیغات متقابل و افزایش فروش در طراحی، چیدمان یا پیمایش فروشگاه eBay استفاده کنم تا مشتریان را به سمت خریدهای اضافی راهنمایی کنم؟</v>
      </c>
      <c r="H7545" s="1"/>
      <c r="I7545" s="1"/>
      <c r="J7545" s="1"/>
      <c r="K7545" s="1"/>
      <c r="L7545" s="1"/>
      <c r="M7545" s="1"/>
      <c r="N7545" s="1"/>
      <c r="O7545" s="1"/>
      <c r="P7545" s="1"/>
      <c r="Q7545" s="1"/>
      <c r="R7545" s="1"/>
      <c r="S7545" s="1"/>
      <c r="T7545" s="1"/>
      <c r="U7545" s="1"/>
      <c r="V7545" s="1"/>
      <c r="W7545" s="1"/>
      <c r="X7545" s="1"/>
      <c r="Y7545" s="1"/>
      <c r="Z7545" s="1"/>
      <c r="AA7545" s="1"/>
      <c r="AB7545" s="1"/>
    </row>
    <row r="7546" ht="50.25" customHeight="1">
      <c r="A7546" s="12">
        <v>7542.0</v>
      </c>
      <c r="B7546" s="13" t="s">
        <v>7028</v>
      </c>
      <c r="C7546" s="14" t="s">
        <v>7570</v>
      </c>
      <c r="D7546" s="1"/>
      <c r="E7546" s="1"/>
      <c r="F7546" s="1" t="str">
        <f>IFERROR(__xludf.DUMMYFUNCTION("GOOGLETRANSLATE(B7546, ""en"", ""fa"")
"),"موفقیت در ای بی")</f>
        <v>موفقیت در ای بی</v>
      </c>
      <c r="G7546" s="1" t="str">
        <f>IFERROR(__xludf.DUMMYFUNCTION("GOOGLETRANSLATE(C7546, ""en"", ""fa"")
"),"چگونه می توانم برای افزایش سودآوری و رضایت مشتری در eBay، استفاده از تکنیک های تبلیغات متقابل و افزایش فروش را برای محصولات پر حاشیه یا ممتاز بهینه کنم؟")</f>
        <v>چگونه می توانم برای افزایش سودآوری و رضایت مشتری در eBay، استفاده از تکنیک های تبلیغات متقابل و افزایش فروش را برای محصولات پر حاشیه یا ممتاز بهینه کنم؟</v>
      </c>
      <c r="H7546" s="1"/>
      <c r="I7546" s="1"/>
      <c r="J7546" s="1"/>
      <c r="K7546" s="1"/>
      <c r="L7546" s="1"/>
      <c r="M7546" s="1"/>
      <c r="N7546" s="1"/>
      <c r="O7546" s="1"/>
      <c r="P7546" s="1"/>
      <c r="Q7546" s="1"/>
      <c r="R7546" s="1"/>
      <c r="S7546" s="1"/>
      <c r="T7546" s="1"/>
      <c r="U7546" s="1"/>
      <c r="V7546" s="1"/>
      <c r="W7546" s="1"/>
      <c r="X7546" s="1"/>
      <c r="Y7546" s="1"/>
      <c r="Z7546" s="1"/>
      <c r="AA7546" s="1"/>
      <c r="AB7546" s="1"/>
    </row>
    <row r="7547" ht="50.25" customHeight="1">
      <c r="A7547" s="12">
        <v>7543.0</v>
      </c>
      <c r="B7547" s="13" t="s">
        <v>7028</v>
      </c>
      <c r="C7547" s="14" t="s">
        <v>7571</v>
      </c>
      <c r="D7547" s="1"/>
      <c r="E7547" s="1"/>
      <c r="F7547" s="1" t="str">
        <f>IFERROR(__xludf.DUMMYFUNCTION("GOOGLETRANSLATE(B7547, ""en"", ""fa"")
"),"موفقیت در ای بی")</f>
        <v>موفقیت در ای بی</v>
      </c>
      <c r="G7547" s="1" t="str">
        <f>IFERROR(__xludf.DUMMYFUNCTION("GOOGLETRANSLATE(C7547, ""en"", ""fa"")
"),"مزایای ارائه نمونه های محصول یا اندازه های آزمایشی به عنوان اقلام تبلیغاتی متقابل برای معرفی مشتریان با محصولات جدید یا تشویق به افزایش فروش در eBay چیست؟")</f>
        <v>مزایای ارائه نمونه های محصول یا اندازه های آزمایشی به عنوان اقلام تبلیغاتی متقابل برای معرفی مشتریان با محصولات جدید یا تشویق به افزایش فروش در eBay چیست؟</v>
      </c>
      <c r="H7547" s="1"/>
      <c r="I7547" s="1"/>
      <c r="J7547" s="1"/>
      <c r="K7547" s="1"/>
      <c r="L7547" s="1"/>
      <c r="M7547" s="1"/>
      <c r="N7547" s="1"/>
      <c r="O7547" s="1"/>
      <c r="P7547" s="1"/>
      <c r="Q7547" s="1"/>
      <c r="R7547" s="1"/>
      <c r="S7547" s="1"/>
      <c r="T7547" s="1"/>
      <c r="U7547" s="1"/>
      <c r="V7547" s="1"/>
      <c r="W7547" s="1"/>
      <c r="X7547" s="1"/>
      <c r="Y7547" s="1"/>
      <c r="Z7547" s="1"/>
      <c r="AA7547" s="1"/>
      <c r="AB7547" s="1"/>
    </row>
    <row r="7548" ht="50.25" customHeight="1">
      <c r="A7548" s="12">
        <v>7544.0</v>
      </c>
      <c r="B7548" s="13" t="s">
        <v>7028</v>
      </c>
      <c r="C7548" s="14" t="s">
        <v>7572</v>
      </c>
      <c r="D7548" s="1"/>
      <c r="E7548" s="1"/>
      <c r="F7548" s="1" t="str">
        <f>IFERROR(__xludf.DUMMYFUNCTION("GOOGLETRANSLATE(B7548, ""en"", ""fa"")
"),"موفقیت در ای بی")</f>
        <v>موفقیت در ای بی</v>
      </c>
      <c r="G7548" s="1" t="str">
        <f>IFERROR(__xludf.DUMMYFUNCTION("GOOGLETRANSLATE(C7548, ""en"", ""fa"")
"),"چگونه می توانم با ارائه توجیهات واضح و قانع کننده برای افزایش فروش در eBay به نگرانی های خریداران بالقوه، مانند حساسیت قیمت یا سازگاری محصول، فعالانه رسیدگی کنم؟")</f>
        <v>چگونه می توانم با ارائه توجیهات واضح و قانع کننده برای افزایش فروش در eBay به نگرانی های خریداران بالقوه، مانند حساسیت قیمت یا سازگاری محصول، فعالانه رسیدگی کنم؟</v>
      </c>
      <c r="H7548" s="1"/>
      <c r="I7548" s="1"/>
      <c r="J7548" s="1"/>
      <c r="K7548" s="1"/>
      <c r="L7548" s="1"/>
      <c r="M7548" s="1"/>
      <c r="N7548" s="1"/>
      <c r="O7548" s="1"/>
      <c r="P7548" s="1"/>
      <c r="Q7548" s="1"/>
      <c r="R7548" s="1"/>
      <c r="S7548" s="1"/>
      <c r="T7548" s="1"/>
      <c r="U7548" s="1"/>
      <c r="V7548" s="1"/>
      <c r="W7548" s="1"/>
      <c r="X7548" s="1"/>
      <c r="Y7548" s="1"/>
      <c r="Z7548" s="1"/>
      <c r="AA7548" s="1"/>
      <c r="AB7548" s="1"/>
    </row>
    <row r="7549" ht="50.25" customHeight="1">
      <c r="A7549" s="12">
        <v>7545.0</v>
      </c>
      <c r="B7549" s="13" t="s">
        <v>7028</v>
      </c>
      <c r="C7549" s="14" t="s">
        <v>7573</v>
      </c>
      <c r="D7549" s="1"/>
      <c r="E7549" s="1"/>
      <c r="F7549" s="1" t="str">
        <f>IFERROR(__xludf.DUMMYFUNCTION("GOOGLETRANSLATE(B7549, ""en"", ""fa"")
"),"موفقیت در ای بی")</f>
        <v>موفقیت در ای بی</v>
      </c>
      <c r="G7549" s="1" t="str">
        <f>IFERROR(__xludf.DUMMYFUNCTION("GOOGLETRANSLATE(C7549, ""en"", ""fa"")
"),"چه استراتژی هایی را می توانم برای ایجاد مشارکت های تبلیغاتی متقابل یا همکاری با سایر فروشندگان eBay برای گسترش پیشنهادات محصول و افزایش فروش متقابل استفاده کنم؟")</f>
        <v>چه استراتژی هایی را می توانم برای ایجاد مشارکت های تبلیغاتی متقابل یا همکاری با سایر فروشندگان eBay برای گسترش پیشنهادات محصول و افزایش فروش متقابل استفاده کنم؟</v>
      </c>
      <c r="H7549" s="1"/>
      <c r="I7549" s="1"/>
      <c r="J7549" s="1"/>
      <c r="K7549" s="1"/>
      <c r="L7549" s="1"/>
      <c r="M7549" s="1"/>
      <c r="N7549" s="1"/>
      <c r="O7549" s="1"/>
      <c r="P7549" s="1"/>
      <c r="Q7549" s="1"/>
      <c r="R7549" s="1"/>
      <c r="S7549" s="1"/>
      <c r="T7549" s="1"/>
      <c r="U7549" s="1"/>
      <c r="V7549" s="1"/>
      <c r="W7549" s="1"/>
      <c r="X7549" s="1"/>
      <c r="Y7549" s="1"/>
      <c r="Z7549" s="1"/>
      <c r="AA7549" s="1"/>
      <c r="AB7549" s="1"/>
    </row>
    <row r="7550" ht="50.25" customHeight="1">
      <c r="A7550" s="12">
        <v>7546.0</v>
      </c>
      <c r="B7550" s="13" t="s">
        <v>7028</v>
      </c>
      <c r="C7550" s="14" t="s">
        <v>7574</v>
      </c>
      <c r="D7550" s="1"/>
      <c r="E7550" s="1"/>
      <c r="F7550" s="1" t="str">
        <f>IFERROR(__xludf.DUMMYFUNCTION("GOOGLETRANSLATE(B7550, ""en"", ""fa"")
"),"موفقیت در ای بی")</f>
        <v>موفقیت در ای بی</v>
      </c>
      <c r="G7550" s="1" t="str">
        <f>IFERROR(__xludf.DUMMYFUNCTION("GOOGLETRANSLATE(C7550, ""en"", ""fa"")
"),"چگونه می توانم برای ایجاد اعتماد و اطمینان در مورد اقلام خریداری شده متقابل و تسهیل افزایش فروش در eBay از شواهد اجتماعی، مانند گواهی نامه های مشتری یا رتبه بندی استفاده کنم؟")</f>
        <v>چگونه می توانم برای ایجاد اعتماد و اطمینان در مورد اقلام خریداری شده متقابل و تسهیل افزایش فروش در eBay از شواهد اجتماعی، مانند گواهی نامه های مشتری یا رتبه بندی استفاده کنم؟</v>
      </c>
      <c r="H7550" s="1"/>
      <c r="I7550" s="1"/>
      <c r="J7550" s="1"/>
      <c r="K7550" s="1"/>
      <c r="L7550" s="1"/>
      <c r="M7550" s="1"/>
      <c r="N7550" s="1"/>
      <c r="O7550" s="1"/>
      <c r="P7550" s="1"/>
      <c r="Q7550" s="1"/>
      <c r="R7550" s="1"/>
      <c r="S7550" s="1"/>
      <c r="T7550" s="1"/>
      <c r="U7550" s="1"/>
      <c r="V7550" s="1"/>
      <c r="W7550" s="1"/>
      <c r="X7550" s="1"/>
      <c r="Y7550" s="1"/>
      <c r="Z7550" s="1"/>
      <c r="AA7550" s="1"/>
      <c r="AB7550" s="1"/>
    </row>
    <row r="7551" ht="50.25" customHeight="1">
      <c r="A7551" s="12">
        <v>7547.0</v>
      </c>
      <c r="B7551" s="13" t="s">
        <v>7028</v>
      </c>
      <c r="C7551" s="14" t="s">
        <v>7575</v>
      </c>
      <c r="D7551" s="1"/>
      <c r="E7551" s="1"/>
      <c r="F7551" s="1" t="str">
        <f>IFERROR(__xludf.DUMMYFUNCTION("GOOGLETRANSLATE(B7551, ""en"", ""fa"")
"),"موفقیت در ای بی")</f>
        <v>موفقیت در ای بی</v>
      </c>
      <c r="G7551" s="1" t="str">
        <f>IFERROR(__xludf.DUMMYFUNCTION("GOOGLETRANSLATE(C7551, ""en"", ""fa"")
"),"ملاحظات کلیدی هنگام ایجاد کمپین های تبلیغات متقابل و فروش برای شخصیت های مختلف خریداران یا بازارهای هدف در eBay چیست؟")</f>
        <v>ملاحظات کلیدی هنگام ایجاد کمپین های تبلیغات متقابل و فروش برای شخصیت های مختلف خریداران یا بازارهای هدف در eBay چیست؟</v>
      </c>
      <c r="H7551" s="1"/>
      <c r="I7551" s="1"/>
      <c r="J7551" s="1"/>
      <c r="K7551" s="1"/>
      <c r="L7551" s="1"/>
      <c r="M7551" s="1"/>
      <c r="N7551" s="1"/>
      <c r="O7551" s="1"/>
      <c r="P7551" s="1"/>
      <c r="Q7551" s="1"/>
      <c r="R7551" s="1"/>
      <c r="S7551" s="1"/>
      <c r="T7551" s="1"/>
      <c r="U7551" s="1"/>
      <c r="V7551" s="1"/>
      <c r="W7551" s="1"/>
      <c r="X7551" s="1"/>
      <c r="Y7551" s="1"/>
      <c r="Z7551" s="1"/>
      <c r="AA7551" s="1"/>
      <c r="AB7551" s="1"/>
    </row>
    <row r="7552" ht="50.25" customHeight="1">
      <c r="A7552" s="12">
        <v>7548.0</v>
      </c>
      <c r="B7552" s="13" t="s">
        <v>7028</v>
      </c>
      <c r="C7552" s="14" t="s">
        <v>7576</v>
      </c>
      <c r="D7552" s="1"/>
      <c r="E7552" s="1"/>
      <c r="F7552" s="1" t="str">
        <f>IFERROR(__xludf.DUMMYFUNCTION("GOOGLETRANSLATE(B7552, ""en"", ""fa"")
"),"موفقیت در ای بی")</f>
        <v>موفقیت در ای بی</v>
      </c>
      <c r="G7552" s="1" t="str">
        <f>IFERROR(__xludf.DUMMYFUNCTION("GOOGLETRANSLATE(C7552, ""en"", ""fa"")
"),"چگونه می توانم استفاده از توصیه های شخصی شده و الگوریتم های پیشنهاد محصول را برای ارائه پیشنهادهای تبلیغات متقابل هدفمند به مشتریان eBay بهینه کنم؟")</f>
        <v>چگونه می توانم استفاده از توصیه های شخصی شده و الگوریتم های پیشنهاد محصول را برای ارائه پیشنهادهای تبلیغات متقابل هدفمند به مشتریان eBay بهینه کنم؟</v>
      </c>
      <c r="H7552" s="1"/>
      <c r="I7552" s="1"/>
      <c r="J7552" s="1"/>
      <c r="K7552" s="1"/>
      <c r="L7552" s="1"/>
      <c r="M7552" s="1"/>
      <c r="N7552" s="1"/>
      <c r="O7552" s="1"/>
      <c r="P7552" s="1"/>
      <c r="Q7552" s="1"/>
      <c r="R7552" s="1"/>
      <c r="S7552" s="1"/>
      <c r="T7552" s="1"/>
      <c r="U7552" s="1"/>
      <c r="V7552" s="1"/>
      <c r="W7552" s="1"/>
      <c r="X7552" s="1"/>
      <c r="Y7552" s="1"/>
      <c r="Z7552" s="1"/>
      <c r="AA7552" s="1"/>
      <c r="AB7552" s="1"/>
    </row>
    <row r="7553" ht="50.25" customHeight="1">
      <c r="A7553" s="12">
        <v>7549.0</v>
      </c>
      <c r="B7553" s="13" t="s">
        <v>7028</v>
      </c>
      <c r="C7553" s="14" t="s">
        <v>7577</v>
      </c>
      <c r="D7553" s="1"/>
      <c r="E7553" s="1"/>
      <c r="F7553" s="1" t="str">
        <f>IFERROR(__xludf.DUMMYFUNCTION("GOOGLETRANSLATE(B7553, ""en"", ""fa"")
"),"موفقیت در ای بی")</f>
        <v>موفقیت در ای بی</v>
      </c>
      <c r="G7553" s="1" t="str">
        <f>IFERROR(__xludf.DUMMYFUNCTION("GOOGLETRANSLATE(C7553, ""en"", ""fa"")
"),"از چه تاکتیک‌های تبلیغاتی می‌توانم برای فروش ضمانت‌های اضافی، طرح‌های حفاظتی، یا بسته‌های خدماتی برای محصولات با چرخه عمر طولانی‌تر یا نگهداری بالاتر در eBay استفاده کنم؟")</f>
        <v>از چه تاکتیک‌های تبلیغاتی می‌توانم برای فروش ضمانت‌های اضافی، طرح‌های حفاظتی، یا بسته‌های خدماتی برای محصولات با چرخه عمر طولانی‌تر یا نگهداری بالاتر در eBay استفاده کنم؟</v>
      </c>
      <c r="H7553" s="1"/>
      <c r="I7553" s="1"/>
      <c r="J7553" s="1"/>
      <c r="K7553" s="1"/>
      <c r="L7553" s="1"/>
      <c r="M7553" s="1"/>
      <c r="N7553" s="1"/>
      <c r="O7553" s="1"/>
      <c r="P7553" s="1"/>
      <c r="Q7553" s="1"/>
      <c r="R7553" s="1"/>
      <c r="S7553" s="1"/>
      <c r="T7553" s="1"/>
      <c r="U7553" s="1"/>
      <c r="V7553" s="1"/>
      <c r="W7553" s="1"/>
      <c r="X7553" s="1"/>
      <c r="Y7553" s="1"/>
      <c r="Z7553" s="1"/>
      <c r="AA7553" s="1"/>
      <c r="AB7553" s="1"/>
    </row>
    <row r="7554" ht="50.25" customHeight="1">
      <c r="A7554" s="12">
        <v>7550.0</v>
      </c>
      <c r="B7554" s="13" t="s">
        <v>7028</v>
      </c>
      <c r="C7554" s="14" t="s">
        <v>7578</v>
      </c>
      <c r="D7554" s="1"/>
      <c r="E7554" s="1"/>
      <c r="F7554" s="1" t="str">
        <f>IFERROR(__xludf.DUMMYFUNCTION("GOOGLETRANSLATE(B7554, ""en"", ""fa"")
"),"موفقیت در ای بی")</f>
        <v>موفقیت در ای بی</v>
      </c>
      <c r="G7554" s="1" t="str">
        <f>IFERROR(__xludf.DUMMYFUNCTION("GOOGLETRANSLATE(C7554, ""en"", ""fa"")
"),"چگونه می توانم از طریق مقایسه های جذاب بصری محصول، نمودارها یا اینفوگرافیک ها در eBay، ارزش و صرفه جویی در هزینه گزینه های خرید متقابل را به طور موثر ارتباط برقرار کنم؟")</f>
        <v>چگونه می توانم از طریق مقایسه های جذاب بصری محصول، نمودارها یا اینفوگرافیک ها در eBay، ارزش و صرفه جویی در هزینه گزینه های خرید متقابل را به طور موثر ارتباط برقرار کنم؟</v>
      </c>
      <c r="H7554" s="1"/>
      <c r="I7554" s="1"/>
      <c r="J7554" s="1"/>
      <c r="K7554" s="1"/>
      <c r="L7554" s="1"/>
      <c r="M7554" s="1"/>
      <c r="N7554" s="1"/>
      <c r="O7554" s="1"/>
      <c r="P7554" s="1"/>
      <c r="Q7554" s="1"/>
      <c r="R7554" s="1"/>
      <c r="S7554" s="1"/>
      <c r="T7554" s="1"/>
      <c r="U7554" s="1"/>
      <c r="V7554" s="1"/>
      <c r="W7554" s="1"/>
      <c r="X7554" s="1"/>
      <c r="Y7554" s="1"/>
      <c r="Z7554" s="1"/>
      <c r="AA7554" s="1"/>
      <c r="AB7554" s="1"/>
    </row>
    <row r="7555" ht="50.25" customHeight="1">
      <c r="A7555" s="12">
        <v>7551.0</v>
      </c>
      <c r="B7555" s="13" t="s">
        <v>7028</v>
      </c>
      <c r="C7555" s="14" t="s">
        <v>7579</v>
      </c>
      <c r="D7555" s="1"/>
      <c r="E7555" s="1"/>
      <c r="F7555" s="1" t="str">
        <f>IFERROR(__xludf.DUMMYFUNCTION("GOOGLETRANSLATE(B7555, ""en"", ""fa"")
"),"موفقیت در ای بی")</f>
        <v>موفقیت در ای بی</v>
      </c>
      <c r="G7555" s="1" t="str">
        <f>IFERROR(__xludf.DUMMYFUNCTION("GOOGLETRANSLATE(C7555, ""en"", ""fa"")
"),"چه استراتژی هایی را می توانم برای آموزش مشتریان در مورد مزایا یا مزایای افزایش فروش از طریق محتوای جذاب و آموزنده، مانند خرید راهنماها یا آموزش های ویدیویی در eBay به کار بگیرم؟")</f>
        <v>چه استراتژی هایی را می توانم برای آموزش مشتریان در مورد مزایا یا مزایای افزایش فروش از طریق محتوای جذاب و آموزنده، مانند خرید راهنماها یا آموزش های ویدیویی در eBay به کار بگیرم؟</v>
      </c>
      <c r="H7555" s="1"/>
      <c r="I7555" s="1"/>
      <c r="J7555" s="1"/>
      <c r="K7555" s="1"/>
      <c r="L7555" s="1"/>
      <c r="M7555" s="1"/>
      <c r="N7555" s="1"/>
      <c r="O7555" s="1"/>
      <c r="P7555" s="1"/>
      <c r="Q7555" s="1"/>
      <c r="R7555" s="1"/>
      <c r="S7555" s="1"/>
      <c r="T7555" s="1"/>
      <c r="U7555" s="1"/>
      <c r="V7555" s="1"/>
      <c r="W7555" s="1"/>
      <c r="X7555" s="1"/>
      <c r="Y7555" s="1"/>
      <c r="Z7555" s="1"/>
      <c r="AA7555" s="1"/>
      <c r="AB7555" s="1"/>
    </row>
    <row r="7556" ht="50.25" customHeight="1">
      <c r="A7556" s="12">
        <v>7552.0</v>
      </c>
      <c r="B7556" s="13" t="s">
        <v>7028</v>
      </c>
      <c r="C7556" s="14" t="s">
        <v>7580</v>
      </c>
      <c r="D7556" s="1"/>
      <c r="E7556" s="1"/>
      <c r="F7556" s="1" t="str">
        <f>IFERROR(__xludf.DUMMYFUNCTION("GOOGLETRANSLATE(B7556, ""en"", ""fa"")
"),"موفقیت در ای بی")</f>
        <v>موفقیت در ای بی</v>
      </c>
      <c r="G7556" s="1" t="str">
        <f>IFERROR(__xludf.DUMMYFUNCTION("GOOGLETRANSLATE(C7556, ""en"", ""fa"")
"),"چگونه می‌توانم استفاده از تقسیم‌بندی مشتری و داده‌های سابقه خرید را برای ایجاد کمپین‌های ایمیل تبلیغات متقابل خودکار که باعث افزایش فروش در eBay می‌شوند، بهینه کنم؟")</f>
        <v>چگونه می‌توانم استفاده از تقسیم‌بندی مشتری و داده‌های سابقه خرید را برای ایجاد کمپین‌های ایمیل تبلیغات متقابل خودکار که باعث افزایش فروش در eBay می‌شوند، بهینه کنم؟</v>
      </c>
      <c r="H7556" s="1"/>
      <c r="I7556" s="1"/>
      <c r="J7556" s="1"/>
      <c r="K7556" s="1"/>
      <c r="L7556" s="1"/>
      <c r="M7556" s="1"/>
      <c r="N7556" s="1"/>
      <c r="O7556" s="1"/>
      <c r="P7556" s="1"/>
      <c r="Q7556" s="1"/>
      <c r="R7556" s="1"/>
      <c r="S7556" s="1"/>
      <c r="T7556" s="1"/>
      <c r="U7556" s="1"/>
      <c r="V7556" s="1"/>
      <c r="W7556" s="1"/>
      <c r="X7556" s="1"/>
      <c r="Y7556" s="1"/>
      <c r="Z7556" s="1"/>
      <c r="AA7556" s="1"/>
      <c r="AB7556" s="1"/>
    </row>
    <row r="7557" ht="50.25" customHeight="1">
      <c r="A7557" s="12">
        <v>7553.0</v>
      </c>
      <c r="B7557" s="13" t="s">
        <v>7028</v>
      </c>
      <c r="C7557" s="14" t="s">
        <v>7581</v>
      </c>
      <c r="D7557" s="1"/>
      <c r="E7557" s="1"/>
      <c r="F7557" s="1" t="str">
        <f>IFERROR(__xludf.DUMMYFUNCTION("GOOGLETRANSLATE(B7557, ""en"", ""fa"")
"),"موفقیت در ای بی")</f>
        <v>موفقیت در ای بی</v>
      </c>
      <c r="G7557" s="1" t="str">
        <f>IFERROR(__xludf.DUMMYFUNCTION("GOOGLETRANSLATE(C7557, ""en"", ""fa"")
"),"مزایای ارائه گزینه های تامین مالی انعطاف پذیر، طرح های اقساط یا خطوط اعتباری برای تسهیل فروش و خرید متقابل برای اقلام با قیمت بالاتر در eBay چیست؟")</f>
        <v>مزایای ارائه گزینه های تامین مالی انعطاف پذیر، طرح های اقساط یا خطوط اعتباری برای تسهیل فروش و خرید متقابل برای اقلام با قیمت بالاتر در eBay چیست؟</v>
      </c>
      <c r="H7557" s="1"/>
      <c r="I7557" s="1"/>
      <c r="J7557" s="1"/>
      <c r="K7557" s="1"/>
      <c r="L7557" s="1"/>
      <c r="M7557" s="1"/>
      <c r="N7557" s="1"/>
      <c r="O7557" s="1"/>
      <c r="P7557" s="1"/>
      <c r="Q7557" s="1"/>
      <c r="R7557" s="1"/>
      <c r="S7557" s="1"/>
      <c r="T7557" s="1"/>
      <c r="U7557" s="1"/>
      <c r="V7557" s="1"/>
      <c r="W7557" s="1"/>
      <c r="X7557" s="1"/>
      <c r="Y7557" s="1"/>
      <c r="Z7557" s="1"/>
      <c r="AA7557" s="1"/>
      <c r="AB7557" s="1"/>
    </row>
    <row r="7558" ht="50.25" customHeight="1">
      <c r="A7558" s="12">
        <v>7554.0</v>
      </c>
      <c r="B7558" s="13" t="s">
        <v>7028</v>
      </c>
      <c r="C7558" s="14" t="s">
        <v>7582</v>
      </c>
      <c r="D7558" s="1"/>
      <c r="E7558" s="1"/>
      <c r="F7558" s="1" t="str">
        <f>IFERROR(__xludf.DUMMYFUNCTION("GOOGLETRANSLATE(B7558, ""en"", ""fa"")
"),"موفقیت در ای بی")</f>
        <v>موفقیت در ای بی</v>
      </c>
      <c r="G7558" s="1" t="str">
        <f>IFERROR(__xludf.DUMMYFUNCTION("GOOGLETRANSLATE(C7558, ""en"", ""fa"")
"),"چگونه می‌توانم با ارائه مدارک اجتماعی، مانند توصیفات مشتری یا مطالعات موردی، در eBay به اعتراض‌ها یا تردیدهای احتمالی در مورد افزایش فروش رسیدگی کنم؟")</f>
        <v>چگونه می‌توانم با ارائه مدارک اجتماعی، مانند توصیفات مشتری یا مطالعات موردی، در eBay به اعتراض‌ها یا تردیدهای احتمالی در مورد افزایش فروش رسیدگی کنم؟</v>
      </c>
      <c r="H7558" s="1"/>
      <c r="I7558" s="1"/>
      <c r="J7558" s="1"/>
      <c r="K7558" s="1"/>
      <c r="L7558" s="1"/>
      <c r="M7558" s="1"/>
      <c r="N7558" s="1"/>
      <c r="O7558" s="1"/>
      <c r="P7558" s="1"/>
      <c r="Q7558" s="1"/>
      <c r="R7558" s="1"/>
      <c r="S7558" s="1"/>
      <c r="T7558" s="1"/>
      <c r="U7558" s="1"/>
      <c r="V7558" s="1"/>
      <c r="W7558" s="1"/>
      <c r="X7558" s="1"/>
      <c r="Y7558" s="1"/>
      <c r="Z7558" s="1"/>
      <c r="AA7558" s="1"/>
      <c r="AB7558" s="1"/>
    </row>
    <row r="7559" ht="50.25" customHeight="1">
      <c r="A7559" s="12">
        <v>7555.0</v>
      </c>
      <c r="B7559" s="13" t="s">
        <v>7028</v>
      </c>
      <c r="C7559" s="14" t="s">
        <v>7583</v>
      </c>
      <c r="D7559" s="1"/>
      <c r="E7559" s="1"/>
      <c r="F7559" s="1" t="str">
        <f>IFERROR(__xludf.DUMMYFUNCTION("GOOGLETRANSLATE(B7559, ""en"", ""fa"")
"),"موفقیت در ای بی")</f>
        <v>موفقیت در ای بی</v>
      </c>
      <c r="G7559" s="1" t="str">
        <f>IFERROR(__xludf.DUMMYFUNCTION("GOOGLETRANSLATE(C7559, ""en"", ""fa"")
"),"از چه استراتژی هایی می توانم برای ایجاد فرصت های تبلیغات متقابل بر اساس روندهای فعلی، ترکیبات محبوب محصولات یا تقاضاهای بازارهای نوظهور در eBay استفاده کنم؟")</f>
        <v>از چه استراتژی هایی می توانم برای ایجاد فرصت های تبلیغات متقابل بر اساس روندهای فعلی، ترکیبات محبوب محصولات یا تقاضاهای بازارهای نوظهور در eBay استفاده کنم؟</v>
      </c>
      <c r="H7559" s="1"/>
      <c r="I7559" s="1"/>
      <c r="J7559" s="1"/>
      <c r="K7559" s="1"/>
      <c r="L7559" s="1"/>
      <c r="M7559" s="1"/>
      <c r="N7559" s="1"/>
      <c r="O7559" s="1"/>
      <c r="P7559" s="1"/>
      <c r="Q7559" s="1"/>
      <c r="R7559" s="1"/>
      <c r="S7559" s="1"/>
      <c r="T7559" s="1"/>
      <c r="U7559" s="1"/>
      <c r="V7559" s="1"/>
      <c r="W7559" s="1"/>
      <c r="X7559" s="1"/>
      <c r="Y7559" s="1"/>
      <c r="Z7559" s="1"/>
      <c r="AA7559" s="1"/>
      <c r="AB7559" s="1"/>
    </row>
    <row r="7560" ht="50.25" customHeight="1">
      <c r="A7560" s="12">
        <v>7556.0</v>
      </c>
      <c r="B7560" s="13" t="s">
        <v>7028</v>
      </c>
      <c r="C7560" s="14" t="s">
        <v>7584</v>
      </c>
      <c r="D7560" s="1"/>
      <c r="E7560" s="1"/>
      <c r="F7560" s="1" t="str">
        <f>IFERROR(__xludf.DUMMYFUNCTION("GOOGLETRANSLATE(B7560, ""en"", ""fa"")
"),"موفقیت در ای بی")</f>
        <v>موفقیت در ای بی</v>
      </c>
      <c r="G7560" s="1" t="str">
        <f>IFERROR(__xludf.DUMMYFUNCTION("GOOGLETRANSLATE(C7560, ""en"", ""fa"")
"),"چگونه می‌توانم از موجودی محدود یا پیام‌های کمیاب برای ایجاد حس انحصار و فوریت برای تبلیغات متقابل و افزایش فروش در eBay استفاده کنم؟")</f>
        <v>چگونه می‌توانم از موجودی محدود یا پیام‌های کمیاب برای ایجاد حس انحصار و فوریت برای تبلیغات متقابل و افزایش فروش در eBay استفاده کنم؟</v>
      </c>
      <c r="H7560" s="1"/>
      <c r="I7560" s="1"/>
      <c r="J7560" s="1"/>
      <c r="K7560" s="1"/>
      <c r="L7560" s="1"/>
      <c r="M7560" s="1"/>
      <c r="N7560" s="1"/>
      <c r="O7560" s="1"/>
      <c r="P7560" s="1"/>
      <c r="Q7560" s="1"/>
      <c r="R7560" s="1"/>
      <c r="S7560" s="1"/>
      <c r="T7560" s="1"/>
      <c r="U7560" s="1"/>
      <c r="V7560" s="1"/>
      <c r="W7560" s="1"/>
      <c r="X7560" s="1"/>
      <c r="Y7560" s="1"/>
      <c r="Z7560" s="1"/>
      <c r="AA7560" s="1"/>
      <c r="AB7560" s="1"/>
    </row>
    <row r="7561" ht="50.25" customHeight="1">
      <c r="A7561" s="12">
        <v>7557.0</v>
      </c>
      <c r="B7561" s="13" t="s">
        <v>7028</v>
      </c>
      <c r="C7561" s="14" t="s">
        <v>7585</v>
      </c>
      <c r="D7561" s="1"/>
      <c r="E7561" s="1"/>
      <c r="F7561" s="1" t="str">
        <f>IFERROR(__xludf.DUMMYFUNCTION("GOOGLETRANSLATE(B7561, ""en"", ""fa"")
"),"موفقیت در ای بی")</f>
        <v>موفقیت در ای بی</v>
      </c>
      <c r="G7561" s="1" t="str">
        <f>IFERROR(__xludf.DUMMYFUNCTION("GOOGLETRANSLATE(C7561, ""en"", ""fa"")
"),"ملاحظات کلیدی هنگام ایجاد کمپین های تبلیغات متقابل و افزایش فروش برای مراحل مختلف سفر خریدار، مانند کشف اولیه یا پس از خرید در eBay چیست؟")</f>
        <v>ملاحظات کلیدی هنگام ایجاد کمپین های تبلیغات متقابل و افزایش فروش برای مراحل مختلف سفر خریدار، مانند کشف اولیه یا پس از خرید در eBay چیست؟</v>
      </c>
      <c r="H7561" s="1"/>
      <c r="I7561" s="1"/>
      <c r="J7561" s="1"/>
      <c r="K7561" s="1"/>
      <c r="L7561" s="1"/>
      <c r="M7561" s="1"/>
      <c r="N7561" s="1"/>
      <c r="O7561" s="1"/>
      <c r="P7561" s="1"/>
      <c r="Q7561" s="1"/>
      <c r="R7561" s="1"/>
      <c r="S7561" s="1"/>
      <c r="T7561" s="1"/>
      <c r="U7561" s="1"/>
      <c r="V7561" s="1"/>
      <c r="W7561" s="1"/>
      <c r="X7561" s="1"/>
      <c r="Y7561" s="1"/>
      <c r="Z7561" s="1"/>
      <c r="AA7561" s="1"/>
      <c r="AB7561" s="1"/>
    </row>
    <row r="7562" ht="50.25" customHeight="1">
      <c r="A7562" s="12">
        <v>7558.0</v>
      </c>
      <c r="B7562" s="13" t="s">
        <v>7028</v>
      </c>
      <c r="C7562" s="14" t="s">
        <v>7586</v>
      </c>
      <c r="D7562" s="1"/>
      <c r="E7562" s="1"/>
      <c r="F7562" s="1" t="str">
        <f>IFERROR(__xludf.DUMMYFUNCTION("GOOGLETRANSLATE(B7562, ""en"", ""fa"")
"),"موفقیت در ای بی")</f>
        <v>موفقیت در ای بی</v>
      </c>
      <c r="G7562" s="1" t="str">
        <f>IFERROR(__xludf.DUMMYFUNCTION("GOOGLETRANSLATE(C7562, ""en"", ""fa"")
"),"چگونه می توانم استفاده از تکنیک های تبلیغات متقابل و افزایش فروش را در قالب ها یا قالب های فهرست eBay خود بهینه کنم تا از پیام رسانی منسجم و مؤثر در همه محصولات اطمینان حاصل کنم؟")</f>
        <v>چگونه می توانم استفاده از تکنیک های تبلیغات متقابل و افزایش فروش را در قالب ها یا قالب های فهرست eBay خود بهینه کنم تا از پیام رسانی منسجم و مؤثر در همه محصولات اطمینان حاصل کنم؟</v>
      </c>
      <c r="H7562" s="1"/>
      <c r="I7562" s="1"/>
      <c r="J7562" s="1"/>
      <c r="K7562" s="1"/>
      <c r="L7562" s="1"/>
      <c r="M7562" s="1"/>
      <c r="N7562" s="1"/>
      <c r="O7562" s="1"/>
      <c r="P7562" s="1"/>
      <c r="Q7562" s="1"/>
      <c r="R7562" s="1"/>
      <c r="S7562" s="1"/>
      <c r="T7562" s="1"/>
      <c r="U7562" s="1"/>
      <c r="V7562" s="1"/>
      <c r="W7562" s="1"/>
      <c r="X7562" s="1"/>
      <c r="Y7562" s="1"/>
      <c r="Z7562" s="1"/>
      <c r="AA7562" s="1"/>
      <c r="AB7562" s="1"/>
    </row>
    <row r="7563" ht="50.25" customHeight="1">
      <c r="A7563" s="12">
        <v>7559.0</v>
      </c>
      <c r="B7563" s="13" t="s">
        <v>7028</v>
      </c>
      <c r="C7563" s="14" t="s">
        <v>7587</v>
      </c>
      <c r="D7563" s="1"/>
      <c r="E7563" s="1"/>
      <c r="F7563" s="1" t="str">
        <f>IFERROR(__xludf.DUMMYFUNCTION("GOOGLETRANSLATE(B7563, ""en"", ""fa"")
"),"موفقیت در ای بی")</f>
        <v>موفقیت در ای بی</v>
      </c>
      <c r="G7563" s="1" t="str">
        <f>IFERROR(__xludf.DUMMYFUNCTION("GOOGLETRANSLATE(C7563, ""en"", ""fa"")
"),"از چه تاکتیک‌های تبلیغاتی می‌توانم استفاده کنم، مانند ارسال رایگان یا ضمانت‌های تمدید شده، برای شیرین کردن پیشنهادهای تبلیغات متقابل و ایجاد انگیزه برای افزایش فروش در eBay؟")</f>
        <v>از چه تاکتیک‌های تبلیغاتی می‌توانم استفاده کنم، مانند ارسال رایگان یا ضمانت‌های تمدید شده، برای شیرین کردن پیشنهادهای تبلیغات متقابل و ایجاد انگیزه برای افزایش فروش در eBay؟</v>
      </c>
      <c r="H7563" s="1"/>
      <c r="I7563" s="1"/>
      <c r="J7563" s="1"/>
      <c r="K7563" s="1"/>
      <c r="L7563" s="1"/>
      <c r="M7563" s="1"/>
      <c r="N7563" s="1"/>
      <c r="O7563" s="1"/>
      <c r="P7563" s="1"/>
      <c r="Q7563" s="1"/>
      <c r="R7563" s="1"/>
      <c r="S7563" s="1"/>
      <c r="T7563" s="1"/>
      <c r="U7563" s="1"/>
      <c r="V7563" s="1"/>
      <c r="W7563" s="1"/>
      <c r="X7563" s="1"/>
      <c r="Y7563" s="1"/>
      <c r="Z7563" s="1"/>
      <c r="AA7563" s="1"/>
      <c r="AB7563" s="1"/>
    </row>
    <row r="7564" ht="50.25" customHeight="1">
      <c r="A7564" s="12">
        <v>7560.0</v>
      </c>
      <c r="B7564" s="13" t="s">
        <v>7028</v>
      </c>
      <c r="C7564" s="14" t="s">
        <v>7588</v>
      </c>
      <c r="D7564" s="1"/>
      <c r="E7564" s="1"/>
      <c r="F7564" s="1" t="str">
        <f>IFERROR(__xludf.DUMMYFUNCTION("GOOGLETRANSLATE(B7564, ""en"", ""fa"")
"),"موفقیت در ای بی")</f>
        <v>موفقیت در ای بی</v>
      </c>
      <c r="G7564" s="1" t="str">
        <f>IFERROR(__xludf.DUMMYFUNCTION("GOOGLETRANSLATE(C7564, ""en"", ""fa"")
"),"چگونه می توانم صرفه جویی در هزینه یا ارزش افزوده اقلام خریداری شده متقابل را از طریق نمایش قیمت قانع کننده، درصد تخفیف، یا معاملات همراه در eBay به طور موثر ارتباط برقرار کنم؟")</f>
        <v>چگونه می توانم صرفه جویی در هزینه یا ارزش افزوده اقلام خریداری شده متقابل را از طریق نمایش قیمت قانع کننده، درصد تخفیف، یا معاملات همراه در eBay به طور موثر ارتباط برقرار کنم؟</v>
      </c>
      <c r="H7564" s="1"/>
      <c r="I7564" s="1"/>
      <c r="J7564" s="1"/>
      <c r="K7564" s="1"/>
      <c r="L7564" s="1"/>
      <c r="M7564" s="1"/>
      <c r="N7564" s="1"/>
      <c r="O7564" s="1"/>
      <c r="P7564" s="1"/>
      <c r="Q7564" s="1"/>
      <c r="R7564" s="1"/>
      <c r="S7564" s="1"/>
      <c r="T7564" s="1"/>
      <c r="U7564" s="1"/>
      <c r="V7564" s="1"/>
      <c r="W7564" s="1"/>
      <c r="X7564" s="1"/>
      <c r="Y7564" s="1"/>
      <c r="Z7564" s="1"/>
      <c r="AA7564" s="1"/>
      <c r="AB7564" s="1"/>
    </row>
    <row r="7565" ht="50.25" customHeight="1">
      <c r="A7565" s="12">
        <v>7561.0</v>
      </c>
      <c r="B7565" s="13" t="s">
        <v>7028</v>
      </c>
      <c r="C7565" s="14" t="s">
        <v>7589</v>
      </c>
      <c r="D7565" s="1"/>
      <c r="E7565" s="1"/>
      <c r="F7565" s="1" t="str">
        <f>IFERROR(__xludf.DUMMYFUNCTION("GOOGLETRANSLATE(B7565, ""en"", ""fa"")
"),"موفقیت در ای بی")</f>
        <v>موفقیت در ای بی</v>
      </c>
      <c r="G7565" s="1" t="str">
        <f>IFERROR(__xludf.DUMMYFUNCTION("GOOGLETRANSLATE(C7565, ""en"", ""fa"")
"),"چه استراتژی هایی را می توانم برای ایجاد کمپین های تبلیغات متقابل و افزایش فروش که با الگوهای خرید فصلی یا مبتنی بر رویداد، مانند فصل های بازگشت به مدرسه یا تعطیلات، در eBay هماهنگ باشند، به کار ببرم؟")</f>
        <v>چه استراتژی هایی را می توانم برای ایجاد کمپین های تبلیغات متقابل و افزایش فروش که با الگوهای خرید فصلی یا مبتنی بر رویداد، مانند فصل های بازگشت به مدرسه یا تعطیلات، در eBay هماهنگ باشند، به کار ببرم؟</v>
      </c>
      <c r="H7565" s="1"/>
      <c r="I7565" s="1"/>
      <c r="J7565" s="1"/>
      <c r="K7565" s="1"/>
      <c r="L7565" s="1"/>
      <c r="M7565" s="1"/>
      <c r="N7565" s="1"/>
      <c r="O7565" s="1"/>
      <c r="P7565" s="1"/>
      <c r="Q7565" s="1"/>
      <c r="R7565" s="1"/>
      <c r="S7565" s="1"/>
      <c r="T7565" s="1"/>
      <c r="U7565" s="1"/>
      <c r="V7565" s="1"/>
      <c r="W7565" s="1"/>
      <c r="X7565" s="1"/>
      <c r="Y7565" s="1"/>
      <c r="Z7565" s="1"/>
      <c r="AA7565" s="1"/>
      <c r="AB7565" s="1"/>
    </row>
    <row r="7566" ht="50.25" customHeight="1">
      <c r="A7566" s="12">
        <v>7562.0</v>
      </c>
      <c r="B7566" s="13" t="s">
        <v>7028</v>
      </c>
      <c r="C7566" s="14" t="s">
        <v>7590</v>
      </c>
      <c r="D7566" s="1"/>
      <c r="E7566" s="1"/>
      <c r="F7566" s="1" t="str">
        <f>IFERROR(__xludf.DUMMYFUNCTION("GOOGLETRANSLATE(B7566, ""en"", ""fa"")
"),"موفقیت در ای بی")</f>
        <v>موفقیت در ای بی</v>
      </c>
      <c r="G7566" s="1" t="str">
        <f>IFERROR(__xludf.DUMMYFUNCTION("GOOGLETRANSLATE(C7566, ""en"", ""fa"")
"),"چگونه می توانم استفاده از بازخورد، نظرات یا رتبه بندی مشتریان را برای شناسایی فرصت های بالقوه تبلیغات متقابل و تنظیم دقیق استراتژی های افزایش فروش در eBay بهینه کنم؟")</f>
        <v>چگونه می توانم استفاده از بازخورد، نظرات یا رتبه بندی مشتریان را برای شناسایی فرصت های بالقوه تبلیغات متقابل و تنظیم دقیق استراتژی های افزایش فروش در eBay بهینه کنم؟</v>
      </c>
      <c r="H7566" s="1"/>
      <c r="I7566" s="1"/>
      <c r="J7566" s="1"/>
      <c r="K7566" s="1"/>
      <c r="L7566" s="1"/>
      <c r="M7566" s="1"/>
      <c r="N7566" s="1"/>
      <c r="O7566" s="1"/>
      <c r="P7566" s="1"/>
      <c r="Q7566" s="1"/>
      <c r="R7566" s="1"/>
      <c r="S7566" s="1"/>
      <c r="T7566" s="1"/>
      <c r="U7566" s="1"/>
      <c r="V7566" s="1"/>
      <c r="W7566" s="1"/>
      <c r="X7566" s="1"/>
      <c r="Y7566" s="1"/>
      <c r="Z7566" s="1"/>
      <c r="AA7566" s="1"/>
      <c r="AB7566" s="1"/>
    </row>
    <row r="7567" ht="50.25" customHeight="1">
      <c r="A7567" s="12">
        <v>7563.0</v>
      </c>
      <c r="B7567" s="13" t="s">
        <v>7028</v>
      </c>
      <c r="C7567" s="14" t="s">
        <v>7591</v>
      </c>
      <c r="D7567" s="1"/>
      <c r="E7567" s="1"/>
      <c r="F7567" s="1" t="str">
        <f>IFERROR(__xludf.DUMMYFUNCTION("GOOGLETRANSLATE(B7567, ""en"", ""fa"")
"),"موفقیت در ای بی")</f>
        <v>موفقیت در ای بی</v>
      </c>
      <c r="G7567" s="1" t="str">
        <f>IFERROR(__xludf.DUMMYFUNCTION("GOOGLETRANSLATE(C7567, ""en"", ""fa"")
"),"مزایای استفاده از تکنیک های متقاعد کننده کپی رایتینگ، مانند داستان سرایی یا جذابیت های احساسی، برای تشویق خریدهای متقابل و افزایش فروش در eBay چیست؟")</f>
        <v>مزایای استفاده از تکنیک های متقاعد کننده کپی رایتینگ، مانند داستان سرایی یا جذابیت های احساسی، برای تشویق خریدهای متقابل و افزایش فروش در eBay چیست؟</v>
      </c>
      <c r="H7567" s="1"/>
      <c r="I7567" s="1"/>
      <c r="J7567" s="1"/>
      <c r="K7567" s="1"/>
      <c r="L7567" s="1"/>
      <c r="M7567" s="1"/>
      <c r="N7567" s="1"/>
      <c r="O7567" s="1"/>
      <c r="P7567" s="1"/>
      <c r="Q7567" s="1"/>
      <c r="R7567" s="1"/>
      <c r="S7567" s="1"/>
      <c r="T7567" s="1"/>
      <c r="U7567" s="1"/>
      <c r="V7567" s="1"/>
      <c r="W7567" s="1"/>
      <c r="X7567" s="1"/>
      <c r="Y7567" s="1"/>
      <c r="Z7567" s="1"/>
      <c r="AA7567" s="1"/>
      <c r="AB7567" s="1"/>
    </row>
    <row r="7568" ht="50.25" customHeight="1">
      <c r="A7568" s="12">
        <v>7564.0</v>
      </c>
      <c r="B7568" s="13" t="s">
        <v>7028</v>
      </c>
      <c r="C7568" s="14" t="s">
        <v>7592</v>
      </c>
      <c r="D7568" s="1"/>
      <c r="E7568" s="1"/>
      <c r="F7568" s="1" t="str">
        <f>IFERROR(__xludf.DUMMYFUNCTION("GOOGLETRANSLATE(B7568, ""en"", ""fa"")
"),"موفقیت در ای بی")</f>
        <v>موفقیت در ای بی</v>
      </c>
      <c r="G7568" s="1" t="str">
        <f>IFERROR(__xludf.DUMMYFUNCTION("GOOGLETRANSLATE(C7568, ""en"", ""fa"")
"),"چگونه می‌توانم با ارائه سیاست‌های بازگشت انعطاف‌پذیر یا ضمانت‌های رضایت در eBay، اعتراض یا تردید خریدار احتمالی در مورد افزایش فروش را فعالانه برطرف کنم؟")</f>
        <v>چگونه می‌توانم با ارائه سیاست‌های بازگشت انعطاف‌پذیر یا ضمانت‌های رضایت در eBay، اعتراض یا تردید خریدار احتمالی در مورد افزایش فروش را فعالانه برطرف کنم؟</v>
      </c>
      <c r="H7568" s="1"/>
      <c r="I7568" s="1"/>
      <c r="J7568" s="1"/>
      <c r="K7568" s="1"/>
      <c r="L7568" s="1"/>
      <c r="M7568" s="1"/>
      <c r="N7568" s="1"/>
      <c r="O7568" s="1"/>
      <c r="P7568" s="1"/>
      <c r="Q7568" s="1"/>
      <c r="R7568" s="1"/>
      <c r="S7568" s="1"/>
      <c r="T7568" s="1"/>
      <c r="U7568" s="1"/>
      <c r="V7568" s="1"/>
      <c r="W7568" s="1"/>
      <c r="X7568" s="1"/>
      <c r="Y7568" s="1"/>
      <c r="Z7568" s="1"/>
      <c r="AA7568" s="1"/>
      <c r="AB7568" s="1"/>
    </row>
    <row r="7569" ht="50.25" customHeight="1">
      <c r="A7569" s="12">
        <v>7565.0</v>
      </c>
      <c r="B7569" s="13" t="s">
        <v>7028</v>
      </c>
      <c r="C7569" s="14" t="s">
        <v>7593</v>
      </c>
      <c r="D7569" s="1"/>
      <c r="E7569" s="1"/>
      <c r="F7569" s="1" t="str">
        <f>IFERROR(__xludf.DUMMYFUNCTION("GOOGLETRANSLATE(B7569, ""en"", ""fa"")
"),"موفقیت در ای بی")</f>
        <v>موفقیت در ای بی</v>
      </c>
      <c r="G7569" s="1" t="str">
        <f>IFERROR(__xludf.DUMMYFUNCTION("GOOGLETRANSLATE(C7569, ""en"", ""fa"")
"),"از چه استراتژی هایی می توانم برای ایجاد پیشنهادهای تبلیغات متقابل انحصاری یا محدود استفاده کنم که برای کلکسیونرها، علاقه مندان یا مشتریان وفادار در eBay جذاب باشد؟")</f>
        <v>از چه استراتژی هایی می توانم برای ایجاد پیشنهادهای تبلیغات متقابل انحصاری یا محدود استفاده کنم که برای کلکسیونرها، علاقه مندان یا مشتریان وفادار در eBay جذاب باشد؟</v>
      </c>
      <c r="H7569" s="1"/>
      <c r="I7569" s="1"/>
      <c r="J7569" s="1"/>
      <c r="K7569" s="1"/>
      <c r="L7569" s="1"/>
      <c r="M7569" s="1"/>
      <c r="N7569" s="1"/>
      <c r="O7569" s="1"/>
      <c r="P7569" s="1"/>
      <c r="Q7569" s="1"/>
      <c r="R7569" s="1"/>
      <c r="S7569" s="1"/>
      <c r="T7569" s="1"/>
      <c r="U7569" s="1"/>
      <c r="V7569" s="1"/>
      <c r="W7569" s="1"/>
      <c r="X7569" s="1"/>
      <c r="Y7569" s="1"/>
      <c r="Z7569" s="1"/>
      <c r="AA7569" s="1"/>
      <c r="AB7569" s="1"/>
    </row>
    <row r="7570" ht="50.25" customHeight="1">
      <c r="A7570" s="12">
        <v>7566.0</v>
      </c>
      <c r="B7570" s="13" t="s">
        <v>7028</v>
      </c>
      <c r="C7570" s="14" t="s">
        <v>7594</v>
      </c>
      <c r="D7570" s="1"/>
      <c r="E7570" s="1"/>
      <c r="F7570" s="1" t="str">
        <f>IFERROR(__xludf.DUMMYFUNCTION("GOOGLETRANSLATE(B7570, ""en"", ""fa"")
"),"موفقیت در ای بی")</f>
        <v>موفقیت در ای بی</v>
      </c>
      <c r="G7570" s="1" t="str">
        <f>IFERROR(__xludf.DUMMYFUNCTION("GOOGLETRANSLATE(C7570, ""en"", ""fa"")
"),"چگونه می‌توانم از پلتفرم‌های رسانه‌های اجتماعی یا مشارکت اینفلوئنسرها برای تقویت تلاش‌های تبلیغات متقابل و دستیابی به مخاطبان گسترده‌تری برای افزایش فروش در eBay استفاده کنم؟")</f>
        <v>چگونه می‌توانم از پلتفرم‌های رسانه‌های اجتماعی یا مشارکت اینفلوئنسرها برای تقویت تلاش‌های تبلیغات متقابل و دستیابی به مخاطبان گسترده‌تری برای افزایش فروش در eBay استفاده کنم؟</v>
      </c>
      <c r="H7570" s="1"/>
      <c r="I7570" s="1"/>
      <c r="J7570" s="1"/>
      <c r="K7570" s="1"/>
      <c r="L7570" s="1"/>
      <c r="M7570" s="1"/>
      <c r="N7570" s="1"/>
      <c r="O7570" s="1"/>
      <c r="P7570" s="1"/>
      <c r="Q7570" s="1"/>
      <c r="R7570" s="1"/>
      <c r="S7570" s="1"/>
      <c r="T7570" s="1"/>
      <c r="U7570" s="1"/>
      <c r="V7570" s="1"/>
      <c r="W7570" s="1"/>
      <c r="X7570" s="1"/>
      <c r="Y7570" s="1"/>
      <c r="Z7570" s="1"/>
      <c r="AA7570" s="1"/>
      <c r="AB7570" s="1"/>
    </row>
    <row r="7571" ht="50.25" customHeight="1">
      <c r="A7571" s="12">
        <v>7567.0</v>
      </c>
      <c r="B7571" s="13" t="s">
        <v>7028</v>
      </c>
      <c r="C7571" s="14" t="s">
        <v>7595</v>
      </c>
      <c r="D7571" s="1"/>
      <c r="E7571" s="1"/>
      <c r="F7571" s="1" t="str">
        <f>IFERROR(__xludf.DUMMYFUNCTION("GOOGLETRANSLATE(B7571, ""en"", ""fa"")
"),"موفقیت در ای بی")</f>
        <v>موفقیت در ای بی</v>
      </c>
      <c r="G7571" s="1" t="str">
        <f>IFERROR(__xludf.DUMMYFUNCTION("GOOGLETRANSLATE(C7571, ""en"", ""fa"")
"),"ملاحظات کلیدی هنگام تجزیه و تحلیل معیارهای تبلیغات متقابل و افزایش فروش، مانند نرخ تبدیل، میانگین ارزش سفارش یا خریدهای تکراری، برای بهینه‌سازی استراتژی‌ها در eBay چیست؟")</f>
        <v>ملاحظات کلیدی هنگام تجزیه و تحلیل معیارهای تبلیغات متقابل و افزایش فروش، مانند نرخ تبدیل، میانگین ارزش سفارش یا خریدهای تکراری، برای بهینه‌سازی استراتژی‌ها در eBay چیست؟</v>
      </c>
      <c r="H7571" s="1"/>
      <c r="I7571" s="1"/>
      <c r="J7571" s="1"/>
      <c r="K7571" s="1"/>
      <c r="L7571" s="1"/>
      <c r="M7571" s="1"/>
      <c r="N7571" s="1"/>
      <c r="O7571" s="1"/>
      <c r="P7571" s="1"/>
      <c r="Q7571" s="1"/>
      <c r="R7571" s="1"/>
      <c r="S7571" s="1"/>
      <c r="T7571" s="1"/>
      <c r="U7571" s="1"/>
      <c r="V7571" s="1"/>
      <c r="W7571" s="1"/>
      <c r="X7571" s="1"/>
      <c r="Y7571" s="1"/>
      <c r="Z7571" s="1"/>
      <c r="AA7571" s="1"/>
      <c r="AB7571" s="1"/>
    </row>
    <row r="7572" ht="50.25" customHeight="1">
      <c r="A7572" s="12">
        <v>7568.0</v>
      </c>
      <c r="B7572" s="13" t="s">
        <v>7028</v>
      </c>
      <c r="C7572" s="14" t="s">
        <v>7596</v>
      </c>
      <c r="D7572" s="1"/>
      <c r="E7572" s="1"/>
      <c r="F7572" s="1" t="str">
        <f>IFERROR(__xludf.DUMMYFUNCTION("GOOGLETRANSLATE(B7572, ""en"", ""fa"")
"),"موفقیت در ای بی")</f>
        <v>موفقیت در ای بی</v>
      </c>
      <c r="G7572" s="1" t="str">
        <f>IFERROR(__xludf.DUMMYFUNCTION("GOOGLETRANSLATE(C7572, ""en"", ""fa"")
"),"چگونه می توانم استفاده از توصیه های محصول شخصی شده یا ماژول های محتوای پویا را برای ارائه پیشنهادهای تبلیغات متقابل هدفمند در کانال های مختلف eBay بهینه کنم؟")</f>
        <v>چگونه می توانم استفاده از توصیه های محصول شخصی شده یا ماژول های محتوای پویا را برای ارائه پیشنهادهای تبلیغات متقابل هدفمند در کانال های مختلف eBay بهینه کنم؟</v>
      </c>
      <c r="H7572" s="1"/>
      <c r="I7572" s="1"/>
      <c r="J7572" s="1"/>
      <c r="K7572" s="1"/>
      <c r="L7572" s="1"/>
      <c r="M7572" s="1"/>
      <c r="N7572" s="1"/>
      <c r="O7572" s="1"/>
      <c r="P7572" s="1"/>
      <c r="Q7572" s="1"/>
      <c r="R7572" s="1"/>
      <c r="S7572" s="1"/>
      <c r="T7572" s="1"/>
      <c r="U7572" s="1"/>
      <c r="V7572" s="1"/>
      <c r="W7572" s="1"/>
      <c r="X7572" s="1"/>
      <c r="Y7572" s="1"/>
      <c r="Z7572" s="1"/>
      <c r="AA7572" s="1"/>
      <c r="AB7572" s="1"/>
    </row>
    <row r="7573" ht="50.25" customHeight="1">
      <c r="A7573" s="12">
        <v>7569.0</v>
      </c>
      <c r="B7573" s="13" t="s">
        <v>7028</v>
      </c>
      <c r="C7573" s="14" t="s">
        <v>7597</v>
      </c>
      <c r="D7573" s="1"/>
      <c r="E7573" s="1"/>
      <c r="F7573" s="1" t="str">
        <f>IFERROR(__xludf.DUMMYFUNCTION("GOOGLETRANSLATE(B7573, ""en"", ""fa"")
"),"موفقیت در ای بی")</f>
        <v>موفقیت در ای بی</v>
      </c>
      <c r="G7573" s="1" t="str">
        <f>IFERROR(__xludf.DUMMYFUNCTION("GOOGLETRANSLATE(C7573, ""en"", ""fa"")
"),"از چه تاکتیک‌های تبلیغاتی می‌توانم استفاده کنم، مانند تخفیف‌های چندسطحی یا پاداش‌های وفاداری، برای ایجاد انگیزه در مشتریان مکرر و افزایش فروش در eBay؟")</f>
        <v>از چه تاکتیک‌های تبلیغاتی می‌توانم استفاده کنم، مانند تخفیف‌های چندسطحی یا پاداش‌های وفاداری، برای ایجاد انگیزه در مشتریان مکرر و افزایش فروش در eBay؟</v>
      </c>
      <c r="H7573" s="1"/>
      <c r="I7573" s="1"/>
      <c r="J7573" s="1"/>
      <c r="K7573" s="1"/>
      <c r="L7573" s="1"/>
      <c r="M7573" s="1"/>
      <c r="N7573" s="1"/>
      <c r="O7573" s="1"/>
      <c r="P7573" s="1"/>
      <c r="Q7573" s="1"/>
      <c r="R7573" s="1"/>
      <c r="S7573" s="1"/>
      <c r="T7573" s="1"/>
      <c r="U7573" s="1"/>
      <c r="V7573" s="1"/>
      <c r="W7573" s="1"/>
      <c r="X7573" s="1"/>
      <c r="Y7573" s="1"/>
      <c r="Z7573" s="1"/>
      <c r="AA7573" s="1"/>
      <c r="AB7573" s="1"/>
    </row>
    <row r="7574" ht="50.25" customHeight="1">
      <c r="A7574" s="12">
        <v>7570.0</v>
      </c>
      <c r="B7574" s="13" t="s">
        <v>7028</v>
      </c>
      <c r="C7574" s="14" t="s">
        <v>7598</v>
      </c>
      <c r="D7574" s="1"/>
      <c r="E7574" s="1"/>
      <c r="F7574" s="1" t="str">
        <f>IFERROR(__xludf.DUMMYFUNCTION("GOOGLETRANSLATE(B7574, ""en"", ""fa"")
"),"موفقیت در ای بی")</f>
        <v>موفقیت در ای بی</v>
      </c>
      <c r="G7574" s="1" t="str">
        <f>IFERROR(__xludf.DUMMYFUNCTION("GOOGLETRANSLATE(C7574, ""en"", ""fa"")
"),"چگونه می توانم از طریق زبان متقاعدکننده، تایمرهای شمارش معکوس، یا شاخص های سهام در eBay، انحصاری بودن یا در دسترس بودن محدود اقلام خریداری شده را به طور موثر ارتباط برقرار کنم؟")</f>
        <v>چگونه می توانم از طریق زبان متقاعدکننده، تایمرهای شمارش معکوس، یا شاخص های سهام در eBay، انحصاری بودن یا در دسترس بودن محدود اقلام خریداری شده را به طور موثر ارتباط برقرار کنم؟</v>
      </c>
      <c r="H7574" s="1"/>
      <c r="I7574" s="1"/>
      <c r="J7574" s="1"/>
      <c r="K7574" s="1"/>
      <c r="L7574" s="1"/>
      <c r="M7574" s="1"/>
      <c r="N7574" s="1"/>
      <c r="O7574" s="1"/>
      <c r="P7574" s="1"/>
      <c r="Q7574" s="1"/>
      <c r="R7574" s="1"/>
      <c r="S7574" s="1"/>
      <c r="T7574" s="1"/>
      <c r="U7574" s="1"/>
      <c r="V7574" s="1"/>
      <c r="W7574" s="1"/>
      <c r="X7574" s="1"/>
      <c r="Y7574" s="1"/>
      <c r="Z7574" s="1"/>
      <c r="AA7574" s="1"/>
      <c r="AB7574" s="1"/>
    </row>
    <row r="7575" ht="50.25" customHeight="1">
      <c r="A7575" s="12">
        <v>7571.0</v>
      </c>
      <c r="B7575" s="13" t="s">
        <v>7028</v>
      </c>
      <c r="C7575" s="14" t="s">
        <v>7599</v>
      </c>
      <c r="D7575" s="1"/>
      <c r="E7575" s="1"/>
      <c r="F7575" s="1" t="str">
        <f>IFERROR(__xludf.DUMMYFUNCTION("GOOGLETRANSLATE(B7575, ""en"", ""fa"")
"),"موفقیت در ای بی")</f>
        <v>موفقیت در ای بی</v>
      </c>
      <c r="G7575" s="1" t="str">
        <f>IFERROR(__xludf.DUMMYFUNCTION("GOOGLETRANSLATE(C7575, ""en"", ""fa"")
"),"چه استراتژی هایی را می توانم برای ارائه خدمات استثنایی به مشتریان و توصیه های شخصی برای تقویت اعتماد، وفاداری، و تکرار تجارت برای تبلیغات متقابل و افزایش فروش در eBay به کار بگیرم؟")</f>
        <v>چه استراتژی هایی را می توانم برای ارائه خدمات استثنایی به مشتریان و توصیه های شخصی برای تقویت اعتماد، وفاداری، و تکرار تجارت برای تبلیغات متقابل و افزایش فروش در eBay به کار بگیرم؟</v>
      </c>
      <c r="H7575" s="1"/>
      <c r="I7575" s="1"/>
      <c r="J7575" s="1"/>
      <c r="K7575" s="1"/>
      <c r="L7575" s="1"/>
      <c r="M7575" s="1"/>
      <c r="N7575" s="1"/>
      <c r="O7575" s="1"/>
      <c r="P7575" s="1"/>
      <c r="Q7575" s="1"/>
      <c r="R7575" s="1"/>
      <c r="S7575" s="1"/>
      <c r="T7575" s="1"/>
      <c r="U7575" s="1"/>
      <c r="V7575" s="1"/>
      <c r="W7575" s="1"/>
      <c r="X7575" s="1"/>
      <c r="Y7575" s="1"/>
      <c r="Z7575" s="1"/>
      <c r="AA7575" s="1"/>
      <c r="AB7575" s="1"/>
    </row>
    <row r="7576" ht="50.25" customHeight="1">
      <c r="A7576" s="12">
        <v>7572.0</v>
      </c>
      <c r="B7576" s="13" t="s">
        <v>7028</v>
      </c>
      <c r="C7576" s="14" t="s">
        <v>7600</v>
      </c>
      <c r="D7576" s="1"/>
      <c r="E7576" s="1"/>
      <c r="F7576" s="1" t="str">
        <f>IFERROR(__xludf.DUMMYFUNCTION("GOOGLETRANSLATE(B7576, ""en"", ""fa"")
"),"موفقیت در ای بی")</f>
        <v>موفقیت در ای بی</v>
      </c>
      <c r="G7576" s="1" t="str">
        <f>IFERROR(__xludf.DUMMYFUNCTION("GOOGLETRANSLATE(C7576, ""en"", ""fa"")
"),"خط مشی بازگشتی که باید برای لیست های eBay خود ایجاد کنم تا از روند بازگردانی روان و شفاف برای خریداران اطمینان حاصل کنم چیست؟")</f>
        <v>خط مشی بازگشتی که باید برای لیست های eBay خود ایجاد کنم تا از روند بازگردانی روان و شفاف برای خریداران اطمینان حاصل کنم چیست؟</v>
      </c>
      <c r="H7576" s="1"/>
      <c r="I7576" s="1"/>
      <c r="J7576" s="1"/>
      <c r="K7576" s="1"/>
      <c r="L7576" s="1"/>
      <c r="M7576" s="1"/>
      <c r="N7576" s="1"/>
      <c r="O7576" s="1"/>
      <c r="P7576" s="1"/>
      <c r="Q7576" s="1"/>
      <c r="R7576" s="1"/>
      <c r="S7576" s="1"/>
      <c r="T7576" s="1"/>
      <c r="U7576" s="1"/>
      <c r="V7576" s="1"/>
      <c r="W7576" s="1"/>
      <c r="X7576" s="1"/>
      <c r="Y7576" s="1"/>
      <c r="Z7576" s="1"/>
      <c r="AA7576" s="1"/>
      <c r="AB7576" s="1"/>
    </row>
    <row r="7577" ht="50.25" customHeight="1">
      <c r="A7577" s="12">
        <v>7573.0</v>
      </c>
      <c r="B7577" s="13" t="s">
        <v>7028</v>
      </c>
      <c r="C7577" s="14" t="s">
        <v>7601</v>
      </c>
      <c r="D7577" s="1"/>
      <c r="E7577" s="1"/>
      <c r="F7577" s="1" t="str">
        <f>IFERROR(__xludf.DUMMYFUNCTION("GOOGLETRANSLATE(B7577, ""en"", ""fa"")
"),"موفقیت در ای بی")</f>
        <v>موفقیت در ای بی</v>
      </c>
      <c r="G7577" s="1" t="str">
        <f>IFERROR(__xludf.DUMMYFUNCTION("GOOGLETRANSLATE(C7577, ""en"", ""fa"")
"),"چگونه می توانم به طور موثر خط مشی بازگشت خود را به خریداران بالقوه در لیست های eBay برای القای اعتماد و رفع نگرانی های آنها ابلاغ کنم؟")</f>
        <v>چگونه می توانم به طور موثر خط مشی بازگشت خود را به خریداران بالقوه در لیست های eBay برای القای اعتماد و رفع نگرانی های آنها ابلاغ کنم؟</v>
      </c>
      <c r="H7577" s="1"/>
      <c r="I7577" s="1"/>
      <c r="J7577" s="1"/>
      <c r="K7577" s="1"/>
      <c r="L7577" s="1"/>
      <c r="M7577" s="1"/>
      <c r="N7577" s="1"/>
      <c r="O7577" s="1"/>
      <c r="P7577" s="1"/>
      <c r="Q7577" s="1"/>
      <c r="R7577" s="1"/>
      <c r="S7577" s="1"/>
      <c r="T7577" s="1"/>
      <c r="U7577" s="1"/>
      <c r="V7577" s="1"/>
      <c r="W7577" s="1"/>
      <c r="X7577" s="1"/>
      <c r="Y7577" s="1"/>
      <c r="Z7577" s="1"/>
      <c r="AA7577" s="1"/>
      <c r="AB7577" s="1"/>
    </row>
    <row r="7578" ht="50.25" customHeight="1">
      <c r="A7578" s="12">
        <v>7574.0</v>
      </c>
      <c r="B7578" s="13" t="s">
        <v>7028</v>
      </c>
      <c r="C7578" s="14" t="s">
        <v>7602</v>
      </c>
      <c r="D7578" s="1"/>
      <c r="E7578" s="1"/>
      <c r="F7578" s="1" t="str">
        <f>IFERROR(__xludf.DUMMYFUNCTION("GOOGLETRANSLATE(B7578, ""en"", ""fa"")
"),"موفقیت در ای بی")</f>
        <v>موفقیت در ای بی</v>
      </c>
      <c r="G7578" s="1" t="str">
        <f>IFERROR(__xludf.DUMMYFUNCTION("GOOGLETRANSLATE(C7578, ""en"", ""fa"")
"),"ملاحظات کلیدی هنگام تنظیم بازه‌های زمانی برای درخواست‌های بازگشت و بازپرداخت در eBay برای ایجاد تعادل بین رضایت مشتری و کارایی عملیاتی چیست؟")</f>
        <v>ملاحظات کلیدی هنگام تنظیم بازه‌های زمانی برای درخواست‌های بازگشت و بازپرداخت در eBay برای ایجاد تعادل بین رضایت مشتری و کارایی عملیاتی چیست؟</v>
      </c>
      <c r="H7578" s="1"/>
      <c r="I7578" s="1"/>
      <c r="J7578" s="1"/>
      <c r="K7578" s="1"/>
      <c r="L7578" s="1"/>
      <c r="M7578" s="1"/>
      <c r="N7578" s="1"/>
      <c r="O7578" s="1"/>
      <c r="P7578" s="1"/>
      <c r="Q7578" s="1"/>
      <c r="R7578" s="1"/>
      <c r="S7578" s="1"/>
      <c r="T7578" s="1"/>
      <c r="U7578" s="1"/>
      <c r="V7578" s="1"/>
      <c r="W7578" s="1"/>
      <c r="X7578" s="1"/>
      <c r="Y7578" s="1"/>
      <c r="Z7578" s="1"/>
      <c r="AA7578" s="1"/>
      <c r="AB7578" s="1"/>
    </row>
    <row r="7579" ht="50.25" customHeight="1">
      <c r="A7579" s="12">
        <v>7575.0</v>
      </c>
      <c r="B7579" s="13" t="s">
        <v>7028</v>
      </c>
      <c r="C7579" s="14" t="s">
        <v>7603</v>
      </c>
      <c r="D7579" s="1"/>
      <c r="E7579" s="1"/>
      <c r="F7579" s="1" t="str">
        <f>IFERROR(__xludf.DUMMYFUNCTION("GOOGLETRANSLATE(B7579, ""en"", ""fa"")
"),"موفقیت در ای بی")</f>
        <v>موفقیت در ای بی</v>
      </c>
      <c r="G7579" s="1" t="str">
        <f>IFERROR(__xludf.DUMMYFUNCTION("GOOGLETRANSLATE(C7579, ""en"", ""fa"")
"),"چگونه می‌توانم با ارائه دستورالعمل‌های واضح و برچسب‌های برگشتی پیش‌پرداخت شده، فرآیند بازگشت را در eBay ساده کنم تا برای خریداران راحت باشد؟")</f>
        <v>چگونه می‌توانم با ارائه دستورالعمل‌های واضح و برچسب‌های برگشتی پیش‌پرداخت شده، فرآیند بازگشت را در eBay ساده کنم تا برای خریداران راحت باشد؟</v>
      </c>
      <c r="H7579" s="1"/>
      <c r="I7579" s="1"/>
      <c r="J7579" s="1"/>
      <c r="K7579" s="1"/>
      <c r="L7579" s="1"/>
      <c r="M7579" s="1"/>
      <c r="N7579" s="1"/>
      <c r="O7579" s="1"/>
      <c r="P7579" s="1"/>
      <c r="Q7579" s="1"/>
      <c r="R7579" s="1"/>
      <c r="S7579" s="1"/>
      <c r="T7579" s="1"/>
      <c r="U7579" s="1"/>
      <c r="V7579" s="1"/>
      <c r="W7579" s="1"/>
      <c r="X7579" s="1"/>
      <c r="Y7579" s="1"/>
      <c r="Z7579" s="1"/>
      <c r="AA7579" s="1"/>
      <c r="AB7579" s="1"/>
    </row>
    <row r="7580" ht="50.25" customHeight="1">
      <c r="A7580" s="12">
        <v>7576.0</v>
      </c>
      <c r="B7580" s="13" t="s">
        <v>7028</v>
      </c>
      <c r="C7580" s="14" t="s">
        <v>7604</v>
      </c>
      <c r="D7580" s="1"/>
      <c r="E7580" s="1"/>
      <c r="F7580" s="1" t="str">
        <f>IFERROR(__xludf.DUMMYFUNCTION("GOOGLETRANSLATE(B7580, ""en"", ""fa"")
"),"موفقیت در ای بی")</f>
        <v>موفقیت در ای بی</v>
      </c>
      <c r="G7580" s="1" t="str">
        <f>IFERROR(__xludf.DUMMYFUNCTION("GOOGLETRANSLATE(C7580, ""en"", ""fa"")
"),"چه استراتژی هایی را می توانم برای رسیدگی سریع و موثر به درخواست های بازگشت در eBay به کار بگیرم تا هرگونه تأثیر منفی بر شهرت فروشنده خود را به حداقل برسانم؟")</f>
        <v>چه استراتژی هایی را می توانم برای رسیدگی سریع و موثر به درخواست های بازگشت در eBay به کار بگیرم تا هرگونه تأثیر منفی بر شهرت فروشنده خود را به حداقل برسانم؟</v>
      </c>
      <c r="H7580" s="1"/>
      <c r="I7580" s="1"/>
      <c r="J7580" s="1"/>
      <c r="K7580" s="1"/>
      <c r="L7580" s="1"/>
      <c r="M7580" s="1"/>
      <c r="N7580" s="1"/>
      <c r="O7580" s="1"/>
      <c r="P7580" s="1"/>
      <c r="Q7580" s="1"/>
      <c r="R7580" s="1"/>
      <c r="S7580" s="1"/>
      <c r="T7580" s="1"/>
      <c r="U7580" s="1"/>
      <c r="V7580" s="1"/>
      <c r="W7580" s="1"/>
      <c r="X7580" s="1"/>
      <c r="Y7580" s="1"/>
      <c r="Z7580" s="1"/>
      <c r="AA7580" s="1"/>
      <c r="AB7580" s="1"/>
    </row>
    <row r="7581" ht="50.25" customHeight="1">
      <c r="A7581" s="12">
        <v>7577.0</v>
      </c>
      <c r="B7581" s="13" t="s">
        <v>7028</v>
      </c>
      <c r="C7581" s="14" t="s">
        <v>7605</v>
      </c>
      <c r="D7581" s="1"/>
      <c r="E7581" s="1"/>
      <c r="F7581" s="1" t="str">
        <f>IFERROR(__xludf.DUMMYFUNCTION("GOOGLETRANSLATE(B7581, ""en"", ""fa"")
"),"موفقیت در ای بی")</f>
        <v>موفقیت در ای بی</v>
      </c>
      <c r="G7581" s="1" t="str">
        <f>IFERROR(__xludf.DUMMYFUNCTION("GOOGLETRANSLATE(C7581, ""en"", ""fa"")
"),"چگونه می توانم با ارائه اطلاعات دقیق محصول و توضیحات دقیق در eBay، دلایل متداول بازگشت کالا، مانند مسائل مربوط به اندازه یا مغایرت محصول را به طور فعال برطرف کنم؟")</f>
        <v>چگونه می توانم با ارائه اطلاعات دقیق محصول و توضیحات دقیق در eBay، دلایل متداول بازگشت کالا، مانند مسائل مربوط به اندازه یا مغایرت محصول را به طور فعال برطرف کنم؟</v>
      </c>
      <c r="H7581" s="1"/>
      <c r="I7581" s="1"/>
      <c r="J7581" s="1"/>
      <c r="K7581" s="1"/>
      <c r="L7581" s="1"/>
      <c r="M7581" s="1"/>
      <c r="N7581" s="1"/>
      <c r="O7581" s="1"/>
      <c r="P7581" s="1"/>
      <c r="Q7581" s="1"/>
      <c r="R7581" s="1"/>
      <c r="S7581" s="1"/>
      <c r="T7581" s="1"/>
      <c r="U7581" s="1"/>
      <c r="V7581" s="1"/>
      <c r="W7581" s="1"/>
      <c r="X7581" s="1"/>
      <c r="Y7581" s="1"/>
      <c r="Z7581" s="1"/>
      <c r="AA7581" s="1"/>
      <c r="AB7581" s="1"/>
    </row>
    <row r="7582" ht="50.25" customHeight="1">
      <c r="A7582" s="12">
        <v>7578.0</v>
      </c>
      <c r="B7582" s="13" t="s">
        <v>7028</v>
      </c>
      <c r="C7582" s="14" t="s">
        <v>7606</v>
      </c>
      <c r="D7582" s="1"/>
      <c r="E7582" s="1"/>
      <c r="F7582" s="1" t="str">
        <f>IFERROR(__xludf.DUMMYFUNCTION("GOOGLETRANSLATE(B7582, ""en"", ""fa"")
"),"موفقیت در ای بی")</f>
        <v>موفقیت در ای بی</v>
      </c>
      <c r="G7582" s="1" t="str">
        <f>IFERROR(__xludf.DUMMYFUNCTION("GOOGLETRANSLATE(C7582, ""en"", ""fa"")
"),"مزایای ارائه سیاست های بازپرداخت بدون دردسر یا بازپرداخت بدون سوال در eBay برای جذب خریداران بیشتر و ایجاد اعتماد چیست؟")</f>
        <v>مزایای ارائه سیاست های بازپرداخت بدون دردسر یا بازپرداخت بدون سوال در eBay برای جذب خریداران بیشتر و ایجاد اعتماد چیست؟</v>
      </c>
      <c r="H7582" s="1"/>
      <c r="I7582" s="1"/>
      <c r="J7582" s="1"/>
      <c r="K7582" s="1"/>
      <c r="L7582" s="1"/>
      <c r="M7582" s="1"/>
      <c r="N7582" s="1"/>
      <c r="O7582" s="1"/>
      <c r="P7582" s="1"/>
      <c r="Q7582" s="1"/>
      <c r="R7582" s="1"/>
      <c r="S7582" s="1"/>
      <c r="T7582" s="1"/>
      <c r="U7582" s="1"/>
      <c r="V7582" s="1"/>
      <c r="W7582" s="1"/>
      <c r="X7582" s="1"/>
      <c r="Y7582" s="1"/>
      <c r="Z7582" s="1"/>
      <c r="AA7582" s="1"/>
      <c r="AB7582" s="1"/>
    </row>
    <row r="7583" ht="50.25" customHeight="1">
      <c r="A7583" s="12">
        <v>7579.0</v>
      </c>
      <c r="B7583" s="13" t="s">
        <v>7028</v>
      </c>
      <c r="C7583" s="14" t="s">
        <v>7607</v>
      </c>
      <c r="D7583" s="1"/>
      <c r="E7583" s="1"/>
      <c r="F7583" s="1" t="str">
        <f>IFERROR(__xludf.DUMMYFUNCTION("GOOGLETRANSLATE(B7583, ""en"", ""fa"")
"),"موفقیت در ای بی")</f>
        <v>موفقیت در ای بی</v>
      </c>
      <c r="G7583" s="1" t="str">
        <f>IFERROR(__xludf.DUMMYFUNCTION("GOOGLETRANSLATE(C7583, ""en"", ""fa"")
"),"چگونه می توانم به طور مؤثر شرایط مورد نیاز برای اقلام برگشتی را در eBay به اشتراک بگذارم تا اطمینان حاصل کنم که خریداران انتظارات را درک کرده و از سوء استفاده از خط مشی بازگشت جلوگیری می کنند؟")</f>
        <v>چگونه می توانم به طور مؤثر شرایط مورد نیاز برای اقلام برگشتی را در eBay به اشتراک بگذارم تا اطمینان حاصل کنم که خریداران انتظارات را درک کرده و از سوء استفاده از خط مشی بازگشت جلوگیری می کنند؟</v>
      </c>
      <c r="H7583" s="1"/>
      <c r="I7583" s="1"/>
      <c r="J7583" s="1"/>
      <c r="K7583" s="1"/>
      <c r="L7583" s="1"/>
      <c r="M7583" s="1"/>
      <c r="N7583" s="1"/>
      <c r="O7583" s="1"/>
      <c r="P7583" s="1"/>
      <c r="Q7583" s="1"/>
      <c r="R7583" s="1"/>
      <c r="S7583" s="1"/>
      <c r="T7583" s="1"/>
      <c r="U7583" s="1"/>
      <c r="V7583" s="1"/>
      <c r="W7583" s="1"/>
      <c r="X7583" s="1"/>
      <c r="Y7583" s="1"/>
      <c r="Z7583" s="1"/>
      <c r="AA7583" s="1"/>
      <c r="AB7583" s="1"/>
    </row>
    <row r="7584" ht="50.25" customHeight="1">
      <c r="A7584" s="12">
        <v>7580.0</v>
      </c>
      <c r="B7584" s="13" t="s">
        <v>7028</v>
      </c>
      <c r="C7584" s="14" t="s">
        <v>7608</v>
      </c>
      <c r="D7584" s="1"/>
      <c r="E7584" s="1"/>
      <c r="F7584" s="1" t="str">
        <f>IFERROR(__xludf.DUMMYFUNCTION("GOOGLETRANSLATE(B7584, ""en"", ""fa"")
"),"موفقیت در ای بی")</f>
        <v>موفقیت در ای بی</v>
      </c>
      <c r="G7584" s="1" t="str">
        <f>IFERROR(__xludf.DUMMYFUNCTION("GOOGLETRANSLATE(C7584, ""en"", ""fa"")
"),"با ارائه تصاویر دقیق محصول و مشخصات دقیق مطابق با کالای واقعی، از چه استراتژی هایی می توانم برای به حداقل رساندن نرخ بازگشت در eBay استفاده کنم؟")</f>
        <v>با ارائه تصاویر دقیق محصول و مشخصات دقیق مطابق با کالای واقعی، از چه استراتژی هایی می توانم برای به حداقل رساندن نرخ بازگشت در eBay استفاده کنم؟</v>
      </c>
      <c r="H7584" s="1"/>
      <c r="I7584" s="1"/>
      <c r="J7584" s="1"/>
      <c r="K7584" s="1"/>
      <c r="L7584" s="1"/>
      <c r="M7584" s="1"/>
      <c r="N7584" s="1"/>
      <c r="O7584" s="1"/>
      <c r="P7584" s="1"/>
      <c r="Q7584" s="1"/>
      <c r="R7584" s="1"/>
      <c r="S7584" s="1"/>
      <c r="T7584" s="1"/>
      <c r="U7584" s="1"/>
      <c r="V7584" s="1"/>
      <c r="W7584" s="1"/>
      <c r="X7584" s="1"/>
      <c r="Y7584" s="1"/>
      <c r="Z7584" s="1"/>
      <c r="AA7584" s="1"/>
      <c r="AB7584" s="1"/>
    </row>
    <row r="7585" ht="50.25" customHeight="1">
      <c r="A7585" s="12">
        <v>7581.0</v>
      </c>
      <c r="B7585" s="13" t="s">
        <v>7028</v>
      </c>
      <c r="C7585" s="14" t="s">
        <v>7609</v>
      </c>
      <c r="D7585" s="1"/>
      <c r="E7585" s="1"/>
      <c r="F7585" s="1" t="str">
        <f>IFERROR(__xludf.DUMMYFUNCTION("GOOGLETRANSLATE(B7585, ""en"", ""fa"")
"),"موفقیت در ای بی")</f>
        <v>موفقیت در ای بی</v>
      </c>
      <c r="G7585" s="1" t="str">
        <f>IFERROR(__xludf.DUMMYFUNCTION("GOOGLETRANSLATE(C7585, ""en"", ""fa"")
"),"چگونه می توانم از بازخورد مشتری و دلایل بازگرداندن آنها برای شناسایی الگوها یا مشکلات موجود در محصولات یا لیست های خود استفاده کنم و بهبودهای لازم را در eBay انجام دهم؟")</f>
        <v>چگونه می توانم از بازخورد مشتری و دلایل بازگرداندن آنها برای شناسایی الگوها یا مشکلات موجود در محصولات یا لیست های خود استفاده کنم و بهبودهای لازم را در eBay انجام دهم؟</v>
      </c>
      <c r="H7585" s="1"/>
      <c r="I7585" s="1"/>
      <c r="J7585" s="1"/>
      <c r="K7585" s="1"/>
      <c r="L7585" s="1"/>
      <c r="M7585" s="1"/>
      <c r="N7585" s="1"/>
      <c r="O7585" s="1"/>
      <c r="P7585" s="1"/>
      <c r="Q7585" s="1"/>
      <c r="R7585" s="1"/>
      <c r="S7585" s="1"/>
      <c r="T7585" s="1"/>
      <c r="U7585" s="1"/>
      <c r="V7585" s="1"/>
      <c r="W7585" s="1"/>
      <c r="X7585" s="1"/>
      <c r="Y7585" s="1"/>
      <c r="Z7585" s="1"/>
      <c r="AA7585" s="1"/>
      <c r="AB7585" s="1"/>
    </row>
    <row r="7586" ht="50.25" customHeight="1">
      <c r="A7586" s="12">
        <v>7582.0</v>
      </c>
      <c r="B7586" s="13" t="s">
        <v>7028</v>
      </c>
      <c r="C7586" s="14" t="s">
        <v>7610</v>
      </c>
      <c r="D7586" s="1"/>
      <c r="E7586" s="1"/>
      <c r="F7586" s="1" t="str">
        <f>IFERROR(__xludf.DUMMYFUNCTION("GOOGLETRANSLATE(B7586, ""en"", ""fa"")
"),"موفقیت در ای بی")</f>
        <v>موفقیت در ای بی</v>
      </c>
      <c r="G7586" s="1" t="str">
        <f>IFERROR(__xludf.DUMMYFUNCTION("GOOGLETRANSLATE(C7586, ""en"", ""fa"")
"),"ملاحظات کلیدی هنگام رسیدگی به بازپرداخت جزئی یا درخواست‌های تعویض در eBay برای رفع نگرانی‌های خریداران و حفظ رضایت مشتری چیست؟")</f>
        <v>ملاحظات کلیدی هنگام رسیدگی به بازپرداخت جزئی یا درخواست‌های تعویض در eBay برای رفع نگرانی‌های خریداران و حفظ رضایت مشتری چیست؟</v>
      </c>
      <c r="H7586" s="1"/>
      <c r="I7586" s="1"/>
      <c r="J7586" s="1"/>
      <c r="K7586" s="1"/>
      <c r="L7586" s="1"/>
      <c r="M7586" s="1"/>
      <c r="N7586" s="1"/>
      <c r="O7586" s="1"/>
      <c r="P7586" s="1"/>
      <c r="Q7586" s="1"/>
      <c r="R7586" s="1"/>
      <c r="S7586" s="1"/>
      <c r="T7586" s="1"/>
      <c r="U7586" s="1"/>
      <c r="V7586" s="1"/>
      <c r="W7586" s="1"/>
      <c r="X7586" s="1"/>
      <c r="Y7586" s="1"/>
      <c r="Z7586" s="1"/>
      <c r="AA7586" s="1"/>
      <c r="AB7586" s="1"/>
    </row>
    <row r="7587" ht="50.25" customHeight="1">
      <c r="A7587" s="12">
        <v>7583.0</v>
      </c>
      <c r="B7587" s="13" t="s">
        <v>7028</v>
      </c>
      <c r="C7587" s="14" t="s">
        <v>7611</v>
      </c>
      <c r="D7587" s="1"/>
      <c r="E7587" s="1"/>
      <c r="F7587" s="1" t="str">
        <f>IFERROR(__xludf.DUMMYFUNCTION("GOOGLETRANSLATE(B7587, ""en"", ""fa"")
"),"موفقیت در ای بی")</f>
        <v>موفقیت در ای بی</v>
      </c>
      <c r="G7587" s="1" t="str">
        <f>IFERROR(__xludf.DUMMYFUNCTION("GOOGLETRANSLATE(C7587, ""en"", ""fa"")
"),"چگونه می توانم به طور فعال با خریداران در طول فرآیند بازگرداندن در eBay ارتباط برقرار کنم تا به روز رسانی ها را ارائه دهم، به سؤالات یا نگرانی ها رسیدگی کنم و از تجربه مثبت اطمینان حاصل کنم؟")</f>
        <v>چگونه می توانم به طور فعال با خریداران در طول فرآیند بازگرداندن در eBay ارتباط برقرار کنم تا به روز رسانی ها را ارائه دهم، به سؤالات یا نگرانی ها رسیدگی کنم و از تجربه مثبت اطمینان حاصل کنم؟</v>
      </c>
      <c r="H7587" s="1"/>
      <c r="I7587" s="1"/>
      <c r="J7587" s="1"/>
      <c r="K7587" s="1"/>
      <c r="L7587" s="1"/>
      <c r="M7587" s="1"/>
      <c r="N7587" s="1"/>
      <c r="O7587" s="1"/>
      <c r="P7587" s="1"/>
      <c r="Q7587" s="1"/>
      <c r="R7587" s="1"/>
      <c r="S7587" s="1"/>
      <c r="T7587" s="1"/>
      <c r="U7587" s="1"/>
      <c r="V7587" s="1"/>
      <c r="W7587" s="1"/>
      <c r="X7587" s="1"/>
      <c r="Y7587" s="1"/>
      <c r="Z7587" s="1"/>
      <c r="AA7587" s="1"/>
      <c r="AB7587" s="1"/>
    </row>
    <row r="7588" ht="50.25" customHeight="1">
      <c r="A7588" s="12">
        <v>7584.0</v>
      </c>
      <c r="B7588" s="13" t="s">
        <v>7028</v>
      </c>
      <c r="C7588" s="14" t="s">
        <v>7612</v>
      </c>
      <c r="D7588" s="1"/>
      <c r="E7588" s="1"/>
      <c r="F7588" s="1" t="str">
        <f>IFERROR(__xludf.DUMMYFUNCTION("GOOGLETRANSLATE(B7588, ""en"", ""fa"")
"),"موفقیت در ای بی")</f>
        <v>موفقیت در ای بی</v>
      </c>
      <c r="G7588" s="1" t="str">
        <f>IFERROR(__xludf.DUMMYFUNCTION("GOOGLETRANSLATE(C7588, ""en"", ""fa"")
"),"چه استراتژی هایی را می توانم برای به حداقل رساندن هزینه های حمل و نقل برگشتی در eBay با ارائه راه حل های جایگزین، مانند بازپرداخت بدون بازگشت یا نقاط خروج محلی به کار بگیرم؟")</f>
        <v>چه استراتژی هایی را می توانم برای به حداقل رساندن هزینه های حمل و نقل برگشتی در eBay با ارائه راه حل های جایگزین، مانند بازپرداخت بدون بازگشت یا نقاط خروج محلی به کار بگیرم؟</v>
      </c>
      <c r="H7588" s="1"/>
      <c r="I7588" s="1"/>
      <c r="J7588" s="1"/>
      <c r="K7588" s="1"/>
      <c r="L7588" s="1"/>
      <c r="M7588" s="1"/>
      <c r="N7588" s="1"/>
      <c r="O7588" s="1"/>
      <c r="P7588" s="1"/>
      <c r="Q7588" s="1"/>
      <c r="R7588" s="1"/>
      <c r="S7588" s="1"/>
      <c r="T7588" s="1"/>
      <c r="U7588" s="1"/>
      <c r="V7588" s="1"/>
      <c r="W7588" s="1"/>
      <c r="X7588" s="1"/>
      <c r="Y7588" s="1"/>
      <c r="Z7588" s="1"/>
      <c r="AA7588" s="1"/>
      <c r="AB7588" s="1"/>
    </row>
    <row r="7589" ht="50.25" customHeight="1">
      <c r="A7589" s="12">
        <v>7585.0</v>
      </c>
      <c r="B7589" s="13" t="s">
        <v>7028</v>
      </c>
      <c r="C7589" s="14" t="s">
        <v>7613</v>
      </c>
      <c r="D7589" s="1"/>
      <c r="E7589" s="1"/>
      <c r="F7589" s="1" t="str">
        <f>IFERROR(__xludf.DUMMYFUNCTION("GOOGLETRANSLATE(B7589, ""en"", ""fa"")
"),"موفقیت در ای بی")</f>
        <v>موفقیت در ای بی</v>
      </c>
      <c r="G7589" s="1" t="str">
        <f>IFERROR(__xludf.DUMMYFUNCTION("GOOGLETRANSLATE(C7589, ""en"", ""fa"")
"),"چگونه می توانم استفاده از معیارهای بازگشت و تجزیه و تحلیل را در eBay برای شناسایی روندها، مشکلات عملکرد محصول یا زمینه های بهبود در فهرست ها یا موجودی خود بهینه کنم؟")</f>
        <v>چگونه می توانم استفاده از معیارهای بازگشت و تجزیه و تحلیل را در eBay برای شناسایی روندها، مشکلات عملکرد محصول یا زمینه های بهبود در فهرست ها یا موجودی خود بهینه کنم؟</v>
      </c>
      <c r="H7589" s="1"/>
      <c r="I7589" s="1"/>
      <c r="J7589" s="1"/>
      <c r="K7589" s="1"/>
      <c r="L7589" s="1"/>
      <c r="M7589" s="1"/>
      <c r="N7589" s="1"/>
      <c r="O7589" s="1"/>
      <c r="P7589" s="1"/>
      <c r="Q7589" s="1"/>
      <c r="R7589" s="1"/>
      <c r="S7589" s="1"/>
      <c r="T7589" s="1"/>
      <c r="U7589" s="1"/>
      <c r="V7589" s="1"/>
      <c r="W7589" s="1"/>
      <c r="X7589" s="1"/>
      <c r="Y7589" s="1"/>
      <c r="Z7589" s="1"/>
      <c r="AA7589" s="1"/>
      <c r="AB7589" s="1"/>
    </row>
    <row r="7590" ht="50.25" customHeight="1">
      <c r="A7590" s="12">
        <v>7586.0</v>
      </c>
      <c r="B7590" s="13" t="s">
        <v>7028</v>
      </c>
      <c r="C7590" s="14" t="s">
        <v>7614</v>
      </c>
      <c r="D7590" s="1"/>
      <c r="E7590" s="1"/>
      <c r="F7590" s="1" t="str">
        <f>IFERROR(__xludf.DUMMYFUNCTION("GOOGLETRANSLATE(B7590, ""en"", ""fa"")
"),"موفقیت در ای بی")</f>
        <v>موفقیت در ای بی</v>
      </c>
      <c r="G7590" s="1" t="str">
        <f>IFERROR(__xludf.DUMMYFUNCTION("GOOGLETRANSLATE(C7590, ""en"", ""fa"")
"),"مزایای اجرای سیاست کارمزد مجدد در eBay برای انواع خاصی از محصولات برای پوشش هزینه‌های مرتبط با بازگشت و جلوگیری از بازگشت‌های بیهوده چیست؟")</f>
        <v>مزایای اجرای سیاست کارمزد مجدد در eBay برای انواع خاصی از محصولات برای پوشش هزینه‌های مرتبط با بازگشت و جلوگیری از بازگشت‌های بیهوده چیست؟</v>
      </c>
      <c r="H7590" s="1"/>
      <c r="I7590" s="1"/>
      <c r="J7590" s="1"/>
      <c r="K7590" s="1"/>
      <c r="L7590" s="1"/>
      <c r="M7590" s="1"/>
      <c r="N7590" s="1"/>
      <c r="O7590" s="1"/>
      <c r="P7590" s="1"/>
      <c r="Q7590" s="1"/>
      <c r="R7590" s="1"/>
      <c r="S7590" s="1"/>
      <c r="T7590" s="1"/>
      <c r="U7590" s="1"/>
      <c r="V7590" s="1"/>
      <c r="W7590" s="1"/>
      <c r="X7590" s="1"/>
      <c r="Y7590" s="1"/>
      <c r="Z7590" s="1"/>
      <c r="AA7590" s="1"/>
      <c r="AB7590" s="1"/>
    </row>
    <row r="7591" ht="50.25" customHeight="1">
      <c r="A7591" s="12">
        <v>7587.0</v>
      </c>
      <c r="B7591" s="13" t="s">
        <v>7028</v>
      </c>
      <c r="C7591" s="14" t="s">
        <v>7615</v>
      </c>
      <c r="D7591" s="1"/>
      <c r="E7591" s="1"/>
      <c r="F7591" s="1" t="str">
        <f>IFERROR(__xludf.DUMMYFUNCTION("GOOGLETRANSLATE(B7591, ""en"", ""fa"")
"),"موفقیت در ای بی")</f>
        <v>موفقیت در ای بی</v>
      </c>
      <c r="G7591" s="1" t="str">
        <f>IFERROR(__xludf.DUMMYFUNCTION("GOOGLETRANSLATE(C7591, ""en"", ""fa"")
"),"چگونه می توانم پیش از شروع درخواست بازگشت در eBay از طریق ارتباط فعال و خدمات استثنایی مشتری، نارضایتی یا نگرانی های خریدار را فعالانه برطرف کنم؟")</f>
        <v>چگونه می توانم پیش از شروع درخواست بازگشت در eBay از طریق ارتباط فعال و خدمات استثنایی مشتری، نارضایتی یا نگرانی های خریدار را فعالانه برطرف کنم؟</v>
      </c>
      <c r="H7591" s="1"/>
      <c r="I7591" s="1"/>
      <c r="J7591" s="1"/>
      <c r="K7591" s="1"/>
      <c r="L7591" s="1"/>
      <c r="M7591" s="1"/>
      <c r="N7591" s="1"/>
      <c r="O7591" s="1"/>
      <c r="P7591" s="1"/>
      <c r="Q7591" s="1"/>
      <c r="R7591" s="1"/>
      <c r="S7591" s="1"/>
      <c r="T7591" s="1"/>
      <c r="U7591" s="1"/>
      <c r="V7591" s="1"/>
      <c r="W7591" s="1"/>
      <c r="X7591" s="1"/>
      <c r="Y7591" s="1"/>
      <c r="Z7591" s="1"/>
      <c r="AA7591" s="1"/>
      <c r="AB7591" s="1"/>
    </row>
    <row r="7592" ht="50.25" customHeight="1">
      <c r="A7592" s="12">
        <v>7588.0</v>
      </c>
      <c r="B7592" s="13" t="s">
        <v>7028</v>
      </c>
      <c r="C7592" s="14" t="s">
        <v>7616</v>
      </c>
      <c r="D7592" s="1"/>
      <c r="E7592" s="1"/>
      <c r="F7592" s="1" t="str">
        <f>IFERROR(__xludf.DUMMYFUNCTION("GOOGLETRANSLATE(B7592, ""en"", ""fa"")
"),"موفقیت در ای بی")</f>
        <v>موفقیت در ای بی</v>
      </c>
      <c r="G7592" s="1" t="str">
        <f>IFERROR(__xludf.DUMMYFUNCTION("GOOGLETRANSLATE(C7592, ""en"", ""fa"")
"),"با اجرای اقدامات امنیتی و فرآیندهای بازرسی کامل، از چه راهبردهایی می توانم برای کاهش احتمال بازگشت جعلی یا تعویض اقلام در eBay استفاده کنم؟")</f>
        <v>با اجرای اقدامات امنیتی و فرآیندهای بازرسی کامل، از چه راهبردهایی می توانم برای کاهش احتمال بازگشت جعلی یا تعویض اقلام در eBay استفاده کنم؟</v>
      </c>
      <c r="H7592" s="1"/>
      <c r="I7592" s="1"/>
      <c r="J7592" s="1"/>
      <c r="K7592" s="1"/>
      <c r="L7592" s="1"/>
      <c r="M7592" s="1"/>
      <c r="N7592" s="1"/>
      <c r="O7592" s="1"/>
      <c r="P7592" s="1"/>
      <c r="Q7592" s="1"/>
      <c r="R7592" s="1"/>
      <c r="S7592" s="1"/>
      <c r="T7592" s="1"/>
      <c r="U7592" s="1"/>
      <c r="V7592" s="1"/>
      <c r="W7592" s="1"/>
      <c r="X7592" s="1"/>
      <c r="Y7592" s="1"/>
      <c r="Z7592" s="1"/>
      <c r="AA7592" s="1"/>
      <c r="AB7592" s="1"/>
    </row>
    <row r="7593" ht="50.25" customHeight="1">
      <c r="A7593" s="12">
        <v>7589.0</v>
      </c>
      <c r="B7593" s="13" t="s">
        <v>7028</v>
      </c>
      <c r="C7593" s="14" t="s">
        <v>7617</v>
      </c>
      <c r="D7593" s="1"/>
      <c r="E7593" s="1"/>
      <c r="F7593" s="1" t="str">
        <f>IFERROR(__xludf.DUMMYFUNCTION("GOOGLETRANSLATE(B7593, ""en"", ""fa"")
"),"موفقیت در ای بی")</f>
        <v>موفقیت در ای بی</v>
      </c>
      <c r="G7593" s="1" t="str">
        <f>IFERROR(__xludf.DUMMYFUNCTION("GOOGLETRANSLATE(C7593, ""en"", ""fa"")
"),"چگونه می توانم به طور موثر هرگونه اطلاعات ضمانت یا گارانتی را برای محصولات خود در eBay برای اطمینان بخشیدن به خریداران و ایجاد اطمینان بیشتر در خرید آنها به اطلاع آنها برسانم؟")</f>
        <v>چگونه می توانم به طور موثر هرگونه اطلاعات ضمانت یا گارانتی را برای محصولات خود در eBay برای اطمینان بخشیدن به خریداران و ایجاد اطمینان بیشتر در خرید آنها به اطلاع آنها برسانم؟</v>
      </c>
      <c r="H7593" s="1"/>
      <c r="I7593" s="1"/>
      <c r="J7593" s="1"/>
      <c r="K7593" s="1"/>
      <c r="L7593" s="1"/>
      <c r="M7593" s="1"/>
      <c r="N7593" s="1"/>
      <c r="O7593" s="1"/>
      <c r="P7593" s="1"/>
      <c r="Q7593" s="1"/>
      <c r="R7593" s="1"/>
      <c r="S7593" s="1"/>
      <c r="T7593" s="1"/>
      <c r="U7593" s="1"/>
      <c r="V7593" s="1"/>
      <c r="W7593" s="1"/>
      <c r="X7593" s="1"/>
      <c r="Y7593" s="1"/>
      <c r="Z7593" s="1"/>
      <c r="AA7593" s="1"/>
      <c r="AB7593" s="1"/>
    </row>
    <row r="7594" ht="50.25" customHeight="1">
      <c r="A7594" s="12">
        <v>7590.0</v>
      </c>
      <c r="B7594" s="13" t="s">
        <v>7028</v>
      </c>
      <c r="C7594" s="14" t="s">
        <v>7618</v>
      </c>
      <c r="D7594" s="1"/>
      <c r="E7594" s="1"/>
      <c r="F7594" s="1" t="str">
        <f>IFERROR(__xludf.DUMMYFUNCTION("GOOGLETRANSLATE(B7594, ""en"", ""fa"")
"),"موفقیت در ای بی")</f>
        <v>موفقیت در ای بی</v>
      </c>
      <c r="G7594" s="1" t="str">
        <f>IFERROR(__xludf.DUMMYFUNCTION("GOOGLETRANSLATE(C7594, ""en"", ""fa"")
"),"با در نظر گرفتن عواملی مانند گمرک، هزینه های حمل و نقل و گزینه های بازگشت محلی، چه استراتژی هایی را می توانم برای رسیدگی به بازگشت های بین المللی در eBay به کار بگیرم؟")</f>
        <v>با در نظر گرفتن عواملی مانند گمرک، هزینه های حمل و نقل و گزینه های بازگشت محلی، چه استراتژی هایی را می توانم برای رسیدگی به بازگشت های بین المللی در eBay به کار بگیرم؟</v>
      </c>
      <c r="H7594" s="1"/>
      <c r="I7594" s="1"/>
      <c r="J7594" s="1"/>
      <c r="K7594" s="1"/>
      <c r="L7594" s="1"/>
      <c r="M7594" s="1"/>
      <c r="N7594" s="1"/>
      <c r="O7594" s="1"/>
      <c r="P7594" s="1"/>
      <c r="Q7594" s="1"/>
      <c r="R7594" s="1"/>
      <c r="S7594" s="1"/>
      <c r="T7594" s="1"/>
      <c r="U7594" s="1"/>
      <c r="V7594" s="1"/>
      <c r="W7594" s="1"/>
      <c r="X7594" s="1"/>
      <c r="Y7594" s="1"/>
      <c r="Z7594" s="1"/>
      <c r="AA7594" s="1"/>
      <c r="AB7594" s="1"/>
    </row>
    <row r="7595" ht="50.25" customHeight="1">
      <c r="A7595" s="12">
        <v>7591.0</v>
      </c>
      <c r="B7595" s="13" t="s">
        <v>7028</v>
      </c>
      <c r="C7595" s="14" t="s">
        <v>7619</v>
      </c>
      <c r="D7595" s="1"/>
      <c r="E7595" s="1"/>
      <c r="F7595" s="1" t="str">
        <f>IFERROR(__xludf.DUMMYFUNCTION("GOOGLETRANSLATE(B7595, ""en"", ""fa"")
"),"موفقیت در ای بی")</f>
        <v>موفقیت در ای بی</v>
      </c>
      <c r="G7595" s="1" t="str">
        <f>IFERROR(__xludf.DUMMYFUNCTION("GOOGLETRANSLATE(C7595, ""en"", ""fa"")
"),"چگونه می توانم استفاده از داده های مربوط به بازگشت و بازخورد خریدار در eBay را برای تصمیم گیری آگاهانه در مورد انتخاب محصول، مدیریت موجودی یا بهینه سازی فهرست بهینه کنم؟")</f>
        <v>چگونه می توانم استفاده از داده های مربوط به بازگشت و بازخورد خریدار در eBay را برای تصمیم گیری آگاهانه در مورد انتخاب محصول، مدیریت موجودی یا بهینه سازی فهرست بهینه کنم؟</v>
      </c>
      <c r="H7595" s="1"/>
      <c r="I7595" s="1"/>
      <c r="J7595" s="1"/>
      <c r="K7595" s="1"/>
      <c r="L7595" s="1"/>
      <c r="M7595" s="1"/>
      <c r="N7595" s="1"/>
      <c r="O7595" s="1"/>
      <c r="P7595" s="1"/>
      <c r="Q7595" s="1"/>
      <c r="R7595" s="1"/>
      <c r="S7595" s="1"/>
      <c r="T7595" s="1"/>
      <c r="U7595" s="1"/>
      <c r="V7595" s="1"/>
      <c r="W7595" s="1"/>
      <c r="X7595" s="1"/>
      <c r="Y7595" s="1"/>
      <c r="Z7595" s="1"/>
      <c r="AA7595" s="1"/>
      <c r="AB7595" s="1"/>
    </row>
    <row r="7596" ht="50.25" customHeight="1">
      <c r="A7596" s="12">
        <v>7592.0</v>
      </c>
      <c r="B7596" s="13" t="s">
        <v>7028</v>
      </c>
      <c r="C7596" s="14" t="s">
        <v>7620</v>
      </c>
      <c r="D7596" s="1"/>
      <c r="E7596" s="1"/>
      <c r="F7596" s="1" t="str">
        <f>IFERROR(__xludf.DUMMYFUNCTION("GOOGLETRANSLATE(B7596, ""en"", ""fa"")
"),"موفقیت در ای بی")</f>
        <v>موفقیت در ای بی</v>
      </c>
      <c r="G7596" s="1" t="str">
        <f>IFERROR(__xludf.DUMMYFUNCTION("GOOGLETRANSLATE(C7596, ""en"", ""fa"")
"),"ملاحظات کلیدی هنگام تعیین معیارهای واجد شرایط بودن برای بازگرداندن در eBay، مانند موارد باز شده، محصولات استفاده شده، یا موارد سفارشی چیست؟")</f>
        <v>ملاحظات کلیدی هنگام تعیین معیارهای واجد شرایط بودن برای بازگرداندن در eBay، مانند موارد باز شده، محصولات استفاده شده، یا موارد سفارشی چیست؟</v>
      </c>
      <c r="H7596" s="1"/>
      <c r="I7596" s="1"/>
      <c r="J7596" s="1"/>
      <c r="K7596" s="1"/>
      <c r="L7596" s="1"/>
      <c r="M7596" s="1"/>
      <c r="N7596" s="1"/>
      <c r="O7596" s="1"/>
      <c r="P7596" s="1"/>
      <c r="Q7596" s="1"/>
      <c r="R7596" s="1"/>
      <c r="S7596" s="1"/>
      <c r="T7596" s="1"/>
      <c r="U7596" s="1"/>
      <c r="V7596" s="1"/>
      <c r="W7596" s="1"/>
      <c r="X7596" s="1"/>
      <c r="Y7596" s="1"/>
      <c r="Z7596" s="1"/>
      <c r="AA7596" s="1"/>
      <c r="AB7596" s="1"/>
    </row>
    <row r="7597" ht="50.25" customHeight="1">
      <c r="A7597" s="12">
        <v>7593.0</v>
      </c>
      <c r="B7597" s="13" t="s">
        <v>7028</v>
      </c>
      <c r="C7597" s="14" t="s">
        <v>7621</v>
      </c>
      <c r="D7597" s="1"/>
      <c r="E7597" s="1"/>
      <c r="F7597" s="1" t="str">
        <f>IFERROR(__xludf.DUMMYFUNCTION("GOOGLETRANSLATE(B7597, ""en"", ""fa"")
"),"موفقیت در ای بی")</f>
        <v>موفقیت در ای بی</v>
      </c>
      <c r="G7597" s="1" t="str">
        <f>IFERROR(__xludf.DUMMYFUNCTION("GOOGLETRANSLATE(C7597, ""en"", ""fa"")
"),"چگونه می‌توانم با ارائه توضیحات دقیق و دقیق محصول، از جمله اندازه‌گیری‌ها، مشخصات و دستورالعمل‌های استفاده، در eBay از بازگشت کالا و نارضایتی خریداران جلوگیری کنم؟")</f>
        <v>چگونه می‌توانم با ارائه توضیحات دقیق و دقیق محصول، از جمله اندازه‌گیری‌ها، مشخصات و دستورالعمل‌های استفاده، در eBay از بازگشت کالا و نارضایتی خریداران جلوگیری کنم؟</v>
      </c>
      <c r="H7597" s="1"/>
      <c r="I7597" s="1"/>
      <c r="J7597" s="1"/>
      <c r="K7597" s="1"/>
      <c r="L7597" s="1"/>
      <c r="M7597" s="1"/>
      <c r="N7597" s="1"/>
      <c r="O7597" s="1"/>
      <c r="P7597" s="1"/>
      <c r="Q7597" s="1"/>
      <c r="R7597" s="1"/>
      <c r="S7597" s="1"/>
      <c r="T7597" s="1"/>
      <c r="U7597" s="1"/>
      <c r="V7597" s="1"/>
      <c r="W7597" s="1"/>
      <c r="X7597" s="1"/>
      <c r="Y7597" s="1"/>
      <c r="Z7597" s="1"/>
      <c r="AA7597" s="1"/>
      <c r="AB7597" s="1"/>
    </row>
    <row r="7598" ht="50.25" customHeight="1">
      <c r="A7598" s="12">
        <v>7594.0</v>
      </c>
      <c r="B7598" s="13" t="s">
        <v>7028</v>
      </c>
      <c r="C7598" s="14" t="s">
        <v>7622</v>
      </c>
      <c r="D7598" s="1"/>
      <c r="E7598" s="1"/>
      <c r="F7598" s="1" t="str">
        <f>IFERROR(__xludf.DUMMYFUNCTION("GOOGLETRANSLATE(B7598, ""en"", ""fa"")
"),"موفقیت در ای بی")</f>
        <v>موفقیت در ای بی</v>
      </c>
      <c r="G7598" s="1" t="str">
        <f>IFERROR(__xludf.DUMMYFUNCTION("GOOGLETRANSLATE(C7598, ""en"", ""fa"")
"),"از چه استراتژی‌هایی می‌توانم برای مدیریت درخواست‌های بازگشت از سوی خریدارانی که نظر خود را تغییر داده‌اند یا خریدهای نادرستی در eBay انجام داده‌اند، استفاده کنم و در عین حال رضایت مشتری و نیازهای تجاری را متعادل کنم؟")</f>
        <v>از چه استراتژی‌هایی می‌توانم برای مدیریت درخواست‌های بازگشت از سوی خریدارانی که نظر خود را تغییر داده‌اند یا خریدهای نادرستی در eBay انجام داده‌اند، استفاده کنم و در عین حال رضایت مشتری و نیازهای تجاری را متعادل کنم؟</v>
      </c>
      <c r="H7598" s="1"/>
      <c r="I7598" s="1"/>
      <c r="J7598" s="1"/>
      <c r="K7598" s="1"/>
      <c r="L7598" s="1"/>
      <c r="M7598" s="1"/>
      <c r="N7598" s="1"/>
      <c r="O7598" s="1"/>
      <c r="P7598" s="1"/>
      <c r="Q7598" s="1"/>
      <c r="R7598" s="1"/>
      <c r="S7598" s="1"/>
      <c r="T7598" s="1"/>
      <c r="U7598" s="1"/>
      <c r="V7598" s="1"/>
      <c r="W7598" s="1"/>
      <c r="X7598" s="1"/>
      <c r="Y7598" s="1"/>
      <c r="Z7598" s="1"/>
      <c r="AA7598" s="1"/>
      <c r="AB7598" s="1"/>
    </row>
    <row r="7599" ht="50.25" customHeight="1">
      <c r="A7599" s="12">
        <v>7595.0</v>
      </c>
      <c r="B7599" s="13" t="s">
        <v>7028</v>
      </c>
      <c r="C7599" s="14" t="s">
        <v>7623</v>
      </c>
      <c r="D7599" s="1"/>
      <c r="E7599" s="1"/>
      <c r="F7599" s="1" t="str">
        <f>IFERROR(__xludf.DUMMYFUNCTION("GOOGLETRANSLATE(B7599, ""en"", ""fa"")
"),"موفقیت در ای بی")</f>
        <v>موفقیت در ای بی</v>
      </c>
      <c r="G7599" s="1" t="str">
        <f>IFERROR(__xludf.DUMMYFUNCTION("GOOGLETRANSLATE(C7599, ""en"", ""fa"")
"),"چگونه می‌توانم با ارائه راه‌حل‌های جایگزین، مانند مبادلات، اعتبار فروشگاه یا تخفیف‌ها، برای تشویق حفظ مشتری و تکرار تجارت، فرآیند برگشت را در eBay بهینه کنم؟")</f>
        <v>چگونه می‌توانم با ارائه راه‌حل‌های جایگزین، مانند مبادلات، اعتبار فروشگاه یا تخفیف‌ها، برای تشویق حفظ مشتری و تکرار تجارت، فرآیند برگشت را در eBay بهینه کنم؟</v>
      </c>
      <c r="H7599" s="1"/>
      <c r="I7599" s="1"/>
      <c r="J7599" s="1"/>
      <c r="K7599" s="1"/>
      <c r="L7599" s="1"/>
      <c r="M7599" s="1"/>
      <c r="N7599" s="1"/>
      <c r="O7599" s="1"/>
      <c r="P7599" s="1"/>
      <c r="Q7599" s="1"/>
      <c r="R7599" s="1"/>
      <c r="S7599" s="1"/>
      <c r="T7599" s="1"/>
      <c r="U7599" s="1"/>
      <c r="V7599" s="1"/>
      <c r="W7599" s="1"/>
      <c r="X7599" s="1"/>
      <c r="Y7599" s="1"/>
      <c r="Z7599" s="1"/>
      <c r="AA7599" s="1"/>
      <c r="AB7599" s="1"/>
    </row>
    <row r="7600" ht="50.25" customHeight="1">
      <c r="A7600" s="12">
        <v>7596.0</v>
      </c>
      <c r="B7600" s="13" t="s">
        <v>7028</v>
      </c>
      <c r="C7600" s="14" t="s">
        <v>7624</v>
      </c>
      <c r="D7600" s="1"/>
      <c r="E7600" s="1"/>
      <c r="F7600" s="1" t="str">
        <f>IFERROR(__xludf.DUMMYFUNCTION("GOOGLETRANSLATE(B7600, ""en"", ""fa"")
"),"موفقیت در ای بی")</f>
        <v>موفقیت در ای بی</v>
      </c>
      <c r="G7600" s="1" t="str">
        <f>IFERROR(__xludf.DUMMYFUNCTION("GOOGLETRANSLATE(C7600, ""en"", ""fa"")
"),"مزایای اجرای یک فرآیند کنترل کیفیت جامع برای محصولات من در eBay برای به حداقل رساندن شانس بازگشت به دلیل نقص یا عدم دقت چیست؟")</f>
        <v>مزایای اجرای یک فرآیند کنترل کیفیت جامع برای محصولات من در eBay برای به حداقل رساندن شانس بازگشت به دلیل نقص یا عدم دقت چیست؟</v>
      </c>
      <c r="H7600" s="1"/>
      <c r="I7600" s="1"/>
      <c r="J7600" s="1"/>
      <c r="K7600" s="1"/>
      <c r="L7600" s="1"/>
      <c r="M7600" s="1"/>
      <c r="N7600" s="1"/>
      <c r="O7600" s="1"/>
      <c r="P7600" s="1"/>
      <c r="Q7600" s="1"/>
      <c r="R7600" s="1"/>
      <c r="S7600" s="1"/>
      <c r="T7600" s="1"/>
      <c r="U7600" s="1"/>
      <c r="V7600" s="1"/>
      <c r="W7600" s="1"/>
      <c r="X7600" s="1"/>
      <c r="Y7600" s="1"/>
      <c r="Z7600" s="1"/>
      <c r="AA7600" s="1"/>
      <c r="AB7600" s="1"/>
    </row>
    <row r="7601" ht="50.25" customHeight="1">
      <c r="A7601" s="12">
        <v>7597.0</v>
      </c>
      <c r="B7601" s="13" t="s">
        <v>7028</v>
      </c>
      <c r="C7601" s="14" t="s">
        <v>7625</v>
      </c>
      <c r="D7601" s="1"/>
      <c r="E7601" s="1"/>
      <c r="F7601" s="1" t="str">
        <f>IFERROR(__xludf.DUMMYFUNCTION("GOOGLETRANSLATE(B7601, ""en"", ""fa"")
"),"موفقیت در ای بی")</f>
        <v>موفقیت در ای بی</v>
      </c>
      <c r="G7601" s="1" t="str">
        <f>IFERROR(__xludf.DUMMYFUNCTION("GOOGLETRANSLATE(C7601, ""en"", ""fa"")
"),"چگونه می‌توانم با ارائه پرسش‌های متداول یا کانال‌های اختصاصی پشتیبانی مشتری، نگرانی‌ها یا سؤالات خریدار در مورد سیاست بازگشت در eBay را فعالانه برطرف کنم؟")</f>
        <v>چگونه می‌توانم با ارائه پرسش‌های متداول یا کانال‌های اختصاصی پشتیبانی مشتری، نگرانی‌ها یا سؤالات خریدار در مورد سیاست بازگشت در eBay را فعالانه برطرف کنم؟</v>
      </c>
      <c r="H7601" s="1"/>
      <c r="I7601" s="1"/>
      <c r="J7601" s="1"/>
      <c r="K7601" s="1"/>
      <c r="L7601" s="1"/>
      <c r="M7601" s="1"/>
      <c r="N7601" s="1"/>
      <c r="O7601" s="1"/>
      <c r="P7601" s="1"/>
      <c r="Q7601" s="1"/>
      <c r="R7601" s="1"/>
      <c r="S7601" s="1"/>
      <c r="T7601" s="1"/>
      <c r="U7601" s="1"/>
      <c r="V7601" s="1"/>
      <c r="W7601" s="1"/>
      <c r="X7601" s="1"/>
      <c r="Y7601" s="1"/>
      <c r="Z7601" s="1"/>
      <c r="AA7601" s="1"/>
      <c r="AB7601" s="1"/>
    </row>
    <row r="7602" ht="50.25" customHeight="1">
      <c r="A7602" s="12">
        <v>7598.0</v>
      </c>
      <c r="B7602" s="13" t="s">
        <v>7028</v>
      </c>
      <c r="C7602" s="14" t="s">
        <v>7626</v>
      </c>
      <c r="D7602" s="1"/>
      <c r="E7602" s="1"/>
      <c r="F7602" s="1" t="str">
        <f>IFERROR(__xludf.DUMMYFUNCTION("GOOGLETRANSLATE(B7602, ""en"", ""fa"")
"),"موفقیت در ای بی")</f>
        <v>موفقیت در ای بی</v>
      </c>
      <c r="G7602" s="1" t="str">
        <f>IFERROR(__xludf.DUMMYFUNCTION("GOOGLETRANSLATE(C7602, ""en"", ""fa"")
"),"چه راهکارهایی را می توانم برای رسیدگی به درخواست های بازگشت اقلام بزرگ یا شکننده در eBay با در نظر گرفتن بسته بندی خاص، خدمات تحویل، یا گزینه های تحویل محلی به کار بگیرم؟")</f>
        <v>چه راهکارهایی را می توانم برای رسیدگی به درخواست های بازگشت اقلام بزرگ یا شکننده در eBay با در نظر گرفتن بسته بندی خاص، خدمات تحویل، یا گزینه های تحویل محلی به کار بگیرم؟</v>
      </c>
      <c r="H7602" s="1"/>
      <c r="I7602" s="1"/>
      <c r="J7602" s="1"/>
      <c r="K7602" s="1"/>
      <c r="L7602" s="1"/>
      <c r="M7602" s="1"/>
      <c r="N7602" s="1"/>
      <c r="O7602" s="1"/>
      <c r="P7602" s="1"/>
      <c r="Q7602" s="1"/>
      <c r="R7602" s="1"/>
      <c r="S7602" s="1"/>
      <c r="T7602" s="1"/>
      <c r="U7602" s="1"/>
      <c r="V7602" s="1"/>
      <c r="W7602" s="1"/>
      <c r="X7602" s="1"/>
      <c r="Y7602" s="1"/>
      <c r="Z7602" s="1"/>
      <c r="AA7602" s="1"/>
      <c r="AB7602" s="1"/>
    </row>
    <row r="7603" ht="50.25" customHeight="1">
      <c r="A7603" s="12">
        <v>7599.0</v>
      </c>
      <c r="B7603" s="13" t="s">
        <v>7028</v>
      </c>
      <c r="C7603" s="14" t="s">
        <v>7627</v>
      </c>
      <c r="D7603" s="1"/>
      <c r="E7603" s="1"/>
      <c r="F7603" s="1" t="str">
        <f>IFERROR(__xludf.DUMMYFUNCTION("GOOGLETRANSLATE(B7603, ""en"", ""fa"")
"),"موفقیت در ای بی")</f>
        <v>موفقیت در ای بی</v>
      </c>
      <c r="G7603" s="1" t="str">
        <f>IFERROR(__xludf.DUMMYFUNCTION("GOOGLETRANSLATE(C7603, ""en"", ""fa"")
"),"چگونه می توانم برای اطمینان از شفافیت و جلوگیری از غافلگیری در طول فرآیند بازگرداندن، هزینه های ذخیره مجدد یا هزینه های حمل و نقل را به خریداران در eBay به طور موثر در میان بگذارم؟")</f>
        <v>چگونه می توانم برای اطمینان از شفافیت و جلوگیری از غافلگیری در طول فرآیند بازگرداندن، هزینه های ذخیره مجدد یا هزینه های حمل و نقل را به خریداران در eBay به طور موثر در میان بگذارم؟</v>
      </c>
      <c r="H7603" s="1"/>
      <c r="I7603" s="1"/>
      <c r="J7603" s="1"/>
      <c r="K7603" s="1"/>
      <c r="L7603" s="1"/>
      <c r="M7603" s="1"/>
      <c r="N7603" s="1"/>
      <c r="O7603" s="1"/>
      <c r="P7603" s="1"/>
      <c r="Q7603" s="1"/>
      <c r="R7603" s="1"/>
      <c r="S7603" s="1"/>
      <c r="T7603" s="1"/>
      <c r="U7603" s="1"/>
      <c r="V7603" s="1"/>
      <c r="W7603" s="1"/>
      <c r="X7603" s="1"/>
      <c r="Y7603" s="1"/>
      <c r="Z7603" s="1"/>
      <c r="AA7603" s="1"/>
      <c r="AB7603" s="1"/>
    </row>
    <row r="7604" ht="50.25" customHeight="1">
      <c r="A7604" s="12">
        <v>7600.0</v>
      </c>
      <c r="B7604" s="13" t="s">
        <v>7028</v>
      </c>
      <c r="C7604" s="14" t="s">
        <v>7628</v>
      </c>
      <c r="D7604" s="1"/>
      <c r="E7604" s="1"/>
      <c r="F7604" s="1" t="str">
        <f>IFERROR(__xludf.DUMMYFUNCTION("GOOGLETRANSLATE(B7604, ""en"", ""fa"")
"),"موفقیت در ای بی")</f>
        <v>موفقیت در ای بی</v>
      </c>
      <c r="G7604" s="1" t="str">
        <f>IFERROR(__xludf.DUMMYFUNCTION("GOOGLETRANSLATE(C7604, ""en"", ""fa"")
"),"از چه استراتژی هایی می توانم برای افزایش بازدهی مثبت و تجربیات بازپرداخت در eBay با درخواست بازخورد خریدار یا نظرات برای افزایش شهرت فروشنده خود استفاده کنم؟")</f>
        <v>از چه استراتژی هایی می توانم برای افزایش بازدهی مثبت و تجربیات بازپرداخت در eBay با درخواست بازخورد خریدار یا نظرات برای افزایش شهرت فروشنده خود استفاده کنم؟</v>
      </c>
      <c r="H7604" s="1"/>
      <c r="I7604" s="1"/>
      <c r="J7604" s="1"/>
      <c r="K7604" s="1"/>
      <c r="L7604" s="1"/>
      <c r="M7604" s="1"/>
      <c r="N7604" s="1"/>
      <c r="O7604" s="1"/>
      <c r="P7604" s="1"/>
      <c r="Q7604" s="1"/>
      <c r="R7604" s="1"/>
      <c r="S7604" s="1"/>
      <c r="T7604" s="1"/>
      <c r="U7604" s="1"/>
      <c r="V7604" s="1"/>
      <c r="W7604" s="1"/>
      <c r="X7604" s="1"/>
      <c r="Y7604" s="1"/>
      <c r="Z7604" s="1"/>
      <c r="AA7604" s="1"/>
      <c r="AB7604" s="1"/>
    </row>
    <row r="7605" ht="50.25" customHeight="1">
      <c r="A7605" s="12">
        <v>7601.0</v>
      </c>
      <c r="B7605" s="13" t="s">
        <v>7028</v>
      </c>
      <c r="C7605" s="14" t="s">
        <v>7629</v>
      </c>
      <c r="D7605" s="1"/>
      <c r="E7605" s="1"/>
      <c r="F7605" s="1" t="str">
        <f>IFERROR(__xludf.DUMMYFUNCTION("GOOGLETRANSLATE(B7605, ""en"", ""fa"")
"),"موفقیت در ای بی")</f>
        <v>موفقیت در ای بی</v>
      </c>
      <c r="G7605" s="1" t="str">
        <f>IFERROR(__xludf.DUMMYFUNCTION("GOOGLETRANSLATE(C7605, ""en"", ""fa"")
"),"چگونه می‌توانم استفاده از اتوماسیون و فناوری، مانند الگوهای درخواست بازگشت یا سیستم‌های ردیابی را برای ساده‌سازی فرآیند برگشت در eBay و بهبود کارایی بهینه کنم؟")</f>
        <v>چگونه می‌توانم استفاده از اتوماسیون و فناوری، مانند الگوهای درخواست بازگشت یا سیستم‌های ردیابی را برای ساده‌سازی فرآیند برگشت در eBay و بهبود کارایی بهینه کنم؟</v>
      </c>
      <c r="H7605" s="1"/>
      <c r="I7605" s="1"/>
      <c r="J7605" s="1"/>
      <c r="K7605" s="1"/>
      <c r="L7605" s="1"/>
      <c r="M7605" s="1"/>
      <c r="N7605" s="1"/>
      <c r="O7605" s="1"/>
      <c r="P7605" s="1"/>
      <c r="Q7605" s="1"/>
      <c r="R7605" s="1"/>
      <c r="S7605" s="1"/>
      <c r="T7605" s="1"/>
      <c r="U7605" s="1"/>
      <c r="V7605" s="1"/>
      <c r="W7605" s="1"/>
      <c r="X7605" s="1"/>
      <c r="Y7605" s="1"/>
      <c r="Z7605" s="1"/>
      <c r="AA7605" s="1"/>
      <c r="AB7605" s="1"/>
    </row>
    <row r="7606" ht="50.25" customHeight="1">
      <c r="A7606" s="12">
        <v>7602.0</v>
      </c>
      <c r="B7606" s="13" t="s">
        <v>7028</v>
      </c>
      <c r="C7606" s="14" t="s">
        <v>7630</v>
      </c>
      <c r="D7606" s="1"/>
      <c r="E7606" s="1"/>
      <c r="F7606" s="1" t="str">
        <f>IFERROR(__xludf.DUMMYFUNCTION("GOOGLETRANSLATE(B7606, ""en"", ""fa"")
"),"موفقیت در ای بی")</f>
        <v>موفقیت در ای بی</v>
      </c>
      <c r="G7606" s="1" t="str">
        <f>IFERROR(__xludf.DUMMYFUNCTION("GOOGLETRANSLATE(C7606, ""en"", ""fa"")
"),"ملاحظات کلیدی هنگام رسیدگی به کالاهای فاسد شدنی یا مصرفی در eBay، حصول اطمینان از رعایت مقررات ایمنی و بهداشت و رضایت مشتری چیست؟")</f>
        <v>ملاحظات کلیدی هنگام رسیدگی به کالاهای فاسد شدنی یا مصرفی در eBay، حصول اطمینان از رعایت مقررات ایمنی و بهداشت و رضایت مشتری چیست؟</v>
      </c>
      <c r="H7606" s="1"/>
      <c r="I7606" s="1"/>
      <c r="J7606" s="1"/>
      <c r="K7606" s="1"/>
      <c r="L7606" s="1"/>
      <c r="M7606" s="1"/>
      <c r="N7606" s="1"/>
      <c r="O7606" s="1"/>
      <c r="P7606" s="1"/>
      <c r="Q7606" s="1"/>
      <c r="R7606" s="1"/>
      <c r="S7606" s="1"/>
      <c r="T7606" s="1"/>
      <c r="U7606" s="1"/>
      <c r="V7606" s="1"/>
      <c r="W7606" s="1"/>
      <c r="X7606" s="1"/>
      <c r="Y7606" s="1"/>
      <c r="Z7606" s="1"/>
      <c r="AA7606" s="1"/>
      <c r="AB7606" s="1"/>
    </row>
    <row r="7607" ht="50.25" customHeight="1">
      <c r="A7607" s="12">
        <v>7603.0</v>
      </c>
      <c r="B7607" s="13" t="s">
        <v>7028</v>
      </c>
      <c r="C7607" s="14" t="s">
        <v>7631</v>
      </c>
      <c r="D7607" s="1"/>
      <c r="E7607" s="1"/>
      <c r="F7607" s="1" t="str">
        <f>IFERROR(__xludf.DUMMYFUNCTION("GOOGLETRANSLATE(B7607, ""en"", ""fa"")
"),"موفقیت در ای بی")</f>
        <v>موفقیت در ای بی</v>
      </c>
      <c r="G7607" s="1" t="str">
        <f>IFERROR(__xludf.DUMMYFUNCTION("GOOGLETRANSLATE(C7607, ""en"", ""fa"")
"),"چگونه می توانم به طور فعال به نگرانی ها یا مسائل خریدار قبل از افزایش درخواست های بازگشت در eBay از طریق ارتباط فعال و حل مشکل رسیدگی کنم؟")</f>
        <v>چگونه می توانم به طور فعال به نگرانی ها یا مسائل خریدار قبل از افزایش درخواست های بازگشت در eBay از طریق ارتباط فعال و حل مشکل رسیدگی کنم؟</v>
      </c>
      <c r="H7607" s="1"/>
      <c r="I7607" s="1"/>
      <c r="J7607" s="1"/>
      <c r="K7607" s="1"/>
      <c r="L7607" s="1"/>
      <c r="M7607" s="1"/>
      <c r="N7607" s="1"/>
      <c r="O7607" s="1"/>
      <c r="P7607" s="1"/>
      <c r="Q7607" s="1"/>
      <c r="R7607" s="1"/>
      <c r="S7607" s="1"/>
      <c r="T7607" s="1"/>
      <c r="U7607" s="1"/>
      <c r="V7607" s="1"/>
      <c r="W7607" s="1"/>
      <c r="X7607" s="1"/>
      <c r="Y7607" s="1"/>
      <c r="Z7607" s="1"/>
      <c r="AA7607" s="1"/>
      <c r="AB7607" s="1"/>
    </row>
    <row r="7608" ht="50.25" customHeight="1">
      <c r="A7608" s="12">
        <v>7604.0</v>
      </c>
      <c r="B7608" s="13" t="s">
        <v>7028</v>
      </c>
      <c r="C7608" s="14" t="s">
        <v>7632</v>
      </c>
      <c r="D7608" s="1"/>
      <c r="E7608" s="1"/>
      <c r="F7608" s="1" t="str">
        <f>IFERROR(__xludf.DUMMYFUNCTION("GOOGLETRANSLATE(B7608, ""en"", ""fa"")
"),"موفقیت در ای بی")</f>
        <v>موفقیت در ای بی</v>
      </c>
      <c r="G7608" s="1" t="str">
        <f>IFERROR(__xludf.DUMMYFUNCTION("GOOGLETRANSLATE(C7608, ""en"", ""fa"")
"),"چه استراتژی هایی را می توانم برای به حداقل رساندن بازده ناشی از اندازه یا تناسب نادرست در eBay با ارائه نمودارهای اندازه دقیق، اندازه گیری ها، یا راهنماهای مناسب استفاده کنم؟")</f>
        <v>چه استراتژی هایی را می توانم برای به حداقل رساندن بازده ناشی از اندازه یا تناسب نادرست در eBay با ارائه نمودارهای اندازه دقیق، اندازه گیری ها، یا راهنماهای مناسب استفاده کنم؟</v>
      </c>
      <c r="H7608" s="1"/>
      <c r="I7608" s="1"/>
      <c r="J7608" s="1"/>
      <c r="K7608" s="1"/>
      <c r="L7608" s="1"/>
      <c r="M7608" s="1"/>
      <c r="N7608" s="1"/>
      <c r="O7608" s="1"/>
      <c r="P7608" s="1"/>
      <c r="Q7608" s="1"/>
      <c r="R7608" s="1"/>
      <c r="S7608" s="1"/>
      <c r="T7608" s="1"/>
      <c r="U7608" s="1"/>
      <c r="V7608" s="1"/>
      <c r="W7608" s="1"/>
      <c r="X7608" s="1"/>
      <c r="Y7608" s="1"/>
      <c r="Z7608" s="1"/>
      <c r="AA7608" s="1"/>
      <c r="AB7608" s="1"/>
    </row>
    <row r="7609" ht="50.25" customHeight="1">
      <c r="A7609" s="12">
        <v>7605.0</v>
      </c>
      <c r="B7609" s="13" t="s">
        <v>7028</v>
      </c>
      <c r="C7609" s="14" t="s">
        <v>7633</v>
      </c>
      <c r="D7609" s="1"/>
      <c r="E7609" s="1"/>
      <c r="F7609" s="1" t="str">
        <f>IFERROR(__xludf.DUMMYFUNCTION("GOOGLETRANSLATE(B7609, ""en"", ""fa"")
"),"موفقیت در ای بی")</f>
        <v>موفقیت در ای بی</v>
      </c>
      <c r="G7609" s="1" t="str">
        <f>IFERROR(__xludf.DUMMYFUNCTION("GOOGLETRANSLATE(C7609, ""en"", ""fa"")
"),"چگونه می توانم استفاده از بازخورد مشتری و دلایل بازگشت را در eBay برای شناسایی فرصت ها برای بهبود محصول، تنوع، یا تنظیمات منبع بهینه کنم؟")</f>
        <v>چگونه می توانم استفاده از بازخورد مشتری و دلایل بازگشت را در eBay برای شناسایی فرصت ها برای بهبود محصول، تنوع، یا تنظیمات منبع بهینه کنم؟</v>
      </c>
      <c r="H7609" s="1"/>
      <c r="I7609" s="1"/>
      <c r="J7609" s="1"/>
      <c r="K7609" s="1"/>
      <c r="L7609" s="1"/>
      <c r="M7609" s="1"/>
      <c r="N7609" s="1"/>
      <c r="O7609" s="1"/>
      <c r="P7609" s="1"/>
      <c r="Q7609" s="1"/>
      <c r="R7609" s="1"/>
      <c r="S7609" s="1"/>
      <c r="T7609" s="1"/>
      <c r="U7609" s="1"/>
      <c r="V7609" s="1"/>
      <c r="W7609" s="1"/>
      <c r="X7609" s="1"/>
      <c r="Y7609" s="1"/>
      <c r="Z7609" s="1"/>
      <c r="AA7609" s="1"/>
      <c r="AB7609" s="1"/>
    </row>
    <row r="7610" ht="50.25" customHeight="1">
      <c r="A7610" s="12">
        <v>7606.0</v>
      </c>
      <c r="B7610" s="13" t="s">
        <v>7028</v>
      </c>
      <c r="C7610" s="14" t="s">
        <v>7634</v>
      </c>
      <c r="D7610" s="1"/>
      <c r="E7610" s="1"/>
      <c r="F7610" s="1" t="str">
        <f>IFERROR(__xludf.DUMMYFUNCTION("GOOGLETRANSLATE(B7610, ""en"", ""fa"")
"),"موفقیت در ای بی")</f>
        <v>موفقیت در ای بی</v>
      </c>
      <c r="G7610" s="1" t="str">
        <f>IFERROR(__xludf.DUMMYFUNCTION("GOOGLETRANSLATE(C7610, ""en"", ""fa"")
"),"مزایای پیاده‌سازی یک سیاست بازگشت ردیفی در eBay بر اساس دسته‌بندی اقلام، محدوده قیمت یا معیارهای شرایط برای ارائه راه‌حل‌های مناسب برای انواع مختلف محصولات چیست؟")</f>
        <v>مزایای پیاده‌سازی یک سیاست بازگشت ردیفی در eBay بر اساس دسته‌بندی اقلام، محدوده قیمت یا معیارهای شرایط برای ارائه راه‌حل‌های مناسب برای انواع مختلف محصولات چیست؟</v>
      </c>
      <c r="H7610" s="1"/>
      <c r="I7610" s="1"/>
      <c r="J7610" s="1"/>
      <c r="K7610" s="1"/>
      <c r="L7610" s="1"/>
      <c r="M7610" s="1"/>
      <c r="N7610" s="1"/>
      <c r="O7610" s="1"/>
      <c r="P7610" s="1"/>
      <c r="Q7610" s="1"/>
      <c r="R7610" s="1"/>
      <c r="S7610" s="1"/>
      <c r="T7610" s="1"/>
      <c r="U7610" s="1"/>
      <c r="V7610" s="1"/>
      <c r="W7610" s="1"/>
      <c r="X7610" s="1"/>
      <c r="Y7610" s="1"/>
      <c r="Z7610" s="1"/>
      <c r="AA7610" s="1"/>
      <c r="AB7610" s="1"/>
    </row>
    <row r="7611" ht="50.25" customHeight="1">
      <c r="A7611" s="12">
        <v>7607.0</v>
      </c>
      <c r="B7611" s="13" t="s">
        <v>7028</v>
      </c>
      <c r="C7611" s="14" t="s">
        <v>7635</v>
      </c>
      <c r="D7611" s="1"/>
      <c r="E7611" s="1"/>
      <c r="F7611" s="1" t="str">
        <f>IFERROR(__xludf.DUMMYFUNCTION("GOOGLETRANSLATE(B7611, ""en"", ""fa"")
"),"موفقیت در ای بی")</f>
        <v>موفقیت در ای بی</v>
      </c>
      <c r="G7611" s="1" t="str">
        <f>IFERROR(__xludf.DUMMYFUNCTION("GOOGLETRANSLATE(C7611, ""en"", ""fa"")
"),"چگونه می‌توانم با ارائه شرایط و ضوابط واضح و مختصر در فهرست‌های eBay و خط‌مشی‌های فروشگاه خود، از سردرگمی یا نارضایتی خریدار در رابطه با بازگشت‌ها به طور فعال جلوگیری کنم؟")</f>
        <v>چگونه می‌توانم با ارائه شرایط و ضوابط واضح و مختصر در فهرست‌های eBay و خط‌مشی‌های فروشگاه خود، از سردرگمی یا نارضایتی خریدار در رابطه با بازگشت‌ها به طور فعال جلوگیری کنم؟</v>
      </c>
      <c r="H7611" s="1"/>
      <c r="I7611" s="1"/>
      <c r="J7611" s="1"/>
      <c r="K7611" s="1"/>
      <c r="L7611" s="1"/>
      <c r="M7611" s="1"/>
      <c r="N7611" s="1"/>
      <c r="O7611" s="1"/>
      <c r="P7611" s="1"/>
      <c r="Q7611" s="1"/>
      <c r="R7611" s="1"/>
      <c r="S7611" s="1"/>
      <c r="T7611" s="1"/>
      <c r="U7611" s="1"/>
      <c r="V7611" s="1"/>
      <c r="W7611" s="1"/>
      <c r="X7611" s="1"/>
      <c r="Y7611" s="1"/>
      <c r="Z7611" s="1"/>
      <c r="AA7611" s="1"/>
      <c r="AB7611" s="1"/>
    </row>
    <row r="7612" ht="50.25" customHeight="1">
      <c r="A7612" s="12">
        <v>7608.0</v>
      </c>
      <c r="B7612" s="13" t="s">
        <v>7028</v>
      </c>
      <c r="C7612" s="14" t="s">
        <v>7636</v>
      </c>
      <c r="D7612" s="1"/>
      <c r="E7612" s="1"/>
      <c r="F7612" s="1" t="str">
        <f>IFERROR(__xludf.DUMMYFUNCTION("GOOGLETRANSLATE(B7612, ""en"", ""fa"")
"),"موفقیت در ای بی")</f>
        <v>موفقیت در ای بی</v>
      </c>
      <c r="G7612" s="1" t="str">
        <f>IFERROR(__xludf.DUMMYFUNCTION("GOOGLETRANSLATE(C7612, ""en"", ""fa"")
"),"با در نظر گرفتن عواملی مانند گزینه های بازپرداخت، محدودیت های فروش مجدد یا تغییرات، از چه استراتژی هایی می توانم برای رسیدگی به بازپرداخت اقلام سفارشی یا شخصی شده در eBay استفاده کنم؟")</f>
        <v>با در نظر گرفتن عواملی مانند گزینه های بازپرداخت، محدودیت های فروش مجدد یا تغییرات، از چه استراتژی هایی می توانم برای رسیدگی به بازپرداخت اقلام سفارشی یا شخصی شده در eBay استفاده کنم؟</v>
      </c>
      <c r="H7612" s="1"/>
      <c r="I7612" s="1"/>
      <c r="J7612" s="1"/>
      <c r="K7612" s="1"/>
      <c r="L7612" s="1"/>
      <c r="M7612" s="1"/>
      <c r="N7612" s="1"/>
      <c r="O7612" s="1"/>
      <c r="P7612" s="1"/>
      <c r="Q7612" s="1"/>
      <c r="R7612" s="1"/>
      <c r="S7612" s="1"/>
      <c r="T7612" s="1"/>
      <c r="U7612" s="1"/>
      <c r="V7612" s="1"/>
      <c r="W7612" s="1"/>
      <c r="X7612" s="1"/>
      <c r="Y7612" s="1"/>
      <c r="Z7612" s="1"/>
      <c r="AA7612" s="1"/>
      <c r="AB7612" s="1"/>
    </row>
    <row r="7613" ht="50.25" customHeight="1">
      <c r="A7613" s="12">
        <v>7609.0</v>
      </c>
      <c r="B7613" s="13" t="s">
        <v>7028</v>
      </c>
      <c r="C7613" s="14" t="s">
        <v>7637</v>
      </c>
      <c r="D7613" s="1"/>
      <c r="E7613" s="1"/>
      <c r="F7613" s="1" t="str">
        <f>IFERROR(__xludf.DUMMYFUNCTION("GOOGLETRANSLATE(B7613, ""en"", ""fa"")
"),"موفقیت در ای بی")</f>
        <v>موفقیت در ای بی</v>
      </c>
      <c r="G7613" s="1" t="str">
        <f>IFERROR(__xludf.DUMMYFUNCTION("GOOGLETRANSLATE(C7613, ""en"", ""fa"")
"),"چگونه می توانم به طور مؤثر بازه زمانی مورد انتظار برای بازپرداخت یا پردازش بازپرداخت را در eBay برای مدیریت انتظارات خریدار و اطمینان از حل و فصل به موقع ارتباط برقرار کنم؟")</f>
        <v>چگونه می توانم به طور مؤثر بازه زمانی مورد انتظار برای بازپرداخت یا پردازش بازپرداخت را در eBay برای مدیریت انتظارات خریدار و اطمینان از حل و فصل به موقع ارتباط برقرار کنم؟</v>
      </c>
      <c r="H7613" s="1"/>
      <c r="I7613" s="1"/>
      <c r="J7613" s="1"/>
      <c r="K7613" s="1"/>
      <c r="L7613" s="1"/>
      <c r="M7613" s="1"/>
      <c r="N7613" s="1"/>
      <c r="O7613" s="1"/>
      <c r="P7613" s="1"/>
      <c r="Q7613" s="1"/>
      <c r="R7613" s="1"/>
      <c r="S7613" s="1"/>
      <c r="T7613" s="1"/>
      <c r="U7613" s="1"/>
      <c r="V7613" s="1"/>
      <c r="W7613" s="1"/>
      <c r="X7613" s="1"/>
      <c r="Y7613" s="1"/>
      <c r="Z7613" s="1"/>
      <c r="AA7613" s="1"/>
      <c r="AB7613" s="1"/>
    </row>
    <row r="7614" ht="50.25" customHeight="1">
      <c r="A7614" s="12">
        <v>7610.0</v>
      </c>
      <c r="B7614" s="13" t="s">
        <v>7028</v>
      </c>
      <c r="C7614" s="14" t="s">
        <v>7638</v>
      </c>
      <c r="D7614" s="1"/>
      <c r="E7614" s="1"/>
      <c r="F7614" s="1" t="str">
        <f>IFERROR(__xludf.DUMMYFUNCTION("GOOGLETRANSLATE(B7614, ""en"", ""fa"")
"),"موفقیت در ای بی")</f>
        <v>موفقیت در ای بی</v>
      </c>
      <c r="G7614" s="1" t="str">
        <f>IFERROR(__xludf.DUMMYFUNCTION("GOOGLETRANSLATE(C7614, ""en"", ""fa"")
"),"با در نظر گرفتن عواملی مانند حفظ حریم خصوصی داده‌ها، ضمانت‌ها یا عیب‌یابی محصول، از چه استراتژی‌هایی می‌توانم برای رسیدگی به بازپرداخت محصولات الکترونیکی یا فناوری در eBay استفاده کنم؟")</f>
        <v>با در نظر گرفتن عواملی مانند حفظ حریم خصوصی داده‌ها، ضمانت‌ها یا عیب‌یابی محصول، از چه استراتژی‌هایی می‌توانم برای رسیدگی به بازپرداخت محصولات الکترونیکی یا فناوری در eBay استفاده کنم؟</v>
      </c>
      <c r="H7614" s="1"/>
      <c r="I7614" s="1"/>
      <c r="J7614" s="1"/>
      <c r="K7614" s="1"/>
      <c r="L7614" s="1"/>
      <c r="M7614" s="1"/>
      <c r="N7614" s="1"/>
      <c r="O7614" s="1"/>
      <c r="P7614" s="1"/>
      <c r="Q7614" s="1"/>
      <c r="R7614" s="1"/>
      <c r="S7614" s="1"/>
      <c r="T7614" s="1"/>
      <c r="U7614" s="1"/>
      <c r="V7614" s="1"/>
      <c r="W7614" s="1"/>
      <c r="X7614" s="1"/>
      <c r="Y7614" s="1"/>
      <c r="Z7614" s="1"/>
      <c r="AA7614" s="1"/>
      <c r="AB7614" s="1"/>
    </row>
    <row r="7615" ht="50.25" customHeight="1">
      <c r="A7615" s="12">
        <v>7611.0</v>
      </c>
      <c r="B7615" s="13" t="s">
        <v>7028</v>
      </c>
      <c r="C7615" s="14" t="s">
        <v>7639</v>
      </c>
      <c r="D7615" s="1"/>
      <c r="E7615" s="1"/>
      <c r="F7615" s="1" t="str">
        <f>IFERROR(__xludf.DUMMYFUNCTION("GOOGLETRANSLATE(B7615, ""en"", ""fa"")
"),"موفقیت در ای بی")</f>
        <v>موفقیت در ای بی</v>
      </c>
      <c r="G7615" s="1" t="str">
        <f>IFERROR(__xludf.DUMMYFUNCTION("GOOGLETRANSLATE(C7615, ""en"", ""fa"")
"),"چگونه می‌توانم استفاده از بازخورد مشتری و دلایل بازگشت را در eBay برای شناسایی فرصت‌های بسته‌بندی محصول، فروش بالا، یا تبلیغات متقابل برای کاهش بازده و افزایش فروش بهینه کنم؟")</f>
        <v>چگونه می‌توانم استفاده از بازخورد مشتری و دلایل بازگشت را در eBay برای شناسایی فرصت‌های بسته‌بندی محصول، فروش بالا، یا تبلیغات متقابل برای کاهش بازده و افزایش فروش بهینه کنم؟</v>
      </c>
      <c r="H7615" s="1"/>
      <c r="I7615" s="1"/>
      <c r="J7615" s="1"/>
      <c r="K7615" s="1"/>
      <c r="L7615" s="1"/>
      <c r="M7615" s="1"/>
      <c r="N7615" s="1"/>
      <c r="O7615" s="1"/>
      <c r="P7615" s="1"/>
      <c r="Q7615" s="1"/>
      <c r="R7615" s="1"/>
      <c r="S7615" s="1"/>
      <c r="T7615" s="1"/>
      <c r="U7615" s="1"/>
      <c r="V7615" s="1"/>
      <c r="W7615" s="1"/>
      <c r="X7615" s="1"/>
      <c r="Y7615" s="1"/>
      <c r="Z7615" s="1"/>
      <c r="AA7615" s="1"/>
      <c r="AB7615" s="1"/>
    </row>
    <row r="7616" ht="50.25" customHeight="1">
      <c r="A7616" s="12">
        <v>7612.0</v>
      </c>
      <c r="B7616" s="13" t="s">
        <v>7028</v>
      </c>
      <c r="C7616" s="14" t="s">
        <v>7640</v>
      </c>
      <c r="D7616" s="1"/>
      <c r="E7616" s="1"/>
      <c r="F7616" s="1" t="str">
        <f>IFERROR(__xludf.DUMMYFUNCTION("GOOGLETRANSLATE(B7616, ""en"", ""fa"")
"),"موفقیت در ای بی")</f>
        <v>موفقیت در ای بی</v>
      </c>
      <c r="G7616" s="1" t="str">
        <f>IFERROR(__xludf.DUMMYFUNCTION("GOOGLETRANSLATE(C7616, ""en"", ""fa"")
"),"ملاحظات کلیدی هنگام رسیدگی به بازپرداخت اقلام استفاده شده یا متعلق به قبل در eBay، از جمله رویه های بازرسی، تعدیل قیمت، یا گزینه های فروش مجدد چیست؟")</f>
        <v>ملاحظات کلیدی هنگام رسیدگی به بازپرداخت اقلام استفاده شده یا متعلق به قبل در eBay، از جمله رویه های بازرسی، تعدیل قیمت، یا گزینه های فروش مجدد چیست؟</v>
      </c>
      <c r="H7616" s="1"/>
      <c r="I7616" s="1"/>
      <c r="J7616" s="1"/>
      <c r="K7616" s="1"/>
      <c r="L7616" s="1"/>
      <c r="M7616" s="1"/>
      <c r="N7616" s="1"/>
      <c r="O7616" s="1"/>
      <c r="P7616" s="1"/>
      <c r="Q7616" s="1"/>
      <c r="R7616" s="1"/>
      <c r="S7616" s="1"/>
      <c r="T7616" s="1"/>
      <c r="U7616" s="1"/>
      <c r="V7616" s="1"/>
      <c r="W7616" s="1"/>
      <c r="X7616" s="1"/>
      <c r="Y7616" s="1"/>
      <c r="Z7616" s="1"/>
      <c r="AA7616" s="1"/>
      <c r="AB7616" s="1"/>
    </row>
    <row r="7617" ht="50.25" customHeight="1">
      <c r="A7617" s="12">
        <v>7613.0</v>
      </c>
      <c r="B7617" s="13" t="s">
        <v>7028</v>
      </c>
      <c r="C7617" s="14" t="s">
        <v>7641</v>
      </c>
      <c r="D7617" s="1"/>
      <c r="E7617" s="1"/>
      <c r="F7617" s="1" t="str">
        <f>IFERROR(__xludf.DUMMYFUNCTION("GOOGLETRANSLATE(B7617, ""en"", ""fa"")
"),"موفقیت در ای بی")</f>
        <v>موفقیت در ای بی</v>
      </c>
      <c r="G7617" s="1" t="str">
        <f>IFERROR(__xludf.DUMMYFUNCTION("GOOGLETRANSLATE(C7617, ""en"", ""fa"")
"),"چگونه می توانم با ارائه اطلاعات دقیق محصول، تصاویر با کیفیت بالا و قیمت گذاری دقیق، از بازگشت های مربوط به پشیمانی خریدار یا خریدهای ناگهانی در eBay جلوگیری کنم؟")</f>
        <v>چگونه می توانم با ارائه اطلاعات دقیق محصول، تصاویر با کیفیت بالا و قیمت گذاری دقیق، از بازگشت های مربوط به پشیمانی خریدار یا خریدهای ناگهانی در eBay جلوگیری کنم؟</v>
      </c>
      <c r="H7617" s="1"/>
      <c r="I7617" s="1"/>
      <c r="J7617" s="1"/>
      <c r="K7617" s="1"/>
      <c r="L7617" s="1"/>
      <c r="M7617" s="1"/>
      <c r="N7617" s="1"/>
      <c r="O7617" s="1"/>
      <c r="P7617" s="1"/>
      <c r="Q7617" s="1"/>
      <c r="R7617" s="1"/>
      <c r="S7617" s="1"/>
      <c r="T7617" s="1"/>
      <c r="U7617" s="1"/>
      <c r="V7617" s="1"/>
      <c r="W7617" s="1"/>
      <c r="X7617" s="1"/>
      <c r="Y7617" s="1"/>
      <c r="Z7617" s="1"/>
      <c r="AA7617" s="1"/>
      <c r="AB7617" s="1"/>
    </row>
    <row r="7618" ht="50.25" customHeight="1">
      <c r="A7618" s="12">
        <v>7614.0</v>
      </c>
      <c r="B7618" s="13" t="s">
        <v>7028</v>
      </c>
      <c r="C7618" s="14" t="s">
        <v>7642</v>
      </c>
      <c r="D7618" s="1"/>
      <c r="E7618" s="1"/>
      <c r="F7618" s="1" t="str">
        <f>IFERROR(__xludf.DUMMYFUNCTION("GOOGLETRANSLATE(B7618, ""en"", ""fa"")
"),"موفقیت در ای بی")</f>
        <v>موفقیت در ای بی</v>
      </c>
      <c r="G7618" s="1" t="str">
        <f>IFERROR(__xludf.DUMMYFUNCTION("GOOGLETRANSLATE(C7618, ""en"", ""fa"")
"),"با در نظر گرفتن خدمات تخصصی حمل و نقل، محدودیت های شرکت مخابراتی یا ترتیبات تحویل، چه استراتژی هایی را می توانم برای رسیدگی به بازپرداخت اقلام بزرگ یا سنگین در eBay به کار بگیرم؟")</f>
        <v>با در نظر گرفتن خدمات تخصصی حمل و نقل، محدودیت های شرکت مخابراتی یا ترتیبات تحویل، چه استراتژی هایی را می توانم برای رسیدگی به بازپرداخت اقلام بزرگ یا سنگین در eBay به کار بگیرم؟</v>
      </c>
      <c r="H7618" s="1"/>
      <c r="I7618" s="1"/>
      <c r="J7618" s="1"/>
      <c r="K7618" s="1"/>
      <c r="L7618" s="1"/>
      <c r="M7618" s="1"/>
      <c r="N7618" s="1"/>
      <c r="O7618" s="1"/>
      <c r="P7618" s="1"/>
      <c r="Q7618" s="1"/>
      <c r="R7618" s="1"/>
      <c r="S7618" s="1"/>
      <c r="T7618" s="1"/>
      <c r="U7618" s="1"/>
      <c r="V7618" s="1"/>
      <c r="W7618" s="1"/>
      <c r="X7618" s="1"/>
      <c r="Y7618" s="1"/>
      <c r="Z7618" s="1"/>
      <c r="AA7618" s="1"/>
      <c r="AB7618" s="1"/>
    </row>
    <row r="7619" ht="50.25" customHeight="1">
      <c r="A7619" s="12">
        <v>7615.0</v>
      </c>
      <c r="B7619" s="13" t="s">
        <v>7028</v>
      </c>
      <c r="C7619" s="14" t="s">
        <v>7643</v>
      </c>
      <c r="D7619" s="1"/>
      <c r="E7619" s="1"/>
      <c r="F7619" s="1" t="str">
        <f>IFERROR(__xludf.DUMMYFUNCTION("GOOGLETRANSLATE(B7619, ""en"", ""fa"")
"),"موفقیت در ای بی")</f>
        <v>موفقیت در ای بی</v>
      </c>
      <c r="G7619" s="1" t="str">
        <f>IFERROR(__xludf.DUMMYFUNCTION("GOOGLETRANSLATE(C7619, ""en"", ""fa"")
"),"چگونه می توانم استفاده از داده ها و تجزیه و تحلیل های مربوط به بازگشت را در eBay برای شناسایی الگوها یا روندهایی که ممکن است نشان دهنده مشکلات مربوط به تامین کنندگان، تولید کنندگان یا خطوط محصول خاص باشد، بهینه کنم؟")</f>
        <v>چگونه می توانم استفاده از داده ها و تجزیه و تحلیل های مربوط به بازگشت را در eBay برای شناسایی الگوها یا روندهایی که ممکن است نشان دهنده مشکلات مربوط به تامین کنندگان، تولید کنندگان یا خطوط محصول خاص باشد، بهینه کنم؟</v>
      </c>
      <c r="H7619" s="1"/>
      <c r="I7619" s="1"/>
      <c r="J7619" s="1"/>
      <c r="K7619" s="1"/>
      <c r="L7619" s="1"/>
      <c r="M7619" s="1"/>
      <c r="N7619" s="1"/>
      <c r="O7619" s="1"/>
      <c r="P7619" s="1"/>
      <c r="Q7619" s="1"/>
      <c r="R7619" s="1"/>
      <c r="S7619" s="1"/>
      <c r="T7619" s="1"/>
      <c r="U7619" s="1"/>
      <c r="V7619" s="1"/>
      <c r="W7619" s="1"/>
      <c r="X7619" s="1"/>
      <c r="Y7619" s="1"/>
      <c r="Z7619" s="1"/>
      <c r="AA7619" s="1"/>
      <c r="AB7619" s="1"/>
    </row>
    <row r="7620" ht="50.25" customHeight="1">
      <c r="A7620" s="12">
        <v>7616.0</v>
      </c>
      <c r="B7620" s="13" t="s">
        <v>7028</v>
      </c>
      <c r="C7620" s="14" t="s">
        <v>7644</v>
      </c>
      <c r="D7620" s="1"/>
      <c r="E7620" s="1"/>
      <c r="F7620" s="1" t="str">
        <f>IFERROR(__xludf.DUMMYFUNCTION("GOOGLETRANSLATE(B7620, ""en"", ""fa"")
"),"موفقیت در ای بی")</f>
        <v>موفقیت در ای بی</v>
      </c>
      <c r="G7620" s="1" t="str">
        <f>IFERROR(__xludf.DUMMYFUNCTION("GOOGLETRANSLATE(C7620, ""en"", ""fa"")
"),"مزایای اجرای یک فرآیند ارتباطی یکپارچه برای بازگشت و بازپرداخت در eBay برای ارائه به‌روزرسانی‌ها، قطعنامه‌ها و آرامش خاطر به خریداران چیست؟")</f>
        <v>مزایای اجرای یک فرآیند ارتباطی یکپارچه برای بازگشت و بازپرداخت در eBay برای ارائه به‌روزرسانی‌ها، قطعنامه‌ها و آرامش خاطر به خریداران چیست؟</v>
      </c>
      <c r="H7620" s="1"/>
      <c r="I7620" s="1"/>
      <c r="J7620" s="1"/>
      <c r="K7620" s="1"/>
      <c r="L7620" s="1"/>
      <c r="M7620" s="1"/>
      <c r="N7620" s="1"/>
      <c r="O7620" s="1"/>
      <c r="P7620" s="1"/>
      <c r="Q7620" s="1"/>
      <c r="R7620" s="1"/>
      <c r="S7620" s="1"/>
      <c r="T7620" s="1"/>
      <c r="U7620" s="1"/>
      <c r="V7620" s="1"/>
      <c r="W7620" s="1"/>
      <c r="X7620" s="1"/>
      <c r="Y7620" s="1"/>
      <c r="Z7620" s="1"/>
      <c r="AA7620" s="1"/>
      <c r="AB7620" s="1"/>
    </row>
    <row r="7621" ht="50.25" customHeight="1">
      <c r="A7621" s="12">
        <v>7617.0</v>
      </c>
      <c r="B7621" s="13" t="s">
        <v>7028</v>
      </c>
      <c r="C7621" s="14" t="s">
        <v>7645</v>
      </c>
      <c r="D7621" s="1"/>
      <c r="E7621" s="1"/>
      <c r="F7621" s="1" t="str">
        <f>IFERROR(__xludf.DUMMYFUNCTION("GOOGLETRANSLATE(B7621, ""en"", ""fa"")
"),"موفقیت در ای بی")</f>
        <v>موفقیت در ای بی</v>
      </c>
      <c r="G7621" s="1" t="str">
        <f>IFERROR(__xludf.DUMMYFUNCTION("GOOGLETRANSLATE(C7621, ""en"", ""fa"")
"),"چگونه می‌توانم با اجرای تکنیک‌های بسته‌بندی قوی، پوشش بیمه‌ای یا همکاری نزدیک با شرکت‌های حمل‌ونقل، به‌طور پیشگیرانه از بازگشت به‌دلیل خسارات حمل‌ونقل در eBay جلوگیری کنم؟")</f>
        <v>چگونه می‌توانم با اجرای تکنیک‌های بسته‌بندی قوی، پوشش بیمه‌ای یا همکاری نزدیک با شرکت‌های حمل‌ونقل، به‌طور پیشگیرانه از بازگشت به‌دلیل خسارات حمل‌ونقل در eBay جلوگیری کنم؟</v>
      </c>
      <c r="H7621" s="1"/>
      <c r="I7621" s="1"/>
      <c r="J7621" s="1"/>
      <c r="K7621" s="1"/>
      <c r="L7621" s="1"/>
      <c r="M7621" s="1"/>
      <c r="N7621" s="1"/>
      <c r="O7621" s="1"/>
      <c r="P7621" s="1"/>
      <c r="Q7621" s="1"/>
      <c r="R7621" s="1"/>
      <c r="S7621" s="1"/>
      <c r="T7621" s="1"/>
      <c r="U7621" s="1"/>
      <c r="V7621" s="1"/>
      <c r="W7621" s="1"/>
      <c r="X7621" s="1"/>
      <c r="Y7621" s="1"/>
      <c r="Z7621" s="1"/>
      <c r="AA7621" s="1"/>
      <c r="AB7621" s="1"/>
    </row>
    <row r="7622" ht="50.25" customHeight="1">
      <c r="A7622" s="12">
        <v>7618.0</v>
      </c>
      <c r="B7622" s="13" t="s">
        <v>7028</v>
      </c>
      <c r="C7622" s="14" t="s">
        <v>7646</v>
      </c>
      <c r="D7622" s="1"/>
      <c r="E7622" s="1"/>
      <c r="F7622" s="1" t="str">
        <f>IFERROR(__xludf.DUMMYFUNCTION("GOOGLETRANSLATE(B7622, ""en"", ""fa"")
"),"موفقیت در ای بی")</f>
        <v>موفقیت در ای بی</v>
      </c>
      <c r="G7622" s="1" t="str">
        <f>IFERROR(__xludf.DUMMYFUNCTION("GOOGLETRANSLATE(C7622, ""en"", ""fa"")
"),"با ارائه شرایط استفاده واضح، موافقت نامه های مجوز، یا دستورالعمل های فعال سازی، از چه استراتژی هایی می توانم برای رسیدگی به بازگشت کالاهای دیجیتال، مانند مجوزهای نرم افزار یا دانلود دیجیتال، در eBay استفاده کنم؟")</f>
        <v>با ارائه شرایط استفاده واضح، موافقت نامه های مجوز، یا دستورالعمل های فعال سازی، از چه استراتژی هایی می توانم برای رسیدگی به بازگشت کالاهای دیجیتال، مانند مجوزهای نرم افزار یا دانلود دیجیتال، در eBay استفاده کنم؟</v>
      </c>
      <c r="H7622" s="1"/>
      <c r="I7622" s="1"/>
      <c r="J7622" s="1"/>
      <c r="K7622" s="1"/>
      <c r="L7622" s="1"/>
      <c r="M7622" s="1"/>
      <c r="N7622" s="1"/>
      <c r="O7622" s="1"/>
      <c r="P7622" s="1"/>
      <c r="Q7622" s="1"/>
      <c r="R7622" s="1"/>
      <c r="S7622" s="1"/>
      <c r="T7622" s="1"/>
      <c r="U7622" s="1"/>
      <c r="V7622" s="1"/>
      <c r="W7622" s="1"/>
      <c r="X7622" s="1"/>
      <c r="Y7622" s="1"/>
      <c r="Z7622" s="1"/>
      <c r="AA7622" s="1"/>
      <c r="AB7622" s="1"/>
    </row>
    <row r="7623" ht="50.25" customHeight="1">
      <c r="A7623" s="12">
        <v>7619.0</v>
      </c>
      <c r="B7623" s="13" t="s">
        <v>7028</v>
      </c>
      <c r="C7623" s="14" t="s">
        <v>7647</v>
      </c>
      <c r="D7623" s="1"/>
      <c r="E7623" s="1"/>
      <c r="F7623" s="1" t="str">
        <f>IFERROR(__xludf.DUMMYFUNCTION("GOOGLETRANSLATE(B7623, ""en"", ""fa"")
"),"موفقیت در ای بی")</f>
        <v>موفقیت در ای بی</v>
      </c>
      <c r="G7623" s="1" t="str">
        <f>IFERROR(__xludf.DUMMYFUNCTION("GOOGLETRANSLATE(C7623, ""en"", ""fa"")
"),"چگونه می توانم به طور موثر در دسترس بودن کانال های پشتیبانی مشتری یا کمک به بازگشت را در eBay به اطلاع خریداران برسانم تا اطمینان حاصل کنم که خریداران در تصمیمات خرید خود حمایت و اطمینان دارند؟")</f>
        <v>چگونه می توانم به طور موثر در دسترس بودن کانال های پشتیبانی مشتری یا کمک به بازگشت را در eBay به اطلاع خریداران برسانم تا اطمینان حاصل کنم که خریداران در تصمیمات خرید خود حمایت و اطمینان دارند؟</v>
      </c>
      <c r="H7623" s="1"/>
      <c r="I7623" s="1"/>
      <c r="J7623" s="1"/>
      <c r="K7623" s="1"/>
      <c r="L7623" s="1"/>
      <c r="M7623" s="1"/>
      <c r="N7623" s="1"/>
      <c r="O7623" s="1"/>
      <c r="P7623" s="1"/>
      <c r="Q7623" s="1"/>
      <c r="R7623" s="1"/>
      <c r="S7623" s="1"/>
      <c r="T7623" s="1"/>
      <c r="U7623" s="1"/>
      <c r="V7623" s="1"/>
      <c r="W7623" s="1"/>
      <c r="X7623" s="1"/>
      <c r="Y7623" s="1"/>
      <c r="Z7623" s="1"/>
      <c r="AA7623" s="1"/>
      <c r="AB7623" s="1"/>
    </row>
    <row r="7624" ht="50.25" customHeight="1">
      <c r="A7624" s="12">
        <v>7620.0</v>
      </c>
      <c r="B7624" s="13" t="s">
        <v>7028</v>
      </c>
      <c r="C7624" s="14" t="s">
        <v>7648</v>
      </c>
      <c r="D7624" s="1"/>
      <c r="E7624" s="1"/>
      <c r="F7624" s="1" t="str">
        <f>IFERROR(__xludf.DUMMYFUNCTION("GOOGLETRANSLATE(B7624, ""en"", ""fa"")
"),"موفقیت در ای بی")</f>
        <v>موفقیت در ای بی</v>
      </c>
      <c r="G7624" s="1" t="str">
        <f>IFERROR(__xludf.DUMMYFUNCTION("GOOGLETRANSLATE(C7624, ""en"", ""fa"")
"),"با در نظر گرفتن مقررات گمرکی، هزینه‌های ارسال مرجوعی یا گزینه‌های پشتیبانی مشتری محلی، از چه استراتژی‌هایی می‌توانم برای رسیدگی به بازگشت خریداران بین‌المللی در eBay استفاده کنم؟")</f>
        <v>با در نظر گرفتن مقررات گمرکی، هزینه‌های ارسال مرجوعی یا گزینه‌های پشتیبانی مشتری محلی، از چه استراتژی‌هایی می‌توانم برای رسیدگی به بازگشت خریداران بین‌المللی در eBay استفاده کنم؟</v>
      </c>
      <c r="H7624" s="1"/>
      <c r="I7624" s="1"/>
      <c r="J7624" s="1"/>
      <c r="K7624" s="1"/>
      <c r="L7624" s="1"/>
      <c r="M7624" s="1"/>
      <c r="N7624" s="1"/>
      <c r="O7624" s="1"/>
      <c r="P7624" s="1"/>
      <c r="Q7624" s="1"/>
      <c r="R7624" s="1"/>
      <c r="S7624" s="1"/>
      <c r="T7624" s="1"/>
      <c r="U7624" s="1"/>
      <c r="V7624" s="1"/>
      <c r="W7624" s="1"/>
      <c r="X7624" s="1"/>
      <c r="Y7624" s="1"/>
      <c r="Z7624" s="1"/>
      <c r="AA7624" s="1"/>
      <c r="AB7624" s="1"/>
    </row>
    <row r="7625" ht="50.25" customHeight="1">
      <c r="A7625" s="12">
        <v>7621.0</v>
      </c>
      <c r="B7625" s="13" t="s">
        <v>7028</v>
      </c>
      <c r="C7625" s="14" t="s">
        <v>7649</v>
      </c>
      <c r="D7625" s="1"/>
      <c r="E7625" s="1"/>
      <c r="F7625" s="1" t="str">
        <f>IFERROR(__xludf.DUMMYFUNCTION("GOOGLETRANSLATE(B7625, ""en"", ""fa"")
"),"موفقیت در ای بی")</f>
        <v>موفقیت در ای بی</v>
      </c>
      <c r="G7625" s="1" t="str">
        <f>IFERROR(__xludf.DUMMYFUNCTION("GOOGLETRANSLATE(C7625, ""en"", ""fa"")
"),"چگونه می توانم استفاده از معیارهای مربوط به بازگشت و بازخورد را در eBay برای شناسایی فرصت ها برای بهبود فرآیند، بهبود خدمات مشتری یا کنترل کیفیت محصول بهینه کنم؟")</f>
        <v>چگونه می توانم استفاده از معیارهای مربوط به بازگشت و بازخورد را در eBay برای شناسایی فرصت ها برای بهبود فرآیند، بهبود خدمات مشتری یا کنترل کیفیت محصول بهینه کنم؟</v>
      </c>
      <c r="H7625" s="1"/>
      <c r="I7625" s="1"/>
      <c r="J7625" s="1"/>
      <c r="K7625" s="1"/>
      <c r="L7625" s="1"/>
      <c r="M7625" s="1"/>
      <c r="N7625" s="1"/>
      <c r="O7625" s="1"/>
      <c r="P7625" s="1"/>
      <c r="Q7625" s="1"/>
      <c r="R7625" s="1"/>
      <c r="S7625" s="1"/>
      <c r="T7625" s="1"/>
      <c r="U7625" s="1"/>
      <c r="V7625" s="1"/>
      <c r="W7625" s="1"/>
      <c r="X7625" s="1"/>
      <c r="Y7625" s="1"/>
      <c r="Z7625" s="1"/>
      <c r="AA7625" s="1"/>
      <c r="AB7625" s="1"/>
    </row>
    <row r="7626" ht="50.25" customHeight="1">
      <c r="A7626" s="12">
        <v>7622.0</v>
      </c>
      <c r="B7626" s="13" t="s">
        <v>7028</v>
      </c>
      <c r="C7626" s="14" t="s">
        <v>7650</v>
      </c>
      <c r="D7626" s="1"/>
      <c r="E7626" s="1"/>
      <c r="F7626" s="1" t="str">
        <f>IFERROR(__xludf.DUMMYFUNCTION("GOOGLETRANSLATE(B7626, ""en"", ""fa"")
"),"موفقیت در ای بی")</f>
        <v>موفقیت در ای بی</v>
      </c>
      <c r="G7626" s="1" t="str">
        <f>IFERROR(__xludf.DUMMYFUNCTION("GOOGLETRANSLATE(C7626, ""en"", ""fa"")
"),"dropshipping چیست و چگونه می توانم از این روش تحقق برای ایجاد یک تجارت موفق در eBay بدون نیاز به ذخیره موجودی استفاده کنم؟")</f>
        <v>dropshipping چیست و چگونه می توانم از این روش تحقق برای ایجاد یک تجارت موفق در eBay بدون نیاز به ذخیره موجودی استفاده کنم؟</v>
      </c>
      <c r="H7626" s="1"/>
      <c r="I7626" s="1"/>
      <c r="J7626" s="1"/>
      <c r="K7626" s="1"/>
      <c r="L7626" s="1"/>
      <c r="M7626" s="1"/>
      <c r="N7626" s="1"/>
      <c r="O7626" s="1"/>
      <c r="P7626" s="1"/>
      <c r="Q7626" s="1"/>
      <c r="R7626" s="1"/>
      <c r="S7626" s="1"/>
      <c r="T7626" s="1"/>
      <c r="U7626" s="1"/>
      <c r="V7626" s="1"/>
      <c r="W7626" s="1"/>
      <c r="X7626" s="1"/>
      <c r="Y7626" s="1"/>
      <c r="Z7626" s="1"/>
      <c r="AA7626" s="1"/>
      <c r="AB7626" s="1"/>
    </row>
    <row r="7627" ht="50.25" customHeight="1">
      <c r="A7627" s="12">
        <v>7623.0</v>
      </c>
      <c r="B7627" s="13" t="s">
        <v>7028</v>
      </c>
      <c r="C7627" s="14" t="s">
        <v>7651</v>
      </c>
      <c r="D7627" s="1"/>
      <c r="E7627" s="1"/>
      <c r="F7627" s="1" t="str">
        <f>IFERROR(__xludf.DUMMYFUNCTION("GOOGLETRANSLATE(B7627, ""en"", ""fa"")
"),"موفقیت در ای بی")</f>
        <v>موفقیت در ای بی</v>
      </c>
      <c r="G7627" s="1" t="str">
        <f>IFERROR(__xludf.DUMMYFUNCTION("GOOGLETRANSLATE(C7627, ""en"", ""fa"")
"),"ملاحظات کلیدی هنگام انتخاب تامین کنندگان قابل اعتماد و معتبر dropshipping برای اطمینان از انجام به موقع سفارش و رضایت مشتری در eBay چیست؟")</f>
        <v>ملاحظات کلیدی هنگام انتخاب تامین کنندگان قابل اعتماد و معتبر dropshipping برای اطمینان از انجام به موقع سفارش و رضایت مشتری در eBay چیست؟</v>
      </c>
      <c r="H7627" s="1"/>
      <c r="I7627" s="1"/>
      <c r="J7627" s="1"/>
      <c r="K7627" s="1"/>
      <c r="L7627" s="1"/>
      <c r="M7627" s="1"/>
      <c r="N7627" s="1"/>
      <c r="O7627" s="1"/>
      <c r="P7627" s="1"/>
      <c r="Q7627" s="1"/>
      <c r="R7627" s="1"/>
      <c r="S7627" s="1"/>
      <c r="T7627" s="1"/>
      <c r="U7627" s="1"/>
      <c r="V7627" s="1"/>
      <c r="W7627" s="1"/>
      <c r="X7627" s="1"/>
      <c r="Y7627" s="1"/>
      <c r="Z7627" s="1"/>
      <c r="AA7627" s="1"/>
      <c r="AB7627" s="1"/>
    </row>
    <row r="7628" ht="50.25" customHeight="1">
      <c r="A7628" s="12">
        <v>7624.0</v>
      </c>
      <c r="B7628" s="13" t="s">
        <v>7028</v>
      </c>
      <c r="C7628" s="14" t="s">
        <v>7652</v>
      </c>
      <c r="D7628" s="1"/>
      <c r="E7628" s="1"/>
      <c r="F7628" s="1" t="str">
        <f>IFERROR(__xludf.DUMMYFUNCTION("GOOGLETRANSLATE(B7628, ""en"", ""fa"")
"),"موفقیت در ای بی")</f>
        <v>موفقیت در ای بی</v>
      </c>
      <c r="G7628" s="1" t="str">
        <f>IFERROR(__xludf.DUMMYFUNCTION("GOOGLETRANSLATE(C7628, ""en"", ""fa"")
"),"چگونه می توانم فرآیند منبع یابی و فهرست بندی محصولات dropshipped در eBay را برای اطمینان از اطلاعات دقیق محصول، قیمت رقابتی و توضیحات قانع کننده بهینه کنم؟")</f>
        <v>چگونه می توانم فرآیند منبع یابی و فهرست بندی محصولات dropshipped در eBay را برای اطمینان از اطلاعات دقیق محصول، قیمت رقابتی و توضیحات قانع کننده بهینه کنم؟</v>
      </c>
      <c r="H7628" s="1"/>
      <c r="I7628" s="1"/>
      <c r="J7628" s="1"/>
      <c r="K7628" s="1"/>
      <c r="L7628" s="1"/>
      <c r="M7628" s="1"/>
      <c r="N7628" s="1"/>
      <c r="O7628" s="1"/>
      <c r="P7628" s="1"/>
      <c r="Q7628" s="1"/>
      <c r="R7628" s="1"/>
      <c r="S7628" s="1"/>
      <c r="T7628" s="1"/>
      <c r="U7628" s="1"/>
      <c r="V7628" s="1"/>
      <c r="W7628" s="1"/>
      <c r="X7628" s="1"/>
      <c r="Y7628" s="1"/>
      <c r="Z7628" s="1"/>
      <c r="AA7628" s="1"/>
      <c r="AB7628" s="1"/>
    </row>
    <row r="7629" ht="50.25" customHeight="1">
      <c r="A7629" s="12">
        <v>7625.0</v>
      </c>
      <c r="B7629" s="13" t="s">
        <v>7028</v>
      </c>
      <c r="C7629" s="14" t="s">
        <v>7653</v>
      </c>
      <c r="D7629" s="1"/>
      <c r="E7629" s="1"/>
      <c r="F7629" s="1" t="str">
        <f>IFERROR(__xludf.DUMMYFUNCTION("GOOGLETRANSLATE(B7629, ""en"", ""fa"")
"),"موفقیت در ای بی")</f>
        <v>موفقیت در ای بی</v>
      </c>
      <c r="G7629" s="1" t="str">
        <f>IFERROR(__xludf.DUMMYFUNCTION("GOOGLETRANSLATE(C7629, ""en"", ""fa"")
"),"چه استراتژی هایی را می توانم برای ساده کردن فرآیند انجام سفارش با تامین کنندگان dropshipping در eBay به کار ببرم، از جمله قرار دادن سفارش خودکار و یکپارچه سازی ردیابی؟")</f>
        <v>چه استراتژی هایی را می توانم برای ساده کردن فرآیند انجام سفارش با تامین کنندگان dropshipping در eBay به کار ببرم، از جمله قرار دادن سفارش خودکار و یکپارچه سازی ردیابی؟</v>
      </c>
      <c r="H7629" s="1"/>
      <c r="I7629" s="1"/>
      <c r="J7629" s="1"/>
      <c r="K7629" s="1"/>
      <c r="L7629" s="1"/>
      <c r="M7629" s="1"/>
      <c r="N7629" s="1"/>
      <c r="O7629" s="1"/>
      <c r="P7629" s="1"/>
      <c r="Q7629" s="1"/>
      <c r="R7629" s="1"/>
      <c r="S7629" s="1"/>
      <c r="T7629" s="1"/>
      <c r="U7629" s="1"/>
      <c r="V7629" s="1"/>
      <c r="W7629" s="1"/>
      <c r="X7629" s="1"/>
      <c r="Y7629" s="1"/>
      <c r="Z7629" s="1"/>
      <c r="AA7629" s="1"/>
      <c r="AB7629" s="1"/>
    </row>
    <row r="7630" ht="50.25" customHeight="1">
      <c r="A7630" s="12">
        <v>7626.0</v>
      </c>
      <c r="B7630" s="13" t="s">
        <v>7028</v>
      </c>
      <c r="C7630" s="14" t="s">
        <v>7654</v>
      </c>
      <c r="D7630" s="1"/>
      <c r="E7630" s="1"/>
      <c r="F7630" s="1" t="str">
        <f>IFERROR(__xludf.DUMMYFUNCTION("GOOGLETRANSLATE(B7630, ""en"", ""fa"")
"),"موفقیت در ای بی")</f>
        <v>موفقیت در ای بی</v>
      </c>
      <c r="G7630" s="1" t="str">
        <f>IFERROR(__xludf.DUMMYFUNCTION("GOOGLETRANSLATE(C7630, ""en"", ""fa"")
"),"چگونه می‌توانم هنگام استفاده از dropshipping، زمان‌های حمل و نقل و انتظارات تحویل را به خریداران eBay برای مدیریت انتظارات آنها و ارائه شفافیت به‌طور موثر ارتباط برقرار کنم؟")</f>
        <v>چگونه می‌توانم هنگام استفاده از dropshipping، زمان‌های حمل و نقل و انتظارات تحویل را به خریداران eBay برای مدیریت انتظارات آنها و ارائه شفافیت به‌طور موثر ارتباط برقرار کنم؟</v>
      </c>
      <c r="H7630" s="1"/>
      <c r="I7630" s="1"/>
      <c r="J7630" s="1"/>
      <c r="K7630" s="1"/>
      <c r="L7630" s="1"/>
      <c r="M7630" s="1"/>
      <c r="N7630" s="1"/>
      <c r="O7630" s="1"/>
      <c r="P7630" s="1"/>
      <c r="Q7630" s="1"/>
      <c r="R7630" s="1"/>
      <c r="S7630" s="1"/>
      <c r="T7630" s="1"/>
      <c r="U7630" s="1"/>
      <c r="V7630" s="1"/>
      <c r="W7630" s="1"/>
      <c r="X7630" s="1"/>
      <c r="Y7630" s="1"/>
      <c r="Z7630" s="1"/>
      <c r="AA7630" s="1"/>
      <c r="AB7630" s="1"/>
    </row>
    <row r="7631" ht="50.25" customHeight="1">
      <c r="A7631" s="12">
        <v>7627.0</v>
      </c>
      <c r="B7631" s="13" t="s">
        <v>7028</v>
      </c>
      <c r="C7631" s="14" t="s">
        <v>7655</v>
      </c>
      <c r="D7631" s="1"/>
      <c r="E7631" s="1"/>
      <c r="F7631" s="1" t="str">
        <f>IFERROR(__xludf.DUMMYFUNCTION("GOOGLETRANSLATE(B7631, ""en"", ""fa"")
"),"موفقیت در ای بی")</f>
        <v>موفقیت در ای بی</v>
      </c>
      <c r="G7631" s="1" t="str">
        <f>IFERROR(__xludf.DUMMYFUNCTION("GOOGLETRANSLATE(C7631, ""en"", ""fa"")
"),"مزایای استفاده از چندین تامین کننده dropshipping یا متنوع کردن منابع محصول در eBay برای کاهش خطرات، بهبود در دسترس بودن محصول و افزایش رضایت مشتری چیست؟")</f>
        <v>مزایای استفاده از چندین تامین کننده dropshipping یا متنوع کردن منابع محصول در eBay برای کاهش خطرات، بهبود در دسترس بودن محصول و افزایش رضایت مشتری چیست؟</v>
      </c>
      <c r="H7631" s="1"/>
      <c r="I7631" s="1"/>
      <c r="J7631" s="1"/>
      <c r="K7631" s="1"/>
      <c r="L7631" s="1"/>
      <c r="M7631" s="1"/>
      <c r="N7631" s="1"/>
      <c r="O7631" s="1"/>
      <c r="P7631" s="1"/>
      <c r="Q7631" s="1"/>
      <c r="R7631" s="1"/>
      <c r="S7631" s="1"/>
      <c r="T7631" s="1"/>
      <c r="U7631" s="1"/>
      <c r="V7631" s="1"/>
      <c r="W7631" s="1"/>
      <c r="X7631" s="1"/>
      <c r="Y7631" s="1"/>
      <c r="Z7631" s="1"/>
      <c r="AA7631" s="1"/>
      <c r="AB7631" s="1"/>
    </row>
    <row r="7632" ht="50.25" customHeight="1">
      <c r="A7632" s="12">
        <v>7628.0</v>
      </c>
      <c r="B7632" s="13" t="s">
        <v>7028</v>
      </c>
      <c r="C7632" s="14" t="s">
        <v>7656</v>
      </c>
      <c r="D7632" s="1"/>
      <c r="E7632" s="1"/>
      <c r="F7632" s="1" t="str">
        <f>IFERROR(__xludf.DUMMYFUNCTION("GOOGLETRANSLATE(B7632, ""en"", ""fa"")
"),"موفقیت در ای بی")</f>
        <v>موفقیت در ای بی</v>
      </c>
      <c r="G7632" s="1" t="str">
        <f>IFERROR(__xludf.DUMMYFUNCTION("GOOGLETRANSLATE(C7632, ""en"", ""fa"")
"),"چگونه می‌توانم با ایجاد کانال‌های ارتباطی واضح با تامین‌کنندگان در eBay، به طور فعال به مشکلات احتمالی محصولات فرو رفته، مانند کنترل کیفیت یا اقلام آسیب‌دیده، رسیدگی کنم؟")</f>
        <v>چگونه می‌توانم با ایجاد کانال‌های ارتباطی واضح با تامین‌کنندگان در eBay، به طور فعال به مشکلات احتمالی محصولات فرو رفته، مانند کنترل کیفیت یا اقلام آسیب‌دیده، رسیدگی کنم؟</v>
      </c>
      <c r="H7632" s="1"/>
      <c r="I7632" s="1"/>
      <c r="J7632" s="1"/>
      <c r="K7632" s="1"/>
      <c r="L7632" s="1"/>
      <c r="M7632" s="1"/>
      <c r="N7632" s="1"/>
      <c r="O7632" s="1"/>
      <c r="P7632" s="1"/>
      <c r="Q7632" s="1"/>
      <c r="R7632" s="1"/>
      <c r="S7632" s="1"/>
      <c r="T7632" s="1"/>
      <c r="U7632" s="1"/>
      <c r="V7632" s="1"/>
      <c r="W7632" s="1"/>
      <c r="X7632" s="1"/>
      <c r="Y7632" s="1"/>
      <c r="Z7632" s="1"/>
      <c r="AA7632" s="1"/>
      <c r="AB7632" s="1"/>
    </row>
    <row r="7633" ht="50.25" customHeight="1">
      <c r="A7633" s="12">
        <v>7629.0</v>
      </c>
      <c r="B7633" s="13" t="s">
        <v>7028</v>
      </c>
      <c r="C7633" s="14" t="s">
        <v>7657</v>
      </c>
      <c r="D7633" s="1"/>
      <c r="E7633" s="1"/>
      <c r="F7633" s="1" t="str">
        <f>IFERROR(__xludf.DUMMYFUNCTION("GOOGLETRANSLATE(B7633, ""en"", ""fa"")
"),"موفقیت در ای بی")</f>
        <v>موفقیت در ای بی</v>
      </c>
      <c r="G7633" s="1" t="str">
        <f>IFERROR(__xludf.DUMMYFUNCTION("GOOGLETRANSLATE(C7633, ""en"", ""fa"")
"),"چه استراتژی هایی می توانم برای بهینه سازی هزینه های حمل و نقل و زمان حمل و نقل در هنگام dropshipping در eBay با در نظر گرفتن عواملی مانند مکان تامین کننده، روش های حمل و نقل و ترجیحات مشتری استفاده کنم؟")</f>
        <v>چه استراتژی هایی می توانم برای بهینه سازی هزینه های حمل و نقل و زمان حمل و نقل در هنگام dropshipping در eBay با در نظر گرفتن عواملی مانند مکان تامین کننده، روش های حمل و نقل و ترجیحات مشتری استفاده کنم؟</v>
      </c>
      <c r="H7633" s="1"/>
      <c r="I7633" s="1"/>
      <c r="J7633" s="1"/>
      <c r="K7633" s="1"/>
      <c r="L7633" s="1"/>
      <c r="M7633" s="1"/>
      <c r="N7633" s="1"/>
      <c r="O7633" s="1"/>
      <c r="P7633" s="1"/>
      <c r="Q7633" s="1"/>
      <c r="R7633" s="1"/>
      <c r="S7633" s="1"/>
      <c r="T7633" s="1"/>
      <c r="U7633" s="1"/>
      <c r="V7633" s="1"/>
      <c r="W7633" s="1"/>
      <c r="X7633" s="1"/>
      <c r="Y7633" s="1"/>
      <c r="Z7633" s="1"/>
      <c r="AA7633" s="1"/>
      <c r="AB7633" s="1"/>
    </row>
    <row r="7634" ht="50.25" customHeight="1">
      <c r="A7634" s="12">
        <v>7630.0</v>
      </c>
      <c r="B7634" s="13" t="s">
        <v>7028</v>
      </c>
      <c r="C7634" s="14" t="s">
        <v>7658</v>
      </c>
      <c r="D7634" s="1"/>
      <c r="E7634" s="1"/>
      <c r="F7634" s="1" t="str">
        <f>IFERROR(__xludf.DUMMYFUNCTION("GOOGLETRANSLATE(B7634, ""en"", ""fa"")
"),"موفقیت در ای بی")</f>
        <v>موفقیت در ای بی</v>
      </c>
      <c r="G7634" s="1" t="str">
        <f>IFERROR(__xludf.DUMMYFUNCTION("GOOGLETRANSLATE(C7634, ""en"", ""fa"")
"),"چگونه می توانم از ابزارها یا نرم افزارهای اتوماسیون برای ساده کردن مدیریت سفارشات dropshipping، اطلاعات ردیابی و همگام سازی موجودی در eBay استفاده کنم؟")</f>
        <v>چگونه می توانم از ابزارها یا نرم افزارهای اتوماسیون برای ساده کردن مدیریت سفارشات dropshipping، اطلاعات ردیابی و همگام سازی موجودی در eBay استفاده کنم؟</v>
      </c>
      <c r="H7634" s="1"/>
      <c r="I7634" s="1"/>
      <c r="J7634" s="1"/>
      <c r="K7634" s="1"/>
      <c r="L7634" s="1"/>
      <c r="M7634" s="1"/>
      <c r="N7634" s="1"/>
      <c r="O7634" s="1"/>
      <c r="P7634" s="1"/>
      <c r="Q7634" s="1"/>
      <c r="R7634" s="1"/>
      <c r="S7634" s="1"/>
      <c r="T7634" s="1"/>
      <c r="U7634" s="1"/>
      <c r="V7634" s="1"/>
      <c r="W7634" s="1"/>
      <c r="X7634" s="1"/>
      <c r="Y7634" s="1"/>
      <c r="Z7634" s="1"/>
      <c r="AA7634" s="1"/>
      <c r="AB7634" s="1"/>
    </row>
    <row r="7635" ht="50.25" customHeight="1">
      <c r="A7635" s="12">
        <v>7631.0</v>
      </c>
      <c r="B7635" s="13" t="s">
        <v>7028</v>
      </c>
      <c r="C7635" s="14" t="s">
        <v>7659</v>
      </c>
      <c r="D7635" s="1"/>
      <c r="E7635" s="1"/>
      <c r="F7635" s="1" t="str">
        <f>IFERROR(__xludf.DUMMYFUNCTION("GOOGLETRANSLATE(B7635, ""en"", ""fa"")
"),"موفقیت در ای بی")</f>
        <v>موفقیت در ای بی</v>
      </c>
      <c r="G7635" s="1" t="str">
        <f>IFERROR(__xludf.DUMMYFUNCTION("GOOGLETRANSLATE(C7635, ""en"", ""fa"")
"),"ملاحظات کلیدی هنگام انتخاب جایگاه ها یا دسته بندی های محصول برای dropshipping در eBay، از جمله تقاضای بازار، تجزیه و تحلیل رقابت، و حاشیه سود چیست؟")</f>
        <v>ملاحظات کلیدی هنگام انتخاب جایگاه ها یا دسته بندی های محصول برای dropshipping در eBay، از جمله تقاضای بازار، تجزیه و تحلیل رقابت، و حاشیه سود چیست؟</v>
      </c>
      <c r="H7635" s="1"/>
      <c r="I7635" s="1"/>
      <c r="J7635" s="1"/>
      <c r="K7635" s="1"/>
      <c r="L7635" s="1"/>
      <c r="M7635" s="1"/>
      <c r="N7635" s="1"/>
      <c r="O7635" s="1"/>
      <c r="P7635" s="1"/>
      <c r="Q7635" s="1"/>
      <c r="R7635" s="1"/>
      <c r="S7635" s="1"/>
      <c r="T7635" s="1"/>
      <c r="U7635" s="1"/>
      <c r="V7635" s="1"/>
      <c r="W7635" s="1"/>
      <c r="X7635" s="1"/>
      <c r="Y7635" s="1"/>
      <c r="Z7635" s="1"/>
      <c r="AA7635" s="1"/>
      <c r="AB7635" s="1"/>
    </row>
    <row r="7636" ht="50.25" customHeight="1">
      <c r="A7636" s="12">
        <v>7632.0</v>
      </c>
      <c r="B7636" s="13" t="s">
        <v>7028</v>
      </c>
      <c r="C7636" s="14" t="s">
        <v>7660</v>
      </c>
      <c r="D7636" s="1"/>
      <c r="E7636" s="1"/>
      <c r="F7636" s="1" t="str">
        <f>IFERROR(__xludf.DUMMYFUNCTION("GOOGLETRANSLATE(B7636, ""en"", ""fa"")
"),"موفقیت در ای بی")</f>
        <v>موفقیت در ای بی</v>
      </c>
      <c r="G7636" s="1" t="str">
        <f>IFERROR(__xludf.DUMMYFUNCTION("GOOGLETRANSLATE(C7636, ""en"", ""fa"")
"),"چگونه می توانم به طور فعال در دسترس بودن موجودی را مدیریت کنم و از گران فروشی در هنگام dropshipping در eBay جلوگیری کنم و از سطوح دقیق موجودی و به روز رسانی به موقع از تامین کنندگان اطمینان حاصل کنم؟")</f>
        <v>چگونه می توانم به طور فعال در دسترس بودن موجودی را مدیریت کنم و از گران فروشی در هنگام dropshipping در eBay جلوگیری کنم و از سطوح دقیق موجودی و به روز رسانی به موقع از تامین کنندگان اطمینان حاصل کنم؟</v>
      </c>
      <c r="H7636" s="1"/>
      <c r="I7636" s="1"/>
      <c r="J7636" s="1"/>
      <c r="K7636" s="1"/>
      <c r="L7636" s="1"/>
      <c r="M7636" s="1"/>
      <c r="N7636" s="1"/>
      <c r="O7636" s="1"/>
      <c r="P7636" s="1"/>
      <c r="Q7636" s="1"/>
      <c r="R7636" s="1"/>
      <c r="S7636" s="1"/>
      <c r="T7636" s="1"/>
      <c r="U7636" s="1"/>
      <c r="V7636" s="1"/>
      <c r="W7636" s="1"/>
      <c r="X7636" s="1"/>
      <c r="Y7636" s="1"/>
      <c r="Z7636" s="1"/>
      <c r="AA7636" s="1"/>
      <c r="AB7636" s="1"/>
    </row>
    <row r="7637" ht="50.25" customHeight="1">
      <c r="A7637" s="12">
        <v>7633.0</v>
      </c>
      <c r="B7637" s="13" t="s">
        <v>7028</v>
      </c>
      <c r="C7637" s="14" t="s">
        <v>7661</v>
      </c>
      <c r="D7637" s="1"/>
      <c r="E7637" s="1"/>
      <c r="F7637" s="1" t="str">
        <f>IFERROR(__xludf.DUMMYFUNCTION("GOOGLETRANSLATE(B7637, ""en"", ""fa"")
"),"موفقیت در ای بی")</f>
        <v>موفقیت در ای بی</v>
      </c>
      <c r="G7637" s="1" t="str">
        <f>IFERROR(__xludf.DUMMYFUNCTION("GOOGLETRANSLATE(C7637, ""en"", ""fa"")
"),"چه استراتژی‌هایی را می‌توانم برای بهبود بسته‌بندی و نام تجاری محصولات dropshipped در eBay، تضمین تجربه جعبه‌گشایی مثبت برای خریداران و ارتقای اعتبار فروشنده به کار بگیرم؟")</f>
        <v>چه استراتژی‌هایی را می‌توانم برای بهبود بسته‌بندی و نام تجاری محصولات dropshipped در eBay، تضمین تجربه جعبه‌گشایی مثبت برای خریداران و ارتقای اعتبار فروشنده به کار بگیرم؟</v>
      </c>
      <c r="H7637" s="1"/>
      <c r="I7637" s="1"/>
      <c r="J7637" s="1"/>
      <c r="K7637" s="1"/>
      <c r="L7637" s="1"/>
      <c r="M7637" s="1"/>
      <c r="N7637" s="1"/>
      <c r="O7637" s="1"/>
      <c r="P7637" s="1"/>
      <c r="Q7637" s="1"/>
      <c r="R7637" s="1"/>
      <c r="S7637" s="1"/>
      <c r="T7637" s="1"/>
      <c r="U7637" s="1"/>
      <c r="V7637" s="1"/>
      <c r="W7637" s="1"/>
      <c r="X7637" s="1"/>
      <c r="Y7637" s="1"/>
      <c r="Z7637" s="1"/>
      <c r="AA7637" s="1"/>
      <c r="AB7637" s="1"/>
    </row>
    <row r="7638" ht="50.25" customHeight="1">
      <c r="A7638" s="12">
        <v>7634.0</v>
      </c>
      <c r="B7638" s="13" t="s">
        <v>7028</v>
      </c>
      <c r="C7638" s="14" t="s">
        <v>7662</v>
      </c>
      <c r="D7638" s="1"/>
      <c r="E7638" s="1"/>
      <c r="F7638" s="1" t="str">
        <f>IFERROR(__xludf.DUMMYFUNCTION("GOOGLETRANSLATE(B7638, ""en"", ""fa"")
"),"موفقیت در ای بی")</f>
        <v>موفقیت در ای بی</v>
      </c>
      <c r="G7638" s="1" t="str">
        <f>IFERROR(__xludf.DUMMYFUNCTION("GOOGLETRANSLATE(C7638, ""en"", ""fa"")
"),"چگونه می توانم استفاده از بازخورد و رتبه بندی مشتریان را برای ارزیابی و انتخاب تامین کنندگان معتبر dropshipping در eBay بهینه کنم و از کیفیت بالای محصول و تحقق قابل اعتماد اطمینان حاصل کنم؟")</f>
        <v>چگونه می توانم استفاده از بازخورد و رتبه بندی مشتریان را برای ارزیابی و انتخاب تامین کنندگان معتبر dropshipping در eBay بهینه کنم و از کیفیت بالای محصول و تحقق قابل اعتماد اطمینان حاصل کنم؟</v>
      </c>
      <c r="H7638" s="1"/>
      <c r="I7638" s="1"/>
      <c r="J7638" s="1"/>
      <c r="K7638" s="1"/>
      <c r="L7638" s="1"/>
      <c r="M7638" s="1"/>
      <c r="N7638" s="1"/>
      <c r="O7638" s="1"/>
      <c r="P7638" s="1"/>
      <c r="Q7638" s="1"/>
      <c r="R7638" s="1"/>
      <c r="S7638" s="1"/>
      <c r="T7638" s="1"/>
      <c r="U7638" s="1"/>
      <c r="V7638" s="1"/>
      <c r="W7638" s="1"/>
      <c r="X7638" s="1"/>
      <c r="Y7638" s="1"/>
      <c r="Z7638" s="1"/>
      <c r="AA7638" s="1"/>
      <c r="AB7638" s="1"/>
    </row>
    <row r="7639" ht="50.25" customHeight="1">
      <c r="A7639" s="12">
        <v>7635.0</v>
      </c>
      <c r="B7639" s="13" t="s">
        <v>7028</v>
      </c>
      <c r="C7639" s="14" t="s">
        <v>7663</v>
      </c>
      <c r="D7639" s="1"/>
      <c r="E7639" s="1"/>
      <c r="F7639" s="1" t="str">
        <f>IFERROR(__xludf.DUMMYFUNCTION("GOOGLETRANSLATE(B7639, ""en"", ""fa"")
"),"موفقیت در ای بی")</f>
        <v>موفقیت در ای بی</v>
      </c>
      <c r="G7639" s="1" t="str">
        <f>IFERROR(__xludf.DUMMYFUNCTION("GOOGLETRANSLATE(C7639, ""en"", ""fa"")
"),"مزایای ایجاد روابط قوی با تامین کنندگان dropshipping در eBay، از جمله قیمت گذاری توافقی، دسترسی اولویت به محصولات جدید، یا گزینه های بسته بندی سفارشی چیست؟")</f>
        <v>مزایای ایجاد روابط قوی با تامین کنندگان dropshipping در eBay، از جمله قیمت گذاری توافقی، دسترسی اولویت به محصولات جدید، یا گزینه های بسته بندی سفارشی چیست؟</v>
      </c>
      <c r="H7639" s="1"/>
      <c r="I7639" s="1"/>
      <c r="J7639" s="1"/>
      <c r="K7639" s="1"/>
      <c r="L7639" s="1"/>
      <c r="M7639" s="1"/>
      <c r="N7639" s="1"/>
      <c r="O7639" s="1"/>
      <c r="P7639" s="1"/>
      <c r="Q7639" s="1"/>
      <c r="R7639" s="1"/>
      <c r="S7639" s="1"/>
      <c r="T7639" s="1"/>
      <c r="U7639" s="1"/>
      <c r="V7639" s="1"/>
      <c r="W7639" s="1"/>
      <c r="X7639" s="1"/>
      <c r="Y7639" s="1"/>
      <c r="Z7639" s="1"/>
      <c r="AA7639" s="1"/>
      <c r="AB7639" s="1"/>
    </row>
    <row r="7640" ht="50.25" customHeight="1">
      <c r="A7640" s="12">
        <v>7636.0</v>
      </c>
      <c r="B7640" s="13" t="s">
        <v>7028</v>
      </c>
      <c r="C7640" s="14" t="s">
        <v>7664</v>
      </c>
      <c r="D7640" s="1"/>
      <c r="E7640" s="1"/>
      <c r="F7640" s="1" t="str">
        <f>IFERROR(__xludf.DUMMYFUNCTION("GOOGLETRANSLATE(B7640, ""en"", ""fa"")
"),"موفقیت در ای بی")</f>
        <v>موفقیت در ای بی</v>
      </c>
      <c r="G7640" s="1" t="str">
        <f>IFERROR(__xludf.DUMMYFUNCTION("GOOGLETRANSLATE(C7640, ""en"", ""fa"")
"),"چگونه می توانم در هنگام ارسال در eBay به تأخیرهای احتمالی حمل و نقل یا اختلالات ناشی از عوامل خارجی، مانند تعطیلات، بلایای طبیعی یا مقررات گمرکی، فعالانه رسیدگی کنم؟")</f>
        <v>چگونه می توانم در هنگام ارسال در eBay به تأخیرهای احتمالی حمل و نقل یا اختلالات ناشی از عوامل خارجی، مانند تعطیلات، بلایای طبیعی یا مقررات گمرکی، فعالانه رسیدگی کنم؟</v>
      </c>
      <c r="H7640" s="1"/>
      <c r="I7640" s="1"/>
      <c r="J7640" s="1"/>
      <c r="K7640" s="1"/>
      <c r="L7640" s="1"/>
      <c r="M7640" s="1"/>
      <c r="N7640" s="1"/>
      <c r="O7640" s="1"/>
      <c r="P7640" s="1"/>
      <c r="Q7640" s="1"/>
      <c r="R7640" s="1"/>
      <c r="S7640" s="1"/>
      <c r="T7640" s="1"/>
      <c r="U7640" s="1"/>
      <c r="V7640" s="1"/>
      <c r="W7640" s="1"/>
      <c r="X7640" s="1"/>
      <c r="Y7640" s="1"/>
      <c r="Z7640" s="1"/>
      <c r="AA7640" s="1"/>
      <c r="AB7640" s="1"/>
    </row>
    <row r="7641" ht="50.25" customHeight="1">
      <c r="A7641" s="12">
        <v>7637.0</v>
      </c>
      <c r="B7641" s="13" t="s">
        <v>7028</v>
      </c>
      <c r="C7641" s="14" t="s">
        <v>7665</v>
      </c>
      <c r="D7641" s="1"/>
      <c r="E7641" s="1"/>
      <c r="F7641" s="1" t="str">
        <f>IFERROR(__xludf.DUMMYFUNCTION("GOOGLETRANSLATE(B7641, ""en"", ""fa"")
"),"موفقیت در ای بی")</f>
        <v>موفقیت در ای بی</v>
      </c>
      <c r="G7641" s="1" t="str">
        <f>IFERROR(__xludf.DUMMYFUNCTION("GOOGLETRANSLATE(C7641, ""en"", ""fa"")
"),"از چه استراتژی هایی می توانم برای متمایز کردن لیست های eBay خود و ارائه ارزش افزوده به خریداران هنگام dropshipping استفاده کنم، مانند ارائه پاداش های انحصاری، معاملات بسته، یا پشتیبانی شخصی مشتری؟")</f>
        <v>از چه استراتژی هایی می توانم برای متمایز کردن لیست های eBay خود و ارائه ارزش افزوده به خریداران هنگام dropshipping استفاده کنم، مانند ارائه پاداش های انحصاری، معاملات بسته، یا پشتیبانی شخصی مشتری؟</v>
      </c>
      <c r="H7641" s="1"/>
      <c r="I7641" s="1"/>
      <c r="J7641" s="1"/>
      <c r="K7641" s="1"/>
      <c r="L7641" s="1"/>
      <c r="M7641" s="1"/>
      <c r="N7641" s="1"/>
      <c r="O7641" s="1"/>
      <c r="P7641" s="1"/>
      <c r="Q7641" s="1"/>
      <c r="R7641" s="1"/>
      <c r="S7641" s="1"/>
      <c r="T7641" s="1"/>
      <c r="U7641" s="1"/>
      <c r="V7641" s="1"/>
      <c r="W7641" s="1"/>
      <c r="X7641" s="1"/>
      <c r="Y7641" s="1"/>
      <c r="Z7641" s="1"/>
      <c r="AA7641" s="1"/>
      <c r="AB7641" s="1"/>
    </row>
    <row r="7642" ht="50.25" customHeight="1">
      <c r="A7642" s="12">
        <v>7638.0</v>
      </c>
      <c r="B7642" s="13" t="s">
        <v>7028</v>
      </c>
      <c r="C7642" s="14" t="s">
        <v>7666</v>
      </c>
      <c r="D7642" s="1"/>
      <c r="E7642" s="1"/>
      <c r="F7642" s="1" t="str">
        <f>IFERROR(__xludf.DUMMYFUNCTION("GOOGLETRANSLATE(B7642, ""en"", ""fa"")
"),"موفقیت در ای بی")</f>
        <v>موفقیت در ای بی</v>
      </c>
      <c r="G7642" s="1" t="str">
        <f>IFERROR(__xludf.DUMMYFUNCTION("GOOGLETRANSLATE(C7642, ""en"", ""fa"")
"),"چگونه می توانم استفاده از اطلاعات ردیابی و اعلان های حمل و نقل از تامین کنندگان dropshipping را برای ارائه به روز رسانی های به موقع و ارتباط فعالانه با خریداران در eBay بهینه کنم؟")</f>
        <v>چگونه می توانم استفاده از اطلاعات ردیابی و اعلان های حمل و نقل از تامین کنندگان dropshipping را برای ارائه به روز رسانی های به موقع و ارتباط فعالانه با خریداران در eBay بهینه کنم؟</v>
      </c>
      <c r="H7642" s="1"/>
      <c r="I7642" s="1"/>
      <c r="J7642" s="1"/>
      <c r="K7642" s="1"/>
      <c r="L7642" s="1"/>
      <c r="M7642" s="1"/>
      <c r="N7642" s="1"/>
      <c r="O7642" s="1"/>
      <c r="P7642" s="1"/>
      <c r="Q7642" s="1"/>
      <c r="R7642" s="1"/>
      <c r="S7642" s="1"/>
      <c r="T7642" s="1"/>
      <c r="U7642" s="1"/>
      <c r="V7642" s="1"/>
      <c r="W7642" s="1"/>
      <c r="X7642" s="1"/>
      <c r="Y7642" s="1"/>
      <c r="Z7642" s="1"/>
      <c r="AA7642" s="1"/>
      <c r="AB7642" s="1"/>
    </row>
    <row r="7643" ht="50.25" customHeight="1">
      <c r="A7643" s="12">
        <v>7639.0</v>
      </c>
      <c r="B7643" s="13" t="s">
        <v>7028</v>
      </c>
      <c r="C7643" s="14" t="s">
        <v>7667</v>
      </c>
      <c r="D7643" s="1"/>
      <c r="E7643" s="1"/>
      <c r="F7643" s="1" t="str">
        <f>IFERROR(__xludf.DUMMYFUNCTION("GOOGLETRANSLATE(B7643, ""en"", ""fa"")
"),"موفقیت در ای بی")</f>
        <v>موفقیت در ای بی</v>
      </c>
      <c r="G7643" s="1" t="str">
        <f>IFERROR(__xludf.DUMMYFUNCTION("GOOGLETRANSLATE(C7643, ""en"", ""fa"")
"),"چه استراتژی هایی را می توانم برای رسیدگی به درخواست های بازگشت یا مبادله هنگام dropshipping در eBay استفاده کنم، از جمله هماهنگی با تامین کنندگان، مدیریت حمل و نقل برگشتی، و پردازش بازپرداخت؟")</f>
        <v>چه استراتژی هایی را می توانم برای رسیدگی به درخواست های بازگشت یا مبادله هنگام dropshipping در eBay استفاده کنم، از جمله هماهنگی با تامین کنندگان، مدیریت حمل و نقل برگشتی، و پردازش بازپرداخت؟</v>
      </c>
      <c r="H7643" s="1"/>
      <c r="I7643" s="1"/>
      <c r="J7643" s="1"/>
      <c r="K7643" s="1"/>
      <c r="L7643" s="1"/>
      <c r="M7643" s="1"/>
      <c r="N7643" s="1"/>
      <c r="O7643" s="1"/>
      <c r="P7643" s="1"/>
      <c r="Q7643" s="1"/>
      <c r="R7643" s="1"/>
      <c r="S7643" s="1"/>
      <c r="T7643" s="1"/>
      <c r="U7643" s="1"/>
      <c r="V7643" s="1"/>
      <c r="W7643" s="1"/>
      <c r="X7643" s="1"/>
      <c r="Y7643" s="1"/>
      <c r="Z7643" s="1"/>
      <c r="AA7643" s="1"/>
      <c r="AB7643" s="1"/>
    </row>
    <row r="7644" ht="50.25" customHeight="1">
      <c r="A7644" s="12">
        <v>7640.0</v>
      </c>
      <c r="B7644" s="13" t="s">
        <v>7028</v>
      </c>
      <c r="C7644" s="14" t="s">
        <v>7668</v>
      </c>
      <c r="D7644" s="1"/>
      <c r="E7644" s="1"/>
      <c r="F7644" s="1" t="str">
        <f>IFERROR(__xludf.DUMMYFUNCTION("GOOGLETRANSLATE(B7644, ""en"", ""fa"")
"),"موفقیت در ای بی")</f>
        <v>موفقیت در ای بی</v>
      </c>
      <c r="G7644" s="1" t="str">
        <f>IFERROR(__xludf.DUMMYFUNCTION("GOOGLETRANSLATE(C7644, ""en"", ""fa"")
"),"چگونه می توانم به طور موثر پیشنهادهای فروش منحصر به فرد محصولات dropshipped را به خریداران eBay انتقال دهم، مانند ویژگی های محصول، مزایا، یا مزیت های خاص؟")</f>
        <v>چگونه می توانم به طور موثر پیشنهادهای فروش منحصر به فرد محصولات dropshipped را به خریداران eBay انتقال دهم، مانند ویژگی های محصول، مزایا، یا مزیت های خاص؟</v>
      </c>
      <c r="H7644" s="1"/>
      <c r="I7644" s="1"/>
      <c r="J7644" s="1"/>
      <c r="K7644" s="1"/>
      <c r="L7644" s="1"/>
      <c r="M7644" s="1"/>
      <c r="N7644" s="1"/>
      <c r="O7644" s="1"/>
      <c r="P7644" s="1"/>
      <c r="Q7644" s="1"/>
      <c r="R7644" s="1"/>
      <c r="S7644" s="1"/>
      <c r="T7644" s="1"/>
      <c r="U7644" s="1"/>
      <c r="V7644" s="1"/>
      <c r="W7644" s="1"/>
      <c r="X7644" s="1"/>
      <c r="Y7644" s="1"/>
      <c r="Z7644" s="1"/>
      <c r="AA7644" s="1"/>
      <c r="AB7644" s="1"/>
    </row>
    <row r="7645" ht="50.25" customHeight="1">
      <c r="A7645" s="12">
        <v>7641.0</v>
      </c>
      <c r="B7645" s="13" t="s">
        <v>7028</v>
      </c>
      <c r="C7645" s="14" t="s">
        <v>7669</v>
      </c>
      <c r="D7645" s="1"/>
      <c r="E7645" s="1"/>
      <c r="F7645" s="1" t="str">
        <f>IFERROR(__xludf.DUMMYFUNCTION("GOOGLETRANSLATE(B7645, ""en"", ""fa"")
"),"موفقیت در ای بی")</f>
        <v>موفقیت در ای بی</v>
      </c>
      <c r="G7645" s="1" t="str">
        <f>IFERROR(__xludf.DUMMYFUNCTION("GOOGLETRANSLATE(C7645, ""en"", ""fa"")
"),"ملاحظات کلیدی هنگام محاسبه قیمت و حاشیه سود برای محصولات افت شده در eBay، محاسبه هزینه های محصول، هزینه ها، هزینه های حمل و نقل و اهداف سود مورد نظر چیست؟")</f>
        <v>ملاحظات کلیدی هنگام محاسبه قیمت و حاشیه سود برای محصولات افت شده در eBay، محاسبه هزینه های محصول، هزینه ها، هزینه های حمل و نقل و اهداف سود مورد نظر چیست؟</v>
      </c>
      <c r="H7645" s="1"/>
      <c r="I7645" s="1"/>
      <c r="J7645" s="1"/>
      <c r="K7645" s="1"/>
      <c r="L7645" s="1"/>
      <c r="M7645" s="1"/>
      <c r="N7645" s="1"/>
      <c r="O7645" s="1"/>
      <c r="P7645" s="1"/>
      <c r="Q7645" s="1"/>
      <c r="R7645" s="1"/>
      <c r="S7645" s="1"/>
      <c r="T7645" s="1"/>
      <c r="U7645" s="1"/>
      <c r="V7645" s="1"/>
      <c r="W7645" s="1"/>
      <c r="X7645" s="1"/>
      <c r="Y7645" s="1"/>
      <c r="Z7645" s="1"/>
      <c r="AA7645" s="1"/>
      <c r="AB7645" s="1"/>
    </row>
    <row r="7646" ht="50.25" customHeight="1">
      <c r="A7646" s="12">
        <v>7642.0</v>
      </c>
      <c r="B7646" s="13" t="s">
        <v>7028</v>
      </c>
      <c r="C7646" s="14" t="s">
        <v>7670</v>
      </c>
      <c r="D7646" s="1"/>
      <c r="E7646" s="1"/>
      <c r="F7646" s="1" t="str">
        <f>IFERROR(__xludf.DUMMYFUNCTION("GOOGLETRANSLATE(B7646, ""en"", ""fa"")
"),"موفقیت در ای بی")</f>
        <v>موفقیت در ای بی</v>
      </c>
      <c r="G7646" s="1" t="str">
        <f>IFERROR(__xludf.DUMMYFUNCTION("GOOGLETRANSLATE(C7646, ""en"", ""fa"")
"),"چگونه می توانم هنگام ارسال در eBay به مشکلات احتمالی بالقوه در دسترس بودن محصول یا موارد متوقف شده رسیدگی کنم و از ارتباط سریع با خریداران و جایگزین های مناسب اطمینان حاصل کنم؟")</f>
        <v>چگونه می توانم هنگام ارسال در eBay به مشکلات احتمالی بالقوه در دسترس بودن محصول یا موارد متوقف شده رسیدگی کنم و از ارتباط سریع با خریداران و جایگزین های مناسب اطمینان حاصل کنم؟</v>
      </c>
      <c r="H7646" s="1"/>
      <c r="I7646" s="1"/>
      <c r="J7646" s="1"/>
      <c r="K7646" s="1"/>
      <c r="L7646" s="1"/>
      <c r="M7646" s="1"/>
      <c r="N7646" s="1"/>
      <c r="O7646" s="1"/>
      <c r="P7646" s="1"/>
      <c r="Q7646" s="1"/>
      <c r="R7646" s="1"/>
      <c r="S7646" s="1"/>
      <c r="T7646" s="1"/>
      <c r="U7646" s="1"/>
      <c r="V7646" s="1"/>
      <c r="W7646" s="1"/>
      <c r="X7646" s="1"/>
      <c r="Y7646" s="1"/>
      <c r="Z7646" s="1"/>
      <c r="AA7646" s="1"/>
      <c r="AB7646" s="1"/>
    </row>
    <row r="7647" ht="50.25" customHeight="1">
      <c r="A7647" s="12">
        <v>7643.0</v>
      </c>
      <c r="B7647" s="13" t="s">
        <v>7028</v>
      </c>
      <c r="C7647" s="14" t="s">
        <v>7671</v>
      </c>
      <c r="D7647" s="1"/>
      <c r="E7647" s="1"/>
      <c r="F7647" s="1" t="str">
        <f>IFERROR(__xludf.DUMMYFUNCTION("GOOGLETRANSLATE(B7647, ""en"", ""fa"")
"),"موفقیت در ای بی")</f>
        <v>موفقیت در ای بی</v>
      </c>
      <c r="G7647" s="1" t="str">
        <f>IFERROR(__xludf.DUMMYFUNCTION("GOOGLETRANSLATE(C7647, ""en"", ""fa"")
"),"از چه استراتژی هایی می توانم برای بهینه سازی بازه های زمانی پردازش و انجام سفارش با تامین کنندگان dropshipping در eBay استفاده کنم، از جمله ایجاد انتظارات واضح، نظارت بر عملکرد، و رفع تنگناها؟")</f>
        <v>از چه استراتژی هایی می توانم برای بهینه سازی بازه های زمانی پردازش و انجام سفارش با تامین کنندگان dropshipping در eBay استفاده کنم، از جمله ایجاد انتظارات واضح، نظارت بر عملکرد، و رفع تنگناها؟</v>
      </c>
      <c r="H7647" s="1"/>
      <c r="I7647" s="1"/>
      <c r="J7647" s="1"/>
      <c r="K7647" s="1"/>
      <c r="L7647" s="1"/>
      <c r="M7647" s="1"/>
      <c r="N7647" s="1"/>
      <c r="O7647" s="1"/>
      <c r="P7647" s="1"/>
      <c r="Q7647" s="1"/>
      <c r="R7647" s="1"/>
      <c r="S7647" s="1"/>
      <c r="T7647" s="1"/>
      <c r="U7647" s="1"/>
      <c r="V7647" s="1"/>
      <c r="W7647" s="1"/>
      <c r="X7647" s="1"/>
      <c r="Y7647" s="1"/>
      <c r="Z7647" s="1"/>
      <c r="AA7647" s="1"/>
      <c r="AB7647" s="1"/>
    </row>
    <row r="7648" ht="50.25" customHeight="1">
      <c r="A7648" s="12">
        <v>7644.0</v>
      </c>
      <c r="B7648" s="13" t="s">
        <v>7028</v>
      </c>
      <c r="C7648" s="14" t="s">
        <v>7672</v>
      </c>
      <c r="D7648" s="1"/>
      <c r="E7648" s="1"/>
      <c r="F7648" s="1" t="str">
        <f>IFERROR(__xludf.DUMMYFUNCTION("GOOGLETRANSLATE(B7648, ""en"", ""fa"")
"),"موفقیت در ای بی")</f>
        <v>موفقیت در ای بی</v>
      </c>
      <c r="G7648" s="1" t="str">
        <f>IFERROR(__xludf.DUMMYFUNCTION("GOOGLETRANSLATE(C7648, ""en"", ""fa"")
"),"چگونه می توانم از تجزیه و تحلیل و داده های فروش eBay برای شناسایی محصولات با عملکرد بالا، روندها یا تقاضاهای بازارهای نوظهور برای رشد و گسترش کسب و کار استفاده کنم؟")</f>
        <v>چگونه می توانم از تجزیه و تحلیل و داده های فروش eBay برای شناسایی محصولات با عملکرد بالا، روندها یا تقاضاهای بازارهای نوظهور برای رشد و گسترش کسب و کار استفاده کنم؟</v>
      </c>
      <c r="H7648" s="1"/>
      <c r="I7648" s="1"/>
      <c r="J7648" s="1"/>
      <c r="K7648" s="1"/>
      <c r="L7648" s="1"/>
      <c r="M7648" s="1"/>
      <c r="N7648" s="1"/>
      <c r="O7648" s="1"/>
      <c r="P7648" s="1"/>
      <c r="Q7648" s="1"/>
      <c r="R7648" s="1"/>
      <c r="S7648" s="1"/>
      <c r="T7648" s="1"/>
      <c r="U7648" s="1"/>
      <c r="V7648" s="1"/>
      <c r="W7648" s="1"/>
      <c r="X7648" s="1"/>
      <c r="Y7648" s="1"/>
      <c r="Z7648" s="1"/>
      <c r="AA7648" s="1"/>
      <c r="AB7648" s="1"/>
    </row>
    <row r="7649" ht="50.25" customHeight="1">
      <c r="A7649" s="12">
        <v>7645.0</v>
      </c>
      <c r="B7649" s="13" t="s">
        <v>7028</v>
      </c>
      <c r="C7649" s="14" t="s">
        <v>7673</v>
      </c>
      <c r="D7649" s="1"/>
      <c r="E7649" s="1"/>
      <c r="F7649" s="1" t="str">
        <f>IFERROR(__xludf.DUMMYFUNCTION("GOOGLETRANSLATE(B7649, ""en"", ""fa"")
"),"موفقیت در ای بی")</f>
        <v>موفقیت در ای بی</v>
      </c>
      <c r="G7649" s="1" t="str">
        <f>IFERROR(__xludf.DUMMYFUNCTION("GOOGLETRANSLATE(C7649, ""en"", ""fa"")
"),"چه استراتژی هایی را می توانم برای اطمینان از کیفیت محصول ثابت و جلوگیری از بازخورد منفی یا نارضایتی خریدار هنگام ارسال در eBay به کار بگیرم، از جمله ارزیابی و نظارت تامین کننده؟")</f>
        <v>چه استراتژی هایی را می توانم برای اطمینان از کیفیت محصول ثابت و جلوگیری از بازخورد منفی یا نارضایتی خریدار هنگام ارسال در eBay به کار بگیرم، از جمله ارزیابی و نظارت تامین کننده؟</v>
      </c>
      <c r="H7649" s="1"/>
      <c r="I7649" s="1"/>
      <c r="J7649" s="1"/>
      <c r="K7649" s="1"/>
      <c r="L7649" s="1"/>
      <c r="M7649" s="1"/>
      <c r="N7649" s="1"/>
      <c r="O7649" s="1"/>
      <c r="P7649" s="1"/>
      <c r="Q7649" s="1"/>
      <c r="R7649" s="1"/>
      <c r="S7649" s="1"/>
      <c r="T7649" s="1"/>
      <c r="U7649" s="1"/>
      <c r="V7649" s="1"/>
      <c r="W7649" s="1"/>
      <c r="X7649" s="1"/>
      <c r="Y7649" s="1"/>
      <c r="Z7649" s="1"/>
      <c r="AA7649" s="1"/>
      <c r="AB7649" s="1"/>
    </row>
    <row r="7650" ht="50.25" customHeight="1">
      <c r="A7650" s="12">
        <v>7646.0</v>
      </c>
      <c r="B7650" s="13" t="s">
        <v>7028</v>
      </c>
      <c r="C7650" s="14" t="s">
        <v>7674</v>
      </c>
      <c r="D7650" s="1"/>
      <c r="E7650" s="1"/>
      <c r="F7650" s="1" t="str">
        <f>IFERROR(__xludf.DUMMYFUNCTION("GOOGLETRANSLATE(B7650, ""en"", ""fa"")
"),"موفقیت در ای بی")</f>
        <v>موفقیت در ای بی</v>
      </c>
      <c r="G7650" s="1" t="str">
        <f>IFERROR(__xludf.DUMMYFUNCTION("GOOGLETRANSLATE(C7650, ""en"", ""fa"")
"),"چگونه می توانم استفاده از خدمات و پشتیبانی مشتری را هنگام دراپ شیپ در eBay، از جمله رسیدگی به سؤالات خریدار، به روز رسانی سفارش، یا کمک پس از خرید، بهینه کنم؟")</f>
        <v>چگونه می توانم استفاده از خدمات و پشتیبانی مشتری را هنگام دراپ شیپ در eBay، از جمله رسیدگی به سؤالات خریدار، به روز رسانی سفارش، یا کمک پس از خرید، بهینه کنم؟</v>
      </c>
      <c r="H7650" s="1"/>
      <c r="I7650" s="1"/>
      <c r="J7650" s="1"/>
      <c r="K7650" s="1"/>
      <c r="L7650" s="1"/>
      <c r="M7650" s="1"/>
      <c r="N7650" s="1"/>
      <c r="O7650" s="1"/>
      <c r="P7650" s="1"/>
      <c r="Q7650" s="1"/>
      <c r="R7650" s="1"/>
      <c r="S7650" s="1"/>
      <c r="T7650" s="1"/>
      <c r="U7650" s="1"/>
      <c r="V7650" s="1"/>
      <c r="W7650" s="1"/>
      <c r="X7650" s="1"/>
      <c r="Y7650" s="1"/>
      <c r="Z7650" s="1"/>
      <c r="AA7650" s="1"/>
      <c r="AB7650" s="1"/>
    </row>
    <row r="7651" ht="50.25" customHeight="1">
      <c r="A7651" s="12">
        <v>7647.0</v>
      </c>
      <c r="B7651" s="13" t="s">
        <v>7028</v>
      </c>
      <c r="C7651" s="14" t="s">
        <v>7675</v>
      </c>
      <c r="D7651" s="1"/>
      <c r="E7651" s="1"/>
      <c r="F7651" s="1" t="str">
        <f>IFERROR(__xludf.DUMMYFUNCTION("GOOGLETRANSLATE(B7651, ""en"", ""fa"")
"),"موفقیت در ای بی")</f>
        <v>موفقیت در ای بی</v>
      </c>
      <c r="G7651" s="1" t="str">
        <f>IFERROR(__xludf.DUMMYFUNCTION("GOOGLETRANSLATE(C7651, ""en"", ""fa"")
"),"مزایای استفاده از مراکز تکمیل یا ارائه دهندگان تدارکات شخص ثالث برای ساده کردن انجام سفارش و افزایش کارایی حمل و نقل هنگام ارسال در eBay چیست؟")</f>
        <v>مزایای استفاده از مراکز تکمیل یا ارائه دهندگان تدارکات شخص ثالث برای ساده کردن انجام سفارش و افزایش کارایی حمل و نقل هنگام ارسال در eBay چیست؟</v>
      </c>
      <c r="H7651" s="1"/>
      <c r="I7651" s="1"/>
      <c r="J7651" s="1"/>
      <c r="K7651" s="1"/>
      <c r="L7651" s="1"/>
      <c r="M7651" s="1"/>
      <c r="N7651" s="1"/>
      <c r="O7651" s="1"/>
      <c r="P7651" s="1"/>
      <c r="Q7651" s="1"/>
      <c r="R7651" s="1"/>
      <c r="S7651" s="1"/>
      <c r="T7651" s="1"/>
      <c r="U7651" s="1"/>
      <c r="V7651" s="1"/>
      <c r="W7651" s="1"/>
      <c r="X7651" s="1"/>
      <c r="Y7651" s="1"/>
      <c r="Z7651" s="1"/>
      <c r="AA7651" s="1"/>
      <c r="AB7651" s="1"/>
    </row>
    <row r="7652" ht="50.25" customHeight="1">
      <c r="A7652" s="12">
        <v>7648.0</v>
      </c>
      <c r="B7652" s="13" t="s">
        <v>7028</v>
      </c>
      <c r="C7652" s="14" t="s">
        <v>7676</v>
      </c>
      <c r="D7652" s="1"/>
      <c r="E7652" s="1"/>
      <c r="F7652" s="1" t="str">
        <f>IFERROR(__xludf.DUMMYFUNCTION("GOOGLETRANSLATE(B7652, ""en"", ""fa"")
"),"موفقیت در ای بی")</f>
        <v>موفقیت در ای بی</v>
      </c>
      <c r="G7652" s="1" t="str">
        <f>IFERROR(__xludf.DUMMYFUNCTION("GOOGLETRANSLATE(C7652, ""en"", ""fa"")
"),"چگونه می توانم با اطمینان از اطلاعات دقیق محصول و برقراری ارتباط منظم با تامین کنندگان، از مشکلات مربوط به تغییرات محصول، ناهماهنگی ها یا عدم تطابق در هنگام dropshipping در eBay جلوگیری کنم؟")</f>
        <v>چگونه می توانم با اطمینان از اطلاعات دقیق محصول و برقراری ارتباط منظم با تامین کنندگان، از مشکلات مربوط به تغییرات محصول، ناهماهنگی ها یا عدم تطابق در هنگام dropshipping در eBay جلوگیری کنم؟</v>
      </c>
      <c r="H7652" s="1"/>
      <c r="I7652" s="1"/>
      <c r="J7652" s="1"/>
      <c r="K7652" s="1"/>
      <c r="L7652" s="1"/>
      <c r="M7652" s="1"/>
      <c r="N7652" s="1"/>
      <c r="O7652" s="1"/>
      <c r="P7652" s="1"/>
      <c r="Q7652" s="1"/>
      <c r="R7652" s="1"/>
      <c r="S7652" s="1"/>
      <c r="T7652" s="1"/>
      <c r="U7652" s="1"/>
      <c r="V7652" s="1"/>
      <c r="W7652" s="1"/>
      <c r="X7652" s="1"/>
      <c r="Y7652" s="1"/>
      <c r="Z7652" s="1"/>
      <c r="AA7652" s="1"/>
      <c r="AB7652" s="1"/>
    </row>
    <row r="7653" ht="50.25" customHeight="1">
      <c r="A7653" s="12">
        <v>7649.0</v>
      </c>
      <c r="B7653" s="13" t="s">
        <v>7028</v>
      </c>
      <c r="C7653" s="14" t="s">
        <v>7677</v>
      </c>
      <c r="D7653" s="1"/>
      <c r="E7653" s="1"/>
      <c r="F7653" s="1" t="str">
        <f>IFERROR(__xludf.DUMMYFUNCTION("GOOGLETRANSLATE(B7653, ""en"", ""fa"")
"),"موفقیت در ای بی")</f>
        <v>موفقیت در ای بی</v>
      </c>
      <c r="G7653" s="1" t="str">
        <f>IFERROR(__xludf.DUMMYFUNCTION("GOOGLETRANSLATE(C7653, ""en"", ""fa"")
"),"با در نظر گرفتن عواملی مانند مقرون به صرفه بودن، سرعت تحویل و قابلیت اطمینان خدمات، هنگام دراپ شیپ در eBay از چه استراتژی هایی می توانم برای بهینه سازی روش ها و شرکت های حمل و نقل استفاده کنم؟")</f>
        <v>با در نظر گرفتن عواملی مانند مقرون به صرفه بودن، سرعت تحویل و قابلیت اطمینان خدمات، هنگام دراپ شیپ در eBay از چه استراتژی هایی می توانم برای بهینه سازی روش ها و شرکت های حمل و نقل استفاده کنم؟</v>
      </c>
      <c r="H7653" s="1"/>
      <c r="I7653" s="1"/>
      <c r="J7653" s="1"/>
      <c r="K7653" s="1"/>
      <c r="L7653" s="1"/>
      <c r="M7653" s="1"/>
      <c r="N7653" s="1"/>
      <c r="O7653" s="1"/>
      <c r="P7653" s="1"/>
      <c r="Q7653" s="1"/>
      <c r="R7653" s="1"/>
      <c r="S7653" s="1"/>
      <c r="T7653" s="1"/>
      <c r="U7653" s="1"/>
      <c r="V7653" s="1"/>
      <c r="W7653" s="1"/>
      <c r="X7653" s="1"/>
      <c r="Y7653" s="1"/>
      <c r="Z7653" s="1"/>
      <c r="AA7653" s="1"/>
      <c r="AB7653" s="1"/>
    </row>
    <row r="7654" ht="50.25" customHeight="1">
      <c r="A7654" s="12">
        <v>7650.0</v>
      </c>
      <c r="B7654" s="13" t="s">
        <v>7028</v>
      </c>
      <c r="C7654" s="14" t="s">
        <v>7678</v>
      </c>
      <c r="D7654" s="1"/>
      <c r="E7654" s="1"/>
      <c r="F7654" s="1" t="str">
        <f>IFERROR(__xludf.DUMMYFUNCTION("GOOGLETRANSLATE(B7654, ""en"", ""fa"")
"),"موفقیت در ای بی")</f>
        <v>موفقیت در ای بی</v>
      </c>
      <c r="G7654" s="1" t="str">
        <f>IFERROR(__xludf.DUMMYFUNCTION("GOOGLETRANSLATE(C7654, ""en"", ""fa"")
"),"چگونه می توانم از بازخورد و رتبه بندی مشتریان در eBay برای ارزیابی عملکرد و قابلیت اطمینان تامین کنندگان dropshipping استفاده کنم و تصمیمات آگاهانه ای در مورد مناسب بودن آنها بگیرم؟")</f>
        <v>چگونه می توانم از بازخورد و رتبه بندی مشتریان در eBay برای ارزیابی عملکرد و قابلیت اطمینان تامین کنندگان dropshipping استفاده کنم و تصمیمات آگاهانه ای در مورد مناسب بودن آنها بگیرم؟</v>
      </c>
      <c r="H7654" s="1"/>
      <c r="I7654" s="1"/>
      <c r="J7654" s="1"/>
      <c r="K7654" s="1"/>
      <c r="L7654" s="1"/>
      <c r="M7654" s="1"/>
      <c r="N7654" s="1"/>
      <c r="O7654" s="1"/>
      <c r="P7654" s="1"/>
      <c r="Q7654" s="1"/>
      <c r="R7654" s="1"/>
      <c r="S7654" s="1"/>
      <c r="T7654" s="1"/>
      <c r="U7654" s="1"/>
      <c r="V7654" s="1"/>
      <c r="W7654" s="1"/>
      <c r="X7654" s="1"/>
      <c r="Y7654" s="1"/>
      <c r="Z7654" s="1"/>
      <c r="AA7654" s="1"/>
      <c r="AB7654" s="1"/>
    </row>
    <row r="7655" ht="50.25" customHeight="1">
      <c r="A7655" s="12">
        <v>7651.0</v>
      </c>
      <c r="B7655" s="13" t="s">
        <v>7028</v>
      </c>
      <c r="C7655" s="14" t="s">
        <v>7679</v>
      </c>
      <c r="D7655" s="1"/>
      <c r="E7655" s="1"/>
      <c r="F7655" s="1" t="str">
        <f>IFERROR(__xludf.DUMMYFUNCTION("GOOGLETRANSLATE(B7655, ""en"", ""fa"")
"),"موفقیت در ای بی")</f>
        <v>موفقیت در ای بی</v>
      </c>
      <c r="G7655" s="1" t="str">
        <f>IFERROR(__xludf.DUMMYFUNCTION("GOOGLETRANSLATE(C7655, ""en"", ""fa"")
"),"ملاحظات کلیدی هنگام انتخاب تامین کنندگان dropshipping برای حمل و نقل بین المللی در eBay، از جمله مقررات گمرکی، محدودیت های حمل و نقل و پشتیبانی محلی مشتری چیست؟")</f>
        <v>ملاحظات کلیدی هنگام انتخاب تامین کنندگان dropshipping برای حمل و نقل بین المللی در eBay، از جمله مقررات گمرکی، محدودیت های حمل و نقل و پشتیبانی محلی مشتری چیست؟</v>
      </c>
      <c r="H7655" s="1"/>
      <c r="I7655" s="1"/>
      <c r="J7655" s="1"/>
      <c r="K7655" s="1"/>
      <c r="L7655" s="1"/>
      <c r="M7655" s="1"/>
      <c r="N7655" s="1"/>
      <c r="O7655" s="1"/>
      <c r="P7655" s="1"/>
      <c r="Q7655" s="1"/>
      <c r="R7655" s="1"/>
      <c r="S7655" s="1"/>
      <c r="T7655" s="1"/>
      <c r="U7655" s="1"/>
      <c r="V7655" s="1"/>
      <c r="W7655" s="1"/>
      <c r="X7655" s="1"/>
      <c r="Y7655" s="1"/>
      <c r="Z7655" s="1"/>
      <c r="AA7655" s="1"/>
      <c r="AB7655" s="1"/>
    </row>
    <row r="7656" ht="50.25" customHeight="1">
      <c r="A7656" s="12">
        <v>7652.0</v>
      </c>
      <c r="B7656" s="13" t="s">
        <v>7680</v>
      </c>
      <c r="C7656" s="18" t="s">
        <v>7681</v>
      </c>
      <c r="D7656" s="1"/>
      <c r="E7656" s="1"/>
      <c r="F7656" s="1" t="str">
        <f>IFERROR(__xludf.DUMMYFUNCTION("GOOGLETRANSLATE(B7656, ""en"", ""fa"")
"),"درخواست برای معلمان")</f>
        <v>درخواست برای معلمان</v>
      </c>
      <c r="G7656" s="1" t="str">
        <f>IFERROR(__xludf.DUMMYFUNCTION("GOOGLETRANSLATE(C7656, ""en"", ""fa"")
"),"اهمیت پرورش فرهنگ مسئولیت پذیری و انتظارات بالا در رهبری آموزشی را بررسی کنید.")</f>
        <v>اهمیت پرورش فرهنگ مسئولیت پذیری و انتظارات بالا در رهبری آموزشی را بررسی کنید.</v>
      </c>
      <c r="H7656" s="1"/>
      <c r="I7656" s="1"/>
      <c r="J7656" s="1"/>
      <c r="K7656" s="1"/>
      <c r="L7656" s="1"/>
      <c r="M7656" s="1"/>
      <c r="N7656" s="1"/>
      <c r="O7656" s="1"/>
      <c r="P7656" s="1"/>
      <c r="Q7656" s="1"/>
      <c r="R7656" s="1"/>
      <c r="S7656" s="1"/>
      <c r="T7656" s="1"/>
      <c r="U7656" s="1"/>
      <c r="V7656" s="1"/>
      <c r="W7656" s="1"/>
      <c r="X7656" s="1"/>
      <c r="Y7656" s="1"/>
      <c r="Z7656" s="1"/>
      <c r="AA7656" s="1"/>
      <c r="AB7656" s="1"/>
    </row>
    <row r="7657" ht="50.25" customHeight="1">
      <c r="A7657" s="12">
        <v>7653.0</v>
      </c>
      <c r="B7657" s="13" t="s">
        <v>7680</v>
      </c>
      <c r="C7657" s="18" t="s">
        <v>7682</v>
      </c>
      <c r="D7657" s="1"/>
      <c r="E7657" s="1"/>
      <c r="F7657" s="1" t="str">
        <f>IFERROR(__xludf.DUMMYFUNCTION("GOOGLETRANSLATE(B7657, ""en"", ""fa"")
"),"درخواست برای معلمان")</f>
        <v>درخواست برای معلمان</v>
      </c>
      <c r="G7657" s="1" t="str">
        <f>IFERROR(__xludf.DUMMYFUNCTION("GOOGLETRANSLATE(C7657, ""en"", ""fa"")
"),"درباره تأثیر رهبری آموزشی مؤثر بر مشارکت دانش‌آموز و موفقیت تحصیلی بحث کنید.")</f>
        <v>درباره تأثیر رهبری آموزشی مؤثر بر مشارکت دانش‌آموز و موفقیت تحصیلی بحث کنید.</v>
      </c>
      <c r="H7657" s="1"/>
      <c r="I7657" s="1"/>
      <c r="J7657" s="1"/>
      <c r="K7657" s="1"/>
      <c r="L7657" s="1"/>
      <c r="M7657" s="1"/>
      <c r="N7657" s="1"/>
      <c r="O7657" s="1"/>
      <c r="P7657" s="1"/>
      <c r="Q7657" s="1"/>
      <c r="R7657" s="1"/>
      <c r="S7657" s="1"/>
      <c r="T7657" s="1"/>
      <c r="U7657" s="1"/>
      <c r="V7657" s="1"/>
      <c r="W7657" s="1"/>
      <c r="X7657" s="1"/>
      <c r="Y7657" s="1"/>
      <c r="Z7657" s="1"/>
      <c r="AA7657" s="1"/>
      <c r="AB7657" s="1"/>
    </row>
    <row r="7658" ht="50.25" customHeight="1">
      <c r="A7658" s="12">
        <v>7654.0</v>
      </c>
      <c r="B7658" s="13" t="s">
        <v>7680</v>
      </c>
      <c r="C7658" s="18" t="s">
        <v>7683</v>
      </c>
      <c r="D7658" s="1"/>
      <c r="E7658" s="1"/>
      <c r="F7658" s="1" t="str">
        <f>IFERROR(__xludf.DUMMYFUNCTION("GOOGLETRANSLATE(B7658, ""en"", ""fa"")
"),"درخواست برای معلمان")</f>
        <v>درخواست برای معلمان</v>
      </c>
      <c r="G7658" s="1" t="str">
        <f>IFERROR(__xludf.DUMMYFUNCTION("GOOGLETRANSLATE(C7658, ""en"", ""fa"")
"),"تجربیات خود را با رهبری و مدیریت شیوه های ارزیابی و ارزشیابی مؤثر در سطح مدرسه به اشتراک بگذارید.")</f>
        <v>تجربیات خود را با رهبری و مدیریت شیوه های ارزیابی و ارزشیابی مؤثر در سطح مدرسه به اشتراک بگذارید.</v>
      </c>
      <c r="H7658" s="1"/>
      <c r="I7658" s="1"/>
      <c r="J7658" s="1"/>
      <c r="K7658" s="1"/>
      <c r="L7658" s="1"/>
      <c r="M7658" s="1"/>
      <c r="N7658" s="1"/>
      <c r="O7658" s="1"/>
      <c r="P7658" s="1"/>
      <c r="Q7658" s="1"/>
      <c r="R7658" s="1"/>
      <c r="S7658" s="1"/>
      <c r="T7658" s="1"/>
      <c r="U7658" s="1"/>
      <c r="V7658" s="1"/>
      <c r="W7658" s="1"/>
      <c r="X7658" s="1"/>
      <c r="Y7658" s="1"/>
      <c r="Z7658" s="1"/>
      <c r="AA7658" s="1"/>
      <c r="AB7658" s="1"/>
    </row>
    <row r="7659" ht="50.25" customHeight="1">
      <c r="A7659" s="12">
        <v>7655.0</v>
      </c>
      <c r="B7659" s="13" t="s">
        <v>7680</v>
      </c>
      <c r="C7659" s="18" t="s">
        <v>7684</v>
      </c>
      <c r="D7659" s="1"/>
      <c r="E7659" s="1"/>
      <c r="F7659" s="1" t="str">
        <f>IFERROR(__xludf.DUMMYFUNCTION("GOOGLETRANSLATE(B7659, ""en"", ""fa"")
"),"درخواست برای معلمان")</f>
        <v>درخواست برای معلمان</v>
      </c>
      <c r="G7659" s="1" t="str">
        <f>IFERROR(__xludf.DUMMYFUNCTION("GOOGLETRANSLATE(C7659, ""en"", ""fa"")
"),"استراتژی‌هایی را برای ارتقای تصمیم‌گیری مشترک و رهبری مشترک در میان کارکنان بررسی کنید.")</f>
        <v>استراتژی‌هایی را برای ارتقای تصمیم‌گیری مشترک و رهبری مشترک در میان کارکنان بررسی کنید.</v>
      </c>
      <c r="H7659" s="1"/>
      <c r="I7659" s="1"/>
      <c r="J7659" s="1"/>
      <c r="K7659" s="1"/>
      <c r="L7659" s="1"/>
      <c r="M7659" s="1"/>
      <c r="N7659" s="1"/>
      <c r="O7659" s="1"/>
      <c r="P7659" s="1"/>
      <c r="Q7659" s="1"/>
      <c r="R7659" s="1"/>
      <c r="S7659" s="1"/>
      <c r="T7659" s="1"/>
      <c r="U7659" s="1"/>
      <c r="V7659" s="1"/>
      <c r="W7659" s="1"/>
      <c r="X7659" s="1"/>
      <c r="Y7659" s="1"/>
      <c r="Z7659" s="1"/>
      <c r="AA7659" s="1"/>
      <c r="AB7659" s="1"/>
    </row>
    <row r="7660" ht="50.25" customHeight="1">
      <c r="A7660" s="12">
        <v>7656.0</v>
      </c>
      <c r="B7660" s="13" t="s">
        <v>7680</v>
      </c>
      <c r="C7660" s="18" t="s">
        <v>7685</v>
      </c>
      <c r="D7660" s="1"/>
      <c r="E7660" s="1"/>
      <c r="F7660" s="1" t="str">
        <f>IFERROR(__xludf.DUMMYFUNCTION("GOOGLETRANSLATE(B7660, ""en"", ""fa"")
"),"درخواست برای معلمان")</f>
        <v>درخواست برای معلمان</v>
      </c>
      <c r="G7660" s="1" t="str">
        <f>IFERROR(__xludf.DUMMYFUNCTION("GOOGLETRANSLATE(C7660, ""en"", ""fa"")
"),"در مورد نقش رهبران آموزشی در ترویج و حمایت از مشارکت والدین در آموزش بحث کنید.")</f>
        <v>در مورد نقش رهبران آموزشی در ترویج و حمایت از مشارکت والدین در آموزش بحث کنید.</v>
      </c>
      <c r="H7660" s="1"/>
      <c r="I7660" s="1"/>
      <c r="J7660" s="1"/>
      <c r="K7660" s="1"/>
      <c r="L7660" s="1"/>
      <c r="M7660" s="1"/>
      <c r="N7660" s="1"/>
      <c r="O7660" s="1"/>
      <c r="P7660" s="1"/>
      <c r="Q7660" s="1"/>
      <c r="R7660" s="1"/>
      <c r="S7660" s="1"/>
      <c r="T7660" s="1"/>
      <c r="U7660" s="1"/>
      <c r="V7660" s="1"/>
      <c r="W7660" s="1"/>
      <c r="X7660" s="1"/>
      <c r="Y7660" s="1"/>
      <c r="Z7660" s="1"/>
      <c r="AA7660" s="1"/>
      <c r="AB7660" s="1"/>
    </row>
    <row r="7661" ht="50.25" customHeight="1">
      <c r="A7661" s="12">
        <v>7657.0</v>
      </c>
      <c r="B7661" s="13" t="s">
        <v>7680</v>
      </c>
      <c r="C7661" s="18" t="s">
        <v>7686</v>
      </c>
      <c r="D7661" s="1"/>
      <c r="E7661" s="1"/>
      <c r="F7661" s="1" t="str">
        <f>IFERROR(__xludf.DUMMYFUNCTION("GOOGLETRANSLATE(B7661, ""en"", ""fa"")
"),"درخواست برای معلمان")</f>
        <v>درخواست برای معلمان</v>
      </c>
      <c r="G7661" s="1" t="str">
        <f>IFERROR(__xludf.DUMMYFUNCTION("GOOGLETRANSLATE(C7661, ""en"", ""fa"")
"),"بینش خود را در مورد استراتژی های موثر برای مدیریت و استفاده از مشارکت های اجتماعی به اشتراک بگذارید.")</f>
        <v>بینش خود را در مورد استراتژی های موثر برای مدیریت و استفاده از مشارکت های اجتماعی به اشتراک بگذارید.</v>
      </c>
      <c r="H7661" s="1"/>
      <c r="I7661" s="1"/>
      <c r="J7661" s="1"/>
      <c r="K7661" s="1"/>
      <c r="L7661" s="1"/>
      <c r="M7661" s="1"/>
      <c r="N7661" s="1"/>
      <c r="O7661" s="1"/>
      <c r="P7661" s="1"/>
      <c r="Q7661" s="1"/>
      <c r="R7661" s="1"/>
      <c r="S7661" s="1"/>
      <c r="T7661" s="1"/>
      <c r="U7661" s="1"/>
      <c r="V7661" s="1"/>
      <c r="W7661" s="1"/>
      <c r="X7661" s="1"/>
      <c r="Y7661" s="1"/>
      <c r="Z7661" s="1"/>
      <c r="AA7661" s="1"/>
      <c r="AB7661" s="1"/>
    </row>
    <row r="7662" ht="50.25" customHeight="1">
      <c r="A7662" s="12">
        <v>7658.0</v>
      </c>
      <c r="B7662" s="13" t="s">
        <v>7680</v>
      </c>
      <c r="C7662" s="18" t="s">
        <v>7687</v>
      </c>
      <c r="D7662" s="1"/>
      <c r="E7662" s="1"/>
      <c r="F7662" s="1" t="str">
        <f>IFERROR(__xludf.DUMMYFUNCTION("GOOGLETRANSLATE(B7662, ""en"", ""fa"")
"),"درخواست برای معلمان")</f>
        <v>درخواست برای معلمان</v>
      </c>
      <c r="G7662" s="1" t="str">
        <f>IFERROR(__xludf.DUMMYFUNCTION("GOOGLETRANSLATE(C7662, ""en"", ""fa"")
"),"اهمیت توسعه حرفه ای مستمر برای رهبران آموزشی را بررسی کنید.")</f>
        <v>اهمیت توسعه حرفه ای مستمر برای رهبران آموزشی را بررسی کنید.</v>
      </c>
      <c r="H7662" s="1"/>
      <c r="I7662" s="1"/>
      <c r="J7662" s="1"/>
      <c r="K7662" s="1"/>
      <c r="L7662" s="1"/>
      <c r="M7662" s="1"/>
      <c r="N7662" s="1"/>
      <c r="O7662" s="1"/>
      <c r="P7662" s="1"/>
      <c r="Q7662" s="1"/>
      <c r="R7662" s="1"/>
      <c r="S7662" s="1"/>
      <c r="T7662" s="1"/>
      <c r="U7662" s="1"/>
      <c r="V7662" s="1"/>
      <c r="W7662" s="1"/>
      <c r="X7662" s="1"/>
      <c r="Y7662" s="1"/>
      <c r="Z7662" s="1"/>
      <c r="AA7662" s="1"/>
      <c r="AB7662" s="1"/>
    </row>
    <row r="7663" ht="50.25" customHeight="1">
      <c r="A7663" s="12">
        <v>7659.0</v>
      </c>
      <c r="B7663" s="13" t="s">
        <v>7680</v>
      </c>
      <c r="C7663" s="18" t="s">
        <v>7688</v>
      </c>
      <c r="D7663" s="1"/>
      <c r="E7663" s="1"/>
      <c r="F7663" s="1" t="str">
        <f>IFERROR(__xludf.DUMMYFUNCTION("GOOGLETRANSLATE(B7663, ""en"", ""fa"")
"),"درخواست برای معلمان")</f>
        <v>درخواست برای معلمان</v>
      </c>
      <c r="G7663" s="1" t="str">
        <f>IFERROR(__xludf.DUMMYFUNCTION("GOOGLETRANSLATE(C7663, ""en"", ""fa"")
"),"در مورد تأثیر رهبری توزیع شده بر روحیه کارکنان و رضایت شغلی بحث کنید.")</f>
        <v>در مورد تأثیر رهبری توزیع شده بر روحیه کارکنان و رضایت شغلی بحث کنید.</v>
      </c>
      <c r="H7663" s="1"/>
      <c r="I7663" s="1"/>
      <c r="J7663" s="1"/>
      <c r="K7663" s="1"/>
      <c r="L7663" s="1"/>
      <c r="M7663" s="1"/>
      <c r="N7663" s="1"/>
      <c r="O7663" s="1"/>
      <c r="P7663" s="1"/>
      <c r="Q7663" s="1"/>
      <c r="R7663" s="1"/>
      <c r="S7663" s="1"/>
      <c r="T7663" s="1"/>
      <c r="U7663" s="1"/>
      <c r="V7663" s="1"/>
      <c r="W7663" s="1"/>
      <c r="X7663" s="1"/>
      <c r="Y7663" s="1"/>
      <c r="Z7663" s="1"/>
      <c r="AA7663" s="1"/>
      <c r="AB7663" s="1"/>
    </row>
    <row r="7664" ht="50.25" customHeight="1">
      <c r="A7664" s="12">
        <v>7660.0</v>
      </c>
      <c r="B7664" s="13" t="s">
        <v>7680</v>
      </c>
      <c r="C7664" s="18" t="s">
        <v>7689</v>
      </c>
      <c r="D7664" s="1"/>
      <c r="E7664" s="1"/>
      <c r="F7664" s="1" t="str">
        <f>IFERROR(__xludf.DUMMYFUNCTION("GOOGLETRANSLATE(B7664, ""en"", ""fa"")
"),"درخواست برای معلمان")</f>
        <v>درخواست برای معلمان</v>
      </c>
      <c r="G7664" s="1" t="str">
        <f>IFERROR(__xludf.DUMMYFUNCTION("GOOGLETRANSLATE(C7664, ""en"", ""fa"")
"),"تجربیات خود را در زمینه رهبری و مدیریت آموزش ویژه موثر و شیوه های فراگیر به اشتراک بگذارید.")</f>
        <v>تجربیات خود را در زمینه رهبری و مدیریت آموزش ویژه موثر و شیوه های فراگیر به اشتراک بگذارید.</v>
      </c>
      <c r="H7664" s="1"/>
      <c r="I7664" s="1"/>
      <c r="J7664" s="1"/>
      <c r="K7664" s="1"/>
      <c r="L7664" s="1"/>
      <c r="M7664" s="1"/>
      <c r="N7664" s="1"/>
      <c r="O7664" s="1"/>
      <c r="P7664" s="1"/>
      <c r="Q7664" s="1"/>
      <c r="R7664" s="1"/>
      <c r="S7664" s="1"/>
      <c r="T7664" s="1"/>
      <c r="U7664" s="1"/>
      <c r="V7664" s="1"/>
      <c r="W7664" s="1"/>
      <c r="X7664" s="1"/>
      <c r="Y7664" s="1"/>
      <c r="Z7664" s="1"/>
      <c r="AA7664" s="1"/>
      <c r="AB7664" s="1"/>
    </row>
    <row r="7665" ht="50.25" customHeight="1">
      <c r="A7665" s="12">
        <v>7661.0</v>
      </c>
      <c r="B7665" s="13" t="s">
        <v>7680</v>
      </c>
      <c r="C7665" s="18" t="s">
        <v>7690</v>
      </c>
      <c r="D7665" s="1"/>
      <c r="E7665" s="1"/>
      <c r="F7665" s="1" t="str">
        <f>IFERROR(__xludf.DUMMYFUNCTION("GOOGLETRANSLATE(B7665, ""en"", ""fa"")
"),"درخواست برای معلمان")</f>
        <v>درخواست برای معلمان</v>
      </c>
      <c r="G7665" s="1" t="str">
        <f>IFERROR(__xludf.DUMMYFUNCTION("GOOGLETRANSLATE(C7665, ""en"", ""fa"")
"),"استراتژی‌هایی را برای پرورش فرهنگ نوآوری و ریسک‌پذیری در رهبری آموزشی بررسی کنید.")</f>
        <v>استراتژی‌هایی را برای پرورش فرهنگ نوآوری و ریسک‌پذیری در رهبری آموزشی بررسی کنید.</v>
      </c>
      <c r="H7665" s="1"/>
      <c r="I7665" s="1"/>
      <c r="J7665" s="1"/>
      <c r="K7665" s="1"/>
      <c r="L7665" s="1"/>
      <c r="M7665" s="1"/>
      <c r="N7665" s="1"/>
      <c r="O7665" s="1"/>
      <c r="P7665" s="1"/>
      <c r="Q7665" s="1"/>
      <c r="R7665" s="1"/>
      <c r="S7665" s="1"/>
      <c r="T7665" s="1"/>
      <c r="U7665" s="1"/>
      <c r="V7665" s="1"/>
      <c r="W7665" s="1"/>
      <c r="X7665" s="1"/>
      <c r="Y7665" s="1"/>
      <c r="Z7665" s="1"/>
      <c r="AA7665" s="1"/>
      <c r="AB7665" s="1"/>
    </row>
    <row r="7666" ht="50.25" customHeight="1">
      <c r="A7666" s="12">
        <v>7662.0</v>
      </c>
      <c r="B7666" s="13" t="s">
        <v>7680</v>
      </c>
      <c r="C7666" s="18" t="s">
        <v>7691</v>
      </c>
      <c r="D7666" s="1"/>
      <c r="E7666" s="1"/>
      <c r="F7666" s="1" t="str">
        <f>IFERROR(__xludf.DUMMYFUNCTION("GOOGLETRANSLATE(B7666, ""en"", ""fa"")
"),"درخواست برای معلمان")</f>
        <v>درخواست برای معلمان</v>
      </c>
      <c r="G7666" s="1" t="str">
        <f>IFERROR(__xludf.DUMMYFUNCTION("GOOGLETRANSLATE(C7666, ""en"", ""fa"")
"),"در مورد تأثیر رهبری مؤثر مدرسه بر انگیزه و مشارکت دانش آموزان بحث کنید.")</f>
        <v>در مورد تأثیر رهبری مؤثر مدرسه بر انگیزه و مشارکت دانش آموزان بحث کنید.</v>
      </c>
      <c r="H7666" s="1"/>
      <c r="I7666" s="1"/>
      <c r="J7666" s="1"/>
      <c r="K7666" s="1"/>
      <c r="L7666" s="1"/>
      <c r="M7666" s="1"/>
      <c r="N7666" s="1"/>
      <c r="O7666" s="1"/>
      <c r="P7666" s="1"/>
      <c r="Q7666" s="1"/>
      <c r="R7666" s="1"/>
      <c r="S7666" s="1"/>
      <c r="T7666" s="1"/>
      <c r="U7666" s="1"/>
      <c r="V7666" s="1"/>
      <c r="W7666" s="1"/>
      <c r="X7666" s="1"/>
      <c r="Y7666" s="1"/>
      <c r="Z7666" s="1"/>
      <c r="AA7666" s="1"/>
      <c r="AB7666" s="1"/>
    </row>
    <row r="7667" ht="50.25" customHeight="1">
      <c r="A7667" s="12">
        <v>7663.0</v>
      </c>
      <c r="B7667" s="13" t="s">
        <v>7680</v>
      </c>
      <c r="C7667" s="18" t="s">
        <v>7692</v>
      </c>
      <c r="D7667" s="1"/>
      <c r="E7667" s="1"/>
      <c r="F7667" s="1" t="str">
        <f>IFERROR(__xludf.DUMMYFUNCTION("GOOGLETRANSLATE(B7667, ""en"", ""fa"")
"),"درخواست برای معلمان")</f>
        <v>درخواست برای معلمان</v>
      </c>
      <c r="G7667" s="1" t="str">
        <f>IFERROR(__xludf.DUMMYFUNCTION("GOOGLETRANSLATE(C7667, ""en"", ""fa"")
"),"بینش خود را در مورد نقش رهبران آموزشی در ترویج ذهنیت رشد در بین کارکنان و دانش آموزان به اشتراک بگذارید.")</f>
        <v>بینش خود را در مورد نقش رهبران آموزشی در ترویج ذهنیت رشد در بین کارکنان و دانش آموزان به اشتراک بگذارید.</v>
      </c>
      <c r="H7667" s="1"/>
      <c r="I7667" s="1"/>
      <c r="J7667" s="1"/>
      <c r="K7667" s="1"/>
      <c r="L7667" s="1"/>
      <c r="M7667" s="1"/>
      <c r="N7667" s="1"/>
      <c r="O7667" s="1"/>
      <c r="P7667" s="1"/>
      <c r="Q7667" s="1"/>
      <c r="R7667" s="1"/>
      <c r="S7667" s="1"/>
      <c r="T7667" s="1"/>
      <c r="U7667" s="1"/>
      <c r="V7667" s="1"/>
      <c r="W7667" s="1"/>
      <c r="X7667" s="1"/>
      <c r="Y7667" s="1"/>
      <c r="Z7667" s="1"/>
      <c r="AA7667" s="1"/>
      <c r="AB7667" s="1"/>
    </row>
    <row r="7668" ht="50.25" customHeight="1">
      <c r="A7668" s="12">
        <v>7664.0</v>
      </c>
      <c r="B7668" s="13" t="s">
        <v>7680</v>
      </c>
      <c r="C7668" s="18" t="s">
        <v>7693</v>
      </c>
      <c r="D7668" s="1"/>
      <c r="E7668" s="1"/>
      <c r="F7668" s="1" t="str">
        <f>IFERROR(__xludf.DUMMYFUNCTION("GOOGLETRANSLATE(B7668, ""en"", ""fa"")
"),"درخواست برای معلمان")</f>
        <v>درخواست برای معلمان</v>
      </c>
      <c r="G7668" s="1" t="str">
        <f>IFERROR(__xludf.DUMMYFUNCTION("GOOGLETRANSLATE(C7668, ""en"", ""fa"")
"),"کاوش راهبردهایی برای ترویج آموزش فرهنگی پاسخگو و آموزش چندفرهنگی در مدارس.")</f>
        <v>کاوش راهبردهایی برای ترویج آموزش فرهنگی پاسخگو و آموزش چندفرهنگی در مدارس.</v>
      </c>
      <c r="H7668" s="1"/>
      <c r="I7668" s="1"/>
      <c r="J7668" s="1"/>
      <c r="K7668" s="1"/>
      <c r="L7668" s="1"/>
      <c r="M7668" s="1"/>
      <c r="N7668" s="1"/>
      <c r="O7668" s="1"/>
      <c r="P7668" s="1"/>
      <c r="Q7668" s="1"/>
      <c r="R7668" s="1"/>
      <c r="S7668" s="1"/>
      <c r="T7668" s="1"/>
      <c r="U7668" s="1"/>
      <c r="V7668" s="1"/>
      <c r="W7668" s="1"/>
      <c r="X7668" s="1"/>
      <c r="Y7668" s="1"/>
      <c r="Z7668" s="1"/>
      <c r="AA7668" s="1"/>
      <c r="AB7668" s="1"/>
    </row>
    <row r="7669" ht="50.25" customHeight="1">
      <c r="A7669" s="12">
        <v>7665.0</v>
      </c>
      <c r="B7669" s="13" t="s">
        <v>7680</v>
      </c>
      <c r="C7669" s="18" t="s">
        <v>7694</v>
      </c>
      <c r="D7669" s="1"/>
      <c r="E7669" s="1"/>
      <c r="F7669" s="1" t="str">
        <f>IFERROR(__xludf.DUMMYFUNCTION("GOOGLETRANSLATE(B7669, ""en"", ""fa"")
"),"درخواست برای معلمان")</f>
        <v>درخواست برای معلمان</v>
      </c>
      <c r="G7669" s="1" t="str">
        <f>IFERROR(__xludf.DUMMYFUNCTION("GOOGLETRANSLATE(C7669, ""en"", ""fa"")
"),"در مورد اهمیت مدیریت زمان موثر و مهارت های سازمانی در رهبری آموزشی بحث کنید.")</f>
        <v>در مورد اهمیت مدیریت زمان موثر و مهارت های سازمانی در رهبری آموزشی بحث کنید.</v>
      </c>
      <c r="H7669" s="1"/>
      <c r="I7669" s="1"/>
      <c r="J7669" s="1"/>
      <c r="K7669" s="1"/>
      <c r="L7669" s="1"/>
      <c r="M7669" s="1"/>
      <c r="N7669" s="1"/>
      <c r="O7669" s="1"/>
      <c r="P7669" s="1"/>
      <c r="Q7669" s="1"/>
      <c r="R7669" s="1"/>
      <c r="S7669" s="1"/>
      <c r="T7669" s="1"/>
      <c r="U7669" s="1"/>
      <c r="V7669" s="1"/>
      <c r="W7669" s="1"/>
      <c r="X7669" s="1"/>
      <c r="Y7669" s="1"/>
      <c r="Z7669" s="1"/>
      <c r="AA7669" s="1"/>
      <c r="AB7669" s="1"/>
    </row>
    <row r="7670" ht="50.25" customHeight="1">
      <c r="A7670" s="12">
        <v>7666.0</v>
      </c>
      <c r="B7670" s="13" t="s">
        <v>7680</v>
      </c>
      <c r="C7670" s="18" t="s">
        <v>7695</v>
      </c>
      <c r="D7670" s="1"/>
      <c r="E7670" s="1"/>
      <c r="F7670" s="1" t="str">
        <f>IFERROR(__xludf.DUMMYFUNCTION("GOOGLETRANSLATE(B7670, ""en"", ""fa"")
"),"درخواست برای معلمان")</f>
        <v>درخواست برای معلمان</v>
      </c>
      <c r="G7670" s="1" t="str">
        <f>IFERROR(__xludf.DUMMYFUNCTION("GOOGLETRANSLATE(C7670, ""en"", ""fa"")
"),"تجربیات خود را در زمینه رهبری و مدیریت طرح های موفق بهبود مدرسه به اشتراک بگذارید.")</f>
        <v>تجربیات خود را در زمینه رهبری و مدیریت طرح های موفق بهبود مدرسه به اشتراک بگذارید.</v>
      </c>
      <c r="H7670" s="1"/>
      <c r="I7670" s="1"/>
      <c r="J7670" s="1"/>
      <c r="K7670" s="1"/>
      <c r="L7670" s="1"/>
      <c r="M7670" s="1"/>
      <c r="N7670" s="1"/>
      <c r="O7670" s="1"/>
      <c r="P7670" s="1"/>
      <c r="Q7670" s="1"/>
      <c r="R7670" s="1"/>
      <c r="S7670" s="1"/>
      <c r="T7670" s="1"/>
      <c r="U7670" s="1"/>
      <c r="V7670" s="1"/>
      <c r="W7670" s="1"/>
      <c r="X7670" s="1"/>
      <c r="Y7670" s="1"/>
      <c r="Z7670" s="1"/>
      <c r="AA7670" s="1"/>
      <c r="AB7670" s="1"/>
    </row>
    <row r="7671" ht="50.25" customHeight="1">
      <c r="A7671" s="12">
        <v>7667.0</v>
      </c>
      <c r="B7671" s="13" t="s">
        <v>7680</v>
      </c>
      <c r="C7671" s="18" t="s">
        <v>7696</v>
      </c>
      <c r="D7671" s="1"/>
      <c r="E7671" s="1"/>
      <c r="F7671" s="1" t="str">
        <f>IFERROR(__xludf.DUMMYFUNCTION("GOOGLETRANSLATE(B7671, ""en"", ""fa"")
"),"درخواست برای معلمان")</f>
        <v>درخواست برای معلمان</v>
      </c>
      <c r="G7671" s="1" t="str">
        <f>IFERROR(__xludf.DUMMYFUNCTION("GOOGLETRANSLATE(C7671, ""en"", ""fa"")
"),"استراتژی‌هایی را برای ترویج یک جو مدرسه مثبت و فراگیر که به تنوع ارزش می‌دهد، کاوش کنید.")</f>
        <v>استراتژی‌هایی را برای ترویج یک جو مدرسه مثبت و فراگیر که به تنوع ارزش می‌دهد، کاوش کنید.</v>
      </c>
      <c r="H7671" s="1"/>
      <c r="I7671" s="1"/>
      <c r="J7671" s="1"/>
      <c r="K7671" s="1"/>
      <c r="L7671" s="1"/>
      <c r="M7671" s="1"/>
      <c r="N7671" s="1"/>
      <c r="O7671" s="1"/>
      <c r="P7671" s="1"/>
      <c r="Q7671" s="1"/>
      <c r="R7671" s="1"/>
      <c r="S7671" s="1"/>
      <c r="T7671" s="1"/>
      <c r="U7671" s="1"/>
      <c r="V7671" s="1"/>
      <c r="W7671" s="1"/>
      <c r="X7671" s="1"/>
      <c r="Y7671" s="1"/>
      <c r="Z7671" s="1"/>
      <c r="AA7671" s="1"/>
      <c r="AB7671" s="1"/>
    </row>
    <row r="7672" ht="50.25" customHeight="1">
      <c r="A7672" s="12">
        <v>7668.0</v>
      </c>
      <c r="B7672" s="13" t="s">
        <v>7680</v>
      </c>
      <c r="C7672" s="18" t="s">
        <v>7697</v>
      </c>
      <c r="D7672" s="1"/>
      <c r="E7672" s="1"/>
      <c r="F7672" s="1" t="str">
        <f>IFERROR(__xludf.DUMMYFUNCTION("GOOGLETRANSLATE(B7672, ""en"", ""fa"")
"),"درخواست برای معلمان")</f>
        <v>درخواست برای معلمان</v>
      </c>
      <c r="G7672" s="1" t="str">
        <f>IFERROR(__xludf.DUMMYFUNCTION("GOOGLETRANSLATE(C7672, ""en"", ""fa"")
"),"در مورد نقش رهبران آموزشی در پرورش حس قوی بینش و مأموریت مشترک در مدرسه بحث کنید.")</f>
        <v>در مورد نقش رهبران آموزشی در پرورش حس قوی بینش و مأموریت مشترک در مدرسه بحث کنید.</v>
      </c>
      <c r="H7672" s="1"/>
      <c r="I7672" s="1"/>
      <c r="J7672" s="1"/>
      <c r="K7672" s="1"/>
      <c r="L7672" s="1"/>
      <c r="M7672" s="1"/>
      <c r="N7672" s="1"/>
      <c r="O7672" s="1"/>
      <c r="P7672" s="1"/>
      <c r="Q7672" s="1"/>
      <c r="R7672" s="1"/>
      <c r="S7672" s="1"/>
      <c r="T7672" s="1"/>
      <c r="U7672" s="1"/>
      <c r="V7672" s="1"/>
      <c r="W7672" s="1"/>
      <c r="X7672" s="1"/>
      <c r="Y7672" s="1"/>
      <c r="Z7672" s="1"/>
      <c r="AA7672" s="1"/>
      <c r="AB7672" s="1"/>
    </row>
    <row r="7673" ht="50.25" customHeight="1">
      <c r="A7673" s="12">
        <v>7669.0</v>
      </c>
      <c r="B7673" s="13" t="s">
        <v>7680</v>
      </c>
      <c r="C7673" s="18" t="s">
        <v>7698</v>
      </c>
      <c r="D7673" s="1"/>
      <c r="E7673" s="1"/>
      <c r="F7673" s="1" t="str">
        <f>IFERROR(__xludf.DUMMYFUNCTION("GOOGLETRANSLATE(B7673, ""en"", ""fa"")
"),"درخواست برای معلمان")</f>
        <v>درخواست برای معلمان</v>
      </c>
      <c r="G7673" s="1" t="str">
        <f>IFERROR(__xludf.DUMMYFUNCTION("GOOGLETRANSLATE(C7673, ""en"", ""fa"")
"),"بینش خود را در مورد استفاده مؤثر از داده ها برای اطلاع رسانی در تصمیم گیری آموزشی و تلاش های بهبود مدرسه به اشتراک بگذارید.")</f>
        <v>بینش خود را در مورد استفاده مؤثر از داده ها برای اطلاع رسانی در تصمیم گیری آموزشی و تلاش های بهبود مدرسه به اشتراک بگذارید.</v>
      </c>
      <c r="H7673" s="1"/>
      <c r="I7673" s="1"/>
      <c r="J7673" s="1"/>
      <c r="K7673" s="1"/>
      <c r="L7673" s="1"/>
      <c r="M7673" s="1"/>
      <c r="N7673" s="1"/>
      <c r="O7673" s="1"/>
      <c r="P7673" s="1"/>
      <c r="Q7673" s="1"/>
      <c r="R7673" s="1"/>
      <c r="S7673" s="1"/>
      <c r="T7673" s="1"/>
      <c r="U7673" s="1"/>
      <c r="V7673" s="1"/>
      <c r="W7673" s="1"/>
      <c r="X7673" s="1"/>
      <c r="Y7673" s="1"/>
      <c r="Z7673" s="1"/>
      <c r="AA7673" s="1"/>
      <c r="AB7673" s="1"/>
    </row>
    <row r="7674" ht="50.25" customHeight="1">
      <c r="A7674" s="12">
        <v>7670.0</v>
      </c>
      <c r="B7674" s="13" t="s">
        <v>7680</v>
      </c>
      <c r="C7674" s="18" t="s">
        <v>7699</v>
      </c>
      <c r="D7674" s="1"/>
      <c r="E7674" s="1"/>
      <c r="F7674" s="1" t="str">
        <f>IFERROR(__xludf.DUMMYFUNCTION("GOOGLETRANSLATE(B7674, ""en"", ""fa"")
"),"درخواست برای معلمان")</f>
        <v>درخواست برای معلمان</v>
      </c>
      <c r="G7674" s="1" t="str">
        <f>IFERROR(__xludf.DUMMYFUNCTION("GOOGLETRANSLATE(C7674, ""en"", ""fa"")
"),"استراتژی‌هایی را برای ترویج مشارکت مؤثر خانواده-مدرسه و مشارکت والدین در آموزش بررسی کنید.")</f>
        <v>استراتژی‌هایی را برای ترویج مشارکت مؤثر خانواده-مدرسه و مشارکت والدین در آموزش بررسی کنید.</v>
      </c>
      <c r="H7674" s="1"/>
      <c r="I7674" s="1"/>
      <c r="J7674" s="1"/>
      <c r="K7674" s="1"/>
      <c r="L7674" s="1"/>
      <c r="M7674" s="1"/>
      <c r="N7674" s="1"/>
      <c r="O7674" s="1"/>
      <c r="P7674" s="1"/>
      <c r="Q7674" s="1"/>
      <c r="R7674" s="1"/>
      <c r="S7674" s="1"/>
      <c r="T7674" s="1"/>
      <c r="U7674" s="1"/>
      <c r="V7674" s="1"/>
      <c r="W7674" s="1"/>
      <c r="X7674" s="1"/>
      <c r="Y7674" s="1"/>
      <c r="Z7674" s="1"/>
      <c r="AA7674" s="1"/>
      <c r="AB7674" s="1"/>
    </row>
    <row r="7675" ht="50.25" customHeight="1">
      <c r="A7675" s="12">
        <v>7671.0</v>
      </c>
      <c r="B7675" s="13" t="s">
        <v>7680</v>
      </c>
      <c r="C7675" s="18" t="s">
        <v>7700</v>
      </c>
      <c r="D7675" s="1"/>
      <c r="E7675" s="1"/>
      <c r="F7675" s="1" t="str">
        <f>IFERROR(__xludf.DUMMYFUNCTION("GOOGLETRANSLATE(B7675, ""en"", ""fa"")
"),"درخواست برای معلمان")</f>
        <v>درخواست برای معلمان</v>
      </c>
      <c r="G7675" s="1" t="str">
        <f>IFERROR(__xludf.DUMMYFUNCTION("GOOGLETRANSLATE(C7675, ""en"", ""fa"")
"),"در مورد اهمیت ارتباط مستمر و بازخورد در رهبری و مدیریت آموزشی بحث کنید.")</f>
        <v>در مورد اهمیت ارتباط مستمر و بازخورد در رهبری و مدیریت آموزشی بحث کنید.</v>
      </c>
      <c r="H7675" s="1"/>
      <c r="I7675" s="1"/>
      <c r="J7675" s="1"/>
      <c r="K7675" s="1"/>
      <c r="L7675" s="1"/>
      <c r="M7675" s="1"/>
      <c r="N7675" s="1"/>
      <c r="O7675" s="1"/>
      <c r="P7675" s="1"/>
      <c r="Q7675" s="1"/>
      <c r="R7675" s="1"/>
      <c r="S7675" s="1"/>
      <c r="T7675" s="1"/>
      <c r="U7675" s="1"/>
      <c r="V7675" s="1"/>
      <c r="W7675" s="1"/>
      <c r="X7675" s="1"/>
      <c r="Y7675" s="1"/>
      <c r="Z7675" s="1"/>
      <c r="AA7675" s="1"/>
      <c r="AB7675" s="1"/>
    </row>
    <row r="7676" ht="50.25" customHeight="1">
      <c r="A7676" s="12">
        <v>7672.0</v>
      </c>
      <c r="B7676" s="13" t="s">
        <v>7680</v>
      </c>
      <c r="C7676" s="18" t="s">
        <v>7701</v>
      </c>
      <c r="D7676" s="1"/>
      <c r="E7676" s="1"/>
      <c r="F7676" s="1" t="str">
        <f>IFERROR(__xludf.DUMMYFUNCTION("GOOGLETRANSLATE(B7676, ""en"", ""fa"")
"),"درخواست برای معلمان")</f>
        <v>درخواست برای معلمان</v>
      </c>
      <c r="G7676" s="1" t="str">
        <f>IFERROR(__xludf.DUMMYFUNCTION("GOOGLETRANSLATE(C7676, ""en"", ""fa"")
"),"تجربیات خود را با رهبری و مدیریت جوامع یادگیری حرفه ای موثر در میان کارکنان به اشتراک بگذارید.")</f>
        <v>تجربیات خود را با رهبری و مدیریت جوامع یادگیری حرفه ای موثر در میان کارکنان به اشتراک بگذارید.</v>
      </c>
      <c r="H7676" s="1"/>
      <c r="I7676" s="1"/>
      <c r="J7676" s="1"/>
      <c r="K7676" s="1"/>
      <c r="L7676" s="1"/>
      <c r="M7676" s="1"/>
      <c r="N7676" s="1"/>
      <c r="O7676" s="1"/>
      <c r="P7676" s="1"/>
      <c r="Q7676" s="1"/>
      <c r="R7676" s="1"/>
      <c r="S7676" s="1"/>
      <c r="T7676" s="1"/>
      <c r="U7676" s="1"/>
      <c r="V7676" s="1"/>
      <c r="W7676" s="1"/>
      <c r="X7676" s="1"/>
      <c r="Y7676" s="1"/>
      <c r="Z7676" s="1"/>
      <c r="AA7676" s="1"/>
      <c r="AB7676" s="1"/>
    </row>
    <row r="7677" ht="50.25" customHeight="1">
      <c r="A7677" s="12">
        <v>7673.0</v>
      </c>
      <c r="B7677" s="13" t="s">
        <v>7680</v>
      </c>
      <c r="C7677" s="18" t="s">
        <v>7702</v>
      </c>
      <c r="D7677" s="1"/>
      <c r="E7677" s="1"/>
      <c r="F7677" s="1" t="str">
        <f>IFERROR(__xludf.DUMMYFUNCTION("GOOGLETRANSLATE(B7677, ""en"", ""fa"")
"),"درخواست برای معلمان")</f>
        <v>درخواست برای معلمان</v>
      </c>
      <c r="G7677" s="1" t="str">
        <f>IFERROR(__xludf.DUMMYFUNCTION("GOOGLETRANSLATE(C7677, ""en"", ""fa"")
"),"استراتژی‌های ارتقای استقلال معلم و توانمندسازی در رهبری آموزشی را بررسی کنید.")</f>
        <v>استراتژی‌های ارتقای استقلال معلم و توانمندسازی در رهبری آموزشی را بررسی کنید.</v>
      </c>
      <c r="H7677" s="1"/>
      <c r="I7677" s="1"/>
      <c r="J7677" s="1"/>
      <c r="K7677" s="1"/>
      <c r="L7677" s="1"/>
      <c r="M7677" s="1"/>
      <c r="N7677" s="1"/>
      <c r="O7677" s="1"/>
      <c r="P7677" s="1"/>
      <c r="Q7677" s="1"/>
      <c r="R7677" s="1"/>
      <c r="S7677" s="1"/>
      <c r="T7677" s="1"/>
      <c r="U7677" s="1"/>
      <c r="V7677" s="1"/>
      <c r="W7677" s="1"/>
      <c r="X7677" s="1"/>
      <c r="Y7677" s="1"/>
      <c r="Z7677" s="1"/>
      <c r="AA7677" s="1"/>
      <c r="AB7677" s="1"/>
    </row>
    <row r="7678" ht="50.25" customHeight="1">
      <c r="A7678" s="12">
        <v>7674.0</v>
      </c>
      <c r="B7678" s="13" t="s">
        <v>7680</v>
      </c>
      <c r="C7678" s="18" t="s">
        <v>7703</v>
      </c>
      <c r="D7678" s="1"/>
      <c r="E7678" s="1"/>
      <c r="F7678" s="1" t="str">
        <f>IFERROR(__xludf.DUMMYFUNCTION("GOOGLETRANSLATE(B7678, ""en"", ""fa"")
"),"درخواست برای معلمان")</f>
        <v>درخواست برای معلمان</v>
      </c>
      <c r="G7678" s="1" t="str">
        <f>IFERROR(__xludf.DUMMYFUNCTION("GOOGLETRANSLATE(C7678, ""en"", ""fa"")
"),"درباره تأثیر رهبری آموزشی مؤثر بر رضایت شغلی معلمان و حفظ آنها بحث کنید.")</f>
        <v>درباره تأثیر رهبری آموزشی مؤثر بر رضایت شغلی معلمان و حفظ آنها بحث کنید.</v>
      </c>
      <c r="H7678" s="1"/>
      <c r="I7678" s="1"/>
      <c r="J7678" s="1"/>
      <c r="K7678" s="1"/>
      <c r="L7678" s="1"/>
      <c r="M7678" s="1"/>
      <c r="N7678" s="1"/>
      <c r="O7678" s="1"/>
      <c r="P7678" s="1"/>
      <c r="Q7678" s="1"/>
      <c r="R7678" s="1"/>
      <c r="S7678" s="1"/>
      <c r="T7678" s="1"/>
      <c r="U7678" s="1"/>
      <c r="V7678" s="1"/>
      <c r="W7678" s="1"/>
      <c r="X7678" s="1"/>
      <c r="Y7678" s="1"/>
      <c r="Z7678" s="1"/>
      <c r="AA7678" s="1"/>
      <c r="AB7678" s="1"/>
    </row>
    <row r="7679" ht="50.25" customHeight="1">
      <c r="A7679" s="12">
        <v>7675.0</v>
      </c>
      <c r="B7679" s="13" t="s">
        <v>7680</v>
      </c>
      <c r="C7679" s="18" t="s">
        <v>7704</v>
      </c>
      <c r="D7679" s="1"/>
      <c r="E7679" s="1"/>
      <c r="F7679" s="1" t="str">
        <f>IFERROR(__xludf.DUMMYFUNCTION("GOOGLETRANSLATE(B7679, ""en"", ""fa"")
"),"درخواست برای معلمان")</f>
        <v>درخواست برای معلمان</v>
      </c>
      <c r="G7679" s="1" t="str">
        <f>IFERROR(__xludf.DUMMYFUNCTION("GOOGLETRANSLATE(C7679, ""en"", ""fa"")
"),"بینش خود را در مورد نقش رهبران آموزشی در ارتقای یادگیری اجتماعی-عاطفی و رفاه در مدارس به اشتراک بگذارید.")</f>
        <v>بینش خود را در مورد نقش رهبران آموزشی در ارتقای یادگیری اجتماعی-عاطفی و رفاه در مدارس به اشتراک بگذارید.</v>
      </c>
      <c r="H7679" s="1"/>
      <c r="I7679" s="1"/>
      <c r="J7679" s="1"/>
      <c r="K7679" s="1"/>
      <c r="L7679" s="1"/>
      <c r="M7679" s="1"/>
      <c r="N7679" s="1"/>
      <c r="O7679" s="1"/>
      <c r="P7679" s="1"/>
      <c r="Q7679" s="1"/>
      <c r="R7679" s="1"/>
      <c r="S7679" s="1"/>
      <c r="T7679" s="1"/>
      <c r="U7679" s="1"/>
      <c r="V7679" s="1"/>
      <c r="W7679" s="1"/>
      <c r="X7679" s="1"/>
      <c r="Y7679" s="1"/>
      <c r="Z7679" s="1"/>
      <c r="AA7679" s="1"/>
      <c r="AB7679" s="1"/>
    </row>
    <row r="7680" ht="50.25" customHeight="1">
      <c r="A7680" s="12">
        <v>7676.0</v>
      </c>
      <c r="B7680" s="13" t="s">
        <v>7680</v>
      </c>
      <c r="C7680" s="18" t="s">
        <v>7705</v>
      </c>
      <c r="D7680" s="1"/>
      <c r="E7680" s="1"/>
      <c r="F7680" s="1" t="str">
        <f>IFERROR(__xludf.DUMMYFUNCTION("GOOGLETRANSLATE(B7680, ""en"", ""fa"")
"),"درخواست برای معلمان")</f>
        <v>درخواست برای معلمان</v>
      </c>
      <c r="G7680" s="1" t="str">
        <f>IFERROR(__xludf.DUMMYFUNCTION("GOOGLETRANSLATE(C7680, ""en"", ""fa"")
"),"استراتژی هایی را برای ایجاد یک فرهنگ کاری مثبت و حمایتی که برای همکاری و رشد حرفه ای ارزش قائل است، کاوش کنید.")</f>
        <v>استراتژی هایی را برای ایجاد یک فرهنگ کاری مثبت و حمایتی که برای همکاری و رشد حرفه ای ارزش قائل است، کاوش کنید.</v>
      </c>
      <c r="H7680" s="1"/>
      <c r="I7680" s="1"/>
      <c r="J7680" s="1"/>
      <c r="K7680" s="1"/>
      <c r="L7680" s="1"/>
      <c r="M7680" s="1"/>
      <c r="N7680" s="1"/>
      <c r="O7680" s="1"/>
      <c r="P7680" s="1"/>
      <c r="Q7680" s="1"/>
      <c r="R7680" s="1"/>
      <c r="S7680" s="1"/>
      <c r="T7680" s="1"/>
      <c r="U7680" s="1"/>
      <c r="V7680" s="1"/>
      <c r="W7680" s="1"/>
      <c r="X7680" s="1"/>
      <c r="Y7680" s="1"/>
      <c r="Z7680" s="1"/>
      <c r="AA7680" s="1"/>
      <c r="AB7680" s="1"/>
    </row>
    <row r="7681" ht="50.25" customHeight="1">
      <c r="A7681" s="12">
        <v>7677.0</v>
      </c>
      <c r="B7681" s="13" t="s">
        <v>7680</v>
      </c>
      <c r="C7681" s="18" t="s">
        <v>7706</v>
      </c>
      <c r="D7681" s="1"/>
      <c r="E7681" s="1"/>
      <c r="F7681" s="1" t="str">
        <f>IFERROR(__xludf.DUMMYFUNCTION("GOOGLETRANSLATE(B7681, ""en"", ""fa"")
"),"درخواست برای معلمان")</f>
        <v>درخواست برای معلمان</v>
      </c>
      <c r="G7681" s="1" t="str">
        <f>IFERROR(__xludf.DUMMYFUNCTION("GOOGLETRANSLATE(C7681, ""en"", ""fa"")
"),"در مورد اهمیت تصمیم گیری اخلاقی و صداقت در رهبری آموزشی بحث کنید.")</f>
        <v>در مورد اهمیت تصمیم گیری اخلاقی و صداقت در رهبری آموزشی بحث کنید.</v>
      </c>
      <c r="H7681" s="1"/>
      <c r="I7681" s="1"/>
      <c r="J7681" s="1"/>
      <c r="K7681" s="1"/>
      <c r="L7681" s="1"/>
      <c r="M7681" s="1"/>
      <c r="N7681" s="1"/>
      <c r="O7681" s="1"/>
      <c r="P7681" s="1"/>
      <c r="Q7681" s="1"/>
      <c r="R7681" s="1"/>
      <c r="S7681" s="1"/>
      <c r="T7681" s="1"/>
      <c r="U7681" s="1"/>
      <c r="V7681" s="1"/>
      <c r="W7681" s="1"/>
      <c r="X7681" s="1"/>
      <c r="Y7681" s="1"/>
      <c r="Z7681" s="1"/>
      <c r="AA7681" s="1"/>
      <c r="AB7681" s="1"/>
    </row>
    <row r="7682" ht="50.25" customHeight="1">
      <c r="A7682" s="12">
        <v>7678.0</v>
      </c>
      <c r="B7682" s="13" t="s">
        <v>7680</v>
      </c>
      <c r="C7682" s="18" t="s">
        <v>7707</v>
      </c>
      <c r="D7682" s="1"/>
      <c r="E7682" s="1"/>
      <c r="F7682" s="1" t="str">
        <f>IFERROR(__xludf.DUMMYFUNCTION("GOOGLETRANSLATE(B7682, ""en"", ""fa"")
"),"درخواست برای معلمان")</f>
        <v>درخواست برای معلمان</v>
      </c>
      <c r="G7682" s="1" t="str">
        <f>IFERROR(__xludf.DUMMYFUNCTION("GOOGLETRANSLATE(C7682, ""en"", ""fa"")
"),"تجربیات خود را با رهبری و مدیریت شیوه های ارزیابی موثر در سطح مدرسه و تجزیه و تحلیل داده ها به اشتراک بگذارید.")</f>
        <v>تجربیات خود را با رهبری و مدیریت شیوه های ارزیابی موثر در سطح مدرسه و تجزیه و تحلیل داده ها به اشتراک بگذارید.</v>
      </c>
      <c r="H7682" s="1"/>
      <c r="I7682" s="1"/>
      <c r="J7682" s="1"/>
      <c r="K7682" s="1"/>
      <c r="L7682" s="1"/>
      <c r="M7682" s="1"/>
      <c r="N7682" s="1"/>
      <c r="O7682" s="1"/>
      <c r="P7682" s="1"/>
      <c r="Q7682" s="1"/>
      <c r="R7682" s="1"/>
      <c r="S7682" s="1"/>
      <c r="T7682" s="1"/>
      <c r="U7682" s="1"/>
      <c r="V7682" s="1"/>
      <c r="W7682" s="1"/>
      <c r="X7682" s="1"/>
      <c r="Y7682" s="1"/>
      <c r="Z7682" s="1"/>
      <c r="AA7682" s="1"/>
      <c r="AB7682" s="1"/>
    </row>
    <row r="7683" ht="50.25" customHeight="1">
      <c r="A7683" s="12">
        <v>7679.0</v>
      </c>
      <c r="B7683" s="13" t="s">
        <v>7680</v>
      </c>
      <c r="C7683" s="18" t="s">
        <v>7708</v>
      </c>
      <c r="D7683" s="1"/>
      <c r="E7683" s="1"/>
      <c r="F7683" s="1" t="str">
        <f>IFERROR(__xludf.DUMMYFUNCTION("GOOGLETRANSLATE(B7683, ""en"", ""fa"")
"),"درخواست برای معلمان")</f>
        <v>درخواست برای معلمان</v>
      </c>
      <c r="G7683" s="1" t="str">
        <f>IFERROR(__xludf.DUMMYFUNCTION("GOOGLETRANSLATE(C7683, ""en"", ""fa"")
"),"استراتژی‌هایی را برای ترویج فرهنگ نوآوری و خلاقیت در بین کارکنان و دانش‌آموزان بررسی کنید.")</f>
        <v>استراتژی‌هایی را برای ترویج فرهنگ نوآوری و خلاقیت در بین کارکنان و دانش‌آموزان بررسی کنید.</v>
      </c>
      <c r="H7683" s="1"/>
      <c r="I7683" s="1"/>
      <c r="J7683" s="1"/>
      <c r="K7683" s="1"/>
      <c r="L7683" s="1"/>
      <c r="M7683" s="1"/>
      <c r="N7683" s="1"/>
      <c r="O7683" s="1"/>
      <c r="P7683" s="1"/>
      <c r="Q7683" s="1"/>
      <c r="R7683" s="1"/>
      <c r="S7683" s="1"/>
      <c r="T7683" s="1"/>
      <c r="U7683" s="1"/>
      <c r="V7683" s="1"/>
      <c r="W7683" s="1"/>
      <c r="X7683" s="1"/>
      <c r="Y7683" s="1"/>
      <c r="Z7683" s="1"/>
      <c r="AA7683" s="1"/>
      <c r="AB7683" s="1"/>
    </row>
    <row r="7684" ht="50.25" customHeight="1">
      <c r="A7684" s="12">
        <v>7680.0</v>
      </c>
      <c r="B7684" s="13" t="s">
        <v>7680</v>
      </c>
      <c r="C7684" s="18" t="s">
        <v>7709</v>
      </c>
      <c r="D7684" s="1"/>
      <c r="E7684" s="1"/>
      <c r="F7684" s="1" t="str">
        <f>IFERROR(__xludf.DUMMYFUNCTION("GOOGLETRANSLATE(B7684, ""en"", ""fa"")
"),"درخواست برای معلمان")</f>
        <v>درخواست برای معلمان</v>
      </c>
      <c r="G7684" s="1" t="str">
        <f>IFERROR(__xludf.DUMMYFUNCTION("GOOGLETRANSLATE(C7684, ""en"", ""fa"")
"),"درباره نقش رهبران آموزشی در رسیدگی و کاهش نابرابری های آموزشی بحث کنید.")</f>
        <v>درباره نقش رهبران آموزشی در رسیدگی و کاهش نابرابری های آموزشی بحث کنید.</v>
      </c>
      <c r="H7684" s="1"/>
      <c r="I7684" s="1"/>
      <c r="J7684" s="1"/>
      <c r="K7684" s="1"/>
      <c r="L7684" s="1"/>
      <c r="M7684" s="1"/>
      <c r="N7684" s="1"/>
      <c r="O7684" s="1"/>
      <c r="P7684" s="1"/>
      <c r="Q7684" s="1"/>
      <c r="R7684" s="1"/>
      <c r="S7684" s="1"/>
      <c r="T7684" s="1"/>
      <c r="U7684" s="1"/>
      <c r="V7684" s="1"/>
      <c r="W7684" s="1"/>
      <c r="X7684" s="1"/>
      <c r="Y7684" s="1"/>
      <c r="Z7684" s="1"/>
      <c r="AA7684" s="1"/>
      <c r="AB7684" s="1"/>
    </row>
    <row r="7685" ht="50.25" customHeight="1">
      <c r="A7685" s="12">
        <v>7681.0</v>
      </c>
      <c r="B7685" s="13" t="s">
        <v>7680</v>
      </c>
      <c r="C7685" s="18" t="s">
        <v>7710</v>
      </c>
      <c r="D7685" s="1"/>
      <c r="E7685" s="1"/>
      <c r="F7685" s="1" t="str">
        <f>IFERROR(__xludf.DUMMYFUNCTION("GOOGLETRANSLATE(B7685, ""en"", ""fa"")
"),"درخواست برای معلمان")</f>
        <v>درخواست برای معلمان</v>
      </c>
      <c r="G7685" s="1" t="str">
        <f>IFERROR(__xludf.DUMMYFUNCTION("GOOGLETRANSLATE(C7685, ""en"", ""fa"")
"),"بینش خود را در مورد استراتژی های موثر برای ایجاد و حفظ مشارکت با سازمان های خارجی و ذینفعان به اشتراک بگذارید.")</f>
        <v>بینش خود را در مورد استراتژی های موثر برای ایجاد و حفظ مشارکت با سازمان های خارجی و ذینفعان به اشتراک بگذارید.</v>
      </c>
      <c r="H7685" s="1"/>
      <c r="I7685" s="1"/>
      <c r="J7685" s="1"/>
      <c r="K7685" s="1"/>
      <c r="L7685" s="1"/>
      <c r="M7685" s="1"/>
      <c r="N7685" s="1"/>
      <c r="O7685" s="1"/>
      <c r="P7685" s="1"/>
      <c r="Q7685" s="1"/>
      <c r="R7685" s="1"/>
      <c r="S7685" s="1"/>
      <c r="T7685" s="1"/>
      <c r="U7685" s="1"/>
      <c r="V7685" s="1"/>
      <c r="W7685" s="1"/>
      <c r="X7685" s="1"/>
      <c r="Y7685" s="1"/>
      <c r="Z7685" s="1"/>
      <c r="AA7685" s="1"/>
      <c r="AB7685" s="1"/>
    </row>
    <row r="7686" ht="50.25" customHeight="1">
      <c r="A7686" s="12">
        <v>7682.0</v>
      </c>
      <c r="B7686" s="13" t="s">
        <v>7680</v>
      </c>
      <c r="C7686" s="18" t="s">
        <v>7711</v>
      </c>
      <c r="D7686" s="1"/>
      <c r="E7686" s="1"/>
      <c r="F7686" s="1" t="str">
        <f>IFERROR(__xludf.DUMMYFUNCTION("GOOGLETRANSLATE(B7686, ""en"", ""fa"")
"),"درخواست برای معلمان")</f>
        <v>درخواست برای معلمان</v>
      </c>
      <c r="G7686" s="1" t="str">
        <f>IFERROR(__xludf.DUMMYFUNCTION("GOOGLETRANSLATE(C7686, ""en"", ""fa"")
"),"استراتژی‌هایی را برای پرورش فرهنگ بهبود مستمر و یادگیری در میان کارکنان بررسی کنید.")</f>
        <v>استراتژی‌هایی را برای پرورش فرهنگ بهبود مستمر و یادگیری در میان کارکنان بررسی کنید.</v>
      </c>
      <c r="H7686" s="1"/>
      <c r="I7686" s="1"/>
      <c r="J7686" s="1"/>
      <c r="K7686" s="1"/>
      <c r="L7686" s="1"/>
      <c r="M7686" s="1"/>
      <c r="N7686" s="1"/>
      <c r="O7686" s="1"/>
      <c r="P7686" s="1"/>
      <c r="Q7686" s="1"/>
      <c r="R7686" s="1"/>
      <c r="S7686" s="1"/>
      <c r="T7686" s="1"/>
      <c r="U7686" s="1"/>
      <c r="V7686" s="1"/>
      <c r="W7686" s="1"/>
      <c r="X7686" s="1"/>
      <c r="Y7686" s="1"/>
      <c r="Z7686" s="1"/>
      <c r="AA7686" s="1"/>
      <c r="AB7686" s="1"/>
    </row>
    <row r="7687" ht="50.25" customHeight="1">
      <c r="A7687" s="12">
        <v>7683.0</v>
      </c>
      <c r="B7687" s="13" t="s">
        <v>7680</v>
      </c>
      <c r="C7687" s="18" t="s">
        <v>7712</v>
      </c>
      <c r="D7687" s="1"/>
      <c r="E7687" s="1"/>
      <c r="F7687" s="1" t="str">
        <f>IFERROR(__xludf.DUMMYFUNCTION("GOOGLETRANSLATE(B7687, ""en"", ""fa"")
"),"درخواست برای معلمان")</f>
        <v>درخواست برای معلمان</v>
      </c>
      <c r="G7687" s="1" t="str">
        <f>IFERROR(__xludf.DUMMYFUNCTION("GOOGLETRANSLATE(C7687, ""en"", ""fa"")
"),"در مورد اهمیت مربیگری و حمایت آموزشی در رهبری و مدیریت آموزشی بحث کنید.")</f>
        <v>در مورد اهمیت مربیگری و حمایت آموزشی در رهبری و مدیریت آموزشی بحث کنید.</v>
      </c>
      <c r="H7687" s="1"/>
      <c r="I7687" s="1"/>
      <c r="J7687" s="1"/>
      <c r="K7687" s="1"/>
      <c r="L7687" s="1"/>
      <c r="M7687" s="1"/>
      <c r="N7687" s="1"/>
      <c r="O7687" s="1"/>
      <c r="P7687" s="1"/>
      <c r="Q7687" s="1"/>
      <c r="R7687" s="1"/>
      <c r="S7687" s="1"/>
      <c r="T7687" s="1"/>
      <c r="U7687" s="1"/>
      <c r="V7687" s="1"/>
      <c r="W7687" s="1"/>
      <c r="X7687" s="1"/>
      <c r="Y7687" s="1"/>
      <c r="Z7687" s="1"/>
      <c r="AA7687" s="1"/>
      <c r="AB7687" s="1"/>
    </row>
    <row r="7688" ht="50.25" customHeight="1">
      <c r="A7688" s="12">
        <v>7684.0</v>
      </c>
      <c r="B7688" s="13" t="s">
        <v>7680</v>
      </c>
      <c r="C7688" s="18" t="s">
        <v>7713</v>
      </c>
      <c r="D7688" s="1"/>
      <c r="E7688" s="1"/>
      <c r="F7688" s="1" t="str">
        <f>IFERROR(__xludf.DUMMYFUNCTION("GOOGLETRANSLATE(B7688, ""en"", ""fa"")
"),"درخواست برای معلمان")</f>
        <v>درخواست برای معلمان</v>
      </c>
      <c r="G7688" s="1" t="str">
        <f>IFERROR(__xludf.DUMMYFUNCTION("GOOGLETRANSLATE(C7688, ""en"", ""fa"")
"),"تجربیات خود را با رهبری و مدیریت طرح های موفق یکپارچه سازی فناوری در سطح مدرسه به اشتراک بگذارید.")</f>
        <v>تجربیات خود را با رهبری و مدیریت طرح های موفق یکپارچه سازی فناوری در سطح مدرسه به اشتراک بگذارید.</v>
      </c>
      <c r="H7688" s="1"/>
      <c r="I7688" s="1"/>
      <c r="J7688" s="1"/>
      <c r="K7688" s="1"/>
      <c r="L7688" s="1"/>
      <c r="M7688" s="1"/>
      <c r="N7688" s="1"/>
      <c r="O7688" s="1"/>
      <c r="P7688" s="1"/>
      <c r="Q7688" s="1"/>
      <c r="R7688" s="1"/>
      <c r="S7688" s="1"/>
      <c r="T7688" s="1"/>
      <c r="U7688" s="1"/>
      <c r="V7688" s="1"/>
      <c r="W7688" s="1"/>
      <c r="X7688" s="1"/>
      <c r="Y7688" s="1"/>
      <c r="Z7688" s="1"/>
      <c r="AA7688" s="1"/>
      <c r="AB7688" s="1"/>
    </row>
    <row r="7689" ht="50.25" customHeight="1">
      <c r="A7689" s="12">
        <v>7685.0</v>
      </c>
      <c r="B7689" s="13" t="s">
        <v>7680</v>
      </c>
      <c r="C7689" s="18" t="s">
        <v>7714</v>
      </c>
      <c r="D7689" s="1"/>
      <c r="E7689" s="1"/>
      <c r="F7689" s="1" t="str">
        <f>IFERROR(__xludf.DUMMYFUNCTION("GOOGLETRANSLATE(B7689, ""en"", ""fa"")
"),"درخواست برای معلمان")</f>
        <v>درخواست برای معلمان</v>
      </c>
      <c r="G7689" s="1" t="str">
        <f>IFERROR(__xludf.DUMMYFUNCTION("GOOGLETRANSLATE(C7689, ""en"", ""fa"")
"),"استراتژی‌هایی را برای ارتقای ارتباط و همکاری مؤثر بین رهبران و کارکنان مدرسه بررسی کنید.")</f>
        <v>استراتژی‌هایی را برای ارتقای ارتباط و همکاری مؤثر بین رهبران و کارکنان مدرسه بررسی کنید.</v>
      </c>
      <c r="H7689" s="1"/>
      <c r="I7689" s="1"/>
      <c r="J7689" s="1"/>
      <c r="K7689" s="1"/>
      <c r="L7689" s="1"/>
      <c r="M7689" s="1"/>
      <c r="N7689" s="1"/>
      <c r="O7689" s="1"/>
      <c r="P7689" s="1"/>
      <c r="Q7689" s="1"/>
      <c r="R7689" s="1"/>
      <c r="S7689" s="1"/>
      <c r="T7689" s="1"/>
      <c r="U7689" s="1"/>
      <c r="V7689" s="1"/>
      <c r="W7689" s="1"/>
      <c r="X7689" s="1"/>
      <c r="Y7689" s="1"/>
      <c r="Z7689" s="1"/>
      <c r="AA7689" s="1"/>
      <c r="AB7689" s="1"/>
    </row>
    <row r="7690" ht="50.25" customHeight="1">
      <c r="A7690" s="12">
        <v>7686.0</v>
      </c>
      <c r="B7690" s="13" t="s">
        <v>7680</v>
      </c>
      <c r="C7690" s="18" t="s">
        <v>7715</v>
      </c>
      <c r="D7690" s="1"/>
      <c r="E7690" s="1"/>
      <c r="F7690" s="1" t="str">
        <f>IFERROR(__xludf.DUMMYFUNCTION("GOOGLETRANSLATE(B7690, ""en"", ""fa"")
"),"درخواست برای معلمان")</f>
        <v>درخواست برای معلمان</v>
      </c>
      <c r="G7690" s="1" t="str">
        <f>IFERROR(__xludf.DUMMYFUNCTION("GOOGLETRANSLATE(C7690, ""en"", ""fa"")
"),"درباره تأثیر رهبری آموزشی مؤثر بر روحیه معلمان و رضایت شغلی بحث کنید.")</f>
        <v>درباره تأثیر رهبری آموزشی مؤثر بر روحیه معلمان و رضایت شغلی بحث کنید.</v>
      </c>
      <c r="H7690" s="1"/>
      <c r="I7690" s="1"/>
      <c r="J7690" s="1"/>
      <c r="K7690" s="1"/>
      <c r="L7690" s="1"/>
      <c r="M7690" s="1"/>
      <c r="N7690" s="1"/>
      <c r="O7690" s="1"/>
      <c r="P7690" s="1"/>
      <c r="Q7690" s="1"/>
      <c r="R7690" s="1"/>
      <c r="S7690" s="1"/>
      <c r="T7690" s="1"/>
      <c r="U7690" s="1"/>
      <c r="V7690" s="1"/>
      <c r="W7690" s="1"/>
      <c r="X7690" s="1"/>
      <c r="Y7690" s="1"/>
      <c r="Z7690" s="1"/>
      <c r="AA7690" s="1"/>
      <c r="AB7690" s="1"/>
    </row>
    <row r="7691" ht="50.25" customHeight="1">
      <c r="A7691" s="12">
        <v>7687.0</v>
      </c>
      <c r="B7691" s="13" t="s">
        <v>7680</v>
      </c>
      <c r="C7691" s="18" t="s">
        <v>7716</v>
      </c>
      <c r="D7691" s="1"/>
      <c r="E7691" s="1"/>
      <c r="F7691" s="1" t="str">
        <f>IFERROR(__xludf.DUMMYFUNCTION("GOOGLETRANSLATE(B7691, ""en"", ""fa"")
"),"درخواست برای معلمان")</f>
        <v>درخواست برای معلمان</v>
      </c>
      <c r="G7691" s="1" t="str">
        <f>IFERROR(__xludf.DUMMYFUNCTION("GOOGLETRANSLATE(C7691, ""en"", ""fa"")
"),"در مورد اهمیت ایجاد شراکت قوی و ارتباط موثر با والدین بحث کنید.")</f>
        <v>در مورد اهمیت ایجاد شراکت قوی و ارتباط موثر با والدین بحث کنید.</v>
      </c>
      <c r="H7691" s="1"/>
      <c r="I7691" s="1"/>
      <c r="J7691" s="1"/>
      <c r="K7691" s="1"/>
      <c r="L7691" s="1"/>
      <c r="M7691" s="1"/>
      <c r="N7691" s="1"/>
      <c r="O7691" s="1"/>
      <c r="P7691" s="1"/>
      <c r="Q7691" s="1"/>
      <c r="R7691" s="1"/>
      <c r="S7691" s="1"/>
      <c r="T7691" s="1"/>
      <c r="U7691" s="1"/>
      <c r="V7691" s="1"/>
      <c r="W7691" s="1"/>
      <c r="X7691" s="1"/>
      <c r="Y7691" s="1"/>
      <c r="Z7691" s="1"/>
      <c r="AA7691" s="1"/>
      <c r="AB7691" s="1"/>
    </row>
    <row r="7692" ht="50.25" customHeight="1">
      <c r="A7692" s="12">
        <v>7688.0</v>
      </c>
      <c r="B7692" s="13" t="s">
        <v>7680</v>
      </c>
      <c r="C7692" s="18" t="s">
        <v>7717</v>
      </c>
      <c r="D7692" s="1"/>
      <c r="E7692" s="1"/>
      <c r="F7692" s="1" t="str">
        <f>IFERROR(__xludf.DUMMYFUNCTION("GOOGLETRANSLATE(B7692, ""en"", ""fa"")
"),"درخواست برای معلمان")</f>
        <v>درخواست برای معلمان</v>
      </c>
      <c r="G7692" s="1" t="str">
        <f>IFERROR(__xludf.DUMMYFUNCTION("GOOGLETRANSLATE(C7692, ""en"", ""fa"")
"),"راهبردهایی را برای مشارکت دادن والدین در آموزش فرزندشان و تقویت یک رابطه مشارکتی به اشتراک بگذارید.")</f>
        <v>راهبردهایی را برای مشارکت دادن والدین در آموزش فرزندشان و تقویت یک رابطه مشارکتی به اشتراک بگذارید.</v>
      </c>
      <c r="H7692" s="1"/>
      <c r="I7692" s="1"/>
      <c r="J7692" s="1"/>
      <c r="K7692" s="1"/>
      <c r="L7692" s="1"/>
      <c r="M7692" s="1"/>
      <c r="N7692" s="1"/>
      <c r="O7692" s="1"/>
      <c r="P7692" s="1"/>
      <c r="Q7692" s="1"/>
      <c r="R7692" s="1"/>
      <c r="S7692" s="1"/>
      <c r="T7692" s="1"/>
      <c r="U7692" s="1"/>
      <c r="V7692" s="1"/>
      <c r="W7692" s="1"/>
      <c r="X7692" s="1"/>
      <c r="Y7692" s="1"/>
      <c r="Z7692" s="1"/>
      <c r="AA7692" s="1"/>
      <c r="AB7692" s="1"/>
    </row>
    <row r="7693" ht="50.25" customHeight="1">
      <c r="A7693" s="12">
        <v>7689.0</v>
      </c>
      <c r="B7693" s="13" t="s">
        <v>7680</v>
      </c>
      <c r="C7693" s="18" t="s">
        <v>7718</v>
      </c>
      <c r="D7693" s="1"/>
      <c r="E7693" s="1"/>
      <c r="F7693" s="1" t="str">
        <f>IFERROR(__xludf.DUMMYFUNCTION("GOOGLETRANSLATE(B7693, ""en"", ""fa"")
"),"درخواست برای معلمان")</f>
        <v>درخواست برای معلمان</v>
      </c>
      <c r="G7693" s="1" t="str">
        <f>IFERROR(__xludf.DUMMYFUNCTION("GOOGLETRANSLATE(C7693, ""en"", ""fa"")
"),"راه‌هایی برای رسیدگی به تعاملات چالش‌برانگیز والدین و معلمان و حفظ ارتباطات مثبت را بررسی کنید.")</f>
        <v>راه‌هایی برای رسیدگی به تعاملات چالش‌برانگیز والدین و معلمان و حفظ ارتباطات مثبت را بررسی کنید.</v>
      </c>
      <c r="H7693" s="1"/>
      <c r="I7693" s="1"/>
      <c r="J7693" s="1"/>
      <c r="K7693" s="1"/>
      <c r="L7693" s="1"/>
      <c r="M7693" s="1"/>
      <c r="N7693" s="1"/>
      <c r="O7693" s="1"/>
      <c r="P7693" s="1"/>
      <c r="Q7693" s="1"/>
      <c r="R7693" s="1"/>
      <c r="S7693" s="1"/>
      <c r="T7693" s="1"/>
      <c r="U7693" s="1"/>
      <c r="V7693" s="1"/>
      <c r="W7693" s="1"/>
      <c r="X7693" s="1"/>
      <c r="Y7693" s="1"/>
      <c r="Z7693" s="1"/>
      <c r="AA7693" s="1"/>
      <c r="AB7693" s="1"/>
    </row>
    <row r="7694" ht="50.25" customHeight="1">
      <c r="A7694" s="12">
        <v>7690.0</v>
      </c>
      <c r="B7694" s="13" t="s">
        <v>7680</v>
      </c>
      <c r="C7694" s="18" t="s">
        <v>7719</v>
      </c>
      <c r="D7694" s="1"/>
      <c r="E7694" s="1"/>
      <c r="F7694" s="1" t="str">
        <f>IFERROR(__xludf.DUMMYFUNCTION("GOOGLETRANSLATE(B7694, ""en"", ""fa"")
"),"درخواست برای معلمان")</f>
        <v>درخواست برای معلمان</v>
      </c>
      <c r="G7694" s="1" t="str">
        <f>IFERROR(__xludf.DUMMYFUNCTION("GOOGLETRANSLATE(C7694, ""en"", ""fa"")
"),"در مورد اهمیت مشارکت قوی معلم و والدین در حمایت از موفقیت دانش آموزان بحث کنید.")</f>
        <v>در مورد اهمیت مشارکت قوی معلم و والدین در حمایت از موفقیت دانش آموزان بحث کنید.</v>
      </c>
      <c r="H7694" s="1"/>
      <c r="I7694" s="1"/>
      <c r="J7694" s="1"/>
      <c r="K7694" s="1"/>
      <c r="L7694" s="1"/>
      <c r="M7694" s="1"/>
      <c r="N7694" s="1"/>
      <c r="O7694" s="1"/>
      <c r="P7694" s="1"/>
      <c r="Q7694" s="1"/>
      <c r="R7694" s="1"/>
      <c r="S7694" s="1"/>
      <c r="T7694" s="1"/>
      <c r="U7694" s="1"/>
      <c r="V7694" s="1"/>
      <c r="W7694" s="1"/>
      <c r="X7694" s="1"/>
      <c r="Y7694" s="1"/>
      <c r="Z7694" s="1"/>
      <c r="AA7694" s="1"/>
      <c r="AB7694" s="1"/>
    </row>
    <row r="7695" ht="50.25" customHeight="1">
      <c r="A7695" s="12">
        <v>7691.0</v>
      </c>
      <c r="B7695" s="13" t="s">
        <v>7680</v>
      </c>
      <c r="C7695" s="18" t="s">
        <v>7720</v>
      </c>
      <c r="D7695" s="1"/>
      <c r="E7695" s="1"/>
      <c r="F7695" s="1" t="str">
        <f>IFERROR(__xludf.DUMMYFUNCTION("GOOGLETRANSLATE(B7695, ""en"", ""fa"")
"),"درخواست برای معلمان")</f>
        <v>درخواست برای معلمان</v>
      </c>
      <c r="G7695" s="1" t="str">
        <f>IFERROR(__xludf.DUMMYFUNCTION("GOOGLETRANSLATE(C7695, ""en"", ""fa"")
"),"راهبردهای ایجاد کانال های ارتباطی مثبت و مؤثر را با والدین به اشتراک بگذارید.")</f>
        <v>راهبردهای ایجاد کانال های ارتباطی مثبت و مؤثر را با والدین به اشتراک بگذارید.</v>
      </c>
      <c r="H7695" s="1"/>
      <c r="I7695" s="1"/>
      <c r="J7695" s="1"/>
      <c r="K7695" s="1"/>
      <c r="L7695" s="1"/>
      <c r="M7695" s="1"/>
      <c r="N7695" s="1"/>
      <c r="O7695" s="1"/>
      <c r="P7695" s="1"/>
      <c r="Q7695" s="1"/>
      <c r="R7695" s="1"/>
      <c r="S7695" s="1"/>
      <c r="T7695" s="1"/>
      <c r="U7695" s="1"/>
      <c r="V7695" s="1"/>
      <c r="W7695" s="1"/>
      <c r="X7695" s="1"/>
      <c r="Y7695" s="1"/>
      <c r="Z7695" s="1"/>
      <c r="AA7695" s="1"/>
      <c r="AB7695" s="1"/>
    </row>
    <row r="7696" ht="50.25" customHeight="1">
      <c r="A7696" s="12">
        <v>7692.0</v>
      </c>
      <c r="B7696" s="13" t="s">
        <v>7680</v>
      </c>
      <c r="C7696" s="18" t="s">
        <v>7721</v>
      </c>
      <c r="D7696" s="1"/>
      <c r="E7696" s="1"/>
      <c r="F7696" s="1" t="str">
        <f>IFERROR(__xludf.DUMMYFUNCTION("GOOGLETRANSLATE(B7696, ""en"", ""fa"")
"),"درخواست برای معلمان")</f>
        <v>درخواست برای معلمان</v>
      </c>
      <c r="G7696" s="1" t="str">
        <f>IFERROR(__xludf.DUMMYFUNCTION("GOOGLETRANSLATE(C7696, ""en"", ""fa"")
"),"مزایای مشارکت والدین در کلاس درس و فعالیت های مدرسه را بررسی کنید.")</f>
        <v>مزایای مشارکت والدین در کلاس درس و فعالیت های مدرسه را بررسی کنید.</v>
      </c>
      <c r="H7696" s="1"/>
      <c r="I7696" s="1"/>
      <c r="J7696" s="1"/>
      <c r="K7696" s="1"/>
      <c r="L7696" s="1"/>
      <c r="M7696" s="1"/>
      <c r="N7696" s="1"/>
      <c r="O7696" s="1"/>
      <c r="P7696" s="1"/>
      <c r="Q7696" s="1"/>
      <c r="R7696" s="1"/>
      <c r="S7696" s="1"/>
      <c r="T7696" s="1"/>
      <c r="U7696" s="1"/>
      <c r="V7696" s="1"/>
      <c r="W7696" s="1"/>
      <c r="X7696" s="1"/>
      <c r="Y7696" s="1"/>
      <c r="Z7696" s="1"/>
      <c r="AA7696" s="1"/>
      <c r="AB7696" s="1"/>
    </row>
    <row r="7697" ht="50.25" customHeight="1">
      <c r="A7697" s="12">
        <v>7693.0</v>
      </c>
      <c r="B7697" s="13" t="s">
        <v>7680</v>
      </c>
      <c r="C7697" s="18" t="s">
        <v>7722</v>
      </c>
      <c r="D7697" s="1"/>
      <c r="E7697" s="1"/>
      <c r="F7697" s="1" t="str">
        <f>IFERROR(__xludf.DUMMYFUNCTION("GOOGLETRANSLATE(B7697, ""en"", ""fa"")
"),"درخواست برای معلمان")</f>
        <v>درخواست برای معلمان</v>
      </c>
      <c r="G7697" s="1" t="str">
        <f>IFERROR(__xludf.DUMMYFUNCTION("GOOGLETRANSLATE(C7697, ""en"", ""fa"")
"),"در مورد نقش مشارکت والدین در حمایت از انگیزه و مشارکت دانش آموزان بحث کنید.")</f>
        <v>در مورد نقش مشارکت والدین در حمایت از انگیزه و مشارکت دانش آموزان بحث کنید.</v>
      </c>
      <c r="H7697" s="1"/>
      <c r="I7697" s="1"/>
      <c r="J7697" s="1"/>
      <c r="K7697" s="1"/>
      <c r="L7697" s="1"/>
      <c r="M7697" s="1"/>
      <c r="N7697" s="1"/>
      <c r="O7697" s="1"/>
      <c r="P7697" s="1"/>
      <c r="Q7697" s="1"/>
      <c r="R7697" s="1"/>
      <c r="S7697" s="1"/>
      <c r="T7697" s="1"/>
      <c r="U7697" s="1"/>
      <c r="V7697" s="1"/>
      <c r="W7697" s="1"/>
      <c r="X7697" s="1"/>
      <c r="Y7697" s="1"/>
      <c r="Z7697" s="1"/>
      <c r="AA7697" s="1"/>
      <c r="AB7697" s="1"/>
    </row>
    <row r="7698" ht="50.25" customHeight="1">
      <c r="A7698" s="12">
        <v>7694.0</v>
      </c>
      <c r="B7698" s="13" t="s">
        <v>7680</v>
      </c>
      <c r="C7698" s="18" t="s">
        <v>7723</v>
      </c>
      <c r="D7698" s="1"/>
      <c r="E7698" s="1"/>
      <c r="F7698" s="1" t="str">
        <f>IFERROR(__xludf.DUMMYFUNCTION("GOOGLETRANSLATE(B7698, ""en"", ""fa"")
"),"درخواست برای معلمان")</f>
        <v>درخواست برای معلمان</v>
      </c>
      <c r="G7698" s="1" t="str">
        <f>IFERROR(__xludf.DUMMYFUNCTION("GOOGLETRANSLATE(C7698, ""en"", ""fa"")
"),"بینش خود را در مورد استراتژی های موثر برای ایجاد اعتماد و ایجاد رابطه با والدین به اشتراک بگذارید.")</f>
        <v>بینش خود را در مورد استراتژی های موثر برای ایجاد اعتماد و ایجاد رابطه با والدین به اشتراک بگذارید.</v>
      </c>
      <c r="H7698" s="1"/>
      <c r="I7698" s="1"/>
      <c r="J7698" s="1"/>
      <c r="K7698" s="1"/>
      <c r="L7698" s="1"/>
      <c r="M7698" s="1"/>
      <c r="N7698" s="1"/>
      <c r="O7698" s="1"/>
      <c r="P7698" s="1"/>
      <c r="Q7698" s="1"/>
      <c r="R7698" s="1"/>
      <c r="S7698" s="1"/>
      <c r="T7698" s="1"/>
      <c r="U7698" s="1"/>
      <c r="V7698" s="1"/>
      <c r="W7698" s="1"/>
      <c r="X7698" s="1"/>
      <c r="Y7698" s="1"/>
      <c r="Z7698" s="1"/>
      <c r="AA7698" s="1"/>
      <c r="AB7698" s="1"/>
    </row>
    <row r="7699" ht="50.25" customHeight="1">
      <c r="A7699" s="12">
        <v>7695.0</v>
      </c>
      <c r="B7699" s="13" t="s">
        <v>7680</v>
      </c>
      <c r="C7699" s="18" t="s">
        <v>7724</v>
      </c>
      <c r="D7699" s="1"/>
      <c r="E7699" s="1"/>
      <c r="F7699" s="1" t="str">
        <f>IFERROR(__xludf.DUMMYFUNCTION("GOOGLETRANSLATE(B7699, ""en"", ""fa"")
"),"درخواست برای معلمان")</f>
        <v>درخواست برای معلمان</v>
      </c>
      <c r="G7699" s="1" t="str">
        <f>IFERROR(__xludf.DUMMYFUNCTION("GOOGLETRANSLATE(C7699, ""en"", ""fa"")
"),"راه‌هایی را برای انتقال مؤثر پیشرفت و دستاوردهای دانش‌آموز به والدین بررسی کنید.")</f>
        <v>راه‌هایی را برای انتقال مؤثر پیشرفت و دستاوردهای دانش‌آموز به والدین بررسی کنید.</v>
      </c>
      <c r="H7699" s="1"/>
      <c r="I7699" s="1"/>
      <c r="J7699" s="1"/>
      <c r="K7699" s="1"/>
      <c r="L7699" s="1"/>
      <c r="M7699" s="1"/>
      <c r="N7699" s="1"/>
      <c r="O7699" s="1"/>
      <c r="P7699" s="1"/>
      <c r="Q7699" s="1"/>
      <c r="R7699" s="1"/>
      <c r="S7699" s="1"/>
      <c r="T7699" s="1"/>
      <c r="U7699" s="1"/>
      <c r="V7699" s="1"/>
      <c r="W7699" s="1"/>
      <c r="X7699" s="1"/>
      <c r="Y7699" s="1"/>
      <c r="Z7699" s="1"/>
      <c r="AA7699" s="1"/>
      <c r="AB7699" s="1"/>
    </row>
    <row r="7700" ht="50.25" customHeight="1">
      <c r="A7700" s="12">
        <v>7696.0</v>
      </c>
      <c r="B7700" s="13" t="s">
        <v>7680</v>
      </c>
      <c r="C7700" s="18" t="s">
        <v>7725</v>
      </c>
      <c r="D7700" s="1"/>
      <c r="E7700" s="1"/>
      <c r="F7700" s="1" t="str">
        <f>IFERROR(__xludf.DUMMYFUNCTION("GOOGLETRANSLATE(B7700, ""en"", ""fa"")
"),"درخواست برای معلمان")</f>
        <v>درخواست برای معلمان</v>
      </c>
      <c r="G7700" s="1" t="str">
        <f>IFERROR(__xludf.DUMMYFUNCTION("GOOGLETRANSLATE(C7700, ""en"", ""fa"")
"),"در مورد تأثیر مشارکت والدین بر حضور دانش آموزان و عملکرد تحصیلی بحث کنید.")</f>
        <v>در مورد تأثیر مشارکت والدین بر حضور دانش آموزان و عملکرد تحصیلی بحث کنید.</v>
      </c>
      <c r="H7700" s="1"/>
      <c r="I7700" s="1"/>
      <c r="J7700" s="1"/>
      <c r="K7700" s="1"/>
      <c r="L7700" s="1"/>
      <c r="M7700" s="1"/>
      <c r="N7700" s="1"/>
      <c r="O7700" s="1"/>
      <c r="P7700" s="1"/>
      <c r="Q7700" s="1"/>
      <c r="R7700" s="1"/>
      <c r="S7700" s="1"/>
      <c r="T7700" s="1"/>
      <c r="U7700" s="1"/>
      <c r="V7700" s="1"/>
      <c r="W7700" s="1"/>
      <c r="X7700" s="1"/>
      <c r="Y7700" s="1"/>
      <c r="Z7700" s="1"/>
      <c r="AA7700" s="1"/>
      <c r="AB7700" s="1"/>
    </row>
    <row r="7701" ht="50.25" customHeight="1">
      <c r="A7701" s="12">
        <v>7697.0</v>
      </c>
      <c r="B7701" s="13" t="s">
        <v>7680</v>
      </c>
      <c r="C7701" s="18" t="s">
        <v>7726</v>
      </c>
      <c r="D7701" s="1"/>
      <c r="E7701" s="1"/>
      <c r="F7701" s="1" t="str">
        <f>IFERROR(__xludf.DUMMYFUNCTION("GOOGLETRANSLATE(B7701, ""en"", ""fa"")
"),"درخواست برای معلمان")</f>
        <v>درخواست برای معلمان</v>
      </c>
      <c r="G7701" s="1" t="str">
        <f>IFERROR(__xludf.DUMMYFUNCTION("GOOGLETRANSLATE(C7701, ""en"", ""fa"")
"),"تجربیات خود را در کنفرانس ها و جلسات موفق والدین و معلمان به اشتراک بگذارید.")</f>
        <v>تجربیات خود را در کنفرانس ها و جلسات موفق والدین و معلمان به اشتراک بگذارید.</v>
      </c>
      <c r="H7701" s="1"/>
      <c r="I7701" s="1"/>
      <c r="J7701" s="1"/>
      <c r="K7701" s="1"/>
      <c r="L7701" s="1"/>
      <c r="M7701" s="1"/>
      <c r="N7701" s="1"/>
      <c r="O7701" s="1"/>
      <c r="P7701" s="1"/>
      <c r="Q7701" s="1"/>
      <c r="R7701" s="1"/>
      <c r="S7701" s="1"/>
      <c r="T7701" s="1"/>
      <c r="U7701" s="1"/>
      <c r="V7701" s="1"/>
      <c r="W7701" s="1"/>
      <c r="X7701" s="1"/>
      <c r="Y7701" s="1"/>
      <c r="Z7701" s="1"/>
      <c r="AA7701" s="1"/>
      <c r="AB7701" s="1"/>
    </row>
    <row r="7702" ht="50.25" customHeight="1">
      <c r="A7702" s="12">
        <v>7698.0</v>
      </c>
      <c r="B7702" s="13" t="s">
        <v>7680</v>
      </c>
      <c r="C7702" s="18" t="s">
        <v>7727</v>
      </c>
      <c r="D7702" s="1"/>
      <c r="E7702" s="1"/>
      <c r="F7702" s="1" t="str">
        <f>IFERROR(__xludf.DUMMYFUNCTION("GOOGLETRANSLATE(B7702, ""en"", ""fa"")
"),"درخواست برای معلمان")</f>
        <v>درخواست برای معلمان</v>
      </c>
      <c r="G7702" s="1" t="str">
        <f>IFERROR(__xludf.DUMMYFUNCTION("GOOGLETRANSLATE(C7702, ""en"", ""fa"")
"),"استراتژی‌هایی را برای مشارکت والدین در فرآیندهای تصمیم‌گیری در سطح مدرسه و کلاس بررسی کنید.")</f>
        <v>استراتژی‌هایی را برای مشارکت والدین در فرآیندهای تصمیم‌گیری در سطح مدرسه و کلاس بررسی کنید.</v>
      </c>
      <c r="H7702" s="1"/>
      <c r="I7702" s="1"/>
      <c r="J7702" s="1"/>
      <c r="K7702" s="1"/>
      <c r="L7702" s="1"/>
      <c r="M7702" s="1"/>
      <c r="N7702" s="1"/>
      <c r="O7702" s="1"/>
      <c r="P7702" s="1"/>
      <c r="Q7702" s="1"/>
      <c r="R7702" s="1"/>
      <c r="S7702" s="1"/>
      <c r="T7702" s="1"/>
      <c r="U7702" s="1"/>
      <c r="V7702" s="1"/>
      <c r="W7702" s="1"/>
      <c r="X7702" s="1"/>
      <c r="Y7702" s="1"/>
      <c r="Z7702" s="1"/>
      <c r="AA7702" s="1"/>
      <c r="AB7702" s="1"/>
    </row>
    <row r="7703" ht="50.25" customHeight="1">
      <c r="A7703" s="12">
        <v>7699.0</v>
      </c>
      <c r="B7703" s="13" t="s">
        <v>7680</v>
      </c>
      <c r="C7703" s="18" t="s">
        <v>7728</v>
      </c>
      <c r="D7703" s="1"/>
      <c r="E7703" s="1"/>
      <c r="F7703" s="1" t="str">
        <f>IFERROR(__xludf.DUMMYFUNCTION("GOOGLETRANSLATE(B7703, ""en"", ""fa"")
"),"درخواست برای معلمان")</f>
        <v>درخواست برای معلمان</v>
      </c>
      <c r="G7703" s="1" t="str">
        <f>IFERROR(__xludf.DUMMYFUNCTION("GOOGLETRANSLATE(C7703, ""en"", ""fa"")
"),"در مورد اهمیت حساسیت فرهنگی و فراگیری در مشارکت معلم و والدین بحث کنید.")</f>
        <v>در مورد اهمیت حساسیت فرهنگی و فراگیری در مشارکت معلم و والدین بحث کنید.</v>
      </c>
      <c r="H7703" s="1"/>
      <c r="I7703" s="1"/>
      <c r="J7703" s="1"/>
      <c r="K7703" s="1"/>
      <c r="L7703" s="1"/>
      <c r="M7703" s="1"/>
      <c r="N7703" s="1"/>
      <c r="O7703" s="1"/>
      <c r="P7703" s="1"/>
      <c r="Q7703" s="1"/>
      <c r="R7703" s="1"/>
      <c r="S7703" s="1"/>
      <c r="T7703" s="1"/>
      <c r="U7703" s="1"/>
      <c r="V7703" s="1"/>
      <c r="W7703" s="1"/>
      <c r="X7703" s="1"/>
      <c r="Y7703" s="1"/>
      <c r="Z7703" s="1"/>
      <c r="AA7703" s="1"/>
      <c r="AB7703" s="1"/>
    </row>
    <row r="7704" ht="50.25" customHeight="1">
      <c r="A7704" s="12">
        <v>7700.0</v>
      </c>
      <c r="B7704" s="13" t="s">
        <v>7680</v>
      </c>
      <c r="C7704" s="18" t="s">
        <v>7729</v>
      </c>
      <c r="D7704" s="1"/>
      <c r="E7704" s="1"/>
      <c r="F7704" s="1" t="str">
        <f>IFERROR(__xludf.DUMMYFUNCTION("GOOGLETRANSLATE(B7704, ""en"", ""fa"")
"),"درخواست برای معلمان")</f>
        <v>درخواست برای معلمان</v>
      </c>
      <c r="G7704" s="1" t="str">
        <f>IFERROR(__xludf.DUMMYFUNCTION("GOOGLETRANSLATE(C7704, ""en"", ""fa"")
"),"بینش خود را در مورد نقش والدین در حمایت از تکمیل تکالیف و تقویت یادگیری در خانه به اشتراک بگذارید.")</f>
        <v>بینش خود را در مورد نقش والدین در حمایت از تکمیل تکالیف و تقویت یادگیری در خانه به اشتراک بگذارید.</v>
      </c>
      <c r="H7704" s="1"/>
      <c r="I7704" s="1"/>
      <c r="J7704" s="1"/>
      <c r="K7704" s="1"/>
      <c r="L7704" s="1"/>
      <c r="M7704" s="1"/>
      <c r="N7704" s="1"/>
      <c r="O7704" s="1"/>
      <c r="P7704" s="1"/>
      <c r="Q7704" s="1"/>
      <c r="R7704" s="1"/>
      <c r="S7704" s="1"/>
      <c r="T7704" s="1"/>
      <c r="U7704" s="1"/>
      <c r="V7704" s="1"/>
      <c r="W7704" s="1"/>
      <c r="X7704" s="1"/>
      <c r="Y7704" s="1"/>
      <c r="Z7704" s="1"/>
      <c r="AA7704" s="1"/>
      <c r="AB7704" s="1"/>
    </row>
    <row r="7705" ht="50.25" customHeight="1">
      <c r="A7705" s="12">
        <v>7701.0</v>
      </c>
      <c r="B7705" s="13" t="s">
        <v>7680</v>
      </c>
      <c r="C7705" s="18" t="s">
        <v>7730</v>
      </c>
      <c r="D7705" s="1"/>
      <c r="E7705" s="1"/>
      <c r="F7705" s="1" t="str">
        <f>IFERROR(__xludf.DUMMYFUNCTION("GOOGLETRANSLATE(B7705, ""en"", ""fa"")
"),"درخواست برای معلمان")</f>
        <v>درخواست برای معلمان</v>
      </c>
      <c r="G7705" s="1" t="str">
        <f>IFERROR(__xludf.DUMMYFUNCTION("GOOGLETRANSLATE(C7705, ""en"", ""fa"")
"),"راهبردهایی را برای همکاری با والدین برای رسیدگی و حمایت از نیازهای اجتماعی-عاطفی دانش آموزان بررسی کنید.")</f>
        <v>راهبردهایی را برای همکاری با والدین برای رسیدگی و حمایت از نیازهای اجتماعی-عاطفی دانش آموزان بررسی کنید.</v>
      </c>
      <c r="H7705" s="1"/>
      <c r="I7705" s="1"/>
      <c r="J7705" s="1"/>
      <c r="K7705" s="1"/>
      <c r="L7705" s="1"/>
      <c r="M7705" s="1"/>
      <c r="N7705" s="1"/>
      <c r="O7705" s="1"/>
      <c r="P7705" s="1"/>
      <c r="Q7705" s="1"/>
      <c r="R7705" s="1"/>
      <c r="S7705" s="1"/>
      <c r="T7705" s="1"/>
      <c r="U7705" s="1"/>
      <c r="V7705" s="1"/>
      <c r="W7705" s="1"/>
      <c r="X7705" s="1"/>
      <c r="Y7705" s="1"/>
      <c r="Z7705" s="1"/>
      <c r="AA7705" s="1"/>
      <c r="AB7705" s="1"/>
    </row>
    <row r="7706" ht="50.25" customHeight="1">
      <c r="A7706" s="12">
        <v>7702.0</v>
      </c>
      <c r="B7706" s="13" t="s">
        <v>7680</v>
      </c>
      <c r="C7706" s="18" t="s">
        <v>7731</v>
      </c>
      <c r="D7706" s="1"/>
      <c r="E7706" s="1"/>
      <c r="F7706" s="1" t="str">
        <f>IFERROR(__xludf.DUMMYFUNCTION("GOOGLETRANSLATE(B7706, ""en"", ""fa"")
"),"درخواست برای معلمان")</f>
        <v>درخواست برای معلمان</v>
      </c>
      <c r="G7706" s="1" t="str">
        <f>IFERROR(__xludf.DUMMYFUNCTION("GOOGLETRANSLATE(C7706, ""en"", ""fa"")
"),"در مورد مزایای مشارکت دادن والدین در رویدادهای مدرسه، سفرهای میدانی و فعالیت های فوق برنامه بحث کنید.")</f>
        <v>در مورد مزایای مشارکت دادن والدین در رویدادهای مدرسه، سفرهای میدانی و فعالیت های فوق برنامه بحث کنید.</v>
      </c>
      <c r="H7706" s="1"/>
      <c r="I7706" s="1"/>
      <c r="J7706" s="1"/>
      <c r="K7706" s="1"/>
      <c r="L7706" s="1"/>
      <c r="M7706" s="1"/>
      <c r="N7706" s="1"/>
      <c r="O7706" s="1"/>
      <c r="P7706" s="1"/>
      <c r="Q7706" s="1"/>
      <c r="R7706" s="1"/>
      <c r="S7706" s="1"/>
      <c r="T7706" s="1"/>
      <c r="U7706" s="1"/>
      <c r="V7706" s="1"/>
      <c r="W7706" s="1"/>
      <c r="X7706" s="1"/>
      <c r="Y7706" s="1"/>
      <c r="Z7706" s="1"/>
      <c r="AA7706" s="1"/>
      <c r="AB7706" s="1"/>
    </row>
    <row r="7707" ht="50.25" customHeight="1">
      <c r="A7707" s="12">
        <v>7703.0</v>
      </c>
      <c r="B7707" s="13" t="s">
        <v>7680</v>
      </c>
      <c r="C7707" s="18" t="s">
        <v>7732</v>
      </c>
      <c r="D7707" s="1"/>
      <c r="E7707" s="1"/>
      <c r="F7707" s="1" t="str">
        <f>IFERROR(__xludf.DUMMYFUNCTION("GOOGLETRANSLATE(B7707, ""en"", ""fa"")
"),"درخواست برای معلمان")</f>
        <v>درخواست برای معلمان</v>
      </c>
      <c r="G7707" s="1" t="str">
        <f>IFERROR(__xludf.DUMMYFUNCTION("GOOGLETRANSLATE(C7707, ""en"", ""fa"")
"),"تجربیات خود را در مورد پیاده سازی پلت فرم ها یا فناوری های ارتباطی موثر خانه-مدرسه به اشتراک بگذارید.")</f>
        <v>تجربیات خود را در مورد پیاده سازی پلت فرم ها یا فناوری های ارتباطی موثر خانه-مدرسه به اشتراک بگذارید.</v>
      </c>
      <c r="H7707" s="1"/>
      <c r="I7707" s="1"/>
      <c r="J7707" s="1"/>
      <c r="K7707" s="1"/>
      <c r="L7707" s="1"/>
      <c r="M7707" s="1"/>
      <c r="N7707" s="1"/>
      <c r="O7707" s="1"/>
      <c r="P7707" s="1"/>
      <c r="Q7707" s="1"/>
      <c r="R7707" s="1"/>
      <c r="S7707" s="1"/>
      <c r="T7707" s="1"/>
      <c r="U7707" s="1"/>
      <c r="V7707" s="1"/>
      <c r="W7707" s="1"/>
      <c r="X7707" s="1"/>
      <c r="Y7707" s="1"/>
      <c r="Z7707" s="1"/>
      <c r="AA7707" s="1"/>
      <c r="AB7707" s="1"/>
    </row>
    <row r="7708" ht="50.25" customHeight="1">
      <c r="A7708" s="12">
        <v>7704.0</v>
      </c>
      <c r="B7708" s="13" t="s">
        <v>7680</v>
      </c>
      <c r="C7708" s="18" t="s">
        <v>7733</v>
      </c>
      <c r="D7708" s="1"/>
      <c r="E7708" s="1"/>
      <c r="F7708" s="1" t="str">
        <f>IFERROR(__xludf.DUMMYFUNCTION("GOOGLETRANSLATE(B7708, ""en"", ""fa"")
"),"درخواست برای معلمان")</f>
        <v>درخواست برای معلمان</v>
      </c>
      <c r="G7708" s="1" t="str">
        <f>IFERROR(__xludf.DUMMYFUNCTION("GOOGLETRANSLATE(C7708, ""en"", ""fa"")
"),"راه‌های مشارکت والدین را به عنوان شریک در هدف‌گذاری دانش‌آموز و برنامه‌ریزی تحصیلی بررسی کنید.")</f>
        <v>راه‌های مشارکت والدین را به عنوان شریک در هدف‌گذاری دانش‌آموز و برنامه‌ریزی تحصیلی بررسی کنید.</v>
      </c>
      <c r="H7708" s="1"/>
      <c r="I7708" s="1"/>
      <c r="J7708" s="1"/>
      <c r="K7708" s="1"/>
      <c r="L7708" s="1"/>
      <c r="M7708" s="1"/>
      <c r="N7708" s="1"/>
      <c r="O7708" s="1"/>
      <c r="P7708" s="1"/>
      <c r="Q7708" s="1"/>
      <c r="R7708" s="1"/>
      <c r="S7708" s="1"/>
      <c r="T7708" s="1"/>
      <c r="U7708" s="1"/>
      <c r="V7708" s="1"/>
      <c r="W7708" s="1"/>
      <c r="X7708" s="1"/>
      <c r="Y7708" s="1"/>
      <c r="Z7708" s="1"/>
      <c r="AA7708" s="1"/>
      <c r="AB7708" s="1"/>
    </row>
    <row r="7709" ht="50.25" customHeight="1">
      <c r="A7709" s="12">
        <v>7705.0</v>
      </c>
      <c r="B7709" s="13" t="s">
        <v>7680</v>
      </c>
      <c r="C7709" s="18" t="s">
        <v>7734</v>
      </c>
      <c r="D7709" s="1"/>
      <c r="E7709" s="1"/>
      <c r="F7709" s="1" t="str">
        <f>IFERROR(__xludf.DUMMYFUNCTION("GOOGLETRANSLATE(B7709, ""en"", ""fa"")
"),"درخواست برای معلمان")</f>
        <v>درخواست برای معلمان</v>
      </c>
      <c r="G7709" s="1" t="str">
        <f>IFERROR(__xludf.DUMMYFUNCTION("GOOGLETRANSLATE(C7709, ""en"", ""fa"")
"),"در مورد نقش والدین در ترویج یک محیط یادگیری مثبت و حمایتی در خانه بحث کنید.")</f>
        <v>در مورد نقش والدین در ترویج یک محیط یادگیری مثبت و حمایتی در خانه بحث کنید.</v>
      </c>
      <c r="H7709" s="1"/>
      <c r="I7709" s="1"/>
      <c r="J7709" s="1"/>
      <c r="K7709" s="1"/>
      <c r="L7709" s="1"/>
      <c r="M7709" s="1"/>
      <c r="N7709" s="1"/>
      <c r="O7709" s="1"/>
      <c r="P7709" s="1"/>
      <c r="Q7709" s="1"/>
      <c r="R7709" s="1"/>
      <c r="S7709" s="1"/>
      <c r="T7709" s="1"/>
      <c r="U7709" s="1"/>
      <c r="V7709" s="1"/>
      <c r="W7709" s="1"/>
      <c r="X7709" s="1"/>
      <c r="Y7709" s="1"/>
      <c r="Z7709" s="1"/>
      <c r="AA7709" s="1"/>
      <c r="AB7709" s="1"/>
    </row>
    <row r="7710" ht="50.25" customHeight="1">
      <c r="A7710" s="12">
        <v>7706.0</v>
      </c>
      <c r="B7710" s="13" t="s">
        <v>7680</v>
      </c>
      <c r="C7710" s="18" t="s">
        <v>7735</v>
      </c>
      <c r="D7710" s="1"/>
      <c r="E7710" s="1"/>
      <c r="F7710" s="1" t="str">
        <f>IFERROR(__xludf.DUMMYFUNCTION("GOOGLETRANSLATE(B7710, ""en"", ""fa"")
"),"درخواست برای معلمان")</f>
        <v>درخواست برای معلمان</v>
      </c>
      <c r="G7710" s="1" t="str">
        <f>IFERROR(__xludf.DUMMYFUNCTION("GOOGLETRANSLATE(C7710, ""en"", ""fa"")
"),"راهبردهای مشارکت دادن والدین در ارزیابی و ارزیابی پیشرفت دانش‌آموز را به اشتراک بگذارید.")</f>
        <v>راهبردهای مشارکت دادن والدین در ارزیابی و ارزیابی پیشرفت دانش‌آموز را به اشتراک بگذارید.</v>
      </c>
      <c r="H7710" s="1"/>
      <c r="I7710" s="1"/>
      <c r="J7710" s="1"/>
      <c r="K7710" s="1"/>
      <c r="L7710" s="1"/>
      <c r="M7710" s="1"/>
      <c r="N7710" s="1"/>
      <c r="O7710" s="1"/>
      <c r="P7710" s="1"/>
      <c r="Q7710" s="1"/>
      <c r="R7710" s="1"/>
      <c r="S7710" s="1"/>
      <c r="T7710" s="1"/>
      <c r="U7710" s="1"/>
      <c r="V7710" s="1"/>
      <c r="W7710" s="1"/>
      <c r="X7710" s="1"/>
      <c r="Y7710" s="1"/>
      <c r="Z7710" s="1"/>
      <c r="AA7710" s="1"/>
      <c r="AB7710" s="1"/>
    </row>
    <row r="7711" ht="50.25" customHeight="1">
      <c r="A7711" s="12">
        <v>7707.0</v>
      </c>
      <c r="B7711" s="13" t="s">
        <v>7680</v>
      </c>
      <c r="C7711" s="18" t="s">
        <v>7736</v>
      </c>
      <c r="D7711" s="1"/>
      <c r="E7711" s="1"/>
      <c r="F7711" s="1" t="str">
        <f>IFERROR(__xludf.DUMMYFUNCTION("GOOGLETRANSLATE(B7711, ""en"", ""fa"")
"),"درخواست برای معلمان")</f>
        <v>درخواست برای معلمان</v>
      </c>
      <c r="G7711" s="1" t="str">
        <f>IFERROR(__xludf.DUMMYFUNCTION("GOOGLETRANSLATE(C7711, ""en"", ""fa"")
"),"راه‌هایی را برای انتقال مؤثر انتظارات و سیاست‌های کلاس به والدین بررسی کنید.")</f>
        <v>راه‌هایی را برای انتقال مؤثر انتظارات و سیاست‌های کلاس به والدین بررسی کنید.</v>
      </c>
      <c r="H7711" s="1"/>
      <c r="I7711" s="1"/>
      <c r="J7711" s="1"/>
      <c r="K7711" s="1"/>
      <c r="L7711" s="1"/>
      <c r="M7711" s="1"/>
      <c r="N7711" s="1"/>
      <c r="O7711" s="1"/>
      <c r="P7711" s="1"/>
      <c r="Q7711" s="1"/>
      <c r="R7711" s="1"/>
      <c r="S7711" s="1"/>
      <c r="T7711" s="1"/>
      <c r="U7711" s="1"/>
      <c r="V7711" s="1"/>
      <c r="W7711" s="1"/>
      <c r="X7711" s="1"/>
      <c r="Y7711" s="1"/>
      <c r="Z7711" s="1"/>
      <c r="AA7711" s="1"/>
      <c r="AB7711" s="1"/>
    </row>
    <row r="7712" ht="50.25" customHeight="1">
      <c r="A7712" s="12">
        <v>7708.0</v>
      </c>
      <c r="B7712" s="13" t="s">
        <v>7680</v>
      </c>
      <c r="C7712" s="18" t="s">
        <v>7737</v>
      </c>
      <c r="D7712" s="1"/>
      <c r="E7712" s="1"/>
      <c r="F7712" s="1" t="str">
        <f>IFERROR(__xludf.DUMMYFUNCTION("GOOGLETRANSLATE(B7712, ""en"", ""fa"")
"),"درخواست برای معلمان")</f>
        <v>درخواست برای معلمان</v>
      </c>
      <c r="G7712" s="1" t="str">
        <f>IFERROR(__xludf.DUMMYFUNCTION("GOOGLETRANSLATE(C7712, ""en"", ""fa"")
"),"در مورد تأثیر مشارکت والدین بر عزت نفس و اعتماد به نفس دانش آموزان بحث کنید.")</f>
        <v>در مورد تأثیر مشارکت والدین بر عزت نفس و اعتماد به نفس دانش آموزان بحث کنید.</v>
      </c>
      <c r="H7712" s="1"/>
      <c r="I7712" s="1"/>
      <c r="J7712" s="1"/>
      <c r="K7712" s="1"/>
      <c r="L7712" s="1"/>
      <c r="M7712" s="1"/>
      <c r="N7712" s="1"/>
      <c r="O7712" s="1"/>
      <c r="P7712" s="1"/>
      <c r="Q7712" s="1"/>
      <c r="R7712" s="1"/>
      <c r="S7712" s="1"/>
      <c r="T7712" s="1"/>
      <c r="U7712" s="1"/>
      <c r="V7712" s="1"/>
      <c r="W7712" s="1"/>
      <c r="X7712" s="1"/>
      <c r="Y7712" s="1"/>
      <c r="Z7712" s="1"/>
      <c r="AA7712" s="1"/>
      <c r="AB7712" s="1"/>
    </row>
    <row r="7713" ht="50.25" customHeight="1">
      <c r="A7713" s="12">
        <v>7709.0</v>
      </c>
      <c r="B7713" s="13" t="s">
        <v>7680</v>
      </c>
      <c r="C7713" s="18" t="s">
        <v>7738</v>
      </c>
      <c r="D7713" s="1"/>
      <c r="E7713" s="1"/>
      <c r="F7713" s="1" t="str">
        <f>IFERROR(__xludf.DUMMYFUNCTION("GOOGLETRANSLATE(B7713, ""en"", ""fa"")
"),"درخواست برای معلمان")</f>
        <v>درخواست برای معلمان</v>
      </c>
      <c r="G7713" s="1" t="str">
        <f>IFERROR(__xludf.DUMMYFUNCTION("GOOGLETRANSLATE(C7713, ""en"", ""fa"")
"),"بینش خود را در مورد مزایای مشارکت والدین در کمیته ها یا شوراهای تصمیم گیری مدرسه به اشتراک بگذارید.")</f>
        <v>بینش خود را در مورد مزایای مشارکت والدین در کمیته ها یا شوراهای تصمیم گیری مدرسه به اشتراک بگذارید.</v>
      </c>
      <c r="H7713" s="1"/>
      <c r="I7713" s="1"/>
      <c r="J7713" s="1"/>
      <c r="K7713" s="1"/>
      <c r="L7713" s="1"/>
      <c r="M7713" s="1"/>
      <c r="N7713" s="1"/>
      <c r="O7713" s="1"/>
      <c r="P7713" s="1"/>
      <c r="Q7713" s="1"/>
      <c r="R7713" s="1"/>
      <c r="S7713" s="1"/>
      <c r="T7713" s="1"/>
      <c r="U7713" s="1"/>
      <c r="V7713" s="1"/>
      <c r="W7713" s="1"/>
      <c r="X7713" s="1"/>
      <c r="Y7713" s="1"/>
      <c r="Z7713" s="1"/>
      <c r="AA7713" s="1"/>
      <c r="AB7713" s="1"/>
    </row>
    <row r="7714" ht="50.25" customHeight="1">
      <c r="A7714" s="12">
        <v>7710.0</v>
      </c>
      <c r="B7714" s="13" t="s">
        <v>7680</v>
      </c>
      <c r="C7714" s="18" t="s">
        <v>7739</v>
      </c>
      <c r="D7714" s="1"/>
      <c r="E7714" s="1"/>
      <c r="F7714" s="1" t="str">
        <f>IFERROR(__xludf.DUMMYFUNCTION("GOOGLETRANSLATE(B7714, ""en"", ""fa"")
"),"درخواست برای معلمان")</f>
        <v>درخواست برای معلمان</v>
      </c>
      <c r="G7714" s="1" t="str">
        <f>IFERROR(__xludf.DUMMYFUNCTION("GOOGLETRANSLATE(C7714, ""en"", ""fa"")
"),"استراتژی‌هایی را برای مشارکت دادن والدین در ایجاد و بازنگری خط‌مشی‌های مدرسه بررسی کنید.")</f>
        <v>استراتژی‌هایی را برای مشارکت دادن والدین در ایجاد و بازنگری خط‌مشی‌های مدرسه بررسی کنید.</v>
      </c>
      <c r="H7714" s="1"/>
      <c r="I7714" s="1"/>
      <c r="J7714" s="1"/>
      <c r="K7714" s="1"/>
      <c r="L7714" s="1"/>
      <c r="M7714" s="1"/>
      <c r="N7714" s="1"/>
      <c r="O7714" s="1"/>
      <c r="P7714" s="1"/>
      <c r="Q7714" s="1"/>
      <c r="R7714" s="1"/>
      <c r="S7714" s="1"/>
      <c r="T7714" s="1"/>
      <c r="U7714" s="1"/>
      <c r="V7714" s="1"/>
      <c r="W7714" s="1"/>
      <c r="X7714" s="1"/>
      <c r="Y7714" s="1"/>
      <c r="Z7714" s="1"/>
      <c r="AA7714" s="1"/>
      <c r="AB7714" s="1"/>
    </row>
    <row r="7715" ht="50.25" customHeight="1">
      <c r="A7715" s="12">
        <v>7711.0</v>
      </c>
      <c r="B7715" s="13" t="s">
        <v>7680</v>
      </c>
      <c r="C7715" s="18" t="s">
        <v>7740</v>
      </c>
      <c r="D7715" s="1"/>
      <c r="E7715" s="1"/>
      <c r="F7715" s="1" t="str">
        <f>IFERROR(__xludf.DUMMYFUNCTION("GOOGLETRANSLATE(B7715, ""en"", ""fa"")
"),"درخواست برای معلمان")</f>
        <v>درخواست برای معلمان</v>
      </c>
      <c r="G7715" s="1" t="str">
        <f>IFERROR(__xludf.DUMMYFUNCTION("GOOGLETRANSLATE(C7715, ""en"", ""fa"")
"),"در مورد اهمیت شناخت و ارج نهادن به تنوع سوابق و تجربیات والدین بحث کنید.")</f>
        <v>در مورد اهمیت شناخت و ارج نهادن به تنوع سوابق و تجربیات والدین بحث کنید.</v>
      </c>
      <c r="H7715" s="1"/>
      <c r="I7715" s="1"/>
      <c r="J7715" s="1"/>
      <c r="K7715" s="1"/>
      <c r="L7715" s="1"/>
      <c r="M7715" s="1"/>
      <c r="N7715" s="1"/>
      <c r="O7715" s="1"/>
      <c r="P7715" s="1"/>
      <c r="Q7715" s="1"/>
      <c r="R7715" s="1"/>
      <c r="S7715" s="1"/>
      <c r="T7715" s="1"/>
      <c r="U7715" s="1"/>
      <c r="V7715" s="1"/>
      <c r="W7715" s="1"/>
      <c r="X7715" s="1"/>
      <c r="Y7715" s="1"/>
      <c r="Z7715" s="1"/>
      <c r="AA7715" s="1"/>
      <c r="AB7715" s="1"/>
    </row>
    <row r="7716" ht="50.25" customHeight="1">
      <c r="A7716" s="12">
        <v>7712.0</v>
      </c>
      <c r="B7716" s="13" t="s">
        <v>7680</v>
      </c>
      <c r="C7716" s="18" t="s">
        <v>7741</v>
      </c>
      <c r="D7716" s="1"/>
      <c r="E7716" s="1"/>
      <c r="F7716" s="1" t="str">
        <f>IFERROR(__xludf.DUMMYFUNCTION("GOOGLETRANSLATE(B7716, ""en"", ""fa"")
"),"درخواست برای معلمان")</f>
        <v>درخواست برای معلمان</v>
      </c>
      <c r="G7716" s="1" t="str">
        <f>IFERROR(__xludf.DUMMYFUNCTION("GOOGLETRANSLATE(C7716, ""en"", ""fa"")
"),"تجربیات خود را در مورد اجرای برنامه ها یا کارگاه های آموزشی موثر والدین به اشتراک بگذارید.")</f>
        <v>تجربیات خود را در مورد اجرای برنامه ها یا کارگاه های آموزشی موثر والدین به اشتراک بگذارید.</v>
      </c>
      <c r="H7716" s="1"/>
      <c r="I7716" s="1"/>
      <c r="J7716" s="1"/>
      <c r="K7716" s="1"/>
      <c r="L7716" s="1"/>
      <c r="M7716" s="1"/>
      <c r="N7716" s="1"/>
      <c r="O7716" s="1"/>
      <c r="P7716" s="1"/>
      <c r="Q7716" s="1"/>
      <c r="R7716" s="1"/>
      <c r="S7716" s="1"/>
      <c r="T7716" s="1"/>
      <c r="U7716" s="1"/>
      <c r="V7716" s="1"/>
      <c r="W7716" s="1"/>
      <c r="X7716" s="1"/>
      <c r="Y7716" s="1"/>
      <c r="Z7716" s="1"/>
      <c r="AA7716" s="1"/>
      <c r="AB7716" s="1"/>
    </row>
    <row r="7717" ht="50.25" customHeight="1">
      <c r="A7717" s="12">
        <v>7713.0</v>
      </c>
      <c r="B7717" s="13" t="s">
        <v>7680</v>
      </c>
      <c r="C7717" s="18" t="s">
        <v>7742</v>
      </c>
      <c r="D7717" s="1"/>
      <c r="E7717" s="1"/>
      <c r="F7717" s="1" t="str">
        <f>IFERROR(__xludf.DUMMYFUNCTION("GOOGLETRANSLATE(B7717, ""en"", ""fa"")
"),"درخواست برای معلمان")</f>
        <v>درخواست برای معلمان</v>
      </c>
      <c r="G7717" s="1" t="str">
        <f>IFERROR(__xludf.DUMMYFUNCTION("GOOGLETRANSLATE(C7717, ""en"", ""fa"")
"),"راه‌های مشارکت والدین در ادغام فناوری در آموزش و یادگیری را بررسی کنید.")</f>
        <v>راه‌های مشارکت والدین در ادغام فناوری در آموزش و یادگیری را بررسی کنید.</v>
      </c>
      <c r="H7717" s="1"/>
      <c r="I7717" s="1"/>
      <c r="J7717" s="1"/>
      <c r="K7717" s="1"/>
      <c r="L7717" s="1"/>
      <c r="M7717" s="1"/>
      <c r="N7717" s="1"/>
      <c r="O7717" s="1"/>
      <c r="P7717" s="1"/>
      <c r="Q7717" s="1"/>
      <c r="R7717" s="1"/>
      <c r="S7717" s="1"/>
      <c r="T7717" s="1"/>
      <c r="U7717" s="1"/>
      <c r="V7717" s="1"/>
      <c r="W7717" s="1"/>
      <c r="X7717" s="1"/>
      <c r="Y7717" s="1"/>
      <c r="Z7717" s="1"/>
      <c r="AA7717" s="1"/>
      <c r="AB7717" s="1"/>
    </row>
    <row r="7718" ht="50.25" customHeight="1">
      <c r="A7718" s="12">
        <v>7714.0</v>
      </c>
      <c r="B7718" s="13" t="s">
        <v>7680</v>
      </c>
      <c r="C7718" s="18" t="s">
        <v>7743</v>
      </c>
      <c r="D7718" s="1"/>
      <c r="E7718" s="1"/>
      <c r="F7718" s="1" t="str">
        <f>IFERROR(__xludf.DUMMYFUNCTION("GOOGLETRANSLATE(B7718, ""en"", ""fa"")
"),"درخواست برای معلمان")</f>
        <v>درخواست برای معلمان</v>
      </c>
      <c r="G7718" s="1" t="str">
        <f>IFERROR(__xludf.DUMMYFUNCTION("GOOGLETRANSLATE(C7718, ""en"", ""fa"")
"),"در مورد نقش والدین در ارتقاء ذهنیت رشد و تاب آوری در دانش آموزان بحث کنید.")</f>
        <v>در مورد نقش والدین در ارتقاء ذهنیت رشد و تاب آوری در دانش آموزان بحث کنید.</v>
      </c>
      <c r="H7718" s="1"/>
      <c r="I7718" s="1"/>
      <c r="J7718" s="1"/>
      <c r="K7718" s="1"/>
      <c r="L7718" s="1"/>
      <c r="M7718" s="1"/>
      <c r="N7718" s="1"/>
      <c r="O7718" s="1"/>
      <c r="P7718" s="1"/>
      <c r="Q7718" s="1"/>
      <c r="R7718" s="1"/>
      <c r="S7718" s="1"/>
      <c r="T7718" s="1"/>
      <c r="U7718" s="1"/>
      <c r="V7718" s="1"/>
      <c r="W7718" s="1"/>
      <c r="X7718" s="1"/>
      <c r="Y7718" s="1"/>
      <c r="Z7718" s="1"/>
      <c r="AA7718" s="1"/>
      <c r="AB7718" s="1"/>
    </row>
    <row r="7719" ht="50.25" customHeight="1">
      <c r="A7719" s="12">
        <v>7715.0</v>
      </c>
      <c r="B7719" s="13" t="s">
        <v>7680</v>
      </c>
      <c r="C7719" s="18" t="s">
        <v>7744</v>
      </c>
      <c r="D7719" s="1"/>
      <c r="E7719" s="1"/>
      <c r="F7719" s="1" t="str">
        <f>IFERROR(__xludf.DUMMYFUNCTION("GOOGLETRANSLATE(B7719, ""en"", ""fa"")
"),"درخواست برای معلمان")</f>
        <v>درخواست برای معلمان</v>
      </c>
      <c r="G7719" s="1" t="str">
        <f>IFERROR(__xludf.DUMMYFUNCTION("GOOGLETRANSLATE(C7719, ""en"", ""fa"")
"),"بینش خود را در مورد استراتژی های موثر برای رسیدگی و حل تعارضات با والدین به اشتراک بگذارید.")</f>
        <v>بینش خود را در مورد استراتژی های موثر برای رسیدگی و حل تعارضات با والدین به اشتراک بگذارید.</v>
      </c>
      <c r="H7719" s="1"/>
      <c r="I7719" s="1"/>
      <c r="J7719" s="1"/>
      <c r="K7719" s="1"/>
      <c r="L7719" s="1"/>
      <c r="M7719" s="1"/>
      <c r="N7719" s="1"/>
      <c r="O7719" s="1"/>
      <c r="P7719" s="1"/>
      <c r="Q7719" s="1"/>
      <c r="R7719" s="1"/>
      <c r="S7719" s="1"/>
      <c r="T7719" s="1"/>
      <c r="U7719" s="1"/>
      <c r="V7719" s="1"/>
      <c r="W7719" s="1"/>
      <c r="X7719" s="1"/>
      <c r="Y7719" s="1"/>
      <c r="Z7719" s="1"/>
      <c r="AA7719" s="1"/>
      <c r="AB7719" s="1"/>
    </row>
    <row r="7720" ht="50.25" customHeight="1">
      <c r="A7720" s="12">
        <v>7716.0</v>
      </c>
      <c r="B7720" s="13" t="s">
        <v>7680</v>
      </c>
      <c r="C7720" s="18" t="s">
        <v>7745</v>
      </c>
      <c r="D7720" s="1"/>
      <c r="E7720" s="1"/>
      <c r="F7720" s="1" t="str">
        <f>IFERROR(__xludf.DUMMYFUNCTION("GOOGLETRANSLATE(B7720, ""en"", ""fa"")
"),"درخواست برای معلمان")</f>
        <v>درخواست برای معلمان</v>
      </c>
      <c r="G7720" s="1" t="str">
        <f>IFERROR(__xludf.DUMMYFUNCTION("GOOGLETRANSLATE(C7720, ""en"", ""fa"")
"),"راه‌هایی برای مشارکت دادن والدین در ترویج رفتار مثبت و شیوه‌های انضباط را بررسی کنید.")</f>
        <v>راه‌هایی برای مشارکت دادن والدین در ترویج رفتار مثبت و شیوه‌های انضباط را بررسی کنید.</v>
      </c>
      <c r="H7720" s="1"/>
      <c r="I7720" s="1"/>
      <c r="J7720" s="1"/>
      <c r="K7720" s="1"/>
      <c r="L7720" s="1"/>
      <c r="M7720" s="1"/>
      <c r="N7720" s="1"/>
      <c r="O7720" s="1"/>
      <c r="P7720" s="1"/>
      <c r="Q7720" s="1"/>
      <c r="R7720" s="1"/>
      <c r="S7720" s="1"/>
      <c r="T7720" s="1"/>
      <c r="U7720" s="1"/>
      <c r="V7720" s="1"/>
      <c r="W7720" s="1"/>
      <c r="X7720" s="1"/>
      <c r="Y7720" s="1"/>
      <c r="Z7720" s="1"/>
      <c r="AA7720" s="1"/>
      <c r="AB7720" s="1"/>
    </row>
    <row r="7721" ht="50.25" customHeight="1">
      <c r="A7721" s="12">
        <v>7717.0</v>
      </c>
      <c r="B7721" s="13" t="s">
        <v>7680</v>
      </c>
      <c r="C7721" s="18" t="s">
        <v>7746</v>
      </c>
      <c r="D7721" s="1"/>
      <c r="E7721" s="1"/>
      <c r="F7721" s="1" t="str">
        <f>IFERROR(__xludf.DUMMYFUNCTION("GOOGLETRANSLATE(B7721, ""en"", ""fa"")
"),"درخواست برای معلمان")</f>
        <v>درخواست برای معلمان</v>
      </c>
      <c r="G7721" s="1" t="str">
        <f>IFERROR(__xludf.DUMMYFUNCTION("GOOGLETRANSLATE(C7721, ""en"", ""fa"")
"),"در مورد تأثیر مشارکت والدین در انتقال دانش آموزان به سطوح پایه یا مدارس جدید بحث کنید.")</f>
        <v>در مورد تأثیر مشارکت والدین در انتقال دانش آموزان به سطوح پایه یا مدارس جدید بحث کنید.</v>
      </c>
      <c r="H7721" s="1"/>
      <c r="I7721" s="1"/>
      <c r="J7721" s="1"/>
      <c r="K7721" s="1"/>
      <c r="L7721" s="1"/>
      <c r="M7721" s="1"/>
      <c r="N7721" s="1"/>
      <c r="O7721" s="1"/>
      <c r="P7721" s="1"/>
      <c r="Q7721" s="1"/>
      <c r="R7721" s="1"/>
      <c r="S7721" s="1"/>
      <c r="T7721" s="1"/>
      <c r="U7721" s="1"/>
      <c r="V7721" s="1"/>
      <c r="W7721" s="1"/>
      <c r="X7721" s="1"/>
      <c r="Y7721" s="1"/>
      <c r="Z7721" s="1"/>
      <c r="AA7721" s="1"/>
      <c r="AB7721" s="1"/>
    </row>
    <row r="7722" ht="50.25" customHeight="1">
      <c r="A7722" s="12">
        <v>7718.0</v>
      </c>
      <c r="B7722" s="13" t="s">
        <v>7680</v>
      </c>
      <c r="C7722" s="18" t="s">
        <v>7747</v>
      </c>
      <c r="D7722" s="1"/>
      <c r="E7722" s="1"/>
      <c r="F7722" s="1" t="str">
        <f>IFERROR(__xludf.DUMMYFUNCTION("GOOGLETRANSLATE(B7722, ""en"", ""fa"")
"),"درخواست برای معلمان")</f>
        <v>درخواست برای معلمان</v>
      </c>
      <c r="G7722" s="1" t="str">
        <f>IFERROR(__xludf.DUMMYFUNCTION("GOOGLETRANSLATE(C7722, ""en"", ""fa"")
"),"تجربیات خود را با مشارکت دادن والدین در راهنمایی شغلی و آمادگی دانشگاه به اشتراک بگذارید.")</f>
        <v>تجربیات خود را با مشارکت دادن والدین در راهنمایی شغلی و آمادگی دانشگاه به اشتراک بگذارید.</v>
      </c>
      <c r="H7722" s="1"/>
      <c r="I7722" s="1"/>
      <c r="J7722" s="1"/>
      <c r="K7722" s="1"/>
      <c r="L7722" s="1"/>
      <c r="M7722" s="1"/>
      <c r="N7722" s="1"/>
      <c r="O7722" s="1"/>
      <c r="P7722" s="1"/>
      <c r="Q7722" s="1"/>
      <c r="R7722" s="1"/>
      <c r="S7722" s="1"/>
      <c r="T7722" s="1"/>
      <c r="U7722" s="1"/>
      <c r="V7722" s="1"/>
      <c r="W7722" s="1"/>
      <c r="X7722" s="1"/>
      <c r="Y7722" s="1"/>
      <c r="Z7722" s="1"/>
      <c r="AA7722" s="1"/>
      <c r="AB7722" s="1"/>
    </row>
    <row r="7723" ht="50.25" customHeight="1">
      <c r="A7723" s="12">
        <v>7719.0</v>
      </c>
      <c r="B7723" s="13" t="s">
        <v>7680</v>
      </c>
      <c r="C7723" s="18" t="s">
        <v>7748</v>
      </c>
      <c r="D7723" s="1"/>
      <c r="E7723" s="1"/>
      <c r="F7723" s="1" t="str">
        <f>IFERROR(__xludf.DUMMYFUNCTION("GOOGLETRANSLATE(B7723, ""en"", ""fa"")
"),"درخواست برای معلمان")</f>
        <v>درخواست برای معلمان</v>
      </c>
      <c r="G7723" s="1" t="str">
        <f>IFERROR(__xludf.DUMMYFUNCTION("GOOGLETRANSLATE(C7723, ""en"", ""fa"")
"),"استراتژی‌هایی را برای مشارکت دادن والدین در خدمات اجتماعی و فرصت‌های داوطلبانه بررسی کنید.")</f>
        <v>استراتژی‌هایی را برای مشارکت دادن والدین در خدمات اجتماعی و فرصت‌های داوطلبانه بررسی کنید.</v>
      </c>
      <c r="H7723" s="1"/>
      <c r="I7723" s="1"/>
      <c r="J7723" s="1"/>
      <c r="K7723" s="1"/>
      <c r="L7723" s="1"/>
      <c r="M7723" s="1"/>
      <c r="N7723" s="1"/>
      <c r="O7723" s="1"/>
      <c r="P7723" s="1"/>
      <c r="Q7723" s="1"/>
      <c r="R7723" s="1"/>
      <c r="S7723" s="1"/>
      <c r="T7723" s="1"/>
      <c r="U7723" s="1"/>
      <c r="V7723" s="1"/>
      <c r="W7723" s="1"/>
      <c r="X7723" s="1"/>
      <c r="Y7723" s="1"/>
      <c r="Z7723" s="1"/>
      <c r="AA7723" s="1"/>
      <c r="AB7723" s="1"/>
    </row>
    <row r="7724" ht="50.25" customHeight="1">
      <c r="A7724" s="12">
        <v>7720.0</v>
      </c>
      <c r="B7724" s="13" t="s">
        <v>7680</v>
      </c>
      <c r="C7724" s="18" t="s">
        <v>7749</v>
      </c>
      <c r="D7724" s="1"/>
      <c r="E7724" s="1"/>
      <c r="F7724" s="1" t="str">
        <f>IFERROR(__xludf.DUMMYFUNCTION("GOOGLETRANSLATE(B7724, ""en"", ""fa"")
"),"درخواست برای معلمان")</f>
        <v>درخواست برای معلمان</v>
      </c>
      <c r="G7724" s="1" t="str">
        <f>IFERROR(__xludf.DUMMYFUNCTION("GOOGLETRANSLATE(C7724, ""en"", ""fa"")
"),"در مورد اهمیت مشارکت والدین در فرآیند برنامه آموزش فردی (IEP) برای دانش آموزان با نیازهای ویژه بحث کنید.")</f>
        <v>در مورد اهمیت مشارکت والدین در فرآیند برنامه آموزش فردی (IEP) برای دانش آموزان با نیازهای ویژه بحث کنید.</v>
      </c>
      <c r="H7724" s="1"/>
      <c r="I7724" s="1"/>
      <c r="J7724" s="1"/>
      <c r="K7724" s="1"/>
      <c r="L7724" s="1"/>
      <c r="M7724" s="1"/>
      <c r="N7724" s="1"/>
      <c r="O7724" s="1"/>
      <c r="P7724" s="1"/>
      <c r="Q7724" s="1"/>
      <c r="R7724" s="1"/>
      <c r="S7724" s="1"/>
      <c r="T7724" s="1"/>
      <c r="U7724" s="1"/>
      <c r="V7724" s="1"/>
      <c r="W7724" s="1"/>
      <c r="X7724" s="1"/>
      <c r="Y7724" s="1"/>
      <c r="Z7724" s="1"/>
      <c r="AA7724" s="1"/>
      <c r="AB7724" s="1"/>
    </row>
    <row r="7725" ht="50.25" customHeight="1">
      <c r="A7725" s="12">
        <v>7721.0</v>
      </c>
      <c r="B7725" s="13" t="s">
        <v>7680</v>
      </c>
      <c r="C7725" s="18" t="s">
        <v>7750</v>
      </c>
      <c r="D7725" s="1"/>
      <c r="E7725" s="1"/>
      <c r="F7725" s="1" t="str">
        <f>IFERROR(__xludf.DUMMYFUNCTION("GOOGLETRANSLATE(B7725, ""en"", ""fa"")
"),"درخواست برای معلمان")</f>
        <v>درخواست برای معلمان</v>
      </c>
      <c r="G7725" s="1" t="str">
        <f>IFERROR(__xludf.DUMMYFUNCTION("GOOGLETRANSLATE(C7725, ""en"", ""fa"")
"),"بینش خود را در مورد راهبردهای مؤثر برای مشارکت دادن والدین در ترویج سواد خواندن و خواندن در خانه به اشتراک بگذارید.")</f>
        <v>بینش خود را در مورد راهبردهای مؤثر برای مشارکت دادن والدین در ترویج سواد خواندن و خواندن در خانه به اشتراک بگذارید.</v>
      </c>
      <c r="H7725" s="1"/>
      <c r="I7725" s="1"/>
      <c r="J7725" s="1"/>
      <c r="K7725" s="1"/>
      <c r="L7725" s="1"/>
      <c r="M7725" s="1"/>
      <c r="N7725" s="1"/>
      <c r="O7725" s="1"/>
      <c r="P7725" s="1"/>
      <c r="Q7725" s="1"/>
      <c r="R7725" s="1"/>
      <c r="S7725" s="1"/>
      <c r="T7725" s="1"/>
      <c r="U7725" s="1"/>
      <c r="V7725" s="1"/>
      <c r="W7725" s="1"/>
      <c r="X7725" s="1"/>
      <c r="Y7725" s="1"/>
      <c r="Z7725" s="1"/>
      <c r="AA7725" s="1"/>
      <c r="AB7725" s="1"/>
    </row>
    <row r="7726" ht="50.25" customHeight="1">
      <c r="A7726" s="12">
        <v>7722.0</v>
      </c>
      <c r="B7726" s="13" t="s">
        <v>7680</v>
      </c>
      <c r="C7726" s="18" t="s">
        <v>7751</v>
      </c>
      <c r="D7726" s="1"/>
      <c r="E7726" s="1"/>
      <c r="F7726" s="1" t="str">
        <f>IFERROR(__xludf.DUMMYFUNCTION("GOOGLETRANSLATE(B7726, ""en"", ""fa"")
"),"درخواست برای معلمان")</f>
        <v>درخواست برای معلمان</v>
      </c>
      <c r="G7726" s="1" t="str">
        <f>IFERROR(__xludf.DUMMYFUNCTION("GOOGLETRANSLATE(C7726, ""en"", ""fa"")
"),"راه‌هایی برای مشارکت والدین در حمایت از سلامت جسمی و رفاه دانش‌آموزان را بررسی کنید.")</f>
        <v>راه‌هایی برای مشارکت والدین در حمایت از سلامت جسمی و رفاه دانش‌آموزان را بررسی کنید.</v>
      </c>
      <c r="H7726" s="1"/>
      <c r="I7726" s="1"/>
      <c r="J7726" s="1"/>
      <c r="K7726" s="1"/>
      <c r="L7726" s="1"/>
      <c r="M7726" s="1"/>
      <c r="N7726" s="1"/>
      <c r="O7726" s="1"/>
      <c r="P7726" s="1"/>
      <c r="Q7726" s="1"/>
      <c r="R7726" s="1"/>
      <c r="S7726" s="1"/>
      <c r="T7726" s="1"/>
      <c r="U7726" s="1"/>
      <c r="V7726" s="1"/>
      <c r="W7726" s="1"/>
      <c r="X7726" s="1"/>
      <c r="Y7726" s="1"/>
      <c r="Z7726" s="1"/>
      <c r="AA7726" s="1"/>
      <c r="AB7726" s="1"/>
    </row>
    <row r="7727" ht="50.25" customHeight="1">
      <c r="A7727" s="12">
        <v>7723.0</v>
      </c>
      <c r="B7727" s="13" t="s">
        <v>7680</v>
      </c>
      <c r="C7727" s="18" t="s">
        <v>7752</v>
      </c>
      <c r="D7727" s="1"/>
      <c r="E7727" s="1"/>
      <c r="F7727" s="1" t="str">
        <f>IFERROR(__xludf.DUMMYFUNCTION("GOOGLETRANSLATE(B7727, ""en"", ""fa"")
"),"درخواست برای معلمان")</f>
        <v>درخواست برای معلمان</v>
      </c>
      <c r="G7727" s="1" t="str">
        <f>IFERROR(__xludf.DUMMYFUNCTION("GOOGLETRANSLATE(C7727, ""en"", ""fa"")
"),"در مورد نقش والدین در ترویج شهروندی دیجیتال و ایمنی اینترنت بحث کنید.")</f>
        <v>در مورد نقش والدین در ترویج شهروندی دیجیتال و ایمنی اینترنت بحث کنید.</v>
      </c>
      <c r="H7727" s="1"/>
      <c r="I7727" s="1"/>
      <c r="J7727" s="1"/>
      <c r="K7727" s="1"/>
      <c r="L7727" s="1"/>
      <c r="M7727" s="1"/>
      <c r="N7727" s="1"/>
      <c r="O7727" s="1"/>
      <c r="P7727" s="1"/>
      <c r="Q7727" s="1"/>
      <c r="R7727" s="1"/>
      <c r="S7727" s="1"/>
      <c r="T7727" s="1"/>
      <c r="U7727" s="1"/>
      <c r="V7727" s="1"/>
      <c r="W7727" s="1"/>
      <c r="X7727" s="1"/>
      <c r="Y7727" s="1"/>
      <c r="Z7727" s="1"/>
      <c r="AA7727" s="1"/>
      <c r="AB7727" s="1"/>
    </row>
    <row r="7728" ht="50.25" customHeight="1">
      <c r="A7728" s="12">
        <v>7724.0</v>
      </c>
      <c r="B7728" s="13" t="s">
        <v>7680</v>
      </c>
      <c r="C7728" s="18" t="s">
        <v>7753</v>
      </c>
      <c r="D7728" s="1"/>
      <c r="E7728" s="1"/>
      <c r="F7728" s="1" t="str">
        <f>IFERROR(__xludf.DUMMYFUNCTION("GOOGLETRANSLATE(B7728, ""en"", ""fa"")
"),"درخواست برای معلمان")</f>
        <v>درخواست برای معلمان</v>
      </c>
      <c r="G7728" s="1" t="str">
        <f>IFERROR(__xludf.DUMMYFUNCTION("GOOGLETRANSLATE(C7728, ""en"", ""fa"")
"),"تجربیات خود را با مشارکت والدین در حمایت از مشارکت دانش آموزان در فعالیت های فوق برنامه به اشتراک بگذارید.")</f>
        <v>تجربیات خود را با مشارکت والدین در حمایت از مشارکت دانش آموزان در فعالیت های فوق برنامه به اشتراک بگذارید.</v>
      </c>
      <c r="H7728" s="1"/>
      <c r="I7728" s="1"/>
      <c r="J7728" s="1"/>
      <c r="K7728" s="1"/>
      <c r="L7728" s="1"/>
      <c r="M7728" s="1"/>
      <c r="N7728" s="1"/>
      <c r="O7728" s="1"/>
      <c r="P7728" s="1"/>
      <c r="Q7728" s="1"/>
      <c r="R7728" s="1"/>
      <c r="S7728" s="1"/>
      <c r="T7728" s="1"/>
      <c r="U7728" s="1"/>
      <c r="V7728" s="1"/>
      <c r="W7728" s="1"/>
      <c r="X7728" s="1"/>
      <c r="Y7728" s="1"/>
      <c r="Z7728" s="1"/>
      <c r="AA7728" s="1"/>
      <c r="AB7728" s="1"/>
    </row>
    <row r="7729" ht="50.25" customHeight="1">
      <c r="A7729" s="12">
        <v>7725.0</v>
      </c>
      <c r="B7729" s="13" t="s">
        <v>7680</v>
      </c>
      <c r="C7729" s="18" t="s">
        <v>7754</v>
      </c>
      <c r="D7729" s="1"/>
      <c r="E7729" s="1"/>
      <c r="F7729" s="1" t="str">
        <f>IFERROR(__xludf.DUMMYFUNCTION("GOOGLETRANSLATE(B7729, ""en"", ""fa"")
"),"درخواست برای معلمان")</f>
        <v>درخواست برای معلمان</v>
      </c>
      <c r="G7729" s="1" t="str">
        <f>IFERROR(__xludf.DUMMYFUNCTION("GOOGLETRANSLATE(C7729, ""en"", ""fa"")
"),"استراتژی‌هایی را برای مشارکت دادن والدین در حمایت از انتقال دانش‌آموزان از مدرسه به آموزش عالی یا مشاغل مورد بررسی قرار دهید.")</f>
        <v>استراتژی‌هایی را برای مشارکت دادن والدین در حمایت از انتقال دانش‌آموزان از مدرسه به آموزش عالی یا مشاغل مورد بررسی قرار دهید.</v>
      </c>
      <c r="H7729" s="1"/>
      <c r="I7729" s="1"/>
      <c r="J7729" s="1"/>
      <c r="K7729" s="1"/>
      <c r="L7729" s="1"/>
      <c r="M7729" s="1"/>
      <c r="N7729" s="1"/>
      <c r="O7729" s="1"/>
      <c r="P7729" s="1"/>
      <c r="Q7729" s="1"/>
      <c r="R7729" s="1"/>
      <c r="S7729" s="1"/>
      <c r="T7729" s="1"/>
      <c r="U7729" s="1"/>
      <c r="V7729" s="1"/>
      <c r="W7729" s="1"/>
      <c r="X7729" s="1"/>
      <c r="Y7729" s="1"/>
      <c r="Z7729" s="1"/>
      <c r="AA7729" s="1"/>
      <c r="AB7729" s="1"/>
    </row>
    <row r="7730" ht="50.25" customHeight="1">
      <c r="A7730" s="12">
        <v>7726.0</v>
      </c>
      <c r="B7730" s="13" t="s">
        <v>7680</v>
      </c>
      <c r="C7730" s="18" t="s">
        <v>7755</v>
      </c>
      <c r="D7730" s="1"/>
      <c r="E7730" s="1"/>
      <c r="F7730" s="1" t="str">
        <f>IFERROR(__xludf.DUMMYFUNCTION("GOOGLETRANSLATE(B7730, ""en"", ""fa"")
"),"درخواست برای معلمان")</f>
        <v>درخواست برای معلمان</v>
      </c>
      <c r="G7730" s="1" t="str">
        <f>IFERROR(__xludf.DUMMYFUNCTION("GOOGLETRANSLATE(C7730, ""en"", ""fa"")
"),"در مورد تأثیر مشارکت والدین بر انگیزه و آرزوهای تحصیلی دانش آموزان بحث کنید.")</f>
        <v>در مورد تأثیر مشارکت والدین بر انگیزه و آرزوهای تحصیلی دانش آموزان بحث کنید.</v>
      </c>
      <c r="H7730" s="1"/>
      <c r="I7730" s="1"/>
      <c r="J7730" s="1"/>
      <c r="K7730" s="1"/>
      <c r="L7730" s="1"/>
      <c r="M7730" s="1"/>
      <c r="N7730" s="1"/>
      <c r="O7730" s="1"/>
      <c r="P7730" s="1"/>
      <c r="Q7730" s="1"/>
      <c r="R7730" s="1"/>
      <c r="S7730" s="1"/>
      <c r="T7730" s="1"/>
      <c r="U7730" s="1"/>
      <c r="V7730" s="1"/>
      <c r="W7730" s="1"/>
      <c r="X7730" s="1"/>
      <c r="Y7730" s="1"/>
      <c r="Z7730" s="1"/>
      <c r="AA7730" s="1"/>
      <c r="AB7730" s="1"/>
    </row>
    <row r="7731" ht="50.25" customHeight="1">
      <c r="A7731" s="12">
        <v>7727.0</v>
      </c>
      <c r="B7731" s="13" t="s">
        <v>7680</v>
      </c>
      <c r="C7731" s="18" t="s">
        <v>7756</v>
      </c>
      <c r="D7731" s="1"/>
      <c r="E7731" s="1"/>
      <c r="F7731" s="1" t="str">
        <f>IFERROR(__xludf.DUMMYFUNCTION("GOOGLETRANSLATE(B7731, ""en"", ""fa"")
"),"درخواست برای معلمان")</f>
        <v>درخواست برای معلمان</v>
      </c>
      <c r="G7731" s="1" t="str">
        <f>IFERROR(__xludf.DUMMYFUNCTION("GOOGLETRANSLATE(C7731, ""en"", ""fa"")
"),"بینش خود را در مورد استراتژی های موثر برای مشارکت دادن والدین در حل تعارض و شیوه های ترمیمی به اشتراک بگذارید.")</f>
        <v>بینش خود را در مورد استراتژی های موثر برای مشارکت دادن والدین در حل تعارض و شیوه های ترمیمی به اشتراک بگذارید.</v>
      </c>
      <c r="H7731" s="1"/>
      <c r="I7731" s="1"/>
      <c r="J7731" s="1"/>
      <c r="K7731" s="1"/>
      <c r="L7731" s="1"/>
      <c r="M7731" s="1"/>
      <c r="N7731" s="1"/>
      <c r="O7731" s="1"/>
      <c r="P7731" s="1"/>
      <c r="Q7731" s="1"/>
      <c r="R7731" s="1"/>
      <c r="S7731" s="1"/>
      <c r="T7731" s="1"/>
      <c r="U7731" s="1"/>
      <c r="V7731" s="1"/>
      <c r="W7731" s="1"/>
      <c r="X7731" s="1"/>
      <c r="Y7731" s="1"/>
      <c r="Z7731" s="1"/>
      <c r="AA7731" s="1"/>
      <c r="AB7731" s="1"/>
    </row>
    <row r="7732" ht="50.25" customHeight="1">
      <c r="A7732" s="12">
        <v>7728.0</v>
      </c>
      <c r="B7732" s="13" t="s">
        <v>7680</v>
      </c>
      <c r="C7732" s="18" t="s">
        <v>7757</v>
      </c>
      <c r="D7732" s="1"/>
      <c r="E7732" s="1"/>
      <c r="F7732" s="1" t="str">
        <f>IFERROR(__xludf.DUMMYFUNCTION("GOOGLETRANSLATE(B7732, ""en"", ""fa"")
"),"درخواست برای معلمان")</f>
        <v>درخواست برای معلمان</v>
      </c>
      <c r="G7732" s="1" t="str">
        <f>IFERROR(__xludf.DUMMYFUNCTION("GOOGLETRANSLATE(C7732, ""en"", ""fa"")
"),"راه‌هایی را برای مشارکت والدین در طرح‌های جمع‌آوری کمک مالی و تخصیص منابع در مدرسه بررسی کنید.")</f>
        <v>راه‌هایی را برای مشارکت والدین در طرح‌های جمع‌آوری کمک مالی و تخصیص منابع در مدرسه بررسی کنید.</v>
      </c>
      <c r="H7732" s="1"/>
      <c r="I7732" s="1"/>
      <c r="J7732" s="1"/>
      <c r="K7732" s="1"/>
      <c r="L7732" s="1"/>
      <c r="M7732" s="1"/>
      <c r="N7732" s="1"/>
      <c r="O7732" s="1"/>
      <c r="P7732" s="1"/>
      <c r="Q7732" s="1"/>
      <c r="R7732" s="1"/>
      <c r="S7732" s="1"/>
      <c r="T7732" s="1"/>
      <c r="U7732" s="1"/>
      <c r="V7732" s="1"/>
      <c r="W7732" s="1"/>
      <c r="X7732" s="1"/>
      <c r="Y7732" s="1"/>
      <c r="Z7732" s="1"/>
      <c r="AA7732" s="1"/>
      <c r="AB7732" s="1"/>
    </row>
    <row r="7733" ht="50.25" customHeight="1">
      <c r="A7733" s="12">
        <v>7729.0</v>
      </c>
      <c r="B7733" s="13" t="s">
        <v>7680</v>
      </c>
      <c r="C7733" s="18" t="s">
        <v>7758</v>
      </c>
      <c r="D7733" s="1"/>
      <c r="E7733" s="1"/>
      <c r="F7733" s="1" t="str">
        <f>IFERROR(__xludf.DUMMYFUNCTION("GOOGLETRANSLATE(B7733, ""en"", ""fa"")
"),"درخواست برای معلمان")</f>
        <v>درخواست برای معلمان</v>
      </c>
      <c r="G7733" s="1" t="str">
        <f>IFERROR(__xludf.DUMMYFUNCTION("GOOGLETRANSLATE(C7733, ""en"", ""fa"")
"),"در مورد اهمیت مشارکت والدین در توسعه و اجرای برنامه های آموزشی فردی (IEPs) بحث کنید.")</f>
        <v>در مورد اهمیت مشارکت والدین در توسعه و اجرای برنامه های آموزشی فردی (IEPs) بحث کنید.</v>
      </c>
      <c r="H7733" s="1"/>
      <c r="I7733" s="1"/>
      <c r="J7733" s="1"/>
      <c r="K7733" s="1"/>
      <c r="L7733" s="1"/>
      <c r="M7733" s="1"/>
      <c r="N7733" s="1"/>
      <c r="O7733" s="1"/>
      <c r="P7733" s="1"/>
      <c r="Q7733" s="1"/>
      <c r="R7733" s="1"/>
      <c r="S7733" s="1"/>
      <c r="T7733" s="1"/>
      <c r="U7733" s="1"/>
      <c r="V7733" s="1"/>
      <c r="W7733" s="1"/>
      <c r="X7733" s="1"/>
      <c r="Y7733" s="1"/>
      <c r="Z7733" s="1"/>
      <c r="AA7733" s="1"/>
      <c r="AB7733" s="1"/>
    </row>
    <row r="7734" ht="50.25" customHeight="1">
      <c r="A7734" s="12">
        <v>7730.0</v>
      </c>
      <c r="B7734" s="13" t="s">
        <v>7680</v>
      </c>
      <c r="C7734" s="18" t="s">
        <v>7759</v>
      </c>
      <c r="D7734" s="1"/>
      <c r="E7734" s="1"/>
      <c r="F7734" s="1" t="str">
        <f>IFERROR(__xludf.DUMMYFUNCTION("GOOGLETRANSLATE(B7734, ""en"", ""fa"")
"),"درخواست برای معلمان")</f>
        <v>درخواست برای معلمان</v>
      </c>
      <c r="G7734" s="1" t="str">
        <f>IFERROR(__xludf.DUMMYFUNCTION("GOOGLETRANSLATE(C7734, ""en"", ""fa"")
"),"تجربیات خود را با مشارکت والدین در ترویج تغذیه سالم و سبک زندگی به اشتراک بگذارید.")</f>
        <v>تجربیات خود را با مشارکت والدین در ترویج تغذیه سالم و سبک زندگی به اشتراک بگذارید.</v>
      </c>
      <c r="H7734" s="1"/>
      <c r="I7734" s="1"/>
      <c r="J7734" s="1"/>
      <c r="K7734" s="1"/>
      <c r="L7734" s="1"/>
      <c r="M7734" s="1"/>
      <c r="N7734" s="1"/>
      <c r="O7734" s="1"/>
      <c r="P7734" s="1"/>
      <c r="Q7734" s="1"/>
      <c r="R7734" s="1"/>
      <c r="S7734" s="1"/>
      <c r="T7734" s="1"/>
      <c r="U7734" s="1"/>
      <c r="V7734" s="1"/>
      <c r="W7734" s="1"/>
      <c r="X7734" s="1"/>
      <c r="Y7734" s="1"/>
      <c r="Z7734" s="1"/>
      <c r="AA7734" s="1"/>
      <c r="AB7734" s="1"/>
    </row>
    <row r="7735" ht="50.25" customHeight="1">
      <c r="A7735" s="12">
        <v>7731.0</v>
      </c>
      <c r="B7735" s="13" t="s">
        <v>7680</v>
      </c>
      <c r="C7735" s="18" t="s">
        <v>7760</v>
      </c>
      <c r="D7735" s="1"/>
      <c r="E7735" s="1"/>
      <c r="F7735" s="1" t="str">
        <f>IFERROR(__xludf.DUMMYFUNCTION("GOOGLETRANSLATE(B7735, ""en"", ""fa"")
"),"درخواست برای معلمان")</f>
        <v>درخواست برای معلمان</v>
      </c>
      <c r="G7735" s="1" t="str">
        <f>IFERROR(__xludf.DUMMYFUNCTION("GOOGLETRANSLATE(C7735, ""en"", ""fa"")
"),"راهبردهایی برای مشارکت دادن والدین در ارتقای آگاهی فرهنگی و جشن گرفتن تنوع را بررسی کنید.")</f>
        <v>راهبردهایی برای مشارکت دادن والدین در ارتقای آگاهی فرهنگی و جشن گرفتن تنوع را بررسی کنید.</v>
      </c>
      <c r="H7735" s="1"/>
      <c r="I7735" s="1"/>
      <c r="J7735" s="1"/>
      <c r="K7735" s="1"/>
      <c r="L7735" s="1"/>
      <c r="M7735" s="1"/>
      <c r="N7735" s="1"/>
      <c r="O7735" s="1"/>
      <c r="P7735" s="1"/>
      <c r="Q7735" s="1"/>
      <c r="R7735" s="1"/>
      <c r="S7735" s="1"/>
      <c r="T7735" s="1"/>
      <c r="U7735" s="1"/>
      <c r="V7735" s="1"/>
      <c r="W7735" s="1"/>
      <c r="X7735" s="1"/>
      <c r="Y7735" s="1"/>
      <c r="Z7735" s="1"/>
      <c r="AA7735" s="1"/>
      <c r="AB7735" s="1"/>
    </row>
    <row r="7736" ht="50.25" customHeight="1">
      <c r="A7736" s="12">
        <v>7732.0</v>
      </c>
      <c r="B7736" s="13" t="s">
        <v>7680</v>
      </c>
      <c r="C7736" s="18" t="s">
        <v>7761</v>
      </c>
      <c r="D7736" s="1"/>
      <c r="E7736" s="1"/>
      <c r="F7736" s="1" t="str">
        <f>IFERROR(__xludf.DUMMYFUNCTION("GOOGLETRANSLATE(B7736, ""en"", ""fa"")
"),"درخواست برای معلمان")</f>
        <v>درخواست برای معلمان</v>
      </c>
      <c r="G7736" s="1" t="str">
        <f>IFERROR(__xludf.DUMMYFUNCTION("GOOGLETRANSLATE(C7736, ""en"", ""fa"")
"),"در مورد نقش والدین در حمایت از مهارت های اجتماعی دانش آموزان و روابط مثبت با همسالان بحث کنید.")</f>
        <v>در مورد نقش والدین در حمایت از مهارت های اجتماعی دانش آموزان و روابط مثبت با همسالان بحث کنید.</v>
      </c>
      <c r="H7736" s="1"/>
      <c r="I7736" s="1"/>
      <c r="J7736" s="1"/>
      <c r="K7736" s="1"/>
      <c r="L7736" s="1"/>
      <c r="M7736" s="1"/>
      <c r="N7736" s="1"/>
      <c r="O7736" s="1"/>
      <c r="P7736" s="1"/>
      <c r="Q7736" s="1"/>
      <c r="R7736" s="1"/>
      <c r="S7736" s="1"/>
      <c r="T7736" s="1"/>
      <c r="U7736" s="1"/>
      <c r="V7736" s="1"/>
      <c r="W7736" s="1"/>
      <c r="X7736" s="1"/>
      <c r="Y7736" s="1"/>
      <c r="Z7736" s="1"/>
      <c r="AA7736" s="1"/>
      <c r="AB7736" s="1"/>
    </row>
    <row r="7737" ht="50.25" customHeight="1">
      <c r="A7737" s="12">
        <v>7733.0</v>
      </c>
      <c r="B7737" s="13" t="s">
        <v>7680</v>
      </c>
      <c r="C7737" s="18" t="s">
        <v>7762</v>
      </c>
      <c r="D7737" s="1"/>
      <c r="E7737" s="1"/>
      <c r="F7737" s="1" t="str">
        <f>IFERROR(__xludf.DUMMYFUNCTION("GOOGLETRANSLATE(B7737, ""en"", ""fa"")
"),"درخواست برای معلمان")</f>
        <v>درخواست برای معلمان</v>
      </c>
      <c r="G7737" s="1" t="str">
        <f>IFERROR(__xludf.DUMMYFUNCTION("GOOGLETRANSLATE(C7737, ""en"", ""fa"")
"),"بینش خود را در مورد استراتژی های موثر برای مشارکت دادن والدین در ارتقاء سواد مالی و مدیریت مسئولانه پول به اشتراک بگذارید.")</f>
        <v>بینش خود را در مورد استراتژی های موثر برای مشارکت دادن والدین در ارتقاء سواد مالی و مدیریت مسئولانه پول به اشتراک بگذارید.</v>
      </c>
      <c r="H7737" s="1"/>
      <c r="I7737" s="1"/>
      <c r="J7737" s="1"/>
      <c r="K7737" s="1"/>
      <c r="L7737" s="1"/>
      <c r="M7737" s="1"/>
      <c r="N7737" s="1"/>
      <c r="O7737" s="1"/>
      <c r="P7737" s="1"/>
      <c r="Q7737" s="1"/>
      <c r="R7737" s="1"/>
      <c r="S7737" s="1"/>
      <c r="T7737" s="1"/>
      <c r="U7737" s="1"/>
      <c r="V7737" s="1"/>
      <c r="W7737" s="1"/>
      <c r="X7737" s="1"/>
      <c r="Y7737" s="1"/>
      <c r="Z7737" s="1"/>
      <c r="AA7737" s="1"/>
      <c r="AB7737" s="1"/>
    </row>
    <row r="7738" ht="50.25" customHeight="1">
      <c r="A7738" s="12">
        <v>7734.0</v>
      </c>
      <c r="B7738" s="13" t="s">
        <v>7680</v>
      </c>
      <c r="C7738" s="18" t="s">
        <v>7763</v>
      </c>
      <c r="D7738" s="1"/>
      <c r="E7738" s="1"/>
      <c r="F7738" s="1" t="str">
        <f>IFERROR(__xludf.DUMMYFUNCTION("GOOGLETRANSLATE(B7738, ""en"", ""fa"")
"),"درخواست برای معلمان")</f>
        <v>درخواست برای معلمان</v>
      </c>
      <c r="G7738" s="1" t="str">
        <f>IFERROR(__xludf.DUMMYFUNCTION("GOOGLETRANSLATE(C7738, ""en"", ""fa"")
"),"راه های مشارکت والدین در پرورش خلاقیت و بیان هنری دانش آموزان را بررسی کنید.")</f>
        <v>راه های مشارکت والدین در پرورش خلاقیت و بیان هنری دانش آموزان را بررسی کنید.</v>
      </c>
      <c r="H7738" s="1"/>
      <c r="I7738" s="1"/>
      <c r="J7738" s="1"/>
      <c r="K7738" s="1"/>
      <c r="L7738" s="1"/>
      <c r="M7738" s="1"/>
      <c r="N7738" s="1"/>
      <c r="O7738" s="1"/>
      <c r="P7738" s="1"/>
      <c r="Q7738" s="1"/>
      <c r="R7738" s="1"/>
      <c r="S7738" s="1"/>
      <c r="T7738" s="1"/>
      <c r="U7738" s="1"/>
      <c r="V7738" s="1"/>
      <c r="W7738" s="1"/>
      <c r="X7738" s="1"/>
      <c r="Y7738" s="1"/>
      <c r="Z7738" s="1"/>
      <c r="AA7738" s="1"/>
      <c r="AB7738" s="1"/>
    </row>
    <row r="7739" ht="50.25" customHeight="1">
      <c r="A7739" s="12">
        <v>7735.0</v>
      </c>
      <c r="B7739" s="13" t="s">
        <v>7680</v>
      </c>
      <c r="C7739" s="18" t="s">
        <v>7764</v>
      </c>
      <c r="D7739" s="1"/>
      <c r="E7739" s="1"/>
      <c r="F7739" s="1" t="str">
        <f>IFERROR(__xludf.DUMMYFUNCTION("GOOGLETRANSLATE(B7739, ""en"", ""fa"")
"),"درخواست برای معلمان")</f>
        <v>درخواست برای معلمان</v>
      </c>
      <c r="G7739" s="1" t="str">
        <f>IFERROR(__xludf.DUMMYFUNCTION("GOOGLETRANSLATE(C7739, ""en"", ""fa"")
"),"در مورد تأثیر مشارکت والدین بر احساس تعلق و ارتباط دانش آموزان با مدرسه بحث کنید.")</f>
        <v>در مورد تأثیر مشارکت والدین بر احساس تعلق و ارتباط دانش آموزان با مدرسه بحث کنید.</v>
      </c>
      <c r="H7739" s="1"/>
      <c r="I7739" s="1"/>
      <c r="J7739" s="1"/>
      <c r="K7739" s="1"/>
      <c r="L7739" s="1"/>
      <c r="M7739" s="1"/>
      <c r="N7739" s="1"/>
      <c r="O7739" s="1"/>
      <c r="P7739" s="1"/>
      <c r="Q7739" s="1"/>
      <c r="R7739" s="1"/>
      <c r="S7739" s="1"/>
      <c r="T7739" s="1"/>
      <c r="U7739" s="1"/>
      <c r="V7739" s="1"/>
      <c r="W7739" s="1"/>
      <c r="X7739" s="1"/>
      <c r="Y7739" s="1"/>
      <c r="Z7739" s="1"/>
      <c r="AA7739" s="1"/>
      <c r="AB7739" s="1"/>
    </row>
    <row r="7740" ht="50.25" customHeight="1">
      <c r="A7740" s="12">
        <v>7736.0</v>
      </c>
      <c r="B7740" s="13" t="s">
        <v>7680</v>
      </c>
      <c r="C7740" s="18" t="s">
        <v>7765</v>
      </c>
      <c r="D7740" s="1"/>
      <c r="E7740" s="1"/>
      <c r="F7740" s="1" t="str">
        <f>IFERROR(__xludf.DUMMYFUNCTION("GOOGLETRANSLATE(B7740, ""en"", ""fa"")
"),"درخواست برای معلمان")</f>
        <v>درخواست برای معلمان</v>
      </c>
      <c r="G7740" s="1" t="str">
        <f>IFERROR(__xludf.DUMMYFUNCTION("GOOGLETRANSLATE(C7740, ""en"", ""fa"")
"),"تجربیات خود را با مشارکت دادن والدین در حمایت از مشارکت دانش آموزان در پروژه های خدمات اجتماعی به اشتراک بگذارید.")</f>
        <v>تجربیات خود را با مشارکت دادن والدین در حمایت از مشارکت دانش آموزان در پروژه های خدمات اجتماعی به اشتراک بگذارید.</v>
      </c>
      <c r="H7740" s="1"/>
      <c r="I7740" s="1"/>
      <c r="J7740" s="1"/>
      <c r="K7740" s="1"/>
      <c r="L7740" s="1"/>
      <c r="M7740" s="1"/>
      <c r="N7740" s="1"/>
      <c r="O7740" s="1"/>
      <c r="P7740" s="1"/>
      <c r="Q7740" s="1"/>
      <c r="R7740" s="1"/>
      <c r="S7740" s="1"/>
      <c r="T7740" s="1"/>
      <c r="U7740" s="1"/>
      <c r="V7740" s="1"/>
      <c r="W7740" s="1"/>
      <c r="X7740" s="1"/>
      <c r="Y7740" s="1"/>
      <c r="Z7740" s="1"/>
      <c r="AA7740" s="1"/>
      <c r="AB7740" s="1"/>
    </row>
    <row r="7741" ht="50.25" customHeight="1">
      <c r="A7741" s="12">
        <v>7737.0</v>
      </c>
      <c r="B7741" s="13" t="s">
        <v>7680</v>
      </c>
      <c r="C7741" s="18" t="s">
        <v>7766</v>
      </c>
      <c r="D7741" s="1"/>
      <c r="E7741" s="1"/>
      <c r="F7741" s="1" t="str">
        <f>IFERROR(__xludf.DUMMYFUNCTION("GOOGLETRANSLATE(B7741, ""en"", ""fa"")
"),"درخواست برای معلمان")</f>
        <v>درخواست برای معلمان</v>
      </c>
      <c r="G7741" s="1" t="str">
        <f>IFERROR(__xludf.DUMMYFUNCTION("GOOGLETRANSLATE(C7741, ""en"", ""fa"")
"),"راهبردهای مشارکت والدین در پیشگیری از قلدری و ایجاد محیط امن مدرسه را بررسی کنید.")</f>
        <v>راهبردهای مشارکت والدین در پیشگیری از قلدری و ایجاد محیط امن مدرسه را بررسی کنید.</v>
      </c>
      <c r="H7741" s="1"/>
      <c r="I7741" s="1"/>
      <c r="J7741" s="1"/>
      <c r="K7741" s="1"/>
      <c r="L7741" s="1"/>
      <c r="M7741" s="1"/>
      <c r="N7741" s="1"/>
      <c r="O7741" s="1"/>
      <c r="P7741" s="1"/>
      <c r="Q7741" s="1"/>
      <c r="R7741" s="1"/>
      <c r="S7741" s="1"/>
      <c r="T7741" s="1"/>
      <c r="U7741" s="1"/>
      <c r="V7741" s="1"/>
      <c r="W7741" s="1"/>
      <c r="X7741" s="1"/>
      <c r="Y7741" s="1"/>
      <c r="Z7741" s="1"/>
      <c r="AA7741" s="1"/>
      <c r="AB7741" s="1"/>
    </row>
    <row r="7742" ht="50.25" customHeight="1">
      <c r="A7742" s="12">
        <v>7738.0</v>
      </c>
      <c r="B7742" s="13" t="s">
        <v>7680</v>
      </c>
      <c r="C7742" s="18" t="s">
        <v>7767</v>
      </c>
      <c r="D7742" s="1"/>
      <c r="E7742" s="1"/>
      <c r="F7742" s="1" t="str">
        <f>IFERROR(__xludf.DUMMYFUNCTION("GOOGLETRANSLATE(B7742, ""en"", ""fa"")
"),"درخواست برای معلمان")</f>
        <v>درخواست برای معلمان</v>
      </c>
      <c r="G7742" s="1" t="str">
        <f>IFERROR(__xludf.DUMMYFUNCTION("GOOGLETRANSLATE(C7742, ""en"", ""fa"")
"),"در مورد اهمیت مشارکت والدین در انتقال از دوره اولیه کودکی به مدرسه ابتدایی بحث کنید.")</f>
        <v>در مورد اهمیت مشارکت والدین در انتقال از دوره اولیه کودکی به مدرسه ابتدایی بحث کنید.</v>
      </c>
      <c r="H7742" s="1"/>
      <c r="I7742" s="1"/>
      <c r="J7742" s="1"/>
      <c r="K7742" s="1"/>
      <c r="L7742" s="1"/>
      <c r="M7742" s="1"/>
      <c r="N7742" s="1"/>
      <c r="O7742" s="1"/>
      <c r="P7742" s="1"/>
      <c r="Q7742" s="1"/>
      <c r="R7742" s="1"/>
      <c r="S7742" s="1"/>
      <c r="T7742" s="1"/>
      <c r="U7742" s="1"/>
      <c r="V7742" s="1"/>
      <c r="W7742" s="1"/>
      <c r="X7742" s="1"/>
      <c r="Y7742" s="1"/>
      <c r="Z7742" s="1"/>
      <c r="AA7742" s="1"/>
      <c r="AB7742" s="1"/>
    </row>
    <row r="7743" ht="50.25" customHeight="1">
      <c r="A7743" s="12">
        <v>7739.0</v>
      </c>
      <c r="B7743" s="13" t="s">
        <v>7680</v>
      </c>
      <c r="C7743" s="18" t="s">
        <v>7768</v>
      </c>
      <c r="D7743" s="1"/>
      <c r="E7743" s="1"/>
      <c r="F7743" s="1" t="str">
        <f>IFERROR(__xludf.DUMMYFUNCTION("GOOGLETRANSLATE(B7743, ""en"", ""fa"")
"),"درخواست برای معلمان")</f>
        <v>درخواست برای معلمان</v>
      </c>
      <c r="G7743" s="1" t="str">
        <f>IFERROR(__xludf.DUMMYFUNCTION("GOOGLETRANSLATE(C7743, ""en"", ""fa"")
"),"بینش خود را در مورد استراتژی های موثر برای مشارکت دادن والدین در حمایت از سلامت روان و رفاه دانش آموزان به اشتراک بگذارید.")</f>
        <v>بینش خود را در مورد استراتژی های موثر برای مشارکت دادن والدین در حمایت از سلامت روان و رفاه دانش آموزان به اشتراک بگذارید.</v>
      </c>
      <c r="H7743" s="1"/>
      <c r="I7743" s="1"/>
      <c r="J7743" s="1"/>
      <c r="K7743" s="1"/>
      <c r="L7743" s="1"/>
      <c r="M7743" s="1"/>
      <c r="N7743" s="1"/>
      <c r="O7743" s="1"/>
      <c r="P7743" s="1"/>
      <c r="Q7743" s="1"/>
      <c r="R7743" s="1"/>
      <c r="S7743" s="1"/>
      <c r="T7743" s="1"/>
      <c r="U7743" s="1"/>
      <c r="V7743" s="1"/>
      <c r="W7743" s="1"/>
      <c r="X7743" s="1"/>
      <c r="Y7743" s="1"/>
      <c r="Z7743" s="1"/>
      <c r="AA7743" s="1"/>
      <c r="AB7743" s="1"/>
    </row>
    <row r="7744" ht="50.25" customHeight="1">
      <c r="A7744" s="12">
        <v>7740.0</v>
      </c>
      <c r="B7744" s="13" t="s">
        <v>7680</v>
      </c>
      <c r="C7744" s="18" t="s">
        <v>7769</v>
      </c>
      <c r="D7744" s="1"/>
      <c r="E7744" s="1"/>
      <c r="F7744" s="1" t="str">
        <f>IFERROR(__xludf.DUMMYFUNCTION("GOOGLETRANSLATE(B7744, ""en"", ""fa"")
"),"درخواست برای معلمان")</f>
        <v>درخواست برای معلمان</v>
      </c>
      <c r="G7744" s="1" t="str">
        <f>IFERROR(__xludf.DUMMYFUNCTION("GOOGLETRANSLATE(C7744, ""en"", ""fa"")
"),"در مورد نقش والدین در حمایت از مهارت های حل مسئله و تفکر انتقادی دانش آموزان بحث کنید.")</f>
        <v>در مورد نقش والدین در حمایت از مهارت های حل مسئله و تفکر انتقادی دانش آموزان بحث کنید.</v>
      </c>
      <c r="H7744" s="1"/>
      <c r="I7744" s="1"/>
      <c r="J7744" s="1"/>
      <c r="K7744" s="1"/>
      <c r="L7744" s="1"/>
      <c r="M7744" s="1"/>
      <c r="N7744" s="1"/>
      <c r="O7744" s="1"/>
      <c r="P7744" s="1"/>
      <c r="Q7744" s="1"/>
      <c r="R7744" s="1"/>
      <c r="S7744" s="1"/>
      <c r="T7744" s="1"/>
      <c r="U7744" s="1"/>
      <c r="V7744" s="1"/>
      <c r="W7744" s="1"/>
      <c r="X7744" s="1"/>
      <c r="Y7744" s="1"/>
      <c r="Z7744" s="1"/>
      <c r="AA7744" s="1"/>
      <c r="AB7744" s="1"/>
    </row>
    <row r="7745" ht="50.25" customHeight="1">
      <c r="A7745" s="12">
        <v>7741.0</v>
      </c>
      <c r="B7745" s="13" t="s">
        <v>7680</v>
      </c>
      <c r="C7745" s="18" t="s">
        <v>7770</v>
      </c>
      <c r="D7745" s="1"/>
      <c r="E7745" s="1"/>
      <c r="F7745" s="1" t="str">
        <f>IFERROR(__xludf.DUMMYFUNCTION("GOOGLETRANSLATE(B7745, ""en"", ""fa"")
"),"درخواست برای معلمان")</f>
        <v>درخواست برای معلمان</v>
      </c>
      <c r="G7745" s="1" t="str">
        <f>IFERROR(__xludf.DUMMYFUNCTION("GOOGLETRANSLATE(C7745, ""en"", ""fa"")
"),"بینش خود را در مورد استراتژی های موثر برای مشارکت دادن والدین در ترویج آموزش STEM در خانه به اشتراک بگذارید.")</f>
        <v>بینش خود را در مورد استراتژی های موثر برای مشارکت دادن والدین در ترویج آموزش STEM در خانه به اشتراک بگذارید.</v>
      </c>
      <c r="H7745" s="1"/>
      <c r="I7745" s="1"/>
      <c r="J7745" s="1"/>
      <c r="K7745" s="1"/>
      <c r="L7745" s="1"/>
      <c r="M7745" s="1"/>
      <c r="N7745" s="1"/>
      <c r="O7745" s="1"/>
      <c r="P7745" s="1"/>
      <c r="Q7745" s="1"/>
      <c r="R7745" s="1"/>
      <c r="S7745" s="1"/>
      <c r="T7745" s="1"/>
      <c r="U7745" s="1"/>
      <c r="V7745" s="1"/>
      <c r="W7745" s="1"/>
      <c r="X7745" s="1"/>
      <c r="Y7745" s="1"/>
      <c r="Z7745" s="1"/>
      <c r="AA7745" s="1"/>
      <c r="AB7745" s="1"/>
    </row>
    <row r="7746" ht="50.25" customHeight="1">
      <c r="A7746" s="12">
        <v>7742.0</v>
      </c>
      <c r="B7746" s="13" t="s">
        <v>7680</v>
      </c>
      <c r="C7746" s="18" t="s">
        <v>7771</v>
      </c>
      <c r="D7746" s="1"/>
      <c r="E7746" s="1"/>
      <c r="F7746" s="1" t="str">
        <f>IFERROR(__xludf.DUMMYFUNCTION("GOOGLETRANSLATE(B7746, ""en"", ""fa"")
"),"درخواست برای معلمان")</f>
        <v>درخواست برای معلمان</v>
      </c>
      <c r="G7746" s="1" t="str">
        <f>IFERROR(__xludf.DUMMYFUNCTION("GOOGLETRANSLATE(C7746, ""en"", ""fa"")
"),"راه‌هایی را برای مشارکت والدین در حمایت از رشد زبان و آموزش دوزبانه دانش‌آموزان بررسی کنید.")</f>
        <v>راه‌هایی را برای مشارکت والدین در حمایت از رشد زبان و آموزش دوزبانه دانش‌آموزان بررسی کنید.</v>
      </c>
      <c r="H7746" s="1"/>
      <c r="I7746" s="1"/>
      <c r="J7746" s="1"/>
      <c r="K7746" s="1"/>
      <c r="L7746" s="1"/>
      <c r="M7746" s="1"/>
      <c r="N7746" s="1"/>
      <c r="O7746" s="1"/>
      <c r="P7746" s="1"/>
      <c r="Q7746" s="1"/>
      <c r="R7746" s="1"/>
      <c r="S7746" s="1"/>
      <c r="T7746" s="1"/>
      <c r="U7746" s="1"/>
      <c r="V7746" s="1"/>
      <c r="W7746" s="1"/>
      <c r="X7746" s="1"/>
      <c r="Y7746" s="1"/>
      <c r="Z7746" s="1"/>
      <c r="AA7746" s="1"/>
      <c r="AB7746" s="1"/>
    </row>
    <row r="7747" ht="50.25" customHeight="1">
      <c r="A7747" s="12">
        <v>7743.0</v>
      </c>
      <c r="B7747" s="13" t="s">
        <v>7680</v>
      </c>
      <c r="C7747" s="18" t="s">
        <v>7772</v>
      </c>
      <c r="D7747" s="1"/>
      <c r="E7747" s="1"/>
      <c r="F7747" s="1" t="str">
        <f>IFERROR(__xludf.DUMMYFUNCTION("GOOGLETRANSLATE(B7747, ""en"", ""fa"")
"),"درخواست برای معلمان")</f>
        <v>درخواست برای معلمان</v>
      </c>
      <c r="G7747" s="1" t="str">
        <f>IFERROR(__xludf.DUMMYFUNCTION("GOOGLETRANSLATE(C7747, ""en"", ""fa"")
"),"در مورد تأثیر مشارکت والدین بر کاوش و راهنمایی شغلی دانش آموزان بحث کنید.")</f>
        <v>در مورد تأثیر مشارکت والدین بر کاوش و راهنمایی شغلی دانش آموزان بحث کنید.</v>
      </c>
      <c r="H7747" s="1"/>
      <c r="I7747" s="1"/>
      <c r="J7747" s="1"/>
      <c r="K7747" s="1"/>
      <c r="L7747" s="1"/>
      <c r="M7747" s="1"/>
      <c r="N7747" s="1"/>
      <c r="O7747" s="1"/>
      <c r="P7747" s="1"/>
      <c r="Q7747" s="1"/>
      <c r="R7747" s="1"/>
      <c r="S7747" s="1"/>
      <c r="T7747" s="1"/>
      <c r="U7747" s="1"/>
      <c r="V7747" s="1"/>
      <c r="W7747" s="1"/>
      <c r="X7747" s="1"/>
      <c r="Y7747" s="1"/>
      <c r="Z7747" s="1"/>
      <c r="AA7747" s="1"/>
      <c r="AB7747" s="1"/>
    </row>
    <row r="7748" ht="50.25" customHeight="1">
      <c r="A7748" s="12">
        <v>7744.0</v>
      </c>
      <c r="B7748" s="13" t="s">
        <v>7680</v>
      </c>
      <c r="C7748" s="18" t="s">
        <v>7773</v>
      </c>
      <c r="D7748" s="1"/>
      <c r="E7748" s="1"/>
      <c r="F7748" s="1" t="str">
        <f>IFERROR(__xludf.DUMMYFUNCTION("GOOGLETRANSLATE(B7748, ""en"", ""fa"")
"),"درخواست برای معلمان")</f>
        <v>درخواست برای معلمان</v>
      </c>
      <c r="G7748" s="1" t="str">
        <f>IFERROR(__xludf.DUMMYFUNCTION("GOOGLETRANSLATE(C7748, ""en"", ""fa"")
"),"تجربیات خود را با مشارکت دادن والدین در ترویج زمان سالم صفحه نمایش و شهروندی دیجیتال به اشتراک بگذارید.")</f>
        <v>تجربیات خود را با مشارکت دادن والدین در ترویج زمان سالم صفحه نمایش و شهروندی دیجیتال به اشتراک بگذارید.</v>
      </c>
      <c r="H7748" s="1"/>
      <c r="I7748" s="1"/>
      <c r="J7748" s="1"/>
      <c r="K7748" s="1"/>
      <c r="L7748" s="1"/>
      <c r="M7748" s="1"/>
      <c r="N7748" s="1"/>
      <c r="O7748" s="1"/>
      <c r="P7748" s="1"/>
      <c r="Q7748" s="1"/>
      <c r="R7748" s="1"/>
      <c r="S7748" s="1"/>
      <c r="T7748" s="1"/>
      <c r="U7748" s="1"/>
      <c r="V7748" s="1"/>
      <c r="W7748" s="1"/>
      <c r="X7748" s="1"/>
      <c r="Y7748" s="1"/>
      <c r="Z7748" s="1"/>
      <c r="AA7748" s="1"/>
      <c r="AB7748" s="1"/>
    </row>
    <row r="7749" ht="50.25" customHeight="1">
      <c r="A7749" s="12">
        <v>7745.0</v>
      </c>
      <c r="B7749" s="13" t="s">
        <v>7680</v>
      </c>
      <c r="C7749" s="18" t="s">
        <v>7774</v>
      </c>
      <c r="D7749" s="1"/>
      <c r="E7749" s="1"/>
      <c r="F7749" s="1" t="str">
        <f>IFERROR(__xludf.DUMMYFUNCTION("GOOGLETRANSLATE(B7749, ""en"", ""fa"")
"),"درخواست برای معلمان")</f>
        <v>درخواست برای معلمان</v>
      </c>
      <c r="G7749" s="1" t="str">
        <f>IFERROR(__xludf.DUMMYFUNCTION("GOOGLETRANSLATE(C7749, ""en"", ""fa"")
"),"راهبردهایی را برای مشارکت دادن والدین در رسیدگی و حمایت از استعدادها یا علایق ویژه دانش آموزان بررسی کنید.")</f>
        <v>راهبردهایی را برای مشارکت دادن والدین در رسیدگی و حمایت از استعدادها یا علایق ویژه دانش آموزان بررسی کنید.</v>
      </c>
      <c r="H7749" s="1"/>
      <c r="I7749" s="1"/>
      <c r="J7749" s="1"/>
      <c r="K7749" s="1"/>
      <c r="L7749" s="1"/>
      <c r="M7749" s="1"/>
      <c r="N7749" s="1"/>
      <c r="O7749" s="1"/>
      <c r="P7749" s="1"/>
      <c r="Q7749" s="1"/>
      <c r="R7749" s="1"/>
      <c r="S7749" s="1"/>
      <c r="T7749" s="1"/>
      <c r="U7749" s="1"/>
      <c r="V7749" s="1"/>
      <c r="W7749" s="1"/>
      <c r="X7749" s="1"/>
      <c r="Y7749" s="1"/>
      <c r="Z7749" s="1"/>
      <c r="AA7749" s="1"/>
      <c r="AB7749" s="1"/>
    </row>
    <row r="7750" ht="50.25" customHeight="1">
      <c r="A7750" s="12">
        <v>7746.0</v>
      </c>
      <c r="B7750" s="13" t="s">
        <v>7680</v>
      </c>
      <c r="C7750" s="18" t="s">
        <v>7775</v>
      </c>
      <c r="D7750" s="1"/>
      <c r="E7750" s="1"/>
      <c r="F7750" s="1" t="str">
        <f>IFERROR(__xludf.DUMMYFUNCTION("GOOGLETRANSLATE(B7750, ""en"", ""fa"")
"),"درخواست برای معلمان")</f>
        <v>درخواست برای معلمان</v>
      </c>
      <c r="G7750" s="1" t="str">
        <f>IFERROR(__xludf.DUMMYFUNCTION("GOOGLETRANSLATE(C7750, ""en"", ""fa"")
"),"در مورد اهمیت مشارکت والدین در تقویت تاب آوری و مهارت های مقابله ای دانش آموزان بحث کنید.")</f>
        <v>در مورد اهمیت مشارکت والدین در تقویت تاب آوری و مهارت های مقابله ای دانش آموزان بحث کنید.</v>
      </c>
      <c r="H7750" s="1"/>
      <c r="I7750" s="1"/>
      <c r="J7750" s="1"/>
      <c r="K7750" s="1"/>
      <c r="L7750" s="1"/>
      <c r="M7750" s="1"/>
      <c r="N7750" s="1"/>
      <c r="O7750" s="1"/>
      <c r="P7750" s="1"/>
      <c r="Q7750" s="1"/>
      <c r="R7750" s="1"/>
      <c r="S7750" s="1"/>
      <c r="T7750" s="1"/>
      <c r="U7750" s="1"/>
      <c r="V7750" s="1"/>
      <c r="W7750" s="1"/>
      <c r="X7750" s="1"/>
      <c r="Y7750" s="1"/>
      <c r="Z7750" s="1"/>
      <c r="AA7750" s="1"/>
      <c r="AB7750" s="1"/>
    </row>
    <row r="7751" ht="50.25" customHeight="1">
      <c r="A7751" s="12">
        <v>7747.0</v>
      </c>
      <c r="B7751" s="13" t="s">
        <v>7680</v>
      </c>
      <c r="C7751" s="18" t="s">
        <v>7776</v>
      </c>
      <c r="D7751" s="1"/>
      <c r="E7751" s="1"/>
      <c r="F7751" s="1" t="str">
        <f>IFERROR(__xludf.DUMMYFUNCTION("GOOGLETRANSLATE(B7751, ""en"", ""fa"")
"),"درخواست برای معلمان")</f>
        <v>درخواست برای معلمان</v>
      </c>
      <c r="G7751" s="1" t="str">
        <f>IFERROR(__xludf.DUMMYFUNCTION("GOOGLETRANSLATE(C7751, ""en"", ""fa"")
"),"بینش خود را در مورد استراتژی های موثر برای مشارکت دادن والدین در ارتقاء آگاهی و پایداری محیطی به اشتراک بگذارید.")</f>
        <v>بینش خود را در مورد استراتژی های موثر برای مشارکت دادن والدین در ارتقاء آگاهی و پایداری محیطی به اشتراک بگذارید.</v>
      </c>
      <c r="H7751" s="1"/>
      <c r="I7751" s="1"/>
      <c r="J7751" s="1"/>
      <c r="K7751" s="1"/>
      <c r="L7751" s="1"/>
      <c r="M7751" s="1"/>
      <c r="N7751" s="1"/>
      <c r="O7751" s="1"/>
      <c r="P7751" s="1"/>
      <c r="Q7751" s="1"/>
      <c r="R7751" s="1"/>
      <c r="S7751" s="1"/>
      <c r="T7751" s="1"/>
      <c r="U7751" s="1"/>
      <c r="V7751" s="1"/>
      <c r="W7751" s="1"/>
      <c r="X7751" s="1"/>
      <c r="Y7751" s="1"/>
      <c r="Z7751" s="1"/>
      <c r="AA7751" s="1"/>
      <c r="AB7751" s="1"/>
    </row>
    <row r="7752" ht="50.25" customHeight="1">
      <c r="A7752" s="12">
        <v>7748.0</v>
      </c>
      <c r="B7752" s="13" t="s">
        <v>7680</v>
      </c>
      <c r="C7752" s="18" t="s">
        <v>7777</v>
      </c>
      <c r="D7752" s="1"/>
      <c r="E7752" s="1"/>
      <c r="F7752" s="1" t="str">
        <f>IFERROR(__xludf.DUMMYFUNCTION("GOOGLETRANSLATE(B7752, ""en"", ""fa"")
"),"درخواست برای معلمان")</f>
        <v>درخواست برای معلمان</v>
      </c>
      <c r="G7752" s="1" t="str">
        <f>IFERROR(__xludf.DUMMYFUNCTION("GOOGLETRANSLATE(C7752, ""en"", ""fa"")
"),"راه‌های مشارکت والدین در حمایت از سواد مالی دانش‌آموزان و مدیریت مسئولانه پول را بررسی کنید.")</f>
        <v>راه‌های مشارکت والدین در حمایت از سواد مالی دانش‌آموزان و مدیریت مسئولانه پول را بررسی کنید.</v>
      </c>
      <c r="H7752" s="1"/>
      <c r="I7752" s="1"/>
      <c r="J7752" s="1"/>
      <c r="K7752" s="1"/>
      <c r="L7752" s="1"/>
      <c r="M7752" s="1"/>
      <c r="N7752" s="1"/>
      <c r="O7752" s="1"/>
      <c r="P7752" s="1"/>
      <c r="Q7752" s="1"/>
      <c r="R7752" s="1"/>
      <c r="S7752" s="1"/>
      <c r="T7752" s="1"/>
      <c r="U7752" s="1"/>
      <c r="V7752" s="1"/>
      <c r="W7752" s="1"/>
      <c r="X7752" s="1"/>
      <c r="Y7752" s="1"/>
      <c r="Z7752" s="1"/>
      <c r="AA7752" s="1"/>
      <c r="AB7752" s="1"/>
    </row>
    <row r="7753" ht="50.25" customHeight="1">
      <c r="A7753" s="12">
        <v>7749.0</v>
      </c>
      <c r="B7753" s="13" t="s">
        <v>7680</v>
      </c>
      <c r="C7753" s="18" t="s">
        <v>7778</v>
      </c>
      <c r="D7753" s="1"/>
      <c r="E7753" s="1"/>
      <c r="F7753" s="1" t="str">
        <f>IFERROR(__xludf.DUMMYFUNCTION("GOOGLETRANSLATE(B7753, ""en"", ""fa"")
"),"درخواست برای معلمان")</f>
        <v>درخواست برای معلمان</v>
      </c>
      <c r="G7753" s="1" t="str">
        <f>IFERROR(__xludf.DUMMYFUNCTION("GOOGLETRANSLATE(C7753, ""en"", ""fa"")
"),"درباره نقش والدین در ترویج فرهنگ کلاسی مثبت و فراگیر بحث کنید.")</f>
        <v>درباره نقش والدین در ترویج فرهنگ کلاسی مثبت و فراگیر بحث کنید.</v>
      </c>
      <c r="H7753" s="1"/>
      <c r="I7753" s="1"/>
      <c r="J7753" s="1"/>
      <c r="K7753" s="1"/>
      <c r="L7753" s="1"/>
      <c r="M7753" s="1"/>
      <c r="N7753" s="1"/>
      <c r="O7753" s="1"/>
      <c r="P7753" s="1"/>
      <c r="Q7753" s="1"/>
      <c r="R7753" s="1"/>
      <c r="S7753" s="1"/>
      <c r="T7753" s="1"/>
      <c r="U7753" s="1"/>
      <c r="V7753" s="1"/>
      <c r="W7753" s="1"/>
      <c r="X7753" s="1"/>
      <c r="Y7753" s="1"/>
      <c r="Z7753" s="1"/>
      <c r="AA7753" s="1"/>
      <c r="AB7753" s="1"/>
    </row>
    <row r="7754" ht="50.25" customHeight="1">
      <c r="A7754" s="12">
        <v>7750.0</v>
      </c>
      <c r="B7754" s="13" t="s">
        <v>7680</v>
      </c>
      <c r="C7754" s="18" t="s">
        <v>7779</v>
      </c>
      <c r="D7754" s="1"/>
      <c r="E7754" s="1"/>
      <c r="F7754" s="1" t="str">
        <f>IFERROR(__xludf.DUMMYFUNCTION("GOOGLETRANSLATE(B7754, ""en"", ""fa"")
"),"درخواست برای معلمان")</f>
        <v>درخواست برای معلمان</v>
      </c>
      <c r="G7754" s="1" t="str">
        <f>IFERROR(__xludf.DUMMYFUNCTION("GOOGLETRANSLATE(C7754, ""en"", ""fa"")
"),"تجربیات خود را با مشارکت دادن والدین در حمایت از یادگیری و رفاه اجتماعی-عاطفی دانش آموزان به اشتراک بگذارید.")</f>
        <v>تجربیات خود را با مشارکت دادن والدین در حمایت از یادگیری و رفاه اجتماعی-عاطفی دانش آموزان به اشتراک بگذارید.</v>
      </c>
      <c r="H7754" s="1"/>
      <c r="I7754" s="1"/>
      <c r="J7754" s="1"/>
      <c r="K7754" s="1"/>
      <c r="L7754" s="1"/>
      <c r="M7754" s="1"/>
      <c r="N7754" s="1"/>
      <c r="O7754" s="1"/>
      <c r="P7754" s="1"/>
      <c r="Q7754" s="1"/>
      <c r="R7754" s="1"/>
      <c r="S7754" s="1"/>
      <c r="T7754" s="1"/>
      <c r="U7754" s="1"/>
      <c r="V7754" s="1"/>
      <c r="W7754" s="1"/>
      <c r="X7754" s="1"/>
      <c r="Y7754" s="1"/>
      <c r="Z7754" s="1"/>
      <c r="AA7754" s="1"/>
      <c r="AB7754" s="1"/>
    </row>
    <row r="7755" ht="50.25" customHeight="1">
      <c r="A7755" s="12">
        <v>7751.0</v>
      </c>
      <c r="B7755" s="13" t="s">
        <v>7680</v>
      </c>
      <c r="C7755" s="18" t="s">
        <v>7780</v>
      </c>
      <c r="D7755" s="1"/>
      <c r="E7755" s="1"/>
      <c r="F7755" s="1" t="str">
        <f>IFERROR(__xludf.DUMMYFUNCTION("GOOGLETRANSLATE(B7755, ""en"", ""fa"")
"),"درخواست برای معلمان")</f>
        <v>درخواست برای معلمان</v>
      </c>
      <c r="G7755" s="1" t="str">
        <f>IFERROR(__xludf.DUMMYFUNCTION("GOOGLETRANSLATE(C7755, ""en"", ""fa"")
"),"استراتژی‌هایی را برای مشارکت دادن والدین در ترویج عادات خواب سالم و سلامت جسمانی بررسی کنید.")</f>
        <v>استراتژی‌هایی را برای مشارکت دادن والدین در ترویج عادات خواب سالم و سلامت جسمانی بررسی کنید.</v>
      </c>
      <c r="H7755" s="1"/>
      <c r="I7755" s="1"/>
      <c r="J7755" s="1"/>
      <c r="K7755" s="1"/>
      <c r="L7755" s="1"/>
      <c r="M7755" s="1"/>
      <c r="N7755" s="1"/>
      <c r="O7755" s="1"/>
      <c r="P7755" s="1"/>
      <c r="Q7755" s="1"/>
      <c r="R7755" s="1"/>
      <c r="S7755" s="1"/>
      <c r="T7755" s="1"/>
      <c r="U7755" s="1"/>
      <c r="V7755" s="1"/>
      <c r="W7755" s="1"/>
      <c r="X7755" s="1"/>
      <c r="Y7755" s="1"/>
      <c r="Z7755" s="1"/>
      <c r="AA7755" s="1"/>
      <c r="AB7755" s="1"/>
    </row>
    <row r="7756" ht="50.25" customHeight="1">
      <c r="A7756" s="12">
        <v>7752.0</v>
      </c>
      <c r="B7756" s="13" t="s">
        <v>7680</v>
      </c>
      <c r="C7756" s="18" t="s">
        <v>7781</v>
      </c>
      <c r="D7756" s="1"/>
      <c r="E7756" s="1"/>
      <c r="F7756" s="1" t="str">
        <f>IFERROR(__xludf.DUMMYFUNCTION("GOOGLETRANSLATE(B7756, ""en"", ""fa"")
"),"درخواست برای معلمان")</f>
        <v>درخواست برای معلمان</v>
      </c>
      <c r="G7756" s="1" t="str">
        <f>IFERROR(__xludf.DUMMYFUNCTION("GOOGLETRANSLATE(C7756, ""en"", ""fa"")
"),"در مورد تأثیر مشارکت والدین بر حضور و وقت شناسی دانش آموزان بحث کنید.")</f>
        <v>در مورد تأثیر مشارکت والدین بر حضور و وقت شناسی دانش آموزان بحث کنید.</v>
      </c>
      <c r="H7756" s="1"/>
      <c r="I7756" s="1"/>
      <c r="J7756" s="1"/>
      <c r="K7756" s="1"/>
      <c r="L7756" s="1"/>
      <c r="M7756" s="1"/>
      <c r="N7756" s="1"/>
      <c r="O7756" s="1"/>
      <c r="P7756" s="1"/>
      <c r="Q7756" s="1"/>
      <c r="R7756" s="1"/>
      <c r="S7756" s="1"/>
      <c r="T7756" s="1"/>
      <c r="U7756" s="1"/>
      <c r="V7756" s="1"/>
      <c r="W7756" s="1"/>
      <c r="X7756" s="1"/>
      <c r="Y7756" s="1"/>
      <c r="Z7756" s="1"/>
      <c r="AA7756" s="1"/>
      <c r="AB7756" s="1"/>
    </row>
    <row r="7757" ht="50.25" customHeight="1">
      <c r="A7757" s="12">
        <v>7753.0</v>
      </c>
      <c r="B7757" s="13" t="s">
        <v>7680</v>
      </c>
      <c r="C7757" s="18" t="s">
        <v>7782</v>
      </c>
      <c r="D7757" s="1"/>
      <c r="E7757" s="1"/>
      <c r="F7757" s="1" t="str">
        <f>IFERROR(__xludf.DUMMYFUNCTION("GOOGLETRANSLATE(B7757, ""en"", ""fa"")
"),"درخواست برای معلمان")</f>
        <v>درخواست برای معلمان</v>
      </c>
      <c r="G7757" s="1" t="str">
        <f>IFERROR(__xludf.DUMMYFUNCTION("GOOGLETRANSLATE(C7757, ""en"", ""fa"")
"),"بینش خود را در مورد راهبردهای موثر برای مشارکت دادن والدین در ارتقای ذهن آگاهی و مدیریت استرس به اشتراک بگذارید.")</f>
        <v>بینش خود را در مورد راهبردهای موثر برای مشارکت دادن والدین در ارتقای ذهن آگاهی و مدیریت استرس به اشتراک بگذارید.</v>
      </c>
      <c r="H7757" s="1"/>
      <c r="I7757" s="1"/>
      <c r="J7757" s="1"/>
      <c r="K7757" s="1"/>
      <c r="L7757" s="1"/>
      <c r="M7757" s="1"/>
      <c r="N7757" s="1"/>
      <c r="O7757" s="1"/>
      <c r="P7757" s="1"/>
      <c r="Q7757" s="1"/>
      <c r="R7757" s="1"/>
      <c r="S7757" s="1"/>
      <c r="T7757" s="1"/>
      <c r="U7757" s="1"/>
      <c r="V7757" s="1"/>
      <c r="W7757" s="1"/>
      <c r="X7757" s="1"/>
      <c r="Y7757" s="1"/>
      <c r="Z7757" s="1"/>
      <c r="AA7757" s="1"/>
      <c r="AB7757" s="1"/>
    </row>
    <row r="7758" ht="50.25" customHeight="1">
      <c r="A7758" s="12">
        <v>7754.0</v>
      </c>
      <c r="B7758" s="13" t="s">
        <v>7680</v>
      </c>
      <c r="C7758" s="18" t="s">
        <v>7783</v>
      </c>
      <c r="D7758" s="1"/>
      <c r="E7758" s="1"/>
      <c r="F7758" s="1" t="str">
        <f>IFERROR(__xludf.DUMMYFUNCTION("GOOGLETRANSLATE(B7758, ""en"", ""fa"")
"),"درخواست برای معلمان")</f>
        <v>درخواست برای معلمان</v>
      </c>
      <c r="G7758" s="1" t="str">
        <f>IFERROR(__xludf.DUMMYFUNCTION("GOOGLETRANSLATE(C7758, ""en"", ""fa"")
"),"راه‌های مشارکت والدین در حمایت از خلاقیت و نوآوری دانش‌آموزان را بررسی کنید.")</f>
        <v>راه‌های مشارکت والدین در حمایت از خلاقیت و نوآوری دانش‌آموزان را بررسی کنید.</v>
      </c>
      <c r="H7758" s="1"/>
      <c r="I7758" s="1"/>
      <c r="J7758" s="1"/>
      <c r="K7758" s="1"/>
      <c r="L7758" s="1"/>
      <c r="M7758" s="1"/>
      <c r="N7758" s="1"/>
      <c r="O7758" s="1"/>
      <c r="P7758" s="1"/>
      <c r="Q7758" s="1"/>
      <c r="R7758" s="1"/>
      <c r="S7758" s="1"/>
      <c r="T7758" s="1"/>
      <c r="U7758" s="1"/>
      <c r="V7758" s="1"/>
      <c r="W7758" s="1"/>
      <c r="X7758" s="1"/>
      <c r="Y7758" s="1"/>
      <c r="Z7758" s="1"/>
      <c r="AA7758" s="1"/>
      <c r="AB7758" s="1"/>
    </row>
    <row r="7759" ht="50.25" customHeight="1">
      <c r="A7759" s="12">
        <v>7755.0</v>
      </c>
      <c r="B7759" s="13" t="s">
        <v>7680</v>
      </c>
      <c r="C7759" s="18" t="s">
        <v>7784</v>
      </c>
      <c r="D7759" s="1"/>
      <c r="E7759" s="1"/>
      <c r="F7759" s="1" t="str">
        <f>IFERROR(__xludf.DUMMYFUNCTION("GOOGLETRANSLATE(B7759, ""en"", ""fa"")
"),"درخواست برای معلمان")</f>
        <v>درخواست برای معلمان</v>
      </c>
      <c r="G7759" s="1" t="str">
        <f>IFERROR(__xludf.DUMMYFUNCTION("GOOGLETRANSLATE(C7759, ""en"", ""fa"")
"),"در مورد اهمیت مشارکت والدین در ترویج عادات مطالعه مثبت و مهارت های مدیریت زمان بحث کنید.")</f>
        <v>در مورد اهمیت مشارکت والدین در ترویج عادات مطالعه مثبت و مهارت های مدیریت زمان بحث کنید.</v>
      </c>
      <c r="H7759" s="1"/>
      <c r="I7759" s="1"/>
      <c r="J7759" s="1"/>
      <c r="K7759" s="1"/>
      <c r="L7759" s="1"/>
      <c r="M7759" s="1"/>
      <c r="N7759" s="1"/>
      <c r="O7759" s="1"/>
      <c r="P7759" s="1"/>
      <c r="Q7759" s="1"/>
      <c r="R7759" s="1"/>
      <c r="S7759" s="1"/>
      <c r="T7759" s="1"/>
      <c r="U7759" s="1"/>
      <c r="V7759" s="1"/>
      <c r="W7759" s="1"/>
      <c r="X7759" s="1"/>
      <c r="Y7759" s="1"/>
      <c r="Z7759" s="1"/>
      <c r="AA7759" s="1"/>
      <c r="AB7759" s="1"/>
    </row>
    <row r="7760" ht="50.25" customHeight="1">
      <c r="A7760" s="12">
        <v>7756.0</v>
      </c>
      <c r="B7760" s="13" t="s">
        <v>7680</v>
      </c>
      <c r="C7760" s="18" t="s">
        <v>7785</v>
      </c>
      <c r="D7760" s="1"/>
      <c r="E7760" s="1"/>
      <c r="F7760" s="1" t="str">
        <f>IFERROR(__xludf.DUMMYFUNCTION("GOOGLETRANSLATE(B7760, ""en"", ""fa"")
"),"درخواست برای معلمان")</f>
        <v>درخواست برای معلمان</v>
      </c>
      <c r="G7760" s="1" t="str">
        <f>IFERROR(__xludf.DUMMYFUNCTION("GOOGLETRANSLATE(C7760, ""en"", ""fa"")
"),"تجربیات خود را با مشارکت والدین در ترویج جشن های فرهنگی و آگاهی از تنوع به اشتراک بگذارید.")</f>
        <v>تجربیات خود را با مشارکت والدین در ترویج جشن های فرهنگی و آگاهی از تنوع به اشتراک بگذارید.</v>
      </c>
      <c r="H7760" s="1"/>
      <c r="I7760" s="1"/>
      <c r="J7760" s="1"/>
      <c r="K7760" s="1"/>
      <c r="L7760" s="1"/>
      <c r="M7760" s="1"/>
      <c r="N7760" s="1"/>
      <c r="O7760" s="1"/>
      <c r="P7760" s="1"/>
      <c r="Q7760" s="1"/>
      <c r="R7760" s="1"/>
      <c r="S7760" s="1"/>
      <c r="T7760" s="1"/>
      <c r="U7760" s="1"/>
      <c r="V7760" s="1"/>
      <c r="W7760" s="1"/>
      <c r="X7760" s="1"/>
      <c r="Y7760" s="1"/>
      <c r="Z7760" s="1"/>
      <c r="AA7760" s="1"/>
      <c r="AB7760" s="1"/>
    </row>
    <row r="7761" ht="50.25" customHeight="1">
      <c r="A7761" s="12">
        <v>7757.0</v>
      </c>
      <c r="B7761" s="13" t="s">
        <v>7680</v>
      </c>
      <c r="C7761" s="18" t="s">
        <v>7786</v>
      </c>
      <c r="D7761" s="1"/>
      <c r="E7761" s="1"/>
      <c r="F7761" s="1" t="str">
        <f>IFERROR(__xludf.DUMMYFUNCTION("GOOGLETRANSLATE(B7761, ""en"", ""fa"")
"),"درخواست برای معلمان")</f>
        <v>درخواست برای معلمان</v>
      </c>
      <c r="G7761" s="1" t="str">
        <f>IFERROR(__xludf.DUMMYFUNCTION("GOOGLETRANSLATE(C7761, ""en"", ""fa"")
"),"استراتژی‌هایی را برای مشارکت دادن والدین در حمایت از رهبری و مشارکت مدنی دانش‌آموزان بررسی کنید.")</f>
        <v>استراتژی‌هایی را برای مشارکت دادن والدین در حمایت از رهبری و مشارکت مدنی دانش‌آموزان بررسی کنید.</v>
      </c>
      <c r="H7761" s="1"/>
      <c r="I7761" s="1"/>
      <c r="J7761" s="1"/>
      <c r="K7761" s="1"/>
      <c r="L7761" s="1"/>
      <c r="M7761" s="1"/>
      <c r="N7761" s="1"/>
      <c r="O7761" s="1"/>
      <c r="P7761" s="1"/>
      <c r="Q7761" s="1"/>
      <c r="R7761" s="1"/>
      <c r="S7761" s="1"/>
      <c r="T7761" s="1"/>
      <c r="U7761" s="1"/>
      <c r="V7761" s="1"/>
      <c r="W7761" s="1"/>
      <c r="X7761" s="1"/>
      <c r="Y7761" s="1"/>
      <c r="Z7761" s="1"/>
      <c r="AA7761" s="1"/>
      <c r="AB7761" s="1"/>
    </row>
    <row r="7762" ht="50.25" customHeight="1">
      <c r="A7762" s="12">
        <v>7758.0</v>
      </c>
      <c r="B7762" s="13" t="s">
        <v>7680</v>
      </c>
      <c r="C7762" s="18" t="s">
        <v>7787</v>
      </c>
      <c r="D7762" s="1"/>
      <c r="E7762" s="1"/>
      <c r="F7762" s="1" t="str">
        <f>IFERROR(__xludf.DUMMYFUNCTION("GOOGLETRANSLATE(B7762, ""en"", ""fa"")
"),"درخواست برای معلمان")</f>
        <v>درخواست برای معلمان</v>
      </c>
      <c r="G7762" s="1" t="str">
        <f>IFERROR(__xludf.DUMMYFUNCTION("GOOGLETRANSLATE(C7762, ""en"", ""fa"")
"),"درباره نقش والدین در ارتقای مهارت های اجتماعی مثبت و راهبردهای حل تعارض بحث کنید.")</f>
        <v>درباره نقش والدین در ارتقای مهارت های اجتماعی مثبت و راهبردهای حل تعارض بحث کنید.</v>
      </c>
      <c r="H7762" s="1"/>
      <c r="I7762" s="1"/>
      <c r="J7762" s="1"/>
      <c r="K7762" s="1"/>
      <c r="L7762" s="1"/>
      <c r="M7762" s="1"/>
      <c r="N7762" s="1"/>
      <c r="O7762" s="1"/>
      <c r="P7762" s="1"/>
      <c r="Q7762" s="1"/>
      <c r="R7762" s="1"/>
      <c r="S7762" s="1"/>
      <c r="T7762" s="1"/>
      <c r="U7762" s="1"/>
      <c r="V7762" s="1"/>
      <c r="W7762" s="1"/>
      <c r="X7762" s="1"/>
      <c r="Y7762" s="1"/>
      <c r="Z7762" s="1"/>
      <c r="AA7762" s="1"/>
      <c r="AB7762" s="1"/>
    </row>
    <row r="7763" ht="50.25" customHeight="1">
      <c r="A7763" s="12">
        <v>7759.0</v>
      </c>
      <c r="B7763" s="13" t="s">
        <v>7680</v>
      </c>
      <c r="C7763" s="18" t="s">
        <v>7788</v>
      </c>
      <c r="D7763" s="1"/>
      <c r="E7763" s="1"/>
      <c r="F7763" s="1" t="str">
        <f>IFERROR(__xludf.DUMMYFUNCTION("GOOGLETRANSLATE(B7763, ""en"", ""fa"")
"),"درخواست برای معلمان")</f>
        <v>درخواست برای معلمان</v>
      </c>
      <c r="G7763" s="1" t="str">
        <f>IFERROR(__xludf.DUMMYFUNCTION("GOOGLETRANSLATE(C7763, ""en"", ""fa"")
"),"بینش خود را در مورد استراتژی های موثر برای مشارکت دادن والدین در ترویج تغذیه سالم و تندرستی به اشتراک بگذارید.")</f>
        <v>بینش خود را در مورد استراتژی های موثر برای مشارکت دادن والدین در ترویج تغذیه سالم و تندرستی به اشتراک بگذارید.</v>
      </c>
      <c r="H7763" s="1"/>
      <c r="I7763" s="1"/>
      <c r="J7763" s="1"/>
      <c r="K7763" s="1"/>
      <c r="L7763" s="1"/>
      <c r="M7763" s="1"/>
      <c r="N7763" s="1"/>
      <c r="O7763" s="1"/>
      <c r="P7763" s="1"/>
      <c r="Q7763" s="1"/>
      <c r="R7763" s="1"/>
      <c r="S7763" s="1"/>
      <c r="T7763" s="1"/>
      <c r="U7763" s="1"/>
      <c r="V7763" s="1"/>
      <c r="W7763" s="1"/>
      <c r="X7763" s="1"/>
      <c r="Y7763" s="1"/>
      <c r="Z7763" s="1"/>
      <c r="AA7763" s="1"/>
      <c r="AB7763" s="1"/>
    </row>
    <row r="7764" ht="50.25" customHeight="1">
      <c r="A7764" s="12">
        <v>7760.0</v>
      </c>
      <c r="B7764" s="13" t="s">
        <v>7680</v>
      </c>
      <c r="C7764" s="18" t="s">
        <v>7789</v>
      </c>
      <c r="D7764" s="1"/>
      <c r="E7764" s="1"/>
      <c r="F7764" s="1" t="str">
        <f>IFERROR(__xludf.DUMMYFUNCTION("GOOGLETRANSLATE(B7764, ""en"", ""fa"")
"),"درخواست برای معلمان")</f>
        <v>درخواست برای معلمان</v>
      </c>
      <c r="G7764" s="1" t="str">
        <f>IFERROR(__xludf.DUMMYFUNCTION("GOOGLETRANSLATE(C7764, ""en"", ""fa"")
"),"راه‌هایی برای مشارکت والدین در حمایت از آموزش موسیقی، هنر یا هنرهای نمایشی دانش‌آموزان را بررسی کنید.")</f>
        <v>راه‌هایی برای مشارکت والدین در حمایت از آموزش موسیقی، هنر یا هنرهای نمایشی دانش‌آموزان را بررسی کنید.</v>
      </c>
      <c r="H7764" s="1"/>
      <c r="I7764" s="1"/>
      <c r="J7764" s="1"/>
      <c r="K7764" s="1"/>
      <c r="L7764" s="1"/>
      <c r="M7764" s="1"/>
      <c r="N7764" s="1"/>
      <c r="O7764" s="1"/>
      <c r="P7764" s="1"/>
      <c r="Q7764" s="1"/>
      <c r="R7764" s="1"/>
      <c r="S7764" s="1"/>
      <c r="T7764" s="1"/>
      <c r="U7764" s="1"/>
      <c r="V7764" s="1"/>
      <c r="W7764" s="1"/>
      <c r="X7764" s="1"/>
      <c r="Y7764" s="1"/>
      <c r="Z7764" s="1"/>
      <c r="AA7764" s="1"/>
      <c r="AB7764" s="1"/>
    </row>
    <row r="7765" ht="50.25" customHeight="1">
      <c r="A7765" s="12">
        <v>7761.0</v>
      </c>
      <c r="B7765" s="13" t="s">
        <v>7680</v>
      </c>
      <c r="C7765" s="18" t="s">
        <v>7790</v>
      </c>
      <c r="D7765" s="1"/>
      <c r="E7765" s="1"/>
      <c r="F7765" s="1" t="str">
        <f>IFERROR(__xludf.DUMMYFUNCTION("GOOGLETRANSLATE(B7765, ""en"", ""fa"")
"),"درخواست برای معلمان")</f>
        <v>درخواست برای معلمان</v>
      </c>
      <c r="G7765" s="1" t="str">
        <f>IFERROR(__xludf.DUMMYFUNCTION("GOOGLETRANSLATE(C7765, ""en"", ""fa"")
"),"در مورد تأثیر مشارکت والدین در انتقال دانش آموزان به مدارس جدید یا سطوح آموزشی بحث کنید.")</f>
        <v>در مورد تأثیر مشارکت والدین در انتقال دانش آموزان به مدارس جدید یا سطوح آموزشی بحث کنید.</v>
      </c>
      <c r="H7765" s="1"/>
      <c r="I7765" s="1"/>
      <c r="J7765" s="1"/>
      <c r="K7765" s="1"/>
      <c r="L7765" s="1"/>
      <c r="M7765" s="1"/>
      <c r="N7765" s="1"/>
      <c r="O7765" s="1"/>
      <c r="P7765" s="1"/>
      <c r="Q7765" s="1"/>
      <c r="R7765" s="1"/>
      <c r="S7765" s="1"/>
      <c r="T7765" s="1"/>
      <c r="U7765" s="1"/>
      <c r="V7765" s="1"/>
      <c r="W7765" s="1"/>
      <c r="X7765" s="1"/>
      <c r="Y7765" s="1"/>
      <c r="Z7765" s="1"/>
      <c r="AA7765" s="1"/>
      <c r="AB7765" s="1"/>
    </row>
    <row r="7766" ht="50.25" customHeight="1">
      <c r="A7766" s="12">
        <v>7762.0</v>
      </c>
      <c r="B7766" s="13" t="s">
        <v>7680</v>
      </c>
      <c r="C7766" s="18" t="s">
        <v>7791</v>
      </c>
      <c r="D7766" s="1"/>
      <c r="E7766" s="1"/>
      <c r="F7766" s="1" t="str">
        <f>IFERROR(__xludf.DUMMYFUNCTION("GOOGLETRANSLATE(B7766, ""en"", ""fa"")
"),"درخواست برای معلمان")</f>
        <v>درخواست برای معلمان</v>
      </c>
      <c r="G7766" s="1" t="str">
        <f>IFERROR(__xludf.DUMMYFUNCTION("GOOGLETRANSLATE(C7766, ""en"", ""fa"")
"),"تجربیات خود را با مشارکت دادن والدین در ترویج برابری جنسیتی و فراگیری به اشتراک بگذارید.")</f>
        <v>تجربیات خود را با مشارکت دادن والدین در ترویج برابری جنسیتی و فراگیری به اشتراک بگذارید.</v>
      </c>
      <c r="H7766" s="1"/>
      <c r="I7766" s="1"/>
      <c r="J7766" s="1"/>
      <c r="K7766" s="1"/>
      <c r="L7766" s="1"/>
      <c r="M7766" s="1"/>
      <c r="N7766" s="1"/>
      <c r="O7766" s="1"/>
      <c r="P7766" s="1"/>
      <c r="Q7766" s="1"/>
      <c r="R7766" s="1"/>
      <c r="S7766" s="1"/>
      <c r="T7766" s="1"/>
      <c r="U7766" s="1"/>
      <c r="V7766" s="1"/>
      <c r="W7766" s="1"/>
      <c r="X7766" s="1"/>
      <c r="Y7766" s="1"/>
      <c r="Z7766" s="1"/>
      <c r="AA7766" s="1"/>
      <c r="AB7766" s="1"/>
    </row>
    <row r="7767" ht="50.25" customHeight="1">
      <c r="A7767" s="12">
        <v>7763.0</v>
      </c>
      <c r="B7767" s="13" t="s">
        <v>7680</v>
      </c>
      <c r="C7767" s="18" t="s">
        <v>7792</v>
      </c>
      <c r="D7767" s="1"/>
      <c r="E7767" s="1"/>
      <c r="F7767" s="1" t="str">
        <f>IFERROR(__xludf.DUMMYFUNCTION("GOOGLETRANSLATE(B7767, ""en"", ""fa"")
"),"درخواست برای معلمان")</f>
        <v>درخواست برای معلمان</v>
      </c>
      <c r="G7767" s="1" t="str">
        <f>IFERROR(__xludf.DUMMYFUNCTION("GOOGLETRANSLATE(C7767, ""en"", ""fa"")
"),"راهبردهایی را برای مشارکت دادن والدین در ترویج ارتباطات مثبت و ایجاد رابطه در بین دانش آموزان بررسی کنید.")</f>
        <v>راهبردهایی را برای مشارکت دادن والدین در ترویج ارتباطات مثبت و ایجاد رابطه در بین دانش آموزان بررسی کنید.</v>
      </c>
      <c r="H7767" s="1"/>
      <c r="I7767" s="1"/>
      <c r="J7767" s="1"/>
      <c r="K7767" s="1"/>
      <c r="L7767" s="1"/>
      <c r="M7767" s="1"/>
      <c r="N7767" s="1"/>
      <c r="O7767" s="1"/>
      <c r="P7767" s="1"/>
      <c r="Q7767" s="1"/>
      <c r="R7767" s="1"/>
      <c r="S7767" s="1"/>
      <c r="T7767" s="1"/>
      <c r="U7767" s="1"/>
      <c r="V7767" s="1"/>
      <c r="W7767" s="1"/>
      <c r="X7767" s="1"/>
      <c r="Y7767" s="1"/>
      <c r="Z7767" s="1"/>
      <c r="AA7767" s="1"/>
      <c r="AB7767" s="1"/>
    </row>
    <row r="7768" ht="50.25" customHeight="1">
      <c r="A7768" s="12">
        <v>7764.0</v>
      </c>
      <c r="B7768" s="13" t="s">
        <v>7680</v>
      </c>
      <c r="C7768" s="18" t="s">
        <v>7793</v>
      </c>
      <c r="D7768" s="1"/>
      <c r="E7768" s="1"/>
      <c r="F7768" s="1" t="str">
        <f>IFERROR(__xludf.DUMMYFUNCTION("GOOGLETRANSLATE(B7768, ""en"", ""fa"")
"),"درخواست برای معلمان")</f>
        <v>درخواست برای معلمان</v>
      </c>
      <c r="G7768" s="1" t="str">
        <f>IFERROR(__xludf.DUMMYFUNCTION("GOOGLETRANSLATE(C7768, ""en"", ""fa"")
"),"در مورد اهمیت مشارکت والدین در پرورش ذهنیت رشد و تاب آوری تحصیلی بحث کنید.")</f>
        <v>در مورد اهمیت مشارکت والدین در پرورش ذهنیت رشد و تاب آوری تحصیلی بحث کنید.</v>
      </c>
      <c r="H7768" s="1"/>
      <c r="I7768" s="1"/>
      <c r="J7768" s="1"/>
      <c r="K7768" s="1"/>
      <c r="L7768" s="1"/>
      <c r="M7768" s="1"/>
      <c r="N7768" s="1"/>
      <c r="O7768" s="1"/>
      <c r="P7768" s="1"/>
      <c r="Q7768" s="1"/>
      <c r="R7768" s="1"/>
      <c r="S7768" s="1"/>
      <c r="T7768" s="1"/>
      <c r="U7768" s="1"/>
      <c r="V7768" s="1"/>
      <c r="W7768" s="1"/>
      <c r="X7768" s="1"/>
      <c r="Y7768" s="1"/>
      <c r="Z7768" s="1"/>
      <c r="AA7768" s="1"/>
      <c r="AB7768" s="1"/>
    </row>
    <row r="7769" ht="50.25" customHeight="1">
      <c r="A7769" s="12">
        <v>7765.0</v>
      </c>
      <c r="B7769" s="13" t="s">
        <v>7680</v>
      </c>
      <c r="C7769" s="18" t="s">
        <v>7794</v>
      </c>
      <c r="D7769" s="1"/>
      <c r="E7769" s="1"/>
      <c r="F7769" s="1" t="str">
        <f>IFERROR(__xludf.DUMMYFUNCTION("GOOGLETRANSLATE(B7769, ""en"", ""fa"")
"),"درخواست برای معلمان")</f>
        <v>درخواست برای معلمان</v>
      </c>
      <c r="G7769" s="1" t="str">
        <f>IFERROR(__xludf.DUMMYFUNCTION("GOOGLETRANSLATE(C7769, ""en"", ""fa"")
"),"بینش خود را در مورد استراتژی های مؤثر برای مشارکت دادن والدین در حمایت از دانش آموزان در انجام تکالیف و تکالیف به اشتراک بگذارید.")</f>
        <v>بینش خود را در مورد استراتژی های مؤثر برای مشارکت دادن والدین در حمایت از دانش آموزان در انجام تکالیف و تکالیف به اشتراک بگذارید.</v>
      </c>
      <c r="H7769" s="1"/>
      <c r="I7769" s="1"/>
      <c r="J7769" s="1"/>
      <c r="K7769" s="1"/>
      <c r="L7769" s="1"/>
      <c r="M7769" s="1"/>
      <c r="N7769" s="1"/>
      <c r="O7769" s="1"/>
      <c r="P7769" s="1"/>
      <c r="Q7769" s="1"/>
      <c r="R7769" s="1"/>
      <c r="S7769" s="1"/>
      <c r="T7769" s="1"/>
      <c r="U7769" s="1"/>
      <c r="V7769" s="1"/>
      <c r="W7769" s="1"/>
      <c r="X7769" s="1"/>
      <c r="Y7769" s="1"/>
      <c r="Z7769" s="1"/>
      <c r="AA7769" s="1"/>
      <c r="AB7769" s="1"/>
    </row>
    <row r="7770" ht="50.25" customHeight="1">
      <c r="A7770" s="12">
        <v>7766.0</v>
      </c>
      <c r="B7770" s="13" t="s">
        <v>7680</v>
      </c>
      <c r="C7770" s="18" t="s">
        <v>7795</v>
      </c>
      <c r="D7770" s="1"/>
      <c r="E7770" s="1"/>
      <c r="F7770" s="1" t="str">
        <f>IFERROR(__xludf.DUMMYFUNCTION("GOOGLETRANSLATE(B7770, ""en"", ""fa"")
"),"درخواست برای معلمان")</f>
        <v>درخواست برای معلمان</v>
      </c>
      <c r="G7770" s="1" t="str">
        <f>IFERROR(__xludf.DUMMYFUNCTION("GOOGLETRANSLATE(C7770, ""en"", ""fa"")
"),"راه‌هایی را برای مشارکت والدین در حمایت از کاوش شغلی و راهنمایی حرفه‌ای دانش‌آموزان بررسی کنید.")</f>
        <v>راه‌هایی را برای مشارکت والدین در حمایت از کاوش شغلی و راهنمایی حرفه‌ای دانش‌آموزان بررسی کنید.</v>
      </c>
      <c r="H7770" s="1"/>
      <c r="I7770" s="1"/>
      <c r="J7770" s="1"/>
      <c r="K7770" s="1"/>
      <c r="L7770" s="1"/>
      <c r="M7770" s="1"/>
      <c r="N7770" s="1"/>
      <c r="O7770" s="1"/>
      <c r="P7770" s="1"/>
      <c r="Q7770" s="1"/>
      <c r="R7770" s="1"/>
      <c r="S7770" s="1"/>
      <c r="T7770" s="1"/>
      <c r="U7770" s="1"/>
      <c r="V7770" s="1"/>
      <c r="W7770" s="1"/>
      <c r="X7770" s="1"/>
      <c r="Y7770" s="1"/>
      <c r="Z7770" s="1"/>
      <c r="AA7770" s="1"/>
      <c r="AB7770" s="1"/>
    </row>
    <row r="7771" ht="50.25" customHeight="1">
      <c r="A7771" s="12">
        <v>7767.0</v>
      </c>
      <c r="B7771" s="13" t="s">
        <v>7680</v>
      </c>
      <c r="C7771" s="18" t="s">
        <v>7796</v>
      </c>
      <c r="D7771" s="1"/>
      <c r="E7771" s="1"/>
      <c r="F7771" s="1" t="str">
        <f>IFERROR(__xludf.DUMMYFUNCTION("GOOGLETRANSLATE(B7771, ""en"", ""fa"")
"),"درخواست برای معلمان")</f>
        <v>درخواست برای معلمان</v>
      </c>
      <c r="G7771" s="1" t="str">
        <f>IFERROR(__xludf.DUMMYFUNCTION("GOOGLETRANSLATE(C7771, ""en"", ""fa"")
"),"در مورد نقش والدین در ترویج شهروندی دیجیتال مثبت و امنیت آنلاین بحث کنید.")</f>
        <v>در مورد نقش والدین در ترویج شهروندی دیجیتال مثبت و امنیت آنلاین بحث کنید.</v>
      </c>
      <c r="H7771" s="1"/>
      <c r="I7771" s="1"/>
      <c r="J7771" s="1"/>
      <c r="K7771" s="1"/>
      <c r="L7771" s="1"/>
      <c r="M7771" s="1"/>
      <c r="N7771" s="1"/>
      <c r="O7771" s="1"/>
      <c r="P7771" s="1"/>
      <c r="Q7771" s="1"/>
      <c r="R7771" s="1"/>
      <c r="S7771" s="1"/>
      <c r="T7771" s="1"/>
      <c r="U7771" s="1"/>
      <c r="V7771" s="1"/>
      <c r="W7771" s="1"/>
      <c r="X7771" s="1"/>
      <c r="Y7771" s="1"/>
      <c r="Z7771" s="1"/>
      <c r="AA7771" s="1"/>
      <c r="AB7771" s="1"/>
    </row>
    <row r="7772" ht="50.25" customHeight="1">
      <c r="A7772" s="12">
        <v>7768.0</v>
      </c>
      <c r="B7772" s="13" t="s">
        <v>7680</v>
      </c>
      <c r="C7772" s="18" t="s">
        <v>7797</v>
      </c>
      <c r="D7772" s="1"/>
      <c r="E7772" s="1"/>
      <c r="F7772" s="1" t="str">
        <f>IFERROR(__xludf.DUMMYFUNCTION("GOOGLETRANSLATE(B7772, ""en"", ""fa"")
"),"درخواست برای معلمان")</f>
        <v>درخواست برای معلمان</v>
      </c>
      <c r="G7772" s="1" t="str">
        <f>IFERROR(__xludf.DUMMYFUNCTION("GOOGLETRANSLATE(C7772, ""en"", ""fa"")
"),"تجربیات خود را با مشارکت دادن والدین در ترویج روابط مثبت با همسالان و ابتکارات ضد قلدری به اشتراک بگذارید.")</f>
        <v>تجربیات خود را با مشارکت دادن والدین در ترویج روابط مثبت با همسالان و ابتکارات ضد قلدری به اشتراک بگذارید.</v>
      </c>
      <c r="H7772" s="1"/>
      <c r="I7772" s="1"/>
      <c r="J7772" s="1"/>
      <c r="K7772" s="1"/>
      <c r="L7772" s="1"/>
      <c r="M7772" s="1"/>
      <c r="N7772" s="1"/>
      <c r="O7772" s="1"/>
      <c r="P7772" s="1"/>
      <c r="Q7772" s="1"/>
      <c r="R7772" s="1"/>
      <c r="S7772" s="1"/>
      <c r="T7772" s="1"/>
      <c r="U7772" s="1"/>
      <c r="V7772" s="1"/>
      <c r="W7772" s="1"/>
      <c r="X7772" s="1"/>
      <c r="Y7772" s="1"/>
      <c r="Z7772" s="1"/>
      <c r="AA7772" s="1"/>
      <c r="AB7772" s="1"/>
    </row>
    <row r="7773" ht="50.25" customHeight="1">
      <c r="A7773" s="12">
        <v>7769.0</v>
      </c>
      <c r="B7773" s="13" t="s">
        <v>7680</v>
      </c>
      <c r="C7773" s="18" t="s">
        <v>7798</v>
      </c>
      <c r="D7773" s="1"/>
      <c r="E7773" s="1"/>
      <c r="F7773" s="1" t="str">
        <f>IFERROR(__xludf.DUMMYFUNCTION("GOOGLETRANSLATE(B7773, ""en"", ""fa"")
"),"درخواست برای معلمان")</f>
        <v>درخواست برای معلمان</v>
      </c>
      <c r="G7773" s="1" t="str">
        <f>IFERROR(__xludf.DUMMYFUNCTION("GOOGLETRANSLATE(C7773, ""en"", ""fa"")
"),"کاوش راهبردهایی برای مشارکت والدین در حمایت از تربیت بدنی و مشارکت ورزشی دانش آموزان.")</f>
        <v>کاوش راهبردهایی برای مشارکت والدین در حمایت از تربیت بدنی و مشارکت ورزشی دانش آموزان.</v>
      </c>
      <c r="H7773" s="1"/>
      <c r="I7773" s="1"/>
      <c r="J7773" s="1"/>
      <c r="K7773" s="1"/>
      <c r="L7773" s="1"/>
      <c r="M7773" s="1"/>
      <c r="N7773" s="1"/>
      <c r="O7773" s="1"/>
      <c r="P7773" s="1"/>
      <c r="Q7773" s="1"/>
      <c r="R7773" s="1"/>
      <c r="S7773" s="1"/>
      <c r="T7773" s="1"/>
      <c r="U7773" s="1"/>
      <c r="V7773" s="1"/>
      <c r="W7773" s="1"/>
      <c r="X7773" s="1"/>
      <c r="Y7773" s="1"/>
      <c r="Z7773" s="1"/>
      <c r="AA7773" s="1"/>
      <c r="AB7773" s="1"/>
    </row>
    <row r="7774" ht="50.25" customHeight="1">
      <c r="A7774" s="12">
        <v>7770.0</v>
      </c>
      <c r="B7774" s="13" t="s">
        <v>7680</v>
      </c>
      <c r="C7774" s="18" t="s">
        <v>7799</v>
      </c>
      <c r="D7774" s="1"/>
      <c r="E7774" s="1"/>
      <c r="F7774" s="1" t="str">
        <f>IFERROR(__xludf.DUMMYFUNCTION("GOOGLETRANSLATE(B7774, ""en"", ""fa"")
"),"درخواست برای معلمان")</f>
        <v>درخواست برای معلمان</v>
      </c>
      <c r="G7774" s="1" t="str">
        <f>IFERROR(__xludf.DUMMYFUNCTION("GOOGLETRANSLATE(C7774, ""en"", ""fa"")
"),"در مورد نقش والدین در حمایت از رشد شخصیت و آموزش ارزشی دانش آموزان بحث کنید.")</f>
        <v>در مورد نقش والدین در حمایت از رشد شخصیت و آموزش ارزشی دانش آموزان بحث کنید.</v>
      </c>
      <c r="H7774" s="1"/>
      <c r="I7774" s="1"/>
      <c r="J7774" s="1"/>
      <c r="K7774" s="1"/>
      <c r="L7774" s="1"/>
      <c r="M7774" s="1"/>
      <c r="N7774" s="1"/>
      <c r="O7774" s="1"/>
      <c r="P7774" s="1"/>
      <c r="Q7774" s="1"/>
      <c r="R7774" s="1"/>
      <c r="S7774" s="1"/>
      <c r="T7774" s="1"/>
      <c r="U7774" s="1"/>
      <c r="V7774" s="1"/>
      <c r="W7774" s="1"/>
      <c r="X7774" s="1"/>
      <c r="Y7774" s="1"/>
      <c r="Z7774" s="1"/>
      <c r="AA7774" s="1"/>
      <c r="AB7774" s="1"/>
    </row>
    <row r="7775" ht="50.25" customHeight="1">
      <c r="A7775" s="12">
        <v>7771.0</v>
      </c>
      <c r="B7775" s="13" t="s">
        <v>7680</v>
      </c>
      <c r="C7775" s="18" t="s">
        <v>7800</v>
      </c>
      <c r="D7775" s="1"/>
      <c r="E7775" s="1"/>
      <c r="F7775" s="1" t="str">
        <f>IFERROR(__xludf.DUMMYFUNCTION("GOOGLETRANSLATE(B7775, ""en"", ""fa"")
"),"درخواست برای معلمان")</f>
        <v>درخواست برای معلمان</v>
      </c>
      <c r="G7775" s="1" t="str">
        <f>IFERROR(__xludf.DUMMYFUNCTION("GOOGLETRANSLATE(C7775, ""en"", ""fa"")
"),"بینش خود را در مورد استراتژی های موثر برای مشارکت دادن والدین در ارتقای سواد دیجیتال و ایمنی آنلاین به اشتراک بگذارید.")</f>
        <v>بینش خود را در مورد استراتژی های موثر برای مشارکت دادن والدین در ارتقای سواد دیجیتال و ایمنی آنلاین به اشتراک بگذارید.</v>
      </c>
      <c r="H7775" s="1"/>
      <c r="I7775" s="1"/>
      <c r="J7775" s="1"/>
      <c r="K7775" s="1"/>
      <c r="L7775" s="1"/>
      <c r="M7775" s="1"/>
      <c r="N7775" s="1"/>
      <c r="O7775" s="1"/>
      <c r="P7775" s="1"/>
      <c r="Q7775" s="1"/>
      <c r="R7775" s="1"/>
      <c r="S7775" s="1"/>
      <c r="T7775" s="1"/>
      <c r="U7775" s="1"/>
      <c r="V7775" s="1"/>
      <c r="W7775" s="1"/>
      <c r="X7775" s="1"/>
      <c r="Y7775" s="1"/>
      <c r="Z7775" s="1"/>
      <c r="AA7775" s="1"/>
      <c r="AB7775" s="1"/>
    </row>
    <row r="7776" ht="50.25" customHeight="1">
      <c r="A7776" s="12">
        <v>7772.0</v>
      </c>
      <c r="B7776" s="13" t="s">
        <v>7680</v>
      </c>
      <c r="C7776" s="18" t="s">
        <v>7801</v>
      </c>
      <c r="D7776" s="1"/>
      <c r="E7776" s="1"/>
      <c r="F7776" s="1" t="str">
        <f>IFERROR(__xludf.DUMMYFUNCTION("GOOGLETRANSLATE(B7776, ""en"", ""fa"")
"),"درخواست برای معلمان")</f>
        <v>درخواست برای معلمان</v>
      </c>
      <c r="G7776" s="1" t="str">
        <f>IFERROR(__xludf.DUMMYFUNCTION("GOOGLETRANSLATE(C7776, ""en"", ""fa"")
"),"راه‌هایی را برای مشارکت والدین در حمایت از کاوش شغلی و برنامه‌ریزی آینده دانش‌آموزان بررسی کنید.")</f>
        <v>راه‌هایی را برای مشارکت والدین در حمایت از کاوش شغلی و برنامه‌ریزی آینده دانش‌آموزان بررسی کنید.</v>
      </c>
      <c r="H7776" s="1"/>
      <c r="I7776" s="1"/>
      <c r="J7776" s="1"/>
      <c r="K7776" s="1"/>
      <c r="L7776" s="1"/>
      <c r="M7776" s="1"/>
      <c r="N7776" s="1"/>
      <c r="O7776" s="1"/>
      <c r="P7776" s="1"/>
      <c r="Q7776" s="1"/>
      <c r="R7776" s="1"/>
      <c r="S7776" s="1"/>
      <c r="T7776" s="1"/>
      <c r="U7776" s="1"/>
      <c r="V7776" s="1"/>
      <c r="W7776" s="1"/>
      <c r="X7776" s="1"/>
      <c r="Y7776" s="1"/>
      <c r="Z7776" s="1"/>
      <c r="AA7776" s="1"/>
      <c r="AB7776" s="1"/>
    </row>
    <row r="7777" ht="50.25" customHeight="1">
      <c r="A7777" s="12">
        <v>7773.0</v>
      </c>
      <c r="B7777" s="13" t="s">
        <v>7680</v>
      </c>
      <c r="C7777" s="18" t="s">
        <v>7802</v>
      </c>
      <c r="D7777" s="1"/>
      <c r="E7777" s="1"/>
      <c r="F7777" s="1" t="str">
        <f>IFERROR(__xludf.DUMMYFUNCTION("GOOGLETRANSLATE(B7777, ""en"", ""fa"")
"),"درخواست برای معلمان")</f>
        <v>درخواست برای معلمان</v>
      </c>
      <c r="G7777" s="1" t="str">
        <f>IFERROR(__xludf.DUMMYFUNCTION("GOOGLETRANSLATE(C7777, ""en"", ""fa"")
"),"در مورد تأثیر مشارکت والدین بر احساس تعلق و یکپارچگی اجتماعی دانش آموزان بحث کنید.")</f>
        <v>در مورد تأثیر مشارکت والدین بر احساس تعلق و یکپارچگی اجتماعی دانش آموزان بحث کنید.</v>
      </c>
      <c r="H7777" s="1"/>
      <c r="I7777" s="1"/>
      <c r="J7777" s="1"/>
      <c r="K7777" s="1"/>
      <c r="L7777" s="1"/>
      <c r="M7777" s="1"/>
      <c r="N7777" s="1"/>
      <c r="O7777" s="1"/>
      <c r="P7777" s="1"/>
      <c r="Q7777" s="1"/>
      <c r="R7777" s="1"/>
      <c r="S7777" s="1"/>
      <c r="T7777" s="1"/>
      <c r="U7777" s="1"/>
      <c r="V7777" s="1"/>
      <c r="W7777" s="1"/>
      <c r="X7777" s="1"/>
      <c r="Y7777" s="1"/>
      <c r="Z7777" s="1"/>
      <c r="AA7777" s="1"/>
      <c r="AB7777" s="1"/>
    </row>
    <row r="7778" ht="50.25" customHeight="1">
      <c r="A7778" s="12">
        <v>7774.0</v>
      </c>
      <c r="B7778" s="13" t="s">
        <v>7680</v>
      </c>
      <c r="C7778" s="18" t="s">
        <v>7803</v>
      </c>
      <c r="D7778" s="1"/>
      <c r="E7778" s="1"/>
      <c r="F7778" s="1" t="str">
        <f>IFERROR(__xludf.DUMMYFUNCTION("GOOGLETRANSLATE(B7778, ""en"", ""fa"")
"),"درخواست برای معلمان")</f>
        <v>درخواست برای معلمان</v>
      </c>
      <c r="G7778" s="1" t="str">
        <f>IFERROR(__xludf.DUMMYFUNCTION("GOOGLETRANSLATE(C7778, ""en"", ""fa"")
"),"تجربیات خود را با مشارکت دادن والدین در ترویج عادات غذایی سالم و آموزش تغذیه به اشتراک بگذارید.")</f>
        <v>تجربیات خود را با مشارکت دادن والدین در ترویج عادات غذایی سالم و آموزش تغذیه به اشتراک بگذارید.</v>
      </c>
      <c r="H7778" s="1"/>
      <c r="I7778" s="1"/>
      <c r="J7778" s="1"/>
      <c r="K7778" s="1"/>
      <c r="L7778" s="1"/>
      <c r="M7778" s="1"/>
      <c r="N7778" s="1"/>
      <c r="O7778" s="1"/>
      <c r="P7778" s="1"/>
      <c r="Q7778" s="1"/>
      <c r="R7778" s="1"/>
      <c r="S7778" s="1"/>
      <c r="T7778" s="1"/>
      <c r="U7778" s="1"/>
      <c r="V7778" s="1"/>
      <c r="W7778" s="1"/>
      <c r="X7778" s="1"/>
      <c r="Y7778" s="1"/>
      <c r="Z7778" s="1"/>
      <c r="AA7778" s="1"/>
      <c r="AB7778" s="1"/>
    </row>
    <row r="7779" ht="50.25" customHeight="1">
      <c r="A7779" s="12">
        <v>7775.0</v>
      </c>
      <c r="B7779" s="13" t="s">
        <v>7680</v>
      </c>
      <c r="C7779" s="18" t="s">
        <v>7804</v>
      </c>
      <c r="D7779" s="1"/>
      <c r="E7779" s="1"/>
      <c r="F7779" s="1" t="str">
        <f>IFERROR(__xludf.DUMMYFUNCTION("GOOGLETRANSLATE(B7779, ""en"", ""fa"")
"),"درخواست برای معلمان")</f>
        <v>درخواست برای معلمان</v>
      </c>
      <c r="G7779" s="1" t="str">
        <f>IFERROR(__xludf.DUMMYFUNCTION("GOOGLETRANSLATE(C7779, ""en"", ""fa"")
"),"راهبردهایی را برای مشارکت دادن والدین در حمایت از مراقبت و حفاظت از محیط زیست دانش آموزان بررسی کنید.")</f>
        <v>راهبردهایی را برای مشارکت دادن والدین در حمایت از مراقبت و حفاظت از محیط زیست دانش آموزان بررسی کنید.</v>
      </c>
      <c r="H7779" s="1"/>
      <c r="I7779" s="1"/>
      <c r="J7779" s="1"/>
      <c r="K7779" s="1"/>
      <c r="L7779" s="1"/>
      <c r="M7779" s="1"/>
      <c r="N7779" s="1"/>
      <c r="O7779" s="1"/>
      <c r="P7779" s="1"/>
      <c r="Q7779" s="1"/>
      <c r="R7779" s="1"/>
      <c r="S7779" s="1"/>
      <c r="T7779" s="1"/>
      <c r="U7779" s="1"/>
      <c r="V7779" s="1"/>
      <c r="W7779" s="1"/>
      <c r="X7779" s="1"/>
      <c r="Y7779" s="1"/>
      <c r="Z7779" s="1"/>
      <c r="AA7779" s="1"/>
      <c r="AB7779" s="1"/>
    </row>
    <row r="7780" ht="50.25" customHeight="1">
      <c r="A7780" s="12">
        <v>7776.0</v>
      </c>
      <c r="B7780" s="13" t="s">
        <v>7680</v>
      </c>
      <c r="C7780" s="18" t="s">
        <v>7805</v>
      </c>
      <c r="D7780" s="1"/>
      <c r="E7780" s="1"/>
      <c r="F7780" s="1" t="str">
        <f>IFERROR(__xludf.DUMMYFUNCTION("GOOGLETRANSLATE(B7780, ""en"", ""fa"")
"),"درخواست برای معلمان")</f>
        <v>درخواست برای معلمان</v>
      </c>
      <c r="G7780" s="1" t="str">
        <f>IFERROR(__xludf.DUMMYFUNCTION("GOOGLETRANSLATE(C7780, ""en"", ""fa"")
"),"در مورد اهمیت مشارکت والدین در ترویج شیوه های فراگیر برای دانش آموزان با نیازهای متنوع بحث کنید.")</f>
        <v>در مورد اهمیت مشارکت والدین در ترویج شیوه های فراگیر برای دانش آموزان با نیازهای متنوع بحث کنید.</v>
      </c>
      <c r="H7780" s="1"/>
      <c r="I7780" s="1"/>
      <c r="J7780" s="1"/>
      <c r="K7780" s="1"/>
      <c r="L7780" s="1"/>
      <c r="M7780" s="1"/>
      <c r="N7780" s="1"/>
      <c r="O7780" s="1"/>
      <c r="P7780" s="1"/>
      <c r="Q7780" s="1"/>
      <c r="R7780" s="1"/>
      <c r="S7780" s="1"/>
      <c r="T7780" s="1"/>
      <c r="U7780" s="1"/>
      <c r="V7780" s="1"/>
      <c r="W7780" s="1"/>
      <c r="X7780" s="1"/>
      <c r="Y7780" s="1"/>
      <c r="Z7780" s="1"/>
      <c r="AA7780" s="1"/>
      <c r="AB7780" s="1"/>
    </row>
    <row r="7781" ht="50.25" customHeight="1">
      <c r="A7781" s="12">
        <v>7777.0</v>
      </c>
      <c r="B7781" s="13" t="s">
        <v>7680</v>
      </c>
      <c r="C7781" s="18" t="s">
        <v>7806</v>
      </c>
      <c r="D7781" s="1"/>
      <c r="E7781" s="1"/>
      <c r="F7781" s="1" t="str">
        <f>IFERROR(__xludf.DUMMYFUNCTION("GOOGLETRANSLATE(B7781, ""en"", ""fa"")
"),"درخواست برای معلمان")</f>
        <v>درخواست برای معلمان</v>
      </c>
      <c r="G7781" s="1" t="str">
        <f>IFERROR(__xludf.DUMMYFUNCTION("GOOGLETRANSLATE(C7781, ""en"", ""fa"")
"),"بینش خود را در مورد استراتژی های موثر برای مشارکت دادن والدین در ارتقای سواد رسانه ای و مهارت های تفکر انتقادی به اشتراک بگذارید.")</f>
        <v>بینش خود را در مورد استراتژی های موثر برای مشارکت دادن والدین در ارتقای سواد رسانه ای و مهارت های تفکر انتقادی به اشتراک بگذارید.</v>
      </c>
      <c r="H7781" s="1"/>
      <c r="I7781" s="1"/>
      <c r="J7781" s="1"/>
      <c r="K7781" s="1"/>
      <c r="L7781" s="1"/>
      <c r="M7781" s="1"/>
      <c r="N7781" s="1"/>
      <c r="O7781" s="1"/>
      <c r="P7781" s="1"/>
      <c r="Q7781" s="1"/>
      <c r="R7781" s="1"/>
      <c r="S7781" s="1"/>
      <c r="T7781" s="1"/>
      <c r="U7781" s="1"/>
      <c r="V7781" s="1"/>
      <c r="W7781" s="1"/>
      <c r="X7781" s="1"/>
      <c r="Y7781" s="1"/>
      <c r="Z7781" s="1"/>
      <c r="AA7781" s="1"/>
      <c r="AB7781" s="1"/>
    </row>
    <row r="7782" ht="50.25" customHeight="1">
      <c r="A7782" s="12">
        <v>7778.0</v>
      </c>
      <c r="B7782" s="13" t="s">
        <v>7680</v>
      </c>
      <c r="C7782" s="18" t="s">
        <v>7807</v>
      </c>
      <c r="D7782" s="1"/>
      <c r="E7782" s="1"/>
      <c r="F7782" s="1" t="str">
        <f>IFERROR(__xludf.DUMMYFUNCTION("GOOGLETRANSLATE(B7782, ""en"", ""fa"")
"),"درخواست برای معلمان")</f>
        <v>درخواست برای معلمان</v>
      </c>
      <c r="G7782" s="1" t="str">
        <f>IFERROR(__xludf.DUMMYFUNCTION("GOOGLETRANSLATE(C7782, ""en"", ""fa"")
"),"راه‌هایی را برای مشارکت والدین در حمایت از آمادگی جسمانی و سبک زندگی فعال دانش‌آموزان بررسی کنید.")</f>
        <v>راه‌هایی را برای مشارکت والدین در حمایت از آمادگی جسمانی و سبک زندگی فعال دانش‌آموزان بررسی کنید.</v>
      </c>
      <c r="H7782" s="1"/>
      <c r="I7782" s="1"/>
      <c r="J7782" s="1"/>
      <c r="K7782" s="1"/>
      <c r="L7782" s="1"/>
      <c r="M7782" s="1"/>
      <c r="N7782" s="1"/>
      <c r="O7782" s="1"/>
      <c r="P7782" s="1"/>
      <c r="Q7782" s="1"/>
      <c r="R7782" s="1"/>
      <c r="S7782" s="1"/>
      <c r="T7782" s="1"/>
      <c r="U7782" s="1"/>
      <c r="V7782" s="1"/>
      <c r="W7782" s="1"/>
      <c r="X7782" s="1"/>
      <c r="Y7782" s="1"/>
      <c r="Z7782" s="1"/>
      <c r="AA7782" s="1"/>
      <c r="AB7782" s="1"/>
    </row>
    <row r="7783" ht="50.25" customHeight="1">
      <c r="A7783" s="12">
        <v>7779.0</v>
      </c>
      <c r="B7783" s="13" t="s">
        <v>7680</v>
      </c>
      <c r="C7783" s="18" t="s">
        <v>7808</v>
      </c>
      <c r="D7783" s="1"/>
      <c r="E7783" s="1"/>
      <c r="F7783" s="1" t="str">
        <f>IFERROR(__xludf.DUMMYFUNCTION("GOOGLETRANSLATE(B7783, ""en"", ""fa"")
"),"درخواست برای معلمان")</f>
        <v>درخواست برای معلمان</v>
      </c>
      <c r="G7783" s="1" t="str">
        <f>IFERROR(__xludf.DUMMYFUNCTION("GOOGLETRANSLATE(C7783, ""en"", ""fa"")
"),"درباره نقش والدین در ارتقای روابط مثبت با همسالان و مهارت های حل تعارض بحث کنید.")</f>
        <v>درباره نقش والدین در ارتقای روابط مثبت با همسالان و مهارت های حل تعارض بحث کنید.</v>
      </c>
      <c r="H7783" s="1"/>
      <c r="I7783" s="1"/>
      <c r="J7783" s="1"/>
      <c r="K7783" s="1"/>
      <c r="L7783" s="1"/>
      <c r="M7783" s="1"/>
      <c r="N7783" s="1"/>
      <c r="O7783" s="1"/>
      <c r="P7783" s="1"/>
      <c r="Q7783" s="1"/>
      <c r="R7783" s="1"/>
      <c r="S7783" s="1"/>
      <c r="T7783" s="1"/>
      <c r="U7783" s="1"/>
      <c r="V7783" s="1"/>
      <c r="W7783" s="1"/>
      <c r="X7783" s="1"/>
      <c r="Y7783" s="1"/>
      <c r="Z7783" s="1"/>
      <c r="AA7783" s="1"/>
      <c r="AB7783" s="1"/>
    </row>
    <row r="7784" ht="50.25" customHeight="1">
      <c r="A7784" s="12">
        <v>7780.0</v>
      </c>
      <c r="B7784" s="13" t="s">
        <v>7680</v>
      </c>
      <c r="C7784" s="18" t="s">
        <v>7809</v>
      </c>
      <c r="D7784" s="1"/>
      <c r="E7784" s="1"/>
      <c r="F7784" s="1" t="str">
        <f>IFERROR(__xludf.DUMMYFUNCTION("GOOGLETRANSLATE(B7784, ""en"", ""fa"")
"),"درخواست برای معلمان")</f>
        <v>درخواست برای معلمان</v>
      </c>
      <c r="G7784" s="1" t="str">
        <f>IFERROR(__xludf.DUMMYFUNCTION("GOOGLETRANSLATE(C7784, ""en"", ""fa"")
"),"تجربیات خود را با مشارکت والدین در ترویج خدمات اجتماعی و داوطلبانه در بین دانش آموزان به اشتراک بگذارید.")</f>
        <v>تجربیات خود را با مشارکت والدین در ترویج خدمات اجتماعی و داوطلبانه در بین دانش آموزان به اشتراک بگذارید.</v>
      </c>
      <c r="H7784" s="1"/>
      <c r="I7784" s="1"/>
      <c r="J7784" s="1"/>
      <c r="K7784" s="1"/>
      <c r="L7784" s="1"/>
      <c r="M7784" s="1"/>
      <c r="N7784" s="1"/>
      <c r="O7784" s="1"/>
      <c r="P7784" s="1"/>
      <c r="Q7784" s="1"/>
      <c r="R7784" s="1"/>
      <c r="S7784" s="1"/>
      <c r="T7784" s="1"/>
      <c r="U7784" s="1"/>
      <c r="V7784" s="1"/>
      <c r="W7784" s="1"/>
      <c r="X7784" s="1"/>
      <c r="Y7784" s="1"/>
      <c r="Z7784" s="1"/>
      <c r="AA7784" s="1"/>
      <c r="AB7784" s="1"/>
    </row>
    <row r="7785" ht="50.25" customHeight="1">
      <c r="A7785" s="12">
        <v>7781.0</v>
      </c>
      <c r="B7785" s="13" t="s">
        <v>7680</v>
      </c>
      <c r="C7785" s="18" t="s">
        <v>7810</v>
      </c>
      <c r="D7785" s="1"/>
      <c r="E7785" s="1"/>
      <c r="F7785" s="1" t="str">
        <f>IFERROR(__xludf.DUMMYFUNCTION("GOOGLETRANSLATE(B7785, ""en"", ""fa"")
"),"درخواست برای معلمان")</f>
        <v>درخواست برای معلمان</v>
      </c>
      <c r="G7785" s="1" t="str">
        <f>IFERROR(__xludf.DUMMYFUNCTION("GOOGLETRANSLATE(C7785, ""en"", ""fa"")
"),"راهبردهای مشارکت والدین در حمایت از هویت و میراث فرهنگی دانش آموزان را بررسی کنید.")</f>
        <v>راهبردهای مشارکت والدین در حمایت از هویت و میراث فرهنگی دانش آموزان را بررسی کنید.</v>
      </c>
      <c r="H7785" s="1"/>
      <c r="I7785" s="1"/>
      <c r="J7785" s="1"/>
      <c r="K7785" s="1"/>
      <c r="L7785" s="1"/>
      <c r="M7785" s="1"/>
      <c r="N7785" s="1"/>
      <c r="O7785" s="1"/>
      <c r="P7785" s="1"/>
      <c r="Q7785" s="1"/>
      <c r="R7785" s="1"/>
      <c r="S7785" s="1"/>
      <c r="T7785" s="1"/>
      <c r="U7785" s="1"/>
      <c r="V7785" s="1"/>
      <c r="W7785" s="1"/>
      <c r="X7785" s="1"/>
      <c r="Y7785" s="1"/>
      <c r="Z7785" s="1"/>
      <c r="AA7785" s="1"/>
      <c r="AB7785" s="1"/>
    </row>
    <row r="7786" ht="50.25" customHeight="1">
      <c r="A7786" s="12">
        <v>7782.0</v>
      </c>
      <c r="B7786" s="13" t="s">
        <v>7680</v>
      </c>
      <c r="C7786" s="18" t="s">
        <v>7811</v>
      </c>
      <c r="D7786" s="1"/>
      <c r="E7786" s="1"/>
      <c r="F7786" s="1" t="str">
        <f>IFERROR(__xludf.DUMMYFUNCTION("GOOGLETRANSLATE(B7786, ""en"", ""fa"")
"),"درخواست برای معلمان")</f>
        <v>درخواست برای معلمان</v>
      </c>
      <c r="G7786" s="1" t="str">
        <f>IFERROR(__xludf.DUMMYFUNCTION("GOOGLETRANSLATE(C7786, ""en"", ""fa"")
"),"در مورد تأثیر مشارکت والدین بر احساس مسئولیت و مسئولیت پذیری دانش آموزان بحث کنید.")</f>
        <v>در مورد تأثیر مشارکت والدین بر احساس مسئولیت و مسئولیت پذیری دانش آموزان بحث کنید.</v>
      </c>
      <c r="H7786" s="1"/>
      <c r="I7786" s="1"/>
      <c r="J7786" s="1"/>
      <c r="K7786" s="1"/>
      <c r="L7786" s="1"/>
      <c r="M7786" s="1"/>
      <c r="N7786" s="1"/>
      <c r="O7786" s="1"/>
      <c r="P7786" s="1"/>
      <c r="Q7786" s="1"/>
      <c r="R7786" s="1"/>
      <c r="S7786" s="1"/>
      <c r="T7786" s="1"/>
      <c r="U7786" s="1"/>
      <c r="V7786" s="1"/>
      <c r="W7786" s="1"/>
      <c r="X7786" s="1"/>
      <c r="Y7786" s="1"/>
      <c r="Z7786" s="1"/>
      <c r="AA7786" s="1"/>
      <c r="AB7786" s="1"/>
    </row>
    <row r="7787" ht="50.25" customHeight="1">
      <c r="A7787" s="12">
        <v>7783.0</v>
      </c>
      <c r="B7787" s="13" t="s">
        <v>7680</v>
      </c>
      <c r="C7787" s="18" t="s">
        <v>7812</v>
      </c>
      <c r="D7787" s="1"/>
      <c r="E7787" s="1"/>
      <c r="F7787" s="1" t="str">
        <f>IFERROR(__xludf.DUMMYFUNCTION("GOOGLETRANSLATE(B7787, ""en"", ""fa"")
"),"درخواست برای معلمان")</f>
        <v>درخواست برای معلمان</v>
      </c>
      <c r="G7787" s="1" t="str">
        <f>IFERROR(__xludf.DUMMYFUNCTION("GOOGLETRANSLATE(C7787, ""en"", ""fa"")
"),"بینش خود را در مورد استراتژی های موثر برای مشارکت دادن والدین در ترویج خلاقیت و نوآوری در کلاس درس به اشتراک بگذارید.")</f>
        <v>بینش خود را در مورد استراتژی های موثر برای مشارکت دادن والدین در ترویج خلاقیت و نوآوری در کلاس درس به اشتراک بگذارید.</v>
      </c>
      <c r="H7787" s="1"/>
      <c r="I7787" s="1"/>
      <c r="J7787" s="1"/>
      <c r="K7787" s="1"/>
      <c r="L7787" s="1"/>
      <c r="M7787" s="1"/>
      <c r="N7787" s="1"/>
      <c r="O7787" s="1"/>
      <c r="P7787" s="1"/>
      <c r="Q7787" s="1"/>
      <c r="R7787" s="1"/>
      <c r="S7787" s="1"/>
      <c r="T7787" s="1"/>
      <c r="U7787" s="1"/>
      <c r="V7787" s="1"/>
      <c r="W7787" s="1"/>
      <c r="X7787" s="1"/>
      <c r="Y7787" s="1"/>
      <c r="Z7787" s="1"/>
      <c r="AA7787" s="1"/>
      <c r="AB7787" s="1"/>
    </row>
    <row r="7788" ht="50.25" customHeight="1">
      <c r="A7788" s="12">
        <v>7784.0</v>
      </c>
      <c r="B7788" s="13" t="s">
        <v>7680</v>
      </c>
      <c r="C7788" s="18" t="s">
        <v>7813</v>
      </c>
      <c r="D7788" s="1"/>
      <c r="E7788" s="1"/>
      <c r="F7788" s="1" t="str">
        <f>IFERROR(__xludf.DUMMYFUNCTION("GOOGLETRANSLATE(B7788, ""en"", ""fa"")
"),"درخواست برای معلمان")</f>
        <v>درخواست برای معلمان</v>
      </c>
      <c r="G7788" s="1" t="str">
        <f>IFERROR(__xludf.DUMMYFUNCTION("GOOGLETRANSLATE(C7788, ""en"", ""fa"")
"),"راه‌های مشارکت والدین در حمایت از مهارت‌های اجتماعی و هوش هیجانی دانش‌آموزان را بررسی کنید.")</f>
        <v>راه‌های مشارکت والدین در حمایت از مهارت‌های اجتماعی و هوش هیجانی دانش‌آموزان را بررسی کنید.</v>
      </c>
      <c r="H7788" s="1"/>
      <c r="I7788" s="1"/>
      <c r="J7788" s="1"/>
      <c r="K7788" s="1"/>
      <c r="L7788" s="1"/>
      <c r="M7788" s="1"/>
      <c r="N7788" s="1"/>
      <c r="O7788" s="1"/>
      <c r="P7788" s="1"/>
      <c r="Q7788" s="1"/>
      <c r="R7788" s="1"/>
      <c r="S7788" s="1"/>
      <c r="T7788" s="1"/>
      <c r="U7788" s="1"/>
      <c r="V7788" s="1"/>
      <c r="W7788" s="1"/>
      <c r="X7788" s="1"/>
      <c r="Y7788" s="1"/>
      <c r="Z7788" s="1"/>
      <c r="AA7788" s="1"/>
      <c r="AB7788" s="1"/>
    </row>
    <row r="7789" ht="50.25" customHeight="1">
      <c r="A7789" s="12">
        <v>7785.0</v>
      </c>
      <c r="B7789" s="13" t="s">
        <v>7680</v>
      </c>
      <c r="C7789" s="18" t="s">
        <v>7814</v>
      </c>
      <c r="D7789" s="1"/>
      <c r="E7789" s="1"/>
      <c r="F7789" s="1" t="str">
        <f>IFERROR(__xludf.DUMMYFUNCTION("GOOGLETRANSLATE(B7789, ""en"", ""fa"")
"),"درخواست برای معلمان")</f>
        <v>درخواست برای معلمان</v>
      </c>
      <c r="G7789" s="1" t="str">
        <f>IFERROR(__xludf.DUMMYFUNCTION("GOOGLETRANSLATE(C7789, ""en"", ""fa"")
"),"در مورد اهمیت مشارکت والدین در پرورش رفتار آنلاین مثبت و محترمانه در بین دانش آموزان بحث کنید.")</f>
        <v>در مورد اهمیت مشارکت والدین در پرورش رفتار آنلاین مثبت و محترمانه در بین دانش آموزان بحث کنید.</v>
      </c>
      <c r="H7789" s="1"/>
      <c r="I7789" s="1"/>
      <c r="J7789" s="1"/>
      <c r="K7789" s="1"/>
      <c r="L7789" s="1"/>
      <c r="M7789" s="1"/>
      <c r="N7789" s="1"/>
      <c r="O7789" s="1"/>
      <c r="P7789" s="1"/>
      <c r="Q7789" s="1"/>
      <c r="R7789" s="1"/>
      <c r="S7789" s="1"/>
      <c r="T7789" s="1"/>
      <c r="U7789" s="1"/>
      <c r="V7789" s="1"/>
      <c r="W7789" s="1"/>
      <c r="X7789" s="1"/>
      <c r="Y7789" s="1"/>
      <c r="Z7789" s="1"/>
      <c r="AA7789" s="1"/>
      <c r="AB7789" s="1"/>
    </row>
    <row r="7790" ht="50.25" customHeight="1">
      <c r="A7790" s="12">
        <v>7786.0</v>
      </c>
      <c r="B7790" s="13" t="s">
        <v>7680</v>
      </c>
      <c r="C7790" s="18" t="s">
        <v>7815</v>
      </c>
      <c r="D7790" s="1"/>
      <c r="E7790" s="1"/>
      <c r="F7790" s="1" t="str">
        <f>IFERROR(__xludf.DUMMYFUNCTION("GOOGLETRANSLATE(B7790, ""en"", ""fa"")
"),"درخواست برای معلمان")</f>
        <v>درخواست برای معلمان</v>
      </c>
      <c r="G7790" s="1" t="str">
        <f>IFERROR(__xludf.DUMMYFUNCTION("GOOGLETRANSLATE(C7790, ""en"", ""fa"")
"),"تجربیات خود را با مشارکت دادن والدین در حمایت از رشد سواد و عادات خواندن دانش آموزان به اشتراک بگذارید.")</f>
        <v>تجربیات خود را با مشارکت دادن والدین در حمایت از رشد سواد و عادات خواندن دانش آموزان به اشتراک بگذارید.</v>
      </c>
      <c r="H7790" s="1"/>
      <c r="I7790" s="1"/>
      <c r="J7790" s="1"/>
      <c r="K7790" s="1"/>
      <c r="L7790" s="1"/>
      <c r="M7790" s="1"/>
      <c r="N7790" s="1"/>
      <c r="O7790" s="1"/>
      <c r="P7790" s="1"/>
      <c r="Q7790" s="1"/>
      <c r="R7790" s="1"/>
      <c r="S7790" s="1"/>
      <c r="T7790" s="1"/>
      <c r="U7790" s="1"/>
      <c r="V7790" s="1"/>
      <c r="W7790" s="1"/>
      <c r="X7790" s="1"/>
      <c r="Y7790" s="1"/>
      <c r="Z7790" s="1"/>
      <c r="AA7790" s="1"/>
      <c r="AB7790" s="1"/>
    </row>
    <row r="7791" ht="50.25" customHeight="1">
      <c r="A7791" s="12">
        <v>7787.0</v>
      </c>
      <c r="B7791" s="13" t="s">
        <v>7680</v>
      </c>
      <c r="C7791" s="18" t="s">
        <v>7816</v>
      </c>
      <c r="D7791" s="1"/>
      <c r="E7791" s="1"/>
      <c r="F7791" s="1" t="str">
        <f>IFERROR(__xludf.DUMMYFUNCTION("GOOGLETRANSLATE(B7791, ""en"", ""fa"")
"),"درخواست برای معلمان")</f>
        <v>درخواست برای معلمان</v>
      </c>
      <c r="G7791" s="1" t="str">
        <f>IFERROR(__xludf.DUMMYFUNCTION("GOOGLETRANSLATE(C7791, ""en"", ""fa"")
"),"استراتژی‌هایی را برای مشارکت دادن والدین در ترویج حضور مثبت و وقت‌شناسی مدرسه بررسی کنید.")</f>
        <v>استراتژی‌هایی را برای مشارکت دادن والدین در ترویج حضور مثبت و وقت‌شناسی مدرسه بررسی کنید.</v>
      </c>
      <c r="H7791" s="1"/>
      <c r="I7791" s="1"/>
      <c r="J7791" s="1"/>
      <c r="K7791" s="1"/>
      <c r="L7791" s="1"/>
      <c r="M7791" s="1"/>
      <c r="N7791" s="1"/>
      <c r="O7791" s="1"/>
      <c r="P7791" s="1"/>
      <c r="Q7791" s="1"/>
      <c r="R7791" s="1"/>
      <c r="S7791" s="1"/>
      <c r="T7791" s="1"/>
      <c r="U7791" s="1"/>
      <c r="V7791" s="1"/>
      <c r="W7791" s="1"/>
      <c r="X7791" s="1"/>
      <c r="Y7791" s="1"/>
      <c r="Z7791" s="1"/>
      <c r="AA7791" s="1"/>
      <c r="AB7791" s="1"/>
    </row>
    <row r="7792" ht="50.25" customHeight="1">
      <c r="A7792" s="12">
        <v>7788.0</v>
      </c>
      <c r="B7792" s="13" t="s">
        <v>7680</v>
      </c>
      <c r="C7792" s="18" t="s">
        <v>7817</v>
      </c>
      <c r="D7792" s="1"/>
      <c r="E7792" s="1"/>
      <c r="F7792" s="1" t="str">
        <f>IFERROR(__xludf.DUMMYFUNCTION("GOOGLETRANSLATE(B7792, ""en"", ""fa"")
"),"درخواست برای معلمان")</f>
        <v>درخواست برای معلمان</v>
      </c>
      <c r="G7792" s="1" t="str">
        <f>IFERROR(__xludf.DUMMYFUNCTION("GOOGLETRANSLATE(C7792, ""en"", ""fa"")
"),"در مورد نقش والدین در ترویج عادات مطالعه مثبت و راهبردهای یادگیری موثر بحث کنید.")</f>
        <v>در مورد نقش والدین در ترویج عادات مطالعه مثبت و راهبردهای یادگیری موثر بحث کنید.</v>
      </c>
      <c r="H7792" s="1"/>
      <c r="I7792" s="1"/>
      <c r="J7792" s="1"/>
      <c r="K7792" s="1"/>
      <c r="L7792" s="1"/>
      <c r="M7792" s="1"/>
      <c r="N7792" s="1"/>
      <c r="O7792" s="1"/>
      <c r="P7792" s="1"/>
      <c r="Q7792" s="1"/>
      <c r="R7792" s="1"/>
      <c r="S7792" s="1"/>
      <c r="T7792" s="1"/>
      <c r="U7792" s="1"/>
      <c r="V7792" s="1"/>
      <c r="W7792" s="1"/>
      <c r="X7792" s="1"/>
      <c r="Y7792" s="1"/>
      <c r="Z7792" s="1"/>
      <c r="AA7792" s="1"/>
      <c r="AB7792" s="1"/>
    </row>
    <row r="7793" ht="50.25" customHeight="1">
      <c r="A7793" s="12">
        <v>7789.0</v>
      </c>
      <c r="B7793" s="13" t="s">
        <v>7680</v>
      </c>
      <c r="C7793" s="18" t="s">
        <v>7818</v>
      </c>
      <c r="D7793" s="1"/>
      <c r="E7793" s="1"/>
      <c r="F7793" s="1" t="str">
        <f>IFERROR(__xludf.DUMMYFUNCTION("GOOGLETRANSLATE(B7793, ""en"", ""fa"")
"),"درخواست برای معلمان")</f>
        <v>درخواست برای معلمان</v>
      </c>
      <c r="G7793" s="1" t="str">
        <f>IFERROR(__xludf.DUMMYFUNCTION("GOOGLETRANSLATE(C7793, ""en"", ""fa"")
"),"راه‌هایی برای مشارکت دادن والدین در حمایت از علایق و استعدادهای فوق برنامه دانش‌آموزان را بررسی کنید.")</f>
        <v>راه‌هایی برای مشارکت دادن والدین در حمایت از علایق و استعدادهای فوق برنامه دانش‌آموزان را بررسی کنید.</v>
      </c>
      <c r="H7793" s="1"/>
      <c r="I7793" s="1"/>
      <c r="J7793" s="1"/>
      <c r="K7793" s="1"/>
      <c r="L7793" s="1"/>
      <c r="M7793" s="1"/>
      <c r="N7793" s="1"/>
      <c r="O7793" s="1"/>
      <c r="P7793" s="1"/>
      <c r="Q7793" s="1"/>
      <c r="R7793" s="1"/>
      <c r="S7793" s="1"/>
      <c r="T7793" s="1"/>
      <c r="U7793" s="1"/>
      <c r="V7793" s="1"/>
      <c r="W7793" s="1"/>
      <c r="X7793" s="1"/>
      <c r="Y7793" s="1"/>
      <c r="Z7793" s="1"/>
      <c r="AA7793" s="1"/>
      <c r="AB7793" s="1"/>
    </row>
    <row r="7794" ht="50.25" customHeight="1">
      <c r="A7794" s="12">
        <v>7790.0</v>
      </c>
      <c r="B7794" s="13" t="s">
        <v>7680</v>
      </c>
      <c r="C7794" s="18" t="s">
        <v>7819</v>
      </c>
      <c r="D7794" s="1"/>
      <c r="E7794" s="1"/>
      <c r="F7794" s="1" t="str">
        <f>IFERROR(__xludf.DUMMYFUNCTION("GOOGLETRANSLATE(B7794, ""en"", ""fa"")
"),"درخواست برای معلمان")</f>
        <v>درخواست برای معلمان</v>
      </c>
      <c r="G7794" s="1" t="str">
        <f>IFERROR(__xludf.DUMMYFUNCTION("GOOGLETRANSLATE(C7794, ""en"", ""fa"")
"),"در مورد تأثیر مشارکت والدین بر احساس انگیزه و پیشرفت دانش آموزان بحث کنید.")</f>
        <v>در مورد تأثیر مشارکت والدین بر احساس انگیزه و پیشرفت دانش آموزان بحث کنید.</v>
      </c>
      <c r="H7794" s="1"/>
      <c r="I7794" s="1"/>
      <c r="J7794" s="1"/>
      <c r="K7794" s="1"/>
      <c r="L7794" s="1"/>
      <c r="M7794" s="1"/>
      <c r="N7794" s="1"/>
      <c r="O7794" s="1"/>
      <c r="P7794" s="1"/>
      <c r="Q7794" s="1"/>
      <c r="R7794" s="1"/>
      <c r="S7794" s="1"/>
      <c r="T7794" s="1"/>
      <c r="U7794" s="1"/>
      <c r="V7794" s="1"/>
      <c r="W7794" s="1"/>
      <c r="X7794" s="1"/>
      <c r="Y7794" s="1"/>
      <c r="Z7794" s="1"/>
      <c r="AA7794" s="1"/>
      <c r="AB7794" s="1"/>
    </row>
    <row r="7795" ht="50.25" customHeight="1">
      <c r="A7795" s="12">
        <v>7791.0</v>
      </c>
      <c r="B7795" s="13" t="s">
        <v>7680</v>
      </c>
      <c r="C7795" s="18" t="s">
        <v>7820</v>
      </c>
      <c r="D7795" s="1"/>
      <c r="E7795" s="1"/>
      <c r="F7795" s="1" t="str">
        <f>IFERROR(__xludf.DUMMYFUNCTION("GOOGLETRANSLATE(B7795, ""en"", ""fa"")
"),"درخواست برای معلمان")</f>
        <v>درخواست برای معلمان</v>
      </c>
      <c r="G7795" s="1" t="str">
        <f>IFERROR(__xludf.DUMMYFUNCTION("GOOGLETRANSLATE(C7795, ""en"", ""fa"")
"),"تجربیات خود را با مشارکت دادن والدین در ترویج شیوه های فراگیر برای دانش آموزان با پیشینه های فرهنگی مختلف به اشتراک بگذارید.")</f>
        <v>تجربیات خود را با مشارکت دادن والدین در ترویج شیوه های فراگیر برای دانش آموزان با پیشینه های فرهنگی مختلف به اشتراک بگذارید.</v>
      </c>
      <c r="H7795" s="1"/>
      <c r="I7795" s="1"/>
      <c r="J7795" s="1"/>
      <c r="K7795" s="1"/>
      <c r="L7795" s="1"/>
      <c r="M7795" s="1"/>
      <c r="N7795" s="1"/>
      <c r="O7795" s="1"/>
      <c r="P7795" s="1"/>
      <c r="Q7795" s="1"/>
      <c r="R7795" s="1"/>
      <c r="S7795" s="1"/>
      <c r="T7795" s="1"/>
      <c r="U7795" s="1"/>
      <c r="V7795" s="1"/>
      <c r="W7795" s="1"/>
      <c r="X7795" s="1"/>
      <c r="Y7795" s="1"/>
      <c r="Z7795" s="1"/>
      <c r="AA7795" s="1"/>
      <c r="AB7795" s="1"/>
    </row>
    <row r="7796" ht="50.25" customHeight="1">
      <c r="A7796" s="12">
        <v>7792.0</v>
      </c>
      <c r="B7796" s="13" t="s">
        <v>7680</v>
      </c>
      <c r="C7796" s="18" t="s">
        <v>7821</v>
      </c>
      <c r="D7796" s="1"/>
      <c r="E7796" s="1"/>
      <c r="F7796" s="1" t="str">
        <f>IFERROR(__xludf.DUMMYFUNCTION("GOOGLETRANSLATE(B7796, ""en"", ""fa"")
"),"درخواست برای معلمان")</f>
        <v>درخواست برای معلمان</v>
      </c>
      <c r="G7796" s="1" t="str">
        <f>IFERROR(__xludf.DUMMYFUNCTION("GOOGLETRANSLATE(C7796, ""en"", ""fa"")
"),"استراتژی‌هایی را برای مشارکت والدین در حمایت از سواد فناوری دانش‌آموزان و شهروندی دیجیتال مسئولانه بررسی کنید.")</f>
        <v>استراتژی‌هایی را برای مشارکت والدین در حمایت از سواد فناوری دانش‌آموزان و شهروندی دیجیتال مسئولانه بررسی کنید.</v>
      </c>
      <c r="H7796" s="1"/>
      <c r="I7796" s="1"/>
      <c r="J7796" s="1"/>
      <c r="K7796" s="1"/>
      <c r="L7796" s="1"/>
      <c r="M7796" s="1"/>
      <c r="N7796" s="1"/>
      <c r="O7796" s="1"/>
      <c r="P7796" s="1"/>
      <c r="Q7796" s="1"/>
      <c r="R7796" s="1"/>
      <c r="S7796" s="1"/>
      <c r="T7796" s="1"/>
      <c r="U7796" s="1"/>
      <c r="V7796" s="1"/>
      <c r="W7796" s="1"/>
      <c r="X7796" s="1"/>
      <c r="Y7796" s="1"/>
      <c r="Z7796" s="1"/>
      <c r="AA7796" s="1"/>
      <c r="AB7796" s="1"/>
    </row>
    <row r="7797" ht="50.25" customHeight="1">
      <c r="A7797" s="12">
        <v>7793.0</v>
      </c>
      <c r="B7797" s="13" t="s">
        <v>7680</v>
      </c>
      <c r="C7797" s="18" t="s">
        <v>7822</v>
      </c>
      <c r="D7797" s="1"/>
      <c r="E7797" s="1"/>
      <c r="F7797" s="1" t="str">
        <f>IFERROR(__xludf.DUMMYFUNCTION("GOOGLETRANSLATE(B7797, ""en"", ""fa"")
"),"درخواست برای معلمان")</f>
        <v>درخواست برای معلمان</v>
      </c>
      <c r="G7797" s="1" t="str">
        <f>IFERROR(__xludf.DUMMYFUNCTION("GOOGLETRANSLATE(C7797, ""en"", ""fa"")
"),"در مورد اهمیت مشارکت والدین در پرورش ذهنیت رشد و تاب آوری در دانش آموزان بحث کنید.")</f>
        <v>در مورد اهمیت مشارکت والدین در پرورش ذهنیت رشد و تاب آوری در دانش آموزان بحث کنید.</v>
      </c>
      <c r="H7797" s="1"/>
      <c r="I7797" s="1"/>
      <c r="J7797" s="1"/>
      <c r="K7797" s="1"/>
      <c r="L7797" s="1"/>
      <c r="M7797" s="1"/>
      <c r="N7797" s="1"/>
      <c r="O7797" s="1"/>
      <c r="P7797" s="1"/>
      <c r="Q7797" s="1"/>
      <c r="R7797" s="1"/>
      <c r="S7797" s="1"/>
      <c r="T7797" s="1"/>
      <c r="U7797" s="1"/>
      <c r="V7797" s="1"/>
      <c r="W7797" s="1"/>
      <c r="X7797" s="1"/>
      <c r="Y7797" s="1"/>
      <c r="Z7797" s="1"/>
      <c r="AA7797" s="1"/>
      <c r="AB7797" s="1"/>
    </row>
    <row r="7798" ht="50.25" customHeight="1">
      <c r="A7798" s="12">
        <v>7794.0</v>
      </c>
      <c r="B7798" s="13" t="s">
        <v>7680</v>
      </c>
      <c r="C7798" s="18" t="s">
        <v>7823</v>
      </c>
      <c r="D7798" s="1"/>
      <c r="E7798" s="1"/>
      <c r="F7798" s="1" t="str">
        <f>IFERROR(__xludf.DUMMYFUNCTION("GOOGLETRANSLATE(B7798, ""en"", ""fa"")
"),"درخواست برای معلمان")</f>
        <v>درخواست برای معلمان</v>
      </c>
      <c r="G7798" s="1" t="str">
        <f>IFERROR(__xludf.DUMMYFUNCTION("GOOGLETRANSLATE(C7798, ""en"", ""fa"")
"),"چند روش موثر برای تقویت مشارکت قوی با والدین و سرپرستان چیست؟")</f>
        <v>چند روش موثر برای تقویت مشارکت قوی با والدین و سرپرستان چیست؟</v>
      </c>
      <c r="H7798" s="1"/>
      <c r="I7798" s="1"/>
      <c r="J7798" s="1"/>
      <c r="K7798" s="1"/>
      <c r="L7798" s="1"/>
      <c r="M7798" s="1"/>
      <c r="N7798" s="1"/>
      <c r="O7798" s="1"/>
      <c r="P7798" s="1"/>
      <c r="Q7798" s="1"/>
      <c r="R7798" s="1"/>
      <c r="S7798" s="1"/>
      <c r="T7798" s="1"/>
      <c r="U7798" s="1"/>
      <c r="V7798" s="1"/>
      <c r="W7798" s="1"/>
      <c r="X7798" s="1"/>
      <c r="Y7798" s="1"/>
      <c r="Z7798" s="1"/>
      <c r="AA7798" s="1"/>
      <c r="AB7798" s="1"/>
    </row>
    <row r="7799" ht="50.25" customHeight="1">
      <c r="A7799" s="12">
        <v>7795.0</v>
      </c>
      <c r="B7799" s="13" t="s">
        <v>7680</v>
      </c>
      <c r="C7799" s="18" t="s">
        <v>7824</v>
      </c>
      <c r="D7799" s="1"/>
      <c r="E7799" s="1"/>
      <c r="F7799" s="1" t="str">
        <f>IFERROR(__xludf.DUMMYFUNCTION("GOOGLETRANSLATE(B7799, ""en"", ""fa"")
"),"درخواست برای معلمان")</f>
        <v>درخواست برای معلمان</v>
      </c>
      <c r="G7799" s="1" t="str">
        <f>IFERROR(__xludf.DUMMYFUNCTION("GOOGLETRANSLATE(C7799, ""en"", ""fa"")
"),"نکات خود را برای ارتباط موثر با والدین در مورد پیشرفت دانش آموزان به اشتراک بگذارید.")</f>
        <v>نکات خود را برای ارتباط موثر با والدین در مورد پیشرفت دانش آموزان به اشتراک بگذارید.</v>
      </c>
      <c r="H7799" s="1"/>
      <c r="I7799" s="1"/>
      <c r="J7799" s="1"/>
      <c r="K7799" s="1"/>
      <c r="L7799" s="1"/>
      <c r="M7799" s="1"/>
      <c r="N7799" s="1"/>
      <c r="O7799" s="1"/>
      <c r="P7799" s="1"/>
      <c r="Q7799" s="1"/>
      <c r="R7799" s="1"/>
      <c r="S7799" s="1"/>
      <c r="T7799" s="1"/>
      <c r="U7799" s="1"/>
      <c r="V7799" s="1"/>
      <c r="W7799" s="1"/>
      <c r="X7799" s="1"/>
      <c r="Y7799" s="1"/>
      <c r="Z7799" s="1"/>
      <c r="AA7799" s="1"/>
      <c r="AB7799" s="1"/>
    </row>
    <row r="7800" ht="50.25" customHeight="1">
      <c r="A7800" s="12">
        <v>7796.0</v>
      </c>
      <c r="B7800" s="13" t="s">
        <v>7680</v>
      </c>
      <c r="C7800" s="18" t="s">
        <v>7825</v>
      </c>
      <c r="D7800" s="1"/>
      <c r="E7800" s="1"/>
      <c r="F7800" s="1" t="str">
        <f>IFERROR(__xludf.DUMMYFUNCTION("GOOGLETRANSLATE(B7800, ""en"", ""fa"")
"),"درخواست برای معلمان")</f>
        <v>درخواست برای معلمان</v>
      </c>
      <c r="G7800" s="1" t="str">
        <f>IFERROR(__xludf.DUMMYFUNCTION("GOOGLETRANSLATE(C7800, ""en"", ""fa"")
"),"درباره راهبردها برای مشارکت دادن جامعه در حمایت از یادگیری و موفقیت دانش آموزان بحث کنید.")</f>
        <v>درباره راهبردها برای مشارکت دادن جامعه در حمایت از یادگیری و موفقیت دانش آموزان بحث کنید.</v>
      </c>
      <c r="H7800" s="1"/>
      <c r="I7800" s="1"/>
      <c r="J7800" s="1"/>
      <c r="K7800" s="1"/>
      <c r="L7800" s="1"/>
      <c r="M7800" s="1"/>
      <c r="N7800" s="1"/>
      <c r="O7800" s="1"/>
      <c r="P7800" s="1"/>
      <c r="Q7800" s="1"/>
      <c r="R7800" s="1"/>
      <c r="S7800" s="1"/>
      <c r="T7800" s="1"/>
      <c r="U7800" s="1"/>
      <c r="V7800" s="1"/>
      <c r="W7800" s="1"/>
      <c r="X7800" s="1"/>
      <c r="Y7800" s="1"/>
      <c r="Z7800" s="1"/>
      <c r="AA7800" s="1"/>
      <c r="AB7800" s="1"/>
    </row>
    <row r="7801" ht="50.25" customHeight="1">
      <c r="A7801" s="12">
        <v>7797.0</v>
      </c>
      <c r="B7801" s="13" t="s">
        <v>7680</v>
      </c>
      <c r="C7801" s="18" t="s">
        <v>7826</v>
      </c>
      <c r="D7801" s="1"/>
      <c r="E7801" s="1"/>
      <c r="F7801" s="1" t="str">
        <f>IFERROR(__xludf.DUMMYFUNCTION("GOOGLETRANSLATE(B7801, ""en"", ""fa"")
"),"درخواست برای معلمان")</f>
        <v>درخواست برای معلمان</v>
      </c>
      <c r="G7801" s="1" t="str">
        <f>IFERROR(__xludf.DUMMYFUNCTION("GOOGLETRANSLATE(C7801, ""en"", ""fa"")
"),"در مورد اهمیت مشارکت والدین و جامعه در ارتقای موفقیت دانش آموزان بحث کنید.")</f>
        <v>در مورد اهمیت مشارکت والدین و جامعه در ارتقای موفقیت دانش آموزان بحث کنید.</v>
      </c>
      <c r="H7801" s="1"/>
      <c r="I7801" s="1"/>
      <c r="J7801" s="1"/>
      <c r="K7801" s="1"/>
      <c r="L7801" s="1"/>
      <c r="M7801" s="1"/>
      <c r="N7801" s="1"/>
      <c r="O7801" s="1"/>
      <c r="P7801" s="1"/>
      <c r="Q7801" s="1"/>
      <c r="R7801" s="1"/>
      <c r="S7801" s="1"/>
      <c r="T7801" s="1"/>
      <c r="U7801" s="1"/>
      <c r="V7801" s="1"/>
      <c r="W7801" s="1"/>
      <c r="X7801" s="1"/>
      <c r="Y7801" s="1"/>
      <c r="Z7801" s="1"/>
      <c r="AA7801" s="1"/>
      <c r="AB7801" s="1"/>
    </row>
    <row r="7802" ht="50.25" customHeight="1">
      <c r="A7802" s="12">
        <v>7798.0</v>
      </c>
      <c r="B7802" s="13" t="s">
        <v>7680</v>
      </c>
      <c r="C7802" s="18" t="s">
        <v>7827</v>
      </c>
      <c r="D7802" s="1"/>
      <c r="E7802" s="1"/>
      <c r="F7802" s="1" t="str">
        <f>IFERROR(__xludf.DUMMYFUNCTION("GOOGLETRANSLATE(B7802, ""en"", ""fa"")
"),"درخواست برای معلمان")</f>
        <v>درخواست برای معلمان</v>
      </c>
      <c r="G7802" s="1" t="str">
        <f>IFERROR(__xludf.DUMMYFUNCTION("GOOGLETRANSLATE(C7802, ""en"", ""fa"")
"),"راهبردهای ایجاد مشارکت قوی بین والدین، مدارس و جامعه محلی را به اشتراک بگذارید.")</f>
        <v>راهبردهای ایجاد مشارکت قوی بین والدین، مدارس و جامعه محلی را به اشتراک بگذارید.</v>
      </c>
      <c r="H7802" s="1"/>
      <c r="I7802" s="1"/>
      <c r="J7802" s="1"/>
      <c r="K7802" s="1"/>
      <c r="L7802" s="1"/>
      <c r="M7802" s="1"/>
      <c r="N7802" s="1"/>
      <c r="O7802" s="1"/>
      <c r="P7802" s="1"/>
      <c r="Q7802" s="1"/>
      <c r="R7802" s="1"/>
      <c r="S7802" s="1"/>
      <c r="T7802" s="1"/>
      <c r="U7802" s="1"/>
      <c r="V7802" s="1"/>
      <c r="W7802" s="1"/>
      <c r="X7802" s="1"/>
      <c r="Y7802" s="1"/>
      <c r="Z7802" s="1"/>
      <c r="AA7802" s="1"/>
      <c r="AB7802" s="1"/>
    </row>
    <row r="7803" ht="50.25" customHeight="1">
      <c r="A7803" s="12">
        <v>7799.0</v>
      </c>
      <c r="B7803" s="13" t="s">
        <v>7680</v>
      </c>
      <c r="C7803" s="18" t="s">
        <v>7828</v>
      </c>
      <c r="D7803" s="1"/>
      <c r="E7803" s="1"/>
      <c r="F7803" s="1" t="str">
        <f>IFERROR(__xludf.DUMMYFUNCTION("GOOGLETRANSLATE(B7803, ""en"", ""fa"")
"),"درخواست برای معلمان")</f>
        <v>درخواست برای معلمان</v>
      </c>
      <c r="G7803" s="1" t="str">
        <f>IFERROR(__xludf.DUMMYFUNCTION("GOOGLETRANSLATE(C7803, ""en"", ""fa"")
"),"راه‌هایی را برای مشارکت دادن والدین و اعضای جامعه در حمایت از رفاه اجتماعی-عاطفی دانش‌آموزان بررسی کنید.")</f>
        <v>راه‌هایی را برای مشارکت دادن والدین و اعضای جامعه در حمایت از رفاه اجتماعی-عاطفی دانش‌آموزان بررسی کنید.</v>
      </c>
      <c r="H7803" s="1"/>
      <c r="I7803" s="1"/>
      <c r="J7803" s="1"/>
      <c r="K7803" s="1"/>
      <c r="L7803" s="1"/>
      <c r="M7803" s="1"/>
      <c r="N7803" s="1"/>
      <c r="O7803" s="1"/>
      <c r="P7803" s="1"/>
      <c r="Q7803" s="1"/>
      <c r="R7803" s="1"/>
      <c r="S7803" s="1"/>
      <c r="T7803" s="1"/>
      <c r="U7803" s="1"/>
      <c r="V7803" s="1"/>
      <c r="W7803" s="1"/>
      <c r="X7803" s="1"/>
      <c r="Y7803" s="1"/>
      <c r="Z7803" s="1"/>
      <c r="AA7803" s="1"/>
      <c r="AB7803" s="1"/>
    </row>
    <row r="7804" ht="50.25" customHeight="1">
      <c r="A7804" s="12">
        <v>7800.0</v>
      </c>
      <c r="B7804" s="13" t="s">
        <v>7680</v>
      </c>
      <c r="C7804" s="18" t="s">
        <v>7829</v>
      </c>
      <c r="D7804" s="1"/>
      <c r="E7804" s="1"/>
      <c r="F7804" s="1" t="str">
        <f>IFERROR(__xludf.DUMMYFUNCTION("GOOGLETRANSLATE(B7804, ""en"", ""fa"")
"),"درخواست برای معلمان")</f>
        <v>درخواست برای معلمان</v>
      </c>
      <c r="G7804" s="1" t="str">
        <f>IFERROR(__xludf.DUMMYFUNCTION("GOOGLETRANSLATE(C7804, ""en"", ""fa"")
"),"در مورد نقش والدین و سازمان های اجتماعی در ترویج یک محیط امن و پرورشی مدرسه بحث کنید.")</f>
        <v>در مورد نقش والدین و سازمان های اجتماعی در ترویج یک محیط امن و پرورشی مدرسه بحث کنید.</v>
      </c>
      <c r="H7804" s="1"/>
      <c r="I7804" s="1"/>
      <c r="J7804" s="1"/>
      <c r="K7804" s="1"/>
      <c r="L7804" s="1"/>
      <c r="M7804" s="1"/>
      <c r="N7804" s="1"/>
      <c r="O7804" s="1"/>
      <c r="P7804" s="1"/>
      <c r="Q7804" s="1"/>
      <c r="R7804" s="1"/>
      <c r="S7804" s="1"/>
      <c r="T7804" s="1"/>
      <c r="U7804" s="1"/>
      <c r="V7804" s="1"/>
      <c r="W7804" s="1"/>
      <c r="X7804" s="1"/>
      <c r="Y7804" s="1"/>
      <c r="Z7804" s="1"/>
      <c r="AA7804" s="1"/>
      <c r="AB7804" s="1"/>
    </row>
    <row r="7805" ht="50.25" customHeight="1">
      <c r="A7805" s="12">
        <v>7801.0</v>
      </c>
      <c r="B7805" s="13" t="s">
        <v>7680</v>
      </c>
      <c r="C7805" s="18" t="s">
        <v>7830</v>
      </c>
      <c r="D7805" s="1"/>
      <c r="E7805" s="1"/>
      <c r="F7805" s="1" t="str">
        <f>IFERROR(__xludf.DUMMYFUNCTION("GOOGLETRANSLATE(B7805, ""en"", ""fa"")
"),"درخواست برای معلمان")</f>
        <v>درخواست برای معلمان</v>
      </c>
      <c r="G7805" s="1" t="str">
        <f>IFERROR(__xludf.DUMMYFUNCTION("GOOGLETRANSLATE(C7805, ""en"", ""fa"")
"),"بینش خود را در مورد استراتژی های موثر برای مشارکت دادن والدین و سهامداران جامعه در فرآیندهای تصمیم گیری مدرسه به اشتراک بگذارید.")</f>
        <v>بینش خود را در مورد استراتژی های موثر برای مشارکت دادن والدین و سهامداران جامعه در فرآیندهای تصمیم گیری مدرسه به اشتراک بگذارید.</v>
      </c>
      <c r="H7805" s="1"/>
      <c r="I7805" s="1"/>
      <c r="J7805" s="1"/>
      <c r="K7805" s="1"/>
      <c r="L7805" s="1"/>
      <c r="M7805" s="1"/>
      <c r="N7805" s="1"/>
      <c r="O7805" s="1"/>
      <c r="P7805" s="1"/>
      <c r="Q7805" s="1"/>
      <c r="R7805" s="1"/>
      <c r="S7805" s="1"/>
      <c r="T7805" s="1"/>
      <c r="U7805" s="1"/>
      <c r="V7805" s="1"/>
      <c r="W7805" s="1"/>
      <c r="X7805" s="1"/>
      <c r="Y7805" s="1"/>
      <c r="Z7805" s="1"/>
      <c r="AA7805" s="1"/>
      <c r="AB7805" s="1"/>
    </row>
    <row r="7806" ht="50.25" customHeight="1">
      <c r="A7806" s="12">
        <v>7802.0</v>
      </c>
      <c r="B7806" s="13" t="s">
        <v>7680</v>
      </c>
      <c r="C7806" s="18" t="s">
        <v>7831</v>
      </c>
      <c r="D7806" s="1"/>
      <c r="E7806" s="1"/>
      <c r="F7806" s="1" t="str">
        <f>IFERROR(__xludf.DUMMYFUNCTION("GOOGLETRANSLATE(B7806, ""en"", ""fa"")
"),"درخواست برای معلمان")</f>
        <v>درخواست برای معلمان</v>
      </c>
      <c r="G7806" s="1" t="str">
        <f>IFERROR(__xludf.DUMMYFUNCTION("GOOGLETRANSLATE(C7806, ""en"", ""fa"")
"),"راه‌هایی را برای مشارکت دادن والدین و اعضای جامعه در حمایت از پیشرفت تحصیلی و غنی‌سازی دانش‌آموزان بررسی کنید.")</f>
        <v>راه‌هایی را برای مشارکت دادن والدین و اعضای جامعه در حمایت از پیشرفت تحصیلی و غنی‌سازی دانش‌آموزان بررسی کنید.</v>
      </c>
      <c r="H7806" s="1"/>
      <c r="I7806" s="1"/>
      <c r="J7806" s="1"/>
      <c r="K7806" s="1"/>
      <c r="L7806" s="1"/>
      <c r="M7806" s="1"/>
      <c r="N7806" s="1"/>
      <c r="O7806" s="1"/>
      <c r="P7806" s="1"/>
      <c r="Q7806" s="1"/>
      <c r="R7806" s="1"/>
      <c r="S7806" s="1"/>
      <c r="T7806" s="1"/>
      <c r="U7806" s="1"/>
      <c r="V7806" s="1"/>
      <c r="W7806" s="1"/>
      <c r="X7806" s="1"/>
      <c r="Y7806" s="1"/>
      <c r="Z7806" s="1"/>
      <c r="AA7806" s="1"/>
      <c r="AB7806" s="1"/>
    </row>
    <row r="7807" ht="50.25" customHeight="1">
      <c r="A7807" s="12">
        <v>7803.0</v>
      </c>
      <c r="B7807" s="13" t="s">
        <v>7680</v>
      </c>
      <c r="C7807" s="18" t="s">
        <v>7832</v>
      </c>
      <c r="D7807" s="1"/>
      <c r="E7807" s="1"/>
      <c r="F7807" s="1" t="str">
        <f>IFERROR(__xludf.DUMMYFUNCTION("GOOGLETRANSLATE(B7807, ""en"", ""fa"")
"),"درخواست برای معلمان")</f>
        <v>درخواست برای معلمان</v>
      </c>
      <c r="G7807" s="1" t="str">
        <f>IFERROR(__xludf.DUMMYFUNCTION("GOOGLETRANSLATE(C7807, ""en"", ""fa"")
"),"در مورد تأثیر مشارکت والدین و جامعه بر انگیزه و مشارکت دانش آموزان در یادگیری بحث کنید.")</f>
        <v>در مورد تأثیر مشارکت والدین و جامعه بر انگیزه و مشارکت دانش آموزان در یادگیری بحث کنید.</v>
      </c>
      <c r="H7807" s="1"/>
      <c r="I7807" s="1"/>
      <c r="J7807" s="1"/>
      <c r="K7807" s="1"/>
      <c r="L7807" s="1"/>
      <c r="M7807" s="1"/>
      <c r="N7807" s="1"/>
      <c r="O7807" s="1"/>
      <c r="P7807" s="1"/>
      <c r="Q7807" s="1"/>
      <c r="R7807" s="1"/>
      <c r="S7807" s="1"/>
      <c r="T7807" s="1"/>
      <c r="U7807" s="1"/>
      <c r="V7807" s="1"/>
      <c r="W7807" s="1"/>
      <c r="X7807" s="1"/>
      <c r="Y7807" s="1"/>
      <c r="Z7807" s="1"/>
      <c r="AA7807" s="1"/>
      <c r="AB7807" s="1"/>
    </row>
    <row r="7808" ht="50.25" customHeight="1">
      <c r="A7808" s="12">
        <v>7804.0</v>
      </c>
      <c r="B7808" s="13" t="s">
        <v>7680</v>
      </c>
      <c r="C7808" s="18" t="s">
        <v>7833</v>
      </c>
      <c r="D7808" s="1"/>
      <c r="E7808" s="1"/>
      <c r="F7808" s="1" t="str">
        <f>IFERROR(__xludf.DUMMYFUNCTION("GOOGLETRANSLATE(B7808, ""en"", ""fa"")
"),"درخواست برای معلمان")</f>
        <v>درخواست برای معلمان</v>
      </c>
      <c r="G7808" s="1" t="str">
        <f>IFERROR(__xludf.DUMMYFUNCTION("GOOGLETRANSLATE(C7808, ""en"", ""fa"")
"),"تجربیات خود را با برنامه های داوطلبانه موفق والدین و جامعه در مدارس به اشتراک بگذارید.")</f>
        <v>تجربیات خود را با برنامه های داوطلبانه موفق والدین و جامعه در مدارس به اشتراک بگذارید.</v>
      </c>
      <c r="H7808" s="1"/>
      <c r="I7808" s="1"/>
      <c r="J7808" s="1"/>
      <c r="K7808" s="1"/>
      <c r="L7808" s="1"/>
      <c r="M7808" s="1"/>
      <c r="N7808" s="1"/>
      <c r="O7808" s="1"/>
      <c r="P7808" s="1"/>
      <c r="Q7808" s="1"/>
      <c r="R7808" s="1"/>
      <c r="S7808" s="1"/>
      <c r="T7808" s="1"/>
      <c r="U7808" s="1"/>
      <c r="V7808" s="1"/>
      <c r="W7808" s="1"/>
      <c r="X7808" s="1"/>
      <c r="Y7808" s="1"/>
      <c r="Z7808" s="1"/>
      <c r="AA7808" s="1"/>
      <c r="AB7808" s="1"/>
    </row>
    <row r="7809" ht="50.25" customHeight="1">
      <c r="A7809" s="12">
        <v>7805.0</v>
      </c>
      <c r="B7809" s="13" t="s">
        <v>7680</v>
      </c>
      <c r="C7809" s="18" t="s">
        <v>7834</v>
      </c>
      <c r="D7809" s="1"/>
      <c r="E7809" s="1"/>
      <c r="F7809" s="1" t="str">
        <f>IFERROR(__xludf.DUMMYFUNCTION("GOOGLETRANSLATE(B7809, ""en"", ""fa"")
"),"درخواست برای معلمان")</f>
        <v>درخواست برای معلمان</v>
      </c>
      <c r="G7809" s="1" t="str">
        <f>IFERROR(__xludf.DUMMYFUNCTION("GOOGLETRANSLATE(C7809, ""en"", ""fa"")
"),"استراتژی‌هایی را برای مشارکت دادن والدین و شرکای جامعه در ترویج تنوع فرهنگی و فراگیری بررسی کنید.")</f>
        <v>استراتژی‌هایی را برای مشارکت دادن والدین و شرکای جامعه در ترویج تنوع فرهنگی و فراگیری بررسی کنید.</v>
      </c>
      <c r="H7809" s="1"/>
      <c r="I7809" s="1"/>
      <c r="J7809" s="1"/>
      <c r="K7809" s="1"/>
      <c r="L7809" s="1"/>
      <c r="M7809" s="1"/>
      <c r="N7809" s="1"/>
      <c r="O7809" s="1"/>
      <c r="P7809" s="1"/>
      <c r="Q7809" s="1"/>
      <c r="R7809" s="1"/>
      <c r="S7809" s="1"/>
      <c r="T7809" s="1"/>
      <c r="U7809" s="1"/>
      <c r="V7809" s="1"/>
      <c r="W7809" s="1"/>
      <c r="X7809" s="1"/>
      <c r="Y7809" s="1"/>
      <c r="Z7809" s="1"/>
      <c r="AA7809" s="1"/>
      <c r="AB7809" s="1"/>
    </row>
    <row r="7810" ht="50.25" customHeight="1">
      <c r="A7810" s="12">
        <v>7806.0</v>
      </c>
      <c r="B7810" s="13" t="s">
        <v>7680</v>
      </c>
      <c r="C7810" s="18" t="s">
        <v>7835</v>
      </c>
      <c r="D7810" s="1"/>
      <c r="E7810" s="1"/>
      <c r="F7810" s="1" t="str">
        <f>IFERROR(__xludf.DUMMYFUNCTION("GOOGLETRANSLATE(B7810, ""en"", ""fa"")
"),"درخواست برای معلمان")</f>
        <v>درخواست برای معلمان</v>
      </c>
      <c r="G7810" s="1" t="str">
        <f>IFERROR(__xludf.DUMMYFUNCTION("GOOGLETRANSLATE(C7810, ""en"", ""fa"")
"),"در مورد اهمیت مشارکت والدین و جامعه در پرورش جو مثبت مدرسه و مدیریت رفتار بحث کنید.")</f>
        <v>در مورد اهمیت مشارکت والدین و جامعه در پرورش جو مثبت مدرسه و مدیریت رفتار بحث کنید.</v>
      </c>
      <c r="H7810" s="1"/>
      <c r="I7810" s="1"/>
      <c r="J7810" s="1"/>
      <c r="K7810" s="1"/>
      <c r="L7810" s="1"/>
      <c r="M7810" s="1"/>
      <c r="N7810" s="1"/>
      <c r="O7810" s="1"/>
      <c r="P7810" s="1"/>
      <c r="Q7810" s="1"/>
      <c r="R7810" s="1"/>
      <c r="S7810" s="1"/>
      <c r="T7810" s="1"/>
      <c r="U7810" s="1"/>
      <c r="V7810" s="1"/>
      <c r="W7810" s="1"/>
      <c r="X7810" s="1"/>
      <c r="Y7810" s="1"/>
      <c r="Z7810" s="1"/>
      <c r="AA7810" s="1"/>
      <c r="AB7810" s="1"/>
    </row>
    <row r="7811" ht="50.25" customHeight="1">
      <c r="A7811" s="12">
        <v>7807.0</v>
      </c>
      <c r="B7811" s="13" t="s">
        <v>7680</v>
      </c>
      <c r="C7811" s="18" t="s">
        <v>7836</v>
      </c>
      <c r="D7811" s="1"/>
      <c r="E7811" s="1"/>
      <c r="F7811" s="1" t="str">
        <f>IFERROR(__xludf.DUMMYFUNCTION("GOOGLETRANSLATE(B7811, ""en"", ""fa"")
"),"درخواست برای معلمان")</f>
        <v>درخواست برای معلمان</v>
      </c>
      <c r="G7811" s="1" t="str">
        <f>IFERROR(__xludf.DUMMYFUNCTION("GOOGLETRANSLATE(C7811, ""en"", ""fa"")
"),"بینش خود را در مورد استراتژی های موثر برای مشارکت دادن والدین و اعضای جامعه در حمایت از دانش آموزان با نیازهای ویژه به اشتراک بگذارید.")</f>
        <v>بینش خود را در مورد استراتژی های موثر برای مشارکت دادن والدین و اعضای جامعه در حمایت از دانش آموزان با نیازهای ویژه به اشتراک بگذارید.</v>
      </c>
      <c r="H7811" s="1"/>
      <c r="I7811" s="1"/>
      <c r="J7811" s="1"/>
      <c r="K7811" s="1"/>
      <c r="L7811" s="1"/>
      <c r="M7811" s="1"/>
      <c r="N7811" s="1"/>
      <c r="O7811" s="1"/>
      <c r="P7811" s="1"/>
      <c r="Q7811" s="1"/>
      <c r="R7811" s="1"/>
      <c r="S7811" s="1"/>
      <c r="T7811" s="1"/>
      <c r="U7811" s="1"/>
      <c r="V7811" s="1"/>
      <c r="W7811" s="1"/>
      <c r="X7811" s="1"/>
      <c r="Y7811" s="1"/>
      <c r="Z7811" s="1"/>
      <c r="AA7811" s="1"/>
      <c r="AB7811" s="1"/>
    </row>
    <row r="7812" ht="50.25" customHeight="1">
      <c r="A7812" s="12">
        <v>7808.0</v>
      </c>
      <c r="B7812" s="13" t="s">
        <v>7680</v>
      </c>
      <c r="C7812" s="18" t="s">
        <v>7837</v>
      </c>
      <c r="D7812" s="1"/>
      <c r="E7812" s="1"/>
      <c r="F7812" s="1" t="str">
        <f>IFERROR(__xludf.DUMMYFUNCTION("GOOGLETRANSLATE(B7812, ""en"", ""fa"")
"),"درخواست برای معلمان")</f>
        <v>درخواست برای معلمان</v>
      </c>
      <c r="G7812" s="1" t="str">
        <f>IFERROR(__xludf.DUMMYFUNCTION("GOOGLETRANSLATE(C7812, ""en"", ""fa"")
"),"کاوش راه هایی برای مشارکت دادن والدین و ذینفعان جامعه در ارتقای اکتشاف شغلی و آمادگی برای دانش آموزان.")</f>
        <v>کاوش راه هایی برای مشارکت دادن والدین و ذینفعان جامعه در ارتقای اکتشاف شغلی و آمادگی برای دانش آموزان.</v>
      </c>
      <c r="H7812" s="1"/>
      <c r="I7812" s="1"/>
      <c r="J7812" s="1"/>
      <c r="K7812" s="1"/>
      <c r="L7812" s="1"/>
      <c r="M7812" s="1"/>
      <c r="N7812" s="1"/>
      <c r="O7812" s="1"/>
      <c r="P7812" s="1"/>
      <c r="Q7812" s="1"/>
      <c r="R7812" s="1"/>
      <c r="S7812" s="1"/>
      <c r="T7812" s="1"/>
      <c r="U7812" s="1"/>
      <c r="V7812" s="1"/>
      <c r="W7812" s="1"/>
      <c r="X7812" s="1"/>
      <c r="Y7812" s="1"/>
      <c r="Z7812" s="1"/>
      <c r="AA7812" s="1"/>
      <c r="AB7812" s="1"/>
    </row>
    <row r="7813" ht="50.25" customHeight="1">
      <c r="A7813" s="12">
        <v>7809.0</v>
      </c>
      <c r="B7813" s="13" t="s">
        <v>7680</v>
      </c>
      <c r="C7813" s="18" t="s">
        <v>7838</v>
      </c>
      <c r="D7813" s="1"/>
      <c r="E7813" s="1"/>
      <c r="F7813" s="1" t="str">
        <f>IFERROR(__xludf.DUMMYFUNCTION("GOOGLETRANSLATE(B7813, ""en"", ""fa"")
"),"درخواست برای معلمان")</f>
        <v>درخواست برای معلمان</v>
      </c>
      <c r="G7813" s="1" t="str">
        <f>IFERROR(__xludf.DUMMYFUNCTION("GOOGLETRANSLATE(C7813, ""en"", ""fa"")
"),"در مورد نقش والدین و سازمان های اجتماعی در ارتقای پایداری و آگاهی زیست محیطی بحث کنید.")</f>
        <v>در مورد نقش والدین و سازمان های اجتماعی در ارتقای پایداری و آگاهی زیست محیطی بحث کنید.</v>
      </c>
      <c r="H7813" s="1"/>
      <c r="I7813" s="1"/>
      <c r="J7813" s="1"/>
      <c r="K7813" s="1"/>
      <c r="L7813" s="1"/>
      <c r="M7813" s="1"/>
      <c r="N7813" s="1"/>
      <c r="O7813" s="1"/>
      <c r="P7813" s="1"/>
      <c r="Q7813" s="1"/>
      <c r="R7813" s="1"/>
      <c r="S7813" s="1"/>
      <c r="T7813" s="1"/>
      <c r="U7813" s="1"/>
      <c r="V7813" s="1"/>
      <c r="W7813" s="1"/>
      <c r="X7813" s="1"/>
      <c r="Y7813" s="1"/>
      <c r="Z7813" s="1"/>
      <c r="AA7813" s="1"/>
      <c r="AB7813" s="1"/>
    </row>
    <row r="7814" ht="50.25" customHeight="1">
      <c r="A7814" s="12">
        <v>7810.0</v>
      </c>
      <c r="B7814" s="13" t="s">
        <v>7680</v>
      </c>
      <c r="C7814" s="18" t="s">
        <v>7839</v>
      </c>
      <c r="D7814" s="1"/>
      <c r="E7814" s="1"/>
      <c r="F7814" s="1" t="str">
        <f>IFERROR(__xludf.DUMMYFUNCTION("GOOGLETRANSLATE(B7814, ""en"", ""fa"")
"),"درخواست برای معلمان")</f>
        <v>درخواست برای معلمان</v>
      </c>
      <c r="G7814" s="1" t="str">
        <f>IFERROR(__xludf.DUMMYFUNCTION("GOOGLETRANSLATE(C7814, ""en"", ""fa"")
"),"تجربیات خود را با طرح های جمع آوری کمک های مالی موفق والدین و جامعه برای برنامه ها و منابع آموزشی به اشتراک بگذارید.")</f>
        <v>تجربیات خود را با طرح های جمع آوری کمک های مالی موفق والدین و جامعه برای برنامه ها و منابع آموزشی به اشتراک بگذارید.</v>
      </c>
      <c r="H7814" s="1"/>
      <c r="I7814" s="1"/>
      <c r="J7814" s="1"/>
      <c r="K7814" s="1"/>
      <c r="L7814" s="1"/>
      <c r="M7814" s="1"/>
      <c r="N7814" s="1"/>
      <c r="O7814" s="1"/>
      <c r="P7814" s="1"/>
      <c r="Q7814" s="1"/>
      <c r="R7814" s="1"/>
      <c r="S7814" s="1"/>
      <c r="T7814" s="1"/>
      <c r="U7814" s="1"/>
      <c r="V7814" s="1"/>
      <c r="W7814" s="1"/>
      <c r="X7814" s="1"/>
      <c r="Y7814" s="1"/>
      <c r="Z7814" s="1"/>
      <c r="AA7814" s="1"/>
      <c r="AB7814" s="1"/>
    </row>
    <row r="7815" ht="50.25" customHeight="1">
      <c r="A7815" s="12">
        <v>7811.0</v>
      </c>
      <c r="B7815" s="13" t="s">
        <v>7680</v>
      </c>
      <c r="C7815" s="18" t="s">
        <v>7840</v>
      </c>
      <c r="D7815" s="1"/>
      <c r="E7815" s="1"/>
      <c r="F7815" s="1" t="str">
        <f>IFERROR(__xludf.DUMMYFUNCTION("GOOGLETRANSLATE(B7815, ""en"", ""fa"")
"),"درخواست برای معلمان")</f>
        <v>درخواست برای معلمان</v>
      </c>
      <c r="G7815" s="1" t="str">
        <f>IFERROR(__xludf.DUMMYFUNCTION("GOOGLETRANSLATE(C7815, ""en"", ""fa"")
"),"استراتژی‌هایی را برای مشارکت دادن والدین و اعضای جامعه در ارتقای ابتکارات سلامت و تندرستی در مدارس بررسی کنید.")</f>
        <v>استراتژی‌هایی را برای مشارکت دادن والدین و اعضای جامعه در ارتقای ابتکارات سلامت و تندرستی در مدارس بررسی کنید.</v>
      </c>
      <c r="H7815" s="1"/>
      <c r="I7815" s="1"/>
      <c r="J7815" s="1"/>
      <c r="K7815" s="1"/>
      <c r="L7815" s="1"/>
      <c r="M7815" s="1"/>
      <c r="N7815" s="1"/>
      <c r="O7815" s="1"/>
      <c r="P7815" s="1"/>
      <c r="Q7815" s="1"/>
      <c r="R7815" s="1"/>
      <c r="S7815" s="1"/>
      <c r="T7815" s="1"/>
      <c r="U7815" s="1"/>
      <c r="V7815" s="1"/>
      <c r="W7815" s="1"/>
      <c r="X7815" s="1"/>
      <c r="Y7815" s="1"/>
      <c r="Z7815" s="1"/>
      <c r="AA7815" s="1"/>
      <c r="AB7815" s="1"/>
    </row>
    <row r="7816" ht="50.25" customHeight="1">
      <c r="A7816" s="12">
        <v>7812.0</v>
      </c>
      <c r="B7816" s="13" t="s">
        <v>7680</v>
      </c>
      <c r="C7816" s="18" t="s">
        <v>7841</v>
      </c>
      <c r="D7816" s="1"/>
      <c r="E7816" s="1"/>
      <c r="F7816" s="1" t="str">
        <f>IFERROR(__xludf.DUMMYFUNCTION("GOOGLETRANSLATE(B7816, ""en"", ""fa"")
"),"درخواست برای معلمان")</f>
        <v>درخواست برای معلمان</v>
      </c>
      <c r="G7816" s="1" t="str">
        <f>IFERROR(__xludf.DUMMYFUNCTION("GOOGLETRANSLATE(C7816, ""en"", ""fa"")
"),"در مورد تأثیر مشارکت والدین و جامعه بر احساس تعلق و ارتباط دانش آموزان بحث کنید.")</f>
        <v>در مورد تأثیر مشارکت والدین و جامعه بر احساس تعلق و ارتباط دانش آموزان بحث کنید.</v>
      </c>
      <c r="H7816" s="1"/>
      <c r="I7816" s="1"/>
      <c r="J7816" s="1"/>
      <c r="K7816" s="1"/>
      <c r="L7816" s="1"/>
      <c r="M7816" s="1"/>
      <c r="N7816" s="1"/>
      <c r="O7816" s="1"/>
      <c r="P7816" s="1"/>
      <c r="Q7816" s="1"/>
      <c r="R7816" s="1"/>
      <c r="S7816" s="1"/>
      <c r="T7816" s="1"/>
      <c r="U7816" s="1"/>
      <c r="V7816" s="1"/>
      <c r="W7816" s="1"/>
      <c r="X7816" s="1"/>
      <c r="Y7816" s="1"/>
      <c r="Z7816" s="1"/>
      <c r="AA7816" s="1"/>
      <c r="AB7816" s="1"/>
    </row>
    <row r="7817" ht="50.25" customHeight="1">
      <c r="A7817" s="12">
        <v>7813.0</v>
      </c>
      <c r="B7817" s="13" t="s">
        <v>7680</v>
      </c>
      <c r="C7817" s="18" t="s">
        <v>7842</v>
      </c>
      <c r="D7817" s="1"/>
      <c r="E7817" s="1"/>
      <c r="F7817" s="1" t="str">
        <f>IFERROR(__xludf.DUMMYFUNCTION("GOOGLETRANSLATE(B7817, ""en"", ""fa"")
"),"درخواست برای معلمان")</f>
        <v>درخواست برای معلمان</v>
      </c>
      <c r="G7817" s="1" t="str">
        <f>IFERROR(__xludf.DUMMYFUNCTION("GOOGLETRANSLATE(C7817, ""en"", ""fa"")
"),"بینش خود را در مورد استراتژی های موثر برای مشارکت دادن والدین و شرکای جامعه در ترویج شهروندی دیجیتال و ایمنی آنلاین به اشتراک بگذارید.")</f>
        <v>بینش خود را در مورد استراتژی های موثر برای مشارکت دادن والدین و شرکای جامعه در ترویج شهروندی دیجیتال و ایمنی آنلاین به اشتراک بگذارید.</v>
      </c>
      <c r="H7817" s="1"/>
      <c r="I7817" s="1"/>
      <c r="J7817" s="1"/>
      <c r="K7817" s="1"/>
      <c r="L7817" s="1"/>
      <c r="M7817" s="1"/>
      <c r="N7817" s="1"/>
      <c r="O7817" s="1"/>
      <c r="P7817" s="1"/>
      <c r="Q7817" s="1"/>
      <c r="R7817" s="1"/>
      <c r="S7817" s="1"/>
      <c r="T7817" s="1"/>
      <c r="U7817" s="1"/>
      <c r="V7817" s="1"/>
      <c r="W7817" s="1"/>
      <c r="X7817" s="1"/>
      <c r="Y7817" s="1"/>
      <c r="Z7817" s="1"/>
      <c r="AA7817" s="1"/>
      <c r="AB7817" s="1"/>
    </row>
    <row r="7818" ht="50.25" customHeight="1">
      <c r="A7818" s="12">
        <v>7814.0</v>
      </c>
      <c r="B7818" s="13" t="s">
        <v>7680</v>
      </c>
      <c r="C7818" s="18" t="s">
        <v>7843</v>
      </c>
      <c r="D7818" s="1"/>
      <c r="E7818" s="1"/>
      <c r="F7818" s="1" t="str">
        <f>IFERROR(__xludf.DUMMYFUNCTION("GOOGLETRANSLATE(B7818, ""en"", ""fa"")
"),"درخواست برای معلمان")</f>
        <v>درخواست برای معلمان</v>
      </c>
      <c r="G7818" s="1" t="str">
        <f>IFERROR(__xludf.DUMMYFUNCTION("GOOGLETRANSLATE(C7818, ""en"", ""fa"")
"),"کاوش راه هایی برای مشارکت دادن والدین و ذینفعان جامعه در حمایت از توسعه زبان و سواد دانش آموزان.")</f>
        <v>کاوش راه هایی برای مشارکت دادن والدین و ذینفعان جامعه در حمایت از توسعه زبان و سواد دانش آموزان.</v>
      </c>
      <c r="H7818" s="1"/>
      <c r="I7818" s="1"/>
      <c r="J7818" s="1"/>
      <c r="K7818" s="1"/>
      <c r="L7818" s="1"/>
      <c r="M7818" s="1"/>
      <c r="N7818" s="1"/>
      <c r="O7818" s="1"/>
      <c r="P7818" s="1"/>
      <c r="Q7818" s="1"/>
      <c r="R7818" s="1"/>
      <c r="S7818" s="1"/>
      <c r="T7818" s="1"/>
      <c r="U7818" s="1"/>
      <c r="V7818" s="1"/>
      <c r="W7818" s="1"/>
      <c r="X7818" s="1"/>
      <c r="Y7818" s="1"/>
      <c r="Z7818" s="1"/>
      <c r="AA7818" s="1"/>
      <c r="AB7818" s="1"/>
    </row>
    <row r="7819" ht="50.25" customHeight="1">
      <c r="A7819" s="12">
        <v>7815.0</v>
      </c>
      <c r="B7819" s="13" t="s">
        <v>7680</v>
      </c>
      <c r="C7819" s="18" t="s">
        <v>7844</v>
      </c>
      <c r="D7819" s="1"/>
      <c r="E7819" s="1"/>
      <c r="F7819" s="1" t="str">
        <f>IFERROR(__xludf.DUMMYFUNCTION("GOOGLETRANSLATE(B7819, ""en"", ""fa"")
"),"درخواست برای معلمان")</f>
        <v>درخواست برای معلمان</v>
      </c>
      <c r="G7819" s="1" t="str">
        <f>IFERROR(__xludf.DUMMYFUNCTION("GOOGLETRANSLATE(C7819, ""en"", ""fa"")
"),"در مورد اهمیت مشارکت والدین و جامعه در ترویج حضور مثبت در مدرسه و وقت شناسی بحث کنید.")</f>
        <v>در مورد اهمیت مشارکت والدین و جامعه در ترویج حضور مثبت در مدرسه و وقت شناسی بحث کنید.</v>
      </c>
      <c r="H7819" s="1"/>
      <c r="I7819" s="1"/>
      <c r="J7819" s="1"/>
      <c r="K7819" s="1"/>
      <c r="L7819" s="1"/>
      <c r="M7819" s="1"/>
      <c r="N7819" s="1"/>
      <c r="O7819" s="1"/>
      <c r="P7819" s="1"/>
      <c r="Q7819" s="1"/>
      <c r="R7819" s="1"/>
      <c r="S7819" s="1"/>
      <c r="T7819" s="1"/>
      <c r="U7819" s="1"/>
      <c r="V7819" s="1"/>
      <c r="W7819" s="1"/>
      <c r="X7819" s="1"/>
      <c r="Y7819" s="1"/>
      <c r="Z7819" s="1"/>
      <c r="AA7819" s="1"/>
      <c r="AB7819" s="1"/>
    </row>
    <row r="7820" ht="50.25" customHeight="1">
      <c r="A7820" s="12">
        <v>7816.0</v>
      </c>
      <c r="B7820" s="13" t="s">
        <v>7680</v>
      </c>
      <c r="C7820" s="18" t="s">
        <v>7845</v>
      </c>
      <c r="D7820" s="1"/>
      <c r="E7820" s="1"/>
      <c r="F7820" s="1" t="str">
        <f>IFERROR(__xludf.DUMMYFUNCTION("GOOGLETRANSLATE(B7820, ""en"", ""fa"")
"),"درخواست برای معلمان")</f>
        <v>درخواست برای معلمان</v>
      </c>
      <c r="G7820" s="1" t="str">
        <f>IFERROR(__xludf.DUMMYFUNCTION("GOOGLETRANSLATE(C7820, ""en"", ""fa"")
"),"تجربیات خود را در مورد برنامه های آموزشی موفق والدین و جامعه برای دانش آموزان به اشتراک بگذارید.")</f>
        <v>تجربیات خود را در مورد برنامه های آموزشی موفق والدین و جامعه برای دانش آموزان به اشتراک بگذارید.</v>
      </c>
      <c r="H7820" s="1"/>
      <c r="I7820" s="1"/>
      <c r="J7820" s="1"/>
      <c r="K7820" s="1"/>
      <c r="L7820" s="1"/>
      <c r="M7820" s="1"/>
      <c r="N7820" s="1"/>
      <c r="O7820" s="1"/>
      <c r="P7820" s="1"/>
      <c r="Q7820" s="1"/>
      <c r="R7820" s="1"/>
      <c r="S7820" s="1"/>
      <c r="T7820" s="1"/>
      <c r="U7820" s="1"/>
      <c r="V7820" s="1"/>
      <c r="W7820" s="1"/>
      <c r="X7820" s="1"/>
      <c r="Y7820" s="1"/>
      <c r="Z7820" s="1"/>
      <c r="AA7820" s="1"/>
      <c r="AB7820" s="1"/>
    </row>
    <row r="7821" ht="50.25" customHeight="1">
      <c r="A7821" s="12">
        <v>7817.0</v>
      </c>
      <c r="B7821" s="13" t="s">
        <v>7680</v>
      </c>
      <c r="C7821" s="18" t="s">
        <v>7846</v>
      </c>
      <c r="D7821" s="1"/>
      <c r="E7821" s="1"/>
      <c r="F7821" s="1" t="str">
        <f>IFERROR(__xludf.DUMMYFUNCTION("GOOGLETRANSLATE(B7821, ""en"", ""fa"")
"),"درخواست برای معلمان")</f>
        <v>درخواست برای معلمان</v>
      </c>
      <c r="G7821" s="1" t="str">
        <f>IFERROR(__xludf.DUMMYFUNCTION("GOOGLETRANSLATE(C7821, ""en"", ""fa"")
"),"استراتژی‌هایی را برای مشارکت دادن والدین و اعضای جامعه در ارتقاء سواد مالی و مدیریت مسئولانه پول بررسی کنید.")</f>
        <v>استراتژی‌هایی را برای مشارکت دادن والدین و اعضای جامعه در ارتقاء سواد مالی و مدیریت مسئولانه پول بررسی کنید.</v>
      </c>
      <c r="H7821" s="1"/>
      <c r="I7821" s="1"/>
      <c r="J7821" s="1"/>
      <c r="K7821" s="1"/>
      <c r="L7821" s="1"/>
      <c r="M7821" s="1"/>
      <c r="N7821" s="1"/>
      <c r="O7821" s="1"/>
      <c r="P7821" s="1"/>
      <c r="Q7821" s="1"/>
      <c r="R7821" s="1"/>
      <c r="S7821" s="1"/>
      <c r="T7821" s="1"/>
      <c r="U7821" s="1"/>
      <c r="V7821" s="1"/>
      <c r="W7821" s="1"/>
      <c r="X7821" s="1"/>
      <c r="Y7821" s="1"/>
      <c r="Z7821" s="1"/>
      <c r="AA7821" s="1"/>
      <c r="AB7821" s="1"/>
    </row>
    <row r="7822" ht="50.25" customHeight="1">
      <c r="A7822" s="12">
        <v>7818.0</v>
      </c>
      <c r="B7822" s="13" t="s">
        <v>7680</v>
      </c>
      <c r="C7822" s="18" t="s">
        <v>7847</v>
      </c>
      <c r="D7822" s="1"/>
      <c r="E7822" s="1"/>
      <c r="F7822" s="1" t="str">
        <f>IFERROR(__xludf.DUMMYFUNCTION("GOOGLETRANSLATE(B7822, ""en"", ""fa"")
"),"درخواست برای معلمان")</f>
        <v>درخواست برای معلمان</v>
      </c>
      <c r="G7822" s="1" t="str">
        <f>IFERROR(__xludf.DUMMYFUNCTION("GOOGLETRANSLATE(C7822, ""en"", ""fa"")
"),"درباره نقش والدین و سازمان‌های اجتماعی در ترویج شیوه‌های فراگیر برای دانش‌آموزان با پیشینه‌های گوناگون بحث کنید.")</f>
        <v>درباره نقش والدین و سازمان‌های اجتماعی در ترویج شیوه‌های فراگیر برای دانش‌آموزان با پیشینه‌های گوناگون بحث کنید.</v>
      </c>
      <c r="H7822" s="1"/>
      <c r="I7822" s="1"/>
      <c r="J7822" s="1"/>
      <c r="K7822" s="1"/>
      <c r="L7822" s="1"/>
      <c r="M7822" s="1"/>
      <c r="N7822" s="1"/>
      <c r="O7822" s="1"/>
      <c r="P7822" s="1"/>
      <c r="Q7822" s="1"/>
      <c r="R7822" s="1"/>
      <c r="S7822" s="1"/>
      <c r="T7822" s="1"/>
      <c r="U7822" s="1"/>
      <c r="V7822" s="1"/>
      <c r="W7822" s="1"/>
      <c r="X7822" s="1"/>
      <c r="Y7822" s="1"/>
      <c r="Z7822" s="1"/>
      <c r="AA7822" s="1"/>
      <c r="AB7822" s="1"/>
    </row>
    <row r="7823" ht="50.25" customHeight="1">
      <c r="A7823" s="12">
        <v>7819.0</v>
      </c>
      <c r="B7823" s="13" t="s">
        <v>7680</v>
      </c>
      <c r="C7823" s="18" t="s">
        <v>7848</v>
      </c>
      <c r="D7823" s="1"/>
      <c r="E7823" s="1"/>
      <c r="F7823" s="1" t="str">
        <f>IFERROR(__xludf.DUMMYFUNCTION("GOOGLETRANSLATE(B7823, ""en"", ""fa"")
"),"درخواست برای معلمان")</f>
        <v>درخواست برای معلمان</v>
      </c>
      <c r="G7823" s="1" t="str">
        <f>IFERROR(__xludf.DUMMYFUNCTION("GOOGLETRANSLATE(C7823, ""en"", ""fa"")
"),"بینش خود را در مورد استراتژی های موثر برای مشارکت دادن والدین و شرکای جامعه در ترویج آموزش و مشاغل STEM به اشتراک بگذارید.")</f>
        <v>بینش خود را در مورد استراتژی های موثر برای مشارکت دادن والدین و شرکای جامعه در ترویج آموزش و مشاغل STEM به اشتراک بگذارید.</v>
      </c>
      <c r="H7823" s="1"/>
      <c r="I7823" s="1"/>
      <c r="J7823" s="1"/>
      <c r="K7823" s="1"/>
      <c r="L7823" s="1"/>
      <c r="M7823" s="1"/>
      <c r="N7823" s="1"/>
      <c r="O7823" s="1"/>
      <c r="P7823" s="1"/>
      <c r="Q7823" s="1"/>
      <c r="R7823" s="1"/>
      <c r="S7823" s="1"/>
      <c r="T7823" s="1"/>
      <c r="U7823" s="1"/>
      <c r="V7823" s="1"/>
      <c r="W7823" s="1"/>
      <c r="X7823" s="1"/>
      <c r="Y7823" s="1"/>
      <c r="Z7823" s="1"/>
      <c r="AA7823" s="1"/>
      <c r="AB7823" s="1"/>
    </row>
    <row r="7824" ht="50.25" customHeight="1">
      <c r="A7824" s="12">
        <v>7820.0</v>
      </c>
      <c r="B7824" s="13" t="s">
        <v>7680</v>
      </c>
      <c r="C7824" s="18" t="s">
        <v>7849</v>
      </c>
      <c r="D7824" s="1"/>
      <c r="E7824" s="1"/>
      <c r="F7824" s="1" t="str">
        <f>IFERROR(__xludf.DUMMYFUNCTION("GOOGLETRANSLATE(B7824, ""en"", ""fa"")
"),"درخواست برای معلمان")</f>
        <v>درخواست برای معلمان</v>
      </c>
      <c r="G7824" s="1" t="str">
        <f>IFERROR(__xludf.DUMMYFUNCTION("GOOGLETRANSLATE(C7824, ""en"", ""fa"")
"),"کشف راه‌هایی برای مشارکت دادن والدین و ذینفعان جامعه در ترویج آموزش‌های هنری و فرهنگی در مدارس.")</f>
        <v>کشف راه‌هایی برای مشارکت دادن والدین و ذینفعان جامعه در ترویج آموزش‌های هنری و فرهنگی در مدارس.</v>
      </c>
      <c r="H7824" s="1"/>
      <c r="I7824" s="1"/>
      <c r="J7824" s="1"/>
      <c r="K7824" s="1"/>
      <c r="L7824" s="1"/>
      <c r="M7824" s="1"/>
      <c r="N7824" s="1"/>
      <c r="O7824" s="1"/>
      <c r="P7824" s="1"/>
      <c r="Q7824" s="1"/>
      <c r="R7824" s="1"/>
      <c r="S7824" s="1"/>
      <c r="T7824" s="1"/>
      <c r="U7824" s="1"/>
      <c r="V7824" s="1"/>
      <c r="W7824" s="1"/>
      <c r="X7824" s="1"/>
      <c r="Y7824" s="1"/>
      <c r="Z7824" s="1"/>
      <c r="AA7824" s="1"/>
      <c r="AB7824" s="1"/>
    </row>
    <row r="7825" ht="50.25" customHeight="1">
      <c r="A7825" s="12">
        <v>7821.0</v>
      </c>
      <c r="B7825" s="13" t="s">
        <v>7680</v>
      </c>
      <c r="C7825" s="18" t="s">
        <v>7850</v>
      </c>
      <c r="D7825" s="1"/>
      <c r="E7825" s="1"/>
      <c r="F7825" s="1" t="str">
        <f>IFERROR(__xludf.DUMMYFUNCTION("GOOGLETRANSLATE(B7825, ""en"", ""fa"")
"),"درخواست برای معلمان")</f>
        <v>درخواست برای معلمان</v>
      </c>
      <c r="G7825" s="1" t="str">
        <f>IFERROR(__xludf.DUMMYFUNCTION("GOOGLETRANSLATE(C7825, ""en"", ""fa"")
"),"در مورد تأثیر مشارکت والدین و جامعه بر احساس مسئولیت مدنی و مشارکت اجتماعی دانش آموزان بحث کنید.")</f>
        <v>در مورد تأثیر مشارکت والدین و جامعه بر احساس مسئولیت مدنی و مشارکت اجتماعی دانش آموزان بحث کنید.</v>
      </c>
      <c r="H7825" s="1"/>
      <c r="I7825" s="1"/>
      <c r="J7825" s="1"/>
      <c r="K7825" s="1"/>
      <c r="L7825" s="1"/>
      <c r="M7825" s="1"/>
      <c r="N7825" s="1"/>
      <c r="O7825" s="1"/>
      <c r="P7825" s="1"/>
      <c r="Q7825" s="1"/>
      <c r="R7825" s="1"/>
      <c r="S7825" s="1"/>
      <c r="T7825" s="1"/>
      <c r="U7825" s="1"/>
      <c r="V7825" s="1"/>
      <c r="W7825" s="1"/>
      <c r="X7825" s="1"/>
      <c r="Y7825" s="1"/>
      <c r="Z7825" s="1"/>
      <c r="AA7825" s="1"/>
      <c r="AB7825" s="1"/>
    </row>
    <row r="7826" ht="50.25" customHeight="1">
      <c r="A7826" s="12">
        <v>7822.0</v>
      </c>
      <c r="B7826" s="13" t="s">
        <v>7680</v>
      </c>
      <c r="C7826" s="18" t="s">
        <v>7851</v>
      </c>
      <c r="D7826" s="1"/>
      <c r="E7826" s="1"/>
      <c r="F7826" s="1" t="str">
        <f>IFERROR(__xludf.DUMMYFUNCTION("GOOGLETRANSLATE(B7826, ""en"", ""fa"")
"),"درخواست برای معلمان")</f>
        <v>درخواست برای معلمان</v>
      </c>
      <c r="G7826" s="1" t="str">
        <f>IFERROR(__xludf.DUMMYFUNCTION("GOOGLETRANSLATE(C7826, ""en"", ""fa"")
"),"تجربیات خود را با کارگاه های آموزشی موفق والدین و جامعه در مورد موضوعات تربیتی و تربیتی به اشتراک بگذارید.")</f>
        <v>تجربیات خود را با کارگاه های آموزشی موفق والدین و جامعه در مورد موضوعات تربیتی و تربیتی به اشتراک بگذارید.</v>
      </c>
      <c r="H7826" s="1"/>
      <c r="I7826" s="1"/>
      <c r="J7826" s="1"/>
      <c r="K7826" s="1"/>
      <c r="L7826" s="1"/>
      <c r="M7826" s="1"/>
      <c r="N7826" s="1"/>
      <c r="O7826" s="1"/>
      <c r="P7826" s="1"/>
      <c r="Q7826" s="1"/>
      <c r="R7826" s="1"/>
      <c r="S7826" s="1"/>
      <c r="T7826" s="1"/>
      <c r="U7826" s="1"/>
      <c r="V7826" s="1"/>
      <c r="W7826" s="1"/>
      <c r="X7826" s="1"/>
      <c r="Y7826" s="1"/>
      <c r="Z7826" s="1"/>
      <c r="AA7826" s="1"/>
      <c r="AB7826" s="1"/>
    </row>
    <row r="7827" ht="50.25" customHeight="1">
      <c r="A7827" s="12">
        <v>7823.0</v>
      </c>
      <c r="B7827" s="13" t="s">
        <v>7680</v>
      </c>
      <c r="C7827" s="18" t="s">
        <v>7852</v>
      </c>
      <c r="D7827" s="1"/>
      <c r="E7827" s="1"/>
      <c r="F7827" s="1" t="str">
        <f>IFERROR(__xludf.DUMMYFUNCTION("GOOGLETRANSLATE(B7827, ""en"", ""fa"")
"),"درخواست برای معلمان")</f>
        <v>درخواست برای معلمان</v>
      </c>
      <c r="G7827" s="1" t="str">
        <f>IFERROR(__xludf.DUMMYFUNCTION("GOOGLETRANSLATE(C7827, ""en"", ""fa"")
"),"استراتژی‌هایی را برای مشارکت دادن والدین و اعضای جامعه در حمایت از انتقال دانش‌آموزان به تحصیلات عالی یا مشاغل بررسی کنید.")</f>
        <v>استراتژی‌هایی را برای مشارکت دادن والدین و اعضای جامعه در حمایت از انتقال دانش‌آموزان به تحصیلات عالی یا مشاغل بررسی کنید.</v>
      </c>
      <c r="H7827" s="1"/>
      <c r="I7827" s="1"/>
      <c r="J7827" s="1"/>
      <c r="K7827" s="1"/>
      <c r="L7827" s="1"/>
      <c r="M7827" s="1"/>
      <c r="N7827" s="1"/>
      <c r="O7827" s="1"/>
      <c r="P7827" s="1"/>
      <c r="Q7827" s="1"/>
      <c r="R7827" s="1"/>
      <c r="S7827" s="1"/>
      <c r="T7827" s="1"/>
      <c r="U7827" s="1"/>
      <c r="V7827" s="1"/>
      <c r="W7827" s="1"/>
      <c r="X7827" s="1"/>
      <c r="Y7827" s="1"/>
      <c r="Z7827" s="1"/>
      <c r="AA7827" s="1"/>
      <c r="AB7827" s="1"/>
    </row>
    <row r="7828" ht="50.25" customHeight="1">
      <c r="A7828" s="12">
        <v>7824.0</v>
      </c>
      <c r="B7828" s="13" t="s">
        <v>7680</v>
      </c>
      <c r="C7828" s="18" t="s">
        <v>7853</v>
      </c>
      <c r="D7828" s="1"/>
      <c r="E7828" s="1"/>
      <c r="F7828" s="1" t="str">
        <f>IFERROR(__xludf.DUMMYFUNCTION("GOOGLETRANSLATE(B7828, ""en"", ""fa"")
"),"درخواست برای معلمان")</f>
        <v>درخواست برای معلمان</v>
      </c>
      <c r="G7828" s="1" t="str">
        <f>IFERROR(__xludf.DUMMYFUNCTION("GOOGLETRANSLATE(C7828, ""en"", ""fa"")
"),"در مورد اهمیت مشارکت والدین و جامعه در رسیدگی به نابرابری های آموزشی و ترویج عدالت اجتماعی بحث کنید.")</f>
        <v>در مورد اهمیت مشارکت والدین و جامعه در رسیدگی به نابرابری های آموزشی و ترویج عدالت اجتماعی بحث کنید.</v>
      </c>
      <c r="H7828" s="1"/>
      <c r="I7828" s="1"/>
      <c r="J7828" s="1"/>
      <c r="K7828" s="1"/>
      <c r="L7828" s="1"/>
      <c r="M7828" s="1"/>
      <c r="N7828" s="1"/>
      <c r="O7828" s="1"/>
      <c r="P7828" s="1"/>
      <c r="Q7828" s="1"/>
      <c r="R7828" s="1"/>
      <c r="S7828" s="1"/>
      <c r="T7828" s="1"/>
      <c r="U7828" s="1"/>
      <c r="V7828" s="1"/>
      <c r="W7828" s="1"/>
      <c r="X7828" s="1"/>
      <c r="Y7828" s="1"/>
      <c r="Z7828" s="1"/>
      <c r="AA7828" s="1"/>
      <c r="AB7828" s="1"/>
    </row>
    <row r="7829" ht="50.25" customHeight="1">
      <c r="A7829" s="12">
        <v>7825.0</v>
      </c>
      <c r="B7829" s="13" t="s">
        <v>7680</v>
      </c>
      <c r="C7829" s="18" t="s">
        <v>7854</v>
      </c>
      <c r="D7829" s="1"/>
      <c r="E7829" s="1"/>
      <c r="F7829" s="1" t="str">
        <f>IFERROR(__xludf.DUMMYFUNCTION("GOOGLETRANSLATE(B7829, ""en"", ""fa"")
"),"درخواست برای معلمان")</f>
        <v>درخواست برای معلمان</v>
      </c>
      <c r="G7829" s="1" t="str">
        <f>IFERROR(__xludf.DUMMYFUNCTION("GOOGLETRANSLATE(C7829, ""en"", ""fa"")
"),"بینش خود را در مورد استراتژی های موثر برای مشارکت دادن والدین و شرکای جامعه در ترویج تربیت بدنی و ورزش به اشتراک بگذارید.")</f>
        <v>بینش خود را در مورد استراتژی های موثر برای مشارکت دادن والدین و شرکای جامعه در ترویج تربیت بدنی و ورزش به اشتراک بگذارید.</v>
      </c>
      <c r="H7829" s="1"/>
      <c r="I7829" s="1"/>
      <c r="J7829" s="1"/>
      <c r="K7829" s="1"/>
      <c r="L7829" s="1"/>
      <c r="M7829" s="1"/>
      <c r="N7829" s="1"/>
      <c r="O7829" s="1"/>
      <c r="P7829" s="1"/>
      <c r="Q7829" s="1"/>
      <c r="R7829" s="1"/>
      <c r="S7829" s="1"/>
      <c r="T7829" s="1"/>
      <c r="U7829" s="1"/>
      <c r="V7829" s="1"/>
      <c r="W7829" s="1"/>
      <c r="X7829" s="1"/>
      <c r="Y7829" s="1"/>
      <c r="Z7829" s="1"/>
      <c r="AA7829" s="1"/>
      <c r="AB7829" s="1"/>
    </row>
    <row r="7830" ht="50.25" customHeight="1">
      <c r="A7830" s="12">
        <v>7826.0</v>
      </c>
      <c r="B7830" s="13" t="s">
        <v>7680</v>
      </c>
      <c r="C7830" s="18" t="s">
        <v>7855</v>
      </c>
      <c r="D7830" s="1"/>
      <c r="E7830" s="1"/>
      <c r="F7830" s="1" t="str">
        <f>IFERROR(__xludf.DUMMYFUNCTION("GOOGLETRANSLATE(B7830, ""en"", ""fa"")
"),"درخواست برای معلمان")</f>
        <v>درخواست برای معلمان</v>
      </c>
      <c r="G7830" s="1" t="str">
        <f>IFERROR(__xludf.DUMMYFUNCTION("GOOGLETRANSLATE(C7830, ""en"", ""fa"")
"),"کاوش راه هایی برای مشارکت دادن والدین و سهامداران جامعه در حمایت از سواد فناوری و نوآوری دانش آموزان.")</f>
        <v>کاوش راه هایی برای مشارکت دادن والدین و سهامداران جامعه در حمایت از سواد فناوری و نوآوری دانش آموزان.</v>
      </c>
      <c r="H7830" s="1"/>
      <c r="I7830" s="1"/>
      <c r="J7830" s="1"/>
      <c r="K7830" s="1"/>
      <c r="L7830" s="1"/>
      <c r="M7830" s="1"/>
      <c r="N7830" s="1"/>
      <c r="O7830" s="1"/>
      <c r="P7830" s="1"/>
      <c r="Q7830" s="1"/>
      <c r="R7830" s="1"/>
      <c r="S7830" s="1"/>
      <c r="T7830" s="1"/>
      <c r="U7830" s="1"/>
      <c r="V7830" s="1"/>
      <c r="W7830" s="1"/>
      <c r="X7830" s="1"/>
      <c r="Y7830" s="1"/>
      <c r="Z7830" s="1"/>
      <c r="AA7830" s="1"/>
      <c r="AB7830" s="1"/>
    </row>
    <row r="7831" ht="50.25" customHeight="1">
      <c r="A7831" s="12">
        <v>7827.0</v>
      </c>
      <c r="B7831" s="13" t="s">
        <v>7680</v>
      </c>
      <c r="C7831" s="18" t="s">
        <v>7856</v>
      </c>
      <c r="D7831" s="1"/>
      <c r="E7831" s="1"/>
      <c r="F7831" s="1" t="str">
        <f>IFERROR(__xludf.DUMMYFUNCTION("GOOGLETRANSLATE(B7831, ""en"", ""fa"")
"),"درخواست برای معلمان")</f>
        <v>درخواست برای معلمان</v>
      </c>
      <c r="G7831" s="1" t="str">
        <f>IFERROR(__xludf.DUMMYFUNCTION("GOOGLETRANSLATE(C7831, ""en"", ""fa"")
"),"در مورد نقش والدین و سازمان های اجتماعی در ترویج مشارکت های مثبت خانواده- مدرسه- جامعه بحث کنید.")</f>
        <v>در مورد نقش والدین و سازمان های اجتماعی در ترویج مشارکت های مثبت خانواده- مدرسه- جامعه بحث کنید.</v>
      </c>
      <c r="H7831" s="1"/>
      <c r="I7831" s="1"/>
      <c r="J7831" s="1"/>
      <c r="K7831" s="1"/>
      <c r="L7831" s="1"/>
      <c r="M7831" s="1"/>
      <c r="N7831" s="1"/>
      <c r="O7831" s="1"/>
      <c r="P7831" s="1"/>
      <c r="Q7831" s="1"/>
      <c r="R7831" s="1"/>
      <c r="S7831" s="1"/>
      <c r="T7831" s="1"/>
      <c r="U7831" s="1"/>
      <c r="V7831" s="1"/>
      <c r="W7831" s="1"/>
      <c r="X7831" s="1"/>
      <c r="Y7831" s="1"/>
      <c r="Z7831" s="1"/>
      <c r="AA7831" s="1"/>
      <c r="AB7831" s="1"/>
    </row>
    <row r="7832" ht="50.25" customHeight="1">
      <c r="A7832" s="12">
        <v>7828.0</v>
      </c>
      <c r="B7832" s="13" t="s">
        <v>7680</v>
      </c>
      <c r="C7832" s="18" t="s">
        <v>7857</v>
      </c>
      <c r="D7832" s="1"/>
      <c r="E7832" s="1"/>
      <c r="F7832" s="1" t="str">
        <f>IFERROR(__xludf.DUMMYFUNCTION("GOOGLETRANSLATE(B7832, ""en"", ""fa"")
"),"درخواست برای معلمان")</f>
        <v>درخواست برای معلمان</v>
      </c>
      <c r="G7832" s="1" t="str">
        <f>IFERROR(__xludf.DUMMYFUNCTION("GOOGLETRANSLATE(C7832, ""en"", ""fa"")
"),"تجربیات خود را با ابتکارات موفق والدین و جامعه برای افزایش مشارکت مدرسه به اشتراک بگذارید.")</f>
        <v>تجربیات خود را با ابتکارات موفق والدین و جامعه برای افزایش مشارکت مدرسه به اشتراک بگذارید.</v>
      </c>
      <c r="H7832" s="1"/>
      <c r="I7832" s="1"/>
      <c r="J7832" s="1"/>
      <c r="K7832" s="1"/>
      <c r="L7832" s="1"/>
      <c r="M7832" s="1"/>
      <c r="N7832" s="1"/>
      <c r="O7832" s="1"/>
      <c r="P7832" s="1"/>
      <c r="Q7832" s="1"/>
      <c r="R7832" s="1"/>
      <c r="S7832" s="1"/>
      <c r="T7832" s="1"/>
      <c r="U7832" s="1"/>
      <c r="V7832" s="1"/>
      <c r="W7832" s="1"/>
      <c r="X7832" s="1"/>
      <c r="Y7832" s="1"/>
      <c r="Z7832" s="1"/>
      <c r="AA7832" s="1"/>
      <c r="AB7832" s="1"/>
    </row>
    <row r="7833" ht="50.25" customHeight="1">
      <c r="A7833" s="12">
        <v>7829.0</v>
      </c>
      <c r="B7833" s="13" t="s">
        <v>7680</v>
      </c>
      <c r="C7833" s="18" t="s">
        <v>7858</v>
      </c>
      <c r="D7833" s="1"/>
      <c r="E7833" s="1"/>
      <c r="F7833" s="1" t="str">
        <f>IFERROR(__xludf.DUMMYFUNCTION("GOOGLETRANSLATE(B7833, ""en"", ""fa"")
"),"درخواست برای معلمان")</f>
        <v>درخواست برای معلمان</v>
      </c>
      <c r="G7833" s="1" t="str">
        <f>IFERROR(__xludf.DUMMYFUNCTION("GOOGLETRANSLATE(C7833, ""en"", ""fa"")
"),"استراتژی‌هایی را برای مشارکت دادن والدین و اعضای جامعه در حمایت از مهارت‌های اجتماعی دانش‌آموزان و روابط با همسالان بررسی کنید.")</f>
        <v>استراتژی‌هایی را برای مشارکت دادن والدین و اعضای جامعه در حمایت از مهارت‌های اجتماعی دانش‌آموزان و روابط با همسالان بررسی کنید.</v>
      </c>
      <c r="H7833" s="1"/>
      <c r="I7833" s="1"/>
      <c r="J7833" s="1"/>
      <c r="K7833" s="1"/>
      <c r="L7833" s="1"/>
      <c r="M7833" s="1"/>
      <c r="N7833" s="1"/>
      <c r="O7833" s="1"/>
      <c r="P7833" s="1"/>
      <c r="Q7833" s="1"/>
      <c r="R7833" s="1"/>
      <c r="S7833" s="1"/>
      <c r="T7833" s="1"/>
      <c r="U7833" s="1"/>
      <c r="V7833" s="1"/>
      <c r="W7833" s="1"/>
      <c r="X7833" s="1"/>
      <c r="Y7833" s="1"/>
      <c r="Z7833" s="1"/>
      <c r="AA7833" s="1"/>
      <c r="AB7833" s="1"/>
    </row>
    <row r="7834" ht="50.25" customHeight="1">
      <c r="A7834" s="12">
        <v>7830.0</v>
      </c>
      <c r="B7834" s="13" t="s">
        <v>7680</v>
      </c>
      <c r="C7834" s="18" t="s">
        <v>7859</v>
      </c>
      <c r="D7834" s="1"/>
      <c r="E7834" s="1"/>
      <c r="F7834" s="1" t="str">
        <f>IFERROR(__xludf.DUMMYFUNCTION("GOOGLETRANSLATE(B7834, ""en"", ""fa"")
"),"درخواست برای معلمان")</f>
        <v>درخواست برای معلمان</v>
      </c>
      <c r="G7834" s="1" t="str">
        <f>IFERROR(__xludf.DUMMYFUNCTION("GOOGLETRANSLATE(C7834, ""en"", ""fa"")
"),"در مورد تأثیر مشارکت والدین و جامعه بر احساس هویت فرهنگی و میراث دانش آموزان بحث کنید.")</f>
        <v>در مورد تأثیر مشارکت والدین و جامعه بر احساس هویت فرهنگی و میراث دانش آموزان بحث کنید.</v>
      </c>
      <c r="H7834" s="1"/>
      <c r="I7834" s="1"/>
      <c r="J7834" s="1"/>
      <c r="K7834" s="1"/>
      <c r="L7834" s="1"/>
      <c r="M7834" s="1"/>
      <c r="N7834" s="1"/>
      <c r="O7834" s="1"/>
      <c r="P7834" s="1"/>
      <c r="Q7834" s="1"/>
      <c r="R7834" s="1"/>
      <c r="S7834" s="1"/>
      <c r="T7834" s="1"/>
      <c r="U7834" s="1"/>
      <c r="V7834" s="1"/>
      <c r="W7834" s="1"/>
      <c r="X7834" s="1"/>
      <c r="Y7834" s="1"/>
      <c r="Z7834" s="1"/>
      <c r="AA7834" s="1"/>
      <c r="AB7834" s="1"/>
    </row>
    <row r="7835" ht="50.25" customHeight="1">
      <c r="A7835" s="12">
        <v>7831.0</v>
      </c>
      <c r="B7835" s="13" t="s">
        <v>7680</v>
      </c>
      <c r="C7835" s="18" t="s">
        <v>7860</v>
      </c>
      <c r="D7835" s="1"/>
      <c r="E7835" s="1"/>
      <c r="F7835" s="1" t="str">
        <f>IFERROR(__xludf.DUMMYFUNCTION("GOOGLETRANSLATE(B7835, ""en"", ""fa"")
"),"درخواست برای معلمان")</f>
        <v>درخواست برای معلمان</v>
      </c>
      <c r="G7835" s="1" t="str">
        <f>IFERROR(__xludf.DUMMYFUNCTION("GOOGLETRANSLATE(C7835, ""en"", ""fa"")
"),"بینش خود را در مورد استراتژی های موثر برای مشارکت دادن والدین و شرکای جامعه در حمایت از سلامت روان و رفاه دانش آموزان به اشتراک بگذارید.")</f>
        <v>بینش خود را در مورد استراتژی های موثر برای مشارکت دادن والدین و شرکای جامعه در حمایت از سلامت روان و رفاه دانش آموزان به اشتراک بگذارید.</v>
      </c>
      <c r="H7835" s="1"/>
      <c r="I7835" s="1"/>
      <c r="J7835" s="1"/>
      <c r="K7835" s="1"/>
      <c r="L7835" s="1"/>
      <c r="M7835" s="1"/>
      <c r="N7835" s="1"/>
      <c r="O7835" s="1"/>
      <c r="P7835" s="1"/>
      <c r="Q7835" s="1"/>
      <c r="R7835" s="1"/>
      <c r="S7835" s="1"/>
      <c r="T7835" s="1"/>
      <c r="U7835" s="1"/>
      <c r="V7835" s="1"/>
      <c r="W7835" s="1"/>
      <c r="X7835" s="1"/>
      <c r="Y7835" s="1"/>
      <c r="Z7835" s="1"/>
      <c r="AA7835" s="1"/>
      <c r="AB7835" s="1"/>
    </row>
    <row r="7836" ht="50.25" customHeight="1">
      <c r="A7836" s="12">
        <v>7832.0</v>
      </c>
      <c r="B7836" s="13" t="s">
        <v>7680</v>
      </c>
      <c r="C7836" s="18" t="s">
        <v>7861</v>
      </c>
      <c r="D7836" s="1"/>
      <c r="E7836" s="1"/>
      <c r="F7836" s="1" t="str">
        <f>IFERROR(__xludf.DUMMYFUNCTION("GOOGLETRANSLATE(B7836, ""en"", ""fa"")
"),"درخواست برای معلمان")</f>
        <v>درخواست برای معلمان</v>
      </c>
      <c r="G7836" s="1" t="str">
        <f>IFERROR(__xludf.DUMMYFUNCTION("GOOGLETRANSLATE(C7836, ""en"", ""fa"")
"),"راه‌هایی را برای مشارکت دادن والدین و ذینفعان جامعه در ترویج آگاهی جهانی و آموزش چندفرهنگی بررسی کنید.")</f>
        <v>راه‌هایی را برای مشارکت دادن والدین و ذینفعان جامعه در ترویج آگاهی جهانی و آموزش چندفرهنگی بررسی کنید.</v>
      </c>
      <c r="H7836" s="1"/>
      <c r="I7836" s="1"/>
      <c r="J7836" s="1"/>
      <c r="K7836" s="1"/>
      <c r="L7836" s="1"/>
      <c r="M7836" s="1"/>
      <c r="N7836" s="1"/>
      <c r="O7836" s="1"/>
      <c r="P7836" s="1"/>
      <c r="Q7836" s="1"/>
      <c r="R7836" s="1"/>
      <c r="S7836" s="1"/>
      <c r="T7836" s="1"/>
      <c r="U7836" s="1"/>
      <c r="V7836" s="1"/>
      <c r="W7836" s="1"/>
      <c r="X7836" s="1"/>
      <c r="Y7836" s="1"/>
      <c r="Z7836" s="1"/>
      <c r="AA7836" s="1"/>
      <c r="AB7836" s="1"/>
    </row>
    <row r="7837" ht="50.25" customHeight="1">
      <c r="A7837" s="12">
        <v>7833.0</v>
      </c>
      <c r="B7837" s="13" t="s">
        <v>7680</v>
      </c>
      <c r="C7837" s="18" t="s">
        <v>7862</v>
      </c>
      <c r="D7837" s="1"/>
      <c r="E7837" s="1"/>
      <c r="F7837" s="1" t="str">
        <f>IFERROR(__xludf.DUMMYFUNCTION("GOOGLETRANSLATE(B7837, ""en"", ""fa"")
"),"درخواست برای معلمان")</f>
        <v>درخواست برای معلمان</v>
      </c>
      <c r="G7837" s="1" t="str">
        <f>IFERROR(__xludf.DUMMYFUNCTION("GOOGLETRANSLATE(C7837, ""en"", ""fa"")
"),"در مورد اهمیت مشارکت والدین و جامعه در ارتقای آمادگی تحصیلی و شغلی برای دانش آموزان بحث کنید.")</f>
        <v>در مورد اهمیت مشارکت والدین و جامعه در ارتقای آمادگی تحصیلی و شغلی برای دانش آموزان بحث کنید.</v>
      </c>
      <c r="H7837" s="1"/>
      <c r="I7837" s="1"/>
      <c r="J7837" s="1"/>
      <c r="K7837" s="1"/>
      <c r="L7837" s="1"/>
      <c r="M7837" s="1"/>
      <c r="N7837" s="1"/>
      <c r="O7837" s="1"/>
      <c r="P7837" s="1"/>
      <c r="Q7837" s="1"/>
      <c r="R7837" s="1"/>
      <c r="S7837" s="1"/>
      <c r="T7837" s="1"/>
      <c r="U7837" s="1"/>
      <c r="V7837" s="1"/>
      <c r="W7837" s="1"/>
      <c r="X7837" s="1"/>
      <c r="Y7837" s="1"/>
      <c r="Z7837" s="1"/>
      <c r="AA7837" s="1"/>
      <c r="AB7837" s="1"/>
    </row>
    <row r="7838" ht="50.25" customHeight="1">
      <c r="A7838" s="12">
        <v>7834.0</v>
      </c>
      <c r="B7838" s="13" t="s">
        <v>7680</v>
      </c>
      <c r="C7838" s="18" t="s">
        <v>7863</v>
      </c>
      <c r="D7838" s="1"/>
      <c r="E7838" s="1"/>
      <c r="F7838" s="1" t="str">
        <f>IFERROR(__xludf.DUMMYFUNCTION("GOOGLETRANSLATE(B7838, ""en"", ""fa"")
"),"درخواست برای معلمان")</f>
        <v>درخواست برای معلمان</v>
      </c>
      <c r="G7838" s="1" t="str">
        <f>IFERROR(__xludf.DUMMYFUNCTION("GOOGLETRANSLATE(C7838, ""en"", ""fa"")
"),"تجربیات خود را در مورد برنامه های موفق شناخت والدین و جامعه برای دستاوردهای دانش آموزان به اشتراک بگذارید.")</f>
        <v>تجربیات خود را در مورد برنامه های موفق شناخت والدین و جامعه برای دستاوردهای دانش آموزان به اشتراک بگذارید.</v>
      </c>
      <c r="H7838" s="1"/>
      <c r="I7838" s="1"/>
      <c r="J7838" s="1"/>
      <c r="K7838" s="1"/>
      <c r="L7838" s="1"/>
      <c r="M7838" s="1"/>
      <c r="N7838" s="1"/>
      <c r="O7838" s="1"/>
      <c r="P7838" s="1"/>
      <c r="Q7838" s="1"/>
      <c r="R7838" s="1"/>
      <c r="S7838" s="1"/>
      <c r="T7838" s="1"/>
      <c r="U7838" s="1"/>
      <c r="V7838" s="1"/>
      <c r="W7838" s="1"/>
      <c r="X7838" s="1"/>
      <c r="Y7838" s="1"/>
      <c r="Z7838" s="1"/>
      <c r="AA7838" s="1"/>
      <c r="AB7838" s="1"/>
    </row>
    <row r="7839" ht="50.25" customHeight="1">
      <c r="A7839" s="12">
        <v>7835.0</v>
      </c>
      <c r="B7839" s="13" t="s">
        <v>7680</v>
      </c>
      <c r="C7839" s="18" t="s">
        <v>7864</v>
      </c>
      <c r="D7839" s="1"/>
      <c r="E7839" s="1"/>
      <c r="F7839" s="1" t="str">
        <f>IFERROR(__xludf.DUMMYFUNCTION("GOOGLETRANSLATE(B7839, ""en"", ""fa"")
"),"درخواست برای معلمان")</f>
        <v>درخواست برای معلمان</v>
      </c>
      <c r="G7839" s="1" t="str">
        <f>IFERROR(__xludf.DUMMYFUNCTION("GOOGLETRANSLATE(C7839, ""en"", ""fa"")
"),"استراتژی‌هایی را برای مشارکت دادن والدین و اعضای جامعه در حمایت از خدمات اجتماعی و داوطلبانه دانش‌آموزان بررسی کنید.")</f>
        <v>استراتژی‌هایی را برای مشارکت دادن والدین و اعضای جامعه در حمایت از خدمات اجتماعی و داوطلبانه دانش‌آموزان بررسی کنید.</v>
      </c>
      <c r="H7839" s="1"/>
      <c r="I7839" s="1"/>
      <c r="J7839" s="1"/>
      <c r="K7839" s="1"/>
      <c r="L7839" s="1"/>
      <c r="M7839" s="1"/>
      <c r="N7839" s="1"/>
      <c r="O7839" s="1"/>
      <c r="P7839" s="1"/>
      <c r="Q7839" s="1"/>
      <c r="R7839" s="1"/>
      <c r="S7839" s="1"/>
      <c r="T7839" s="1"/>
      <c r="U7839" s="1"/>
      <c r="V7839" s="1"/>
      <c r="W7839" s="1"/>
      <c r="X7839" s="1"/>
      <c r="Y7839" s="1"/>
      <c r="Z7839" s="1"/>
      <c r="AA7839" s="1"/>
      <c r="AB7839" s="1"/>
    </row>
    <row r="7840" ht="50.25" customHeight="1">
      <c r="A7840" s="12">
        <v>7836.0</v>
      </c>
      <c r="B7840" s="13" t="s">
        <v>7680</v>
      </c>
      <c r="C7840" s="18" t="s">
        <v>7865</v>
      </c>
      <c r="D7840" s="1"/>
      <c r="E7840" s="1"/>
      <c r="F7840" s="1" t="str">
        <f>IFERROR(__xludf.DUMMYFUNCTION("GOOGLETRANSLATE(B7840, ""en"", ""fa"")
"),"درخواست برای معلمان")</f>
        <v>درخواست برای معلمان</v>
      </c>
      <c r="G7840" s="1" t="str">
        <f>IFERROR(__xludf.DUMMYFUNCTION("GOOGLETRANSLATE(C7840, ""en"", ""fa"")
"),"در مورد نقش والدین و سازمان های اجتماعی در ترویج شیوه های فراگیر برای دانش آموزان دارای معلولیت بحث کنید.")</f>
        <v>در مورد نقش والدین و سازمان های اجتماعی در ترویج شیوه های فراگیر برای دانش آموزان دارای معلولیت بحث کنید.</v>
      </c>
      <c r="H7840" s="1"/>
      <c r="I7840" s="1"/>
      <c r="J7840" s="1"/>
      <c r="K7840" s="1"/>
      <c r="L7840" s="1"/>
      <c r="M7840" s="1"/>
      <c r="N7840" s="1"/>
      <c r="O7840" s="1"/>
      <c r="P7840" s="1"/>
      <c r="Q7840" s="1"/>
      <c r="R7840" s="1"/>
      <c r="S7840" s="1"/>
      <c r="T7840" s="1"/>
      <c r="U7840" s="1"/>
      <c r="V7840" s="1"/>
      <c r="W7840" s="1"/>
      <c r="X7840" s="1"/>
      <c r="Y7840" s="1"/>
      <c r="Z7840" s="1"/>
      <c r="AA7840" s="1"/>
      <c r="AB7840" s="1"/>
    </row>
    <row r="7841" ht="50.25" customHeight="1">
      <c r="A7841" s="12">
        <v>7837.0</v>
      </c>
      <c r="B7841" s="13" t="s">
        <v>7680</v>
      </c>
      <c r="C7841" s="18" t="s">
        <v>7866</v>
      </c>
      <c r="D7841" s="1"/>
      <c r="E7841" s="1"/>
      <c r="F7841" s="1" t="str">
        <f>IFERROR(__xludf.DUMMYFUNCTION("GOOGLETRANSLATE(B7841, ""en"", ""fa"")
"),"درخواست برای معلمان")</f>
        <v>درخواست برای معلمان</v>
      </c>
      <c r="G7841" s="1" t="str">
        <f>IFERROR(__xludf.DUMMYFUNCTION("GOOGLETRANSLATE(C7841, ""en"", ""fa"")
"),"بینش خود را در مورد استراتژی های موثر برای مشارکت دادن والدین و شرکای جامعه در ارتقای سواد رسانه ای و شهروندی دیجیتالی مسئولانه به اشتراک بگذارید.")</f>
        <v>بینش خود را در مورد استراتژی های موثر برای مشارکت دادن والدین و شرکای جامعه در ارتقای سواد رسانه ای و شهروندی دیجیتالی مسئولانه به اشتراک بگذارید.</v>
      </c>
      <c r="H7841" s="1"/>
      <c r="I7841" s="1"/>
      <c r="J7841" s="1"/>
      <c r="K7841" s="1"/>
      <c r="L7841" s="1"/>
      <c r="M7841" s="1"/>
      <c r="N7841" s="1"/>
      <c r="O7841" s="1"/>
      <c r="P7841" s="1"/>
      <c r="Q7841" s="1"/>
      <c r="R7841" s="1"/>
      <c r="S7841" s="1"/>
      <c r="T7841" s="1"/>
      <c r="U7841" s="1"/>
      <c r="V7841" s="1"/>
      <c r="W7841" s="1"/>
      <c r="X7841" s="1"/>
      <c r="Y7841" s="1"/>
      <c r="Z7841" s="1"/>
      <c r="AA7841" s="1"/>
      <c r="AB7841" s="1"/>
    </row>
    <row r="7842" ht="50.25" customHeight="1">
      <c r="A7842" s="12">
        <v>7838.0</v>
      </c>
      <c r="B7842" s="13" t="s">
        <v>7680</v>
      </c>
      <c r="C7842" s="18" t="s">
        <v>7867</v>
      </c>
      <c r="D7842" s="1"/>
      <c r="E7842" s="1"/>
      <c r="F7842" s="1" t="str">
        <f>IFERROR(__xludf.DUMMYFUNCTION("GOOGLETRANSLATE(B7842, ""en"", ""fa"")
"),"درخواست برای معلمان")</f>
        <v>درخواست برای معلمان</v>
      </c>
      <c r="G7842" s="1" t="str">
        <f>IFERROR(__xludf.DUMMYFUNCTION("GOOGLETRANSLATE(C7842, ""en"", ""fa"")
"),"کاوش راه هایی برای مشارکت دادن والدین و ذینفعان جامعه در حمایت از خلاقیت و بیان هنری دانش آموزان.")</f>
        <v>کاوش راه هایی برای مشارکت دادن والدین و ذینفعان جامعه در حمایت از خلاقیت و بیان هنری دانش آموزان.</v>
      </c>
      <c r="H7842" s="1"/>
      <c r="I7842" s="1"/>
      <c r="J7842" s="1"/>
      <c r="K7842" s="1"/>
      <c r="L7842" s="1"/>
      <c r="M7842" s="1"/>
      <c r="N7842" s="1"/>
      <c r="O7842" s="1"/>
      <c r="P7842" s="1"/>
      <c r="Q7842" s="1"/>
      <c r="R7842" s="1"/>
      <c r="S7842" s="1"/>
      <c r="T7842" s="1"/>
      <c r="U7842" s="1"/>
      <c r="V7842" s="1"/>
      <c r="W7842" s="1"/>
      <c r="X7842" s="1"/>
      <c r="Y7842" s="1"/>
      <c r="Z7842" s="1"/>
      <c r="AA7842" s="1"/>
      <c r="AB7842" s="1"/>
    </row>
    <row r="7843" ht="50.25" customHeight="1">
      <c r="A7843" s="12">
        <v>7839.0</v>
      </c>
      <c r="B7843" s="13" t="s">
        <v>7680</v>
      </c>
      <c r="C7843" s="18" t="s">
        <v>7868</v>
      </c>
      <c r="D7843" s="1"/>
      <c r="E7843" s="1"/>
      <c r="F7843" s="1" t="str">
        <f>IFERROR(__xludf.DUMMYFUNCTION("GOOGLETRANSLATE(B7843, ""en"", ""fa"")
"),"درخواست برای معلمان")</f>
        <v>درخواست برای معلمان</v>
      </c>
      <c r="G7843" s="1" t="str">
        <f>IFERROR(__xludf.DUMMYFUNCTION("GOOGLETRANSLATE(C7843, ""en"", ""fa"")
"),"در مورد تأثیر مشارکت والدین و جامعه بر احساس تعلق و ارتباط دانش آموزان با مدرسه بحث کنید.")</f>
        <v>در مورد تأثیر مشارکت والدین و جامعه بر احساس تعلق و ارتباط دانش آموزان با مدرسه بحث کنید.</v>
      </c>
      <c r="H7843" s="1"/>
      <c r="I7843" s="1"/>
      <c r="J7843" s="1"/>
      <c r="K7843" s="1"/>
      <c r="L7843" s="1"/>
      <c r="M7843" s="1"/>
      <c r="N7843" s="1"/>
      <c r="O7843" s="1"/>
      <c r="P7843" s="1"/>
      <c r="Q7843" s="1"/>
      <c r="R7843" s="1"/>
      <c r="S7843" s="1"/>
      <c r="T7843" s="1"/>
      <c r="U7843" s="1"/>
      <c r="V7843" s="1"/>
      <c r="W7843" s="1"/>
      <c r="X7843" s="1"/>
      <c r="Y7843" s="1"/>
      <c r="Z7843" s="1"/>
      <c r="AA7843" s="1"/>
      <c r="AB7843" s="1"/>
    </row>
    <row r="7844" ht="50.25" customHeight="1">
      <c r="A7844" s="12">
        <v>7840.0</v>
      </c>
      <c r="B7844" s="13" t="s">
        <v>7680</v>
      </c>
      <c r="C7844" s="18" t="s">
        <v>7869</v>
      </c>
      <c r="D7844" s="1"/>
      <c r="E7844" s="1"/>
      <c r="F7844" s="1" t="str">
        <f>IFERROR(__xludf.DUMMYFUNCTION("GOOGLETRANSLATE(B7844, ""en"", ""fa"")
"),"درخواست برای معلمان")</f>
        <v>درخواست برای معلمان</v>
      </c>
      <c r="G7844" s="1" t="str">
        <f>IFERROR(__xludf.DUMMYFUNCTION("GOOGLETRANSLATE(C7844, ""en"", ""fa"")
"),"تجربیات خود را با طرح‌های مشارکت موفق والدین و جامعه در طول رویدادها و جشن‌های مدرسه به اشتراک بگذارید.")</f>
        <v>تجربیات خود را با طرح‌های مشارکت موفق والدین و جامعه در طول رویدادها و جشن‌های مدرسه به اشتراک بگذارید.</v>
      </c>
      <c r="H7844" s="1"/>
      <c r="I7844" s="1"/>
      <c r="J7844" s="1"/>
      <c r="K7844" s="1"/>
      <c r="L7844" s="1"/>
      <c r="M7844" s="1"/>
      <c r="N7844" s="1"/>
      <c r="O7844" s="1"/>
      <c r="P7844" s="1"/>
      <c r="Q7844" s="1"/>
      <c r="R7844" s="1"/>
      <c r="S7844" s="1"/>
      <c r="T7844" s="1"/>
      <c r="U7844" s="1"/>
      <c r="V7844" s="1"/>
      <c r="W7844" s="1"/>
      <c r="X7844" s="1"/>
      <c r="Y7844" s="1"/>
      <c r="Z7844" s="1"/>
      <c r="AA7844" s="1"/>
      <c r="AB7844" s="1"/>
    </row>
    <row r="7845" ht="50.25" customHeight="1">
      <c r="A7845" s="12">
        <v>7841.0</v>
      </c>
      <c r="B7845" s="13" t="s">
        <v>7680</v>
      </c>
      <c r="C7845" s="18" t="s">
        <v>7870</v>
      </c>
      <c r="D7845" s="1"/>
      <c r="E7845" s="1"/>
      <c r="F7845" s="1" t="str">
        <f>IFERROR(__xludf.DUMMYFUNCTION("GOOGLETRANSLATE(B7845, ""en"", ""fa"")
"),"درخواست برای معلمان")</f>
        <v>درخواست برای معلمان</v>
      </c>
      <c r="G7845" s="1" t="str">
        <f>IFERROR(__xludf.DUMMYFUNCTION("GOOGLETRANSLATE(C7845, ""en"", ""fa"")
"),"استراتژی‌هایی را برای مشارکت دادن والدین و اعضای جامعه در ترویج روابط مثبت با همسالان و تلاش‌های ضد قلدری بررسی کنید.")</f>
        <v>استراتژی‌هایی را برای مشارکت دادن والدین و اعضای جامعه در ترویج روابط مثبت با همسالان و تلاش‌های ضد قلدری بررسی کنید.</v>
      </c>
      <c r="H7845" s="1"/>
      <c r="I7845" s="1"/>
      <c r="J7845" s="1"/>
      <c r="K7845" s="1"/>
      <c r="L7845" s="1"/>
      <c r="M7845" s="1"/>
      <c r="N7845" s="1"/>
      <c r="O7845" s="1"/>
      <c r="P7845" s="1"/>
      <c r="Q7845" s="1"/>
      <c r="R7845" s="1"/>
      <c r="S7845" s="1"/>
      <c r="T7845" s="1"/>
      <c r="U7845" s="1"/>
      <c r="V7845" s="1"/>
      <c r="W7845" s="1"/>
      <c r="X7845" s="1"/>
      <c r="Y7845" s="1"/>
      <c r="Z7845" s="1"/>
      <c r="AA7845" s="1"/>
      <c r="AB7845" s="1"/>
    </row>
    <row r="7846" ht="50.25" customHeight="1">
      <c r="A7846" s="12">
        <v>7842.0</v>
      </c>
      <c r="B7846" s="13" t="s">
        <v>7680</v>
      </c>
      <c r="C7846" s="18" t="s">
        <v>7871</v>
      </c>
      <c r="D7846" s="1"/>
      <c r="E7846" s="1"/>
      <c r="F7846" s="1" t="str">
        <f>IFERROR(__xludf.DUMMYFUNCTION("GOOGLETRANSLATE(B7846, ""en"", ""fa"")
"),"درخواست برای معلمان")</f>
        <v>درخواست برای معلمان</v>
      </c>
      <c r="G7846" s="1" t="str">
        <f>IFERROR(__xludf.DUMMYFUNCTION("GOOGLETRANSLATE(C7846, ""en"", ""fa"")
"),"در مورد اهمیت مشارکت والدین و جامعه در تقویت تاب آوری و مهارت های مقابله ای دانش آموزان بحث کنید.")</f>
        <v>در مورد اهمیت مشارکت والدین و جامعه در تقویت تاب آوری و مهارت های مقابله ای دانش آموزان بحث کنید.</v>
      </c>
      <c r="H7846" s="1"/>
      <c r="I7846" s="1"/>
      <c r="J7846" s="1"/>
      <c r="K7846" s="1"/>
      <c r="L7846" s="1"/>
      <c r="M7846" s="1"/>
      <c r="N7846" s="1"/>
      <c r="O7846" s="1"/>
      <c r="P7846" s="1"/>
      <c r="Q7846" s="1"/>
      <c r="R7846" s="1"/>
      <c r="S7846" s="1"/>
      <c r="T7846" s="1"/>
      <c r="U7846" s="1"/>
      <c r="V7846" s="1"/>
      <c r="W7846" s="1"/>
      <c r="X7846" s="1"/>
      <c r="Y7846" s="1"/>
      <c r="Z7846" s="1"/>
      <c r="AA7846" s="1"/>
      <c r="AB7846" s="1"/>
    </row>
    <row r="7847" ht="50.25" customHeight="1">
      <c r="A7847" s="12">
        <v>7843.0</v>
      </c>
      <c r="B7847" s="13" t="s">
        <v>7680</v>
      </c>
      <c r="C7847" s="18" t="s">
        <v>7872</v>
      </c>
      <c r="D7847" s="1"/>
      <c r="E7847" s="1"/>
      <c r="F7847" s="1" t="str">
        <f>IFERROR(__xludf.DUMMYFUNCTION("GOOGLETRANSLATE(B7847, ""en"", ""fa"")
"),"درخواست برای معلمان")</f>
        <v>درخواست برای معلمان</v>
      </c>
      <c r="G7847" s="1" t="str">
        <f>IFERROR(__xludf.DUMMYFUNCTION("GOOGLETRANSLATE(C7847, ""en"", ""fa"")
"),"بینش خود را در مورد استراتژی های موثر برای مشارکت دادن والدین و شرکای جامعه در حمایت از فراگیری زبان انگلیسی دانش آموزان به اشتراک بگذارید.")</f>
        <v>بینش خود را در مورد استراتژی های موثر برای مشارکت دادن والدین و شرکای جامعه در حمایت از فراگیری زبان انگلیسی دانش آموزان به اشتراک بگذارید.</v>
      </c>
      <c r="H7847" s="1"/>
      <c r="I7847" s="1"/>
      <c r="J7847" s="1"/>
      <c r="K7847" s="1"/>
      <c r="L7847" s="1"/>
      <c r="M7847" s="1"/>
      <c r="N7847" s="1"/>
      <c r="O7847" s="1"/>
      <c r="P7847" s="1"/>
      <c r="Q7847" s="1"/>
      <c r="R7847" s="1"/>
      <c r="S7847" s="1"/>
      <c r="T7847" s="1"/>
      <c r="U7847" s="1"/>
      <c r="V7847" s="1"/>
      <c r="W7847" s="1"/>
      <c r="X7847" s="1"/>
      <c r="Y7847" s="1"/>
      <c r="Z7847" s="1"/>
      <c r="AA7847" s="1"/>
      <c r="AB7847" s="1"/>
    </row>
    <row r="7848" ht="50.25" customHeight="1">
      <c r="A7848" s="12">
        <v>7844.0</v>
      </c>
      <c r="B7848" s="13" t="s">
        <v>7680</v>
      </c>
      <c r="C7848" s="18" t="s">
        <v>7873</v>
      </c>
      <c r="D7848" s="1"/>
      <c r="E7848" s="1"/>
      <c r="F7848" s="1" t="str">
        <f>IFERROR(__xludf.DUMMYFUNCTION("GOOGLETRANSLATE(B7848, ""en"", ""fa"")
"),"درخواست برای معلمان")</f>
        <v>درخواست برای معلمان</v>
      </c>
      <c r="G7848" s="1" t="str">
        <f>IFERROR(__xludf.DUMMYFUNCTION("GOOGLETRANSLATE(C7848, ""en"", ""fa"")
"),"کاوش راه هایی برای مشارکت دادن والدین و ذینفعان جامعه در ترویج جشن های فرهنگی و آگاهی از تنوع.")</f>
        <v>کاوش راه هایی برای مشارکت دادن والدین و ذینفعان جامعه در ترویج جشن های فرهنگی و آگاهی از تنوع.</v>
      </c>
      <c r="H7848" s="1"/>
      <c r="I7848" s="1"/>
      <c r="J7848" s="1"/>
      <c r="K7848" s="1"/>
      <c r="L7848" s="1"/>
      <c r="M7848" s="1"/>
      <c r="N7848" s="1"/>
      <c r="O7848" s="1"/>
      <c r="P7848" s="1"/>
      <c r="Q7848" s="1"/>
      <c r="R7848" s="1"/>
      <c r="S7848" s="1"/>
      <c r="T7848" s="1"/>
      <c r="U7848" s="1"/>
      <c r="V7848" s="1"/>
      <c r="W7848" s="1"/>
      <c r="X7848" s="1"/>
      <c r="Y7848" s="1"/>
      <c r="Z7848" s="1"/>
      <c r="AA7848" s="1"/>
      <c r="AB7848" s="1"/>
    </row>
    <row r="7849" ht="50.25" customHeight="1">
      <c r="A7849" s="12">
        <v>7845.0</v>
      </c>
      <c r="B7849" s="13" t="s">
        <v>7680</v>
      </c>
      <c r="C7849" s="18" t="s">
        <v>7874</v>
      </c>
      <c r="D7849" s="1"/>
      <c r="E7849" s="1"/>
      <c r="F7849" s="1" t="str">
        <f>IFERROR(__xludf.DUMMYFUNCTION("GOOGLETRANSLATE(B7849, ""en"", ""fa"")
"),"درخواست برای معلمان")</f>
        <v>درخواست برای معلمان</v>
      </c>
      <c r="G7849" s="1" t="str">
        <f>IFERROR(__xludf.DUMMYFUNCTION("GOOGLETRANSLATE(C7849, ""en"", ""fa"")
"),"در مورد نقش والدین و سازمان های اجتماعی در ترویج انضباط مثبت مدرسه و شیوه های ترمیمی بحث کنید.")</f>
        <v>در مورد نقش والدین و سازمان های اجتماعی در ترویج انضباط مثبت مدرسه و شیوه های ترمیمی بحث کنید.</v>
      </c>
      <c r="H7849" s="1"/>
      <c r="I7849" s="1"/>
      <c r="J7849" s="1"/>
      <c r="K7849" s="1"/>
      <c r="L7849" s="1"/>
      <c r="M7849" s="1"/>
      <c r="N7849" s="1"/>
      <c r="O7849" s="1"/>
      <c r="P7849" s="1"/>
      <c r="Q7849" s="1"/>
      <c r="R7849" s="1"/>
      <c r="S7849" s="1"/>
      <c r="T7849" s="1"/>
      <c r="U7849" s="1"/>
      <c r="V7849" s="1"/>
      <c r="W7849" s="1"/>
      <c r="X7849" s="1"/>
      <c r="Y7849" s="1"/>
      <c r="Z7849" s="1"/>
      <c r="AA7849" s="1"/>
      <c r="AB7849" s="1"/>
    </row>
    <row r="7850" ht="50.25" customHeight="1">
      <c r="A7850" s="12">
        <v>7846.0</v>
      </c>
      <c r="B7850" s="13" t="s">
        <v>7680</v>
      </c>
      <c r="C7850" s="18" t="s">
        <v>7875</v>
      </c>
      <c r="D7850" s="1"/>
      <c r="E7850" s="1"/>
      <c r="F7850" s="1" t="str">
        <f>IFERROR(__xludf.DUMMYFUNCTION("GOOGLETRANSLATE(B7850, ""en"", ""fa"")
"),"درخواست برای معلمان")</f>
        <v>درخواست برای معلمان</v>
      </c>
      <c r="G7850" s="1" t="str">
        <f>IFERROR(__xludf.DUMMYFUNCTION("GOOGLETRANSLATE(C7850, ""en"", ""fa"")
"),"تجربیات خود را با مشارکت موفق والدین و جامعه در اجرای طرح های فناوری آموزشی به اشتراک بگذارید.")</f>
        <v>تجربیات خود را با مشارکت موفق والدین و جامعه در اجرای طرح های فناوری آموزشی به اشتراک بگذارید.</v>
      </c>
      <c r="H7850" s="1"/>
      <c r="I7850" s="1"/>
      <c r="J7850" s="1"/>
      <c r="K7850" s="1"/>
      <c r="L7850" s="1"/>
      <c r="M7850" s="1"/>
      <c r="N7850" s="1"/>
      <c r="O7850" s="1"/>
      <c r="P7850" s="1"/>
      <c r="Q7850" s="1"/>
      <c r="R7850" s="1"/>
      <c r="S7850" s="1"/>
      <c r="T7850" s="1"/>
      <c r="U7850" s="1"/>
      <c r="V7850" s="1"/>
      <c r="W7850" s="1"/>
      <c r="X7850" s="1"/>
      <c r="Y7850" s="1"/>
      <c r="Z7850" s="1"/>
      <c r="AA7850" s="1"/>
      <c r="AB7850" s="1"/>
    </row>
    <row r="7851" ht="50.25" customHeight="1">
      <c r="A7851" s="12">
        <v>7847.0</v>
      </c>
      <c r="B7851" s="13" t="s">
        <v>7680</v>
      </c>
      <c r="C7851" s="18" t="s">
        <v>7876</v>
      </c>
      <c r="D7851" s="1"/>
      <c r="E7851" s="1"/>
      <c r="F7851" s="1" t="str">
        <f>IFERROR(__xludf.DUMMYFUNCTION("GOOGLETRANSLATE(B7851, ""en"", ""fa"")
"),"درخواست برای معلمان")</f>
        <v>درخواست برای معلمان</v>
      </c>
      <c r="G7851" s="1" t="str">
        <f>IFERROR(__xludf.DUMMYFUNCTION("GOOGLETRANSLATE(C7851, ""en"", ""fa"")
"),"در مورد تأثیر مشارکت والدین و جامعه بر پیشرفت تحصیلی دانش آموزان و میزان فارغ التحصیلی بحث کنید.")</f>
        <v>در مورد تأثیر مشارکت والدین و جامعه بر پیشرفت تحصیلی دانش آموزان و میزان فارغ التحصیلی بحث کنید.</v>
      </c>
      <c r="H7851" s="1"/>
      <c r="I7851" s="1"/>
      <c r="J7851" s="1"/>
      <c r="K7851" s="1"/>
      <c r="L7851" s="1"/>
      <c r="M7851" s="1"/>
      <c r="N7851" s="1"/>
      <c r="O7851" s="1"/>
      <c r="P7851" s="1"/>
      <c r="Q7851" s="1"/>
      <c r="R7851" s="1"/>
      <c r="S7851" s="1"/>
      <c r="T7851" s="1"/>
      <c r="U7851" s="1"/>
      <c r="V7851" s="1"/>
      <c r="W7851" s="1"/>
      <c r="X7851" s="1"/>
      <c r="Y7851" s="1"/>
      <c r="Z7851" s="1"/>
      <c r="AA7851" s="1"/>
      <c r="AB7851" s="1"/>
    </row>
    <row r="7852" ht="50.25" customHeight="1">
      <c r="A7852" s="12">
        <v>7848.0</v>
      </c>
      <c r="B7852" s="13" t="s">
        <v>7680</v>
      </c>
      <c r="C7852" s="18" t="s">
        <v>7877</v>
      </c>
      <c r="D7852" s="1"/>
      <c r="E7852" s="1"/>
      <c r="F7852" s="1" t="str">
        <f>IFERROR(__xludf.DUMMYFUNCTION("GOOGLETRANSLATE(B7852, ""en"", ""fa"")
"),"درخواست برای معلمان")</f>
        <v>درخواست برای معلمان</v>
      </c>
      <c r="G7852" s="1" t="str">
        <f>IFERROR(__xludf.DUMMYFUNCTION("GOOGLETRANSLATE(C7852, ""en"", ""fa"")
"),"بینش خود را در مورد استراتژی های موثر برای مشارکت دادن والدین و شرکای جامعه در ارتقای یادگیری و رفاه اجتماعی-عاطفی به اشتراک بگذارید.")</f>
        <v>بینش خود را در مورد استراتژی های موثر برای مشارکت دادن والدین و شرکای جامعه در ارتقای یادگیری و رفاه اجتماعی-عاطفی به اشتراک بگذارید.</v>
      </c>
      <c r="H7852" s="1"/>
      <c r="I7852" s="1"/>
      <c r="J7852" s="1"/>
      <c r="K7852" s="1"/>
      <c r="L7852" s="1"/>
      <c r="M7852" s="1"/>
      <c r="N7852" s="1"/>
      <c r="O7852" s="1"/>
      <c r="P7852" s="1"/>
      <c r="Q7852" s="1"/>
      <c r="R7852" s="1"/>
      <c r="S7852" s="1"/>
      <c r="T7852" s="1"/>
      <c r="U7852" s="1"/>
      <c r="V7852" s="1"/>
      <c r="W7852" s="1"/>
      <c r="X7852" s="1"/>
      <c r="Y7852" s="1"/>
      <c r="Z7852" s="1"/>
      <c r="AA7852" s="1"/>
      <c r="AB7852" s="1"/>
    </row>
    <row r="7853" ht="50.25" customHeight="1">
      <c r="A7853" s="12">
        <v>7849.0</v>
      </c>
      <c r="B7853" s="13" t="s">
        <v>7680</v>
      </c>
      <c r="C7853" s="18" t="s">
        <v>7878</v>
      </c>
      <c r="D7853" s="1"/>
      <c r="E7853" s="1"/>
      <c r="F7853" s="1" t="str">
        <f>IFERROR(__xludf.DUMMYFUNCTION("GOOGLETRANSLATE(B7853, ""en"", ""fa"")
"),"درخواست برای معلمان")</f>
        <v>درخواست برای معلمان</v>
      </c>
      <c r="G7853" s="1" t="str">
        <f>IFERROR(__xludf.DUMMYFUNCTION("GOOGLETRANSLATE(C7853, ""en"", ""fa"")
"),"راه‌هایی را برای مشارکت دادن والدین و سهامداران جامعه در حمایت از کاوش شغلی و راهنمایی حرفه‌ای دانش‌آموزان بررسی کنید.")</f>
        <v>راه‌هایی را برای مشارکت دادن والدین و سهامداران جامعه در حمایت از کاوش شغلی و راهنمایی حرفه‌ای دانش‌آموزان بررسی کنید.</v>
      </c>
      <c r="H7853" s="1"/>
      <c r="I7853" s="1"/>
      <c r="J7853" s="1"/>
      <c r="K7853" s="1"/>
      <c r="L7853" s="1"/>
      <c r="M7853" s="1"/>
      <c r="N7853" s="1"/>
      <c r="O7853" s="1"/>
      <c r="P7853" s="1"/>
      <c r="Q7853" s="1"/>
      <c r="R7853" s="1"/>
      <c r="S7853" s="1"/>
      <c r="T7853" s="1"/>
      <c r="U7853" s="1"/>
      <c r="V7853" s="1"/>
      <c r="W7853" s="1"/>
      <c r="X7853" s="1"/>
      <c r="Y7853" s="1"/>
      <c r="Z7853" s="1"/>
      <c r="AA7853" s="1"/>
      <c r="AB7853" s="1"/>
    </row>
    <row r="7854" ht="50.25" customHeight="1">
      <c r="A7854" s="12">
        <v>7850.0</v>
      </c>
      <c r="B7854" s="13" t="s">
        <v>7680</v>
      </c>
      <c r="C7854" s="18" t="s">
        <v>7879</v>
      </c>
      <c r="D7854" s="1"/>
      <c r="E7854" s="1"/>
      <c r="F7854" s="1" t="str">
        <f>IFERROR(__xludf.DUMMYFUNCTION("GOOGLETRANSLATE(B7854, ""en"", ""fa"")
"),"درخواست برای معلمان")</f>
        <v>درخواست برای معلمان</v>
      </c>
      <c r="G7854" s="1" t="str">
        <f>IFERROR(__xludf.DUMMYFUNCTION("GOOGLETRANSLATE(C7854, ""en"", ""fa"")
"),"در مورد نقش والدین و سازمان های اجتماعی در ترویج جو مثبت مدرسه و آموزش شخصیت بحث کنید.")</f>
        <v>در مورد نقش والدین و سازمان های اجتماعی در ترویج جو مثبت مدرسه و آموزش شخصیت بحث کنید.</v>
      </c>
      <c r="H7854" s="1"/>
      <c r="I7854" s="1"/>
      <c r="J7854" s="1"/>
      <c r="K7854" s="1"/>
      <c r="L7854" s="1"/>
      <c r="M7854" s="1"/>
      <c r="N7854" s="1"/>
      <c r="O7854" s="1"/>
      <c r="P7854" s="1"/>
      <c r="Q7854" s="1"/>
      <c r="R7854" s="1"/>
      <c r="S7854" s="1"/>
      <c r="T7854" s="1"/>
      <c r="U7854" s="1"/>
      <c r="V7854" s="1"/>
      <c r="W7854" s="1"/>
      <c r="X7854" s="1"/>
      <c r="Y7854" s="1"/>
      <c r="Z7854" s="1"/>
      <c r="AA7854" s="1"/>
      <c r="AB7854" s="1"/>
    </row>
    <row r="7855" ht="50.25" customHeight="1">
      <c r="A7855" s="12">
        <v>7851.0</v>
      </c>
      <c r="B7855" s="13" t="s">
        <v>7680</v>
      </c>
      <c r="C7855" s="18" t="s">
        <v>7880</v>
      </c>
      <c r="D7855" s="1"/>
      <c r="E7855" s="1"/>
      <c r="F7855" s="1" t="str">
        <f>IFERROR(__xludf.DUMMYFUNCTION("GOOGLETRANSLATE(B7855, ""en"", ""fa"")
"),"درخواست برای معلمان")</f>
        <v>درخواست برای معلمان</v>
      </c>
      <c r="G7855" s="1" t="str">
        <f>IFERROR(__xludf.DUMMYFUNCTION("GOOGLETRANSLATE(C7855, ""en"", ""fa"")
"),"تجربیات خود را با ابتکارات موفق والدین و جامعه برای بهبود حضور در مدرسه و کاهش فرار از مدرسه به اشتراک بگذارید.")</f>
        <v>تجربیات خود را با ابتکارات موفق والدین و جامعه برای بهبود حضور در مدرسه و کاهش فرار از مدرسه به اشتراک بگذارید.</v>
      </c>
      <c r="H7855" s="1"/>
      <c r="I7855" s="1"/>
      <c r="J7855" s="1"/>
      <c r="K7855" s="1"/>
      <c r="L7855" s="1"/>
      <c r="M7855" s="1"/>
      <c r="N7855" s="1"/>
      <c r="O7855" s="1"/>
      <c r="P7855" s="1"/>
      <c r="Q7855" s="1"/>
      <c r="R7855" s="1"/>
      <c r="S7855" s="1"/>
      <c r="T7855" s="1"/>
      <c r="U7855" s="1"/>
      <c r="V7855" s="1"/>
      <c r="W7855" s="1"/>
      <c r="X7855" s="1"/>
      <c r="Y7855" s="1"/>
      <c r="Z7855" s="1"/>
      <c r="AA7855" s="1"/>
      <c r="AB7855" s="1"/>
    </row>
    <row r="7856" ht="50.25" customHeight="1">
      <c r="A7856" s="12">
        <v>7852.0</v>
      </c>
      <c r="B7856" s="13" t="s">
        <v>7680</v>
      </c>
      <c r="C7856" s="18" t="s">
        <v>7881</v>
      </c>
      <c r="D7856" s="1"/>
      <c r="E7856" s="1"/>
      <c r="F7856" s="1" t="str">
        <f>IFERROR(__xludf.DUMMYFUNCTION("GOOGLETRANSLATE(B7856, ""en"", ""fa"")
"),"درخواست برای معلمان")</f>
        <v>درخواست برای معلمان</v>
      </c>
      <c r="G7856" s="1" t="str">
        <f>IFERROR(__xludf.DUMMYFUNCTION("GOOGLETRANSLATE(C7856, ""en"", ""fa"")
"),"استراتژی‌هایی را برای مشارکت دادن والدین و اعضای جامعه در حمایت از سواد مالی دانش‌آموزان و مدیریت مسئولانه پول بررسی کنید.")</f>
        <v>استراتژی‌هایی را برای مشارکت دادن والدین و اعضای جامعه در حمایت از سواد مالی دانش‌آموزان و مدیریت مسئولانه پول بررسی کنید.</v>
      </c>
      <c r="H7856" s="1"/>
      <c r="I7856" s="1"/>
      <c r="J7856" s="1"/>
      <c r="K7856" s="1"/>
      <c r="L7856" s="1"/>
      <c r="M7856" s="1"/>
      <c r="N7856" s="1"/>
      <c r="O7856" s="1"/>
      <c r="P7856" s="1"/>
      <c r="Q7856" s="1"/>
      <c r="R7856" s="1"/>
      <c r="S7856" s="1"/>
      <c r="T7856" s="1"/>
      <c r="U7856" s="1"/>
      <c r="V7856" s="1"/>
      <c r="W7856" s="1"/>
      <c r="X7856" s="1"/>
      <c r="Y7856" s="1"/>
      <c r="Z7856" s="1"/>
      <c r="AA7856" s="1"/>
      <c r="AB7856" s="1"/>
    </row>
    <row r="7857" ht="50.25" customHeight="1">
      <c r="A7857" s="12">
        <v>7853.0</v>
      </c>
      <c r="B7857" s="13" t="s">
        <v>7680</v>
      </c>
      <c r="C7857" s="18" t="s">
        <v>7882</v>
      </c>
      <c r="D7857" s="1"/>
      <c r="E7857" s="1"/>
      <c r="F7857" s="1" t="str">
        <f>IFERROR(__xludf.DUMMYFUNCTION("GOOGLETRANSLATE(B7857, ""en"", ""fa"")
"),"درخواست برای معلمان")</f>
        <v>درخواست برای معلمان</v>
      </c>
      <c r="G7857" s="1" t="str">
        <f>IFERROR(__xludf.DUMMYFUNCTION("GOOGLETRANSLATE(C7857, ""en"", ""fa"")
"),"در مورد اهمیت مشارکت والدین و جامعه در ترویج شیوه های فراگیر برای دانش آموزان با پیشینه های فرهنگی مختلف بحث کنید.")</f>
        <v>در مورد اهمیت مشارکت والدین و جامعه در ترویج شیوه های فراگیر برای دانش آموزان با پیشینه های فرهنگی مختلف بحث کنید.</v>
      </c>
      <c r="H7857" s="1"/>
      <c r="I7857" s="1"/>
      <c r="J7857" s="1"/>
      <c r="K7857" s="1"/>
      <c r="L7857" s="1"/>
      <c r="M7857" s="1"/>
      <c r="N7857" s="1"/>
      <c r="O7857" s="1"/>
      <c r="P7857" s="1"/>
      <c r="Q7857" s="1"/>
      <c r="R7857" s="1"/>
      <c r="S7857" s="1"/>
      <c r="T7857" s="1"/>
      <c r="U7857" s="1"/>
      <c r="V7857" s="1"/>
      <c r="W7857" s="1"/>
      <c r="X7857" s="1"/>
      <c r="Y7857" s="1"/>
      <c r="Z7857" s="1"/>
      <c r="AA7857" s="1"/>
      <c r="AB7857" s="1"/>
    </row>
    <row r="7858" ht="50.25" customHeight="1">
      <c r="A7858" s="12">
        <v>7854.0</v>
      </c>
      <c r="B7858" s="13" t="s">
        <v>7680</v>
      </c>
      <c r="C7858" s="18" t="s">
        <v>7883</v>
      </c>
      <c r="D7858" s="1"/>
      <c r="E7858" s="1"/>
      <c r="F7858" s="1" t="str">
        <f>IFERROR(__xludf.DUMMYFUNCTION("GOOGLETRANSLATE(B7858, ""en"", ""fa"")
"),"درخواست برای معلمان")</f>
        <v>درخواست برای معلمان</v>
      </c>
      <c r="G7858" s="1" t="str">
        <f>IFERROR(__xludf.DUMMYFUNCTION("GOOGLETRANSLATE(C7858, ""en"", ""fa"")
"),"بینش خود را در مورد استراتژی های موثر برای مشارکت دادن والدین و شرکای جامعه در ترویج یکپارچگی فناوری و یادگیری دیجیتال به اشتراک بگذارید.")</f>
        <v>بینش خود را در مورد استراتژی های موثر برای مشارکت دادن والدین و شرکای جامعه در ترویج یکپارچگی فناوری و یادگیری دیجیتال به اشتراک بگذارید.</v>
      </c>
      <c r="H7858" s="1"/>
      <c r="I7858" s="1"/>
      <c r="J7858" s="1"/>
      <c r="K7858" s="1"/>
      <c r="L7858" s="1"/>
      <c r="M7858" s="1"/>
      <c r="N7858" s="1"/>
      <c r="O7858" s="1"/>
      <c r="P7858" s="1"/>
      <c r="Q7858" s="1"/>
      <c r="R7858" s="1"/>
      <c r="S7858" s="1"/>
      <c r="T7858" s="1"/>
      <c r="U7858" s="1"/>
      <c r="V7858" s="1"/>
      <c r="W7858" s="1"/>
      <c r="X7858" s="1"/>
      <c r="Y7858" s="1"/>
      <c r="Z7858" s="1"/>
      <c r="AA7858" s="1"/>
      <c r="AB7858" s="1"/>
    </row>
    <row r="7859" ht="50.25" customHeight="1">
      <c r="A7859" s="12">
        <v>7855.0</v>
      </c>
      <c r="B7859" s="13" t="s">
        <v>7680</v>
      </c>
      <c r="C7859" s="18" t="s">
        <v>7884</v>
      </c>
      <c r="D7859" s="1"/>
      <c r="E7859" s="1"/>
      <c r="F7859" s="1" t="str">
        <f>IFERROR(__xludf.DUMMYFUNCTION("GOOGLETRANSLATE(B7859, ""en"", ""fa"")
"),"درخواست برای معلمان")</f>
        <v>درخواست برای معلمان</v>
      </c>
      <c r="G7859" s="1" t="str">
        <f>IFERROR(__xludf.DUMMYFUNCTION("GOOGLETRANSLATE(C7859, ""en"", ""fa"")
"),"کاوش راه هایی برای مشارکت دادن والدین و ذینفعان جامعه در حمایت از آمادگی جسمانی و سبک زندگی سالم دانش آموزان.")</f>
        <v>کاوش راه هایی برای مشارکت دادن والدین و ذینفعان جامعه در حمایت از آمادگی جسمانی و سبک زندگی سالم دانش آموزان.</v>
      </c>
      <c r="H7859" s="1"/>
      <c r="I7859" s="1"/>
      <c r="J7859" s="1"/>
      <c r="K7859" s="1"/>
      <c r="L7859" s="1"/>
      <c r="M7859" s="1"/>
      <c r="N7859" s="1"/>
      <c r="O7859" s="1"/>
      <c r="P7859" s="1"/>
      <c r="Q7859" s="1"/>
      <c r="R7859" s="1"/>
      <c r="S7859" s="1"/>
      <c r="T7859" s="1"/>
      <c r="U7859" s="1"/>
      <c r="V7859" s="1"/>
      <c r="W7859" s="1"/>
      <c r="X7859" s="1"/>
      <c r="Y7859" s="1"/>
      <c r="Z7859" s="1"/>
      <c r="AA7859" s="1"/>
      <c r="AB7859" s="1"/>
    </row>
    <row r="7860" ht="50.25" customHeight="1">
      <c r="A7860" s="12">
        <v>7856.0</v>
      </c>
      <c r="B7860" s="13" t="s">
        <v>7680</v>
      </c>
      <c r="C7860" s="18" t="s">
        <v>7885</v>
      </c>
      <c r="D7860" s="1"/>
      <c r="E7860" s="1"/>
      <c r="F7860" s="1" t="str">
        <f>IFERROR(__xludf.DUMMYFUNCTION("GOOGLETRANSLATE(B7860, ""en"", ""fa"")
"),"درخواست برای معلمان")</f>
        <v>درخواست برای معلمان</v>
      </c>
      <c r="G7860" s="1" t="str">
        <f>IFERROR(__xludf.DUMMYFUNCTION("GOOGLETRANSLATE(C7860, ""en"", ""fa"")
"),"در مورد تأثیر مشارکت والدین و جامعه بر احساس تعلق و ارتباط دانش آموزان با مدرسه خود بحث کنید.")</f>
        <v>در مورد تأثیر مشارکت والدین و جامعه بر احساس تعلق و ارتباط دانش آموزان با مدرسه خود بحث کنید.</v>
      </c>
      <c r="H7860" s="1"/>
      <c r="I7860" s="1"/>
      <c r="J7860" s="1"/>
      <c r="K7860" s="1"/>
      <c r="L7860" s="1"/>
      <c r="M7860" s="1"/>
      <c r="N7860" s="1"/>
      <c r="O7860" s="1"/>
      <c r="P7860" s="1"/>
      <c r="Q7860" s="1"/>
      <c r="R7860" s="1"/>
      <c r="S7860" s="1"/>
      <c r="T7860" s="1"/>
      <c r="U7860" s="1"/>
      <c r="V7860" s="1"/>
      <c r="W7860" s="1"/>
      <c r="X7860" s="1"/>
      <c r="Y7860" s="1"/>
      <c r="Z7860" s="1"/>
      <c r="AA7860" s="1"/>
      <c r="AB7860" s="1"/>
    </row>
    <row r="7861" ht="50.25" customHeight="1">
      <c r="A7861" s="12">
        <v>7857.0</v>
      </c>
      <c r="B7861" s="13" t="s">
        <v>7680</v>
      </c>
      <c r="C7861" s="18" t="s">
        <v>7886</v>
      </c>
      <c r="D7861" s="1"/>
      <c r="E7861" s="1"/>
      <c r="F7861" s="1" t="str">
        <f>IFERROR(__xludf.DUMMYFUNCTION("GOOGLETRANSLATE(B7861, ""en"", ""fa"")
"),"درخواست برای معلمان")</f>
        <v>درخواست برای معلمان</v>
      </c>
      <c r="G7861" s="1" t="str">
        <f>IFERROR(__xludf.DUMMYFUNCTION("GOOGLETRANSLATE(C7861, ""en"", ""fa"")
"),"تجربیات خود را با همکاری های موفق والدین و جامعه در سازماندهی سفرهای آموزشی و فرصت های یادگیری تجربی به اشتراک بگذارید.")</f>
        <v>تجربیات خود را با همکاری های موفق والدین و جامعه در سازماندهی سفرهای آموزشی و فرصت های یادگیری تجربی به اشتراک بگذارید.</v>
      </c>
      <c r="H7861" s="1"/>
      <c r="I7861" s="1"/>
      <c r="J7861" s="1"/>
      <c r="K7861" s="1"/>
      <c r="L7861" s="1"/>
      <c r="M7861" s="1"/>
      <c r="N7861" s="1"/>
      <c r="O7861" s="1"/>
      <c r="P7861" s="1"/>
      <c r="Q7861" s="1"/>
      <c r="R7861" s="1"/>
      <c r="S7861" s="1"/>
      <c r="T7861" s="1"/>
      <c r="U7861" s="1"/>
      <c r="V7861" s="1"/>
      <c r="W7861" s="1"/>
      <c r="X7861" s="1"/>
      <c r="Y7861" s="1"/>
      <c r="Z7861" s="1"/>
      <c r="AA7861" s="1"/>
      <c r="AB7861" s="1"/>
    </row>
    <row r="7862" ht="50.25" customHeight="1">
      <c r="A7862" s="12">
        <v>7858.0</v>
      </c>
      <c r="B7862" s="13" t="s">
        <v>7680</v>
      </c>
      <c r="C7862" s="18" t="s">
        <v>7887</v>
      </c>
      <c r="D7862" s="1"/>
      <c r="E7862" s="1"/>
      <c r="F7862" s="1" t="str">
        <f>IFERROR(__xludf.DUMMYFUNCTION("GOOGLETRANSLATE(B7862, ""en"", ""fa"")
"),"درخواست برای معلمان")</f>
        <v>درخواست برای معلمان</v>
      </c>
      <c r="G7862" s="1" t="str">
        <f>IFERROR(__xludf.DUMMYFUNCTION("GOOGLETRANSLATE(C7862, ""en"", ""fa"")
"),"استراتژی‌هایی را برای مشارکت دادن والدین و اعضای جامعه در ترویج حفاظت از محیط زیست و پایداری بررسی کنید.")</f>
        <v>استراتژی‌هایی را برای مشارکت دادن والدین و اعضای جامعه در ترویج حفاظت از محیط زیست و پایداری بررسی کنید.</v>
      </c>
      <c r="H7862" s="1"/>
      <c r="I7862" s="1"/>
      <c r="J7862" s="1"/>
      <c r="K7862" s="1"/>
      <c r="L7862" s="1"/>
      <c r="M7862" s="1"/>
      <c r="N7862" s="1"/>
      <c r="O7862" s="1"/>
      <c r="P7862" s="1"/>
      <c r="Q7862" s="1"/>
      <c r="R7862" s="1"/>
      <c r="S7862" s="1"/>
      <c r="T7862" s="1"/>
      <c r="U7862" s="1"/>
      <c r="V7862" s="1"/>
      <c r="W7862" s="1"/>
      <c r="X7862" s="1"/>
      <c r="Y7862" s="1"/>
      <c r="Z7862" s="1"/>
      <c r="AA7862" s="1"/>
      <c r="AB7862" s="1"/>
    </row>
    <row r="7863" ht="50.25" customHeight="1">
      <c r="A7863" s="12">
        <v>7859.0</v>
      </c>
      <c r="B7863" s="13" t="s">
        <v>7680</v>
      </c>
      <c r="C7863" s="18" t="s">
        <v>7888</v>
      </c>
      <c r="D7863" s="1"/>
      <c r="E7863" s="1"/>
      <c r="F7863" s="1" t="str">
        <f>IFERROR(__xludf.DUMMYFUNCTION("GOOGLETRANSLATE(B7863, ""en"", ""fa"")
"),"درخواست برای معلمان")</f>
        <v>درخواست برای معلمان</v>
      </c>
      <c r="G7863" s="1" t="str">
        <f>IFERROR(__xludf.DUMMYFUNCTION("GOOGLETRANSLATE(C7863, ""en"", ""fa"")
"),"در مورد نقش والدین و سازمان های اجتماعی در حمایت از برابری آموزشی و دسترسی برای همه دانش آموزان بحث کنید.")</f>
        <v>در مورد نقش والدین و سازمان های اجتماعی در حمایت از برابری آموزشی و دسترسی برای همه دانش آموزان بحث کنید.</v>
      </c>
      <c r="H7863" s="1"/>
      <c r="I7863" s="1"/>
      <c r="J7863" s="1"/>
      <c r="K7863" s="1"/>
      <c r="L7863" s="1"/>
      <c r="M7863" s="1"/>
      <c r="N7863" s="1"/>
      <c r="O7863" s="1"/>
      <c r="P7863" s="1"/>
      <c r="Q7863" s="1"/>
      <c r="R7863" s="1"/>
      <c r="S7863" s="1"/>
      <c r="T7863" s="1"/>
      <c r="U7863" s="1"/>
      <c r="V7863" s="1"/>
      <c r="W7863" s="1"/>
      <c r="X7863" s="1"/>
      <c r="Y7863" s="1"/>
      <c r="Z7863" s="1"/>
      <c r="AA7863" s="1"/>
      <c r="AB7863" s="1"/>
    </row>
    <row r="7864" ht="50.25" customHeight="1">
      <c r="A7864" s="12">
        <v>7860.0</v>
      </c>
      <c r="B7864" s="13" t="s">
        <v>7680</v>
      </c>
      <c r="C7864" s="18" t="s">
        <v>7889</v>
      </c>
      <c r="D7864" s="1"/>
      <c r="E7864" s="1"/>
      <c r="F7864" s="1" t="str">
        <f>IFERROR(__xludf.DUMMYFUNCTION("GOOGLETRANSLATE(B7864, ""en"", ""fa"")
"),"درخواست برای معلمان")</f>
        <v>درخواست برای معلمان</v>
      </c>
      <c r="G7864" s="1" t="str">
        <f>IFERROR(__xludf.DUMMYFUNCTION("GOOGLETRANSLATE(C7864, ""en"", ""fa"")
"),"بینش خود را در مورد استراتژی های موثر برای مشارکت دادن والدین و شرکای جامعه در ارتقای سواد رسانه ای و مهارت های تفکر انتقادی به اشتراک بگذارید.")</f>
        <v>بینش خود را در مورد استراتژی های موثر برای مشارکت دادن والدین و شرکای جامعه در ارتقای سواد رسانه ای و مهارت های تفکر انتقادی به اشتراک بگذارید.</v>
      </c>
      <c r="H7864" s="1"/>
      <c r="I7864" s="1"/>
      <c r="J7864" s="1"/>
      <c r="K7864" s="1"/>
      <c r="L7864" s="1"/>
      <c r="M7864" s="1"/>
      <c r="N7864" s="1"/>
      <c r="O7864" s="1"/>
      <c r="P7864" s="1"/>
      <c r="Q7864" s="1"/>
      <c r="R7864" s="1"/>
      <c r="S7864" s="1"/>
      <c r="T7864" s="1"/>
      <c r="U7864" s="1"/>
      <c r="V7864" s="1"/>
      <c r="W7864" s="1"/>
      <c r="X7864" s="1"/>
      <c r="Y7864" s="1"/>
      <c r="Z7864" s="1"/>
      <c r="AA7864" s="1"/>
      <c r="AB7864" s="1"/>
    </row>
    <row r="7865" ht="50.25" customHeight="1">
      <c r="A7865" s="12">
        <v>7861.0</v>
      </c>
      <c r="B7865" s="13" t="s">
        <v>7680</v>
      </c>
      <c r="C7865" s="18" t="s">
        <v>7890</v>
      </c>
      <c r="D7865" s="1"/>
      <c r="E7865" s="1"/>
      <c r="F7865" s="1" t="str">
        <f>IFERROR(__xludf.DUMMYFUNCTION("GOOGLETRANSLATE(B7865, ""en"", ""fa"")
"),"درخواست برای معلمان")</f>
        <v>درخواست برای معلمان</v>
      </c>
      <c r="G7865" s="1" t="str">
        <f>IFERROR(__xludf.DUMMYFUNCTION("GOOGLETRANSLATE(C7865, ""en"", ""fa"")
"),"راه‌هایی را برای مشارکت دادن والدین و ذینفعان جامعه در حمایت از توسعه زبان و سواد دانش‌آموزان در سراسر رشته‌ها بررسی کنید.")</f>
        <v>راه‌هایی را برای مشارکت دادن والدین و ذینفعان جامعه در حمایت از توسعه زبان و سواد دانش‌آموزان در سراسر رشته‌ها بررسی کنید.</v>
      </c>
      <c r="H7865" s="1"/>
      <c r="I7865" s="1"/>
      <c r="J7865" s="1"/>
      <c r="K7865" s="1"/>
      <c r="L7865" s="1"/>
      <c r="M7865" s="1"/>
      <c r="N7865" s="1"/>
      <c r="O7865" s="1"/>
      <c r="P7865" s="1"/>
      <c r="Q7865" s="1"/>
      <c r="R7865" s="1"/>
      <c r="S7865" s="1"/>
      <c r="T7865" s="1"/>
      <c r="U7865" s="1"/>
      <c r="V7865" s="1"/>
      <c r="W7865" s="1"/>
      <c r="X7865" s="1"/>
      <c r="Y7865" s="1"/>
      <c r="Z7865" s="1"/>
      <c r="AA7865" s="1"/>
      <c r="AB7865" s="1"/>
    </row>
    <row r="7866" ht="50.25" customHeight="1">
      <c r="A7866" s="12">
        <v>7862.0</v>
      </c>
      <c r="B7866" s="13" t="s">
        <v>7680</v>
      </c>
      <c r="C7866" s="18" t="s">
        <v>7891</v>
      </c>
      <c r="D7866" s="1"/>
      <c r="E7866" s="1"/>
      <c r="F7866" s="1" t="str">
        <f>IFERROR(__xludf.DUMMYFUNCTION("GOOGLETRANSLATE(B7866, ""en"", ""fa"")
"),"درخواست برای معلمان")</f>
        <v>درخواست برای معلمان</v>
      </c>
      <c r="G7866" s="1" t="str">
        <f>IFERROR(__xludf.DUMMYFUNCTION("GOOGLETRANSLATE(C7866, ""en"", ""fa"")
"),"در مورد اهمیت مشارکت والدین و جامعه در رسیدگی به نیازهای اجتماعی و عاطفی دانش آموزان با استعداد و با استعداد بحث کنید.")</f>
        <v>در مورد اهمیت مشارکت والدین و جامعه در رسیدگی به نیازهای اجتماعی و عاطفی دانش آموزان با استعداد و با استعداد بحث کنید.</v>
      </c>
      <c r="H7866" s="1"/>
      <c r="I7866" s="1"/>
      <c r="J7866" s="1"/>
      <c r="K7866" s="1"/>
      <c r="L7866" s="1"/>
      <c r="M7866" s="1"/>
      <c r="N7866" s="1"/>
      <c r="O7866" s="1"/>
      <c r="P7866" s="1"/>
      <c r="Q7866" s="1"/>
      <c r="R7866" s="1"/>
      <c r="S7866" s="1"/>
      <c r="T7866" s="1"/>
      <c r="U7866" s="1"/>
      <c r="V7866" s="1"/>
      <c r="W7866" s="1"/>
      <c r="X7866" s="1"/>
      <c r="Y7866" s="1"/>
      <c r="Z7866" s="1"/>
      <c r="AA7866" s="1"/>
      <c r="AB7866" s="1"/>
    </row>
    <row r="7867" ht="50.25" customHeight="1">
      <c r="A7867" s="12">
        <v>7863.0</v>
      </c>
      <c r="B7867" s="13" t="s">
        <v>7680</v>
      </c>
      <c r="C7867" s="18" t="s">
        <v>7892</v>
      </c>
      <c r="D7867" s="1"/>
      <c r="E7867" s="1"/>
      <c r="F7867" s="1" t="str">
        <f>IFERROR(__xludf.DUMMYFUNCTION("GOOGLETRANSLATE(B7867, ""en"", ""fa"")
"),"درخواست برای معلمان")</f>
        <v>درخواست برای معلمان</v>
      </c>
      <c r="G7867" s="1" t="str">
        <f>IFERROR(__xludf.DUMMYFUNCTION("GOOGLETRANSLATE(C7867, ""en"", ""fa"")
"),"تجربیات خود را با برنامه های موفق والدین و جامعه برای افزایش مشارکت والدین در یادگیری دانش آموزان به اشتراک بگذارید.")</f>
        <v>تجربیات خود را با برنامه های موفق والدین و جامعه برای افزایش مشارکت والدین در یادگیری دانش آموزان به اشتراک بگذارید.</v>
      </c>
      <c r="H7867" s="1"/>
      <c r="I7867" s="1"/>
      <c r="J7867" s="1"/>
      <c r="K7867" s="1"/>
      <c r="L7867" s="1"/>
      <c r="M7867" s="1"/>
      <c r="N7867" s="1"/>
      <c r="O7867" s="1"/>
      <c r="P7867" s="1"/>
      <c r="Q7867" s="1"/>
      <c r="R7867" s="1"/>
      <c r="S7867" s="1"/>
      <c r="T7867" s="1"/>
      <c r="U7867" s="1"/>
      <c r="V7867" s="1"/>
      <c r="W7867" s="1"/>
      <c r="X7867" s="1"/>
      <c r="Y7867" s="1"/>
      <c r="Z7867" s="1"/>
      <c r="AA7867" s="1"/>
      <c r="AB7867" s="1"/>
    </row>
    <row r="7868" ht="50.25" customHeight="1">
      <c r="A7868" s="12">
        <v>7864.0</v>
      </c>
      <c r="B7868" s="13" t="s">
        <v>7680</v>
      </c>
      <c r="C7868" s="18" t="s">
        <v>7893</v>
      </c>
      <c r="D7868" s="1"/>
      <c r="E7868" s="1"/>
      <c r="F7868" s="1" t="str">
        <f>IFERROR(__xludf.DUMMYFUNCTION("GOOGLETRANSLATE(B7868, ""en"", ""fa"")
"),"درخواست برای معلمان")</f>
        <v>درخواست برای معلمان</v>
      </c>
      <c r="G7868" s="1" t="str">
        <f>IFERROR(__xludf.DUMMYFUNCTION("GOOGLETRANSLATE(C7868, ""en"", ""fa"")
"),"استراتژی‌هایی را برای مشارکت دادن والدین و اعضای جامعه در حمایت از آموزش هنر و بیان خلاقانه دانش‌آموزان بررسی کنید.")</f>
        <v>استراتژی‌هایی را برای مشارکت دادن والدین و اعضای جامعه در حمایت از آموزش هنر و بیان خلاقانه دانش‌آموزان بررسی کنید.</v>
      </c>
      <c r="H7868" s="1"/>
      <c r="I7868" s="1"/>
      <c r="J7868" s="1"/>
      <c r="K7868" s="1"/>
      <c r="L7868" s="1"/>
      <c r="M7868" s="1"/>
      <c r="N7868" s="1"/>
      <c r="O7868" s="1"/>
      <c r="P7868" s="1"/>
      <c r="Q7868" s="1"/>
      <c r="R7868" s="1"/>
      <c r="S7868" s="1"/>
      <c r="T7868" s="1"/>
      <c r="U7868" s="1"/>
      <c r="V7868" s="1"/>
      <c r="W7868" s="1"/>
      <c r="X7868" s="1"/>
      <c r="Y7868" s="1"/>
      <c r="Z7868" s="1"/>
      <c r="AA7868" s="1"/>
      <c r="AB7868" s="1"/>
    </row>
    <row r="7869" ht="50.25" customHeight="1">
      <c r="A7869" s="12">
        <v>7865.0</v>
      </c>
      <c r="B7869" s="13" t="s">
        <v>7680</v>
      </c>
      <c r="C7869" s="18" t="s">
        <v>7894</v>
      </c>
      <c r="D7869" s="1"/>
      <c r="E7869" s="1"/>
      <c r="F7869" s="1" t="str">
        <f>IFERROR(__xludf.DUMMYFUNCTION("GOOGLETRANSLATE(B7869, ""en"", ""fa"")
"),"درخواست برای معلمان")</f>
        <v>درخواست برای معلمان</v>
      </c>
      <c r="G7869" s="1" t="str">
        <f>IFERROR(__xludf.DUMMYFUNCTION("GOOGLETRANSLATE(C7869, ""en"", ""fa"")
"),"در مورد تأثیر مشارکت والدین و جامعه بر احساس هویت و غرور فرهنگی دانش آموزان بحث کنید.")</f>
        <v>در مورد تأثیر مشارکت والدین و جامعه بر احساس هویت و غرور فرهنگی دانش آموزان بحث کنید.</v>
      </c>
      <c r="H7869" s="1"/>
      <c r="I7869" s="1"/>
      <c r="J7869" s="1"/>
      <c r="K7869" s="1"/>
      <c r="L7869" s="1"/>
      <c r="M7869" s="1"/>
      <c r="N7869" s="1"/>
      <c r="O7869" s="1"/>
      <c r="P7869" s="1"/>
      <c r="Q7869" s="1"/>
      <c r="R7869" s="1"/>
      <c r="S7869" s="1"/>
      <c r="T7869" s="1"/>
      <c r="U7869" s="1"/>
      <c r="V7869" s="1"/>
      <c r="W7869" s="1"/>
      <c r="X7869" s="1"/>
      <c r="Y7869" s="1"/>
      <c r="Z7869" s="1"/>
      <c r="AA7869" s="1"/>
      <c r="AB7869" s="1"/>
    </row>
    <row r="7870" ht="50.25" customHeight="1">
      <c r="A7870" s="12">
        <v>7866.0</v>
      </c>
      <c r="B7870" s="13" t="s">
        <v>7680</v>
      </c>
      <c r="C7870" s="18" t="s">
        <v>7895</v>
      </c>
      <c r="D7870" s="1"/>
      <c r="E7870" s="1"/>
      <c r="F7870" s="1" t="str">
        <f>IFERROR(__xludf.DUMMYFUNCTION("GOOGLETRANSLATE(B7870, ""en"", ""fa"")
"),"درخواست برای معلمان")</f>
        <v>درخواست برای معلمان</v>
      </c>
      <c r="G7870" s="1" t="str">
        <f>IFERROR(__xludf.DUMMYFUNCTION("GOOGLETRANSLATE(C7870, ""en"", ""fa"")
"),"بینش خود را در مورد استراتژی های موثر برای مشارکت دادن والدین و شرکای جامعه در ترویج ورزش و فعالیت های بدنی فراگیر به اشتراک بگذارید.")</f>
        <v>بینش خود را در مورد استراتژی های موثر برای مشارکت دادن والدین و شرکای جامعه در ترویج ورزش و فعالیت های بدنی فراگیر به اشتراک بگذارید.</v>
      </c>
      <c r="H7870" s="1"/>
      <c r="I7870" s="1"/>
      <c r="J7870" s="1"/>
      <c r="K7870" s="1"/>
      <c r="L7870" s="1"/>
      <c r="M7870" s="1"/>
      <c r="N7870" s="1"/>
      <c r="O7870" s="1"/>
      <c r="P7870" s="1"/>
      <c r="Q7870" s="1"/>
      <c r="R7870" s="1"/>
      <c r="S7870" s="1"/>
      <c r="T7870" s="1"/>
      <c r="U7870" s="1"/>
      <c r="V7870" s="1"/>
      <c r="W7870" s="1"/>
      <c r="X7870" s="1"/>
      <c r="Y7870" s="1"/>
      <c r="Z7870" s="1"/>
      <c r="AA7870" s="1"/>
      <c r="AB7870" s="1"/>
    </row>
    <row r="7871" ht="50.25" customHeight="1">
      <c r="A7871" s="12">
        <v>7867.0</v>
      </c>
      <c r="B7871" s="13" t="s">
        <v>7680</v>
      </c>
      <c r="C7871" s="18" t="s">
        <v>7896</v>
      </c>
      <c r="D7871" s="1"/>
      <c r="E7871" s="1"/>
      <c r="F7871" s="1" t="str">
        <f>IFERROR(__xludf.DUMMYFUNCTION("GOOGLETRANSLATE(B7871, ""en"", ""fa"")
"),"درخواست برای معلمان")</f>
        <v>درخواست برای معلمان</v>
      </c>
      <c r="G7871" s="1" t="str">
        <f>IFERROR(__xludf.DUMMYFUNCTION("GOOGLETRANSLATE(C7871, ""en"", ""fa"")
"),"راه‌های مشارکت والدین و ذینفعان جامعه را در حمایت از مهارت‌های کارآفرینی و نوآوری دانش‌آموزان بررسی کنید.")</f>
        <v>راه‌های مشارکت والدین و ذینفعان جامعه را در حمایت از مهارت‌های کارآفرینی و نوآوری دانش‌آموزان بررسی کنید.</v>
      </c>
      <c r="H7871" s="1"/>
      <c r="I7871" s="1"/>
      <c r="J7871" s="1"/>
      <c r="K7871" s="1"/>
      <c r="L7871" s="1"/>
      <c r="M7871" s="1"/>
      <c r="N7871" s="1"/>
      <c r="O7871" s="1"/>
      <c r="P7871" s="1"/>
      <c r="Q7871" s="1"/>
      <c r="R7871" s="1"/>
      <c r="S7871" s="1"/>
      <c r="T7871" s="1"/>
      <c r="U7871" s="1"/>
      <c r="V7871" s="1"/>
      <c r="W7871" s="1"/>
      <c r="X7871" s="1"/>
      <c r="Y7871" s="1"/>
      <c r="Z7871" s="1"/>
      <c r="AA7871" s="1"/>
      <c r="AB7871" s="1"/>
    </row>
    <row r="7872" ht="50.25" customHeight="1">
      <c r="A7872" s="12">
        <v>7868.0</v>
      </c>
      <c r="B7872" s="13" t="s">
        <v>7680</v>
      </c>
      <c r="C7872" s="18" t="s">
        <v>7897</v>
      </c>
      <c r="D7872" s="1"/>
      <c r="E7872" s="1"/>
      <c r="F7872" s="1" t="str">
        <f>IFERROR(__xludf.DUMMYFUNCTION("GOOGLETRANSLATE(B7872, ""en"", ""fa"")
"),"درخواست برای معلمان")</f>
        <v>درخواست برای معلمان</v>
      </c>
      <c r="G7872" s="1" t="str">
        <f>IFERROR(__xludf.DUMMYFUNCTION("GOOGLETRANSLATE(C7872, ""en"", ""fa"")
"),"در مورد نقش والدین و سازمان های اجتماعی در ترویج مشارکت مثبت مدرسه-خانواده-جامعه بحث کنید.")</f>
        <v>در مورد نقش والدین و سازمان های اجتماعی در ترویج مشارکت مثبت مدرسه-خانواده-جامعه بحث کنید.</v>
      </c>
      <c r="H7872" s="1"/>
      <c r="I7872" s="1"/>
      <c r="J7872" s="1"/>
      <c r="K7872" s="1"/>
      <c r="L7872" s="1"/>
      <c r="M7872" s="1"/>
      <c r="N7872" s="1"/>
      <c r="O7872" s="1"/>
      <c r="P7872" s="1"/>
      <c r="Q7872" s="1"/>
      <c r="R7872" s="1"/>
      <c r="S7872" s="1"/>
      <c r="T7872" s="1"/>
      <c r="U7872" s="1"/>
      <c r="V7872" s="1"/>
      <c r="W7872" s="1"/>
      <c r="X7872" s="1"/>
      <c r="Y7872" s="1"/>
      <c r="Z7872" s="1"/>
      <c r="AA7872" s="1"/>
      <c r="AB7872" s="1"/>
    </row>
    <row r="7873" ht="50.25" customHeight="1">
      <c r="A7873" s="12">
        <v>7869.0</v>
      </c>
      <c r="B7873" s="13" t="s">
        <v>7680</v>
      </c>
      <c r="C7873" s="18" t="s">
        <v>7898</v>
      </c>
      <c r="D7873" s="1"/>
      <c r="E7873" s="1"/>
      <c r="F7873" s="1" t="str">
        <f>IFERROR(__xludf.DUMMYFUNCTION("GOOGLETRANSLATE(B7873, ""en"", ""fa"")
"),"درخواست برای معلمان")</f>
        <v>درخواست برای معلمان</v>
      </c>
      <c r="G7873" s="1" t="str">
        <f>IFERROR(__xludf.DUMMYFUNCTION("GOOGLETRANSLATE(C7873, ""en"", ""fa"")
"),"تجربیات خود را با ابتکارات موفق والدین و جامعه برای تقویت حس شهروندی جهانی در بین دانش آموزان به اشتراک بگذارید.")</f>
        <v>تجربیات خود را با ابتکارات موفق والدین و جامعه برای تقویت حس شهروندی جهانی در بین دانش آموزان به اشتراک بگذارید.</v>
      </c>
      <c r="H7873" s="1"/>
      <c r="I7873" s="1"/>
      <c r="J7873" s="1"/>
      <c r="K7873" s="1"/>
      <c r="L7873" s="1"/>
      <c r="M7873" s="1"/>
      <c r="N7873" s="1"/>
      <c r="O7873" s="1"/>
      <c r="P7873" s="1"/>
      <c r="Q7873" s="1"/>
      <c r="R7873" s="1"/>
      <c r="S7873" s="1"/>
      <c r="T7873" s="1"/>
      <c r="U7873" s="1"/>
      <c r="V7873" s="1"/>
      <c r="W7873" s="1"/>
      <c r="X7873" s="1"/>
      <c r="Y7873" s="1"/>
      <c r="Z7873" s="1"/>
      <c r="AA7873" s="1"/>
      <c r="AB7873" s="1"/>
    </row>
    <row r="7874" ht="50.25" customHeight="1">
      <c r="A7874" s="12">
        <v>7870.0</v>
      </c>
      <c r="B7874" s="13" t="s">
        <v>7680</v>
      </c>
      <c r="C7874" s="18" t="s">
        <v>7899</v>
      </c>
      <c r="D7874" s="1"/>
      <c r="E7874" s="1"/>
      <c r="F7874" s="1" t="str">
        <f>IFERROR(__xludf.DUMMYFUNCTION("GOOGLETRANSLATE(B7874, ""en"", ""fa"")
"),"درخواست برای معلمان")</f>
        <v>درخواست برای معلمان</v>
      </c>
      <c r="G7874" s="1" t="str">
        <f>IFERROR(__xludf.DUMMYFUNCTION("GOOGLETRANSLATE(C7874, ""en"", ""fa"")
"),"استراتژی‌هایی را برای مشارکت دادن والدین و اعضای جامعه در حمایت از مهارت‌های اجتماعی و حل تعارض دانش‌آموزان بررسی کنید.")</f>
        <v>استراتژی‌هایی را برای مشارکت دادن والدین و اعضای جامعه در حمایت از مهارت‌های اجتماعی و حل تعارض دانش‌آموزان بررسی کنید.</v>
      </c>
      <c r="H7874" s="1"/>
      <c r="I7874" s="1"/>
      <c r="J7874" s="1"/>
      <c r="K7874" s="1"/>
      <c r="L7874" s="1"/>
      <c r="M7874" s="1"/>
      <c r="N7874" s="1"/>
      <c r="O7874" s="1"/>
      <c r="P7874" s="1"/>
      <c r="Q7874" s="1"/>
      <c r="R7874" s="1"/>
      <c r="S7874" s="1"/>
      <c r="T7874" s="1"/>
      <c r="U7874" s="1"/>
      <c r="V7874" s="1"/>
      <c r="W7874" s="1"/>
      <c r="X7874" s="1"/>
      <c r="Y7874" s="1"/>
      <c r="Z7874" s="1"/>
      <c r="AA7874" s="1"/>
      <c r="AB7874" s="1"/>
    </row>
    <row r="7875" ht="50.25" customHeight="1">
      <c r="A7875" s="12">
        <v>7871.0</v>
      </c>
      <c r="B7875" s="13" t="s">
        <v>7680</v>
      </c>
      <c r="C7875" s="18" t="s">
        <v>7900</v>
      </c>
      <c r="D7875" s="1"/>
      <c r="E7875" s="1"/>
      <c r="F7875" s="1" t="str">
        <f>IFERROR(__xludf.DUMMYFUNCTION("GOOGLETRANSLATE(B7875, ""en"", ""fa"")
"),"درخواست برای معلمان")</f>
        <v>درخواست برای معلمان</v>
      </c>
      <c r="G7875" s="1" t="str">
        <f>IFERROR(__xludf.DUMMYFUNCTION("GOOGLETRANSLATE(C7875, ""en"", ""fa"")
"),"در مورد اهمیت مشارکت والدین و جامعه در رسیدگی به نیازهای منحصر به فرد دانش آموزان با زبان انگلیسی به عنوان زبان دوم بحث کنید.")</f>
        <v>در مورد اهمیت مشارکت والدین و جامعه در رسیدگی به نیازهای منحصر به فرد دانش آموزان با زبان انگلیسی به عنوان زبان دوم بحث کنید.</v>
      </c>
      <c r="H7875" s="1"/>
      <c r="I7875" s="1"/>
      <c r="J7875" s="1"/>
      <c r="K7875" s="1"/>
      <c r="L7875" s="1"/>
      <c r="M7875" s="1"/>
      <c r="N7875" s="1"/>
      <c r="O7875" s="1"/>
      <c r="P7875" s="1"/>
      <c r="Q7875" s="1"/>
      <c r="R7875" s="1"/>
      <c r="S7875" s="1"/>
      <c r="T7875" s="1"/>
      <c r="U7875" s="1"/>
      <c r="V7875" s="1"/>
      <c r="W7875" s="1"/>
      <c r="X7875" s="1"/>
      <c r="Y7875" s="1"/>
      <c r="Z7875" s="1"/>
      <c r="AA7875" s="1"/>
      <c r="AB7875" s="1"/>
    </row>
    <row r="7876" ht="50.25" customHeight="1">
      <c r="A7876" s="12">
        <v>7872.0</v>
      </c>
      <c r="B7876" s="13" t="s">
        <v>7680</v>
      </c>
      <c r="C7876" s="18" t="s">
        <v>7901</v>
      </c>
      <c r="D7876" s="1"/>
      <c r="E7876" s="1"/>
      <c r="F7876" s="1" t="str">
        <f>IFERROR(__xludf.DUMMYFUNCTION("GOOGLETRANSLATE(B7876, ""en"", ""fa"")
"),"درخواست برای معلمان")</f>
        <v>درخواست برای معلمان</v>
      </c>
      <c r="G7876" s="1" t="str">
        <f>IFERROR(__xludf.DUMMYFUNCTION("GOOGLETRANSLATE(C7876, ""en"", ""fa"")
"),"بینش خود را در مورد استراتژی های موثر برای مشارکت دادن والدین و شرکای جامعه در ترویج شیوه های فراگیر برای دانش آموزان با توانایی های متنوع به اشتراک بگذارید.")</f>
        <v>بینش خود را در مورد استراتژی های موثر برای مشارکت دادن والدین و شرکای جامعه در ترویج شیوه های فراگیر برای دانش آموزان با توانایی های متنوع به اشتراک بگذارید.</v>
      </c>
      <c r="H7876" s="1"/>
      <c r="I7876" s="1"/>
      <c r="J7876" s="1"/>
      <c r="K7876" s="1"/>
      <c r="L7876" s="1"/>
      <c r="M7876" s="1"/>
      <c r="N7876" s="1"/>
      <c r="O7876" s="1"/>
      <c r="P7876" s="1"/>
      <c r="Q7876" s="1"/>
      <c r="R7876" s="1"/>
      <c r="S7876" s="1"/>
      <c r="T7876" s="1"/>
      <c r="U7876" s="1"/>
      <c r="V7876" s="1"/>
      <c r="W7876" s="1"/>
      <c r="X7876" s="1"/>
      <c r="Y7876" s="1"/>
      <c r="Z7876" s="1"/>
      <c r="AA7876" s="1"/>
      <c r="AB7876" s="1"/>
    </row>
    <row r="7877" ht="50.25" customHeight="1">
      <c r="A7877" s="12">
        <v>7873.0</v>
      </c>
      <c r="B7877" s="13" t="s">
        <v>7680</v>
      </c>
      <c r="C7877" s="18" t="s">
        <v>7902</v>
      </c>
      <c r="D7877" s="1"/>
      <c r="E7877" s="1"/>
      <c r="F7877" s="1" t="str">
        <f>IFERROR(__xludf.DUMMYFUNCTION("GOOGLETRANSLATE(B7877, ""en"", ""fa"")
"),"درخواست برای معلمان")</f>
        <v>درخواست برای معلمان</v>
      </c>
      <c r="G7877" s="1" t="str">
        <f>IFERROR(__xludf.DUMMYFUNCTION("GOOGLETRANSLATE(C7877, ""en"", ""fa"")
"),"راه‌هایی برای مشارکت دادن والدین و سهامداران جامعه در حمایت از سواد دیجیتالی دانش‌آموزان و رفتار آنلاین مسئولانه را بررسی کنید.")</f>
        <v>راه‌هایی برای مشارکت دادن والدین و سهامداران جامعه در حمایت از سواد دیجیتالی دانش‌آموزان و رفتار آنلاین مسئولانه را بررسی کنید.</v>
      </c>
      <c r="H7877" s="1"/>
      <c r="I7877" s="1"/>
      <c r="J7877" s="1"/>
      <c r="K7877" s="1"/>
      <c r="L7877" s="1"/>
      <c r="M7877" s="1"/>
      <c r="N7877" s="1"/>
      <c r="O7877" s="1"/>
      <c r="P7877" s="1"/>
      <c r="Q7877" s="1"/>
      <c r="R7877" s="1"/>
      <c r="S7877" s="1"/>
      <c r="T7877" s="1"/>
      <c r="U7877" s="1"/>
      <c r="V7877" s="1"/>
      <c r="W7877" s="1"/>
      <c r="X7877" s="1"/>
      <c r="Y7877" s="1"/>
      <c r="Z7877" s="1"/>
      <c r="AA7877" s="1"/>
      <c r="AB7877" s="1"/>
    </row>
    <row r="7878" ht="50.25" customHeight="1">
      <c r="A7878" s="12">
        <v>7874.0</v>
      </c>
      <c r="B7878" s="13" t="s">
        <v>7680</v>
      </c>
      <c r="C7878" s="18" t="s">
        <v>7903</v>
      </c>
      <c r="D7878" s="1"/>
      <c r="E7878" s="1"/>
      <c r="F7878" s="1" t="str">
        <f>IFERROR(__xludf.DUMMYFUNCTION("GOOGLETRANSLATE(B7878, ""en"", ""fa"")
"),"درخواست برای معلمان")</f>
        <v>درخواست برای معلمان</v>
      </c>
      <c r="G7878" s="1" t="str">
        <f>IFERROR(__xludf.DUMMYFUNCTION("GOOGLETRANSLATE(C7878, ""en"", ""fa"")
"),"در مورد تأثیر مشارکت والدین و جامعه بر انگیزه و پشتکار دانش‌آموزان در فعالیت‌های تحصیلی بحث کنید.")</f>
        <v>در مورد تأثیر مشارکت والدین و جامعه بر انگیزه و پشتکار دانش‌آموزان در فعالیت‌های تحصیلی بحث کنید.</v>
      </c>
      <c r="H7878" s="1"/>
      <c r="I7878" s="1"/>
      <c r="J7878" s="1"/>
      <c r="K7878" s="1"/>
      <c r="L7878" s="1"/>
      <c r="M7878" s="1"/>
      <c r="N7878" s="1"/>
      <c r="O7878" s="1"/>
      <c r="P7878" s="1"/>
      <c r="Q7878" s="1"/>
      <c r="R7878" s="1"/>
      <c r="S7878" s="1"/>
      <c r="T7878" s="1"/>
      <c r="U7878" s="1"/>
      <c r="V7878" s="1"/>
      <c r="W7878" s="1"/>
      <c r="X7878" s="1"/>
      <c r="Y7878" s="1"/>
      <c r="Z7878" s="1"/>
      <c r="AA7878" s="1"/>
      <c r="AB7878" s="1"/>
    </row>
    <row r="7879" ht="50.25" customHeight="1">
      <c r="A7879" s="12">
        <v>7875.0</v>
      </c>
      <c r="B7879" s="13" t="s">
        <v>7680</v>
      </c>
      <c r="C7879" s="18" t="s">
        <v>7904</v>
      </c>
      <c r="D7879" s="1"/>
      <c r="E7879" s="1"/>
      <c r="F7879" s="1" t="str">
        <f>IFERROR(__xludf.DUMMYFUNCTION("GOOGLETRANSLATE(B7879, ""en"", ""fa"")
"),"درخواست برای معلمان")</f>
        <v>درخواست برای معلمان</v>
      </c>
      <c r="G7879" s="1" t="str">
        <f>IFERROR(__xludf.DUMMYFUNCTION("GOOGLETRANSLATE(C7879, ""en"", ""fa"")
"),"تجربیات خود را با همکاری های موفق والدین و جامعه در سازماندهی نمایشگاه های شغلی و رویدادهای سخنران مهمان به اشتراک بگذارید.")</f>
        <v>تجربیات خود را با همکاری های موفق والدین و جامعه در سازماندهی نمایشگاه های شغلی و رویدادهای سخنران مهمان به اشتراک بگذارید.</v>
      </c>
      <c r="H7879" s="1"/>
      <c r="I7879" s="1"/>
      <c r="J7879" s="1"/>
      <c r="K7879" s="1"/>
      <c r="L7879" s="1"/>
      <c r="M7879" s="1"/>
      <c r="N7879" s="1"/>
      <c r="O7879" s="1"/>
      <c r="P7879" s="1"/>
      <c r="Q7879" s="1"/>
      <c r="R7879" s="1"/>
      <c r="S7879" s="1"/>
      <c r="T7879" s="1"/>
      <c r="U7879" s="1"/>
      <c r="V7879" s="1"/>
      <c r="W7879" s="1"/>
      <c r="X7879" s="1"/>
      <c r="Y7879" s="1"/>
      <c r="Z7879" s="1"/>
      <c r="AA7879" s="1"/>
      <c r="AB7879" s="1"/>
    </row>
    <row r="7880" ht="50.25" customHeight="1">
      <c r="A7880" s="12">
        <v>7876.0</v>
      </c>
      <c r="B7880" s="13" t="s">
        <v>7680</v>
      </c>
      <c r="C7880" s="18" t="s">
        <v>7905</v>
      </c>
      <c r="D7880" s="1"/>
      <c r="E7880" s="1"/>
      <c r="F7880" s="1" t="str">
        <f>IFERROR(__xludf.DUMMYFUNCTION("GOOGLETRANSLATE(B7880, ""en"", ""fa"")
"),"درخواست برای معلمان")</f>
        <v>درخواست برای معلمان</v>
      </c>
      <c r="G7880" s="1" t="str">
        <f>IFERROR(__xludf.DUMMYFUNCTION("GOOGLETRANSLATE(C7880, ""en"", ""fa"")
"),"استراتژی‌هایی را برای مشارکت دادن والدین و اعضای جامعه در حمایت از انتقال دانش‌آموزان از مدرسه به دانشگاه یا مسیرهای شغلی بررسی کنید.")</f>
        <v>استراتژی‌هایی را برای مشارکت دادن والدین و اعضای جامعه در حمایت از انتقال دانش‌آموزان از مدرسه به دانشگاه یا مسیرهای شغلی بررسی کنید.</v>
      </c>
      <c r="H7880" s="1"/>
      <c r="I7880" s="1"/>
      <c r="J7880" s="1"/>
      <c r="K7880" s="1"/>
      <c r="L7880" s="1"/>
      <c r="M7880" s="1"/>
      <c r="N7880" s="1"/>
      <c r="O7880" s="1"/>
      <c r="P7880" s="1"/>
      <c r="Q7880" s="1"/>
      <c r="R7880" s="1"/>
      <c r="S7880" s="1"/>
      <c r="T7880" s="1"/>
      <c r="U7880" s="1"/>
      <c r="V7880" s="1"/>
      <c r="W7880" s="1"/>
      <c r="X7880" s="1"/>
      <c r="Y7880" s="1"/>
      <c r="Z7880" s="1"/>
      <c r="AA7880" s="1"/>
      <c r="AB7880" s="1"/>
    </row>
    <row r="7881" ht="50.25" customHeight="1">
      <c r="A7881" s="12">
        <v>7877.0</v>
      </c>
      <c r="B7881" s="13" t="s">
        <v>7680</v>
      </c>
      <c r="C7881" s="18" t="s">
        <v>7906</v>
      </c>
      <c r="D7881" s="1"/>
      <c r="E7881" s="1"/>
      <c r="F7881" s="1" t="str">
        <f>IFERROR(__xludf.DUMMYFUNCTION("GOOGLETRANSLATE(B7881, ""en"", ""fa"")
"),"درخواست برای معلمان")</f>
        <v>درخواست برای معلمان</v>
      </c>
      <c r="G7881" s="1" t="str">
        <f>IFERROR(__xludf.DUMMYFUNCTION("GOOGLETRANSLATE(C7881, ""en"", ""fa"")
"),"در مورد نقش والدین و سازمان های اجتماعی در ارتقاء سواد مالی و مدیریت مسئولانه پول در بین دانش آموزان بحث کنید.")</f>
        <v>در مورد نقش والدین و سازمان های اجتماعی در ارتقاء سواد مالی و مدیریت مسئولانه پول در بین دانش آموزان بحث کنید.</v>
      </c>
      <c r="H7881" s="1"/>
      <c r="I7881" s="1"/>
      <c r="J7881" s="1"/>
      <c r="K7881" s="1"/>
      <c r="L7881" s="1"/>
      <c r="M7881" s="1"/>
      <c r="N7881" s="1"/>
      <c r="O7881" s="1"/>
      <c r="P7881" s="1"/>
      <c r="Q7881" s="1"/>
      <c r="R7881" s="1"/>
      <c r="S7881" s="1"/>
      <c r="T7881" s="1"/>
      <c r="U7881" s="1"/>
      <c r="V7881" s="1"/>
      <c r="W7881" s="1"/>
      <c r="X7881" s="1"/>
      <c r="Y7881" s="1"/>
      <c r="Z7881" s="1"/>
      <c r="AA7881" s="1"/>
      <c r="AB7881" s="1"/>
    </row>
    <row r="7882" ht="50.25" customHeight="1">
      <c r="A7882" s="12">
        <v>7878.0</v>
      </c>
      <c r="B7882" s="13" t="s">
        <v>7680</v>
      </c>
      <c r="C7882" s="18" t="s">
        <v>7907</v>
      </c>
      <c r="D7882" s="1"/>
      <c r="E7882" s="1"/>
      <c r="F7882" s="1" t="str">
        <f>IFERROR(__xludf.DUMMYFUNCTION("GOOGLETRANSLATE(B7882, ""en"", ""fa"")
"),"درخواست برای معلمان")</f>
        <v>درخواست برای معلمان</v>
      </c>
      <c r="G7882" s="1" t="str">
        <f>IFERROR(__xludf.DUMMYFUNCTION("GOOGLETRANSLATE(C7882, ""en"", ""fa"")
"),"کشف راه هایی برای مشارکت دادن والدین و ذینفعان جامعه در ترویج جشن های فرهنگی و آگاهی از تنوع در مدارس.")</f>
        <v>کشف راه هایی برای مشارکت دادن والدین و ذینفعان جامعه در ترویج جشن های فرهنگی و آگاهی از تنوع در مدارس.</v>
      </c>
      <c r="H7882" s="1"/>
      <c r="I7882" s="1"/>
      <c r="J7882" s="1"/>
      <c r="K7882" s="1"/>
      <c r="L7882" s="1"/>
      <c r="M7882" s="1"/>
      <c r="N7882" s="1"/>
      <c r="O7882" s="1"/>
      <c r="P7882" s="1"/>
      <c r="Q7882" s="1"/>
      <c r="R7882" s="1"/>
      <c r="S7882" s="1"/>
      <c r="T7882" s="1"/>
      <c r="U7882" s="1"/>
      <c r="V7882" s="1"/>
      <c r="W7882" s="1"/>
      <c r="X7882" s="1"/>
      <c r="Y7882" s="1"/>
      <c r="Z7882" s="1"/>
      <c r="AA7882" s="1"/>
      <c r="AB7882" s="1"/>
    </row>
    <row r="7883" ht="50.25" customHeight="1">
      <c r="A7883" s="12">
        <v>7879.0</v>
      </c>
      <c r="B7883" s="13" t="s">
        <v>7680</v>
      </c>
      <c r="C7883" s="18" t="s">
        <v>7908</v>
      </c>
      <c r="D7883" s="1"/>
      <c r="E7883" s="1"/>
      <c r="F7883" s="1" t="str">
        <f>IFERROR(__xludf.DUMMYFUNCTION("GOOGLETRANSLATE(B7883, ""en"", ""fa"")
"),"درخواست برای معلمان")</f>
        <v>درخواست برای معلمان</v>
      </c>
      <c r="G7883" s="1" t="str">
        <f>IFERROR(__xludf.DUMMYFUNCTION("GOOGLETRANSLATE(C7883, ""en"", ""fa"")
"),"در مورد تأثیر مشارکت والدین و جامعه بر احساس تعلق و شمول دانش آموزان در جامعه مدرسه بحث کنید.")</f>
        <v>در مورد تأثیر مشارکت والدین و جامعه بر احساس تعلق و شمول دانش آموزان در جامعه مدرسه بحث کنید.</v>
      </c>
      <c r="H7883" s="1"/>
      <c r="I7883" s="1"/>
      <c r="J7883" s="1"/>
      <c r="K7883" s="1"/>
      <c r="L7883" s="1"/>
      <c r="M7883" s="1"/>
      <c r="N7883" s="1"/>
      <c r="O7883" s="1"/>
      <c r="P7883" s="1"/>
      <c r="Q7883" s="1"/>
      <c r="R7883" s="1"/>
      <c r="S7883" s="1"/>
      <c r="T7883" s="1"/>
      <c r="U7883" s="1"/>
      <c r="V7883" s="1"/>
      <c r="W7883" s="1"/>
      <c r="X7883" s="1"/>
      <c r="Y7883" s="1"/>
      <c r="Z7883" s="1"/>
      <c r="AA7883" s="1"/>
      <c r="AB7883" s="1"/>
    </row>
    <row r="7884" ht="50.25" customHeight="1">
      <c r="A7884" s="12">
        <v>7880.0</v>
      </c>
      <c r="B7884" s="13" t="s">
        <v>7680</v>
      </c>
      <c r="C7884" s="18" t="s">
        <v>7909</v>
      </c>
      <c r="D7884" s="1"/>
      <c r="E7884" s="1"/>
      <c r="F7884" s="1" t="str">
        <f>IFERROR(__xludf.DUMMYFUNCTION("GOOGLETRANSLATE(B7884, ""en"", ""fa"")
"),"درخواست برای معلمان")</f>
        <v>درخواست برای معلمان</v>
      </c>
      <c r="G7884" s="1" t="str">
        <f>IFERROR(__xludf.DUMMYFUNCTION("GOOGLETRANSLATE(C7884, ""en"", ""fa"")
"),"تجربیات خود را با مشارکت موفق والدین و جامعه در اجرای شیوه های عدالت ترمیمی در مدارس به اشتراک بگذارید.")</f>
        <v>تجربیات خود را با مشارکت موفق والدین و جامعه در اجرای شیوه های عدالت ترمیمی در مدارس به اشتراک بگذارید.</v>
      </c>
      <c r="H7884" s="1"/>
      <c r="I7884" s="1"/>
      <c r="J7884" s="1"/>
      <c r="K7884" s="1"/>
      <c r="L7884" s="1"/>
      <c r="M7884" s="1"/>
      <c r="N7884" s="1"/>
      <c r="O7884" s="1"/>
      <c r="P7884" s="1"/>
      <c r="Q7884" s="1"/>
      <c r="R7884" s="1"/>
      <c r="S7884" s="1"/>
      <c r="T7884" s="1"/>
      <c r="U7884" s="1"/>
      <c r="V7884" s="1"/>
      <c r="W7884" s="1"/>
      <c r="X7884" s="1"/>
      <c r="Y7884" s="1"/>
      <c r="Z7884" s="1"/>
      <c r="AA7884" s="1"/>
      <c r="AB7884" s="1"/>
    </row>
    <row r="7885" ht="50.25" customHeight="1">
      <c r="A7885" s="12">
        <v>7881.0</v>
      </c>
      <c r="B7885" s="13" t="s">
        <v>7680</v>
      </c>
      <c r="C7885" s="18" t="s">
        <v>7910</v>
      </c>
      <c r="D7885" s="1"/>
      <c r="E7885" s="1"/>
      <c r="F7885" s="1" t="str">
        <f>IFERROR(__xludf.DUMMYFUNCTION("GOOGLETRANSLATE(B7885, ""en"", ""fa"")
"),"درخواست برای معلمان")</f>
        <v>درخواست برای معلمان</v>
      </c>
      <c r="G7885" s="1" t="str">
        <f>IFERROR(__xludf.DUMMYFUNCTION("GOOGLETRANSLATE(C7885, ""en"", ""fa"")
"),"راهبردهایی را برای مشارکت دادن والدین و اعضای جامعه در حمایت از تربیت بدنی و فعالیت های ورزشی دانش آموزان بررسی کنید.")</f>
        <v>راهبردهایی را برای مشارکت دادن والدین و اعضای جامعه در حمایت از تربیت بدنی و فعالیت های ورزشی دانش آموزان بررسی کنید.</v>
      </c>
      <c r="H7885" s="1"/>
      <c r="I7885" s="1"/>
      <c r="J7885" s="1"/>
      <c r="K7885" s="1"/>
      <c r="L7885" s="1"/>
      <c r="M7885" s="1"/>
      <c r="N7885" s="1"/>
      <c r="O7885" s="1"/>
      <c r="P7885" s="1"/>
      <c r="Q7885" s="1"/>
      <c r="R7885" s="1"/>
      <c r="S7885" s="1"/>
      <c r="T7885" s="1"/>
      <c r="U7885" s="1"/>
      <c r="V7885" s="1"/>
      <c r="W7885" s="1"/>
      <c r="X7885" s="1"/>
      <c r="Y7885" s="1"/>
      <c r="Z7885" s="1"/>
      <c r="AA7885" s="1"/>
      <c r="AB7885" s="1"/>
    </row>
    <row r="7886" ht="50.25" customHeight="1">
      <c r="A7886" s="12">
        <v>7882.0</v>
      </c>
      <c r="B7886" s="13" t="s">
        <v>7680</v>
      </c>
      <c r="C7886" s="18" t="s">
        <v>7911</v>
      </c>
      <c r="D7886" s="1"/>
      <c r="E7886" s="1"/>
      <c r="F7886" s="1" t="str">
        <f>IFERROR(__xludf.DUMMYFUNCTION("GOOGLETRANSLATE(B7886, ""en"", ""fa"")
"),"درخواست برای معلمان")</f>
        <v>درخواست برای معلمان</v>
      </c>
      <c r="G7886" s="1" t="str">
        <f>IFERROR(__xludf.DUMMYFUNCTION("GOOGLETRANSLATE(C7886, ""en"", ""fa"")
"),"در مورد اهمیت مشارکت والدین و جامعه در تقویت آگاهی زیست محیطی و شیوه های پایدار دانش آموزان بحث کنید.")</f>
        <v>در مورد اهمیت مشارکت والدین و جامعه در تقویت آگاهی زیست محیطی و شیوه های پایدار دانش آموزان بحث کنید.</v>
      </c>
      <c r="H7886" s="1"/>
      <c r="I7886" s="1"/>
      <c r="J7886" s="1"/>
      <c r="K7886" s="1"/>
      <c r="L7886" s="1"/>
      <c r="M7886" s="1"/>
      <c r="N7886" s="1"/>
      <c r="O7886" s="1"/>
      <c r="P7886" s="1"/>
      <c r="Q7886" s="1"/>
      <c r="R7886" s="1"/>
      <c r="S7886" s="1"/>
      <c r="T7886" s="1"/>
      <c r="U7886" s="1"/>
      <c r="V7886" s="1"/>
      <c r="W7886" s="1"/>
      <c r="X7886" s="1"/>
      <c r="Y7886" s="1"/>
      <c r="Z7886" s="1"/>
      <c r="AA7886" s="1"/>
      <c r="AB7886" s="1"/>
    </row>
    <row r="7887" ht="50.25" customHeight="1">
      <c r="A7887" s="12">
        <v>7883.0</v>
      </c>
      <c r="B7887" s="13" t="s">
        <v>7680</v>
      </c>
      <c r="C7887" s="18" t="s">
        <v>7912</v>
      </c>
      <c r="D7887" s="1"/>
      <c r="E7887" s="1"/>
      <c r="F7887" s="1" t="str">
        <f>IFERROR(__xludf.DUMMYFUNCTION("GOOGLETRANSLATE(B7887, ""en"", ""fa"")
"),"درخواست برای معلمان")</f>
        <v>درخواست برای معلمان</v>
      </c>
      <c r="G7887" s="1" t="str">
        <f>IFERROR(__xludf.DUMMYFUNCTION("GOOGLETRANSLATE(C7887, ""en"", ""fa"")
"),"بینش خود را در مورد استراتژی های موثر برای مشارکت دادن والدین و شرکای جامعه در ارتقای تاب آوری و پشتکار تحصیلی به اشتراک بگذارید.")</f>
        <v>بینش خود را در مورد استراتژی های موثر برای مشارکت دادن والدین و شرکای جامعه در ارتقای تاب آوری و پشتکار تحصیلی به اشتراک بگذارید.</v>
      </c>
      <c r="H7887" s="1"/>
      <c r="I7887" s="1"/>
      <c r="J7887" s="1"/>
      <c r="K7887" s="1"/>
      <c r="L7887" s="1"/>
      <c r="M7887" s="1"/>
      <c r="N7887" s="1"/>
      <c r="O7887" s="1"/>
      <c r="P7887" s="1"/>
      <c r="Q7887" s="1"/>
      <c r="R7887" s="1"/>
      <c r="S7887" s="1"/>
      <c r="T7887" s="1"/>
      <c r="U7887" s="1"/>
      <c r="V7887" s="1"/>
      <c r="W7887" s="1"/>
      <c r="X7887" s="1"/>
      <c r="Y7887" s="1"/>
      <c r="Z7887" s="1"/>
      <c r="AA7887" s="1"/>
      <c r="AB7887" s="1"/>
    </row>
    <row r="7888" ht="50.25" customHeight="1">
      <c r="A7888" s="12">
        <v>7884.0</v>
      </c>
      <c r="B7888" s="13" t="s">
        <v>7680</v>
      </c>
      <c r="C7888" s="18" t="s">
        <v>7913</v>
      </c>
      <c r="D7888" s="1"/>
      <c r="E7888" s="1"/>
      <c r="F7888" s="1" t="str">
        <f>IFERROR(__xludf.DUMMYFUNCTION("GOOGLETRANSLATE(B7888, ""en"", ""fa"")
"),"درخواست برای معلمان")</f>
        <v>درخواست برای معلمان</v>
      </c>
      <c r="G7888" s="1" t="str">
        <f>IFERROR(__xludf.DUMMYFUNCTION("GOOGLETRANSLATE(C7888, ""en"", ""fa"")
"),"راه‌هایی را برای مشارکت والدین و سهامداران جامعه در حمایت از سواد فناوری دانش‌آموزان و شهروندی دیجیتال کاوش کنید.")</f>
        <v>راه‌هایی را برای مشارکت والدین و سهامداران جامعه در حمایت از سواد فناوری دانش‌آموزان و شهروندی دیجیتال کاوش کنید.</v>
      </c>
      <c r="H7888" s="1"/>
      <c r="I7888" s="1"/>
      <c r="J7888" s="1"/>
      <c r="K7888" s="1"/>
      <c r="L7888" s="1"/>
      <c r="M7888" s="1"/>
      <c r="N7888" s="1"/>
      <c r="O7888" s="1"/>
      <c r="P7888" s="1"/>
      <c r="Q7888" s="1"/>
      <c r="R7888" s="1"/>
      <c r="S7888" s="1"/>
      <c r="T7888" s="1"/>
      <c r="U7888" s="1"/>
      <c r="V7888" s="1"/>
      <c r="W7888" s="1"/>
      <c r="X7888" s="1"/>
      <c r="Y7888" s="1"/>
      <c r="Z7888" s="1"/>
      <c r="AA7888" s="1"/>
      <c r="AB7888" s="1"/>
    </row>
    <row r="7889" ht="50.25" customHeight="1">
      <c r="A7889" s="12">
        <v>7885.0</v>
      </c>
      <c r="B7889" s="13" t="s">
        <v>7680</v>
      </c>
      <c r="C7889" s="18" t="s">
        <v>7914</v>
      </c>
      <c r="D7889" s="1"/>
      <c r="E7889" s="1"/>
      <c r="F7889" s="1" t="str">
        <f>IFERROR(__xludf.DUMMYFUNCTION("GOOGLETRANSLATE(B7889, ""en"", ""fa"")
"),"درخواست برای معلمان")</f>
        <v>درخواست برای معلمان</v>
      </c>
      <c r="G7889" s="1" t="str">
        <f>IFERROR(__xludf.DUMMYFUNCTION("GOOGLETRANSLATE(C7889, ""en"", ""fa"")
"),"در مورد نقش والدین و سازمان های اجتماعی در ترویج مشارکت مدنی و مسئولیت اجتماعی در بین دانش آموزان بحث کنید.")</f>
        <v>در مورد نقش والدین و سازمان های اجتماعی در ترویج مشارکت مدنی و مسئولیت اجتماعی در بین دانش آموزان بحث کنید.</v>
      </c>
      <c r="H7889" s="1"/>
      <c r="I7889" s="1"/>
      <c r="J7889" s="1"/>
      <c r="K7889" s="1"/>
      <c r="L7889" s="1"/>
      <c r="M7889" s="1"/>
      <c r="N7889" s="1"/>
      <c r="O7889" s="1"/>
      <c r="P7889" s="1"/>
      <c r="Q7889" s="1"/>
      <c r="R7889" s="1"/>
      <c r="S7889" s="1"/>
      <c r="T7889" s="1"/>
      <c r="U7889" s="1"/>
      <c r="V7889" s="1"/>
      <c r="W7889" s="1"/>
      <c r="X7889" s="1"/>
      <c r="Y7889" s="1"/>
      <c r="Z7889" s="1"/>
      <c r="AA7889" s="1"/>
      <c r="AB7889" s="1"/>
    </row>
    <row r="7890" ht="50.25" customHeight="1">
      <c r="A7890" s="12">
        <v>7886.0</v>
      </c>
      <c r="B7890" s="13" t="s">
        <v>7680</v>
      </c>
      <c r="C7890" s="18" t="s">
        <v>7915</v>
      </c>
      <c r="D7890" s="1"/>
      <c r="E7890" s="1"/>
      <c r="F7890" s="1" t="str">
        <f>IFERROR(__xludf.DUMMYFUNCTION("GOOGLETRANSLATE(B7890, ""en"", ""fa"")
"),"درخواست برای معلمان")</f>
        <v>درخواست برای معلمان</v>
      </c>
      <c r="G7890" s="1" t="str">
        <f>IFERROR(__xludf.DUMMYFUNCTION("GOOGLETRANSLATE(C7890, ""en"", ""fa"")
"),"تجربیات خود را با ابتکارات موفق والدین و جامعه برای پر کردن شکاف پیشرفت و ارتقای برابری آموزشی به اشتراک بگذارید.")</f>
        <v>تجربیات خود را با ابتکارات موفق والدین و جامعه برای پر کردن شکاف پیشرفت و ارتقای برابری آموزشی به اشتراک بگذارید.</v>
      </c>
      <c r="H7890" s="1"/>
      <c r="I7890" s="1"/>
      <c r="J7890" s="1"/>
      <c r="K7890" s="1"/>
      <c r="L7890" s="1"/>
      <c r="M7890" s="1"/>
      <c r="N7890" s="1"/>
      <c r="O7890" s="1"/>
      <c r="P7890" s="1"/>
      <c r="Q7890" s="1"/>
      <c r="R7890" s="1"/>
      <c r="S7890" s="1"/>
      <c r="T7890" s="1"/>
      <c r="U7890" s="1"/>
      <c r="V7890" s="1"/>
      <c r="W7890" s="1"/>
      <c r="X7890" s="1"/>
      <c r="Y7890" s="1"/>
      <c r="Z7890" s="1"/>
      <c r="AA7890" s="1"/>
      <c r="AB7890" s="1"/>
    </row>
    <row r="7891" ht="50.25" customHeight="1">
      <c r="A7891" s="12">
        <v>7887.0</v>
      </c>
      <c r="B7891" s="13" t="s">
        <v>7680</v>
      </c>
      <c r="C7891" s="18" t="s">
        <v>7916</v>
      </c>
      <c r="D7891" s="1"/>
      <c r="E7891" s="1"/>
      <c r="F7891" s="1" t="str">
        <f>IFERROR(__xludf.DUMMYFUNCTION("GOOGLETRANSLATE(B7891, ""en"", ""fa"")
"),"درخواست برای معلمان")</f>
        <v>درخواست برای معلمان</v>
      </c>
      <c r="G7891" s="1" t="str">
        <f>IFERROR(__xludf.DUMMYFUNCTION("GOOGLETRANSLATE(C7891, ""en"", ""fa"")
"),"استراتژی‌هایی را برای مشارکت دادن والدین و اعضای جامعه در حمایت از مهارت‌های اجتماعی دانش‌آموزان و توانایی‌های حل تعارض بررسی کنید.")</f>
        <v>استراتژی‌هایی را برای مشارکت دادن والدین و اعضای جامعه در حمایت از مهارت‌های اجتماعی دانش‌آموزان و توانایی‌های حل تعارض بررسی کنید.</v>
      </c>
      <c r="H7891" s="1"/>
      <c r="I7891" s="1"/>
      <c r="J7891" s="1"/>
      <c r="K7891" s="1"/>
      <c r="L7891" s="1"/>
      <c r="M7891" s="1"/>
      <c r="N7891" s="1"/>
      <c r="O7891" s="1"/>
      <c r="P7891" s="1"/>
      <c r="Q7891" s="1"/>
      <c r="R7891" s="1"/>
      <c r="S7891" s="1"/>
      <c r="T7891" s="1"/>
      <c r="U7891" s="1"/>
      <c r="V7891" s="1"/>
      <c r="W7891" s="1"/>
      <c r="X7891" s="1"/>
      <c r="Y7891" s="1"/>
      <c r="Z7891" s="1"/>
      <c r="AA7891" s="1"/>
      <c r="AB7891" s="1"/>
    </row>
    <row r="7892" ht="50.25" customHeight="1">
      <c r="A7892" s="12">
        <v>7888.0</v>
      </c>
      <c r="B7892" s="13" t="s">
        <v>7680</v>
      </c>
      <c r="C7892" s="18" t="s">
        <v>7917</v>
      </c>
      <c r="D7892" s="1"/>
      <c r="E7892" s="1"/>
      <c r="F7892" s="1" t="str">
        <f>IFERROR(__xludf.DUMMYFUNCTION("GOOGLETRANSLATE(B7892, ""en"", ""fa"")
"),"درخواست برای معلمان")</f>
        <v>درخواست برای معلمان</v>
      </c>
      <c r="G7892" s="1" t="str">
        <f>IFERROR(__xludf.DUMMYFUNCTION("GOOGLETRANSLATE(C7892, ""en"", ""fa"")
"),"در مورد تأثیر مشارکت والدین و جامعه بر احساس هویت فرهنگی و حفظ میراث دانش آموزان بحث کنید.")</f>
        <v>در مورد تأثیر مشارکت والدین و جامعه بر احساس هویت فرهنگی و حفظ میراث دانش آموزان بحث کنید.</v>
      </c>
      <c r="H7892" s="1"/>
      <c r="I7892" s="1"/>
      <c r="J7892" s="1"/>
      <c r="K7892" s="1"/>
      <c r="L7892" s="1"/>
      <c r="M7892" s="1"/>
      <c r="N7892" s="1"/>
      <c r="O7892" s="1"/>
      <c r="P7892" s="1"/>
      <c r="Q7892" s="1"/>
      <c r="R7892" s="1"/>
      <c r="S7892" s="1"/>
      <c r="T7892" s="1"/>
      <c r="U7892" s="1"/>
      <c r="V7892" s="1"/>
      <c r="W7892" s="1"/>
      <c r="X7892" s="1"/>
      <c r="Y7892" s="1"/>
      <c r="Z7892" s="1"/>
      <c r="AA7892" s="1"/>
      <c r="AB7892" s="1"/>
    </row>
    <row r="7893" ht="50.25" customHeight="1">
      <c r="A7893" s="12">
        <v>7889.0</v>
      </c>
      <c r="B7893" s="13" t="s">
        <v>7680</v>
      </c>
      <c r="C7893" s="18" t="s">
        <v>7918</v>
      </c>
      <c r="D7893" s="1"/>
      <c r="E7893" s="1"/>
      <c r="F7893" s="1" t="str">
        <f>IFERROR(__xludf.DUMMYFUNCTION("GOOGLETRANSLATE(B7893, ""en"", ""fa"")
"),"درخواست برای معلمان")</f>
        <v>درخواست برای معلمان</v>
      </c>
      <c r="G7893" s="1" t="str">
        <f>IFERROR(__xludf.DUMMYFUNCTION("GOOGLETRANSLATE(C7893, ""en"", ""fa"")
"),"بینش خود را در مورد استراتژی های موثر برای مشارکت دادن والدین و شرکای جامعه در ارتقای آمادگی شغلی و اکتشاف حرفه ای به اشتراک بگذارید.")</f>
        <v>بینش خود را در مورد استراتژی های موثر برای مشارکت دادن والدین و شرکای جامعه در ارتقای آمادگی شغلی و اکتشاف حرفه ای به اشتراک بگذارید.</v>
      </c>
      <c r="H7893" s="1"/>
      <c r="I7893" s="1"/>
      <c r="J7893" s="1"/>
      <c r="K7893" s="1"/>
      <c r="L7893" s="1"/>
      <c r="M7893" s="1"/>
      <c r="N7893" s="1"/>
      <c r="O7893" s="1"/>
      <c r="P7893" s="1"/>
      <c r="Q7893" s="1"/>
      <c r="R7893" s="1"/>
      <c r="S7893" s="1"/>
      <c r="T7893" s="1"/>
      <c r="U7893" s="1"/>
      <c r="V7893" s="1"/>
      <c r="W7893" s="1"/>
      <c r="X7893" s="1"/>
      <c r="Y7893" s="1"/>
      <c r="Z7893" s="1"/>
      <c r="AA7893" s="1"/>
      <c r="AB7893" s="1"/>
    </row>
    <row r="7894" ht="50.25" customHeight="1">
      <c r="A7894" s="12">
        <v>7890.0</v>
      </c>
      <c r="B7894" s="13" t="s">
        <v>7680</v>
      </c>
      <c r="C7894" s="18" t="s">
        <v>7919</v>
      </c>
      <c r="D7894" s="1"/>
      <c r="E7894" s="1"/>
      <c r="F7894" s="1" t="str">
        <f>IFERROR(__xludf.DUMMYFUNCTION("GOOGLETRANSLATE(B7894, ""en"", ""fa"")
"),"درخواست برای معلمان")</f>
        <v>درخواست برای معلمان</v>
      </c>
      <c r="G7894" s="1" t="str">
        <f>IFERROR(__xludf.DUMMYFUNCTION("GOOGLETRANSLATE(C7894, ""en"", ""fa"")
"),"کاوش راه هایی برای مشارکت دادن والدین و ذینفعان جامعه در حمایت از مشارکت دانش آموزان در خدمات اجتماعی و داوطلبانه.")</f>
        <v>کاوش راه هایی برای مشارکت دادن والدین و ذینفعان جامعه در حمایت از مشارکت دانش آموزان در خدمات اجتماعی و داوطلبانه.</v>
      </c>
      <c r="H7894" s="1"/>
      <c r="I7894" s="1"/>
      <c r="J7894" s="1"/>
      <c r="K7894" s="1"/>
      <c r="L7894" s="1"/>
      <c r="M7894" s="1"/>
      <c r="N7894" s="1"/>
      <c r="O7894" s="1"/>
      <c r="P7894" s="1"/>
      <c r="Q7894" s="1"/>
      <c r="R7894" s="1"/>
      <c r="S7894" s="1"/>
      <c r="T7894" s="1"/>
      <c r="U7894" s="1"/>
      <c r="V7894" s="1"/>
      <c r="W7894" s="1"/>
      <c r="X7894" s="1"/>
      <c r="Y7894" s="1"/>
      <c r="Z7894" s="1"/>
      <c r="AA7894" s="1"/>
      <c r="AB7894" s="1"/>
    </row>
    <row r="7895" ht="50.25" customHeight="1">
      <c r="A7895" s="12">
        <v>7891.0</v>
      </c>
      <c r="B7895" s="13" t="s">
        <v>7680</v>
      </c>
      <c r="C7895" s="19" t="s">
        <v>7920</v>
      </c>
      <c r="D7895" s="1"/>
      <c r="E7895" s="1"/>
      <c r="F7895" s="1" t="str">
        <f>IFERROR(__xludf.DUMMYFUNCTION("GOOGLETRANSLATE(B7895, ""en"", ""fa"")
"),"درخواست برای معلمان")</f>
        <v>درخواست برای معلمان</v>
      </c>
      <c r="G7895" s="1" t="str">
        <f>IFERROR(__xludf.DUMMYFUNCTION("GOOGLETRANSLATE(C7895, ""en"", ""fa"")
"),"در مورد مزایای شرکت در جوامع یادگیری حرفه ای و شیوه های مشارکتی بحث کنید")</f>
        <v>در مورد مزایای شرکت در جوامع یادگیری حرفه ای و شیوه های مشارکتی بحث کنید</v>
      </c>
      <c r="H7895" s="1"/>
      <c r="I7895" s="1"/>
      <c r="J7895" s="1"/>
      <c r="K7895" s="1"/>
      <c r="L7895" s="1"/>
      <c r="M7895" s="1"/>
      <c r="N7895" s="1"/>
      <c r="O7895" s="1"/>
      <c r="P7895" s="1"/>
      <c r="Q7895" s="1"/>
      <c r="R7895" s="1"/>
      <c r="S7895" s="1"/>
      <c r="T7895" s="1"/>
      <c r="U7895" s="1"/>
      <c r="V7895" s="1"/>
      <c r="W7895" s="1"/>
      <c r="X7895" s="1"/>
      <c r="Y7895" s="1"/>
      <c r="Z7895" s="1"/>
      <c r="AA7895" s="1"/>
      <c r="AB7895" s="1"/>
    </row>
    <row r="7896" ht="50.25" customHeight="1">
      <c r="A7896" s="12">
        <v>7892.0</v>
      </c>
      <c r="B7896" s="13" t="s">
        <v>7680</v>
      </c>
      <c r="C7896" s="20" t="s">
        <v>7921</v>
      </c>
      <c r="D7896" s="1"/>
      <c r="E7896" s="1"/>
      <c r="F7896" s="1" t="str">
        <f>IFERROR(__xludf.DUMMYFUNCTION("GOOGLETRANSLATE(B7896, ""en"", ""fa"")
"),"درخواست برای معلمان")</f>
        <v>درخواست برای معلمان</v>
      </c>
      <c r="G7896" s="1" t="str">
        <f>IFERROR(__xludf.DUMMYFUNCTION("GOOGLETRANSLATE(C7896, ""en"", ""fa"")
"),"بینش خود را در مورد کار گروهی و همکاری موثر بین معلمان در یک محیط مدرسه به اشتراک بگذارید.")</f>
        <v>بینش خود را در مورد کار گروهی و همکاری موثر بین معلمان در یک محیط مدرسه به اشتراک بگذارید.</v>
      </c>
      <c r="H7896" s="1"/>
      <c r="I7896" s="1"/>
      <c r="J7896" s="1"/>
      <c r="K7896" s="1"/>
      <c r="L7896" s="1"/>
      <c r="M7896" s="1"/>
      <c r="N7896" s="1"/>
      <c r="O7896" s="1"/>
      <c r="P7896" s="1"/>
      <c r="Q7896" s="1"/>
      <c r="R7896" s="1"/>
      <c r="S7896" s="1"/>
      <c r="T7896" s="1"/>
      <c r="U7896" s="1"/>
      <c r="V7896" s="1"/>
      <c r="W7896" s="1"/>
      <c r="X7896" s="1"/>
      <c r="Y7896" s="1"/>
      <c r="Z7896" s="1"/>
      <c r="AA7896" s="1"/>
      <c r="AB7896" s="1"/>
    </row>
    <row r="7897" ht="50.25" customHeight="1">
      <c r="A7897" s="12">
        <v>7893.0</v>
      </c>
      <c r="B7897" s="13" t="s">
        <v>7680</v>
      </c>
      <c r="C7897" s="18" t="s">
        <v>7922</v>
      </c>
      <c r="D7897" s="1"/>
      <c r="E7897" s="1"/>
      <c r="F7897" s="1" t="str">
        <f>IFERROR(__xludf.DUMMYFUNCTION("GOOGLETRANSLATE(B7897, ""en"", ""fa"")
"),"درخواست برای معلمان")</f>
        <v>درخواست برای معلمان</v>
      </c>
      <c r="G7897" s="1" t="str">
        <f>IFERROR(__xludf.DUMMYFUNCTION("GOOGLETRANSLATE(C7897, ""en"", ""fa"")
"),"راه‌های مشارکت در همکاری مجازی و شبکه‌سازی با مربیان از مکان‌های جغرافیایی مختلف را بررسی کنید.")</f>
        <v>راه‌های مشارکت در همکاری مجازی و شبکه‌سازی با مربیان از مکان‌های جغرافیایی مختلف را بررسی کنید.</v>
      </c>
      <c r="H7897" s="1"/>
      <c r="I7897" s="1"/>
      <c r="J7897" s="1"/>
      <c r="K7897" s="1"/>
      <c r="L7897" s="1"/>
      <c r="M7897" s="1"/>
      <c r="N7897" s="1"/>
      <c r="O7897" s="1"/>
      <c r="P7897" s="1"/>
      <c r="Q7897" s="1"/>
      <c r="R7897" s="1"/>
      <c r="S7897" s="1"/>
      <c r="T7897" s="1"/>
      <c r="U7897" s="1"/>
      <c r="V7897" s="1"/>
      <c r="W7897" s="1"/>
      <c r="X7897" s="1"/>
      <c r="Y7897" s="1"/>
      <c r="Z7897" s="1"/>
      <c r="AA7897" s="1"/>
      <c r="AB7897" s="1"/>
    </row>
    <row r="7898" ht="50.25" customHeight="1">
      <c r="A7898" s="12">
        <v>7894.0</v>
      </c>
      <c r="B7898" s="13" t="s">
        <v>7680</v>
      </c>
      <c r="C7898" s="18" t="s">
        <v>7923</v>
      </c>
      <c r="D7898" s="1"/>
      <c r="E7898" s="1"/>
      <c r="F7898" s="1" t="str">
        <f>IFERROR(__xludf.DUMMYFUNCTION("GOOGLETRANSLATE(B7898, ""en"", ""fa"")
"),"درخواست برای معلمان")</f>
        <v>درخواست برای معلمان</v>
      </c>
      <c r="G7898" s="1" t="str">
        <f>IFERROR(__xludf.DUMMYFUNCTION("GOOGLETRANSLATE(C7898, ""en"", ""fa"")
"),"در مورد نقش جوامع یادگیری حرفه ای در ترویج فرهنگ تمرین تأملی و یادگیری مستمر بحث کنید.")</f>
        <v>در مورد نقش جوامع یادگیری حرفه ای در ترویج فرهنگ تمرین تأملی و یادگیری مستمر بحث کنید.</v>
      </c>
      <c r="H7898" s="1"/>
      <c r="I7898" s="1"/>
      <c r="J7898" s="1"/>
      <c r="K7898" s="1"/>
      <c r="L7898" s="1"/>
      <c r="M7898" s="1"/>
      <c r="N7898" s="1"/>
      <c r="O7898" s="1"/>
      <c r="P7898" s="1"/>
      <c r="Q7898" s="1"/>
      <c r="R7898" s="1"/>
      <c r="S7898" s="1"/>
      <c r="T7898" s="1"/>
      <c r="U7898" s="1"/>
      <c r="V7898" s="1"/>
      <c r="W7898" s="1"/>
      <c r="X7898" s="1"/>
      <c r="Y7898" s="1"/>
      <c r="Z7898" s="1"/>
      <c r="AA7898" s="1"/>
      <c r="AB7898" s="1"/>
    </row>
    <row r="7899" ht="50.25" customHeight="1">
      <c r="A7899" s="12">
        <v>7895.0</v>
      </c>
      <c r="B7899" s="13" t="s">
        <v>7680</v>
      </c>
      <c r="C7899" s="18" t="s">
        <v>7924</v>
      </c>
      <c r="D7899" s="1"/>
      <c r="E7899" s="1"/>
      <c r="F7899" s="1" t="str">
        <f>IFERROR(__xludf.DUMMYFUNCTION("GOOGLETRANSLATE(B7899, ""en"", ""fa"")
"),"درخواست برای معلمان")</f>
        <v>درخواست برای معلمان</v>
      </c>
      <c r="G7899" s="1" t="str">
        <f>IFERROR(__xludf.DUMMYFUNCTION("GOOGLETRANSLATE(C7899, ""en"", ""fa"")
"),"تجربیات خود را در زمینه همکاری موفق بین مدارس و مؤسسات آموزش عالی در یک جامعه یادگیری حرفه ای به اشتراک بگذارید.")</f>
        <v>تجربیات خود را در زمینه همکاری موفق بین مدارس و مؤسسات آموزش عالی در یک جامعه یادگیری حرفه ای به اشتراک بگذارید.</v>
      </c>
      <c r="H7899" s="1"/>
      <c r="I7899" s="1"/>
      <c r="J7899" s="1"/>
      <c r="K7899" s="1"/>
      <c r="L7899" s="1"/>
      <c r="M7899" s="1"/>
      <c r="N7899" s="1"/>
      <c r="O7899" s="1"/>
      <c r="P7899" s="1"/>
      <c r="Q7899" s="1"/>
      <c r="R7899" s="1"/>
      <c r="S7899" s="1"/>
      <c r="T7899" s="1"/>
      <c r="U7899" s="1"/>
      <c r="V7899" s="1"/>
      <c r="W7899" s="1"/>
      <c r="X7899" s="1"/>
      <c r="Y7899" s="1"/>
      <c r="Z7899" s="1"/>
      <c r="AA7899" s="1"/>
      <c r="AB7899" s="1"/>
    </row>
    <row r="7900" ht="50.25" customHeight="1">
      <c r="A7900" s="12">
        <v>7896.0</v>
      </c>
      <c r="B7900" s="13" t="s">
        <v>7680</v>
      </c>
      <c r="C7900" s="18" t="s">
        <v>7925</v>
      </c>
      <c r="D7900" s="1"/>
      <c r="E7900" s="1"/>
      <c r="F7900" s="1" t="str">
        <f>IFERROR(__xludf.DUMMYFUNCTION("GOOGLETRANSLATE(B7900, ""en"", ""fa"")
"),"درخواست برای معلمان")</f>
        <v>درخواست برای معلمان</v>
      </c>
      <c r="G7900" s="1" t="str">
        <f>IFERROR(__xludf.DUMMYFUNCTION("GOOGLETRANSLATE(C7900, ""en"", ""fa"")
"),"در مورد نقش جوامع یادگیری حرفه ای در ترویج شیوه های آموزشی پاسخگوی فرهنگی بحث کنید.")</f>
        <v>در مورد نقش جوامع یادگیری حرفه ای در ترویج شیوه های آموزشی پاسخگوی فرهنگی بحث کنید.</v>
      </c>
      <c r="H7900" s="1"/>
      <c r="I7900" s="1"/>
      <c r="J7900" s="1"/>
      <c r="K7900" s="1"/>
      <c r="L7900" s="1"/>
      <c r="M7900" s="1"/>
      <c r="N7900" s="1"/>
      <c r="O7900" s="1"/>
      <c r="P7900" s="1"/>
      <c r="Q7900" s="1"/>
      <c r="R7900" s="1"/>
      <c r="S7900" s="1"/>
      <c r="T7900" s="1"/>
      <c r="U7900" s="1"/>
      <c r="V7900" s="1"/>
      <c r="W7900" s="1"/>
      <c r="X7900" s="1"/>
      <c r="Y7900" s="1"/>
      <c r="Z7900" s="1"/>
      <c r="AA7900" s="1"/>
      <c r="AB7900" s="1"/>
    </row>
    <row r="7901" ht="50.25" customHeight="1">
      <c r="A7901" s="12">
        <v>7897.0</v>
      </c>
      <c r="B7901" s="13" t="s">
        <v>7680</v>
      </c>
      <c r="C7901" s="18" t="s">
        <v>7926</v>
      </c>
      <c r="D7901" s="1"/>
      <c r="E7901" s="1"/>
      <c r="F7901" s="1" t="str">
        <f>IFERROR(__xludf.DUMMYFUNCTION("GOOGLETRANSLATE(B7901, ""en"", ""fa"")
"),"درخواست برای معلمان")</f>
        <v>درخواست برای معلمان</v>
      </c>
      <c r="G7901" s="1" t="str">
        <f>IFERROR(__xludf.DUMMYFUNCTION("GOOGLETRANSLATE(C7901, ""en"", ""fa"")
"),"تجربیات خود را از همکاری موفق بین معلمان و محققان آموزشی در یک جامعه یادگیری حرفه ای به اشتراک بگذارید.")</f>
        <v>تجربیات خود را از همکاری موفق بین معلمان و محققان آموزشی در یک جامعه یادگیری حرفه ای به اشتراک بگذارید.</v>
      </c>
      <c r="H7901" s="1"/>
      <c r="I7901" s="1"/>
      <c r="J7901" s="1"/>
      <c r="K7901" s="1"/>
      <c r="L7901" s="1"/>
      <c r="M7901" s="1"/>
      <c r="N7901" s="1"/>
      <c r="O7901" s="1"/>
      <c r="P7901" s="1"/>
      <c r="Q7901" s="1"/>
      <c r="R7901" s="1"/>
      <c r="S7901" s="1"/>
      <c r="T7901" s="1"/>
      <c r="U7901" s="1"/>
      <c r="V7901" s="1"/>
      <c r="W7901" s="1"/>
      <c r="X7901" s="1"/>
      <c r="Y7901" s="1"/>
      <c r="Z7901" s="1"/>
      <c r="AA7901" s="1"/>
      <c r="AB7901" s="1"/>
    </row>
    <row r="7902" ht="50.25" customHeight="1">
      <c r="A7902" s="12">
        <v>7898.0</v>
      </c>
      <c r="B7902" s="13" t="s">
        <v>7680</v>
      </c>
      <c r="C7902" s="18" t="s">
        <v>7927</v>
      </c>
      <c r="D7902" s="1"/>
      <c r="E7902" s="1"/>
      <c r="F7902" s="1" t="str">
        <f>IFERROR(__xludf.DUMMYFUNCTION("GOOGLETRANSLATE(B7902, ""en"", ""fa"")
"),"درخواست برای معلمان")</f>
        <v>درخواست برای معلمان</v>
      </c>
      <c r="G7902" s="1" t="str">
        <f>IFERROR(__xludf.DUMMYFUNCTION("GOOGLETRANSLATE(C7902, ""en"", ""fa"")
"),"استراتژی‌هایی را برای ارتقای صدای دانش‌آموز و عاملیت از طریق تصمیم‌گیری مشترک در یک جامعه یادگیری حرفه‌ای کاوش کنید.")</f>
        <v>استراتژی‌هایی را برای ارتقای صدای دانش‌آموز و عاملیت از طریق تصمیم‌گیری مشترک در یک جامعه یادگیری حرفه‌ای کاوش کنید.</v>
      </c>
      <c r="H7902" s="1"/>
      <c r="I7902" s="1"/>
      <c r="J7902" s="1"/>
      <c r="K7902" s="1"/>
      <c r="L7902" s="1"/>
      <c r="M7902" s="1"/>
      <c r="N7902" s="1"/>
      <c r="O7902" s="1"/>
      <c r="P7902" s="1"/>
      <c r="Q7902" s="1"/>
      <c r="R7902" s="1"/>
      <c r="S7902" s="1"/>
      <c r="T7902" s="1"/>
      <c r="U7902" s="1"/>
      <c r="V7902" s="1"/>
      <c r="W7902" s="1"/>
      <c r="X7902" s="1"/>
      <c r="Y7902" s="1"/>
      <c r="Z7902" s="1"/>
      <c r="AA7902" s="1"/>
      <c r="AB7902" s="1"/>
    </row>
    <row r="7903" ht="50.25" customHeight="1">
      <c r="A7903" s="12">
        <v>7899.0</v>
      </c>
      <c r="B7903" s="13" t="s">
        <v>7680</v>
      </c>
      <c r="C7903" s="18" t="s">
        <v>7928</v>
      </c>
      <c r="D7903" s="1"/>
      <c r="E7903" s="1"/>
      <c r="F7903" s="1" t="str">
        <f>IFERROR(__xludf.DUMMYFUNCTION("GOOGLETRANSLATE(B7903, ""en"", ""fa"")
"),"درخواست برای معلمان")</f>
        <v>درخواست برای معلمان</v>
      </c>
      <c r="G7903" s="1" t="str">
        <f>IFERROR(__xludf.DUMMYFUNCTION("GOOGLETRANSLATE(C7903, ""en"", ""fa"")
"),"در مورد تأثیر شیوه های ارزیابی مشارکتی بر مشارکت و پیشرفت دانش آموزان در یک جامعه یادگیری حرفه ای بحث کنید.")</f>
        <v>در مورد تأثیر شیوه های ارزیابی مشارکتی بر مشارکت و پیشرفت دانش آموزان در یک جامعه یادگیری حرفه ای بحث کنید.</v>
      </c>
      <c r="H7903" s="1"/>
      <c r="I7903" s="1"/>
      <c r="J7903" s="1"/>
      <c r="K7903" s="1"/>
      <c r="L7903" s="1"/>
      <c r="M7903" s="1"/>
      <c r="N7903" s="1"/>
      <c r="O7903" s="1"/>
      <c r="P7903" s="1"/>
      <c r="Q7903" s="1"/>
      <c r="R7903" s="1"/>
      <c r="S7903" s="1"/>
      <c r="T7903" s="1"/>
      <c r="U7903" s="1"/>
      <c r="V7903" s="1"/>
      <c r="W7903" s="1"/>
      <c r="X7903" s="1"/>
      <c r="Y7903" s="1"/>
      <c r="Z7903" s="1"/>
      <c r="AA7903" s="1"/>
      <c r="AB7903" s="1"/>
    </row>
    <row r="7904" ht="50.25" customHeight="1">
      <c r="A7904" s="12">
        <v>7900.0</v>
      </c>
      <c r="B7904" s="13" t="s">
        <v>7680</v>
      </c>
      <c r="C7904" s="18" t="s">
        <v>7929</v>
      </c>
      <c r="D7904" s="1"/>
      <c r="E7904" s="1"/>
      <c r="F7904" s="1" t="str">
        <f>IFERROR(__xludf.DUMMYFUNCTION("GOOGLETRANSLATE(B7904, ""en"", ""fa"")
"),"درخواست برای معلمان")</f>
        <v>درخواست برای معلمان</v>
      </c>
      <c r="G7904" s="1" t="str">
        <f>IFERROR(__xludf.DUMMYFUNCTION("GOOGLETRANSLATE(C7904, ""en"", ""fa"")
"),"بینش خود را در مورد استراتژی های موثر برای تسهیل همکاری مجازی و فرصت های توسعه حرفه ای به اشتراک بگذارید.")</f>
        <v>بینش خود را در مورد استراتژی های موثر برای تسهیل همکاری مجازی و فرصت های توسعه حرفه ای به اشتراک بگذارید.</v>
      </c>
      <c r="H7904" s="1"/>
      <c r="I7904" s="1"/>
      <c r="J7904" s="1"/>
      <c r="K7904" s="1"/>
      <c r="L7904" s="1"/>
      <c r="M7904" s="1"/>
      <c r="N7904" s="1"/>
      <c r="O7904" s="1"/>
      <c r="P7904" s="1"/>
      <c r="Q7904" s="1"/>
      <c r="R7904" s="1"/>
      <c r="S7904" s="1"/>
      <c r="T7904" s="1"/>
      <c r="U7904" s="1"/>
      <c r="V7904" s="1"/>
      <c r="W7904" s="1"/>
      <c r="X7904" s="1"/>
      <c r="Y7904" s="1"/>
      <c r="Z7904" s="1"/>
      <c r="AA7904" s="1"/>
      <c r="AB7904" s="1"/>
    </row>
    <row r="7905" ht="50.25" customHeight="1">
      <c r="A7905" s="12">
        <v>7901.0</v>
      </c>
      <c r="B7905" s="13" t="s">
        <v>7680</v>
      </c>
      <c r="C7905" s="18" t="s">
        <v>7930</v>
      </c>
      <c r="D7905" s="1"/>
      <c r="E7905" s="1"/>
      <c r="F7905" s="1" t="str">
        <f>IFERROR(__xludf.DUMMYFUNCTION("GOOGLETRANSLATE(B7905, ""en"", ""fa"")
"),"درخواست برای معلمان")</f>
        <v>درخواست برای معلمان</v>
      </c>
      <c r="G7905" s="1" t="str">
        <f>IFERROR(__xludf.DUMMYFUNCTION("GOOGLETRANSLATE(C7905, ""en"", ""fa"")
"),"راه‌هایی برای ارتقای همکاری بین مدرسه‌ای و اشتراک دانش در یک جامعه یادگیری حرفه‌ای را بررسی کنید.")</f>
        <v>راه‌هایی برای ارتقای همکاری بین مدرسه‌ای و اشتراک دانش در یک جامعه یادگیری حرفه‌ای را بررسی کنید.</v>
      </c>
      <c r="H7905" s="1"/>
      <c r="I7905" s="1"/>
      <c r="J7905" s="1"/>
      <c r="K7905" s="1"/>
      <c r="L7905" s="1"/>
      <c r="M7905" s="1"/>
      <c r="N7905" s="1"/>
      <c r="O7905" s="1"/>
      <c r="P7905" s="1"/>
      <c r="Q7905" s="1"/>
      <c r="R7905" s="1"/>
      <c r="S7905" s="1"/>
      <c r="T7905" s="1"/>
      <c r="U7905" s="1"/>
      <c r="V7905" s="1"/>
      <c r="W7905" s="1"/>
      <c r="X7905" s="1"/>
      <c r="Y7905" s="1"/>
      <c r="Z7905" s="1"/>
      <c r="AA7905" s="1"/>
      <c r="AB7905" s="1"/>
    </row>
    <row r="7906" ht="50.25" customHeight="1">
      <c r="A7906" s="12">
        <v>7902.0</v>
      </c>
      <c r="B7906" s="13" t="s">
        <v>7680</v>
      </c>
      <c r="C7906" s="18" t="s">
        <v>7931</v>
      </c>
      <c r="D7906" s="1"/>
      <c r="E7906" s="1"/>
      <c r="F7906" s="1" t="str">
        <f>IFERROR(__xludf.DUMMYFUNCTION("GOOGLETRANSLATE(B7906, ""en"", ""fa"")
"),"درخواست برای معلمان")</f>
        <v>درخواست برای معلمان</v>
      </c>
      <c r="G7906" s="1" t="str">
        <f>IFERROR(__xludf.DUMMYFUNCTION("GOOGLETRANSLATE(C7906, ""en"", ""fa"")
"),"در مورد اهمیت ایجاد روابط و اعتماد بین اعضای یک جامعه یادگیری حرفه ای بحث کنید.")</f>
        <v>در مورد اهمیت ایجاد روابط و اعتماد بین اعضای یک جامعه یادگیری حرفه ای بحث کنید.</v>
      </c>
      <c r="H7906" s="1"/>
      <c r="I7906" s="1"/>
      <c r="J7906" s="1"/>
      <c r="K7906" s="1"/>
      <c r="L7906" s="1"/>
      <c r="M7906" s="1"/>
      <c r="N7906" s="1"/>
      <c r="O7906" s="1"/>
      <c r="P7906" s="1"/>
      <c r="Q7906" s="1"/>
      <c r="R7906" s="1"/>
      <c r="S7906" s="1"/>
      <c r="T7906" s="1"/>
      <c r="U7906" s="1"/>
      <c r="V7906" s="1"/>
      <c r="W7906" s="1"/>
      <c r="X7906" s="1"/>
      <c r="Y7906" s="1"/>
      <c r="Z7906" s="1"/>
      <c r="AA7906" s="1"/>
      <c r="AB7906" s="1"/>
    </row>
    <row r="7907" ht="50.25" customHeight="1">
      <c r="A7907" s="12">
        <v>7903.0</v>
      </c>
      <c r="B7907" s="13" t="s">
        <v>7680</v>
      </c>
      <c r="C7907" s="18" t="s">
        <v>7932</v>
      </c>
      <c r="D7907" s="1"/>
      <c r="E7907" s="1"/>
      <c r="F7907" s="1" t="str">
        <f>IFERROR(__xludf.DUMMYFUNCTION("GOOGLETRANSLATE(B7907, ""en"", ""fa"")
"),"درخواست برای معلمان")</f>
        <v>درخواست برای معلمان</v>
      </c>
      <c r="G7907" s="1" t="str">
        <f>IFERROR(__xludf.DUMMYFUNCTION("GOOGLETRANSLATE(C7907, ""en"", ""fa"")
"),"تجربیات خود را از همکاری موفق بین معلمان جریان اصلی و متخصصان زبان انگلیسی در یک جامعه یادگیری حرفه ای به اشتراک بگذارید.")</f>
        <v>تجربیات خود را از همکاری موفق بین معلمان جریان اصلی و متخصصان زبان انگلیسی در یک جامعه یادگیری حرفه ای به اشتراک بگذارید.</v>
      </c>
      <c r="H7907" s="1"/>
      <c r="I7907" s="1"/>
      <c r="J7907" s="1"/>
      <c r="K7907" s="1"/>
      <c r="L7907" s="1"/>
      <c r="M7907" s="1"/>
      <c r="N7907" s="1"/>
      <c r="O7907" s="1"/>
      <c r="P7907" s="1"/>
      <c r="Q7907" s="1"/>
      <c r="R7907" s="1"/>
      <c r="S7907" s="1"/>
      <c r="T7907" s="1"/>
      <c r="U7907" s="1"/>
      <c r="V7907" s="1"/>
      <c r="W7907" s="1"/>
      <c r="X7907" s="1"/>
      <c r="Y7907" s="1"/>
      <c r="Z7907" s="1"/>
      <c r="AA7907" s="1"/>
      <c r="AB7907" s="1"/>
    </row>
    <row r="7908" ht="50.25" customHeight="1">
      <c r="A7908" s="12">
        <v>7904.0</v>
      </c>
      <c r="B7908" s="13" t="s">
        <v>7680</v>
      </c>
      <c r="C7908" s="18" t="s">
        <v>7933</v>
      </c>
      <c r="D7908" s="1"/>
      <c r="E7908" s="1"/>
      <c r="F7908" s="1" t="str">
        <f>IFERROR(__xludf.DUMMYFUNCTION("GOOGLETRANSLATE(B7908, ""en"", ""fa"")
"),"درخواست برای معلمان")</f>
        <v>درخواست برای معلمان</v>
      </c>
      <c r="G7908" s="1" t="str">
        <f>IFERROR(__xludf.DUMMYFUNCTION("GOOGLETRANSLATE(C7908, ""en"", ""fa"")
"),"استراتژی‌هایی را برای ترویج همکاری میان رشته‌ای و یادگیری مبتنی بر پروژه در یک جامعه یادگیری حرفه‌ای کاوش کنید.")</f>
        <v>استراتژی‌هایی را برای ترویج همکاری میان رشته‌ای و یادگیری مبتنی بر پروژه در یک جامعه یادگیری حرفه‌ای کاوش کنید.</v>
      </c>
      <c r="H7908" s="1"/>
      <c r="I7908" s="1"/>
      <c r="J7908" s="1"/>
      <c r="K7908" s="1"/>
      <c r="L7908" s="1"/>
      <c r="M7908" s="1"/>
      <c r="N7908" s="1"/>
      <c r="O7908" s="1"/>
      <c r="P7908" s="1"/>
      <c r="Q7908" s="1"/>
      <c r="R7908" s="1"/>
      <c r="S7908" s="1"/>
      <c r="T7908" s="1"/>
      <c r="U7908" s="1"/>
      <c r="V7908" s="1"/>
      <c r="W7908" s="1"/>
      <c r="X7908" s="1"/>
      <c r="Y7908" s="1"/>
      <c r="Z7908" s="1"/>
      <c r="AA7908" s="1"/>
      <c r="AB7908" s="1"/>
    </row>
    <row r="7909" ht="50.25" customHeight="1">
      <c r="A7909" s="12">
        <v>7905.0</v>
      </c>
      <c r="B7909" s="13" t="s">
        <v>7680</v>
      </c>
      <c r="C7909" s="18" t="s">
        <v>7934</v>
      </c>
      <c r="D7909" s="1"/>
      <c r="E7909" s="1"/>
      <c r="F7909" s="1" t="str">
        <f>IFERROR(__xludf.DUMMYFUNCTION("GOOGLETRANSLATE(B7909, ""en"", ""fa"")
"),"درخواست برای معلمان")</f>
        <v>درخواست برای معلمان</v>
      </c>
      <c r="G7909" s="1" t="str">
        <f>IFERROR(__xludf.DUMMYFUNCTION("GOOGLETRANSLATE(C7909, ""en"", ""fa"")
"),"در مورد نقش جوامع یادگیری حرفه ای در حمایت از پروژه های پژوهشی و تحقیقی تحت رهبری معلم بحث کنید.")</f>
        <v>در مورد نقش جوامع یادگیری حرفه ای در حمایت از پروژه های پژوهشی و تحقیقی تحت رهبری معلم بحث کنید.</v>
      </c>
      <c r="H7909" s="1"/>
      <c r="I7909" s="1"/>
      <c r="J7909" s="1"/>
      <c r="K7909" s="1"/>
      <c r="L7909" s="1"/>
      <c r="M7909" s="1"/>
      <c r="N7909" s="1"/>
      <c r="O7909" s="1"/>
      <c r="P7909" s="1"/>
      <c r="Q7909" s="1"/>
      <c r="R7909" s="1"/>
      <c r="S7909" s="1"/>
      <c r="T7909" s="1"/>
      <c r="U7909" s="1"/>
      <c r="V7909" s="1"/>
      <c r="W7909" s="1"/>
      <c r="X7909" s="1"/>
      <c r="Y7909" s="1"/>
      <c r="Z7909" s="1"/>
      <c r="AA7909" s="1"/>
      <c r="AB7909" s="1"/>
    </row>
    <row r="7910" ht="50.25" customHeight="1">
      <c r="A7910" s="12">
        <v>7906.0</v>
      </c>
      <c r="B7910" s="13" t="s">
        <v>7680</v>
      </c>
      <c r="C7910" s="18" t="s">
        <v>7935</v>
      </c>
      <c r="D7910" s="1"/>
      <c r="E7910" s="1"/>
      <c r="F7910" s="1" t="str">
        <f>IFERROR(__xludf.DUMMYFUNCTION("GOOGLETRANSLATE(B7910, ""en"", ""fa"")
"),"درخواست برای معلمان")</f>
        <v>درخواست برای معلمان</v>
      </c>
      <c r="G7910" s="1" t="str">
        <f>IFERROR(__xludf.DUMMYFUNCTION("GOOGLETRANSLATE(C7910, ""en"", ""fa"")
"),"بینش خود را در مورد استراتژی های موثر برای ادغام یادگیری و رفاه اجتماعی-عاطفی در یک جامعه یادگیری حرفه ای به اشتراک بگذارید.")</f>
        <v>بینش خود را در مورد استراتژی های موثر برای ادغام یادگیری و رفاه اجتماعی-عاطفی در یک جامعه یادگیری حرفه ای به اشتراک بگذارید.</v>
      </c>
      <c r="H7910" s="1"/>
      <c r="I7910" s="1"/>
      <c r="J7910" s="1"/>
      <c r="K7910" s="1"/>
      <c r="L7910" s="1"/>
      <c r="M7910" s="1"/>
      <c r="N7910" s="1"/>
      <c r="O7910" s="1"/>
      <c r="P7910" s="1"/>
      <c r="Q7910" s="1"/>
      <c r="R7910" s="1"/>
      <c r="S7910" s="1"/>
      <c r="T7910" s="1"/>
      <c r="U7910" s="1"/>
      <c r="V7910" s="1"/>
      <c r="W7910" s="1"/>
      <c r="X7910" s="1"/>
      <c r="Y7910" s="1"/>
      <c r="Z7910" s="1"/>
      <c r="AA7910" s="1"/>
      <c r="AB7910" s="1"/>
    </row>
    <row r="7911" ht="50.25" customHeight="1">
      <c r="A7911" s="12">
        <v>7907.0</v>
      </c>
      <c r="B7911" s="13" t="s">
        <v>7680</v>
      </c>
      <c r="C7911" s="18" t="s">
        <v>7936</v>
      </c>
      <c r="D7911" s="1"/>
      <c r="E7911" s="1"/>
      <c r="F7911" s="1" t="str">
        <f>IFERROR(__xludf.DUMMYFUNCTION("GOOGLETRANSLATE(B7911, ""en"", ""fa"")
"),"درخواست برای معلمان")</f>
        <v>درخواست برای معلمان</v>
      </c>
      <c r="G7911" s="1" t="str">
        <f>IFERROR(__xludf.DUMMYFUNCTION("GOOGLETRANSLATE(C7911, ""en"", ""fa"")
"),"راه‌هایی را برای مشارکت رهبران و مدیران آموزشی در تلاش‌های مشترک در یک جامعه یادگیری حرفه‌ای کاوش کنید.")</f>
        <v>راه‌هایی را برای مشارکت رهبران و مدیران آموزشی در تلاش‌های مشترک در یک جامعه یادگیری حرفه‌ای کاوش کنید.</v>
      </c>
      <c r="H7911" s="1"/>
      <c r="I7911" s="1"/>
      <c r="J7911" s="1"/>
      <c r="K7911" s="1"/>
      <c r="L7911" s="1"/>
      <c r="M7911" s="1"/>
      <c r="N7911" s="1"/>
      <c r="O7911" s="1"/>
      <c r="P7911" s="1"/>
      <c r="Q7911" s="1"/>
      <c r="R7911" s="1"/>
      <c r="S7911" s="1"/>
      <c r="T7911" s="1"/>
      <c r="U7911" s="1"/>
      <c r="V7911" s="1"/>
      <c r="W7911" s="1"/>
      <c r="X7911" s="1"/>
      <c r="Y7911" s="1"/>
      <c r="Z7911" s="1"/>
      <c r="AA7911" s="1"/>
      <c r="AB7911" s="1"/>
    </row>
    <row r="7912" ht="50.25" customHeight="1">
      <c r="A7912" s="12">
        <v>7908.0</v>
      </c>
      <c r="B7912" s="13" t="s">
        <v>7680</v>
      </c>
      <c r="C7912" s="18" t="s">
        <v>7937</v>
      </c>
      <c r="D7912" s="1"/>
      <c r="E7912" s="1"/>
      <c r="F7912" s="1" t="str">
        <f>IFERROR(__xludf.DUMMYFUNCTION("GOOGLETRANSLATE(B7912, ""en"", ""fa"")
"),"درخواست برای معلمان")</f>
        <v>درخواست برای معلمان</v>
      </c>
      <c r="G7912" s="1" t="str">
        <f>IFERROR(__xludf.DUMMYFUNCTION("GOOGLETRANSLATE(C7912, ""en"", ""fa"")
"),"درباره تأثیر نقشه‌برداری و همسویی برنامه درسی مشارکتی بر انسجام آموزشی و پیشرفت دانش‌آموز بحث کنید.")</f>
        <v>درباره تأثیر نقشه‌برداری و همسویی برنامه درسی مشارکتی بر انسجام آموزشی و پیشرفت دانش‌آموز بحث کنید.</v>
      </c>
      <c r="H7912" s="1"/>
      <c r="I7912" s="1"/>
      <c r="J7912" s="1"/>
      <c r="K7912" s="1"/>
      <c r="L7912" s="1"/>
      <c r="M7912" s="1"/>
      <c r="N7912" s="1"/>
      <c r="O7912" s="1"/>
      <c r="P7912" s="1"/>
      <c r="Q7912" s="1"/>
      <c r="R7912" s="1"/>
      <c r="S7912" s="1"/>
      <c r="T7912" s="1"/>
      <c r="U7912" s="1"/>
      <c r="V7912" s="1"/>
      <c r="W7912" s="1"/>
      <c r="X7912" s="1"/>
      <c r="Y7912" s="1"/>
      <c r="Z7912" s="1"/>
      <c r="AA7912" s="1"/>
      <c r="AB7912" s="1"/>
    </row>
    <row r="7913" ht="50.25" customHeight="1">
      <c r="A7913" s="12">
        <v>7909.0</v>
      </c>
      <c r="B7913" s="13" t="s">
        <v>7680</v>
      </c>
      <c r="C7913" s="18" t="s">
        <v>7938</v>
      </c>
      <c r="D7913" s="1"/>
      <c r="E7913" s="1"/>
      <c r="F7913" s="1" t="str">
        <f>IFERROR(__xludf.DUMMYFUNCTION("GOOGLETRANSLATE(B7913, ""en"", ""fa"")
"),"درخواست برای معلمان")</f>
        <v>درخواست برای معلمان</v>
      </c>
      <c r="G7913" s="1" t="str">
        <f>IFERROR(__xludf.DUMMYFUNCTION("GOOGLETRANSLATE(C7913, ""en"", ""fa"")
"),"تجربیات خود را از همکاری موفق بین معلمان کلاس درس و مربیان آموزشی در یک جامعه یادگیری حرفه ای به اشتراک بگذارید.")</f>
        <v>تجربیات خود را از همکاری موفق بین معلمان کلاس درس و مربیان آموزشی در یک جامعه یادگیری حرفه ای به اشتراک بگذارید.</v>
      </c>
      <c r="H7913" s="1"/>
      <c r="I7913" s="1"/>
      <c r="J7913" s="1"/>
      <c r="K7913" s="1"/>
      <c r="L7913" s="1"/>
      <c r="M7913" s="1"/>
      <c r="N7913" s="1"/>
      <c r="O7913" s="1"/>
      <c r="P7913" s="1"/>
      <c r="Q7913" s="1"/>
      <c r="R7913" s="1"/>
      <c r="S7913" s="1"/>
      <c r="T7913" s="1"/>
      <c r="U7913" s="1"/>
      <c r="V7913" s="1"/>
      <c r="W7913" s="1"/>
      <c r="X7913" s="1"/>
      <c r="Y7913" s="1"/>
      <c r="Z7913" s="1"/>
      <c r="AA7913" s="1"/>
      <c r="AB7913" s="1"/>
    </row>
    <row r="7914" ht="50.25" customHeight="1">
      <c r="A7914" s="12">
        <v>7910.0</v>
      </c>
      <c r="B7914" s="13" t="s">
        <v>7680</v>
      </c>
      <c r="C7914" s="18" t="s">
        <v>7939</v>
      </c>
      <c r="D7914" s="1"/>
      <c r="E7914" s="1"/>
      <c r="F7914" s="1" t="str">
        <f>IFERROR(__xludf.DUMMYFUNCTION("GOOGLETRANSLATE(B7914, ""en"", ""fa"")
"),"درخواست برای معلمان")</f>
        <v>درخواست برای معلمان</v>
      </c>
      <c r="G7914" s="1" t="str">
        <f>IFERROR(__xludf.DUMMYFUNCTION("GOOGLETRANSLATE(C7914, ""en"", ""fa"")
"),"استراتژی‌هایی را برای ترویج شیوه‌های فراگیر و رسیدگی به نیازهای یادگیری متنوع در یک جامعه یادگیری حرفه‌ای کاوش کنید.")</f>
        <v>استراتژی‌هایی را برای ترویج شیوه‌های فراگیر و رسیدگی به نیازهای یادگیری متنوع در یک جامعه یادگیری حرفه‌ای کاوش کنید.</v>
      </c>
      <c r="H7914" s="1"/>
      <c r="I7914" s="1"/>
      <c r="J7914" s="1"/>
      <c r="K7914" s="1"/>
      <c r="L7914" s="1"/>
      <c r="M7914" s="1"/>
      <c r="N7914" s="1"/>
      <c r="O7914" s="1"/>
      <c r="P7914" s="1"/>
      <c r="Q7914" s="1"/>
      <c r="R7914" s="1"/>
      <c r="S7914" s="1"/>
      <c r="T7914" s="1"/>
      <c r="U7914" s="1"/>
      <c r="V7914" s="1"/>
      <c r="W7914" s="1"/>
      <c r="X7914" s="1"/>
      <c r="Y7914" s="1"/>
      <c r="Z7914" s="1"/>
      <c r="AA7914" s="1"/>
      <c r="AB7914" s="1"/>
    </row>
    <row r="7915" ht="50.25" customHeight="1">
      <c r="A7915" s="12">
        <v>7911.0</v>
      </c>
      <c r="B7915" s="13" t="s">
        <v>7680</v>
      </c>
      <c r="C7915" s="18" t="s">
        <v>7940</v>
      </c>
      <c r="D7915" s="1"/>
      <c r="E7915" s="1"/>
      <c r="F7915" s="1" t="str">
        <f>IFERROR(__xludf.DUMMYFUNCTION("GOOGLETRANSLATE(B7915, ""en"", ""fa"")
"),"درخواست برای معلمان")</f>
        <v>درخواست برای معلمان</v>
      </c>
      <c r="G7915" s="1" t="str">
        <f>IFERROR(__xludf.DUMMYFUNCTION("GOOGLETRANSLATE(C7915, ""en"", ""fa"")
"),"در مورد اهمیت جوامع یادگیری حرفه ای متمرکز بر برابری در پرداختن به نابرابری های آموزشی سیستمی بحث کنید.")</f>
        <v>در مورد اهمیت جوامع یادگیری حرفه ای متمرکز بر برابری در پرداختن به نابرابری های آموزشی سیستمی بحث کنید.</v>
      </c>
      <c r="H7915" s="1"/>
      <c r="I7915" s="1"/>
      <c r="J7915" s="1"/>
      <c r="K7915" s="1"/>
      <c r="L7915" s="1"/>
      <c r="M7915" s="1"/>
      <c r="N7915" s="1"/>
      <c r="O7915" s="1"/>
      <c r="P7915" s="1"/>
      <c r="Q7915" s="1"/>
      <c r="R7915" s="1"/>
      <c r="S7915" s="1"/>
      <c r="T7915" s="1"/>
      <c r="U7915" s="1"/>
      <c r="V7915" s="1"/>
      <c r="W7915" s="1"/>
      <c r="X7915" s="1"/>
      <c r="Y7915" s="1"/>
      <c r="Z7915" s="1"/>
      <c r="AA7915" s="1"/>
      <c r="AB7915" s="1"/>
    </row>
    <row r="7916" ht="50.25" customHeight="1">
      <c r="A7916" s="12">
        <v>7912.0</v>
      </c>
      <c r="B7916" s="13" t="s">
        <v>7680</v>
      </c>
      <c r="C7916" s="18" t="s">
        <v>7941</v>
      </c>
      <c r="D7916" s="1"/>
      <c r="E7916" s="1"/>
      <c r="F7916" s="1" t="str">
        <f>IFERROR(__xludf.DUMMYFUNCTION("GOOGLETRANSLATE(B7916, ""en"", ""fa"")
"),"درخواست برای معلمان")</f>
        <v>درخواست برای معلمان</v>
      </c>
      <c r="G7916" s="1" t="str">
        <f>IFERROR(__xludf.DUMMYFUNCTION("GOOGLETRANSLATE(C7916, ""en"", ""fa"")
"),"بینش خود را در مورد استراتژی های موثر برای تسهیل همکاری مجازی و شبکه سازی بین مربیان به اشتراک بگذارید.")</f>
        <v>بینش خود را در مورد استراتژی های موثر برای تسهیل همکاری مجازی و شبکه سازی بین مربیان به اشتراک بگذارید.</v>
      </c>
      <c r="H7916" s="1"/>
      <c r="I7916" s="1"/>
      <c r="J7916" s="1"/>
      <c r="K7916" s="1"/>
      <c r="L7916" s="1"/>
      <c r="M7916" s="1"/>
      <c r="N7916" s="1"/>
      <c r="O7916" s="1"/>
      <c r="P7916" s="1"/>
      <c r="Q7916" s="1"/>
      <c r="R7916" s="1"/>
      <c r="S7916" s="1"/>
      <c r="T7916" s="1"/>
      <c r="U7916" s="1"/>
      <c r="V7916" s="1"/>
      <c r="W7916" s="1"/>
      <c r="X7916" s="1"/>
      <c r="Y7916" s="1"/>
      <c r="Z7916" s="1"/>
      <c r="AA7916" s="1"/>
      <c r="AB7916" s="1"/>
    </row>
    <row r="7917" ht="50.25" customHeight="1">
      <c r="A7917" s="12">
        <v>7913.0</v>
      </c>
      <c r="B7917" s="13" t="s">
        <v>7680</v>
      </c>
      <c r="C7917" s="18" t="s">
        <v>7942</v>
      </c>
      <c r="D7917" s="1"/>
      <c r="E7917" s="1"/>
      <c r="F7917" s="1" t="str">
        <f>IFERROR(__xludf.DUMMYFUNCTION("GOOGLETRANSLATE(B7917, ""en"", ""fa"")
"),"درخواست برای معلمان")</f>
        <v>درخواست برای معلمان</v>
      </c>
      <c r="G7917" s="1" t="str">
        <f>IFERROR(__xludf.DUMMYFUNCTION("GOOGLETRANSLATE(C7917, ""en"", ""fa"")
"),"راه‌هایی را برای ترویج حل مسئله و نوآوری مشترک در یک جامعه یادگیری حرفه‌ای کاوش کنید.")</f>
        <v>راه‌هایی را برای ترویج حل مسئله و نوآوری مشترک در یک جامعه یادگیری حرفه‌ای کاوش کنید.</v>
      </c>
      <c r="H7917" s="1"/>
      <c r="I7917" s="1"/>
      <c r="J7917" s="1"/>
      <c r="K7917" s="1"/>
      <c r="L7917" s="1"/>
      <c r="M7917" s="1"/>
      <c r="N7917" s="1"/>
      <c r="O7917" s="1"/>
      <c r="P7917" s="1"/>
      <c r="Q7917" s="1"/>
      <c r="R7917" s="1"/>
      <c r="S7917" s="1"/>
      <c r="T7917" s="1"/>
      <c r="U7917" s="1"/>
      <c r="V7917" s="1"/>
      <c r="W7917" s="1"/>
      <c r="X7917" s="1"/>
      <c r="Y7917" s="1"/>
      <c r="Z7917" s="1"/>
      <c r="AA7917" s="1"/>
      <c r="AB7917" s="1"/>
    </row>
    <row r="7918" ht="50.25" customHeight="1">
      <c r="A7918" s="12">
        <v>7914.0</v>
      </c>
      <c r="B7918" s="13" t="s">
        <v>7680</v>
      </c>
      <c r="C7918" s="18" t="s">
        <v>7943</v>
      </c>
      <c r="D7918" s="1"/>
      <c r="E7918" s="1"/>
      <c r="F7918" s="1" t="str">
        <f>IFERROR(__xludf.DUMMYFUNCTION("GOOGLETRANSLATE(B7918, ""en"", ""fa"")
"),"درخواست برای معلمان")</f>
        <v>درخواست برای معلمان</v>
      </c>
      <c r="G7918" s="1" t="str">
        <f>IFERROR(__xludf.DUMMYFUNCTION("GOOGLETRANSLATE(C7918, ""en"", ""fa"")
"),"در مورد نقش جوامع یادگیری حرفه ای در حمایت از حفظ معلم و رشد حرفه ای بحث کنید.")</f>
        <v>در مورد نقش جوامع یادگیری حرفه ای در حمایت از حفظ معلم و رشد حرفه ای بحث کنید.</v>
      </c>
      <c r="H7918" s="1"/>
      <c r="I7918" s="1"/>
      <c r="J7918" s="1"/>
      <c r="K7918" s="1"/>
      <c r="L7918" s="1"/>
      <c r="M7918" s="1"/>
      <c r="N7918" s="1"/>
      <c r="O7918" s="1"/>
      <c r="P7918" s="1"/>
      <c r="Q7918" s="1"/>
      <c r="R7918" s="1"/>
      <c r="S7918" s="1"/>
      <c r="T7918" s="1"/>
      <c r="U7918" s="1"/>
      <c r="V7918" s="1"/>
      <c r="W7918" s="1"/>
      <c r="X7918" s="1"/>
      <c r="Y7918" s="1"/>
      <c r="Z7918" s="1"/>
      <c r="AA7918" s="1"/>
      <c r="AB7918" s="1"/>
    </row>
    <row r="7919" ht="50.25" customHeight="1">
      <c r="A7919" s="12">
        <v>7915.0</v>
      </c>
      <c r="B7919" s="13" t="s">
        <v>7680</v>
      </c>
      <c r="C7919" s="18" t="s">
        <v>7944</v>
      </c>
      <c r="D7919" s="1"/>
      <c r="E7919" s="1"/>
      <c r="F7919" s="1" t="str">
        <f>IFERROR(__xludf.DUMMYFUNCTION("GOOGLETRANSLATE(B7919, ""en"", ""fa"")
"),"درخواست برای معلمان")</f>
        <v>درخواست برای معلمان</v>
      </c>
      <c r="G7919" s="1" t="str">
        <f>IFERROR(__xludf.DUMMYFUNCTION("GOOGLETRANSLATE(C7919, ""en"", ""fa"")
"),"استراتژی‌هایی را برای استفاده از منابع و مشارکت‌های اجتماعی برای تقویت یادگیری مشارکتی در یک جامعه یادگیری حرفه‌ای بررسی کنید.")</f>
        <v>استراتژی‌هایی را برای استفاده از منابع و مشارکت‌های اجتماعی برای تقویت یادگیری مشارکتی در یک جامعه یادگیری حرفه‌ای بررسی کنید.</v>
      </c>
      <c r="H7919" s="1"/>
      <c r="I7919" s="1"/>
      <c r="J7919" s="1"/>
      <c r="K7919" s="1"/>
      <c r="L7919" s="1"/>
      <c r="M7919" s="1"/>
      <c r="N7919" s="1"/>
      <c r="O7919" s="1"/>
      <c r="P7919" s="1"/>
      <c r="Q7919" s="1"/>
      <c r="R7919" s="1"/>
      <c r="S7919" s="1"/>
      <c r="T7919" s="1"/>
      <c r="U7919" s="1"/>
      <c r="V7919" s="1"/>
      <c r="W7919" s="1"/>
      <c r="X7919" s="1"/>
      <c r="Y7919" s="1"/>
      <c r="Z7919" s="1"/>
      <c r="AA7919" s="1"/>
      <c r="AB7919" s="1"/>
    </row>
    <row r="7920" ht="50.25" customHeight="1">
      <c r="A7920" s="12">
        <v>7916.0</v>
      </c>
      <c r="B7920" s="13" t="s">
        <v>7680</v>
      </c>
      <c r="C7920" s="18" t="s">
        <v>7945</v>
      </c>
      <c r="D7920" s="1"/>
      <c r="E7920" s="1"/>
      <c r="F7920" s="1" t="str">
        <f>IFERROR(__xludf.DUMMYFUNCTION("GOOGLETRANSLATE(B7920, ""en"", ""fa"")
"),"درخواست برای معلمان")</f>
        <v>درخواست برای معلمان</v>
      </c>
      <c r="G7920" s="1" t="str">
        <f>IFERROR(__xludf.DUMMYFUNCTION("GOOGLETRANSLATE(C7920, ""en"", ""fa"")
"),"در مورد تأثیر تعدیل ارزیابی مشارکتی در حصول اطمینان از شیوه های درجه بندی منصفانه و سازگار بحث کنید.")</f>
        <v>در مورد تأثیر تعدیل ارزیابی مشارکتی در حصول اطمینان از شیوه های درجه بندی منصفانه و سازگار بحث کنید.</v>
      </c>
      <c r="H7920" s="1"/>
      <c r="I7920" s="1"/>
      <c r="J7920" s="1"/>
      <c r="K7920" s="1"/>
      <c r="L7920" s="1"/>
      <c r="M7920" s="1"/>
      <c r="N7920" s="1"/>
      <c r="O7920" s="1"/>
      <c r="P7920" s="1"/>
      <c r="Q7920" s="1"/>
      <c r="R7920" s="1"/>
      <c r="S7920" s="1"/>
      <c r="T7920" s="1"/>
      <c r="U7920" s="1"/>
      <c r="V7920" s="1"/>
      <c r="W7920" s="1"/>
      <c r="X7920" s="1"/>
      <c r="Y7920" s="1"/>
      <c r="Z7920" s="1"/>
      <c r="AA7920" s="1"/>
      <c r="AB7920" s="1"/>
    </row>
    <row r="7921" ht="50.25" customHeight="1">
      <c r="A7921" s="12">
        <v>7917.0</v>
      </c>
      <c r="B7921" s="13" t="s">
        <v>7680</v>
      </c>
      <c r="C7921" s="18" t="s">
        <v>7946</v>
      </c>
      <c r="D7921" s="1"/>
      <c r="E7921" s="1"/>
      <c r="F7921" s="1" t="str">
        <f>IFERROR(__xludf.DUMMYFUNCTION("GOOGLETRANSLATE(B7921, ""en"", ""fa"")
"),"درخواست برای معلمان")</f>
        <v>درخواست برای معلمان</v>
      </c>
      <c r="G7921" s="1" t="str">
        <f>IFERROR(__xludf.DUMMYFUNCTION("GOOGLETRANSLATE(C7921, ""en"", ""fa"")
"),"بینش خود را در مورد استراتژی های موثر برای ترویج فرهنگ ریسک پذیری و آزمایش در یک جامعه یادگیری حرفه ای به اشتراک بگذارید.")</f>
        <v>بینش خود را در مورد استراتژی های موثر برای ترویج فرهنگ ریسک پذیری و آزمایش در یک جامعه یادگیری حرفه ای به اشتراک بگذارید.</v>
      </c>
      <c r="H7921" s="1"/>
      <c r="I7921" s="1"/>
      <c r="J7921" s="1"/>
      <c r="K7921" s="1"/>
      <c r="L7921" s="1"/>
      <c r="M7921" s="1"/>
      <c r="N7921" s="1"/>
      <c r="O7921" s="1"/>
      <c r="P7921" s="1"/>
      <c r="Q7921" s="1"/>
      <c r="R7921" s="1"/>
      <c r="S7921" s="1"/>
      <c r="T7921" s="1"/>
      <c r="U7921" s="1"/>
      <c r="V7921" s="1"/>
      <c r="W7921" s="1"/>
      <c r="X7921" s="1"/>
      <c r="Y7921" s="1"/>
      <c r="Z7921" s="1"/>
      <c r="AA7921" s="1"/>
      <c r="AB7921" s="1"/>
    </row>
    <row r="7922" ht="50.25" customHeight="1">
      <c r="A7922" s="12">
        <v>7918.0</v>
      </c>
      <c r="B7922" s="13" t="s">
        <v>7680</v>
      </c>
      <c r="C7922" s="18" t="s">
        <v>7947</v>
      </c>
      <c r="D7922" s="1"/>
      <c r="E7922" s="1"/>
      <c r="F7922" s="1" t="str">
        <f>IFERROR(__xludf.DUMMYFUNCTION("GOOGLETRANSLATE(B7922, ""en"", ""fa"")
"),"درخواست برای معلمان")</f>
        <v>درخواست برای معلمان</v>
      </c>
      <c r="G7922" s="1" t="str">
        <f>IFERROR(__xludf.DUMMYFUNCTION("GOOGLETRANSLATE(C7922, ""en"", ""fa"")
"),"راه‌هایی را برای ادغام ابتکارات عدالت اجتماعی و حمایت در یک جامعه یادگیری حرفه‌ای کاوش کنید.")</f>
        <v>راه‌هایی را برای ادغام ابتکارات عدالت اجتماعی و حمایت در یک جامعه یادگیری حرفه‌ای کاوش کنید.</v>
      </c>
      <c r="H7922" s="1"/>
      <c r="I7922" s="1"/>
      <c r="J7922" s="1"/>
      <c r="K7922" s="1"/>
      <c r="L7922" s="1"/>
      <c r="M7922" s="1"/>
      <c r="N7922" s="1"/>
      <c r="O7922" s="1"/>
      <c r="P7922" s="1"/>
      <c r="Q7922" s="1"/>
      <c r="R7922" s="1"/>
      <c r="S7922" s="1"/>
      <c r="T7922" s="1"/>
      <c r="U7922" s="1"/>
      <c r="V7922" s="1"/>
      <c r="W7922" s="1"/>
      <c r="X7922" s="1"/>
      <c r="Y7922" s="1"/>
      <c r="Z7922" s="1"/>
      <c r="AA7922" s="1"/>
      <c r="AB7922" s="1"/>
    </row>
    <row r="7923" ht="50.25" customHeight="1">
      <c r="A7923" s="12">
        <v>7919.0</v>
      </c>
      <c r="B7923" s="13" t="s">
        <v>7680</v>
      </c>
      <c r="C7923" s="18" t="s">
        <v>7948</v>
      </c>
      <c r="D7923" s="1"/>
      <c r="E7923" s="1"/>
      <c r="F7923" s="1" t="str">
        <f>IFERROR(__xludf.DUMMYFUNCTION("GOOGLETRANSLATE(B7923, ""en"", ""fa"")
"),"درخواست برای معلمان")</f>
        <v>درخواست برای معلمان</v>
      </c>
      <c r="G7923" s="1" t="str">
        <f>IFERROR(__xludf.DUMMYFUNCTION("GOOGLETRANSLATE(C7923, ""en"", ""fa"")
"),"در مورد اهمیت فرصت های توسعه حرفه ای متمایز در یک جامعه یادگیری حرفه ای بحث کنید.")</f>
        <v>در مورد اهمیت فرصت های توسعه حرفه ای متمایز در یک جامعه یادگیری حرفه ای بحث کنید.</v>
      </c>
      <c r="H7923" s="1"/>
      <c r="I7923" s="1"/>
      <c r="J7923" s="1"/>
      <c r="K7923" s="1"/>
      <c r="L7923" s="1"/>
      <c r="M7923" s="1"/>
      <c r="N7923" s="1"/>
      <c r="O7923" s="1"/>
      <c r="P7923" s="1"/>
      <c r="Q7923" s="1"/>
      <c r="R7923" s="1"/>
      <c r="S7923" s="1"/>
      <c r="T7923" s="1"/>
      <c r="U7923" s="1"/>
      <c r="V7923" s="1"/>
      <c r="W7923" s="1"/>
      <c r="X7923" s="1"/>
      <c r="Y7923" s="1"/>
      <c r="Z7923" s="1"/>
      <c r="AA7923" s="1"/>
      <c r="AB7923" s="1"/>
    </row>
    <row r="7924" ht="50.25" customHeight="1">
      <c r="A7924" s="12">
        <v>7920.0</v>
      </c>
      <c r="B7924" s="13" t="s">
        <v>7680</v>
      </c>
      <c r="C7924" s="18" t="s">
        <v>7949</v>
      </c>
      <c r="D7924" s="1"/>
      <c r="E7924" s="1"/>
      <c r="F7924" s="1" t="str">
        <f>IFERROR(__xludf.DUMMYFUNCTION("GOOGLETRANSLATE(B7924, ""en"", ""fa"")
"),"درخواست برای معلمان")</f>
        <v>درخواست برای معلمان</v>
      </c>
      <c r="G7924" s="1" t="str">
        <f>IFERROR(__xludf.DUMMYFUNCTION("GOOGLETRANSLATE(C7924, ""en"", ""fa"")
"),"تجربیات خود را در مورد همکاری موفق بین مربیان و خانواده ها در یک جامعه یادگیری حرفه ای به اشتراک بگذارید.")</f>
        <v>تجربیات خود را در مورد همکاری موفق بین مربیان و خانواده ها در یک جامعه یادگیری حرفه ای به اشتراک بگذارید.</v>
      </c>
      <c r="H7924" s="1"/>
      <c r="I7924" s="1"/>
      <c r="J7924" s="1"/>
      <c r="K7924" s="1"/>
      <c r="L7924" s="1"/>
      <c r="M7924" s="1"/>
      <c r="N7924" s="1"/>
      <c r="O7924" s="1"/>
      <c r="P7924" s="1"/>
      <c r="Q7924" s="1"/>
      <c r="R7924" s="1"/>
      <c r="S7924" s="1"/>
      <c r="T7924" s="1"/>
      <c r="U7924" s="1"/>
      <c r="V7924" s="1"/>
      <c r="W7924" s="1"/>
      <c r="X7924" s="1"/>
      <c r="Y7924" s="1"/>
      <c r="Z7924" s="1"/>
      <c r="AA7924" s="1"/>
      <c r="AB7924" s="1"/>
    </row>
    <row r="7925" ht="50.25" customHeight="1">
      <c r="A7925" s="12">
        <v>7921.0</v>
      </c>
      <c r="B7925" s="13" t="s">
        <v>7680</v>
      </c>
      <c r="C7925" s="18" t="s">
        <v>7950</v>
      </c>
      <c r="D7925" s="1"/>
      <c r="E7925" s="1"/>
      <c r="F7925" s="1" t="str">
        <f>IFERROR(__xludf.DUMMYFUNCTION("GOOGLETRANSLATE(B7925, ""en"", ""fa"")
"),"درخواست برای معلمان")</f>
        <v>درخواست برای معلمان</v>
      </c>
      <c r="G7925" s="1" t="str">
        <f>IFERROR(__xludf.DUMMYFUNCTION("GOOGLETRANSLATE(C7925, ""en"", ""fa"")
"),"استراتژی‌هایی را برای ارتقای همکاری میان پایه و بیان عمودی در یک جامعه یادگیری حرفه‌ای کاوش کنید.")</f>
        <v>استراتژی‌هایی را برای ارتقای همکاری میان پایه و بیان عمودی در یک جامعه یادگیری حرفه‌ای کاوش کنید.</v>
      </c>
      <c r="H7925" s="1"/>
      <c r="I7925" s="1"/>
      <c r="J7925" s="1"/>
      <c r="K7925" s="1"/>
      <c r="L7925" s="1"/>
      <c r="M7925" s="1"/>
      <c r="N7925" s="1"/>
      <c r="O7925" s="1"/>
      <c r="P7925" s="1"/>
      <c r="Q7925" s="1"/>
      <c r="R7925" s="1"/>
      <c r="S7925" s="1"/>
      <c r="T7925" s="1"/>
      <c r="U7925" s="1"/>
      <c r="V7925" s="1"/>
      <c r="W7925" s="1"/>
      <c r="X7925" s="1"/>
      <c r="Y7925" s="1"/>
      <c r="Z7925" s="1"/>
      <c r="AA7925" s="1"/>
      <c r="AB7925" s="1"/>
    </row>
    <row r="7926" ht="50.25" customHeight="1">
      <c r="A7926" s="12">
        <v>7922.0</v>
      </c>
      <c r="B7926" s="13" t="s">
        <v>7680</v>
      </c>
      <c r="C7926" s="18" t="s">
        <v>7951</v>
      </c>
      <c r="D7926" s="1"/>
      <c r="E7926" s="1"/>
      <c r="F7926" s="1" t="str">
        <f>IFERROR(__xludf.DUMMYFUNCTION("GOOGLETRANSLATE(B7926, ""en"", ""fa"")
"),"درخواست برای معلمان")</f>
        <v>درخواست برای معلمان</v>
      </c>
      <c r="G7926" s="1" t="str">
        <f>IFERROR(__xludf.DUMMYFUNCTION("GOOGLETRANSLATE(C7926, ""en"", ""fa"")
"),"در مورد نقش جوامع یادگیری حرفه ای در حمایت از خود انعکاس معلم و توسعه ذهنیت رشد بحث کنید.")</f>
        <v>در مورد نقش جوامع یادگیری حرفه ای در حمایت از خود انعکاس معلم و توسعه ذهنیت رشد بحث کنید.</v>
      </c>
      <c r="H7926" s="1"/>
      <c r="I7926" s="1"/>
      <c r="J7926" s="1"/>
      <c r="K7926" s="1"/>
      <c r="L7926" s="1"/>
      <c r="M7926" s="1"/>
      <c r="N7926" s="1"/>
      <c r="O7926" s="1"/>
      <c r="P7926" s="1"/>
      <c r="Q7926" s="1"/>
      <c r="R7926" s="1"/>
      <c r="S7926" s="1"/>
      <c r="T7926" s="1"/>
      <c r="U7926" s="1"/>
      <c r="V7926" s="1"/>
      <c r="W7926" s="1"/>
      <c r="X7926" s="1"/>
      <c r="Y7926" s="1"/>
      <c r="Z7926" s="1"/>
      <c r="AA7926" s="1"/>
      <c r="AB7926" s="1"/>
    </row>
    <row r="7927" ht="50.25" customHeight="1">
      <c r="A7927" s="12">
        <v>7923.0</v>
      </c>
      <c r="B7927" s="13" t="s">
        <v>7680</v>
      </c>
      <c r="C7927" s="18" t="s">
        <v>7952</v>
      </c>
      <c r="D7927" s="1"/>
      <c r="E7927" s="1"/>
      <c r="F7927" s="1" t="str">
        <f>IFERROR(__xludf.DUMMYFUNCTION("GOOGLETRANSLATE(B7927, ""en"", ""fa"")
"),"درخواست برای معلمان")</f>
        <v>درخواست برای معلمان</v>
      </c>
      <c r="G7927" s="1" t="str">
        <f>IFERROR(__xludf.DUMMYFUNCTION("GOOGLETRANSLATE(C7927, ""en"", ""fa"")
"),"بینش خود را در مورد استراتژی های موثر برای تسهیل مطالعه مشترک درسی و مشاهده همتا در یک جامعه یادگیری حرفه ای به اشتراک بگذارید.")</f>
        <v>بینش خود را در مورد استراتژی های موثر برای تسهیل مطالعه مشترک درسی و مشاهده همتا در یک جامعه یادگیری حرفه ای به اشتراک بگذارید.</v>
      </c>
      <c r="H7927" s="1"/>
      <c r="I7927" s="1"/>
      <c r="J7927" s="1"/>
      <c r="K7927" s="1"/>
      <c r="L7927" s="1"/>
      <c r="M7927" s="1"/>
      <c r="N7927" s="1"/>
      <c r="O7927" s="1"/>
      <c r="P7927" s="1"/>
      <c r="Q7927" s="1"/>
      <c r="R7927" s="1"/>
      <c r="S7927" s="1"/>
      <c r="T7927" s="1"/>
      <c r="U7927" s="1"/>
      <c r="V7927" s="1"/>
      <c r="W7927" s="1"/>
      <c r="X7927" s="1"/>
      <c r="Y7927" s="1"/>
      <c r="Z7927" s="1"/>
      <c r="AA7927" s="1"/>
      <c r="AB7927" s="1"/>
    </row>
    <row r="7928" ht="50.25" customHeight="1">
      <c r="A7928" s="12">
        <v>7924.0</v>
      </c>
      <c r="B7928" s="13" t="s">
        <v>7680</v>
      </c>
      <c r="C7928" s="18" t="s">
        <v>7953</v>
      </c>
      <c r="D7928" s="1"/>
      <c r="E7928" s="1"/>
      <c r="F7928" s="1" t="str">
        <f>IFERROR(__xludf.DUMMYFUNCTION("GOOGLETRANSLATE(B7928, ""en"", ""fa"")
"),"درخواست برای معلمان")</f>
        <v>درخواست برای معلمان</v>
      </c>
      <c r="G7928" s="1" t="str">
        <f>IFERROR(__xludf.DUMMYFUNCTION("GOOGLETRANSLATE(C7928, ""en"", ""fa"")
"),"راه‌هایی را برای استفاده از فناوری برای همکاری ناهمزمان و اشتراک منابع در یک جامعه یادگیری حرفه‌ای کاوش کنید.")</f>
        <v>راه‌هایی را برای استفاده از فناوری برای همکاری ناهمزمان و اشتراک منابع در یک جامعه یادگیری حرفه‌ای کاوش کنید.</v>
      </c>
      <c r="H7928" s="1"/>
      <c r="I7928" s="1"/>
      <c r="J7928" s="1"/>
      <c r="K7928" s="1"/>
      <c r="L7928" s="1"/>
      <c r="M7928" s="1"/>
      <c r="N7928" s="1"/>
      <c r="O7928" s="1"/>
      <c r="P7928" s="1"/>
      <c r="Q7928" s="1"/>
      <c r="R7928" s="1"/>
      <c r="S7928" s="1"/>
      <c r="T7928" s="1"/>
      <c r="U7928" s="1"/>
      <c r="V7928" s="1"/>
      <c r="W7928" s="1"/>
      <c r="X7928" s="1"/>
      <c r="Y7928" s="1"/>
      <c r="Z7928" s="1"/>
      <c r="AA7928" s="1"/>
      <c r="AB7928" s="1"/>
    </row>
    <row r="7929" ht="50.25" customHeight="1">
      <c r="A7929" s="12">
        <v>7925.0</v>
      </c>
      <c r="B7929" s="13" t="s">
        <v>7680</v>
      </c>
      <c r="C7929" s="18" t="s">
        <v>7954</v>
      </c>
      <c r="D7929" s="1"/>
      <c r="E7929" s="1"/>
      <c r="F7929" s="1" t="str">
        <f>IFERROR(__xludf.DUMMYFUNCTION("GOOGLETRANSLATE(B7929, ""en"", ""fa"")
"),"درخواست برای معلمان")</f>
        <v>درخواست برای معلمان</v>
      </c>
      <c r="G7929" s="1" t="str">
        <f>IFERROR(__xludf.DUMMYFUNCTION("GOOGLETRANSLATE(C7929, ""en"", ""fa"")
"),"در مورد تأثیر تجزیه و تحلیل داده های مشترک و تصمیم گیری مبتنی بر شواهد در یک جامعه یادگیری حرفه ای بحث کنید.")</f>
        <v>در مورد تأثیر تجزیه و تحلیل داده های مشترک و تصمیم گیری مبتنی بر شواهد در یک جامعه یادگیری حرفه ای بحث کنید.</v>
      </c>
      <c r="H7929" s="1"/>
      <c r="I7929" s="1"/>
      <c r="J7929" s="1"/>
      <c r="K7929" s="1"/>
      <c r="L7929" s="1"/>
      <c r="M7929" s="1"/>
      <c r="N7929" s="1"/>
      <c r="O7929" s="1"/>
      <c r="P7929" s="1"/>
      <c r="Q7929" s="1"/>
      <c r="R7929" s="1"/>
      <c r="S7929" s="1"/>
      <c r="T7929" s="1"/>
      <c r="U7929" s="1"/>
      <c r="V7929" s="1"/>
      <c r="W7929" s="1"/>
      <c r="X7929" s="1"/>
      <c r="Y7929" s="1"/>
      <c r="Z7929" s="1"/>
      <c r="AA7929" s="1"/>
      <c r="AB7929" s="1"/>
    </row>
    <row r="7930" ht="50.25" customHeight="1">
      <c r="A7930" s="12">
        <v>7926.0</v>
      </c>
      <c r="B7930" s="13" t="s">
        <v>7680</v>
      </c>
      <c r="C7930" s="18" t="s">
        <v>7955</v>
      </c>
      <c r="D7930" s="1"/>
      <c r="E7930" s="1"/>
      <c r="F7930" s="1" t="str">
        <f>IFERROR(__xludf.DUMMYFUNCTION("GOOGLETRANSLATE(B7930, ""en"", ""fa"")
"),"درخواست برای معلمان")</f>
        <v>درخواست برای معلمان</v>
      </c>
      <c r="G7930" s="1" t="str">
        <f>IFERROR(__xludf.DUMMYFUNCTION("GOOGLETRANSLATE(C7930, ""en"", ""fa"")
"),"تجربیات خود را از همکاری موفق بین مدارس روستایی و شهری در یک جامعه یادگیری حرفه ای به اشتراک بگذارید.")</f>
        <v>تجربیات خود را از همکاری موفق بین مدارس روستایی و شهری در یک جامعه یادگیری حرفه ای به اشتراک بگذارید.</v>
      </c>
      <c r="H7930" s="1"/>
      <c r="I7930" s="1"/>
      <c r="J7930" s="1"/>
      <c r="K7930" s="1"/>
      <c r="L7930" s="1"/>
      <c r="M7930" s="1"/>
      <c r="N7930" s="1"/>
      <c r="O7930" s="1"/>
      <c r="P7930" s="1"/>
      <c r="Q7930" s="1"/>
      <c r="R7930" s="1"/>
      <c r="S7930" s="1"/>
      <c r="T7930" s="1"/>
      <c r="U7930" s="1"/>
      <c r="V7930" s="1"/>
      <c r="W7930" s="1"/>
      <c r="X7930" s="1"/>
      <c r="Y7930" s="1"/>
      <c r="Z7930" s="1"/>
      <c r="AA7930" s="1"/>
      <c r="AB7930" s="1"/>
    </row>
    <row r="7931" ht="50.25" customHeight="1">
      <c r="A7931" s="12">
        <v>7927.0</v>
      </c>
      <c r="B7931" s="13" t="s">
        <v>7680</v>
      </c>
      <c r="C7931" s="18" t="s">
        <v>7956</v>
      </c>
      <c r="D7931" s="1"/>
      <c r="E7931" s="1"/>
      <c r="F7931" s="1" t="str">
        <f>IFERROR(__xludf.DUMMYFUNCTION("GOOGLETRANSLATE(B7931, ""en"", ""fa"")
"),"درخواست برای معلمان")</f>
        <v>درخواست برای معلمان</v>
      </c>
      <c r="G7931" s="1" t="str">
        <f>IFERROR(__xludf.DUMMYFUNCTION("GOOGLETRANSLATE(C7931, ""en"", ""fa"")
"),"استراتژی‌هایی را برای ارتقای رهبری معلم و تخصص توزیع شده در یک جامعه یادگیری حرفه‌ای کاوش کنید.")</f>
        <v>استراتژی‌هایی را برای ارتقای رهبری معلم و تخصص توزیع شده در یک جامعه یادگیری حرفه‌ای کاوش کنید.</v>
      </c>
      <c r="H7931" s="1"/>
      <c r="I7931" s="1"/>
      <c r="J7931" s="1"/>
      <c r="K7931" s="1"/>
      <c r="L7931" s="1"/>
      <c r="M7931" s="1"/>
      <c r="N7931" s="1"/>
      <c r="O7931" s="1"/>
      <c r="P7931" s="1"/>
      <c r="Q7931" s="1"/>
      <c r="R7931" s="1"/>
      <c r="S7931" s="1"/>
      <c r="T7931" s="1"/>
      <c r="U7931" s="1"/>
      <c r="V7931" s="1"/>
      <c r="W7931" s="1"/>
      <c r="X7931" s="1"/>
      <c r="Y7931" s="1"/>
      <c r="Z7931" s="1"/>
      <c r="AA7931" s="1"/>
      <c r="AB7931" s="1"/>
    </row>
    <row r="7932" ht="50.25" customHeight="1">
      <c r="A7932" s="12">
        <v>7928.0</v>
      </c>
      <c r="B7932" s="13" t="s">
        <v>7680</v>
      </c>
      <c r="C7932" s="18" t="s">
        <v>7957</v>
      </c>
      <c r="D7932" s="1"/>
      <c r="E7932" s="1"/>
      <c r="F7932" s="1" t="str">
        <f>IFERROR(__xludf.DUMMYFUNCTION("GOOGLETRANSLATE(B7932, ""en"", ""fa"")
"),"درخواست برای معلمان")</f>
        <v>درخواست برای معلمان</v>
      </c>
      <c r="G7932" s="1" t="str">
        <f>IFERROR(__xludf.DUMMYFUNCTION("GOOGLETRANSLATE(C7932, ""en"", ""fa"")
"),"در مورد اهمیت پرورش فرهنگ همدلی و حمایت در یک جامعه یادگیری حرفه ای بحث کنید.")</f>
        <v>در مورد اهمیت پرورش فرهنگ همدلی و حمایت در یک جامعه یادگیری حرفه ای بحث کنید.</v>
      </c>
      <c r="H7932" s="1"/>
      <c r="I7932" s="1"/>
      <c r="J7932" s="1"/>
      <c r="K7932" s="1"/>
      <c r="L7932" s="1"/>
      <c r="M7932" s="1"/>
      <c r="N7932" s="1"/>
      <c r="O7932" s="1"/>
      <c r="P7932" s="1"/>
      <c r="Q7932" s="1"/>
      <c r="R7932" s="1"/>
      <c r="S7932" s="1"/>
      <c r="T7932" s="1"/>
      <c r="U7932" s="1"/>
      <c r="V7932" s="1"/>
      <c r="W7932" s="1"/>
      <c r="X7932" s="1"/>
      <c r="Y7932" s="1"/>
      <c r="Z7932" s="1"/>
      <c r="AA7932" s="1"/>
      <c r="AB7932" s="1"/>
    </row>
    <row r="7933" ht="50.25" customHeight="1">
      <c r="A7933" s="12">
        <v>7929.0</v>
      </c>
      <c r="B7933" s="13" t="s">
        <v>7680</v>
      </c>
      <c r="C7933" s="18" t="s">
        <v>7958</v>
      </c>
      <c r="D7933" s="1"/>
      <c r="E7933" s="1"/>
      <c r="F7933" s="1" t="str">
        <f>IFERROR(__xludf.DUMMYFUNCTION("GOOGLETRANSLATE(B7933, ""en"", ""fa"")
"),"درخواست برای معلمان")</f>
        <v>درخواست برای معلمان</v>
      </c>
      <c r="G7933" s="1" t="str">
        <f>IFERROR(__xludf.DUMMYFUNCTION("GOOGLETRANSLATE(C7933, ""en"", ""fa"")
"),"بینش خود را در مورد استراتژی‌های مؤثر برای ارتقای رفاه و خودمراقبتی معلم در یک جامعه یادگیری حرفه‌ای به اشتراک بگذارید.")</f>
        <v>بینش خود را در مورد استراتژی‌های مؤثر برای ارتقای رفاه و خودمراقبتی معلم در یک جامعه یادگیری حرفه‌ای به اشتراک بگذارید.</v>
      </c>
      <c r="H7933" s="1"/>
      <c r="I7933" s="1"/>
      <c r="J7933" s="1"/>
      <c r="K7933" s="1"/>
      <c r="L7933" s="1"/>
      <c r="M7933" s="1"/>
      <c r="N7933" s="1"/>
      <c r="O7933" s="1"/>
      <c r="P7933" s="1"/>
      <c r="Q7933" s="1"/>
      <c r="R7933" s="1"/>
      <c r="S7933" s="1"/>
      <c r="T7933" s="1"/>
      <c r="U7933" s="1"/>
      <c r="V7933" s="1"/>
      <c r="W7933" s="1"/>
      <c r="X7933" s="1"/>
      <c r="Y7933" s="1"/>
      <c r="Z7933" s="1"/>
      <c r="AA7933" s="1"/>
      <c r="AB7933" s="1"/>
    </row>
    <row r="7934" ht="50.25" customHeight="1">
      <c r="A7934" s="12">
        <v>7930.0</v>
      </c>
      <c r="B7934" s="13" t="s">
        <v>7680</v>
      </c>
      <c r="C7934" s="18" t="s">
        <v>7959</v>
      </c>
      <c r="D7934" s="1"/>
      <c r="E7934" s="1"/>
      <c r="F7934" s="1" t="str">
        <f>IFERROR(__xludf.DUMMYFUNCTION("GOOGLETRANSLATE(B7934, ""en"", ""fa"")
"),"درخواست برای معلمان")</f>
        <v>درخواست برای معلمان</v>
      </c>
      <c r="G7934" s="1" t="str">
        <f>IFERROR(__xludf.DUMMYFUNCTION("GOOGLETRANSLATE(C7934, ""en"", ""fa"")
"),"راه‌هایی را برای مشارکت سیاست‌گذاران آموزشی و رهبران جامعه در تلاش‌های مشترک در یک جامعه یادگیری حرفه‌ای بررسی کنید.")</f>
        <v>راه‌هایی را برای مشارکت سیاست‌گذاران آموزشی و رهبران جامعه در تلاش‌های مشترک در یک جامعه یادگیری حرفه‌ای بررسی کنید.</v>
      </c>
      <c r="H7934" s="1"/>
      <c r="I7934" s="1"/>
      <c r="J7934" s="1"/>
      <c r="K7934" s="1"/>
      <c r="L7934" s="1"/>
      <c r="M7934" s="1"/>
      <c r="N7934" s="1"/>
      <c r="O7934" s="1"/>
      <c r="P7934" s="1"/>
      <c r="Q7934" s="1"/>
      <c r="R7934" s="1"/>
      <c r="S7934" s="1"/>
      <c r="T7934" s="1"/>
      <c r="U7934" s="1"/>
      <c r="V7934" s="1"/>
      <c r="W7934" s="1"/>
      <c r="X7934" s="1"/>
      <c r="Y7934" s="1"/>
      <c r="Z7934" s="1"/>
      <c r="AA7934" s="1"/>
      <c r="AB7934" s="1"/>
    </row>
    <row r="7935" ht="50.25" customHeight="1">
      <c r="A7935" s="12">
        <v>7931.0</v>
      </c>
      <c r="B7935" s="13" t="s">
        <v>7680</v>
      </c>
      <c r="C7935" s="18" t="s">
        <v>7960</v>
      </c>
      <c r="D7935" s="1"/>
      <c r="E7935" s="1"/>
      <c r="F7935" s="1" t="str">
        <f>IFERROR(__xludf.DUMMYFUNCTION("GOOGLETRANSLATE(B7935, ""en"", ""fa"")
"),"درخواست برای معلمان")</f>
        <v>درخواست برای معلمان</v>
      </c>
      <c r="G7935" s="1" t="str">
        <f>IFERROR(__xludf.DUMMYFUNCTION("GOOGLETRANSLATE(C7935, ""en"", ""fa"")
"),"در مورد نقش جوامع یادگیری حرفه ای در ترویج نوآوری آموزشی و بهبود مستمر بحث کنید.")</f>
        <v>در مورد نقش جوامع یادگیری حرفه ای در ترویج نوآوری آموزشی و بهبود مستمر بحث کنید.</v>
      </c>
      <c r="H7935" s="1"/>
      <c r="I7935" s="1"/>
      <c r="J7935" s="1"/>
      <c r="K7935" s="1"/>
      <c r="L7935" s="1"/>
      <c r="M7935" s="1"/>
      <c r="N7935" s="1"/>
      <c r="O7935" s="1"/>
      <c r="P7935" s="1"/>
      <c r="Q7935" s="1"/>
      <c r="R7935" s="1"/>
      <c r="S7935" s="1"/>
      <c r="T7935" s="1"/>
      <c r="U7935" s="1"/>
      <c r="V7935" s="1"/>
      <c r="W7935" s="1"/>
      <c r="X7935" s="1"/>
      <c r="Y7935" s="1"/>
      <c r="Z7935" s="1"/>
      <c r="AA7935" s="1"/>
      <c r="AB7935" s="1"/>
    </row>
    <row r="7936" ht="50.25" customHeight="1">
      <c r="A7936" s="12">
        <v>7932.0</v>
      </c>
      <c r="B7936" s="13" t="s">
        <v>7680</v>
      </c>
      <c r="C7936" s="18" t="s">
        <v>7961</v>
      </c>
      <c r="D7936" s="1"/>
      <c r="E7936" s="1"/>
      <c r="F7936" s="1" t="str">
        <f>IFERROR(__xludf.DUMMYFUNCTION("GOOGLETRANSLATE(B7936, ""en"", ""fa"")
"),"درخواست برای معلمان")</f>
        <v>درخواست برای معلمان</v>
      </c>
      <c r="G7936" s="1" t="str">
        <f>IFERROR(__xludf.DUMMYFUNCTION("GOOGLETRANSLATE(C7936, ""en"", ""fa"")
"),"تجربیات خود را از همکاری موفق بین معلمان و متخصصان فناوری در یک جامعه یادگیری حرفه ای به اشتراک بگذارید.")</f>
        <v>تجربیات خود را از همکاری موفق بین معلمان و متخصصان فناوری در یک جامعه یادگیری حرفه ای به اشتراک بگذارید.</v>
      </c>
      <c r="H7936" s="1"/>
      <c r="I7936" s="1"/>
      <c r="J7936" s="1"/>
      <c r="K7936" s="1"/>
      <c r="L7936" s="1"/>
      <c r="M7936" s="1"/>
      <c r="N7936" s="1"/>
      <c r="O7936" s="1"/>
      <c r="P7936" s="1"/>
      <c r="Q7936" s="1"/>
      <c r="R7936" s="1"/>
      <c r="S7936" s="1"/>
      <c r="T7936" s="1"/>
      <c r="U7936" s="1"/>
      <c r="V7936" s="1"/>
      <c r="W7936" s="1"/>
      <c r="X7936" s="1"/>
      <c r="Y7936" s="1"/>
      <c r="Z7936" s="1"/>
      <c r="AA7936" s="1"/>
      <c r="AB7936" s="1"/>
    </row>
    <row r="7937" ht="50.25" customHeight="1">
      <c r="A7937" s="12">
        <v>7933.0</v>
      </c>
      <c r="B7937" s="13" t="s">
        <v>7680</v>
      </c>
      <c r="C7937" s="18" t="s">
        <v>7962</v>
      </c>
      <c r="D7937" s="1"/>
      <c r="E7937" s="1"/>
      <c r="F7937" s="1" t="str">
        <f>IFERROR(__xludf.DUMMYFUNCTION("GOOGLETRANSLATE(B7937, ""en"", ""fa"")
"),"درخواست برای معلمان")</f>
        <v>درخواست برای معلمان</v>
      </c>
      <c r="G7937" s="1" t="str">
        <f>IFERROR(__xludf.DUMMYFUNCTION("GOOGLETRANSLATE(C7937, ""en"", ""fa"")
"),"استراتژی‌هایی را برای ترویج توسعه برنامه درسی مشارکتی و به اشتراک گذاری منابع آموزشی در یک جامعه یادگیری حرفه‌ای بررسی کنید.")</f>
        <v>استراتژی‌هایی را برای ترویج توسعه برنامه درسی مشارکتی و به اشتراک گذاری منابع آموزشی در یک جامعه یادگیری حرفه‌ای بررسی کنید.</v>
      </c>
      <c r="H7937" s="1"/>
      <c r="I7937" s="1"/>
      <c r="J7937" s="1"/>
      <c r="K7937" s="1"/>
      <c r="L7937" s="1"/>
      <c r="M7937" s="1"/>
      <c r="N7937" s="1"/>
      <c r="O7937" s="1"/>
      <c r="P7937" s="1"/>
      <c r="Q7937" s="1"/>
      <c r="R7937" s="1"/>
      <c r="S7937" s="1"/>
      <c r="T7937" s="1"/>
      <c r="U7937" s="1"/>
      <c r="V7937" s="1"/>
      <c r="W7937" s="1"/>
      <c r="X7937" s="1"/>
      <c r="Y7937" s="1"/>
      <c r="Z7937" s="1"/>
      <c r="AA7937" s="1"/>
      <c r="AB7937" s="1"/>
    </row>
    <row r="7938" ht="50.25" customHeight="1">
      <c r="A7938" s="12">
        <v>7934.0</v>
      </c>
      <c r="B7938" s="13" t="s">
        <v>7680</v>
      </c>
      <c r="C7938" s="18" t="s">
        <v>7963</v>
      </c>
      <c r="D7938" s="1"/>
      <c r="E7938" s="1"/>
      <c r="F7938" s="1" t="str">
        <f>IFERROR(__xludf.DUMMYFUNCTION("GOOGLETRANSLATE(B7938, ""en"", ""fa"")
"),"درخواست برای معلمان")</f>
        <v>درخواست برای معلمان</v>
      </c>
      <c r="G7938" s="1" t="str">
        <f>IFERROR(__xludf.DUMMYFUNCTION("GOOGLETRANSLATE(C7938, ""en"", ""fa"")
"),"درباره تأثیر برنامه‌های مربیگری و راهنمایی مشترک بر اثربخشی معلمان و رشد حرفه‌ای در جامعه یادگیری حرفه‌ای بحث کنید.")</f>
        <v>درباره تأثیر برنامه‌های مربیگری و راهنمایی مشترک بر اثربخشی معلمان و رشد حرفه‌ای در جامعه یادگیری حرفه‌ای بحث کنید.</v>
      </c>
      <c r="H7938" s="1"/>
      <c r="I7938" s="1"/>
      <c r="J7938" s="1"/>
      <c r="K7938" s="1"/>
      <c r="L7938" s="1"/>
      <c r="M7938" s="1"/>
      <c r="N7938" s="1"/>
      <c r="O7938" s="1"/>
      <c r="P7938" s="1"/>
      <c r="Q7938" s="1"/>
      <c r="R7938" s="1"/>
      <c r="S7938" s="1"/>
      <c r="T7938" s="1"/>
      <c r="U7938" s="1"/>
      <c r="V7938" s="1"/>
      <c r="W7938" s="1"/>
      <c r="X7938" s="1"/>
      <c r="Y7938" s="1"/>
      <c r="Z7938" s="1"/>
      <c r="AA7938" s="1"/>
      <c r="AB7938" s="1"/>
    </row>
    <row r="7939" ht="50.25" customHeight="1">
      <c r="A7939" s="12">
        <v>7935.0</v>
      </c>
      <c r="B7939" s="13" t="s">
        <v>7680</v>
      </c>
      <c r="C7939" s="20" t="s">
        <v>7964</v>
      </c>
      <c r="D7939" s="1"/>
      <c r="E7939" s="1"/>
      <c r="F7939" s="1" t="str">
        <f>IFERROR(__xludf.DUMMYFUNCTION("GOOGLETRANSLATE(B7939, ""en"", ""fa"")
"),"درخواست برای معلمان")</f>
        <v>درخواست برای معلمان</v>
      </c>
      <c r="G7939" s="1" t="str">
        <f>IFERROR(__xludf.DUMMYFUNCTION("GOOGLETRANSLATE(C7939, ""en"", ""fa"")
"),"در مورد مؤلفه های کلیدی مدیریت مؤثر کلاس درس و تأثیر آنها بر یادگیری دانش آموزان بحث کنید.")</f>
        <v>در مورد مؤلفه های کلیدی مدیریت مؤثر کلاس درس و تأثیر آنها بر یادگیری دانش آموزان بحث کنید.</v>
      </c>
      <c r="H7939" s="1"/>
      <c r="I7939" s="1"/>
      <c r="J7939" s="1"/>
      <c r="K7939" s="1"/>
      <c r="L7939" s="1"/>
      <c r="M7939" s="1"/>
      <c r="N7939" s="1"/>
      <c r="O7939" s="1"/>
      <c r="P7939" s="1"/>
      <c r="Q7939" s="1"/>
      <c r="R7939" s="1"/>
      <c r="S7939" s="1"/>
      <c r="T7939" s="1"/>
      <c r="U7939" s="1"/>
      <c r="V7939" s="1"/>
      <c r="W7939" s="1"/>
      <c r="X7939" s="1"/>
      <c r="Y7939" s="1"/>
      <c r="Z7939" s="1"/>
      <c r="AA7939" s="1"/>
      <c r="AB7939" s="1"/>
    </row>
    <row r="7940" ht="50.25" customHeight="1">
      <c r="A7940" s="12">
        <v>7936.0</v>
      </c>
      <c r="B7940" s="13" t="s">
        <v>7680</v>
      </c>
      <c r="C7940" s="18" t="s">
        <v>7965</v>
      </c>
      <c r="D7940" s="1"/>
      <c r="E7940" s="1"/>
      <c r="F7940" s="1" t="str">
        <f>IFERROR(__xludf.DUMMYFUNCTION("GOOGLETRANSLATE(B7940, ""en"", ""fa"")
"),"درخواست برای معلمان")</f>
        <v>درخواست برای معلمان</v>
      </c>
      <c r="G7940" s="1" t="str">
        <f>IFERROR(__xludf.DUMMYFUNCTION("GOOGLETRANSLATE(C7940, ""en"", ""fa"")
"),"تجربیات خود را در مورد استراتژی های موفق برای ایجاد انتظارات و قوانین واضح در کلاس درس به اشتراک بگذارید.")</f>
        <v>تجربیات خود را در مورد استراتژی های موفق برای ایجاد انتظارات و قوانین واضح در کلاس درس به اشتراک بگذارید.</v>
      </c>
      <c r="H7940" s="1"/>
      <c r="I7940" s="1"/>
      <c r="J7940" s="1"/>
      <c r="K7940" s="1"/>
      <c r="L7940" s="1"/>
      <c r="M7940" s="1"/>
      <c r="N7940" s="1"/>
      <c r="O7940" s="1"/>
      <c r="P7940" s="1"/>
      <c r="Q7940" s="1"/>
      <c r="R7940" s="1"/>
      <c r="S7940" s="1"/>
      <c r="T7940" s="1"/>
      <c r="U7940" s="1"/>
      <c r="V7940" s="1"/>
      <c r="W7940" s="1"/>
      <c r="X7940" s="1"/>
      <c r="Y7940" s="1"/>
      <c r="Z7940" s="1"/>
      <c r="AA7940" s="1"/>
      <c r="AB7940" s="1"/>
    </row>
    <row r="7941" ht="50.25" customHeight="1">
      <c r="A7941" s="12">
        <v>7937.0</v>
      </c>
      <c r="B7941" s="13" t="s">
        <v>7680</v>
      </c>
      <c r="C7941" s="18" t="s">
        <v>7966</v>
      </c>
      <c r="D7941" s="1"/>
      <c r="E7941" s="1"/>
      <c r="F7941" s="1" t="str">
        <f>IFERROR(__xludf.DUMMYFUNCTION("GOOGLETRANSLATE(B7941, ""en"", ""fa"")
"),"درخواست برای معلمان")</f>
        <v>درخواست برای معلمان</v>
      </c>
      <c r="G7941" s="1" t="str">
        <f>IFERROR(__xludf.DUMMYFUNCTION("GOOGLETRANSLATE(C7941, ""en"", ""fa"")
"),"راه‌هایی را برای ایجاد یک محیط کلاسی مثبت و فراگیر که مشارکت و احترام دانش‌آموز را ترویج می‌کند، کاوش کنید.")</f>
        <v>راه‌هایی را برای ایجاد یک محیط کلاسی مثبت و فراگیر که مشارکت و احترام دانش‌آموز را ترویج می‌کند، کاوش کنید.</v>
      </c>
      <c r="H7941" s="1"/>
      <c r="I7941" s="1"/>
      <c r="J7941" s="1"/>
      <c r="K7941" s="1"/>
      <c r="L7941" s="1"/>
      <c r="M7941" s="1"/>
      <c r="N7941" s="1"/>
      <c r="O7941" s="1"/>
      <c r="P7941" s="1"/>
      <c r="Q7941" s="1"/>
      <c r="R7941" s="1"/>
      <c r="S7941" s="1"/>
      <c r="T7941" s="1"/>
      <c r="U7941" s="1"/>
      <c r="V7941" s="1"/>
      <c r="W7941" s="1"/>
      <c r="X7941" s="1"/>
      <c r="Y7941" s="1"/>
      <c r="Z7941" s="1"/>
      <c r="AA7941" s="1"/>
      <c r="AB7941" s="1"/>
    </row>
    <row r="7942" ht="50.25" customHeight="1">
      <c r="A7942" s="12">
        <v>7938.0</v>
      </c>
      <c r="B7942" s="13" t="s">
        <v>7680</v>
      </c>
      <c r="C7942" s="18" t="s">
        <v>7967</v>
      </c>
      <c r="D7942" s="1"/>
      <c r="E7942" s="1"/>
      <c r="F7942" s="1" t="str">
        <f>IFERROR(__xludf.DUMMYFUNCTION("GOOGLETRANSLATE(B7942, ""en"", ""fa"")
"),"درخواست برای معلمان")</f>
        <v>درخواست برای معلمان</v>
      </c>
      <c r="G7942" s="1" t="str">
        <f>IFERROR(__xludf.DUMMYFUNCTION("GOOGLETRANSLATE(C7942, ""en"", ""fa"")
"),"در مورد نقش ایجاد رابطه و ارتباط با دانش آموزان در مدیریت موثر کلاس بحث کنید.")</f>
        <v>در مورد نقش ایجاد رابطه و ارتباط با دانش آموزان در مدیریت موثر کلاس بحث کنید.</v>
      </c>
      <c r="H7942" s="1"/>
      <c r="I7942" s="1"/>
      <c r="J7942" s="1"/>
      <c r="K7942" s="1"/>
      <c r="L7942" s="1"/>
      <c r="M7942" s="1"/>
      <c r="N7942" s="1"/>
      <c r="O7942" s="1"/>
      <c r="P7942" s="1"/>
      <c r="Q7942" s="1"/>
      <c r="R7942" s="1"/>
      <c r="S7942" s="1"/>
      <c r="T7942" s="1"/>
      <c r="U7942" s="1"/>
      <c r="V7942" s="1"/>
      <c r="W7942" s="1"/>
      <c r="X7942" s="1"/>
      <c r="Y7942" s="1"/>
      <c r="Z7942" s="1"/>
      <c r="AA7942" s="1"/>
      <c r="AB7942" s="1"/>
    </row>
    <row r="7943" ht="50.25" customHeight="1">
      <c r="A7943" s="12">
        <v>7939.0</v>
      </c>
      <c r="B7943" s="13" t="s">
        <v>7680</v>
      </c>
      <c r="C7943" s="18" t="s">
        <v>7968</v>
      </c>
      <c r="D7943" s="1"/>
      <c r="E7943" s="1"/>
      <c r="F7943" s="1" t="str">
        <f>IFERROR(__xludf.DUMMYFUNCTION("GOOGLETRANSLATE(B7943, ""en"", ""fa"")
"),"درخواست برای معلمان")</f>
        <v>درخواست برای معلمان</v>
      </c>
      <c r="G7943" s="1" t="str">
        <f>IFERROR(__xludf.DUMMYFUNCTION("GOOGLETRANSLATE(C7943, ""en"", ""fa"")
"),"بینش خود را در مورد استراتژی های موثر برای مدیریت انتقال و حفظ روال های روان در کلاس درس به اشتراک بگذارید.")</f>
        <v>بینش خود را در مورد استراتژی های موثر برای مدیریت انتقال و حفظ روال های روان در کلاس درس به اشتراک بگذارید.</v>
      </c>
      <c r="H7943" s="1"/>
      <c r="I7943" s="1"/>
      <c r="J7943" s="1"/>
      <c r="K7943" s="1"/>
      <c r="L7943" s="1"/>
      <c r="M7943" s="1"/>
      <c r="N7943" s="1"/>
      <c r="O7943" s="1"/>
      <c r="P7943" s="1"/>
      <c r="Q7943" s="1"/>
      <c r="R7943" s="1"/>
      <c r="S7943" s="1"/>
      <c r="T7943" s="1"/>
      <c r="U7943" s="1"/>
      <c r="V7943" s="1"/>
      <c r="W7943" s="1"/>
      <c r="X7943" s="1"/>
      <c r="Y7943" s="1"/>
      <c r="Z7943" s="1"/>
      <c r="AA7943" s="1"/>
      <c r="AB7943" s="1"/>
    </row>
    <row r="7944" ht="50.25" customHeight="1">
      <c r="A7944" s="12">
        <v>7940.0</v>
      </c>
      <c r="B7944" s="13" t="s">
        <v>7680</v>
      </c>
      <c r="C7944" s="18" t="s">
        <v>7969</v>
      </c>
      <c r="D7944" s="1"/>
      <c r="E7944" s="1"/>
      <c r="F7944" s="1" t="str">
        <f>IFERROR(__xludf.DUMMYFUNCTION("GOOGLETRANSLATE(B7944, ""en"", ""fa"")
"),"درخواست برای معلمان")</f>
        <v>درخواست برای معلمان</v>
      </c>
      <c r="G7944" s="1" t="str">
        <f>IFERROR(__xludf.DUMMYFUNCTION("GOOGLETRANSLATE(C7944, ""en"", ""fa"")
"),"تکنیک هایی را برای ترویج گوش دادن فعال و ارتباط مثبت در کلاس درس بررسی کنید.")</f>
        <v>تکنیک هایی را برای ترویج گوش دادن فعال و ارتباط مثبت در کلاس درس بررسی کنید.</v>
      </c>
      <c r="H7944" s="1"/>
      <c r="I7944" s="1"/>
      <c r="J7944" s="1"/>
      <c r="K7944" s="1"/>
      <c r="L7944" s="1"/>
      <c r="M7944" s="1"/>
      <c r="N7944" s="1"/>
      <c r="O7944" s="1"/>
      <c r="P7944" s="1"/>
      <c r="Q7944" s="1"/>
      <c r="R7944" s="1"/>
      <c r="S7944" s="1"/>
      <c r="T7944" s="1"/>
      <c r="U7944" s="1"/>
      <c r="V7944" s="1"/>
      <c r="W7944" s="1"/>
      <c r="X7944" s="1"/>
      <c r="Y7944" s="1"/>
      <c r="Z7944" s="1"/>
      <c r="AA7944" s="1"/>
      <c r="AB7944" s="1"/>
    </row>
    <row r="7945" ht="50.25" customHeight="1">
      <c r="A7945" s="12">
        <v>7941.0</v>
      </c>
      <c r="B7945" s="13" t="s">
        <v>7680</v>
      </c>
      <c r="C7945" s="18" t="s">
        <v>7970</v>
      </c>
      <c r="D7945" s="1"/>
      <c r="E7945" s="1"/>
      <c r="F7945" s="1" t="str">
        <f>IFERROR(__xludf.DUMMYFUNCTION("GOOGLETRANSLATE(B7945, ""en"", ""fa"")
"),"درخواست برای معلمان")</f>
        <v>درخواست برای معلمان</v>
      </c>
      <c r="G7945" s="1" t="str">
        <f>IFERROR(__xludf.DUMMYFUNCTION("GOOGLETRANSLATE(C7945, ""en"", ""fa"")
"),"در مورد اهمیت الگوسازی و آموزش رفتار مناسب و مهارت های اجتماعی به دانش آموزان بحث کنید.")</f>
        <v>در مورد اهمیت الگوسازی و آموزش رفتار مناسب و مهارت های اجتماعی به دانش آموزان بحث کنید.</v>
      </c>
      <c r="H7945" s="1"/>
      <c r="I7945" s="1"/>
      <c r="J7945" s="1"/>
      <c r="K7945" s="1"/>
      <c r="L7945" s="1"/>
      <c r="M7945" s="1"/>
      <c r="N7945" s="1"/>
      <c r="O7945" s="1"/>
      <c r="P7945" s="1"/>
      <c r="Q7945" s="1"/>
      <c r="R7945" s="1"/>
      <c r="S7945" s="1"/>
      <c r="T7945" s="1"/>
      <c r="U7945" s="1"/>
      <c r="V7945" s="1"/>
      <c r="W7945" s="1"/>
      <c r="X7945" s="1"/>
      <c r="Y7945" s="1"/>
      <c r="Z7945" s="1"/>
      <c r="AA7945" s="1"/>
      <c r="AB7945" s="1"/>
    </row>
    <row r="7946" ht="50.25" customHeight="1">
      <c r="A7946" s="12">
        <v>7942.0</v>
      </c>
      <c r="B7946" s="13" t="s">
        <v>7680</v>
      </c>
      <c r="C7946" s="18" t="s">
        <v>7971</v>
      </c>
      <c r="D7946" s="1"/>
      <c r="E7946" s="1"/>
      <c r="F7946" s="1" t="str">
        <f>IFERROR(__xludf.DUMMYFUNCTION("GOOGLETRANSLATE(B7946, ""en"", ""fa"")
"),"درخواست برای معلمان")</f>
        <v>درخواست برای معلمان</v>
      </c>
      <c r="G7946" s="1" t="str">
        <f>IFERROR(__xludf.DUMMYFUNCTION("GOOGLETRANSLATE(C7946, ""en"", ""fa"")
"),"تجربیات خود را با استراتژی های موفق برای مدیریت رفتار مخرب و حفظ یک محیط یادگیری آرام به اشتراک بگذارید.")</f>
        <v>تجربیات خود را با استراتژی های موفق برای مدیریت رفتار مخرب و حفظ یک محیط یادگیری آرام به اشتراک بگذارید.</v>
      </c>
      <c r="H7946" s="1"/>
      <c r="I7946" s="1"/>
      <c r="J7946" s="1"/>
      <c r="K7946" s="1"/>
      <c r="L7946" s="1"/>
      <c r="M7946" s="1"/>
      <c r="N7946" s="1"/>
      <c r="O7946" s="1"/>
      <c r="P7946" s="1"/>
      <c r="Q7946" s="1"/>
      <c r="R7946" s="1"/>
      <c r="S7946" s="1"/>
      <c r="T7946" s="1"/>
      <c r="U7946" s="1"/>
      <c r="V7946" s="1"/>
      <c r="W7946" s="1"/>
      <c r="X7946" s="1"/>
      <c r="Y7946" s="1"/>
      <c r="Z7946" s="1"/>
      <c r="AA7946" s="1"/>
      <c r="AB7946" s="1"/>
    </row>
    <row r="7947" ht="50.25" customHeight="1">
      <c r="A7947" s="12">
        <v>7943.0</v>
      </c>
      <c r="B7947" s="13" t="s">
        <v>7680</v>
      </c>
      <c r="C7947" s="18" t="s">
        <v>7972</v>
      </c>
      <c r="D7947" s="1"/>
      <c r="E7947" s="1"/>
      <c r="F7947" s="1" t="str">
        <f>IFERROR(__xludf.DUMMYFUNCTION("GOOGLETRANSLATE(B7947, ""en"", ""fa"")
"),"درخواست برای معلمان")</f>
        <v>درخواست برای معلمان</v>
      </c>
      <c r="G7947" s="1" t="str">
        <f>IFERROR(__xludf.DUMMYFUNCTION("GOOGLETRANSLATE(C7947, ""en"", ""fa"")
"),"راه‌هایی را برای پیاده‌سازی ترتیبات نشستن در کلاس درس که از همکاری و مشارکت دانش‌آموز پشتیبانی می‌کند، کاوش کنید.")</f>
        <v>راه‌هایی را برای پیاده‌سازی ترتیبات نشستن در کلاس درس که از همکاری و مشارکت دانش‌آموز پشتیبانی می‌کند، کاوش کنید.</v>
      </c>
      <c r="H7947" s="1"/>
      <c r="I7947" s="1"/>
      <c r="J7947" s="1"/>
      <c r="K7947" s="1"/>
      <c r="L7947" s="1"/>
      <c r="M7947" s="1"/>
      <c r="N7947" s="1"/>
      <c r="O7947" s="1"/>
      <c r="P7947" s="1"/>
      <c r="Q7947" s="1"/>
      <c r="R7947" s="1"/>
      <c r="S7947" s="1"/>
      <c r="T7947" s="1"/>
      <c r="U7947" s="1"/>
      <c r="V7947" s="1"/>
      <c r="W7947" s="1"/>
      <c r="X7947" s="1"/>
      <c r="Y7947" s="1"/>
      <c r="Z7947" s="1"/>
      <c r="AA7947" s="1"/>
      <c r="AB7947" s="1"/>
    </row>
    <row r="7948" ht="50.25" customHeight="1">
      <c r="A7948" s="12">
        <v>7944.0</v>
      </c>
      <c r="B7948" s="13" t="s">
        <v>7680</v>
      </c>
      <c r="C7948" s="18" t="s">
        <v>7973</v>
      </c>
      <c r="D7948" s="1"/>
      <c r="E7948" s="1"/>
      <c r="F7948" s="1" t="str">
        <f>IFERROR(__xludf.DUMMYFUNCTION("GOOGLETRANSLATE(B7948, ""en"", ""fa"")
"),"درخواست برای معلمان")</f>
        <v>درخواست برای معلمان</v>
      </c>
      <c r="G7948" s="1" t="str">
        <f>IFERROR(__xludf.DUMMYFUNCTION("GOOGLETRANSLATE(C7948, ""en"", ""fa"")
"),"درباره تأثیر راهبردهای پیشگیرانه، مانند تقویت مثبت و تمجید، بر مدیریت کلاس بحث کنید.")</f>
        <v>درباره تأثیر راهبردهای پیشگیرانه، مانند تقویت مثبت و تمجید، بر مدیریت کلاس بحث کنید.</v>
      </c>
      <c r="H7948" s="1"/>
      <c r="I7948" s="1"/>
      <c r="J7948" s="1"/>
      <c r="K7948" s="1"/>
      <c r="L7948" s="1"/>
      <c r="M7948" s="1"/>
      <c r="N7948" s="1"/>
      <c r="O7948" s="1"/>
      <c r="P7948" s="1"/>
      <c r="Q7948" s="1"/>
      <c r="R7948" s="1"/>
      <c r="S7948" s="1"/>
      <c r="T7948" s="1"/>
      <c r="U7948" s="1"/>
      <c r="V7948" s="1"/>
      <c r="W7948" s="1"/>
      <c r="X7948" s="1"/>
      <c r="Y7948" s="1"/>
      <c r="Z7948" s="1"/>
      <c r="AA7948" s="1"/>
      <c r="AB7948" s="1"/>
    </row>
    <row r="7949" ht="50.25" customHeight="1">
      <c r="A7949" s="12">
        <v>7945.0</v>
      </c>
      <c r="B7949" s="13" t="s">
        <v>7680</v>
      </c>
      <c r="C7949" s="18" t="s">
        <v>7974</v>
      </c>
      <c r="D7949" s="1"/>
      <c r="E7949" s="1"/>
      <c r="F7949" s="1" t="str">
        <f>IFERROR(__xludf.DUMMYFUNCTION("GOOGLETRANSLATE(B7949, ""en"", ""fa"")
"),"درخواست برای معلمان")</f>
        <v>درخواست برای معلمان</v>
      </c>
      <c r="G7949" s="1" t="str">
        <f>IFERROR(__xludf.DUMMYFUNCTION("GOOGLETRANSLATE(C7949, ""en"", ""fa"")
"),"بینش خود را در مورد استراتژی های موثر برای مدیریت تعارضات دانش آموزان و ترویج حل مسالمت آمیز به اشتراک بگذارید.")</f>
        <v>بینش خود را در مورد استراتژی های موثر برای مدیریت تعارضات دانش آموزان و ترویج حل مسالمت آمیز به اشتراک بگذارید.</v>
      </c>
      <c r="H7949" s="1"/>
      <c r="I7949" s="1"/>
      <c r="J7949" s="1"/>
      <c r="K7949" s="1"/>
      <c r="L7949" s="1"/>
      <c r="M7949" s="1"/>
      <c r="N7949" s="1"/>
      <c r="O7949" s="1"/>
      <c r="P7949" s="1"/>
      <c r="Q7949" s="1"/>
      <c r="R7949" s="1"/>
      <c r="S7949" s="1"/>
      <c r="T7949" s="1"/>
      <c r="U7949" s="1"/>
      <c r="V7949" s="1"/>
      <c r="W7949" s="1"/>
      <c r="X7949" s="1"/>
      <c r="Y7949" s="1"/>
      <c r="Z7949" s="1"/>
      <c r="AA7949" s="1"/>
      <c r="AB7949" s="1"/>
    </row>
    <row r="7950" ht="50.25" customHeight="1">
      <c r="A7950" s="12">
        <v>7946.0</v>
      </c>
      <c r="B7950" s="13" t="s">
        <v>7680</v>
      </c>
      <c r="C7950" s="18" t="s">
        <v>7975</v>
      </c>
      <c r="D7950" s="1"/>
      <c r="E7950" s="1"/>
      <c r="F7950" s="1" t="str">
        <f>IFERROR(__xludf.DUMMYFUNCTION("GOOGLETRANSLATE(B7950, ""en"", ""fa"")
"),"درخواست برای معلمان")</f>
        <v>درخواست برای معلمان</v>
      </c>
      <c r="G7950" s="1" t="str">
        <f>IFERROR(__xludf.DUMMYFUNCTION("GOOGLETRANSLATE(C7950, ""en"", ""fa"")
"),"تکنیک‌هایی را برای ارتقای خودتنظیمی دانش‌آموز و پرورش احساس مسئولیت در کلاس درس بررسی کنید.")</f>
        <v>تکنیک‌هایی را برای ارتقای خودتنظیمی دانش‌آموز و پرورش احساس مسئولیت در کلاس درس بررسی کنید.</v>
      </c>
      <c r="H7950" s="1"/>
      <c r="I7950" s="1"/>
      <c r="J7950" s="1"/>
      <c r="K7950" s="1"/>
      <c r="L7950" s="1"/>
      <c r="M7950" s="1"/>
      <c r="N7950" s="1"/>
      <c r="O7950" s="1"/>
      <c r="P7950" s="1"/>
      <c r="Q7950" s="1"/>
      <c r="R7950" s="1"/>
      <c r="S7950" s="1"/>
      <c r="T7950" s="1"/>
      <c r="U7950" s="1"/>
      <c r="V7950" s="1"/>
      <c r="W7950" s="1"/>
      <c r="X7950" s="1"/>
      <c r="Y7950" s="1"/>
      <c r="Z7950" s="1"/>
      <c r="AA7950" s="1"/>
      <c r="AB7950" s="1"/>
    </row>
    <row r="7951" ht="50.25" customHeight="1">
      <c r="A7951" s="12">
        <v>7947.0</v>
      </c>
      <c r="B7951" s="13" t="s">
        <v>7680</v>
      </c>
      <c r="C7951" s="18" t="s">
        <v>7976</v>
      </c>
      <c r="D7951" s="1"/>
      <c r="E7951" s="1"/>
      <c r="F7951" s="1" t="str">
        <f>IFERROR(__xludf.DUMMYFUNCTION("GOOGLETRANSLATE(B7951, ""en"", ""fa"")
"),"درخواست برای معلمان")</f>
        <v>درخواست برای معلمان</v>
      </c>
      <c r="G7951" s="1" t="str">
        <f>IFERROR(__xludf.DUMMYFUNCTION("GOOGLETRANSLATE(C7951, ""en"", ""fa"")
"),"در مورد نقش پیامدهای روشن و ثابت در حفظ نظم و ارتقای مسئولیت پذیری بحث کنید.")</f>
        <v>در مورد نقش پیامدهای روشن و ثابت در حفظ نظم و ارتقای مسئولیت پذیری بحث کنید.</v>
      </c>
      <c r="H7951" s="1"/>
      <c r="I7951" s="1"/>
      <c r="J7951" s="1"/>
      <c r="K7951" s="1"/>
      <c r="L7951" s="1"/>
      <c r="M7951" s="1"/>
      <c r="N7951" s="1"/>
      <c r="O7951" s="1"/>
      <c r="P7951" s="1"/>
      <c r="Q7951" s="1"/>
      <c r="R7951" s="1"/>
      <c r="S7951" s="1"/>
      <c r="T7951" s="1"/>
      <c r="U7951" s="1"/>
      <c r="V7951" s="1"/>
      <c r="W7951" s="1"/>
      <c r="X7951" s="1"/>
      <c r="Y7951" s="1"/>
      <c r="Z7951" s="1"/>
      <c r="AA7951" s="1"/>
      <c r="AB7951" s="1"/>
    </row>
    <row r="7952" ht="50.25" customHeight="1">
      <c r="A7952" s="12">
        <v>7948.0</v>
      </c>
      <c r="B7952" s="13" t="s">
        <v>7680</v>
      </c>
      <c r="C7952" s="18" t="s">
        <v>7977</v>
      </c>
      <c r="D7952" s="1"/>
      <c r="E7952" s="1"/>
      <c r="F7952" s="1" t="str">
        <f>IFERROR(__xludf.DUMMYFUNCTION("GOOGLETRANSLATE(B7952, ""en"", ""fa"")
"),"درخواست برای معلمان")</f>
        <v>درخواست برای معلمان</v>
      </c>
      <c r="G7952" s="1" t="str">
        <f>IFERROR(__xludf.DUMMYFUNCTION("GOOGLETRANSLATE(C7952, ""en"", ""fa"")
"),"تجربیات خود را در مورد استراتژی های موفق برای مدیریت کلاس های درس متنوع و رفع نیازهای فردی دانش آموزان به اشتراک بگذارید.")</f>
        <v>تجربیات خود را در مورد استراتژی های موفق برای مدیریت کلاس های درس متنوع و رفع نیازهای فردی دانش آموزان به اشتراک بگذارید.</v>
      </c>
      <c r="H7952" s="1"/>
      <c r="I7952" s="1"/>
      <c r="J7952" s="1"/>
      <c r="K7952" s="1"/>
      <c r="L7952" s="1"/>
      <c r="M7952" s="1"/>
      <c r="N7952" s="1"/>
      <c r="O7952" s="1"/>
      <c r="P7952" s="1"/>
      <c r="Q7952" s="1"/>
      <c r="R7952" s="1"/>
      <c r="S7952" s="1"/>
      <c r="T7952" s="1"/>
      <c r="U7952" s="1"/>
      <c r="V7952" s="1"/>
      <c r="W7952" s="1"/>
      <c r="X7952" s="1"/>
      <c r="Y7952" s="1"/>
      <c r="Z7952" s="1"/>
      <c r="AA7952" s="1"/>
      <c r="AB7952" s="1"/>
    </row>
    <row r="7953" ht="50.25" customHeight="1">
      <c r="A7953" s="12">
        <v>7949.0</v>
      </c>
      <c r="B7953" s="13" t="s">
        <v>7680</v>
      </c>
      <c r="C7953" s="18" t="s">
        <v>7978</v>
      </c>
      <c r="D7953" s="1"/>
      <c r="E7953" s="1"/>
      <c r="F7953" s="1" t="str">
        <f>IFERROR(__xludf.DUMMYFUNCTION("GOOGLETRANSLATE(B7953, ""en"", ""fa"")
"),"درخواست برای معلمان")</f>
        <v>درخواست برای معلمان</v>
      </c>
      <c r="G7953" s="1" t="str">
        <f>IFERROR(__xludf.DUMMYFUNCTION("GOOGLETRANSLATE(C7953, ""en"", ""fa"")
"),"راه‌هایی را برای گنجاندن شیوه‌های عدالت ترمیمی و تکنیک‌های حل تعارض در مدیریت کلاس کاوش کنید.")</f>
        <v>راه‌هایی را برای گنجاندن شیوه‌های عدالت ترمیمی و تکنیک‌های حل تعارض در مدیریت کلاس کاوش کنید.</v>
      </c>
      <c r="H7953" s="1"/>
      <c r="I7953" s="1"/>
      <c r="J7953" s="1"/>
      <c r="K7953" s="1"/>
      <c r="L7953" s="1"/>
      <c r="M7953" s="1"/>
      <c r="N7953" s="1"/>
      <c r="O7953" s="1"/>
      <c r="P7953" s="1"/>
      <c r="Q7953" s="1"/>
      <c r="R7953" s="1"/>
      <c r="S7953" s="1"/>
      <c r="T7953" s="1"/>
      <c r="U7953" s="1"/>
      <c r="V7953" s="1"/>
      <c r="W7953" s="1"/>
      <c r="X7953" s="1"/>
      <c r="Y7953" s="1"/>
      <c r="Z7953" s="1"/>
      <c r="AA7953" s="1"/>
      <c r="AB7953" s="1"/>
    </row>
    <row r="7954" ht="50.25" customHeight="1">
      <c r="A7954" s="12">
        <v>7950.0</v>
      </c>
      <c r="B7954" s="13" t="s">
        <v>7680</v>
      </c>
      <c r="C7954" s="18" t="s">
        <v>7979</v>
      </c>
      <c r="D7954" s="1"/>
      <c r="E7954" s="1"/>
      <c r="F7954" s="1" t="str">
        <f>IFERROR(__xludf.DUMMYFUNCTION("GOOGLETRANSLATE(B7954, ""en"", ""fa"")
"),"درخواست برای معلمان")</f>
        <v>درخواست برای معلمان</v>
      </c>
      <c r="G7954" s="1" t="str">
        <f>IFERROR(__xludf.DUMMYFUNCTION("GOOGLETRANSLATE(C7954, ""en"", ""fa"")
"),"در مورد اهمیت ایجاد یک جامعه کلاس درس و پرورش حس تعلق در بین دانش آموزان بحث کنید.")</f>
        <v>در مورد اهمیت ایجاد یک جامعه کلاس درس و پرورش حس تعلق در بین دانش آموزان بحث کنید.</v>
      </c>
      <c r="H7954" s="1"/>
      <c r="I7954" s="1"/>
      <c r="J7954" s="1"/>
      <c r="K7954" s="1"/>
      <c r="L7954" s="1"/>
      <c r="M7954" s="1"/>
      <c r="N7954" s="1"/>
      <c r="O7954" s="1"/>
      <c r="P7954" s="1"/>
      <c r="Q7954" s="1"/>
      <c r="R7954" s="1"/>
      <c r="S7954" s="1"/>
      <c r="T7954" s="1"/>
      <c r="U7954" s="1"/>
      <c r="V7954" s="1"/>
      <c r="W7954" s="1"/>
      <c r="X7954" s="1"/>
      <c r="Y7954" s="1"/>
      <c r="Z7954" s="1"/>
      <c r="AA7954" s="1"/>
      <c r="AB7954" s="1"/>
    </row>
    <row r="7955" ht="50.25" customHeight="1">
      <c r="A7955" s="12">
        <v>7951.0</v>
      </c>
      <c r="B7955" s="13" t="s">
        <v>7680</v>
      </c>
      <c r="C7955" s="18" t="s">
        <v>7980</v>
      </c>
      <c r="D7955" s="1"/>
      <c r="E7955" s="1"/>
      <c r="F7955" s="1" t="str">
        <f>IFERROR(__xludf.DUMMYFUNCTION("GOOGLETRANSLATE(B7955, ""en"", ""fa"")
"),"درخواست برای معلمان")</f>
        <v>درخواست برای معلمان</v>
      </c>
      <c r="G7955" s="1" t="str">
        <f>IFERROR(__xludf.DUMMYFUNCTION("GOOGLETRANSLATE(C7955, ""en"", ""fa"")
"),"بینش خود را در مورد استراتژی های موثر برای مدیریت انتقال و حفظ تمرکز دانش آموز در طول زمان آموزشی به اشتراک بگذارید.")</f>
        <v>بینش خود را در مورد استراتژی های موثر برای مدیریت انتقال و حفظ تمرکز دانش آموز در طول زمان آموزشی به اشتراک بگذارید.</v>
      </c>
      <c r="H7955" s="1"/>
      <c r="I7955" s="1"/>
      <c r="J7955" s="1"/>
      <c r="K7955" s="1"/>
      <c r="L7955" s="1"/>
      <c r="M7955" s="1"/>
      <c r="N7955" s="1"/>
      <c r="O7955" s="1"/>
      <c r="P7955" s="1"/>
      <c r="Q7955" s="1"/>
      <c r="R7955" s="1"/>
      <c r="S7955" s="1"/>
      <c r="T7955" s="1"/>
      <c r="U7955" s="1"/>
      <c r="V7955" s="1"/>
      <c r="W7955" s="1"/>
      <c r="X7955" s="1"/>
      <c r="Y7955" s="1"/>
      <c r="Z7955" s="1"/>
      <c r="AA7955" s="1"/>
      <c r="AB7955" s="1"/>
    </row>
    <row r="7956" ht="50.25" customHeight="1">
      <c r="A7956" s="12">
        <v>7952.0</v>
      </c>
      <c r="B7956" s="13" t="s">
        <v>7680</v>
      </c>
      <c r="C7956" s="18" t="s">
        <v>7981</v>
      </c>
      <c r="D7956" s="1"/>
      <c r="E7956" s="1"/>
      <c r="F7956" s="1" t="str">
        <f>IFERROR(__xludf.DUMMYFUNCTION("GOOGLETRANSLATE(B7956, ""en"", ""fa"")
"),"درخواست برای معلمان")</f>
        <v>درخواست برای معلمان</v>
      </c>
      <c r="G7956" s="1" t="str">
        <f>IFERROR(__xludf.DUMMYFUNCTION("GOOGLETRANSLATE(C7956, ""en"", ""fa"")
"),"کاوش تکنیک‌هایی برای ارتقای مالکیت دانش‌آموز و مشارکت فعال در فرآیندهای مدیریت کلاس درس.")</f>
        <v>کاوش تکنیک‌هایی برای ارتقای مالکیت دانش‌آموز و مشارکت فعال در فرآیندهای مدیریت کلاس درس.</v>
      </c>
      <c r="H7956" s="1"/>
      <c r="I7956" s="1"/>
      <c r="J7956" s="1"/>
      <c r="K7956" s="1"/>
      <c r="L7956" s="1"/>
      <c r="M7956" s="1"/>
      <c r="N7956" s="1"/>
      <c r="O7956" s="1"/>
      <c r="P7956" s="1"/>
      <c r="Q7956" s="1"/>
      <c r="R7956" s="1"/>
      <c r="S7956" s="1"/>
      <c r="T7956" s="1"/>
      <c r="U7956" s="1"/>
      <c r="V7956" s="1"/>
      <c r="W7956" s="1"/>
      <c r="X7956" s="1"/>
      <c r="Y7956" s="1"/>
      <c r="Z7956" s="1"/>
      <c r="AA7956" s="1"/>
      <c r="AB7956" s="1"/>
    </row>
    <row r="7957" ht="50.25" customHeight="1">
      <c r="A7957" s="12">
        <v>7953.0</v>
      </c>
      <c r="B7957" s="13" t="s">
        <v>7680</v>
      </c>
      <c r="C7957" s="18" t="s">
        <v>7982</v>
      </c>
      <c r="D7957" s="1"/>
      <c r="E7957" s="1"/>
      <c r="F7957" s="1" t="str">
        <f>IFERROR(__xludf.DUMMYFUNCTION("GOOGLETRANSLATE(B7957, ""en"", ""fa"")
"),"درخواست برای معلمان")</f>
        <v>درخواست برای معلمان</v>
      </c>
      <c r="G7957" s="1" t="str">
        <f>IFERROR(__xludf.DUMMYFUNCTION("GOOGLETRANSLATE(C7957, ""en"", ""fa"")
"),"در مورد تأثیر مدیریت مؤثر کلاس درس بر پیشرفت تحصیلی و رفاه دانش آموزان بحث کنید.")</f>
        <v>در مورد تأثیر مدیریت مؤثر کلاس درس بر پیشرفت تحصیلی و رفاه دانش آموزان بحث کنید.</v>
      </c>
      <c r="H7957" s="1"/>
      <c r="I7957" s="1"/>
      <c r="J7957" s="1"/>
      <c r="K7957" s="1"/>
      <c r="L7957" s="1"/>
      <c r="M7957" s="1"/>
      <c r="N7957" s="1"/>
      <c r="O7957" s="1"/>
      <c r="P7957" s="1"/>
      <c r="Q7957" s="1"/>
      <c r="R7957" s="1"/>
      <c r="S7957" s="1"/>
      <c r="T7957" s="1"/>
      <c r="U7957" s="1"/>
      <c r="V7957" s="1"/>
      <c r="W7957" s="1"/>
      <c r="X7957" s="1"/>
      <c r="Y7957" s="1"/>
      <c r="Z7957" s="1"/>
      <c r="AA7957" s="1"/>
      <c r="AB7957" s="1"/>
    </row>
    <row r="7958" ht="50.25" customHeight="1">
      <c r="A7958" s="12">
        <v>7954.0</v>
      </c>
      <c r="B7958" s="13" t="s">
        <v>7680</v>
      </c>
      <c r="C7958" s="18" t="s">
        <v>7983</v>
      </c>
      <c r="D7958" s="1"/>
      <c r="E7958" s="1"/>
      <c r="F7958" s="1" t="str">
        <f>IFERROR(__xludf.DUMMYFUNCTION("GOOGLETRANSLATE(B7958, ""en"", ""fa"")
"),"درخواست برای معلمان")</f>
        <v>درخواست برای معلمان</v>
      </c>
      <c r="G7958" s="1" t="str">
        <f>IFERROR(__xludf.DUMMYFUNCTION("GOOGLETRANSLATE(C7958, ""en"", ""fa"")
"),"تجربیات خود را در مورد استراتژی های موفق برای مدیریت کلاس های بزرگ و به حداکثر رساندن مشارکت دانش آموزان به اشتراک بگذارید.")</f>
        <v>تجربیات خود را در مورد استراتژی های موفق برای مدیریت کلاس های بزرگ و به حداکثر رساندن مشارکت دانش آموزان به اشتراک بگذارید.</v>
      </c>
      <c r="H7958" s="1"/>
      <c r="I7958" s="1"/>
      <c r="J7958" s="1"/>
      <c r="K7958" s="1"/>
      <c r="L7958" s="1"/>
      <c r="M7958" s="1"/>
      <c r="N7958" s="1"/>
      <c r="O7958" s="1"/>
      <c r="P7958" s="1"/>
      <c r="Q7958" s="1"/>
      <c r="R7958" s="1"/>
      <c r="S7958" s="1"/>
      <c r="T7958" s="1"/>
      <c r="U7958" s="1"/>
      <c r="V7958" s="1"/>
      <c r="W7958" s="1"/>
      <c r="X7958" s="1"/>
      <c r="Y7958" s="1"/>
      <c r="Z7958" s="1"/>
      <c r="AA7958" s="1"/>
      <c r="AB7958" s="1"/>
    </row>
    <row r="7959" ht="50.25" customHeight="1">
      <c r="A7959" s="12">
        <v>7955.0</v>
      </c>
      <c r="B7959" s="13" t="s">
        <v>7680</v>
      </c>
      <c r="C7959" s="18" t="s">
        <v>7984</v>
      </c>
      <c r="D7959" s="1"/>
      <c r="E7959" s="1"/>
      <c r="F7959" s="1" t="str">
        <f>IFERROR(__xludf.DUMMYFUNCTION("GOOGLETRANSLATE(B7959, ""en"", ""fa"")
"),"درخواست برای معلمان")</f>
        <v>درخواست برای معلمان</v>
      </c>
      <c r="G7959" s="1" t="str">
        <f>IFERROR(__xludf.DUMMYFUNCTION("GOOGLETRANSLATE(C7959, ""en"", ""fa"")
"),"راه‌هایی برای ارتقای ذهنیت رشد و تاب‌آوری در دانش‌آموزان از طریق مدیریت مؤثر کلاس درس بررسی کنید.")</f>
        <v>راه‌هایی برای ارتقای ذهنیت رشد و تاب‌آوری در دانش‌آموزان از طریق مدیریت مؤثر کلاس درس بررسی کنید.</v>
      </c>
      <c r="H7959" s="1"/>
      <c r="I7959" s="1"/>
      <c r="J7959" s="1"/>
      <c r="K7959" s="1"/>
      <c r="L7959" s="1"/>
      <c r="M7959" s="1"/>
      <c r="N7959" s="1"/>
      <c r="O7959" s="1"/>
      <c r="P7959" s="1"/>
      <c r="Q7959" s="1"/>
      <c r="R7959" s="1"/>
      <c r="S7959" s="1"/>
      <c r="T7959" s="1"/>
      <c r="U7959" s="1"/>
      <c r="V7959" s="1"/>
      <c r="W7959" s="1"/>
      <c r="X7959" s="1"/>
      <c r="Y7959" s="1"/>
      <c r="Z7959" s="1"/>
      <c r="AA7959" s="1"/>
      <c r="AB7959" s="1"/>
    </row>
    <row r="7960" ht="50.25" customHeight="1">
      <c r="A7960" s="12">
        <v>7956.0</v>
      </c>
      <c r="B7960" s="13" t="s">
        <v>7680</v>
      </c>
      <c r="C7960" s="18" t="s">
        <v>7985</v>
      </c>
      <c r="D7960" s="1"/>
      <c r="E7960" s="1"/>
      <c r="F7960" s="1" t="str">
        <f>IFERROR(__xludf.DUMMYFUNCTION("GOOGLETRANSLATE(B7960, ""en"", ""fa"")
"),"درخواست برای معلمان")</f>
        <v>درخواست برای معلمان</v>
      </c>
      <c r="G7960" s="1" t="str">
        <f>IFERROR(__xludf.DUMMYFUNCTION("GOOGLETRANSLATE(C7960, ""en"", ""fa"")
"),"درباره نقش روال‌ها و رویه‌های کلاس درس در ایجاد یک محیط یادگیری ساختاریافته بحث کنید.")</f>
        <v>درباره نقش روال‌ها و رویه‌های کلاس درس در ایجاد یک محیط یادگیری ساختاریافته بحث کنید.</v>
      </c>
      <c r="H7960" s="1"/>
      <c r="I7960" s="1"/>
      <c r="J7960" s="1"/>
      <c r="K7960" s="1"/>
      <c r="L7960" s="1"/>
      <c r="M7960" s="1"/>
      <c r="N7960" s="1"/>
      <c r="O7960" s="1"/>
      <c r="P7960" s="1"/>
      <c r="Q7960" s="1"/>
      <c r="R7960" s="1"/>
      <c r="S7960" s="1"/>
      <c r="T7960" s="1"/>
      <c r="U7960" s="1"/>
      <c r="V7960" s="1"/>
      <c r="W7960" s="1"/>
      <c r="X7960" s="1"/>
      <c r="Y7960" s="1"/>
      <c r="Z7960" s="1"/>
      <c r="AA7960" s="1"/>
      <c r="AB7960" s="1"/>
    </row>
    <row r="7961" ht="50.25" customHeight="1">
      <c r="A7961" s="12">
        <v>7957.0</v>
      </c>
      <c r="B7961" s="13" t="s">
        <v>7680</v>
      </c>
      <c r="C7961" s="18" t="s">
        <v>7986</v>
      </c>
      <c r="D7961" s="1"/>
      <c r="E7961" s="1"/>
      <c r="F7961" s="1" t="str">
        <f>IFERROR(__xludf.DUMMYFUNCTION("GOOGLETRANSLATE(B7961, ""en"", ""fa"")
"),"درخواست برای معلمان")</f>
        <v>درخواست برای معلمان</v>
      </c>
      <c r="G7961" s="1" t="str">
        <f>IFERROR(__xludf.DUMMYFUNCTION("GOOGLETRANSLATE(C7961, ""en"", ""fa"")
"),"بینش خود را در مورد استراتژی های موثر برای مدیریت استفاده از فناوری و ترویج شهروندی دیجیتال در کلاس درس به اشتراک بگذارید.")</f>
        <v>بینش خود را در مورد استراتژی های موثر برای مدیریت استفاده از فناوری و ترویج شهروندی دیجیتال در کلاس درس به اشتراک بگذارید.</v>
      </c>
      <c r="H7961" s="1"/>
      <c r="I7961" s="1"/>
      <c r="J7961" s="1"/>
      <c r="K7961" s="1"/>
      <c r="L7961" s="1"/>
      <c r="M7961" s="1"/>
      <c r="N7961" s="1"/>
      <c r="O7961" s="1"/>
      <c r="P7961" s="1"/>
      <c r="Q7961" s="1"/>
      <c r="R7961" s="1"/>
      <c r="S7961" s="1"/>
      <c r="T7961" s="1"/>
      <c r="U7961" s="1"/>
      <c r="V7961" s="1"/>
      <c r="W7961" s="1"/>
      <c r="X7961" s="1"/>
      <c r="Y7961" s="1"/>
      <c r="Z7961" s="1"/>
      <c r="AA7961" s="1"/>
      <c r="AB7961" s="1"/>
    </row>
    <row r="7962" ht="50.25" customHeight="1">
      <c r="A7962" s="12">
        <v>7958.0</v>
      </c>
      <c r="B7962" s="13" t="s">
        <v>7680</v>
      </c>
      <c r="C7962" s="18" t="s">
        <v>7987</v>
      </c>
      <c r="D7962" s="1"/>
      <c r="E7962" s="1"/>
      <c r="F7962" s="1" t="str">
        <f>IFERROR(__xludf.DUMMYFUNCTION("GOOGLETRANSLATE(B7962, ""en"", ""fa"")
"),"درخواست برای معلمان")</f>
        <v>درخواست برای معلمان</v>
      </c>
      <c r="G7962" s="1" t="str">
        <f>IFERROR(__xludf.DUMMYFUNCTION("GOOGLETRANSLATE(C7962, ""en"", ""fa"")
"),"تکنیک‌هایی را برای ایجاد یک محیط آموزشی ایمن و حمایت‌کننده برای دانش‌آموزان با پیشینه‌ها و توانایی‌های متنوع بررسی کنید.")</f>
        <v>تکنیک‌هایی را برای ایجاد یک محیط آموزشی ایمن و حمایت‌کننده برای دانش‌آموزان با پیشینه‌ها و توانایی‌های متنوع بررسی کنید.</v>
      </c>
      <c r="H7962" s="1"/>
      <c r="I7962" s="1"/>
      <c r="J7962" s="1"/>
      <c r="K7962" s="1"/>
      <c r="L7962" s="1"/>
      <c r="M7962" s="1"/>
      <c r="N7962" s="1"/>
      <c r="O7962" s="1"/>
      <c r="P7962" s="1"/>
      <c r="Q7962" s="1"/>
      <c r="R7962" s="1"/>
      <c r="S7962" s="1"/>
      <c r="T7962" s="1"/>
      <c r="U7962" s="1"/>
      <c r="V7962" s="1"/>
      <c r="W7962" s="1"/>
      <c r="X7962" s="1"/>
      <c r="Y7962" s="1"/>
      <c r="Z7962" s="1"/>
      <c r="AA7962" s="1"/>
      <c r="AB7962" s="1"/>
    </row>
    <row r="7963" ht="50.25" customHeight="1">
      <c r="A7963" s="12">
        <v>7959.0</v>
      </c>
      <c r="B7963" s="13" t="s">
        <v>7680</v>
      </c>
      <c r="C7963" s="18" t="s">
        <v>7988</v>
      </c>
      <c r="D7963" s="1"/>
      <c r="E7963" s="1"/>
      <c r="F7963" s="1" t="str">
        <f>IFERROR(__xludf.DUMMYFUNCTION("GOOGLETRANSLATE(B7963, ""en"", ""fa"")
"),"درخواست برای معلمان")</f>
        <v>درخواست برای معلمان</v>
      </c>
      <c r="G7963" s="1" t="str">
        <f>IFERROR(__xludf.DUMMYFUNCTION("GOOGLETRANSLATE(C7963, ""en"", ""fa"")
"),"در مورد اهمیت مواد و منابع کلاسی روشن و سازمان یافته در مدیریت مؤثر کلاس بحث کنید.")</f>
        <v>در مورد اهمیت مواد و منابع کلاسی روشن و سازمان یافته در مدیریت مؤثر کلاس بحث کنید.</v>
      </c>
      <c r="H7963" s="1"/>
      <c r="I7963" s="1"/>
      <c r="J7963" s="1"/>
      <c r="K7963" s="1"/>
      <c r="L7963" s="1"/>
      <c r="M7963" s="1"/>
      <c r="N7963" s="1"/>
      <c r="O7963" s="1"/>
      <c r="P7963" s="1"/>
      <c r="Q7963" s="1"/>
      <c r="R7963" s="1"/>
      <c r="S7963" s="1"/>
      <c r="T7963" s="1"/>
      <c r="U7963" s="1"/>
      <c r="V7963" s="1"/>
      <c r="W7963" s="1"/>
      <c r="X7963" s="1"/>
      <c r="Y7963" s="1"/>
      <c r="Z7963" s="1"/>
      <c r="AA7963" s="1"/>
      <c r="AB7963" s="1"/>
    </row>
    <row r="7964" ht="50.25" customHeight="1">
      <c r="A7964" s="12">
        <v>7960.0</v>
      </c>
      <c r="B7964" s="13" t="s">
        <v>7680</v>
      </c>
      <c r="C7964" s="18" t="s">
        <v>7989</v>
      </c>
      <c r="D7964" s="1"/>
      <c r="E7964" s="1"/>
      <c r="F7964" s="1" t="str">
        <f>IFERROR(__xludf.DUMMYFUNCTION("GOOGLETRANSLATE(B7964, ""en"", ""fa"")
"),"درخواست برای معلمان")</f>
        <v>درخواست برای معلمان</v>
      </c>
      <c r="G7964" s="1" t="str">
        <f>IFERROR(__xludf.DUMMYFUNCTION("GOOGLETRANSLATE(C7964, ""en"", ""fa"")
"),"تجربیات خود را در مورد استراتژی های موفق برای مدیریت انتقال و حفظ مشارکت دانش آموزان در طول کار مستقل به اشتراک بگذارید.")</f>
        <v>تجربیات خود را در مورد استراتژی های موفق برای مدیریت انتقال و حفظ مشارکت دانش آموزان در طول کار مستقل به اشتراک بگذارید.</v>
      </c>
      <c r="H7964" s="1"/>
      <c r="I7964" s="1"/>
      <c r="J7964" s="1"/>
      <c r="K7964" s="1"/>
      <c r="L7964" s="1"/>
      <c r="M7964" s="1"/>
      <c r="N7964" s="1"/>
      <c r="O7964" s="1"/>
      <c r="P7964" s="1"/>
      <c r="Q7964" s="1"/>
      <c r="R7964" s="1"/>
      <c r="S7964" s="1"/>
      <c r="T7964" s="1"/>
      <c r="U7964" s="1"/>
      <c r="V7964" s="1"/>
      <c r="W7964" s="1"/>
      <c r="X7964" s="1"/>
      <c r="Y7964" s="1"/>
      <c r="Z7964" s="1"/>
      <c r="AA7964" s="1"/>
      <c r="AB7964" s="1"/>
    </row>
    <row r="7965" ht="50.25" customHeight="1">
      <c r="A7965" s="12">
        <v>7961.0</v>
      </c>
      <c r="B7965" s="13" t="s">
        <v>7680</v>
      </c>
      <c r="C7965" s="18" t="s">
        <v>7990</v>
      </c>
      <c r="D7965" s="1"/>
      <c r="E7965" s="1"/>
      <c r="F7965" s="1" t="str">
        <f>IFERROR(__xludf.DUMMYFUNCTION("GOOGLETRANSLATE(B7965, ""en"", ""fa"")
"),"درخواست برای معلمان")</f>
        <v>درخواست برای معلمان</v>
      </c>
      <c r="G7965" s="1" t="str">
        <f>IFERROR(__xludf.DUMMYFUNCTION("GOOGLETRANSLATE(C7965, ""en"", ""fa"")
"),"راه‌هایی را برای مشارکت دادن دانش‌آموزان در ایجاد قوانین و انتظارات کلاس برای احساس مالکیت کاوش کنید.")</f>
        <v>راه‌هایی را برای مشارکت دادن دانش‌آموزان در ایجاد قوانین و انتظارات کلاس برای احساس مالکیت کاوش کنید.</v>
      </c>
      <c r="H7965" s="1"/>
      <c r="I7965" s="1"/>
      <c r="J7965" s="1"/>
      <c r="K7965" s="1"/>
      <c r="L7965" s="1"/>
      <c r="M7965" s="1"/>
      <c r="N7965" s="1"/>
      <c r="O7965" s="1"/>
      <c r="P7965" s="1"/>
      <c r="Q7965" s="1"/>
      <c r="R7965" s="1"/>
      <c r="S7965" s="1"/>
      <c r="T7965" s="1"/>
      <c r="U7965" s="1"/>
      <c r="V7965" s="1"/>
      <c r="W7965" s="1"/>
      <c r="X7965" s="1"/>
      <c r="Y7965" s="1"/>
      <c r="Z7965" s="1"/>
      <c r="AA7965" s="1"/>
      <c r="AB7965" s="1"/>
    </row>
    <row r="7966" ht="50.25" customHeight="1">
      <c r="A7966" s="12">
        <v>7962.0</v>
      </c>
      <c r="B7966" s="13" t="s">
        <v>7680</v>
      </c>
      <c r="C7966" s="18" t="s">
        <v>7991</v>
      </c>
      <c r="D7966" s="1"/>
      <c r="E7966" s="1"/>
      <c r="F7966" s="1" t="str">
        <f>IFERROR(__xludf.DUMMYFUNCTION("GOOGLETRANSLATE(B7966, ""en"", ""fa"")
"),"درخواست برای معلمان")</f>
        <v>درخواست برای معلمان</v>
      </c>
      <c r="G7966" s="1" t="str">
        <f>IFERROR(__xludf.DUMMYFUNCTION("GOOGLETRANSLATE(C7966, ""en"", ""fa"")
"),"در مورد تأثیر ارتباط فعال و همکاری با والدین در حمایت از مدیریت کلاس بحث کنید.")</f>
        <v>در مورد تأثیر ارتباط فعال و همکاری با والدین در حمایت از مدیریت کلاس بحث کنید.</v>
      </c>
      <c r="H7966" s="1"/>
      <c r="I7966" s="1"/>
      <c r="J7966" s="1"/>
      <c r="K7966" s="1"/>
      <c r="L7966" s="1"/>
      <c r="M7966" s="1"/>
      <c r="N7966" s="1"/>
      <c r="O7966" s="1"/>
      <c r="P7966" s="1"/>
      <c r="Q7966" s="1"/>
      <c r="R7966" s="1"/>
      <c r="S7966" s="1"/>
      <c r="T7966" s="1"/>
      <c r="U7966" s="1"/>
      <c r="V7966" s="1"/>
      <c r="W7966" s="1"/>
      <c r="X7966" s="1"/>
      <c r="Y7966" s="1"/>
      <c r="Z7966" s="1"/>
      <c r="AA7966" s="1"/>
      <c r="AB7966" s="1"/>
    </row>
    <row r="7967" ht="50.25" customHeight="1">
      <c r="A7967" s="12">
        <v>7963.0</v>
      </c>
      <c r="B7967" s="13" t="s">
        <v>7680</v>
      </c>
      <c r="C7967" s="18" t="s">
        <v>7992</v>
      </c>
      <c r="D7967" s="1"/>
      <c r="E7967" s="1"/>
      <c r="F7967" s="1" t="str">
        <f>IFERROR(__xludf.DUMMYFUNCTION("GOOGLETRANSLATE(B7967, ""en"", ""fa"")
"),"درخواست برای معلمان")</f>
        <v>درخواست برای معلمان</v>
      </c>
      <c r="G7967" s="1" t="str">
        <f>IFERROR(__xludf.DUMMYFUNCTION("GOOGLETRANSLATE(C7967, ""en"", ""fa"")
"),"بینش خود را در مورد استراتژی های موثر برای مدیریت رفتار خارج از وظیفه و هدایت مجدد توجه دانش آموزان به اشتراک بگذارید.")</f>
        <v>بینش خود را در مورد استراتژی های موثر برای مدیریت رفتار خارج از وظیفه و هدایت مجدد توجه دانش آموزان به اشتراک بگذارید.</v>
      </c>
      <c r="H7967" s="1"/>
      <c r="I7967" s="1"/>
      <c r="J7967" s="1"/>
      <c r="K7967" s="1"/>
      <c r="L7967" s="1"/>
      <c r="M7967" s="1"/>
      <c r="N7967" s="1"/>
      <c r="O7967" s="1"/>
      <c r="P7967" s="1"/>
      <c r="Q7967" s="1"/>
      <c r="R7967" s="1"/>
      <c r="S7967" s="1"/>
      <c r="T7967" s="1"/>
      <c r="U7967" s="1"/>
      <c r="V7967" s="1"/>
      <c r="W7967" s="1"/>
      <c r="X7967" s="1"/>
      <c r="Y7967" s="1"/>
      <c r="Z7967" s="1"/>
      <c r="AA7967" s="1"/>
      <c r="AB7967" s="1"/>
    </row>
    <row r="7968" ht="50.25" customHeight="1">
      <c r="A7968" s="12">
        <v>7964.0</v>
      </c>
      <c r="B7968" s="13" t="s">
        <v>7680</v>
      </c>
      <c r="C7968" s="18" t="s">
        <v>7993</v>
      </c>
      <c r="D7968" s="1"/>
      <c r="E7968" s="1"/>
      <c r="F7968" s="1" t="str">
        <f>IFERROR(__xludf.DUMMYFUNCTION("GOOGLETRANSLATE(B7968, ""en"", ""fa"")
"),"درخواست برای معلمان")</f>
        <v>درخواست برای معلمان</v>
      </c>
      <c r="G7968" s="1" t="str">
        <f>IFERROR(__xludf.DUMMYFUNCTION("GOOGLETRANSLATE(C7968, ""en"", ""fa"")
"),"تکنیک هایی را برای ترویج تعاملات مثبت با همسالان و تقویت حس اجتماعی در کلاس درس بررسی کنید.")</f>
        <v>تکنیک هایی را برای ترویج تعاملات مثبت با همسالان و تقویت حس اجتماعی در کلاس درس بررسی کنید.</v>
      </c>
      <c r="H7968" s="1"/>
      <c r="I7968" s="1"/>
      <c r="J7968" s="1"/>
      <c r="K7968" s="1"/>
      <c r="L7968" s="1"/>
      <c r="M7968" s="1"/>
      <c r="N7968" s="1"/>
      <c r="O7968" s="1"/>
      <c r="P7968" s="1"/>
      <c r="Q7968" s="1"/>
      <c r="R7968" s="1"/>
      <c r="S7968" s="1"/>
      <c r="T7968" s="1"/>
      <c r="U7968" s="1"/>
      <c r="V7968" s="1"/>
      <c r="W7968" s="1"/>
      <c r="X7968" s="1"/>
      <c r="Y7968" s="1"/>
      <c r="Z7968" s="1"/>
      <c r="AA7968" s="1"/>
      <c r="AB7968" s="1"/>
    </row>
    <row r="7969" ht="50.25" customHeight="1">
      <c r="A7969" s="12">
        <v>7965.0</v>
      </c>
      <c r="B7969" s="13" t="s">
        <v>7680</v>
      </c>
      <c r="C7969" s="18" t="s">
        <v>7994</v>
      </c>
      <c r="D7969" s="1"/>
      <c r="E7969" s="1"/>
      <c r="F7969" s="1" t="str">
        <f>IFERROR(__xludf.DUMMYFUNCTION("GOOGLETRANSLATE(B7969, ""en"", ""fa"")
"),"درخواست برای معلمان")</f>
        <v>درخواست برای معلمان</v>
      </c>
      <c r="G7969" s="1" t="str">
        <f>IFERROR(__xludf.DUMMYFUNCTION("GOOGLETRANSLATE(C7969, ""en"", ""fa"")
"),"در مورد نقش ذهن آگاهی و تکنیک های خودتنظیمی در حمایت از مدیریت کلاس بحث کنید.")</f>
        <v>در مورد نقش ذهن آگاهی و تکنیک های خودتنظیمی در حمایت از مدیریت کلاس بحث کنید.</v>
      </c>
      <c r="H7969" s="1"/>
      <c r="I7969" s="1"/>
      <c r="J7969" s="1"/>
      <c r="K7969" s="1"/>
      <c r="L7969" s="1"/>
      <c r="M7969" s="1"/>
      <c r="N7969" s="1"/>
      <c r="O7969" s="1"/>
      <c r="P7969" s="1"/>
      <c r="Q7969" s="1"/>
      <c r="R7969" s="1"/>
      <c r="S7969" s="1"/>
      <c r="T7969" s="1"/>
      <c r="U7969" s="1"/>
      <c r="V7969" s="1"/>
      <c r="W7969" s="1"/>
      <c r="X7969" s="1"/>
      <c r="Y7969" s="1"/>
      <c r="Z7969" s="1"/>
      <c r="AA7969" s="1"/>
      <c r="AB7969" s="1"/>
    </row>
    <row r="7970" ht="50.25" customHeight="1">
      <c r="A7970" s="12">
        <v>7966.0</v>
      </c>
      <c r="B7970" s="13" t="s">
        <v>7680</v>
      </c>
      <c r="C7970" s="18" t="s">
        <v>7995</v>
      </c>
      <c r="D7970" s="1"/>
      <c r="E7970" s="1"/>
      <c r="F7970" s="1" t="str">
        <f>IFERROR(__xludf.DUMMYFUNCTION("GOOGLETRANSLATE(B7970, ""en"", ""fa"")
"),"درخواست برای معلمان")</f>
        <v>درخواست برای معلمان</v>
      </c>
      <c r="G7970" s="1" t="str">
        <f>IFERROR(__xludf.DUMMYFUNCTION("GOOGLETRANSLATE(C7970, ""en"", ""fa"")
"),"تجربیات خود را در مورد استراتژی های موفق برای مدیریت کار گروهی و تسهیل همکاری سازنده به اشتراک بگذارید.")</f>
        <v>تجربیات خود را در مورد استراتژی های موفق برای مدیریت کار گروهی و تسهیل همکاری سازنده به اشتراک بگذارید.</v>
      </c>
      <c r="H7970" s="1"/>
      <c r="I7970" s="1"/>
      <c r="J7970" s="1"/>
      <c r="K7970" s="1"/>
      <c r="L7970" s="1"/>
      <c r="M7970" s="1"/>
      <c r="N7970" s="1"/>
      <c r="O7970" s="1"/>
      <c r="P7970" s="1"/>
      <c r="Q7970" s="1"/>
      <c r="R7970" s="1"/>
      <c r="S7970" s="1"/>
      <c r="T7970" s="1"/>
      <c r="U7970" s="1"/>
      <c r="V7970" s="1"/>
      <c r="W7970" s="1"/>
      <c r="X7970" s="1"/>
      <c r="Y7970" s="1"/>
      <c r="Z7970" s="1"/>
      <c r="AA7970" s="1"/>
      <c r="AB7970" s="1"/>
    </row>
    <row r="7971" ht="50.25" customHeight="1">
      <c r="A7971" s="12">
        <v>7967.0</v>
      </c>
      <c r="B7971" s="13" t="s">
        <v>7680</v>
      </c>
      <c r="C7971" s="18" t="s">
        <v>7996</v>
      </c>
      <c r="D7971" s="1"/>
      <c r="E7971" s="1"/>
      <c r="F7971" s="1" t="str">
        <f>IFERROR(__xludf.DUMMYFUNCTION("GOOGLETRANSLATE(B7971, ""en"", ""fa"")
"),"درخواست برای معلمان")</f>
        <v>درخواست برای معلمان</v>
      </c>
      <c r="G7971" s="1" t="str">
        <f>IFERROR(__xludf.DUMMYFUNCTION("GOOGLETRANSLATE(C7971, ""en"", ""fa"")
"),"از طریق مدیریت فعال کلاس درس، راه‌هایی را برای مقابله و پیشگیری از رفتار قلدری بررسی کنید.")</f>
        <v>از طریق مدیریت فعال کلاس درس، راه‌هایی را برای مقابله و پیشگیری از رفتار قلدری بررسی کنید.</v>
      </c>
      <c r="H7971" s="1"/>
      <c r="I7971" s="1"/>
      <c r="J7971" s="1"/>
      <c r="K7971" s="1"/>
      <c r="L7971" s="1"/>
      <c r="M7971" s="1"/>
      <c r="N7971" s="1"/>
      <c r="O7971" s="1"/>
      <c r="P7971" s="1"/>
      <c r="Q7971" s="1"/>
      <c r="R7971" s="1"/>
      <c r="S7971" s="1"/>
      <c r="T7971" s="1"/>
      <c r="U7971" s="1"/>
      <c r="V7971" s="1"/>
      <c r="W7971" s="1"/>
      <c r="X7971" s="1"/>
      <c r="Y7971" s="1"/>
      <c r="Z7971" s="1"/>
      <c r="AA7971" s="1"/>
      <c r="AB7971" s="1"/>
    </row>
    <row r="7972" ht="50.25" customHeight="1">
      <c r="A7972" s="12">
        <v>7968.0</v>
      </c>
      <c r="B7972" s="13" t="s">
        <v>7680</v>
      </c>
      <c r="C7972" s="18" t="s">
        <v>7997</v>
      </c>
      <c r="D7972" s="1"/>
      <c r="E7972" s="1"/>
      <c r="F7972" s="1" t="str">
        <f>IFERROR(__xludf.DUMMYFUNCTION("GOOGLETRANSLATE(B7972, ""en"", ""fa"")
"),"درخواست برای معلمان")</f>
        <v>درخواست برای معلمان</v>
      </c>
      <c r="G7972" s="1" t="str">
        <f>IFERROR(__xludf.DUMMYFUNCTION("GOOGLETRANSLATE(C7972, ""en"", ""fa"")
"),"در مورد اهمیت ارتقای استقلال و انتخاب دانش‌آموز در چارچوب ساختار مدیریت کلاس درس بحث کنید.")</f>
        <v>در مورد اهمیت ارتقای استقلال و انتخاب دانش‌آموز در چارچوب ساختار مدیریت کلاس درس بحث کنید.</v>
      </c>
      <c r="H7972" s="1"/>
      <c r="I7972" s="1"/>
      <c r="J7972" s="1"/>
      <c r="K7972" s="1"/>
      <c r="L7972" s="1"/>
      <c r="M7972" s="1"/>
      <c r="N7972" s="1"/>
      <c r="O7972" s="1"/>
      <c r="P7972" s="1"/>
      <c r="Q7972" s="1"/>
      <c r="R7972" s="1"/>
      <c r="S7972" s="1"/>
      <c r="T7972" s="1"/>
      <c r="U7972" s="1"/>
      <c r="V7972" s="1"/>
      <c r="W7972" s="1"/>
      <c r="X7972" s="1"/>
      <c r="Y7972" s="1"/>
      <c r="Z7972" s="1"/>
      <c r="AA7972" s="1"/>
      <c r="AB7972" s="1"/>
    </row>
    <row r="7973" ht="50.25" customHeight="1">
      <c r="A7973" s="12">
        <v>7969.0</v>
      </c>
      <c r="B7973" s="13" t="s">
        <v>7680</v>
      </c>
      <c r="C7973" s="18" t="s">
        <v>7998</v>
      </c>
      <c r="D7973" s="1"/>
      <c r="E7973" s="1"/>
      <c r="F7973" s="1" t="str">
        <f>IFERROR(__xludf.DUMMYFUNCTION("GOOGLETRANSLATE(B7973, ""en"", ""fa"")
"),"درخواست برای معلمان")</f>
        <v>درخواست برای معلمان</v>
      </c>
      <c r="G7973" s="1" t="str">
        <f>IFERROR(__xludf.DUMMYFUNCTION("GOOGLETRANSLATE(C7973, ""en"", ""fa"")
"),"بینش خود را در مورد استراتژی های موثر برای مدیریت زمان و به حداکثر رساندن دقایق آموزشی در کلاس به اشتراک بگذارید.")</f>
        <v>بینش خود را در مورد استراتژی های موثر برای مدیریت زمان و به حداکثر رساندن دقایق آموزشی در کلاس به اشتراک بگذارید.</v>
      </c>
      <c r="H7973" s="1"/>
      <c r="I7973" s="1"/>
      <c r="J7973" s="1"/>
      <c r="K7973" s="1"/>
      <c r="L7973" s="1"/>
      <c r="M7973" s="1"/>
      <c r="N7973" s="1"/>
      <c r="O7973" s="1"/>
      <c r="P7973" s="1"/>
      <c r="Q7973" s="1"/>
      <c r="R7973" s="1"/>
      <c r="S7973" s="1"/>
      <c r="T7973" s="1"/>
      <c r="U7973" s="1"/>
      <c r="V7973" s="1"/>
      <c r="W7973" s="1"/>
      <c r="X7973" s="1"/>
      <c r="Y7973" s="1"/>
      <c r="Z7973" s="1"/>
      <c r="AA7973" s="1"/>
      <c r="AB7973" s="1"/>
    </row>
    <row r="7974" ht="50.25" customHeight="1">
      <c r="A7974" s="12">
        <v>7970.0</v>
      </c>
      <c r="B7974" s="13" t="s">
        <v>7680</v>
      </c>
      <c r="C7974" s="18" t="s">
        <v>7999</v>
      </c>
      <c r="D7974" s="1"/>
      <c r="E7974" s="1"/>
      <c r="F7974" s="1" t="str">
        <f>IFERROR(__xludf.DUMMYFUNCTION("GOOGLETRANSLATE(B7974, ""en"", ""fa"")
"),"درخواست برای معلمان")</f>
        <v>درخواست برای معلمان</v>
      </c>
      <c r="G7974" s="1" t="str">
        <f>IFERROR(__xludf.DUMMYFUNCTION("GOOGLETRANSLATE(C7974, ""en"", ""fa"")
"),"تکنیک هایی را برای ارائه بازخورد موثر و تقویت رفتار مثبت به دانش آموزان بررسی کنید.")</f>
        <v>تکنیک هایی را برای ارائه بازخورد موثر و تقویت رفتار مثبت به دانش آموزان بررسی کنید.</v>
      </c>
      <c r="H7974" s="1"/>
      <c r="I7974" s="1"/>
      <c r="J7974" s="1"/>
      <c r="K7974" s="1"/>
      <c r="L7974" s="1"/>
      <c r="M7974" s="1"/>
      <c r="N7974" s="1"/>
      <c r="O7974" s="1"/>
      <c r="P7974" s="1"/>
      <c r="Q7974" s="1"/>
      <c r="R7974" s="1"/>
      <c r="S7974" s="1"/>
      <c r="T7974" s="1"/>
      <c r="U7974" s="1"/>
      <c r="V7974" s="1"/>
      <c r="W7974" s="1"/>
      <c r="X7974" s="1"/>
      <c r="Y7974" s="1"/>
      <c r="Z7974" s="1"/>
      <c r="AA7974" s="1"/>
      <c r="AB7974" s="1"/>
    </row>
    <row r="7975" ht="50.25" customHeight="1">
      <c r="A7975" s="12">
        <v>7971.0</v>
      </c>
      <c r="B7975" s="13" t="s">
        <v>7680</v>
      </c>
      <c r="C7975" s="18" t="s">
        <v>8000</v>
      </c>
      <c r="D7975" s="1"/>
      <c r="E7975" s="1"/>
      <c r="F7975" s="1" t="str">
        <f>IFERROR(__xludf.DUMMYFUNCTION("GOOGLETRANSLATE(B7975, ""en"", ""fa"")
"),"درخواست برای معلمان")</f>
        <v>درخواست برای معلمان</v>
      </c>
      <c r="G7975" s="1" t="str">
        <f>IFERROR(__xludf.DUMMYFUNCTION("GOOGLETRANSLATE(C7975, ""en"", ""fa"")
"),"در مورد تأثیر ترکیب حرکت و وقفه های مغزی در حفظ تمرکز و مشارکت دانش آموز بحث کنید.")</f>
        <v>در مورد تأثیر ترکیب حرکت و وقفه های مغزی در حفظ تمرکز و مشارکت دانش آموز بحث کنید.</v>
      </c>
      <c r="H7975" s="1"/>
      <c r="I7975" s="1"/>
      <c r="J7975" s="1"/>
      <c r="K7975" s="1"/>
      <c r="L7975" s="1"/>
      <c r="M7975" s="1"/>
      <c r="N7975" s="1"/>
      <c r="O7975" s="1"/>
      <c r="P7975" s="1"/>
      <c r="Q7975" s="1"/>
      <c r="R7975" s="1"/>
      <c r="S7975" s="1"/>
      <c r="T7975" s="1"/>
      <c r="U7975" s="1"/>
      <c r="V7975" s="1"/>
      <c r="W7975" s="1"/>
      <c r="X7975" s="1"/>
      <c r="Y7975" s="1"/>
      <c r="Z7975" s="1"/>
      <c r="AA7975" s="1"/>
      <c r="AB7975" s="1"/>
    </row>
    <row r="7976" ht="50.25" customHeight="1">
      <c r="A7976" s="12">
        <v>7972.0</v>
      </c>
      <c r="B7976" s="13" t="s">
        <v>7680</v>
      </c>
      <c r="C7976" s="18" t="s">
        <v>8001</v>
      </c>
      <c r="D7976" s="1"/>
      <c r="E7976" s="1"/>
      <c r="F7976" s="1" t="str">
        <f>IFERROR(__xludf.DUMMYFUNCTION("GOOGLETRANSLATE(B7976, ""en"", ""fa"")
"),"درخواست برای معلمان")</f>
        <v>درخواست برای معلمان</v>
      </c>
      <c r="G7976" s="1" t="str">
        <f>IFERROR(__xludf.DUMMYFUNCTION("GOOGLETRANSLATE(C7976, ""en"", ""fa"")
"),"تجربیات خود را در مورد استراتژی های موفق برای مدیریت انتقال دانش آموزان بین فعالیت های مختلف یادگیری به اشتراک بگذارید.")</f>
        <v>تجربیات خود را در مورد استراتژی های موفق برای مدیریت انتقال دانش آموزان بین فعالیت های مختلف یادگیری به اشتراک بگذارید.</v>
      </c>
      <c r="H7976" s="1"/>
      <c r="I7976" s="1"/>
      <c r="J7976" s="1"/>
      <c r="K7976" s="1"/>
      <c r="L7976" s="1"/>
      <c r="M7976" s="1"/>
      <c r="N7976" s="1"/>
      <c r="O7976" s="1"/>
      <c r="P7976" s="1"/>
      <c r="Q7976" s="1"/>
      <c r="R7976" s="1"/>
      <c r="S7976" s="1"/>
      <c r="T7976" s="1"/>
      <c r="U7976" s="1"/>
      <c r="V7976" s="1"/>
      <c r="W7976" s="1"/>
      <c r="X7976" s="1"/>
      <c r="Y7976" s="1"/>
      <c r="Z7976" s="1"/>
      <c r="AA7976" s="1"/>
      <c r="AB7976" s="1"/>
    </row>
    <row r="7977" ht="50.25" customHeight="1">
      <c r="A7977" s="12">
        <v>7973.0</v>
      </c>
      <c r="B7977" s="13" t="s">
        <v>7680</v>
      </c>
      <c r="C7977" s="18" t="s">
        <v>8002</v>
      </c>
      <c r="D7977" s="1"/>
      <c r="E7977" s="1"/>
      <c r="F7977" s="1" t="str">
        <f>IFERROR(__xludf.DUMMYFUNCTION("GOOGLETRANSLATE(B7977, ""en"", ""fa"")
"),"درخواست برای معلمان")</f>
        <v>درخواست برای معلمان</v>
      </c>
      <c r="G7977" s="1" t="str">
        <f>IFERROR(__xludf.DUMMYFUNCTION("GOOGLETRANSLATE(C7977, ""en"", ""fa"")
"),"راه‌هایی را برای ایجاد یک محیط کلاسی پاسخگوی فرهنگی که به تنوع ارزش می‌دهد و فراگیری را ترویج می‌کند، کاوش کنید.")</f>
        <v>راه‌هایی را برای ایجاد یک محیط کلاسی پاسخگوی فرهنگی که به تنوع ارزش می‌دهد و فراگیری را ترویج می‌کند، کاوش کنید.</v>
      </c>
      <c r="H7977" s="1"/>
      <c r="I7977" s="1"/>
      <c r="J7977" s="1"/>
      <c r="K7977" s="1"/>
      <c r="L7977" s="1"/>
      <c r="M7977" s="1"/>
      <c r="N7977" s="1"/>
      <c r="O7977" s="1"/>
      <c r="P7977" s="1"/>
      <c r="Q7977" s="1"/>
      <c r="R7977" s="1"/>
      <c r="S7977" s="1"/>
      <c r="T7977" s="1"/>
      <c r="U7977" s="1"/>
      <c r="V7977" s="1"/>
      <c r="W7977" s="1"/>
      <c r="X7977" s="1"/>
      <c r="Y7977" s="1"/>
      <c r="Z7977" s="1"/>
      <c r="AA7977" s="1"/>
      <c r="AB7977" s="1"/>
    </row>
    <row r="7978" ht="50.25" customHeight="1">
      <c r="A7978" s="12">
        <v>7974.0</v>
      </c>
      <c r="B7978" s="13" t="s">
        <v>7680</v>
      </c>
      <c r="C7978" s="18" t="s">
        <v>8003</v>
      </c>
      <c r="D7978" s="1"/>
      <c r="E7978" s="1"/>
      <c r="F7978" s="1" t="str">
        <f>IFERROR(__xludf.DUMMYFUNCTION("GOOGLETRANSLATE(B7978, ""en"", ""fa"")
"),"درخواست برای معلمان")</f>
        <v>درخواست برای معلمان</v>
      </c>
      <c r="G7978" s="1" t="str">
        <f>IFERROR(__xludf.DUMMYFUNCTION("GOOGLETRANSLATE(C7978, ""en"", ""fa"")
"),"در مورد نقش روابط مثبت معلم و دانش آموز در مدیریت موثر کلاس بحث کنید.")</f>
        <v>در مورد نقش روابط مثبت معلم و دانش آموز در مدیریت موثر کلاس بحث کنید.</v>
      </c>
      <c r="H7978" s="1"/>
      <c r="I7978" s="1"/>
      <c r="J7978" s="1"/>
      <c r="K7978" s="1"/>
      <c r="L7978" s="1"/>
      <c r="M7978" s="1"/>
      <c r="N7978" s="1"/>
      <c r="O7978" s="1"/>
      <c r="P7978" s="1"/>
      <c r="Q7978" s="1"/>
      <c r="R7978" s="1"/>
      <c r="S7978" s="1"/>
      <c r="T7978" s="1"/>
      <c r="U7978" s="1"/>
      <c r="V7978" s="1"/>
      <c r="W7978" s="1"/>
      <c r="X7978" s="1"/>
      <c r="Y7978" s="1"/>
      <c r="Z7978" s="1"/>
      <c r="AA7978" s="1"/>
      <c r="AB7978" s="1"/>
    </row>
    <row r="7979" ht="50.25" customHeight="1">
      <c r="A7979" s="12">
        <v>7975.0</v>
      </c>
      <c r="B7979" s="13" t="s">
        <v>7680</v>
      </c>
      <c r="C7979" s="18" t="s">
        <v>8004</v>
      </c>
      <c r="D7979" s="1"/>
      <c r="E7979" s="1"/>
      <c r="F7979" s="1" t="str">
        <f>IFERROR(__xludf.DUMMYFUNCTION("GOOGLETRANSLATE(B7979, ""en"", ""fa"")
"),"درخواست برای معلمان")</f>
        <v>درخواست برای معلمان</v>
      </c>
      <c r="G7979" s="1" t="str">
        <f>IFERROR(__xludf.DUMMYFUNCTION("GOOGLETRANSLATE(C7979, ""en"", ""fa"")
"),"بینش خود را در مورد استراتژی های موثر برای مدیریت رفتارهای چالش برانگیز دانش آموزان و اجرای طرح های مداخله رفتاری به اشتراک بگذارید.")</f>
        <v>بینش خود را در مورد استراتژی های موثر برای مدیریت رفتارهای چالش برانگیز دانش آموزان و اجرای طرح های مداخله رفتاری به اشتراک بگذارید.</v>
      </c>
      <c r="H7979" s="1"/>
      <c r="I7979" s="1"/>
      <c r="J7979" s="1"/>
      <c r="K7979" s="1"/>
      <c r="L7979" s="1"/>
      <c r="M7979" s="1"/>
      <c r="N7979" s="1"/>
      <c r="O7979" s="1"/>
      <c r="P7979" s="1"/>
      <c r="Q7979" s="1"/>
      <c r="R7979" s="1"/>
      <c r="S7979" s="1"/>
      <c r="T7979" s="1"/>
      <c r="U7979" s="1"/>
      <c r="V7979" s="1"/>
      <c r="W7979" s="1"/>
      <c r="X7979" s="1"/>
      <c r="Y7979" s="1"/>
      <c r="Z7979" s="1"/>
      <c r="AA7979" s="1"/>
      <c r="AB7979" s="1"/>
    </row>
    <row r="7980" ht="50.25" customHeight="1">
      <c r="A7980" s="12">
        <v>7976.0</v>
      </c>
      <c r="B7980" s="13" t="s">
        <v>7680</v>
      </c>
      <c r="C7980" s="18" t="s">
        <v>8005</v>
      </c>
      <c r="D7980" s="1"/>
      <c r="E7980" s="1"/>
      <c r="F7980" s="1" t="str">
        <f>IFERROR(__xludf.DUMMYFUNCTION("GOOGLETRANSLATE(B7980, ""en"", ""fa"")
"),"درخواست برای معلمان")</f>
        <v>درخواست برای معلمان</v>
      </c>
      <c r="G7980" s="1" t="str">
        <f>IFERROR(__xludf.DUMMYFUNCTION("GOOGLETRANSLATE(C7980, ""en"", ""fa"")
"),"تکنیک‌هایی را برای ترویج مشارکت فعال و کاهش رفتار خارج از وظیفه در طول آموزش کل کلاس بررسی کنید.")</f>
        <v>تکنیک‌هایی را برای ترویج مشارکت فعال و کاهش رفتار خارج از وظیفه در طول آموزش کل کلاس بررسی کنید.</v>
      </c>
      <c r="H7980" s="1"/>
      <c r="I7980" s="1"/>
      <c r="J7980" s="1"/>
      <c r="K7980" s="1"/>
      <c r="L7980" s="1"/>
      <c r="M7980" s="1"/>
      <c r="N7980" s="1"/>
      <c r="O7980" s="1"/>
      <c r="P7980" s="1"/>
      <c r="Q7980" s="1"/>
      <c r="R7980" s="1"/>
      <c r="S7980" s="1"/>
      <c r="T7980" s="1"/>
      <c r="U7980" s="1"/>
      <c r="V7980" s="1"/>
      <c r="W7980" s="1"/>
      <c r="X7980" s="1"/>
      <c r="Y7980" s="1"/>
      <c r="Z7980" s="1"/>
      <c r="AA7980" s="1"/>
      <c r="AB7980" s="1"/>
    </row>
    <row r="7981" ht="50.25" customHeight="1">
      <c r="A7981" s="12">
        <v>7977.0</v>
      </c>
      <c r="B7981" s="13" t="s">
        <v>7680</v>
      </c>
      <c r="C7981" s="18" t="s">
        <v>8006</v>
      </c>
      <c r="D7981" s="1"/>
      <c r="E7981" s="1"/>
      <c r="F7981" s="1" t="str">
        <f>IFERROR(__xludf.DUMMYFUNCTION("GOOGLETRANSLATE(B7981, ""en"", ""fa"")
"),"درخواست برای معلمان")</f>
        <v>درخواست برای معلمان</v>
      </c>
      <c r="G7981" s="1" t="str">
        <f>IFERROR(__xludf.DUMMYFUNCTION("GOOGLETRANSLATE(C7981, ""en"", ""fa"")
"),"در مورد اهمیت ایجاد روالهای ثابت برای سازماندهی و توزیع مواد بحث کنید.")</f>
        <v>در مورد اهمیت ایجاد روالهای ثابت برای سازماندهی و توزیع مواد بحث کنید.</v>
      </c>
      <c r="H7981" s="1"/>
      <c r="I7981" s="1"/>
      <c r="J7981" s="1"/>
      <c r="K7981" s="1"/>
      <c r="L7981" s="1"/>
      <c r="M7981" s="1"/>
      <c r="N7981" s="1"/>
      <c r="O7981" s="1"/>
      <c r="P7981" s="1"/>
      <c r="Q7981" s="1"/>
      <c r="R7981" s="1"/>
      <c r="S7981" s="1"/>
      <c r="T7981" s="1"/>
      <c r="U7981" s="1"/>
      <c r="V7981" s="1"/>
      <c r="W7981" s="1"/>
      <c r="X7981" s="1"/>
      <c r="Y7981" s="1"/>
      <c r="Z7981" s="1"/>
      <c r="AA7981" s="1"/>
      <c r="AB7981" s="1"/>
    </row>
    <row r="7982" ht="50.25" customHeight="1">
      <c r="A7982" s="12">
        <v>7978.0</v>
      </c>
      <c r="B7982" s="13" t="s">
        <v>7680</v>
      </c>
      <c r="C7982" s="18" t="s">
        <v>8007</v>
      </c>
      <c r="D7982" s="1"/>
      <c r="E7982" s="1"/>
      <c r="F7982" s="1" t="str">
        <f>IFERROR(__xludf.DUMMYFUNCTION("GOOGLETRANSLATE(B7982, ""en"", ""fa"")
"),"درخواست برای معلمان")</f>
        <v>درخواست برای معلمان</v>
      </c>
      <c r="G7982" s="1" t="str">
        <f>IFERROR(__xludf.DUMMYFUNCTION("GOOGLETRANSLATE(C7982, ""en"", ""fa"")
"),"تجربیات خود را در مورد استراتژی های موفق برای مدیریت سطوح سر و صدا و ترویج یک محیط کاری آرام به اشتراک بگذارید.")</f>
        <v>تجربیات خود را در مورد استراتژی های موفق برای مدیریت سطوح سر و صدا و ترویج یک محیط کاری آرام به اشتراک بگذارید.</v>
      </c>
      <c r="H7982" s="1"/>
      <c r="I7982" s="1"/>
      <c r="J7982" s="1"/>
      <c r="K7982" s="1"/>
      <c r="L7982" s="1"/>
      <c r="M7982" s="1"/>
      <c r="N7982" s="1"/>
      <c r="O7982" s="1"/>
      <c r="P7982" s="1"/>
      <c r="Q7982" s="1"/>
      <c r="R7982" s="1"/>
      <c r="S7982" s="1"/>
      <c r="T7982" s="1"/>
      <c r="U7982" s="1"/>
      <c r="V7982" s="1"/>
      <c r="W7982" s="1"/>
      <c r="X7982" s="1"/>
      <c r="Y7982" s="1"/>
      <c r="Z7982" s="1"/>
      <c r="AA7982" s="1"/>
      <c r="AB7982" s="1"/>
    </row>
    <row r="7983" ht="50.25" customHeight="1">
      <c r="A7983" s="12">
        <v>7979.0</v>
      </c>
      <c r="B7983" s="13" t="s">
        <v>7680</v>
      </c>
      <c r="C7983" s="18" t="s">
        <v>8008</v>
      </c>
      <c r="D7983" s="1"/>
      <c r="E7983" s="1"/>
      <c r="F7983" s="1" t="str">
        <f>IFERROR(__xludf.DUMMYFUNCTION("GOOGLETRANSLATE(B7983, ""en"", ""fa"")
"),"درخواست برای معلمان")</f>
        <v>درخواست برای معلمان</v>
      </c>
      <c r="G7983" s="1" t="str">
        <f>IFERROR(__xludf.DUMMYFUNCTION("GOOGLETRANSLATE(C7983, ""en"", ""fa"")
"),"راه‌هایی برای ارتقای مهارت‌های خوداندیشی و هدف‌گذاری در دانش‌آموزان از طریق شیوه‌های مدیریت کلاس درس را بررسی کنید.")</f>
        <v>راه‌هایی برای ارتقای مهارت‌های خوداندیشی و هدف‌گذاری در دانش‌آموزان از طریق شیوه‌های مدیریت کلاس درس را بررسی کنید.</v>
      </c>
      <c r="H7983" s="1"/>
      <c r="I7983" s="1"/>
      <c r="J7983" s="1"/>
      <c r="K7983" s="1"/>
      <c r="L7983" s="1"/>
      <c r="M7983" s="1"/>
      <c r="N7983" s="1"/>
      <c r="O7983" s="1"/>
      <c r="P7983" s="1"/>
      <c r="Q7983" s="1"/>
      <c r="R7983" s="1"/>
      <c r="S7983" s="1"/>
      <c r="T7983" s="1"/>
      <c r="U7983" s="1"/>
      <c r="V7983" s="1"/>
      <c r="W7983" s="1"/>
      <c r="X7983" s="1"/>
      <c r="Y7983" s="1"/>
      <c r="Z7983" s="1"/>
      <c r="AA7983" s="1"/>
      <c r="AB7983" s="1"/>
    </row>
    <row r="7984" ht="50.25" customHeight="1">
      <c r="A7984" s="12">
        <v>7980.0</v>
      </c>
      <c r="B7984" s="13" t="s">
        <v>7680</v>
      </c>
      <c r="C7984" s="18" t="s">
        <v>8009</v>
      </c>
      <c r="D7984" s="1"/>
      <c r="E7984" s="1"/>
      <c r="F7984" s="1" t="str">
        <f>IFERROR(__xludf.DUMMYFUNCTION("GOOGLETRANSLATE(B7984, ""en"", ""fa"")
"),"درخواست برای معلمان")</f>
        <v>درخواست برای معلمان</v>
      </c>
      <c r="G7984" s="1" t="str">
        <f>IFERROR(__xludf.DUMMYFUNCTION("GOOGLETRANSLATE(C7984, ""en"", ""fa"")
"),"درباره تأثیر گنجاندن فرصت‌های یادگیری حرکتی و حرکتی در مدیریت کلاس بحث کنید.")</f>
        <v>درباره تأثیر گنجاندن فرصت‌های یادگیری حرکتی و حرکتی در مدیریت کلاس بحث کنید.</v>
      </c>
      <c r="H7984" s="1"/>
      <c r="I7984" s="1"/>
      <c r="J7984" s="1"/>
      <c r="K7984" s="1"/>
      <c r="L7984" s="1"/>
      <c r="M7984" s="1"/>
      <c r="N7984" s="1"/>
      <c r="O7984" s="1"/>
      <c r="P7984" s="1"/>
      <c r="Q7984" s="1"/>
      <c r="R7984" s="1"/>
      <c r="S7984" s="1"/>
      <c r="T7984" s="1"/>
      <c r="U7984" s="1"/>
      <c r="V7984" s="1"/>
      <c r="W7984" s="1"/>
      <c r="X7984" s="1"/>
      <c r="Y7984" s="1"/>
      <c r="Z7984" s="1"/>
      <c r="AA7984" s="1"/>
      <c r="AB7984" s="1"/>
    </row>
    <row r="7985" ht="50.25" customHeight="1">
      <c r="A7985" s="12">
        <v>7981.0</v>
      </c>
      <c r="B7985" s="13" t="s">
        <v>7680</v>
      </c>
      <c r="C7985" s="18" t="s">
        <v>8010</v>
      </c>
      <c r="D7985" s="1"/>
      <c r="E7985" s="1"/>
      <c r="F7985" s="1" t="str">
        <f>IFERROR(__xludf.DUMMYFUNCTION("GOOGLETRANSLATE(B7985, ""en"", ""fa"")
"),"درخواست برای معلمان")</f>
        <v>درخواست برای معلمان</v>
      </c>
      <c r="G7985" s="1" t="str">
        <f>IFERROR(__xludf.DUMMYFUNCTION("GOOGLETRANSLATE(C7985, ""en"", ""fa"")
"),"بینش خود را در مورد استراتژی های موثر برای مدیریت انتقال دانش آموزان در طول رویدادها و مجالس خاص به اشتراک بگذارید.")</f>
        <v>بینش خود را در مورد استراتژی های موثر برای مدیریت انتقال دانش آموزان در طول رویدادها و مجالس خاص به اشتراک بگذارید.</v>
      </c>
      <c r="H7985" s="1"/>
      <c r="I7985" s="1"/>
      <c r="J7985" s="1"/>
      <c r="K7985" s="1"/>
      <c r="L7985" s="1"/>
      <c r="M7985" s="1"/>
      <c r="N7985" s="1"/>
      <c r="O7985" s="1"/>
      <c r="P7985" s="1"/>
      <c r="Q7985" s="1"/>
      <c r="R7985" s="1"/>
      <c r="S7985" s="1"/>
      <c r="T7985" s="1"/>
      <c r="U7985" s="1"/>
      <c r="V7985" s="1"/>
      <c r="W7985" s="1"/>
      <c r="X7985" s="1"/>
      <c r="Y7985" s="1"/>
      <c r="Z7985" s="1"/>
      <c r="AA7985" s="1"/>
      <c r="AB7985" s="1"/>
    </row>
    <row r="7986" ht="50.25" customHeight="1">
      <c r="A7986" s="12">
        <v>7982.0</v>
      </c>
      <c r="B7986" s="13" t="s">
        <v>7680</v>
      </c>
      <c r="C7986" s="18" t="s">
        <v>8011</v>
      </c>
      <c r="D7986" s="1"/>
      <c r="E7986" s="1"/>
      <c r="F7986" s="1" t="str">
        <f>IFERROR(__xludf.DUMMYFUNCTION("GOOGLETRANSLATE(B7986, ""en"", ""fa"")
"),"درخواست برای معلمان")</f>
        <v>درخواست برای معلمان</v>
      </c>
      <c r="G7986" s="1" t="str">
        <f>IFERROR(__xludf.DUMMYFUNCTION("GOOGLETRANSLATE(C7986, ""en"", ""fa"")
"),"تکنیک‌هایی را برای ایجاد پشتیبان‌های بصری و نشانه‌ها برای تقویت قوانین و انتظارات کلاس بررسی کنید.")</f>
        <v>تکنیک‌هایی را برای ایجاد پشتیبان‌های بصری و نشانه‌ها برای تقویت قوانین و انتظارات کلاس بررسی کنید.</v>
      </c>
      <c r="H7986" s="1"/>
      <c r="I7986" s="1"/>
      <c r="J7986" s="1"/>
      <c r="K7986" s="1"/>
      <c r="L7986" s="1"/>
      <c r="M7986" s="1"/>
      <c r="N7986" s="1"/>
      <c r="O7986" s="1"/>
      <c r="P7986" s="1"/>
      <c r="Q7986" s="1"/>
      <c r="R7986" s="1"/>
      <c r="S7986" s="1"/>
      <c r="T7986" s="1"/>
      <c r="U7986" s="1"/>
      <c r="V7986" s="1"/>
      <c r="W7986" s="1"/>
      <c r="X7986" s="1"/>
      <c r="Y7986" s="1"/>
      <c r="Z7986" s="1"/>
      <c r="AA7986" s="1"/>
      <c r="AB7986" s="1"/>
    </row>
    <row r="7987" ht="50.25" customHeight="1">
      <c r="A7987" s="12">
        <v>7983.0</v>
      </c>
      <c r="B7987" s="13" t="s">
        <v>7680</v>
      </c>
      <c r="C7987" s="18" t="s">
        <v>8012</v>
      </c>
      <c r="D7987" s="1"/>
      <c r="E7987" s="1"/>
      <c r="F7987" s="1" t="str">
        <f>IFERROR(__xludf.DUMMYFUNCTION("GOOGLETRANSLATE(B7987, ""en"", ""fa"")
"),"درخواست برای معلمان")</f>
        <v>درخواست برای معلمان</v>
      </c>
      <c r="G7987" s="1" t="str">
        <f>IFERROR(__xludf.DUMMYFUNCTION("GOOGLETRANSLATE(C7987, ""en"", ""fa"")
"),"درباره نقش شیوه های ترمیمی در ایجاد فرهنگ مثبت کلاس درس و پرداختن به مسائل رفتاری بحث کنید.")</f>
        <v>درباره نقش شیوه های ترمیمی در ایجاد فرهنگ مثبت کلاس درس و پرداختن به مسائل رفتاری بحث کنید.</v>
      </c>
      <c r="H7987" s="1"/>
      <c r="I7987" s="1"/>
      <c r="J7987" s="1"/>
      <c r="K7987" s="1"/>
      <c r="L7987" s="1"/>
      <c r="M7987" s="1"/>
      <c r="N7987" s="1"/>
      <c r="O7987" s="1"/>
      <c r="P7987" s="1"/>
      <c r="Q7987" s="1"/>
      <c r="R7987" s="1"/>
      <c r="S7987" s="1"/>
      <c r="T7987" s="1"/>
      <c r="U7987" s="1"/>
      <c r="V7987" s="1"/>
      <c r="W7987" s="1"/>
      <c r="X7987" s="1"/>
      <c r="Y7987" s="1"/>
      <c r="Z7987" s="1"/>
      <c r="AA7987" s="1"/>
      <c r="AB7987" s="1"/>
    </row>
    <row r="7988" ht="50.25" customHeight="1">
      <c r="A7988" s="12">
        <v>7984.0</v>
      </c>
      <c r="B7988" s="13" t="s">
        <v>7680</v>
      </c>
      <c r="C7988" s="18" t="s">
        <v>8013</v>
      </c>
      <c r="D7988" s="1"/>
      <c r="E7988" s="1"/>
      <c r="F7988" s="1" t="str">
        <f>IFERROR(__xludf.DUMMYFUNCTION("GOOGLETRANSLATE(B7988, ""en"", ""fa"")
"),"درخواست برای معلمان")</f>
        <v>درخواست برای معلمان</v>
      </c>
      <c r="G7988" s="1" t="str">
        <f>IFERROR(__xludf.DUMMYFUNCTION("GOOGLETRANSLATE(C7988, ""en"", ""fa"")
"),"تجربیات خود را در مورد استراتژی های موفق برای مدیریت رفتار خارج از وظیفه و تمرکز مجدد توجه دانش آموزان به اشتراک بگذارید.")</f>
        <v>تجربیات خود را در مورد استراتژی های موفق برای مدیریت رفتار خارج از وظیفه و تمرکز مجدد توجه دانش آموزان به اشتراک بگذارید.</v>
      </c>
      <c r="H7988" s="1"/>
      <c r="I7988" s="1"/>
      <c r="J7988" s="1"/>
      <c r="K7988" s="1"/>
      <c r="L7988" s="1"/>
      <c r="M7988" s="1"/>
      <c r="N7988" s="1"/>
      <c r="O7988" s="1"/>
      <c r="P7988" s="1"/>
      <c r="Q7988" s="1"/>
      <c r="R7988" s="1"/>
      <c r="S7988" s="1"/>
      <c r="T7988" s="1"/>
      <c r="U7988" s="1"/>
      <c r="V7988" s="1"/>
      <c r="W7988" s="1"/>
      <c r="X7988" s="1"/>
      <c r="Y7988" s="1"/>
      <c r="Z7988" s="1"/>
      <c r="AA7988" s="1"/>
      <c r="AB7988" s="1"/>
    </row>
    <row r="7989" ht="50.25" customHeight="1">
      <c r="A7989" s="12">
        <v>7985.0</v>
      </c>
      <c r="B7989" s="13" t="s">
        <v>7680</v>
      </c>
      <c r="C7989" s="18" t="s">
        <v>8014</v>
      </c>
      <c r="D7989" s="1"/>
      <c r="E7989" s="1"/>
      <c r="F7989" s="1" t="str">
        <f>IFERROR(__xludf.DUMMYFUNCTION("GOOGLETRANSLATE(B7989, ""en"", ""fa"")
"),"درخواست برای معلمان")</f>
        <v>درخواست برای معلمان</v>
      </c>
      <c r="G7989" s="1" t="str">
        <f>IFERROR(__xludf.DUMMYFUNCTION("GOOGLETRANSLATE(C7989, ""en"", ""fa"")
"),"راه‌هایی را برای ادغام ابزارهای فناوری برای مدیریت کلاس درس، مانند برنامه‌های ردیابی رفتار یا تایمرها، کاوش کنید.")</f>
        <v>راه‌هایی را برای ادغام ابزارهای فناوری برای مدیریت کلاس درس، مانند برنامه‌های ردیابی رفتار یا تایمرها، کاوش کنید.</v>
      </c>
      <c r="H7989" s="1"/>
      <c r="I7989" s="1"/>
      <c r="J7989" s="1"/>
      <c r="K7989" s="1"/>
      <c r="L7989" s="1"/>
      <c r="M7989" s="1"/>
      <c r="N7989" s="1"/>
      <c r="O7989" s="1"/>
      <c r="P7989" s="1"/>
      <c r="Q7989" s="1"/>
      <c r="R7989" s="1"/>
      <c r="S7989" s="1"/>
      <c r="T7989" s="1"/>
      <c r="U7989" s="1"/>
      <c r="V7989" s="1"/>
      <c r="W7989" s="1"/>
      <c r="X7989" s="1"/>
      <c r="Y7989" s="1"/>
      <c r="Z7989" s="1"/>
      <c r="AA7989" s="1"/>
      <c r="AB7989" s="1"/>
    </row>
    <row r="7990" ht="50.25" customHeight="1">
      <c r="A7990" s="12">
        <v>7986.0</v>
      </c>
      <c r="B7990" s="13" t="s">
        <v>7680</v>
      </c>
      <c r="C7990" s="18" t="s">
        <v>8015</v>
      </c>
      <c r="D7990" s="1"/>
      <c r="E7990" s="1"/>
      <c r="F7990" s="1" t="str">
        <f>IFERROR(__xludf.DUMMYFUNCTION("GOOGLETRANSLATE(B7990, ""en"", ""fa"")
"),"درخواست برای معلمان")</f>
        <v>درخواست برای معلمان</v>
      </c>
      <c r="G7990" s="1" t="str">
        <f>IFERROR(__xludf.DUMMYFUNCTION("GOOGLETRANSLATE(C7990, ""en"", ""fa"")
"),"در مورد اهمیت ارائه بازخورد روشن و به موقع به دانش آموزان در مورد رفتار و پیشرفت آنها بحث کنید.")</f>
        <v>در مورد اهمیت ارائه بازخورد روشن و به موقع به دانش آموزان در مورد رفتار و پیشرفت آنها بحث کنید.</v>
      </c>
      <c r="H7990" s="1"/>
      <c r="I7990" s="1"/>
      <c r="J7990" s="1"/>
      <c r="K7990" s="1"/>
      <c r="L7990" s="1"/>
      <c r="M7990" s="1"/>
      <c r="N7990" s="1"/>
      <c r="O7990" s="1"/>
      <c r="P7990" s="1"/>
      <c r="Q7990" s="1"/>
      <c r="R7990" s="1"/>
      <c r="S7990" s="1"/>
      <c r="T7990" s="1"/>
      <c r="U7990" s="1"/>
      <c r="V7990" s="1"/>
      <c r="W7990" s="1"/>
      <c r="X7990" s="1"/>
      <c r="Y7990" s="1"/>
      <c r="Z7990" s="1"/>
      <c r="AA7990" s="1"/>
      <c r="AB7990" s="1"/>
    </row>
    <row r="7991" ht="50.25" customHeight="1">
      <c r="A7991" s="12">
        <v>7987.0</v>
      </c>
      <c r="B7991" s="13" t="s">
        <v>7680</v>
      </c>
      <c r="C7991" s="18" t="s">
        <v>8016</v>
      </c>
      <c r="D7991" s="1"/>
      <c r="E7991" s="1"/>
      <c r="F7991" s="1" t="str">
        <f>IFERROR(__xludf.DUMMYFUNCTION("GOOGLETRANSLATE(B7991, ""en"", ""fa"")
"),"درخواست برای معلمان")</f>
        <v>درخواست برای معلمان</v>
      </c>
      <c r="G7991" s="1" t="str">
        <f>IFERROR(__xludf.DUMMYFUNCTION("GOOGLETRANSLATE(C7991, ""en"", ""fa"")
"),"بینش خود را در مورد استراتژی های موثر برای مدیریت اضطراب دانش آموز و ترویج یک محیط یادگیری امن به اشتراک بگذارید.")</f>
        <v>بینش خود را در مورد استراتژی های موثر برای مدیریت اضطراب دانش آموز و ترویج یک محیط یادگیری امن به اشتراک بگذارید.</v>
      </c>
      <c r="H7991" s="1"/>
      <c r="I7991" s="1"/>
      <c r="J7991" s="1"/>
      <c r="K7991" s="1"/>
      <c r="L7991" s="1"/>
      <c r="M7991" s="1"/>
      <c r="N7991" s="1"/>
      <c r="O7991" s="1"/>
      <c r="P7991" s="1"/>
      <c r="Q7991" s="1"/>
      <c r="R7991" s="1"/>
      <c r="S7991" s="1"/>
      <c r="T7991" s="1"/>
      <c r="U7991" s="1"/>
      <c r="V7991" s="1"/>
      <c r="W7991" s="1"/>
      <c r="X7991" s="1"/>
      <c r="Y7991" s="1"/>
      <c r="Z7991" s="1"/>
      <c r="AA7991" s="1"/>
      <c r="AB7991" s="1"/>
    </row>
    <row r="7992" ht="50.25" customHeight="1">
      <c r="A7992" s="12">
        <v>7988.0</v>
      </c>
      <c r="B7992" s="13" t="s">
        <v>7680</v>
      </c>
      <c r="C7992" s="18" t="s">
        <v>8017</v>
      </c>
      <c r="D7992" s="1"/>
      <c r="E7992" s="1"/>
      <c r="F7992" s="1" t="str">
        <f>IFERROR(__xludf.DUMMYFUNCTION("GOOGLETRANSLATE(B7992, ""en"", ""fa"")
"),"درخواست برای معلمان")</f>
        <v>درخواست برای معلمان</v>
      </c>
      <c r="G7992" s="1" t="str">
        <f>IFERROR(__xludf.DUMMYFUNCTION("GOOGLETRANSLATE(C7992, ""en"", ""fa"")
"),"تکنیک‌هایی را برای ترویج مشارکت فعال و کاهش حواس‌پرتی در طول زمان کار مستقل بررسی کنید.")</f>
        <v>تکنیک‌هایی را برای ترویج مشارکت فعال و کاهش حواس‌پرتی در طول زمان کار مستقل بررسی کنید.</v>
      </c>
      <c r="H7992" s="1"/>
      <c r="I7992" s="1"/>
      <c r="J7992" s="1"/>
      <c r="K7992" s="1"/>
      <c r="L7992" s="1"/>
      <c r="M7992" s="1"/>
      <c r="N7992" s="1"/>
      <c r="O7992" s="1"/>
      <c r="P7992" s="1"/>
      <c r="Q7992" s="1"/>
      <c r="R7992" s="1"/>
      <c r="S7992" s="1"/>
      <c r="T7992" s="1"/>
      <c r="U7992" s="1"/>
      <c r="V7992" s="1"/>
      <c r="W7992" s="1"/>
      <c r="X7992" s="1"/>
      <c r="Y7992" s="1"/>
      <c r="Z7992" s="1"/>
      <c r="AA7992" s="1"/>
      <c r="AB7992" s="1"/>
    </row>
    <row r="7993" ht="50.25" customHeight="1">
      <c r="A7993" s="12">
        <v>7989.0</v>
      </c>
      <c r="B7993" s="13" t="s">
        <v>7680</v>
      </c>
      <c r="C7993" s="18" t="s">
        <v>8018</v>
      </c>
      <c r="D7993" s="1"/>
      <c r="E7993" s="1"/>
      <c r="F7993" s="1" t="str">
        <f>IFERROR(__xludf.DUMMYFUNCTION("GOOGLETRANSLATE(B7993, ""en"", ""fa"")
"),"درخواست برای معلمان")</f>
        <v>درخواست برای معلمان</v>
      </c>
      <c r="G7993" s="1" t="str">
        <f>IFERROR(__xludf.DUMMYFUNCTION("GOOGLETRANSLATE(C7993, ""en"", ""fa"")
"),"درباره تأثیر ارتقای صدای دانش‌آموز و انتخاب در تصمیم‌گیری کلاس درس بر مدیریت کلاس بحث کنید.")</f>
        <v>درباره تأثیر ارتقای صدای دانش‌آموز و انتخاب در تصمیم‌گیری کلاس درس بر مدیریت کلاس بحث کنید.</v>
      </c>
      <c r="H7993" s="1"/>
      <c r="I7993" s="1"/>
      <c r="J7993" s="1"/>
      <c r="K7993" s="1"/>
      <c r="L7993" s="1"/>
      <c r="M7993" s="1"/>
      <c r="N7993" s="1"/>
      <c r="O7993" s="1"/>
      <c r="P7993" s="1"/>
      <c r="Q7993" s="1"/>
      <c r="R7993" s="1"/>
      <c r="S7993" s="1"/>
      <c r="T7993" s="1"/>
      <c r="U7993" s="1"/>
      <c r="V7993" s="1"/>
      <c r="W7993" s="1"/>
      <c r="X7993" s="1"/>
      <c r="Y7993" s="1"/>
      <c r="Z7993" s="1"/>
      <c r="AA7993" s="1"/>
      <c r="AB7993" s="1"/>
    </row>
    <row r="7994" ht="50.25" customHeight="1">
      <c r="A7994" s="12">
        <v>7990.0</v>
      </c>
      <c r="B7994" s="13" t="s">
        <v>7680</v>
      </c>
      <c r="C7994" s="18" t="s">
        <v>8019</v>
      </c>
      <c r="D7994" s="1"/>
      <c r="E7994" s="1"/>
      <c r="F7994" s="1" t="str">
        <f>IFERROR(__xludf.DUMMYFUNCTION("GOOGLETRANSLATE(B7994, ""en"", ""fa"")
"),"درخواست برای معلمان")</f>
        <v>درخواست برای معلمان</v>
      </c>
      <c r="G7994" s="1" t="str">
        <f>IFERROR(__xludf.DUMMYFUNCTION("GOOGLETRANSLATE(C7994, ""en"", ""fa"")
"),"تجربیات خود را در مورد استراتژی های موفق برای مدیریت انتقال در طول پروژه های خاص یا فعالیت های عملی به اشتراک بگذارید.")</f>
        <v>تجربیات خود را در مورد استراتژی های موفق برای مدیریت انتقال در طول پروژه های خاص یا فعالیت های عملی به اشتراک بگذارید.</v>
      </c>
      <c r="H7994" s="1"/>
      <c r="I7994" s="1"/>
      <c r="J7994" s="1"/>
      <c r="K7994" s="1"/>
      <c r="L7994" s="1"/>
      <c r="M7994" s="1"/>
      <c r="N7994" s="1"/>
      <c r="O7994" s="1"/>
      <c r="P7994" s="1"/>
      <c r="Q7994" s="1"/>
      <c r="R7994" s="1"/>
      <c r="S7994" s="1"/>
      <c r="T7994" s="1"/>
      <c r="U7994" s="1"/>
      <c r="V7994" s="1"/>
      <c r="W7994" s="1"/>
      <c r="X7994" s="1"/>
      <c r="Y7994" s="1"/>
      <c r="Z7994" s="1"/>
      <c r="AA7994" s="1"/>
      <c r="AB7994" s="1"/>
    </row>
    <row r="7995" ht="50.25" customHeight="1">
      <c r="A7995" s="12">
        <v>7991.0</v>
      </c>
      <c r="B7995" s="13" t="s">
        <v>7680</v>
      </c>
      <c r="C7995" s="18" t="s">
        <v>8020</v>
      </c>
      <c r="D7995" s="1"/>
      <c r="E7995" s="1"/>
      <c r="F7995" s="1" t="str">
        <f>IFERROR(__xludf.DUMMYFUNCTION("GOOGLETRANSLATE(B7995, ""en"", ""fa"")
"),"درخواست برای معلمان")</f>
        <v>درخواست برای معلمان</v>
      </c>
      <c r="G7995" s="1" t="str">
        <f>IFERROR(__xludf.DUMMYFUNCTION("GOOGLETRANSLATE(C7995, ""en"", ""fa"")
"),"راه‌هایی را برای ایجاد رویه‌های سازگار برای کار با مواد و منابع در کلاس درس بررسی کنید.")</f>
        <v>راه‌هایی را برای ایجاد رویه‌های سازگار برای کار با مواد و منابع در کلاس درس بررسی کنید.</v>
      </c>
      <c r="H7995" s="1"/>
      <c r="I7995" s="1"/>
      <c r="J7995" s="1"/>
      <c r="K7995" s="1"/>
      <c r="L7995" s="1"/>
      <c r="M7995" s="1"/>
      <c r="N7995" s="1"/>
      <c r="O7995" s="1"/>
      <c r="P7995" s="1"/>
      <c r="Q7995" s="1"/>
      <c r="R7995" s="1"/>
      <c r="S7995" s="1"/>
      <c r="T7995" s="1"/>
      <c r="U7995" s="1"/>
      <c r="V7995" s="1"/>
      <c r="W7995" s="1"/>
      <c r="X7995" s="1"/>
      <c r="Y7995" s="1"/>
      <c r="Z7995" s="1"/>
      <c r="AA7995" s="1"/>
      <c r="AB7995" s="1"/>
    </row>
    <row r="7996" ht="50.25" customHeight="1">
      <c r="A7996" s="12">
        <v>7992.0</v>
      </c>
      <c r="B7996" s="13" t="s">
        <v>7680</v>
      </c>
      <c r="C7996" s="18" t="s">
        <v>8021</v>
      </c>
      <c r="D7996" s="1"/>
      <c r="E7996" s="1"/>
      <c r="F7996" s="1" t="str">
        <f>IFERROR(__xludf.DUMMYFUNCTION("GOOGLETRANSLATE(B7996, ""en"", ""fa"")
"),"درخواست برای معلمان")</f>
        <v>درخواست برای معلمان</v>
      </c>
      <c r="G7996" s="1" t="str">
        <f>IFERROR(__xludf.DUMMYFUNCTION("GOOGLETRANSLATE(C7996, ""en"", ""fa"")
"),"در مورد نقش مداخلات با واسطه همتا در ترویج رفتار مثبت و مدیریت کلاس بحث کنید.")</f>
        <v>در مورد نقش مداخلات با واسطه همتا در ترویج رفتار مثبت و مدیریت کلاس بحث کنید.</v>
      </c>
      <c r="H7996" s="1"/>
      <c r="I7996" s="1"/>
      <c r="J7996" s="1"/>
      <c r="K7996" s="1"/>
      <c r="L7996" s="1"/>
      <c r="M7996" s="1"/>
      <c r="N7996" s="1"/>
      <c r="O7996" s="1"/>
      <c r="P7996" s="1"/>
      <c r="Q7996" s="1"/>
      <c r="R7996" s="1"/>
      <c r="S7996" s="1"/>
      <c r="T7996" s="1"/>
      <c r="U7996" s="1"/>
      <c r="V7996" s="1"/>
      <c r="W7996" s="1"/>
      <c r="X7996" s="1"/>
      <c r="Y7996" s="1"/>
      <c r="Z7996" s="1"/>
      <c r="AA7996" s="1"/>
      <c r="AB7996" s="1"/>
    </row>
    <row r="7997" ht="50.25" customHeight="1">
      <c r="A7997" s="12">
        <v>7993.0</v>
      </c>
      <c r="B7997" s="13" t="s">
        <v>7680</v>
      </c>
      <c r="C7997" s="18" t="s">
        <v>8022</v>
      </c>
      <c r="D7997" s="1"/>
      <c r="E7997" s="1"/>
      <c r="F7997" s="1" t="str">
        <f>IFERROR(__xludf.DUMMYFUNCTION("GOOGLETRANSLATE(B7997, ""en"", ""fa"")
"),"درخواست برای معلمان")</f>
        <v>درخواست برای معلمان</v>
      </c>
      <c r="G7997" s="1" t="str">
        <f>IFERROR(__xludf.DUMMYFUNCTION("GOOGLETRANSLATE(C7997, ""en"", ""fa"")
"),"بینش خود را در مورد استراتژی های موثر برای مدیریت توجه و مشارکت دانش آموزان در طول بحث های کل گروه به اشتراک بگذارید.")</f>
        <v>بینش خود را در مورد استراتژی های موثر برای مدیریت توجه و مشارکت دانش آموزان در طول بحث های کل گروه به اشتراک بگذارید.</v>
      </c>
      <c r="H7997" s="1"/>
      <c r="I7997" s="1"/>
      <c r="J7997" s="1"/>
      <c r="K7997" s="1"/>
      <c r="L7997" s="1"/>
      <c r="M7997" s="1"/>
      <c r="N7997" s="1"/>
      <c r="O7997" s="1"/>
      <c r="P7997" s="1"/>
      <c r="Q7997" s="1"/>
      <c r="R7997" s="1"/>
      <c r="S7997" s="1"/>
      <c r="T7997" s="1"/>
      <c r="U7997" s="1"/>
      <c r="V7997" s="1"/>
      <c r="W7997" s="1"/>
      <c r="X7997" s="1"/>
      <c r="Y7997" s="1"/>
      <c r="Z7997" s="1"/>
      <c r="AA7997" s="1"/>
      <c r="AB7997" s="1"/>
    </row>
    <row r="7998" ht="50.25" customHeight="1">
      <c r="A7998" s="12">
        <v>7994.0</v>
      </c>
      <c r="B7998" s="13" t="s">
        <v>7680</v>
      </c>
      <c r="C7998" s="18" t="s">
        <v>8023</v>
      </c>
      <c r="D7998" s="1"/>
      <c r="E7998" s="1"/>
      <c r="F7998" s="1" t="str">
        <f>IFERROR(__xludf.DUMMYFUNCTION("GOOGLETRANSLATE(B7998, ""en"", ""fa"")
"),"درخواست برای معلمان")</f>
        <v>درخواست برای معلمان</v>
      </c>
      <c r="G7998" s="1" t="str">
        <f>IFERROR(__xludf.DUMMYFUNCTION("GOOGLETRANSLATE(C7998, ""en"", ""fa"")
"),"تکنیک‌هایی را برای ارتقای جو مثبت کلاس و تقویت حس اجتماعی در بین دانش‌آموزان بررسی کنید.")</f>
        <v>تکنیک‌هایی را برای ارتقای جو مثبت کلاس و تقویت حس اجتماعی در بین دانش‌آموزان بررسی کنید.</v>
      </c>
      <c r="H7998" s="1"/>
      <c r="I7998" s="1"/>
      <c r="J7998" s="1"/>
      <c r="K7998" s="1"/>
      <c r="L7998" s="1"/>
      <c r="M7998" s="1"/>
      <c r="N7998" s="1"/>
      <c r="O7998" s="1"/>
      <c r="P7998" s="1"/>
      <c r="Q7998" s="1"/>
      <c r="R7998" s="1"/>
      <c r="S7998" s="1"/>
      <c r="T7998" s="1"/>
      <c r="U7998" s="1"/>
      <c r="V7998" s="1"/>
      <c r="W7998" s="1"/>
      <c r="X7998" s="1"/>
      <c r="Y7998" s="1"/>
      <c r="Z7998" s="1"/>
      <c r="AA7998" s="1"/>
      <c r="AB7998" s="1"/>
    </row>
    <row r="7999" ht="50.25" customHeight="1">
      <c r="A7999" s="12">
        <v>7995.0</v>
      </c>
      <c r="B7999" s="13" t="s">
        <v>7680</v>
      </c>
      <c r="C7999" s="18" t="s">
        <v>8024</v>
      </c>
      <c r="D7999" s="1"/>
      <c r="E7999" s="1"/>
      <c r="F7999" s="1" t="str">
        <f>IFERROR(__xludf.DUMMYFUNCTION("GOOGLETRANSLATE(B7999, ""en"", ""fa"")
"),"درخواست برای معلمان")</f>
        <v>درخواست برای معلمان</v>
      </c>
      <c r="G7999" s="1" t="str">
        <f>IFERROR(__xludf.DUMMYFUNCTION("GOOGLETRANSLATE(C7999, ""en"", ""fa"")
"),"در مورد اهمیت خودمراقبتی و مدیریت استرس برای معلمان در حفظ مدیریت موثر کلاس بحث کنید.")</f>
        <v>در مورد اهمیت خودمراقبتی و مدیریت استرس برای معلمان در حفظ مدیریت موثر کلاس بحث کنید.</v>
      </c>
      <c r="H7999" s="1"/>
      <c r="I7999" s="1"/>
      <c r="J7999" s="1"/>
      <c r="K7999" s="1"/>
      <c r="L7999" s="1"/>
      <c r="M7999" s="1"/>
      <c r="N7999" s="1"/>
      <c r="O7999" s="1"/>
      <c r="P7999" s="1"/>
      <c r="Q7999" s="1"/>
      <c r="R7999" s="1"/>
      <c r="S7999" s="1"/>
      <c r="T7999" s="1"/>
      <c r="U7999" s="1"/>
      <c r="V7999" s="1"/>
      <c r="W7999" s="1"/>
      <c r="X7999" s="1"/>
      <c r="Y7999" s="1"/>
      <c r="Z7999" s="1"/>
      <c r="AA7999" s="1"/>
      <c r="AB7999" s="1"/>
    </row>
    <row r="8000" ht="50.25" customHeight="1">
      <c r="A8000" s="12">
        <v>7996.0</v>
      </c>
      <c r="B8000" s="13" t="s">
        <v>7680</v>
      </c>
      <c r="C8000" s="18" t="s">
        <v>8025</v>
      </c>
      <c r="D8000" s="1"/>
      <c r="E8000" s="1"/>
      <c r="F8000" s="1" t="str">
        <f>IFERROR(__xludf.DUMMYFUNCTION("GOOGLETRANSLATE(B8000, ""en"", ""fa"")
"),"درخواست برای معلمان")</f>
        <v>درخواست برای معلمان</v>
      </c>
      <c r="G8000" s="1" t="str">
        <f>IFERROR(__xludf.DUMMYFUNCTION("GOOGLETRANSLATE(C8000, ""en"", ""fa"")
"),"تجربیات خود را در مورد استراتژی های موفق برای مدیریت رفتار دانش آموزان در طول سفرهای میدانی یا فعالیت های خارج از منزل به اشتراک بگذارید.")</f>
        <v>تجربیات خود را در مورد استراتژی های موفق برای مدیریت رفتار دانش آموزان در طول سفرهای میدانی یا فعالیت های خارج از منزل به اشتراک بگذارید.</v>
      </c>
      <c r="H8000" s="1"/>
      <c r="I8000" s="1"/>
      <c r="J8000" s="1"/>
      <c r="K8000" s="1"/>
      <c r="L8000" s="1"/>
      <c r="M8000" s="1"/>
      <c r="N8000" s="1"/>
      <c r="O8000" s="1"/>
      <c r="P8000" s="1"/>
      <c r="Q8000" s="1"/>
      <c r="R8000" s="1"/>
      <c r="S8000" s="1"/>
      <c r="T8000" s="1"/>
      <c r="U8000" s="1"/>
      <c r="V8000" s="1"/>
      <c r="W8000" s="1"/>
      <c r="X8000" s="1"/>
      <c r="Y8000" s="1"/>
      <c r="Z8000" s="1"/>
      <c r="AA8000" s="1"/>
      <c r="AB8000" s="1"/>
    </row>
    <row r="8001" ht="50.25" customHeight="1">
      <c r="A8001" s="12">
        <v>7997.0</v>
      </c>
      <c r="B8001" s="13" t="s">
        <v>7680</v>
      </c>
      <c r="C8001" s="18" t="s">
        <v>8026</v>
      </c>
      <c r="D8001" s="1"/>
      <c r="E8001" s="1"/>
      <c r="F8001" s="1" t="str">
        <f>IFERROR(__xludf.DUMMYFUNCTION("GOOGLETRANSLATE(B8001, ""en"", ""fa"")
"),"درخواست برای معلمان")</f>
        <v>درخواست برای معلمان</v>
      </c>
      <c r="G8001" s="1" t="str">
        <f>IFERROR(__xludf.DUMMYFUNCTION("GOOGLETRANSLATE(C8001, ""en"", ""fa"")
"),"راه‌هایی برای پیاده‌سازی قراردادهای رفتاری مؤثر یا سیستم‌های مشوق رفتار برای مدیریت کلاس درس بررسی کنید.")</f>
        <v>راه‌هایی برای پیاده‌سازی قراردادهای رفتاری مؤثر یا سیستم‌های مشوق رفتار برای مدیریت کلاس درس بررسی کنید.</v>
      </c>
      <c r="H8001" s="1"/>
      <c r="I8001" s="1"/>
      <c r="J8001" s="1"/>
      <c r="K8001" s="1"/>
      <c r="L8001" s="1"/>
      <c r="M8001" s="1"/>
      <c r="N8001" s="1"/>
      <c r="O8001" s="1"/>
      <c r="P8001" s="1"/>
      <c r="Q8001" s="1"/>
      <c r="R8001" s="1"/>
      <c r="S8001" s="1"/>
      <c r="T8001" s="1"/>
      <c r="U8001" s="1"/>
      <c r="V8001" s="1"/>
      <c r="W8001" s="1"/>
      <c r="X8001" s="1"/>
      <c r="Y8001" s="1"/>
      <c r="Z8001" s="1"/>
      <c r="AA8001" s="1"/>
      <c r="AB8001" s="1"/>
    </row>
    <row r="8002" ht="50.25" customHeight="1">
      <c r="A8002" s="12">
        <v>7998.0</v>
      </c>
      <c r="B8002" s="13" t="s">
        <v>7680</v>
      </c>
      <c r="C8002" s="18" t="s">
        <v>8027</v>
      </c>
      <c r="D8002" s="1"/>
      <c r="E8002" s="1"/>
      <c r="F8002" s="1" t="str">
        <f>IFERROR(__xludf.DUMMYFUNCTION("GOOGLETRANSLATE(B8002, ""en"", ""fa"")
"),"درخواست برای معلمان")</f>
        <v>درخواست برای معلمان</v>
      </c>
      <c r="G8002" s="1" t="str">
        <f>IFERROR(__xludf.DUMMYFUNCTION("GOOGLETRANSLATE(C8002, ""en"", ""fa"")
"),"در مورد تأثیر گنجاندن یادگیری اجتماعی-عاطفی و آموزش شخصیت در شیوه های مدیریت کلاس بحث کنید.")</f>
        <v>در مورد تأثیر گنجاندن یادگیری اجتماعی-عاطفی و آموزش شخصیت در شیوه های مدیریت کلاس بحث کنید.</v>
      </c>
      <c r="H8002" s="1"/>
      <c r="I8002" s="1"/>
      <c r="J8002" s="1"/>
      <c r="K8002" s="1"/>
      <c r="L8002" s="1"/>
      <c r="M8002" s="1"/>
      <c r="N8002" s="1"/>
      <c r="O8002" s="1"/>
      <c r="P8002" s="1"/>
      <c r="Q8002" s="1"/>
      <c r="R8002" s="1"/>
      <c r="S8002" s="1"/>
      <c r="T8002" s="1"/>
      <c r="U8002" s="1"/>
      <c r="V8002" s="1"/>
      <c r="W8002" s="1"/>
      <c r="X8002" s="1"/>
      <c r="Y8002" s="1"/>
      <c r="Z8002" s="1"/>
      <c r="AA8002" s="1"/>
      <c r="AB8002" s="1"/>
    </row>
    <row r="8003" ht="50.25" customHeight="1">
      <c r="A8003" s="12">
        <v>7999.0</v>
      </c>
      <c r="B8003" s="13" t="s">
        <v>7680</v>
      </c>
      <c r="C8003" s="18" t="s">
        <v>8028</v>
      </c>
      <c r="D8003" s="1"/>
      <c r="E8003" s="1"/>
      <c r="F8003" s="1" t="str">
        <f>IFERROR(__xludf.DUMMYFUNCTION("GOOGLETRANSLATE(B8003, ""en"", ""fa"")
"),"درخواست برای معلمان")</f>
        <v>درخواست برای معلمان</v>
      </c>
      <c r="G8003" s="1" t="str">
        <f>IFERROR(__xludf.DUMMYFUNCTION("GOOGLETRANSLATE(C8003, ""en"", ""fa"")
"),"بینش خود را در مورد استراتژی های موثر برای مدیریت تکمیل و سازماندهی کار دانش آموز به اشتراک بگذارید.")</f>
        <v>بینش خود را در مورد استراتژی های موثر برای مدیریت تکمیل و سازماندهی کار دانش آموز به اشتراک بگذارید.</v>
      </c>
      <c r="H8003" s="1"/>
      <c r="I8003" s="1"/>
      <c r="J8003" s="1"/>
      <c r="K8003" s="1"/>
      <c r="L8003" s="1"/>
      <c r="M8003" s="1"/>
      <c r="N8003" s="1"/>
      <c r="O8003" s="1"/>
      <c r="P8003" s="1"/>
      <c r="Q8003" s="1"/>
      <c r="R8003" s="1"/>
      <c r="S8003" s="1"/>
      <c r="T8003" s="1"/>
      <c r="U8003" s="1"/>
      <c r="V8003" s="1"/>
      <c r="W8003" s="1"/>
      <c r="X8003" s="1"/>
      <c r="Y8003" s="1"/>
      <c r="Z8003" s="1"/>
      <c r="AA8003" s="1"/>
      <c r="AB8003" s="1"/>
    </row>
    <row r="8004" ht="50.25" customHeight="1">
      <c r="A8004" s="12">
        <v>8000.0</v>
      </c>
      <c r="B8004" s="13" t="s">
        <v>7680</v>
      </c>
      <c r="C8004" s="18" t="s">
        <v>8029</v>
      </c>
      <c r="D8004" s="1"/>
      <c r="E8004" s="1"/>
      <c r="F8004" s="1" t="str">
        <f>IFERROR(__xludf.DUMMYFUNCTION("GOOGLETRANSLATE(B8004, ""en"", ""fa"")
"),"درخواست برای معلمان")</f>
        <v>درخواست برای معلمان</v>
      </c>
      <c r="G8004" s="1" t="str">
        <f>IFERROR(__xludf.DUMMYFUNCTION("GOOGLETRANSLATE(C8004, ""en"", ""fa"")
"),"تکنیک هایی را برای ارتقای پاسخگویی و مسئولیت پذیری دانش آموزان در قبال یادگیری خود در کلاس درس بررسی کنید.")</f>
        <v>تکنیک هایی را برای ارتقای پاسخگویی و مسئولیت پذیری دانش آموزان در قبال یادگیری خود در کلاس درس بررسی کنید.</v>
      </c>
      <c r="H8004" s="1"/>
      <c r="I8004" s="1"/>
      <c r="J8004" s="1"/>
      <c r="K8004" s="1"/>
      <c r="L8004" s="1"/>
      <c r="M8004" s="1"/>
      <c r="N8004" s="1"/>
      <c r="O8004" s="1"/>
      <c r="P8004" s="1"/>
      <c r="Q8004" s="1"/>
      <c r="R8004" s="1"/>
      <c r="S8004" s="1"/>
      <c r="T8004" s="1"/>
      <c r="U8004" s="1"/>
      <c r="V8004" s="1"/>
      <c r="W8004" s="1"/>
      <c r="X8004" s="1"/>
      <c r="Y8004" s="1"/>
      <c r="Z8004" s="1"/>
      <c r="AA8004" s="1"/>
      <c r="AB8004" s="1"/>
    </row>
    <row r="8005" ht="50.25" customHeight="1">
      <c r="A8005" s="12">
        <v>8001.0</v>
      </c>
      <c r="B8005" s="13" t="s">
        <v>7680</v>
      </c>
      <c r="C8005" s="18" t="s">
        <v>8030</v>
      </c>
      <c r="D8005" s="1"/>
      <c r="E8005" s="1"/>
      <c r="F8005" s="1" t="str">
        <f>IFERROR(__xludf.DUMMYFUNCTION("GOOGLETRANSLATE(B8005, ""en"", ""fa"")
"),"درخواست برای معلمان")</f>
        <v>درخواست برای معلمان</v>
      </c>
      <c r="G8005" s="1" t="str">
        <f>IFERROR(__xludf.DUMMYFUNCTION("GOOGLETRANSLATE(C8005, ""en"", ""fa"")
"),"در مورد نقش سیستم های تقویت مثبت و پاداش در ایجاد انگیزه رفتار مطلوب در کلاس بحث کنید.")</f>
        <v>در مورد نقش سیستم های تقویت مثبت و پاداش در ایجاد انگیزه رفتار مطلوب در کلاس بحث کنید.</v>
      </c>
      <c r="H8005" s="1"/>
      <c r="I8005" s="1"/>
      <c r="J8005" s="1"/>
      <c r="K8005" s="1"/>
      <c r="L8005" s="1"/>
      <c r="M8005" s="1"/>
      <c r="N8005" s="1"/>
      <c r="O8005" s="1"/>
      <c r="P8005" s="1"/>
      <c r="Q8005" s="1"/>
      <c r="R8005" s="1"/>
      <c r="S8005" s="1"/>
      <c r="T8005" s="1"/>
      <c r="U8005" s="1"/>
      <c r="V8005" s="1"/>
      <c r="W8005" s="1"/>
      <c r="X8005" s="1"/>
      <c r="Y8005" s="1"/>
      <c r="Z8005" s="1"/>
      <c r="AA8005" s="1"/>
      <c r="AB8005" s="1"/>
    </row>
    <row r="8006" ht="50.25" customHeight="1">
      <c r="A8006" s="12">
        <v>8002.0</v>
      </c>
      <c r="B8006" s="13" t="s">
        <v>7680</v>
      </c>
      <c r="C8006" s="18" t="s">
        <v>8031</v>
      </c>
      <c r="D8006" s="1"/>
      <c r="E8006" s="1"/>
      <c r="F8006" s="1" t="str">
        <f>IFERROR(__xludf.DUMMYFUNCTION("GOOGLETRANSLATE(B8006, ""en"", ""fa"")
"),"درخواست برای معلمان")</f>
        <v>درخواست برای معلمان</v>
      </c>
      <c r="G8006" s="1" t="str">
        <f>IFERROR(__xludf.DUMMYFUNCTION("GOOGLETRANSLATE(C8006, ""en"", ""fa"")
"),"تجربیات خود را در مورد استراتژی های موفق برای مدیریت رفتار دانش آموز در طول انتقال بین مکان های مختلف به اشتراک بگذارید.")</f>
        <v>تجربیات خود را در مورد استراتژی های موفق برای مدیریت رفتار دانش آموز در طول انتقال بین مکان های مختلف به اشتراک بگذارید.</v>
      </c>
      <c r="H8006" s="1"/>
      <c r="I8006" s="1"/>
      <c r="J8006" s="1"/>
      <c r="K8006" s="1"/>
      <c r="L8006" s="1"/>
      <c r="M8006" s="1"/>
      <c r="N8006" s="1"/>
      <c r="O8006" s="1"/>
      <c r="P8006" s="1"/>
      <c r="Q8006" s="1"/>
      <c r="R8006" s="1"/>
      <c r="S8006" s="1"/>
      <c r="T8006" s="1"/>
      <c r="U8006" s="1"/>
      <c r="V8006" s="1"/>
      <c r="W8006" s="1"/>
      <c r="X8006" s="1"/>
      <c r="Y8006" s="1"/>
      <c r="Z8006" s="1"/>
      <c r="AA8006" s="1"/>
      <c r="AB8006" s="1"/>
    </row>
    <row r="8007" ht="50.25" customHeight="1">
      <c r="A8007" s="12">
        <v>8003.0</v>
      </c>
      <c r="B8007" s="13" t="s">
        <v>7680</v>
      </c>
      <c r="C8007" s="18" t="s">
        <v>8032</v>
      </c>
      <c r="D8007" s="1"/>
      <c r="E8007" s="1"/>
      <c r="F8007" s="1" t="str">
        <f>IFERROR(__xludf.DUMMYFUNCTION("GOOGLETRANSLATE(B8007, ""en"", ""fa"")
"),"درخواست برای معلمان")</f>
        <v>درخواست برای معلمان</v>
      </c>
      <c r="G8007" s="1" t="str">
        <f>IFERROR(__xludf.DUMMYFUNCTION("GOOGLETRANSLATE(C8007, ""en"", ""fa"")
"),"راه‌هایی برای مشارکت دادن دانش‌آموزان در ایجاد و اجرای عواقب نقض قوانین کلاس درس را بررسی کنید.")</f>
        <v>راه‌هایی برای مشارکت دادن دانش‌آموزان در ایجاد و اجرای عواقب نقض قوانین کلاس درس را بررسی کنید.</v>
      </c>
      <c r="H8007" s="1"/>
      <c r="I8007" s="1"/>
      <c r="J8007" s="1"/>
      <c r="K8007" s="1"/>
      <c r="L8007" s="1"/>
      <c r="M8007" s="1"/>
      <c r="N8007" s="1"/>
      <c r="O8007" s="1"/>
      <c r="P8007" s="1"/>
      <c r="Q8007" s="1"/>
      <c r="R8007" s="1"/>
      <c r="S8007" s="1"/>
      <c r="T8007" s="1"/>
      <c r="U8007" s="1"/>
      <c r="V8007" s="1"/>
      <c r="W8007" s="1"/>
      <c r="X8007" s="1"/>
      <c r="Y8007" s="1"/>
      <c r="Z8007" s="1"/>
      <c r="AA8007" s="1"/>
      <c r="AB8007" s="1"/>
    </row>
    <row r="8008" ht="50.25" customHeight="1">
      <c r="A8008" s="12">
        <v>8004.0</v>
      </c>
      <c r="B8008" s="13" t="s">
        <v>7680</v>
      </c>
      <c r="C8008" s="18" t="s">
        <v>8033</v>
      </c>
      <c r="D8008" s="1"/>
      <c r="E8008" s="1"/>
      <c r="F8008" s="1" t="str">
        <f>IFERROR(__xludf.DUMMYFUNCTION("GOOGLETRANSLATE(B8008, ""en"", ""fa"")
"),"درخواست برای معلمان")</f>
        <v>درخواست برای معلمان</v>
      </c>
      <c r="G8008" s="1" t="str">
        <f>IFERROR(__xludf.DUMMYFUNCTION("GOOGLETRANSLATE(C8008, ""en"", ""fa"")
"),"در مورد اهمیت توسعه حرفه ای مستمر و تفکر برای بهبود مهارت های مدیریت کلاس بحث کنید.")</f>
        <v>در مورد اهمیت توسعه حرفه ای مستمر و تفکر برای بهبود مهارت های مدیریت کلاس بحث کنید.</v>
      </c>
      <c r="H8008" s="1"/>
      <c r="I8008" s="1"/>
      <c r="J8008" s="1"/>
      <c r="K8008" s="1"/>
      <c r="L8008" s="1"/>
      <c r="M8008" s="1"/>
      <c r="N8008" s="1"/>
      <c r="O8008" s="1"/>
      <c r="P8008" s="1"/>
      <c r="Q8008" s="1"/>
      <c r="R8008" s="1"/>
      <c r="S8008" s="1"/>
      <c r="T8008" s="1"/>
      <c r="U8008" s="1"/>
      <c r="V8008" s="1"/>
      <c r="W8008" s="1"/>
      <c r="X8008" s="1"/>
      <c r="Y8008" s="1"/>
      <c r="Z8008" s="1"/>
      <c r="AA8008" s="1"/>
      <c r="AB8008" s="1"/>
    </row>
    <row r="8009" ht="50.25" customHeight="1">
      <c r="A8009" s="12">
        <v>8005.0</v>
      </c>
      <c r="B8009" s="13" t="s">
        <v>7680</v>
      </c>
      <c r="C8009" s="18" t="s">
        <v>8034</v>
      </c>
      <c r="D8009" s="1"/>
      <c r="E8009" s="1"/>
      <c r="F8009" s="1" t="str">
        <f>IFERROR(__xludf.DUMMYFUNCTION("GOOGLETRANSLATE(B8009, ""en"", ""fa"")
"),"درخواست برای معلمان")</f>
        <v>درخواست برای معلمان</v>
      </c>
      <c r="G8009" s="1" t="str">
        <f>IFERROR(__xludf.DUMMYFUNCTION("GOOGLETRANSLATE(C8009, ""en"", ""fa"")
"),"بینش خود را در مورد استراتژی های موثر برای مدیریت رفتار خارج از وظیفه در طول کار گروهی یا پروژه های مشترک به اشتراک بگذارید.")</f>
        <v>بینش خود را در مورد استراتژی های موثر برای مدیریت رفتار خارج از وظیفه در طول کار گروهی یا پروژه های مشترک به اشتراک بگذارید.</v>
      </c>
      <c r="H8009" s="1"/>
      <c r="I8009" s="1"/>
      <c r="J8009" s="1"/>
      <c r="K8009" s="1"/>
      <c r="L8009" s="1"/>
      <c r="M8009" s="1"/>
      <c r="N8009" s="1"/>
      <c r="O8009" s="1"/>
      <c r="P8009" s="1"/>
      <c r="Q8009" s="1"/>
      <c r="R8009" s="1"/>
      <c r="S8009" s="1"/>
      <c r="T8009" s="1"/>
      <c r="U8009" s="1"/>
      <c r="V8009" s="1"/>
      <c r="W8009" s="1"/>
      <c r="X8009" s="1"/>
      <c r="Y8009" s="1"/>
      <c r="Z8009" s="1"/>
      <c r="AA8009" s="1"/>
      <c r="AB8009" s="1"/>
    </row>
    <row r="8010" ht="50.25" customHeight="1">
      <c r="A8010" s="12">
        <v>8006.0</v>
      </c>
      <c r="B8010" s="13" t="s">
        <v>7680</v>
      </c>
      <c r="C8010" s="18" t="s">
        <v>8035</v>
      </c>
      <c r="D8010" s="1"/>
      <c r="E8010" s="1"/>
      <c r="F8010" s="1" t="str">
        <f>IFERROR(__xludf.DUMMYFUNCTION("GOOGLETRANSLATE(B8010, ""en"", ""fa"")
"),"درخواست برای معلمان")</f>
        <v>درخواست برای معلمان</v>
      </c>
      <c r="G8010" s="1" t="str">
        <f>IFERROR(__xludf.DUMMYFUNCTION("GOOGLETRANSLATE(C8010, ""en"", ""fa"")
"),"تکنیک هایی را برای ترویج گوش دادن فعال و ارتباط محترمانه در طول بحث های کلاس درس بررسی کنید.")</f>
        <v>تکنیک هایی را برای ترویج گوش دادن فعال و ارتباط محترمانه در طول بحث های کلاس درس بررسی کنید.</v>
      </c>
      <c r="H8010" s="1"/>
      <c r="I8010" s="1"/>
      <c r="J8010" s="1"/>
      <c r="K8010" s="1"/>
      <c r="L8010" s="1"/>
      <c r="M8010" s="1"/>
      <c r="N8010" s="1"/>
      <c r="O8010" s="1"/>
      <c r="P8010" s="1"/>
      <c r="Q8010" s="1"/>
      <c r="R8010" s="1"/>
      <c r="S8010" s="1"/>
      <c r="T8010" s="1"/>
      <c r="U8010" s="1"/>
      <c r="V8010" s="1"/>
      <c r="W8010" s="1"/>
      <c r="X8010" s="1"/>
      <c r="Y8010" s="1"/>
      <c r="Z8010" s="1"/>
      <c r="AA8010" s="1"/>
      <c r="AB8010" s="1"/>
    </row>
    <row r="8011" ht="50.25" customHeight="1">
      <c r="A8011" s="12">
        <v>8007.0</v>
      </c>
      <c r="B8011" s="13" t="s">
        <v>7680</v>
      </c>
      <c r="C8011" s="18" t="s">
        <v>8036</v>
      </c>
      <c r="D8011" s="1"/>
      <c r="E8011" s="1"/>
      <c r="F8011" s="1" t="str">
        <f>IFERROR(__xludf.DUMMYFUNCTION("GOOGLETRANSLATE(B8011, ""en"", ""fa"")
"),"درخواست برای معلمان")</f>
        <v>درخواست برای معلمان</v>
      </c>
      <c r="G8011" s="1" t="str">
        <f>IFERROR(__xludf.DUMMYFUNCTION("GOOGLETRANSLATE(C8011, ""en"", ""fa"")
"),"درباره تأثیر گنجاندن برنامه‌ها و برنامه‌های بصری در حمایت از دانش‌آموزان با نیازهای ویژه در کلاس بحث کنید.")</f>
        <v>درباره تأثیر گنجاندن برنامه‌ها و برنامه‌های بصری در حمایت از دانش‌آموزان با نیازهای ویژه در کلاس بحث کنید.</v>
      </c>
      <c r="H8011" s="1"/>
      <c r="I8011" s="1"/>
      <c r="J8011" s="1"/>
      <c r="K8011" s="1"/>
      <c r="L8011" s="1"/>
      <c r="M8011" s="1"/>
      <c r="N8011" s="1"/>
      <c r="O8011" s="1"/>
      <c r="P8011" s="1"/>
      <c r="Q8011" s="1"/>
      <c r="R8011" s="1"/>
      <c r="S8011" s="1"/>
      <c r="T8011" s="1"/>
      <c r="U8011" s="1"/>
      <c r="V8011" s="1"/>
      <c r="W8011" s="1"/>
      <c r="X8011" s="1"/>
      <c r="Y8011" s="1"/>
      <c r="Z8011" s="1"/>
      <c r="AA8011" s="1"/>
      <c r="AB8011" s="1"/>
    </row>
    <row r="8012" ht="50.25" customHeight="1">
      <c r="A8012" s="12">
        <v>8008.0</v>
      </c>
      <c r="B8012" s="13" t="s">
        <v>7680</v>
      </c>
      <c r="C8012" s="18" t="s">
        <v>8037</v>
      </c>
      <c r="D8012" s="1"/>
      <c r="E8012" s="1"/>
      <c r="F8012" s="1" t="str">
        <f>IFERROR(__xludf.DUMMYFUNCTION("GOOGLETRANSLATE(B8012, ""en"", ""fa"")
"),"درخواست برای معلمان")</f>
        <v>درخواست برای معلمان</v>
      </c>
      <c r="G8012" s="1" t="str">
        <f>IFERROR(__xludf.DUMMYFUNCTION("GOOGLETRANSLATE(C8012, ""en"", ""fa"")
"),"تجربیات خود را در مورد استراتژی های موفق برای مدیریت رفتارهای دانش آموزان در زمان کار مستقل یا ساکت به اشتراک بگذارید.")</f>
        <v>تجربیات خود را در مورد استراتژی های موفق برای مدیریت رفتارهای دانش آموزان در زمان کار مستقل یا ساکت به اشتراک بگذارید.</v>
      </c>
      <c r="H8012" s="1"/>
      <c r="I8012" s="1"/>
      <c r="J8012" s="1"/>
      <c r="K8012" s="1"/>
      <c r="L8012" s="1"/>
      <c r="M8012" s="1"/>
      <c r="N8012" s="1"/>
      <c r="O8012" s="1"/>
      <c r="P8012" s="1"/>
      <c r="Q8012" s="1"/>
      <c r="R8012" s="1"/>
      <c r="S8012" s="1"/>
      <c r="T8012" s="1"/>
      <c r="U8012" s="1"/>
      <c r="V8012" s="1"/>
      <c r="W8012" s="1"/>
      <c r="X8012" s="1"/>
      <c r="Y8012" s="1"/>
      <c r="Z8012" s="1"/>
      <c r="AA8012" s="1"/>
      <c r="AB8012" s="1"/>
    </row>
    <row r="8013" ht="50.25" customHeight="1">
      <c r="A8013" s="12">
        <v>8009.0</v>
      </c>
      <c r="B8013" s="13" t="s">
        <v>7680</v>
      </c>
      <c r="C8013" s="18" t="s">
        <v>8038</v>
      </c>
      <c r="D8013" s="1"/>
      <c r="E8013" s="1"/>
      <c r="F8013" s="1" t="str">
        <f>IFERROR(__xludf.DUMMYFUNCTION("GOOGLETRANSLATE(B8013, ""en"", ""fa"")
"),"درخواست برای معلمان")</f>
        <v>درخواست برای معلمان</v>
      </c>
      <c r="G8013" s="1" t="str">
        <f>IFERROR(__xludf.DUMMYFUNCTION("GOOGLETRANSLATE(C8013, ""en"", ""fa"")
"),"راه‌هایی برای پیاده‌سازی تکنیک‌های کاهش تنش مؤثر برای مدیریت رفتارهای چالش‌برانگیز دانش‌آموز را بررسی کنید.")</f>
        <v>راه‌هایی برای پیاده‌سازی تکنیک‌های کاهش تنش مؤثر برای مدیریت رفتارهای چالش‌برانگیز دانش‌آموز را بررسی کنید.</v>
      </c>
      <c r="H8013" s="1"/>
      <c r="I8013" s="1"/>
      <c r="J8013" s="1"/>
      <c r="K8013" s="1"/>
      <c r="L8013" s="1"/>
      <c r="M8013" s="1"/>
      <c r="N8013" s="1"/>
      <c r="O8013" s="1"/>
      <c r="P8013" s="1"/>
      <c r="Q8013" s="1"/>
      <c r="R8013" s="1"/>
      <c r="S8013" s="1"/>
      <c r="T8013" s="1"/>
      <c r="U8013" s="1"/>
      <c r="V8013" s="1"/>
      <c r="W8013" s="1"/>
      <c r="X8013" s="1"/>
      <c r="Y8013" s="1"/>
      <c r="Z8013" s="1"/>
      <c r="AA8013" s="1"/>
      <c r="AB8013" s="1"/>
    </row>
    <row r="8014" ht="50.25" customHeight="1">
      <c r="A8014" s="12">
        <v>8010.0</v>
      </c>
      <c r="B8014" s="13" t="s">
        <v>7680</v>
      </c>
      <c r="C8014" s="18" t="s">
        <v>8039</v>
      </c>
      <c r="D8014" s="1"/>
      <c r="E8014" s="1"/>
      <c r="F8014" s="1" t="str">
        <f>IFERROR(__xludf.DUMMYFUNCTION("GOOGLETRANSLATE(B8014, ""en"", ""fa"")
"),"درخواست برای معلمان")</f>
        <v>درخواست برای معلمان</v>
      </c>
      <c r="G8014" s="1" t="str">
        <f>IFERROR(__xludf.DUMMYFUNCTION("GOOGLETRANSLATE(C8014, ""en"", ""fa"")
"),"در مورد نقش حلقه های ترمیمی و کنفرانس های ترمیمی در حل تعارضات و ایجاد جامعه بحث کنید.")</f>
        <v>در مورد نقش حلقه های ترمیمی و کنفرانس های ترمیمی در حل تعارضات و ایجاد جامعه بحث کنید.</v>
      </c>
      <c r="H8014" s="1"/>
      <c r="I8014" s="1"/>
      <c r="J8014" s="1"/>
      <c r="K8014" s="1"/>
      <c r="L8014" s="1"/>
      <c r="M8014" s="1"/>
      <c r="N8014" s="1"/>
      <c r="O8014" s="1"/>
      <c r="P8014" s="1"/>
      <c r="Q8014" s="1"/>
      <c r="R8014" s="1"/>
      <c r="S8014" s="1"/>
      <c r="T8014" s="1"/>
      <c r="U8014" s="1"/>
      <c r="V8014" s="1"/>
      <c r="W8014" s="1"/>
      <c r="X8014" s="1"/>
      <c r="Y8014" s="1"/>
      <c r="Z8014" s="1"/>
      <c r="AA8014" s="1"/>
      <c r="AB8014" s="1"/>
    </row>
    <row r="8015" ht="50.25" customHeight="1">
      <c r="A8015" s="12">
        <v>8011.0</v>
      </c>
      <c r="B8015" s="13" t="s">
        <v>7680</v>
      </c>
      <c r="C8015" s="18" t="s">
        <v>8040</v>
      </c>
      <c r="D8015" s="1"/>
      <c r="E8015" s="1"/>
      <c r="F8015" s="1" t="str">
        <f>IFERROR(__xludf.DUMMYFUNCTION("GOOGLETRANSLATE(B8015, ""en"", ""fa"")
"),"درخواست برای معلمان")</f>
        <v>درخواست برای معلمان</v>
      </c>
      <c r="G8015" s="1" t="str">
        <f>IFERROR(__xludf.DUMMYFUNCTION("GOOGLETRANSLATE(C8015, ""en"", ""fa"")
"),"بینش خود را در مورد استراتژی های موثر برای مدیریت رفتار دانش آموزان در طول انتقال بین موضوعات مختلف به اشتراک بگذارید.")</f>
        <v>بینش خود را در مورد استراتژی های موثر برای مدیریت رفتار دانش آموزان در طول انتقال بین موضوعات مختلف به اشتراک بگذارید.</v>
      </c>
      <c r="H8015" s="1"/>
      <c r="I8015" s="1"/>
      <c r="J8015" s="1"/>
      <c r="K8015" s="1"/>
      <c r="L8015" s="1"/>
      <c r="M8015" s="1"/>
      <c r="N8015" s="1"/>
      <c r="O8015" s="1"/>
      <c r="P8015" s="1"/>
      <c r="Q8015" s="1"/>
      <c r="R8015" s="1"/>
      <c r="S8015" s="1"/>
      <c r="T8015" s="1"/>
      <c r="U8015" s="1"/>
      <c r="V8015" s="1"/>
      <c r="W8015" s="1"/>
      <c r="X8015" s="1"/>
      <c r="Y8015" s="1"/>
      <c r="Z8015" s="1"/>
      <c r="AA8015" s="1"/>
      <c r="AB8015" s="1"/>
    </row>
    <row r="8016" ht="50.25" customHeight="1">
      <c r="A8016" s="12">
        <v>8012.0</v>
      </c>
      <c r="B8016" s="13" t="s">
        <v>7680</v>
      </c>
      <c r="C8016" s="18" t="s">
        <v>8041</v>
      </c>
      <c r="D8016" s="1"/>
      <c r="E8016" s="1"/>
      <c r="F8016" s="1" t="str">
        <f>IFERROR(__xludf.DUMMYFUNCTION("GOOGLETRANSLATE(B8016, ""en"", ""fa"")
"),"درخواست برای معلمان")</f>
        <v>درخواست برای معلمان</v>
      </c>
      <c r="G8016" s="1" t="str">
        <f>IFERROR(__xludf.DUMMYFUNCTION("GOOGLETRANSLATE(C8016, ""en"", ""fa"")
"),"کاوش تکنیک هایی برای ارتقای خودتنظیمی و کنترل تکانه در دانش آموزان از طریق مدیریت کلاس درس.")</f>
        <v>کاوش تکنیک هایی برای ارتقای خودتنظیمی و کنترل تکانه در دانش آموزان از طریق مدیریت کلاس درس.</v>
      </c>
      <c r="H8016" s="1"/>
      <c r="I8016" s="1"/>
      <c r="J8016" s="1"/>
      <c r="K8016" s="1"/>
      <c r="L8016" s="1"/>
      <c r="M8016" s="1"/>
      <c r="N8016" s="1"/>
      <c r="O8016" s="1"/>
      <c r="P8016" s="1"/>
      <c r="Q8016" s="1"/>
      <c r="R8016" s="1"/>
      <c r="S8016" s="1"/>
      <c r="T8016" s="1"/>
      <c r="U8016" s="1"/>
      <c r="V8016" s="1"/>
      <c r="W8016" s="1"/>
      <c r="X8016" s="1"/>
      <c r="Y8016" s="1"/>
      <c r="Z8016" s="1"/>
      <c r="AA8016" s="1"/>
      <c r="AB8016" s="1"/>
    </row>
    <row r="8017" ht="50.25" customHeight="1">
      <c r="A8017" s="12">
        <v>8013.0</v>
      </c>
      <c r="B8017" s="13" t="s">
        <v>7680</v>
      </c>
      <c r="C8017" s="18" t="s">
        <v>8042</v>
      </c>
      <c r="D8017" s="1"/>
      <c r="E8017" s="1"/>
      <c r="F8017" s="1" t="str">
        <f>IFERROR(__xludf.DUMMYFUNCTION("GOOGLETRANSLATE(B8017, ""en"", ""fa"")
"),"درخواست برای معلمان")</f>
        <v>درخواست برای معلمان</v>
      </c>
      <c r="G8017" s="1" t="str">
        <f>IFERROR(__xludf.DUMMYFUNCTION("GOOGLETRANSLATE(C8017, ""en"", ""fa"")
"),"در مورد اهمیت پرورش ذهنیت رشد و تاب آوری در دانش آموزان از طریق مدیریت مؤثر کلاس درس بحث کنید.")</f>
        <v>در مورد اهمیت پرورش ذهنیت رشد و تاب آوری در دانش آموزان از طریق مدیریت مؤثر کلاس درس بحث کنید.</v>
      </c>
      <c r="H8017" s="1"/>
      <c r="I8017" s="1"/>
      <c r="J8017" s="1"/>
      <c r="K8017" s="1"/>
      <c r="L8017" s="1"/>
      <c r="M8017" s="1"/>
      <c r="N8017" s="1"/>
      <c r="O8017" s="1"/>
      <c r="P8017" s="1"/>
      <c r="Q8017" s="1"/>
      <c r="R8017" s="1"/>
      <c r="S8017" s="1"/>
      <c r="T8017" s="1"/>
      <c r="U8017" s="1"/>
      <c r="V8017" s="1"/>
      <c r="W8017" s="1"/>
      <c r="X8017" s="1"/>
      <c r="Y8017" s="1"/>
      <c r="Z8017" s="1"/>
      <c r="AA8017" s="1"/>
      <c r="AB8017" s="1"/>
    </row>
    <row r="8018" ht="50.25" customHeight="1">
      <c r="A8018" s="12">
        <v>8014.0</v>
      </c>
      <c r="B8018" s="13" t="s">
        <v>7680</v>
      </c>
      <c r="C8018" s="18" t="s">
        <v>8043</v>
      </c>
      <c r="D8018" s="1"/>
      <c r="E8018" s="1"/>
      <c r="F8018" s="1" t="str">
        <f>IFERROR(__xludf.DUMMYFUNCTION("GOOGLETRANSLATE(B8018, ""en"", ""fa"")
"),"درخواست برای معلمان")</f>
        <v>درخواست برای معلمان</v>
      </c>
      <c r="G8018" s="1" t="str">
        <f>IFERROR(__xludf.DUMMYFUNCTION("GOOGLETRANSLATE(C8018, ""en"", ""fa"")
"),"تجربیات خود را در مورد استراتژی های موفق برای مدیریت رفتار دانش آموزان در طول بحث های گروهی یا مناظره ها به اشتراک بگذارید.")</f>
        <v>تجربیات خود را در مورد استراتژی های موفق برای مدیریت رفتار دانش آموزان در طول بحث های گروهی یا مناظره ها به اشتراک بگذارید.</v>
      </c>
      <c r="H8018" s="1"/>
      <c r="I8018" s="1"/>
      <c r="J8018" s="1"/>
      <c r="K8018" s="1"/>
      <c r="L8018" s="1"/>
      <c r="M8018" s="1"/>
      <c r="N8018" s="1"/>
      <c r="O8018" s="1"/>
      <c r="P8018" s="1"/>
      <c r="Q8018" s="1"/>
      <c r="R8018" s="1"/>
      <c r="S8018" s="1"/>
      <c r="T8018" s="1"/>
      <c r="U8018" s="1"/>
      <c r="V8018" s="1"/>
      <c r="W8018" s="1"/>
      <c r="X8018" s="1"/>
      <c r="Y8018" s="1"/>
      <c r="Z8018" s="1"/>
      <c r="AA8018" s="1"/>
      <c r="AB8018" s="1"/>
    </row>
    <row r="8019" ht="50.25" customHeight="1">
      <c r="A8019" s="12">
        <v>8015.0</v>
      </c>
      <c r="B8019" s="13" t="s">
        <v>7680</v>
      </c>
      <c r="C8019" s="18" t="s">
        <v>8044</v>
      </c>
      <c r="D8019" s="1"/>
      <c r="E8019" s="1"/>
      <c r="F8019" s="1" t="str">
        <f>IFERROR(__xludf.DUMMYFUNCTION("GOOGLETRANSLATE(B8019, ""en"", ""fa"")
"),"درخواست برای معلمان")</f>
        <v>درخواست برای معلمان</v>
      </c>
      <c r="G8019" s="1" t="str">
        <f>IFERROR(__xludf.DUMMYFUNCTION("GOOGLETRANSLATE(C8019, ""en"", ""fa"")
"),"در مورد تأثیر چیدمان کلاس درس و ترتیب نشستن بر مشارکت و همکاری دانش آموزان بحث کنید.")</f>
        <v>در مورد تأثیر چیدمان کلاس درس و ترتیب نشستن بر مشارکت و همکاری دانش آموزان بحث کنید.</v>
      </c>
      <c r="H8019" s="1"/>
      <c r="I8019" s="1"/>
      <c r="J8019" s="1"/>
      <c r="K8019" s="1"/>
      <c r="L8019" s="1"/>
      <c r="M8019" s="1"/>
      <c r="N8019" s="1"/>
      <c r="O8019" s="1"/>
      <c r="P8019" s="1"/>
      <c r="Q8019" s="1"/>
      <c r="R8019" s="1"/>
      <c r="S8019" s="1"/>
      <c r="T8019" s="1"/>
      <c r="U8019" s="1"/>
      <c r="V8019" s="1"/>
      <c r="W8019" s="1"/>
      <c r="X8019" s="1"/>
      <c r="Y8019" s="1"/>
      <c r="Z8019" s="1"/>
      <c r="AA8019" s="1"/>
      <c r="AB8019" s="1"/>
    </row>
    <row r="8020" ht="50.25" customHeight="1">
      <c r="A8020" s="12">
        <v>8016.0</v>
      </c>
      <c r="B8020" s="13" t="s">
        <v>7680</v>
      </c>
      <c r="C8020" s="18" t="s">
        <v>8045</v>
      </c>
      <c r="D8020" s="1"/>
      <c r="E8020" s="1"/>
      <c r="F8020" s="1" t="str">
        <f>IFERROR(__xludf.DUMMYFUNCTION("GOOGLETRANSLATE(B8020, ""en"", ""fa"")
"),"درخواست برای معلمان")</f>
        <v>درخواست برای معلمان</v>
      </c>
      <c r="G8020" s="1" t="str">
        <f>IFERROR(__xludf.DUMMYFUNCTION("GOOGLETRANSLATE(C8020, ""en"", ""fa"")
"),"بینش خود را در مورد ایجاد یک محیط کلاسی دلپذیر و فراگیر برای همه دانش آموزان به اشتراک بگذارید.")</f>
        <v>بینش خود را در مورد ایجاد یک محیط کلاسی دلپذیر و فراگیر برای همه دانش آموزان به اشتراک بگذارید.</v>
      </c>
      <c r="H8020" s="1"/>
      <c r="I8020" s="1"/>
      <c r="J8020" s="1"/>
      <c r="K8020" s="1"/>
      <c r="L8020" s="1"/>
      <c r="M8020" s="1"/>
      <c r="N8020" s="1"/>
      <c r="O8020" s="1"/>
      <c r="P8020" s="1"/>
      <c r="Q8020" s="1"/>
      <c r="R8020" s="1"/>
      <c r="S8020" s="1"/>
      <c r="T8020" s="1"/>
      <c r="U8020" s="1"/>
      <c r="V8020" s="1"/>
      <c r="W8020" s="1"/>
      <c r="X8020" s="1"/>
      <c r="Y8020" s="1"/>
      <c r="Z8020" s="1"/>
      <c r="AA8020" s="1"/>
      <c r="AB8020" s="1"/>
    </row>
    <row r="8021" ht="50.25" customHeight="1">
      <c r="A8021" s="12">
        <v>8017.0</v>
      </c>
      <c r="B8021" s="13" t="s">
        <v>7680</v>
      </c>
      <c r="C8021" s="18" t="s">
        <v>8046</v>
      </c>
      <c r="D8021" s="1"/>
      <c r="E8021" s="1"/>
      <c r="F8021" s="1" t="str">
        <f>IFERROR(__xludf.DUMMYFUNCTION("GOOGLETRANSLATE(B8021, ""en"", ""fa"")
"),"درخواست برای معلمان")</f>
        <v>درخواست برای معلمان</v>
      </c>
      <c r="G8021" s="1" t="str">
        <f>IFERROR(__xludf.DUMMYFUNCTION("GOOGLETRANSLATE(C8021, ""en"", ""fa"")
"),"راه‌هایی برای بهینه‌سازی نور طبیعی و آکوستیک در کلاس درس برای نتایج یادگیری بهتر کاوش کنید.")</f>
        <v>راه‌هایی برای بهینه‌سازی نور طبیعی و آکوستیک در کلاس درس برای نتایج یادگیری بهتر کاوش کنید.</v>
      </c>
      <c r="H8021" s="1"/>
      <c r="I8021" s="1"/>
      <c r="J8021" s="1"/>
      <c r="K8021" s="1"/>
      <c r="L8021" s="1"/>
      <c r="M8021" s="1"/>
      <c r="N8021" s="1"/>
      <c r="O8021" s="1"/>
      <c r="P8021" s="1"/>
      <c r="Q8021" s="1"/>
      <c r="R8021" s="1"/>
      <c r="S8021" s="1"/>
      <c r="T8021" s="1"/>
      <c r="U8021" s="1"/>
      <c r="V8021" s="1"/>
      <c r="W8021" s="1"/>
      <c r="X8021" s="1"/>
      <c r="Y8021" s="1"/>
      <c r="Z8021" s="1"/>
      <c r="AA8021" s="1"/>
      <c r="AB8021" s="1"/>
    </row>
    <row r="8022" ht="50.25" customHeight="1">
      <c r="A8022" s="12">
        <v>8018.0</v>
      </c>
      <c r="B8022" s="13" t="s">
        <v>7680</v>
      </c>
      <c r="C8022" s="18" t="s">
        <v>8047</v>
      </c>
      <c r="D8022" s="1"/>
      <c r="E8022" s="1"/>
      <c r="F8022" s="1" t="str">
        <f>IFERROR(__xludf.DUMMYFUNCTION("GOOGLETRANSLATE(B8022, ""en"", ""fa"")
"),"درخواست برای معلمان")</f>
        <v>درخواست برای معلمان</v>
      </c>
      <c r="G8022" s="1" t="str">
        <f>IFERROR(__xludf.DUMMYFUNCTION("GOOGLETRANSLATE(C8022, ""en"", ""fa"")
"),"در مورد اهمیت ترکیب گزینه‌های صندلی انعطاف‌پذیر برای تطبیق با سبک‌ها و ترجیحات مختلف یادگیری بحث کنید.")</f>
        <v>در مورد اهمیت ترکیب گزینه‌های صندلی انعطاف‌پذیر برای تطبیق با سبک‌ها و ترجیحات مختلف یادگیری بحث کنید.</v>
      </c>
      <c r="H8022" s="1"/>
      <c r="I8022" s="1"/>
      <c r="J8022" s="1"/>
      <c r="K8022" s="1"/>
      <c r="L8022" s="1"/>
      <c r="M8022" s="1"/>
      <c r="N8022" s="1"/>
      <c r="O8022" s="1"/>
      <c r="P8022" s="1"/>
      <c r="Q8022" s="1"/>
      <c r="R8022" s="1"/>
      <c r="S8022" s="1"/>
      <c r="T8022" s="1"/>
      <c r="U8022" s="1"/>
      <c r="V8022" s="1"/>
      <c r="W8022" s="1"/>
      <c r="X8022" s="1"/>
      <c r="Y8022" s="1"/>
      <c r="Z8022" s="1"/>
      <c r="AA8022" s="1"/>
      <c r="AB8022" s="1"/>
    </row>
    <row r="8023" ht="50.25" customHeight="1">
      <c r="A8023" s="12">
        <v>8019.0</v>
      </c>
      <c r="B8023" s="13" t="s">
        <v>7680</v>
      </c>
      <c r="C8023" s="18" t="s">
        <v>8048</v>
      </c>
      <c r="D8023" s="1"/>
      <c r="E8023" s="1"/>
      <c r="F8023" s="1" t="str">
        <f>IFERROR(__xludf.DUMMYFUNCTION("GOOGLETRANSLATE(B8023, ""en"", ""fa"")
"),"درخواست برای معلمان")</f>
        <v>درخواست برای معلمان</v>
      </c>
      <c r="G8023" s="1" t="str">
        <f>IFERROR(__xludf.DUMMYFUNCTION("GOOGLETRANSLATE(C8023, ""en"", ""fa"")
"),"تجربیات خود را در مورد استراتژی های موفق برای سازماندهی و ترتیب مطالب کلاس برای دسترسی آسان به اشتراک بگذارید.")</f>
        <v>تجربیات خود را در مورد استراتژی های موفق برای سازماندهی و ترتیب مطالب کلاس برای دسترسی آسان به اشتراک بگذارید.</v>
      </c>
      <c r="H8023" s="1"/>
      <c r="I8023" s="1"/>
      <c r="J8023" s="1"/>
      <c r="K8023" s="1"/>
      <c r="L8023" s="1"/>
      <c r="M8023" s="1"/>
      <c r="N8023" s="1"/>
      <c r="O8023" s="1"/>
      <c r="P8023" s="1"/>
      <c r="Q8023" s="1"/>
      <c r="R8023" s="1"/>
      <c r="S8023" s="1"/>
      <c r="T8023" s="1"/>
      <c r="U8023" s="1"/>
      <c r="V8023" s="1"/>
      <c r="W8023" s="1"/>
      <c r="X8023" s="1"/>
      <c r="Y8023" s="1"/>
      <c r="Z8023" s="1"/>
      <c r="AA8023" s="1"/>
      <c r="AB8023" s="1"/>
    </row>
    <row r="8024" ht="50.25" customHeight="1">
      <c r="A8024" s="12">
        <v>8020.0</v>
      </c>
      <c r="B8024" s="13" t="s">
        <v>7680</v>
      </c>
      <c r="C8024" s="18" t="s">
        <v>8049</v>
      </c>
      <c r="D8024" s="1"/>
      <c r="E8024" s="1"/>
      <c r="F8024" s="1" t="str">
        <f>IFERROR(__xludf.DUMMYFUNCTION("GOOGLETRANSLATE(B8024, ""en"", ""fa"")
"),"درخواست برای معلمان")</f>
        <v>درخواست برای معلمان</v>
      </c>
      <c r="G8024" s="1" t="str">
        <f>IFERROR(__xludf.DUMMYFUNCTION("GOOGLETRANSLATE(C8024, ""en"", ""fa"")
"),"تکنیک‌هایی را برای ایجاد نمایشگرهای بصری جذاب و آموزنده که از یادگیری دانش‌آموز پشتیبانی می‌کنند، کاوش کنید.")</f>
        <v>تکنیک‌هایی را برای ایجاد نمایشگرهای بصری جذاب و آموزنده که از یادگیری دانش‌آموز پشتیبانی می‌کنند، کاوش کنید.</v>
      </c>
      <c r="H8024" s="1"/>
      <c r="I8024" s="1"/>
      <c r="J8024" s="1"/>
      <c r="K8024" s="1"/>
      <c r="L8024" s="1"/>
      <c r="M8024" s="1"/>
      <c r="N8024" s="1"/>
      <c r="O8024" s="1"/>
      <c r="P8024" s="1"/>
      <c r="Q8024" s="1"/>
      <c r="R8024" s="1"/>
      <c r="S8024" s="1"/>
      <c r="T8024" s="1"/>
      <c r="U8024" s="1"/>
      <c r="V8024" s="1"/>
      <c r="W8024" s="1"/>
      <c r="X8024" s="1"/>
      <c r="Y8024" s="1"/>
      <c r="Z8024" s="1"/>
      <c r="AA8024" s="1"/>
      <c r="AB8024" s="1"/>
    </row>
    <row r="8025" ht="50.25" customHeight="1">
      <c r="A8025" s="12">
        <v>8021.0</v>
      </c>
      <c r="B8025" s="13" t="s">
        <v>7680</v>
      </c>
      <c r="C8025" s="18" t="s">
        <v>8050</v>
      </c>
      <c r="D8025" s="1"/>
      <c r="E8025" s="1"/>
      <c r="F8025" s="1" t="str">
        <f>IFERROR(__xludf.DUMMYFUNCTION("GOOGLETRANSLATE(B8025, ""en"", ""fa"")
"),"درخواست برای معلمان")</f>
        <v>درخواست برای معلمان</v>
      </c>
      <c r="G8025" s="1" t="str">
        <f>IFERROR(__xludf.DUMMYFUNCTION("GOOGLETRANSLATE(C8025, ""en"", ""fa"")
"),"درباره نقش روانشناسی رنگ ها در طراحی کلاس درس و تأثیر آن بر خلق و خو و رفتار دانش آموزان بحث کنید.")</f>
        <v>درباره نقش روانشناسی رنگ ها در طراحی کلاس درس و تأثیر آن بر خلق و خو و رفتار دانش آموزان بحث کنید.</v>
      </c>
      <c r="H8025" s="1"/>
      <c r="I8025" s="1"/>
      <c r="J8025" s="1"/>
      <c r="K8025" s="1"/>
      <c r="L8025" s="1"/>
      <c r="M8025" s="1"/>
      <c r="N8025" s="1"/>
      <c r="O8025" s="1"/>
      <c r="P8025" s="1"/>
      <c r="Q8025" s="1"/>
      <c r="R8025" s="1"/>
      <c r="S8025" s="1"/>
      <c r="T8025" s="1"/>
      <c r="U8025" s="1"/>
      <c r="V8025" s="1"/>
      <c r="W8025" s="1"/>
      <c r="X8025" s="1"/>
      <c r="Y8025" s="1"/>
      <c r="Z8025" s="1"/>
      <c r="AA8025" s="1"/>
      <c r="AB8025" s="1"/>
    </row>
    <row r="8026" ht="50.25" customHeight="1">
      <c r="A8026" s="12">
        <v>8022.0</v>
      </c>
      <c r="B8026" s="13" t="s">
        <v>7680</v>
      </c>
      <c r="C8026" s="18" t="s">
        <v>8051</v>
      </c>
      <c r="D8026" s="1"/>
      <c r="E8026" s="1"/>
      <c r="F8026" s="1" t="str">
        <f>IFERROR(__xludf.DUMMYFUNCTION("GOOGLETRANSLATE(B8026, ""en"", ""fa"")
"),"درخواست برای معلمان")</f>
        <v>درخواست برای معلمان</v>
      </c>
      <c r="G8026" s="1" t="str">
        <f>IFERROR(__xludf.DUMMYFUNCTION("GOOGLETRANSLATE(C8026, ""en"", ""fa"")
"),"بینش خود را در مورد استراتژی های موثر برای ایجاد فضاهای آموزشی تعیین شده در کلاس درس به اشتراک بگذارید.")</f>
        <v>بینش خود را در مورد استراتژی های موثر برای ایجاد فضاهای آموزشی تعیین شده در کلاس درس به اشتراک بگذارید.</v>
      </c>
      <c r="H8026" s="1"/>
      <c r="I8026" s="1"/>
      <c r="J8026" s="1"/>
      <c r="K8026" s="1"/>
      <c r="L8026" s="1"/>
      <c r="M8026" s="1"/>
      <c r="N8026" s="1"/>
      <c r="O8026" s="1"/>
      <c r="P8026" s="1"/>
      <c r="Q8026" s="1"/>
      <c r="R8026" s="1"/>
      <c r="S8026" s="1"/>
      <c r="T8026" s="1"/>
      <c r="U8026" s="1"/>
      <c r="V8026" s="1"/>
      <c r="W8026" s="1"/>
      <c r="X8026" s="1"/>
      <c r="Y8026" s="1"/>
      <c r="Z8026" s="1"/>
      <c r="AA8026" s="1"/>
      <c r="AB8026" s="1"/>
    </row>
    <row r="8027" ht="50.25" customHeight="1">
      <c r="A8027" s="12">
        <v>8023.0</v>
      </c>
      <c r="B8027" s="13" t="s">
        <v>7680</v>
      </c>
      <c r="C8027" s="18" t="s">
        <v>8052</v>
      </c>
      <c r="D8027" s="1"/>
      <c r="E8027" s="1"/>
      <c r="F8027" s="1" t="str">
        <f>IFERROR(__xludf.DUMMYFUNCTION("GOOGLETRANSLATE(B8027, ""en"", ""fa"")
"),"درخواست برای معلمان")</f>
        <v>درخواست برای معلمان</v>
      </c>
      <c r="G8027" s="1" t="str">
        <f>IFERROR(__xludf.DUMMYFUNCTION("GOOGLETRANSLATE(C8027, ""en"", ""fa"")
"),"راه‌هایی برای ادغام یکپارچه فناوری در محیط کلاس از طریق طراحی متفکرانه کاوش کنید.")</f>
        <v>راه‌هایی برای ادغام یکپارچه فناوری در محیط کلاس از طریق طراحی متفکرانه کاوش کنید.</v>
      </c>
      <c r="H8027" s="1"/>
      <c r="I8027" s="1"/>
      <c r="J8027" s="1"/>
      <c r="K8027" s="1"/>
      <c r="L8027" s="1"/>
      <c r="M8027" s="1"/>
      <c r="N8027" s="1"/>
      <c r="O8027" s="1"/>
      <c r="P8027" s="1"/>
      <c r="Q8027" s="1"/>
      <c r="R8027" s="1"/>
      <c r="S8027" s="1"/>
      <c r="T8027" s="1"/>
      <c r="U8027" s="1"/>
      <c r="V8027" s="1"/>
      <c r="W8027" s="1"/>
      <c r="X8027" s="1"/>
      <c r="Y8027" s="1"/>
      <c r="Z8027" s="1"/>
      <c r="AA8027" s="1"/>
      <c r="AB8027" s="1"/>
    </row>
    <row r="8028" ht="50.25" customHeight="1">
      <c r="A8028" s="12">
        <v>8024.0</v>
      </c>
      <c r="B8028" s="13" t="s">
        <v>7680</v>
      </c>
      <c r="C8028" s="18" t="s">
        <v>8053</v>
      </c>
      <c r="D8028" s="1"/>
      <c r="E8028" s="1"/>
      <c r="F8028" s="1" t="str">
        <f>IFERROR(__xludf.DUMMYFUNCTION("GOOGLETRANSLATE(B8028, ""en"", ""fa"")
"),"درخواست برای معلمان")</f>
        <v>درخواست برای معلمان</v>
      </c>
      <c r="G8028" s="1" t="str">
        <f>IFERROR(__xludf.DUMMYFUNCTION("GOOGLETRANSLATE(C8028, ""en"", ""fa"")
"),"در مورد اهمیت ارائه انواع مناطق یادگیری برای تطبیق فعالیت های آموزشی مختلف بحث کنید.")</f>
        <v>در مورد اهمیت ارائه انواع مناطق یادگیری برای تطبیق فعالیت های آموزشی مختلف بحث کنید.</v>
      </c>
      <c r="H8028" s="1"/>
      <c r="I8028" s="1"/>
      <c r="J8028" s="1"/>
      <c r="K8028" s="1"/>
      <c r="L8028" s="1"/>
      <c r="M8028" s="1"/>
      <c r="N8028" s="1"/>
      <c r="O8028" s="1"/>
      <c r="P8028" s="1"/>
      <c r="Q8028" s="1"/>
      <c r="R8028" s="1"/>
      <c r="S8028" s="1"/>
      <c r="T8028" s="1"/>
      <c r="U8028" s="1"/>
      <c r="V8028" s="1"/>
      <c r="W8028" s="1"/>
      <c r="X8028" s="1"/>
      <c r="Y8028" s="1"/>
      <c r="Z8028" s="1"/>
      <c r="AA8028" s="1"/>
      <c r="AB8028" s="1"/>
    </row>
    <row r="8029" ht="50.25" customHeight="1">
      <c r="A8029" s="12">
        <v>8025.0</v>
      </c>
      <c r="B8029" s="13" t="s">
        <v>7680</v>
      </c>
      <c r="C8029" s="18" t="s">
        <v>8054</v>
      </c>
      <c r="D8029" s="1"/>
      <c r="E8029" s="1"/>
      <c r="F8029" s="1" t="str">
        <f>IFERROR(__xludf.DUMMYFUNCTION("GOOGLETRANSLATE(B8029, ""en"", ""fa"")
"),"درخواست برای معلمان")</f>
        <v>درخواست برای معلمان</v>
      </c>
      <c r="G8029" s="1" t="str">
        <f>IFERROR(__xludf.DUMMYFUNCTION("GOOGLETRANSLATE(C8029, ""en"", ""fa"")
"),"تجربیات خود را در مورد استراتژی های موفق برای مدیریت و سازماندهی منابع و منابع کلاس درس به اشتراک بگذارید.")</f>
        <v>تجربیات خود را در مورد استراتژی های موفق برای مدیریت و سازماندهی منابع و منابع کلاس درس به اشتراک بگذارید.</v>
      </c>
      <c r="H8029" s="1"/>
      <c r="I8029" s="1"/>
      <c r="J8029" s="1"/>
      <c r="K8029" s="1"/>
      <c r="L8029" s="1"/>
      <c r="M8029" s="1"/>
      <c r="N8029" s="1"/>
      <c r="O8029" s="1"/>
      <c r="P8029" s="1"/>
      <c r="Q8029" s="1"/>
      <c r="R8029" s="1"/>
      <c r="S8029" s="1"/>
      <c r="T8029" s="1"/>
      <c r="U8029" s="1"/>
      <c r="V8029" s="1"/>
      <c r="W8029" s="1"/>
      <c r="X8029" s="1"/>
      <c r="Y8029" s="1"/>
      <c r="Z8029" s="1"/>
      <c r="AA8029" s="1"/>
      <c r="AB8029" s="1"/>
    </row>
    <row r="8030" ht="50.25" customHeight="1">
      <c r="A8030" s="12">
        <v>8026.0</v>
      </c>
      <c r="B8030" s="13" t="s">
        <v>7680</v>
      </c>
      <c r="C8030" s="18" t="s">
        <v>8055</v>
      </c>
      <c r="D8030" s="1"/>
      <c r="E8030" s="1"/>
      <c r="F8030" s="1" t="str">
        <f>IFERROR(__xludf.DUMMYFUNCTION("GOOGLETRANSLATE(B8030, ""en"", ""fa"")
"),"درخواست برای معلمان")</f>
        <v>درخواست برای معلمان</v>
      </c>
      <c r="G8030" s="1" t="str">
        <f>IFERROR(__xludf.DUMMYFUNCTION("GOOGLETRANSLATE(C8030, ""en"", ""fa"")
"),"تکنیک هایی را برای ایجاد یک محیط کلاسی بدون درهم و برهمی و سازمان یافته که تمرکز و بهره وری را ارتقا می دهد، کاوش کنید.")</f>
        <v>تکنیک هایی را برای ایجاد یک محیط کلاسی بدون درهم و برهمی و سازمان یافته که تمرکز و بهره وری را ارتقا می دهد، کاوش کنید.</v>
      </c>
      <c r="H8030" s="1"/>
      <c r="I8030" s="1"/>
      <c r="J8030" s="1"/>
      <c r="K8030" s="1"/>
      <c r="L8030" s="1"/>
      <c r="M8030" s="1"/>
      <c r="N8030" s="1"/>
      <c r="O8030" s="1"/>
      <c r="P8030" s="1"/>
      <c r="Q8030" s="1"/>
      <c r="R8030" s="1"/>
      <c r="S8030" s="1"/>
      <c r="T8030" s="1"/>
      <c r="U8030" s="1"/>
      <c r="V8030" s="1"/>
      <c r="W8030" s="1"/>
      <c r="X8030" s="1"/>
      <c r="Y8030" s="1"/>
      <c r="Z8030" s="1"/>
      <c r="AA8030" s="1"/>
      <c r="AB8030" s="1"/>
    </row>
    <row r="8031" ht="50.25" customHeight="1">
      <c r="A8031" s="12">
        <v>8027.0</v>
      </c>
      <c r="B8031" s="13" t="s">
        <v>7680</v>
      </c>
      <c r="C8031" s="18" t="s">
        <v>8056</v>
      </c>
      <c r="D8031" s="1"/>
      <c r="E8031" s="1"/>
      <c r="F8031" s="1" t="str">
        <f>IFERROR(__xludf.DUMMYFUNCTION("GOOGLETRANSLATE(B8031, ""en"", ""fa"")
"),"درخواست برای معلمان")</f>
        <v>درخواست برای معلمان</v>
      </c>
      <c r="G8031" s="1" t="str">
        <f>IFERROR(__xludf.DUMMYFUNCTION("GOOGLETRANSLATE(C8031, ""en"", ""fa"")
"),"در مورد تأثیر ترکیب طبیعت و عناصر سبز در محیط کلاس برای بهبود رفاه بحث کنید.")</f>
        <v>در مورد تأثیر ترکیب طبیعت و عناصر سبز در محیط کلاس برای بهبود رفاه بحث کنید.</v>
      </c>
      <c r="H8031" s="1"/>
      <c r="I8031" s="1"/>
      <c r="J8031" s="1"/>
      <c r="K8031" s="1"/>
      <c r="L8031" s="1"/>
      <c r="M8031" s="1"/>
      <c r="N8031" s="1"/>
      <c r="O8031" s="1"/>
      <c r="P8031" s="1"/>
      <c r="Q8031" s="1"/>
      <c r="R8031" s="1"/>
      <c r="S8031" s="1"/>
      <c r="T8031" s="1"/>
      <c r="U8031" s="1"/>
      <c r="V8031" s="1"/>
      <c r="W8031" s="1"/>
      <c r="X8031" s="1"/>
      <c r="Y8031" s="1"/>
      <c r="Z8031" s="1"/>
      <c r="AA8031" s="1"/>
      <c r="AB8031" s="1"/>
    </row>
    <row r="8032" ht="50.25" customHeight="1">
      <c r="A8032" s="12">
        <v>8028.0</v>
      </c>
      <c r="B8032" s="13" t="s">
        <v>7680</v>
      </c>
      <c r="C8032" s="18" t="s">
        <v>8057</v>
      </c>
      <c r="D8032" s="1"/>
      <c r="E8032" s="1"/>
      <c r="F8032" s="1" t="str">
        <f>IFERROR(__xludf.DUMMYFUNCTION("GOOGLETRANSLATE(B8032, ""en"", ""fa"")
"),"درخواست برای معلمان")</f>
        <v>درخواست برای معلمان</v>
      </c>
      <c r="G8032" s="1" t="str">
        <f>IFERROR(__xludf.DUMMYFUNCTION("GOOGLETRANSLATE(C8032, ""en"", ""fa"")
"),"بینش خود را در مورد استراتژی های موثر برای ایجاد محیطی غنی از چاپ که سواد و توسعه زبان را ارتقا می دهد به اشتراک بگذارید.")</f>
        <v>بینش خود را در مورد استراتژی های موثر برای ایجاد محیطی غنی از چاپ که سواد و توسعه زبان را ارتقا می دهد به اشتراک بگذارید.</v>
      </c>
      <c r="H8032" s="1"/>
      <c r="I8032" s="1"/>
      <c r="J8032" s="1"/>
      <c r="K8032" s="1"/>
      <c r="L8032" s="1"/>
      <c r="M8032" s="1"/>
      <c r="N8032" s="1"/>
      <c r="O8032" s="1"/>
      <c r="P8032" s="1"/>
      <c r="Q8032" s="1"/>
      <c r="R8032" s="1"/>
      <c r="S8032" s="1"/>
      <c r="T8032" s="1"/>
      <c r="U8032" s="1"/>
      <c r="V8032" s="1"/>
      <c r="W8032" s="1"/>
      <c r="X8032" s="1"/>
      <c r="Y8032" s="1"/>
      <c r="Z8032" s="1"/>
      <c r="AA8032" s="1"/>
      <c r="AB8032" s="1"/>
    </row>
    <row r="8033" ht="50.25" customHeight="1">
      <c r="A8033" s="12">
        <v>8029.0</v>
      </c>
      <c r="B8033" s="13" t="s">
        <v>7680</v>
      </c>
      <c r="C8033" s="18" t="s">
        <v>8058</v>
      </c>
      <c r="D8033" s="1"/>
      <c r="E8033" s="1"/>
      <c r="F8033" s="1" t="str">
        <f>IFERROR(__xludf.DUMMYFUNCTION("GOOGLETRANSLATE(B8033, ""en"", ""fa"")
"),"درخواست برای معلمان")</f>
        <v>درخواست برای معلمان</v>
      </c>
      <c r="G8033" s="1" t="str">
        <f>IFERROR(__xludf.DUMMYFUNCTION("GOOGLETRANSLATE(C8033, ""en"", ""fa"")
"),"راه‌هایی را برای شخصی‌سازی محیط کلاس به‌منظور بازتاب پیشینه‌ها و علایق متنوع دانش‌آموزان کاوش کنید.")</f>
        <v>راه‌هایی را برای شخصی‌سازی محیط کلاس به‌منظور بازتاب پیشینه‌ها و علایق متنوع دانش‌آموزان کاوش کنید.</v>
      </c>
      <c r="H8033" s="1"/>
      <c r="I8033" s="1"/>
      <c r="J8033" s="1"/>
      <c r="K8033" s="1"/>
      <c r="L8033" s="1"/>
      <c r="M8033" s="1"/>
      <c r="N8033" s="1"/>
      <c r="O8033" s="1"/>
      <c r="P8033" s="1"/>
      <c r="Q8033" s="1"/>
      <c r="R8033" s="1"/>
      <c r="S8033" s="1"/>
      <c r="T8033" s="1"/>
      <c r="U8033" s="1"/>
      <c r="V8033" s="1"/>
      <c r="W8033" s="1"/>
      <c r="X8033" s="1"/>
      <c r="Y8033" s="1"/>
      <c r="Z8033" s="1"/>
      <c r="AA8033" s="1"/>
      <c r="AB8033" s="1"/>
    </row>
    <row r="8034" ht="50.25" customHeight="1">
      <c r="A8034" s="12">
        <v>8030.0</v>
      </c>
      <c r="B8034" s="13" t="s">
        <v>7680</v>
      </c>
      <c r="C8034" s="18" t="s">
        <v>8059</v>
      </c>
      <c r="D8034" s="1"/>
      <c r="E8034" s="1"/>
      <c r="F8034" s="1" t="str">
        <f>IFERROR(__xludf.DUMMYFUNCTION("GOOGLETRANSLATE(B8034, ""en"", ""fa"")
"),"درخواست برای معلمان")</f>
        <v>درخواست برای معلمان</v>
      </c>
      <c r="G8034" s="1" t="str">
        <f>IFERROR(__xludf.DUMMYFUNCTION("GOOGLETRANSLATE(C8034, ""en"", ""fa"")
"),"درباره نقش قوانین کلاس درس و نشانه های بصری در ایجاد یک محیط یادگیری ساختاریافته و ایمن بحث کنید.")</f>
        <v>درباره نقش قوانین کلاس درس و نشانه های بصری در ایجاد یک محیط یادگیری ساختاریافته و ایمن بحث کنید.</v>
      </c>
      <c r="H8034" s="1"/>
      <c r="I8034" s="1"/>
      <c r="J8034" s="1"/>
      <c r="K8034" s="1"/>
      <c r="L8034" s="1"/>
      <c r="M8034" s="1"/>
      <c r="N8034" s="1"/>
      <c r="O8034" s="1"/>
      <c r="P8034" s="1"/>
      <c r="Q8034" s="1"/>
      <c r="R8034" s="1"/>
      <c r="S8034" s="1"/>
      <c r="T8034" s="1"/>
      <c r="U8034" s="1"/>
      <c r="V8034" s="1"/>
      <c r="W8034" s="1"/>
      <c r="X8034" s="1"/>
      <c r="Y8034" s="1"/>
      <c r="Z8034" s="1"/>
      <c r="AA8034" s="1"/>
      <c r="AB8034" s="1"/>
    </row>
    <row r="8035" ht="50.25" customHeight="1">
      <c r="A8035" s="12">
        <v>8031.0</v>
      </c>
      <c r="B8035" s="13" t="s">
        <v>7680</v>
      </c>
      <c r="C8035" s="18" t="s">
        <v>8060</v>
      </c>
      <c r="D8035" s="1"/>
      <c r="E8035" s="1"/>
      <c r="F8035" s="1" t="str">
        <f>IFERROR(__xludf.DUMMYFUNCTION("GOOGLETRANSLATE(B8035, ""en"", ""fa"")
"),"درخواست برای معلمان")</f>
        <v>درخواست برای معلمان</v>
      </c>
      <c r="G8035" s="1" t="str">
        <f>IFERROR(__xludf.DUMMYFUNCTION("GOOGLETRANSLATE(C8035, ""en"", ""fa"")
"),"تجربیات خود را در مورد استراتژی های موفق برای ایجاد مناطق تعیین شده برای همکاری دانش آموزان و کار گروهی به اشتراک بگذارید.")</f>
        <v>تجربیات خود را در مورد استراتژی های موفق برای ایجاد مناطق تعیین شده برای همکاری دانش آموزان و کار گروهی به اشتراک بگذارید.</v>
      </c>
      <c r="H8035" s="1"/>
      <c r="I8035" s="1"/>
      <c r="J8035" s="1"/>
      <c r="K8035" s="1"/>
      <c r="L8035" s="1"/>
      <c r="M8035" s="1"/>
      <c r="N8035" s="1"/>
      <c r="O8035" s="1"/>
      <c r="P8035" s="1"/>
      <c r="Q8035" s="1"/>
      <c r="R8035" s="1"/>
      <c r="S8035" s="1"/>
      <c r="T8035" s="1"/>
      <c r="U8035" s="1"/>
      <c r="V8035" s="1"/>
      <c r="W8035" s="1"/>
      <c r="X8035" s="1"/>
      <c r="Y8035" s="1"/>
      <c r="Z8035" s="1"/>
      <c r="AA8035" s="1"/>
      <c r="AB8035" s="1"/>
    </row>
    <row r="8036" ht="50.25" customHeight="1">
      <c r="A8036" s="12">
        <v>8032.0</v>
      </c>
      <c r="B8036" s="13" t="s">
        <v>7680</v>
      </c>
      <c r="C8036" s="18" t="s">
        <v>8061</v>
      </c>
      <c r="D8036" s="1"/>
      <c r="E8036" s="1"/>
      <c r="F8036" s="1" t="str">
        <f>IFERROR(__xludf.DUMMYFUNCTION("GOOGLETRANSLATE(B8036, ""en"", ""fa"")
"),"درخواست برای معلمان")</f>
        <v>درخواست برای معلمان</v>
      </c>
      <c r="G8036" s="1" t="str">
        <f>IFERROR(__xludf.DUMMYFUNCTION("GOOGLETRANSLATE(C8036, ""en"", ""fa"")
"),"تکنیک‌هایی را برای ترکیب آثار هنری و نمایش‌هایی که دستاوردها و خلاقیت دانش‌آموزان را جشن می‌گیرند، کاوش کنید.")</f>
        <v>تکنیک‌هایی را برای ترکیب آثار هنری و نمایش‌هایی که دستاوردها و خلاقیت دانش‌آموزان را جشن می‌گیرند، کاوش کنید.</v>
      </c>
      <c r="H8036" s="1"/>
      <c r="I8036" s="1"/>
      <c r="J8036" s="1"/>
      <c r="K8036" s="1"/>
      <c r="L8036" s="1"/>
      <c r="M8036" s="1"/>
      <c r="N8036" s="1"/>
      <c r="O8036" s="1"/>
      <c r="P8036" s="1"/>
      <c r="Q8036" s="1"/>
      <c r="R8036" s="1"/>
      <c r="S8036" s="1"/>
      <c r="T8036" s="1"/>
      <c r="U8036" s="1"/>
      <c r="V8036" s="1"/>
      <c r="W8036" s="1"/>
      <c r="X8036" s="1"/>
      <c r="Y8036" s="1"/>
      <c r="Z8036" s="1"/>
      <c r="AA8036" s="1"/>
      <c r="AB8036" s="1"/>
    </row>
    <row r="8037" ht="50.25" customHeight="1">
      <c r="A8037" s="12">
        <v>8033.0</v>
      </c>
      <c r="B8037" s="13" t="s">
        <v>7680</v>
      </c>
      <c r="C8037" s="18" t="s">
        <v>8062</v>
      </c>
      <c r="D8037" s="1"/>
      <c r="E8037" s="1"/>
      <c r="F8037" s="1" t="str">
        <f>IFERROR(__xludf.DUMMYFUNCTION("GOOGLETRANSLATE(B8037, ""en"", ""fa"")
"),"درخواست برای معلمان")</f>
        <v>درخواست برای معلمان</v>
      </c>
      <c r="G8037" s="1" t="str">
        <f>IFERROR(__xludf.DUMMYFUNCTION("GOOGLETRANSLATE(C8037, ""en"", ""fa"")
"),"در مورد اهمیت ایجاد مناطق تعیین شده برای تأمل آرام و کار فردی در کلاس بحث کنید.")</f>
        <v>در مورد اهمیت ایجاد مناطق تعیین شده برای تأمل آرام و کار فردی در کلاس بحث کنید.</v>
      </c>
      <c r="H8037" s="1"/>
      <c r="I8037" s="1"/>
      <c r="J8037" s="1"/>
      <c r="K8037" s="1"/>
      <c r="L8037" s="1"/>
      <c r="M8037" s="1"/>
      <c r="N8037" s="1"/>
      <c r="O8037" s="1"/>
      <c r="P8037" s="1"/>
      <c r="Q8037" s="1"/>
      <c r="R8037" s="1"/>
      <c r="S8037" s="1"/>
      <c r="T8037" s="1"/>
      <c r="U8037" s="1"/>
      <c r="V8037" s="1"/>
      <c r="W8037" s="1"/>
      <c r="X8037" s="1"/>
      <c r="Y8037" s="1"/>
      <c r="Z8037" s="1"/>
      <c r="AA8037" s="1"/>
      <c r="AB8037" s="1"/>
    </row>
    <row r="8038" ht="50.25" customHeight="1">
      <c r="A8038" s="12">
        <v>8034.0</v>
      </c>
      <c r="B8038" s="13" t="s">
        <v>7680</v>
      </c>
      <c r="C8038" s="18" t="s">
        <v>8063</v>
      </c>
      <c r="D8038" s="1"/>
      <c r="E8038" s="1"/>
      <c r="F8038" s="1" t="str">
        <f>IFERROR(__xludf.DUMMYFUNCTION("GOOGLETRANSLATE(B8038, ""en"", ""fa"")
"),"درخواست برای معلمان")</f>
        <v>درخواست برای معلمان</v>
      </c>
      <c r="G8038" s="1" t="str">
        <f>IFERROR(__xludf.DUMMYFUNCTION("GOOGLETRANSLATE(C8038, ""en"", ""fa"")
"),"بینش خود را در مورد استراتژی های موثر برای مدیریت و سازماندهی منابع دیجیتال در یک کلاس درس غنی از فناوری به اشتراک بگذارید.")</f>
        <v>بینش خود را در مورد استراتژی های موثر برای مدیریت و سازماندهی منابع دیجیتال در یک کلاس درس غنی از فناوری به اشتراک بگذارید.</v>
      </c>
      <c r="H8038" s="1"/>
      <c r="I8038" s="1"/>
      <c r="J8038" s="1"/>
      <c r="K8038" s="1"/>
      <c r="L8038" s="1"/>
      <c r="M8038" s="1"/>
      <c r="N8038" s="1"/>
      <c r="O8038" s="1"/>
      <c r="P8038" s="1"/>
      <c r="Q8038" s="1"/>
      <c r="R8038" s="1"/>
      <c r="S8038" s="1"/>
      <c r="T8038" s="1"/>
      <c r="U8038" s="1"/>
      <c r="V8038" s="1"/>
      <c r="W8038" s="1"/>
      <c r="X8038" s="1"/>
      <c r="Y8038" s="1"/>
      <c r="Z8038" s="1"/>
      <c r="AA8038" s="1"/>
      <c r="AB8038" s="1"/>
    </row>
    <row r="8039" ht="50.25" customHeight="1">
      <c r="A8039" s="12">
        <v>8035.0</v>
      </c>
      <c r="B8039" s="13" t="s">
        <v>7680</v>
      </c>
      <c r="C8039" s="18" t="s">
        <v>8064</v>
      </c>
      <c r="D8039" s="1"/>
      <c r="E8039" s="1"/>
      <c r="F8039" s="1" t="str">
        <f>IFERROR(__xludf.DUMMYFUNCTION("GOOGLETRANSLATE(B8039, ""en"", ""fa"")
"),"درخواست برای معلمان")</f>
        <v>درخواست برای معلمان</v>
      </c>
      <c r="G8039" s="1" t="str">
        <f>IFERROR(__xludf.DUMMYFUNCTION("GOOGLETRANSLATE(C8039, ""en"", ""fa"")
"),"تکنیک‌هایی را برای ارتقای مهارت‌های سواد دیجیتال و استفاده مسئولانه از فناوری در طرح‌های درسی بررسی کنید.")</f>
        <v>تکنیک‌هایی را برای ارتقای مهارت‌های سواد دیجیتال و استفاده مسئولانه از فناوری در طرح‌های درسی بررسی کنید.</v>
      </c>
      <c r="H8039" s="1"/>
      <c r="I8039" s="1"/>
      <c r="J8039" s="1"/>
      <c r="K8039" s="1"/>
      <c r="L8039" s="1"/>
      <c r="M8039" s="1"/>
      <c r="N8039" s="1"/>
      <c r="O8039" s="1"/>
      <c r="P8039" s="1"/>
      <c r="Q8039" s="1"/>
      <c r="R8039" s="1"/>
      <c r="S8039" s="1"/>
      <c r="T8039" s="1"/>
      <c r="U8039" s="1"/>
      <c r="V8039" s="1"/>
      <c r="W8039" s="1"/>
      <c r="X8039" s="1"/>
      <c r="Y8039" s="1"/>
      <c r="Z8039" s="1"/>
      <c r="AA8039" s="1"/>
      <c r="AB8039" s="1"/>
    </row>
    <row r="8040" ht="50.25" customHeight="1">
      <c r="A8040" s="12">
        <v>8036.0</v>
      </c>
      <c r="B8040" s="13" t="s">
        <v>7680</v>
      </c>
      <c r="C8040" s="18" t="s">
        <v>8065</v>
      </c>
      <c r="D8040" s="1"/>
      <c r="E8040" s="1"/>
      <c r="F8040" s="1" t="str">
        <f>IFERROR(__xludf.DUMMYFUNCTION("GOOGLETRANSLATE(B8040, ""en"", ""fa"")
"),"درخواست برای معلمان")</f>
        <v>درخواست برای معلمان</v>
      </c>
      <c r="G8040" s="1" t="str">
        <f>IFERROR(__xludf.DUMMYFUNCTION("GOOGLETRANSLATE(C8040, ""en"", ""fa"")
"),"درباره تأثیر گنجاندن شایستگی فرهنگی و شهروندی جهانی در توسعه برنامه درسی بحث کنید.")</f>
        <v>درباره تأثیر گنجاندن شایستگی فرهنگی و شهروندی جهانی در توسعه برنامه درسی بحث کنید.</v>
      </c>
      <c r="H8040" s="1"/>
      <c r="I8040" s="1"/>
      <c r="J8040" s="1"/>
      <c r="K8040" s="1"/>
      <c r="L8040" s="1"/>
      <c r="M8040" s="1"/>
      <c r="N8040" s="1"/>
      <c r="O8040" s="1"/>
      <c r="P8040" s="1"/>
      <c r="Q8040" s="1"/>
      <c r="R8040" s="1"/>
      <c r="S8040" s="1"/>
      <c r="T8040" s="1"/>
      <c r="U8040" s="1"/>
      <c r="V8040" s="1"/>
      <c r="W8040" s="1"/>
      <c r="X8040" s="1"/>
      <c r="Y8040" s="1"/>
      <c r="Z8040" s="1"/>
      <c r="AA8040" s="1"/>
      <c r="AB8040" s="1"/>
    </row>
    <row r="8041" ht="50.25" customHeight="1">
      <c r="A8041" s="12">
        <v>8037.0</v>
      </c>
      <c r="B8041" s="13" t="s">
        <v>7680</v>
      </c>
      <c r="C8041" s="18" t="s">
        <v>8066</v>
      </c>
      <c r="D8041" s="1"/>
      <c r="E8041" s="1"/>
      <c r="F8041" s="1" t="str">
        <f>IFERROR(__xludf.DUMMYFUNCTION("GOOGLETRANSLATE(B8041, ""en"", ""fa"")
"),"درخواست برای معلمان")</f>
        <v>درخواست برای معلمان</v>
      </c>
      <c r="G8041" s="1" t="str">
        <f>IFERROR(__xludf.DUMMYFUNCTION("GOOGLETRANSLATE(C8041, ""en"", ""fa"")
"),"بینش خود را در مورد استراتژی های موثر برای ادغام استراتژی های آموزشی متمایز در طرح های درس به اشتراک بگذارید.")</f>
        <v>بینش خود را در مورد استراتژی های موثر برای ادغام استراتژی های آموزشی متمایز در طرح های درس به اشتراک بگذارید.</v>
      </c>
      <c r="H8041" s="1"/>
      <c r="I8041" s="1"/>
      <c r="J8041" s="1"/>
      <c r="K8041" s="1"/>
      <c r="L8041" s="1"/>
      <c r="M8041" s="1"/>
      <c r="N8041" s="1"/>
      <c r="O8041" s="1"/>
      <c r="P8041" s="1"/>
      <c r="Q8041" s="1"/>
      <c r="R8041" s="1"/>
      <c r="S8041" s="1"/>
      <c r="T8041" s="1"/>
      <c r="U8041" s="1"/>
      <c r="V8041" s="1"/>
      <c r="W8041" s="1"/>
      <c r="X8041" s="1"/>
      <c r="Y8041" s="1"/>
      <c r="Z8041" s="1"/>
      <c r="AA8041" s="1"/>
      <c r="AB8041" s="1"/>
    </row>
    <row r="8042" ht="50.25" customHeight="1">
      <c r="A8042" s="12">
        <v>8038.0</v>
      </c>
      <c r="B8042" s="13" t="s">
        <v>7680</v>
      </c>
      <c r="C8042" s="18" t="s">
        <v>8067</v>
      </c>
      <c r="D8042" s="1"/>
      <c r="E8042" s="1"/>
      <c r="F8042" s="1" t="str">
        <f>IFERROR(__xludf.DUMMYFUNCTION("GOOGLETRANSLATE(B8042, ""en"", ""fa"")
"),"درخواست برای معلمان")</f>
        <v>درخواست برای معلمان</v>
      </c>
      <c r="G8042" s="1" t="str">
        <f>IFERROR(__xludf.DUMMYFUNCTION("GOOGLETRANSLATE(C8042, ""en"", ""fa"")
"),"راه‌هایی برای گنجاندن پروژه‌های مشترک و کار گروهی در برنامه‌ریزی درس را بررسی کنید.")</f>
        <v>راه‌هایی برای گنجاندن پروژه‌های مشترک و کار گروهی در برنامه‌ریزی درس را بررسی کنید.</v>
      </c>
      <c r="H8042" s="1"/>
      <c r="I8042" s="1"/>
      <c r="J8042" s="1"/>
      <c r="K8042" s="1"/>
      <c r="L8042" s="1"/>
      <c r="M8042" s="1"/>
      <c r="N8042" s="1"/>
      <c r="O8042" s="1"/>
      <c r="P8042" s="1"/>
      <c r="Q8042" s="1"/>
      <c r="R8042" s="1"/>
      <c r="S8042" s="1"/>
      <c r="T8042" s="1"/>
      <c r="U8042" s="1"/>
      <c r="V8042" s="1"/>
      <c r="W8042" s="1"/>
      <c r="X8042" s="1"/>
      <c r="Y8042" s="1"/>
      <c r="Z8042" s="1"/>
      <c r="AA8042" s="1"/>
      <c r="AB8042" s="1"/>
    </row>
    <row r="8043" ht="50.25" customHeight="1">
      <c r="A8043" s="12">
        <v>8039.0</v>
      </c>
      <c r="B8043" s="13" t="s">
        <v>7680</v>
      </c>
      <c r="C8043" s="18" t="s">
        <v>8068</v>
      </c>
      <c r="D8043" s="1"/>
      <c r="E8043" s="1"/>
      <c r="F8043" s="1" t="str">
        <f>IFERROR(__xludf.DUMMYFUNCTION("GOOGLETRANSLATE(B8043, ""en"", ""fa"")
"),"درخواست برای معلمان")</f>
        <v>درخواست برای معلمان</v>
      </c>
      <c r="G8043" s="1" t="str">
        <f>IFERROR(__xludf.DUMMYFUNCTION("GOOGLETRANSLATE(C8043, ""en"", ""fa"")
"),"در مورد اهمیت گنجاندن دستکاری ها و مواد کاربردی در برنامه های درسی بحث کنید.")</f>
        <v>در مورد اهمیت گنجاندن دستکاری ها و مواد کاربردی در برنامه های درسی بحث کنید.</v>
      </c>
      <c r="H8043" s="1"/>
      <c r="I8043" s="1"/>
      <c r="J8043" s="1"/>
      <c r="K8043" s="1"/>
      <c r="L8043" s="1"/>
      <c r="M8043" s="1"/>
      <c r="N8043" s="1"/>
      <c r="O8043" s="1"/>
      <c r="P8043" s="1"/>
      <c r="Q8043" s="1"/>
      <c r="R8043" s="1"/>
      <c r="S8043" s="1"/>
      <c r="T8043" s="1"/>
      <c r="U8043" s="1"/>
      <c r="V8043" s="1"/>
      <c r="W8043" s="1"/>
      <c r="X8043" s="1"/>
      <c r="Y8043" s="1"/>
      <c r="Z8043" s="1"/>
      <c r="AA8043" s="1"/>
      <c r="AB8043" s="1"/>
    </row>
    <row r="8044" ht="50.25" customHeight="1">
      <c r="A8044" s="12">
        <v>8040.0</v>
      </c>
      <c r="B8044" s="13" t="s">
        <v>7680</v>
      </c>
      <c r="C8044" s="18" t="s">
        <v>8069</v>
      </c>
      <c r="D8044" s="1"/>
      <c r="E8044" s="1"/>
      <c r="F8044" s="1" t="str">
        <f>IFERROR(__xludf.DUMMYFUNCTION("GOOGLETRANSLATE(B8044, ""en"", ""fa"")
"),"درخواست برای معلمان")</f>
        <v>درخواست برای معلمان</v>
      </c>
      <c r="G8044" s="1" t="str">
        <f>IFERROR(__xludf.DUMMYFUNCTION("GOOGLETRANSLATE(C8044, ""en"", ""fa"")
"),"تجربیات خود را در مورد استراتژی های موفق برای ادغام ارائه های چند رسانه ای در طرح های درس به اشتراک بگذارید.")</f>
        <v>تجربیات خود را در مورد استراتژی های موفق برای ادغام ارائه های چند رسانه ای در طرح های درس به اشتراک بگذارید.</v>
      </c>
      <c r="H8044" s="1"/>
      <c r="I8044" s="1"/>
      <c r="J8044" s="1"/>
      <c r="K8044" s="1"/>
      <c r="L8044" s="1"/>
      <c r="M8044" s="1"/>
      <c r="N8044" s="1"/>
      <c r="O8044" s="1"/>
      <c r="P8044" s="1"/>
      <c r="Q8044" s="1"/>
      <c r="R8044" s="1"/>
      <c r="S8044" s="1"/>
      <c r="T8044" s="1"/>
      <c r="U8044" s="1"/>
      <c r="V8044" s="1"/>
      <c r="W8044" s="1"/>
      <c r="X8044" s="1"/>
      <c r="Y8044" s="1"/>
      <c r="Z8044" s="1"/>
      <c r="AA8044" s="1"/>
      <c r="AB8044" s="1"/>
    </row>
    <row r="8045" ht="50.25" customHeight="1">
      <c r="A8045" s="12">
        <v>8041.0</v>
      </c>
      <c r="B8045" s="13" t="s">
        <v>7680</v>
      </c>
      <c r="C8045" s="18" t="s">
        <v>8070</v>
      </c>
      <c r="D8045" s="1"/>
      <c r="E8045" s="1"/>
      <c r="F8045" s="1" t="str">
        <f>IFERROR(__xludf.DUMMYFUNCTION("GOOGLETRANSLATE(B8045, ""en"", ""fa"")
"),"درخواست برای معلمان")</f>
        <v>درخواست برای معلمان</v>
      </c>
      <c r="G8045" s="1" t="str">
        <f>IFERROR(__xludf.DUMMYFUNCTION("GOOGLETRANSLATE(C8045, ""en"", ""fa"")
"),"تکنیک‌هایی را برای گنجاندن بازخورد همسالان و خودارزیابی در برنامه‌ریزی درس بررسی کنید.")</f>
        <v>تکنیک‌هایی را برای گنجاندن بازخورد همسالان و خودارزیابی در برنامه‌ریزی درس بررسی کنید.</v>
      </c>
      <c r="H8045" s="1"/>
      <c r="I8045" s="1"/>
      <c r="J8045" s="1"/>
      <c r="K8045" s="1"/>
      <c r="L8045" s="1"/>
      <c r="M8045" s="1"/>
      <c r="N8045" s="1"/>
      <c r="O8045" s="1"/>
      <c r="P8045" s="1"/>
      <c r="Q8045" s="1"/>
      <c r="R8045" s="1"/>
      <c r="S8045" s="1"/>
      <c r="T8045" s="1"/>
      <c r="U8045" s="1"/>
      <c r="V8045" s="1"/>
      <c r="W8045" s="1"/>
      <c r="X8045" s="1"/>
      <c r="Y8045" s="1"/>
      <c r="Z8045" s="1"/>
      <c r="AA8045" s="1"/>
      <c r="AB8045" s="1"/>
    </row>
    <row r="8046" ht="50.25" customHeight="1">
      <c r="A8046" s="12">
        <v>8042.0</v>
      </c>
      <c r="B8046" s="13" t="s">
        <v>7680</v>
      </c>
      <c r="C8046" s="18" t="s">
        <v>8071</v>
      </c>
      <c r="D8046" s="1"/>
      <c r="E8046" s="1"/>
      <c r="F8046" s="1" t="str">
        <f>IFERROR(__xludf.DUMMYFUNCTION("GOOGLETRANSLATE(B8046, ""en"", ""fa"")
"),"درخواست برای معلمان")</f>
        <v>درخواست برای معلمان</v>
      </c>
      <c r="G8046" s="1" t="str">
        <f>IFERROR(__xludf.DUMMYFUNCTION("GOOGLETRANSLATE(C8046, ""en"", ""fa"")
"),"درباره نقش ابزارها و منابع فناوری آموزشی در توسعه برنامه درسی بحث کنید.")</f>
        <v>درباره نقش ابزارها و منابع فناوری آموزشی در توسعه برنامه درسی بحث کنید.</v>
      </c>
      <c r="H8046" s="1"/>
      <c r="I8046" s="1"/>
      <c r="J8046" s="1"/>
      <c r="K8046" s="1"/>
      <c r="L8046" s="1"/>
      <c r="M8046" s="1"/>
      <c r="N8046" s="1"/>
      <c r="O8046" s="1"/>
      <c r="P8046" s="1"/>
      <c r="Q8046" s="1"/>
      <c r="R8046" s="1"/>
      <c r="S8046" s="1"/>
      <c r="T8046" s="1"/>
      <c r="U8046" s="1"/>
      <c r="V8046" s="1"/>
      <c r="W8046" s="1"/>
      <c r="X8046" s="1"/>
      <c r="Y8046" s="1"/>
      <c r="Z8046" s="1"/>
      <c r="AA8046" s="1"/>
      <c r="AB8046" s="1"/>
    </row>
    <row r="8047" ht="50.25" customHeight="1">
      <c r="A8047" s="12">
        <v>8043.0</v>
      </c>
      <c r="B8047" s="13" t="s">
        <v>7680</v>
      </c>
      <c r="C8047" s="18" t="s">
        <v>8072</v>
      </c>
      <c r="D8047" s="1"/>
      <c r="E8047" s="1"/>
      <c r="F8047" s="1" t="str">
        <f>IFERROR(__xludf.DUMMYFUNCTION("GOOGLETRANSLATE(B8047, ""en"", ""fa"")
"),"درخواست برای معلمان")</f>
        <v>درخواست برای معلمان</v>
      </c>
      <c r="G8047" s="1" t="str">
        <f>IFERROR(__xludf.DUMMYFUNCTION("GOOGLETRANSLATE(C8047, ""en"", ""fa"")
"),"بینش خود را در مورد استراتژی های موثر برای ادغام پایداری محیطی و آگاهی در برنامه های درسی به اشتراک بگذارید.")</f>
        <v>بینش خود را در مورد استراتژی های موثر برای ادغام پایداری محیطی و آگاهی در برنامه های درسی به اشتراک بگذارید.</v>
      </c>
      <c r="H8047" s="1"/>
      <c r="I8047" s="1"/>
      <c r="J8047" s="1"/>
      <c r="K8047" s="1"/>
      <c r="L8047" s="1"/>
      <c r="M8047" s="1"/>
      <c r="N8047" s="1"/>
      <c r="O8047" s="1"/>
      <c r="P8047" s="1"/>
      <c r="Q8047" s="1"/>
      <c r="R8047" s="1"/>
      <c r="S8047" s="1"/>
      <c r="T8047" s="1"/>
      <c r="U8047" s="1"/>
      <c r="V8047" s="1"/>
      <c r="W8047" s="1"/>
      <c r="X8047" s="1"/>
      <c r="Y8047" s="1"/>
      <c r="Z8047" s="1"/>
      <c r="AA8047" s="1"/>
      <c r="AB8047" s="1"/>
    </row>
    <row r="8048" ht="50.25" customHeight="1">
      <c r="A8048" s="12">
        <v>8044.0</v>
      </c>
      <c r="B8048" s="13" t="s">
        <v>7680</v>
      </c>
      <c r="C8048" s="18" t="s">
        <v>8073</v>
      </c>
      <c r="D8048" s="1"/>
      <c r="E8048" s="1"/>
      <c r="F8048" s="1" t="str">
        <f>IFERROR(__xludf.DUMMYFUNCTION("GOOGLETRANSLATE(B8048, ""en"", ""fa"")
"),"درخواست برای معلمان")</f>
        <v>درخواست برای معلمان</v>
      </c>
      <c r="G8048" s="1" t="str">
        <f>IFERROR(__xludf.DUMMYFUNCTION("GOOGLETRANSLATE(C8048, ""en"", ""fa"")
"),"راه‌هایی را برای گنجاندن فعالیت‌ها و وظایف آموزشی متمایز در برنامه‌ریزی درس بررسی کنید.")</f>
        <v>راه‌هایی را برای گنجاندن فعالیت‌ها و وظایف آموزشی متمایز در برنامه‌ریزی درس بررسی کنید.</v>
      </c>
      <c r="H8048" s="1"/>
      <c r="I8048" s="1"/>
      <c r="J8048" s="1"/>
      <c r="K8048" s="1"/>
      <c r="L8048" s="1"/>
      <c r="M8048" s="1"/>
      <c r="N8048" s="1"/>
      <c r="O8048" s="1"/>
      <c r="P8048" s="1"/>
      <c r="Q8048" s="1"/>
      <c r="R8048" s="1"/>
      <c r="S8048" s="1"/>
      <c r="T8048" s="1"/>
      <c r="U8048" s="1"/>
      <c r="V8048" s="1"/>
      <c r="W8048" s="1"/>
      <c r="X8048" s="1"/>
      <c r="Y8048" s="1"/>
      <c r="Z8048" s="1"/>
      <c r="AA8048" s="1"/>
      <c r="AB8048" s="1"/>
    </row>
    <row r="8049" ht="50.25" customHeight="1">
      <c r="A8049" s="12">
        <v>8045.0</v>
      </c>
      <c r="B8049" s="13" t="s">
        <v>7680</v>
      </c>
      <c r="C8049" s="18" t="s">
        <v>8074</v>
      </c>
      <c r="D8049" s="1"/>
      <c r="E8049" s="1"/>
      <c r="F8049" s="1" t="str">
        <f>IFERROR(__xludf.DUMMYFUNCTION("GOOGLETRANSLATE(B8049, ""en"", ""fa"")
"),"درخواست برای معلمان")</f>
        <v>درخواست برای معلمان</v>
      </c>
      <c r="G8049" s="1" t="str">
        <f>IFERROR(__xludf.DUMMYFUNCTION("GOOGLETRANSLATE(C8049, ""en"", ""fa"")
"),"درباره تأثیر گنجاندن مدل‌های یادگیری ترکیبی در طرح‌های درسی بحث کنید.")</f>
        <v>درباره تأثیر گنجاندن مدل‌های یادگیری ترکیبی در طرح‌های درسی بحث کنید.</v>
      </c>
      <c r="H8049" s="1"/>
      <c r="I8049" s="1"/>
      <c r="J8049" s="1"/>
      <c r="K8049" s="1"/>
      <c r="L8049" s="1"/>
      <c r="M8049" s="1"/>
      <c r="N8049" s="1"/>
      <c r="O8049" s="1"/>
      <c r="P8049" s="1"/>
      <c r="Q8049" s="1"/>
      <c r="R8049" s="1"/>
      <c r="S8049" s="1"/>
      <c r="T8049" s="1"/>
      <c r="U8049" s="1"/>
      <c r="V8049" s="1"/>
      <c r="W8049" s="1"/>
      <c r="X8049" s="1"/>
      <c r="Y8049" s="1"/>
      <c r="Z8049" s="1"/>
      <c r="AA8049" s="1"/>
      <c r="AB8049" s="1"/>
    </row>
    <row r="8050" ht="50.25" customHeight="1">
      <c r="A8050" s="12">
        <v>8046.0</v>
      </c>
      <c r="B8050" s="13" t="s">
        <v>7680</v>
      </c>
      <c r="C8050" s="18" t="s">
        <v>8075</v>
      </c>
      <c r="D8050" s="1"/>
      <c r="E8050" s="1"/>
      <c r="F8050" s="1" t="str">
        <f>IFERROR(__xludf.DUMMYFUNCTION("GOOGLETRANSLATE(B8050, ""en"", ""fa"")
"),"درخواست برای معلمان")</f>
        <v>درخواست برای معلمان</v>
      </c>
      <c r="G8050" s="1" t="str">
        <f>IFERROR(__xludf.DUMMYFUNCTION("GOOGLETRANSLATE(C8050, ""en"", ""fa"")
"),"تجربیات خود را در مورد استراتژی های موفق برای ادغام ادبیات متنوع فرهنگی در طرح های درس به اشتراک بگذارید.")</f>
        <v>تجربیات خود را در مورد استراتژی های موفق برای ادغام ادبیات متنوع فرهنگی در طرح های درس به اشتراک بگذارید.</v>
      </c>
      <c r="H8050" s="1"/>
      <c r="I8050" s="1"/>
      <c r="J8050" s="1"/>
      <c r="K8050" s="1"/>
      <c r="L8050" s="1"/>
      <c r="M8050" s="1"/>
      <c r="N8050" s="1"/>
      <c r="O8050" s="1"/>
      <c r="P8050" s="1"/>
      <c r="Q8050" s="1"/>
      <c r="R8050" s="1"/>
      <c r="S8050" s="1"/>
      <c r="T8050" s="1"/>
      <c r="U8050" s="1"/>
      <c r="V8050" s="1"/>
      <c r="W8050" s="1"/>
      <c r="X8050" s="1"/>
      <c r="Y8050" s="1"/>
      <c r="Z8050" s="1"/>
      <c r="AA8050" s="1"/>
      <c r="AB8050" s="1"/>
    </row>
    <row r="8051" ht="50.25" customHeight="1">
      <c r="A8051" s="12">
        <v>8047.0</v>
      </c>
      <c r="B8051" s="13" t="s">
        <v>7680</v>
      </c>
      <c r="C8051" s="18" t="s">
        <v>8076</v>
      </c>
      <c r="D8051" s="1"/>
      <c r="E8051" s="1"/>
      <c r="F8051" s="1" t="str">
        <f>IFERROR(__xludf.DUMMYFUNCTION("GOOGLETRANSLATE(B8051, ""en"", ""fa"")
"),"درخواست برای معلمان")</f>
        <v>درخواست برای معلمان</v>
      </c>
      <c r="G8051" s="1" t="str">
        <f>IFERROR(__xludf.DUMMYFUNCTION("GOOGLETRANSLATE(C8051, ""en"", ""fa"")
"),"تکنیک‌هایی را برای ارتقای مهارت‌های حل مسئله و تفکر انتقادی از طریق یادگیری پروژه محور در طرح‌های درسی بررسی کنید.")</f>
        <v>تکنیک‌هایی را برای ارتقای مهارت‌های حل مسئله و تفکر انتقادی از طریق یادگیری پروژه محور در طرح‌های درسی بررسی کنید.</v>
      </c>
      <c r="H8051" s="1"/>
      <c r="I8051" s="1"/>
      <c r="J8051" s="1"/>
      <c r="K8051" s="1"/>
      <c r="L8051" s="1"/>
      <c r="M8051" s="1"/>
      <c r="N8051" s="1"/>
      <c r="O8051" s="1"/>
      <c r="P8051" s="1"/>
      <c r="Q8051" s="1"/>
      <c r="R8051" s="1"/>
      <c r="S8051" s="1"/>
      <c r="T8051" s="1"/>
      <c r="U8051" s="1"/>
      <c r="V8051" s="1"/>
      <c r="W8051" s="1"/>
      <c r="X8051" s="1"/>
      <c r="Y8051" s="1"/>
      <c r="Z8051" s="1"/>
      <c r="AA8051" s="1"/>
      <c r="AB8051" s="1"/>
    </row>
    <row r="8052" ht="50.25" customHeight="1">
      <c r="A8052" s="12">
        <v>8048.0</v>
      </c>
      <c r="B8052" s="13" t="s">
        <v>7680</v>
      </c>
      <c r="C8052" s="18" t="s">
        <v>8077</v>
      </c>
      <c r="D8052" s="1"/>
      <c r="E8052" s="1"/>
      <c r="F8052" s="1" t="str">
        <f>IFERROR(__xludf.DUMMYFUNCTION("GOOGLETRANSLATE(B8052, ""en"", ""fa"")
"),"درخواست برای معلمان")</f>
        <v>درخواست برای معلمان</v>
      </c>
      <c r="G8052" s="1" t="str">
        <f>IFERROR(__xludf.DUMMYFUNCTION("GOOGLETRANSLATE(C8052, ""en"", ""fa"")
"),"در مورد اهمیت گنجاندن دیدگاه های عدالت اجتماعی و برابری در توسعه برنامه درسی بحث کنید.")</f>
        <v>در مورد اهمیت گنجاندن دیدگاه های عدالت اجتماعی و برابری در توسعه برنامه درسی بحث کنید.</v>
      </c>
      <c r="H8052" s="1"/>
      <c r="I8052" s="1"/>
      <c r="J8052" s="1"/>
      <c r="K8052" s="1"/>
      <c r="L8052" s="1"/>
      <c r="M8052" s="1"/>
      <c r="N8052" s="1"/>
      <c r="O8052" s="1"/>
      <c r="P8052" s="1"/>
      <c r="Q8052" s="1"/>
      <c r="R8052" s="1"/>
      <c r="S8052" s="1"/>
      <c r="T8052" s="1"/>
      <c r="U8052" s="1"/>
      <c r="V8052" s="1"/>
      <c r="W8052" s="1"/>
      <c r="X8052" s="1"/>
      <c r="Y8052" s="1"/>
      <c r="Z8052" s="1"/>
      <c r="AA8052" s="1"/>
      <c r="AB8052" s="1"/>
    </row>
    <row r="8053" ht="50.25" customHeight="1">
      <c r="A8053" s="12">
        <v>8049.0</v>
      </c>
      <c r="B8053" s="13" t="s">
        <v>7680</v>
      </c>
      <c r="C8053" s="18" t="s">
        <v>8078</v>
      </c>
      <c r="D8053" s="1"/>
      <c r="E8053" s="1"/>
      <c r="F8053" s="1" t="str">
        <f>IFERROR(__xludf.DUMMYFUNCTION("GOOGLETRANSLATE(B8053, ""en"", ""fa"")
"),"درخواست برای معلمان")</f>
        <v>درخواست برای معلمان</v>
      </c>
      <c r="G8053" s="1" t="str">
        <f>IFERROR(__xludf.DUMMYFUNCTION("GOOGLETRANSLATE(C8053, ""en"", ""fa"")
"),"بینش خود را در مورد استراتژی های موثر برای ادغام ارزیابی های متمایز در طرح های درس به اشتراک بگذارید.")</f>
        <v>بینش خود را در مورد استراتژی های موثر برای ادغام ارزیابی های متمایز در طرح های درس به اشتراک بگذارید.</v>
      </c>
      <c r="H8053" s="1"/>
      <c r="I8053" s="1"/>
      <c r="J8053" s="1"/>
      <c r="K8053" s="1"/>
      <c r="L8053" s="1"/>
      <c r="M8053" s="1"/>
      <c r="N8053" s="1"/>
      <c r="O8053" s="1"/>
      <c r="P8053" s="1"/>
      <c r="Q8053" s="1"/>
      <c r="R8053" s="1"/>
      <c r="S8053" s="1"/>
      <c r="T8053" s="1"/>
      <c r="U8053" s="1"/>
      <c r="V8053" s="1"/>
      <c r="W8053" s="1"/>
      <c r="X8053" s="1"/>
      <c r="Y8053" s="1"/>
      <c r="Z8053" s="1"/>
      <c r="AA8053" s="1"/>
      <c r="AB8053" s="1"/>
    </row>
    <row r="8054" ht="50.25" customHeight="1">
      <c r="A8054" s="12">
        <v>8050.0</v>
      </c>
      <c r="B8054" s="13" t="s">
        <v>7680</v>
      </c>
      <c r="C8054" s="18" t="s">
        <v>8079</v>
      </c>
      <c r="D8054" s="1"/>
      <c r="E8054" s="1"/>
      <c r="F8054" s="1" t="str">
        <f>IFERROR(__xludf.DUMMYFUNCTION("GOOGLETRANSLATE(B8054, ""en"", ""fa"")
"),"درخواست برای معلمان")</f>
        <v>درخواست برای معلمان</v>
      </c>
      <c r="G8054" s="1" t="str">
        <f>IFERROR(__xludf.DUMMYFUNCTION("GOOGLETRANSLATE(C8054, ""en"", ""fa"")
"),"راه‌هایی برای گنجاندن استراتژی‌های آموزشی پیشرفته‌شده با فناوری در برنامه‌ریزی درس را بررسی کنید.")</f>
        <v>راه‌هایی برای گنجاندن استراتژی‌های آموزشی پیشرفته‌شده با فناوری در برنامه‌ریزی درس را بررسی کنید.</v>
      </c>
      <c r="H8054" s="1"/>
      <c r="I8054" s="1"/>
      <c r="J8054" s="1"/>
      <c r="K8054" s="1"/>
      <c r="L8054" s="1"/>
      <c r="M8054" s="1"/>
      <c r="N8054" s="1"/>
      <c r="O8054" s="1"/>
      <c r="P8054" s="1"/>
      <c r="Q8054" s="1"/>
      <c r="R8054" s="1"/>
      <c r="S8054" s="1"/>
      <c r="T8054" s="1"/>
      <c r="U8054" s="1"/>
      <c r="V8054" s="1"/>
      <c r="W8054" s="1"/>
      <c r="X8054" s="1"/>
      <c r="Y8054" s="1"/>
      <c r="Z8054" s="1"/>
      <c r="AA8054" s="1"/>
      <c r="AB8054" s="1"/>
    </row>
    <row r="8055" ht="50.25" customHeight="1">
      <c r="A8055" s="12">
        <v>8051.0</v>
      </c>
      <c r="B8055" s="13" t="s">
        <v>7680</v>
      </c>
      <c r="C8055" s="18" t="s">
        <v>8080</v>
      </c>
      <c r="D8055" s="1"/>
      <c r="E8055" s="1"/>
      <c r="F8055" s="1" t="str">
        <f>IFERROR(__xludf.DUMMYFUNCTION("GOOGLETRANSLATE(B8055, ""en"", ""fa"")
"),"درخواست برای معلمان")</f>
        <v>درخواست برای معلمان</v>
      </c>
      <c r="G8055" s="1" t="str">
        <f>IFERROR(__xludf.DUMMYFUNCTION("GOOGLETRANSLATE(C8055, ""en"", ""fa"")
"),"درباره نقش گروه بندی انعطاف پذیر و آموزش متمایز در توسعه برنامه درسی بحث کنید.")</f>
        <v>درباره نقش گروه بندی انعطاف پذیر و آموزش متمایز در توسعه برنامه درسی بحث کنید.</v>
      </c>
      <c r="H8055" s="1"/>
      <c r="I8055" s="1"/>
      <c r="J8055" s="1"/>
      <c r="K8055" s="1"/>
      <c r="L8055" s="1"/>
      <c r="M8055" s="1"/>
      <c r="N8055" s="1"/>
      <c r="O8055" s="1"/>
      <c r="P8055" s="1"/>
      <c r="Q8055" s="1"/>
      <c r="R8055" s="1"/>
      <c r="S8055" s="1"/>
      <c r="T8055" s="1"/>
      <c r="U8055" s="1"/>
      <c r="V8055" s="1"/>
      <c r="W8055" s="1"/>
      <c r="X8055" s="1"/>
      <c r="Y8055" s="1"/>
      <c r="Z8055" s="1"/>
      <c r="AA8055" s="1"/>
      <c r="AB8055" s="1"/>
    </row>
    <row r="8056" ht="50.25" customHeight="1">
      <c r="A8056" s="12">
        <v>8052.0</v>
      </c>
      <c r="B8056" s="13" t="s">
        <v>7680</v>
      </c>
      <c r="C8056" s="18" t="s">
        <v>8081</v>
      </c>
      <c r="D8056" s="1"/>
      <c r="E8056" s="1"/>
      <c r="F8056" s="1" t="str">
        <f>IFERROR(__xludf.DUMMYFUNCTION("GOOGLETRANSLATE(B8056, ""en"", ""fa"")
"),"درخواست برای معلمان")</f>
        <v>درخواست برای معلمان</v>
      </c>
      <c r="G8056" s="1" t="str">
        <f>IFERROR(__xludf.DUMMYFUNCTION("GOOGLETRANSLATE(C8056, ""en"", ""fa"")
"),"تجربیات خود را در مورد استراتژی های موفق برای ادغام پروژه های تولید چند رسانه ای در طرح های درسی به اشتراک بگذارید.")</f>
        <v>تجربیات خود را در مورد استراتژی های موفق برای ادغام پروژه های تولید چند رسانه ای در طرح های درسی به اشتراک بگذارید.</v>
      </c>
      <c r="H8056" s="1"/>
      <c r="I8056" s="1"/>
      <c r="J8056" s="1"/>
      <c r="K8056" s="1"/>
      <c r="L8056" s="1"/>
      <c r="M8056" s="1"/>
      <c r="N8056" s="1"/>
      <c r="O8056" s="1"/>
      <c r="P8056" s="1"/>
      <c r="Q8056" s="1"/>
      <c r="R8056" s="1"/>
      <c r="S8056" s="1"/>
      <c r="T8056" s="1"/>
      <c r="U8056" s="1"/>
      <c r="V8056" s="1"/>
      <c r="W8056" s="1"/>
      <c r="X8056" s="1"/>
      <c r="Y8056" s="1"/>
      <c r="Z8056" s="1"/>
      <c r="AA8056" s="1"/>
      <c r="AB8056" s="1"/>
    </row>
    <row r="8057" ht="50.25" customHeight="1">
      <c r="A8057" s="12">
        <v>8053.0</v>
      </c>
      <c r="B8057" s="13" t="s">
        <v>7680</v>
      </c>
      <c r="C8057" s="18" t="s">
        <v>8082</v>
      </c>
      <c r="D8057" s="1"/>
      <c r="E8057" s="1"/>
      <c r="F8057" s="1" t="str">
        <f>IFERROR(__xludf.DUMMYFUNCTION("GOOGLETRANSLATE(B8057, ""en"", ""fa"")
"),"درخواست برای معلمان")</f>
        <v>درخواست برای معلمان</v>
      </c>
      <c r="G8057" s="1" t="str">
        <f>IFERROR(__xludf.DUMMYFUNCTION("GOOGLETRANSLATE(C8057, ""en"", ""fa"")
"),"تکنیک‌هایی را برای ترویج پرسش‌های دانش‌آموز و پروژه‌های تحقیقاتی در برنامه‌ریزی درس کاوش کنید.")</f>
        <v>تکنیک‌هایی را برای ترویج پرسش‌های دانش‌آموز و پروژه‌های تحقیقاتی در برنامه‌ریزی درس کاوش کنید.</v>
      </c>
      <c r="H8057" s="1"/>
      <c r="I8057" s="1"/>
      <c r="J8057" s="1"/>
      <c r="K8057" s="1"/>
      <c r="L8057" s="1"/>
      <c r="M8057" s="1"/>
      <c r="N8057" s="1"/>
      <c r="O8057" s="1"/>
      <c r="P8057" s="1"/>
      <c r="Q8057" s="1"/>
      <c r="R8057" s="1"/>
      <c r="S8057" s="1"/>
      <c r="T8057" s="1"/>
      <c r="U8057" s="1"/>
      <c r="V8057" s="1"/>
      <c r="W8057" s="1"/>
      <c r="X8057" s="1"/>
      <c r="Y8057" s="1"/>
      <c r="Z8057" s="1"/>
      <c r="AA8057" s="1"/>
      <c r="AB8057" s="1"/>
    </row>
    <row r="8058" ht="50.25" customHeight="1">
      <c r="A8058" s="12">
        <v>8054.0</v>
      </c>
      <c r="B8058" s="13" t="s">
        <v>7680</v>
      </c>
      <c r="C8058" s="18" t="s">
        <v>8083</v>
      </c>
      <c r="D8058" s="1"/>
      <c r="E8058" s="1"/>
      <c r="F8058" s="1" t="str">
        <f>IFERROR(__xludf.DUMMYFUNCTION("GOOGLETRANSLATE(B8058, ""en"", ""fa"")
"),"درخواست برای معلمان")</f>
        <v>درخواست برای معلمان</v>
      </c>
      <c r="G8058" s="1" t="str">
        <f>IFERROR(__xludf.DUMMYFUNCTION("GOOGLETRANSLATE(C8058, ""en"", ""fa"")
"),"درباره تأثیر گنجاندن ارزیابی های معتبر و وظایف عملکرد در توسعه برنامه درسی بحث کنید.")</f>
        <v>درباره تأثیر گنجاندن ارزیابی های معتبر و وظایف عملکرد در توسعه برنامه درسی بحث کنید.</v>
      </c>
      <c r="H8058" s="1"/>
      <c r="I8058" s="1"/>
      <c r="J8058" s="1"/>
      <c r="K8058" s="1"/>
      <c r="L8058" s="1"/>
      <c r="M8058" s="1"/>
      <c r="N8058" s="1"/>
      <c r="O8058" s="1"/>
      <c r="P8058" s="1"/>
      <c r="Q8058" s="1"/>
      <c r="R8058" s="1"/>
      <c r="S8058" s="1"/>
      <c r="T8058" s="1"/>
      <c r="U8058" s="1"/>
      <c r="V8058" s="1"/>
      <c r="W8058" s="1"/>
      <c r="X8058" s="1"/>
      <c r="Y8058" s="1"/>
      <c r="Z8058" s="1"/>
      <c r="AA8058" s="1"/>
      <c r="AB8058" s="1"/>
    </row>
    <row r="8059" ht="50.25" customHeight="1">
      <c r="A8059" s="12">
        <v>8055.0</v>
      </c>
      <c r="B8059" s="13" t="s">
        <v>7680</v>
      </c>
      <c r="C8059" s="18" t="s">
        <v>8084</v>
      </c>
      <c r="D8059" s="1"/>
      <c r="E8059" s="1"/>
      <c r="F8059" s="1" t="str">
        <f>IFERROR(__xludf.DUMMYFUNCTION("GOOGLETRANSLATE(B8059, ""en"", ""fa"")
"),"درخواست برای معلمان")</f>
        <v>درخواست برای معلمان</v>
      </c>
      <c r="G8059" s="1" t="str">
        <f>IFERROR(__xludf.DUMMYFUNCTION("GOOGLETRANSLATE(C8059, ""en"", ""fa"")
"),"بینش خود را در مورد استراتژی های موثر برای ادغام سفرهای میدانی و تجربیات دنیای واقعی در طرح های درس به اشتراک بگذارید.")</f>
        <v>بینش خود را در مورد استراتژی های موثر برای ادغام سفرهای میدانی و تجربیات دنیای واقعی در طرح های درس به اشتراک بگذارید.</v>
      </c>
      <c r="H8059" s="1"/>
      <c r="I8059" s="1"/>
      <c r="J8059" s="1"/>
      <c r="K8059" s="1"/>
      <c r="L8059" s="1"/>
      <c r="M8059" s="1"/>
      <c r="N8059" s="1"/>
      <c r="O8059" s="1"/>
      <c r="P8059" s="1"/>
      <c r="Q8059" s="1"/>
      <c r="R8059" s="1"/>
      <c r="S8059" s="1"/>
      <c r="T8059" s="1"/>
      <c r="U8059" s="1"/>
      <c r="V8059" s="1"/>
      <c r="W8059" s="1"/>
      <c r="X8059" s="1"/>
      <c r="Y8059" s="1"/>
      <c r="Z8059" s="1"/>
      <c r="AA8059" s="1"/>
      <c r="AB8059" s="1"/>
    </row>
    <row r="8060" ht="50.25" customHeight="1">
      <c r="A8060" s="12">
        <v>8056.0</v>
      </c>
      <c r="B8060" s="13" t="s">
        <v>7680</v>
      </c>
      <c r="C8060" s="18" t="s">
        <v>8085</v>
      </c>
      <c r="D8060" s="1"/>
      <c r="E8060" s="1"/>
      <c r="F8060" s="1" t="str">
        <f>IFERROR(__xludf.DUMMYFUNCTION("GOOGLETRANSLATE(B8060, ""en"", ""fa"")
"),"درخواست برای معلمان")</f>
        <v>درخواست برای معلمان</v>
      </c>
      <c r="G8060" s="1" t="str">
        <f>IFERROR(__xludf.DUMMYFUNCTION("GOOGLETRANSLATE(C8060, ""en"", ""fa"")
"),"راه‌هایی را برای گنجاندن داستان‌سرایی دیجیتال و فعالیت‌های مبتنی بر روایت در برنامه‌ریزی درس بررسی کنید.")</f>
        <v>راه‌هایی را برای گنجاندن داستان‌سرایی دیجیتال و فعالیت‌های مبتنی بر روایت در برنامه‌ریزی درس بررسی کنید.</v>
      </c>
      <c r="H8060" s="1"/>
      <c r="I8060" s="1"/>
      <c r="J8060" s="1"/>
      <c r="K8060" s="1"/>
      <c r="L8060" s="1"/>
      <c r="M8060" s="1"/>
      <c r="N8060" s="1"/>
      <c r="O8060" s="1"/>
      <c r="P8060" s="1"/>
      <c r="Q8060" s="1"/>
      <c r="R8060" s="1"/>
      <c r="S8060" s="1"/>
      <c r="T8060" s="1"/>
      <c r="U8060" s="1"/>
      <c r="V8060" s="1"/>
      <c r="W8060" s="1"/>
      <c r="X8060" s="1"/>
      <c r="Y8060" s="1"/>
      <c r="Z8060" s="1"/>
      <c r="AA8060" s="1"/>
      <c r="AB8060" s="1"/>
    </row>
    <row r="8061" ht="50.25" customHeight="1">
      <c r="A8061" s="12">
        <v>8057.0</v>
      </c>
      <c r="B8061" s="13" t="s">
        <v>7680</v>
      </c>
      <c r="C8061" s="18" t="s">
        <v>8086</v>
      </c>
      <c r="D8061" s="1"/>
      <c r="E8061" s="1"/>
      <c r="F8061" s="1" t="str">
        <f>IFERROR(__xludf.DUMMYFUNCTION("GOOGLETRANSLATE(B8061, ""en"", ""fa"")
"),"درخواست برای معلمان")</f>
        <v>درخواست برای معلمان</v>
      </c>
      <c r="G8061" s="1" t="str">
        <f>IFERROR(__xludf.DUMMYFUNCTION("GOOGLETRANSLATE(C8061, ""en"", ""fa"")
"),"در مورد اهمیت گنجاندن اصول طراحی جهانی برای یادگیری (UDL) در توسعه برنامه درسی بحث کنید.")</f>
        <v>در مورد اهمیت گنجاندن اصول طراحی جهانی برای یادگیری (UDL) در توسعه برنامه درسی بحث کنید.</v>
      </c>
      <c r="H8061" s="1"/>
      <c r="I8061" s="1"/>
      <c r="J8061" s="1"/>
      <c r="K8061" s="1"/>
      <c r="L8061" s="1"/>
      <c r="M8061" s="1"/>
      <c r="N8061" s="1"/>
      <c r="O8061" s="1"/>
      <c r="P8061" s="1"/>
      <c r="Q8061" s="1"/>
      <c r="R8061" s="1"/>
      <c r="S8061" s="1"/>
      <c r="T8061" s="1"/>
      <c r="U8061" s="1"/>
      <c r="V8061" s="1"/>
      <c r="W8061" s="1"/>
      <c r="X8061" s="1"/>
      <c r="Y8061" s="1"/>
      <c r="Z8061" s="1"/>
      <c r="AA8061" s="1"/>
      <c r="AB8061" s="1"/>
    </row>
    <row r="8062" ht="50.25" customHeight="1">
      <c r="A8062" s="12">
        <v>8058.0</v>
      </c>
      <c r="B8062" s="13" t="s">
        <v>7680</v>
      </c>
      <c r="C8062" s="18" t="s">
        <v>8087</v>
      </c>
      <c r="D8062" s="1"/>
      <c r="E8062" s="1"/>
      <c r="F8062" s="1" t="str">
        <f>IFERROR(__xludf.DUMMYFUNCTION("GOOGLETRANSLATE(B8062, ""en"", ""fa"")
"),"درخواست برای معلمان")</f>
        <v>درخواست برای معلمان</v>
      </c>
      <c r="G8062" s="1" t="str">
        <f>IFERROR(__xludf.DUMMYFUNCTION("GOOGLETRANSLATE(C8062, ""en"", ""fa"")
"),"تجربیات خود را در مورد استراتژی های موفق برای ادغام وظایف حل مسئله و تفکر انتقادی در برنامه های درس به اشتراک بگذارید.")</f>
        <v>تجربیات خود را در مورد استراتژی های موفق برای ادغام وظایف حل مسئله و تفکر انتقادی در برنامه های درس به اشتراک بگذارید.</v>
      </c>
      <c r="H8062" s="1"/>
      <c r="I8062" s="1"/>
      <c r="J8062" s="1"/>
      <c r="K8062" s="1"/>
      <c r="L8062" s="1"/>
      <c r="M8062" s="1"/>
      <c r="N8062" s="1"/>
      <c r="O8062" s="1"/>
      <c r="P8062" s="1"/>
      <c r="Q8062" s="1"/>
      <c r="R8062" s="1"/>
      <c r="S8062" s="1"/>
      <c r="T8062" s="1"/>
      <c r="U8062" s="1"/>
      <c r="V8062" s="1"/>
      <c r="W8062" s="1"/>
      <c r="X8062" s="1"/>
      <c r="Y8062" s="1"/>
      <c r="Z8062" s="1"/>
      <c r="AA8062" s="1"/>
      <c r="AB8062" s="1"/>
    </row>
    <row r="8063" ht="50.25" customHeight="1">
      <c r="A8063" s="12">
        <v>8059.0</v>
      </c>
      <c r="B8063" s="13" t="s">
        <v>7680</v>
      </c>
      <c r="C8063" s="18" t="s">
        <v>8088</v>
      </c>
      <c r="D8063" s="1"/>
      <c r="E8063" s="1"/>
      <c r="F8063" s="1" t="str">
        <f>IFERROR(__xludf.DUMMYFUNCTION("GOOGLETRANSLATE(B8063, ""en"", ""fa"")
"),"درخواست برای معلمان")</f>
        <v>درخواست برای معلمان</v>
      </c>
      <c r="G8063" s="1" t="str">
        <f>IFERROR(__xludf.DUMMYFUNCTION("GOOGLETRANSLATE(C8063, ""en"", ""fa"")
"),"تکنیک‌هایی را برای ترویج یادگیری فعال و مشارکت دانش‌آموزان در برنامه‌ریزی درس بررسی کنید.")</f>
        <v>تکنیک‌هایی را برای ترویج یادگیری فعال و مشارکت دانش‌آموزان در برنامه‌ریزی درس بررسی کنید.</v>
      </c>
      <c r="H8063" s="1"/>
      <c r="I8063" s="1"/>
      <c r="J8063" s="1"/>
      <c r="K8063" s="1"/>
      <c r="L8063" s="1"/>
      <c r="M8063" s="1"/>
      <c r="N8063" s="1"/>
      <c r="O8063" s="1"/>
      <c r="P8063" s="1"/>
      <c r="Q8063" s="1"/>
      <c r="R8063" s="1"/>
      <c r="S8063" s="1"/>
      <c r="T8063" s="1"/>
      <c r="U8063" s="1"/>
      <c r="V8063" s="1"/>
      <c r="W8063" s="1"/>
      <c r="X8063" s="1"/>
      <c r="Y8063" s="1"/>
      <c r="Z8063" s="1"/>
      <c r="AA8063" s="1"/>
      <c r="AB8063" s="1"/>
    </row>
    <row r="8064" ht="50.25" customHeight="1">
      <c r="A8064" s="12">
        <v>8060.0</v>
      </c>
      <c r="B8064" s="13" t="s">
        <v>7680</v>
      </c>
      <c r="C8064" s="18" t="s">
        <v>8089</v>
      </c>
      <c r="D8064" s="1"/>
      <c r="E8064" s="1"/>
      <c r="F8064" s="1" t="str">
        <f>IFERROR(__xludf.DUMMYFUNCTION("GOOGLETRANSLATE(B8064, ""en"", ""fa"")
"),"درخواست برای معلمان")</f>
        <v>درخواست برای معلمان</v>
      </c>
      <c r="G8064" s="1" t="str">
        <f>IFERROR(__xludf.DUMMYFUNCTION("GOOGLETRANSLATE(C8064, ""en"", ""fa"")
"),"در مورد نقش طراحی عقب مانده در توسعه طرح های واحد بلند مدت و چارچوب های برنامه درسی بحث کنید.")</f>
        <v>در مورد نقش طراحی عقب مانده در توسعه طرح های واحد بلند مدت و چارچوب های برنامه درسی بحث کنید.</v>
      </c>
      <c r="H8064" s="1"/>
      <c r="I8064" s="1"/>
      <c r="J8064" s="1"/>
      <c r="K8064" s="1"/>
      <c r="L8064" s="1"/>
      <c r="M8064" s="1"/>
      <c r="N8064" s="1"/>
      <c r="O8064" s="1"/>
      <c r="P8064" s="1"/>
      <c r="Q8064" s="1"/>
      <c r="R8064" s="1"/>
      <c r="S8064" s="1"/>
      <c r="T8064" s="1"/>
      <c r="U8064" s="1"/>
      <c r="V8064" s="1"/>
      <c r="W8064" s="1"/>
      <c r="X8064" s="1"/>
      <c r="Y8064" s="1"/>
      <c r="Z8064" s="1"/>
      <c r="AA8064" s="1"/>
      <c r="AB8064" s="1"/>
    </row>
    <row r="8065" ht="50.25" customHeight="1">
      <c r="A8065" s="12">
        <v>8061.0</v>
      </c>
      <c r="B8065" s="13" t="s">
        <v>7680</v>
      </c>
      <c r="C8065" s="18" t="s">
        <v>8090</v>
      </c>
      <c r="D8065" s="1"/>
      <c r="E8065" s="1"/>
      <c r="F8065" s="1" t="str">
        <f>IFERROR(__xludf.DUMMYFUNCTION("GOOGLETRANSLATE(B8065, ""en"", ""fa"")
"),"درخواست برای معلمان")</f>
        <v>درخواست برای معلمان</v>
      </c>
      <c r="G8065" s="1" t="str">
        <f>IFERROR(__xludf.DUMMYFUNCTION("GOOGLETRANSLATE(C8065, ""en"", ""fa"")
"),"بینش خود را در مورد استراتژی های موثر برای ادغام منابع چند رسانه ای و سفرهای میدانی مجازی در طرح های درس به اشتراک بگذارید.")</f>
        <v>بینش خود را در مورد استراتژی های موثر برای ادغام منابع چند رسانه ای و سفرهای میدانی مجازی در طرح های درس به اشتراک بگذارید.</v>
      </c>
      <c r="H8065" s="1"/>
      <c r="I8065" s="1"/>
      <c r="J8065" s="1"/>
      <c r="K8065" s="1"/>
      <c r="L8065" s="1"/>
      <c r="M8065" s="1"/>
      <c r="N8065" s="1"/>
      <c r="O8065" s="1"/>
      <c r="P8065" s="1"/>
      <c r="Q8065" s="1"/>
      <c r="R8065" s="1"/>
      <c r="S8065" s="1"/>
      <c r="T8065" s="1"/>
      <c r="U8065" s="1"/>
      <c r="V8065" s="1"/>
      <c r="W8065" s="1"/>
      <c r="X8065" s="1"/>
      <c r="Y8065" s="1"/>
      <c r="Z8065" s="1"/>
      <c r="AA8065" s="1"/>
      <c r="AB8065" s="1"/>
    </row>
    <row r="8066" ht="50.25" customHeight="1">
      <c r="A8066" s="12">
        <v>8062.0</v>
      </c>
      <c r="B8066" s="13" t="s">
        <v>7680</v>
      </c>
      <c r="C8066" s="18" t="s">
        <v>8091</v>
      </c>
      <c r="D8066" s="1"/>
      <c r="E8066" s="1"/>
      <c r="F8066" s="1" t="str">
        <f>IFERROR(__xludf.DUMMYFUNCTION("GOOGLETRANSLATE(B8066, ""en"", ""fa"")
"),"درخواست برای معلمان")</f>
        <v>درخواست برای معلمان</v>
      </c>
      <c r="G8066" s="1" t="str">
        <f>IFERROR(__xludf.DUMMYFUNCTION("GOOGLETRANSLATE(C8066, ""en"", ""fa"")
"),"کاوش راه هایی برای ترکیب مجلات و نمونه کارها در توسعه برنامه درسی.")</f>
        <v>کاوش راه هایی برای ترکیب مجلات و نمونه کارها در توسعه برنامه درسی.</v>
      </c>
      <c r="H8066" s="1"/>
      <c r="I8066" s="1"/>
      <c r="J8066" s="1"/>
      <c r="K8066" s="1"/>
      <c r="L8066" s="1"/>
      <c r="M8066" s="1"/>
      <c r="N8066" s="1"/>
      <c r="O8066" s="1"/>
      <c r="P8066" s="1"/>
      <c r="Q8066" s="1"/>
      <c r="R8066" s="1"/>
      <c r="S8066" s="1"/>
      <c r="T8066" s="1"/>
      <c r="U8066" s="1"/>
      <c r="V8066" s="1"/>
      <c r="W8066" s="1"/>
      <c r="X8066" s="1"/>
      <c r="Y8066" s="1"/>
      <c r="Z8066" s="1"/>
      <c r="AA8066" s="1"/>
      <c r="AB8066" s="1"/>
    </row>
    <row r="8067" ht="50.25" customHeight="1">
      <c r="A8067" s="12">
        <v>8063.0</v>
      </c>
      <c r="B8067" s="13" t="s">
        <v>7680</v>
      </c>
      <c r="C8067" s="18" t="s">
        <v>8092</v>
      </c>
      <c r="D8067" s="1"/>
      <c r="E8067" s="1"/>
      <c r="F8067" s="1" t="str">
        <f>IFERROR(__xludf.DUMMYFUNCTION("GOOGLETRANSLATE(B8067, ""en"", ""fa"")
"),"درخواست برای معلمان")</f>
        <v>درخواست برای معلمان</v>
      </c>
      <c r="G8067" s="1" t="str">
        <f>IFERROR(__xludf.DUMMYFUNCTION("GOOGLETRANSLATE(C8067, ""en"", ""fa"")
"),"درباره تأثیر گنجاندن شایستگی‌های جهانی و مهارت‌های قرن بیست و یکم در برنامه‌های درسی بحث کنید.")</f>
        <v>درباره تأثیر گنجاندن شایستگی‌های جهانی و مهارت‌های قرن بیست و یکم در برنامه‌های درسی بحث کنید.</v>
      </c>
      <c r="H8067" s="1"/>
      <c r="I8067" s="1"/>
      <c r="J8067" s="1"/>
      <c r="K8067" s="1"/>
      <c r="L8067" s="1"/>
      <c r="M8067" s="1"/>
      <c r="N8067" s="1"/>
      <c r="O8067" s="1"/>
      <c r="P8067" s="1"/>
      <c r="Q8067" s="1"/>
      <c r="R8067" s="1"/>
      <c r="S8067" s="1"/>
      <c r="T8067" s="1"/>
      <c r="U8067" s="1"/>
      <c r="V8067" s="1"/>
      <c r="W8067" s="1"/>
      <c r="X8067" s="1"/>
      <c r="Y8067" s="1"/>
      <c r="Z8067" s="1"/>
      <c r="AA8067" s="1"/>
      <c r="AB8067" s="1"/>
    </row>
    <row r="8068" ht="50.25" customHeight="1">
      <c r="A8068" s="12">
        <v>8064.0</v>
      </c>
      <c r="B8068" s="13" t="s">
        <v>7680</v>
      </c>
      <c r="C8068" s="18" t="s">
        <v>8093</v>
      </c>
      <c r="D8068" s="1"/>
      <c r="E8068" s="1"/>
      <c r="F8068" s="1" t="str">
        <f>IFERROR(__xludf.DUMMYFUNCTION("GOOGLETRANSLATE(B8068, ""en"", ""fa"")
"),"درخواست برای معلمان")</f>
        <v>درخواست برای معلمان</v>
      </c>
      <c r="G8068" s="1" t="str">
        <f>IFERROR(__xludf.DUMMYFUNCTION("GOOGLETRANSLATE(C8068, ""en"", ""fa"")
"),"تجربیات خود را در مورد استراتژی های موفق برای ادغام پروژه های پرس و جو دانش آموز محور در طرح های درس به اشتراک بگذارید.")</f>
        <v>تجربیات خود را در مورد استراتژی های موفق برای ادغام پروژه های پرس و جو دانش آموز محور در طرح های درس به اشتراک بگذارید.</v>
      </c>
      <c r="H8068" s="1"/>
      <c r="I8068" s="1"/>
      <c r="J8068" s="1"/>
      <c r="K8068" s="1"/>
      <c r="L8068" s="1"/>
      <c r="M8068" s="1"/>
      <c r="N8068" s="1"/>
      <c r="O8068" s="1"/>
      <c r="P8068" s="1"/>
      <c r="Q8068" s="1"/>
      <c r="R8068" s="1"/>
      <c r="S8068" s="1"/>
      <c r="T8068" s="1"/>
      <c r="U8068" s="1"/>
      <c r="V8068" s="1"/>
      <c r="W8068" s="1"/>
      <c r="X8068" s="1"/>
      <c r="Y8068" s="1"/>
      <c r="Z8068" s="1"/>
      <c r="AA8068" s="1"/>
      <c r="AB8068" s="1"/>
    </row>
    <row r="8069" ht="50.25" customHeight="1">
      <c r="A8069" s="12">
        <v>8065.0</v>
      </c>
      <c r="B8069" s="13" t="s">
        <v>7680</v>
      </c>
      <c r="C8069" s="18" t="s">
        <v>8094</v>
      </c>
      <c r="D8069" s="1"/>
      <c r="E8069" s="1"/>
      <c r="F8069" s="1" t="str">
        <f>IFERROR(__xludf.DUMMYFUNCTION("GOOGLETRANSLATE(B8069, ""en"", ""fa"")
"),"درخواست برای معلمان")</f>
        <v>درخواست برای معلمان</v>
      </c>
      <c r="G8069" s="1" t="str">
        <f>IFERROR(__xludf.DUMMYFUNCTION("GOOGLETRANSLATE(C8069, ""en"", ""fa"")
"),"تکنیک‌هایی را برای ترویج ارزیابی‌های متمایز و اشکال جایگزین بیان در توسعه برنامه درسی کاوش کنید.")</f>
        <v>تکنیک‌هایی را برای ترویج ارزیابی‌های متمایز و اشکال جایگزین بیان در توسعه برنامه درسی کاوش کنید.</v>
      </c>
      <c r="H8069" s="1"/>
      <c r="I8069" s="1"/>
      <c r="J8069" s="1"/>
      <c r="K8069" s="1"/>
      <c r="L8069" s="1"/>
      <c r="M8069" s="1"/>
      <c r="N8069" s="1"/>
      <c r="O8069" s="1"/>
      <c r="P8069" s="1"/>
      <c r="Q8069" s="1"/>
      <c r="R8069" s="1"/>
      <c r="S8069" s="1"/>
      <c r="T8069" s="1"/>
      <c r="U8069" s="1"/>
      <c r="V8069" s="1"/>
      <c r="W8069" s="1"/>
      <c r="X8069" s="1"/>
      <c r="Y8069" s="1"/>
      <c r="Z8069" s="1"/>
      <c r="AA8069" s="1"/>
      <c r="AB8069" s="1"/>
    </row>
    <row r="8070" ht="50.25" customHeight="1">
      <c r="A8070" s="12">
        <v>8066.0</v>
      </c>
      <c r="B8070" s="13" t="s">
        <v>7680</v>
      </c>
      <c r="C8070" s="18" t="s">
        <v>8095</v>
      </c>
      <c r="D8070" s="1"/>
      <c r="E8070" s="1"/>
      <c r="F8070" s="1" t="str">
        <f>IFERROR(__xludf.DUMMYFUNCTION("GOOGLETRANSLATE(B8070, ""en"", ""fa"")
"),"درخواست برای معلمان")</f>
        <v>درخواست برای معلمان</v>
      </c>
      <c r="G8070" s="1" t="str">
        <f>IFERROR(__xludf.DUMMYFUNCTION("GOOGLETRANSLATE(C8070, ""en"", ""fa"")
"),"در مورد اهمیت ادغام شایستگی های یادگیری اجتماعی-عاطفی در برنامه ریزی درس بحث کنید.")</f>
        <v>در مورد اهمیت ادغام شایستگی های یادگیری اجتماعی-عاطفی در برنامه ریزی درس بحث کنید.</v>
      </c>
      <c r="H8070" s="1"/>
      <c r="I8070" s="1"/>
      <c r="J8070" s="1"/>
      <c r="K8070" s="1"/>
      <c r="L8070" s="1"/>
      <c r="M8070" s="1"/>
      <c r="N8070" s="1"/>
      <c r="O8070" s="1"/>
      <c r="P8070" s="1"/>
      <c r="Q8070" s="1"/>
      <c r="R8070" s="1"/>
      <c r="S8070" s="1"/>
      <c r="T8070" s="1"/>
      <c r="U8070" s="1"/>
      <c r="V8070" s="1"/>
      <c r="W8070" s="1"/>
      <c r="X8070" s="1"/>
      <c r="Y8070" s="1"/>
      <c r="Z8070" s="1"/>
      <c r="AA8070" s="1"/>
      <c r="AB8070" s="1"/>
    </row>
    <row r="8071" ht="50.25" customHeight="1">
      <c r="A8071" s="12">
        <v>8067.0</v>
      </c>
      <c r="B8071" s="13" t="s">
        <v>7680</v>
      </c>
      <c r="C8071" s="18" t="s">
        <v>8096</v>
      </c>
      <c r="D8071" s="1"/>
      <c r="E8071" s="1"/>
      <c r="F8071" s="1" t="str">
        <f>IFERROR(__xludf.DUMMYFUNCTION("GOOGLETRANSLATE(B8071, ""en"", ""fa"")
"),"درخواست برای معلمان")</f>
        <v>درخواست برای معلمان</v>
      </c>
      <c r="G8071" s="1" t="str">
        <f>IFERROR(__xludf.DUMMYFUNCTION("GOOGLETRANSLATE(C8071, ""en"", ""fa"")
"),"بینش خود را در مورد استراتژی های موثر برای ترکیب آموزش فرهنگی پاسخگو در توسعه برنامه درسی به اشتراک بگذارید.")</f>
        <v>بینش خود را در مورد استراتژی های موثر برای ترکیب آموزش فرهنگی پاسخگو در توسعه برنامه درسی به اشتراک بگذارید.</v>
      </c>
      <c r="H8071" s="1"/>
      <c r="I8071" s="1"/>
      <c r="J8071" s="1"/>
      <c r="K8071" s="1"/>
      <c r="L8071" s="1"/>
      <c r="M8071" s="1"/>
      <c r="N8071" s="1"/>
      <c r="O8071" s="1"/>
      <c r="P8071" s="1"/>
      <c r="Q8071" s="1"/>
      <c r="R8071" s="1"/>
      <c r="S8071" s="1"/>
      <c r="T8071" s="1"/>
      <c r="U8071" s="1"/>
      <c r="V8071" s="1"/>
      <c r="W8071" s="1"/>
      <c r="X8071" s="1"/>
      <c r="Y8071" s="1"/>
      <c r="Z8071" s="1"/>
      <c r="AA8071" s="1"/>
      <c r="AB8071" s="1"/>
    </row>
    <row r="8072" ht="50.25" customHeight="1">
      <c r="A8072" s="12">
        <v>8068.0</v>
      </c>
      <c r="B8072" s="13" t="s">
        <v>7680</v>
      </c>
      <c r="C8072" s="18" t="s">
        <v>8097</v>
      </c>
      <c r="D8072" s="1"/>
      <c r="E8072" s="1"/>
      <c r="F8072" s="1" t="str">
        <f>IFERROR(__xludf.DUMMYFUNCTION("GOOGLETRANSLATE(B8072, ""en"", ""fa"")
"),"درخواست برای معلمان")</f>
        <v>درخواست برای معلمان</v>
      </c>
      <c r="G8072" s="1" t="str">
        <f>IFERROR(__xludf.DUMMYFUNCTION("GOOGLETRANSLATE(C8072, ""en"", ""fa"")
"),"راه‌هایی را برای گنجاندن ارزیابی‌های پروژه‌محور و وظایف عملکردی معتبر در برنامه‌ریزی درس بررسی کنید.")</f>
        <v>راه‌هایی را برای گنجاندن ارزیابی‌های پروژه‌محور و وظایف عملکردی معتبر در برنامه‌ریزی درس بررسی کنید.</v>
      </c>
      <c r="H8072" s="1"/>
      <c r="I8072" s="1"/>
      <c r="J8072" s="1"/>
      <c r="K8072" s="1"/>
      <c r="L8072" s="1"/>
      <c r="M8072" s="1"/>
      <c r="N8072" s="1"/>
      <c r="O8072" s="1"/>
      <c r="P8072" s="1"/>
      <c r="Q8072" s="1"/>
      <c r="R8072" s="1"/>
      <c r="S8072" s="1"/>
      <c r="T8072" s="1"/>
      <c r="U8072" s="1"/>
      <c r="V8072" s="1"/>
      <c r="W8072" s="1"/>
      <c r="X8072" s="1"/>
      <c r="Y8072" s="1"/>
      <c r="Z8072" s="1"/>
      <c r="AA8072" s="1"/>
      <c r="AB8072" s="1"/>
    </row>
    <row r="8073" ht="50.25" customHeight="1">
      <c r="A8073" s="12">
        <v>8069.0</v>
      </c>
      <c r="B8073" s="13" t="s">
        <v>7680</v>
      </c>
      <c r="C8073" s="18" t="s">
        <v>8098</v>
      </c>
      <c r="D8073" s="1"/>
      <c r="E8073" s="1"/>
      <c r="F8073" s="1" t="str">
        <f>IFERROR(__xludf.DUMMYFUNCTION("GOOGLETRANSLATE(B8073, ""en"", ""fa"")
"),"درخواست برای معلمان")</f>
        <v>درخواست برای معلمان</v>
      </c>
      <c r="G8073" s="1" t="str">
        <f>IFERROR(__xludf.DUMMYFUNCTION("GOOGLETRANSLATE(C8073, ""en"", ""fa"")
"),"در مورد نقش چیدمان صندلی های انعطاف پذیر و طراحی کلاس درس در برنامه ریزی درس بحث کنید.")</f>
        <v>در مورد نقش چیدمان صندلی های انعطاف پذیر و طراحی کلاس درس در برنامه ریزی درس بحث کنید.</v>
      </c>
      <c r="H8073" s="1"/>
      <c r="I8073" s="1"/>
      <c r="J8073" s="1"/>
      <c r="K8073" s="1"/>
      <c r="L8073" s="1"/>
      <c r="M8073" s="1"/>
      <c r="N8073" s="1"/>
      <c r="O8073" s="1"/>
      <c r="P8073" s="1"/>
      <c r="Q8073" s="1"/>
      <c r="R8073" s="1"/>
      <c r="S8073" s="1"/>
      <c r="T8073" s="1"/>
      <c r="U8073" s="1"/>
      <c r="V8073" s="1"/>
      <c r="W8073" s="1"/>
      <c r="X8073" s="1"/>
      <c r="Y8073" s="1"/>
      <c r="Z8073" s="1"/>
      <c r="AA8073" s="1"/>
      <c r="AB8073" s="1"/>
    </row>
    <row r="8074" ht="50.25" customHeight="1">
      <c r="A8074" s="12">
        <v>8070.0</v>
      </c>
      <c r="B8074" s="13" t="s">
        <v>7680</v>
      </c>
      <c r="C8074" s="18" t="s">
        <v>8099</v>
      </c>
      <c r="D8074" s="1"/>
      <c r="E8074" s="1"/>
      <c r="F8074" s="1" t="str">
        <f>IFERROR(__xludf.DUMMYFUNCTION("GOOGLETRANSLATE(B8074, ""en"", ""fa"")
"),"درخواست برای معلمان")</f>
        <v>درخواست برای معلمان</v>
      </c>
      <c r="G8074" s="1" t="str">
        <f>IFERROR(__xludf.DUMMYFUNCTION("GOOGLETRANSLATE(C8074, ""en"", ""fa"")
"),"تجربیات خود را در مورد استراتژی های موفق برای ادغام وظایف حل مسئله و تصمیم گیری در برنامه های درس به اشتراک بگذارید.")</f>
        <v>تجربیات خود را در مورد استراتژی های موفق برای ادغام وظایف حل مسئله و تصمیم گیری در برنامه های درس به اشتراک بگذارید.</v>
      </c>
      <c r="H8074" s="1"/>
      <c r="I8074" s="1"/>
      <c r="J8074" s="1"/>
      <c r="K8074" s="1"/>
      <c r="L8074" s="1"/>
      <c r="M8074" s="1"/>
      <c r="N8074" s="1"/>
      <c r="O8074" s="1"/>
      <c r="P8074" s="1"/>
      <c r="Q8074" s="1"/>
      <c r="R8074" s="1"/>
      <c r="S8074" s="1"/>
      <c r="T8074" s="1"/>
      <c r="U8074" s="1"/>
      <c r="V8074" s="1"/>
      <c r="W8074" s="1"/>
      <c r="X8074" s="1"/>
      <c r="Y8074" s="1"/>
      <c r="Z8074" s="1"/>
      <c r="AA8074" s="1"/>
      <c r="AB8074" s="1"/>
    </row>
    <row r="8075" ht="50.25" customHeight="1">
      <c r="A8075" s="12">
        <v>8071.0</v>
      </c>
      <c r="B8075" s="13" t="s">
        <v>7680</v>
      </c>
      <c r="C8075" s="18" t="s">
        <v>8100</v>
      </c>
      <c r="D8075" s="1"/>
      <c r="E8075" s="1"/>
      <c r="F8075" s="1" t="str">
        <f>IFERROR(__xludf.DUMMYFUNCTION("GOOGLETRANSLATE(B8075, ""en"", ""fa"")
"),"درخواست برای معلمان")</f>
        <v>درخواست برای معلمان</v>
      </c>
      <c r="G8075" s="1" t="str">
        <f>IFERROR(__xludf.DUMMYFUNCTION("GOOGLETRANSLATE(C8075, ""en"", ""fa"")
"),"تکنیک‌هایی را برای ترویج بحث‌های دانش‌آموزی و یادگیری همتا به همتا در توسعه برنامه درسی کاوش کنید.")</f>
        <v>تکنیک‌هایی را برای ترویج بحث‌های دانش‌آموزی و یادگیری همتا به همتا در توسعه برنامه درسی کاوش کنید.</v>
      </c>
      <c r="H8075" s="1"/>
      <c r="I8075" s="1"/>
      <c r="J8075" s="1"/>
      <c r="K8075" s="1"/>
      <c r="L8075" s="1"/>
      <c r="M8075" s="1"/>
      <c r="N8075" s="1"/>
      <c r="O8075" s="1"/>
      <c r="P8075" s="1"/>
      <c r="Q8075" s="1"/>
      <c r="R8075" s="1"/>
      <c r="S8075" s="1"/>
      <c r="T8075" s="1"/>
      <c r="U8075" s="1"/>
      <c r="V8075" s="1"/>
      <c r="W8075" s="1"/>
      <c r="X8075" s="1"/>
      <c r="Y8075" s="1"/>
      <c r="Z8075" s="1"/>
      <c r="AA8075" s="1"/>
      <c r="AB8075" s="1"/>
    </row>
    <row r="8076" ht="50.25" customHeight="1">
      <c r="A8076" s="12">
        <v>8072.0</v>
      </c>
      <c r="B8076" s="13" t="s">
        <v>7680</v>
      </c>
      <c r="C8076" s="18" t="s">
        <v>8101</v>
      </c>
      <c r="D8076" s="1"/>
      <c r="E8076" s="1"/>
      <c r="F8076" s="1" t="str">
        <f>IFERROR(__xludf.DUMMYFUNCTION("GOOGLETRANSLATE(B8076, ""en"", ""fa"")
"),"درخواست برای معلمان")</f>
        <v>درخواست برای معلمان</v>
      </c>
      <c r="G8076" s="1" t="str">
        <f>IFERROR(__xludf.DUMMYFUNCTION("GOOGLETRANSLATE(C8076, ""en"", ""fa"")
"),"درباره تأثیر گنجاندن پروژه‌ها و واحدهای بین‌رشته‌ای در طرح‌های درسی بحث کنید.")</f>
        <v>درباره تأثیر گنجاندن پروژه‌ها و واحدهای بین‌رشته‌ای در طرح‌های درسی بحث کنید.</v>
      </c>
      <c r="H8076" s="1"/>
      <c r="I8076" s="1"/>
      <c r="J8076" s="1"/>
      <c r="K8076" s="1"/>
      <c r="L8076" s="1"/>
      <c r="M8076" s="1"/>
      <c r="N8076" s="1"/>
      <c r="O8076" s="1"/>
      <c r="P8076" s="1"/>
      <c r="Q8076" s="1"/>
      <c r="R8076" s="1"/>
      <c r="S8076" s="1"/>
      <c r="T8076" s="1"/>
      <c r="U8076" s="1"/>
      <c r="V8076" s="1"/>
      <c r="W8076" s="1"/>
      <c r="X8076" s="1"/>
      <c r="Y8076" s="1"/>
      <c r="Z8076" s="1"/>
      <c r="AA8076" s="1"/>
      <c r="AB8076" s="1"/>
    </row>
    <row r="8077" ht="50.25" customHeight="1">
      <c r="A8077" s="12">
        <v>8073.0</v>
      </c>
      <c r="B8077" s="13" t="s">
        <v>7680</v>
      </c>
      <c r="C8077" s="18" t="s">
        <v>8102</v>
      </c>
      <c r="D8077" s="1"/>
      <c r="E8077" s="1"/>
      <c r="F8077" s="1" t="str">
        <f>IFERROR(__xludf.DUMMYFUNCTION("GOOGLETRANSLATE(B8077, ""en"", ""fa"")
"),"درخواست برای معلمان")</f>
        <v>درخواست برای معلمان</v>
      </c>
      <c r="G8077" s="1" t="str">
        <f>IFERROR(__xludf.DUMMYFUNCTION("GOOGLETRANSLATE(C8077, ""en"", ""fa"")
"),"بینش خود را در مورد استراتژی های موثر برای ادغام حلقه های بازخورد ارزیابی تکوینی در توسعه برنامه درسی به اشتراک بگذارید.")</f>
        <v>بینش خود را در مورد استراتژی های موثر برای ادغام حلقه های بازخورد ارزیابی تکوینی در توسعه برنامه درسی به اشتراک بگذارید.</v>
      </c>
      <c r="H8077" s="1"/>
      <c r="I8077" s="1"/>
      <c r="J8077" s="1"/>
      <c r="K8077" s="1"/>
      <c r="L8077" s="1"/>
      <c r="M8077" s="1"/>
      <c r="N8077" s="1"/>
      <c r="O8077" s="1"/>
      <c r="P8077" s="1"/>
      <c r="Q8077" s="1"/>
      <c r="R8077" s="1"/>
      <c r="S8077" s="1"/>
      <c r="T8077" s="1"/>
      <c r="U8077" s="1"/>
      <c r="V8077" s="1"/>
      <c r="W8077" s="1"/>
      <c r="X8077" s="1"/>
      <c r="Y8077" s="1"/>
      <c r="Z8077" s="1"/>
      <c r="AA8077" s="1"/>
      <c r="AB8077" s="1"/>
    </row>
    <row r="8078" ht="50.25" customHeight="1">
      <c r="A8078" s="12">
        <v>8074.0</v>
      </c>
      <c r="B8078" s="13" t="s">
        <v>7680</v>
      </c>
      <c r="C8078" s="18" t="s">
        <v>8103</v>
      </c>
      <c r="D8078" s="1"/>
      <c r="E8078" s="1"/>
      <c r="F8078" s="1" t="str">
        <f>IFERROR(__xludf.DUMMYFUNCTION("GOOGLETRANSLATE(B8078, ""en"", ""fa"")
"),"درخواست برای معلمان")</f>
        <v>درخواست برای معلمان</v>
      </c>
      <c r="G8078" s="1" t="str">
        <f>IFERROR(__xludf.DUMMYFUNCTION("GOOGLETRANSLATE(C8078, ""en"", ""fa"")
"),"در مورد اهمیت ترکیب راهبردهای فراشناختی و یادگیری خودتنظیمی در توسعه برنامه درسی بحث کنید.")</f>
        <v>در مورد اهمیت ترکیب راهبردهای فراشناختی و یادگیری خودتنظیمی در توسعه برنامه درسی بحث کنید.</v>
      </c>
      <c r="H8078" s="1"/>
      <c r="I8078" s="1"/>
      <c r="J8078" s="1"/>
      <c r="K8078" s="1"/>
      <c r="L8078" s="1"/>
      <c r="M8078" s="1"/>
      <c r="N8078" s="1"/>
      <c r="O8078" s="1"/>
      <c r="P8078" s="1"/>
      <c r="Q8078" s="1"/>
      <c r="R8078" s="1"/>
      <c r="S8078" s="1"/>
      <c r="T8078" s="1"/>
      <c r="U8078" s="1"/>
      <c r="V8078" s="1"/>
      <c r="W8078" s="1"/>
      <c r="X8078" s="1"/>
      <c r="Y8078" s="1"/>
      <c r="Z8078" s="1"/>
      <c r="AA8078" s="1"/>
      <c r="AB8078" s="1"/>
    </row>
    <row r="8079" ht="50.25" customHeight="1">
      <c r="A8079" s="12">
        <v>8075.0</v>
      </c>
      <c r="B8079" s="13" t="s">
        <v>7680</v>
      </c>
      <c r="C8079" s="18" t="s">
        <v>8104</v>
      </c>
      <c r="D8079" s="1"/>
      <c r="E8079" s="1"/>
      <c r="F8079" s="1" t="str">
        <f>IFERROR(__xludf.DUMMYFUNCTION("GOOGLETRANSLATE(B8079, ""en"", ""fa"")
"),"درخواست برای معلمان")</f>
        <v>درخواست برای معلمان</v>
      </c>
      <c r="G8079" s="1" t="str">
        <f>IFERROR(__xludf.DUMMYFUNCTION("GOOGLETRANSLATE(C8079, ""en"", ""fa"")
"),"بینش خود را در مورد استراتژی های موثر برای ادغام رویکردهای دانش آموز محور و مبتنی بر پرسش در طرح های درس به اشتراک بگذارید.")</f>
        <v>بینش خود را در مورد استراتژی های موثر برای ادغام رویکردهای دانش آموز محور و مبتنی بر پرسش در طرح های درس به اشتراک بگذارید.</v>
      </c>
      <c r="H8079" s="1"/>
      <c r="I8079" s="1"/>
      <c r="J8079" s="1"/>
      <c r="K8079" s="1"/>
      <c r="L8079" s="1"/>
      <c r="M8079" s="1"/>
      <c r="N8079" s="1"/>
      <c r="O8079" s="1"/>
      <c r="P8079" s="1"/>
      <c r="Q8079" s="1"/>
      <c r="R8079" s="1"/>
      <c r="S8079" s="1"/>
      <c r="T8079" s="1"/>
      <c r="U8079" s="1"/>
      <c r="V8079" s="1"/>
      <c r="W8079" s="1"/>
      <c r="X8079" s="1"/>
      <c r="Y8079" s="1"/>
      <c r="Z8079" s="1"/>
      <c r="AA8079" s="1"/>
      <c r="AB8079" s="1"/>
    </row>
    <row r="8080" ht="50.25" customHeight="1">
      <c r="A8080" s="12">
        <v>8076.0</v>
      </c>
      <c r="B8080" s="13" t="s">
        <v>7680</v>
      </c>
      <c r="C8080" s="18" t="s">
        <v>8105</v>
      </c>
      <c r="D8080" s="1"/>
      <c r="E8080" s="1"/>
      <c r="F8080" s="1" t="str">
        <f>IFERROR(__xludf.DUMMYFUNCTION("GOOGLETRANSLATE(B8080, ""en"", ""fa"")
"),"درخواست برای معلمان")</f>
        <v>درخواست برای معلمان</v>
      </c>
      <c r="G8080" s="1" t="str">
        <f>IFERROR(__xludf.DUMMYFUNCTION("GOOGLETRANSLATE(C8080, ""en"", ""fa"")
"),"راه‌هایی را برای گنجاندن ارزیابی‌های پروژه‌محور و وظایف عملکرد در توسعه برنامه درسی بررسی کنید.")</f>
        <v>راه‌هایی را برای گنجاندن ارزیابی‌های پروژه‌محور و وظایف عملکرد در توسعه برنامه درسی بررسی کنید.</v>
      </c>
      <c r="H8080" s="1"/>
      <c r="I8080" s="1"/>
      <c r="J8080" s="1"/>
      <c r="K8080" s="1"/>
      <c r="L8080" s="1"/>
      <c r="M8080" s="1"/>
      <c r="N8080" s="1"/>
      <c r="O8080" s="1"/>
      <c r="P8080" s="1"/>
      <c r="Q8080" s="1"/>
      <c r="R8080" s="1"/>
      <c r="S8080" s="1"/>
      <c r="T8080" s="1"/>
      <c r="U8080" s="1"/>
      <c r="V8080" s="1"/>
      <c r="W8080" s="1"/>
      <c r="X8080" s="1"/>
      <c r="Y8080" s="1"/>
      <c r="Z8080" s="1"/>
      <c r="AA8080" s="1"/>
      <c r="AB8080" s="1"/>
    </row>
    <row r="8081" ht="50.25" customHeight="1">
      <c r="A8081" s="12">
        <v>8077.0</v>
      </c>
      <c r="B8081" s="13" t="s">
        <v>7680</v>
      </c>
      <c r="C8081" s="18" t="s">
        <v>8106</v>
      </c>
      <c r="D8081" s="1"/>
      <c r="E8081" s="1"/>
      <c r="F8081" s="1" t="str">
        <f>IFERROR(__xludf.DUMMYFUNCTION("GOOGLETRANSLATE(B8081, ""en"", ""fa"")
"),"درخواست برای معلمان")</f>
        <v>درخواست برای معلمان</v>
      </c>
      <c r="G8081" s="1" t="str">
        <f>IFERROR(__xludf.DUMMYFUNCTION("GOOGLETRANSLATE(C8081, ""en"", ""fa"")
"),"درباره نقش ارزشیابی برای یادگیری در شکل دادن به طرح های درسی و چارچوب های برنامه درسی بحث کنید.")</f>
        <v>درباره نقش ارزشیابی برای یادگیری در شکل دادن به طرح های درسی و چارچوب های برنامه درسی بحث کنید.</v>
      </c>
      <c r="H8081" s="1"/>
      <c r="I8081" s="1"/>
      <c r="J8081" s="1"/>
      <c r="K8081" s="1"/>
      <c r="L8081" s="1"/>
      <c r="M8081" s="1"/>
      <c r="N8081" s="1"/>
      <c r="O8081" s="1"/>
      <c r="P8081" s="1"/>
      <c r="Q8081" s="1"/>
      <c r="R8081" s="1"/>
      <c r="S8081" s="1"/>
      <c r="T8081" s="1"/>
      <c r="U8081" s="1"/>
      <c r="V8081" s="1"/>
      <c r="W8081" s="1"/>
      <c r="X8081" s="1"/>
      <c r="Y8081" s="1"/>
      <c r="Z8081" s="1"/>
      <c r="AA8081" s="1"/>
      <c r="AB8081" s="1"/>
    </row>
    <row r="8082" ht="50.25" customHeight="1">
      <c r="A8082" s="12">
        <v>8078.0</v>
      </c>
      <c r="B8082" s="13" t="s">
        <v>7680</v>
      </c>
      <c r="C8082" s="18" t="s">
        <v>8107</v>
      </c>
      <c r="D8082" s="1"/>
      <c r="E8082" s="1"/>
      <c r="F8082" s="1" t="str">
        <f>IFERROR(__xludf.DUMMYFUNCTION("GOOGLETRANSLATE(B8082, ""en"", ""fa"")
"),"درخواست برای معلمان")</f>
        <v>درخواست برای معلمان</v>
      </c>
      <c r="G8082" s="1" t="str">
        <f>IFERROR(__xludf.DUMMYFUNCTION("GOOGLETRANSLATE(C8082, ""en"", ""fa"")
"),"تجربیات خود را در مورد استراتژی های موفق برای ادغام ارائه های چند رسانه ای و منابع دیجیتال در برنامه های درسی به اشتراک بگذارید.")</f>
        <v>تجربیات خود را در مورد استراتژی های موفق برای ادغام ارائه های چند رسانه ای و منابع دیجیتال در برنامه های درسی به اشتراک بگذارید.</v>
      </c>
      <c r="H8082" s="1"/>
      <c r="I8082" s="1"/>
      <c r="J8082" s="1"/>
      <c r="K8082" s="1"/>
      <c r="L8082" s="1"/>
      <c r="M8082" s="1"/>
      <c r="N8082" s="1"/>
      <c r="O8082" s="1"/>
      <c r="P8082" s="1"/>
      <c r="Q8082" s="1"/>
      <c r="R8082" s="1"/>
      <c r="S8082" s="1"/>
      <c r="T8082" s="1"/>
      <c r="U8082" s="1"/>
      <c r="V8082" s="1"/>
      <c r="W8082" s="1"/>
      <c r="X8082" s="1"/>
      <c r="Y8082" s="1"/>
      <c r="Z8082" s="1"/>
      <c r="AA8082" s="1"/>
      <c r="AB8082" s="1"/>
    </row>
    <row r="8083" ht="50.25" customHeight="1">
      <c r="A8083" s="12">
        <v>8079.0</v>
      </c>
      <c r="B8083" s="13" t="s">
        <v>7680</v>
      </c>
      <c r="C8083" s="18" t="s">
        <v>8108</v>
      </c>
      <c r="D8083" s="1"/>
      <c r="E8083" s="1"/>
      <c r="F8083" s="1" t="str">
        <f>IFERROR(__xludf.DUMMYFUNCTION("GOOGLETRANSLATE(B8083, ""en"", ""fa"")
"),"درخواست برای معلمان")</f>
        <v>درخواست برای معلمان</v>
      </c>
      <c r="G8083" s="1" t="str">
        <f>IFERROR(__xludf.DUMMYFUNCTION("GOOGLETRANSLATE(C8083, ""en"", ""fa"")
"),"تکنیک‌هایی را برای ارتقای مهارت‌های سواد دیجیتالی و رفتار مسئولانه آنلاین در توسعه برنامه درسی بررسی کنید.")</f>
        <v>تکنیک‌هایی را برای ارتقای مهارت‌های سواد دیجیتالی و رفتار مسئولانه آنلاین در توسعه برنامه درسی بررسی کنید.</v>
      </c>
      <c r="H8083" s="1"/>
      <c r="I8083" s="1"/>
      <c r="J8083" s="1"/>
      <c r="K8083" s="1"/>
      <c r="L8083" s="1"/>
      <c r="M8083" s="1"/>
      <c r="N8083" s="1"/>
      <c r="O8083" s="1"/>
      <c r="P8083" s="1"/>
      <c r="Q8083" s="1"/>
      <c r="R8083" s="1"/>
      <c r="S8083" s="1"/>
      <c r="T8083" s="1"/>
      <c r="U8083" s="1"/>
      <c r="V8083" s="1"/>
      <c r="W8083" s="1"/>
      <c r="X8083" s="1"/>
      <c r="Y8083" s="1"/>
      <c r="Z8083" s="1"/>
      <c r="AA8083" s="1"/>
      <c r="AB8083" s="1"/>
    </row>
    <row r="8084" ht="50.25" customHeight="1">
      <c r="A8084" s="12">
        <v>8080.0</v>
      </c>
      <c r="B8084" s="13" t="s">
        <v>7680</v>
      </c>
      <c r="C8084" s="18" t="s">
        <v>8109</v>
      </c>
      <c r="D8084" s="1"/>
      <c r="E8084" s="1"/>
      <c r="F8084" s="1" t="str">
        <f>IFERROR(__xludf.DUMMYFUNCTION("GOOGLETRANSLATE(B8084, ""en"", ""fa"")
"),"درخواست برای معلمان")</f>
        <v>درخواست برای معلمان</v>
      </c>
      <c r="G8084" s="1" t="str">
        <f>IFERROR(__xludf.DUMMYFUNCTION("GOOGLETRANSLATE(C8084, ""en"", ""fa"")
"),"درباره تأثیر گنجاندن تنوع فرهنگی و فراگیری در توسعه برنامه درسی بحث کنید.")</f>
        <v>درباره تأثیر گنجاندن تنوع فرهنگی و فراگیری در توسعه برنامه درسی بحث کنید.</v>
      </c>
      <c r="H8084" s="1"/>
      <c r="I8084" s="1"/>
      <c r="J8084" s="1"/>
      <c r="K8084" s="1"/>
      <c r="L8084" s="1"/>
      <c r="M8084" s="1"/>
      <c r="N8084" s="1"/>
      <c r="O8084" s="1"/>
      <c r="P8084" s="1"/>
      <c r="Q8084" s="1"/>
      <c r="R8084" s="1"/>
      <c r="S8084" s="1"/>
      <c r="T8084" s="1"/>
      <c r="U8084" s="1"/>
      <c r="V8084" s="1"/>
      <c r="W8084" s="1"/>
      <c r="X8084" s="1"/>
      <c r="Y8084" s="1"/>
      <c r="Z8084" s="1"/>
      <c r="AA8084" s="1"/>
      <c r="AB8084" s="1"/>
    </row>
    <row r="8085" ht="50.25" customHeight="1">
      <c r="A8085" s="12">
        <v>8081.0</v>
      </c>
      <c r="B8085" s="13" t="s">
        <v>7680</v>
      </c>
      <c r="C8085" s="18" t="s">
        <v>8110</v>
      </c>
      <c r="D8085" s="1"/>
      <c r="E8085" s="1"/>
      <c r="F8085" s="1" t="str">
        <f>IFERROR(__xludf.DUMMYFUNCTION("GOOGLETRANSLATE(B8085, ""en"", ""fa"")
"),"درخواست برای معلمان")</f>
        <v>درخواست برای معلمان</v>
      </c>
      <c r="G8085" s="1" t="str">
        <f>IFERROR(__xludf.DUMMYFUNCTION("GOOGLETRANSLATE(C8085, ""en"", ""fa"")
"),"بینش خود را در مورد استراتژی‌های مؤثر برای ادغام شایستگی‌های یادگیری اجتماعی-عاطفی (SEL) در طرح‌های درسی به اشتراک بگذارید.")</f>
        <v>بینش خود را در مورد استراتژی‌های مؤثر برای ادغام شایستگی‌های یادگیری اجتماعی-عاطفی (SEL) در طرح‌های درسی به اشتراک بگذارید.</v>
      </c>
      <c r="H8085" s="1"/>
      <c r="I8085" s="1"/>
      <c r="J8085" s="1"/>
      <c r="K8085" s="1"/>
      <c r="L8085" s="1"/>
      <c r="M8085" s="1"/>
      <c r="N8085" s="1"/>
      <c r="O8085" s="1"/>
      <c r="P8085" s="1"/>
      <c r="Q8085" s="1"/>
      <c r="R8085" s="1"/>
      <c r="S8085" s="1"/>
      <c r="T8085" s="1"/>
      <c r="U8085" s="1"/>
      <c r="V8085" s="1"/>
      <c r="W8085" s="1"/>
      <c r="X8085" s="1"/>
      <c r="Y8085" s="1"/>
      <c r="Z8085" s="1"/>
      <c r="AA8085" s="1"/>
      <c r="AB8085" s="1"/>
    </row>
    <row r="8086" ht="50.25" customHeight="1">
      <c r="A8086" s="12">
        <v>8082.0</v>
      </c>
      <c r="B8086" s="13" t="s">
        <v>7680</v>
      </c>
      <c r="C8086" s="18" t="s">
        <v>8111</v>
      </c>
      <c r="D8086" s="1"/>
      <c r="E8086" s="1"/>
      <c r="F8086" s="1" t="str">
        <f>IFERROR(__xludf.DUMMYFUNCTION("GOOGLETRANSLATE(B8086, ""en"", ""fa"")
"),"درخواست برای معلمان")</f>
        <v>درخواست برای معلمان</v>
      </c>
      <c r="G8086" s="1" t="str">
        <f>IFERROR(__xludf.DUMMYFUNCTION("GOOGLETRANSLATE(C8086, ""en"", ""fa"")
"),"کاوش راه هایی برای ترکیب ارتباطات دنیای واقعی و زمینه های معتبر در توسعه برنامه درسی.")</f>
        <v>کاوش راه هایی برای ترکیب ارتباطات دنیای واقعی و زمینه های معتبر در توسعه برنامه درسی.</v>
      </c>
      <c r="H8086" s="1"/>
      <c r="I8086" s="1"/>
      <c r="J8086" s="1"/>
      <c r="K8086" s="1"/>
      <c r="L8086" s="1"/>
      <c r="M8086" s="1"/>
      <c r="N8086" s="1"/>
      <c r="O8086" s="1"/>
      <c r="P8086" s="1"/>
      <c r="Q8086" s="1"/>
      <c r="R8086" s="1"/>
      <c r="S8086" s="1"/>
      <c r="T8086" s="1"/>
      <c r="U8086" s="1"/>
      <c r="V8086" s="1"/>
      <c r="W8086" s="1"/>
      <c r="X8086" s="1"/>
      <c r="Y8086" s="1"/>
      <c r="Z8086" s="1"/>
      <c r="AA8086" s="1"/>
      <c r="AB8086" s="1"/>
    </row>
    <row r="8087" ht="50.25" customHeight="1">
      <c r="A8087" s="12">
        <v>8083.0</v>
      </c>
      <c r="B8087" s="13" t="s">
        <v>7680</v>
      </c>
      <c r="C8087" s="18" t="s">
        <v>8112</v>
      </c>
      <c r="D8087" s="1"/>
      <c r="E8087" s="1"/>
      <c r="F8087" s="1" t="str">
        <f>IFERROR(__xludf.DUMMYFUNCTION("GOOGLETRANSLATE(B8087, ""en"", ""fa"")
"),"درخواست برای معلمان")</f>
        <v>درخواست برای معلمان</v>
      </c>
      <c r="G8087" s="1" t="str">
        <f>IFERROR(__xludf.DUMMYFUNCTION("GOOGLETRANSLATE(C8087, ""en"", ""fa"")
"),"درباره اهمیت ادغام دیدگاه های جهانی و آموزش شهروندی جهانی در طرح های درسی بحث کنید.")</f>
        <v>درباره اهمیت ادغام دیدگاه های جهانی و آموزش شهروندی جهانی در طرح های درسی بحث کنید.</v>
      </c>
      <c r="H8087" s="1"/>
      <c r="I8087" s="1"/>
      <c r="J8087" s="1"/>
      <c r="K8087" s="1"/>
      <c r="L8087" s="1"/>
      <c r="M8087" s="1"/>
      <c r="N8087" s="1"/>
      <c r="O8087" s="1"/>
      <c r="P8087" s="1"/>
      <c r="Q8087" s="1"/>
      <c r="R8087" s="1"/>
      <c r="S8087" s="1"/>
      <c r="T8087" s="1"/>
      <c r="U8087" s="1"/>
      <c r="V8087" s="1"/>
      <c r="W8087" s="1"/>
      <c r="X8087" s="1"/>
      <c r="Y8087" s="1"/>
      <c r="Z8087" s="1"/>
      <c r="AA8087" s="1"/>
      <c r="AB8087" s="1"/>
    </row>
    <row r="8088" ht="50.25" customHeight="1">
      <c r="A8088" s="12">
        <v>8084.0</v>
      </c>
      <c r="B8088" s="13" t="s">
        <v>7680</v>
      </c>
      <c r="C8088" s="18" t="s">
        <v>8113</v>
      </c>
      <c r="D8088" s="1"/>
      <c r="E8088" s="1"/>
      <c r="F8088" s="1" t="str">
        <f>IFERROR(__xludf.DUMMYFUNCTION("GOOGLETRANSLATE(B8088, ""en"", ""fa"")
"),"درخواست برای معلمان")</f>
        <v>درخواست برای معلمان</v>
      </c>
      <c r="G8088" s="1" t="str">
        <f>IFERROR(__xludf.DUMMYFUNCTION("GOOGLETRANSLATE(C8088, ""en"", ""fa"")
"),"تجربیات خود را در مورد استراتژی های موفق برای ادغام وظایف حل مسئله و تصمیم گیری در توسعه برنامه درسی به اشتراک بگذارید.")</f>
        <v>تجربیات خود را در مورد استراتژی های موفق برای ادغام وظایف حل مسئله و تصمیم گیری در توسعه برنامه درسی به اشتراک بگذارید.</v>
      </c>
      <c r="H8088" s="1"/>
      <c r="I8088" s="1"/>
      <c r="J8088" s="1"/>
      <c r="K8088" s="1"/>
      <c r="L8088" s="1"/>
      <c r="M8088" s="1"/>
      <c r="N8088" s="1"/>
      <c r="O8088" s="1"/>
      <c r="P8088" s="1"/>
      <c r="Q8088" s="1"/>
      <c r="R8088" s="1"/>
      <c r="S8088" s="1"/>
      <c r="T8088" s="1"/>
      <c r="U8088" s="1"/>
      <c r="V8088" s="1"/>
      <c r="W8088" s="1"/>
      <c r="X8088" s="1"/>
      <c r="Y8088" s="1"/>
      <c r="Z8088" s="1"/>
      <c r="AA8088" s="1"/>
      <c r="AB8088" s="1"/>
    </row>
    <row r="8089" ht="50.25" customHeight="1">
      <c r="A8089" s="12">
        <v>8085.0</v>
      </c>
      <c r="B8089" s="13" t="s">
        <v>7680</v>
      </c>
      <c r="C8089" s="18" t="s">
        <v>8114</v>
      </c>
      <c r="D8089" s="1"/>
      <c r="E8089" s="1"/>
      <c r="F8089" s="1" t="str">
        <f>IFERROR(__xludf.DUMMYFUNCTION("GOOGLETRANSLATE(B8089, ""en"", ""fa"")
"),"درخواست برای معلمان")</f>
        <v>درخواست برای معلمان</v>
      </c>
      <c r="G8089" s="1" t="str">
        <f>IFERROR(__xludf.DUMMYFUNCTION("GOOGLETRANSLATE(C8089, ""en"", ""fa"")
"),"تکنیک‌هایی را برای ارتقای صدای دانش‌آموز در برنامه‌ریزی درس و توسعه برنامه درسی کاوش کنید.")</f>
        <v>تکنیک‌هایی را برای ارتقای صدای دانش‌آموز در برنامه‌ریزی درس و توسعه برنامه درسی کاوش کنید.</v>
      </c>
      <c r="H8089" s="1"/>
      <c r="I8089" s="1"/>
      <c r="J8089" s="1"/>
      <c r="K8089" s="1"/>
      <c r="L8089" s="1"/>
      <c r="M8089" s="1"/>
      <c r="N8089" s="1"/>
      <c r="O8089" s="1"/>
      <c r="P8089" s="1"/>
      <c r="Q8089" s="1"/>
      <c r="R8089" s="1"/>
      <c r="S8089" s="1"/>
      <c r="T8089" s="1"/>
      <c r="U8089" s="1"/>
      <c r="V8089" s="1"/>
      <c r="W8089" s="1"/>
      <c r="X8089" s="1"/>
      <c r="Y8089" s="1"/>
      <c r="Z8089" s="1"/>
      <c r="AA8089" s="1"/>
      <c r="AB8089" s="1"/>
    </row>
    <row r="8090" ht="50.25" customHeight="1">
      <c r="A8090" s="12">
        <v>8086.0</v>
      </c>
      <c r="B8090" s="13" t="s">
        <v>7680</v>
      </c>
      <c r="C8090" s="18" t="s">
        <v>8115</v>
      </c>
      <c r="D8090" s="1"/>
      <c r="E8090" s="1"/>
      <c r="F8090" s="1" t="str">
        <f>IFERROR(__xludf.DUMMYFUNCTION("GOOGLETRANSLATE(B8090, ""en"", ""fa"")
"),"درخواست برای معلمان")</f>
        <v>درخواست برای معلمان</v>
      </c>
      <c r="G8090" s="1" t="str">
        <f>IFERROR(__xludf.DUMMYFUNCTION("GOOGLETRANSLATE(C8090, ""en"", ""fa"")
"),"در مورد نقش ارزیابی های مبتنی بر عملکرد و مخاطبان واقعی در شکل دادن به طرح های درس بحث کنید.")</f>
        <v>در مورد نقش ارزیابی های مبتنی بر عملکرد و مخاطبان واقعی در شکل دادن به طرح های درس بحث کنید.</v>
      </c>
      <c r="H8090" s="1"/>
      <c r="I8090" s="1"/>
      <c r="J8090" s="1"/>
      <c r="K8090" s="1"/>
      <c r="L8090" s="1"/>
      <c r="M8090" s="1"/>
      <c r="N8090" s="1"/>
      <c r="O8090" s="1"/>
      <c r="P8090" s="1"/>
      <c r="Q8090" s="1"/>
      <c r="R8090" s="1"/>
      <c r="S8090" s="1"/>
      <c r="T8090" s="1"/>
      <c r="U8090" s="1"/>
      <c r="V8090" s="1"/>
      <c r="W8090" s="1"/>
      <c r="X8090" s="1"/>
      <c r="Y8090" s="1"/>
      <c r="Z8090" s="1"/>
      <c r="AA8090" s="1"/>
      <c r="AB8090" s="1"/>
    </row>
    <row r="8091" ht="50.25" customHeight="1">
      <c r="A8091" s="12">
        <v>8087.0</v>
      </c>
      <c r="B8091" s="13" t="s">
        <v>7680</v>
      </c>
      <c r="C8091" s="18" t="s">
        <v>8116</v>
      </c>
      <c r="D8091" s="1"/>
      <c r="E8091" s="1"/>
      <c r="F8091" s="1" t="str">
        <f>IFERROR(__xludf.DUMMYFUNCTION("GOOGLETRANSLATE(B8091, ""en"", ""fa"")
"),"درخواست برای معلمان")</f>
        <v>درخواست برای معلمان</v>
      </c>
      <c r="G8091" s="1" t="str">
        <f>IFERROR(__xludf.DUMMYFUNCTION("GOOGLETRANSLATE(C8091, ""en"", ""fa"")
"),"بینش خود را در مورد استراتژی های موثر برای ادغام هنرهای تجسمی و بیان خلاق در توسعه برنامه درسی به اشتراک بگذارید.")</f>
        <v>بینش خود را در مورد استراتژی های موثر برای ادغام هنرهای تجسمی و بیان خلاق در توسعه برنامه درسی به اشتراک بگذارید.</v>
      </c>
      <c r="H8091" s="1"/>
      <c r="I8091" s="1"/>
      <c r="J8091" s="1"/>
      <c r="K8091" s="1"/>
      <c r="L8091" s="1"/>
      <c r="M8091" s="1"/>
      <c r="N8091" s="1"/>
      <c r="O8091" s="1"/>
      <c r="P8091" s="1"/>
      <c r="Q8091" s="1"/>
      <c r="R8091" s="1"/>
      <c r="S8091" s="1"/>
      <c r="T8091" s="1"/>
      <c r="U8091" s="1"/>
      <c r="V8091" s="1"/>
      <c r="W8091" s="1"/>
      <c r="X8091" s="1"/>
      <c r="Y8091" s="1"/>
      <c r="Z8091" s="1"/>
      <c r="AA8091" s="1"/>
      <c r="AB8091" s="1"/>
    </row>
    <row r="8092" ht="50.25" customHeight="1">
      <c r="A8092" s="12">
        <v>8088.0</v>
      </c>
      <c r="B8092" s="13" t="s">
        <v>7680</v>
      </c>
      <c r="C8092" s="18" t="s">
        <v>8117</v>
      </c>
      <c r="D8092" s="1"/>
      <c r="E8092" s="1"/>
      <c r="F8092" s="1" t="str">
        <f>IFERROR(__xludf.DUMMYFUNCTION("GOOGLETRANSLATE(B8092, ""en"", ""fa"")
"),"درخواست برای معلمان")</f>
        <v>درخواست برای معلمان</v>
      </c>
      <c r="G8092" s="1" t="str">
        <f>IFERROR(__xludf.DUMMYFUNCTION("GOOGLETRANSLATE(C8092, ""en"", ""fa"")
"),"راه‌هایی را برای گنجاندن آموزش شهروندی دیجیتال و ایمنی آنلاین در برنامه‌های درسی بررسی کنید.")</f>
        <v>راه‌هایی را برای گنجاندن آموزش شهروندی دیجیتال و ایمنی آنلاین در برنامه‌های درسی بررسی کنید.</v>
      </c>
      <c r="H8092" s="1"/>
      <c r="I8092" s="1"/>
      <c r="J8092" s="1"/>
      <c r="K8092" s="1"/>
      <c r="L8092" s="1"/>
      <c r="M8092" s="1"/>
      <c r="N8092" s="1"/>
      <c r="O8092" s="1"/>
      <c r="P8092" s="1"/>
      <c r="Q8092" s="1"/>
      <c r="R8092" s="1"/>
      <c r="S8092" s="1"/>
      <c r="T8092" s="1"/>
      <c r="U8092" s="1"/>
      <c r="V8092" s="1"/>
      <c r="W8092" s="1"/>
      <c r="X8092" s="1"/>
      <c r="Y8092" s="1"/>
      <c r="Z8092" s="1"/>
      <c r="AA8092" s="1"/>
      <c r="AB8092" s="1"/>
    </row>
    <row r="8093" ht="50.25" customHeight="1">
      <c r="A8093" s="12">
        <v>8089.0</v>
      </c>
      <c r="B8093" s="13" t="s">
        <v>7680</v>
      </c>
      <c r="C8093" s="18" t="s">
        <v>8118</v>
      </c>
      <c r="D8093" s="1"/>
      <c r="E8093" s="1"/>
      <c r="F8093" s="1" t="str">
        <f>IFERROR(__xludf.DUMMYFUNCTION("GOOGLETRANSLATE(B8093, ""en"", ""fa"")
"),"درخواست برای معلمان")</f>
        <v>درخواست برای معلمان</v>
      </c>
      <c r="G8093" s="1" t="str">
        <f>IFERROR(__xludf.DUMMYFUNCTION("GOOGLETRANSLATE(C8093, ""en"", ""fa"")
"),"در مورد تأثیر گنجاندن پایداری زیست محیطی و آگاهی زیست محیطی در توسعه برنامه درسی بحث کنید.")</f>
        <v>در مورد تأثیر گنجاندن پایداری زیست محیطی و آگاهی زیست محیطی در توسعه برنامه درسی بحث کنید.</v>
      </c>
      <c r="H8093" s="1"/>
      <c r="I8093" s="1"/>
      <c r="J8093" s="1"/>
      <c r="K8093" s="1"/>
      <c r="L8093" s="1"/>
      <c r="M8093" s="1"/>
      <c r="N8093" s="1"/>
      <c r="O8093" s="1"/>
      <c r="P8093" s="1"/>
      <c r="Q8093" s="1"/>
      <c r="R8093" s="1"/>
      <c r="S8093" s="1"/>
      <c r="T8093" s="1"/>
      <c r="U8093" s="1"/>
      <c r="V8093" s="1"/>
      <c r="W8093" s="1"/>
      <c r="X8093" s="1"/>
      <c r="Y8093" s="1"/>
      <c r="Z8093" s="1"/>
      <c r="AA8093" s="1"/>
      <c r="AB8093" s="1"/>
    </row>
    <row r="8094" ht="50.25" customHeight="1">
      <c r="A8094" s="12">
        <v>8090.0</v>
      </c>
      <c r="B8094" s="13" t="s">
        <v>7680</v>
      </c>
      <c r="C8094" s="18" t="s">
        <v>8119</v>
      </c>
      <c r="D8094" s="1"/>
      <c r="E8094" s="1"/>
      <c r="F8094" s="1" t="str">
        <f>IFERROR(__xludf.DUMMYFUNCTION("GOOGLETRANSLATE(B8094, ""en"", ""fa"")
"),"درخواست برای معلمان")</f>
        <v>درخواست برای معلمان</v>
      </c>
      <c r="G8094" s="1" t="str">
        <f>IFERROR(__xludf.DUMMYFUNCTION("GOOGLETRANSLATE(C8094, ""en"", ""fa"")
"),"تجربیات خود را در مورد استراتژی های موفق برای ادغام شیوه های ارزیابی تکوینی در طرح های درس به اشتراک بگذارید.")</f>
        <v>تجربیات خود را در مورد استراتژی های موفق برای ادغام شیوه های ارزیابی تکوینی در طرح های درس به اشتراک بگذارید.</v>
      </c>
      <c r="H8094" s="1"/>
      <c r="I8094" s="1"/>
      <c r="J8094" s="1"/>
      <c r="K8094" s="1"/>
      <c r="L8094" s="1"/>
      <c r="M8094" s="1"/>
      <c r="N8094" s="1"/>
      <c r="O8094" s="1"/>
      <c r="P8094" s="1"/>
      <c r="Q8094" s="1"/>
      <c r="R8094" s="1"/>
      <c r="S8094" s="1"/>
      <c r="T8094" s="1"/>
      <c r="U8094" s="1"/>
      <c r="V8094" s="1"/>
      <c r="W8094" s="1"/>
      <c r="X8094" s="1"/>
      <c r="Y8094" s="1"/>
      <c r="Z8094" s="1"/>
      <c r="AA8094" s="1"/>
      <c r="AB8094" s="1"/>
    </row>
    <row r="8095" ht="50.25" customHeight="1">
      <c r="A8095" s="12">
        <v>8091.0</v>
      </c>
      <c r="B8095" s="13" t="s">
        <v>7680</v>
      </c>
      <c r="C8095" s="18" t="s">
        <v>8120</v>
      </c>
      <c r="D8095" s="1"/>
      <c r="E8095" s="1"/>
      <c r="F8095" s="1" t="str">
        <f>IFERROR(__xludf.DUMMYFUNCTION("GOOGLETRANSLATE(B8095, ""en"", ""fa"")
"),"درخواست برای معلمان")</f>
        <v>درخواست برای معلمان</v>
      </c>
      <c r="G8095" s="1" t="str">
        <f>IFERROR(__xludf.DUMMYFUNCTION("GOOGLETRANSLATE(C8095, ""en"", ""fa"")
"),"کاوش تکنیک هایی برای ارتقای ارتباطات بین درسی و یادگیری میان رشته ای در توسعه برنامه درسی.")</f>
        <v>کاوش تکنیک هایی برای ارتقای ارتباطات بین درسی و یادگیری میان رشته ای در توسعه برنامه درسی.</v>
      </c>
      <c r="H8095" s="1"/>
      <c r="I8095" s="1"/>
      <c r="J8095" s="1"/>
      <c r="K8095" s="1"/>
      <c r="L8095" s="1"/>
      <c r="M8095" s="1"/>
      <c r="N8095" s="1"/>
      <c r="O8095" s="1"/>
      <c r="P8095" s="1"/>
      <c r="Q8095" s="1"/>
      <c r="R8095" s="1"/>
      <c r="S8095" s="1"/>
      <c r="T8095" s="1"/>
      <c r="U8095" s="1"/>
      <c r="V8095" s="1"/>
      <c r="W8095" s="1"/>
      <c r="X8095" s="1"/>
      <c r="Y8095" s="1"/>
      <c r="Z8095" s="1"/>
      <c r="AA8095" s="1"/>
      <c r="AB8095" s="1"/>
    </row>
    <row r="8096" ht="50.25" customHeight="1">
      <c r="A8096" s="12">
        <v>8092.0</v>
      </c>
      <c r="B8096" s="13" t="s">
        <v>7680</v>
      </c>
      <c r="C8096" s="18" t="s">
        <v>8121</v>
      </c>
      <c r="D8096" s="1"/>
      <c r="E8096" s="1"/>
      <c r="F8096" s="1" t="str">
        <f>IFERROR(__xludf.DUMMYFUNCTION("GOOGLETRANSLATE(B8096, ""en"", ""fa"")
"),"درخواست برای معلمان")</f>
        <v>درخواست برای معلمان</v>
      </c>
      <c r="G8096" s="1" t="str">
        <f>IFERROR(__xludf.DUMMYFUNCTION("GOOGLETRANSLATE(C8096, ""en"", ""fa"")
"),"در مورد اهمیت ادغام شایستگی جهانی و درک بین فرهنگی در طرح های درسی بحث کنید.")</f>
        <v>در مورد اهمیت ادغام شایستگی جهانی و درک بین فرهنگی در طرح های درسی بحث کنید.</v>
      </c>
      <c r="H8096" s="1"/>
      <c r="I8096" s="1"/>
      <c r="J8096" s="1"/>
      <c r="K8096" s="1"/>
      <c r="L8096" s="1"/>
      <c r="M8096" s="1"/>
      <c r="N8096" s="1"/>
      <c r="O8096" s="1"/>
      <c r="P8096" s="1"/>
      <c r="Q8096" s="1"/>
      <c r="R8096" s="1"/>
      <c r="S8096" s="1"/>
      <c r="T8096" s="1"/>
      <c r="U8096" s="1"/>
      <c r="V8096" s="1"/>
      <c r="W8096" s="1"/>
      <c r="X8096" s="1"/>
      <c r="Y8096" s="1"/>
      <c r="Z8096" s="1"/>
      <c r="AA8096" s="1"/>
      <c r="AB8096" s="1"/>
    </row>
    <row r="8097" ht="50.25" customHeight="1">
      <c r="A8097" s="12">
        <v>8093.0</v>
      </c>
      <c r="B8097" s="13" t="s">
        <v>7680</v>
      </c>
      <c r="C8097" s="18" t="s">
        <v>8122</v>
      </c>
      <c r="D8097" s="1"/>
      <c r="E8097" s="1"/>
      <c r="F8097" s="1" t="str">
        <f>IFERROR(__xludf.DUMMYFUNCTION("GOOGLETRANSLATE(B8097, ""en"", ""fa"")
"),"درخواست برای معلمان")</f>
        <v>درخواست برای معلمان</v>
      </c>
      <c r="G8097" s="1" t="str">
        <f>IFERROR(__xludf.DUMMYFUNCTION("GOOGLETRANSLATE(C8097, ""en"", ""fa"")
"),"بینش خود را در مورد استراتژی های موثر برای ادغام مهارت های سوادآموزی در زمینه های محتوا در توسعه برنامه درسی به اشتراک بگذارید.")</f>
        <v>بینش خود را در مورد استراتژی های موثر برای ادغام مهارت های سوادآموزی در زمینه های محتوا در توسعه برنامه درسی به اشتراک بگذارید.</v>
      </c>
      <c r="H8097" s="1"/>
      <c r="I8097" s="1"/>
      <c r="J8097" s="1"/>
      <c r="K8097" s="1"/>
      <c r="L8097" s="1"/>
      <c r="M8097" s="1"/>
      <c r="N8097" s="1"/>
      <c r="O8097" s="1"/>
      <c r="P8097" s="1"/>
      <c r="Q8097" s="1"/>
      <c r="R8097" s="1"/>
      <c r="S8097" s="1"/>
      <c r="T8097" s="1"/>
      <c r="U8097" s="1"/>
      <c r="V8097" s="1"/>
      <c r="W8097" s="1"/>
      <c r="X8097" s="1"/>
      <c r="Y8097" s="1"/>
      <c r="Z8097" s="1"/>
      <c r="AA8097" s="1"/>
      <c r="AB8097" s="1"/>
    </row>
    <row r="8098" ht="50.25" customHeight="1">
      <c r="A8098" s="12">
        <v>8094.0</v>
      </c>
      <c r="B8098" s="13" t="s">
        <v>7680</v>
      </c>
      <c r="C8098" s="18" t="s">
        <v>8123</v>
      </c>
      <c r="D8098" s="1"/>
      <c r="E8098" s="1"/>
      <c r="F8098" s="1" t="str">
        <f>IFERROR(__xludf.DUMMYFUNCTION("GOOGLETRANSLATE(B8098, ""en"", ""fa"")
"),"درخواست برای معلمان")</f>
        <v>درخواست برای معلمان</v>
      </c>
      <c r="G8098" s="1" t="str">
        <f>IFERROR(__xludf.DUMMYFUNCTION("GOOGLETRANSLATE(C8098, ""en"", ""fa"")
"),"راه‌هایی را برای گنجاندن یادگیری خدماتی و مشارکت جامعه در طرح‌های درسی بررسی کنید.")</f>
        <v>راه‌هایی را برای گنجاندن یادگیری خدماتی و مشارکت جامعه در طرح‌های درسی بررسی کنید.</v>
      </c>
      <c r="H8098" s="1"/>
      <c r="I8098" s="1"/>
      <c r="J8098" s="1"/>
      <c r="K8098" s="1"/>
      <c r="L8098" s="1"/>
      <c r="M8098" s="1"/>
      <c r="N8098" s="1"/>
      <c r="O8098" s="1"/>
      <c r="P8098" s="1"/>
      <c r="Q8098" s="1"/>
      <c r="R8098" s="1"/>
      <c r="S8098" s="1"/>
      <c r="T8098" s="1"/>
      <c r="U8098" s="1"/>
      <c r="V8098" s="1"/>
      <c r="W8098" s="1"/>
      <c r="X8098" s="1"/>
      <c r="Y8098" s="1"/>
      <c r="Z8098" s="1"/>
      <c r="AA8098" s="1"/>
      <c r="AB8098" s="1"/>
    </row>
    <row r="8099" ht="50.25" customHeight="1">
      <c r="A8099" s="12">
        <v>8095.0</v>
      </c>
      <c r="B8099" s="13" t="s">
        <v>7680</v>
      </c>
      <c r="C8099" s="18" t="s">
        <v>8124</v>
      </c>
      <c r="D8099" s="1"/>
      <c r="E8099" s="1"/>
      <c r="F8099" s="1" t="str">
        <f>IFERROR(__xludf.DUMMYFUNCTION("GOOGLETRANSLATE(B8099, ""en"", ""fa"")
"),"درخواست برای معلمان")</f>
        <v>درخواست برای معلمان</v>
      </c>
      <c r="G8099" s="1" t="str">
        <f>IFERROR(__xludf.DUMMYFUNCTION("GOOGLETRANSLATE(C8099, ""en"", ""fa"")
"),"درباره نقش انتخاب دانش‌آموز و شخصی‌سازی در شکل‌دهی طرح‌های درسی و چارچوب‌های برنامه درسی بحث کنید.")</f>
        <v>درباره نقش انتخاب دانش‌آموز و شخصی‌سازی در شکل‌دهی طرح‌های درسی و چارچوب‌های برنامه درسی بحث کنید.</v>
      </c>
      <c r="H8099" s="1"/>
      <c r="I8099" s="1"/>
      <c r="J8099" s="1"/>
      <c r="K8099" s="1"/>
      <c r="L8099" s="1"/>
      <c r="M8099" s="1"/>
      <c r="N8099" s="1"/>
      <c r="O8099" s="1"/>
      <c r="P8099" s="1"/>
      <c r="Q8099" s="1"/>
      <c r="R8099" s="1"/>
      <c r="S8099" s="1"/>
      <c r="T8099" s="1"/>
      <c r="U8099" s="1"/>
      <c r="V8099" s="1"/>
      <c r="W8099" s="1"/>
      <c r="X8099" s="1"/>
      <c r="Y8099" s="1"/>
      <c r="Z8099" s="1"/>
      <c r="AA8099" s="1"/>
      <c r="AB8099" s="1"/>
    </row>
    <row r="8100" ht="50.25" customHeight="1">
      <c r="A8100" s="12">
        <v>8096.0</v>
      </c>
      <c r="B8100" s="13" t="s">
        <v>7680</v>
      </c>
      <c r="C8100" s="18" t="s">
        <v>8125</v>
      </c>
      <c r="D8100" s="1"/>
      <c r="E8100" s="1"/>
      <c r="F8100" s="1" t="str">
        <f>IFERROR(__xludf.DUMMYFUNCTION("GOOGLETRANSLATE(B8100, ""en"", ""fa"")
"),"درخواست برای معلمان")</f>
        <v>درخواست برای معلمان</v>
      </c>
      <c r="G8100" s="1" t="str">
        <f>IFERROR(__xludf.DUMMYFUNCTION("GOOGLETRANSLATE(C8100, ""en"", ""fa"")
"),"تجربیات خود را در مورد استراتژی های موفق برای ادغام تولید چند رسانه ای و داستان سرایی دیجیتال در طرح های درس به اشتراک بگذارید.")</f>
        <v>تجربیات خود را در مورد استراتژی های موفق برای ادغام تولید چند رسانه ای و داستان سرایی دیجیتال در طرح های درس به اشتراک بگذارید.</v>
      </c>
      <c r="H8100" s="1"/>
      <c r="I8100" s="1"/>
      <c r="J8100" s="1"/>
      <c r="K8100" s="1"/>
      <c r="L8100" s="1"/>
      <c r="M8100" s="1"/>
      <c r="N8100" s="1"/>
      <c r="O8100" s="1"/>
      <c r="P8100" s="1"/>
      <c r="Q8100" s="1"/>
      <c r="R8100" s="1"/>
      <c r="S8100" s="1"/>
      <c r="T8100" s="1"/>
      <c r="U8100" s="1"/>
      <c r="V8100" s="1"/>
      <c r="W8100" s="1"/>
      <c r="X8100" s="1"/>
      <c r="Y8100" s="1"/>
      <c r="Z8100" s="1"/>
      <c r="AA8100" s="1"/>
      <c r="AB8100" s="1"/>
    </row>
    <row r="8101" ht="50.25" customHeight="1">
      <c r="A8101" s="12">
        <v>8097.0</v>
      </c>
      <c r="B8101" s="13" t="s">
        <v>7680</v>
      </c>
      <c r="C8101" s="18" t="s">
        <v>8126</v>
      </c>
      <c r="D8101" s="1"/>
      <c r="E8101" s="1"/>
      <c r="F8101" s="1" t="str">
        <f>IFERROR(__xludf.DUMMYFUNCTION("GOOGLETRANSLATE(B8101, ""en"", ""fa"")
"),"درخواست برای معلمان")</f>
        <v>درخواست برای معلمان</v>
      </c>
      <c r="G8101" s="1" t="str">
        <f>IFERROR(__xludf.DUMMYFUNCTION("GOOGLETRANSLATE(C8101, ""en"", ""fa"")
"),"کاوش تکنیک هایی برای ترویج آموزش علمی مبتنی بر تحقیق و تفکر علمی در توسعه برنامه درسی.")</f>
        <v>کاوش تکنیک هایی برای ترویج آموزش علمی مبتنی بر تحقیق و تفکر علمی در توسعه برنامه درسی.</v>
      </c>
      <c r="H8101" s="1"/>
      <c r="I8101" s="1"/>
      <c r="J8101" s="1"/>
      <c r="K8101" s="1"/>
      <c r="L8101" s="1"/>
      <c r="M8101" s="1"/>
      <c r="N8101" s="1"/>
      <c r="O8101" s="1"/>
      <c r="P8101" s="1"/>
      <c r="Q8101" s="1"/>
      <c r="R8101" s="1"/>
      <c r="S8101" s="1"/>
      <c r="T8101" s="1"/>
      <c r="U8101" s="1"/>
      <c r="V8101" s="1"/>
      <c r="W8101" s="1"/>
      <c r="X8101" s="1"/>
      <c r="Y8101" s="1"/>
      <c r="Z8101" s="1"/>
      <c r="AA8101" s="1"/>
      <c r="AB8101" s="1"/>
    </row>
    <row r="8102" ht="50.25" customHeight="1">
      <c r="A8102" s="12">
        <v>8098.0</v>
      </c>
      <c r="B8102" s="13" t="s">
        <v>7680</v>
      </c>
      <c r="C8102" s="18" t="s">
        <v>8127</v>
      </c>
      <c r="D8102" s="1"/>
      <c r="E8102" s="1"/>
      <c r="F8102" s="1" t="str">
        <f>IFERROR(__xludf.DUMMYFUNCTION("GOOGLETRANSLATE(B8102, ""en"", ""fa"")
"),"درخواست برای معلمان")</f>
        <v>درخواست برای معلمان</v>
      </c>
      <c r="G8102" s="1" t="str">
        <f>IFERROR(__xludf.DUMMYFUNCTION("GOOGLETRANSLATE(C8102, ""en"", ""fa"")
"),"در مورد تأثیر گنجاندن یادگیری مبتنی بر پروژه و حل مشارکتی مسئله در طرح درس بحث کنید.")</f>
        <v>در مورد تأثیر گنجاندن یادگیری مبتنی بر پروژه و حل مشارکتی مسئله در طرح درس بحث کنید.</v>
      </c>
      <c r="H8102" s="1"/>
      <c r="I8102" s="1"/>
      <c r="J8102" s="1"/>
      <c r="K8102" s="1"/>
      <c r="L8102" s="1"/>
      <c r="M8102" s="1"/>
      <c r="N8102" s="1"/>
      <c r="O8102" s="1"/>
      <c r="P8102" s="1"/>
      <c r="Q8102" s="1"/>
      <c r="R8102" s="1"/>
      <c r="S8102" s="1"/>
      <c r="T8102" s="1"/>
      <c r="U8102" s="1"/>
      <c r="V8102" s="1"/>
      <c r="W8102" s="1"/>
      <c r="X8102" s="1"/>
      <c r="Y8102" s="1"/>
      <c r="Z8102" s="1"/>
      <c r="AA8102" s="1"/>
      <c r="AB8102" s="1"/>
    </row>
    <row r="8103" ht="50.25" customHeight="1">
      <c r="A8103" s="12">
        <v>8099.0</v>
      </c>
      <c r="B8103" s="13" t="s">
        <v>7680</v>
      </c>
      <c r="C8103" s="18" t="s">
        <v>8128</v>
      </c>
      <c r="D8103" s="1"/>
      <c r="E8103" s="1"/>
      <c r="F8103" s="1" t="str">
        <f>IFERROR(__xludf.DUMMYFUNCTION("GOOGLETRANSLATE(B8103, ""en"", ""fa"")
"),"درخواست برای معلمان")</f>
        <v>درخواست برای معلمان</v>
      </c>
      <c r="G8103" s="1" t="str">
        <f>IFERROR(__xludf.DUMMYFUNCTION("GOOGLETRANSLATE(C8103, ""en"", ""fa"")
"),"بینش خود را در مورد استراتژی های موثر برای ادغام ارزیابی های پیشرفته فناوری در توسعه برنامه درسی به اشتراک بگذارید.")</f>
        <v>بینش خود را در مورد استراتژی های موثر برای ادغام ارزیابی های پیشرفته فناوری در توسعه برنامه درسی به اشتراک بگذارید.</v>
      </c>
      <c r="H8103" s="1"/>
      <c r="I8103" s="1"/>
      <c r="J8103" s="1"/>
      <c r="K8103" s="1"/>
      <c r="L8103" s="1"/>
      <c r="M8103" s="1"/>
      <c r="N8103" s="1"/>
      <c r="O8103" s="1"/>
      <c r="P8103" s="1"/>
      <c r="Q8103" s="1"/>
      <c r="R8103" s="1"/>
      <c r="S8103" s="1"/>
      <c r="T8103" s="1"/>
      <c r="U8103" s="1"/>
      <c r="V8103" s="1"/>
      <c r="W8103" s="1"/>
      <c r="X8103" s="1"/>
      <c r="Y8103" s="1"/>
      <c r="Z8103" s="1"/>
      <c r="AA8103" s="1"/>
      <c r="AB8103" s="1"/>
    </row>
    <row r="8104" ht="50.25" customHeight="1">
      <c r="A8104" s="12">
        <v>8100.0</v>
      </c>
      <c r="B8104" s="13" t="s">
        <v>7680</v>
      </c>
      <c r="C8104" s="18" t="s">
        <v>8129</v>
      </c>
      <c r="D8104" s="1"/>
      <c r="E8104" s="1"/>
      <c r="F8104" s="1" t="str">
        <f>IFERROR(__xludf.DUMMYFUNCTION("GOOGLETRANSLATE(B8104, ""en"", ""fa"")
"),"درخواست برای معلمان")</f>
        <v>درخواست برای معلمان</v>
      </c>
      <c r="G8104" s="1" t="str">
        <f>IFERROR(__xludf.DUMMYFUNCTION("GOOGLETRANSLATE(C8104, ""en"", ""fa"")
"),"راه‌هایی را برای گنجاندن متون و منابع فرهنگی پاسخگو در طرح‌های درسی بررسی کنید.")</f>
        <v>راه‌هایی را برای گنجاندن متون و منابع فرهنگی پاسخگو در طرح‌های درسی بررسی کنید.</v>
      </c>
      <c r="H8104" s="1"/>
      <c r="I8104" s="1"/>
      <c r="J8104" s="1"/>
      <c r="K8104" s="1"/>
      <c r="L8104" s="1"/>
      <c r="M8104" s="1"/>
      <c r="N8104" s="1"/>
      <c r="O8104" s="1"/>
      <c r="P8104" s="1"/>
      <c r="Q8104" s="1"/>
      <c r="R8104" s="1"/>
      <c r="S8104" s="1"/>
      <c r="T8104" s="1"/>
      <c r="U8104" s="1"/>
      <c r="V8104" s="1"/>
      <c r="W8104" s="1"/>
      <c r="X8104" s="1"/>
      <c r="Y8104" s="1"/>
      <c r="Z8104" s="1"/>
      <c r="AA8104" s="1"/>
      <c r="AB8104" s="1"/>
    </row>
    <row r="8105" ht="50.25" customHeight="1">
      <c r="A8105" s="12">
        <v>8101.0</v>
      </c>
      <c r="B8105" s="13" t="s">
        <v>7680</v>
      </c>
      <c r="C8105" s="18" t="s">
        <v>8130</v>
      </c>
      <c r="D8105" s="1"/>
      <c r="E8105" s="1"/>
      <c r="F8105" s="1" t="str">
        <f>IFERROR(__xludf.DUMMYFUNCTION("GOOGLETRANSLATE(B8105, ""en"", ""fa"")
"),"درخواست برای معلمان")</f>
        <v>درخواست برای معلمان</v>
      </c>
      <c r="G8105" s="1" t="str">
        <f>IFERROR(__xludf.DUMMYFUNCTION("GOOGLETRANSLATE(C8105, ""en"", ""fa"")
"),"در مورد اهمیت ترکیب مواد و منابع آموزشی متمایز در توسعه برنامه درسی بحث کنید.")</f>
        <v>در مورد اهمیت ترکیب مواد و منابع آموزشی متمایز در توسعه برنامه درسی بحث کنید.</v>
      </c>
      <c r="H8105" s="1"/>
      <c r="I8105" s="1"/>
      <c r="J8105" s="1"/>
      <c r="K8105" s="1"/>
      <c r="L8105" s="1"/>
      <c r="M8105" s="1"/>
      <c r="N8105" s="1"/>
      <c r="O8105" s="1"/>
      <c r="P8105" s="1"/>
      <c r="Q8105" s="1"/>
      <c r="R8105" s="1"/>
      <c r="S8105" s="1"/>
      <c r="T8105" s="1"/>
      <c r="U8105" s="1"/>
      <c r="V8105" s="1"/>
      <c r="W8105" s="1"/>
      <c r="X8105" s="1"/>
      <c r="Y8105" s="1"/>
      <c r="Z8105" s="1"/>
      <c r="AA8105" s="1"/>
      <c r="AB8105" s="1"/>
    </row>
    <row r="8106" ht="50.25" customHeight="1">
      <c r="A8106" s="12">
        <v>8102.0</v>
      </c>
      <c r="B8106" s="13" t="s">
        <v>7680</v>
      </c>
      <c r="C8106" s="18" t="s">
        <v>8131</v>
      </c>
      <c r="D8106" s="1"/>
      <c r="E8106" s="1"/>
      <c r="F8106" s="1" t="str">
        <f>IFERROR(__xludf.DUMMYFUNCTION("GOOGLETRANSLATE(B8106, ""en"", ""fa"")
"),"درخواست برای معلمان")</f>
        <v>درخواست برای معلمان</v>
      </c>
      <c r="G8106" s="1" t="str">
        <f>IFERROR(__xludf.DUMMYFUNCTION("GOOGLETRANSLATE(C8106, ""en"", ""fa"")
"),"تجربیات خود را در مورد استراتژی های موفق برای ادغام مسائل جهانی و عدالت اجتماعی در برنامه های درسی به اشتراک بگذارید.")</f>
        <v>تجربیات خود را در مورد استراتژی های موفق برای ادغام مسائل جهانی و عدالت اجتماعی در برنامه های درسی به اشتراک بگذارید.</v>
      </c>
      <c r="H8106" s="1"/>
      <c r="I8106" s="1"/>
      <c r="J8106" s="1"/>
      <c r="K8106" s="1"/>
      <c r="L8106" s="1"/>
      <c r="M8106" s="1"/>
      <c r="N8106" s="1"/>
      <c r="O8106" s="1"/>
      <c r="P8106" s="1"/>
      <c r="Q8106" s="1"/>
      <c r="R8106" s="1"/>
      <c r="S8106" s="1"/>
      <c r="T8106" s="1"/>
      <c r="U8106" s="1"/>
      <c r="V8106" s="1"/>
      <c r="W8106" s="1"/>
      <c r="X8106" s="1"/>
      <c r="Y8106" s="1"/>
      <c r="Z8106" s="1"/>
      <c r="AA8106" s="1"/>
      <c r="AB8106" s="1"/>
    </row>
    <row r="8107" ht="50.25" customHeight="1">
      <c r="A8107" s="12">
        <v>8103.0</v>
      </c>
      <c r="B8107" s="13" t="s">
        <v>7680</v>
      </c>
      <c r="C8107" s="18" t="s">
        <v>8132</v>
      </c>
      <c r="D8107" s="1"/>
      <c r="E8107" s="1"/>
      <c r="F8107" s="1" t="str">
        <f>IFERROR(__xludf.DUMMYFUNCTION("GOOGLETRANSLATE(B8107, ""en"", ""fa"")
"),"درخواست برای معلمان")</f>
        <v>درخواست برای معلمان</v>
      </c>
      <c r="G8107" s="1" t="str">
        <f>IFERROR(__xludf.DUMMYFUNCTION("GOOGLETRANSLATE(C8107, ""en"", ""fa"")
"),"تکنیک‌هایی را برای ترویج یادگیری فعال و مشارکت دانش‌آموزان در توسعه برنامه درسی بررسی کنید.")</f>
        <v>تکنیک‌هایی را برای ترویج یادگیری فعال و مشارکت دانش‌آموزان در توسعه برنامه درسی بررسی کنید.</v>
      </c>
      <c r="H8107" s="1"/>
      <c r="I8107" s="1"/>
      <c r="J8107" s="1"/>
      <c r="K8107" s="1"/>
      <c r="L8107" s="1"/>
      <c r="M8107" s="1"/>
      <c r="N8107" s="1"/>
      <c r="O8107" s="1"/>
      <c r="P8107" s="1"/>
      <c r="Q8107" s="1"/>
      <c r="R8107" s="1"/>
      <c r="S8107" s="1"/>
      <c r="T8107" s="1"/>
      <c r="U8107" s="1"/>
      <c r="V8107" s="1"/>
      <c r="W8107" s="1"/>
      <c r="X8107" s="1"/>
      <c r="Y8107" s="1"/>
      <c r="Z8107" s="1"/>
      <c r="AA8107" s="1"/>
      <c r="AB8107" s="1"/>
    </row>
    <row r="8108" ht="50.25" customHeight="1">
      <c r="A8108" s="12">
        <v>8104.0</v>
      </c>
      <c r="B8108" s="13" t="s">
        <v>7680</v>
      </c>
      <c r="C8108" s="18" t="s">
        <v>8133</v>
      </c>
      <c r="D8108" s="1"/>
      <c r="E8108" s="1"/>
      <c r="F8108" s="1" t="str">
        <f>IFERROR(__xludf.DUMMYFUNCTION("GOOGLETRANSLATE(B8108, ""en"", ""fa"")
"),"درخواست برای معلمان")</f>
        <v>درخواست برای معلمان</v>
      </c>
      <c r="G8108" s="1" t="str">
        <f>IFERROR(__xludf.DUMMYFUNCTION("GOOGLETRANSLATE(C8108, ""en"", ""fa"")
"),"درباره نقش شیوه‌های تأملی و خودارزیابی در شکل‌دهی طرح‌های درسی و چارچوب‌های برنامه درسی بحث کنید.")</f>
        <v>درباره نقش شیوه‌های تأملی و خودارزیابی در شکل‌دهی طرح‌های درسی و چارچوب‌های برنامه درسی بحث کنید.</v>
      </c>
      <c r="H8108" s="1"/>
      <c r="I8108" s="1"/>
      <c r="J8108" s="1"/>
      <c r="K8108" s="1"/>
      <c r="L8108" s="1"/>
      <c r="M8108" s="1"/>
      <c r="N8108" s="1"/>
      <c r="O8108" s="1"/>
      <c r="P8108" s="1"/>
      <c r="Q8108" s="1"/>
      <c r="R8108" s="1"/>
      <c r="S8108" s="1"/>
      <c r="T8108" s="1"/>
      <c r="U8108" s="1"/>
      <c r="V8108" s="1"/>
      <c r="W8108" s="1"/>
      <c r="X8108" s="1"/>
      <c r="Y8108" s="1"/>
      <c r="Z8108" s="1"/>
      <c r="AA8108" s="1"/>
      <c r="AB8108" s="1"/>
    </row>
    <row r="8109" ht="50.25" customHeight="1">
      <c r="A8109" s="12">
        <v>8105.0</v>
      </c>
      <c r="B8109" s="13" t="s">
        <v>7680</v>
      </c>
      <c r="C8109" s="18" t="s">
        <v>8134</v>
      </c>
      <c r="D8109" s="1"/>
      <c r="E8109" s="1"/>
      <c r="F8109" s="1" t="str">
        <f>IFERROR(__xludf.DUMMYFUNCTION("GOOGLETRANSLATE(B8109, ""en"", ""fa"")
"),"درخواست برای معلمان")</f>
        <v>درخواست برای معلمان</v>
      </c>
      <c r="G8109" s="1" t="str">
        <f>IFERROR(__xludf.DUMMYFUNCTION("GOOGLETRANSLATE(C8109, ""en"", ""fa"")
"),"بینش خود را در مورد استراتژی های موثر برای ادغام بحث های دانش آموز و یادگیری مشارکتی در طرح های درس به اشتراک بگذارید.")</f>
        <v>بینش خود را در مورد استراتژی های موثر برای ادغام بحث های دانش آموز و یادگیری مشارکتی در طرح های درس به اشتراک بگذارید.</v>
      </c>
      <c r="H8109" s="1"/>
      <c r="I8109" s="1"/>
      <c r="J8109" s="1"/>
      <c r="K8109" s="1"/>
      <c r="L8109" s="1"/>
      <c r="M8109" s="1"/>
      <c r="N8109" s="1"/>
      <c r="O8109" s="1"/>
      <c r="P8109" s="1"/>
      <c r="Q8109" s="1"/>
      <c r="R8109" s="1"/>
      <c r="S8109" s="1"/>
      <c r="T8109" s="1"/>
      <c r="U8109" s="1"/>
      <c r="V8109" s="1"/>
      <c r="W8109" s="1"/>
      <c r="X8109" s="1"/>
      <c r="Y8109" s="1"/>
      <c r="Z8109" s="1"/>
      <c r="AA8109" s="1"/>
      <c r="AB8109" s="1"/>
    </row>
    <row r="8110" ht="50.25" customHeight="1">
      <c r="A8110" s="12">
        <v>8106.0</v>
      </c>
      <c r="B8110" s="13" t="s">
        <v>7680</v>
      </c>
      <c r="C8110" s="18" t="s">
        <v>8135</v>
      </c>
      <c r="D8110" s="1"/>
      <c r="E8110" s="1"/>
      <c r="F8110" s="1" t="str">
        <f>IFERROR(__xludf.DUMMYFUNCTION("GOOGLETRANSLATE(B8110, ""en"", ""fa"")
"),"درخواست برای معلمان")</f>
        <v>درخواست برای معلمان</v>
      </c>
      <c r="G8110" s="1" t="str">
        <f>IFERROR(__xludf.DUMMYFUNCTION("GOOGLETRANSLATE(C8110, ""en"", ""fa"")
"),"راه‌هایی را برای ترکیب مهارت‌های سواد رسانه‌ای و تحلیل انتقادی در توسعه برنامه درسی بررسی کنید.")</f>
        <v>راه‌هایی را برای ترکیب مهارت‌های سواد رسانه‌ای و تحلیل انتقادی در توسعه برنامه درسی بررسی کنید.</v>
      </c>
      <c r="H8110" s="1"/>
      <c r="I8110" s="1"/>
      <c r="J8110" s="1"/>
      <c r="K8110" s="1"/>
      <c r="L8110" s="1"/>
      <c r="M8110" s="1"/>
      <c r="N8110" s="1"/>
      <c r="O8110" s="1"/>
      <c r="P8110" s="1"/>
      <c r="Q8110" s="1"/>
      <c r="R8110" s="1"/>
      <c r="S8110" s="1"/>
      <c r="T8110" s="1"/>
      <c r="U8110" s="1"/>
      <c r="V8110" s="1"/>
      <c r="W8110" s="1"/>
      <c r="X8110" s="1"/>
      <c r="Y8110" s="1"/>
      <c r="Z8110" s="1"/>
      <c r="AA8110" s="1"/>
      <c r="AB8110" s="1"/>
    </row>
    <row r="8111" ht="50.25" customHeight="1">
      <c r="A8111" s="12">
        <v>8107.0</v>
      </c>
      <c r="B8111" s="13" t="s">
        <v>7680</v>
      </c>
      <c r="C8111" s="18" t="s">
        <v>8136</v>
      </c>
      <c r="D8111" s="1"/>
      <c r="E8111" s="1"/>
      <c r="F8111" s="1" t="str">
        <f>IFERROR(__xludf.DUMMYFUNCTION("GOOGLETRANSLATE(B8111, ""en"", ""fa"")
"),"درخواست برای معلمان")</f>
        <v>درخواست برای معلمان</v>
      </c>
      <c r="G8111" s="1" t="str">
        <f>IFERROR(__xludf.DUMMYFUNCTION("GOOGLETRANSLATE(C8111, ""en"", ""fa"")
"),"در مورد تأثیر ترکیب شبیه‌سازی‌های فناوری پیشرفته و تجربیات واقعیت مجازی در طرح‌های درسی بحث کنید.")</f>
        <v>در مورد تأثیر ترکیب شبیه‌سازی‌های فناوری پیشرفته و تجربیات واقعیت مجازی در طرح‌های درسی بحث کنید.</v>
      </c>
      <c r="H8111" s="1"/>
      <c r="I8111" s="1"/>
      <c r="J8111" s="1"/>
      <c r="K8111" s="1"/>
      <c r="L8111" s="1"/>
      <c r="M8111" s="1"/>
      <c r="N8111" s="1"/>
      <c r="O8111" s="1"/>
      <c r="P8111" s="1"/>
      <c r="Q8111" s="1"/>
      <c r="R8111" s="1"/>
      <c r="S8111" s="1"/>
      <c r="T8111" s="1"/>
      <c r="U8111" s="1"/>
      <c r="V8111" s="1"/>
      <c r="W8111" s="1"/>
      <c r="X8111" s="1"/>
      <c r="Y8111" s="1"/>
      <c r="Z8111" s="1"/>
      <c r="AA8111" s="1"/>
      <c r="AB8111" s="1"/>
    </row>
    <row r="8112" ht="50.25" customHeight="1">
      <c r="A8112" s="12">
        <v>8108.0</v>
      </c>
      <c r="B8112" s="13" t="s">
        <v>7680</v>
      </c>
      <c r="C8112" s="18" t="s">
        <v>8137</v>
      </c>
      <c r="D8112" s="1"/>
      <c r="E8112" s="1"/>
      <c r="F8112" s="1" t="str">
        <f>IFERROR(__xludf.DUMMYFUNCTION("GOOGLETRANSLATE(B8112, ""en"", ""fa"")
"),"درخواست برای معلمان")</f>
        <v>درخواست برای معلمان</v>
      </c>
      <c r="G8112" s="1" t="str">
        <f>IFERROR(__xludf.DUMMYFUNCTION("GOOGLETRANSLATE(C8112, ""en"", ""fa"")
"),"تجربیات خود را در مورد استراتژی های موفق برای ادغام بیان هنری و خلاقیت در توسعه برنامه درسی به اشتراک بگذارید.")</f>
        <v>تجربیات خود را در مورد استراتژی های موفق برای ادغام بیان هنری و خلاقیت در توسعه برنامه درسی به اشتراک بگذارید.</v>
      </c>
      <c r="H8112" s="1"/>
      <c r="I8112" s="1"/>
      <c r="J8112" s="1"/>
      <c r="K8112" s="1"/>
      <c r="L8112" s="1"/>
      <c r="M8112" s="1"/>
      <c r="N8112" s="1"/>
      <c r="O8112" s="1"/>
      <c r="P8112" s="1"/>
      <c r="Q8112" s="1"/>
      <c r="R8112" s="1"/>
      <c r="S8112" s="1"/>
      <c r="T8112" s="1"/>
      <c r="U8112" s="1"/>
      <c r="V8112" s="1"/>
      <c r="W8112" s="1"/>
      <c r="X8112" s="1"/>
      <c r="Y8112" s="1"/>
      <c r="Z8112" s="1"/>
      <c r="AA8112" s="1"/>
      <c r="AB8112" s="1"/>
    </row>
    <row r="8113" ht="50.25" customHeight="1">
      <c r="A8113" s="12">
        <v>8109.0</v>
      </c>
      <c r="B8113" s="13" t="s">
        <v>7680</v>
      </c>
      <c r="C8113" s="18" t="s">
        <v>8138</v>
      </c>
      <c r="D8113" s="1"/>
      <c r="E8113" s="1"/>
      <c r="F8113" s="1" t="str">
        <f>IFERROR(__xludf.DUMMYFUNCTION("GOOGLETRANSLATE(B8113, ""en"", ""fa"")
"),"درخواست برای معلمان")</f>
        <v>درخواست برای معلمان</v>
      </c>
      <c r="G8113" s="1" t="str">
        <f>IFERROR(__xludf.DUMMYFUNCTION("GOOGLETRANSLATE(C8113, ""en"", ""fa"")
"),"تکنیک‌هایی را برای ترویج ارزیابی‌های متمایز و اشکال جایگزین بیان در طرح‌های درس کاوش کنید.")</f>
        <v>تکنیک‌هایی را برای ترویج ارزیابی‌های متمایز و اشکال جایگزین بیان در طرح‌های درس کاوش کنید.</v>
      </c>
      <c r="H8113" s="1"/>
      <c r="I8113" s="1"/>
      <c r="J8113" s="1"/>
      <c r="K8113" s="1"/>
      <c r="L8113" s="1"/>
      <c r="M8113" s="1"/>
      <c r="N8113" s="1"/>
      <c r="O8113" s="1"/>
      <c r="P8113" s="1"/>
      <c r="Q8113" s="1"/>
      <c r="R8113" s="1"/>
      <c r="S8113" s="1"/>
      <c r="T8113" s="1"/>
      <c r="U8113" s="1"/>
      <c r="V8113" s="1"/>
      <c r="W8113" s="1"/>
      <c r="X8113" s="1"/>
      <c r="Y8113" s="1"/>
      <c r="Z8113" s="1"/>
      <c r="AA8113" s="1"/>
      <c r="AB8113" s="1"/>
    </row>
    <row r="8114" ht="50.25" customHeight="1">
      <c r="A8114" s="12">
        <v>8110.0</v>
      </c>
      <c r="B8114" s="13" t="s">
        <v>7680</v>
      </c>
      <c r="C8114" s="18" t="s">
        <v>8139</v>
      </c>
      <c r="D8114" s="1"/>
      <c r="E8114" s="1"/>
      <c r="F8114" s="1" t="str">
        <f>IFERROR(__xludf.DUMMYFUNCTION("GOOGLETRANSLATE(B8114, ""en"", ""fa"")
"),"درخواست برای معلمان")</f>
        <v>درخواست برای معلمان</v>
      </c>
      <c r="G8114" s="1" t="str">
        <f>IFERROR(__xludf.DUMMYFUNCTION("GOOGLETRANSLATE(C8114, ""en"", ""fa"")
"),"در مورد اهمیت گنجاندن ملاحظات اخلاقی و شهروندی دیجیتال در توسعه برنامه درسی بحث کنید.")</f>
        <v>در مورد اهمیت گنجاندن ملاحظات اخلاقی و شهروندی دیجیتال در توسعه برنامه درسی بحث کنید.</v>
      </c>
      <c r="H8114" s="1"/>
      <c r="I8114" s="1"/>
      <c r="J8114" s="1"/>
      <c r="K8114" s="1"/>
      <c r="L8114" s="1"/>
      <c r="M8114" s="1"/>
      <c r="N8114" s="1"/>
      <c r="O8114" s="1"/>
      <c r="P8114" s="1"/>
      <c r="Q8114" s="1"/>
      <c r="R8114" s="1"/>
      <c r="S8114" s="1"/>
      <c r="T8114" s="1"/>
      <c r="U8114" s="1"/>
      <c r="V8114" s="1"/>
      <c r="W8114" s="1"/>
      <c r="X8114" s="1"/>
      <c r="Y8114" s="1"/>
      <c r="Z8114" s="1"/>
      <c r="AA8114" s="1"/>
      <c r="AB8114" s="1"/>
    </row>
    <row r="8115" ht="50.25" customHeight="1">
      <c r="A8115" s="12">
        <v>8111.0</v>
      </c>
      <c r="B8115" s="13" t="s">
        <v>7680</v>
      </c>
      <c r="C8115" s="18" t="s">
        <v>8140</v>
      </c>
      <c r="D8115" s="1"/>
      <c r="E8115" s="1"/>
      <c r="F8115" s="1" t="str">
        <f>IFERROR(__xludf.DUMMYFUNCTION("GOOGLETRANSLATE(B8115, ""en"", ""fa"")
"),"درخواست برای معلمان")</f>
        <v>درخواست برای معلمان</v>
      </c>
      <c r="G8115" s="1" t="str">
        <f>IFERROR(__xludf.DUMMYFUNCTION("GOOGLETRANSLATE(C8115, ""en"", ""fa"")
"),"بینش خود را در مورد استراتژی‌های مؤثر برای ادغام ادبیات چندفرهنگی و دیدگاه‌های متنوع در طرح‌های درسی به اشتراک بگذارید.")</f>
        <v>بینش خود را در مورد استراتژی‌های مؤثر برای ادغام ادبیات چندفرهنگی و دیدگاه‌های متنوع در طرح‌های درسی به اشتراک بگذارید.</v>
      </c>
      <c r="H8115" s="1"/>
      <c r="I8115" s="1"/>
      <c r="J8115" s="1"/>
      <c r="K8115" s="1"/>
      <c r="L8115" s="1"/>
      <c r="M8115" s="1"/>
      <c r="N8115" s="1"/>
      <c r="O8115" s="1"/>
      <c r="P8115" s="1"/>
      <c r="Q8115" s="1"/>
      <c r="R8115" s="1"/>
      <c r="S8115" s="1"/>
      <c r="T8115" s="1"/>
      <c r="U8115" s="1"/>
      <c r="V8115" s="1"/>
      <c r="W8115" s="1"/>
      <c r="X8115" s="1"/>
      <c r="Y8115" s="1"/>
      <c r="Z8115" s="1"/>
      <c r="AA8115" s="1"/>
      <c r="AB8115" s="1"/>
    </row>
    <row r="8116" ht="50.25" customHeight="1">
      <c r="A8116" s="12">
        <v>8112.0</v>
      </c>
      <c r="B8116" s="13" t="s">
        <v>7680</v>
      </c>
      <c r="C8116" s="18" t="s">
        <v>8141</v>
      </c>
      <c r="D8116" s="1"/>
      <c r="E8116" s="1"/>
      <c r="F8116" s="1" t="str">
        <f>IFERROR(__xludf.DUMMYFUNCTION("GOOGLETRANSLATE(B8116, ""en"", ""fa"")
"),"درخواست برای معلمان")</f>
        <v>درخواست برای معلمان</v>
      </c>
      <c r="G8116" s="1" t="str">
        <f>IFERROR(__xludf.DUMMYFUNCTION("GOOGLETRANSLATE(C8116, ""en"", ""fa"")
"),"راه‌هایی را برای ترکیب آزمایش‌های عملی و تحقیق علمی در توسعه برنامه درسی کاوش کنید.")</f>
        <v>راه‌هایی را برای ترکیب آزمایش‌های عملی و تحقیق علمی در توسعه برنامه درسی کاوش کنید.</v>
      </c>
      <c r="H8116" s="1"/>
      <c r="I8116" s="1"/>
      <c r="J8116" s="1"/>
      <c r="K8116" s="1"/>
      <c r="L8116" s="1"/>
      <c r="M8116" s="1"/>
      <c r="N8116" s="1"/>
      <c r="O8116" s="1"/>
      <c r="P8116" s="1"/>
      <c r="Q8116" s="1"/>
      <c r="R8116" s="1"/>
      <c r="S8116" s="1"/>
      <c r="T8116" s="1"/>
      <c r="U8116" s="1"/>
      <c r="V8116" s="1"/>
      <c r="W8116" s="1"/>
      <c r="X8116" s="1"/>
      <c r="Y8116" s="1"/>
      <c r="Z8116" s="1"/>
      <c r="AA8116" s="1"/>
      <c r="AB8116" s="1"/>
    </row>
    <row r="8117" ht="50.25" customHeight="1">
      <c r="A8117" s="12">
        <v>8113.0</v>
      </c>
      <c r="B8117" s="13" t="s">
        <v>7680</v>
      </c>
      <c r="C8117" s="18" t="s">
        <v>8142</v>
      </c>
      <c r="D8117" s="1"/>
      <c r="E8117" s="1"/>
      <c r="F8117" s="1" t="str">
        <f>IFERROR(__xludf.DUMMYFUNCTION("GOOGLETRANSLATE(B8117, ""en"", ""fa"")
"),"درخواست برای معلمان")</f>
        <v>درخواست برای معلمان</v>
      </c>
      <c r="G8117" s="1" t="str">
        <f>IFERROR(__xludf.DUMMYFUNCTION("GOOGLETRANSLATE(C8117, ""en"", ""fa"")
"),"درباره نقش شایستگی‌های یادگیری اجتماعی-عاطفی در شکل‌دهی طرح‌های درسی و چارچوب‌های برنامه درسی بحث کنید.")</f>
        <v>درباره نقش شایستگی‌های یادگیری اجتماعی-عاطفی در شکل‌دهی طرح‌های درسی و چارچوب‌های برنامه درسی بحث کنید.</v>
      </c>
      <c r="H8117" s="1"/>
      <c r="I8117" s="1"/>
      <c r="J8117" s="1"/>
      <c r="K8117" s="1"/>
      <c r="L8117" s="1"/>
      <c r="M8117" s="1"/>
      <c r="N8117" s="1"/>
      <c r="O8117" s="1"/>
      <c r="P8117" s="1"/>
      <c r="Q8117" s="1"/>
      <c r="R8117" s="1"/>
      <c r="S8117" s="1"/>
      <c r="T8117" s="1"/>
      <c r="U8117" s="1"/>
      <c r="V8117" s="1"/>
      <c r="W8117" s="1"/>
      <c r="X8117" s="1"/>
      <c r="Y8117" s="1"/>
      <c r="Z8117" s="1"/>
      <c r="AA8117" s="1"/>
      <c r="AB8117" s="1"/>
    </row>
    <row r="8118" ht="50.25" customHeight="1">
      <c r="A8118" s="12">
        <v>8114.0</v>
      </c>
      <c r="B8118" s="13" t="s">
        <v>7680</v>
      </c>
      <c r="C8118" s="18" t="s">
        <v>8143</v>
      </c>
      <c r="D8118" s="1"/>
      <c r="E8118" s="1"/>
      <c r="F8118" s="1" t="str">
        <f>IFERROR(__xludf.DUMMYFUNCTION("GOOGLETRANSLATE(B8118, ""en"", ""fa"")
"),"درخواست برای معلمان")</f>
        <v>درخواست برای معلمان</v>
      </c>
      <c r="G8118" s="1" t="str">
        <f>IFERROR(__xludf.DUMMYFUNCTION("GOOGLETRANSLATE(C8118, ""en"", ""fa"")
"),"در مورد اهمیت استفاده از انواع روش های ارزیابی برای جذب یادگیری دانش آموزان بحث کنید.")</f>
        <v>در مورد اهمیت استفاده از انواع روش های ارزیابی برای جذب یادگیری دانش آموزان بحث کنید.</v>
      </c>
      <c r="H8118" s="1"/>
      <c r="I8118" s="1"/>
      <c r="J8118" s="1"/>
      <c r="K8118" s="1"/>
      <c r="L8118" s="1"/>
      <c r="M8118" s="1"/>
      <c r="N8118" s="1"/>
      <c r="O8118" s="1"/>
      <c r="P8118" s="1"/>
      <c r="Q8118" s="1"/>
      <c r="R8118" s="1"/>
      <c r="S8118" s="1"/>
      <c r="T8118" s="1"/>
      <c r="U8118" s="1"/>
      <c r="V8118" s="1"/>
      <c r="W8118" s="1"/>
      <c r="X8118" s="1"/>
      <c r="Y8118" s="1"/>
      <c r="Z8118" s="1"/>
      <c r="AA8118" s="1"/>
      <c r="AB8118" s="1"/>
    </row>
    <row r="8119" ht="50.25" customHeight="1">
      <c r="A8119" s="12">
        <v>8115.0</v>
      </c>
      <c r="B8119" s="13" t="s">
        <v>7680</v>
      </c>
      <c r="C8119" s="18" t="s">
        <v>8144</v>
      </c>
      <c r="D8119" s="1"/>
      <c r="E8119" s="1"/>
      <c r="F8119" s="1" t="str">
        <f>IFERROR(__xludf.DUMMYFUNCTION("GOOGLETRANSLATE(B8119, ""en"", ""fa"")
"),"درخواست برای معلمان")</f>
        <v>درخواست برای معلمان</v>
      </c>
      <c r="G8119" s="1" t="str">
        <f>IFERROR(__xludf.DUMMYFUNCTION("GOOGLETRANSLATE(C8119, ""en"", ""fa"")
"),"بینش خود را در مورد استراتژی های موثر برای همسویی ارزیابی ها با اهداف و استانداردهای یادگیری به اشتراک بگذارید.")</f>
        <v>بینش خود را در مورد استراتژی های موثر برای همسویی ارزیابی ها با اهداف و استانداردهای یادگیری به اشتراک بگذارید.</v>
      </c>
      <c r="H8119" s="1"/>
      <c r="I8119" s="1"/>
      <c r="J8119" s="1"/>
      <c r="K8119" s="1"/>
      <c r="L8119" s="1"/>
      <c r="M8119" s="1"/>
      <c r="N8119" s="1"/>
      <c r="O8119" s="1"/>
      <c r="P8119" s="1"/>
      <c r="Q8119" s="1"/>
      <c r="R8119" s="1"/>
      <c r="S8119" s="1"/>
      <c r="T8119" s="1"/>
      <c r="U8119" s="1"/>
      <c r="V8119" s="1"/>
      <c r="W8119" s="1"/>
      <c r="X8119" s="1"/>
      <c r="Y8119" s="1"/>
      <c r="Z8119" s="1"/>
      <c r="AA8119" s="1"/>
      <c r="AB8119" s="1"/>
    </row>
    <row r="8120" ht="50.25" customHeight="1">
      <c r="A8120" s="12">
        <v>8116.0</v>
      </c>
      <c r="B8120" s="13" t="s">
        <v>7680</v>
      </c>
      <c r="C8120" s="18" t="s">
        <v>8145</v>
      </c>
      <c r="D8120" s="1"/>
      <c r="E8120" s="1"/>
      <c r="F8120" s="1" t="str">
        <f>IFERROR(__xludf.DUMMYFUNCTION("GOOGLETRANSLATE(B8120, ""en"", ""fa"")
"),"درخواست برای معلمان")</f>
        <v>درخواست برای معلمان</v>
      </c>
      <c r="G8120" s="1" t="str">
        <f>IFERROR(__xludf.DUMMYFUNCTION("GOOGLETRANSLATE(C8120, ""en"", ""fa"")
"),"راه‌هایی را برای ترکیب ارزیابی‌های تکوینی برای نظارت بر پیشرفت دانش‌آموز و ارائه بازخورد به موقع بررسی کنید.")</f>
        <v>راه‌هایی را برای ترکیب ارزیابی‌های تکوینی برای نظارت بر پیشرفت دانش‌آموز و ارائه بازخورد به موقع بررسی کنید.</v>
      </c>
      <c r="H8120" s="1"/>
      <c r="I8120" s="1"/>
      <c r="J8120" s="1"/>
      <c r="K8120" s="1"/>
      <c r="L8120" s="1"/>
      <c r="M8120" s="1"/>
      <c r="N8120" s="1"/>
      <c r="O8120" s="1"/>
      <c r="P8120" s="1"/>
      <c r="Q8120" s="1"/>
      <c r="R8120" s="1"/>
      <c r="S8120" s="1"/>
      <c r="T8120" s="1"/>
      <c r="U8120" s="1"/>
      <c r="V8120" s="1"/>
      <c r="W8120" s="1"/>
      <c r="X8120" s="1"/>
      <c r="Y8120" s="1"/>
      <c r="Z8120" s="1"/>
      <c r="AA8120" s="1"/>
      <c r="AB8120" s="1"/>
    </row>
    <row r="8121" ht="50.25" customHeight="1">
      <c r="A8121" s="12">
        <v>8117.0</v>
      </c>
      <c r="B8121" s="13" t="s">
        <v>7680</v>
      </c>
      <c r="C8121" s="18" t="s">
        <v>8146</v>
      </c>
      <c r="D8121" s="1"/>
      <c r="E8121" s="1"/>
      <c r="F8121" s="1" t="str">
        <f>IFERROR(__xludf.DUMMYFUNCTION("GOOGLETRANSLATE(B8121, ""en"", ""fa"")
"),"درخواست برای معلمان")</f>
        <v>درخواست برای معلمان</v>
      </c>
      <c r="G8121" s="1" t="str">
        <f>IFERROR(__xludf.DUMMYFUNCTION("GOOGLETRANSLATE(C8121, ""en"", ""fa"")
"),"در مورد نقش ارزشیابی جمعی در ارزیابی پیشرفت دانش آموزان و اطلاع رسانی تصمیمات آموزشی بحث کنید.")</f>
        <v>در مورد نقش ارزشیابی جمعی در ارزیابی پیشرفت دانش آموزان و اطلاع رسانی تصمیمات آموزشی بحث کنید.</v>
      </c>
      <c r="H8121" s="1"/>
      <c r="I8121" s="1"/>
      <c r="J8121" s="1"/>
      <c r="K8121" s="1"/>
      <c r="L8121" s="1"/>
      <c r="M8121" s="1"/>
      <c r="N8121" s="1"/>
      <c r="O8121" s="1"/>
      <c r="P8121" s="1"/>
      <c r="Q8121" s="1"/>
      <c r="R8121" s="1"/>
      <c r="S8121" s="1"/>
      <c r="T8121" s="1"/>
      <c r="U8121" s="1"/>
      <c r="V8121" s="1"/>
      <c r="W8121" s="1"/>
      <c r="X8121" s="1"/>
      <c r="Y8121" s="1"/>
      <c r="Z8121" s="1"/>
      <c r="AA8121" s="1"/>
      <c r="AB8121" s="1"/>
    </row>
    <row r="8122" ht="50.25" customHeight="1">
      <c r="A8122" s="12">
        <v>8118.0</v>
      </c>
      <c r="B8122" s="13" t="s">
        <v>7680</v>
      </c>
      <c r="C8122" s="18" t="s">
        <v>8147</v>
      </c>
      <c r="D8122" s="1"/>
      <c r="E8122" s="1"/>
      <c r="F8122" s="1" t="str">
        <f>IFERROR(__xludf.DUMMYFUNCTION("GOOGLETRANSLATE(B8122, ""en"", ""fa"")
"),"درخواست برای معلمان")</f>
        <v>درخواست برای معلمان</v>
      </c>
      <c r="G8122" s="1" t="str">
        <f>IFERROR(__xludf.DUMMYFUNCTION("GOOGLETRANSLATE(C8122, ""en"", ""fa"")
"),"تجربیات خود را با استراتژی های موفق برای طراحی ارزیابی های معتبر که منعکس کننده وظایف و چالش های دنیای واقعی هستند، به اشتراک بگذارید.")</f>
        <v>تجربیات خود را با استراتژی های موفق برای طراحی ارزیابی های معتبر که منعکس کننده وظایف و چالش های دنیای واقعی هستند، به اشتراک بگذارید.</v>
      </c>
      <c r="H8122" s="1"/>
      <c r="I8122" s="1"/>
      <c r="J8122" s="1"/>
      <c r="K8122" s="1"/>
      <c r="L8122" s="1"/>
      <c r="M8122" s="1"/>
      <c r="N8122" s="1"/>
      <c r="O8122" s="1"/>
      <c r="P8122" s="1"/>
      <c r="Q8122" s="1"/>
      <c r="R8122" s="1"/>
      <c r="S8122" s="1"/>
      <c r="T8122" s="1"/>
      <c r="U8122" s="1"/>
      <c r="V8122" s="1"/>
      <c r="W8122" s="1"/>
      <c r="X8122" s="1"/>
      <c r="Y8122" s="1"/>
      <c r="Z8122" s="1"/>
      <c r="AA8122" s="1"/>
      <c r="AB8122" s="1"/>
    </row>
    <row r="8123" ht="50.25" customHeight="1">
      <c r="A8123" s="12">
        <v>8119.0</v>
      </c>
      <c r="B8123" s="13" t="s">
        <v>7680</v>
      </c>
      <c r="C8123" s="18" t="s">
        <v>8148</v>
      </c>
      <c r="D8123" s="1"/>
      <c r="E8123" s="1"/>
      <c r="F8123" s="1" t="str">
        <f>IFERROR(__xludf.DUMMYFUNCTION("GOOGLETRANSLATE(B8123, ""en"", ""fa"")
"),"درخواست برای معلمان")</f>
        <v>درخواست برای معلمان</v>
      </c>
      <c r="G8123" s="1" t="str">
        <f>IFERROR(__xludf.DUMMYFUNCTION("GOOGLETRANSLATE(C8123, ""en"", ""fa"")
"),"تکنیک‌هایی را برای ارتقای خودارزیابی و تأمل دانش‌آموز به عنوان بخشی از فرآیند ارزیابی کاوش کنید.")</f>
        <v>تکنیک‌هایی را برای ارتقای خودارزیابی و تأمل دانش‌آموز به عنوان بخشی از فرآیند ارزیابی کاوش کنید.</v>
      </c>
      <c r="H8123" s="1"/>
      <c r="I8123" s="1"/>
      <c r="J8123" s="1"/>
      <c r="K8123" s="1"/>
      <c r="L8123" s="1"/>
      <c r="M8123" s="1"/>
      <c r="N8123" s="1"/>
      <c r="O8123" s="1"/>
      <c r="P8123" s="1"/>
      <c r="Q8123" s="1"/>
      <c r="R8123" s="1"/>
      <c r="S8123" s="1"/>
      <c r="T8123" s="1"/>
      <c r="U8123" s="1"/>
      <c r="V8123" s="1"/>
      <c r="W8123" s="1"/>
      <c r="X8123" s="1"/>
      <c r="Y8123" s="1"/>
      <c r="Z8123" s="1"/>
      <c r="AA8123" s="1"/>
      <c r="AB8123" s="1"/>
    </row>
    <row r="8124" ht="50.25" customHeight="1">
      <c r="A8124" s="12">
        <v>8120.0</v>
      </c>
      <c r="B8124" s="13" t="s">
        <v>7680</v>
      </c>
      <c r="C8124" s="18" t="s">
        <v>8149</v>
      </c>
      <c r="D8124" s="1"/>
      <c r="E8124" s="1"/>
      <c r="F8124" s="1" t="str">
        <f>IFERROR(__xludf.DUMMYFUNCTION("GOOGLETRANSLATE(B8124, ""en"", ""fa"")
"),"درخواست برای معلمان")</f>
        <v>درخواست برای معلمان</v>
      </c>
      <c r="G8124" s="1" t="str">
        <f>IFERROR(__xludf.DUMMYFUNCTION("GOOGLETRANSLATE(C8124, ""en"", ""fa"")
"),"درباره تأثیر استفاده از روبریک ها و راهنماهای امتیازدهی برای ارائه انتظارات و معیارهای روشن برای ارزیابی بحث کنید.")</f>
        <v>درباره تأثیر استفاده از روبریک ها و راهنماهای امتیازدهی برای ارائه انتظارات و معیارهای روشن برای ارزیابی بحث کنید.</v>
      </c>
      <c r="H8124" s="1"/>
      <c r="I8124" s="1"/>
      <c r="J8124" s="1"/>
      <c r="K8124" s="1"/>
      <c r="L8124" s="1"/>
      <c r="M8124" s="1"/>
      <c r="N8124" s="1"/>
      <c r="O8124" s="1"/>
      <c r="P8124" s="1"/>
      <c r="Q8124" s="1"/>
      <c r="R8124" s="1"/>
      <c r="S8124" s="1"/>
      <c r="T8124" s="1"/>
      <c r="U8124" s="1"/>
      <c r="V8124" s="1"/>
      <c r="W8124" s="1"/>
      <c r="X8124" s="1"/>
      <c r="Y8124" s="1"/>
      <c r="Z8124" s="1"/>
      <c r="AA8124" s="1"/>
      <c r="AB8124" s="1"/>
    </row>
    <row r="8125" ht="50.25" customHeight="1">
      <c r="A8125" s="12">
        <v>8121.0</v>
      </c>
      <c r="B8125" s="13" t="s">
        <v>7680</v>
      </c>
      <c r="C8125" s="18" t="s">
        <v>8150</v>
      </c>
      <c r="D8125" s="1"/>
      <c r="E8125" s="1"/>
      <c r="F8125" s="1" t="str">
        <f>IFERROR(__xludf.DUMMYFUNCTION("GOOGLETRANSLATE(B8125, ""en"", ""fa"")
"),"درخواست برای معلمان")</f>
        <v>درخواست برای معلمان</v>
      </c>
      <c r="G8125" s="1" t="str">
        <f>IFERROR(__xludf.DUMMYFUNCTION("GOOGLETRANSLATE(C8125, ""en"", ""fa"")
"),"بینش خود را در مورد استراتژی های موثر برای متمایز کردن ارزیابی ها برای برآورده کردن نیازهای متنوع فراگیران به اشتراک بگذارید.")</f>
        <v>بینش خود را در مورد استراتژی های موثر برای متمایز کردن ارزیابی ها برای برآورده کردن نیازهای متنوع فراگیران به اشتراک بگذارید.</v>
      </c>
      <c r="H8125" s="1"/>
      <c r="I8125" s="1"/>
      <c r="J8125" s="1"/>
      <c r="K8125" s="1"/>
      <c r="L8125" s="1"/>
      <c r="M8125" s="1"/>
      <c r="N8125" s="1"/>
      <c r="O8125" s="1"/>
      <c r="P8125" s="1"/>
      <c r="Q8125" s="1"/>
      <c r="R8125" s="1"/>
      <c r="S8125" s="1"/>
      <c r="T8125" s="1"/>
      <c r="U8125" s="1"/>
      <c r="V8125" s="1"/>
      <c r="W8125" s="1"/>
      <c r="X8125" s="1"/>
      <c r="Y8125" s="1"/>
      <c r="Z8125" s="1"/>
      <c r="AA8125" s="1"/>
      <c r="AB8125" s="1"/>
    </row>
    <row r="8126" ht="50.25" customHeight="1">
      <c r="A8126" s="12">
        <v>8122.0</v>
      </c>
      <c r="B8126" s="13" t="s">
        <v>7680</v>
      </c>
      <c r="C8126" s="18" t="s">
        <v>8151</v>
      </c>
      <c r="D8126" s="1"/>
      <c r="E8126" s="1"/>
      <c r="F8126" s="1" t="str">
        <f>IFERROR(__xludf.DUMMYFUNCTION("GOOGLETRANSLATE(B8126, ""en"", ""fa"")
"),"درخواست برای معلمان")</f>
        <v>درخواست برای معلمان</v>
      </c>
      <c r="G8126" s="1" t="str">
        <f>IFERROR(__xludf.DUMMYFUNCTION("GOOGLETRANSLATE(C8126, ""en"", ""fa"")
"),"راه‌هایی را برای ترکیب ارزیابی‌های مبتنی بر عملکرد که مهارت‌ها و شایستگی‌ها را فراتر از یادآوری دانش ارزیابی می‌کنند، کاوش کنید.")</f>
        <v>راه‌هایی را برای ترکیب ارزیابی‌های مبتنی بر عملکرد که مهارت‌ها و شایستگی‌ها را فراتر از یادآوری دانش ارزیابی می‌کنند، کاوش کنید.</v>
      </c>
      <c r="H8126" s="1"/>
      <c r="I8126" s="1"/>
      <c r="J8126" s="1"/>
      <c r="K8126" s="1"/>
      <c r="L8126" s="1"/>
      <c r="M8126" s="1"/>
      <c r="N8126" s="1"/>
      <c r="O8126" s="1"/>
      <c r="P8126" s="1"/>
      <c r="Q8126" s="1"/>
      <c r="R8126" s="1"/>
      <c r="S8126" s="1"/>
      <c r="T8126" s="1"/>
      <c r="U8126" s="1"/>
      <c r="V8126" s="1"/>
      <c r="W8126" s="1"/>
      <c r="X8126" s="1"/>
      <c r="Y8126" s="1"/>
      <c r="Z8126" s="1"/>
      <c r="AA8126" s="1"/>
      <c r="AB8126" s="1"/>
    </row>
    <row r="8127" ht="50.25" customHeight="1">
      <c r="A8127" s="12">
        <v>8123.0</v>
      </c>
      <c r="B8127" s="13" t="s">
        <v>7680</v>
      </c>
      <c r="C8127" s="18" t="s">
        <v>8152</v>
      </c>
      <c r="D8127" s="1"/>
      <c r="E8127" s="1"/>
      <c r="F8127" s="1" t="str">
        <f>IFERROR(__xludf.DUMMYFUNCTION("GOOGLETRANSLATE(B8127, ""en"", ""fa"")
"),"درخواست برای معلمان")</f>
        <v>درخواست برای معلمان</v>
      </c>
      <c r="G8127" s="1" t="str">
        <f>IFERROR(__xludf.DUMMYFUNCTION("GOOGLETRANSLATE(C8127, ""en"", ""fa"")
"),"در مورد اهمیت استفاده از ابزارهای فناوری برای ارزیابی، مانند آزمون‌های آنلاین، نمونه کارها دیجیتال، یا ارسال‌های ویدئویی بحث کنید.")</f>
        <v>در مورد اهمیت استفاده از ابزارهای فناوری برای ارزیابی، مانند آزمون‌های آنلاین، نمونه کارها دیجیتال، یا ارسال‌های ویدئویی بحث کنید.</v>
      </c>
      <c r="H8127" s="1"/>
      <c r="I8127" s="1"/>
      <c r="J8127" s="1"/>
      <c r="K8127" s="1"/>
      <c r="L8127" s="1"/>
      <c r="M8127" s="1"/>
      <c r="N8127" s="1"/>
      <c r="O8127" s="1"/>
      <c r="P8127" s="1"/>
      <c r="Q8127" s="1"/>
      <c r="R8127" s="1"/>
      <c r="S8127" s="1"/>
      <c r="T8127" s="1"/>
      <c r="U8127" s="1"/>
      <c r="V8127" s="1"/>
      <c r="W8127" s="1"/>
      <c r="X8127" s="1"/>
      <c r="Y8127" s="1"/>
      <c r="Z8127" s="1"/>
      <c r="AA8127" s="1"/>
      <c r="AB8127" s="1"/>
    </row>
    <row r="8128" ht="50.25" customHeight="1">
      <c r="A8128" s="12">
        <v>8124.0</v>
      </c>
      <c r="B8128" s="13" t="s">
        <v>7680</v>
      </c>
      <c r="C8128" s="18" t="s">
        <v>8153</v>
      </c>
      <c r="D8128" s="1"/>
      <c r="E8128" s="1"/>
      <c r="F8128" s="1" t="str">
        <f>IFERROR(__xludf.DUMMYFUNCTION("GOOGLETRANSLATE(B8128, ""en"", ""fa"")
"),"درخواست برای معلمان")</f>
        <v>درخواست برای معلمان</v>
      </c>
      <c r="G8128" s="1" t="str">
        <f>IFERROR(__xludf.DUMMYFUNCTION("GOOGLETRANSLATE(C8128, ""en"", ""fa"")
"),"تجربیات خود را در مورد استراتژی های موفق برای مشارکت دانش آموزان در فرآیند ارزیابی از طریق بازخورد همسالان و خودارزیابی به اشتراک بگذارید.")</f>
        <v>تجربیات خود را در مورد استراتژی های موفق برای مشارکت دانش آموزان در فرآیند ارزیابی از طریق بازخورد همسالان و خودارزیابی به اشتراک بگذارید.</v>
      </c>
      <c r="H8128" s="1"/>
      <c r="I8128" s="1"/>
      <c r="J8128" s="1"/>
      <c r="K8128" s="1"/>
      <c r="L8128" s="1"/>
      <c r="M8128" s="1"/>
      <c r="N8128" s="1"/>
      <c r="O8128" s="1"/>
      <c r="P8128" s="1"/>
      <c r="Q8128" s="1"/>
      <c r="R8128" s="1"/>
      <c r="S8128" s="1"/>
      <c r="T8128" s="1"/>
      <c r="U8128" s="1"/>
      <c r="V8128" s="1"/>
      <c r="W8128" s="1"/>
      <c r="X8128" s="1"/>
      <c r="Y8128" s="1"/>
      <c r="Z8128" s="1"/>
      <c r="AA8128" s="1"/>
      <c r="AB8128" s="1"/>
    </row>
    <row r="8129" ht="50.25" customHeight="1">
      <c r="A8129" s="12">
        <v>8125.0</v>
      </c>
      <c r="B8129" s="13" t="s">
        <v>7680</v>
      </c>
      <c r="C8129" s="18" t="s">
        <v>8154</v>
      </c>
      <c r="D8129" s="1"/>
      <c r="E8129" s="1"/>
      <c r="F8129" s="1" t="str">
        <f>IFERROR(__xludf.DUMMYFUNCTION("GOOGLETRANSLATE(B8129, ""en"", ""fa"")
"),"درخواست برای معلمان")</f>
        <v>درخواست برای معلمان</v>
      </c>
      <c r="G8129" s="1" t="str">
        <f>IFERROR(__xludf.DUMMYFUNCTION("GOOGLETRANSLATE(C8129, ""en"", ""fa"")
"),"تکنیک‌هایی را برای ترکیب روش‌های ارزیابی جایگزین، مانند پروژه‌ها، ارائه‌ها یا اجراها بررسی کنید.")</f>
        <v>تکنیک‌هایی را برای ترکیب روش‌های ارزیابی جایگزین، مانند پروژه‌ها، ارائه‌ها یا اجراها بررسی کنید.</v>
      </c>
      <c r="H8129" s="1"/>
      <c r="I8129" s="1"/>
      <c r="J8129" s="1"/>
      <c r="K8129" s="1"/>
      <c r="L8129" s="1"/>
      <c r="M8129" s="1"/>
      <c r="N8129" s="1"/>
      <c r="O8129" s="1"/>
      <c r="P8129" s="1"/>
      <c r="Q8129" s="1"/>
      <c r="R8129" s="1"/>
      <c r="S8129" s="1"/>
      <c r="T8129" s="1"/>
      <c r="U8129" s="1"/>
      <c r="V8129" s="1"/>
      <c r="W8129" s="1"/>
      <c r="X8129" s="1"/>
      <c r="Y8129" s="1"/>
      <c r="Z8129" s="1"/>
      <c r="AA8129" s="1"/>
      <c r="AB8129" s="1"/>
    </row>
    <row r="8130" ht="50.25" customHeight="1">
      <c r="A8130" s="12">
        <v>8126.0</v>
      </c>
      <c r="B8130" s="13" t="s">
        <v>7680</v>
      </c>
      <c r="C8130" s="18" t="s">
        <v>8155</v>
      </c>
      <c r="D8130" s="1"/>
      <c r="E8130" s="1"/>
      <c r="F8130" s="1" t="str">
        <f>IFERROR(__xludf.DUMMYFUNCTION("GOOGLETRANSLATE(B8130, ""en"", ""fa"")
"),"درخواست برای معلمان")</f>
        <v>درخواست برای معلمان</v>
      </c>
      <c r="G8130" s="1" t="str">
        <f>IFERROR(__xludf.DUMMYFUNCTION("GOOGLETRANSLATE(C8130, ""en"", ""fa"")
"),"در مورد نقش تصمیم گیری مبتنی بر داده در استفاده از نتایج ارزیابی برای هدایت برنامه ریزی آموزشی و مداخلات بحث کنید.")</f>
        <v>در مورد نقش تصمیم گیری مبتنی بر داده در استفاده از نتایج ارزیابی برای هدایت برنامه ریزی آموزشی و مداخلات بحث کنید.</v>
      </c>
      <c r="H8130" s="1"/>
      <c r="I8130" s="1"/>
      <c r="J8130" s="1"/>
      <c r="K8130" s="1"/>
      <c r="L8130" s="1"/>
      <c r="M8130" s="1"/>
      <c r="N8130" s="1"/>
      <c r="O8130" s="1"/>
      <c r="P8130" s="1"/>
      <c r="Q8130" s="1"/>
      <c r="R8130" s="1"/>
      <c r="S8130" s="1"/>
      <c r="T8130" s="1"/>
      <c r="U8130" s="1"/>
      <c r="V8130" s="1"/>
      <c r="W8130" s="1"/>
      <c r="X8130" s="1"/>
      <c r="Y8130" s="1"/>
      <c r="Z8130" s="1"/>
      <c r="AA8130" s="1"/>
      <c r="AB8130" s="1"/>
    </row>
    <row r="8131" ht="50.25" customHeight="1">
      <c r="A8131" s="12">
        <v>8127.0</v>
      </c>
      <c r="B8131" s="13" t="s">
        <v>7680</v>
      </c>
      <c r="C8131" s="18" t="s">
        <v>8156</v>
      </c>
      <c r="D8131" s="1"/>
      <c r="E8131" s="1"/>
      <c r="F8131" s="1" t="str">
        <f>IFERROR(__xludf.DUMMYFUNCTION("GOOGLETRANSLATE(B8131, ""en"", ""fa"")
"),"درخواست برای معلمان")</f>
        <v>درخواست برای معلمان</v>
      </c>
      <c r="G8131" s="1" t="str">
        <f>IFERROR(__xludf.DUMMYFUNCTION("GOOGLETRANSLATE(C8131, ""en"", ""fa"")
"),"بینش خود را در مورد استراتژی های موثر برای ارائه بازخورد سازنده که از رشد و بهبود دانش آموزان حمایت می کند، به اشتراک بگذارید.")</f>
        <v>بینش خود را در مورد استراتژی های موثر برای ارائه بازخورد سازنده که از رشد و بهبود دانش آموزان حمایت می کند، به اشتراک بگذارید.</v>
      </c>
      <c r="H8131" s="1"/>
      <c r="I8131" s="1"/>
      <c r="J8131" s="1"/>
      <c r="K8131" s="1"/>
      <c r="L8131" s="1"/>
      <c r="M8131" s="1"/>
      <c r="N8131" s="1"/>
      <c r="O8131" s="1"/>
      <c r="P8131" s="1"/>
      <c r="Q8131" s="1"/>
      <c r="R8131" s="1"/>
      <c r="S8131" s="1"/>
      <c r="T8131" s="1"/>
      <c r="U8131" s="1"/>
      <c r="V8131" s="1"/>
      <c r="W8131" s="1"/>
      <c r="X8131" s="1"/>
      <c r="Y8131" s="1"/>
      <c r="Z8131" s="1"/>
      <c r="AA8131" s="1"/>
      <c r="AB8131" s="1"/>
    </row>
    <row r="8132" ht="50.25" customHeight="1">
      <c r="A8132" s="12">
        <v>8128.0</v>
      </c>
      <c r="B8132" s="13" t="s">
        <v>7680</v>
      </c>
      <c r="C8132" s="18" t="s">
        <v>8157</v>
      </c>
      <c r="D8132" s="1"/>
      <c r="E8132" s="1"/>
      <c r="F8132" s="1" t="str">
        <f>IFERROR(__xludf.DUMMYFUNCTION("GOOGLETRANSLATE(B8132, ""en"", ""fa"")
"),"درخواست برای معلمان")</f>
        <v>درخواست برای معلمان</v>
      </c>
      <c r="G8132" s="1" t="str">
        <f>IFERROR(__xludf.DUMMYFUNCTION("GOOGLETRANSLATE(C8132, ""en"", ""fa"")
"),"راه‌هایی را برای ترکیب شیوه‌های ارزیابی مداوم که آموزش را آگاه می‌کند و امکان مداخلات به موقع را فراهم می‌کند، کاوش کنید.")</f>
        <v>راه‌هایی را برای ترکیب شیوه‌های ارزیابی مداوم که آموزش را آگاه می‌کند و امکان مداخلات به موقع را فراهم می‌کند، کاوش کنید.</v>
      </c>
      <c r="H8132" s="1"/>
      <c r="I8132" s="1"/>
      <c r="J8132" s="1"/>
      <c r="K8132" s="1"/>
      <c r="L8132" s="1"/>
      <c r="M8132" s="1"/>
      <c r="N8132" s="1"/>
      <c r="O8132" s="1"/>
      <c r="P8132" s="1"/>
      <c r="Q8132" s="1"/>
      <c r="R8132" s="1"/>
      <c r="S8132" s="1"/>
      <c r="T8132" s="1"/>
      <c r="U8132" s="1"/>
      <c r="V8132" s="1"/>
      <c r="W8132" s="1"/>
      <c r="X8132" s="1"/>
      <c r="Y8132" s="1"/>
      <c r="Z8132" s="1"/>
      <c r="AA8132" s="1"/>
      <c r="AB8132" s="1"/>
    </row>
    <row r="8133" ht="50.25" customHeight="1">
      <c r="A8133" s="12">
        <v>8129.0</v>
      </c>
      <c r="B8133" s="13" t="s">
        <v>7680</v>
      </c>
      <c r="C8133" s="18" t="s">
        <v>8158</v>
      </c>
      <c r="D8133" s="1"/>
      <c r="E8133" s="1"/>
      <c r="F8133" s="1" t="str">
        <f>IFERROR(__xludf.DUMMYFUNCTION("GOOGLETRANSLATE(B8133, ""en"", ""fa"")
"),"درخواست برای معلمان")</f>
        <v>درخواست برای معلمان</v>
      </c>
      <c r="G8133" s="1" t="str">
        <f>IFERROR(__xludf.DUMMYFUNCTION("GOOGLETRANSLATE(C8133, ""en"", ""fa"")
"),"در مورد تأثیر استفاده از زمینه های واقعی و واقعی در وظایف ارزیابی برای افزایش مشارکت و انگیزه دانش آموزان بحث کنید.")</f>
        <v>در مورد تأثیر استفاده از زمینه های واقعی و واقعی در وظایف ارزیابی برای افزایش مشارکت و انگیزه دانش آموزان بحث کنید.</v>
      </c>
      <c r="H8133" s="1"/>
      <c r="I8133" s="1"/>
      <c r="J8133" s="1"/>
      <c r="K8133" s="1"/>
      <c r="L8133" s="1"/>
      <c r="M8133" s="1"/>
      <c r="N8133" s="1"/>
      <c r="O8133" s="1"/>
      <c r="P8133" s="1"/>
      <c r="Q8133" s="1"/>
      <c r="R8133" s="1"/>
      <c r="S8133" s="1"/>
      <c r="T8133" s="1"/>
      <c r="U8133" s="1"/>
      <c r="V8133" s="1"/>
      <c r="W8133" s="1"/>
      <c r="X8133" s="1"/>
      <c r="Y8133" s="1"/>
      <c r="Z8133" s="1"/>
      <c r="AA8133" s="1"/>
      <c r="AB8133" s="1"/>
    </row>
    <row r="8134" ht="50.25" customHeight="1">
      <c r="A8134" s="12">
        <v>8130.0</v>
      </c>
      <c r="B8134" s="13" t="s">
        <v>7680</v>
      </c>
      <c r="C8134" s="18" t="s">
        <v>8159</v>
      </c>
      <c r="D8134" s="1"/>
      <c r="E8134" s="1"/>
      <c r="F8134" s="1" t="str">
        <f>IFERROR(__xludf.DUMMYFUNCTION("GOOGLETRANSLATE(B8134, ""en"", ""fa"")
"),"درخواست برای معلمان")</f>
        <v>درخواست برای معلمان</v>
      </c>
      <c r="G8134" s="1" t="str">
        <f>IFERROR(__xludf.DUMMYFUNCTION("GOOGLETRANSLATE(C8134, ""en"", ""fa"")
"),"تجربیات خود را با استراتژی های موفق برای اطمینان از اعتبار و قابلیت اطمینان ارزیابی ها به اشتراک بگذارید.")</f>
        <v>تجربیات خود را با استراتژی های موفق برای اطمینان از اعتبار و قابلیت اطمینان ارزیابی ها به اشتراک بگذارید.</v>
      </c>
      <c r="H8134" s="1"/>
      <c r="I8134" s="1"/>
      <c r="J8134" s="1"/>
      <c r="K8134" s="1"/>
      <c r="L8134" s="1"/>
      <c r="M8134" s="1"/>
      <c r="N8134" s="1"/>
      <c r="O8134" s="1"/>
      <c r="P8134" s="1"/>
      <c r="Q8134" s="1"/>
      <c r="R8134" s="1"/>
      <c r="S8134" s="1"/>
      <c r="T8134" s="1"/>
      <c r="U8134" s="1"/>
      <c r="V8134" s="1"/>
      <c r="W8134" s="1"/>
      <c r="X8134" s="1"/>
      <c r="Y8134" s="1"/>
      <c r="Z8134" s="1"/>
      <c r="AA8134" s="1"/>
      <c r="AB8134" s="1"/>
    </row>
    <row r="8135" ht="50.25" customHeight="1">
      <c r="A8135" s="12">
        <v>8131.0</v>
      </c>
      <c r="B8135" s="13" t="s">
        <v>7680</v>
      </c>
      <c r="C8135" s="18" t="s">
        <v>8160</v>
      </c>
      <c r="D8135" s="1"/>
      <c r="E8135" s="1"/>
      <c r="F8135" s="1" t="str">
        <f>IFERROR(__xludf.DUMMYFUNCTION("GOOGLETRANSLATE(B8135, ""en"", ""fa"")
"),"درخواست برای معلمان")</f>
        <v>درخواست برای معلمان</v>
      </c>
      <c r="G8135" s="1" t="str">
        <f>IFERROR(__xludf.DUMMYFUNCTION("GOOGLETRANSLATE(C8135, ""en"", ""fa"")
"),"با در نظر گرفتن تفاوت‌های فرهنگی و فردی، تکنیک‌هایی را برای ترویج انصاف و برابری در شیوه‌های ارزیابی بررسی کنید.")</f>
        <v>با در نظر گرفتن تفاوت‌های فرهنگی و فردی، تکنیک‌هایی را برای ترویج انصاف و برابری در شیوه‌های ارزیابی بررسی کنید.</v>
      </c>
      <c r="H8135" s="1"/>
      <c r="I8135" s="1"/>
      <c r="J8135" s="1"/>
      <c r="K8135" s="1"/>
      <c r="L8135" s="1"/>
      <c r="M8135" s="1"/>
      <c r="N8135" s="1"/>
      <c r="O8135" s="1"/>
      <c r="P8135" s="1"/>
      <c r="Q8135" s="1"/>
      <c r="R8135" s="1"/>
      <c r="S8135" s="1"/>
      <c r="T8135" s="1"/>
      <c r="U8135" s="1"/>
      <c r="V8135" s="1"/>
      <c r="W8135" s="1"/>
      <c r="X8135" s="1"/>
      <c r="Y8135" s="1"/>
      <c r="Z8135" s="1"/>
      <c r="AA8135" s="1"/>
      <c r="AB8135" s="1"/>
    </row>
    <row r="8136" ht="50.25" customHeight="1">
      <c r="A8136" s="12">
        <v>8132.0</v>
      </c>
      <c r="B8136" s="13" t="s">
        <v>7680</v>
      </c>
      <c r="C8136" s="18" t="s">
        <v>8161</v>
      </c>
      <c r="D8136" s="1"/>
      <c r="E8136" s="1"/>
      <c r="F8136" s="1" t="str">
        <f>IFERROR(__xludf.DUMMYFUNCTION("GOOGLETRANSLATE(B8136, ""en"", ""fa"")
"),"درخواست برای معلمان")</f>
        <v>درخواست برای معلمان</v>
      </c>
      <c r="G8136" s="1" t="str">
        <f>IFERROR(__xludf.DUMMYFUNCTION("GOOGLETRANSLATE(C8136, ""en"", ""fa"")
"),"در مورد اهمیت مشارکت دانش آموزان در تعیین اهداف یادگیری و پیگیری پیشرفت آنها از طریق ارزشیابی تکوینی بحث کنید.")</f>
        <v>در مورد اهمیت مشارکت دانش آموزان در تعیین اهداف یادگیری و پیگیری پیشرفت آنها از طریق ارزشیابی تکوینی بحث کنید.</v>
      </c>
      <c r="H8136" s="1"/>
      <c r="I8136" s="1"/>
      <c r="J8136" s="1"/>
      <c r="K8136" s="1"/>
      <c r="L8136" s="1"/>
      <c r="M8136" s="1"/>
      <c r="N8136" s="1"/>
      <c r="O8136" s="1"/>
      <c r="P8136" s="1"/>
      <c r="Q8136" s="1"/>
      <c r="R8136" s="1"/>
      <c r="S8136" s="1"/>
      <c r="T8136" s="1"/>
      <c r="U8136" s="1"/>
      <c r="V8136" s="1"/>
      <c r="W8136" s="1"/>
      <c r="X8136" s="1"/>
      <c r="Y8136" s="1"/>
      <c r="Z8136" s="1"/>
      <c r="AA8136" s="1"/>
      <c r="AB8136" s="1"/>
    </row>
    <row r="8137" ht="50.25" customHeight="1">
      <c r="A8137" s="12">
        <v>8133.0</v>
      </c>
      <c r="B8137" s="13" t="s">
        <v>7680</v>
      </c>
      <c r="C8137" s="18" t="s">
        <v>8162</v>
      </c>
      <c r="D8137" s="1"/>
      <c r="E8137" s="1"/>
      <c r="F8137" s="1" t="str">
        <f>IFERROR(__xludf.DUMMYFUNCTION("GOOGLETRANSLATE(B8137, ""en"", ""fa"")
"),"درخواست برای معلمان")</f>
        <v>درخواست برای معلمان</v>
      </c>
      <c r="G8137" s="1" t="str">
        <f>IFERROR(__xludf.DUMMYFUNCTION("GOOGLETRANSLATE(C8137, ""en"", ""fa"")
"),"بینش خود را در مورد استراتژی های موثر برای انتقال نتایج ارزیابی به دانش آموزان، والدین و ذینفعان به اشتراک بگذارید.")</f>
        <v>بینش خود را در مورد استراتژی های موثر برای انتقال نتایج ارزیابی به دانش آموزان، والدین و ذینفعان به اشتراک بگذارید.</v>
      </c>
      <c r="H8137" s="1"/>
      <c r="I8137" s="1"/>
      <c r="J8137" s="1"/>
      <c r="K8137" s="1"/>
      <c r="L8137" s="1"/>
      <c r="M8137" s="1"/>
      <c r="N8137" s="1"/>
      <c r="O8137" s="1"/>
      <c r="P8137" s="1"/>
      <c r="Q8137" s="1"/>
      <c r="R8137" s="1"/>
      <c r="S8137" s="1"/>
      <c r="T8137" s="1"/>
      <c r="U8137" s="1"/>
      <c r="V8137" s="1"/>
      <c r="W8137" s="1"/>
      <c r="X8137" s="1"/>
      <c r="Y8137" s="1"/>
      <c r="Z8137" s="1"/>
      <c r="AA8137" s="1"/>
      <c r="AB8137" s="1"/>
    </row>
    <row r="8138" ht="50.25" customHeight="1">
      <c r="A8138" s="12">
        <v>8134.0</v>
      </c>
      <c r="B8138" s="13" t="s">
        <v>7680</v>
      </c>
      <c r="C8138" s="18" t="s">
        <v>8163</v>
      </c>
      <c r="D8138" s="1"/>
      <c r="E8138" s="1"/>
      <c r="F8138" s="1" t="str">
        <f>IFERROR(__xludf.DUMMYFUNCTION("GOOGLETRANSLATE(B8138, ""en"", ""fa"")
"),"درخواست برای معلمان")</f>
        <v>درخواست برای معلمان</v>
      </c>
      <c r="G8138" s="1" t="str">
        <f>IFERROR(__xludf.DUMMYFUNCTION("GOOGLETRANSLATE(C8138, ""en"", ""fa"")
"),"راه هایی را برای گنجاندن خود ارزیابی و تعیین هدف به عنوان بخشی از فرآیند ارزیابی کاوش کنید.")</f>
        <v>راه هایی را برای گنجاندن خود ارزیابی و تعیین هدف به عنوان بخشی از فرآیند ارزیابی کاوش کنید.</v>
      </c>
      <c r="H8138" s="1"/>
      <c r="I8138" s="1"/>
      <c r="J8138" s="1"/>
      <c r="K8138" s="1"/>
      <c r="L8138" s="1"/>
      <c r="M8138" s="1"/>
      <c r="N8138" s="1"/>
      <c r="O8138" s="1"/>
      <c r="P8138" s="1"/>
      <c r="Q8138" s="1"/>
      <c r="R8138" s="1"/>
      <c r="S8138" s="1"/>
      <c r="T8138" s="1"/>
      <c r="U8138" s="1"/>
      <c r="V8138" s="1"/>
      <c r="W8138" s="1"/>
      <c r="X8138" s="1"/>
      <c r="Y8138" s="1"/>
      <c r="Z8138" s="1"/>
      <c r="AA8138" s="1"/>
      <c r="AB8138" s="1"/>
    </row>
    <row r="8139" ht="50.25" customHeight="1">
      <c r="A8139" s="12">
        <v>8135.0</v>
      </c>
      <c r="B8139" s="13" t="s">
        <v>7680</v>
      </c>
      <c r="C8139" s="18" t="s">
        <v>8164</v>
      </c>
      <c r="D8139" s="1"/>
      <c r="E8139" s="1"/>
      <c r="F8139" s="1" t="str">
        <f>IFERROR(__xludf.DUMMYFUNCTION("GOOGLETRANSLATE(B8139, ""en"", ""fa"")
"),"درخواست برای معلمان")</f>
        <v>درخواست برای معلمان</v>
      </c>
      <c r="G8139" s="1" t="str">
        <f>IFERROR(__xludf.DUMMYFUNCTION("GOOGLETRANSLATE(C8139, ""en"", ""fa"")
"),"درباره نقش ارزیابی همتایان و بازخورد مشارکتی در ارتقای یادگیری و تفکر دانش‌آموز بحث کنید.")</f>
        <v>درباره نقش ارزیابی همتایان و بازخورد مشارکتی در ارتقای یادگیری و تفکر دانش‌آموز بحث کنید.</v>
      </c>
      <c r="H8139" s="1"/>
      <c r="I8139" s="1"/>
      <c r="J8139" s="1"/>
      <c r="K8139" s="1"/>
      <c r="L8139" s="1"/>
      <c r="M8139" s="1"/>
      <c r="N8139" s="1"/>
      <c r="O8139" s="1"/>
      <c r="P8139" s="1"/>
      <c r="Q8139" s="1"/>
      <c r="R8139" s="1"/>
      <c r="S8139" s="1"/>
      <c r="T8139" s="1"/>
      <c r="U8139" s="1"/>
      <c r="V8139" s="1"/>
      <c r="W8139" s="1"/>
      <c r="X8139" s="1"/>
      <c r="Y8139" s="1"/>
      <c r="Z8139" s="1"/>
      <c r="AA8139" s="1"/>
      <c r="AB8139" s="1"/>
    </row>
    <row r="8140" ht="50.25" customHeight="1">
      <c r="A8140" s="12">
        <v>8136.0</v>
      </c>
      <c r="B8140" s="13" t="s">
        <v>7680</v>
      </c>
      <c r="C8140" s="18" t="s">
        <v>8165</v>
      </c>
      <c r="D8140" s="1"/>
      <c r="E8140" s="1"/>
      <c r="F8140" s="1" t="str">
        <f>IFERROR(__xludf.DUMMYFUNCTION("GOOGLETRANSLATE(B8140, ""en"", ""fa"")
"),"درخواست برای معلمان")</f>
        <v>درخواست برای معلمان</v>
      </c>
      <c r="G8140" s="1" t="str">
        <f>IFERROR(__xludf.DUMMYFUNCTION("GOOGLETRANSLATE(C8140, ""en"", ""fa"")
"),"تجربیات خود را در مورد استراتژی های موفق برای استفاده از نمونه کارها یا مجلات یادگیری به عنوان ابزار ارزیابی به اشتراک بگذارید.")</f>
        <v>تجربیات خود را در مورد استراتژی های موفق برای استفاده از نمونه کارها یا مجلات یادگیری به عنوان ابزار ارزیابی به اشتراک بگذارید.</v>
      </c>
      <c r="H8140" s="1"/>
      <c r="I8140" s="1"/>
      <c r="J8140" s="1"/>
      <c r="K8140" s="1"/>
      <c r="L8140" s="1"/>
      <c r="M8140" s="1"/>
      <c r="N8140" s="1"/>
      <c r="O8140" s="1"/>
      <c r="P8140" s="1"/>
      <c r="Q8140" s="1"/>
      <c r="R8140" s="1"/>
      <c r="S8140" s="1"/>
      <c r="T8140" s="1"/>
      <c r="U8140" s="1"/>
      <c r="V8140" s="1"/>
      <c r="W8140" s="1"/>
      <c r="X8140" s="1"/>
      <c r="Y8140" s="1"/>
      <c r="Z8140" s="1"/>
      <c r="AA8140" s="1"/>
      <c r="AB8140" s="1"/>
    </row>
    <row r="8141" ht="50.25" customHeight="1">
      <c r="A8141" s="12">
        <v>8137.0</v>
      </c>
      <c r="B8141" s="13" t="s">
        <v>7680</v>
      </c>
      <c r="C8141" s="18" t="s">
        <v>8166</v>
      </c>
      <c r="D8141" s="1"/>
      <c r="E8141" s="1"/>
      <c r="F8141" s="1" t="str">
        <f>IFERROR(__xludf.DUMMYFUNCTION("GOOGLETRANSLATE(B8141, ""en"", ""fa"")
"),"درخواست برای معلمان")</f>
        <v>درخواست برای معلمان</v>
      </c>
      <c r="G8141" s="1" t="str">
        <f>IFERROR(__xludf.DUMMYFUNCTION("GOOGLETRANSLATE(C8141, ""en"", ""fa"")
"),"تکنیک هایی را برای ترکیب وظایف عملکردی که به کاربرد دانش و مهارت در سناریوهای زندگی واقعی نیاز دارند، کاوش کنید.")</f>
        <v>تکنیک هایی را برای ترکیب وظایف عملکردی که به کاربرد دانش و مهارت در سناریوهای زندگی واقعی نیاز دارند، کاوش کنید.</v>
      </c>
      <c r="H8141" s="1"/>
      <c r="I8141" s="1"/>
      <c r="J8141" s="1"/>
      <c r="K8141" s="1"/>
      <c r="L8141" s="1"/>
      <c r="M8141" s="1"/>
      <c r="N8141" s="1"/>
      <c r="O8141" s="1"/>
      <c r="P8141" s="1"/>
      <c r="Q8141" s="1"/>
      <c r="R8141" s="1"/>
      <c r="S8141" s="1"/>
      <c r="T8141" s="1"/>
      <c r="U8141" s="1"/>
      <c r="V8141" s="1"/>
      <c r="W8141" s="1"/>
      <c r="X8141" s="1"/>
      <c r="Y8141" s="1"/>
      <c r="Z8141" s="1"/>
      <c r="AA8141" s="1"/>
      <c r="AB8141" s="1"/>
    </row>
    <row r="8142" ht="50.25" customHeight="1">
      <c r="A8142" s="12">
        <v>8138.0</v>
      </c>
      <c r="B8142" s="13" t="s">
        <v>7680</v>
      </c>
      <c r="C8142" s="18" t="s">
        <v>8167</v>
      </c>
      <c r="D8142" s="1"/>
      <c r="E8142" s="1"/>
      <c r="F8142" s="1" t="str">
        <f>IFERROR(__xludf.DUMMYFUNCTION("GOOGLETRANSLATE(B8142, ""en"", ""fa"")
"),"درخواست برای معلمان")</f>
        <v>درخواست برای معلمان</v>
      </c>
      <c r="G8142" s="1" t="str">
        <f>IFERROR(__xludf.DUMMYFUNCTION("GOOGLETRANSLATE(C8142, ""en"", ""fa"")
"),"درباره تأثیر استفاده از سؤالات چند گزینه ای، پاسخ کوتاه و باز در ارزیابی انواع مختلف نتایج یادگیری بحث کنید.")</f>
        <v>درباره تأثیر استفاده از سؤالات چند گزینه ای، پاسخ کوتاه و باز در ارزیابی انواع مختلف نتایج یادگیری بحث کنید.</v>
      </c>
      <c r="H8142" s="1"/>
      <c r="I8142" s="1"/>
      <c r="J8142" s="1"/>
      <c r="K8142" s="1"/>
      <c r="L8142" s="1"/>
      <c r="M8142" s="1"/>
      <c r="N8142" s="1"/>
      <c r="O8142" s="1"/>
      <c r="P8142" s="1"/>
      <c r="Q8142" s="1"/>
      <c r="R8142" s="1"/>
      <c r="S8142" s="1"/>
      <c r="T8142" s="1"/>
      <c r="U8142" s="1"/>
      <c r="V8142" s="1"/>
      <c r="W8142" s="1"/>
      <c r="X8142" s="1"/>
      <c r="Y8142" s="1"/>
      <c r="Z8142" s="1"/>
      <c r="AA8142" s="1"/>
      <c r="AB8142" s="1"/>
    </row>
    <row r="8143" ht="50.25" customHeight="1">
      <c r="A8143" s="12">
        <v>8139.0</v>
      </c>
      <c r="B8143" s="13" t="s">
        <v>7680</v>
      </c>
      <c r="C8143" s="18" t="s">
        <v>8168</v>
      </c>
      <c r="D8143" s="1"/>
      <c r="E8143" s="1"/>
      <c r="F8143" s="1" t="str">
        <f>IFERROR(__xludf.DUMMYFUNCTION("GOOGLETRANSLATE(B8143, ""en"", ""fa"")
"),"درخواست برای معلمان")</f>
        <v>درخواست برای معلمان</v>
      </c>
      <c r="G8143" s="1" t="str">
        <f>IFERROR(__xludf.DUMMYFUNCTION("GOOGLETRANSLATE(C8143, ""en"", ""fa"")
"),"بینش خود را در مورد استراتژی های موثر برای اطمینان از قابلیت اطمینان و سازگاری شیوه های درجه بندی به اشتراک بگذارید.")</f>
        <v>بینش خود را در مورد استراتژی های موثر برای اطمینان از قابلیت اطمینان و سازگاری شیوه های درجه بندی به اشتراک بگذارید.</v>
      </c>
      <c r="H8143" s="1"/>
      <c r="I8143" s="1"/>
      <c r="J8143" s="1"/>
      <c r="K8143" s="1"/>
      <c r="L8143" s="1"/>
      <c r="M8143" s="1"/>
      <c r="N8143" s="1"/>
      <c r="O8143" s="1"/>
      <c r="P8143" s="1"/>
      <c r="Q8143" s="1"/>
      <c r="R8143" s="1"/>
      <c r="S8143" s="1"/>
      <c r="T8143" s="1"/>
      <c r="U8143" s="1"/>
      <c r="V8143" s="1"/>
      <c r="W8143" s="1"/>
      <c r="X8143" s="1"/>
      <c r="Y8143" s="1"/>
      <c r="Z8143" s="1"/>
      <c r="AA8143" s="1"/>
      <c r="AB8143" s="1"/>
    </row>
    <row r="8144" ht="50.25" customHeight="1">
      <c r="A8144" s="12">
        <v>8140.0</v>
      </c>
      <c r="B8144" s="13" t="s">
        <v>7680</v>
      </c>
      <c r="C8144" s="18" t="s">
        <v>8169</v>
      </c>
      <c r="D8144" s="1"/>
      <c r="E8144" s="1"/>
      <c r="F8144" s="1" t="str">
        <f>IFERROR(__xludf.DUMMYFUNCTION("GOOGLETRANSLATE(B8144, ""en"", ""fa"")
"),"درخواست برای معلمان")</f>
        <v>درخواست برای معلمان</v>
      </c>
      <c r="G8144" s="1" t="str">
        <f>IFERROR(__xludf.DUMMYFUNCTION("GOOGLETRANSLATE(C8144, ""en"", ""fa"")
"),"راه‌هایی را برای ترکیب بازتاب دانش‌آموز و راهبردهای فراشناختی در تحلیل پس از ارزیابی کاوش کنید.")</f>
        <v>راه‌هایی را برای ترکیب بازتاب دانش‌آموز و راهبردهای فراشناختی در تحلیل پس از ارزیابی کاوش کنید.</v>
      </c>
      <c r="H8144" s="1"/>
      <c r="I8144" s="1"/>
      <c r="J8144" s="1"/>
      <c r="K8144" s="1"/>
      <c r="L8144" s="1"/>
      <c r="M8144" s="1"/>
      <c r="N8144" s="1"/>
      <c r="O8144" s="1"/>
      <c r="P8144" s="1"/>
      <c r="Q8144" s="1"/>
      <c r="R8144" s="1"/>
      <c r="S8144" s="1"/>
      <c r="T8144" s="1"/>
      <c r="U8144" s="1"/>
      <c r="V8144" s="1"/>
      <c r="W8144" s="1"/>
      <c r="X8144" s="1"/>
      <c r="Y8144" s="1"/>
      <c r="Z8144" s="1"/>
      <c r="AA8144" s="1"/>
      <c r="AB8144" s="1"/>
    </row>
    <row r="8145" ht="50.25" customHeight="1">
      <c r="A8145" s="12">
        <v>8141.0</v>
      </c>
      <c r="B8145" s="13" t="s">
        <v>7680</v>
      </c>
      <c r="C8145" s="18" t="s">
        <v>8170</v>
      </c>
      <c r="D8145" s="1"/>
      <c r="E8145" s="1"/>
      <c r="F8145" s="1" t="str">
        <f>IFERROR(__xludf.DUMMYFUNCTION("GOOGLETRANSLATE(B8145, ""en"", ""fa"")
"),"درخواست برای معلمان")</f>
        <v>درخواست برای معلمان</v>
      </c>
      <c r="G8145" s="1" t="str">
        <f>IFERROR(__xludf.DUMMYFUNCTION("GOOGLETRANSLATE(C8145, ""en"", ""fa"")
"),"درباره اهمیت فراهم کردن فرصت هایی برای دانش آموزان برای تجدید نظر و بهبود کارشان بر اساس بازخورد بحث کنید.")</f>
        <v>درباره اهمیت فراهم کردن فرصت هایی برای دانش آموزان برای تجدید نظر و بهبود کارشان بر اساس بازخورد بحث کنید.</v>
      </c>
      <c r="H8145" s="1"/>
      <c r="I8145" s="1"/>
      <c r="J8145" s="1"/>
      <c r="K8145" s="1"/>
      <c r="L8145" s="1"/>
      <c r="M8145" s="1"/>
      <c r="N8145" s="1"/>
      <c r="O8145" s="1"/>
      <c r="P8145" s="1"/>
      <c r="Q8145" s="1"/>
      <c r="R8145" s="1"/>
      <c r="S8145" s="1"/>
      <c r="T8145" s="1"/>
      <c r="U8145" s="1"/>
      <c r="V8145" s="1"/>
      <c r="W8145" s="1"/>
      <c r="X8145" s="1"/>
      <c r="Y8145" s="1"/>
      <c r="Z8145" s="1"/>
      <c r="AA8145" s="1"/>
      <c r="AB8145" s="1"/>
    </row>
    <row r="8146" ht="50.25" customHeight="1">
      <c r="A8146" s="12">
        <v>8142.0</v>
      </c>
      <c r="B8146" s="13" t="s">
        <v>7680</v>
      </c>
      <c r="C8146" s="18" t="s">
        <v>8171</v>
      </c>
      <c r="D8146" s="1"/>
      <c r="E8146" s="1"/>
      <c r="F8146" s="1" t="str">
        <f>IFERROR(__xludf.DUMMYFUNCTION("GOOGLETRANSLATE(B8146, ""en"", ""fa"")
"),"درخواست برای معلمان")</f>
        <v>درخواست برای معلمان</v>
      </c>
      <c r="G8146" s="1" t="str">
        <f>IFERROR(__xludf.DUMMYFUNCTION("GOOGLETRANSLATE(C8146, ""en"", ""fa"")
"),"تجربیات خود را در مورد استراتژی های موفق برای مشارکت دانش آموزان در تعیین هدف و پیگیری پیشرفت یادگیری خود به اشتراک بگذارید.")</f>
        <v>تجربیات خود را در مورد استراتژی های موفق برای مشارکت دانش آموزان در تعیین هدف و پیگیری پیشرفت یادگیری خود به اشتراک بگذارید.</v>
      </c>
      <c r="H8146" s="1"/>
      <c r="I8146" s="1"/>
      <c r="J8146" s="1"/>
      <c r="K8146" s="1"/>
      <c r="L8146" s="1"/>
      <c r="M8146" s="1"/>
      <c r="N8146" s="1"/>
      <c r="O8146" s="1"/>
      <c r="P8146" s="1"/>
      <c r="Q8146" s="1"/>
      <c r="R8146" s="1"/>
      <c r="S8146" s="1"/>
      <c r="T8146" s="1"/>
      <c r="U8146" s="1"/>
      <c r="V8146" s="1"/>
      <c r="W8146" s="1"/>
      <c r="X8146" s="1"/>
      <c r="Y8146" s="1"/>
      <c r="Z8146" s="1"/>
      <c r="AA8146" s="1"/>
      <c r="AB8146" s="1"/>
    </row>
    <row r="8147" ht="50.25" customHeight="1">
      <c r="A8147" s="12">
        <v>8143.0</v>
      </c>
      <c r="B8147" s="13" t="s">
        <v>7680</v>
      </c>
      <c r="C8147" s="18" t="s">
        <v>8172</v>
      </c>
      <c r="D8147" s="1"/>
      <c r="E8147" s="1"/>
      <c r="F8147" s="1" t="str">
        <f>IFERROR(__xludf.DUMMYFUNCTION("GOOGLETRANSLATE(B8147, ""en"", ""fa"")
"),"درخواست برای معلمان")</f>
        <v>درخواست برای معلمان</v>
      </c>
      <c r="G8147" s="1" t="str">
        <f>IFERROR(__xludf.DUMMYFUNCTION("GOOGLETRANSLATE(C8147, ""en"", ""fa"")
"),"تکنیک‌هایی را برای ارتقای مهارت‌های یادگیری و مطالعه خودتنظیمی از طریق شیوه‌های ارزیابی کاوش کنید.")</f>
        <v>تکنیک‌هایی را برای ارتقای مهارت‌های یادگیری و مطالعه خودتنظیمی از طریق شیوه‌های ارزیابی کاوش کنید.</v>
      </c>
      <c r="H8147" s="1"/>
      <c r="I8147" s="1"/>
      <c r="J8147" s="1"/>
      <c r="K8147" s="1"/>
      <c r="L8147" s="1"/>
      <c r="M8147" s="1"/>
      <c r="N8147" s="1"/>
      <c r="O8147" s="1"/>
      <c r="P8147" s="1"/>
      <c r="Q8147" s="1"/>
      <c r="R8147" s="1"/>
      <c r="S8147" s="1"/>
      <c r="T8147" s="1"/>
      <c r="U8147" s="1"/>
      <c r="V8147" s="1"/>
      <c r="W8147" s="1"/>
      <c r="X8147" s="1"/>
      <c r="Y8147" s="1"/>
      <c r="Z8147" s="1"/>
      <c r="AA8147" s="1"/>
      <c r="AB8147" s="1"/>
    </row>
    <row r="8148" ht="50.25" customHeight="1">
      <c r="A8148" s="12">
        <v>8144.0</v>
      </c>
      <c r="B8148" s="13" t="s">
        <v>7680</v>
      </c>
      <c r="C8148" s="18" t="s">
        <v>8173</v>
      </c>
      <c r="D8148" s="1"/>
      <c r="E8148" s="1"/>
      <c r="F8148" s="1" t="str">
        <f>IFERROR(__xludf.DUMMYFUNCTION("GOOGLETRANSLATE(B8148, ""en"", ""fa"")
"),"درخواست برای معلمان")</f>
        <v>درخواست برای معلمان</v>
      </c>
      <c r="G8148" s="1" t="str">
        <f>IFERROR(__xludf.DUMMYFUNCTION("GOOGLETRANSLATE(C8148, ""en"", ""fa"")
"),"در مورد نقش ارزشیابی های مرجع هنجار و ملاک در ارزیابی عملکرد دانش آموزان بحث کنید.")</f>
        <v>در مورد نقش ارزشیابی های مرجع هنجار و ملاک در ارزیابی عملکرد دانش آموزان بحث کنید.</v>
      </c>
      <c r="H8148" s="1"/>
      <c r="I8148" s="1"/>
      <c r="J8148" s="1"/>
      <c r="K8148" s="1"/>
      <c r="L8148" s="1"/>
      <c r="M8148" s="1"/>
      <c r="N8148" s="1"/>
      <c r="O8148" s="1"/>
      <c r="P8148" s="1"/>
      <c r="Q8148" s="1"/>
      <c r="R8148" s="1"/>
      <c r="S8148" s="1"/>
      <c r="T8148" s="1"/>
      <c r="U8148" s="1"/>
      <c r="V8148" s="1"/>
      <c r="W8148" s="1"/>
      <c r="X8148" s="1"/>
      <c r="Y8148" s="1"/>
      <c r="Z8148" s="1"/>
      <c r="AA8148" s="1"/>
      <c r="AB8148" s="1"/>
    </row>
    <row r="8149" ht="50.25" customHeight="1">
      <c r="A8149" s="12">
        <v>8145.0</v>
      </c>
      <c r="B8149" s="13" t="s">
        <v>7680</v>
      </c>
      <c r="C8149" s="18" t="s">
        <v>8174</v>
      </c>
      <c r="D8149" s="1"/>
      <c r="E8149" s="1"/>
      <c r="F8149" s="1" t="str">
        <f>IFERROR(__xludf.DUMMYFUNCTION("GOOGLETRANSLATE(B8149, ""en"", ""fa"")
"),"درخواست برای معلمان")</f>
        <v>درخواست برای معلمان</v>
      </c>
      <c r="G8149" s="1" t="str">
        <f>IFERROR(__xludf.DUMMYFUNCTION("GOOGLETRANSLATE(C8149, ""en"", ""fa"")
"),"بینش خود را در مورد استراتژی های موثر برای استفاده از روبریک های عملکرد برای ارائه بازخورد خاص و عملی به اشتراک بگذارید.")</f>
        <v>بینش خود را در مورد استراتژی های موثر برای استفاده از روبریک های عملکرد برای ارائه بازخورد خاص و عملی به اشتراک بگذارید.</v>
      </c>
      <c r="H8149" s="1"/>
      <c r="I8149" s="1"/>
      <c r="J8149" s="1"/>
      <c r="K8149" s="1"/>
      <c r="L8149" s="1"/>
      <c r="M8149" s="1"/>
      <c r="N8149" s="1"/>
      <c r="O8149" s="1"/>
      <c r="P8149" s="1"/>
      <c r="Q8149" s="1"/>
      <c r="R8149" s="1"/>
      <c r="S8149" s="1"/>
      <c r="T8149" s="1"/>
      <c r="U8149" s="1"/>
      <c r="V8149" s="1"/>
      <c r="W8149" s="1"/>
      <c r="X8149" s="1"/>
      <c r="Y8149" s="1"/>
      <c r="Z8149" s="1"/>
      <c r="AA8149" s="1"/>
      <c r="AB8149" s="1"/>
    </row>
    <row r="8150" ht="50.25" customHeight="1">
      <c r="A8150" s="12">
        <v>8146.0</v>
      </c>
      <c r="B8150" s="13" t="s">
        <v>7680</v>
      </c>
      <c r="C8150" s="18" t="s">
        <v>8175</v>
      </c>
      <c r="D8150" s="1"/>
      <c r="E8150" s="1"/>
      <c r="F8150" s="1" t="str">
        <f>IFERROR(__xludf.DUMMYFUNCTION("GOOGLETRANSLATE(B8150, ""en"", ""fa"")
"),"درخواست برای معلمان")</f>
        <v>درخواست برای معلمان</v>
      </c>
      <c r="G8150" s="1" t="str">
        <f>IFERROR(__xludf.DUMMYFUNCTION("GOOGLETRANSLATE(C8150, ""en"", ""fa"")
"),"راه‌هایی را برای ترکیب ارزیابی‌های فناوری پیشرفته، مانند شبیه‌سازی‌های آنلاین یا آزمون‌های تعاملی کاوش کنید.")</f>
        <v>راه‌هایی را برای ترکیب ارزیابی‌های فناوری پیشرفته، مانند شبیه‌سازی‌های آنلاین یا آزمون‌های تعاملی کاوش کنید.</v>
      </c>
      <c r="H8150" s="1"/>
      <c r="I8150" s="1"/>
      <c r="J8150" s="1"/>
      <c r="K8150" s="1"/>
      <c r="L8150" s="1"/>
      <c r="M8150" s="1"/>
      <c r="N8150" s="1"/>
      <c r="O8150" s="1"/>
      <c r="P8150" s="1"/>
      <c r="Q8150" s="1"/>
      <c r="R8150" s="1"/>
      <c r="S8150" s="1"/>
      <c r="T8150" s="1"/>
      <c r="U8150" s="1"/>
      <c r="V8150" s="1"/>
      <c r="W8150" s="1"/>
      <c r="X8150" s="1"/>
      <c r="Y8150" s="1"/>
      <c r="Z8150" s="1"/>
      <c r="AA8150" s="1"/>
      <c r="AB8150" s="1"/>
    </row>
    <row r="8151" ht="50.25" customHeight="1">
      <c r="A8151" s="12">
        <v>8147.0</v>
      </c>
      <c r="B8151" s="13" t="s">
        <v>7680</v>
      </c>
      <c r="C8151" s="18" t="s">
        <v>8176</v>
      </c>
      <c r="D8151" s="1"/>
      <c r="E8151" s="1"/>
      <c r="F8151" s="1" t="str">
        <f>IFERROR(__xludf.DUMMYFUNCTION("GOOGLETRANSLATE(B8151, ""en"", ""fa"")
"),"درخواست برای معلمان")</f>
        <v>درخواست برای معلمان</v>
      </c>
      <c r="G8151" s="1" t="str">
        <f>IFERROR(__xludf.DUMMYFUNCTION("GOOGLETRANSLATE(C8151, ""en"", ""fa"")
"),"در مورد تأثیر استفاده از ابزارهای تجسم داده برای تجزیه و تحلیل و ارائه داده های ارزیابی برای تصمیم گیری آموزشی بحث کنید.")</f>
        <v>در مورد تأثیر استفاده از ابزارهای تجسم داده برای تجزیه و تحلیل و ارائه داده های ارزیابی برای تصمیم گیری آموزشی بحث کنید.</v>
      </c>
      <c r="H8151" s="1"/>
      <c r="I8151" s="1"/>
      <c r="J8151" s="1"/>
      <c r="K8151" s="1"/>
      <c r="L8151" s="1"/>
      <c r="M8151" s="1"/>
      <c r="N8151" s="1"/>
      <c r="O8151" s="1"/>
      <c r="P8151" s="1"/>
      <c r="Q8151" s="1"/>
      <c r="R8151" s="1"/>
      <c r="S8151" s="1"/>
      <c r="T8151" s="1"/>
      <c r="U8151" s="1"/>
      <c r="V8151" s="1"/>
      <c r="W8151" s="1"/>
      <c r="X8151" s="1"/>
      <c r="Y8151" s="1"/>
      <c r="Z8151" s="1"/>
      <c r="AA8151" s="1"/>
      <c r="AB8151" s="1"/>
    </row>
    <row r="8152" ht="50.25" customHeight="1">
      <c r="A8152" s="12">
        <v>8148.0</v>
      </c>
      <c r="B8152" s="13" t="s">
        <v>7680</v>
      </c>
      <c r="C8152" s="18" t="s">
        <v>8177</v>
      </c>
      <c r="D8152" s="1"/>
      <c r="E8152" s="1"/>
      <c r="F8152" s="1" t="str">
        <f>IFERROR(__xludf.DUMMYFUNCTION("GOOGLETRANSLATE(B8152, ""en"", ""fa"")
"),"درخواست برای معلمان")</f>
        <v>درخواست برای معلمان</v>
      </c>
      <c r="G8152" s="1" t="str">
        <f>IFERROR(__xludf.DUMMYFUNCTION("GOOGLETRANSLATE(C8152, ""en"", ""fa"")
"),"تجربیات خود را در مورد استراتژی های موفق برای مدیریت زمان و تدارکات در طول ارزیابی های بزرگ به اشتراک بگذارید.")</f>
        <v>تجربیات خود را در مورد استراتژی های موفق برای مدیریت زمان و تدارکات در طول ارزیابی های بزرگ به اشتراک بگذارید.</v>
      </c>
      <c r="H8152" s="1"/>
      <c r="I8152" s="1"/>
      <c r="J8152" s="1"/>
      <c r="K8152" s="1"/>
      <c r="L8152" s="1"/>
      <c r="M8152" s="1"/>
      <c r="N8152" s="1"/>
      <c r="O8152" s="1"/>
      <c r="P8152" s="1"/>
      <c r="Q8152" s="1"/>
      <c r="R8152" s="1"/>
      <c r="S8152" s="1"/>
      <c r="T8152" s="1"/>
      <c r="U8152" s="1"/>
      <c r="V8152" s="1"/>
      <c r="W8152" s="1"/>
      <c r="X8152" s="1"/>
      <c r="Y8152" s="1"/>
      <c r="Z8152" s="1"/>
      <c r="AA8152" s="1"/>
      <c r="AB8152" s="1"/>
    </row>
    <row r="8153" ht="50.25" customHeight="1">
      <c r="A8153" s="12">
        <v>8149.0</v>
      </c>
      <c r="B8153" s="13" t="s">
        <v>7680</v>
      </c>
      <c r="C8153" s="18" t="s">
        <v>8178</v>
      </c>
      <c r="D8153" s="1"/>
      <c r="E8153" s="1"/>
      <c r="F8153" s="1" t="str">
        <f>IFERROR(__xludf.DUMMYFUNCTION("GOOGLETRANSLATE(B8153, ""en"", ""fa"")
"),"درخواست برای معلمان")</f>
        <v>درخواست برای معلمان</v>
      </c>
      <c r="G8153" s="1" t="str">
        <f>IFERROR(__xludf.DUMMYFUNCTION("GOOGLETRANSLATE(C8153, ""en"", ""fa"")
"),"تکنیک‌هایی را برای گنجاندن تأمل و خودارزیابی دانش‌آموز در فرآیند ارزیابی کاوش کنید.")</f>
        <v>تکنیک‌هایی را برای گنجاندن تأمل و خودارزیابی دانش‌آموز در فرآیند ارزیابی کاوش کنید.</v>
      </c>
      <c r="H8153" s="1"/>
      <c r="I8153" s="1"/>
      <c r="J8153" s="1"/>
      <c r="K8153" s="1"/>
      <c r="L8153" s="1"/>
      <c r="M8153" s="1"/>
      <c r="N8153" s="1"/>
      <c r="O8153" s="1"/>
      <c r="P8153" s="1"/>
      <c r="Q8153" s="1"/>
      <c r="R8153" s="1"/>
      <c r="S8153" s="1"/>
      <c r="T8153" s="1"/>
      <c r="U8153" s="1"/>
      <c r="V8153" s="1"/>
      <c r="W8153" s="1"/>
      <c r="X8153" s="1"/>
      <c r="Y8153" s="1"/>
      <c r="Z8153" s="1"/>
      <c r="AA8153" s="1"/>
      <c r="AB8153" s="1"/>
    </row>
    <row r="8154" ht="50.25" customHeight="1">
      <c r="A8154" s="12">
        <v>8150.0</v>
      </c>
      <c r="B8154" s="13" t="s">
        <v>7680</v>
      </c>
      <c r="C8154" s="18" t="s">
        <v>8179</v>
      </c>
      <c r="D8154" s="1"/>
      <c r="E8154" s="1"/>
      <c r="F8154" s="1" t="str">
        <f>IFERROR(__xludf.DUMMYFUNCTION("GOOGLETRANSLATE(B8154, ""en"", ""fa"")
"),"درخواست برای معلمان")</f>
        <v>درخواست برای معلمان</v>
      </c>
      <c r="G8154" s="1" t="str">
        <f>IFERROR(__xludf.DUMMYFUNCTION("GOOGLETRANSLATE(C8154, ""en"", ""fa"")
"),"در مورد اهمیت استفاده از زمینه های معتبر و معنادار در ارزیابی مهارت های قرن بیست و یکم بحث کنید.")</f>
        <v>در مورد اهمیت استفاده از زمینه های معتبر و معنادار در ارزیابی مهارت های قرن بیست و یکم بحث کنید.</v>
      </c>
      <c r="H8154" s="1"/>
      <c r="I8154" s="1"/>
      <c r="J8154" s="1"/>
      <c r="K8154" s="1"/>
      <c r="L8154" s="1"/>
      <c r="M8154" s="1"/>
      <c r="N8154" s="1"/>
      <c r="O8154" s="1"/>
      <c r="P8154" s="1"/>
      <c r="Q8154" s="1"/>
      <c r="R8154" s="1"/>
      <c r="S8154" s="1"/>
      <c r="T8154" s="1"/>
      <c r="U8154" s="1"/>
      <c r="V8154" s="1"/>
      <c r="W8154" s="1"/>
      <c r="X8154" s="1"/>
      <c r="Y8154" s="1"/>
      <c r="Z8154" s="1"/>
      <c r="AA8154" s="1"/>
      <c r="AB8154" s="1"/>
    </row>
    <row r="8155" ht="50.25" customHeight="1">
      <c r="A8155" s="12">
        <v>8151.0</v>
      </c>
      <c r="B8155" s="13" t="s">
        <v>7680</v>
      </c>
      <c r="C8155" s="18" t="s">
        <v>8180</v>
      </c>
      <c r="D8155" s="1"/>
      <c r="E8155" s="1"/>
      <c r="F8155" s="1" t="str">
        <f>IFERROR(__xludf.DUMMYFUNCTION("GOOGLETRANSLATE(B8155, ""en"", ""fa"")
"),"درخواست برای معلمان")</f>
        <v>درخواست برای معلمان</v>
      </c>
      <c r="G8155" s="1" t="str">
        <f>IFERROR(__xludf.DUMMYFUNCTION("GOOGLETRANSLATE(C8155, ""en"", ""fa"")
"),"بینش خود را در مورد استراتژی های موثر برای ارتقای سواد ارزیابی در بین دانش آموزان، والدین و همکاران به اشتراک بگذارید.")</f>
        <v>بینش خود را در مورد استراتژی های موثر برای ارتقای سواد ارزیابی در بین دانش آموزان، والدین و همکاران به اشتراک بگذارید.</v>
      </c>
      <c r="H8155" s="1"/>
      <c r="I8155" s="1"/>
      <c r="J8155" s="1"/>
      <c r="K8155" s="1"/>
      <c r="L8155" s="1"/>
      <c r="M8155" s="1"/>
      <c r="N8155" s="1"/>
      <c r="O8155" s="1"/>
      <c r="P8155" s="1"/>
      <c r="Q8155" s="1"/>
      <c r="R8155" s="1"/>
      <c r="S8155" s="1"/>
      <c r="T8155" s="1"/>
      <c r="U8155" s="1"/>
      <c r="V8155" s="1"/>
      <c r="W8155" s="1"/>
      <c r="X8155" s="1"/>
      <c r="Y8155" s="1"/>
      <c r="Z8155" s="1"/>
      <c r="AA8155" s="1"/>
      <c r="AB8155" s="1"/>
    </row>
    <row r="8156" ht="50.25" customHeight="1">
      <c r="A8156" s="12">
        <v>8152.0</v>
      </c>
      <c r="B8156" s="13" t="s">
        <v>7680</v>
      </c>
      <c r="C8156" s="18" t="s">
        <v>8181</v>
      </c>
      <c r="D8156" s="1"/>
      <c r="E8156" s="1"/>
      <c r="F8156" s="1" t="str">
        <f>IFERROR(__xludf.DUMMYFUNCTION("GOOGLETRANSLATE(B8156, ""en"", ""fa"")
"),"درخواست برای معلمان")</f>
        <v>درخواست برای معلمان</v>
      </c>
      <c r="G8156" s="1" t="str">
        <f>IFERROR(__xludf.DUMMYFUNCTION("GOOGLETRANSLATE(C8156, ""en"", ""fa"")
"),"راه‌هایی را برای گنجاندن بازخورد و خودارزیابی همتایان به عنوان بخشی از چرخه ارزیابی بررسی کنید.")</f>
        <v>راه‌هایی را برای گنجاندن بازخورد و خودارزیابی همتایان به عنوان بخشی از چرخه ارزیابی بررسی کنید.</v>
      </c>
      <c r="H8156" s="1"/>
      <c r="I8156" s="1"/>
      <c r="J8156" s="1"/>
      <c r="K8156" s="1"/>
      <c r="L8156" s="1"/>
      <c r="M8156" s="1"/>
      <c r="N8156" s="1"/>
      <c r="O8156" s="1"/>
      <c r="P8156" s="1"/>
      <c r="Q8156" s="1"/>
      <c r="R8156" s="1"/>
      <c r="S8156" s="1"/>
      <c r="T8156" s="1"/>
      <c r="U8156" s="1"/>
      <c r="V8156" s="1"/>
      <c r="W8156" s="1"/>
      <c r="X8156" s="1"/>
      <c r="Y8156" s="1"/>
      <c r="Z8156" s="1"/>
      <c r="AA8156" s="1"/>
      <c r="AB8156" s="1"/>
    </row>
    <row r="8157" ht="50.25" customHeight="1">
      <c r="A8157" s="12">
        <v>8153.0</v>
      </c>
      <c r="B8157" s="13" t="s">
        <v>7680</v>
      </c>
      <c r="C8157" s="18" t="s">
        <v>8182</v>
      </c>
      <c r="D8157" s="1"/>
      <c r="E8157" s="1"/>
      <c r="F8157" s="1" t="str">
        <f>IFERROR(__xludf.DUMMYFUNCTION("GOOGLETRANSLATE(B8157, ""en"", ""fa"")
"),"درخواست برای معلمان")</f>
        <v>درخواست برای معلمان</v>
      </c>
      <c r="G8157" s="1" t="str">
        <f>IFERROR(__xludf.DUMMYFUNCTION("GOOGLETRANSLATE(C8157, ""en"", ""fa"")
"),"در مورد نقش خودارزیابی و هدف گذاری در پرورش مالکیت دانش آموز بر یادگیری و رشد فراشناختی بحث کنید.")</f>
        <v>در مورد نقش خودارزیابی و هدف گذاری در پرورش مالکیت دانش آموز بر یادگیری و رشد فراشناختی بحث کنید.</v>
      </c>
      <c r="H8157" s="1"/>
      <c r="I8157" s="1"/>
      <c r="J8157" s="1"/>
      <c r="K8157" s="1"/>
      <c r="L8157" s="1"/>
      <c r="M8157" s="1"/>
      <c r="N8157" s="1"/>
      <c r="O8157" s="1"/>
      <c r="P8157" s="1"/>
      <c r="Q8157" s="1"/>
      <c r="R8157" s="1"/>
      <c r="S8157" s="1"/>
      <c r="T8157" s="1"/>
      <c r="U8157" s="1"/>
      <c r="V8157" s="1"/>
      <c r="W8157" s="1"/>
      <c r="X8157" s="1"/>
      <c r="Y8157" s="1"/>
      <c r="Z8157" s="1"/>
      <c r="AA8157" s="1"/>
      <c r="AB8157" s="1"/>
    </row>
    <row r="8158" ht="50.25" customHeight="1">
      <c r="A8158" s="12">
        <v>8154.0</v>
      </c>
      <c r="B8158" s="13" t="s">
        <v>7680</v>
      </c>
      <c r="C8158" s="18" t="s">
        <v>8183</v>
      </c>
      <c r="D8158" s="1"/>
      <c r="E8158" s="1"/>
      <c r="F8158" s="1" t="str">
        <f>IFERROR(__xludf.DUMMYFUNCTION("GOOGLETRANSLATE(B8158, ""en"", ""fa"")
"),"درخواست برای معلمان")</f>
        <v>درخواست برای معلمان</v>
      </c>
      <c r="G8158" s="1" t="str">
        <f>IFERROR(__xludf.DUMMYFUNCTION("GOOGLETRANSLATE(C8158, ""en"", ""fa"")
"),"تجربیات خود را در مورد استراتژی های موفق برای ارائه ارزیابی های متمایز برای دانش آموزان با نیازها و توانایی های متنوع به اشتراک بگذارید.")</f>
        <v>تجربیات خود را در مورد استراتژی های موفق برای ارائه ارزیابی های متمایز برای دانش آموزان با نیازها و توانایی های متنوع به اشتراک بگذارید.</v>
      </c>
      <c r="H8158" s="1"/>
      <c r="I8158" s="1"/>
      <c r="J8158" s="1"/>
      <c r="K8158" s="1"/>
      <c r="L8158" s="1"/>
      <c r="M8158" s="1"/>
      <c r="N8158" s="1"/>
      <c r="O8158" s="1"/>
      <c r="P8158" s="1"/>
      <c r="Q8158" s="1"/>
      <c r="R8158" s="1"/>
      <c r="S8158" s="1"/>
      <c r="T8158" s="1"/>
      <c r="U8158" s="1"/>
      <c r="V8158" s="1"/>
      <c r="W8158" s="1"/>
      <c r="X8158" s="1"/>
      <c r="Y8158" s="1"/>
      <c r="Z8158" s="1"/>
      <c r="AA8158" s="1"/>
      <c r="AB8158" s="1"/>
    </row>
    <row r="8159" ht="50.25" customHeight="1">
      <c r="A8159" s="12">
        <v>8155.0</v>
      </c>
      <c r="B8159" s="13" t="s">
        <v>7680</v>
      </c>
      <c r="C8159" s="18" t="s">
        <v>8184</v>
      </c>
      <c r="D8159" s="1"/>
      <c r="E8159" s="1"/>
      <c r="F8159" s="1" t="str">
        <f>IFERROR(__xludf.DUMMYFUNCTION("GOOGLETRANSLATE(B8159, ""en"", ""fa"")
"),"درخواست برای معلمان")</f>
        <v>درخواست برای معلمان</v>
      </c>
      <c r="G8159" s="1" t="str">
        <f>IFERROR(__xludf.DUMMYFUNCTION("GOOGLETRANSLATE(C8159, ""en"", ""fa"")
"),"تکنیک‌هایی را برای ترکیب ارزیابی‌های مبتنی بر عملکرد که به خلاقیت و بیان شخصی اجازه می‌دهد، کاوش کنید.")</f>
        <v>تکنیک‌هایی را برای ترکیب ارزیابی‌های مبتنی بر عملکرد که به خلاقیت و بیان شخصی اجازه می‌دهد، کاوش کنید.</v>
      </c>
      <c r="H8159" s="1"/>
      <c r="I8159" s="1"/>
      <c r="J8159" s="1"/>
      <c r="K8159" s="1"/>
      <c r="L8159" s="1"/>
      <c r="M8159" s="1"/>
      <c r="N8159" s="1"/>
      <c r="O8159" s="1"/>
      <c r="P8159" s="1"/>
      <c r="Q8159" s="1"/>
      <c r="R8159" s="1"/>
      <c r="S8159" s="1"/>
      <c r="T8159" s="1"/>
      <c r="U8159" s="1"/>
      <c r="V8159" s="1"/>
      <c r="W8159" s="1"/>
      <c r="X8159" s="1"/>
      <c r="Y8159" s="1"/>
      <c r="Z8159" s="1"/>
      <c r="AA8159" s="1"/>
      <c r="AB8159" s="1"/>
    </row>
    <row r="8160" ht="50.25" customHeight="1">
      <c r="A8160" s="12">
        <v>8156.0</v>
      </c>
      <c r="B8160" s="13" t="s">
        <v>7680</v>
      </c>
      <c r="C8160" s="18" t="s">
        <v>8185</v>
      </c>
      <c r="D8160" s="1"/>
      <c r="E8160" s="1"/>
      <c r="F8160" s="1" t="str">
        <f>IFERROR(__xludf.DUMMYFUNCTION("GOOGLETRANSLATE(B8160, ""en"", ""fa"")
"),"درخواست برای معلمان")</f>
        <v>درخواست برای معلمان</v>
      </c>
      <c r="G8160" s="1" t="str">
        <f>IFERROR(__xludf.DUMMYFUNCTION("GOOGLETRANSLATE(C8160, ""en"", ""fa"")
"),"درباره تأثیر استفاده از نمونه کارها یا ویترین های دیجیتال برای مستندسازی و نمایش یادگیری دانش آموزان بحث کنید.")</f>
        <v>درباره تأثیر استفاده از نمونه کارها یا ویترین های دیجیتال برای مستندسازی و نمایش یادگیری دانش آموزان بحث کنید.</v>
      </c>
      <c r="H8160" s="1"/>
      <c r="I8160" s="1"/>
      <c r="J8160" s="1"/>
      <c r="K8160" s="1"/>
      <c r="L8160" s="1"/>
      <c r="M8160" s="1"/>
      <c r="N8160" s="1"/>
      <c r="O8160" s="1"/>
      <c r="P8160" s="1"/>
      <c r="Q8160" s="1"/>
      <c r="R8160" s="1"/>
      <c r="S8160" s="1"/>
      <c r="T8160" s="1"/>
      <c r="U8160" s="1"/>
      <c r="V8160" s="1"/>
      <c r="W8160" s="1"/>
      <c r="X8160" s="1"/>
      <c r="Y8160" s="1"/>
      <c r="Z8160" s="1"/>
      <c r="AA8160" s="1"/>
      <c r="AB8160" s="1"/>
    </row>
    <row r="8161" ht="50.25" customHeight="1">
      <c r="A8161" s="12">
        <v>8157.0</v>
      </c>
      <c r="B8161" s="13" t="s">
        <v>7680</v>
      </c>
      <c r="C8161" s="18" t="s">
        <v>8186</v>
      </c>
      <c r="D8161" s="1"/>
      <c r="E8161" s="1"/>
      <c r="F8161" s="1" t="str">
        <f>IFERROR(__xludf.DUMMYFUNCTION("GOOGLETRANSLATE(B8161, ""en"", ""fa"")
"),"درخواست برای معلمان")</f>
        <v>درخواست برای معلمان</v>
      </c>
      <c r="G8161" s="1" t="str">
        <f>IFERROR(__xludf.DUMMYFUNCTION("GOOGLETRANSLATE(C8161, ""en"", ""fa"")
"),"بینش خود را در مورد استراتژی های موثر برای ارائه بازخورد به موقع و خاص که از رشد دانش آموزان حمایت می کند، به اشتراک بگذارید.")</f>
        <v>بینش خود را در مورد استراتژی های موثر برای ارائه بازخورد به موقع و خاص که از رشد دانش آموزان حمایت می کند، به اشتراک بگذارید.</v>
      </c>
      <c r="H8161" s="1"/>
      <c r="I8161" s="1"/>
      <c r="J8161" s="1"/>
      <c r="K8161" s="1"/>
      <c r="L8161" s="1"/>
      <c r="M8161" s="1"/>
      <c r="N8161" s="1"/>
      <c r="O8161" s="1"/>
      <c r="P8161" s="1"/>
      <c r="Q8161" s="1"/>
      <c r="R8161" s="1"/>
      <c r="S8161" s="1"/>
      <c r="T8161" s="1"/>
      <c r="U8161" s="1"/>
      <c r="V8161" s="1"/>
      <c r="W8161" s="1"/>
      <c r="X8161" s="1"/>
      <c r="Y8161" s="1"/>
      <c r="Z8161" s="1"/>
      <c r="AA8161" s="1"/>
      <c r="AB8161" s="1"/>
    </row>
    <row r="8162" ht="50.25" customHeight="1">
      <c r="A8162" s="12">
        <v>8158.0</v>
      </c>
      <c r="B8162" s="13" t="s">
        <v>7680</v>
      </c>
      <c r="C8162" s="18" t="s">
        <v>8187</v>
      </c>
      <c r="D8162" s="1"/>
      <c r="E8162" s="1"/>
      <c r="F8162" s="1" t="str">
        <f>IFERROR(__xludf.DUMMYFUNCTION("GOOGLETRANSLATE(B8162, ""en"", ""fa"")
"),"درخواست برای معلمان")</f>
        <v>درخواست برای معلمان</v>
      </c>
      <c r="G8162" s="1" t="str">
        <f>IFERROR(__xludf.DUMMYFUNCTION("GOOGLETRANSLATE(C8162, ""en"", ""fa"")
"),"راه‌هایی را برای ترکیب کنفرانس‌ها یا ارائه‌های دانش‌آموزی به‌عنوان ابزاری برای ارزیابی و تأمل کاوش کنید.")</f>
        <v>راه‌هایی را برای ترکیب کنفرانس‌ها یا ارائه‌های دانش‌آموزی به‌عنوان ابزاری برای ارزیابی و تأمل کاوش کنید.</v>
      </c>
      <c r="H8162" s="1"/>
      <c r="I8162" s="1"/>
      <c r="J8162" s="1"/>
      <c r="K8162" s="1"/>
      <c r="L8162" s="1"/>
      <c r="M8162" s="1"/>
      <c r="N8162" s="1"/>
      <c r="O8162" s="1"/>
      <c r="P8162" s="1"/>
      <c r="Q8162" s="1"/>
      <c r="R8162" s="1"/>
      <c r="S8162" s="1"/>
      <c r="T8162" s="1"/>
      <c r="U8162" s="1"/>
      <c r="V8162" s="1"/>
      <c r="W8162" s="1"/>
      <c r="X8162" s="1"/>
      <c r="Y8162" s="1"/>
      <c r="Z8162" s="1"/>
      <c r="AA8162" s="1"/>
      <c r="AB8162" s="1"/>
    </row>
    <row r="8163" ht="50.25" customHeight="1">
      <c r="A8163" s="12">
        <v>8159.0</v>
      </c>
      <c r="B8163" s="13" t="s">
        <v>7680</v>
      </c>
      <c r="C8163" s="18" t="s">
        <v>8188</v>
      </c>
      <c r="D8163" s="1"/>
      <c r="E8163" s="1"/>
      <c r="F8163" s="1" t="str">
        <f>IFERROR(__xludf.DUMMYFUNCTION("GOOGLETRANSLATE(B8163, ""en"", ""fa"")
"),"درخواست برای معلمان")</f>
        <v>درخواست برای معلمان</v>
      </c>
      <c r="G8163" s="1" t="str">
        <f>IFERROR(__xludf.DUMMYFUNCTION("GOOGLETRANSLATE(C8163, ""en"", ""fa"")
"),"در مورد اهمیت استفاده از داده های ارزیابی کمی و کیفی برای به دست آوردن درک کل نگر از یادگیری دانش آموزان بحث کنید.")</f>
        <v>در مورد اهمیت استفاده از داده های ارزیابی کمی و کیفی برای به دست آوردن درک کل نگر از یادگیری دانش آموزان بحث کنید.</v>
      </c>
      <c r="H8163" s="1"/>
      <c r="I8163" s="1"/>
      <c r="J8163" s="1"/>
      <c r="K8163" s="1"/>
      <c r="L8163" s="1"/>
      <c r="M8163" s="1"/>
      <c r="N8163" s="1"/>
      <c r="O8163" s="1"/>
      <c r="P8163" s="1"/>
      <c r="Q8163" s="1"/>
      <c r="R8163" s="1"/>
      <c r="S8163" s="1"/>
      <c r="T8163" s="1"/>
      <c r="U8163" s="1"/>
      <c r="V8163" s="1"/>
      <c r="W8163" s="1"/>
      <c r="X8163" s="1"/>
      <c r="Y8163" s="1"/>
      <c r="Z8163" s="1"/>
      <c r="AA8163" s="1"/>
      <c r="AB8163" s="1"/>
    </row>
    <row r="8164" ht="50.25" customHeight="1">
      <c r="A8164" s="12">
        <v>8160.0</v>
      </c>
      <c r="B8164" s="13" t="s">
        <v>7680</v>
      </c>
      <c r="C8164" s="18" t="s">
        <v>8189</v>
      </c>
      <c r="D8164" s="1"/>
      <c r="E8164" s="1"/>
      <c r="F8164" s="1" t="str">
        <f>IFERROR(__xludf.DUMMYFUNCTION("GOOGLETRANSLATE(B8164, ""en"", ""fa"")
"),"درخواست برای معلمان")</f>
        <v>درخواست برای معلمان</v>
      </c>
      <c r="G8164" s="1" t="str">
        <f>IFERROR(__xludf.DUMMYFUNCTION("GOOGLETRANSLATE(C8164, ""en"", ""fa"")
"),"تجربیات خود را در مورد استراتژی های موفق برای مشارکت دادن دانش آموزان در تعیین معیارها و استانداردهای ارزیابی به اشتراک بگذارید.")</f>
        <v>تجربیات خود را در مورد استراتژی های موفق برای مشارکت دادن دانش آموزان در تعیین معیارها و استانداردهای ارزیابی به اشتراک بگذارید.</v>
      </c>
      <c r="H8164" s="1"/>
      <c r="I8164" s="1"/>
      <c r="J8164" s="1"/>
      <c r="K8164" s="1"/>
      <c r="L8164" s="1"/>
      <c r="M8164" s="1"/>
      <c r="N8164" s="1"/>
      <c r="O8164" s="1"/>
      <c r="P8164" s="1"/>
      <c r="Q8164" s="1"/>
      <c r="R8164" s="1"/>
      <c r="S8164" s="1"/>
      <c r="T8164" s="1"/>
      <c r="U8164" s="1"/>
      <c r="V8164" s="1"/>
      <c r="W8164" s="1"/>
      <c r="X8164" s="1"/>
      <c r="Y8164" s="1"/>
      <c r="Z8164" s="1"/>
      <c r="AA8164" s="1"/>
      <c r="AB8164" s="1"/>
    </row>
    <row r="8165" ht="50.25" customHeight="1">
      <c r="A8165" s="12">
        <v>8161.0</v>
      </c>
      <c r="B8165" s="13" t="s">
        <v>7680</v>
      </c>
      <c r="C8165" s="18" t="s">
        <v>8190</v>
      </c>
      <c r="D8165" s="1"/>
      <c r="E8165" s="1"/>
      <c r="F8165" s="1" t="str">
        <f>IFERROR(__xludf.DUMMYFUNCTION("GOOGLETRANSLATE(B8165, ""en"", ""fa"")
"),"درخواست برای معلمان")</f>
        <v>درخواست برای معلمان</v>
      </c>
      <c r="G8165" s="1" t="str">
        <f>IFERROR(__xludf.DUMMYFUNCTION("GOOGLETRANSLATE(C8165, ""en"", ""fa"")
"),"تکنیک‌هایی را برای ارتقای خودارزیابی و تأمل از طریق استفاده از مجلات آموزشی یا درخواست‌های بازتابی بررسی کنید.")</f>
        <v>تکنیک‌هایی را برای ارتقای خودارزیابی و تأمل از طریق استفاده از مجلات آموزشی یا درخواست‌های بازتابی بررسی کنید.</v>
      </c>
      <c r="H8165" s="1"/>
      <c r="I8165" s="1"/>
      <c r="J8165" s="1"/>
      <c r="K8165" s="1"/>
      <c r="L8165" s="1"/>
      <c r="M8165" s="1"/>
      <c r="N8165" s="1"/>
      <c r="O8165" s="1"/>
      <c r="P8165" s="1"/>
      <c r="Q8165" s="1"/>
      <c r="R8165" s="1"/>
      <c r="S8165" s="1"/>
      <c r="T8165" s="1"/>
      <c r="U8165" s="1"/>
      <c r="V8165" s="1"/>
      <c r="W8165" s="1"/>
      <c r="X8165" s="1"/>
      <c r="Y8165" s="1"/>
      <c r="Z8165" s="1"/>
      <c r="AA8165" s="1"/>
      <c r="AB8165" s="1"/>
    </row>
    <row r="8166" ht="50.25" customHeight="1">
      <c r="A8166" s="12">
        <v>8162.0</v>
      </c>
      <c r="B8166" s="13" t="s">
        <v>7680</v>
      </c>
      <c r="C8166" s="18" t="s">
        <v>8191</v>
      </c>
      <c r="D8166" s="1"/>
      <c r="E8166" s="1"/>
      <c r="F8166" s="1" t="str">
        <f>IFERROR(__xludf.DUMMYFUNCTION("GOOGLETRANSLATE(B8166, ""en"", ""fa"")
"),"درخواست برای معلمان")</f>
        <v>درخواست برای معلمان</v>
      </c>
      <c r="G8166" s="1" t="str">
        <f>IFERROR(__xludf.DUMMYFUNCTION("GOOGLETRANSLATE(C8166, ""en"", ""fa"")
"),"در مورد نقش بازخورد مداوم و مکرر در حمایت از یادگیری و پیشرفت دانش آموزان بحث کنید.")</f>
        <v>در مورد نقش بازخورد مداوم و مکرر در حمایت از یادگیری و پیشرفت دانش آموزان بحث کنید.</v>
      </c>
      <c r="H8166" s="1"/>
      <c r="I8166" s="1"/>
      <c r="J8166" s="1"/>
      <c r="K8166" s="1"/>
      <c r="L8166" s="1"/>
      <c r="M8166" s="1"/>
      <c r="N8166" s="1"/>
      <c r="O8166" s="1"/>
      <c r="P8166" s="1"/>
      <c r="Q8166" s="1"/>
      <c r="R8166" s="1"/>
      <c r="S8166" s="1"/>
      <c r="T8166" s="1"/>
      <c r="U8166" s="1"/>
      <c r="V8166" s="1"/>
      <c r="W8166" s="1"/>
      <c r="X8166" s="1"/>
      <c r="Y8166" s="1"/>
      <c r="Z8166" s="1"/>
      <c r="AA8166" s="1"/>
      <c r="AB8166" s="1"/>
    </row>
    <row r="8167" ht="50.25" customHeight="1">
      <c r="A8167" s="12">
        <v>8163.0</v>
      </c>
      <c r="B8167" s="13" t="s">
        <v>7680</v>
      </c>
      <c r="C8167" s="18" t="s">
        <v>8192</v>
      </c>
      <c r="D8167" s="1"/>
      <c r="E8167" s="1"/>
      <c r="F8167" s="1" t="str">
        <f>IFERROR(__xludf.DUMMYFUNCTION("GOOGLETRANSLATE(B8167, ""en"", ""fa"")
"),"درخواست برای معلمان")</f>
        <v>درخواست برای معلمان</v>
      </c>
      <c r="G8167" s="1" t="str">
        <f>IFERROR(__xludf.DUMMYFUNCTION("GOOGLETRANSLATE(C8167, ""en"", ""fa"")
"),"بینش خود را در مورد استراتژی های موثر برای مشارکت دادن دانش آموزان در فرآیند ارزیابی از طریق بازخورد همسالان و خودارزیابی به اشتراک بگذارید.")</f>
        <v>بینش خود را در مورد استراتژی های موثر برای مشارکت دادن دانش آموزان در فرآیند ارزیابی از طریق بازخورد همسالان و خودارزیابی به اشتراک بگذارید.</v>
      </c>
      <c r="H8167" s="1"/>
      <c r="I8167" s="1"/>
      <c r="J8167" s="1"/>
      <c r="K8167" s="1"/>
      <c r="L8167" s="1"/>
      <c r="M8167" s="1"/>
      <c r="N8167" s="1"/>
      <c r="O8167" s="1"/>
      <c r="P8167" s="1"/>
      <c r="Q8167" s="1"/>
      <c r="R8167" s="1"/>
      <c r="S8167" s="1"/>
      <c r="T8167" s="1"/>
      <c r="U8167" s="1"/>
      <c r="V8167" s="1"/>
      <c r="W8167" s="1"/>
      <c r="X8167" s="1"/>
      <c r="Y8167" s="1"/>
      <c r="Z8167" s="1"/>
      <c r="AA8167" s="1"/>
      <c r="AB8167" s="1"/>
    </row>
    <row r="8168" ht="50.25" customHeight="1">
      <c r="A8168" s="12">
        <v>8164.0</v>
      </c>
      <c r="B8168" s="13" t="s">
        <v>7680</v>
      </c>
      <c r="C8168" s="18" t="s">
        <v>8193</v>
      </c>
      <c r="D8168" s="1"/>
      <c r="E8168" s="1"/>
      <c r="F8168" s="1" t="str">
        <f>IFERROR(__xludf.DUMMYFUNCTION("GOOGLETRANSLATE(B8168, ""en"", ""fa"")
"),"درخواست برای معلمان")</f>
        <v>درخواست برای معلمان</v>
      </c>
      <c r="G8168" s="1" t="str">
        <f>IFERROR(__xludf.DUMMYFUNCTION("GOOGLETRANSLATE(C8168, ""en"", ""fa"")
"),"راه‌هایی را برای ترکیب وظایف ارزیابی معتبر که به حل مسئله، تفکر انتقادی و خلاقیت نیاز دارند، کاوش کنید.")</f>
        <v>راه‌هایی را برای ترکیب وظایف ارزیابی معتبر که به حل مسئله، تفکر انتقادی و خلاقیت نیاز دارند، کاوش کنید.</v>
      </c>
      <c r="H8168" s="1"/>
      <c r="I8168" s="1"/>
      <c r="J8168" s="1"/>
      <c r="K8168" s="1"/>
      <c r="L8168" s="1"/>
      <c r="M8168" s="1"/>
      <c r="N8168" s="1"/>
      <c r="O8168" s="1"/>
      <c r="P8168" s="1"/>
      <c r="Q8168" s="1"/>
      <c r="R8168" s="1"/>
      <c r="S8168" s="1"/>
      <c r="T8168" s="1"/>
      <c r="U8168" s="1"/>
      <c r="V8168" s="1"/>
      <c r="W8168" s="1"/>
      <c r="X8168" s="1"/>
      <c r="Y8168" s="1"/>
      <c r="Z8168" s="1"/>
      <c r="AA8168" s="1"/>
      <c r="AB8168" s="1"/>
    </row>
    <row r="8169" ht="50.25" customHeight="1">
      <c r="A8169" s="12">
        <v>8165.0</v>
      </c>
      <c r="B8169" s="13" t="s">
        <v>7680</v>
      </c>
      <c r="C8169" s="18" t="s">
        <v>8194</v>
      </c>
      <c r="D8169" s="1"/>
      <c r="E8169" s="1"/>
      <c r="F8169" s="1" t="str">
        <f>IFERROR(__xludf.DUMMYFUNCTION("GOOGLETRANSLATE(B8169, ""en"", ""fa"")
"),"درخواست برای معلمان")</f>
        <v>درخواست برای معلمان</v>
      </c>
      <c r="G8169" s="1" t="str">
        <f>IFERROR(__xludf.DUMMYFUNCTION("GOOGLETRANSLATE(C8169, ""en"", ""fa"")
"),"در مورد تأثیر استفاده از اشکال جایگزین ارزیابی، مانند نمایشگاه ها، اجراها یا نمونه کارها بحث کنید.")</f>
        <v>در مورد تأثیر استفاده از اشکال جایگزین ارزیابی، مانند نمایشگاه ها، اجراها یا نمونه کارها بحث کنید.</v>
      </c>
      <c r="H8169" s="1"/>
      <c r="I8169" s="1"/>
      <c r="J8169" s="1"/>
      <c r="K8169" s="1"/>
      <c r="L8169" s="1"/>
      <c r="M8169" s="1"/>
      <c r="N8169" s="1"/>
      <c r="O8169" s="1"/>
      <c r="P8169" s="1"/>
      <c r="Q8169" s="1"/>
      <c r="R8169" s="1"/>
      <c r="S8169" s="1"/>
      <c r="T8169" s="1"/>
      <c r="U8169" s="1"/>
      <c r="V8169" s="1"/>
      <c r="W8169" s="1"/>
      <c r="X8169" s="1"/>
      <c r="Y8169" s="1"/>
      <c r="Z8169" s="1"/>
      <c r="AA8169" s="1"/>
      <c r="AB8169" s="1"/>
    </row>
    <row r="8170" ht="50.25" customHeight="1">
      <c r="A8170" s="12">
        <v>8166.0</v>
      </c>
      <c r="B8170" s="13" t="s">
        <v>7680</v>
      </c>
      <c r="C8170" s="18" t="s">
        <v>8195</v>
      </c>
      <c r="D8170" s="1"/>
      <c r="E8170" s="1"/>
      <c r="F8170" s="1" t="str">
        <f>IFERROR(__xludf.DUMMYFUNCTION("GOOGLETRANSLATE(B8170, ""en"", ""fa"")
"),"درخواست برای معلمان")</f>
        <v>درخواست برای معلمان</v>
      </c>
      <c r="G8170" s="1" t="str">
        <f>IFERROR(__xludf.DUMMYFUNCTION("GOOGLETRANSLATE(C8170, ""en"", ""fa"")
"),"تجربیات خود را در مورد استراتژی های موفق برای ارائه بازخورد معنی دار که به پیشرفت دانش آموزان کمک می کند، به اشتراک بگذارید.")</f>
        <v>تجربیات خود را در مورد استراتژی های موفق برای ارائه بازخورد معنی دار که به پیشرفت دانش آموزان کمک می کند، به اشتراک بگذارید.</v>
      </c>
      <c r="H8170" s="1"/>
      <c r="I8170" s="1"/>
      <c r="J8170" s="1"/>
      <c r="K8170" s="1"/>
      <c r="L8170" s="1"/>
      <c r="M8170" s="1"/>
      <c r="N8170" s="1"/>
      <c r="O8170" s="1"/>
      <c r="P8170" s="1"/>
      <c r="Q8170" s="1"/>
      <c r="R8170" s="1"/>
      <c r="S8170" s="1"/>
      <c r="T8170" s="1"/>
      <c r="U8170" s="1"/>
      <c r="V8170" s="1"/>
      <c r="W8170" s="1"/>
      <c r="X8170" s="1"/>
      <c r="Y8170" s="1"/>
      <c r="Z8170" s="1"/>
      <c r="AA8170" s="1"/>
      <c r="AB8170" s="1"/>
    </row>
    <row r="8171" ht="50.25" customHeight="1">
      <c r="A8171" s="12">
        <v>8167.0</v>
      </c>
      <c r="B8171" s="13" t="s">
        <v>7680</v>
      </c>
      <c r="C8171" s="18" t="s">
        <v>8196</v>
      </c>
      <c r="D8171" s="1"/>
      <c r="E8171" s="1"/>
      <c r="F8171" s="1" t="str">
        <f>IFERROR(__xludf.DUMMYFUNCTION("GOOGLETRANSLATE(B8171, ""en"", ""fa"")
"),"درخواست برای معلمان")</f>
        <v>درخواست برای معلمان</v>
      </c>
      <c r="G8171" s="1" t="str">
        <f>IFERROR(__xludf.DUMMYFUNCTION("GOOGLETRANSLATE(C8171, ""en"", ""fa"")
"),"تکنیک های ارتقای خودارزیابی و هدف گذاری را به عنوان بخشی از فرآیند ارزیابی کاوش کنید.")</f>
        <v>تکنیک های ارتقای خودارزیابی و هدف گذاری را به عنوان بخشی از فرآیند ارزیابی کاوش کنید.</v>
      </c>
      <c r="H8171" s="1"/>
      <c r="I8171" s="1"/>
      <c r="J8171" s="1"/>
      <c r="K8171" s="1"/>
      <c r="L8171" s="1"/>
      <c r="M8171" s="1"/>
      <c r="N8171" s="1"/>
      <c r="O8171" s="1"/>
      <c r="P8171" s="1"/>
      <c r="Q8171" s="1"/>
      <c r="R8171" s="1"/>
      <c r="S8171" s="1"/>
      <c r="T8171" s="1"/>
      <c r="U8171" s="1"/>
      <c r="V8171" s="1"/>
      <c r="W8171" s="1"/>
      <c r="X8171" s="1"/>
      <c r="Y8171" s="1"/>
      <c r="Z8171" s="1"/>
      <c r="AA8171" s="1"/>
      <c r="AB8171" s="1"/>
    </row>
    <row r="8172" ht="50.25" customHeight="1">
      <c r="A8172" s="12">
        <v>8168.0</v>
      </c>
      <c r="B8172" s="13" t="s">
        <v>7680</v>
      </c>
      <c r="C8172" s="18" t="s">
        <v>8197</v>
      </c>
      <c r="D8172" s="1"/>
      <c r="E8172" s="1"/>
      <c r="F8172" s="1" t="str">
        <f>IFERROR(__xludf.DUMMYFUNCTION("GOOGLETRANSLATE(B8172, ""en"", ""fa"")
"),"درخواست برای معلمان")</f>
        <v>درخواست برای معلمان</v>
      </c>
      <c r="G8172" s="1" t="str">
        <f>IFERROR(__xludf.DUMMYFUNCTION("GOOGLETRANSLATE(C8172, ""en"", ""fa"")
"),"درباره تأثیر استفاده از ابزارهای فناوری برای ارزیابی، مانند آزمون‌های آنلاین، نمونه کارها دیجیتال، یا ارسال‌های ویدیویی بحث کنید.")</f>
        <v>درباره تأثیر استفاده از ابزارهای فناوری برای ارزیابی، مانند آزمون‌های آنلاین، نمونه کارها دیجیتال، یا ارسال‌های ویدیویی بحث کنید.</v>
      </c>
      <c r="H8172" s="1"/>
      <c r="I8172" s="1"/>
      <c r="J8172" s="1"/>
      <c r="K8172" s="1"/>
      <c r="L8172" s="1"/>
      <c r="M8172" s="1"/>
      <c r="N8172" s="1"/>
      <c r="O8172" s="1"/>
      <c r="P8172" s="1"/>
      <c r="Q8172" s="1"/>
      <c r="R8172" s="1"/>
      <c r="S8172" s="1"/>
      <c r="T8172" s="1"/>
      <c r="U8172" s="1"/>
      <c r="V8172" s="1"/>
      <c r="W8172" s="1"/>
      <c r="X8172" s="1"/>
      <c r="Y8172" s="1"/>
      <c r="Z8172" s="1"/>
      <c r="AA8172" s="1"/>
      <c r="AB8172" s="1"/>
    </row>
    <row r="8173" ht="50.25" customHeight="1">
      <c r="A8173" s="12">
        <v>8169.0</v>
      </c>
      <c r="B8173" s="13" t="s">
        <v>7680</v>
      </c>
      <c r="C8173" s="18" t="s">
        <v>8198</v>
      </c>
      <c r="D8173" s="1"/>
      <c r="E8173" s="1"/>
      <c r="F8173" s="1" t="str">
        <f>IFERROR(__xludf.DUMMYFUNCTION("GOOGLETRANSLATE(B8173, ""en"", ""fa"")
"),"درخواست برای معلمان")</f>
        <v>درخواست برای معلمان</v>
      </c>
      <c r="G8173" s="1" t="str">
        <f>IFERROR(__xludf.DUMMYFUNCTION("GOOGLETRANSLATE(C8173, ""en"", ""fa"")
"),"مزایای ادغام فناوری در آموزش کلاس را بررسی کنید.")</f>
        <v>مزایای ادغام فناوری در آموزش کلاس را بررسی کنید.</v>
      </c>
      <c r="H8173" s="1"/>
      <c r="I8173" s="1"/>
      <c r="J8173" s="1"/>
      <c r="K8173" s="1"/>
      <c r="L8173" s="1"/>
      <c r="M8173" s="1"/>
      <c r="N8173" s="1"/>
      <c r="O8173" s="1"/>
      <c r="P8173" s="1"/>
      <c r="Q8173" s="1"/>
      <c r="R8173" s="1"/>
      <c r="S8173" s="1"/>
      <c r="T8173" s="1"/>
      <c r="U8173" s="1"/>
      <c r="V8173" s="1"/>
      <c r="W8173" s="1"/>
      <c r="X8173" s="1"/>
      <c r="Y8173" s="1"/>
      <c r="Z8173" s="1"/>
      <c r="AA8173" s="1"/>
      <c r="AB8173" s="1"/>
    </row>
    <row r="8174" ht="50.25" customHeight="1">
      <c r="A8174" s="12">
        <v>8170.0</v>
      </c>
      <c r="B8174" s="13" t="s">
        <v>7680</v>
      </c>
      <c r="C8174" s="18" t="s">
        <v>8199</v>
      </c>
      <c r="D8174" s="1"/>
      <c r="E8174" s="1"/>
      <c r="F8174" s="1" t="str">
        <f>IFERROR(__xludf.DUMMYFUNCTION("GOOGLETRANSLATE(B8174, ""en"", ""fa"")
"),"درخواست برای معلمان")</f>
        <v>درخواست برای معلمان</v>
      </c>
      <c r="G8174" s="1" t="str">
        <f>IFERROR(__xludf.DUMMYFUNCTION("GOOGLETRANSLATE(C8174, ""en"", ""fa"")
"),"در مورد نقش فناوری در ارتقاء مشارکت و انگیزه دانش آموزان بحث کنید.")</f>
        <v>در مورد نقش فناوری در ارتقاء مشارکت و انگیزه دانش آموزان بحث کنید.</v>
      </c>
      <c r="H8174" s="1"/>
      <c r="I8174" s="1"/>
      <c r="J8174" s="1"/>
      <c r="K8174" s="1"/>
      <c r="L8174" s="1"/>
      <c r="M8174" s="1"/>
      <c r="N8174" s="1"/>
      <c r="O8174" s="1"/>
      <c r="P8174" s="1"/>
      <c r="Q8174" s="1"/>
      <c r="R8174" s="1"/>
      <c r="S8174" s="1"/>
      <c r="T8174" s="1"/>
      <c r="U8174" s="1"/>
      <c r="V8174" s="1"/>
      <c r="W8174" s="1"/>
      <c r="X8174" s="1"/>
      <c r="Y8174" s="1"/>
      <c r="Z8174" s="1"/>
      <c r="AA8174" s="1"/>
      <c r="AB8174" s="1"/>
    </row>
    <row r="8175" ht="50.25" customHeight="1">
      <c r="A8175" s="12">
        <v>8171.0</v>
      </c>
      <c r="B8175" s="13" t="s">
        <v>7680</v>
      </c>
      <c r="C8175" s="18" t="s">
        <v>8200</v>
      </c>
      <c r="D8175" s="1"/>
      <c r="E8175" s="1"/>
      <c r="F8175" s="1" t="str">
        <f>IFERROR(__xludf.DUMMYFUNCTION("GOOGLETRANSLATE(B8175, ""en"", ""fa"")
"),"درخواست برای معلمان")</f>
        <v>درخواست برای معلمان</v>
      </c>
      <c r="G8175" s="1" t="str">
        <f>IFERROR(__xludf.DUMMYFUNCTION("GOOGLETRANSLATE(C8175, ""en"", ""fa"")
"),"برنامه ها یا نرم افزارهای آموزشی مورد علاقه خود را برای حوزه های موضوعی مختلف به اشتراک بگذارید.")</f>
        <v>برنامه ها یا نرم افزارهای آموزشی مورد علاقه خود را برای حوزه های موضوعی مختلف به اشتراک بگذارید.</v>
      </c>
      <c r="H8175" s="1"/>
      <c r="I8175" s="1"/>
      <c r="J8175" s="1"/>
      <c r="K8175" s="1"/>
      <c r="L8175" s="1"/>
      <c r="M8175" s="1"/>
      <c r="N8175" s="1"/>
      <c r="O8175" s="1"/>
      <c r="P8175" s="1"/>
      <c r="Q8175" s="1"/>
      <c r="R8175" s="1"/>
      <c r="S8175" s="1"/>
      <c r="T8175" s="1"/>
      <c r="U8175" s="1"/>
      <c r="V8175" s="1"/>
      <c r="W8175" s="1"/>
      <c r="X8175" s="1"/>
      <c r="Y8175" s="1"/>
      <c r="Z8175" s="1"/>
      <c r="AA8175" s="1"/>
      <c r="AB8175" s="1"/>
    </row>
    <row r="8176" ht="50.25" customHeight="1">
      <c r="A8176" s="12">
        <v>8172.0</v>
      </c>
      <c r="B8176" s="13" t="s">
        <v>7680</v>
      </c>
      <c r="C8176" s="18" t="s">
        <v>8201</v>
      </c>
      <c r="D8176" s="1"/>
      <c r="E8176" s="1"/>
      <c r="F8176" s="1" t="str">
        <f>IFERROR(__xludf.DUMMYFUNCTION("GOOGLETRANSLATE(B8176, ""en"", ""fa"")
"),"درخواست برای معلمان")</f>
        <v>درخواست برای معلمان</v>
      </c>
      <c r="G8176" s="1" t="str">
        <f>IFERROR(__xludf.DUMMYFUNCTION("GOOGLETRANSLATE(C8176, ""en"", ""fa"")
"),"درباره اهمیت شهروندی دیجیتال و استفاده مسئولانه از فناوری در کلاس درس بحث کنید.")</f>
        <v>درباره اهمیت شهروندی دیجیتال و استفاده مسئولانه از فناوری در کلاس درس بحث کنید.</v>
      </c>
      <c r="H8176" s="1"/>
      <c r="I8176" s="1"/>
      <c r="J8176" s="1"/>
      <c r="K8176" s="1"/>
      <c r="L8176" s="1"/>
      <c r="M8176" s="1"/>
      <c r="N8176" s="1"/>
      <c r="O8176" s="1"/>
      <c r="P8176" s="1"/>
      <c r="Q8176" s="1"/>
      <c r="R8176" s="1"/>
      <c r="S8176" s="1"/>
      <c r="T8176" s="1"/>
      <c r="U8176" s="1"/>
      <c r="V8176" s="1"/>
      <c r="W8176" s="1"/>
      <c r="X8176" s="1"/>
      <c r="Y8176" s="1"/>
      <c r="Z8176" s="1"/>
      <c r="AA8176" s="1"/>
      <c r="AB8176" s="1"/>
    </row>
    <row r="8177" ht="50.25" customHeight="1">
      <c r="A8177" s="12">
        <v>8173.0</v>
      </c>
      <c r="B8177" s="13" t="s">
        <v>7680</v>
      </c>
      <c r="C8177" s="18" t="s">
        <v>8202</v>
      </c>
      <c r="D8177" s="1"/>
      <c r="E8177" s="1"/>
      <c r="F8177" s="1" t="str">
        <f>IFERROR(__xludf.DUMMYFUNCTION("GOOGLETRANSLATE(B8177, ""en"", ""fa"")
"),"درخواست برای معلمان")</f>
        <v>درخواست برای معلمان</v>
      </c>
      <c r="G8177" s="1" t="str">
        <f>IFERROR(__xludf.DUMMYFUNCTION("GOOGLETRANSLATE(C8177, ""en"", ""fa"")
"),"راه‌هایی را برای استفاده از تخته‌های سفید تعاملی یا تخته‌های هوشمند برای تقویت آموزش کلاس بررسی کنید.")</f>
        <v>راه‌هایی را برای استفاده از تخته‌های سفید تعاملی یا تخته‌های هوشمند برای تقویت آموزش کلاس بررسی کنید.</v>
      </c>
      <c r="H8177" s="1"/>
      <c r="I8177" s="1"/>
      <c r="J8177" s="1"/>
      <c r="K8177" s="1"/>
      <c r="L8177" s="1"/>
      <c r="M8177" s="1"/>
      <c r="N8177" s="1"/>
      <c r="O8177" s="1"/>
      <c r="P8177" s="1"/>
      <c r="Q8177" s="1"/>
      <c r="R8177" s="1"/>
      <c r="S8177" s="1"/>
      <c r="T8177" s="1"/>
      <c r="U8177" s="1"/>
      <c r="V8177" s="1"/>
      <c r="W8177" s="1"/>
      <c r="X8177" s="1"/>
      <c r="Y8177" s="1"/>
      <c r="Z8177" s="1"/>
      <c r="AA8177" s="1"/>
      <c r="AB8177" s="1"/>
    </row>
    <row r="8178" ht="50.25" customHeight="1">
      <c r="A8178" s="12">
        <v>8174.0</v>
      </c>
      <c r="B8178" s="13" t="s">
        <v>7680</v>
      </c>
      <c r="C8178" s="18" t="s">
        <v>8203</v>
      </c>
      <c r="D8178" s="1"/>
      <c r="E8178" s="1"/>
      <c r="F8178" s="1" t="str">
        <f>IFERROR(__xludf.DUMMYFUNCTION("GOOGLETRANSLATE(B8178, ""en"", ""fa"")
"),"درخواست برای معلمان")</f>
        <v>درخواست برای معلمان</v>
      </c>
      <c r="G8178" s="1" t="str">
        <f>IFERROR(__xludf.DUMMYFUNCTION("GOOGLETRANSLATE(C8178, ""en"", ""fa"")
"),"تجربیات خود را در مورد استراتژی های موفق برای استفاده از وب سایت های آموزشی برای حمایت از یادگیری به اشتراک بگذارید.")</f>
        <v>تجربیات خود را در مورد استراتژی های موفق برای استفاده از وب سایت های آموزشی برای حمایت از یادگیری به اشتراک بگذارید.</v>
      </c>
      <c r="H8178" s="1"/>
      <c r="I8178" s="1"/>
      <c r="J8178" s="1"/>
      <c r="K8178" s="1"/>
      <c r="L8178" s="1"/>
      <c r="M8178" s="1"/>
      <c r="N8178" s="1"/>
      <c r="O8178" s="1"/>
      <c r="P8178" s="1"/>
      <c r="Q8178" s="1"/>
      <c r="R8178" s="1"/>
      <c r="S8178" s="1"/>
      <c r="T8178" s="1"/>
      <c r="U8178" s="1"/>
      <c r="V8178" s="1"/>
      <c r="W8178" s="1"/>
      <c r="X8178" s="1"/>
      <c r="Y8178" s="1"/>
      <c r="Z8178" s="1"/>
      <c r="AA8178" s="1"/>
      <c r="AB8178" s="1"/>
    </row>
    <row r="8179" ht="50.25" customHeight="1">
      <c r="A8179" s="12">
        <v>8175.0</v>
      </c>
      <c r="B8179" s="13" t="s">
        <v>7680</v>
      </c>
      <c r="C8179" s="18" t="s">
        <v>8204</v>
      </c>
      <c r="D8179" s="1"/>
      <c r="E8179" s="1"/>
      <c r="F8179" s="1" t="str">
        <f>IFERROR(__xludf.DUMMYFUNCTION("GOOGLETRANSLATE(B8179, ""en"", ""fa"")
"),"درخواست برای معلمان")</f>
        <v>درخواست برای معلمان</v>
      </c>
      <c r="G8179" s="1" t="str">
        <f>IFERROR(__xludf.DUMMYFUNCTION("GOOGLETRANSLATE(C8179, ""en"", ""fa"")
"),"در مورد تأثیر استفاده از ابزارهای چندرسانه ای، مانند ویدیوها یا پادکست ها، برای افزایش ارائه درس بحث کنید.")</f>
        <v>در مورد تأثیر استفاده از ابزارهای چندرسانه ای، مانند ویدیوها یا پادکست ها، برای افزایش ارائه درس بحث کنید.</v>
      </c>
      <c r="H8179" s="1"/>
      <c r="I8179" s="1"/>
      <c r="J8179" s="1"/>
      <c r="K8179" s="1"/>
      <c r="L8179" s="1"/>
      <c r="M8179" s="1"/>
      <c r="N8179" s="1"/>
      <c r="O8179" s="1"/>
      <c r="P8179" s="1"/>
      <c r="Q8179" s="1"/>
      <c r="R8179" s="1"/>
      <c r="S8179" s="1"/>
      <c r="T8179" s="1"/>
      <c r="U8179" s="1"/>
      <c r="V8179" s="1"/>
      <c r="W8179" s="1"/>
      <c r="X8179" s="1"/>
      <c r="Y8179" s="1"/>
      <c r="Z8179" s="1"/>
      <c r="AA8179" s="1"/>
      <c r="AB8179" s="1"/>
    </row>
    <row r="8180" ht="50.25" customHeight="1">
      <c r="A8180" s="12">
        <v>8176.0</v>
      </c>
      <c r="B8180" s="13" t="s">
        <v>7680</v>
      </c>
      <c r="C8180" s="18" t="s">
        <v>8205</v>
      </c>
      <c r="D8180" s="1"/>
      <c r="E8180" s="1"/>
      <c r="F8180" s="1" t="str">
        <f>IFERROR(__xludf.DUMMYFUNCTION("GOOGLETRANSLATE(B8180, ""en"", ""fa"")
"),"درخواست برای معلمان")</f>
        <v>درخواست برای معلمان</v>
      </c>
      <c r="G8180" s="1" t="str">
        <f>IFERROR(__xludf.DUMMYFUNCTION("GOOGLETRANSLATE(C8180, ""en"", ""fa"")
"),"راه‌هایی برای گنجاندن تجربیات واقعیت مجازی یا واقعیت افزوده در کلاس‌های درس کاوش کنید.")</f>
        <v>راه‌هایی برای گنجاندن تجربیات واقعیت مجازی یا واقعیت افزوده در کلاس‌های درس کاوش کنید.</v>
      </c>
      <c r="H8180" s="1"/>
      <c r="I8180" s="1"/>
      <c r="J8180" s="1"/>
      <c r="K8180" s="1"/>
      <c r="L8180" s="1"/>
      <c r="M8180" s="1"/>
      <c r="N8180" s="1"/>
      <c r="O8180" s="1"/>
      <c r="P8180" s="1"/>
      <c r="Q8180" s="1"/>
      <c r="R8180" s="1"/>
      <c r="S8180" s="1"/>
      <c r="T8180" s="1"/>
      <c r="U8180" s="1"/>
      <c r="V8180" s="1"/>
      <c r="W8180" s="1"/>
      <c r="X8180" s="1"/>
      <c r="Y8180" s="1"/>
      <c r="Z8180" s="1"/>
      <c r="AA8180" s="1"/>
      <c r="AB8180" s="1"/>
    </row>
    <row r="8181" ht="50.25" customHeight="1">
      <c r="A8181" s="12">
        <v>8177.0</v>
      </c>
      <c r="B8181" s="13" t="s">
        <v>7680</v>
      </c>
      <c r="C8181" s="18" t="s">
        <v>8206</v>
      </c>
      <c r="D8181" s="1"/>
      <c r="E8181" s="1"/>
      <c r="F8181" s="1" t="str">
        <f>IFERROR(__xludf.DUMMYFUNCTION("GOOGLETRANSLATE(B8181, ""en"", ""fa"")
"),"درخواست برای معلمان")</f>
        <v>درخواست برای معلمان</v>
      </c>
      <c r="G8181" s="1" t="str">
        <f>IFERROR(__xludf.DUMMYFUNCTION("GOOGLETRANSLATE(C8181, ""en"", ""fa"")
"),"بینش خود را در مورد استراتژی های موثر برای استفاده از بازی های آموزشی برای تقویت اهداف یادگیری به اشتراک بگذارید.")</f>
        <v>بینش خود را در مورد استراتژی های موثر برای استفاده از بازی های آموزشی برای تقویت اهداف یادگیری به اشتراک بگذارید.</v>
      </c>
      <c r="H8181" s="1"/>
      <c r="I8181" s="1"/>
      <c r="J8181" s="1"/>
      <c r="K8181" s="1"/>
      <c r="L8181" s="1"/>
      <c r="M8181" s="1"/>
      <c r="N8181" s="1"/>
      <c r="O8181" s="1"/>
      <c r="P8181" s="1"/>
      <c r="Q8181" s="1"/>
      <c r="R8181" s="1"/>
      <c r="S8181" s="1"/>
      <c r="T8181" s="1"/>
      <c r="U8181" s="1"/>
      <c r="V8181" s="1"/>
      <c r="W8181" s="1"/>
      <c r="X8181" s="1"/>
      <c r="Y8181" s="1"/>
      <c r="Z8181" s="1"/>
      <c r="AA8181" s="1"/>
      <c r="AB8181" s="1"/>
    </row>
    <row r="8182" ht="50.25" customHeight="1">
      <c r="A8182" s="12">
        <v>8178.0</v>
      </c>
      <c r="B8182" s="13" t="s">
        <v>7680</v>
      </c>
      <c r="C8182" s="18" t="s">
        <v>8207</v>
      </c>
      <c r="D8182" s="1"/>
      <c r="E8182" s="1"/>
      <c r="F8182" s="1" t="str">
        <f>IFERROR(__xludf.DUMMYFUNCTION("GOOGLETRANSLATE(B8182, ""en"", ""fa"")
"),"درخواست برای معلمان")</f>
        <v>درخواست برای معلمان</v>
      </c>
      <c r="G8182" s="1" t="str">
        <f>IFERROR(__xludf.DUMMYFUNCTION("GOOGLETRANSLATE(C8182, ""en"", ""fa"")
"),"در مورد نقش فناوری در ارتقای همکاری و ارتباطات بین دانش آموزان بحث کنید.")</f>
        <v>در مورد نقش فناوری در ارتقای همکاری و ارتباطات بین دانش آموزان بحث کنید.</v>
      </c>
      <c r="H8182" s="1"/>
      <c r="I8182" s="1"/>
      <c r="J8182" s="1"/>
      <c r="K8182" s="1"/>
      <c r="L8182" s="1"/>
      <c r="M8182" s="1"/>
      <c r="N8182" s="1"/>
      <c r="O8182" s="1"/>
      <c r="P8182" s="1"/>
      <c r="Q8182" s="1"/>
      <c r="R8182" s="1"/>
      <c r="S8182" s="1"/>
      <c r="T8182" s="1"/>
      <c r="U8182" s="1"/>
      <c r="V8182" s="1"/>
      <c r="W8182" s="1"/>
      <c r="X8182" s="1"/>
      <c r="Y8182" s="1"/>
      <c r="Z8182" s="1"/>
      <c r="AA8182" s="1"/>
      <c r="AB8182" s="1"/>
    </row>
    <row r="8183" ht="50.25" customHeight="1">
      <c r="A8183" s="12">
        <v>8179.0</v>
      </c>
      <c r="B8183" s="13" t="s">
        <v>7680</v>
      </c>
      <c r="C8183" s="18" t="s">
        <v>8208</v>
      </c>
      <c r="D8183" s="1"/>
      <c r="E8183" s="1"/>
      <c r="F8183" s="1" t="str">
        <f>IFERROR(__xludf.DUMMYFUNCTION("GOOGLETRANSLATE(B8183, ""en"", ""fa"")
"),"درخواست برای معلمان")</f>
        <v>درخواست برای معلمان</v>
      </c>
      <c r="G8183" s="1" t="str">
        <f>IFERROR(__xludf.DUMMYFUNCTION("GOOGLETRANSLATE(C8183, ""en"", ""fa"")
"),"راه‌های استفاده از ابزارهای دیجیتال برای ارزیابی تکوینی و بازخورد فوری را بررسی کنید.")</f>
        <v>راه‌های استفاده از ابزارهای دیجیتال برای ارزیابی تکوینی و بازخورد فوری را بررسی کنید.</v>
      </c>
      <c r="H8183" s="1"/>
      <c r="I8183" s="1"/>
      <c r="J8183" s="1"/>
      <c r="K8183" s="1"/>
      <c r="L8183" s="1"/>
      <c r="M8183" s="1"/>
      <c r="N8183" s="1"/>
      <c r="O8183" s="1"/>
      <c r="P8183" s="1"/>
      <c r="Q8183" s="1"/>
      <c r="R8183" s="1"/>
      <c r="S8183" s="1"/>
      <c r="T8183" s="1"/>
      <c r="U8183" s="1"/>
      <c r="V8183" s="1"/>
      <c r="W8183" s="1"/>
      <c r="X8183" s="1"/>
      <c r="Y8183" s="1"/>
      <c r="Z8183" s="1"/>
      <c r="AA8183" s="1"/>
      <c r="AB8183" s="1"/>
    </row>
    <row r="8184" ht="50.25" customHeight="1">
      <c r="A8184" s="12">
        <v>8180.0</v>
      </c>
      <c r="B8184" s="13" t="s">
        <v>7680</v>
      </c>
      <c r="C8184" s="18" t="s">
        <v>8209</v>
      </c>
      <c r="D8184" s="1"/>
      <c r="E8184" s="1"/>
      <c r="F8184" s="1" t="str">
        <f>IFERROR(__xludf.DUMMYFUNCTION("GOOGLETRANSLATE(B8184, ""en"", ""fa"")
"),"درخواست برای معلمان")</f>
        <v>درخواست برای معلمان</v>
      </c>
      <c r="G8184" s="1" t="str">
        <f>IFERROR(__xludf.DUMMYFUNCTION("GOOGLETRANSLATE(C8184, ""en"", ""fa"")
"),"تجربیات خود را در مورد استراتژی های موفق برای گنجاندن بحث ها یا انجمن های آنلاین در فعالیت های کلاس درس به اشتراک بگذارید.")</f>
        <v>تجربیات خود را در مورد استراتژی های موفق برای گنجاندن بحث ها یا انجمن های آنلاین در فعالیت های کلاس درس به اشتراک بگذارید.</v>
      </c>
      <c r="H8184" s="1"/>
      <c r="I8184" s="1"/>
      <c r="J8184" s="1"/>
      <c r="K8184" s="1"/>
      <c r="L8184" s="1"/>
      <c r="M8184" s="1"/>
      <c r="N8184" s="1"/>
      <c r="O8184" s="1"/>
      <c r="P8184" s="1"/>
      <c r="Q8184" s="1"/>
      <c r="R8184" s="1"/>
      <c r="S8184" s="1"/>
      <c r="T8184" s="1"/>
      <c r="U8184" s="1"/>
      <c r="V8184" s="1"/>
      <c r="W8184" s="1"/>
      <c r="X8184" s="1"/>
      <c r="Y8184" s="1"/>
      <c r="Z8184" s="1"/>
      <c r="AA8184" s="1"/>
      <c r="AB8184" s="1"/>
    </row>
    <row r="8185" ht="50.25" customHeight="1">
      <c r="A8185" s="12">
        <v>8181.0</v>
      </c>
      <c r="B8185" s="13" t="s">
        <v>7680</v>
      </c>
      <c r="C8185" s="18" t="s">
        <v>8210</v>
      </c>
      <c r="D8185" s="1"/>
      <c r="E8185" s="1"/>
      <c r="F8185" s="1" t="str">
        <f>IFERROR(__xludf.DUMMYFUNCTION("GOOGLETRANSLATE(B8185, ""en"", ""fa"")
"),"درخواست برای معلمان")</f>
        <v>درخواست برای معلمان</v>
      </c>
      <c r="G8185" s="1" t="str">
        <f>IFERROR(__xludf.DUMMYFUNCTION("GOOGLETRANSLATE(C8185, ""en"", ""fa"")
"),"درباره اهمیت آموزش مهارت های سواد دیجیتال برای کمک به دانش آموزان در جهت یابی و ارزیابی اطلاعات آنلاین بحث کنید.")</f>
        <v>درباره اهمیت آموزش مهارت های سواد دیجیتال برای کمک به دانش آموزان در جهت یابی و ارزیابی اطلاعات آنلاین بحث کنید.</v>
      </c>
      <c r="H8185" s="1"/>
      <c r="I8185" s="1"/>
      <c r="J8185" s="1"/>
      <c r="K8185" s="1"/>
      <c r="L8185" s="1"/>
      <c r="M8185" s="1"/>
      <c r="N8185" s="1"/>
      <c r="O8185" s="1"/>
      <c r="P8185" s="1"/>
      <c r="Q8185" s="1"/>
      <c r="R8185" s="1"/>
      <c r="S8185" s="1"/>
      <c r="T8185" s="1"/>
      <c r="U8185" s="1"/>
      <c r="V8185" s="1"/>
      <c r="W8185" s="1"/>
      <c r="X8185" s="1"/>
      <c r="Y8185" s="1"/>
      <c r="Z8185" s="1"/>
      <c r="AA8185" s="1"/>
      <c r="AB8185" s="1"/>
    </row>
    <row r="8186" ht="50.25" customHeight="1">
      <c r="A8186" s="12">
        <v>8182.0</v>
      </c>
      <c r="B8186" s="13" t="s">
        <v>7680</v>
      </c>
      <c r="C8186" s="18" t="s">
        <v>8211</v>
      </c>
      <c r="D8186" s="1"/>
      <c r="E8186" s="1"/>
      <c r="F8186" s="1" t="str">
        <f>IFERROR(__xludf.DUMMYFUNCTION("GOOGLETRANSLATE(B8186, ""en"", ""fa"")
"),"درخواست برای معلمان")</f>
        <v>درخواست برای معلمان</v>
      </c>
      <c r="G8186" s="1" t="str">
        <f>IFERROR(__xludf.DUMMYFUNCTION("GOOGLETRANSLATE(C8186, ""en"", ""fa"")
"),"راه های استفاده از پلتفرم های رسانه های اجتماعی را برای اهداف آموزشی در کلاس درس بررسی کنید.")</f>
        <v>راه های استفاده از پلتفرم های رسانه های اجتماعی را برای اهداف آموزشی در کلاس درس بررسی کنید.</v>
      </c>
      <c r="H8186" s="1"/>
      <c r="I8186" s="1"/>
      <c r="J8186" s="1"/>
      <c r="K8186" s="1"/>
      <c r="L8186" s="1"/>
      <c r="M8186" s="1"/>
      <c r="N8186" s="1"/>
      <c r="O8186" s="1"/>
      <c r="P8186" s="1"/>
      <c r="Q8186" s="1"/>
      <c r="R8186" s="1"/>
      <c r="S8186" s="1"/>
      <c r="T8186" s="1"/>
      <c r="U8186" s="1"/>
      <c r="V8186" s="1"/>
      <c r="W8186" s="1"/>
      <c r="X8186" s="1"/>
      <c r="Y8186" s="1"/>
      <c r="Z8186" s="1"/>
      <c r="AA8186" s="1"/>
      <c r="AB8186" s="1"/>
    </row>
    <row r="8187" ht="50.25" customHeight="1">
      <c r="A8187" s="12">
        <v>8183.0</v>
      </c>
      <c r="B8187" s="13" t="s">
        <v>7680</v>
      </c>
      <c r="C8187" s="18" t="s">
        <v>8212</v>
      </c>
      <c r="D8187" s="1"/>
      <c r="E8187" s="1"/>
      <c r="F8187" s="1" t="str">
        <f>IFERROR(__xludf.DUMMYFUNCTION("GOOGLETRANSLATE(B8187, ""en"", ""fa"")
"),"درخواست برای معلمان")</f>
        <v>درخواست برای معلمان</v>
      </c>
      <c r="G8187" s="1" t="str">
        <f>IFERROR(__xludf.DUMMYFUNCTION("GOOGLETRANSLATE(C8187, ""en"", ""fa"")
"),"بینش خود را در مورد استراتژی های موثر برای استفاده از فیلم های آموزشی یا انیمیشن ها برای توضیح مفاهیم پیچیده به اشتراک بگذارید.")</f>
        <v>بینش خود را در مورد استراتژی های موثر برای استفاده از فیلم های آموزشی یا انیمیشن ها برای توضیح مفاهیم پیچیده به اشتراک بگذارید.</v>
      </c>
      <c r="H8187" s="1"/>
      <c r="I8187" s="1"/>
      <c r="J8187" s="1"/>
      <c r="K8187" s="1"/>
      <c r="L8187" s="1"/>
      <c r="M8187" s="1"/>
      <c r="N8187" s="1"/>
      <c r="O8187" s="1"/>
      <c r="P8187" s="1"/>
      <c r="Q8187" s="1"/>
      <c r="R8187" s="1"/>
      <c r="S8187" s="1"/>
      <c r="T8187" s="1"/>
      <c r="U8187" s="1"/>
      <c r="V8187" s="1"/>
      <c r="W8187" s="1"/>
      <c r="X8187" s="1"/>
      <c r="Y8187" s="1"/>
      <c r="Z8187" s="1"/>
      <c r="AA8187" s="1"/>
      <c r="AB8187" s="1"/>
    </row>
    <row r="8188" ht="50.25" customHeight="1">
      <c r="A8188" s="12">
        <v>8184.0</v>
      </c>
      <c r="B8188" s="13" t="s">
        <v>7680</v>
      </c>
      <c r="C8188" s="18" t="s">
        <v>8213</v>
      </c>
      <c r="D8188" s="1"/>
      <c r="E8188" s="1"/>
      <c r="F8188" s="1" t="str">
        <f>IFERROR(__xludf.DUMMYFUNCTION("GOOGLETRANSLATE(B8188, ""en"", ""fa"")
"),"درخواست برای معلمان")</f>
        <v>درخواست برای معلمان</v>
      </c>
      <c r="G8188" s="1" t="str">
        <f>IFERROR(__xludf.DUMMYFUNCTION("GOOGLETRANSLATE(C8188, ""en"", ""fa"")
"),"درباره تأثیر استفاده از سیستم های مدیریت یادگیری برای سازماندهی و ارائه محتوای دوره بحث کنید.")</f>
        <v>درباره تأثیر استفاده از سیستم های مدیریت یادگیری برای سازماندهی و ارائه محتوای دوره بحث کنید.</v>
      </c>
      <c r="H8188" s="1"/>
      <c r="I8188" s="1"/>
      <c r="J8188" s="1"/>
      <c r="K8188" s="1"/>
      <c r="L8188" s="1"/>
      <c r="M8188" s="1"/>
      <c r="N8188" s="1"/>
      <c r="O8188" s="1"/>
      <c r="P8188" s="1"/>
      <c r="Q8188" s="1"/>
      <c r="R8188" s="1"/>
      <c r="S8188" s="1"/>
      <c r="T8188" s="1"/>
      <c r="U8188" s="1"/>
      <c r="V8188" s="1"/>
      <c r="W8188" s="1"/>
      <c r="X8188" s="1"/>
      <c r="Y8188" s="1"/>
      <c r="Z8188" s="1"/>
      <c r="AA8188" s="1"/>
      <c r="AB8188" s="1"/>
    </row>
    <row r="8189" ht="50.25" customHeight="1">
      <c r="A8189" s="12">
        <v>8185.0</v>
      </c>
      <c r="B8189" s="13" t="s">
        <v>7680</v>
      </c>
      <c r="C8189" s="18" t="s">
        <v>8214</v>
      </c>
      <c r="D8189" s="1"/>
      <c r="E8189" s="1"/>
      <c r="F8189" s="1" t="str">
        <f>IFERROR(__xludf.DUMMYFUNCTION("GOOGLETRANSLATE(B8189, ""en"", ""fa"")
"),"درخواست برای معلمان")</f>
        <v>درخواست برای معلمان</v>
      </c>
      <c r="G8189" s="1" t="str">
        <f>IFERROR(__xludf.DUMMYFUNCTION("GOOGLETRANSLATE(C8189, ""en"", ""fa"")
"),"راه‌هایی را برای ادغام مهارت‌های کدنویسی و برنامه‌نویسی در فعالیت‌های کلاس درس بررسی کنید.")</f>
        <v>راه‌هایی را برای ادغام مهارت‌های کدنویسی و برنامه‌نویسی در فعالیت‌های کلاس درس بررسی کنید.</v>
      </c>
      <c r="H8189" s="1"/>
      <c r="I8189" s="1"/>
      <c r="J8189" s="1"/>
      <c r="K8189" s="1"/>
      <c r="L8189" s="1"/>
      <c r="M8189" s="1"/>
      <c r="N8189" s="1"/>
      <c r="O8189" s="1"/>
      <c r="P8189" s="1"/>
      <c r="Q8189" s="1"/>
      <c r="R8189" s="1"/>
      <c r="S8189" s="1"/>
      <c r="T8189" s="1"/>
      <c r="U8189" s="1"/>
      <c r="V8189" s="1"/>
      <c r="W8189" s="1"/>
      <c r="X8189" s="1"/>
      <c r="Y8189" s="1"/>
      <c r="Z8189" s="1"/>
      <c r="AA8189" s="1"/>
      <c r="AB8189" s="1"/>
    </row>
    <row r="8190" ht="50.25" customHeight="1">
      <c r="A8190" s="12">
        <v>8186.0</v>
      </c>
      <c r="B8190" s="13" t="s">
        <v>7680</v>
      </c>
      <c r="C8190" s="18" t="s">
        <v>8215</v>
      </c>
      <c r="D8190" s="1"/>
      <c r="E8190" s="1"/>
      <c r="F8190" s="1" t="str">
        <f>IFERROR(__xludf.DUMMYFUNCTION("GOOGLETRANSLATE(B8190, ""en"", ""fa"")
"),"درخواست برای معلمان")</f>
        <v>درخواست برای معلمان</v>
      </c>
      <c r="G8190" s="1" t="str">
        <f>IFERROR(__xludf.DUMMYFUNCTION("GOOGLETRANSLATE(C8190, ""en"", ""fa"")
"),"تجربیات خود را در مورد استراتژی های موفق برای استفاده از نمونه کارها دیجیتال برای نمایش کار دانش آموزان به اشتراک بگذارید.")</f>
        <v>تجربیات خود را در مورد استراتژی های موفق برای استفاده از نمونه کارها دیجیتال برای نمایش کار دانش آموزان به اشتراک بگذارید.</v>
      </c>
      <c r="H8190" s="1"/>
      <c r="I8190" s="1"/>
      <c r="J8190" s="1"/>
      <c r="K8190" s="1"/>
      <c r="L8190" s="1"/>
      <c r="M8190" s="1"/>
      <c r="N8190" s="1"/>
      <c r="O8190" s="1"/>
      <c r="P8190" s="1"/>
      <c r="Q8190" s="1"/>
      <c r="R8190" s="1"/>
      <c r="S8190" s="1"/>
      <c r="T8190" s="1"/>
      <c r="U8190" s="1"/>
      <c r="V8190" s="1"/>
      <c r="W8190" s="1"/>
      <c r="X8190" s="1"/>
      <c r="Y8190" s="1"/>
      <c r="Z8190" s="1"/>
      <c r="AA8190" s="1"/>
      <c r="AB8190" s="1"/>
    </row>
    <row r="8191" ht="50.25" customHeight="1">
      <c r="A8191" s="12">
        <v>8187.0</v>
      </c>
      <c r="B8191" s="13" t="s">
        <v>7680</v>
      </c>
      <c r="C8191" s="18" t="s">
        <v>8216</v>
      </c>
      <c r="D8191" s="1"/>
      <c r="E8191" s="1"/>
      <c r="F8191" s="1" t="str">
        <f>IFERROR(__xludf.DUMMYFUNCTION("GOOGLETRANSLATE(B8191, ""en"", ""fa"")
"),"درخواست برای معلمان")</f>
        <v>درخواست برای معلمان</v>
      </c>
      <c r="G8191" s="1" t="str">
        <f>IFERROR(__xludf.DUMMYFUNCTION("GOOGLETRANSLATE(C8191, ""en"", ""fa"")
"),"در مورد نقش ابزارها و پایگاه های تحقیقاتی آنلاین در حمایت از یادگیری مبتنی بر تحقیق بحث کنید.")</f>
        <v>در مورد نقش ابزارها و پایگاه های تحقیقاتی آنلاین در حمایت از یادگیری مبتنی بر تحقیق بحث کنید.</v>
      </c>
      <c r="H8191" s="1"/>
      <c r="I8191" s="1"/>
      <c r="J8191" s="1"/>
      <c r="K8191" s="1"/>
      <c r="L8191" s="1"/>
      <c r="M8191" s="1"/>
      <c r="N8191" s="1"/>
      <c r="O8191" s="1"/>
      <c r="P8191" s="1"/>
      <c r="Q8191" s="1"/>
      <c r="R8191" s="1"/>
      <c r="S8191" s="1"/>
      <c r="T8191" s="1"/>
      <c r="U8191" s="1"/>
      <c r="V8191" s="1"/>
      <c r="W8191" s="1"/>
      <c r="X8191" s="1"/>
      <c r="Y8191" s="1"/>
      <c r="Z8191" s="1"/>
      <c r="AA8191" s="1"/>
      <c r="AB8191" s="1"/>
    </row>
    <row r="8192" ht="50.25" customHeight="1">
      <c r="A8192" s="12">
        <v>8188.0</v>
      </c>
      <c r="B8192" s="13" t="s">
        <v>7680</v>
      </c>
      <c r="C8192" s="18" t="s">
        <v>8217</v>
      </c>
      <c r="D8192" s="1"/>
      <c r="E8192" s="1"/>
      <c r="F8192" s="1" t="str">
        <f>IFERROR(__xludf.DUMMYFUNCTION("GOOGLETRANSLATE(B8192, ""en"", ""fa"")
"),"درخواست برای معلمان")</f>
        <v>درخواست برای معلمان</v>
      </c>
      <c r="G8192" s="1" t="str">
        <f>IFERROR(__xludf.DUMMYFUNCTION("GOOGLETRANSLATE(C8192, ""en"", ""fa"")
"),"راه‌هایی برای استفاده از ابزارهای داستان‌سرایی دیجیتال برای تقویت مهارت‌های سوادآموزی و خلاقیت را بررسی کنید.")</f>
        <v>راه‌هایی برای استفاده از ابزارهای داستان‌سرایی دیجیتال برای تقویت مهارت‌های سوادآموزی و خلاقیت را بررسی کنید.</v>
      </c>
      <c r="H8192" s="1"/>
      <c r="I8192" s="1"/>
      <c r="J8192" s="1"/>
      <c r="K8192" s="1"/>
      <c r="L8192" s="1"/>
      <c r="M8192" s="1"/>
      <c r="N8192" s="1"/>
      <c r="O8192" s="1"/>
      <c r="P8192" s="1"/>
      <c r="Q8192" s="1"/>
      <c r="R8192" s="1"/>
      <c r="S8192" s="1"/>
      <c r="T8192" s="1"/>
      <c r="U8192" s="1"/>
      <c r="V8192" s="1"/>
      <c r="W8192" s="1"/>
      <c r="X8192" s="1"/>
      <c r="Y8192" s="1"/>
      <c r="Z8192" s="1"/>
      <c r="AA8192" s="1"/>
      <c r="AB8192" s="1"/>
    </row>
    <row r="8193" ht="50.25" customHeight="1">
      <c r="A8193" s="12">
        <v>8189.0</v>
      </c>
      <c r="B8193" s="13" t="s">
        <v>7680</v>
      </c>
      <c r="C8193" s="18" t="s">
        <v>8218</v>
      </c>
      <c r="D8193" s="1"/>
      <c r="E8193" s="1"/>
      <c r="F8193" s="1" t="str">
        <f>IFERROR(__xludf.DUMMYFUNCTION("GOOGLETRANSLATE(B8193, ""en"", ""fa"")
"),"درخواست برای معلمان")</f>
        <v>درخواست برای معلمان</v>
      </c>
      <c r="G8193" s="1" t="str">
        <f>IFERROR(__xludf.DUMMYFUNCTION("GOOGLETRANSLATE(C8193, ""en"", ""fa"")
"),"بینش خود را در مورد استراتژی های موثر برای استفاده از شبیه سازی های تعاملی برای کشف مفاهیم علمی به اشتراک بگذارید.")</f>
        <v>بینش خود را در مورد استراتژی های موثر برای استفاده از شبیه سازی های تعاملی برای کشف مفاهیم علمی به اشتراک بگذارید.</v>
      </c>
      <c r="H8193" s="1"/>
      <c r="I8193" s="1"/>
      <c r="J8193" s="1"/>
      <c r="K8193" s="1"/>
      <c r="L8193" s="1"/>
      <c r="M8193" s="1"/>
      <c r="N8193" s="1"/>
      <c r="O8193" s="1"/>
      <c r="P8193" s="1"/>
      <c r="Q8193" s="1"/>
      <c r="R8193" s="1"/>
      <c r="S8193" s="1"/>
      <c r="T8193" s="1"/>
      <c r="U8193" s="1"/>
      <c r="V8193" s="1"/>
      <c r="W8193" s="1"/>
      <c r="X8193" s="1"/>
      <c r="Y8193" s="1"/>
      <c r="Z8193" s="1"/>
      <c r="AA8193" s="1"/>
      <c r="AB8193" s="1"/>
    </row>
    <row r="8194" ht="50.25" customHeight="1">
      <c r="A8194" s="12">
        <v>8190.0</v>
      </c>
      <c r="B8194" s="13" t="s">
        <v>7680</v>
      </c>
      <c r="C8194" s="18" t="s">
        <v>8219</v>
      </c>
      <c r="D8194" s="1"/>
      <c r="E8194" s="1"/>
      <c r="F8194" s="1" t="str">
        <f>IFERROR(__xludf.DUMMYFUNCTION("GOOGLETRANSLATE(B8194, ""en"", ""fa"")
"),"درخواست برای معلمان")</f>
        <v>درخواست برای معلمان</v>
      </c>
      <c r="G8194" s="1" t="str">
        <f>IFERROR(__xludf.DUMMYFUNCTION("GOOGLETRANSLATE(C8194, ""en"", ""fa"")
"),"در مورد اهمیت دسترسی دانش آموزان به ابزارها و منابع فناوری در کلاس درس بحث کنید.")</f>
        <v>در مورد اهمیت دسترسی دانش آموزان به ابزارها و منابع فناوری در کلاس درس بحث کنید.</v>
      </c>
      <c r="H8194" s="1"/>
      <c r="I8194" s="1"/>
      <c r="J8194" s="1"/>
      <c r="K8194" s="1"/>
      <c r="L8194" s="1"/>
      <c r="M8194" s="1"/>
      <c r="N8194" s="1"/>
      <c r="O8194" s="1"/>
      <c r="P8194" s="1"/>
      <c r="Q8194" s="1"/>
      <c r="R8194" s="1"/>
      <c r="S8194" s="1"/>
      <c r="T8194" s="1"/>
      <c r="U8194" s="1"/>
      <c r="V8194" s="1"/>
      <c r="W8194" s="1"/>
      <c r="X8194" s="1"/>
      <c r="Y8194" s="1"/>
      <c r="Z8194" s="1"/>
      <c r="AA8194" s="1"/>
      <c r="AB8194" s="1"/>
    </row>
    <row r="8195" ht="50.25" customHeight="1">
      <c r="A8195" s="12">
        <v>8191.0</v>
      </c>
      <c r="B8195" s="13" t="s">
        <v>7680</v>
      </c>
      <c r="C8195" s="18" t="s">
        <v>8220</v>
      </c>
      <c r="D8195" s="1"/>
      <c r="E8195" s="1"/>
      <c r="F8195" s="1" t="str">
        <f>IFERROR(__xludf.DUMMYFUNCTION("GOOGLETRANSLATE(B8195, ""en"", ""fa"")
"),"درخواست برای معلمان")</f>
        <v>درخواست برای معلمان</v>
      </c>
      <c r="G8195" s="1" t="str">
        <f>IFERROR(__xludf.DUMMYFUNCTION("GOOGLETRANSLATE(C8195, ""en"", ""fa"")
"),"راه‌های استفاده از کنفرانس ویدئویی یا کلاس‌های درس مجازی برای آموزش از راه دور یا همکاری جهانی را کاوش کنید.")</f>
        <v>راه‌های استفاده از کنفرانس ویدئویی یا کلاس‌های درس مجازی برای آموزش از راه دور یا همکاری جهانی را کاوش کنید.</v>
      </c>
      <c r="H8195" s="1"/>
      <c r="I8195" s="1"/>
      <c r="J8195" s="1"/>
      <c r="K8195" s="1"/>
      <c r="L8195" s="1"/>
      <c r="M8195" s="1"/>
      <c r="N8195" s="1"/>
      <c r="O8195" s="1"/>
      <c r="P8195" s="1"/>
      <c r="Q8195" s="1"/>
      <c r="R8195" s="1"/>
      <c r="S8195" s="1"/>
      <c r="T8195" s="1"/>
      <c r="U8195" s="1"/>
      <c r="V8195" s="1"/>
      <c r="W8195" s="1"/>
      <c r="X8195" s="1"/>
      <c r="Y8195" s="1"/>
      <c r="Z8195" s="1"/>
      <c r="AA8195" s="1"/>
      <c r="AB8195" s="1"/>
    </row>
    <row r="8196" ht="50.25" customHeight="1">
      <c r="A8196" s="12">
        <v>8192.0</v>
      </c>
      <c r="B8196" s="13" t="s">
        <v>7680</v>
      </c>
      <c r="C8196" s="18" t="s">
        <v>8221</v>
      </c>
      <c r="D8196" s="1"/>
      <c r="E8196" s="1"/>
      <c r="F8196" s="1" t="str">
        <f>IFERROR(__xludf.DUMMYFUNCTION("GOOGLETRANSLATE(B8196, ""en"", ""fa"")
"),"درخواست برای معلمان")</f>
        <v>درخواست برای معلمان</v>
      </c>
      <c r="G8196" s="1" t="str">
        <f>IFERROR(__xludf.DUMMYFUNCTION("GOOGLETRANSLATE(C8196, ""en"", ""fa"")
"),"تجربیات خود را در مورد استراتژی های موفق برای استفاده از وبلاگ ها یا وب سایت های آموزشی برای انتشارات دانش آموزی به اشتراک بگذارید.")</f>
        <v>تجربیات خود را در مورد استراتژی های موفق برای استفاده از وبلاگ ها یا وب سایت های آموزشی برای انتشارات دانش آموزی به اشتراک بگذارید.</v>
      </c>
      <c r="H8196" s="1"/>
      <c r="I8196" s="1"/>
      <c r="J8196" s="1"/>
      <c r="K8196" s="1"/>
      <c r="L8196" s="1"/>
      <c r="M8196" s="1"/>
      <c r="N8196" s="1"/>
      <c r="O8196" s="1"/>
      <c r="P8196" s="1"/>
      <c r="Q8196" s="1"/>
      <c r="R8196" s="1"/>
      <c r="S8196" s="1"/>
      <c r="T8196" s="1"/>
      <c r="U8196" s="1"/>
      <c r="V8196" s="1"/>
      <c r="W8196" s="1"/>
      <c r="X8196" s="1"/>
      <c r="Y8196" s="1"/>
      <c r="Z8196" s="1"/>
      <c r="AA8196" s="1"/>
      <c r="AB8196" s="1"/>
    </row>
    <row r="8197" ht="50.25" customHeight="1">
      <c r="A8197" s="12">
        <v>8193.0</v>
      </c>
      <c r="B8197" s="13" t="s">
        <v>7680</v>
      </c>
      <c r="C8197" s="18" t="s">
        <v>8222</v>
      </c>
      <c r="D8197" s="1"/>
      <c r="E8197" s="1"/>
      <c r="F8197" s="1" t="str">
        <f>IFERROR(__xludf.DUMMYFUNCTION("GOOGLETRANSLATE(B8197, ""en"", ""fa"")
"),"درخواست برای معلمان")</f>
        <v>درخواست برای معلمان</v>
      </c>
      <c r="G8197" s="1" t="str">
        <f>IFERROR(__xludf.DUMMYFUNCTION("GOOGLETRANSLATE(C8197, ""en"", ""fa"")
"),"درباره تأثیر استفاده از فناوری‌های یادگیری تطبیقی ​​برای شخصی‌سازی آموزش برای دانش‌آموزان بحث کنید.")</f>
        <v>درباره تأثیر استفاده از فناوری‌های یادگیری تطبیقی ​​برای شخصی‌سازی آموزش برای دانش‌آموزان بحث کنید.</v>
      </c>
      <c r="H8197" s="1"/>
      <c r="I8197" s="1"/>
      <c r="J8197" s="1"/>
      <c r="K8197" s="1"/>
      <c r="L8197" s="1"/>
      <c r="M8197" s="1"/>
      <c r="N8197" s="1"/>
      <c r="O8197" s="1"/>
      <c r="P8197" s="1"/>
      <c r="Q8197" s="1"/>
      <c r="R8197" s="1"/>
      <c r="S8197" s="1"/>
      <c r="T8197" s="1"/>
      <c r="U8197" s="1"/>
      <c r="V8197" s="1"/>
      <c r="W8197" s="1"/>
      <c r="X8197" s="1"/>
      <c r="Y8197" s="1"/>
      <c r="Z8197" s="1"/>
      <c r="AA8197" s="1"/>
      <c r="AB8197" s="1"/>
    </row>
    <row r="8198" ht="50.25" customHeight="1">
      <c r="A8198" s="12">
        <v>8194.0</v>
      </c>
      <c r="B8198" s="13" t="s">
        <v>7680</v>
      </c>
      <c r="C8198" s="18" t="s">
        <v>8223</v>
      </c>
      <c r="D8198" s="1"/>
      <c r="E8198" s="1"/>
      <c r="F8198" s="1" t="str">
        <f>IFERROR(__xludf.DUMMYFUNCTION("GOOGLETRANSLATE(B8198, ""en"", ""fa"")
"),"درخواست برای معلمان")</f>
        <v>درخواست برای معلمان</v>
      </c>
      <c r="G8198" s="1" t="str">
        <f>IFERROR(__xludf.DUMMYFUNCTION("GOOGLETRANSLATE(C8198, ""en"", ""fa"")
"),"راه های استفاده از نقشه ذهنی دیجیتال یا ابزارهای نقشه مفهومی برای سازماندهی و تجسم ایده ها را کاوش کنید.")</f>
        <v>راه های استفاده از نقشه ذهنی دیجیتال یا ابزارهای نقشه مفهومی برای سازماندهی و تجسم ایده ها را کاوش کنید.</v>
      </c>
      <c r="H8198" s="1"/>
      <c r="I8198" s="1"/>
      <c r="J8198" s="1"/>
      <c r="K8198" s="1"/>
      <c r="L8198" s="1"/>
      <c r="M8198" s="1"/>
      <c r="N8198" s="1"/>
      <c r="O8198" s="1"/>
      <c r="P8198" s="1"/>
      <c r="Q8198" s="1"/>
      <c r="R8198" s="1"/>
      <c r="S8198" s="1"/>
      <c r="T8198" s="1"/>
      <c r="U8198" s="1"/>
      <c r="V8198" s="1"/>
      <c r="W8198" s="1"/>
      <c r="X8198" s="1"/>
      <c r="Y8198" s="1"/>
      <c r="Z8198" s="1"/>
      <c r="AA8198" s="1"/>
      <c r="AB8198" s="1"/>
    </row>
    <row r="8199" ht="50.25" customHeight="1">
      <c r="A8199" s="12">
        <v>8195.0</v>
      </c>
      <c r="B8199" s="13" t="s">
        <v>7680</v>
      </c>
      <c r="C8199" s="18" t="s">
        <v>8224</v>
      </c>
      <c r="D8199" s="1"/>
      <c r="E8199" s="1"/>
      <c r="F8199" s="1" t="str">
        <f>IFERROR(__xludf.DUMMYFUNCTION("GOOGLETRANSLATE(B8199, ""en"", ""fa"")
"),"درخواست برای معلمان")</f>
        <v>درخواست برای معلمان</v>
      </c>
      <c r="G8199" s="1" t="str">
        <f>IFERROR(__xludf.DUMMYFUNCTION("GOOGLETRANSLATE(C8199, ""en"", ""fa"")
"),"بینش خود را در مورد استراتژی های موثر برای استفاده از آزمون ها یا ارزیابی های آنلاین برای نظارت بر پیشرفت دانش آموزان به اشتراک بگذارید.")</f>
        <v>بینش خود را در مورد استراتژی های موثر برای استفاده از آزمون ها یا ارزیابی های آنلاین برای نظارت بر پیشرفت دانش آموزان به اشتراک بگذارید.</v>
      </c>
      <c r="H8199" s="1"/>
      <c r="I8199" s="1"/>
      <c r="J8199" s="1"/>
      <c r="K8199" s="1"/>
      <c r="L8199" s="1"/>
      <c r="M8199" s="1"/>
      <c r="N8199" s="1"/>
      <c r="O8199" s="1"/>
      <c r="P8199" s="1"/>
      <c r="Q8199" s="1"/>
      <c r="R8199" s="1"/>
      <c r="S8199" s="1"/>
      <c r="T8199" s="1"/>
      <c r="U8199" s="1"/>
      <c r="V8199" s="1"/>
      <c r="W8199" s="1"/>
      <c r="X8199" s="1"/>
      <c r="Y8199" s="1"/>
      <c r="Z8199" s="1"/>
      <c r="AA8199" s="1"/>
      <c r="AB8199" s="1"/>
    </row>
    <row r="8200" ht="50.25" customHeight="1">
      <c r="A8200" s="12">
        <v>8196.0</v>
      </c>
      <c r="B8200" s="13" t="s">
        <v>7680</v>
      </c>
      <c r="C8200" s="18" t="s">
        <v>8225</v>
      </c>
      <c r="D8200" s="1"/>
      <c r="E8200" s="1"/>
      <c r="F8200" s="1" t="str">
        <f>IFERROR(__xludf.DUMMYFUNCTION("GOOGLETRANSLATE(B8200, ""en"", ""fa"")
"),"درخواست برای معلمان")</f>
        <v>درخواست برای معلمان</v>
      </c>
      <c r="G8200" s="1" t="str">
        <f>IFERROR(__xludf.DUMMYFUNCTION("GOOGLETRANSLATE(C8200, ""en"", ""fa"")
"),"در مورد نقش داستان سرایی دیجیتال در ارتقای خلاقیت و مهارت های روایت بحث کنید.")</f>
        <v>در مورد نقش داستان سرایی دیجیتال در ارتقای خلاقیت و مهارت های روایت بحث کنید.</v>
      </c>
      <c r="H8200" s="1"/>
      <c r="I8200" s="1"/>
      <c r="J8200" s="1"/>
      <c r="K8200" s="1"/>
      <c r="L8200" s="1"/>
      <c r="M8200" s="1"/>
      <c r="N8200" s="1"/>
      <c r="O8200" s="1"/>
      <c r="P8200" s="1"/>
      <c r="Q8200" s="1"/>
      <c r="R8200" s="1"/>
      <c r="S8200" s="1"/>
      <c r="T8200" s="1"/>
      <c r="U8200" s="1"/>
      <c r="V8200" s="1"/>
      <c r="W8200" s="1"/>
      <c r="X8200" s="1"/>
      <c r="Y8200" s="1"/>
      <c r="Z8200" s="1"/>
      <c r="AA8200" s="1"/>
      <c r="AB8200" s="1"/>
    </row>
    <row r="8201" ht="50.25" customHeight="1">
      <c r="A8201" s="12">
        <v>8197.0</v>
      </c>
      <c r="B8201" s="13" t="s">
        <v>7680</v>
      </c>
      <c r="C8201" s="18" t="s">
        <v>8226</v>
      </c>
      <c r="D8201" s="1"/>
      <c r="E8201" s="1"/>
      <c r="F8201" s="1" t="str">
        <f>IFERROR(__xludf.DUMMYFUNCTION("GOOGLETRANSLATE(B8201, ""en"", ""fa"")
"),"درخواست برای معلمان")</f>
        <v>درخواست برای معلمان</v>
      </c>
      <c r="G8201" s="1" t="str">
        <f>IFERROR(__xludf.DUMMYFUNCTION("GOOGLETRANSLATE(C8201, ""en"", ""fa"")
"),"راه‌هایی برای استفاده از ابزارهای حاشیه نویسی دیجیتال برای خواندن مشترک و فعالیت‌های حاشیه نویسی کاوش کنید.")</f>
        <v>راه‌هایی برای استفاده از ابزارهای حاشیه نویسی دیجیتال برای خواندن مشترک و فعالیت‌های حاشیه نویسی کاوش کنید.</v>
      </c>
      <c r="H8201" s="1"/>
      <c r="I8201" s="1"/>
      <c r="J8201" s="1"/>
      <c r="K8201" s="1"/>
      <c r="L8201" s="1"/>
      <c r="M8201" s="1"/>
      <c r="N8201" s="1"/>
      <c r="O8201" s="1"/>
      <c r="P8201" s="1"/>
      <c r="Q8201" s="1"/>
      <c r="R8201" s="1"/>
      <c r="S8201" s="1"/>
      <c r="T8201" s="1"/>
      <c r="U8201" s="1"/>
      <c r="V8201" s="1"/>
      <c r="W8201" s="1"/>
      <c r="X8201" s="1"/>
      <c r="Y8201" s="1"/>
      <c r="Z8201" s="1"/>
      <c r="AA8201" s="1"/>
      <c r="AB8201" s="1"/>
    </row>
    <row r="8202" ht="50.25" customHeight="1">
      <c r="A8202" s="12">
        <v>8198.0</v>
      </c>
      <c r="B8202" s="13" t="s">
        <v>7680</v>
      </c>
      <c r="C8202" s="18" t="s">
        <v>8227</v>
      </c>
      <c r="D8202" s="1"/>
      <c r="E8202" s="1"/>
      <c r="F8202" s="1" t="str">
        <f>IFERROR(__xludf.DUMMYFUNCTION("GOOGLETRANSLATE(B8202, ""en"", ""fa"")
"),"درخواست برای معلمان")</f>
        <v>درخواست برای معلمان</v>
      </c>
      <c r="G8202" s="1" t="str">
        <f>IFERROR(__xludf.DUMMYFUNCTION("GOOGLETRANSLATE(C8202, ""en"", ""fa"")
"),"تجربیات خود را در مورد استراتژی های موفق برای استفاده از نرم افزار ویرایش ویدیو برای ایجاد پروژه های چند رسانه ای به اشتراک بگذارید.")</f>
        <v>تجربیات خود را در مورد استراتژی های موفق برای استفاده از نرم افزار ویرایش ویدیو برای ایجاد پروژه های چند رسانه ای به اشتراک بگذارید.</v>
      </c>
      <c r="H8202" s="1"/>
      <c r="I8202" s="1"/>
      <c r="J8202" s="1"/>
      <c r="K8202" s="1"/>
      <c r="L8202" s="1"/>
      <c r="M8202" s="1"/>
      <c r="N8202" s="1"/>
      <c r="O8202" s="1"/>
      <c r="P8202" s="1"/>
      <c r="Q8202" s="1"/>
      <c r="R8202" s="1"/>
      <c r="S8202" s="1"/>
      <c r="T8202" s="1"/>
      <c r="U8202" s="1"/>
      <c r="V8202" s="1"/>
      <c r="W8202" s="1"/>
      <c r="X8202" s="1"/>
      <c r="Y8202" s="1"/>
      <c r="Z8202" s="1"/>
      <c r="AA8202" s="1"/>
      <c r="AB8202" s="1"/>
    </row>
    <row r="8203" ht="50.25" customHeight="1">
      <c r="A8203" s="12">
        <v>8199.0</v>
      </c>
      <c r="B8203" s="13" t="s">
        <v>7680</v>
      </c>
      <c r="C8203" s="18" t="s">
        <v>8228</v>
      </c>
      <c r="D8203" s="1"/>
      <c r="E8203" s="1"/>
      <c r="F8203" s="1" t="str">
        <f>IFERROR(__xludf.DUMMYFUNCTION("GOOGLETRANSLATE(B8203, ""en"", ""fa"")
"),"درخواست برای معلمان")</f>
        <v>درخواست برای معلمان</v>
      </c>
      <c r="G8203" s="1" t="str">
        <f>IFERROR(__xludf.DUMMYFUNCTION("GOOGLETRANSLATE(C8203, ""en"", ""fa"")
"),"در مورد اهمیت آموزش مهارت های تحقیق آنلاین، از جمله ارزیابی منابع و استناد به منابع بحث کنید.")</f>
        <v>در مورد اهمیت آموزش مهارت های تحقیق آنلاین، از جمله ارزیابی منابع و استناد به منابع بحث کنید.</v>
      </c>
      <c r="H8203" s="1"/>
      <c r="I8203" s="1"/>
      <c r="J8203" s="1"/>
      <c r="K8203" s="1"/>
      <c r="L8203" s="1"/>
      <c r="M8203" s="1"/>
      <c r="N8203" s="1"/>
      <c r="O8203" s="1"/>
      <c r="P8203" s="1"/>
      <c r="Q8203" s="1"/>
      <c r="R8203" s="1"/>
      <c r="S8203" s="1"/>
      <c r="T8203" s="1"/>
      <c r="U8203" s="1"/>
      <c r="V8203" s="1"/>
      <c r="W8203" s="1"/>
      <c r="X8203" s="1"/>
      <c r="Y8203" s="1"/>
      <c r="Z8203" s="1"/>
      <c r="AA8203" s="1"/>
      <c r="AB8203" s="1"/>
    </row>
    <row r="8204" ht="50.25" customHeight="1">
      <c r="A8204" s="12">
        <v>8200.0</v>
      </c>
      <c r="B8204" s="13" t="s">
        <v>7680</v>
      </c>
      <c r="C8204" s="18" t="s">
        <v>8229</v>
      </c>
      <c r="D8204" s="1"/>
      <c r="E8204" s="1"/>
      <c r="F8204" s="1" t="str">
        <f>IFERROR(__xludf.DUMMYFUNCTION("GOOGLETRANSLATE(B8204, ""en"", ""fa"")
"),"درخواست برای معلمان")</f>
        <v>درخواست برای معلمان</v>
      </c>
      <c r="G8204" s="1" t="str">
        <f>IFERROR(__xludf.DUMMYFUNCTION("GOOGLETRANSLATE(C8204, ""en"", ""fa"")
"),"راه‌های استفاده از پادکست‌های آموزشی یا منابع صوتی برای حمایت از یادگیری را بررسی کنید.")</f>
        <v>راه‌های استفاده از پادکست‌های آموزشی یا منابع صوتی برای حمایت از یادگیری را بررسی کنید.</v>
      </c>
      <c r="H8204" s="1"/>
      <c r="I8204" s="1"/>
      <c r="J8204" s="1"/>
      <c r="K8204" s="1"/>
      <c r="L8204" s="1"/>
      <c r="M8204" s="1"/>
      <c r="N8204" s="1"/>
      <c r="O8204" s="1"/>
      <c r="P8204" s="1"/>
      <c r="Q8204" s="1"/>
      <c r="R8204" s="1"/>
      <c r="S8204" s="1"/>
      <c r="T8204" s="1"/>
      <c r="U8204" s="1"/>
      <c r="V8204" s="1"/>
      <c r="W8204" s="1"/>
      <c r="X8204" s="1"/>
      <c r="Y8204" s="1"/>
      <c r="Z8204" s="1"/>
      <c r="AA8204" s="1"/>
      <c r="AB8204" s="1"/>
    </row>
    <row r="8205" ht="50.25" customHeight="1">
      <c r="A8205" s="12">
        <v>8201.0</v>
      </c>
      <c r="B8205" s="13" t="s">
        <v>7680</v>
      </c>
      <c r="C8205" s="18" t="s">
        <v>8230</v>
      </c>
      <c r="D8205" s="1"/>
      <c r="E8205" s="1"/>
      <c r="F8205" s="1" t="str">
        <f>IFERROR(__xludf.DUMMYFUNCTION("GOOGLETRANSLATE(B8205, ""en"", ""fa"")
"),"درخواست برای معلمان")</f>
        <v>درخواست برای معلمان</v>
      </c>
      <c r="G8205" s="1" t="str">
        <f>IFERROR(__xludf.DUMMYFUNCTION("GOOGLETRANSLATE(C8205, ""en"", ""fa"")
"),"بینش خود را در مورد استراتژی‌های مؤثر برای استفاده از درس‌های تعاملی آنلاین یا آموزش‌ها برای آموزش متمایز به اشتراک بگذارید.")</f>
        <v>بینش خود را در مورد استراتژی‌های مؤثر برای استفاده از درس‌های تعاملی آنلاین یا آموزش‌ها برای آموزش متمایز به اشتراک بگذارید.</v>
      </c>
      <c r="H8205" s="1"/>
      <c r="I8205" s="1"/>
      <c r="J8205" s="1"/>
      <c r="K8205" s="1"/>
      <c r="L8205" s="1"/>
      <c r="M8205" s="1"/>
      <c r="N8205" s="1"/>
      <c r="O8205" s="1"/>
      <c r="P8205" s="1"/>
      <c r="Q8205" s="1"/>
      <c r="R8205" s="1"/>
      <c r="S8205" s="1"/>
      <c r="T8205" s="1"/>
      <c r="U8205" s="1"/>
      <c r="V8205" s="1"/>
      <c r="W8205" s="1"/>
      <c r="X8205" s="1"/>
      <c r="Y8205" s="1"/>
      <c r="Z8205" s="1"/>
      <c r="AA8205" s="1"/>
      <c r="AB8205" s="1"/>
    </row>
    <row r="8206" ht="50.25" customHeight="1">
      <c r="A8206" s="12">
        <v>8202.0</v>
      </c>
      <c r="B8206" s="13" t="s">
        <v>7680</v>
      </c>
      <c r="C8206" s="18" t="s">
        <v>8231</v>
      </c>
      <c r="D8206" s="1"/>
      <c r="E8206" s="1"/>
      <c r="F8206" s="1" t="str">
        <f>IFERROR(__xludf.DUMMYFUNCTION("GOOGLETRANSLATE(B8206, ""en"", ""fa"")
"),"درخواست برای معلمان")</f>
        <v>درخواست برای معلمان</v>
      </c>
      <c r="G8206" s="1" t="str">
        <f>IFERROR(__xludf.DUMMYFUNCTION("GOOGLETRANSLATE(C8206, ""en"", ""fa"")
"),"در مورد تأثیر استفاده از ابزارهای دیجیتال برای تجزیه و تحلیل و تجسم داده ها در ریاضیات یا علوم بحث کنید.")</f>
        <v>در مورد تأثیر استفاده از ابزارهای دیجیتال برای تجزیه و تحلیل و تجسم داده ها در ریاضیات یا علوم بحث کنید.</v>
      </c>
      <c r="H8206" s="1"/>
      <c r="I8206" s="1"/>
      <c r="J8206" s="1"/>
      <c r="K8206" s="1"/>
      <c r="L8206" s="1"/>
      <c r="M8206" s="1"/>
      <c r="N8206" s="1"/>
      <c r="O8206" s="1"/>
      <c r="P8206" s="1"/>
      <c r="Q8206" s="1"/>
      <c r="R8206" s="1"/>
      <c r="S8206" s="1"/>
      <c r="T8206" s="1"/>
      <c r="U8206" s="1"/>
      <c r="V8206" s="1"/>
      <c r="W8206" s="1"/>
      <c r="X8206" s="1"/>
      <c r="Y8206" s="1"/>
      <c r="Z8206" s="1"/>
      <c r="AA8206" s="1"/>
      <c r="AB8206" s="1"/>
    </row>
    <row r="8207" ht="50.25" customHeight="1">
      <c r="A8207" s="12">
        <v>8203.0</v>
      </c>
      <c r="B8207" s="13" t="s">
        <v>7680</v>
      </c>
      <c r="C8207" s="18" t="s">
        <v>8232</v>
      </c>
      <c r="D8207" s="1"/>
      <c r="E8207" s="1"/>
      <c r="F8207" s="1" t="str">
        <f>IFERROR(__xludf.DUMMYFUNCTION("GOOGLETRANSLATE(B8207, ""en"", ""fa"")
"),"درخواست برای معلمان")</f>
        <v>درخواست برای معلمان</v>
      </c>
      <c r="G8207" s="1" t="str">
        <f>IFERROR(__xludf.DUMMYFUNCTION("GOOGLETRANSLATE(C8207, ""en"", ""fa"")
"),"راه‌های استفاده از برنامه‌ها یا وب‌سایت‌های آموزشی برای یادگیری و تمرین زبان‌های خارجی را کاوش کنید.")</f>
        <v>راه‌های استفاده از برنامه‌ها یا وب‌سایت‌های آموزشی برای یادگیری و تمرین زبان‌های خارجی را کاوش کنید.</v>
      </c>
      <c r="H8207" s="1"/>
      <c r="I8207" s="1"/>
      <c r="J8207" s="1"/>
      <c r="K8207" s="1"/>
      <c r="L8207" s="1"/>
      <c r="M8207" s="1"/>
      <c r="N8207" s="1"/>
      <c r="O8207" s="1"/>
      <c r="P8207" s="1"/>
      <c r="Q8207" s="1"/>
      <c r="R8207" s="1"/>
      <c r="S8207" s="1"/>
      <c r="T8207" s="1"/>
      <c r="U8207" s="1"/>
      <c r="V8207" s="1"/>
      <c r="W8207" s="1"/>
      <c r="X8207" s="1"/>
      <c r="Y8207" s="1"/>
      <c r="Z8207" s="1"/>
      <c r="AA8207" s="1"/>
      <c r="AB8207" s="1"/>
    </row>
    <row r="8208" ht="50.25" customHeight="1">
      <c r="A8208" s="12">
        <v>8204.0</v>
      </c>
      <c r="B8208" s="13" t="s">
        <v>7680</v>
      </c>
      <c r="C8208" s="18" t="s">
        <v>8233</v>
      </c>
      <c r="D8208" s="1"/>
      <c r="E8208" s="1"/>
      <c r="F8208" s="1" t="str">
        <f>IFERROR(__xludf.DUMMYFUNCTION("GOOGLETRANSLATE(B8208, ""en"", ""fa"")
"),"درخواست برای معلمان")</f>
        <v>درخواست برای معلمان</v>
      </c>
      <c r="G8208" s="1" t="str">
        <f>IFERROR(__xludf.DUMMYFUNCTION("GOOGLETRANSLATE(C8208, ""en"", ""fa"")
"),"تجربیات خود را در مورد استراتژی های موفق برای استفاده از ابزارهای همکاری آنلاین برای پروژه های گروهی به اشتراک بگذارید.")</f>
        <v>تجربیات خود را در مورد استراتژی های موفق برای استفاده از ابزارهای همکاری آنلاین برای پروژه های گروهی به اشتراک بگذارید.</v>
      </c>
      <c r="H8208" s="1"/>
      <c r="I8208" s="1"/>
      <c r="J8208" s="1"/>
      <c r="K8208" s="1"/>
      <c r="L8208" s="1"/>
      <c r="M8208" s="1"/>
      <c r="N8208" s="1"/>
      <c r="O8208" s="1"/>
      <c r="P8208" s="1"/>
      <c r="Q8208" s="1"/>
      <c r="R8208" s="1"/>
      <c r="S8208" s="1"/>
      <c r="T8208" s="1"/>
      <c r="U8208" s="1"/>
      <c r="V8208" s="1"/>
      <c r="W8208" s="1"/>
      <c r="X8208" s="1"/>
      <c r="Y8208" s="1"/>
      <c r="Z8208" s="1"/>
      <c r="AA8208" s="1"/>
      <c r="AB8208" s="1"/>
    </row>
    <row r="8209" ht="50.25" customHeight="1">
      <c r="A8209" s="12">
        <v>8205.0</v>
      </c>
      <c r="B8209" s="13" t="s">
        <v>7680</v>
      </c>
      <c r="C8209" s="18" t="s">
        <v>8234</v>
      </c>
      <c r="D8209" s="1"/>
      <c r="E8209" s="1"/>
      <c r="F8209" s="1" t="str">
        <f>IFERROR(__xludf.DUMMYFUNCTION("GOOGLETRANSLATE(B8209, ""en"", ""fa"")
"),"درخواست برای معلمان")</f>
        <v>درخواست برای معلمان</v>
      </c>
      <c r="G8209" s="1" t="str">
        <f>IFERROR(__xludf.DUMMYFUNCTION("GOOGLETRANSLATE(C8209, ""en"", ""fa"")
"),"در مورد نقش پورتفولیوهای دیجیتال در مستندسازی و ارزیابی رشد دانش آموزان در طول زمان بحث کنید.")</f>
        <v>در مورد نقش پورتفولیوهای دیجیتال در مستندسازی و ارزیابی رشد دانش آموزان در طول زمان بحث کنید.</v>
      </c>
      <c r="H8209" s="1"/>
      <c r="I8209" s="1"/>
      <c r="J8209" s="1"/>
      <c r="K8209" s="1"/>
      <c r="L8209" s="1"/>
      <c r="M8209" s="1"/>
      <c r="N8209" s="1"/>
      <c r="O8209" s="1"/>
      <c r="P8209" s="1"/>
      <c r="Q8209" s="1"/>
      <c r="R8209" s="1"/>
      <c r="S8209" s="1"/>
      <c r="T8209" s="1"/>
      <c r="U8209" s="1"/>
      <c r="V8209" s="1"/>
      <c r="W8209" s="1"/>
      <c r="X8209" s="1"/>
      <c r="Y8209" s="1"/>
      <c r="Z8209" s="1"/>
      <c r="AA8209" s="1"/>
      <c r="AB8209" s="1"/>
    </row>
    <row r="8210" ht="50.25" customHeight="1">
      <c r="A8210" s="12">
        <v>8206.0</v>
      </c>
      <c r="B8210" s="13" t="s">
        <v>7680</v>
      </c>
      <c r="C8210" s="18" t="s">
        <v>8235</v>
      </c>
      <c r="D8210" s="1"/>
      <c r="E8210" s="1"/>
      <c r="F8210" s="1" t="str">
        <f>IFERROR(__xludf.DUMMYFUNCTION("GOOGLETRANSLATE(B8210, ""en"", ""fa"")
"),"درخواست برای معلمان")</f>
        <v>درخواست برای معلمان</v>
      </c>
      <c r="G8210" s="1" t="str">
        <f>IFERROR(__xludf.DUMMYFUNCTION("GOOGLETRANSLATE(C8210, ""en"", ""fa"")
"),"روش‌های استفاده از ابزارهای نظرسنجی یا نظرسنجی آنلاین برای جمع‌آوری نظرات و نظرات دانش‌آموزان را بررسی کنید.")</f>
        <v>روش‌های استفاده از ابزارهای نظرسنجی یا نظرسنجی آنلاین برای جمع‌آوری نظرات و نظرات دانش‌آموزان را بررسی کنید.</v>
      </c>
      <c r="H8210" s="1"/>
      <c r="I8210" s="1"/>
      <c r="J8210" s="1"/>
      <c r="K8210" s="1"/>
      <c r="L8210" s="1"/>
      <c r="M8210" s="1"/>
      <c r="N8210" s="1"/>
      <c r="O8210" s="1"/>
      <c r="P8210" s="1"/>
      <c r="Q8210" s="1"/>
      <c r="R8210" s="1"/>
      <c r="S8210" s="1"/>
      <c r="T8210" s="1"/>
      <c r="U8210" s="1"/>
      <c r="V8210" s="1"/>
      <c r="W8210" s="1"/>
      <c r="X8210" s="1"/>
      <c r="Y8210" s="1"/>
      <c r="Z8210" s="1"/>
      <c r="AA8210" s="1"/>
      <c r="AB8210" s="1"/>
    </row>
    <row r="8211" ht="50.25" customHeight="1">
      <c r="A8211" s="12">
        <v>8207.0</v>
      </c>
      <c r="B8211" s="13" t="s">
        <v>7680</v>
      </c>
      <c r="C8211" s="18" t="s">
        <v>8236</v>
      </c>
      <c r="D8211" s="1"/>
      <c r="E8211" s="1"/>
      <c r="F8211" s="1" t="str">
        <f>IFERROR(__xludf.DUMMYFUNCTION("GOOGLETRANSLATE(B8211, ""en"", ""fa"")
"),"درخواست برای معلمان")</f>
        <v>درخواست برای معلمان</v>
      </c>
      <c r="G8211" s="1" t="str">
        <f>IFERROR(__xludf.DUMMYFUNCTION("GOOGLETRANSLATE(C8211, ""en"", ""fa"")
"),"بینش خود را در مورد استراتژی های موثر برای استفاده از پلتفرم های نوشتن آنلاین برای پروژه های نویسندگی مشترک به اشتراک بگذارید.")</f>
        <v>بینش خود را در مورد استراتژی های موثر برای استفاده از پلتفرم های نوشتن آنلاین برای پروژه های نویسندگی مشترک به اشتراک بگذارید.</v>
      </c>
      <c r="H8211" s="1"/>
      <c r="I8211" s="1"/>
      <c r="J8211" s="1"/>
      <c r="K8211" s="1"/>
      <c r="L8211" s="1"/>
      <c r="M8211" s="1"/>
      <c r="N8211" s="1"/>
      <c r="O8211" s="1"/>
      <c r="P8211" s="1"/>
      <c r="Q8211" s="1"/>
      <c r="R8211" s="1"/>
      <c r="S8211" s="1"/>
      <c r="T8211" s="1"/>
      <c r="U8211" s="1"/>
      <c r="V8211" s="1"/>
      <c r="W8211" s="1"/>
      <c r="X8211" s="1"/>
      <c r="Y8211" s="1"/>
      <c r="Z8211" s="1"/>
      <c r="AA8211" s="1"/>
      <c r="AB8211" s="1"/>
    </row>
    <row r="8212" ht="50.25" customHeight="1">
      <c r="A8212" s="12">
        <v>8208.0</v>
      </c>
      <c r="B8212" s="13" t="s">
        <v>7680</v>
      </c>
      <c r="C8212" s="18" t="s">
        <v>8237</v>
      </c>
      <c r="D8212" s="1"/>
      <c r="E8212" s="1"/>
      <c r="F8212" s="1" t="str">
        <f>IFERROR(__xludf.DUMMYFUNCTION("GOOGLETRANSLATE(B8212, ""en"", ""fa"")
"),"درخواست برای معلمان")</f>
        <v>درخواست برای معلمان</v>
      </c>
      <c r="G8212" s="1" t="str">
        <f>IFERROR(__xludf.DUMMYFUNCTION("GOOGLETRANSLATE(C8212, ""en"", ""fa"")
"),"در مورد اهمیت دسترسی دیجیتال و طراحی فراگیر در یکپارچه سازی فناوری بحث کنید.")</f>
        <v>در مورد اهمیت دسترسی دیجیتال و طراحی فراگیر در یکپارچه سازی فناوری بحث کنید.</v>
      </c>
      <c r="H8212" s="1"/>
      <c r="I8212" s="1"/>
      <c r="J8212" s="1"/>
      <c r="K8212" s="1"/>
      <c r="L8212" s="1"/>
      <c r="M8212" s="1"/>
      <c r="N8212" s="1"/>
      <c r="O8212" s="1"/>
      <c r="P8212" s="1"/>
      <c r="Q8212" s="1"/>
      <c r="R8212" s="1"/>
      <c r="S8212" s="1"/>
      <c r="T8212" s="1"/>
      <c r="U8212" s="1"/>
      <c r="V8212" s="1"/>
      <c r="W8212" s="1"/>
      <c r="X8212" s="1"/>
      <c r="Y8212" s="1"/>
      <c r="Z8212" s="1"/>
      <c r="AA8212" s="1"/>
      <c r="AB8212" s="1"/>
    </row>
    <row r="8213" ht="50.25" customHeight="1">
      <c r="A8213" s="12">
        <v>8209.0</v>
      </c>
      <c r="B8213" s="13" t="s">
        <v>7680</v>
      </c>
      <c r="C8213" s="18" t="s">
        <v>8238</v>
      </c>
      <c r="D8213" s="1"/>
      <c r="E8213" s="1"/>
      <c r="F8213" s="1" t="str">
        <f>IFERROR(__xludf.DUMMYFUNCTION("GOOGLETRANSLATE(B8213, ""en"", ""fa"")
"),"درخواست برای معلمان")</f>
        <v>درخواست برای معلمان</v>
      </c>
      <c r="G8213" s="1" t="str">
        <f>IFERROR(__xludf.DUMMYFUNCTION("GOOGLETRANSLATE(C8213, ""en"", ""fa"")
"),"راه‌های استفاده از نقشه‌های تعاملی آنلاین یا کره‌ها را برای درس‌های جغرافیا و مطالعات اجتماعی کاوش کنید.")</f>
        <v>راه‌های استفاده از نقشه‌های تعاملی آنلاین یا کره‌ها را برای درس‌های جغرافیا و مطالعات اجتماعی کاوش کنید.</v>
      </c>
      <c r="H8213" s="1"/>
      <c r="I8213" s="1"/>
      <c r="J8213" s="1"/>
      <c r="K8213" s="1"/>
      <c r="L8213" s="1"/>
      <c r="M8213" s="1"/>
      <c r="N8213" s="1"/>
      <c r="O8213" s="1"/>
      <c r="P8213" s="1"/>
      <c r="Q8213" s="1"/>
      <c r="R8213" s="1"/>
      <c r="S8213" s="1"/>
      <c r="T8213" s="1"/>
      <c r="U8213" s="1"/>
      <c r="V8213" s="1"/>
      <c r="W8213" s="1"/>
      <c r="X8213" s="1"/>
      <c r="Y8213" s="1"/>
      <c r="Z8213" s="1"/>
      <c r="AA8213" s="1"/>
      <c r="AB8213" s="1"/>
    </row>
    <row r="8214" ht="50.25" customHeight="1">
      <c r="A8214" s="12">
        <v>8210.0</v>
      </c>
      <c r="B8214" s="13" t="s">
        <v>7680</v>
      </c>
      <c r="C8214" s="18" t="s">
        <v>8239</v>
      </c>
      <c r="D8214" s="1"/>
      <c r="E8214" s="1"/>
      <c r="F8214" s="1" t="str">
        <f>IFERROR(__xludf.DUMMYFUNCTION("GOOGLETRANSLATE(B8214, ""en"", ""fa"")
"),"درخواست برای معلمان")</f>
        <v>درخواست برای معلمان</v>
      </c>
      <c r="G8214" s="1" t="str">
        <f>IFERROR(__xludf.DUMMYFUNCTION("GOOGLETRANSLATE(C8214, ""en"", ""fa"")
"),"تجربیات خود را در مورد استراتژی های موفق برای استفاده از ابزارهای دیجیتال برای جمع آوری و تجزیه و تحلیل داده ها در آزمایش های علمی به اشتراک بگذارید.")</f>
        <v>تجربیات خود را در مورد استراتژی های موفق برای استفاده از ابزارهای دیجیتال برای جمع آوری و تجزیه و تحلیل داده ها در آزمایش های علمی به اشتراک بگذارید.</v>
      </c>
      <c r="H8214" s="1"/>
      <c r="I8214" s="1"/>
      <c r="J8214" s="1"/>
      <c r="K8214" s="1"/>
      <c r="L8214" s="1"/>
      <c r="M8214" s="1"/>
      <c r="N8214" s="1"/>
      <c r="O8214" s="1"/>
      <c r="P8214" s="1"/>
      <c r="Q8214" s="1"/>
      <c r="R8214" s="1"/>
      <c r="S8214" s="1"/>
      <c r="T8214" s="1"/>
      <c r="U8214" s="1"/>
      <c r="V8214" s="1"/>
      <c r="W8214" s="1"/>
      <c r="X8214" s="1"/>
      <c r="Y8214" s="1"/>
      <c r="Z8214" s="1"/>
      <c r="AA8214" s="1"/>
      <c r="AB8214" s="1"/>
    </row>
    <row r="8215" ht="50.25" customHeight="1">
      <c r="A8215" s="12">
        <v>8211.0</v>
      </c>
      <c r="B8215" s="13" t="s">
        <v>7680</v>
      </c>
      <c r="C8215" s="18" t="s">
        <v>8240</v>
      </c>
      <c r="D8215" s="1"/>
      <c r="E8215" s="1"/>
      <c r="F8215" s="1" t="str">
        <f>IFERROR(__xludf.DUMMYFUNCTION("GOOGLETRANSLATE(B8215, ""en"", ""fa"")
"),"درخواست برای معلمان")</f>
        <v>درخواست برای معلمان</v>
      </c>
      <c r="G8215" s="1" t="str">
        <f>IFERROR(__xludf.DUMMYFUNCTION("GOOGLETRANSLATE(C8215, ""en"", ""fa"")
"),"در مورد تأثیر استفاده از برنامه ها یا وب سایت های آموزشی برای تمرین مهارت های ریاضی و حل مسئله بحث کنید.")</f>
        <v>در مورد تأثیر استفاده از برنامه ها یا وب سایت های آموزشی برای تمرین مهارت های ریاضی و حل مسئله بحث کنید.</v>
      </c>
      <c r="H8215" s="1"/>
      <c r="I8215" s="1"/>
      <c r="J8215" s="1"/>
      <c r="K8215" s="1"/>
      <c r="L8215" s="1"/>
      <c r="M8215" s="1"/>
      <c r="N8215" s="1"/>
      <c r="O8215" s="1"/>
      <c r="P8215" s="1"/>
      <c r="Q8215" s="1"/>
      <c r="R8215" s="1"/>
      <c r="S8215" s="1"/>
      <c r="T8215" s="1"/>
      <c r="U8215" s="1"/>
      <c r="V8215" s="1"/>
      <c r="W8215" s="1"/>
      <c r="X8215" s="1"/>
      <c r="Y8215" s="1"/>
      <c r="Z8215" s="1"/>
      <c r="AA8215" s="1"/>
      <c r="AB8215" s="1"/>
    </row>
    <row r="8216" ht="50.25" customHeight="1">
      <c r="A8216" s="12">
        <v>8212.0</v>
      </c>
      <c r="B8216" s="13" t="s">
        <v>7680</v>
      </c>
      <c r="C8216" s="18" t="s">
        <v>8241</v>
      </c>
      <c r="D8216" s="1"/>
      <c r="E8216" s="1"/>
      <c r="F8216" s="1" t="str">
        <f>IFERROR(__xludf.DUMMYFUNCTION("GOOGLETRANSLATE(B8216, ""en"", ""fa"")
"),"درخواست برای معلمان")</f>
        <v>درخواست برای معلمان</v>
      </c>
      <c r="G8216" s="1" t="str">
        <f>IFERROR(__xludf.DUMMYFUNCTION("GOOGLETRANSLATE(C8216, ""en"", ""fa"")
"),"راه‌های استفاده از ویدئو کنفرانس یا ابزارهای ارتباطی آنلاین را برای سخنرانان مهمان مجازی یا کارشناسان کاوش کنید.")</f>
        <v>راه‌های استفاده از ویدئو کنفرانس یا ابزارهای ارتباطی آنلاین را برای سخنرانان مهمان مجازی یا کارشناسان کاوش کنید.</v>
      </c>
      <c r="H8216" s="1"/>
      <c r="I8216" s="1"/>
      <c r="J8216" s="1"/>
      <c r="K8216" s="1"/>
      <c r="L8216" s="1"/>
      <c r="M8216" s="1"/>
      <c r="N8216" s="1"/>
      <c r="O8216" s="1"/>
      <c r="P8216" s="1"/>
      <c r="Q8216" s="1"/>
      <c r="R8216" s="1"/>
      <c r="S8216" s="1"/>
      <c r="T8216" s="1"/>
      <c r="U8216" s="1"/>
      <c r="V8216" s="1"/>
      <c r="W8216" s="1"/>
      <c r="X8216" s="1"/>
      <c r="Y8216" s="1"/>
      <c r="Z8216" s="1"/>
      <c r="AA8216" s="1"/>
      <c r="AB8216" s="1"/>
    </row>
    <row r="8217" ht="50.25" customHeight="1">
      <c r="A8217" s="12">
        <v>8213.0</v>
      </c>
      <c r="B8217" s="13" t="s">
        <v>7680</v>
      </c>
      <c r="C8217" s="18" t="s">
        <v>8242</v>
      </c>
      <c r="D8217" s="1"/>
      <c r="E8217" s="1"/>
      <c r="F8217" s="1" t="str">
        <f>IFERROR(__xludf.DUMMYFUNCTION("GOOGLETRANSLATE(B8217, ""en"", ""fa"")
"),"درخواست برای معلمان")</f>
        <v>درخواست برای معلمان</v>
      </c>
      <c r="G8217" s="1" t="str">
        <f>IFERROR(__xludf.DUMMYFUNCTION("GOOGLETRANSLATE(C8217, ""en"", ""fa"")
"),"بینش خود را در مورد استراتژی های موثر برای استفاده از فلش کارت های دیجیتال یا برنامه های مطالعه برای مرور و حفظ به اشتراک بگذارید.")</f>
        <v>بینش خود را در مورد استراتژی های موثر برای استفاده از فلش کارت های دیجیتال یا برنامه های مطالعه برای مرور و حفظ به اشتراک بگذارید.</v>
      </c>
      <c r="H8217" s="1"/>
      <c r="I8217" s="1"/>
      <c r="J8217" s="1"/>
      <c r="K8217" s="1"/>
      <c r="L8217" s="1"/>
      <c r="M8217" s="1"/>
      <c r="N8217" s="1"/>
      <c r="O8217" s="1"/>
      <c r="P8217" s="1"/>
      <c r="Q8217" s="1"/>
      <c r="R8217" s="1"/>
      <c r="S8217" s="1"/>
      <c r="T8217" s="1"/>
      <c r="U8217" s="1"/>
      <c r="V8217" s="1"/>
      <c r="W8217" s="1"/>
      <c r="X8217" s="1"/>
      <c r="Y8217" s="1"/>
      <c r="Z8217" s="1"/>
      <c r="AA8217" s="1"/>
      <c r="AB8217" s="1"/>
    </row>
    <row r="8218" ht="50.25" customHeight="1">
      <c r="A8218" s="12">
        <v>8214.0</v>
      </c>
      <c r="B8218" s="13" t="s">
        <v>7680</v>
      </c>
      <c r="C8218" s="18" t="s">
        <v>8243</v>
      </c>
      <c r="D8218" s="1"/>
      <c r="E8218" s="1"/>
      <c r="F8218" s="1" t="str">
        <f>IFERROR(__xludf.DUMMYFUNCTION("GOOGLETRANSLATE(B8218, ""en"", ""fa"")
"),"درخواست برای معلمان")</f>
        <v>درخواست برای معلمان</v>
      </c>
      <c r="G8218" s="1" t="str">
        <f>IFERROR(__xludf.DUMMYFUNCTION("GOOGLETRANSLATE(C8218, ""en"", ""fa"")
"),"درباره نقش برنامه درسی شهروندی دیجیتال در آموزش استفاده مسئولانه و اخلاقی از فناوری بحث کنید.")</f>
        <v>درباره نقش برنامه درسی شهروندی دیجیتال در آموزش استفاده مسئولانه و اخلاقی از فناوری بحث کنید.</v>
      </c>
      <c r="H8218" s="1"/>
      <c r="I8218" s="1"/>
      <c r="J8218" s="1"/>
      <c r="K8218" s="1"/>
      <c r="L8218" s="1"/>
      <c r="M8218" s="1"/>
      <c r="N8218" s="1"/>
      <c r="O8218" s="1"/>
      <c r="P8218" s="1"/>
      <c r="Q8218" s="1"/>
      <c r="R8218" s="1"/>
      <c r="S8218" s="1"/>
      <c r="T8218" s="1"/>
      <c r="U8218" s="1"/>
      <c r="V8218" s="1"/>
      <c r="W8218" s="1"/>
      <c r="X8218" s="1"/>
      <c r="Y8218" s="1"/>
      <c r="Z8218" s="1"/>
      <c r="AA8218" s="1"/>
      <c r="AB8218" s="1"/>
    </row>
    <row r="8219" ht="50.25" customHeight="1">
      <c r="A8219" s="12">
        <v>8215.0</v>
      </c>
      <c r="B8219" s="13" t="s">
        <v>7680</v>
      </c>
      <c r="C8219" s="18" t="s">
        <v>8244</v>
      </c>
      <c r="D8219" s="1"/>
      <c r="E8219" s="1"/>
      <c r="F8219" s="1" t="str">
        <f>IFERROR(__xludf.DUMMYFUNCTION("GOOGLETRANSLATE(B8219, ""en"", ""fa"")
"),"درخواست برای معلمان")</f>
        <v>درخواست برای معلمان</v>
      </c>
      <c r="G8219" s="1" t="str">
        <f>IFERROR(__xludf.DUMMYFUNCTION("GOOGLETRANSLATE(C8219, ""en"", ""fa"")
"),"راه‌های استفاده از ابزارهای حاشیه‌نویسی و برجسته‌سازی آنلاین برای خواندن و تجزیه و تحلیل دقیق متون را کاوش کنید.")</f>
        <v>راه‌های استفاده از ابزارهای حاشیه‌نویسی و برجسته‌سازی آنلاین برای خواندن و تجزیه و تحلیل دقیق متون را کاوش کنید.</v>
      </c>
      <c r="H8219" s="1"/>
      <c r="I8219" s="1"/>
      <c r="J8219" s="1"/>
      <c r="K8219" s="1"/>
      <c r="L8219" s="1"/>
      <c r="M8219" s="1"/>
      <c r="N8219" s="1"/>
      <c r="O8219" s="1"/>
      <c r="P8219" s="1"/>
      <c r="Q8219" s="1"/>
      <c r="R8219" s="1"/>
      <c r="S8219" s="1"/>
      <c r="T8219" s="1"/>
      <c r="U8219" s="1"/>
      <c r="V8219" s="1"/>
      <c r="W8219" s="1"/>
      <c r="X8219" s="1"/>
      <c r="Y8219" s="1"/>
      <c r="Z8219" s="1"/>
      <c r="AA8219" s="1"/>
      <c r="AB8219" s="1"/>
    </row>
    <row r="8220" ht="50.25" customHeight="1">
      <c r="A8220" s="12">
        <v>8216.0</v>
      </c>
      <c r="B8220" s="13" t="s">
        <v>7680</v>
      </c>
      <c r="C8220" s="18" t="s">
        <v>8245</v>
      </c>
      <c r="D8220" s="1"/>
      <c r="E8220" s="1"/>
      <c r="F8220" s="1" t="str">
        <f>IFERROR(__xludf.DUMMYFUNCTION("GOOGLETRANSLATE(B8220, ""en"", ""fa"")
"),"درخواست برای معلمان")</f>
        <v>درخواست برای معلمان</v>
      </c>
      <c r="G8220" s="1" t="str">
        <f>IFERROR(__xludf.DUMMYFUNCTION("GOOGLETRANSLATE(C8220, ""en"", ""fa"")
"),"تجربیات خود را در مورد استراتژی های موفق برای استفاده از شبیه سازی های آموزشی برای سفرهای میدانی مجازی یا بازسازی های تاریخی به اشتراک بگذارید.")</f>
        <v>تجربیات خود را در مورد استراتژی های موفق برای استفاده از شبیه سازی های آموزشی برای سفرهای میدانی مجازی یا بازسازی های تاریخی به اشتراک بگذارید.</v>
      </c>
      <c r="H8220" s="1"/>
      <c r="I8220" s="1"/>
      <c r="J8220" s="1"/>
      <c r="K8220" s="1"/>
      <c r="L8220" s="1"/>
      <c r="M8220" s="1"/>
      <c r="N8220" s="1"/>
      <c r="O8220" s="1"/>
      <c r="P8220" s="1"/>
      <c r="Q8220" s="1"/>
      <c r="R8220" s="1"/>
      <c r="S8220" s="1"/>
      <c r="T8220" s="1"/>
      <c r="U8220" s="1"/>
      <c r="V8220" s="1"/>
      <c r="W8220" s="1"/>
      <c r="X8220" s="1"/>
      <c r="Y8220" s="1"/>
      <c r="Z8220" s="1"/>
      <c r="AA8220" s="1"/>
      <c r="AB8220" s="1"/>
    </row>
    <row r="8221" ht="50.25" customHeight="1">
      <c r="A8221" s="12">
        <v>8217.0</v>
      </c>
      <c r="B8221" s="13" t="s">
        <v>7680</v>
      </c>
      <c r="C8221" s="18" t="s">
        <v>8246</v>
      </c>
      <c r="D8221" s="1"/>
      <c r="E8221" s="1"/>
      <c r="F8221" s="1" t="str">
        <f>IFERROR(__xludf.DUMMYFUNCTION("GOOGLETRANSLATE(B8221, ""en"", ""fa"")
"),"درخواست برای معلمان")</f>
        <v>درخواست برای معلمان</v>
      </c>
      <c r="G8221" s="1" t="str">
        <f>IFERROR(__xludf.DUMMYFUNCTION("GOOGLETRANSLATE(C8221, ""en"", ""fa"")
"),"در مورد اهمیت آموزش ایمنی آنلاین و مهارت های امنیت سایبری به دانش آموزان بحث کنید.")</f>
        <v>در مورد اهمیت آموزش ایمنی آنلاین و مهارت های امنیت سایبری به دانش آموزان بحث کنید.</v>
      </c>
      <c r="H8221" s="1"/>
      <c r="I8221" s="1"/>
      <c r="J8221" s="1"/>
      <c r="K8221" s="1"/>
      <c r="L8221" s="1"/>
      <c r="M8221" s="1"/>
      <c r="N8221" s="1"/>
      <c r="O8221" s="1"/>
      <c r="P8221" s="1"/>
      <c r="Q8221" s="1"/>
      <c r="R8221" s="1"/>
      <c r="S8221" s="1"/>
      <c r="T8221" s="1"/>
      <c r="U8221" s="1"/>
      <c r="V8221" s="1"/>
      <c r="W8221" s="1"/>
      <c r="X8221" s="1"/>
      <c r="Y8221" s="1"/>
      <c r="Z8221" s="1"/>
      <c r="AA8221" s="1"/>
      <c r="AB8221" s="1"/>
    </row>
    <row r="8222" ht="50.25" customHeight="1">
      <c r="A8222" s="12">
        <v>8218.0</v>
      </c>
      <c r="B8222" s="13" t="s">
        <v>7680</v>
      </c>
      <c r="C8222" s="18" t="s">
        <v>8247</v>
      </c>
      <c r="D8222" s="1"/>
      <c r="E8222" s="1"/>
      <c r="F8222" s="1" t="str">
        <f>IFERROR(__xludf.DUMMYFUNCTION("GOOGLETRANSLATE(B8222, ""en"", ""fa"")
"),"درخواست برای معلمان")</f>
        <v>درخواست برای معلمان</v>
      </c>
      <c r="G8222" s="1" t="str">
        <f>IFERROR(__xludf.DUMMYFUNCTION("GOOGLETRANSLATE(C8222, ""en"", ""fa"")
"),"راه‌هایی برای استفاده از ابزارهای همکاری دیجیتال برای پروژه‌های جهانی یا مبادلات بین فرهنگی را بررسی کنید.")</f>
        <v>راه‌هایی برای استفاده از ابزارهای همکاری دیجیتال برای پروژه‌های جهانی یا مبادلات بین فرهنگی را بررسی کنید.</v>
      </c>
      <c r="H8222" s="1"/>
      <c r="I8222" s="1"/>
      <c r="J8222" s="1"/>
      <c r="K8222" s="1"/>
      <c r="L8222" s="1"/>
      <c r="M8222" s="1"/>
      <c r="N8222" s="1"/>
      <c r="O8222" s="1"/>
      <c r="P8222" s="1"/>
      <c r="Q8222" s="1"/>
      <c r="R8222" s="1"/>
      <c r="S8222" s="1"/>
      <c r="T8222" s="1"/>
      <c r="U8222" s="1"/>
      <c r="V8222" s="1"/>
      <c r="W8222" s="1"/>
      <c r="X8222" s="1"/>
      <c r="Y8222" s="1"/>
      <c r="Z8222" s="1"/>
      <c r="AA8222" s="1"/>
      <c r="AB8222" s="1"/>
    </row>
    <row r="8223" ht="50.25" customHeight="1">
      <c r="A8223" s="12">
        <v>8219.0</v>
      </c>
      <c r="B8223" s="13" t="s">
        <v>7680</v>
      </c>
      <c r="C8223" s="18" t="s">
        <v>8248</v>
      </c>
      <c r="D8223" s="1"/>
      <c r="E8223" s="1"/>
      <c r="F8223" s="1" t="str">
        <f>IFERROR(__xludf.DUMMYFUNCTION("GOOGLETRANSLATE(B8223, ""en"", ""fa"")
"),"درخواست برای معلمان")</f>
        <v>درخواست برای معلمان</v>
      </c>
      <c r="G8223" s="1" t="str">
        <f>IFERROR(__xludf.DUMMYFUNCTION("GOOGLETRANSLATE(C8223, ""en"", ""fa"")
"),"بینش خود را در مورد استراتژی های موثر برای استفاده از پلتفرم های مبتنی بر بازی آموزشی برای تعامل و ایجاد انگیزه در دانش آموزان به اشتراک بگذارید.")</f>
        <v>بینش خود را در مورد استراتژی های موثر برای استفاده از پلتفرم های مبتنی بر بازی آموزشی برای تعامل و ایجاد انگیزه در دانش آموزان به اشتراک بگذارید.</v>
      </c>
      <c r="H8223" s="1"/>
      <c r="I8223" s="1"/>
      <c r="J8223" s="1"/>
      <c r="K8223" s="1"/>
      <c r="L8223" s="1"/>
      <c r="M8223" s="1"/>
      <c r="N8223" s="1"/>
      <c r="O8223" s="1"/>
      <c r="P8223" s="1"/>
      <c r="Q8223" s="1"/>
      <c r="R8223" s="1"/>
      <c r="S8223" s="1"/>
      <c r="T8223" s="1"/>
      <c r="U8223" s="1"/>
      <c r="V8223" s="1"/>
      <c r="W8223" s="1"/>
      <c r="X8223" s="1"/>
      <c r="Y8223" s="1"/>
      <c r="Z8223" s="1"/>
      <c r="AA8223" s="1"/>
      <c r="AB8223" s="1"/>
    </row>
    <row r="8224" ht="50.25" customHeight="1">
      <c r="A8224" s="12">
        <v>8220.0</v>
      </c>
      <c r="B8224" s="13" t="s">
        <v>7680</v>
      </c>
      <c r="C8224" s="18" t="s">
        <v>8249</v>
      </c>
      <c r="D8224" s="1"/>
      <c r="E8224" s="1"/>
      <c r="F8224" s="1" t="str">
        <f>IFERROR(__xludf.DUMMYFUNCTION("GOOGLETRANSLATE(B8224, ""en"", ""fa"")
"),"درخواست برای معلمان")</f>
        <v>درخواست برای معلمان</v>
      </c>
      <c r="G8224" s="1" t="str">
        <f>IFERROR(__xludf.DUMMYFUNCTION("GOOGLETRANSLATE(C8224, ""en"", ""fa"")
"),"درباره تأثیر استفاده از ابزارهای بازخورد دیجیتال برای ارائه بازخورد به موقع و خاص به دانش آموزان بحث کنید.")</f>
        <v>درباره تأثیر استفاده از ابزارهای بازخورد دیجیتال برای ارائه بازخورد به موقع و خاص به دانش آموزان بحث کنید.</v>
      </c>
      <c r="H8224" s="1"/>
      <c r="I8224" s="1"/>
      <c r="J8224" s="1"/>
      <c r="K8224" s="1"/>
      <c r="L8224" s="1"/>
      <c r="M8224" s="1"/>
      <c r="N8224" s="1"/>
      <c r="O8224" s="1"/>
      <c r="P8224" s="1"/>
      <c r="Q8224" s="1"/>
      <c r="R8224" s="1"/>
      <c r="S8224" s="1"/>
      <c r="T8224" s="1"/>
      <c r="U8224" s="1"/>
      <c r="V8224" s="1"/>
      <c r="W8224" s="1"/>
      <c r="X8224" s="1"/>
      <c r="Y8224" s="1"/>
      <c r="Z8224" s="1"/>
      <c r="AA8224" s="1"/>
      <c r="AB8224" s="1"/>
    </row>
    <row r="8225" ht="50.25" customHeight="1">
      <c r="A8225" s="12">
        <v>8221.0</v>
      </c>
      <c r="B8225" s="13" t="s">
        <v>7680</v>
      </c>
      <c r="C8225" s="18" t="s">
        <v>8250</v>
      </c>
      <c r="D8225" s="1"/>
      <c r="E8225" s="1"/>
      <c r="F8225" s="1" t="str">
        <f>IFERROR(__xludf.DUMMYFUNCTION("GOOGLETRANSLATE(B8225, ""en"", ""fa"")
"),"درخواست برای معلمان")</f>
        <v>درخواست برای معلمان</v>
      </c>
      <c r="G8225" s="1" t="str">
        <f>IFERROR(__xludf.DUMMYFUNCTION("GOOGLETRANSLATE(C8225, ""en"", ""fa"")
"),"راه‌هایی برای استفاده از پلتفرم‌های ویدیویی آنلاین برای کلاس درس معکوس یا یادگیری ناهمزمان کاوش کنید.")</f>
        <v>راه‌هایی برای استفاده از پلتفرم‌های ویدیویی آنلاین برای کلاس درس معکوس یا یادگیری ناهمزمان کاوش کنید.</v>
      </c>
      <c r="H8225" s="1"/>
      <c r="I8225" s="1"/>
      <c r="J8225" s="1"/>
      <c r="K8225" s="1"/>
      <c r="L8225" s="1"/>
      <c r="M8225" s="1"/>
      <c r="N8225" s="1"/>
      <c r="O8225" s="1"/>
      <c r="P8225" s="1"/>
      <c r="Q8225" s="1"/>
      <c r="R8225" s="1"/>
      <c r="S8225" s="1"/>
      <c r="T8225" s="1"/>
      <c r="U8225" s="1"/>
      <c r="V8225" s="1"/>
      <c r="W8225" s="1"/>
      <c r="X8225" s="1"/>
      <c r="Y8225" s="1"/>
      <c r="Z8225" s="1"/>
      <c r="AA8225" s="1"/>
      <c r="AB8225" s="1"/>
    </row>
    <row r="8226" ht="50.25" customHeight="1">
      <c r="A8226" s="12">
        <v>8222.0</v>
      </c>
      <c r="B8226" s="13" t="s">
        <v>7680</v>
      </c>
      <c r="C8226" s="18" t="s">
        <v>8251</v>
      </c>
      <c r="D8226" s="1"/>
      <c r="E8226" s="1"/>
      <c r="F8226" s="1" t="str">
        <f>IFERROR(__xludf.DUMMYFUNCTION("GOOGLETRANSLATE(B8226, ""en"", ""fa"")
"),"درخواست برای معلمان")</f>
        <v>درخواست برای معلمان</v>
      </c>
      <c r="G8226" s="1" t="str">
        <f>IFERROR(__xludf.DUMMYFUNCTION("GOOGLETRANSLATE(C8226, ""en"", ""fa"")
"),"تجربیات خود را در مورد استراتژی های موفق برای استفاده از پلتفرم های کدگذاری آموزشی برای تفکر محاسباتی به اشتراک بگذارید.")</f>
        <v>تجربیات خود را در مورد استراتژی های موفق برای استفاده از پلتفرم های کدگذاری آموزشی برای تفکر محاسباتی به اشتراک بگذارید.</v>
      </c>
      <c r="H8226" s="1"/>
      <c r="I8226" s="1"/>
      <c r="J8226" s="1"/>
      <c r="K8226" s="1"/>
      <c r="L8226" s="1"/>
      <c r="M8226" s="1"/>
      <c r="N8226" s="1"/>
      <c r="O8226" s="1"/>
      <c r="P8226" s="1"/>
      <c r="Q8226" s="1"/>
      <c r="R8226" s="1"/>
      <c r="S8226" s="1"/>
      <c r="T8226" s="1"/>
      <c r="U8226" s="1"/>
      <c r="V8226" s="1"/>
      <c r="W8226" s="1"/>
      <c r="X8226" s="1"/>
      <c r="Y8226" s="1"/>
      <c r="Z8226" s="1"/>
      <c r="AA8226" s="1"/>
      <c r="AB8226" s="1"/>
    </row>
    <row r="8227" ht="50.25" customHeight="1">
      <c r="A8227" s="12">
        <v>8223.0</v>
      </c>
      <c r="B8227" s="13" t="s">
        <v>7680</v>
      </c>
      <c r="C8227" s="18" t="s">
        <v>8252</v>
      </c>
      <c r="D8227" s="1"/>
      <c r="E8227" s="1"/>
      <c r="F8227" s="1" t="str">
        <f>IFERROR(__xludf.DUMMYFUNCTION("GOOGLETRANSLATE(B8227, ""en"", ""fa"")
"),"درخواست برای معلمان")</f>
        <v>درخواست برای معلمان</v>
      </c>
      <c r="G8227" s="1" t="str">
        <f>IFERROR(__xludf.DUMMYFUNCTION("GOOGLETRANSLATE(C8227, ""en"", ""fa"")
"),"در مورد نقش پورتفولیوهای دیجیتال در ارتقای تفکر و خودارزیابی دانش آموزان بحث کنید.")</f>
        <v>در مورد نقش پورتفولیوهای دیجیتال در ارتقای تفکر و خودارزیابی دانش آموزان بحث کنید.</v>
      </c>
      <c r="H8227" s="1"/>
      <c r="I8227" s="1"/>
      <c r="J8227" s="1"/>
      <c r="K8227" s="1"/>
      <c r="L8227" s="1"/>
      <c r="M8227" s="1"/>
      <c r="N8227" s="1"/>
      <c r="O8227" s="1"/>
      <c r="P8227" s="1"/>
      <c r="Q8227" s="1"/>
      <c r="R8227" s="1"/>
      <c r="S8227" s="1"/>
      <c r="T8227" s="1"/>
      <c r="U8227" s="1"/>
      <c r="V8227" s="1"/>
      <c r="W8227" s="1"/>
      <c r="X8227" s="1"/>
      <c r="Y8227" s="1"/>
      <c r="Z8227" s="1"/>
      <c r="AA8227" s="1"/>
      <c r="AB8227" s="1"/>
    </row>
    <row r="8228" ht="50.25" customHeight="1">
      <c r="A8228" s="12">
        <v>8224.0</v>
      </c>
      <c r="B8228" s="13" t="s">
        <v>7680</v>
      </c>
      <c r="C8228" s="18" t="s">
        <v>8253</v>
      </c>
      <c r="D8228" s="1"/>
      <c r="E8228" s="1"/>
      <c r="F8228" s="1" t="str">
        <f>IFERROR(__xludf.DUMMYFUNCTION("GOOGLETRANSLATE(B8228, ""en"", ""fa"")
"),"درخواست برای معلمان")</f>
        <v>درخواست برای معلمان</v>
      </c>
      <c r="G8228" s="1" t="str">
        <f>IFERROR(__xludf.DUMMYFUNCTION("GOOGLETRANSLATE(C8228, ""en"", ""fa"")
"),"راه‌های استفاده از ابزارهای حاشیه نویسی دیجیتال برای بازخورد همتایان و ویرایش مشترک را بررسی کنید.")</f>
        <v>راه‌های استفاده از ابزارهای حاشیه نویسی دیجیتال برای بازخورد همتایان و ویرایش مشترک را بررسی کنید.</v>
      </c>
      <c r="H8228" s="1"/>
      <c r="I8228" s="1"/>
      <c r="J8228" s="1"/>
      <c r="K8228" s="1"/>
      <c r="L8228" s="1"/>
      <c r="M8228" s="1"/>
      <c r="N8228" s="1"/>
      <c r="O8228" s="1"/>
      <c r="P8228" s="1"/>
      <c r="Q8228" s="1"/>
      <c r="R8228" s="1"/>
      <c r="S8228" s="1"/>
      <c r="T8228" s="1"/>
      <c r="U8228" s="1"/>
      <c r="V8228" s="1"/>
      <c r="W8228" s="1"/>
      <c r="X8228" s="1"/>
      <c r="Y8228" s="1"/>
      <c r="Z8228" s="1"/>
      <c r="AA8228" s="1"/>
      <c r="AB8228" s="1"/>
    </row>
    <row r="8229" ht="50.25" customHeight="1">
      <c r="A8229" s="12">
        <v>8225.0</v>
      </c>
      <c r="B8229" s="13" t="s">
        <v>7680</v>
      </c>
      <c r="C8229" s="18" t="s">
        <v>8254</v>
      </c>
      <c r="D8229" s="1"/>
      <c r="E8229" s="1"/>
      <c r="F8229" s="1" t="str">
        <f>IFERROR(__xludf.DUMMYFUNCTION("GOOGLETRANSLATE(B8229, ""en"", ""fa"")
"),"درخواست برای معلمان")</f>
        <v>درخواست برای معلمان</v>
      </c>
      <c r="G8229" s="1" t="str">
        <f>IFERROR(__xludf.DUMMYFUNCTION("GOOGLETRANSLATE(C8229, ""en"", ""fa"")
"),"بینش خود را در مورد استراتژی‌های مؤثر برای استفاده از تابلوها یا انجمن‌های گفتگوی آنلاین برای بحث‌های تحت رهبری دانش‌آموز به اشتراک بگذارید.")</f>
        <v>بینش خود را در مورد استراتژی‌های مؤثر برای استفاده از تابلوها یا انجمن‌های گفتگوی آنلاین برای بحث‌های تحت رهبری دانش‌آموز به اشتراک بگذارید.</v>
      </c>
      <c r="H8229" s="1"/>
      <c r="I8229" s="1"/>
      <c r="J8229" s="1"/>
      <c r="K8229" s="1"/>
      <c r="L8229" s="1"/>
      <c r="M8229" s="1"/>
      <c r="N8229" s="1"/>
      <c r="O8229" s="1"/>
      <c r="P8229" s="1"/>
      <c r="Q8229" s="1"/>
      <c r="R8229" s="1"/>
      <c r="S8229" s="1"/>
      <c r="T8229" s="1"/>
      <c r="U8229" s="1"/>
      <c r="V8229" s="1"/>
      <c r="W8229" s="1"/>
      <c r="X8229" s="1"/>
      <c r="Y8229" s="1"/>
      <c r="Z8229" s="1"/>
      <c r="AA8229" s="1"/>
      <c r="AB8229" s="1"/>
    </row>
    <row r="8230" ht="50.25" customHeight="1">
      <c r="A8230" s="12">
        <v>8226.0</v>
      </c>
      <c r="B8230" s="13" t="s">
        <v>7680</v>
      </c>
      <c r="C8230" s="18" t="s">
        <v>8255</v>
      </c>
      <c r="D8230" s="1"/>
      <c r="E8230" s="1"/>
      <c r="F8230" s="1" t="str">
        <f>IFERROR(__xludf.DUMMYFUNCTION("GOOGLETRANSLATE(B8230, ""en"", ""fa"")
"),"درخواست برای معلمان")</f>
        <v>درخواست برای معلمان</v>
      </c>
      <c r="G8230" s="1" t="str">
        <f>IFERROR(__xludf.DUMMYFUNCTION("GOOGLETRANSLATE(C8230, ""en"", ""fa"")
"),"در مورد اهمیت آموزش مهارت های سواد رسانه ای برای کمک به دانش آموزان در تحلیل انتقادی و ارزیابی پیام های رسانه ای بحث کنید.")</f>
        <v>در مورد اهمیت آموزش مهارت های سواد رسانه ای برای کمک به دانش آموزان در تحلیل انتقادی و ارزیابی پیام های رسانه ای بحث کنید.</v>
      </c>
      <c r="H8230" s="1"/>
      <c r="I8230" s="1"/>
      <c r="J8230" s="1"/>
      <c r="K8230" s="1"/>
      <c r="L8230" s="1"/>
      <c r="M8230" s="1"/>
      <c r="N8230" s="1"/>
      <c r="O8230" s="1"/>
      <c r="P8230" s="1"/>
      <c r="Q8230" s="1"/>
      <c r="R8230" s="1"/>
      <c r="S8230" s="1"/>
      <c r="T8230" s="1"/>
      <c r="U8230" s="1"/>
      <c r="V8230" s="1"/>
      <c r="W8230" s="1"/>
      <c r="X8230" s="1"/>
      <c r="Y8230" s="1"/>
      <c r="Z8230" s="1"/>
      <c r="AA8230" s="1"/>
      <c r="AB8230" s="1"/>
    </row>
    <row r="8231" ht="50.25" customHeight="1">
      <c r="A8231" s="12">
        <v>8227.0</v>
      </c>
      <c r="B8231" s="13" t="s">
        <v>7680</v>
      </c>
      <c r="C8231" s="18" t="s">
        <v>8256</v>
      </c>
      <c r="D8231" s="1"/>
      <c r="E8231" s="1"/>
      <c r="F8231" s="1" t="str">
        <f>IFERROR(__xludf.DUMMYFUNCTION("GOOGLETRANSLATE(B8231, ""en"", ""fa"")
"),"درخواست برای معلمان")</f>
        <v>درخواست برای معلمان</v>
      </c>
      <c r="G8231" s="1" t="str">
        <f>IFERROR(__xludf.DUMMYFUNCTION("GOOGLETRANSLATE(C8231, ""en"", ""fa"")
"),"درباره تأثیر فناوری بر تقویت عاملیت دانشجویی و یادگیری خودراهبر بحث کنید.")</f>
        <v>درباره تأثیر فناوری بر تقویت عاملیت دانشجویی و یادگیری خودراهبر بحث کنید.</v>
      </c>
      <c r="H8231" s="1"/>
      <c r="I8231" s="1"/>
      <c r="J8231" s="1"/>
      <c r="K8231" s="1"/>
      <c r="L8231" s="1"/>
      <c r="M8231" s="1"/>
      <c r="N8231" s="1"/>
      <c r="O8231" s="1"/>
      <c r="P8231" s="1"/>
      <c r="Q8231" s="1"/>
      <c r="R8231" s="1"/>
      <c r="S8231" s="1"/>
      <c r="T8231" s="1"/>
      <c r="U8231" s="1"/>
      <c r="V8231" s="1"/>
      <c r="W8231" s="1"/>
      <c r="X8231" s="1"/>
      <c r="Y8231" s="1"/>
      <c r="Z8231" s="1"/>
      <c r="AA8231" s="1"/>
      <c r="AB8231" s="1"/>
    </row>
    <row r="8232" ht="50.25" customHeight="1">
      <c r="A8232" s="12">
        <v>8228.0</v>
      </c>
      <c r="B8232" s="13" t="s">
        <v>7680</v>
      </c>
      <c r="C8232" s="18" t="s">
        <v>8257</v>
      </c>
      <c r="D8232" s="1"/>
      <c r="E8232" s="1"/>
      <c r="F8232" s="1" t="str">
        <f>IFERROR(__xludf.DUMMYFUNCTION("GOOGLETRANSLATE(B8232, ""en"", ""fa"")
"),"درخواست برای معلمان")</f>
        <v>درخواست برای معلمان</v>
      </c>
      <c r="G8232" s="1" t="str">
        <f>IFERROR(__xludf.DUMMYFUNCTION("GOOGLETRANSLATE(C8232, ""en"", ""fa"")
"),"راه‌هایی برای استفاده از شبیه‌سازی‌های دیجیتال و آزمایشگاه‌های مجازی برای آزمایش‌های علمی و تحقیقات علمی کاوش کنید.")</f>
        <v>راه‌هایی برای استفاده از شبیه‌سازی‌های دیجیتال و آزمایشگاه‌های مجازی برای آزمایش‌های علمی و تحقیقات علمی کاوش کنید.</v>
      </c>
      <c r="H8232" s="1"/>
      <c r="I8232" s="1"/>
      <c r="J8232" s="1"/>
      <c r="K8232" s="1"/>
      <c r="L8232" s="1"/>
      <c r="M8232" s="1"/>
      <c r="N8232" s="1"/>
      <c r="O8232" s="1"/>
      <c r="P8232" s="1"/>
      <c r="Q8232" s="1"/>
      <c r="R8232" s="1"/>
      <c r="S8232" s="1"/>
      <c r="T8232" s="1"/>
      <c r="U8232" s="1"/>
      <c r="V8232" s="1"/>
      <c r="W8232" s="1"/>
      <c r="X8232" s="1"/>
      <c r="Y8232" s="1"/>
      <c r="Z8232" s="1"/>
      <c r="AA8232" s="1"/>
      <c r="AB8232" s="1"/>
    </row>
    <row r="8233" ht="50.25" customHeight="1">
      <c r="A8233" s="12">
        <v>8229.0</v>
      </c>
      <c r="B8233" s="13" t="s">
        <v>7680</v>
      </c>
      <c r="C8233" s="18" t="s">
        <v>8258</v>
      </c>
      <c r="D8233" s="1"/>
      <c r="E8233" s="1"/>
      <c r="F8233" s="1" t="str">
        <f>IFERROR(__xludf.DUMMYFUNCTION("GOOGLETRANSLATE(B8233, ""en"", ""fa"")
"),"درخواست برای معلمان")</f>
        <v>درخواست برای معلمان</v>
      </c>
      <c r="G8233" s="1" t="str">
        <f>IFERROR(__xludf.DUMMYFUNCTION("GOOGLETRANSLATE(C8233, ""en"", ""fa"")
"),"تجربیات خود را در مورد استراتژی های موفق برای استفاده از فناوری برای حمایت از فراگیری زبان و زبان آموزان انگلیسی به اشتراک بگذارید.")</f>
        <v>تجربیات خود را در مورد استراتژی های موفق برای استفاده از فناوری برای حمایت از فراگیری زبان و زبان آموزان انگلیسی به اشتراک بگذارید.</v>
      </c>
      <c r="H8233" s="1"/>
      <c r="I8233" s="1"/>
      <c r="J8233" s="1"/>
      <c r="K8233" s="1"/>
      <c r="L8233" s="1"/>
      <c r="M8233" s="1"/>
      <c r="N8233" s="1"/>
      <c r="O8233" s="1"/>
      <c r="P8233" s="1"/>
      <c r="Q8233" s="1"/>
      <c r="R8233" s="1"/>
      <c r="S8233" s="1"/>
      <c r="T8233" s="1"/>
      <c r="U8233" s="1"/>
      <c r="V8233" s="1"/>
      <c r="W8233" s="1"/>
      <c r="X8233" s="1"/>
      <c r="Y8233" s="1"/>
      <c r="Z8233" s="1"/>
      <c r="AA8233" s="1"/>
      <c r="AB8233" s="1"/>
    </row>
    <row r="8234" ht="50.25" customHeight="1">
      <c r="A8234" s="12">
        <v>8230.0</v>
      </c>
      <c r="B8234" s="13" t="s">
        <v>7680</v>
      </c>
      <c r="C8234" s="18" t="s">
        <v>8259</v>
      </c>
      <c r="D8234" s="1"/>
      <c r="E8234" s="1"/>
      <c r="F8234" s="1" t="str">
        <f>IFERROR(__xludf.DUMMYFUNCTION("GOOGLETRANSLATE(B8234, ""en"", ""fa"")
"),"درخواست برای معلمان")</f>
        <v>درخواست برای معلمان</v>
      </c>
      <c r="G8234" s="1" t="str">
        <f>IFERROR(__xludf.DUMMYFUNCTION("GOOGLETRANSLATE(C8234, ""en"", ""fa"")
"),"درباره اهمیت آموزش امنیت سایبری و شهروندی دیجیتال برای اطمینان از استفاده ایمن و مسئولانه از فناوری بحث کنید.")</f>
        <v>درباره اهمیت آموزش امنیت سایبری و شهروندی دیجیتال برای اطمینان از استفاده ایمن و مسئولانه از فناوری بحث کنید.</v>
      </c>
      <c r="H8234" s="1"/>
      <c r="I8234" s="1"/>
      <c r="J8234" s="1"/>
      <c r="K8234" s="1"/>
      <c r="L8234" s="1"/>
      <c r="M8234" s="1"/>
      <c r="N8234" s="1"/>
      <c r="O8234" s="1"/>
      <c r="P8234" s="1"/>
      <c r="Q8234" s="1"/>
      <c r="R8234" s="1"/>
      <c r="S8234" s="1"/>
      <c r="T8234" s="1"/>
      <c r="U8234" s="1"/>
      <c r="V8234" s="1"/>
      <c r="W8234" s="1"/>
      <c r="X8234" s="1"/>
      <c r="Y8234" s="1"/>
      <c r="Z8234" s="1"/>
      <c r="AA8234" s="1"/>
      <c r="AB8234" s="1"/>
    </row>
    <row r="8235" ht="50.25" customHeight="1">
      <c r="A8235" s="12">
        <v>8231.0</v>
      </c>
      <c r="B8235" s="13" t="s">
        <v>7680</v>
      </c>
      <c r="C8235" s="18" t="s">
        <v>8260</v>
      </c>
      <c r="D8235" s="1"/>
      <c r="E8235" s="1"/>
      <c r="F8235" s="1" t="str">
        <f>IFERROR(__xludf.DUMMYFUNCTION("GOOGLETRANSLATE(B8235, ""en"", ""fa"")
"),"درخواست برای معلمان")</f>
        <v>درخواست برای معلمان</v>
      </c>
      <c r="G8235" s="1" t="str">
        <f>IFERROR(__xludf.DUMMYFUNCTION("GOOGLETRANSLATE(C8235, ""en"", ""fa"")
"),"راه‌هایی را برای استفاده از فناوری برای تقویت تفکر و مهارت‌های فراشناختی دانش‌آموز بررسی کنید.")</f>
        <v>راه‌هایی را برای استفاده از فناوری برای تقویت تفکر و مهارت‌های فراشناختی دانش‌آموز بررسی کنید.</v>
      </c>
      <c r="H8235" s="1"/>
      <c r="I8235" s="1"/>
      <c r="J8235" s="1"/>
      <c r="K8235" s="1"/>
      <c r="L8235" s="1"/>
      <c r="M8235" s="1"/>
      <c r="N8235" s="1"/>
      <c r="O8235" s="1"/>
      <c r="P8235" s="1"/>
      <c r="Q8235" s="1"/>
      <c r="R8235" s="1"/>
      <c r="S8235" s="1"/>
      <c r="T8235" s="1"/>
      <c r="U8235" s="1"/>
      <c r="V8235" s="1"/>
      <c r="W8235" s="1"/>
      <c r="X8235" s="1"/>
      <c r="Y8235" s="1"/>
      <c r="Z8235" s="1"/>
      <c r="AA8235" s="1"/>
      <c r="AB8235" s="1"/>
    </row>
    <row r="8236" ht="50.25" customHeight="1">
      <c r="A8236" s="12">
        <v>8232.0</v>
      </c>
      <c r="B8236" s="13" t="s">
        <v>7680</v>
      </c>
      <c r="C8236" s="18" t="s">
        <v>8261</v>
      </c>
      <c r="D8236" s="1"/>
      <c r="E8236" s="1"/>
      <c r="F8236" s="1" t="str">
        <f>IFERROR(__xludf.DUMMYFUNCTION("GOOGLETRANSLATE(B8236, ""en"", ""fa"")
"),"درخواست برای معلمان")</f>
        <v>درخواست برای معلمان</v>
      </c>
      <c r="G8236" s="1" t="str">
        <f>IFERROR(__xludf.DUMMYFUNCTION("GOOGLETRANSLATE(C8236, ""en"", ""fa"")
"),"بینش خود را در مورد استراتژی های موثر برای استفاده از فناوری برای حمایت از دانش آموزان با نیازهای خاص و معلولیت به اشتراک بگذارید.")</f>
        <v>بینش خود را در مورد استراتژی های موثر برای استفاده از فناوری برای حمایت از دانش آموزان با نیازهای خاص و معلولیت به اشتراک بگذارید.</v>
      </c>
      <c r="H8236" s="1"/>
      <c r="I8236" s="1"/>
      <c r="J8236" s="1"/>
      <c r="K8236" s="1"/>
      <c r="L8236" s="1"/>
      <c r="M8236" s="1"/>
      <c r="N8236" s="1"/>
      <c r="O8236" s="1"/>
      <c r="P8236" s="1"/>
      <c r="Q8236" s="1"/>
      <c r="R8236" s="1"/>
      <c r="S8236" s="1"/>
      <c r="T8236" s="1"/>
      <c r="U8236" s="1"/>
      <c r="V8236" s="1"/>
      <c r="W8236" s="1"/>
      <c r="X8236" s="1"/>
      <c r="Y8236" s="1"/>
      <c r="Z8236" s="1"/>
      <c r="AA8236" s="1"/>
      <c r="AB8236" s="1"/>
    </row>
    <row r="8237" ht="50.25" customHeight="1">
      <c r="A8237" s="12">
        <v>8233.0</v>
      </c>
      <c r="B8237" s="13" t="s">
        <v>7680</v>
      </c>
      <c r="C8237" s="18" t="s">
        <v>8262</v>
      </c>
      <c r="D8237" s="1"/>
      <c r="E8237" s="1"/>
      <c r="F8237" s="1" t="str">
        <f>IFERROR(__xludf.DUMMYFUNCTION("GOOGLETRANSLATE(B8237, ""en"", ""fa"")
"),"درخواست برای معلمان")</f>
        <v>درخواست برای معلمان</v>
      </c>
      <c r="G8237" s="1" t="str">
        <f>IFERROR(__xludf.DUMMYFUNCTION("GOOGLETRANSLATE(C8237, ""en"", ""fa"")
"),"در مورد نقش تجزیه و تحلیل داده ها و تجزیه و تحلیل یادگیری در بهبود شیوه های آموزشی و نتایج دانش آموزان بحث کنید.")</f>
        <v>در مورد نقش تجزیه و تحلیل داده ها و تجزیه و تحلیل یادگیری در بهبود شیوه های آموزشی و نتایج دانش آموزان بحث کنید.</v>
      </c>
      <c r="H8237" s="1"/>
      <c r="I8237" s="1"/>
      <c r="J8237" s="1"/>
      <c r="K8237" s="1"/>
      <c r="L8237" s="1"/>
      <c r="M8237" s="1"/>
      <c r="N8237" s="1"/>
      <c r="O8237" s="1"/>
      <c r="P8237" s="1"/>
      <c r="Q8237" s="1"/>
      <c r="R8237" s="1"/>
      <c r="S8237" s="1"/>
      <c r="T8237" s="1"/>
      <c r="U8237" s="1"/>
      <c r="V8237" s="1"/>
      <c r="W8237" s="1"/>
      <c r="X8237" s="1"/>
      <c r="Y8237" s="1"/>
      <c r="Z8237" s="1"/>
      <c r="AA8237" s="1"/>
      <c r="AB8237" s="1"/>
    </row>
    <row r="8238" ht="50.25" customHeight="1">
      <c r="A8238" s="12">
        <v>8234.0</v>
      </c>
      <c r="B8238" s="13" t="s">
        <v>7680</v>
      </c>
      <c r="C8238" s="18" t="s">
        <v>8263</v>
      </c>
      <c r="D8238" s="1"/>
      <c r="E8238" s="1"/>
      <c r="F8238" s="1" t="str">
        <f>IFERROR(__xludf.DUMMYFUNCTION("GOOGLETRANSLATE(B8238, ""en"", ""fa"")
"),"درخواست برای معلمان")</f>
        <v>درخواست برای معلمان</v>
      </c>
      <c r="G8238" s="1" t="str">
        <f>IFERROR(__xludf.DUMMYFUNCTION("GOOGLETRANSLATE(C8238, ""en"", ""fa"")
"),"راه های استفاده از فناوری برای پرورش خلاقیت و نوآوری در آموزش هنر و علوم انسانی را بررسی کنید.")</f>
        <v>راه های استفاده از فناوری برای پرورش خلاقیت و نوآوری در آموزش هنر و علوم انسانی را بررسی کنید.</v>
      </c>
      <c r="H8238" s="1"/>
      <c r="I8238" s="1"/>
      <c r="J8238" s="1"/>
      <c r="K8238" s="1"/>
      <c r="L8238" s="1"/>
      <c r="M8238" s="1"/>
      <c r="N8238" s="1"/>
      <c r="O8238" s="1"/>
      <c r="P8238" s="1"/>
      <c r="Q8238" s="1"/>
      <c r="R8238" s="1"/>
      <c r="S8238" s="1"/>
      <c r="T8238" s="1"/>
      <c r="U8238" s="1"/>
      <c r="V8238" s="1"/>
      <c r="W8238" s="1"/>
      <c r="X8238" s="1"/>
      <c r="Y8238" s="1"/>
      <c r="Z8238" s="1"/>
      <c r="AA8238" s="1"/>
      <c r="AB8238" s="1"/>
    </row>
    <row r="8239" ht="50.25" customHeight="1">
      <c r="A8239" s="12">
        <v>8235.0</v>
      </c>
      <c r="B8239" s="13" t="s">
        <v>7680</v>
      </c>
      <c r="C8239" s="18" t="s">
        <v>8264</v>
      </c>
      <c r="D8239" s="1"/>
      <c r="E8239" s="1"/>
      <c r="F8239" s="1" t="str">
        <f>IFERROR(__xludf.DUMMYFUNCTION("GOOGLETRANSLATE(B8239, ""en"", ""fa"")
"),"درخواست برای معلمان")</f>
        <v>درخواست برای معلمان</v>
      </c>
      <c r="G8239" s="1" t="str">
        <f>IFERROR(__xludf.DUMMYFUNCTION("GOOGLETRANSLATE(C8239, ""en"", ""fa"")
"),"تجربیات خود را در مورد استراتژی های موفق برای استفاده از فناوری برای تسهیل مدل های کلاس درس معکوس به اشتراک بگذارید.")</f>
        <v>تجربیات خود را در مورد استراتژی های موفق برای استفاده از فناوری برای تسهیل مدل های کلاس درس معکوس به اشتراک بگذارید.</v>
      </c>
      <c r="H8239" s="1"/>
      <c r="I8239" s="1"/>
      <c r="J8239" s="1"/>
      <c r="K8239" s="1"/>
      <c r="L8239" s="1"/>
      <c r="M8239" s="1"/>
      <c r="N8239" s="1"/>
      <c r="O8239" s="1"/>
      <c r="P8239" s="1"/>
      <c r="Q8239" s="1"/>
      <c r="R8239" s="1"/>
      <c r="S8239" s="1"/>
      <c r="T8239" s="1"/>
      <c r="U8239" s="1"/>
      <c r="V8239" s="1"/>
      <c r="W8239" s="1"/>
      <c r="X8239" s="1"/>
      <c r="Y8239" s="1"/>
      <c r="Z8239" s="1"/>
      <c r="AA8239" s="1"/>
      <c r="AB8239" s="1"/>
    </row>
    <row r="8240" ht="50.25" customHeight="1">
      <c r="A8240" s="12">
        <v>8236.0</v>
      </c>
      <c r="B8240" s="13" t="s">
        <v>7680</v>
      </c>
      <c r="C8240" s="18" t="s">
        <v>8265</v>
      </c>
      <c r="D8240" s="1"/>
      <c r="E8240" s="1"/>
      <c r="F8240" s="1" t="str">
        <f>IFERROR(__xludf.DUMMYFUNCTION("GOOGLETRANSLATE(B8240, ""en"", ""fa"")
"),"درخواست برای معلمان")</f>
        <v>درخواست برای معلمان</v>
      </c>
      <c r="G8240" s="1" t="str">
        <f>IFERROR(__xludf.DUMMYFUNCTION("GOOGLETRANSLATE(C8240, ""en"", ""fa"")
"),"درباره تأثیر فناوری بر ارتقای ارتباطات واقعی و واقعی و تجربیات یادگیری بحث کنید.")</f>
        <v>درباره تأثیر فناوری بر ارتقای ارتباطات واقعی و واقعی و تجربیات یادگیری بحث کنید.</v>
      </c>
      <c r="H8240" s="1"/>
      <c r="I8240" s="1"/>
      <c r="J8240" s="1"/>
      <c r="K8240" s="1"/>
      <c r="L8240" s="1"/>
      <c r="M8240" s="1"/>
      <c r="N8240" s="1"/>
      <c r="O8240" s="1"/>
      <c r="P8240" s="1"/>
      <c r="Q8240" s="1"/>
      <c r="R8240" s="1"/>
      <c r="S8240" s="1"/>
      <c r="T8240" s="1"/>
      <c r="U8240" s="1"/>
      <c r="V8240" s="1"/>
      <c r="W8240" s="1"/>
      <c r="X8240" s="1"/>
      <c r="Y8240" s="1"/>
      <c r="Z8240" s="1"/>
      <c r="AA8240" s="1"/>
      <c r="AB8240" s="1"/>
    </row>
    <row r="8241" ht="50.25" customHeight="1">
      <c r="A8241" s="12">
        <v>8237.0</v>
      </c>
      <c r="B8241" s="13" t="s">
        <v>7680</v>
      </c>
      <c r="C8241" s="18" t="s">
        <v>8266</v>
      </c>
      <c r="D8241" s="1"/>
      <c r="E8241" s="1"/>
      <c r="F8241" s="1" t="str">
        <f>IFERROR(__xludf.DUMMYFUNCTION("GOOGLETRANSLATE(B8241, ""en"", ""fa"")
"),"درخواست برای معلمان")</f>
        <v>درخواست برای معلمان</v>
      </c>
      <c r="G8241" s="1" t="str">
        <f>IFERROR(__xludf.DUMMYFUNCTION("GOOGLETRANSLATE(C8241, ""en"", ""fa"")
"),"راه‌های استفاده از کنفرانس ویدیویی و ابزارهای همکاری مجازی برای اتصال کلاس‌های درس در سطح جهانی را کاوش کنید.")</f>
        <v>راه‌های استفاده از کنفرانس ویدیویی و ابزارهای همکاری مجازی برای اتصال کلاس‌های درس در سطح جهانی را کاوش کنید.</v>
      </c>
      <c r="H8241" s="1"/>
      <c r="I8241" s="1"/>
      <c r="J8241" s="1"/>
      <c r="K8241" s="1"/>
      <c r="L8241" s="1"/>
      <c r="M8241" s="1"/>
      <c r="N8241" s="1"/>
      <c r="O8241" s="1"/>
      <c r="P8241" s="1"/>
      <c r="Q8241" s="1"/>
      <c r="R8241" s="1"/>
      <c r="S8241" s="1"/>
      <c r="T8241" s="1"/>
      <c r="U8241" s="1"/>
      <c r="V8241" s="1"/>
      <c r="W8241" s="1"/>
      <c r="X8241" s="1"/>
      <c r="Y8241" s="1"/>
      <c r="Z8241" s="1"/>
      <c r="AA8241" s="1"/>
      <c r="AB8241" s="1"/>
    </row>
    <row r="8242" ht="50.25" customHeight="1">
      <c r="A8242" s="12">
        <v>8238.0</v>
      </c>
      <c r="B8242" s="13" t="s">
        <v>7680</v>
      </c>
      <c r="C8242" s="18" t="s">
        <v>8267</v>
      </c>
      <c r="D8242" s="1"/>
      <c r="E8242" s="1"/>
      <c r="F8242" s="1" t="str">
        <f>IFERROR(__xludf.DUMMYFUNCTION("GOOGLETRANSLATE(B8242, ""en"", ""fa"")
"),"درخواست برای معلمان")</f>
        <v>درخواست برای معلمان</v>
      </c>
      <c r="G8242" s="1" t="str">
        <f>IFERROR(__xludf.DUMMYFUNCTION("GOOGLETRANSLATE(C8242, ""en"", ""fa"")
"),"بینش خود را در مورد استراتژی‌های مؤثر برای استفاده از فناوری برای ارتقاء عاملیت و صدای دانش‌آموز در فرآیند یادگیری به اشتراک بگذارید.")</f>
        <v>بینش خود را در مورد استراتژی‌های مؤثر برای استفاده از فناوری برای ارتقاء عاملیت و صدای دانش‌آموز در فرآیند یادگیری به اشتراک بگذارید.</v>
      </c>
      <c r="H8242" s="1"/>
      <c r="I8242" s="1"/>
      <c r="J8242" s="1"/>
      <c r="K8242" s="1"/>
      <c r="L8242" s="1"/>
      <c r="M8242" s="1"/>
      <c r="N8242" s="1"/>
      <c r="O8242" s="1"/>
      <c r="P8242" s="1"/>
      <c r="Q8242" s="1"/>
      <c r="R8242" s="1"/>
      <c r="S8242" s="1"/>
      <c r="T8242" s="1"/>
      <c r="U8242" s="1"/>
      <c r="V8242" s="1"/>
      <c r="W8242" s="1"/>
      <c r="X8242" s="1"/>
      <c r="Y8242" s="1"/>
      <c r="Z8242" s="1"/>
      <c r="AA8242" s="1"/>
      <c r="AB8242" s="1"/>
    </row>
    <row r="8243" ht="50.25" customHeight="1">
      <c r="A8243" s="12">
        <v>8239.0</v>
      </c>
      <c r="B8243" s="13" t="s">
        <v>7680</v>
      </c>
      <c r="C8243" s="18" t="s">
        <v>8268</v>
      </c>
      <c r="D8243" s="1"/>
      <c r="E8243" s="1"/>
      <c r="F8243" s="1" t="str">
        <f>IFERROR(__xludf.DUMMYFUNCTION("GOOGLETRANSLATE(B8243, ""en"", ""fa"")
"),"درخواست برای معلمان")</f>
        <v>درخواست برای معلمان</v>
      </c>
      <c r="G8243" s="1" t="str">
        <f>IFERROR(__xludf.DUMMYFUNCTION("GOOGLETRANSLATE(C8243, ""en"", ""fa"")
"),"در مورد اهمیت داستان سرایی دیجیتال در تقویت مهارت های سوادآموزی و ترویج مشارکت دانش آموزان بحث کنید.")</f>
        <v>در مورد اهمیت داستان سرایی دیجیتال در تقویت مهارت های سوادآموزی و ترویج مشارکت دانش آموزان بحث کنید.</v>
      </c>
      <c r="H8243" s="1"/>
      <c r="I8243" s="1"/>
      <c r="J8243" s="1"/>
      <c r="K8243" s="1"/>
      <c r="L8243" s="1"/>
      <c r="M8243" s="1"/>
      <c r="N8243" s="1"/>
      <c r="O8243" s="1"/>
      <c r="P8243" s="1"/>
      <c r="Q8243" s="1"/>
      <c r="R8243" s="1"/>
      <c r="S8243" s="1"/>
      <c r="T8243" s="1"/>
      <c r="U8243" s="1"/>
      <c r="V8243" s="1"/>
      <c r="W8243" s="1"/>
      <c r="X8243" s="1"/>
      <c r="Y8243" s="1"/>
      <c r="Z8243" s="1"/>
      <c r="AA8243" s="1"/>
      <c r="AB8243" s="1"/>
    </row>
    <row r="8244" ht="50.25" customHeight="1">
      <c r="A8244" s="12">
        <v>8240.0</v>
      </c>
      <c r="B8244" s="13" t="s">
        <v>7680</v>
      </c>
      <c r="C8244" s="18" t="s">
        <v>8269</v>
      </c>
      <c r="D8244" s="1"/>
      <c r="E8244" s="1"/>
      <c r="F8244" s="1" t="str">
        <f>IFERROR(__xludf.DUMMYFUNCTION("GOOGLETRANSLATE(B8244, ""en"", ""fa"")
"),"درخواست برای معلمان")</f>
        <v>درخواست برای معلمان</v>
      </c>
      <c r="G8244" s="1" t="str">
        <f>IFERROR(__xludf.DUMMYFUNCTION("GOOGLETRANSLATE(C8244, ""en"", ""fa"")
"),"راه‌هایی را برای استفاده از فناوری برای ایجاد آزمون‌ها و ارزیابی‌های تعاملی برای بازخورد سازنده بررسی کنید.")</f>
        <v>راه‌هایی را برای استفاده از فناوری برای ایجاد آزمون‌ها و ارزیابی‌های تعاملی برای بازخورد سازنده بررسی کنید.</v>
      </c>
      <c r="H8244" s="1"/>
      <c r="I8244" s="1"/>
      <c r="J8244" s="1"/>
      <c r="K8244" s="1"/>
      <c r="L8244" s="1"/>
      <c r="M8244" s="1"/>
      <c r="N8244" s="1"/>
      <c r="O8244" s="1"/>
      <c r="P8244" s="1"/>
      <c r="Q8244" s="1"/>
      <c r="R8244" s="1"/>
      <c r="S8244" s="1"/>
      <c r="T8244" s="1"/>
      <c r="U8244" s="1"/>
      <c r="V8244" s="1"/>
      <c r="W8244" s="1"/>
      <c r="X8244" s="1"/>
      <c r="Y8244" s="1"/>
      <c r="Z8244" s="1"/>
      <c r="AA8244" s="1"/>
      <c r="AB8244" s="1"/>
    </row>
    <row r="8245" ht="50.25" customHeight="1">
      <c r="A8245" s="12">
        <v>8241.0</v>
      </c>
      <c r="B8245" s="13" t="s">
        <v>7680</v>
      </c>
      <c r="C8245" s="18" t="s">
        <v>8270</v>
      </c>
      <c r="D8245" s="1"/>
      <c r="E8245" s="1"/>
      <c r="F8245" s="1" t="str">
        <f>IFERROR(__xludf.DUMMYFUNCTION("GOOGLETRANSLATE(B8245, ""en"", ""fa"")
"),"درخواست برای معلمان")</f>
        <v>درخواست برای معلمان</v>
      </c>
      <c r="G8245" s="1" t="str">
        <f>IFERROR(__xludf.DUMMYFUNCTION("GOOGLETRANSLATE(C8245, ""en"", ""fa"")
"),"تجربیات خود را در مورد استراتژی های موفق برای استفاده از فناوری برای حمایت از یادگیری مبتنی بر تحقیق در علوم به اشتراک بگذارید.")</f>
        <v>تجربیات خود را در مورد استراتژی های موفق برای استفاده از فناوری برای حمایت از یادگیری مبتنی بر تحقیق در علوم به اشتراک بگذارید.</v>
      </c>
      <c r="H8245" s="1"/>
      <c r="I8245" s="1"/>
      <c r="J8245" s="1"/>
      <c r="K8245" s="1"/>
      <c r="L8245" s="1"/>
      <c r="M8245" s="1"/>
      <c r="N8245" s="1"/>
      <c r="O8245" s="1"/>
      <c r="P8245" s="1"/>
      <c r="Q8245" s="1"/>
      <c r="R8245" s="1"/>
      <c r="S8245" s="1"/>
      <c r="T8245" s="1"/>
      <c r="U8245" s="1"/>
      <c r="V8245" s="1"/>
      <c r="W8245" s="1"/>
      <c r="X8245" s="1"/>
      <c r="Y8245" s="1"/>
      <c r="Z8245" s="1"/>
      <c r="AA8245" s="1"/>
      <c r="AB8245" s="1"/>
    </row>
    <row r="8246" ht="50.25" customHeight="1">
      <c r="A8246" s="12">
        <v>8242.0</v>
      </c>
      <c r="B8246" s="13" t="s">
        <v>7680</v>
      </c>
      <c r="C8246" s="18" t="s">
        <v>8271</v>
      </c>
      <c r="D8246" s="1"/>
      <c r="E8246" s="1"/>
      <c r="F8246" s="1" t="str">
        <f>IFERROR(__xludf.DUMMYFUNCTION("GOOGLETRANSLATE(B8246, ""en"", ""fa"")
"),"درخواست برای معلمان")</f>
        <v>درخواست برای معلمان</v>
      </c>
      <c r="G8246" s="1" t="str">
        <f>IFERROR(__xludf.DUMMYFUNCTION("GOOGLETRANSLATE(C8246, ""en"", ""fa"")
"),"درباره نقش فناوری در پرورش مالکیت دانش‌آموزان بر یادگیری و خودارزیابی بحث کنید.")</f>
        <v>درباره نقش فناوری در پرورش مالکیت دانش‌آموزان بر یادگیری و خودارزیابی بحث کنید.</v>
      </c>
      <c r="H8246" s="1"/>
      <c r="I8246" s="1"/>
      <c r="J8246" s="1"/>
      <c r="K8246" s="1"/>
      <c r="L8246" s="1"/>
      <c r="M8246" s="1"/>
      <c r="N8246" s="1"/>
      <c r="O8246" s="1"/>
      <c r="P8246" s="1"/>
      <c r="Q8246" s="1"/>
      <c r="R8246" s="1"/>
      <c r="S8246" s="1"/>
      <c r="T8246" s="1"/>
      <c r="U8246" s="1"/>
      <c r="V8246" s="1"/>
      <c r="W8246" s="1"/>
      <c r="X8246" s="1"/>
      <c r="Y8246" s="1"/>
      <c r="Z8246" s="1"/>
      <c r="AA8246" s="1"/>
      <c r="AB8246" s="1"/>
    </row>
    <row r="8247" ht="50.25" customHeight="1">
      <c r="A8247" s="12">
        <v>8243.0</v>
      </c>
      <c r="B8247" s="13" t="s">
        <v>7680</v>
      </c>
      <c r="C8247" s="18" t="s">
        <v>8272</v>
      </c>
      <c r="D8247" s="1"/>
      <c r="E8247" s="1"/>
      <c r="F8247" s="1" t="str">
        <f>IFERROR(__xludf.DUMMYFUNCTION("GOOGLETRANSLATE(B8247, ""en"", ""fa"")
"),"درخواست برای معلمان")</f>
        <v>درخواست برای معلمان</v>
      </c>
      <c r="G8247" s="1" t="str">
        <f>IFERROR(__xludf.DUMMYFUNCTION("GOOGLETRANSLATE(C8247, ""en"", ""fa"")
"),"راه‌های استفاده از فناوری برای ارتقای تنوع فرهنگی و فراگیری در کلاس را بررسی کنید.")</f>
        <v>راه‌های استفاده از فناوری برای ارتقای تنوع فرهنگی و فراگیری در کلاس را بررسی کنید.</v>
      </c>
      <c r="H8247" s="1"/>
      <c r="I8247" s="1"/>
      <c r="J8247" s="1"/>
      <c r="K8247" s="1"/>
      <c r="L8247" s="1"/>
      <c r="M8247" s="1"/>
      <c r="N8247" s="1"/>
      <c r="O8247" s="1"/>
      <c r="P8247" s="1"/>
      <c r="Q8247" s="1"/>
      <c r="R8247" s="1"/>
      <c r="S8247" s="1"/>
      <c r="T8247" s="1"/>
      <c r="U8247" s="1"/>
      <c r="V8247" s="1"/>
      <c r="W8247" s="1"/>
      <c r="X8247" s="1"/>
      <c r="Y8247" s="1"/>
      <c r="Z8247" s="1"/>
      <c r="AA8247" s="1"/>
      <c r="AB8247" s="1"/>
    </row>
    <row r="8248" ht="50.25" customHeight="1">
      <c r="A8248" s="12">
        <v>8244.0</v>
      </c>
      <c r="B8248" s="13" t="s">
        <v>7680</v>
      </c>
      <c r="C8248" s="18" t="s">
        <v>8273</v>
      </c>
      <c r="D8248" s="1"/>
      <c r="E8248" s="1"/>
      <c r="F8248" s="1" t="str">
        <f>IFERROR(__xludf.DUMMYFUNCTION("GOOGLETRANSLATE(B8248, ""en"", ""fa"")
"),"درخواست برای معلمان")</f>
        <v>درخواست برای معلمان</v>
      </c>
      <c r="G8248" s="1" t="str">
        <f>IFERROR(__xludf.DUMMYFUNCTION("GOOGLETRANSLATE(C8248, ""en"", ""fa"")
"),"بینش خود را در مورد استراتژی های موثر برای استفاده از بازی های آموزشی و شبیه سازی ها برای تقویت اهداف یادگیری به اشتراک بگذارید.")</f>
        <v>بینش خود را در مورد استراتژی های موثر برای استفاده از بازی های آموزشی و شبیه سازی ها برای تقویت اهداف یادگیری به اشتراک بگذارید.</v>
      </c>
      <c r="H8248" s="1"/>
      <c r="I8248" s="1"/>
      <c r="J8248" s="1"/>
      <c r="K8248" s="1"/>
      <c r="L8248" s="1"/>
      <c r="M8248" s="1"/>
      <c r="N8248" s="1"/>
      <c r="O8248" s="1"/>
      <c r="P8248" s="1"/>
      <c r="Q8248" s="1"/>
      <c r="R8248" s="1"/>
      <c r="S8248" s="1"/>
      <c r="T8248" s="1"/>
      <c r="U8248" s="1"/>
      <c r="V8248" s="1"/>
      <c r="W8248" s="1"/>
      <c r="X8248" s="1"/>
      <c r="Y8248" s="1"/>
      <c r="Z8248" s="1"/>
      <c r="AA8248" s="1"/>
      <c r="AB8248" s="1"/>
    </row>
    <row r="8249" ht="50.25" customHeight="1">
      <c r="A8249" s="12">
        <v>8245.0</v>
      </c>
      <c r="B8249" s="13" t="s">
        <v>7680</v>
      </c>
      <c r="C8249" s="18" t="s">
        <v>8274</v>
      </c>
      <c r="D8249" s="1"/>
      <c r="E8249" s="1"/>
      <c r="F8249" s="1" t="str">
        <f>IFERROR(__xludf.DUMMYFUNCTION("GOOGLETRANSLATE(B8249, ""en"", ""fa"")
"),"درخواست برای معلمان")</f>
        <v>درخواست برای معلمان</v>
      </c>
      <c r="G8249" s="1" t="str">
        <f>IFERROR(__xludf.DUMMYFUNCTION("GOOGLETRANSLATE(C8249, ""en"", ""fa"")
"),"درباره تأثیر فناوری بر تقویت ارتباطات بین رشته ای و تجربیات یادگیری متقابل درسی بحث کنید.")</f>
        <v>درباره تأثیر فناوری بر تقویت ارتباطات بین رشته ای و تجربیات یادگیری متقابل درسی بحث کنید.</v>
      </c>
      <c r="H8249" s="1"/>
      <c r="I8249" s="1"/>
      <c r="J8249" s="1"/>
      <c r="K8249" s="1"/>
      <c r="L8249" s="1"/>
      <c r="M8249" s="1"/>
      <c r="N8249" s="1"/>
      <c r="O8249" s="1"/>
      <c r="P8249" s="1"/>
      <c r="Q8249" s="1"/>
      <c r="R8249" s="1"/>
      <c r="S8249" s="1"/>
      <c r="T8249" s="1"/>
      <c r="U8249" s="1"/>
      <c r="V8249" s="1"/>
      <c r="W8249" s="1"/>
      <c r="X8249" s="1"/>
      <c r="Y8249" s="1"/>
      <c r="Z8249" s="1"/>
      <c r="AA8249" s="1"/>
      <c r="AB8249" s="1"/>
    </row>
    <row r="8250" ht="50.25" customHeight="1">
      <c r="A8250" s="12">
        <v>8246.0</v>
      </c>
      <c r="B8250" s="13" t="s">
        <v>7680</v>
      </c>
      <c r="C8250" s="18" t="s">
        <v>8275</v>
      </c>
      <c r="D8250" s="1"/>
      <c r="E8250" s="1"/>
      <c r="F8250" s="1" t="str">
        <f>IFERROR(__xludf.DUMMYFUNCTION("GOOGLETRANSLATE(B8250, ""en"", ""fa"")
"),"درخواست برای معلمان")</f>
        <v>درخواست برای معلمان</v>
      </c>
      <c r="G8250" s="1" t="str">
        <f>IFERROR(__xludf.DUMMYFUNCTION("GOOGLETRANSLATE(C8250, ""en"", ""fa"")
"),"راه‌های استفاده از فناوری برای ترویج یادگیری فعال و رویکردهای آموزشی دانش‌آموز محور را بررسی کنید.")</f>
        <v>راه‌های استفاده از فناوری برای ترویج یادگیری فعال و رویکردهای آموزشی دانش‌آموز محور را بررسی کنید.</v>
      </c>
      <c r="H8250" s="1"/>
      <c r="I8250" s="1"/>
      <c r="J8250" s="1"/>
      <c r="K8250" s="1"/>
      <c r="L8250" s="1"/>
      <c r="M8250" s="1"/>
      <c r="N8250" s="1"/>
      <c r="O8250" s="1"/>
      <c r="P8250" s="1"/>
      <c r="Q8250" s="1"/>
      <c r="R8250" s="1"/>
      <c r="S8250" s="1"/>
      <c r="T8250" s="1"/>
      <c r="U8250" s="1"/>
      <c r="V8250" s="1"/>
      <c r="W8250" s="1"/>
      <c r="X8250" s="1"/>
      <c r="Y8250" s="1"/>
      <c r="Z8250" s="1"/>
      <c r="AA8250" s="1"/>
      <c r="AB8250" s="1"/>
    </row>
    <row r="8251" ht="50.25" customHeight="1">
      <c r="A8251" s="12">
        <v>8247.0</v>
      </c>
      <c r="B8251" s="13" t="s">
        <v>7680</v>
      </c>
      <c r="C8251" s="18" t="s">
        <v>8276</v>
      </c>
      <c r="D8251" s="1"/>
      <c r="E8251" s="1"/>
      <c r="F8251" s="1" t="str">
        <f>IFERROR(__xludf.DUMMYFUNCTION("GOOGLETRANSLATE(B8251, ""en"", ""fa"")
"),"درخواست برای معلمان")</f>
        <v>درخواست برای معلمان</v>
      </c>
      <c r="G8251" s="1" t="str">
        <f>IFERROR(__xludf.DUMMYFUNCTION("GOOGLETRANSLATE(C8251, ""en"", ""fa"")
"),"تجربیات خود را در مورد استراتژی‌های موفق برای استفاده از فناوری برای تقویت ارتباط و همکاری معلم و والدین به اشتراک بگذارید.")</f>
        <v>تجربیات خود را در مورد استراتژی‌های موفق برای استفاده از فناوری برای تقویت ارتباط و همکاری معلم و والدین به اشتراک بگذارید.</v>
      </c>
      <c r="H8251" s="1"/>
      <c r="I8251" s="1"/>
      <c r="J8251" s="1"/>
      <c r="K8251" s="1"/>
      <c r="L8251" s="1"/>
      <c r="M8251" s="1"/>
      <c r="N8251" s="1"/>
      <c r="O8251" s="1"/>
      <c r="P8251" s="1"/>
      <c r="Q8251" s="1"/>
      <c r="R8251" s="1"/>
      <c r="S8251" s="1"/>
      <c r="T8251" s="1"/>
      <c r="U8251" s="1"/>
      <c r="V8251" s="1"/>
      <c r="W8251" s="1"/>
      <c r="X8251" s="1"/>
      <c r="Y8251" s="1"/>
      <c r="Z8251" s="1"/>
      <c r="AA8251" s="1"/>
      <c r="AB8251" s="1"/>
    </row>
    <row r="8252" ht="50.25" customHeight="1">
      <c r="A8252" s="12">
        <v>8248.0</v>
      </c>
      <c r="B8252" s="13" t="s">
        <v>7680</v>
      </c>
      <c r="C8252" s="18" t="s">
        <v>8277</v>
      </c>
      <c r="D8252" s="1"/>
      <c r="E8252" s="1"/>
      <c r="F8252" s="1" t="str">
        <f>IFERROR(__xludf.DUMMYFUNCTION("GOOGLETRANSLATE(B8252, ""en"", ""fa"")
"),"درخواست برای معلمان")</f>
        <v>درخواست برای معلمان</v>
      </c>
      <c r="G8252" s="1" t="str">
        <f>IFERROR(__xludf.DUMMYFUNCTION("GOOGLETRANSLATE(C8252, ""en"", ""fa"")
"),"در مورد اهمیت توسعه حرفه ای و آموزش مداوم برای ادغام فناوری موثر بحث کنید.")</f>
        <v>در مورد اهمیت توسعه حرفه ای و آموزش مداوم برای ادغام فناوری موثر بحث کنید.</v>
      </c>
      <c r="H8252" s="1"/>
      <c r="I8252" s="1"/>
      <c r="J8252" s="1"/>
      <c r="K8252" s="1"/>
      <c r="L8252" s="1"/>
      <c r="M8252" s="1"/>
      <c r="N8252" s="1"/>
      <c r="O8252" s="1"/>
      <c r="P8252" s="1"/>
      <c r="Q8252" s="1"/>
      <c r="R8252" s="1"/>
      <c r="S8252" s="1"/>
      <c r="T8252" s="1"/>
      <c r="U8252" s="1"/>
      <c r="V8252" s="1"/>
      <c r="W8252" s="1"/>
      <c r="X8252" s="1"/>
      <c r="Y8252" s="1"/>
      <c r="Z8252" s="1"/>
      <c r="AA8252" s="1"/>
      <c r="AB8252" s="1"/>
    </row>
    <row r="8253" ht="50.25" customHeight="1">
      <c r="A8253" s="12">
        <v>8249.0</v>
      </c>
      <c r="B8253" s="13" t="s">
        <v>7680</v>
      </c>
      <c r="C8253" s="18" t="s">
        <v>8278</v>
      </c>
      <c r="D8253" s="1"/>
      <c r="E8253" s="1"/>
      <c r="F8253" s="1" t="str">
        <f>IFERROR(__xludf.DUMMYFUNCTION("GOOGLETRANSLATE(B8253, ""en"", ""fa"")
"),"درخواست برای معلمان")</f>
        <v>درخواست برای معلمان</v>
      </c>
      <c r="G8253" s="1" t="str">
        <f>IFERROR(__xludf.DUMMYFUNCTION("GOOGLETRANSLATE(C8253, ""en"", ""fa"")
"),"راه‌های استفاده از فناوری برای تقویت شهروندی جهانی و مسئولیت اجتماعی در بین دانش‌آموزان را بررسی کنید.")</f>
        <v>راه‌های استفاده از فناوری برای تقویت شهروندی جهانی و مسئولیت اجتماعی در بین دانش‌آموزان را بررسی کنید.</v>
      </c>
      <c r="H8253" s="1"/>
      <c r="I8253" s="1"/>
      <c r="J8253" s="1"/>
      <c r="K8253" s="1"/>
      <c r="L8253" s="1"/>
      <c r="M8253" s="1"/>
      <c r="N8253" s="1"/>
      <c r="O8253" s="1"/>
      <c r="P8253" s="1"/>
      <c r="Q8253" s="1"/>
      <c r="R8253" s="1"/>
      <c r="S8253" s="1"/>
      <c r="T8253" s="1"/>
      <c r="U8253" s="1"/>
      <c r="V8253" s="1"/>
      <c r="W8253" s="1"/>
      <c r="X8253" s="1"/>
      <c r="Y8253" s="1"/>
      <c r="Z8253" s="1"/>
      <c r="AA8253" s="1"/>
      <c r="AB8253" s="1"/>
    </row>
    <row r="8254" ht="50.25" customHeight="1">
      <c r="A8254" s="12">
        <v>8250.0</v>
      </c>
      <c r="B8254" s="13" t="s">
        <v>7680</v>
      </c>
      <c r="C8254" s="18" t="s">
        <v>8279</v>
      </c>
      <c r="D8254" s="1"/>
      <c r="E8254" s="1"/>
      <c r="F8254" s="1" t="str">
        <f>IFERROR(__xludf.DUMMYFUNCTION("GOOGLETRANSLATE(B8254, ""en"", ""fa"")
"),"درخواست برای معلمان")</f>
        <v>درخواست برای معلمان</v>
      </c>
      <c r="G8254" s="1" t="str">
        <f>IFERROR(__xludf.DUMMYFUNCTION("GOOGLETRANSLATE(C8254, ""en"", ""fa"")
"),"بینش خود را در مورد استراتژی های موثر برای استفاده از فناوری برای حمایت از خود ارزیابی و تعیین هدف دانش آموزان به اشتراک بگذارید.")</f>
        <v>بینش خود را در مورد استراتژی های موثر برای استفاده از فناوری برای حمایت از خود ارزیابی و تعیین هدف دانش آموزان به اشتراک بگذارید.</v>
      </c>
      <c r="H8254" s="1"/>
      <c r="I8254" s="1"/>
      <c r="J8254" s="1"/>
      <c r="K8254" s="1"/>
      <c r="L8254" s="1"/>
      <c r="M8254" s="1"/>
      <c r="N8254" s="1"/>
      <c r="O8254" s="1"/>
      <c r="P8254" s="1"/>
      <c r="Q8254" s="1"/>
      <c r="R8254" s="1"/>
      <c r="S8254" s="1"/>
      <c r="T8254" s="1"/>
      <c r="U8254" s="1"/>
      <c r="V8254" s="1"/>
      <c r="W8254" s="1"/>
      <c r="X8254" s="1"/>
      <c r="Y8254" s="1"/>
      <c r="Z8254" s="1"/>
      <c r="AA8254" s="1"/>
      <c r="AB8254" s="1"/>
    </row>
    <row r="8255" ht="50.25" customHeight="1">
      <c r="A8255" s="12">
        <v>8251.0</v>
      </c>
      <c r="B8255" s="13" t="s">
        <v>7680</v>
      </c>
      <c r="C8255" s="18" t="s">
        <v>8280</v>
      </c>
      <c r="D8255" s="1"/>
      <c r="E8255" s="1"/>
      <c r="F8255" s="1" t="str">
        <f>IFERROR(__xludf.DUMMYFUNCTION("GOOGLETRANSLATE(B8255, ""en"", ""fa"")
"),"درخواست برای معلمان")</f>
        <v>درخواست برای معلمان</v>
      </c>
      <c r="G8255" s="1" t="str">
        <f>IFERROR(__xludf.DUMMYFUNCTION("GOOGLETRANSLATE(C8255, ""en"", ""fa"")
"),"در مورد تأثیر فناوری بر ارتقای تصمیم گیری مبتنی بر داده و آموزش شخصی بحث کنید.")</f>
        <v>در مورد تأثیر فناوری بر ارتقای تصمیم گیری مبتنی بر داده و آموزش شخصی بحث کنید.</v>
      </c>
      <c r="H8255" s="1"/>
      <c r="I8255" s="1"/>
      <c r="J8255" s="1"/>
      <c r="K8255" s="1"/>
      <c r="L8255" s="1"/>
      <c r="M8255" s="1"/>
      <c r="N8255" s="1"/>
      <c r="O8255" s="1"/>
      <c r="P8255" s="1"/>
      <c r="Q8255" s="1"/>
      <c r="R8255" s="1"/>
      <c r="S8255" s="1"/>
      <c r="T8255" s="1"/>
      <c r="U8255" s="1"/>
      <c r="V8255" s="1"/>
      <c r="W8255" s="1"/>
      <c r="X8255" s="1"/>
      <c r="Y8255" s="1"/>
      <c r="Z8255" s="1"/>
      <c r="AA8255" s="1"/>
      <c r="AB8255" s="1"/>
    </row>
    <row r="8256" ht="50.25" customHeight="1">
      <c r="A8256" s="12">
        <v>8252.0</v>
      </c>
      <c r="B8256" s="13" t="s">
        <v>7680</v>
      </c>
      <c r="C8256" s="18" t="s">
        <v>8281</v>
      </c>
      <c r="D8256" s="1"/>
      <c r="E8256" s="1"/>
      <c r="F8256" s="1" t="str">
        <f>IFERROR(__xludf.DUMMYFUNCTION("GOOGLETRANSLATE(B8256, ""en"", ""fa"")
"),"درخواست برای معلمان")</f>
        <v>درخواست برای معلمان</v>
      </c>
      <c r="G8256" s="1" t="str">
        <f>IFERROR(__xludf.DUMMYFUNCTION("GOOGLETRANSLATE(C8256, ""en"", ""fa"")
"),"در مورد مزایای استفاده از سیستم های مدیریت یادگیری (LMS) برای سازماندهی و ارائه محتوای دوره بحث کنید.")</f>
        <v>در مورد مزایای استفاده از سیستم های مدیریت یادگیری (LMS) برای سازماندهی و ارائه محتوای دوره بحث کنید.</v>
      </c>
      <c r="H8256" s="1"/>
      <c r="I8256" s="1"/>
      <c r="J8256" s="1"/>
      <c r="K8256" s="1"/>
      <c r="L8256" s="1"/>
      <c r="M8256" s="1"/>
      <c r="N8256" s="1"/>
      <c r="O8256" s="1"/>
      <c r="P8256" s="1"/>
      <c r="Q8256" s="1"/>
      <c r="R8256" s="1"/>
      <c r="S8256" s="1"/>
      <c r="T8256" s="1"/>
      <c r="U8256" s="1"/>
      <c r="V8256" s="1"/>
      <c r="W8256" s="1"/>
      <c r="X8256" s="1"/>
      <c r="Y8256" s="1"/>
      <c r="Z8256" s="1"/>
      <c r="AA8256" s="1"/>
      <c r="AB8256" s="1"/>
    </row>
    <row r="8257" ht="50.25" customHeight="1">
      <c r="A8257" s="12">
        <v>8253.0</v>
      </c>
      <c r="B8257" s="13" t="s">
        <v>7680</v>
      </c>
      <c r="C8257" s="18" t="s">
        <v>8282</v>
      </c>
      <c r="D8257" s="1"/>
      <c r="E8257" s="1"/>
      <c r="F8257" s="1" t="str">
        <f>IFERROR(__xludf.DUMMYFUNCTION("GOOGLETRANSLATE(B8257, ""en"", ""fa"")
"),"درخواست برای معلمان")</f>
        <v>درخواست برای معلمان</v>
      </c>
      <c r="G8257" s="1" t="str">
        <f>IFERROR(__xludf.DUMMYFUNCTION("GOOGLETRANSLATE(C8257, ""en"", ""fa"")
"),"ویژگی ها و کاربردهای فناوری تخته سفید تعاملی را در کلاس درس کاوش کنید.")</f>
        <v>ویژگی ها و کاربردهای فناوری تخته سفید تعاملی را در کلاس درس کاوش کنید.</v>
      </c>
      <c r="H8257" s="1"/>
      <c r="I8257" s="1"/>
      <c r="J8257" s="1"/>
      <c r="K8257" s="1"/>
      <c r="L8257" s="1"/>
      <c r="M8257" s="1"/>
      <c r="N8257" s="1"/>
      <c r="O8257" s="1"/>
      <c r="P8257" s="1"/>
      <c r="Q8257" s="1"/>
      <c r="R8257" s="1"/>
      <c r="S8257" s="1"/>
      <c r="T8257" s="1"/>
      <c r="U8257" s="1"/>
      <c r="V8257" s="1"/>
      <c r="W8257" s="1"/>
      <c r="X8257" s="1"/>
      <c r="Y8257" s="1"/>
      <c r="Z8257" s="1"/>
      <c r="AA8257" s="1"/>
      <c r="AB8257" s="1"/>
    </row>
    <row r="8258" ht="50.25" customHeight="1">
      <c r="A8258" s="12">
        <v>8254.0</v>
      </c>
      <c r="B8258" s="13" t="s">
        <v>7680</v>
      </c>
      <c r="C8258" s="18" t="s">
        <v>8283</v>
      </c>
      <c r="D8258" s="1"/>
      <c r="E8258" s="1"/>
      <c r="F8258" s="1" t="str">
        <f>IFERROR(__xludf.DUMMYFUNCTION("GOOGLETRANSLATE(B8258, ""en"", ""fa"")
"),"درخواست برای معلمان")</f>
        <v>درخواست برای معلمان</v>
      </c>
      <c r="G8258" s="1" t="str">
        <f>IFERROR(__xludf.DUMMYFUNCTION("GOOGLETRANSLATE(C8258, ""en"", ""fa"")
"),"وب سایت های آموزشی مورد علاقه خود یا پلتفرم های آنلاین را برای فعالیت های یادگیری تعاملی به اشتراک بگذارید.")</f>
        <v>وب سایت های آموزشی مورد علاقه خود یا پلتفرم های آنلاین را برای فعالیت های یادگیری تعاملی به اشتراک بگذارید.</v>
      </c>
      <c r="H8258" s="1"/>
      <c r="I8258" s="1"/>
      <c r="J8258" s="1"/>
      <c r="K8258" s="1"/>
      <c r="L8258" s="1"/>
      <c r="M8258" s="1"/>
      <c r="N8258" s="1"/>
      <c r="O8258" s="1"/>
      <c r="P8258" s="1"/>
      <c r="Q8258" s="1"/>
      <c r="R8258" s="1"/>
      <c r="S8258" s="1"/>
      <c r="T8258" s="1"/>
      <c r="U8258" s="1"/>
      <c r="V8258" s="1"/>
      <c r="W8258" s="1"/>
      <c r="X8258" s="1"/>
      <c r="Y8258" s="1"/>
      <c r="Z8258" s="1"/>
      <c r="AA8258" s="1"/>
      <c r="AB8258" s="1"/>
    </row>
    <row r="8259" ht="50.25" customHeight="1">
      <c r="A8259" s="12">
        <v>8255.0</v>
      </c>
      <c r="B8259" s="13" t="s">
        <v>7680</v>
      </c>
      <c r="C8259" s="18" t="s">
        <v>8284</v>
      </c>
      <c r="D8259" s="1"/>
      <c r="E8259" s="1"/>
      <c r="F8259" s="1" t="str">
        <f>IFERROR(__xludf.DUMMYFUNCTION("GOOGLETRANSLATE(B8259, ""en"", ""fa"")
"),"درخواست برای معلمان")</f>
        <v>درخواست برای معلمان</v>
      </c>
      <c r="G8259" s="1" t="str">
        <f>IFERROR(__xludf.DUMMYFUNCTION("GOOGLETRANSLATE(C8259, ""en"", ""fa"")
"),"در مورد نقش برنامه های آموزشی در ارتقاء مشارکت دانش آموزان و پیشرفت تحصیلی بحث کنید.")</f>
        <v>در مورد نقش برنامه های آموزشی در ارتقاء مشارکت دانش آموزان و پیشرفت تحصیلی بحث کنید.</v>
      </c>
      <c r="H8259" s="1"/>
      <c r="I8259" s="1"/>
      <c r="J8259" s="1"/>
      <c r="K8259" s="1"/>
      <c r="L8259" s="1"/>
      <c r="M8259" s="1"/>
      <c r="N8259" s="1"/>
      <c r="O8259" s="1"/>
      <c r="P8259" s="1"/>
      <c r="Q8259" s="1"/>
      <c r="R8259" s="1"/>
      <c r="S8259" s="1"/>
      <c r="T8259" s="1"/>
      <c r="U8259" s="1"/>
      <c r="V8259" s="1"/>
      <c r="W8259" s="1"/>
      <c r="X8259" s="1"/>
      <c r="Y8259" s="1"/>
      <c r="Z8259" s="1"/>
      <c r="AA8259" s="1"/>
      <c r="AB8259" s="1"/>
    </row>
    <row r="8260" ht="50.25" customHeight="1">
      <c r="A8260" s="12">
        <v>8256.0</v>
      </c>
      <c r="B8260" s="13" t="s">
        <v>7680</v>
      </c>
      <c r="C8260" s="18" t="s">
        <v>8285</v>
      </c>
      <c r="D8260" s="1"/>
      <c r="E8260" s="1"/>
      <c r="F8260" s="1" t="str">
        <f>IFERROR(__xludf.DUMMYFUNCTION("GOOGLETRANSLATE(B8260, ""en"", ""fa"")
"),"درخواست برای معلمان")</f>
        <v>درخواست برای معلمان</v>
      </c>
      <c r="G8260" s="1" t="str">
        <f>IFERROR(__xludf.DUMMYFUNCTION("GOOGLETRANSLATE(C8260, ""en"", ""fa"")
"),"راه‌های استفاده از ابزار کنفرانس ویدیویی برای سفرهای میدانی مجازی و جلسات سخنران مهمان را کاوش کنید.")</f>
        <v>راه‌های استفاده از ابزار کنفرانس ویدیویی برای سفرهای میدانی مجازی و جلسات سخنران مهمان را کاوش کنید.</v>
      </c>
      <c r="H8260" s="1"/>
      <c r="I8260" s="1"/>
      <c r="J8260" s="1"/>
      <c r="K8260" s="1"/>
      <c r="L8260" s="1"/>
      <c r="M8260" s="1"/>
      <c r="N8260" s="1"/>
      <c r="O8260" s="1"/>
      <c r="P8260" s="1"/>
      <c r="Q8260" s="1"/>
      <c r="R8260" s="1"/>
      <c r="S8260" s="1"/>
      <c r="T8260" s="1"/>
      <c r="U8260" s="1"/>
      <c r="V8260" s="1"/>
      <c r="W8260" s="1"/>
      <c r="X8260" s="1"/>
      <c r="Y8260" s="1"/>
      <c r="Z8260" s="1"/>
      <c r="AA8260" s="1"/>
      <c r="AB8260" s="1"/>
    </row>
    <row r="8261" ht="50.25" customHeight="1">
      <c r="A8261" s="12">
        <v>8257.0</v>
      </c>
      <c r="B8261" s="13" t="s">
        <v>7680</v>
      </c>
      <c r="C8261" s="18" t="s">
        <v>8286</v>
      </c>
      <c r="D8261" s="1"/>
      <c r="E8261" s="1"/>
      <c r="F8261" s="1" t="str">
        <f>IFERROR(__xludf.DUMMYFUNCTION("GOOGLETRANSLATE(B8261, ""en"", ""fa"")
"),"درخواست برای معلمان")</f>
        <v>درخواست برای معلمان</v>
      </c>
      <c r="G8261" s="1" t="str">
        <f>IFERROR(__xludf.DUMMYFUNCTION("GOOGLETRANSLATE(C8261, ""en"", ""fa"")
"),"تجربیات خود را در مورد استراتژی های موفق برای استفاده از ابزارهای داستان سرایی دیجیتال برای یادگیری مبتنی بر روایت به اشتراک بگذارید.")</f>
        <v>تجربیات خود را در مورد استراتژی های موفق برای استفاده از ابزارهای داستان سرایی دیجیتال برای یادگیری مبتنی بر روایت به اشتراک بگذارید.</v>
      </c>
      <c r="H8261" s="1"/>
      <c r="I8261" s="1"/>
      <c r="J8261" s="1"/>
      <c r="K8261" s="1"/>
      <c r="L8261" s="1"/>
      <c r="M8261" s="1"/>
      <c r="N8261" s="1"/>
      <c r="O8261" s="1"/>
      <c r="P8261" s="1"/>
      <c r="Q8261" s="1"/>
      <c r="R8261" s="1"/>
      <c r="S8261" s="1"/>
      <c r="T8261" s="1"/>
      <c r="U8261" s="1"/>
      <c r="V8261" s="1"/>
      <c r="W8261" s="1"/>
      <c r="X8261" s="1"/>
      <c r="Y8261" s="1"/>
      <c r="Z8261" s="1"/>
      <c r="AA8261" s="1"/>
      <c r="AB8261" s="1"/>
    </row>
    <row r="8262" ht="50.25" customHeight="1">
      <c r="A8262" s="12">
        <v>8258.0</v>
      </c>
      <c r="B8262" s="13" t="s">
        <v>7680</v>
      </c>
      <c r="C8262" s="18" t="s">
        <v>8287</v>
      </c>
      <c r="D8262" s="1"/>
      <c r="E8262" s="1"/>
      <c r="F8262" s="1" t="str">
        <f>IFERROR(__xludf.DUMMYFUNCTION("GOOGLETRANSLATE(B8262, ""en"", ""fa"")
"),"درخواست برای معلمان")</f>
        <v>درخواست برای معلمان</v>
      </c>
      <c r="G8262" s="1" t="str">
        <f>IFERROR(__xludf.DUMMYFUNCTION("GOOGLETRANSLATE(C8262, ""en"", ""fa"")
"),"در مورد اهمیت ترکیب نرم افزار یادگیری تطبیقی ​​در آموزش شخصی بحث کنید.")</f>
        <v>در مورد اهمیت ترکیب نرم افزار یادگیری تطبیقی ​​در آموزش شخصی بحث کنید.</v>
      </c>
      <c r="H8262" s="1"/>
      <c r="I8262" s="1"/>
      <c r="J8262" s="1"/>
      <c r="K8262" s="1"/>
      <c r="L8262" s="1"/>
      <c r="M8262" s="1"/>
      <c r="N8262" s="1"/>
      <c r="O8262" s="1"/>
      <c r="P8262" s="1"/>
      <c r="Q8262" s="1"/>
      <c r="R8262" s="1"/>
      <c r="S8262" s="1"/>
      <c r="T8262" s="1"/>
      <c r="U8262" s="1"/>
      <c r="V8262" s="1"/>
      <c r="W8262" s="1"/>
      <c r="X8262" s="1"/>
      <c r="Y8262" s="1"/>
      <c r="Z8262" s="1"/>
      <c r="AA8262" s="1"/>
      <c r="AB8262" s="1"/>
    </row>
    <row r="8263" ht="50.25" customHeight="1">
      <c r="A8263" s="12">
        <v>8259.0</v>
      </c>
      <c r="B8263" s="13" t="s">
        <v>7680</v>
      </c>
      <c r="C8263" s="18" t="s">
        <v>8288</v>
      </c>
      <c r="D8263" s="1"/>
      <c r="E8263" s="1"/>
      <c r="F8263" s="1" t="str">
        <f>IFERROR(__xludf.DUMMYFUNCTION("GOOGLETRANSLATE(B8263, ""en"", ""fa"")
"),"درخواست برای معلمان")</f>
        <v>درخواست برای معلمان</v>
      </c>
      <c r="G8263" s="1" t="str">
        <f>IFERROR(__xludf.DUMMYFUNCTION("GOOGLETRANSLATE(C8263, ""en"", ""fa"")
"),"مزایای استفاده از پادکست های آموزشی را به عنوان یک منبع یادگیری تکمیلی بررسی کنید.")</f>
        <v>مزایای استفاده از پادکست های آموزشی را به عنوان یک منبع یادگیری تکمیلی بررسی کنید.</v>
      </c>
      <c r="H8263" s="1"/>
      <c r="I8263" s="1"/>
      <c r="J8263" s="1"/>
      <c r="K8263" s="1"/>
      <c r="L8263" s="1"/>
      <c r="M8263" s="1"/>
      <c r="N8263" s="1"/>
      <c r="O8263" s="1"/>
      <c r="P8263" s="1"/>
      <c r="Q8263" s="1"/>
      <c r="R8263" s="1"/>
      <c r="S8263" s="1"/>
      <c r="T8263" s="1"/>
      <c r="U8263" s="1"/>
      <c r="V8263" s="1"/>
      <c r="W8263" s="1"/>
      <c r="X8263" s="1"/>
      <c r="Y8263" s="1"/>
      <c r="Z8263" s="1"/>
      <c r="AA8263" s="1"/>
      <c r="AB8263" s="1"/>
    </row>
    <row r="8264" ht="50.25" customHeight="1">
      <c r="A8264" s="12">
        <v>8260.0</v>
      </c>
      <c r="B8264" s="13" t="s">
        <v>7680</v>
      </c>
      <c r="C8264" s="18" t="s">
        <v>8289</v>
      </c>
      <c r="D8264" s="1"/>
      <c r="E8264" s="1"/>
      <c r="F8264" s="1" t="str">
        <f>IFERROR(__xludf.DUMMYFUNCTION("GOOGLETRANSLATE(B8264, ""en"", ""fa"")
"),"درخواست برای معلمان")</f>
        <v>درخواست برای معلمان</v>
      </c>
      <c r="G8264" s="1" t="str">
        <f>IFERROR(__xludf.DUMMYFUNCTION("GOOGLETRANSLATE(C8264, ""en"", ""fa"")
"),"بینش خود را در مورد استراتژی‌های مؤثر برای استفاده از پایگاه‌های اطلاعاتی تحقیقاتی آنلاین برای پروژه‌های تحقیق دانشجویی به اشتراک بگذارید.")</f>
        <v>بینش خود را در مورد استراتژی‌های مؤثر برای استفاده از پایگاه‌های اطلاعاتی تحقیقاتی آنلاین برای پروژه‌های تحقیق دانشجویی به اشتراک بگذارید.</v>
      </c>
      <c r="H8264" s="1"/>
      <c r="I8264" s="1"/>
      <c r="J8264" s="1"/>
      <c r="K8264" s="1"/>
      <c r="L8264" s="1"/>
      <c r="M8264" s="1"/>
      <c r="N8264" s="1"/>
      <c r="O8264" s="1"/>
      <c r="P8264" s="1"/>
      <c r="Q8264" s="1"/>
      <c r="R8264" s="1"/>
      <c r="S8264" s="1"/>
      <c r="T8264" s="1"/>
      <c r="U8264" s="1"/>
      <c r="V8264" s="1"/>
      <c r="W8264" s="1"/>
      <c r="X8264" s="1"/>
      <c r="Y8264" s="1"/>
      <c r="Z8264" s="1"/>
      <c r="AA8264" s="1"/>
      <c r="AB8264" s="1"/>
    </row>
    <row r="8265" ht="50.25" customHeight="1">
      <c r="A8265" s="12">
        <v>8261.0</v>
      </c>
      <c r="B8265" s="13" t="s">
        <v>7680</v>
      </c>
      <c r="C8265" s="18" t="s">
        <v>8290</v>
      </c>
      <c r="D8265" s="1"/>
      <c r="E8265" s="1"/>
      <c r="F8265" s="1" t="str">
        <f>IFERROR(__xludf.DUMMYFUNCTION("GOOGLETRANSLATE(B8265, ""en"", ""fa"")
"),"درخواست برای معلمان")</f>
        <v>درخواست برای معلمان</v>
      </c>
      <c r="G8265" s="1" t="str">
        <f>IFERROR(__xludf.DUMMYFUNCTION("GOOGLETRANSLATE(C8265, ""en"", ""fa"")
"),"در مورد تاثیر واقعیت افزوده (AR) و واقعیت مجازی (VR) در افزایش تجربیات یادگیری بحث کنید.")</f>
        <v>در مورد تاثیر واقعیت افزوده (AR) و واقعیت مجازی (VR) در افزایش تجربیات یادگیری بحث کنید.</v>
      </c>
      <c r="H8265" s="1"/>
      <c r="I8265" s="1"/>
      <c r="J8265" s="1"/>
      <c r="K8265" s="1"/>
      <c r="L8265" s="1"/>
      <c r="M8265" s="1"/>
      <c r="N8265" s="1"/>
      <c r="O8265" s="1"/>
      <c r="P8265" s="1"/>
      <c r="Q8265" s="1"/>
      <c r="R8265" s="1"/>
      <c r="S8265" s="1"/>
      <c r="T8265" s="1"/>
      <c r="U8265" s="1"/>
      <c r="V8265" s="1"/>
      <c r="W8265" s="1"/>
      <c r="X8265" s="1"/>
      <c r="Y8265" s="1"/>
      <c r="Z8265" s="1"/>
      <c r="AA8265" s="1"/>
      <c r="AB8265" s="1"/>
    </row>
    <row r="8266" ht="50.25" customHeight="1">
      <c r="A8266" s="12">
        <v>8262.0</v>
      </c>
      <c r="B8266" s="13" t="s">
        <v>7680</v>
      </c>
      <c r="C8266" s="18" t="s">
        <v>8291</v>
      </c>
      <c r="D8266" s="1"/>
      <c r="E8266" s="1"/>
      <c r="F8266" s="1" t="str">
        <f>IFERROR(__xludf.DUMMYFUNCTION("GOOGLETRANSLATE(B8266, ""en"", ""fa"")
"),"درخواست برای معلمان")</f>
        <v>درخواست برای معلمان</v>
      </c>
      <c r="G8266" s="1" t="str">
        <f>IFERROR(__xludf.DUMMYFUNCTION("GOOGLETRANSLATE(C8266, ""en"", ""fa"")
"),"راه‌هایی برای استفاده از پلتفرم‌های مبتنی بر بازی آموزشی برای یادگیری و توسعه مهارت‌های بازی‌سازی شده را بررسی کنید.")</f>
        <v>راه‌هایی برای استفاده از پلتفرم‌های مبتنی بر بازی آموزشی برای یادگیری و توسعه مهارت‌های بازی‌سازی شده را بررسی کنید.</v>
      </c>
      <c r="H8266" s="1"/>
      <c r="I8266" s="1"/>
      <c r="J8266" s="1"/>
      <c r="K8266" s="1"/>
      <c r="L8266" s="1"/>
      <c r="M8266" s="1"/>
      <c r="N8266" s="1"/>
      <c r="O8266" s="1"/>
      <c r="P8266" s="1"/>
      <c r="Q8266" s="1"/>
      <c r="R8266" s="1"/>
      <c r="S8266" s="1"/>
      <c r="T8266" s="1"/>
      <c r="U8266" s="1"/>
      <c r="V8266" s="1"/>
      <c r="W8266" s="1"/>
      <c r="X8266" s="1"/>
      <c r="Y8266" s="1"/>
      <c r="Z8266" s="1"/>
      <c r="AA8266" s="1"/>
      <c r="AB8266" s="1"/>
    </row>
    <row r="8267" ht="50.25" customHeight="1">
      <c r="A8267" s="12">
        <v>8263.0</v>
      </c>
      <c r="B8267" s="13" t="s">
        <v>7680</v>
      </c>
      <c r="C8267" s="18" t="s">
        <v>8292</v>
      </c>
      <c r="D8267" s="1"/>
      <c r="E8267" s="1"/>
      <c r="F8267" s="1" t="str">
        <f>IFERROR(__xludf.DUMMYFUNCTION("GOOGLETRANSLATE(B8267, ""en"", ""fa"")
"),"درخواست برای معلمان")</f>
        <v>درخواست برای معلمان</v>
      </c>
      <c r="G8267" s="1" t="str">
        <f>IFERROR(__xludf.DUMMYFUNCTION("GOOGLETRANSLATE(C8267, ""en"", ""fa"")
"),"تجربیات خود را در مورد استراتژی‌های موفق برای استفاده از ابزارهای ارزیابی دیجیتال برای بازخورد شکل‌دهنده به اشتراک بگذارید.")</f>
        <v>تجربیات خود را در مورد استراتژی‌های موفق برای استفاده از ابزارهای ارزیابی دیجیتال برای بازخورد شکل‌دهنده به اشتراک بگذارید.</v>
      </c>
      <c r="H8267" s="1"/>
      <c r="I8267" s="1"/>
      <c r="J8267" s="1"/>
      <c r="K8267" s="1"/>
      <c r="L8267" s="1"/>
      <c r="M8267" s="1"/>
      <c r="N8267" s="1"/>
      <c r="O8267" s="1"/>
      <c r="P8267" s="1"/>
      <c r="Q8267" s="1"/>
      <c r="R8267" s="1"/>
      <c r="S8267" s="1"/>
      <c r="T8267" s="1"/>
      <c r="U8267" s="1"/>
      <c r="V8267" s="1"/>
      <c r="W8267" s="1"/>
      <c r="X8267" s="1"/>
      <c r="Y8267" s="1"/>
      <c r="Z8267" s="1"/>
      <c r="AA8267" s="1"/>
      <c r="AB8267" s="1"/>
    </row>
    <row r="8268" ht="50.25" customHeight="1">
      <c r="A8268" s="12">
        <v>8264.0</v>
      </c>
      <c r="B8268" s="13" t="s">
        <v>7680</v>
      </c>
      <c r="C8268" s="18" t="s">
        <v>8293</v>
      </c>
      <c r="D8268" s="1"/>
      <c r="E8268" s="1"/>
      <c r="F8268" s="1" t="str">
        <f>IFERROR(__xludf.DUMMYFUNCTION("GOOGLETRANSLATE(B8268, ""en"", ""fa"")
"),"درخواست برای معلمان")</f>
        <v>درخواست برای معلمان</v>
      </c>
      <c r="G8268" s="1" t="str">
        <f>IFERROR(__xludf.DUMMYFUNCTION("GOOGLETRANSLATE(C8268, ""en"", ""fa"")
"),"در مورد نقش ابزارهای همکاری آنلاین در تسهیل کار گروهی و یادگیری مبتنی بر پروژه بحث کنید.")</f>
        <v>در مورد نقش ابزارهای همکاری آنلاین در تسهیل کار گروهی و یادگیری مبتنی بر پروژه بحث کنید.</v>
      </c>
      <c r="H8268" s="1"/>
      <c r="I8268" s="1"/>
      <c r="J8268" s="1"/>
      <c r="K8268" s="1"/>
      <c r="L8268" s="1"/>
      <c r="M8268" s="1"/>
      <c r="N8268" s="1"/>
      <c r="O8268" s="1"/>
      <c r="P8268" s="1"/>
      <c r="Q8268" s="1"/>
      <c r="R8268" s="1"/>
      <c r="S8268" s="1"/>
      <c r="T8268" s="1"/>
      <c r="U8268" s="1"/>
      <c r="V8268" s="1"/>
      <c r="W8268" s="1"/>
      <c r="X8268" s="1"/>
      <c r="Y8268" s="1"/>
      <c r="Z8268" s="1"/>
      <c r="AA8268" s="1"/>
      <c r="AB8268" s="1"/>
    </row>
    <row r="8269" ht="50.25" customHeight="1">
      <c r="A8269" s="12">
        <v>8265.0</v>
      </c>
      <c r="B8269" s="13" t="s">
        <v>7680</v>
      </c>
      <c r="C8269" s="18" t="s">
        <v>8294</v>
      </c>
      <c r="D8269" s="1"/>
      <c r="E8269" s="1"/>
      <c r="F8269" s="1" t="str">
        <f>IFERROR(__xludf.DUMMYFUNCTION("GOOGLETRANSLATE(B8269, ""en"", ""fa"")
"),"درخواست برای معلمان")</f>
        <v>درخواست برای معلمان</v>
      </c>
      <c r="G8269" s="1" t="str">
        <f>IFERROR(__xludf.DUMMYFUNCTION("GOOGLETRANSLATE(C8269, ""en"", ""fa"")
"),"مزایای استفاده از کتاب های درسی تعاملی دیجیتال را برای تجربیات یادگیری قابل تنظیم و تعاملی بررسی کنید.")</f>
        <v>مزایای استفاده از کتاب های درسی تعاملی دیجیتال را برای تجربیات یادگیری قابل تنظیم و تعاملی بررسی کنید.</v>
      </c>
      <c r="H8269" s="1"/>
      <c r="I8269" s="1"/>
      <c r="J8269" s="1"/>
      <c r="K8269" s="1"/>
      <c r="L8269" s="1"/>
      <c r="M8269" s="1"/>
      <c r="N8269" s="1"/>
      <c r="O8269" s="1"/>
      <c r="P8269" s="1"/>
      <c r="Q8269" s="1"/>
      <c r="R8269" s="1"/>
      <c r="S8269" s="1"/>
      <c r="T8269" s="1"/>
      <c r="U8269" s="1"/>
      <c r="V8269" s="1"/>
      <c r="W8269" s="1"/>
      <c r="X8269" s="1"/>
      <c r="Y8269" s="1"/>
      <c r="Z8269" s="1"/>
      <c r="AA8269" s="1"/>
      <c r="AB8269" s="1"/>
    </row>
    <row r="8270" ht="50.25" customHeight="1">
      <c r="A8270" s="12">
        <v>8266.0</v>
      </c>
      <c r="B8270" s="13" t="s">
        <v>7680</v>
      </c>
      <c r="C8270" s="18" t="s">
        <v>8295</v>
      </c>
      <c r="D8270" s="1"/>
      <c r="E8270" s="1"/>
      <c r="F8270" s="1" t="str">
        <f>IFERROR(__xludf.DUMMYFUNCTION("GOOGLETRANSLATE(B8270, ""en"", ""fa"")
"),"درخواست برای معلمان")</f>
        <v>درخواست برای معلمان</v>
      </c>
      <c r="G8270" s="1" t="str">
        <f>IFERROR(__xludf.DUMMYFUNCTION("GOOGLETRANSLATE(C8270, ""en"", ""fa"")
"),"بینش خود را در مورد استراتژی های موثر برای استفاده از ابزارهای حاشیه نویسی دیجیتال برای خواندن و تجزیه و تحلیل دقیق به اشتراک بگذارید.")</f>
        <v>بینش خود را در مورد استراتژی های موثر برای استفاده از ابزارهای حاشیه نویسی دیجیتال برای خواندن و تجزیه و تحلیل دقیق به اشتراک بگذارید.</v>
      </c>
      <c r="H8270" s="1"/>
      <c r="I8270" s="1"/>
      <c r="J8270" s="1"/>
      <c r="K8270" s="1"/>
      <c r="L8270" s="1"/>
      <c r="M8270" s="1"/>
      <c r="N8270" s="1"/>
      <c r="O8270" s="1"/>
      <c r="P8270" s="1"/>
      <c r="Q8270" s="1"/>
      <c r="R8270" s="1"/>
      <c r="S8270" s="1"/>
      <c r="T8270" s="1"/>
      <c r="U8270" s="1"/>
      <c r="V8270" s="1"/>
      <c r="W8270" s="1"/>
      <c r="X8270" s="1"/>
      <c r="Y8270" s="1"/>
      <c r="Z8270" s="1"/>
      <c r="AA8270" s="1"/>
      <c r="AB8270" s="1"/>
    </row>
    <row r="8271" ht="50.25" customHeight="1">
      <c r="A8271" s="12">
        <v>8267.0</v>
      </c>
      <c r="B8271" s="13" t="s">
        <v>7680</v>
      </c>
      <c r="C8271" s="18" t="s">
        <v>8296</v>
      </c>
      <c r="D8271" s="1"/>
      <c r="E8271" s="1"/>
      <c r="F8271" s="1" t="str">
        <f>IFERROR(__xludf.DUMMYFUNCTION("GOOGLETRANSLATE(B8271, ""en"", ""fa"")
"),"درخواست برای معلمان")</f>
        <v>درخواست برای معلمان</v>
      </c>
      <c r="G8271" s="1" t="str">
        <f>IFERROR(__xludf.DUMMYFUNCTION("GOOGLETRANSLATE(C8271, ""en"", ""fa"")
"),"تجربیات خود را در مورد استراتژی های موفق برای ترکیب آموزش های فرهنگی پاسخگو در آموزش ریاضی به اشتراک بگذارید.")</f>
        <v>تجربیات خود را در مورد استراتژی های موفق برای ترکیب آموزش های فرهنگی پاسخگو در آموزش ریاضی به اشتراک بگذارید.</v>
      </c>
      <c r="H8271" s="1"/>
      <c r="I8271" s="1"/>
      <c r="J8271" s="1"/>
      <c r="K8271" s="1"/>
      <c r="L8271" s="1"/>
      <c r="M8271" s="1"/>
      <c r="N8271" s="1"/>
      <c r="O8271" s="1"/>
      <c r="P8271" s="1"/>
      <c r="Q8271" s="1"/>
      <c r="R8271" s="1"/>
      <c r="S8271" s="1"/>
      <c r="T8271" s="1"/>
      <c r="U8271" s="1"/>
      <c r="V8271" s="1"/>
      <c r="W8271" s="1"/>
      <c r="X8271" s="1"/>
      <c r="Y8271" s="1"/>
      <c r="Z8271" s="1"/>
      <c r="AA8271" s="1"/>
      <c r="AB8271" s="1"/>
    </row>
    <row r="8272" ht="50.25" customHeight="1">
      <c r="A8272" s="12">
        <v>8268.0</v>
      </c>
      <c r="B8272" s="13" t="s">
        <v>7680</v>
      </c>
      <c r="C8272" s="18" t="s">
        <v>8297</v>
      </c>
      <c r="D8272" s="1"/>
      <c r="E8272" s="1"/>
      <c r="F8272" s="1" t="str">
        <f>IFERROR(__xludf.DUMMYFUNCTION("GOOGLETRANSLATE(B8272, ""en"", ""fa"")
"),"درخواست برای معلمان")</f>
        <v>درخواست برای معلمان</v>
      </c>
      <c r="G8272" s="1" t="str">
        <f>IFERROR(__xludf.DUMMYFUNCTION("GOOGLETRANSLATE(C8272, ""en"", ""fa"")
"),"راه‌هایی را برای استفاده از آموزش‌های پاسخ‌گویانه فرهنگی برای پرداختن به پاک‌سازی‌های تاریخی و روایت‌های به حاشیه را کشف کنید.")</f>
        <v>راه‌هایی را برای استفاده از آموزش‌های پاسخ‌گویانه فرهنگی برای پرداختن به پاک‌سازی‌های تاریخی و روایت‌های به حاشیه را کشف کنید.</v>
      </c>
      <c r="H8272" s="1"/>
      <c r="I8272" s="1"/>
      <c r="J8272" s="1"/>
      <c r="K8272" s="1"/>
      <c r="L8272" s="1"/>
      <c r="M8272" s="1"/>
      <c r="N8272" s="1"/>
      <c r="O8272" s="1"/>
      <c r="P8272" s="1"/>
      <c r="Q8272" s="1"/>
      <c r="R8272" s="1"/>
      <c r="S8272" s="1"/>
      <c r="T8272" s="1"/>
      <c r="U8272" s="1"/>
      <c r="V8272" s="1"/>
      <c r="W8272" s="1"/>
      <c r="X8272" s="1"/>
      <c r="Y8272" s="1"/>
      <c r="Z8272" s="1"/>
      <c r="AA8272" s="1"/>
      <c r="AB8272" s="1"/>
    </row>
    <row r="8273" ht="50.25" customHeight="1">
      <c r="A8273" s="12">
        <v>8269.0</v>
      </c>
      <c r="B8273" s="13" t="s">
        <v>7680</v>
      </c>
      <c r="C8273" s="18" t="s">
        <v>8298</v>
      </c>
      <c r="D8273" s="1"/>
      <c r="E8273" s="1"/>
      <c r="F8273" s="1" t="str">
        <f>IFERROR(__xludf.DUMMYFUNCTION("GOOGLETRANSLATE(B8273, ""en"", ""fa"")
"),"درخواست برای معلمان")</f>
        <v>درخواست برای معلمان</v>
      </c>
      <c r="G8273" s="1" t="str">
        <f>IFERROR(__xludf.DUMMYFUNCTION("GOOGLETRANSLATE(C8273, ""en"", ""fa"")
"),"در مورد اهمیت گنجاندن دیدگاه های بومی در آموزش زیست محیطی و اکولوژیکی بحث کنید.")</f>
        <v>در مورد اهمیت گنجاندن دیدگاه های بومی در آموزش زیست محیطی و اکولوژیکی بحث کنید.</v>
      </c>
      <c r="H8273" s="1"/>
      <c r="I8273" s="1"/>
      <c r="J8273" s="1"/>
      <c r="K8273" s="1"/>
      <c r="L8273" s="1"/>
      <c r="M8273" s="1"/>
      <c r="N8273" s="1"/>
      <c r="O8273" s="1"/>
      <c r="P8273" s="1"/>
      <c r="Q8273" s="1"/>
      <c r="R8273" s="1"/>
      <c r="S8273" s="1"/>
      <c r="T8273" s="1"/>
      <c r="U8273" s="1"/>
      <c r="V8273" s="1"/>
      <c r="W8273" s="1"/>
      <c r="X8273" s="1"/>
      <c r="Y8273" s="1"/>
      <c r="Z8273" s="1"/>
      <c r="AA8273" s="1"/>
      <c r="AB8273" s="1"/>
    </row>
    <row r="8274" ht="50.25" customHeight="1">
      <c r="A8274" s="12">
        <v>8270.0</v>
      </c>
      <c r="B8274" s="13" t="s">
        <v>7680</v>
      </c>
      <c r="C8274" s="18" t="s">
        <v>8299</v>
      </c>
      <c r="D8274" s="1"/>
      <c r="E8274" s="1"/>
      <c r="F8274" s="1" t="str">
        <f>IFERROR(__xludf.DUMMYFUNCTION("GOOGLETRANSLATE(B8274, ""en"", ""fa"")
"),"درخواست برای معلمان")</f>
        <v>درخواست برای معلمان</v>
      </c>
      <c r="G8274" s="1" t="str">
        <f>IFERROR(__xludf.DUMMYFUNCTION("GOOGLETRANSLATE(C8274, ""en"", ""fa"")
"),"بینش خود را در مورد استراتژی های موثر برای استفاده از آموزش های فرهنگی پاسخگو برای ارتقاء سواد دیجیتال و ایمنی اینترنت به اشتراک بگذارید.")</f>
        <v>بینش خود را در مورد استراتژی های موثر برای استفاده از آموزش های فرهنگی پاسخگو برای ارتقاء سواد دیجیتال و ایمنی اینترنت به اشتراک بگذارید.</v>
      </c>
      <c r="H8274" s="1"/>
      <c r="I8274" s="1"/>
      <c r="J8274" s="1"/>
      <c r="K8274" s="1"/>
      <c r="L8274" s="1"/>
      <c r="M8274" s="1"/>
      <c r="N8274" s="1"/>
      <c r="O8274" s="1"/>
      <c r="P8274" s="1"/>
      <c r="Q8274" s="1"/>
      <c r="R8274" s="1"/>
      <c r="S8274" s="1"/>
      <c r="T8274" s="1"/>
      <c r="U8274" s="1"/>
      <c r="V8274" s="1"/>
      <c r="W8274" s="1"/>
      <c r="X8274" s="1"/>
      <c r="Y8274" s="1"/>
      <c r="Z8274" s="1"/>
      <c r="AA8274" s="1"/>
      <c r="AB8274" s="1"/>
    </row>
    <row r="8275" ht="50.25" customHeight="1">
      <c r="A8275" s="12">
        <v>8271.0</v>
      </c>
      <c r="B8275" s="13" t="s">
        <v>7680</v>
      </c>
      <c r="C8275" s="18" t="s">
        <v>8300</v>
      </c>
      <c r="D8275" s="1"/>
      <c r="E8275" s="1"/>
      <c r="F8275" s="1" t="str">
        <f>IFERROR(__xludf.DUMMYFUNCTION("GOOGLETRANSLATE(B8275, ""en"", ""fa"")
"),"درخواست برای معلمان")</f>
        <v>درخواست برای معلمان</v>
      </c>
      <c r="G8275" s="1" t="str">
        <f>IFERROR(__xludf.DUMMYFUNCTION("GOOGLETRANSLATE(C8275, ""en"", ""fa"")
"),"راه‌هایی را برای استفاده از آموزش‌های فرهنگی پاسخگو برای ارتقای دسترسی عادلانه به فناوری و منابع دیجیتال کاوش کنید.")</f>
        <v>راه‌هایی را برای استفاده از آموزش‌های فرهنگی پاسخگو برای ارتقای دسترسی عادلانه به فناوری و منابع دیجیتال کاوش کنید.</v>
      </c>
      <c r="H8275" s="1"/>
      <c r="I8275" s="1"/>
      <c r="J8275" s="1"/>
      <c r="K8275" s="1"/>
      <c r="L8275" s="1"/>
      <c r="M8275" s="1"/>
      <c r="N8275" s="1"/>
      <c r="O8275" s="1"/>
      <c r="P8275" s="1"/>
      <c r="Q8275" s="1"/>
      <c r="R8275" s="1"/>
      <c r="S8275" s="1"/>
      <c r="T8275" s="1"/>
      <c r="U8275" s="1"/>
      <c r="V8275" s="1"/>
      <c r="W8275" s="1"/>
      <c r="X8275" s="1"/>
      <c r="Y8275" s="1"/>
      <c r="Z8275" s="1"/>
      <c r="AA8275" s="1"/>
      <c r="AB8275" s="1"/>
    </row>
    <row r="8276" ht="50.25" customHeight="1">
      <c r="A8276" s="12">
        <v>8272.0</v>
      </c>
      <c r="B8276" s="13" t="s">
        <v>7680</v>
      </c>
      <c r="C8276" s="18" t="s">
        <v>8301</v>
      </c>
      <c r="D8276" s="1"/>
      <c r="E8276" s="1"/>
      <c r="F8276" s="1" t="str">
        <f>IFERROR(__xludf.DUMMYFUNCTION("GOOGLETRANSLATE(B8276, ""en"", ""fa"")
"),"درخواست برای معلمان")</f>
        <v>درخواست برای معلمان</v>
      </c>
      <c r="G8276" s="1" t="str">
        <f>IFERROR(__xludf.DUMMYFUNCTION("GOOGLETRANSLATE(C8276, ""en"", ""fa"")
"),"در مورد نقش تدریس پاسخگوی فرهنگی در پرورش کنجکاوی و قدردانی فرهنگی دانش آموزان بحث کنید.")</f>
        <v>در مورد نقش تدریس پاسخگوی فرهنگی در پرورش کنجکاوی و قدردانی فرهنگی دانش آموزان بحث کنید.</v>
      </c>
      <c r="H8276" s="1"/>
      <c r="I8276" s="1"/>
      <c r="J8276" s="1"/>
      <c r="K8276" s="1"/>
      <c r="L8276" s="1"/>
      <c r="M8276" s="1"/>
      <c r="N8276" s="1"/>
      <c r="O8276" s="1"/>
      <c r="P8276" s="1"/>
      <c r="Q8276" s="1"/>
      <c r="R8276" s="1"/>
      <c r="S8276" s="1"/>
      <c r="T8276" s="1"/>
      <c r="U8276" s="1"/>
      <c r="V8276" s="1"/>
      <c r="W8276" s="1"/>
      <c r="X8276" s="1"/>
      <c r="Y8276" s="1"/>
      <c r="Z8276" s="1"/>
      <c r="AA8276" s="1"/>
      <c r="AB8276" s="1"/>
    </row>
    <row r="8277" ht="50.25" customHeight="1">
      <c r="A8277" s="12">
        <v>8273.0</v>
      </c>
      <c r="B8277" s="13" t="s">
        <v>7680</v>
      </c>
      <c r="C8277" s="18" t="s">
        <v>8302</v>
      </c>
      <c r="D8277" s="1"/>
      <c r="E8277" s="1"/>
      <c r="F8277" s="1" t="str">
        <f>IFERROR(__xludf.DUMMYFUNCTION("GOOGLETRANSLATE(B8277, ""en"", ""fa"")
"),"درخواست برای معلمان")</f>
        <v>درخواست برای معلمان</v>
      </c>
      <c r="G8277" s="1" t="str">
        <f>IFERROR(__xludf.DUMMYFUNCTION("GOOGLETRANSLATE(C8277, ""en"", ""fa"")
"),"تجربیات خود را در مورد استراتژی های موفق برای استفاده از آموزش های فرهنگی پاسخگو برای حمایت از دانش آموزان دارای معلولیت به اشتراک بگذارید.")</f>
        <v>تجربیات خود را در مورد استراتژی های موفق برای استفاده از آموزش های فرهنگی پاسخگو برای حمایت از دانش آموزان دارای معلولیت به اشتراک بگذارید.</v>
      </c>
      <c r="H8277" s="1"/>
      <c r="I8277" s="1"/>
      <c r="J8277" s="1"/>
      <c r="K8277" s="1"/>
      <c r="L8277" s="1"/>
      <c r="M8277" s="1"/>
      <c r="N8277" s="1"/>
      <c r="O8277" s="1"/>
      <c r="P8277" s="1"/>
      <c r="Q8277" s="1"/>
      <c r="R8277" s="1"/>
      <c r="S8277" s="1"/>
      <c r="T8277" s="1"/>
      <c r="U8277" s="1"/>
      <c r="V8277" s="1"/>
      <c r="W8277" s="1"/>
      <c r="X8277" s="1"/>
      <c r="Y8277" s="1"/>
      <c r="Z8277" s="1"/>
      <c r="AA8277" s="1"/>
      <c r="AB8277" s="1"/>
    </row>
    <row r="8278" ht="50.25" customHeight="1">
      <c r="A8278" s="12">
        <v>8274.0</v>
      </c>
      <c r="B8278" s="13" t="s">
        <v>7680</v>
      </c>
      <c r="C8278" s="18" t="s">
        <v>8303</v>
      </c>
      <c r="D8278" s="1"/>
      <c r="E8278" s="1"/>
      <c r="F8278" s="1" t="str">
        <f>IFERROR(__xludf.DUMMYFUNCTION("GOOGLETRANSLATE(B8278, ""en"", ""fa"")
"),"درخواست برای معلمان")</f>
        <v>درخواست برای معلمان</v>
      </c>
      <c r="G8278" s="1" t="str">
        <f>IFERROR(__xludf.DUMMYFUNCTION("GOOGLETRANSLATE(C8278, ""en"", ""fa"")
"),"راه‌هایی را برای استفاده از آموزش پاسخگوی فرهنگی برای رسیدگی و به چالش کشیدن کلیشه‌ها در زمینه‌های علوم، فناوری، مهندسی و ریاضی (STEM) کاوش کنید.")</f>
        <v>راه‌هایی را برای استفاده از آموزش پاسخگوی فرهنگی برای رسیدگی و به چالش کشیدن کلیشه‌ها در زمینه‌های علوم، فناوری، مهندسی و ریاضی (STEM) کاوش کنید.</v>
      </c>
      <c r="H8278" s="1"/>
      <c r="I8278" s="1"/>
      <c r="J8278" s="1"/>
      <c r="K8278" s="1"/>
      <c r="L8278" s="1"/>
      <c r="M8278" s="1"/>
      <c r="N8278" s="1"/>
      <c r="O8278" s="1"/>
      <c r="P8278" s="1"/>
      <c r="Q8278" s="1"/>
      <c r="R8278" s="1"/>
      <c r="S8278" s="1"/>
      <c r="T8278" s="1"/>
      <c r="U8278" s="1"/>
      <c r="V8278" s="1"/>
      <c r="W8278" s="1"/>
      <c r="X8278" s="1"/>
      <c r="Y8278" s="1"/>
      <c r="Z8278" s="1"/>
      <c r="AA8278" s="1"/>
      <c r="AB8278" s="1"/>
    </row>
    <row r="8279" ht="50.25" customHeight="1">
      <c r="A8279" s="12">
        <v>8275.0</v>
      </c>
      <c r="B8279" s="13" t="s">
        <v>7680</v>
      </c>
      <c r="C8279" s="18" t="s">
        <v>8304</v>
      </c>
      <c r="D8279" s="1"/>
      <c r="E8279" s="1"/>
      <c r="F8279" s="1" t="str">
        <f>IFERROR(__xludf.DUMMYFUNCTION("GOOGLETRANSLATE(B8279, ""en"", ""fa"")
"),"درخواست برای معلمان")</f>
        <v>درخواست برای معلمان</v>
      </c>
      <c r="G8279" s="1" t="str">
        <f>IFERROR(__xludf.DUMMYFUNCTION("GOOGLETRANSLATE(C8279, ""en"", ""fa"")
"),"در مورد تأثیر آموزش پاسخگوی فرهنگی بر احساس تعلق و اعتماد به نفس تحصیلی دانش آموزان بحث کنید.")</f>
        <v>در مورد تأثیر آموزش پاسخگوی فرهنگی بر احساس تعلق و اعتماد به نفس تحصیلی دانش آموزان بحث کنید.</v>
      </c>
      <c r="H8279" s="1"/>
      <c r="I8279" s="1"/>
      <c r="J8279" s="1"/>
      <c r="K8279" s="1"/>
      <c r="L8279" s="1"/>
      <c r="M8279" s="1"/>
      <c r="N8279" s="1"/>
      <c r="O8279" s="1"/>
      <c r="P8279" s="1"/>
      <c r="Q8279" s="1"/>
      <c r="R8279" s="1"/>
      <c r="S8279" s="1"/>
      <c r="T8279" s="1"/>
      <c r="U8279" s="1"/>
      <c r="V8279" s="1"/>
      <c r="W8279" s="1"/>
      <c r="X8279" s="1"/>
      <c r="Y8279" s="1"/>
      <c r="Z8279" s="1"/>
      <c r="AA8279" s="1"/>
      <c r="AB8279" s="1"/>
    </row>
    <row r="8280" ht="50.25" customHeight="1">
      <c r="A8280" s="12">
        <v>8276.0</v>
      </c>
      <c r="B8280" s="13" t="s">
        <v>7680</v>
      </c>
      <c r="C8280" s="18" t="s">
        <v>8305</v>
      </c>
      <c r="D8280" s="1"/>
      <c r="E8280" s="1"/>
      <c r="F8280" s="1" t="str">
        <f>IFERROR(__xludf.DUMMYFUNCTION("GOOGLETRANSLATE(B8280, ""en"", ""fa"")
"),"درخواست برای معلمان")</f>
        <v>درخواست برای معلمان</v>
      </c>
      <c r="G8280" s="1" t="str">
        <f>IFERROR(__xludf.DUMMYFUNCTION("GOOGLETRANSLATE(C8280, ""en"", ""fa"")
"),"بینش خود را در مورد راهبردهای مؤثر برای استفاده از آموزش پاسخگوی فرهنگی برای ارتقاء یادگیری و رفاه اجتماعی-عاطفی به اشتراک بگذارید.")</f>
        <v>بینش خود را در مورد راهبردهای مؤثر برای استفاده از آموزش پاسخگوی فرهنگی برای ارتقاء یادگیری و رفاه اجتماعی-عاطفی به اشتراک بگذارید.</v>
      </c>
      <c r="H8280" s="1"/>
      <c r="I8280" s="1"/>
      <c r="J8280" s="1"/>
      <c r="K8280" s="1"/>
      <c r="L8280" s="1"/>
      <c r="M8280" s="1"/>
      <c r="N8280" s="1"/>
      <c r="O8280" s="1"/>
      <c r="P8280" s="1"/>
      <c r="Q8280" s="1"/>
      <c r="R8280" s="1"/>
      <c r="S8280" s="1"/>
      <c r="T8280" s="1"/>
      <c r="U8280" s="1"/>
      <c r="V8280" s="1"/>
      <c r="W8280" s="1"/>
      <c r="X8280" s="1"/>
      <c r="Y8280" s="1"/>
      <c r="Z8280" s="1"/>
      <c r="AA8280" s="1"/>
      <c r="AB8280" s="1"/>
    </row>
    <row r="8281" ht="50.25" customHeight="1">
      <c r="A8281" s="12">
        <v>8277.0</v>
      </c>
      <c r="B8281" s="13" t="s">
        <v>7680</v>
      </c>
      <c r="C8281" s="18" t="s">
        <v>8306</v>
      </c>
      <c r="D8281" s="1"/>
      <c r="E8281" s="1"/>
      <c r="F8281" s="1" t="str">
        <f>IFERROR(__xludf.DUMMYFUNCTION("GOOGLETRANSLATE(B8281, ""en"", ""fa"")
"),"درخواست برای معلمان")</f>
        <v>درخواست برای معلمان</v>
      </c>
      <c r="G8281" s="1" t="str">
        <f>IFERROR(__xludf.DUMMYFUNCTION("GOOGLETRANSLATE(C8281, ""en"", ""fa"")
"),"راه‌هایی را برای استفاده از آموزش‌های پاسخگوی فرهنگی برای رسیدگی به نابرابری‌های اجتماعی تاریخی و معاصر بررسی کنید.")</f>
        <v>راه‌هایی را برای استفاده از آموزش‌های پاسخگوی فرهنگی برای رسیدگی به نابرابری‌های اجتماعی تاریخی و معاصر بررسی کنید.</v>
      </c>
      <c r="H8281" s="1"/>
      <c r="I8281" s="1"/>
      <c r="J8281" s="1"/>
      <c r="K8281" s="1"/>
      <c r="L8281" s="1"/>
      <c r="M8281" s="1"/>
      <c r="N8281" s="1"/>
      <c r="O8281" s="1"/>
      <c r="P8281" s="1"/>
      <c r="Q8281" s="1"/>
      <c r="R8281" s="1"/>
      <c r="S8281" s="1"/>
      <c r="T8281" s="1"/>
      <c r="U8281" s="1"/>
      <c r="V8281" s="1"/>
      <c r="W8281" s="1"/>
      <c r="X8281" s="1"/>
      <c r="Y8281" s="1"/>
      <c r="Z8281" s="1"/>
      <c r="AA8281" s="1"/>
      <c r="AB8281" s="1"/>
    </row>
    <row r="8282" ht="50.25" customHeight="1">
      <c r="A8282" s="12">
        <v>8278.0</v>
      </c>
      <c r="B8282" s="13" t="s">
        <v>7680</v>
      </c>
      <c r="C8282" s="18" t="s">
        <v>8307</v>
      </c>
      <c r="D8282" s="1"/>
      <c r="E8282" s="1"/>
      <c r="F8282" s="1" t="str">
        <f>IFERROR(__xludf.DUMMYFUNCTION("GOOGLETRANSLATE(B8282, ""en"", ""fa"")
"),"درخواست برای معلمان")</f>
        <v>درخواست برای معلمان</v>
      </c>
      <c r="G8282" s="1" t="str">
        <f>IFERROR(__xludf.DUMMYFUNCTION("GOOGLETRANSLATE(C8282, ""en"", ""fa"")
"),"در مورد اهمیت آموزش پاسخگوی فرهنگی در پرورش هویت نژادی و قومی مثبت بحث کنید.")</f>
        <v>در مورد اهمیت آموزش پاسخگوی فرهنگی در پرورش هویت نژادی و قومی مثبت بحث کنید.</v>
      </c>
      <c r="H8282" s="1"/>
      <c r="I8282" s="1"/>
      <c r="J8282" s="1"/>
      <c r="K8282" s="1"/>
      <c r="L8282" s="1"/>
      <c r="M8282" s="1"/>
      <c r="N8282" s="1"/>
      <c r="O8282" s="1"/>
      <c r="P8282" s="1"/>
      <c r="Q8282" s="1"/>
      <c r="R8282" s="1"/>
      <c r="S8282" s="1"/>
      <c r="T8282" s="1"/>
      <c r="U8282" s="1"/>
      <c r="V8282" s="1"/>
      <c r="W8282" s="1"/>
      <c r="X8282" s="1"/>
      <c r="Y8282" s="1"/>
      <c r="Z8282" s="1"/>
      <c r="AA8282" s="1"/>
      <c r="AB8282" s="1"/>
    </row>
    <row r="8283" ht="50.25" customHeight="1">
      <c r="A8283" s="12">
        <v>8279.0</v>
      </c>
      <c r="B8283" s="13" t="s">
        <v>7680</v>
      </c>
      <c r="C8283" s="18" t="s">
        <v>8308</v>
      </c>
      <c r="D8283" s="1"/>
      <c r="E8283" s="1"/>
      <c r="F8283" s="1" t="str">
        <f>IFERROR(__xludf.DUMMYFUNCTION("GOOGLETRANSLATE(B8283, ""en"", ""fa"")
"),"درخواست برای معلمان")</f>
        <v>درخواست برای معلمان</v>
      </c>
      <c r="G8283" s="1" t="str">
        <f>IFERROR(__xludf.DUMMYFUNCTION("GOOGLETRANSLATE(C8283, ""en"", ""fa"")
"),"تجربیات خود را در مورد استراتژی های موفق برای گنجاندن آموزش های فرهنگی پاسخگو در تربیت بدنی و ورزش به اشتراک بگذارید.")</f>
        <v>تجربیات خود را در مورد استراتژی های موفق برای گنجاندن آموزش های فرهنگی پاسخگو در تربیت بدنی و ورزش به اشتراک بگذارید.</v>
      </c>
      <c r="H8283" s="1"/>
      <c r="I8283" s="1"/>
      <c r="J8283" s="1"/>
      <c r="K8283" s="1"/>
      <c r="L8283" s="1"/>
      <c r="M8283" s="1"/>
      <c r="N8283" s="1"/>
      <c r="O8283" s="1"/>
      <c r="P8283" s="1"/>
      <c r="Q8283" s="1"/>
      <c r="R8283" s="1"/>
      <c r="S8283" s="1"/>
      <c r="T8283" s="1"/>
      <c r="U8283" s="1"/>
      <c r="V8283" s="1"/>
      <c r="W8283" s="1"/>
      <c r="X8283" s="1"/>
      <c r="Y8283" s="1"/>
      <c r="Z8283" s="1"/>
      <c r="AA8283" s="1"/>
      <c r="AB8283" s="1"/>
    </row>
    <row r="8284" ht="50.25" customHeight="1">
      <c r="A8284" s="12">
        <v>8280.0</v>
      </c>
      <c r="B8284" s="13" t="s">
        <v>7680</v>
      </c>
      <c r="C8284" s="18" t="s">
        <v>8309</v>
      </c>
      <c r="D8284" s="1"/>
      <c r="E8284" s="1"/>
      <c r="F8284" s="1" t="str">
        <f>IFERROR(__xludf.DUMMYFUNCTION("GOOGLETRANSLATE(B8284, ""en"", ""fa"")
"),"درخواست برای معلمان")</f>
        <v>درخواست برای معلمان</v>
      </c>
      <c r="G8284" s="1" t="str">
        <f>IFERROR(__xludf.DUMMYFUNCTION("GOOGLETRANSLATE(C8284, ""en"", ""fa"")
"),"در مورد اهمیت آموزش چندفرهنگی در تقویت درک و قدردانی از فرهنگ های متنوع بحث کنید.")</f>
        <v>در مورد اهمیت آموزش چندفرهنگی در تقویت درک و قدردانی از فرهنگ های متنوع بحث کنید.</v>
      </c>
      <c r="H8284" s="1"/>
      <c r="I8284" s="1"/>
      <c r="J8284" s="1"/>
      <c r="K8284" s="1"/>
      <c r="L8284" s="1"/>
      <c r="M8284" s="1"/>
      <c r="N8284" s="1"/>
      <c r="O8284" s="1"/>
      <c r="P8284" s="1"/>
      <c r="Q8284" s="1"/>
      <c r="R8284" s="1"/>
      <c r="S8284" s="1"/>
      <c r="T8284" s="1"/>
      <c r="U8284" s="1"/>
      <c r="V8284" s="1"/>
      <c r="W8284" s="1"/>
      <c r="X8284" s="1"/>
      <c r="Y8284" s="1"/>
      <c r="Z8284" s="1"/>
      <c r="AA8284" s="1"/>
      <c r="AB8284" s="1"/>
    </row>
    <row r="8285" ht="50.25" customHeight="1">
      <c r="A8285" s="12">
        <v>8281.0</v>
      </c>
      <c r="B8285" s="13" t="s">
        <v>7680</v>
      </c>
      <c r="C8285" s="18" t="s">
        <v>8310</v>
      </c>
      <c r="D8285" s="1"/>
      <c r="E8285" s="1"/>
      <c r="F8285" s="1" t="str">
        <f>IFERROR(__xludf.DUMMYFUNCTION("GOOGLETRANSLATE(B8285, ""en"", ""fa"")
"),"درخواست برای معلمان")</f>
        <v>درخواست برای معلمان</v>
      </c>
      <c r="G8285" s="1" t="str">
        <f>IFERROR(__xludf.DUMMYFUNCTION("GOOGLETRANSLATE(C8285, ""en"", ""fa"")
"),"تجربیات خود را در مورد استراتژی های موفق برای گنجاندن دیدگاه های جهانی در برنامه درسی به اشتراک بگذارید.")</f>
        <v>تجربیات خود را در مورد استراتژی های موفق برای گنجاندن دیدگاه های جهانی در برنامه درسی به اشتراک بگذارید.</v>
      </c>
      <c r="H8285" s="1"/>
      <c r="I8285" s="1"/>
      <c r="J8285" s="1"/>
      <c r="K8285" s="1"/>
      <c r="L8285" s="1"/>
      <c r="M8285" s="1"/>
      <c r="N8285" s="1"/>
      <c r="O8285" s="1"/>
      <c r="P8285" s="1"/>
      <c r="Q8285" s="1"/>
      <c r="R8285" s="1"/>
      <c r="S8285" s="1"/>
      <c r="T8285" s="1"/>
      <c r="U8285" s="1"/>
      <c r="V8285" s="1"/>
      <c r="W8285" s="1"/>
      <c r="X8285" s="1"/>
      <c r="Y8285" s="1"/>
      <c r="Z8285" s="1"/>
      <c r="AA8285" s="1"/>
      <c r="AB8285" s="1"/>
    </row>
    <row r="8286" ht="50.25" customHeight="1">
      <c r="A8286" s="12">
        <v>8282.0</v>
      </c>
      <c r="B8286" s="13" t="s">
        <v>7680</v>
      </c>
      <c r="C8286" s="18" t="s">
        <v>8311</v>
      </c>
      <c r="D8286" s="1"/>
      <c r="E8286" s="1"/>
      <c r="F8286" s="1" t="str">
        <f>IFERROR(__xludf.DUMMYFUNCTION("GOOGLETRANSLATE(B8286, ""en"", ""fa"")
"),"درخواست برای معلمان")</f>
        <v>درخواست برای معلمان</v>
      </c>
      <c r="G8286" s="1" t="str">
        <f>IFERROR(__xludf.DUMMYFUNCTION("GOOGLETRANSLATE(C8286, ""en"", ""fa"")
"),"راه‌هایی را برای ادغام ادبیات و متون چندفرهنگی در آموزش هنرهای زبانی کاوش کنید.")</f>
        <v>راه‌هایی را برای ادغام ادبیات و متون چندفرهنگی در آموزش هنرهای زبانی کاوش کنید.</v>
      </c>
      <c r="H8286" s="1"/>
      <c r="I8286" s="1"/>
      <c r="J8286" s="1"/>
      <c r="K8286" s="1"/>
      <c r="L8286" s="1"/>
      <c r="M8286" s="1"/>
      <c r="N8286" s="1"/>
      <c r="O8286" s="1"/>
      <c r="P8286" s="1"/>
      <c r="Q8286" s="1"/>
      <c r="R8286" s="1"/>
      <c r="S8286" s="1"/>
      <c r="T8286" s="1"/>
      <c r="U8286" s="1"/>
      <c r="V8286" s="1"/>
      <c r="W8286" s="1"/>
      <c r="X8286" s="1"/>
      <c r="Y8286" s="1"/>
      <c r="Z8286" s="1"/>
      <c r="AA8286" s="1"/>
      <c r="AB8286" s="1"/>
    </row>
    <row r="8287" ht="50.25" customHeight="1">
      <c r="A8287" s="12">
        <v>8283.0</v>
      </c>
      <c r="B8287" s="13" t="s">
        <v>7680</v>
      </c>
      <c r="C8287" s="18" t="s">
        <v>8312</v>
      </c>
      <c r="D8287" s="1"/>
      <c r="E8287" s="1"/>
      <c r="F8287" s="1" t="str">
        <f>IFERROR(__xludf.DUMMYFUNCTION("GOOGLETRANSLATE(B8287, ""en"", ""fa"")
"),"درخواست برای معلمان")</f>
        <v>درخواست برای معلمان</v>
      </c>
      <c r="G8287" s="1" t="str">
        <f>IFERROR(__xludf.DUMMYFUNCTION("GOOGLETRANSLATE(C8287, ""en"", ""fa"")
"),"در مورد تأثیر آموزش چند فرهنگی بر ارتقای همدلی و احترام در بین دانش آموزان بحث کنید.")</f>
        <v>در مورد تأثیر آموزش چند فرهنگی بر ارتقای همدلی و احترام در بین دانش آموزان بحث کنید.</v>
      </c>
      <c r="H8287" s="1"/>
      <c r="I8287" s="1"/>
      <c r="J8287" s="1"/>
      <c r="K8287" s="1"/>
      <c r="L8287" s="1"/>
      <c r="M8287" s="1"/>
      <c r="N8287" s="1"/>
      <c r="O8287" s="1"/>
      <c r="P8287" s="1"/>
      <c r="Q8287" s="1"/>
      <c r="R8287" s="1"/>
      <c r="S8287" s="1"/>
      <c r="T8287" s="1"/>
      <c r="U8287" s="1"/>
      <c r="V8287" s="1"/>
      <c r="W8287" s="1"/>
      <c r="X8287" s="1"/>
      <c r="Y8287" s="1"/>
      <c r="Z8287" s="1"/>
      <c r="AA8287" s="1"/>
      <c r="AB8287" s="1"/>
    </row>
    <row r="8288" ht="50.25" customHeight="1">
      <c r="A8288" s="12">
        <v>8284.0</v>
      </c>
      <c r="B8288" s="13" t="s">
        <v>7680</v>
      </c>
      <c r="C8288" s="18" t="s">
        <v>8313</v>
      </c>
      <c r="D8288" s="1"/>
      <c r="E8288" s="1"/>
      <c r="F8288" s="1" t="str">
        <f>IFERROR(__xludf.DUMMYFUNCTION("GOOGLETRANSLATE(B8288, ""en"", ""fa"")
"),"درخواست برای معلمان")</f>
        <v>درخواست برای معلمان</v>
      </c>
      <c r="G8288" s="1" t="str">
        <f>IFERROR(__xludf.DUMMYFUNCTION("GOOGLETRANSLATE(C8288, ""en"", ""fa"")
"),"بینش خود را در مورد استراتژی های موثر برای ترکیب دیدگاه های فرهنگی متنوع در آموزش مطالعات اجتماعی به اشتراک بگذارید.")</f>
        <v>بینش خود را در مورد استراتژی های موثر برای ترکیب دیدگاه های فرهنگی متنوع در آموزش مطالعات اجتماعی به اشتراک بگذارید.</v>
      </c>
      <c r="H8288" s="1"/>
      <c r="I8288" s="1"/>
      <c r="J8288" s="1"/>
      <c r="K8288" s="1"/>
      <c r="L8288" s="1"/>
      <c r="M8288" s="1"/>
      <c r="N8288" s="1"/>
      <c r="O8288" s="1"/>
      <c r="P8288" s="1"/>
      <c r="Q8288" s="1"/>
      <c r="R8288" s="1"/>
      <c r="S8288" s="1"/>
      <c r="T8288" s="1"/>
      <c r="U8288" s="1"/>
      <c r="V8288" s="1"/>
      <c r="W8288" s="1"/>
      <c r="X8288" s="1"/>
      <c r="Y8288" s="1"/>
      <c r="Z8288" s="1"/>
      <c r="AA8288" s="1"/>
      <c r="AB8288" s="1"/>
    </row>
    <row r="8289" ht="50.25" customHeight="1">
      <c r="A8289" s="12">
        <v>8285.0</v>
      </c>
      <c r="B8289" s="13" t="s">
        <v>7680</v>
      </c>
      <c r="C8289" s="18" t="s">
        <v>8314</v>
      </c>
      <c r="D8289" s="1"/>
      <c r="E8289" s="1"/>
      <c r="F8289" s="1" t="str">
        <f>IFERROR(__xludf.DUMMYFUNCTION("GOOGLETRANSLATE(B8289, ""en"", ""fa"")
"),"درخواست برای معلمان")</f>
        <v>درخواست برای معلمان</v>
      </c>
      <c r="G8289" s="1" t="str">
        <f>IFERROR(__xludf.DUMMYFUNCTION("GOOGLETRANSLATE(C8289, ""en"", ""fa"")
"),"راه‌های استفاده از فناوری برای ارتباط دانش‌آموزان با جوامع و فرهنگ‌های جهانی را بررسی کنید.")</f>
        <v>راه‌های استفاده از فناوری برای ارتباط دانش‌آموزان با جوامع و فرهنگ‌های جهانی را بررسی کنید.</v>
      </c>
      <c r="H8289" s="1"/>
      <c r="I8289" s="1"/>
      <c r="J8289" s="1"/>
      <c r="K8289" s="1"/>
      <c r="L8289" s="1"/>
      <c r="M8289" s="1"/>
      <c r="N8289" s="1"/>
      <c r="O8289" s="1"/>
      <c r="P8289" s="1"/>
      <c r="Q8289" s="1"/>
      <c r="R8289" s="1"/>
      <c r="S8289" s="1"/>
      <c r="T8289" s="1"/>
      <c r="U8289" s="1"/>
      <c r="V8289" s="1"/>
      <c r="W8289" s="1"/>
      <c r="X8289" s="1"/>
      <c r="Y8289" s="1"/>
      <c r="Z8289" s="1"/>
      <c r="AA8289" s="1"/>
      <c r="AB8289" s="1"/>
    </row>
    <row r="8290" ht="50.25" customHeight="1">
      <c r="A8290" s="12">
        <v>8286.0</v>
      </c>
      <c r="B8290" s="13" t="s">
        <v>7680</v>
      </c>
      <c r="C8290" s="18" t="s">
        <v>8315</v>
      </c>
      <c r="D8290" s="1"/>
      <c r="E8290" s="1"/>
      <c r="F8290" s="1" t="str">
        <f>IFERROR(__xludf.DUMMYFUNCTION("GOOGLETRANSLATE(B8290, ""en"", ""fa"")
"),"درخواست برای معلمان")</f>
        <v>درخواست برای معلمان</v>
      </c>
      <c r="G8290" s="1" t="str">
        <f>IFERROR(__xludf.DUMMYFUNCTION("GOOGLETRANSLATE(C8290, ""en"", ""fa"")
"),"درباره نقش آموزش چندفرهنگی در به چالش کشیدن کلیشه ها و سوگیری ها بحث کنید.")</f>
        <v>درباره نقش آموزش چندفرهنگی در به چالش کشیدن کلیشه ها و سوگیری ها بحث کنید.</v>
      </c>
      <c r="H8290" s="1"/>
      <c r="I8290" s="1"/>
      <c r="J8290" s="1"/>
      <c r="K8290" s="1"/>
      <c r="L8290" s="1"/>
      <c r="M8290" s="1"/>
      <c r="N8290" s="1"/>
      <c r="O8290" s="1"/>
      <c r="P8290" s="1"/>
      <c r="Q8290" s="1"/>
      <c r="R8290" s="1"/>
      <c r="S8290" s="1"/>
      <c r="T8290" s="1"/>
      <c r="U8290" s="1"/>
      <c r="V8290" s="1"/>
      <c r="W8290" s="1"/>
      <c r="X8290" s="1"/>
      <c r="Y8290" s="1"/>
      <c r="Z8290" s="1"/>
      <c r="AA8290" s="1"/>
      <c r="AB8290" s="1"/>
    </row>
    <row r="8291" ht="50.25" customHeight="1">
      <c r="A8291" s="12">
        <v>8287.0</v>
      </c>
      <c r="B8291" s="13" t="s">
        <v>7680</v>
      </c>
      <c r="C8291" s="18" t="s">
        <v>8316</v>
      </c>
      <c r="D8291" s="1"/>
      <c r="E8291" s="1"/>
      <c r="F8291" s="1" t="str">
        <f>IFERROR(__xludf.DUMMYFUNCTION("GOOGLETRANSLATE(B8291, ""en"", ""fa"")
"),"درخواست برای معلمان")</f>
        <v>درخواست برای معلمان</v>
      </c>
      <c r="G8291" s="1" t="str">
        <f>IFERROR(__xludf.DUMMYFUNCTION("GOOGLETRANSLATE(C8291, ""en"", ""fa"")
"),"تجربیات خود را در مورد استراتژی های موفق برای تقویت ارتباطات بین فرهنگی و همکاری بین دانش آموزان به اشتراک بگذارید.")</f>
        <v>تجربیات خود را در مورد استراتژی های موفق برای تقویت ارتباطات بین فرهنگی و همکاری بین دانش آموزان به اشتراک بگذارید.</v>
      </c>
      <c r="H8291" s="1"/>
      <c r="I8291" s="1"/>
      <c r="J8291" s="1"/>
      <c r="K8291" s="1"/>
      <c r="L8291" s="1"/>
      <c r="M8291" s="1"/>
      <c r="N8291" s="1"/>
      <c r="O8291" s="1"/>
      <c r="P8291" s="1"/>
      <c r="Q8291" s="1"/>
      <c r="R8291" s="1"/>
      <c r="S8291" s="1"/>
      <c r="T8291" s="1"/>
      <c r="U8291" s="1"/>
      <c r="V8291" s="1"/>
      <c r="W8291" s="1"/>
      <c r="X8291" s="1"/>
      <c r="Y8291" s="1"/>
      <c r="Z8291" s="1"/>
      <c r="AA8291" s="1"/>
      <c r="AB8291" s="1"/>
    </row>
    <row r="8292" ht="50.25" customHeight="1">
      <c r="A8292" s="12">
        <v>8288.0</v>
      </c>
      <c r="B8292" s="13" t="s">
        <v>7680</v>
      </c>
      <c r="C8292" s="18" t="s">
        <v>8317</v>
      </c>
      <c r="D8292" s="1"/>
      <c r="E8292" s="1"/>
      <c r="F8292" s="1" t="str">
        <f>IFERROR(__xludf.DUMMYFUNCTION("GOOGLETRANSLATE(B8292, ""en"", ""fa"")
"),"درخواست برای معلمان")</f>
        <v>درخواست برای معلمان</v>
      </c>
      <c r="G8292" s="1" t="str">
        <f>IFERROR(__xludf.DUMMYFUNCTION("GOOGLETRANSLATE(C8292, ""en"", ""fa"")
"),"کاوش راه هایی برای ترکیب دیدگاه های چند فرهنگی در آموزش علوم و ریاضی.")</f>
        <v>کاوش راه هایی برای ترکیب دیدگاه های چند فرهنگی در آموزش علوم و ریاضی.</v>
      </c>
      <c r="H8292" s="1"/>
      <c r="I8292" s="1"/>
      <c r="J8292" s="1"/>
      <c r="K8292" s="1"/>
      <c r="L8292" s="1"/>
      <c r="M8292" s="1"/>
      <c r="N8292" s="1"/>
      <c r="O8292" s="1"/>
      <c r="P8292" s="1"/>
      <c r="Q8292" s="1"/>
      <c r="R8292" s="1"/>
      <c r="S8292" s="1"/>
      <c r="T8292" s="1"/>
      <c r="U8292" s="1"/>
      <c r="V8292" s="1"/>
      <c r="W8292" s="1"/>
      <c r="X8292" s="1"/>
      <c r="Y8292" s="1"/>
      <c r="Z8292" s="1"/>
      <c r="AA8292" s="1"/>
      <c r="AB8292" s="1"/>
    </row>
    <row r="8293" ht="50.25" customHeight="1">
      <c r="A8293" s="12">
        <v>8289.0</v>
      </c>
      <c r="B8293" s="13" t="s">
        <v>7680</v>
      </c>
      <c r="C8293" s="18" t="s">
        <v>8318</v>
      </c>
      <c r="D8293" s="1"/>
      <c r="E8293" s="1"/>
      <c r="F8293" s="1" t="str">
        <f>IFERROR(__xludf.DUMMYFUNCTION("GOOGLETRANSLATE(B8293, ""en"", ""fa"")
"),"درخواست برای معلمان")</f>
        <v>درخواست برای معلمان</v>
      </c>
      <c r="G8293" s="1" t="str">
        <f>IFERROR(__xludf.DUMMYFUNCTION("GOOGLETRANSLATE(C8293, ""en"", ""fa"")
"),"در مورد اهمیت آموزش در مورد مسائل جهانی و عدالت اجتماعی در کلاس بحث کنید.")</f>
        <v>در مورد اهمیت آموزش در مورد مسائل جهانی و عدالت اجتماعی در کلاس بحث کنید.</v>
      </c>
      <c r="H8293" s="1"/>
      <c r="I8293" s="1"/>
      <c r="J8293" s="1"/>
      <c r="K8293" s="1"/>
      <c r="L8293" s="1"/>
      <c r="M8293" s="1"/>
      <c r="N8293" s="1"/>
      <c r="O8293" s="1"/>
      <c r="P8293" s="1"/>
      <c r="Q8293" s="1"/>
      <c r="R8293" s="1"/>
      <c r="S8293" s="1"/>
      <c r="T8293" s="1"/>
      <c r="U8293" s="1"/>
      <c r="V8293" s="1"/>
      <c r="W8293" s="1"/>
      <c r="X8293" s="1"/>
      <c r="Y8293" s="1"/>
      <c r="Z8293" s="1"/>
      <c r="AA8293" s="1"/>
      <c r="AB8293" s="1"/>
    </row>
    <row r="8294" ht="50.25" customHeight="1">
      <c r="A8294" s="12">
        <v>8290.0</v>
      </c>
      <c r="B8294" s="13" t="s">
        <v>7680</v>
      </c>
      <c r="C8294" s="18" t="s">
        <v>8319</v>
      </c>
      <c r="D8294" s="1"/>
      <c r="E8294" s="1"/>
      <c r="F8294" s="1" t="str">
        <f>IFERROR(__xludf.DUMMYFUNCTION("GOOGLETRANSLATE(B8294, ""en"", ""fa"")
"),"درخواست برای معلمان")</f>
        <v>درخواست برای معلمان</v>
      </c>
      <c r="G8294" s="1" t="str">
        <f>IFERROR(__xludf.DUMMYFUNCTION("GOOGLETRANSLATE(C8294, ""en"", ""fa"")
"),"بینش خود را در مورد استراتژی های موثر برای ارتقاء آگاهی و درک چند فرهنگی در آموزش دوران کودکی به اشتراک بگذارید.")</f>
        <v>بینش خود را در مورد استراتژی های موثر برای ارتقاء آگاهی و درک چند فرهنگی در آموزش دوران کودکی به اشتراک بگذارید.</v>
      </c>
      <c r="H8294" s="1"/>
      <c r="I8294" s="1"/>
      <c r="J8294" s="1"/>
      <c r="K8294" s="1"/>
      <c r="L8294" s="1"/>
      <c r="M8294" s="1"/>
      <c r="N8294" s="1"/>
      <c r="O8294" s="1"/>
      <c r="P8294" s="1"/>
      <c r="Q8294" s="1"/>
      <c r="R8294" s="1"/>
      <c r="S8294" s="1"/>
      <c r="T8294" s="1"/>
      <c r="U8294" s="1"/>
      <c r="V8294" s="1"/>
      <c r="W8294" s="1"/>
      <c r="X8294" s="1"/>
      <c r="Y8294" s="1"/>
      <c r="Z8294" s="1"/>
      <c r="AA8294" s="1"/>
      <c r="AB8294" s="1"/>
    </row>
    <row r="8295" ht="50.25" customHeight="1">
      <c r="A8295" s="12">
        <v>8291.0</v>
      </c>
      <c r="B8295" s="13" t="s">
        <v>7680</v>
      </c>
      <c r="C8295" s="18" t="s">
        <v>8320</v>
      </c>
      <c r="D8295" s="1"/>
      <c r="E8295" s="1"/>
      <c r="F8295" s="1" t="str">
        <f>IFERROR(__xludf.DUMMYFUNCTION("GOOGLETRANSLATE(B8295, ""en"", ""fa"")
"),"درخواست برای معلمان")</f>
        <v>درخواست برای معلمان</v>
      </c>
      <c r="G8295" s="1" t="str">
        <f>IFERROR(__xludf.DUMMYFUNCTION("GOOGLETRANSLATE(C8295, ""en"", ""fa"")
"),"راه‌هایی برای استفاده از هنر و موسیقی چندفرهنگی برای تجلیل از تنوع و ترویج بیان فرهنگی کاوش کنید.")</f>
        <v>راه‌هایی برای استفاده از هنر و موسیقی چندفرهنگی برای تجلیل از تنوع و ترویج بیان فرهنگی کاوش کنید.</v>
      </c>
      <c r="H8295" s="1"/>
      <c r="I8295" s="1"/>
      <c r="J8295" s="1"/>
      <c r="K8295" s="1"/>
      <c r="L8295" s="1"/>
      <c r="M8295" s="1"/>
      <c r="N8295" s="1"/>
      <c r="O8295" s="1"/>
      <c r="P8295" s="1"/>
      <c r="Q8295" s="1"/>
      <c r="R8295" s="1"/>
      <c r="S8295" s="1"/>
      <c r="T8295" s="1"/>
      <c r="U8295" s="1"/>
      <c r="V8295" s="1"/>
      <c r="W8295" s="1"/>
      <c r="X8295" s="1"/>
      <c r="Y8295" s="1"/>
      <c r="Z8295" s="1"/>
      <c r="AA8295" s="1"/>
      <c r="AB8295" s="1"/>
    </row>
    <row r="8296" ht="50.25" customHeight="1">
      <c r="A8296" s="12">
        <v>8292.0</v>
      </c>
      <c r="B8296" s="13" t="s">
        <v>7680</v>
      </c>
      <c r="C8296" s="18" t="s">
        <v>8321</v>
      </c>
      <c r="D8296" s="1"/>
      <c r="E8296" s="1"/>
      <c r="F8296" s="1" t="str">
        <f>IFERROR(__xludf.DUMMYFUNCTION("GOOGLETRANSLATE(B8296, ""en"", ""fa"")
"),"درخواست برای معلمان")</f>
        <v>درخواست برای معلمان</v>
      </c>
      <c r="G8296" s="1" t="str">
        <f>IFERROR(__xludf.DUMMYFUNCTION("GOOGLETRANSLATE(C8296, ""en"", ""fa"")
"),"درباره تأثیر آموزش چندفرهنگی بر ایجاد محیط های یادگیری فراگیر و عادلانه بحث کنید.")</f>
        <v>درباره تأثیر آموزش چندفرهنگی بر ایجاد محیط های یادگیری فراگیر و عادلانه بحث کنید.</v>
      </c>
      <c r="H8296" s="1"/>
      <c r="I8296" s="1"/>
      <c r="J8296" s="1"/>
      <c r="K8296" s="1"/>
      <c r="L8296" s="1"/>
      <c r="M8296" s="1"/>
      <c r="N8296" s="1"/>
      <c r="O8296" s="1"/>
      <c r="P8296" s="1"/>
      <c r="Q8296" s="1"/>
      <c r="R8296" s="1"/>
      <c r="S8296" s="1"/>
      <c r="T8296" s="1"/>
      <c r="U8296" s="1"/>
      <c r="V8296" s="1"/>
      <c r="W8296" s="1"/>
      <c r="X8296" s="1"/>
      <c r="Y8296" s="1"/>
      <c r="Z8296" s="1"/>
      <c r="AA8296" s="1"/>
      <c r="AB8296" s="1"/>
    </row>
    <row r="8297" ht="50.25" customHeight="1">
      <c r="A8297" s="12">
        <v>8293.0</v>
      </c>
      <c r="B8297" s="13" t="s">
        <v>7680</v>
      </c>
      <c r="C8297" s="18" t="s">
        <v>8322</v>
      </c>
      <c r="D8297" s="1"/>
      <c r="E8297" s="1"/>
      <c r="F8297" s="1" t="str">
        <f>IFERROR(__xludf.DUMMYFUNCTION("GOOGLETRANSLATE(B8297, ""en"", ""fa"")
"),"درخواست برای معلمان")</f>
        <v>درخواست برای معلمان</v>
      </c>
      <c r="G8297" s="1" t="str">
        <f>IFERROR(__xludf.DUMMYFUNCTION("GOOGLETRANSLATE(C8297, ""en"", ""fa"")
"),"راه‌هایی را برای گنجاندن دیدگاه‌های چندفرهنگی در تربیت بدنی و آموزش ورزش بررسی کنید.")</f>
        <v>راه‌هایی را برای گنجاندن دیدگاه‌های چندفرهنگی در تربیت بدنی و آموزش ورزش بررسی کنید.</v>
      </c>
      <c r="H8297" s="1"/>
      <c r="I8297" s="1"/>
      <c r="J8297" s="1"/>
      <c r="K8297" s="1"/>
      <c r="L8297" s="1"/>
      <c r="M8297" s="1"/>
      <c r="N8297" s="1"/>
      <c r="O8297" s="1"/>
      <c r="P8297" s="1"/>
      <c r="Q8297" s="1"/>
      <c r="R8297" s="1"/>
      <c r="S8297" s="1"/>
      <c r="T8297" s="1"/>
      <c r="U8297" s="1"/>
      <c r="V8297" s="1"/>
      <c r="W8297" s="1"/>
      <c r="X8297" s="1"/>
      <c r="Y8297" s="1"/>
      <c r="Z8297" s="1"/>
      <c r="AA8297" s="1"/>
      <c r="AB8297" s="1"/>
    </row>
    <row r="8298" ht="50.25" customHeight="1">
      <c r="A8298" s="12">
        <v>8294.0</v>
      </c>
      <c r="B8298" s="13" t="s">
        <v>7680</v>
      </c>
      <c r="C8298" s="18" t="s">
        <v>8323</v>
      </c>
      <c r="D8298" s="1"/>
      <c r="E8298" s="1"/>
      <c r="F8298" s="1" t="str">
        <f>IFERROR(__xludf.DUMMYFUNCTION("GOOGLETRANSLATE(B8298, ""en"", ""fa"")
"),"درخواست برای معلمان")</f>
        <v>درخواست برای معلمان</v>
      </c>
      <c r="G8298" s="1" t="str">
        <f>IFERROR(__xludf.DUMMYFUNCTION("GOOGLETRANSLATE(C8298, ""en"", ""fa"")
"),"درباره نقش آموزش چندفرهنگی در ترویج شهروندی جهانی و سرپرستی مسئولانه بحث کنید.")</f>
        <v>درباره نقش آموزش چندفرهنگی در ترویج شهروندی جهانی و سرپرستی مسئولانه بحث کنید.</v>
      </c>
      <c r="H8298" s="1"/>
      <c r="I8298" s="1"/>
      <c r="J8298" s="1"/>
      <c r="K8298" s="1"/>
      <c r="L8298" s="1"/>
      <c r="M8298" s="1"/>
      <c r="N8298" s="1"/>
      <c r="O8298" s="1"/>
      <c r="P8298" s="1"/>
      <c r="Q8298" s="1"/>
      <c r="R8298" s="1"/>
      <c r="S8298" s="1"/>
      <c r="T8298" s="1"/>
      <c r="U8298" s="1"/>
      <c r="V8298" s="1"/>
      <c r="W8298" s="1"/>
      <c r="X8298" s="1"/>
      <c r="Y8298" s="1"/>
      <c r="Z8298" s="1"/>
      <c r="AA8298" s="1"/>
      <c r="AB8298" s="1"/>
    </row>
    <row r="8299" ht="50.25" customHeight="1">
      <c r="A8299" s="12">
        <v>8295.0</v>
      </c>
      <c r="B8299" s="13" t="s">
        <v>7680</v>
      </c>
      <c r="C8299" s="18" t="s">
        <v>8324</v>
      </c>
      <c r="D8299" s="1"/>
      <c r="E8299" s="1"/>
      <c r="F8299" s="1" t="str">
        <f>IFERROR(__xludf.DUMMYFUNCTION("GOOGLETRANSLATE(B8299, ""en"", ""fa"")
"),"درخواست برای معلمان")</f>
        <v>درخواست برای معلمان</v>
      </c>
      <c r="G8299" s="1" t="str">
        <f>IFERROR(__xludf.DUMMYFUNCTION("GOOGLETRANSLATE(C8299, ""en"", ""fa"")
"),"بینش خود را در مورد استراتژی های موثر برای ترکیب دیدگاه های چند فرهنگی در آموزش STEM به اشتراک بگذارید.")</f>
        <v>بینش خود را در مورد استراتژی های موثر برای ترکیب دیدگاه های چند فرهنگی در آموزش STEM به اشتراک بگذارید.</v>
      </c>
      <c r="H8299" s="1"/>
      <c r="I8299" s="1"/>
      <c r="J8299" s="1"/>
      <c r="K8299" s="1"/>
      <c r="L8299" s="1"/>
      <c r="M8299" s="1"/>
      <c r="N8299" s="1"/>
      <c r="O8299" s="1"/>
      <c r="P8299" s="1"/>
      <c r="Q8299" s="1"/>
      <c r="R8299" s="1"/>
      <c r="S8299" s="1"/>
      <c r="T8299" s="1"/>
      <c r="U8299" s="1"/>
      <c r="V8299" s="1"/>
      <c r="W8299" s="1"/>
      <c r="X8299" s="1"/>
      <c r="Y8299" s="1"/>
      <c r="Z8299" s="1"/>
      <c r="AA8299" s="1"/>
      <c r="AB8299" s="1"/>
    </row>
    <row r="8300" ht="50.25" customHeight="1">
      <c r="A8300" s="12">
        <v>8296.0</v>
      </c>
      <c r="B8300" s="13" t="s">
        <v>7680</v>
      </c>
      <c r="C8300" s="18" t="s">
        <v>8325</v>
      </c>
      <c r="D8300" s="1"/>
      <c r="E8300" s="1"/>
      <c r="F8300" s="1" t="str">
        <f>IFERROR(__xludf.DUMMYFUNCTION("GOOGLETRANSLATE(B8300, ""en"", ""fa"")
"),"درخواست برای معلمان")</f>
        <v>درخواست برای معلمان</v>
      </c>
      <c r="G8300" s="1" t="str">
        <f>IFERROR(__xludf.DUMMYFUNCTION("GOOGLETRANSLATE(C8300, ""en"", ""fa"")
"),"کشف راه‌هایی برای استفاده از آموزش چندفرهنگی برای رسیدگی و به چالش کشیدن نابرابری‌های سیستمی در آموزش.")</f>
        <v>کشف راه‌هایی برای استفاده از آموزش چندفرهنگی برای رسیدگی و به چالش کشیدن نابرابری‌های سیستمی در آموزش.</v>
      </c>
      <c r="H8300" s="1"/>
      <c r="I8300" s="1"/>
      <c r="J8300" s="1"/>
      <c r="K8300" s="1"/>
      <c r="L8300" s="1"/>
      <c r="M8300" s="1"/>
      <c r="N8300" s="1"/>
      <c r="O8300" s="1"/>
      <c r="P8300" s="1"/>
      <c r="Q8300" s="1"/>
      <c r="R8300" s="1"/>
      <c r="S8300" s="1"/>
      <c r="T8300" s="1"/>
      <c r="U8300" s="1"/>
      <c r="V8300" s="1"/>
      <c r="W8300" s="1"/>
      <c r="X8300" s="1"/>
      <c r="Y8300" s="1"/>
      <c r="Z8300" s="1"/>
      <c r="AA8300" s="1"/>
      <c r="AB8300" s="1"/>
    </row>
    <row r="8301" ht="50.25" customHeight="1">
      <c r="A8301" s="12">
        <v>8297.0</v>
      </c>
      <c r="B8301" s="13" t="s">
        <v>7680</v>
      </c>
      <c r="C8301" s="18" t="s">
        <v>8326</v>
      </c>
      <c r="D8301" s="1"/>
      <c r="E8301" s="1"/>
      <c r="F8301" s="1" t="str">
        <f>IFERROR(__xludf.DUMMYFUNCTION("GOOGLETRANSLATE(B8301, ""en"", ""fa"")
"),"درخواست برای معلمان")</f>
        <v>درخواست برای معلمان</v>
      </c>
      <c r="G8301" s="1" t="str">
        <f>IFERROR(__xludf.DUMMYFUNCTION("GOOGLETRANSLATE(C8301, ""en"", ""fa"")
"),"در مورد اهمیت آموزش ادیان جهانی و مدارا مذهبی در کلاس درس بحث کنید.")</f>
        <v>در مورد اهمیت آموزش ادیان جهانی و مدارا مذهبی در کلاس درس بحث کنید.</v>
      </c>
      <c r="H8301" s="1"/>
      <c r="I8301" s="1"/>
      <c r="J8301" s="1"/>
      <c r="K8301" s="1"/>
      <c r="L8301" s="1"/>
      <c r="M8301" s="1"/>
      <c r="N8301" s="1"/>
      <c r="O8301" s="1"/>
      <c r="P8301" s="1"/>
      <c r="Q8301" s="1"/>
      <c r="R8301" s="1"/>
      <c r="S8301" s="1"/>
      <c r="T8301" s="1"/>
      <c r="U8301" s="1"/>
      <c r="V8301" s="1"/>
      <c r="W8301" s="1"/>
      <c r="X8301" s="1"/>
      <c r="Y8301" s="1"/>
      <c r="Z8301" s="1"/>
      <c r="AA8301" s="1"/>
      <c r="AB8301" s="1"/>
    </row>
    <row r="8302" ht="50.25" customHeight="1">
      <c r="A8302" s="12">
        <v>8298.0</v>
      </c>
      <c r="B8302" s="13" t="s">
        <v>7680</v>
      </c>
      <c r="C8302" s="18" t="s">
        <v>8327</v>
      </c>
      <c r="D8302" s="1"/>
      <c r="E8302" s="1"/>
      <c r="F8302" s="1" t="str">
        <f>IFERROR(__xludf.DUMMYFUNCTION("GOOGLETRANSLATE(B8302, ""en"", ""fa"")
"),"درخواست برای معلمان")</f>
        <v>درخواست برای معلمان</v>
      </c>
      <c r="G8302" s="1" t="str">
        <f>IFERROR(__xludf.DUMMYFUNCTION("GOOGLETRANSLATE(C8302, ""en"", ""fa"")
"),"تجربیات خود را در مورد استراتژی های موفق برای ترکیب دیدگاه های چند فرهنگی در یادگیری مبتنی بر پروژه به اشتراک بگذارید.")</f>
        <v>تجربیات خود را در مورد استراتژی های موفق برای ترکیب دیدگاه های چند فرهنگی در یادگیری مبتنی بر پروژه به اشتراک بگذارید.</v>
      </c>
      <c r="H8302" s="1"/>
      <c r="I8302" s="1"/>
      <c r="J8302" s="1"/>
      <c r="K8302" s="1"/>
      <c r="L8302" s="1"/>
      <c r="M8302" s="1"/>
      <c r="N8302" s="1"/>
      <c r="O8302" s="1"/>
      <c r="P8302" s="1"/>
      <c r="Q8302" s="1"/>
      <c r="R8302" s="1"/>
      <c r="S8302" s="1"/>
      <c r="T8302" s="1"/>
      <c r="U8302" s="1"/>
      <c r="V8302" s="1"/>
      <c r="W8302" s="1"/>
      <c r="X8302" s="1"/>
      <c r="Y8302" s="1"/>
      <c r="Z8302" s="1"/>
      <c r="AA8302" s="1"/>
      <c r="AB8302" s="1"/>
    </row>
    <row r="8303" ht="50.25" customHeight="1">
      <c r="A8303" s="12">
        <v>8299.0</v>
      </c>
      <c r="B8303" s="13" t="s">
        <v>7680</v>
      </c>
      <c r="C8303" s="18" t="s">
        <v>8328</v>
      </c>
      <c r="D8303" s="1"/>
      <c r="E8303" s="1"/>
      <c r="F8303" s="1" t="str">
        <f>IFERROR(__xludf.DUMMYFUNCTION("GOOGLETRANSLATE(B8303, ""en"", ""fa"")
"),"درخواست برای معلمان")</f>
        <v>درخواست برای معلمان</v>
      </c>
      <c r="G8303" s="1" t="str">
        <f>IFERROR(__xludf.DUMMYFUNCTION("GOOGLETRANSLATE(C8303, ""en"", ""fa"")
"),"راه‌های استفاده از آموزش چندفرهنگی برای ترویج برابری جنسیتی و به چالش کشیدن کلیشه‌های جنسیتی را بررسی کنید.")</f>
        <v>راه‌های استفاده از آموزش چندفرهنگی برای ترویج برابری جنسیتی و به چالش کشیدن کلیشه‌های جنسیتی را بررسی کنید.</v>
      </c>
      <c r="H8303" s="1"/>
      <c r="I8303" s="1"/>
      <c r="J8303" s="1"/>
      <c r="K8303" s="1"/>
      <c r="L8303" s="1"/>
      <c r="M8303" s="1"/>
      <c r="N8303" s="1"/>
      <c r="O8303" s="1"/>
      <c r="P8303" s="1"/>
      <c r="Q8303" s="1"/>
      <c r="R8303" s="1"/>
      <c r="S8303" s="1"/>
      <c r="T8303" s="1"/>
      <c r="U8303" s="1"/>
      <c r="V8303" s="1"/>
      <c r="W8303" s="1"/>
      <c r="X8303" s="1"/>
      <c r="Y8303" s="1"/>
      <c r="Z8303" s="1"/>
      <c r="AA8303" s="1"/>
      <c r="AB8303" s="1"/>
    </row>
    <row r="8304" ht="50.25" customHeight="1">
      <c r="A8304" s="12">
        <v>8300.0</v>
      </c>
      <c r="B8304" s="13" t="s">
        <v>7680</v>
      </c>
      <c r="C8304" s="18" t="s">
        <v>8329</v>
      </c>
      <c r="D8304" s="1"/>
      <c r="E8304" s="1"/>
      <c r="F8304" s="1" t="str">
        <f>IFERROR(__xludf.DUMMYFUNCTION("GOOGLETRANSLATE(B8304, ""en"", ""fa"")
"),"درخواست برای معلمان")</f>
        <v>درخواست برای معلمان</v>
      </c>
      <c r="G8304" s="1" t="str">
        <f>IFERROR(__xludf.DUMMYFUNCTION("GOOGLETRANSLATE(C8304, ""en"", ""fa"")
"),"درباره تأثیر آموزش چند فرهنگی بر احساس تعلق و هویت فرهنگی دانش آموزان بحث کنید.")</f>
        <v>درباره تأثیر آموزش چند فرهنگی بر احساس تعلق و هویت فرهنگی دانش آموزان بحث کنید.</v>
      </c>
      <c r="H8304" s="1"/>
      <c r="I8304" s="1"/>
      <c r="J8304" s="1"/>
      <c r="K8304" s="1"/>
      <c r="L8304" s="1"/>
      <c r="M8304" s="1"/>
      <c r="N8304" s="1"/>
      <c r="O8304" s="1"/>
      <c r="P8304" s="1"/>
      <c r="Q8304" s="1"/>
      <c r="R8304" s="1"/>
      <c r="S8304" s="1"/>
      <c r="T8304" s="1"/>
      <c r="U8304" s="1"/>
      <c r="V8304" s="1"/>
      <c r="W8304" s="1"/>
      <c r="X8304" s="1"/>
      <c r="Y8304" s="1"/>
      <c r="Z8304" s="1"/>
      <c r="AA8304" s="1"/>
      <c r="AB8304" s="1"/>
    </row>
    <row r="8305" ht="50.25" customHeight="1">
      <c r="A8305" s="12">
        <v>8301.0</v>
      </c>
      <c r="B8305" s="13" t="s">
        <v>7680</v>
      </c>
      <c r="C8305" s="18" t="s">
        <v>8330</v>
      </c>
      <c r="D8305" s="1"/>
      <c r="E8305" s="1"/>
      <c r="F8305" s="1" t="str">
        <f>IFERROR(__xludf.DUMMYFUNCTION("GOOGLETRANSLATE(B8305, ""en"", ""fa"")
"),"درخواست برای معلمان")</f>
        <v>درخواست برای معلمان</v>
      </c>
      <c r="G8305" s="1" t="str">
        <f>IFERROR(__xludf.DUMMYFUNCTION("GOOGLETRANSLATE(C8305, ""en"", ""fa"")
"),"بینش خود را در مورد استراتژی های موثر برای ادغام دیدگاه های چند فرهنگی در فضاهای فیزیکی کلاس درس به اشتراک بگذارید.")</f>
        <v>بینش خود را در مورد استراتژی های موثر برای ادغام دیدگاه های چند فرهنگی در فضاهای فیزیکی کلاس درس به اشتراک بگذارید.</v>
      </c>
      <c r="H8305" s="1"/>
      <c r="I8305" s="1"/>
      <c r="J8305" s="1"/>
      <c r="K8305" s="1"/>
      <c r="L8305" s="1"/>
      <c r="M8305" s="1"/>
      <c r="N8305" s="1"/>
      <c r="O8305" s="1"/>
      <c r="P8305" s="1"/>
      <c r="Q8305" s="1"/>
      <c r="R8305" s="1"/>
      <c r="S8305" s="1"/>
      <c r="T8305" s="1"/>
      <c r="U8305" s="1"/>
      <c r="V8305" s="1"/>
      <c r="W8305" s="1"/>
      <c r="X8305" s="1"/>
      <c r="Y8305" s="1"/>
      <c r="Z8305" s="1"/>
      <c r="AA8305" s="1"/>
      <c r="AB8305" s="1"/>
    </row>
    <row r="8306" ht="50.25" customHeight="1">
      <c r="A8306" s="12">
        <v>8302.0</v>
      </c>
      <c r="B8306" s="13" t="s">
        <v>7680</v>
      </c>
      <c r="C8306" s="18" t="s">
        <v>8331</v>
      </c>
      <c r="D8306" s="1"/>
      <c r="E8306" s="1"/>
      <c r="F8306" s="1" t="str">
        <f>IFERROR(__xludf.DUMMYFUNCTION("GOOGLETRANSLATE(B8306, ""en"", ""fa"")
"),"درخواست برای معلمان")</f>
        <v>درخواست برای معلمان</v>
      </c>
      <c r="G8306" s="1" t="str">
        <f>IFERROR(__xludf.DUMMYFUNCTION("GOOGLETRANSLATE(C8306, ""en"", ""fa"")
"),"راه‌هایی برای استفاده از آموزش چندفرهنگی برای ارتقای پایداری زیست‌محیطی و آگاهی جهانی را بررسی کنید.")</f>
        <v>راه‌هایی برای استفاده از آموزش چندفرهنگی برای ارتقای پایداری زیست‌محیطی و آگاهی جهانی را بررسی کنید.</v>
      </c>
      <c r="H8306" s="1"/>
      <c r="I8306" s="1"/>
      <c r="J8306" s="1"/>
      <c r="K8306" s="1"/>
      <c r="L8306" s="1"/>
      <c r="M8306" s="1"/>
      <c r="N8306" s="1"/>
      <c r="O8306" s="1"/>
      <c r="P8306" s="1"/>
      <c r="Q8306" s="1"/>
      <c r="R8306" s="1"/>
      <c r="S8306" s="1"/>
      <c r="T8306" s="1"/>
      <c r="U8306" s="1"/>
      <c r="V8306" s="1"/>
      <c r="W8306" s="1"/>
      <c r="X8306" s="1"/>
      <c r="Y8306" s="1"/>
      <c r="Z8306" s="1"/>
      <c r="AA8306" s="1"/>
      <c r="AB8306" s="1"/>
    </row>
    <row r="8307" ht="50.25" customHeight="1">
      <c r="A8307" s="12">
        <v>8303.0</v>
      </c>
      <c r="B8307" s="13" t="s">
        <v>7680</v>
      </c>
      <c r="C8307" s="18" t="s">
        <v>8332</v>
      </c>
      <c r="D8307" s="1"/>
      <c r="E8307" s="1"/>
      <c r="F8307" s="1" t="str">
        <f>IFERROR(__xludf.DUMMYFUNCTION("GOOGLETRANSLATE(B8307, ""en"", ""fa"")
"),"درخواست برای معلمان")</f>
        <v>درخواست برای معلمان</v>
      </c>
      <c r="G8307" s="1" t="str">
        <f>IFERROR(__xludf.DUMMYFUNCTION("GOOGLETRANSLATE(C8307, ""en"", ""fa"")
"),"در مورد نقش آموزش چندفرهنگی در ترویج چندزبانگی و تنوع زبانی بحث کنید.")</f>
        <v>در مورد نقش آموزش چندفرهنگی در ترویج چندزبانگی و تنوع زبانی بحث کنید.</v>
      </c>
      <c r="H8307" s="1"/>
      <c r="I8307" s="1"/>
      <c r="J8307" s="1"/>
      <c r="K8307" s="1"/>
      <c r="L8307" s="1"/>
      <c r="M8307" s="1"/>
      <c r="N8307" s="1"/>
      <c r="O8307" s="1"/>
      <c r="P8307" s="1"/>
      <c r="Q8307" s="1"/>
      <c r="R8307" s="1"/>
      <c r="S8307" s="1"/>
      <c r="T8307" s="1"/>
      <c r="U8307" s="1"/>
      <c r="V8307" s="1"/>
      <c r="W8307" s="1"/>
      <c r="X8307" s="1"/>
      <c r="Y8307" s="1"/>
      <c r="Z8307" s="1"/>
      <c r="AA8307" s="1"/>
      <c r="AB8307" s="1"/>
    </row>
    <row r="8308" ht="50.25" customHeight="1">
      <c r="A8308" s="12">
        <v>8304.0</v>
      </c>
      <c r="B8308" s="13" t="s">
        <v>7680</v>
      </c>
      <c r="C8308" s="18" t="s">
        <v>8333</v>
      </c>
      <c r="D8308" s="1"/>
      <c r="E8308" s="1"/>
      <c r="F8308" s="1" t="str">
        <f>IFERROR(__xludf.DUMMYFUNCTION("GOOGLETRANSLATE(B8308, ""en"", ""fa"")
"),"درخواست برای معلمان")</f>
        <v>درخواست برای معلمان</v>
      </c>
      <c r="G8308" s="1" t="str">
        <f>IFERROR(__xludf.DUMMYFUNCTION("GOOGLETRANSLATE(C8308, ""en"", ""fa"")
"),"تجربیات خود را در مورد استراتژی های موفق برای ترکیب دیدگاه های چند فرهنگی در آموزش موسیقی به اشتراک بگذارید.")</f>
        <v>تجربیات خود را در مورد استراتژی های موفق برای ترکیب دیدگاه های چند فرهنگی در آموزش موسیقی به اشتراک بگذارید.</v>
      </c>
      <c r="H8308" s="1"/>
      <c r="I8308" s="1"/>
      <c r="J8308" s="1"/>
      <c r="K8308" s="1"/>
      <c r="L8308" s="1"/>
      <c r="M8308" s="1"/>
      <c r="N8308" s="1"/>
      <c r="O8308" s="1"/>
      <c r="P8308" s="1"/>
      <c r="Q8308" s="1"/>
      <c r="R8308" s="1"/>
      <c r="S8308" s="1"/>
      <c r="T8308" s="1"/>
      <c r="U8308" s="1"/>
      <c r="V8308" s="1"/>
      <c r="W8308" s="1"/>
      <c r="X8308" s="1"/>
      <c r="Y8308" s="1"/>
      <c r="Z8308" s="1"/>
      <c r="AA8308" s="1"/>
      <c r="AB8308" s="1"/>
    </row>
    <row r="8309" ht="50.25" customHeight="1">
      <c r="A8309" s="12">
        <v>8305.0</v>
      </c>
      <c r="B8309" s="13" t="s">
        <v>7680</v>
      </c>
      <c r="C8309" s="18" t="s">
        <v>8334</v>
      </c>
      <c r="D8309" s="1"/>
      <c r="E8309" s="1"/>
      <c r="F8309" s="1" t="str">
        <f>IFERROR(__xludf.DUMMYFUNCTION("GOOGLETRANSLATE(B8309, ""en"", ""fa"")
"),"درخواست برای معلمان")</f>
        <v>درخواست برای معلمان</v>
      </c>
      <c r="G8309" s="1" t="str">
        <f>IFERROR(__xludf.DUMMYFUNCTION("GOOGLETRANSLATE(C8309, ""en"", ""fa"")
"),"راه‌های استفاده از آموزش چندفرهنگی برای ترویج درک و احترام به هویت‌های LGBTQ+ را بررسی کنید.")</f>
        <v>راه‌های استفاده از آموزش چندفرهنگی برای ترویج درک و احترام به هویت‌های LGBTQ+ را بررسی کنید.</v>
      </c>
      <c r="H8309" s="1"/>
      <c r="I8309" s="1"/>
      <c r="J8309" s="1"/>
      <c r="K8309" s="1"/>
      <c r="L8309" s="1"/>
      <c r="M8309" s="1"/>
      <c r="N8309" s="1"/>
      <c r="O8309" s="1"/>
      <c r="P8309" s="1"/>
      <c r="Q8309" s="1"/>
      <c r="R8309" s="1"/>
      <c r="S8309" s="1"/>
      <c r="T8309" s="1"/>
      <c r="U8309" s="1"/>
      <c r="V8309" s="1"/>
      <c r="W8309" s="1"/>
      <c r="X8309" s="1"/>
      <c r="Y8309" s="1"/>
      <c r="Z8309" s="1"/>
      <c r="AA8309" s="1"/>
      <c r="AB8309" s="1"/>
    </row>
    <row r="8310" ht="50.25" customHeight="1">
      <c r="A8310" s="12">
        <v>8306.0</v>
      </c>
      <c r="B8310" s="13" t="s">
        <v>7680</v>
      </c>
      <c r="C8310" s="18" t="s">
        <v>8335</v>
      </c>
      <c r="D8310" s="1"/>
      <c r="E8310" s="1"/>
      <c r="F8310" s="1" t="str">
        <f>IFERROR(__xludf.DUMMYFUNCTION("GOOGLETRANSLATE(B8310, ""en"", ""fa"")
"),"درخواست برای معلمان")</f>
        <v>درخواست برای معلمان</v>
      </c>
      <c r="G8310" s="1" t="str">
        <f>IFERROR(__xludf.DUMMYFUNCTION("GOOGLETRANSLATE(C8310, ""en"", ""fa"")
"),"در مورد اهمیت گنجاندن روایت های تاریخی متنوع در آموزش تاریخ بحث کنید.")</f>
        <v>در مورد اهمیت گنجاندن روایت های تاریخی متنوع در آموزش تاریخ بحث کنید.</v>
      </c>
      <c r="H8310" s="1"/>
      <c r="I8310" s="1"/>
      <c r="J8310" s="1"/>
      <c r="K8310" s="1"/>
      <c r="L8310" s="1"/>
      <c r="M8310" s="1"/>
      <c r="N8310" s="1"/>
      <c r="O8310" s="1"/>
      <c r="P8310" s="1"/>
      <c r="Q8310" s="1"/>
      <c r="R8310" s="1"/>
      <c r="S8310" s="1"/>
      <c r="T8310" s="1"/>
      <c r="U8310" s="1"/>
      <c r="V8310" s="1"/>
      <c r="W8310" s="1"/>
      <c r="X8310" s="1"/>
      <c r="Y8310" s="1"/>
      <c r="Z8310" s="1"/>
      <c r="AA8310" s="1"/>
      <c r="AB8310" s="1"/>
    </row>
    <row r="8311" ht="50.25" customHeight="1">
      <c r="A8311" s="12">
        <v>8307.0</v>
      </c>
      <c r="B8311" s="13" t="s">
        <v>7680</v>
      </c>
      <c r="C8311" s="18" t="s">
        <v>8336</v>
      </c>
      <c r="D8311" s="1"/>
      <c r="E8311" s="1"/>
      <c r="F8311" s="1" t="str">
        <f>IFERROR(__xludf.DUMMYFUNCTION("GOOGLETRANSLATE(B8311, ""en"", ""fa"")
"),"درخواست برای معلمان")</f>
        <v>درخواست برای معلمان</v>
      </c>
      <c r="G8311" s="1" t="str">
        <f>IFERROR(__xludf.DUMMYFUNCTION("GOOGLETRANSLATE(C8311, ""en"", ""fa"")
"),"بینش خود را در مورد استراتژی های موثر برای گنجاندن دیدگاه های چند فرهنگی در آموزش سواد رسانه ای به اشتراک بگذارید.")</f>
        <v>بینش خود را در مورد استراتژی های موثر برای گنجاندن دیدگاه های چند فرهنگی در آموزش سواد رسانه ای به اشتراک بگذارید.</v>
      </c>
      <c r="H8311" s="1"/>
      <c r="I8311" s="1"/>
      <c r="J8311" s="1"/>
      <c r="K8311" s="1"/>
      <c r="L8311" s="1"/>
      <c r="M8311" s="1"/>
      <c r="N8311" s="1"/>
      <c r="O8311" s="1"/>
      <c r="P8311" s="1"/>
      <c r="Q8311" s="1"/>
      <c r="R8311" s="1"/>
      <c r="S8311" s="1"/>
      <c r="T8311" s="1"/>
      <c r="U8311" s="1"/>
      <c r="V8311" s="1"/>
      <c r="W8311" s="1"/>
      <c r="X8311" s="1"/>
      <c r="Y8311" s="1"/>
      <c r="Z8311" s="1"/>
      <c r="AA8311" s="1"/>
      <c r="AB8311" s="1"/>
    </row>
    <row r="8312" ht="50.25" customHeight="1">
      <c r="A8312" s="12">
        <v>8308.0</v>
      </c>
      <c r="B8312" s="13" t="s">
        <v>7680</v>
      </c>
      <c r="C8312" s="18" t="s">
        <v>8337</v>
      </c>
      <c r="D8312" s="1"/>
      <c r="E8312" s="1"/>
      <c r="F8312" s="1" t="str">
        <f>IFERROR(__xludf.DUMMYFUNCTION("GOOGLETRANSLATE(B8312, ""en"", ""fa"")
"),"درخواست برای معلمان")</f>
        <v>درخواست برای معلمان</v>
      </c>
      <c r="G8312" s="1" t="str">
        <f>IFERROR(__xludf.DUMMYFUNCTION("GOOGLETRANSLATE(C8312, ""en"", ""fa"")
"),"راه‌های استفاده از آموزش چندفرهنگی را برای تقویت تفکر انتقادی و مهارت‌های حل مسئله جهانی بررسی کنید.")</f>
        <v>راه‌های استفاده از آموزش چندفرهنگی را برای تقویت تفکر انتقادی و مهارت‌های حل مسئله جهانی بررسی کنید.</v>
      </c>
      <c r="H8312" s="1"/>
      <c r="I8312" s="1"/>
      <c r="J8312" s="1"/>
      <c r="K8312" s="1"/>
      <c r="L8312" s="1"/>
      <c r="M8312" s="1"/>
      <c r="N8312" s="1"/>
      <c r="O8312" s="1"/>
      <c r="P8312" s="1"/>
      <c r="Q8312" s="1"/>
      <c r="R8312" s="1"/>
      <c r="S8312" s="1"/>
      <c r="T8312" s="1"/>
      <c r="U8312" s="1"/>
      <c r="V8312" s="1"/>
      <c r="W8312" s="1"/>
      <c r="X8312" s="1"/>
      <c r="Y8312" s="1"/>
      <c r="Z8312" s="1"/>
      <c r="AA8312" s="1"/>
      <c r="AB8312" s="1"/>
    </row>
    <row r="8313" ht="50.25" customHeight="1">
      <c r="A8313" s="12">
        <v>8309.0</v>
      </c>
      <c r="B8313" s="13" t="s">
        <v>7680</v>
      </c>
      <c r="C8313" s="18" t="s">
        <v>8338</v>
      </c>
      <c r="D8313" s="1"/>
      <c r="E8313" s="1"/>
      <c r="F8313" s="1" t="str">
        <f>IFERROR(__xludf.DUMMYFUNCTION("GOOGLETRANSLATE(B8313, ""en"", ""fa"")
"),"درخواست برای معلمان")</f>
        <v>درخواست برای معلمان</v>
      </c>
      <c r="G8313" s="1" t="str">
        <f>IFERROR(__xludf.DUMMYFUNCTION("GOOGLETRANSLATE(C8313, ""en"", ""fa"")
"),"درباره تأثیر آموزش چندفرهنگی بر کاهش تعصب و ترویج شمول اجتماعی بحث کنید.")</f>
        <v>درباره تأثیر آموزش چندفرهنگی بر کاهش تعصب و ترویج شمول اجتماعی بحث کنید.</v>
      </c>
      <c r="H8313" s="1"/>
      <c r="I8313" s="1"/>
      <c r="J8313" s="1"/>
      <c r="K8313" s="1"/>
      <c r="L8313" s="1"/>
      <c r="M8313" s="1"/>
      <c r="N8313" s="1"/>
      <c r="O8313" s="1"/>
      <c r="P8313" s="1"/>
      <c r="Q8313" s="1"/>
      <c r="R8313" s="1"/>
      <c r="S8313" s="1"/>
      <c r="T8313" s="1"/>
      <c r="U8313" s="1"/>
      <c r="V8313" s="1"/>
      <c r="W8313" s="1"/>
      <c r="X8313" s="1"/>
      <c r="Y8313" s="1"/>
      <c r="Z8313" s="1"/>
      <c r="AA8313" s="1"/>
      <c r="AB8313" s="1"/>
    </row>
    <row r="8314" ht="50.25" customHeight="1">
      <c r="A8314" s="12">
        <v>8310.0</v>
      </c>
      <c r="B8314" s="13" t="s">
        <v>7680</v>
      </c>
      <c r="C8314" s="18" t="s">
        <v>8339</v>
      </c>
      <c r="D8314" s="1"/>
      <c r="E8314" s="1"/>
      <c r="F8314" s="1" t="str">
        <f>IFERROR(__xludf.DUMMYFUNCTION("GOOGLETRANSLATE(B8314, ""en"", ""fa"")
"),"درخواست برای معلمان")</f>
        <v>درخواست برای معلمان</v>
      </c>
      <c r="G8314" s="1" t="str">
        <f>IFERROR(__xludf.DUMMYFUNCTION("GOOGLETRANSLATE(C8314, ""en"", ""fa"")
"),"تجربیات خود را در مورد استراتژی های موفق برای ترکیب دیدگاه های چند فرهنگی در آموزش نمایش و تئاتر به اشتراک بگذارید.")</f>
        <v>تجربیات خود را در مورد استراتژی های موفق برای ترکیب دیدگاه های چند فرهنگی در آموزش نمایش و تئاتر به اشتراک بگذارید.</v>
      </c>
      <c r="H8314" s="1"/>
      <c r="I8314" s="1"/>
      <c r="J8314" s="1"/>
      <c r="K8314" s="1"/>
      <c r="L8314" s="1"/>
      <c r="M8314" s="1"/>
      <c r="N8314" s="1"/>
      <c r="O8314" s="1"/>
      <c r="P8314" s="1"/>
      <c r="Q8314" s="1"/>
      <c r="R8314" s="1"/>
      <c r="S8314" s="1"/>
      <c r="T8314" s="1"/>
      <c r="U8314" s="1"/>
      <c r="V8314" s="1"/>
      <c r="W8314" s="1"/>
      <c r="X8314" s="1"/>
      <c r="Y8314" s="1"/>
      <c r="Z8314" s="1"/>
      <c r="AA8314" s="1"/>
      <c r="AB8314" s="1"/>
    </row>
    <row r="8315" ht="50.25" customHeight="1">
      <c r="A8315" s="12">
        <v>8311.0</v>
      </c>
      <c r="B8315" s="13" t="s">
        <v>7680</v>
      </c>
      <c r="C8315" s="18" t="s">
        <v>8340</v>
      </c>
      <c r="D8315" s="1"/>
      <c r="E8315" s="1"/>
      <c r="F8315" s="1" t="str">
        <f>IFERROR(__xludf.DUMMYFUNCTION("GOOGLETRANSLATE(B8315, ""en"", ""fa"")
"),"درخواست برای معلمان")</f>
        <v>درخواست برای معلمان</v>
      </c>
      <c r="G8315" s="1" t="str">
        <f>IFERROR(__xludf.DUMMYFUNCTION("GOOGLETRANSLATE(C8315, ""en"", ""fa"")
"),"راه‌هایی برای استفاده از آموزش چندفرهنگی برای پرداختن و به چالش کشیدن کلیشه‌های فرهنگی در ادبیات و رسانه‌ها را بررسی کنید.")</f>
        <v>راه‌هایی برای استفاده از آموزش چندفرهنگی برای پرداختن و به چالش کشیدن کلیشه‌های فرهنگی در ادبیات و رسانه‌ها را بررسی کنید.</v>
      </c>
      <c r="H8315" s="1"/>
      <c r="I8315" s="1"/>
      <c r="J8315" s="1"/>
      <c r="K8315" s="1"/>
      <c r="L8315" s="1"/>
      <c r="M8315" s="1"/>
      <c r="N8315" s="1"/>
      <c r="O8315" s="1"/>
      <c r="P8315" s="1"/>
      <c r="Q8315" s="1"/>
      <c r="R8315" s="1"/>
      <c r="S8315" s="1"/>
      <c r="T8315" s="1"/>
      <c r="U8315" s="1"/>
      <c r="V8315" s="1"/>
      <c r="W8315" s="1"/>
      <c r="X8315" s="1"/>
      <c r="Y8315" s="1"/>
      <c r="Z8315" s="1"/>
      <c r="AA8315" s="1"/>
      <c r="AB8315" s="1"/>
    </row>
    <row r="8316" ht="50.25" customHeight="1">
      <c r="A8316" s="12">
        <v>8312.0</v>
      </c>
      <c r="B8316" s="13" t="s">
        <v>7680</v>
      </c>
      <c r="C8316" s="18" t="s">
        <v>8341</v>
      </c>
      <c r="D8316" s="1"/>
      <c r="E8316" s="1"/>
      <c r="F8316" s="1" t="str">
        <f>IFERROR(__xludf.DUMMYFUNCTION("GOOGLETRANSLATE(B8316, ""en"", ""fa"")
"),"درخواست برای معلمان")</f>
        <v>درخواست برای معلمان</v>
      </c>
      <c r="G8316" s="1" t="str">
        <f>IFERROR(__xludf.DUMMYFUNCTION("GOOGLETRANSLATE(C8316, ""en"", ""fa"")
"),"در مورد نقش آموزش چند فرهنگی در آماده سازی دانش آموزان برای نیروی کار جهانی بحث کنید.")</f>
        <v>در مورد نقش آموزش چند فرهنگی در آماده سازی دانش آموزان برای نیروی کار جهانی بحث کنید.</v>
      </c>
      <c r="H8316" s="1"/>
      <c r="I8316" s="1"/>
      <c r="J8316" s="1"/>
      <c r="K8316" s="1"/>
      <c r="L8316" s="1"/>
      <c r="M8316" s="1"/>
      <c r="N8316" s="1"/>
      <c r="O8316" s="1"/>
      <c r="P8316" s="1"/>
      <c r="Q8316" s="1"/>
      <c r="R8316" s="1"/>
      <c r="S8316" s="1"/>
      <c r="T8316" s="1"/>
      <c r="U8316" s="1"/>
      <c r="V8316" s="1"/>
      <c r="W8316" s="1"/>
      <c r="X8316" s="1"/>
      <c r="Y8316" s="1"/>
      <c r="Z8316" s="1"/>
      <c r="AA8316" s="1"/>
      <c r="AB8316" s="1"/>
    </row>
    <row r="8317" ht="50.25" customHeight="1">
      <c r="A8317" s="12">
        <v>8313.0</v>
      </c>
      <c r="B8317" s="13" t="s">
        <v>7680</v>
      </c>
      <c r="C8317" s="18" t="s">
        <v>8342</v>
      </c>
      <c r="D8317" s="1"/>
      <c r="E8317" s="1"/>
      <c r="F8317" s="1" t="str">
        <f>IFERROR(__xludf.DUMMYFUNCTION("GOOGLETRANSLATE(B8317, ""en"", ""fa"")
"),"درخواست برای معلمان")</f>
        <v>درخواست برای معلمان</v>
      </c>
      <c r="G8317" s="1" t="str">
        <f>IFERROR(__xludf.DUMMYFUNCTION("GOOGLETRANSLATE(C8317, ""en"", ""fa"")
"),"بینش خود را در مورد استراتژی های موثر برای ادغام دیدگاه های چند فرهنگی در آموزش حرفه ای و فنی به اشتراک بگذارید.")</f>
        <v>بینش خود را در مورد استراتژی های موثر برای ادغام دیدگاه های چند فرهنگی در آموزش حرفه ای و فنی به اشتراک بگذارید.</v>
      </c>
      <c r="H8317" s="1"/>
      <c r="I8317" s="1"/>
      <c r="J8317" s="1"/>
      <c r="K8317" s="1"/>
      <c r="L8317" s="1"/>
      <c r="M8317" s="1"/>
      <c r="N8317" s="1"/>
      <c r="O8317" s="1"/>
      <c r="P8317" s="1"/>
      <c r="Q8317" s="1"/>
      <c r="R8317" s="1"/>
      <c r="S8317" s="1"/>
      <c r="T8317" s="1"/>
      <c r="U8317" s="1"/>
      <c r="V8317" s="1"/>
      <c r="W8317" s="1"/>
      <c r="X8317" s="1"/>
      <c r="Y8317" s="1"/>
      <c r="Z8317" s="1"/>
      <c r="AA8317" s="1"/>
      <c r="AB8317" s="1"/>
    </row>
    <row r="8318" ht="50.25" customHeight="1">
      <c r="A8318" s="12">
        <v>8314.0</v>
      </c>
      <c r="B8318" s="13" t="s">
        <v>7680</v>
      </c>
      <c r="C8318" s="18" t="s">
        <v>8343</v>
      </c>
      <c r="D8318" s="1"/>
      <c r="E8318" s="1"/>
      <c r="F8318" s="1" t="str">
        <f>IFERROR(__xludf.DUMMYFUNCTION("GOOGLETRANSLATE(B8318, ""en"", ""fa"")
"),"درخواست برای معلمان")</f>
        <v>درخواست برای معلمان</v>
      </c>
      <c r="G8318" s="1" t="str">
        <f>IFERROR(__xludf.DUMMYFUNCTION("GOOGLETRANSLATE(C8318, ""en"", ""fa"")
"),"کشف راه‌هایی برای استفاده از آموزش چند فرهنگی برای ارتقای شایستگی فرهنگی در بین دانش‌آموزان.")</f>
        <v>کشف راه‌هایی برای استفاده از آموزش چند فرهنگی برای ارتقای شایستگی فرهنگی در بین دانش‌آموزان.</v>
      </c>
      <c r="H8318" s="1"/>
      <c r="I8318" s="1"/>
      <c r="J8318" s="1"/>
      <c r="K8318" s="1"/>
      <c r="L8318" s="1"/>
      <c r="M8318" s="1"/>
      <c r="N8318" s="1"/>
      <c r="O8318" s="1"/>
      <c r="P8318" s="1"/>
      <c r="Q8318" s="1"/>
      <c r="R8318" s="1"/>
      <c r="S8318" s="1"/>
      <c r="T8318" s="1"/>
      <c r="U8318" s="1"/>
      <c r="V8318" s="1"/>
      <c r="W8318" s="1"/>
      <c r="X8318" s="1"/>
      <c r="Y8318" s="1"/>
      <c r="Z8318" s="1"/>
      <c r="AA8318" s="1"/>
      <c r="AB8318" s="1"/>
    </row>
    <row r="8319" ht="50.25" customHeight="1">
      <c r="A8319" s="12">
        <v>8315.0</v>
      </c>
      <c r="B8319" s="13" t="s">
        <v>7680</v>
      </c>
      <c r="C8319" s="18" t="s">
        <v>8344</v>
      </c>
      <c r="D8319" s="1"/>
      <c r="E8319" s="1"/>
      <c r="F8319" s="1" t="str">
        <f>IFERROR(__xludf.DUMMYFUNCTION("GOOGLETRANSLATE(B8319, ""en"", ""fa"")
"),"درخواست برای معلمان")</f>
        <v>درخواست برای معلمان</v>
      </c>
      <c r="G8319" s="1" t="str">
        <f>IFERROR(__xludf.DUMMYFUNCTION("GOOGLETRANSLATE(C8319, ""en"", ""fa"")
"),"در مورد اهمیت گنجاندن صداها و دیدگاه های متنوع در برنامه ها و مجالس سخنران مهمان بحث کنید.")</f>
        <v>در مورد اهمیت گنجاندن صداها و دیدگاه های متنوع در برنامه ها و مجالس سخنران مهمان بحث کنید.</v>
      </c>
      <c r="H8319" s="1"/>
      <c r="I8319" s="1"/>
      <c r="J8319" s="1"/>
      <c r="K8319" s="1"/>
      <c r="L8319" s="1"/>
      <c r="M8319" s="1"/>
      <c r="N8319" s="1"/>
      <c r="O8319" s="1"/>
      <c r="P8319" s="1"/>
      <c r="Q8319" s="1"/>
      <c r="R8319" s="1"/>
      <c r="S8319" s="1"/>
      <c r="T8319" s="1"/>
      <c r="U8319" s="1"/>
      <c r="V8319" s="1"/>
      <c r="W8319" s="1"/>
      <c r="X8319" s="1"/>
      <c r="Y8319" s="1"/>
      <c r="Z8319" s="1"/>
      <c r="AA8319" s="1"/>
      <c r="AB8319" s="1"/>
    </row>
    <row r="8320" ht="50.25" customHeight="1">
      <c r="A8320" s="12">
        <v>8316.0</v>
      </c>
      <c r="B8320" s="13" t="s">
        <v>7680</v>
      </c>
      <c r="C8320" s="18" t="s">
        <v>8345</v>
      </c>
      <c r="D8320" s="1"/>
      <c r="E8320" s="1"/>
      <c r="F8320" s="1" t="str">
        <f>IFERROR(__xludf.DUMMYFUNCTION("GOOGLETRANSLATE(B8320, ""en"", ""fa"")
"),"درخواست برای معلمان")</f>
        <v>درخواست برای معلمان</v>
      </c>
      <c r="G8320" s="1" t="str">
        <f>IFERROR(__xludf.DUMMYFUNCTION("GOOGLETRANSLATE(C8320, ""en"", ""fa"")
"),"تجربیات خود را با استراتژی های موفق برای ترکیب دیدگاه های چند فرهنگی در یادگیری در فضای باز و تجربی به اشتراک بگذارید.")</f>
        <v>تجربیات خود را با استراتژی های موفق برای ترکیب دیدگاه های چند فرهنگی در یادگیری در فضای باز و تجربی به اشتراک بگذارید.</v>
      </c>
      <c r="H8320" s="1"/>
      <c r="I8320" s="1"/>
      <c r="J8320" s="1"/>
      <c r="K8320" s="1"/>
      <c r="L8320" s="1"/>
      <c r="M8320" s="1"/>
      <c r="N8320" s="1"/>
      <c r="O8320" s="1"/>
      <c r="P8320" s="1"/>
      <c r="Q8320" s="1"/>
      <c r="R8320" s="1"/>
      <c r="S8320" s="1"/>
      <c r="T8320" s="1"/>
      <c r="U8320" s="1"/>
      <c r="V8320" s="1"/>
      <c r="W8320" s="1"/>
      <c r="X8320" s="1"/>
      <c r="Y8320" s="1"/>
      <c r="Z8320" s="1"/>
      <c r="AA8320" s="1"/>
      <c r="AB8320" s="1"/>
    </row>
    <row r="8321" ht="50.25" customHeight="1">
      <c r="A8321" s="12">
        <v>8317.0</v>
      </c>
      <c r="B8321" s="13" t="s">
        <v>7680</v>
      </c>
      <c r="C8321" s="18" t="s">
        <v>8346</v>
      </c>
      <c r="D8321" s="1"/>
      <c r="E8321" s="1"/>
      <c r="F8321" s="1" t="str">
        <f>IFERROR(__xludf.DUMMYFUNCTION("GOOGLETRANSLATE(B8321, ""en"", ""fa"")
"),"درخواست برای معلمان")</f>
        <v>درخواست برای معلمان</v>
      </c>
      <c r="G8321" s="1" t="str">
        <f>IFERROR(__xludf.DUMMYFUNCTION("GOOGLETRANSLATE(C8321, ""en"", ""fa"")
"),"راه‌های استفاده از آموزش چندفرهنگی را برای ارتقای درک و احترام به توانایی‌ها و ناتوانی‌های متنوع بررسی کنید.")</f>
        <v>راه‌های استفاده از آموزش چندفرهنگی را برای ارتقای درک و احترام به توانایی‌ها و ناتوانی‌های متنوع بررسی کنید.</v>
      </c>
      <c r="H8321" s="1"/>
      <c r="I8321" s="1"/>
      <c r="J8321" s="1"/>
      <c r="K8321" s="1"/>
      <c r="L8321" s="1"/>
      <c r="M8321" s="1"/>
      <c r="N8321" s="1"/>
      <c r="O8321" s="1"/>
      <c r="P8321" s="1"/>
      <c r="Q8321" s="1"/>
      <c r="R8321" s="1"/>
      <c r="S8321" s="1"/>
      <c r="T8321" s="1"/>
      <c r="U8321" s="1"/>
      <c r="V8321" s="1"/>
      <c r="W8321" s="1"/>
      <c r="X8321" s="1"/>
      <c r="Y8321" s="1"/>
      <c r="Z8321" s="1"/>
      <c r="AA8321" s="1"/>
      <c r="AB8321" s="1"/>
    </row>
    <row r="8322" ht="50.25" customHeight="1">
      <c r="A8322" s="12">
        <v>8318.0</v>
      </c>
      <c r="B8322" s="13" t="s">
        <v>7680</v>
      </c>
      <c r="C8322" s="18" t="s">
        <v>8347</v>
      </c>
      <c r="D8322" s="1"/>
      <c r="E8322" s="1"/>
      <c r="F8322" s="1" t="str">
        <f>IFERROR(__xludf.DUMMYFUNCTION("GOOGLETRANSLATE(B8322, ""en"", ""fa"")
"),"درخواست برای معلمان")</f>
        <v>درخواست برای معلمان</v>
      </c>
      <c r="G8322" s="1" t="str">
        <f>IFERROR(__xludf.DUMMYFUNCTION("GOOGLETRANSLATE(C8322, ""en"", ""fa"")
"),"در مورد تأثیر آموزش چندفرهنگی بر ترویج فرهنگ های فراگیر و متنوع مدارس بحث کنید.")</f>
        <v>در مورد تأثیر آموزش چندفرهنگی بر ترویج فرهنگ های فراگیر و متنوع مدارس بحث کنید.</v>
      </c>
      <c r="H8322" s="1"/>
      <c r="I8322" s="1"/>
      <c r="J8322" s="1"/>
      <c r="K8322" s="1"/>
      <c r="L8322" s="1"/>
      <c r="M8322" s="1"/>
      <c r="N8322" s="1"/>
      <c r="O8322" s="1"/>
      <c r="P8322" s="1"/>
      <c r="Q8322" s="1"/>
      <c r="R8322" s="1"/>
      <c r="S8322" s="1"/>
      <c r="T8322" s="1"/>
      <c r="U8322" s="1"/>
      <c r="V8322" s="1"/>
      <c r="W8322" s="1"/>
      <c r="X8322" s="1"/>
      <c r="Y8322" s="1"/>
      <c r="Z8322" s="1"/>
      <c r="AA8322" s="1"/>
      <c r="AB8322" s="1"/>
    </row>
    <row r="8323" ht="50.25" customHeight="1">
      <c r="A8323" s="12">
        <v>8319.0</v>
      </c>
      <c r="B8323" s="13" t="s">
        <v>7680</v>
      </c>
      <c r="C8323" s="18" t="s">
        <v>8348</v>
      </c>
      <c r="D8323" s="1"/>
      <c r="E8323" s="1"/>
      <c r="F8323" s="1" t="str">
        <f>IFERROR(__xludf.DUMMYFUNCTION("GOOGLETRANSLATE(B8323, ""en"", ""fa"")
"),"درخواست برای معلمان")</f>
        <v>درخواست برای معلمان</v>
      </c>
      <c r="G8323" s="1" t="str">
        <f>IFERROR(__xludf.DUMMYFUNCTION("GOOGLETRANSLATE(C8323, ""en"", ""fa"")
"),"بینش خود را در مورد استراتژی های موثر برای ترکیب دیدگاه های چند فرهنگی در آموزش شخصیت و یادگیری اجتماعی-عاطفی به اشتراک بگذارید.")</f>
        <v>بینش خود را در مورد استراتژی های موثر برای ترکیب دیدگاه های چند فرهنگی در آموزش شخصیت و یادگیری اجتماعی-عاطفی به اشتراک بگذارید.</v>
      </c>
      <c r="H8323" s="1"/>
      <c r="I8323" s="1"/>
      <c r="J8323" s="1"/>
      <c r="K8323" s="1"/>
      <c r="L8323" s="1"/>
      <c r="M8323" s="1"/>
      <c r="N8323" s="1"/>
      <c r="O8323" s="1"/>
      <c r="P8323" s="1"/>
      <c r="Q8323" s="1"/>
      <c r="R8323" s="1"/>
      <c r="S8323" s="1"/>
      <c r="T8323" s="1"/>
      <c r="U8323" s="1"/>
      <c r="V8323" s="1"/>
      <c r="W8323" s="1"/>
      <c r="X8323" s="1"/>
      <c r="Y8323" s="1"/>
      <c r="Z8323" s="1"/>
      <c r="AA8323" s="1"/>
      <c r="AB8323" s="1"/>
    </row>
    <row r="8324" ht="50.25" customHeight="1">
      <c r="A8324" s="12">
        <v>8320.0</v>
      </c>
      <c r="B8324" s="13" t="s">
        <v>7680</v>
      </c>
      <c r="C8324" s="18" t="s">
        <v>8349</v>
      </c>
      <c r="D8324" s="1"/>
      <c r="E8324" s="1"/>
      <c r="F8324" s="1" t="str">
        <f>IFERROR(__xludf.DUMMYFUNCTION("GOOGLETRANSLATE(B8324, ""en"", ""fa"")
"),"درخواست برای معلمان")</f>
        <v>درخواست برای معلمان</v>
      </c>
      <c r="G8324" s="1" t="str">
        <f>IFERROR(__xludf.DUMMYFUNCTION("GOOGLETRANSLATE(C8324, ""en"", ""fa"")
"),"راه‌هایی را برای استفاده از آموزش چندفرهنگی برای پرداختن و به چالش کشیدن اروپامحوری در برنامه درسی بررسی کنید.")</f>
        <v>راه‌هایی را برای استفاده از آموزش چندفرهنگی برای پرداختن و به چالش کشیدن اروپامحوری در برنامه درسی بررسی کنید.</v>
      </c>
      <c r="H8324" s="1"/>
      <c r="I8324" s="1"/>
      <c r="J8324" s="1"/>
      <c r="K8324" s="1"/>
      <c r="L8324" s="1"/>
      <c r="M8324" s="1"/>
      <c r="N8324" s="1"/>
      <c r="O8324" s="1"/>
      <c r="P8324" s="1"/>
      <c r="Q8324" s="1"/>
      <c r="R8324" s="1"/>
      <c r="S8324" s="1"/>
      <c r="T8324" s="1"/>
      <c r="U8324" s="1"/>
      <c r="V8324" s="1"/>
      <c r="W8324" s="1"/>
      <c r="X8324" s="1"/>
      <c r="Y8324" s="1"/>
      <c r="Z8324" s="1"/>
      <c r="AA8324" s="1"/>
      <c r="AB8324" s="1"/>
    </row>
    <row r="8325" ht="50.25" customHeight="1">
      <c r="A8325" s="12">
        <v>8321.0</v>
      </c>
      <c r="B8325" s="13" t="s">
        <v>7680</v>
      </c>
      <c r="C8325" s="18" t="s">
        <v>8350</v>
      </c>
      <c r="D8325" s="1"/>
      <c r="E8325" s="1"/>
      <c r="F8325" s="1" t="str">
        <f>IFERROR(__xludf.DUMMYFUNCTION("GOOGLETRANSLATE(B8325, ""en"", ""fa"")
"),"درخواست برای معلمان")</f>
        <v>درخواست برای معلمان</v>
      </c>
      <c r="G8325" s="1" t="str">
        <f>IFERROR(__xludf.DUMMYFUNCTION("GOOGLETRANSLATE(C8325, ""en"", ""fa"")
"),"در مورد نقش آموزش چندفرهنگی در ترویج آموزش صلح و حل منازعات بحث کنید.")</f>
        <v>در مورد نقش آموزش چندفرهنگی در ترویج آموزش صلح و حل منازعات بحث کنید.</v>
      </c>
      <c r="H8325" s="1"/>
      <c r="I8325" s="1"/>
      <c r="J8325" s="1"/>
      <c r="K8325" s="1"/>
      <c r="L8325" s="1"/>
      <c r="M8325" s="1"/>
      <c r="N8325" s="1"/>
      <c r="O8325" s="1"/>
      <c r="P8325" s="1"/>
      <c r="Q8325" s="1"/>
      <c r="R8325" s="1"/>
      <c r="S8325" s="1"/>
      <c r="T8325" s="1"/>
      <c r="U8325" s="1"/>
      <c r="V8325" s="1"/>
      <c r="W8325" s="1"/>
      <c r="X8325" s="1"/>
      <c r="Y8325" s="1"/>
      <c r="Z8325" s="1"/>
      <c r="AA8325" s="1"/>
      <c r="AB8325" s="1"/>
    </row>
    <row r="8326" ht="50.25" customHeight="1">
      <c r="A8326" s="12">
        <v>8322.0</v>
      </c>
      <c r="B8326" s="13" t="s">
        <v>7680</v>
      </c>
      <c r="C8326" s="18" t="s">
        <v>8351</v>
      </c>
      <c r="D8326" s="1"/>
      <c r="E8326" s="1"/>
      <c r="F8326" s="1" t="str">
        <f>IFERROR(__xludf.DUMMYFUNCTION("GOOGLETRANSLATE(B8326, ""en"", ""fa"")
"),"درخواست برای معلمان")</f>
        <v>درخواست برای معلمان</v>
      </c>
      <c r="G8326" s="1" t="str">
        <f>IFERROR(__xludf.DUMMYFUNCTION("GOOGLETRANSLATE(C8326, ""en"", ""fa"")
"),"تجربیات خود را در مورد استراتژی های موفق برای ترکیب دیدگاه های چندفرهنگی در فناوری و آموزش سواد دیجیتال به اشتراک بگذارید.")</f>
        <v>تجربیات خود را در مورد استراتژی های موفق برای ترکیب دیدگاه های چندفرهنگی در فناوری و آموزش سواد دیجیتال به اشتراک بگذارید.</v>
      </c>
      <c r="H8326" s="1"/>
      <c r="I8326" s="1"/>
      <c r="J8326" s="1"/>
      <c r="K8326" s="1"/>
      <c r="L8326" s="1"/>
      <c r="M8326" s="1"/>
      <c r="N8326" s="1"/>
      <c r="O8326" s="1"/>
      <c r="P8326" s="1"/>
      <c r="Q8326" s="1"/>
      <c r="R8326" s="1"/>
      <c r="S8326" s="1"/>
      <c r="T8326" s="1"/>
      <c r="U8326" s="1"/>
      <c r="V8326" s="1"/>
      <c r="W8326" s="1"/>
      <c r="X8326" s="1"/>
      <c r="Y8326" s="1"/>
      <c r="Z8326" s="1"/>
      <c r="AA8326" s="1"/>
      <c r="AB8326" s="1"/>
    </row>
    <row r="8327" ht="50.25" customHeight="1">
      <c r="A8327" s="12">
        <v>8323.0</v>
      </c>
      <c r="B8327" s="13" t="s">
        <v>7680</v>
      </c>
      <c r="C8327" s="18" t="s">
        <v>8352</v>
      </c>
      <c r="D8327" s="1"/>
      <c r="E8327" s="1"/>
      <c r="F8327" s="1" t="str">
        <f>IFERROR(__xludf.DUMMYFUNCTION("GOOGLETRANSLATE(B8327, ""en"", ""fa"")
"),"درخواست برای معلمان")</f>
        <v>درخواست برای معلمان</v>
      </c>
      <c r="G8327" s="1" t="str">
        <f>IFERROR(__xludf.DUMMYFUNCTION("GOOGLETRANSLATE(C8327, ""en"", ""fa"")
"),"راه‌های استفاده از آموزش چندفرهنگی را برای ارتقای درک و احترام به ساختارها و زمینه‌های مختلف خانواده بررسی کنید.")</f>
        <v>راه‌های استفاده از آموزش چندفرهنگی را برای ارتقای درک و احترام به ساختارها و زمینه‌های مختلف خانواده بررسی کنید.</v>
      </c>
      <c r="H8327" s="1"/>
      <c r="I8327" s="1"/>
      <c r="J8327" s="1"/>
      <c r="K8327" s="1"/>
      <c r="L8327" s="1"/>
      <c r="M8327" s="1"/>
      <c r="N8327" s="1"/>
      <c r="O8327" s="1"/>
      <c r="P8327" s="1"/>
      <c r="Q8327" s="1"/>
      <c r="R8327" s="1"/>
      <c r="S8327" s="1"/>
      <c r="T8327" s="1"/>
      <c r="U8327" s="1"/>
      <c r="V8327" s="1"/>
      <c r="W8327" s="1"/>
      <c r="X8327" s="1"/>
      <c r="Y8327" s="1"/>
      <c r="Z8327" s="1"/>
      <c r="AA8327" s="1"/>
      <c r="AB8327" s="1"/>
    </row>
    <row r="8328" ht="50.25" customHeight="1">
      <c r="A8328" s="12">
        <v>8324.0</v>
      </c>
      <c r="B8328" s="13" t="s">
        <v>7680</v>
      </c>
      <c r="C8328" s="18" t="s">
        <v>8353</v>
      </c>
      <c r="D8328" s="1"/>
      <c r="E8328" s="1"/>
      <c r="F8328" s="1" t="str">
        <f>IFERROR(__xludf.DUMMYFUNCTION("GOOGLETRANSLATE(B8328, ""en"", ""fa"")
"),"درخواست برای معلمان")</f>
        <v>درخواست برای معلمان</v>
      </c>
      <c r="G8328" s="1" t="str">
        <f>IFERROR(__xludf.DUMMYFUNCTION("GOOGLETRANSLATE(C8328, ""en"", ""fa"")
"),"در مورد اهمیت گنجاندن دیدگاه های متنوع در آموزش محیط زیست و پایداری بحث کنید.")</f>
        <v>در مورد اهمیت گنجاندن دیدگاه های متنوع در آموزش محیط زیست و پایداری بحث کنید.</v>
      </c>
      <c r="H8328" s="1"/>
      <c r="I8328" s="1"/>
      <c r="J8328" s="1"/>
      <c r="K8328" s="1"/>
      <c r="L8328" s="1"/>
      <c r="M8328" s="1"/>
      <c r="N8328" s="1"/>
      <c r="O8328" s="1"/>
      <c r="P8328" s="1"/>
      <c r="Q8328" s="1"/>
      <c r="R8328" s="1"/>
      <c r="S8328" s="1"/>
      <c r="T8328" s="1"/>
      <c r="U8328" s="1"/>
      <c r="V8328" s="1"/>
      <c r="W8328" s="1"/>
      <c r="X8328" s="1"/>
      <c r="Y8328" s="1"/>
      <c r="Z8328" s="1"/>
      <c r="AA8328" s="1"/>
      <c r="AB8328" s="1"/>
    </row>
    <row r="8329" ht="50.25" customHeight="1">
      <c r="A8329" s="12">
        <v>8325.0</v>
      </c>
      <c r="B8329" s="13" t="s">
        <v>7680</v>
      </c>
      <c r="C8329" s="18" t="s">
        <v>8354</v>
      </c>
      <c r="D8329" s="1"/>
      <c r="E8329" s="1"/>
      <c r="F8329" s="1" t="str">
        <f>IFERROR(__xludf.DUMMYFUNCTION("GOOGLETRANSLATE(B8329, ""en"", ""fa"")
"),"درخواست برای معلمان")</f>
        <v>درخواست برای معلمان</v>
      </c>
      <c r="G8329" s="1" t="str">
        <f>IFERROR(__xludf.DUMMYFUNCTION("GOOGLETRANSLATE(C8329, ""en"", ""fa"")
"),"بینش خود را در مورد استراتژی های موثر برای ادغام دیدگاه های چند فرهنگی در تربیت بدنی و آموزش بهداشت به اشتراک بگذارید.")</f>
        <v>بینش خود را در مورد استراتژی های موثر برای ادغام دیدگاه های چند فرهنگی در تربیت بدنی و آموزش بهداشت به اشتراک بگذارید.</v>
      </c>
      <c r="H8329" s="1"/>
      <c r="I8329" s="1"/>
      <c r="J8329" s="1"/>
      <c r="K8329" s="1"/>
      <c r="L8329" s="1"/>
      <c r="M8329" s="1"/>
      <c r="N8329" s="1"/>
      <c r="O8329" s="1"/>
      <c r="P8329" s="1"/>
      <c r="Q8329" s="1"/>
      <c r="R8329" s="1"/>
      <c r="S8329" s="1"/>
      <c r="T8329" s="1"/>
      <c r="U8329" s="1"/>
      <c r="V8329" s="1"/>
      <c r="W8329" s="1"/>
      <c r="X8329" s="1"/>
      <c r="Y8329" s="1"/>
      <c r="Z8329" s="1"/>
      <c r="AA8329" s="1"/>
      <c r="AB8329" s="1"/>
    </row>
    <row r="8330" ht="50.25" customHeight="1">
      <c r="A8330" s="12">
        <v>8326.0</v>
      </c>
      <c r="B8330" s="13" t="s">
        <v>7680</v>
      </c>
      <c r="C8330" s="18" t="s">
        <v>8355</v>
      </c>
      <c r="D8330" s="1"/>
      <c r="E8330" s="1"/>
      <c r="F8330" s="1" t="str">
        <f>IFERROR(__xludf.DUMMYFUNCTION("GOOGLETRANSLATE(B8330, ""en"", ""fa"")
"),"درخواست برای معلمان")</f>
        <v>درخواست برای معلمان</v>
      </c>
      <c r="G8330" s="1" t="str">
        <f>IFERROR(__xludf.DUMMYFUNCTION("GOOGLETRANSLATE(C8330, ""en"", ""fa"")
"),"راه‌های استفاده از آموزش چندفرهنگی را برای ارتقای درک و احترام به باورهای مذهبی و معنوی متنوع بررسی کنید.")</f>
        <v>راه‌های استفاده از آموزش چندفرهنگی را برای ارتقای درک و احترام به باورهای مذهبی و معنوی متنوع بررسی کنید.</v>
      </c>
      <c r="H8330" s="1"/>
      <c r="I8330" s="1"/>
      <c r="J8330" s="1"/>
      <c r="K8330" s="1"/>
      <c r="L8330" s="1"/>
      <c r="M8330" s="1"/>
      <c r="N8330" s="1"/>
      <c r="O8330" s="1"/>
      <c r="P8330" s="1"/>
      <c r="Q8330" s="1"/>
      <c r="R8330" s="1"/>
      <c r="S8330" s="1"/>
      <c r="T8330" s="1"/>
      <c r="U8330" s="1"/>
      <c r="V8330" s="1"/>
      <c r="W8330" s="1"/>
      <c r="X8330" s="1"/>
      <c r="Y8330" s="1"/>
      <c r="Z8330" s="1"/>
      <c r="AA8330" s="1"/>
      <c r="AB8330" s="1"/>
    </row>
    <row r="8331" ht="50.25" customHeight="1">
      <c r="A8331" s="12">
        <v>8327.0</v>
      </c>
      <c r="B8331" s="13" t="s">
        <v>7680</v>
      </c>
      <c r="C8331" s="18" t="s">
        <v>8356</v>
      </c>
      <c r="D8331" s="1"/>
      <c r="E8331" s="1"/>
      <c r="F8331" s="1" t="str">
        <f>IFERROR(__xludf.DUMMYFUNCTION("GOOGLETRANSLATE(B8331, ""en"", ""fa"")
"),"درخواست برای معلمان")</f>
        <v>درخواست برای معلمان</v>
      </c>
      <c r="G8331" s="1" t="str">
        <f>IFERROR(__xludf.DUMMYFUNCTION("GOOGLETRANSLATE(C8331, ""en"", ""fa"")
"),"در مورد تأثیر آموزش چند فرهنگی بر ارتقای تبادل فرهنگی و درک بین المللی بحث کنید.")</f>
        <v>در مورد تأثیر آموزش چند فرهنگی بر ارتقای تبادل فرهنگی و درک بین المللی بحث کنید.</v>
      </c>
      <c r="H8331" s="1"/>
      <c r="I8331" s="1"/>
      <c r="J8331" s="1"/>
      <c r="K8331" s="1"/>
      <c r="L8331" s="1"/>
      <c r="M8331" s="1"/>
      <c r="N8331" s="1"/>
      <c r="O8331" s="1"/>
      <c r="P8331" s="1"/>
      <c r="Q8331" s="1"/>
      <c r="R8331" s="1"/>
      <c r="S8331" s="1"/>
      <c r="T8331" s="1"/>
      <c r="U8331" s="1"/>
      <c r="V8331" s="1"/>
      <c r="W8331" s="1"/>
      <c r="X8331" s="1"/>
      <c r="Y8331" s="1"/>
      <c r="Z8331" s="1"/>
      <c r="AA8331" s="1"/>
      <c r="AB8331" s="1"/>
    </row>
    <row r="8332" ht="50.25" customHeight="1">
      <c r="A8332" s="12">
        <v>8328.0</v>
      </c>
      <c r="B8332" s="13" t="s">
        <v>7680</v>
      </c>
      <c r="C8332" s="18" t="s">
        <v>8357</v>
      </c>
      <c r="D8332" s="1"/>
      <c r="E8332" s="1"/>
      <c r="F8332" s="1" t="str">
        <f>IFERROR(__xludf.DUMMYFUNCTION("GOOGLETRANSLATE(B8332, ""en"", ""fa"")
"),"درخواست برای معلمان")</f>
        <v>درخواست برای معلمان</v>
      </c>
      <c r="G8332" s="1" t="str">
        <f>IFERROR(__xludf.DUMMYFUNCTION("GOOGLETRANSLATE(C8332, ""en"", ""fa"")
"),"تجربیات خود را در مورد استراتژی های موفق برای ترکیب دیدگاه های چند فرهنگی در آموزش مدنی و مشارکت اجتماعی به اشتراک بگذارید.")</f>
        <v>تجربیات خود را در مورد استراتژی های موفق برای ترکیب دیدگاه های چند فرهنگی در آموزش مدنی و مشارکت اجتماعی به اشتراک بگذارید.</v>
      </c>
      <c r="H8332" s="1"/>
      <c r="I8332" s="1"/>
      <c r="J8332" s="1"/>
      <c r="K8332" s="1"/>
      <c r="L8332" s="1"/>
      <c r="M8332" s="1"/>
      <c r="N8332" s="1"/>
      <c r="O8332" s="1"/>
      <c r="P8332" s="1"/>
      <c r="Q8332" s="1"/>
      <c r="R8332" s="1"/>
      <c r="S8332" s="1"/>
      <c r="T8332" s="1"/>
      <c r="U8332" s="1"/>
      <c r="V8332" s="1"/>
      <c r="W8332" s="1"/>
      <c r="X8332" s="1"/>
      <c r="Y8332" s="1"/>
      <c r="Z8332" s="1"/>
      <c r="AA8332" s="1"/>
      <c r="AB8332" s="1"/>
    </row>
    <row r="8333" ht="50.25" customHeight="1">
      <c r="A8333" s="12">
        <v>8329.0</v>
      </c>
      <c r="B8333" s="13" t="s">
        <v>7680</v>
      </c>
      <c r="C8333" s="18" t="s">
        <v>8358</v>
      </c>
      <c r="D8333" s="1"/>
      <c r="E8333" s="1"/>
      <c r="F8333" s="1" t="str">
        <f>IFERROR(__xludf.DUMMYFUNCTION("GOOGLETRANSLATE(B8333, ""en"", ""fa"")
"),"درخواست برای معلمان")</f>
        <v>درخواست برای معلمان</v>
      </c>
      <c r="G8333" s="1" t="str">
        <f>IFERROR(__xludf.DUMMYFUNCTION("GOOGLETRANSLATE(C8333, ""en"", ""fa"")
"),"راه‌هایی را برای استفاده از آموزش چندفرهنگی برای مقابله و به چالش کشیدن توانایی‌گرایی و ارتقای حقوق معلولیت بررسی کنید.")</f>
        <v>راه‌هایی را برای استفاده از آموزش چندفرهنگی برای مقابله و به چالش کشیدن توانایی‌گرایی و ارتقای حقوق معلولیت بررسی کنید.</v>
      </c>
      <c r="H8333" s="1"/>
      <c r="I8333" s="1"/>
      <c r="J8333" s="1"/>
      <c r="K8333" s="1"/>
      <c r="L8333" s="1"/>
      <c r="M8333" s="1"/>
      <c r="N8333" s="1"/>
      <c r="O8333" s="1"/>
      <c r="P8333" s="1"/>
      <c r="Q8333" s="1"/>
      <c r="R8333" s="1"/>
      <c r="S8333" s="1"/>
      <c r="T8333" s="1"/>
      <c r="U8333" s="1"/>
      <c r="V8333" s="1"/>
      <c r="W8333" s="1"/>
      <c r="X8333" s="1"/>
      <c r="Y8333" s="1"/>
      <c r="Z8333" s="1"/>
      <c r="AA8333" s="1"/>
      <c r="AB8333" s="1"/>
    </row>
    <row r="8334" ht="50.25" customHeight="1">
      <c r="A8334" s="12">
        <v>8330.0</v>
      </c>
      <c r="B8334" s="13" t="s">
        <v>7680</v>
      </c>
      <c r="C8334" s="18" t="s">
        <v>8359</v>
      </c>
      <c r="D8334" s="1"/>
      <c r="E8334" s="1"/>
      <c r="F8334" s="1" t="str">
        <f>IFERROR(__xludf.DUMMYFUNCTION("GOOGLETRANSLATE(B8334, ""en"", ""fa"")
"),"درخواست برای معلمان")</f>
        <v>درخواست برای معلمان</v>
      </c>
      <c r="G8334" s="1" t="str">
        <f>IFERROR(__xludf.DUMMYFUNCTION("GOOGLETRANSLATE(C8334, ""en"", ""fa"")
"),"در مورد نقش آموزش چندفرهنگی در ارتقاء حفظ فرهنگی و آگاهی از میراث بحث کنید.")</f>
        <v>در مورد نقش آموزش چندفرهنگی در ارتقاء حفظ فرهنگی و آگاهی از میراث بحث کنید.</v>
      </c>
      <c r="H8334" s="1"/>
      <c r="I8334" s="1"/>
      <c r="J8334" s="1"/>
      <c r="K8334" s="1"/>
      <c r="L8334" s="1"/>
      <c r="M8334" s="1"/>
      <c r="N8334" s="1"/>
      <c r="O8334" s="1"/>
      <c r="P8334" s="1"/>
      <c r="Q8334" s="1"/>
      <c r="R8334" s="1"/>
      <c r="S8334" s="1"/>
      <c r="T8334" s="1"/>
      <c r="U8334" s="1"/>
      <c r="V8334" s="1"/>
      <c r="W8334" s="1"/>
      <c r="X8334" s="1"/>
      <c r="Y8334" s="1"/>
      <c r="Z8334" s="1"/>
      <c r="AA8334" s="1"/>
      <c r="AB8334" s="1"/>
    </row>
    <row r="8335" ht="50.25" customHeight="1">
      <c r="A8335" s="12">
        <v>8331.0</v>
      </c>
      <c r="B8335" s="13" t="s">
        <v>7680</v>
      </c>
      <c r="C8335" s="18" t="s">
        <v>8360</v>
      </c>
      <c r="D8335" s="1"/>
      <c r="E8335" s="1"/>
      <c r="F8335" s="1" t="str">
        <f>IFERROR(__xludf.DUMMYFUNCTION("GOOGLETRANSLATE(B8335, ""en"", ""fa"")
"),"درخواست برای معلمان")</f>
        <v>درخواست برای معلمان</v>
      </c>
      <c r="G8335" s="1" t="str">
        <f>IFERROR(__xludf.DUMMYFUNCTION("GOOGLETRANSLATE(C8335, ""en"", ""fa"")
"),"بینش خود را در مورد استراتژی های موثر برای ترکیب دیدگاه های چندفرهنگی در برنامه نویسی و آموزش علوم کامپیوتر به اشتراک بگذارید.")</f>
        <v>بینش خود را در مورد استراتژی های موثر برای ترکیب دیدگاه های چندفرهنگی در برنامه نویسی و آموزش علوم کامپیوتر به اشتراک بگذارید.</v>
      </c>
      <c r="H8335" s="1"/>
      <c r="I8335" s="1"/>
      <c r="J8335" s="1"/>
      <c r="K8335" s="1"/>
      <c r="L8335" s="1"/>
      <c r="M8335" s="1"/>
      <c r="N8335" s="1"/>
      <c r="O8335" s="1"/>
      <c r="P8335" s="1"/>
      <c r="Q8335" s="1"/>
      <c r="R8335" s="1"/>
      <c r="S8335" s="1"/>
      <c r="T8335" s="1"/>
      <c r="U8335" s="1"/>
      <c r="V8335" s="1"/>
      <c r="W8335" s="1"/>
      <c r="X8335" s="1"/>
      <c r="Y8335" s="1"/>
      <c r="Z8335" s="1"/>
      <c r="AA8335" s="1"/>
      <c r="AB8335" s="1"/>
    </row>
    <row r="8336" ht="50.25" customHeight="1">
      <c r="A8336" s="12">
        <v>8332.0</v>
      </c>
      <c r="B8336" s="13" t="s">
        <v>7680</v>
      </c>
      <c r="C8336" s="18" t="s">
        <v>8361</v>
      </c>
      <c r="D8336" s="1"/>
      <c r="E8336" s="1"/>
      <c r="F8336" s="1" t="str">
        <f>IFERROR(__xludf.DUMMYFUNCTION("GOOGLETRANSLATE(B8336, ""en"", ""fa"")
"),"درخواست برای معلمان")</f>
        <v>درخواست برای معلمان</v>
      </c>
      <c r="G8336" s="1" t="str">
        <f>IFERROR(__xludf.DUMMYFUNCTION("GOOGLETRANSLATE(C8336, ""en"", ""fa"")
"),"راه‌های استفاده از آموزش چندفرهنگی را برای ارتقای درک و احترام به هویت‌های جنسیتی مختلف بررسی کنید.")</f>
        <v>راه‌های استفاده از آموزش چندفرهنگی را برای ارتقای درک و احترام به هویت‌های جنسیتی مختلف بررسی کنید.</v>
      </c>
      <c r="H8336" s="1"/>
      <c r="I8336" s="1"/>
      <c r="J8336" s="1"/>
      <c r="K8336" s="1"/>
      <c r="L8336" s="1"/>
      <c r="M8336" s="1"/>
      <c r="N8336" s="1"/>
      <c r="O8336" s="1"/>
      <c r="P8336" s="1"/>
      <c r="Q8336" s="1"/>
      <c r="R8336" s="1"/>
      <c r="S8336" s="1"/>
      <c r="T8336" s="1"/>
      <c r="U8336" s="1"/>
      <c r="V8336" s="1"/>
      <c r="W8336" s="1"/>
      <c r="X8336" s="1"/>
      <c r="Y8336" s="1"/>
      <c r="Z8336" s="1"/>
      <c r="AA8336" s="1"/>
      <c r="AB8336" s="1"/>
    </row>
    <row r="8337" ht="50.25" customHeight="1">
      <c r="A8337" s="12">
        <v>8333.0</v>
      </c>
      <c r="B8337" s="13" t="s">
        <v>7680</v>
      </c>
      <c r="C8337" s="18" t="s">
        <v>8362</v>
      </c>
      <c r="D8337" s="1"/>
      <c r="E8337" s="1"/>
      <c r="F8337" s="1" t="str">
        <f>IFERROR(__xludf.DUMMYFUNCTION("GOOGLETRANSLATE(B8337, ""en"", ""fa"")
"),"درخواست برای معلمان")</f>
        <v>درخواست برای معلمان</v>
      </c>
      <c r="G8337" s="1" t="str">
        <f>IFERROR(__xludf.DUMMYFUNCTION("GOOGLETRANSLATE(C8337, ""en"", ""fa"")
"),"در مورد اهمیت گنجاندن دیدگاه های بومی در آموزش محیطی و زیست محیطی بحث کنید.")</f>
        <v>در مورد اهمیت گنجاندن دیدگاه های بومی در آموزش محیطی و زیست محیطی بحث کنید.</v>
      </c>
      <c r="H8337" s="1"/>
      <c r="I8337" s="1"/>
      <c r="J8337" s="1"/>
      <c r="K8337" s="1"/>
      <c r="L8337" s="1"/>
      <c r="M8337" s="1"/>
      <c r="N8337" s="1"/>
      <c r="O8337" s="1"/>
      <c r="P8337" s="1"/>
      <c r="Q8337" s="1"/>
      <c r="R8337" s="1"/>
      <c r="S8337" s="1"/>
      <c r="T8337" s="1"/>
      <c r="U8337" s="1"/>
      <c r="V8337" s="1"/>
      <c r="W8337" s="1"/>
      <c r="X8337" s="1"/>
      <c r="Y8337" s="1"/>
      <c r="Z8337" s="1"/>
      <c r="AA8337" s="1"/>
      <c r="AB8337" s="1"/>
    </row>
    <row r="8338" ht="50.25" customHeight="1">
      <c r="A8338" s="12">
        <v>8334.0</v>
      </c>
      <c r="B8338" s="13" t="s">
        <v>7680</v>
      </c>
      <c r="C8338" s="18" t="s">
        <v>8363</v>
      </c>
      <c r="D8338" s="1"/>
      <c r="E8338" s="1"/>
      <c r="F8338" s="1" t="str">
        <f>IFERROR(__xludf.DUMMYFUNCTION("GOOGLETRANSLATE(B8338, ""en"", ""fa"")
"),"درخواست برای معلمان")</f>
        <v>درخواست برای معلمان</v>
      </c>
      <c r="G8338" s="1" t="str">
        <f>IFERROR(__xludf.DUMMYFUNCTION("GOOGLETRANSLATE(C8338, ""en"", ""fa"")
"),"تجربیات خود را در مورد استراتژی های موفق برای ترکیب دیدگاه های چند فرهنگی در هنرهای آشپزی و مطالعات مواد غذایی به اشتراک بگذارید.")</f>
        <v>تجربیات خود را در مورد استراتژی های موفق برای ترکیب دیدگاه های چند فرهنگی در هنرهای آشپزی و مطالعات مواد غذایی به اشتراک بگذارید.</v>
      </c>
      <c r="H8338" s="1"/>
      <c r="I8338" s="1"/>
      <c r="J8338" s="1"/>
      <c r="K8338" s="1"/>
      <c r="L8338" s="1"/>
      <c r="M8338" s="1"/>
      <c r="N8338" s="1"/>
      <c r="O8338" s="1"/>
      <c r="P8338" s="1"/>
      <c r="Q8338" s="1"/>
      <c r="R8338" s="1"/>
      <c r="S8338" s="1"/>
      <c r="T8338" s="1"/>
      <c r="U8338" s="1"/>
      <c r="V8338" s="1"/>
      <c r="W8338" s="1"/>
      <c r="X8338" s="1"/>
      <c r="Y8338" s="1"/>
      <c r="Z8338" s="1"/>
      <c r="AA8338" s="1"/>
      <c r="AB8338" s="1"/>
    </row>
    <row r="8339" ht="50.25" customHeight="1">
      <c r="A8339" s="12">
        <v>8335.0</v>
      </c>
      <c r="B8339" s="13" t="s">
        <v>7680</v>
      </c>
      <c r="C8339" s="18" t="s">
        <v>8364</v>
      </c>
      <c r="D8339" s="1"/>
      <c r="E8339" s="1"/>
      <c r="F8339" s="1" t="str">
        <f>IFERROR(__xludf.DUMMYFUNCTION("GOOGLETRANSLATE(B8339, ""en"", ""fa"")
"),"درخواست برای معلمان")</f>
        <v>درخواست برای معلمان</v>
      </c>
      <c r="G8339" s="1" t="str">
        <f>IFERROR(__xludf.DUMMYFUNCTION("GOOGLETRANSLATE(C8339, ""en"", ""fa"")
"),"راه‌های استفاده از آموزش چندفرهنگی را برای مقابله و به چالش کشیدن نژادپرستی و بیگانه‌هراسی بررسی کنید.")</f>
        <v>راه‌های استفاده از آموزش چندفرهنگی را برای مقابله و به چالش کشیدن نژادپرستی و بیگانه‌هراسی بررسی کنید.</v>
      </c>
      <c r="H8339" s="1"/>
      <c r="I8339" s="1"/>
      <c r="J8339" s="1"/>
      <c r="K8339" s="1"/>
      <c r="L8339" s="1"/>
      <c r="M8339" s="1"/>
      <c r="N8339" s="1"/>
      <c r="O8339" s="1"/>
      <c r="P8339" s="1"/>
      <c r="Q8339" s="1"/>
      <c r="R8339" s="1"/>
      <c r="S8339" s="1"/>
      <c r="T8339" s="1"/>
      <c r="U8339" s="1"/>
      <c r="V8339" s="1"/>
      <c r="W8339" s="1"/>
      <c r="X8339" s="1"/>
      <c r="Y8339" s="1"/>
      <c r="Z8339" s="1"/>
      <c r="AA8339" s="1"/>
      <c r="AB8339" s="1"/>
    </row>
    <row r="8340" ht="50.25" customHeight="1">
      <c r="A8340" s="12">
        <v>8336.0</v>
      </c>
      <c r="B8340" s="13" t="s">
        <v>7680</v>
      </c>
      <c r="C8340" s="18" t="s">
        <v>8365</v>
      </c>
      <c r="D8340" s="1"/>
      <c r="E8340" s="1"/>
      <c r="F8340" s="1" t="str">
        <f>IFERROR(__xludf.DUMMYFUNCTION("GOOGLETRANSLATE(B8340, ""en"", ""fa"")
"),"درخواست برای معلمان")</f>
        <v>درخواست برای معلمان</v>
      </c>
      <c r="G8340" s="1" t="str">
        <f>IFERROR(__xludf.DUMMYFUNCTION("GOOGLETRANSLATE(C8340, ""en"", ""fa"")
"),"درباره تأثیر آموزش چندفرهنگی بر ارتقای ارتباطات و همکاری بین فرهنگی بحث کنید.")</f>
        <v>درباره تأثیر آموزش چندفرهنگی بر ارتقای ارتباطات و همکاری بین فرهنگی بحث کنید.</v>
      </c>
      <c r="H8340" s="1"/>
      <c r="I8340" s="1"/>
      <c r="J8340" s="1"/>
      <c r="K8340" s="1"/>
      <c r="L8340" s="1"/>
      <c r="M8340" s="1"/>
      <c r="N8340" s="1"/>
      <c r="O8340" s="1"/>
      <c r="P8340" s="1"/>
      <c r="Q8340" s="1"/>
      <c r="R8340" s="1"/>
      <c r="S8340" s="1"/>
      <c r="T8340" s="1"/>
      <c r="U8340" s="1"/>
      <c r="V8340" s="1"/>
      <c r="W8340" s="1"/>
      <c r="X8340" s="1"/>
      <c r="Y8340" s="1"/>
      <c r="Z8340" s="1"/>
      <c r="AA8340" s="1"/>
      <c r="AB8340" s="1"/>
    </row>
    <row r="8341" ht="50.25" customHeight="1">
      <c r="A8341" s="12">
        <v>8337.0</v>
      </c>
      <c r="B8341" s="13" t="s">
        <v>7680</v>
      </c>
      <c r="C8341" s="18" t="s">
        <v>8366</v>
      </c>
      <c r="D8341" s="1"/>
      <c r="E8341" s="1"/>
      <c r="F8341" s="1" t="str">
        <f>IFERROR(__xludf.DUMMYFUNCTION("GOOGLETRANSLATE(B8341, ""en"", ""fa"")
"),"درخواست برای معلمان")</f>
        <v>درخواست برای معلمان</v>
      </c>
      <c r="G8341" s="1" t="str">
        <f>IFERROR(__xludf.DUMMYFUNCTION("GOOGLETRANSLATE(C8341, ""en"", ""fa"")
"),"بینش خود را در مورد استراتژی های موثر برای ادغام دیدگاه های چندفرهنگی در کاوش شغلی و آموزش حرفه ای به اشتراک بگذارید.")</f>
        <v>بینش خود را در مورد استراتژی های موثر برای ادغام دیدگاه های چندفرهنگی در کاوش شغلی و آموزش حرفه ای به اشتراک بگذارید.</v>
      </c>
      <c r="H8341" s="1"/>
      <c r="I8341" s="1"/>
      <c r="J8341" s="1"/>
      <c r="K8341" s="1"/>
      <c r="L8341" s="1"/>
      <c r="M8341" s="1"/>
      <c r="N8341" s="1"/>
      <c r="O8341" s="1"/>
      <c r="P8341" s="1"/>
      <c r="Q8341" s="1"/>
      <c r="R8341" s="1"/>
      <c r="S8341" s="1"/>
      <c r="T8341" s="1"/>
      <c r="U8341" s="1"/>
      <c r="V8341" s="1"/>
      <c r="W8341" s="1"/>
      <c r="X8341" s="1"/>
      <c r="Y8341" s="1"/>
      <c r="Z8341" s="1"/>
      <c r="AA8341" s="1"/>
      <c r="AB8341" s="1"/>
    </row>
    <row r="8342" ht="50.25" customHeight="1">
      <c r="A8342" s="12">
        <v>8338.0</v>
      </c>
      <c r="B8342" s="13" t="s">
        <v>7680</v>
      </c>
      <c r="C8342" s="18" t="s">
        <v>8367</v>
      </c>
      <c r="D8342" s="1"/>
      <c r="E8342" s="1"/>
      <c r="F8342" s="1" t="str">
        <f>IFERROR(__xludf.DUMMYFUNCTION("GOOGLETRANSLATE(B8342, ""en"", ""fa"")
"),"درخواست برای معلمان")</f>
        <v>درخواست برای معلمان</v>
      </c>
      <c r="G8342" s="1" t="str">
        <f>IFERROR(__xludf.DUMMYFUNCTION("GOOGLETRANSLATE(C8342, ""en"", ""fa"")
"),"راه‌های استفاده از آموزش چندفرهنگی برای ارتقای درک و احترام به انواع مختلف بدن و توانایی‌های فیزیکی را بررسی کنید.")</f>
        <v>راه‌های استفاده از آموزش چندفرهنگی برای ارتقای درک و احترام به انواع مختلف بدن و توانایی‌های فیزیکی را بررسی کنید.</v>
      </c>
      <c r="H8342" s="1"/>
      <c r="I8342" s="1"/>
      <c r="J8342" s="1"/>
      <c r="K8342" s="1"/>
      <c r="L8342" s="1"/>
      <c r="M8342" s="1"/>
      <c r="N8342" s="1"/>
      <c r="O8342" s="1"/>
      <c r="P8342" s="1"/>
      <c r="Q8342" s="1"/>
      <c r="R8342" s="1"/>
      <c r="S8342" s="1"/>
      <c r="T8342" s="1"/>
      <c r="U8342" s="1"/>
      <c r="V8342" s="1"/>
      <c r="W8342" s="1"/>
      <c r="X8342" s="1"/>
      <c r="Y8342" s="1"/>
      <c r="Z8342" s="1"/>
      <c r="AA8342" s="1"/>
      <c r="AB8342" s="1"/>
    </row>
    <row r="8343" ht="50.25" customHeight="1">
      <c r="A8343" s="12">
        <v>8339.0</v>
      </c>
      <c r="B8343" s="13" t="s">
        <v>7680</v>
      </c>
      <c r="C8343" s="18" t="s">
        <v>8368</v>
      </c>
      <c r="D8343" s="1"/>
      <c r="E8343" s="1"/>
      <c r="F8343" s="1" t="str">
        <f>IFERROR(__xludf.DUMMYFUNCTION("GOOGLETRANSLATE(B8343, ""en"", ""fa"")
"),"درخواست برای معلمان")</f>
        <v>درخواست برای معلمان</v>
      </c>
      <c r="G8343" s="1" t="str">
        <f>IFERROR(__xludf.DUMMYFUNCTION("GOOGLETRANSLATE(C8343, ""en"", ""fa"")
"),"در مورد نقش آموزش چندفرهنگی در ترویج رویدادها و جشن های مدرسه ای فراگیر و متنوع بحث کنید.")</f>
        <v>در مورد نقش آموزش چندفرهنگی در ترویج رویدادها و جشن های مدرسه ای فراگیر و متنوع بحث کنید.</v>
      </c>
      <c r="H8343" s="1"/>
      <c r="I8343" s="1"/>
      <c r="J8343" s="1"/>
      <c r="K8343" s="1"/>
      <c r="L8343" s="1"/>
      <c r="M8343" s="1"/>
      <c r="N8343" s="1"/>
      <c r="O8343" s="1"/>
      <c r="P8343" s="1"/>
      <c r="Q8343" s="1"/>
      <c r="R8343" s="1"/>
      <c r="S8343" s="1"/>
      <c r="T8343" s="1"/>
      <c r="U8343" s="1"/>
      <c r="V8343" s="1"/>
      <c r="W8343" s="1"/>
      <c r="X8343" s="1"/>
      <c r="Y8343" s="1"/>
      <c r="Z8343" s="1"/>
      <c r="AA8343" s="1"/>
      <c r="AB8343" s="1"/>
    </row>
    <row r="8344" ht="50.25" customHeight="1">
      <c r="A8344" s="12">
        <v>8340.0</v>
      </c>
      <c r="B8344" s="13" t="s">
        <v>7680</v>
      </c>
      <c r="C8344" s="18" t="s">
        <v>8369</v>
      </c>
      <c r="D8344" s="1"/>
      <c r="E8344" s="1"/>
      <c r="F8344" s="1" t="str">
        <f>IFERROR(__xludf.DUMMYFUNCTION("GOOGLETRANSLATE(B8344, ""en"", ""fa"")
"),"درخواست برای معلمان")</f>
        <v>درخواست برای معلمان</v>
      </c>
      <c r="G8344" s="1" t="str">
        <f>IFERROR(__xludf.DUMMYFUNCTION("GOOGLETRANSLATE(C8344, ""en"", ""fa"")
"),"تجربیات خود را در مورد استراتژی های موفق برای ترکیب دیدگاه های چندفرهنگی در دکوراسیون فیزیکی کلاس درس به اشتراک بگذارید.")</f>
        <v>تجربیات خود را در مورد استراتژی های موفق برای ترکیب دیدگاه های چندفرهنگی در دکوراسیون فیزیکی کلاس درس به اشتراک بگذارید.</v>
      </c>
      <c r="H8344" s="1"/>
      <c r="I8344" s="1"/>
      <c r="J8344" s="1"/>
      <c r="K8344" s="1"/>
      <c r="L8344" s="1"/>
      <c r="M8344" s="1"/>
      <c r="N8344" s="1"/>
      <c r="O8344" s="1"/>
      <c r="P8344" s="1"/>
      <c r="Q8344" s="1"/>
      <c r="R8344" s="1"/>
      <c r="S8344" s="1"/>
      <c r="T8344" s="1"/>
      <c r="U8344" s="1"/>
      <c r="V8344" s="1"/>
      <c r="W8344" s="1"/>
      <c r="X8344" s="1"/>
      <c r="Y8344" s="1"/>
      <c r="Z8344" s="1"/>
      <c r="AA8344" s="1"/>
      <c r="AB8344" s="1"/>
    </row>
    <row r="8345" ht="50.25" customHeight="1">
      <c r="A8345" s="12">
        <v>8341.0</v>
      </c>
      <c r="B8345" s="13" t="s">
        <v>7680</v>
      </c>
      <c r="C8345" s="18" t="s">
        <v>8370</v>
      </c>
      <c r="D8345" s="1"/>
      <c r="E8345" s="1"/>
      <c r="F8345" s="1" t="str">
        <f>IFERROR(__xludf.DUMMYFUNCTION("GOOGLETRANSLATE(B8345, ""en"", ""fa"")
"),"درخواست برای معلمان")</f>
        <v>درخواست برای معلمان</v>
      </c>
      <c r="G8345" s="1" t="str">
        <f>IFERROR(__xludf.DUMMYFUNCTION("GOOGLETRANSLATE(C8345, ""en"", ""fa"")
"),"راه‌هایی برای استفاده از آموزش چندفرهنگی برای مقابله و به چالش کشیدن همجنس‌گرا هراسی و ترویج حقوق LGBTQ+ کاوش کنید.")</f>
        <v>راه‌هایی برای استفاده از آموزش چندفرهنگی برای مقابله و به چالش کشیدن همجنس‌گرا هراسی و ترویج حقوق LGBTQ+ کاوش کنید.</v>
      </c>
      <c r="H8345" s="1"/>
      <c r="I8345" s="1"/>
      <c r="J8345" s="1"/>
      <c r="K8345" s="1"/>
      <c r="L8345" s="1"/>
      <c r="M8345" s="1"/>
      <c r="N8345" s="1"/>
      <c r="O8345" s="1"/>
      <c r="P8345" s="1"/>
      <c r="Q8345" s="1"/>
      <c r="R8345" s="1"/>
      <c r="S8345" s="1"/>
      <c r="T8345" s="1"/>
      <c r="U8345" s="1"/>
      <c r="V8345" s="1"/>
      <c r="W8345" s="1"/>
      <c r="X8345" s="1"/>
      <c r="Y8345" s="1"/>
      <c r="Z8345" s="1"/>
      <c r="AA8345" s="1"/>
      <c r="AB8345" s="1"/>
    </row>
    <row r="8346" ht="50.25" customHeight="1">
      <c r="A8346" s="12">
        <v>8342.0</v>
      </c>
      <c r="B8346" s="13" t="s">
        <v>7680</v>
      </c>
      <c r="C8346" s="18" t="s">
        <v>8371</v>
      </c>
      <c r="D8346" s="1"/>
      <c r="E8346" s="1"/>
      <c r="F8346" s="1" t="str">
        <f>IFERROR(__xludf.DUMMYFUNCTION("GOOGLETRANSLATE(B8346, ""en"", ""fa"")
"),"درخواست برای معلمان")</f>
        <v>درخواست برای معلمان</v>
      </c>
      <c r="G8346" s="1" t="str">
        <f>IFERROR(__xludf.DUMMYFUNCTION("GOOGLETRANSLATE(C8346, ""en"", ""fa"")
"),"در مورد اهمیت گنجاندن دیدگاه های مختلف در آموزش اقتصاد و سواد مالی بحث کنید.")</f>
        <v>در مورد اهمیت گنجاندن دیدگاه های مختلف در آموزش اقتصاد و سواد مالی بحث کنید.</v>
      </c>
      <c r="H8346" s="1"/>
      <c r="I8346" s="1"/>
      <c r="J8346" s="1"/>
      <c r="K8346" s="1"/>
      <c r="L8346" s="1"/>
      <c r="M8346" s="1"/>
      <c r="N8346" s="1"/>
      <c r="O8346" s="1"/>
      <c r="P8346" s="1"/>
      <c r="Q8346" s="1"/>
      <c r="R8346" s="1"/>
      <c r="S8346" s="1"/>
      <c r="T8346" s="1"/>
      <c r="U8346" s="1"/>
      <c r="V8346" s="1"/>
      <c r="W8346" s="1"/>
      <c r="X8346" s="1"/>
      <c r="Y8346" s="1"/>
      <c r="Z8346" s="1"/>
      <c r="AA8346" s="1"/>
      <c r="AB8346" s="1"/>
    </row>
    <row r="8347" ht="50.25" customHeight="1">
      <c r="A8347" s="12">
        <v>8343.0</v>
      </c>
      <c r="B8347" s="13" t="s">
        <v>7680</v>
      </c>
      <c r="C8347" s="18" t="s">
        <v>8372</v>
      </c>
      <c r="D8347" s="1"/>
      <c r="E8347" s="1"/>
      <c r="F8347" s="1" t="str">
        <f>IFERROR(__xludf.DUMMYFUNCTION("GOOGLETRANSLATE(B8347, ""en"", ""fa"")
"),"درخواست برای معلمان")</f>
        <v>درخواست برای معلمان</v>
      </c>
      <c r="G8347" s="1" t="str">
        <f>IFERROR(__xludf.DUMMYFUNCTION("GOOGLETRANSLATE(C8347, ""en"", ""fa"")
"),"بینش خود را در مورد استراتژی های موثر برای ترکیب دیدگاه های چند فرهنگی در آزمایش ها و نمایش های آزمایشگاهی علمی به اشتراک بگذارید.")</f>
        <v>بینش خود را در مورد استراتژی های موثر برای ترکیب دیدگاه های چند فرهنگی در آزمایش ها و نمایش های آزمایشگاهی علمی به اشتراک بگذارید.</v>
      </c>
      <c r="H8347" s="1"/>
      <c r="I8347" s="1"/>
      <c r="J8347" s="1"/>
      <c r="K8347" s="1"/>
      <c r="L8347" s="1"/>
      <c r="M8347" s="1"/>
      <c r="N8347" s="1"/>
      <c r="O8347" s="1"/>
      <c r="P8347" s="1"/>
      <c r="Q8347" s="1"/>
      <c r="R8347" s="1"/>
      <c r="S8347" s="1"/>
      <c r="T8347" s="1"/>
      <c r="U8347" s="1"/>
      <c r="V8347" s="1"/>
      <c r="W8347" s="1"/>
      <c r="X8347" s="1"/>
      <c r="Y8347" s="1"/>
      <c r="Z8347" s="1"/>
      <c r="AA8347" s="1"/>
      <c r="AB8347" s="1"/>
    </row>
    <row r="8348" ht="50.25" customHeight="1">
      <c r="A8348" s="12">
        <v>8344.0</v>
      </c>
      <c r="B8348" s="13" t="s">
        <v>7680</v>
      </c>
      <c r="C8348" s="18" t="s">
        <v>8373</v>
      </c>
      <c r="D8348" s="1"/>
      <c r="E8348" s="1"/>
      <c r="F8348" s="1" t="str">
        <f>IFERROR(__xludf.DUMMYFUNCTION("GOOGLETRANSLATE(B8348, ""en"", ""fa"")
"),"درخواست برای معلمان")</f>
        <v>درخواست برای معلمان</v>
      </c>
      <c r="G8348" s="1" t="str">
        <f>IFERROR(__xludf.DUMMYFUNCTION("GOOGLETRANSLATE(C8348, ""en"", ""fa"")
"),"راه‌های استفاده از آموزش چندفرهنگی را برای ارتقای درک و احترام به تجربیات مختلف سالمندی بررسی کنید.")</f>
        <v>راه‌های استفاده از آموزش چندفرهنگی را برای ارتقای درک و احترام به تجربیات مختلف سالمندی بررسی کنید.</v>
      </c>
      <c r="H8348" s="1"/>
      <c r="I8348" s="1"/>
      <c r="J8348" s="1"/>
      <c r="K8348" s="1"/>
      <c r="L8348" s="1"/>
      <c r="M8348" s="1"/>
      <c r="N8348" s="1"/>
      <c r="O8348" s="1"/>
      <c r="P8348" s="1"/>
      <c r="Q8348" s="1"/>
      <c r="R8348" s="1"/>
      <c r="S8348" s="1"/>
      <c r="T8348" s="1"/>
      <c r="U8348" s="1"/>
      <c r="V8348" s="1"/>
      <c r="W8348" s="1"/>
      <c r="X8348" s="1"/>
      <c r="Y8348" s="1"/>
      <c r="Z8348" s="1"/>
      <c r="AA8348" s="1"/>
      <c r="AB8348" s="1"/>
    </row>
    <row r="8349" ht="50.25" customHeight="1">
      <c r="A8349" s="12">
        <v>8345.0</v>
      </c>
      <c r="B8349" s="13" t="s">
        <v>7680</v>
      </c>
      <c r="C8349" s="18" t="s">
        <v>8374</v>
      </c>
      <c r="D8349" s="1"/>
      <c r="E8349" s="1"/>
      <c r="F8349" s="1" t="str">
        <f>IFERROR(__xludf.DUMMYFUNCTION("GOOGLETRANSLATE(B8349, ""en"", ""fa"")
"),"درخواست برای معلمان")</f>
        <v>درخواست برای معلمان</v>
      </c>
      <c r="G8349" s="1" t="str">
        <f>IFERROR(__xludf.DUMMYFUNCTION("GOOGLETRANSLATE(C8349, ""en"", ""fa"")
"),"درباره تأثیر آموزش چندفرهنگی بر ترویج سیاست ها و شیوه های آموزشی فراگیر و متنوع بحث کنید.")</f>
        <v>درباره تأثیر آموزش چندفرهنگی بر ترویج سیاست ها و شیوه های آموزشی فراگیر و متنوع بحث کنید.</v>
      </c>
      <c r="H8349" s="1"/>
      <c r="I8349" s="1"/>
      <c r="J8349" s="1"/>
      <c r="K8349" s="1"/>
      <c r="L8349" s="1"/>
      <c r="M8349" s="1"/>
      <c r="N8349" s="1"/>
      <c r="O8349" s="1"/>
      <c r="P8349" s="1"/>
      <c r="Q8349" s="1"/>
      <c r="R8349" s="1"/>
      <c r="S8349" s="1"/>
      <c r="T8349" s="1"/>
      <c r="U8349" s="1"/>
      <c r="V8349" s="1"/>
      <c r="W8349" s="1"/>
      <c r="X8349" s="1"/>
      <c r="Y8349" s="1"/>
      <c r="Z8349" s="1"/>
      <c r="AA8349" s="1"/>
      <c r="AB8349" s="1"/>
    </row>
    <row r="8350" ht="50.25" customHeight="1">
      <c r="A8350" s="12">
        <v>8346.0</v>
      </c>
      <c r="B8350" s="13" t="s">
        <v>7680</v>
      </c>
      <c r="C8350" s="18" t="s">
        <v>8375</v>
      </c>
      <c r="D8350" s="1"/>
      <c r="E8350" s="1"/>
      <c r="F8350" s="1" t="str">
        <f>IFERROR(__xludf.DUMMYFUNCTION("GOOGLETRANSLATE(B8350, ""en"", ""fa"")
"),"درخواست برای معلمان")</f>
        <v>درخواست برای معلمان</v>
      </c>
      <c r="G8350" s="1" t="str">
        <f>IFERROR(__xludf.DUMMYFUNCTION("GOOGLETRANSLATE(C8350, ""en"", ""fa"")
"),"تجربیات خود را در مورد استراتژی های موفق برای ترکیب دیدگاه های چند فرهنگی در روزنامه نگاری و مطالعات رسانه ای به اشتراک بگذارید.")</f>
        <v>تجربیات خود را در مورد استراتژی های موفق برای ترکیب دیدگاه های چند فرهنگی در روزنامه نگاری و مطالعات رسانه ای به اشتراک بگذارید.</v>
      </c>
      <c r="H8350" s="1"/>
      <c r="I8350" s="1"/>
      <c r="J8350" s="1"/>
      <c r="K8350" s="1"/>
      <c r="L8350" s="1"/>
      <c r="M8350" s="1"/>
      <c r="N8350" s="1"/>
      <c r="O8350" s="1"/>
      <c r="P8350" s="1"/>
      <c r="Q8350" s="1"/>
      <c r="R8350" s="1"/>
      <c r="S8350" s="1"/>
      <c r="T8350" s="1"/>
      <c r="U8350" s="1"/>
      <c r="V8350" s="1"/>
      <c r="W8350" s="1"/>
      <c r="X8350" s="1"/>
      <c r="Y8350" s="1"/>
      <c r="Z8350" s="1"/>
      <c r="AA8350" s="1"/>
      <c r="AB8350" s="1"/>
    </row>
    <row r="8351" ht="50.25" customHeight="1">
      <c r="A8351" s="12">
        <v>8347.0</v>
      </c>
      <c r="B8351" s="13" t="s">
        <v>7680</v>
      </c>
      <c r="C8351" s="18" t="s">
        <v>8376</v>
      </c>
      <c r="D8351" s="1"/>
      <c r="E8351" s="1"/>
      <c r="F8351" s="1" t="str">
        <f>IFERROR(__xludf.DUMMYFUNCTION("GOOGLETRANSLATE(B8351, ""en"", ""fa"")
"),"درخواست برای معلمان")</f>
        <v>درخواست برای معلمان</v>
      </c>
      <c r="G8351" s="1" t="str">
        <f>IFERROR(__xludf.DUMMYFUNCTION("GOOGLETRANSLATE(C8351, ""en"", ""fa"")
"),"در مورد اهمیت تمایز کلاس درس در برآوردن نیازهای آموزشی متنوع دانش آموزان بحث کنید.")</f>
        <v>در مورد اهمیت تمایز کلاس درس در برآوردن نیازهای آموزشی متنوع دانش آموزان بحث کنید.</v>
      </c>
      <c r="H8351" s="1"/>
      <c r="I8351" s="1"/>
      <c r="J8351" s="1"/>
      <c r="K8351" s="1"/>
      <c r="L8351" s="1"/>
      <c r="M8351" s="1"/>
      <c r="N8351" s="1"/>
      <c r="O8351" s="1"/>
      <c r="P8351" s="1"/>
      <c r="Q8351" s="1"/>
      <c r="R8351" s="1"/>
      <c r="S8351" s="1"/>
      <c r="T8351" s="1"/>
      <c r="U8351" s="1"/>
      <c r="V8351" s="1"/>
      <c r="W8351" s="1"/>
      <c r="X8351" s="1"/>
      <c r="Y8351" s="1"/>
      <c r="Z8351" s="1"/>
      <c r="AA8351" s="1"/>
      <c r="AB8351" s="1"/>
    </row>
    <row r="8352" ht="50.25" customHeight="1">
      <c r="A8352" s="12">
        <v>8348.0</v>
      </c>
      <c r="B8352" s="13" t="s">
        <v>7680</v>
      </c>
      <c r="C8352" s="18" t="s">
        <v>8377</v>
      </c>
      <c r="D8352" s="1"/>
      <c r="E8352" s="1"/>
      <c r="F8352" s="1" t="str">
        <f>IFERROR(__xludf.DUMMYFUNCTION("GOOGLETRANSLATE(B8352, ""en"", ""fa"")
"),"درخواست برای معلمان")</f>
        <v>درخواست برای معلمان</v>
      </c>
      <c r="G8352" s="1" t="str">
        <f>IFERROR(__xludf.DUMMYFUNCTION("GOOGLETRANSLATE(C8352, ""en"", ""fa"")
"),"تجربیات خود را در مورد استراتژی های موفق برای ارزیابی سبک های یادگیری و ترجیحات دانش آموزان به اشتراک بگذارید.")</f>
        <v>تجربیات خود را در مورد استراتژی های موفق برای ارزیابی سبک های یادگیری و ترجیحات دانش آموزان به اشتراک بگذارید.</v>
      </c>
      <c r="H8352" s="1"/>
      <c r="I8352" s="1"/>
      <c r="J8352" s="1"/>
      <c r="K8352" s="1"/>
      <c r="L8352" s="1"/>
      <c r="M8352" s="1"/>
      <c r="N8352" s="1"/>
      <c r="O8352" s="1"/>
      <c r="P8352" s="1"/>
      <c r="Q8352" s="1"/>
      <c r="R8352" s="1"/>
      <c r="S8352" s="1"/>
      <c r="T8352" s="1"/>
      <c r="U8352" s="1"/>
      <c r="V8352" s="1"/>
      <c r="W8352" s="1"/>
      <c r="X8352" s="1"/>
      <c r="Y8352" s="1"/>
      <c r="Z8352" s="1"/>
      <c r="AA8352" s="1"/>
      <c r="AB8352" s="1"/>
    </row>
    <row r="8353" ht="50.25" customHeight="1">
      <c r="A8353" s="12">
        <v>8349.0</v>
      </c>
      <c r="B8353" s="13" t="s">
        <v>7680</v>
      </c>
      <c r="C8353" s="18" t="s">
        <v>8378</v>
      </c>
      <c r="D8353" s="1"/>
      <c r="E8353" s="1"/>
      <c r="F8353" s="1" t="str">
        <f>IFERROR(__xludf.DUMMYFUNCTION("GOOGLETRANSLATE(B8353, ""en"", ""fa"")
"),"درخواست برای معلمان")</f>
        <v>درخواست برای معلمان</v>
      </c>
      <c r="G8353" s="1" t="str">
        <f>IFERROR(__xludf.DUMMYFUNCTION("GOOGLETRANSLATE(C8353, ""en"", ""fa"")
"),"راه‌هایی را برای استفاده از فناوری برای شخصی‌سازی تجربیات یادگیری برای دانش‌آموزان بررسی کنید.")</f>
        <v>راه‌هایی را برای استفاده از فناوری برای شخصی‌سازی تجربیات یادگیری برای دانش‌آموزان بررسی کنید.</v>
      </c>
      <c r="H8353" s="1"/>
      <c r="I8353" s="1"/>
      <c r="J8353" s="1"/>
      <c r="K8353" s="1"/>
      <c r="L8353" s="1"/>
      <c r="M8353" s="1"/>
      <c r="N8353" s="1"/>
      <c r="O8353" s="1"/>
      <c r="P8353" s="1"/>
      <c r="Q8353" s="1"/>
      <c r="R8353" s="1"/>
      <c r="S8353" s="1"/>
      <c r="T8353" s="1"/>
      <c r="U8353" s="1"/>
      <c r="V8353" s="1"/>
      <c r="W8353" s="1"/>
      <c r="X8353" s="1"/>
      <c r="Y8353" s="1"/>
      <c r="Z8353" s="1"/>
      <c r="AA8353" s="1"/>
      <c r="AB8353" s="1"/>
    </row>
    <row r="8354" ht="50.25" customHeight="1">
      <c r="A8354" s="12">
        <v>8350.0</v>
      </c>
      <c r="B8354" s="13" t="s">
        <v>7680</v>
      </c>
      <c r="C8354" s="18" t="s">
        <v>8379</v>
      </c>
      <c r="D8354" s="1"/>
      <c r="E8354" s="1"/>
      <c r="F8354" s="1" t="str">
        <f>IFERROR(__xludf.DUMMYFUNCTION("GOOGLETRANSLATE(B8354, ""en"", ""fa"")
"),"درخواست برای معلمان")</f>
        <v>درخواست برای معلمان</v>
      </c>
      <c r="G8354" s="1" t="str">
        <f>IFERROR(__xludf.DUMMYFUNCTION("GOOGLETRANSLATE(C8354, ""en"", ""fa"")
"),"در مورد تأثیر آموزش متمایز بر مشارکت و انگیزه دانش آموزان بحث کنید.")</f>
        <v>در مورد تأثیر آموزش متمایز بر مشارکت و انگیزه دانش آموزان بحث کنید.</v>
      </c>
      <c r="H8354" s="1"/>
      <c r="I8354" s="1"/>
      <c r="J8354" s="1"/>
      <c r="K8354" s="1"/>
      <c r="L8354" s="1"/>
      <c r="M8354" s="1"/>
      <c r="N8354" s="1"/>
      <c r="O8354" s="1"/>
      <c r="P8354" s="1"/>
      <c r="Q8354" s="1"/>
      <c r="R8354" s="1"/>
      <c r="S8354" s="1"/>
      <c r="T8354" s="1"/>
      <c r="U8354" s="1"/>
      <c r="V8354" s="1"/>
      <c r="W8354" s="1"/>
      <c r="X8354" s="1"/>
      <c r="Y8354" s="1"/>
      <c r="Z8354" s="1"/>
      <c r="AA8354" s="1"/>
      <c r="AB8354" s="1"/>
    </row>
    <row r="8355" ht="50.25" customHeight="1">
      <c r="A8355" s="12">
        <v>8351.0</v>
      </c>
      <c r="B8355" s="13" t="s">
        <v>7680</v>
      </c>
      <c r="C8355" s="18" t="s">
        <v>8380</v>
      </c>
      <c r="D8355" s="1"/>
      <c r="E8355" s="1"/>
      <c r="F8355" s="1" t="str">
        <f>IFERROR(__xludf.DUMMYFUNCTION("GOOGLETRANSLATE(B8355, ""en"", ""fa"")
"),"درخواست برای معلمان")</f>
        <v>درخواست برای معلمان</v>
      </c>
      <c r="G8355" s="1" t="str">
        <f>IFERROR(__xludf.DUMMYFUNCTION("GOOGLETRANSLATE(C8355, ""en"", ""fa"")
"),"بینش خود را در مورد راهبردهای مؤثر برای تطبیق مواد آموزشی برای برآوردن نیازهای فردی دانش آموزان به اشتراک بگذارید.")</f>
        <v>بینش خود را در مورد راهبردهای مؤثر برای تطبیق مواد آموزشی برای برآوردن نیازهای فردی دانش آموزان به اشتراک بگذارید.</v>
      </c>
      <c r="H8355" s="1"/>
      <c r="I8355" s="1"/>
      <c r="J8355" s="1"/>
      <c r="K8355" s="1"/>
      <c r="L8355" s="1"/>
      <c r="M8355" s="1"/>
      <c r="N8355" s="1"/>
      <c r="O8355" s="1"/>
      <c r="P8355" s="1"/>
      <c r="Q8355" s="1"/>
      <c r="R8355" s="1"/>
      <c r="S8355" s="1"/>
      <c r="T8355" s="1"/>
      <c r="U8355" s="1"/>
      <c r="V8355" s="1"/>
      <c r="W8355" s="1"/>
      <c r="X8355" s="1"/>
      <c r="Y8355" s="1"/>
      <c r="Z8355" s="1"/>
      <c r="AA8355" s="1"/>
      <c r="AB8355" s="1"/>
    </row>
    <row r="8356" ht="50.25" customHeight="1">
      <c r="A8356" s="12">
        <v>8352.0</v>
      </c>
      <c r="B8356" s="13" t="s">
        <v>7680</v>
      </c>
      <c r="C8356" s="18" t="s">
        <v>8381</v>
      </c>
      <c r="D8356" s="1"/>
      <c r="E8356" s="1"/>
      <c r="F8356" s="1" t="str">
        <f>IFERROR(__xludf.DUMMYFUNCTION("GOOGLETRANSLATE(B8356, ""en"", ""fa"")
"),"درخواست برای معلمان")</f>
        <v>درخواست برای معلمان</v>
      </c>
      <c r="G8356" s="1" t="str">
        <f>IFERROR(__xludf.DUMMYFUNCTION("GOOGLETRANSLATE(C8356, ""en"", ""fa"")
"),"راه‌هایی را برای ایجاد انتخاب و استقلال در وظایف و فعالیت‌های یادگیری دانش‌آموز بررسی کنید.")</f>
        <v>راه‌هایی را برای ایجاد انتخاب و استقلال در وظایف و فعالیت‌های یادگیری دانش‌آموز بررسی کنید.</v>
      </c>
      <c r="H8356" s="1"/>
      <c r="I8356" s="1"/>
      <c r="J8356" s="1"/>
      <c r="K8356" s="1"/>
      <c r="L8356" s="1"/>
      <c r="M8356" s="1"/>
      <c r="N8356" s="1"/>
      <c r="O8356" s="1"/>
      <c r="P8356" s="1"/>
      <c r="Q8356" s="1"/>
      <c r="R8356" s="1"/>
      <c r="S8356" s="1"/>
      <c r="T8356" s="1"/>
      <c r="U8356" s="1"/>
      <c r="V8356" s="1"/>
      <c r="W8356" s="1"/>
      <c r="X8356" s="1"/>
      <c r="Y8356" s="1"/>
      <c r="Z8356" s="1"/>
      <c r="AA8356" s="1"/>
      <c r="AB8356" s="1"/>
    </row>
    <row r="8357" ht="50.25" customHeight="1">
      <c r="A8357" s="12">
        <v>8353.0</v>
      </c>
      <c r="B8357" s="13" t="s">
        <v>7680</v>
      </c>
      <c r="C8357" s="18" t="s">
        <v>8382</v>
      </c>
      <c r="D8357" s="1"/>
      <c r="E8357" s="1"/>
      <c r="F8357" s="1" t="str">
        <f>IFERROR(__xludf.DUMMYFUNCTION("GOOGLETRANSLATE(B8357, ""en"", ""fa"")
"),"درخواست برای معلمان")</f>
        <v>درخواست برای معلمان</v>
      </c>
      <c r="G8357" s="1" t="str">
        <f>IFERROR(__xludf.DUMMYFUNCTION("GOOGLETRANSLATE(C8357, ""en"", ""fa"")
"),"در مورد نقش برنامه های یادگیری شخصی در حمایت از رشد تحصیلی و شخصی دانش آموزان بحث کنید.")</f>
        <v>در مورد نقش برنامه های یادگیری شخصی در حمایت از رشد تحصیلی و شخصی دانش آموزان بحث کنید.</v>
      </c>
      <c r="H8357" s="1"/>
      <c r="I8357" s="1"/>
      <c r="J8357" s="1"/>
      <c r="K8357" s="1"/>
      <c r="L8357" s="1"/>
      <c r="M8357" s="1"/>
      <c r="N8357" s="1"/>
      <c r="O8357" s="1"/>
      <c r="P8357" s="1"/>
      <c r="Q8357" s="1"/>
      <c r="R8357" s="1"/>
      <c r="S8357" s="1"/>
      <c r="T8357" s="1"/>
      <c r="U8357" s="1"/>
      <c r="V8357" s="1"/>
      <c r="W8357" s="1"/>
      <c r="X8357" s="1"/>
      <c r="Y8357" s="1"/>
      <c r="Z8357" s="1"/>
      <c r="AA8357" s="1"/>
      <c r="AB8357" s="1"/>
    </row>
    <row r="8358" ht="50.25" customHeight="1">
      <c r="A8358" s="12">
        <v>8354.0</v>
      </c>
      <c r="B8358" s="13" t="s">
        <v>7680</v>
      </c>
      <c r="C8358" s="18" t="s">
        <v>8383</v>
      </c>
      <c r="D8358" s="1"/>
      <c r="E8358" s="1"/>
      <c r="F8358" s="1" t="str">
        <f>IFERROR(__xludf.DUMMYFUNCTION("GOOGLETRANSLATE(B8358, ""en"", ""fa"")
"),"درخواست برای معلمان")</f>
        <v>درخواست برای معلمان</v>
      </c>
      <c r="G8358" s="1" t="str">
        <f>IFERROR(__xludf.DUMMYFUNCTION("GOOGLETRANSLATE(C8358, ""en"", ""fa"")
"),"تجربیات خود را در مورد استراتژی های موفق برای تمایز آموزش در کلاس های درس با توانایی مختلط به اشتراک بگذارید.")</f>
        <v>تجربیات خود را در مورد استراتژی های موفق برای تمایز آموزش در کلاس های درس با توانایی مختلط به اشتراک بگذارید.</v>
      </c>
      <c r="H8358" s="1"/>
      <c r="I8358" s="1"/>
      <c r="J8358" s="1"/>
      <c r="K8358" s="1"/>
      <c r="L8358" s="1"/>
      <c r="M8358" s="1"/>
      <c r="N8358" s="1"/>
      <c r="O8358" s="1"/>
      <c r="P8358" s="1"/>
      <c r="Q8358" s="1"/>
      <c r="R8358" s="1"/>
      <c r="S8358" s="1"/>
      <c r="T8358" s="1"/>
      <c r="U8358" s="1"/>
      <c r="V8358" s="1"/>
      <c r="W8358" s="1"/>
      <c r="X8358" s="1"/>
      <c r="Y8358" s="1"/>
      <c r="Z8358" s="1"/>
      <c r="AA8358" s="1"/>
      <c r="AB8358" s="1"/>
    </row>
    <row r="8359" ht="50.25" customHeight="1">
      <c r="A8359" s="12">
        <v>8355.0</v>
      </c>
      <c r="B8359" s="13" t="s">
        <v>7680</v>
      </c>
      <c r="C8359" s="18" t="s">
        <v>8384</v>
      </c>
      <c r="D8359" s="1"/>
      <c r="E8359" s="1"/>
      <c r="F8359" s="1" t="str">
        <f>IFERROR(__xludf.DUMMYFUNCTION("GOOGLETRANSLATE(B8359, ""en"", ""fa"")
"),"درخواست برای معلمان")</f>
        <v>درخواست برای معلمان</v>
      </c>
      <c r="G8359" s="1" t="str">
        <f>IFERROR(__xludf.DUMMYFUNCTION("GOOGLETRANSLATE(C8359, ""en"", ""fa"")
"),"راه‌هایی را برای استفاده از ارزشیابی تکوینی برای اطلاع‌رسانی و راهنمایی آموزش متمایز بررسی کنید.")</f>
        <v>راه‌هایی را برای استفاده از ارزشیابی تکوینی برای اطلاع‌رسانی و راهنمایی آموزش متمایز بررسی کنید.</v>
      </c>
      <c r="H8359" s="1"/>
      <c r="I8359" s="1"/>
      <c r="J8359" s="1"/>
      <c r="K8359" s="1"/>
      <c r="L8359" s="1"/>
      <c r="M8359" s="1"/>
      <c r="N8359" s="1"/>
      <c r="O8359" s="1"/>
      <c r="P8359" s="1"/>
      <c r="Q8359" s="1"/>
      <c r="R8359" s="1"/>
      <c r="S8359" s="1"/>
      <c r="T8359" s="1"/>
      <c r="U8359" s="1"/>
      <c r="V8359" s="1"/>
      <c r="W8359" s="1"/>
      <c r="X8359" s="1"/>
      <c r="Y8359" s="1"/>
      <c r="Z8359" s="1"/>
      <c r="AA8359" s="1"/>
      <c r="AB8359" s="1"/>
    </row>
    <row r="8360" ht="50.25" customHeight="1">
      <c r="A8360" s="12">
        <v>8356.0</v>
      </c>
      <c r="B8360" s="13" t="s">
        <v>7680</v>
      </c>
      <c r="C8360" s="18" t="s">
        <v>8385</v>
      </c>
      <c r="D8360" s="1"/>
      <c r="E8360" s="1"/>
      <c r="F8360" s="1" t="str">
        <f>IFERROR(__xludf.DUMMYFUNCTION("GOOGLETRANSLATE(B8360, ""en"", ""fa"")
"),"درخواست برای معلمان")</f>
        <v>درخواست برای معلمان</v>
      </c>
      <c r="G8360" s="1" t="str">
        <f>IFERROR(__xludf.DUMMYFUNCTION("GOOGLETRANSLATE(C8360, ""en"", ""fa"")
"),"در مورد اهمیت داربست و ارائه حمایت برای دانش آموزانی که نیاز به کمک اضافی دارند بحث کنید.")</f>
        <v>در مورد اهمیت داربست و ارائه حمایت برای دانش آموزانی که نیاز به کمک اضافی دارند بحث کنید.</v>
      </c>
      <c r="H8360" s="1"/>
      <c r="I8360" s="1"/>
      <c r="J8360" s="1"/>
      <c r="K8360" s="1"/>
      <c r="L8360" s="1"/>
      <c r="M8360" s="1"/>
      <c r="N8360" s="1"/>
      <c r="O8360" s="1"/>
      <c r="P8360" s="1"/>
      <c r="Q8360" s="1"/>
      <c r="R8360" s="1"/>
      <c r="S8360" s="1"/>
      <c r="T8360" s="1"/>
      <c r="U8360" s="1"/>
      <c r="V8360" s="1"/>
      <c r="W8360" s="1"/>
      <c r="X8360" s="1"/>
      <c r="Y8360" s="1"/>
      <c r="Z8360" s="1"/>
      <c r="AA8360" s="1"/>
      <c r="AB8360" s="1"/>
    </row>
    <row r="8361" ht="50.25" customHeight="1">
      <c r="A8361" s="12">
        <v>8357.0</v>
      </c>
      <c r="B8361" s="13" t="s">
        <v>7680</v>
      </c>
      <c r="C8361" s="18" t="s">
        <v>8386</v>
      </c>
      <c r="D8361" s="1"/>
      <c r="E8361" s="1"/>
      <c r="F8361" s="1" t="str">
        <f>IFERROR(__xludf.DUMMYFUNCTION("GOOGLETRANSLATE(B8361, ""en"", ""fa"")
"),"درخواست برای معلمان")</f>
        <v>درخواست برای معلمان</v>
      </c>
      <c r="G8361" s="1" t="str">
        <f>IFERROR(__xludf.DUMMYFUNCTION("GOOGLETRANSLATE(C8361, ""en"", ""fa"")
"),"بینش خود را در مورد استراتژی های موثر برای ارتقای یادگیری خودراهبری و عاملیت دانش آموزی به اشتراک بگذارید.")</f>
        <v>بینش خود را در مورد استراتژی های موثر برای ارتقای یادگیری خودراهبری و عاملیت دانش آموزی به اشتراک بگذارید.</v>
      </c>
      <c r="H8361" s="1"/>
      <c r="I8361" s="1"/>
      <c r="J8361" s="1"/>
      <c r="K8361" s="1"/>
      <c r="L8361" s="1"/>
      <c r="M8361" s="1"/>
      <c r="N8361" s="1"/>
      <c r="O8361" s="1"/>
      <c r="P8361" s="1"/>
      <c r="Q8361" s="1"/>
      <c r="R8361" s="1"/>
      <c r="S8361" s="1"/>
      <c r="T8361" s="1"/>
      <c r="U8361" s="1"/>
      <c r="V8361" s="1"/>
      <c r="W8361" s="1"/>
      <c r="X8361" s="1"/>
      <c r="Y8361" s="1"/>
      <c r="Z8361" s="1"/>
      <c r="AA8361" s="1"/>
      <c r="AB8361" s="1"/>
    </row>
    <row r="8362" ht="50.25" customHeight="1">
      <c r="A8362" s="12">
        <v>8358.0</v>
      </c>
      <c r="B8362" s="13" t="s">
        <v>7680</v>
      </c>
      <c r="C8362" s="18" t="s">
        <v>8387</v>
      </c>
      <c r="D8362" s="1"/>
      <c r="E8362" s="1"/>
      <c r="F8362" s="1" t="str">
        <f>IFERROR(__xludf.DUMMYFUNCTION("GOOGLETRANSLATE(B8362, ""en"", ""fa"")
"),"درخواست برای معلمان")</f>
        <v>درخواست برای معلمان</v>
      </c>
      <c r="G8362" s="1" t="str">
        <f>IFERROR(__xludf.DUMMYFUNCTION("GOOGLETRANSLATE(C8362, ""en"", ""fa"")
"),"راه هایی را برای گنجاندن علایق و علایق دانش آموزان در برنامه درسی بررسی کنید.")</f>
        <v>راه هایی را برای گنجاندن علایق و علایق دانش آموزان در برنامه درسی بررسی کنید.</v>
      </c>
      <c r="H8362" s="1"/>
      <c r="I8362" s="1"/>
      <c r="J8362" s="1"/>
      <c r="K8362" s="1"/>
      <c r="L8362" s="1"/>
      <c r="M8362" s="1"/>
      <c r="N8362" s="1"/>
      <c r="O8362" s="1"/>
      <c r="P8362" s="1"/>
      <c r="Q8362" s="1"/>
      <c r="R8362" s="1"/>
      <c r="S8362" s="1"/>
      <c r="T8362" s="1"/>
      <c r="U8362" s="1"/>
      <c r="V8362" s="1"/>
      <c r="W8362" s="1"/>
      <c r="X8362" s="1"/>
      <c r="Y8362" s="1"/>
      <c r="Z8362" s="1"/>
      <c r="AA8362" s="1"/>
      <c r="AB8362" s="1"/>
    </row>
    <row r="8363" ht="50.25" customHeight="1">
      <c r="A8363" s="12">
        <v>8359.0</v>
      </c>
      <c r="B8363" s="13" t="s">
        <v>7680</v>
      </c>
      <c r="C8363" s="18" t="s">
        <v>8388</v>
      </c>
      <c r="D8363" s="1"/>
      <c r="E8363" s="1"/>
      <c r="F8363" s="1" t="str">
        <f>IFERROR(__xludf.DUMMYFUNCTION("GOOGLETRANSLATE(B8363, ""en"", ""fa"")
"),"درخواست برای معلمان")</f>
        <v>درخواست برای معلمان</v>
      </c>
      <c r="G8363" s="1" t="str">
        <f>IFERROR(__xludf.DUMMYFUNCTION("GOOGLETRANSLATE(C8363, ""en"", ""fa"")
"),"در مورد تأثیر گروه بندی انعطاف پذیر و یادگیری مشارکتی بر پیشرفت دانش آموزان بحث کنید.")</f>
        <v>در مورد تأثیر گروه بندی انعطاف پذیر و یادگیری مشارکتی بر پیشرفت دانش آموزان بحث کنید.</v>
      </c>
      <c r="H8363" s="1"/>
      <c r="I8363" s="1"/>
      <c r="J8363" s="1"/>
      <c r="K8363" s="1"/>
      <c r="L8363" s="1"/>
      <c r="M8363" s="1"/>
      <c r="N8363" s="1"/>
      <c r="O8363" s="1"/>
      <c r="P8363" s="1"/>
      <c r="Q8363" s="1"/>
      <c r="R8363" s="1"/>
      <c r="S8363" s="1"/>
      <c r="T8363" s="1"/>
      <c r="U8363" s="1"/>
      <c r="V8363" s="1"/>
      <c r="W8363" s="1"/>
      <c r="X8363" s="1"/>
      <c r="Y8363" s="1"/>
      <c r="Z8363" s="1"/>
      <c r="AA8363" s="1"/>
      <c r="AB8363" s="1"/>
    </row>
    <row r="8364" ht="50.25" customHeight="1">
      <c r="A8364" s="12">
        <v>8360.0</v>
      </c>
      <c r="B8364" s="13" t="s">
        <v>7680</v>
      </c>
      <c r="C8364" s="18" t="s">
        <v>8389</v>
      </c>
      <c r="D8364" s="1"/>
      <c r="E8364" s="1"/>
      <c r="F8364" s="1" t="str">
        <f>IFERROR(__xludf.DUMMYFUNCTION("GOOGLETRANSLATE(B8364, ""en"", ""fa"")
"),"درخواست برای معلمان")</f>
        <v>درخواست برای معلمان</v>
      </c>
      <c r="G8364" s="1" t="str">
        <f>IFERROR(__xludf.DUMMYFUNCTION("GOOGLETRANSLATE(C8364, ""en"", ""fa"")
"),"تجربیات خود را در مورد استراتژی های موفق برای فراهم کردن فرصت های غنی سازی برای دانش آموزان با استعداد و با استعداد به اشتراک بگذارید.")</f>
        <v>تجربیات خود را در مورد استراتژی های موفق برای فراهم کردن فرصت های غنی سازی برای دانش آموزان با استعداد و با استعداد به اشتراک بگذارید.</v>
      </c>
      <c r="H8364" s="1"/>
      <c r="I8364" s="1"/>
      <c r="J8364" s="1"/>
      <c r="K8364" s="1"/>
      <c r="L8364" s="1"/>
      <c r="M8364" s="1"/>
      <c r="N8364" s="1"/>
      <c r="O8364" s="1"/>
      <c r="P8364" s="1"/>
      <c r="Q8364" s="1"/>
      <c r="R8364" s="1"/>
      <c r="S8364" s="1"/>
      <c r="T8364" s="1"/>
      <c r="U8364" s="1"/>
      <c r="V8364" s="1"/>
      <c r="W8364" s="1"/>
      <c r="X8364" s="1"/>
      <c r="Y8364" s="1"/>
      <c r="Z8364" s="1"/>
      <c r="AA8364" s="1"/>
      <c r="AB8364" s="1"/>
    </row>
    <row r="8365" ht="50.25" customHeight="1">
      <c r="A8365" s="12">
        <v>8361.0</v>
      </c>
      <c r="B8365" s="13" t="s">
        <v>7680</v>
      </c>
      <c r="C8365" s="18" t="s">
        <v>8390</v>
      </c>
      <c r="D8365" s="1"/>
      <c r="E8365" s="1"/>
      <c r="F8365" s="1" t="str">
        <f>IFERROR(__xludf.DUMMYFUNCTION("GOOGLETRANSLATE(B8365, ""en"", ""fa"")
"),"درخواست برای معلمان")</f>
        <v>درخواست برای معلمان</v>
      </c>
      <c r="G8365" s="1" t="str">
        <f>IFERROR(__xludf.DUMMYFUNCTION("GOOGLETRANSLATE(C8365, ""en"", ""fa"")
"),"راه‌هایی را برای متمایز کردن آموزش برای حمایت از دانش‌آموزان با زمینه‌های زبانی متنوع بررسی کنید.")</f>
        <v>راه‌هایی را برای متمایز کردن آموزش برای حمایت از دانش‌آموزان با زمینه‌های زبانی متنوع بررسی کنید.</v>
      </c>
      <c r="H8365" s="1"/>
      <c r="I8365" s="1"/>
      <c r="J8365" s="1"/>
      <c r="K8365" s="1"/>
      <c r="L8365" s="1"/>
      <c r="M8365" s="1"/>
      <c r="N8365" s="1"/>
      <c r="O8365" s="1"/>
      <c r="P8365" s="1"/>
      <c r="Q8365" s="1"/>
      <c r="R8365" s="1"/>
      <c r="S8365" s="1"/>
      <c r="T8365" s="1"/>
      <c r="U8365" s="1"/>
      <c r="V8365" s="1"/>
      <c r="W8365" s="1"/>
      <c r="X8365" s="1"/>
      <c r="Y8365" s="1"/>
      <c r="Z8365" s="1"/>
      <c r="AA8365" s="1"/>
      <c r="AB8365" s="1"/>
    </row>
    <row r="8366" ht="50.25" customHeight="1">
      <c r="A8366" s="12">
        <v>8362.0</v>
      </c>
      <c r="B8366" s="13" t="s">
        <v>7680</v>
      </c>
      <c r="C8366" s="18" t="s">
        <v>8391</v>
      </c>
      <c r="D8366" s="1"/>
      <c r="E8366" s="1"/>
      <c r="F8366" s="1" t="str">
        <f>IFERROR(__xludf.DUMMYFUNCTION("GOOGLETRANSLATE(B8366, ""en"", ""fa"")
"),"درخواست برای معلمان")</f>
        <v>درخواست برای معلمان</v>
      </c>
      <c r="G8366" s="1" t="str">
        <f>IFERROR(__xludf.DUMMYFUNCTION("GOOGLETRANSLATE(C8366, ""en"", ""fa"")
"),"در مورد نقش هدف گذاری فردی و نظارت بر پیشرفت در یادگیری شخصی بحث کنید.")</f>
        <v>در مورد نقش هدف گذاری فردی و نظارت بر پیشرفت در یادگیری شخصی بحث کنید.</v>
      </c>
      <c r="H8366" s="1"/>
      <c r="I8366" s="1"/>
      <c r="J8366" s="1"/>
      <c r="K8366" s="1"/>
      <c r="L8366" s="1"/>
      <c r="M8366" s="1"/>
      <c r="N8366" s="1"/>
      <c r="O8366" s="1"/>
      <c r="P8366" s="1"/>
      <c r="Q8366" s="1"/>
      <c r="R8366" s="1"/>
      <c r="S8366" s="1"/>
      <c r="T8366" s="1"/>
      <c r="U8366" s="1"/>
      <c r="V8366" s="1"/>
      <c r="W8366" s="1"/>
      <c r="X8366" s="1"/>
      <c r="Y8366" s="1"/>
      <c r="Z8366" s="1"/>
      <c r="AA8366" s="1"/>
      <c r="AB8366" s="1"/>
    </row>
    <row r="8367" ht="50.25" customHeight="1">
      <c r="A8367" s="12">
        <v>8363.0</v>
      </c>
      <c r="B8367" s="13" t="s">
        <v>7680</v>
      </c>
      <c r="C8367" s="18" t="s">
        <v>8392</v>
      </c>
      <c r="D8367" s="1"/>
      <c r="E8367" s="1"/>
      <c r="F8367" s="1" t="str">
        <f>IFERROR(__xludf.DUMMYFUNCTION("GOOGLETRANSLATE(B8367, ""en"", ""fa"")
"),"درخواست برای معلمان")</f>
        <v>درخواست برای معلمان</v>
      </c>
      <c r="G8367" s="1" t="str">
        <f>IFERROR(__xludf.DUMMYFUNCTION("GOOGLETRANSLATE(C8367, ""en"", ""fa"")
"),"بینش خود را در مورد استراتژی های موثر برای فراهم کردن محل اقامت برای دانش آموزان با نیازهای آموزشی ویژه به اشتراک بگذارید.")</f>
        <v>بینش خود را در مورد استراتژی های موثر برای فراهم کردن محل اقامت برای دانش آموزان با نیازهای آموزشی ویژه به اشتراک بگذارید.</v>
      </c>
      <c r="H8367" s="1"/>
      <c r="I8367" s="1"/>
      <c r="J8367" s="1"/>
      <c r="K8367" s="1"/>
      <c r="L8367" s="1"/>
      <c r="M8367" s="1"/>
      <c r="N8367" s="1"/>
      <c r="O8367" s="1"/>
      <c r="P8367" s="1"/>
      <c r="Q8367" s="1"/>
      <c r="R8367" s="1"/>
      <c r="S8367" s="1"/>
      <c r="T8367" s="1"/>
      <c r="U8367" s="1"/>
      <c r="V8367" s="1"/>
      <c r="W8367" s="1"/>
      <c r="X8367" s="1"/>
      <c r="Y8367" s="1"/>
      <c r="Z8367" s="1"/>
      <c r="AA8367" s="1"/>
      <c r="AB8367" s="1"/>
    </row>
    <row r="8368" ht="50.25" customHeight="1">
      <c r="A8368" s="12">
        <v>8364.0</v>
      </c>
      <c r="B8368" s="13" t="s">
        <v>7680</v>
      </c>
      <c r="C8368" s="18" t="s">
        <v>8393</v>
      </c>
      <c r="D8368" s="1"/>
      <c r="E8368" s="1"/>
      <c r="F8368" s="1" t="str">
        <f>IFERROR(__xludf.DUMMYFUNCTION("GOOGLETRANSLATE(B8368, ""en"", ""fa"")
"),"درخواست برای معلمان")</f>
        <v>درخواست برای معلمان</v>
      </c>
      <c r="G8368" s="1" t="str">
        <f>IFERROR(__xludf.DUMMYFUNCTION("GOOGLETRANSLATE(C8368, ""en"", ""fa"")
"),"راه‌هایی را برای ترکیب یادگیری پروژه‌محور و رویکردهای مبتنی بر تحقیق برای تمایز آموزش بررسی کنید.")</f>
        <v>راه‌هایی را برای ترکیب یادگیری پروژه‌محور و رویکردهای مبتنی بر تحقیق برای تمایز آموزش بررسی کنید.</v>
      </c>
      <c r="H8368" s="1"/>
      <c r="I8368" s="1"/>
      <c r="J8368" s="1"/>
      <c r="K8368" s="1"/>
      <c r="L8368" s="1"/>
      <c r="M8368" s="1"/>
      <c r="N8368" s="1"/>
      <c r="O8368" s="1"/>
      <c r="P8368" s="1"/>
      <c r="Q8368" s="1"/>
      <c r="R8368" s="1"/>
      <c r="S8368" s="1"/>
      <c r="T8368" s="1"/>
      <c r="U8368" s="1"/>
      <c r="V8368" s="1"/>
      <c r="W8368" s="1"/>
      <c r="X8368" s="1"/>
      <c r="Y8368" s="1"/>
      <c r="Z8368" s="1"/>
      <c r="AA8368" s="1"/>
      <c r="AB8368" s="1"/>
    </row>
    <row r="8369" ht="50.25" customHeight="1">
      <c r="A8369" s="12">
        <v>8365.0</v>
      </c>
      <c r="B8369" s="13" t="s">
        <v>7680</v>
      </c>
      <c r="C8369" s="18" t="s">
        <v>8394</v>
      </c>
      <c r="D8369" s="1"/>
      <c r="E8369" s="1"/>
      <c r="F8369" s="1" t="str">
        <f>IFERROR(__xludf.DUMMYFUNCTION("GOOGLETRANSLATE(B8369, ""en"", ""fa"")
"),"درخواست برای معلمان")</f>
        <v>درخواست برای معلمان</v>
      </c>
      <c r="G8369" s="1" t="str">
        <f>IFERROR(__xludf.DUMMYFUNCTION("GOOGLETRANSLATE(C8369, ""en"", ""fa"")
"),"در مورد اهمیت ایجاد روابط قوی معلم و دانش آموز برای حمایت از یادگیری شخصی بحث کنید.")</f>
        <v>در مورد اهمیت ایجاد روابط قوی معلم و دانش آموز برای حمایت از یادگیری شخصی بحث کنید.</v>
      </c>
      <c r="H8369" s="1"/>
      <c r="I8369" s="1"/>
      <c r="J8369" s="1"/>
      <c r="K8369" s="1"/>
      <c r="L8369" s="1"/>
      <c r="M8369" s="1"/>
      <c r="N8369" s="1"/>
      <c r="O8369" s="1"/>
      <c r="P8369" s="1"/>
      <c r="Q8369" s="1"/>
      <c r="R8369" s="1"/>
      <c r="S8369" s="1"/>
      <c r="T8369" s="1"/>
      <c r="U8369" s="1"/>
      <c r="V8369" s="1"/>
      <c r="W8369" s="1"/>
      <c r="X8369" s="1"/>
      <c r="Y8369" s="1"/>
      <c r="Z8369" s="1"/>
      <c r="AA8369" s="1"/>
      <c r="AB8369" s="1"/>
    </row>
    <row r="8370" ht="50.25" customHeight="1">
      <c r="A8370" s="12">
        <v>8366.0</v>
      </c>
      <c r="B8370" s="13" t="s">
        <v>7680</v>
      </c>
      <c r="C8370" s="18" t="s">
        <v>8395</v>
      </c>
      <c r="D8370" s="1"/>
      <c r="E8370" s="1"/>
      <c r="F8370" s="1" t="str">
        <f>IFERROR(__xludf.DUMMYFUNCTION("GOOGLETRANSLATE(B8370, ""en"", ""fa"")
"),"درخواست برای معلمان")</f>
        <v>درخواست برای معلمان</v>
      </c>
      <c r="G8370" s="1" t="str">
        <f>IFERROR(__xludf.DUMMYFUNCTION("GOOGLETRANSLATE(C8370, ""en"", ""fa"")
"),"تجربیات خود را در مورد استراتژی های موفق برای ترکیب ابزارها و منابع فناوری برای یادگیری فردی به اشتراک بگذارید.")</f>
        <v>تجربیات خود را در مورد استراتژی های موفق برای ترکیب ابزارها و منابع فناوری برای یادگیری فردی به اشتراک بگذارید.</v>
      </c>
      <c r="H8370" s="1"/>
      <c r="I8370" s="1"/>
      <c r="J8370" s="1"/>
      <c r="K8370" s="1"/>
      <c r="L8370" s="1"/>
      <c r="M8370" s="1"/>
      <c r="N8370" s="1"/>
      <c r="O8370" s="1"/>
      <c r="P8370" s="1"/>
      <c r="Q8370" s="1"/>
      <c r="R8370" s="1"/>
      <c r="S8370" s="1"/>
      <c r="T8370" s="1"/>
      <c r="U8370" s="1"/>
      <c r="V8370" s="1"/>
      <c r="W8370" s="1"/>
      <c r="X8370" s="1"/>
      <c r="Y8370" s="1"/>
      <c r="Z8370" s="1"/>
      <c r="AA8370" s="1"/>
      <c r="AB8370" s="1"/>
    </row>
    <row r="8371" ht="50.25" customHeight="1">
      <c r="A8371" s="12">
        <v>8367.0</v>
      </c>
      <c r="B8371" s="13" t="s">
        <v>7680</v>
      </c>
      <c r="C8371" s="18" t="s">
        <v>8396</v>
      </c>
      <c r="D8371" s="1"/>
      <c r="E8371" s="1"/>
      <c r="F8371" s="1" t="str">
        <f>IFERROR(__xludf.DUMMYFUNCTION("GOOGLETRANSLATE(B8371, ""en"", ""fa"")
"),"درخواست برای معلمان")</f>
        <v>درخواست برای معلمان</v>
      </c>
      <c r="G8371" s="1" t="str">
        <f>IFERROR(__xludf.DUMMYFUNCTION("GOOGLETRANSLATE(C8371, ""en"", ""fa"")
"),"راه‌هایی را برای متمایز کردن روش‌های ارزشیابی برای منعکس‌کردن نقاط قوت و توانایی‌های منحصربه‌فرد دانش‌آموزان بررسی کنید.")</f>
        <v>راه‌هایی را برای متمایز کردن روش‌های ارزشیابی برای منعکس‌کردن نقاط قوت و توانایی‌های منحصربه‌فرد دانش‌آموزان بررسی کنید.</v>
      </c>
      <c r="H8371" s="1"/>
      <c r="I8371" s="1"/>
      <c r="J8371" s="1"/>
      <c r="K8371" s="1"/>
      <c r="L8371" s="1"/>
      <c r="M8371" s="1"/>
      <c r="N8371" s="1"/>
      <c r="O8371" s="1"/>
      <c r="P8371" s="1"/>
      <c r="Q8371" s="1"/>
      <c r="R8371" s="1"/>
      <c r="S8371" s="1"/>
      <c r="T8371" s="1"/>
      <c r="U8371" s="1"/>
      <c r="V8371" s="1"/>
      <c r="W8371" s="1"/>
      <c r="X8371" s="1"/>
      <c r="Y8371" s="1"/>
      <c r="Z8371" s="1"/>
      <c r="AA8371" s="1"/>
      <c r="AB8371" s="1"/>
    </row>
    <row r="8372" ht="50.25" customHeight="1">
      <c r="A8372" s="12">
        <v>8368.0</v>
      </c>
      <c r="B8372" s="13" t="s">
        <v>7680</v>
      </c>
      <c r="C8372" s="18" t="s">
        <v>8397</v>
      </c>
      <c r="D8372" s="1"/>
      <c r="E8372" s="1"/>
      <c r="F8372" s="1" t="str">
        <f>IFERROR(__xludf.DUMMYFUNCTION("GOOGLETRANSLATE(B8372, ""en"", ""fa"")
"),"درخواست برای معلمان")</f>
        <v>درخواست برای معلمان</v>
      </c>
      <c r="G8372" s="1" t="str">
        <f>IFERROR(__xludf.DUMMYFUNCTION("GOOGLETRANSLATE(C8372, ""en"", ""fa"")
"),"درباره تأثیر کنفرانس‌های دانش‌آموزی و خود تأملی بر شخصی‌سازی تجربه یادگیری بحث کنید.")</f>
        <v>درباره تأثیر کنفرانس‌های دانش‌آموزی و خود تأملی بر شخصی‌سازی تجربه یادگیری بحث کنید.</v>
      </c>
      <c r="H8372" s="1"/>
      <c r="I8372" s="1"/>
      <c r="J8372" s="1"/>
      <c r="K8372" s="1"/>
      <c r="L8372" s="1"/>
      <c r="M8372" s="1"/>
      <c r="N8372" s="1"/>
      <c r="O8372" s="1"/>
      <c r="P8372" s="1"/>
      <c r="Q8372" s="1"/>
      <c r="R8372" s="1"/>
      <c r="S8372" s="1"/>
      <c r="T8372" s="1"/>
      <c r="U8372" s="1"/>
      <c r="V8372" s="1"/>
      <c r="W8372" s="1"/>
      <c r="X8372" s="1"/>
      <c r="Y8372" s="1"/>
      <c r="Z8372" s="1"/>
      <c r="AA8372" s="1"/>
      <c r="AB8372" s="1"/>
    </row>
    <row r="8373" ht="50.25" customHeight="1">
      <c r="A8373" s="12">
        <v>8369.0</v>
      </c>
      <c r="B8373" s="13" t="s">
        <v>7680</v>
      </c>
      <c r="C8373" s="18" t="s">
        <v>8398</v>
      </c>
      <c r="D8373" s="1"/>
      <c r="E8373" s="1"/>
      <c r="F8373" s="1" t="str">
        <f>IFERROR(__xludf.DUMMYFUNCTION("GOOGLETRANSLATE(B8373, ""en"", ""fa"")
"),"درخواست برای معلمان")</f>
        <v>درخواست برای معلمان</v>
      </c>
      <c r="G8373" s="1" t="str">
        <f>IFERROR(__xludf.DUMMYFUNCTION("GOOGLETRANSLATE(C8373, ""en"", ""fa"")
"),"بینش خود را در مورد استراتژی های موثر برای ارائه بازخورد و راهنمایی متناسب با نیازهای فردی دانش آموزان به اشتراک بگذارید.")</f>
        <v>بینش خود را در مورد استراتژی های موثر برای ارائه بازخورد و راهنمایی متناسب با نیازهای فردی دانش آموزان به اشتراک بگذارید.</v>
      </c>
      <c r="H8373" s="1"/>
      <c r="I8373" s="1"/>
      <c r="J8373" s="1"/>
      <c r="K8373" s="1"/>
      <c r="L8373" s="1"/>
      <c r="M8373" s="1"/>
      <c r="N8373" s="1"/>
      <c r="O8373" s="1"/>
      <c r="P8373" s="1"/>
      <c r="Q8373" s="1"/>
      <c r="R8373" s="1"/>
      <c r="S8373" s="1"/>
      <c r="T8373" s="1"/>
      <c r="U8373" s="1"/>
      <c r="V8373" s="1"/>
      <c r="W8373" s="1"/>
      <c r="X8373" s="1"/>
      <c r="Y8373" s="1"/>
      <c r="Z8373" s="1"/>
      <c r="AA8373" s="1"/>
      <c r="AB8373" s="1"/>
    </row>
    <row r="8374" ht="50.25" customHeight="1">
      <c r="A8374" s="12">
        <v>8370.0</v>
      </c>
      <c r="B8374" s="13" t="s">
        <v>7680</v>
      </c>
      <c r="C8374" s="18" t="s">
        <v>8399</v>
      </c>
      <c r="D8374" s="1"/>
      <c r="E8374" s="1"/>
      <c r="F8374" s="1" t="str">
        <f>IFERROR(__xludf.DUMMYFUNCTION("GOOGLETRANSLATE(B8374, ""en"", ""fa"")
"),"درخواست برای معلمان")</f>
        <v>درخواست برای معلمان</v>
      </c>
      <c r="G8374" s="1" t="str">
        <f>IFERROR(__xludf.DUMMYFUNCTION("GOOGLETRANSLATE(C8374, ""en"", ""fa"")
"),"راه‌هایی برای پرورش ذهنیت رشد و پرورش فرهنگ بهبود مستمر در یادگیری شخصی را بررسی کنید.")</f>
        <v>راه‌هایی برای پرورش ذهنیت رشد و پرورش فرهنگ بهبود مستمر در یادگیری شخصی را بررسی کنید.</v>
      </c>
      <c r="H8374" s="1"/>
      <c r="I8374" s="1"/>
      <c r="J8374" s="1"/>
      <c r="K8374" s="1"/>
      <c r="L8374" s="1"/>
      <c r="M8374" s="1"/>
      <c r="N8374" s="1"/>
      <c r="O8374" s="1"/>
      <c r="P8374" s="1"/>
      <c r="Q8374" s="1"/>
      <c r="R8374" s="1"/>
      <c r="S8374" s="1"/>
      <c r="T8374" s="1"/>
      <c r="U8374" s="1"/>
      <c r="V8374" s="1"/>
      <c r="W8374" s="1"/>
      <c r="X8374" s="1"/>
      <c r="Y8374" s="1"/>
      <c r="Z8374" s="1"/>
      <c r="AA8374" s="1"/>
      <c r="AB8374" s="1"/>
    </row>
    <row r="8375" ht="50.25" customHeight="1">
      <c r="A8375" s="12">
        <v>8371.0</v>
      </c>
      <c r="B8375" s="13" t="s">
        <v>7680</v>
      </c>
      <c r="C8375" s="18" t="s">
        <v>8400</v>
      </c>
      <c r="D8375" s="1"/>
      <c r="E8375" s="1"/>
      <c r="F8375" s="1" t="str">
        <f>IFERROR(__xludf.DUMMYFUNCTION("GOOGLETRANSLATE(B8375, ""en"", ""fa"")
"),"درخواست برای معلمان")</f>
        <v>درخواست برای معلمان</v>
      </c>
      <c r="G8375" s="1" t="str">
        <f>IFERROR(__xludf.DUMMYFUNCTION("GOOGLETRANSLATE(C8375, ""en"", ""fa"")
"),"در مورد نقش صدای دانش آموز و انتخاب در شکل دادن به محیط یادگیری بحث کنید.")</f>
        <v>در مورد نقش صدای دانش آموز و انتخاب در شکل دادن به محیط یادگیری بحث کنید.</v>
      </c>
      <c r="H8375" s="1"/>
      <c r="I8375" s="1"/>
      <c r="J8375" s="1"/>
      <c r="K8375" s="1"/>
      <c r="L8375" s="1"/>
      <c r="M8375" s="1"/>
      <c r="N8375" s="1"/>
      <c r="O8375" s="1"/>
      <c r="P8375" s="1"/>
      <c r="Q8375" s="1"/>
      <c r="R8375" s="1"/>
      <c r="S8375" s="1"/>
      <c r="T8375" s="1"/>
      <c r="U8375" s="1"/>
      <c r="V8375" s="1"/>
      <c r="W8375" s="1"/>
      <c r="X8375" s="1"/>
      <c r="Y8375" s="1"/>
      <c r="Z8375" s="1"/>
      <c r="AA8375" s="1"/>
      <c r="AB8375" s="1"/>
    </row>
    <row r="8376" ht="50.25" customHeight="1">
      <c r="A8376" s="12">
        <v>8372.0</v>
      </c>
      <c r="B8376" s="13" t="s">
        <v>7680</v>
      </c>
      <c r="C8376" s="18" t="s">
        <v>8401</v>
      </c>
      <c r="D8376" s="1"/>
      <c r="E8376" s="1"/>
      <c r="F8376" s="1" t="str">
        <f>IFERROR(__xludf.DUMMYFUNCTION("GOOGLETRANSLATE(B8376, ""en"", ""fa"")
"),"درخواست برای معلمان")</f>
        <v>درخواست برای معلمان</v>
      </c>
      <c r="G8376" s="1" t="str">
        <f>IFERROR(__xludf.DUMMYFUNCTION("GOOGLETRANSLATE(C8376, ""en"", ""fa"")
"),"تجربیات خود را در مورد استراتژی های موفق برای ارتقای خودتنظیمی و مهارت های فراشناختی در دانش آموزان به اشتراک بگذارید.")</f>
        <v>تجربیات خود را در مورد استراتژی های موفق برای ارتقای خودتنظیمی و مهارت های فراشناختی در دانش آموزان به اشتراک بگذارید.</v>
      </c>
      <c r="H8376" s="1"/>
      <c r="I8376" s="1"/>
      <c r="J8376" s="1"/>
      <c r="K8376" s="1"/>
      <c r="L8376" s="1"/>
      <c r="M8376" s="1"/>
      <c r="N8376" s="1"/>
      <c r="O8376" s="1"/>
      <c r="P8376" s="1"/>
      <c r="Q8376" s="1"/>
      <c r="R8376" s="1"/>
      <c r="S8376" s="1"/>
      <c r="T8376" s="1"/>
      <c r="U8376" s="1"/>
      <c r="V8376" s="1"/>
      <c r="W8376" s="1"/>
      <c r="X8376" s="1"/>
      <c r="Y8376" s="1"/>
      <c r="Z8376" s="1"/>
      <c r="AA8376" s="1"/>
      <c r="AB8376" s="1"/>
    </row>
    <row r="8377" ht="50.25" customHeight="1">
      <c r="A8377" s="12">
        <v>8373.0</v>
      </c>
      <c r="B8377" s="13" t="s">
        <v>7680</v>
      </c>
      <c r="C8377" s="18" t="s">
        <v>8402</v>
      </c>
      <c r="D8377" s="1"/>
      <c r="E8377" s="1"/>
      <c r="F8377" s="1" t="str">
        <f>IFERROR(__xludf.DUMMYFUNCTION("GOOGLETRANSLATE(B8377, ""en"", ""fa"")
"),"درخواست برای معلمان")</f>
        <v>درخواست برای معلمان</v>
      </c>
      <c r="G8377" s="1" t="str">
        <f>IFERROR(__xludf.DUMMYFUNCTION("GOOGLETRANSLATE(C8377, ""en"", ""fa"")
"),"راه‌هایی را برای متمایز کردن تکالیف و تکالیف برای پاسخگویی به نیازهای آموزشی متنوع بررسی کنید.")</f>
        <v>راه‌هایی را برای متمایز کردن تکالیف و تکالیف برای پاسخگویی به نیازهای آموزشی متنوع بررسی کنید.</v>
      </c>
      <c r="H8377" s="1"/>
      <c r="I8377" s="1"/>
      <c r="J8377" s="1"/>
      <c r="K8377" s="1"/>
      <c r="L8377" s="1"/>
      <c r="M8377" s="1"/>
      <c r="N8377" s="1"/>
      <c r="O8377" s="1"/>
      <c r="P8377" s="1"/>
      <c r="Q8377" s="1"/>
      <c r="R8377" s="1"/>
      <c r="S8377" s="1"/>
      <c r="T8377" s="1"/>
      <c r="U8377" s="1"/>
      <c r="V8377" s="1"/>
      <c r="W8377" s="1"/>
      <c r="X8377" s="1"/>
      <c r="Y8377" s="1"/>
      <c r="Z8377" s="1"/>
      <c r="AA8377" s="1"/>
      <c r="AB8377" s="1"/>
    </row>
    <row r="8378" ht="50.25" customHeight="1">
      <c r="A8378" s="12">
        <v>8374.0</v>
      </c>
      <c r="B8378" s="13" t="s">
        <v>7680</v>
      </c>
      <c r="C8378" s="18" t="s">
        <v>8403</v>
      </c>
      <c r="D8378" s="1"/>
      <c r="E8378" s="1"/>
      <c r="F8378" s="1" t="str">
        <f>IFERROR(__xludf.DUMMYFUNCTION("GOOGLETRANSLATE(B8378, ""en"", ""fa"")
"),"درخواست برای معلمان")</f>
        <v>درخواست برای معلمان</v>
      </c>
      <c r="G8378" s="1" t="str">
        <f>IFERROR(__xludf.DUMMYFUNCTION("GOOGLETRANSLATE(C8378, ""en"", ""fa"")
"),"در مورد اهمیت توسعه حرفه ای مستمر برای معلمان برای افزایش تمایز کلاس بحث کنید.")</f>
        <v>در مورد اهمیت توسعه حرفه ای مستمر برای معلمان برای افزایش تمایز کلاس بحث کنید.</v>
      </c>
      <c r="H8378" s="1"/>
      <c r="I8378" s="1"/>
      <c r="J8378" s="1"/>
      <c r="K8378" s="1"/>
      <c r="L8378" s="1"/>
      <c r="M8378" s="1"/>
      <c r="N8378" s="1"/>
      <c r="O8378" s="1"/>
      <c r="P8378" s="1"/>
      <c r="Q8378" s="1"/>
      <c r="R8378" s="1"/>
      <c r="S8378" s="1"/>
      <c r="T8378" s="1"/>
      <c r="U8378" s="1"/>
      <c r="V8378" s="1"/>
      <c r="W8378" s="1"/>
      <c r="X8378" s="1"/>
      <c r="Y8378" s="1"/>
      <c r="Z8378" s="1"/>
      <c r="AA8378" s="1"/>
      <c r="AB8378" s="1"/>
    </row>
    <row r="8379" ht="50.25" customHeight="1">
      <c r="A8379" s="12">
        <v>8375.0</v>
      </c>
      <c r="B8379" s="13" t="s">
        <v>7680</v>
      </c>
      <c r="C8379" s="18" t="s">
        <v>8404</v>
      </c>
      <c r="D8379" s="1"/>
      <c r="E8379" s="1"/>
      <c r="F8379" s="1" t="str">
        <f>IFERROR(__xludf.DUMMYFUNCTION("GOOGLETRANSLATE(B8379, ""en"", ""fa"")
"),"درخواست برای معلمان")</f>
        <v>درخواست برای معلمان</v>
      </c>
      <c r="G8379" s="1" t="str">
        <f>IFERROR(__xludf.DUMMYFUNCTION("GOOGLETRANSLATE(C8379, ""en"", ""fa"")
"),"بینش خود را در مورد استراتژی های موثر برای برقراری ارتباط با والدین و سرپرستان در مورد برنامه های یادگیری شخصی به اشتراک بگذارید.")</f>
        <v>بینش خود را در مورد استراتژی های موثر برای برقراری ارتباط با والدین و سرپرستان در مورد برنامه های یادگیری شخصی به اشتراک بگذارید.</v>
      </c>
      <c r="H8379" s="1"/>
      <c r="I8379" s="1"/>
      <c r="J8379" s="1"/>
      <c r="K8379" s="1"/>
      <c r="L8379" s="1"/>
      <c r="M8379" s="1"/>
      <c r="N8379" s="1"/>
      <c r="O8379" s="1"/>
      <c r="P8379" s="1"/>
      <c r="Q8379" s="1"/>
      <c r="R8379" s="1"/>
      <c r="S8379" s="1"/>
      <c r="T8379" s="1"/>
      <c r="U8379" s="1"/>
      <c r="V8379" s="1"/>
      <c r="W8379" s="1"/>
      <c r="X8379" s="1"/>
      <c r="Y8379" s="1"/>
      <c r="Z8379" s="1"/>
      <c r="AA8379" s="1"/>
      <c r="AB8379" s="1"/>
    </row>
    <row r="8380" ht="50.25" customHeight="1">
      <c r="A8380" s="12">
        <v>8376.0</v>
      </c>
      <c r="B8380" s="13" t="s">
        <v>7680</v>
      </c>
      <c r="C8380" s="18" t="s">
        <v>8405</v>
      </c>
      <c r="D8380" s="1"/>
      <c r="E8380" s="1"/>
      <c r="F8380" s="1" t="str">
        <f>IFERROR(__xludf.DUMMYFUNCTION("GOOGLETRANSLATE(B8380, ""en"", ""fa"")
"),"درخواست برای معلمان")</f>
        <v>درخواست برای معلمان</v>
      </c>
      <c r="G8380" s="1" t="str">
        <f>IFERROR(__xludf.DUMMYFUNCTION("GOOGLETRANSLATE(C8380, ""en"", ""fa"")
"),"راه‌هایی را برای استفاده از داده‌ها و نتایج ارزیابی برای اطلاع‌رسانی به آموزش متمایز بررسی کنید.")</f>
        <v>راه‌هایی را برای استفاده از داده‌ها و نتایج ارزیابی برای اطلاع‌رسانی به آموزش متمایز بررسی کنید.</v>
      </c>
      <c r="H8380" s="1"/>
      <c r="I8380" s="1"/>
      <c r="J8380" s="1"/>
      <c r="K8380" s="1"/>
      <c r="L8380" s="1"/>
      <c r="M8380" s="1"/>
      <c r="N8380" s="1"/>
      <c r="O8380" s="1"/>
      <c r="P8380" s="1"/>
      <c r="Q8380" s="1"/>
      <c r="R8380" s="1"/>
      <c r="S8380" s="1"/>
      <c r="T8380" s="1"/>
      <c r="U8380" s="1"/>
      <c r="V8380" s="1"/>
      <c r="W8380" s="1"/>
      <c r="X8380" s="1"/>
      <c r="Y8380" s="1"/>
      <c r="Z8380" s="1"/>
      <c r="AA8380" s="1"/>
      <c r="AB8380" s="1"/>
    </row>
    <row r="8381" ht="50.25" customHeight="1">
      <c r="A8381" s="12">
        <v>8377.0</v>
      </c>
      <c r="B8381" s="13" t="s">
        <v>7680</v>
      </c>
      <c r="C8381" s="18" t="s">
        <v>8406</v>
      </c>
      <c r="D8381" s="1"/>
      <c r="E8381" s="1"/>
      <c r="F8381" s="1" t="str">
        <f>IFERROR(__xludf.DUMMYFUNCTION("GOOGLETRANSLATE(B8381, ""en"", ""fa"")
"),"درخواست برای معلمان")</f>
        <v>درخواست برای معلمان</v>
      </c>
      <c r="G8381" s="1" t="str">
        <f>IFERROR(__xludf.DUMMYFUNCTION("GOOGLETRANSLATE(C8381, ""en"", ""fa"")
"),"در مورد تأثیر همکاری با همتایان و تدریس خصوصی در حمایت از یادگیری شخصی بحث کنید.")</f>
        <v>در مورد تأثیر همکاری با همتایان و تدریس خصوصی در حمایت از یادگیری شخصی بحث کنید.</v>
      </c>
      <c r="H8381" s="1"/>
      <c r="I8381" s="1"/>
      <c r="J8381" s="1"/>
      <c r="K8381" s="1"/>
      <c r="L8381" s="1"/>
      <c r="M8381" s="1"/>
      <c r="N8381" s="1"/>
      <c r="O8381" s="1"/>
      <c r="P8381" s="1"/>
      <c r="Q8381" s="1"/>
      <c r="R8381" s="1"/>
      <c r="S8381" s="1"/>
      <c r="T8381" s="1"/>
      <c r="U8381" s="1"/>
      <c r="V8381" s="1"/>
      <c r="W8381" s="1"/>
      <c r="X8381" s="1"/>
      <c r="Y8381" s="1"/>
      <c r="Z8381" s="1"/>
      <c r="AA8381" s="1"/>
      <c r="AB8381" s="1"/>
    </row>
    <row r="8382" ht="50.25" customHeight="1">
      <c r="A8382" s="12">
        <v>8378.0</v>
      </c>
      <c r="B8382" s="13" t="s">
        <v>7680</v>
      </c>
      <c r="C8382" s="18" t="s">
        <v>8407</v>
      </c>
      <c r="D8382" s="1"/>
      <c r="E8382" s="1"/>
      <c r="F8382" s="1" t="str">
        <f>IFERROR(__xludf.DUMMYFUNCTION("GOOGLETRANSLATE(B8382, ""en"", ""fa"")
"),"درخواست برای معلمان")</f>
        <v>درخواست برای معلمان</v>
      </c>
      <c r="G8382" s="1" t="str">
        <f>IFERROR(__xludf.DUMMYFUNCTION("GOOGLETRANSLATE(C8382, ""en"", ""fa"")
"),"تجربیات خود را در مورد راهبردهای موفق برای ارتقای خود دفاعی و خودکارآمدی در دانش آموزان به اشتراک بگذارید.")</f>
        <v>تجربیات خود را در مورد راهبردهای موفق برای ارتقای خود دفاعی و خودکارآمدی در دانش آموزان به اشتراک بگذارید.</v>
      </c>
      <c r="H8382" s="1"/>
      <c r="I8382" s="1"/>
      <c r="J8382" s="1"/>
      <c r="K8382" s="1"/>
      <c r="L8382" s="1"/>
      <c r="M8382" s="1"/>
      <c r="N8382" s="1"/>
      <c r="O8382" s="1"/>
      <c r="P8382" s="1"/>
      <c r="Q8382" s="1"/>
      <c r="R8382" s="1"/>
      <c r="S8382" s="1"/>
      <c r="T8382" s="1"/>
      <c r="U8382" s="1"/>
      <c r="V8382" s="1"/>
      <c r="W8382" s="1"/>
      <c r="X8382" s="1"/>
      <c r="Y8382" s="1"/>
      <c r="Z8382" s="1"/>
      <c r="AA8382" s="1"/>
      <c r="AB8382" s="1"/>
    </row>
    <row r="8383" ht="50.25" customHeight="1">
      <c r="A8383" s="12">
        <v>8379.0</v>
      </c>
      <c r="B8383" s="13" t="s">
        <v>7680</v>
      </c>
      <c r="C8383" s="18" t="s">
        <v>8408</v>
      </c>
      <c r="D8383" s="1"/>
      <c r="E8383" s="1"/>
      <c r="F8383" s="1" t="str">
        <f>IFERROR(__xludf.DUMMYFUNCTION("GOOGLETRANSLATE(B8383, ""en"", ""fa"")
"),"درخواست برای معلمان")</f>
        <v>درخواست برای معلمان</v>
      </c>
      <c r="G8383" s="1" t="str">
        <f>IFERROR(__xludf.DUMMYFUNCTION("GOOGLETRANSLATE(C8383, ""en"", ""fa"")
"),"کاوش در راه های تمایز آموزش برای پرداختن به زمینه های فرهنگی و اجتماعی دانش آموزان.")</f>
        <v>کاوش در راه های تمایز آموزش برای پرداختن به زمینه های فرهنگی و اجتماعی دانش آموزان.</v>
      </c>
      <c r="H8383" s="1"/>
      <c r="I8383" s="1"/>
      <c r="J8383" s="1"/>
      <c r="K8383" s="1"/>
      <c r="L8383" s="1"/>
      <c r="M8383" s="1"/>
      <c r="N8383" s="1"/>
      <c r="O8383" s="1"/>
      <c r="P8383" s="1"/>
      <c r="Q8383" s="1"/>
      <c r="R8383" s="1"/>
      <c r="S8383" s="1"/>
      <c r="T8383" s="1"/>
      <c r="U8383" s="1"/>
      <c r="V8383" s="1"/>
      <c r="W8383" s="1"/>
      <c r="X8383" s="1"/>
      <c r="Y8383" s="1"/>
      <c r="Z8383" s="1"/>
      <c r="AA8383" s="1"/>
      <c r="AB8383" s="1"/>
    </row>
    <row r="8384" ht="50.25" customHeight="1">
      <c r="A8384" s="12">
        <v>8380.0</v>
      </c>
      <c r="B8384" s="13" t="s">
        <v>7680</v>
      </c>
      <c r="C8384" s="18" t="s">
        <v>8409</v>
      </c>
      <c r="D8384" s="1"/>
      <c r="E8384" s="1"/>
      <c r="F8384" s="1" t="str">
        <f>IFERROR(__xludf.DUMMYFUNCTION("GOOGLETRANSLATE(B8384, ""en"", ""fa"")
"),"درخواست برای معلمان")</f>
        <v>درخواست برای معلمان</v>
      </c>
      <c r="G8384" s="1" t="str">
        <f>IFERROR(__xludf.DUMMYFUNCTION("GOOGLETRANSLATE(C8384, ""en"", ""fa"")
"),"در مورد نقش چیدمان صندلی های انعطاف پذیر و سازماندهی کلاس درس در شخصی سازی محیط یادگیری بحث کنید.")</f>
        <v>در مورد نقش چیدمان صندلی های انعطاف پذیر و سازماندهی کلاس درس در شخصی سازی محیط یادگیری بحث کنید.</v>
      </c>
      <c r="H8384" s="1"/>
      <c r="I8384" s="1"/>
      <c r="J8384" s="1"/>
      <c r="K8384" s="1"/>
      <c r="L8384" s="1"/>
      <c r="M8384" s="1"/>
      <c r="N8384" s="1"/>
      <c r="O8384" s="1"/>
      <c r="P8384" s="1"/>
      <c r="Q8384" s="1"/>
      <c r="R8384" s="1"/>
      <c r="S8384" s="1"/>
      <c r="T8384" s="1"/>
      <c r="U8384" s="1"/>
      <c r="V8384" s="1"/>
      <c r="W8384" s="1"/>
      <c r="X8384" s="1"/>
      <c r="Y8384" s="1"/>
      <c r="Z8384" s="1"/>
      <c r="AA8384" s="1"/>
      <c r="AB8384" s="1"/>
    </row>
    <row r="8385" ht="50.25" customHeight="1">
      <c r="A8385" s="12">
        <v>8381.0</v>
      </c>
      <c r="B8385" s="13" t="s">
        <v>7680</v>
      </c>
      <c r="C8385" s="18" t="s">
        <v>8410</v>
      </c>
      <c r="D8385" s="1"/>
      <c r="E8385" s="1"/>
      <c r="F8385" s="1" t="str">
        <f>IFERROR(__xludf.DUMMYFUNCTION("GOOGLETRANSLATE(B8385, ""en"", ""fa"")
"),"درخواست برای معلمان")</f>
        <v>درخواست برای معلمان</v>
      </c>
      <c r="G8385" s="1" t="str">
        <f>IFERROR(__xludf.DUMMYFUNCTION("GOOGLETRANSLATE(C8385, ""en"", ""fa"")
"),"بینش خود را در مورد استراتژی های موثر برای فراهم کردن فرصت هایی برای دانش آموزان برای پیگیری علایق و علایق خود به اشتراک بگذارید.")</f>
        <v>بینش خود را در مورد استراتژی های موثر برای فراهم کردن فرصت هایی برای دانش آموزان برای پیگیری علایق و علایق خود به اشتراک بگذارید.</v>
      </c>
      <c r="H8385" s="1"/>
      <c r="I8385" s="1"/>
      <c r="J8385" s="1"/>
      <c r="K8385" s="1"/>
      <c r="L8385" s="1"/>
      <c r="M8385" s="1"/>
      <c r="N8385" s="1"/>
      <c r="O8385" s="1"/>
      <c r="P8385" s="1"/>
      <c r="Q8385" s="1"/>
      <c r="R8385" s="1"/>
      <c r="S8385" s="1"/>
      <c r="T8385" s="1"/>
      <c r="U8385" s="1"/>
      <c r="V8385" s="1"/>
      <c r="W8385" s="1"/>
      <c r="X8385" s="1"/>
      <c r="Y8385" s="1"/>
      <c r="Z8385" s="1"/>
      <c r="AA8385" s="1"/>
      <c r="AB8385" s="1"/>
    </row>
    <row r="8386" ht="50.25" customHeight="1">
      <c r="A8386" s="12">
        <v>8382.0</v>
      </c>
      <c r="B8386" s="13" t="s">
        <v>7680</v>
      </c>
      <c r="C8386" s="18" t="s">
        <v>8411</v>
      </c>
      <c r="D8386" s="1"/>
      <c r="E8386" s="1"/>
      <c r="F8386" s="1" t="str">
        <f>IFERROR(__xludf.DUMMYFUNCTION("GOOGLETRANSLATE(B8386, ""en"", ""fa"")
"),"درخواست برای معلمان")</f>
        <v>درخواست برای معلمان</v>
      </c>
      <c r="G8386" s="1" t="str">
        <f>IFERROR(__xludf.DUMMYFUNCTION("GOOGLETRANSLATE(C8386, ""en"", ""fa"")
"),"راه‌هایی را برای ترکیب ابزارهای فناوری برای یادگیری تطبیقی ​​و آموزش فردی بررسی کنید.")</f>
        <v>راه‌هایی را برای ترکیب ابزارهای فناوری برای یادگیری تطبیقی ​​و آموزش فردی بررسی کنید.</v>
      </c>
      <c r="H8386" s="1"/>
      <c r="I8386" s="1"/>
      <c r="J8386" s="1"/>
      <c r="K8386" s="1"/>
      <c r="L8386" s="1"/>
      <c r="M8386" s="1"/>
      <c r="N8386" s="1"/>
      <c r="O8386" s="1"/>
      <c r="P8386" s="1"/>
      <c r="Q8386" s="1"/>
      <c r="R8386" s="1"/>
      <c r="S8386" s="1"/>
      <c r="T8386" s="1"/>
      <c r="U8386" s="1"/>
      <c r="V8386" s="1"/>
      <c r="W8386" s="1"/>
      <c r="X8386" s="1"/>
      <c r="Y8386" s="1"/>
      <c r="Z8386" s="1"/>
      <c r="AA8386" s="1"/>
      <c r="AB8386" s="1"/>
    </row>
    <row r="8387" ht="50.25" customHeight="1">
      <c r="A8387" s="12">
        <v>8383.0</v>
      </c>
      <c r="B8387" s="13" t="s">
        <v>7680</v>
      </c>
      <c r="C8387" s="18" t="s">
        <v>8412</v>
      </c>
      <c r="D8387" s="1"/>
      <c r="E8387" s="1"/>
      <c r="F8387" s="1" t="str">
        <f>IFERROR(__xludf.DUMMYFUNCTION("GOOGLETRANSLATE(B8387, ""en"", ""fa"")
"),"درخواست برای معلمان")</f>
        <v>درخواست برای معلمان</v>
      </c>
      <c r="G8387" s="1" t="str">
        <f>IFERROR(__xludf.DUMMYFUNCTION("GOOGLETRANSLATE(C8387, ""en"", ""fa"")
"),"در مورد اهمیت تأمل و تعدیل مداوم در برنامه های یادگیری شخصی بحث کنید.")</f>
        <v>در مورد اهمیت تأمل و تعدیل مداوم در برنامه های یادگیری شخصی بحث کنید.</v>
      </c>
      <c r="H8387" s="1"/>
      <c r="I8387" s="1"/>
      <c r="J8387" s="1"/>
      <c r="K8387" s="1"/>
      <c r="L8387" s="1"/>
      <c r="M8387" s="1"/>
      <c r="N8387" s="1"/>
      <c r="O8387" s="1"/>
      <c r="P8387" s="1"/>
      <c r="Q8387" s="1"/>
      <c r="R8387" s="1"/>
      <c r="S8387" s="1"/>
      <c r="T8387" s="1"/>
      <c r="U8387" s="1"/>
      <c r="V8387" s="1"/>
      <c r="W8387" s="1"/>
      <c r="X8387" s="1"/>
      <c r="Y8387" s="1"/>
      <c r="Z8387" s="1"/>
      <c r="AA8387" s="1"/>
      <c r="AB8387" s="1"/>
    </row>
    <row r="8388" ht="50.25" customHeight="1">
      <c r="A8388" s="12">
        <v>8384.0</v>
      </c>
      <c r="B8388" s="13" t="s">
        <v>7680</v>
      </c>
      <c r="C8388" s="18" t="s">
        <v>8413</v>
      </c>
      <c r="D8388" s="1"/>
      <c r="E8388" s="1"/>
      <c r="F8388" s="1" t="str">
        <f>IFERROR(__xludf.DUMMYFUNCTION("GOOGLETRANSLATE(B8388, ""en"", ""fa"")
"),"درخواست برای معلمان")</f>
        <v>درخواست برای معلمان</v>
      </c>
      <c r="G8388" s="1" t="str">
        <f>IFERROR(__xludf.DUMMYFUNCTION("GOOGLETRANSLATE(C8388, ""en"", ""fa"")
"),"تجربیات خود را در مورد استراتژی های موفق برای تمایز آموزش در کلاس های بزرگ به اشتراک بگذارید.")</f>
        <v>تجربیات خود را در مورد استراتژی های موفق برای تمایز آموزش در کلاس های بزرگ به اشتراک بگذارید.</v>
      </c>
      <c r="H8388" s="1"/>
      <c r="I8388" s="1"/>
      <c r="J8388" s="1"/>
      <c r="K8388" s="1"/>
      <c r="L8388" s="1"/>
      <c r="M8388" s="1"/>
      <c r="N8388" s="1"/>
      <c r="O8388" s="1"/>
      <c r="P8388" s="1"/>
      <c r="Q8388" s="1"/>
      <c r="R8388" s="1"/>
      <c r="S8388" s="1"/>
      <c r="T8388" s="1"/>
      <c r="U8388" s="1"/>
      <c r="V8388" s="1"/>
      <c r="W8388" s="1"/>
      <c r="X8388" s="1"/>
      <c r="Y8388" s="1"/>
      <c r="Z8388" s="1"/>
      <c r="AA8388" s="1"/>
      <c r="AB8388" s="1"/>
    </row>
    <row r="8389" ht="50.25" customHeight="1">
      <c r="A8389" s="12">
        <v>8385.0</v>
      </c>
      <c r="B8389" s="13" t="s">
        <v>7680</v>
      </c>
      <c r="C8389" s="18" t="s">
        <v>8414</v>
      </c>
      <c r="D8389" s="1"/>
      <c r="E8389" s="1"/>
      <c r="F8389" s="1" t="str">
        <f>IFERROR(__xludf.DUMMYFUNCTION("GOOGLETRANSLATE(B8389, ""en"", ""fa"")
"),"درخواست برای معلمان")</f>
        <v>درخواست برای معلمان</v>
      </c>
      <c r="G8389" s="1" t="str">
        <f>IFERROR(__xludf.DUMMYFUNCTION("GOOGLETRANSLATE(C8389, ""en"", ""fa"")
"),"راه‌هایی را بررسی کنید تا فرصت‌هایی برای دانش‌آموزان فراهم شود تا درک خود را از طریق روش‌های متعدد نشان دهند.")</f>
        <v>راه‌هایی را بررسی کنید تا فرصت‌هایی برای دانش‌آموزان فراهم شود تا درک خود را از طریق روش‌های متعدد نشان دهند.</v>
      </c>
      <c r="H8389" s="1"/>
      <c r="I8389" s="1"/>
      <c r="J8389" s="1"/>
      <c r="K8389" s="1"/>
      <c r="L8389" s="1"/>
      <c r="M8389" s="1"/>
      <c r="N8389" s="1"/>
      <c r="O8389" s="1"/>
      <c r="P8389" s="1"/>
      <c r="Q8389" s="1"/>
      <c r="R8389" s="1"/>
      <c r="S8389" s="1"/>
      <c r="T8389" s="1"/>
      <c r="U8389" s="1"/>
      <c r="V8389" s="1"/>
      <c r="W8389" s="1"/>
      <c r="X8389" s="1"/>
      <c r="Y8389" s="1"/>
      <c r="Z8389" s="1"/>
      <c r="AA8389" s="1"/>
      <c r="AB8389" s="1"/>
    </row>
    <row r="8390" ht="50.25" customHeight="1">
      <c r="A8390" s="12">
        <v>8386.0</v>
      </c>
      <c r="B8390" s="13" t="s">
        <v>7680</v>
      </c>
      <c r="C8390" s="18" t="s">
        <v>8415</v>
      </c>
      <c r="D8390" s="1"/>
      <c r="E8390" s="1"/>
      <c r="F8390" s="1" t="str">
        <f>IFERROR(__xludf.DUMMYFUNCTION("GOOGLETRANSLATE(B8390, ""en"", ""fa"")
"),"درخواست برای معلمان")</f>
        <v>درخواست برای معلمان</v>
      </c>
      <c r="G8390" s="1" t="str">
        <f>IFERROR(__xludf.DUMMYFUNCTION("GOOGLETRANSLATE(C8390, ""en"", ""fa"")
"),"در مورد تأثیر یادگیری خودگام و رویکردهای مبتنی بر شایستگی در آموزش شخصی بحث کنید.")</f>
        <v>در مورد تأثیر یادگیری خودگام و رویکردهای مبتنی بر شایستگی در آموزش شخصی بحث کنید.</v>
      </c>
      <c r="H8390" s="1"/>
      <c r="I8390" s="1"/>
      <c r="J8390" s="1"/>
      <c r="K8390" s="1"/>
      <c r="L8390" s="1"/>
      <c r="M8390" s="1"/>
      <c r="N8390" s="1"/>
      <c r="O8390" s="1"/>
      <c r="P8390" s="1"/>
      <c r="Q8390" s="1"/>
      <c r="R8390" s="1"/>
      <c r="S8390" s="1"/>
      <c r="T8390" s="1"/>
      <c r="U8390" s="1"/>
      <c r="V8390" s="1"/>
      <c r="W8390" s="1"/>
      <c r="X8390" s="1"/>
      <c r="Y8390" s="1"/>
      <c r="Z8390" s="1"/>
      <c r="AA8390" s="1"/>
      <c r="AB8390" s="1"/>
    </row>
    <row r="8391" ht="50.25" customHeight="1">
      <c r="A8391" s="12">
        <v>8387.0</v>
      </c>
      <c r="B8391" s="13" t="s">
        <v>7680</v>
      </c>
      <c r="C8391" s="18" t="s">
        <v>8416</v>
      </c>
      <c r="D8391" s="1"/>
      <c r="E8391" s="1"/>
      <c r="F8391" s="1" t="str">
        <f>IFERROR(__xludf.DUMMYFUNCTION("GOOGLETRANSLATE(B8391, ""en"", ""fa"")
"),"درخواست برای معلمان")</f>
        <v>درخواست برای معلمان</v>
      </c>
      <c r="G8391" s="1" t="str">
        <f>IFERROR(__xludf.DUMMYFUNCTION("GOOGLETRANSLATE(C8391, ""en"", ""fa"")
"),"بینش خود را در مورد استراتژی های موثر برای ارتقای خود ارزیابی و هدف گذاری در دانش آموزان به اشتراک بگذارید.")</f>
        <v>بینش خود را در مورد استراتژی های موثر برای ارتقای خود ارزیابی و هدف گذاری در دانش آموزان به اشتراک بگذارید.</v>
      </c>
      <c r="H8391" s="1"/>
      <c r="I8391" s="1"/>
      <c r="J8391" s="1"/>
      <c r="K8391" s="1"/>
      <c r="L8391" s="1"/>
      <c r="M8391" s="1"/>
      <c r="N8391" s="1"/>
      <c r="O8391" s="1"/>
      <c r="P8391" s="1"/>
      <c r="Q8391" s="1"/>
      <c r="R8391" s="1"/>
      <c r="S8391" s="1"/>
      <c r="T8391" s="1"/>
      <c r="U8391" s="1"/>
      <c r="V8391" s="1"/>
      <c r="W8391" s="1"/>
      <c r="X8391" s="1"/>
      <c r="Y8391" s="1"/>
      <c r="Z8391" s="1"/>
      <c r="AA8391" s="1"/>
      <c r="AB8391" s="1"/>
    </row>
    <row r="8392" ht="50.25" customHeight="1">
      <c r="A8392" s="12">
        <v>8388.0</v>
      </c>
      <c r="B8392" s="13" t="s">
        <v>7680</v>
      </c>
      <c r="C8392" s="18" t="s">
        <v>8417</v>
      </c>
      <c r="D8392" s="1"/>
      <c r="E8392" s="1"/>
      <c r="F8392" s="1" t="str">
        <f>IFERROR(__xludf.DUMMYFUNCTION("GOOGLETRANSLATE(B8392, ""en"", ""fa"")
"),"درخواست برای معلمان")</f>
        <v>درخواست برای معلمان</v>
      </c>
      <c r="G8392" s="1" t="str">
        <f>IFERROR(__xludf.DUMMYFUNCTION("GOOGLETRANSLATE(C8392, ""en"", ""fa"")
"),"کاوش در راه های متمایز کردن آموزش برای پرداختن به زمینه های فرهنگی و زبانی متنوع دانش آموزان.")</f>
        <v>کاوش در راه های متمایز کردن آموزش برای پرداختن به زمینه های فرهنگی و زبانی متنوع دانش آموزان.</v>
      </c>
      <c r="H8392" s="1"/>
      <c r="I8392" s="1"/>
      <c r="J8392" s="1"/>
      <c r="K8392" s="1"/>
      <c r="L8392" s="1"/>
      <c r="M8392" s="1"/>
      <c r="N8392" s="1"/>
      <c r="O8392" s="1"/>
      <c r="P8392" s="1"/>
      <c r="Q8392" s="1"/>
      <c r="R8392" s="1"/>
      <c r="S8392" s="1"/>
      <c r="T8392" s="1"/>
      <c r="U8392" s="1"/>
      <c r="V8392" s="1"/>
      <c r="W8392" s="1"/>
      <c r="X8392" s="1"/>
      <c r="Y8392" s="1"/>
      <c r="Z8392" s="1"/>
      <c r="AA8392" s="1"/>
      <c r="AB8392" s="1"/>
    </row>
    <row r="8393" ht="50.25" customHeight="1">
      <c r="A8393" s="12">
        <v>8389.0</v>
      </c>
      <c r="B8393" s="13" t="s">
        <v>7680</v>
      </c>
      <c r="C8393" s="18" t="s">
        <v>8418</v>
      </c>
      <c r="D8393" s="1"/>
      <c r="E8393" s="1"/>
      <c r="F8393" s="1" t="str">
        <f>IFERROR(__xludf.DUMMYFUNCTION("GOOGLETRANSLATE(B8393, ""en"", ""fa"")
"),"درخواست برای معلمان")</f>
        <v>درخواست برای معلمان</v>
      </c>
      <c r="G8393" s="1" t="str">
        <f>IFERROR(__xludf.DUMMYFUNCTION("GOOGLETRANSLATE(C8393, ""en"", ""fa"")
"),"در مورد نقش تابلوها و منوهای انتخاب دانش آموز در پرورش تجربیات یادگیری شخصی بحث کنید.")</f>
        <v>در مورد نقش تابلوها و منوهای انتخاب دانش آموز در پرورش تجربیات یادگیری شخصی بحث کنید.</v>
      </c>
      <c r="H8393" s="1"/>
      <c r="I8393" s="1"/>
      <c r="J8393" s="1"/>
      <c r="K8393" s="1"/>
      <c r="L8393" s="1"/>
      <c r="M8393" s="1"/>
      <c r="N8393" s="1"/>
      <c r="O8393" s="1"/>
      <c r="P8393" s="1"/>
      <c r="Q8393" s="1"/>
      <c r="R8393" s="1"/>
      <c r="S8393" s="1"/>
      <c r="T8393" s="1"/>
      <c r="U8393" s="1"/>
      <c r="V8393" s="1"/>
      <c r="W8393" s="1"/>
      <c r="X8393" s="1"/>
      <c r="Y8393" s="1"/>
      <c r="Z8393" s="1"/>
      <c r="AA8393" s="1"/>
      <c r="AB8393" s="1"/>
    </row>
    <row r="8394" ht="50.25" customHeight="1">
      <c r="A8394" s="12">
        <v>8390.0</v>
      </c>
      <c r="B8394" s="13" t="s">
        <v>7680</v>
      </c>
      <c r="C8394" s="18" t="s">
        <v>8419</v>
      </c>
      <c r="D8394" s="1"/>
      <c r="E8394" s="1"/>
      <c r="F8394" s="1" t="str">
        <f>IFERROR(__xludf.DUMMYFUNCTION("GOOGLETRANSLATE(B8394, ""en"", ""fa"")
"),"درخواست برای معلمان")</f>
        <v>درخواست برای معلمان</v>
      </c>
      <c r="G8394" s="1" t="str">
        <f>IFERROR(__xludf.DUMMYFUNCTION("GOOGLETRANSLATE(C8394, ""en"", ""fa"")
"),"تجربیات خود را در مورد استراتژی های موفق برای ترکیب یادگیری پروژه محور و مبتنی بر مشکل در آموزش متمایز به اشتراک بگذارید.")</f>
        <v>تجربیات خود را در مورد استراتژی های موفق برای ترکیب یادگیری پروژه محور و مبتنی بر مشکل در آموزش متمایز به اشتراک بگذارید.</v>
      </c>
      <c r="H8394" s="1"/>
      <c r="I8394" s="1"/>
      <c r="J8394" s="1"/>
      <c r="K8394" s="1"/>
      <c r="L8394" s="1"/>
      <c r="M8394" s="1"/>
      <c r="N8394" s="1"/>
      <c r="O8394" s="1"/>
      <c r="P8394" s="1"/>
      <c r="Q8394" s="1"/>
      <c r="R8394" s="1"/>
      <c r="S8394" s="1"/>
      <c r="T8394" s="1"/>
      <c r="U8394" s="1"/>
      <c r="V8394" s="1"/>
      <c r="W8394" s="1"/>
      <c r="X8394" s="1"/>
      <c r="Y8394" s="1"/>
      <c r="Z8394" s="1"/>
      <c r="AA8394" s="1"/>
      <c r="AB8394" s="1"/>
    </row>
    <row r="8395" ht="50.25" customHeight="1">
      <c r="A8395" s="12">
        <v>8391.0</v>
      </c>
      <c r="B8395" s="13" t="s">
        <v>7680</v>
      </c>
      <c r="C8395" s="18" t="s">
        <v>8420</v>
      </c>
      <c r="D8395" s="1"/>
      <c r="E8395" s="1"/>
      <c r="F8395" s="1" t="str">
        <f>IFERROR(__xludf.DUMMYFUNCTION("GOOGLETRANSLATE(B8395, ""en"", ""fa"")
"),"درخواست برای معلمان")</f>
        <v>درخواست برای معلمان</v>
      </c>
      <c r="G8395" s="1" t="str">
        <f>IFERROR(__xludf.DUMMYFUNCTION("GOOGLETRANSLATE(C8395, ""en"", ""fa"")
"),"راه‌هایی برای استفاده از ابزارهای فناوری برای ردیابی پیشرفت فردی و تجزیه و تحلیل داده‌ها را بررسی کنید.")</f>
        <v>راه‌هایی برای استفاده از ابزارهای فناوری برای ردیابی پیشرفت فردی و تجزیه و تحلیل داده‌ها را بررسی کنید.</v>
      </c>
      <c r="H8395" s="1"/>
      <c r="I8395" s="1"/>
      <c r="J8395" s="1"/>
      <c r="K8395" s="1"/>
      <c r="L8395" s="1"/>
      <c r="M8395" s="1"/>
      <c r="N8395" s="1"/>
      <c r="O8395" s="1"/>
      <c r="P8395" s="1"/>
      <c r="Q8395" s="1"/>
      <c r="R8395" s="1"/>
      <c r="S8395" s="1"/>
      <c r="T8395" s="1"/>
      <c r="U8395" s="1"/>
      <c r="V8395" s="1"/>
      <c r="W8395" s="1"/>
      <c r="X8395" s="1"/>
      <c r="Y8395" s="1"/>
      <c r="Z8395" s="1"/>
      <c r="AA8395" s="1"/>
      <c r="AB8395" s="1"/>
    </row>
    <row r="8396" ht="50.25" customHeight="1">
      <c r="A8396" s="12">
        <v>8392.0</v>
      </c>
      <c r="B8396" s="13" t="s">
        <v>7680</v>
      </c>
      <c r="C8396" s="18" t="s">
        <v>8421</v>
      </c>
      <c r="D8396" s="1"/>
      <c r="E8396" s="1"/>
      <c r="F8396" s="1" t="str">
        <f>IFERROR(__xludf.DUMMYFUNCTION("GOOGLETRANSLATE(B8396, ""en"", ""fa"")
"),"درخواست برای معلمان")</f>
        <v>درخواست برای معلمان</v>
      </c>
      <c r="G8396" s="1" t="str">
        <f>IFERROR(__xludf.DUMMYFUNCTION("GOOGLETRANSLATE(C8396, ""en"", ""fa"")
"),"در مورد اهمیت ایجاد یک جامعه کلاس درس حمایتی برای تقویت یادگیری شخصی بحث کنید.")</f>
        <v>در مورد اهمیت ایجاد یک جامعه کلاس درس حمایتی برای تقویت یادگیری شخصی بحث کنید.</v>
      </c>
      <c r="H8396" s="1"/>
      <c r="I8396" s="1"/>
      <c r="J8396" s="1"/>
      <c r="K8396" s="1"/>
      <c r="L8396" s="1"/>
      <c r="M8396" s="1"/>
      <c r="N8396" s="1"/>
      <c r="O8396" s="1"/>
      <c r="P8396" s="1"/>
      <c r="Q8396" s="1"/>
      <c r="R8396" s="1"/>
      <c r="S8396" s="1"/>
      <c r="T8396" s="1"/>
      <c r="U8396" s="1"/>
      <c r="V8396" s="1"/>
      <c r="W8396" s="1"/>
      <c r="X8396" s="1"/>
      <c r="Y8396" s="1"/>
      <c r="Z8396" s="1"/>
      <c r="AA8396" s="1"/>
      <c r="AB8396" s="1"/>
    </row>
    <row r="8397" ht="50.25" customHeight="1">
      <c r="A8397" s="12">
        <v>8393.0</v>
      </c>
      <c r="B8397" s="13" t="s">
        <v>7680</v>
      </c>
      <c r="C8397" s="18" t="s">
        <v>8422</v>
      </c>
      <c r="D8397" s="1"/>
      <c r="E8397" s="1"/>
      <c r="F8397" s="1" t="str">
        <f>IFERROR(__xludf.DUMMYFUNCTION("GOOGLETRANSLATE(B8397, ""en"", ""fa"")
"),"درخواست برای معلمان")</f>
        <v>درخواست برای معلمان</v>
      </c>
      <c r="G8397" s="1" t="str">
        <f>IFERROR(__xludf.DUMMYFUNCTION("GOOGLETRANSLATE(C8397, ""en"", ""fa"")
"),"بینش خود را در مورد استراتژی های موثر برای تمایز آموزش در زمینه های موضوعی خاص (مانند ریاضی، علوم، سواد) به اشتراک بگذارید.")</f>
        <v>بینش خود را در مورد استراتژی های موثر برای تمایز آموزش در زمینه های موضوعی خاص (مانند ریاضی، علوم، سواد) به اشتراک بگذارید.</v>
      </c>
      <c r="H8397" s="1"/>
      <c r="I8397" s="1"/>
      <c r="J8397" s="1"/>
      <c r="K8397" s="1"/>
      <c r="L8397" s="1"/>
      <c r="M8397" s="1"/>
      <c r="N8397" s="1"/>
      <c r="O8397" s="1"/>
      <c r="P8397" s="1"/>
      <c r="Q8397" s="1"/>
      <c r="R8397" s="1"/>
      <c r="S8397" s="1"/>
      <c r="T8397" s="1"/>
      <c r="U8397" s="1"/>
      <c r="V8397" s="1"/>
      <c r="W8397" s="1"/>
      <c r="X8397" s="1"/>
      <c r="Y8397" s="1"/>
      <c r="Z8397" s="1"/>
      <c r="AA8397" s="1"/>
      <c r="AB8397" s="1"/>
    </row>
    <row r="8398" ht="50.25" customHeight="1">
      <c r="A8398" s="12">
        <v>8394.0</v>
      </c>
      <c r="B8398" s="13" t="s">
        <v>7680</v>
      </c>
      <c r="C8398" s="18" t="s">
        <v>8423</v>
      </c>
      <c r="D8398" s="1"/>
      <c r="E8398" s="1"/>
      <c r="F8398" s="1" t="str">
        <f>IFERROR(__xludf.DUMMYFUNCTION("GOOGLETRANSLATE(B8398, ""en"", ""fa"")
"),"درخواست برای معلمان")</f>
        <v>درخواست برای معلمان</v>
      </c>
      <c r="G8398" s="1" t="str">
        <f>IFERROR(__xludf.DUMMYFUNCTION("GOOGLETRANSLATE(C8398, ""en"", ""fa"")
"),"راه‌هایی را برای ترکیب ارتباطات دنیای واقعی و تجربیات یادگیری معتبر در آموزش شخصی‌سازی شده کاوش کنید.")</f>
        <v>راه‌هایی را برای ترکیب ارتباطات دنیای واقعی و تجربیات یادگیری معتبر در آموزش شخصی‌سازی شده کاوش کنید.</v>
      </c>
      <c r="H8398" s="1"/>
      <c r="I8398" s="1"/>
      <c r="J8398" s="1"/>
      <c r="K8398" s="1"/>
      <c r="L8398" s="1"/>
      <c r="M8398" s="1"/>
      <c r="N8398" s="1"/>
      <c r="O8398" s="1"/>
      <c r="P8398" s="1"/>
      <c r="Q8398" s="1"/>
      <c r="R8398" s="1"/>
      <c r="S8398" s="1"/>
      <c r="T8398" s="1"/>
      <c r="U8398" s="1"/>
      <c r="V8398" s="1"/>
      <c r="W8398" s="1"/>
      <c r="X8398" s="1"/>
      <c r="Y8398" s="1"/>
      <c r="Z8398" s="1"/>
      <c r="AA8398" s="1"/>
      <c r="AB8398" s="1"/>
    </row>
    <row r="8399" ht="50.25" customHeight="1">
      <c r="A8399" s="12">
        <v>8395.0</v>
      </c>
      <c r="B8399" s="13" t="s">
        <v>7680</v>
      </c>
      <c r="C8399" s="18" t="s">
        <v>8424</v>
      </c>
      <c r="D8399" s="1"/>
      <c r="E8399" s="1"/>
      <c r="F8399" s="1" t="str">
        <f>IFERROR(__xludf.DUMMYFUNCTION("GOOGLETRANSLATE(B8399, ""en"", ""fa"")
"),"درخواست برای معلمان")</f>
        <v>درخواست برای معلمان</v>
      </c>
      <c r="G8399" s="1" t="str">
        <f>IFERROR(__xludf.DUMMYFUNCTION("GOOGLETRANSLATE(C8399, ""en"", ""fa"")
"),"در مورد تأثیر هدف گذاری و تفکر دانش آموز بر رشد و پیشرفت شخصی بحث کنید.")</f>
        <v>در مورد تأثیر هدف گذاری و تفکر دانش آموز بر رشد و پیشرفت شخصی بحث کنید.</v>
      </c>
      <c r="H8399" s="1"/>
      <c r="I8399" s="1"/>
      <c r="J8399" s="1"/>
      <c r="K8399" s="1"/>
      <c r="L8399" s="1"/>
      <c r="M8399" s="1"/>
      <c r="N8399" s="1"/>
      <c r="O8399" s="1"/>
      <c r="P8399" s="1"/>
      <c r="Q8399" s="1"/>
      <c r="R8399" s="1"/>
      <c r="S8399" s="1"/>
      <c r="T8399" s="1"/>
      <c r="U8399" s="1"/>
      <c r="V8399" s="1"/>
      <c r="W8399" s="1"/>
      <c r="X8399" s="1"/>
      <c r="Y8399" s="1"/>
      <c r="Z8399" s="1"/>
      <c r="AA8399" s="1"/>
      <c r="AB8399" s="1"/>
    </row>
    <row r="8400" ht="50.25" customHeight="1">
      <c r="A8400" s="12">
        <v>8396.0</v>
      </c>
      <c r="B8400" s="13" t="s">
        <v>7680</v>
      </c>
      <c r="C8400" s="18" t="s">
        <v>8425</v>
      </c>
      <c r="D8400" s="1"/>
      <c r="E8400" s="1"/>
      <c r="F8400" s="1" t="str">
        <f>IFERROR(__xludf.DUMMYFUNCTION("GOOGLETRANSLATE(B8400, ""en"", ""fa"")
"),"درخواست برای معلمان")</f>
        <v>درخواست برای معلمان</v>
      </c>
      <c r="G8400" s="1" t="str">
        <f>IFERROR(__xludf.DUMMYFUNCTION("GOOGLETRANSLATE(C8400, ""en"", ""fa"")
"),"تجربیات خود را در مورد استراتژی های موفق برای تمایز آموزش در محیط های یادگیری مجازی و آنلاین به اشتراک بگذارید.")</f>
        <v>تجربیات خود را در مورد استراتژی های موفق برای تمایز آموزش در محیط های یادگیری مجازی و آنلاین به اشتراک بگذارید.</v>
      </c>
      <c r="H8400" s="1"/>
      <c r="I8400" s="1"/>
      <c r="J8400" s="1"/>
      <c r="K8400" s="1"/>
      <c r="L8400" s="1"/>
      <c r="M8400" s="1"/>
      <c r="N8400" s="1"/>
      <c r="O8400" s="1"/>
      <c r="P8400" s="1"/>
      <c r="Q8400" s="1"/>
      <c r="R8400" s="1"/>
      <c r="S8400" s="1"/>
      <c r="T8400" s="1"/>
      <c r="U8400" s="1"/>
      <c r="V8400" s="1"/>
      <c r="W8400" s="1"/>
      <c r="X8400" s="1"/>
      <c r="Y8400" s="1"/>
      <c r="Z8400" s="1"/>
      <c r="AA8400" s="1"/>
      <c r="AB8400" s="1"/>
    </row>
    <row r="8401" ht="50.25" customHeight="1">
      <c r="A8401" s="12">
        <v>8397.0</v>
      </c>
      <c r="B8401" s="13" t="s">
        <v>7680</v>
      </c>
      <c r="C8401" s="18" t="s">
        <v>8426</v>
      </c>
      <c r="D8401" s="1"/>
      <c r="E8401" s="1"/>
      <c r="F8401" s="1" t="str">
        <f>IFERROR(__xludf.DUMMYFUNCTION("GOOGLETRANSLATE(B8401, ""en"", ""fa"")
"),"درخواست برای معلمان")</f>
        <v>درخواست برای معلمان</v>
      </c>
      <c r="G8401" s="1" t="str">
        <f>IFERROR(__xludf.DUMMYFUNCTION("GOOGLETRANSLATE(C8401, ""en"", ""fa"")
"),"راه‌هایی را برای متمایز کردن روش‌های ارزیابی برای تطبیق اولویت‌ها و نقاط قوت یادگیری بررسی کنید.")</f>
        <v>راه‌هایی را برای متمایز کردن روش‌های ارزیابی برای تطبیق اولویت‌ها و نقاط قوت یادگیری بررسی کنید.</v>
      </c>
      <c r="H8401" s="1"/>
      <c r="I8401" s="1"/>
      <c r="J8401" s="1"/>
      <c r="K8401" s="1"/>
      <c r="L8401" s="1"/>
      <c r="M8401" s="1"/>
      <c r="N8401" s="1"/>
      <c r="O8401" s="1"/>
      <c r="P8401" s="1"/>
      <c r="Q8401" s="1"/>
      <c r="R8401" s="1"/>
      <c r="S8401" s="1"/>
      <c r="T8401" s="1"/>
      <c r="U8401" s="1"/>
      <c r="V8401" s="1"/>
      <c r="W8401" s="1"/>
      <c r="X8401" s="1"/>
      <c r="Y8401" s="1"/>
      <c r="Z8401" s="1"/>
      <c r="AA8401" s="1"/>
      <c r="AB8401" s="1"/>
    </row>
    <row r="8402" ht="50.25" customHeight="1">
      <c r="A8402" s="12">
        <v>8398.0</v>
      </c>
      <c r="B8402" s="13" t="s">
        <v>7680</v>
      </c>
      <c r="C8402" s="18" t="s">
        <v>8427</v>
      </c>
      <c r="D8402" s="1"/>
      <c r="E8402" s="1"/>
      <c r="F8402" s="1" t="str">
        <f>IFERROR(__xludf.DUMMYFUNCTION("GOOGLETRANSLATE(B8402, ""en"", ""fa"")
"),"درخواست برای معلمان")</f>
        <v>درخواست برای معلمان</v>
      </c>
      <c r="G8402" s="1" t="str">
        <f>IFERROR(__xludf.DUMMYFUNCTION("GOOGLETRANSLATE(C8402, ""en"", ""fa"")
"),"در مورد نقش کنفرانس های دانشجویی و ارزیابی نمونه کارها در یادگیری شخصی بحث کنید.")</f>
        <v>در مورد نقش کنفرانس های دانشجویی و ارزیابی نمونه کارها در یادگیری شخصی بحث کنید.</v>
      </c>
      <c r="H8402" s="1"/>
      <c r="I8402" s="1"/>
      <c r="J8402" s="1"/>
      <c r="K8402" s="1"/>
      <c r="L8402" s="1"/>
      <c r="M8402" s="1"/>
      <c r="N8402" s="1"/>
      <c r="O8402" s="1"/>
      <c r="P8402" s="1"/>
      <c r="Q8402" s="1"/>
      <c r="R8402" s="1"/>
      <c r="S8402" s="1"/>
      <c r="T8402" s="1"/>
      <c r="U8402" s="1"/>
      <c r="V8402" s="1"/>
      <c r="W8402" s="1"/>
      <c r="X8402" s="1"/>
      <c r="Y8402" s="1"/>
      <c r="Z8402" s="1"/>
      <c r="AA8402" s="1"/>
      <c r="AB8402" s="1"/>
    </row>
    <row r="8403" ht="50.25" customHeight="1">
      <c r="A8403" s="12">
        <v>8399.0</v>
      </c>
      <c r="B8403" s="13" t="s">
        <v>7680</v>
      </c>
      <c r="C8403" s="18" t="s">
        <v>8428</v>
      </c>
      <c r="D8403" s="1"/>
      <c r="E8403" s="1"/>
      <c r="F8403" s="1" t="str">
        <f>IFERROR(__xludf.DUMMYFUNCTION("GOOGLETRANSLATE(B8403, ""en"", ""fa"")
"),"درخواست برای معلمان")</f>
        <v>درخواست برای معلمان</v>
      </c>
      <c r="G8403" s="1" t="str">
        <f>IFERROR(__xludf.DUMMYFUNCTION("GOOGLETRANSLATE(C8403, ""en"", ""fa"")
"),"بینش خود را در مورد استراتژی های موثر برای گنجاندن انتخاب و صدای دانش آموز در طراحی برنامه درسی به اشتراک بگذارید.")</f>
        <v>بینش خود را در مورد استراتژی های موثر برای گنجاندن انتخاب و صدای دانش آموز در طراحی برنامه درسی به اشتراک بگذارید.</v>
      </c>
      <c r="H8403" s="1"/>
      <c r="I8403" s="1"/>
      <c r="J8403" s="1"/>
      <c r="K8403" s="1"/>
      <c r="L8403" s="1"/>
      <c r="M8403" s="1"/>
      <c r="N8403" s="1"/>
      <c r="O8403" s="1"/>
      <c r="P8403" s="1"/>
      <c r="Q8403" s="1"/>
      <c r="R8403" s="1"/>
      <c r="S8403" s="1"/>
      <c r="T8403" s="1"/>
      <c r="U8403" s="1"/>
      <c r="V8403" s="1"/>
      <c r="W8403" s="1"/>
      <c r="X8403" s="1"/>
      <c r="Y8403" s="1"/>
      <c r="Z8403" s="1"/>
      <c r="AA8403" s="1"/>
      <c r="AB8403" s="1"/>
    </row>
    <row r="8404" ht="50.25" customHeight="1">
      <c r="A8404" s="12">
        <v>8400.0</v>
      </c>
      <c r="B8404" s="13" t="s">
        <v>7680</v>
      </c>
      <c r="C8404" s="18" t="s">
        <v>8429</v>
      </c>
      <c r="D8404" s="1"/>
      <c r="E8404" s="1"/>
      <c r="F8404" s="1" t="str">
        <f>IFERROR(__xludf.DUMMYFUNCTION("GOOGLETRANSLATE(B8404, ""en"", ""fa"")
"),"درخواست برای معلمان")</f>
        <v>درخواست برای معلمان</v>
      </c>
      <c r="G8404" s="1" t="str">
        <f>IFERROR(__xludf.DUMMYFUNCTION("GOOGLETRANSLATE(C8404, ""en"", ""fa"")
"),"راه‌هایی را برای تمایز آموزش برای برآوردن نیازهای اجتماعی-عاطفی دانش‌آموزان بررسی کنید.")</f>
        <v>راه‌هایی را برای تمایز آموزش برای برآوردن نیازهای اجتماعی-عاطفی دانش‌آموزان بررسی کنید.</v>
      </c>
      <c r="H8404" s="1"/>
      <c r="I8404" s="1"/>
      <c r="J8404" s="1"/>
      <c r="K8404" s="1"/>
      <c r="L8404" s="1"/>
      <c r="M8404" s="1"/>
      <c r="N8404" s="1"/>
      <c r="O8404" s="1"/>
      <c r="P8404" s="1"/>
      <c r="Q8404" s="1"/>
      <c r="R8404" s="1"/>
      <c r="S8404" s="1"/>
      <c r="T8404" s="1"/>
      <c r="U8404" s="1"/>
      <c r="V8404" s="1"/>
      <c r="W8404" s="1"/>
      <c r="X8404" s="1"/>
      <c r="Y8404" s="1"/>
      <c r="Z8404" s="1"/>
      <c r="AA8404" s="1"/>
      <c r="AB8404" s="1"/>
    </row>
    <row r="8405" ht="50.25" customHeight="1">
      <c r="A8405" s="12">
        <v>8401.0</v>
      </c>
      <c r="B8405" s="13" t="s">
        <v>7680</v>
      </c>
      <c r="C8405" s="18" t="s">
        <v>8430</v>
      </c>
      <c r="D8405" s="1"/>
      <c r="E8405" s="1"/>
      <c r="F8405" s="1" t="str">
        <f>IFERROR(__xludf.DUMMYFUNCTION("GOOGLETRANSLATE(B8405, ""en"", ""fa"")
"),"درخواست برای معلمان")</f>
        <v>درخواست برای معلمان</v>
      </c>
      <c r="G8405" s="1" t="str">
        <f>IFERROR(__xludf.DUMMYFUNCTION("GOOGLETRANSLATE(C8405, ""en"", ""fa"")
"),"در مورد اهمیت ارائه بازخورد به موقع و خاص در محیط های یادگیری شخصی بحث کنید.")</f>
        <v>در مورد اهمیت ارائه بازخورد به موقع و خاص در محیط های یادگیری شخصی بحث کنید.</v>
      </c>
      <c r="H8405" s="1"/>
      <c r="I8405" s="1"/>
      <c r="J8405" s="1"/>
      <c r="K8405" s="1"/>
      <c r="L8405" s="1"/>
      <c r="M8405" s="1"/>
      <c r="N8405" s="1"/>
      <c r="O8405" s="1"/>
      <c r="P8405" s="1"/>
      <c r="Q8405" s="1"/>
      <c r="R8405" s="1"/>
      <c r="S8405" s="1"/>
      <c r="T8405" s="1"/>
      <c r="U8405" s="1"/>
      <c r="V8405" s="1"/>
      <c r="W8405" s="1"/>
      <c r="X8405" s="1"/>
      <c r="Y8405" s="1"/>
      <c r="Z8405" s="1"/>
      <c r="AA8405" s="1"/>
      <c r="AB8405" s="1"/>
    </row>
    <row r="8406" ht="50.25" customHeight="1">
      <c r="A8406" s="12">
        <v>8402.0</v>
      </c>
      <c r="B8406" s="13" t="s">
        <v>7680</v>
      </c>
      <c r="C8406" s="18" t="s">
        <v>8431</v>
      </c>
      <c r="D8406" s="1"/>
      <c r="E8406" s="1"/>
      <c r="F8406" s="1" t="str">
        <f>IFERROR(__xludf.DUMMYFUNCTION("GOOGLETRANSLATE(B8406, ""en"", ""fa"")
"),"درخواست برای معلمان")</f>
        <v>درخواست برای معلمان</v>
      </c>
      <c r="G8406" s="1" t="str">
        <f>IFERROR(__xludf.DUMMYFUNCTION("GOOGLETRANSLATE(C8406, ""en"", ""fa"")
"),"راه‌هایی را برای آموزش راهبردهای مدیریت استرس و اضطراب به دانش‌آموزان بررسی کنید.")</f>
        <v>راه‌هایی را برای آموزش راهبردهای مدیریت استرس و اضطراب به دانش‌آموزان بررسی کنید.</v>
      </c>
      <c r="H8406" s="1"/>
      <c r="I8406" s="1"/>
      <c r="J8406" s="1"/>
      <c r="K8406" s="1"/>
      <c r="L8406" s="1"/>
      <c r="M8406" s="1"/>
      <c r="N8406" s="1"/>
      <c r="O8406" s="1"/>
      <c r="P8406" s="1"/>
      <c r="Q8406" s="1"/>
      <c r="R8406" s="1"/>
      <c r="S8406" s="1"/>
      <c r="T8406" s="1"/>
      <c r="U8406" s="1"/>
      <c r="V8406" s="1"/>
      <c r="W8406" s="1"/>
      <c r="X8406" s="1"/>
      <c r="Y8406" s="1"/>
      <c r="Z8406" s="1"/>
      <c r="AA8406" s="1"/>
      <c r="AB8406" s="1"/>
    </row>
    <row r="8407" ht="50.25" customHeight="1">
      <c r="A8407" s="12">
        <v>8403.0</v>
      </c>
      <c r="B8407" s="13" t="s">
        <v>7680</v>
      </c>
      <c r="C8407" s="18" t="s">
        <v>8432</v>
      </c>
      <c r="D8407" s="1"/>
      <c r="E8407" s="1"/>
      <c r="F8407" s="1" t="str">
        <f>IFERROR(__xludf.DUMMYFUNCTION("GOOGLETRANSLATE(B8407, ""en"", ""fa"")
"),"درخواست برای معلمان")</f>
        <v>درخواست برای معلمان</v>
      </c>
      <c r="G8407" s="1" t="str">
        <f>IFERROR(__xludf.DUMMYFUNCTION("GOOGLETRANSLATE(C8407, ""en"", ""fa"")
"),"در مورد اهمیت ترویج حس هدف و هدف گذاری در دانش آموزان بحث کنید.")</f>
        <v>در مورد اهمیت ترویج حس هدف و هدف گذاری در دانش آموزان بحث کنید.</v>
      </c>
      <c r="H8407" s="1"/>
      <c r="I8407" s="1"/>
      <c r="J8407" s="1"/>
      <c r="K8407" s="1"/>
      <c r="L8407" s="1"/>
      <c r="M8407" s="1"/>
      <c r="N8407" s="1"/>
      <c r="O8407" s="1"/>
      <c r="P8407" s="1"/>
      <c r="Q8407" s="1"/>
      <c r="R8407" s="1"/>
      <c r="S8407" s="1"/>
      <c r="T8407" s="1"/>
      <c r="U8407" s="1"/>
      <c r="V8407" s="1"/>
      <c r="W8407" s="1"/>
      <c r="X8407" s="1"/>
      <c r="Y8407" s="1"/>
      <c r="Z8407" s="1"/>
      <c r="AA8407" s="1"/>
      <c r="AB8407" s="1"/>
    </row>
    <row r="8408" ht="50.25" customHeight="1">
      <c r="A8408" s="12">
        <v>8404.0</v>
      </c>
      <c r="B8408" s="13" t="s">
        <v>7680</v>
      </c>
      <c r="C8408" s="18" t="s">
        <v>8433</v>
      </c>
      <c r="D8408" s="1"/>
      <c r="E8408" s="1"/>
      <c r="F8408" s="1" t="str">
        <f>IFERROR(__xludf.DUMMYFUNCTION("GOOGLETRANSLATE(B8408, ""en"", ""fa"")
"),"درخواست برای معلمان")</f>
        <v>درخواست برای معلمان</v>
      </c>
      <c r="G8408" s="1" t="str">
        <f>IFERROR(__xludf.DUMMYFUNCTION("GOOGLETRANSLATE(C8408, ""en"", ""fa"")
"),"تجربیات خود را در مورد استراتژی های موفق برای پرورش فرهنگ کلاس درس مثبت به اشتراک بگذارید.")</f>
        <v>تجربیات خود را در مورد استراتژی های موفق برای پرورش فرهنگ کلاس درس مثبت به اشتراک بگذارید.</v>
      </c>
      <c r="H8408" s="1"/>
      <c r="I8408" s="1"/>
      <c r="J8408" s="1"/>
      <c r="K8408" s="1"/>
      <c r="L8408" s="1"/>
      <c r="M8408" s="1"/>
      <c r="N8408" s="1"/>
      <c r="O8408" s="1"/>
      <c r="P8408" s="1"/>
      <c r="Q8408" s="1"/>
      <c r="R8408" s="1"/>
      <c r="S8408" s="1"/>
      <c r="T8408" s="1"/>
      <c r="U8408" s="1"/>
      <c r="V8408" s="1"/>
      <c r="W8408" s="1"/>
      <c r="X8408" s="1"/>
      <c r="Y8408" s="1"/>
      <c r="Z8408" s="1"/>
      <c r="AA8408" s="1"/>
      <c r="AB8408" s="1"/>
    </row>
    <row r="8409" ht="50.25" customHeight="1">
      <c r="A8409" s="12">
        <v>8405.0</v>
      </c>
      <c r="B8409" s="13" t="s">
        <v>7680</v>
      </c>
      <c r="C8409" s="18" t="s">
        <v>8434</v>
      </c>
      <c r="D8409" s="1"/>
      <c r="E8409" s="1"/>
      <c r="F8409" s="1" t="str">
        <f>IFERROR(__xludf.DUMMYFUNCTION("GOOGLETRANSLATE(B8409, ""en"", ""fa"")
"),"درخواست برای معلمان")</f>
        <v>درخواست برای معلمان</v>
      </c>
      <c r="G8409" s="1" t="str">
        <f>IFERROR(__xludf.DUMMYFUNCTION("GOOGLETRANSLATE(C8409, ""en"", ""fa"")
"),"راه‌هایی را برای آموزش حل تعارض و مهارت‌های حل مسئله به دانش‌آموزان بررسی کنید.")</f>
        <v>راه‌هایی را برای آموزش حل تعارض و مهارت‌های حل مسئله به دانش‌آموزان بررسی کنید.</v>
      </c>
      <c r="H8409" s="1"/>
      <c r="I8409" s="1"/>
      <c r="J8409" s="1"/>
      <c r="K8409" s="1"/>
      <c r="L8409" s="1"/>
      <c r="M8409" s="1"/>
      <c r="N8409" s="1"/>
      <c r="O8409" s="1"/>
      <c r="P8409" s="1"/>
      <c r="Q8409" s="1"/>
      <c r="R8409" s="1"/>
      <c r="S8409" s="1"/>
      <c r="T8409" s="1"/>
      <c r="U8409" s="1"/>
      <c r="V8409" s="1"/>
      <c r="W8409" s="1"/>
      <c r="X8409" s="1"/>
      <c r="Y8409" s="1"/>
      <c r="Z8409" s="1"/>
      <c r="AA8409" s="1"/>
      <c r="AB8409" s="1"/>
    </row>
    <row r="8410" ht="50.25" customHeight="1">
      <c r="A8410" s="12">
        <v>8406.0</v>
      </c>
      <c r="B8410" s="13" t="s">
        <v>7680</v>
      </c>
      <c r="C8410" s="18" t="s">
        <v>8435</v>
      </c>
      <c r="D8410" s="1"/>
      <c r="E8410" s="1"/>
      <c r="F8410" s="1" t="str">
        <f>IFERROR(__xludf.DUMMYFUNCTION("GOOGLETRANSLATE(B8410, ""en"", ""fa"")
"),"درخواست برای معلمان")</f>
        <v>درخواست برای معلمان</v>
      </c>
      <c r="G8410" s="1" t="str">
        <f>IFERROR(__xludf.DUMMYFUNCTION("GOOGLETRANSLATE(C8410, ""en"", ""fa"")
"),"در مورد تأثیر یادگیری اجتماعی-عاطفی بر روابط و تعاملات اجتماعی دانش آموزان بحث کنید.")</f>
        <v>در مورد تأثیر یادگیری اجتماعی-عاطفی بر روابط و تعاملات اجتماعی دانش آموزان بحث کنید.</v>
      </c>
      <c r="H8410" s="1"/>
      <c r="I8410" s="1"/>
      <c r="J8410" s="1"/>
      <c r="K8410" s="1"/>
      <c r="L8410" s="1"/>
      <c r="M8410" s="1"/>
      <c r="N8410" s="1"/>
      <c r="O8410" s="1"/>
      <c r="P8410" s="1"/>
      <c r="Q8410" s="1"/>
      <c r="R8410" s="1"/>
      <c r="S8410" s="1"/>
      <c r="T8410" s="1"/>
      <c r="U8410" s="1"/>
      <c r="V8410" s="1"/>
      <c r="W8410" s="1"/>
      <c r="X8410" s="1"/>
      <c r="Y8410" s="1"/>
      <c r="Z8410" s="1"/>
      <c r="AA8410" s="1"/>
      <c r="AB8410" s="1"/>
    </row>
    <row r="8411" ht="50.25" customHeight="1">
      <c r="A8411" s="12">
        <v>8407.0</v>
      </c>
      <c r="B8411" s="13" t="s">
        <v>7680</v>
      </c>
      <c r="C8411" s="18" t="s">
        <v>8436</v>
      </c>
      <c r="D8411" s="1"/>
      <c r="E8411" s="1"/>
      <c r="F8411" s="1" t="str">
        <f>IFERROR(__xludf.DUMMYFUNCTION("GOOGLETRANSLATE(B8411, ""en"", ""fa"")
"),"درخواست برای معلمان")</f>
        <v>درخواست برای معلمان</v>
      </c>
      <c r="G8411" s="1" t="str">
        <f>IFERROR(__xludf.DUMMYFUNCTION("GOOGLETRANSLATE(C8411, ""en"", ""fa"")
"),"بینش خود را در مورد استراتژی های موثر برای ترویج دفاع از خود و ابراز وجود به اشتراک بگذارید.")</f>
        <v>بینش خود را در مورد استراتژی های موثر برای ترویج دفاع از خود و ابراز وجود به اشتراک بگذارید.</v>
      </c>
      <c r="H8411" s="1"/>
      <c r="I8411" s="1"/>
      <c r="J8411" s="1"/>
      <c r="K8411" s="1"/>
      <c r="L8411" s="1"/>
      <c r="M8411" s="1"/>
      <c r="N8411" s="1"/>
      <c r="O8411" s="1"/>
      <c r="P8411" s="1"/>
      <c r="Q8411" s="1"/>
      <c r="R8411" s="1"/>
      <c r="S8411" s="1"/>
      <c r="T8411" s="1"/>
      <c r="U8411" s="1"/>
      <c r="V8411" s="1"/>
      <c r="W8411" s="1"/>
      <c r="X8411" s="1"/>
      <c r="Y8411" s="1"/>
      <c r="Z8411" s="1"/>
      <c r="AA8411" s="1"/>
      <c r="AB8411" s="1"/>
    </row>
    <row r="8412" ht="50.25" customHeight="1">
      <c r="A8412" s="12">
        <v>8408.0</v>
      </c>
      <c r="B8412" s="13" t="s">
        <v>7680</v>
      </c>
      <c r="C8412" s="18" t="s">
        <v>8437</v>
      </c>
      <c r="D8412" s="1"/>
      <c r="E8412" s="1"/>
      <c r="F8412" s="1" t="str">
        <f>IFERROR(__xludf.DUMMYFUNCTION("GOOGLETRANSLATE(B8412, ""en"", ""fa"")
"),"درخواست برای معلمان")</f>
        <v>درخواست برای معلمان</v>
      </c>
      <c r="G8412" s="1" t="str">
        <f>IFERROR(__xludf.DUMMYFUNCTION("GOOGLETRANSLATE(C8412, ""en"", ""fa"")
"),"راه هایی را برای آموزش همدلی و همدردی با دیگران به دانش آموزان کاوش کنید.")</f>
        <v>راه هایی را برای آموزش همدلی و همدردی با دیگران به دانش آموزان کاوش کنید.</v>
      </c>
      <c r="H8412" s="1"/>
      <c r="I8412" s="1"/>
      <c r="J8412" s="1"/>
      <c r="K8412" s="1"/>
      <c r="L8412" s="1"/>
      <c r="M8412" s="1"/>
      <c r="N8412" s="1"/>
      <c r="O8412" s="1"/>
      <c r="P8412" s="1"/>
      <c r="Q8412" s="1"/>
      <c r="R8412" s="1"/>
      <c r="S8412" s="1"/>
      <c r="T8412" s="1"/>
      <c r="U8412" s="1"/>
      <c r="V8412" s="1"/>
      <c r="W8412" s="1"/>
      <c r="X8412" s="1"/>
      <c r="Y8412" s="1"/>
      <c r="Z8412" s="1"/>
      <c r="AA8412" s="1"/>
      <c r="AB8412" s="1"/>
    </row>
    <row r="8413" ht="50.25" customHeight="1">
      <c r="A8413" s="12">
        <v>8409.0</v>
      </c>
      <c r="B8413" s="13" t="s">
        <v>7680</v>
      </c>
      <c r="C8413" s="18" t="s">
        <v>8438</v>
      </c>
      <c r="D8413" s="1"/>
      <c r="E8413" s="1"/>
      <c r="F8413" s="1" t="str">
        <f>IFERROR(__xludf.DUMMYFUNCTION("GOOGLETRANSLATE(B8413, ""en"", ""fa"")
"),"درخواست برای معلمان")</f>
        <v>درخواست برای معلمان</v>
      </c>
      <c r="G8413" s="1" t="str">
        <f>IFERROR(__xludf.DUMMYFUNCTION("GOOGLETRANSLATE(C8413, ""en"", ""fa"")
"),"در مورد نقش تأیید و تشویق مثبت در ارتقاء عزت نفس دانش آموزان بحث کنید.")</f>
        <v>در مورد نقش تأیید و تشویق مثبت در ارتقاء عزت نفس دانش آموزان بحث کنید.</v>
      </c>
      <c r="H8413" s="1"/>
      <c r="I8413" s="1"/>
      <c r="J8413" s="1"/>
      <c r="K8413" s="1"/>
      <c r="L8413" s="1"/>
      <c r="M8413" s="1"/>
      <c r="N8413" s="1"/>
      <c r="O8413" s="1"/>
      <c r="P8413" s="1"/>
      <c r="Q8413" s="1"/>
      <c r="R8413" s="1"/>
      <c r="S8413" s="1"/>
      <c r="T8413" s="1"/>
      <c r="U8413" s="1"/>
      <c r="V8413" s="1"/>
      <c r="W8413" s="1"/>
      <c r="X8413" s="1"/>
      <c r="Y8413" s="1"/>
      <c r="Z8413" s="1"/>
      <c r="AA8413" s="1"/>
      <c r="AB8413" s="1"/>
    </row>
    <row r="8414" ht="50.25" customHeight="1">
      <c r="A8414" s="12">
        <v>8410.0</v>
      </c>
      <c r="B8414" s="13" t="s">
        <v>7680</v>
      </c>
      <c r="C8414" s="18" t="s">
        <v>8439</v>
      </c>
      <c r="D8414" s="1"/>
      <c r="E8414" s="1"/>
      <c r="F8414" s="1" t="str">
        <f>IFERROR(__xludf.DUMMYFUNCTION("GOOGLETRANSLATE(B8414, ""en"", ""fa"")
"),"درخواست برای معلمان")</f>
        <v>درخواست برای معلمان</v>
      </c>
      <c r="G8414" s="1" t="str">
        <f>IFERROR(__xludf.DUMMYFUNCTION("GOOGLETRANSLATE(C8414, ""en"", ""fa"")
"),"تجربیات خود را در مورد استراتژی های موفق برای ترویج حس تعلق و پذیرش در میان جمعیت های مختلف دانش آموز به اشتراک بگذارید.")</f>
        <v>تجربیات خود را در مورد استراتژی های موفق برای ترویج حس تعلق و پذیرش در میان جمعیت های مختلف دانش آموز به اشتراک بگذارید.</v>
      </c>
      <c r="H8414" s="1"/>
      <c r="I8414" s="1"/>
      <c r="J8414" s="1"/>
      <c r="K8414" s="1"/>
      <c r="L8414" s="1"/>
      <c r="M8414" s="1"/>
      <c r="N8414" s="1"/>
      <c r="O8414" s="1"/>
      <c r="P8414" s="1"/>
      <c r="Q8414" s="1"/>
      <c r="R8414" s="1"/>
      <c r="S8414" s="1"/>
      <c r="T8414" s="1"/>
      <c r="U8414" s="1"/>
      <c r="V8414" s="1"/>
      <c r="W8414" s="1"/>
      <c r="X8414" s="1"/>
      <c r="Y8414" s="1"/>
      <c r="Z8414" s="1"/>
      <c r="AA8414" s="1"/>
      <c r="AB8414" s="1"/>
    </row>
    <row r="8415" ht="50.25" customHeight="1">
      <c r="A8415" s="12">
        <v>8411.0</v>
      </c>
      <c r="B8415" s="13" t="s">
        <v>7680</v>
      </c>
      <c r="C8415" s="18" t="s">
        <v>8440</v>
      </c>
      <c r="D8415" s="1"/>
      <c r="E8415" s="1"/>
      <c r="F8415" s="1" t="str">
        <f>IFERROR(__xludf.DUMMYFUNCTION("GOOGLETRANSLATE(B8415, ""en"", ""fa"")
"),"درخواست برای معلمان")</f>
        <v>درخواست برای معلمان</v>
      </c>
      <c r="G8415" s="1" t="str">
        <f>IFERROR(__xludf.DUMMYFUNCTION("GOOGLETRANSLATE(C8415, ""en"", ""fa"")
"),"راه‌هایی را برای آموزش راهبردهایی به دانش‌آموزان برای مدیریت احساسات و مدیریت مسالمت‌آمیز درگیری‌ها بررسی کنید.")</f>
        <v>راه‌هایی را برای آموزش راهبردهایی به دانش‌آموزان برای مدیریت احساسات و مدیریت مسالمت‌آمیز درگیری‌ها بررسی کنید.</v>
      </c>
      <c r="H8415" s="1"/>
      <c r="I8415" s="1"/>
      <c r="J8415" s="1"/>
      <c r="K8415" s="1"/>
      <c r="L8415" s="1"/>
      <c r="M8415" s="1"/>
      <c r="N8415" s="1"/>
      <c r="O8415" s="1"/>
      <c r="P8415" s="1"/>
      <c r="Q8415" s="1"/>
      <c r="R8415" s="1"/>
      <c r="S8415" s="1"/>
      <c r="T8415" s="1"/>
      <c r="U8415" s="1"/>
      <c r="V8415" s="1"/>
      <c r="W8415" s="1"/>
      <c r="X8415" s="1"/>
      <c r="Y8415" s="1"/>
      <c r="Z8415" s="1"/>
      <c r="AA8415" s="1"/>
      <c r="AB8415" s="1"/>
    </row>
    <row r="8416" ht="50.25" customHeight="1">
      <c r="A8416" s="12">
        <v>8412.0</v>
      </c>
      <c r="B8416" s="13" t="s">
        <v>7680</v>
      </c>
      <c r="C8416" s="18" t="s">
        <v>8441</v>
      </c>
      <c r="D8416" s="1"/>
      <c r="E8416" s="1"/>
      <c r="F8416" s="1" t="str">
        <f>IFERROR(__xludf.DUMMYFUNCTION("GOOGLETRANSLATE(B8416, ""en"", ""fa"")
"),"درخواست برای معلمان")</f>
        <v>درخواست برای معلمان</v>
      </c>
      <c r="G8416" s="1" t="str">
        <f>IFERROR(__xludf.DUMMYFUNCTION("GOOGLETRANSLATE(C8416, ""en"", ""fa"")
"),"در مورد اهمیت ایجاد فضای مثبت کلاس درس برای یادگیری اجتماعی-عاطفی بحث کنید.")</f>
        <v>در مورد اهمیت ایجاد فضای مثبت کلاس درس برای یادگیری اجتماعی-عاطفی بحث کنید.</v>
      </c>
      <c r="H8416" s="1"/>
      <c r="I8416" s="1"/>
      <c r="J8416" s="1"/>
      <c r="K8416" s="1"/>
      <c r="L8416" s="1"/>
      <c r="M8416" s="1"/>
      <c r="N8416" s="1"/>
      <c r="O8416" s="1"/>
      <c r="P8416" s="1"/>
      <c r="Q8416" s="1"/>
      <c r="R8416" s="1"/>
      <c r="S8416" s="1"/>
      <c r="T8416" s="1"/>
      <c r="U8416" s="1"/>
      <c r="V8416" s="1"/>
      <c r="W8416" s="1"/>
      <c r="X8416" s="1"/>
      <c r="Y8416" s="1"/>
      <c r="Z8416" s="1"/>
      <c r="AA8416" s="1"/>
      <c r="AB8416" s="1"/>
    </row>
    <row r="8417" ht="50.25" customHeight="1">
      <c r="A8417" s="12">
        <v>8413.0</v>
      </c>
      <c r="B8417" s="13" t="s">
        <v>7680</v>
      </c>
      <c r="C8417" s="18" t="s">
        <v>8442</v>
      </c>
      <c r="D8417" s="1"/>
      <c r="E8417" s="1"/>
      <c r="F8417" s="1" t="str">
        <f>IFERROR(__xludf.DUMMYFUNCTION("GOOGLETRANSLATE(B8417, ""en"", ""fa"")
"),"درخواست برای معلمان")</f>
        <v>درخواست برای معلمان</v>
      </c>
      <c r="G8417" s="1" t="str">
        <f>IFERROR(__xludf.DUMMYFUNCTION("GOOGLETRANSLATE(C8417, ""en"", ""fa"")
"),"بینش خود را در مورد راهبردهای مؤثر برای آموزش اهمیت خودمراقبتی و رفاه به دانش آموزان به اشتراک بگذارید.")</f>
        <v>بینش خود را در مورد راهبردهای مؤثر برای آموزش اهمیت خودمراقبتی و رفاه به دانش آموزان به اشتراک بگذارید.</v>
      </c>
      <c r="H8417" s="1"/>
      <c r="I8417" s="1"/>
      <c r="J8417" s="1"/>
      <c r="K8417" s="1"/>
      <c r="L8417" s="1"/>
      <c r="M8417" s="1"/>
      <c r="N8417" s="1"/>
      <c r="O8417" s="1"/>
      <c r="P8417" s="1"/>
      <c r="Q8417" s="1"/>
      <c r="R8417" s="1"/>
      <c r="S8417" s="1"/>
      <c r="T8417" s="1"/>
      <c r="U8417" s="1"/>
      <c r="V8417" s="1"/>
      <c r="W8417" s="1"/>
      <c r="X8417" s="1"/>
      <c r="Y8417" s="1"/>
      <c r="Z8417" s="1"/>
      <c r="AA8417" s="1"/>
      <c r="AB8417" s="1"/>
    </row>
    <row r="8418" ht="50.25" customHeight="1">
      <c r="A8418" s="12">
        <v>8414.0</v>
      </c>
      <c r="B8418" s="13" t="s">
        <v>7680</v>
      </c>
      <c r="C8418" s="18" t="s">
        <v>8443</v>
      </c>
      <c r="D8418" s="1"/>
      <c r="E8418" s="1"/>
      <c r="F8418" s="1" t="str">
        <f>IFERROR(__xludf.DUMMYFUNCTION("GOOGLETRANSLATE(B8418, ""en"", ""fa"")
"),"درخواست برای معلمان")</f>
        <v>درخواست برای معلمان</v>
      </c>
      <c r="G8418" s="1" t="str">
        <f>IFERROR(__xludf.DUMMYFUNCTION("GOOGLETRANSLATE(C8418, ""en"", ""fa"")
"),"راه‌هایی را برای ادغام یادگیری اجتماعی-عاطفی در محیط‌های یادگیری مجازی یا آنلاین بررسی کنید.")</f>
        <v>راه‌هایی را برای ادغام یادگیری اجتماعی-عاطفی در محیط‌های یادگیری مجازی یا آنلاین بررسی کنید.</v>
      </c>
      <c r="H8418" s="1"/>
      <c r="I8418" s="1"/>
      <c r="J8418" s="1"/>
      <c r="K8418" s="1"/>
      <c r="L8418" s="1"/>
      <c r="M8418" s="1"/>
      <c r="N8418" s="1"/>
      <c r="O8418" s="1"/>
      <c r="P8418" s="1"/>
      <c r="Q8418" s="1"/>
      <c r="R8418" s="1"/>
      <c r="S8418" s="1"/>
      <c r="T8418" s="1"/>
      <c r="U8418" s="1"/>
      <c r="V8418" s="1"/>
      <c r="W8418" s="1"/>
      <c r="X8418" s="1"/>
      <c r="Y8418" s="1"/>
      <c r="Z8418" s="1"/>
      <c r="AA8418" s="1"/>
      <c r="AB8418" s="1"/>
    </row>
    <row r="8419" ht="50.25" customHeight="1">
      <c r="A8419" s="12">
        <v>8415.0</v>
      </c>
      <c r="B8419" s="13" t="s">
        <v>7680</v>
      </c>
      <c r="C8419" s="18" t="s">
        <v>8444</v>
      </c>
      <c r="D8419" s="1"/>
      <c r="E8419" s="1"/>
      <c r="F8419" s="1" t="str">
        <f>IFERROR(__xludf.DUMMYFUNCTION("GOOGLETRANSLATE(B8419, ""en"", ""fa"")
"),"درخواست برای معلمان")</f>
        <v>درخواست برای معلمان</v>
      </c>
      <c r="G8419" s="1" t="str">
        <f>IFERROR(__xludf.DUMMYFUNCTION("GOOGLETRANSLATE(C8419, ""en"", ""fa"")
"),"در مورد تأثیر یادگیری اجتماعی-عاطفی بر سلامت روانی و تاب آوری دانش آموزان بحث کنید.")</f>
        <v>در مورد تأثیر یادگیری اجتماعی-عاطفی بر سلامت روانی و تاب آوری دانش آموزان بحث کنید.</v>
      </c>
      <c r="H8419" s="1"/>
      <c r="I8419" s="1"/>
      <c r="J8419" s="1"/>
      <c r="K8419" s="1"/>
      <c r="L8419" s="1"/>
      <c r="M8419" s="1"/>
      <c r="N8419" s="1"/>
      <c r="O8419" s="1"/>
      <c r="P8419" s="1"/>
      <c r="Q8419" s="1"/>
      <c r="R8419" s="1"/>
      <c r="S8419" s="1"/>
      <c r="T8419" s="1"/>
      <c r="U8419" s="1"/>
      <c r="V8419" s="1"/>
      <c r="W8419" s="1"/>
      <c r="X8419" s="1"/>
      <c r="Y8419" s="1"/>
      <c r="Z8419" s="1"/>
      <c r="AA8419" s="1"/>
      <c r="AB8419" s="1"/>
    </row>
    <row r="8420" ht="50.25" customHeight="1">
      <c r="A8420" s="12">
        <v>8416.0</v>
      </c>
      <c r="B8420" s="13" t="s">
        <v>7680</v>
      </c>
      <c r="C8420" s="18" t="s">
        <v>8445</v>
      </c>
      <c r="D8420" s="1"/>
      <c r="E8420" s="1"/>
      <c r="F8420" s="1" t="str">
        <f>IFERROR(__xludf.DUMMYFUNCTION("GOOGLETRANSLATE(B8420, ""en"", ""fa"")
"),"درخواست برای معلمان")</f>
        <v>درخواست برای معلمان</v>
      </c>
      <c r="G8420" s="1" t="str">
        <f>IFERROR(__xludf.DUMMYFUNCTION("GOOGLETRANSLATE(C8420, ""en"", ""fa"")
"),"تجربیات خود را در مورد استراتژی های موفق برای تقویت روابط مثبت با همسالان و همکاری به اشتراک بگذارید.")</f>
        <v>تجربیات خود را در مورد استراتژی های موفق برای تقویت روابط مثبت با همسالان و همکاری به اشتراک بگذارید.</v>
      </c>
      <c r="H8420" s="1"/>
      <c r="I8420" s="1"/>
      <c r="J8420" s="1"/>
      <c r="K8420" s="1"/>
      <c r="L8420" s="1"/>
      <c r="M8420" s="1"/>
      <c r="N8420" s="1"/>
      <c r="O8420" s="1"/>
      <c r="P8420" s="1"/>
      <c r="Q8420" s="1"/>
      <c r="R8420" s="1"/>
      <c r="S8420" s="1"/>
      <c r="T8420" s="1"/>
      <c r="U8420" s="1"/>
      <c r="V8420" s="1"/>
      <c r="W8420" s="1"/>
      <c r="X8420" s="1"/>
      <c r="Y8420" s="1"/>
      <c r="Z8420" s="1"/>
      <c r="AA8420" s="1"/>
      <c r="AB8420" s="1"/>
    </row>
    <row r="8421" ht="50.25" customHeight="1">
      <c r="A8421" s="12">
        <v>8417.0</v>
      </c>
      <c r="B8421" s="13" t="s">
        <v>7680</v>
      </c>
      <c r="C8421" s="18" t="s">
        <v>8446</v>
      </c>
      <c r="D8421" s="1"/>
      <c r="E8421" s="1"/>
      <c r="F8421" s="1" t="str">
        <f>IFERROR(__xludf.DUMMYFUNCTION("GOOGLETRANSLATE(B8421, ""en"", ""fa"")
"),"درخواست برای معلمان")</f>
        <v>درخواست برای معلمان</v>
      </c>
      <c r="G8421" s="1" t="str">
        <f>IFERROR(__xludf.DUMMYFUNCTION("GOOGLETRANSLATE(C8421, ""en"", ""fa"")
"),"راه‌هایی را برای آموزش همدلی و درک دانش‌آموزان نسبت به افراد با فرهنگ‌ها و پیشینه‌های مختلف بررسی کنید.")</f>
        <v>راه‌هایی را برای آموزش همدلی و درک دانش‌آموزان نسبت به افراد با فرهنگ‌ها و پیشینه‌های مختلف بررسی کنید.</v>
      </c>
      <c r="H8421" s="1"/>
      <c r="I8421" s="1"/>
      <c r="J8421" s="1"/>
      <c r="K8421" s="1"/>
      <c r="L8421" s="1"/>
      <c r="M8421" s="1"/>
      <c r="N8421" s="1"/>
      <c r="O8421" s="1"/>
      <c r="P8421" s="1"/>
      <c r="Q8421" s="1"/>
      <c r="R8421" s="1"/>
      <c r="S8421" s="1"/>
      <c r="T8421" s="1"/>
      <c r="U8421" s="1"/>
      <c r="V8421" s="1"/>
      <c r="W8421" s="1"/>
      <c r="X8421" s="1"/>
      <c r="Y8421" s="1"/>
      <c r="Z8421" s="1"/>
      <c r="AA8421" s="1"/>
      <c r="AB8421" s="1"/>
    </row>
    <row r="8422" ht="50.25" customHeight="1">
      <c r="A8422" s="12">
        <v>8418.0</v>
      </c>
      <c r="B8422" s="13" t="s">
        <v>7680</v>
      </c>
      <c r="C8422" s="18" t="s">
        <v>8447</v>
      </c>
      <c r="D8422" s="1"/>
      <c r="E8422" s="1"/>
      <c r="F8422" s="1" t="str">
        <f>IFERROR(__xludf.DUMMYFUNCTION("GOOGLETRANSLATE(B8422, ""en"", ""fa"")
"),"درخواست برای معلمان")</f>
        <v>درخواست برای معلمان</v>
      </c>
      <c r="G8422" s="1" t="str">
        <f>IFERROR(__xludf.DUMMYFUNCTION("GOOGLETRANSLATE(C8422, ""en"", ""fa"")
"),"در مورد نقش خود تأملی و هدف گذاری در ارتقای رشد شخصی دانش آموزان بحث کنید.")</f>
        <v>در مورد نقش خود تأملی و هدف گذاری در ارتقای رشد شخصی دانش آموزان بحث کنید.</v>
      </c>
      <c r="H8422" s="1"/>
      <c r="I8422" s="1"/>
      <c r="J8422" s="1"/>
      <c r="K8422" s="1"/>
      <c r="L8422" s="1"/>
      <c r="M8422" s="1"/>
      <c r="N8422" s="1"/>
      <c r="O8422" s="1"/>
      <c r="P8422" s="1"/>
      <c r="Q8422" s="1"/>
      <c r="R8422" s="1"/>
      <c r="S8422" s="1"/>
      <c r="T8422" s="1"/>
      <c r="U8422" s="1"/>
      <c r="V8422" s="1"/>
      <c r="W8422" s="1"/>
      <c r="X8422" s="1"/>
      <c r="Y8422" s="1"/>
      <c r="Z8422" s="1"/>
      <c r="AA8422" s="1"/>
      <c r="AB8422" s="1"/>
    </row>
    <row r="8423" ht="50.25" customHeight="1">
      <c r="A8423" s="12">
        <v>8419.0</v>
      </c>
      <c r="B8423" s="13" t="s">
        <v>7680</v>
      </c>
      <c r="C8423" s="18" t="s">
        <v>8448</v>
      </c>
      <c r="D8423" s="1"/>
      <c r="E8423" s="1"/>
      <c r="F8423" s="1" t="str">
        <f>IFERROR(__xludf.DUMMYFUNCTION("GOOGLETRANSLATE(B8423, ""en"", ""fa"")
"),"درخواست برای معلمان")</f>
        <v>درخواست برای معلمان</v>
      </c>
      <c r="G8423" s="1" t="str">
        <f>IFERROR(__xludf.DUMMYFUNCTION("GOOGLETRANSLATE(C8423, ""en"", ""fa"")
"),"بینش خود را در مورد استراتژی های موثر برای ارتقای شهروندی دیجیتال مسئول و ایمنی آنلاین به اشتراک بگذارید.")</f>
        <v>بینش خود را در مورد استراتژی های موثر برای ارتقای شهروندی دیجیتال مسئول و ایمنی آنلاین به اشتراک بگذارید.</v>
      </c>
      <c r="H8423" s="1"/>
      <c r="I8423" s="1"/>
      <c r="J8423" s="1"/>
      <c r="K8423" s="1"/>
      <c r="L8423" s="1"/>
      <c r="M8423" s="1"/>
      <c r="N8423" s="1"/>
      <c r="O8423" s="1"/>
      <c r="P8423" s="1"/>
      <c r="Q8423" s="1"/>
      <c r="R8423" s="1"/>
      <c r="S8423" s="1"/>
      <c r="T8423" s="1"/>
      <c r="U8423" s="1"/>
      <c r="V8423" s="1"/>
      <c r="W8423" s="1"/>
      <c r="X8423" s="1"/>
      <c r="Y8423" s="1"/>
      <c r="Z8423" s="1"/>
      <c r="AA8423" s="1"/>
      <c r="AB8423" s="1"/>
    </row>
    <row r="8424" ht="50.25" customHeight="1">
      <c r="A8424" s="12">
        <v>8420.0</v>
      </c>
      <c r="B8424" s="13" t="s">
        <v>7680</v>
      </c>
      <c r="C8424" s="18" t="s">
        <v>8449</v>
      </c>
      <c r="D8424" s="1"/>
      <c r="E8424" s="1"/>
      <c r="F8424" s="1" t="str">
        <f>IFERROR(__xludf.DUMMYFUNCTION("GOOGLETRANSLATE(B8424, ""en"", ""fa"")
"),"درخواست برای معلمان")</f>
        <v>درخواست برای معلمان</v>
      </c>
      <c r="G8424" s="1" t="str">
        <f>IFERROR(__xludf.DUMMYFUNCTION("GOOGLETRANSLATE(C8424, ""en"", ""fa"")
"),"راه‌هایی را برای آموزش مهارت‌های حل تعارض و اهمیت گوش دادن فعال به دانش‌آموزان بررسی کنید.")</f>
        <v>راه‌هایی را برای آموزش مهارت‌های حل تعارض و اهمیت گوش دادن فعال به دانش‌آموزان بررسی کنید.</v>
      </c>
      <c r="H8424" s="1"/>
      <c r="I8424" s="1"/>
      <c r="J8424" s="1"/>
      <c r="K8424" s="1"/>
      <c r="L8424" s="1"/>
      <c r="M8424" s="1"/>
      <c r="N8424" s="1"/>
      <c r="O8424" s="1"/>
      <c r="P8424" s="1"/>
      <c r="Q8424" s="1"/>
      <c r="R8424" s="1"/>
      <c r="S8424" s="1"/>
      <c r="T8424" s="1"/>
      <c r="U8424" s="1"/>
      <c r="V8424" s="1"/>
      <c r="W8424" s="1"/>
      <c r="X8424" s="1"/>
      <c r="Y8424" s="1"/>
      <c r="Z8424" s="1"/>
      <c r="AA8424" s="1"/>
      <c r="AB8424" s="1"/>
    </row>
    <row r="8425" ht="50.25" customHeight="1">
      <c r="A8425" s="12">
        <v>8421.0</v>
      </c>
      <c r="B8425" s="13" t="s">
        <v>7680</v>
      </c>
      <c r="C8425" s="18" t="s">
        <v>8450</v>
      </c>
      <c r="D8425" s="1"/>
      <c r="E8425" s="1"/>
      <c r="F8425" s="1" t="str">
        <f>IFERROR(__xludf.DUMMYFUNCTION("GOOGLETRANSLATE(B8425, ""en"", ""fa"")
"),"درخواست برای معلمان")</f>
        <v>درخواست برای معلمان</v>
      </c>
      <c r="G8425" s="1" t="str">
        <f>IFERROR(__xludf.DUMMYFUNCTION("GOOGLETRANSLATE(C8425, ""en"", ""fa"")
"),"در مورد اهمیت آموزش هوش هیجانی و مهارت های خود مدیریتی به دانش آموزان بحث کنید.")</f>
        <v>در مورد اهمیت آموزش هوش هیجانی و مهارت های خود مدیریتی به دانش آموزان بحث کنید.</v>
      </c>
      <c r="H8425" s="1"/>
      <c r="I8425" s="1"/>
      <c r="J8425" s="1"/>
      <c r="K8425" s="1"/>
      <c r="L8425" s="1"/>
      <c r="M8425" s="1"/>
      <c r="N8425" s="1"/>
      <c r="O8425" s="1"/>
      <c r="P8425" s="1"/>
      <c r="Q8425" s="1"/>
      <c r="R8425" s="1"/>
      <c r="S8425" s="1"/>
      <c r="T8425" s="1"/>
      <c r="U8425" s="1"/>
      <c r="V8425" s="1"/>
      <c r="W8425" s="1"/>
      <c r="X8425" s="1"/>
      <c r="Y8425" s="1"/>
      <c r="Z8425" s="1"/>
      <c r="AA8425" s="1"/>
      <c r="AB8425" s="1"/>
    </row>
    <row r="8426" ht="50.25" customHeight="1">
      <c r="A8426" s="12">
        <v>8422.0</v>
      </c>
      <c r="B8426" s="13" t="s">
        <v>7680</v>
      </c>
      <c r="C8426" s="18" t="s">
        <v>8451</v>
      </c>
      <c r="D8426" s="1"/>
      <c r="E8426" s="1"/>
      <c r="F8426" s="1" t="str">
        <f>IFERROR(__xludf.DUMMYFUNCTION("GOOGLETRANSLATE(B8426, ""en"", ""fa"")
"),"درخواست برای معلمان")</f>
        <v>درخواست برای معلمان</v>
      </c>
      <c r="G8426" s="1" t="str">
        <f>IFERROR(__xludf.DUMMYFUNCTION("GOOGLETRANSLATE(C8426, ""en"", ""fa"")
"),"تجارب خود را در مورد استراتژی های موفق برای ترویج جو کلاسی مثبت که از SEL پشتیبانی می کند، به اشتراک بگذارید.")</f>
        <v>تجارب خود را در مورد استراتژی های موفق برای ترویج جو کلاسی مثبت که از SEL پشتیبانی می کند، به اشتراک بگذارید.</v>
      </c>
      <c r="H8426" s="1"/>
      <c r="I8426" s="1"/>
      <c r="J8426" s="1"/>
      <c r="K8426" s="1"/>
      <c r="L8426" s="1"/>
      <c r="M8426" s="1"/>
      <c r="N8426" s="1"/>
      <c r="O8426" s="1"/>
      <c r="P8426" s="1"/>
      <c r="Q8426" s="1"/>
      <c r="R8426" s="1"/>
      <c r="S8426" s="1"/>
      <c r="T8426" s="1"/>
      <c r="U8426" s="1"/>
      <c r="V8426" s="1"/>
      <c r="W8426" s="1"/>
      <c r="X8426" s="1"/>
      <c r="Y8426" s="1"/>
      <c r="Z8426" s="1"/>
      <c r="AA8426" s="1"/>
      <c r="AB8426" s="1"/>
    </row>
    <row r="8427" ht="50.25" customHeight="1">
      <c r="A8427" s="12">
        <v>8423.0</v>
      </c>
      <c r="B8427" s="13" t="s">
        <v>7680</v>
      </c>
      <c r="C8427" s="18" t="s">
        <v>8452</v>
      </c>
      <c r="D8427" s="1"/>
      <c r="E8427" s="1"/>
      <c r="F8427" s="1" t="str">
        <f>IFERROR(__xludf.DUMMYFUNCTION("GOOGLETRANSLATE(B8427, ""en"", ""fa"")
"),"درخواست برای معلمان")</f>
        <v>درخواست برای معلمان</v>
      </c>
      <c r="G8427" s="1" t="str">
        <f>IFERROR(__xludf.DUMMYFUNCTION("GOOGLETRANSLATE(C8427, ""en"", ""fa"")
"),"راه‌هایی را برای ادغام SEL در هنر و فعالیت‌های بیان خلاق کاوش کنید.")</f>
        <v>راه‌هایی را برای ادغام SEL در هنر و فعالیت‌های بیان خلاق کاوش کنید.</v>
      </c>
      <c r="H8427" s="1"/>
      <c r="I8427" s="1"/>
      <c r="J8427" s="1"/>
      <c r="K8427" s="1"/>
      <c r="L8427" s="1"/>
      <c r="M8427" s="1"/>
      <c r="N8427" s="1"/>
      <c r="O8427" s="1"/>
      <c r="P8427" s="1"/>
      <c r="Q8427" s="1"/>
      <c r="R8427" s="1"/>
      <c r="S8427" s="1"/>
      <c r="T8427" s="1"/>
      <c r="U8427" s="1"/>
      <c r="V8427" s="1"/>
      <c r="W8427" s="1"/>
      <c r="X8427" s="1"/>
      <c r="Y8427" s="1"/>
      <c r="Z8427" s="1"/>
      <c r="AA8427" s="1"/>
      <c r="AB8427" s="1"/>
    </row>
    <row r="8428" ht="50.25" customHeight="1">
      <c r="A8428" s="12">
        <v>8424.0</v>
      </c>
      <c r="B8428" s="13" t="s">
        <v>7680</v>
      </c>
      <c r="C8428" s="18" t="s">
        <v>8453</v>
      </c>
      <c r="D8428" s="1"/>
      <c r="E8428" s="1"/>
      <c r="F8428" s="1" t="str">
        <f>IFERROR(__xludf.DUMMYFUNCTION("GOOGLETRANSLATE(B8428, ""en"", ""fa"")
"),"درخواست برای معلمان")</f>
        <v>درخواست برای معلمان</v>
      </c>
      <c r="G8428" s="1" t="str">
        <f>IFERROR(__xludf.DUMMYFUNCTION("GOOGLETRANSLATE(C8428, ""en"", ""fa"")
"),"درباره تأثیر SEL بر مهارت‌های اجتماعی و توانایی دانش‌آموزان برای هدایت روابط با همسالان بحث کنید.")</f>
        <v>درباره تأثیر SEL بر مهارت‌های اجتماعی و توانایی دانش‌آموزان برای هدایت روابط با همسالان بحث کنید.</v>
      </c>
      <c r="H8428" s="1"/>
      <c r="I8428" s="1"/>
      <c r="J8428" s="1"/>
      <c r="K8428" s="1"/>
      <c r="L8428" s="1"/>
      <c r="M8428" s="1"/>
      <c r="N8428" s="1"/>
      <c r="O8428" s="1"/>
      <c r="P8428" s="1"/>
      <c r="Q8428" s="1"/>
      <c r="R8428" s="1"/>
      <c r="S8428" s="1"/>
      <c r="T8428" s="1"/>
      <c r="U8428" s="1"/>
      <c r="V8428" s="1"/>
      <c r="W8428" s="1"/>
      <c r="X8428" s="1"/>
      <c r="Y8428" s="1"/>
      <c r="Z8428" s="1"/>
      <c r="AA8428" s="1"/>
      <c r="AB8428" s="1"/>
    </row>
    <row r="8429" ht="50.25" customHeight="1">
      <c r="A8429" s="12">
        <v>8425.0</v>
      </c>
      <c r="B8429" s="13" t="s">
        <v>7680</v>
      </c>
      <c r="C8429" s="18" t="s">
        <v>8454</v>
      </c>
      <c r="D8429" s="1"/>
      <c r="E8429" s="1"/>
      <c r="F8429" s="1" t="str">
        <f>IFERROR(__xludf.DUMMYFUNCTION("GOOGLETRANSLATE(B8429, ""en"", ""fa"")
"),"درخواست برای معلمان")</f>
        <v>درخواست برای معلمان</v>
      </c>
      <c r="G8429" s="1" t="str">
        <f>IFERROR(__xludf.DUMMYFUNCTION("GOOGLETRANSLATE(C8429, ""en"", ""fa"")
"),"بینش خود را در مورد استراتژی های موثر برای ترویج حس همدلی و احترام به تنوع به اشتراک بگذارید.")</f>
        <v>بینش خود را در مورد استراتژی های موثر برای ترویج حس همدلی و احترام به تنوع به اشتراک بگذارید.</v>
      </c>
      <c r="H8429" s="1"/>
      <c r="I8429" s="1"/>
      <c r="J8429" s="1"/>
      <c r="K8429" s="1"/>
      <c r="L8429" s="1"/>
      <c r="M8429" s="1"/>
      <c r="N8429" s="1"/>
      <c r="O8429" s="1"/>
      <c r="P8429" s="1"/>
      <c r="Q8429" s="1"/>
      <c r="R8429" s="1"/>
      <c r="S8429" s="1"/>
      <c r="T8429" s="1"/>
      <c r="U8429" s="1"/>
      <c r="V8429" s="1"/>
      <c r="W8429" s="1"/>
      <c r="X8429" s="1"/>
      <c r="Y8429" s="1"/>
      <c r="Z8429" s="1"/>
      <c r="AA8429" s="1"/>
      <c r="AB8429" s="1"/>
    </row>
    <row r="8430" ht="50.25" customHeight="1">
      <c r="A8430" s="12">
        <v>8426.0</v>
      </c>
      <c r="B8430" s="13" t="s">
        <v>7680</v>
      </c>
      <c r="C8430" s="18" t="s">
        <v>8455</v>
      </c>
      <c r="D8430" s="1"/>
      <c r="E8430" s="1"/>
      <c r="F8430" s="1" t="str">
        <f>IFERROR(__xludf.DUMMYFUNCTION("GOOGLETRANSLATE(B8430, ""en"", ""fa"")
"),"درخواست برای معلمان")</f>
        <v>درخواست برای معلمان</v>
      </c>
      <c r="G8430" s="1" t="str">
        <f>IFERROR(__xludf.DUMMYFUNCTION("GOOGLETRANSLATE(C8430, ""en"", ""fa"")
"),"راه‌هایی را برای آموزش راهبردهای مدیریت استرس و ایجاد تاب‌آوری به دانش‌آموزان بررسی کنید.")</f>
        <v>راه‌هایی را برای آموزش راهبردهای مدیریت استرس و ایجاد تاب‌آوری به دانش‌آموزان بررسی کنید.</v>
      </c>
      <c r="H8430" s="1"/>
      <c r="I8430" s="1"/>
      <c r="J8430" s="1"/>
      <c r="K8430" s="1"/>
      <c r="L8430" s="1"/>
      <c r="M8430" s="1"/>
      <c r="N8430" s="1"/>
      <c r="O8430" s="1"/>
      <c r="P8430" s="1"/>
      <c r="Q8430" s="1"/>
      <c r="R8430" s="1"/>
      <c r="S8430" s="1"/>
      <c r="T8430" s="1"/>
      <c r="U8430" s="1"/>
      <c r="V8430" s="1"/>
      <c r="W8430" s="1"/>
      <c r="X8430" s="1"/>
      <c r="Y8430" s="1"/>
      <c r="Z8430" s="1"/>
      <c r="AA8430" s="1"/>
      <c r="AB8430" s="1"/>
    </row>
    <row r="8431" ht="50.25" customHeight="1">
      <c r="A8431" s="12">
        <v>8427.0</v>
      </c>
      <c r="B8431" s="13" t="s">
        <v>7680</v>
      </c>
      <c r="C8431" s="18" t="s">
        <v>8456</v>
      </c>
      <c r="D8431" s="1"/>
      <c r="E8431" s="1"/>
      <c r="F8431" s="1" t="str">
        <f>IFERROR(__xludf.DUMMYFUNCTION("GOOGLETRANSLATE(B8431, ""en"", ""fa"")
"),"درخواست برای معلمان")</f>
        <v>درخواست برای معلمان</v>
      </c>
      <c r="G8431" s="1" t="str">
        <f>IFERROR(__xludf.DUMMYFUNCTION("GOOGLETRANSLATE(C8431, ""en"", ""fa"")
"),"در مورد نقش یادگیری اجتماعی-عاطفی در پرورش فرهنگ مثبت مدرسه بحث کنید.")</f>
        <v>در مورد نقش یادگیری اجتماعی-عاطفی در پرورش فرهنگ مثبت مدرسه بحث کنید.</v>
      </c>
      <c r="H8431" s="1"/>
      <c r="I8431" s="1"/>
      <c r="J8431" s="1"/>
      <c r="K8431" s="1"/>
      <c r="L8431" s="1"/>
      <c r="M8431" s="1"/>
      <c r="N8431" s="1"/>
      <c r="O8431" s="1"/>
      <c r="P8431" s="1"/>
      <c r="Q8431" s="1"/>
      <c r="R8431" s="1"/>
      <c r="S8431" s="1"/>
      <c r="T8431" s="1"/>
      <c r="U8431" s="1"/>
      <c r="V8431" s="1"/>
      <c r="W8431" s="1"/>
      <c r="X8431" s="1"/>
      <c r="Y8431" s="1"/>
      <c r="Z8431" s="1"/>
      <c r="AA8431" s="1"/>
      <c r="AB8431" s="1"/>
    </row>
    <row r="8432" ht="50.25" customHeight="1">
      <c r="A8432" s="12">
        <v>8428.0</v>
      </c>
      <c r="B8432" s="13" t="s">
        <v>7680</v>
      </c>
      <c r="C8432" s="18" t="s">
        <v>8457</v>
      </c>
      <c r="D8432" s="1"/>
      <c r="E8432" s="1"/>
      <c r="F8432" s="1" t="str">
        <f>IFERROR(__xludf.DUMMYFUNCTION("GOOGLETRANSLATE(B8432, ""en"", ""fa"")
"),"درخواست برای معلمان")</f>
        <v>درخواست برای معلمان</v>
      </c>
      <c r="G8432" s="1" t="str">
        <f>IFERROR(__xludf.DUMMYFUNCTION("GOOGLETRANSLATE(C8432, ""en"", ""fa"")
"),"تجربیات خود را در مورد استراتژی های موفق برای آموزش مهارت های حل مسئله و تصمیم گیری به دانش آموزان به اشتراک بگذارید.")</f>
        <v>تجربیات خود را در مورد استراتژی های موفق برای آموزش مهارت های حل مسئله و تصمیم گیری به دانش آموزان به اشتراک بگذارید.</v>
      </c>
      <c r="H8432" s="1"/>
      <c r="I8432" s="1"/>
      <c r="J8432" s="1"/>
      <c r="K8432" s="1"/>
      <c r="L8432" s="1"/>
      <c r="M8432" s="1"/>
      <c r="N8432" s="1"/>
      <c r="O8432" s="1"/>
      <c r="P8432" s="1"/>
      <c r="Q8432" s="1"/>
      <c r="R8432" s="1"/>
      <c r="S8432" s="1"/>
      <c r="T8432" s="1"/>
      <c r="U8432" s="1"/>
      <c r="V8432" s="1"/>
      <c r="W8432" s="1"/>
      <c r="X8432" s="1"/>
      <c r="Y8432" s="1"/>
      <c r="Z8432" s="1"/>
      <c r="AA8432" s="1"/>
      <c r="AB8432" s="1"/>
    </row>
    <row r="8433" ht="50.25" customHeight="1">
      <c r="A8433" s="12">
        <v>8429.0</v>
      </c>
      <c r="B8433" s="13" t="s">
        <v>7680</v>
      </c>
      <c r="C8433" s="18" t="s">
        <v>8458</v>
      </c>
      <c r="D8433" s="1"/>
      <c r="E8433" s="1"/>
      <c r="F8433" s="1" t="str">
        <f>IFERROR(__xludf.DUMMYFUNCTION("GOOGLETRANSLATE(B8433, ""en"", ""fa"")
"),"درخواست برای معلمان")</f>
        <v>درخواست برای معلمان</v>
      </c>
      <c r="G8433" s="1" t="str">
        <f>IFERROR(__xludf.DUMMYFUNCTION("GOOGLETRANSLATE(C8433, ""en"", ""fa"")
"),"راه‌هایی را برای ادغام SEL در فعالیت‌های تربیت بدنی و حرکتی بررسی کنید.")</f>
        <v>راه‌هایی را برای ادغام SEL در فعالیت‌های تربیت بدنی و حرکتی بررسی کنید.</v>
      </c>
      <c r="H8433" s="1"/>
      <c r="I8433" s="1"/>
      <c r="J8433" s="1"/>
      <c r="K8433" s="1"/>
      <c r="L8433" s="1"/>
      <c r="M8433" s="1"/>
      <c r="N8433" s="1"/>
      <c r="O8433" s="1"/>
      <c r="P8433" s="1"/>
      <c r="Q8433" s="1"/>
      <c r="R8433" s="1"/>
      <c r="S8433" s="1"/>
      <c r="T8433" s="1"/>
      <c r="U8433" s="1"/>
      <c r="V8433" s="1"/>
      <c r="W8433" s="1"/>
      <c r="X8433" s="1"/>
      <c r="Y8433" s="1"/>
      <c r="Z8433" s="1"/>
      <c r="AA8433" s="1"/>
      <c r="AB8433" s="1"/>
    </row>
    <row r="8434" ht="50.25" customHeight="1">
      <c r="A8434" s="12">
        <v>8430.0</v>
      </c>
      <c r="B8434" s="13" t="s">
        <v>7680</v>
      </c>
      <c r="C8434" s="18" t="s">
        <v>8459</v>
      </c>
      <c r="D8434" s="1"/>
      <c r="E8434" s="1"/>
      <c r="F8434" s="1" t="str">
        <f>IFERROR(__xludf.DUMMYFUNCTION("GOOGLETRANSLATE(B8434, ""en"", ""fa"")
"),"درخواست برای معلمان")</f>
        <v>درخواست برای معلمان</v>
      </c>
      <c r="G8434" s="1" t="str">
        <f>IFERROR(__xludf.DUMMYFUNCTION("GOOGLETRANSLATE(C8434, ""en"", ""fa"")
"),"در مورد اهمیت ترویج ذهنیت رشد و پشتکار در دانش آموزان بحث کنید.")</f>
        <v>در مورد اهمیت ترویج ذهنیت رشد و پشتکار در دانش آموزان بحث کنید.</v>
      </c>
      <c r="H8434" s="1"/>
      <c r="I8434" s="1"/>
      <c r="J8434" s="1"/>
      <c r="K8434" s="1"/>
      <c r="L8434" s="1"/>
      <c r="M8434" s="1"/>
      <c r="N8434" s="1"/>
      <c r="O8434" s="1"/>
      <c r="P8434" s="1"/>
      <c r="Q8434" s="1"/>
      <c r="R8434" s="1"/>
      <c r="S8434" s="1"/>
      <c r="T8434" s="1"/>
      <c r="U8434" s="1"/>
      <c r="V8434" s="1"/>
      <c r="W8434" s="1"/>
      <c r="X8434" s="1"/>
      <c r="Y8434" s="1"/>
      <c r="Z8434" s="1"/>
      <c r="AA8434" s="1"/>
      <c r="AB8434" s="1"/>
    </row>
    <row r="8435" ht="50.25" customHeight="1">
      <c r="A8435" s="12">
        <v>8431.0</v>
      </c>
      <c r="B8435" s="13" t="s">
        <v>7680</v>
      </c>
      <c r="C8435" s="18" t="s">
        <v>8460</v>
      </c>
      <c r="D8435" s="1"/>
      <c r="E8435" s="1"/>
      <c r="F8435" s="1" t="str">
        <f>IFERROR(__xludf.DUMMYFUNCTION("GOOGLETRANSLATE(B8435, ""en"", ""fa"")
"),"درخواست برای معلمان")</f>
        <v>درخواست برای معلمان</v>
      </c>
      <c r="G8435" s="1" t="str">
        <f>IFERROR(__xludf.DUMMYFUNCTION("GOOGLETRANSLATE(C8435, ""en"", ""fa"")
"),"بینش خود را در مورد استراتژی های موثر برای آموزش مهارت های حل تعارض در تنظیمات گروهی به اشتراک بگذارید.")</f>
        <v>بینش خود را در مورد استراتژی های موثر برای آموزش مهارت های حل تعارض در تنظیمات گروهی به اشتراک بگذارید.</v>
      </c>
      <c r="H8435" s="1"/>
      <c r="I8435" s="1"/>
      <c r="J8435" s="1"/>
      <c r="K8435" s="1"/>
      <c r="L8435" s="1"/>
      <c r="M8435" s="1"/>
      <c r="N8435" s="1"/>
      <c r="O8435" s="1"/>
      <c r="P8435" s="1"/>
      <c r="Q8435" s="1"/>
      <c r="R8435" s="1"/>
      <c r="S8435" s="1"/>
      <c r="T8435" s="1"/>
      <c r="U8435" s="1"/>
      <c r="V8435" s="1"/>
      <c r="W8435" s="1"/>
      <c r="X8435" s="1"/>
      <c r="Y8435" s="1"/>
      <c r="Z8435" s="1"/>
      <c r="AA8435" s="1"/>
      <c r="AB8435" s="1"/>
    </row>
    <row r="8436" ht="50.25" customHeight="1">
      <c r="A8436" s="12">
        <v>8432.0</v>
      </c>
      <c r="B8436" s="13" t="s">
        <v>7680</v>
      </c>
      <c r="C8436" s="18" t="s">
        <v>8461</v>
      </c>
      <c r="D8436" s="1"/>
      <c r="E8436" s="1"/>
      <c r="F8436" s="1" t="str">
        <f>IFERROR(__xludf.DUMMYFUNCTION("GOOGLETRANSLATE(B8436, ""en"", ""fa"")
"),"درخواست برای معلمان")</f>
        <v>درخواست برای معلمان</v>
      </c>
      <c r="G8436" s="1" t="str">
        <f>IFERROR(__xludf.DUMMYFUNCTION("GOOGLETRANSLATE(C8436, ""en"", ""fa"")
"),"راه‌هایی را برای آموزش راهبردهای ایجاد روابط سالم و تعیین مرزها به دانش‌آموزان بررسی کنید.")</f>
        <v>راه‌هایی را برای آموزش راهبردهای ایجاد روابط سالم و تعیین مرزها به دانش‌آموزان بررسی کنید.</v>
      </c>
      <c r="H8436" s="1"/>
      <c r="I8436" s="1"/>
      <c r="J8436" s="1"/>
      <c r="K8436" s="1"/>
      <c r="L8436" s="1"/>
      <c r="M8436" s="1"/>
      <c r="N8436" s="1"/>
      <c r="O8436" s="1"/>
      <c r="P8436" s="1"/>
      <c r="Q8436" s="1"/>
      <c r="R8436" s="1"/>
      <c r="S8436" s="1"/>
      <c r="T8436" s="1"/>
      <c r="U8436" s="1"/>
      <c r="V8436" s="1"/>
      <c r="W8436" s="1"/>
      <c r="X8436" s="1"/>
      <c r="Y8436" s="1"/>
      <c r="Z8436" s="1"/>
      <c r="AA8436" s="1"/>
      <c r="AB8436" s="1"/>
    </row>
    <row r="8437" ht="50.25" customHeight="1">
      <c r="A8437" s="12">
        <v>8433.0</v>
      </c>
      <c r="B8437" s="13" t="s">
        <v>7680</v>
      </c>
      <c r="C8437" s="18" t="s">
        <v>8462</v>
      </c>
      <c r="D8437" s="1"/>
      <c r="E8437" s="1"/>
      <c r="F8437" s="1" t="str">
        <f>IFERROR(__xludf.DUMMYFUNCTION("GOOGLETRANSLATE(B8437, ""en"", ""fa"")
"),"درخواست برای معلمان")</f>
        <v>درخواست برای معلمان</v>
      </c>
      <c r="G8437" s="1" t="str">
        <f>IFERROR(__xludf.DUMMYFUNCTION("GOOGLETRANSLATE(C8437, ""en"", ""fa"")
"),"در مورد تأثیر SEL بر انگیزه و مشارکت دانش آموزان در یادگیری بحث کنید.")</f>
        <v>در مورد تأثیر SEL بر انگیزه و مشارکت دانش آموزان در یادگیری بحث کنید.</v>
      </c>
      <c r="H8437" s="1"/>
      <c r="I8437" s="1"/>
      <c r="J8437" s="1"/>
      <c r="K8437" s="1"/>
      <c r="L8437" s="1"/>
      <c r="M8437" s="1"/>
      <c r="N8437" s="1"/>
      <c r="O8437" s="1"/>
      <c r="P8437" s="1"/>
      <c r="Q8437" s="1"/>
      <c r="R8437" s="1"/>
      <c r="S8437" s="1"/>
      <c r="T8437" s="1"/>
      <c r="U8437" s="1"/>
      <c r="V8437" s="1"/>
      <c r="W8437" s="1"/>
      <c r="X8437" s="1"/>
      <c r="Y8437" s="1"/>
      <c r="Z8437" s="1"/>
      <c r="AA8437" s="1"/>
      <c r="AB8437" s="1"/>
    </row>
    <row r="8438" ht="50.25" customHeight="1">
      <c r="A8438" s="12">
        <v>8434.0</v>
      </c>
      <c r="B8438" s="13" t="s">
        <v>7680</v>
      </c>
      <c r="C8438" s="18" t="s">
        <v>8463</v>
      </c>
      <c r="D8438" s="1"/>
      <c r="E8438" s="1"/>
      <c r="F8438" s="1" t="str">
        <f>IFERROR(__xludf.DUMMYFUNCTION("GOOGLETRANSLATE(B8438, ""en"", ""fa"")
"),"درخواست برای معلمان")</f>
        <v>درخواست برای معلمان</v>
      </c>
      <c r="G8438" s="1" t="str">
        <f>IFERROR(__xludf.DUMMYFUNCTION("GOOGLETRANSLATE(C8438, ""en"", ""fa"")
"),"تجربیات خود را در مورد استراتژی های موفق برای ارتقای خودمراقبتی و رفاه در بین دانش آموزان به اشتراک بگذارید.")</f>
        <v>تجربیات خود را در مورد استراتژی های موفق برای ارتقای خودمراقبتی و رفاه در بین دانش آموزان به اشتراک بگذارید.</v>
      </c>
      <c r="H8438" s="1"/>
      <c r="I8438" s="1"/>
      <c r="J8438" s="1"/>
      <c r="K8438" s="1"/>
      <c r="L8438" s="1"/>
      <c r="M8438" s="1"/>
      <c r="N8438" s="1"/>
      <c r="O8438" s="1"/>
      <c r="P8438" s="1"/>
      <c r="Q8438" s="1"/>
      <c r="R8438" s="1"/>
      <c r="S8438" s="1"/>
      <c r="T8438" s="1"/>
      <c r="U8438" s="1"/>
      <c r="V8438" s="1"/>
      <c r="W8438" s="1"/>
      <c r="X8438" s="1"/>
      <c r="Y8438" s="1"/>
      <c r="Z8438" s="1"/>
      <c r="AA8438" s="1"/>
      <c r="AB8438" s="1"/>
    </row>
    <row r="8439" ht="50.25" customHeight="1">
      <c r="A8439" s="12">
        <v>8435.0</v>
      </c>
      <c r="B8439" s="13" t="s">
        <v>7680</v>
      </c>
      <c r="C8439" s="18" t="s">
        <v>8464</v>
      </c>
      <c r="D8439" s="1"/>
      <c r="E8439" s="1"/>
      <c r="F8439" s="1" t="str">
        <f>IFERROR(__xludf.DUMMYFUNCTION("GOOGLETRANSLATE(B8439, ""en"", ""fa"")
"),"درخواست برای معلمان")</f>
        <v>درخواست برای معلمان</v>
      </c>
      <c r="G8439" s="1" t="str">
        <f>IFERROR(__xludf.DUMMYFUNCTION("GOOGLETRANSLATE(C8439, ""en"", ""fa"")
"),"در مورد نقش انگیزش درونی و بیرونی در یادگیری دانش آموزان بحث کنید.")</f>
        <v>در مورد نقش انگیزش درونی و بیرونی در یادگیری دانش آموزان بحث کنید.</v>
      </c>
      <c r="H8439" s="1"/>
      <c r="I8439" s="1"/>
      <c r="J8439" s="1"/>
      <c r="K8439" s="1"/>
      <c r="L8439" s="1"/>
      <c r="M8439" s="1"/>
      <c r="N8439" s="1"/>
      <c r="O8439" s="1"/>
      <c r="P8439" s="1"/>
      <c r="Q8439" s="1"/>
      <c r="R8439" s="1"/>
      <c r="S8439" s="1"/>
      <c r="T8439" s="1"/>
      <c r="U8439" s="1"/>
      <c r="V8439" s="1"/>
      <c r="W8439" s="1"/>
      <c r="X8439" s="1"/>
      <c r="Y8439" s="1"/>
      <c r="Z8439" s="1"/>
      <c r="AA8439" s="1"/>
      <c r="AB8439" s="1"/>
    </row>
    <row r="8440" ht="50.25" customHeight="1">
      <c r="A8440" s="12">
        <v>8436.0</v>
      </c>
      <c r="B8440" s="13" t="s">
        <v>7680</v>
      </c>
      <c r="C8440" s="18" t="s">
        <v>8465</v>
      </c>
      <c r="D8440" s="1"/>
      <c r="E8440" s="1"/>
      <c r="F8440" s="1" t="str">
        <f>IFERROR(__xludf.DUMMYFUNCTION("GOOGLETRANSLATE(B8440, ""en"", ""fa"")
"),"درخواست برای معلمان")</f>
        <v>درخواست برای معلمان</v>
      </c>
      <c r="G8440" s="1" t="str">
        <f>IFERROR(__xludf.DUMMYFUNCTION("GOOGLETRANSLATE(C8440, ""en"", ""fa"")
"),"راه‌هایی را برای مرتبط کردن و معنادار کردن یادگیری با زندگی دانش‌آموزان بررسی کنید.")</f>
        <v>راه‌هایی را برای مرتبط کردن و معنادار کردن یادگیری با زندگی دانش‌آموزان بررسی کنید.</v>
      </c>
      <c r="H8440" s="1"/>
      <c r="I8440" s="1"/>
      <c r="J8440" s="1"/>
      <c r="K8440" s="1"/>
      <c r="L8440" s="1"/>
      <c r="M8440" s="1"/>
      <c r="N8440" s="1"/>
      <c r="O8440" s="1"/>
      <c r="P8440" s="1"/>
      <c r="Q8440" s="1"/>
      <c r="R8440" s="1"/>
      <c r="S8440" s="1"/>
      <c r="T8440" s="1"/>
      <c r="U8440" s="1"/>
      <c r="V8440" s="1"/>
      <c r="W8440" s="1"/>
      <c r="X8440" s="1"/>
      <c r="Y8440" s="1"/>
      <c r="Z8440" s="1"/>
      <c r="AA8440" s="1"/>
      <c r="AB8440" s="1"/>
    </row>
    <row r="8441" ht="50.25" customHeight="1">
      <c r="A8441" s="12">
        <v>8437.0</v>
      </c>
      <c r="B8441" s="13" t="s">
        <v>7680</v>
      </c>
      <c r="C8441" s="18" t="s">
        <v>8466</v>
      </c>
      <c r="D8441" s="1"/>
      <c r="E8441" s="1"/>
      <c r="F8441" s="1" t="str">
        <f>IFERROR(__xludf.DUMMYFUNCTION("GOOGLETRANSLATE(B8441, ""en"", ""fa"")
"),"درخواست برای معلمان")</f>
        <v>درخواست برای معلمان</v>
      </c>
      <c r="G8441" s="1" t="str">
        <f>IFERROR(__xludf.DUMMYFUNCTION("GOOGLETRANSLATE(C8441, ""en"", ""fa"")
"),"در مورد تأثیر تعیین هدف و نظارت بر پیشرفت بر انگیزه دانش آموزان بحث کنید.")</f>
        <v>در مورد تأثیر تعیین هدف و نظارت بر پیشرفت بر انگیزه دانش آموزان بحث کنید.</v>
      </c>
      <c r="H8441" s="1"/>
      <c r="I8441" s="1"/>
      <c r="J8441" s="1"/>
      <c r="K8441" s="1"/>
      <c r="L8441" s="1"/>
      <c r="M8441" s="1"/>
      <c r="N8441" s="1"/>
      <c r="O8441" s="1"/>
      <c r="P8441" s="1"/>
      <c r="Q8441" s="1"/>
      <c r="R8441" s="1"/>
      <c r="S8441" s="1"/>
      <c r="T8441" s="1"/>
      <c r="U8441" s="1"/>
      <c r="V8441" s="1"/>
      <c r="W8441" s="1"/>
      <c r="X8441" s="1"/>
      <c r="Y8441" s="1"/>
      <c r="Z8441" s="1"/>
      <c r="AA8441" s="1"/>
      <c r="AB8441" s="1"/>
    </row>
    <row r="8442" ht="50.25" customHeight="1">
      <c r="A8442" s="12">
        <v>8438.0</v>
      </c>
      <c r="B8442" s="13" t="s">
        <v>7680</v>
      </c>
      <c r="C8442" s="18" t="s">
        <v>8467</v>
      </c>
      <c r="D8442" s="1"/>
      <c r="E8442" s="1"/>
      <c r="F8442" s="1" t="str">
        <f>IFERROR(__xludf.DUMMYFUNCTION("GOOGLETRANSLATE(B8442, ""en"", ""fa"")
"),"درخواست برای معلمان")</f>
        <v>درخواست برای معلمان</v>
      </c>
      <c r="G8442" s="1" t="str">
        <f>IFERROR(__xludf.DUMMYFUNCTION("GOOGLETRANSLATE(C8442, ""en"", ""fa"")
"),"بینش خود را در مورد استراتژی‌های مؤثر برای ترویج جو مثبت کلاس درس که دانش‌آموزان را برمی‌انگیزد به اشتراک بگذارید.")</f>
        <v>بینش خود را در مورد استراتژی‌های مؤثر برای ترویج جو مثبت کلاس درس که دانش‌آموزان را برمی‌انگیزد به اشتراک بگذارید.</v>
      </c>
      <c r="H8442" s="1"/>
      <c r="I8442" s="1"/>
      <c r="J8442" s="1"/>
      <c r="K8442" s="1"/>
      <c r="L8442" s="1"/>
      <c r="M8442" s="1"/>
      <c r="N8442" s="1"/>
      <c r="O8442" s="1"/>
      <c r="P8442" s="1"/>
      <c r="Q8442" s="1"/>
      <c r="R8442" s="1"/>
      <c r="S8442" s="1"/>
      <c r="T8442" s="1"/>
      <c r="U8442" s="1"/>
      <c r="V8442" s="1"/>
      <c r="W8442" s="1"/>
      <c r="X8442" s="1"/>
      <c r="Y8442" s="1"/>
      <c r="Z8442" s="1"/>
      <c r="AA8442" s="1"/>
      <c r="AB8442" s="1"/>
    </row>
    <row r="8443" ht="50.25" customHeight="1">
      <c r="A8443" s="12">
        <v>8439.0</v>
      </c>
      <c r="B8443" s="13" t="s">
        <v>7680</v>
      </c>
      <c r="C8443" s="18" t="s">
        <v>8468</v>
      </c>
      <c r="D8443" s="1"/>
      <c r="E8443" s="1"/>
      <c r="F8443" s="1" t="str">
        <f>IFERROR(__xludf.DUMMYFUNCTION("GOOGLETRANSLATE(B8443, ""en"", ""fa"")
"),"درخواست برای معلمان")</f>
        <v>درخواست برای معلمان</v>
      </c>
      <c r="G8443" s="1" t="str">
        <f>IFERROR(__xludf.DUMMYFUNCTION("GOOGLETRANSLATE(C8443, ""en"", ""fa"")
"),"راه‌هایی برای استفاده از ابزارهای فناوری و گیمیفیکیشن برای افزایش مشارکت دانش‌آموزان را بررسی کنید.")</f>
        <v>راه‌هایی برای استفاده از ابزارهای فناوری و گیمیفیکیشن برای افزایش مشارکت دانش‌آموزان را بررسی کنید.</v>
      </c>
      <c r="H8443" s="1"/>
      <c r="I8443" s="1"/>
      <c r="J8443" s="1"/>
      <c r="K8443" s="1"/>
      <c r="L8443" s="1"/>
      <c r="M8443" s="1"/>
      <c r="N8443" s="1"/>
      <c r="O8443" s="1"/>
      <c r="P8443" s="1"/>
      <c r="Q8443" s="1"/>
      <c r="R8443" s="1"/>
      <c r="S8443" s="1"/>
      <c r="T8443" s="1"/>
      <c r="U8443" s="1"/>
      <c r="V8443" s="1"/>
      <c r="W8443" s="1"/>
      <c r="X8443" s="1"/>
      <c r="Y8443" s="1"/>
      <c r="Z8443" s="1"/>
      <c r="AA8443" s="1"/>
      <c r="AB8443" s="1"/>
    </row>
    <row r="8444" ht="50.25" customHeight="1">
      <c r="A8444" s="12">
        <v>8440.0</v>
      </c>
      <c r="B8444" s="13" t="s">
        <v>7680</v>
      </c>
      <c r="C8444" s="18" t="s">
        <v>8469</v>
      </c>
      <c r="D8444" s="1"/>
      <c r="E8444" s="1"/>
      <c r="F8444" s="1" t="str">
        <f>IFERROR(__xludf.DUMMYFUNCTION("GOOGLETRANSLATE(B8444, ""en"", ""fa"")
"),"درخواست برای معلمان")</f>
        <v>درخواست برای معلمان</v>
      </c>
      <c r="G8444" s="1" t="str">
        <f>IFERROR(__xludf.DUMMYFUNCTION("GOOGLETRANSLATE(C8444, ""en"", ""fa"")
"),"در مورد اهمیت انتخاب و استقلال دانش آموزان در یادگیری خود بحث کنید.")</f>
        <v>در مورد اهمیت انتخاب و استقلال دانش آموزان در یادگیری خود بحث کنید.</v>
      </c>
      <c r="H8444" s="1"/>
      <c r="I8444" s="1"/>
      <c r="J8444" s="1"/>
      <c r="K8444" s="1"/>
      <c r="L8444" s="1"/>
      <c r="M8444" s="1"/>
      <c r="N8444" s="1"/>
      <c r="O8444" s="1"/>
      <c r="P8444" s="1"/>
      <c r="Q8444" s="1"/>
      <c r="R8444" s="1"/>
      <c r="S8444" s="1"/>
      <c r="T8444" s="1"/>
      <c r="U8444" s="1"/>
      <c r="V8444" s="1"/>
      <c r="W8444" s="1"/>
      <c r="X8444" s="1"/>
      <c r="Y8444" s="1"/>
      <c r="Z8444" s="1"/>
      <c r="AA8444" s="1"/>
      <c r="AB8444" s="1"/>
    </row>
    <row r="8445" ht="50.25" customHeight="1">
      <c r="A8445" s="12">
        <v>8441.0</v>
      </c>
      <c r="B8445" s="13" t="s">
        <v>7680</v>
      </c>
      <c r="C8445" s="18" t="s">
        <v>8470</v>
      </c>
      <c r="D8445" s="1"/>
      <c r="E8445" s="1"/>
      <c r="F8445" s="1" t="str">
        <f>IFERROR(__xludf.DUMMYFUNCTION("GOOGLETRANSLATE(B8445, ""en"", ""fa"")
"),"درخواست برای معلمان")</f>
        <v>درخواست برای معلمان</v>
      </c>
      <c r="G8445" s="1" t="str">
        <f>IFERROR(__xludf.DUMMYFUNCTION("GOOGLETRANSLATE(C8445, ""en"", ""fa"")
"),"تجربیات خود را در مورد استراتژی های موفق برای استفاده از داستان سرایی و روایت برای جلب علاقه دانش آموزان به اشتراک بگذارید.")</f>
        <v>تجربیات خود را در مورد استراتژی های موفق برای استفاده از داستان سرایی و روایت برای جلب علاقه دانش آموزان به اشتراک بگذارید.</v>
      </c>
      <c r="H8445" s="1"/>
      <c r="I8445" s="1"/>
      <c r="J8445" s="1"/>
      <c r="K8445" s="1"/>
      <c r="L8445" s="1"/>
      <c r="M8445" s="1"/>
      <c r="N8445" s="1"/>
      <c r="O8445" s="1"/>
      <c r="P8445" s="1"/>
      <c r="Q8445" s="1"/>
      <c r="R8445" s="1"/>
      <c r="S8445" s="1"/>
      <c r="T8445" s="1"/>
      <c r="U8445" s="1"/>
      <c r="V8445" s="1"/>
      <c r="W8445" s="1"/>
      <c r="X8445" s="1"/>
      <c r="Y8445" s="1"/>
      <c r="Z8445" s="1"/>
      <c r="AA8445" s="1"/>
      <c r="AB8445" s="1"/>
    </row>
    <row r="8446" ht="50.25" customHeight="1">
      <c r="A8446" s="12">
        <v>8442.0</v>
      </c>
      <c r="B8446" s="13" t="s">
        <v>7680</v>
      </c>
      <c r="C8446" s="18" t="s">
        <v>8471</v>
      </c>
      <c r="D8446" s="1"/>
      <c r="E8446" s="1"/>
      <c r="F8446" s="1" t="str">
        <f>IFERROR(__xludf.DUMMYFUNCTION("GOOGLETRANSLATE(B8446, ""en"", ""fa"")
"),"درخواست برای معلمان")</f>
        <v>درخواست برای معلمان</v>
      </c>
      <c r="G8446" s="1" t="str">
        <f>IFERROR(__xludf.DUMMYFUNCTION("GOOGLETRANSLATE(C8446, ""en"", ""fa"")
"),"راه‌هایی را برای ترکیب فعالیت‌های یادگیری تجربی و عملی برای افزایش مشارکت دانش‌آموز کاوش کنید.")</f>
        <v>راه‌هایی را برای ترکیب فعالیت‌های یادگیری تجربی و عملی برای افزایش مشارکت دانش‌آموز کاوش کنید.</v>
      </c>
      <c r="H8446" s="1"/>
      <c r="I8446" s="1"/>
      <c r="J8446" s="1"/>
      <c r="K8446" s="1"/>
      <c r="L8446" s="1"/>
      <c r="M8446" s="1"/>
      <c r="N8446" s="1"/>
      <c r="O8446" s="1"/>
      <c r="P8446" s="1"/>
      <c r="Q8446" s="1"/>
      <c r="R8446" s="1"/>
      <c r="S8446" s="1"/>
      <c r="T8446" s="1"/>
      <c r="U8446" s="1"/>
      <c r="V8446" s="1"/>
      <c r="W8446" s="1"/>
      <c r="X8446" s="1"/>
      <c r="Y8446" s="1"/>
      <c r="Z8446" s="1"/>
      <c r="AA8446" s="1"/>
      <c r="AB8446" s="1"/>
    </row>
    <row r="8447" ht="50.25" customHeight="1">
      <c r="A8447" s="12">
        <v>8443.0</v>
      </c>
      <c r="B8447" s="13" t="s">
        <v>7680</v>
      </c>
      <c r="C8447" s="18" t="s">
        <v>8472</v>
      </c>
      <c r="D8447" s="1"/>
      <c r="E8447" s="1"/>
      <c r="F8447" s="1" t="str">
        <f>IFERROR(__xludf.DUMMYFUNCTION("GOOGLETRANSLATE(B8447, ""en"", ""fa"")
"),"درخواست برای معلمان")</f>
        <v>درخواست برای معلمان</v>
      </c>
      <c r="G8447" s="1" t="str">
        <f>IFERROR(__xludf.DUMMYFUNCTION("GOOGLETRANSLATE(C8447, ""en"", ""fa"")
"),"در مورد نقش تقویت مثبت و شناخت در ایجاد انگیزه در دانش آموزان بحث کنید.")</f>
        <v>در مورد نقش تقویت مثبت و شناخت در ایجاد انگیزه در دانش آموزان بحث کنید.</v>
      </c>
      <c r="H8447" s="1"/>
      <c r="I8447" s="1"/>
      <c r="J8447" s="1"/>
      <c r="K8447" s="1"/>
      <c r="L8447" s="1"/>
      <c r="M8447" s="1"/>
      <c r="N8447" s="1"/>
      <c r="O8447" s="1"/>
      <c r="P8447" s="1"/>
      <c r="Q8447" s="1"/>
      <c r="R8447" s="1"/>
      <c r="S8447" s="1"/>
      <c r="T8447" s="1"/>
      <c r="U8447" s="1"/>
      <c r="V8447" s="1"/>
      <c r="W8447" s="1"/>
      <c r="X8447" s="1"/>
      <c r="Y8447" s="1"/>
      <c r="Z8447" s="1"/>
      <c r="AA8447" s="1"/>
      <c r="AB8447" s="1"/>
    </row>
    <row r="8448" ht="50.25" customHeight="1">
      <c r="A8448" s="12">
        <v>8444.0</v>
      </c>
      <c r="B8448" s="13" t="s">
        <v>7680</v>
      </c>
      <c r="C8448" s="18" t="s">
        <v>8473</v>
      </c>
      <c r="D8448" s="1"/>
      <c r="E8448" s="1"/>
      <c r="F8448" s="1" t="str">
        <f>IFERROR(__xludf.DUMMYFUNCTION("GOOGLETRANSLATE(B8448, ""en"", ""fa"")
"),"درخواست برای معلمان")</f>
        <v>درخواست برای معلمان</v>
      </c>
      <c r="G8448" s="1" t="str">
        <f>IFERROR(__xludf.DUMMYFUNCTION("GOOGLETRANSLATE(C8448, ""en"", ""fa"")
"),"بینش خود را در مورد استراتژی های موثر برای بهره برداری از علایق و علایق دانش آموزان به اشتراک بگذارید.")</f>
        <v>بینش خود را در مورد استراتژی های موثر برای بهره برداری از علایق و علایق دانش آموزان به اشتراک بگذارید.</v>
      </c>
      <c r="H8448" s="1"/>
      <c r="I8448" s="1"/>
      <c r="J8448" s="1"/>
      <c r="K8448" s="1"/>
      <c r="L8448" s="1"/>
      <c r="M8448" s="1"/>
      <c r="N8448" s="1"/>
      <c r="O8448" s="1"/>
      <c r="P8448" s="1"/>
      <c r="Q8448" s="1"/>
      <c r="R8448" s="1"/>
      <c r="S8448" s="1"/>
      <c r="T8448" s="1"/>
      <c r="U8448" s="1"/>
      <c r="V8448" s="1"/>
      <c r="W8448" s="1"/>
      <c r="X8448" s="1"/>
      <c r="Y8448" s="1"/>
      <c r="Z8448" s="1"/>
      <c r="AA8448" s="1"/>
      <c r="AB8448" s="1"/>
    </row>
    <row r="8449" ht="50.25" customHeight="1">
      <c r="A8449" s="12">
        <v>8445.0</v>
      </c>
      <c r="B8449" s="13" t="s">
        <v>7680</v>
      </c>
      <c r="C8449" s="18" t="s">
        <v>8474</v>
      </c>
      <c r="D8449" s="1"/>
      <c r="E8449" s="1"/>
      <c r="F8449" s="1" t="str">
        <f>IFERROR(__xludf.DUMMYFUNCTION("GOOGLETRANSLATE(B8449, ""en"", ""fa"")
"),"درخواست برای معلمان")</f>
        <v>درخواست برای معلمان</v>
      </c>
      <c r="G8449" s="1" t="str">
        <f>IFERROR(__xludf.DUMMYFUNCTION("GOOGLETRANSLATE(C8449, ""en"", ""fa"")
"),"راه‌هایی را برای ایجاد یک محیط یادگیری مشارکتی که مشارکت فعال را تشویق می‌کند، کاوش کنید.")</f>
        <v>راه‌هایی را برای ایجاد یک محیط یادگیری مشارکتی که مشارکت فعال را تشویق می‌کند، کاوش کنید.</v>
      </c>
      <c r="H8449" s="1"/>
      <c r="I8449" s="1"/>
      <c r="J8449" s="1"/>
      <c r="K8449" s="1"/>
      <c r="L8449" s="1"/>
      <c r="M8449" s="1"/>
      <c r="N8449" s="1"/>
      <c r="O8449" s="1"/>
      <c r="P8449" s="1"/>
      <c r="Q8449" s="1"/>
      <c r="R8449" s="1"/>
      <c r="S8449" s="1"/>
      <c r="T8449" s="1"/>
      <c r="U8449" s="1"/>
      <c r="V8449" s="1"/>
      <c r="W8449" s="1"/>
      <c r="X8449" s="1"/>
      <c r="Y8449" s="1"/>
      <c r="Z8449" s="1"/>
      <c r="AA8449" s="1"/>
      <c r="AB8449" s="1"/>
    </row>
    <row r="8450" ht="50.25" customHeight="1">
      <c r="A8450" s="12">
        <v>8446.0</v>
      </c>
      <c r="B8450" s="13" t="s">
        <v>7680</v>
      </c>
      <c r="C8450" s="18" t="s">
        <v>8475</v>
      </c>
      <c r="D8450" s="1"/>
      <c r="E8450" s="1"/>
      <c r="F8450" s="1" t="str">
        <f>IFERROR(__xludf.DUMMYFUNCTION("GOOGLETRANSLATE(B8450, ""en"", ""fa"")
"),"درخواست برای معلمان")</f>
        <v>درخواست برای معلمان</v>
      </c>
      <c r="G8450" s="1" t="str">
        <f>IFERROR(__xludf.DUMMYFUNCTION("GOOGLETRANSLATE(C8450, ""en"", ""fa"")
"),"در مورد تأثیر پرورش احساس مالکیت و مسئولیت در یادگیری دانش آموزان بحث کنید.")</f>
        <v>در مورد تأثیر پرورش احساس مالکیت و مسئولیت در یادگیری دانش آموزان بحث کنید.</v>
      </c>
      <c r="H8450" s="1"/>
      <c r="I8450" s="1"/>
      <c r="J8450" s="1"/>
      <c r="K8450" s="1"/>
      <c r="L8450" s="1"/>
      <c r="M8450" s="1"/>
      <c r="N8450" s="1"/>
      <c r="O8450" s="1"/>
      <c r="P8450" s="1"/>
      <c r="Q8450" s="1"/>
      <c r="R8450" s="1"/>
      <c r="S8450" s="1"/>
      <c r="T8450" s="1"/>
      <c r="U8450" s="1"/>
      <c r="V8450" s="1"/>
      <c r="W8450" s="1"/>
      <c r="X8450" s="1"/>
      <c r="Y8450" s="1"/>
      <c r="Z8450" s="1"/>
      <c r="AA8450" s="1"/>
      <c r="AB8450" s="1"/>
    </row>
    <row r="8451" ht="50.25" customHeight="1">
      <c r="A8451" s="12">
        <v>8447.0</v>
      </c>
      <c r="B8451" s="13" t="s">
        <v>7680</v>
      </c>
      <c r="C8451" s="18" t="s">
        <v>8476</v>
      </c>
      <c r="D8451" s="1"/>
      <c r="E8451" s="1"/>
      <c r="F8451" s="1" t="str">
        <f>IFERROR(__xludf.DUMMYFUNCTION("GOOGLETRANSLATE(B8451, ""en"", ""fa"")
"),"درخواست برای معلمان")</f>
        <v>درخواست برای معلمان</v>
      </c>
      <c r="G8451" s="1" t="str">
        <f>IFERROR(__xludf.DUMMYFUNCTION("GOOGLETRANSLATE(C8451, ""en"", ""fa"")
"),"تجربیات خود را در مورد استراتژی های موفق برای ارتقای ذهنیت رشد و تاب آوری در دانش آموزان به اشتراک بگذارید.")</f>
        <v>تجربیات خود را در مورد استراتژی های موفق برای ارتقای ذهنیت رشد و تاب آوری در دانش آموزان به اشتراک بگذارید.</v>
      </c>
      <c r="H8451" s="1"/>
      <c r="I8451" s="1"/>
      <c r="J8451" s="1"/>
      <c r="K8451" s="1"/>
      <c r="L8451" s="1"/>
      <c r="M8451" s="1"/>
      <c r="N8451" s="1"/>
      <c r="O8451" s="1"/>
      <c r="P8451" s="1"/>
      <c r="Q8451" s="1"/>
      <c r="R8451" s="1"/>
      <c r="S8451" s="1"/>
      <c r="T8451" s="1"/>
      <c r="U8451" s="1"/>
      <c r="V8451" s="1"/>
      <c r="W8451" s="1"/>
      <c r="X8451" s="1"/>
      <c r="Y8451" s="1"/>
      <c r="Z8451" s="1"/>
      <c r="AA8451" s="1"/>
      <c r="AB8451" s="1"/>
    </row>
    <row r="8452" ht="50.25" customHeight="1">
      <c r="A8452" s="12">
        <v>8448.0</v>
      </c>
      <c r="B8452" s="13" t="s">
        <v>7680</v>
      </c>
      <c r="C8452" s="18" t="s">
        <v>8477</v>
      </c>
      <c r="D8452" s="1"/>
      <c r="E8452" s="1"/>
      <c r="F8452" s="1" t="str">
        <f>IFERROR(__xludf.DUMMYFUNCTION("GOOGLETRANSLATE(B8452, ""en"", ""fa"")
"),"درخواست برای معلمان")</f>
        <v>درخواست برای معلمان</v>
      </c>
      <c r="G8452" s="1" t="str">
        <f>IFERROR(__xludf.DUMMYFUNCTION("GOOGLETRANSLATE(C8452, ""en"", ""fa"")
"),"راه‌هایی را برای اتصال یادگیری کلاس درس به برنامه‌ها و مشاغل دنیای واقعی کاوش کنید.")</f>
        <v>راه‌هایی را برای اتصال یادگیری کلاس درس به برنامه‌ها و مشاغل دنیای واقعی کاوش کنید.</v>
      </c>
      <c r="H8452" s="1"/>
      <c r="I8452" s="1"/>
      <c r="J8452" s="1"/>
      <c r="K8452" s="1"/>
      <c r="L8452" s="1"/>
      <c r="M8452" s="1"/>
      <c r="N8452" s="1"/>
      <c r="O8452" s="1"/>
      <c r="P8452" s="1"/>
      <c r="Q8452" s="1"/>
      <c r="R8452" s="1"/>
      <c r="S8452" s="1"/>
      <c r="T8452" s="1"/>
      <c r="U8452" s="1"/>
      <c r="V8452" s="1"/>
      <c r="W8452" s="1"/>
      <c r="X8452" s="1"/>
      <c r="Y8452" s="1"/>
      <c r="Z8452" s="1"/>
      <c r="AA8452" s="1"/>
      <c r="AB8452" s="1"/>
    </row>
    <row r="8453" ht="50.25" customHeight="1">
      <c r="A8453" s="12">
        <v>8449.0</v>
      </c>
      <c r="B8453" s="13" t="s">
        <v>7680</v>
      </c>
      <c r="C8453" s="18" t="s">
        <v>8478</v>
      </c>
      <c r="D8453" s="1"/>
      <c r="E8453" s="1"/>
      <c r="F8453" s="1" t="str">
        <f>IFERROR(__xludf.DUMMYFUNCTION("GOOGLETRANSLATE(B8453, ""en"", ""fa"")
"),"درخواست برای معلمان")</f>
        <v>درخواست برای معلمان</v>
      </c>
      <c r="G8453" s="1" t="str">
        <f>IFERROR(__xludf.DUMMYFUNCTION("GOOGLETRANSLATE(C8453, ""en"", ""fa"")
"),"در مورد اهمیت ایجاد روابط مثبت با دانش آموزان برای افزایش انگیزه بحث کنید.")</f>
        <v>در مورد اهمیت ایجاد روابط مثبت با دانش آموزان برای افزایش انگیزه بحث کنید.</v>
      </c>
      <c r="H8453" s="1"/>
      <c r="I8453" s="1"/>
      <c r="J8453" s="1"/>
      <c r="K8453" s="1"/>
      <c r="L8453" s="1"/>
      <c r="M8453" s="1"/>
      <c r="N8453" s="1"/>
      <c r="O8453" s="1"/>
      <c r="P8453" s="1"/>
      <c r="Q8453" s="1"/>
      <c r="R8453" s="1"/>
      <c r="S8453" s="1"/>
      <c r="T8453" s="1"/>
      <c r="U8453" s="1"/>
      <c r="V8453" s="1"/>
      <c r="W8453" s="1"/>
      <c r="X8453" s="1"/>
      <c r="Y8453" s="1"/>
      <c r="Z8453" s="1"/>
      <c r="AA8453" s="1"/>
      <c r="AB8453" s="1"/>
    </row>
    <row r="8454" ht="50.25" customHeight="1">
      <c r="A8454" s="12">
        <v>8450.0</v>
      </c>
      <c r="B8454" s="13" t="s">
        <v>7680</v>
      </c>
      <c r="C8454" s="18" t="s">
        <v>8479</v>
      </c>
      <c r="D8454" s="1"/>
      <c r="E8454" s="1"/>
      <c r="F8454" s="1" t="str">
        <f>IFERROR(__xludf.DUMMYFUNCTION("GOOGLETRANSLATE(B8454, ""en"", ""fa"")
"),"درخواست برای معلمان")</f>
        <v>درخواست برای معلمان</v>
      </c>
      <c r="G8454" s="1" t="str">
        <f>IFERROR(__xludf.DUMMYFUNCTION("GOOGLETRANSLATE(C8454, ""en"", ""fa"")
"),"بینش خود را در مورد استراتژی های موثر برای ارتقای خودکارآمدی و اعتماد به نفس در دانش آموزان به اشتراک بگذارید.")</f>
        <v>بینش خود را در مورد استراتژی های موثر برای ارتقای خودکارآمدی و اعتماد به نفس در دانش آموزان به اشتراک بگذارید.</v>
      </c>
      <c r="H8454" s="1"/>
      <c r="I8454" s="1"/>
      <c r="J8454" s="1"/>
      <c r="K8454" s="1"/>
      <c r="L8454" s="1"/>
      <c r="M8454" s="1"/>
      <c r="N8454" s="1"/>
      <c r="O8454" s="1"/>
      <c r="P8454" s="1"/>
      <c r="Q8454" s="1"/>
      <c r="R8454" s="1"/>
      <c r="S8454" s="1"/>
      <c r="T8454" s="1"/>
      <c r="U8454" s="1"/>
      <c r="V8454" s="1"/>
      <c r="W8454" s="1"/>
      <c r="X8454" s="1"/>
      <c r="Y8454" s="1"/>
      <c r="Z8454" s="1"/>
      <c r="AA8454" s="1"/>
      <c r="AB8454" s="1"/>
    </row>
    <row r="8455" ht="50.25" customHeight="1">
      <c r="A8455" s="12">
        <v>8451.0</v>
      </c>
      <c r="B8455" s="13" t="s">
        <v>7680</v>
      </c>
      <c r="C8455" s="18" t="s">
        <v>8480</v>
      </c>
      <c r="D8455" s="1"/>
      <c r="E8455" s="1"/>
      <c r="F8455" s="1" t="str">
        <f>IFERROR(__xludf.DUMMYFUNCTION("GOOGLETRANSLATE(B8455, ""en"", ""fa"")
"),"درخواست برای معلمان")</f>
        <v>درخواست برای معلمان</v>
      </c>
      <c r="G8455" s="1" t="str">
        <f>IFERROR(__xludf.DUMMYFUNCTION("GOOGLETRANSLATE(C8455, ""en"", ""fa"")
"),"راه‌هایی را برای ترکیب یادگیری پروژه‌محور و رویکردهای مبتنی بر تحقیق برای درگیر کردن دانش‌آموزان بررسی کنید.")</f>
        <v>راه‌هایی را برای ترکیب یادگیری پروژه‌محور و رویکردهای مبتنی بر تحقیق برای درگیر کردن دانش‌آموزان بررسی کنید.</v>
      </c>
      <c r="H8455" s="1"/>
      <c r="I8455" s="1"/>
      <c r="J8455" s="1"/>
      <c r="K8455" s="1"/>
      <c r="L8455" s="1"/>
      <c r="M8455" s="1"/>
      <c r="N8455" s="1"/>
      <c r="O8455" s="1"/>
      <c r="P8455" s="1"/>
      <c r="Q8455" s="1"/>
      <c r="R8455" s="1"/>
      <c r="S8455" s="1"/>
      <c r="T8455" s="1"/>
      <c r="U8455" s="1"/>
      <c r="V8455" s="1"/>
      <c r="W8455" s="1"/>
      <c r="X8455" s="1"/>
      <c r="Y8455" s="1"/>
      <c r="Z8455" s="1"/>
      <c r="AA8455" s="1"/>
      <c r="AB8455" s="1"/>
    </row>
    <row r="8456" ht="50.25" customHeight="1">
      <c r="A8456" s="12">
        <v>8452.0</v>
      </c>
      <c r="B8456" s="13" t="s">
        <v>7680</v>
      </c>
      <c r="C8456" s="18" t="s">
        <v>8481</v>
      </c>
      <c r="D8456" s="1"/>
      <c r="E8456" s="1"/>
      <c r="F8456" s="1" t="str">
        <f>IFERROR(__xludf.DUMMYFUNCTION("GOOGLETRANSLATE(B8456, ""en"", ""fa"")
"),"درخواست برای معلمان")</f>
        <v>درخواست برای معلمان</v>
      </c>
      <c r="G8456" s="1" t="str">
        <f>IFERROR(__xludf.DUMMYFUNCTION("GOOGLETRANSLATE(C8456, ""en"", ""fa"")
"),"در مورد نقش همکاری همسالان و یادگیری مشارکتی در تقویت انگیزه دانش آموزان بحث کنید.")</f>
        <v>در مورد نقش همکاری همسالان و یادگیری مشارکتی در تقویت انگیزه دانش آموزان بحث کنید.</v>
      </c>
      <c r="H8456" s="1"/>
      <c r="I8456" s="1"/>
      <c r="J8456" s="1"/>
      <c r="K8456" s="1"/>
      <c r="L8456" s="1"/>
      <c r="M8456" s="1"/>
      <c r="N8456" s="1"/>
      <c r="O8456" s="1"/>
      <c r="P8456" s="1"/>
      <c r="Q8456" s="1"/>
      <c r="R8456" s="1"/>
      <c r="S8456" s="1"/>
      <c r="T8456" s="1"/>
      <c r="U8456" s="1"/>
      <c r="V8456" s="1"/>
      <c r="W8456" s="1"/>
      <c r="X8456" s="1"/>
      <c r="Y8456" s="1"/>
      <c r="Z8456" s="1"/>
      <c r="AA8456" s="1"/>
      <c r="AB8456" s="1"/>
    </row>
    <row r="8457" ht="50.25" customHeight="1">
      <c r="A8457" s="12">
        <v>8453.0</v>
      </c>
      <c r="B8457" s="13" t="s">
        <v>7680</v>
      </c>
      <c r="C8457" s="18" t="s">
        <v>8482</v>
      </c>
      <c r="D8457" s="1"/>
      <c r="E8457" s="1"/>
      <c r="F8457" s="1" t="str">
        <f>IFERROR(__xludf.DUMMYFUNCTION("GOOGLETRANSLATE(B8457, ""en"", ""fa"")
"),"درخواست برای معلمان")</f>
        <v>درخواست برای معلمان</v>
      </c>
      <c r="G8457" s="1" t="str">
        <f>IFERROR(__xludf.DUMMYFUNCTION("GOOGLETRANSLATE(C8457, ""en"", ""fa"")
"),"تجربیات خود را در مورد استراتژی های موفق برای استفاده از ابزارهای فناوری و چند رسانه ای برای جلب مشارکت دانش آموزان به اشتراک بگذارید.")</f>
        <v>تجربیات خود را در مورد استراتژی های موفق برای استفاده از ابزارهای فناوری و چند رسانه ای برای جلب مشارکت دانش آموزان به اشتراک بگذارید.</v>
      </c>
      <c r="H8457" s="1"/>
      <c r="I8457" s="1"/>
      <c r="J8457" s="1"/>
      <c r="K8457" s="1"/>
      <c r="L8457" s="1"/>
      <c r="M8457" s="1"/>
      <c r="N8457" s="1"/>
      <c r="O8457" s="1"/>
      <c r="P8457" s="1"/>
      <c r="Q8457" s="1"/>
      <c r="R8457" s="1"/>
      <c r="S8457" s="1"/>
      <c r="T8457" s="1"/>
      <c r="U8457" s="1"/>
      <c r="V8457" s="1"/>
      <c r="W8457" s="1"/>
      <c r="X8457" s="1"/>
      <c r="Y8457" s="1"/>
      <c r="Z8457" s="1"/>
      <c r="AA8457" s="1"/>
      <c r="AB8457" s="1"/>
    </row>
    <row r="8458" ht="50.25" customHeight="1">
      <c r="A8458" s="12">
        <v>8454.0</v>
      </c>
      <c r="B8458" s="13" t="s">
        <v>7680</v>
      </c>
      <c r="C8458" s="18" t="s">
        <v>8483</v>
      </c>
      <c r="D8458" s="1"/>
      <c r="E8458" s="1"/>
      <c r="F8458" s="1" t="str">
        <f>IFERROR(__xludf.DUMMYFUNCTION("GOOGLETRANSLATE(B8458, ""en"", ""fa"")
"),"درخواست برای معلمان")</f>
        <v>درخواست برای معلمان</v>
      </c>
      <c r="G8458" s="1" t="str">
        <f>IFERROR(__xludf.DUMMYFUNCTION("GOOGLETRANSLATE(C8458, ""en"", ""fa"")
"),"کاوش در راه های ارائه بازخورد به موقع و سازنده برای افزایش انگیزه دانش آموزان.")</f>
        <v>کاوش در راه های ارائه بازخورد به موقع و سازنده برای افزایش انگیزه دانش آموزان.</v>
      </c>
      <c r="H8458" s="1"/>
      <c r="I8458" s="1"/>
      <c r="J8458" s="1"/>
      <c r="K8458" s="1"/>
      <c r="L8458" s="1"/>
      <c r="M8458" s="1"/>
      <c r="N8458" s="1"/>
      <c r="O8458" s="1"/>
      <c r="P8458" s="1"/>
      <c r="Q8458" s="1"/>
      <c r="R8458" s="1"/>
      <c r="S8458" s="1"/>
      <c r="T8458" s="1"/>
      <c r="U8458" s="1"/>
      <c r="V8458" s="1"/>
      <c r="W8458" s="1"/>
      <c r="X8458" s="1"/>
      <c r="Y8458" s="1"/>
      <c r="Z8458" s="1"/>
      <c r="AA8458" s="1"/>
      <c r="AB8458" s="1"/>
    </row>
    <row r="8459" ht="50.25" customHeight="1">
      <c r="A8459" s="12">
        <v>8455.0</v>
      </c>
      <c r="B8459" s="13" t="s">
        <v>7680</v>
      </c>
      <c r="C8459" s="18" t="s">
        <v>8484</v>
      </c>
      <c r="D8459" s="1"/>
      <c r="E8459" s="1"/>
      <c r="F8459" s="1" t="str">
        <f>IFERROR(__xludf.DUMMYFUNCTION("GOOGLETRANSLATE(B8459, ""en"", ""fa"")
"),"درخواست برای معلمان")</f>
        <v>درخواست برای معلمان</v>
      </c>
      <c r="G8459" s="1" t="str">
        <f>IFERROR(__xludf.DUMMYFUNCTION("GOOGLETRANSLATE(C8459, ""en"", ""fa"")
"),"در مورد تأثیر ایجاد یک فرهنگ کلاس درس مثبت و فراگیر بر مشارکت دانش آموزان بحث کنید.")</f>
        <v>در مورد تأثیر ایجاد یک فرهنگ کلاس درس مثبت و فراگیر بر مشارکت دانش آموزان بحث کنید.</v>
      </c>
      <c r="H8459" s="1"/>
      <c r="I8459" s="1"/>
      <c r="J8459" s="1"/>
      <c r="K8459" s="1"/>
      <c r="L8459" s="1"/>
      <c r="M8459" s="1"/>
      <c r="N8459" s="1"/>
      <c r="O8459" s="1"/>
      <c r="P8459" s="1"/>
      <c r="Q8459" s="1"/>
      <c r="R8459" s="1"/>
      <c r="S8459" s="1"/>
      <c r="T8459" s="1"/>
      <c r="U8459" s="1"/>
      <c r="V8459" s="1"/>
      <c r="W8459" s="1"/>
      <c r="X8459" s="1"/>
      <c r="Y8459" s="1"/>
      <c r="Z8459" s="1"/>
      <c r="AA8459" s="1"/>
      <c r="AB8459" s="1"/>
    </row>
    <row r="8460" ht="50.25" customHeight="1">
      <c r="A8460" s="12">
        <v>8456.0</v>
      </c>
      <c r="B8460" s="13" t="s">
        <v>7680</v>
      </c>
      <c r="C8460" s="18" t="s">
        <v>8485</v>
      </c>
      <c r="D8460" s="1"/>
      <c r="E8460" s="1"/>
      <c r="F8460" s="1" t="str">
        <f>IFERROR(__xludf.DUMMYFUNCTION("GOOGLETRANSLATE(B8460, ""en"", ""fa"")
"),"درخواست برای معلمان")</f>
        <v>درخواست برای معلمان</v>
      </c>
      <c r="G8460" s="1" t="str">
        <f>IFERROR(__xludf.DUMMYFUNCTION("GOOGLETRANSLATE(C8460, ""en"", ""fa"")
"),"بینش خود را در مورد استراتژی های موثر برای تعیین اهداف چالش برانگیز و در عین حال قابل دستیابی برای دانش آموزان به اشتراک بگذارید.")</f>
        <v>بینش خود را در مورد استراتژی های موثر برای تعیین اهداف چالش برانگیز و در عین حال قابل دستیابی برای دانش آموزان به اشتراک بگذارید.</v>
      </c>
      <c r="H8460" s="1"/>
      <c r="I8460" s="1"/>
      <c r="J8460" s="1"/>
      <c r="K8460" s="1"/>
      <c r="L8460" s="1"/>
      <c r="M8460" s="1"/>
      <c r="N8460" s="1"/>
      <c r="O8460" s="1"/>
      <c r="P8460" s="1"/>
      <c r="Q8460" s="1"/>
      <c r="R8460" s="1"/>
      <c r="S8460" s="1"/>
      <c r="T8460" s="1"/>
      <c r="U8460" s="1"/>
      <c r="V8460" s="1"/>
      <c r="W8460" s="1"/>
      <c r="X8460" s="1"/>
      <c r="Y8460" s="1"/>
      <c r="Z8460" s="1"/>
      <c r="AA8460" s="1"/>
      <c r="AB8460" s="1"/>
    </row>
    <row r="8461" ht="50.25" customHeight="1">
      <c r="A8461" s="12">
        <v>8457.0</v>
      </c>
      <c r="B8461" s="13" t="s">
        <v>7680</v>
      </c>
      <c r="C8461" s="18" t="s">
        <v>8486</v>
      </c>
      <c r="D8461" s="1"/>
      <c r="E8461" s="1"/>
      <c r="F8461" s="1" t="str">
        <f>IFERROR(__xludf.DUMMYFUNCTION("GOOGLETRANSLATE(B8461, ""en"", ""fa"")
"),"درخواست برای معلمان")</f>
        <v>درخواست برای معلمان</v>
      </c>
      <c r="G8461" s="1" t="str">
        <f>IFERROR(__xludf.DUMMYFUNCTION("GOOGLETRANSLATE(C8461, ""en"", ""fa"")
"),"راه‌هایی برای ادغام هنر و بیان خلاق در برنامه درسی برای جذب دانش‌آموزان کشف کنید.")</f>
        <v>راه‌هایی برای ادغام هنر و بیان خلاق در برنامه درسی برای جذب دانش‌آموزان کشف کنید.</v>
      </c>
      <c r="H8461" s="1"/>
      <c r="I8461" s="1"/>
      <c r="J8461" s="1"/>
      <c r="K8461" s="1"/>
      <c r="L8461" s="1"/>
      <c r="M8461" s="1"/>
      <c r="N8461" s="1"/>
      <c r="O8461" s="1"/>
      <c r="P8461" s="1"/>
      <c r="Q8461" s="1"/>
      <c r="R8461" s="1"/>
      <c r="S8461" s="1"/>
      <c r="T8461" s="1"/>
      <c r="U8461" s="1"/>
      <c r="V8461" s="1"/>
      <c r="W8461" s="1"/>
      <c r="X8461" s="1"/>
      <c r="Y8461" s="1"/>
      <c r="Z8461" s="1"/>
      <c r="AA8461" s="1"/>
      <c r="AB8461" s="1"/>
    </row>
    <row r="8462" ht="50.25" customHeight="1">
      <c r="A8462" s="12">
        <v>8458.0</v>
      </c>
      <c r="B8462" s="13" t="s">
        <v>7680</v>
      </c>
      <c r="C8462" s="18" t="s">
        <v>8487</v>
      </c>
      <c r="D8462" s="1"/>
      <c r="E8462" s="1"/>
      <c r="F8462" s="1" t="str">
        <f>IFERROR(__xludf.DUMMYFUNCTION("GOOGLETRANSLATE(B8462, ""en"", ""fa"")
"),"درخواست برای معلمان")</f>
        <v>درخواست برای معلمان</v>
      </c>
      <c r="G8462" s="1" t="str">
        <f>IFERROR(__xludf.DUMMYFUNCTION("GOOGLETRANSLATE(C8462, ""en"", ""fa"")
"),"در مورد اهمیت ایجاد یک جامعه کلاس درس که تنوع را گرامی می دارد و برای آن ارزش قائل است بحث کنید.")</f>
        <v>در مورد اهمیت ایجاد یک جامعه کلاس درس که تنوع را گرامی می دارد و برای آن ارزش قائل است بحث کنید.</v>
      </c>
      <c r="H8462" s="1"/>
      <c r="I8462" s="1"/>
      <c r="J8462" s="1"/>
      <c r="K8462" s="1"/>
      <c r="L8462" s="1"/>
      <c r="M8462" s="1"/>
      <c r="N8462" s="1"/>
      <c r="O8462" s="1"/>
      <c r="P8462" s="1"/>
      <c r="Q8462" s="1"/>
      <c r="R8462" s="1"/>
      <c r="S8462" s="1"/>
      <c r="T8462" s="1"/>
      <c r="U8462" s="1"/>
      <c r="V8462" s="1"/>
      <c r="W8462" s="1"/>
      <c r="X8462" s="1"/>
      <c r="Y8462" s="1"/>
      <c r="Z8462" s="1"/>
      <c r="AA8462" s="1"/>
      <c r="AB8462" s="1"/>
    </row>
    <row r="8463" ht="50.25" customHeight="1">
      <c r="A8463" s="12">
        <v>8459.0</v>
      </c>
      <c r="B8463" s="13" t="s">
        <v>7680</v>
      </c>
      <c r="C8463" s="18" t="s">
        <v>8488</v>
      </c>
      <c r="D8463" s="1"/>
      <c r="E8463" s="1"/>
      <c r="F8463" s="1" t="str">
        <f>IFERROR(__xludf.DUMMYFUNCTION("GOOGLETRANSLATE(B8463, ""en"", ""fa"")
"),"درخواست برای معلمان")</f>
        <v>درخواست برای معلمان</v>
      </c>
      <c r="G8463" s="1" t="str">
        <f>IFERROR(__xludf.DUMMYFUNCTION("GOOGLETRANSLATE(C8463, ""en"", ""fa"")
"),"تجارب خود را در مورد استراتژی های موفق برای ارتقاء عاملیت دانش آموزی و یادگیری خودراهبری به اشتراک بگذارید.")</f>
        <v>تجارب خود را در مورد استراتژی های موفق برای ارتقاء عاملیت دانش آموزی و یادگیری خودراهبری به اشتراک بگذارید.</v>
      </c>
      <c r="H8463" s="1"/>
      <c r="I8463" s="1"/>
      <c r="J8463" s="1"/>
      <c r="K8463" s="1"/>
      <c r="L8463" s="1"/>
      <c r="M8463" s="1"/>
      <c r="N8463" s="1"/>
      <c r="O8463" s="1"/>
      <c r="P8463" s="1"/>
      <c r="Q8463" s="1"/>
      <c r="R8463" s="1"/>
      <c r="S8463" s="1"/>
      <c r="T8463" s="1"/>
      <c r="U8463" s="1"/>
      <c r="V8463" s="1"/>
      <c r="W8463" s="1"/>
      <c r="X8463" s="1"/>
      <c r="Y8463" s="1"/>
      <c r="Z8463" s="1"/>
      <c r="AA8463" s="1"/>
      <c r="AB8463" s="1"/>
    </row>
    <row r="8464" ht="50.25" customHeight="1">
      <c r="A8464" s="12">
        <v>8460.0</v>
      </c>
      <c r="B8464" s="13" t="s">
        <v>7680</v>
      </c>
      <c r="C8464" s="18" t="s">
        <v>8489</v>
      </c>
      <c r="D8464" s="1"/>
      <c r="E8464" s="1"/>
      <c r="F8464" s="1" t="str">
        <f>IFERROR(__xludf.DUMMYFUNCTION("GOOGLETRANSLATE(B8464, ""en"", ""fa"")
"),"درخواست برای معلمان")</f>
        <v>درخواست برای معلمان</v>
      </c>
      <c r="G8464" s="1" t="str">
        <f>IFERROR(__xludf.DUMMYFUNCTION("GOOGLETRANSLATE(C8464, ""en"", ""fa"")
"),"راه هایی را برای ترکیب وظایف حل مسئله و تفکر انتقادی برای درگیر کردن دانش آموزان بررسی کنید.")</f>
        <v>راه هایی را برای ترکیب وظایف حل مسئله و تفکر انتقادی برای درگیر کردن دانش آموزان بررسی کنید.</v>
      </c>
      <c r="H8464" s="1"/>
      <c r="I8464" s="1"/>
      <c r="J8464" s="1"/>
      <c r="K8464" s="1"/>
      <c r="L8464" s="1"/>
      <c r="M8464" s="1"/>
      <c r="N8464" s="1"/>
      <c r="O8464" s="1"/>
      <c r="P8464" s="1"/>
      <c r="Q8464" s="1"/>
      <c r="R8464" s="1"/>
      <c r="S8464" s="1"/>
      <c r="T8464" s="1"/>
      <c r="U8464" s="1"/>
      <c r="V8464" s="1"/>
      <c r="W8464" s="1"/>
      <c r="X8464" s="1"/>
      <c r="Y8464" s="1"/>
      <c r="Z8464" s="1"/>
      <c r="AA8464" s="1"/>
      <c r="AB8464" s="1"/>
    </row>
    <row r="8465" ht="50.25" customHeight="1">
      <c r="A8465" s="12">
        <v>8461.0</v>
      </c>
      <c r="B8465" s="13" t="s">
        <v>7680</v>
      </c>
      <c r="C8465" s="18" t="s">
        <v>8490</v>
      </c>
      <c r="D8465" s="1"/>
      <c r="E8465" s="1"/>
      <c r="F8465" s="1" t="str">
        <f>IFERROR(__xludf.DUMMYFUNCTION("GOOGLETRANSLATE(B8465, ""en"", ""fa"")
"),"درخواست برای معلمان")</f>
        <v>درخواست برای معلمان</v>
      </c>
      <c r="G8465" s="1" t="str">
        <f>IFERROR(__xludf.DUMMYFUNCTION("GOOGLETRANSLATE(C8465, ""en"", ""fa"")
"),"در مورد نقش کنجکاوی و تحقیق در تقویت انگیزه دانش آموزان بحث کنید.")</f>
        <v>در مورد نقش کنجکاوی و تحقیق در تقویت انگیزه دانش آموزان بحث کنید.</v>
      </c>
      <c r="H8465" s="1"/>
      <c r="I8465" s="1"/>
      <c r="J8465" s="1"/>
      <c r="K8465" s="1"/>
      <c r="L8465" s="1"/>
      <c r="M8465" s="1"/>
      <c r="N8465" s="1"/>
      <c r="O8465" s="1"/>
      <c r="P8465" s="1"/>
      <c r="Q8465" s="1"/>
      <c r="R8465" s="1"/>
      <c r="S8465" s="1"/>
      <c r="T8465" s="1"/>
      <c r="U8465" s="1"/>
      <c r="V8465" s="1"/>
      <c r="W8465" s="1"/>
      <c r="X8465" s="1"/>
      <c r="Y8465" s="1"/>
      <c r="Z8465" s="1"/>
      <c r="AA8465" s="1"/>
      <c r="AB8465" s="1"/>
    </row>
    <row r="8466" ht="50.25" customHeight="1">
      <c r="A8466" s="12">
        <v>8462.0</v>
      </c>
      <c r="B8466" s="13" t="s">
        <v>7680</v>
      </c>
      <c r="C8466" s="18" t="s">
        <v>8491</v>
      </c>
      <c r="D8466" s="1"/>
      <c r="E8466" s="1"/>
      <c r="F8466" s="1" t="str">
        <f>IFERROR(__xludf.DUMMYFUNCTION("GOOGLETRANSLATE(B8466, ""en"", ""fa"")
"),"درخواست برای معلمان")</f>
        <v>درخواست برای معلمان</v>
      </c>
      <c r="G8466" s="1" t="str">
        <f>IFERROR(__xludf.DUMMYFUNCTION("GOOGLETRANSLATE(C8466, ""en"", ""fa"")
"),"بینش خود را در مورد استراتژی های موثر برای آموزش مدیریت زمان و مهارت های سازمانی به دانش آموزان به اشتراک بگذارید.")</f>
        <v>بینش خود را در مورد استراتژی های موثر برای آموزش مدیریت زمان و مهارت های سازمانی به دانش آموزان به اشتراک بگذارید.</v>
      </c>
      <c r="H8466" s="1"/>
      <c r="I8466" s="1"/>
      <c r="J8466" s="1"/>
      <c r="K8466" s="1"/>
      <c r="L8466" s="1"/>
      <c r="M8466" s="1"/>
      <c r="N8466" s="1"/>
      <c r="O8466" s="1"/>
      <c r="P8466" s="1"/>
      <c r="Q8466" s="1"/>
      <c r="R8466" s="1"/>
      <c r="S8466" s="1"/>
      <c r="T8466" s="1"/>
      <c r="U8466" s="1"/>
      <c r="V8466" s="1"/>
      <c r="W8466" s="1"/>
      <c r="X8466" s="1"/>
      <c r="Y8466" s="1"/>
      <c r="Z8466" s="1"/>
      <c r="AA8466" s="1"/>
      <c r="AB8466" s="1"/>
    </row>
    <row r="8467" ht="50.25" customHeight="1">
      <c r="A8467" s="12">
        <v>8463.0</v>
      </c>
      <c r="B8467" s="13" t="s">
        <v>7680</v>
      </c>
      <c r="C8467" s="18" t="s">
        <v>8492</v>
      </c>
      <c r="D8467" s="1"/>
      <c r="E8467" s="1"/>
      <c r="F8467" s="1" t="str">
        <f>IFERROR(__xludf.DUMMYFUNCTION("GOOGLETRANSLATE(B8467, ""en"", ""fa"")
"),"درخواست برای معلمان")</f>
        <v>درخواست برای معلمان</v>
      </c>
      <c r="G8467" s="1" t="str">
        <f>IFERROR(__xludf.DUMMYFUNCTION("GOOGLETRANSLATE(C8467, ""en"", ""fa"")
"),"راه‌هایی را برای به‌کارگیری توانایی‌ها و استعدادهای دانش‌آموزان برای افزایش انگیزه بررسی کنید.")</f>
        <v>راه‌هایی را برای به‌کارگیری توانایی‌ها و استعدادهای دانش‌آموزان برای افزایش انگیزه بررسی کنید.</v>
      </c>
      <c r="H8467" s="1"/>
      <c r="I8467" s="1"/>
      <c r="J8467" s="1"/>
      <c r="K8467" s="1"/>
      <c r="L8467" s="1"/>
      <c r="M8467" s="1"/>
      <c r="N8467" s="1"/>
      <c r="O8467" s="1"/>
      <c r="P8467" s="1"/>
      <c r="Q8467" s="1"/>
      <c r="R8467" s="1"/>
      <c r="S8467" s="1"/>
      <c r="T8467" s="1"/>
      <c r="U8467" s="1"/>
      <c r="V8467" s="1"/>
      <c r="W8467" s="1"/>
      <c r="X8467" s="1"/>
      <c r="Y8467" s="1"/>
      <c r="Z8467" s="1"/>
      <c r="AA8467" s="1"/>
      <c r="AB8467" s="1"/>
    </row>
    <row r="8468" ht="50.25" customHeight="1">
      <c r="A8468" s="12">
        <v>8464.0</v>
      </c>
      <c r="B8468" s="13" t="s">
        <v>7680</v>
      </c>
      <c r="C8468" s="18" t="s">
        <v>8493</v>
      </c>
      <c r="D8468" s="1"/>
      <c r="E8468" s="1"/>
      <c r="F8468" s="1" t="str">
        <f>IFERROR(__xludf.DUMMYFUNCTION("GOOGLETRANSLATE(B8468, ""en"", ""fa"")
"),"درخواست برای معلمان")</f>
        <v>درخواست برای معلمان</v>
      </c>
      <c r="G8468" s="1" t="str">
        <f>IFERROR(__xludf.DUMMYFUNCTION("GOOGLETRANSLATE(C8468, ""en"", ""fa"")
"),"در مورد تأثیر پرورش یک محیط کلاس درس مثبت که ریسک پذیری و یادگیری از اشتباهات را ترویج می کند، بحث کنید.")</f>
        <v>در مورد تأثیر پرورش یک محیط کلاس درس مثبت که ریسک پذیری و یادگیری از اشتباهات را ترویج می کند، بحث کنید.</v>
      </c>
      <c r="H8468" s="1"/>
      <c r="I8468" s="1"/>
      <c r="J8468" s="1"/>
      <c r="K8468" s="1"/>
      <c r="L8468" s="1"/>
      <c r="M8468" s="1"/>
      <c r="N8468" s="1"/>
      <c r="O8468" s="1"/>
      <c r="P8468" s="1"/>
      <c r="Q8468" s="1"/>
      <c r="R8468" s="1"/>
      <c r="S8468" s="1"/>
      <c r="T8468" s="1"/>
      <c r="U8468" s="1"/>
      <c r="V8468" s="1"/>
      <c r="W8468" s="1"/>
      <c r="X8468" s="1"/>
      <c r="Y8468" s="1"/>
      <c r="Z8468" s="1"/>
      <c r="AA8468" s="1"/>
      <c r="AB8468" s="1"/>
    </row>
    <row r="8469" ht="50.25" customHeight="1">
      <c r="A8469" s="12">
        <v>8465.0</v>
      </c>
      <c r="B8469" s="13" t="s">
        <v>7680</v>
      </c>
      <c r="C8469" s="18" t="s">
        <v>8494</v>
      </c>
      <c r="D8469" s="1"/>
      <c r="E8469" s="1"/>
      <c r="F8469" s="1" t="str">
        <f>IFERROR(__xludf.DUMMYFUNCTION("GOOGLETRANSLATE(B8469, ""en"", ""fa"")
"),"درخواست برای معلمان")</f>
        <v>درخواست برای معلمان</v>
      </c>
      <c r="G8469" s="1" t="str">
        <f>IFERROR(__xludf.DUMMYFUNCTION("GOOGLETRANSLATE(C8469, ""en"", ""fa"")
"),"تجربیات خود را در مورد استراتژی های موفق برای گنجاندن حرکت و فعالیت بدنی در فرآیند یادگیری به اشتراک بگذارید.")</f>
        <v>تجربیات خود را در مورد استراتژی های موفق برای گنجاندن حرکت و فعالیت بدنی در فرآیند یادگیری به اشتراک بگذارید.</v>
      </c>
      <c r="H8469" s="1"/>
      <c r="I8469" s="1"/>
      <c r="J8469" s="1"/>
      <c r="K8469" s="1"/>
      <c r="L8469" s="1"/>
      <c r="M8469" s="1"/>
      <c r="N8469" s="1"/>
      <c r="O8469" s="1"/>
      <c r="P8469" s="1"/>
      <c r="Q8469" s="1"/>
      <c r="R8469" s="1"/>
      <c r="S8469" s="1"/>
      <c r="T8469" s="1"/>
      <c r="U8469" s="1"/>
      <c r="V8469" s="1"/>
      <c r="W8469" s="1"/>
      <c r="X8469" s="1"/>
      <c r="Y8469" s="1"/>
      <c r="Z8469" s="1"/>
      <c r="AA8469" s="1"/>
      <c r="AB8469" s="1"/>
    </row>
    <row r="8470" ht="50.25" customHeight="1">
      <c r="A8470" s="12">
        <v>8466.0</v>
      </c>
      <c r="B8470" s="13" t="s">
        <v>7680</v>
      </c>
      <c r="C8470" s="18" t="s">
        <v>8495</v>
      </c>
      <c r="D8470" s="1"/>
      <c r="E8470" s="1"/>
      <c r="F8470" s="1" t="str">
        <f>IFERROR(__xludf.DUMMYFUNCTION("GOOGLETRANSLATE(B8470, ""en"", ""fa"")
"),"درخواست برای معلمان")</f>
        <v>درخواست برای معلمان</v>
      </c>
      <c r="G8470" s="1" t="str">
        <f>IFERROR(__xludf.DUMMYFUNCTION("GOOGLETRANSLATE(C8470, ""en"", ""fa"")
"),"راه‌های ارتباط با علایق و پیشینه‌های فرهنگی دانش‌آموزان را برای افزایش تعامل کاوش کنید.")</f>
        <v>راه‌های ارتباط با علایق و پیشینه‌های فرهنگی دانش‌آموزان را برای افزایش تعامل کاوش کنید.</v>
      </c>
      <c r="H8470" s="1"/>
      <c r="I8470" s="1"/>
      <c r="J8470" s="1"/>
      <c r="K8470" s="1"/>
      <c r="L8470" s="1"/>
      <c r="M8470" s="1"/>
      <c r="N8470" s="1"/>
      <c r="O8470" s="1"/>
      <c r="P8470" s="1"/>
      <c r="Q8470" s="1"/>
      <c r="R8470" s="1"/>
      <c r="S8470" s="1"/>
      <c r="T8470" s="1"/>
      <c r="U8470" s="1"/>
      <c r="V8470" s="1"/>
      <c r="W8470" s="1"/>
      <c r="X8470" s="1"/>
      <c r="Y8470" s="1"/>
      <c r="Z8470" s="1"/>
      <c r="AA8470" s="1"/>
      <c r="AB8470" s="1"/>
    </row>
    <row r="8471" ht="50.25" customHeight="1">
      <c r="A8471" s="12">
        <v>8467.0</v>
      </c>
      <c r="B8471" s="13" t="s">
        <v>7680</v>
      </c>
      <c r="C8471" s="18" t="s">
        <v>8496</v>
      </c>
      <c r="D8471" s="1"/>
      <c r="E8471" s="1"/>
      <c r="F8471" s="1" t="str">
        <f>IFERROR(__xludf.DUMMYFUNCTION("GOOGLETRANSLATE(B8471, ""en"", ""fa"")
"),"درخواست برای معلمان")</f>
        <v>درخواست برای معلمان</v>
      </c>
      <c r="G8471" s="1" t="str">
        <f>IFERROR(__xludf.DUMMYFUNCTION("GOOGLETRANSLATE(C8471, ""en"", ""fa"")
"),"در مورد اهمیت پرورش حس شایستگی و تسلط در دانش آموزان بحث کنید.")</f>
        <v>در مورد اهمیت پرورش حس شایستگی و تسلط در دانش آموزان بحث کنید.</v>
      </c>
      <c r="H8471" s="1"/>
      <c r="I8471" s="1"/>
      <c r="J8471" s="1"/>
      <c r="K8471" s="1"/>
      <c r="L8471" s="1"/>
      <c r="M8471" s="1"/>
      <c r="N8471" s="1"/>
      <c r="O8471" s="1"/>
      <c r="P8471" s="1"/>
      <c r="Q8471" s="1"/>
      <c r="R8471" s="1"/>
      <c r="S8471" s="1"/>
      <c r="T8471" s="1"/>
      <c r="U8471" s="1"/>
      <c r="V8471" s="1"/>
      <c r="W8471" s="1"/>
      <c r="X8471" s="1"/>
      <c r="Y8471" s="1"/>
      <c r="Z8471" s="1"/>
      <c r="AA8471" s="1"/>
      <c r="AB8471" s="1"/>
    </row>
    <row r="8472" ht="50.25" customHeight="1">
      <c r="A8472" s="12">
        <v>8468.0</v>
      </c>
      <c r="B8472" s="13" t="s">
        <v>7680</v>
      </c>
      <c r="C8472" s="18" t="s">
        <v>8497</v>
      </c>
      <c r="D8472" s="1"/>
      <c r="E8472" s="1"/>
      <c r="F8472" s="1" t="str">
        <f>IFERROR(__xludf.DUMMYFUNCTION("GOOGLETRANSLATE(B8472, ""en"", ""fa"")
"),"درخواست برای معلمان")</f>
        <v>درخواست برای معلمان</v>
      </c>
      <c r="G8472" s="1" t="str">
        <f>IFERROR(__xludf.DUMMYFUNCTION("GOOGLETRANSLATE(C8472, ""en"", ""fa"")
"),"بینش خود را در مورد استراتژی های موثر برای ارتقای خود اندیشی و خود ارزیابی در بین دانش آموزان به اشتراک بگذارید.")</f>
        <v>بینش خود را در مورد استراتژی های موثر برای ارتقای خود اندیشی و خود ارزیابی در بین دانش آموزان به اشتراک بگذارید.</v>
      </c>
      <c r="H8472" s="1"/>
      <c r="I8472" s="1"/>
      <c r="J8472" s="1"/>
      <c r="K8472" s="1"/>
      <c r="L8472" s="1"/>
      <c r="M8472" s="1"/>
      <c r="N8472" s="1"/>
      <c r="O8472" s="1"/>
      <c r="P8472" s="1"/>
      <c r="Q8472" s="1"/>
      <c r="R8472" s="1"/>
      <c r="S8472" s="1"/>
      <c r="T8472" s="1"/>
      <c r="U8472" s="1"/>
      <c r="V8472" s="1"/>
      <c r="W8472" s="1"/>
      <c r="X8472" s="1"/>
      <c r="Y8472" s="1"/>
      <c r="Z8472" s="1"/>
      <c r="AA8472" s="1"/>
      <c r="AB8472" s="1"/>
    </row>
    <row r="8473" ht="50.25" customHeight="1">
      <c r="A8473" s="12">
        <v>8469.0</v>
      </c>
      <c r="B8473" s="13" t="s">
        <v>7680</v>
      </c>
      <c r="C8473" s="18" t="s">
        <v>8498</v>
      </c>
      <c r="D8473" s="1"/>
      <c r="E8473" s="1"/>
      <c r="F8473" s="1" t="str">
        <f>IFERROR(__xludf.DUMMYFUNCTION("GOOGLETRANSLATE(B8473, ""en"", ""fa"")
"),"درخواست برای معلمان")</f>
        <v>درخواست برای معلمان</v>
      </c>
      <c r="G8473" s="1" t="str">
        <f>IFERROR(__xludf.DUMMYFUNCTION("GOOGLETRANSLATE(C8473, ""en"", ""fa"")
"),"راه‌هایی را برای استفاده از ابزارهای فناوری برای ارائه‌های تعاملی و چند رسانه‌ای برای جذب دانش‌آموزان بررسی کنید.")</f>
        <v>راه‌هایی را برای استفاده از ابزارهای فناوری برای ارائه‌های تعاملی و چند رسانه‌ای برای جذب دانش‌آموزان بررسی کنید.</v>
      </c>
      <c r="H8473" s="1"/>
      <c r="I8473" s="1"/>
      <c r="J8473" s="1"/>
      <c r="K8473" s="1"/>
      <c r="L8473" s="1"/>
      <c r="M8473" s="1"/>
      <c r="N8473" s="1"/>
      <c r="O8473" s="1"/>
      <c r="P8473" s="1"/>
      <c r="Q8473" s="1"/>
      <c r="R8473" s="1"/>
      <c r="S8473" s="1"/>
      <c r="T8473" s="1"/>
      <c r="U8473" s="1"/>
      <c r="V8473" s="1"/>
      <c r="W8473" s="1"/>
      <c r="X8473" s="1"/>
      <c r="Y8473" s="1"/>
      <c r="Z8473" s="1"/>
      <c r="AA8473" s="1"/>
      <c r="AB8473" s="1"/>
    </row>
    <row r="8474" ht="50.25" customHeight="1">
      <c r="A8474" s="12">
        <v>8470.0</v>
      </c>
      <c r="B8474" s="13" t="s">
        <v>7680</v>
      </c>
      <c r="C8474" s="18" t="s">
        <v>8499</v>
      </c>
      <c r="D8474" s="1"/>
      <c r="E8474" s="1"/>
      <c r="F8474" s="1" t="str">
        <f>IFERROR(__xludf.DUMMYFUNCTION("GOOGLETRANSLATE(B8474, ""en"", ""fa"")
"),"درخواست برای معلمان")</f>
        <v>درخواست برای معلمان</v>
      </c>
      <c r="G8474" s="1" t="str">
        <f>IFERROR(__xludf.DUMMYFUNCTION("GOOGLETRANSLATE(C8474, ""en"", ""fa"")
"),"در مورد نقش هدف گذاری و برنامه ریزی عمل در ایجاد انگیزه در دانش آموزان برای دستیابی به اهداف خود بحث کنید.")</f>
        <v>در مورد نقش هدف گذاری و برنامه ریزی عمل در ایجاد انگیزه در دانش آموزان برای دستیابی به اهداف خود بحث کنید.</v>
      </c>
      <c r="H8474" s="1"/>
      <c r="I8474" s="1"/>
      <c r="J8474" s="1"/>
      <c r="K8474" s="1"/>
      <c r="L8474" s="1"/>
      <c r="M8474" s="1"/>
      <c r="N8474" s="1"/>
      <c r="O8474" s="1"/>
      <c r="P8474" s="1"/>
      <c r="Q8474" s="1"/>
      <c r="R8474" s="1"/>
      <c r="S8474" s="1"/>
      <c r="T8474" s="1"/>
      <c r="U8474" s="1"/>
      <c r="V8474" s="1"/>
      <c r="W8474" s="1"/>
      <c r="X8474" s="1"/>
      <c r="Y8474" s="1"/>
      <c r="Z8474" s="1"/>
      <c r="AA8474" s="1"/>
      <c r="AB8474" s="1"/>
    </row>
    <row r="8475" ht="50.25" customHeight="1">
      <c r="A8475" s="12">
        <v>8471.0</v>
      </c>
      <c r="B8475" s="13" t="s">
        <v>7680</v>
      </c>
      <c r="C8475" s="18" t="s">
        <v>8500</v>
      </c>
      <c r="D8475" s="1"/>
      <c r="E8475" s="1"/>
      <c r="F8475" s="1" t="str">
        <f>IFERROR(__xludf.DUMMYFUNCTION("GOOGLETRANSLATE(B8475, ""en"", ""fa"")
"),"درخواست برای معلمان")</f>
        <v>درخواست برای معلمان</v>
      </c>
      <c r="G8475" s="1" t="str">
        <f>IFERROR(__xludf.DUMMYFUNCTION("GOOGLETRANSLATE(C8475, ""en"", ""fa"")
"),"تجربیات خود را در مورد استراتژی های موفق برای پرورش حس کنجکاوی و شگفتی در دانش آموزان به اشتراک بگذارید.")</f>
        <v>تجربیات خود را در مورد استراتژی های موفق برای پرورش حس کنجکاوی و شگفتی در دانش آموزان به اشتراک بگذارید.</v>
      </c>
      <c r="H8475" s="1"/>
      <c r="I8475" s="1"/>
      <c r="J8475" s="1"/>
      <c r="K8475" s="1"/>
      <c r="L8475" s="1"/>
      <c r="M8475" s="1"/>
      <c r="N8475" s="1"/>
      <c r="O8475" s="1"/>
      <c r="P8475" s="1"/>
      <c r="Q8475" s="1"/>
      <c r="R8475" s="1"/>
      <c r="S8475" s="1"/>
      <c r="T8475" s="1"/>
      <c r="U8475" s="1"/>
      <c r="V8475" s="1"/>
      <c r="W8475" s="1"/>
      <c r="X8475" s="1"/>
      <c r="Y8475" s="1"/>
      <c r="Z8475" s="1"/>
      <c r="AA8475" s="1"/>
      <c r="AB8475" s="1"/>
    </row>
    <row r="8476" ht="50.25" customHeight="1">
      <c r="A8476" s="12">
        <v>8472.0</v>
      </c>
      <c r="B8476" s="13" t="s">
        <v>7680</v>
      </c>
      <c r="C8476" s="18" t="s">
        <v>8501</v>
      </c>
      <c r="D8476" s="1"/>
      <c r="E8476" s="1"/>
      <c r="F8476" s="1" t="str">
        <f>IFERROR(__xludf.DUMMYFUNCTION("GOOGLETRANSLATE(B8476, ""en"", ""fa"")
"),"درخواست برای معلمان")</f>
        <v>درخواست برای معلمان</v>
      </c>
      <c r="G8476" s="1" t="str">
        <f>IFERROR(__xludf.DUMMYFUNCTION("GOOGLETRANSLATE(C8476, ""en"", ""fa"")
"),"راه‌هایی را برای ترکیب تابلوهای انتخابی و آموزش متمایز برای افزایش انگیزه دانش‌آموز بررسی کنید.")</f>
        <v>راه‌هایی را برای ترکیب تابلوهای انتخابی و آموزش متمایز برای افزایش انگیزه دانش‌آموز بررسی کنید.</v>
      </c>
      <c r="H8476" s="1"/>
      <c r="I8476" s="1"/>
      <c r="J8476" s="1"/>
      <c r="K8476" s="1"/>
      <c r="L8476" s="1"/>
      <c r="M8476" s="1"/>
      <c r="N8476" s="1"/>
      <c r="O8476" s="1"/>
      <c r="P8476" s="1"/>
      <c r="Q8476" s="1"/>
      <c r="R8476" s="1"/>
      <c r="S8476" s="1"/>
      <c r="T8476" s="1"/>
      <c r="U8476" s="1"/>
      <c r="V8476" s="1"/>
      <c r="W8476" s="1"/>
      <c r="X8476" s="1"/>
      <c r="Y8476" s="1"/>
      <c r="Z8476" s="1"/>
      <c r="AA8476" s="1"/>
      <c r="AB8476" s="1"/>
    </row>
    <row r="8477" ht="50.25" customHeight="1">
      <c r="A8477" s="12">
        <v>8473.0</v>
      </c>
      <c r="B8477" s="13" t="s">
        <v>7680</v>
      </c>
      <c r="C8477" s="18" t="s">
        <v>8502</v>
      </c>
      <c r="D8477" s="1"/>
      <c r="E8477" s="1"/>
      <c r="F8477" s="1" t="str">
        <f>IFERROR(__xludf.DUMMYFUNCTION("GOOGLETRANSLATE(B8477, ""en"", ""fa"")
"),"درخواست برای معلمان")</f>
        <v>درخواست برای معلمان</v>
      </c>
      <c r="G8477" s="1" t="str">
        <f>IFERROR(__xludf.DUMMYFUNCTION("GOOGLETRANSLATE(C8477, ""en"", ""fa"")
"),"درباره تأثیر گنجاندن مشکلات دنیای واقعی و وظایف معتبر در برنامه درسی برای درگیر کردن دانش آموزان بحث کنید.")</f>
        <v>درباره تأثیر گنجاندن مشکلات دنیای واقعی و وظایف معتبر در برنامه درسی برای درگیر کردن دانش آموزان بحث کنید.</v>
      </c>
      <c r="H8477" s="1"/>
      <c r="I8477" s="1"/>
      <c r="J8477" s="1"/>
      <c r="K8477" s="1"/>
      <c r="L8477" s="1"/>
      <c r="M8477" s="1"/>
      <c r="N8477" s="1"/>
      <c r="O8477" s="1"/>
      <c r="P8477" s="1"/>
      <c r="Q8477" s="1"/>
      <c r="R8477" s="1"/>
      <c r="S8477" s="1"/>
      <c r="T8477" s="1"/>
      <c r="U8477" s="1"/>
      <c r="V8477" s="1"/>
      <c r="W8477" s="1"/>
      <c r="X8477" s="1"/>
      <c r="Y8477" s="1"/>
      <c r="Z8477" s="1"/>
      <c r="AA8477" s="1"/>
      <c r="AB8477" s="1"/>
    </row>
    <row r="8478" ht="50.25" customHeight="1">
      <c r="A8478" s="12">
        <v>8474.0</v>
      </c>
      <c r="B8478" s="13" t="s">
        <v>7680</v>
      </c>
      <c r="C8478" s="18" t="s">
        <v>8503</v>
      </c>
      <c r="D8478" s="1"/>
      <c r="E8478" s="1"/>
      <c r="F8478" s="1" t="str">
        <f>IFERROR(__xludf.DUMMYFUNCTION("GOOGLETRANSLATE(B8478, ""en"", ""fa"")
"),"درخواست برای معلمان")</f>
        <v>درخواست برای معلمان</v>
      </c>
      <c r="G8478" s="1" t="str">
        <f>IFERROR(__xludf.DUMMYFUNCTION("GOOGLETRANSLATE(C8478, ""en"", ""fa"")
"),"بینش خود را در مورد استراتژی های موثر برای ترویج حس تعلق و فراگیری در کلاس درس به اشتراک بگذارید.")</f>
        <v>بینش خود را در مورد استراتژی های موثر برای ترویج حس تعلق و فراگیری در کلاس درس به اشتراک بگذارید.</v>
      </c>
      <c r="H8478" s="1"/>
      <c r="I8478" s="1"/>
      <c r="J8478" s="1"/>
      <c r="K8478" s="1"/>
      <c r="L8478" s="1"/>
      <c r="M8478" s="1"/>
      <c r="N8478" s="1"/>
      <c r="O8478" s="1"/>
      <c r="P8478" s="1"/>
      <c r="Q8478" s="1"/>
      <c r="R8478" s="1"/>
      <c r="S8478" s="1"/>
      <c r="T8478" s="1"/>
      <c r="U8478" s="1"/>
      <c r="V8478" s="1"/>
      <c r="W8478" s="1"/>
      <c r="X8478" s="1"/>
      <c r="Y8478" s="1"/>
      <c r="Z8478" s="1"/>
      <c r="AA8478" s="1"/>
      <c r="AB8478" s="1"/>
    </row>
    <row r="8479" ht="50.25" customHeight="1">
      <c r="A8479" s="12">
        <v>8475.0</v>
      </c>
      <c r="B8479" s="13" t="s">
        <v>7680</v>
      </c>
      <c r="C8479" s="18" t="s">
        <v>8504</v>
      </c>
      <c r="D8479" s="1"/>
      <c r="E8479" s="1"/>
      <c r="F8479" s="1" t="str">
        <f>IFERROR(__xludf.DUMMYFUNCTION("GOOGLETRANSLATE(B8479, ""en"", ""fa"")
"),"درخواست برای معلمان")</f>
        <v>درخواست برای معلمان</v>
      </c>
      <c r="G8479" s="1" t="str">
        <f>IFERROR(__xludf.DUMMYFUNCTION("GOOGLETRANSLATE(C8479, ""en"", ""fa"")
"),"راه های استفاده از طنز و داستان سرایی برای ایجاد یک محیط یادگیری مثبت و جذاب را بررسی کنید.")</f>
        <v>راه های استفاده از طنز و داستان سرایی برای ایجاد یک محیط یادگیری مثبت و جذاب را بررسی کنید.</v>
      </c>
      <c r="H8479" s="1"/>
      <c r="I8479" s="1"/>
      <c r="J8479" s="1"/>
      <c r="K8479" s="1"/>
      <c r="L8479" s="1"/>
      <c r="M8479" s="1"/>
      <c r="N8479" s="1"/>
      <c r="O8479" s="1"/>
      <c r="P8479" s="1"/>
      <c r="Q8479" s="1"/>
      <c r="R8479" s="1"/>
      <c r="S8479" s="1"/>
      <c r="T8479" s="1"/>
      <c r="U8479" s="1"/>
      <c r="V8479" s="1"/>
      <c r="W8479" s="1"/>
      <c r="X8479" s="1"/>
      <c r="Y8479" s="1"/>
      <c r="Z8479" s="1"/>
      <c r="AA8479" s="1"/>
      <c r="AB8479" s="1"/>
    </row>
    <row r="8480" ht="50.25" customHeight="1">
      <c r="A8480" s="12">
        <v>8476.0</v>
      </c>
      <c r="B8480" s="13" t="s">
        <v>7680</v>
      </c>
      <c r="C8480" s="18" t="s">
        <v>8505</v>
      </c>
      <c r="D8480" s="1"/>
      <c r="E8480" s="1"/>
      <c r="F8480" s="1" t="str">
        <f>IFERROR(__xludf.DUMMYFUNCTION("GOOGLETRANSLATE(B8480, ""en"", ""fa"")
"),"درخواست برای معلمان")</f>
        <v>درخواست برای معلمان</v>
      </c>
      <c r="G8480" s="1" t="str">
        <f>IFERROR(__xludf.DUMMYFUNCTION("GOOGLETRANSLATE(C8480, ""en"", ""fa"")
"),"در مورد اهمیت ایجاد فرصت برای دانش آموزان برای به کارگیری یادگیری خود در زمینه های معنادار بحث کنید.")</f>
        <v>در مورد اهمیت ایجاد فرصت برای دانش آموزان برای به کارگیری یادگیری خود در زمینه های معنادار بحث کنید.</v>
      </c>
      <c r="H8480" s="1"/>
      <c r="I8480" s="1"/>
      <c r="J8480" s="1"/>
      <c r="K8480" s="1"/>
      <c r="L8480" s="1"/>
      <c r="M8480" s="1"/>
      <c r="N8480" s="1"/>
      <c r="O8480" s="1"/>
      <c r="P8480" s="1"/>
      <c r="Q8480" s="1"/>
      <c r="R8480" s="1"/>
      <c r="S8480" s="1"/>
      <c r="T8480" s="1"/>
      <c r="U8480" s="1"/>
      <c r="V8480" s="1"/>
      <c r="W8480" s="1"/>
      <c r="X8480" s="1"/>
      <c r="Y8480" s="1"/>
      <c r="Z8480" s="1"/>
      <c r="AA8480" s="1"/>
      <c r="AB8480" s="1"/>
    </row>
    <row r="8481" ht="50.25" customHeight="1">
      <c r="A8481" s="12">
        <v>8477.0</v>
      </c>
      <c r="B8481" s="13" t="s">
        <v>7680</v>
      </c>
      <c r="C8481" s="18" t="s">
        <v>8506</v>
      </c>
      <c r="D8481" s="1"/>
      <c r="E8481" s="1"/>
      <c r="F8481" s="1" t="str">
        <f>IFERROR(__xludf.DUMMYFUNCTION("GOOGLETRANSLATE(B8481, ""en"", ""fa"")
"),"درخواست برای معلمان")</f>
        <v>درخواست برای معلمان</v>
      </c>
      <c r="G8481" s="1" t="str">
        <f>IFERROR(__xludf.DUMMYFUNCTION("GOOGLETRANSLATE(C8481, ""en"", ""fa"")
"),"تجربیات خود را در مورد استراتژی های موفق برای استفاده از رویکردهای آموزشی دانش آموز محور برای افزایش انگیزه به اشتراک بگذارید.")</f>
        <v>تجربیات خود را در مورد استراتژی های موفق برای استفاده از رویکردهای آموزشی دانش آموز محور برای افزایش انگیزه به اشتراک بگذارید.</v>
      </c>
      <c r="H8481" s="1"/>
      <c r="I8481" s="1"/>
      <c r="J8481" s="1"/>
      <c r="K8481" s="1"/>
      <c r="L8481" s="1"/>
      <c r="M8481" s="1"/>
      <c r="N8481" s="1"/>
      <c r="O8481" s="1"/>
      <c r="P8481" s="1"/>
      <c r="Q8481" s="1"/>
      <c r="R8481" s="1"/>
      <c r="S8481" s="1"/>
      <c r="T8481" s="1"/>
      <c r="U8481" s="1"/>
      <c r="V8481" s="1"/>
      <c r="W8481" s="1"/>
      <c r="X8481" s="1"/>
      <c r="Y8481" s="1"/>
      <c r="Z8481" s="1"/>
      <c r="AA8481" s="1"/>
      <c r="AB8481" s="1"/>
    </row>
    <row r="8482" ht="50.25" customHeight="1">
      <c r="A8482" s="12">
        <v>8478.0</v>
      </c>
      <c r="B8482" s="13" t="s">
        <v>7680</v>
      </c>
      <c r="C8482" s="18" t="s">
        <v>8507</v>
      </c>
      <c r="D8482" s="1"/>
      <c r="E8482" s="1"/>
      <c r="F8482" s="1" t="str">
        <f>IFERROR(__xludf.DUMMYFUNCTION("GOOGLETRANSLATE(B8482, ""en"", ""fa"")
"),"درخواست برای معلمان")</f>
        <v>درخواست برای معلمان</v>
      </c>
      <c r="G8482" s="1" t="str">
        <f>IFERROR(__xludf.DUMMYFUNCTION("GOOGLETRANSLATE(C8482, ""en"", ""fa"")
"),"راه‌هایی برای استفاده از فناوری برای سفرهای میدانی مجازی و شبیه‌سازی‌های تعاملی برای جذب دانش‌آموزان را بررسی کنید.")</f>
        <v>راه‌هایی برای استفاده از فناوری برای سفرهای میدانی مجازی و شبیه‌سازی‌های تعاملی برای جذب دانش‌آموزان را بررسی کنید.</v>
      </c>
      <c r="H8482" s="1"/>
      <c r="I8482" s="1"/>
      <c r="J8482" s="1"/>
      <c r="K8482" s="1"/>
      <c r="L8482" s="1"/>
      <c r="M8482" s="1"/>
      <c r="N8482" s="1"/>
      <c r="O8482" s="1"/>
      <c r="P8482" s="1"/>
      <c r="Q8482" s="1"/>
      <c r="R8482" s="1"/>
      <c r="S8482" s="1"/>
      <c r="T8482" s="1"/>
      <c r="U8482" s="1"/>
      <c r="V8482" s="1"/>
      <c r="W8482" s="1"/>
      <c r="X8482" s="1"/>
      <c r="Y8482" s="1"/>
      <c r="Z8482" s="1"/>
      <c r="AA8482" s="1"/>
      <c r="AB8482" s="1"/>
    </row>
    <row r="8483" ht="50.25" customHeight="1">
      <c r="A8483" s="12">
        <v>8479.0</v>
      </c>
      <c r="B8483" s="13" t="s">
        <v>7680</v>
      </c>
      <c r="C8483" s="18" t="s">
        <v>8508</v>
      </c>
      <c r="D8483" s="1"/>
      <c r="E8483" s="1"/>
      <c r="F8483" s="1" t="str">
        <f>IFERROR(__xludf.DUMMYFUNCTION("GOOGLETRANSLATE(B8483, ""en"", ""fa"")
"),"درخواست برای معلمان")</f>
        <v>درخواست برای معلمان</v>
      </c>
      <c r="G8483" s="1" t="str">
        <f>IFERROR(__xludf.DUMMYFUNCTION("GOOGLETRANSLATE(C8483, ""en"", ""fa"")
"),"در مورد نقش خود ارزیابی و خود نظارتی در ارتقای انگیزه دانش آموزان بحث کنید.")</f>
        <v>در مورد نقش خود ارزیابی و خود نظارتی در ارتقای انگیزه دانش آموزان بحث کنید.</v>
      </c>
      <c r="H8483" s="1"/>
      <c r="I8483" s="1"/>
      <c r="J8483" s="1"/>
      <c r="K8483" s="1"/>
      <c r="L8483" s="1"/>
      <c r="M8483" s="1"/>
      <c r="N8483" s="1"/>
      <c r="O8483" s="1"/>
      <c r="P8483" s="1"/>
      <c r="Q8483" s="1"/>
      <c r="R8483" s="1"/>
      <c r="S8483" s="1"/>
      <c r="T8483" s="1"/>
      <c r="U8483" s="1"/>
      <c r="V8483" s="1"/>
      <c r="W8483" s="1"/>
      <c r="X8483" s="1"/>
      <c r="Y8483" s="1"/>
      <c r="Z8483" s="1"/>
      <c r="AA8483" s="1"/>
      <c r="AB8483" s="1"/>
    </row>
    <row r="8484" ht="50.25" customHeight="1">
      <c r="A8484" s="12">
        <v>8480.0</v>
      </c>
      <c r="B8484" s="13" t="s">
        <v>7680</v>
      </c>
      <c r="C8484" s="18" t="s">
        <v>8509</v>
      </c>
      <c r="D8484" s="1"/>
      <c r="E8484" s="1"/>
      <c r="F8484" s="1" t="str">
        <f>IFERROR(__xludf.DUMMYFUNCTION("GOOGLETRANSLATE(B8484, ""en"", ""fa"")
"),"درخواست برای معلمان")</f>
        <v>درخواست برای معلمان</v>
      </c>
      <c r="G8484" s="1" t="str">
        <f>IFERROR(__xludf.DUMMYFUNCTION("GOOGLETRANSLATE(C8484, ""en"", ""fa"")
"),"بینش خود را در مورد استراتژی های موثر برای تقویت روابط مثبت معلم و دانش آموز برای افزایش تعامل به اشتراک بگذارید.")</f>
        <v>بینش خود را در مورد استراتژی های موثر برای تقویت روابط مثبت معلم و دانش آموز برای افزایش تعامل به اشتراک بگذارید.</v>
      </c>
      <c r="H8484" s="1"/>
      <c r="I8484" s="1"/>
      <c r="J8484" s="1"/>
      <c r="K8484" s="1"/>
      <c r="L8484" s="1"/>
      <c r="M8484" s="1"/>
      <c r="N8484" s="1"/>
      <c r="O8484" s="1"/>
      <c r="P8484" s="1"/>
      <c r="Q8484" s="1"/>
      <c r="R8484" s="1"/>
      <c r="S8484" s="1"/>
      <c r="T8484" s="1"/>
      <c r="U8484" s="1"/>
      <c r="V8484" s="1"/>
      <c r="W8484" s="1"/>
      <c r="X8484" s="1"/>
      <c r="Y8484" s="1"/>
      <c r="Z8484" s="1"/>
      <c r="AA8484" s="1"/>
      <c r="AB8484" s="1"/>
    </row>
    <row r="8485" ht="50.25" customHeight="1">
      <c r="A8485" s="12">
        <v>8481.0</v>
      </c>
      <c r="B8485" s="13" t="s">
        <v>7680</v>
      </c>
      <c r="C8485" s="18" t="s">
        <v>8510</v>
      </c>
      <c r="D8485" s="1"/>
      <c r="E8485" s="1"/>
      <c r="F8485" s="1" t="str">
        <f>IFERROR(__xludf.DUMMYFUNCTION("GOOGLETRANSLATE(B8485, ""en"", ""fa"")
"),"درخواست برای معلمان")</f>
        <v>درخواست برای معلمان</v>
      </c>
      <c r="G8485" s="1" t="str">
        <f>IFERROR(__xludf.DUMMYFUNCTION("GOOGLETRANSLATE(C8485, ""en"", ""fa"")
"),"روش‌های استفاده از یادگیری مبتنی بر پروژه و وظایف حل مسئله برای ارتقای انگیزه دانش‌آموز را بررسی کنید.")</f>
        <v>روش‌های استفاده از یادگیری مبتنی بر پروژه و وظایف حل مسئله برای ارتقای انگیزه دانش‌آموز را بررسی کنید.</v>
      </c>
      <c r="H8485" s="1"/>
      <c r="I8485" s="1"/>
      <c r="J8485" s="1"/>
      <c r="K8485" s="1"/>
      <c r="L8485" s="1"/>
      <c r="M8485" s="1"/>
      <c r="N8485" s="1"/>
      <c r="O8485" s="1"/>
      <c r="P8485" s="1"/>
      <c r="Q8485" s="1"/>
      <c r="R8485" s="1"/>
      <c r="S8485" s="1"/>
      <c r="T8485" s="1"/>
      <c r="U8485" s="1"/>
      <c r="V8485" s="1"/>
      <c r="W8485" s="1"/>
      <c r="X8485" s="1"/>
      <c r="Y8485" s="1"/>
      <c r="Z8485" s="1"/>
      <c r="AA8485" s="1"/>
      <c r="AB8485" s="1"/>
    </row>
    <row r="8486" ht="50.25" customHeight="1">
      <c r="A8486" s="12">
        <v>8482.0</v>
      </c>
      <c r="B8486" s="13" t="s">
        <v>7680</v>
      </c>
      <c r="C8486" s="18" t="s">
        <v>8511</v>
      </c>
      <c r="D8486" s="1"/>
      <c r="E8486" s="1"/>
      <c r="F8486" s="1" t="str">
        <f>IFERROR(__xludf.DUMMYFUNCTION("GOOGLETRANSLATE(B8486, ""en"", ""fa"")
"),"درخواست برای معلمان")</f>
        <v>درخواست برای معلمان</v>
      </c>
      <c r="G8486" s="1" t="str">
        <f>IFERROR(__xludf.DUMMYFUNCTION("GOOGLETRANSLATE(C8486, ""en"", ""fa"")
"),"در مورد تأثیر گنجاندن انتخاب و انعطاف پذیری در تکالیف و ارزیابی ها بر انگیزه دانش آموزان بحث کنید.")</f>
        <v>در مورد تأثیر گنجاندن انتخاب و انعطاف پذیری در تکالیف و ارزیابی ها بر انگیزه دانش آموزان بحث کنید.</v>
      </c>
      <c r="H8486" s="1"/>
      <c r="I8486" s="1"/>
      <c r="J8486" s="1"/>
      <c r="K8486" s="1"/>
      <c r="L8486" s="1"/>
      <c r="M8486" s="1"/>
      <c r="N8486" s="1"/>
      <c r="O8486" s="1"/>
      <c r="P8486" s="1"/>
      <c r="Q8486" s="1"/>
      <c r="R8486" s="1"/>
      <c r="S8486" s="1"/>
      <c r="T8486" s="1"/>
      <c r="U8486" s="1"/>
      <c r="V8486" s="1"/>
      <c r="W8486" s="1"/>
      <c r="X8486" s="1"/>
      <c r="Y8486" s="1"/>
      <c r="Z8486" s="1"/>
      <c r="AA8486" s="1"/>
      <c r="AB8486" s="1"/>
    </row>
    <row r="8487" ht="50.25" customHeight="1">
      <c r="A8487" s="12">
        <v>8483.0</v>
      </c>
      <c r="B8487" s="13" t="s">
        <v>7680</v>
      </c>
      <c r="C8487" s="18" t="s">
        <v>8512</v>
      </c>
      <c r="D8487" s="1"/>
      <c r="E8487" s="1"/>
      <c r="F8487" s="1" t="str">
        <f>IFERROR(__xludf.DUMMYFUNCTION("GOOGLETRANSLATE(B8487, ""en"", ""fa"")
"),"درخواست برای معلمان")</f>
        <v>درخواست برای معلمان</v>
      </c>
      <c r="G8487" s="1" t="str">
        <f>IFERROR(__xludf.DUMMYFUNCTION("GOOGLETRANSLATE(C8487, ""en"", ""fa"")
"),"تجربیات خود را در مورد استراتژی های موفق برای ارتقای ذهنیت رشد و پشتکار در دانش آموزان به اشتراک بگذارید.")</f>
        <v>تجربیات خود را در مورد استراتژی های موفق برای ارتقای ذهنیت رشد و پشتکار در دانش آموزان به اشتراک بگذارید.</v>
      </c>
      <c r="H8487" s="1"/>
      <c r="I8487" s="1"/>
      <c r="J8487" s="1"/>
      <c r="K8487" s="1"/>
      <c r="L8487" s="1"/>
      <c r="M8487" s="1"/>
      <c r="N8487" s="1"/>
      <c r="O8487" s="1"/>
      <c r="P8487" s="1"/>
      <c r="Q8487" s="1"/>
      <c r="R8487" s="1"/>
      <c r="S8487" s="1"/>
      <c r="T8487" s="1"/>
      <c r="U8487" s="1"/>
      <c r="V8487" s="1"/>
      <c r="W8487" s="1"/>
      <c r="X8487" s="1"/>
      <c r="Y8487" s="1"/>
      <c r="Z8487" s="1"/>
      <c r="AA8487" s="1"/>
      <c r="AB8487" s="1"/>
    </row>
    <row r="8488" ht="50.25" customHeight="1">
      <c r="A8488" s="12">
        <v>8484.0</v>
      </c>
      <c r="B8488" s="13" t="s">
        <v>7680</v>
      </c>
      <c r="C8488" s="18" t="s">
        <v>8513</v>
      </c>
      <c r="D8488" s="1"/>
      <c r="E8488" s="1"/>
      <c r="F8488" s="1" t="str">
        <f>IFERROR(__xludf.DUMMYFUNCTION("GOOGLETRANSLATE(B8488, ""en"", ""fa"")
"),"درخواست برای معلمان")</f>
        <v>درخواست برای معلمان</v>
      </c>
      <c r="G8488" s="1" t="str">
        <f>IFERROR(__xludf.DUMMYFUNCTION("GOOGLETRANSLATE(C8488, ""en"", ""fa"")
"),"راه هایی را برای ارتباط برنامه درسی با علایق و آرزوهای شخصی دانش آموزان بررسی کنید.")</f>
        <v>راه هایی را برای ارتباط برنامه درسی با علایق و آرزوهای شخصی دانش آموزان بررسی کنید.</v>
      </c>
      <c r="H8488" s="1"/>
      <c r="I8488" s="1"/>
      <c r="J8488" s="1"/>
      <c r="K8488" s="1"/>
      <c r="L8488" s="1"/>
      <c r="M8488" s="1"/>
      <c r="N8488" s="1"/>
      <c r="O8488" s="1"/>
      <c r="P8488" s="1"/>
      <c r="Q8488" s="1"/>
      <c r="R8488" s="1"/>
      <c r="S8488" s="1"/>
      <c r="T8488" s="1"/>
      <c r="U8488" s="1"/>
      <c r="V8488" s="1"/>
      <c r="W8488" s="1"/>
      <c r="X8488" s="1"/>
      <c r="Y8488" s="1"/>
      <c r="Z8488" s="1"/>
      <c r="AA8488" s="1"/>
      <c r="AB8488" s="1"/>
    </row>
    <row r="8489" ht="50.25" customHeight="1">
      <c r="A8489" s="12">
        <v>8485.0</v>
      </c>
      <c r="B8489" s="13" t="s">
        <v>7680</v>
      </c>
      <c r="C8489" s="18" t="s">
        <v>8514</v>
      </c>
      <c r="D8489" s="1"/>
      <c r="E8489" s="1"/>
      <c r="F8489" s="1" t="str">
        <f>IFERROR(__xludf.DUMMYFUNCTION("GOOGLETRANSLATE(B8489, ""en"", ""fa"")
"),"درخواست برای معلمان")</f>
        <v>درخواست برای معلمان</v>
      </c>
      <c r="G8489" s="1" t="str">
        <f>IFERROR(__xludf.DUMMYFUNCTION("GOOGLETRANSLATE(C8489, ""en"", ""fa"")
"),"در مورد اهمیت فراهم کردن فرصت ها برای صدای دانش آموز و عاملیت در کلاس بحث کنید.")</f>
        <v>در مورد اهمیت فراهم کردن فرصت ها برای صدای دانش آموز و عاملیت در کلاس بحث کنید.</v>
      </c>
      <c r="H8489" s="1"/>
      <c r="I8489" s="1"/>
      <c r="J8489" s="1"/>
      <c r="K8489" s="1"/>
      <c r="L8489" s="1"/>
      <c r="M8489" s="1"/>
      <c r="N8489" s="1"/>
      <c r="O8489" s="1"/>
      <c r="P8489" s="1"/>
      <c r="Q8489" s="1"/>
      <c r="R8489" s="1"/>
      <c r="S8489" s="1"/>
      <c r="T8489" s="1"/>
      <c r="U8489" s="1"/>
      <c r="V8489" s="1"/>
      <c r="W8489" s="1"/>
      <c r="X8489" s="1"/>
      <c r="Y8489" s="1"/>
      <c r="Z8489" s="1"/>
      <c r="AA8489" s="1"/>
      <c r="AB8489" s="1"/>
    </row>
    <row r="8490" ht="50.25" customHeight="1">
      <c r="A8490" s="12">
        <v>8486.0</v>
      </c>
      <c r="B8490" s="13" t="s">
        <v>7680</v>
      </c>
      <c r="C8490" s="18" t="s">
        <v>8515</v>
      </c>
      <c r="D8490" s="1"/>
      <c r="E8490" s="1"/>
      <c r="F8490" s="1" t="str">
        <f>IFERROR(__xludf.DUMMYFUNCTION("GOOGLETRANSLATE(B8490, ""en"", ""fa"")
"),"درخواست برای معلمان")</f>
        <v>درخواست برای معلمان</v>
      </c>
      <c r="G8490" s="1" t="str">
        <f>IFERROR(__xludf.DUMMYFUNCTION("GOOGLETRANSLATE(C8490, ""en"", ""fa"")
"),"بینش خود را در مورد راهبردهای مؤثر برای ارتقای خودتنظیمی و خودانگیختگی در دانش آموزان به اشتراک بگذارید.")</f>
        <v>بینش خود را در مورد راهبردهای مؤثر برای ارتقای خودتنظیمی و خودانگیختگی در دانش آموزان به اشتراک بگذارید.</v>
      </c>
      <c r="H8490" s="1"/>
      <c r="I8490" s="1"/>
      <c r="J8490" s="1"/>
      <c r="K8490" s="1"/>
      <c r="L8490" s="1"/>
      <c r="M8490" s="1"/>
      <c r="N8490" s="1"/>
      <c r="O8490" s="1"/>
      <c r="P8490" s="1"/>
      <c r="Q8490" s="1"/>
      <c r="R8490" s="1"/>
      <c r="S8490" s="1"/>
      <c r="T8490" s="1"/>
      <c r="U8490" s="1"/>
      <c r="V8490" s="1"/>
      <c r="W8490" s="1"/>
      <c r="X8490" s="1"/>
      <c r="Y8490" s="1"/>
      <c r="Z8490" s="1"/>
      <c r="AA8490" s="1"/>
      <c r="AB8490" s="1"/>
    </row>
    <row r="8491" ht="50.25" customHeight="1">
      <c r="A8491" s="12">
        <v>8487.0</v>
      </c>
      <c r="B8491" s="13" t="s">
        <v>7680</v>
      </c>
      <c r="C8491" s="18" t="s">
        <v>8516</v>
      </c>
      <c r="D8491" s="1"/>
      <c r="E8491" s="1"/>
      <c r="F8491" s="1" t="str">
        <f>IFERROR(__xludf.DUMMYFUNCTION("GOOGLETRANSLATE(B8491, ""en"", ""fa"")
"),"درخواست برای معلمان")</f>
        <v>درخواست برای معلمان</v>
      </c>
      <c r="G8491" s="1" t="str">
        <f>IFERROR(__xludf.DUMMYFUNCTION("GOOGLETRANSLATE(C8491, ""en"", ""fa"")
"),"راه‌هایی برای استفاده از فناوری برای همکاری و ارتباطات مجازی برای جلب مشارکت دانش‌آموزان بررسی کنید.")</f>
        <v>راه‌هایی برای استفاده از فناوری برای همکاری و ارتباطات مجازی برای جلب مشارکت دانش‌آموزان بررسی کنید.</v>
      </c>
      <c r="H8491" s="1"/>
      <c r="I8491" s="1"/>
      <c r="J8491" s="1"/>
      <c r="K8491" s="1"/>
      <c r="L8491" s="1"/>
      <c r="M8491" s="1"/>
      <c r="N8491" s="1"/>
      <c r="O8491" s="1"/>
      <c r="P8491" s="1"/>
      <c r="Q8491" s="1"/>
      <c r="R8491" s="1"/>
      <c r="S8491" s="1"/>
      <c r="T8491" s="1"/>
      <c r="U8491" s="1"/>
      <c r="V8491" s="1"/>
      <c r="W8491" s="1"/>
      <c r="X8491" s="1"/>
      <c r="Y8491" s="1"/>
      <c r="Z8491" s="1"/>
      <c r="AA8491" s="1"/>
      <c r="AB8491" s="1"/>
    </row>
    <row r="8492" ht="50.25" customHeight="1">
      <c r="A8492" s="12">
        <v>8488.0</v>
      </c>
      <c r="B8492" s="13" t="s">
        <v>7680</v>
      </c>
      <c r="C8492" s="18" t="s">
        <v>8517</v>
      </c>
      <c r="D8492" s="1"/>
      <c r="E8492" s="1"/>
      <c r="F8492" s="1" t="str">
        <f>IFERROR(__xludf.DUMMYFUNCTION("GOOGLETRANSLATE(B8492, ""en"", ""fa"")
"),"درخواست برای معلمان")</f>
        <v>درخواست برای معلمان</v>
      </c>
      <c r="G8492" s="1" t="str">
        <f>IFERROR(__xludf.DUMMYFUNCTION("GOOGLETRANSLATE(C8492, ""en"", ""fa"")
"),"در مورد نقش جشن های هدف و پاداش در ایجاد انگیزه در دانش آموزان برای دستیابی به اهداف خود بحث کنید.")</f>
        <v>در مورد نقش جشن های هدف و پاداش در ایجاد انگیزه در دانش آموزان برای دستیابی به اهداف خود بحث کنید.</v>
      </c>
      <c r="H8492" s="1"/>
      <c r="I8492" s="1"/>
      <c r="J8492" s="1"/>
      <c r="K8492" s="1"/>
      <c r="L8492" s="1"/>
      <c r="M8492" s="1"/>
      <c r="N8492" s="1"/>
      <c r="O8492" s="1"/>
      <c r="P8492" s="1"/>
      <c r="Q8492" s="1"/>
      <c r="R8492" s="1"/>
      <c r="S8492" s="1"/>
      <c r="T8492" s="1"/>
      <c r="U8492" s="1"/>
      <c r="V8492" s="1"/>
      <c r="W8492" s="1"/>
      <c r="X8492" s="1"/>
      <c r="Y8492" s="1"/>
      <c r="Z8492" s="1"/>
      <c r="AA8492" s="1"/>
      <c r="AB8492" s="1"/>
    </row>
    <row r="8493" ht="50.25" customHeight="1">
      <c r="A8493" s="12">
        <v>8489.0</v>
      </c>
      <c r="B8493" s="13" t="s">
        <v>7680</v>
      </c>
      <c r="C8493" s="18" t="s">
        <v>8518</v>
      </c>
      <c r="D8493" s="1"/>
      <c r="E8493" s="1"/>
      <c r="F8493" s="1" t="str">
        <f>IFERROR(__xludf.DUMMYFUNCTION("GOOGLETRANSLATE(B8493, ""en"", ""fa"")
"),"درخواست برای معلمان")</f>
        <v>درخواست برای معلمان</v>
      </c>
      <c r="G8493" s="1" t="str">
        <f>IFERROR(__xludf.DUMMYFUNCTION("GOOGLETRANSLATE(C8493, ""en"", ""fa"")
"),"تجربیات خود را در مورد استراتژی های موفق برای تقویت حس هدف و ارتباط در یادگیری دانش آموزان به اشتراک بگذارید.")</f>
        <v>تجربیات خود را در مورد استراتژی های موفق برای تقویت حس هدف و ارتباط در یادگیری دانش آموزان به اشتراک بگذارید.</v>
      </c>
      <c r="H8493" s="1"/>
      <c r="I8493" s="1"/>
      <c r="J8493" s="1"/>
      <c r="K8493" s="1"/>
      <c r="L8493" s="1"/>
      <c r="M8493" s="1"/>
      <c r="N8493" s="1"/>
      <c r="O8493" s="1"/>
      <c r="P8493" s="1"/>
      <c r="Q8493" s="1"/>
      <c r="R8493" s="1"/>
      <c r="S8493" s="1"/>
      <c r="T8493" s="1"/>
      <c r="U8493" s="1"/>
      <c r="V8493" s="1"/>
      <c r="W8493" s="1"/>
      <c r="X8493" s="1"/>
      <c r="Y8493" s="1"/>
      <c r="Z8493" s="1"/>
      <c r="AA8493" s="1"/>
      <c r="AB8493" s="1"/>
    </row>
    <row r="8494" ht="50.25" customHeight="1">
      <c r="A8494" s="12">
        <v>8490.0</v>
      </c>
      <c r="B8494" s="13" t="s">
        <v>7680</v>
      </c>
      <c r="C8494" s="18" t="s">
        <v>8519</v>
      </c>
      <c r="D8494" s="1"/>
      <c r="E8494" s="1"/>
      <c r="F8494" s="1" t="str">
        <f>IFERROR(__xludf.DUMMYFUNCTION("GOOGLETRANSLATE(B8494, ""en"", ""fa"")
"),"درخواست برای معلمان")</f>
        <v>درخواست برای معلمان</v>
      </c>
      <c r="G8494" s="1" t="str">
        <f>IFERROR(__xludf.DUMMYFUNCTION("GOOGLETRANSLATE(C8494, ""en"", ""fa"")
"),"راه های ایجاد یک محیط یادگیری مثبت و انگیزشی را از طریق طراحی کلاس درس بررسی کنید.")</f>
        <v>راه های ایجاد یک محیط یادگیری مثبت و انگیزشی را از طریق طراحی کلاس درس بررسی کنید.</v>
      </c>
      <c r="H8494" s="1"/>
      <c r="I8494" s="1"/>
      <c r="J8494" s="1"/>
      <c r="K8494" s="1"/>
      <c r="L8494" s="1"/>
      <c r="M8494" s="1"/>
      <c r="N8494" s="1"/>
      <c r="O8494" s="1"/>
      <c r="P8494" s="1"/>
      <c r="Q8494" s="1"/>
      <c r="R8494" s="1"/>
      <c r="S8494" s="1"/>
      <c r="T8494" s="1"/>
      <c r="U8494" s="1"/>
      <c r="V8494" s="1"/>
      <c r="W8494" s="1"/>
      <c r="X8494" s="1"/>
      <c r="Y8494" s="1"/>
      <c r="Z8494" s="1"/>
      <c r="AA8494" s="1"/>
      <c r="AB8494" s="1"/>
    </row>
    <row r="8495" ht="50.25" customHeight="1">
      <c r="A8495" s="12">
        <v>8491.0</v>
      </c>
      <c r="B8495" s="13" t="s">
        <v>7680</v>
      </c>
      <c r="C8495" s="18" t="s">
        <v>8520</v>
      </c>
      <c r="D8495" s="1"/>
      <c r="E8495" s="1"/>
      <c r="F8495" s="1" t="str">
        <f>IFERROR(__xludf.DUMMYFUNCTION("GOOGLETRANSLATE(B8495, ""en"", ""fa"")
"),"درخواست برای معلمان")</f>
        <v>درخواست برای معلمان</v>
      </c>
      <c r="G8495" s="1" t="str">
        <f>IFERROR(__xludf.DUMMYFUNCTION("GOOGLETRANSLATE(C8495, ""en"", ""fa"")
"),"در مورد تأثیر بازخورد همسالان و همکاری همسالان بر انگیزه دانش آموزان بحث کنید.")</f>
        <v>در مورد تأثیر بازخورد همسالان و همکاری همسالان بر انگیزه دانش آموزان بحث کنید.</v>
      </c>
      <c r="H8495" s="1"/>
      <c r="I8495" s="1"/>
      <c r="J8495" s="1"/>
      <c r="K8495" s="1"/>
      <c r="L8495" s="1"/>
      <c r="M8495" s="1"/>
      <c r="N8495" s="1"/>
      <c r="O8495" s="1"/>
      <c r="P8495" s="1"/>
      <c r="Q8495" s="1"/>
      <c r="R8495" s="1"/>
      <c r="S8495" s="1"/>
      <c r="T8495" s="1"/>
      <c r="U8495" s="1"/>
      <c r="V8495" s="1"/>
      <c r="W8495" s="1"/>
      <c r="X8495" s="1"/>
      <c r="Y8495" s="1"/>
      <c r="Z8495" s="1"/>
      <c r="AA8495" s="1"/>
      <c r="AB8495" s="1"/>
    </row>
    <row r="8496" ht="50.25" customHeight="1">
      <c r="A8496" s="12">
        <v>8492.0</v>
      </c>
      <c r="B8496" s="13" t="s">
        <v>7680</v>
      </c>
      <c r="C8496" s="18" t="s">
        <v>8521</v>
      </c>
      <c r="D8496" s="1"/>
      <c r="E8496" s="1"/>
      <c r="F8496" s="1" t="str">
        <f>IFERROR(__xludf.DUMMYFUNCTION("GOOGLETRANSLATE(B8496, ""en"", ""fa"")
"),"درخواست برای معلمان")</f>
        <v>درخواست برای معلمان</v>
      </c>
      <c r="G8496" s="1" t="str">
        <f>IFERROR(__xludf.DUMMYFUNCTION("GOOGLETRANSLATE(C8496, ""en"", ""fa"")
"),"بینش خود را در مورد راهبردهای مؤثر برای ترویج طرز فکر مثبت و غلبه بر موانع در یادگیری دانش آموزان به اشتراک بگذارید.")</f>
        <v>بینش خود را در مورد راهبردهای مؤثر برای ترویج طرز فکر مثبت و غلبه بر موانع در یادگیری دانش آموزان به اشتراک بگذارید.</v>
      </c>
      <c r="H8496" s="1"/>
      <c r="I8496" s="1"/>
      <c r="J8496" s="1"/>
      <c r="K8496" s="1"/>
      <c r="L8496" s="1"/>
      <c r="M8496" s="1"/>
      <c r="N8496" s="1"/>
      <c r="O8496" s="1"/>
      <c r="P8496" s="1"/>
      <c r="Q8496" s="1"/>
      <c r="R8496" s="1"/>
      <c r="S8496" s="1"/>
      <c r="T8496" s="1"/>
      <c r="U8496" s="1"/>
      <c r="V8496" s="1"/>
      <c r="W8496" s="1"/>
      <c r="X8496" s="1"/>
      <c r="Y8496" s="1"/>
      <c r="Z8496" s="1"/>
      <c r="AA8496" s="1"/>
      <c r="AB8496" s="1"/>
    </row>
    <row r="8497" ht="50.25" customHeight="1">
      <c r="A8497" s="12">
        <v>8493.0</v>
      </c>
      <c r="B8497" s="13" t="s">
        <v>7680</v>
      </c>
      <c r="C8497" s="18" t="s">
        <v>8522</v>
      </c>
      <c r="D8497" s="1"/>
      <c r="E8497" s="1"/>
      <c r="F8497" s="1" t="str">
        <f>IFERROR(__xludf.DUMMYFUNCTION("GOOGLETRANSLATE(B8497, ""en"", ""fa"")
"),"درخواست برای معلمان")</f>
        <v>درخواست برای معلمان</v>
      </c>
      <c r="G8497" s="1" t="str">
        <f>IFERROR(__xludf.DUMMYFUNCTION("GOOGLETRANSLATE(C8497, ""en"", ""fa"")
"),"راه‌هایی را برای استفاده از یادگیری مبتنی بر پروژه و ارزیابی‌های معتبر برای افزایش مشارکت دانش‌آموز بررسی کنید.")</f>
        <v>راه‌هایی را برای استفاده از یادگیری مبتنی بر پروژه و ارزیابی‌های معتبر برای افزایش مشارکت دانش‌آموز بررسی کنید.</v>
      </c>
      <c r="H8497" s="1"/>
      <c r="I8497" s="1"/>
      <c r="J8497" s="1"/>
      <c r="K8497" s="1"/>
      <c r="L8497" s="1"/>
      <c r="M8497" s="1"/>
      <c r="N8497" s="1"/>
      <c r="O8497" s="1"/>
      <c r="P8497" s="1"/>
      <c r="Q8497" s="1"/>
      <c r="R8497" s="1"/>
      <c r="S8497" s="1"/>
      <c r="T8497" s="1"/>
      <c r="U8497" s="1"/>
      <c r="V8497" s="1"/>
      <c r="W8497" s="1"/>
      <c r="X8497" s="1"/>
      <c r="Y8497" s="1"/>
      <c r="Z8497" s="1"/>
      <c r="AA8497" s="1"/>
      <c r="AB8497" s="1"/>
    </row>
    <row r="8498" ht="50.25" customHeight="1">
      <c r="A8498" s="12">
        <v>8494.0</v>
      </c>
      <c r="B8498" s="13" t="s">
        <v>7680</v>
      </c>
      <c r="C8498" s="18" t="s">
        <v>8523</v>
      </c>
      <c r="D8498" s="1"/>
      <c r="E8498" s="1"/>
      <c r="F8498" s="1" t="str">
        <f>IFERROR(__xludf.DUMMYFUNCTION("GOOGLETRANSLATE(B8498, ""en"", ""fa"")
"),"درخواست برای معلمان")</f>
        <v>درخواست برای معلمان</v>
      </c>
      <c r="G8498" s="1" t="str">
        <f>IFERROR(__xludf.DUMMYFUNCTION("GOOGLETRANSLATE(C8498, ""en"", ""fa"")
"),"در مورد اهمیت ترویج ذهنیت رشد و پذیرش چالش ها در انگیزش دانش آموزان بحث کنید.")</f>
        <v>در مورد اهمیت ترویج ذهنیت رشد و پذیرش چالش ها در انگیزش دانش آموزان بحث کنید.</v>
      </c>
      <c r="H8498" s="1"/>
      <c r="I8498" s="1"/>
      <c r="J8498" s="1"/>
      <c r="K8498" s="1"/>
      <c r="L8498" s="1"/>
      <c r="M8498" s="1"/>
      <c r="N8498" s="1"/>
      <c r="O8498" s="1"/>
      <c r="P8498" s="1"/>
      <c r="Q8498" s="1"/>
      <c r="R8498" s="1"/>
      <c r="S8498" s="1"/>
      <c r="T8498" s="1"/>
      <c r="U8498" s="1"/>
      <c r="V8498" s="1"/>
      <c r="W8498" s="1"/>
      <c r="X8498" s="1"/>
      <c r="Y8498" s="1"/>
      <c r="Z8498" s="1"/>
      <c r="AA8498" s="1"/>
      <c r="AB8498" s="1"/>
    </row>
    <row r="8499" ht="50.25" customHeight="1">
      <c r="A8499" s="12">
        <v>8495.0</v>
      </c>
      <c r="B8499" s="13" t="s">
        <v>7680</v>
      </c>
      <c r="C8499" s="18" t="s">
        <v>8524</v>
      </c>
      <c r="D8499" s="1"/>
      <c r="E8499" s="1"/>
      <c r="F8499" s="1" t="str">
        <f>IFERROR(__xludf.DUMMYFUNCTION("GOOGLETRANSLATE(B8499, ""en"", ""fa"")
"),"درخواست برای معلمان")</f>
        <v>درخواست برای معلمان</v>
      </c>
      <c r="G8499" s="1" t="str">
        <f>IFERROR(__xludf.DUMMYFUNCTION("GOOGLETRANSLATE(C8499, ""en"", ""fa"")
"),"تجربیات خود را در مورد استراتژی های موفق برای گنجاندن انتخاب دانش آموز و نمایندگی در فرآیند ارزیابی به اشتراک بگذارید.")</f>
        <v>تجربیات خود را در مورد استراتژی های موفق برای گنجاندن انتخاب دانش آموز و نمایندگی در فرآیند ارزیابی به اشتراک بگذارید.</v>
      </c>
      <c r="H8499" s="1"/>
      <c r="I8499" s="1"/>
      <c r="J8499" s="1"/>
      <c r="K8499" s="1"/>
      <c r="L8499" s="1"/>
      <c r="M8499" s="1"/>
      <c r="N8499" s="1"/>
      <c r="O8499" s="1"/>
      <c r="P8499" s="1"/>
      <c r="Q8499" s="1"/>
      <c r="R8499" s="1"/>
      <c r="S8499" s="1"/>
      <c r="T8499" s="1"/>
      <c r="U8499" s="1"/>
      <c r="V8499" s="1"/>
      <c r="W8499" s="1"/>
      <c r="X8499" s="1"/>
      <c r="Y8499" s="1"/>
      <c r="Z8499" s="1"/>
      <c r="AA8499" s="1"/>
      <c r="AB8499" s="1"/>
    </row>
    <row r="8500" ht="50.25" customHeight="1">
      <c r="A8500" s="12">
        <v>8496.0</v>
      </c>
      <c r="B8500" s="13" t="s">
        <v>7680</v>
      </c>
      <c r="C8500" s="18" t="s">
        <v>8525</v>
      </c>
      <c r="D8500" s="1"/>
      <c r="E8500" s="1"/>
      <c r="F8500" s="1" t="str">
        <f>IFERROR(__xludf.DUMMYFUNCTION("GOOGLETRANSLATE(B8500, ""en"", ""fa"")
"),"درخواست برای معلمان")</f>
        <v>درخواست برای معلمان</v>
      </c>
      <c r="G8500" s="1" t="str">
        <f>IFERROR(__xludf.DUMMYFUNCTION("GOOGLETRANSLATE(C8500, ""en"", ""fa"")
"),"راه‌هایی را برای استفاده از ابزارهای فناوری برای آزمون‌ها و بازی‌های تعاملی برای جذب دانش‌آموزان بررسی کنید.")</f>
        <v>راه‌هایی را برای استفاده از ابزارهای فناوری برای آزمون‌ها و بازی‌های تعاملی برای جذب دانش‌آموزان بررسی کنید.</v>
      </c>
      <c r="H8500" s="1"/>
      <c r="I8500" s="1"/>
      <c r="J8500" s="1"/>
      <c r="K8500" s="1"/>
      <c r="L8500" s="1"/>
      <c r="M8500" s="1"/>
      <c r="N8500" s="1"/>
      <c r="O8500" s="1"/>
      <c r="P8500" s="1"/>
      <c r="Q8500" s="1"/>
      <c r="R8500" s="1"/>
      <c r="S8500" s="1"/>
      <c r="T8500" s="1"/>
      <c r="U8500" s="1"/>
      <c r="V8500" s="1"/>
      <c r="W8500" s="1"/>
      <c r="X8500" s="1"/>
      <c r="Y8500" s="1"/>
      <c r="Z8500" s="1"/>
      <c r="AA8500" s="1"/>
      <c r="AB8500" s="1"/>
    </row>
    <row r="8501" ht="50.25" customHeight="1">
      <c r="A8501" s="12">
        <v>8497.0</v>
      </c>
      <c r="B8501" s="13" t="s">
        <v>7680</v>
      </c>
      <c r="C8501" s="18" t="s">
        <v>8526</v>
      </c>
      <c r="D8501" s="1"/>
      <c r="E8501" s="1"/>
      <c r="F8501" s="1" t="str">
        <f>IFERROR(__xludf.DUMMYFUNCTION("GOOGLETRANSLATE(B8501, ""en"", ""fa"")
"),"درخواست برای معلمان")</f>
        <v>درخواست برای معلمان</v>
      </c>
      <c r="G8501" s="1" t="str">
        <f>IFERROR(__xludf.DUMMYFUNCTION("GOOGLETRANSLATE(C8501, ""en"", ""fa"")
"),"در مورد نقش هدف گذاری و برنامه ریزی عمل در ایجاد انگیزه در دانش آموزان به سمت موفقیت بلندمدت بحث کنید.")</f>
        <v>در مورد نقش هدف گذاری و برنامه ریزی عمل در ایجاد انگیزه در دانش آموزان به سمت موفقیت بلندمدت بحث کنید.</v>
      </c>
      <c r="H8501" s="1"/>
      <c r="I8501" s="1"/>
      <c r="J8501" s="1"/>
      <c r="K8501" s="1"/>
      <c r="L8501" s="1"/>
      <c r="M8501" s="1"/>
      <c r="N8501" s="1"/>
      <c r="O8501" s="1"/>
      <c r="P8501" s="1"/>
      <c r="Q8501" s="1"/>
      <c r="R8501" s="1"/>
      <c r="S8501" s="1"/>
      <c r="T8501" s="1"/>
      <c r="U8501" s="1"/>
      <c r="V8501" s="1"/>
      <c r="W8501" s="1"/>
      <c r="X8501" s="1"/>
      <c r="Y8501" s="1"/>
      <c r="Z8501" s="1"/>
      <c r="AA8501" s="1"/>
      <c r="AB8501" s="1"/>
    </row>
    <row r="8502" ht="50.25" customHeight="1">
      <c r="A8502" s="12">
        <v>8498.0</v>
      </c>
      <c r="B8502" s="13" t="s">
        <v>7680</v>
      </c>
      <c r="C8502" s="18" t="s">
        <v>8527</v>
      </c>
      <c r="D8502" s="1"/>
      <c r="E8502" s="1"/>
      <c r="F8502" s="1" t="str">
        <f>IFERROR(__xludf.DUMMYFUNCTION("GOOGLETRANSLATE(B8502, ""en"", ""fa"")
"),"درخواست برای معلمان")</f>
        <v>درخواست برای معلمان</v>
      </c>
      <c r="G8502" s="1" t="str">
        <f>IFERROR(__xludf.DUMMYFUNCTION("GOOGLETRANSLATE(C8502, ""en"", ""fa"")
"),"بینش خود را در مورد استراتژی های موثر برای ارتقای اعتماد به نفس و خودانگاره مثبت در دانش آموزان به اشتراک بگذارید.")</f>
        <v>بینش خود را در مورد استراتژی های موثر برای ارتقای اعتماد به نفس و خودانگاره مثبت در دانش آموزان به اشتراک بگذارید.</v>
      </c>
      <c r="H8502" s="1"/>
      <c r="I8502" s="1"/>
      <c r="J8502" s="1"/>
      <c r="K8502" s="1"/>
      <c r="L8502" s="1"/>
      <c r="M8502" s="1"/>
      <c r="N8502" s="1"/>
      <c r="O8502" s="1"/>
      <c r="P8502" s="1"/>
      <c r="Q8502" s="1"/>
      <c r="R8502" s="1"/>
      <c r="S8502" s="1"/>
      <c r="T8502" s="1"/>
      <c r="U8502" s="1"/>
      <c r="V8502" s="1"/>
      <c r="W8502" s="1"/>
      <c r="X8502" s="1"/>
      <c r="Y8502" s="1"/>
      <c r="Z8502" s="1"/>
      <c r="AA8502" s="1"/>
      <c r="AB8502" s="1"/>
    </row>
    <row r="8503" ht="50.25" customHeight="1">
      <c r="A8503" s="12">
        <v>8499.0</v>
      </c>
      <c r="B8503" s="13" t="s">
        <v>7680</v>
      </c>
      <c r="C8503" s="18" t="s">
        <v>8528</v>
      </c>
      <c r="D8503" s="1"/>
      <c r="E8503" s="1"/>
      <c r="F8503" s="1" t="str">
        <f>IFERROR(__xludf.DUMMYFUNCTION("GOOGLETRANSLATE(B8503, ""en"", ""fa"")
"),"درخواست برای معلمان")</f>
        <v>درخواست برای معلمان</v>
      </c>
      <c r="G8503" s="1" t="str">
        <f>IFERROR(__xludf.DUMMYFUNCTION("GOOGLETRANSLATE(C8503, ""en"", ""fa"")
"),"راه های استفاده از یادگیری مبتنی بر پروژه و برنامه های کاربردی دنیای واقعی را برای افزایش انگیزه دانش آموزان بررسی کنید.")</f>
        <v>راه های استفاده از یادگیری مبتنی بر پروژه و برنامه های کاربردی دنیای واقعی را برای افزایش انگیزه دانش آموزان بررسی کنید.</v>
      </c>
      <c r="H8503" s="1"/>
      <c r="I8503" s="1"/>
      <c r="J8503" s="1"/>
      <c r="K8503" s="1"/>
      <c r="L8503" s="1"/>
      <c r="M8503" s="1"/>
      <c r="N8503" s="1"/>
      <c r="O8503" s="1"/>
      <c r="P8503" s="1"/>
      <c r="Q8503" s="1"/>
      <c r="R8503" s="1"/>
      <c r="S8503" s="1"/>
      <c r="T8503" s="1"/>
      <c r="U8503" s="1"/>
      <c r="V8503" s="1"/>
      <c r="W8503" s="1"/>
      <c r="X8503" s="1"/>
      <c r="Y8503" s="1"/>
      <c r="Z8503" s="1"/>
      <c r="AA8503" s="1"/>
      <c r="AB8503" s="1"/>
    </row>
    <row r="8504" ht="50.25" customHeight="1">
      <c r="A8504" s="12">
        <v>8500.0</v>
      </c>
      <c r="B8504" s="13" t="s">
        <v>7680</v>
      </c>
      <c r="C8504" s="18" t="s">
        <v>8529</v>
      </c>
      <c r="D8504" s="1"/>
      <c r="E8504" s="1"/>
      <c r="F8504" s="1" t="str">
        <f>IFERROR(__xludf.DUMMYFUNCTION("GOOGLETRANSLATE(B8504, ""en"", ""fa"")
"),"درخواست برای معلمان")</f>
        <v>درخواست برای معلمان</v>
      </c>
      <c r="G8504" s="1" t="str">
        <f>IFERROR(__xludf.DUMMYFUNCTION("GOOGLETRANSLATE(C8504, ""en"", ""fa"")
"),"درباره تأثیر گنجاندن علایق و علایق دانش‌آموز در برنامه درسی بر مشارکت دانش‌آموز بحث کنید.")</f>
        <v>درباره تأثیر گنجاندن علایق و علایق دانش‌آموز در برنامه درسی بر مشارکت دانش‌آموز بحث کنید.</v>
      </c>
      <c r="H8504" s="1"/>
      <c r="I8504" s="1"/>
      <c r="J8504" s="1"/>
      <c r="K8504" s="1"/>
      <c r="L8504" s="1"/>
      <c r="M8504" s="1"/>
      <c r="N8504" s="1"/>
      <c r="O8504" s="1"/>
      <c r="P8504" s="1"/>
      <c r="Q8504" s="1"/>
      <c r="R8504" s="1"/>
      <c r="S8504" s="1"/>
      <c r="T8504" s="1"/>
      <c r="U8504" s="1"/>
      <c r="V8504" s="1"/>
      <c r="W8504" s="1"/>
      <c r="X8504" s="1"/>
      <c r="Y8504" s="1"/>
      <c r="Z8504" s="1"/>
      <c r="AA8504" s="1"/>
      <c r="AB8504" s="1"/>
    </row>
    <row r="8505" ht="50.25" customHeight="1">
      <c r="A8505" s="12">
        <v>8501.0</v>
      </c>
      <c r="B8505" s="13" t="s">
        <v>7680</v>
      </c>
      <c r="C8505" s="18" t="s">
        <v>8530</v>
      </c>
      <c r="D8505" s="1"/>
      <c r="E8505" s="1"/>
      <c r="F8505" s="1" t="str">
        <f>IFERROR(__xludf.DUMMYFUNCTION("GOOGLETRANSLATE(B8505, ""en"", ""fa"")
"),"درخواست برای معلمان")</f>
        <v>درخواست برای معلمان</v>
      </c>
      <c r="G8505" s="1" t="str">
        <f>IFERROR(__xludf.DUMMYFUNCTION("GOOGLETRANSLATE(C8505, ""en"", ""fa"")
"),"تجربیات خود را در مورد استراتژی های موفق برای ترویج حس تعلق و ارتباط در بین دانش آموزان به اشتراک بگذارید.")</f>
        <v>تجربیات خود را در مورد استراتژی های موفق برای ترویج حس تعلق و ارتباط در بین دانش آموزان به اشتراک بگذارید.</v>
      </c>
      <c r="H8505" s="1"/>
      <c r="I8505" s="1"/>
      <c r="J8505" s="1"/>
      <c r="K8505" s="1"/>
      <c r="L8505" s="1"/>
      <c r="M8505" s="1"/>
      <c r="N8505" s="1"/>
      <c r="O8505" s="1"/>
      <c r="P8505" s="1"/>
      <c r="Q8505" s="1"/>
      <c r="R8505" s="1"/>
      <c r="S8505" s="1"/>
      <c r="T8505" s="1"/>
      <c r="U8505" s="1"/>
      <c r="V8505" s="1"/>
      <c r="W8505" s="1"/>
      <c r="X8505" s="1"/>
      <c r="Y8505" s="1"/>
      <c r="Z8505" s="1"/>
      <c r="AA8505" s="1"/>
      <c r="AB8505" s="1"/>
    </row>
    <row r="8506" ht="50.25" customHeight="1">
      <c r="A8506" s="12">
        <v>8502.0</v>
      </c>
      <c r="B8506" s="13" t="s">
        <v>7680</v>
      </c>
      <c r="C8506" s="18" t="s">
        <v>8531</v>
      </c>
      <c r="D8506" s="1"/>
      <c r="E8506" s="1"/>
      <c r="F8506" s="1" t="str">
        <f>IFERROR(__xludf.DUMMYFUNCTION("GOOGLETRANSLATE(B8506, ""en"", ""fa"")
"),"درخواست برای معلمان")</f>
        <v>درخواست برای معلمان</v>
      </c>
      <c r="G8506" s="1" t="str">
        <f>IFERROR(__xludf.DUMMYFUNCTION("GOOGLETRANSLATE(C8506, ""en"", ""fa"")
"),"راه‌هایی را برای استفاده از فناوری برای همکاری‌های مجازی و ارتباطات جهانی برای جذب دانش‌آموزان بررسی کنید.")</f>
        <v>راه‌هایی را برای استفاده از فناوری برای همکاری‌های مجازی و ارتباطات جهانی برای جذب دانش‌آموزان بررسی کنید.</v>
      </c>
      <c r="H8506" s="1"/>
      <c r="I8506" s="1"/>
      <c r="J8506" s="1"/>
      <c r="K8506" s="1"/>
      <c r="L8506" s="1"/>
      <c r="M8506" s="1"/>
      <c r="N8506" s="1"/>
      <c r="O8506" s="1"/>
      <c r="P8506" s="1"/>
      <c r="Q8506" s="1"/>
      <c r="R8506" s="1"/>
      <c r="S8506" s="1"/>
      <c r="T8506" s="1"/>
      <c r="U8506" s="1"/>
      <c r="V8506" s="1"/>
      <c r="W8506" s="1"/>
      <c r="X8506" s="1"/>
      <c r="Y8506" s="1"/>
      <c r="Z8506" s="1"/>
      <c r="AA8506" s="1"/>
      <c r="AB8506" s="1"/>
    </row>
    <row r="8507" ht="50.25" customHeight="1">
      <c r="A8507" s="12">
        <v>8503.0</v>
      </c>
      <c r="B8507" s="13" t="s">
        <v>7680</v>
      </c>
      <c r="C8507" s="18" t="s">
        <v>8532</v>
      </c>
      <c r="D8507" s="1"/>
      <c r="E8507" s="1"/>
      <c r="F8507" s="1" t="str">
        <f>IFERROR(__xludf.DUMMYFUNCTION("GOOGLETRANSLATE(B8507, ""en"", ""fa"")
"),"درخواست برای معلمان")</f>
        <v>درخواست برای معلمان</v>
      </c>
      <c r="G8507" s="1" t="str">
        <f>IFERROR(__xludf.DUMMYFUNCTION("GOOGLETRANSLATE(C8507, ""en"", ""fa"")
"),"در مورد اهمیت ارتقای سواد علمی و استفاده مسئولانه از فناوری در آموزش STEM بحث کنید.")</f>
        <v>در مورد اهمیت ارتقای سواد علمی و استفاده مسئولانه از فناوری در آموزش STEM بحث کنید.</v>
      </c>
      <c r="H8507" s="1"/>
      <c r="I8507" s="1"/>
      <c r="J8507" s="1"/>
      <c r="K8507" s="1"/>
      <c r="L8507" s="1"/>
      <c r="M8507" s="1"/>
      <c r="N8507" s="1"/>
      <c r="O8507" s="1"/>
      <c r="P8507" s="1"/>
      <c r="Q8507" s="1"/>
      <c r="R8507" s="1"/>
      <c r="S8507" s="1"/>
      <c r="T8507" s="1"/>
      <c r="U8507" s="1"/>
      <c r="V8507" s="1"/>
      <c r="W8507" s="1"/>
      <c r="X8507" s="1"/>
      <c r="Y8507" s="1"/>
      <c r="Z8507" s="1"/>
      <c r="AA8507" s="1"/>
      <c r="AB8507" s="1"/>
    </row>
    <row r="8508" ht="50.25" customHeight="1">
      <c r="A8508" s="12">
        <v>8504.0</v>
      </c>
      <c r="B8508" s="13" t="s">
        <v>7680</v>
      </c>
      <c r="C8508" s="18" t="s">
        <v>8533</v>
      </c>
      <c r="D8508" s="1"/>
      <c r="E8508" s="1"/>
      <c r="F8508" s="1" t="str">
        <f>IFERROR(__xludf.DUMMYFUNCTION("GOOGLETRANSLATE(B8508, ""en"", ""fa"")
"),"درخواست برای معلمان")</f>
        <v>درخواست برای معلمان</v>
      </c>
      <c r="G8508" s="1" t="str">
        <f>IFERROR(__xludf.DUMMYFUNCTION("GOOGLETRANSLATE(C8508, ""en"", ""fa"")
"),"راه‌هایی را برای ادغام ابزارهای تجزیه و تحلیل داده‌ها و تجسم در تحقیقات STEM کاوش کنید.")</f>
        <v>راه‌هایی را برای ادغام ابزارهای تجزیه و تحلیل داده‌ها و تجسم در تحقیقات STEM کاوش کنید.</v>
      </c>
      <c r="H8508" s="1"/>
      <c r="I8508" s="1"/>
      <c r="J8508" s="1"/>
      <c r="K8508" s="1"/>
      <c r="L8508" s="1"/>
      <c r="M8508" s="1"/>
      <c r="N8508" s="1"/>
      <c r="O8508" s="1"/>
      <c r="P8508" s="1"/>
      <c r="Q8508" s="1"/>
      <c r="R8508" s="1"/>
      <c r="S8508" s="1"/>
      <c r="T8508" s="1"/>
      <c r="U8508" s="1"/>
      <c r="V8508" s="1"/>
      <c r="W8508" s="1"/>
      <c r="X8508" s="1"/>
      <c r="Y8508" s="1"/>
      <c r="Z8508" s="1"/>
      <c r="AA8508" s="1"/>
      <c r="AB8508" s="1"/>
    </row>
    <row r="8509" ht="50.25" customHeight="1">
      <c r="A8509" s="12">
        <v>8505.0</v>
      </c>
      <c r="B8509" s="13" t="s">
        <v>7680</v>
      </c>
      <c r="C8509" s="18" t="s">
        <v>8534</v>
      </c>
      <c r="D8509" s="1"/>
      <c r="E8509" s="1"/>
      <c r="F8509" s="1" t="str">
        <f>IFERROR(__xludf.DUMMYFUNCTION("GOOGLETRANSLATE(B8509, ""en"", ""fa"")
"),"درخواست برای معلمان")</f>
        <v>درخواست برای معلمان</v>
      </c>
      <c r="G8509" s="1" t="str">
        <f>IFERROR(__xludf.DUMMYFUNCTION("GOOGLETRANSLATE(C8509, ""en"", ""fa"")
"),"بینش خود را در مورد ارتقای آمادگی شغلی و مهارت های قرن 21 از طریق آموزش STEM به اشتراک بگذارید.")</f>
        <v>بینش خود را در مورد ارتقای آمادگی شغلی و مهارت های قرن 21 از طریق آموزش STEM به اشتراک بگذارید.</v>
      </c>
      <c r="H8509" s="1"/>
      <c r="I8509" s="1"/>
      <c r="J8509" s="1"/>
      <c r="K8509" s="1"/>
      <c r="L8509" s="1"/>
      <c r="M8509" s="1"/>
      <c r="N8509" s="1"/>
      <c r="O8509" s="1"/>
      <c r="P8509" s="1"/>
      <c r="Q8509" s="1"/>
      <c r="R8509" s="1"/>
      <c r="S8509" s="1"/>
      <c r="T8509" s="1"/>
      <c r="U8509" s="1"/>
      <c r="V8509" s="1"/>
      <c r="W8509" s="1"/>
      <c r="X8509" s="1"/>
      <c r="Y8509" s="1"/>
      <c r="Z8509" s="1"/>
      <c r="AA8509" s="1"/>
      <c r="AB8509" s="1"/>
    </row>
    <row r="8510" ht="50.25" customHeight="1">
      <c r="A8510" s="12">
        <v>8506.0</v>
      </c>
      <c r="B8510" s="13" t="s">
        <v>7680</v>
      </c>
      <c r="C8510" s="18" t="s">
        <v>8535</v>
      </c>
      <c r="D8510" s="1"/>
      <c r="E8510" s="1"/>
      <c r="F8510" s="1" t="str">
        <f>IFERROR(__xludf.DUMMYFUNCTION("GOOGLETRANSLATE(B8510, ""en"", ""fa"")
"),"درخواست برای معلمان")</f>
        <v>درخواست برای معلمان</v>
      </c>
      <c r="G8510" s="1" t="str">
        <f>IFERROR(__xludf.DUMMYFUNCTION("GOOGLETRANSLATE(C8510, ""en"", ""fa"")
"),"در مورد نقش مسابقات و چالش های STEM در جذب دانش آموزان و تقویت رقابت سالم بحث کنید.")</f>
        <v>در مورد نقش مسابقات و چالش های STEM در جذب دانش آموزان و تقویت رقابت سالم بحث کنید.</v>
      </c>
      <c r="H8510" s="1"/>
      <c r="I8510" s="1"/>
      <c r="J8510" s="1"/>
      <c r="K8510" s="1"/>
      <c r="L8510" s="1"/>
      <c r="M8510" s="1"/>
      <c r="N8510" s="1"/>
      <c r="O8510" s="1"/>
      <c r="P8510" s="1"/>
      <c r="Q8510" s="1"/>
      <c r="R8510" s="1"/>
      <c r="S8510" s="1"/>
      <c r="T8510" s="1"/>
      <c r="U8510" s="1"/>
      <c r="V8510" s="1"/>
      <c r="W8510" s="1"/>
      <c r="X8510" s="1"/>
      <c r="Y8510" s="1"/>
      <c r="Z8510" s="1"/>
      <c r="AA8510" s="1"/>
      <c r="AB8510" s="1"/>
    </row>
    <row r="8511" ht="50.25" customHeight="1">
      <c r="A8511" s="12">
        <v>8507.0</v>
      </c>
      <c r="B8511" s="13" t="s">
        <v>7680</v>
      </c>
      <c r="C8511" s="18" t="s">
        <v>8536</v>
      </c>
      <c r="D8511" s="1"/>
      <c r="E8511" s="1"/>
      <c r="F8511" s="1" t="str">
        <f>IFERROR(__xludf.DUMMYFUNCTION("GOOGLETRANSLATE(B8511, ""en"", ""fa"")
"),"درخواست برای معلمان")</f>
        <v>درخواست برای معلمان</v>
      </c>
      <c r="G8511" s="1" t="str">
        <f>IFERROR(__xludf.DUMMYFUNCTION("GOOGLETRANSLATE(C8511, ""en"", ""fa"")
"),"استراتژی های یکپارچه سازی اصول مهندسی و تفکر طراحی در پروژه های STEM را بررسی کنید.")</f>
        <v>استراتژی های یکپارچه سازی اصول مهندسی و تفکر طراحی در پروژه های STEM را بررسی کنید.</v>
      </c>
      <c r="H8511" s="1"/>
      <c r="I8511" s="1"/>
      <c r="J8511" s="1"/>
      <c r="K8511" s="1"/>
      <c r="L8511" s="1"/>
      <c r="M8511" s="1"/>
      <c r="N8511" s="1"/>
      <c r="O8511" s="1"/>
      <c r="P8511" s="1"/>
      <c r="Q8511" s="1"/>
      <c r="R8511" s="1"/>
      <c r="S8511" s="1"/>
      <c r="T8511" s="1"/>
      <c r="U8511" s="1"/>
      <c r="V8511" s="1"/>
      <c r="W8511" s="1"/>
      <c r="X8511" s="1"/>
      <c r="Y8511" s="1"/>
      <c r="Z8511" s="1"/>
      <c r="AA8511" s="1"/>
      <c r="AB8511" s="1"/>
    </row>
    <row r="8512" ht="50.25" customHeight="1">
      <c r="A8512" s="12">
        <v>8508.0</v>
      </c>
      <c r="B8512" s="13" t="s">
        <v>7680</v>
      </c>
      <c r="C8512" s="18" t="s">
        <v>8537</v>
      </c>
      <c r="D8512" s="1"/>
      <c r="E8512" s="1"/>
      <c r="F8512" s="1" t="str">
        <f>IFERROR(__xludf.DUMMYFUNCTION("GOOGLETRANSLATE(B8512, ""en"", ""fa"")
"),"درخواست برای معلمان")</f>
        <v>درخواست برای معلمان</v>
      </c>
      <c r="G8512" s="1" t="str">
        <f>IFERROR(__xludf.DUMMYFUNCTION("GOOGLETRANSLATE(C8512, ""en"", ""fa"")
"),"تجربیات خود را در مورد ترکیب برنامه های راهنمایی STEM و مشارکت های صنعتی به اشتراک بگذارید.")</f>
        <v>تجربیات خود را در مورد ترکیب برنامه های راهنمایی STEM و مشارکت های صنعتی به اشتراک بگذارید.</v>
      </c>
      <c r="H8512" s="1"/>
      <c r="I8512" s="1"/>
      <c r="J8512" s="1"/>
      <c r="K8512" s="1"/>
      <c r="L8512" s="1"/>
      <c r="M8512" s="1"/>
      <c r="N8512" s="1"/>
      <c r="O8512" s="1"/>
      <c r="P8512" s="1"/>
      <c r="Q8512" s="1"/>
      <c r="R8512" s="1"/>
      <c r="S8512" s="1"/>
      <c r="T8512" s="1"/>
      <c r="U8512" s="1"/>
      <c r="V8512" s="1"/>
      <c r="W8512" s="1"/>
      <c r="X8512" s="1"/>
      <c r="Y8512" s="1"/>
      <c r="Z8512" s="1"/>
      <c r="AA8512" s="1"/>
      <c r="AB8512" s="1"/>
    </row>
    <row r="8513" ht="50.25" customHeight="1">
      <c r="A8513" s="12">
        <v>8509.0</v>
      </c>
      <c r="B8513" s="13" t="s">
        <v>7680</v>
      </c>
      <c r="C8513" s="18" t="s">
        <v>8538</v>
      </c>
      <c r="D8513" s="1"/>
      <c r="E8513" s="1"/>
      <c r="F8513" s="1" t="str">
        <f>IFERROR(__xludf.DUMMYFUNCTION("GOOGLETRANSLATE(B8513, ""en"", ""fa"")
"),"درخواست برای معلمان")</f>
        <v>درخواست برای معلمان</v>
      </c>
      <c r="G8513" s="1" t="str">
        <f>IFERROR(__xludf.DUMMYFUNCTION("GOOGLETRANSLATE(C8513, ""en"", ""fa"")
"),"درباره تأثیر گنجاندن آموزش فرهنگی پاسخگو در آموزش STEM بحث کنید.")</f>
        <v>درباره تأثیر گنجاندن آموزش فرهنگی پاسخگو در آموزش STEM بحث کنید.</v>
      </c>
      <c r="H8513" s="1"/>
      <c r="I8513" s="1"/>
      <c r="J8513" s="1"/>
      <c r="K8513" s="1"/>
      <c r="L8513" s="1"/>
      <c r="M8513" s="1"/>
      <c r="N8513" s="1"/>
      <c r="O8513" s="1"/>
      <c r="P8513" s="1"/>
      <c r="Q8513" s="1"/>
      <c r="R8513" s="1"/>
      <c r="S8513" s="1"/>
      <c r="T8513" s="1"/>
      <c r="U8513" s="1"/>
      <c r="V8513" s="1"/>
      <c r="W8513" s="1"/>
      <c r="X8513" s="1"/>
      <c r="Y8513" s="1"/>
      <c r="Z8513" s="1"/>
      <c r="AA8513" s="1"/>
      <c r="AB8513" s="1"/>
    </row>
    <row r="8514" ht="50.25" customHeight="1">
      <c r="A8514" s="12">
        <v>8510.0</v>
      </c>
      <c r="B8514" s="13" t="s">
        <v>7680</v>
      </c>
      <c r="C8514" s="18" t="s">
        <v>8539</v>
      </c>
      <c r="D8514" s="1"/>
      <c r="E8514" s="1"/>
      <c r="F8514" s="1" t="str">
        <f>IFERROR(__xludf.DUMMYFUNCTION("GOOGLETRANSLATE(B8514, ""en"", ""fa"")
"),"درخواست برای معلمان")</f>
        <v>درخواست برای معلمان</v>
      </c>
      <c r="G8514" s="1" t="str">
        <f>IFERROR(__xludf.DUMMYFUNCTION("GOOGLETRANSLATE(C8514, ""en"", ""fa"")
"),"کاوش راه هایی برای ترکیب کارآفرینی و نوآوری در آموزش STEM.")</f>
        <v>کاوش راه هایی برای ترکیب کارآفرینی و نوآوری در آموزش STEM.</v>
      </c>
      <c r="H8514" s="1"/>
      <c r="I8514" s="1"/>
      <c r="J8514" s="1"/>
      <c r="K8514" s="1"/>
      <c r="L8514" s="1"/>
      <c r="M8514" s="1"/>
      <c r="N8514" s="1"/>
      <c r="O8514" s="1"/>
      <c r="P8514" s="1"/>
      <c r="Q8514" s="1"/>
      <c r="R8514" s="1"/>
      <c r="S8514" s="1"/>
      <c r="T8514" s="1"/>
      <c r="U8514" s="1"/>
      <c r="V8514" s="1"/>
      <c r="W8514" s="1"/>
      <c r="X8514" s="1"/>
      <c r="Y8514" s="1"/>
      <c r="Z8514" s="1"/>
      <c r="AA8514" s="1"/>
      <c r="AB8514" s="1"/>
    </row>
    <row r="8515" ht="50.25" customHeight="1">
      <c r="A8515" s="12">
        <v>8511.0</v>
      </c>
      <c r="B8515" s="13" t="s">
        <v>7680</v>
      </c>
      <c r="C8515" s="18" t="s">
        <v>8540</v>
      </c>
      <c r="D8515" s="1"/>
      <c r="E8515" s="1"/>
      <c r="F8515" s="1" t="str">
        <f>IFERROR(__xludf.DUMMYFUNCTION("GOOGLETRANSLATE(B8515, ""en"", ""fa"")
"),"درخواست برای معلمان")</f>
        <v>درخواست برای معلمان</v>
      </c>
      <c r="G8515" s="1" t="str">
        <f>IFERROR(__xludf.DUMMYFUNCTION("GOOGLETRANSLATE(C8515, ""en"", ""fa"")
"),"بینش خود را در مورد ارتقای مهارت های ارتباط علمی و ارائه در یادگیری STEM به اشتراک بگذارید.")</f>
        <v>بینش خود را در مورد ارتقای مهارت های ارتباط علمی و ارائه در یادگیری STEM به اشتراک بگذارید.</v>
      </c>
      <c r="H8515" s="1"/>
      <c r="I8515" s="1"/>
      <c r="J8515" s="1"/>
      <c r="K8515" s="1"/>
      <c r="L8515" s="1"/>
      <c r="M8515" s="1"/>
      <c r="N8515" s="1"/>
      <c r="O8515" s="1"/>
      <c r="P8515" s="1"/>
      <c r="Q8515" s="1"/>
      <c r="R8515" s="1"/>
      <c r="S8515" s="1"/>
      <c r="T8515" s="1"/>
      <c r="U8515" s="1"/>
      <c r="V8515" s="1"/>
      <c r="W8515" s="1"/>
      <c r="X8515" s="1"/>
      <c r="Y8515" s="1"/>
      <c r="Z8515" s="1"/>
      <c r="AA8515" s="1"/>
      <c r="AB8515" s="1"/>
    </row>
    <row r="8516" ht="50.25" customHeight="1">
      <c r="A8516" s="12">
        <v>8512.0</v>
      </c>
      <c r="B8516" s="13" t="s">
        <v>7680</v>
      </c>
      <c r="C8516" s="18" t="s">
        <v>8541</v>
      </c>
      <c r="D8516" s="1"/>
      <c r="E8516" s="1"/>
      <c r="F8516" s="1" t="str">
        <f>IFERROR(__xludf.DUMMYFUNCTION("GOOGLETRANSLATE(B8516, ""en"", ""fa"")
"),"درخواست برای معلمان")</f>
        <v>درخواست برای معلمان</v>
      </c>
      <c r="G8516" s="1" t="str">
        <f>IFERROR(__xludf.DUMMYFUNCTION("GOOGLETRANSLATE(C8516, ""en"", ""fa"")
"),"در مورد اهمیت گنجاندن اخلاق و تصمیم گیری مسئولانه در آموزش STEM بحث کنید.")</f>
        <v>در مورد اهمیت گنجاندن اخلاق و تصمیم گیری مسئولانه در آموزش STEM بحث کنید.</v>
      </c>
      <c r="H8516" s="1"/>
      <c r="I8516" s="1"/>
      <c r="J8516" s="1"/>
      <c r="K8516" s="1"/>
      <c r="L8516" s="1"/>
      <c r="M8516" s="1"/>
      <c r="N8516" s="1"/>
      <c r="O8516" s="1"/>
      <c r="P8516" s="1"/>
      <c r="Q8516" s="1"/>
      <c r="R8516" s="1"/>
      <c r="S8516" s="1"/>
      <c r="T8516" s="1"/>
      <c r="U8516" s="1"/>
      <c r="V8516" s="1"/>
      <c r="W8516" s="1"/>
      <c r="X8516" s="1"/>
      <c r="Y8516" s="1"/>
      <c r="Z8516" s="1"/>
      <c r="AA8516" s="1"/>
      <c r="AB8516" s="1"/>
    </row>
    <row r="8517" ht="50.25" customHeight="1">
      <c r="A8517" s="12">
        <v>8513.0</v>
      </c>
      <c r="B8517" s="13" t="s">
        <v>7680</v>
      </c>
      <c r="C8517" s="18" t="s">
        <v>8542</v>
      </c>
      <c r="D8517" s="1"/>
      <c r="E8517" s="1"/>
      <c r="F8517" s="1" t="str">
        <f>IFERROR(__xludf.DUMMYFUNCTION("GOOGLETRANSLATE(B8517, ""en"", ""fa"")
"),"درخواست برای معلمان")</f>
        <v>درخواست برای معلمان</v>
      </c>
      <c r="G8517" s="1" t="str">
        <f>IFERROR(__xludf.DUMMYFUNCTION("GOOGLETRANSLATE(C8517, ""en"", ""fa"")
"),"استراتژی‌هایی را برای ادغام دستکاری‌های ریاضیات عملی در فعالیت‌های STEM کاوش کنید.")</f>
        <v>استراتژی‌هایی را برای ادغام دستکاری‌های ریاضیات عملی در فعالیت‌های STEM کاوش کنید.</v>
      </c>
      <c r="H8517" s="1"/>
      <c r="I8517" s="1"/>
      <c r="J8517" s="1"/>
      <c r="K8517" s="1"/>
      <c r="L8517" s="1"/>
      <c r="M8517" s="1"/>
      <c r="N8517" s="1"/>
      <c r="O8517" s="1"/>
      <c r="P8517" s="1"/>
      <c r="Q8517" s="1"/>
      <c r="R8517" s="1"/>
      <c r="S8517" s="1"/>
      <c r="T8517" s="1"/>
      <c r="U8517" s="1"/>
      <c r="V8517" s="1"/>
      <c r="W8517" s="1"/>
      <c r="X8517" s="1"/>
      <c r="Y8517" s="1"/>
      <c r="Z8517" s="1"/>
      <c r="AA8517" s="1"/>
      <c r="AB8517" s="1"/>
    </row>
    <row r="8518" ht="50.25" customHeight="1">
      <c r="A8518" s="12">
        <v>8514.0</v>
      </c>
      <c r="B8518" s="13" t="s">
        <v>7680</v>
      </c>
      <c r="C8518" s="18" t="s">
        <v>8543</v>
      </c>
      <c r="D8518" s="1"/>
      <c r="E8518" s="1"/>
      <c r="F8518" s="1" t="str">
        <f>IFERROR(__xludf.DUMMYFUNCTION("GOOGLETRANSLATE(B8518, ""en"", ""fa"")
"),"درخواست برای معلمان")</f>
        <v>درخواست برای معلمان</v>
      </c>
      <c r="G8518" s="1" t="str">
        <f>IFERROR(__xludf.DUMMYFUNCTION("GOOGLETRANSLATE(C8518, ""en"", ""fa"")
"),"تجربیات خود را با استفاده از اکتشافات شغلی مرتبط با STEM و سخنرانان مهمان به اشتراک بگذارید.")</f>
        <v>تجربیات خود را با استفاده از اکتشافات شغلی مرتبط با STEM و سخنرانان مهمان به اشتراک بگذارید.</v>
      </c>
      <c r="H8518" s="1"/>
      <c r="I8518" s="1"/>
      <c r="J8518" s="1"/>
      <c r="K8518" s="1"/>
      <c r="L8518" s="1"/>
      <c r="M8518" s="1"/>
      <c r="N8518" s="1"/>
      <c r="O8518" s="1"/>
      <c r="P8518" s="1"/>
      <c r="Q8518" s="1"/>
      <c r="R8518" s="1"/>
      <c r="S8518" s="1"/>
      <c r="T8518" s="1"/>
      <c r="U8518" s="1"/>
      <c r="V8518" s="1"/>
      <c r="W8518" s="1"/>
      <c r="X8518" s="1"/>
      <c r="Y8518" s="1"/>
      <c r="Z8518" s="1"/>
      <c r="AA8518" s="1"/>
      <c r="AB8518" s="1"/>
    </row>
    <row r="8519" ht="50.25" customHeight="1">
      <c r="A8519" s="12">
        <v>8515.0</v>
      </c>
      <c r="B8519" s="13" t="s">
        <v>7680</v>
      </c>
      <c r="C8519" s="18" t="s">
        <v>8544</v>
      </c>
      <c r="D8519" s="1"/>
      <c r="E8519" s="1"/>
      <c r="F8519" s="1" t="str">
        <f>IFERROR(__xludf.DUMMYFUNCTION("GOOGLETRANSLATE(B8519, ""en"", ""fa"")
"),"درخواست برای معلمان")</f>
        <v>درخواست برای معلمان</v>
      </c>
      <c r="G8519" s="1" t="str">
        <f>IFERROR(__xludf.DUMMYFUNCTION("GOOGLETRANSLATE(C8519, ""en"", ""fa"")
"),"در مورد نقش یادگیری مبتنی بر مسئله در پرورش مهارت های تفکر انتقادی دانش آموزان در موضوعات STEM بحث کنید.")</f>
        <v>در مورد نقش یادگیری مبتنی بر مسئله در پرورش مهارت های تفکر انتقادی دانش آموزان در موضوعات STEM بحث کنید.</v>
      </c>
      <c r="H8519" s="1"/>
      <c r="I8519" s="1"/>
      <c r="J8519" s="1"/>
      <c r="K8519" s="1"/>
      <c r="L8519" s="1"/>
      <c r="M8519" s="1"/>
      <c r="N8519" s="1"/>
      <c r="O8519" s="1"/>
      <c r="P8519" s="1"/>
      <c r="Q8519" s="1"/>
      <c r="R8519" s="1"/>
      <c r="S8519" s="1"/>
      <c r="T8519" s="1"/>
      <c r="U8519" s="1"/>
      <c r="V8519" s="1"/>
      <c r="W8519" s="1"/>
      <c r="X8519" s="1"/>
      <c r="Y8519" s="1"/>
      <c r="Z8519" s="1"/>
      <c r="AA8519" s="1"/>
      <c r="AB8519" s="1"/>
    </row>
    <row r="8520" ht="50.25" customHeight="1">
      <c r="A8520" s="12">
        <v>8516.0</v>
      </c>
      <c r="B8520" s="13" t="s">
        <v>7680</v>
      </c>
      <c r="C8520" s="18" t="s">
        <v>8545</v>
      </c>
      <c r="D8520" s="1"/>
      <c r="E8520" s="1"/>
      <c r="F8520" s="1" t="str">
        <f>IFERROR(__xludf.DUMMYFUNCTION("GOOGLETRANSLATE(B8520, ""en"", ""fa"")
"),"درخواست برای معلمان")</f>
        <v>درخواست برای معلمان</v>
      </c>
      <c r="G8520" s="1" t="str">
        <f>IFERROR(__xludf.DUMMYFUNCTION("GOOGLETRANSLATE(C8520, ""en"", ""fa"")
"),"راه‌هایی را برای ترکیب چالش‌های مهندسی و طراحی پروژه‌ها در آموزش ابتدایی STEM کاوش کنید.")</f>
        <v>راه‌هایی را برای ترکیب چالش‌های مهندسی و طراحی پروژه‌ها در آموزش ابتدایی STEM کاوش کنید.</v>
      </c>
      <c r="H8520" s="1"/>
      <c r="I8520" s="1"/>
      <c r="J8520" s="1"/>
      <c r="K8520" s="1"/>
      <c r="L8520" s="1"/>
      <c r="M8520" s="1"/>
      <c r="N8520" s="1"/>
      <c r="O8520" s="1"/>
      <c r="P8520" s="1"/>
      <c r="Q8520" s="1"/>
      <c r="R8520" s="1"/>
      <c r="S8520" s="1"/>
      <c r="T8520" s="1"/>
      <c r="U8520" s="1"/>
      <c r="V8520" s="1"/>
      <c r="W8520" s="1"/>
      <c r="X8520" s="1"/>
      <c r="Y8520" s="1"/>
      <c r="Z8520" s="1"/>
      <c r="AA8520" s="1"/>
      <c r="AB8520" s="1"/>
    </row>
    <row r="8521" ht="50.25" customHeight="1">
      <c r="A8521" s="12">
        <v>8517.0</v>
      </c>
      <c r="B8521" s="13" t="s">
        <v>7680</v>
      </c>
      <c r="C8521" s="18" t="s">
        <v>8546</v>
      </c>
      <c r="D8521" s="1"/>
      <c r="E8521" s="1"/>
      <c r="F8521" s="1" t="str">
        <f>IFERROR(__xludf.DUMMYFUNCTION("GOOGLETRANSLATE(B8521, ""en"", ""fa"")
"),"درخواست برای معلمان")</f>
        <v>درخواست برای معلمان</v>
      </c>
      <c r="G8521" s="1" t="str">
        <f>IFERROR(__xludf.DUMMYFUNCTION("GOOGLETRANSLATE(C8521, ""en"", ""fa"")
"),"بینش خود را در مورد ارتقای ارتباطات بین رشته ای بین STEM و هنر، علوم انسانی یا علوم اجتماعی به اشتراک بگذارید.")</f>
        <v>بینش خود را در مورد ارتقای ارتباطات بین رشته ای بین STEM و هنر، علوم انسانی یا علوم اجتماعی به اشتراک بگذارید.</v>
      </c>
      <c r="H8521" s="1"/>
      <c r="I8521" s="1"/>
      <c r="J8521" s="1"/>
      <c r="K8521" s="1"/>
      <c r="L8521" s="1"/>
      <c r="M8521" s="1"/>
      <c r="N8521" s="1"/>
      <c r="O8521" s="1"/>
      <c r="P8521" s="1"/>
      <c r="Q8521" s="1"/>
      <c r="R8521" s="1"/>
      <c r="S8521" s="1"/>
      <c r="T8521" s="1"/>
      <c r="U8521" s="1"/>
      <c r="V8521" s="1"/>
      <c r="W8521" s="1"/>
      <c r="X8521" s="1"/>
      <c r="Y8521" s="1"/>
      <c r="Z8521" s="1"/>
      <c r="AA8521" s="1"/>
      <c r="AB8521" s="1"/>
    </row>
    <row r="8522" ht="50.25" customHeight="1">
      <c r="A8522" s="12">
        <v>8518.0</v>
      </c>
      <c r="B8522" s="13" t="s">
        <v>7680</v>
      </c>
      <c r="C8522" s="18" t="s">
        <v>8547</v>
      </c>
      <c r="D8522" s="1"/>
      <c r="E8522" s="1"/>
      <c r="F8522" s="1" t="str">
        <f>IFERROR(__xludf.DUMMYFUNCTION("GOOGLETRANSLATE(B8522, ""en"", ""fa"")
"),"درخواست برای معلمان")</f>
        <v>درخواست برای معلمان</v>
      </c>
      <c r="G8522" s="1" t="str">
        <f>IFERROR(__xludf.DUMMYFUNCTION("GOOGLETRANSLATE(C8522, ""en"", ""fa"")
"),"در مورد تأثیر گنجاندن سفرهای میدانی مرتبط با STEM و بازدیدهای صنعتی در کاوش شغلی دانش آموزان بحث کنید.")</f>
        <v>در مورد تأثیر گنجاندن سفرهای میدانی مرتبط با STEM و بازدیدهای صنعتی در کاوش شغلی دانش آموزان بحث کنید.</v>
      </c>
      <c r="H8522" s="1"/>
      <c r="I8522" s="1"/>
      <c r="J8522" s="1"/>
      <c r="K8522" s="1"/>
      <c r="L8522" s="1"/>
      <c r="M8522" s="1"/>
      <c r="N8522" s="1"/>
      <c r="O8522" s="1"/>
      <c r="P8522" s="1"/>
      <c r="Q8522" s="1"/>
      <c r="R8522" s="1"/>
      <c r="S8522" s="1"/>
      <c r="T8522" s="1"/>
      <c r="U8522" s="1"/>
      <c r="V8522" s="1"/>
      <c r="W8522" s="1"/>
      <c r="X8522" s="1"/>
      <c r="Y8522" s="1"/>
      <c r="Z8522" s="1"/>
      <c r="AA8522" s="1"/>
      <c r="AB8522" s="1"/>
    </row>
    <row r="8523" ht="50.25" customHeight="1">
      <c r="A8523" s="12">
        <v>8519.0</v>
      </c>
      <c r="B8523" s="13" t="s">
        <v>7680</v>
      </c>
      <c r="C8523" s="18" t="s">
        <v>8548</v>
      </c>
      <c r="D8523" s="1"/>
      <c r="E8523" s="1"/>
      <c r="F8523" s="1" t="str">
        <f>IFERROR(__xludf.DUMMYFUNCTION("GOOGLETRANSLATE(B8523, ""en"", ""fa"")
"),"درخواست برای معلمان")</f>
        <v>درخواست برای معلمان</v>
      </c>
      <c r="G8523" s="1" t="str">
        <f>IFERROR(__xludf.DUMMYFUNCTION("GOOGLETRANSLATE(C8523, ""en"", ""fa"")
"),"استراتژی‌هایی را برای ترکیب همکاری آنلاین و فرصت‌های یادگیری از راه دور در آموزش STEM کاوش کنید.")</f>
        <v>استراتژی‌هایی را برای ترکیب همکاری آنلاین و فرصت‌های یادگیری از راه دور در آموزش STEM کاوش کنید.</v>
      </c>
      <c r="H8523" s="1"/>
      <c r="I8523" s="1"/>
      <c r="J8523" s="1"/>
      <c r="K8523" s="1"/>
      <c r="L8523" s="1"/>
      <c r="M8523" s="1"/>
      <c r="N8523" s="1"/>
      <c r="O8523" s="1"/>
      <c r="P8523" s="1"/>
      <c r="Q8523" s="1"/>
      <c r="R8523" s="1"/>
      <c r="S8523" s="1"/>
      <c r="T8523" s="1"/>
      <c r="U8523" s="1"/>
      <c r="V8523" s="1"/>
      <c r="W8523" s="1"/>
      <c r="X8523" s="1"/>
      <c r="Y8523" s="1"/>
      <c r="Z8523" s="1"/>
      <c r="AA8523" s="1"/>
      <c r="AB8523" s="1"/>
    </row>
    <row r="8524" ht="50.25" customHeight="1">
      <c r="A8524" s="12">
        <v>8520.0</v>
      </c>
      <c r="B8524" s="13" t="s">
        <v>7680</v>
      </c>
      <c r="C8524" s="18" t="s">
        <v>8549</v>
      </c>
      <c r="D8524" s="1"/>
      <c r="E8524" s="1"/>
      <c r="F8524" s="1" t="str">
        <f>IFERROR(__xludf.DUMMYFUNCTION("GOOGLETRANSLATE(B8524, ""en"", ""fa"")
"),"درخواست برای معلمان")</f>
        <v>درخواست برای معلمان</v>
      </c>
      <c r="G8524" s="1" t="str">
        <f>IFERROR(__xludf.DUMMYFUNCTION("GOOGLETRANSLATE(C8524, ""en"", ""fa"")
"),"تجربیات خود را در مورد ترکیب چالش های STEM که به مسائل پایداری و زیست محیطی می پردازد به اشتراک بگذارید.")</f>
        <v>تجربیات خود را در مورد ترکیب چالش های STEM که به مسائل پایداری و زیست محیطی می پردازد به اشتراک بگذارید.</v>
      </c>
      <c r="H8524" s="1"/>
      <c r="I8524" s="1"/>
      <c r="J8524" s="1"/>
      <c r="K8524" s="1"/>
      <c r="L8524" s="1"/>
      <c r="M8524" s="1"/>
      <c r="N8524" s="1"/>
      <c r="O8524" s="1"/>
      <c r="P8524" s="1"/>
      <c r="Q8524" s="1"/>
      <c r="R8524" s="1"/>
      <c r="S8524" s="1"/>
      <c r="T8524" s="1"/>
      <c r="U8524" s="1"/>
      <c r="V8524" s="1"/>
      <c r="W8524" s="1"/>
      <c r="X8524" s="1"/>
      <c r="Y8524" s="1"/>
      <c r="Z8524" s="1"/>
      <c r="AA8524" s="1"/>
      <c r="AB8524" s="1"/>
    </row>
    <row r="8525" ht="50.25" customHeight="1">
      <c r="A8525" s="12">
        <v>8521.0</v>
      </c>
      <c r="B8525" s="13" t="s">
        <v>7680</v>
      </c>
      <c r="C8525" s="18" t="s">
        <v>8550</v>
      </c>
      <c r="D8525" s="1"/>
      <c r="E8525" s="1"/>
      <c r="F8525" s="1" t="str">
        <f>IFERROR(__xludf.DUMMYFUNCTION("GOOGLETRANSLATE(B8525, ""en"", ""fa"")
"),"درخواست برای معلمان")</f>
        <v>درخواست برای معلمان</v>
      </c>
      <c r="G8525" s="1" t="str">
        <f>IFERROR(__xludf.DUMMYFUNCTION("GOOGLETRANSLATE(C8525, ""en"", ""fa"")
"),"در مورد اهمیت آزمایش عملی و روش علمی در یادگیری STEM بحث کنید.")</f>
        <v>در مورد اهمیت آزمایش عملی و روش علمی در یادگیری STEM بحث کنید.</v>
      </c>
      <c r="H8525" s="1"/>
      <c r="I8525" s="1"/>
      <c r="J8525" s="1"/>
      <c r="K8525" s="1"/>
      <c r="L8525" s="1"/>
      <c r="M8525" s="1"/>
      <c r="N8525" s="1"/>
      <c r="O8525" s="1"/>
      <c r="P8525" s="1"/>
      <c r="Q8525" s="1"/>
      <c r="R8525" s="1"/>
      <c r="S8525" s="1"/>
      <c r="T8525" s="1"/>
      <c r="U8525" s="1"/>
      <c r="V8525" s="1"/>
      <c r="W8525" s="1"/>
      <c r="X8525" s="1"/>
      <c r="Y8525" s="1"/>
      <c r="Z8525" s="1"/>
      <c r="AA8525" s="1"/>
      <c r="AB8525" s="1"/>
    </row>
    <row r="8526" ht="50.25" customHeight="1">
      <c r="A8526" s="12">
        <v>8522.0</v>
      </c>
      <c r="B8526" s="13" t="s">
        <v>7680</v>
      </c>
      <c r="C8526" s="18" t="s">
        <v>8551</v>
      </c>
      <c r="D8526" s="1"/>
      <c r="E8526" s="1"/>
      <c r="F8526" s="1" t="str">
        <f>IFERROR(__xludf.DUMMYFUNCTION("GOOGLETRANSLATE(B8526, ""en"", ""fa"")
"),"درخواست برای معلمان")</f>
        <v>درخواست برای معلمان</v>
      </c>
      <c r="G8526" s="1" t="str">
        <f>IFERROR(__xludf.DUMMYFUNCTION("GOOGLETRANSLATE(C8526, ""en"", ""fa"")
"),"راه‌هایی را برای گنجاندن مهارت‌های تفکر محاسباتی و کدنویسی در آموزش STEM در دوران کودکی کشف کنید.")</f>
        <v>راه‌هایی را برای گنجاندن مهارت‌های تفکر محاسباتی و کدنویسی در آموزش STEM در دوران کودکی کشف کنید.</v>
      </c>
      <c r="H8526" s="1"/>
      <c r="I8526" s="1"/>
      <c r="J8526" s="1"/>
      <c r="K8526" s="1"/>
      <c r="L8526" s="1"/>
      <c r="M8526" s="1"/>
      <c r="N8526" s="1"/>
      <c r="O8526" s="1"/>
      <c r="P8526" s="1"/>
      <c r="Q8526" s="1"/>
      <c r="R8526" s="1"/>
      <c r="S8526" s="1"/>
      <c r="T8526" s="1"/>
      <c r="U8526" s="1"/>
      <c r="V8526" s="1"/>
      <c r="W8526" s="1"/>
      <c r="X8526" s="1"/>
      <c r="Y8526" s="1"/>
      <c r="Z8526" s="1"/>
      <c r="AA8526" s="1"/>
      <c r="AB8526" s="1"/>
    </row>
    <row r="8527" ht="50.25" customHeight="1">
      <c r="A8527" s="12">
        <v>8523.0</v>
      </c>
      <c r="B8527" s="13" t="s">
        <v>7680</v>
      </c>
      <c r="C8527" s="18" t="s">
        <v>8552</v>
      </c>
      <c r="D8527" s="1"/>
      <c r="E8527" s="1"/>
      <c r="F8527" s="1" t="str">
        <f>IFERROR(__xludf.DUMMYFUNCTION("GOOGLETRANSLATE(B8527, ""en"", ""fa"")
"),"درخواست برای معلمان")</f>
        <v>درخواست برای معلمان</v>
      </c>
      <c r="G8527" s="1" t="str">
        <f>IFERROR(__xludf.DUMMYFUNCTION("GOOGLETRANSLATE(C8527, ""en"", ""fa"")
"),"بینش خود را در مورد ارتقای برابری و دسترسی در آموزش STEM برای گروه های کم نمایندگی به اشتراک بگذارید.")</f>
        <v>بینش خود را در مورد ارتقای برابری و دسترسی در آموزش STEM برای گروه های کم نمایندگی به اشتراک بگذارید.</v>
      </c>
      <c r="H8527" s="1"/>
      <c r="I8527" s="1"/>
      <c r="J8527" s="1"/>
      <c r="K8527" s="1"/>
      <c r="L8527" s="1"/>
      <c r="M8527" s="1"/>
      <c r="N8527" s="1"/>
      <c r="O8527" s="1"/>
      <c r="P8527" s="1"/>
      <c r="Q8527" s="1"/>
      <c r="R8527" s="1"/>
      <c r="S8527" s="1"/>
      <c r="T8527" s="1"/>
      <c r="U8527" s="1"/>
      <c r="V8527" s="1"/>
      <c r="W8527" s="1"/>
      <c r="X8527" s="1"/>
      <c r="Y8527" s="1"/>
      <c r="Z8527" s="1"/>
      <c r="AA8527" s="1"/>
      <c r="AB8527" s="1"/>
    </row>
    <row r="8528" ht="50.25" customHeight="1">
      <c r="A8528" s="12">
        <v>8524.0</v>
      </c>
      <c r="B8528" s="13" t="s">
        <v>7680</v>
      </c>
      <c r="C8528" s="18" t="s">
        <v>8553</v>
      </c>
      <c r="D8528" s="1"/>
      <c r="E8528" s="1"/>
      <c r="F8528" s="1" t="str">
        <f>IFERROR(__xludf.DUMMYFUNCTION("GOOGLETRANSLATE(B8528, ""en"", ""fa"")
"),"درخواست برای معلمان")</f>
        <v>درخواست برای معلمان</v>
      </c>
      <c r="G8528" s="1" t="str">
        <f>IFERROR(__xludf.DUMMYFUNCTION("GOOGLETRANSLATE(C8528, ""en"", ""fa"")
"),"در مورد نقش برنامه های راهنمایی STEM و الگوهای نقش در برانگیختن علاقه دانش آموزان به زمینه های STEM بحث کنید.")</f>
        <v>در مورد نقش برنامه های راهنمایی STEM و الگوهای نقش در برانگیختن علاقه دانش آموزان به زمینه های STEM بحث کنید.</v>
      </c>
      <c r="H8528" s="1"/>
      <c r="I8528" s="1"/>
      <c r="J8528" s="1"/>
      <c r="K8528" s="1"/>
      <c r="L8528" s="1"/>
      <c r="M8528" s="1"/>
      <c r="N8528" s="1"/>
      <c r="O8528" s="1"/>
      <c r="P8528" s="1"/>
      <c r="Q8528" s="1"/>
      <c r="R8528" s="1"/>
      <c r="S8528" s="1"/>
      <c r="T8528" s="1"/>
      <c r="U8528" s="1"/>
      <c r="V8528" s="1"/>
      <c r="W8528" s="1"/>
      <c r="X8528" s="1"/>
      <c r="Y8528" s="1"/>
      <c r="Z8528" s="1"/>
      <c r="AA8528" s="1"/>
      <c r="AB8528" s="1"/>
    </row>
    <row r="8529" ht="50.25" customHeight="1">
      <c r="A8529" s="12">
        <v>8525.0</v>
      </c>
      <c r="B8529" s="13" t="s">
        <v>7680</v>
      </c>
      <c r="C8529" s="18" t="s">
        <v>8554</v>
      </c>
      <c r="D8529" s="1"/>
      <c r="E8529" s="1"/>
      <c r="F8529" s="1" t="str">
        <f>IFERROR(__xludf.DUMMYFUNCTION("GOOGLETRANSLATE(B8529, ""en"", ""fa"")
"),"درخواست برای معلمان")</f>
        <v>درخواست برای معلمان</v>
      </c>
      <c r="G8529" s="1" t="str">
        <f>IFERROR(__xludf.DUMMYFUNCTION("GOOGLETRANSLATE(C8529, ""en"", ""fa"")
"),"استراتژی‌هایی را برای ادغام فناوری‌های واقعیت افزوده (AR) و واقعیت مجازی (VR) در دستورالعمل STEM کاوش کنید.")</f>
        <v>استراتژی‌هایی را برای ادغام فناوری‌های واقعیت افزوده (AR) و واقعیت مجازی (VR) در دستورالعمل STEM کاوش کنید.</v>
      </c>
      <c r="H8529" s="1"/>
      <c r="I8529" s="1"/>
      <c r="J8529" s="1"/>
      <c r="K8529" s="1"/>
      <c r="L8529" s="1"/>
      <c r="M8529" s="1"/>
      <c r="N8529" s="1"/>
      <c r="O8529" s="1"/>
      <c r="P8529" s="1"/>
      <c r="Q8529" s="1"/>
      <c r="R8529" s="1"/>
      <c r="S8529" s="1"/>
      <c r="T8529" s="1"/>
      <c r="U8529" s="1"/>
      <c r="V8529" s="1"/>
      <c r="W8529" s="1"/>
      <c r="X8529" s="1"/>
      <c r="Y8529" s="1"/>
      <c r="Z8529" s="1"/>
      <c r="AA8529" s="1"/>
      <c r="AB8529" s="1"/>
    </row>
    <row r="8530" ht="50.25" customHeight="1">
      <c r="A8530" s="12">
        <v>8526.0</v>
      </c>
      <c r="B8530" s="13" t="s">
        <v>7680</v>
      </c>
      <c r="C8530" s="18" t="s">
        <v>8555</v>
      </c>
      <c r="D8530" s="1"/>
      <c r="E8530" s="1"/>
      <c r="F8530" s="1" t="str">
        <f>IFERROR(__xludf.DUMMYFUNCTION("GOOGLETRANSLATE(B8530, ""en"", ""fa"")
"),"درخواست برای معلمان")</f>
        <v>درخواست برای معلمان</v>
      </c>
      <c r="G8530" s="1" t="str">
        <f>IFERROR(__xludf.DUMMYFUNCTION("GOOGLETRANSLATE(C8530, ""en"", ""fa"")
"),"در مورد اهمیت استفاده از آموزش متمایز برای برآوردن نیازهای متنوع دانش آموزان در کلاس بحث کنید.")</f>
        <v>در مورد اهمیت استفاده از آموزش متمایز برای برآوردن نیازهای متنوع دانش آموزان در کلاس بحث کنید.</v>
      </c>
      <c r="H8530" s="1"/>
      <c r="I8530" s="1"/>
      <c r="J8530" s="1"/>
      <c r="K8530" s="1"/>
      <c r="L8530" s="1"/>
      <c r="M8530" s="1"/>
      <c r="N8530" s="1"/>
      <c r="O8530" s="1"/>
      <c r="P8530" s="1"/>
      <c r="Q8530" s="1"/>
      <c r="R8530" s="1"/>
      <c r="S8530" s="1"/>
      <c r="T8530" s="1"/>
      <c r="U8530" s="1"/>
      <c r="V8530" s="1"/>
      <c r="W8530" s="1"/>
      <c r="X8530" s="1"/>
      <c r="Y8530" s="1"/>
      <c r="Z8530" s="1"/>
      <c r="AA8530" s="1"/>
      <c r="AB8530" s="1"/>
    </row>
    <row r="8531" ht="50.25" customHeight="1">
      <c r="A8531" s="12">
        <v>8527.0</v>
      </c>
      <c r="B8531" s="13" t="s">
        <v>7680</v>
      </c>
      <c r="C8531" s="18" t="s">
        <v>8556</v>
      </c>
      <c r="D8531" s="1"/>
      <c r="E8531" s="1"/>
      <c r="F8531" s="1" t="str">
        <f>IFERROR(__xludf.DUMMYFUNCTION("GOOGLETRANSLATE(B8531, ""en"", ""fa"")
"),"درخواست برای معلمان")</f>
        <v>درخواست برای معلمان</v>
      </c>
      <c r="G8531" s="1" t="str">
        <f>IFERROR(__xludf.DUMMYFUNCTION("GOOGLETRANSLATE(C8531, ""en"", ""fa"")
"),"استراتژی‌هایی را برای ترویج یادگیری فعال و مشارکت دانش‌آموز در طول درس بررسی کنید.")</f>
        <v>استراتژی‌هایی را برای ترویج یادگیری فعال و مشارکت دانش‌آموز در طول درس بررسی کنید.</v>
      </c>
      <c r="H8531" s="1"/>
      <c r="I8531" s="1"/>
      <c r="J8531" s="1"/>
      <c r="K8531" s="1"/>
      <c r="L8531" s="1"/>
      <c r="M8531" s="1"/>
      <c r="N8531" s="1"/>
      <c r="O8531" s="1"/>
      <c r="P8531" s="1"/>
      <c r="Q8531" s="1"/>
      <c r="R8531" s="1"/>
      <c r="S8531" s="1"/>
      <c r="T8531" s="1"/>
      <c r="U8531" s="1"/>
      <c r="V8531" s="1"/>
      <c r="W8531" s="1"/>
      <c r="X8531" s="1"/>
      <c r="Y8531" s="1"/>
      <c r="Z8531" s="1"/>
      <c r="AA8531" s="1"/>
      <c r="AB8531" s="1"/>
    </row>
    <row r="8532" ht="50.25" customHeight="1">
      <c r="A8532" s="12">
        <v>8528.0</v>
      </c>
      <c r="B8532" s="13" t="s">
        <v>7680</v>
      </c>
      <c r="C8532" s="18" t="s">
        <v>8557</v>
      </c>
      <c r="D8532" s="1"/>
      <c r="E8532" s="1"/>
      <c r="F8532" s="1" t="str">
        <f>IFERROR(__xludf.DUMMYFUNCTION("GOOGLETRANSLATE(B8532, ""en"", ""fa"")
"),"درخواست برای معلمان")</f>
        <v>درخواست برای معلمان</v>
      </c>
      <c r="G8532" s="1" t="str">
        <f>IFERROR(__xludf.DUMMYFUNCTION("GOOGLETRANSLATE(C8532, ""en"", ""fa"")
"),"تجربیات خود را در مورد اجرای ساختارهای یادگیری مشارکتی برای تقویت همکاری بین دانش آموزان به اشتراک بگذارید.")</f>
        <v>تجربیات خود را در مورد اجرای ساختارهای یادگیری مشارکتی برای تقویت همکاری بین دانش آموزان به اشتراک بگذارید.</v>
      </c>
      <c r="H8532" s="1"/>
      <c r="I8532" s="1"/>
      <c r="J8532" s="1"/>
      <c r="K8532" s="1"/>
      <c r="L8532" s="1"/>
      <c r="M8532" s="1"/>
      <c r="N8532" s="1"/>
      <c r="O8532" s="1"/>
      <c r="P8532" s="1"/>
      <c r="Q8532" s="1"/>
      <c r="R8532" s="1"/>
      <c r="S8532" s="1"/>
      <c r="T8532" s="1"/>
      <c r="U8532" s="1"/>
      <c r="V8532" s="1"/>
      <c r="W8532" s="1"/>
      <c r="X8532" s="1"/>
      <c r="Y8532" s="1"/>
      <c r="Z8532" s="1"/>
      <c r="AA8532" s="1"/>
      <c r="AB8532" s="1"/>
    </row>
    <row r="8533" ht="50.25" customHeight="1">
      <c r="A8533" s="12">
        <v>8529.0</v>
      </c>
      <c r="B8533" s="13" t="s">
        <v>7680</v>
      </c>
      <c r="C8533" s="18" t="s">
        <v>8558</v>
      </c>
      <c r="D8533" s="1"/>
      <c r="E8533" s="1"/>
      <c r="F8533" s="1" t="str">
        <f>IFERROR(__xludf.DUMMYFUNCTION("GOOGLETRANSLATE(B8533, ""en"", ""fa"")
"),"درخواست برای معلمان")</f>
        <v>درخواست برای معلمان</v>
      </c>
      <c r="G8533" s="1" t="str">
        <f>IFERROR(__xludf.DUMMYFUNCTION("GOOGLETRANSLATE(C8533, ""en"", ""fa"")
"),"در مورد تأثیر ترکیب ابزارهای فناوری و منابع دیجیتال در استراتژی های آموزشی بحث کنید.")</f>
        <v>در مورد تأثیر ترکیب ابزارهای فناوری و منابع دیجیتال در استراتژی های آموزشی بحث کنید.</v>
      </c>
      <c r="H8533" s="1"/>
      <c r="I8533" s="1"/>
      <c r="J8533" s="1"/>
      <c r="K8533" s="1"/>
      <c r="L8533" s="1"/>
      <c r="M8533" s="1"/>
      <c r="N8533" s="1"/>
      <c r="O8533" s="1"/>
      <c r="P8533" s="1"/>
      <c r="Q8533" s="1"/>
      <c r="R8533" s="1"/>
      <c r="S8533" s="1"/>
      <c r="T8533" s="1"/>
      <c r="U8533" s="1"/>
      <c r="V8533" s="1"/>
      <c r="W8533" s="1"/>
      <c r="X8533" s="1"/>
      <c r="Y8533" s="1"/>
      <c r="Z8533" s="1"/>
      <c r="AA8533" s="1"/>
      <c r="AB8533" s="1"/>
    </row>
    <row r="8534" ht="50.25" customHeight="1">
      <c r="A8534" s="12">
        <v>8530.0</v>
      </c>
      <c r="B8534" s="13" t="s">
        <v>7680</v>
      </c>
      <c r="C8534" s="18" t="s">
        <v>8559</v>
      </c>
      <c r="D8534" s="1"/>
      <c r="E8534" s="1"/>
      <c r="F8534" s="1" t="str">
        <f>IFERROR(__xludf.DUMMYFUNCTION("GOOGLETRANSLATE(B8534, ""en"", ""fa"")
"),"درخواست برای معلمان")</f>
        <v>درخواست برای معلمان</v>
      </c>
      <c r="G8534" s="1" t="str">
        <f>IFERROR(__xludf.DUMMYFUNCTION("GOOGLETRANSLATE(C8534, ""en"", ""fa"")
"),"راه‌هایی را برای ترکیب تکنیک‌های ارزشیابی تکوینی برای نظارت بر پیشرفت دانش‌آموز و ارائه بازخورد به موقع کاوش کنید.")</f>
        <v>راه‌هایی را برای ترکیب تکنیک‌های ارزشیابی تکوینی برای نظارت بر پیشرفت دانش‌آموز و ارائه بازخورد به موقع کاوش کنید.</v>
      </c>
      <c r="H8534" s="1"/>
      <c r="I8534" s="1"/>
      <c r="J8534" s="1"/>
      <c r="K8534" s="1"/>
      <c r="L8534" s="1"/>
      <c r="M8534" s="1"/>
      <c r="N8534" s="1"/>
      <c r="O8534" s="1"/>
      <c r="P8534" s="1"/>
      <c r="Q8534" s="1"/>
      <c r="R8534" s="1"/>
      <c r="S8534" s="1"/>
      <c r="T8534" s="1"/>
      <c r="U8534" s="1"/>
      <c r="V8534" s="1"/>
      <c r="W8534" s="1"/>
      <c r="X8534" s="1"/>
      <c r="Y8534" s="1"/>
      <c r="Z8534" s="1"/>
      <c r="AA8534" s="1"/>
      <c r="AB8534" s="1"/>
    </row>
    <row r="8535" ht="50.25" customHeight="1">
      <c r="A8535" s="12">
        <v>8531.0</v>
      </c>
      <c r="B8535" s="13" t="s">
        <v>7680</v>
      </c>
      <c r="C8535" s="18" t="s">
        <v>8560</v>
      </c>
      <c r="D8535" s="1"/>
      <c r="E8535" s="1"/>
      <c r="F8535" s="1" t="str">
        <f>IFERROR(__xludf.DUMMYFUNCTION("GOOGLETRANSLATE(B8535, ""en"", ""fa"")
"),"درخواست برای معلمان")</f>
        <v>درخواست برای معلمان</v>
      </c>
      <c r="G8535" s="1" t="str">
        <f>IFERROR(__xludf.DUMMYFUNCTION("GOOGLETRANSLATE(C8535, ""en"", ""fa"")
"),"بینش خود را در مورد استفاده از وسایل کمک بصری و سازمان دهندگان گرافیکی برای افزایش درک و حفظ محتوا به اشتراک بگذارید.")</f>
        <v>بینش خود را در مورد استفاده از وسایل کمک بصری و سازمان دهندگان گرافیکی برای افزایش درک و حفظ محتوا به اشتراک بگذارید.</v>
      </c>
      <c r="H8535" s="1"/>
      <c r="I8535" s="1"/>
      <c r="J8535" s="1"/>
      <c r="K8535" s="1"/>
      <c r="L8535" s="1"/>
      <c r="M8535" s="1"/>
      <c r="N8535" s="1"/>
      <c r="O8535" s="1"/>
      <c r="P8535" s="1"/>
      <c r="Q8535" s="1"/>
      <c r="R8535" s="1"/>
      <c r="S8535" s="1"/>
      <c r="T8535" s="1"/>
      <c r="U8535" s="1"/>
      <c r="V8535" s="1"/>
      <c r="W8535" s="1"/>
      <c r="X8535" s="1"/>
      <c r="Y8535" s="1"/>
      <c r="Z8535" s="1"/>
      <c r="AA8535" s="1"/>
      <c r="AB8535" s="1"/>
    </row>
    <row r="8536" ht="50.25" customHeight="1">
      <c r="A8536" s="12">
        <v>8532.0</v>
      </c>
      <c r="B8536" s="13" t="s">
        <v>7680</v>
      </c>
      <c r="C8536" s="18" t="s">
        <v>8561</v>
      </c>
      <c r="D8536" s="1"/>
      <c r="E8536" s="1"/>
      <c r="F8536" s="1" t="str">
        <f>IFERROR(__xludf.DUMMYFUNCTION("GOOGLETRANSLATE(B8536, ""en"", ""fa"")
"),"درخواست برای معلمان")</f>
        <v>درخواست برای معلمان</v>
      </c>
      <c r="G8536" s="1" t="str">
        <f>IFERROR(__xludf.DUMMYFUNCTION("GOOGLETRANSLATE(C8536, ""en"", ""fa"")
"),"در مورد نقش داربست و رهایی تدریجی مسئولیت در هدایت دانش آموزان به سمت یادگیری مستقل بحث کنید.")</f>
        <v>در مورد نقش داربست و رهایی تدریجی مسئولیت در هدایت دانش آموزان به سمت یادگیری مستقل بحث کنید.</v>
      </c>
      <c r="H8536" s="1"/>
      <c r="I8536" s="1"/>
      <c r="J8536" s="1"/>
      <c r="K8536" s="1"/>
      <c r="L8536" s="1"/>
      <c r="M8536" s="1"/>
      <c r="N8536" s="1"/>
      <c r="O8536" s="1"/>
      <c r="P8536" s="1"/>
      <c r="Q8536" s="1"/>
      <c r="R8536" s="1"/>
      <c r="S8536" s="1"/>
      <c r="T8536" s="1"/>
      <c r="U8536" s="1"/>
      <c r="V8536" s="1"/>
      <c r="W8536" s="1"/>
      <c r="X8536" s="1"/>
      <c r="Y8536" s="1"/>
      <c r="Z8536" s="1"/>
      <c r="AA8536" s="1"/>
      <c r="AB8536" s="1"/>
    </row>
    <row r="8537" ht="50.25" customHeight="1">
      <c r="A8537" s="12">
        <v>8533.0</v>
      </c>
      <c r="B8537" s="13" t="s">
        <v>7680</v>
      </c>
      <c r="C8537" s="18" t="s">
        <v>8562</v>
      </c>
      <c r="D8537" s="1"/>
      <c r="E8537" s="1"/>
      <c r="F8537" s="1" t="str">
        <f>IFERROR(__xludf.DUMMYFUNCTION("GOOGLETRANSLATE(B8537, ""en"", ""fa"")
"),"درخواست برای معلمان")</f>
        <v>درخواست برای معلمان</v>
      </c>
      <c r="G8537" s="1" t="str">
        <f>IFERROR(__xludf.DUMMYFUNCTION("GOOGLETRANSLATE(C8537, ""en"", ""fa"")
"),"استراتژی‌هایی را برای ترکیب فرصت‌های یادگیری عملی و تجربی در آموزش کلاس درس بررسی کنید.")</f>
        <v>استراتژی‌هایی را برای ترکیب فرصت‌های یادگیری عملی و تجربی در آموزش کلاس درس بررسی کنید.</v>
      </c>
      <c r="H8537" s="1"/>
      <c r="I8537" s="1"/>
      <c r="J8537" s="1"/>
      <c r="K8537" s="1"/>
      <c r="L8537" s="1"/>
      <c r="M8537" s="1"/>
      <c r="N8537" s="1"/>
      <c r="O8537" s="1"/>
      <c r="P8537" s="1"/>
      <c r="Q8537" s="1"/>
      <c r="R8537" s="1"/>
      <c r="S8537" s="1"/>
      <c r="T8537" s="1"/>
      <c r="U8537" s="1"/>
      <c r="V8537" s="1"/>
      <c r="W8537" s="1"/>
      <c r="X8537" s="1"/>
      <c r="Y8537" s="1"/>
      <c r="Z8537" s="1"/>
      <c r="AA8537" s="1"/>
      <c r="AB8537" s="1"/>
    </row>
    <row r="8538" ht="50.25" customHeight="1">
      <c r="A8538" s="12">
        <v>8534.0</v>
      </c>
      <c r="B8538" s="13" t="s">
        <v>7680</v>
      </c>
      <c r="C8538" s="18" t="s">
        <v>8563</v>
      </c>
      <c r="D8538" s="1"/>
      <c r="E8538" s="1"/>
      <c r="F8538" s="1" t="str">
        <f>IFERROR(__xludf.DUMMYFUNCTION("GOOGLETRANSLATE(B8538, ""en"", ""fa"")
"),"درخواست برای معلمان")</f>
        <v>درخواست برای معلمان</v>
      </c>
      <c r="G8538" s="1" t="str">
        <f>IFERROR(__xludf.DUMMYFUNCTION("GOOGLETRANSLATE(C8538, ""en"", ""fa"")
"),"تجربیات خود را در مورد اجرای رویکردهای یادگیری مبتنی بر مشکل برای تقویت تفکر انتقادی و مهارت های حل مسئله به اشتراک بگذارید.")</f>
        <v>تجربیات خود را در مورد اجرای رویکردهای یادگیری مبتنی بر مشکل برای تقویت تفکر انتقادی و مهارت های حل مسئله به اشتراک بگذارید.</v>
      </c>
      <c r="H8538" s="1"/>
      <c r="I8538" s="1"/>
      <c r="J8538" s="1"/>
      <c r="K8538" s="1"/>
      <c r="L8538" s="1"/>
      <c r="M8538" s="1"/>
      <c r="N8538" s="1"/>
      <c r="O8538" s="1"/>
      <c r="P8538" s="1"/>
      <c r="Q8538" s="1"/>
      <c r="R8538" s="1"/>
      <c r="S8538" s="1"/>
      <c r="T8538" s="1"/>
      <c r="U8538" s="1"/>
      <c r="V8538" s="1"/>
      <c r="W8538" s="1"/>
      <c r="X8538" s="1"/>
      <c r="Y8538" s="1"/>
      <c r="Z8538" s="1"/>
      <c r="AA8538" s="1"/>
      <c r="AB8538" s="1"/>
    </row>
    <row r="8539" ht="50.25" customHeight="1">
      <c r="A8539" s="12">
        <v>8535.0</v>
      </c>
      <c r="B8539" s="13" t="s">
        <v>7680</v>
      </c>
      <c r="C8539" s="18" t="s">
        <v>8564</v>
      </c>
      <c r="D8539" s="1"/>
      <c r="E8539" s="1"/>
      <c r="F8539" s="1" t="str">
        <f>IFERROR(__xludf.DUMMYFUNCTION("GOOGLETRANSLATE(B8539, ""en"", ""fa"")
"),"درخواست برای معلمان")</f>
        <v>درخواست برای معلمان</v>
      </c>
      <c r="G8539" s="1" t="str">
        <f>IFERROR(__xludf.DUMMYFUNCTION("GOOGLETRANSLATE(C8539, ""en"", ""fa"")
"),"در مورد اهمیت فعال کردن دانش قبلی و ایجاد ارتباط با تجربیات زندگی واقعی دانش آموزان در آموزش بحث کنید.")</f>
        <v>در مورد اهمیت فعال کردن دانش قبلی و ایجاد ارتباط با تجربیات زندگی واقعی دانش آموزان در آموزش بحث کنید.</v>
      </c>
      <c r="H8539" s="1"/>
      <c r="I8539" s="1"/>
      <c r="J8539" s="1"/>
      <c r="K8539" s="1"/>
      <c r="L8539" s="1"/>
      <c r="M8539" s="1"/>
      <c r="N8539" s="1"/>
      <c r="O8539" s="1"/>
      <c r="P8539" s="1"/>
      <c r="Q8539" s="1"/>
      <c r="R8539" s="1"/>
      <c r="S8539" s="1"/>
      <c r="T8539" s="1"/>
      <c r="U8539" s="1"/>
      <c r="V8539" s="1"/>
      <c r="W8539" s="1"/>
      <c r="X8539" s="1"/>
      <c r="Y8539" s="1"/>
      <c r="Z8539" s="1"/>
      <c r="AA8539" s="1"/>
      <c r="AB8539" s="1"/>
    </row>
    <row r="8540" ht="50.25" customHeight="1">
      <c r="A8540" s="12">
        <v>8536.0</v>
      </c>
      <c r="B8540" s="13" t="s">
        <v>7680</v>
      </c>
      <c r="C8540" s="18" t="s">
        <v>8565</v>
      </c>
      <c r="D8540" s="1"/>
      <c r="E8540" s="1"/>
      <c r="F8540" s="1" t="str">
        <f>IFERROR(__xludf.DUMMYFUNCTION("GOOGLETRANSLATE(B8540, ""en"", ""fa"")
"),"درخواست برای معلمان")</f>
        <v>درخواست برای معلمان</v>
      </c>
      <c r="G8540" s="1" t="str">
        <f>IFERROR(__xludf.DUMMYFUNCTION("GOOGLETRANSLATE(C8540, ""en"", ""fa"")
"),"راه‌هایی برای ترکیب داستان‌سرایی و تکنیک‌های روایی برای جذاب‌تر کردن و به یاد ماندنی کردن درس‌ها کاوش کنید.")</f>
        <v>راه‌هایی برای ترکیب داستان‌سرایی و تکنیک‌های روایی برای جذاب‌تر کردن و به یاد ماندنی کردن درس‌ها کاوش کنید.</v>
      </c>
      <c r="H8540" s="1"/>
      <c r="I8540" s="1"/>
      <c r="J8540" s="1"/>
      <c r="K8540" s="1"/>
      <c r="L8540" s="1"/>
      <c r="M8540" s="1"/>
      <c r="N8540" s="1"/>
      <c r="O8540" s="1"/>
      <c r="P8540" s="1"/>
      <c r="Q8540" s="1"/>
      <c r="R8540" s="1"/>
      <c r="S8540" s="1"/>
      <c r="T8540" s="1"/>
      <c r="U8540" s="1"/>
      <c r="V8540" s="1"/>
      <c r="W8540" s="1"/>
      <c r="X8540" s="1"/>
      <c r="Y8540" s="1"/>
      <c r="Z8540" s="1"/>
      <c r="AA8540" s="1"/>
      <c r="AB8540" s="1"/>
    </row>
    <row r="8541" ht="50.25" customHeight="1">
      <c r="A8541" s="12">
        <v>8537.0</v>
      </c>
      <c r="B8541" s="13" t="s">
        <v>7680</v>
      </c>
      <c r="C8541" s="18" t="s">
        <v>8566</v>
      </c>
      <c r="D8541" s="1"/>
      <c r="E8541" s="1"/>
      <c r="F8541" s="1" t="str">
        <f>IFERROR(__xludf.DUMMYFUNCTION("GOOGLETRANSLATE(B8541, ""en"", ""fa"")
"),"درخواست برای معلمان")</f>
        <v>درخواست برای معلمان</v>
      </c>
      <c r="G8541" s="1" t="str">
        <f>IFERROR(__xludf.DUMMYFUNCTION("GOOGLETRANSLATE(C8541, ""en"", ""fa"")
"),"بینش خود را در مورد استفاده از استراتژی‌های فکر-جفت-اشتراک یا نوبت و صحبت کردن برای ترویج مشارکت فعال دانش‌آموزان به اشتراک بگذارید.")</f>
        <v>بینش خود را در مورد استفاده از استراتژی‌های فکر-جفت-اشتراک یا نوبت و صحبت کردن برای ترویج مشارکت فعال دانش‌آموزان به اشتراک بگذارید.</v>
      </c>
      <c r="H8541" s="1"/>
      <c r="I8541" s="1"/>
      <c r="J8541" s="1"/>
      <c r="K8541" s="1"/>
      <c r="L8541" s="1"/>
      <c r="M8541" s="1"/>
      <c r="N8541" s="1"/>
      <c r="O8541" s="1"/>
      <c r="P8541" s="1"/>
      <c r="Q8541" s="1"/>
      <c r="R8541" s="1"/>
      <c r="S8541" s="1"/>
      <c r="T8541" s="1"/>
      <c r="U8541" s="1"/>
      <c r="V8541" s="1"/>
      <c r="W8541" s="1"/>
      <c r="X8541" s="1"/>
      <c r="Y8541" s="1"/>
      <c r="Z8541" s="1"/>
      <c r="AA8541" s="1"/>
      <c r="AB8541" s="1"/>
    </row>
    <row r="8542" ht="50.25" customHeight="1">
      <c r="A8542" s="12">
        <v>8538.0</v>
      </c>
      <c r="B8542" s="13" t="s">
        <v>7680</v>
      </c>
      <c r="C8542" s="18" t="s">
        <v>8567</v>
      </c>
      <c r="D8542" s="1"/>
      <c r="E8542" s="1"/>
      <c r="F8542" s="1" t="str">
        <f>IFERROR(__xludf.DUMMYFUNCTION("GOOGLETRANSLATE(B8542, ""en"", ""fa"")
"),"درخواست برای معلمان")</f>
        <v>درخواست برای معلمان</v>
      </c>
      <c r="G8542" s="1" t="str">
        <f>IFERROR(__xludf.DUMMYFUNCTION("GOOGLETRANSLATE(C8542, ""en"", ""fa"")
"),"درباره تأثیر ترکیب رویکردهای یادگیری مبتنی بر تحقیق برای تشویق کنجکاوی و کاوش بحث کنید.")</f>
        <v>درباره تأثیر ترکیب رویکردهای یادگیری مبتنی بر تحقیق برای تشویق کنجکاوی و کاوش بحث کنید.</v>
      </c>
      <c r="H8542" s="1"/>
      <c r="I8542" s="1"/>
      <c r="J8542" s="1"/>
      <c r="K8542" s="1"/>
      <c r="L8542" s="1"/>
      <c r="M8542" s="1"/>
      <c r="N8542" s="1"/>
      <c r="O8542" s="1"/>
      <c r="P8542" s="1"/>
      <c r="Q8542" s="1"/>
      <c r="R8542" s="1"/>
      <c r="S8542" s="1"/>
      <c r="T8542" s="1"/>
      <c r="U8542" s="1"/>
      <c r="V8542" s="1"/>
      <c r="W8542" s="1"/>
      <c r="X8542" s="1"/>
      <c r="Y8542" s="1"/>
      <c r="Z8542" s="1"/>
      <c r="AA8542" s="1"/>
      <c r="AB8542" s="1"/>
    </row>
    <row r="8543" ht="50.25" customHeight="1">
      <c r="A8543" s="12">
        <v>8539.0</v>
      </c>
      <c r="B8543" s="13" t="s">
        <v>7680</v>
      </c>
      <c r="C8543" s="18" t="s">
        <v>8568</v>
      </c>
      <c r="D8543" s="1"/>
      <c r="E8543" s="1"/>
      <c r="F8543" s="1" t="str">
        <f>IFERROR(__xludf.DUMMYFUNCTION("GOOGLETRANSLATE(B8543, ""en"", ""fa"")
"),"درخواست برای معلمان")</f>
        <v>درخواست برای معلمان</v>
      </c>
      <c r="G8543" s="1" t="str">
        <f>IFERROR(__xludf.DUMMYFUNCTION("GOOGLETRANSLATE(C8543, ""en"", ""fa"")
"),"استراتژی‌هایی را برای ادغام فعالیت‌های مبتنی بر هنر، مانند هنرهای نمایشی یا تجسمی، در استراتژی‌های آموزشی بررسی کنید.")</f>
        <v>استراتژی‌هایی را برای ادغام فعالیت‌های مبتنی بر هنر، مانند هنرهای نمایشی یا تجسمی، در استراتژی‌های آموزشی بررسی کنید.</v>
      </c>
      <c r="H8543" s="1"/>
      <c r="I8543" s="1"/>
      <c r="J8543" s="1"/>
      <c r="K8543" s="1"/>
      <c r="L8543" s="1"/>
      <c r="M8543" s="1"/>
      <c r="N8543" s="1"/>
      <c r="O8543" s="1"/>
      <c r="P8543" s="1"/>
      <c r="Q8543" s="1"/>
      <c r="R8543" s="1"/>
      <c r="S8543" s="1"/>
      <c r="T8543" s="1"/>
      <c r="U8543" s="1"/>
      <c r="V8543" s="1"/>
      <c r="W8543" s="1"/>
      <c r="X8543" s="1"/>
      <c r="Y8543" s="1"/>
      <c r="Z8543" s="1"/>
      <c r="AA8543" s="1"/>
      <c r="AB8543" s="1"/>
    </row>
    <row r="8544" ht="50.25" customHeight="1">
      <c r="A8544" s="12">
        <v>8540.0</v>
      </c>
      <c r="B8544" s="13" t="s">
        <v>7680</v>
      </c>
      <c r="C8544" s="18" t="s">
        <v>8569</v>
      </c>
      <c r="D8544" s="1"/>
      <c r="E8544" s="1"/>
      <c r="F8544" s="1" t="str">
        <f>IFERROR(__xludf.DUMMYFUNCTION("GOOGLETRANSLATE(B8544, ""en"", ""fa"")
"),"درخواست برای معلمان")</f>
        <v>درخواست برای معلمان</v>
      </c>
      <c r="G8544" s="1" t="str">
        <f>IFERROR(__xludf.DUMMYFUNCTION("GOOGLETRANSLATE(C8544, ""en"", ""fa"")
"),"تجربیات خود را با استفاده از یادگیری مبتنی بر پروژه برای ایجاد تجربیات یادگیری واقعی و واقعی به اشتراک بگذارید.")</f>
        <v>تجربیات خود را با استفاده از یادگیری مبتنی بر پروژه برای ایجاد تجربیات یادگیری واقعی و واقعی به اشتراک بگذارید.</v>
      </c>
      <c r="H8544" s="1"/>
      <c r="I8544" s="1"/>
      <c r="J8544" s="1"/>
      <c r="K8544" s="1"/>
      <c r="L8544" s="1"/>
      <c r="M8544" s="1"/>
      <c r="N8544" s="1"/>
      <c r="O8544" s="1"/>
      <c r="P8544" s="1"/>
      <c r="Q8544" s="1"/>
      <c r="R8544" s="1"/>
      <c r="S8544" s="1"/>
      <c r="T8544" s="1"/>
      <c r="U8544" s="1"/>
      <c r="V8544" s="1"/>
      <c r="W8544" s="1"/>
      <c r="X8544" s="1"/>
      <c r="Y8544" s="1"/>
      <c r="Z8544" s="1"/>
      <c r="AA8544" s="1"/>
      <c r="AB8544" s="1"/>
    </row>
    <row r="8545" ht="50.25" customHeight="1">
      <c r="A8545" s="12">
        <v>8541.0</v>
      </c>
      <c r="B8545" s="13" t="s">
        <v>7680</v>
      </c>
      <c r="C8545" s="18" t="s">
        <v>8570</v>
      </c>
      <c r="D8545" s="1"/>
      <c r="E8545" s="1"/>
      <c r="F8545" s="1" t="str">
        <f>IFERROR(__xludf.DUMMYFUNCTION("GOOGLETRANSLATE(B8545, ""en"", ""fa"")
"),"درخواست برای معلمان")</f>
        <v>درخواست برای معلمان</v>
      </c>
      <c r="G8545" s="1" t="str">
        <f>IFERROR(__xludf.DUMMYFUNCTION("GOOGLETRANSLATE(C8545, ""en"", ""fa"")
"),"در مورد نقش راهبردهای فراشناختی و یادگیری خودتنظیمی در افزایش عملکرد تحصیلی دانش آموزان بحث کنید.")</f>
        <v>در مورد نقش راهبردهای فراشناختی و یادگیری خودتنظیمی در افزایش عملکرد تحصیلی دانش آموزان بحث کنید.</v>
      </c>
      <c r="H8545" s="1"/>
      <c r="I8545" s="1"/>
      <c r="J8545" s="1"/>
      <c r="K8545" s="1"/>
      <c r="L8545" s="1"/>
      <c r="M8545" s="1"/>
      <c r="N8545" s="1"/>
      <c r="O8545" s="1"/>
      <c r="P8545" s="1"/>
      <c r="Q8545" s="1"/>
      <c r="R8545" s="1"/>
      <c r="S8545" s="1"/>
      <c r="T8545" s="1"/>
      <c r="U8545" s="1"/>
      <c r="V8545" s="1"/>
      <c r="W8545" s="1"/>
      <c r="X8545" s="1"/>
      <c r="Y8545" s="1"/>
      <c r="Z8545" s="1"/>
      <c r="AA8545" s="1"/>
      <c r="AB8545" s="1"/>
    </row>
    <row r="8546" ht="50.25" customHeight="1">
      <c r="A8546" s="12">
        <v>8542.0</v>
      </c>
      <c r="B8546" s="13" t="s">
        <v>7680</v>
      </c>
      <c r="C8546" s="18" t="s">
        <v>8571</v>
      </c>
      <c r="D8546" s="1"/>
      <c r="E8546" s="1"/>
      <c r="F8546" s="1" t="str">
        <f>IFERROR(__xludf.DUMMYFUNCTION("GOOGLETRANSLATE(B8546, ""en"", ""fa"")
"),"درخواست برای معلمان")</f>
        <v>درخواست برای معلمان</v>
      </c>
      <c r="G8546" s="1" t="str">
        <f>IFERROR(__xludf.DUMMYFUNCTION("GOOGLETRANSLATE(C8546, ""en"", ""fa"")
"),"راه‌هایی را برای ترکیب فعالیت‌های حرکتی و حرکتی برای حمایت از یادگیری فعال در کلاس بررسی کنید.")</f>
        <v>راه‌هایی را برای ترکیب فعالیت‌های حرکتی و حرکتی برای حمایت از یادگیری فعال در کلاس بررسی کنید.</v>
      </c>
      <c r="H8546" s="1"/>
      <c r="I8546" s="1"/>
      <c r="J8546" s="1"/>
      <c r="K8546" s="1"/>
      <c r="L8546" s="1"/>
      <c r="M8546" s="1"/>
      <c r="N8546" s="1"/>
      <c r="O8546" s="1"/>
      <c r="P8546" s="1"/>
      <c r="Q8546" s="1"/>
      <c r="R8546" s="1"/>
      <c r="S8546" s="1"/>
      <c r="T8546" s="1"/>
      <c r="U8546" s="1"/>
      <c r="V8546" s="1"/>
      <c r="W8546" s="1"/>
      <c r="X8546" s="1"/>
      <c r="Y8546" s="1"/>
      <c r="Z8546" s="1"/>
      <c r="AA8546" s="1"/>
      <c r="AB8546" s="1"/>
    </row>
    <row r="8547" ht="50.25" customHeight="1">
      <c r="A8547" s="12">
        <v>8543.0</v>
      </c>
      <c r="B8547" s="13" t="s">
        <v>7680</v>
      </c>
      <c r="C8547" s="18" t="s">
        <v>8572</v>
      </c>
      <c r="D8547" s="1"/>
      <c r="E8547" s="1"/>
      <c r="F8547" s="1" t="str">
        <f>IFERROR(__xludf.DUMMYFUNCTION("GOOGLETRANSLATE(B8547, ""en"", ""fa"")
"),"درخواست برای معلمان")</f>
        <v>درخواست برای معلمان</v>
      </c>
      <c r="G8547" s="1" t="str">
        <f>IFERROR(__xludf.DUMMYFUNCTION("GOOGLETRANSLATE(C8547, ""en"", ""fa"")
"),"بینش خود را در مورد استفاده از تکنیک های پرسش، مانند پرسش سقراطی، برای ترویج تفکر انتقادی و بحث های کلاسی به اشتراک بگذارید.")</f>
        <v>بینش خود را در مورد استفاده از تکنیک های پرسش، مانند پرسش سقراطی، برای ترویج تفکر انتقادی و بحث های کلاسی به اشتراک بگذارید.</v>
      </c>
      <c r="H8547" s="1"/>
      <c r="I8547" s="1"/>
      <c r="J8547" s="1"/>
      <c r="K8547" s="1"/>
      <c r="L8547" s="1"/>
      <c r="M8547" s="1"/>
      <c r="N8547" s="1"/>
      <c r="O8547" s="1"/>
      <c r="P8547" s="1"/>
      <c r="Q8547" s="1"/>
      <c r="R8547" s="1"/>
      <c r="S8547" s="1"/>
      <c r="T8547" s="1"/>
      <c r="U8547" s="1"/>
      <c r="V8547" s="1"/>
      <c r="W8547" s="1"/>
      <c r="X8547" s="1"/>
      <c r="Y8547" s="1"/>
      <c r="Z8547" s="1"/>
      <c r="AA8547" s="1"/>
      <c r="AB8547" s="1"/>
    </row>
    <row r="8548" ht="50.25" customHeight="1">
      <c r="A8548" s="12">
        <v>8544.0</v>
      </c>
      <c r="B8548" s="13" t="s">
        <v>7680</v>
      </c>
      <c r="C8548" s="18" t="s">
        <v>8573</v>
      </c>
      <c r="D8548" s="1"/>
      <c r="E8548" s="1"/>
      <c r="F8548" s="1" t="str">
        <f>IFERROR(__xludf.DUMMYFUNCTION("GOOGLETRANSLATE(B8548, ""en"", ""fa"")
"),"درخواست برای معلمان")</f>
        <v>درخواست برای معلمان</v>
      </c>
      <c r="G8548" s="1" t="str">
        <f>IFERROR(__xludf.DUMMYFUNCTION("GOOGLETRANSLATE(C8548, ""en"", ""fa"")
"),"در مورد اهمیت فراهم کردن فرصت‌ها برای انتخاب و استقلال دانش‌آموز در راهبردهای آموزشی بحث کنید.")</f>
        <v>در مورد اهمیت فراهم کردن فرصت‌ها برای انتخاب و استقلال دانش‌آموز در راهبردهای آموزشی بحث کنید.</v>
      </c>
      <c r="H8548" s="1"/>
      <c r="I8548" s="1"/>
      <c r="J8548" s="1"/>
      <c r="K8548" s="1"/>
      <c r="L8548" s="1"/>
      <c r="M8548" s="1"/>
      <c r="N8548" s="1"/>
      <c r="O8548" s="1"/>
      <c r="P8548" s="1"/>
      <c r="Q8548" s="1"/>
      <c r="R8548" s="1"/>
      <c r="S8548" s="1"/>
      <c r="T8548" s="1"/>
      <c r="U8548" s="1"/>
      <c r="V8548" s="1"/>
      <c r="W8548" s="1"/>
      <c r="X8548" s="1"/>
      <c r="Y8548" s="1"/>
      <c r="Z8548" s="1"/>
      <c r="AA8548" s="1"/>
      <c r="AB8548" s="1"/>
    </row>
    <row r="8549" ht="50.25" customHeight="1">
      <c r="A8549" s="12">
        <v>8545.0</v>
      </c>
      <c r="B8549" s="13" t="s">
        <v>7680</v>
      </c>
      <c r="C8549" s="18" t="s">
        <v>8574</v>
      </c>
      <c r="D8549" s="1"/>
      <c r="E8549" s="1"/>
      <c r="F8549" s="1" t="str">
        <f>IFERROR(__xludf.DUMMYFUNCTION("GOOGLETRANSLATE(B8549, ""en"", ""fa"")
"),"درخواست برای معلمان")</f>
        <v>درخواست برای معلمان</v>
      </c>
      <c r="G8549" s="1" t="str">
        <f>IFERROR(__xludf.DUMMYFUNCTION("GOOGLETRANSLATE(C8549, ""en"", ""fa"")
"),"استراتژی‌های ترکیب داستان سرایی و تکنیک‌های روایی را بررسی کنید تا درس‌ها جذاب‌تر و به یاد ماندنی‌تر شوند.")</f>
        <v>استراتژی‌های ترکیب داستان سرایی و تکنیک‌های روایی را بررسی کنید تا درس‌ها جذاب‌تر و به یاد ماندنی‌تر شوند.</v>
      </c>
      <c r="H8549" s="1"/>
      <c r="I8549" s="1"/>
      <c r="J8549" s="1"/>
      <c r="K8549" s="1"/>
      <c r="L8549" s="1"/>
      <c r="M8549" s="1"/>
      <c r="N8549" s="1"/>
      <c r="O8549" s="1"/>
      <c r="P8549" s="1"/>
      <c r="Q8549" s="1"/>
      <c r="R8549" s="1"/>
      <c r="S8549" s="1"/>
      <c r="T8549" s="1"/>
      <c r="U8549" s="1"/>
      <c r="V8549" s="1"/>
      <c r="W8549" s="1"/>
      <c r="X8549" s="1"/>
      <c r="Y8549" s="1"/>
      <c r="Z8549" s="1"/>
      <c r="AA8549" s="1"/>
      <c r="AB8549" s="1"/>
    </row>
    <row r="8550" ht="50.25" customHeight="1">
      <c r="A8550" s="12">
        <v>8546.0</v>
      </c>
      <c r="B8550" s="13" t="s">
        <v>7680</v>
      </c>
      <c r="C8550" s="18" t="s">
        <v>8575</v>
      </c>
      <c r="D8550" s="1"/>
      <c r="E8550" s="1"/>
      <c r="F8550" s="1" t="str">
        <f>IFERROR(__xludf.DUMMYFUNCTION("GOOGLETRANSLATE(B8550, ""en"", ""fa"")
"),"درخواست برای معلمان")</f>
        <v>درخواست برای معلمان</v>
      </c>
      <c r="G8550" s="1" t="str">
        <f>IFERROR(__xludf.DUMMYFUNCTION("GOOGLETRANSLATE(C8550, ""en"", ""fa"")
"),"تجربیات خود را در مورد اجرای رویکردهای کلاس درس معکوس برای بهینه سازی زمان یادگیری در کلاس به اشتراک بگذارید.")</f>
        <v>تجربیات خود را در مورد اجرای رویکردهای کلاس درس معکوس برای بهینه سازی زمان یادگیری در کلاس به اشتراک بگذارید.</v>
      </c>
      <c r="H8550" s="1"/>
      <c r="I8550" s="1"/>
      <c r="J8550" s="1"/>
      <c r="K8550" s="1"/>
      <c r="L8550" s="1"/>
      <c r="M8550" s="1"/>
      <c r="N8550" s="1"/>
      <c r="O8550" s="1"/>
      <c r="P8550" s="1"/>
      <c r="Q8550" s="1"/>
      <c r="R8550" s="1"/>
      <c r="S8550" s="1"/>
      <c r="T8550" s="1"/>
      <c r="U8550" s="1"/>
      <c r="V8550" s="1"/>
      <c r="W8550" s="1"/>
      <c r="X8550" s="1"/>
      <c r="Y8550" s="1"/>
      <c r="Z8550" s="1"/>
      <c r="AA8550" s="1"/>
      <c r="AB8550" s="1"/>
    </row>
    <row r="8551" ht="50.25" customHeight="1">
      <c r="A8551" s="12">
        <v>8547.0</v>
      </c>
      <c r="B8551" s="13" t="s">
        <v>7680</v>
      </c>
      <c r="C8551" s="18" t="s">
        <v>8576</v>
      </c>
      <c r="D8551" s="1"/>
      <c r="E8551" s="1"/>
      <c r="F8551" s="1" t="str">
        <f>IFERROR(__xludf.DUMMYFUNCTION("GOOGLETRANSLATE(B8551, ""en"", ""fa"")
"),"درخواست برای معلمان")</f>
        <v>درخواست برای معلمان</v>
      </c>
      <c r="G8551" s="1" t="str">
        <f>IFERROR(__xludf.DUMMYFUNCTION("GOOGLETRANSLATE(C8551, ""en"", ""fa"")
"),"در مورد تأثیر استفاده از ابزارهای کمک بصری، چند رسانه ای و فناوری آموزشی در استراتژی های آموزشی بحث کنید.")</f>
        <v>در مورد تأثیر استفاده از ابزارهای کمک بصری، چند رسانه ای و فناوری آموزشی در استراتژی های آموزشی بحث کنید.</v>
      </c>
      <c r="H8551" s="1"/>
      <c r="I8551" s="1"/>
      <c r="J8551" s="1"/>
      <c r="K8551" s="1"/>
      <c r="L8551" s="1"/>
      <c r="M8551" s="1"/>
      <c r="N8551" s="1"/>
      <c r="O8551" s="1"/>
      <c r="P8551" s="1"/>
      <c r="Q8551" s="1"/>
      <c r="R8551" s="1"/>
      <c r="S8551" s="1"/>
      <c r="T8551" s="1"/>
      <c r="U8551" s="1"/>
      <c r="V8551" s="1"/>
      <c r="W8551" s="1"/>
      <c r="X8551" s="1"/>
      <c r="Y8551" s="1"/>
      <c r="Z8551" s="1"/>
      <c r="AA8551" s="1"/>
      <c r="AB8551" s="1"/>
    </row>
    <row r="8552" ht="50.25" customHeight="1">
      <c r="A8552" s="12">
        <v>8548.0</v>
      </c>
      <c r="B8552" s="13" t="s">
        <v>7680</v>
      </c>
      <c r="C8552" s="18" t="s">
        <v>8577</v>
      </c>
      <c r="D8552" s="1"/>
      <c r="E8552" s="1"/>
      <c r="F8552" s="1" t="str">
        <f>IFERROR(__xludf.DUMMYFUNCTION("GOOGLETRANSLATE(B8552, ""en"", ""fa"")
"),"درخواست برای معلمان")</f>
        <v>درخواست برای معلمان</v>
      </c>
      <c r="G8552" s="1" t="str">
        <f>IFERROR(__xludf.DUMMYFUNCTION("GOOGLETRANSLATE(C8552, ""en"", ""fa"")
"),"راه‌هایی را برای ادغام مشکلات و سناریوهای واقعی و واقعی در استراتژی‌های آموزشی کاوش کنید.")</f>
        <v>راه‌هایی را برای ادغام مشکلات و سناریوهای واقعی و واقعی در استراتژی‌های آموزشی کاوش کنید.</v>
      </c>
      <c r="H8552" s="1"/>
      <c r="I8552" s="1"/>
      <c r="J8552" s="1"/>
      <c r="K8552" s="1"/>
      <c r="L8552" s="1"/>
      <c r="M8552" s="1"/>
      <c r="N8552" s="1"/>
      <c r="O8552" s="1"/>
      <c r="P8552" s="1"/>
      <c r="Q8552" s="1"/>
      <c r="R8552" s="1"/>
      <c r="S8552" s="1"/>
      <c r="T8552" s="1"/>
      <c r="U8552" s="1"/>
      <c r="V8552" s="1"/>
      <c r="W8552" s="1"/>
      <c r="X8552" s="1"/>
      <c r="Y8552" s="1"/>
      <c r="Z8552" s="1"/>
      <c r="AA8552" s="1"/>
      <c r="AB8552" s="1"/>
    </row>
    <row r="8553" ht="50.25" customHeight="1">
      <c r="A8553" s="12">
        <v>8549.0</v>
      </c>
      <c r="B8553" s="13" t="s">
        <v>7680</v>
      </c>
      <c r="C8553" s="18" t="s">
        <v>8578</v>
      </c>
      <c r="D8553" s="1"/>
      <c r="E8553" s="1"/>
      <c r="F8553" s="1" t="str">
        <f>IFERROR(__xludf.DUMMYFUNCTION("GOOGLETRANSLATE(B8553, ""en"", ""fa"")
"),"درخواست برای معلمان")</f>
        <v>درخواست برای معلمان</v>
      </c>
      <c r="G8553" s="1" t="str">
        <f>IFERROR(__xludf.DUMMYFUNCTION("GOOGLETRANSLATE(C8553, ""en"", ""fa"")
"),"بینش خود را در مورد استفاده از نقشه مفهومی یا نقشه ذهنی برای تسهیل درک و سازماندهی اطلاعات به اشتراک بگذارید.")</f>
        <v>بینش خود را در مورد استفاده از نقشه مفهومی یا نقشه ذهنی برای تسهیل درک و سازماندهی اطلاعات به اشتراک بگذارید.</v>
      </c>
      <c r="H8553" s="1"/>
      <c r="I8553" s="1"/>
      <c r="J8553" s="1"/>
      <c r="K8553" s="1"/>
      <c r="L8553" s="1"/>
      <c r="M8553" s="1"/>
      <c r="N8553" s="1"/>
      <c r="O8553" s="1"/>
      <c r="P8553" s="1"/>
      <c r="Q8553" s="1"/>
      <c r="R8553" s="1"/>
      <c r="S8553" s="1"/>
      <c r="T8553" s="1"/>
      <c r="U8553" s="1"/>
      <c r="V8553" s="1"/>
      <c r="W8553" s="1"/>
      <c r="X8553" s="1"/>
      <c r="Y8553" s="1"/>
      <c r="Z8553" s="1"/>
      <c r="AA8553" s="1"/>
      <c r="AB8553" s="1"/>
    </row>
    <row r="8554" ht="50.25" customHeight="1">
      <c r="A8554" s="12">
        <v>8550.0</v>
      </c>
      <c r="B8554" s="13" t="s">
        <v>7680</v>
      </c>
      <c r="C8554" s="18" t="s">
        <v>8579</v>
      </c>
      <c r="D8554" s="1"/>
      <c r="E8554" s="1"/>
      <c r="F8554" s="1" t="str">
        <f>IFERROR(__xludf.DUMMYFUNCTION("GOOGLETRANSLATE(B8554, ""en"", ""fa"")
"),"درخواست برای معلمان")</f>
        <v>درخواست برای معلمان</v>
      </c>
      <c r="G8554" s="1" t="str">
        <f>IFERROR(__xludf.DUMMYFUNCTION("GOOGLETRANSLATE(C8554, ""en"", ""fa"")
"),"در مورد نقش ساختارهای یادگیری مشارکتی، مانند اره منبت کاری اره مویی یا تدریس خصوصی، در ارتقای همکاری دانش آموزان بحث کنید.")</f>
        <v>در مورد نقش ساختارهای یادگیری مشارکتی، مانند اره منبت کاری اره مویی یا تدریس خصوصی، در ارتقای همکاری دانش آموزان بحث کنید.</v>
      </c>
      <c r="H8554" s="1"/>
      <c r="I8554" s="1"/>
      <c r="J8554" s="1"/>
      <c r="K8554" s="1"/>
      <c r="L8554" s="1"/>
      <c r="M8554" s="1"/>
      <c r="N8554" s="1"/>
      <c r="O8554" s="1"/>
      <c r="P8554" s="1"/>
      <c r="Q8554" s="1"/>
      <c r="R8554" s="1"/>
      <c r="S8554" s="1"/>
      <c r="T8554" s="1"/>
      <c r="U8554" s="1"/>
      <c r="V8554" s="1"/>
      <c r="W8554" s="1"/>
      <c r="X8554" s="1"/>
      <c r="Y8554" s="1"/>
      <c r="Z8554" s="1"/>
      <c r="AA8554" s="1"/>
      <c r="AB8554" s="1"/>
    </row>
    <row r="8555" ht="50.25" customHeight="1">
      <c r="A8555" s="12">
        <v>8551.0</v>
      </c>
      <c r="B8555" s="13" t="s">
        <v>7680</v>
      </c>
      <c r="C8555" s="18" t="s">
        <v>8580</v>
      </c>
      <c r="D8555" s="1"/>
      <c r="E8555" s="1"/>
      <c r="F8555" s="1" t="str">
        <f>IFERROR(__xludf.DUMMYFUNCTION("GOOGLETRANSLATE(B8555, ""en"", ""fa"")
"),"درخواست برای معلمان")</f>
        <v>درخواست برای معلمان</v>
      </c>
      <c r="G8555" s="1" t="str">
        <f>IFERROR(__xludf.DUMMYFUNCTION("GOOGLETRANSLATE(C8555, ""en"", ""fa"")
"),"راهبردهای گنجاندن بازتاب و فراشناخت در راهبردهای آموزشی را برای افزایش نتایج یادگیری بررسی کنید.")</f>
        <v>راهبردهای گنجاندن بازتاب و فراشناخت در راهبردهای آموزشی را برای افزایش نتایج یادگیری بررسی کنید.</v>
      </c>
      <c r="H8555" s="1"/>
      <c r="I8555" s="1"/>
      <c r="J8555" s="1"/>
      <c r="K8555" s="1"/>
      <c r="L8555" s="1"/>
      <c r="M8555" s="1"/>
      <c r="N8555" s="1"/>
      <c r="O8555" s="1"/>
      <c r="P8555" s="1"/>
      <c r="Q8555" s="1"/>
      <c r="R8555" s="1"/>
      <c r="S8555" s="1"/>
      <c r="T8555" s="1"/>
      <c r="U8555" s="1"/>
      <c r="V8555" s="1"/>
      <c r="W8555" s="1"/>
      <c r="X8555" s="1"/>
      <c r="Y8555" s="1"/>
      <c r="Z8555" s="1"/>
      <c r="AA8555" s="1"/>
      <c r="AB8555" s="1"/>
    </row>
    <row r="8556" ht="50.25" customHeight="1">
      <c r="A8556" s="12">
        <v>8552.0</v>
      </c>
      <c r="B8556" s="13" t="s">
        <v>7680</v>
      </c>
      <c r="C8556" s="18" t="s">
        <v>8581</v>
      </c>
      <c r="D8556" s="1"/>
      <c r="E8556" s="1"/>
      <c r="F8556" s="1" t="str">
        <f>IFERROR(__xludf.DUMMYFUNCTION("GOOGLETRANSLATE(B8556, ""en"", ""fa"")
"),"درخواست برای معلمان")</f>
        <v>درخواست برای معلمان</v>
      </c>
      <c r="G8556" s="1" t="str">
        <f>IFERROR(__xludf.DUMMYFUNCTION("GOOGLETRANSLATE(C8556, ""en"", ""fa"")
"),"تجربیات خود را در زمینه اجرای تمرین هدایت شده و رهایی تدریجی از مسئولیت در راهبردهای آموزشی به اشتراک بگذارید.")</f>
        <v>تجربیات خود را در زمینه اجرای تمرین هدایت شده و رهایی تدریجی از مسئولیت در راهبردهای آموزشی به اشتراک بگذارید.</v>
      </c>
      <c r="H8556" s="1"/>
      <c r="I8556" s="1"/>
      <c r="J8556" s="1"/>
      <c r="K8556" s="1"/>
      <c r="L8556" s="1"/>
      <c r="M8556" s="1"/>
      <c r="N8556" s="1"/>
      <c r="O8556" s="1"/>
      <c r="P8556" s="1"/>
      <c r="Q8556" s="1"/>
      <c r="R8556" s="1"/>
      <c r="S8556" s="1"/>
      <c r="T8556" s="1"/>
      <c r="U8556" s="1"/>
      <c r="V8556" s="1"/>
      <c r="W8556" s="1"/>
      <c r="X8556" s="1"/>
      <c r="Y8556" s="1"/>
      <c r="Z8556" s="1"/>
      <c r="AA8556" s="1"/>
      <c r="AB8556" s="1"/>
    </row>
    <row r="8557" ht="50.25" customHeight="1">
      <c r="A8557" s="12">
        <v>8553.0</v>
      </c>
      <c r="B8557" s="13" t="s">
        <v>7680</v>
      </c>
      <c r="C8557" s="18" t="s">
        <v>8582</v>
      </c>
      <c r="D8557" s="1"/>
      <c r="E8557" s="1"/>
      <c r="F8557" s="1" t="str">
        <f>IFERROR(__xludf.DUMMYFUNCTION("GOOGLETRANSLATE(B8557, ""en"", ""fa"")
"),"درخواست برای معلمان")</f>
        <v>درخواست برای معلمان</v>
      </c>
      <c r="G8557" s="1" t="str">
        <f>IFERROR(__xludf.DUMMYFUNCTION("GOOGLETRANSLATE(C8557, ""en"", ""fa"")
"),"درباره اهمیت ارائه بازخورد به موقع و سازنده به دانش آموزان برای حمایت از فرآیند یادگیری آنها بحث کنید.")</f>
        <v>درباره اهمیت ارائه بازخورد به موقع و سازنده به دانش آموزان برای حمایت از فرآیند یادگیری آنها بحث کنید.</v>
      </c>
      <c r="H8557" s="1"/>
      <c r="I8557" s="1"/>
      <c r="J8557" s="1"/>
      <c r="K8557" s="1"/>
      <c r="L8557" s="1"/>
      <c r="M8557" s="1"/>
      <c r="N8557" s="1"/>
      <c r="O8557" s="1"/>
      <c r="P8557" s="1"/>
      <c r="Q8557" s="1"/>
      <c r="R8557" s="1"/>
      <c r="S8557" s="1"/>
      <c r="T8557" s="1"/>
      <c r="U8557" s="1"/>
      <c r="V8557" s="1"/>
      <c r="W8557" s="1"/>
      <c r="X8557" s="1"/>
      <c r="Y8557" s="1"/>
      <c r="Z8557" s="1"/>
      <c r="AA8557" s="1"/>
      <c r="AB8557" s="1"/>
    </row>
    <row r="8558" ht="50.25" customHeight="1">
      <c r="A8558" s="12">
        <v>8554.0</v>
      </c>
      <c r="B8558" s="13" t="s">
        <v>7680</v>
      </c>
      <c r="C8558" s="18" t="s">
        <v>8583</v>
      </c>
      <c r="D8558" s="1"/>
      <c r="E8558" s="1"/>
      <c r="F8558" s="1" t="str">
        <f>IFERROR(__xludf.DUMMYFUNCTION("GOOGLETRANSLATE(B8558, ""en"", ""fa"")
"),"درخواست برای معلمان")</f>
        <v>درخواست برای معلمان</v>
      </c>
      <c r="G8558" s="1" t="str">
        <f>IFERROR(__xludf.DUMMYFUNCTION("GOOGLETRANSLATE(C8558, ""en"", ""fa"")
"),"بینش خود را در مورد استفاده از ابزارهای فناوری برای شبیه سازی مجازی یا سفرهای میدانی مجازی برای ارتقای استراتژی های آموزشی به اشتراک بگذارید.")</f>
        <v>بینش خود را در مورد استفاده از ابزارهای فناوری برای شبیه سازی مجازی یا سفرهای میدانی مجازی برای ارتقای استراتژی های آموزشی به اشتراک بگذارید.</v>
      </c>
      <c r="H8558" s="1"/>
      <c r="I8558" s="1"/>
      <c r="J8558" s="1"/>
      <c r="K8558" s="1"/>
      <c r="L8558" s="1"/>
      <c r="M8558" s="1"/>
      <c r="N8558" s="1"/>
      <c r="O8558" s="1"/>
      <c r="P8558" s="1"/>
      <c r="Q8558" s="1"/>
      <c r="R8558" s="1"/>
      <c r="S8558" s="1"/>
      <c r="T8558" s="1"/>
      <c r="U8558" s="1"/>
      <c r="V8558" s="1"/>
      <c r="W8558" s="1"/>
      <c r="X8558" s="1"/>
      <c r="Y8558" s="1"/>
      <c r="Z8558" s="1"/>
      <c r="AA8558" s="1"/>
      <c r="AB8558" s="1"/>
    </row>
    <row r="8559" ht="50.25" customHeight="1">
      <c r="A8559" s="12">
        <v>8555.0</v>
      </c>
      <c r="B8559" s="13" t="s">
        <v>7680</v>
      </c>
      <c r="C8559" s="18" t="s">
        <v>8584</v>
      </c>
      <c r="D8559" s="1"/>
      <c r="E8559" s="1"/>
      <c r="F8559" s="1" t="str">
        <f>IFERROR(__xludf.DUMMYFUNCTION("GOOGLETRANSLATE(B8559, ""en"", ""fa"")
"),"درخواست برای معلمان")</f>
        <v>درخواست برای معلمان</v>
      </c>
      <c r="G8559" s="1" t="str">
        <f>IFERROR(__xludf.DUMMYFUNCTION("GOOGLETRANSLATE(C8559, ""en"", ""fa"")
"),"درباره تأثیر گنجاندن رویکردهای آموزشی پاسخگوی فرهنگی در راهبردهای آموزشی بحث کنید.")</f>
        <v>درباره تأثیر گنجاندن رویکردهای آموزشی پاسخگوی فرهنگی در راهبردهای آموزشی بحث کنید.</v>
      </c>
      <c r="H8559" s="1"/>
      <c r="I8559" s="1"/>
      <c r="J8559" s="1"/>
      <c r="K8559" s="1"/>
      <c r="L8559" s="1"/>
      <c r="M8559" s="1"/>
      <c r="N8559" s="1"/>
      <c r="O8559" s="1"/>
      <c r="P8559" s="1"/>
      <c r="Q8559" s="1"/>
      <c r="R8559" s="1"/>
      <c r="S8559" s="1"/>
      <c r="T8559" s="1"/>
      <c r="U8559" s="1"/>
      <c r="V8559" s="1"/>
      <c r="W8559" s="1"/>
      <c r="X8559" s="1"/>
      <c r="Y8559" s="1"/>
      <c r="Z8559" s="1"/>
      <c r="AA8559" s="1"/>
      <c r="AB8559" s="1"/>
    </row>
    <row r="8560" ht="50.25" customHeight="1">
      <c r="A8560" s="12">
        <v>8556.0</v>
      </c>
      <c r="B8560" s="13" t="s">
        <v>7680</v>
      </c>
      <c r="C8560" s="18" t="s">
        <v>8585</v>
      </c>
      <c r="D8560" s="1"/>
      <c r="E8560" s="1"/>
      <c r="F8560" s="1" t="str">
        <f>IFERROR(__xludf.DUMMYFUNCTION("GOOGLETRANSLATE(B8560, ""en"", ""fa"")
"),"درخواست برای معلمان")</f>
        <v>درخواست برای معلمان</v>
      </c>
      <c r="G8560" s="1" t="str">
        <f>IFERROR(__xludf.DUMMYFUNCTION("GOOGLETRANSLATE(C8560, ""en"", ""fa"")
"),"استراتژی‌هایی را برای ادغام آزمایش‌های علمی مبتنی بر تحقیق یا دستکاری‌های ریاضی عملی در آموزش کاوش کنید.")</f>
        <v>استراتژی‌هایی را برای ادغام آزمایش‌های علمی مبتنی بر تحقیق یا دستکاری‌های ریاضی عملی در آموزش کاوش کنید.</v>
      </c>
      <c r="H8560" s="1"/>
      <c r="I8560" s="1"/>
      <c r="J8560" s="1"/>
      <c r="K8560" s="1"/>
      <c r="L8560" s="1"/>
      <c r="M8560" s="1"/>
      <c r="N8560" s="1"/>
      <c r="O8560" s="1"/>
      <c r="P8560" s="1"/>
      <c r="Q8560" s="1"/>
      <c r="R8560" s="1"/>
      <c r="S8560" s="1"/>
      <c r="T8560" s="1"/>
      <c r="U8560" s="1"/>
      <c r="V8560" s="1"/>
      <c r="W8560" s="1"/>
      <c r="X8560" s="1"/>
      <c r="Y8560" s="1"/>
      <c r="Z8560" s="1"/>
      <c r="AA8560" s="1"/>
      <c r="AB8560" s="1"/>
    </row>
    <row r="8561" ht="50.25" customHeight="1">
      <c r="A8561" s="12">
        <v>8557.0</v>
      </c>
      <c r="B8561" s="13" t="s">
        <v>7680</v>
      </c>
      <c r="C8561" s="18" t="s">
        <v>8586</v>
      </c>
      <c r="D8561" s="1"/>
      <c r="E8561" s="1"/>
      <c r="F8561" s="1" t="str">
        <f>IFERROR(__xludf.DUMMYFUNCTION("GOOGLETRANSLATE(B8561, ""en"", ""fa"")
"),"درخواست برای معلمان")</f>
        <v>درخواست برای معلمان</v>
      </c>
      <c r="G8561" s="1" t="str">
        <f>IFERROR(__xludf.DUMMYFUNCTION("GOOGLETRANSLATE(C8561, ""en"", ""fa"")
"),"تجربیات خود را در مورد استفاده از تکنیک های حافظه یا حافظه برای پشتیبانی از حفظ و یادآوری اطلاعات به اشتراک بگذارید.")</f>
        <v>تجربیات خود را در مورد استفاده از تکنیک های حافظه یا حافظه برای پشتیبانی از حفظ و یادآوری اطلاعات به اشتراک بگذارید.</v>
      </c>
      <c r="H8561" s="1"/>
      <c r="I8561" s="1"/>
      <c r="J8561" s="1"/>
      <c r="K8561" s="1"/>
      <c r="L8561" s="1"/>
      <c r="M8561" s="1"/>
      <c r="N8561" s="1"/>
      <c r="O8561" s="1"/>
      <c r="P8561" s="1"/>
      <c r="Q8561" s="1"/>
      <c r="R8561" s="1"/>
      <c r="S8561" s="1"/>
      <c r="T8561" s="1"/>
      <c r="U8561" s="1"/>
      <c r="V8561" s="1"/>
      <c r="W8561" s="1"/>
      <c r="X8561" s="1"/>
      <c r="Y8561" s="1"/>
      <c r="Z8561" s="1"/>
      <c r="AA8561" s="1"/>
      <c r="AB8561" s="1"/>
    </row>
    <row r="8562" ht="50.25" customHeight="1">
      <c r="A8562" s="12">
        <v>8558.0</v>
      </c>
      <c r="B8562" s="13" t="s">
        <v>7680</v>
      </c>
      <c r="C8562" s="18" t="s">
        <v>8587</v>
      </c>
      <c r="D8562" s="1"/>
      <c r="E8562" s="1"/>
      <c r="F8562" s="1" t="str">
        <f>IFERROR(__xludf.DUMMYFUNCTION("GOOGLETRANSLATE(B8562, ""en"", ""fa"")
"),"درخواست برای معلمان")</f>
        <v>درخواست برای معلمان</v>
      </c>
      <c r="G8562" s="1" t="str">
        <f>IFERROR(__xludf.DUMMYFUNCTION("GOOGLETRANSLATE(C8562, ""en"", ""fa"")
"),"درباره نقش راهبردهای فراشناختی و خودارزیابی در ارتقای مالکیت دانش آموزان بر یادگیری بحث کنید.")</f>
        <v>درباره نقش راهبردهای فراشناختی و خودارزیابی در ارتقای مالکیت دانش آموزان بر یادگیری بحث کنید.</v>
      </c>
      <c r="H8562" s="1"/>
      <c r="I8562" s="1"/>
      <c r="J8562" s="1"/>
      <c r="K8562" s="1"/>
      <c r="L8562" s="1"/>
      <c r="M8562" s="1"/>
      <c r="N8562" s="1"/>
      <c r="O8562" s="1"/>
      <c r="P8562" s="1"/>
      <c r="Q8562" s="1"/>
      <c r="R8562" s="1"/>
      <c r="S8562" s="1"/>
      <c r="T8562" s="1"/>
      <c r="U8562" s="1"/>
      <c r="V8562" s="1"/>
      <c r="W8562" s="1"/>
      <c r="X8562" s="1"/>
      <c r="Y8562" s="1"/>
      <c r="Z8562" s="1"/>
      <c r="AA8562" s="1"/>
      <c r="AB8562" s="1"/>
    </row>
    <row r="8563" ht="50.25" customHeight="1">
      <c r="A8563" s="12">
        <v>8559.0</v>
      </c>
      <c r="B8563" s="13" t="s">
        <v>7680</v>
      </c>
      <c r="C8563" s="18" t="s">
        <v>8588</v>
      </c>
      <c r="D8563" s="1"/>
      <c r="E8563" s="1"/>
      <c r="F8563" s="1" t="str">
        <f>IFERROR(__xludf.DUMMYFUNCTION("GOOGLETRANSLATE(B8563, ""en"", ""fa"")
"),"درخواست برای معلمان")</f>
        <v>درخواست برای معلمان</v>
      </c>
      <c r="G8563" s="1" t="str">
        <f>IFERROR(__xludf.DUMMYFUNCTION("GOOGLETRANSLATE(C8563, ""en"", ""fa"")
"),"راه‌هایی را برای ترکیب ساختارهای یادگیری مشارکتی، مانند به اشتراک گذاشتن جفت فکر کنید یا منبت کاری اره مویی، برای تقویت همکاری بین دانش‌آموزان بررسی کنید.")</f>
        <v>راه‌هایی را برای ترکیب ساختارهای یادگیری مشارکتی، مانند به اشتراک گذاشتن جفت فکر کنید یا منبت کاری اره مویی، برای تقویت همکاری بین دانش‌آموزان بررسی کنید.</v>
      </c>
      <c r="H8563" s="1"/>
      <c r="I8563" s="1"/>
      <c r="J8563" s="1"/>
      <c r="K8563" s="1"/>
      <c r="L8563" s="1"/>
      <c r="M8563" s="1"/>
      <c r="N8563" s="1"/>
      <c r="O8563" s="1"/>
      <c r="P8563" s="1"/>
      <c r="Q8563" s="1"/>
      <c r="R8563" s="1"/>
      <c r="S8563" s="1"/>
      <c r="T8563" s="1"/>
      <c r="U8563" s="1"/>
      <c r="V8563" s="1"/>
      <c r="W8563" s="1"/>
      <c r="X8563" s="1"/>
      <c r="Y8563" s="1"/>
      <c r="Z8563" s="1"/>
      <c r="AA8563" s="1"/>
      <c r="AB8563" s="1"/>
    </row>
    <row r="8564" ht="50.25" customHeight="1">
      <c r="A8564" s="12">
        <v>8560.0</v>
      </c>
      <c r="B8564" s="13" t="s">
        <v>7680</v>
      </c>
      <c r="C8564" s="18" t="s">
        <v>8589</v>
      </c>
      <c r="D8564" s="1"/>
      <c r="E8564" s="1"/>
      <c r="F8564" s="1" t="str">
        <f>IFERROR(__xludf.DUMMYFUNCTION("GOOGLETRANSLATE(B8564, ""en"", ""fa"")
"),"درخواست برای معلمان")</f>
        <v>درخواست برای معلمان</v>
      </c>
      <c r="G8564" s="1" t="str">
        <f>IFERROR(__xludf.DUMMYFUNCTION("GOOGLETRANSLATE(C8564, ""en"", ""fa"")
"),"بینش خود را در مورد استفاده از خواندن هدایت شده یا گروه های ریاضی هدایت شده برای تمایز آموزش بر اساس توانایی های دانش آموزان به اشتراک بگذارید.")</f>
        <v>بینش خود را در مورد استفاده از خواندن هدایت شده یا گروه های ریاضی هدایت شده برای تمایز آموزش بر اساس توانایی های دانش آموزان به اشتراک بگذارید.</v>
      </c>
      <c r="H8564" s="1"/>
      <c r="I8564" s="1"/>
      <c r="J8564" s="1"/>
      <c r="K8564" s="1"/>
      <c r="L8564" s="1"/>
      <c r="M8564" s="1"/>
      <c r="N8564" s="1"/>
      <c r="O8564" s="1"/>
      <c r="P8564" s="1"/>
      <c r="Q8564" s="1"/>
      <c r="R8564" s="1"/>
      <c r="S8564" s="1"/>
      <c r="T8564" s="1"/>
      <c r="U8564" s="1"/>
      <c r="V8564" s="1"/>
      <c r="W8564" s="1"/>
      <c r="X8564" s="1"/>
      <c r="Y8564" s="1"/>
      <c r="Z8564" s="1"/>
      <c r="AA8564" s="1"/>
      <c r="AB8564" s="1"/>
    </row>
    <row r="8565" ht="50.25" customHeight="1">
      <c r="A8565" s="12">
        <v>8561.0</v>
      </c>
      <c r="B8565" s="13" t="s">
        <v>7680</v>
      </c>
      <c r="C8565" s="18" t="s">
        <v>8590</v>
      </c>
      <c r="D8565" s="1"/>
      <c r="E8565" s="1"/>
      <c r="F8565" s="1" t="str">
        <f>IFERROR(__xludf.DUMMYFUNCTION("GOOGLETRANSLATE(B8565, ""en"", ""fa"")
"),"درخواست برای معلمان")</f>
        <v>درخواست برای معلمان</v>
      </c>
      <c r="G8565" s="1" t="str">
        <f>IFERROR(__xludf.DUMMYFUNCTION("GOOGLETRANSLATE(C8565, ""en"", ""fa"")
"),"در مورد اهمیت ارائه اهداف یادگیری روشن و معیارهای موفقیت برای هدایت راهبردهای آموزشی بحث کنید.")</f>
        <v>در مورد اهمیت ارائه اهداف یادگیری روشن و معیارهای موفقیت برای هدایت راهبردهای آموزشی بحث کنید.</v>
      </c>
      <c r="H8565" s="1"/>
      <c r="I8565" s="1"/>
      <c r="J8565" s="1"/>
      <c r="K8565" s="1"/>
      <c r="L8565" s="1"/>
      <c r="M8565" s="1"/>
      <c r="N8565" s="1"/>
      <c r="O8565" s="1"/>
      <c r="P8565" s="1"/>
      <c r="Q8565" s="1"/>
      <c r="R8565" s="1"/>
      <c r="S8565" s="1"/>
      <c r="T8565" s="1"/>
      <c r="U8565" s="1"/>
      <c r="V8565" s="1"/>
      <c r="W8565" s="1"/>
      <c r="X8565" s="1"/>
      <c r="Y8565" s="1"/>
      <c r="Z8565" s="1"/>
      <c r="AA8565" s="1"/>
      <c r="AB8565" s="1"/>
    </row>
    <row r="8566" ht="50.25" customHeight="1">
      <c r="A8566" s="12">
        <v>8562.0</v>
      </c>
      <c r="B8566" s="13" t="s">
        <v>7680</v>
      </c>
      <c r="C8566" s="18" t="s">
        <v>8591</v>
      </c>
      <c r="D8566" s="1"/>
      <c r="E8566" s="1"/>
      <c r="F8566" s="1" t="str">
        <f>IFERROR(__xludf.DUMMYFUNCTION("GOOGLETRANSLATE(B8566, ""en"", ""fa"")
"),"درخواست برای معلمان")</f>
        <v>درخواست برای معلمان</v>
      </c>
      <c r="G8566" s="1" t="str">
        <f>IFERROR(__xludf.DUMMYFUNCTION("GOOGLETRANSLATE(C8566, ""en"", ""fa"")
"),"استراتژی‌هایی را برای ترکیب ابزارهای فناوری برای ارزیابی تکوینی و آموزش مبتنی بر داده‌ها بررسی کنید.")</f>
        <v>استراتژی‌هایی را برای ترکیب ابزارهای فناوری برای ارزیابی تکوینی و آموزش مبتنی بر داده‌ها بررسی کنید.</v>
      </c>
      <c r="H8566" s="1"/>
      <c r="I8566" s="1"/>
      <c r="J8566" s="1"/>
      <c r="K8566" s="1"/>
      <c r="L8566" s="1"/>
      <c r="M8566" s="1"/>
      <c r="N8566" s="1"/>
      <c r="O8566" s="1"/>
      <c r="P8566" s="1"/>
      <c r="Q8566" s="1"/>
      <c r="R8566" s="1"/>
      <c r="S8566" s="1"/>
      <c r="T8566" s="1"/>
      <c r="U8566" s="1"/>
      <c r="V8566" s="1"/>
      <c r="W8566" s="1"/>
      <c r="X8566" s="1"/>
      <c r="Y8566" s="1"/>
      <c r="Z8566" s="1"/>
      <c r="AA8566" s="1"/>
      <c r="AB8566" s="1"/>
    </row>
    <row r="8567" ht="50.25" customHeight="1">
      <c r="A8567" s="12">
        <v>8563.0</v>
      </c>
      <c r="B8567" s="13" t="s">
        <v>7680</v>
      </c>
      <c r="C8567" s="18" t="s">
        <v>8592</v>
      </c>
      <c r="D8567" s="1"/>
      <c r="E8567" s="1"/>
      <c r="F8567" s="1" t="str">
        <f>IFERROR(__xludf.DUMMYFUNCTION("GOOGLETRANSLATE(B8567, ""en"", ""fa"")
"),"درخواست برای معلمان")</f>
        <v>درخواست برای معلمان</v>
      </c>
      <c r="G8567" s="1" t="str">
        <f>IFERROR(__xludf.DUMMYFUNCTION("GOOGLETRANSLATE(C8567, ""en"", ""fa"")
"),"تجربیات خود را در مورد اجرای الگوی آزادسازی تدریجی مسئولیت (من انجام می‌دهم، انجام می‌دهم، شما انجام می‌دهم) در استراتژی‌های آموزشی به اشتراک بگذارید.")</f>
        <v>تجربیات خود را در مورد اجرای الگوی آزادسازی تدریجی مسئولیت (من انجام می‌دهم، انجام می‌دهم، شما انجام می‌دهم) در استراتژی‌های آموزشی به اشتراک بگذارید.</v>
      </c>
      <c r="H8567" s="1"/>
      <c r="I8567" s="1"/>
      <c r="J8567" s="1"/>
      <c r="K8567" s="1"/>
      <c r="L8567" s="1"/>
      <c r="M8567" s="1"/>
      <c r="N8567" s="1"/>
      <c r="O8567" s="1"/>
      <c r="P8567" s="1"/>
      <c r="Q8567" s="1"/>
      <c r="R8567" s="1"/>
      <c r="S8567" s="1"/>
      <c r="T8567" s="1"/>
      <c r="U8567" s="1"/>
      <c r="V8567" s="1"/>
      <c r="W8567" s="1"/>
      <c r="X8567" s="1"/>
      <c r="Y8567" s="1"/>
      <c r="Z8567" s="1"/>
      <c r="AA8567" s="1"/>
      <c r="AB8567" s="1"/>
    </row>
    <row r="8568" ht="50.25" customHeight="1">
      <c r="A8568" s="12">
        <v>8564.0</v>
      </c>
      <c r="B8568" s="13" t="s">
        <v>7680</v>
      </c>
      <c r="C8568" s="18" t="s">
        <v>8593</v>
      </c>
      <c r="D8568" s="1"/>
      <c r="E8568" s="1"/>
      <c r="F8568" s="1" t="str">
        <f>IFERROR(__xludf.DUMMYFUNCTION("GOOGLETRANSLATE(B8568, ""en"", ""fa"")
"),"درخواست برای معلمان")</f>
        <v>درخواست برای معلمان</v>
      </c>
      <c r="G8568" s="1" t="str">
        <f>IFERROR(__xludf.DUMMYFUNCTION("GOOGLETRANSLATE(C8568, ""en"", ""fa"")
"),"در مورد تأثیر ترکیب بازی ها و عناصر بازی سازی شده در استراتژی های آموزشی برای افزایش مشارکت دانش آموزان بحث کنید.")</f>
        <v>در مورد تأثیر ترکیب بازی ها و عناصر بازی سازی شده در استراتژی های آموزشی برای افزایش مشارکت دانش آموزان بحث کنید.</v>
      </c>
      <c r="H8568" s="1"/>
      <c r="I8568" s="1"/>
      <c r="J8568" s="1"/>
      <c r="K8568" s="1"/>
      <c r="L8568" s="1"/>
      <c r="M8568" s="1"/>
      <c r="N8568" s="1"/>
      <c r="O8568" s="1"/>
      <c r="P8568" s="1"/>
      <c r="Q8568" s="1"/>
      <c r="R8568" s="1"/>
      <c r="S8568" s="1"/>
      <c r="T8568" s="1"/>
      <c r="U8568" s="1"/>
      <c r="V8568" s="1"/>
      <c r="W8568" s="1"/>
      <c r="X8568" s="1"/>
      <c r="Y8568" s="1"/>
      <c r="Z8568" s="1"/>
      <c r="AA8568" s="1"/>
      <c r="AB8568" s="1"/>
    </row>
    <row r="8569" ht="50.25" customHeight="1">
      <c r="A8569" s="12">
        <v>8565.0</v>
      </c>
      <c r="B8569" s="13" t="s">
        <v>7680</v>
      </c>
      <c r="C8569" s="18" t="s">
        <v>8594</v>
      </c>
      <c r="D8569" s="1"/>
      <c r="E8569" s="1"/>
      <c r="F8569" s="1" t="str">
        <f>IFERROR(__xludf.DUMMYFUNCTION("GOOGLETRANSLATE(B8569, ""en"", ""fa"")
"),"درخواست برای معلمان")</f>
        <v>درخواست برای معلمان</v>
      </c>
      <c r="G8569" s="1" t="str">
        <f>IFERROR(__xludf.DUMMYFUNCTION("GOOGLETRANSLATE(C8569, ""en"", ""fa"")
"),"راه‌هایی را برای ادغام رویکردهای یادگیری مبتنی بر تحقیق در مطالعات اجتماعی یا آموزش علوم انسانی بررسی کنید.")</f>
        <v>راه‌هایی را برای ادغام رویکردهای یادگیری مبتنی بر تحقیق در مطالعات اجتماعی یا آموزش علوم انسانی بررسی کنید.</v>
      </c>
      <c r="H8569" s="1"/>
      <c r="I8569" s="1"/>
      <c r="J8569" s="1"/>
      <c r="K8569" s="1"/>
      <c r="L8569" s="1"/>
      <c r="M8569" s="1"/>
      <c r="N8569" s="1"/>
      <c r="O8569" s="1"/>
      <c r="P8569" s="1"/>
      <c r="Q8569" s="1"/>
      <c r="R8569" s="1"/>
      <c r="S8569" s="1"/>
      <c r="T8569" s="1"/>
      <c r="U8569" s="1"/>
      <c r="V8569" s="1"/>
      <c r="W8569" s="1"/>
      <c r="X8569" s="1"/>
      <c r="Y8569" s="1"/>
      <c r="Z8569" s="1"/>
      <c r="AA8569" s="1"/>
      <c r="AB8569" s="1"/>
    </row>
    <row r="8570" ht="50.25" customHeight="1">
      <c r="A8570" s="12">
        <v>8566.0</v>
      </c>
      <c r="B8570" s="13" t="s">
        <v>7680</v>
      </c>
      <c r="C8570" s="18" t="s">
        <v>8595</v>
      </c>
      <c r="D8570" s="1"/>
      <c r="E8570" s="1"/>
      <c r="F8570" s="1" t="str">
        <f>IFERROR(__xludf.DUMMYFUNCTION("GOOGLETRANSLATE(B8570, ""en"", ""fa"")
"),"درخواست برای معلمان")</f>
        <v>درخواست برای معلمان</v>
      </c>
      <c r="G8570" s="1" t="str">
        <f>IFERROR(__xludf.DUMMYFUNCTION("GOOGLETRANSLATE(C8570, ""en"", ""fa"")
"),"بینش خود را در مورد استفاده از آموزش متقابل یا بحث های همسالان برای تقویت درک و مهارت های تفکر انتقادی به اشتراک بگذارید.")</f>
        <v>بینش خود را در مورد استفاده از آموزش متقابل یا بحث های همسالان برای تقویت درک و مهارت های تفکر انتقادی به اشتراک بگذارید.</v>
      </c>
      <c r="H8570" s="1"/>
      <c r="I8570" s="1"/>
      <c r="J8570" s="1"/>
      <c r="K8570" s="1"/>
      <c r="L8570" s="1"/>
      <c r="M8570" s="1"/>
      <c r="N8570" s="1"/>
      <c r="O8570" s="1"/>
      <c r="P8570" s="1"/>
      <c r="Q8570" s="1"/>
      <c r="R8570" s="1"/>
      <c r="S8570" s="1"/>
      <c r="T8570" s="1"/>
      <c r="U8570" s="1"/>
      <c r="V8570" s="1"/>
      <c r="W8570" s="1"/>
      <c r="X8570" s="1"/>
      <c r="Y8570" s="1"/>
      <c r="Z8570" s="1"/>
      <c r="AA8570" s="1"/>
      <c r="AB8570" s="1"/>
    </row>
    <row r="8571" ht="50.25" customHeight="1">
      <c r="A8571" s="12">
        <v>8567.0</v>
      </c>
      <c r="B8571" s="13" t="s">
        <v>7680</v>
      </c>
      <c r="C8571" s="18" t="s">
        <v>8596</v>
      </c>
      <c r="D8571" s="1"/>
      <c r="E8571" s="1"/>
      <c r="F8571" s="1" t="str">
        <f>IFERROR(__xludf.DUMMYFUNCTION("GOOGLETRANSLATE(B8571, ""en"", ""fa"")
"),"درخواست برای معلمان")</f>
        <v>درخواست برای معلمان</v>
      </c>
      <c r="G8571" s="1" t="str">
        <f>IFERROR(__xludf.DUMMYFUNCTION("GOOGLETRANSLATE(C8571, ""en"", ""fa"")
"),"درباره نقش الگوسازی و تفکر با صدای بلند در هدایت درک و تسلط دانش آموزان بر مفاهیم بحث کنید.")</f>
        <v>درباره نقش الگوسازی و تفکر با صدای بلند در هدایت درک و تسلط دانش آموزان بر مفاهیم بحث کنید.</v>
      </c>
      <c r="H8571" s="1"/>
      <c r="I8571" s="1"/>
      <c r="J8571" s="1"/>
      <c r="K8571" s="1"/>
      <c r="L8571" s="1"/>
      <c r="M8571" s="1"/>
      <c r="N8571" s="1"/>
      <c r="O8571" s="1"/>
      <c r="P8571" s="1"/>
      <c r="Q8571" s="1"/>
      <c r="R8571" s="1"/>
      <c r="S8571" s="1"/>
      <c r="T8571" s="1"/>
      <c r="U8571" s="1"/>
      <c r="V8571" s="1"/>
      <c r="W8571" s="1"/>
      <c r="X8571" s="1"/>
      <c r="Y8571" s="1"/>
      <c r="Z8571" s="1"/>
      <c r="AA8571" s="1"/>
      <c r="AB8571" s="1"/>
    </row>
    <row r="8572" ht="50.25" customHeight="1">
      <c r="A8572" s="12">
        <v>8568.0</v>
      </c>
      <c r="B8572" s="13" t="s">
        <v>7680</v>
      </c>
      <c r="C8572" s="18" t="s">
        <v>8597</v>
      </c>
      <c r="D8572" s="1"/>
      <c r="E8572" s="1"/>
      <c r="F8572" s="1" t="str">
        <f>IFERROR(__xludf.DUMMYFUNCTION("GOOGLETRANSLATE(B8572, ""en"", ""fa"")
"),"درخواست برای معلمان")</f>
        <v>درخواست برای معلمان</v>
      </c>
      <c r="G8572" s="1" t="str">
        <f>IFERROR(__xludf.DUMMYFUNCTION("GOOGLETRANSLATE(C8572, ""en"", ""fa"")
"),"استراتژی‌هایی را برای گنجاندن وظایف یا چالش‌های حل مسئله در استراتژی‌های آموزشی بررسی کنید.")</f>
        <v>استراتژی‌هایی را برای گنجاندن وظایف یا چالش‌های حل مسئله در استراتژی‌های آموزشی بررسی کنید.</v>
      </c>
      <c r="H8572" s="1"/>
      <c r="I8572" s="1"/>
      <c r="J8572" s="1"/>
      <c r="K8572" s="1"/>
      <c r="L8572" s="1"/>
      <c r="M8572" s="1"/>
      <c r="N8572" s="1"/>
      <c r="O8572" s="1"/>
      <c r="P8572" s="1"/>
      <c r="Q8572" s="1"/>
      <c r="R8572" s="1"/>
      <c r="S8572" s="1"/>
      <c r="T8572" s="1"/>
      <c r="U8572" s="1"/>
      <c r="V8572" s="1"/>
      <c r="W8572" s="1"/>
      <c r="X8572" s="1"/>
      <c r="Y8572" s="1"/>
      <c r="Z8572" s="1"/>
      <c r="AA8572" s="1"/>
      <c r="AB8572" s="1"/>
    </row>
    <row r="8573" ht="50.25" customHeight="1">
      <c r="A8573" s="12">
        <v>8569.0</v>
      </c>
      <c r="B8573" s="13" t="s">
        <v>7680</v>
      </c>
      <c r="C8573" s="18" t="s">
        <v>8598</v>
      </c>
      <c r="D8573" s="1"/>
      <c r="E8573" s="1"/>
      <c r="F8573" s="1" t="str">
        <f>IFERROR(__xludf.DUMMYFUNCTION("GOOGLETRANSLATE(B8573, ""en"", ""fa"")
"),"درخواست برای معلمان")</f>
        <v>درخواست برای معلمان</v>
      </c>
      <c r="G8573" s="1" t="str">
        <f>IFERROR(__xludf.DUMMYFUNCTION("GOOGLETRANSLATE(C8573, ""en"", ""fa"")
"),"تجربیات خود را در مورد استفاده از نقش آفرینی یا شبیه سازی به اشتراک بگذارید تا درس ها تعاملی تر و همه جانبه تر شوند.")</f>
        <v>تجربیات خود را در مورد استفاده از نقش آفرینی یا شبیه سازی به اشتراک بگذارید تا درس ها تعاملی تر و همه جانبه تر شوند.</v>
      </c>
      <c r="H8573" s="1"/>
      <c r="I8573" s="1"/>
      <c r="J8573" s="1"/>
      <c r="K8573" s="1"/>
      <c r="L8573" s="1"/>
      <c r="M8573" s="1"/>
      <c r="N8573" s="1"/>
      <c r="O8573" s="1"/>
      <c r="P8573" s="1"/>
      <c r="Q8573" s="1"/>
      <c r="R8573" s="1"/>
      <c r="S8573" s="1"/>
      <c r="T8573" s="1"/>
      <c r="U8573" s="1"/>
      <c r="V8573" s="1"/>
      <c r="W8573" s="1"/>
      <c r="X8573" s="1"/>
      <c r="Y8573" s="1"/>
      <c r="Z8573" s="1"/>
      <c r="AA8573" s="1"/>
      <c r="AB8573" s="1"/>
    </row>
    <row r="8574" ht="50.25" customHeight="1">
      <c r="A8574" s="12">
        <v>8570.0</v>
      </c>
      <c r="B8574" s="13" t="s">
        <v>7680</v>
      </c>
      <c r="C8574" s="18" t="s">
        <v>8599</v>
      </c>
      <c r="D8574" s="1"/>
      <c r="E8574" s="1"/>
      <c r="F8574" s="1" t="str">
        <f>IFERROR(__xludf.DUMMYFUNCTION("GOOGLETRANSLATE(B8574, ""en"", ""fa"")
"),"درخواست برای معلمان")</f>
        <v>درخواست برای معلمان</v>
      </c>
      <c r="G8574" s="1" t="str">
        <f>IFERROR(__xludf.DUMMYFUNCTION("GOOGLETRANSLATE(C8574, ""en"", ""fa"")
"),"استراتژی‌هایی را برای ادغام آموزش همتا و تدریس خصوصی در کار گروهی مشترک برای افزایش نتایج یادگیری بررسی کنید.")</f>
        <v>استراتژی‌هایی را برای ادغام آموزش همتا و تدریس خصوصی در کار گروهی مشترک برای افزایش نتایج یادگیری بررسی کنید.</v>
      </c>
      <c r="H8574" s="1"/>
      <c r="I8574" s="1"/>
      <c r="J8574" s="1"/>
      <c r="K8574" s="1"/>
      <c r="L8574" s="1"/>
      <c r="M8574" s="1"/>
      <c r="N8574" s="1"/>
      <c r="O8574" s="1"/>
      <c r="P8574" s="1"/>
      <c r="Q8574" s="1"/>
      <c r="R8574" s="1"/>
      <c r="S8574" s="1"/>
      <c r="T8574" s="1"/>
      <c r="U8574" s="1"/>
      <c r="V8574" s="1"/>
      <c r="W8574" s="1"/>
      <c r="X8574" s="1"/>
      <c r="Y8574" s="1"/>
      <c r="Z8574" s="1"/>
      <c r="AA8574" s="1"/>
      <c r="AB8574" s="1"/>
    </row>
    <row r="8575" ht="50.25" customHeight="1">
      <c r="A8575" s="12">
        <v>8571.0</v>
      </c>
      <c r="B8575" s="13" t="s">
        <v>7680</v>
      </c>
      <c r="C8575" s="18" t="s">
        <v>8600</v>
      </c>
      <c r="D8575" s="1"/>
      <c r="E8575" s="1"/>
      <c r="F8575" s="1" t="str">
        <f>IFERROR(__xludf.DUMMYFUNCTION("GOOGLETRANSLATE(B8575, ""en"", ""fa"")
"),"درخواست برای معلمان")</f>
        <v>درخواست برای معلمان</v>
      </c>
      <c r="G8575" s="1" t="str">
        <f>IFERROR(__xludf.DUMMYFUNCTION("GOOGLETRANSLATE(C8575, ""en"", ""fa"")
"),"درباره نقش تسهیل گری معلم در هدایت و حمایت از کار گروهی مؤثر، ایجاد تعادل بین استقلال و راهنمایی بحث کنید.")</f>
        <v>درباره نقش تسهیل گری معلم در هدایت و حمایت از کار گروهی مؤثر، ایجاد تعادل بین استقلال و راهنمایی بحث کنید.</v>
      </c>
      <c r="H8575" s="1"/>
      <c r="I8575" s="1"/>
      <c r="J8575" s="1"/>
      <c r="K8575" s="1"/>
      <c r="L8575" s="1"/>
      <c r="M8575" s="1"/>
      <c r="N8575" s="1"/>
      <c r="O8575" s="1"/>
      <c r="P8575" s="1"/>
      <c r="Q8575" s="1"/>
      <c r="R8575" s="1"/>
      <c r="S8575" s="1"/>
      <c r="T8575" s="1"/>
      <c r="U8575" s="1"/>
      <c r="V8575" s="1"/>
      <c r="W8575" s="1"/>
      <c r="X8575" s="1"/>
      <c r="Y8575" s="1"/>
      <c r="Z8575" s="1"/>
      <c r="AA8575" s="1"/>
      <c r="AB8575" s="1"/>
    </row>
    <row r="8576" ht="50.25" customHeight="1">
      <c r="A8576" s="12">
        <v>8572.0</v>
      </c>
      <c r="B8576" s="13" t="s">
        <v>7680</v>
      </c>
      <c r="C8576" s="18" t="s">
        <v>8601</v>
      </c>
      <c r="D8576" s="1"/>
      <c r="E8576" s="1"/>
      <c r="F8576" s="1" t="str">
        <f>IFERROR(__xludf.DUMMYFUNCTION("GOOGLETRANSLATE(B8576, ""en"", ""fa"")
"),"درخواست برای معلمان")</f>
        <v>درخواست برای معلمان</v>
      </c>
      <c r="G8576" s="1" t="str">
        <f>IFERROR(__xludf.DUMMYFUNCTION("GOOGLETRANSLATE(C8576, ""en"", ""fa"")
"),"بینش خود را در مورد استفاده از سازمان‌دهنده‌های گرافیکی یا ابزارهای دیجیتال مشترک برای سازماندهی بصری ایده‌ها و تسهیل کار گروهی به اشتراک بگذارید.")</f>
        <v>بینش خود را در مورد استفاده از سازمان‌دهنده‌های گرافیکی یا ابزارهای دیجیتال مشترک برای سازماندهی بصری ایده‌ها و تسهیل کار گروهی به اشتراک بگذارید.</v>
      </c>
      <c r="H8576" s="1"/>
      <c r="I8576" s="1"/>
      <c r="J8576" s="1"/>
      <c r="K8576" s="1"/>
      <c r="L8576" s="1"/>
      <c r="M8576" s="1"/>
      <c r="N8576" s="1"/>
      <c r="O8576" s="1"/>
      <c r="P8576" s="1"/>
      <c r="Q8576" s="1"/>
      <c r="R8576" s="1"/>
      <c r="S8576" s="1"/>
      <c r="T8576" s="1"/>
      <c r="U8576" s="1"/>
      <c r="V8576" s="1"/>
      <c r="W8576" s="1"/>
      <c r="X8576" s="1"/>
      <c r="Y8576" s="1"/>
      <c r="Z8576" s="1"/>
      <c r="AA8576" s="1"/>
      <c r="AB8576" s="1"/>
    </row>
    <row r="8577" ht="50.25" customHeight="1">
      <c r="A8577" s="12">
        <v>8573.0</v>
      </c>
      <c r="B8577" s="13" t="s">
        <v>7680</v>
      </c>
      <c r="C8577" s="18" t="s">
        <v>8602</v>
      </c>
      <c r="D8577" s="1"/>
      <c r="E8577" s="1"/>
      <c r="F8577" s="1" t="str">
        <f>IFERROR(__xludf.DUMMYFUNCTION("GOOGLETRANSLATE(B8577, ""en"", ""fa"")
"),"درخواست برای معلمان")</f>
        <v>درخواست برای معلمان</v>
      </c>
      <c r="G8577" s="1" t="str">
        <f>IFERROR(__xludf.DUMMYFUNCTION("GOOGLETRANSLATE(C8577, ""en"", ""fa"")
"),"راه‌هایی را برای فراهم کردن فرصت‌هایی برای بحث‌ها و تصمیم‌گیری دانش‌آموزان در محیط‌های یادگیری مشارکتی کاوش کنید.")</f>
        <v>راه‌هایی را برای فراهم کردن فرصت‌هایی برای بحث‌ها و تصمیم‌گیری دانش‌آموزان در محیط‌های یادگیری مشارکتی کاوش کنید.</v>
      </c>
      <c r="H8577" s="1"/>
      <c r="I8577" s="1"/>
      <c r="J8577" s="1"/>
      <c r="K8577" s="1"/>
      <c r="L8577" s="1"/>
      <c r="M8577" s="1"/>
      <c r="N8577" s="1"/>
      <c r="O8577" s="1"/>
      <c r="P8577" s="1"/>
      <c r="Q8577" s="1"/>
      <c r="R8577" s="1"/>
      <c r="S8577" s="1"/>
      <c r="T8577" s="1"/>
      <c r="U8577" s="1"/>
      <c r="V8577" s="1"/>
      <c r="W8577" s="1"/>
      <c r="X8577" s="1"/>
      <c r="Y8577" s="1"/>
      <c r="Z8577" s="1"/>
      <c r="AA8577" s="1"/>
      <c r="AB8577" s="1"/>
    </row>
    <row r="8578" ht="50.25" customHeight="1">
      <c r="A8578" s="12">
        <v>8574.0</v>
      </c>
      <c r="B8578" s="13" t="s">
        <v>7680</v>
      </c>
      <c r="C8578" s="18" t="s">
        <v>8603</v>
      </c>
      <c r="D8578" s="1"/>
      <c r="E8578" s="1"/>
      <c r="F8578" s="1" t="str">
        <f>IFERROR(__xludf.DUMMYFUNCTION("GOOGLETRANSLATE(B8578, ""en"", ""fa"")
"),"درخواست برای معلمان")</f>
        <v>درخواست برای معلمان</v>
      </c>
      <c r="G8578" s="1" t="str">
        <f>IFERROR(__xludf.DUMMYFUNCTION("GOOGLETRANSLATE(C8578, ""en"", ""fa"")
"),"در مورد اهمیت پرورش ذهنیت رشد در دانش آموزان برای ارتقای تاب آوری و تمایل به ریسک در کار گروهی بحث کنید.")</f>
        <v>در مورد اهمیت پرورش ذهنیت رشد در دانش آموزان برای ارتقای تاب آوری و تمایل به ریسک در کار گروهی بحث کنید.</v>
      </c>
      <c r="H8578" s="1"/>
      <c r="I8578" s="1"/>
      <c r="J8578" s="1"/>
      <c r="K8578" s="1"/>
      <c r="L8578" s="1"/>
      <c r="M8578" s="1"/>
      <c r="N8578" s="1"/>
      <c r="O8578" s="1"/>
      <c r="P8578" s="1"/>
      <c r="Q8578" s="1"/>
      <c r="R8578" s="1"/>
      <c r="S8578" s="1"/>
      <c r="T8578" s="1"/>
      <c r="U8578" s="1"/>
      <c r="V8578" s="1"/>
      <c r="W8578" s="1"/>
      <c r="X8578" s="1"/>
      <c r="Y8578" s="1"/>
      <c r="Z8578" s="1"/>
      <c r="AA8578" s="1"/>
      <c r="AB8578" s="1"/>
    </row>
    <row r="8579" ht="50.25" customHeight="1">
      <c r="A8579" s="12">
        <v>8575.0</v>
      </c>
      <c r="B8579" s="13" t="s">
        <v>7680</v>
      </c>
      <c r="C8579" s="18" t="s">
        <v>8604</v>
      </c>
      <c r="D8579" s="1"/>
      <c r="E8579" s="1"/>
      <c r="F8579" s="1" t="str">
        <f>IFERROR(__xludf.DUMMYFUNCTION("GOOGLETRANSLATE(B8579, ""en"", ""fa"")
"),"درخواست برای معلمان")</f>
        <v>درخواست برای معلمان</v>
      </c>
      <c r="G8579" s="1" t="str">
        <f>IFERROR(__xludf.DUMMYFUNCTION("GOOGLETRANSLATE(C8579, ""en"", ""fa"")
"),"تجربیات خود را با استفاده از مطالعات موردی یا شبیه سازی به عنوان تجربیات یادگیری مشترک که سناریوهای دنیای واقعی را منعکس می کند، به اشتراک بگذارید.")</f>
        <v>تجربیات خود را با استفاده از مطالعات موردی یا شبیه سازی به عنوان تجربیات یادگیری مشترک که سناریوهای دنیای واقعی را منعکس می کند، به اشتراک بگذارید.</v>
      </c>
      <c r="H8579" s="1"/>
      <c r="I8579" s="1"/>
      <c r="J8579" s="1"/>
      <c r="K8579" s="1"/>
      <c r="L8579" s="1"/>
      <c r="M8579" s="1"/>
      <c r="N8579" s="1"/>
      <c r="O8579" s="1"/>
      <c r="P8579" s="1"/>
      <c r="Q8579" s="1"/>
      <c r="R8579" s="1"/>
      <c r="S8579" s="1"/>
      <c r="T8579" s="1"/>
      <c r="U8579" s="1"/>
      <c r="V8579" s="1"/>
      <c r="W8579" s="1"/>
      <c r="X8579" s="1"/>
      <c r="Y8579" s="1"/>
      <c r="Z8579" s="1"/>
      <c r="AA8579" s="1"/>
      <c r="AB8579" s="1"/>
    </row>
    <row r="8580" ht="50.25" customHeight="1">
      <c r="A8580" s="12">
        <v>8576.0</v>
      </c>
      <c r="B8580" s="13" t="s">
        <v>7680</v>
      </c>
      <c r="C8580" s="18" t="s">
        <v>8605</v>
      </c>
      <c r="D8580" s="1"/>
      <c r="E8580" s="1"/>
      <c r="F8580" s="1" t="str">
        <f>IFERROR(__xludf.DUMMYFUNCTION("GOOGLETRANSLATE(B8580, ""en"", ""fa"")
"),"درخواست برای معلمان")</f>
        <v>درخواست برای معلمان</v>
      </c>
      <c r="G8580" s="1" t="str">
        <f>IFERROR(__xludf.DUMMYFUNCTION("GOOGLETRANSLATE(C8580, ""en"", ""fa"")
"),"استراتژی‌هایی را برای ترکیب بازتاب و فعالیت‌های فراشناختی پس از پروژه‌های مشترک برای تعمیق درک دانش‌آموز بررسی کنید.")</f>
        <v>استراتژی‌هایی را برای ترکیب بازتاب و فعالیت‌های فراشناختی پس از پروژه‌های مشترک برای تعمیق درک دانش‌آموز بررسی کنید.</v>
      </c>
      <c r="H8580" s="1"/>
      <c r="I8580" s="1"/>
      <c r="J8580" s="1"/>
      <c r="K8580" s="1"/>
      <c r="L8580" s="1"/>
      <c r="M8580" s="1"/>
      <c r="N8580" s="1"/>
      <c r="O8580" s="1"/>
      <c r="P8580" s="1"/>
      <c r="Q8580" s="1"/>
      <c r="R8580" s="1"/>
      <c r="S8580" s="1"/>
      <c r="T8580" s="1"/>
      <c r="U8580" s="1"/>
      <c r="V8580" s="1"/>
      <c r="W8580" s="1"/>
      <c r="X8580" s="1"/>
      <c r="Y8580" s="1"/>
      <c r="Z8580" s="1"/>
      <c r="AA8580" s="1"/>
      <c r="AB8580" s="1"/>
    </row>
    <row r="8581" ht="50.25" customHeight="1">
      <c r="A8581" s="12">
        <v>8577.0</v>
      </c>
      <c r="B8581" s="13" t="s">
        <v>7680</v>
      </c>
      <c r="C8581" s="18" t="s">
        <v>8606</v>
      </c>
      <c r="D8581" s="1"/>
      <c r="E8581" s="1"/>
      <c r="F8581" s="1" t="str">
        <f>IFERROR(__xludf.DUMMYFUNCTION("GOOGLETRANSLATE(B8581, ""en"", ""fa"")
"),"درخواست برای معلمان")</f>
        <v>درخواست برای معلمان</v>
      </c>
      <c r="G8581" s="1" t="str">
        <f>IFERROR(__xludf.DUMMYFUNCTION("GOOGLETRANSLATE(C8581, ""en"", ""fa"")
"),"درباره تأثیر گنجاندن ارزیابی همتایان و خودارزیابی در ارزیابی مشارکت های فردی و گروهی در کار مشترک بحث کنید.")</f>
        <v>درباره تأثیر گنجاندن ارزیابی همتایان و خودارزیابی در ارزیابی مشارکت های فردی و گروهی در کار مشترک بحث کنید.</v>
      </c>
      <c r="H8581" s="1"/>
      <c r="I8581" s="1"/>
      <c r="J8581" s="1"/>
      <c r="K8581" s="1"/>
      <c r="L8581" s="1"/>
      <c r="M8581" s="1"/>
      <c r="N8581" s="1"/>
      <c r="O8581" s="1"/>
      <c r="P8581" s="1"/>
      <c r="Q8581" s="1"/>
      <c r="R8581" s="1"/>
      <c r="S8581" s="1"/>
      <c r="T8581" s="1"/>
      <c r="U8581" s="1"/>
      <c r="V8581" s="1"/>
      <c r="W8581" s="1"/>
      <c r="X8581" s="1"/>
      <c r="Y8581" s="1"/>
      <c r="Z8581" s="1"/>
      <c r="AA8581" s="1"/>
      <c r="AB8581" s="1"/>
    </row>
    <row r="8582" ht="50.25" customHeight="1">
      <c r="A8582" s="12">
        <v>8578.0</v>
      </c>
      <c r="B8582" s="13" t="s">
        <v>7680</v>
      </c>
      <c r="C8582" s="18" t="s">
        <v>8607</v>
      </c>
      <c r="D8582" s="1"/>
      <c r="E8582" s="1"/>
      <c r="F8582" s="1" t="str">
        <f>IFERROR(__xludf.DUMMYFUNCTION("GOOGLETRANSLATE(B8582, ""en"", ""fa"")
"),"درخواست برای معلمان")</f>
        <v>درخواست برای معلمان</v>
      </c>
      <c r="G8582" s="1" t="str">
        <f>IFERROR(__xludf.DUMMYFUNCTION("GOOGLETRANSLATE(C8582, ""en"", ""fa"")
"),"بینش خود را در مورد استفاده از پروتکل های ساختاریافته، مانند سمینار سقراطی یا بحث کاسه ماهی، برای ترویج پرس و جو و گفتگوی عمیق در محیط های مشترک به اشتراک بگذارید.")</f>
        <v>بینش خود را در مورد استفاده از پروتکل های ساختاریافته، مانند سمینار سقراطی یا بحث کاسه ماهی، برای ترویج پرس و جو و گفتگوی عمیق در محیط های مشترک به اشتراک بگذارید.</v>
      </c>
      <c r="H8582" s="1"/>
      <c r="I8582" s="1"/>
      <c r="J8582" s="1"/>
      <c r="K8582" s="1"/>
      <c r="L8582" s="1"/>
      <c r="M8582" s="1"/>
      <c r="N8582" s="1"/>
      <c r="O8582" s="1"/>
      <c r="P8582" s="1"/>
      <c r="Q8582" s="1"/>
      <c r="R8582" s="1"/>
      <c r="S8582" s="1"/>
      <c r="T8582" s="1"/>
      <c r="U8582" s="1"/>
      <c r="V8582" s="1"/>
      <c r="W8582" s="1"/>
      <c r="X8582" s="1"/>
      <c r="Y8582" s="1"/>
      <c r="Z8582" s="1"/>
      <c r="AA8582" s="1"/>
      <c r="AB8582" s="1"/>
    </row>
    <row r="8583" ht="50.25" customHeight="1">
      <c r="A8583" s="12">
        <v>8579.0</v>
      </c>
      <c r="B8583" s="13" t="s">
        <v>7680</v>
      </c>
      <c r="C8583" s="18" t="s">
        <v>8608</v>
      </c>
      <c r="D8583" s="1"/>
      <c r="E8583" s="1"/>
      <c r="F8583" s="1" t="str">
        <f>IFERROR(__xludf.DUMMYFUNCTION("GOOGLETRANSLATE(B8583, ""en"", ""fa"")
"),"درخواست برای معلمان")</f>
        <v>درخواست برای معلمان</v>
      </c>
      <c r="G8583" s="1" t="str">
        <f>IFERROR(__xludf.DUMMYFUNCTION("GOOGLETRANSLATE(C8583, ""en"", ""fa"")
"),"کاوش در راه هایی برای ایجاد داربست مهارت های مشارکتی از طریق رهایی تدریجی از مسئولیت، شروع با همکاری معلمان و تغییر تدریجی به ابتکارات تحت رهبری دانش آموزان.")</f>
        <v>کاوش در راه هایی برای ایجاد داربست مهارت های مشارکتی از طریق رهایی تدریجی از مسئولیت، شروع با همکاری معلمان و تغییر تدریجی به ابتکارات تحت رهبری دانش آموزان.</v>
      </c>
      <c r="H8583" s="1"/>
      <c r="I8583" s="1"/>
      <c r="J8583" s="1"/>
      <c r="K8583" s="1"/>
      <c r="L8583" s="1"/>
      <c r="M8583" s="1"/>
      <c r="N8583" s="1"/>
      <c r="O8583" s="1"/>
      <c r="P8583" s="1"/>
      <c r="Q8583" s="1"/>
      <c r="R8583" s="1"/>
      <c r="S8583" s="1"/>
      <c r="T8583" s="1"/>
      <c r="U8583" s="1"/>
      <c r="V8583" s="1"/>
      <c r="W8583" s="1"/>
      <c r="X8583" s="1"/>
      <c r="Y8583" s="1"/>
      <c r="Z8583" s="1"/>
      <c r="AA8583" s="1"/>
      <c r="AB8583" s="1"/>
    </row>
    <row r="8584" ht="50.25" customHeight="1">
      <c r="A8584" s="12">
        <v>8580.0</v>
      </c>
      <c r="B8584" s="13" t="s">
        <v>7680</v>
      </c>
      <c r="C8584" s="18" t="s">
        <v>8609</v>
      </c>
      <c r="D8584" s="1"/>
      <c r="E8584" s="1"/>
      <c r="F8584" s="1" t="str">
        <f>IFERROR(__xludf.DUMMYFUNCTION("GOOGLETRANSLATE(B8584, ""en"", ""fa"")
"),"درخواست برای معلمان")</f>
        <v>درخواست برای معلمان</v>
      </c>
      <c r="G8584" s="1" t="str">
        <f>IFERROR(__xludf.DUMMYFUNCTION("GOOGLETRANSLATE(C8584, ""en"", ""fa"")
"),"در مورد نقش تعیین هدف و نظارت بر پیشرفت در پروژه های مشترک برای اطمینان از مسئولیت پذیری و تکمیل کار بحث کنید.")</f>
        <v>در مورد نقش تعیین هدف و نظارت بر پیشرفت در پروژه های مشترک برای اطمینان از مسئولیت پذیری و تکمیل کار بحث کنید.</v>
      </c>
      <c r="H8584" s="1"/>
      <c r="I8584" s="1"/>
      <c r="J8584" s="1"/>
      <c r="K8584" s="1"/>
      <c r="L8584" s="1"/>
      <c r="M8584" s="1"/>
      <c r="N8584" s="1"/>
      <c r="O8584" s="1"/>
      <c r="P8584" s="1"/>
      <c r="Q8584" s="1"/>
      <c r="R8584" s="1"/>
      <c r="S8584" s="1"/>
      <c r="T8584" s="1"/>
      <c r="U8584" s="1"/>
      <c r="V8584" s="1"/>
      <c r="W8584" s="1"/>
      <c r="X8584" s="1"/>
      <c r="Y8584" s="1"/>
      <c r="Z8584" s="1"/>
      <c r="AA8584" s="1"/>
      <c r="AB8584" s="1"/>
    </row>
    <row r="8585" ht="50.25" customHeight="1">
      <c r="A8585" s="12">
        <v>8581.0</v>
      </c>
      <c r="B8585" s="13" t="s">
        <v>7680</v>
      </c>
      <c r="C8585" s="18" t="s">
        <v>8610</v>
      </c>
      <c r="D8585" s="1"/>
      <c r="E8585" s="1"/>
      <c r="F8585" s="1" t="str">
        <f>IFERROR(__xludf.DUMMYFUNCTION("GOOGLETRANSLATE(B8585, ""en"", ""fa"")
"),"درخواست برای معلمان")</f>
        <v>درخواست برای معلمان</v>
      </c>
      <c r="G8585" s="1" t="str">
        <f>IFERROR(__xludf.DUMMYFUNCTION("GOOGLETRANSLATE(C8585, ""en"", ""fa"")
"),"تجربیات خود را در استفاده از ارائه های چند رسانه ای یا داستان سرایی دیجیتال به عنوان پلتفرم های مشترک برای پروژه های گروهی به اشتراک بگذارید.")</f>
        <v>تجربیات خود را در استفاده از ارائه های چند رسانه ای یا داستان سرایی دیجیتال به عنوان پلتفرم های مشترک برای پروژه های گروهی به اشتراک بگذارید.</v>
      </c>
      <c r="H8585" s="1"/>
      <c r="I8585" s="1"/>
      <c r="J8585" s="1"/>
      <c r="K8585" s="1"/>
      <c r="L8585" s="1"/>
      <c r="M8585" s="1"/>
      <c r="N8585" s="1"/>
      <c r="O8585" s="1"/>
      <c r="P8585" s="1"/>
      <c r="Q8585" s="1"/>
      <c r="R8585" s="1"/>
      <c r="S8585" s="1"/>
      <c r="T8585" s="1"/>
      <c r="U8585" s="1"/>
      <c r="V8585" s="1"/>
      <c r="W8585" s="1"/>
      <c r="X8585" s="1"/>
      <c r="Y8585" s="1"/>
      <c r="Z8585" s="1"/>
      <c r="AA8585" s="1"/>
      <c r="AB8585" s="1"/>
    </row>
    <row r="8586" ht="50.25" customHeight="1">
      <c r="A8586" s="12">
        <v>8582.0</v>
      </c>
      <c r="B8586" s="13" t="s">
        <v>7680</v>
      </c>
      <c r="C8586" s="18" t="s">
        <v>8611</v>
      </c>
      <c r="D8586" s="1"/>
      <c r="E8586" s="1"/>
      <c r="F8586" s="1" t="str">
        <f>IFERROR(__xludf.DUMMYFUNCTION("GOOGLETRANSLATE(B8586, ""en"", ""fa"")
"),"درخواست برای معلمان")</f>
        <v>درخواست برای معلمان</v>
      </c>
      <c r="G8586" s="1" t="str">
        <f>IFERROR(__xludf.DUMMYFUNCTION("GOOGLETRANSLATE(C8586, ""en"", ""fa"")
"),"استراتژی‌هایی را برای ایجاد فرصت‌هایی برای همکاری بین کلاسی یا بین کلاسی برای تقویت مربیگری و یادگیری همتایان کاوش کنید.")</f>
        <v>استراتژی‌هایی را برای ایجاد فرصت‌هایی برای همکاری بین کلاسی یا بین کلاسی برای تقویت مربیگری و یادگیری همتایان کاوش کنید.</v>
      </c>
      <c r="H8586" s="1"/>
      <c r="I8586" s="1"/>
      <c r="J8586" s="1"/>
      <c r="K8586" s="1"/>
      <c r="L8586" s="1"/>
      <c r="M8586" s="1"/>
      <c r="N8586" s="1"/>
      <c r="O8586" s="1"/>
      <c r="P8586" s="1"/>
      <c r="Q8586" s="1"/>
      <c r="R8586" s="1"/>
      <c r="S8586" s="1"/>
      <c r="T8586" s="1"/>
      <c r="U8586" s="1"/>
      <c r="V8586" s="1"/>
      <c r="W8586" s="1"/>
      <c r="X8586" s="1"/>
      <c r="Y8586" s="1"/>
      <c r="Z8586" s="1"/>
      <c r="AA8586" s="1"/>
      <c r="AB8586" s="1"/>
    </row>
    <row r="8587" ht="50.25" customHeight="1">
      <c r="A8587" s="12">
        <v>8583.0</v>
      </c>
      <c r="B8587" s="13" t="s">
        <v>7680</v>
      </c>
      <c r="C8587" s="18" t="s">
        <v>8612</v>
      </c>
      <c r="D8587" s="1"/>
      <c r="E8587" s="1"/>
      <c r="F8587" s="1" t="str">
        <f>IFERROR(__xludf.DUMMYFUNCTION("GOOGLETRANSLATE(B8587, ""en"", ""fa"")
"),"درخواست برای معلمان")</f>
        <v>درخواست برای معلمان</v>
      </c>
      <c r="G8587" s="1" t="str">
        <f>IFERROR(__xludf.DUMMYFUNCTION("GOOGLETRANSLATE(C8587, ""en"", ""fa"")
"),"درباره اهمیت گنجاندن فعالیت‌های تأمل و جشن در پایان پروژه‌های مشترک برای قدردانی از دستاوردها و رشد دانش‌آموز بحث کنید.")</f>
        <v>درباره اهمیت گنجاندن فعالیت‌های تأمل و جشن در پایان پروژه‌های مشترک برای قدردانی از دستاوردها و رشد دانش‌آموز بحث کنید.</v>
      </c>
      <c r="H8587" s="1"/>
      <c r="I8587" s="1"/>
      <c r="J8587" s="1"/>
      <c r="K8587" s="1"/>
      <c r="L8587" s="1"/>
      <c r="M8587" s="1"/>
      <c r="N8587" s="1"/>
      <c r="O8587" s="1"/>
      <c r="P8587" s="1"/>
      <c r="Q8587" s="1"/>
      <c r="R8587" s="1"/>
      <c r="S8587" s="1"/>
      <c r="T8587" s="1"/>
      <c r="U8587" s="1"/>
      <c r="V8587" s="1"/>
      <c r="W8587" s="1"/>
      <c r="X8587" s="1"/>
      <c r="Y8587" s="1"/>
      <c r="Z8587" s="1"/>
      <c r="AA8587" s="1"/>
      <c r="AB8587" s="1"/>
    </row>
    <row r="8588" ht="50.25" customHeight="1">
      <c r="A8588" s="12">
        <v>8584.0</v>
      </c>
      <c r="B8588" s="13" t="s">
        <v>7680</v>
      </c>
      <c r="C8588" s="18" t="s">
        <v>8613</v>
      </c>
      <c r="D8588" s="1"/>
      <c r="E8588" s="1"/>
      <c r="F8588" s="1" t="str">
        <f>IFERROR(__xludf.DUMMYFUNCTION("GOOGLETRANSLATE(B8588, ""en"", ""fa"")
"),"درخواست برای معلمان")</f>
        <v>درخواست برای معلمان</v>
      </c>
      <c r="G8588" s="1" t="str">
        <f>IFERROR(__xludf.DUMMYFUNCTION("GOOGLETRANSLATE(C8588, ""en"", ""fa"")
"),"بینش خود را در مورد استفاده از ابزارهای مدیریت پروژه یا پلتفرم های آنلاین برای تسهیل مدیریت کار و همکاری در کار گروهی به اشتراک بگذارید.")</f>
        <v>بینش خود را در مورد استفاده از ابزارهای مدیریت پروژه یا پلتفرم های آنلاین برای تسهیل مدیریت کار و همکاری در کار گروهی به اشتراک بگذارید.</v>
      </c>
      <c r="H8588" s="1"/>
      <c r="I8588" s="1"/>
      <c r="J8588" s="1"/>
      <c r="K8588" s="1"/>
      <c r="L8588" s="1"/>
      <c r="M8588" s="1"/>
      <c r="N8588" s="1"/>
      <c r="O8588" s="1"/>
      <c r="P8588" s="1"/>
      <c r="Q8588" s="1"/>
      <c r="R8588" s="1"/>
      <c r="S8588" s="1"/>
      <c r="T8588" s="1"/>
      <c r="U8588" s="1"/>
      <c r="V8588" s="1"/>
      <c r="W8588" s="1"/>
      <c r="X8588" s="1"/>
      <c r="Y8588" s="1"/>
      <c r="Z8588" s="1"/>
      <c r="AA8588" s="1"/>
      <c r="AB8588" s="1"/>
    </row>
    <row r="8589" ht="50.25" customHeight="1">
      <c r="A8589" s="12">
        <v>8585.0</v>
      </c>
      <c r="B8589" s="13" t="s">
        <v>7680</v>
      </c>
      <c r="C8589" s="18" t="s">
        <v>8614</v>
      </c>
      <c r="D8589" s="1"/>
      <c r="E8589" s="1"/>
      <c r="F8589" s="1" t="str">
        <f>IFERROR(__xludf.DUMMYFUNCTION("GOOGLETRANSLATE(B8589, ""en"", ""fa"")
"),"درخواست برای معلمان")</f>
        <v>درخواست برای معلمان</v>
      </c>
      <c r="G8589" s="1" t="str">
        <f>IFERROR(__xludf.DUMMYFUNCTION("GOOGLETRANSLATE(C8589, ""en"", ""fa"")
"),"راه‌هایی را برای تقویت حس مالکیت و مسئولیت جمعی در پروژه‌های گروهی، ترویج همکاری و موفقیت مشترک بررسی کنید.")</f>
        <v>راه‌هایی را برای تقویت حس مالکیت و مسئولیت جمعی در پروژه‌های گروهی، ترویج همکاری و موفقیت مشترک بررسی کنید.</v>
      </c>
      <c r="H8589" s="1"/>
      <c r="I8589" s="1"/>
      <c r="J8589" s="1"/>
      <c r="K8589" s="1"/>
      <c r="L8589" s="1"/>
      <c r="M8589" s="1"/>
      <c r="N8589" s="1"/>
      <c r="O8589" s="1"/>
      <c r="P8589" s="1"/>
      <c r="Q8589" s="1"/>
      <c r="R8589" s="1"/>
      <c r="S8589" s="1"/>
      <c r="T8589" s="1"/>
      <c r="U8589" s="1"/>
      <c r="V8589" s="1"/>
      <c r="W8589" s="1"/>
      <c r="X8589" s="1"/>
      <c r="Y8589" s="1"/>
      <c r="Z8589" s="1"/>
      <c r="AA8589" s="1"/>
      <c r="AB8589" s="1"/>
    </row>
    <row r="8590" ht="50.25" customHeight="1">
      <c r="A8590" s="12">
        <v>8586.0</v>
      </c>
      <c r="B8590" s="13" t="s">
        <v>7680</v>
      </c>
      <c r="C8590" s="18" t="s">
        <v>8615</v>
      </c>
      <c r="D8590" s="1"/>
      <c r="E8590" s="1"/>
      <c r="F8590" s="1" t="str">
        <f>IFERROR(__xludf.DUMMYFUNCTION("GOOGLETRANSLATE(B8590, ""en"", ""fa"")
"),"درخواست برای معلمان")</f>
        <v>درخواست برای معلمان</v>
      </c>
      <c r="G8590" s="1" t="str">
        <f>IFERROR(__xludf.DUMMYFUNCTION("GOOGLETRANSLATE(C8590, ""en"", ""fa"")
"),"در مورد تأثیر ترکیب مخاطبان معتبر و ارائه های عمومی در پروژه های مشترک برای افزایش انگیزه و مسئولیت پذیری بحث کنید.")</f>
        <v>در مورد تأثیر ترکیب مخاطبان معتبر و ارائه های عمومی در پروژه های مشترک برای افزایش انگیزه و مسئولیت پذیری بحث کنید.</v>
      </c>
      <c r="H8590" s="1"/>
      <c r="I8590" s="1"/>
      <c r="J8590" s="1"/>
      <c r="K8590" s="1"/>
      <c r="L8590" s="1"/>
      <c r="M8590" s="1"/>
      <c r="N8590" s="1"/>
      <c r="O8590" s="1"/>
      <c r="P8590" s="1"/>
      <c r="Q8590" s="1"/>
      <c r="R8590" s="1"/>
      <c r="S8590" s="1"/>
      <c r="T8590" s="1"/>
      <c r="U8590" s="1"/>
      <c r="V8590" s="1"/>
      <c r="W8590" s="1"/>
      <c r="X8590" s="1"/>
      <c r="Y8590" s="1"/>
      <c r="Z8590" s="1"/>
      <c r="AA8590" s="1"/>
      <c r="AB8590" s="1"/>
    </row>
    <row r="8591" ht="50.25" customHeight="1">
      <c r="A8591" s="12">
        <v>8587.0</v>
      </c>
      <c r="B8591" s="13" t="s">
        <v>7680</v>
      </c>
      <c r="C8591" s="18" t="s">
        <v>8616</v>
      </c>
      <c r="D8591" s="1"/>
      <c r="E8591" s="1"/>
      <c r="F8591" s="1" t="str">
        <f>IFERROR(__xludf.DUMMYFUNCTION("GOOGLETRANSLATE(B8591, ""en"", ""fa"")
"),"درخواست برای معلمان")</f>
        <v>درخواست برای معلمان</v>
      </c>
      <c r="G8591" s="1" t="str">
        <f>IFERROR(__xludf.DUMMYFUNCTION("GOOGLETRANSLATE(C8591, ""en"", ""fa"")
"),"تجربیات خود را در استفاده از پروتکل های ساختاریافته، مانند راه رفتن در گالری یا نقدهای همتا، برای ترویج بازخورد و بازتاب همتا به همتا به اشتراک بگذارید.")</f>
        <v>تجربیات خود را در استفاده از پروتکل های ساختاریافته، مانند راه رفتن در گالری یا نقدهای همتا، برای ترویج بازخورد و بازتاب همتا به همتا به اشتراک بگذارید.</v>
      </c>
      <c r="H8591" s="1"/>
      <c r="I8591" s="1"/>
      <c r="J8591" s="1"/>
      <c r="K8591" s="1"/>
      <c r="L8591" s="1"/>
      <c r="M8591" s="1"/>
      <c r="N8591" s="1"/>
      <c r="O8591" s="1"/>
      <c r="P8591" s="1"/>
      <c r="Q8591" s="1"/>
      <c r="R8591" s="1"/>
      <c r="S8591" s="1"/>
      <c r="T8591" s="1"/>
      <c r="U8591" s="1"/>
      <c r="V8591" s="1"/>
      <c r="W8591" s="1"/>
      <c r="X8591" s="1"/>
      <c r="Y8591" s="1"/>
      <c r="Z8591" s="1"/>
      <c r="AA8591" s="1"/>
      <c r="AB8591" s="1"/>
    </row>
    <row r="8592" ht="50.25" customHeight="1">
      <c r="A8592" s="12">
        <v>8588.0</v>
      </c>
      <c r="B8592" s="13" t="s">
        <v>7680</v>
      </c>
      <c r="C8592" s="18" t="s">
        <v>8617</v>
      </c>
      <c r="D8592" s="1"/>
      <c r="E8592" s="1"/>
      <c r="F8592" s="1" t="str">
        <f>IFERROR(__xludf.DUMMYFUNCTION("GOOGLETRANSLATE(B8592, ""en"", ""fa"")
"),"درخواست برای معلمان")</f>
        <v>درخواست برای معلمان</v>
      </c>
      <c r="G8592" s="1" t="str">
        <f>IFERROR(__xludf.DUMMYFUNCTION("GOOGLETRANSLATE(C8592, ""en"", ""fa"")
"),"استراتژی‌هایی را برای یکپارچه‌سازی ابزارهای فناوری، مانند اسناد مشترک یا تخته‌های سفید مجازی، برای تسهیل همکاری آنلاین همزمان بررسی کنید.")</f>
        <v>استراتژی‌هایی را برای یکپارچه‌سازی ابزارهای فناوری، مانند اسناد مشترک یا تخته‌های سفید مجازی، برای تسهیل همکاری آنلاین همزمان بررسی کنید.</v>
      </c>
      <c r="H8592" s="1"/>
      <c r="I8592" s="1"/>
      <c r="J8592" s="1"/>
      <c r="K8592" s="1"/>
      <c r="L8592" s="1"/>
      <c r="M8592" s="1"/>
      <c r="N8592" s="1"/>
      <c r="O8592" s="1"/>
      <c r="P8592" s="1"/>
      <c r="Q8592" s="1"/>
      <c r="R8592" s="1"/>
      <c r="S8592" s="1"/>
      <c r="T8592" s="1"/>
      <c r="U8592" s="1"/>
      <c r="V8592" s="1"/>
      <c r="W8592" s="1"/>
      <c r="X8592" s="1"/>
      <c r="Y8592" s="1"/>
      <c r="Z8592" s="1"/>
      <c r="AA8592" s="1"/>
      <c r="AB8592" s="1"/>
    </row>
    <row r="8593" ht="50.25" customHeight="1">
      <c r="A8593" s="12">
        <v>8589.0</v>
      </c>
      <c r="B8593" s="13" t="s">
        <v>7680</v>
      </c>
      <c r="C8593" s="18" t="s">
        <v>8618</v>
      </c>
      <c r="D8593" s="1"/>
      <c r="E8593" s="1"/>
      <c r="F8593" s="1" t="str">
        <f>IFERROR(__xludf.DUMMYFUNCTION("GOOGLETRANSLATE(B8593, ""en"", ""fa"")
"),"درخواست برای معلمان")</f>
        <v>درخواست برای معلمان</v>
      </c>
      <c r="G8593" s="1" t="str">
        <f>IFERROR(__xludf.DUMMYFUNCTION("GOOGLETRANSLATE(C8593, ""en"", ""fa"")
"),"در مورد نقش فعالیت های حل مسئله مشارکتی در توسعه تفکر انتقادی و مهارت های ارتباطی در دانش آموزان بحث کنید.")</f>
        <v>در مورد نقش فعالیت های حل مسئله مشارکتی در توسعه تفکر انتقادی و مهارت های ارتباطی در دانش آموزان بحث کنید.</v>
      </c>
      <c r="H8593" s="1"/>
      <c r="I8593" s="1"/>
      <c r="J8593" s="1"/>
      <c r="K8593" s="1"/>
      <c r="L8593" s="1"/>
      <c r="M8593" s="1"/>
      <c r="N8593" s="1"/>
      <c r="O8593" s="1"/>
      <c r="P8593" s="1"/>
      <c r="Q8593" s="1"/>
      <c r="R8593" s="1"/>
      <c r="S8593" s="1"/>
      <c r="T8593" s="1"/>
      <c r="U8593" s="1"/>
      <c r="V8593" s="1"/>
      <c r="W8593" s="1"/>
      <c r="X8593" s="1"/>
      <c r="Y8593" s="1"/>
      <c r="Z8593" s="1"/>
      <c r="AA8593" s="1"/>
      <c r="AB8593" s="1"/>
    </row>
    <row r="8594" ht="50.25" customHeight="1">
      <c r="A8594" s="12">
        <v>8590.0</v>
      </c>
      <c r="B8594" s="13" t="s">
        <v>7680</v>
      </c>
      <c r="C8594" s="18" t="s">
        <v>8619</v>
      </c>
      <c r="D8594" s="1"/>
      <c r="E8594" s="1"/>
      <c r="F8594" s="1" t="str">
        <f>IFERROR(__xludf.DUMMYFUNCTION("GOOGLETRANSLATE(B8594, ""en"", ""fa"")
"),"درخواست برای معلمان")</f>
        <v>درخواست برای معلمان</v>
      </c>
      <c r="G8594" s="1" t="str">
        <f>IFERROR(__xludf.DUMMYFUNCTION("GOOGLETRANSLATE(C8594, ""en"", ""fa"")
"),"بینش خود را در مورد استفاده از جلسات توجیهی ساختاریافته پس از پروژه های مشترک برای ترویج تفکر و یادگیری از تجربیات مشترک به اشتراک بگذارید.")</f>
        <v>بینش خود را در مورد استفاده از جلسات توجیهی ساختاریافته پس از پروژه های مشترک برای ترویج تفکر و یادگیری از تجربیات مشترک به اشتراک بگذارید.</v>
      </c>
      <c r="H8594" s="1"/>
      <c r="I8594" s="1"/>
      <c r="J8594" s="1"/>
      <c r="K8594" s="1"/>
      <c r="L8594" s="1"/>
      <c r="M8594" s="1"/>
      <c r="N8594" s="1"/>
      <c r="O8594" s="1"/>
      <c r="P8594" s="1"/>
      <c r="Q8594" s="1"/>
      <c r="R8594" s="1"/>
      <c r="S8594" s="1"/>
      <c r="T8594" s="1"/>
      <c r="U8594" s="1"/>
      <c r="V8594" s="1"/>
      <c r="W8594" s="1"/>
      <c r="X8594" s="1"/>
      <c r="Y8594" s="1"/>
      <c r="Z8594" s="1"/>
      <c r="AA8594" s="1"/>
      <c r="AB8594" s="1"/>
    </row>
    <row r="8595" ht="50.25" customHeight="1">
      <c r="A8595" s="12">
        <v>8591.0</v>
      </c>
      <c r="B8595" s="13" t="s">
        <v>7680</v>
      </c>
      <c r="C8595" s="18" t="s">
        <v>8620</v>
      </c>
      <c r="D8595" s="1"/>
      <c r="E8595" s="1"/>
      <c r="F8595" s="1" t="str">
        <f>IFERROR(__xludf.DUMMYFUNCTION("GOOGLETRANSLATE(B8595, ""en"", ""fa"")
"),"درخواست برای معلمان")</f>
        <v>درخواست برای معلمان</v>
      </c>
      <c r="G8595" s="1" t="str">
        <f>IFERROR(__xludf.DUMMYFUNCTION("GOOGLETRANSLATE(C8595, ""en"", ""fa"")
"),"راه‌هایی را برای ترویج مشارکت عادلانه بررسی کنید و اطمینان حاصل کنید که همه صداها در کار گروهی مشترک شنیده می‌شوند.")</f>
        <v>راه‌هایی را برای ترویج مشارکت عادلانه بررسی کنید و اطمینان حاصل کنید که همه صداها در کار گروهی مشترک شنیده می‌شوند.</v>
      </c>
      <c r="H8595" s="1"/>
      <c r="I8595" s="1"/>
      <c r="J8595" s="1"/>
      <c r="K8595" s="1"/>
      <c r="L8595" s="1"/>
      <c r="M8595" s="1"/>
      <c r="N8595" s="1"/>
      <c r="O8595" s="1"/>
      <c r="P8595" s="1"/>
      <c r="Q8595" s="1"/>
      <c r="R8595" s="1"/>
      <c r="S8595" s="1"/>
      <c r="T8595" s="1"/>
      <c r="U8595" s="1"/>
      <c r="V8595" s="1"/>
      <c r="W8595" s="1"/>
      <c r="X8595" s="1"/>
      <c r="Y8595" s="1"/>
      <c r="Z8595" s="1"/>
      <c r="AA8595" s="1"/>
      <c r="AB8595" s="1"/>
    </row>
    <row r="8596" ht="50.25" customHeight="1">
      <c r="A8596" s="12">
        <v>8592.0</v>
      </c>
      <c r="B8596" s="13" t="s">
        <v>7680</v>
      </c>
      <c r="C8596" s="18" t="s">
        <v>8621</v>
      </c>
      <c r="D8596" s="1"/>
      <c r="E8596" s="1"/>
      <c r="F8596" s="1" t="str">
        <f>IFERROR(__xludf.DUMMYFUNCTION("GOOGLETRANSLATE(B8596, ""en"", ""fa"")
"),"درخواست برای معلمان")</f>
        <v>درخواست برای معلمان</v>
      </c>
      <c r="G8596" s="1" t="str">
        <f>IFERROR(__xludf.DUMMYFUNCTION("GOOGLETRANSLATE(C8596, ""en"", ""fa"")
"),"درباره اهمیت آموزش صریح مهارت‌های همکاری، مانند مذاکره و سازش، برای حمایت از پویایی گروه‌های مولد بحث کنید.")</f>
        <v>درباره اهمیت آموزش صریح مهارت‌های همکاری، مانند مذاکره و سازش، برای حمایت از پویایی گروه‌های مولد بحث کنید.</v>
      </c>
      <c r="H8596" s="1"/>
      <c r="I8596" s="1"/>
      <c r="J8596" s="1"/>
      <c r="K8596" s="1"/>
      <c r="L8596" s="1"/>
      <c r="M8596" s="1"/>
      <c r="N8596" s="1"/>
      <c r="O8596" s="1"/>
      <c r="P8596" s="1"/>
      <c r="Q8596" s="1"/>
      <c r="R8596" s="1"/>
      <c r="S8596" s="1"/>
      <c r="T8596" s="1"/>
      <c r="U8596" s="1"/>
      <c r="V8596" s="1"/>
      <c r="W8596" s="1"/>
      <c r="X8596" s="1"/>
      <c r="Y8596" s="1"/>
      <c r="Z8596" s="1"/>
      <c r="AA8596" s="1"/>
      <c r="AB8596" s="1"/>
    </row>
    <row r="8597" ht="50.25" customHeight="1">
      <c r="A8597" s="12">
        <v>8593.0</v>
      </c>
      <c r="B8597" s="13" t="s">
        <v>7680</v>
      </c>
      <c r="C8597" s="18" t="s">
        <v>8622</v>
      </c>
      <c r="D8597" s="1"/>
      <c r="E8597" s="1"/>
      <c r="F8597" s="1" t="str">
        <f>IFERROR(__xludf.DUMMYFUNCTION("GOOGLETRANSLATE(B8597, ""en"", ""fa"")
"),"درخواست برای معلمان")</f>
        <v>درخواست برای معلمان</v>
      </c>
      <c r="G8597" s="1" t="str">
        <f>IFERROR(__xludf.DUMMYFUNCTION("GOOGLETRANSLATE(C8597, ""en"", ""fa"")
"),"تجربیات خود را در استفاده از قراردادهای گروهی یا روبریک ها برای شفاف سازی انتظارات و ارزیابی عملکرد فردی و گروهی در کار مشترک به اشتراک بگذارید.")</f>
        <v>تجربیات خود را در استفاده از قراردادهای گروهی یا روبریک ها برای شفاف سازی انتظارات و ارزیابی عملکرد فردی و گروهی در کار مشترک به اشتراک بگذارید.</v>
      </c>
      <c r="H8597" s="1"/>
      <c r="I8597" s="1"/>
      <c r="J8597" s="1"/>
      <c r="K8597" s="1"/>
      <c r="L8597" s="1"/>
      <c r="M8597" s="1"/>
      <c r="N8597" s="1"/>
      <c r="O8597" s="1"/>
      <c r="P8597" s="1"/>
      <c r="Q8597" s="1"/>
      <c r="R8597" s="1"/>
      <c r="S8597" s="1"/>
      <c r="T8597" s="1"/>
      <c r="U8597" s="1"/>
      <c r="V8597" s="1"/>
      <c r="W8597" s="1"/>
      <c r="X8597" s="1"/>
      <c r="Y8597" s="1"/>
      <c r="Z8597" s="1"/>
      <c r="AA8597" s="1"/>
      <c r="AB8597" s="1"/>
    </row>
    <row r="8598" ht="50.25" customHeight="1">
      <c r="A8598" s="12">
        <v>8594.0</v>
      </c>
      <c r="B8598" s="13" t="s">
        <v>7680</v>
      </c>
      <c r="C8598" s="18" t="s">
        <v>8623</v>
      </c>
      <c r="D8598" s="1"/>
      <c r="E8598" s="1"/>
      <c r="F8598" s="1" t="str">
        <f>IFERROR(__xludf.DUMMYFUNCTION("GOOGLETRANSLATE(B8598, ""en"", ""fa"")
"),"درخواست برای معلمان")</f>
        <v>درخواست برای معلمان</v>
      </c>
      <c r="G8598" s="1" t="str">
        <f>IFERROR(__xludf.DUMMYFUNCTION("GOOGLETRANSLATE(C8598, ""en"", ""fa"")
"),"استراتژی‌هایی را برای گنجاندن راهنمایی همسالان و مربیگری همتایان در یادگیری مشارکتی بررسی کنید، که به دانش‌آموزان اجازه می‌دهد از یکدیگر حمایت و راهنمایی کنند.")</f>
        <v>استراتژی‌هایی را برای گنجاندن راهنمایی همسالان و مربیگری همتایان در یادگیری مشارکتی بررسی کنید، که به دانش‌آموزان اجازه می‌دهد از یکدیگر حمایت و راهنمایی کنند.</v>
      </c>
      <c r="H8598" s="1"/>
      <c r="I8598" s="1"/>
      <c r="J8598" s="1"/>
      <c r="K8598" s="1"/>
      <c r="L8598" s="1"/>
      <c r="M8598" s="1"/>
      <c r="N8598" s="1"/>
      <c r="O8598" s="1"/>
      <c r="P8598" s="1"/>
      <c r="Q8598" s="1"/>
      <c r="R8598" s="1"/>
      <c r="S8598" s="1"/>
      <c r="T8598" s="1"/>
      <c r="U8598" s="1"/>
      <c r="V8598" s="1"/>
      <c r="W8598" s="1"/>
      <c r="X8598" s="1"/>
      <c r="Y8598" s="1"/>
      <c r="Z8598" s="1"/>
      <c r="AA8598" s="1"/>
      <c r="AB8598" s="1"/>
    </row>
    <row r="8599" ht="50.25" customHeight="1">
      <c r="A8599" s="12">
        <v>8595.0</v>
      </c>
      <c r="B8599" s="13" t="s">
        <v>7680</v>
      </c>
      <c r="C8599" s="18" t="s">
        <v>8624</v>
      </c>
      <c r="D8599" s="1"/>
      <c r="E8599" s="1"/>
      <c r="F8599" s="1" t="str">
        <f>IFERROR(__xludf.DUMMYFUNCTION("GOOGLETRANSLATE(B8599, ""en"", ""fa"")
"),"درخواست برای معلمان")</f>
        <v>درخواست برای معلمان</v>
      </c>
      <c r="G8599" s="1" t="str">
        <f>IFERROR(__xludf.DUMMYFUNCTION("GOOGLETRANSLATE(C8599, ""en"", ""fa"")
"),"درباره تأثیر استفاده از ایفای نقش یا شبیه‌سازی برای غوطه‌ور کردن دانش‌آموزان در سناریوهای مشارکتی و توسعه همدلی و مهارت‌های کار گروهی بحث کنید.")</f>
        <v>درباره تأثیر استفاده از ایفای نقش یا شبیه‌سازی برای غوطه‌ور کردن دانش‌آموزان در سناریوهای مشارکتی و توسعه همدلی و مهارت‌های کار گروهی بحث کنید.</v>
      </c>
      <c r="H8599" s="1"/>
      <c r="I8599" s="1"/>
      <c r="J8599" s="1"/>
      <c r="K8599" s="1"/>
      <c r="L8599" s="1"/>
      <c r="M8599" s="1"/>
      <c r="N8599" s="1"/>
      <c r="O8599" s="1"/>
      <c r="P8599" s="1"/>
      <c r="Q8599" s="1"/>
      <c r="R8599" s="1"/>
      <c r="S8599" s="1"/>
      <c r="T8599" s="1"/>
      <c r="U8599" s="1"/>
      <c r="V8599" s="1"/>
      <c r="W8599" s="1"/>
      <c r="X8599" s="1"/>
      <c r="Y8599" s="1"/>
      <c r="Z8599" s="1"/>
      <c r="AA8599" s="1"/>
      <c r="AB8599" s="1"/>
    </row>
    <row r="8600" ht="50.25" customHeight="1">
      <c r="A8600" s="12">
        <v>8596.0</v>
      </c>
      <c r="B8600" s="13" t="s">
        <v>7680</v>
      </c>
      <c r="C8600" s="18" t="s">
        <v>8625</v>
      </c>
      <c r="D8600" s="1"/>
      <c r="E8600" s="1"/>
      <c r="F8600" s="1" t="str">
        <f>IFERROR(__xludf.DUMMYFUNCTION("GOOGLETRANSLATE(B8600, ""en"", ""fa"")
"),"درخواست برای معلمان")</f>
        <v>درخواست برای معلمان</v>
      </c>
      <c r="G8600" s="1" t="str">
        <f>IFERROR(__xludf.DUMMYFUNCTION("GOOGLETRANSLATE(C8600, ""en"", ""fa"")
"),"بینش خود را در مورد استفاده از روال های تفکر قابل مشاهده، مانند See-Think-Wonder یا Circle of Views به اشتراک بگذارید تا درک عمیق تر و دیدگاه سنجی در کار مشترک را ارتقا دهید.")</f>
        <v>بینش خود را در مورد استفاده از روال های تفکر قابل مشاهده، مانند See-Think-Wonder یا Circle of Views به اشتراک بگذارید تا درک عمیق تر و دیدگاه سنجی در کار مشترک را ارتقا دهید.</v>
      </c>
      <c r="H8600" s="1"/>
      <c r="I8600" s="1"/>
      <c r="J8600" s="1"/>
      <c r="K8600" s="1"/>
      <c r="L8600" s="1"/>
      <c r="M8600" s="1"/>
      <c r="N8600" s="1"/>
      <c r="O8600" s="1"/>
      <c r="P8600" s="1"/>
      <c r="Q8600" s="1"/>
      <c r="R8600" s="1"/>
      <c r="S8600" s="1"/>
      <c r="T8600" s="1"/>
      <c r="U8600" s="1"/>
      <c r="V8600" s="1"/>
      <c r="W8600" s="1"/>
      <c r="X8600" s="1"/>
      <c r="Y8600" s="1"/>
      <c r="Z8600" s="1"/>
      <c r="AA8600" s="1"/>
      <c r="AB8600" s="1"/>
    </row>
    <row r="8601" ht="50.25" customHeight="1">
      <c r="A8601" s="12">
        <v>8597.0</v>
      </c>
      <c r="B8601" s="13" t="s">
        <v>7680</v>
      </c>
      <c r="C8601" s="18" t="s">
        <v>8626</v>
      </c>
      <c r="D8601" s="1"/>
      <c r="E8601" s="1"/>
      <c r="F8601" s="1" t="str">
        <f>IFERROR(__xludf.DUMMYFUNCTION("GOOGLETRANSLATE(B8601, ""en"", ""fa"")
"),"درخواست برای معلمان")</f>
        <v>درخواست برای معلمان</v>
      </c>
      <c r="G8601" s="1" t="str">
        <f>IFERROR(__xludf.DUMMYFUNCTION("GOOGLETRANSLATE(C8601, ""en"", ""fa"")
"),"راه‌هایی را بررسی کنید تا فرصت‌هایی برای دانش‌آموزان فراهم شود تا در پروژه‌های مشارکتی، یادگیری خود را در اختیار بگیرند و استقلال و خود هدایتی را تقویت کنند.")</f>
        <v>راه‌هایی را بررسی کنید تا فرصت‌هایی برای دانش‌آموزان فراهم شود تا در پروژه‌های مشارکتی، یادگیری خود را در اختیار بگیرند و استقلال و خود هدایتی را تقویت کنند.</v>
      </c>
      <c r="H8601" s="1"/>
      <c r="I8601" s="1"/>
      <c r="J8601" s="1"/>
      <c r="K8601" s="1"/>
      <c r="L8601" s="1"/>
      <c r="M8601" s="1"/>
      <c r="N8601" s="1"/>
      <c r="O8601" s="1"/>
      <c r="P8601" s="1"/>
      <c r="Q8601" s="1"/>
      <c r="R8601" s="1"/>
      <c r="S8601" s="1"/>
      <c r="T8601" s="1"/>
      <c r="U8601" s="1"/>
      <c r="V8601" s="1"/>
      <c r="W8601" s="1"/>
      <c r="X8601" s="1"/>
      <c r="Y8601" s="1"/>
      <c r="Z8601" s="1"/>
      <c r="AA8601" s="1"/>
      <c r="AB8601" s="1"/>
    </row>
    <row r="8602" ht="50.25" customHeight="1">
      <c r="A8602" s="12">
        <v>8598.0</v>
      </c>
      <c r="B8602" s="13" t="s">
        <v>7680</v>
      </c>
      <c r="C8602" s="18" t="s">
        <v>8627</v>
      </c>
      <c r="D8602" s="1"/>
      <c r="E8602" s="1"/>
      <c r="F8602" s="1" t="str">
        <f>IFERROR(__xludf.DUMMYFUNCTION("GOOGLETRANSLATE(B8602, ""en"", ""fa"")
"),"درخواست برای معلمان")</f>
        <v>درخواست برای معلمان</v>
      </c>
      <c r="G8602" s="1" t="str">
        <f>IFERROR(__xludf.DUMMYFUNCTION("GOOGLETRANSLATE(C8602, ""en"", ""fa"")
"),"در مورد مزایای یادگیری در فضای باز و تجربی در ارتقاء مشارکت دانش‌آموز و تعمیق درک بحث کنید.")</f>
        <v>در مورد مزایای یادگیری در فضای باز و تجربی در ارتقاء مشارکت دانش‌آموز و تعمیق درک بحث کنید.</v>
      </c>
      <c r="H8602" s="1"/>
      <c r="I8602" s="1"/>
      <c r="J8602" s="1"/>
      <c r="K8602" s="1"/>
      <c r="L8602" s="1"/>
      <c r="M8602" s="1"/>
      <c r="N8602" s="1"/>
      <c r="O8602" s="1"/>
      <c r="P8602" s="1"/>
      <c r="Q8602" s="1"/>
      <c r="R8602" s="1"/>
      <c r="S8602" s="1"/>
      <c r="T8602" s="1"/>
      <c r="U8602" s="1"/>
      <c r="V8602" s="1"/>
      <c r="W8602" s="1"/>
      <c r="X8602" s="1"/>
      <c r="Y8602" s="1"/>
      <c r="Z8602" s="1"/>
      <c r="AA8602" s="1"/>
      <c r="AB8602" s="1"/>
    </row>
    <row r="8603" ht="50.25" customHeight="1">
      <c r="A8603" s="12">
        <v>8599.0</v>
      </c>
      <c r="B8603" s="13" t="s">
        <v>7680</v>
      </c>
      <c r="C8603" s="18" t="s">
        <v>8628</v>
      </c>
      <c r="D8603" s="1"/>
      <c r="E8603" s="1"/>
      <c r="F8603" s="1" t="str">
        <f>IFERROR(__xludf.DUMMYFUNCTION("GOOGLETRANSLATE(B8603, ""en"", ""fa"")
"),"درخواست برای معلمان")</f>
        <v>درخواست برای معلمان</v>
      </c>
      <c r="G8603" s="1" t="str">
        <f>IFERROR(__xludf.DUMMYFUNCTION("GOOGLETRANSLATE(C8603, ""en"", ""fa"")
"),"تجربیات خود را در استفاده از پیاده روی در طبیعت یا سفرهای صحرایی برای ارتباط یادگیری کلاس درس با تجربیات دنیای واقعی به اشتراک بگذارید.")</f>
        <v>تجربیات خود را در استفاده از پیاده روی در طبیعت یا سفرهای صحرایی برای ارتباط یادگیری کلاس درس با تجربیات دنیای واقعی به اشتراک بگذارید.</v>
      </c>
      <c r="H8603" s="1"/>
      <c r="I8603" s="1"/>
      <c r="J8603" s="1"/>
      <c r="K8603" s="1"/>
      <c r="L8603" s="1"/>
      <c r="M8603" s="1"/>
      <c r="N8603" s="1"/>
      <c r="O8603" s="1"/>
      <c r="P8603" s="1"/>
      <c r="Q8603" s="1"/>
      <c r="R8603" s="1"/>
      <c r="S8603" s="1"/>
      <c r="T8603" s="1"/>
      <c r="U8603" s="1"/>
      <c r="V8603" s="1"/>
      <c r="W8603" s="1"/>
      <c r="X8603" s="1"/>
      <c r="Y8603" s="1"/>
      <c r="Z8603" s="1"/>
      <c r="AA8603" s="1"/>
      <c r="AB8603" s="1"/>
    </row>
    <row r="8604" ht="50.25" customHeight="1">
      <c r="A8604" s="12">
        <v>8600.0</v>
      </c>
      <c r="B8604" s="13" t="s">
        <v>7680</v>
      </c>
      <c r="C8604" s="18" t="s">
        <v>8629</v>
      </c>
      <c r="D8604" s="1"/>
      <c r="E8604" s="1"/>
      <c r="F8604" s="1" t="str">
        <f>IFERROR(__xludf.DUMMYFUNCTION("GOOGLETRANSLATE(B8604, ""en"", ""fa"")
"),"درخواست برای معلمان")</f>
        <v>درخواست برای معلمان</v>
      </c>
      <c r="G8604" s="1" t="str">
        <f>IFERROR(__xludf.DUMMYFUNCTION("GOOGLETRANSLATE(C8604, ""en"", ""fa"")
"),"راه‌هایی را برای ترکیب آزمایش‌ها و تحقیقات عملی در محیط‌های بیرونی برای تقویت کنجکاوی و تحقیقات علمی کاوش کنید.")</f>
        <v>راه‌هایی را برای ترکیب آزمایش‌ها و تحقیقات عملی در محیط‌های بیرونی برای تقویت کنجکاوی و تحقیقات علمی کاوش کنید.</v>
      </c>
      <c r="H8604" s="1"/>
      <c r="I8604" s="1"/>
      <c r="J8604" s="1"/>
      <c r="K8604" s="1"/>
      <c r="L8604" s="1"/>
      <c r="M8604" s="1"/>
      <c r="N8604" s="1"/>
      <c r="O8604" s="1"/>
      <c r="P8604" s="1"/>
      <c r="Q8604" s="1"/>
      <c r="R8604" s="1"/>
      <c r="S8604" s="1"/>
      <c r="T8604" s="1"/>
      <c r="U8604" s="1"/>
      <c r="V8604" s="1"/>
      <c r="W8604" s="1"/>
      <c r="X8604" s="1"/>
      <c r="Y8604" s="1"/>
      <c r="Z8604" s="1"/>
      <c r="AA8604" s="1"/>
      <c r="AB8604" s="1"/>
    </row>
    <row r="8605" ht="50.25" customHeight="1">
      <c r="A8605" s="12">
        <v>8601.0</v>
      </c>
      <c r="B8605" s="13" t="s">
        <v>7680</v>
      </c>
      <c r="C8605" s="18" t="s">
        <v>8630</v>
      </c>
      <c r="D8605" s="1"/>
      <c r="E8605" s="1"/>
      <c r="F8605" s="1" t="str">
        <f>IFERROR(__xludf.DUMMYFUNCTION("GOOGLETRANSLATE(B8605, ""en"", ""fa"")
"),"درخواست برای معلمان")</f>
        <v>درخواست برای معلمان</v>
      </c>
      <c r="G8605" s="1" t="str">
        <f>IFERROR(__xludf.DUMMYFUNCTION("GOOGLETRANSLATE(C8605, ""en"", ""fa"")
"),"در مورد نقش آموزش در فضای باز و محیط زیست در ترویج سواد زیست محیطی و شیوه های پایدار بحث کنید.")</f>
        <v>در مورد نقش آموزش در فضای باز و محیط زیست در ترویج سواد زیست محیطی و شیوه های پایدار بحث کنید.</v>
      </c>
      <c r="H8605" s="1"/>
      <c r="I8605" s="1"/>
      <c r="J8605" s="1"/>
      <c r="K8605" s="1"/>
      <c r="L8605" s="1"/>
      <c r="M8605" s="1"/>
      <c r="N8605" s="1"/>
      <c r="O8605" s="1"/>
      <c r="P8605" s="1"/>
      <c r="Q8605" s="1"/>
      <c r="R8605" s="1"/>
      <c r="S8605" s="1"/>
      <c r="T8605" s="1"/>
      <c r="U8605" s="1"/>
      <c r="V8605" s="1"/>
      <c r="W8605" s="1"/>
      <c r="X8605" s="1"/>
      <c r="Y8605" s="1"/>
      <c r="Z8605" s="1"/>
      <c r="AA8605" s="1"/>
      <c r="AB8605" s="1"/>
    </row>
    <row r="8606" ht="50.25" customHeight="1">
      <c r="A8606" s="12">
        <v>8602.0</v>
      </c>
      <c r="B8606" s="13" t="s">
        <v>7680</v>
      </c>
      <c r="C8606" s="18" t="s">
        <v>8631</v>
      </c>
      <c r="D8606" s="1"/>
      <c r="E8606" s="1"/>
      <c r="F8606" s="1" t="str">
        <f>IFERROR(__xludf.DUMMYFUNCTION("GOOGLETRANSLATE(B8606, ""en"", ""fa"")
"),"درخواست برای معلمان")</f>
        <v>درخواست برای معلمان</v>
      </c>
      <c r="G8606" s="1" t="str">
        <f>IFERROR(__xludf.DUMMYFUNCTION("GOOGLETRANSLATE(C8606, ""en"", ""fa"")
"),"بینش خود را در مورد استفاده از فضاهای یادگیری در فضای باز، مانند باغ ها یا ذخایر طبیعی، برای ایجاد تجربیات یادگیری فراگیر به اشتراک بگذارید.")</f>
        <v>بینش خود را در مورد استفاده از فضاهای یادگیری در فضای باز، مانند باغ ها یا ذخایر طبیعی، برای ایجاد تجربیات یادگیری فراگیر به اشتراک بگذارید.</v>
      </c>
      <c r="H8606" s="1"/>
      <c r="I8606" s="1"/>
      <c r="J8606" s="1"/>
      <c r="K8606" s="1"/>
      <c r="L8606" s="1"/>
      <c r="M8606" s="1"/>
      <c r="N8606" s="1"/>
      <c r="O8606" s="1"/>
      <c r="P8606" s="1"/>
      <c r="Q8606" s="1"/>
      <c r="R8606" s="1"/>
      <c r="S8606" s="1"/>
      <c r="T8606" s="1"/>
      <c r="U8606" s="1"/>
      <c r="V8606" s="1"/>
      <c r="W8606" s="1"/>
      <c r="X8606" s="1"/>
      <c r="Y8606" s="1"/>
      <c r="Z8606" s="1"/>
      <c r="AA8606" s="1"/>
      <c r="AB8606" s="1"/>
    </row>
    <row r="8607" ht="50.25" customHeight="1">
      <c r="A8607" s="12">
        <v>8603.0</v>
      </c>
      <c r="B8607" s="13" t="s">
        <v>7680</v>
      </c>
      <c r="C8607" s="18" t="s">
        <v>8632</v>
      </c>
      <c r="D8607" s="1"/>
      <c r="E8607" s="1"/>
      <c r="F8607" s="1" t="str">
        <f>IFERROR(__xludf.DUMMYFUNCTION("GOOGLETRANSLATE(B8607, ""en"", ""fa"")
"),"درخواست برای معلمان")</f>
        <v>درخواست برای معلمان</v>
      </c>
      <c r="G8607" s="1" t="str">
        <f>IFERROR(__xludf.DUMMYFUNCTION("GOOGLETRANSLATE(C8607, ""en"", ""fa"")
"),"استراتژی‌هایی را برای ادغام ابزارهای فناوری، مانند برنامه‌های جمع‌آوری داده یا واقعیت افزوده، در فعالیت‌های یادگیری در فضای باز و تجربی کاوش کنید.")</f>
        <v>استراتژی‌هایی را برای ادغام ابزارهای فناوری، مانند برنامه‌های جمع‌آوری داده یا واقعیت افزوده، در فعالیت‌های یادگیری در فضای باز و تجربی کاوش کنید.</v>
      </c>
      <c r="H8607" s="1"/>
      <c r="I8607" s="1"/>
      <c r="J8607" s="1"/>
      <c r="K8607" s="1"/>
      <c r="L8607" s="1"/>
      <c r="M8607" s="1"/>
      <c r="N8607" s="1"/>
      <c r="O8607" s="1"/>
      <c r="P8607" s="1"/>
      <c r="Q8607" s="1"/>
      <c r="R8607" s="1"/>
      <c r="S8607" s="1"/>
      <c r="T8607" s="1"/>
      <c r="U8607" s="1"/>
      <c r="V8607" s="1"/>
      <c r="W8607" s="1"/>
      <c r="X8607" s="1"/>
      <c r="Y8607" s="1"/>
      <c r="Z8607" s="1"/>
      <c r="AA8607" s="1"/>
      <c r="AB8607" s="1"/>
    </row>
    <row r="8608" ht="50.25" customHeight="1">
      <c r="A8608" s="12">
        <v>8604.0</v>
      </c>
      <c r="B8608" s="13" t="s">
        <v>7680</v>
      </c>
      <c r="C8608" s="18" t="s">
        <v>8633</v>
      </c>
      <c r="D8608" s="1"/>
      <c r="E8608" s="1"/>
      <c r="F8608" s="1" t="str">
        <f>IFERROR(__xludf.DUMMYFUNCTION("GOOGLETRANSLATE(B8608, ""en"", ""fa"")
"),"درخواست برای معلمان")</f>
        <v>درخواست برای معلمان</v>
      </c>
      <c r="G8608" s="1" t="str">
        <f>IFERROR(__xludf.DUMMYFUNCTION("GOOGLETRANSLATE(C8608, ""en"", ""fa"")
"),"در مورد اهمیت ترویج ریسک پذیری و انعطاف پذیری در تجربیات یادگیری در فضای باز برای تقویت رشد و توسعه شخصی بحث کنید.")</f>
        <v>در مورد اهمیت ترویج ریسک پذیری و انعطاف پذیری در تجربیات یادگیری در فضای باز برای تقویت رشد و توسعه شخصی بحث کنید.</v>
      </c>
      <c r="H8608" s="1"/>
      <c r="I8608" s="1"/>
      <c r="J8608" s="1"/>
      <c r="K8608" s="1"/>
      <c r="L8608" s="1"/>
      <c r="M8608" s="1"/>
      <c r="N8608" s="1"/>
      <c r="O8608" s="1"/>
      <c r="P8608" s="1"/>
      <c r="Q8608" s="1"/>
      <c r="R8608" s="1"/>
      <c r="S8608" s="1"/>
      <c r="T8608" s="1"/>
      <c r="U8608" s="1"/>
      <c r="V8608" s="1"/>
      <c r="W8608" s="1"/>
      <c r="X8608" s="1"/>
      <c r="Y8608" s="1"/>
      <c r="Z8608" s="1"/>
      <c r="AA8608" s="1"/>
      <c r="AB8608" s="1"/>
    </row>
    <row r="8609" ht="50.25" customHeight="1">
      <c r="A8609" s="12">
        <v>8605.0</v>
      </c>
      <c r="B8609" s="13" t="s">
        <v>7680</v>
      </c>
      <c r="C8609" s="18" t="s">
        <v>8634</v>
      </c>
      <c r="D8609" s="1"/>
      <c r="E8609" s="1"/>
      <c r="F8609" s="1" t="str">
        <f>IFERROR(__xludf.DUMMYFUNCTION("GOOGLETRANSLATE(B8609, ""en"", ""fa"")
"),"درخواست برای معلمان")</f>
        <v>درخواست برای معلمان</v>
      </c>
      <c r="G8609" s="1" t="str">
        <f>IFERROR(__xludf.DUMMYFUNCTION("GOOGLETRANSLATE(C8609, ""en"", ""fa"")
"),"تجربیات خود را در مورد استفاده از فعالیت های تیم سازی در فضای باز برای توسعه همکاری و مهارت های حل مسئله در بین دانش آموزان به اشتراک بگذارید.")</f>
        <v>تجربیات خود را در مورد استفاده از فعالیت های تیم سازی در فضای باز برای توسعه همکاری و مهارت های حل مسئله در بین دانش آموزان به اشتراک بگذارید.</v>
      </c>
      <c r="H8609" s="1"/>
      <c r="I8609" s="1"/>
      <c r="J8609" s="1"/>
      <c r="K8609" s="1"/>
      <c r="L8609" s="1"/>
      <c r="M8609" s="1"/>
      <c r="N8609" s="1"/>
      <c r="O8609" s="1"/>
      <c r="P8609" s="1"/>
      <c r="Q8609" s="1"/>
      <c r="R8609" s="1"/>
      <c r="S8609" s="1"/>
      <c r="T8609" s="1"/>
      <c r="U8609" s="1"/>
      <c r="V8609" s="1"/>
      <c r="W8609" s="1"/>
      <c r="X8609" s="1"/>
      <c r="Y8609" s="1"/>
      <c r="Z8609" s="1"/>
      <c r="AA8609" s="1"/>
      <c r="AB8609" s="1"/>
    </row>
    <row r="8610" ht="50.25" customHeight="1">
      <c r="A8610" s="12">
        <v>8606.0</v>
      </c>
      <c r="B8610" s="13" t="s">
        <v>7680</v>
      </c>
      <c r="C8610" s="18" t="s">
        <v>8635</v>
      </c>
      <c r="D8610" s="1"/>
      <c r="E8610" s="1"/>
      <c r="F8610" s="1" t="str">
        <f>IFERROR(__xludf.DUMMYFUNCTION("GOOGLETRANSLATE(B8610, ""en"", ""fa"")
"),"درخواست برای معلمان")</f>
        <v>درخواست برای معلمان</v>
      </c>
      <c r="G8610" s="1" t="str">
        <f>IFERROR(__xludf.DUMMYFUNCTION("GOOGLETRANSLATE(C8610, ""en"", ""fa"")
"),"راه‌هایی را برای ترکیب هنر و بیان خلاق در یادگیری در فضای باز، مانند آثار هنری الهام‌گرفته از طبیعت یا اجراهای خارج از منزل، کاوش کنید.")</f>
        <v>راه‌هایی را برای ترکیب هنر و بیان خلاق در یادگیری در فضای باز، مانند آثار هنری الهام‌گرفته از طبیعت یا اجراهای خارج از منزل، کاوش کنید.</v>
      </c>
      <c r="H8610" s="1"/>
      <c r="I8610" s="1"/>
      <c r="J8610" s="1"/>
      <c r="K8610" s="1"/>
      <c r="L8610" s="1"/>
      <c r="M8610" s="1"/>
      <c r="N8610" s="1"/>
      <c r="O8610" s="1"/>
      <c r="P8610" s="1"/>
      <c r="Q8610" s="1"/>
      <c r="R8610" s="1"/>
      <c r="S8610" s="1"/>
      <c r="T8610" s="1"/>
      <c r="U8610" s="1"/>
      <c r="V8610" s="1"/>
      <c r="W8610" s="1"/>
      <c r="X8610" s="1"/>
      <c r="Y8610" s="1"/>
      <c r="Z8610" s="1"/>
      <c r="AA8610" s="1"/>
      <c r="AB8610" s="1"/>
    </row>
    <row r="8611" ht="50.25" customHeight="1">
      <c r="A8611" s="12">
        <v>8607.0</v>
      </c>
      <c r="B8611" s="13" t="s">
        <v>7680</v>
      </c>
      <c r="C8611" s="18" t="s">
        <v>8636</v>
      </c>
      <c r="D8611" s="1"/>
      <c r="E8611" s="1"/>
      <c r="F8611" s="1" t="str">
        <f>IFERROR(__xludf.DUMMYFUNCTION("GOOGLETRANSLATE(B8611, ""en"", ""fa"")
"),"درخواست برای معلمان")</f>
        <v>درخواست برای معلمان</v>
      </c>
      <c r="G8611" s="1" t="str">
        <f>IFERROR(__xludf.DUMMYFUNCTION("GOOGLETRANSLATE(C8611, ""en"", ""fa"")
"),"درباره تأثیر گنجاندن فعالیت‌های تأمل و یادداشت روزانه در یادگیری در فضای باز برای تعمیق ارتباط دانش‌آموز با طبیعت بحث کنید.")</f>
        <v>درباره تأثیر گنجاندن فعالیت‌های تأمل و یادداشت روزانه در یادگیری در فضای باز برای تعمیق ارتباط دانش‌آموز با طبیعت بحث کنید.</v>
      </c>
      <c r="H8611" s="1"/>
      <c r="I8611" s="1"/>
      <c r="J8611" s="1"/>
      <c r="K8611" s="1"/>
      <c r="L8611" s="1"/>
      <c r="M8611" s="1"/>
      <c r="N8611" s="1"/>
      <c r="O8611" s="1"/>
      <c r="P8611" s="1"/>
      <c r="Q8611" s="1"/>
      <c r="R8611" s="1"/>
      <c r="S8611" s="1"/>
      <c r="T8611" s="1"/>
      <c r="U8611" s="1"/>
      <c r="V8611" s="1"/>
      <c r="W8611" s="1"/>
      <c r="X8611" s="1"/>
      <c r="Y8611" s="1"/>
      <c r="Z8611" s="1"/>
      <c r="AA8611" s="1"/>
      <c r="AB8611" s="1"/>
    </row>
    <row r="8612" ht="50.25" customHeight="1">
      <c r="A8612" s="12">
        <v>8608.0</v>
      </c>
      <c r="B8612" s="13" t="s">
        <v>7680</v>
      </c>
      <c r="C8612" s="18" t="s">
        <v>8637</v>
      </c>
      <c r="D8612" s="1"/>
      <c r="E8612" s="1"/>
      <c r="F8612" s="1" t="str">
        <f>IFERROR(__xludf.DUMMYFUNCTION("GOOGLETRANSLATE(B8612, ""en"", ""fa"")
"),"درخواست برای معلمان")</f>
        <v>درخواست برای معلمان</v>
      </c>
      <c r="G8612" s="1" t="str">
        <f>IFERROR(__xludf.DUMMYFUNCTION("GOOGLETRANSLATE(C8612, ""en"", ""fa"")
"),"بینش خود را در مورد استفاده از یادگیری در فضای باز برای ارتقاء آگاهی فرهنگی و درک جوامع و محیط های مختلف به اشتراک بگذارید.")</f>
        <v>بینش خود را در مورد استفاده از یادگیری در فضای باز برای ارتقاء آگاهی فرهنگی و درک جوامع و محیط های مختلف به اشتراک بگذارید.</v>
      </c>
      <c r="H8612" s="1"/>
      <c r="I8612" s="1"/>
      <c r="J8612" s="1"/>
      <c r="K8612" s="1"/>
      <c r="L8612" s="1"/>
      <c r="M8612" s="1"/>
      <c r="N8612" s="1"/>
      <c r="O8612" s="1"/>
      <c r="P8612" s="1"/>
      <c r="Q8612" s="1"/>
      <c r="R8612" s="1"/>
      <c r="S8612" s="1"/>
      <c r="T8612" s="1"/>
      <c r="U8612" s="1"/>
      <c r="V8612" s="1"/>
      <c r="W8612" s="1"/>
      <c r="X8612" s="1"/>
      <c r="Y8612" s="1"/>
      <c r="Z8612" s="1"/>
      <c r="AA8612" s="1"/>
      <c r="AB8612" s="1"/>
    </row>
    <row r="8613" ht="50.25" customHeight="1">
      <c r="A8613" s="12">
        <v>8609.0</v>
      </c>
      <c r="B8613" s="13" t="s">
        <v>7680</v>
      </c>
      <c r="C8613" s="18" t="s">
        <v>8638</v>
      </c>
      <c r="D8613" s="1"/>
      <c r="E8613" s="1"/>
      <c r="F8613" s="1" t="str">
        <f>IFERROR(__xludf.DUMMYFUNCTION("GOOGLETRANSLATE(B8613, ""en"", ""fa"")
"),"درخواست برای معلمان")</f>
        <v>درخواست برای معلمان</v>
      </c>
      <c r="G8613" s="1" t="str">
        <f>IFERROR(__xludf.DUMMYFUNCTION("GOOGLETRANSLATE(C8613, ""en"", ""fa"")
"),"استراتژی‌هایی را برای ترکیب تمرین‌های تمرکز حواس و تأمل در محیط‌های بیرونی برای افزایش رفاه و خودآگاهی دانش‌آموز بررسی کنید.")</f>
        <v>استراتژی‌هایی را برای ترکیب تمرین‌های تمرکز حواس و تأمل در محیط‌های بیرونی برای افزایش رفاه و خودآگاهی دانش‌آموز بررسی کنید.</v>
      </c>
      <c r="H8613" s="1"/>
      <c r="I8613" s="1"/>
      <c r="J8613" s="1"/>
      <c r="K8613" s="1"/>
      <c r="L8613" s="1"/>
      <c r="M8613" s="1"/>
      <c r="N8613" s="1"/>
      <c r="O8613" s="1"/>
      <c r="P8613" s="1"/>
      <c r="Q8613" s="1"/>
      <c r="R8613" s="1"/>
      <c r="S8613" s="1"/>
      <c r="T8613" s="1"/>
      <c r="U8613" s="1"/>
      <c r="V8613" s="1"/>
      <c r="W8613" s="1"/>
      <c r="X8613" s="1"/>
      <c r="Y8613" s="1"/>
      <c r="Z8613" s="1"/>
      <c r="AA8613" s="1"/>
      <c r="AB8613" s="1"/>
    </row>
    <row r="8614" ht="50.25" customHeight="1">
      <c r="A8614" s="12">
        <v>8610.0</v>
      </c>
      <c r="B8614" s="13" t="s">
        <v>7680</v>
      </c>
      <c r="C8614" s="18" t="s">
        <v>8639</v>
      </c>
      <c r="D8614" s="1"/>
      <c r="E8614" s="1"/>
      <c r="F8614" s="1" t="str">
        <f>IFERROR(__xludf.DUMMYFUNCTION("GOOGLETRANSLATE(B8614, ""en"", ""fa"")
"),"درخواست برای معلمان")</f>
        <v>درخواست برای معلمان</v>
      </c>
      <c r="G8614" s="1" t="str">
        <f>IFERROR(__xludf.DUMMYFUNCTION("GOOGLETRANSLATE(C8614, ""en"", ""fa"")
"),"در مورد نقش مشارکت های اجتماعی و منابع محلی در غنی سازی تجربیات یادگیری در فضای باز برای دانش آموزان بحث کنید.")</f>
        <v>در مورد نقش مشارکت های اجتماعی و منابع محلی در غنی سازی تجربیات یادگیری در فضای باز برای دانش آموزان بحث کنید.</v>
      </c>
      <c r="H8614" s="1"/>
      <c r="I8614" s="1"/>
      <c r="J8614" s="1"/>
      <c r="K8614" s="1"/>
      <c r="L8614" s="1"/>
      <c r="M8614" s="1"/>
      <c r="N8614" s="1"/>
      <c r="O8614" s="1"/>
      <c r="P8614" s="1"/>
      <c r="Q8614" s="1"/>
      <c r="R8614" s="1"/>
      <c r="S8614" s="1"/>
      <c r="T8614" s="1"/>
      <c r="U8614" s="1"/>
      <c r="V8614" s="1"/>
      <c r="W8614" s="1"/>
      <c r="X8614" s="1"/>
      <c r="Y8614" s="1"/>
      <c r="Z8614" s="1"/>
      <c r="AA8614" s="1"/>
      <c r="AB8614" s="1"/>
    </row>
    <row r="8615" ht="50.25" customHeight="1">
      <c r="A8615" s="12">
        <v>8611.0</v>
      </c>
      <c r="B8615" s="13" t="s">
        <v>7680</v>
      </c>
      <c r="C8615" s="18" t="s">
        <v>8640</v>
      </c>
      <c r="D8615" s="1"/>
      <c r="E8615" s="1"/>
      <c r="F8615" s="1" t="str">
        <f>IFERROR(__xludf.DUMMYFUNCTION("GOOGLETRANSLATE(B8615, ""en"", ""fa"")
"),"درخواست برای معلمان")</f>
        <v>درخواست برای معلمان</v>
      </c>
      <c r="G8615" s="1" t="str">
        <f>IFERROR(__xludf.DUMMYFUNCTION("GOOGLETRANSLATE(C8615, ""en"", ""fa"")
"),"تجربیات خود را در مورد استفاده از رویکردهای آموزش مبتنی بر مکان برای ارتباط دانش آموزان با میراث طبیعی و فرهنگی منطقه محلی خود به اشتراک بگذارید.")</f>
        <v>تجربیات خود را در مورد استفاده از رویکردهای آموزش مبتنی بر مکان برای ارتباط دانش آموزان با میراث طبیعی و فرهنگی منطقه محلی خود به اشتراک بگذارید.</v>
      </c>
      <c r="H8615" s="1"/>
      <c r="I8615" s="1"/>
      <c r="J8615" s="1"/>
      <c r="K8615" s="1"/>
      <c r="L8615" s="1"/>
      <c r="M8615" s="1"/>
      <c r="N8615" s="1"/>
      <c r="O8615" s="1"/>
      <c r="P8615" s="1"/>
      <c r="Q8615" s="1"/>
      <c r="R8615" s="1"/>
      <c r="S8615" s="1"/>
      <c r="T8615" s="1"/>
      <c r="U8615" s="1"/>
      <c r="V8615" s="1"/>
      <c r="W8615" s="1"/>
      <c r="X8615" s="1"/>
      <c r="Y8615" s="1"/>
      <c r="Z8615" s="1"/>
      <c r="AA8615" s="1"/>
      <c r="AB8615" s="1"/>
    </row>
    <row r="8616" ht="50.25" customHeight="1">
      <c r="A8616" s="12">
        <v>8612.0</v>
      </c>
      <c r="B8616" s="13" t="s">
        <v>7680</v>
      </c>
      <c r="C8616" s="18" t="s">
        <v>8641</v>
      </c>
      <c r="D8616" s="1"/>
      <c r="E8616" s="1"/>
      <c r="F8616" s="1" t="str">
        <f>IFERROR(__xludf.DUMMYFUNCTION("GOOGLETRANSLATE(B8616, ""en"", ""fa"")
"),"درخواست برای معلمان")</f>
        <v>درخواست برای معلمان</v>
      </c>
      <c r="G8616" s="1" t="str">
        <f>IFERROR(__xludf.DUMMYFUNCTION("GOOGLETRANSLATE(C8616, ""en"", ""fa"")
"),"راه‌هایی را برای ادغام یادگیری بین‌رشته‌ای در تجربیات فضای باز کاوش کنید و به دانش‌آموزان اجازه می‌دهد تا بین موضوعات مختلف ارتباط برقرار کنند.")</f>
        <v>راه‌هایی را برای ادغام یادگیری بین‌رشته‌ای در تجربیات فضای باز کاوش کنید و به دانش‌آموزان اجازه می‌دهد تا بین موضوعات مختلف ارتباط برقرار کنند.</v>
      </c>
      <c r="H8616" s="1"/>
      <c r="I8616" s="1"/>
      <c r="J8616" s="1"/>
      <c r="K8616" s="1"/>
      <c r="L8616" s="1"/>
      <c r="M8616" s="1"/>
      <c r="N8616" s="1"/>
      <c r="O8616" s="1"/>
      <c r="P8616" s="1"/>
      <c r="Q8616" s="1"/>
      <c r="R8616" s="1"/>
      <c r="S8616" s="1"/>
      <c r="T8616" s="1"/>
      <c r="U8616" s="1"/>
      <c r="V8616" s="1"/>
      <c r="W8616" s="1"/>
      <c r="X8616" s="1"/>
      <c r="Y8616" s="1"/>
      <c r="Z8616" s="1"/>
      <c r="AA8616" s="1"/>
      <c r="AB8616" s="1"/>
    </row>
    <row r="8617" ht="50.25" customHeight="1">
      <c r="A8617" s="12">
        <v>8613.0</v>
      </c>
      <c r="B8617" s="13" t="s">
        <v>7680</v>
      </c>
      <c r="C8617" s="18" t="s">
        <v>8642</v>
      </c>
      <c r="D8617" s="1"/>
      <c r="E8617" s="1"/>
      <c r="F8617" s="1" t="str">
        <f>IFERROR(__xludf.DUMMYFUNCTION("GOOGLETRANSLATE(B8617, ""en"", ""fa"")
"),"درخواست برای معلمان")</f>
        <v>درخواست برای معلمان</v>
      </c>
      <c r="G8617" s="1" t="str">
        <f>IFERROR(__xludf.DUMMYFUNCTION("GOOGLETRANSLATE(C8617, ""en"", ""fa"")
"),"در مورد اهمیت پروتکل های ایمنی و استراتژی های مدیریت ریسک در محیط های یادگیری در فضای باز و تجربی بحث کنید.")</f>
        <v>در مورد اهمیت پروتکل های ایمنی و استراتژی های مدیریت ریسک در محیط های یادگیری در فضای باز و تجربی بحث کنید.</v>
      </c>
      <c r="H8617" s="1"/>
      <c r="I8617" s="1"/>
      <c r="J8617" s="1"/>
      <c r="K8617" s="1"/>
      <c r="L8617" s="1"/>
      <c r="M8617" s="1"/>
      <c r="N8617" s="1"/>
      <c r="O8617" s="1"/>
      <c r="P8617" s="1"/>
      <c r="Q8617" s="1"/>
      <c r="R8617" s="1"/>
      <c r="S8617" s="1"/>
      <c r="T8617" s="1"/>
      <c r="U8617" s="1"/>
      <c r="V8617" s="1"/>
      <c r="W8617" s="1"/>
      <c r="X8617" s="1"/>
      <c r="Y8617" s="1"/>
      <c r="Z8617" s="1"/>
      <c r="AA8617" s="1"/>
      <c r="AB8617" s="1"/>
    </row>
    <row r="8618" ht="50.25" customHeight="1">
      <c r="A8618" s="12">
        <v>8614.0</v>
      </c>
      <c r="B8618" s="13" t="s">
        <v>7680</v>
      </c>
      <c r="C8618" s="18" t="s">
        <v>8643</v>
      </c>
      <c r="D8618" s="1"/>
      <c r="E8618" s="1"/>
      <c r="F8618" s="1" t="str">
        <f>IFERROR(__xludf.DUMMYFUNCTION("GOOGLETRANSLATE(B8618, ""en"", ""fa"")
"),"درخواست برای معلمان")</f>
        <v>درخواست برای معلمان</v>
      </c>
      <c r="G8618" s="1" t="str">
        <f>IFERROR(__xludf.DUMMYFUNCTION("GOOGLETRANSLATE(C8618, ""en"", ""fa"")
"),"بینش خود را در مورد استفاده از چالش ها یا دوره های موانع در فضای باز برای ترویج حل مسئله و پشتکار در بین دانش آموزان به اشتراک بگذارید.")</f>
        <v>بینش خود را در مورد استفاده از چالش ها یا دوره های موانع در فضای باز برای ترویج حل مسئله و پشتکار در بین دانش آموزان به اشتراک بگذارید.</v>
      </c>
      <c r="H8618" s="1"/>
      <c r="I8618" s="1"/>
      <c r="J8618" s="1"/>
      <c r="K8618" s="1"/>
      <c r="L8618" s="1"/>
      <c r="M8618" s="1"/>
      <c r="N8618" s="1"/>
      <c r="O8618" s="1"/>
      <c r="P8618" s="1"/>
      <c r="Q8618" s="1"/>
      <c r="R8618" s="1"/>
      <c r="S8618" s="1"/>
      <c r="T8618" s="1"/>
      <c r="U8618" s="1"/>
      <c r="V8618" s="1"/>
      <c r="W8618" s="1"/>
      <c r="X8618" s="1"/>
      <c r="Y8618" s="1"/>
      <c r="Z8618" s="1"/>
      <c r="AA8618" s="1"/>
      <c r="AB8618" s="1"/>
    </row>
    <row r="8619" ht="50.25" customHeight="1">
      <c r="A8619" s="12">
        <v>8615.0</v>
      </c>
      <c r="B8619" s="13" t="s">
        <v>7680</v>
      </c>
      <c r="C8619" s="18" t="s">
        <v>8644</v>
      </c>
      <c r="D8619" s="1"/>
      <c r="E8619" s="1"/>
      <c r="F8619" s="1" t="str">
        <f>IFERROR(__xludf.DUMMYFUNCTION("GOOGLETRANSLATE(B8619, ""en"", ""fa"")
"),"درخواست برای معلمان")</f>
        <v>درخواست برای معلمان</v>
      </c>
      <c r="G8619" s="1" t="str">
        <f>IFERROR(__xludf.DUMMYFUNCTION("GOOGLETRANSLATE(C8619, ""en"", ""fa"")
"),"استراتژی‌هایی را برای گنجاندن پروژه‌های علمی شهروندی در یادگیری در فضای باز، توانمندسازی دانش‌آموزان برای مشارکت در تحقیقات علمی بررسی کنید.")</f>
        <v>استراتژی‌هایی را برای گنجاندن پروژه‌های علمی شهروندی در یادگیری در فضای باز، توانمندسازی دانش‌آموزان برای مشارکت در تحقیقات علمی بررسی کنید.</v>
      </c>
      <c r="H8619" s="1"/>
      <c r="I8619" s="1"/>
      <c r="J8619" s="1"/>
      <c r="K8619" s="1"/>
      <c r="L8619" s="1"/>
      <c r="M8619" s="1"/>
      <c r="N8619" s="1"/>
      <c r="O8619" s="1"/>
      <c r="P8619" s="1"/>
      <c r="Q8619" s="1"/>
      <c r="R8619" s="1"/>
      <c r="S8619" s="1"/>
      <c r="T8619" s="1"/>
      <c r="U8619" s="1"/>
      <c r="V8619" s="1"/>
      <c r="W8619" s="1"/>
      <c r="X8619" s="1"/>
      <c r="Y8619" s="1"/>
      <c r="Z8619" s="1"/>
      <c r="AA8619" s="1"/>
      <c r="AB8619" s="1"/>
    </row>
    <row r="8620" ht="50.25" customHeight="1">
      <c r="A8620" s="12">
        <v>8616.0</v>
      </c>
      <c r="B8620" s="13" t="s">
        <v>7680</v>
      </c>
      <c r="C8620" s="18" t="s">
        <v>8645</v>
      </c>
      <c r="D8620" s="1"/>
      <c r="E8620" s="1"/>
      <c r="F8620" s="1" t="str">
        <f>IFERROR(__xludf.DUMMYFUNCTION("GOOGLETRANSLATE(B8620, ""en"", ""fa"")
"),"درخواست برای معلمان")</f>
        <v>درخواست برای معلمان</v>
      </c>
      <c r="G8620" s="1" t="str">
        <f>IFERROR(__xludf.DUMMYFUNCTION("GOOGLETRANSLATE(C8620, ""en"", ""fa"")
"),"درباره تأثیر یادگیری در فضای باز بر سلامت جسمی و رفاه دانش آموزان، از جمله مزایای فعالیت بدنی و هوای تازه بحث کنید.")</f>
        <v>درباره تأثیر یادگیری در فضای باز بر سلامت جسمی و رفاه دانش آموزان، از جمله مزایای فعالیت بدنی و هوای تازه بحث کنید.</v>
      </c>
      <c r="H8620" s="1"/>
      <c r="I8620" s="1"/>
      <c r="J8620" s="1"/>
      <c r="K8620" s="1"/>
      <c r="L8620" s="1"/>
      <c r="M8620" s="1"/>
      <c r="N8620" s="1"/>
      <c r="O8620" s="1"/>
      <c r="P8620" s="1"/>
      <c r="Q8620" s="1"/>
      <c r="R8620" s="1"/>
      <c r="S8620" s="1"/>
      <c r="T8620" s="1"/>
      <c r="U8620" s="1"/>
      <c r="V8620" s="1"/>
      <c r="W8620" s="1"/>
      <c r="X8620" s="1"/>
      <c r="Y8620" s="1"/>
      <c r="Z8620" s="1"/>
      <c r="AA8620" s="1"/>
      <c r="AB8620" s="1"/>
    </row>
    <row r="8621" ht="50.25" customHeight="1">
      <c r="A8621" s="12">
        <v>8617.0</v>
      </c>
      <c r="B8621" s="13" t="s">
        <v>7680</v>
      </c>
      <c r="C8621" s="18" t="s">
        <v>8646</v>
      </c>
      <c r="D8621" s="1"/>
      <c r="E8621" s="1"/>
      <c r="F8621" s="1" t="str">
        <f>IFERROR(__xludf.DUMMYFUNCTION("GOOGLETRANSLATE(B8621, ""en"", ""fa"")
"),"درخواست برای معلمان")</f>
        <v>درخواست برای معلمان</v>
      </c>
      <c r="G8621" s="1" t="str">
        <f>IFERROR(__xludf.DUMMYFUNCTION("GOOGLETRANSLATE(C8621, ""en"", ""fa"")
"),"تجربیات خود را در مورد استفاده از یادگیری در فضای باز برای تقویت مراقبت از محیط زیست و احساس مسئولیت نسبت به دنیای طبیعی به اشتراک بگذارید.")</f>
        <v>تجربیات خود را در مورد استفاده از یادگیری در فضای باز برای تقویت مراقبت از محیط زیست و احساس مسئولیت نسبت به دنیای طبیعی به اشتراک بگذارید.</v>
      </c>
      <c r="H8621" s="1"/>
      <c r="I8621" s="1"/>
      <c r="J8621" s="1"/>
      <c r="K8621" s="1"/>
      <c r="L8621" s="1"/>
      <c r="M8621" s="1"/>
      <c r="N8621" s="1"/>
      <c r="O8621" s="1"/>
      <c r="P8621" s="1"/>
      <c r="Q8621" s="1"/>
      <c r="R8621" s="1"/>
      <c r="S8621" s="1"/>
      <c r="T8621" s="1"/>
      <c r="U8621" s="1"/>
      <c r="V8621" s="1"/>
      <c r="W8621" s="1"/>
      <c r="X8621" s="1"/>
      <c r="Y8621" s="1"/>
      <c r="Z8621" s="1"/>
      <c r="AA8621" s="1"/>
      <c r="AB8621" s="1"/>
    </row>
    <row r="8622" ht="50.25" customHeight="1">
      <c r="A8622" s="12">
        <v>8618.0</v>
      </c>
      <c r="B8622" s="13" t="s">
        <v>7680</v>
      </c>
      <c r="C8622" s="18" t="s">
        <v>8647</v>
      </c>
      <c r="D8622" s="1"/>
      <c r="E8622" s="1"/>
      <c r="F8622" s="1" t="str">
        <f>IFERROR(__xludf.DUMMYFUNCTION("GOOGLETRANSLATE(B8622, ""en"", ""fa"")
"),"درخواست برای معلمان")</f>
        <v>درخواست برای معلمان</v>
      </c>
      <c r="G8622" s="1" t="str">
        <f>IFERROR(__xludf.DUMMYFUNCTION("GOOGLETRANSLATE(C8622, ""en"", ""fa"")
"),"راه‌هایی برای ترکیب داستان‌گویی و فعالیت‌های مبتنی بر روایت در یادگیری در فضای باز برای افزایش تعامل و درک مطلب کاوش کنید.")</f>
        <v>راه‌هایی برای ترکیب داستان‌گویی و فعالیت‌های مبتنی بر روایت در یادگیری در فضای باز برای افزایش تعامل و درک مطلب کاوش کنید.</v>
      </c>
      <c r="H8622" s="1"/>
      <c r="I8622" s="1"/>
      <c r="J8622" s="1"/>
      <c r="K8622" s="1"/>
      <c r="L8622" s="1"/>
      <c r="M8622" s="1"/>
      <c r="N8622" s="1"/>
      <c r="O8622" s="1"/>
      <c r="P8622" s="1"/>
      <c r="Q8622" s="1"/>
      <c r="R8622" s="1"/>
      <c r="S8622" s="1"/>
      <c r="T8622" s="1"/>
      <c r="U8622" s="1"/>
      <c r="V8622" s="1"/>
      <c r="W8622" s="1"/>
      <c r="X8622" s="1"/>
      <c r="Y8622" s="1"/>
      <c r="Z8622" s="1"/>
      <c r="AA8622" s="1"/>
      <c r="AB8622" s="1"/>
    </row>
    <row r="8623" ht="50.25" customHeight="1">
      <c r="A8623" s="12">
        <v>8619.0</v>
      </c>
      <c r="B8623" s="13" t="s">
        <v>7680</v>
      </c>
      <c r="C8623" s="18" t="s">
        <v>8648</v>
      </c>
      <c r="D8623" s="1"/>
      <c r="E8623" s="1"/>
      <c r="F8623" s="1" t="str">
        <f>IFERROR(__xludf.DUMMYFUNCTION("GOOGLETRANSLATE(B8623, ""en"", ""fa"")
"),"درخواست برای معلمان")</f>
        <v>درخواست برای معلمان</v>
      </c>
      <c r="G8623" s="1" t="str">
        <f>IFERROR(__xludf.DUMMYFUNCTION("GOOGLETRANSLATE(C8623, ""en"", ""fa"")
"),"در مورد نقش ماجراجویی و اکتشاف در فضای باز در توسعه تاب آوری، اعتماد به نفس و مهارت های رهبری در بین دانش آموزان بحث کنید.")</f>
        <v>در مورد نقش ماجراجویی و اکتشاف در فضای باز در توسعه تاب آوری، اعتماد به نفس و مهارت های رهبری در بین دانش آموزان بحث کنید.</v>
      </c>
      <c r="H8623" s="1"/>
      <c r="I8623" s="1"/>
      <c r="J8623" s="1"/>
      <c r="K8623" s="1"/>
      <c r="L8623" s="1"/>
      <c r="M8623" s="1"/>
      <c r="N8623" s="1"/>
      <c r="O8623" s="1"/>
      <c r="P8623" s="1"/>
      <c r="Q8623" s="1"/>
      <c r="R8623" s="1"/>
      <c r="S8623" s="1"/>
      <c r="T8623" s="1"/>
      <c r="U8623" s="1"/>
      <c r="V8623" s="1"/>
      <c r="W8623" s="1"/>
      <c r="X8623" s="1"/>
      <c r="Y8623" s="1"/>
      <c r="Z8623" s="1"/>
      <c r="AA8623" s="1"/>
      <c r="AB8623" s="1"/>
    </row>
    <row r="8624" ht="50.25" customHeight="1">
      <c r="A8624" s="12">
        <v>8620.0</v>
      </c>
      <c r="B8624" s="13" t="s">
        <v>7680</v>
      </c>
      <c r="C8624" s="18" t="s">
        <v>8649</v>
      </c>
      <c r="D8624" s="1"/>
      <c r="E8624" s="1"/>
      <c r="F8624" s="1" t="str">
        <f>IFERROR(__xludf.DUMMYFUNCTION("GOOGLETRANSLATE(B8624, ""en"", ""fa"")
"),"درخواست برای معلمان")</f>
        <v>درخواست برای معلمان</v>
      </c>
      <c r="G8624" s="1" t="str">
        <f>IFERROR(__xludf.DUMMYFUNCTION("GOOGLETRANSLATE(C8624, ""en"", ""fa"")
"),"بینش خود را در مورد استفاده از بحث‌های انعکاسی و جلسات توجیهی گروهی برای کمک به دانش‌آموزان برای ایجاد ارتباط بین تجربیات فضای باز و مفاهیم تحصیلی به اشتراک بگذارید.")</f>
        <v>بینش خود را در مورد استفاده از بحث‌های انعکاسی و جلسات توجیهی گروهی برای کمک به دانش‌آموزان برای ایجاد ارتباط بین تجربیات فضای باز و مفاهیم تحصیلی به اشتراک بگذارید.</v>
      </c>
      <c r="H8624" s="1"/>
      <c r="I8624" s="1"/>
      <c r="J8624" s="1"/>
      <c r="K8624" s="1"/>
      <c r="L8624" s="1"/>
      <c r="M8624" s="1"/>
      <c r="N8624" s="1"/>
      <c r="O8624" s="1"/>
      <c r="P8624" s="1"/>
      <c r="Q8624" s="1"/>
      <c r="R8624" s="1"/>
      <c r="S8624" s="1"/>
      <c r="T8624" s="1"/>
      <c r="U8624" s="1"/>
      <c r="V8624" s="1"/>
      <c r="W8624" s="1"/>
      <c r="X8624" s="1"/>
      <c r="Y8624" s="1"/>
      <c r="Z8624" s="1"/>
      <c r="AA8624" s="1"/>
      <c r="AB8624" s="1"/>
    </row>
    <row r="8625" ht="50.25" customHeight="1">
      <c r="A8625" s="12">
        <v>8621.0</v>
      </c>
      <c r="B8625" s="13" t="s">
        <v>7680</v>
      </c>
      <c r="C8625" s="18" t="s">
        <v>8650</v>
      </c>
      <c r="D8625" s="1"/>
      <c r="E8625" s="1"/>
      <c r="F8625" s="1" t="str">
        <f>IFERROR(__xludf.DUMMYFUNCTION("GOOGLETRANSLATE(B8625, ""en"", ""fa"")
"),"درخواست برای معلمان")</f>
        <v>درخواست برای معلمان</v>
      </c>
      <c r="G8625" s="1" t="str">
        <f>IFERROR(__xludf.DUMMYFUNCTION("GOOGLETRANSLATE(C8625, ""en"", ""fa"")
"),"استراتژی‌هایی را برای ادغام دانش بومی محلی و شیوه‌های فرهنگی در یادگیری در فضای باز، تکریم و احترام به دیدگاه‌های مختلف بررسی کنید.")</f>
        <v>استراتژی‌هایی را برای ادغام دانش بومی محلی و شیوه‌های فرهنگی در یادگیری در فضای باز، تکریم و احترام به دیدگاه‌های مختلف بررسی کنید.</v>
      </c>
      <c r="H8625" s="1"/>
      <c r="I8625" s="1"/>
      <c r="J8625" s="1"/>
      <c r="K8625" s="1"/>
      <c r="L8625" s="1"/>
      <c r="M8625" s="1"/>
      <c r="N8625" s="1"/>
      <c r="O8625" s="1"/>
      <c r="P8625" s="1"/>
      <c r="Q8625" s="1"/>
      <c r="R8625" s="1"/>
      <c r="S8625" s="1"/>
      <c r="T8625" s="1"/>
      <c r="U8625" s="1"/>
      <c r="V8625" s="1"/>
      <c r="W8625" s="1"/>
      <c r="X8625" s="1"/>
      <c r="Y8625" s="1"/>
      <c r="Z8625" s="1"/>
      <c r="AA8625" s="1"/>
      <c r="AB8625" s="1"/>
    </row>
    <row r="8626" ht="50.25" customHeight="1">
      <c r="A8626" s="12">
        <v>8622.0</v>
      </c>
      <c r="B8626" s="13" t="s">
        <v>7680</v>
      </c>
      <c r="C8626" s="18" t="s">
        <v>8651</v>
      </c>
      <c r="D8626" s="1"/>
      <c r="E8626" s="1"/>
      <c r="F8626" s="1" t="str">
        <f>IFERROR(__xludf.DUMMYFUNCTION("GOOGLETRANSLATE(B8626, ""en"", ""fa"")
"),"درخواست برای معلمان")</f>
        <v>درخواست برای معلمان</v>
      </c>
      <c r="G8626" s="1" t="str">
        <f>IFERROR(__xludf.DUMMYFUNCTION("GOOGLETRANSLATE(C8626, ""en"", ""fa"")
"),"در مورد اهمیت پرورش حس شگفتی و کنجکاوی در تجربیات یادگیری در فضای باز برای تحریک تحقیق و اکتشاف بحث کنید.")</f>
        <v>در مورد اهمیت پرورش حس شگفتی و کنجکاوی در تجربیات یادگیری در فضای باز برای تحریک تحقیق و اکتشاف بحث کنید.</v>
      </c>
      <c r="H8626" s="1"/>
      <c r="I8626" s="1"/>
      <c r="J8626" s="1"/>
      <c r="K8626" s="1"/>
      <c r="L8626" s="1"/>
      <c r="M8626" s="1"/>
      <c r="N8626" s="1"/>
      <c r="O8626" s="1"/>
      <c r="P8626" s="1"/>
      <c r="Q8626" s="1"/>
      <c r="R8626" s="1"/>
      <c r="S8626" s="1"/>
      <c r="T8626" s="1"/>
      <c r="U8626" s="1"/>
      <c r="V8626" s="1"/>
      <c r="W8626" s="1"/>
      <c r="X8626" s="1"/>
      <c r="Y8626" s="1"/>
      <c r="Z8626" s="1"/>
      <c r="AA8626" s="1"/>
      <c r="AB8626" s="1"/>
    </row>
    <row r="8627" ht="50.25" customHeight="1">
      <c r="A8627" s="12">
        <v>8623.0</v>
      </c>
      <c r="B8627" s="13" t="s">
        <v>7680</v>
      </c>
      <c r="C8627" s="18" t="s">
        <v>8652</v>
      </c>
      <c r="D8627" s="1"/>
      <c r="E8627" s="1"/>
      <c r="F8627" s="1" t="str">
        <f>IFERROR(__xludf.DUMMYFUNCTION("GOOGLETRANSLATE(B8627, ""en"", ""fa"")
"),"درخواست برای معلمان")</f>
        <v>درخواست برای معلمان</v>
      </c>
      <c r="G8627" s="1" t="str">
        <f>IFERROR(__xludf.DUMMYFUNCTION("GOOGLETRANSLATE(C8627, ""en"", ""fa"")
"),"تجربیات خود را در مورد استفاده از فعالیت های حسی در فضای باز برای درگیر کردن حواس دانش آموزان و عمیق تر کردن درک آنها از جهان طبیعی به اشتراک بگذارید.")</f>
        <v>تجربیات خود را در مورد استفاده از فعالیت های حسی در فضای باز برای درگیر کردن حواس دانش آموزان و عمیق تر کردن درک آنها از جهان طبیعی به اشتراک بگذارید.</v>
      </c>
      <c r="H8627" s="1"/>
      <c r="I8627" s="1"/>
      <c r="J8627" s="1"/>
      <c r="K8627" s="1"/>
      <c r="L8627" s="1"/>
      <c r="M8627" s="1"/>
      <c r="N8627" s="1"/>
      <c r="O8627" s="1"/>
      <c r="P8627" s="1"/>
      <c r="Q8627" s="1"/>
      <c r="R8627" s="1"/>
      <c r="S8627" s="1"/>
      <c r="T8627" s="1"/>
      <c r="U8627" s="1"/>
      <c r="V8627" s="1"/>
      <c r="W8627" s="1"/>
      <c r="X8627" s="1"/>
      <c r="Y8627" s="1"/>
      <c r="Z8627" s="1"/>
      <c r="AA8627" s="1"/>
      <c r="AB8627" s="1"/>
    </row>
    <row r="8628" ht="50.25" customHeight="1">
      <c r="A8628" s="12">
        <v>8624.0</v>
      </c>
      <c r="B8628" s="13" t="s">
        <v>7680</v>
      </c>
      <c r="C8628" s="18" t="s">
        <v>8653</v>
      </c>
      <c r="D8628" s="1"/>
      <c r="E8628" s="1"/>
      <c r="F8628" s="1" t="str">
        <f>IFERROR(__xludf.DUMMYFUNCTION("GOOGLETRANSLATE(B8628, ""en"", ""fa"")
"),"درخواست برای معلمان")</f>
        <v>درخواست برای معلمان</v>
      </c>
      <c r="G8628" s="1" t="str">
        <f>IFERROR(__xludf.DUMMYFUNCTION("GOOGLETRANSLATE(C8628, ""en"", ""fa"")
"),"راه‌هایی برای ترکیب داستان‌سرایی دیجیتال یا پروژه‌های چند رسانه‌ای برای مستندسازی و اشتراک‌گذاری تجربیات یادگیری در فضای باز کاوش کنید.")</f>
        <v>راه‌هایی برای ترکیب داستان‌سرایی دیجیتال یا پروژه‌های چند رسانه‌ای برای مستندسازی و اشتراک‌گذاری تجربیات یادگیری در فضای باز کاوش کنید.</v>
      </c>
      <c r="H8628" s="1"/>
      <c r="I8628" s="1"/>
      <c r="J8628" s="1"/>
      <c r="K8628" s="1"/>
      <c r="L8628" s="1"/>
      <c r="M8628" s="1"/>
      <c r="N8628" s="1"/>
      <c r="O8628" s="1"/>
      <c r="P8628" s="1"/>
      <c r="Q8628" s="1"/>
      <c r="R8628" s="1"/>
      <c r="S8628" s="1"/>
      <c r="T8628" s="1"/>
      <c r="U8628" s="1"/>
      <c r="V8628" s="1"/>
      <c r="W8628" s="1"/>
      <c r="X8628" s="1"/>
      <c r="Y8628" s="1"/>
      <c r="Z8628" s="1"/>
      <c r="AA8628" s="1"/>
      <c r="AB8628" s="1"/>
    </row>
    <row r="8629" ht="50.25" customHeight="1">
      <c r="A8629" s="12">
        <v>8625.0</v>
      </c>
      <c r="B8629" s="13" t="s">
        <v>7680</v>
      </c>
      <c r="C8629" s="18" t="s">
        <v>8654</v>
      </c>
      <c r="D8629" s="1"/>
      <c r="E8629" s="1"/>
      <c r="F8629" s="1" t="str">
        <f>IFERROR(__xludf.DUMMYFUNCTION("GOOGLETRANSLATE(B8629, ""en"", ""fa"")
"),"درخواست برای معلمان")</f>
        <v>درخواست برای معلمان</v>
      </c>
      <c r="G8629" s="1" t="str">
        <f>IFERROR(__xludf.DUMMYFUNCTION("GOOGLETRANSLATE(C8629, ""en"", ""fa"")
"),"درباره تأثیر یادگیری در فضای باز بر سلامت روان و رفاه دانش آموزان، از جمله مزایای ارتباط با طبیعت و کاهش استرس بحث کنید.")</f>
        <v>درباره تأثیر یادگیری در فضای باز بر سلامت روان و رفاه دانش آموزان، از جمله مزایای ارتباط با طبیعت و کاهش استرس بحث کنید.</v>
      </c>
      <c r="H8629" s="1"/>
      <c r="I8629" s="1"/>
      <c r="J8629" s="1"/>
      <c r="K8629" s="1"/>
      <c r="L8629" s="1"/>
      <c r="M8629" s="1"/>
      <c r="N8629" s="1"/>
      <c r="O8629" s="1"/>
      <c r="P8629" s="1"/>
      <c r="Q8629" s="1"/>
      <c r="R8629" s="1"/>
      <c r="S8629" s="1"/>
      <c r="T8629" s="1"/>
      <c r="U8629" s="1"/>
      <c r="V8629" s="1"/>
      <c r="W8629" s="1"/>
      <c r="X8629" s="1"/>
      <c r="Y8629" s="1"/>
      <c r="Z8629" s="1"/>
      <c r="AA8629" s="1"/>
      <c r="AB8629" s="1"/>
    </row>
    <row r="8630" ht="50.25" customHeight="1">
      <c r="A8630" s="12">
        <v>8626.0</v>
      </c>
      <c r="B8630" s="13" t="s">
        <v>7680</v>
      </c>
      <c r="C8630" s="18" t="s">
        <v>8655</v>
      </c>
      <c r="D8630" s="1"/>
      <c r="E8630" s="1"/>
      <c r="F8630" s="1" t="str">
        <f>IFERROR(__xludf.DUMMYFUNCTION("GOOGLETRANSLATE(B8630, ""en"", ""fa"")
"),"درخواست برای معلمان")</f>
        <v>درخواست برای معلمان</v>
      </c>
      <c r="G8630" s="1" t="str">
        <f>IFERROR(__xludf.DUMMYFUNCTION("GOOGLETRANSLATE(C8630, ""en"", ""fa"")
"),"بینش خود را در مورد استفاده از شعرهای الهام گرفته از طبیعت یا فعالیت های نوشتاری خلاقانه برای پرورش قدردانی دانش آموزان از محیط زیست به اشتراک بگذارید.")</f>
        <v>بینش خود را در مورد استفاده از شعرهای الهام گرفته از طبیعت یا فعالیت های نوشتاری خلاقانه برای پرورش قدردانی دانش آموزان از محیط زیست به اشتراک بگذارید.</v>
      </c>
      <c r="H8630" s="1"/>
      <c r="I8630" s="1"/>
      <c r="J8630" s="1"/>
      <c r="K8630" s="1"/>
      <c r="L8630" s="1"/>
      <c r="M8630" s="1"/>
      <c r="N8630" s="1"/>
      <c r="O8630" s="1"/>
      <c r="P8630" s="1"/>
      <c r="Q8630" s="1"/>
      <c r="R8630" s="1"/>
      <c r="S8630" s="1"/>
      <c r="T8630" s="1"/>
      <c r="U8630" s="1"/>
      <c r="V8630" s="1"/>
      <c r="W8630" s="1"/>
      <c r="X8630" s="1"/>
      <c r="Y8630" s="1"/>
      <c r="Z8630" s="1"/>
      <c r="AA8630" s="1"/>
      <c r="AB8630" s="1"/>
    </row>
    <row r="8631" ht="50.25" customHeight="1">
      <c r="A8631" s="12">
        <v>8627.0</v>
      </c>
      <c r="B8631" s="13" t="s">
        <v>7680</v>
      </c>
      <c r="C8631" s="18" t="s">
        <v>8656</v>
      </c>
      <c r="D8631" s="1"/>
      <c r="E8631" s="1"/>
      <c r="F8631" s="1" t="str">
        <f>IFERROR(__xludf.DUMMYFUNCTION("GOOGLETRANSLATE(B8631, ""en"", ""fa"")
"),"درخواست برای معلمان")</f>
        <v>درخواست برای معلمان</v>
      </c>
      <c r="G8631" s="1" t="str">
        <f>IFERROR(__xludf.DUMMYFUNCTION("GOOGLETRANSLATE(C8631, ""en"", ""fa"")
"),"استراتژی‌هایی را برای ترکیب پروژه‌های آموزش خدمات محیطی در محیط‌های بیرونی بررسی کنید، و دانش‌آموزان را برای ایجاد تأثیر مثبت در جوامع خود توانمند می‌سازد.")</f>
        <v>استراتژی‌هایی را برای ترکیب پروژه‌های آموزش خدمات محیطی در محیط‌های بیرونی بررسی کنید، و دانش‌آموزان را برای ایجاد تأثیر مثبت در جوامع خود توانمند می‌سازد.</v>
      </c>
      <c r="H8631" s="1"/>
      <c r="I8631" s="1"/>
      <c r="J8631" s="1"/>
      <c r="K8631" s="1"/>
      <c r="L8631" s="1"/>
      <c r="M8631" s="1"/>
      <c r="N8631" s="1"/>
      <c r="O8631" s="1"/>
      <c r="P8631" s="1"/>
      <c r="Q8631" s="1"/>
      <c r="R8631" s="1"/>
      <c r="S8631" s="1"/>
      <c r="T8631" s="1"/>
      <c r="U8631" s="1"/>
      <c r="V8631" s="1"/>
      <c r="W8631" s="1"/>
      <c r="X8631" s="1"/>
      <c r="Y8631" s="1"/>
      <c r="Z8631" s="1"/>
      <c r="AA8631" s="1"/>
      <c r="AB8631" s="1"/>
    </row>
    <row r="8632" ht="50.25" customHeight="1">
      <c r="A8632" s="12">
        <v>8628.0</v>
      </c>
      <c r="B8632" s="13" t="s">
        <v>7680</v>
      </c>
      <c r="C8632" s="18" t="s">
        <v>8657</v>
      </c>
      <c r="D8632" s="1"/>
      <c r="E8632" s="1"/>
      <c r="F8632" s="1" t="str">
        <f>IFERROR(__xludf.DUMMYFUNCTION("GOOGLETRANSLATE(B8632, ""en"", ""fa"")
"),"درخواست برای معلمان")</f>
        <v>درخواست برای معلمان</v>
      </c>
      <c r="G8632" s="1" t="str">
        <f>IFERROR(__xludf.DUMMYFUNCTION("GOOGLETRANSLATE(C8632, ""en"", ""fa"")
"),"درباره نقش تأمل و تعیین هدف در تجارب یادگیری در فضای باز برای ارتقای رشد شخصی و یادگیری خودراهبر بحث کنید.")</f>
        <v>درباره نقش تأمل و تعیین هدف در تجارب یادگیری در فضای باز برای ارتقای رشد شخصی و یادگیری خودراهبر بحث کنید.</v>
      </c>
      <c r="H8632" s="1"/>
      <c r="I8632" s="1"/>
      <c r="J8632" s="1"/>
      <c r="K8632" s="1"/>
      <c r="L8632" s="1"/>
      <c r="M8632" s="1"/>
      <c r="N8632" s="1"/>
      <c r="O8632" s="1"/>
      <c r="P8632" s="1"/>
      <c r="Q8632" s="1"/>
      <c r="R8632" s="1"/>
      <c r="S8632" s="1"/>
      <c r="T8632" s="1"/>
      <c r="U8632" s="1"/>
      <c r="V8632" s="1"/>
      <c r="W8632" s="1"/>
      <c r="X8632" s="1"/>
      <c r="Y8632" s="1"/>
      <c r="Z8632" s="1"/>
      <c r="AA8632" s="1"/>
      <c r="AB8632" s="1"/>
    </row>
    <row r="8633" ht="50.25" customHeight="1">
      <c r="A8633" s="12">
        <v>8629.0</v>
      </c>
      <c r="B8633" s="13" t="s">
        <v>7680</v>
      </c>
      <c r="C8633" s="18" t="s">
        <v>8658</v>
      </c>
      <c r="D8633" s="1"/>
      <c r="E8633" s="1"/>
      <c r="F8633" s="1" t="str">
        <f>IFERROR(__xludf.DUMMYFUNCTION("GOOGLETRANSLATE(B8633, ""en"", ""fa"")
"),"درخواست برای معلمان")</f>
        <v>درخواست برای معلمان</v>
      </c>
      <c r="G8633" s="1" t="str">
        <f>IFERROR(__xludf.DUMMYFUNCTION("GOOGLETRANSLATE(C8633, ""en"", ""fa"")
"),"تجربیات خود را با استفاده از آزمایشات در فضای باز یا مشاهدات میدانی برای توسعه تفکر انتقادی و مهارت های تحقیق علمی به اشتراک بگذارید.")</f>
        <v>تجربیات خود را با استفاده از آزمایشات در فضای باز یا مشاهدات میدانی برای توسعه تفکر انتقادی و مهارت های تحقیق علمی به اشتراک بگذارید.</v>
      </c>
      <c r="H8633" s="1"/>
      <c r="I8633" s="1"/>
      <c r="J8633" s="1"/>
      <c r="K8633" s="1"/>
      <c r="L8633" s="1"/>
      <c r="M8633" s="1"/>
      <c r="N8633" s="1"/>
      <c r="O8633" s="1"/>
      <c r="P8633" s="1"/>
      <c r="Q8633" s="1"/>
      <c r="R8633" s="1"/>
      <c r="S8633" s="1"/>
      <c r="T8633" s="1"/>
      <c r="U8633" s="1"/>
      <c r="V8633" s="1"/>
      <c r="W8633" s="1"/>
      <c r="X8633" s="1"/>
      <c r="Y8633" s="1"/>
      <c r="Z8633" s="1"/>
      <c r="AA8633" s="1"/>
      <c r="AB8633" s="1"/>
    </row>
    <row r="8634" ht="50.25" customHeight="1">
      <c r="A8634" s="12">
        <v>8630.0</v>
      </c>
      <c r="B8634" s="13" t="s">
        <v>7680</v>
      </c>
      <c r="C8634" s="18" t="s">
        <v>8659</v>
      </c>
      <c r="D8634" s="1"/>
      <c r="E8634" s="1"/>
      <c r="F8634" s="1" t="str">
        <f>IFERROR(__xludf.DUMMYFUNCTION("GOOGLETRANSLATE(B8634, ""en"", ""fa"")
"),"درخواست برای معلمان")</f>
        <v>درخواست برای معلمان</v>
      </c>
      <c r="G8634" s="1" t="str">
        <f>IFERROR(__xludf.DUMMYFUNCTION("GOOGLETRANSLATE(C8634, ""en"", ""fa"")
"),"راه‌هایی برای ترکیب ابزارهای فناوری، مانند geocaching یا نقشه‌برداری GPS، برای بهبود تجربیات یادگیری در فضای باز کاوش کنید.")</f>
        <v>راه‌هایی برای ترکیب ابزارهای فناوری، مانند geocaching یا نقشه‌برداری GPS، برای بهبود تجربیات یادگیری در فضای باز کاوش کنید.</v>
      </c>
      <c r="H8634" s="1"/>
      <c r="I8634" s="1"/>
      <c r="J8634" s="1"/>
      <c r="K8634" s="1"/>
      <c r="L8634" s="1"/>
      <c r="M8634" s="1"/>
      <c r="N8634" s="1"/>
      <c r="O8634" s="1"/>
      <c r="P8634" s="1"/>
      <c r="Q8634" s="1"/>
      <c r="R8634" s="1"/>
      <c r="S8634" s="1"/>
      <c r="T8634" s="1"/>
      <c r="U8634" s="1"/>
      <c r="V8634" s="1"/>
      <c r="W8634" s="1"/>
      <c r="X8634" s="1"/>
      <c r="Y8634" s="1"/>
      <c r="Z8634" s="1"/>
      <c r="AA8634" s="1"/>
      <c r="AB8634" s="1"/>
    </row>
    <row r="8635" ht="50.25" customHeight="1">
      <c r="A8635" s="12">
        <v>8631.0</v>
      </c>
      <c r="B8635" s="13" t="s">
        <v>7680</v>
      </c>
      <c r="C8635" s="18" t="s">
        <v>8660</v>
      </c>
      <c r="D8635" s="1"/>
      <c r="E8635" s="1"/>
      <c r="F8635" s="1" t="str">
        <f>IFERROR(__xludf.DUMMYFUNCTION("GOOGLETRANSLATE(B8635, ""en"", ""fa"")
"),"درخواست برای معلمان")</f>
        <v>درخواست برای معلمان</v>
      </c>
      <c r="G8635" s="1" t="str">
        <f>IFERROR(__xludf.DUMMYFUNCTION("GOOGLETRANSLATE(C8635, ""en"", ""fa"")
"),"در مورد اهمیت شیوه های فراگیر در یادگیری در فضای باز، تضمین دسترسی و اسکان برای دانش آموزان با توانایی ها و نیازهای متنوع بحث کنید.")</f>
        <v>در مورد اهمیت شیوه های فراگیر در یادگیری در فضای باز، تضمین دسترسی و اسکان برای دانش آموزان با توانایی ها و نیازهای متنوع بحث کنید.</v>
      </c>
      <c r="H8635" s="1"/>
      <c r="I8635" s="1"/>
      <c r="J8635" s="1"/>
      <c r="K8635" s="1"/>
      <c r="L8635" s="1"/>
      <c r="M8635" s="1"/>
      <c r="N8635" s="1"/>
      <c r="O8635" s="1"/>
      <c r="P8635" s="1"/>
      <c r="Q8635" s="1"/>
      <c r="R8635" s="1"/>
      <c r="S8635" s="1"/>
      <c r="T8635" s="1"/>
      <c r="U8635" s="1"/>
      <c r="V8635" s="1"/>
      <c r="W8635" s="1"/>
      <c r="X8635" s="1"/>
      <c r="Y8635" s="1"/>
      <c r="Z8635" s="1"/>
      <c r="AA8635" s="1"/>
      <c r="AB8635" s="1"/>
    </row>
    <row r="8636" ht="50.25" customHeight="1">
      <c r="A8636" s="12">
        <v>8632.0</v>
      </c>
      <c r="B8636" s="13" t="s">
        <v>7680</v>
      </c>
      <c r="C8636" s="18" t="s">
        <v>8661</v>
      </c>
      <c r="D8636" s="1"/>
      <c r="E8636" s="1"/>
      <c r="F8636" s="1" t="str">
        <f>IFERROR(__xludf.DUMMYFUNCTION("GOOGLETRANSLATE(B8636, ""en"", ""fa"")
"),"درخواست برای معلمان")</f>
        <v>درخواست برای معلمان</v>
      </c>
      <c r="G8636" s="1" t="str">
        <f>IFERROR(__xludf.DUMMYFUNCTION("GOOGLETRANSLATE(C8636, ""en"", ""fa"")
"),"بینش خود را در مورد استفاده از یادگیری در فضای باز برای تقویت شهروندی جهانی و احساس مسئولیت نسبت به محیط زیست جهانی به اشتراک بگذارید.")</f>
        <v>بینش خود را در مورد استفاده از یادگیری در فضای باز برای تقویت شهروندی جهانی و احساس مسئولیت نسبت به محیط زیست جهانی به اشتراک بگذارید.</v>
      </c>
      <c r="H8636" s="1"/>
      <c r="I8636" s="1"/>
      <c r="J8636" s="1"/>
      <c r="K8636" s="1"/>
      <c r="L8636" s="1"/>
      <c r="M8636" s="1"/>
      <c r="N8636" s="1"/>
      <c r="O8636" s="1"/>
      <c r="P8636" s="1"/>
      <c r="Q8636" s="1"/>
      <c r="R8636" s="1"/>
      <c r="S8636" s="1"/>
      <c r="T8636" s="1"/>
      <c r="U8636" s="1"/>
      <c r="V8636" s="1"/>
      <c r="W8636" s="1"/>
      <c r="X8636" s="1"/>
      <c r="Y8636" s="1"/>
      <c r="Z8636" s="1"/>
      <c r="AA8636" s="1"/>
      <c r="AB8636" s="1"/>
    </row>
    <row r="8637" ht="50.25" customHeight="1">
      <c r="A8637" s="12">
        <v>8633.0</v>
      </c>
      <c r="B8637" s="13" t="s">
        <v>7680</v>
      </c>
      <c r="C8637" s="18" t="s">
        <v>8662</v>
      </c>
      <c r="D8637" s="1"/>
      <c r="E8637" s="1"/>
      <c r="F8637" s="1" t="str">
        <f>IFERROR(__xludf.DUMMYFUNCTION("GOOGLETRANSLATE(B8637, ""en"", ""fa"")
"),"درخواست برای معلمان")</f>
        <v>درخواست برای معلمان</v>
      </c>
      <c r="G8637" s="1" t="str">
        <f>IFERROR(__xludf.DUMMYFUNCTION("GOOGLETRANSLATE(C8637, ""en"", ""fa"")
"),"استراتژی‌هایی را برای ترکیب یادگیری در فضای باز در محیط‌های شهری یا داخلی، تطبیق فعالیت‌ها با منابع موجود، کاوش کنید.")</f>
        <v>استراتژی‌هایی را برای ترکیب یادگیری در فضای باز در محیط‌های شهری یا داخلی، تطبیق فعالیت‌ها با منابع موجود، کاوش کنید.</v>
      </c>
      <c r="H8637" s="1"/>
      <c r="I8637" s="1"/>
      <c r="J8637" s="1"/>
      <c r="K8637" s="1"/>
      <c r="L8637" s="1"/>
      <c r="M8637" s="1"/>
      <c r="N8637" s="1"/>
      <c r="O8637" s="1"/>
      <c r="P8637" s="1"/>
      <c r="Q8637" s="1"/>
      <c r="R8637" s="1"/>
      <c r="S8637" s="1"/>
      <c r="T8637" s="1"/>
      <c r="U8637" s="1"/>
      <c r="V8637" s="1"/>
      <c r="W8637" s="1"/>
      <c r="X8637" s="1"/>
      <c r="Y8637" s="1"/>
      <c r="Z8637" s="1"/>
      <c r="AA8637" s="1"/>
      <c r="AB8637" s="1"/>
    </row>
    <row r="8638" ht="50.25" customHeight="1">
      <c r="A8638" s="12">
        <v>8634.0</v>
      </c>
      <c r="B8638" s="13" t="s">
        <v>7680</v>
      </c>
      <c r="C8638" s="18" t="s">
        <v>8663</v>
      </c>
      <c r="D8638" s="1"/>
      <c r="E8638" s="1"/>
      <c r="F8638" s="1" t="str">
        <f>IFERROR(__xludf.DUMMYFUNCTION("GOOGLETRANSLATE(B8638, ""en"", ""fa"")
"),"درخواست برای معلمان")</f>
        <v>درخواست برای معلمان</v>
      </c>
      <c r="G8638" s="1" t="str">
        <f>IFERROR(__xludf.DUMMYFUNCTION("GOOGLETRANSLATE(C8638, ""en"", ""fa"")
"),"در مورد تأثیر یادگیری در فضای باز بر مهارت های اجتماعی و روابط بین فردی دانش آموزان، از جمله کار گروهی و ارتباطات بحث کنید.")</f>
        <v>در مورد تأثیر یادگیری در فضای باز بر مهارت های اجتماعی و روابط بین فردی دانش آموزان، از جمله کار گروهی و ارتباطات بحث کنید.</v>
      </c>
      <c r="H8638" s="1"/>
      <c r="I8638" s="1"/>
      <c r="J8638" s="1"/>
      <c r="K8638" s="1"/>
      <c r="L8638" s="1"/>
      <c r="M8638" s="1"/>
      <c r="N8638" s="1"/>
      <c r="O8638" s="1"/>
      <c r="P8638" s="1"/>
      <c r="Q8638" s="1"/>
      <c r="R8638" s="1"/>
      <c r="S8638" s="1"/>
      <c r="T8638" s="1"/>
      <c r="U8638" s="1"/>
      <c r="V8638" s="1"/>
      <c r="W8638" s="1"/>
      <c r="X8638" s="1"/>
      <c r="Y8638" s="1"/>
      <c r="Z8638" s="1"/>
      <c r="AA8638" s="1"/>
      <c r="AB8638" s="1"/>
    </row>
    <row r="8639" ht="50.25" customHeight="1">
      <c r="A8639" s="12">
        <v>8635.0</v>
      </c>
      <c r="B8639" s="13" t="s">
        <v>7680</v>
      </c>
      <c r="C8639" s="18" t="s">
        <v>8664</v>
      </c>
      <c r="D8639" s="1"/>
      <c r="E8639" s="1"/>
      <c r="F8639" s="1" t="str">
        <f>IFERROR(__xludf.DUMMYFUNCTION("GOOGLETRANSLATE(B8639, ""en"", ""fa"")
"),"درخواست برای معلمان")</f>
        <v>درخواست برای معلمان</v>
      </c>
      <c r="G8639" s="1" t="str">
        <f>IFERROR(__xludf.DUMMYFUNCTION("GOOGLETRANSLATE(C8639, ""en"", ""fa"")
"),"تجربیات خود را در مورد استفاده از داستان سرایی یا سنت های شفاهی فرهنگ های محلی برای ارتباط دانش آموزان با دنیای طبیعی به اشتراک بگذارید.")</f>
        <v>تجربیات خود را در مورد استفاده از داستان سرایی یا سنت های شفاهی فرهنگ های محلی برای ارتباط دانش آموزان با دنیای طبیعی به اشتراک بگذارید.</v>
      </c>
      <c r="H8639" s="1"/>
      <c r="I8639" s="1"/>
      <c r="J8639" s="1"/>
      <c r="K8639" s="1"/>
      <c r="L8639" s="1"/>
      <c r="M8639" s="1"/>
      <c r="N8639" s="1"/>
      <c r="O8639" s="1"/>
      <c r="P8639" s="1"/>
      <c r="Q8639" s="1"/>
      <c r="R8639" s="1"/>
      <c r="S8639" s="1"/>
      <c r="T8639" s="1"/>
      <c r="U8639" s="1"/>
      <c r="V8639" s="1"/>
      <c r="W8639" s="1"/>
      <c r="X8639" s="1"/>
      <c r="Y8639" s="1"/>
      <c r="Z8639" s="1"/>
      <c r="AA8639" s="1"/>
      <c r="AB8639" s="1"/>
    </row>
    <row r="8640" ht="50.25" customHeight="1">
      <c r="A8640" s="12">
        <v>8636.0</v>
      </c>
      <c r="B8640" s="13" t="s">
        <v>7680</v>
      </c>
      <c r="C8640" s="18" t="s">
        <v>8665</v>
      </c>
      <c r="D8640" s="1"/>
      <c r="E8640" s="1"/>
      <c r="F8640" s="1" t="str">
        <f>IFERROR(__xludf.DUMMYFUNCTION("GOOGLETRANSLATE(B8640, ""en"", ""fa"")
"),"درخواست برای معلمان")</f>
        <v>درخواست برای معلمان</v>
      </c>
      <c r="G8640" s="1" t="str">
        <f>IFERROR(__xludf.DUMMYFUNCTION("GOOGLETRANSLATE(C8640, ""en"", ""fa"")
"),"راه‌هایی را برای ترکیب بازتاب و فعالیت‌های فراشناختی پس از تجربیات بیرون از منزل برای تعمیق درک و ارتباطات دانش‌آموز بررسی کنید.")</f>
        <v>راه‌هایی را برای ترکیب بازتاب و فعالیت‌های فراشناختی پس از تجربیات بیرون از منزل برای تعمیق درک و ارتباطات دانش‌آموز بررسی کنید.</v>
      </c>
      <c r="H8640" s="1"/>
      <c r="I8640" s="1"/>
      <c r="J8640" s="1"/>
      <c r="K8640" s="1"/>
      <c r="L8640" s="1"/>
      <c r="M8640" s="1"/>
      <c r="N8640" s="1"/>
      <c r="O8640" s="1"/>
      <c r="P8640" s="1"/>
      <c r="Q8640" s="1"/>
      <c r="R8640" s="1"/>
      <c r="S8640" s="1"/>
      <c r="T8640" s="1"/>
      <c r="U8640" s="1"/>
      <c r="V8640" s="1"/>
      <c r="W8640" s="1"/>
      <c r="X8640" s="1"/>
      <c r="Y8640" s="1"/>
      <c r="Z8640" s="1"/>
      <c r="AA8640" s="1"/>
      <c r="AB8640" s="1"/>
    </row>
    <row r="8641" ht="50.25" customHeight="1">
      <c r="A8641" s="12">
        <v>8637.0</v>
      </c>
      <c r="B8641" s="13" t="s">
        <v>7680</v>
      </c>
      <c r="C8641" s="18" t="s">
        <v>8666</v>
      </c>
      <c r="D8641" s="1"/>
      <c r="E8641" s="1"/>
      <c r="F8641" s="1" t="str">
        <f>IFERROR(__xludf.DUMMYFUNCTION("GOOGLETRANSLATE(B8641, ""en"", ""fa"")
"),"درخواست برای معلمان")</f>
        <v>درخواست برای معلمان</v>
      </c>
      <c r="G8641" s="1" t="str">
        <f>IFERROR(__xludf.DUMMYFUNCTION("GOOGLETRANSLATE(C8641, ""en"", ""fa"")
"),"در مورد نقش یادگیری در فضای باز در ترویج سبک زندگی سالم و عادات فعالیت بدنی در بین دانش آموزان بحث کنید.")</f>
        <v>در مورد نقش یادگیری در فضای باز در ترویج سبک زندگی سالم و عادات فعالیت بدنی در بین دانش آموزان بحث کنید.</v>
      </c>
      <c r="H8641" s="1"/>
      <c r="I8641" s="1"/>
      <c r="J8641" s="1"/>
      <c r="K8641" s="1"/>
      <c r="L8641" s="1"/>
      <c r="M8641" s="1"/>
      <c r="N8641" s="1"/>
      <c r="O8641" s="1"/>
      <c r="P8641" s="1"/>
      <c r="Q8641" s="1"/>
      <c r="R8641" s="1"/>
      <c r="S8641" s="1"/>
      <c r="T8641" s="1"/>
      <c r="U8641" s="1"/>
      <c r="V8641" s="1"/>
      <c r="W8641" s="1"/>
      <c r="X8641" s="1"/>
      <c r="Y8641" s="1"/>
      <c r="Z8641" s="1"/>
      <c r="AA8641" s="1"/>
      <c r="AB8641" s="1"/>
    </row>
    <row r="8642" ht="50.25" customHeight="1">
      <c r="A8642" s="12">
        <v>8638.0</v>
      </c>
      <c r="B8642" s="13" t="s">
        <v>7680</v>
      </c>
      <c r="C8642" s="18" t="s">
        <v>8667</v>
      </c>
      <c r="D8642" s="1"/>
      <c r="E8642" s="1"/>
      <c r="F8642" s="1" t="str">
        <f>IFERROR(__xludf.DUMMYFUNCTION("GOOGLETRANSLATE(B8642, ""en"", ""fa"")
"),"درخواست برای معلمان")</f>
        <v>درخواست برای معلمان</v>
      </c>
      <c r="G8642" s="1" t="str">
        <f>IFERROR(__xludf.DUMMYFUNCTION("GOOGLETRANSLATE(C8642, ""en"", ""fa"")
"),"بینش خود را در مورد استفاده از یادگیری در فضای باز برای ترویج آموزش پایداری و تشویق دانش آموزان به آگاهی از محیط زیست به اشتراک بگذارید.")</f>
        <v>بینش خود را در مورد استفاده از یادگیری در فضای باز برای ترویج آموزش پایداری و تشویق دانش آموزان به آگاهی از محیط زیست به اشتراک بگذارید.</v>
      </c>
      <c r="H8642" s="1"/>
      <c r="I8642" s="1"/>
      <c r="J8642" s="1"/>
      <c r="K8642" s="1"/>
      <c r="L8642" s="1"/>
      <c r="M8642" s="1"/>
      <c r="N8642" s="1"/>
      <c r="O8642" s="1"/>
      <c r="P8642" s="1"/>
      <c r="Q8642" s="1"/>
      <c r="R8642" s="1"/>
      <c r="S8642" s="1"/>
      <c r="T8642" s="1"/>
      <c r="U8642" s="1"/>
      <c r="V8642" s="1"/>
      <c r="W8642" s="1"/>
      <c r="X8642" s="1"/>
      <c r="Y8642" s="1"/>
      <c r="Z8642" s="1"/>
      <c r="AA8642" s="1"/>
      <c r="AB8642" s="1"/>
    </row>
    <row r="8643" ht="50.25" customHeight="1">
      <c r="A8643" s="12">
        <v>8639.0</v>
      </c>
      <c r="B8643" s="13" t="s">
        <v>7680</v>
      </c>
      <c r="C8643" s="18" t="s">
        <v>8668</v>
      </c>
      <c r="D8643" s="1"/>
      <c r="E8643" s="1"/>
      <c r="F8643" s="1" t="str">
        <f>IFERROR(__xludf.DUMMYFUNCTION("GOOGLETRANSLATE(B8643, ""en"", ""fa"")
"),"درخواست برای معلمان")</f>
        <v>درخواست برای معلمان</v>
      </c>
      <c r="G8643" s="1" t="str">
        <f>IFERROR(__xludf.DUMMYFUNCTION("GOOGLETRANSLATE(C8643, ""en"", ""fa"")
"),"استراتژی‌هایی را برای ترکیب رویکردهای یادگیری مبتنی بر پرس‌وجو در تجربیات فضای باز، پرورش روح کنجکاوی و کاوش کاوش کنید.")</f>
        <v>استراتژی‌هایی را برای ترکیب رویکردهای یادگیری مبتنی بر پرس‌وجو در تجربیات فضای باز، پرورش روح کنجکاوی و کاوش کاوش کنید.</v>
      </c>
      <c r="H8643" s="1"/>
      <c r="I8643" s="1"/>
      <c r="J8643" s="1"/>
      <c r="K8643" s="1"/>
      <c r="L8643" s="1"/>
      <c r="M8643" s="1"/>
      <c r="N8643" s="1"/>
      <c r="O8643" s="1"/>
      <c r="P8643" s="1"/>
      <c r="Q8643" s="1"/>
      <c r="R8643" s="1"/>
      <c r="S8643" s="1"/>
      <c r="T8643" s="1"/>
      <c r="U8643" s="1"/>
      <c r="V8643" s="1"/>
      <c r="W8643" s="1"/>
      <c r="X8643" s="1"/>
      <c r="Y8643" s="1"/>
      <c r="Z8643" s="1"/>
      <c r="AA8643" s="1"/>
      <c r="AB8643" s="1"/>
    </row>
    <row r="8644" ht="50.25" customHeight="1">
      <c r="A8644" s="12">
        <v>8640.0</v>
      </c>
      <c r="B8644" s="13" t="s">
        <v>7680</v>
      </c>
      <c r="C8644" s="18" t="s">
        <v>8669</v>
      </c>
      <c r="D8644" s="1"/>
      <c r="E8644" s="1"/>
      <c r="F8644" s="1" t="str">
        <f>IFERROR(__xludf.DUMMYFUNCTION("GOOGLETRANSLATE(B8644, ""en"", ""fa"")
"),"درخواست برای معلمان")</f>
        <v>درخواست برای معلمان</v>
      </c>
      <c r="G8644" s="1" t="str">
        <f>IFERROR(__xludf.DUMMYFUNCTION("GOOGLETRANSLATE(C8644, ""en"", ""fa"")
"),"در مورد اهمیت پرورش حس هیبت و احترام به دنیای طبیعی در تجربیات یادگیری در فضای باز بحث کنید.")</f>
        <v>در مورد اهمیت پرورش حس هیبت و احترام به دنیای طبیعی در تجربیات یادگیری در فضای باز بحث کنید.</v>
      </c>
      <c r="H8644" s="1"/>
      <c r="I8644" s="1"/>
      <c r="J8644" s="1"/>
      <c r="K8644" s="1"/>
      <c r="L8644" s="1"/>
      <c r="M8644" s="1"/>
      <c r="N8644" s="1"/>
      <c r="O8644" s="1"/>
      <c r="P8644" s="1"/>
      <c r="Q8644" s="1"/>
      <c r="R8644" s="1"/>
      <c r="S8644" s="1"/>
      <c r="T8644" s="1"/>
      <c r="U8644" s="1"/>
      <c r="V8644" s="1"/>
      <c r="W8644" s="1"/>
      <c r="X8644" s="1"/>
      <c r="Y8644" s="1"/>
      <c r="Z8644" s="1"/>
      <c r="AA8644" s="1"/>
      <c r="AB8644" s="1"/>
    </row>
    <row r="8645" ht="50.25" customHeight="1">
      <c r="A8645" s="12">
        <v>8641.0</v>
      </c>
      <c r="B8645" s="13" t="s">
        <v>7680</v>
      </c>
      <c r="C8645" s="18" t="s">
        <v>8670</v>
      </c>
      <c r="D8645" s="1"/>
      <c r="E8645" s="1"/>
      <c r="F8645" s="1" t="str">
        <f>IFERROR(__xludf.DUMMYFUNCTION("GOOGLETRANSLATE(B8645, ""en"", ""fa"")
"),"درخواست برای معلمان")</f>
        <v>درخواست برای معلمان</v>
      </c>
      <c r="G8645" s="1" t="str">
        <f>IFERROR(__xludf.DUMMYFUNCTION("GOOGLETRANSLATE(C8645, ""en"", ""fa"")
"),"تجربیات خود را با استفاده از شبیه‌سازی‌های فضای باز یا فعالیت‌های نقش‌آفرینی برای مشارکت دادن دانش‌آموزان در تجربیات یادگیری معتبر به اشتراک بگذارید.")</f>
        <v>تجربیات خود را با استفاده از شبیه‌سازی‌های فضای باز یا فعالیت‌های نقش‌آفرینی برای مشارکت دادن دانش‌آموزان در تجربیات یادگیری معتبر به اشتراک بگذارید.</v>
      </c>
      <c r="H8645" s="1"/>
      <c r="I8645" s="1"/>
      <c r="J8645" s="1"/>
      <c r="K8645" s="1"/>
      <c r="L8645" s="1"/>
      <c r="M8645" s="1"/>
      <c r="N8645" s="1"/>
      <c r="O8645" s="1"/>
      <c r="P8645" s="1"/>
      <c r="Q8645" s="1"/>
      <c r="R8645" s="1"/>
      <c r="S8645" s="1"/>
      <c r="T8645" s="1"/>
      <c r="U8645" s="1"/>
      <c r="V8645" s="1"/>
      <c r="W8645" s="1"/>
      <c r="X8645" s="1"/>
      <c r="Y8645" s="1"/>
      <c r="Z8645" s="1"/>
      <c r="AA8645" s="1"/>
      <c r="AB8645" s="1"/>
    </row>
    <row r="8646" ht="50.25" customHeight="1">
      <c r="A8646" s="12">
        <v>8642.0</v>
      </c>
      <c r="B8646" s="13" t="s">
        <v>7680</v>
      </c>
      <c r="C8646" s="18" t="s">
        <v>8671</v>
      </c>
      <c r="D8646" s="1"/>
      <c r="E8646" s="1"/>
      <c r="F8646" s="1" t="str">
        <f>IFERROR(__xludf.DUMMYFUNCTION("GOOGLETRANSLATE(B8646, ""en"", ""fa"")
"),"درخواست برای معلمان")</f>
        <v>درخواست برای معلمان</v>
      </c>
      <c r="G8646" s="1" t="str">
        <f>IFERROR(__xludf.DUMMYFUNCTION("GOOGLETRANSLATE(C8646, ""en"", ""fa"")
"),"راه‌هایی را برای ارتباط یادگیری در فضای باز با مسائل محیطی محلی بررسی کنید و دانش‌آموزان را تشویق کنید تا برای تغییرات مثبت اقدام کنند.")</f>
        <v>راه‌هایی را برای ارتباط یادگیری در فضای باز با مسائل محیطی محلی بررسی کنید و دانش‌آموزان را تشویق کنید تا برای تغییرات مثبت اقدام کنند.</v>
      </c>
      <c r="H8646" s="1"/>
      <c r="I8646" s="1"/>
      <c r="J8646" s="1"/>
      <c r="K8646" s="1"/>
      <c r="L8646" s="1"/>
      <c r="M8646" s="1"/>
      <c r="N8646" s="1"/>
      <c r="O8646" s="1"/>
      <c r="P8646" s="1"/>
      <c r="Q8646" s="1"/>
      <c r="R8646" s="1"/>
      <c r="S8646" s="1"/>
      <c r="T8646" s="1"/>
      <c r="U8646" s="1"/>
      <c r="V8646" s="1"/>
      <c r="W8646" s="1"/>
      <c r="X8646" s="1"/>
      <c r="Y8646" s="1"/>
      <c r="Z8646" s="1"/>
      <c r="AA8646" s="1"/>
      <c r="AB8646" s="1"/>
    </row>
    <row r="8647" ht="50.25" customHeight="1">
      <c r="A8647" s="12">
        <v>8643.0</v>
      </c>
      <c r="B8647" s="13" t="s">
        <v>7680</v>
      </c>
      <c r="C8647" s="18" t="s">
        <v>8672</v>
      </c>
      <c r="D8647" s="1"/>
      <c r="E8647" s="1"/>
      <c r="F8647" s="1" t="str">
        <f>IFERROR(__xludf.DUMMYFUNCTION("GOOGLETRANSLATE(B8647, ""en"", ""fa"")
"),"درخواست برای معلمان")</f>
        <v>درخواست برای معلمان</v>
      </c>
      <c r="G8647" s="1" t="str">
        <f>IFERROR(__xludf.DUMMYFUNCTION("GOOGLETRANSLATE(C8647, ""en"", ""fa"")
"),"در مورد تأثیر یادگیری در فضای باز بر پیشرفت تحصیلی و انگیزه یادگیری دانش آموزان بحث کنید.")</f>
        <v>در مورد تأثیر یادگیری در فضای باز بر پیشرفت تحصیلی و انگیزه یادگیری دانش آموزان بحث کنید.</v>
      </c>
      <c r="H8647" s="1"/>
      <c r="I8647" s="1"/>
      <c r="J8647" s="1"/>
      <c r="K8647" s="1"/>
      <c r="L8647" s="1"/>
      <c r="M8647" s="1"/>
      <c r="N8647" s="1"/>
      <c r="O8647" s="1"/>
      <c r="P8647" s="1"/>
      <c r="Q8647" s="1"/>
      <c r="R8647" s="1"/>
      <c r="S8647" s="1"/>
      <c r="T8647" s="1"/>
      <c r="U8647" s="1"/>
      <c r="V8647" s="1"/>
      <c r="W8647" s="1"/>
      <c r="X8647" s="1"/>
      <c r="Y8647" s="1"/>
      <c r="Z8647" s="1"/>
      <c r="AA8647" s="1"/>
      <c r="AB8647" s="1"/>
    </row>
    <row r="8648" ht="50.25" customHeight="1">
      <c r="A8648" s="12">
        <v>8644.0</v>
      </c>
      <c r="B8648" s="13" t="s">
        <v>7680</v>
      </c>
      <c r="C8648" s="18" t="s">
        <v>8673</v>
      </c>
      <c r="D8648" s="1"/>
      <c r="E8648" s="1"/>
      <c r="F8648" s="1" t="str">
        <f>IFERROR(__xludf.DUMMYFUNCTION("GOOGLETRANSLATE(B8648, ""en"", ""fa"")
"),"درخواست برای معلمان")</f>
        <v>درخواست برای معلمان</v>
      </c>
      <c r="G8648" s="1" t="str">
        <f>IFERROR(__xludf.DUMMYFUNCTION("GOOGLETRANSLATE(C8648, ""en"", ""fa"")
"),"بینش خود را در مورد استفاده از یادگیری در فضای باز برای ترویج شهروندی دیجیتال و استفاده مسئولانه از فناوری در محیط های طبیعی به اشتراک بگذارید.")</f>
        <v>بینش خود را در مورد استفاده از یادگیری در فضای باز برای ترویج شهروندی دیجیتال و استفاده مسئولانه از فناوری در محیط های طبیعی به اشتراک بگذارید.</v>
      </c>
      <c r="H8648" s="1"/>
      <c r="I8648" s="1"/>
      <c r="J8648" s="1"/>
      <c r="K8648" s="1"/>
      <c r="L8648" s="1"/>
      <c r="M8648" s="1"/>
      <c r="N8648" s="1"/>
      <c r="O8648" s="1"/>
      <c r="P8648" s="1"/>
      <c r="Q8648" s="1"/>
      <c r="R8648" s="1"/>
      <c r="S8648" s="1"/>
      <c r="T8648" s="1"/>
      <c r="U8648" s="1"/>
      <c r="V8648" s="1"/>
      <c r="W8648" s="1"/>
      <c r="X8648" s="1"/>
      <c r="Y8648" s="1"/>
      <c r="Z8648" s="1"/>
      <c r="AA8648" s="1"/>
      <c r="AB8648" s="1"/>
    </row>
    <row r="8649" ht="50.25" customHeight="1">
      <c r="A8649" s="12">
        <v>8645.0</v>
      </c>
      <c r="B8649" s="13" t="s">
        <v>7680</v>
      </c>
      <c r="C8649" s="18" t="s">
        <v>8674</v>
      </c>
      <c r="D8649" s="1"/>
      <c r="E8649" s="1"/>
      <c r="F8649" s="1" t="str">
        <f>IFERROR(__xludf.DUMMYFUNCTION("GOOGLETRANSLATE(B8649, ""en"", ""fa"")
"),"درخواست برای معلمان")</f>
        <v>درخواست برای معلمان</v>
      </c>
      <c r="G8649" s="1" t="str">
        <f>IFERROR(__xludf.DUMMYFUNCTION("GOOGLETRANSLATE(C8649, ""en"", ""fa"")
"),"استراتژی‌هایی را برای ترکیب پروژه‌های تحقیقاتی مبتنی بر جامعه در یادگیری در فضای باز بررسی کنید، و دانش‌آموزان را برای بررسی مسائل دنیای واقعی توانمند می‌سازد.")</f>
        <v>استراتژی‌هایی را برای ترکیب پروژه‌های تحقیقاتی مبتنی بر جامعه در یادگیری در فضای باز بررسی کنید، و دانش‌آموزان را برای بررسی مسائل دنیای واقعی توانمند می‌سازد.</v>
      </c>
      <c r="H8649" s="1"/>
      <c r="I8649" s="1"/>
      <c r="J8649" s="1"/>
      <c r="K8649" s="1"/>
      <c r="L8649" s="1"/>
      <c r="M8649" s="1"/>
      <c r="N8649" s="1"/>
      <c r="O8649" s="1"/>
      <c r="P8649" s="1"/>
      <c r="Q8649" s="1"/>
      <c r="R8649" s="1"/>
      <c r="S8649" s="1"/>
      <c r="T8649" s="1"/>
      <c r="U8649" s="1"/>
      <c r="V8649" s="1"/>
      <c r="W8649" s="1"/>
      <c r="X8649" s="1"/>
      <c r="Y8649" s="1"/>
      <c r="Z8649" s="1"/>
      <c r="AA8649" s="1"/>
      <c r="AB8649" s="1"/>
    </row>
    <row r="8650" ht="50.25" customHeight="1">
      <c r="A8650" s="12">
        <v>8646.0</v>
      </c>
      <c r="B8650" s="13" t="s">
        <v>7680</v>
      </c>
      <c r="C8650" s="18" t="s">
        <v>8675</v>
      </c>
      <c r="D8650" s="1"/>
      <c r="E8650" s="1"/>
      <c r="F8650" s="1" t="str">
        <f>IFERROR(__xludf.DUMMYFUNCTION("GOOGLETRANSLATE(B8650, ""en"", ""fa"")
"),"درخواست برای معلمان")</f>
        <v>درخواست برای معلمان</v>
      </c>
      <c r="G8650" s="1" t="str">
        <f>IFERROR(__xludf.DUMMYFUNCTION("GOOGLETRANSLATE(C8650, ""en"", ""fa"")
"),"در مورد نقش یادگیری در فضای باز در ارتقای شایستگی فرهنگی و درک دیدگاه های مختلف بحث کنید.")</f>
        <v>در مورد نقش یادگیری در فضای باز در ارتقای شایستگی فرهنگی و درک دیدگاه های مختلف بحث کنید.</v>
      </c>
      <c r="H8650" s="1"/>
      <c r="I8650" s="1"/>
      <c r="J8650" s="1"/>
      <c r="K8650" s="1"/>
      <c r="L8650" s="1"/>
      <c r="M8650" s="1"/>
      <c r="N8650" s="1"/>
      <c r="O8650" s="1"/>
      <c r="P8650" s="1"/>
      <c r="Q8650" s="1"/>
      <c r="R8650" s="1"/>
      <c r="S8650" s="1"/>
      <c r="T8650" s="1"/>
      <c r="U8650" s="1"/>
      <c r="V8650" s="1"/>
      <c r="W8650" s="1"/>
      <c r="X8650" s="1"/>
      <c r="Y8650" s="1"/>
      <c r="Z8650" s="1"/>
      <c r="AA8650" s="1"/>
      <c r="AB8650" s="1"/>
    </row>
    <row r="8651" ht="50.25" customHeight="1">
      <c r="A8651" s="12">
        <v>8647.0</v>
      </c>
      <c r="B8651" s="13" t="s">
        <v>7680</v>
      </c>
      <c r="C8651" s="18" t="s">
        <v>8676</v>
      </c>
      <c r="D8651" s="1"/>
      <c r="E8651" s="1"/>
      <c r="F8651" s="1" t="str">
        <f>IFERROR(__xludf.DUMMYFUNCTION("GOOGLETRANSLATE(B8651, ""en"", ""fa"")
"),"درخواست برای معلمان")</f>
        <v>درخواست برای معلمان</v>
      </c>
      <c r="G8651" s="1" t="str">
        <f>IFERROR(__xludf.DUMMYFUNCTION("GOOGLETRANSLATE(C8651, ""en"", ""fa"")
"),"تجربیات خود را در مورد استفاده از مجلات یا نمونه کارها برای مستندسازی و نمایش سفرهای یادگیری در فضای باز دانش آموزان به اشتراک بگذارید.")</f>
        <v>تجربیات خود را در مورد استفاده از مجلات یا نمونه کارها برای مستندسازی و نمایش سفرهای یادگیری در فضای باز دانش آموزان به اشتراک بگذارید.</v>
      </c>
      <c r="H8651" s="1"/>
      <c r="I8651" s="1"/>
      <c r="J8651" s="1"/>
      <c r="K8651" s="1"/>
      <c r="L8651" s="1"/>
      <c r="M8651" s="1"/>
      <c r="N8651" s="1"/>
      <c r="O8651" s="1"/>
      <c r="P8651" s="1"/>
      <c r="Q8651" s="1"/>
      <c r="R8651" s="1"/>
      <c r="S8651" s="1"/>
      <c r="T8651" s="1"/>
      <c r="U8651" s="1"/>
      <c r="V8651" s="1"/>
      <c r="W8651" s="1"/>
      <c r="X8651" s="1"/>
      <c r="Y8651" s="1"/>
      <c r="Z8651" s="1"/>
      <c r="AA8651" s="1"/>
      <c r="AB8651" s="1"/>
    </row>
    <row r="8652" ht="50.25" customHeight="1">
      <c r="A8652" s="12">
        <v>8648.0</v>
      </c>
      <c r="B8652" s="13" t="s">
        <v>7680</v>
      </c>
      <c r="C8652" s="18" t="s">
        <v>8677</v>
      </c>
      <c r="D8652" s="1"/>
      <c r="E8652" s="1"/>
      <c r="F8652" s="1" t="str">
        <f>IFERROR(__xludf.DUMMYFUNCTION("GOOGLETRANSLATE(B8652, ""en"", ""fa"")
"),"درخواست برای معلمان")</f>
        <v>درخواست برای معلمان</v>
      </c>
      <c r="G8652" s="1" t="str">
        <f>IFERROR(__xludf.DUMMYFUNCTION("GOOGLETRANSLATE(C8652, ""en"", ""fa"")
"),"در مورد اهمیت گنجاندن ذهن آگاهی و یادگیری اجتماعی-عاطفی در کلاس درس بحث کنید.")</f>
        <v>در مورد اهمیت گنجاندن ذهن آگاهی و یادگیری اجتماعی-عاطفی در کلاس درس بحث کنید.</v>
      </c>
      <c r="H8652" s="1"/>
      <c r="I8652" s="1"/>
      <c r="J8652" s="1"/>
      <c r="K8652" s="1"/>
      <c r="L8652" s="1"/>
      <c r="M8652" s="1"/>
      <c r="N8652" s="1"/>
      <c r="O8652" s="1"/>
      <c r="P8652" s="1"/>
      <c r="Q8652" s="1"/>
      <c r="R8652" s="1"/>
      <c r="S8652" s="1"/>
      <c r="T8652" s="1"/>
      <c r="U8652" s="1"/>
      <c r="V8652" s="1"/>
      <c r="W8652" s="1"/>
      <c r="X8652" s="1"/>
      <c r="Y8652" s="1"/>
      <c r="Z8652" s="1"/>
      <c r="AA8652" s="1"/>
      <c r="AB8652" s="1"/>
    </row>
    <row r="8653" ht="50.25" customHeight="1">
      <c r="A8653" s="12">
        <v>8649.0</v>
      </c>
      <c r="B8653" s="13" t="s">
        <v>7680</v>
      </c>
      <c r="C8653" s="18" t="s">
        <v>8678</v>
      </c>
      <c r="D8653" s="1"/>
      <c r="E8653" s="1"/>
      <c r="F8653" s="1" t="str">
        <f>IFERROR(__xludf.DUMMYFUNCTION("GOOGLETRANSLATE(B8653, ""en"", ""fa"")
"),"درخواست برای معلمان")</f>
        <v>درخواست برای معلمان</v>
      </c>
      <c r="G8653" s="1" t="str">
        <f>IFERROR(__xludf.DUMMYFUNCTION("GOOGLETRANSLATE(C8653, ""en"", ""fa"")
"),"تجربیات خود را در مورد اجرای تکنیک های ذهن آگاهی برای حمایت از رفاه عاطفی دانش آموزان به اشتراک بگذارید.")</f>
        <v>تجربیات خود را در مورد اجرای تکنیک های ذهن آگاهی برای حمایت از رفاه عاطفی دانش آموزان به اشتراک بگذارید.</v>
      </c>
      <c r="H8653" s="1"/>
      <c r="I8653" s="1"/>
      <c r="J8653" s="1"/>
      <c r="K8653" s="1"/>
      <c r="L8653" s="1"/>
      <c r="M8653" s="1"/>
      <c r="N8653" s="1"/>
      <c r="O8653" s="1"/>
      <c r="P8653" s="1"/>
      <c r="Q8653" s="1"/>
      <c r="R8653" s="1"/>
      <c r="S8653" s="1"/>
      <c r="T8653" s="1"/>
      <c r="U8653" s="1"/>
      <c r="V8653" s="1"/>
      <c r="W8653" s="1"/>
      <c r="X8653" s="1"/>
      <c r="Y8653" s="1"/>
      <c r="Z8653" s="1"/>
      <c r="AA8653" s="1"/>
      <c r="AB8653" s="1"/>
    </row>
    <row r="8654" ht="50.25" customHeight="1">
      <c r="A8654" s="12">
        <v>8650.0</v>
      </c>
      <c r="B8654" s="13" t="s">
        <v>7680</v>
      </c>
      <c r="C8654" s="18" t="s">
        <v>8679</v>
      </c>
      <c r="D8654" s="1"/>
      <c r="E8654" s="1"/>
      <c r="F8654" s="1" t="str">
        <f>IFERROR(__xludf.DUMMYFUNCTION("GOOGLETRANSLATE(B8654, ""en"", ""fa"")
"),"درخواست برای معلمان")</f>
        <v>درخواست برای معلمان</v>
      </c>
      <c r="G8654" s="1" t="str">
        <f>IFERROR(__xludf.DUMMYFUNCTION("GOOGLETRANSLATE(C8654, ""en"", ""fa"")
"),"راهبردهایی را برای آموزش خودآگاهی و خودتنظیمی به دانش آموزان از طریق شیوه های ذهن آگاهی کاوش کنید.")</f>
        <v>راهبردهایی را برای آموزش خودآگاهی و خودتنظیمی به دانش آموزان از طریق شیوه های ذهن آگاهی کاوش کنید.</v>
      </c>
      <c r="H8654" s="1"/>
      <c r="I8654" s="1"/>
      <c r="J8654" s="1"/>
      <c r="K8654" s="1"/>
      <c r="L8654" s="1"/>
      <c r="M8654" s="1"/>
      <c r="N8654" s="1"/>
      <c r="O8654" s="1"/>
      <c r="P8654" s="1"/>
      <c r="Q8654" s="1"/>
      <c r="R8654" s="1"/>
      <c r="S8654" s="1"/>
      <c r="T8654" s="1"/>
      <c r="U8654" s="1"/>
      <c r="V8654" s="1"/>
      <c r="W8654" s="1"/>
      <c r="X8654" s="1"/>
      <c r="Y8654" s="1"/>
      <c r="Z8654" s="1"/>
      <c r="AA8654" s="1"/>
      <c r="AB8654" s="1"/>
    </row>
    <row r="8655" ht="50.25" customHeight="1">
      <c r="A8655" s="12">
        <v>8651.0</v>
      </c>
      <c r="B8655" s="13" t="s">
        <v>7680</v>
      </c>
      <c r="C8655" s="18" t="s">
        <v>8680</v>
      </c>
      <c r="D8655" s="1"/>
      <c r="E8655" s="1"/>
      <c r="F8655" s="1" t="str">
        <f>IFERROR(__xludf.DUMMYFUNCTION("GOOGLETRANSLATE(B8655, ""en"", ""fa"")
"),"درخواست برای معلمان")</f>
        <v>درخواست برای معلمان</v>
      </c>
      <c r="G8655" s="1" t="str">
        <f>IFERROR(__xludf.DUMMYFUNCTION("GOOGLETRANSLATE(C8655, ""en"", ""fa"")
"),"در مورد مزایای ذهن آگاهی در ارتقای جو مثبت کلاس درس و کاهش استرس و اضطراب بحث کنید.")</f>
        <v>در مورد مزایای ذهن آگاهی در ارتقای جو مثبت کلاس درس و کاهش استرس و اضطراب بحث کنید.</v>
      </c>
      <c r="H8655" s="1"/>
      <c r="I8655" s="1"/>
      <c r="J8655" s="1"/>
      <c r="K8655" s="1"/>
      <c r="L8655" s="1"/>
      <c r="M8655" s="1"/>
      <c r="N8655" s="1"/>
      <c r="O8655" s="1"/>
      <c r="P8655" s="1"/>
      <c r="Q8655" s="1"/>
      <c r="R8655" s="1"/>
      <c r="S8655" s="1"/>
      <c r="T8655" s="1"/>
      <c r="U8655" s="1"/>
      <c r="V8655" s="1"/>
      <c r="W8655" s="1"/>
      <c r="X8655" s="1"/>
      <c r="Y8655" s="1"/>
      <c r="Z8655" s="1"/>
      <c r="AA8655" s="1"/>
      <c r="AB8655" s="1"/>
    </row>
    <row r="8656" ht="50.25" customHeight="1">
      <c r="A8656" s="12">
        <v>8652.0</v>
      </c>
      <c r="B8656" s="13" t="s">
        <v>7680</v>
      </c>
      <c r="C8656" s="18" t="s">
        <v>8681</v>
      </c>
      <c r="D8656" s="1"/>
      <c r="E8656" s="1"/>
      <c r="F8656" s="1" t="str">
        <f>IFERROR(__xludf.DUMMYFUNCTION("GOOGLETRANSLATE(B8656, ""en"", ""fa"")
"),"درخواست برای معلمان")</f>
        <v>درخواست برای معلمان</v>
      </c>
      <c r="G8656" s="1" t="str">
        <f>IFERROR(__xludf.DUMMYFUNCTION("GOOGLETRANSLATE(C8656, ""en"", ""fa"")
"),"بینش خود را در مورد ادغام فعالیت های ذهن آگاهی با یادگیری اجتماعی-عاطفی برای تقویت هوش هیجانی دانش آموزان به اشتراک بگذارید.")</f>
        <v>بینش خود را در مورد ادغام فعالیت های ذهن آگاهی با یادگیری اجتماعی-عاطفی برای تقویت هوش هیجانی دانش آموزان به اشتراک بگذارید.</v>
      </c>
      <c r="H8656" s="1"/>
      <c r="I8656" s="1"/>
      <c r="J8656" s="1"/>
      <c r="K8656" s="1"/>
      <c r="L8656" s="1"/>
      <c r="M8656" s="1"/>
      <c r="N8656" s="1"/>
      <c r="O8656" s="1"/>
      <c r="P8656" s="1"/>
      <c r="Q8656" s="1"/>
      <c r="R8656" s="1"/>
      <c r="S8656" s="1"/>
      <c r="T8656" s="1"/>
      <c r="U8656" s="1"/>
      <c r="V8656" s="1"/>
      <c r="W8656" s="1"/>
      <c r="X8656" s="1"/>
      <c r="Y8656" s="1"/>
      <c r="Z8656" s="1"/>
      <c r="AA8656" s="1"/>
      <c r="AB8656" s="1"/>
    </row>
    <row r="8657" ht="50.25" customHeight="1">
      <c r="A8657" s="12">
        <v>8653.0</v>
      </c>
      <c r="B8657" s="13" t="s">
        <v>7680</v>
      </c>
      <c r="C8657" s="18" t="s">
        <v>8682</v>
      </c>
      <c r="D8657" s="1"/>
      <c r="E8657" s="1"/>
      <c r="F8657" s="1" t="str">
        <f>IFERROR(__xludf.DUMMYFUNCTION("GOOGLETRANSLATE(B8657, ""en"", ""fa"")
"),"درخواست برای معلمان")</f>
        <v>درخواست برای معلمان</v>
      </c>
      <c r="G8657" s="1" t="str">
        <f>IFERROR(__xludf.DUMMYFUNCTION("GOOGLETRANSLATE(C8657, ""en"", ""fa"")
"),"راه‌هایی برای ترکیب تمرین‌های تنفس آگاهانه برای کمک به دانش‌آموزان برای مدیریت احساسات و افزایش تمرکز کاوش کنید.")</f>
        <v>راه‌هایی برای ترکیب تمرین‌های تنفس آگاهانه برای کمک به دانش‌آموزان برای مدیریت احساسات و افزایش تمرکز کاوش کنید.</v>
      </c>
      <c r="H8657" s="1"/>
      <c r="I8657" s="1"/>
      <c r="J8657" s="1"/>
      <c r="K8657" s="1"/>
      <c r="L8657" s="1"/>
      <c r="M8657" s="1"/>
      <c r="N8657" s="1"/>
      <c r="O8657" s="1"/>
      <c r="P8657" s="1"/>
      <c r="Q8657" s="1"/>
      <c r="R8657" s="1"/>
      <c r="S8657" s="1"/>
      <c r="T8657" s="1"/>
      <c r="U8657" s="1"/>
      <c r="V8657" s="1"/>
      <c r="W8657" s="1"/>
      <c r="X8657" s="1"/>
      <c r="Y8657" s="1"/>
      <c r="Z8657" s="1"/>
      <c r="AA8657" s="1"/>
      <c r="AB8657" s="1"/>
    </row>
    <row r="8658" ht="50.25" customHeight="1">
      <c r="A8658" s="12">
        <v>8654.0</v>
      </c>
      <c r="B8658" s="13" t="s">
        <v>7680</v>
      </c>
      <c r="C8658" s="18" t="s">
        <v>8683</v>
      </c>
      <c r="D8658" s="1"/>
      <c r="E8658" s="1"/>
      <c r="F8658" s="1" t="str">
        <f>IFERROR(__xludf.DUMMYFUNCTION("GOOGLETRANSLATE(B8658, ""en"", ""fa"")
"),"درخواست برای معلمان")</f>
        <v>درخواست برای معلمان</v>
      </c>
      <c r="G8658" s="1" t="str">
        <f>IFERROR(__xludf.DUMMYFUNCTION("GOOGLETRANSLATE(C8658, ""en"", ""fa"")
"),"درباره نقش ذهن آگاهی در پرورش همدلی و پرورش حس شفقت در بین دانش آموزان بحث کنید.")</f>
        <v>درباره نقش ذهن آگاهی در پرورش همدلی و پرورش حس شفقت در بین دانش آموزان بحث کنید.</v>
      </c>
      <c r="H8658" s="1"/>
      <c r="I8658" s="1"/>
      <c r="J8658" s="1"/>
      <c r="K8658" s="1"/>
      <c r="L8658" s="1"/>
      <c r="M8658" s="1"/>
      <c r="N8658" s="1"/>
      <c r="O8658" s="1"/>
      <c r="P8658" s="1"/>
      <c r="Q8658" s="1"/>
      <c r="R8658" s="1"/>
      <c r="S8658" s="1"/>
      <c r="T8658" s="1"/>
      <c r="U8658" s="1"/>
      <c r="V8658" s="1"/>
      <c r="W8658" s="1"/>
      <c r="X8658" s="1"/>
      <c r="Y8658" s="1"/>
      <c r="Z8658" s="1"/>
      <c r="AA8658" s="1"/>
      <c r="AB8658" s="1"/>
    </row>
    <row r="8659" ht="50.25" customHeight="1">
      <c r="A8659" s="12">
        <v>8655.0</v>
      </c>
      <c r="B8659" s="13" t="s">
        <v>7680</v>
      </c>
      <c r="C8659" s="18" t="s">
        <v>8684</v>
      </c>
      <c r="D8659" s="1"/>
      <c r="E8659" s="1"/>
      <c r="F8659" s="1" t="str">
        <f>IFERROR(__xludf.DUMMYFUNCTION("GOOGLETRANSLATE(B8659, ""en"", ""fa"")
"),"درخواست برای معلمان")</f>
        <v>درخواست برای معلمان</v>
      </c>
      <c r="G8659" s="1" t="str">
        <f>IFERROR(__xludf.DUMMYFUNCTION("GOOGLETRANSLATE(C8659, ""en"", ""fa"")
"),"تجربیات خود را در مورد استفاده از تکنیک های ذهن آگاهی برای حمایت از توجه و تمرکز دانش آموزان در کلاس درس به اشتراک بگذارید.")</f>
        <v>تجربیات خود را در مورد استفاده از تکنیک های ذهن آگاهی برای حمایت از توجه و تمرکز دانش آموزان در کلاس درس به اشتراک بگذارید.</v>
      </c>
      <c r="H8659" s="1"/>
      <c r="I8659" s="1"/>
      <c r="J8659" s="1"/>
      <c r="K8659" s="1"/>
      <c r="L8659" s="1"/>
      <c r="M8659" s="1"/>
      <c r="N8659" s="1"/>
      <c r="O8659" s="1"/>
      <c r="P8659" s="1"/>
      <c r="Q8659" s="1"/>
      <c r="R8659" s="1"/>
      <c r="S8659" s="1"/>
      <c r="T8659" s="1"/>
      <c r="U8659" s="1"/>
      <c r="V8659" s="1"/>
      <c r="W8659" s="1"/>
      <c r="X8659" s="1"/>
      <c r="Y8659" s="1"/>
      <c r="Z8659" s="1"/>
      <c r="AA8659" s="1"/>
      <c r="AB8659" s="1"/>
    </row>
    <row r="8660" ht="50.25" customHeight="1">
      <c r="A8660" s="12">
        <v>8656.0</v>
      </c>
      <c r="B8660" s="13" t="s">
        <v>7680</v>
      </c>
      <c r="C8660" s="18" t="s">
        <v>8685</v>
      </c>
      <c r="D8660" s="1"/>
      <c r="E8660" s="1"/>
      <c r="F8660" s="1" t="str">
        <f>IFERROR(__xludf.DUMMYFUNCTION("GOOGLETRANSLATE(B8660, ""en"", ""fa"")
"),"درخواست برای معلمان")</f>
        <v>درخواست برای معلمان</v>
      </c>
      <c r="G8660" s="1" t="str">
        <f>IFERROR(__xludf.DUMMYFUNCTION("GOOGLETRANSLATE(C8660, ""en"", ""fa"")
"),"استراتژی‌هایی را برای ترکیب شیوه‌های قدردانی برای ترویج ذهنیت مثبت و قدردانی در بین دانش‌آموزان بررسی کنید.")</f>
        <v>استراتژی‌هایی را برای ترکیب شیوه‌های قدردانی برای ترویج ذهنیت مثبت و قدردانی در بین دانش‌آموزان بررسی کنید.</v>
      </c>
      <c r="H8660" s="1"/>
      <c r="I8660" s="1"/>
      <c r="J8660" s="1"/>
      <c r="K8660" s="1"/>
      <c r="L8660" s="1"/>
      <c r="M8660" s="1"/>
      <c r="N8660" s="1"/>
      <c r="O8660" s="1"/>
      <c r="P8660" s="1"/>
      <c r="Q8660" s="1"/>
      <c r="R8660" s="1"/>
      <c r="S8660" s="1"/>
      <c r="T8660" s="1"/>
      <c r="U8660" s="1"/>
      <c r="V8660" s="1"/>
      <c r="W8660" s="1"/>
      <c r="X8660" s="1"/>
      <c r="Y8660" s="1"/>
      <c r="Z8660" s="1"/>
      <c r="AA8660" s="1"/>
      <c r="AB8660" s="1"/>
    </row>
    <row r="8661" ht="50.25" customHeight="1">
      <c r="A8661" s="12">
        <v>8657.0</v>
      </c>
      <c r="B8661" s="13" t="s">
        <v>7680</v>
      </c>
      <c r="C8661" s="18" t="s">
        <v>8686</v>
      </c>
      <c r="D8661" s="1"/>
      <c r="E8661" s="1"/>
      <c r="F8661" s="1" t="str">
        <f>IFERROR(__xludf.DUMMYFUNCTION("GOOGLETRANSLATE(B8661, ""en"", ""fa"")
"),"درخواست برای معلمان")</f>
        <v>درخواست برای معلمان</v>
      </c>
      <c r="G8661" s="1" t="str">
        <f>IFERROR(__xludf.DUMMYFUNCTION("GOOGLETRANSLATE(C8661, ""en"", ""fa"")
"),"در مورد تأثیر ذهن آگاهی بر مهارت های اجتماعی دانش آموزان و توانایی آنها در ایجاد روابط مثبت با همسالان بحث کنید.")</f>
        <v>در مورد تأثیر ذهن آگاهی بر مهارت های اجتماعی دانش آموزان و توانایی آنها در ایجاد روابط مثبت با همسالان بحث کنید.</v>
      </c>
      <c r="H8661" s="1"/>
      <c r="I8661" s="1"/>
      <c r="J8661" s="1"/>
      <c r="K8661" s="1"/>
      <c r="L8661" s="1"/>
      <c r="M8661" s="1"/>
      <c r="N8661" s="1"/>
      <c r="O8661" s="1"/>
      <c r="P8661" s="1"/>
      <c r="Q8661" s="1"/>
      <c r="R8661" s="1"/>
      <c r="S8661" s="1"/>
      <c r="T8661" s="1"/>
      <c r="U8661" s="1"/>
      <c r="V8661" s="1"/>
      <c r="W8661" s="1"/>
      <c r="X8661" s="1"/>
      <c r="Y8661" s="1"/>
      <c r="Z8661" s="1"/>
      <c r="AA8661" s="1"/>
      <c r="AB8661" s="1"/>
    </row>
    <row r="8662" ht="50.25" customHeight="1">
      <c r="A8662" s="12">
        <v>8658.0</v>
      </c>
      <c r="B8662" s="13" t="s">
        <v>7680</v>
      </c>
      <c r="C8662" s="18" t="s">
        <v>8687</v>
      </c>
      <c r="D8662" s="1"/>
      <c r="E8662" s="1"/>
      <c r="F8662" s="1" t="str">
        <f>IFERROR(__xludf.DUMMYFUNCTION("GOOGLETRANSLATE(B8662, ""en"", ""fa"")
"),"درخواست برای معلمان")</f>
        <v>درخواست برای معلمان</v>
      </c>
      <c r="G8662" s="1" t="str">
        <f>IFERROR(__xludf.DUMMYFUNCTION("GOOGLETRANSLATE(C8662, ""en"", ""fa"")
"),"بینش خود را در مورد استفاده از فعالیت های ذهن آگاهی برای ترویج حل تعارض و حل مسالمت آمیز مشکلات در کلاس درس به اشتراک بگذارید.")</f>
        <v>بینش خود را در مورد استفاده از فعالیت های ذهن آگاهی برای ترویج حل تعارض و حل مسالمت آمیز مشکلات در کلاس درس به اشتراک بگذارید.</v>
      </c>
      <c r="H8662" s="1"/>
      <c r="I8662" s="1"/>
      <c r="J8662" s="1"/>
      <c r="K8662" s="1"/>
      <c r="L8662" s="1"/>
      <c r="M8662" s="1"/>
      <c r="N8662" s="1"/>
      <c r="O8662" s="1"/>
      <c r="P8662" s="1"/>
      <c r="Q8662" s="1"/>
      <c r="R8662" s="1"/>
      <c r="S8662" s="1"/>
      <c r="T8662" s="1"/>
      <c r="U8662" s="1"/>
      <c r="V8662" s="1"/>
      <c r="W8662" s="1"/>
      <c r="X8662" s="1"/>
      <c r="Y8662" s="1"/>
      <c r="Z8662" s="1"/>
      <c r="AA8662" s="1"/>
      <c r="AB8662" s="1"/>
    </row>
    <row r="8663" ht="50.25" customHeight="1">
      <c r="A8663" s="12">
        <v>8659.0</v>
      </c>
      <c r="B8663" s="13" t="s">
        <v>7680</v>
      </c>
      <c r="C8663" s="18" t="s">
        <v>8688</v>
      </c>
      <c r="D8663" s="1"/>
      <c r="E8663" s="1"/>
      <c r="F8663" s="1" t="str">
        <f>IFERROR(__xludf.DUMMYFUNCTION("GOOGLETRANSLATE(B8663, ""en"", ""fa"")
"),"درخواست برای معلمان")</f>
        <v>درخواست برای معلمان</v>
      </c>
      <c r="G8663" s="1" t="str">
        <f>IFERROR(__xludf.DUMMYFUNCTION("GOOGLETRANSLATE(C8663, ""en"", ""fa"")
"),"راه‌هایی را برای ادغام ذهن‌آگاهی در موضوعات آکادمیک برای افزایش تجارب یادگیری دانش‌آموزان بررسی کنید.")</f>
        <v>راه‌هایی را برای ادغام ذهن‌آگاهی در موضوعات آکادمیک برای افزایش تجارب یادگیری دانش‌آموزان بررسی کنید.</v>
      </c>
      <c r="H8663" s="1"/>
      <c r="I8663" s="1"/>
      <c r="J8663" s="1"/>
      <c r="K8663" s="1"/>
      <c r="L8663" s="1"/>
      <c r="M8663" s="1"/>
      <c r="N8663" s="1"/>
      <c r="O8663" s="1"/>
      <c r="P8663" s="1"/>
      <c r="Q8663" s="1"/>
      <c r="R8663" s="1"/>
      <c r="S8663" s="1"/>
      <c r="T8663" s="1"/>
      <c r="U8663" s="1"/>
      <c r="V8663" s="1"/>
      <c r="W8663" s="1"/>
      <c r="X8663" s="1"/>
      <c r="Y8663" s="1"/>
      <c r="Z8663" s="1"/>
      <c r="AA8663" s="1"/>
      <c r="AB8663" s="1"/>
    </row>
    <row r="8664" ht="50.25" customHeight="1">
      <c r="A8664" s="12">
        <v>8660.0</v>
      </c>
      <c r="B8664" s="13" t="s">
        <v>7680</v>
      </c>
      <c r="C8664" s="18" t="s">
        <v>8689</v>
      </c>
      <c r="D8664" s="1"/>
      <c r="E8664" s="1"/>
      <c r="F8664" s="1" t="str">
        <f>IFERROR(__xludf.DUMMYFUNCTION("GOOGLETRANSLATE(B8664, ""en"", ""fa"")
"),"درخواست برای معلمان")</f>
        <v>درخواست برای معلمان</v>
      </c>
      <c r="G8664" s="1" t="str">
        <f>IFERROR(__xludf.DUMMYFUNCTION("GOOGLETRANSLATE(C8664, ""en"", ""fa"")
"),"درباره اهمیت شیوه های خودمراقبتی و ذهن آگاهی معلم در ارتقای یک محیط کلاس درس مثبت بحث کنید.")</f>
        <v>درباره اهمیت شیوه های خودمراقبتی و ذهن آگاهی معلم در ارتقای یک محیط کلاس درس مثبت بحث کنید.</v>
      </c>
      <c r="H8664" s="1"/>
      <c r="I8664" s="1"/>
      <c r="J8664" s="1"/>
      <c r="K8664" s="1"/>
      <c r="L8664" s="1"/>
      <c r="M8664" s="1"/>
      <c r="N8664" s="1"/>
      <c r="O8664" s="1"/>
      <c r="P8664" s="1"/>
      <c r="Q8664" s="1"/>
      <c r="R8664" s="1"/>
      <c r="S8664" s="1"/>
      <c r="T8664" s="1"/>
      <c r="U8664" s="1"/>
      <c r="V8664" s="1"/>
      <c r="W8664" s="1"/>
      <c r="X8664" s="1"/>
      <c r="Y8664" s="1"/>
      <c r="Z8664" s="1"/>
      <c r="AA8664" s="1"/>
      <c r="AB8664" s="1"/>
    </row>
    <row r="8665" ht="50.25" customHeight="1">
      <c r="A8665" s="12">
        <v>8661.0</v>
      </c>
      <c r="B8665" s="13" t="s">
        <v>7680</v>
      </c>
      <c r="C8665" s="18" t="s">
        <v>8690</v>
      </c>
      <c r="D8665" s="1"/>
      <c r="E8665" s="1"/>
      <c r="F8665" s="1" t="str">
        <f>IFERROR(__xludf.DUMMYFUNCTION("GOOGLETRANSLATE(B8665, ""en"", ""fa"")
"),"درخواست برای معلمان")</f>
        <v>درخواست برای معلمان</v>
      </c>
      <c r="G8665" s="1" t="str">
        <f>IFERROR(__xludf.DUMMYFUNCTION("GOOGLETRANSLATE(C8665, ""en"", ""fa"")
"),"تجربیات خود را در مورد استفاده از تمرینات ذهن آگاهی برای حمایت از تاب آوری و مهارت های مقابله ای دانش آموزان به اشتراک بگذارید.")</f>
        <v>تجربیات خود را در مورد استفاده از تمرینات ذهن آگاهی برای حمایت از تاب آوری و مهارت های مقابله ای دانش آموزان به اشتراک بگذارید.</v>
      </c>
      <c r="H8665" s="1"/>
      <c r="I8665" s="1"/>
      <c r="J8665" s="1"/>
      <c r="K8665" s="1"/>
      <c r="L8665" s="1"/>
      <c r="M8665" s="1"/>
      <c r="N8665" s="1"/>
      <c r="O8665" s="1"/>
      <c r="P8665" s="1"/>
      <c r="Q8665" s="1"/>
      <c r="R8665" s="1"/>
      <c r="S8665" s="1"/>
      <c r="T8665" s="1"/>
      <c r="U8665" s="1"/>
      <c r="V8665" s="1"/>
      <c r="W8665" s="1"/>
      <c r="X8665" s="1"/>
      <c r="Y8665" s="1"/>
      <c r="Z8665" s="1"/>
      <c r="AA8665" s="1"/>
      <c r="AB8665" s="1"/>
    </row>
    <row r="8666" ht="50.25" customHeight="1">
      <c r="A8666" s="12">
        <v>8662.0</v>
      </c>
      <c r="B8666" s="13" t="s">
        <v>7680</v>
      </c>
      <c r="C8666" s="18" t="s">
        <v>8691</v>
      </c>
      <c r="D8666" s="1"/>
      <c r="E8666" s="1"/>
      <c r="F8666" s="1" t="str">
        <f>IFERROR(__xludf.DUMMYFUNCTION("GOOGLETRANSLATE(B8666, ""en"", ""fa"")
"),"درخواست برای معلمان")</f>
        <v>درخواست برای معلمان</v>
      </c>
      <c r="G8666" s="1" t="str">
        <f>IFERROR(__xludf.DUMMYFUNCTION("GOOGLETRANSLATE(C8666, ""en"", ""fa"")
"),"استراتژی‌هایی را برای ترکیب فعالیت‌های حرکتی مبتنی بر ذهن آگاهی، مانند یوگا یا تای چی، برای تقویت ارتباط ذهن و بدن دانش‌آموزان بررسی کنید.")</f>
        <v>استراتژی‌هایی را برای ترکیب فعالیت‌های حرکتی مبتنی بر ذهن آگاهی، مانند یوگا یا تای چی، برای تقویت ارتباط ذهن و بدن دانش‌آموزان بررسی کنید.</v>
      </c>
      <c r="H8666" s="1"/>
      <c r="I8666" s="1"/>
      <c r="J8666" s="1"/>
      <c r="K8666" s="1"/>
      <c r="L8666" s="1"/>
      <c r="M8666" s="1"/>
      <c r="N8666" s="1"/>
      <c r="O8666" s="1"/>
      <c r="P8666" s="1"/>
      <c r="Q8666" s="1"/>
      <c r="R8666" s="1"/>
      <c r="S8666" s="1"/>
      <c r="T8666" s="1"/>
      <c r="U8666" s="1"/>
      <c r="V8666" s="1"/>
      <c r="W8666" s="1"/>
      <c r="X8666" s="1"/>
      <c r="Y8666" s="1"/>
      <c r="Z8666" s="1"/>
      <c r="AA8666" s="1"/>
      <c r="AB8666" s="1"/>
    </row>
    <row r="8667" ht="50.25" customHeight="1">
      <c r="A8667" s="12">
        <v>8663.0</v>
      </c>
      <c r="B8667" s="13" t="s">
        <v>7680</v>
      </c>
      <c r="C8667" s="18" t="s">
        <v>8692</v>
      </c>
      <c r="D8667" s="1"/>
      <c r="E8667" s="1"/>
      <c r="F8667" s="1" t="str">
        <f>IFERROR(__xludf.DUMMYFUNCTION("GOOGLETRANSLATE(B8667, ""en"", ""fa"")
"),"درخواست برای معلمان")</f>
        <v>درخواست برای معلمان</v>
      </c>
      <c r="G8667" s="1" t="str">
        <f>IFERROR(__xludf.DUMMYFUNCTION("GOOGLETRANSLATE(C8667, ""en"", ""fa"")
"),"درباره نقش ذهن آگاهی در ارتقای تنظیم هیجانی و کاهش چالش های رفتاری در کلاس بحث کنید.")</f>
        <v>درباره نقش ذهن آگاهی در ارتقای تنظیم هیجانی و کاهش چالش های رفتاری در کلاس بحث کنید.</v>
      </c>
      <c r="H8667" s="1"/>
      <c r="I8667" s="1"/>
      <c r="J8667" s="1"/>
      <c r="K8667" s="1"/>
      <c r="L8667" s="1"/>
      <c r="M8667" s="1"/>
      <c r="N8667" s="1"/>
      <c r="O8667" s="1"/>
      <c r="P8667" s="1"/>
      <c r="Q8667" s="1"/>
      <c r="R8667" s="1"/>
      <c r="S8667" s="1"/>
      <c r="T8667" s="1"/>
      <c r="U8667" s="1"/>
      <c r="V8667" s="1"/>
      <c r="W8667" s="1"/>
      <c r="X8667" s="1"/>
      <c r="Y8667" s="1"/>
      <c r="Z8667" s="1"/>
      <c r="AA8667" s="1"/>
      <c r="AB8667" s="1"/>
    </row>
    <row r="8668" ht="50.25" customHeight="1">
      <c r="A8668" s="12">
        <v>8664.0</v>
      </c>
      <c r="B8668" s="13" t="s">
        <v>7680</v>
      </c>
      <c r="C8668" s="18" t="s">
        <v>8693</v>
      </c>
      <c r="D8668" s="1"/>
      <c r="E8668" s="1"/>
      <c r="F8668" s="1" t="str">
        <f>IFERROR(__xludf.DUMMYFUNCTION("GOOGLETRANSLATE(B8668, ""en"", ""fa"")
"),"درخواست برای معلمان")</f>
        <v>درخواست برای معلمان</v>
      </c>
      <c r="G8668" s="1" t="str">
        <f>IFERROR(__xludf.DUMMYFUNCTION("GOOGLETRANSLATE(C8668, ""en"", ""fa"")
"),"بینش خود را در مورد استفاده از تکنیک های ذهن آگاهی برای حمایت از تصمیم گیری و کنترل تکانه دانش آموزان به اشتراک بگذارید.")</f>
        <v>بینش خود را در مورد استفاده از تکنیک های ذهن آگاهی برای حمایت از تصمیم گیری و کنترل تکانه دانش آموزان به اشتراک بگذارید.</v>
      </c>
      <c r="H8668" s="1"/>
      <c r="I8668" s="1"/>
      <c r="J8668" s="1"/>
      <c r="K8668" s="1"/>
      <c r="L8668" s="1"/>
      <c r="M8668" s="1"/>
      <c r="N8668" s="1"/>
      <c r="O8668" s="1"/>
      <c r="P8668" s="1"/>
      <c r="Q8668" s="1"/>
      <c r="R8668" s="1"/>
      <c r="S8668" s="1"/>
      <c r="T8668" s="1"/>
      <c r="U8668" s="1"/>
      <c r="V8668" s="1"/>
      <c r="W8668" s="1"/>
      <c r="X8668" s="1"/>
      <c r="Y8668" s="1"/>
      <c r="Z8668" s="1"/>
      <c r="AA8668" s="1"/>
      <c r="AB8668" s="1"/>
    </row>
    <row r="8669" ht="50.25" customHeight="1">
      <c r="A8669" s="12">
        <v>8665.0</v>
      </c>
      <c r="B8669" s="13" t="s">
        <v>7680</v>
      </c>
      <c r="C8669" s="18" t="s">
        <v>8694</v>
      </c>
      <c r="D8669" s="1"/>
      <c r="E8669" s="1"/>
      <c r="F8669" s="1" t="str">
        <f>IFERROR(__xludf.DUMMYFUNCTION("GOOGLETRANSLATE(B8669, ""en"", ""fa"")
"),"درخواست برای معلمان")</f>
        <v>درخواست برای معلمان</v>
      </c>
      <c r="G8669" s="1" t="str">
        <f>IFERROR(__xludf.DUMMYFUNCTION("GOOGLETRANSLATE(C8669, ""en"", ""fa"")
"),"راه‌هایی برای گنجاندن ذهن‌آگاهی در روال‌ها و انتقال‌های روزانه کلاس درس برای ارتقای یک محیط یادگیری آرام و متمرکز بررسی کنید.")</f>
        <v>راه‌هایی برای گنجاندن ذهن‌آگاهی در روال‌ها و انتقال‌های روزانه کلاس درس برای ارتقای یک محیط یادگیری آرام و متمرکز بررسی کنید.</v>
      </c>
      <c r="H8669" s="1"/>
      <c r="I8669" s="1"/>
      <c r="J8669" s="1"/>
      <c r="K8669" s="1"/>
      <c r="L8669" s="1"/>
      <c r="M8669" s="1"/>
      <c r="N8669" s="1"/>
      <c r="O8669" s="1"/>
      <c r="P8669" s="1"/>
      <c r="Q8669" s="1"/>
      <c r="R8669" s="1"/>
      <c r="S8669" s="1"/>
      <c r="T8669" s="1"/>
      <c r="U8669" s="1"/>
      <c r="V8669" s="1"/>
      <c r="W8669" s="1"/>
      <c r="X8669" s="1"/>
      <c r="Y8669" s="1"/>
      <c r="Z8669" s="1"/>
      <c r="AA8669" s="1"/>
      <c r="AB8669" s="1"/>
    </row>
    <row r="8670" ht="50.25" customHeight="1">
      <c r="A8670" s="12">
        <v>8666.0</v>
      </c>
      <c r="B8670" s="13" t="s">
        <v>7680</v>
      </c>
      <c r="C8670" s="18" t="s">
        <v>8695</v>
      </c>
      <c r="D8670" s="1"/>
      <c r="E8670" s="1"/>
      <c r="F8670" s="1" t="str">
        <f>IFERROR(__xludf.DUMMYFUNCTION("GOOGLETRANSLATE(B8670, ""en"", ""fa"")
"),"درخواست برای معلمان")</f>
        <v>درخواست برای معلمان</v>
      </c>
      <c r="G8670" s="1" t="str">
        <f>IFERROR(__xludf.DUMMYFUNCTION("GOOGLETRANSLATE(C8670, ""en"", ""fa"")
"),"در مورد مزایای ذهن آگاهی در ارتقای اعتماد به نفس و خودانگاره مثبت دانش آموزان بحث کنید.")</f>
        <v>در مورد مزایای ذهن آگاهی در ارتقای اعتماد به نفس و خودانگاره مثبت دانش آموزان بحث کنید.</v>
      </c>
      <c r="H8670" s="1"/>
      <c r="I8670" s="1"/>
      <c r="J8670" s="1"/>
      <c r="K8670" s="1"/>
      <c r="L8670" s="1"/>
      <c r="M8670" s="1"/>
      <c r="N8670" s="1"/>
      <c r="O8670" s="1"/>
      <c r="P8670" s="1"/>
      <c r="Q8670" s="1"/>
      <c r="R8670" s="1"/>
      <c r="S8670" s="1"/>
      <c r="T8670" s="1"/>
      <c r="U8670" s="1"/>
      <c r="V8670" s="1"/>
      <c r="W8670" s="1"/>
      <c r="X8670" s="1"/>
      <c r="Y8670" s="1"/>
      <c r="Z8670" s="1"/>
      <c r="AA8670" s="1"/>
      <c r="AB8670" s="1"/>
    </row>
    <row r="8671" ht="50.25" customHeight="1">
      <c r="A8671" s="12">
        <v>8667.0</v>
      </c>
      <c r="B8671" s="13" t="s">
        <v>7680</v>
      </c>
      <c r="C8671" s="18" t="s">
        <v>8696</v>
      </c>
      <c r="D8671" s="1"/>
      <c r="E8671" s="1"/>
      <c r="F8671" s="1" t="str">
        <f>IFERROR(__xludf.DUMMYFUNCTION("GOOGLETRANSLATE(B8671, ""en"", ""fa"")
"),"درخواست برای معلمان")</f>
        <v>درخواست برای معلمان</v>
      </c>
      <c r="G8671" s="1" t="str">
        <f>IFERROR(__xludf.DUMMYFUNCTION("GOOGLETRANSLATE(C8671, ""en"", ""fa"")
"),"تجربیات خود را در مورد استفاده از شیوه های ذهن آگاهی برای حمایت از مدیریت استرس دانش آموزان در طول امتحانات یا موقعیت های پرفشار به اشتراک بگذارید.")</f>
        <v>تجربیات خود را در مورد استفاده از شیوه های ذهن آگاهی برای حمایت از مدیریت استرس دانش آموزان در طول امتحانات یا موقعیت های پرفشار به اشتراک بگذارید.</v>
      </c>
      <c r="H8671" s="1"/>
      <c r="I8671" s="1"/>
      <c r="J8671" s="1"/>
      <c r="K8671" s="1"/>
      <c r="L8671" s="1"/>
      <c r="M8671" s="1"/>
      <c r="N8671" s="1"/>
      <c r="O8671" s="1"/>
      <c r="P8671" s="1"/>
      <c r="Q8671" s="1"/>
      <c r="R8671" s="1"/>
      <c r="S8671" s="1"/>
      <c r="T8671" s="1"/>
      <c r="U8671" s="1"/>
      <c r="V8671" s="1"/>
      <c r="W8671" s="1"/>
      <c r="X8671" s="1"/>
      <c r="Y8671" s="1"/>
      <c r="Z8671" s="1"/>
      <c r="AA8671" s="1"/>
      <c r="AB8671" s="1"/>
    </row>
    <row r="8672" ht="50.25" customHeight="1">
      <c r="A8672" s="12">
        <v>8668.0</v>
      </c>
      <c r="B8672" s="13" t="s">
        <v>7680</v>
      </c>
      <c r="C8672" s="18" t="s">
        <v>8697</v>
      </c>
      <c r="D8672" s="1"/>
      <c r="E8672" s="1"/>
      <c r="F8672" s="1" t="str">
        <f>IFERROR(__xludf.DUMMYFUNCTION("GOOGLETRANSLATE(B8672, ""en"", ""fa"")
"),"درخواست برای معلمان")</f>
        <v>درخواست برای معلمان</v>
      </c>
      <c r="G8672" s="1" t="str">
        <f>IFERROR(__xludf.DUMMYFUNCTION("GOOGLETRANSLATE(C8672, ""en"", ""fa"")
"),"استراتژی‌هایی را برای ترکیب فعالیت‌های مبتنی بر ذهن آگاهی در محیط‌های یادگیری مجازی یا آنلاین بررسی کنید.")</f>
        <v>استراتژی‌هایی را برای ترکیب فعالیت‌های مبتنی بر ذهن آگاهی در محیط‌های یادگیری مجازی یا آنلاین بررسی کنید.</v>
      </c>
      <c r="H8672" s="1"/>
      <c r="I8672" s="1"/>
      <c r="J8672" s="1"/>
      <c r="K8672" s="1"/>
      <c r="L8672" s="1"/>
      <c r="M8672" s="1"/>
      <c r="N8672" s="1"/>
      <c r="O8672" s="1"/>
      <c r="P8672" s="1"/>
      <c r="Q8672" s="1"/>
      <c r="R8672" s="1"/>
      <c r="S8672" s="1"/>
      <c r="T8672" s="1"/>
      <c r="U8672" s="1"/>
      <c r="V8672" s="1"/>
      <c r="W8672" s="1"/>
      <c r="X8672" s="1"/>
      <c r="Y8672" s="1"/>
      <c r="Z8672" s="1"/>
      <c r="AA8672" s="1"/>
      <c r="AB8672" s="1"/>
    </row>
    <row r="8673" ht="50.25" customHeight="1">
      <c r="A8673" s="12">
        <v>8669.0</v>
      </c>
      <c r="B8673" s="13" t="s">
        <v>7680</v>
      </c>
      <c r="C8673" s="18" t="s">
        <v>8698</v>
      </c>
      <c r="D8673" s="1"/>
      <c r="E8673" s="1"/>
      <c r="F8673" s="1" t="str">
        <f>IFERROR(__xludf.DUMMYFUNCTION("GOOGLETRANSLATE(B8673, ""en"", ""fa"")
"),"درخواست برای معلمان")</f>
        <v>درخواست برای معلمان</v>
      </c>
      <c r="G8673" s="1" t="str">
        <f>IFERROR(__xludf.DUMMYFUNCTION("GOOGLETRANSLATE(C8673, ""en"", ""fa"")
"),"در مورد نقش ذهن آگاهی در ترویج ذهنیت رشد و پرورش پشتکار و انعطاف پذیری دانش آموزان بحث کنید.")</f>
        <v>در مورد نقش ذهن آگاهی در ترویج ذهنیت رشد و پرورش پشتکار و انعطاف پذیری دانش آموزان بحث کنید.</v>
      </c>
      <c r="H8673" s="1"/>
      <c r="I8673" s="1"/>
      <c r="J8673" s="1"/>
      <c r="K8673" s="1"/>
      <c r="L8673" s="1"/>
      <c r="M8673" s="1"/>
      <c r="N8673" s="1"/>
      <c r="O8673" s="1"/>
      <c r="P8673" s="1"/>
      <c r="Q8673" s="1"/>
      <c r="R8673" s="1"/>
      <c r="S8673" s="1"/>
      <c r="T8673" s="1"/>
      <c r="U8673" s="1"/>
      <c r="V8673" s="1"/>
      <c r="W8673" s="1"/>
      <c r="X8673" s="1"/>
      <c r="Y8673" s="1"/>
      <c r="Z8673" s="1"/>
      <c r="AA8673" s="1"/>
      <c r="AB8673" s="1"/>
    </row>
    <row r="8674" ht="50.25" customHeight="1">
      <c r="A8674" s="12">
        <v>8670.0</v>
      </c>
      <c r="B8674" s="13" t="s">
        <v>8699</v>
      </c>
      <c r="C8674" s="18" t="s">
        <v>8700</v>
      </c>
      <c r="D8674" s="1"/>
      <c r="E8674" s="1"/>
      <c r="F8674" s="1" t="str">
        <f>IFERROR(__xludf.DUMMYFUNCTION("GOOGLETRANSLATE(B8674, ""en"", ""fa"")
"),"موفقیت در پادکست")</f>
        <v>موفقیت در پادکست</v>
      </c>
      <c r="G8674" s="1" t="str">
        <f>IFERROR(__xludf.DUMMYFUNCTION("GOOGLETRANSLATE(C8674, ""en"", ""fa"")
"),"چگونه اسکریپت هایی بنویسیم که با قالب های مختلف پادکست، مانند نمایش های انفرادی، مصاحبه ها یا داستان سرایی روایی سازگار باشد؟")</f>
        <v>چگونه اسکریپت هایی بنویسیم که با قالب های مختلف پادکست، مانند نمایش های انفرادی، مصاحبه ها یا داستان سرایی روایی سازگار باشد؟</v>
      </c>
      <c r="H8674" s="1"/>
      <c r="I8674" s="1"/>
      <c r="J8674" s="1"/>
      <c r="K8674" s="1"/>
      <c r="L8674" s="1"/>
      <c r="M8674" s="1"/>
      <c r="N8674" s="1"/>
      <c r="O8674" s="1"/>
      <c r="P8674" s="1"/>
      <c r="Q8674" s="1"/>
      <c r="R8674" s="1"/>
      <c r="S8674" s="1"/>
      <c r="T8674" s="1"/>
      <c r="U8674" s="1"/>
      <c r="V8674" s="1"/>
      <c r="W8674" s="1"/>
      <c r="X8674" s="1"/>
      <c r="Y8674" s="1"/>
      <c r="Z8674" s="1"/>
      <c r="AA8674" s="1"/>
      <c r="AB8674" s="1"/>
    </row>
    <row r="8675" ht="50.25" customHeight="1">
      <c r="A8675" s="12">
        <v>8671.0</v>
      </c>
      <c r="B8675" s="13" t="s">
        <v>8699</v>
      </c>
      <c r="C8675" s="18" t="s">
        <v>8701</v>
      </c>
      <c r="D8675" s="1"/>
      <c r="E8675" s="1"/>
      <c r="F8675" s="1" t="str">
        <f>IFERROR(__xludf.DUMMYFUNCTION("GOOGLETRANSLATE(B8675, ""en"", ""fa"")
"),"موفقیت در پادکست")</f>
        <v>موفقیت در پادکست</v>
      </c>
      <c r="G8675" s="1" t="str">
        <f>IFERROR(__xludf.DUMMYFUNCTION("GOOGLETRANSLATE(C8675, ""en"", ""fa"")
"),"استراتژی‌هایی برای تطبیق اسکریپت پادکست شما برای طول قسمت‌های مختلف، از مینی اپیزود تا محتوای طولانی‌تر چیست؟")</f>
        <v>استراتژی‌هایی برای تطبیق اسکریپت پادکست شما برای طول قسمت‌های مختلف، از مینی اپیزود تا محتوای طولانی‌تر چیست؟</v>
      </c>
      <c r="H8675" s="1"/>
      <c r="I8675" s="1"/>
      <c r="J8675" s="1"/>
      <c r="K8675" s="1"/>
      <c r="L8675" s="1"/>
      <c r="M8675" s="1"/>
      <c r="N8675" s="1"/>
      <c r="O8675" s="1"/>
      <c r="P8675" s="1"/>
      <c r="Q8675" s="1"/>
      <c r="R8675" s="1"/>
      <c r="S8675" s="1"/>
      <c r="T8675" s="1"/>
      <c r="U8675" s="1"/>
      <c r="V8675" s="1"/>
      <c r="W8675" s="1"/>
      <c r="X8675" s="1"/>
      <c r="Y8675" s="1"/>
      <c r="Z8675" s="1"/>
      <c r="AA8675" s="1"/>
      <c r="AB8675" s="1"/>
    </row>
    <row r="8676" ht="50.25" customHeight="1">
      <c r="A8676" s="12">
        <v>8672.0</v>
      </c>
      <c r="B8676" s="13" t="s">
        <v>8699</v>
      </c>
      <c r="C8676" s="18" t="s">
        <v>8702</v>
      </c>
      <c r="D8676" s="1"/>
      <c r="E8676" s="1"/>
      <c r="F8676" s="1" t="str">
        <f>IFERROR(__xludf.DUMMYFUNCTION("GOOGLETRANSLATE(B8676, ""en"", ""fa"")
"),"موفقیت در پادکست")</f>
        <v>موفقیت در پادکست</v>
      </c>
      <c r="G8676" s="1" t="str">
        <f>IFERROR(__xludf.DUMMYFUNCTION("GOOGLETRANSLATE(C8676, ""en"", ""fa"")
"),"چگونه یک قلاب باز قوی ایجاد کنیم که فوراً توجه شنوندگان را در اسکریپت پادکست خود جلب کند؟")</f>
        <v>چگونه یک قلاب باز قوی ایجاد کنیم که فوراً توجه شنوندگان را در اسکریپت پادکست خود جلب کند؟</v>
      </c>
      <c r="H8676" s="1"/>
      <c r="I8676" s="1"/>
      <c r="J8676" s="1"/>
      <c r="K8676" s="1"/>
      <c r="L8676" s="1"/>
      <c r="M8676" s="1"/>
      <c r="N8676" s="1"/>
      <c r="O8676" s="1"/>
      <c r="P8676" s="1"/>
      <c r="Q8676" s="1"/>
      <c r="R8676" s="1"/>
      <c r="S8676" s="1"/>
      <c r="T8676" s="1"/>
      <c r="U8676" s="1"/>
      <c r="V8676" s="1"/>
      <c r="W8676" s="1"/>
      <c r="X8676" s="1"/>
      <c r="Y8676" s="1"/>
      <c r="Z8676" s="1"/>
      <c r="AA8676" s="1"/>
      <c r="AB8676" s="1"/>
    </row>
    <row r="8677" ht="50.25" customHeight="1">
      <c r="A8677" s="12">
        <v>8673.0</v>
      </c>
      <c r="B8677" s="13" t="s">
        <v>8699</v>
      </c>
      <c r="C8677" s="18" t="s">
        <v>8703</v>
      </c>
      <c r="D8677" s="1"/>
      <c r="E8677" s="1"/>
      <c r="F8677" s="1" t="str">
        <f>IFERROR(__xludf.DUMMYFUNCTION("GOOGLETRANSLATE(B8677, ""en"", ""fa"")
"),"موفقیت در پادکست")</f>
        <v>موفقیت در پادکست</v>
      </c>
      <c r="G8677" s="1" t="str">
        <f>IFERROR(__xludf.DUMMYFUNCTION("GOOGLETRANSLATE(C8677, ""en"", ""fa"")
"),"تکنیک های استفاده از زبان حسی برای ایجاد تصاویر واضح و درگیر کردن شنوندگان در اسکریپت پادکست چیست؟")</f>
        <v>تکنیک های استفاده از زبان حسی برای ایجاد تصاویر واضح و درگیر کردن شنوندگان در اسکریپت پادکست چیست؟</v>
      </c>
      <c r="H8677" s="1"/>
      <c r="I8677" s="1"/>
      <c r="J8677" s="1"/>
      <c r="K8677" s="1"/>
      <c r="L8677" s="1"/>
      <c r="M8677" s="1"/>
      <c r="N8677" s="1"/>
      <c r="O8677" s="1"/>
      <c r="P8677" s="1"/>
      <c r="Q8677" s="1"/>
      <c r="R8677" s="1"/>
      <c r="S8677" s="1"/>
      <c r="T8677" s="1"/>
      <c r="U8677" s="1"/>
      <c r="V8677" s="1"/>
      <c r="W8677" s="1"/>
      <c r="X8677" s="1"/>
      <c r="Y8677" s="1"/>
      <c r="Z8677" s="1"/>
      <c r="AA8677" s="1"/>
      <c r="AB8677" s="1"/>
    </row>
    <row r="8678" ht="50.25" customHeight="1">
      <c r="A8678" s="12">
        <v>8674.0</v>
      </c>
      <c r="B8678" s="13" t="s">
        <v>8699</v>
      </c>
      <c r="C8678" s="18" t="s">
        <v>8704</v>
      </c>
      <c r="D8678" s="1"/>
      <c r="E8678" s="1"/>
      <c r="F8678" s="1" t="str">
        <f>IFERROR(__xludf.DUMMYFUNCTION("GOOGLETRANSLATE(B8678, ""en"", ""fa"")
"),"موفقیت در پادکست")</f>
        <v>موفقیت در پادکست</v>
      </c>
      <c r="G8678" s="1" t="str">
        <f>IFERROR(__xludf.DUMMYFUNCTION("GOOGLETRANSLATE(C8678, ""en"", ""fa"")
"),"چگونه به طور موثر توصیفات یا داستان های زندگی واقعی را در اسکریپت پادکست خود بگنجانید تا اعتبار و اعتبار را افزایش دهید؟")</f>
        <v>چگونه به طور موثر توصیفات یا داستان های زندگی واقعی را در اسکریپت پادکست خود بگنجانید تا اعتبار و اعتبار را افزایش دهید؟</v>
      </c>
      <c r="H8678" s="1"/>
      <c r="I8678" s="1"/>
      <c r="J8678" s="1"/>
      <c r="K8678" s="1"/>
      <c r="L8678" s="1"/>
      <c r="M8678" s="1"/>
      <c r="N8678" s="1"/>
      <c r="O8678" s="1"/>
      <c r="P8678" s="1"/>
      <c r="Q8678" s="1"/>
      <c r="R8678" s="1"/>
      <c r="S8678" s="1"/>
      <c r="T8678" s="1"/>
      <c r="U8678" s="1"/>
      <c r="V8678" s="1"/>
      <c r="W8678" s="1"/>
      <c r="X8678" s="1"/>
      <c r="Y8678" s="1"/>
      <c r="Z8678" s="1"/>
      <c r="AA8678" s="1"/>
      <c r="AB8678" s="1"/>
    </row>
    <row r="8679" ht="50.25" customHeight="1">
      <c r="A8679" s="12">
        <v>8675.0</v>
      </c>
      <c r="B8679" s="13" t="s">
        <v>8699</v>
      </c>
      <c r="C8679" s="18" t="s">
        <v>8705</v>
      </c>
      <c r="D8679" s="1"/>
      <c r="E8679" s="1"/>
      <c r="F8679" s="1" t="str">
        <f>IFERROR(__xludf.DUMMYFUNCTION("GOOGLETRANSLATE(B8679, ""en"", ""fa"")
"),"موفقیت در پادکست")</f>
        <v>موفقیت در پادکست</v>
      </c>
      <c r="G8679" s="1" t="str">
        <f>IFERROR(__xludf.DUMMYFUNCTION("GOOGLETRANSLATE(C8679, ""en"", ""fa"")
"),"چه راهکارهایی برای گنجاندن عناصر تعاملی، مانند آزمون‌ها یا چالش‌ها، در متن پادکست برای جذب مخاطب وجود دارد؟")</f>
        <v>چه راهکارهایی برای گنجاندن عناصر تعاملی، مانند آزمون‌ها یا چالش‌ها، در متن پادکست برای جذب مخاطب وجود دارد؟</v>
      </c>
      <c r="H8679" s="1"/>
      <c r="I8679" s="1"/>
      <c r="J8679" s="1"/>
      <c r="K8679" s="1"/>
      <c r="L8679" s="1"/>
      <c r="M8679" s="1"/>
      <c r="N8679" s="1"/>
      <c r="O8679" s="1"/>
      <c r="P8679" s="1"/>
      <c r="Q8679" s="1"/>
      <c r="R8679" s="1"/>
      <c r="S8679" s="1"/>
      <c r="T8679" s="1"/>
      <c r="U8679" s="1"/>
      <c r="V8679" s="1"/>
      <c r="W8679" s="1"/>
      <c r="X8679" s="1"/>
      <c r="Y8679" s="1"/>
      <c r="Z8679" s="1"/>
      <c r="AA8679" s="1"/>
      <c r="AB8679" s="1"/>
    </row>
    <row r="8680" ht="50.25" customHeight="1">
      <c r="A8680" s="12">
        <v>8676.0</v>
      </c>
      <c r="B8680" s="13" t="s">
        <v>8699</v>
      </c>
      <c r="C8680" s="18" t="s">
        <v>8706</v>
      </c>
      <c r="D8680" s="1"/>
      <c r="E8680" s="1"/>
      <c r="F8680" s="1" t="str">
        <f>IFERROR(__xludf.DUMMYFUNCTION("GOOGLETRANSLATE(B8680, ""en"", ""fa"")
"),"موفقیت در پادکست")</f>
        <v>موفقیت در پادکست</v>
      </c>
      <c r="G8680" s="1" t="str">
        <f>IFERROR(__xludf.DUMMYFUNCTION("GOOGLETRANSLATE(C8680, ""en"", ""fa"")
"),"چگونه اسکریپت های پادکست جذاب و آموزنده برای محتوای آموزشی یا آموزشی بنویسیم؟")</f>
        <v>چگونه اسکریپت های پادکست جذاب و آموزنده برای محتوای آموزشی یا آموزشی بنویسیم؟</v>
      </c>
      <c r="H8680" s="1"/>
      <c r="I8680" s="1"/>
      <c r="J8680" s="1"/>
      <c r="K8680" s="1"/>
      <c r="L8680" s="1"/>
      <c r="M8680" s="1"/>
      <c r="N8680" s="1"/>
      <c r="O8680" s="1"/>
      <c r="P8680" s="1"/>
      <c r="Q8680" s="1"/>
      <c r="R8680" s="1"/>
      <c r="S8680" s="1"/>
      <c r="T8680" s="1"/>
      <c r="U8680" s="1"/>
      <c r="V8680" s="1"/>
      <c r="W8680" s="1"/>
      <c r="X8680" s="1"/>
      <c r="Y8680" s="1"/>
      <c r="Z8680" s="1"/>
      <c r="AA8680" s="1"/>
      <c r="AB8680" s="1"/>
    </row>
    <row r="8681" ht="50.25" customHeight="1">
      <c r="A8681" s="12">
        <v>8677.0</v>
      </c>
      <c r="B8681" s="13" t="s">
        <v>8699</v>
      </c>
      <c r="C8681" s="18" t="s">
        <v>8707</v>
      </c>
      <c r="D8681" s="1"/>
      <c r="E8681" s="1"/>
      <c r="F8681" s="1" t="str">
        <f>IFERROR(__xludf.DUMMYFUNCTION("GOOGLETRANSLATE(B8681, ""en"", ""fa"")
"),"موفقیت در پادکست")</f>
        <v>موفقیت در پادکست</v>
      </c>
      <c r="G8681" s="1" t="str">
        <f>IFERROR(__xludf.DUMMYFUNCTION("GOOGLETRANSLATE(C8681, ""en"", ""fa"")
"),"تکنیک های ایجاد تعلیق و ایجاد پیش بینی برای قسمت ها یا سریال های آینده در فیلمنامه پادکست شما چیست؟")</f>
        <v>تکنیک های ایجاد تعلیق و ایجاد پیش بینی برای قسمت ها یا سریال های آینده در فیلمنامه پادکست شما چیست؟</v>
      </c>
      <c r="H8681" s="1"/>
      <c r="I8681" s="1"/>
      <c r="J8681" s="1"/>
      <c r="K8681" s="1"/>
      <c r="L8681" s="1"/>
      <c r="M8681" s="1"/>
      <c r="N8681" s="1"/>
      <c r="O8681" s="1"/>
      <c r="P8681" s="1"/>
      <c r="Q8681" s="1"/>
      <c r="R8681" s="1"/>
      <c r="S8681" s="1"/>
      <c r="T8681" s="1"/>
      <c r="U8681" s="1"/>
      <c r="V8681" s="1"/>
      <c r="W8681" s="1"/>
      <c r="X8681" s="1"/>
      <c r="Y8681" s="1"/>
      <c r="Z8681" s="1"/>
      <c r="AA8681" s="1"/>
      <c r="AB8681" s="1"/>
    </row>
    <row r="8682" ht="50.25" customHeight="1">
      <c r="A8682" s="12">
        <v>8678.0</v>
      </c>
      <c r="B8682" s="13" t="s">
        <v>8699</v>
      </c>
      <c r="C8682" s="18" t="s">
        <v>8708</v>
      </c>
      <c r="D8682" s="1"/>
      <c r="E8682" s="1"/>
      <c r="F8682" s="1" t="str">
        <f>IFERROR(__xludf.DUMMYFUNCTION("GOOGLETRANSLATE(B8682, ""en"", ""fa"")
"),"موفقیت در پادکست")</f>
        <v>موفقیت در پادکست</v>
      </c>
      <c r="G8682" s="1" t="str">
        <f>IFERROR(__xludf.DUMMYFUNCTION("GOOGLETRANSLATE(C8682, ""en"", ""fa"")
"),"چگونه می توان از عناصر داستان سرایی، مانند توسعه شخصیت یا پیشرفت طرح، در فیلمنامه پادکست خود به طور موثر استفاده کرد؟")</f>
        <v>چگونه می توان از عناصر داستان سرایی، مانند توسعه شخصیت یا پیشرفت طرح، در فیلمنامه پادکست خود به طور موثر استفاده کرد؟</v>
      </c>
      <c r="H8682" s="1"/>
      <c r="I8682" s="1"/>
      <c r="J8682" s="1"/>
      <c r="K8682" s="1"/>
      <c r="L8682" s="1"/>
      <c r="M8682" s="1"/>
      <c r="N8682" s="1"/>
      <c r="O8682" s="1"/>
      <c r="P8682" s="1"/>
      <c r="Q8682" s="1"/>
      <c r="R8682" s="1"/>
      <c r="S8682" s="1"/>
      <c r="T8682" s="1"/>
      <c r="U8682" s="1"/>
      <c r="V8682" s="1"/>
      <c r="W8682" s="1"/>
      <c r="X8682" s="1"/>
      <c r="Y8682" s="1"/>
      <c r="Z8682" s="1"/>
      <c r="AA8682" s="1"/>
      <c r="AB8682" s="1"/>
    </row>
    <row r="8683" ht="50.25" customHeight="1">
      <c r="A8683" s="12">
        <v>8679.0</v>
      </c>
      <c r="B8683" s="13" t="s">
        <v>8699</v>
      </c>
      <c r="C8683" s="18" t="s">
        <v>8709</v>
      </c>
      <c r="D8683" s="1"/>
      <c r="E8683" s="1"/>
      <c r="F8683" s="1" t="str">
        <f>IFERROR(__xludf.DUMMYFUNCTION("GOOGLETRANSLATE(B8683, ""en"", ""fa"")
"),"موفقیت در پادکست")</f>
        <v>موفقیت در پادکست</v>
      </c>
      <c r="G8683" s="1" t="str">
        <f>IFERROR(__xludf.DUMMYFUNCTION("GOOGLETRANSLATE(C8683, ""en"", ""fa"")
"),"راهبردهایی برای گنجاندن معرفی مهمان و ایجاد تخصص آنها در اسکریپت پادکست شما چیست؟")</f>
        <v>راهبردهایی برای گنجاندن معرفی مهمان و ایجاد تخصص آنها در اسکریپت پادکست شما چیست؟</v>
      </c>
      <c r="H8683" s="1"/>
      <c r="I8683" s="1"/>
      <c r="J8683" s="1"/>
      <c r="K8683" s="1"/>
      <c r="L8683" s="1"/>
      <c r="M8683" s="1"/>
      <c r="N8683" s="1"/>
      <c r="O8683" s="1"/>
      <c r="P8683" s="1"/>
      <c r="Q8683" s="1"/>
      <c r="R8683" s="1"/>
      <c r="S8683" s="1"/>
      <c r="T8683" s="1"/>
      <c r="U8683" s="1"/>
      <c r="V8683" s="1"/>
      <c r="W8683" s="1"/>
      <c r="X8683" s="1"/>
      <c r="Y8683" s="1"/>
      <c r="Z8683" s="1"/>
      <c r="AA8683" s="1"/>
      <c r="AB8683" s="1"/>
    </row>
    <row r="8684" ht="50.25" customHeight="1">
      <c r="A8684" s="12">
        <v>8680.0</v>
      </c>
      <c r="B8684" s="13" t="s">
        <v>8699</v>
      </c>
      <c r="C8684" s="18" t="s">
        <v>8710</v>
      </c>
      <c r="D8684" s="1"/>
      <c r="E8684" s="1"/>
      <c r="F8684" s="1" t="str">
        <f>IFERROR(__xludf.DUMMYFUNCTION("GOOGLETRANSLATE(B8684, ""en"", ""fa"")
"),"موفقیت در پادکست")</f>
        <v>موفقیت در پادکست</v>
      </c>
      <c r="G8684" s="1" t="str">
        <f>IFERROR(__xludf.DUMMYFUNCTION("GOOGLETRANSLATE(C8684, ""en"", ""fa"")
"),"چگونه می توان از استعاره ها، تشبیه ها یا مثال ها برای ساده سازی مفاهیم پیچیده و افزایش درک شنونده در اسکریپت پادکست خود استفاده کرد؟")</f>
        <v>چگونه می توان از استعاره ها، تشبیه ها یا مثال ها برای ساده سازی مفاهیم پیچیده و افزایش درک شنونده در اسکریپت پادکست خود استفاده کرد؟</v>
      </c>
      <c r="H8684" s="1"/>
      <c r="I8684" s="1"/>
      <c r="J8684" s="1"/>
      <c r="K8684" s="1"/>
      <c r="L8684" s="1"/>
      <c r="M8684" s="1"/>
      <c r="N8684" s="1"/>
      <c r="O8684" s="1"/>
      <c r="P8684" s="1"/>
      <c r="Q8684" s="1"/>
      <c r="R8684" s="1"/>
      <c r="S8684" s="1"/>
      <c r="T8684" s="1"/>
      <c r="U8684" s="1"/>
      <c r="V8684" s="1"/>
      <c r="W8684" s="1"/>
      <c r="X8684" s="1"/>
      <c r="Y8684" s="1"/>
      <c r="Z8684" s="1"/>
      <c r="AA8684" s="1"/>
      <c r="AB8684" s="1"/>
    </row>
    <row r="8685" ht="50.25" customHeight="1">
      <c r="A8685" s="12">
        <v>8681.0</v>
      </c>
      <c r="B8685" s="13" t="s">
        <v>8699</v>
      </c>
      <c r="C8685" s="18" t="s">
        <v>8711</v>
      </c>
      <c r="D8685" s="1"/>
      <c r="E8685" s="1"/>
      <c r="F8685" s="1" t="str">
        <f>IFERROR(__xludf.DUMMYFUNCTION("GOOGLETRANSLATE(B8685, ""en"", ""fa"")
"),"موفقیت در پادکست")</f>
        <v>موفقیت در پادکست</v>
      </c>
      <c r="G8685" s="1" t="str">
        <f>IFERROR(__xludf.DUMMYFUNCTION("GOOGLETRANSLATE(C8685, ""en"", ""fa"")
"),"چه تکنیک هایی برای گنجاندن شوخ طبعی و سبک دلی در اسکریپت پادکست خود بدون به خطر انداختن پیام یا محتوای اصلی وجود دارد؟")</f>
        <v>چه تکنیک هایی برای گنجاندن شوخ طبعی و سبک دلی در اسکریپت پادکست خود بدون به خطر انداختن پیام یا محتوای اصلی وجود دارد؟</v>
      </c>
      <c r="H8685" s="1"/>
      <c r="I8685" s="1"/>
      <c r="J8685" s="1"/>
      <c r="K8685" s="1"/>
      <c r="L8685" s="1"/>
      <c r="M8685" s="1"/>
      <c r="N8685" s="1"/>
      <c r="O8685" s="1"/>
      <c r="P8685" s="1"/>
      <c r="Q8685" s="1"/>
      <c r="R8685" s="1"/>
      <c r="S8685" s="1"/>
      <c r="T8685" s="1"/>
      <c r="U8685" s="1"/>
      <c r="V8685" s="1"/>
      <c r="W8685" s="1"/>
      <c r="X8685" s="1"/>
      <c r="Y8685" s="1"/>
      <c r="Z8685" s="1"/>
      <c r="AA8685" s="1"/>
      <c r="AB8685" s="1"/>
    </row>
    <row r="8686" ht="50.25" customHeight="1">
      <c r="A8686" s="12">
        <v>8682.0</v>
      </c>
      <c r="B8686" s="13" t="s">
        <v>8699</v>
      </c>
      <c r="C8686" s="18" t="s">
        <v>8712</v>
      </c>
      <c r="D8686" s="1"/>
      <c r="E8686" s="1"/>
      <c r="F8686" s="1" t="str">
        <f>IFERROR(__xludf.DUMMYFUNCTION("GOOGLETRANSLATE(B8686, ""en"", ""fa"")
"),"موفقیت در پادکست")</f>
        <v>موفقیت در پادکست</v>
      </c>
      <c r="G8686" s="1" t="str">
        <f>IFERROR(__xludf.DUMMYFUNCTION("GOOGLETRANSLATE(C8686, ""en"", ""fa"")
"),"چگونه می توان به طور موثر از توصیفات یا حکایات شخصی شنوندگان برای افزودن اعتبار و اتصال به اسکریپت پادکست خود استفاده کرد؟")</f>
        <v>چگونه می توان به طور موثر از توصیفات یا حکایات شخصی شنوندگان برای افزودن اعتبار و اتصال به اسکریپت پادکست خود استفاده کرد؟</v>
      </c>
      <c r="H8686" s="1"/>
      <c r="I8686" s="1"/>
      <c r="J8686" s="1"/>
      <c r="K8686" s="1"/>
      <c r="L8686" s="1"/>
      <c r="M8686" s="1"/>
      <c r="N8686" s="1"/>
      <c r="O8686" s="1"/>
      <c r="P8686" s="1"/>
      <c r="Q8686" s="1"/>
      <c r="R8686" s="1"/>
      <c r="S8686" s="1"/>
      <c r="T8686" s="1"/>
      <c r="U8686" s="1"/>
      <c r="V8686" s="1"/>
      <c r="W8686" s="1"/>
      <c r="X8686" s="1"/>
      <c r="Y8686" s="1"/>
      <c r="Z8686" s="1"/>
      <c r="AA8686" s="1"/>
      <c r="AB8686" s="1"/>
    </row>
    <row r="8687" ht="50.25" customHeight="1">
      <c r="A8687" s="12">
        <v>8683.0</v>
      </c>
      <c r="B8687" s="13" t="s">
        <v>8699</v>
      </c>
      <c r="C8687" s="18" t="s">
        <v>8713</v>
      </c>
      <c r="D8687" s="1"/>
      <c r="E8687" s="1"/>
      <c r="F8687" s="1" t="str">
        <f>IFERROR(__xludf.DUMMYFUNCTION("GOOGLETRANSLATE(B8687, ""en"", ""fa"")
"),"موفقیت در پادکست")</f>
        <v>موفقیت در پادکست</v>
      </c>
      <c r="G8687" s="1" t="str">
        <f>IFERROR(__xludf.DUMMYFUNCTION("GOOGLETRANSLATE(C8687, ""en"", ""fa"")
"),"راهبردهای ایجاد اسکریپت های پادکست جذاب و آموزنده برای مصاحبه های آموزشی با کارشناسان یا رهبران فکری چیست؟")</f>
        <v>راهبردهای ایجاد اسکریپت های پادکست جذاب و آموزنده برای مصاحبه های آموزشی با کارشناسان یا رهبران فکری چیست؟</v>
      </c>
      <c r="H8687" s="1"/>
      <c r="I8687" s="1"/>
      <c r="J8687" s="1"/>
      <c r="K8687" s="1"/>
      <c r="L8687" s="1"/>
      <c r="M8687" s="1"/>
      <c r="N8687" s="1"/>
      <c r="O8687" s="1"/>
      <c r="P8687" s="1"/>
      <c r="Q8687" s="1"/>
      <c r="R8687" s="1"/>
      <c r="S8687" s="1"/>
      <c r="T8687" s="1"/>
      <c r="U8687" s="1"/>
      <c r="V8687" s="1"/>
      <c r="W8687" s="1"/>
      <c r="X8687" s="1"/>
      <c r="Y8687" s="1"/>
      <c r="Z8687" s="1"/>
      <c r="AA8687" s="1"/>
      <c r="AB8687" s="1"/>
    </row>
    <row r="8688" ht="50.25" customHeight="1">
      <c r="A8688" s="12">
        <v>8684.0</v>
      </c>
      <c r="B8688" s="13" t="s">
        <v>8699</v>
      </c>
      <c r="C8688" s="18" t="s">
        <v>8714</v>
      </c>
      <c r="D8688" s="1"/>
      <c r="E8688" s="1"/>
      <c r="F8688" s="1" t="str">
        <f>IFERROR(__xludf.DUMMYFUNCTION("GOOGLETRANSLATE(B8688, ""en"", ""fa"")
"),"موفقیت در پادکست")</f>
        <v>موفقیت در پادکست</v>
      </c>
      <c r="G8688" s="1" t="str">
        <f>IFERROR(__xludf.DUMMYFUNCTION("GOOGLETRANSLATE(C8688, ""en"", ""fa"")
"),"چگونه اسکریپت های پادکست واضح و مختصر بنویسیم که اطلاعات و بینش را به طور موثر به شنوندگان ارائه دهد؟")</f>
        <v>چگونه اسکریپت های پادکست واضح و مختصر بنویسیم که اطلاعات و بینش را به طور موثر به شنوندگان ارائه دهد؟</v>
      </c>
      <c r="H8688" s="1"/>
      <c r="I8688" s="1"/>
      <c r="J8688" s="1"/>
      <c r="K8688" s="1"/>
      <c r="L8688" s="1"/>
      <c r="M8688" s="1"/>
      <c r="N8688" s="1"/>
      <c r="O8688" s="1"/>
      <c r="P8688" s="1"/>
      <c r="Q8688" s="1"/>
      <c r="R8688" s="1"/>
      <c r="S8688" s="1"/>
      <c r="T8688" s="1"/>
      <c r="U8688" s="1"/>
      <c r="V8688" s="1"/>
      <c r="W8688" s="1"/>
      <c r="X8688" s="1"/>
      <c r="Y8688" s="1"/>
      <c r="Z8688" s="1"/>
      <c r="AA8688" s="1"/>
      <c r="AB8688" s="1"/>
    </row>
    <row r="8689" ht="50.25" customHeight="1">
      <c r="A8689" s="12">
        <v>8685.0</v>
      </c>
      <c r="B8689" s="13" t="s">
        <v>8699</v>
      </c>
      <c r="C8689" s="18" t="s">
        <v>8715</v>
      </c>
      <c r="D8689" s="1"/>
      <c r="E8689" s="1"/>
      <c r="F8689" s="1" t="str">
        <f>IFERROR(__xludf.DUMMYFUNCTION("GOOGLETRANSLATE(B8689, ""en"", ""fa"")
"),"موفقیت در پادکست")</f>
        <v>موفقیت در پادکست</v>
      </c>
      <c r="G8689" s="1" t="str">
        <f>IFERROR(__xludf.DUMMYFUNCTION("GOOGLETRANSLATE(C8689, ""en"", ""fa"")
"),"چه تکنیک هایی برای ایجاد صخره ها یا لحظات پرتعلیق در متن پادکست شما وجود دارد تا مخاطبان خود را درگیر نگه دارید و مشتاقانه منتظر قسمت بعدی باشند؟")</f>
        <v>چه تکنیک هایی برای ایجاد صخره ها یا لحظات پرتعلیق در متن پادکست شما وجود دارد تا مخاطبان خود را درگیر نگه دارید و مشتاقانه منتظر قسمت بعدی باشند؟</v>
      </c>
      <c r="H8689" s="1"/>
      <c r="I8689" s="1"/>
      <c r="J8689" s="1"/>
      <c r="K8689" s="1"/>
      <c r="L8689" s="1"/>
      <c r="M8689" s="1"/>
      <c r="N8689" s="1"/>
      <c r="O8689" s="1"/>
      <c r="P8689" s="1"/>
      <c r="Q8689" s="1"/>
      <c r="R8689" s="1"/>
      <c r="S8689" s="1"/>
      <c r="T8689" s="1"/>
      <c r="U8689" s="1"/>
      <c r="V8689" s="1"/>
      <c r="W8689" s="1"/>
      <c r="X8689" s="1"/>
      <c r="Y8689" s="1"/>
      <c r="Z8689" s="1"/>
      <c r="AA8689" s="1"/>
      <c r="AB8689" s="1"/>
    </row>
    <row r="8690" ht="50.25" customHeight="1">
      <c r="A8690" s="12">
        <v>8686.0</v>
      </c>
      <c r="B8690" s="13" t="s">
        <v>8699</v>
      </c>
      <c r="C8690" s="18" t="s">
        <v>8716</v>
      </c>
      <c r="D8690" s="1"/>
      <c r="E8690" s="1"/>
      <c r="F8690" s="1" t="str">
        <f>IFERROR(__xludf.DUMMYFUNCTION("GOOGLETRANSLATE(B8690, ""en"", ""fa"")
"),"موفقیت در پادکست")</f>
        <v>موفقیت در پادکست</v>
      </c>
      <c r="G8690" s="1" t="str">
        <f>IFERROR(__xludf.DUMMYFUNCTION("GOOGLETRANSLATE(C8690, ""en"", ""fa"")
"),"چگونه می توان به طور موثر به بازخورد، سؤالات یا نظرات شنونده در متن پادکست خود پرداخت تا حس اجتماعی و تعامل را تقویت کند؟")</f>
        <v>چگونه می توان به طور موثر به بازخورد، سؤالات یا نظرات شنونده در متن پادکست خود پرداخت تا حس اجتماعی و تعامل را تقویت کند؟</v>
      </c>
      <c r="H8690" s="1"/>
      <c r="I8690" s="1"/>
      <c r="J8690" s="1"/>
      <c r="K8690" s="1"/>
      <c r="L8690" s="1"/>
      <c r="M8690" s="1"/>
      <c r="N8690" s="1"/>
      <c r="O8690" s="1"/>
      <c r="P8690" s="1"/>
      <c r="Q8690" s="1"/>
      <c r="R8690" s="1"/>
      <c r="S8690" s="1"/>
      <c r="T8690" s="1"/>
      <c r="U8690" s="1"/>
      <c r="V8690" s="1"/>
      <c r="W8690" s="1"/>
      <c r="X8690" s="1"/>
      <c r="Y8690" s="1"/>
      <c r="Z8690" s="1"/>
      <c r="AA8690" s="1"/>
      <c r="AB8690" s="1"/>
    </row>
    <row r="8691" ht="50.25" customHeight="1">
      <c r="A8691" s="12">
        <v>8687.0</v>
      </c>
      <c r="B8691" s="13" t="s">
        <v>8699</v>
      </c>
      <c r="C8691" s="18" t="s">
        <v>8717</v>
      </c>
      <c r="D8691" s="1"/>
      <c r="E8691" s="1"/>
      <c r="F8691" s="1" t="str">
        <f>IFERROR(__xludf.DUMMYFUNCTION("GOOGLETRANSLATE(B8691, ""en"", ""fa"")
"),"موفقیت در پادکست")</f>
        <v>موفقیت در پادکست</v>
      </c>
      <c r="G8691" s="1" t="str">
        <f>IFERROR(__xludf.DUMMYFUNCTION("GOOGLETRANSLATE(C8691, ""en"", ""fa"")
"),"استراتژی‌هایی برای تطبیق اسکریپت پادکست برای پلتفرم‌ها یا کانال‌های توزیع مختلف، مانند YouTube یا قطعه‌های رسانه‌های اجتماعی چیست؟")</f>
        <v>استراتژی‌هایی برای تطبیق اسکریپت پادکست برای پلتفرم‌ها یا کانال‌های توزیع مختلف، مانند YouTube یا قطعه‌های رسانه‌های اجتماعی چیست؟</v>
      </c>
      <c r="H8691" s="1"/>
      <c r="I8691" s="1"/>
      <c r="J8691" s="1"/>
      <c r="K8691" s="1"/>
      <c r="L8691" s="1"/>
      <c r="M8691" s="1"/>
      <c r="N8691" s="1"/>
      <c r="O8691" s="1"/>
      <c r="P8691" s="1"/>
      <c r="Q8691" s="1"/>
      <c r="R8691" s="1"/>
      <c r="S8691" s="1"/>
      <c r="T8691" s="1"/>
      <c r="U8691" s="1"/>
      <c r="V8691" s="1"/>
      <c r="W8691" s="1"/>
      <c r="X8691" s="1"/>
      <c r="Y8691" s="1"/>
      <c r="Z8691" s="1"/>
      <c r="AA8691" s="1"/>
      <c r="AB8691" s="1"/>
    </row>
    <row r="8692" ht="50.25" customHeight="1">
      <c r="A8692" s="12">
        <v>8688.0</v>
      </c>
      <c r="B8692" s="13" t="s">
        <v>8699</v>
      </c>
      <c r="C8692" s="18" t="s">
        <v>8718</v>
      </c>
      <c r="D8692" s="1"/>
      <c r="E8692" s="1"/>
      <c r="F8692" s="1" t="str">
        <f>IFERROR(__xludf.DUMMYFUNCTION("GOOGLETRANSLATE(B8692, ""en"", ""fa"")
"),"موفقیت در پادکست")</f>
        <v>موفقیت در پادکست</v>
      </c>
      <c r="G8692" s="1" t="str">
        <f>IFERROR(__xludf.DUMMYFUNCTION("GOOGLETRANSLATE(C8692, ""en"", ""fa"")
"),"چگونه اسکریپت‌های پادکست بنویسیم که پاسخ‌های احساسی شنوندگان را برانگیزد، مانند همدلی، الهام، یا نوستالژی؟")</f>
        <v>چگونه اسکریپت‌های پادکست بنویسیم که پاسخ‌های احساسی شنوندگان را برانگیزد، مانند همدلی، الهام، یا نوستالژی؟</v>
      </c>
      <c r="H8692" s="1"/>
      <c r="I8692" s="1"/>
      <c r="J8692" s="1"/>
      <c r="K8692" s="1"/>
      <c r="L8692" s="1"/>
      <c r="M8692" s="1"/>
      <c r="N8692" s="1"/>
      <c r="O8692" s="1"/>
      <c r="P8692" s="1"/>
      <c r="Q8692" s="1"/>
      <c r="R8692" s="1"/>
      <c r="S8692" s="1"/>
      <c r="T8692" s="1"/>
      <c r="U8692" s="1"/>
      <c r="V8692" s="1"/>
      <c r="W8692" s="1"/>
      <c r="X8692" s="1"/>
      <c r="Y8692" s="1"/>
      <c r="Z8692" s="1"/>
      <c r="AA8692" s="1"/>
      <c r="AB8692" s="1"/>
    </row>
    <row r="8693" ht="50.25" customHeight="1">
      <c r="A8693" s="12">
        <v>8689.0</v>
      </c>
      <c r="B8693" s="13" t="s">
        <v>8699</v>
      </c>
      <c r="C8693" s="18" t="s">
        <v>8719</v>
      </c>
      <c r="D8693" s="1"/>
      <c r="E8693" s="1"/>
      <c r="F8693" s="1" t="str">
        <f>IFERROR(__xludf.DUMMYFUNCTION("GOOGLETRANSLATE(B8693, ""en"", ""fa"")
"),"موفقیت در پادکست")</f>
        <v>موفقیت در پادکست</v>
      </c>
      <c r="G8693" s="1" t="str">
        <f>IFERROR(__xludf.DUMMYFUNCTION("GOOGLETRANSLATE(C8693, ""en"", ""fa"")
"),"تکنیک های ایجاد قوس های داستان گویی قدرتمند و به یاد ماندنی در اسکریپت پادکست شما چیست؟")</f>
        <v>تکنیک های ایجاد قوس های داستان گویی قدرتمند و به یاد ماندنی در اسکریپت پادکست شما چیست؟</v>
      </c>
      <c r="H8693" s="1"/>
      <c r="I8693" s="1"/>
      <c r="J8693" s="1"/>
      <c r="K8693" s="1"/>
      <c r="L8693" s="1"/>
      <c r="M8693" s="1"/>
      <c r="N8693" s="1"/>
      <c r="O8693" s="1"/>
      <c r="P8693" s="1"/>
      <c r="Q8693" s="1"/>
      <c r="R8693" s="1"/>
      <c r="S8693" s="1"/>
      <c r="T8693" s="1"/>
      <c r="U8693" s="1"/>
      <c r="V8693" s="1"/>
      <c r="W8693" s="1"/>
      <c r="X8693" s="1"/>
      <c r="Y8693" s="1"/>
      <c r="Z8693" s="1"/>
      <c r="AA8693" s="1"/>
      <c r="AB8693" s="1"/>
    </row>
    <row r="8694" ht="50.25" customHeight="1">
      <c r="A8694" s="12">
        <v>8690.0</v>
      </c>
      <c r="B8694" s="13" t="s">
        <v>8699</v>
      </c>
      <c r="C8694" s="18" t="s">
        <v>8720</v>
      </c>
      <c r="D8694" s="1"/>
      <c r="E8694" s="1"/>
      <c r="F8694" s="1" t="str">
        <f>IFERROR(__xludf.DUMMYFUNCTION("GOOGLETRANSLATE(B8694, ""en"", ""fa"")
"),"موفقیت در پادکست")</f>
        <v>موفقیت در پادکست</v>
      </c>
      <c r="G8694" s="1" t="str">
        <f>IFERROR(__xludf.DUMMYFUNCTION("GOOGLETRANSLATE(C8694, ""en"", ""fa"")
"),"چگونه می توان به طور موثر از انتقال ها، segues یا نشانگرهای بخش در اسکریپت پادکست خود برای راهنمایی شنوندگان خود در قسمت های مختلف قسمت استفاده کرد؟")</f>
        <v>چگونه می توان به طور موثر از انتقال ها، segues یا نشانگرهای بخش در اسکریپت پادکست خود برای راهنمایی شنوندگان خود در قسمت های مختلف قسمت استفاده کرد؟</v>
      </c>
      <c r="H8694" s="1"/>
      <c r="I8694" s="1"/>
      <c r="J8694" s="1"/>
      <c r="K8694" s="1"/>
      <c r="L8694" s="1"/>
      <c r="M8694" s="1"/>
      <c r="N8694" s="1"/>
      <c r="O8694" s="1"/>
      <c r="P8694" s="1"/>
      <c r="Q8694" s="1"/>
      <c r="R8694" s="1"/>
      <c r="S8694" s="1"/>
      <c r="T8694" s="1"/>
      <c r="U8694" s="1"/>
      <c r="V8694" s="1"/>
      <c r="W8694" s="1"/>
      <c r="X8694" s="1"/>
      <c r="Y8694" s="1"/>
      <c r="Z8694" s="1"/>
      <c r="AA8694" s="1"/>
      <c r="AB8694" s="1"/>
    </row>
    <row r="8695" ht="50.25" customHeight="1">
      <c r="A8695" s="12">
        <v>8691.0</v>
      </c>
      <c r="B8695" s="13" t="s">
        <v>8699</v>
      </c>
      <c r="C8695" s="18" t="s">
        <v>8721</v>
      </c>
      <c r="D8695" s="1"/>
      <c r="E8695" s="1"/>
      <c r="F8695" s="1" t="str">
        <f>IFERROR(__xludf.DUMMYFUNCTION("GOOGLETRANSLATE(B8695, ""en"", ""fa"")
"),"موفقیت در پادکست")</f>
        <v>موفقیت در پادکست</v>
      </c>
      <c r="G8695" s="1" t="str">
        <f>IFERROR(__xludf.DUMMYFUNCTION("GOOGLETRANSLATE(C8695, ""en"", ""fa"")
"),"راهبردهای ایجاد گفتگوی مکالمه و جذاب بین میزبانان مشترک یا چند شرکت کننده در اسکریپت پادکست شما چیست؟")</f>
        <v>راهبردهای ایجاد گفتگوی مکالمه و جذاب بین میزبانان مشترک یا چند شرکت کننده در اسکریپت پادکست شما چیست؟</v>
      </c>
      <c r="H8695" s="1"/>
      <c r="I8695" s="1"/>
      <c r="J8695" s="1"/>
      <c r="K8695" s="1"/>
      <c r="L8695" s="1"/>
      <c r="M8695" s="1"/>
      <c r="N8695" s="1"/>
      <c r="O8695" s="1"/>
      <c r="P8695" s="1"/>
      <c r="Q8695" s="1"/>
      <c r="R8695" s="1"/>
      <c r="S8695" s="1"/>
      <c r="T8695" s="1"/>
      <c r="U8695" s="1"/>
      <c r="V8695" s="1"/>
      <c r="W8695" s="1"/>
      <c r="X8695" s="1"/>
      <c r="Y8695" s="1"/>
      <c r="Z8695" s="1"/>
      <c r="AA8695" s="1"/>
      <c r="AB8695" s="1"/>
    </row>
    <row r="8696" ht="50.25" customHeight="1">
      <c r="A8696" s="12">
        <v>8692.0</v>
      </c>
      <c r="B8696" s="13" t="s">
        <v>8699</v>
      </c>
      <c r="C8696" s="18" t="s">
        <v>8722</v>
      </c>
      <c r="D8696" s="1"/>
      <c r="E8696" s="1"/>
      <c r="F8696" s="1" t="str">
        <f>IFERROR(__xludf.DUMMYFUNCTION("GOOGLETRANSLATE(B8696, ""en"", ""fa"")
"),"موفقیت در پادکست")</f>
        <v>موفقیت در پادکست</v>
      </c>
      <c r="G8696" s="1" t="str">
        <f>IFERROR(__xludf.DUMMYFUNCTION("GOOGLETRANSLATE(C8696, ""en"", ""fa"")
"),"چگونه اسکریپت‌های پادکست بنویسیم که نکات یا مراحل عملی را برای شنوندگان در زندگی یا کسب‌وکار خود اجرا کنند؟")</f>
        <v>چگونه اسکریپت‌های پادکست بنویسیم که نکات یا مراحل عملی را برای شنوندگان در زندگی یا کسب‌وکار خود اجرا کنند؟</v>
      </c>
      <c r="H8696" s="1"/>
      <c r="I8696" s="1"/>
      <c r="J8696" s="1"/>
      <c r="K8696" s="1"/>
      <c r="L8696" s="1"/>
      <c r="M8696" s="1"/>
      <c r="N8696" s="1"/>
      <c r="O8696" s="1"/>
      <c r="P8696" s="1"/>
      <c r="Q8696" s="1"/>
      <c r="R8696" s="1"/>
      <c r="S8696" s="1"/>
      <c r="T8696" s="1"/>
      <c r="U8696" s="1"/>
      <c r="V8696" s="1"/>
      <c r="W8696" s="1"/>
      <c r="X8696" s="1"/>
      <c r="Y8696" s="1"/>
      <c r="Z8696" s="1"/>
      <c r="AA8696" s="1"/>
      <c r="AB8696" s="1"/>
    </row>
    <row r="8697" ht="50.25" customHeight="1">
      <c r="A8697" s="12">
        <v>8693.0</v>
      </c>
      <c r="B8697" s="13" t="s">
        <v>8699</v>
      </c>
      <c r="C8697" s="18" t="s">
        <v>8723</v>
      </c>
      <c r="D8697" s="1"/>
      <c r="E8697" s="1"/>
      <c r="F8697" s="1" t="str">
        <f>IFERROR(__xludf.DUMMYFUNCTION("GOOGLETRANSLATE(B8697, ""en"", ""fa"")
"),"موفقیت در پادکست")</f>
        <v>موفقیت در پادکست</v>
      </c>
      <c r="G8697" s="1" t="str">
        <f>IFERROR(__xludf.DUMMYFUNCTION("GOOGLETRANSLATE(C8697, ""en"", ""fa"")
"),"تکنیک‌هایی برای ساختن روایت‌های متقاعدکننده یا مطالعات موردی در متن پادکست شما برای نشان دادن مفاهیم یا نظریه‌ها چیست؟")</f>
        <v>تکنیک‌هایی برای ساختن روایت‌های متقاعدکننده یا مطالعات موردی در متن پادکست شما برای نشان دادن مفاهیم یا نظریه‌ها چیست؟</v>
      </c>
      <c r="H8697" s="1"/>
      <c r="I8697" s="1"/>
      <c r="J8697" s="1"/>
      <c r="K8697" s="1"/>
      <c r="L8697" s="1"/>
      <c r="M8697" s="1"/>
      <c r="N8697" s="1"/>
      <c r="O8697" s="1"/>
      <c r="P8697" s="1"/>
      <c r="Q8697" s="1"/>
      <c r="R8697" s="1"/>
      <c r="S8697" s="1"/>
      <c r="T8697" s="1"/>
      <c r="U8697" s="1"/>
      <c r="V8697" s="1"/>
      <c r="W8697" s="1"/>
      <c r="X8697" s="1"/>
      <c r="Y8697" s="1"/>
      <c r="Z8697" s="1"/>
      <c r="AA8697" s="1"/>
      <c r="AB8697" s="1"/>
    </row>
    <row r="8698" ht="50.25" customHeight="1">
      <c r="A8698" s="12">
        <v>8694.0</v>
      </c>
      <c r="B8698" s="13" t="s">
        <v>8699</v>
      </c>
      <c r="C8698" s="18" t="s">
        <v>8724</v>
      </c>
      <c r="D8698" s="1"/>
      <c r="E8698" s="1"/>
      <c r="F8698" s="1" t="str">
        <f>IFERROR(__xludf.DUMMYFUNCTION("GOOGLETRANSLATE(B8698, ""en"", ""fa"")
"),"موفقیت در پادکست")</f>
        <v>موفقیت در پادکست</v>
      </c>
      <c r="G8698" s="1" t="str">
        <f>IFERROR(__xludf.DUMMYFUNCTION("GOOGLETRANSLATE(C8698, ""en"", ""fa"")
"),"چگونه می توان از نقل قول ها، گزیده ها، یا ارجاعات کتاب ها، مقالات یا سایر منابع رسانه ای برای غنی سازی اسکریپت پادکست خود استفاده کرد؟")</f>
        <v>چگونه می توان از نقل قول ها، گزیده ها، یا ارجاعات کتاب ها، مقالات یا سایر منابع رسانه ای برای غنی سازی اسکریپت پادکست خود استفاده کرد؟</v>
      </c>
      <c r="H8698" s="1"/>
      <c r="I8698" s="1"/>
      <c r="J8698" s="1"/>
      <c r="K8698" s="1"/>
      <c r="L8698" s="1"/>
      <c r="M8698" s="1"/>
      <c r="N8698" s="1"/>
      <c r="O8698" s="1"/>
      <c r="P8698" s="1"/>
      <c r="Q8698" s="1"/>
      <c r="R8698" s="1"/>
      <c r="S8698" s="1"/>
      <c r="T8698" s="1"/>
      <c r="U8698" s="1"/>
      <c r="V8698" s="1"/>
      <c r="W8698" s="1"/>
      <c r="X8698" s="1"/>
      <c r="Y8698" s="1"/>
      <c r="Z8698" s="1"/>
      <c r="AA8698" s="1"/>
      <c r="AB8698" s="1"/>
    </row>
    <row r="8699" ht="50.25" customHeight="1">
      <c r="A8699" s="12">
        <v>8695.0</v>
      </c>
      <c r="B8699" s="13" t="s">
        <v>8699</v>
      </c>
      <c r="C8699" s="18" t="s">
        <v>8725</v>
      </c>
      <c r="D8699" s="1"/>
      <c r="E8699" s="1"/>
      <c r="F8699" s="1" t="str">
        <f>IFERROR(__xludf.DUMMYFUNCTION("GOOGLETRANSLATE(B8699, ""en"", ""fa"")
"),"موفقیت در پادکست")</f>
        <v>موفقیت در پادکست</v>
      </c>
      <c r="G8699" s="1" t="str">
        <f>IFERROR(__xludf.DUMMYFUNCTION("GOOGLETRANSLATE(C8699, ""en"", ""fa"")
"),"استراتژی‌هایی برای گنجاندن بازتاب‌ها یا بینش‌های شخصی در اسکریپت پادکست برای ایجاد ارتباط عمیق‌تر با مخاطبان چیست؟")</f>
        <v>استراتژی‌هایی برای گنجاندن بازتاب‌ها یا بینش‌های شخصی در اسکریپت پادکست برای ایجاد ارتباط عمیق‌تر با مخاطبان چیست؟</v>
      </c>
      <c r="H8699" s="1"/>
      <c r="I8699" s="1"/>
      <c r="J8699" s="1"/>
      <c r="K8699" s="1"/>
      <c r="L8699" s="1"/>
      <c r="M8699" s="1"/>
      <c r="N8699" s="1"/>
      <c r="O8699" s="1"/>
      <c r="P8699" s="1"/>
      <c r="Q8699" s="1"/>
      <c r="R8699" s="1"/>
      <c r="S8699" s="1"/>
      <c r="T8699" s="1"/>
      <c r="U8699" s="1"/>
      <c r="V8699" s="1"/>
      <c r="W8699" s="1"/>
      <c r="X8699" s="1"/>
      <c r="Y8699" s="1"/>
      <c r="Z8699" s="1"/>
      <c r="AA8699" s="1"/>
      <c r="AB8699" s="1"/>
    </row>
    <row r="8700" ht="50.25" customHeight="1">
      <c r="A8700" s="12">
        <v>8696.0</v>
      </c>
      <c r="B8700" s="13" t="s">
        <v>8699</v>
      </c>
      <c r="C8700" s="18" t="s">
        <v>8726</v>
      </c>
      <c r="D8700" s="1"/>
      <c r="E8700" s="1"/>
      <c r="F8700" s="1" t="str">
        <f>IFERROR(__xludf.DUMMYFUNCTION("GOOGLETRANSLATE(B8700, ""en"", ""fa"")
"),"موفقیت در پادکست")</f>
        <v>موفقیت در پادکست</v>
      </c>
      <c r="G8700" s="1" t="str">
        <f>IFERROR(__xludf.DUMMYFUNCTION("GOOGLETRANSLATE(C8700, ""en"", ""fa"")
"),"چگونه اسکریپت‌های پادکست بنویسیم که اولویت‌های مختلف مخاطبان را برآورده کند، مانند ارائه مرورهای سطح بالا و توضیحات دقیق؟")</f>
        <v>چگونه اسکریپت‌های پادکست بنویسیم که اولویت‌های مختلف مخاطبان را برآورده کند، مانند ارائه مرورهای سطح بالا و توضیحات دقیق؟</v>
      </c>
      <c r="H8700" s="1"/>
      <c r="I8700" s="1"/>
      <c r="J8700" s="1"/>
      <c r="K8700" s="1"/>
      <c r="L8700" s="1"/>
      <c r="M8700" s="1"/>
      <c r="N8700" s="1"/>
      <c r="O8700" s="1"/>
      <c r="P8700" s="1"/>
      <c r="Q8700" s="1"/>
      <c r="R8700" s="1"/>
      <c r="S8700" s="1"/>
      <c r="T8700" s="1"/>
      <c r="U8700" s="1"/>
      <c r="V8700" s="1"/>
      <c r="W8700" s="1"/>
      <c r="X8700" s="1"/>
      <c r="Y8700" s="1"/>
      <c r="Z8700" s="1"/>
      <c r="AA8700" s="1"/>
      <c r="AB8700" s="1"/>
    </row>
    <row r="8701" ht="50.25" customHeight="1">
      <c r="A8701" s="12">
        <v>8697.0</v>
      </c>
      <c r="B8701" s="13" t="s">
        <v>8699</v>
      </c>
      <c r="C8701" s="18" t="s">
        <v>8727</v>
      </c>
      <c r="D8701" s="1"/>
      <c r="E8701" s="1"/>
      <c r="F8701" s="1" t="str">
        <f>IFERROR(__xludf.DUMMYFUNCTION("GOOGLETRANSLATE(B8701, ""en"", ""fa"")
"),"موفقیت در پادکست")</f>
        <v>موفقیت در پادکست</v>
      </c>
      <c r="G8701" s="1" t="str">
        <f>IFERROR(__xludf.DUMMYFUNCTION("GOOGLETRANSLATE(C8701, ""en"", ""fa"")
"),"چه تکنیک هایی برای ایجاد استعاره ها یا تشبیه های به یاد ماندنی و تاثیرگذار در اسکریپت پادکست برای افزایش درک و تعامل وجود دارد؟")</f>
        <v>چه تکنیک هایی برای ایجاد استعاره ها یا تشبیه های به یاد ماندنی و تاثیرگذار در اسکریپت پادکست برای افزایش درک و تعامل وجود دارد؟</v>
      </c>
      <c r="H8701" s="1"/>
      <c r="I8701" s="1"/>
      <c r="J8701" s="1"/>
      <c r="K8701" s="1"/>
      <c r="L8701" s="1"/>
      <c r="M8701" s="1"/>
      <c r="N8701" s="1"/>
      <c r="O8701" s="1"/>
      <c r="P8701" s="1"/>
      <c r="Q8701" s="1"/>
      <c r="R8701" s="1"/>
      <c r="S8701" s="1"/>
      <c r="T8701" s="1"/>
      <c r="U8701" s="1"/>
      <c r="V8701" s="1"/>
      <c r="W8701" s="1"/>
      <c r="X8701" s="1"/>
      <c r="Y8701" s="1"/>
      <c r="Z8701" s="1"/>
      <c r="AA8701" s="1"/>
      <c r="AB8701" s="1"/>
    </row>
    <row r="8702" ht="50.25" customHeight="1">
      <c r="A8702" s="12">
        <v>8698.0</v>
      </c>
      <c r="B8702" s="13" t="s">
        <v>8699</v>
      </c>
      <c r="C8702" s="18" t="s">
        <v>8728</v>
      </c>
      <c r="D8702" s="1"/>
      <c r="E8702" s="1"/>
      <c r="F8702" s="1" t="str">
        <f>IFERROR(__xludf.DUMMYFUNCTION("GOOGLETRANSLATE(B8702, ""en"", ""fa"")
"),"موفقیت در پادکست")</f>
        <v>موفقیت در پادکست</v>
      </c>
      <c r="G8702" s="1" t="str">
        <f>IFERROR(__xludf.DUMMYFUNCTION("GOOGLETRANSLATE(C8702, ""en"", ""fa"")
"),"چگونه می توان به طور موثر از تکرار یا تماس ها برای تقویت نکات یا مضامین کلیدی در اسکریپت پادکست خود استفاده کرد؟")</f>
        <v>چگونه می توان به طور موثر از تکرار یا تماس ها برای تقویت نکات یا مضامین کلیدی در اسکریپت پادکست خود استفاده کرد؟</v>
      </c>
      <c r="H8702" s="1"/>
      <c r="I8702" s="1"/>
      <c r="J8702" s="1"/>
      <c r="K8702" s="1"/>
      <c r="L8702" s="1"/>
      <c r="M8702" s="1"/>
      <c r="N8702" s="1"/>
      <c r="O8702" s="1"/>
      <c r="P8702" s="1"/>
      <c r="Q8702" s="1"/>
      <c r="R8702" s="1"/>
      <c r="S8702" s="1"/>
      <c r="T8702" s="1"/>
      <c r="U8702" s="1"/>
      <c r="V8702" s="1"/>
      <c r="W8702" s="1"/>
      <c r="X8702" s="1"/>
      <c r="Y8702" s="1"/>
      <c r="Z8702" s="1"/>
      <c r="AA8702" s="1"/>
      <c r="AB8702" s="1"/>
    </row>
    <row r="8703" ht="50.25" customHeight="1">
      <c r="A8703" s="12">
        <v>8699.0</v>
      </c>
      <c r="B8703" s="13" t="s">
        <v>8699</v>
      </c>
      <c r="C8703" s="18" t="s">
        <v>8729</v>
      </c>
      <c r="D8703" s="1"/>
      <c r="E8703" s="1"/>
      <c r="F8703" s="1" t="str">
        <f>IFERROR(__xludf.DUMMYFUNCTION("GOOGLETRANSLATE(B8703, ""en"", ""fa"")
"),"موفقیت در پادکست")</f>
        <v>موفقیت در پادکست</v>
      </c>
      <c r="G8703" s="1" t="str">
        <f>IFERROR(__xludf.DUMMYFUNCTION("GOOGLETRANSLATE(C8703, ""en"", ""fa"")
"),"استراتژی‌هایی برای گنجاندن تکنیک‌های داستان‌گویی، مانند پیش‌نمایش، پیچش‌های داستانی، یا توسعه شخصیت‌ها در فیلم‌نامه‌های پادکست غیرداستانی برای جذب مخاطب چیست؟")</f>
        <v>استراتژی‌هایی برای گنجاندن تکنیک‌های داستان‌گویی، مانند پیش‌نمایش، پیچش‌های داستانی، یا توسعه شخصیت‌ها در فیلم‌نامه‌های پادکست غیرداستانی برای جذب مخاطب چیست؟</v>
      </c>
      <c r="H8703" s="1"/>
      <c r="I8703" s="1"/>
      <c r="J8703" s="1"/>
      <c r="K8703" s="1"/>
      <c r="L8703" s="1"/>
      <c r="M8703" s="1"/>
      <c r="N8703" s="1"/>
      <c r="O8703" s="1"/>
      <c r="P8703" s="1"/>
      <c r="Q8703" s="1"/>
      <c r="R8703" s="1"/>
      <c r="S8703" s="1"/>
      <c r="T8703" s="1"/>
      <c r="U8703" s="1"/>
      <c r="V8703" s="1"/>
      <c r="W8703" s="1"/>
      <c r="X8703" s="1"/>
      <c r="Y8703" s="1"/>
      <c r="Z8703" s="1"/>
      <c r="AA8703" s="1"/>
      <c r="AB8703" s="1"/>
    </row>
    <row r="8704" ht="50.25" customHeight="1">
      <c r="A8704" s="12">
        <v>8700.0</v>
      </c>
      <c r="B8704" s="13" t="s">
        <v>8699</v>
      </c>
      <c r="C8704" s="18" t="s">
        <v>8730</v>
      </c>
      <c r="D8704" s="1"/>
      <c r="E8704" s="1"/>
      <c r="F8704" s="1" t="str">
        <f>IFERROR(__xludf.DUMMYFUNCTION("GOOGLETRANSLATE(B8704, ""en"", ""fa"")
"),"موفقیت در پادکست")</f>
        <v>موفقیت در پادکست</v>
      </c>
      <c r="G8704" s="1" t="str">
        <f>IFERROR(__xludf.DUMMYFUNCTION("GOOGLETRANSLATE(C8704, ""en"", ""fa"")
"),"چگونه مناسب ترین قالب محتوا را برای پادکست خود انتخاب کنیم؟")</f>
        <v>چگونه مناسب ترین قالب محتوا را برای پادکست خود انتخاب کنیم؟</v>
      </c>
      <c r="H8704" s="1"/>
      <c r="I8704" s="1"/>
      <c r="J8704" s="1"/>
      <c r="K8704" s="1"/>
      <c r="L8704" s="1"/>
      <c r="M8704" s="1"/>
      <c r="N8704" s="1"/>
      <c r="O8704" s="1"/>
      <c r="P8704" s="1"/>
      <c r="Q8704" s="1"/>
      <c r="R8704" s="1"/>
      <c r="S8704" s="1"/>
      <c r="T8704" s="1"/>
      <c r="U8704" s="1"/>
      <c r="V8704" s="1"/>
      <c r="W8704" s="1"/>
      <c r="X8704" s="1"/>
      <c r="Y8704" s="1"/>
      <c r="Z8704" s="1"/>
      <c r="AA8704" s="1"/>
      <c r="AB8704" s="1"/>
    </row>
    <row r="8705" ht="50.25" customHeight="1">
      <c r="A8705" s="12">
        <v>8701.0</v>
      </c>
      <c r="B8705" s="13" t="s">
        <v>8699</v>
      </c>
      <c r="C8705" s="18" t="s">
        <v>8731</v>
      </c>
      <c r="D8705" s="1"/>
      <c r="E8705" s="1"/>
      <c r="F8705" s="1" t="str">
        <f>IFERROR(__xludf.DUMMYFUNCTION("GOOGLETRANSLATE(B8705, ""en"", ""fa"")
"),"موفقیت در پادکست")</f>
        <v>موفقیت در پادکست</v>
      </c>
      <c r="G8705" s="1" t="str">
        <f>IFERROR(__xludf.DUMMYFUNCTION("GOOGLETRANSLATE(C8705, ""en"", ""fa"")
"),"عناصر کلیدی ایجاد اپیزودهای پادکست جذاب که با مخاطبان هدف شما طنین انداز می شود چیست؟")</f>
        <v>عناصر کلیدی ایجاد اپیزودهای پادکست جذاب که با مخاطبان هدف شما طنین انداز می شود چیست؟</v>
      </c>
      <c r="H8705" s="1"/>
      <c r="I8705" s="1"/>
      <c r="J8705" s="1"/>
      <c r="K8705" s="1"/>
      <c r="L8705" s="1"/>
      <c r="M8705" s="1"/>
      <c r="N8705" s="1"/>
      <c r="O8705" s="1"/>
      <c r="P8705" s="1"/>
      <c r="Q8705" s="1"/>
      <c r="R8705" s="1"/>
      <c r="S8705" s="1"/>
      <c r="T8705" s="1"/>
      <c r="U8705" s="1"/>
      <c r="V8705" s="1"/>
      <c r="W8705" s="1"/>
      <c r="X8705" s="1"/>
      <c r="Y8705" s="1"/>
      <c r="Z8705" s="1"/>
      <c r="AA8705" s="1"/>
      <c r="AB8705" s="1"/>
    </row>
    <row r="8706" ht="50.25" customHeight="1">
      <c r="A8706" s="12">
        <v>8702.0</v>
      </c>
      <c r="B8706" s="13" t="s">
        <v>8699</v>
      </c>
      <c r="C8706" s="18" t="s">
        <v>8732</v>
      </c>
      <c r="D8706" s="1"/>
      <c r="E8706" s="1"/>
      <c r="F8706" s="1" t="str">
        <f>IFERROR(__xludf.DUMMYFUNCTION("GOOGLETRANSLATE(B8706, ""en"", ""fa"")
"),"موفقیت در پادکست")</f>
        <v>موفقیت در پادکست</v>
      </c>
      <c r="G8706" s="1" t="str">
        <f>IFERROR(__xludf.DUMMYFUNCTION("GOOGLETRANSLATE(C8706, ""en"", ""fa"")
"),"چگونه اپیزودهای پادکست خود را برای حفظ یک جریان منسجم و جذاب محتوا بسازیم؟")</f>
        <v>چگونه اپیزودهای پادکست خود را برای حفظ یک جریان منسجم و جذاب محتوا بسازیم؟</v>
      </c>
      <c r="H8706" s="1"/>
      <c r="I8706" s="1"/>
      <c r="J8706" s="1"/>
      <c r="K8706" s="1"/>
      <c r="L8706" s="1"/>
      <c r="M8706" s="1"/>
      <c r="N8706" s="1"/>
      <c r="O8706" s="1"/>
      <c r="P8706" s="1"/>
      <c r="Q8706" s="1"/>
      <c r="R8706" s="1"/>
      <c r="S8706" s="1"/>
      <c r="T8706" s="1"/>
      <c r="U8706" s="1"/>
      <c r="V8706" s="1"/>
      <c r="W8706" s="1"/>
      <c r="X8706" s="1"/>
      <c r="Y8706" s="1"/>
      <c r="Z8706" s="1"/>
      <c r="AA8706" s="1"/>
      <c r="AB8706" s="1"/>
    </row>
    <row r="8707" ht="50.25" customHeight="1">
      <c r="A8707" s="12">
        <v>8703.0</v>
      </c>
      <c r="B8707" s="13" t="s">
        <v>8699</v>
      </c>
      <c r="C8707" s="18" t="s">
        <v>8733</v>
      </c>
      <c r="D8707" s="1"/>
      <c r="E8707" s="1"/>
      <c r="F8707" s="1" t="str">
        <f>IFERROR(__xludf.DUMMYFUNCTION("GOOGLETRANSLATE(B8707, ""en"", ""fa"")
"),"موفقیت در پادکست")</f>
        <v>موفقیت در پادکست</v>
      </c>
      <c r="G8707" s="1" t="str">
        <f>IFERROR(__xludf.DUMMYFUNCTION("GOOGLETRANSLATE(C8707, ""en"", ""fa"")
"),"تکنیک های موثر برای گنجاندن داستان سرایی در قسمت های پادکست شما چیست؟")</f>
        <v>تکنیک های موثر برای گنجاندن داستان سرایی در قسمت های پادکست شما چیست؟</v>
      </c>
      <c r="H8707" s="1"/>
      <c r="I8707" s="1"/>
      <c r="J8707" s="1"/>
      <c r="K8707" s="1"/>
      <c r="L8707" s="1"/>
      <c r="M8707" s="1"/>
      <c r="N8707" s="1"/>
      <c r="O8707" s="1"/>
      <c r="P8707" s="1"/>
      <c r="Q8707" s="1"/>
      <c r="R8707" s="1"/>
      <c r="S8707" s="1"/>
      <c r="T8707" s="1"/>
      <c r="U8707" s="1"/>
      <c r="V8707" s="1"/>
      <c r="W8707" s="1"/>
      <c r="X8707" s="1"/>
      <c r="Y8707" s="1"/>
      <c r="Z8707" s="1"/>
      <c r="AA8707" s="1"/>
      <c r="AB8707" s="1"/>
    </row>
    <row r="8708" ht="50.25" customHeight="1">
      <c r="A8708" s="12">
        <v>8704.0</v>
      </c>
      <c r="B8708" s="13" t="s">
        <v>8699</v>
      </c>
      <c r="C8708" s="18" t="s">
        <v>8734</v>
      </c>
      <c r="D8708" s="1"/>
      <c r="E8708" s="1"/>
      <c r="F8708" s="1" t="str">
        <f>IFERROR(__xludf.DUMMYFUNCTION("GOOGLETRANSLATE(B8708, ""en"", ""fa"")
"),"موفقیت در پادکست")</f>
        <v>موفقیت در پادکست</v>
      </c>
      <c r="G8708" s="1" t="str">
        <f>IFERROR(__xludf.DUMMYFUNCTION("GOOGLETRANSLATE(C8708, ""en"", ""fa"")
"),"چگونه طول قسمت بهینه را برای پادکست خود انتخاب کنید تا شنوندگان خود را درگیر خود نگه دارید؟")</f>
        <v>چگونه طول قسمت بهینه را برای پادکست خود انتخاب کنید تا شنوندگان خود را درگیر خود نگه دارید؟</v>
      </c>
      <c r="H8708" s="1"/>
      <c r="I8708" s="1"/>
      <c r="J8708" s="1"/>
      <c r="K8708" s="1"/>
      <c r="L8708" s="1"/>
      <c r="M8708" s="1"/>
      <c r="N8708" s="1"/>
      <c r="O8708" s="1"/>
      <c r="P8708" s="1"/>
      <c r="Q8708" s="1"/>
      <c r="R8708" s="1"/>
      <c r="S8708" s="1"/>
      <c r="T8708" s="1"/>
      <c r="U8708" s="1"/>
      <c r="V8708" s="1"/>
      <c r="W8708" s="1"/>
      <c r="X8708" s="1"/>
      <c r="Y8708" s="1"/>
      <c r="Z8708" s="1"/>
      <c r="AA8708" s="1"/>
      <c r="AB8708" s="1"/>
    </row>
    <row r="8709" ht="50.25" customHeight="1">
      <c r="A8709" s="12">
        <v>8705.0</v>
      </c>
      <c r="B8709" s="13" t="s">
        <v>8699</v>
      </c>
      <c r="C8709" s="18" t="s">
        <v>8735</v>
      </c>
      <c r="D8709" s="1"/>
      <c r="E8709" s="1"/>
      <c r="F8709" s="1" t="str">
        <f>IFERROR(__xludf.DUMMYFUNCTION("GOOGLETRANSLATE(B8709, ""en"", ""fa"")
"),"موفقیت در پادکست")</f>
        <v>موفقیت در پادکست</v>
      </c>
      <c r="G8709" s="1" t="str">
        <f>IFERROR(__xludf.DUMMYFUNCTION("GOOGLETRANSLATE(C8709, ""en"", ""fa"")
"),"استراتژی های ایجاد یک موضوع یا تمرکز ثابت برای قسمت های پادکست شما چیست؟")</f>
        <v>استراتژی های ایجاد یک موضوع یا تمرکز ثابت برای قسمت های پادکست شما چیست؟</v>
      </c>
      <c r="H8709" s="1"/>
      <c r="I8709" s="1"/>
      <c r="J8709" s="1"/>
      <c r="K8709" s="1"/>
      <c r="L8709" s="1"/>
      <c r="M8709" s="1"/>
      <c r="N8709" s="1"/>
      <c r="O8709" s="1"/>
      <c r="P8709" s="1"/>
      <c r="Q8709" s="1"/>
      <c r="R8709" s="1"/>
      <c r="S8709" s="1"/>
      <c r="T8709" s="1"/>
      <c r="U8709" s="1"/>
      <c r="V8709" s="1"/>
      <c r="W8709" s="1"/>
      <c r="X8709" s="1"/>
      <c r="Y8709" s="1"/>
      <c r="Z8709" s="1"/>
      <c r="AA8709" s="1"/>
      <c r="AB8709" s="1"/>
    </row>
    <row r="8710" ht="50.25" customHeight="1">
      <c r="A8710" s="12">
        <v>8706.0</v>
      </c>
      <c r="B8710" s="13" t="s">
        <v>8699</v>
      </c>
      <c r="C8710" s="18" t="s">
        <v>8736</v>
      </c>
      <c r="D8710" s="1"/>
      <c r="E8710" s="1"/>
      <c r="F8710" s="1" t="str">
        <f>IFERROR(__xludf.DUMMYFUNCTION("GOOGLETRANSLATE(B8710, ""en"", ""fa"")
"),"موفقیت در پادکست")</f>
        <v>موفقیت در پادکست</v>
      </c>
      <c r="G8710" s="1" t="str">
        <f>IFERROR(__xludf.DUMMYFUNCTION("GOOGLETRANSLATE(C8710, ""en"", ""fa"")
"),"چگونه برای پادکست خود به طور مداوم طوفان فکری و ایده های محتوای تازه تولید کنید؟")</f>
        <v>چگونه برای پادکست خود به طور مداوم طوفان فکری و ایده های محتوای تازه تولید کنید؟</v>
      </c>
      <c r="H8710" s="1"/>
      <c r="I8710" s="1"/>
      <c r="J8710" s="1"/>
      <c r="K8710" s="1"/>
      <c r="L8710" s="1"/>
      <c r="M8710" s="1"/>
      <c r="N8710" s="1"/>
      <c r="O8710" s="1"/>
      <c r="P8710" s="1"/>
      <c r="Q8710" s="1"/>
      <c r="R8710" s="1"/>
      <c r="S8710" s="1"/>
      <c r="T8710" s="1"/>
      <c r="U8710" s="1"/>
      <c r="V8710" s="1"/>
      <c r="W8710" s="1"/>
      <c r="X8710" s="1"/>
      <c r="Y8710" s="1"/>
      <c r="Z8710" s="1"/>
      <c r="AA8710" s="1"/>
      <c r="AB8710" s="1"/>
    </row>
    <row r="8711" ht="50.25" customHeight="1">
      <c r="A8711" s="12">
        <v>8707.0</v>
      </c>
      <c r="B8711" s="13" t="s">
        <v>8699</v>
      </c>
      <c r="C8711" s="18" t="s">
        <v>8737</v>
      </c>
      <c r="D8711" s="1"/>
      <c r="E8711" s="1"/>
      <c r="F8711" s="1" t="str">
        <f>IFERROR(__xludf.DUMMYFUNCTION("GOOGLETRANSLATE(B8711, ""en"", ""fa"")
"),"موفقیت در پادکست")</f>
        <v>موفقیت در پادکست</v>
      </c>
      <c r="G8711" s="1" t="str">
        <f>IFERROR(__xludf.DUMMYFUNCTION("GOOGLETRANSLATE(C8711, ""en"", ""fa"")
"),"تکنیک های انجام تحقیقات کامل برای ارائه اطلاعات دقیق و ارزشمند در قسمت های پادکست شما چیست؟")</f>
        <v>تکنیک های انجام تحقیقات کامل برای ارائه اطلاعات دقیق و ارزشمند در قسمت های پادکست شما چیست؟</v>
      </c>
      <c r="H8711" s="1"/>
      <c r="I8711" s="1"/>
      <c r="J8711" s="1"/>
      <c r="K8711" s="1"/>
      <c r="L8711" s="1"/>
      <c r="M8711" s="1"/>
      <c r="N8711" s="1"/>
      <c r="O8711" s="1"/>
      <c r="P8711" s="1"/>
      <c r="Q8711" s="1"/>
      <c r="R8711" s="1"/>
      <c r="S8711" s="1"/>
      <c r="T8711" s="1"/>
      <c r="U8711" s="1"/>
      <c r="V8711" s="1"/>
      <c r="W8711" s="1"/>
      <c r="X8711" s="1"/>
      <c r="Y8711" s="1"/>
      <c r="Z8711" s="1"/>
      <c r="AA8711" s="1"/>
      <c r="AB8711" s="1"/>
    </row>
    <row r="8712" ht="50.25" customHeight="1">
      <c r="A8712" s="12">
        <v>8708.0</v>
      </c>
      <c r="B8712" s="13" t="s">
        <v>8699</v>
      </c>
      <c r="C8712" s="18" t="s">
        <v>8738</v>
      </c>
      <c r="D8712" s="1"/>
      <c r="E8712" s="1"/>
      <c r="F8712" s="1" t="str">
        <f>IFERROR(__xludf.DUMMYFUNCTION("GOOGLETRANSLATE(B8712, ""en"", ""fa"")
"),"موفقیت در پادکست")</f>
        <v>موفقیت در پادکست</v>
      </c>
      <c r="G8712" s="1" t="str">
        <f>IFERROR(__xludf.DUMMYFUNCTION("GOOGLETRANSLATE(C8712, ""en"", ""fa"")
"),"چگونه می توان قسمت های پادکست خود را به طور مؤثر برنامه ریزی و ترسیم کرد تا از پیشرفت منطقی ایده ها اطمینان حاصل شود؟")</f>
        <v>چگونه می توان قسمت های پادکست خود را به طور مؤثر برنامه ریزی و ترسیم کرد تا از پیشرفت منطقی ایده ها اطمینان حاصل شود؟</v>
      </c>
      <c r="H8712" s="1"/>
      <c r="I8712" s="1"/>
      <c r="J8712" s="1"/>
      <c r="K8712" s="1"/>
      <c r="L8712" s="1"/>
      <c r="M8712" s="1"/>
      <c r="N8712" s="1"/>
      <c r="O8712" s="1"/>
      <c r="P8712" s="1"/>
      <c r="Q8712" s="1"/>
      <c r="R8712" s="1"/>
      <c r="S8712" s="1"/>
      <c r="T8712" s="1"/>
      <c r="U8712" s="1"/>
      <c r="V8712" s="1"/>
      <c r="W8712" s="1"/>
      <c r="X8712" s="1"/>
      <c r="Y8712" s="1"/>
      <c r="Z8712" s="1"/>
      <c r="AA8712" s="1"/>
      <c r="AB8712" s="1"/>
    </row>
    <row r="8713" ht="50.25" customHeight="1">
      <c r="A8713" s="12">
        <v>8709.0</v>
      </c>
      <c r="B8713" s="13" t="s">
        <v>8699</v>
      </c>
      <c r="C8713" s="18" t="s">
        <v>8739</v>
      </c>
      <c r="D8713" s="1"/>
      <c r="E8713" s="1"/>
      <c r="F8713" s="1" t="str">
        <f>IFERROR(__xludf.DUMMYFUNCTION("GOOGLETRANSLATE(B8713, ""en"", ""fa"")
"),"موفقیت در پادکست")</f>
        <v>موفقیت در پادکست</v>
      </c>
      <c r="G8713" s="1" t="str">
        <f>IFERROR(__xludf.DUMMYFUNCTION("GOOGLETRANSLATE(C8713, ""en"", ""fa"")
"),"بهترین روش ها برای باز کردن و بستن بخش ها در قسمت های پادکست شما چیست؟")</f>
        <v>بهترین روش ها برای باز کردن و بستن بخش ها در قسمت های پادکست شما چیست؟</v>
      </c>
      <c r="H8713" s="1"/>
      <c r="I8713" s="1"/>
      <c r="J8713" s="1"/>
      <c r="K8713" s="1"/>
      <c r="L8713" s="1"/>
      <c r="M8713" s="1"/>
      <c r="N8713" s="1"/>
      <c r="O8713" s="1"/>
      <c r="P8713" s="1"/>
      <c r="Q8713" s="1"/>
      <c r="R8713" s="1"/>
      <c r="S8713" s="1"/>
      <c r="T8713" s="1"/>
      <c r="U8713" s="1"/>
      <c r="V8713" s="1"/>
      <c r="W8713" s="1"/>
      <c r="X8713" s="1"/>
      <c r="Y8713" s="1"/>
      <c r="Z8713" s="1"/>
      <c r="AA8713" s="1"/>
      <c r="AB8713" s="1"/>
    </row>
    <row r="8714" ht="50.25" customHeight="1">
      <c r="A8714" s="12">
        <v>8710.0</v>
      </c>
      <c r="B8714" s="13" t="s">
        <v>8699</v>
      </c>
      <c r="C8714" s="18" t="s">
        <v>8740</v>
      </c>
      <c r="D8714" s="1"/>
      <c r="E8714" s="1"/>
      <c r="F8714" s="1" t="str">
        <f>IFERROR(__xludf.DUMMYFUNCTION("GOOGLETRANSLATE(B8714, ""en"", ""fa"")
"),"موفقیت در پادکست")</f>
        <v>موفقیت در پادکست</v>
      </c>
      <c r="G8714" s="1" t="str">
        <f>IFERROR(__xludf.DUMMYFUNCTION("GOOGLETRANSLATE(C8714, ""en"", ""fa"")
"),"چگونه عناوین اپیزودهای قانع کننده ای ایجاد کنیم که توجه مخاطبان هدف شما را به خود جلب کند؟")</f>
        <v>چگونه عناوین اپیزودهای قانع کننده ای ایجاد کنیم که توجه مخاطبان هدف شما را به خود جلب کند؟</v>
      </c>
      <c r="H8714" s="1"/>
      <c r="I8714" s="1"/>
      <c r="J8714" s="1"/>
      <c r="K8714" s="1"/>
      <c r="L8714" s="1"/>
      <c r="M8714" s="1"/>
      <c r="N8714" s="1"/>
      <c r="O8714" s="1"/>
      <c r="P8714" s="1"/>
      <c r="Q8714" s="1"/>
      <c r="R8714" s="1"/>
      <c r="S8714" s="1"/>
      <c r="T8714" s="1"/>
      <c r="U8714" s="1"/>
      <c r="V8714" s="1"/>
      <c r="W8714" s="1"/>
      <c r="X8714" s="1"/>
      <c r="Y8714" s="1"/>
      <c r="Z8714" s="1"/>
      <c r="AA8714" s="1"/>
      <c r="AB8714" s="1"/>
    </row>
    <row r="8715" ht="50.25" customHeight="1">
      <c r="A8715" s="12">
        <v>8711.0</v>
      </c>
      <c r="B8715" s="13" t="s">
        <v>8699</v>
      </c>
      <c r="C8715" s="18" t="s">
        <v>8741</v>
      </c>
      <c r="D8715" s="1"/>
      <c r="E8715" s="1"/>
      <c r="F8715" s="1" t="str">
        <f>IFERROR(__xludf.DUMMYFUNCTION("GOOGLETRANSLATE(B8715, ""en"", ""fa"")
"),"موفقیت در پادکست")</f>
        <v>موفقیت در پادکست</v>
      </c>
      <c r="G8715" s="1" t="str">
        <f>IFERROR(__xludf.DUMMYFUNCTION("GOOGLETRANSLATE(C8715, ""en"", ""fa"")
"),"استراتژی‌هایی برای گنجاندن مصاحبه‌ها، ویژگی‌های مهمان، یا قسمت‌های میزبانی مشترک در قالب پادکست شما چیست؟")</f>
        <v>استراتژی‌هایی برای گنجاندن مصاحبه‌ها، ویژگی‌های مهمان، یا قسمت‌های میزبانی مشترک در قالب پادکست شما چیست؟</v>
      </c>
      <c r="H8715" s="1"/>
      <c r="I8715" s="1"/>
      <c r="J8715" s="1"/>
      <c r="K8715" s="1"/>
      <c r="L8715" s="1"/>
      <c r="M8715" s="1"/>
      <c r="N8715" s="1"/>
      <c r="O8715" s="1"/>
      <c r="P8715" s="1"/>
      <c r="Q8715" s="1"/>
      <c r="R8715" s="1"/>
      <c r="S8715" s="1"/>
      <c r="T8715" s="1"/>
      <c r="U8715" s="1"/>
      <c r="V8715" s="1"/>
      <c r="W8715" s="1"/>
      <c r="X8715" s="1"/>
      <c r="Y8715" s="1"/>
      <c r="Z8715" s="1"/>
      <c r="AA8715" s="1"/>
      <c r="AB8715" s="1"/>
    </row>
    <row r="8716" ht="50.25" customHeight="1">
      <c r="A8716" s="12">
        <v>8712.0</v>
      </c>
      <c r="B8716" s="13" t="s">
        <v>8699</v>
      </c>
      <c r="C8716" s="18" t="s">
        <v>8742</v>
      </c>
      <c r="D8716" s="1"/>
      <c r="E8716" s="1"/>
      <c r="F8716" s="1" t="str">
        <f>IFERROR(__xludf.DUMMYFUNCTION("GOOGLETRANSLATE(B8716, ""en"", ""fa"")
"),"موفقیت در پادکست")</f>
        <v>موفقیت در پادکست</v>
      </c>
      <c r="G8716" s="1" t="str">
        <f>IFERROR(__xludf.DUMMYFUNCTION("GOOGLETRANSLATE(C8716, ""en"", ""fa"")
"),"چگونه با ساختارها یا قالب‌های اپیزود مختلف آزمایش کنیم تا محتوای پادکست خود را جذاب و تازه نگه دارد؟")</f>
        <v>چگونه با ساختارها یا قالب‌های اپیزود مختلف آزمایش کنیم تا محتوای پادکست خود را جذاب و تازه نگه دارد؟</v>
      </c>
      <c r="H8716" s="1"/>
      <c r="I8716" s="1"/>
      <c r="J8716" s="1"/>
      <c r="K8716" s="1"/>
      <c r="L8716" s="1"/>
      <c r="M8716" s="1"/>
      <c r="N8716" s="1"/>
      <c r="O8716" s="1"/>
      <c r="P8716" s="1"/>
      <c r="Q8716" s="1"/>
      <c r="R8716" s="1"/>
      <c r="S8716" s="1"/>
      <c r="T8716" s="1"/>
      <c r="U8716" s="1"/>
      <c r="V8716" s="1"/>
      <c r="W8716" s="1"/>
      <c r="X8716" s="1"/>
      <c r="Y8716" s="1"/>
      <c r="Z8716" s="1"/>
      <c r="AA8716" s="1"/>
      <c r="AB8716" s="1"/>
    </row>
    <row r="8717" ht="50.25" customHeight="1">
      <c r="A8717" s="12">
        <v>8713.0</v>
      </c>
      <c r="B8717" s="13" t="s">
        <v>8699</v>
      </c>
      <c r="C8717" s="18" t="s">
        <v>8743</v>
      </c>
      <c r="D8717" s="1"/>
      <c r="E8717" s="1"/>
      <c r="F8717" s="1" t="str">
        <f>IFERROR(__xludf.DUMMYFUNCTION("GOOGLETRANSLATE(B8717, ""en"", ""fa"")
"),"موفقیت در پادکست")</f>
        <v>موفقیت در پادکست</v>
      </c>
      <c r="G8717" s="1" t="str">
        <f>IFERROR(__xludf.DUMMYFUNCTION("GOOGLETRANSLATE(C8717, ""en"", ""fa"")
"),"تکنیک‌های مؤثر برای ایجاد قسمت‌های پادکست که سبک‌ها یا ترجیحات مختلف یادگیری را برآورده می‌کنند، چیست؟")</f>
        <v>تکنیک‌های مؤثر برای ایجاد قسمت‌های پادکست که سبک‌ها یا ترجیحات مختلف یادگیری را برآورده می‌کنند، چیست؟</v>
      </c>
      <c r="H8717" s="1"/>
      <c r="I8717" s="1"/>
      <c r="J8717" s="1"/>
      <c r="K8717" s="1"/>
      <c r="L8717" s="1"/>
      <c r="M8717" s="1"/>
      <c r="N8717" s="1"/>
      <c r="O8717" s="1"/>
      <c r="P8717" s="1"/>
      <c r="Q8717" s="1"/>
      <c r="R8717" s="1"/>
      <c r="S8717" s="1"/>
      <c r="T8717" s="1"/>
      <c r="U8717" s="1"/>
      <c r="V8717" s="1"/>
      <c r="W8717" s="1"/>
      <c r="X8717" s="1"/>
      <c r="Y8717" s="1"/>
      <c r="Z8717" s="1"/>
      <c r="AA8717" s="1"/>
      <c r="AB8717" s="1"/>
    </row>
    <row r="8718" ht="50.25" customHeight="1">
      <c r="A8718" s="12">
        <v>8714.0</v>
      </c>
      <c r="B8718" s="13" t="s">
        <v>8699</v>
      </c>
      <c r="C8718" s="18" t="s">
        <v>8744</v>
      </c>
      <c r="D8718" s="1"/>
      <c r="E8718" s="1"/>
      <c r="F8718" s="1" t="str">
        <f>IFERROR(__xludf.DUMMYFUNCTION("GOOGLETRANSLATE(B8718, ""en"", ""fa"")
"),"موفقیت در پادکست")</f>
        <v>موفقیت در پادکست</v>
      </c>
      <c r="G8718" s="1" t="str">
        <f>IFERROR(__xludf.DUMMYFUNCTION("GOOGLETRANSLATE(C8718, ""en"", ""fa"")
"),"چگونه از بازخورد مخاطبان و پیشنهادات شنوندگان برای شکل دادن به محتوا و قالب قسمت های پادکست خود استفاده کنیم؟")</f>
        <v>چگونه از بازخورد مخاطبان و پیشنهادات شنوندگان برای شکل دادن به محتوا و قالب قسمت های پادکست خود استفاده کنیم؟</v>
      </c>
      <c r="H8718" s="1"/>
      <c r="I8718" s="1"/>
      <c r="J8718" s="1"/>
      <c r="K8718" s="1"/>
      <c r="L8718" s="1"/>
      <c r="M8718" s="1"/>
      <c r="N8718" s="1"/>
      <c r="O8718" s="1"/>
      <c r="P8718" s="1"/>
      <c r="Q8718" s="1"/>
      <c r="R8718" s="1"/>
      <c r="S8718" s="1"/>
      <c r="T8718" s="1"/>
      <c r="U8718" s="1"/>
      <c r="V8718" s="1"/>
      <c r="W8718" s="1"/>
      <c r="X8718" s="1"/>
      <c r="Y8718" s="1"/>
      <c r="Z8718" s="1"/>
      <c r="AA8718" s="1"/>
      <c r="AB8718" s="1"/>
    </row>
    <row r="8719" ht="50.25" customHeight="1">
      <c r="A8719" s="12">
        <v>8715.0</v>
      </c>
      <c r="B8719" s="13" t="s">
        <v>8699</v>
      </c>
      <c r="C8719" s="18" t="s">
        <v>8745</v>
      </c>
      <c r="D8719" s="1"/>
      <c r="E8719" s="1"/>
      <c r="F8719" s="1" t="str">
        <f>IFERROR(__xludf.DUMMYFUNCTION("GOOGLETRANSLATE(B8719, ""en"", ""fa"")
"),"موفقیت در پادکست")</f>
        <v>موفقیت در پادکست</v>
      </c>
      <c r="G8719" s="1" t="str">
        <f>IFERROR(__xludf.DUMMYFUNCTION("GOOGLETRANSLATE(C8719, ""en"", ""fa"")
"),"تکنیک‌های گنجاندن مشارکت مخاطب، مانند بخش‌های پرسش و پاسخ یا محتوای ارسالی توسط شنوندگان، در قالب پادکست شما چیست؟")</f>
        <v>تکنیک‌های گنجاندن مشارکت مخاطب، مانند بخش‌های پرسش و پاسخ یا محتوای ارسالی توسط شنوندگان، در قالب پادکست شما چیست؟</v>
      </c>
      <c r="H8719" s="1"/>
      <c r="I8719" s="1"/>
      <c r="J8719" s="1"/>
      <c r="K8719" s="1"/>
      <c r="L8719" s="1"/>
      <c r="M8719" s="1"/>
      <c r="N8719" s="1"/>
      <c r="O8719" s="1"/>
      <c r="P8719" s="1"/>
      <c r="Q8719" s="1"/>
      <c r="R8719" s="1"/>
      <c r="S8719" s="1"/>
      <c r="T8719" s="1"/>
      <c r="U8719" s="1"/>
      <c r="V8719" s="1"/>
      <c r="W8719" s="1"/>
      <c r="X8719" s="1"/>
      <c r="Y8719" s="1"/>
      <c r="Z8719" s="1"/>
      <c r="AA8719" s="1"/>
      <c r="AB8719" s="1"/>
    </row>
    <row r="8720" ht="50.25" customHeight="1">
      <c r="A8720" s="12">
        <v>8716.0</v>
      </c>
      <c r="B8720" s="13" t="s">
        <v>8699</v>
      </c>
      <c r="C8720" s="18" t="s">
        <v>8746</v>
      </c>
      <c r="D8720" s="1"/>
      <c r="E8720" s="1"/>
      <c r="F8720" s="1" t="str">
        <f>IFERROR(__xludf.DUMMYFUNCTION("GOOGLETRANSLATE(B8720, ""en"", ""fa"")
"),"موفقیت در پادکست")</f>
        <v>موفقیت در پادکست</v>
      </c>
      <c r="G8720" s="1" t="str">
        <f>IFERROR(__xludf.DUMMYFUNCTION("GOOGLETRANSLATE(C8720, ""en"", ""fa"")
"),"چگونه می توان به طور موثر از مقدمه و برون قسمت ها برای تنظیم لحن و ایجاد یک تجربه برندسازی ثابت برای پادکست خود استفاده کرد؟")</f>
        <v>چگونه می توان به طور موثر از مقدمه و برون قسمت ها برای تنظیم لحن و ایجاد یک تجربه برندسازی ثابت برای پادکست خود استفاده کرد؟</v>
      </c>
      <c r="H8720" s="1"/>
      <c r="I8720" s="1"/>
      <c r="J8720" s="1"/>
      <c r="K8720" s="1"/>
      <c r="L8720" s="1"/>
      <c r="M8720" s="1"/>
      <c r="N8720" s="1"/>
      <c r="O8720" s="1"/>
      <c r="P8720" s="1"/>
      <c r="Q8720" s="1"/>
      <c r="R8720" s="1"/>
      <c r="S8720" s="1"/>
      <c r="T8720" s="1"/>
      <c r="U8720" s="1"/>
      <c r="V8720" s="1"/>
      <c r="W8720" s="1"/>
      <c r="X8720" s="1"/>
      <c r="Y8720" s="1"/>
      <c r="Z8720" s="1"/>
      <c r="AA8720" s="1"/>
      <c r="AB8720" s="1"/>
    </row>
    <row r="8721" ht="50.25" customHeight="1">
      <c r="A8721" s="12">
        <v>8717.0</v>
      </c>
      <c r="B8721" s="13" t="s">
        <v>8699</v>
      </c>
      <c r="C8721" s="18" t="s">
        <v>8747</v>
      </c>
      <c r="D8721" s="1"/>
      <c r="E8721" s="1"/>
      <c r="F8721" s="1" t="str">
        <f>IFERROR(__xludf.DUMMYFUNCTION("GOOGLETRANSLATE(B8721, ""en"", ""fa"")
"),"موفقیت در پادکست")</f>
        <v>موفقیت در پادکست</v>
      </c>
      <c r="G8721" s="1" t="str">
        <f>IFERROR(__xludf.DUMMYFUNCTION("GOOGLETRANSLATE(C8721, ""en"", ""fa"")
"),"راهبردهای ایجاد مینی سریال یا اپیزودهای مضمونی برای ارائه یک بررسی عمیق در موضوعات خاص در پادکست شما چیست؟")</f>
        <v>راهبردهای ایجاد مینی سریال یا اپیزودهای مضمونی برای ارائه یک بررسی عمیق در موضوعات خاص در پادکست شما چیست؟</v>
      </c>
      <c r="H8721" s="1"/>
      <c r="I8721" s="1"/>
      <c r="J8721" s="1"/>
      <c r="K8721" s="1"/>
      <c r="L8721" s="1"/>
      <c r="M8721" s="1"/>
      <c r="N8721" s="1"/>
      <c r="O8721" s="1"/>
      <c r="P8721" s="1"/>
      <c r="Q8721" s="1"/>
      <c r="R8721" s="1"/>
      <c r="S8721" s="1"/>
      <c r="T8721" s="1"/>
      <c r="U8721" s="1"/>
      <c r="V8721" s="1"/>
      <c r="W8721" s="1"/>
      <c r="X8721" s="1"/>
      <c r="Y8721" s="1"/>
      <c r="Z8721" s="1"/>
      <c r="AA8721" s="1"/>
      <c r="AB8721" s="1"/>
    </row>
    <row r="8722" ht="50.25" customHeight="1">
      <c r="A8722" s="12">
        <v>8718.0</v>
      </c>
      <c r="B8722" s="13" t="s">
        <v>8699</v>
      </c>
      <c r="C8722" s="18" t="s">
        <v>8748</v>
      </c>
      <c r="D8722" s="1"/>
      <c r="E8722" s="1"/>
      <c r="F8722" s="1" t="str">
        <f>IFERROR(__xludf.DUMMYFUNCTION("GOOGLETRANSLATE(B8722, ""en"", ""fa"")
"),"موفقیت در پادکست")</f>
        <v>موفقیت در پادکست</v>
      </c>
      <c r="G8722" s="1" t="str">
        <f>IFERROR(__xludf.DUMMYFUNCTION("GOOGLETRANSLATE(C8722, ""en"", ""fa"")
"),"چگونه می توان محتوای متنی را با بحث های خودجوش یا بداهه در قسمت های پادکست خود متعادل کرد؟")</f>
        <v>چگونه می توان محتوای متنی را با بحث های خودجوش یا بداهه در قسمت های پادکست خود متعادل کرد؟</v>
      </c>
      <c r="H8722" s="1"/>
      <c r="I8722" s="1"/>
      <c r="J8722" s="1"/>
      <c r="K8722" s="1"/>
      <c r="L8722" s="1"/>
      <c r="M8722" s="1"/>
      <c r="N8722" s="1"/>
      <c r="O8722" s="1"/>
      <c r="P8722" s="1"/>
      <c r="Q8722" s="1"/>
      <c r="R8722" s="1"/>
      <c r="S8722" s="1"/>
      <c r="T8722" s="1"/>
      <c r="U8722" s="1"/>
      <c r="V8722" s="1"/>
      <c r="W8722" s="1"/>
      <c r="X8722" s="1"/>
      <c r="Y8722" s="1"/>
      <c r="Z8722" s="1"/>
      <c r="AA8722" s="1"/>
      <c r="AB8722" s="1"/>
    </row>
    <row r="8723" ht="50.25" customHeight="1">
      <c r="A8723" s="12">
        <v>8719.0</v>
      </c>
      <c r="B8723" s="13" t="s">
        <v>8699</v>
      </c>
      <c r="C8723" s="18" t="s">
        <v>8749</v>
      </c>
      <c r="D8723" s="1"/>
      <c r="E8723" s="1"/>
      <c r="F8723" s="1" t="str">
        <f>IFERROR(__xludf.DUMMYFUNCTION("GOOGLETRANSLATE(B8723, ""en"", ""fa"")
"),"موفقیت در پادکست")</f>
        <v>موفقیت در پادکست</v>
      </c>
      <c r="G8723" s="1" t="str">
        <f>IFERROR(__xludf.DUMMYFUNCTION("GOOGLETRANSLATE(C8723, ""en"", ""fa"")
"),"تکنیک‌های ایجاد یک روایت منسجم یا قوس داستانی فراگیر در چند قسمت از پادکست شما چیست؟")</f>
        <v>تکنیک‌های ایجاد یک روایت منسجم یا قوس داستانی فراگیر در چند قسمت از پادکست شما چیست؟</v>
      </c>
      <c r="H8723" s="1"/>
      <c r="I8723" s="1"/>
      <c r="J8723" s="1"/>
      <c r="K8723" s="1"/>
      <c r="L8723" s="1"/>
      <c r="M8723" s="1"/>
      <c r="N8723" s="1"/>
      <c r="O8723" s="1"/>
      <c r="P8723" s="1"/>
      <c r="Q8723" s="1"/>
      <c r="R8723" s="1"/>
      <c r="S8723" s="1"/>
      <c r="T8723" s="1"/>
      <c r="U8723" s="1"/>
      <c r="V8723" s="1"/>
      <c r="W8723" s="1"/>
      <c r="X8723" s="1"/>
      <c r="Y8723" s="1"/>
      <c r="Z8723" s="1"/>
      <c r="AA8723" s="1"/>
      <c r="AB8723" s="1"/>
    </row>
    <row r="8724" ht="50.25" customHeight="1">
      <c r="A8724" s="12">
        <v>8720.0</v>
      </c>
      <c r="B8724" s="13" t="s">
        <v>8699</v>
      </c>
      <c r="C8724" s="18" t="s">
        <v>8750</v>
      </c>
      <c r="D8724" s="1"/>
      <c r="E8724" s="1"/>
      <c r="F8724" s="1" t="str">
        <f>IFERROR(__xludf.DUMMYFUNCTION("GOOGLETRANSLATE(B8724, ""en"", ""fa"")
"),"موفقیت در پادکست")</f>
        <v>موفقیت در پادکست</v>
      </c>
      <c r="G8724" s="1" t="str">
        <f>IFERROR(__xludf.DUMMYFUNCTION("GOOGLETRANSLATE(C8724, ""en"", ""fa"")
"),"چگونه اپیزودهایی را با نکات مهم یا نکات عملی ایجاد کنیم که برای شنوندگان شما ارزش ایجاد کند؟")</f>
        <v>چگونه اپیزودهایی را با نکات مهم یا نکات عملی ایجاد کنیم که برای شنوندگان شما ارزش ایجاد کند؟</v>
      </c>
      <c r="H8724" s="1"/>
      <c r="I8724" s="1"/>
      <c r="J8724" s="1"/>
      <c r="K8724" s="1"/>
      <c r="L8724" s="1"/>
      <c r="M8724" s="1"/>
      <c r="N8724" s="1"/>
      <c r="O8724" s="1"/>
      <c r="P8724" s="1"/>
      <c r="Q8724" s="1"/>
      <c r="R8724" s="1"/>
      <c r="S8724" s="1"/>
      <c r="T8724" s="1"/>
      <c r="U8724" s="1"/>
      <c r="V8724" s="1"/>
      <c r="W8724" s="1"/>
      <c r="X8724" s="1"/>
      <c r="Y8724" s="1"/>
      <c r="Z8724" s="1"/>
      <c r="AA8724" s="1"/>
      <c r="AB8724" s="1"/>
    </row>
    <row r="8725" ht="50.25" customHeight="1">
      <c r="A8725" s="12">
        <v>8721.0</v>
      </c>
      <c r="B8725" s="13" t="s">
        <v>8699</v>
      </c>
      <c r="C8725" s="18" t="s">
        <v>8751</v>
      </c>
      <c r="D8725" s="1"/>
      <c r="E8725" s="1"/>
      <c r="F8725" s="1" t="str">
        <f>IFERROR(__xludf.DUMMYFUNCTION("GOOGLETRANSLATE(B8725, ""en"", ""fa"")
"),"موفقیت در پادکست")</f>
        <v>موفقیت در پادکست</v>
      </c>
      <c r="G8725" s="1" t="str">
        <f>IFERROR(__xludf.DUMMYFUNCTION("GOOGLETRANSLATE(C8725, ""en"", ""fa"")
"),"استراتژی‌هایی برای گنجاندن داستان‌های مخاطب، توصیفات، یا تماس‌های شنوندگان در قالب پادکست شما چیست؟")</f>
        <v>استراتژی‌هایی برای گنجاندن داستان‌های مخاطب، توصیفات، یا تماس‌های شنوندگان در قالب پادکست شما چیست؟</v>
      </c>
      <c r="H8725" s="1"/>
      <c r="I8725" s="1"/>
      <c r="J8725" s="1"/>
      <c r="K8725" s="1"/>
      <c r="L8725" s="1"/>
      <c r="M8725" s="1"/>
      <c r="N8725" s="1"/>
      <c r="O8725" s="1"/>
      <c r="P8725" s="1"/>
      <c r="Q8725" s="1"/>
      <c r="R8725" s="1"/>
      <c r="S8725" s="1"/>
      <c r="T8725" s="1"/>
      <c r="U8725" s="1"/>
      <c r="V8725" s="1"/>
      <c r="W8725" s="1"/>
      <c r="X8725" s="1"/>
      <c r="Y8725" s="1"/>
      <c r="Z8725" s="1"/>
      <c r="AA8725" s="1"/>
      <c r="AB8725" s="1"/>
    </row>
    <row r="8726" ht="50.25" customHeight="1">
      <c r="A8726" s="12">
        <v>8722.0</v>
      </c>
      <c r="B8726" s="13" t="s">
        <v>8699</v>
      </c>
      <c r="C8726" s="18" t="s">
        <v>8752</v>
      </c>
      <c r="D8726" s="1"/>
      <c r="E8726" s="1"/>
      <c r="F8726" s="1" t="str">
        <f>IFERROR(__xludf.DUMMYFUNCTION("GOOGLETRANSLATE(B8726, ""en"", ""fa"")
"),"موفقیت در پادکست")</f>
        <v>موفقیت در پادکست</v>
      </c>
      <c r="G8726" s="1" t="str">
        <f>IFERROR(__xludf.DUMMYFUNCTION("GOOGLETRANSLATE(C8726, ""en"", ""fa"")
"),"چگونه از رویدادهای جاری یا موضوعات پرطرفدار برای ایجاد قسمت های پادکست به موقع و مرتبط استفاده کنیم؟")</f>
        <v>چگونه از رویدادهای جاری یا موضوعات پرطرفدار برای ایجاد قسمت های پادکست به موقع و مرتبط استفاده کنیم؟</v>
      </c>
      <c r="H8726" s="1"/>
      <c r="I8726" s="1"/>
      <c r="J8726" s="1"/>
      <c r="K8726" s="1"/>
      <c r="L8726" s="1"/>
      <c r="M8726" s="1"/>
      <c r="N8726" s="1"/>
      <c r="O8726" s="1"/>
      <c r="P8726" s="1"/>
      <c r="Q8726" s="1"/>
      <c r="R8726" s="1"/>
      <c r="S8726" s="1"/>
      <c r="T8726" s="1"/>
      <c r="U8726" s="1"/>
      <c r="V8726" s="1"/>
      <c r="W8726" s="1"/>
      <c r="X8726" s="1"/>
      <c r="Y8726" s="1"/>
      <c r="Z8726" s="1"/>
      <c r="AA8726" s="1"/>
      <c r="AB8726" s="1"/>
    </row>
    <row r="8727" ht="50.25" customHeight="1">
      <c r="A8727" s="12">
        <v>8723.0</v>
      </c>
      <c r="B8727" s="13" t="s">
        <v>8699</v>
      </c>
      <c r="C8727" s="18" t="s">
        <v>8753</v>
      </c>
      <c r="D8727" s="1"/>
      <c r="E8727" s="1"/>
      <c r="F8727" s="1" t="str">
        <f>IFERROR(__xludf.DUMMYFUNCTION("GOOGLETRANSLATE(B8727, ""en"", ""fa"")
"),"موفقیت در پادکست")</f>
        <v>موفقیت در پادکست</v>
      </c>
      <c r="G8727" s="1" t="str">
        <f>IFERROR(__xludf.DUMMYFUNCTION("GOOGLETRANSLATE(C8727, ""en"", ""fa"")
"),"تکنیک‌هایی برای ایجاد معرفی‌های پادکست جذاب و جلب توجه که از همان ابتدا شنوندگان شما را جذب می‌کنند، چیست؟")</f>
        <v>تکنیک‌هایی برای ایجاد معرفی‌های پادکست جذاب و جلب توجه که از همان ابتدا شنوندگان شما را جذب می‌کنند، چیست؟</v>
      </c>
      <c r="H8727" s="1"/>
      <c r="I8727" s="1"/>
      <c r="J8727" s="1"/>
      <c r="K8727" s="1"/>
      <c r="L8727" s="1"/>
      <c r="M8727" s="1"/>
      <c r="N8727" s="1"/>
      <c r="O8727" s="1"/>
      <c r="P8727" s="1"/>
      <c r="Q8727" s="1"/>
      <c r="R8727" s="1"/>
      <c r="S8727" s="1"/>
      <c r="T8727" s="1"/>
      <c r="U8727" s="1"/>
      <c r="V8727" s="1"/>
      <c r="W8727" s="1"/>
      <c r="X8727" s="1"/>
      <c r="Y8727" s="1"/>
      <c r="Z8727" s="1"/>
      <c r="AA8727" s="1"/>
      <c r="AB8727" s="1"/>
    </row>
    <row r="8728" ht="50.25" customHeight="1">
      <c r="A8728" s="12">
        <v>8724.0</v>
      </c>
      <c r="B8728" s="13" t="s">
        <v>8699</v>
      </c>
      <c r="C8728" s="18" t="s">
        <v>8754</v>
      </c>
      <c r="D8728" s="1"/>
      <c r="E8728" s="1"/>
      <c r="F8728" s="1" t="str">
        <f>IFERROR(__xludf.DUMMYFUNCTION("GOOGLETRANSLATE(B8728, ""en"", ""fa"")
"),"موفقیت در پادکست")</f>
        <v>موفقیت در پادکست</v>
      </c>
      <c r="G8728" s="1" t="str">
        <f>IFERROR(__xludf.DUMMYFUNCTION("GOOGLETRANSLATE(C8728, ""en"", ""fa"")
"),"چگونه اپیزودهای پادکست بسازیم که سطوح مختلف تخصص یا دانش را در بین مخاطبان هدف شما تامین کند؟")</f>
        <v>چگونه اپیزودهای پادکست بسازیم که سطوح مختلف تخصص یا دانش را در بین مخاطبان هدف شما تامین کند؟</v>
      </c>
      <c r="H8728" s="1"/>
      <c r="I8728" s="1"/>
      <c r="J8728" s="1"/>
      <c r="K8728" s="1"/>
      <c r="L8728" s="1"/>
      <c r="M8728" s="1"/>
      <c r="N8728" s="1"/>
      <c r="O8728" s="1"/>
      <c r="P8728" s="1"/>
      <c r="Q8728" s="1"/>
      <c r="R8728" s="1"/>
      <c r="S8728" s="1"/>
      <c r="T8728" s="1"/>
      <c r="U8728" s="1"/>
      <c r="V8728" s="1"/>
      <c r="W8728" s="1"/>
      <c r="X8728" s="1"/>
      <c r="Y8728" s="1"/>
      <c r="Z8728" s="1"/>
      <c r="AA8728" s="1"/>
      <c r="AB8728" s="1"/>
    </row>
    <row r="8729" ht="50.25" customHeight="1">
      <c r="A8729" s="12">
        <v>8725.0</v>
      </c>
      <c r="B8729" s="13" t="s">
        <v>8699</v>
      </c>
      <c r="C8729" s="18" t="s">
        <v>8755</v>
      </c>
      <c r="D8729" s="1"/>
      <c r="E8729" s="1"/>
      <c r="F8729" s="1" t="str">
        <f>IFERROR(__xludf.DUMMYFUNCTION("GOOGLETRANSLATE(B8729, ""en"", ""fa"")
"),"موفقیت در پادکست")</f>
        <v>موفقیت در پادکست</v>
      </c>
      <c r="G8729" s="1" t="str">
        <f>IFERROR(__xludf.DUMMYFUNCTION("GOOGLETRANSLATE(C8729, ""en"", ""fa"")
"),"چه راهکارهایی برای گنجاندن ارزش طنز یا سرگرمی در قالب پادکست خود بدون قربانی کردن محتوای آموزشی یا آموزنده وجود دارد؟")</f>
        <v>چه راهکارهایی برای گنجاندن ارزش طنز یا سرگرمی در قالب پادکست خود بدون قربانی کردن محتوای آموزشی یا آموزنده وجود دارد؟</v>
      </c>
      <c r="H8729" s="1"/>
      <c r="I8729" s="1"/>
      <c r="J8729" s="1"/>
      <c r="K8729" s="1"/>
      <c r="L8729" s="1"/>
      <c r="M8729" s="1"/>
      <c r="N8729" s="1"/>
      <c r="O8729" s="1"/>
      <c r="P8729" s="1"/>
      <c r="Q8729" s="1"/>
      <c r="R8729" s="1"/>
      <c r="S8729" s="1"/>
      <c r="T8729" s="1"/>
      <c r="U8729" s="1"/>
      <c r="V8729" s="1"/>
      <c r="W8729" s="1"/>
      <c r="X8729" s="1"/>
      <c r="Y8729" s="1"/>
      <c r="Z8729" s="1"/>
      <c r="AA8729" s="1"/>
      <c r="AB8729" s="1"/>
    </row>
    <row r="8730" ht="50.25" customHeight="1">
      <c r="A8730" s="12">
        <v>8726.0</v>
      </c>
      <c r="B8730" s="13" t="s">
        <v>8699</v>
      </c>
      <c r="C8730" s="18" t="s">
        <v>8756</v>
      </c>
      <c r="D8730" s="1"/>
      <c r="E8730" s="1"/>
      <c r="F8730" s="1" t="str">
        <f>IFERROR(__xludf.DUMMYFUNCTION("GOOGLETRANSLATE(B8730, ""en"", ""fa"")
"),"موفقیت در پادکست")</f>
        <v>موفقیت در پادکست</v>
      </c>
      <c r="G8730" s="1" t="str">
        <f>IFERROR(__xludf.DUMMYFUNCTION("GOOGLETRANSLATE(C8730, ""en"", ""fa"")
"),"چگونه می توان از موسیقی، جلوه های صوتی یا صداهای محیطی برای بهبود تجربه کلی شنیداری قسمت های پادکست خود به طور موثر استفاده کرد؟")</f>
        <v>چگونه می توان از موسیقی، جلوه های صوتی یا صداهای محیطی برای بهبود تجربه کلی شنیداری قسمت های پادکست خود به طور موثر استفاده کرد؟</v>
      </c>
      <c r="H8730" s="1"/>
      <c r="I8730" s="1"/>
      <c r="J8730" s="1"/>
      <c r="K8730" s="1"/>
      <c r="L8730" s="1"/>
      <c r="M8730" s="1"/>
      <c r="N8730" s="1"/>
      <c r="O8730" s="1"/>
      <c r="P8730" s="1"/>
      <c r="Q8730" s="1"/>
      <c r="R8730" s="1"/>
      <c r="S8730" s="1"/>
      <c r="T8730" s="1"/>
      <c r="U8730" s="1"/>
      <c r="V8730" s="1"/>
      <c r="W8730" s="1"/>
      <c r="X8730" s="1"/>
      <c r="Y8730" s="1"/>
      <c r="Z8730" s="1"/>
      <c r="AA8730" s="1"/>
      <c r="AB8730" s="1"/>
    </row>
    <row r="8731" ht="50.25" customHeight="1">
      <c r="A8731" s="12">
        <v>8727.0</v>
      </c>
      <c r="B8731" s="13" t="s">
        <v>8699</v>
      </c>
      <c r="C8731" s="18" t="s">
        <v>8757</v>
      </c>
      <c r="D8731" s="1"/>
      <c r="E8731" s="1"/>
      <c r="F8731" s="1" t="str">
        <f>IFERROR(__xludf.DUMMYFUNCTION("GOOGLETRANSLATE(B8731, ""en"", ""fa"")
"),"موفقیت در پادکست")</f>
        <v>موفقیت در پادکست</v>
      </c>
      <c r="G8731" s="1" t="str">
        <f>IFERROR(__xludf.DUMMYFUNCTION("GOOGLETRANSLATE(C8731, ""en"", ""fa"")
"),"تکنیک‌های ایجاد قسمت‌های پادکست که مشارکت و تعامل شنونده را تشویق می‌کند، مانند رقابت‌ها یا چالش‌های شنونده، چیست؟")</f>
        <v>تکنیک‌های ایجاد قسمت‌های پادکست که مشارکت و تعامل شنونده را تشویق می‌کند، مانند رقابت‌ها یا چالش‌های شنونده، چیست؟</v>
      </c>
      <c r="H8731" s="1"/>
      <c r="I8731" s="1"/>
      <c r="J8731" s="1"/>
      <c r="K8731" s="1"/>
      <c r="L8731" s="1"/>
      <c r="M8731" s="1"/>
      <c r="N8731" s="1"/>
      <c r="O8731" s="1"/>
      <c r="P8731" s="1"/>
      <c r="Q8731" s="1"/>
      <c r="R8731" s="1"/>
      <c r="S8731" s="1"/>
      <c r="T8731" s="1"/>
      <c r="U8731" s="1"/>
      <c r="V8731" s="1"/>
      <c r="W8731" s="1"/>
      <c r="X8731" s="1"/>
      <c r="Y8731" s="1"/>
      <c r="Z8731" s="1"/>
      <c r="AA8731" s="1"/>
      <c r="AB8731" s="1"/>
    </row>
    <row r="8732" ht="50.25" customHeight="1">
      <c r="A8732" s="12">
        <v>8728.0</v>
      </c>
      <c r="B8732" s="13" t="s">
        <v>8699</v>
      </c>
      <c r="C8732" s="18" t="s">
        <v>8758</v>
      </c>
      <c r="D8732" s="1"/>
      <c r="E8732" s="1"/>
      <c r="F8732" s="1" t="str">
        <f>IFERROR(__xludf.DUMMYFUNCTION("GOOGLETRANSLATE(B8732, ""en"", ""fa"")
"),"موفقیت در پادکست")</f>
        <v>موفقیت در پادکست</v>
      </c>
      <c r="G8732" s="1" t="str">
        <f>IFERROR(__xludf.DUMMYFUNCTION("GOOGLETRANSLATE(C8732, ""en"", ""fa"")
"),"چگونه بخش‌ها یا ویژگی‌های تکرارشونده را در قالب پادکست خود بگنجانید تا یکپارچگی و آشنایی برای مخاطبان ایجاد شود؟")</f>
        <v>چگونه بخش‌ها یا ویژگی‌های تکرارشونده را در قالب پادکست خود بگنجانید تا یکپارچگی و آشنایی برای مخاطبان ایجاد شود؟</v>
      </c>
      <c r="H8732" s="1"/>
      <c r="I8732" s="1"/>
      <c r="J8732" s="1"/>
      <c r="K8732" s="1"/>
      <c r="L8732" s="1"/>
      <c r="M8732" s="1"/>
      <c r="N8732" s="1"/>
      <c r="O8732" s="1"/>
      <c r="P8732" s="1"/>
      <c r="Q8732" s="1"/>
      <c r="R8732" s="1"/>
      <c r="S8732" s="1"/>
      <c r="T8732" s="1"/>
      <c r="U8732" s="1"/>
      <c r="V8732" s="1"/>
      <c r="W8732" s="1"/>
      <c r="X8732" s="1"/>
      <c r="Y8732" s="1"/>
      <c r="Z8732" s="1"/>
      <c r="AA8732" s="1"/>
      <c r="AB8732" s="1"/>
    </row>
    <row r="8733" ht="50.25" customHeight="1">
      <c r="A8733" s="12">
        <v>8729.0</v>
      </c>
      <c r="B8733" s="13" t="s">
        <v>8699</v>
      </c>
      <c r="C8733" s="18" t="s">
        <v>8759</v>
      </c>
      <c r="D8733" s="1"/>
      <c r="E8733" s="1"/>
      <c r="F8733" s="1" t="str">
        <f>IFERROR(__xludf.DUMMYFUNCTION("GOOGLETRANSLATE(B8733, ""en"", ""fa"")
"),"موفقیت در پادکست")</f>
        <v>موفقیت در پادکست</v>
      </c>
      <c r="G8733" s="1" t="str">
        <f>IFERROR(__xludf.DUMMYFUNCTION("GOOGLETRANSLATE(C8733, ""en"", ""fa"")
"),"استراتژی‌هایی برای تغییر کاربری و قالب‌بندی مجدد محتوای موجود برای ایجاد قسمت‌های جایزه یا پیشنهادات پادکست اضافی چیست؟")</f>
        <v>استراتژی‌هایی برای تغییر کاربری و قالب‌بندی مجدد محتوای موجود برای ایجاد قسمت‌های جایزه یا پیشنهادات پادکست اضافی چیست؟</v>
      </c>
      <c r="H8733" s="1"/>
      <c r="I8733" s="1"/>
      <c r="J8733" s="1"/>
      <c r="K8733" s="1"/>
      <c r="L8733" s="1"/>
      <c r="M8733" s="1"/>
      <c r="N8733" s="1"/>
      <c r="O8733" s="1"/>
      <c r="P8733" s="1"/>
      <c r="Q8733" s="1"/>
      <c r="R8733" s="1"/>
      <c r="S8733" s="1"/>
      <c r="T8733" s="1"/>
      <c r="U8733" s="1"/>
      <c r="V8733" s="1"/>
      <c r="W8733" s="1"/>
      <c r="X8733" s="1"/>
      <c r="Y8733" s="1"/>
      <c r="Z8733" s="1"/>
      <c r="AA8733" s="1"/>
      <c r="AB8733" s="1"/>
    </row>
    <row r="8734" ht="50.25" customHeight="1">
      <c r="A8734" s="12">
        <v>8730.0</v>
      </c>
      <c r="B8734" s="13" t="s">
        <v>8699</v>
      </c>
      <c r="C8734" s="18" t="s">
        <v>8760</v>
      </c>
      <c r="D8734" s="1"/>
      <c r="E8734" s="1"/>
      <c r="F8734" s="1" t="str">
        <f>IFERROR(__xludf.DUMMYFUNCTION("GOOGLETRANSLATE(B8734, ""en"", ""fa"")
"),"موفقیت در پادکست")</f>
        <v>موفقیت در پادکست</v>
      </c>
      <c r="G8734" s="1" t="str">
        <f>IFERROR(__xludf.DUMMYFUNCTION("GOOGLETRANSLATE(C8734, ""en"", ""fa"")
"),"چگونه قسمت‌های پادکست بسازیم که داستان‌های شخصی را بیان کند یا تجربیات آسیب‌پذیر را به اشتراک بگذارد تا ارتباط با شنوندگان خود را تقویت کند؟")</f>
        <v>چگونه قسمت‌های پادکست بسازیم که داستان‌های شخصی را بیان کند یا تجربیات آسیب‌پذیر را به اشتراک بگذارد تا ارتباط با شنوندگان خود را تقویت کند؟</v>
      </c>
      <c r="H8734" s="1"/>
      <c r="I8734" s="1"/>
      <c r="J8734" s="1"/>
      <c r="K8734" s="1"/>
      <c r="L8734" s="1"/>
      <c r="M8734" s="1"/>
      <c r="N8734" s="1"/>
      <c r="O8734" s="1"/>
      <c r="P8734" s="1"/>
      <c r="Q8734" s="1"/>
      <c r="R8734" s="1"/>
      <c r="S8734" s="1"/>
      <c r="T8734" s="1"/>
      <c r="U8734" s="1"/>
      <c r="V8734" s="1"/>
      <c r="W8734" s="1"/>
      <c r="X8734" s="1"/>
      <c r="Y8734" s="1"/>
      <c r="Z8734" s="1"/>
      <c r="AA8734" s="1"/>
      <c r="AB8734" s="1"/>
    </row>
    <row r="8735" ht="50.25" customHeight="1">
      <c r="A8735" s="12">
        <v>8731.0</v>
      </c>
      <c r="B8735" s="13" t="s">
        <v>8699</v>
      </c>
      <c r="C8735" s="18" t="s">
        <v>8761</v>
      </c>
      <c r="D8735" s="1"/>
      <c r="E8735" s="1"/>
      <c r="F8735" s="1" t="str">
        <f>IFERROR(__xludf.DUMMYFUNCTION("GOOGLETRANSLATE(B8735, ""en"", ""fa"")
"),"موفقیت در پادکست")</f>
        <v>موفقیت در پادکست</v>
      </c>
      <c r="G8735" s="1" t="str">
        <f>IFERROR(__xludf.DUMMYFUNCTION("GOOGLETRANSLATE(C8735, ""en"", ""fa"")
"),"چه تکنیک هایی برای ایجاد قسمت های پادکست وجود دارد که به مخاطبان شما آموزش، الهام بخشیدن و انگیزه می دهد تا در زندگی خود اقدام کنند؟")</f>
        <v>چه تکنیک هایی برای ایجاد قسمت های پادکست وجود دارد که به مخاطبان شما آموزش، الهام بخشیدن و انگیزه می دهد تا در زندگی خود اقدام کنند؟</v>
      </c>
      <c r="H8735" s="1"/>
      <c r="I8735" s="1"/>
      <c r="J8735" s="1"/>
      <c r="K8735" s="1"/>
      <c r="L8735" s="1"/>
      <c r="M8735" s="1"/>
      <c r="N8735" s="1"/>
      <c r="O8735" s="1"/>
      <c r="P8735" s="1"/>
      <c r="Q8735" s="1"/>
      <c r="R8735" s="1"/>
      <c r="S8735" s="1"/>
      <c r="T8735" s="1"/>
      <c r="U8735" s="1"/>
      <c r="V8735" s="1"/>
      <c r="W8735" s="1"/>
      <c r="X8735" s="1"/>
      <c r="Y8735" s="1"/>
      <c r="Z8735" s="1"/>
      <c r="AA8735" s="1"/>
      <c r="AB8735" s="1"/>
    </row>
    <row r="8736" ht="50.25" customHeight="1">
      <c r="A8736" s="12">
        <v>8732.0</v>
      </c>
      <c r="B8736" s="13" t="s">
        <v>8699</v>
      </c>
      <c r="C8736" s="18" t="s">
        <v>8762</v>
      </c>
      <c r="D8736" s="1"/>
      <c r="E8736" s="1"/>
      <c r="F8736" s="1" t="str">
        <f>IFERROR(__xludf.DUMMYFUNCTION("GOOGLETRANSLATE(B8736, ""en"", ""fa"")
"),"موفقیت در پادکست")</f>
        <v>موفقیت در پادکست</v>
      </c>
      <c r="G8736" s="1" t="str">
        <f>IFERROR(__xludf.DUMMYFUNCTION("GOOGLETRANSLATE(C8736, ""en"", ""fa"")
"),"چگونه قسمت‌های پادکست بسازیم که به نقاط درد یا چالش‌های رایج در بین مخاطبان هدف خود بپردازد و راه‌حل‌های عملی ارائه دهد؟")</f>
        <v>چگونه قسمت‌های پادکست بسازیم که به نقاط درد یا چالش‌های رایج در بین مخاطبان هدف خود بپردازد و راه‌حل‌های عملی ارائه دهد؟</v>
      </c>
      <c r="H8736" s="1"/>
      <c r="I8736" s="1"/>
      <c r="J8736" s="1"/>
      <c r="K8736" s="1"/>
      <c r="L8736" s="1"/>
      <c r="M8736" s="1"/>
      <c r="N8736" s="1"/>
      <c r="O8736" s="1"/>
      <c r="P8736" s="1"/>
      <c r="Q8736" s="1"/>
      <c r="R8736" s="1"/>
      <c r="S8736" s="1"/>
      <c r="T8736" s="1"/>
      <c r="U8736" s="1"/>
      <c r="V8736" s="1"/>
      <c r="W8736" s="1"/>
      <c r="X8736" s="1"/>
      <c r="Y8736" s="1"/>
      <c r="Z8736" s="1"/>
      <c r="AA8736" s="1"/>
      <c r="AB8736" s="1"/>
    </row>
    <row r="8737" ht="50.25" customHeight="1">
      <c r="A8737" s="12">
        <v>8733.0</v>
      </c>
      <c r="B8737" s="13" t="s">
        <v>8699</v>
      </c>
      <c r="C8737" s="18" t="s">
        <v>8763</v>
      </c>
      <c r="D8737" s="1"/>
      <c r="E8737" s="1"/>
      <c r="F8737" s="1" t="str">
        <f>IFERROR(__xludf.DUMMYFUNCTION("GOOGLETRANSLATE(B8737, ""en"", ""fa"")
"),"موفقیت در پادکست")</f>
        <v>موفقیت در پادکست</v>
      </c>
      <c r="G8737" s="1" t="str">
        <f>IFERROR(__xludf.DUMMYFUNCTION("GOOGLETRANSLATE(C8737, ""en"", ""fa"")
"),"استراتژی‌هایی برای انطباق قالب پادکست برای پذیرایی از مهمانان مختلف، مانند کارشناسان، رهبران صنعت، یا افراد روزمره چیست؟")</f>
        <v>استراتژی‌هایی برای انطباق قالب پادکست برای پذیرایی از مهمانان مختلف، مانند کارشناسان، رهبران صنعت، یا افراد روزمره چیست؟</v>
      </c>
      <c r="H8737" s="1"/>
      <c r="I8737" s="1"/>
      <c r="J8737" s="1"/>
      <c r="K8737" s="1"/>
      <c r="L8737" s="1"/>
      <c r="M8737" s="1"/>
      <c r="N8737" s="1"/>
      <c r="O8737" s="1"/>
      <c r="P8737" s="1"/>
      <c r="Q8737" s="1"/>
      <c r="R8737" s="1"/>
      <c r="S8737" s="1"/>
      <c r="T8737" s="1"/>
      <c r="U8737" s="1"/>
      <c r="V8737" s="1"/>
      <c r="W8737" s="1"/>
      <c r="X8737" s="1"/>
      <c r="Y8737" s="1"/>
      <c r="Z8737" s="1"/>
      <c r="AA8737" s="1"/>
      <c r="AB8737" s="1"/>
    </row>
    <row r="8738" ht="50.25" customHeight="1">
      <c r="A8738" s="12">
        <v>8734.0</v>
      </c>
      <c r="B8738" s="13" t="s">
        <v>8699</v>
      </c>
      <c r="C8738" s="18" t="s">
        <v>8764</v>
      </c>
      <c r="D8738" s="1"/>
      <c r="E8738" s="1"/>
      <c r="F8738" s="1" t="str">
        <f>IFERROR(__xludf.DUMMYFUNCTION("GOOGLETRANSLATE(B8738, ""en"", ""fa"")
"),"موفقیت در پادکست")</f>
        <v>موفقیت در پادکست</v>
      </c>
      <c r="G8738" s="1" t="str">
        <f>IFERROR(__xludf.DUMMYFUNCTION("GOOGLETRANSLATE(C8738, ""en"", ""fa"")
"),"چگونه می توان به طور موثر از یادداشت های نمایش قسمت یا منابع همراه برای افزایش ارزش آموزشی قسمت های پادکست خود استفاده کرد؟")</f>
        <v>چگونه می توان به طور موثر از یادداشت های نمایش قسمت یا منابع همراه برای افزایش ارزش آموزشی قسمت های پادکست خود استفاده کرد؟</v>
      </c>
      <c r="H8738" s="1"/>
      <c r="I8738" s="1"/>
      <c r="J8738" s="1"/>
      <c r="K8738" s="1"/>
      <c r="L8738" s="1"/>
      <c r="M8738" s="1"/>
      <c r="N8738" s="1"/>
      <c r="O8738" s="1"/>
      <c r="P8738" s="1"/>
      <c r="Q8738" s="1"/>
      <c r="R8738" s="1"/>
      <c r="S8738" s="1"/>
      <c r="T8738" s="1"/>
      <c r="U8738" s="1"/>
      <c r="V8738" s="1"/>
      <c r="W8738" s="1"/>
      <c r="X8738" s="1"/>
      <c r="Y8738" s="1"/>
      <c r="Z8738" s="1"/>
      <c r="AA8738" s="1"/>
      <c r="AB8738" s="1"/>
    </row>
    <row r="8739" ht="50.25" customHeight="1">
      <c r="A8739" s="12">
        <v>8735.0</v>
      </c>
      <c r="B8739" s="13" t="s">
        <v>8699</v>
      </c>
      <c r="C8739" s="18" t="s">
        <v>8765</v>
      </c>
      <c r="D8739" s="1"/>
      <c r="E8739" s="1"/>
      <c r="F8739" s="1" t="str">
        <f>IFERROR(__xludf.DUMMYFUNCTION("GOOGLETRANSLATE(B8739, ""en"", ""fa"")
"),"موفقیت در پادکست")</f>
        <v>موفقیت در پادکست</v>
      </c>
      <c r="G8739" s="1" t="str">
        <f>IFERROR(__xludf.DUMMYFUNCTION("GOOGLETRANSLATE(C8739, ""en"", ""fa"")
"),"تکنیک‌های ایجاد قسمت‌های پادکست که آموزش‌های گام به گام یا محتوای آموزشی ارائه می‌دهند تا شنوندگان شما را در یک فرآیند یا مهارت خاص راهنمایی کنند، چیست؟")</f>
        <v>تکنیک‌های ایجاد قسمت‌های پادکست که آموزش‌های گام به گام یا محتوای آموزشی ارائه می‌دهند تا شنوندگان شما را در یک فرآیند یا مهارت خاص راهنمایی کنند، چیست؟</v>
      </c>
      <c r="H8739" s="1"/>
      <c r="I8739" s="1"/>
      <c r="J8739" s="1"/>
      <c r="K8739" s="1"/>
      <c r="L8739" s="1"/>
      <c r="M8739" s="1"/>
      <c r="N8739" s="1"/>
      <c r="O8739" s="1"/>
      <c r="P8739" s="1"/>
      <c r="Q8739" s="1"/>
      <c r="R8739" s="1"/>
      <c r="S8739" s="1"/>
      <c r="T8739" s="1"/>
      <c r="U8739" s="1"/>
      <c r="V8739" s="1"/>
      <c r="W8739" s="1"/>
      <c r="X8739" s="1"/>
      <c r="Y8739" s="1"/>
      <c r="Z8739" s="1"/>
      <c r="AA8739" s="1"/>
      <c r="AB8739" s="1"/>
    </row>
    <row r="8740" ht="50.25" customHeight="1">
      <c r="A8740" s="12">
        <v>8736.0</v>
      </c>
      <c r="B8740" s="13" t="s">
        <v>8699</v>
      </c>
      <c r="C8740" s="18" t="s">
        <v>8766</v>
      </c>
      <c r="D8740" s="1"/>
      <c r="E8740" s="1"/>
      <c r="F8740" s="1" t="str">
        <f>IFERROR(__xludf.DUMMYFUNCTION("GOOGLETRANSLATE(B8740, ""en"", ""fa"")
"),"موفقیت در پادکست")</f>
        <v>موفقیت در پادکست</v>
      </c>
      <c r="G8740" s="1" t="str">
        <f>IFERROR(__xludf.DUMMYFUNCTION("GOOGLETRANSLATE(C8740, ""en"", ""fa"")
"),"چگونه قسمت‌های پادکست بسازیم که بینش‌های شخصی، درس‌های آموخته شده یا بازتاب‌هایی را برای الهام بخشیدن و ارتباط با مخاطبان خود به اشتراک بگذارند؟")</f>
        <v>چگونه قسمت‌های پادکست بسازیم که بینش‌های شخصی، درس‌های آموخته شده یا بازتاب‌هایی را برای الهام بخشیدن و ارتباط با مخاطبان خود به اشتراک بگذارند؟</v>
      </c>
      <c r="H8740" s="1"/>
      <c r="I8740" s="1"/>
      <c r="J8740" s="1"/>
      <c r="K8740" s="1"/>
      <c r="L8740" s="1"/>
      <c r="M8740" s="1"/>
      <c r="N8740" s="1"/>
      <c r="O8740" s="1"/>
      <c r="P8740" s="1"/>
      <c r="Q8740" s="1"/>
      <c r="R8740" s="1"/>
      <c r="S8740" s="1"/>
      <c r="T8740" s="1"/>
      <c r="U8740" s="1"/>
      <c r="V8740" s="1"/>
      <c r="W8740" s="1"/>
      <c r="X8740" s="1"/>
      <c r="Y8740" s="1"/>
      <c r="Z8740" s="1"/>
      <c r="AA8740" s="1"/>
      <c r="AB8740" s="1"/>
    </row>
    <row r="8741" ht="50.25" customHeight="1">
      <c r="A8741" s="12">
        <v>8737.0</v>
      </c>
      <c r="B8741" s="13" t="s">
        <v>8699</v>
      </c>
      <c r="C8741" s="18" t="s">
        <v>8767</v>
      </c>
      <c r="D8741" s="1"/>
      <c r="E8741" s="1"/>
      <c r="F8741" s="1" t="str">
        <f>IFERROR(__xludf.DUMMYFUNCTION("GOOGLETRANSLATE(B8741, ""en"", ""fa"")
"),"موفقیت در پادکست")</f>
        <v>موفقیت در پادکست</v>
      </c>
      <c r="G8741" s="1" t="str">
        <f>IFERROR(__xludf.DUMMYFUNCTION("GOOGLETRANSLATE(C8741, ""en"", ""fa"")
"),"استراتژی‌هایی برای گنجاندن مثال‌ها یا مطالعات موردی مرتبط و قانع‌کننده در قسمت‌های پادکست برای نشان دادن مفاهیم کلیدی چیست؟")</f>
        <v>استراتژی‌هایی برای گنجاندن مثال‌ها یا مطالعات موردی مرتبط و قانع‌کننده در قسمت‌های پادکست برای نشان دادن مفاهیم کلیدی چیست؟</v>
      </c>
      <c r="H8741" s="1"/>
      <c r="I8741" s="1"/>
      <c r="J8741" s="1"/>
      <c r="K8741" s="1"/>
      <c r="L8741" s="1"/>
      <c r="M8741" s="1"/>
      <c r="N8741" s="1"/>
      <c r="O8741" s="1"/>
      <c r="P8741" s="1"/>
      <c r="Q8741" s="1"/>
      <c r="R8741" s="1"/>
      <c r="S8741" s="1"/>
      <c r="T8741" s="1"/>
      <c r="U8741" s="1"/>
      <c r="V8741" s="1"/>
      <c r="W8741" s="1"/>
      <c r="X8741" s="1"/>
      <c r="Y8741" s="1"/>
      <c r="Z8741" s="1"/>
      <c r="AA8741" s="1"/>
      <c r="AB8741" s="1"/>
    </row>
    <row r="8742" ht="50.25" customHeight="1">
      <c r="A8742" s="12">
        <v>8738.0</v>
      </c>
      <c r="B8742" s="13" t="s">
        <v>8699</v>
      </c>
      <c r="C8742" s="18" t="s">
        <v>8768</v>
      </c>
      <c r="D8742" s="1"/>
      <c r="E8742" s="1"/>
      <c r="F8742" s="1" t="str">
        <f>IFERROR(__xludf.DUMMYFUNCTION("GOOGLETRANSLATE(B8742, ""en"", ""fa"")
"),"موفقیت در پادکست")</f>
        <v>موفقیت در پادکست</v>
      </c>
      <c r="G8742" s="1" t="str">
        <f>IFERROR(__xludf.DUMMYFUNCTION("GOOGLETRANSLATE(C8742, ""en"", ""fa"")
"),"چگونه قسمت‌های پادکست بسازیم که به موضوعات بحث‌برانگیز یا تفکر برانگیز بپردازد و در عین حال بحثی محترمانه و فراگیر را حفظ کند؟")</f>
        <v>چگونه قسمت‌های پادکست بسازیم که به موضوعات بحث‌برانگیز یا تفکر برانگیز بپردازد و در عین حال بحثی محترمانه و فراگیر را حفظ کند؟</v>
      </c>
      <c r="H8742" s="1"/>
      <c r="I8742" s="1"/>
      <c r="J8742" s="1"/>
      <c r="K8742" s="1"/>
      <c r="L8742" s="1"/>
      <c r="M8742" s="1"/>
      <c r="N8742" s="1"/>
      <c r="O8742" s="1"/>
      <c r="P8742" s="1"/>
      <c r="Q8742" s="1"/>
      <c r="R8742" s="1"/>
      <c r="S8742" s="1"/>
      <c r="T8742" s="1"/>
      <c r="U8742" s="1"/>
      <c r="V8742" s="1"/>
      <c r="W8742" s="1"/>
      <c r="X8742" s="1"/>
      <c r="Y8742" s="1"/>
      <c r="Z8742" s="1"/>
      <c r="AA8742" s="1"/>
      <c r="AB8742" s="1"/>
    </row>
    <row r="8743" ht="50.25" customHeight="1">
      <c r="A8743" s="12">
        <v>8739.0</v>
      </c>
      <c r="B8743" s="13" t="s">
        <v>8699</v>
      </c>
      <c r="C8743" s="18" t="s">
        <v>8769</v>
      </c>
      <c r="D8743" s="1"/>
      <c r="E8743" s="1"/>
      <c r="F8743" s="1" t="str">
        <f>IFERROR(__xludf.DUMMYFUNCTION("GOOGLETRANSLATE(B8743, ""en"", ""fa"")
"),"موفقیت در پادکست")</f>
        <v>موفقیت در پادکست</v>
      </c>
      <c r="G8743" s="1" t="str">
        <f>IFERROR(__xludf.DUMMYFUNCTION("GOOGLETRANSLATE(C8743, ""en"", ""fa"")
"),"تکنیک‌هایی برای ایجاد قسمت‌های پادکست که داستان‌های موفقیت، مصاحبه‌ها یا نمایه‌های افرادی را که در یک حوزه خاص به نتایج قابل‌توجهی دست یافته‌اند را نشان می‌دهد چیست؟")</f>
        <v>تکنیک‌هایی برای ایجاد قسمت‌های پادکست که داستان‌های موفقیت، مصاحبه‌ها یا نمایه‌های افرادی را که در یک حوزه خاص به نتایج قابل‌توجهی دست یافته‌اند را نشان می‌دهد چیست؟</v>
      </c>
      <c r="H8743" s="1"/>
      <c r="I8743" s="1"/>
      <c r="J8743" s="1"/>
      <c r="K8743" s="1"/>
      <c r="L8743" s="1"/>
      <c r="M8743" s="1"/>
      <c r="N8743" s="1"/>
      <c r="O8743" s="1"/>
      <c r="P8743" s="1"/>
      <c r="Q8743" s="1"/>
      <c r="R8743" s="1"/>
      <c r="S8743" s="1"/>
      <c r="T8743" s="1"/>
      <c r="U8743" s="1"/>
      <c r="V8743" s="1"/>
      <c r="W8743" s="1"/>
      <c r="X8743" s="1"/>
      <c r="Y8743" s="1"/>
      <c r="Z8743" s="1"/>
      <c r="AA8743" s="1"/>
      <c r="AB8743" s="1"/>
    </row>
    <row r="8744" ht="50.25" customHeight="1">
      <c r="A8744" s="12">
        <v>8740.0</v>
      </c>
      <c r="B8744" s="13" t="s">
        <v>8699</v>
      </c>
      <c r="C8744" s="18" t="s">
        <v>8770</v>
      </c>
      <c r="D8744" s="1"/>
      <c r="E8744" s="1"/>
      <c r="F8744" s="1" t="str">
        <f>IFERROR(__xludf.DUMMYFUNCTION("GOOGLETRANSLATE(B8744, ""en"", ""fa"")
"),"موفقیت در پادکست")</f>
        <v>موفقیت در پادکست</v>
      </c>
      <c r="G8744" s="1" t="str">
        <f>IFERROR(__xludf.DUMMYFUNCTION("GOOGLETRANSLATE(C8744, ""en"", ""fa"")
"),"چگونه قسمت‌های پادکست بسازیم که همکاری و مشارکت را در صنعت یا جایگاه شما تشویق کند، مانند میزبانی مشترک مهمان یا قسمت‌های مشترک؟")</f>
        <v>چگونه قسمت‌های پادکست بسازیم که همکاری و مشارکت را در صنعت یا جایگاه شما تشویق کند، مانند میزبانی مشترک مهمان یا قسمت‌های مشترک؟</v>
      </c>
      <c r="H8744" s="1"/>
      <c r="I8744" s="1"/>
      <c r="J8744" s="1"/>
      <c r="K8744" s="1"/>
      <c r="L8744" s="1"/>
      <c r="M8744" s="1"/>
      <c r="N8744" s="1"/>
      <c r="O8744" s="1"/>
      <c r="P8744" s="1"/>
      <c r="Q8744" s="1"/>
      <c r="R8744" s="1"/>
      <c r="S8744" s="1"/>
      <c r="T8744" s="1"/>
      <c r="U8744" s="1"/>
      <c r="V8744" s="1"/>
      <c r="W8744" s="1"/>
      <c r="X8744" s="1"/>
      <c r="Y8744" s="1"/>
      <c r="Z8744" s="1"/>
      <c r="AA8744" s="1"/>
      <c r="AB8744" s="1"/>
    </row>
    <row r="8745" ht="50.25" customHeight="1">
      <c r="A8745" s="12">
        <v>8741.0</v>
      </c>
      <c r="B8745" s="13" t="s">
        <v>8699</v>
      </c>
      <c r="C8745" s="18" t="s">
        <v>8771</v>
      </c>
      <c r="D8745" s="1"/>
      <c r="E8745" s="1"/>
      <c r="F8745" s="1" t="str">
        <f>IFERROR(__xludf.DUMMYFUNCTION("GOOGLETRANSLATE(B8745, ""en"", ""fa"")
"),"موفقیت در پادکست")</f>
        <v>موفقیت در پادکست</v>
      </c>
      <c r="G8745" s="1" t="str">
        <f>IFERROR(__xludf.DUMMYFUNCTION("GOOGLETRANSLATE(C8745, ""en"", ""fa"")
"),"استراتژی‌هایی برای ایجاد قسمت‌های پادکست که روندهای نوظهور، نوآوری‌ها یا پیش‌بینی‌های آینده در حوزه یا صنعت شما را بررسی می‌کنند، چیست؟")</f>
        <v>استراتژی‌هایی برای ایجاد قسمت‌های پادکست که روندهای نوظهور، نوآوری‌ها یا پیش‌بینی‌های آینده در حوزه یا صنعت شما را بررسی می‌کنند، چیست؟</v>
      </c>
      <c r="H8745" s="1"/>
      <c r="I8745" s="1"/>
      <c r="J8745" s="1"/>
      <c r="K8745" s="1"/>
      <c r="L8745" s="1"/>
      <c r="M8745" s="1"/>
      <c r="N8745" s="1"/>
      <c r="O8745" s="1"/>
      <c r="P8745" s="1"/>
      <c r="Q8745" s="1"/>
      <c r="R8745" s="1"/>
      <c r="S8745" s="1"/>
      <c r="T8745" s="1"/>
      <c r="U8745" s="1"/>
      <c r="V8745" s="1"/>
      <c r="W8745" s="1"/>
      <c r="X8745" s="1"/>
      <c r="Y8745" s="1"/>
      <c r="Z8745" s="1"/>
      <c r="AA8745" s="1"/>
      <c r="AB8745" s="1"/>
    </row>
    <row r="8746" ht="50.25" customHeight="1">
      <c r="A8746" s="12">
        <v>8742.0</v>
      </c>
      <c r="B8746" s="13" t="s">
        <v>8699</v>
      </c>
      <c r="C8746" s="18" t="s">
        <v>8772</v>
      </c>
      <c r="D8746" s="1"/>
      <c r="E8746" s="1"/>
      <c r="F8746" s="1" t="str">
        <f>IFERROR(__xludf.DUMMYFUNCTION("GOOGLETRANSLATE(B8746, ""en"", ""fa"")
"),"موفقیت در پادکست")</f>
        <v>موفقیت در پادکست</v>
      </c>
      <c r="G8746" s="1" t="str">
        <f>IFERROR(__xludf.DUMMYFUNCTION("GOOGLETRANSLATE(C8746, ""en"", ""fa"")
"),"چگونه می‌توان از تکنیک‌های داستان‌گویی، مانند قوس‌های روایی یا توسعه شخصیت، در قسمت‌های پادکست خود برای جذب و جذب شنوندگان استفاده کرد؟")</f>
        <v>چگونه می‌توان از تکنیک‌های داستان‌گویی، مانند قوس‌های روایی یا توسعه شخصیت، در قسمت‌های پادکست خود برای جذب و جذب شنوندگان استفاده کرد؟</v>
      </c>
      <c r="H8746" s="1"/>
      <c r="I8746" s="1"/>
      <c r="J8746" s="1"/>
      <c r="K8746" s="1"/>
      <c r="L8746" s="1"/>
      <c r="M8746" s="1"/>
      <c r="N8746" s="1"/>
      <c r="O8746" s="1"/>
      <c r="P8746" s="1"/>
      <c r="Q8746" s="1"/>
      <c r="R8746" s="1"/>
      <c r="S8746" s="1"/>
      <c r="T8746" s="1"/>
      <c r="U8746" s="1"/>
      <c r="V8746" s="1"/>
      <c r="W8746" s="1"/>
      <c r="X8746" s="1"/>
      <c r="Y8746" s="1"/>
      <c r="Z8746" s="1"/>
      <c r="AA8746" s="1"/>
      <c r="AB8746" s="1"/>
    </row>
    <row r="8747" ht="50.25" customHeight="1">
      <c r="A8747" s="12">
        <v>8743.0</v>
      </c>
      <c r="B8747" s="13" t="s">
        <v>8699</v>
      </c>
      <c r="C8747" s="18" t="s">
        <v>8773</v>
      </c>
      <c r="D8747" s="1"/>
      <c r="E8747" s="1"/>
      <c r="F8747" s="1" t="str">
        <f>IFERROR(__xludf.DUMMYFUNCTION("GOOGLETRANSLATE(B8747, ""en"", ""fa"")
"),"موفقیت در پادکست")</f>
        <v>موفقیت در پادکست</v>
      </c>
      <c r="G8747" s="1" t="str">
        <f>IFERROR(__xludf.DUMMYFUNCTION("GOOGLETRANSLATE(C8747, ""en"", ""fa"")
"),"تکنیک‌هایی برای ایجاد قسمت‌های پادکست که توصیه‌ها، راهنمایی‌ها یا استراتژی‌های متخصص را برای کمک به مخاطبان شما برای غلبه بر چالش‌ها یا دستیابی به اهدافشان ارائه می‌دهد، چیست؟")</f>
        <v>تکنیک‌هایی برای ایجاد قسمت‌های پادکست که توصیه‌ها، راهنمایی‌ها یا استراتژی‌های متخصص را برای کمک به مخاطبان شما برای غلبه بر چالش‌ها یا دستیابی به اهدافشان ارائه می‌دهد، چیست؟</v>
      </c>
      <c r="H8747" s="1"/>
      <c r="I8747" s="1"/>
      <c r="J8747" s="1"/>
      <c r="K8747" s="1"/>
      <c r="L8747" s="1"/>
      <c r="M8747" s="1"/>
      <c r="N8747" s="1"/>
      <c r="O8747" s="1"/>
      <c r="P8747" s="1"/>
      <c r="Q8747" s="1"/>
      <c r="R8747" s="1"/>
      <c r="S8747" s="1"/>
      <c r="T8747" s="1"/>
      <c r="U8747" s="1"/>
      <c r="V8747" s="1"/>
      <c r="W8747" s="1"/>
      <c r="X8747" s="1"/>
      <c r="Y8747" s="1"/>
      <c r="Z8747" s="1"/>
      <c r="AA8747" s="1"/>
      <c r="AB8747" s="1"/>
    </row>
    <row r="8748" ht="50.25" customHeight="1">
      <c r="A8748" s="12">
        <v>8744.0</v>
      </c>
      <c r="B8748" s="13" t="s">
        <v>8699</v>
      </c>
      <c r="C8748" s="18" t="s">
        <v>8774</v>
      </c>
      <c r="D8748" s="1"/>
      <c r="E8748" s="1"/>
      <c r="F8748" s="1" t="str">
        <f>IFERROR(__xludf.DUMMYFUNCTION("GOOGLETRANSLATE(B8748, ""en"", ""fa"")
"),"موفقیت در پادکست")</f>
        <v>موفقیت در پادکست</v>
      </c>
      <c r="G8748" s="1" t="str">
        <f>IFERROR(__xludf.DUMMYFUNCTION("GOOGLETRANSLATE(C8748, ""en"", ""fa"")
"),"چگونه اپیزودهای پادکست بسازیم که دارای بینش‌های پشت صحنه، حکایت‌ها، یا ابهامات باشد تا تجربه‌ای صمیمی‌تر و مرتبط‌تر برای شنوندگان شما فراهم کند؟")</f>
        <v>چگونه اپیزودهای پادکست بسازیم که دارای بینش‌های پشت صحنه، حکایت‌ها، یا ابهامات باشد تا تجربه‌ای صمیمی‌تر و مرتبط‌تر برای شنوندگان شما فراهم کند؟</v>
      </c>
      <c r="H8748" s="1"/>
      <c r="I8748" s="1"/>
      <c r="J8748" s="1"/>
      <c r="K8748" s="1"/>
      <c r="L8748" s="1"/>
      <c r="M8748" s="1"/>
      <c r="N8748" s="1"/>
      <c r="O8748" s="1"/>
      <c r="P8748" s="1"/>
      <c r="Q8748" s="1"/>
      <c r="R8748" s="1"/>
      <c r="S8748" s="1"/>
      <c r="T8748" s="1"/>
      <c r="U8748" s="1"/>
      <c r="V8748" s="1"/>
      <c r="W8748" s="1"/>
      <c r="X8748" s="1"/>
      <c r="Y8748" s="1"/>
      <c r="Z8748" s="1"/>
      <c r="AA8748" s="1"/>
      <c r="AB8748" s="1"/>
    </row>
    <row r="8749" ht="50.25" customHeight="1">
      <c r="A8749" s="12">
        <v>8745.0</v>
      </c>
      <c r="B8749" s="13" t="s">
        <v>8699</v>
      </c>
      <c r="C8749" s="18" t="s">
        <v>8775</v>
      </c>
      <c r="D8749" s="1"/>
      <c r="E8749" s="1"/>
      <c r="F8749" s="1" t="str">
        <f>IFERROR(__xludf.DUMMYFUNCTION("GOOGLETRANSLATE(B8749, ""en"", ""fa"")
"),"موفقیت در پادکست")</f>
        <v>موفقیت در پادکست</v>
      </c>
      <c r="G8749" s="1" t="str">
        <f>IFERROR(__xludf.DUMMYFUNCTION("GOOGLETRANSLATE(C8749, ""en"", ""fa"")
"),"چه راهکارهایی برای گنجاندن عناصر تعاملی، مانند نظرسنجی، آزمون‌ها، یا سؤالات ارسالی از سوی شنوندگان، در قسمت‌های پادکست برای تقویت تعامل وجود دارد؟")</f>
        <v>چه راهکارهایی برای گنجاندن عناصر تعاملی، مانند نظرسنجی، آزمون‌ها، یا سؤالات ارسالی از سوی شنوندگان، در قسمت‌های پادکست برای تقویت تعامل وجود دارد؟</v>
      </c>
      <c r="H8749" s="1"/>
      <c r="I8749" s="1"/>
      <c r="J8749" s="1"/>
      <c r="K8749" s="1"/>
      <c r="L8749" s="1"/>
      <c r="M8749" s="1"/>
      <c r="N8749" s="1"/>
      <c r="O8749" s="1"/>
      <c r="P8749" s="1"/>
      <c r="Q8749" s="1"/>
      <c r="R8749" s="1"/>
      <c r="S8749" s="1"/>
      <c r="T8749" s="1"/>
      <c r="U8749" s="1"/>
      <c r="V8749" s="1"/>
      <c r="W8749" s="1"/>
      <c r="X8749" s="1"/>
      <c r="Y8749" s="1"/>
      <c r="Z8749" s="1"/>
      <c r="AA8749" s="1"/>
      <c r="AB8749" s="1"/>
    </row>
    <row r="8750" ht="50.25" customHeight="1">
      <c r="A8750" s="12">
        <v>8746.0</v>
      </c>
      <c r="B8750" s="13" t="s">
        <v>8699</v>
      </c>
      <c r="C8750" s="18" t="s">
        <v>8776</v>
      </c>
      <c r="D8750" s="1"/>
      <c r="E8750" s="1"/>
      <c r="F8750" s="1" t="str">
        <f>IFERROR(__xludf.DUMMYFUNCTION("GOOGLETRANSLATE(B8750, ""en"", ""fa"")
"),"موفقیت در پادکست")</f>
        <v>موفقیت در پادکست</v>
      </c>
      <c r="G8750" s="1" t="str">
        <f>IFERROR(__xludf.DUMMYFUNCTION("GOOGLETRANSLATE(C8750, ""en"", ""fa"")
"),"چگونه قسمت‌های پادکست بسازیم که دیدگاه‌ها، تجربیات یا صداهای متنوعی را برای ترویج فراگیری و گسترش دامنه مخاطبان خود بررسی می‌کند؟")</f>
        <v>چگونه قسمت‌های پادکست بسازیم که دیدگاه‌ها، تجربیات یا صداهای متنوعی را برای ترویج فراگیری و گسترش دامنه مخاطبان خود بررسی می‌کند؟</v>
      </c>
      <c r="H8750" s="1"/>
      <c r="I8750" s="1"/>
      <c r="J8750" s="1"/>
      <c r="K8750" s="1"/>
      <c r="L8750" s="1"/>
      <c r="M8750" s="1"/>
      <c r="N8750" s="1"/>
      <c r="O8750" s="1"/>
      <c r="P8750" s="1"/>
      <c r="Q8750" s="1"/>
      <c r="R8750" s="1"/>
      <c r="S8750" s="1"/>
      <c r="T8750" s="1"/>
      <c r="U8750" s="1"/>
      <c r="V8750" s="1"/>
      <c r="W8750" s="1"/>
      <c r="X8750" s="1"/>
      <c r="Y8750" s="1"/>
      <c r="Z8750" s="1"/>
      <c r="AA8750" s="1"/>
      <c r="AB8750" s="1"/>
    </row>
    <row r="8751" ht="50.25" customHeight="1">
      <c r="A8751" s="12">
        <v>8747.0</v>
      </c>
      <c r="B8751" s="13" t="s">
        <v>8699</v>
      </c>
      <c r="C8751" s="18" t="s">
        <v>8777</v>
      </c>
      <c r="D8751" s="1"/>
      <c r="E8751" s="1"/>
      <c r="F8751" s="1" t="str">
        <f>IFERROR(__xludf.DUMMYFUNCTION("GOOGLETRANSLATE(B8751, ""en"", ""fa"")
"),"موفقیت در پادکست")</f>
        <v>موفقیت در پادکست</v>
      </c>
      <c r="G8751" s="1" t="str">
        <f>IFERROR(__xludf.DUMMYFUNCTION("GOOGLETRANSLATE(C8751, ""en"", ""fa"")
"),"تکنیک‌های ایجاد قسمت‌های پادکست که به سؤالات متداول یا باورهای غلط رایج در صنعت یا جایگاه شما می‌پردازد چیست؟")</f>
        <v>تکنیک‌های ایجاد قسمت‌های پادکست که به سؤالات متداول یا باورهای غلط رایج در صنعت یا جایگاه شما می‌پردازد چیست؟</v>
      </c>
      <c r="H8751" s="1"/>
      <c r="I8751" s="1"/>
      <c r="J8751" s="1"/>
      <c r="K8751" s="1"/>
      <c r="L8751" s="1"/>
      <c r="M8751" s="1"/>
      <c r="N8751" s="1"/>
      <c r="O8751" s="1"/>
      <c r="P8751" s="1"/>
      <c r="Q8751" s="1"/>
      <c r="R8751" s="1"/>
      <c r="S8751" s="1"/>
      <c r="T8751" s="1"/>
      <c r="U8751" s="1"/>
      <c r="V8751" s="1"/>
      <c r="W8751" s="1"/>
      <c r="X8751" s="1"/>
      <c r="Y8751" s="1"/>
      <c r="Z8751" s="1"/>
      <c r="AA8751" s="1"/>
      <c r="AB8751" s="1"/>
    </row>
    <row r="8752" ht="50.25" customHeight="1">
      <c r="A8752" s="12">
        <v>8748.0</v>
      </c>
      <c r="B8752" s="13" t="s">
        <v>8699</v>
      </c>
      <c r="C8752" s="18" t="s">
        <v>8778</v>
      </c>
      <c r="D8752" s="1"/>
      <c r="E8752" s="1"/>
      <c r="F8752" s="1" t="str">
        <f>IFERROR(__xludf.DUMMYFUNCTION("GOOGLETRANSLATE(B8752, ""en"", ""fa"")
"),"موفقیت در پادکست")</f>
        <v>موفقیت در پادکست</v>
      </c>
      <c r="G8752" s="1" t="str">
        <f>IFERROR(__xludf.DUMMYFUNCTION("GOOGLETRANSLATE(C8752, ""en"", ""fa"")
"),"چگونه می توان به طور مؤثر از سؤالات باز یا درخواست های بحث در قسمت های پادکست خود برای تشویق شنوندگان به مشارکت و گفتگو استفاده کرد؟")</f>
        <v>چگونه می توان به طور مؤثر از سؤالات باز یا درخواست های بحث در قسمت های پادکست خود برای تشویق شنوندگان به مشارکت و گفتگو استفاده کرد؟</v>
      </c>
      <c r="H8752" s="1"/>
      <c r="I8752" s="1"/>
      <c r="J8752" s="1"/>
      <c r="K8752" s="1"/>
      <c r="L8752" s="1"/>
      <c r="M8752" s="1"/>
      <c r="N8752" s="1"/>
      <c r="O8752" s="1"/>
      <c r="P8752" s="1"/>
      <c r="Q8752" s="1"/>
      <c r="R8752" s="1"/>
      <c r="S8752" s="1"/>
      <c r="T8752" s="1"/>
      <c r="U8752" s="1"/>
      <c r="V8752" s="1"/>
      <c r="W8752" s="1"/>
      <c r="X8752" s="1"/>
      <c r="Y8752" s="1"/>
      <c r="Z8752" s="1"/>
      <c r="AA8752" s="1"/>
      <c r="AB8752" s="1"/>
    </row>
    <row r="8753" ht="50.25" customHeight="1">
      <c r="A8753" s="12">
        <v>8749.0</v>
      </c>
      <c r="B8753" s="13" t="s">
        <v>8699</v>
      </c>
      <c r="C8753" s="18" t="s">
        <v>8779</v>
      </c>
      <c r="D8753" s="1"/>
      <c r="E8753" s="1"/>
      <c r="F8753" s="1" t="str">
        <f>IFERROR(__xludf.DUMMYFUNCTION("GOOGLETRANSLATE(B8753, ""en"", ""fa"")
"),"موفقیت در پادکست")</f>
        <v>موفقیت در پادکست</v>
      </c>
      <c r="G8753" s="1" t="str">
        <f>IFERROR(__xludf.DUMMYFUNCTION("GOOGLETRANSLATE(C8753, ""en"", ""fa"")
"),"استراتژی‌هایی برای ایجاد قسمت‌های پادکست که تجزیه و تحلیل عمیق، یافته‌های تحقیقاتی یا بینش‌های تخصصی را در مورد موضوع خاصی مورد علاقه مخاطبان ارائه می‌دهند، چیست؟")</f>
        <v>استراتژی‌هایی برای ایجاد قسمت‌های پادکست که تجزیه و تحلیل عمیق، یافته‌های تحقیقاتی یا بینش‌های تخصصی را در مورد موضوع خاصی مورد علاقه مخاطبان ارائه می‌دهند، چیست؟</v>
      </c>
      <c r="H8753" s="1"/>
      <c r="I8753" s="1"/>
      <c r="J8753" s="1"/>
      <c r="K8753" s="1"/>
      <c r="L8753" s="1"/>
      <c r="M8753" s="1"/>
      <c r="N8753" s="1"/>
      <c r="O8753" s="1"/>
      <c r="P8753" s="1"/>
      <c r="Q8753" s="1"/>
      <c r="R8753" s="1"/>
      <c r="S8753" s="1"/>
      <c r="T8753" s="1"/>
      <c r="U8753" s="1"/>
      <c r="V8753" s="1"/>
      <c r="W8753" s="1"/>
      <c r="X8753" s="1"/>
      <c r="Y8753" s="1"/>
      <c r="Z8753" s="1"/>
      <c r="AA8753" s="1"/>
      <c r="AB8753" s="1"/>
    </row>
    <row r="8754" ht="50.25" customHeight="1">
      <c r="A8754" s="12">
        <v>8750.0</v>
      </c>
      <c r="B8754" s="13" t="s">
        <v>8699</v>
      </c>
      <c r="C8754" s="18" t="s">
        <v>8780</v>
      </c>
      <c r="D8754" s="1"/>
      <c r="E8754" s="1"/>
      <c r="F8754" s="1" t="str">
        <f>IFERROR(__xludf.DUMMYFUNCTION("GOOGLETRANSLATE(B8754, ""en"", ""fa"")
"),"موفقیت در پادکست")</f>
        <v>موفقیت در پادکست</v>
      </c>
      <c r="G8754" s="1" t="str">
        <f>IFERROR(__xludf.DUMMYFUNCTION("GOOGLETRANSLATE(C8754, ""en"", ""fa"")
"),"چگونه قسمت‌های پادکست بسازیم که توصیه‌ها، بررسی‌ها یا فهرست‌های تنظیم‌شده از منابع، محصولات یا خدماتی را ارائه می‌کنند که با علایق شما یا مخاطبان مطابقت دارد؟")</f>
        <v>چگونه قسمت‌های پادکست بسازیم که توصیه‌ها، بررسی‌ها یا فهرست‌های تنظیم‌شده از منابع، محصولات یا خدماتی را ارائه می‌کنند که با علایق شما یا مخاطبان مطابقت دارد؟</v>
      </c>
      <c r="H8754" s="1"/>
      <c r="I8754" s="1"/>
      <c r="J8754" s="1"/>
      <c r="K8754" s="1"/>
      <c r="L8754" s="1"/>
      <c r="M8754" s="1"/>
      <c r="N8754" s="1"/>
      <c r="O8754" s="1"/>
      <c r="P8754" s="1"/>
      <c r="Q8754" s="1"/>
      <c r="R8754" s="1"/>
      <c r="S8754" s="1"/>
      <c r="T8754" s="1"/>
      <c r="U8754" s="1"/>
      <c r="V8754" s="1"/>
      <c r="W8754" s="1"/>
      <c r="X8754" s="1"/>
      <c r="Y8754" s="1"/>
      <c r="Z8754" s="1"/>
      <c r="AA8754" s="1"/>
      <c r="AB8754" s="1"/>
    </row>
    <row r="8755" ht="50.25" customHeight="1">
      <c r="A8755" s="12">
        <v>8751.0</v>
      </c>
      <c r="B8755" s="13" t="s">
        <v>8699</v>
      </c>
      <c r="C8755" s="18" t="s">
        <v>8781</v>
      </c>
      <c r="D8755" s="1"/>
      <c r="E8755" s="1"/>
      <c r="F8755" s="1" t="str">
        <f>IFERROR(__xludf.DUMMYFUNCTION("GOOGLETRANSLATE(B8755, ""en"", ""fa"")
"),"موفقیت در پادکست")</f>
        <v>موفقیت در پادکست</v>
      </c>
      <c r="G8755" s="1" t="str">
        <f>IFERROR(__xludf.DUMMYFUNCTION("GOOGLETRANSLATE(C8755, ""en"", ""fa"")
"),"تکنیک‌هایی برای ایجاد قسمت‌های پادکست که حکایت‌ها، تجربیات یا درس‌های آموخته‌شده شخصی را به اشتراک می‌گذارند تا اعتبار و ارتباط با شنوندگانتان برقرار شود، چیست؟")</f>
        <v>تکنیک‌هایی برای ایجاد قسمت‌های پادکست که حکایت‌ها، تجربیات یا درس‌های آموخته‌شده شخصی را به اشتراک می‌گذارند تا اعتبار و ارتباط با شنوندگانتان برقرار شود، چیست؟</v>
      </c>
      <c r="H8755" s="1"/>
      <c r="I8755" s="1"/>
      <c r="J8755" s="1"/>
      <c r="K8755" s="1"/>
      <c r="L8755" s="1"/>
      <c r="M8755" s="1"/>
      <c r="N8755" s="1"/>
      <c r="O8755" s="1"/>
      <c r="P8755" s="1"/>
      <c r="Q8755" s="1"/>
      <c r="R8755" s="1"/>
      <c r="S8755" s="1"/>
      <c r="T8755" s="1"/>
      <c r="U8755" s="1"/>
      <c r="V8755" s="1"/>
      <c r="W8755" s="1"/>
      <c r="X8755" s="1"/>
      <c r="Y8755" s="1"/>
      <c r="Z8755" s="1"/>
      <c r="AA8755" s="1"/>
      <c r="AB8755" s="1"/>
    </row>
    <row r="8756" ht="50.25" customHeight="1">
      <c r="A8756" s="12">
        <v>8752.0</v>
      </c>
      <c r="B8756" s="13" t="s">
        <v>8699</v>
      </c>
      <c r="C8756" s="18" t="s">
        <v>8782</v>
      </c>
      <c r="D8756" s="1"/>
      <c r="E8756" s="1"/>
      <c r="F8756" s="1" t="str">
        <f>IFERROR(__xludf.DUMMYFUNCTION("GOOGLETRANSLATE(B8756, ""en"", ""fa"")
"),"موفقیت در پادکست")</f>
        <v>موفقیت در پادکست</v>
      </c>
      <c r="G8756" s="1" t="str">
        <f>IFERROR(__xludf.DUMMYFUNCTION("GOOGLETRANSLATE(C8756, ""en"", ""fa"")
"),"چگونه می توان از عناصر داستان سرایی، مانند تعلیق، درگیری، یا حل و فصل در قسمت های پادکست خود برای ایجاد یک قوس روایی جذاب استفاده کرد؟")</f>
        <v>چگونه می توان از عناصر داستان سرایی، مانند تعلیق، درگیری، یا حل و فصل در قسمت های پادکست خود برای ایجاد یک قوس روایی جذاب استفاده کرد؟</v>
      </c>
      <c r="H8756" s="1"/>
      <c r="I8756" s="1"/>
      <c r="J8756" s="1"/>
      <c r="K8756" s="1"/>
      <c r="L8756" s="1"/>
      <c r="M8756" s="1"/>
      <c r="N8756" s="1"/>
      <c r="O8756" s="1"/>
      <c r="P8756" s="1"/>
      <c r="Q8756" s="1"/>
      <c r="R8756" s="1"/>
      <c r="S8756" s="1"/>
      <c r="T8756" s="1"/>
      <c r="U8756" s="1"/>
      <c r="V8756" s="1"/>
      <c r="W8756" s="1"/>
      <c r="X8756" s="1"/>
      <c r="Y8756" s="1"/>
      <c r="Z8756" s="1"/>
      <c r="AA8756" s="1"/>
      <c r="AB8756" s="1"/>
    </row>
    <row r="8757" ht="50.25" customHeight="1">
      <c r="A8757" s="12">
        <v>8753.0</v>
      </c>
      <c r="B8757" s="13" t="s">
        <v>8699</v>
      </c>
      <c r="C8757" s="18" t="s">
        <v>8783</v>
      </c>
      <c r="D8757" s="1"/>
      <c r="E8757" s="1"/>
      <c r="F8757" s="1" t="str">
        <f>IFERROR(__xludf.DUMMYFUNCTION("GOOGLETRANSLATE(B8757, ""en"", ""fa"")
"),"موفقیت در پادکست")</f>
        <v>موفقیت در پادکست</v>
      </c>
      <c r="G8757" s="1" t="str">
        <f>IFERROR(__xludf.DUMMYFUNCTION("GOOGLETRANSLATE(C8757, ""en"", ""fa"")
"),"استراتژی‌هایی برای ایجاد قسمت‌های پادکست که داستان‌های موفقیت یا مطالعات موردی افراد یا مشاغلی را که با استفاده از استراتژی‌ها یا تکنیک‌های خاص به نتایج قابل‌توجهی دست یافته‌اند را برجسته می‌کند، چیست؟")</f>
        <v>استراتژی‌هایی برای ایجاد قسمت‌های پادکست که داستان‌های موفقیت یا مطالعات موردی افراد یا مشاغلی را که با استفاده از استراتژی‌ها یا تکنیک‌های خاص به نتایج قابل‌توجهی دست یافته‌اند را برجسته می‌کند، چیست؟</v>
      </c>
      <c r="H8757" s="1"/>
      <c r="I8757" s="1"/>
      <c r="J8757" s="1"/>
      <c r="K8757" s="1"/>
      <c r="L8757" s="1"/>
      <c r="M8757" s="1"/>
      <c r="N8757" s="1"/>
      <c r="O8757" s="1"/>
      <c r="P8757" s="1"/>
      <c r="Q8757" s="1"/>
      <c r="R8757" s="1"/>
      <c r="S8757" s="1"/>
      <c r="T8757" s="1"/>
      <c r="U8757" s="1"/>
      <c r="V8757" s="1"/>
      <c r="W8757" s="1"/>
      <c r="X8757" s="1"/>
      <c r="Y8757" s="1"/>
      <c r="Z8757" s="1"/>
      <c r="AA8757" s="1"/>
      <c r="AB8757" s="1"/>
    </row>
    <row r="8758" ht="50.25" customHeight="1">
      <c r="A8758" s="12">
        <v>8754.0</v>
      </c>
      <c r="B8758" s="13" t="s">
        <v>8699</v>
      </c>
      <c r="C8758" s="18" t="s">
        <v>8784</v>
      </c>
      <c r="D8758" s="1"/>
      <c r="E8758" s="1"/>
      <c r="F8758" s="1" t="str">
        <f>IFERROR(__xludf.DUMMYFUNCTION("GOOGLETRANSLATE(B8758, ""en"", ""fa"")
"),"موفقیت در پادکست")</f>
        <v>موفقیت در پادکست</v>
      </c>
      <c r="G8758" s="1" t="str">
        <f>IFERROR(__xludf.DUMMYFUNCTION("GOOGLETRANSLATE(C8758, ""en"", ""fa"")
"),"چگونه قسمت‌های پادکست بسازیم که نکات، تکنیک‌ها یا تمرین‌های عملی را برای رشد شخصی، بهبود خود یا رفاه در حوزه یا صنعت شما ارائه می‌دهد؟")</f>
        <v>چگونه قسمت‌های پادکست بسازیم که نکات، تکنیک‌ها یا تمرین‌های عملی را برای رشد شخصی، بهبود خود یا رفاه در حوزه یا صنعت شما ارائه می‌دهد؟</v>
      </c>
      <c r="H8758" s="1"/>
      <c r="I8758" s="1"/>
      <c r="J8758" s="1"/>
      <c r="K8758" s="1"/>
      <c r="L8758" s="1"/>
      <c r="M8758" s="1"/>
      <c r="N8758" s="1"/>
      <c r="O8758" s="1"/>
      <c r="P8758" s="1"/>
      <c r="Q8758" s="1"/>
      <c r="R8758" s="1"/>
      <c r="S8758" s="1"/>
      <c r="T8758" s="1"/>
      <c r="U8758" s="1"/>
      <c r="V8758" s="1"/>
      <c r="W8758" s="1"/>
      <c r="X8758" s="1"/>
      <c r="Y8758" s="1"/>
      <c r="Z8758" s="1"/>
      <c r="AA8758" s="1"/>
      <c r="AB8758" s="1"/>
    </row>
    <row r="8759" ht="50.25" customHeight="1">
      <c r="A8759" s="12">
        <v>8755.0</v>
      </c>
      <c r="B8759" s="13" t="s">
        <v>8699</v>
      </c>
      <c r="C8759" s="18" t="s">
        <v>8785</v>
      </c>
      <c r="D8759" s="1"/>
      <c r="E8759" s="1"/>
      <c r="F8759" s="1" t="str">
        <f>IFERROR(__xludf.DUMMYFUNCTION("GOOGLETRANSLATE(B8759, ""en"", ""fa"")
"),"موفقیت در پادکست")</f>
        <v>موفقیت در پادکست</v>
      </c>
      <c r="G8759" s="1" t="str">
        <f>IFERROR(__xludf.DUMMYFUNCTION("GOOGLETRANSLATE(C8759, ""en"", ""fa"")
"),"تکنیک‌های ایجاد قسمت‌های پادکست که شامل مصاحبه‌های عمیق با رهبران فکری صنعت، کارشناسان یا تأثیرگذاران می‌شود تا بینش‌های ارزشمندی را به شنوندگان ارائه کند، چیست؟")</f>
        <v>تکنیک‌های ایجاد قسمت‌های پادکست که شامل مصاحبه‌های عمیق با رهبران فکری صنعت، کارشناسان یا تأثیرگذاران می‌شود تا بینش‌های ارزشمندی را به شنوندگان ارائه کند، چیست؟</v>
      </c>
      <c r="H8759" s="1"/>
      <c r="I8759" s="1"/>
      <c r="J8759" s="1"/>
      <c r="K8759" s="1"/>
      <c r="L8759" s="1"/>
      <c r="M8759" s="1"/>
      <c r="N8759" s="1"/>
      <c r="O8759" s="1"/>
      <c r="P8759" s="1"/>
      <c r="Q8759" s="1"/>
      <c r="R8759" s="1"/>
      <c r="S8759" s="1"/>
      <c r="T8759" s="1"/>
      <c r="U8759" s="1"/>
      <c r="V8759" s="1"/>
      <c r="W8759" s="1"/>
      <c r="X8759" s="1"/>
      <c r="Y8759" s="1"/>
      <c r="Z8759" s="1"/>
      <c r="AA8759" s="1"/>
      <c r="AB8759" s="1"/>
    </row>
    <row r="8760" ht="50.25" customHeight="1">
      <c r="A8760" s="12">
        <v>8756.0</v>
      </c>
      <c r="B8760" s="13" t="s">
        <v>8699</v>
      </c>
      <c r="C8760" s="18" t="s">
        <v>8786</v>
      </c>
      <c r="D8760" s="1"/>
      <c r="E8760" s="1"/>
      <c r="F8760" s="1" t="str">
        <f>IFERROR(__xludf.DUMMYFUNCTION("GOOGLETRANSLATE(B8760, ""en"", ""fa"")
"),"موفقیت در پادکست")</f>
        <v>موفقیت در پادکست</v>
      </c>
      <c r="G8760" s="1" t="str">
        <f>IFERROR(__xludf.DUMMYFUNCTION("GOOGLETRANSLATE(C8760, ""en"", ""fa"")
"),"چگونه می‌توان از نمونه‌های بلادرنگ، رویدادهای خبری یا حکایات مرتبط در قسمت‌های پادکست خود به‌طور مؤثر استفاده کرد تا محتوای خود را به‌موقع و قابل ارتباط برای مخاطبان خود قرار دهید؟")</f>
        <v>چگونه می‌توان از نمونه‌های بلادرنگ، رویدادهای خبری یا حکایات مرتبط در قسمت‌های پادکست خود به‌طور مؤثر استفاده کرد تا محتوای خود را به‌موقع و قابل ارتباط برای مخاطبان خود قرار دهید؟</v>
      </c>
      <c r="H8760" s="1"/>
      <c r="I8760" s="1"/>
      <c r="J8760" s="1"/>
      <c r="K8760" s="1"/>
      <c r="L8760" s="1"/>
      <c r="M8760" s="1"/>
      <c r="N8760" s="1"/>
      <c r="O8760" s="1"/>
      <c r="P8760" s="1"/>
      <c r="Q8760" s="1"/>
      <c r="R8760" s="1"/>
      <c r="S8760" s="1"/>
      <c r="T8760" s="1"/>
      <c r="U8760" s="1"/>
      <c r="V8760" s="1"/>
      <c r="W8760" s="1"/>
      <c r="X8760" s="1"/>
      <c r="Y8760" s="1"/>
      <c r="Z8760" s="1"/>
      <c r="AA8760" s="1"/>
      <c r="AB8760" s="1"/>
    </row>
    <row r="8761" ht="50.25" customHeight="1">
      <c r="A8761" s="12">
        <v>8757.0</v>
      </c>
      <c r="B8761" s="13" t="s">
        <v>8699</v>
      </c>
      <c r="C8761" s="18" t="s">
        <v>8787</v>
      </c>
      <c r="D8761" s="1"/>
      <c r="E8761" s="1"/>
      <c r="F8761" s="1" t="str">
        <f>IFERROR(__xludf.DUMMYFUNCTION("GOOGLETRANSLATE(B8761, ""en"", ""fa"")
"),"موفقیت در پادکست")</f>
        <v>موفقیت در پادکست</v>
      </c>
      <c r="G8761" s="1" t="str">
        <f>IFERROR(__xludf.DUMMYFUNCTION("GOOGLETRANSLATE(C8761, ""en"", ""fa"")
"),"استراتژی‌هایی برای ایجاد قسمت‌های پادکست که نقاط عطف، سالگردها یا مناسبت‌های خاص را در سفر یا جایگاه پادکست شما جشن می‌گیرند، چیست؟")</f>
        <v>استراتژی‌هایی برای ایجاد قسمت‌های پادکست که نقاط عطف، سالگردها یا مناسبت‌های خاص را در سفر یا جایگاه پادکست شما جشن می‌گیرند، چیست؟</v>
      </c>
      <c r="H8761" s="1"/>
      <c r="I8761" s="1"/>
      <c r="J8761" s="1"/>
      <c r="K8761" s="1"/>
      <c r="L8761" s="1"/>
      <c r="M8761" s="1"/>
      <c r="N8761" s="1"/>
      <c r="O8761" s="1"/>
      <c r="P8761" s="1"/>
      <c r="Q8761" s="1"/>
      <c r="R8761" s="1"/>
      <c r="S8761" s="1"/>
      <c r="T8761" s="1"/>
      <c r="U8761" s="1"/>
      <c r="V8761" s="1"/>
      <c r="W8761" s="1"/>
      <c r="X8761" s="1"/>
      <c r="Y8761" s="1"/>
      <c r="Z8761" s="1"/>
      <c r="AA8761" s="1"/>
      <c r="AB8761" s="1"/>
    </row>
    <row r="8762" ht="50.25" customHeight="1">
      <c r="A8762" s="12">
        <v>8758.0</v>
      </c>
      <c r="B8762" s="13" t="s">
        <v>8699</v>
      </c>
      <c r="C8762" s="18" t="s">
        <v>8788</v>
      </c>
      <c r="D8762" s="1"/>
      <c r="E8762" s="1"/>
      <c r="F8762" s="1" t="str">
        <f>IFERROR(__xludf.DUMMYFUNCTION("GOOGLETRANSLATE(B8762, ""en"", ""fa"")
"),"موفقیت در پادکست")</f>
        <v>موفقیت در پادکست</v>
      </c>
      <c r="G8762" s="1" t="str">
        <f>IFERROR(__xludf.DUMMYFUNCTION("GOOGLETRANSLATE(C8762, ""en"", ""fa"")
"),"چگونه می‌توان قسمت‌های پادکستی ایجاد کرد که خلاقیت، الهام‌بخشی یا نوآوری را با ارائه مصاحبه‌ها، داستان‌ها یا بحث‌های مرتبط با هنر، طراحی یا زمینه‌های خلاقانه تشویق کند؟")</f>
        <v>چگونه می‌توان قسمت‌های پادکستی ایجاد کرد که خلاقیت، الهام‌بخشی یا نوآوری را با ارائه مصاحبه‌ها، داستان‌ها یا بحث‌های مرتبط با هنر، طراحی یا زمینه‌های خلاقانه تشویق کند؟</v>
      </c>
      <c r="H8762" s="1"/>
      <c r="I8762" s="1"/>
      <c r="J8762" s="1"/>
      <c r="K8762" s="1"/>
      <c r="L8762" s="1"/>
      <c r="M8762" s="1"/>
      <c r="N8762" s="1"/>
      <c r="O8762" s="1"/>
      <c r="P8762" s="1"/>
      <c r="Q8762" s="1"/>
      <c r="R8762" s="1"/>
      <c r="S8762" s="1"/>
      <c r="T8762" s="1"/>
      <c r="U8762" s="1"/>
      <c r="V8762" s="1"/>
      <c r="W8762" s="1"/>
      <c r="X8762" s="1"/>
      <c r="Y8762" s="1"/>
      <c r="Z8762" s="1"/>
      <c r="AA8762" s="1"/>
      <c r="AB8762" s="1"/>
    </row>
    <row r="8763" ht="50.25" customHeight="1">
      <c r="A8763" s="12">
        <v>8759.0</v>
      </c>
      <c r="B8763" s="13" t="s">
        <v>8699</v>
      </c>
      <c r="C8763" s="18" t="s">
        <v>8789</v>
      </c>
      <c r="D8763" s="1"/>
      <c r="E8763" s="1"/>
      <c r="F8763" s="1" t="str">
        <f>IFERROR(__xludf.DUMMYFUNCTION("GOOGLETRANSLATE(B8763, ""en"", ""fa"")
"),"موفقیت در پادکست")</f>
        <v>موفقیت در پادکست</v>
      </c>
      <c r="G8763" s="1" t="str">
        <f>IFERROR(__xludf.DUMMYFUNCTION("GOOGLETRANSLATE(C8763, ""en"", ""fa"")
"),"تکنیک‌هایی برای ایجاد قسمت‌های پادکست که با ارائه داستان‌های شنونده، توصیه‌ها یا محتوای ارسال شده توسط شنوندگان، ارتباط و جامعه را تقویت می‌کنند، چیست؟")</f>
        <v>تکنیک‌هایی برای ایجاد قسمت‌های پادکست که با ارائه داستان‌های شنونده، توصیه‌ها یا محتوای ارسال شده توسط شنوندگان، ارتباط و جامعه را تقویت می‌کنند، چیست؟</v>
      </c>
      <c r="H8763" s="1"/>
      <c r="I8763" s="1"/>
      <c r="J8763" s="1"/>
      <c r="K8763" s="1"/>
      <c r="L8763" s="1"/>
      <c r="M8763" s="1"/>
      <c r="N8763" s="1"/>
      <c r="O8763" s="1"/>
      <c r="P8763" s="1"/>
      <c r="Q8763" s="1"/>
      <c r="R8763" s="1"/>
      <c r="S8763" s="1"/>
      <c r="T8763" s="1"/>
      <c r="U8763" s="1"/>
      <c r="V8763" s="1"/>
      <c r="W8763" s="1"/>
      <c r="X8763" s="1"/>
      <c r="Y8763" s="1"/>
      <c r="Z8763" s="1"/>
      <c r="AA8763" s="1"/>
      <c r="AB8763" s="1"/>
    </row>
    <row r="8764" ht="50.25" customHeight="1">
      <c r="A8764" s="12">
        <v>8760.0</v>
      </c>
      <c r="B8764" s="13" t="s">
        <v>8699</v>
      </c>
      <c r="C8764" s="18" t="s">
        <v>8790</v>
      </c>
      <c r="D8764" s="1"/>
      <c r="E8764" s="1"/>
      <c r="F8764" s="1" t="str">
        <f>IFERROR(__xludf.DUMMYFUNCTION("GOOGLETRANSLATE(B8764, ""en"", ""fa"")
"),"موفقیت در پادکست")</f>
        <v>موفقیت در پادکست</v>
      </c>
      <c r="G8764" s="1" t="str">
        <f>IFERROR(__xludf.DUMMYFUNCTION("GOOGLETRANSLATE(C8764, ""en"", ""fa"")
"),"چگونه می توان به طور موثر از تیزر یا پیش نمایش قسمت ها برای ایجاد پیش بینی و علاقه برای قسمت ها یا سریال های پادکست آینده استفاده کرد؟")</f>
        <v>چگونه می توان به طور موثر از تیزر یا پیش نمایش قسمت ها برای ایجاد پیش بینی و علاقه برای قسمت ها یا سریال های پادکست آینده استفاده کرد؟</v>
      </c>
      <c r="H8764" s="1"/>
      <c r="I8764" s="1"/>
      <c r="J8764" s="1"/>
      <c r="K8764" s="1"/>
      <c r="L8764" s="1"/>
      <c r="M8764" s="1"/>
      <c r="N8764" s="1"/>
      <c r="O8764" s="1"/>
      <c r="P8764" s="1"/>
      <c r="Q8764" s="1"/>
      <c r="R8764" s="1"/>
      <c r="S8764" s="1"/>
      <c r="T8764" s="1"/>
      <c r="U8764" s="1"/>
      <c r="V8764" s="1"/>
      <c r="W8764" s="1"/>
      <c r="X8764" s="1"/>
      <c r="Y8764" s="1"/>
      <c r="Z8764" s="1"/>
      <c r="AA8764" s="1"/>
      <c r="AB8764" s="1"/>
    </row>
    <row r="8765" ht="50.25" customHeight="1">
      <c r="A8765" s="12">
        <v>8761.0</v>
      </c>
      <c r="B8765" s="13" t="s">
        <v>8699</v>
      </c>
      <c r="C8765" s="18" t="s">
        <v>8791</v>
      </c>
      <c r="D8765" s="1"/>
      <c r="E8765" s="1"/>
      <c r="F8765" s="1" t="str">
        <f>IFERROR(__xludf.DUMMYFUNCTION("GOOGLETRANSLATE(B8765, ""en"", ""fa"")
"),"موفقیت در پادکست")</f>
        <v>موفقیت در پادکست</v>
      </c>
      <c r="G8765" s="1" t="str">
        <f>IFERROR(__xludf.DUMMYFUNCTION("GOOGLETRANSLATE(C8765, ""en"", ""fa"")
"),"استراتژی‌هایی برای ایجاد قسمت‌های پادکست که مفروضات را به چالش می‌کشد، تفکر انتقادی را تحریک می‌کند، یا جرقه گفتگوهای معناداری را در حوزه یا صنعت شما ایجاد می‌کند، چیست؟")</f>
        <v>استراتژی‌هایی برای ایجاد قسمت‌های پادکست که مفروضات را به چالش می‌کشد، تفکر انتقادی را تحریک می‌کند، یا جرقه گفتگوهای معناداری را در حوزه یا صنعت شما ایجاد می‌کند، چیست؟</v>
      </c>
      <c r="H8765" s="1"/>
      <c r="I8765" s="1"/>
      <c r="J8765" s="1"/>
      <c r="K8765" s="1"/>
      <c r="L8765" s="1"/>
      <c r="M8765" s="1"/>
      <c r="N8765" s="1"/>
      <c r="O8765" s="1"/>
      <c r="P8765" s="1"/>
      <c r="Q8765" s="1"/>
      <c r="R8765" s="1"/>
      <c r="S8765" s="1"/>
      <c r="T8765" s="1"/>
      <c r="U8765" s="1"/>
      <c r="V8765" s="1"/>
      <c r="W8765" s="1"/>
      <c r="X8765" s="1"/>
      <c r="Y8765" s="1"/>
      <c r="Z8765" s="1"/>
      <c r="AA8765" s="1"/>
      <c r="AB8765" s="1"/>
    </row>
    <row r="8766" ht="50.25" customHeight="1">
      <c r="A8766" s="12">
        <v>8762.0</v>
      </c>
      <c r="B8766" s="13" t="s">
        <v>8699</v>
      </c>
      <c r="C8766" s="18" t="s">
        <v>8792</v>
      </c>
      <c r="D8766" s="1"/>
      <c r="E8766" s="1"/>
      <c r="F8766" s="1" t="str">
        <f>IFERROR(__xludf.DUMMYFUNCTION("GOOGLETRANSLATE(B8766, ""en"", ""fa"")
"),"موفقیت در پادکست")</f>
        <v>موفقیت در پادکست</v>
      </c>
      <c r="G8766" s="1" t="str">
        <f>IFERROR(__xludf.DUMMYFUNCTION("GOOGLETRANSLATE(C8766, ""en"", ""fa"")
"),"چگونه قسمت‌های پادکست بسازیم که راهنماها یا آموزش‌های گام به گام را برای مهارت‌ها، تکنیک‌ها یا فرآیندهای خاص در حوزه یا جایگاه شما ارائه می‌دهند؟")</f>
        <v>چگونه قسمت‌های پادکست بسازیم که راهنماها یا آموزش‌های گام به گام را برای مهارت‌ها، تکنیک‌ها یا فرآیندهای خاص در حوزه یا جایگاه شما ارائه می‌دهند؟</v>
      </c>
      <c r="H8766" s="1"/>
      <c r="I8766" s="1"/>
      <c r="J8766" s="1"/>
      <c r="K8766" s="1"/>
      <c r="L8766" s="1"/>
      <c r="M8766" s="1"/>
      <c r="N8766" s="1"/>
      <c r="O8766" s="1"/>
      <c r="P8766" s="1"/>
      <c r="Q8766" s="1"/>
      <c r="R8766" s="1"/>
      <c r="S8766" s="1"/>
      <c r="T8766" s="1"/>
      <c r="U8766" s="1"/>
      <c r="V8766" s="1"/>
      <c r="W8766" s="1"/>
      <c r="X8766" s="1"/>
      <c r="Y8766" s="1"/>
      <c r="Z8766" s="1"/>
      <c r="AA8766" s="1"/>
      <c r="AB8766" s="1"/>
    </row>
    <row r="8767" ht="50.25" customHeight="1">
      <c r="A8767" s="12">
        <v>8763.0</v>
      </c>
      <c r="B8767" s="13" t="s">
        <v>8699</v>
      </c>
      <c r="C8767" s="18" t="s">
        <v>8793</v>
      </c>
      <c r="D8767" s="1"/>
      <c r="E8767" s="1"/>
      <c r="F8767" s="1" t="str">
        <f>IFERROR(__xludf.DUMMYFUNCTION("GOOGLETRANSLATE(B8767, ""en"", ""fa"")
"),"موفقیت در پادکست")</f>
        <v>موفقیت در پادکست</v>
      </c>
      <c r="G8767" s="1" t="str">
        <f>IFERROR(__xludf.DUMMYFUNCTION("GOOGLETRANSLATE(C8767, ""en"", ""fa"")
"),"تکنیک‌های ایجاد قسمت‌های پادکست که شامل کاوش‌ها یا تحلیل‌های عمیق کتاب‌ها، فیلم‌ها یا سایر رسانه‌های مرتبط با مخاطبان شما باشد، چیست؟")</f>
        <v>تکنیک‌های ایجاد قسمت‌های پادکست که شامل کاوش‌ها یا تحلیل‌های عمیق کتاب‌ها، فیلم‌ها یا سایر رسانه‌های مرتبط با مخاطبان شما باشد، چیست؟</v>
      </c>
      <c r="H8767" s="1"/>
      <c r="I8767" s="1"/>
      <c r="J8767" s="1"/>
      <c r="K8767" s="1"/>
      <c r="L8767" s="1"/>
      <c r="M8767" s="1"/>
      <c r="N8767" s="1"/>
      <c r="O8767" s="1"/>
      <c r="P8767" s="1"/>
      <c r="Q8767" s="1"/>
      <c r="R8767" s="1"/>
      <c r="S8767" s="1"/>
      <c r="T8767" s="1"/>
      <c r="U8767" s="1"/>
      <c r="V8767" s="1"/>
      <c r="W8767" s="1"/>
      <c r="X8767" s="1"/>
      <c r="Y8767" s="1"/>
      <c r="Z8767" s="1"/>
      <c r="AA8767" s="1"/>
      <c r="AB8767" s="1"/>
    </row>
    <row r="8768" ht="50.25" customHeight="1">
      <c r="A8768" s="12">
        <v>8764.0</v>
      </c>
      <c r="B8768" s="13" t="s">
        <v>8699</v>
      </c>
      <c r="C8768" s="18" t="s">
        <v>8794</v>
      </c>
      <c r="D8768" s="1"/>
      <c r="E8768" s="1"/>
      <c r="F8768" s="1" t="str">
        <f>IFERROR(__xludf.DUMMYFUNCTION("GOOGLETRANSLATE(B8768, ""en"", ""fa"")
"),"موفقیت در پادکست")</f>
        <v>موفقیت در پادکست</v>
      </c>
      <c r="G8768" s="1" t="str">
        <f>IFERROR(__xludf.DUMMYFUNCTION("GOOGLETRANSLATE(C8768, ""en"", ""fa"")
"),"چگونه می توان از مصاحبه ها، بحث های میزگرد یا گفتگوهای میزگرد به طور موثر برای ارائه دیدگاه ها و بینش های متنوع در قسمت های پادکست خود استفاده کرد؟")</f>
        <v>چگونه می توان از مصاحبه ها، بحث های میزگرد یا گفتگوهای میزگرد به طور موثر برای ارائه دیدگاه ها و بینش های متنوع در قسمت های پادکست خود استفاده کرد؟</v>
      </c>
      <c r="H8768" s="1"/>
      <c r="I8768" s="1"/>
      <c r="J8768" s="1"/>
      <c r="K8768" s="1"/>
      <c r="L8768" s="1"/>
      <c r="M8768" s="1"/>
      <c r="N8768" s="1"/>
      <c r="O8768" s="1"/>
      <c r="P8768" s="1"/>
      <c r="Q8768" s="1"/>
      <c r="R8768" s="1"/>
      <c r="S8768" s="1"/>
      <c r="T8768" s="1"/>
      <c r="U8768" s="1"/>
      <c r="V8768" s="1"/>
      <c r="W8768" s="1"/>
      <c r="X8768" s="1"/>
      <c r="Y8768" s="1"/>
      <c r="Z8768" s="1"/>
      <c r="AA8768" s="1"/>
      <c r="AB8768" s="1"/>
    </row>
    <row r="8769" ht="50.25" customHeight="1">
      <c r="A8769" s="12">
        <v>8765.0</v>
      </c>
      <c r="B8769" s="13" t="s">
        <v>8699</v>
      </c>
      <c r="C8769" s="18" t="s">
        <v>8795</v>
      </c>
      <c r="D8769" s="1"/>
      <c r="E8769" s="1"/>
      <c r="F8769" s="1" t="str">
        <f>IFERROR(__xludf.DUMMYFUNCTION("GOOGLETRANSLATE(B8769, ""en"", ""fa"")
"),"موفقیت در پادکست")</f>
        <v>موفقیت در پادکست</v>
      </c>
      <c r="G8769" s="1" t="str">
        <f>IFERROR(__xludf.DUMMYFUNCTION("GOOGLETRANSLATE(C8769, ""en"", ""fa"")
"),"راهبردهای ایجاد قسمت های پادکست که داستان های شخصی غلبه بر ناملایمات، انعطاف پذیری یا رشد شخصی را برای الهام بخشیدن به شنوندگان به اشتراک می گذارد، چیست؟")</f>
        <v>راهبردهای ایجاد قسمت های پادکست که داستان های شخصی غلبه بر ناملایمات، انعطاف پذیری یا رشد شخصی را برای الهام بخشیدن به شنوندگان به اشتراک می گذارد، چیست؟</v>
      </c>
      <c r="H8769" s="1"/>
      <c r="I8769" s="1"/>
      <c r="J8769" s="1"/>
      <c r="K8769" s="1"/>
      <c r="L8769" s="1"/>
      <c r="M8769" s="1"/>
      <c r="N8769" s="1"/>
      <c r="O8769" s="1"/>
      <c r="P8769" s="1"/>
      <c r="Q8769" s="1"/>
      <c r="R8769" s="1"/>
      <c r="S8769" s="1"/>
      <c r="T8769" s="1"/>
      <c r="U8769" s="1"/>
      <c r="V8769" s="1"/>
      <c r="W8769" s="1"/>
      <c r="X8769" s="1"/>
      <c r="Y8769" s="1"/>
      <c r="Z8769" s="1"/>
      <c r="AA8769" s="1"/>
      <c r="AB8769" s="1"/>
    </row>
    <row r="8770" ht="50.25" customHeight="1">
      <c r="A8770" s="12">
        <v>8766.0</v>
      </c>
      <c r="B8770" s="13" t="s">
        <v>8699</v>
      </c>
      <c r="C8770" s="18" t="s">
        <v>8796</v>
      </c>
      <c r="D8770" s="1"/>
      <c r="E8770" s="1"/>
      <c r="F8770" s="1" t="str">
        <f>IFERROR(__xludf.DUMMYFUNCTION("GOOGLETRANSLATE(B8770, ""en"", ""fa"")
"),"موفقیت در پادکست")</f>
        <v>موفقیت در پادکست</v>
      </c>
      <c r="G8770" s="1" t="str">
        <f>IFERROR(__xludf.DUMMYFUNCTION("GOOGLETRANSLATE(C8770, ""en"", ""fa"")
"),"چگونه قسمت‌های پادکست بسازیم که توصیه‌ها، استراتژی‌ها یا منابع عملی را برای توسعه شغلی، کارآفرینی یا رشد حرفه‌ای در صنعت شما ارائه می‌دهد؟")</f>
        <v>چگونه قسمت‌های پادکست بسازیم که توصیه‌ها، استراتژی‌ها یا منابع عملی را برای توسعه شغلی، کارآفرینی یا رشد حرفه‌ای در صنعت شما ارائه می‌دهد؟</v>
      </c>
      <c r="H8770" s="1"/>
      <c r="I8770" s="1"/>
      <c r="J8770" s="1"/>
      <c r="K8770" s="1"/>
      <c r="L8770" s="1"/>
      <c r="M8770" s="1"/>
      <c r="N8770" s="1"/>
      <c r="O8770" s="1"/>
      <c r="P8770" s="1"/>
      <c r="Q8770" s="1"/>
      <c r="R8770" s="1"/>
      <c r="S8770" s="1"/>
      <c r="T8770" s="1"/>
      <c r="U8770" s="1"/>
      <c r="V8770" s="1"/>
      <c r="W8770" s="1"/>
      <c r="X8770" s="1"/>
      <c r="Y8770" s="1"/>
      <c r="Z8770" s="1"/>
      <c r="AA8770" s="1"/>
      <c r="AB8770" s="1"/>
    </row>
    <row r="8771" ht="50.25" customHeight="1">
      <c r="A8771" s="12">
        <v>8767.0</v>
      </c>
      <c r="B8771" s="13" t="s">
        <v>8699</v>
      </c>
      <c r="C8771" s="18" t="s">
        <v>8797</v>
      </c>
      <c r="D8771" s="1"/>
      <c r="E8771" s="1"/>
      <c r="F8771" s="1" t="str">
        <f>IFERROR(__xludf.DUMMYFUNCTION("GOOGLETRANSLATE(B8771, ""en"", ""fa"")
"),"موفقیت در پادکست")</f>
        <v>موفقیت در پادکست</v>
      </c>
      <c r="G8771" s="1" t="str">
        <f>IFERROR(__xludf.DUMMYFUNCTION("GOOGLETRANSLATE(C8771, ""en"", ""fa"")
"),"تکنیک‌هایی برای ایجاد قسمت‌های پادکست که پادکست‌ها، سازندگان محتوا یا رهبران فکری در حوزه یا صنعت شما را به نمایش می‌گذارند یا تبلیغ می‌کنند، چیست؟")</f>
        <v>تکنیک‌هایی برای ایجاد قسمت‌های پادکست که پادکست‌ها، سازندگان محتوا یا رهبران فکری در حوزه یا صنعت شما را به نمایش می‌گذارند یا تبلیغ می‌کنند، چیست؟</v>
      </c>
      <c r="H8771" s="1"/>
      <c r="I8771" s="1"/>
      <c r="J8771" s="1"/>
      <c r="K8771" s="1"/>
      <c r="L8771" s="1"/>
      <c r="M8771" s="1"/>
      <c r="N8771" s="1"/>
      <c r="O8771" s="1"/>
      <c r="P8771" s="1"/>
      <c r="Q8771" s="1"/>
      <c r="R8771" s="1"/>
      <c r="S8771" s="1"/>
      <c r="T8771" s="1"/>
      <c r="U8771" s="1"/>
      <c r="V8771" s="1"/>
      <c r="W8771" s="1"/>
      <c r="X8771" s="1"/>
      <c r="Y8771" s="1"/>
      <c r="Z8771" s="1"/>
      <c r="AA8771" s="1"/>
      <c r="AB8771" s="1"/>
    </row>
    <row r="8772" ht="50.25" customHeight="1">
      <c r="A8772" s="12">
        <v>8768.0</v>
      </c>
      <c r="B8772" s="13" t="s">
        <v>8699</v>
      </c>
      <c r="C8772" s="18" t="s">
        <v>8798</v>
      </c>
      <c r="D8772" s="1"/>
      <c r="E8772" s="1"/>
      <c r="F8772" s="1" t="str">
        <f>IFERROR(__xludf.DUMMYFUNCTION("GOOGLETRANSLATE(B8772, ""en"", ""fa"")
"),"موفقیت در پادکست")</f>
        <v>موفقیت در پادکست</v>
      </c>
      <c r="G8772" s="1" t="str">
        <f>IFERROR(__xludf.DUMMYFUNCTION("GOOGLETRANSLATE(C8772, ""en"", ""fa"")
"),"چگونه می توان به طور موثر از استراحت های فصل، وقفه ها یا قسمت های ویژه برای ایجاد پیش بینی و حفظ تعامل با مخاطبان خود استفاده کرد؟")</f>
        <v>چگونه می توان به طور موثر از استراحت های فصل، وقفه ها یا قسمت های ویژه برای ایجاد پیش بینی و حفظ تعامل با مخاطبان خود استفاده کرد؟</v>
      </c>
      <c r="H8772" s="1"/>
      <c r="I8772" s="1"/>
      <c r="J8772" s="1"/>
      <c r="K8772" s="1"/>
      <c r="L8772" s="1"/>
      <c r="M8772" s="1"/>
      <c r="N8772" s="1"/>
      <c r="O8772" s="1"/>
      <c r="P8772" s="1"/>
      <c r="Q8772" s="1"/>
      <c r="R8772" s="1"/>
      <c r="S8772" s="1"/>
      <c r="T8772" s="1"/>
      <c r="U8772" s="1"/>
      <c r="V8772" s="1"/>
      <c r="W8772" s="1"/>
      <c r="X8772" s="1"/>
      <c r="Y8772" s="1"/>
      <c r="Z8772" s="1"/>
      <c r="AA8772" s="1"/>
      <c r="AB8772" s="1"/>
    </row>
    <row r="8773" ht="50.25" customHeight="1">
      <c r="A8773" s="12">
        <v>8769.0</v>
      </c>
      <c r="B8773" s="13" t="s">
        <v>8699</v>
      </c>
      <c r="C8773" s="18" t="s">
        <v>8799</v>
      </c>
      <c r="D8773" s="1"/>
      <c r="E8773" s="1"/>
      <c r="F8773" s="1" t="str">
        <f>IFERROR(__xludf.DUMMYFUNCTION("GOOGLETRANSLATE(B8773, ""en"", ""fa"")
"),"موفقیت در پادکست")</f>
        <v>موفقیت در پادکست</v>
      </c>
      <c r="G8773" s="1" t="str">
        <f>IFERROR(__xludf.DUMMYFUNCTION("GOOGLETRANSLATE(C8773, ""en"", ""fa"")
"),"راهبردهایی برای ایجاد قسمت های پادکست که به مسائل اجتماعی یا فرهنگی به موقع یا مرتبط، ترویج آگاهی، همدلی یا تغییرات مثبت می پردازد، چیست؟")</f>
        <v>راهبردهایی برای ایجاد قسمت های پادکست که به مسائل اجتماعی یا فرهنگی به موقع یا مرتبط، ترویج آگاهی، همدلی یا تغییرات مثبت می پردازد، چیست؟</v>
      </c>
      <c r="H8773" s="1"/>
      <c r="I8773" s="1"/>
      <c r="J8773" s="1"/>
      <c r="K8773" s="1"/>
      <c r="L8773" s="1"/>
      <c r="M8773" s="1"/>
      <c r="N8773" s="1"/>
      <c r="O8773" s="1"/>
      <c r="P8773" s="1"/>
      <c r="Q8773" s="1"/>
      <c r="R8773" s="1"/>
      <c r="S8773" s="1"/>
      <c r="T8773" s="1"/>
      <c r="U8773" s="1"/>
      <c r="V8773" s="1"/>
      <c r="W8773" s="1"/>
      <c r="X8773" s="1"/>
      <c r="Y8773" s="1"/>
      <c r="Z8773" s="1"/>
      <c r="AA8773" s="1"/>
      <c r="AB8773" s="1"/>
    </row>
    <row r="8774" ht="50.25" customHeight="1">
      <c r="A8774" s="12">
        <v>8770.0</v>
      </c>
      <c r="B8774" s="13" t="s">
        <v>8699</v>
      </c>
      <c r="C8774" s="18" t="s">
        <v>8800</v>
      </c>
      <c r="D8774" s="1"/>
      <c r="E8774" s="1"/>
      <c r="F8774" s="1" t="str">
        <f>IFERROR(__xludf.DUMMYFUNCTION("GOOGLETRANSLATE(B8774, ""en"", ""fa"")
"),"موفقیت در پادکست")</f>
        <v>موفقیت در پادکست</v>
      </c>
      <c r="G8774" s="1" t="str">
        <f>IFERROR(__xludf.DUMMYFUNCTION("GOOGLETRANSLATE(C8774, ""en"", ""fa"")
"),"عناصر کلیدی انجام یک مصاحبه پادکست موفق چیست؟")</f>
        <v>عناصر کلیدی انجام یک مصاحبه پادکست موفق چیست؟</v>
      </c>
      <c r="H8774" s="1"/>
      <c r="I8774" s="1"/>
      <c r="J8774" s="1"/>
      <c r="K8774" s="1"/>
      <c r="L8774" s="1"/>
      <c r="M8774" s="1"/>
      <c r="N8774" s="1"/>
      <c r="O8774" s="1"/>
      <c r="P8774" s="1"/>
      <c r="Q8774" s="1"/>
      <c r="R8774" s="1"/>
      <c r="S8774" s="1"/>
      <c r="T8774" s="1"/>
      <c r="U8774" s="1"/>
      <c r="V8774" s="1"/>
      <c r="W8774" s="1"/>
      <c r="X8774" s="1"/>
      <c r="Y8774" s="1"/>
      <c r="Z8774" s="1"/>
      <c r="AA8774" s="1"/>
      <c r="AB8774" s="1"/>
    </row>
    <row r="8775" ht="50.25" customHeight="1">
      <c r="A8775" s="12">
        <v>8771.0</v>
      </c>
      <c r="B8775" s="13" t="s">
        <v>8699</v>
      </c>
      <c r="C8775" s="18" t="s">
        <v>8801</v>
      </c>
      <c r="D8775" s="1"/>
      <c r="E8775" s="1"/>
      <c r="F8775" s="1" t="str">
        <f>IFERROR(__xludf.DUMMYFUNCTION("GOOGLETRANSLATE(B8775, ""en"", ""fa"")
"),"موفقیت در پادکست")</f>
        <v>موفقیت در پادکست</v>
      </c>
      <c r="G8775" s="1" t="str">
        <f>IFERROR(__xludf.DUMMYFUNCTION("GOOGLETRANSLATE(C8775, ""en"", ""fa"")
"),"چگونه برای مصاحبه پادکست آماده شوید و در مورد مهمان خود به طور کامل تحقیق کنید؟")</f>
        <v>چگونه برای مصاحبه پادکست آماده شوید و در مورد مهمان خود به طور کامل تحقیق کنید؟</v>
      </c>
      <c r="H8775" s="1"/>
      <c r="I8775" s="1"/>
      <c r="J8775" s="1"/>
      <c r="K8775" s="1"/>
      <c r="L8775" s="1"/>
      <c r="M8775" s="1"/>
      <c r="N8775" s="1"/>
      <c r="O8775" s="1"/>
      <c r="P8775" s="1"/>
      <c r="Q8775" s="1"/>
      <c r="R8775" s="1"/>
      <c r="S8775" s="1"/>
      <c r="T8775" s="1"/>
      <c r="U8775" s="1"/>
      <c r="V8775" s="1"/>
      <c r="W8775" s="1"/>
      <c r="X8775" s="1"/>
      <c r="Y8775" s="1"/>
      <c r="Z8775" s="1"/>
      <c r="AA8775" s="1"/>
      <c r="AB8775" s="1"/>
    </row>
    <row r="8776" ht="50.25" customHeight="1">
      <c r="A8776" s="12">
        <v>8772.0</v>
      </c>
      <c r="B8776" s="13" t="s">
        <v>8699</v>
      </c>
      <c r="C8776" s="18" t="s">
        <v>8802</v>
      </c>
      <c r="D8776" s="1"/>
      <c r="E8776" s="1"/>
      <c r="F8776" s="1" t="str">
        <f>IFERROR(__xludf.DUMMYFUNCTION("GOOGLETRANSLATE(B8776, ""en"", ""fa"")
"),"موفقیت در پادکست")</f>
        <v>موفقیت در پادکست</v>
      </c>
      <c r="G8776" s="1" t="str">
        <f>IFERROR(__xludf.DUMMYFUNCTION("GOOGLETRANSLATE(C8776, ""en"", ""fa"")
"),"تکنیک های موثر برای ایجاد فضایی راحت و جذاب برای مصاحبه شوندگان پادکست شما چیست؟")</f>
        <v>تکنیک های موثر برای ایجاد فضایی راحت و جذاب برای مصاحبه شوندگان پادکست شما چیست؟</v>
      </c>
      <c r="H8776" s="1"/>
      <c r="I8776" s="1"/>
      <c r="J8776" s="1"/>
      <c r="K8776" s="1"/>
      <c r="L8776" s="1"/>
      <c r="M8776" s="1"/>
      <c r="N8776" s="1"/>
      <c r="O8776" s="1"/>
      <c r="P8776" s="1"/>
      <c r="Q8776" s="1"/>
      <c r="R8776" s="1"/>
      <c r="S8776" s="1"/>
      <c r="T8776" s="1"/>
      <c r="U8776" s="1"/>
      <c r="V8776" s="1"/>
      <c r="W8776" s="1"/>
      <c r="X8776" s="1"/>
      <c r="Y8776" s="1"/>
      <c r="Z8776" s="1"/>
      <c r="AA8776" s="1"/>
      <c r="AB8776" s="1"/>
    </row>
    <row r="8777" ht="50.25" customHeight="1">
      <c r="A8777" s="12">
        <v>8773.0</v>
      </c>
      <c r="B8777" s="13" t="s">
        <v>8699</v>
      </c>
      <c r="C8777" s="18" t="s">
        <v>8803</v>
      </c>
      <c r="D8777" s="1"/>
      <c r="E8777" s="1"/>
      <c r="F8777" s="1" t="str">
        <f>IFERROR(__xludf.DUMMYFUNCTION("GOOGLETRANSLATE(B8777, ""en"", ""fa"")
"),"موفقیت در پادکست")</f>
        <v>موفقیت در پادکست</v>
      </c>
      <c r="G8777" s="1" t="str">
        <f>IFERROR(__xludf.DUMMYFUNCTION("GOOGLETRANSLATE(C8777, ""en"", ""fa"")
"),"چگونه می توان سؤالات مصاحبه قانع کننده و تأمل برانگیزی را ایجاد کرد که پاسخ های روشنگری را به دنبال داشته باشد؟")</f>
        <v>چگونه می توان سؤالات مصاحبه قانع کننده و تأمل برانگیزی را ایجاد کرد که پاسخ های روشنگری را به دنبال داشته باشد؟</v>
      </c>
      <c r="H8777" s="1"/>
      <c r="I8777" s="1"/>
      <c r="J8777" s="1"/>
      <c r="K8777" s="1"/>
      <c r="L8777" s="1"/>
      <c r="M8777" s="1"/>
      <c r="N8777" s="1"/>
      <c r="O8777" s="1"/>
      <c r="P8777" s="1"/>
      <c r="Q8777" s="1"/>
      <c r="R8777" s="1"/>
      <c r="S8777" s="1"/>
      <c r="T8777" s="1"/>
      <c r="U8777" s="1"/>
      <c r="V8777" s="1"/>
      <c r="W8777" s="1"/>
      <c r="X8777" s="1"/>
      <c r="Y8777" s="1"/>
      <c r="Z8777" s="1"/>
      <c r="AA8777" s="1"/>
      <c r="AB8777" s="1"/>
    </row>
    <row r="8778" ht="50.25" customHeight="1">
      <c r="A8778" s="12">
        <v>8774.0</v>
      </c>
      <c r="B8778" s="13" t="s">
        <v>8699</v>
      </c>
      <c r="C8778" s="18" t="s">
        <v>8804</v>
      </c>
      <c r="D8778" s="1"/>
      <c r="E8778" s="1"/>
      <c r="F8778" s="1" t="str">
        <f>IFERROR(__xludf.DUMMYFUNCTION("GOOGLETRANSLATE(B8778, ""en"", ""fa"")
"),"موفقیت در پادکست")</f>
        <v>موفقیت در پادکست</v>
      </c>
      <c r="G8778" s="1" t="str">
        <f>IFERROR(__xludf.DUMMYFUNCTION("GOOGLETRANSLATE(C8778, ""en"", ""fa"")
"),"راهکارهایی برای گوش دادن فعالانه و تعامل با مصاحبه شونده در طول مصاحبه پادکست چیست؟")</f>
        <v>راهکارهایی برای گوش دادن فعالانه و تعامل با مصاحبه شونده در طول مصاحبه پادکست چیست؟</v>
      </c>
      <c r="H8778" s="1"/>
      <c r="I8778" s="1"/>
      <c r="J8778" s="1"/>
      <c r="K8778" s="1"/>
      <c r="L8778" s="1"/>
      <c r="M8778" s="1"/>
      <c r="N8778" s="1"/>
      <c r="O8778" s="1"/>
      <c r="P8778" s="1"/>
      <c r="Q8778" s="1"/>
      <c r="R8778" s="1"/>
      <c r="S8778" s="1"/>
      <c r="T8778" s="1"/>
      <c r="U8778" s="1"/>
      <c r="V8778" s="1"/>
      <c r="W8778" s="1"/>
      <c r="X8778" s="1"/>
      <c r="Y8778" s="1"/>
      <c r="Z8778" s="1"/>
      <c r="AA8778" s="1"/>
      <c r="AB8778" s="1"/>
    </row>
    <row r="8779" ht="50.25" customHeight="1">
      <c r="A8779" s="12">
        <v>8775.0</v>
      </c>
      <c r="B8779" s="13" t="s">
        <v>8699</v>
      </c>
      <c r="C8779" s="18" t="s">
        <v>8805</v>
      </c>
      <c r="D8779" s="1"/>
      <c r="E8779" s="1"/>
      <c r="F8779" s="1" t="str">
        <f>IFERROR(__xludf.DUMMYFUNCTION("GOOGLETRANSLATE(B8779, ""en"", ""fa"")
"),"موفقیت در پادکست")</f>
        <v>موفقیت در پادکست</v>
      </c>
      <c r="G8779" s="1" t="str">
        <f>IFERROR(__xludf.DUMMYFUNCTION("GOOGLETRANSLATE(C8779, ""en"", ""fa"")
"),"چگونه می توان موضوعات چالش برانگیز یا حساس را در طول مصاحبه پادکست با لطف و احترام دنبال کرد؟")</f>
        <v>چگونه می توان موضوعات چالش برانگیز یا حساس را در طول مصاحبه پادکست با لطف و احترام دنبال کرد؟</v>
      </c>
      <c r="H8779" s="1"/>
      <c r="I8779" s="1"/>
      <c r="J8779" s="1"/>
      <c r="K8779" s="1"/>
      <c r="L8779" s="1"/>
      <c r="M8779" s="1"/>
      <c r="N8779" s="1"/>
      <c r="O8779" s="1"/>
      <c r="P8779" s="1"/>
      <c r="Q8779" s="1"/>
      <c r="R8779" s="1"/>
      <c r="S8779" s="1"/>
      <c r="T8779" s="1"/>
      <c r="U8779" s="1"/>
      <c r="V8779" s="1"/>
      <c r="W8779" s="1"/>
      <c r="X8779" s="1"/>
      <c r="Y8779" s="1"/>
      <c r="Z8779" s="1"/>
      <c r="AA8779" s="1"/>
      <c r="AB8779" s="1"/>
    </row>
    <row r="8780" ht="50.25" customHeight="1">
      <c r="A8780" s="12">
        <v>8776.0</v>
      </c>
      <c r="B8780" s="13" t="s">
        <v>8699</v>
      </c>
      <c r="C8780" s="18" t="s">
        <v>8806</v>
      </c>
      <c r="D8780" s="1"/>
      <c r="E8780" s="1"/>
      <c r="F8780" s="1" t="str">
        <f>IFERROR(__xludf.DUMMYFUNCTION("GOOGLETRANSLATE(B8780, ""en"", ""fa"")
"),"موفقیت در پادکست")</f>
        <v>موفقیت در پادکست</v>
      </c>
      <c r="G8780" s="1" t="str">
        <f>IFERROR(__xludf.DUMMYFUNCTION("GOOGLETRANSLATE(C8780, ""en"", ""fa"")
"),"تکنیک های ایجاد رابطه و ایجاد ارتباط با مصاحبه شوندگان پادکست شما چیست؟")</f>
        <v>تکنیک های ایجاد رابطه و ایجاد ارتباط با مصاحبه شوندگان پادکست شما چیست؟</v>
      </c>
      <c r="H8780" s="1"/>
      <c r="I8780" s="1"/>
      <c r="J8780" s="1"/>
      <c r="K8780" s="1"/>
      <c r="L8780" s="1"/>
      <c r="M8780" s="1"/>
      <c r="N8780" s="1"/>
      <c r="O8780" s="1"/>
      <c r="P8780" s="1"/>
      <c r="Q8780" s="1"/>
      <c r="R8780" s="1"/>
      <c r="S8780" s="1"/>
      <c r="T8780" s="1"/>
      <c r="U8780" s="1"/>
      <c r="V8780" s="1"/>
      <c r="W8780" s="1"/>
      <c r="X8780" s="1"/>
      <c r="Y8780" s="1"/>
      <c r="Z8780" s="1"/>
      <c r="AA8780" s="1"/>
      <c r="AB8780" s="1"/>
    </row>
    <row r="8781" ht="50.25" customHeight="1">
      <c r="A8781" s="12">
        <v>8777.0</v>
      </c>
      <c r="B8781" s="13" t="s">
        <v>8699</v>
      </c>
      <c r="C8781" s="18" t="s">
        <v>8807</v>
      </c>
      <c r="D8781" s="1"/>
      <c r="E8781" s="1"/>
      <c r="F8781" s="1" t="str">
        <f>IFERROR(__xludf.DUMMYFUNCTION("GOOGLETRANSLATE(B8781, ""en"", ""fa"")
"),"موفقیت در پادکست")</f>
        <v>موفقیت در پادکست</v>
      </c>
      <c r="G8781" s="1" t="str">
        <f>IFERROR(__xludf.DUMMYFUNCTION("GOOGLETRANSLATE(C8781, ""en"", ""fa"")
"),"چگونه عناصر داستان سرایی را در مصاحبه های پادکست خود بگنجانیم تا مخاطبان خود را مجذوب خود کنیم؟")</f>
        <v>چگونه عناصر داستان سرایی را در مصاحبه های پادکست خود بگنجانیم تا مخاطبان خود را مجذوب خود کنیم؟</v>
      </c>
      <c r="H8781" s="1"/>
      <c r="I8781" s="1"/>
      <c r="J8781" s="1"/>
      <c r="K8781" s="1"/>
      <c r="L8781" s="1"/>
      <c r="M8781" s="1"/>
      <c r="N8781" s="1"/>
      <c r="O8781" s="1"/>
      <c r="P8781" s="1"/>
      <c r="Q8781" s="1"/>
      <c r="R8781" s="1"/>
      <c r="S8781" s="1"/>
      <c r="T8781" s="1"/>
      <c r="U8781" s="1"/>
      <c r="V8781" s="1"/>
      <c r="W8781" s="1"/>
      <c r="X8781" s="1"/>
      <c r="Y8781" s="1"/>
      <c r="Z8781" s="1"/>
      <c r="AA8781" s="1"/>
      <c r="AB8781" s="1"/>
    </row>
    <row r="8782" ht="50.25" customHeight="1">
      <c r="A8782" s="12">
        <v>8778.0</v>
      </c>
      <c r="B8782" s="13" t="s">
        <v>8699</v>
      </c>
      <c r="C8782" s="18" t="s">
        <v>8808</v>
      </c>
      <c r="D8782" s="1"/>
      <c r="E8782" s="1"/>
      <c r="F8782" s="1" t="str">
        <f>IFERROR(__xludf.DUMMYFUNCTION("GOOGLETRANSLATE(B8782, ""en"", ""fa"")
"),"موفقیت در پادکست")</f>
        <v>موفقیت در پادکست</v>
      </c>
      <c r="G8782" s="1" t="str">
        <f>IFERROR(__xludf.DUMMYFUNCTION("GOOGLETRANSLATE(C8782, ""en"", ""fa"")
"),"راهبردهای انجام مصاحبه های پادکست از راه دور و حفظ کیفیت و اتصال صدا چیست؟")</f>
        <v>راهبردهای انجام مصاحبه های پادکست از راه دور و حفظ کیفیت و اتصال صدا چیست؟</v>
      </c>
      <c r="H8782" s="1"/>
      <c r="I8782" s="1"/>
      <c r="J8782" s="1"/>
      <c r="K8782" s="1"/>
      <c r="L8782" s="1"/>
      <c r="M8782" s="1"/>
      <c r="N8782" s="1"/>
      <c r="O8782" s="1"/>
      <c r="P8782" s="1"/>
      <c r="Q8782" s="1"/>
      <c r="R8782" s="1"/>
      <c r="S8782" s="1"/>
      <c r="T8782" s="1"/>
      <c r="U8782" s="1"/>
      <c r="V8782" s="1"/>
      <c r="W8782" s="1"/>
      <c r="X8782" s="1"/>
      <c r="Y8782" s="1"/>
      <c r="Z8782" s="1"/>
      <c r="AA8782" s="1"/>
      <c r="AB8782" s="1"/>
    </row>
    <row r="8783" ht="50.25" customHeight="1">
      <c r="A8783" s="12">
        <v>8779.0</v>
      </c>
      <c r="B8783" s="13" t="s">
        <v>8699</v>
      </c>
      <c r="C8783" s="18" t="s">
        <v>8809</v>
      </c>
      <c r="D8783" s="1"/>
      <c r="E8783" s="1"/>
      <c r="F8783" s="1" t="str">
        <f>IFERROR(__xludf.DUMMYFUNCTION("GOOGLETRANSLATE(B8783, ""en"", ""fa"")
"),"موفقیت در پادکست")</f>
        <v>موفقیت در پادکست</v>
      </c>
      <c r="G8783" s="1" t="str">
        <f>IFERROR(__xludf.DUMMYFUNCTION("GOOGLETRANSLATE(C8783, ""en"", ""fa"")
"),"چگونه سبک مصاحبه خود را با انواع مختلف مهمانان، مانند متخصصان، افراد مشهور یا افراد روزمره تطبیق دهید؟")</f>
        <v>چگونه سبک مصاحبه خود را با انواع مختلف مهمانان، مانند متخصصان، افراد مشهور یا افراد روزمره تطبیق دهید؟</v>
      </c>
      <c r="H8783" s="1"/>
      <c r="I8783" s="1"/>
      <c r="J8783" s="1"/>
      <c r="K8783" s="1"/>
      <c r="L8783" s="1"/>
      <c r="M8783" s="1"/>
      <c r="N8783" s="1"/>
      <c r="O8783" s="1"/>
      <c r="P8783" s="1"/>
      <c r="Q8783" s="1"/>
      <c r="R8783" s="1"/>
      <c r="S8783" s="1"/>
      <c r="T8783" s="1"/>
      <c r="U8783" s="1"/>
      <c r="V8783" s="1"/>
      <c r="W8783" s="1"/>
      <c r="X8783" s="1"/>
      <c r="Y8783" s="1"/>
      <c r="Z8783" s="1"/>
      <c r="AA8783" s="1"/>
      <c r="AB8783" s="1"/>
    </row>
    <row r="8784" ht="50.25" customHeight="1">
      <c r="A8784" s="12">
        <v>8780.0</v>
      </c>
      <c r="B8784" s="13" t="s">
        <v>8699</v>
      </c>
      <c r="C8784" s="18" t="s">
        <v>8810</v>
      </c>
      <c r="D8784" s="1"/>
      <c r="E8784" s="1"/>
      <c r="F8784" s="1" t="str">
        <f>IFERROR(__xludf.DUMMYFUNCTION("GOOGLETRANSLATE(B8784, ""en"", ""fa"")
"),"موفقیت در پادکست")</f>
        <v>موفقیت در پادکست</v>
      </c>
      <c r="G8784" s="1" t="str">
        <f>IFERROR(__xludf.DUMMYFUNCTION("GOOGLETRANSLATE(C8784, ""en"", ""fa"")
"),"تکنیک های موثر برای انجام مصاحبه های عمیق و جامع پادکست که بینش ارزشمندی را در اختیار مخاطبان شما قرار می دهد چیست؟")</f>
        <v>تکنیک های موثر برای انجام مصاحبه های عمیق و جامع پادکست که بینش ارزشمندی را در اختیار مخاطبان شما قرار می دهد چیست؟</v>
      </c>
      <c r="H8784" s="1"/>
      <c r="I8784" s="1"/>
      <c r="J8784" s="1"/>
      <c r="K8784" s="1"/>
      <c r="L8784" s="1"/>
      <c r="M8784" s="1"/>
      <c r="N8784" s="1"/>
      <c r="O8784" s="1"/>
      <c r="P8784" s="1"/>
      <c r="Q8784" s="1"/>
      <c r="R8784" s="1"/>
      <c r="S8784" s="1"/>
      <c r="T8784" s="1"/>
      <c r="U8784" s="1"/>
      <c r="V8784" s="1"/>
      <c r="W8784" s="1"/>
      <c r="X8784" s="1"/>
      <c r="Y8784" s="1"/>
      <c r="Z8784" s="1"/>
      <c r="AA8784" s="1"/>
      <c r="AB8784" s="1"/>
    </row>
    <row r="8785" ht="50.25" customHeight="1">
      <c r="A8785" s="12">
        <v>8781.0</v>
      </c>
      <c r="B8785" s="13" t="s">
        <v>8699</v>
      </c>
      <c r="C8785" s="18" t="s">
        <v>8811</v>
      </c>
      <c r="D8785" s="1"/>
      <c r="E8785" s="1"/>
      <c r="F8785" s="1" t="str">
        <f>IFERROR(__xludf.DUMMYFUNCTION("GOOGLETRANSLATE(B8785, ""en"", ""fa"")
"),"موفقیت در پادکست")</f>
        <v>موفقیت در پادکست</v>
      </c>
      <c r="G8785" s="1" t="str">
        <f>IFERROR(__xludf.DUMMYFUNCTION("GOOGLETRANSLATE(C8785, ""en"", ""fa"")
"),"چگونه در طول مصاحبه های پادکست خود تعادلی بین سؤالات مصاحبه ساختاریافته و سؤالات بعدی خود به خود ایجاد کنیم؟")</f>
        <v>چگونه در طول مصاحبه های پادکست خود تعادلی بین سؤالات مصاحبه ساختاریافته و سؤالات بعدی خود به خود ایجاد کنیم؟</v>
      </c>
      <c r="H8785" s="1"/>
      <c r="I8785" s="1"/>
      <c r="J8785" s="1"/>
      <c r="K8785" s="1"/>
      <c r="L8785" s="1"/>
      <c r="M8785" s="1"/>
      <c r="N8785" s="1"/>
      <c r="O8785" s="1"/>
      <c r="P8785" s="1"/>
      <c r="Q8785" s="1"/>
      <c r="R8785" s="1"/>
      <c r="S8785" s="1"/>
      <c r="T8785" s="1"/>
      <c r="U8785" s="1"/>
      <c r="V8785" s="1"/>
      <c r="W8785" s="1"/>
      <c r="X8785" s="1"/>
      <c r="Y8785" s="1"/>
      <c r="Z8785" s="1"/>
      <c r="AA8785" s="1"/>
      <c r="AB8785" s="1"/>
    </row>
    <row r="8786" ht="50.25" customHeight="1">
      <c r="A8786" s="12">
        <v>8782.0</v>
      </c>
      <c r="B8786" s="13" t="s">
        <v>8699</v>
      </c>
      <c r="C8786" s="18" t="s">
        <v>8812</v>
      </c>
      <c r="D8786" s="1"/>
      <c r="E8786" s="1"/>
      <c r="F8786" s="1" t="str">
        <f>IFERROR(__xludf.DUMMYFUNCTION("GOOGLETRANSLATE(B8786, ""en"", ""fa"")
"),"موفقیت در پادکست")</f>
        <v>موفقیت در پادکست</v>
      </c>
      <c r="G8786" s="1" t="str">
        <f>IFERROR(__xludf.DUMMYFUNCTION("GOOGLETRANSLATE(C8786, ""en"", ""fa"")
"),"راهبردهای انجام مکالمات جذاب و پویا با مصاحبه شوندگان پادکست شما چیست؟")</f>
        <v>راهبردهای انجام مکالمات جذاب و پویا با مصاحبه شوندگان پادکست شما چیست؟</v>
      </c>
      <c r="H8786" s="1"/>
      <c r="I8786" s="1"/>
      <c r="J8786" s="1"/>
      <c r="K8786" s="1"/>
      <c r="L8786" s="1"/>
      <c r="M8786" s="1"/>
      <c r="N8786" s="1"/>
      <c r="O8786" s="1"/>
      <c r="P8786" s="1"/>
      <c r="Q8786" s="1"/>
      <c r="R8786" s="1"/>
      <c r="S8786" s="1"/>
      <c r="T8786" s="1"/>
      <c r="U8786" s="1"/>
      <c r="V8786" s="1"/>
      <c r="W8786" s="1"/>
      <c r="X8786" s="1"/>
      <c r="Y8786" s="1"/>
      <c r="Z8786" s="1"/>
      <c r="AA8786" s="1"/>
      <c r="AB8786" s="1"/>
    </row>
    <row r="8787" ht="50.25" customHeight="1">
      <c r="A8787" s="12">
        <v>8783.0</v>
      </c>
      <c r="B8787" s="13" t="s">
        <v>8699</v>
      </c>
      <c r="C8787" s="18" t="s">
        <v>8813</v>
      </c>
      <c r="D8787" s="1"/>
      <c r="E8787" s="1"/>
      <c r="F8787" s="1" t="str">
        <f>IFERROR(__xludf.DUMMYFUNCTION("GOOGLETRANSLATE(B8787, ""en"", ""fa"")
"),"موفقیت در پادکست")</f>
        <v>موفقیت در پادکست</v>
      </c>
      <c r="G8787" s="1" t="str">
        <f>IFERROR(__xludf.DUMMYFUNCTION("GOOGLETRANSLATE(C8787, ""en"", ""fa"")
"),"چگونه می توان با وقفه ها، مماس ها یا انحرافات در طول مصاحبه پادکست برخورد کرد و مکالمه را به مسیر اصلی هدایت کرد؟")</f>
        <v>چگونه می توان با وقفه ها، مماس ها یا انحرافات در طول مصاحبه پادکست برخورد کرد و مکالمه را به مسیر اصلی هدایت کرد؟</v>
      </c>
      <c r="H8787" s="1"/>
      <c r="I8787" s="1"/>
      <c r="J8787" s="1"/>
      <c r="K8787" s="1"/>
      <c r="L8787" s="1"/>
      <c r="M8787" s="1"/>
      <c r="N8787" s="1"/>
      <c r="O8787" s="1"/>
      <c r="P8787" s="1"/>
      <c r="Q8787" s="1"/>
      <c r="R8787" s="1"/>
      <c r="S8787" s="1"/>
      <c r="T8787" s="1"/>
      <c r="U8787" s="1"/>
      <c r="V8787" s="1"/>
      <c r="W8787" s="1"/>
      <c r="X8787" s="1"/>
      <c r="Y8787" s="1"/>
      <c r="Z8787" s="1"/>
      <c r="AA8787" s="1"/>
      <c r="AB8787" s="1"/>
    </row>
    <row r="8788" ht="50.25" customHeight="1">
      <c r="A8788" s="12">
        <v>8784.0</v>
      </c>
      <c r="B8788" s="13" t="s">
        <v>8699</v>
      </c>
      <c r="C8788" s="18" t="s">
        <v>8814</v>
      </c>
      <c r="D8788" s="1"/>
      <c r="E8788" s="1"/>
      <c r="F8788" s="1" t="str">
        <f>IFERROR(__xludf.DUMMYFUNCTION("GOOGLETRANSLATE(B8788, ""en"", ""fa"")
"),"موفقیت در پادکست")</f>
        <v>موفقیت در پادکست</v>
      </c>
      <c r="G8788" s="1" t="str">
        <f>IFERROR(__xludf.DUMMYFUNCTION("GOOGLETRANSLATE(C8788, ""en"", ""fa"")
"),"تکنیک های ایجاد یک جریان گفتگو و ریتم طبیعی در مصاحبه های پادکست شما چیست؟")</f>
        <v>تکنیک های ایجاد یک جریان گفتگو و ریتم طبیعی در مصاحبه های پادکست شما چیست؟</v>
      </c>
      <c r="H8788" s="1"/>
      <c r="I8788" s="1"/>
      <c r="J8788" s="1"/>
      <c r="K8788" s="1"/>
      <c r="L8788" s="1"/>
      <c r="M8788" s="1"/>
      <c r="N8788" s="1"/>
      <c r="O8788" s="1"/>
      <c r="P8788" s="1"/>
      <c r="Q8788" s="1"/>
      <c r="R8788" s="1"/>
      <c r="S8788" s="1"/>
      <c r="T8788" s="1"/>
      <c r="U8788" s="1"/>
      <c r="V8788" s="1"/>
      <c r="W8788" s="1"/>
      <c r="X8788" s="1"/>
      <c r="Y8788" s="1"/>
      <c r="Z8788" s="1"/>
      <c r="AA8788" s="1"/>
      <c r="AB8788" s="1"/>
    </row>
    <row r="8789" ht="50.25" customHeight="1">
      <c r="A8789" s="12">
        <v>8785.0</v>
      </c>
      <c r="B8789" s="13" t="s">
        <v>8699</v>
      </c>
      <c r="C8789" s="18" t="s">
        <v>8815</v>
      </c>
      <c r="D8789" s="1"/>
      <c r="E8789" s="1"/>
      <c r="F8789" s="1" t="str">
        <f>IFERROR(__xludf.DUMMYFUNCTION("GOOGLETRANSLATE(B8789, ""en"", ""fa"")
"),"موفقیت در پادکست")</f>
        <v>موفقیت در پادکست</v>
      </c>
      <c r="G8789" s="1" t="str">
        <f>IFERROR(__xludf.DUMMYFUNCTION("GOOGLETRANSLATE(C8789, ""en"", ""fa"")
"),"چگونه می توان از سوالات باز برای تشویق پاسخ های دقیق و متفکرانه از مصاحبه شوندگان پادکست خود استفاده کرد؟")</f>
        <v>چگونه می توان از سوالات باز برای تشویق پاسخ های دقیق و متفکرانه از مصاحبه شوندگان پادکست خود استفاده کرد؟</v>
      </c>
      <c r="H8789" s="1"/>
      <c r="I8789" s="1"/>
      <c r="J8789" s="1"/>
      <c r="K8789" s="1"/>
      <c r="L8789" s="1"/>
      <c r="M8789" s="1"/>
      <c r="N8789" s="1"/>
      <c r="O8789" s="1"/>
      <c r="P8789" s="1"/>
      <c r="Q8789" s="1"/>
      <c r="R8789" s="1"/>
      <c r="S8789" s="1"/>
      <c r="T8789" s="1"/>
      <c r="U8789" s="1"/>
      <c r="V8789" s="1"/>
      <c r="W8789" s="1"/>
      <c r="X8789" s="1"/>
      <c r="Y8789" s="1"/>
      <c r="Z8789" s="1"/>
      <c r="AA8789" s="1"/>
      <c r="AB8789" s="1"/>
    </row>
    <row r="8790" ht="50.25" customHeight="1">
      <c r="A8790" s="12">
        <v>8786.0</v>
      </c>
      <c r="B8790" s="13" t="s">
        <v>8699</v>
      </c>
      <c r="C8790" s="18" t="s">
        <v>8816</v>
      </c>
      <c r="D8790" s="1"/>
      <c r="E8790" s="1"/>
      <c r="F8790" s="1" t="str">
        <f>IFERROR(__xludf.DUMMYFUNCTION("GOOGLETRANSLATE(B8790, ""en"", ""fa"")
"),"موفقیت در پادکست")</f>
        <v>موفقیت در پادکست</v>
      </c>
      <c r="G8790" s="1" t="str">
        <f>IFERROR(__xludf.DUMMYFUNCTION("GOOGLETRANSLATE(C8790, ""en"", ""fa"")
"),"راهبردهایی برای ایجاد یک محیط امن و حمایتی برای مصاحبه شوندگان پادکست شما برای به اشتراک گذاشتن داستان ها یا تجربیات خود چیست؟")</f>
        <v>راهبردهایی برای ایجاد یک محیط امن و حمایتی برای مصاحبه شوندگان پادکست شما برای به اشتراک گذاشتن داستان ها یا تجربیات خود چیست؟</v>
      </c>
      <c r="H8790" s="1"/>
      <c r="I8790" s="1"/>
      <c r="J8790" s="1"/>
      <c r="K8790" s="1"/>
      <c r="L8790" s="1"/>
      <c r="M8790" s="1"/>
      <c r="N8790" s="1"/>
      <c r="O8790" s="1"/>
      <c r="P8790" s="1"/>
      <c r="Q8790" s="1"/>
      <c r="R8790" s="1"/>
      <c r="S8790" s="1"/>
      <c r="T8790" s="1"/>
      <c r="U8790" s="1"/>
      <c r="V8790" s="1"/>
      <c r="W8790" s="1"/>
      <c r="X8790" s="1"/>
      <c r="Y8790" s="1"/>
      <c r="Z8790" s="1"/>
      <c r="AA8790" s="1"/>
      <c r="AB8790" s="1"/>
    </row>
    <row r="8791" ht="50.25" customHeight="1">
      <c r="A8791" s="12">
        <v>8787.0</v>
      </c>
      <c r="B8791" s="13" t="s">
        <v>8699</v>
      </c>
      <c r="C8791" s="18" t="s">
        <v>8817</v>
      </c>
      <c r="D8791" s="1"/>
      <c r="E8791" s="1"/>
      <c r="F8791" s="1" t="str">
        <f>IFERROR(__xludf.DUMMYFUNCTION("GOOGLETRANSLATE(B8791, ""en"", ""fa"")
"),"موفقیت در پادکست")</f>
        <v>موفقیت در پادکست</v>
      </c>
      <c r="G8791" s="1" t="str">
        <f>IFERROR(__xludf.DUMMYFUNCTION("GOOGLETRANSLATE(C8791, ""en"", ""fa"")
"),"چگونه می توان زمان را به طور مؤثر مدیریت کرد و از یک مصاحبه پادکست خوب در مدت زمان قسمت تعیین شده اطمینان حاصل کرد؟")</f>
        <v>چگونه می توان زمان را به طور مؤثر مدیریت کرد و از یک مصاحبه پادکست خوب در مدت زمان قسمت تعیین شده اطمینان حاصل کرد؟</v>
      </c>
      <c r="H8791" s="1"/>
      <c r="I8791" s="1"/>
      <c r="J8791" s="1"/>
      <c r="K8791" s="1"/>
      <c r="L8791" s="1"/>
      <c r="M8791" s="1"/>
      <c r="N8791" s="1"/>
      <c r="O8791" s="1"/>
      <c r="P8791" s="1"/>
      <c r="Q8791" s="1"/>
      <c r="R8791" s="1"/>
      <c r="S8791" s="1"/>
      <c r="T8791" s="1"/>
      <c r="U8791" s="1"/>
      <c r="V8791" s="1"/>
      <c r="W8791" s="1"/>
      <c r="X8791" s="1"/>
      <c r="Y8791" s="1"/>
      <c r="Z8791" s="1"/>
      <c r="AA8791" s="1"/>
      <c r="AB8791" s="1"/>
    </row>
    <row r="8792" ht="50.25" customHeight="1">
      <c r="A8792" s="12">
        <v>8788.0</v>
      </c>
      <c r="B8792" s="13" t="s">
        <v>8699</v>
      </c>
      <c r="C8792" s="18" t="s">
        <v>8818</v>
      </c>
      <c r="D8792" s="1"/>
      <c r="E8792" s="1"/>
      <c r="F8792" s="1" t="str">
        <f>IFERROR(__xludf.DUMMYFUNCTION("GOOGLETRANSLATE(B8792, ""en"", ""fa"")
"),"موفقیت در پادکست")</f>
        <v>موفقیت در پادکست</v>
      </c>
      <c r="G8792" s="1" t="str">
        <f>IFERROR(__xludf.DUMMYFUNCTION("GOOGLETRANSLATE(C8792, ""en"", ""fa"")
"),"تکنیک های ترکیب سوالات ارسالی از سوی مخاطب یا تماس های زنده در طول مصاحبه های پادکست شما چیست؟")</f>
        <v>تکنیک های ترکیب سوالات ارسالی از سوی مخاطب یا تماس های زنده در طول مصاحبه های پادکست شما چیست؟</v>
      </c>
      <c r="H8792" s="1"/>
      <c r="I8792" s="1"/>
      <c r="J8792" s="1"/>
      <c r="K8792" s="1"/>
      <c r="L8792" s="1"/>
      <c r="M8792" s="1"/>
      <c r="N8792" s="1"/>
      <c r="O8792" s="1"/>
      <c r="P8792" s="1"/>
      <c r="Q8792" s="1"/>
      <c r="R8792" s="1"/>
      <c r="S8792" s="1"/>
      <c r="T8792" s="1"/>
      <c r="U8792" s="1"/>
      <c r="V8792" s="1"/>
      <c r="W8792" s="1"/>
      <c r="X8792" s="1"/>
      <c r="Y8792" s="1"/>
      <c r="Z8792" s="1"/>
      <c r="AA8792" s="1"/>
      <c r="AB8792" s="1"/>
    </row>
    <row r="8793" ht="50.25" customHeight="1">
      <c r="A8793" s="12">
        <v>8789.0</v>
      </c>
      <c r="B8793" s="13" t="s">
        <v>8699</v>
      </c>
      <c r="C8793" s="18" t="s">
        <v>8819</v>
      </c>
      <c r="D8793" s="1"/>
      <c r="E8793" s="1"/>
      <c r="F8793" s="1" t="str">
        <f>IFERROR(__xludf.DUMMYFUNCTION("GOOGLETRANSLATE(B8793, ""en"", ""fa"")
"),"موفقیت در پادکست")</f>
        <v>موفقیت در پادکست</v>
      </c>
      <c r="G8793" s="1" t="str">
        <f>IFERROR(__xludf.DUMMYFUNCTION("GOOGLETRANSLATE(C8793, ""en"", ""fa"")
"),"چگونه از تکنیک‌های گوش دادن فعال، مانند آینه‌سازی، بازنویسی، یا شفاف‌سازی برای نشان دادن دقت در مصاحبه‌های پادکست خود استفاده کنیم؟")</f>
        <v>چگونه از تکنیک‌های گوش دادن فعال، مانند آینه‌سازی، بازنویسی، یا شفاف‌سازی برای نشان دادن دقت در مصاحبه‌های پادکست خود استفاده کنیم؟</v>
      </c>
      <c r="H8793" s="1"/>
      <c r="I8793" s="1"/>
      <c r="J8793" s="1"/>
      <c r="K8793" s="1"/>
      <c r="L8793" s="1"/>
      <c r="M8793" s="1"/>
      <c r="N8793" s="1"/>
      <c r="O8793" s="1"/>
      <c r="P8793" s="1"/>
      <c r="Q8793" s="1"/>
      <c r="R8793" s="1"/>
      <c r="S8793" s="1"/>
      <c r="T8793" s="1"/>
      <c r="U8793" s="1"/>
      <c r="V8793" s="1"/>
      <c r="W8793" s="1"/>
      <c r="X8793" s="1"/>
      <c r="Y8793" s="1"/>
      <c r="Z8793" s="1"/>
      <c r="AA8793" s="1"/>
      <c r="AB8793" s="1"/>
    </row>
    <row r="8794" ht="50.25" customHeight="1">
      <c r="A8794" s="12">
        <v>8790.0</v>
      </c>
      <c r="B8794" s="13" t="s">
        <v>8699</v>
      </c>
      <c r="C8794" s="18" t="s">
        <v>8820</v>
      </c>
      <c r="D8794" s="1"/>
      <c r="E8794" s="1"/>
      <c r="F8794" s="1" t="str">
        <f>IFERROR(__xludf.DUMMYFUNCTION("GOOGLETRANSLATE(B8794, ""en"", ""fa"")
"),"موفقیت در پادکست")</f>
        <v>موفقیت در پادکست</v>
      </c>
      <c r="G8794" s="1" t="str">
        <f>IFERROR(__xludf.DUMMYFUNCTION("GOOGLETRANSLATE(C8794, ""en"", ""fa"")
"),"چه راهکارهایی برای انطباق سبک مصاحبه خود برای تطبیق با شخصیت ها یا سبک های ارتباطی مختلف مصاحبه شوندگان پادکست شما وجود دارد؟")</f>
        <v>چه راهکارهایی برای انطباق سبک مصاحبه خود برای تطبیق با شخصیت ها یا سبک های ارتباطی مختلف مصاحبه شوندگان پادکست شما وجود دارد؟</v>
      </c>
      <c r="H8794" s="1"/>
      <c r="I8794" s="1"/>
      <c r="J8794" s="1"/>
      <c r="K8794" s="1"/>
      <c r="L8794" s="1"/>
      <c r="M8794" s="1"/>
      <c r="N8794" s="1"/>
      <c r="O8794" s="1"/>
      <c r="P8794" s="1"/>
      <c r="Q8794" s="1"/>
      <c r="R8794" s="1"/>
      <c r="S8794" s="1"/>
      <c r="T8794" s="1"/>
      <c r="U8794" s="1"/>
      <c r="V8794" s="1"/>
      <c r="W8794" s="1"/>
      <c r="X8794" s="1"/>
      <c r="Y8794" s="1"/>
      <c r="Z8794" s="1"/>
      <c r="AA8794" s="1"/>
      <c r="AB8794" s="1"/>
    </row>
    <row r="8795" ht="50.25" customHeight="1">
      <c r="A8795" s="12">
        <v>8791.0</v>
      </c>
      <c r="B8795" s="13" t="s">
        <v>8699</v>
      </c>
      <c r="C8795" s="18" t="s">
        <v>8821</v>
      </c>
      <c r="D8795" s="1"/>
      <c r="E8795" s="1"/>
      <c r="F8795" s="1" t="str">
        <f>IFERROR(__xludf.DUMMYFUNCTION("GOOGLETRANSLATE(B8795, ""en"", ""fa"")
"),"موفقیت در پادکست")</f>
        <v>موفقیت در پادکست</v>
      </c>
      <c r="G8795" s="1" t="str">
        <f>IFERROR(__xludf.DUMMYFUNCTION("GOOGLETRANSLATE(C8795, ""en"", ""fa"")
"),"چگونه می توان سوالات مصاحبه را ایجاد کرد که احساسات، آسیب پذیری یا بینش شخصی را از مصاحبه شوندگان پادکست شما برانگیزد؟")</f>
        <v>چگونه می توان سوالات مصاحبه را ایجاد کرد که احساسات، آسیب پذیری یا بینش شخصی را از مصاحبه شوندگان پادکست شما برانگیزد؟</v>
      </c>
      <c r="H8795" s="1"/>
      <c r="I8795" s="1"/>
      <c r="J8795" s="1"/>
      <c r="K8795" s="1"/>
      <c r="L8795" s="1"/>
      <c r="M8795" s="1"/>
      <c r="N8795" s="1"/>
      <c r="O8795" s="1"/>
      <c r="P8795" s="1"/>
      <c r="Q8795" s="1"/>
      <c r="R8795" s="1"/>
      <c r="S8795" s="1"/>
      <c r="T8795" s="1"/>
      <c r="U8795" s="1"/>
      <c r="V8795" s="1"/>
      <c r="W8795" s="1"/>
      <c r="X8795" s="1"/>
      <c r="Y8795" s="1"/>
      <c r="Z8795" s="1"/>
      <c r="AA8795" s="1"/>
      <c r="AB8795" s="1"/>
    </row>
    <row r="8796" ht="50.25" customHeight="1">
      <c r="A8796" s="12">
        <v>8792.0</v>
      </c>
      <c r="B8796" s="13" t="s">
        <v>8699</v>
      </c>
      <c r="C8796" s="18" t="s">
        <v>8822</v>
      </c>
      <c r="D8796" s="1"/>
      <c r="E8796" s="1"/>
      <c r="F8796" s="1" t="str">
        <f>IFERROR(__xludf.DUMMYFUNCTION("GOOGLETRANSLATE(B8796, ""en"", ""fa"")
"),"موفقیت در پادکست")</f>
        <v>موفقیت در پادکست</v>
      </c>
      <c r="G8796" s="1" t="str">
        <f>IFERROR(__xludf.DUMMYFUNCTION("GOOGLETRANSLATE(C8796, ""en"", ""fa"")
"),"تکنیک‌هایی برای انجام مصاحبه‌های پادکست که توصیه‌ها، راهنمایی‌ها یا استراتژی‌های عملی را برای مخاطبان شما ارائه می‌دهند چیست؟")</f>
        <v>تکنیک‌هایی برای انجام مصاحبه‌های پادکست که توصیه‌ها، راهنمایی‌ها یا استراتژی‌های عملی را برای مخاطبان شما ارائه می‌دهند چیست؟</v>
      </c>
      <c r="H8796" s="1"/>
      <c r="I8796" s="1"/>
      <c r="J8796" s="1"/>
      <c r="K8796" s="1"/>
      <c r="L8796" s="1"/>
      <c r="M8796" s="1"/>
      <c r="N8796" s="1"/>
      <c r="O8796" s="1"/>
      <c r="P8796" s="1"/>
      <c r="Q8796" s="1"/>
      <c r="R8796" s="1"/>
      <c r="S8796" s="1"/>
      <c r="T8796" s="1"/>
      <c r="U8796" s="1"/>
      <c r="V8796" s="1"/>
      <c r="W8796" s="1"/>
      <c r="X8796" s="1"/>
      <c r="Y8796" s="1"/>
      <c r="Z8796" s="1"/>
      <c r="AA8796" s="1"/>
      <c r="AB8796" s="1"/>
    </row>
    <row r="8797" ht="50.25" customHeight="1">
      <c r="A8797" s="12">
        <v>8793.0</v>
      </c>
      <c r="B8797" s="13" t="s">
        <v>8699</v>
      </c>
      <c r="C8797" s="18" t="s">
        <v>8823</v>
      </c>
      <c r="D8797" s="1"/>
      <c r="E8797" s="1"/>
      <c r="F8797" s="1" t="str">
        <f>IFERROR(__xludf.DUMMYFUNCTION("GOOGLETRANSLATE(B8797, ""en"", ""fa"")
"),"موفقیت در پادکست")</f>
        <v>موفقیت در پادکست</v>
      </c>
      <c r="G8797" s="1" t="str">
        <f>IFERROR(__xludf.DUMMYFUNCTION("GOOGLETRANSLATE(C8797, ""en"", ""fa"")
"),"چگونه می توان با اختلاف نظرها یا نظرات متفاوت در طول مصاحبه پادکست برخورد کرد و گفت و گوی محترمانه و سازنده را تقویت کرد؟")</f>
        <v>چگونه می توان با اختلاف نظرها یا نظرات متفاوت در طول مصاحبه پادکست برخورد کرد و گفت و گوی محترمانه و سازنده را تقویت کرد؟</v>
      </c>
      <c r="H8797" s="1"/>
      <c r="I8797" s="1"/>
      <c r="J8797" s="1"/>
      <c r="K8797" s="1"/>
      <c r="L8797" s="1"/>
      <c r="M8797" s="1"/>
      <c r="N8797" s="1"/>
      <c r="O8797" s="1"/>
      <c r="P8797" s="1"/>
      <c r="Q8797" s="1"/>
      <c r="R8797" s="1"/>
      <c r="S8797" s="1"/>
      <c r="T8797" s="1"/>
      <c r="U8797" s="1"/>
      <c r="V8797" s="1"/>
      <c r="W8797" s="1"/>
      <c r="X8797" s="1"/>
      <c r="Y8797" s="1"/>
      <c r="Z8797" s="1"/>
      <c r="AA8797" s="1"/>
      <c r="AB8797" s="1"/>
    </row>
    <row r="8798" ht="50.25" customHeight="1">
      <c r="A8798" s="12">
        <v>8794.0</v>
      </c>
      <c r="B8798" s="13" t="s">
        <v>8699</v>
      </c>
      <c r="C8798" s="18" t="s">
        <v>8824</v>
      </c>
      <c r="D8798" s="1"/>
      <c r="E8798" s="1"/>
      <c r="F8798" s="1" t="str">
        <f>IFERROR(__xludf.DUMMYFUNCTION("GOOGLETRANSLATE(B8798, ""en"", ""fa"")
"),"موفقیت در پادکست")</f>
        <v>موفقیت در پادکست</v>
      </c>
      <c r="G8798" s="1" t="str">
        <f>IFERROR(__xludf.DUMMYFUNCTION("GOOGLETRANSLATE(C8798, ""en"", ""fa"")
"),"استراتژی‌های انجام مصاحبه‌های پادکست که داستان‌ها، دیدگاه‌ها یا بینش‌های منحصربه‌فردی را از مهمانان شما آشکار می‌کند چیست؟")</f>
        <v>استراتژی‌های انجام مصاحبه‌های پادکست که داستان‌ها، دیدگاه‌ها یا بینش‌های منحصربه‌فردی را از مهمانان شما آشکار می‌کند چیست؟</v>
      </c>
      <c r="H8798" s="1"/>
      <c r="I8798" s="1"/>
      <c r="J8798" s="1"/>
      <c r="K8798" s="1"/>
      <c r="L8798" s="1"/>
      <c r="M8798" s="1"/>
      <c r="N8798" s="1"/>
      <c r="O8798" s="1"/>
      <c r="P8798" s="1"/>
      <c r="Q8798" s="1"/>
      <c r="R8798" s="1"/>
      <c r="S8798" s="1"/>
      <c r="T8798" s="1"/>
      <c r="U8798" s="1"/>
      <c r="V8798" s="1"/>
      <c r="W8798" s="1"/>
      <c r="X8798" s="1"/>
      <c r="Y8798" s="1"/>
      <c r="Z8798" s="1"/>
      <c r="AA8798" s="1"/>
      <c r="AB8798" s="1"/>
    </row>
    <row r="8799" ht="50.25" customHeight="1">
      <c r="A8799" s="12">
        <v>8795.0</v>
      </c>
      <c r="B8799" s="13" t="s">
        <v>8699</v>
      </c>
      <c r="C8799" s="18" t="s">
        <v>8825</v>
      </c>
      <c r="D8799" s="1"/>
      <c r="E8799" s="1"/>
      <c r="F8799" s="1" t="str">
        <f>IFERROR(__xludf.DUMMYFUNCTION("GOOGLETRANSLATE(B8799, ""en"", ""fa"")
"),"موفقیت در پادکست")</f>
        <v>موفقیت در پادکست</v>
      </c>
      <c r="G8799" s="1" t="str">
        <f>IFERROR(__xludf.DUMMYFUNCTION("GOOGLETRANSLATE(C8799, ""en"", ""fa"")
"),"چگونه می توان به طور مؤثر یک مصاحبه پادکست را به پایان رساند و تأثیر ماندگاری بر مصاحبه شوندگان و مخاطبان پادکست خود گذاشت؟")</f>
        <v>چگونه می توان به طور مؤثر یک مصاحبه پادکست را به پایان رساند و تأثیر ماندگاری بر مصاحبه شوندگان و مخاطبان پادکست خود گذاشت؟</v>
      </c>
      <c r="H8799" s="1"/>
      <c r="I8799" s="1"/>
      <c r="J8799" s="1"/>
      <c r="K8799" s="1"/>
      <c r="L8799" s="1"/>
      <c r="M8799" s="1"/>
      <c r="N8799" s="1"/>
      <c r="O8799" s="1"/>
      <c r="P8799" s="1"/>
      <c r="Q8799" s="1"/>
      <c r="R8799" s="1"/>
      <c r="S8799" s="1"/>
      <c r="T8799" s="1"/>
      <c r="U8799" s="1"/>
      <c r="V8799" s="1"/>
      <c r="W8799" s="1"/>
      <c r="X8799" s="1"/>
      <c r="Y8799" s="1"/>
      <c r="Z8799" s="1"/>
      <c r="AA8799" s="1"/>
      <c r="AB8799" s="1"/>
    </row>
    <row r="8800" ht="50.25" customHeight="1">
      <c r="A8800" s="12">
        <v>8796.0</v>
      </c>
      <c r="B8800" s="13" t="s">
        <v>8699</v>
      </c>
      <c r="C8800" s="18" t="s">
        <v>8826</v>
      </c>
      <c r="D8800" s="1"/>
      <c r="E8800" s="1"/>
      <c r="F8800" s="1" t="str">
        <f>IFERROR(__xludf.DUMMYFUNCTION("GOOGLETRANSLATE(B8800, ""en"", ""fa"")
"),"موفقیت در پادکست")</f>
        <v>موفقیت در پادکست</v>
      </c>
      <c r="G8800" s="1" t="str">
        <f>IFERROR(__xludf.DUMMYFUNCTION("GOOGLETRANSLATE(C8800, ""en"", ""fa"")
"),"تکنیک‌های گنجاندن تکنیک‌های داستان‌گویی، مانند حکایت‌ها یا قوس‌های روایی، در مصاحبه‌های پادکست شما چیست؟")</f>
        <v>تکنیک‌های گنجاندن تکنیک‌های داستان‌گویی، مانند حکایت‌ها یا قوس‌های روایی، در مصاحبه‌های پادکست شما چیست؟</v>
      </c>
      <c r="H8800" s="1"/>
      <c r="I8800" s="1"/>
      <c r="J8800" s="1"/>
      <c r="K8800" s="1"/>
      <c r="L8800" s="1"/>
      <c r="M8800" s="1"/>
      <c r="N8800" s="1"/>
      <c r="O8800" s="1"/>
      <c r="P8800" s="1"/>
      <c r="Q8800" s="1"/>
      <c r="R8800" s="1"/>
      <c r="S8800" s="1"/>
      <c r="T8800" s="1"/>
      <c r="U8800" s="1"/>
      <c r="V8800" s="1"/>
      <c r="W8800" s="1"/>
      <c r="X8800" s="1"/>
      <c r="Y8800" s="1"/>
      <c r="Z8800" s="1"/>
      <c r="AA8800" s="1"/>
      <c r="AB8800" s="1"/>
    </row>
    <row r="8801" ht="50.25" customHeight="1">
      <c r="A8801" s="12">
        <v>8797.0</v>
      </c>
      <c r="B8801" s="13" t="s">
        <v>8699</v>
      </c>
      <c r="C8801" s="18" t="s">
        <v>8827</v>
      </c>
      <c r="D8801" s="1"/>
      <c r="E8801" s="1"/>
      <c r="F8801" s="1" t="str">
        <f>IFERROR(__xludf.DUMMYFUNCTION("GOOGLETRANSLATE(B8801, ""en"", ""fa"")
"),"موفقیت در پادکست")</f>
        <v>موفقیت در پادکست</v>
      </c>
      <c r="G8801" s="1" t="str">
        <f>IFERROR(__xludf.DUMMYFUNCTION("GOOGLETRANSLATE(C8801, ""en"", ""fa"")
"),"چگونه سؤالات مصاحبه ایجاد کنید که الهام بخش درون نگری، تأمل یا رشد شخصی در مصاحبه شوندگان پادکست شما باشد؟")</f>
        <v>چگونه سؤالات مصاحبه ایجاد کنید که الهام بخش درون نگری، تأمل یا رشد شخصی در مصاحبه شوندگان پادکست شما باشد؟</v>
      </c>
      <c r="H8801" s="1"/>
      <c r="I8801" s="1"/>
      <c r="J8801" s="1"/>
      <c r="K8801" s="1"/>
      <c r="L8801" s="1"/>
      <c r="M8801" s="1"/>
      <c r="N8801" s="1"/>
      <c r="O8801" s="1"/>
      <c r="P8801" s="1"/>
      <c r="Q8801" s="1"/>
      <c r="R8801" s="1"/>
      <c r="S8801" s="1"/>
      <c r="T8801" s="1"/>
      <c r="U8801" s="1"/>
      <c r="V8801" s="1"/>
      <c r="W8801" s="1"/>
      <c r="X8801" s="1"/>
      <c r="Y8801" s="1"/>
      <c r="Z8801" s="1"/>
      <c r="AA8801" s="1"/>
      <c r="AB8801" s="1"/>
    </row>
    <row r="8802" ht="50.25" customHeight="1">
      <c r="A8802" s="12">
        <v>8798.0</v>
      </c>
      <c r="B8802" s="13" t="s">
        <v>8699</v>
      </c>
      <c r="C8802" s="18" t="s">
        <v>8828</v>
      </c>
      <c r="D8802" s="1"/>
      <c r="E8802" s="1"/>
      <c r="F8802" s="1" t="str">
        <f>IFERROR(__xludf.DUMMYFUNCTION("GOOGLETRANSLATE(B8802, ""en"", ""fa"")
"),"موفقیت در پادکست")</f>
        <v>موفقیت در پادکست</v>
      </c>
      <c r="G8802" s="1" t="str">
        <f>IFERROR(__xludf.DUMMYFUNCTION("GOOGLETRANSLATE(C8802, ""en"", ""fa"")
"),"راهبردهای انجام مصاحبه های پادکست با چند مهمان یا بحث های پنل برای ارائه دیدگاه های متنوع در مورد یک موضوع چیست؟")</f>
        <v>راهبردهای انجام مصاحبه های پادکست با چند مهمان یا بحث های پنل برای ارائه دیدگاه های متنوع در مورد یک موضوع چیست؟</v>
      </c>
      <c r="H8802" s="1"/>
      <c r="I8802" s="1"/>
      <c r="J8802" s="1"/>
      <c r="K8802" s="1"/>
      <c r="L8802" s="1"/>
      <c r="M8802" s="1"/>
      <c r="N8802" s="1"/>
      <c r="O8802" s="1"/>
      <c r="P8802" s="1"/>
      <c r="Q8802" s="1"/>
      <c r="R8802" s="1"/>
      <c r="S8802" s="1"/>
      <c r="T8802" s="1"/>
      <c r="U8802" s="1"/>
      <c r="V8802" s="1"/>
      <c r="W8802" s="1"/>
      <c r="X8802" s="1"/>
      <c r="Y8802" s="1"/>
      <c r="Z8802" s="1"/>
      <c r="AA8802" s="1"/>
      <c r="AB8802" s="1"/>
    </row>
    <row r="8803" ht="50.25" customHeight="1">
      <c r="A8803" s="12">
        <v>8799.0</v>
      </c>
      <c r="B8803" s="13" t="s">
        <v>8699</v>
      </c>
      <c r="C8803" s="18" t="s">
        <v>8829</v>
      </c>
      <c r="D8803" s="1"/>
      <c r="E8803" s="1"/>
      <c r="F8803" s="1" t="str">
        <f>IFERROR(__xludf.DUMMYFUNCTION("GOOGLETRANSLATE(B8803, ""en"", ""fa"")
"),"موفقیت در پادکست")</f>
        <v>موفقیت در پادکست</v>
      </c>
      <c r="G8803" s="1" t="str">
        <f>IFERROR(__xludf.DUMMYFUNCTION("GOOGLETRANSLATE(C8803, ""en"", ""fa"")
"),"چگونه می توان با مصاحبه شوندگان پادکست عصبی یا بی تجربه برخورد کرد و یک محیط حمایتی و تشویقی برای آنها ایجاد کرد؟")</f>
        <v>چگونه می توان با مصاحبه شوندگان پادکست عصبی یا بی تجربه برخورد کرد و یک محیط حمایتی و تشویقی برای آنها ایجاد کرد؟</v>
      </c>
      <c r="H8803" s="1"/>
      <c r="I8803" s="1"/>
      <c r="J8803" s="1"/>
      <c r="K8803" s="1"/>
      <c r="L8803" s="1"/>
      <c r="M8803" s="1"/>
      <c r="N8803" s="1"/>
      <c r="O8803" s="1"/>
      <c r="P8803" s="1"/>
      <c r="Q8803" s="1"/>
      <c r="R8803" s="1"/>
      <c r="S8803" s="1"/>
      <c r="T8803" s="1"/>
      <c r="U8803" s="1"/>
      <c r="V8803" s="1"/>
      <c r="W8803" s="1"/>
      <c r="X8803" s="1"/>
      <c r="Y8803" s="1"/>
      <c r="Z8803" s="1"/>
      <c r="AA8803" s="1"/>
      <c r="AB8803" s="1"/>
    </row>
    <row r="8804" ht="50.25" customHeight="1">
      <c r="A8804" s="12">
        <v>8800.0</v>
      </c>
      <c r="B8804" s="13" t="s">
        <v>8699</v>
      </c>
      <c r="C8804" s="18" t="s">
        <v>8830</v>
      </c>
      <c r="D8804" s="1"/>
      <c r="E8804" s="1"/>
      <c r="F8804" s="1" t="str">
        <f>IFERROR(__xludf.DUMMYFUNCTION("GOOGLETRANSLATE(B8804, ""en"", ""fa"")
"),"موفقیت در پادکست")</f>
        <v>موفقیت در پادکست</v>
      </c>
      <c r="G8804" s="1" t="str">
        <f>IFERROR(__xludf.DUMMYFUNCTION("GOOGLETRANSLATE(C8804, ""en"", ""fa"")
"),"تکنیک‌های انجام مصاحبه‌های پادکست که جواهرات پنهان، حقایق کمتر شناخته شده یا افشاگری‌های غافلگیرکننده از مهمانان شما را آشکار می‌کند، چیست؟")</f>
        <v>تکنیک‌های انجام مصاحبه‌های پادکست که جواهرات پنهان، حقایق کمتر شناخته شده یا افشاگری‌های غافلگیرکننده از مهمانان شما را آشکار می‌کند، چیست؟</v>
      </c>
      <c r="H8804" s="1"/>
      <c r="I8804" s="1"/>
      <c r="J8804" s="1"/>
      <c r="K8804" s="1"/>
      <c r="L8804" s="1"/>
      <c r="M8804" s="1"/>
      <c r="N8804" s="1"/>
      <c r="O8804" s="1"/>
      <c r="P8804" s="1"/>
      <c r="Q8804" s="1"/>
      <c r="R8804" s="1"/>
      <c r="S8804" s="1"/>
      <c r="T8804" s="1"/>
      <c r="U8804" s="1"/>
      <c r="V8804" s="1"/>
      <c r="W8804" s="1"/>
      <c r="X8804" s="1"/>
      <c r="Y8804" s="1"/>
      <c r="Z8804" s="1"/>
      <c r="AA8804" s="1"/>
      <c r="AB8804" s="1"/>
    </row>
    <row r="8805" ht="50.25" customHeight="1">
      <c r="A8805" s="12">
        <v>8801.0</v>
      </c>
      <c r="B8805" s="13" t="s">
        <v>8699</v>
      </c>
      <c r="C8805" s="18" t="s">
        <v>8831</v>
      </c>
      <c r="D8805" s="1"/>
      <c r="E8805" s="1"/>
      <c r="F8805" s="1" t="str">
        <f>IFERROR(__xludf.DUMMYFUNCTION("GOOGLETRANSLATE(B8805, ""en"", ""fa"")
"),"موفقیت در پادکست")</f>
        <v>موفقیت در پادکست</v>
      </c>
      <c r="G8805" s="1" t="str">
        <f>IFERROR(__xludf.DUMMYFUNCTION("GOOGLETRANSLATE(C8805, ""en"", ""fa"")
"),"چگونه می توان به طور موثر از سکوت یا مکث در طول مصاحبه پادکست استفاده کرد تا به مهمان خود اجازه دهد افکار خود را جمع کند یا بینش بیشتری ارائه دهد؟")</f>
        <v>چگونه می توان به طور موثر از سکوت یا مکث در طول مصاحبه پادکست استفاده کرد تا به مهمان خود اجازه دهد افکار خود را جمع کند یا بینش بیشتری ارائه دهد؟</v>
      </c>
      <c r="H8805" s="1"/>
      <c r="I8805" s="1"/>
      <c r="J8805" s="1"/>
      <c r="K8805" s="1"/>
      <c r="L8805" s="1"/>
      <c r="M8805" s="1"/>
      <c r="N8805" s="1"/>
      <c r="O8805" s="1"/>
      <c r="P8805" s="1"/>
      <c r="Q8805" s="1"/>
      <c r="R8805" s="1"/>
      <c r="S8805" s="1"/>
      <c r="T8805" s="1"/>
      <c r="U8805" s="1"/>
      <c r="V8805" s="1"/>
      <c r="W8805" s="1"/>
      <c r="X8805" s="1"/>
      <c r="Y8805" s="1"/>
      <c r="Z8805" s="1"/>
      <c r="AA8805" s="1"/>
      <c r="AB8805" s="1"/>
    </row>
    <row r="8806" ht="50.25" customHeight="1">
      <c r="A8806" s="12">
        <v>8802.0</v>
      </c>
      <c r="B8806" s="13" t="s">
        <v>8699</v>
      </c>
      <c r="C8806" s="18" t="s">
        <v>8832</v>
      </c>
      <c r="D8806" s="1"/>
      <c r="E8806" s="1"/>
      <c r="F8806" s="1" t="str">
        <f>IFERROR(__xludf.DUMMYFUNCTION("GOOGLETRANSLATE(B8806, ""en"", ""fa"")
"),"موفقیت در پادکست")</f>
        <v>موفقیت در پادکست</v>
      </c>
      <c r="G8806" s="1" t="str">
        <f>IFERROR(__xludf.DUMMYFUNCTION("GOOGLETRANSLATE(C8806, ""en"", ""fa"")
"),"چه راهکارهایی برای انجام مصاحبه های پادکست وجود دارد که به مخاطبان شما در مورد موضوعات پیچیده یا فنی آموزش داده و آگاه می کند؟")</f>
        <v>چه راهکارهایی برای انجام مصاحبه های پادکست وجود دارد که به مخاطبان شما در مورد موضوعات پیچیده یا فنی آموزش داده و آگاه می کند؟</v>
      </c>
      <c r="H8806" s="1"/>
      <c r="I8806" s="1"/>
      <c r="J8806" s="1"/>
      <c r="K8806" s="1"/>
      <c r="L8806" s="1"/>
      <c r="M8806" s="1"/>
      <c r="N8806" s="1"/>
      <c r="O8806" s="1"/>
      <c r="P8806" s="1"/>
      <c r="Q8806" s="1"/>
      <c r="R8806" s="1"/>
      <c r="S8806" s="1"/>
      <c r="T8806" s="1"/>
      <c r="U8806" s="1"/>
      <c r="V8806" s="1"/>
      <c r="W8806" s="1"/>
      <c r="X8806" s="1"/>
      <c r="Y8806" s="1"/>
      <c r="Z8806" s="1"/>
      <c r="AA8806" s="1"/>
      <c r="AB8806" s="1"/>
    </row>
    <row r="8807" ht="50.25" customHeight="1">
      <c r="A8807" s="12">
        <v>8803.0</v>
      </c>
      <c r="B8807" s="13" t="s">
        <v>8699</v>
      </c>
      <c r="C8807" s="18" t="s">
        <v>8833</v>
      </c>
      <c r="D8807" s="1"/>
      <c r="E8807" s="1"/>
      <c r="F8807" s="1" t="str">
        <f>IFERROR(__xludf.DUMMYFUNCTION("GOOGLETRANSLATE(B8807, ""en"", ""fa"")
"),"موفقیت در پادکست")</f>
        <v>موفقیت در پادکست</v>
      </c>
      <c r="G8807" s="1" t="str">
        <f>IFERROR(__xludf.DUMMYFUNCTION("GOOGLETRANSLATE(C8807, ""en"", ""fa"")
"),"چگونه در یک مصاحبه پادکست یک قوس روایی یا پیشرفت داستان قانع کننده ایجاد کنیم تا شنوندگان خود را درگیر کند؟")</f>
        <v>چگونه در یک مصاحبه پادکست یک قوس روایی یا پیشرفت داستان قانع کننده ایجاد کنیم تا شنوندگان خود را درگیر کند؟</v>
      </c>
      <c r="H8807" s="1"/>
      <c r="I8807" s="1"/>
      <c r="J8807" s="1"/>
      <c r="K8807" s="1"/>
      <c r="L8807" s="1"/>
      <c r="M8807" s="1"/>
      <c r="N8807" s="1"/>
      <c r="O8807" s="1"/>
      <c r="P8807" s="1"/>
      <c r="Q8807" s="1"/>
      <c r="R8807" s="1"/>
      <c r="S8807" s="1"/>
      <c r="T8807" s="1"/>
      <c r="U8807" s="1"/>
      <c r="V8807" s="1"/>
      <c r="W8807" s="1"/>
      <c r="X8807" s="1"/>
      <c r="Y8807" s="1"/>
      <c r="Z8807" s="1"/>
      <c r="AA8807" s="1"/>
      <c r="AB8807" s="1"/>
    </row>
    <row r="8808" ht="50.25" customHeight="1">
      <c r="A8808" s="12">
        <v>8804.0</v>
      </c>
      <c r="B8808" s="13" t="s">
        <v>8699</v>
      </c>
      <c r="C8808" s="18" t="s">
        <v>8834</v>
      </c>
      <c r="D8808" s="1"/>
      <c r="E8808" s="1"/>
      <c r="F8808" s="1" t="str">
        <f>IFERROR(__xludf.DUMMYFUNCTION("GOOGLETRANSLATE(B8808, ""en"", ""fa"")
"),"موفقیت در پادکست")</f>
        <v>موفقیت در پادکست</v>
      </c>
      <c r="G8808" s="1" t="str">
        <f>IFERROR(__xludf.DUMMYFUNCTION("GOOGLETRANSLATE(C8808, ""en"", ""fa"")
"),"برای ایجاد فضایی آرام و لذت بخش، چه تکنیک هایی برای گنجاندن طنز یا لحظات آرام در مصاحبه های پادکست خود وجود دارد. چگونه می توان با مصاحبه شوندگانی که ممکن است در طول مصاحبه پادکست محافظت شود یا تمایلی به به اشتراک گذاشتن اطلاعات خاصی ندارند، هدایت شود؟")</f>
        <v>برای ایجاد فضایی آرام و لذت بخش، چه تکنیک هایی برای گنجاندن طنز یا لحظات آرام در مصاحبه های پادکست خود وجود دارد. چگونه می توان با مصاحبه شوندگانی که ممکن است در طول مصاحبه پادکست محافظت شود یا تمایلی به به اشتراک گذاشتن اطلاعات خاصی ندارند، هدایت شود؟</v>
      </c>
      <c r="H8808" s="1"/>
      <c r="I8808" s="1"/>
      <c r="J8808" s="1"/>
      <c r="K8808" s="1"/>
      <c r="L8808" s="1"/>
      <c r="M8808" s="1"/>
      <c r="N8808" s="1"/>
      <c r="O8808" s="1"/>
      <c r="P8808" s="1"/>
      <c r="Q8808" s="1"/>
      <c r="R8808" s="1"/>
      <c r="S8808" s="1"/>
      <c r="T8808" s="1"/>
      <c r="U8808" s="1"/>
      <c r="V8808" s="1"/>
      <c r="W8808" s="1"/>
      <c r="X8808" s="1"/>
      <c r="Y8808" s="1"/>
      <c r="Z8808" s="1"/>
      <c r="AA8808" s="1"/>
      <c r="AB8808" s="1"/>
    </row>
    <row r="8809" ht="50.25" customHeight="1">
      <c r="A8809" s="12">
        <v>8805.0</v>
      </c>
      <c r="B8809" s="13" t="s">
        <v>8699</v>
      </c>
      <c r="C8809" s="18" t="s">
        <v>8835</v>
      </c>
      <c r="D8809" s="1"/>
      <c r="E8809" s="1"/>
      <c r="F8809" s="1" t="str">
        <f>IFERROR(__xludf.DUMMYFUNCTION("GOOGLETRANSLATE(B8809, ""en"", ""fa"")
"),"موفقیت در پادکست")</f>
        <v>موفقیت در پادکست</v>
      </c>
      <c r="G8809" s="1" t="str">
        <f>IFERROR(__xludf.DUMMYFUNCTION("GOOGLETRANSLATE(C8809, ""en"", ""fa"")
"),"استراتژی‌های انجام مصاحبه‌های پادکست که تحولات شخصی، سفرها یا درس‌های آموخته شده را بررسی می‌کند، چیست؟")</f>
        <v>استراتژی‌های انجام مصاحبه‌های پادکست که تحولات شخصی، سفرها یا درس‌های آموخته شده را بررسی می‌کند، چیست؟</v>
      </c>
      <c r="H8809" s="1"/>
      <c r="I8809" s="1"/>
      <c r="J8809" s="1"/>
      <c r="K8809" s="1"/>
      <c r="L8809" s="1"/>
      <c r="M8809" s="1"/>
      <c r="N8809" s="1"/>
      <c r="O8809" s="1"/>
      <c r="P8809" s="1"/>
      <c r="Q8809" s="1"/>
      <c r="R8809" s="1"/>
      <c r="S8809" s="1"/>
      <c r="T8809" s="1"/>
      <c r="U8809" s="1"/>
      <c r="V8809" s="1"/>
      <c r="W8809" s="1"/>
      <c r="X8809" s="1"/>
      <c r="Y8809" s="1"/>
      <c r="Z8809" s="1"/>
      <c r="AA8809" s="1"/>
      <c r="AB8809" s="1"/>
    </row>
    <row r="8810" ht="50.25" customHeight="1">
      <c r="A8810" s="12">
        <v>8806.0</v>
      </c>
      <c r="B8810" s="13" t="s">
        <v>8699</v>
      </c>
      <c r="C8810" s="18" t="s">
        <v>8836</v>
      </c>
      <c r="D8810" s="1"/>
      <c r="E8810" s="1"/>
      <c r="F8810" s="1" t="str">
        <f>IFERROR(__xludf.DUMMYFUNCTION("GOOGLETRANSLATE(B8810, ""en"", ""fa"")
"),"موفقیت در پادکست")</f>
        <v>موفقیت در پادکست</v>
      </c>
      <c r="G8810" s="1" t="str">
        <f>IFERROR(__xludf.DUMMYFUNCTION("GOOGLETRANSLATE(C8810, ""en"", ""fa"")
"),"چگونه سبک و لحن مصاحبه خود را بر اساس ژانر یا موضوع پادکست خود و انتظارات مخاطبان خود تطبیق دهید؟")</f>
        <v>چگونه سبک و لحن مصاحبه خود را بر اساس ژانر یا موضوع پادکست خود و انتظارات مخاطبان خود تطبیق دهید؟</v>
      </c>
      <c r="H8810" s="1"/>
      <c r="I8810" s="1"/>
      <c r="J8810" s="1"/>
      <c r="K8810" s="1"/>
      <c r="L8810" s="1"/>
      <c r="M8810" s="1"/>
      <c r="N8810" s="1"/>
      <c r="O8810" s="1"/>
      <c r="P8810" s="1"/>
      <c r="Q8810" s="1"/>
      <c r="R8810" s="1"/>
      <c r="S8810" s="1"/>
      <c r="T8810" s="1"/>
      <c r="U8810" s="1"/>
      <c r="V8810" s="1"/>
      <c r="W8810" s="1"/>
      <c r="X8810" s="1"/>
      <c r="Y8810" s="1"/>
      <c r="Z8810" s="1"/>
      <c r="AA8810" s="1"/>
      <c r="AB8810" s="1"/>
    </row>
    <row r="8811" ht="50.25" customHeight="1">
      <c r="A8811" s="12">
        <v>8807.0</v>
      </c>
      <c r="B8811" s="13" t="s">
        <v>8699</v>
      </c>
      <c r="C8811" s="18" t="s">
        <v>8837</v>
      </c>
      <c r="D8811" s="1"/>
      <c r="E8811" s="1"/>
      <c r="F8811" s="1" t="str">
        <f>IFERROR(__xludf.DUMMYFUNCTION("GOOGLETRANSLATE(B8811, ""en"", ""fa"")
"),"موفقیت در پادکست")</f>
        <v>موفقیت در پادکست</v>
      </c>
      <c r="G8811" s="1" t="str">
        <f>IFERROR(__xludf.DUMMYFUNCTION("GOOGLETRANSLATE(C8811, ""en"", ""fa"")
"),"تکنیک های انجام مصاحبه های پادکست با متخصصان به گونه ای که دانش و بینش تخصصی آن ها استخراج شود چیست؟")</f>
        <v>تکنیک های انجام مصاحبه های پادکست با متخصصان به گونه ای که دانش و بینش تخصصی آن ها استخراج شود چیست؟</v>
      </c>
      <c r="H8811" s="1"/>
      <c r="I8811" s="1"/>
      <c r="J8811" s="1"/>
      <c r="K8811" s="1"/>
      <c r="L8811" s="1"/>
      <c r="M8811" s="1"/>
      <c r="N8811" s="1"/>
      <c r="O8811" s="1"/>
      <c r="P8811" s="1"/>
      <c r="Q8811" s="1"/>
      <c r="R8811" s="1"/>
      <c r="S8811" s="1"/>
      <c r="T8811" s="1"/>
      <c r="U8811" s="1"/>
      <c r="V8811" s="1"/>
      <c r="W8811" s="1"/>
      <c r="X8811" s="1"/>
      <c r="Y8811" s="1"/>
      <c r="Z8811" s="1"/>
      <c r="AA8811" s="1"/>
      <c r="AB8811" s="1"/>
    </row>
    <row r="8812" ht="50.25" customHeight="1">
      <c r="A8812" s="12">
        <v>8808.0</v>
      </c>
      <c r="B8812" s="13" t="s">
        <v>8699</v>
      </c>
      <c r="C8812" s="18" t="s">
        <v>8838</v>
      </c>
      <c r="D8812" s="1"/>
      <c r="E8812" s="1"/>
      <c r="F8812" s="1" t="str">
        <f>IFERROR(__xludf.DUMMYFUNCTION("GOOGLETRANSLATE(B8812, ""en"", ""fa"")
"),"موفقیت در پادکست")</f>
        <v>موفقیت در پادکست</v>
      </c>
      <c r="G8812" s="1" t="str">
        <f>IFERROR(__xludf.DUMMYFUNCTION("GOOGLETRANSLATE(C8812, ""en"", ""fa"")
"),"چگونه می توان با وقفه ها، مشکلات فنی یا چالش های غیرمنتظره در طول مصاحبه زنده پادکست برخورد کرد؟")</f>
        <v>چگونه می توان با وقفه ها، مشکلات فنی یا چالش های غیرمنتظره در طول مصاحبه زنده پادکست برخورد کرد؟</v>
      </c>
      <c r="H8812" s="1"/>
      <c r="I8812" s="1"/>
      <c r="J8812" s="1"/>
      <c r="K8812" s="1"/>
      <c r="L8812" s="1"/>
      <c r="M8812" s="1"/>
      <c r="N8812" s="1"/>
      <c r="O8812" s="1"/>
      <c r="P8812" s="1"/>
      <c r="Q8812" s="1"/>
      <c r="R8812" s="1"/>
      <c r="S8812" s="1"/>
      <c r="T8812" s="1"/>
      <c r="U8812" s="1"/>
      <c r="V8812" s="1"/>
      <c r="W8812" s="1"/>
      <c r="X8812" s="1"/>
      <c r="Y8812" s="1"/>
      <c r="Z8812" s="1"/>
      <c r="AA8812" s="1"/>
      <c r="AB8812" s="1"/>
    </row>
    <row r="8813" ht="50.25" customHeight="1">
      <c r="A8813" s="12">
        <v>8809.0</v>
      </c>
      <c r="B8813" s="13" t="s">
        <v>8699</v>
      </c>
      <c r="C8813" s="18" t="s">
        <v>8839</v>
      </c>
      <c r="D8813" s="1"/>
      <c r="E8813" s="1"/>
      <c r="F8813" s="1" t="str">
        <f>IFERROR(__xludf.DUMMYFUNCTION("GOOGLETRANSLATE(B8813, ""en"", ""fa"")
"),"موفقیت در پادکست")</f>
        <v>موفقیت در پادکست</v>
      </c>
      <c r="G8813" s="1" t="str">
        <f>IFERROR(__xludf.DUMMYFUNCTION("GOOGLETRANSLATE(C8813, ""en"", ""fa"")
"),"استراتژی‌هایی برای انجام مصاحبه‌های پادکست که الهام‌بخش تغییرات عملی هستند یا به شنوندگان انگیزه می‌دهند تا تلاش‌های جدید را دنبال کنند، چیست؟")</f>
        <v>استراتژی‌هایی برای انجام مصاحبه‌های پادکست که الهام‌بخش تغییرات عملی هستند یا به شنوندگان انگیزه می‌دهند تا تلاش‌های جدید را دنبال کنند، چیست؟</v>
      </c>
      <c r="H8813" s="1"/>
      <c r="I8813" s="1"/>
      <c r="J8813" s="1"/>
      <c r="K8813" s="1"/>
      <c r="L8813" s="1"/>
      <c r="M8813" s="1"/>
      <c r="N8813" s="1"/>
      <c r="O8813" s="1"/>
      <c r="P8813" s="1"/>
      <c r="Q8813" s="1"/>
      <c r="R8813" s="1"/>
      <c r="S8813" s="1"/>
      <c r="T8813" s="1"/>
      <c r="U8813" s="1"/>
      <c r="V8813" s="1"/>
      <c r="W8813" s="1"/>
      <c r="X8813" s="1"/>
      <c r="Y8813" s="1"/>
      <c r="Z8813" s="1"/>
      <c r="AA8813" s="1"/>
      <c r="AB8813" s="1"/>
    </row>
    <row r="8814" ht="50.25" customHeight="1">
      <c r="A8814" s="12">
        <v>8810.0</v>
      </c>
      <c r="B8814" s="13" t="s">
        <v>8699</v>
      </c>
      <c r="C8814" s="18" t="s">
        <v>8840</v>
      </c>
      <c r="D8814" s="1"/>
      <c r="E8814" s="1"/>
      <c r="F8814" s="1" t="str">
        <f>IFERROR(__xludf.DUMMYFUNCTION("GOOGLETRANSLATE(B8814, ""en"", ""fa"")
"),"موفقیت در پادکست")</f>
        <v>موفقیت در پادکست</v>
      </c>
      <c r="G8814" s="1" t="str">
        <f>IFERROR(__xludf.DUMMYFUNCTION("GOOGLETRANSLATE(C8814, ""en"", ""fa"")
"),"چگونه می توان سوالات مصاحبه را ایجاد کرد که مصاحبه شوندگان پادکست شما را تشویق کند تا نکات، استراتژی ها یا منابع عملی را با مخاطبان به اشتراک بگذارند؟")</f>
        <v>چگونه می توان سوالات مصاحبه را ایجاد کرد که مصاحبه شوندگان پادکست شما را تشویق کند تا نکات، استراتژی ها یا منابع عملی را با مخاطبان به اشتراک بگذارند؟</v>
      </c>
      <c r="H8814" s="1"/>
      <c r="I8814" s="1"/>
      <c r="J8814" s="1"/>
      <c r="K8814" s="1"/>
      <c r="L8814" s="1"/>
      <c r="M8814" s="1"/>
      <c r="N8814" s="1"/>
      <c r="O8814" s="1"/>
      <c r="P8814" s="1"/>
      <c r="Q8814" s="1"/>
      <c r="R8814" s="1"/>
      <c r="S8814" s="1"/>
      <c r="T8814" s="1"/>
      <c r="U8814" s="1"/>
      <c r="V8814" s="1"/>
      <c r="W8814" s="1"/>
      <c r="X8814" s="1"/>
      <c r="Y8814" s="1"/>
      <c r="Z8814" s="1"/>
      <c r="AA8814" s="1"/>
      <c r="AB8814" s="1"/>
    </row>
    <row r="8815" ht="50.25" customHeight="1">
      <c r="A8815" s="12">
        <v>8811.0</v>
      </c>
      <c r="B8815" s="13" t="s">
        <v>8699</v>
      </c>
      <c r="C8815" s="18" t="s">
        <v>8841</v>
      </c>
      <c r="D8815" s="1"/>
      <c r="E8815" s="1"/>
      <c r="F8815" s="1" t="str">
        <f>IFERROR(__xludf.DUMMYFUNCTION("GOOGLETRANSLATE(B8815, ""en"", ""fa"")
"),"موفقیت در پادکست")</f>
        <v>موفقیت در پادکست</v>
      </c>
      <c r="G8815" s="1" t="str">
        <f>IFERROR(__xludf.DUMMYFUNCTION("GOOGLETRANSLATE(C8815, ""en"", ""fa"")
"),"تکنیک‌هایی برای انجام مصاحبه‌های پادکست که دیدگاه خودی یا بینش‌های پشت صحنه را در یک صنعت یا زمینه خاص ارائه می‌دهد چیست؟")</f>
        <v>تکنیک‌هایی برای انجام مصاحبه‌های پادکست که دیدگاه خودی یا بینش‌های پشت صحنه را در یک صنعت یا زمینه خاص ارائه می‌دهد چیست؟</v>
      </c>
      <c r="H8815" s="1"/>
      <c r="I8815" s="1"/>
      <c r="J8815" s="1"/>
      <c r="K8815" s="1"/>
      <c r="L8815" s="1"/>
      <c r="M8815" s="1"/>
      <c r="N8815" s="1"/>
      <c r="O8815" s="1"/>
      <c r="P8815" s="1"/>
      <c r="Q8815" s="1"/>
      <c r="R8815" s="1"/>
      <c r="S8815" s="1"/>
      <c r="T8815" s="1"/>
      <c r="U8815" s="1"/>
      <c r="V8815" s="1"/>
      <c r="W8815" s="1"/>
      <c r="X8815" s="1"/>
      <c r="Y8815" s="1"/>
      <c r="Z8815" s="1"/>
      <c r="AA8815" s="1"/>
      <c r="AB8815" s="1"/>
    </row>
    <row r="8816" ht="50.25" customHeight="1">
      <c r="A8816" s="12">
        <v>8812.0</v>
      </c>
      <c r="B8816" s="13" t="s">
        <v>8699</v>
      </c>
      <c r="C8816" s="18" t="s">
        <v>8842</v>
      </c>
      <c r="D8816" s="1"/>
      <c r="E8816" s="1"/>
      <c r="F8816" s="1" t="str">
        <f>IFERROR(__xludf.DUMMYFUNCTION("GOOGLETRANSLATE(B8816, ""en"", ""fa"")
"),"موفقیت در پادکست")</f>
        <v>موفقیت در پادکست</v>
      </c>
      <c r="G8816" s="1" t="str">
        <f>IFERROR(__xludf.DUMMYFUNCTION("GOOGLETRANSLATE(C8816, ""en"", ""fa"")
"),"چگونه تکنیک‌های مصاحبه خود را برای پادکست‌هایی که بر داستان‌ها، تجربیات یا سفرهای شخصی مصاحبه‌شوندگان تمرکز دارند، تطبیق دهید؟")</f>
        <v>چگونه تکنیک‌های مصاحبه خود را برای پادکست‌هایی که بر داستان‌ها، تجربیات یا سفرهای شخصی مصاحبه‌شوندگان تمرکز دارند، تطبیق دهید؟</v>
      </c>
      <c r="H8816" s="1"/>
      <c r="I8816" s="1"/>
      <c r="J8816" s="1"/>
      <c r="K8816" s="1"/>
      <c r="L8816" s="1"/>
      <c r="M8816" s="1"/>
      <c r="N8816" s="1"/>
      <c r="O8816" s="1"/>
      <c r="P8816" s="1"/>
      <c r="Q8816" s="1"/>
      <c r="R8816" s="1"/>
      <c r="S8816" s="1"/>
      <c r="T8816" s="1"/>
      <c r="U8816" s="1"/>
      <c r="V8816" s="1"/>
      <c r="W8816" s="1"/>
      <c r="X8816" s="1"/>
      <c r="Y8816" s="1"/>
      <c r="Z8816" s="1"/>
      <c r="AA8816" s="1"/>
      <c r="AB8816" s="1"/>
    </row>
    <row r="8817" ht="50.25" customHeight="1">
      <c r="A8817" s="12">
        <v>8813.0</v>
      </c>
      <c r="B8817" s="13" t="s">
        <v>8699</v>
      </c>
      <c r="C8817" s="18" t="s">
        <v>8843</v>
      </c>
      <c r="D8817" s="1"/>
      <c r="E8817" s="1"/>
      <c r="F8817" s="1" t="str">
        <f>IFERROR(__xludf.DUMMYFUNCTION("GOOGLETRANSLATE(B8817, ""en"", ""fa"")
"),"موفقیت در پادکست")</f>
        <v>موفقیت در پادکست</v>
      </c>
      <c r="G8817" s="1" t="str">
        <f>IFERROR(__xludf.DUMMYFUNCTION("GOOGLETRANSLATE(C8817, ""en"", ""fa"")
"),"چه راهکارهایی برای انجام مصاحبه های پادکست با افراد با نفوذ یا شناخته شده وجود دارد تا از تعادل بین آشنایی و کنجکاوی اطمینان حاصل شود؟")</f>
        <v>چه راهکارهایی برای انجام مصاحبه های پادکست با افراد با نفوذ یا شناخته شده وجود دارد تا از تعادل بین آشنایی و کنجکاوی اطمینان حاصل شود؟</v>
      </c>
      <c r="H8817" s="1"/>
      <c r="I8817" s="1"/>
      <c r="J8817" s="1"/>
      <c r="K8817" s="1"/>
      <c r="L8817" s="1"/>
      <c r="M8817" s="1"/>
      <c r="N8817" s="1"/>
      <c r="O8817" s="1"/>
      <c r="P8817" s="1"/>
      <c r="Q8817" s="1"/>
      <c r="R8817" s="1"/>
      <c r="S8817" s="1"/>
      <c r="T8817" s="1"/>
      <c r="U8817" s="1"/>
      <c r="V8817" s="1"/>
      <c r="W8817" s="1"/>
      <c r="X8817" s="1"/>
      <c r="Y8817" s="1"/>
      <c r="Z8817" s="1"/>
      <c r="AA8817" s="1"/>
      <c r="AB8817" s="1"/>
    </row>
    <row r="8818" ht="50.25" customHeight="1">
      <c r="A8818" s="12">
        <v>8814.0</v>
      </c>
      <c r="B8818" s="13" t="s">
        <v>8699</v>
      </c>
      <c r="C8818" s="18" t="s">
        <v>8844</v>
      </c>
      <c r="D8818" s="1"/>
      <c r="E8818" s="1"/>
      <c r="F8818" s="1" t="str">
        <f>IFERROR(__xludf.DUMMYFUNCTION("GOOGLETRANSLATE(B8818, ""en"", ""fa"")
"),"موفقیت در پادکست")</f>
        <v>موفقیت در پادکست</v>
      </c>
      <c r="G8818" s="1" t="str">
        <f>IFERROR(__xludf.DUMMYFUNCTION("GOOGLETRANSLATE(C8818, ""en"", ""fa"")
"),"چگونه در طول مصاحبه پادکست، از طریق چت زنده، تعامل با رسانه های اجتماعی، یا سؤالات ارسالی از سوی شنوندگان، تعامل با مخاطب را در خود جای دهیم؟")</f>
        <v>چگونه در طول مصاحبه پادکست، از طریق چت زنده، تعامل با رسانه های اجتماعی، یا سؤالات ارسالی از سوی شنوندگان، تعامل با مخاطب را در خود جای دهیم؟</v>
      </c>
      <c r="H8818" s="1"/>
      <c r="I8818" s="1"/>
      <c r="J8818" s="1"/>
      <c r="K8818" s="1"/>
      <c r="L8818" s="1"/>
      <c r="M8818" s="1"/>
      <c r="N8818" s="1"/>
      <c r="O8818" s="1"/>
      <c r="P8818" s="1"/>
      <c r="Q8818" s="1"/>
      <c r="R8818" s="1"/>
      <c r="S8818" s="1"/>
      <c r="T8818" s="1"/>
      <c r="U8818" s="1"/>
      <c r="V8818" s="1"/>
      <c r="W8818" s="1"/>
      <c r="X8818" s="1"/>
      <c r="Y8818" s="1"/>
      <c r="Z8818" s="1"/>
      <c r="AA8818" s="1"/>
      <c r="AB8818" s="1"/>
    </row>
    <row r="8819" ht="50.25" customHeight="1">
      <c r="A8819" s="12">
        <v>8815.0</v>
      </c>
      <c r="B8819" s="13" t="s">
        <v>8699</v>
      </c>
      <c r="C8819" s="18" t="s">
        <v>8845</v>
      </c>
      <c r="D8819" s="1"/>
      <c r="E8819" s="1"/>
      <c r="F8819" s="1" t="str">
        <f>IFERROR(__xludf.DUMMYFUNCTION("GOOGLETRANSLATE(B8819, ""en"", ""fa"")
"),"موفقیت در پادکست")</f>
        <v>موفقیت در پادکست</v>
      </c>
      <c r="G8819" s="1" t="str">
        <f>IFERROR(__xludf.DUMMYFUNCTION("GOOGLETRANSLATE(C8819, ""en"", ""fa"")
"),"تکنیک‌های انجام مصاحبه‌های پادکست که موضوعات اجتماعی، کنش‌گری یا دلایل معنادار را روشن می‌کنند چیست؟")</f>
        <v>تکنیک‌های انجام مصاحبه‌های پادکست که موضوعات اجتماعی، کنش‌گری یا دلایل معنادار را روشن می‌کنند چیست؟</v>
      </c>
      <c r="H8819" s="1"/>
      <c r="I8819" s="1"/>
      <c r="J8819" s="1"/>
      <c r="K8819" s="1"/>
      <c r="L8819" s="1"/>
      <c r="M8819" s="1"/>
      <c r="N8819" s="1"/>
      <c r="O8819" s="1"/>
      <c r="P8819" s="1"/>
      <c r="Q8819" s="1"/>
      <c r="R8819" s="1"/>
      <c r="S8819" s="1"/>
      <c r="T8819" s="1"/>
      <c r="U8819" s="1"/>
      <c r="V8819" s="1"/>
      <c r="W8819" s="1"/>
      <c r="X8819" s="1"/>
      <c r="Y8819" s="1"/>
      <c r="Z8819" s="1"/>
      <c r="AA8819" s="1"/>
      <c r="AB8819" s="1"/>
    </row>
    <row r="8820" ht="50.25" customHeight="1">
      <c r="A8820" s="12">
        <v>8816.0</v>
      </c>
      <c r="B8820" s="13" t="s">
        <v>8699</v>
      </c>
      <c r="C8820" s="18" t="s">
        <v>8846</v>
      </c>
      <c r="D8820" s="1"/>
      <c r="E8820" s="1"/>
      <c r="F8820" s="1" t="str">
        <f>IFERROR(__xludf.DUMMYFUNCTION("GOOGLETRANSLATE(B8820, ""en"", ""fa"")
"),"موفقیت در پادکست")</f>
        <v>موفقیت در پادکست</v>
      </c>
      <c r="G8820" s="1" t="str">
        <f>IFERROR(__xludf.DUMMYFUNCTION("GOOGLETRANSLATE(C8820, ""en"", ""fa"")
"),"چگونه در طول یک مصاحبه پادکست، با حفظ جریان منسجم گفتگو، بین موضوعات یا بخش‌های مختلف جابه‌جا شوید؟")</f>
        <v>چگونه در طول یک مصاحبه پادکست، با حفظ جریان منسجم گفتگو، بین موضوعات یا بخش‌های مختلف جابه‌جا شوید؟</v>
      </c>
      <c r="H8820" s="1"/>
      <c r="I8820" s="1"/>
      <c r="J8820" s="1"/>
      <c r="K8820" s="1"/>
      <c r="L8820" s="1"/>
      <c r="M8820" s="1"/>
      <c r="N8820" s="1"/>
      <c r="O8820" s="1"/>
      <c r="P8820" s="1"/>
      <c r="Q8820" s="1"/>
      <c r="R8820" s="1"/>
      <c r="S8820" s="1"/>
      <c r="T8820" s="1"/>
      <c r="U8820" s="1"/>
      <c r="V8820" s="1"/>
      <c r="W8820" s="1"/>
      <c r="X8820" s="1"/>
      <c r="Y8820" s="1"/>
      <c r="Z8820" s="1"/>
      <c r="AA8820" s="1"/>
      <c r="AB8820" s="1"/>
    </row>
    <row r="8821" ht="50.25" customHeight="1">
      <c r="A8821" s="12">
        <v>8817.0</v>
      </c>
      <c r="B8821" s="13" t="s">
        <v>8699</v>
      </c>
      <c r="C8821" s="18" t="s">
        <v>8847</v>
      </c>
      <c r="D8821" s="1"/>
      <c r="E8821" s="1"/>
      <c r="F8821" s="1" t="str">
        <f>IFERROR(__xludf.DUMMYFUNCTION("GOOGLETRANSLATE(B8821, ""en"", ""fa"")
"),"موفقیت در پادکست")</f>
        <v>موفقیت در پادکست</v>
      </c>
      <c r="G8821" s="1" t="str">
        <f>IFERROR(__xludf.DUMMYFUNCTION("GOOGLETRANSLATE(C8821, ""en"", ""fa"")
"),"استراتژی‌های انجام مصاحبه‌های پادکست که تلاقی رشته‌ها، صنایع یا دیدگاه‌های مختلف را بررسی می‌کنند چیست؟")</f>
        <v>استراتژی‌های انجام مصاحبه‌های پادکست که تلاقی رشته‌ها، صنایع یا دیدگاه‌های مختلف را بررسی می‌کنند چیست؟</v>
      </c>
      <c r="H8821" s="1"/>
      <c r="I8821" s="1"/>
      <c r="J8821" s="1"/>
      <c r="K8821" s="1"/>
      <c r="L8821" s="1"/>
      <c r="M8821" s="1"/>
      <c r="N8821" s="1"/>
      <c r="O8821" s="1"/>
      <c r="P8821" s="1"/>
      <c r="Q8821" s="1"/>
      <c r="R8821" s="1"/>
      <c r="S8821" s="1"/>
      <c r="T8821" s="1"/>
      <c r="U8821" s="1"/>
      <c r="V8821" s="1"/>
      <c r="W8821" s="1"/>
      <c r="X8821" s="1"/>
      <c r="Y8821" s="1"/>
      <c r="Z8821" s="1"/>
      <c r="AA8821" s="1"/>
      <c r="AB8821" s="1"/>
    </row>
    <row r="8822" ht="50.25" customHeight="1">
      <c r="A8822" s="12">
        <v>8818.0</v>
      </c>
      <c r="B8822" s="13" t="s">
        <v>8699</v>
      </c>
      <c r="C8822" s="18" t="s">
        <v>8848</v>
      </c>
      <c r="D8822" s="1"/>
      <c r="E8822" s="1"/>
      <c r="F8822" s="1" t="str">
        <f>IFERROR(__xludf.DUMMYFUNCTION("GOOGLETRANSLATE(B8822, ""en"", ""fa"")
"),"موفقیت در پادکست")</f>
        <v>موفقیت در پادکست</v>
      </c>
      <c r="G8822" s="1" t="str">
        <f>IFERROR(__xludf.DUMMYFUNCTION("GOOGLETRANSLATE(C8822, ""en"", ""fa"")
"),"چگونه سوالات مصاحبه ای ایجاد کنیم که به تخصص، تجربیات یا دیدگاه های منحصر به فرد مصاحبه شوندگان پادکست شما کمک کند؟")</f>
        <v>چگونه سوالات مصاحبه ای ایجاد کنیم که به تخصص، تجربیات یا دیدگاه های منحصر به فرد مصاحبه شوندگان پادکست شما کمک کند؟</v>
      </c>
      <c r="H8822" s="1"/>
      <c r="I8822" s="1"/>
      <c r="J8822" s="1"/>
      <c r="K8822" s="1"/>
      <c r="L8822" s="1"/>
      <c r="M8822" s="1"/>
      <c r="N8822" s="1"/>
      <c r="O8822" s="1"/>
      <c r="P8822" s="1"/>
      <c r="Q8822" s="1"/>
      <c r="R8822" s="1"/>
      <c r="S8822" s="1"/>
      <c r="T8822" s="1"/>
      <c r="U8822" s="1"/>
      <c r="V8822" s="1"/>
      <c r="W8822" s="1"/>
      <c r="X8822" s="1"/>
      <c r="Y8822" s="1"/>
      <c r="Z8822" s="1"/>
      <c r="AA8822" s="1"/>
      <c r="AB8822" s="1"/>
    </row>
    <row r="8823" ht="50.25" customHeight="1">
      <c r="A8823" s="12">
        <v>8819.0</v>
      </c>
      <c r="B8823" s="13" t="s">
        <v>8699</v>
      </c>
      <c r="C8823" s="18" t="s">
        <v>8849</v>
      </c>
      <c r="D8823" s="1"/>
      <c r="E8823" s="1"/>
      <c r="F8823" s="1" t="str">
        <f>IFERROR(__xludf.DUMMYFUNCTION("GOOGLETRANSLATE(B8823, ""en"", ""fa"")
"),"موفقیت در پادکست")</f>
        <v>موفقیت در پادکست</v>
      </c>
      <c r="G8823" s="1" t="str">
        <f>IFERROR(__xludf.DUMMYFUNCTION("GOOGLETRANSLATE(C8823, ""en"", ""fa"")
"),"تکنیک‌های انجام مصاحبه‌های پادکست که به انگیزه‌های شخصی، الهامات یا لحظات تعریف‌کننده مصاحبه‌شوندگان شما می‌پردازد، چیست؟")</f>
        <v>تکنیک‌های انجام مصاحبه‌های پادکست که به انگیزه‌های شخصی، الهامات یا لحظات تعریف‌کننده مصاحبه‌شوندگان شما می‌پردازد، چیست؟</v>
      </c>
      <c r="H8823" s="1"/>
      <c r="I8823" s="1"/>
      <c r="J8823" s="1"/>
      <c r="K8823" s="1"/>
      <c r="L8823" s="1"/>
      <c r="M8823" s="1"/>
      <c r="N8823" s="1"/>
      <c r="O8823" s="1"/>
      <c r="P8823" s="1"/>
      <c r="Q8823" s="1"/>
      <c r="R8823" s="1"/>
      <c r="S8823" s="1"/>
      <c r="T8823" s="1"/>
      <c r="U8823" s="1"/>
      <c r="V8823" s="1"/>
      <c r="W8823" s="1"/>
      <c r="X8823" s="1"/>
      <c r="Y8823" s="1"/>
      <c r="Z8823" s="1"/>
      <c r="AA8823" s="1"/>
      <c r="AB8823" s="1"/>
    </row>
    <row r="8824" ht="50.25" customHeight="1">
      <c r="A8824" s="12">
        <v>8820.0</v>
      </c>
      <c r="B8824" s="13" t="s">
        <v>8699</v>
      </c>
      <c r="C8824" s="18" t="s">
        <v>8850</v>
      </c>
      <c r="D8824" s="1"/>
      <c r="E8824" s="1"/>
      <c r="F8824" s="1" t="str">
        <f>IFERROR(__xludf.DUMMYFUNCTION("GOOGLETRANSLATE(B8824, ""en"", ""fa"")
"),"موفقیت در پادکست")</f>
        <v>موفقیت در پادکست</v>
      </c>
      <c r="G8824" s="1" t="str">
        <f>IFERROR(__xludf.DUMMYFUNCTION("GOOGLETRANSLATE(C8824, ""en"", ""fa"")
"),"چگونه موضوعات احساسی یا حساس را در طول یک مصاحبه پادکست مدیریت کنیم و از همدلی، احترام و فضای امن برای مهمان خود اطمینان حاصل کنیم؟")</f>
        <v>چگونه موضوعات احساسی یا حساس را در طول یک مصاحبه پادکست مدیریت کنیم و از همدلی، احترام و فضای امن برای مهمان خود اطمینان حاصل کنیم؟</v>
      </c>
      <c r="H8824" s="1"/>
      <c r="I8824" s="1"/>
      <c r="J8824" s="1"/>
      <c r="K8824" s="1"/>
      <c r="L8824" s="1"/>
      <c r="M8824" s="1"/>
      <c r="N8824" s="1"/>
      <c r="O8824" s="1"/>
      <c r="P8824" s="1"/>
      <c r="Q8824" s="1"/>
      <c r="R8824" s="1"/>
      <c r="S8824" s="1"/>
      <c r="T8824" s="1"/>
      <c r="U8824" s="1"/>
      <c r="V8824" s="1"/>
      <c r="W8824" s="1"/>
      <c r="X8824" s="1"/>
      <c r="Y8824" s="1"/>
      <c r="Z8824" s="1"/>
      <c r="AA8824" s="1"/>
      <c r="AB8824" s="1"/>
    </row>
    <row r="8825" ht="50.25" customHeight="1">
      <c r="A8825" s="12">
        <v>8821.0</v>
      </c>
      <c r="B8825" s="13" t="s">
        <v>8699</v>
      </c>
      <c r="C8825" s="18" t="s">
        <v>8851</v>
      </c>
      <c r="D8825" s="1"/>
      <c r="E8825" s="1"/>
      <c r="F8825" s="1" t="str">
        <f>IFERROR(__xludf.DUMMYFUNCTION("GOOGLETRANSLATE(B8825, ""en"", ""fa"")
"),"موفقیت در پادکست")</f>
        <v>موفقیت در پادکست</v>
      </c>
      <c r="G8825" s="1" t="str">
        <f>IFERROR(__xludf.DUMMYFUNCTION("GOOGLETRANSLATE(C8825, ""en"", ""fa"")
"),"استراتژی‌های انجام مصاحبه‌های پادکست که داستان‌های موفقیت، دستاوردها یا رویکردهای نوآورانه را در یک زمینه خاص به نمایش می‌گذارد، چیست؟")</f>
        <v>استراتژی‌های انجام مصاحبه‌های پادکست که داستان‌های موفقیت، دستاوردها یا رویکردهای نوآورانه را در یک زمینه خاص به نمایش می‌گذارد، چیست؟</v>
      </c>
      <c r="H8825" s="1"/>
      <c r="I8825" s="1"/>
      <c r="J8825" s="1"/>
      <c r="K8825" s="1"/>
      <c r="L8825" s="1"/>
      <c r="M8825" s="1"/>
      <c r="N8825" s="1"/>
      <c r="O8825" s="1"/>
      <c r="P8825" s="1"/>
      <c r="Q8825" s="1"/>
      <c r="R8825" s="1"/>
      <c r="S8825" s="1"/>
      <c r="T8825" s="1"/>
      <c r="U8825" s="1"/>
      <c r="V8825" s="1"/>
      <c r="W8825" s="1"/>
      <c r="X8825" s="1"/>
      <c r="Y8825" s="1"/>
      <c r="Z8825" s="1"/>
      <c r="AA8825" s="1"/>
      <c r="AB8825" s="1"/>
    </row>
    <row r="8826" ht="50.25" customHeight="1">
      <c r="A8826" s="12">
        <v>8822.0</v>
      </c>
      <c r="B8826" s="13" t="s">
        <v>8699</v>
      </c>
      <c r="C8826" s="18" t="s">
        <v>8852</v>
      </c>
      <c r="D8826" s="1"/>
      <c r="E8826" s="1"/>
      <c r="F8826" s="1" t="str">
        <f>IFERROR(__xludf.DUMMYFUNCTION("GOOGLETRANSLATE(B8826, ""en"", ""fa"")
"),"موفقیت در پادکست")</f>
        <v>موفقیت در پادکست</v>
      </c>
      <c r="G8826" s="1" t="str">
        <f>IFERROR(__xludf.DUMMYFUNCTION("GOOGLETRANSLATE(C8826, ""en"", ""fa"")
"),"چگونه تکنیک‌های مصاحبه خود را برای پادکست‌هایی که هدفشان الهام بخشیدن، ارتقاء بخشیدن یا ایجاد لحظات مثبت برای مخاطبان است، تطبیق دهید؟")</f>
        <v>چگونه تکنیک‌های مصاحبه خود را برای پادکست‌هایی که هدفشان الهام بخشیدن، ارتقاء بخشیدن یا ایجاد لحظات مثبت برای مخاطبان است، تطبیق دهید؟</v>
      </c>
      <c r="H8826" s="1"/>
      <c r="I8826" s="1"/>
      <c r="J8826" s="1"/>
      <c r="K8826" s="1"/>
      <c r="L8826" s="1"/>
      <c r="M8826" s="1"/>
      <c r="N8826" s="1"/>
      <c r="O8826" s="1"/>
      <c r="P8826" s="1"/>
      <c r="Q8826" s="1"/>
      <c r="R8826" s="1"/>
      <c r="S8826" s="1"/>
      <c r="T8826" s="1"/>
      <c r="U8826" s="1"/>
      <c r="V8826" s="1"/>
      <c r="W8826" s="1"/>
      <c r="X8826" s="1"/>
      <c r="Y8826" s="1"/>
      <c r="Z8826" s="1"/>
      <c r="AA8826" s="1"/>
      <c r="AB8826" s="1"/>
    </row>
    <row r="8827" ht="50.25" customHeight="1">
      <c r="A8827" s="12">
        <v>8823.0</v>
      </c>
      <c r="B8827" s="13" t="s">
        <v>8699</v>
      </c>
      <c r="C8827" s="18" t="s">
        <v>8853</v>
      </c>
      <c r="D8827" s="1"/>
      <c r="E8827" s="1"/>
      <c r="F8827" s="1" t="str">
        <f>IFERROR(__xludf.DUMMYFUNCTION("GOOGLETRANSLATE(B8827, ""en"", ""fa"")
"),"موفقیت در پادکست")</f>
        <v>موفقیت در پادکست</v>
      </c>
      <c r="G8827" s="1" t="str">
        <f>IFERROR(__xludf.DUMMYFUNCTION("GOOGLETRANSLATE(C8827, ""en"", ""fa"")
"),"تکنیک‌های انجام مصاحبه‌های پادکست با افراد با پیشینه‌های فرهنگی مختلف، حصول اطمینان از حساسیت فرهنگی و فراگیری چیست؟")</f>
        <v>تکنیک‌های انجام مصاحبه‌های پادکست با افراد با پیشینه‌های فرهنگی مختلف، حصول اطمینان از حساسیت فرهنگی و فراگیری چیست؟</v>
      </c>
      <c r="H8827" s="1"/>
      <c r="I8827" s="1"/>
      <c r="J8827" s="1"/>
      <c r="K8827" s="1"/>
      <c r="L8827" s="1"/>
      <c r="M8827" s="1"/>
      <c r="N8827" s="1"/>
      <c r="O8827" s="1"/>
      <c r="P8827" s="1"/>
      <c r="Q8827" s="1"/>
      <c r="R8827" s="1"/>
      <c r="S8827" s="1"/>
      <c r="T8827" s="1"/>
      <c r="U8827" s="1"/>
      <c r="V8827" s="1"/>
      <c r="W8827" s="1"/>
      <c r="X8827" s="1"/>
      <c r="Y8827" s="1"/>
      <c r="Z8827" s="1"/>
      <c r="AA8827" s="1"/>
      <c r="AB8827" s="1"/>
    </row>
    <row r="8828" ht="50.25" customHeight="1">
      <c r="A8828" s="12">
        <v>8824.0</v>
      </c>
      <c r="B8828" s="13" t="s">
        <v>8699</v>
      </c>
      <c r="C8828" s="18" t="s">
        <v>8854</v>
      </c>
      <c r="D8828" s="1"/>
      <c r="E8828" s="1"/>
      <c r="F8828" s="1" t="str">
        <f>IFERROR(__xludf.DUMMYFUNCTION("GOOGLETRANSLATE(B8828, ""en"", ""fa"")
"),"موفقیت در پادکست")</f>
        <v>موفقیت در پادکست</v>
      </c>
      <c r="G8828" s="1" t="str">
        <f>IFERROR(__xludf.DUMMYFUNCTION("GOOGLETRANSLATE(C8828, ""en"", ""fa"")
"),"چگونه سؤالات مصاحبه ایجاد کنیم که مصاحبه شوندگان پادکست خود را تشویق کنند تا توصیه های عملی یا درس هایی را که از تجربیات خود آموخته اند به اشتراک بگذارند؟")</f>
        <v>چگونه سؤالات مصاحبه ایجاد کنیم که مصاحبه شوندگان پادکست خود را تشویق کنند تا توصیه های عملی یا درس هایی را که از تجربیات خود آموخته اند به اشتراک بگذارند؟</v>
      </c>
      <c r="H8828" s="1"/>
      <c r="I8828" s="1"/>
      <c r="J8828" s="1"/>
      <c r="K8828" s="1"/>
      <c r="L8828" s="1"/>
      <c r="M8828" s="1"/>
      <c r="N8828" s="1"/>
      <c r="O8828" s="1"/>
      <c r="P8828" s="1"/>
      <c r="Q8828" s="1"/>
      <c r="R8828" s="1"/>
      <c r="S8828" s="1"/>
      <c r="T8828" s="1"/>
      <c r="U8828" s="1"/>
      <c r="V8828" s="1"/>
      <c r="W8828" s="1"/>
      <c r="X8828" s="1"/>
      <c r="Y8828" s="1"/>
      <c r="Z8828" s="1"/>
      <c r="AA8828" s="1"/>
      <c r="AB8828" s="1"/>
    </row>
    <row r="8829" ht="50.25" customHeight="1">
      <c r="A8829" s="12">
        <v>8825.0</v>
      </c>
      <c r="B8829" s="13" t="s">
        <v>8699</v>
      </c>
      <c r="C8829" s="18" t="s">
        <v>8855</v>
      </c>
      <c r="D8829" s="1"/>
      <c r="E8829" s="1"/>
      <c r="F8829" s="1" t="str">
        <f>IFERROR(__xludf.DUMMYFUNCTION("GOOGLETRANSLATE(B8829, ""en"", ""fa"")
"),"موفقیت در پادکست")</f>
        <v>موفقیت در پادکست</v>
      </c>
      <c r="G8829" s="1" t="str">
        <f>IFERROR(__xludf.DUMMYFUNCTION("GOOGLETRANSLATE(C8829, ""en"", ""fa"")
"),"استراتژی‌هایی برای انجام مصاحبه‌های پادکست که بر کشف خلاقیت، نوآوری، یا تفکر خارج از چارچوب در یک صنعت یا جایگاه خاص تمرکز دارد، چیست؟")</f>
        <v>استراتژی‌هایی برای انجام مصاحبه‌های پادکست که بر کشف خلاقیت، نوآوری، یا تفکر خارج از چارچوب در یک صنعت یا جایگاه خاص تمرکز دارد، چیست؟</v>
      </c>
      <c r="H8829" s="1"/>
      <c r="I8829" s="1"/>
      <c r="J8829" s="1"/>
      <c r="K8829" s="1"/>
      <c r="L8829" s="1"/>
      <c r="M8829" s="1"/>
      <c r="N8829" s="1"/>
      <c r="O8829" s="1"/>
      <c r="P8829" s="1"/>
      <c r="Q8829" s="1"/>
      <c r="R8829" s="1"/>
      <c r="S8829" s="1"/>
      <c r="T8829" s="1"/>
      <c r="U8829" s="1"/>
      <c r="V8829" s="1"/>
      <c r="W8829" s="1"/>
      <c r="X8829" s="1"/>
      <c r="Y8829" s="1"/>
      <c r="Z8829" s="1"/>
      <c r="AA8829" s="1"/>
      <c r="AB8829" s="1"/>
    </row>
    <row r="8830" ht="50.25" customHeight="1">
      <c r="A8830" s="12">
        <v>8826.0</v>
      </c>
      <c r="B8830" s="13" t="s">
        <v>8699</v>
      </c>
      <c r="C8830" s="18" t="s">
        <v>8856</v>
      </c>
      <c r="D8830" s="1"/>
      <c r="E8830" s="1"/>
      <c r="F8830" s="1" t="str">
        <f>IFERROR(__xludf.DUMMYFUNCTION("GOOGLETRANSLATE(B8830, ""en"", ""fa"")
"),"موفقیت در پادکست")</f>
        <v>موفقیت در پادکست</v>
      </c>
      <c r="G8830" s="1" t="str">
        <f>IFERROR(__xludf.DUMMYFUNCTION("GOOGLETRANSLATE(C8830, ""en"", ""fa"")
"),"چگونه می توان در طول یک مصاحبه پادکست، فضای همکاری را تقویت کرد و به جای گفتگوی یک طرفه، گفتگو را تشویق کرد؟")</f>
        <v>چگونه می توان در طول یک مصاحبه پادکست، فضای همکاری را تقویت کرد و به جای گفتگوی یک طرفه، گفتگو را تشویق کرد؟</v>
      </c>
      <c r="H8830" s="1"/>
      <c r="I8830" s="1"/>
      <c r="J8830" s="1"/>
      <c r="K8830" s="1"/>
      <c r="L8830" s="1"/>
      <c r="M8830" s="1"/>
      <c r="N8830" s="1"/>
      <c r="O8830" s="1"/>
      <c r="P8830" s="1"/>
      <c r="Q8830" s="1"/>
      <c r="R8830" s="1"/>
      <c r="S8830" s="1"/>
      <c r="T8830" s="1"/>
      <c r="U8830" s="1"/>
      <c r="V8830" s="1"/>
      <c r="W8830" s="1"/>
      <c r="X8830" s="1"/>
      <c r="Y8830" s="1"/>
      <c r="Z8830" s="1"/>
      <c r="AA8830" s="1"/>
      <c r="AB8830" s="1"/>
    </row>
    <row r="8831" ht="50.25" customHeight="1">
      <c r="A8831" s="12">
        <v>8827.0</v>
      </c>
      <c r="B8831" s="13" t="s">
        <v>8699</v>
      </c>
      <c r="C8831" s="18" t="s">
        <v>8857</v>
      </c>
      <c r="D8831" s="1"/>
      <c r="E8831" s="1"/>
      <c r="F8831" s="1" t="str">
        <f>IFERROR(__xludf.DUMMYFUNCTION("GOOGLETRANSLATE(B8831, ""en"", ""fa"")
"),"موفقیت در پادکست")</f>
        <v>موفقیت در پادکست</v>
      </c>
      <c r="G8831" s="1" t="str">
        <f>IFERROR(__xludf.DUMMYFUNCTION("GOOGLETRANSLATE(C8831, ""en"", ""fa"")
"),"تکنیک‌هایی برای انجام مصاحبه‌های پادکست که مفروضات را به چالش می‌کشند، تفکر انتقادی را تحریک می‌کنند یا بازتاب را در بین مخاطبان تشویق می‌کنند، چیست؟")</f>
        <v>تکنیک‌هایی برای انجام مصاحبه‌های پادکست که مفروضات را به چالش می‌کشند، تفکر انتقادی را تحریک می‌کنند یا بازتاب را در بین مخاطبان تشویق می‌کنند، چیست؟</v>
      </c>
      <c r="H8831" s="1"/>
      <c r="I8831" s="1"/>
      <c r="J8831" s="1"/>
      <c r="K8831" s="1"/>
      <c r="L8831" s="1"/>
      <c r="M8831" s="1"/>
      <c r="N8831" s="1"/>
      <c r="O8831" s="1"/>
      <c r="P8831" s="1"/>
      <c r="Q8831" s="1"/>
      <c r="R8831" s="1"/>
      <c r="S8831" s="1"/>
      <c r="T8831" s="1"/>
      <c r="U8831" s="1"/>
      <c r="V8831" s="1"/>
      <c r="W8831" s="1"/>
      <c r="X8831" s="1"/>
      <c r="Y8831" s="1"/>
      <c r="Z8831" s="1"/>
      <c r="AA8831" s="1"/>
      <c r="AB8831" s="1"/>
    </row>
    <row r="8832" ht="50.25" customHeight="1">
      <c r="A8832" s="12">
        <v>8828.0</v>
      </c>
      <c r="B8832" s="13" t="s">
        <v>8699</v>
      </c>
      <c r="C8832" s="18" t="s">
        <v>8858</v>
      </c>
      <c r="D8832" s="1"/>
      <c r="E8832" s="1"/>
      <c r="F8832" s="1" t="str">
        <f>IFERROR(__xludf.DUMMYFUNCTION("GOOGLETRANSLATE(B8832, ""en"", ""fa"")
"),"موفقیت در پادکست")</f>
        <v>موفقیت در پادکست</v>
      </c>
      <c r="G8832" s="1" t="str">
        <f>IFERROR(__xludf.DUMMYFUNCTION("GOOGLETRANSLATE(C8832, ""en"", ""fa"")
"),"چگونه سبک مصاحبه خود را برای پادکست هایی که هدفشان آموزش، اطلاع رسانی یا ارائه دانش عمیق در مورد یک موضوع یا زمینه خاص است، تطبیق دهید؟")</f>
        <v>چگونه سبک مصاحبه خود را برای پادکست هایی که هدفشان آموزش، اطلاع رسانی یا ارائه دانش عمیق در مورد یک موضوع یا زمینه خاص است، تطبیق دهید؟</v>
      </c>
      <c r="H8832" s="1"/>
      <c r="I8832" s="1"/>
      <c r="J8832" s="1"/>
      <c r="K8832" s="1"/>
      <c r="L8832" s="1"/>
      <c r="M8832" s="1"/>
      <c r="N8832" s="1"/>
      <c r="O8832" s="1"/>
      <c r="P8832" s="1"/>
      <c r="Q8832" s="1"/>
      <c r="R8832" s="1"/>
      <c r="S8832" s="1"/>
      <c r="T8832" s="1"/>
      <c r="U8832" s="1"/>
      <c r="V8832" s="1"/>
      <c r="W8832" s="1"/>
      <c r="X8832" s="1"/>
      <c r="Y8832" s="1"/>
      <c r="Z8832" s="1"/>
      <c r="AA8832" s="1"/>
      <c r="AB8832" s="1"/>
    </row>
    <row r="8833" ht="50.25" customHeight="1">
      <c r="A8833" s="12">
        <v>8829.0</v>
      </c>
      <c r="B8833" s="13" t="s">
        <v>8699</v>
      </c>
      <c r="C8833" s="18" t="s">
        <v>8859</v>
      </c>
      <c r="D8833" s="1"/>
      <c r="E8833" s="1"/>
      <c r="F8833" s="1" t="str">
        <f>IFERROR(__xludf.DUMMYFUNCTION("GOOGLETRANSLATE(B8833, ""en"", ""fa"")
"),"موفقیت در پادکست")</f>
        <v>موفقیت در پادکست</v>
      </c>
      <c r="G8833" s="1" t="str">
        <f>IFERROR(__xludf.DUMMYFUNCTION("GOOGLETRANSLATE(C8833, ""en"", ""fa"")
"),"استراتژی‌هایی برای انجام مصاحبه‌های پادکست که تنوع، فراگیری و صداهای کم‌بازنمایی شده در صنعت یا جایگاه شما را جشن می‌گیرد، چیست؟")</f>
        <v>استراتژی‌هایی برای انجام مصاحبه‌های پادکست که تنوع، فراگیری و صداهای کم‌بازنمایی شده در صنعت یا جایگاه شما را جشن می‌گیرد، چیست؟</v>
      </c>
      <c r="H8833" s="1"/>
      <c r="I8833" s="1"/>
      <c r="J8833" s="1"/>
      <c r="K8833" s="1"/>
      <c r="L8833" s="1"/>
      <c r="M8833" s="1"/>
      <c r="N8833" s="1"/>
      <c r="O8833" s="1"/>
      <c r="P8833" s="1"/>
      <c r="Q8833" s="1"/>
      <c r="R8833" s="1"/>
      <c r="S8833" s="1"/>
      <c r="T8833" s="1"/>
      <c r="U8833" s="1"/>
      <c r="V8833" s="1"/>
      <c r="W8833" s="1"/>
      <c r="X8833" s="1"/>
      <c r="Y8833" s="1"/>
      <c r="Z8833" s="1"/>
      <c r="AA8833" s="1"/>
      <c r="AB8833" s="1"/>
    </row>
    <row r="8834" ht="50.25" customHeight="1">
      <c r="A8834" s="12">
        <v>8830.0</v>
      </c>
      <c r="B8834" s="13" t="s">
        <v>8699</v>
      </c>
      <c r="C8834" s="18" t="s">
        <v>8860</v>
      </c>
      <c r="D8834" s="1"/>
      <c r="E8834" s="1"/>
      <c r="F8834" s="1" t="str">
        <f>IFERROR(__xludf.DUMMYFUNCTION("GOOGLETRANSLATE(B8834, ""en"", ""fa"")
"),"موفقیت در پادکست")</f>
        <v>موفقیت در پادکست</v>
      </c>
      <c r="G8834" s="1" t="str">
        <f>IFERROR(__xludf.DUMMYFUNCTION("GOOGLETRANSLATE(C8834, ""en"", ""fa"")
"),"چگونه سؤالات مصاحبه ای ایجاد کنیم که حکایات شخصی، لحظات خنده دار یا داستان های سرگرم کننده را از مصاحبه شوندگان پادکست شما تداعی کند؟")</f>
        <v>چگونه سؤالات مصاحبه ای ایجاد کنیم که حکایات شخصی، لحظات خنده دار یا داستان های سرگرم کننده را از مصاحبه شوندگان پادکست شما تداعی کند؟</v>
      </c>
      <c r="H8834" s="1"/>
      <c r="I8834" s="1"/>
      <c r="J8834" s="1"/>
      <c r="K8834" s="1"/>
      <c r="L8834" s="1"/>
      <c r="M8834" s="1"/>
      <c r="N8834" s="1"/>
      <c r="O8834" s="1"/>
      <c r="P8834" s="1"/>
      <c r="Q8834" s="1"/>
      <c r="R8834" s="1"/>
      <c r="S8834" s="1"/>
      <c r="T8834" s="1"/>
      <c r="U8834" s="1"/>
      <c r="V8834" s="1"/>
      <c r="W8834" s="1"/>
      <c r="X8834" s="1"/>
      <c r="Y8834" s="1"/>
      <c r="Z8834" s="1"/>
      <c r="AA8834" s="1"/>
      <c r="AB8834" s="1"/>
    </row>
    <row r="8835" ht="50.25" customHeight="1">
      <c r="A8835" s="12">
        <v>8831.0</v>
      </c>
      <c r="B8835" s="13" t="s">
        <v>8699</v>
      </c>
      <c r="C8835" s="18" t="s">
        <v>8861</v>
      </c>
      <c r="D8835" s="1"/>
      <c r="E8835" s="1"/>
      <c r="F8835" s="1" t="str">
        <f>IFERROR(__xludf.DUMMYFUNCTION("GOOGLETRANSLATE(B8835, ""en"", ""fa"")
"),"موفقیت در پادکست")</f>
        <v>موفقیت در پادکست</v>
      </c>
      <c r="G8835" s="1" t="str">
        <f>IFERROR(__xludf.DUMMYFUNCTION("GOOGLETRANSLATE(C8835, ""en"", ""fa"")
"),"تکنیک‌های انجام مصاحبه‌های پادکست که روندهای نوظهور، پیش‌بینی‌های آینده، یا مختل‌کننده‌ها را در یک صنعت یا زمینه خاص بررسی می‌کنند، چیست؟")</f>
        <v>تکنیک‌های انجام مصاحبه‌های پادکست که روندهای نوظهور، پیش‌بینی‌های آینده، یا مختل‌کننده‌ها را در یک صنعت یا زمینه خاص بررسی می‌کنند، چیست؟</v>
      </c>
      <c r="H8835" s="1"/>
      <c r="I8835" s="1"/>
      <c r="J8835" s="1"/>
      <c r="K8835" s="1"/>
      <c r="L8835" s="1"/>
      <c r="M8835" s="1"/>
      <c r="N8835" s="1"/>
      <c r="O8835" s="1"/>
      <c r="P8835" s="1"/>
      <c r="Q8835" s="1"/>
      <c r="R8835" s="1"/>
      <c r="S8835" s="1"/>
      <c r="T8835" s="1"/>
      <c r="U8835" s="1"/>
      <c r="V8835" s="1"/>
      <c r="W8835" s="1"/>
      <c r="X8835" s="1"/>
      <c r="Y8835" s="1"/>
      <c r="Z8835" s="1"/>
      <c r="AA8835" s="1"/>
      <c r="AB8835" s="1"/>
    </row>
    <row r="8836" ht="50.25" customHeight="1">
      <c r="A8836" s="12">
        <v>8832.0</v>
      </c>
      <c r="B8836" s="13" t="s">
        <v>8699</v>
      </c>
      <c r="C8836" s="18" t="s">
        <v>8862</v>
      </c>
      <c r="D8836" s="1"/>
      <c r="E8836" s="1"/>
      <c r="F8836" s="1" t="str">
        <f>IFERROR(__xludf.DUMMYFUNCTION("GOOGLETRANSLATE(B8836, ""en"", ""fa"")
"),"موفقیت در پادکست")</f>
        <v>موفقیت در پادکست</v>
      </c>
      <c r="G8836" s="1" t="str">
        <f>IFERROR(__xludf.DUMMYFUNCTION("GOOGLETRANSLATE(C8836, ""en"", ""fa"")
"),"چگونه می توان بین آمادگی و خودانگیختگی در طول مصاحبه پادکست تعادل برقرار کرد و فضایی را برای بینش های غیرمنتظره یا مکالمات ارگانیک ایجاد کرد؟")</f>
        <v>چگونه می توان بین آمادگی و خودانگیختگی در طول مصاحبه پادکست تعادل برقرار کرد و فضایی را برای بینش های غیرمنتظره یا مکالمات ارگانیک ایجاد کرد؟</v>
      </c>
      <c r="H8836" s="1"/>
      <c r="I8836" s="1"/>
      <c r="J8836" s="1"/>
      <c r="K8836" s="1"/>
      <c r="L8836" s="1"/>
      <c r="M8836" s="1"/>
      <c r="N8836" s="1"/>
      <c r="O8836" s="1"/>
      <c r="P8836" s="1"/>
      <c r="Q8836" s="1"/>
      <c r="R8836" s="1"/>
      <c r="S8836" s="1"/>
      <c r="T8836" s="1"/>
      <c r="U8836" s="1"/>
      <c r="V8836" s="1"/>
      <c r="W8836" s="1"/>
      <c r="X8836" s="1"/>
      <c r="Y8836" s="1"/>
      <c r="Z8836" s="1"/>
      <c r="AA8836" s="1"/>
      <c r="AB8836" s="1"/>
    </row>
    <row r="8837" ht="50.25" customHeight="1">
      <c r="A8837" s="12">
        <v>8833.0</v>
      </c>
      <c r="B8837" s="13" t="s">
        <v>8699</v>
      </c>
      <c r="C8837" s="18" t="s">
        <v>8863</v>
      </c>
      <c r="D8837" s="1"/>
      <c r="E8837" s="1"/>
      <c r="F8837" s="1" t="str">
        <f>IFERROR(__xludf.DUMMYFUNCTION("GOOGLETRANSLATE(B8837, ""en"", ""fa"")
"),"موفقیت در پادکست")</f>
        <v>موفقیت در پادکست</v>
      </c>
      <c r="G8837" s="1" t="str">
        <f>IFERROR(__xludf.DUMMYFUNCTION("GOOGLETRANSLATE(C8837, ""en"", ""fa"")
"),"استراتژی‌های انجام مصاحبه‌های پادکست با افرادی که بر چالش‌ها، شکست‌ها یا ناملایمات غلبه کرده‌اند و داستان‌های الهام‌بخش خود را با مخاطبان به اشتراک گذاشته‌اند، چیست؟")</f>
        <v>استراتژی‌های انجام مصاحبه‌های پادکست با افرادی که بر چالش‌ها، شکست‌ها یا ناملایمات غلبه کرده‌اند و داستان‌های الهام‌بخش خود را با مخاطبان به اشتراک گذاشته‌اند، چیست؟</v>
      </c>
      <c r="H8837" s="1"/>
      <c r="I8837" s="1"/>
      <c r="J8837" s="1"/>
      <c r="K8837" s="1"/>
      <c r="L8837" s="1"/>
      <c r="M8837" s="1"/>
      <c r="N8837" s="1"/>
      <c r="O8837" s="1"/>
      <c r="P8837" s="1"/>
      <c r="Q8837" s="1"/>
      <c r="R8837" s="1"/>
      <c r="S8837" s="1"/>
      <c r="T8837" s="1"/>
      <c r="U8837" s="1"/>
      <c r="V8837" s="1"/>
      <c r="W8837" s="1"/>
      <c r="X8837" s="1"/>
      <c r="Y8837" s="1"/>
      <c r="Z8837" s="1"/>
      <c r="AA8837" s="1"/>
      <c r="AB8837" s="1"/>
    </row>
    <row r="8838" ht="50.25" customHeight="1">
      <c r="A8838" s="12">
        <v>8834.0</v>
      </c>
      <c r="B8838" s="13" t="s">
        <v>8699</v>
      </c>
      <c r="C8838" s="18" t="s">
        <v>8864</v>
      </c>
      <c r="D8838" s="1"/>
      <c r="E8838" s="1"/>
      <c r="F8838" s="1" t="str">
        <f>IFERROR(__xludf.DUMMYFUNCTION("GOOGLETRANSLATE(B8838, ""en"", ""fa"")
"),"موفقیت در پادکست")</f>
        <v>موفقیت در پادکست</v>
      </c>
      <c r="G8838" s="1" t="str">
        <f>IFERROR(__xludf.DUMMYFUNCTION("GOOGLETRANSLATE(C8838, ""en"", ""fa"")
"),"چگونه تکنیک‌های مصاحبه خود را با پادکست‌هایی که هدفشان ایجاد بستری برای صداهای به حاشیه رانده شده، جوامع کم‌نمایش یا مسائل عدالت اجتماعی است، تطبیق دهید؟")</f>
        <v>چگونه تکنیک‌های مصاحبه خود را با پادکست‌هایی که هدفشان ایجاد بستری برای صداهای به حاشیه رانده شده، جوامع کم‌نمایش یا مسائل عدالت اجتماعی است، تطبیق دهید؟</v>
      </c>
      <c r="H8838" s="1"/>
      <c r="I8838" s="1"/>
      <c r="J8838" s="1"/>
      <c r="K8838" s="1"/>
      <c r="L8838" s="1"/>
      <c r="M8838" s="1"/>
      <c r="N8838" s="1"/>
      <c r="O8838" s="1"/>
      <c r="P8838" s="1"/>
      <c r="Q8838" s="1"/>
      <c r="R8838" s="1"/>
      <c r="S8838" s="1"/>
      <c r="T8838" s="1"/>
      <c r="U8838" s="1"/>
      <c r="V8838" s="1"/>
      <c r="W8838" s="1"/>
      <c r="X8838" s="1"/>
      <c r="Y8838" s="1"/>
      <c r="Z8838" s="1"/>
      <c r="AA8838" s="1"/>
      <c r="AB8838" s="1"/>
    </row>
    <row r="8839" ht="50.25" customHeight="1">
      <c r="A8839" s="12">
        <v>8835.0</v>
      </c>
      <c r="B8839" s="13" t="s">
        <v>8699</v>
      </c>
      <c r="C8839" s="18" t="s">
        <v>8865</v>
      </c>
      <c r="D8839" s="1"/>
      <c r="E8839" s="1"/>
      <c r="F8839" s="1" t="str">
        <f>IFERROR(__xludf.DUMMYFUNCTION("GOOGLETRANSLATE(B8839, ""en"", ""fa"")
"),"موفقیت در پادکست")</f>
        <v>موفقیت در پادکست</v>
      </c>
      <c r="G8839" s="1" t="str">
        <f>IFERROR(__xludf.DUMMYFUNCTION("GOOGLETRANSLATE(C8839, ""en"", ""fa"")
"),"تکنیک‌های انجام مصاحبه‌های پادکست که به فرآیند خلاقانه، الهام‌بخش یا سفرهای هنری مصاحبه‌شوندگان شما می‌پردازد، چیست؟")</f>
        <v>تکنیک‌های انجام مصاحبه‌های پادکست که به فرآیند خلاقانه، الهام‌بخش یا سفرهای هنری مصاحبه‌شوندگان شما می‌پردازد، چیست؟</v>
      </c>
      <c r="H8839" s="1"/>
      <c r="I8839" s="1"/>
      <c r="J8839" s="1"/>
      <c r="K8839" s="1"/>
      <c r="L8839" s="1"/>
      <c r="M8839" s="1"/>
      <c r="N8839" s="1"/>
      <c r="O8839" s="1"/>
      <c r="P8839" s="1"/>
      <c r="Q8839" s="1"/>
      <c r="R8839" s="1"/>
      <c r="S8839" s="1"/>
      <c r="T8839" s="1"/>
      <c r="U8839" s="1"/>
      <c r="V8839" s="1"/>
      <c r="W8839" s="1"/>
      <c r="X8839" s="1"/>
      <c r="Y8839" s="1"/>
      <c r="Z8839" s="1"/>
      <c r="AA8839" s="1"/>
      <c r="AB8839" s="1"/>
    </row>
    <row r="8840" ht="50.25" customHeight="1">
      <c r="A8840" s="12">
        <v>8836.0</v>
      </c>
      <c r="B8840" s="13" t="s">
        <v>8699</v>
      </c>
      <c r="C8840" s="18" t="s">
        <v>8866</v>
      </c>
      <c r="D8840" s="1"/>
      <c r="E8840" s="1"/>
      <c r="F8840" s="1" t="str">
        <f>IFERROR(__xludf.DUMMYFUNCTION("GOOGLETRANSLATE(B8840, ""en"", ""fa"")
"),"موفقیت در پادکست")</f>
        <v>موفقیت در پادکست</v>
      </c>
      <c r="G8840" s="1" t="str">
        <f>IFERROR(__xludf.DUMMYFUNCTION("GOOGLETRANSLATE(C8840, ""en"", ""fa"")
"),"چگونه سؤالات مصاحبه ای ایجاد کنیم که مصاحبه شوندگان پادکست خود را تشویق کنند تا دیدگاه ها، رویاها یا آرزوهای خود را برای آینده به اشتراک بگذارند؟")</f>
        <v>چگونه سؤالات مصاحبه ای ایجاد کنیم که مصاحبه شوندگان پادکست خود را تشویق کنند تا دیدگاه ها، رویاها یا آرزوهای خود را برای آینده به اشتراک بگذارند؟</v>
      </c>
      <c r="H8840" s="1"/>
      <c r="I8840" s="1"/>
      <c r="J8840" s="1"/>
      <c r="K8840" s="1"/>
      <c r="L8840" s="1"/>
      <c r="M8840" s="1"/>
      <c r="N8840" s="1"/>
      <c r="O8840" s="1"/>
      <c r="P8840" s="1"/>
      <c r="Q8840" s="1"/>
      <c r="R8840" s="1"/>
      <c r="S8840" s="1"/>
      <c r="T8840" s="1"/>
      <c r="U8840" s="1"/>
      <c r="V8840" s="1"/>
      <c r="W8840" s="1"/>
      <c r="X8840" s="1"/>
      <c r="Y8840" s="1"/>
      <c r="Z8840" s="1"/>
      <c r="AA8840" s="1"/>
      <c r="AB8840" s="1"/>
    </row>
    <row r="8841" ht="50.25" customHeight="1">
      <c r="A8841" s="12">
        <v>8837.0</v>
      </c>
      <c r="B8841" s="13" t="s">
        <v>8699</v>
      </c>
      <c r="C8841" s="18" t="s">
        <v>8867</v>
      </c>
      <c r="D8841" s="1"/>
      <c r="E8841" s="1"/>
      <c r="F8841" s="1" t="str">
        <f>IFERROR(__xludf.DUMMYFUNCTION("GOOGLETRANSLATE(B8841, ""en"", ""fa"")
"),"موفقیت در پادکست")</f>
        <v>موفقیت در پادکست</v>
      </c>
      <c r="G8841" s="1" t="str">
        <f>IFERROR(__xludf.DUMMYFUNCTION("GOOGLETRANSLATE(C8841, ""en"", ""fa"")
"),"استراتژی‌هایی برای انجام مصاحبه‌های پادکست که تقاطع رفاه شخصی، مراقبت از خود یا ذهن‌آگاهی را در حوزه یا صنعت شما بررسی می‌کند، چیست؟")</f>
        <v>استراتژی‌هایی برای انجام مصاحبه‌های پادکست که تقاطع رفاه شخصی، مراقبت از خود یا ذهن‌آگاهی را در حوزه یا صنعت شما بررسی می‌کند، چیست؟</v>
      </c>
      <c r="H8841" s="1"/>
      <c r="I8841" s="1"/>
      <c r="J8841" s="1"/>
      <c r="K8841" s="1"/>
      <c r="L8841" s="1"/>
      <c r="M8841" s="1"/>
      <c r="N8841" s="1"/>
      <c r="O8841" s="1"/>
      <c r="P8841" s="1"/>
      <c r="Q8841" s="1"/>
      <c r="R8841" s="1"/>
      <c r="S8841" s="1"/>
      <c r="T8841" s="1"/>
      <c r="U8841" s="1"/>
      <c r="V8841" s="1"/>
      <c r="W8841" s="1"/>
      <c r="X8841" s="1"/>
      <c r="Y8841" s="1"/>
      <c r="Z8841" s="1"/>
      <c r="AA8841" s="1"/>
      <c r="AB8841" s="1"/>
    </row>
    <row r="8842" ht="50.25" customHeight="1">
      <c r="A8842" s="12">
        <v>8838.0</v>
      </c>
      <c r="B8842" s="13" t="s">
        <v>8699</v>
      </c>
      <c r="C8842" s="18" t="s">
        <v>8868</v>
      </c>
      <c r="D8842" s="1"/>
      <c r="E8842" s="1"/>
      <c r="F8842" s="1" t="str">
        <f>IFERROR(__xludf.DUMMYFUNCTION("GOOGLETRANSLATE(B8842, ""en"", ""fa"")
"),"موفقیت در پادکست")</f>
        <v>موفقیت در پادکست</v>
      </c>
      <c r="G8842" s="1" t="str">
        <f>IFERROR(__xludf.DUMMYFUNCTION("GOOGLETRANSLATE(C8842, ""en"", ""fa"")
"),"چگونه می توان سبک مصاحبه خود را برای پادکست هایی که بر کاوش تأثیر فناوری، نوآوری یا تحول دیجیتال در یک زمینه یا صنعت خاص تمرکز دارند، تطبیق دهید؟")</f>
        <v>چگونه می توان سبک مصاحبه خود را برای پادکست هایی که بر کاوش تأثیر فناوری، نوآوری یا تحول دیجیتال در یک زمینه یا صنعت خاص تمرکز دارند، تطبیق دهید؟</v>
      </c>
      <c r="H8842" s="1"/>
      <c r="I8842" s="1"/>
      <c r="J8842" s="1"/>
      <c r="K8842" s="1"/>
      <c r="L8842" s="1"/>
      <c r="M8842" s="1"/>
      <c r="N8842" s="1"/>
      <c r="O8842" s="1"/>
      <c r="P8842" s="1"/>
      <c r="Q8842" s="1"/>
      <c r="R8842" s="1"/>
      <c r="S8842" s="1"/>
      <c r="T8842" s="1"/>
      <c r="U8842" s="1"/>
      <c r="V8842" s="1"/>
      <c r="W8842" s="1"/>
      <c r="X8842" s="1"/>
      <c r="Y8842" s="1"/>
      <c r="Z8842" s="1"/>
      <c r="AA8842" s="1"/>
      <c r="AB8842" s="1"/>
    </row>
    <row r="8843" ht="50.25" customHeight="1">
      <c r="A8843" s="12">
        <v>8839.0</v>
      </c>
      <c r="B8843" s="13" t="s">
        <v>8699</v>
      </c>
      <c r="C8843" s="18" t="s">
        <v>8869</v>
      </c>
      <c r="D8843" s="1"/>
      <c r="E8843" s="1"/>
      <c r="F8843" s="1" t="str">
        <f>IFERROR(__xludf.DUMMYFUNCTION("GOOGLETRANSLATE(B8843, ""en"", ""fa"")
"),"موفقیت در پادکست")</f>
        <v>موفقیت در پادکست</v>
      </c>
      <c r="G8843" s="1" t="str">
        <f>IFERROR(__xludf.DUMMYFUNCTION("GOOGLETRANSLATE(C8843, ""en"", ""fa"")
"),"عناصر کلیدی یک استراتژی رشد موفق پادکست چیست؟")</f>
        <v>عناصر کلیدی یک استراتژی رشد موفق پادکست چیست؟</v>
      </c>
      <c r="H8843" s="1"/>
      <c r="I8843" s="1"/>
      <c r="J8843" s="1"/>
      <c r="K8843" s="1"/>
      <c r="L8843" s="1"/>
      <c r="M8843" s="1"/>
      <c r="N8843" s="1"/>
      <c r="O8843" s="1"/>
      <c r="P8843" s="1"/>
      <c r="Q8843" s="1"/>
      <c r="R8843" s="1"/>
      <c r="S8843" s="1"/>
      <c r="T8843" s="1"/>
      <c r="U8843" s="1"/>
      <c r="V8843" s="1"/>
      <c r="W8843" s="1"/>
      <c r="X8843" s="1"/>
      <c r="Y8843" s="1"/>
      <c r="Z8843" s="1"/>
      <c r="AA8843" s="1"/>
      <c r="AB8843" s="1"/>
    </row>
    <row r="8844" ht="50.25" customHeight="1">
      <c r="A8844" s="12">
        <v>8840.0</v>
      </c>
      <c r="B8844" s="13" t="s">
        <v>8699</v>
      </c>
      <c r="C8844" s="18" t="s">
        <v>8870</v>
      </c>
      <c r="D8844" s="1"/>
      <c r="E8844" s="1"/>
      <c r="F8844" s="1" t="str">
        <f>IFERROR(__xludf.DUMMYFUNCTION("GOOGLETRANSLATE(B8844, ""en"", ""fa"")
"),"موفقیت در پادکست")</f>
        <v>موفقیت در پادکست</v>
      </c>
      <c r="G8844" s="1" t="str">
        <f>IFERROR(__xludf.DUMMYFUNCTION("GOOGLETRANSLATE(C8844, ""en"", ""fa"")
"),"چگونه می توان مخاطبان هدف خود را تعریف و درک کرد تا محتوای پادکست و تلاش های بازاریابی خود را متناسب کند؟")</f>
        <v>چگونه می توان مخاطبان هدف خود را تعریف و درک کرد تا محتوای پادکست و تلاش های بازاریابی خود را متناسب کند؟</v>
      </c>
      <c r="H8844" s="1"/>
      <c r="I8844" s="1"/>
      <c r="J8844" s="1"/>
      <c r="K8844" s="1"/>
      <c r="L8844" s="1"/>
      <c r="M8844" s="1"/>
      <c r="N8844" s="1"/>
      <c r="O8844" s="1"/>
      <c r="P8844" s="1"/>
      <c r="Q8844" s="1"/>
      <c r="R8844" s="1"/>
      <c r="S8844" s="1"/>
      <c r="T8844" s="1"/>
      <c r="U8844" s="1"/>
      <c r="V8844" s="1"/>
      <c r="W8844" s="1"/>
      <c r="X8844" s="1"/>
      <c r="Y8844" s="1"/>
      <c r="Z8844" s="1"/>
      <c r="AA8844" s="1"/>
      <c r="AB8844" s="1"/>
    </row>
    <row r="8845" ht="50.25" customHeight="1">
      <c r="A8845" s="12">
        <v>8841.0</v>
      </c>
      <c r="B8845" s="13" t="s">
        <v>8699</v>
      </c>
      <c r="C8845" s="18" t="s">
        <v>8871</v>
      </c>
      <c r="D8845" s="1"/>
      <c r="E8845" s="1"/>
      <c r="F8845" s="1" t="str">
        <f>IFERROR(__xludf.DUMMYFUNCTION("GOOGLETRANSLATE(B8845, ""en"", ""fa"")
"),"موفقیت در پادکست")</f>
        <v>موفقیت در پادکست</v>
      </c>
      <c r="G8845" s="1" t="str">
        <f>IFERROR(__xludf.DUMMYFUNCTION("GOOGLETRANSLATE(C8845, ""en"", ""fa"")
"),"تکنیک های موثر برای بهینه سازی عنوان پادکست، توضیحات و کلمات کلیدی برای بهبود قابلیت کشف چیست؟")</f>
        <v>تکنیک های موثر برای بهینه سازی عنوان پادکست، توضیحات و کلمات کلیدی برای بهبود قابلیت کشف چیست؟</v>
      </c>
      <c r="H8845" s="1"/>
      <c r="I8845" s="1"/>
      <c r="J8845" s="1"/>
      <c r="K8845" s="1"/>
      <c r="L8845" s="1"/>
      <c r="M8845" s="1"/>
      <c r="N8845" s="1"/>
      <c r="O8845" s="1"/>
      <c r="P8845" s="1"/>
      <c r="Q8845" s="1"/>
      <c r="R8845" s="1"/>
      <c r="S8845" s="1"/>
      <c r="T8845" s="1"/>
      <c r="U8845" s="1"/>
      <c r="V8845" s="1"/>
      <c r="W8845" s="1"/>
      <c r="X8845" s="1"/>
      <c r="Y8845" s="1"/>
      <c r="Z8845" s="1"/>
      <c r="AA8845" s="1"/>
      <c r="AB8845" s="1"/>
    </row>
    <row r="8846" ht="50.25" customHeight="1">
      <c r="A8846" s="12">
        <v>8842.0</v>
      </c>
      <c r="B8846" s="13" t="s">
        <v>8699</v>
      </c>
      <c r="C8846" s="18" t="s">
        <v>8872</v>
      </c>
      <c r="D8846" s="1"/>
      <c r="E8846" s="1"/>
      <c r="F8846" s="1" t="str">
        <f>IFERROR(__xludf.DUMMYFUNCTION("GOOGLETRANSLATE(B8846, ""en"", ""fa"")
"),"موفقیت در پادکست")</f>
        <v>موفقیت در پادکست</v>
      </c>
      <c r="G8846" s="1" t="str">
        <f>IFERROR(__xludf.DUMMYFUNCTION("GOOGLETRANSLATE(C8846, ""en"", ""fa"")
"),"چگونه از پلتفرم های رسانه های اجتماعی برای تبلیغ پادکست خود و تعامل با مخاطبان خود استفاده کنید؟")</f>
        <v>چگونه از پلتفرم های رسانه های اجتماعی برای تبلیغ پادکست خود و تعامل با مخاطبان خود استفاده کنید؟</v>
      </c>
      <c r="H8846" s="1"/>
      <c r="I8846" s="1"/>
      <c r="J8846" s="1"/>
      <c r="K8846" s="1"/>
      <c r="L8846" s="1"/>
      <c r="M8846" s="1"/>
      <c r="N8846" s="1"/>
      <c r="O8846" s="1"/>
      <c r="P8846" s="1"/>
      <c r="Q8846" s="1"/>
      <c r="R8846" s="1"/>
      <c r="S8846" s="1"/>
      <c r="T8846" s="1"/>
      <c r="U8846" s="1"/>
      <c r="V8846" s="1"/>
      <c r="W8846" s="1"/>
      <c r="X8846" s="1"/>
      <c r="Y8846" s="1"/>
      <c r="Z8846" s="1"/>
      <c r="AA8846" s="1"/>
      <c r="AB8846" s="1"/>
    </row>
    <row r="8847" ht="50.25" customHeight="1">
      <c r="A8847" s="12">
        <v>8843.0</v>
      </c>
      <c r="B8847" s="13" t="s">
        <v>8699</v>
      </c>
      <c r="C8847" s="18" t="s">
        <v>8873</v>
      </c>
      <c r="D8847" s="1"/>
      <c r="E8847" s="1"/>
      <c r="F8847" s="1" t="str">
        <f>IFERROR(__xludf.DUMMYFUNCTION("GOOGLETRANSLATE(B8847, ""en"", ""fa"")
"),"موفقیت در پادکست")</f>
        <v>موفقیت در پادکست</v>
      </c>
      <c r="G8847" s="1" t="str">
        <f>IFERROR(__xludf.DUMMYFUNCTION("GOOGLETRANSLATE(C8847, ""en"", ""fa"")
"),"راهبردهای همکاری با سایر پادکست‌ها یا تأثیرگذاران برای گسترش دامنه پادکست شما چیست؟")</f>
        <v>راهبردهای همکاری با سایر پادکست‌ها یا تأثیرگذاران برای گسترش دامنه پادکست شما چیست؟</v>
      </c>
      <c r="H8847" s="1"/>
      <c r="I8847" s="1"/>
      <c r="J8847" s="1"/>
      <c r="K8847" s="1"/>
      <c r="L8847" s="1"/>
      <c r="M8847" s="1"/>
      <c r="N8847" s="1"/>
      <c r="O8847" s="1"/>
      <c r="P8847" s="1"/>
      <c r="Q8847" s="1"/>
      <c r="R8847" s="1"/>
      <c r="S8847" s="1"/>
      <c r="T8847" s="1"/>
      <c r="U8847" s="1"/>
      <c r="V8847" s="1"/>
      <c r="W8847" s="1"/>
      <c r="X8847" s="1"/>
      <c r="Y8847" s="1"/>
      <c r="Z8847" s="1"/>
      <c r="AA8847" s="1"/>
      <c r="AB8847" s="1"/>
    </row>
    <row r="8848" ht="50.25" customHeight="1">
      <c r="A8848" s="12">
        <v>8844.0</v>
      </c>
      <c r="B8848" s="13" t="s">
        <v>8699</v>
      </c>
      <c r="C8848" s="18" t="s">
        <v>8874</v>
      </c>
      <c r="D8848" s="1"/>
      <c r="E8848" s="1"/>
      <c r="F8848" s="1" t="str">
        <f>IFERROR(__xludf.DUMMYFUNCTION("GOOGLETRANSLATE(B8848, ""en"", ""fa"")
"),"موفقیت در پادکست")</f>
        <v>موفقیت در پادکست</v>
      </c>
      <c r="G8848" s="1" t="str">
        <f>IFERROR(__xludf.DUMMYFUNCTION("GOOGLETRANSLATE(C8848, ""en"", ""fa"")
"),"چگونه شنوندگان خود را تشویق و ترغیب کنیم که نظرات و رتبه‌بندی‌ها را در پلتفرم‌های پادکست بگذارند؟")</f>
        <v>چگونه شنوندگان خود را تشویق و ترغیب کنیم که نظرات و رتبه‌بندی‌ها را در پلتفرم‌های پادکست بگذارند؟</v>
      </c>
      <c r="H8848" s="1"/>
      <c r="I8848" s="1"/>
      <c r="J8848" s="1"/>
      <c r="K8848" s="1"/>
      <c r="L8848" s="1"/>
      <c r="M8848" s="1"/>
      <c r="N8848" s="1"/>
      <c r="O8848" s="1"/>
      <c r="P8848" s="1"/>
      <c r="Q8848" s="1"/>
      <c r="R8848" s="1"/>
      <c r="S8848" s="1"/>
      <c r="T8848" s="1"/>
      <c r="U8848" s="1"/>
      <c r="V8848" s="1"/>
      <c r="W8848" s="1"/>
      <c r="X8848" s="1"/>
      <c r="Y8848" s="1"/>
      <c r="Z8848" s="1"/>
      <c r="AA8848" s="1"/>
      <c r="AB8848" s="1"/>
    </row>
    <row r="8849" ht="50.25" customHeight="1">
      <c r="A8849" s="12">
        <v>8845.0</v>
      </c>
      <c r="B8849" s="13" t="s">
        <v>8699</v>
      </c>
      <c r="C8849" s="18" t="s">
        <v>8875</v>
      </c>
      <c r="D8849" s="1"/>
      <c r="E8849" s="1"/>
      <c r="F8849" s="1" t="str">
        <f>IFERROR(__xludf.DUMMYFUNCTION("GOOGLETRANSLATE(B8849, ""en"", ""fa"")
"),"موفقیت در پادکست")</f>
        <v>موفقیت در پادکست</v>
      </c>
      <c r="G8849" s="1" t="str">
        <f>IFERROR(__xludf.DUMMYFUNCTION("GOOGLETRANSLATE(C8849, ""en"", ""fa"")
"),"چه تکنیک هایی برای ایجاد تریلرهای پادکست جذاب یا قسمت های تیزر برای جذب شنوندگان جدید وجود دارد؟")</f>
        <v>چه تکنیک هایی برای ایجاد تریلرهای پادکست جذاب یا قسمت های تیزر برای جذب شنوندگان جدید وجود دارد؟</v>
      </c>
      <c r="H8849" s="1"/>
      <c r="I8849" s="1"/>
      <c r="J8849" s="1"/>
      <c r="K8849" s="1"/>
      <c r="L8849" s="1"/>
      <c r="M8849" s="1"/>
      <c r="N8849" s="1"/>
      <c r="O8849" s="1"/>
      <c r="P8849" s="1"/>
      <c r="Q8849" s="1"/>
      <c r="R8849" s="1"/>
      <c r="S8849" s="1"/>
      <c r="T8849" s="1"/>
      <c r="U8849" s="1"/>
      <c r="V8849" s="1"/>
      <c r="W8849" s="1"/>
      <c r="X8849" s="1"/>
      <c r="Y8849" s="1"/>
      <c r="Z8849" s="1"/>
      <c r="AA8849" s="1"/>
      <c r="AB8849" s="1"/>
    </row>
    <row r="8850" ht="50.25" customHeight="1">
      <c r="A8850" s="12">
        <v>8846.0</v>
      </c>
      <c r="B8850" s="13" t="s">
        <v>8699</v>
      </c>
      <c r="C8850" s="18" t="s">
        <v>8876</v>
      </c>
      <c r="D8850" s="1"/>
      <c r="E8850" s="1"/>
      <c r="F8850" s="1" t="str">
        <f>IFERROR(__xludf.DUMMYFUNCTION("GOOGLETRANSLATE(B8850, ""en"", ""fa"")
"),"موفقیت در پادکست")</f>
        <v>موفقیت در پادکست</v>
      </c>
      <c r="G8850" s="1" t="str">
        <f>IFERROR(__xludf.DUMMYFUNCTION("GOOGLETRANSLATE(C8850, ""en"", ""fa"")
"),"چگونه از بازاریابی ایمیلی برای رشد مخاطبان پادکست خود و تعامل با مشترکین خود به طور موثر استفاده کنید؟")</f>
        <v>چگونه از بازاریابی ایمیلی برای رشد مخاطبان پادکست خود و تعامل با مشترکین خود به طور موثر استفاده کنید؟</v>
      </c>
      <c r="H8850" s="1"/>
      <c r="I8850" s="1"/>
      <c r="J8850" s="1"/>
      <c r="K8850" s="1"/>
      <c r="L8850" s="1"/>
      <c r="M8850" s="1"/>
      <c r="N8850" s="1"/>
      <c r="O8850" s="1"/>
      <c r="P8850" s="1"/>
      <c r="Q8850" s="1"/>
      <c r="R8850" s="1"/>
      <c r="S8850" s="1"/>
      <c r="T8850" s="1"/>
      <c r="U8850" s="1"/>
      <c r="V8850" s="1"/>
      <c r="W8850" s="1"/>
      <c r="X8850" s="1"/>
      <c r="Y8850" s="1"/>
      <c r="Z8850" s="1"/>
      <c r="AA8850" s="1"/>
      <c r="AB8850" s="1"/>
    </row>
    <row r="8851" ht="50.25" customHeight="1">
      <c r="A8851" s="12">
        <v>8847.0</v>
      </c>
      <c r="B8851" s="13" t="s">
        <v>8699</v>
      </c>
      <c r="C8851" s="18" t="s">
        <v>8877</v>
      </c>
      <c r="D8851" s="1"/>
      <c r="E8851" s="1"/>
      <c r="F8851" s="1" t="str">
        <f>IFERROR(__xludf.DUMMYFUNCTION("GOOGLETRANSLATE(B8851, ""en"", ""fa"")
"),"موفقیت در پادکست")</f>
        <v>موفقیت در پادکست</v>
      </c>
      <c r="G8851" s="1" t="str">
        <f>IFERROR(__xludf.DUMMYFUNCTION("GOOGLETRANSLATE(C8851, ""en"", ""fa"")
"),"چه راهکارهایی برای استفاده از حضور مهمان در سایر پادکست ها برای افزایش دیده شدن پادکست شما وجود دارد؟")</f>
        <v>چه راهکارهایی برای استفاده از حضور مهمان در سایر پادکست ها برای افزایش دیده شدن پادکست شما وجود دارد؟</v>
      </c>
      <c r="H8851" s="1"/>
      <c r="I8851" s="1"/>
      <c r="J8851" s="1"/>
      <c r="K8851" s="1"/>
      <c r="L8851" s="1"/>
      <c r="M8851" s="1"/>
      <c r="N8851" s="1"/>
      <c r="O8851" s="1"/>
      <c r="P8851" s="1"/>
      <c r="Q8851" s="1"/>
      <c r="R8851" s="1"/>
      <c r="S8851" s="1"/>
      <c r="T8851" s="1"/>
      <c r="U8851" s="1"/>
      <c r="V8851" s="1"/>
      <c r="W8851" s="1"/>
      <c r="X8851" s="1"/>
      <c r="Y8851" s="1"/>
      <c r="Z8851" s="1"/>
      <c r="AA8851" s="1"/>
      <c r="AB8851" s="1"/>
    </row>
    <row r="8852" ht="50.25" customHeight="1">
      <c r="A8852" s="12">
        <v>8848.0</v>
      </c>
      <c r="B8852" s="13" t="s">
        <v>8699</v>
      </c>
      <c r="C8852" s="18" t="s">
        <v>8878</v>
      </c>
      <c r="D8852" s="1"/>
      <c r="E8852" s="1"/>
      <c r="F8852" s="1" t="str">
        <f>IFERROR(__xludf.DUMMYFUNCTION("GOOGLETRANSLATE(B8852, ""en"", ""fa"")
"),"موفقیت در پادکست")</f>
        <v>موفقیت در پادکست</v>
      </c>
      <c r="G8852" s="1" t="str">
        <f>IFERROR(__xludf.DUMMYFUNCTION("GOOGLETRANSLATE(C8852, ""en"", ""fa"")
"),"چگونه وب سایت پادکست خود را برای موتورهای جستجو بهینه کنیم و حضور آنلاین خود را تقویت کنیم؟")</f>
        <v>چگونه وب سایت پادکست خود را برای موتورهای جستجو بهینه کنیم و حضور آنلاین خود را تقویت کنیم؟</v>
      </c>
      <c r="H8852" s="1"/>
      <c r="I8852" s="1"/>
      <c r="J8852" s="1"/>
      <c r="K8852" s="1"/>
      <c r="L8852" s="1"/>
      <c r="M8852" s="1"/>
      <c r="N8852" s="1"/>
      <c r="O8852" s="1"/>
      <c r="P8852" s="1"/>
      <c r="Q8852" s="1"/>
      <c r="R8852" s="1"/>
      <c r="S8852" s="1"/>
      <c r="T8852" s="1"/>
      <c r="U8852" s="1"/>
      <c r="V8852" s="1"/>
      <c r="W8852" s="1"/>
      <c r="X8852" s="1"/>
      <c r="Y8852" s="1"/>
      <c r="Z8852" s="1"/>
      <c r="AA8852" s="1"/>
      <c r="AB8852" s="1"/>
    </row>
    <row r="8853" ht="50.25" customHeight="1">
      <c r="A8853" s="12">
        <v>8849.0</v>
      </c>
      <c r="B8853" s="13" t="s">
        <v>8699</v>
      </c>
      <c r="C8853" s="18" t="s">
        <v>8879</v>
      </c>
      <c r="D8853" s="1"/>
      <c r="E8853" s="1"/>
      <c r="F8853" s="1" t="str">
        <f>IFERROR(__xludf.DUMMYFUNCTION("GOOGLETRANSLATE(B8853, ""en"", ""fa"")
"),"موفقیت در پادکست")</f>
        <v>موفقیت در پادکست</v>
      </c>
      <c r="G8853" s="1" t="str">
        <f>IFERROR(__xludf.DUMMYFUNCTION("GOOGLETRANSLATE(C8853, ""en"", ""fa"")
"),"تکنیک های تبلیغ پادکست شما از طریق وبلاگ نویسی مهمان یا مشارکت در نشریات صنعتی چیست؟")</f>
        <v>تکنیک های تبلیغ پادکست شما از طریق وبلاگ نویسی مهمان یا مشارکت در نشریات صنعتی چیست؟</v>
      </c>
      <c r="H8853" s="1"/>
      <c r="I8853" s="1"/>
      <c r="J8853" s="1"/>
      <c r="K8853" s="1"/>
      <c r="L8853" s="1"/>
      <c r="M8853" s="1"/>
      <c r="N8853" s="1"/>
      <c r="O8853" s="1"/>
      <c r="P8853" s="1"/>
      <c r="Q8853" s="1"/>
      <c r="R8853" s="1"/>
      <c r="S8853" s="1"/>
      <c r="T8853" s="1"/>
      <c r="U8853" s="1"/>
      <c r="V8853" s="1"/>
      <c r="W8853" s="1"/>
      <c r="X8853" s="1"/>
      <c r="Y8853" s="1"/>
      <c r="Z8853" s="1"/>
      <c r="AA8853" s="1"/>
      <c r="AB8853" s="1"/>
    </row>
    <row r="8854" ht="50.25" customHeight="1">
      <c r="A8854" s="12">
        <v>8850.0</v>
      </c>
      <c r="B8854" s="13" t="s">
        <v>8699</v>
      </c>
      <c r="C8854" s="18" t="s">
        <v>8880</v>
      </c>
      <c r="D8854" s="1"/>
      <c r="E8854" s="1"/>
      <c r="F8854" s="1" t="str">
        <f>IFERROR(__xludf.DUMMYFUNCTION("GOOGLETRANSLATE(B8854, ""en"", ""fa"")
"),"موفقیت در پادکست")</f>
        <v>موفقیت در پادکست</v>
      </c>
      <c r="G8854" s="1" t="str">
        <f>IFERROR(__xludf.DUMMYFUNCTION("GOOGLETRANSLATE(C8854, ""en"", ""fa"")
"),"چگونه می توان گرافیک های پادکست یا ادیوگرام های جذاب و قابل اشتراک گذاری را برای تبلیغ رسانه های اجتماعی ایجاد کرد؟")</f>
        <v>چگونه می توان گرافیک های پادکست یا ادیوگرام های جذاب و قابل اشتراک گذاری را برای تبلیغ رسانه های اجتماعی ایجاد کرد؟</v>
      </c>
      <c r="H8854" s="1"/>
      <c r="I8854" s="1"/>
      <c r="J8854" s="1"/>
      <c r="K8854" s="1"/>
      <c r="L8854" s="1"/>
      <c r="M8854" s="1"/>
      <c r="N8854" s="1"/>
      <c r="O8854" s="1"/>
      <c r="P8854" s="1"/>
      <c r="Q8854" s="1"/>
      <c r="R8854" s="1"/>
      <c r="S8854" s="1"/>
      <c r="T8854" s="1"/>
      <c r="U8854" s="1"/>
      <c r="V8854" s="1"/>
      <c r="W8854" s="1"/>
      <c r="X8854" s="1"/>
      <c r="Y8854" s="1"/>
      <c r="Z8854" s="1"/>
      <c r="AA8854" s="1"/>
      <c r="AB8854" s="1"/>
    </row>
    <row r="8855" ht="50.25" customHeight="1">
      <c r="A8855" s="12">
        <v>8851.0</v>
      </c>
      <c r="B8855" s="13" t="s">
        <v>8699</v>
      </c>
      <c r="C8855" s="18" t="s">
        <v>8881</v>
      </c>
      <c r="D8855" s="1"/>
      <c r="E8855" s="1"/>
      <c r="F8855" s="1" t="str">
        <f>IFERROR(__xludf.DUMMYFUNCTION("GOOGLETRANSLATE(B8855, ""en"", ""fa"")
"),"موفقیت در پادکست")</f>
        <v>موفقیت در پادکست</v>
      </c>
      <c r="G8855" s="1" t="str">
        <f>IFERROR(__xludf.DUMMYFUNCTION("GOOGLETRANSLATE(C8855, ""en"", ""fa"")
"),"راهبردهای استفاده از دایرکتوری ها و پلتفرم های پادکست برای دستیابی به مخاطبان جدید چیست؟")</f>
        <v>راهبردهای استفاده از دایرکتوری ها و پلتفرم های پادکست برای دستیابی به مخاطبان جدید چیست؟</v>
      </c>
      <c r="H8855" s="1"/>
      <c r="I8855" s="1"/>
      <c r="J8855" s="1"/>
      <c r="K8855" s="1"/>
      <c r="L8855" s="1"/>
      <c r="M8855" s="1"/>
      <c r="N8855" s="1"/>
      <c r="O8855" s="1"/>
      <c r="P8855" s="1"/>
      <c r="Q8855" s="1"/>
      <c r="R8855" s="1"/>
      <c r="S8855" s="1"/>
      <c r="T8855" s="1"/>
      <c r="U8855" s="1"/>
      <c r="V8855" s="1"/>
      <c r="W8855" s="1"/>
      <c r="X8855" s="1"/>
      <c r="Y8855" s="1"/>
      <c r="Z8855" s="1"/>
      <c r="AA8855" s="1"/>
      <c r="AB8855" s="1"/>
    </row>
    <row r="8856" ht="50.25" customHeight="1">
      <c r="A8856" s="12">
        <v>8852.0</v>
      </c>
      <c r="B8856" s="13" t="s">
        <v>8699</v>
      </c>
      <c r="C8856" s="18" t="s">
        <v>8882</v>
      </c>
      <c r="D8856" s="1"/>
      <c r="E8856" s="1"/>
      <c r="F8856" s="1" t="str">
        <f>IFERROR(__xludf.DUMMYFUNCTION("GOOGLETRANSLATE(B8856, ""en"", ""fa"")
"),"موفقیت در پادکست")</f>
        <v>موفقیت در پادکست</v>
      </c>
      <c r="G8856" s="1" t="str">
        <f>IFERROR(__xludf.DUMMYFUNCTION("GOOGLETRANSLATE(C8856, ""en"", ""fa"")
"),"چگونه از طریق انجمن‌ها، گروه‌های رسانه‌های اجتماعی یا انجمن‌های آنلاین، یک جامعه درگیر در اطراف پادکست خود بسازید؟")</f>
        <v>چگونه از طریق انجمن‌ها، گروه‌های رسانه‌های اجتماعی یا انجمن‌های آنلاین، یک جامعه درگیر در اطراف پادکست خود بسازید؟</v>
      </c>
      <c r="H8856" s="1"/>
      <c r="I8856" s="1"/>
      <c r="J8856" s="1"/>
      <c r="K8856" s="1"/>
      <c r="L8856" s="1"/>
      <c r="M8856" s="1"/>
      <c r="N8856" s="1"/>
      <c r="O8856" s="1"/>
      <c r="P8856" s="1"/>
      <c r="Q8856" s="1"/>
      <c r="R8856" s="1"/>
      <c r="S8856" s="1"/>
      <c r="T8856" s="1"/>
      <c r="U8856" s="1"/>
      <c r="V8856" s="1"/>
      <c r="W8856" s="1"/>
      <c r="X8856" s="1"/>
      <c r="Y8856" s="1"/>
      <c r="Z8856" s="1"/>
      <c r="AA8856" s="1"/>
      <c r="AB8856" s="1"/>
    </row>
    <row r="8857" ht="50.25" customHeight="1">
      <c r="A8857" s="12">
        <v>8853.0</v>
      </c>
      <c r="B8857" s="13" t="s">
        <v>8699</v>
      </c>
      <c r="C8857" s="18" t="s">
        <v>8883</v>
      </c>
      <c r="D8857" s="1"/>
      <c r="E8857" s="1"/>
      <c r="F8857" s="1" t="str">
        <f>IFERROR(__xludf.DUMMYFUNCTION("GOOGLETRANSLATE(B8857, ""en"", ""fa"")
"),"موفقیت در پادکست")</f>
        <v>موفقیت در پادکست</v>
      </c>
      <c r="G8857" s="1" t="str">
        <f>IFERROR(__xludf.DUMMYFUNCTION("GOOGLETRANSLATE(C8857, ""en"", ""fa"")
"),"تکنیک های استفاده از تبلیغات پولی، مانند تبلیغات فیس بوک یا گوگل ادوردز، برای تبلیغ پادکست چیست؟")</f>
        <v>تکنیک های استفاده از تبلیغات پولی، مانند تبلیغات فیس بوک یا گوگل ادوردز، برای تبلیغ پادکست چیست؟</v>
      </c>
      <c r="H8857" s="1"/>
      <c r="I8857" s="1"/>
      <c r="J8857" s="1"/>
      <c r="K8857" s="1"/>
      <c r="L8857" s="1"/>
      <c r="M8857" s="1"/>
      <c r="N8857" s="1"/>
      <c r="O8857" s="1"/>
      <c r="P8857" s="1"/>
      <c r="Q8857" s="1"/>
      <c r="R8857" s="1"/>
      <c r="S8857" s="1"/>
      <c r="T8857" s="1"/>
      <c r="U8857" s="1"/>
      <c r="V8857" s="1"/>
      <c r="W8857" s="1"/>
      <c r="X8857" s="1"/>
      <c r="Y8857" s="1"/>
      <c r="Z8857" s="1"/>
      <c r="AA8857" s="1"/>
      <c r="AB8857" s="1"/>
    </row>
    <row r="8858" ht="50.25" customHeight="1">
      <c r="A8858" s="12">
        <v>8854.0</v>
      </c>
      <c r="B8858" s="13" t="s">
        <v>8699</v>
      </c>
      <c r="C8858" s="18" t="s">
        <v>8884</v>
      </c>
      <c r="D8858" s="1"/>
      <c r="E8858" s="1"/>
      <c r="F8858" s="1" t="str">
        <f>IFERROR(__xludf.DUMMYFUNCTION("GOOGLETRANSLATE(B8858, ""en"", ""fa"")
"),"موفقیت در پادکست")</f>
        <v>موفقیت در پادکست</v>
      </c>
      <c r="G8858" s="1" t="str">
        <f>IFERROR(__xludf.DUMMYFUNCTION("GOOGLETRANSLATE(C8858, ""en"", ""fa"")
"),"چگونه با متخصصان صنعت یا رهبران فکری همکاری کنیم تا آنها را به عنوان مهمان در پادکست خود معرفی کنیم و از مخاطبان موجود آنها استفاده کنیم؟")</f>
        <v>چگونه با متخصصان صنعت یا رهبران فکری همکاری کنیم تا آنها را به عنوان مهمان در پادکست خود معرفی کنیم و از مخاطبان موجود آنها استفاده کنیم؟</v>
      </c>
      <c r="H8858" s="1"/>
      <c r="I8858" s="1"/>
      <c r="J8858" s="1"/>
      <c r="K8858" s="1"/>
      <c r="L8858" s="1"/>
      <c r="M8858" s="1"/>
      <c r="N8858" s="1"/>
      <c r="O8858" s="1"/>
      <c r="P8858" s="1"/>
      <c r="Q8858" s="1"/>
      <c r="R8858" s="1"/>
      <c r="S8858" s="1"/>
      <c r="T8858" s="1"/>
      <c r="U8858" s="1"/>
      <c r="V8858" s="1"/>
      <c r="W8858" s="1"/>
      <c r="X8858" s="1"/>
      <c r="Y8858" s="1"/>
      <c r="Z8858" s="1"/>
      <c r="AA8858" s="1"/>
      <c r="AB8858" s="1"/>
    </row>
    <row r="8859" ht="50.25" customHeight="1">
      <c r="A8859" s="12">
        <v>8855.0</v>
      </c>
      <c r="B8859" s="13" t="s">
        <v>8699</v>
      </c>
      <c r="C8859" s="18" t="s">
        <v>8885</v>
      </c>
      <c r="D8859" s="1"/>
      <c r="E8859" s="1"/>
      <c r="F8859" s="1" t="str">
        <f>IFERROR(__xludf.DUMMYFUNCTION("GOOGLETRANSLATE(B8859, ""en"", ""fa"")
"),"موفقیت در پادکست")</f>
        <v>موفقیت در پادکست</v>
      </c>
      <c r="G8859" s="1" t="str">
        <f>IFERROR(__xludf.DUMMYFUNCTION("GOOGLETRANSLATE(C8859, ""en"", ""fa"")
"),"استراتژی‌هایی برای تبلیغ متقابل پادکست خود در سایر کانال‌های رسانه‌ای مانند YouTube، وبلاگ‌ها یا خبرنامه‌ها چیست؟")</f>
        <v>استراتژی‌هایی برای تبلیغ متقابل پادکست خود در سایر کانال‌های رسانه‌ای مانند YouTube، وبلاگ‌ها یا خبرنامه‌ها چیست؟</v>
      </c>
      <c r="H8859" s="1"/>
      <c r="I8859" s="1"/>
      <c r="J8859" s="1"/>
      <c r="K8859" s="1"/>
      <c r="L8859" s="1"/>
      <c r="M8859" s="1"/>
      <c r="N8859" s="1"/>
      <c r="O8859" s="1"/>
      <c r="P8859" s="1"/>
      <c r="Q8859" s="1"/>
      <c r="R8859" s="1"/>
      <c r="S8859" s="1"/>
      <c r="T8859" s="1"/>
      <c r="U8859" s="1"/>
      <c r="V8859" s="1"/>
      <c r="W8859" s="1"/>
      <c r="X8859" s="1"/>
      <c r="Y8859" s="1"/>
      <c r="Z8859" s="1"/>
      <c r="AA8859" s="1"/>
      <c r="AB8859" s="1"/>
    </row>
    <row r="8860" ht="50.25" customHeight="1">
      <c r="A8860" s="12">
        <v>8856.0</v>
      </c>
      <c r="B8860" s="13" t="s">
        <v>8699</v>
      </c>
      <c r="C8860" s="18" t="s">
        <v>8886</v>
      </c>
      <c r="D8860" s="1"/>
      <c r="E8860" s="1"/>
      <c r="F8860" s="1" t="str">
        <f>IFERROR(__xludf.DUMMYFUNCTION("GOOGLETRANSLATE(B8860, ""en"", ""fa"")
"),"موفقیت در پادکست")</f>
        <v>موفقیت در پادکست</v>
      </c>
      <c r="G8860" s="1" t="str">
        <f>IFERROR(__xludf.DUMMYFUNCTION("GOOGLETRANSLATE(C8860, ""en"", ""fa"")
"),"چگونه از شبکه و روابط موجود خود استفاده کنید تا در معرض دید قرار بگیرید و مخاطبان پادکست خود را افزایش دهید؟")</f>
        <v>چگونه از شبکه و روابط موجود خود استفاده کنید تا در معرض دید قرار بگیرید و مخاطبان پادکست خود را افزایش دهید؟</v>
      </c>
      <c r="H8860" s="1"/>
      <c r="I8860" s="1"/>
      <c r="J8860" s="1"/>
      <c r="K8860" s="1"/>
      <c r="L8860" s="1"/>
      <c r="M8860" s="1"/>
      <c r="N8860" s="1"/>
      <c r="O8860" s="1"/>
      <c r="P8860" s="1"/>
      <c r="Q8860" s="1"/>
      <c r="R8860" s="1"/>
      <c r="S8860" s="1"/>
      <c r="T8860" s="1"/>
      <c r="U8860" s="1"/>
      <c r="V8860" s="1"/>
      <c r="W8860" s="1"/>
      <c r="X8860" s="1"/>
      <c r="Y8860" s="1"/>
      <c r="Z8860" s="1"/>
      <c r="AA8860" s="1"/>
      <c r="AB8860" s="1"/>
    </row>
    <row r="8861" ht="50.25" customHeight="1">
      <c r="A8861" s="12">
        <v>8857.0</v>
      </c>
      <c r="B8861" s="13" t="s">
        <v>8699</v>
      </c>
      <c r="C8861" s="18" t="s">
        <v>8887</v>
      </c>
      <c r="D8861" s="1"/>
      <c r="E8861" s="1"/>
      <c r="F8861" s="1" t="str">
        <f>IFERROR(__xludf.DUMMYFUNCTION("GOOGLETRANSLATE(B8861, ""en"", ""fa"")
"),"موفقیت در پادکست")</f>
        <v>موفقیت در پادکست</v>
      </c>
      <c r="G8861" s="1" t="str">
        <f>IFERROR(__xludf.DUMMYFUNCTION("GOOGLETRANSLATE(C8861, ""en"", ""fa"")
"),"تکنیک های استفاده از استراتژی های بهینه سازی موتور جستجو (SEO) برای بهبود دیده شدن پادکست شما در نتایج جستجو چیست؟")</f>
        <v>تکنیک های استفاده از استراتژی های بهینه سازی موتور جستجو (SEO) برای بهبود دیده شدن پادکست شما در نتایج جستجو چیست؟</v>
      </c>
      <c r="H8861" s="1"/>
      <c r="I8861" s="1"/>
      <c r="J8861" s="1"/>
      <c r="K8861" s="1"/>
      <c r="L8861" s="1"/>
      <c r="M8861" s="1"/>
      <c r="N8861" s="1"/>
      <c r="O8861" s="1"/>
      <c r="P8861" s="1"/>
      <c r="Q8861" s="1"/>
      <c r="R8861" s="1"/>
      <c r="S8861" s="1"/>
      <c r="T8861" s="1"/>
      <c r="U8861" s="1"/>
      <c r="V8861" s="1"/>
      <c r="W8861" s="1"/>
      <c r="X8861" s="1"/>
      <c r="Y8861" s="1"/>
      <c r="Z8861" s="1"/>
      <c r="AA8861" s="1"/>
      <c r="AB8861" s="1"/>
    </row>
    <row r="8862" ht="50.25" customHeight="1">
      <c r="A8862" s="12">
        <v>8858.0</v>
      </c>
      <c r="B8862" s="13" t="s">
        <v>8699</v>
      </c>
      <c r="C8862" s="18" t="s">
        <v>8888</v>
      </c>
      <c r="D8862" s="1"/>
      <c r="E8862" s="1"/>
      <c r="F8862" s="1" t="str">
        <f>IFERROR(__xludf.DUMMYFUNCTION("GOOGLETRANSLATE(B8862, ""en"", ""fa"")
"),"موفقیت در پادکست")</f>
        <v>موفقیت در پادکست</v>
      </c>
      <c r="G8862" s="1" t="str">
        <f>IFERROR(__xludf.DUMMYFUNCTION("GOOGLETRANSLATE(C8862, ""en"", ""fa"")
"),"چگونه می توان بازخورد و پیشنهادات شنونده را برای بهبود مستمر و اصلاح محتوای پادکست خود ترکیب کرد؟")</f>
        <v>چگونه می توان بازخورد و پیشنهادات شنونده را برای بهبود مستمر و اصلاح محتوای پادکست خود ترکیب کرد؟</v>
      </c>
      <c r="H8862" s="1"/>
      <c r="I8862" s="1"/>
      <c r="J8862" s="1"/>
      <c r="K8862" s="1"/>
      <c r="L8862" s="1"/>
      <c r="M8862" s="1"/>
      <c r="N8862" s="1"/>
      <c r="O8862" s="1"/>
      <c r="P8862" s="1"/>
      <c r="Q8862" s="1"/>
      <c r="R8862" s="1"/>
      <c r="S8862" s="1"/>
      <c r="T8862" s="1"/>
      <c r="U8862" s="1"/>
      <c r="V8862" s="1"/>
      <c r="W8862" s="1"/>
      <c r="X8862" s="1"/>
      <c r="Y8862" s="1"/>
      <c r="Z8862" s="1"/>
      <c r="AA8862" s="1"/>
      <c r="AB8862" s="1"/>
    </row>
    <row r="8863" ht="50.25" customHeight="1">
      <c r="A8863" s="12">
        <v>8859.0</v>
      </c>
      <c r="B8863" s="13" t="s">
        <v>8699</v>
      </c>
      <c r="C8863" s="18" t="s">
        <v>8889</v>
      </c>
      <c r="D8863" s="1"/>
      <c r="E8863" s="1"/>
      <c r="F8863" s="1" t="str">
        <f>IFERROR(__xludf.DUMMYFUNCTION("GOOGLETRANSLATE(B8863, ""en"", ""fa"")
"),"موفقیت در پادکست")</f>
        <v>موفقیت در پادکست</v>
      </c>
      <c r="G8863" s="1" t="str">
        <f>IFERROR(__xludf.DUMMYFUNCTION("GOOGLETRANSLATE(C8863, ""en"", ""fa"")
"),"استراتژی‌های شرکت در رویدادها، کنفرانس‌ها یا پانل‌های مرتبط صنعتی برای افزایش دیده شدن پادکست شما چیست؟")</f>
        <v>استراتژی‌های شرکت در رویدادها، کنفرانس‌ها یا پانل‌های مرتبط صنعتی برای افزایش دیده شدن پادکست شما چیست؟</v>
      </c>
      <c r="H8863" s="1"/>
      <c r="I8863" s="1"/>
      <c r="J8863" s="1"/>
      <c r="K8863" s="1"/>
      <c r="L8863" s="1"/>
      <c r="M8863" s="1"/>
      <c r="N8863" s="1"/>
      <c r="O8863" s="1"/>
      <c r="P8863" s="1"/>
      <c r="Q8863" s="1"/>
      <c r="R8863" s="1"/>
      <c r="S8863" s="1"/>
      <c r="T8863" s="1"/>
      <c r="U8863" s="1"/>
      <c r="V8863" s="1"/>
      <c r="W8863" s="1"/>
      <c r="X8863" s="1"/>
      <c r="Y8863" s="1"/>
      <c r="Z8863" s="1"/>
      <c r="AA8863" s="1"/>
      <c r="AB8863" s="1"/>
    </row>
    <row r="8864" ht="50.25" customHeight="1">
      <c r="A8864" s="12">
        <v>8860.0</v>
      </c>
      <c r="B8864" s="13" t="s">
        <v>8699</v>
      </c>
      <c r="C8864" s="18" t="s">
        <v>8890</v>
      </c>
      <c r="D8864" s="1"/>
      <c r="E8864" s="1"/>
      <c r="F8864" s="1" t="str">
        <f>IFERROR(__xludf.DUMMYFUNCTION("GOOGLETRANSLATE(B8864, ""en"", ""fa"")
"),"موفقیت در پادکست")</f>
        <v>موفقیت در پادکست</v>
      </c>
      <c r="G8864" s="1" t="str">
        <f>IFERROR(__xludf.DUMMYFUNCTION("GOOGLETRANSLATE(C8864, ""en"", ""fa"")
"),"چگونه می‌توان محتوای رسانه‌های اجتماعی جذاب و قابل اشتراک‌گذاری مرتبط با قسمت‌های پادکست خود ایجاد کرد تا دامنه دسترسی خود را افزایش دهید؟")</f>
        <v>چگونه می‌توان محتوای رسانه‌های اجتماعی جذاب و قابل اشتراک‌گذاری مرتبط با قسمت‌های پادکست خود ایجاد کرد تا دامنه دسترسی خود را افزایش دهید؟</v>
      </c>
      <c r="H8864" s="1"/>
      <c r="I8864" s="1"/>
      <c r="J8864" s="1"/>
      <c r="K8864" s="1"/>
      <c r="L8864" s="1"/>
      <c r="M8864" s="1"/>
      <c r="N8864" s="1"/>
      <c r="O8864" s="1"/>
      <c r="P8864" s="1"/>
      <c r="Q8864" s="1"/>
      <c r="R8864" s="1"/>
      <c r="S8864" s="1"/>
      <c r="T8864" s="1"/>
      <c r="U8864" s="1"/>
      <c r="V8864" s="1"/>
      <c r="W8864" s="1"/>
      <c r="X8864" s="1"/>
      <c r="Y8864" s="1"/>
      <c r="Z8864" s="1"/>
      <c r="AA8864" s="1"/>
      <c r="AB8864" s="1"/>
    </row>
    <row r="8865" ht="50.25" customHeight="1">
      <c r="A8865" s="12">
        <v>8861.0</v>
      </c>
      <c r="B8865" s="13" t="s">
        <v>8699</v>
      </c>
      <c r="C8865" s="18" t="s">
        <v>8891</v>
      </c>
      <c r="D8865" s="1"/>
      <c r="E8865" s="1"/>
      <c r="F8865" s="1" t="str">
        <f>IFERROR(__xludf.DUMMYFUNCTION("GOOGLETRANSLATE(B8865, ""en"", ""fa"")
"),"موفقیت در پادکست")</f>
        <v>موفقیت در پادکست</v>
      </c>
      <c r="G8865" s="1" t="str">
        <f>IFERROR(__xludf.DUMMYFUNCTION("GOOGLETRANSLATE(C8865, ""en"", ""fa"")
"),"تکنیک های استفاده از مشارکت اینفلوئنسرها یا همکاری های برند برای تبلیغ پادکست شما چیست؟")</f>
        <v>تکنیک های استفاده از مشارکت اینفلوئنسرها یا همکاری های برند برای تبلیغ پادکست شما چیست؟</v>
      </c>
      <c r="H8865" s="1"/>
      <c r="I8865" s="1"/>
      <c r="J8865" s="1"/>
      <c r="K8865" s="1"/>
      <c r="L8865" s="1"/>
      <c r="M8865" s="1"/>
      <c r="N8865" s="1"/>
      <c r="O8865" s="1"/>
      <c r="P8865" s="1"/>
      <c r="Q8865" s="1"/>
      <c r="R8865" s="1"/>
      <c r="S8865" s="1"/>
      <c r="T8865" s="1"/>
      <c r="U8865" s="1"/>
      <c r="V8865" s="1"/>
      <c r="W8865" s="1"/>
      <c r="X8865" s="1"/>
      <c r="Y8865" s="1"/>
      <c r="Z8865" s="1"/>
      <c r="AA8865" s="1"/>
      <c r="AB8865" s="1"/>
    </row>
    <row r="8866" ht="50.25" customHeight="1">
      <c r="A8866" s="12">
        <v>8862.0</v>
      </c>
      <c r="B8866" s="13" t="s">
        <v>8699</v>
      </c>
      <c r="C8866" s="18" t="s">
        <v>8892</v>
      </c>
      <c r="D8866" s="1"/>
      <c r="E8866" s="1"/>
      <c r="F8866" s="1" t="str">
        <f>IFERROR(__xludf.DUMMYFUNCTION("GOOGLETRANSLATE(B8866, ""en"", ""fa"")
"),"موفقیت در پادکست")</f>
        <v>موفقیت در پادکست</v>
      </c>
      <c r="G8866" s="1" t="str">
        <f>IFERROR(__xludf.DUMMYFUNCTION("GOOGLETRANSLATE(C8866, ""en"", ""fa"")
"),"چگونه می‌توان در کانال‌های محبوب یوتیوب مهمان شد یا در مصاحبه‌های ویدیویی شرکت کرد تا به مخاطبان جدید دست یابد؟")</f>
        <v>چگونه می‌توان در کانال‌های محبوب یوتیوب مهمان شد یا در مصاحبه‌های ویدیویی شرکت کرد تا به مخاطبان جدید دست یابد؟</v>
      </c>
      <c r="H8866" s="1"/>
      <c r="I8866" s="1"/>
      <c r="J8866" s="1"/>
      <c r="K8866" s="1"/>
      <c r="L8866" s="1"/>
      <c r="M8866" s="1"/>
      <c r="N8866" s="1"/>
      <c r="O8866" s="1"/>
      <c r="P8866" s="1"/>
      <c r="Q8866" s="1"/>
      <c r="R8866" s="1"/>
      <c r="S8866" s="1"/>
      <c r="T8866" s="1"/>
      <c r="U8866" s="1"/>
      <c r="V8866" s="1"/>
      <c r="W8866" s="1"/>
      <c r="X8866" s="1"/>
      <c r="Y8866" s="1"/>
      <c r="Z8866" s="1"/>
      <c r="AA8866" s="1"/>
      <c r="AB8866" s="1"/>
    </row>
    <row r="8867" ht="50.25" customHeight="1">
      <c r="A8867" s="12">
        <v>8863.0</v>
      </c>
      <c r="B8867" s="13" t="s">
        <v>8699</v>
      </c>
      <c r="C8867" s="18" t="s">
        <v>8893</v>
      </c>
      <c r="D8867" s="1"/>
      <c r="E8867" s="1"/>
      <c r="F8867" s="1" t="str">
        <f>IFERROR(__xludf.DUMMYFUNCTION("GOOGLETRANSLATE(B8867, ""en"", ""fa"")
"),"موفقیت در پادکست")</f>
        <v>موفقیت در پادکست</v>
      </c>
      <c r="G8867" s="1" t="str">
        <f>IFERROR(__xludf.DUMMYFUNCTION("GOOGLETRANSLATE(C8867, ""en"", ""fa"")
"),"راهبردهای استفاده از شبکه های پادکست یا تجمیع کننده ها برای جلب توجه و جذب شنوندگان جدید چیست؟")</f>
        <v>راهبردهای استفاده از شبکه های پادکست یا تجمیع کننده ها برای جلب توجه و جذب شنوندگان جدید چیست؟</v>
      </c>
      <c r="H8867" s="1"/>
      <c r="I8867" s="1"/>
      <c r="J8867" s="1"/>
      <c r="K8867" s="1"/>
      <c r="L8867" s="1"/>
      <c r="M8867" s="1"/>
      <c r="N8867" s="1"/>
      <c r="O8867" s="1"/>
      <c r="P8867" s="1"/>
      <c r="Q8867" s="1"/>
      <c r="R8867" s="1"/>
      <c r="S8867" s="1"/>
      <c r="T8867" s="1"/>
      <c r="U8867" s="1"/>
      <c r="V8867" s="1"/>
      <c r="W8867" s="1"/>
      <c r="X8867" s="1"/>
      <c r="Y8867" s="1"/>
      <c r="Z8867" s="1"/>
      <c r="AA8867" s="1"/>
      <c r="AB8867" s="1"/>
    </row>
    <row r="8868" ht="50.25" customHeight="1">
      <c r="A8868" s="12">
        <v>8864.0</v>
      </c>
      <c r="B8868" s="13" t="s">
        <v>8699</v>
      </c>
      <c r="C8868" s="18" t="s">
        <v>8894</v>
      </c>
      <c r="D8868" s="1"/>
      <c r="E8868" s="1"/>
      <c r="F8868" s="1" t="str">
        <f>IFERROR(__xludf.DUMMYFUNCTION("GOOGLETRANSLATE(B8868, ""en"", ""fa"")
"),"موفقیت در پادکست")</f>
        <v>موفقیت در پادکست</v>
      </c>
      <c r="G8868" s="1" t="str">
        <f>IFERROR(__xludf.DUMMYFUNCTION("GOOGLETRANSLATE(C8868, ""en"", ""fa"")
"),"چگونه از طریق پلتفرم های پخش زنده، مانند توییچ یا اینستاگرام لایو، با مخاطبان خود درگیر شوید تا ارتباط و وفاداری را تقویت کنید؟")</f>
        <v>چگونه از طریق پلتفرم های پخش زنده، مانند توییچ یا اینستاگرام لایو، با مخاطبان خود درگیر شوید تا ارتباط و وفاداری را تقویت کنید؟</v>
      </c>
      <c r="H8868" s="1"/>
      <c r="I8868" s="1"/>
      <c r="J8868" s="1"/>
      <c r="K8868" s="1"/>
      <c r="L8868" s="1"/>
      <c r="M8868" s="1"/>
      <c r="N8868" s="1"/>
      <c r="O8868" s="1"/>
      <c r="P8868" s="1"/>
      <c r="Q8868" s="1"/>
      <c r="R8868" s="1"/>
      <c r="S8868" s="1"/>
      <c r="T8868" s="1"/>
      <c r="U8868" s="1"/>
      <c r="V8868" s="1"/>
      <c r="W8868" s="1"/>
      <c r="X8868" s="1"/>
      <c r="Y8868" s="1"/>
      <c r="Z8868" s="1"/>
      <c r="AA8868" s="1"/>
      <c r="AB8868" s="1"/>
    </row>
    <row r="8869" ht="50.25" customHeight="1">
      <c r="A8869" s="12">
        <v>8865.0</v>
      </c>
      <c r="B8869" s="13" t="s">
        <v>8699</v>
      </c>
      <c r="C8869" s="18" t="s">
        <v>8895</v>
      </c>
      <c r="D8869" s="1"/>
      <c r="E8869" s="1"/>
      <c r="F8869" s="1" t="str">
        <f>IFERROR(__xludf.DUMMYFUNCTION("GOOGLETRANSLATE(B8869, ""en"", ""fa"")
"),"موفقیت در پادکست")</f>
        <v>موفقیت در پادکست</v>
      </c>
      <c r="G8869" s="1" t="str">
        <f>IFERROR(__xludf.DUMMYFUNCTION("GOOGLETRANSLATE(C8869, ""en"", ""fa"")
"),"چه تکنیک هایی برای ایجاد قسمت های پادکست جذاب و تعاملی وجود دارد که مشارکت و اشتراک شنوندگان را تشویق می کند؟")</f>
        <v>چه تکنیک هایی برای ایجاد قسمت های پادکست جذاب و تعاملی وجود دارد که مشارکت و اشتراک شنوندگان را تشویق می کند؟</v>
      </c>
      <c r="H8869" s="1"/>
      <c r="I8869" s="1"/>
      <c r="J8869" s="1"/>
      <c r="K8869" s="1"/>
      <c r="L8869" s="1"/>
      <c r="M8869" s="1"/>
      <c r="N8869" s="1"/>
      <c r="O8869" s="1"/>
      <c r="P8869" s="1"/>
      <c r="Q8869" s="1"/>
      <c r="R8869" s="1"/>
      <c r="S8869" s="1"/>
      <c r="T8869" s="1"/>
      <c r="U8869" s="1"/>
      <c r="V8869" s="1"/>
      <c r="W8869" s="1"/>
      <c r="X8869" s="1"/>
      <c r="Y8869" s="1"/>
      <c r="Z8869" s="1"/>
      <c r="AA8869" s="1"/>
      <c r="AB8869" s="1"/>
    </row>
    <row r="8870" ht="50.25" customHeight="1">
      <c r="A8870" s="12">
        <v>8866.0</v>
      </c>
      <c r="B8870" s="13" t="s">
        <v>8699</v>
      </c>
      <c r="C8870" s="18" t="s">
        <v>8896</v>
      </c>
      <c r="D8870" s="1"/>
      <c r="E8870" s="1"/>
      <c r="F8870" s="1" t="str">
        <f>IFERROR(__xludf.DUMMYFUNCTION("GOOGLETRANSLATE(B8870, ""en"", ""fa"")
"),"موفقیت در پادکست")</f>
        <v>موفقیت در پادکست</v>
      </c>
      <c r="G8870" s="1" t="str">
        <f>IFERROR(__xludf.DUMMYFUNCTION("GOOGLETRANSLATE(C8870, ""en"", ""fa"")
"),"چگونه از محتوای تولید شده توسط کاربر، مانند توصیفات یا هنرهای طرفداران، برای تبلیغ پادکست خود و جذب مخاطبان خود استفاده کنید؟")</f>
        <v>چگونه از محتوای تولید شده توسط کاربر، مانند توصیفات یا هنرهای طرفداران، برای تبلیغ پادکست خود و جذب مخاطبان خود استفاده کنید؟</v>
      </c>
      <c r="H8870" s="1"/>
      <c r="I8870" s="1"/>
      <c r="J8870" s="1"/>
      <c r="K8870" s="1"/>
      <c r="L8870" s="1"/>
      <c r="M8870" s="1"/>
      <c r="N8870" s="1"/>
      <c r="O8870" s="1"/>
      <c r="P8870" s="1"/>
      <c r="Q8870" s="1"/>
      <c r="R8870" s="1"/>
      <c r="S8870" s="1"/>
      <c r="T8870" s="1"/>
      <c r="U8870" s="1"/>
      <c r="V8870" s="1"/>
      <c r="W8870" s="1"/>
      <c r="X8870" s="1"/>
      <c r="Y8870" s="1"/>
      <c r="Z8870" s="1"/>
      <c r="AA8870" s="1"/>
      <c r="AB8870" s="1"/>
    </row>
    <row r="8871" ht="50.25" customHeight="1">
      <c r="A8871" s="12">
        <v>8867.0</v>
      </c>
      <c r="B8871" s="13" t="s">
        <v>8699</v>
      </c>
      <c r="C8871" s="18" t="s">
        <v>8897</v>
      </c>
      <c r="D8871" s="1"/>
      <c r="E8871" s="1"/>
      <c r="F8871" s="1" t="str">
        <f>IFERROR(__xludf.DUMMYFUNCTION("GOOGLETRANSLATE(B8871, ""en"", ""fa"")
"),"موفقیت در پادکست")</f>
        <v>موفقیت در پادکست</v>
      </c>
      <c r="G8871" s="1" t="str">
        <f>IFERROR(__xludf.DUMMYFUNCTION("GOOGLETRANSLATE(C8871, ""en"", ""fa"")
"),"استراتژی‌های بهینه‌سازی حضور پادکست شما در پلتفرم‌های صوتی اجتماعی، مانند Clubhouse یا Twitter Spaces چیست؟")</f>
        <v>استراتژی‌های بهینه‌سازی حضور پادکست شما در پلتفرم‌های صوتی اجتماعی، مانند Clubhouse یا Twitter Spaces چیست؟</v>
      </c>
      <c r="H8871" s="1"/>
      <c r="I8871" s="1"/>
      <c r="J8871" s="1"/>
      <c r="K8871" s="1"/>
      <c r="L8871" s="1"/>
      <c r="M8871" s="1"/>
      <c r="N8871" s="1"/>
      <c r="O8871" s="1"/>
      <c r="P8871" s="1"/>
      <c r="Q8871" s="1"/>
      <c r="R8871" s="1"/>
      <c r="S8871" s="1"/>
      <c r="T8871" s="1"/>
      <c r="U8871" s="1"/>
      <c r="V8871" s="1"/>
      <c r="W8871" s="1"/>
      <c r="X8871" s="1"/>
      <c r="Y8871" s="1"/>
      <c r="Z8871" s="1"/>
      <c r="AA8871" s="1"/>
      <c r="AB8871" s="1"/>
    </row>
    <row r="8872" ht="50.25" customHeight="1">
      <c r="A8872" s="12">
        <v>8868.0</v>
      </c>
      <c r="B8872" s="13" t="s">
        <v>8699</v>
      </c>
      <c r="C8872" s="18" t="s">
        <v>8898</v>
      </c>
      <c r="D8872" s="1"/>
      <c r="E8872" s="1"/>
      <c r="F8872" s="1" t="str">
        <f>IFERROR(__xludf.DUMMYFUNCTION("GOOGLETRANSLATE(B8872, ""en"", ""fa"")
"),"موفقیت در پادکست")</f>
        <v>موفقیت در پادکست</v>
      </c>
      <c r="G8872" s="1" t="str">
        <f>IFERROR(__xludf.DUMMYFUNCTION("GOOGLETRANSLATE(C8872, ""en"", ""fa"")
"),"چگونه می توان برنامه های ارجاع یا وابسته را برای تشویق شنوندگان فعلی خود برای تبلیغ پادکست خود به دیگران پیاده سازی کرد؟")</f>
        <v>چگونه می توان برنامه های ارجاع یا وابسته را برای تشویق شنوندگان فعلی خود برای تبلیغ پادکست خود به دیگران پیاده سازی کرد؟</v>
      </c>
      <c r="H8872" s="1"/>
      <c r="I8872" s="1"/>
      <c r="J8872" s="1"/>
      <c r="K8872" s="1"/>
      <c r="L8872" s="1"/>
      <c r="M8872" s="1"/>
      <c r="N8872" s="1"/>
      <c r="O8872" s="1"/>
      <c r="P8872" s="1"/>
      <c r="Q8872" s="1"/>
      <c r="R8872" s="1"/>
      <c r="S8872" s="1"/>
      <c r="T8872" s="1"/>
      <c r="U8872" s="1"/>
      <c r="V8872" s="1"/>
      <c r="W8872" s="1"/>
      <c r="X8872" s="1"/>
      <c r="Y8872" s="1"/>
      <c r="Z8872" s="1"/>
      <c r="AA8872" s="1"/>
      <c r="AB8872" s="1"/>
    </row>
    <row r="8873" ht="50.25" customHeight="1">
      <c r="A8873" s="12">
        <v>8869.0</v>
      </c>
      <c r="B8873" s="13" t="s">
        <v>8699</v>
      </c>
      <c r="C8873" s="18" t="s">
        <v>8899</v>
      </c>
      <c r="D8873" s="1"/>
      <c r="E8873" s="1"/>
      <c r="F8873" s="1" t="str">
        <f>IFERROR(__xludf.DUMMYFUNCTION("GOOGLETRANSLATE(B8873, ""en"", ""fa"")
"),"موفقیت در پادکست")</f>
        <v>موفقیت در پادکست</v>
      </c>
      <c r="G8873" s="1" t="str">
        <f>IFERROR(__xludf.DUMMYFUNCTION("GOOGLETRANSLATE(C8873, ""en"", ""fa"")
"),"تکنیک های استفاده از استراتژی های اینفلوئنسر مارکتینگ برای افزایش دسترسی پادکست و جذب شنوندگان جدید چیست؟")</f>
        <v>تکنیک های استفاده از استراتژی های اینفلوئنسر مارکتینگ برای افزایش دسترسی پادکست و جذب شنوندگان جدید چیست؟</v>
      </c>
      <c r="H8873" s="1"/>
      <c r="I8873" s="1"/>
      <c r="J8873" s="1"/>
      <c r="K8873" s="1"/>
      <c r="L8873" s="1"/>
      <c r="M8873" s="1"/>
      <c r="N8873" s="1"/>
      <c r="O8873" s="1"/>
      <c r="P8873" s="1"/>
      <c r="Q8873" s="1"/>
      <c r="R8873" s="1"/>
      <c r="S8873" s="1"/>
      <c r="T8873" s="1"/>
      <c r="U8873" s="1"/>
      <c r="V8873" s="1"/>
      <c r="W8873" s="1"/>
      <c r="X8873" s="1"/>
      <c r="Y8873" s="1"/>
      <c r="Z8873" s="1"/>
      <c r="AA8873" s="1"/>
      <c r="AB8873" s="1"/>
    </row>
    <row r="8874" ht="50.25" customHeight="1">
      <c r="A8874" s="12">
        <v>8870.0</v>
      </c>
      <c r="B8874" s="13" t="s">
        <v>8699</v>
      </c>
      <c r="C8874" s="18" t="s">
        <v>8900</v>
      </c>
      <c r="D8874" s="1"/>
      <c r="E8874" s="1"/>
      <c r="F8874" s="1" t="str">
        <f>IFERROR(__xludf.DUMMYFUNCTION("GOOGLETRANSLATE(B8874, ""en"", ""fa"")
"),"موفقیت در پادکست")</f>
        <v>موفقیت در پادکست</v>
      </c>
      <c r="G8874" s="1" t="str">
        <f>IFERROR(__xludf.DUMMYFUNCTION("GOOGLETRANSLATE(C8874, ""en"", ""fa"")
"),"چگونه به طور استراتژیک در پادکست هایی که مخاطبان مشابهی را هدف قرار می دهند مهمان شوید تا دسترسی خود را گسترش دهید و از پایگاه شنوندگان آنها استفاده کنید؟")</f>
        <v>چگونه به طور استراتژیک در پادکست هایی که مخاطبان مشابهی را هدف قرار می دهند مهمان شوید تا دسترسی خود را گسترش دهید و از پایگاه شنوندگان آنها استفاده کنید؟</v>
      </c>
      <c r="H8874" s="1"/>
      <c r="I8874" s="1"/>
      <c r="J8874" s="1"/>
      <c r="K8874" s="1"/>
      <c r="L8874" s="1"/>
      <c r="M8874" s="1"/>
      <c r="N8874" s="1"/>
      <c r="O8874" s="1"/>
      <c r="P8874" s="1"/>
      <c r="Q8874" s="1"/>
      <c r="R8874" s="1"/>
      <c r="S8874" s="1"/>
      <c r="T8874" s="1"/>
      <c r="U8874" s="1"/>
      <c r="V8874" s="1"/>
      <c r="W8874" s="1"/>
      <c r="X8874" s="1"/>
      <c r="Y8874" s="1"/>
      <c r="Z8874" s="1"/>
      <c r="AA8874" s="1"/>
      <c r="AB8874" s="1"/>
    </row>
    <row r="8875" ht="50.25" customHeight="1">
      <c r="A8875" s="12">
        <v>8871.0</v>
      </c>
      <c r="B8875" s="13" t="s">
        <v>8699</v>
      </c>
      <c r="C8875" s="18" t="s">
        <v>8901</v>
      </c>
      <c r="D8875" s="1"/>
      <c r="E8875" s="1"/>
      <c r="F8875" s="1" t="str">
        <f>IFERROR(__xludf.DUMMYFUNCTION("GOOGLETRANSLATE(B8875, ""en"", ""fa"")
"),"موفقیت در پادکست")</f>
        <v>موفقیت در پادکست</v>
      </c>
      <c r="G8875" s="1" t="str">
        <f>IFERROR(__xludf.DUMMYFUNCTION("GOOGLETRANSLATE(C8875, ""en"", ""fa"")
"),"استراتژی‌هایی برای استفاده از فرصت‌های روابط عمومی، مانند بیانیه‌های مطبوعاتی یا پوشش رسانه‌ای، برای افزایش دیده شدن پادکست چیست؟")</f>
        <v>استراتژی‌هایی برای استفاده از فرصت‌های روابط عمومی، مانند بیانیه‌های مطبوعاتی یا پوشش رسانه‌ای، برای افزایش دیده شدن پادکست چیست؟</v>
      </c>
      <c r="H8875" s="1"/>
      <c r="I8875" s="1"/>
      <c r="J8875" s="1"/>
      <c r="K8875" s="1"/>
      <c r="L8875" s="1"/>
      <c r="M8875" s="1"/>
      <c r="N8875" s="1"/>
      <c r="O8875" s="1"/>
      <c r="P8875" s="1"/>
      <c r="Q8875" s="1"/>
      <c r="R8875" s="1"/>
      <c r="S8875" s="1"/>
      <c r="T8875" s="1"/>
      <c r="U8875" s="1"/>
      <c r="V8875" s="1"/>
      <c r="W8875" s="1"/>
      <c r="X8875" s="1"/>
      <c r="Y8875" s="1"/>
      <c r="Z8875" s="1"/>
      <c r="AA8875" s="1"/>
      <c r="AB8875" s="1"/>
    </row>
    <row r="8876" ht="50.25" customHeight="1">
      <c r="A8876" s="12">
        <v>8872.0</v>
      </c>
      <c r="B8876" s="13" t="s">
        <v>8699</v>
      </c>
      <c r="C8876" s="18" t="s">
        <v>8902</v>
      </c>
      <c r="D8876" s="1"/>
      <c r="E8876" s="1"/>
      <c r="F8876" s="1" t="str">
        <f>IFERROR(__xludf.DUMMYFUNCTION("GOOGLETRANSLATE(B8876, ""en"", ""fa"")
"),"موفقیت در پادکست")</f>
        <v>موفقیت در پادکست</v>
      </c>
      <c r="G8876" s="1" t="str">
        <f>IFERROR(__xludf.DUMMYFUNCTION("GOOGLETRANSLATE(C8876, ""en"", ""fa"")
"),"چگونه می توان با برندها یا شرکت های مرتبط، مشارکت استراتژیک یا حمایت مالی ایجاد کرد تا مخاطبان پادکست خود را افزایش دهد؟")</f>
        <v>چگونه می توان با برندها یا شرکت های مرتبط، مشارکت استراتژیک یا حمایت مالی ایجاد کرد تا مخاطبان پادکست خود را افزایش دهد؟</v>
      </c>
      <c r="H8876" s="1"/>
      <c r="I8876" s="1"/>
      <c r="J8876" s="1"/>
      <c r="K8876" s="1"/>
      <c r="L8876" s="1"/>
      <c r="M8876" s="1"/>
      <c r="N8876" s="1"/>
      <c r="O8876" s="1"/>
      <c r="P8876" s="1"/>
      <c r="Q8876" s="1"/>
      <c r="R8876" s="1"/>
      <c r="S8876" s="1"/>
      <c r="T8876" s="1"/>
      <c r="U8876" s="1"/>
      <c r="V8876" s="1"/>
      <c r="W8876" s="1"/>
      <c r="X8876" s="1"/>
      <c r="Y8876" s="1"/>
      <c r="Z8876" s="1"/>
      <c r="AA8876" s="1"/>
      <c r="AB8876" s="1"/>
    </row>
    <row r="8877" ht="50.25" customHeight="1">
      <c r="A8877" s="12">
        <v>8873.0</v>
      </c>
      <c r="B8877" s="13" t="s">
        <v>8699</v>
      </c>
      <c r="C8877" s="18" t="s">
        <v>8903</v>
      </c>
      <c r="D8877" s="1"/>
      <c r="E8877" s="1"/>
      <c r="F8877" s="1" t="str">
        <f>IFERROR(__xludf.DUMMYFUNCTION("GOOGLETRANSLATE(B8877, ""en"", ""fa"")
"),"موفقیت در پادکست")</f>
        <v>موفقیت در پادکست</v>
      </c>
      <c r="G8877" s="1" t="str">
        <f>IFERROR(__xludf.DUMMYFUNCTION("GOOGLETRANSLATE(C8877, ""en"", ""fa"")
"),"تکنیک های استفاده از یوتیوب یا پلتفرم های ویدیویی برای تغییر کاربری و تبلیغ بصری قسمت های پادکست شما چیست؟")</f>
        <v>تکنیک های استفاده از یوتیوب یا پلتفرم های ویدیویی برای تغییر کاربری و تبلیغ بصری قسمت های پادکست شما چیست؟</v>
      </c>
      <c r="H8877" s="1"/>
      <c r="I8877" s="1"/>
      <c r="J8877" s="1"/>
      <c r="K8877" s="1"/>
      <c r="L8877" s="1"/>
      <c r="M8877" s="1"/>
      <c r="N8877" s="1"/>
      <c r="O8877" s="1"/>
      <c r="P8877" s="1"/>
      <c r="Q8877" s="1"/>
      <c r="R8877" s="1"/>
      <c r="S8877" s="1"/>
      <c r="T8877" s="1"/>
      <c r="U8877" s="1"/>
      <c r="V8877" s="1"/>
      <c r="W8877" s="1"/>
      <c r="X8877" s="1"/>
      <c r="Y8877" s="1"/>
      <c r="Z8877" s="1"/>
      <c r="AA8877" s="1"/>
      <c r="AB8877" s="1"/>
    </row>
    <row r="8878" ht="50.25" customHeight="1">
      <c r="A8878" s="12">
        <v>8874.0</v>
      </c>
      <c r="B8878" s="13" t="s">
        <v>8699</v>
      </c>
      <c r="C8878" s="18" t="s">
        <v>8904</v>
      </c>
      <c r="D8878" s="1"/>
      <c r="E8878" s="1"/>
      <c r="F8878" s="1" t="str">
        <f>IFERROR(__xludf.DUMMYFUNCTION("GOOGLETRANSLATE(B8878, ""en"", ""fa"")
"),"موفقیت در پادکست")</f>
        <v>موفقیت در پادکست</v>
      </c>
      <c r="G8878" s="1" t="str">
        <f>IFERROR(__xludf.DUMMYFUNCTION("GOOGLETRANSLATE(C8878, ""en"", ""fa"")
"),"چگونه می توان از خبرنامه های ایمیل یا همکاری با خبرنامه های محبوب برای دستیابی به مخاطبان جدید و تبلیغ پادکست خود استفاده کرد؟")</f>
        <v>چگونه می توان از خبرنامه های ایمیل یا همکاری با خبرنامه های محبوب برای دستیابی به مخاطبان جدید و تبلیغ پادکست خود استفاده کرد؟</v>
      </c>
      <c r="H8878" s="1"/>
      <c r="I8878" s="1"/>
      <c r="J8878" s="1"/>
      <c r="K8878" s="1"/>
      <c r="L8878" s="1"/>
      <c r="M8878" s="1"/>
      <c r="N8878" s="1"/>
      <c r="O8878" s="1"/>
      <c r="P8878" s="1"/>
      <c r="Q8878" s="1"/>
      <c r="R8878" s="1"/>
      <c r="S8878" s="1"/>
      <c r="T8878" s="1"/>
      <c r="U8878" s="1"/>
      <c r="V8878" s="1"/>
      <c r="W8878" s="1"/>
      <c r="X8878" s="1"/>
      <c r="Y8878" s="1"/>
      <c r="Z8878" s="1"/>
      <c r="AA8878" s="1"/>
      <c r="AB8878" s="1"/>
    </row>
    <row r="8879" ht="50.25" customHeight="1">
      <c r="A8879" s="12">
        <v>8875.0</v>
      </c>
      <c r="B8879" s="13" t="s">
        <v>8699</v>
      </c>
      <c r="C8879" s="18" t="s">
        <v>8905</v>
      </c>
      <c r="D8879" s="1"/>
      <c r="E8879" s="1"/>
      <c r="F8879" s="1" t="str">
        <f>IFERROR(__xludf.DUMMYFUNCTION("GOOGLETRANSLATE(B8879, ""en"", ""fa"")
"),"موفقیت در پادکست")</f>
        <v>موفقیت در پادکست</v>
      </c>
      <c r="G8879" s="1" t="str">
        <f>IFERROR(__xludf.DUMMYFUNCTION("GOOGLETRANSLATE(C8879, ""en"", ""fa"")
"),"راهبردهای استفاده از دایرکتوری ها و پلتفرم های پادکست برای جلب توجه و جذب شنوندگان جدید چیست؟")</f>
        <v>راهبردهای استفاده از دایرکتوری ها و پلتفرم های پادکست برای جلب توجه و جذب شنوندگان جدید چیست؟</v>
      </c>
      <c r="H8879" s="1"/>
      <c r="I8879" s="1"/>
      <c r="J8879" s="1"/>
      <c r="K8879" s="1"/>
      <c r="L8879" s="1"/>
      <c r="M8879" s="1"/>
      <c r="N8879" s="1"/>
      <c r="O8879" s="1"/>
      <c r="P8879" s="1"/>
      <c r="Q8879" s="1"/>
      <c r="R8879" s="1"/>
      <c r="S8879" s="1"/>
      <c r="T8879" s="1"/>
      <c r="U8879" s="1"/>
      <c r="V8879" s="1"/>
      <c r="W8879" s="1"/>
      <c r="X8879" s="1"/>
      <c r="Y8879" s="1"/>
      <c r="Z8879" s="1"/>
      <c r="AA8879" s="1"/>
      <c r="AB8879" s="1"/>
    </row>
    <row r="8880" ht="50.25" customHeight="1">
      <c r="A8880" s="12">
        <v>8876.0</v>
      </c>
      <c r="B8880" s="13" t="s">
        <v>8699</v>
      </c>
      <c r="C8880" s="18" t="s">
        <v>8906</v>
      </c>
      <c r="D8880" s="1"/>
      <c r="E8880" s="1"/>
      <c r="F8880" s="1" t="str">
        <f>IFERROR(__xludf.DUMMYFUNCTION("GOOGLETRANSLATE(B8880, ""en"", ""fa"")
"),"موفقیت در پادکست")</f>
        <v>موفقیت در پادکست</v>
      </c>
      <c r="G8880" s="1" t="str">
        <f>IFERROR(__xludf.DUMMYFUNCTION("GOOGLETRANSLATE(C8880, ""en"", ""fa"")
"),"تکنیک های استفاده از پلتفرم های رسانه های اجتماعی برای ایجاد یک جامعه پیرامون پادکست و تعامل با شنوندگان چیست؟")</f>
        <v>تکنیک های استفاده از پلتفرم های رسانه های اجتماعی برای ایجاد یک جامعه پیرامون پادکست و تعامل با شنوندگان چیست؟</v>
      </c>
      <c r="H8880" s="1"/>
      <c r="I8880" s="1"/>
      <c r="J8880" s="1"/>
      <c r="K8880" s="1"/>
      <c r="L8880" s="1"/>
      <c r="M8880" s="1"/>
      <c r="N8880" s="1"/>
      <c r="O8880" s="1"/>
      <c r="P8880" s="1"/>
      <c r="Q8880" s="1"/>
      <c r="R8880" s="1"/>
      <c r="S8880" s="1"/>
      <c r="T8880" s="1"/>
      <c r="U8880" s="1"/>
      <c r="V8880" s="1"/>
      <c r="W8880" s="1"/>
      <c r="X8880" s="1"/>
      <c r="Y8880" s="1"/>
      <c r="Z8880" s="1"/>
      <c r="AA8880" s="1"/>
      <c r="AB8880" s="1"/>
    </row>
    <row r="8881" ht="50.25" customHeight="1">
      <c r="A8881" s="12">
        <v>8877.0</v>
      </c>
      <c r="B8881" s="13" t="s">
        <v>8699</v>
      </c>
      <c r="C8881" s="18" t="s">
        <v>8907</v>
      </c>
      <c r="D8881" s="1"/>
      <c r="E8881" s="1"/>
      <c r="F8881" s="1" t="str">
        <f>IFERROR(__xludf.DUMMYFUNCTION("GOOGLETRANSLATE(B8881, ""en"", ""fa"")
"),"موفقیت در پادکست")</f>
        <v>موفقیت در پادکست</v>
      </c>
      <c r="G8881" s="1" t="str">
        <f>IFERROR(__xludf.DUMMYFUNCTION("GOOGLETRANSLATE(C8881, ""en"", ""fa"")
"),"چگونه وب سایت پادکست خود را برای موتورهای جستجو بهینه کنیم و قابلیت کشف آن را افزایش دهیم؟")</f>
        <v>چگونه وب سایت پادکست خود را برای موتورهای جستجو بهینه کنیم و قابلیت کشف آن را افزایش دهیم؟</v>
      </c>
      <c r="H8881" s="1"/>
      <c r="I8881" s="1"/>
      <c r="J8881" s="1"/>
      <c r="K8881" s="1"/>
      <c r="L8881" s="1"/>
      <c r="M8881" s="1"/>
      <c r="N8881" s="1"/>
      <c r="O8881" s="1"/>
      <c r="P8881" s="1"/>
      <c r="Q8881" s="1"/>
      <c r="R8881" s="1"/>
      <c r="S8881" s="1"/>
      <c r="T8881" s="1"/>
      <c r="U8881" s="1"/>
      <c r="V8881" s="1"/>
      <c r="W8881" s="1"/>
      <c r="X8881" s="1"/>
      <c r="Y8881" s="1"/>
      <c r="Z8881" s="1"/>
      <c r="AA8881" s="1"/>
      <c r="AB8881" s="1"/>
    </row>
    <row r="8882" ht="50.25" customHeight="1">
      <c r="A8882" s="12">
        <v>8878.0</v>
      </c>
      <c r="B8882" s="13" t="s">
        <v>8699</v>
      </c>
      <c r="C8882" s="18" t="s">
        <v>8908</v>
      </c>
      <c r="D8882" s="1"/>
      <c r="E8882" s="1"/>
      <c r="F8882" s="1" t="str">
        <f>IFERROR(__xludf.DUMMYFUNCTION("GOOGLETRANSLATE(B8882, ""en"", ""fa"")
"),"موفقیت در پادکست")</f>
        <v>موفقیت در پادکست</v>
      </c>
      <c r="G8882" s="1" t="str">
        <f>IFERROR(__xludf.DUMMYFUNCTION("GOOGLETRANSLATE(C8882, ""en"", ""fa"")
"),"راهبردهای همکاری با سایر پادکسترها یا اینفلوئنسرها برای تبلیغ متقابل و گسترش مخاطبان چیست؟")</f>
        <v>راهبردهای همکاری با سایر پادکسترها یا اینفلوئنسرها برای تبلیغ متقابل و گسترش مخاطبان چیست؟</v>
      </c>
      <c r="H8882" s="1"/>
      <c r="I8882" s="1"/>
      <c r="J8882" s="1"/>
      <c r="K8882" s="1"/>
      <c r="L8882" s="1"/>
      <c r="M8882" s="1"/>
      <c r="N8882" s="1"/>
      <c r="O8882" s="1"/>
      <c r="P8882" s="1"/>
      <c r="Q8882" s="1"/>
      <c r="R8882" s="1"/>
      <c r="S8882" s="1"/>
      <c r="T8882" s="1"/>
      <c r="U8882" s="1"/>
      <c r="V8882" s="1"/>
      <c r="W8882" s="1"/>
      <c r="X8882" s="1"/>
      <c r="Y8882" s="1"/>
      <c r="Z8882" s="1"/>
      <c r="AA8882" s="1"/>
      <c r="AB8882" s="1"/>
    </row>
    <row r="8883" ht="50.25" customHeight="1">
      <c r="A8883" s="12">
        <v>8879.0</v>
      </c>
      <c r="B8883" s="13" t="s">
        <v>8699</v>
      </c>
      <c r="C8883" s="18" t="s">
        <v>8909</v>
      </c>
      <c r="D8883" s="1"/>
      <c r="E8883" s="1"/>
      <c r="F8883" s="1" t="str">
        <f>IFERROR(__xludf.DUMMYFUNCTION("GOOGLETRANSLATE(B8883, ""en"", ""fa"")
"),"موفقیت در پادکست")</f>
        <v>موفقیت در پادکست</v>
      </c>
      <c r="G8883" s="1" t="str">
        <f>IFERROR(__xludf.DUMMYFUNCTION("GOOGLETRANSLATE(C8883, ""en"", ""fa"")
"),"چگونه شنوندگان را تشویق کنیم تا نظرات و رتبه‌بندی‌ها را در پلتفرم‌های پادکست بگذارند تا دید پادکست شما افزایش یابد؟")</f>
        <v>چگونه شنوندگان را تشویق کنیم تا نظرات و رتبه‌بندی‌ها را در پلتفرم‌های پادکست بگذارند تا دید پادکست شما افزایش یابد؟</v>
      </c>
      <c r="H8883" s="1"/>
      <c r="I8883" s="1"/>
      <c r="J8883" s="1"/>
      <c r="K8883" s="1"/>
      <c r="L8883" s="1"/>
      <c r="M8883" s="1"/>
      <c r="N8883" s="1"/>
      <c r="O8883" s="1"/>
      <c r="P8883" s="1"/>
      <c r="Q8883" s="1"/>
      <c r="R8883" s="1"/>
      <c r="S8883" s="1"/>
      <c r="T8883" s="1"/>
      <c r="U8883" s="1"/>
      <c r="V8883" s="1"/>
      <c r="W8883" s="1"/>
      <c r="X8883" s="1"/>
      <c r="Y8883" s="1"/>
      <c r="Z8883" s="1"/>
      <c r="AA8883" s="1"/>
      <c r="AB8883" s="1"/>
    </row>
    <row r="8884" ht="50.25" customHeight="1">
      <c r="A8884" s="12">
        <v>8880.0</v>
      </c>
      <c r="B8884" s="13" t="s">
        <v>8699</v>
      </c>
      <c r="C8884" s="18" t="s">
        <v>8910</v>
      </c>
      <c r="D8884" s="1"/>
      <c r="E8884" s="1"/>
      <c r="F8884" s="1" t="str">
        <f>IFERROR(__xludf.DUMMYFUNCTION("GOOGLETRANSLATE(B8884, ""en"", ""fa"")
"),"موفقیت در پادکست")</f>
        <v>موفقیت در پادکست</v>
      </c>
      <c r="G8884" s="1" t="str">
        <f>IFERROR(__xludf.DUMMYFUNCTION("GOOGLETRANSLATE(C8884, ""en"", ""fa"")
"),"چه تکنیک هایی برای ایجاد تریلرهای جذاب پادکست یا قسمت های تیزر که شنوندگان جدید را جذب می کند، وجود دارد؟")</f>
        <v>چه تکنیک هایی برای ایجاد تریلرهای جذاب پادکست یا قسمت های تیزر که شنوندگان جدید را جذب می کند، وجود دارد؟</v>
      </c>
      <c r="H8884" s="1"/>
      <c r="I8884" s="1"/>
      <c r="J8884" s="1"/>
      <c r="K8884" s="1"/>
      <c r="L8884" s="1"/>
      <c r="M8884" s="1"/>
      <c r="N8884" s="1"/>
      <c r="O8884" s="1"/>
      <c r="P8884" s="1"/>
      <c r="Q8884" s="1"/>
      <c r="R8884" s="1"/>
      <c r="S8884" s="1"/>
      <c r="T8884" s="1"/>
      <c r="U8884" s="1"/>
      <c r="V8884" s="1"/>
      <c r="W8884" s="1"/>
      <c r="X8884" s="1"/>
      <c r="Y8884" s="1"/>
      <c r="Z8884" s="1"/>
      <c r="AA8884" s="1"/>
      <c r="AB8884" s="1"/>
    </row>
    <row r="8885" ht="50.25" customHeight="1">
      <c r="A8885" s="12">
        <v>8881.0</v>
      </c>
      <c r="B8885" s="13" t="s">
        <v>8699</v>
      </c>
      <c r="C8885" s="18" t="s">
        <v>8911</v>
      </c>
      <c r="D8885" s="1"/>
      <c r="E8885" s="1"/>
      <c r="F8885" s="1" t="str">
        <f>IFERROR(__xludf.DUMMYFUNCTION("GOOGLETRANSLATE(B8885, ""en"", ""fa"")
"),"موفقیت در پادکست")</f>
        <v>موفقیت در پادکست</v>
      </c>
      <c r="G8885" s="1" t="str">
        <f>IFERROR(__xludf.DUMMYFUNCTION("GOOGLETRANSLATE(C8885, ""en"", ""fa"")
"),"چگونه به طور موثر از بازاریابی ایمیلی برای افزایش مخاطبان پادکست خود و تعامل با مشترکین خود استفاده کنید؟")</f>
        <v>چگونه به طور موثر از بازاریابی ایمیلی برای افزایش مخاطبان پادکست خود و تعامل با مشترکین خود استفاده کنید؟</v>
      </c>
      <c r="H8885" s="1"/>
      <c r="I8885" s="1"/>
      <c r="J8885" s="1"/>
      <c r="K8885" s="1"/>
      <c r="L8885" s="1"/>
      <c r="M8885" s="1"/>
      <c r="N8885" s="1"/>
      <c r="O8885" s="1"/>
      <c r="P8885" s="1"/>
      <c r="Q8885" s="1"/>
      <c r="R8885" s="1"/>
      <c r="S8885" s="1"/>
      <c r="T8885" s="1"/>
      <c r="U8885" s="1"/>
      <c r="V8885" s="1"/>
      <c r="W8885" s="1"/>
      <c r="X8885" s="1"/>
      <c r="Y8885" s="1"/>
      <c r="Z8885" s="1"/>
      <c r="AA8885" s="1"/>
      <c r="AB8885" s="1"/>
    </row>
    <row r="8886" ht="50.25" customHeight="1">
      <c r="A8886" s="12">
        <v>8882.0</v>
      </c>
      <c r="B8886" s="13" t="s">
        <v>8699</v>
      </c>
      <c r="C8886" s="18" t="s">
        <v>8912</v>
      </c>
      <c r="D8886" s="1"/>
      <c r="E8886" s="1"/>
      <c r="F8886" s="1" t="str">
        <f>IFERROR(__xludf.DUMMYFUNCTION("GOOGLETRANSLATE(B8886, ""en"", ""fa"")
"),"موفقیت در پادکست")</f>
        <v>موفقیت در پادکست</v>
      </c>
      <c r="G8886" s="1" t="str">
        <f>IFERROR(__xludf.DUMMYFUNCTION("GOOGLETRANSLATE(C8886, ""en"", ""fa"")
"),"چه راهکارهایی برای استفاده از حضور مهمان در سایر پادکست ها برای افزایش دسترسی به پادکست شما وجود دارد؟")</f>
        <v>چه راهکارهایی برای استفاده از حضور مهمان در سایر پادکست ها برای افزایش دسترسی به پادکست شما وجود دارد؟</v>
      </c>
      <c r="H8886" s="1"/>
      <c r="I8886" s="1"/>
      <c r="J8886" s="1"/>
      <c r="K8886" s="1"/>
      <c r="L8886" s="1"/>
      <c r="M8886" s="1"/>
      <c r="N8886" s="1"/>
      <c r="O8886" s="1"/>
      <c r="P8886" s="1"/>
      <c r="Q8886" s="1"/>
      <c r="R8886" s="1"/>
      <c r="S8886" s="1"/>
      <c r="T8886" s="1"/>
      <c r="U8886" s="1"/>
      <c r="V8886" s="1"/>
      <c r="W8886" s="1"/>
      <c r="X8886" s="1"/>
      <c r="Y8886" s="1"/>
      <c r="Z8886" s="1"/>
      <c r="AA8886" s="1"/>
      <c r="AB8886" s="1"/>
    </row>
    <row r="8887" ht="50.25" customHeight="1">
      <c r="A8887" s="12">
        <v>8883.0</v>
      </c>
      <c r="B8887" s="13" t="s">
        <v>8699</v>
      </c>
      <c r="C8887" s="18" t="s">
        <v>8913</v>
      </c>
      <c r="D8887" s="1"/>
      <c r="E8887" s="1"/>
      <c r="F8887" s="1" t="str">
        <f>IFERROR(__xludf.DUMMYFUNCTION("GOOGLETRANSLATE(B8887, ""en"", ""fa"")
"),"موفقیت در پادکست")</f>
        <v>موفقیت در پادکست</v>
      </c>
      <c r="G8887" s="1" t="str">
        <f>IFERROR(__xludf.DUMMYFUNCTION("GOOGLETRANSLATE(C8887, ""en"", ""fa"")
"),"چگونه از داستان سرایی و روایت های قانع کننده برای جذب و حفظ مخاطبان پادکست خود استفاده کنیم؟")</f>
        <v>چگونه از داستان سرایی و روایت های قانع کننده برای جذب و حفظ مخاطبان پادکست خود استفاده کنیم؟</v>
      </c>
      <c r="H8887" s="1"/>
      <c r="I8887" s="1"/>
      <c r="J8887" s="1"/>
      <c r="K8887" s="1"/>
      <c r="L8887" s="1"/>
      <c r="M8887" s="1"/>
      <c r="N8887" s="1"/>
      <c r="O8887" s="1"/>
      <c r="P8887" s="1"/>
      <c r="Q8887" s="1"/>
      <c r="R8887" s="1"/>
      <c r="S8887" s="1"/>
      <c r="T8887" s="1"/>
      <c r="U8887" s="1"/>
      <c r="V8887" s="1"/>
      <c r="W8887" s="1"/>
      <c r="X8887" s="1"/>
      <c r="Y8887" s="1"/>
      <c r="Z8887" s="1"/>
      <c r="AA8887" s="1"/>
      <c r="AB8887" s="1"/>
    </row>
    <row r="8888" ht="50.25" customHeight="1">
      <c r="A8888" s="12">
        <v>8884.0</v>
      </c>
      <c r="B8888" s="13" t="s">
        <v>8699</v>
      </c>
      <c r="C8888" s="18" t="s">
        <v>8914</v>
      </c>
      <c r="D8888" s="1"/>
      <c r="E8888" s="1"/>
      <c r="F8888" s="1" t="str">
        <f>IFERROR(__xludf.DUMMYFUNCTION("GOOGLETRANSLATE(B8888, ""en"", ""fa"")
"),"موفقیت در پادکست")</f>
        <v>موفقیت در پادکست</v>
      </c>
      <c r="G8888" s="1" t="str">
        <f>IFERROR(__xludf.DUMMYFUNCTION("GOOGLETRANSLATE(C8888, ""en"", ""fa"")
"),"تکنیک‌های استفاده از بازخورد و مشارکت شنوندگان برای بهبود پادکست و تقویت وفاداری چیست؟")</f>
        <v>تکنیک‌های استفاده از بازخورد و مشارکت شنوندگان برای بهبود پادکست و تقویت وفاداری چیست؟</v>
      </c>
      <c r="H8888" s="1"/>
      <c r="I8888" s="1"/>
      <c r="J8888" s="1"/>
      <c r="K8888" s="1"/>
      <c r="L8888" s="1"/>
      <c r="M8888" s="1"/>
      <c r="N8888" s="1"/>
      <c r="O8888" s="1"/>
      <c r="P8888" s="1"/>
      <c r="Q8888" s="1"/>
      <c r="R8888" s="1"/>
      <c r="S8888" s="1"/>
      <c r="T8888" s="1"/>
      <c r="U8888" s="1"/>
      <c r="V8888" s="1"/>
      <c r="W8888" s="1"/>
      <c r="X8888" s="1"/>
      <c r="Y8888" s="1"/>
      <c r="Z8888" s="1"/>
      <c r="AA8888" s="1"/>
      <c r="AB8888" s="1"/>
    </row>
    <row r="8889" ht="50.25" customHeight="1">
      <c r="A8889" s="12">
        <v>8885.0</v>
      </c>
      <c r="B8889" s="13" t="s">
        <v>8699</v>
      </c>
      <c r="C8889" s="18" t="s">
        <v>8915</v>
      </c>
      <c r="D8889" s="1"/>
      <c r="E8889" s="1"/>
      <c r="F8889" s="1" t="str">
        <f>IFERROR(__xludf.DUMMYFUNCTION("GOOGLETRANSLATE(B8889, ""en"", ""fa"")
"),"موفقیت در پادکست")</f>
        <v>موفقیت در پادکست</v>
      </c>
      <c r="G8889" s="1" t="str">
        <f>IFERROR(__xludf.DUMMYFUNCTION("GOOGLETRANSLATE(C8889, ""en"", ""fa"")
"),"چگونه می توان با کارشناسان صنعت یا رهبران فکری برای مصاحبه همکاری کرد تا دنبال کنندگان آنها را به پادکست خود جذب کند؟")</f>
        <v>چگونه می توان با کارشناسان صنعت یا رهبران فکری برای مصاحبه همکاری کرد تا دنبال کنندگان آنها را به پادکست خود جذب کند؟</v>
      </c>
      <c r="H8889" s="1"/>
      <c r="I8889" s="1"/>
      <c r="J8889" s="1"/>
      <c r="K8889" s="1"/>
      <c r="L8889" s="1"/>
      <c r="M8889" s="1"/>
      <c r="N8889" s="1"/>
      <c r="O8889" s="1"/>
      <c r="P8889" s="1"/>
      <c r="Q8889" s="1"/>
      <c r="R8889" s="1"/>
      <c r="S8889" s="1"/>
      <c r="T8889" s="1"/>
      <c r="U8889" s="1"/>
      <c r="V8889" s="1"/>
      <c r="W8889" s="1"/>
      <c r="X8889" s="1"/>
      <c r="Y8889" s="1"/>
      <c r="Z8889" s="1"/>
      <c r="AA8889" s="1"/>
      <c r="AB8889" s="1"/>
    </row>
    <row r="8890" ht="50.25" customHeight="1">
      <c r="A8890" s="12">
        <v>8886.0</v>
      </c>
      <c r="B8890" s="13" t="s">
        <v>8699</v>
      </c>
      <c r="C8890" s="18" t="s">
        <v>8916</v>
      </c>
      <c r="D8890" s="1"/>
      <c r="E8890" s="1"/>
      <c r="F8890" s="1" t="str">
        <f>IFERROR(__xludf.DUMMYFUNCTION("GOOGLETRANSLATE(B8890, ""en"", ""fa"")
"),"موفقیت در پادکست")</f>
        <v>موفقیت در پادکست</v>
      </c>
      <c r="G8890" s="1" t="str">
        <f>IFERROR(__xludf.DUMMYFUNCTION("GOOGLETRANSLATE(C8890, ""en"", ""fa"")
"),"راهبردهای تبلیغ پادکست خود از طریق تبلیغات آنلاین هدفمند برای دستیابی به شنوندگان جدید چیست؟")</f>
        <v>راهبردهای تبلیغ پادکست خود از طریق تبلیغات آنلاین هدفمند برای دستیابی به شنوندگان جدید چیست؟</v>
      </c>
      <c r="H8890" s="1"/>
      <c r="I8890" s="1"/>
      <c r="J8890" s="1"/>
      <c r="K8890" s="1"/>
      <c r="L8890" s="1"/>
      <c r="M8890" s="1"/>
      <c r="N8890" s="1"/>
      <c r="O8890" s="1"/>
      <c r="P8890" s="1"/>
      <c r="Q8890" s="1"/>
      <c r="R8890" s="1"/>
      <c r="S8890" s="1"/>
      <c r="T8890" s="1"/>
      <c r="U8890" s="1"/>
      <c r="V8890" s="1"/>
      <c r="W8890" s="1"/>
      <c r="X8890" s="1"/>
      <c r="Y8890" s="1"/>
      <c r="Z8890" s="1"/>
      <c r="AA8890" s="1"/>
      <c r="AB8890" s="1"/>
    </row>
    <row r="8891" ht="50.25" customHeight="1">
      <c r="A8891" s="12">
        <v>8887.0</v>
      </c>
      <c r="B8891" s="13" t="s">
        <v>8699</v>
      </c>
      <c r="C8891" s="18" t="s">
        <v>8917</v>
      </c>
      <c r="D8891" s="1"/>
      <c r="E8891" s="1"/>
      <c r="F8891" s="1" t="str">
        <f>IFERROR(__xludf.DUMMYFUNCTION("GOOGLETRANSLATE(B8891, ""en"", ""fa"")
"),"موفقیت در پادکست")</f>
        <v>موفقیت در پادکست</v>
      </c>
      <c r="G8891" s="1" t="str">
        <f>IFERROR(__xludf.DUMMYFUNCTION("GOOGLETRANSLATE(C8891, ""en"", ""fa"")
"),"چگونه می توان از تأثیرگذاران رسانه های اجتماعی برای تبلیغ و تأیید پادکست خود برای دنبال کنندگان خود استفاده کرد؟")</f>
        <v>چگونه می توان از تأثیرگذاران رسانه های اجتماعی برای تبلیغ و تأیید پادکست خود برای دنبال کنندگان خود استفاده کرد؟</v>
      </c>
      <c r="H8891" s="1"/>
      <c r="I8891" s="1"/>
      <c r="J8891" s="1"/>
      <c r="K8891" s="1"/>
      <c r="L8891" s="1"/>
      <c r="M8891" s="1"/>
      <c r="N8891" s="1"/>
      <c r="O8891" s="1"/>
      <c r="P8891" s="1"/>
      <c r="Q8891" s="1"/>
      <c r="R8891" s="1"/>
      <c r="S8891" s="1"/>
      <c r="T8891" s="1"/>
      <c r="U8891" s="1"/>
      <c r="V8891" s="1"/>
      <c r="W8891" s="1"/>
      <c r="X8891" s="1"/>
      <c r="Y8891" s="1"/>
      <c r="Z8891" s="1"/>
      <c r="AA8891" s="1"/>
      <c r="AB8891" s="1"/>
    </row>
    <row r="8892" ht="50.25" customHeight="1">
      <c r="A8892" s="12">
        <v>8888.0</v>
      </c>
      <c r="B8892" s="13" t="s">
        <v>8699</v>
      </c>
      <c r="C8892" s="18" t="s">
        <v>8918</v>
      </c>
      <c r="D8892" s="1"/>
      <c r="E8892" s="1"/>
      <c r="F8892" s="1" t="str">
        <f>IFERROR(__xludf.DUMMYFUNCTION("GOOGLETRANSLATE(B8892, ""en"", ""fa"")
"),"موفقیت در پادکست")</f>
        <v>موفقیت در پادکست</v>
      </c>
      <c r="G8892" s="1" t="str">
        <f>IFERROR(__xludf.DUMMYFUNCTION("GOOGLETRANSLATE(C8892, ""en"", ""fa"")
"),"تکنیک‌هایی برای بهینه‌سازی فراداده‌های پادکست، از جمله عناوین و توضیحات، برای قابلیت کشف بهتر چیست؟")</f>
        <v>تکنیک‌هایی برای بهینه‌سازی فراداده‌های پادکست، از جمله عناوین و توضیحات، برای قابلیت کشف بهتر چیست؟</v>
      </c>
      <c r="H8892" s="1"/>
      <c r="I8892" s="1"/>
      <c r="J8892" s="1"/>
      <c r="K8892" s="1"/>
      <c r="L8892" s="1"/>
      <c r="M8892" s="1"/>
      <c r="N8892" s="1"/>
      <c r="O8892" s="1"/>
      <c r="P8892" s="1"/>
      <c r="Q8892" s="1"/>
      <c r="R8892" s="1"/>
      <c r="S8892" s="1"/>
      <c r="T8892" s="1"/>
      <c r="U8892" s="1"/>
      <c r="V8892" s="1"/>
      <c r="W8892" s="1"/>
      <c r="X8892" s="1"/>
      <c r="Y8892" s="1"/>
      <c r="Z8892" s="1"/>
      <c r="AA8892" s="1"/>
      <c r="AB8892" s="1"/>
    </row>
    <row r="8893" ht="50.25" customHeight="1">
      <c r="A8893" s="12">
        <v>8889.0</v>
      </c>
      <c r="B8893" s="13" t="s">
        <v>8699</v>
      </c>
      <c r="C8893" s="18" t="s">
        <v>8919</v>
      </c>
      <c r="D8893" s="1"/>
      <c r="E8893" s="1"/>
      <c r="F8893" s="1" t="str">
        <f>IFERROR(__xludf.DUMMYFUNCTION("GOOGLETRANSLATE(B8893, ""en"", ""fa"")
"),"موفقیت در پادکست")</f>
        <v>موفقیت در پادکست</v>
      </c>
      <c r="G8893" s="1" t="str">
        <f>IFERROR(__xludf.DUMMYFUNCTION("GOOGLETRANSLATE(C8893, ""en"", ""fa"")
"),"چگونه از طریق رویدادهای زنده، جلسات پرسش و پاسخ یا اپیزودهای AMA (از من هر چیزی بپرس) با مخاطبان خود درگیر شوید؟")</f>
        <v>چگونه از طریق رویدادهای زنده، جلسات پرسش و پاسخ یا اپیزودهای AMA (از من هر چیزی بپرس) با مخاطبان خود درگیر شوید؟</v>
      </c>
      <c r="H8893" s="1"/>
      <c r="I8893" s="1"/>
      <c r="J8893" s="1"/>
      <c r="K8893" s="1"/>
      <c r="L8893" s="1"/>
      <c r="M8893" s="1"/>
      <c r="N8893" s="1"/>
      <c r="O8893" s="1"/>
      <c r="P8893" s="1"/>
      <c r="Q8893" s="1"/>
      <c r="R8893" s="1"/>
      <c r="S8893" s="1"/>
      <c r="T8893" s="1"/>
      <c r="U8893" s="1"/>
      <c r="V8893" s="1"/>
      <c r="W8893" s="1"/>
      <c r="X8893" s="1"/>
      <c r="Y8893" s="1"/>
      <c r="Z8893" s="1"/>
      <c r="AA8893" s="1"/>
      <c r="AB8893" s="1"/>
    </row>
    <row r="8894" ht="50.25" customHeight="1">
      <c r="A8894" s="12">
        <v>8890.0</v>
      </c>
      <c r="B8894" s="13" t="s">
        <v>8699</v>
      </c>
      <c r="C8894" s="18" t="s">
        <v>8920</v>
      </c>
      <c r="D8894" s="1"/>
      <c r="E8894" s="1"/>
      <c r="F8894" s="1" t="str">
        <f>IFERROR(__xludf.DUMMYFUNCTION("GOOGLETRANSLATE(B8894, ""en"", ""fa"")
"),"موفقیت در پادکست")</f>
        <v>موفقیت در پادکست</v>
      </c>
      <c r="G8894" s="1" t="str">
        <f>IFERROR(__xludf.DUMMYFUNCTION("GOOGLETRANSLATE(C8894, ""en"", ""fa"")
"),"استراتژی‌های استفاده از YouTube یا پلتفرم‌های ویدیویی برای تغییر کاربری و تبلیغ بصری قسمت‌های پادکست شما چیست؟")</f>
        <v>استراتژی‌های استفاده از YouTube یا پلتفرم‌های ویدیویی برای تغییر کاربری و تبلیغ بصری قسمت‌های پادکست شما چیست؟</v>
      </c>
      <c r="H8894" s="1"/>
      <c r="I8894" s="1"/>
      <c r="J8894" s="1"/>
      <c r="K8894" s="1"/>
      <c r="L8894" s="1"/>
      <c r="M8894" s="1"/>
      <c r="N8894" s="1"/>
      <c r="O8894" s="1"/>
      <c r="P8894" s="1"/>
      <c r="Q8894" s="1"/>
      <c r="R8894" s="1"/>
      <c r="S8894" s="1"/>
      <c r="T8894" s="1"/>
      <c r="U8894" s="1"/>
      <c r="V8894" s="1"/>
      <c r="W8894" s="1"/>
      <c r="X8894" s="1"/>
      <c r="Y8894" s="1"/>
      <c r="Z8894" s="1"/>
      <c r="AA8894" s="1"/>
      <c r="AB8894" s="1"/>
    </row>
    <row r="8895" ht="50.25" customHeight="1">
      <c r="A8895" s="12">
        <v>8891.0</v>
      </c>
      <c r="B8895" s="13" t="s">
        <v>8699</v>
      </c>
      <c r="C8895" s="18" t="s">
        <v>8921</v>
      </c>
      <c r="D8895" s="1"/>
      <c r="E8895" s="1"/>
      <c r="F8895" s="1" t="str">
        <f>IFERROR(__xludf.DUMMYFUNCTION("GOOGLETRANSLATE(B8895, ""en"", ""fa"")
"),"موفقیت در پادکست")</f>
        <v>موفقیت در پادکست</v>
      </c>
      <c r="G8895" s="1" t="str">
        <f>IFERROR(__xludf.DUMMYFUNCTION("GOOGLETRANSLATE(C8895, ""en"", ""fa"")
"),"چگونه می‌توان محتوای شبکه‌های اجتماعی قابل اشتراک‌گذاری مرتبط با قسمت‌های پادکست خود را برای گسترش دسترسی خود ایجاد کرد؟")</f>
        <v>چگونه می‌توان محتوای شبکه‌های اجتماعی قابل اشتراک‌گذاری مرتبط با قسمت‌های پادکست خود را برای گسترش دسترسی خود ایجاد کرد؟</v>
      </c>
      <c r="H8895" s="1"/>
      <c r="I8895" s="1"/>
      <c r="J8895" s="1"/>
      <c r="K8895" s="1"/>
      <c r="L8895" s="1"/>
      <c r="M8895" s="1"/>
      <c r="N8895" s="1"/>
      <c r="O8895" s="1"/>
      <c r="P8895" s="1"/>
      <c r="Q8895" s="1"/>
      <c r="R8895" s="1"/>
      <c r="S8895" s="1"/>
      <c r="T8895" s="1"/>
      <c r="U8895" s="1"/>
      <c r="V8895" s="1"/>
      <c r="W8895" s="1"/>
      <c r="X8895" s="1"/>
      <c r="Y8895" s="1"/>
      <c r="Z8895" s="1"/>
      <c r="AA8895" s="1"/>
      <c r="AB8895" s="1"/>
    </row>
    <row r="8896" ht="50.25" customHeight="1">
      <c r="A8896" s="12">
        <v>8892.0</v>
      </c>
      <c r="B8896" s="13" t="s">
        <v>8699</v>
      </c>
      <c r="C8896" s="18" t="s">
        <v>8922</v>
      </c>
      <c r="D8896" s="1"/>
      <c r="E8896" s="1"/>
      <c r="F8896" s="1" t="str">
        <f>IFERROR(__xludf.DUMMYFUNCTION("GOOGLETRANSLATE(B8896, ""en"", ""fa"")
"),"موفقیت در پادکست")</f>
        <v>موفقیت در پادکست</v>
      </c>
      <c r="G8896" s="1" t="str">
        <f>IFERROR(__xludf.DUMMYFUNCTION("GOOGLETRANSLATE(C8896, ""en"", ""fa"")
"),"تکنیک های استفاده از استراتژی های بهینه سازی موتور جستجو (SEO) برای بهبود دیده شدن پادکست شما در نتایج جستجو چیست؟")</f>
        <v>تکنیک های استفاده از استراتژی های بهینه سازی موتور جستجو (SEO) برای بهبود دیده شدن پادکست شما در نتایج جستجو چیست؟</v>
      </c>
      <c r="H8896" s="1"/>
      <c r="I8896" s="1"/>
      <c r="J8896" s="1"/>
      <c r="K8896" s="1"/>
      <c r="L8896" s="1"/>
      <c r="M8896" s="1"/>
      <c r="N8896" s="1"/>
      <c r="O8896" s="1"/>
      <c r="P8896" s="1"/>
      <c r="Q8896" s="1"/>
      <c r="R8896" s="1"/>
      <c r="S8896" s="1"/>
      <c r="T8896" s="1"/>
      <c r="U8896" s="1"/>
      <c r="V8896" s="1"/>
      <c r="W8896" s="1"/>
      <c r="X8896" s="1"/>
      <c r="Y8896" s="1"/>
      <c r="Z8896" s="1"/>
      <c r="AA8896" s="1"/>
      <c r="AB8896" s="1"/>
    </row>
    <row r="8897" ht="50.25" customHeight="1">
      <c r="A8897" s="12">
        <v>8893.0</v>
      </c>
      <c r="B8897" s="13" t="s">
        <v>8699</v>
      </c>
      <c r="C8897" s="18" t="s">
        <v>8923</v>
      </c>
      <c r="D8897" s="1"/>
      <c r="E8897" s="1"/>
      <c r="F8897" s="1" t="str">
        <f>IFERROR(__xludf.DUMMYFUNCTION("GOOGLETRANSLATE(B8897, ""en"", ""fa"")
"),"موفقیت در پادکست")</f>
        <v>موفقیت در پادکست</v>
      </c>
      <c r="G8897" s="1" t="str">
        <f>IFERROR(__xludf.DUMMYFUNCTION("GOOGLETRANSLATE(C8897, ""en"", ""fa"")
"),"چگونه می توان از مشارکت با مارک ها یا مشاغل مکمل برای دستیابی به مخاطبان جدید و تبلیغ پادکست خود استفاده کرد؟")</f>
        <v>چگونه می توان از مشارکت با مارک ها یا مشاغل مکمل برای دستیابی به مخاطبان جدید و تبلیغ پادکست خود استفاده کرد؟</v>
      </c>
      <c r="H8897" s="1"/>
      <c r="I8897" s="1"/>
      <c r="J8897" s="1"/>
      <c r="K8897" s="1"/>
      <c r="L8897" s="1"/>
      <c r="M8897" s="1"/>
      <c r="N8897" s="1"/>
      <c r="O8897" s="1"/>
      <c r="P8897" s="1"/>
      <c r="Q8897" s="1"/>
      <c r="R8897" s="1"/>
      <c r="S8897" s="1"/>
      <c r="T8897" s="1"/>
      <c r="U8897" s="1"/>
      <c r="V8897" s="1"/>
      <c r="W8897" s="1"/>
      <c r="X8897" s="1"/>
      <c r="Y8897" s="1"/>
      <c r="Z8897" s="1"/>
      <c r="AA8897" s="1"/>
      <c r="AB8897" s="1"/>
    </row>
    <row r="8898" ht="50.25" customHeight="1">
      <c r="A8898" s="12">
        <v>8894.0</v>
      </c>
      <c r="B8898" s="13" t="s">
        <v>8699</v>
      </c>
      <c r="C8898" s="18" t="s">
        <v>8924</v>
      </c>
      <c r="D8898" s="1"/>
      <c r="E8898" s="1"/>
      <c r="F8898" s="1" t="str">
        <f>IFERROR(__xludf.DUMMYFUNCTION("GOOGLETRANSLATE(B8898, ""en"", ""fa"")
"),"موفقیت در پادکست")</f>
        <v>موفقیت در پادکست</v>
      </c>
      <c r="G8898" s="1" t="str">
        <f>IFERROR(__xludf.DUMMYFUNCTION("GOOGLETRANSLATE(C8898, ""en"", ""fa"")
"),"استراتژی‌های شرکت در کنفرانس‌ها، رویدادها یا پانل‌های صنعتی مربوطه برای افزایش نمایش پادکست شما چیست؟")</f>
        <v>استراتژی‌های شرکت در کنفرانس‌ها، رویدادها یا پانل‌های صنعتی مربوطه برای افزایش نمایش پادکست شما چیست؟</v>
      </c>
      <c r="H8898" s="1"/>
      <c r="I8898" s="1"/>
      <c r="J8898" s="1"/>
      <c r="K8898" s="1"/>
      <c r="L8898" s="1"/>
      <c r="M8898" s="1"/>
      <c r="N8898" s="1"/>
      <c r="O8898" s="1"/>
      <c r="P8898" s="1"/>
      <c r="Q8898" s="1"/>
      <c r="R8898" s="1"/>
      <c r="S8898" s="1"/>
      <c r="T8898" s="1"/>
      <c r="U8898" s="1"/>
      <c r="V8898" s="1"/>
      <c r="W8898" s="1"/>
      <c r="X8898" s="1"/>
      <c r="Y8898" s="1"/>
      <c r="Z8898" s="1"/>
      <c r="AA8898" s="1"/>
      <c r="AB8898" s="1"/>
    </row>
    <row r="8899" ht="50.25" customHeight="1">
      <c r="A8899" s="12">
        <v>8895.0</v>
      </c>
      <c r="B8899" s="13" t="s">
        <v>8699</v>
      </c>
      <c r="C8899" s="18" t="s">
        <v>8925</v>
      </c>
      <c r="D8899" s="1"/>
      <c r="E8899" s="1"/>
      <c r="F8899" s="1" t="str">
        <f>IFERROR(__xludf.DUMMYFUNCTION("GOOGLETRANSLATE(B8899, ""en"", ""fa"")
"),"موفقیت در پادکست")</f>
        <v>موفقیت در پادکست</v>
      </c>
      <c r="G8899" s="1" t="str">
        <f>IFERROR(__xludf.DUMMYFUNCTION("GOOGLETRANSLATE(C8899, ""en"", ""fa"")
"),"چگونه از تبلیغات متقاطع با سایر پادکست ها برای گسترش پایگاه شنوندگان و افزایش دسترسی پادکست خود استفاده کنید؟")</f>
        <v>چگونه از تبلیغات متقاطع با سایر پادکست ها برای گسترش پایگاه شنوندگان و افزایش دسترسی پادکست خود استفاده کنید؟</v>
      </c>
      <c r="H8899" s="1"/>
      <c r="I8899" s="1"/>
      <c r="J8899" s="1"/>
      <c r="K8899" s="1"/>
      <c r="L8899" s="1"/>
      <c r="M8899" s="1"/>
      <c r="N8899" s="1"/>
      <c r="O8899" s="1"/>
      <c r="P8899" s="1"/>
      <c r="Q8899" s="1"/>
      <c r="R8899" s="1"/>
      <c r="S8899" s="1"/>
      <c r="T8899" s="1"/>
      <c r="U8899" s="1"/>
      <c r="V8899" s="1"/>
      <c r="W8899" s="1"/>
      <c r="X8899" s="1"/>
      <c r="Y8899" s="1"/>
      <c r="Z8899" s="1"/>
      <c r="AA8899" s="1"/>
      <c r="AB8899" s="1"/>
    </row>
    <row r="8900" ht="50.25" customHeight="1">
      <c r="A8900" s="12">
        <v>8896.0</v>
      </c>
      <c r="B8900" s="13" t="s">
        <v>8699</v>
      </c>
      <c r="C8900" s="18" t="s">
        <v>8926</v>
      </c>
      <c r="D8900" s="1"/>
      <c r="E8900" s="1"/>
      <c r="F8900" s="1" t="str">
        <f>IFERROR(__xludf.DUMMYFUNCTION("GOOGLETRANSLATE(B8900, ""en"", ""fa"")
"),"موفقیت در پادکست")</f>
        <v>موفقیت در پادکست</v>
      </c>
      <c r="G8900" s="1" t="str">
        <f>IFERROR(__xludf.DUMMYFUNCTION("GOOGLETRANSLATE(C8900, ""en"", ""fa"")
"),"تکنیک‌های تعامل با مخاطبان از طریق عناصر تعاملی، مانند نظرسنجی، نظرسنجی، یا سؤالات ارسالی از سوی شنوندگان چیست؟")</f>
        <v>تکنیک‌های تعامل با مخاطبان از طریق عناصر تعاملی، مانند نظرسنجی، نظرسنجی، یا سؤالات ارسالی از سوی شنوندگان چیست؟</v>
      </c>
      <c r="H8900" s="1"/>
      <c r="I8900" s="1"/>
      <c r="J8900" s="1"/>
      <c r="K8900" s="1"/>
      <c r="L8900" s="1"/>
      <c r="M8900" s="1"/>
      <c r="N8900" s="1"/>
      <c r="O8900" s="1"/>
      <c r="P8900" s="1"/>
      <c r="Q8900" s="1"/>
      <c r="R8900" s="1"/>
      <c r="S8900" s="1"/>
      <c r="T8900" s="1"/>
      <c r="U8900" s="1"/>
      <c r="V8900" s="1"/>
      <c r="W8900" s="1"/>
      <c r="X8900" s="1"/>
      <c r="Y8900" s="1"/>
      <c r="Z8900" s="1"/>
      <c r="AA8900" s="1"/>
      <c r="AB8900" s="1"/>
    </row>
    <row r="8901" ht="50.25" customHeight="1">
      <c r="A8901" s="12">
        <v>8897.0</v>
      </c>
      <c r="B8901" s="13" t="s">
        <v>8699</v>
      </c>
      <c r="C8901" s="18" t="s">
        <v>8927</v>
      </c>
      <c r="D8901" s="1"/>
      <c r="E8901" s="1"/>
      <c r="F8901" s="1" t="str">
        <f>IFERROR(__xludf.DUMMYFUNCTION("GOOGLETRANSLATE(B8901, ""en"", ""fa"")
"),"موفقیت در پادکست")</f>
        <v>موفقیت در پادکست</v>
      </c>
      <c r="G8901" s="1" t="str">
        <f>IFERROR(__xludf.DUMMYFUNCTION("GOOGLETRANSLATE(C8901, ""en"", ""fa"")
"),"چگونه از شبکه و ارتباطات شخصی خود برای به دست آوردن نوردهی و جذب شنوندگان جدید به پادکست خود استفاده کنید؟")</f>
        <v>چگونه از شبکه و ارتباطات شخصی خود برای به دست آوردن نوردهی و جذب شنوندگان جدید به پادکست خود استفاده کنید؟</v>
      </c>
      <c r="H8901" s="1"/>
      <c r="I8901" s="1"/>
      <c r="J8901" s="1"/>
      <c r="K8901" s="1"/>
      <c r="L8901" s="1"/>
      <c r="M8901" s="1"/>
      <c r="N8901" s="1"/>
      <c r="O8901" s="1"/>
      <c r="P8901" s="1"/>
      <c r="Q8901" s="1"/>
      <c r="R8901" s="1"/>
      <c r="S8901" s="1"/>
      <c r="T8901" s="1"/>
      <c r="U8901" s="1"/>
      <c r="V8901" s="1"/>
      <c r="W8901" s="1"/>
      <c r="X8901" s="1"/>
      <c r="Y8901" s="1"/>
      <c r="Z8901" s="1"/>
      <c r="AA8901" s="1"/>
      <c r="AB8901" s="1"/>
    </row>
    <row r="8902" ht="50.25" customHeight="1">
      <c r="A8902" s="12">
        <v>8898.0</v>
      </c>
      <c r="B8902" s="13" t="s">
        <v>8699</v>
      </c>
      <c r="C8902" s="18" t="s">
        <v>8928</v>
      </c>
      <c r="D8902" s="1"/>
      <c r="E8902" s="1"/>
      <c r="F8902" s="1" t="str">
        <f>IFERROR(__xludf.DUMMYFUNCTION("GOOGLETRANSLATE(B8902, ""en"", ""fa"")
"),"موفقیت در پادکست")</f>
        <v>موفقیت در پادکست</v>
      </c>
      <c r="G8902" s="1" t="str">
        <f>IFERROR(__xludf.DUMMYFUNCTION("GOOGLETRANSLATE(C8902, ""en"", ""fa"")
"),"راهبردهای ایجاد قسمت های پادکست ارزشمند و آموزنده که توصیه های شفاهی را تشویق می کند چیست؟")</f>
        <v>راهبردهای ایجاد قسمت های پادکست ارزشمند و آموزنده که توصیه های شفاهی را تشویق می کند چیست؟</v>
      </c>
      <c r="H8902" s="1"/>
      <c r="I8902" s="1"/>
      <c r="J8902" s="1"/>
      <c r="K8902" s="1"/>
      <c r="L8902" s="1"/>
      <c r="M8902" s="1"/>
      <c r="N8902" s="1"/>
      <c r="O8902" s="1"/>
      <c r="P8902" s="1"/>
      <c r="Q8902" s="1"/>
      <c r="R8902" s="1"/>
      <c r="S8902" s="1"/>
      <c r="T8902" s="1"/>
      <c r="U8902" s="1"/>
      <c r="V8902" s="1"/>
      <c r="W8902" s="1"/>
      <c r="X8902" s="1"/>
      <c r="Y8902" s="1"/>
      <c r="Z8902" s="1"/>
      <c r="AA8902" s="1"/>
      <c r="AB8902" s="1"/>
    </row>
    <row r="8903" ht="50.25" customHeight="1">
      <c r="A8903" s="12">
        <v>8899.0</v>
      </c>
      <c r="B8903" s="13" t="s">
        <v>8699</v>
      </c>
      <c r="C8903" s="18" t="s">
        <v>8929</v>
      </c>
      <c r="D8903" s="1"/>
      <c r="E8903" s="1"/>
      <c r="F8903" s="1" t="str">
        <f>IFERROR(__xludf.DUMMYFUNCTION("GOOGLETRANSLATE(B8903, ""en"", ""fa"")
"),"موفقیت در پادکست")</f>
        <v>موفقیت در پادکست</v>
      </c>
      <c r="G8903" s="1" t="str">
        <f>IFERROR(__xludf.DUMMYFUNCTION("GOOGLETRANSLATE(C8903, ""en"", ""fa"")
"),"چگونه می توان از پلتفرم های تبلیغاتی رسانه های اجتماعی مانند تبلیغات فیس بوک یا تبلیغات اینستاگرام برای تبلیغ پادکست خود به مخاطبان هدف استفاده کرد؟")</f>
        <v>چگونه می توان از پلتفرم های تبلیغاتی رسانه های اجتماعی مانند تبلیغات فیس بوک یا تبلیغات اینستاگرام برای تبلیغ پادکست خود به مخاطبان هدف استفاده کرد؟</v>
      </c>
      <c r="H8903" s="1"/>
      <c r="I8903" s="1"/>
      <c r="J8903" s="1"/>
      <c r="K8903" s="1"/>
      <c r="L8903" s="1"/>
      <c r="M8903" s="1"/>
      <c r="N8903" s="1"/>
      <c r="O8903" s="1"/>
      <c r="P8903" s="1"/>
      <c r="Q8903" s="1"/>
      <c r="R8903" s="1"/>
      <c r="S8903" s="1"/>
      <c r="T8903" s="1"/>
      <c r="U8903" s="1"/>
      <c r="V8903" s="1"/>
      <c r="W8903" s="1"/>
      <c r="X8903" s="1"/>
      <c r="Y8903" s="1"/>
      <c r="Z8903" s="1"/>
      <c r="AA8903" s="1"/>
      <c r="AB8903" s="1"/>
    </row>
    <row r="8904" ht="50.25" customHeight="1">
      <c r="A8904" s="12">
        <v>8900.0</v>
      </c>
      <c r="B8904" s="13" t="s">
        <v>8699</v>
      </c>
      <c r="C8904" s="18" t="s">
        <v>8930</v>
      </c>
      <c r="D8904" s="1"/>
      <c r="E8904" s="1"/>
      <c r="F8904" s="1" t="str">
        <f>IFERROR(__xludf.DUMMYFUNCTION("GOOGLETRANSLATE(B8904, ""en"", ""fa"")
"),"موفقیت در پادکست")</f>
        <v>موفقیت در پادکست</v>
      </c>
      <c r="G8904" s="1" t="str">
        <f>IFERROR(__xludf.DUMMYFUNCTION("GOOGLETRANSLATE(C8904, ""en"", ""fa"")
"),"تکنیک های استفاده از انجمن ها، انجمن ها یا گروه های آنلاین برای تعامل با شنوندگان بالقوه و تبلیغ پادکست شما چیست؟")</f>
        <v>تکنیک های استفاده از انجمن ها، انجمن ها یا گروه های آنلاین برای تعامل با شنوندگان بالقوه و تبلیغ پادکست شما چیست؟</v>
      </c>
      <c r="H8904" s="1"/>
      <c r="I8904" s="1"/>
      <c r="J8904" s="1"/>
      <c r="K8904" s="1"/>
      <c r="L8904" s="1"/>
      <c r="M8904" s="1"/>
      <c r="N8904" s="1"/>
      <c r="O8904" s="1"/>
      <c r="P8904" s="1"/>
      <c r="Q8904" s="1"/>
      <c r="R8904" s="1"/>
      <c r="S8904" s="1"/>
      <c r="T8904" s="1"/>
      <c r="U8904" s="1"/>
      <c r="V8904" s="1"/>
      <c r="W8904" s="1"/>
      <c r="X8904" s="1"/>
      <c r="Y8904" s="1"/>
      <c r="Z8904" s="1"/>
      <c r="AA8904" s="1"/>
      <c r="AB8904" s="1"/>
    </row>
    <row r="8905" ht="50.25" customHeight="1">
      <c r="A8905" s="12">
        <v>8901.0</v>
      </c>
      <c r="B8905" s="13" t="s">
        <v>8699</v>
      </c>
      <c r="C8905" s="18" t="s">
        <v>8931</v>
      </c>
      <c r="D8905" s="1"/>
      <c r="E8905" s="1"/>
      <c r="F8905" s="1" t="str">
        <f>IFERROR(__xludf.DUMMYFUNCTION("GOOGLETRANSLATE(B8905, ""en"", ""fa"")
"),"موفقیت در پادکست")</f>
        <v>موفقیت در پادکست</v>
      </c>
      <c r="G8905" s="1" t="str">
        <f>IFERROR(__xludf.DUMMYFUNCTION("GOOGLETRANSLATE(C8905, ""en"", ""fa"")
"),"چگونه از فرصت های وبلاگ نویسی مهمان برای دستیابی به مخاطبان جدید و هدایت ترافیک به قسمت های پادکست خود استفاده کنید؟")</f>
        <v>چگونه از فرصت های وبلاگ نویسی مهمان برای دستیابی به مخاطبان جدید و هدایت ترافیک به قسمت های پادکست خود استفاده کنید؟</v>
      </c>
      <c r="H8905" s="1"/>
      <c r="I8905" s="1"/>
      <c r="J8905" s="1"/>
      <c r="K8905" s="1"/>
      <c r="L8905" s="1"/>
      <c r="M8905" s="1"/>
      <c r="N8905" s="1"/>
      <c r="O8905" s="1"/>
      <c r="P8905" s="1"/>
      <c r="Q8905" s="1"/>
      <c r="R8905" s="1"/>
      <c r="S8905" s="1"/>
      <c r="T8905" s="1"/>
      <c r="U8905" s="1"/>
      <c r="V8905" s="1"/>
      <c r="W8905" s="1"/>
      <c r="X8905" s="1"/>
      <c r="Y8905" s="1"/>
      <c r="Z8905" s="1"/>
      <c r="AA8905" s="1"/>
      <c r="AB8905" s="1"/>
    </row>
    <row r="8906" ht="50.25" customHeight="1">
      <c r="A8906" s="12">
        <v>8902.0</v>
      </c>
      <c r="B8906" s="13" t="s">
        <v>8699</v>
      </c>
      <c r="C8906" s="18" t="s">
        <v>8932</v>
      </c>
      <c r="D8906" s="1"/>
      <c r="E8906" s="1"/>
      <c r="F8906" s="1" t="str">
        <f>IFERROR(__xludf.DUMMYFUNCTION("GOOGLETRANSLATE(B8906, ""en"", ""fa"")
"),"موفقیت در پادکست")</f>
        <v>موفقیت در پادکست</v>
      </c>
      <c r="G8906" s="1" t="str">
        <f>IFERROR(__xludf.DUMMYFUNCTION("GOOGLETRANSLATE(C8906, ""en"", ""fa"")
"),"استراتژی‌هایی برای بهینه‌سازی حضور پادکست شما در پلتفرم‌های پادکست، دایرکتوری‌ها و تجمیع‌کننده‌ها برای افزایش قابلیت کشف چیست؟")</f>
        <v>استراتژی‌هایی برای بهینه‌سازی حضور پادکست شما در پلتفرم‌های پادکست، دایرکتوری‌ها و تجمیع‌کننده‌ها برای افزایش قابلیت کشف چیست؟</v>
      </c>
      <c r="H8906" s="1"/>
      <c r="I8906" s="1"/>
      <c r="J8906" s="1"/>
      <c r="K8906" s="1"/>
      <c r="L8906" s="1"/>
      <c r="M8906" s="1"/>
      <c r="N8906" s="1"/>
      <c r="O8906" s="1"/>
      <c r="P8906" s="1"/>
      <c r="Q8906" s="1"/>
      <c r="R8906" s="1"/>
      <c r="S8906" s="1"/>
      <c r="T8906" s="1"/>
      <c r="U8906" s="1"/>
      <c r="V8906" s="1"/>
      <c r="W8906" s="1"/>
      <c r="X8906" s="1"/>
      <c r="Y8906" s="1"/>
      <c r="Z8906" s="1"/>
      <c r="AA8906" s="1"/>
      <c r="AB8906" s="1"/>
    </row>
    <row r="8907" ht="50.25" customHeight="1">
      <c r="A8907" s="12">
        <v>8903.0</v>
      </c>
      <c r="B8907" s="13" t="s">
        <v>8699</v>
      </c>
      <c r="C8907" s="18" t="s">
        <v>8933</v>
      </c>
      <c r="D8907" s="1"/>
      <c r="E8907" s="1"/>
      <c r="F8907" s="1" t="str">
        <f>IFERROR(__xludf.DUMMYFUNCTION("GOOGLETRANSLATE(B8907, ""en"", ""fa"")
"),"موفقیت در پادکست")</f>
        <v>موفقیت در پادکست</v>
      </c>
      <c r="G8907" s="1" t="str">
        <f>IFERROR(__xludf.DUMMYFUNCTION("GOOGLETRANSLATE(C8907, ""en"", ""fa"")
"),"چگونه از پلتفرم‌های پخش زنده مانند Twitch یا YouTube Live برای تعامل با مخاطبان خود و جذب شنوندگان جدید به پادکست خود استفاده کنید؟")</f>
        <v>چگونه از پلتفرم‌های پخش زنده مانند Twitch یا YouTube Live برای تعامل با مخاطبان خود و جذب شنوندگان جدید به پادکست خود استفاده کنید؟</v>
      </c>
      <c r="H8907" s="1"/>
      <c r="I8907" s="1"/>
      <c r="J8907" s="1"/>
      <c r="K8907" s="1"/>
      <c r="L8907" s="1"/>
      <c r="M8907" s="1"/>
      <c r="N8907" s="1"/>
      <c r="O8907" s="1"/>
      <c r="P8907" s="1"/>
      <c r="Q8907" s="1"/>
      <c r="R8907" s="1"/>
      <c r="S8907" s="1"/>
      <c r="T8907" s="1"/>
      <c r="U8907" s="1"/>
      <c r="V8907" s="1"/>
      <c r="W8907" s="1"/>
      <c r="X8907" s="1"/>
      <c r="Y8907" s="1"/>
      <c r="Z8907" s="1"/>
      <c r="AA8907" s="1"/>
      <c r="AB8907" s="1"/>
    </row>
    <row r="8908" ht="50.25" customHeight="1">
      <c r="A8908" s="12">
        <v>8904.0</v>
      </c>
      <c r="B8908" s="13" t="s">
        <v>8699</v>
      </c>
      <c r="C8908" s="18" t="s">
        <v>8934</v>
      </c>
      <c r="D8908" s="1"/>
      <c r="E8908" s="1"/>
      <c r="F8908" s="1" t="str">
        <f>IFERROR(__xludf.DUMMYFUNCTION("GOOGLETRANSLATE(B8908, ""en"", ""fa"")
"),"موفقیت در پادکست")</f>
        <v>موفقیت در پادکست</v>
      </c>
      <c r="G8908" s="1" t="str">
        <f>IFERROR(__xludf.DUMMYFUNCTION("GOOGLETRANSLATE(C8908, ""en"", ""fa"")
"),"تکنیک‌هایی برای ایجاد قسمت‌های پادکست قانع‌کننده که بینش، تخصص یا ارزش منحصربه‌فردی را برای مخاطبان هدف شما فراهم می‌کند چیست؟")</f>
        <v>تکنیک‌هایی برای ایجاد قسمت‌های پادکست قانع‌کننده که بینش، تخصص یا ارزش منحصربه‌فردی را برای مخاطبان هدف شما فراهم می‌کند چیست؟</v>
      </c>
      <c r="H8908" s="1"/>
      <c r="I8908" s="1"/>
      <c r="J8908" s="1"/>
      <c r="K8908" s="1"/>
      <c r="L8908" s="1"/>
      <c r="M8908" s="1"/>
      <c r="N8908" s="1"/>
      <c r="O8908" s="1"/>
      <c r="P8908" s="1"/>
      <c r="Q8908" s="1"/>
      <c r="R8908" s="1"/>
      <c r="S8908" s="1"/>
      <c r="T8908" s="1"/>
      <c r="U8908" s="1"/>
      <c r="V8908" s="1"/>
      <c r="W8908" s="1"/>
      <c r="X8908" s="1"/>
      <c r="Y8908" s="1"/>
      <c r="Z8908" s="1"/>
      <c r="AA8908" s="1"/>
      <c r="AB8908" s="1"/>
    </row>
    <row r="8909" ht="50.25" customHeight="1">
      <c r="A8909" s="12">
        <v>8905.0</v>
      </c>
      <c r="B8909" s="13" t="s">
        <v>8699</v>
      </c>
      <c r="C8909" s="18" t="s">
        <v>8935</v>
      </c>
      <c r="D8909" s="1"/>
      <c r="E8909" s="1"/>
      <c r="F8909" s="1" t="str">
        <f>IFERROR(__xludf.DUMMYFUNCTION("GOOGLETRANSLATE(B8909, ""en"", ""fa"")
"),"موفقیت در پادکست")</f>
        <v>موفقیت در پادکست</v>
      </c>
      <c r="G8909" s="1" t="str">
        <f>IFERROR(__xludf.DUMMYFUNCTION("GOOGLETRANSLATE(C8909, ""en"", ""fa"")
"),"چگونه با شنوندگان خود از طریق خبرنامه های ایمیل، ارائه محتوای انحصاری، به روز رسانی، یا قسمت های جایزه تعامل داشته باشید؟")</f>
        <v>چگونه با شنوندگان خود از طریق خبرنامه های ایمیل، ارائه محتوای انحصاری، به روز رسانی، یا قسمت های جایزه تعامل داشته باشید؟</v>
      </c>
      <c r="H8909" s="1"/>
      <c r="I8909" s="1"/>
      <c r="J8909" s="1"/>
      <c r="K8909" s="1"/>
      <c r="L8909" s="1"/>
      <c r="M8909" s="1"/>
      <c r="N8909" s="1"/>
      <c r="O8909" s="1"/>
      <c r="P8909" s="1"/>
      <c r="Q8909" s="1"/>
      <c r="R8909" s="1"/>
      <c r="S8909" s="1"/>
      <c r="T8909" s="1"/>
      <c r="U8909" s="1"/>
      <c r="V8909" s="1"/>
      <c r="W8909" s="1"/>
      <c r="X8909" s="1"/>
      <c r="Y8909" s="1"/>
      <c r="Z8909" s="1"/>
      <c r="AA8909" s="1"/>
      <c r="AB8909" s="1"/>
    </row>
    <row r="8910" ht="50.25" customHeight="1">
      <c r="A8910" s="12">
        <v>8906.0</v>
      </c>
      <c r="B8910" s="13" t="s">
        <v>8699</v>
      </c>
      <c r="C8910" s="18" t="s">
        <v>8936</v>
      </c>
      <c r="D8910" s="1"/>
      <c r="E8910" s="1"/>
      <c r="F8910" s="1" t="str">
        <f>IFERROR(__xludf.DUMMYFUNCTION("GOOGLETRANSLATE(B8910, ""en"", ""fa"")
"),"موفقیت در پادکست")</f>
        <v>موفقیت در پادکست</v>
      </c>
      <c r="G8910" s="1" t="str">
        <f>IFERROR(__xludf.DUMMYFUNCTION("GOOGLETRANSLATE(C8910, ""en"", ""fa"")
"),"استراتژی های استفاده از تکنیک های سئو برای رتبه بندی بالاتر در نتایج موتورهای جستجو برای کلمات کلیدی مرتبط با پادکست شما چیست؟")</f>
        <v>استراتژی های استفاده از تکنیک های سئو برای رتبه بندی بالاتر در نتایج موتورهای جستجو برای کلمات کلیدی مرتبط با پادکست شما چیست؟</v>
      </c>
      <c r="H8910" s="1"/>
      <c r="I8910" s="1"/>
      <c r="J8910" s="1"/>
      <c r="K8910" s="1"/>
      <c r="L8910" s="1"/>
      <c r="M8910" s="1"/>
      <c r="N8910" s="1"/>
      <c r="O8910" s="1"/>
      <c r="P8910" s="1"/>
      <c r="Q8910" s="1"/>
      <c r="R8910" s="1"/>
      <c r="S8910" s="1"/>
      <c r="T8910" s="1"/>
      <c r="U8910" s="1"/>
      <c r="V8910" s="1"/>
      <c r="W8910" s="1"/>
      <c r="X8910" s="1"/>
      <c r="Y8910" s="1"/>
      <c r="Z8910" s="1"/>
      <c r="AA8910" s="1"/>
      <c r="AB8910" s="1"/>
    </row>
    <row r="8911" ht="50.25" customHeight="1">
      <c r="A8911" s="12">
        <v>8907.0</v>
      </c>
      <c r="B8911" s="13" t="s">
        <v>8699</v>
      </c>
      <c r="C8911" s="18" t="s">
        <v>8937</v>
      </c>
      <c r="D8911" s="1"/>
      <c r="E8911" s="1"/>
      <c r="F8911" s="1" t="str">
        <f>IFERROR(__xludf.DUMMYFUNCTION("GOOGLETRANSLATE(B8911, ""en"", ""fa"")
"),"موفقیت در پادکست")</f>
        <v>موفقیت در پادکست</v>
      </c>
      <c r="G8911" s="1" t="str">
        <f>IFERROR(__xludf.DUMMYFUNCTION("GOOGLETRANSLATE(C8911, ""en"", ""fa"")
"),"نحوه همکاری با اینفلوئنسرها یا متخصصان در حوزه کاری خود برای محتوای دارای برند مشترک یا تبلیغات متقابل برای گسترش دامنه دسترسی پادکست خود.")</f>
        <v>نحوه همکاری با اینفلوئنسرها یا متخصصان در حوزه کاری خود برای محتوای دارای برند مشترک یا تبلیغات متقابل برای گسترش دامنه دسترسی پادکست خود.</v>
      </c>
      <c r="H8911" s="1"/>
      <c r="I8911" s="1"/>
      <c r="J8911" s="1"/>
      <c r="K8911" s="1"/>
      <c r="L8911" s="1"/>
      <c r="M8911" s="1"/>
      <c r="N8911" s="1"/>
      <c r="O8911" s="1"/>
      <c r="P8911" s="1"/>
      <c r="Q8911" s="1"/>
      <c r="R8911" s="1"/>
      <c r="S8911" s="1"/>
      <c r="T8911" s="1"/>
      <c r="U8911" s="1"/>
      <c r="V8911" s="1"/>
      <c r="W8911" s="1"/>
      <c r="X8911" s="1"/>
      <c r="Y8911" s="1"/>
      <c r="Z8911" s="1"/>
      <c r="AA8911" s="1"/>
      <c r="AB8911" s="1"/>
    </row>
    <row r="8912" ht="50.25" customHeight="1">
      <c r="A8912" s="12">
        <v>8908.0</v>
      </c>
      <c r="B8912" s="13" t="s">
        <v>8699</v>
      </c>
      <c r="C8912" s="18" t="s">
        <v>8938</v>
      </c>
      <c r="D8912" s="1"/>
      <c r="E8912" s="1"/>
      <c r="F8912" s="1" t="str">
        <f>IFERROR(__xludf.DUMMYFUNCTION("GOOGLETRANSLATE(B8912, ""en"", ""fa"")
"),"موفقیت در پادکست")</f>
        <v>موفقیت در پادکست</v>
      </c>
      <c r="G8912" s="1" t="str">
        <f>IFERROR(__xludf.DUMMYFUNCTION("GOOGLETRANSLATE(C8912, ""en"", ""fa"")
"),"مراحل کلیدی در ویرایش پادکست و فرآیند پس از تولید چیست؟")</f>
        <v>مراحل کلیدی در ویرایش پادکست و فرآیند پس از تولید چیست؟</v>
      </c>
      <c r="H8912" s="1"/>
      <c r="I8912" s="1"/>
      <c r="J8912" s="1"/>
      <c r="K8912" s="1"/>
      <c r="L8912" s="1"/>
      <c r="M8912" s="1"/>
      <c r="N8912" s="1"/>
      <c r="O8912" s="1"/>
      <c r="P8912" s="1"/>
      <c r="Q8912" s="1"/>
      <c r="R8912" s="1"/>
      <c r="S8912" s="1"/>
      <c r="T8912" s="1"/>
      <c r="U8912" s="1"/>
      <c r="V8912" s="1"/>
      <c r="W8912" s="1"/>
      <c r="X8912" s="1"/>
      <c r="Y8912" s="1"/>
      <c r="Z8912" s="1"/>
      <c r="AA8912" s="1"/>
      <c r="AB8912" s="1"/>
    </row>
    <row r="8913" ht="50.25" customHeight="1">
      <c r="A8913" s="12">
        <v>8909.0</v>
      </c>
      <c r="B8913" s="13" t="s">
        <v>8699</v>
      </c>
      <c r="C8913" s="18" t="s">
        <v>8939</v>
      </c>
      <c r="D8913" s="1"/>
      <c r="E8913" s="1"/>
      <c r="F8913" s="1" t="str">
        <f>IFERROR(__xludf.DUMMYFUNCTION("GOOGLETRANSLATE(B8913, ""en"", ""fa"")
"),"موفقیت در پادکست")</f>
        <v>موفقیت در پادکست</v>
      </c>
      <c r="G8913" s="1" t="str">
        <f>IFERROR(__xludf.DUMMYFUNCTION("GOOGLETRANSLATE(C8913, ""en"", ""fa"")
"),"چگونه نرم افزار یا ابزار مناسبی را برای ویرایش و تقویت صدای پادکست خود انتخاب کنیم؟")</f>
        <v>چگونه نرم افزار یا ابزار مناسبی را برای ویرایش و تقویت صدای پادکست خود انتخاب کنیم؟</v>
      </c>
      <c r="H8913" s="1"/>
      <c r="I8913" s="1"/>
      <c r="J8913" s="1"/>
      <c r="K8913" s="1"/>
      <c r="L8913" s="1"/>
      <c r="M8913" s="1"/>
      <c r="N8913" s="1"/>
      <c r="O8913" s="1"/>
      <c r="P8913" s="1"/>
      <c r="Q8913" s="1"/>
      <c r="R8913" s="1"/>
      <c r="S8913" s="1"/>
      <c r="T8913" s="1"/>
      <c r="U8913" s="1"/>
      <c r="V8913" s="1"/>
      <c r="W8913" s="1"/>
      <c r="X8913" s="1"/>
      <c r="Y8913" s="1"/>
      <c r="Z8913" s="1"/>
      <c r="AA8913" s="1"/>
      <c r="AB8913" s="1"/>
    </row>
    <row r="8914" ht="50.25" customHeight="1">
      <c r="A8914" s="12">
        <v>8910.0</v>
      </c>
      <c r="B8914" s="13" t="s">
        <v>8699</v>
      </c>
      <c r="C8914" s="18" t="s">
        <v>8940</v>
      </c>
      <c r="D8914" s="1"/>
      <c r="E8914" s="1"/>
      <c r="F8914" s="1" t="str">
        <f>IFERROR(__xludf.DUMMYFUNCTION("GOOGLETRANSLATE(B8914, ""en"", ""fa"")
"),"موفقیت در پادکست")</f>
        <v>موفقیت در پادکست</v>
      </c>
      <c r="G8914" s="1" t="str">
        <f>IFERROR(__xludf.DUMMYFUNCTION("GOOGLETRANSLATE(C8914, ""en"", ""fa"")
"),"تکنیک های موثر برای حذف نویز پس زمینه و بهبود کیفیت کلی صدا در قسمت های پادکست شما چیست؟")</f>
        <v>تکنیک های موثر برای حذف نویز پس زمینه و بهبود کیفیت کلی صدا در قسمت های پادکست شما چیست؟</v>
      </c>
      <c r="H8914" s="1"/>
      <c r="I8914" s="1"/>
      <c r="J8914" s="1"/>
      <c r="K8914" s="1"/>
      <c r="L8914" s="1"/>
      <c r="M8914" s="1"/>
      <c r="N8914" s="1"/>
      <c r="O8914" s="1"/>
      <c r="P8914" s="1"/>
      <c r="Q8914" s="1"/>
      <c r="R8914" s="1"/>
      <c r="S8914" s="1"/>
      <c r="T8914" s="1"/>
      <c r="U8914" s="1"/>
      <c r="V8914" s="1"/>
      <c r="W8914" s="1"/>
      <c r="X8914" s="1"/>
      <c r="Y8914" s="1"/>
      <c r="Z8914" s="1"/>
      <c r="AA8914" s="1"/>
      <c r="AB8914" s="1"/>
    </row>
    <row r="8915" ht="50.25" customHeight="1">
      <c r="A8915" s="12">
        <v>8911.0</v>
      </c>
      <c r="B8915" s="13" t="s">
        <v>8699</v>
      </c>
      <c r="C8915" s="18" t="s">
        <v>8941</v>
      </c>
      <c r="D8915" s="1"/>
      <c r="E8915" s="1"/>
      <c r="F8915" s="1" t="str">
        <f>IFERROR(__xludf.DUMMYFUNCTION("GOOGLETRANSLATE(B8915, ""en"", ""fa"")
"),"موفقیت در پادکست")</f>
        <v>موفقیت در پادکست</v>
      </c>
      <c r="G8915" s="1" t="str">
        <f>IFERROR(__xludf.DUMMYFUNCTION("GOOGLETRANSLATE(C8915, ""en"", ""fa"")
"),"چگونه می توان سرعت قسمت های پادکست خود را برای تجربه شنیداری جذاب تر ویرایش و سخت تر کرد؟")</f>
        <v>چگونه می توان سرعت قسمت های پادکست خود را برای تجربه شنیداری جذاب تر ویرایش و سخت تر کرد؟</v>
      </c>
      <c r="H8915" s="1"/>
      <c r="I8915" s="1"/>
      <c r="J8915" s="1"/>
      <c r="K8915" s="1"/>
      <c r="L8915" s="1"/>
      <c r="M8915" s="1"/>
      <c r="N8915" s="1"/>
      <c r="O8915" s="1"/>
      <c r="P8915" s="1"/>
      <c r="Q8915" s="1"/>
      <c r="R8915" s="1"/>
      <c r="S8915" s="1"/>
      <c r="T8915" s="1"/>
      <c r="U8915" s="1"/>
      <c r="V8915" s="1"/>
      <c r="W8915" s="1"/>
      <c r="X8915" s="1"/>
      <c r="Y8915" s="1"/>
      <c r="Z8915" s="1"/>
      <c r="AA8915" s="1"/>
      <c r="AB8915" s="1"/>
    </row>
    <row r="8916" ht="50.25" customHeight="1">
      <c r="A8916" s="12">
        <v>8912.0</v>
      </c>
      <c r="B8916" s="13" t="s">
        <v>8699</v>
      </c>
      <c r="C8916" s="18" t="s">
        <v>8942</v>
      </c>
      <c r="D8916" s="1"/>
      <c r="E8916" s="1"/>
      <c r="F8916" s="1" t="str">
        <f>IFERROR(__xludf.DUMMYFUNCTION("GOOGLETRANSLATE(B8916, ""en"", ""fa"")
"),"موفقیت در پادکست")</f>
        <v>موفقیت در پادکست</v>
      </c>
      <c r="G8916" s="1" t="str">
        <f>IFERROR(__xludf.DUMMYFUNCTION("GOOGLETRANSLATE(C8916, ""en"", ""fa"")
"),"چه راهکارهایی برای گنجاندن موسیقی، جلوه‌های صوتی یا صدای جینگل در قسمت‌های پادکست‌تان برای تقویت داستان‌گویی و فضا وجود دارد؟")</f>
        <v>چه راهکارهایی برای گنجاندن موسیقی، جلوه‌های صوتی یا صدای جینگل در قسمت‌های پادکست‌تان برای تقویت داستان‌گویی و فضا وجود دارد؟</v>
      </c>
      <c r="H8916" s="1"/>
      <c r="I8916" s="1"/>
      <c r="J8916" s="1"/>
      <c r="K8916" s="1"/>
      <c r="L8916" s="1"/>
      <c r="M8916" s="1"/>
      <c r="N8916" s="1"/>
      <c r="O8916" s="1"/>
      <c r="P8916" s="1"/>
      <c r="Q8916" s="1"/>
      <c r="R8916" s="1"/>
      <c r="S8916" s="1"/>
      <c r="T8916" s="1"/>
      <c r="U8916" s="1"/>
      <c r="V8916" s="1"/>
      <c r="W8916" s="1"/>
      <c r="X8916" s="1"/>
      <c r="Y8916" s="1"/>
      <c r="Z8916" s="1"/>
      <c r="AA8916" s="1"/>
      <c r="AB8916" s="1"/>
    </row>
    <row r="8917" ht="50.25" customHeight="1">
      <c r="A8917" s="12">
        <v>8913.0</v>
      </c>
      <c r="B8917" s="13" t="s">
        <v>8699</v>
      </c>
      <c r="C8917" s="18" t="s">
        <v>8943</v>
      </c>
      <c r="D8917" s="1"/>
      <c r="E8917" s="1"/>
      <c r="F8917" s="1" t="str">
        <f>IFERROR(__xludf.DUMMYFUNCTION("GOOGLETRANSLATE(B8917, ""en"", ""fa"")
"),"موفقیت در پادکست")</f>
        <v>موفقیت در پادکست</v>
      </c>
      <c r="G8917" s="1" t="str">
        <f>IFERROR(__xludf.DUMMYFUNCTION("GOOGLETRANSLATE(C8917, ""en"", ""fa"")
"),"چگونه می توان پادکست های سبک مصاحبه را به طور موثر ویرایش کرد تا ums، ahs و سایر پرکننده های کلامی را بدون به خطر انداختن جریان مکالمه حذف کنیم؟")</f>
        <v>چگونه می توان پادکست های سبک مصاحبه را به طور موثر ویرایش کرد تا ums، ahs و سایر پرکننده های کلامی را بدون به خطر انداختن جریان مکالمه حذف کنیم؟</v>
      </c>
      <c r="H8917" s="1"/>
      <c r="I8917" s="1"/>
      <c r="J8917" s="1"/>
      <c r="K8917" s="1"/>
      <c r="L8917" s="1"/>
      <c r="M8917" s="1"/>
      <c r="N8917" s="1"/>
      <c r="O8917" s="1"/>
      <c r="P8917" s="1"/>
      <c r="Q8917" s="1"/>
      <c r="R8917" s="1"/>
      <c r="S8917" s="1"/>
      <c r="T8917" s="1"/>
      <c r="U8917" s="1"/>
      <c r="V8917" s="1"/>
      <c r="W8917" s="1"/>
      <c r="X8917" s="1"/>
      <c r="Y8917" s="1"/>
      <c r="Z8917" s="1"/>
      <c r="AA8917" s="1"/>
      <c r="AB8917" s="1"/>
    </row>
    <row r="8918" ht="50.25" customHeight="1">
      <c r="A8918" s="12">
        <v>8914.0</v>
      </c>
      <c r="B8918" s="13" t="s">
        <v>8699</v>
      </c>
      <c r="C8918" s="18" t="s">
        <v>8944</v>
      </c>
      <c r="D8918" s="1"/>
      <c r="E8918" s="1"/>
      <c r="F8918" s="1" t="str">
        <f>IFERROR(__xludf.DUMMYFUNCTION("GOOGLETRANSLATE(B8918, ""en"", ""fa"")
"),"موفقیت در پادکست")</f>
        <v>موفقیت در پادکست</v>
      </c>
      <c r="G8918" s="1" t="str">
        <f>IFERROR(__xludf.DUMMYFUNCTION("GOOGLETRANSLATE(C8918, ""en"", ""fa"")
"),"تکنیک‌هایی برای تنظیم سطح صدا و یکسان سازی آهنگ‌های صوتی مختلف در قسمت‌های پادکست شما چیست؟")</f>
        <v>تکنیک‌هایی برای تنظیم سطح صدا و یکسان سازی آهنگ‌های صوتی مختلف در قسمت‌های پادکست شما چیست؟</v>
      </c>
      <c r="H8918" s="1"/>
      <c r="I8918" s="1"/>
      <c r="J8918" s="1"/>
      <c r="K8918" s="1"/>
      <c r="L8918" s="1"/>
      <c r="M8918" s="1"/>
      <c r="N8918" s="1"/>
      <c r="O8918" s="1"/>
      <c r="P8918" s="1"/>
      <c r="Q8918" s="1"/>
      <c r="R8918" s="1"/>
      <c r="S8918" s="1"/>
      <c r="T8918" s="1"/>
      <c r="U8918" s="1"/>
      <c r="V8918" s="1"/>
      <c r="W8918" s="1"/>
      <c r="X8918" s="1"/>
      <c r="Y8918" s="1"/>
      <c r="Z8918" s="1"/>
      <c r="AA8918" s="1"/>
      <c r="AB8918" s="1"/>
    </row>
    <row r="8919" ht="50.25" customHeight="1">
      <c r="A8919" s="12">
        <v>8915.0</v>
      </c>
      <c r="B8919" s="13" t="s">
        <v>8699</v>
      </c>
      <c r="C8919" s="18" t="s">
        <v>8945</v>
      </c>
      <c r="D8919" s="1"/>
      <c r="E8919" s="1"/>
      <c r="F8919" s="1" t="str">
        <f>IFERROR(__xludf.DUMMYFUNCTION("GOOGLETRANSLATE(B8919, ""en"", ""fa"")
"),"موفقیت در پادکست")</f>
        <v>موفقیت در پادکست</v>
      </c>
      <c r="G8919" s="1" t="str">
        <f>IFERROR(__xludf.DUMMYFUNCTION("GOOGLETRANSLATE(C8919, ""en"", ""fa"")
"),"چگونه اشتباهات، مکث ها یا اشکالات فنی را در ضبط های پادکست خود برای یک محصول نهایی صیقلی به طور یکپارچه ویرایش کنید؟")</f>
        <v>چگونه اشتباهات، مکث ها یا اشکالات فنی را در ضبط های پادکست خود برای یک محصول نهایی صیقلی به طور یکپارچه ویرایش کنید؟</v>
      </c>
      <c r="H8919" s="1"/>
      <c r="I8919" s="1"/>
      <c r="J8919" s="1"/>
      <c r="K8919" s="1"/>
      <c r="L8919" s="1"/>
      <c r="M8919" s="1"/>
      <c r="N8919" s="1"/>
      <c r="O8919" s="1"/>
      <c r="P8919" s="1"/>
      <c r="Q8919" s="1"/>
      <c r="R8919" s="1"/>
      <c r="S8919" s="1"/>
      <c r="T8919" s="1"/>
      <c r="U8919" s="1"/>
      <c r="V8919" s="1"/>
      <c r="W8919" s="1"/>
      <c r="X8919" s="1"/>
      <c r="Y8919" s="1"/>
      <c r="Z8919" s="1"/>
      <c r="AA8919" s="1"/>
      <c r="AB8919" s="1"/>
    </row>
    <row r="8920" ht="50.25" customHeight="1">
      <c r="A8920" s="12">
        <v>8916.0</v>
      </c>
      <c r="B8920" s="13" t="s">
        <v>8699</v>
      </c>
      <c r="C8920" s="18" t="s">
        <v>8946</v>
      </c>
      <c r="D8920" s="1"/>
      <c r="E8920" s="1"/>
      <c r="F8920" s="1" t="str">
        <f>IFERROR(__xludf.DUMMYFUNCTION("GOOGLETRANSLATE(B8920, ""en"", ""fa"")
"),"موفقیت در پادکست")</f>
        <v>موفقیت در پادکست</v>
      </c>
      <c r="G8920" s="1" t="str">
        <f>IFERROR(__xludf.DUMMYFUNCTION("GOOGLETRANSLATE(C8920, ""en"", ""fa"")
"),"استراتژی‌هایی برای افزودن معرفی‌ها، برون‌ها، یا اشاره‌های حامی به قسمت‌های پادکست شما در طول فرآیند ویرایش چیست؟")</f>
        <v>استراتژی‌هایی برای افزودن معرفی‌ها، برون‌ها، یا اشاره‌های حامی به قسمت‌های پادکست شما در طول فرآیند ویرایش چیست؟</v>
      </c>
      <c r="H8920" s="1"/>
      <c r="I8920" s="1"/>
      <c r="J8920" s="1"/>
      <c r="K8920" s="1"/>
      <c r="L8920" s="1"/>
      <c r="M8920" s="1"/>
      <c r="N8920" s="1"/>
      <c r="O8920" s="1"/>
      <c r="P8920" s="1"/>
      <c r="Q8920" s="1"/>
      <c r="R8920" s="1"/>
      <c r="S8920" s="1"/>
      <c r="T8920" s="1"/>
      <c r="U8920" s="1"/>
      <c r="V8920" s="1"/>
      <c r="W8920" s="1"/>
      <c r="X8920" s="1"/>
      <c r="Y8920" s="1"/>
      <c r="Z8920" s="1"/>
      <c r="AA8920" s="1"/>
      <c r="AB8920" s="1"/>
    </row>
    <row r="8921" ht="50.25" customHeight="1">
      <c r="A8921" s="12">
        <v>8917.0</v>
      </c>
      <c r="B8921" s="13" t="s">
        <v>8699</v>
      </c>
      <c r="C8921" s="18" t="s">
        <v>8947</v>
      </c>
      <c r="D8921" s="1"/>
      <c r="E8921" s="1"/>
      <c r="F8921" s="1" t="str">
        <f>IFERROR(__xludf.DUMMYFUNCTION("GOOGLETRANSLATE(B8921, ""en"", ""fa"")
"),"موفقیت در پادکست")</f>
        <v>موفقیت در پادکست</v>
      </c>
      <c r="G8921" s="1" t="str">
        <f>IFERROR(__xludf.DUMMYFUNCTION("GOOGLETRANSLATE(C8921, ""en"", ""fa"")
"),"چگونه بین بخش‌ها، مصاحبه‌ها یا موضوعات مختلف در قسمت‌های پادکست خود انتقال آرام ایجاد کنیم؟")</f>
        <v>چگونه بین بخش‌ها، مصاحبه‌ها یا موضوعات مختلف در قسمت‌های پادکست خود انتقال آرام ایجاد کنیم؟</v>
      </c>
      <c r="H8921" s="1"/>
      <c r="I8921" s="1"/>
      <c r="J8921" s="1"/>
      <c r="K8921" s="1"/>
      <c r="L8921" s="1"/>
      <c r="M8921" s="1"/>
      <c r="N8921" s="1"/>
      <c r="O8921" s="1"/>
      <c r="P8921" s="1"/>
      <c r="Q8921" s="1"/>
      <c r="R8921" s="1"/>
      <c r="S8921" s="1"/>
      <c r="T8921" s="1"/>
      <c r="U8921" s="1"/>
      <c r="V8921" s="1"/>
      <c r="W8921" s="1"/>
      <c r="X8921" s="1"/>
      <c r="Y8921" s="1"/>
      <c r="Z8921" s="1"/>
      <c r="AA8921" s="1"/>
      <c r="AB8921" s="1"/>
    </row>
    <row r="8922" ht="50.25" customHeight="1">
      <c r="A8922" s="12">
        <v>8918.0</v>
      </c>
      <c r="B8922" s="13" t="s">
        <v>8699</v>
      </c>
      <c r="C8922" s="18" t="s">
        <v>8948</v>
      </c>
      <c r="D8922" s="1"/>
      <c r="E8922" s="1"/>
      <c r="F8922" s="1" t="str">
        <f>IFERROR(__xludf.DUMMYFUNCTION("GOOGLETRANSLATE(B8922, ""en"", ""fa"")
"),"موفقیت در پادکست")</f>
        <v>موفقیت در پادکست</v>
      </c>
      <c r="G8922" s="1" t="str">
        <f>IFERROR(__xludf.DUMMYFUNCTION("GOOGLETRANSLATE(C8922, ""en"", ""fa"")
"),"تکنیک‌های متعادل کردن سطوح صوتی چندین سخنران یا شرکت‌کنندگان در یک قسمت پادکست چیست؟")</f>
        <v>تکنیک‌های متعادل کردن سطوح صوتی چندین سخنران یا شرکت‌کنندگان در یک قسمت پادکست چیست؟</v>
      </c>
      <c r="H8922" s="1"/>
      <c r="I8922" s="1"/>
      <c r="J8922" s="1"/>
      <c r="K8922" s="1"/>
      <c r="L8922" s="1"/>
      <c r="M8922" s="1"/>
      <c r="N8922" s="1"/>
      <c r="O8922" s="1"/>
      <c r="P8922" s="1"/>
      <c r="Q8922" s="1"/>
      <c r="R8922" s="1"/>
      <c r="S8922" s="1"/>
      <c r="T8922" s="1"/>
      <c r="U8922" s="1"/>
      <c r="V8922" s="1"/>
      <c r="W8922" s="1"/>
      <c r="X8922" s="1"/>
      <c r="Y8922" s="1"/>
      <c r="Z8922" s="1"/>
      <c r="AA8922" s="1"/>
      <c r="AB8922" s="1"/>
    </row>
    <row r="8923" ht="50.25" customHeight="1">
      <c r="A8923" s="12">
        <v>8919.0</v>
      </c>
      <c r="B8923" s="13" t="s">
        <v>8699</v>
      </c>
      <c r="C8923" s="18" t="s">
        <v>8949</v>
      </c>
      <c r="D8923" s="1"/>
      <c r="E8923" s="1"/>
      <c r="F8923" s="1" t="str">
        <f>IFERROR(__xludf.DUMMYFUNCTION("GOOGLETRANSLATE(B8923, ""en"", ""fa"")
"),"موفقیت در پادکست")</f>
        <v>موفقیت در پادکست</v>
      </c>
      <c r="G8923" s="1" t="str">
        <f>IFERROR(__xludf.DUMMYFUNCTION("GOOGLETRANSLATE(C8923, ""en"", ""fa"")
"),"چگونه قسمت های پادکست خود را برای روایت داستان و جریان روایت بهینه ویرایش و ساختار بندی کنیم؟")</f>
        <v>چگونه قسمت های پادکست خود را برای روایت داستان و جریان روایت بهینه ویرایش و ساختار بندی کنیم؟</v>
      </c>
      <c r="H8923" s="1"/>
      <c r="I8923" s="1"/>
      <c r="J8923" s="1"/>
      <c r="K8923" s="1"/>
      <c r="L8923" s="1"/>
      <c r="M8923" s="1"/>
      <c r="N8923" s="1"/>
      <c r="O8923" s="1"/>
      <c r="P8923" s="1"/>
      <c r="Q8923" s="1"/>
      <c r="R8923" s="1"/>
      <c r="S8923" s="1"/>
      <c r="T8923" s="1"/>
      <c r="U8923" s="1"/>
      <c r="V8923" s="1"/>
      <c r="W8923" s="1"/>
      <c r="X8923" s="1"/>
      <c r="Y8923" s="1"/>
      <c r="Z8923" s="1"/>
      <c r="AA8923" s="1"/>
      <c r="AB8923" s="1"/>
    </row>
    <row r="8924" ht="50.25" customHeight="1">
      <c r="A8924" s="12">
        <v>8920.0</v>
      </c>
      <c r="B8924" s="13" t="s">
        <v>8699</v>
      </c>
      <c r="C8924" s="18" t="s">
        <v>8950</v>
      </c>
      <c r="D8924" s="1"/>
      <c r="E8924" s="1"/>
      <c r="F8924" s="1" t="str">
        <f>IFERROR(__xludf.DUMMYFUNCTION("GOOGLETRANSLATE(B8924, ""en"", ""fa"")
"),"موفقیت در پادکست")</f>
        <v>موفقیت در پادکست</v>
      </c>
      <c r="G8924" s="1" t="str">
        <f>IFERROR(__xludf.DUMMYFUNCTION("GOOGLETRANSLATE(C8924, ""en"", ""fa"")
"),"راهکارهایی برای حذف یا کاهش حواس‌پرتی‌ها، مانند کلیک‌های دهان یا صداهای تنفسی، از ضبط‌های پادکست شما چیست؟")</f>
        <v>راهکارهایی برای حذف یا کاهش حواس‌پرتی‌ها، مانند کلیک‌های دهان یا صداهای تنفسی، از ضبط‌های پادکست شما چیست؟</v>
      </c>
      <c r="H8924" s="1"/>
      <c r="I8924" s="1"/>
      <c r="J8924" s="1"/>
      <c r="K8924" s="1"/>
      <c r="L8924" s="1"/>
      <c r="M8924" s="1"/>
      <c r="N8924" s="1"/>
      <c r="O8924" s="1"/>
      <c r="P8924" s="1"/>
      <c r="Q8924" s="1"/>
      <c r="R8924" s="1"/>
      <c r="S8924" s="1"/>
      <c r="T8924" s="1"/>
      <c r="U8924" s="1"/>
      <c r="V8924" s="1"/>
      <c r="W8924" s="1"/>
      <c r="X8924" s="1"/>
      <c r="Y8924" s="1"/>
      <c r="Z8924" s="1"/>
      <c r="AA8924" s="1"/>
      <c r="AB8924" s="1"/>
    </row>
    <row r="8925" ht="50.25" customHeight="1">
      <c r="A8925" s="12">
        <v>8921.0</v>
      </c>
      <c r="B8925" s="13" t="s">
        <v>8699</v>
      </c>
      <c r="C8925" s="18" t="s">
        <v>8951</v>
      </c>
      <c r="D8925" s="1"/>
      <c r="E8925" s="1"/>
      <c r="F8925" s="1" t="str">
        <f>IFERROR(__xludf.DUMMYFUNCTION("GOOGLETRANSLATE(B8925, ""en"", ""fa"")
"),"موفقیت در پادکست")</f>
        <v>موفقیت در پادکست</v>
      </c>
      <c r="G8925" s="1" t="str">
        <f>IFERROR(__xludf.DUMMYFUNCTION("GOOGLETRANSLATE(C8925, ""en"", ""fa"")
"),"چگونه می توان خلاقانه از تکنیک های ویرایش مانند crossfades یا لایه بندی صوتی برای افزایش ارزش تولید کلی قسمت های پادکست خود استفاده کرد؟")</f>
        <v>چگونه می توان خلاقانه از تکنیک های ویرایش مانند crossfades یا لایه بندی صوتی برای افزایش ارزش تولید کلی قسمت های پادکست خود استفاده کرد؟</v>
      </c>
      <c r="H8925" s="1"/>
      <c r="I8925" s="1"/>
      <c r="J8925" s="1"/>
      <c r="K8925" s="1"/>
      <c r="L8925" s="1"/>
      <c r="M8925" s="1"/>
      <c r="N8925" s="1"/>
      <c r="O8925" s="1"/>
      <c r="P8925" s="1"/>
      <c r="Q8925" s="1"/>
      <c r="R8925" s="1"/>
      <c r="S8925" s="1"/>
      <c r="T8925" s="1"/>
      <c r="U8925" s="1"/>
      <c r="V8925" s="1"/>
      <c r="W8925" s="1"/>
      <c r="X8925" s="1"/>
      <c r="Y8925" s="1"/>
      <c r="Z8925" s="1"/>
      <c r="AA8925" s="1"/>
      <c r="AB8925" s="1"/>
    </row>
    <row r="8926" ht="50.25" customHeight="1">
      <c r="A8926" s="12">
        <v>8922.0</v>
      </c>
      <c r="B8926" s="13" t="s">
        <v>8699</v>
      </c>
      <c r="C8926" s="18" t="s">
        <v>8952</v>
      </c>
      <c r="D8926" s="1"/>
      <c r="E8926" s="1"/>
      <c r="F8926" s="1" t="str">
        <f>IFERROR(__xludf.DUMMYFUNCTION("GOOGLETRANSLATE(B8926, ""en"", ""fa"")
"),"موفقیت در پادکست")</f>
        <v>موفقیت در پادکست</v>
      </c>
      <c r="G8926" s="1" t="str">
        <f>IFERROR(__xludf.DUMMYFUNCTION("GOOGLETRANSLATE(C8926, ""en"", ""fa"")
"),"تکنیک‌هایی برای ترکیب فشرده‌سازی دامنه پویا و نرمال‌سازی صدا برای اطمینان از سطوح صوتی ثابت در سراسر قسمت‌های پادکست چیست؟")</f>
        <v>تکنیک‌هایی برای ترکیب فشرده‌سازی دامنه پویا و نرمال‌سازی صدا برای اطمینان از سطوح صوتی ثابت در سراسر قسمت‌های پادکست چیست؟</v>
      </c>
      <c r="H8926" s="1"/>
      <c r="I8926" s="1"/>
      <c r="J8926" s="1"/>
      <c r="K8926" s="1"/>
      <c r="L8926" s="1"/>
      <c r="M8926" s="1"/>
      <c r="N8926" s="1"/>
      <c r="O8926" s="1"/>
      <c r="P8926" s="1"/>
      <c r="Q8926" s="1"/>
      <c r="R8926" s="1"/>
      <c r="S8926" s="1"/>
      <c r="T8926" s="1"/>
      <c r="U8926" s="1"/>
      <c r="V8926" s="1"/>
      <c r="W8926" s="1"/>
      <c r="X8926" s="1"/>
      <c r="Y8926" s="1"/>
      <c r="Z8926" s="1"/>
      <c r="AA8926" s="1"/>
      <c r="AB8926" s="1"/>
    </row>
    <row r="8927" ht="50.25" customHeight="1">
      <c r="A8927" s="12">
        <v>8923.0</v>
      </c>
      <c r="B8927" s="13" t="s">
        <v>8699</v>
      </c>
      <c r="C8927" s="18" t="s">
        <v>8953</v>
      </c>
      <c r="D8927" s="1"/>
      <c r="E8927" s="1"/>
      <c r="F8927" s="1" t="str">
        <f>IFERROR(__xludf.DUMMYFUNCTION("GOOGLETRANSLATE(B8927, ""en"", ""fa"")
"),"موفقیت در پادکست")</f>
        <v>موفقیت در پادکست</v>
      </c>
      <c r="G8927" s="1" t="str">
        <f>IFERROR(__xludf.DUMMYFUNCTION("GOOGLETRANSLATE(C8927, ""en"", ""fa"")
"),"چگونه می توان زمان بندی عناصر کمدی، خطوط پانچ، یا تعاملات طنز را در قسمت های پادکست خود ویرایش و تنظیم کرد؟")</f>
        <v>چگونه می توان زمان بندی عناصر کمدی، خطوط پانچ، یا تعاملات طنز را در قسمت های پادکست خود ویرایش و تنظیم کرد؟</v>
      </c>
      <c r="H8927" s="1"/>
      <c r="I8927" s="1"/>
      <c r="J8927" s="1"/>
      <c r="K8927" s="1"/>
      <c r="L8927" s="1"/>
      <c r="M8927" s="1"/>
      <c r="N8927" s="1"/>
      <c r="O8927" s="1"/>
      <c r="P8927" s="1"/>
      <c r="Q8927" s="1"/>
      <c r="R8927" s="1"/>
      <c r="S8927" s="1"/>
      <c r="T8927" s="1"/>
      <c r="U8927" s="1"/>
      <c r="V8927" s="1"/>
      <c r="W8927" s="1"/>
      <c r="X8927" s="1"/>
      <c r="Y8927" s="1"/>
      <c r="Z8927" s="1"/>
      <c r="AA8927" s="1"/>
      <c r="AB8927" s="1"/>
    </row>
    <row r="8928" ht="50.25" customHeight="1">
      <c r="A8928" s="12">
        <v>8924.0</v>
      </c>
      <c r="B8928" s="13" t="s">
        <v>8699</v>
      </c>
      <c r="C8928" s="18" t="s">
        <v>8954</v>
      </c>
      <c r="D8928" s="1"/>
      <c r="E8928" s="1"/>
      <c r="F8928" s="1" t="str">
        <f>IFERROR(__xludf.DUMMYFUNCTION("GOOGLETRANSLATE(B8928, ""en"", ""fa"")
"),"موفقیت در پادکست")</f>
        <v>موفقیت در پادکست</v>
      </c>
      <c r="G8928" s="1" t="str">
        <f>IFERROR(__xludf.DUMMYFUNCTION("GOOGLETRANSLATE(C8928, ""en"", ""fa"")
"),"راهکارهایی برای افزودن یادداشت‌های نمایشی، مُهرهای زمانی، یا نشانگرهای فصل برای بهبود تجربه شنونده چیست؟")</f>
        <v>راهکارهایی برای افزودن یادداشت‌های نمایشی، مُهرهای زمانی، یا نشانگرهای فصل برای بهبود تجربه شنونده چیست؟</v>
      </c>
      <c r="H8928" s="1"/>
      <c r="I8928" s="1"/>
      <c r="J8928" s="1"/>
      <c r="K8928" s="1"/>
      <c r="L8928" s="1"/>
      <c r="M8928" s="1"/>
      <c r="N8928" s="1"/>
      <c r="O8928" s="1"/>
      <c r="P8928" s="1"/>
      <c r="Q8928" s="1"/>
      <c r="R8928" s="1"/>
      <c r="S8928" s="1"/>
      <c r="T8928" s="1"/>
      <c r="U8928" s="1"/>
      <c r="V8928" s="1"/>
      <c r="W8928" s="1"/>
      <c r="X8928" s="1"/>
      <c r="Y8928" s="1"/>
      <c r="Z8928" s="1"/>
      <c r="AA8928" s="1"/>
      <c r="AB8928" s="1"/>
    </row>
    <row r="8929" ht="50.25" customHeight="1">
      <c r="A8929" s="12">
        <v>8925.0</v>
      </c>
      <c r="B8929" s="13" t="s">
        <v>8699</v>
      </c>
      <c r="C8929" s="18" t="s">
        <v>8955</v>
      </c>
      <c r="D8929" s="1"/>
      <c r="E8929" s="1"/>
      <c r="F8929" s="1" t="str">
        <f>IFERROR(__xludf.DUMMYFUNCTION("GOOGLETRANSLATE(B8929, ""en"", ""fa"")
"),"موفقیت در پادکست")</f>
        <v>موفقیت در پادکست</v>
      </c>
      <c r="G8929" s="1" t="str">
        <f>IFERROR(__xludf.DUMMYFUNCTION("GOOGLETRANSLATE(C8929, ""en"", ""fa"")
"),"چگونه می‌توان مماس‌ها، بحث‌های نامربوط، یا محتوای تکراری را با حفظ یکپارچگی موضوع یا موضوع اصلی اپیزود به‌طور مؤثر ویرایش کرد؟")</f>
        <v>چگونه می‌توان مماس‌ها، بحث‌های نامربوط، یا محتوای تکراری را با حفظ یکپارچگی موضوع یا موضوع اصلی اپیزود به‌طور مؤثر ویرایش کرد؟</v>
      </c>
      <c r="H8929" s="1"/>
      <c r="I8929" s="1"/>
      <c r="J8929" s="1"/>
      <c r="K8929" s="1"/>
      <c r="L8929" s="1"/>
      <c r="M8929" s="1"/>
      <c r="N8929" s="1"/>
      <c r="O8929" s="1"/>
      <c r="P8929" s="1"/>
      <c r="Q8929" s="1"/>
      <c r="R8929" s="1"/>
      <c r="S8929" s="1"/>
      <c r="T8929" s="1"/>
      <c r="U8929" s="1"/>
      <c r="V8929" s="1"/>
      <c r="W8929" s="1"/>
      <c r="X8929" s="1"/>
      <c r="Y8929" s="1"/>
      <c r="Z8929" s="1"/>
      <c r="AA8929" s="1"/>
      <c r="AB8929" s="1"/>
    </row>
    <row r="8930" ht="50.25" customHeight="1">
      <c r="A8930" s="12">
        <v>8926.0</v>
      </c>
      <c r="B8930" s="13" t="s">
        <v>8699</v>
      </c>
      <c r="C8930" s="18" t="s">
        <v>8956</v>
      </c>
      <c r="D8930" s="1"/>
      <c r="E8930" s="1"/>
      <c r="F8930" s="1" t="str">
        <f>IFERROR(__xludf.DUMMYFUNCTION("GOOGLETRANSLATE(B8930, ""en"", ""fa"")
"),"موفقیت در پادکست")</f>
        <v>موفقیت در پادکست</v>
      </c>
      <c r="G8930" s="1" t="str">
        <f>IFERROR(__xludf.DUMMYFUNCTION("GOOGLETRANSLATE(C8930, ""en"", ""fa"")
"),"تکنیک‌های گنجاندن پست‌های صوتی شنونده، بازخورد صوتی یا تماس‌ها در قسمت‌های پادکست شما در طول فرآیند ویرایش چیست؟")</f>
        <v>تکنیک‌های گنجاندن پست‌های صوتی شنونده، بازخورد صوتی یا تماس‌ها در قسمت‌های پادکست شما در طول فرآیند ویرایش چیست؟</v>
      </c>
      <c r="H8930" s="1"/>
      <c r="I8930" s="1"/>
      <c r="J8930" s="1"/>
      <c r="K8930" s="1"/>
      <c r="L8930" s="1"/>
      <c r="M8930" s="1"/>
      <c r="N8930" s="1"/>
      <c r="O8930" s="1"/>
      <c r="P8930" s="1"/>
      <c r="Q8930" s="1"/>
      <c r="R8930" s="1"/>
      <c r="S8930" s="1"/>
      <c r="T8930" s="1"/>
      <c r="U8930" s="1"/>
      <c r="V8930" s="1"/>
      <c r="W8930" s="1"/>
      <c r="X8930" s="1"/>
      <c r="Y8930" s="1"/>
      <c r="Z8930" s="1"/>
      <c r="AA8930" s="1"/>
      <c r="AB8930" s="1"/>
    </row>
    <row r="8931" ht="50.25" customHeight="1">
      <c r="A8931" s="12">
        <v>8927.0</v>
      </c>
      <c r="B8931" s="13" t="s">
        <v>8699</v>
      </c>
      <c r="C8931" s="18" t="s">
        <v>8957</v>
      </c>
      <c r="D8931" s="1"/>
      <c r="E8931" s="1"/>
      <c r="F8931" s="1" t="str">
        <f>IFERROR(__xludf.DUMMYFUNCTION("GOOGLETRANSLATE(B8931, ""en"", ""fa"")
"),"موفقیت در پادکست")</f>
        <v>موفقیت در پادکست</v>
      </c>
      <c r="G8931" s="1" t="str">
        <f>IFERROR(__xludf.DUMMYFUNCTION("GOOGLETRANSLATE(C8931, ""en"", ""fa"")
"),"چگونه تبلیغات از پیش ضبط شده، پیام های حامی مالی، یا نقاط تبلیغاتی را در قسمت های پادکست خود ویرایش و ادغام کنیم؟")</f>
        <v>چگونه تبلیغات از پیش ضبط شده، پیام های حامی مالی، یا نقاط تبلیغاتی را در قسمت های پادکست خود ویرایش و ادغام کنیم؟</v>
      </c>
      <c r="H8931" s="1"/>
      <c r="I8931" s="1"/>
      <c r="J8931" s="1"/>
      <c r="K8931" s="1"/>
      <c r="L8931" s="1"/>
      <c r="M8931" s="1"/>
      <c r="N8931" s="1"/>
      <c r="O8931" s="1"/>
      <c r="P8931" s="1"/>
      <c r="Q8931" s="1"/>
      <c r="R8931" s="1"/>
      <c r="S8931" s="1"/>
      <c r="T8931" s="1"/>
      <c r="U8931" s="1"/>
      <c r="V8931" s="1"/>
      <c r="W8931" s="1"/>
      <c r="X8931" s="1"/>
      <c r="Y8931" s="1"/>
      <c r="Z8931" s="1"/>
      <c r="AA8931" s="1"/>
      <c r="AB8931" s="1"/>
    </row>
    <row r="8932" ht="50.25" customHeight="1">
      <c r="A8932" s="12">
        <v>8928.0</v>
      </c>
      <c r="B8932" s="13" t="s">
        <v>8699</v>
      </c>
      <c r="C8932" s="18" t="s">
        <v>8958</v>
      </c>
      <c r="D8932" s="1"/>
      <c r="E8932" s="1"/>
      <c r="F8932" s="1" t="str">
        <f>IFERROR(__xludf.DUMMYFUNCTION("GOOGLETRANSLATE(B8932, ""en"", ""fa"")
"),"موفقیت در پادکست")</f>
        <v>موفقیت در پادکست</v>
      </c>
      <c r="G8932" s="1" t="str">
        <f>IFERROR(__xludf.DUMMYFUNCTION("GOOGLETRANSLATE(C8932, ""en"", ""fa"")
"),"استراتژی‌هایی برای افزایش وضوح و قابل فهم قسمت‌های پادکست از طریق تکنیک‌های تساوی، حذف کردن یا بازیابی صدا چیست؟")</f>
        <v>استراتژی‌هایی برای افزایش وضوح و قابل فهم قسمت‌های پادکست از طریق تکنیک‌های تساوی، حذف کردن یا بازیابی صدا چیست؟</v>
      </c>
      <c r="H8932" s="1"/>
      <c r="I8932" s="1"/>
      <c r="J8932" s="1"/>
      <c r="K8932" s="1"/>
      <c r="L8932" s="1"/>
      <c r="M8932" s="1"/>
      <c r="N8932" s="1"/>
      <c r="O8932" s="1"/>
      <c r="P8932" s="1"/>
      <c r="Q8932" s="1"/>
      <c r="R8932" s="1"/>
      <c r="S8932" s="1"/>
      <c r="T8932" s="1"/>
      <c r="U8932" s="1"/>
      <c r="V8932" s="1"/>
      <c r="W8932" s="1"/>
      <c r="X8932" s="1"/>
      <c r="Y8932" s="1"/>
      <c r="Z8932" s="1"/>
      <c r="AA8932" s="1"/>
      <c r="AB8932" s="1"/>
    </row>
    <row r="8933" ht="50.25" customHeight="1">
      <c r="A8933" s="12">
        <v>8929.0</v>
      </c>
      <c r="B8933" s="13" t="s">
        <v>8699</v>
      </c>
      <c r="C8933" s="18" t="s">
        <v>8959</v>
      </c>
      <c r="D8933" s="1"/>
      <c r="E8933" s="1"/>
      <c r="F8933" s="1" t="str">
        <f>IFERROR(__xludf.DUMMYFUNCTION("GOOGLETRANSLATE(B8933, ""en"", ""fa"")
"),"موفقیت در پادکست")</f>
        <v>موفقیت در پادکست</v>
      </c>
      <c r="G8933" s="1" t="str">
        <f>IFERROR(__xludf.DUMMYFUNCTION("GOOGLETRANSLATE(C8933, ""en"", ""fa"")
"),"چگونه می توان قسمت های پادکست را به طور مؤثر ویرایش و قالب بندی کرد تا با استانداردهای صنعتی مطابقت داشته باشد، مانند عادی سازی بلندی صدا یا محدودیت های محتوا؟")</f>
        <v>چگونه می توان قسمت های پادکست را به طور مؤثر ویرایش و قالب بندی کرد تا با استانداردهای صنعتی مطابقت داشته باشد، مانند عادی سازی بلندی صدا یا محدودیت های محتوا؟</v>
      </c>
      <c r="H8933" s="1"/>
      <c r="I8933" s="1"/>
      <c r="J8933" s="1"/>
      <c r="K8933" s="1"/>
      <c r="L8933" s="1"/>
      <c r="M8933" s="1"/>
      <c r="N8933" s="1"/>
      <c r="O8933" s="1"/>
      <c r="P8933" s="1"/>
      <c r="Q8933" s="1"/>
      <c r="R8933" s="1"/>
      <c r="S8933" s="1"/>
      <c r="T8933" s="1"/>
      <c r="U8933" s="1"/>
      <c r="V8933" s="1"/>
      <c r="W8933" s="1"/>
      <c r="X8933" s="1"/>
      <c r="Y8933" s="1"/>
      <c r="Z8933" s="1"/>
      <c r="AA8933" s="1"/>
      <c r="AB8933" s="1"/>
    </row>
    <row r="8934" ht="50.25" customHeight="1">
      <c r="A8934" s="12">
        <v>8930.0</v>
      </c>
      <c r="B8934" s="13" t="s">
        <v>8699</v>
      </c>
      <c r="C8934" s="18" t="s">
        <v>8960</v>
      </c>
      <c r="D8934" s="1"/>
      <c r="E8934" s="1"/>
      <c r="F8934" s="1" t="str">
        <f>IFERROR(__xludf.DUMMYFUNCTION("GOOGLETRANSLATE(B8934, ""en"", ""fa"")
"),"موفقیت در پادکست")</f>
        <v>موفقیت در پادکست</v>
      </c>
      <c r="G8934" s="1" t="str">
        <f>IFERROR(__xludf.DUMMYFUNCTION("GOOGLETRANSLATE(C8934, ""en"", ""fa"")
"),"برای ایجاد یک قسمت پادکست منسجم و روان، چه تکنیک هایی برای ویرایش یکپارچه چندین برداشت یا بخش با هم وجود دارد؟")</f>
        <v>برای ایجاد یک قسمت پادکست منسجم و روان، چه تکنیک هایی برای ویرایش یکپارچه چندین برداشت یا بخش با هم وجود دارد؟</v>
      </c>
      <c r="H8934" s="1"/>
      <c r="I8934" s="1"/>
      <c r="J8934" s="1"/>
      <c r="K8934" s="1"/>
      <c r="L8934" s="1"/>
      <c r="M8934" s="1"/>
      <c r="N8934" s="1"/>
      <c r="O8934" s="1"/>
      <c r="P8934" s="1"/>
      <c r="Q8934" s="1"/>
      <c r="R8934" s="1"/>
      <c r="S8934" s="1"/>
      <c r="T8934" s="1"/>
      <c r="U8934" s="1"/>
      <c r="V8934" s="1"/>
      <c r="W8934" s="1"/>
      <c r="X8934" s="1"/>
      <c r="Y8934" s="1"/>
      <c r="Z8934" s="1"/>
      <c r="AA8934" s="1"/>
      <c r="AB8934" s="1"/>
    </row>
    <row r="8935" ht="50.25" customHeight="1">
      <c r="A8935" s="12">
        <v>8931.0</v>
      </c>
      <c r="B8935" s="13" t="s">
        <v>8699</v>
      </c>
      <c r="C8935" s="18" t="s">
        <v>8961</v>
      </c>
      <c r="D8935" s="1"/>
      <c r="E8935" s="1"/>
      <c r="F8935" s="1" t="str">
        <f>IFERROR(__xludf.DUMMYFUNCTION("GOOGLETRANSLATE(B8935, ""en"", ""fa"")
"),"موفقیت در پادکست")</f>
        <v>موفقیت در پادکست</v>
      </c>
      <c r="G8935" s="1" t="str">
        <f>IFERROR(__xludf.DUMMYFUNCTION("GOOGLETRANSLATE(C8935, ""en"", ""fa"")
"),"چگونه می توان مصاحبه های پادکست از راه دور را ویرایش و بهبود بخشید، کیفیت صدای واضح را تضمین کرد و محدودیت ها یا تاخیرهای فنی را به حداقل رساند؟")</f>
        <v>چگونه می توان مصاحبه های پادکست از راه دور را ویرایش و بهبود بخشید، کیفیت صدای واضح را تضمین کرد و محدودیت ها یا تاخیرهای فنی را به حداقل رساند؟</v>
      </c>
      <c r="H8935" s="1"/>
      <c r="I8935" s="1"/>
      <c r="J8935" s="1"/>
      <c r="K8935" s="1"/>
      <c r="L8935" s="1"/>
      <c r="M8935" s="1"/>
      <c r="N8935" s="1"/>
      <c r="O8935" s="1"/>
      <c r="P8935" s="1"/>
      <c r="Q8935" s="1"/>
      <c r="R8935" s="1"/>
      <c r="S8935" s="1"/>
      <c r="T8935" s="1"/>
      <c r="U8935" s="1"/>
      <c r="V8935" s="1"/>
      <c r="W8935" s="1"/>
      <c r="X8935" s="1"/>
      <c r="Y8935" s="1"/>
      <c r="Z8935" s="1"/>
      <c r="AA8935" s="1"/>
      <c r="AB8935" s="1"/>
    </row>
    <row r="8936" ht="50.25" customHeight="1">
      <c r="A8936" s="12">
        <v>8932.0</v>
      </c>
      <c r="B8936" s="13" t="s">
        <v>8699</v>
      </c>
      <c r="C8936" s="18" t="s">
        <v>8962</v>
      </c>
      <c r="D8936" s="1"/>
      <c r="E8936" s="1"/>
      <c r="F8936" s="1" t="str">
        <f>IFERROR(__xludf.DUMMYFUNCTION("GOOGLETRANSLATE(B8936, ""en"", ""fa"")
"),"موفقیت در پادکست")</f>
        <v>موفقیت در پادکست</v>
      </c>
      <c r="G8936" s="1" t="str">
        <f>IFERROR(__xludf.DUMMYFUNCTION("GOOGLETRANSLATE(C8936, ""en"", ""fa"")
"),"راهکارهایی برای افزودن عناصر صوتی اضافی، مانند صداهای محیطی یا ضبط های میدانی، برای ایجاد یک تجربه شنیداری فراگیرتر چیست؟")</f>
        <v>راهکارهایی برای افزودن عناصر صوتی اضافی، مانند صداهای محیطی یا ضبط های میدانی، برای ایجاد یک تجربه شنیداری فراگیرتر چیست؟</v>
      </c>
      <c r="H8936" s="1"/>
      <c r="I8936" s="1"/>
      <c r="J8936" s="1"/>
      <c r="K8936" s="1"/>
      <c r="L8936" s="1"/>
      <c r="M8936" s="1"/>
      <c r="N8936" s="1"/>
      <c r="O8936" s="1"/>
      <c r="P8936" s="1"/>
      <c r="Q8936" s="1"/>
      <c r="R8936" s="1"/>
      <c r="S8936" s="1"/>
      <c r="T8936" s="1"/>
      <c r="U8936" s="1"/>
      <c r="V8936" s="1"/>
      <c r="W8936" s="1"/>
      <c r="X8936" s="1"/>
      <c r="Y8936" s="1"/>
      <c r="Z8936" s="1"/>
      <c r="AA8936" s="1"/>
      <c r="AB8936" s="1"/>
    </row>
    <row r="8937" ht="50.25" customHeight="1">
      <c r="A8937" s="12">
        <v>8933.0</v>
      </c>
      <c r="B8937" s="13" t="s">
        <v>8699</v>
      </c>
      <c r="C8937" s="18" t="s">
        <v>8963</v>
      </c>
      <c r="D8937" s="1"/>
      <c r="E8937" s="1"/>
      <c r="F8937" s="1" t="str">
        <f>IFERROR(__xludf.DUMMYFUNCTION("GOOGLETRANSLATE(B8937, ""en"", ""fa"")
"),"موفقیت در پادکست")</f>
        <v>موفقیت در پادکست</v>
      </c>
      <c r="G8937" s="1" t="str">
        <f>IFERROR(__xludf.DUMMYFUNCTION("GOOGLETRANSLATE(C8937, ""en"", ""fa"")
"),"چگونه قسمت‌های پادکست خود را برای فرمت‌ها یا پلتفرم‌های صوتی مختلف، مانند صدای استریو، مونو یا دوگوشی ویرایش و بهینه کنیم؟")</f>
        <v>چگونه قسمت‌های پادکست خود را برای فرمت‌ها یا پلتفرم‌های صوتی مختلف، مانند صدای استریو، مونو یا دوگوشی ویرایش و بهینه کنیم؟</v>
      </c>
      <c r="H8937" s="1"/>
      <c r="I8937" s="1"/>
      <c r="J8937" s="1"/>
      <c r="K8937" s="1"/>
      <c r="L8937" s="1"/>
      <c r="M8937" s="1"/>
      <c r="N8937" s="1"/>
      <c r="O8937" s="1"/>
      <c r="P8937" s="1"/>
      <c r="Q8937" s="1"/>
      <c r="R8937" s="1"/>
      <c r="S8937" s="1"/>
      <c r="T8937" s="1"/>
      <c r="U8937" s="1"/>
      <c r="V8937" s="1"/>
      <c r="W8937" s="1"/>
      <c r="X8937" s="1"/>
      <c r="Y8937" s="1"/>
      <c r="Z8937" s="1"/>
      <c r="AA8937" s="1"/>
      <c r="AB8937" s="1"/>
    </row>
    <row r="8938" ht="50.25" customHeight="1">
      <c r="A8938" s="12">
        <v>8934.0</v>
      </c>
      <c r="B8938" s="13" t="s">
        <v>8699</v>
      </c>
      <c r="C8938" s="18" t="s">
        <v>8964</v>
      </c>
      <c r="D8938" s="1"/>
      <c r="E8938" s="1"/>
      <c r="F8938" s="1" t="str">
        <f>IFERROR(__xludf.DUMMYFUNCTION("GOOGLETRANSLATE(B8938, ""en"", ""fa"")
"),"موفقیت در پادکست")</f>
        <v>موفقیت در پادکست</v>
      </c>
      <c r="G8938" s="1" t="str">
        <f>IFERROR(__xludf.DUMMYFUNCTION("GOOGLETRANSLATE(C8938, ""en"", ""fa"")
"),"تکنیک‌هایی برای حذف یا کاهش صداهای دهان، مواد منفجر یا شبیه‌سازی از ضبط‌های پادکست شما در طول فرآیند ویرایش چیست؟")</f>
        <v>تکنیک‌هایی برای حذف یا کاهش صداهای دهان، مواد منفجر یا شبیه‌سازی از ضبط‌های پادکست شما در طول فرآیند ویرایش چیست؟</v>
      </c>
      <c r="H8938" s="1"/>
      <c r="I8938" s="1"/>
      <c r="J8938" s="1"/>
      <c r="K8938" s="1"/>
      <c r="L8938" s="1"/>
      <c r="M8938" s="1"/>
      <c r="N8938" s="1"/>
      <c r="O8938" s="1"/>
      <c r="P8938" s="1"/>
      <c r="Q8938" s="1"/>
      <c r="R8938" s="1"/>
      <c r="S8938" s="1"/>
      <c r="T8938" s="1"/>
      <c r="U8938" s="1"/>
      <c r="V8938" s="1"/>
      <c r="W8938" s="1"/>
      <c r="X8938" s="1"/>
      <c r="Y8938" s="1"/>
      <c r="Z8938" s="1"/>
      <c r="AA8938" s="1"/>
      <c r="AB8938" s="1"/>
    </row>
    <row r="8939" ht="50.25" customHeight="1">
      <c r="A8939" s="12">
        <v>8935.0</v>
      </c>
      <c r="B8939" s="13" t="s">
        <v>8699</v>
      </c>
      <c r="C8939" s="18" t="s">
        <v>8965</v>
      </c>
      <c r="D8939" s="1"/>
      <c r="E8939" s="1"/>
      <c r="F8939" s="1" t="str">
        <f>IFERROR(__xludf.DUMMYFUNCTION("GOOGLETRANSLATE(B8939, ""en"", ""fa"")
"),"موفقیت در پادکست")</f>
        <v>موفقیت در پادکست</v>
      </c>
      <c r="G8939" s="1" t="str">
        <f>IFERROR(__xludf.DUMMYFUNCTION("GOOGLETRANSLATE(C8939, ""en"", ""fa"")
"),"چگونه می توان منابع صوتی مختلف مانند مصاحبه ها، روایت ها یا بخش های از پیش ضبط شده را برای یک قسمت منسجم به طور یکپارچه ویرایش و ترکیب کرد؟")</f>
        <v>چگونه می توان منابع صوتی مختلف مانند مصاحبه ها، روایت ها یا بخش های از پیش ضبط شده را برای یک قسمت منسجم به طور یکپارچه ویرایش و ترکیب کرد؟</v>
      </c>
      <c r="H8939" s="1"/>
      <c r="I8939" s="1"/>
      <c r="J8939" s="1"/>
      <c r="K8939" s="1"/>
      <c r="L8939" s="1"/>
      <c r="M8939" s="1"/>
      <c r="N8939" s="1"/>
      <c r="O8939" s="1"/>
      <c r="P8939" s="1"/>
      <c r="Q8939" s="1"/>
      <c r="R8939" s="1"/>
      <c r="S8939" s="1"/>
      <c r="T8939" s="1"/>
      <c r="U8939" s="1"/>
      <c r="V8939" s="1"/>
      <c r="W8939" s="1"/>
      <c r="X8939" s="1"/>
      <c r="Y8939" s="1"/>
      <c r="Z8939" s="1"/>
      <c r="AA8939" s="1"/>
      <c r="AB8939" s="1"/>
    </row>
    <row r="8940" ht="50.25" customHeight="1">
      <c r="A8940" s="12">
        <v>8936.0</v>
      </c>
      <c r="B8940" s="13" t="s">
        <v>8699</v>
      </c>
      <c r="C8940" s="18" t="s">
        <v>8966</v>
      </c>
      <c r="D8940" s="1"/>
      <c r="E8940" s="1"/>
      <c r="F8940" s="1" t="str">
        <f>IFERROR(__xludf.DUMMYFUNCTION("GOOGLETRANSLATE(B8940, ""en"", ""fa"")
"),"موفقیت در پادکست")</f>
        <v>موفقیت در پادکست</v>
      </c>
      <c r="G8940" s="1" t="str">
        <f>IFERROR(__xludf.DUMMYFUNCTION("GOOGLETRANSLATE(C8940, ""en"", ""fa"")
"),"راهکارهایی برای ویرایش و اصلاح سرعت و زمان پادکست های کمدی برای به حداکثر رساندن تأثیر و زمان بندی کمدی چیست؟")</f>
        <v>راهکارهایی برای ویرایش و اصلاح سرعت و زمان پادکست های کمدی برای به حداکثر رساندن تأثیر و زمان بندی کمدی چیست؟</v>
      </c>
      <c r="H8940" s="1"/>
      <c r="I8940" s="1"/>
      <c r="J8940" s="1"/>
      <c r="K8940" s="1"/>
      <c r="L8940" s="1"/>
      <c r="M8940" s="1"/>
      <c r="N8940" s="1"/>
      <c r="O8940" s="1"/>
      <c r="P8940" s="1"/>
      <c r="Q8940" s="1"/>
      <c r="R8940" s="1"/>
      <c r="S8940" s="1"/>
      <c r="T8940" s="1"/>
      <c r="U8940" s="1"/>
      <c r="V8940" s="1"/>
      <c r="W8940" s="1"/>
      <c r="X8940" s="1"/>
      <c r="Y8940" s="1"/>
      <c r="Z8940" s="1"/>
      <c r="AA8940" s="1"/>
      <c r="AB8940" s="1"/>
    </row>
    <row r="8941" ht="50.25" customHeight="1">
      <c r="A8941" s="12">
        <v>8937.0</v>
      </c>
      <c r="B8941" s="13" t="s">
        <v>8699</v>
      </c>
      <c r="C8941" s="18" t="s">
        <v>8967</v>
      </c>
      <c r="D8941" s="1"/>
      <c r="E8941" s="1"/>
      <c r="F8941" s="1" t="str">
        <f>IFERROR(__xludf.DUMMYFUNCTION("GOOGLETRANSLATE(B8941, ""en"", ""fa"")
"),"موفقیت در پادکست")</f>
        <v>موفقیت در پادکست</v>
      </c>
      <c r="G8941" s="1" t="str">
        <f>IFERROR(__xludf.DUMMYFUNCTION("GOOGLETRANSLATE(C8941, ""en"", ""fa"")
"),"چگونه عناصر درگیر کردن مخاطب، مانند سوالات یا نظرات شنوندگان را در قسمت های پادکست خود ویرایش و ادغام کنیم؟")</f>
        <v>چگونه عناصر درگیر کردن مخاطب، مانند سوالات یا نظرات شنوندگان را در قسمت های پادکست خود ویرایش و ادغام کنیم؟</v>
      </c>
      <c r="H8941" s="1"/>
      <c r="I8941" s="1"/>
      <c r="J8941" s="1"/>
      <c r="K8941" s="1"/>
      <c r="L8941" s="1"/>
      <c r="M8941" s="1"/>
      <c r="N8941" s="1"/>
      <c r="O8941" s="1"/>
      <c r="P8941" s="1"/>
      <c r="Q8941" s="1"/>
      <c r="R8941" s="1"/>
      <c r="S8941" s="1"/>
      <c r="T8941" s="1"/>
      <c r="U8941" s="1"/>
      <c r="V8941" s="1"/>
      <c r="W8941" s="1"/>
      <c r="X8941" s="1"/>
      <c r="Y8941" s="1"/>
      <c r="Z8941" s="1"/>
      <c r="AA8941" s="1"/>
      <c r="AB8941" s="1"/>
    </row>
    <row r="8942" ht="50.25" customHeight="1">
      <c r="A8942" s="12">
        <v>8938.0</v>
      </c>
      <c r="B8942" s="13" t="s">
        <v>8699</v>
      </c>
      <c r="C8942" s="18" t="s">
        <v>8968</v>
      </c>
      <c r="D8942" s="1"/>
      <c r="E8942" s="1"/>
      <c r="F8942" s="1" t="str">
        <f>IFERROR(__xludf.DUMMYFUNCTION("GOOGLETRANSLATE(B8942, ""en"", ""fa"")
"),"موفقیت در پادکست")</f>
        <v>موفقیت در پادکست</v>
      </c>
      <c r="G8942" s="1" t="str">
        <f>IFERROR(__xludf.DUMMYFUNCTION("GOOGLETRANSLATE(C8942, ""en"", ""fa"")
"),"چه تکنیک هایی برای ویرایش یکپارچه اطلاعات محرمانه یا حساس به اشتراک گذاشته شده در طول ضبط پادکست، تضمین حفظ حریم خصوصی و رضایت وجود دارد؟")</f>
        <v>چه تکنیک هایی برای ویرایش یکپارچه اطلاعات محرمانه یا حساس به اشتراک گذاشته شده در طول ضبط پادکست، تضمین حفظ حریم خصوصی و رضایت وجود دارد؟</v>
      </c>
      <c r="H8942" s="1"/>
      <c r="I8942" s="1"/>
      <c r="J8942" s="1"/>
      <c r="K8942" s="1"/>
      <c r="L8942" s="1"/>
      <c r="M8942" s="1"/>
      <c r="N8942" s="1"/>
      <c r="O8942" s="1"/>
      <c r="P8942" s="1"/>
      <c r="Q8942" s="1"/>
      <c r="R8942" s="1"/>
      <c r="S8942" s="1"/>
      <c r="T8942" s="1"/>
      <c r="U8942" s="1"/>
      <c r="V8942" s="1"/>
      <c r="W8942" s="1"/>
      <c r="X8942" s="1"/>
      <c r="Y8942" s="1"/>
      <c r="Z8942" s="1"/>
      <c r="AA8942" s="1"/>
      <c r="AB8942" s="1"/>
    </row>
    <row r="8943" ht="50.25" customHeight="1">
      <c r="A8943" s="12">
        <v>8939.0</v>
      </c>
      <c r="B8943" s="13" t="s">
        <v>8699</v>
      </c>
      <c r="C8943" s="18" t="s">
        <v>8969</v>
      </c>
      <c r="D8943" s="1"/>
      <c r="E8943" s="1"/>
      <c r="F8943" s="1" t="str">
        <f>IFERROR(__xludf.DUMMYFUNCTION("GOOGLETRANSLATE(B8943, ""en"", ""fa"")
"),"موفقیت در پادکست")</f>
        <v>موفقیت در پادکست</v>
      </c>
      <c r="G8943" s="1" t="str">
        <f>IFERROR(__xludf.DUMMYFUNCTION("GOOGLETRANSLATE(C8943, ""en"", ""fa"")
"),"چگونه می توان ضبط های پادکست یا مصاحبه های طولانی تر را به طور مؤثر ویرایش و فشرده به قسمت های مختصر و جذاب تبدیل کرد؟")</f>
        <v>چگونه می توان ضبط های پادکست یا مصاحبه های طولانی تر را به طور مؤثر ویرایش و فشرده به قسمت های مختصر و جذاب تبدیل کرد؟</v>
      </c>
      <c r="H8943" s="1"/>
      <c r="I8943" s="1"/>
      <c r="J8943" s="1"/>
      <c r="K8943" s="1"/>
      <c r="L8943" s="1"/>
      <c r="M8943" s="1"/>
      <c r="N8943" s="1"/>
      <c r="O8943" s="1"/>
      <c r="P8943" s="1"/>
      <c r="Q8943" s="1"/>
      <c r="R8943" s="1"/>
      <c r="S8943" s="1"/>
      <c r="T8943" s="1"/>
      <c r="U8943" s="1"/>
      <c r="V8943" s="1"/>
      <c r="W8943" s="1"/>
      <c r="X8943" s="1"/>
      <c r="Y8943" s="1"/>
      <c r="Z8943" s="1"/>
      <c r="AA8943" s="1"/>
      <c r="AB8943" s="1"/>
    </row>
    <row r="8944" ht="50.25" customHeight="1">
      <c r="A8944" s="12">
        <v>8940.0</v>
      </c>
      <c r="B8944" s="13" t="s">
        <v>8699</v>
      </c>
      <c r="C8944" s="18" t="s">
        <v>8970</v>
      </c>
      <c r="D8944" s="1"/>
      <c r="E8944" s="1"/>
      <c r="F8944" s="1" t="str">
        <f>IFERROR(__xludf.DUMMYFUNCTION("GOOGLETRANSLATE(B8944, ""en"", ""fa"")
"),"موفقیت در پادکست")</f>
        <v>موفقیت در پادکست</v>
      </c>
      <c r="G8944" s="1" t="str">
        <f>IFERROR(__xludf.DUMMYFUNCTION("GOOGLETRANSLATE(C8944, ""en"", ""fa"")
"),"استراتژی‌هایی برای ترکیب عناصر طراحی صدا، مانند جلوه‌های فولی یا محیط پس‌زمینه، برای تقویت داستان‌گویی و فضای قسمت‌های پادکست شما چیست؟")</f>
        <v>استراتژی‌هایی برای ترکیب عناصر طراحی صدا، مانند جلوه‌های فولی یا محیط پس‌زمینه، برای تقویت داستان‌گویی و فضای قسمت‌های پادکست شما چیست؟</v>
      </c>
      <c r="H8944" s="1"/>
      <c r="I8944" s="1"/>
      <c r="J8944" s="1"/>
      <c r="K8944" s="1"/>
      <c r="L8944" s="1"/>
      <c r="M8944" s="1"/>
      <c r="N8944" s="1"/>
      <c r="O8944" s="1"/>
      <c r="P8944" s="1"/>
      <c r="Q8944" s="1"/>
      <c r="R8944" s="1"/>
      <c r="S8944" s="1"/>
      <c r="T8944" s="1"/>
      <c r="U8944" s="1"/>
      <c r="V8944" s="1"/>
      <c r="W8944" s="1"/>
      <c r="X8944" s="1"/>
      <c r="Y8944" s="1"/>
      <c r="Z8944" s="1"/>
      <c r="AA8944" s="1"/>
      <c r="AB8944" s="1"/>
    </row>
    <row r="8945" ht="50.25" customHeight="1">
      <c r="A8945" s="12">
        <v>8941.0</v>
      </c>
      <c r="B8945" s="13" t="s">
        <v>8699</v>
      </c>
      <c r="C8945" s="18" t="s">
        <v>8971</v>
      </c>
      <c r="D8945" s="1"/>
      <c r="E8945" s="1"/>
      <c r="F8945" s="1" t="str">
        <f>IFERROR(__xludf.DUMMYFUNCTION("GOOGLETRANSLATE(B8945, ""en"", ""fa"")
"),"موفقیت در پادکست")</f>
        <v>موفقیت در پادکست</v>
      </c>
      <c r="G8945" s="1" t="str">
        <f>IFERROR(__xludf.DUMMYFUNCTION("GOOGLETRANSLATE(C8945, ""en"", ""fa"")
"),"چگونه قسمت های پادکست خود را برای پلتفرم ها یا کانال های توزیع مختلف مانند Spotify، Apple Podcasts یا YouTube ویرایش و بهینه سازی کنیم؟")</f>
        <v>چگونه قسمت های پادکست خود را برای پلتفرم ها یا کانال های توزیع مختلف مانند Spotify، Apple Podcasts یا YouTube ویرایش و بهینه سازی کنیم؟</v>
      </c>
      <c r="H8945" s="1"/>
      <c r="I8945" s="1"/>
      <c r="J8945" s="1"/>
      <c r="K8945" s="1"/>
      <c r="L8945" s="1"/>
      <c r="M8945" s="1"/>
      <c r="N8945" s="1"/>
      <c r="O8945" s="1"/>
      <c r="P8945" s="1"/>
      <c r="Q8945" s="1"/>
      <c r="R8945" s="1"/>
      <c r="S8945" s="1"/>
      <c r="T8945" s="1"/>
      <c r="U8945" s="1"/>
      <c r="V8945" s="1"/>
      <c r="W8945" s="1"/>
      <c r="X8945" s="1"/>
      <c r="Y8945" s="1"/>
      <c r="Z8945" s="1"/>
      <c r="AA8945" s="1"/>
      <c r="AB8945" s="1"/>
    </row>
    <row r="8946" ht="50.25" customHeight="1">
      <c r="A8946" s="12">
        <v>8942.0</v>
      </c>
      <c r="B8946" s="13" t="s">
        <v>8699</v>
      </c>
      <c r="C8946" s="18" t="s">
        <v>8972</v>
      </c>
      <c r="D8946" s="1"/>
      <c r="E8946" s="1"/>
      <c r="F8946" s="1" t="str">
        <f>IFERROR(__xludf.DUMMYFUNCTION("GOOGLETRANSLATE(B8946, ""en"", ""fa"")
"),"موفقیت در پادکست")</f>
        <v>موفقیت در پادکست</v>
      </c>
      <c r="G8946" s="1" t="str">
        <f>IFERROR(__xludf.DUMMYFUNCTION("GOOGLETRANSLATE(C8946, ""en"", ""fa"")
"),"چه تکنیک هایی برای ویرایش یکپارچه مسائل فنی، مانند اشکالات یا وقفه های صوتی، برای ایجاد یک محصول نهایی روان و حرفه ای وجود دارد؟")</f>
        <v>چه تکنیک هایی برای ویرایش یکپارچه مسائل فنی، مانند اشکالات یا وقفه های صوتی، برای ایجاد یک محصول نهایی روان و حرفه ای وجود دارد؟</v>
      </c>
      <c r="H8946" s="1"/>
      <c r="I8946" s="1"/>
      <c r="J8946" s="1"/>
      <c r="K8946" s="1"/>
      <c r="L8946" s="1"/>
      <c r="M8946" s="1"/>
      <c r="N8946" s="1"/>
      <c r="O8946" s="1"/>
      <c r="P8946" s="1"/>
      <c r="Q8946" s="1"/>
      <c r="R8946" s="1"/>
      <c r="S8946" s="1"/>
      <c r="T8946" s="1"/>
      <c r="U8946" s="1"/>
      <c r="V8946" s="1"/>
      <c r="W8946" s="1"/>
      <c r="X8946" s="1"/>
      <c r="Y8946" s="1"/>
      <c r="Z8946" s="1"/>
      <c r="AA8946" s="1"/>
      <c r="AB8946" s="1"/>
    </row>
    <row r="8947" ht="50.25" customHeight="1">
      <c r="A8947" s="12">
        <v>8943.0</v>
      </c>
      <c r="B8947" s="13" t="s">
        <v>8699</v>
      </c>
      <c r="C8947" s="18" t="s">
        <v>8973</v>
      </c>
      <c r="D8947" s="1"/>
      <c r="E8947" s="1"/>
      <c r="F8947" s="1" t="str">
        <f>IFERROR(__xludf.DUMMYFUNCTION("GOOGLETRANSLATE(B8947, ""en"", ""fa"")
"),"موفقیت در پادکست")</f>
        <v>موفقیت در پادکست</v>
      </c>
      <c r="G8947" s="1" t="str">
        <f>IFERROR(__xludf.DUMMYFUNCTION("GOOGLETRANSLATE(C8947, ""en"", ""fa"")
"),"چگونه می توان قسمت های پادکست را با تکنیک های پردازش صوتی پویا، مانند تصویربرداری استریو یا افکت های فضایی ویرایش و تقویت کرد؟")</f>
        <v>چگونه می توان قسمت های پادکست را با تکنیک های پردازش صوتی پویا، مانند تصویربرداری استریو یا افکت های فضایی ویرایش و تقویت کرد؟</v>
      </c>
      <c r="H8947" s="1"/>
      <c r="I8947" s="1"/>
      <c r="J8947" s="1"/>
      <c r="K8947" s="1"/>
      <c r="L8947" s="1"/>
      <c r="M8947" s="1"/>
      <c r="N8947" s="1"/>
      <c r="O8947" s="1"/>
      <c r="P8947" s="1"/>
      <c r="Q8947" s="1"/>
      <c r="R8947" s="1"/>
      <c r="S8947" s="1"/>
      <c r="T8947" s="1"/>
      <c r="U8947" s="1"/>
      <c r="V8947" s="1"/>
      <c r="W8947" s="1"/>
      <c r="X8947" s="1"/>
      <c r="Y8947" s="1"/>
      <c r="Z8947" s="1"/>
      <c r="AA8947" s="1"/>
      <c r="AB8947" s="1"/>
    </row>
    <row r="8948" ht="50.25" customHeight="1">
      <c r="A8948" s="12">
        <v>8944.0</v>
      </c>
      <c r="B8948" s="13" t="s">
        <v>8699</v>
      </c>
      <c r="C8948" s="18" t="s">
        <v>8974</v>
      </c>
      <c r="D8948" s="1"/>
      <c r="E8948" s="1"/>
      <c r="F8948" s="1" t="str">
        <f>IFERROR(__xludf.DUMMYFUNCTION("GOOGLETRANSLATE(B8948, ""en"", ""fa"")
"),"موفقیت در پادکست")</f>
        <v>موفقیت در پادکست</v>
      </c>
      <c r="G8948" s="1" t="str">
        <f>IFERROR(__xludf.DUMMYFUNCTION("GOOGLETRANSLATE(C8948, ""en"", ""fa"")
"),"تکنیک‌های استفاده از مشارکت راه‌اندازی پادکست با مارک‌ها، محصولات یا خدمات مکمل برای تبلیغ متقابل و گسترش دسترسی شما چیست؟")</f>
        <v>تکنیک‌های استفاده از مشارکت راه‌اندازی پادکست با مارک‌ها، محصولات یا خدمات مکمل برای تبلیغ متقابل و گسترش دسترسی شما چیست؟</v>
      </c>
      <c r="H8948" s="1"/>
      <c r="I8948" s="1"/>
      <c r="J8948" s="1"/>
      <c r="K8948" s="1"/>
      <c r="L8948" s="1"/>
      <c r="M8948" s="1"/>
      <c r="N8948" s="1"/>
      <c r="O8948" s="1"/>
      <c r="P8948" s="1"/>
      <c r="Q8948" s="1"/>
      <c r="R8948" s="1"/>
      <c r="S8948" s="1"/>
      <c r="T8948" s="1"/>
      <c r="U8948" s="1"/>
      <c r="V8948" s="1"/>
      <c r="W8948" s="1"/>
      <c r="X8948" s="1"/>
      <c r="Y8948" s="1"/>
      <c r="Z8948" s="1"/>
      <c r="AA8948" s="1"/>
      <c r="AB8948" s="1"/>
    </row>
    <row r="8949" ht="50.25" customHeight="1">
      <c r="A8949" s="12">
        <v>8945.0</v>
      </c>
      <c r="B8949" s="13" t="s">
        <v>8699</v>
      </c>
      <c r="C8949" s="18" t="s">
        <v>8975</v>
      </c>
      <c r="D8949" s="1"/>
      <c r="E8949" s="1"/>
      <c r="F8949" s="1" t="str">
        <f>IFERROR(__xludf.DUMMYFUNCTION("GOOGLETRANSLATE(B8949, ""en"", ""fa"")
"),"موفقیت در پادکست")</f>
        <v>موفقیت در پادکست</v>
      </c>
      <c r="G8949" s="1" t="str">
        <f>IFERROR(__xludf.DUMMYFUNCTION("GOOGLETRANSLATE(C8949, ""en"", ""fa"")
"),"چگونه می‌توان با شبکه‌های پادکست، رسانه‌ها، یا جوامع آنلاین، مشارکت‌های استراتژیک ایجاد کرد تا در معرض دید قرار گرفته و در حول و حوش راه‌اندازی پادکست خود سر و صدایی ایجاد کنید؟")</f>
        <v>چگونه می‌توان با شبکه‌های پادکست، رسانه‌ها، یا جوامع آنلاین، مشارکت‌های استراتژیک ایجاد کرد تا در معرض دید قرار گرفته و در حول و حوش راه‌اندازی پادکست خود سر و صدایی ایجاد کنید؟</v>
      </c>
      <c r="H8949" s="1"/>
      <c r="I8949" s="1"/>
      <c r="J8949" s="1"/>
      <c r="K8949" s="1"/>
      <c r="L8949" s="1"/>
      <c r="M8949" s="1"/>
      <c r="N8949" s="1"/>
      <c r="O8949" s="1"/>
      <c r="P8949" s="1"/>
      <c r="Q8949" s="1"/>
      <c r="R8949" s="1"/>
      <c r="S8949" s="1"/>
      <c r="T8949" s="1"/>
      <c r="U8949" s="1"/>
      <c r="V8949" s="1"/>
      <c r="W8949" s="1"/>
      <c r="X8949" s="1"/>
      <c r="Y8949" s="1"/>
      <c r="Z8949" s="1"/>
      <c r="AA8949" s="1"/>
      <c r="AB8949" s="1"/>
    </row>
    <row r="8950" ht="50.25" customHeight="1">
      <c r="A8950" s="12">
        <v>8946.0</v>
      </c>
      <c r="B8950" s="13" t="s">
        <v>8699</v>
      </c>
      <c r="C8950" s="18" t="s">
        <v>8976</v>
      </c>
      <c r="D8950" s="1"/>
      <c r="E8950" s="1"/>
      <c r="F8950" s="1" t="str">
        <f>IFERROR(__xludf.DUMMYFUNCTION("GOOGLETRANSLATE(B8950, ""en"", ""fa"")
"),"موفقیت در پادکست")</f>
        <v>موفقیت در پادکست</v>
      </c>
      <c r="G8950" s="1" t="str">
        <f>IFERROR(__xludf.DUMMYFUNCTION("GOOGLETRANSLATE(C8950, ""en"", ""fa"")
"),"استراتژی‌هایی برای گنجاندن محتوای تولید شده توسط شنوندگان، مانند پرسش‌ها، داستان‌ها یا توصیفات، در مطالب راه‌اندازی پادکست شما برای نشان دادن تعامل و پیش‌بینی جامعه چیست؟")</f>
        <v>استراتژی‌هایی برای گنجاندن محتوای تولید شده توسط شنوندگان، مانند پرسش‌ها، داستان‌ها یا توصیفات، در مطالب راه‌اندازی پادکست شما برای نشان دادن تعامل و پیش‌بینی جامعه چیست؟</v>
      </c>
      <c r="H8950" s="1"/>
      <c r="I8950" s="1"/>
      <c r="J8950" s="1"/>
      <c r="K8950" s="1"/>
      <c r="L8950" s="1"/>
      <c r="M8950" s="1"/>
      <c r="N8950" s="1"/>
      <c r="O8950" s="1"/>
      <c r="P8950" s="1"/>
      <c r="Q8950" s="1"/>
      <c r="R8950" s="1"/>
      <c r="S8950" s="1"/>
      <c r="T8950" s="1"/>
      <c r="U8950" s="1"/>
      <c r="V8950" s="1"/>
      <c r="W8950" s="1"/>
      <c r="X8950" s="1"/>
      <c r="Y8950" s="1"/>
      <c r="Z8950" s="1"/>
      <c r="AA8950" s="1"/>
      <c r="AB8950" s="1"/>
    </row>
    <row r="8951" ht="50.25" customHeight="1">
      <c r="A8951" s="12">
        <v>8947.0</v>
      </c>
      <c r="B8951" s="13" t="s">
        <v>8699</v>
      </c>
      <c r="C8951" s="18" t="s">
        <v>8977</v>
      </c>
      <c r="D8951" s="1"/>
      <c r="E8951" s="1"/>
      <c r="F8951" s="1" t="str">
        <f>IFERROR(__xludf.DUMMYFUNCTION("GOOGLETRANSLATE(B8951, ""en"", ""fa"")
"),"موفقیت در پادکست")</f>
        <v>موفقیت در پادکست</v>
      </c>
      <c r="G8951" s="1" t="str">
        <f>IFERROR(__xludf.DUMMYFUNCTION("GOOGLETRANSLATE(C8951, ""en"", ""fa"")
"),"چگونه وب سایت یا صفحه فرود پادکست خود را برای تبدیل بهینه کنیم و از یک فراخوان واضح برای اشتراک یا پیوستن به لیست ایمیل راه اندازی خود اطمینان حاصل کنیم؟")</f>
        <v>چگونه وب سایت یا صفحه فرود پادکست خود را برای تبدیل بهینه کنیم و از یک فراخوان واضح برای اشتراک یا پیوستن به لیست ایمیل راه اندازی خود اطمینان حاصل کنیم؟</v>
      </c>
      <c r="H8951" s="1"/>
      <c r="I8951" s="1"/>
      <c r="J8951" s="1"/>
      <c r="K8951" s="1"/>
      <c r="L8951" s="1"/>
      <c r="M8951" s="1"/>
      <c r="N8951" s="1"/>
      <c r="O8951" s="1"/>
      <c r="P8951" s="1"/>
      <c r="Q8951" s="1"/>
      <c r="R8951" s="1"/>
      <c r="S8951" s="1"/>
      <c r="T8951" s="1"/>
      <c r="U8951" s="1"/>
      <c r="V8951" s="1"/>
      <c r="W8951" s="1"/>
      <c r="X8951" s="1"/>
      <c r="Y8951" s="1"/>
      <c r="Z8951" s="1"/>
      <c r="AA8951" s="1"/>
      <c r="AB8951" s="1"/>
    </row>
    <row r="8952" ht="50.25" customHeight="1">
      <c r="A8952" s="12">
        <v>8948.0</v>
      </c>
      <c r="B8952" s="13" t="s">
        <v>8699</v>
      </c>
      <c r="C8952" s="18" t="s">
        <v>8978</v>
      </c>
      <c r="D8952" s="1"/>
      <c r="E8952" s="1"/>
      <c r="F8952" s="1" t="str">
        <f>IFERROR(__xludf.DUMMYFUNCTION("GOOGLETRANSLATE(B8952, ""en"", ""fa"")
"),"موفقیت در پادکست")</f>
        <v>موفقیت در پادکست</v>
      </c>
      <c r="G8952" s="1" t="str">
        <f>IFERROR(__xludf.DUMMYFUNCTION("GOOGLETRANSLATE(C8952, ""en"", ""fa"")
"),"تکنیک‌هایی برای ایجاد اپیزودها یا سریال‌های جذاب و آموزنده که محتوای ارزشمندی را که شنوندگان می‌توانند از پادکست شما انتظار داشته باشند، ارائه می‌دهند؟")</f>
        <v>تکنیک‌هایی برای ایجاد اپیزودها یا سریال‌های جذاب و آموزنده که محتوای ارزشمندی را که شنوندگان می‌توانند از پادکست شما انتظار داشته باشند، ارائه می‌دهند؟</v>
      </c>
      <c r="H8952" s="1"/>
      <c r="I8952" s="1"/>
      <c r="J8952" s="1"/>
      <c r="K8952" s="1"/>
      <c r="L8952" s="1"/>
      <c r="M8952" s="1"/>
      <c r="N8952" s="1"/>
      <c r="O8952" s="1"/>
      <c r="P8952" s="1"/>
      <c r="Q8952" s="1"/>
      <c r="R8952" s="1"/>
      <c r="S8952" s="1"/>
      <c r="T8952" s="1"/>
      <c r="U8952" s="1"/>
      <c r="V8952" s="1"/>
      <c r="W8952" s="1"/>
      <c r="X8952" s="1"/>
      <c r="Y8952" s="1"/>
      <c r="Z8952" s="1"/>
      <c r="AA8952" s="1"/>
      <c r="AB8952" s="1"/>
    </row>
    <row r="8953" ht="50.25" customHeight="1">
      <c r="A8953" s="12">
        <v>8949.0</v>
      </c>
      <c r="B8953" s="13" t="s">
        <v>8699</v>
      </c>
      <c r="C8953" s="18" t="s">
        <v>8979</v>
      </c>
      <c r="D8953" s="1"/>
      <c r="E8953" s="1"/>
      <c r="F8953" s="1" t="str">
        <f>IFERROR(__xludf.DUMMYFUNCTION("GOOGLETRANSLATE(B8953, ""en"", ""fa"")
"),"موفقیت در پادکست")</f>
        <v>موفقیت در پادکست</v>
      </c>
      <c r="G8953" s="1" t="str">
        <f>IFERROR(__xludf.DUMMYFUNCTION("GOOGLETRANSLATE(C8953, ""en"", ""fa"")
"),"چگونه می توان از داستان سرایی و روایت های احساسی در بازاریابی راه اندازی پادکست خود برای ارتباط با شنوندگان بالقوه و ایجاد یک تجربه به یاد ماندنی از راه اندازی استفاده کرد؟")</f>
        <v>چگونه می توان از داستان سرایی و روایت های احساسی در بازاریابی راه اندازی پادکست خود برای ارتباط با شنوندگان بالقوه و ایجاد یک تجربه به یاد ماندنی از راه اندازی استفاده کرد؟</v>
      </c>
      <c r="H8953" s="1"/>
      <c r="I8953" s="1"/>
      <c r="J8953" s="1"/>
      <c r="K8953" s="1"/>
      <c r="L8953" s="1"/>
      <c r="M8953" s="1"/>
      <c r="N8953" s="1"/>
      <c r="O8953" s="1"/>
      <c r="P8953" s="1"/>
      <c r="Q8953" s="1"/>
      <c r="R8953" s="1"/>
      <c r="S8953" s="1"/>
      <c r="T8953" s="1"/>
      <c r="U8953" s="1"/>
      <c r="V8953" s="1"/>
      <c r="W8953" s="1"/>
      <c r="X8953" s="1"/>
      <c r="Y8953" s="1"/>
      <c r="Z8953" s="1"/>
      <c r="AA8953" s="1"/>
      <c r="AB8953" s="1"/>
    </row>
    <row r="8954" ht="50.25" customHeight="1">
      <c r="A8954" s="12">
        <v>8950.0</v>
      </c>
      <c r="B8954" s="13" t="s">
        <v>8699</v>
      </c>
      <c r="C8954" s="18" t="s">
        <v>8980</v>
      </c>
      <c r="D8954" s="1"/>
      <c r="E8954" s="1"/>
      <c r="F8954" s="1" t="str">
        <f>IFERROR(__xludf.DUMMYFUNCTION("GOOGLETRANSLATE(B8954, ""en"", ""fa"")
"),"موفقیت در پادکست")</f>
        <v>موفقیت در پادکست</v>
      </c>
      <c r="G8954" s="1" t="str">
        <f>IFERROR(__xludf.DUMMYFUNCTION("GOOGLETRANSLATE(C8954, ""en"", ""fa"")
"),"راهبردهای میزبانی رویدادهای انحصاری قبل از راه اندازی، وبینارها یا جلسات زنده برای ارائه بینش ارزشمند یا نگاه های پشت صحنه به مخاطبان راه اندازی چیست؟")</f>
        <v>راهبردهای میزبانی رویدادهای انحصاری قبل از راه اندازی، وبینارها یا جلسات زنده برای ارائه بینش ارزشمند یا نگاه های پشت صحنه به مخاطبان راه اندازی چیست؟</v>
      </c>
      <c r="H8954" s="1"/>
      <c r="I8954" s="1"/>
      <c r="J8954" s="1"/>
      <c r="K8954" s="1"/>
      <c r="L8954" s="1"/>
      <c r="M8954" s="1"/>
      <c r="N8954" s="1"/>
      <c r="O8954" s="1"/>
      <c r="P8954" s="1"/>
      <c r="Q8954" s="1"/>
      <c r="R8954" s="1"/>
      <c r="S8954" s="1"/>
      <c r="T8954" s="1"/>
      <c r="U8954" s="1"/>
      <c r="V8954" s="1"/>
      <c r="W8954" s="1"/>
      <c r="X8954" s="1"/>
      <c r="Y8954" s="1"/>
      <c r="Z8954" s="1"/>
      <c r="AA8954" s="1"/>
      <c r="AB8954" s="1"/>
    </row>
    <row r="8955" ht="50.25" customHeight="1">
      <c r="A8955" s="12">
        <v>8951.0</v>
      </c>
      <c r="B8955" s="13" t="s">
        <v>8699</v>
      </c>
      <c r="C8955" s="18" t="s">
        <v>8981</v>
      </c>
      <c r="D8955" s="1"/>
      <c r="E8955" s="1"/>
      <c r="F8955" s="1" t="str">
        <f>IFERROR(__xludf.DUMMYFUNCTION("GOOGLETRANSLATE(B8955, ""en"", ""fa"")
"),"موفقیت در پادکست")</f>
        <v>موفقیت در پادکست</v>
      </c>
      <c r="G8955" s="1" t="str">
        <f>IFERROR(__xludf.DUMMYFUNCTION("GOOGLETRANSLATE(C8955, ""en"", ""fa"")
"),"چگونه از فرصت‌های روابط عمومی، مانند بیانیه‌های مطبوعاتی، مصاحبه‌های رسانه‌ای، یا وبلاگ‌نویسی مهمان، برای ایجاد سر و صدا و پوشش رسانه‌ای برای راه‌اندازی پادکست خود استفاده کنیم؟")</f>
        <v>چگونه از فرصت‌های روابط عمومی، مانند بیانیه‌های مطبوعاتی، مصاحبه‌های رسانه‌ای، یا وبلاگ‌نویسی مهمان، برای ایجاد سر و صدا و پوشش رسانه‌ای برای راه‌اندازی پادکست خود استفاده کنیم؟</v>
      </c>
      <c r="H8955" s="1"/>
      <c r="I8955" s="1"/>
      <c r="J8955" s="1"/>
      <c r="K8955" s="1"/>
      <c r="L8955" s="1"/>
      <c r="M8955" s="1"/>
      <c r="N8955" s="1"/>
      <c r="O8955" s="1"/>
      <c r="P8955" s="1"/>
      <c r="Q8955" s="1"/>
      <c r="R8955" s="1"/>
      <c r="S8955" s="1"/>
      <c r="T8955" s="1"/>
      <c r="U8955" s="1"/>
      <c r="V8955" s="1"/>
      <c r="W8955" s="1"/>
      <c r="X8955" s="1"/>
      <c r="Y8955" s="1"/>
      <c r="Z8955" s="1"/>
      <c r="AA8955" s="1"/>
      <c r="AB8955" s="1"/>
    </row>
    <row r="8956" ht="50.25" customHeight="1">
      <c r="A8956" s="12">
        <v>8952.0</v>
      </c>
      <c r="B8956" s="13" t="s">
        <v>8699</v>
      </c>
      <c r="C8956" s="18" t="s">
        <v>8982</v>
      </c>
      <c r="D8956" s="1"/>
      <c r="E8956" s="1"/>
      <c r="F8956" s="1" t="str">
        <f>IFERROR(__xludf.DUMMYFUNCTION("GOOGLETRANSLATE(B8956, ""en"", ""fa"")
"),"موفقیت در پادکست")</f>
        <v>موفقیت در پادکست</v>
      </c>
      <c r="G8956" s="1" t="str">
        <f>IFERROR(__xludf.DUMMYFUNCTION("GOOGLETRANSLATE(C8956, ""en"", ""fa"")
"),"تکنیک‌های استفاده از تصاحب اینفلوئنسرها یا حضور مهمان در حساب‌های محبوب رسانه‌های اجتماعی برای تبلیغ راه‌اندازی پادکست خود به دنبال‌کنندگانشان چیست؟")</f>
        <v>تکنیک‌های استفاده از تصاحب اینفلوئنسرها یا حضور مهمان در حساب‌های محبوب رسانه‌های اجتماعی برای تبلیغ راه‌اندازی پادکست خود به دنبال‌کنندگانشان چیست؟</v>
      </c>
      <c r="H8956" s="1"/>
      <c r="I8956" s="1"/>
      <c r="J8956" s="1"/>
      <c r="K8956" s="1"/>
      <c r="L8956" s="1"/>
      <c r="M8956" s="1"/>
      <c r="N8956" s="1"/>
      <c r="O8956" s="1"/>
      <c r="P8956" s="1"/>
      <c r="Q8956" s="1"/>
      <c r="R8956" s="1"/>
      <c r="S8956" s="1"/>
      <c r="T8956" s="1"/>
      <c r="U8956" s="1"/>
      <c r="V8956" s="1"/>
      <c r="W8956" s="1"/>
      <c r="X8956" s="1"/>
      <c r="Y8956" s="1"/>
      <c r="Z8956" s="1"/>
      <c r="AA8956" s="1"/>
      <c r="AB8956" s="1"/>
    </row>
    <row r="8957" ht="50.25" customHeight="1">
      <c r="A8957" s="12">
        <v>8953.0</v>
      </c>
      <c r="B8957" s="13" t="s">
        <v>8699</v>
      </c>
      <c r="C8957" s="18" t="s">
        <v>8983</v>
      </c>
      <c r="D8957" s="1"/>
      <c r="E8957" s="1"/>
      <c r="F8957" s="1" t="str">
        <f>IFERROR(__xludf.DUMMYFUNCTION("GOOGLETRANSLATE(B8957, ""en"", ""fa"")
"),"موفقیت در پادکست")</f>
        <v>موفقیت در پادکست</v>
      </c>
      <c r="G8957" s="1" t="str">
        <f>IFERROR(__xludf.DUMMYFUNCTION("GOOGLETRANSLATE(C8957, ""en"", ""fa"")
"),"چگونه از طریق کمپین‌های ایمیلی هدفمند، ارائه نگاه‌های پنهان، محتوای جایزه یا پیشنهادات انحصاری که منجر به راه‌اندازی پادکست شما می‌شود، با مخاطبان خود درگیر شوید؟")</f>
        <v>چگونه از طریق کمپین‌های ایمیلی هدفمند، ارائه نگاه‌های پنهان، محتوای جایزه یا پیشنهادات انحصاری که منجر به راه‌اندازی پادکست شما می‌شود، با مخاطبان خود درگیر شوید؟</v>
      </c>
      <c r="H8957" s="1"/>
      <c r="I8957" s="1"/>
      <c r="J8957" s="1"/>
      <c r="K8957" s="1"/>
      <c r="L8957" s="1"/>
      <c r="M8957" s="1"/>
      <c r="N8957" s="1"/>
      <c r="O8957" s="1"/>
      <c r="P8957" s="1"/>
      <c r="Q8957" s="1"/>
      <c r="R8957" s="1"/>
      <c r="S8957" s="1"/>
      <c r="T8957" s="1"/>
      <c r="U8957" s="1"/>
      <c r="V8957" s="1"/>
      <c r="W8957" s="1"/>
      <c r="X8957" s="1"/>
      <c r="Y8957" s="1"/>
      <c r="Z8957" s="1"/>
      <c r="AA8957" s="1"/>
      <c r="AB8957" s="1"/>
    </row>
    <row r="8958" ht="50.25" customHeight="1">
      <c r="A8958" s="12">
        <v>8954.0</v>
      </c>
      <c r="B8958" s="13" t="s">
        <v>8699</v>
      </c>
      <c r="C8958" s="18" t="s">
        <v>8984</v>
      </c>
      <c r="D8958" s="1"/>
      <c r="E8958" s="1"/>
      <c r="F8958" s="1" t="str">
        <f>IFERROR(__xludf.DUMMYFUNCTION("GOOGLETRANSLATE(B8958, ""en"", ""fa"")
"),"موفقیت در پادکست")</f>
        <v>موفقیت در پادکست</v>
      </c>
      <c r="G8958" s="1" t="str">
        <f>IFERROR(__xludf.DUMMYFUNCTION("GOOGLETRANSLATE(C8958, ""en"", ""fa"")
"),"استراتژی‌های استفاده از تبلیغات متقابل با پادکست‌های مکمل یا تولیدکنندگان محتوا برای ایجاد هیجان و انتظار برای راه‌اندازی پادکست شما چیست؟")</f>
        <v>استراتژی‌های استفاده از تبلیغات متقابل با پادکست‌های مکمل یا تولیدکنندگان محتوا برای ایجاد هیجان و انتظار برای راه‌اندازی پادکست شما چیست؟</v>
      </c>
      <c r="H8958" s="1"/>
      <c r="I8958" s="1"/>
      <c r="J8958" s="1"/>
      <c r="K8958" s="1"/>
      <c r="L8958" s="1"/>
      <c r="M8958" s="1"/>
      <c r="N8958" s="1"/>
      <c r="O8958" s="1"/>
      <c r="P8958" s="1"/>
      <c r="Q8958" s="1"/>
      <c r="R8958" s="1"/>
      <c r="S8958" s="1"/>
      <c r="T8958" s="1"/>
      <c r="U8958" s="1"/>
      <c r="V8958" s="1"/>
      <c r="W8958" s="1"/>
      <c r="X8958" s="1"/>
      <c r="Y8958" s="1"/>
      <c r="Z8958" s="1"/>
      <c r="AA8958" s="1"/>
      <c r="AB8958" s="1"/>
    </row>
    <row r="8959" ht="50.25" customHeight="1">
      <c r="A8959" s="12">
        <v>8955.0</v>
      </c>
      <c r="B8959" s="13" t="s">
        <v>8699</v>
      </c>
      <c r="C8959" s="18" t="s">
        <v>8985</v>
      </c>
      <c r="D8959" s="1"/>
      <c r="E8959" s="1"/>
      <c r="F8959" s="1" t="str">
        <f>IFERROR(__xludf.DUMMYFUNCTION("GOOGLETRANSLATE(B8959, ""en"", ""fa"")
"),"موفقیت در پادکست")</f>
        <v>موفقیت در پادکست</v>
      </c>
      <c r="G8959" s="1" t="str">
        <f>IFERROR(__xludf.DUMMYFUNCTION("GOOGLETRANSLATE(C8959, ""en"", ""fa"")
"),"چگونه می توان کمپین های رسانه های اجتماعی متمرکز بر راه اندازی جذاب و قابل اشتراک گذاری ایجاد کرد، از هشتگ ها، مسابقات یا پست های تعاملی برای تشویق تعامل و اشتراک گذاری استفاده کرد؟")</f>
        <v>چگونه می توان کمپین های رسانه های اجتماعی متمرکز بر راه اندازی جذاب و قابل اشتراک گذاری ایجاد کرد، از هشتگ ها، مسابقات یا پست های تعاملی برای تشویق تعامل و اشتراک گذاری استفاده کرد؟</v>
      </c>
      <c r="H8959" s="1"/>
      <c r="I8959" s="1"/>
      <c r="J8959" s="1"/>
      <c r="K8959" s="1"/>
      <c r="L8959" s="1"/>
      <c r="M8959" s="1"/>
      <c r="N8959" s="1"/>
      <c r="O8959" s="1"/>
      <c r="P8959" s="1"/>
      <c r="Q8959" s="1"/>
      <c r="R8959" s="1"/>
      <c r="S8959" s="1"/>
      <c r="T8959" s="1"/>
      <c r="U8959" s="1"/>
      <c r="V8959" s="1"/>
      <c r="W8959" s="1"/>
      <c r="X8959" s="1"/>
      <c r="Y8959" s="1"/>
      <c r="Z8959" s="1"/>
      <c r="AA8959" s="1"/>
      <c r="AB8959" s="1"/>
    </row>
    <row r="8960" ht="50.25" customHeight="1">
      <c r="A8960" s="12">
        <v>8956.0</v>
      </c>
      <c r="B8960" s="13" t="s">
        <v>8699</v>
      </c>
      <c r="C8960" s="18" t="s">
        <v>8986</v>
      </c>
      <c r="D8960" s="1"/>
      <c r="E8960" s="1"/>
      <c r="F8960" s="1" t="str">
        <f>IFERROR(__xludf.DUMMYFUNCTION("GOOGLETRANSLATE(B8960, ""en"", ""fa"")
"),"موفقیت در پادکست")</f>
        <v>موفقیت در پادکست</v>
      </c>
      <c r="G8960" s="1" t="str">
        <f>IFERROR(__xludf.DUMMYFUNCTION("GOOGLETRANSLATE(C8960, ""en"", ""fa"")
"),"چه تکنیک هایی برای گنجاندن محتوای پشت صحنه، bloopers یا نگاه های پنهانی در بازاریابی راه اندازی پادکست برای ایجاد حس اصالت و ارتباط وجود دارد؟")</f>
        <v>چه تکنیک هایی برای گنجاندن محتوای پشت صحنه، bloopers یا نگاه های پنهانی در بازاریابی راه اندازی پادکست برای ایجاد حس اصالت و ارتباط وجود دارد؟</v>
      </c>
      <c r="H8960" s="1"/>
      <c r="I8960" s="1"/>
      <c r="J8960" s="1"/>
      <c r="K8960" s="1"/>
      <c r="L8960" s="1"/>
      <c r="M8960" s="1"/>
      <c r="N8960" s="1"/>
      <c r="O8960" s="1"/>
      <c r="P8960" s="1"/>
      <c r="Q8960" s="1"/>
      <c r="R8960" s="1"/>
      <c r="S8960" s="1"/>
      <c r="T8960" s="1"/>
      <c r="U8960" s="1"/>
      <c r="V8960" s="1"/>
      <c r="W8960" s="1"/>
      <c r="X8960" s="1"/>
      <c r="Y8960" s="1"/>
      <c r="Z8960" s="1"/>
      <c r="AA8960" s="1"/>
      <c r="AB8960" s="1"/>
    </row>
    <row r="8961" ht="50.25" customHeight="1">
      <c r="A8961" s="12">
        <v>8957.0</v>
      </c>
      <c r="B8961" s="13" t="s">
        <v>8699</v>
      </c>
      <c r="C8961" s="18" t="s">
        <v>8987</v>
      </c>
      <c r="D8961" s="1"/>
      <c r="E8961" s="1"/>
      <c r="F8961" s="1" t="str">
        <f>IFERROR(__xludf.DUMMYFUNCTION("GOOGLETRANSLATE(B8961, ""en"", ""fa"")
"),"موفقیت در پادکست")</f>
        <v>موفقیت در پادکست</v>
      </c>
      <c r="G8961" s="1" t="str">
        <f>IFERROR(__xludf.DUMMYFUNCTION("GOOGLETRANSLATE(C8961, ""en"", ""fa"")
"),"چگونه از طریق پلتفرم‌های صوتی زنده، مانند Clubhouse یا Twitter Spaces، میزبانی بحث‌ها یا جلسات پرسش و پاسخ با تمرکز بر راه‌اندازی پادکست خود، با مخاطبان خود درگیر شوید؟")</f>
        <v>چگونه از طریق پلتفرم‌های صوتی زنده، مانند Clubhouse یا Twitter Spaces، میزبانی بحث‌ها یا جلسات پرسش و پاسخ با تمرکز بر راه‌اندازی پادکست خود، با مخاطبان خود درگیر شوید؟</v>
      </c>
      <c r="H8961" s="1"/>
      <c r="I8961" s="1"/>
      <c r="J8961" s="1"/>
      <c r="K8961" s="1"/>
      <c r="L8961" s="1"/>
      <c r="M8961" s="1"/>
      <c r="N8961" s="1"/>
      <c r="O8961" s="1"/>
      <c r="P8961" s="1"/>
      <c r="Q8961" s="1"/>
      <c r="R8961" s="1"/>
      <c r="S8961" s="1"/>
      <c r="T8961" s="1"/>
      <c r="U8961" s="1"/>
      <c r="V8961" s="1"/>
      <c r="W8961" s="1"/>
      <c r="X8961" s="1"/>
      <c r="Y8961" s="1"/>
      <c r="Z8961" s="1"/>
      <c r="AA8961" s="1"/>
      <c r="AB8961" s="1"/>
    </row>
    <row r="8962" ht="50.25" customHeight="1">
      <c r="A8962" s="12">
        <v>8958.0</v>
      </c>
      <c r="B8962" s="13" t="s">
        <v>8699</v>
      </c>
      <c r="C8962" s="18" t="s">
        <v>8988</v>
      </c>
      <c r="D8962" s="1"/>
      <c r="E8962" s="1"/>
      <c r="F8962" s="1" t="str">
        <f>IFERROR(__xludf.DUMMYFUNCTION("GOOGLETRANSLATE(B8962, ""en"", ""fa"")
"),"موفقیت در پادکست")</f>
        <v>موفقیت در پادکست</v>
      </c>
      <c r="G8962" s="1" t="str">
        <f>IFERROR(__xludf.DUMMYFUNCTION("GOOGLETRANSLATE(C8962, ""en"", ""fa"")
"),"استراتژی‌های استفاده از دسترسی هدفمند به نشریات، وبلاگ‌ها یا خبرنامه‌های صنعتی مرتبط برای پوشش امن و ایجاد علاقه در راه‌اندازی پادکست شما چیست؟")</f>
        <v>استراتژی‌های استفاده از دسترسی هدفمند به نشریات، وبلاگ‌ها یا خبرنامه‌های صنعتی مرتبط برای پوشش امن و ایجاد علاقه در راه‌اندازی پادکست شما چیست؟</v>
      </c>
      <c r="H8962" s="1"/>
      <c r="I8962" s="1"/>
      <c r="J8962" s="1"/>
      <c r="K8962" s="1"/>
      <c r="L8962" s="1"/>
      <c r="M8962" s="1"/>
      <c r="N8962" s="1"/>
      <c r="O8962" s="1"/>
      <c r="P8962" s="1"/>
      <c r="Q8962" s="1"/>
      <c r="R8962" s="1"/>
      <c r="S8962" s="1"/>
      <c r="T8962" s="1"/>
      <c r="U8962" s="1"/>
      <c r="V8962" s="1"/>
      <c r="W8962" s="1"/>
      <c r="X8962" s="1"/>
      <c r="Y8962" s="1"/>
      <c r="Z8962" s="1"/>
      <c r="AA8962" s="1"/>
      <c r="AB8962" s="1"/>
    </row>
    <row r="8963" ht="50.25" customHeight="1">
      <c r="A8963" s="12">
        <v>8959.0</v>
      </c>
      <c r="B8963" s="13" t="s">
        <v>8699</v>
      </c>
      <c r="C8963" s="18" t="s">
        <v>8989</v>
      </c>
      <c r="D8963" s="1"/>
      <c r="E8963" s="1"/>
      <c r="F8963" s="1" t="str">
        <f>IFERROR(__xludf.DUMMYFUNCTION("GOOGLETRANSLATE(B8963, ""en"", ""fa"")
"),"موفقیت در پادکست")</f>
        <v>موفقیت در پادکست</v>
      </c>
      <c r="G8963" s="1" t="str">
        <f>IFERROR(__xludf.DUMMYFUNCTION("GOOGLETRANSLATE(C8963, ""en"", ""fa"")
"),"چگونه از شبکه شخصی خود، از جمله دوستان، خانواده، همکاران و ارتباطات صنعتی استفاده کنید تا راه اندازی پادکست خود را از طریق توصیه ها و پشتیبانی دهان به دهان تقویت کنید؟")</f>
        <v>چگونه از شبکه شخصی خود، از جمله دوستان، خانواده، همکاران و ارتباطات صنعتی استفاده کنید تا راه اندازی پادکست خود را از طریق توصیه ها و پشتیبانی دهان به دهان تقویت کنید؟</v>
      </c>
      <c r="H8963" s="1"/>
      <c r="I8963" s="1"/>
      <c r="J8963" s="1"/>
      <c r="K8963" s="1"/>
      <c r="L8963" s="1"/>
      <c r="M8963" s="1"/>
      <c r="N8963" s="1"/>
      <c r="O8963" s="1"/>
      <c r="P8963" s="1"/>
      <c r="Q8963" s="1"/>
      <c r="R8963" s="1"/>
      <c r="S8963" s="1"/>
      <c r="T8963" s="1"/>
      <c r="U8963" s="1"/>
      <c r="V8963" s="1"/>
      <c r="W8963" s="1"/>
      <c r="X8963" s="1"/>
      <c r="Y8963" s="1"/>
      <c r="Z8963" s="1"/>
      <c r="AA8963" s="1"/>
      <c r="AB8963" s="1"/>
    </row>
    <row r="8964" ht="50.25" customHeight="1">
      <c r="A8964" s="12">
        <v>8960.0</v>
      </c>
      <c r="B8964" s="13" t="s">
        <v>8699</v>
      </c>
      <c r="C8964" s="18" t="s">
        <v>8990</v>
      </c>
      <c r="D8964" s="1"/>
      <c r="E8964" s="1"/>
      <c r="F8964" s="1" t="str">
        <f>IFERROR(__xludf.DUMMYFUNCTION("GOOGLETRANSLATE(B8964, ""en"", ""fa"")
"),"موفقیت در پادکست")</f>
        <v>موفقیت در پادکست</v>
      </c>
      <c r="G8964" s="1" t="str">
        <f>IFERROR(__xludf.DUMMYFUNCTION("GOOGLETRANSLATE(C8964, ""en"", ""fa"")
"),"تکنیک‌های ایجاد محتوای رسانه‌های اجتماعی متمرکز بر راه‌اندازی قانع‌کننده، مانند ویدیوها، تصاویر، یا نقل قول‌ها، برای جذب و جذب شنوندگان بالقوه چیست؟")</f>
        <v>تکنیک‌های ایجاد محتوای رسانه‌های اجتماعی متمرکز بر راه‌اندازی قانع‌کننده، مانند ویدیوها، تصاویر، یا نقل قول‌ها، برای جذب و جذب شنوندگان بالقوه چیست؟</v>
      </c>
      <c r="H8964" s="1"/>
      <c r="I8964" s="1"/>
      <c r="J8964" s="1"/>
      <c r="K8964" s="1"/>
      <c r="L8964" s="1"/>
      <c r="M8964" s="1"/>
      <c r="N8964" s="1"/>
      <c r="O8964" s="1"/>
      <c r="P8964" s="1"/>
      <c r="Q8964" s="1"/>
      <c r="R8964" s="1"/>
      <c r="S8964" s="1"/>
      <c r="T8964" s="1"/>
      <c r="U8964" s="1"/>
      <c r="V8964" s="1"/>
      <c r="W8964" s="1"/>
      <c r="X8964" s="1"/>
      <c r="Y8964" s="1"/>
      <c r="Z8964" s="1"/>
      <c r="AA8964" s="1"/>
      <c r="AB8964" s="1"/>
    </row>
    <row r="8965" ht="50.25" customHeight="1">
      <c r="A8965" s="12">
        <v>8961.0</v>
      </c>
      <c r="B8965" s="13" t="s">
        <v>8699</v>
      </c>
      <c r="C8965" s="18" t="s">
        <v>8991</v>
      </c>
      <c r="D8965" s="1"/>
      <c r="E8965" s="1"/>
      <c r="F8965" s="1" t="str">
        <f>IFERROR(__xludf.DUMMYFUNCTION("GOOGLETRANSLATE(B8965, ""en"", ""fa"")
"),"موفقیت در پادکست")</f>
        <v>موفقیت در پادکست</v>
      </c>
      <c r="G8965" s="1" t="str">
        <f>IFERROR(__xludf.DUMMYFUNCTION("GOOGLETRANSLATE(C8965, ""en"", ""fa"")
"),"چگونه از طریق عناصر تعاملی، مانند نظرسنجی، نظرسنجی، یا سوالات ارسال شده توسط شنوندگان، که منجر به راه اندازی پادکست شما می شود، با مخاطبان خود درگیر شوید؟")</f>
        <v>چگونه از طریق عناصر تعاملی، مانند نظرسنجی، نظرسنجی، یا سوالات ارسال شده توسط شنوندگان، که منجر به راه اندازی پادکست شما می شود، با مخاطبان خود درگیر شوید؟</v>
      </c>
      <c r="H8965" s="1"/>
      <c r="I8965" s="1"/>
      <c r="J8965" s="1"/>
      <c r="K8965" s="1"/>
      <c r="L8965" s="1"/>
      <c r="M8965" s="1"/>
      <c r="N8965" s="1"/>
      <c r="O8965" s="1"/>
      <c r="P8965" s="1"/>
      <c r="Q8965" s="1"/>
      <c r="R8965" s="1"/>
      <c r="S8965" s="1"/>
      <c r="T8965" s="1"/>
      <c r="U8965" s="1"/>
      <c r="V8965" s="1"/>
      <c r="W8965" s="1"/>
      <c r="X8965" s="1"/>
      <c r="Y8965" s="1"/>
      <c r="Z8965" s="1"/>
      <c r="AA8965" s="1"/>
      <c r="AB8965" s="1"/>
    </row>
    <row r="8966" ht="50.25" customHeight="1">
      <c r="A8966" s="12">
        <v>8962.0</v>
      </c>
      <c r="B8966" s="13" t="s">
        <v>8699</v>
      </c>
      <c r="C8966" s="18" t="s">
        <v>8992</v>
      </c>
      <c r="D8966" s="1"/>
      <c r="E8966" s="1"/>
      <c r="F8966" s="1" t="str">
        <f>IFERROR(__xludf.DUMMYFUNCTION("GOOGLETRANSLATE(B8966, ""en"", ""fa"")
"),"موفقیت در پادکست")</f>
        <v>موفقیت در پادکست</v>
      </c>
      <c r="G8966" s="1" t="str">
        <f>IFERROR(__xludf.DUMMYFUNCTION("GOOGLETRANSLATE(C8966, ""en"", ""fa"")
"),"استراتژی‌های استفاده از مشارکت استراتژیک با سایر پادکست‌ها یا تأثیرگذاران صنعت برای شرکت در کمپین‌های راه‌اندازی مشترک یا تلاش‌های تبلیغاتی چیست؟")</f>
        <v>استراتژی‌های استفاده از مشارکت استراتژیک با سایر پادکست‌ها یا تأثیرگذاران صنعت برای شرکت در کمپین‌های راه‌اندازی مشترک یا تلاش‌های تبلیغاتی چیست؟</v>
      </c>
      <c r="H8966" s="1"/>
      <c r="I8966" s="1"/>
      <c r="J8966" s="1"/>
      <c r="K8966" s="1"/>
      <c r="L8966" s="1"/>
      <c r="M8966" s="1"/>
      <c r="N8966" s="1"/>
      <c r="O8966" s="1"/>
      <c r="P8966" s="1"/>
      <c r="Q8966" s="1"/>
      <c r="R8966" s="1"/>
      <c r="S8966" s="1"/>
      <c r="T8966" s="1"/>
      <c r="U8966" s="1"/>
      <c r="V8966" s="1"/>
      <c r="W8966" s="1"/>
      <c r="X8966" s="1"/>
      <c r="Y8966" s="1"/>
      <c r="Z8966" s="1"/>
      <c r="AA8966" s="1"/>
      <c r="AB8966" s="1"/>
    </row>
    <row r="8967" ht="50.25" customHeight="1">
      <c r="A8967" s="12">
        <v>8963.0</v>
      </c>
      <c r="B8967" s="13" t="s">
        <v>8699</v>
      </c>
      <c r="C8967" s="18" t="s">
        <v>8993</v>
      </c>
      <c r="D8967" s="1"/>
      <c r="E8967" s="1"/>
      <c r="F8967" s="1" t="str">
        <f>IFERROR(__xludf.DUMMYFUNCTION("GOOGLETRANSLATE(B8967, ""en"", ""fa"")
"),"موفقیت در پادکست")</f>
        <v>موفقیت در پادکست</v>
      </c>
      <c r="G8967" s="1" t="str">
        <f>IFERROR(__xludf.DUMMYFUNCTION("GOOGLETRANSLATE(C8967, ""en"", ""fa"")
"),"چگونه از طریق پیشنهادهای محدود، امتیازات دسترسی زودهنگام، یا محتوای انحصاری برای مشترکین یا شنوندگان روز راه اندازی، سر و صدا ایجاد کنیم و هیجان ایجاد کنیم؟")</f>
        <v>چگونه از طریق پیشنهادهای محدود، امتیازات دسترسی زودهنگام، یا محتوای انحصاری برای مشترکین یا شنوندگان روز راه اندازی، سر و صدا ایجاد کنیم و هیجان ایجاد کنیم؟</v>
      </c>
      <c r="H8967" s="1"/>
      <c r="I8967" s="1"/>
      <c r="J8967" s="1"/>
      <c r="K8967" s="1"/>
      <c r="L8967" s="1"/>
      <c r="M8967" s="1"/>
      <c r="N8967" s="1"/>
      <c r="O8967" s="1"/>
      <c r="P8967" s="1"/>
      <c r="Q8967" s="1"/>
      <c r="R8967" s="1"/>
      <c r="S8967" s="1"/>
      <c r="T8967" s="1"/>
      <c r="U8967" s="1"/>
      <c r="V8967" s="1"/>
      <c r="W8967" s="1"/>
      <c r="X8967" s="1"/>
      <c r="Y8967" s="1"/>
      <c r="Z8967" s="1"/>
      <c r="AA8967" s="1"/>
      <c r="AB8967" s="1"/>
    </row>
    <row r="8968" ht="50.25" customHeight="1">
      <c r="A8968" s="12">
        <v>8964.0</v>
      </c>
      <c r="B8968" s="13" t="s">
        <v>8699</v>
      </c>
      <c r="C8968" s="18" t="s">
        <v>8994</v>
      </c>
      <c r="D8968" s="1"/>
      <c r="E8968" s="1"/>
      <c r="F8968" s="1" t="str">
        <f>IFERROR(__xludf.DUMMYFUNCTION("GOOGLETRANSLATE(B8968, ""en"", ""fa"")
"),"موفقیت در پادکست")</f>
        <v>موفقیت در پادکست</v>
      </c>
      <c r="G8968" s="1" t="str">
        <f>IFERROR(__xludf.DUMMYFUNCTION("GOOGLETRANSLATE(C8968, ""en"", ""fa"")
"),"تکنیک‌های ترکیب داستان‌سرایی متمرکز بر راه‌اندازی، مانند اشتراک‌گذاری سفر، الهام، یا چالش‌های پشت پادکست، برای ایجاد ارتباط با مخاطبان و ایجاد پیش‌بینی برای راه‌اندازی چیست؟")</f>
        <v>تکنیک‌های ترکیب داستان‌سرایی متمرکز بر راه‌اندازی، مانند اشتراک‌گذاری سفر، الهام، یا چالش‌های پشت پادکست، برای ایجاد ارتباط با مخاطبان و ایجاد پیش‌بینی برای راه‌اندازی چیست؟</v>
      </c>
      <c r="H8968" s="1"/>
      <c r="I8968" s="1"/>
      <c r="J8968" s="1"/>
      <c r="K8968" s="1"/>
      <c r="L8968" s="1"/>
      <c r="M8968" s="1"/>
      <c r="N8968" s="1"/>
      <c r="O8968" s="1"/>
      <c r="P8968" s="1"/>
      <c r="Q8968" s="1"/>
      <c r="R8968" s="1"/>
      <c r="S8968" s="1"/>
      <c r="T8968" s="1"/>
      <c r="U8968" s="1"/>
      <c r="V8968" s="1"/>
      <c r="W8968" s="1"/>
      <c r="X8968" s="1"/>
      <c r="Y8968" s="1"/>
      <c r="Z8968" s="1"/>
      <c r="AA8968" s="1"/>
      <c r="AB8968" s="1"/>
    </row>
    <row r="8969" ht="50.25" customHeight="1">
      <c r="A8969" s="12">
        <v>8965.0</v>
      </c>
      <c r="B8969" s="13" t="s">
        <v>8699</v>
      </c>
      <c r="C8969" s="18" t="s">
        <v>8995</v>
      </c>
      <c r="D8969" s="1"/>
      <c r="E8969" s="1"/>
      <c r="F8969" s="1" t="str">
        <f>IFERROR(__xludf.DUMMYFUNCTION("GOOGLETRANSLATE(B8969, ""en"", ""fa"")
"),"موفقیت در پادکست")</f>
        <v>موفقیت در پادکست</v>
      </c>
      <c r="G8969" s="1" t="str">
        <f>IFERROR(__xludf.DUMMYFUNCTION("GOOGLETRANSLATE(C8969, ""en"", ""fa"")
"),"چگونه از محتوا یا تخصص موجود خود، مانند پست های وبلاگ، ویدیوها یا وبینارها، برای ایجاد پیش بینی و ایجاد علاقه در راه اندازی پادکست آتی خود استفاده کنید؟")</f>
        <v>چگونه از محتوا یا تخصص موجود خود، مانند پست های وبلاگ، ویدیوها یا وبینارها، برای ایجاد پیش بینی و ایجاد علاقه در راه اندازی پادکست آتی خود استفاده کنید؟</v>
      </c>
      <c r="H8969" s="1"/>
      <c r="I8969" s="1"/>
      <c r="J8969" s="1"/>
      <c r="K8969" s="1"/>
      <c r="L8969" s="1"/>
      <c r="M8969" s="1"/>
      <c r="N8969" s="1"/>
      <c r="O8969" s="1"/>
      <c r="P8969" s="1"/>
      <c r="Q8969" s="1"/>
      <c r="R8969" s="1"/>
      <c r="S8969" s="1"/>
      <c r="T8969" s="1"/>
      <c r="U8969" s="1"/>
      <c r="V8969" s="1"/>
      <c r="W8969" s="1"/>
      <c r="X8969" s="1"/>
      <c r="Y8969" s="1"/>
      <c r="Z8969" s="1"/>
      <c r="AA8969" s="1"/>
      <c r="AB8969" s="1"/>
    </row>
    <row r="8970" ht="50.25" customHeight="1">
      <c r="A8970" s="12">
        <v>8966.0</v>
      </c>
      <c r="B8970" s="13" t="s">
        <v>8699</v>
      </c>
      <c r="C8970" s="18" t="s">
        <v>8996</v>
      </c>
      <c r="D8970" s="1"/>
      <c r="E8970" s="1"/>
      <c r="F8970" s="1" t="str">
        <f>IFERROR(__xludf.DUMMYFUNCTION("GOOGLETRANSLATE(B8970, ""en"", ""fa"")
"),"موفقیت در پادکست")</f>
        <v>موفقیت در پادکست</v>
      </c>
      <c r="G8970" s="1" t="str">
        <f>IFERROR(__xludf.DUMMYFUNCTION("GOOGLETRANSLATE(C8970, ""en"", ""fa"")
"),"راهکارهایی برای استفاده از توصیفات یا تأییدیه‌های کارشناسان صنعت، تأثیرگذاران یا شنوندگان راضی برای ایجاد اعتبار و ایجاد هیجان برای راه‌اندازی پادکست شما چیست؟")</f>
        <v>راهکارهایی برای استفاده از توصیفات یا تأییدیه‌های کارشناسان صنعت، تأثیرگذاران یا شنوندگان راضی برای ایجاد اعتبار و ایجاد هیجان برای راه‌اندازی پادکست شما چیست؟</v>
      </c>
      <c r="H8970" s="1"/>
      <c r="I8970" s="1"/>
      <c r="J8970" s="1"/>
      <c r="K8970" s="1"/>
      <c r="L8970" s="1"/>
      <c r="M8970" s="1"/>
      <c r="N8970" s="1"/>
      <c r="O8970" s="1"/>
      <c r="P8970" s="1"/>
      <c r="Q8970" s="1"/>
      <c r="R8970" s="1"/>
      <c r="S8970" s="1"/>
      <c r="T8970" s="1"/>
      <c r="U8970" s="1"/>
      <c r="V8970" s="1"/>
      <c r="W8970" s="1"/>
      <c r="X8970" s="1"/>
      <c r="Y8970" s="1"/>
      <c r="Z8970" s="1"/>
      <c r="AA8970" s="1"/>
      <c r="AB8970" s="1"/>
    </row>
    <row r="8971" ht="50.25" customHeight="1">
      <c r="A8971" s="12">
        <v>8967.0</v>
      </c>
      <c r="B8971" s="13" t="s">
        <v>8699</v>
      </c>
      <c r="C8971" s="18" t="s">
        <v>8997</v>
      </c>
      <c r="D8971" s="1"/>
      <c r="E8971" s="1"/>
      <c r="F8971" s="1" t="str">
        <f>IFERROR(__xludf.DUMMYFUNCTION("GOOGLETRANSLATE(B8971, ""en"", ""fa"")
"),"موفقیت در پادکست")</f>
        <v>موفقیت در پادکست</v>
      </c>
      <c r="G8971" s="1" t="str">
        <f>IFERROR(__xludf.DUMMYFUNCTION("GOOGLETRANSLATE(C8971, ""en"", ""fa"")
"),"چگونه می‌توان توالی‌های ایمیل با تمرکز بر راه‌اندازی جذاب، ارائه بینش‌های ارزشمند، نگاه‌های پشت صحنه، یا محتوای جایزه به فهرست ایمیل راه‌اندازی خود ایجاد کرد؟")</f>
        <v>چگونه می‌توان توالی‌های ایمیل با تمرکز بر راه‌اندازی جذاب، ارائه بینش‌های ارزشمند، نگاه‌های پشت صحنه، یا محتوای جایزه به فهرست ایمیل راه‌اندازی خود ایجاد کرد؟</v>
      </c>
      <c r="H8971" s="1"/>
      <c r="I8971" s="1"/>
      <c r="J8971" s="1"/>
      <c r="K8971" s="1"/>
      <c r="L8971" s="1"/>
      <c r="M8971" s="1"/>
      <c r="N8971" s="1"/>
      <c r="O8971" s="1"/>
      <c r="P8971" s="1"/>
      <c r="Q8971" s="1"/>
      <c r="R8971" s="1"/>
      <c r="S8971" s="1"/>
      <c r="T8971" s="1"/>
      <c r="U8971" s="1"/>
      <c r="V8971" s="1"/>
      <c r="W8971" s="1"/>
      <c r="X8971" s="1"/>
      <c r="Y8971" s="1"/>
      <c r="Z8971" s="1"/>
      <c r="AA8971" s="1"/>
      <c r="AB8971" s="1"/>
    </row>
    <row r="8972" ht="50.25" customHeight="1">
      <c r="A8972" s="12">
        <v>8968.0</v>
      </c>
      <c r="B8972" s="13" t="s">
        <v>8699</v>
      </c>
      <c r="C8972" s="18" t="s">
        <v>8998</v>
      </c>
      <c r="D8972" s="1"/>
      <c r="E8972" s="1"/>
      <c r="F8972" s="1" t="str">
        <f>IFERROR(__xludf.DUMMYFUNCTION("GOOGLETRANSLATE(B8972, ""en"", ""fa"")
"),"موفقیت در پادکست")</f>
        <v>موفقیت در پادکست</v>
      </c>
      <c r="G8972" s="1" t="str">
        <f>IFERROR(__xludf.DUMMYFUNCTION("GOOGLETRANSLATE(C8972, ""en"", ""fa"")
"),"تکنیک‌های اعمال نفوذ در جامعه، مانند میزبانی مسابقات، چالش‌ها، یا محتوای ارسالی توسط شنوندگان، برای ایجاد سر و صدا و ترویج راه‌اندازی پادکست چیست؟")</f>
        <v>تکنیک‌های اعمال نفوذ در جامعه، مانند میزبانی مسابقات، چالش‌ها، یا محتوای ارسالی توسط شنوندگان، برای ایجاد سر و صدا و ترویج راه‌اندازی پادکست چیست؟</v>
      </c>
      <c r="H8972" s="1"/>
      <c r="I8972" s="1"/>
      <c r="J8972" s="1"/>
      <c r="K8972" s="1"/>
      <c r="L8972" s="1"/>
      <c r="M8972" s="1"/>
      <c r="N8972" s="1"/>
      <c r="O8972" s="1"/>
      <c r="P8972" s="1"/>
      <c r="Q8972" s="1"/>
      <c r="R8972" s="1"/>
      <c r="S8972" s="1"/>
      <c r="T8972" s="1"/>
      <c r="U8972" s="1"/>
      <c r="V8972" s="1"/>
      <c r="W8972" s="1"/>
      <c r="X8972" s="1"/>
      <c r="Y8972" s="1"/>
      <c r="Z8972" s="1"/>
      <c r="AA8972" s="1"/>
      <c r="AB8972" s="1"/>
    </row>
    <row r="8973" ht="50.25" customHeight="1">
      <c r="A8973" s="12">
        <v>8969.0</v>
      </c>
      <c r="B8973" s="13" t="s">
        <v>8699</v>
      </c>
      <c r="C8973" s="18" t="s">
        <v>8999</v>
      </c>
      <c r="D8973" s="1"/>
      <c r="E8973" s="1"/>
      <c r="F8973" s="1" t="str">
        <f>IFERROR(__xludf.DUMMYFUNCTION("GOOGLETRANSLATE(B8973, ""en"", ""fa"")
"),"موفقیت در پادکست")</f>
        <v>موفقیت در پادکست</v>
      </c>
      <c r="G8973" s="1" t="str">
        <f>IFERROR(__xludf.DUMMYFUNCTION("GOOGLETRANSLATE(C8973, ""en"", ""fa"")
"),"چگونه می توان حضور پادکست خود را در پلتفرم های صوتی اجتماعی مانند Clubhouse یا Twitter Spaces بهینه کرد تا با شنوندگان بالقوه تعامل داشته باشد و راه اندازی آینده خود را تبلیغ کند؟")</f>
        <v>چگونه می توان حضور پادکست خود را در پلتفرم های صوتی اجتماعی مانند Clubhouse یا Twitter Spaces بهینه کرد تا با شنوندگان بالقوه تعامل داشته باشد و راه اندازی آینده خود را تبلیغ کند؟</v>
      </c>
      <c r="H8973" s="1"/>
      <c r="I8973" s="1"/>
      <c r="J8973" s="1"/>
      <c r="K8973" s="1"/>
      <c r="L8973" s="1"/>
      <c r="M8973" s="1"/>
      <c r="N8973" s="1"/>
      <c r="O8973" s="1"/>
      <c r="P8973" s="1"/>
      <c r="Q8973" s="1"/>
      <c r="R8973" s="1"/>
      <c r="S8973" s="1"/>
      <c r="T8973" s="1"/>
      <c r="U8973" s="1"/>
      <c r="V8973" s="1"/>
      <c r="W8973" s="1"/>
      <c r="X8973" s="1"/>
      <c r="Y8973" s="1"/>
      <c r="Z8973" s="1"/>
      <c r="AA8973" s="1"/>
      <c r="AB8973" s="1"/>
    </row>
    <row r="8974" ht="50.25" customHeight="1">
      <c r="A8974" s="12">
        <v>8970.0</v>
      </c>
      <c r="B8974" s="13" t="s">
        <v>8699</v>
      </c>
      <c r="C8974" s="18" t="s">
        <v>9000</v>
      </c>
      <c r="D8974" s="1"/>
      <c r="E8974" s="1"/>
      <c r="F8974" s="1" t="str">
        <f>IFERROR(__xludf.DUMMYFUNCTION("GOOGLETRANSLATE(B8974, ""en"", ""fa"")
"),"موفقیت در پادکست")</f>
        <v>موفقیت در پادکست</v>
      </c>
      <c r="G8974" s="1" t="str">
        <f>IFERROR(__xludf.DUMMYFUNCTION("GOOGLETRANSLATE(C8974, ""en"", ""fa"")
"),"برای ایجاد کنجکاوی و انتظار برای راه‌اندازی پادکست‌تان، چه راهکارهایی برای استفاده از عناصر داستان‌گویی، مانند قسمت‌های تیزر، کلیف هنجر یا توضیحات اپیزود جذاب وجود دارد؟")</f>
        <v>برای ایجاد کنجکاوی و انتظار برای راه‌اندازی پادکست‌تان، چه راهکارهایی برای استفاده از عناصر داستان‌گویی، مانند قسمت‌های تیزر، کلیف هنجر یا توضیحات اپیزود جذاب وجود دارد؟</v>
      </c>
      <c r="H8974" s="1"/>
      <c r="I8974" s="1"/>
      <c r="J8974" s="1"/>
      <c r="K8974" s="1"/>
      <c r="L8974" s="1"/>
      <c r="M8974" s="1"/>
      <c r="N8974" s="1"/>
      <c r="O8974" s="1"/>
      <c r="P8974" s="1"/>
      <c r="Q8974" s="1"/>
      <c r="R8974" s="1"/>
      <c r="S8974" s="1"/>
      <c r="T8974" s="1"/>
      <c r="U8974" s="1"/>
      <c r="V8974" s="1"/>
      <c r="W8974" s="1"/>
      <c r="X8974" s="1"/>
      <c r="Y8974" s="1"/>
      <c r="Z8974" s="1"/>
      <c r="AA8974" s="1"/>
      <c r="AB8974" s="1"/>
    </row>
    <row r="8975" ht="50.25" customHeight="1">
      <c r="A8975" s="12">
        <v>8971.0</v>
      </c>
      <c r="B8975" s="13" t="s">
        <v>8699</v>
      </c>
      <c r="C8975" s="18" t="s">
        <v>9001</v>
      </c>
      <c r="D8975" s="1"/>
      <c r="E8975" s="1"/>
      <c r="F8975" s="1" t="str">
        <f>IFERROR(__xludf.DUMMYFUNCTION("GOOGLETRANSLATE(B8975, ""en"", ""fa"")
"),"موفقیت در پادکست")</f>
        <v>موفقیت در پادکست</v>
      </c>
      <c r="G8975" s="1" t="str">
        <f>IFERROR(__xludf.DUMMYFUNCTION("GOOGLETRANSLATE(C8975, ""en"", ""fa"")
"),"چگونه از طریق پلتفرم‌های پخش زنده، مانند Twitch یا Instagram Live، میزبانی جلسات پرسش و پاسخ، قسمت‌های AMA (از من هر چیزی بپرس) یا رویدادهای راه‌اندازی انحصاری، با شنوندگان بالقوه تعامل داشته باشیم؟")</f>
        <v>چگونه از طریق پلتفرم‌های پخش زنده، مانند Twitch یا Instagram Live، میزبانی جلسات پرسش و پاسخ، قسمت‌های AMA (از من هر چیزی بپرس) یا رویدادهای راه‌اندازی انحصاری، با شنوندگان بالقوه تعامل داشته باشیم؟</v>
      </c>
      <c r="H8975" s="1"/>
      <c r="I8975" s="1"/>
      <c r="J8975" s="1"/>
      <c r="K8975" s="1"/>
      <c r="L8975" s="1"/>
      <c r="M8975" s="1"/>
      <c r="N8975" s="1"/>
      <c r="O8975" s="1"/>
      <c r="P8975" s="1"/>
      <c r="Q8975" s="1"/>
      <c r="R8975" s="1"/>
      <c r="S8975" s="1"/>
      <c r="T8975" s="1"/>
      <c r="U8975" s="1"/>
      <c r="V8975" s="1"/>
      <c r="W8975" s="1"/>
      <c r="X8975" s="1"/>
      <c r="Y8975" s="1"/>
      <c r="Z8975" s="1"/>
      <c r="AA8975" s="1"/>
      <c r="AB8975" s="1"/>
    </row>
    <row r="8976" ht="50.25" customHeight="1">
      <c r="A8976" s="12">
        <v>8972.0</v>
      </c>
      <c r="B8976" s="13" t="s">
        <v>8699</v>
      </c>
      <c r="C8976" s="18" t="s">
        <v>9002</v>
      </c>
      <c r="D8976" s="1"/>
      <c r="E8976" s="1"/>
      <c r="F8976" s="1" t="str">
        <f>IFERROR(__xludf.DUMMYFUNCTION("GOOGLETRANSLATE(B8976, ""en"", ""fa"")
"),"موفقیت در پادکست")</f>
        <v>موفقیت در پادکست</v>
      </c>
      <c r="G8976" s="1" t="str">
        <f>IFERROR(__xludf.DUMMYFUNCTION("GOOGLETRANSLATE(C8976, ""en"", ""fa"")
"),"تکنیک‌های ایجاد همکاری‌ها یا مشارکت‌های متمرکز بر راه‌اندازی با برندها، تأثیرگذاران یا سازمان‌های مرتبط برای ایجاد هیجان و گسترش دامنه دسترسی شما چیست؟")</f>
        <v>تکنیک‌های ایجاد همکاری‌ها یا مشارکت‌های متمرکز بر راه‌اندازی با برندها، تأثیرگذاران یا سازمان‌های مرتبط برای ایجاد هیجان و گسترش دامنه دسترسی شما چیست؟</v>
      </c>
      <c r="H8976" s="1"/>
      <c r="I8976" s="1"/>
      <c r="J8976" s="1"/>
      <c r="K8976" s="1"/>
      <c r="L8976" s="1"/>
      <c r="M8976" s="1"/>
      <c r="N8976" s="1"/>
      <c r="O8976" s="1"/>
      <c r="P8976" s="1"/>
      <c r="Q8976" s="1"/>
      <c r="R8976" s="1"/>
      <c r="S8976" s="1"/>
      <c r="T8976" s="1"/>
      <c r="U8976" s="1"/>
      <c r="V8976" s="1"/>
      <c r="W8976" s="1"/>
      <c r="X8976" s="1"/>
      <c r="Y8976" s="1"/>
      <c r="Z8976" s="1"/>
      <c r="AA8976" s="1"/>
      <c r="AB8976" s="1"/>
    </row>
    <row r="8977" ht="50.25" customHeight="1">
      <c r="A8977" s="12">
        <v>8973.0</v>
      </c>
      <c r="B8977" s="13" t="s">
        <v>8699</v>
      </c>
      <c r="C8977" s="18" t="s">
        <v>9003</v>
      </c>
      <c r="D8977" s="1"/>
      <c r="E8977" s="1"/>
      <c r="F8977" s="1" t="str">
        <f>IFERROR(__xludf.DUMMYFUNCTION("GOOGLETRANSLATE(B8977, ""en"", ""fa"")
"),"موفقیت در پادکست")</f>
        <v>موفقیت در پادکست</v>
      </c>
      <c r="G8977" s="1" t="str">
        <f>IFERROR(__xludf.DUMMYFUNCTION("GOOGLETRANSLATE(C8977, ""en"", ""fa"")
"),"چگونه می‌توان یک اعلان راه‌اندازی یا کیت مطبوعاتی قانع‌کننده، شامل جزئیات کلیدی، نقل قول‌ها، و تصاویر ایجاد کرد تا با رسانه‌ها، فهرست‌های پادکست و همکاران احتمالی به اشتراک بگذارد؟")</f>
        <v>چگونه می‌توان یک اعلان راه‌اندازی یا کیت مطبوعاتی قانع‌کننده، شامل جزئیات کلیدی، نقل قول‌ها، و تصاویر ایجاد کرد تا با رسانه‌ها، فهرست‌های پادکست و همکاران احتمالی به اشتراک بگذارد؟</v>
      </c>
      <c r="H8977" s="1"/>
      <c r="I8977" s="1"/>
      <c r="J8977" s="1"/>
      <c r="K8977" s="1"/>
      <c r="L8977" s="1"/>
      <c r="M8977" s="1"/>
      <c r="N8977" s="1"/>
      <c r="O8977" s="1"/>
      <c r="P8977" s="1"/>
      <c r="Q8977" s="1"/>
      <c r="R8977" s="1"/>
      <c r="S8977" s="1"/>
      <c r="T8977" s="1"/>
      <c r="U8977" s="1"/>
      <c r="V8977" s="1"/>
      <c r="W8977" s="1"/>
      <c r="X8977" s="1"/>
      <c r="Y8977" s="1"/>
      <c r="Z8977" s="1"/>
      <c r="AA8977" s="1"/>
      <c r="AB8977" s="1"/>
    </row>
    <row r="8978" ht="50.25" customHeight="1">
      <c r="A8978" s="12">
        <v>8974.0</v>
      </c>
      <c r="B8978" s="13" t="s">
        <v>8699</v>
      </c>
      <c r="C8978" s="18" t="s">
        <v>9004</v>
      </c>
      <c r="D8978" s="1"/>
      <c r="E8978" s="1"/>
      <c r="F8978" s="1" t="str">
        <f>IFERROR(__xludf.DUMMYFUNCTION("GOOGLETRANSLATE(B8978, ""en"", ""fa"")
"),"موفقیت در پادکست")</f>
        <v>موفقیت در پادکست</v>
      </c>
      <c r="G8978" s="1" t="str">
        <f>IFERROR(__xludf.DUMMYFUNCTION("GOOGLETRANSLATE(C8978, ""en"", ""fa"")
"),"استراتژی‌هایی برای استفاده از پلتفرم یا مخاطبان فعلی‌تان، مانند وبلاگ، کانال یوتیوب یا دنبال‌کننده رسانه‌های اجتماعی، برای تبلیغ راه‌اندازی پادکست و جذب شنوندگان جدید چیست؟")</f>
        <v>استراتژی‌هایی برای استفاده از پلتفرم یا مخاطبان فعلی‌تان، مانند وبلاگ، کانال یوتیوب یا دنبال‌کننده رسانه‌های اجتماعی، برای تبلیغ راه‌اندازی پادکست و جذب شنوندگان جدید چیست؟</v>
      </c>
      <c r="H8978" s="1"/>
      <c r="I8978" s="1"/>
      <c r="J8978" s="1"/>
      <c r="K8978" s="1"/>
      <c r="L8978" s="1"/>
      <c r="M8978" s="1"/>
      <c r="N8978" s="1"/>
      <c r="O8978" s="1"/>
      <c r="P8978" s="1"/>
      <c r="Q8978" s="1"/>
      <c r="R8978" s="1"/>
      <c r="S8978" s="1"/>
      <c r="T8978" s="1"/>
      <c r="U8978" s="1"/>
      <c r="V8978" s="1"/>
      <c r="W8978" s="1"/>
      <c r="X8978" s="1"/>
      <c r="Y8978" s="1"/>
      <c r="Z8978" s="1"/>
      <c r="AA8978" s="1"/>
      <c r="AB8978" s="1"/>
    </row>
    <row r="8979" ht="50.25" customHeight="1">
      <c r="A8979" s="12">
        <v>8975.0</v>
      </c>
      <c r="B8979" s="13" t="s">
        <v>8699</v>
      </c>
      <c r="C8979" s="18" t="s">
        <v>9005</v>
      </c>
      <c r="D8979" s="1"/>
      <c r="E8979" s="1"/>
      <c r="F8979" s="1" t="str">
        <f>IFERROR(__xludf.DUMMYFUNCTION("GOOGLETRANSLATE(B8979, ""en"", ""fa"")
"),"موفقیت در پادکست")</f>
        <v>موفقیت در پادکست</v>
      </c>
      <c r="G8979" s="1" t="str">
        <f>IFERROR(__xludf.DUMMYFUNCTION("GOOGLETRANSLATE(C8979, ""en"", ""fa"")
"),"چگونه می توان از حضور مهمان استراتژیک در سایر پادکست ها، رسانه ها یا رویدادهای صنعتی برای به اشتراک گذاشتن بینش در مورد راه اندازی پادکست آینده خود و ایجاد علاقه استفاده کرد؟")</f>
        <v>چگونه می توان از حضور مهمان استراتژیک در سایر پادکست ها، رسانه ها یا رویدادهای صنعتی برای به اشتراک گذاشتن بینش در مورد راه اندازی پادکست آینده خود و ایجاد علاقه استفاده کرد؟</v>
      </c>
      <c r="H8979" s="1"/>
      <c r="I8979" s="1"/>
      <c r="J8979" s="1"/>
      <c r="K8979" s="1"/>
      <c r="L8979" s="1"/>
      <c r="M8979" s="1"/>
      <c r="N8979" s="1"/>
      <c r="O8979" s="1"/>
      <c r="P8979" s="1"/>
      <c r="Q8979" s="1"/>
      <c r="R8979" s="1"/>
      <c r="S8979" s="1"/>
      <c r="T8979" s="1"/>
      <c r="U8979" s="1"/>
      <c r="V8979" s="1"/>
      <c r="W8979" s="1"/>
      <c r="X8979" s="1"/>
      <c r="Y8979" s="1"/>
      <c r="Z8979" s="1"/>
      <c r="AA8979" s="1"/>
      <c r="AB8979" s="1"/>
    </row>
    <row r="8980" ht="50.25" customHeight="1">
      <c r="A8980" s="12">
        <v>8976.0</v>
      </c>
      <c r="B8980" s="13" t="s">
        <v>8699</v>
      </c>
      <c r="C8980" s="18" t="s">
        <v>9006</v>
      </c>
      <c r="D8980" s="1"/>
      <c r="E8980" s="1"/>
      <c r="F8980" s="1" t="str">
        <f>IFERROR(__xludf.DUMMYFUNCTION("GOOGLETRANSLATE(B8980, ""en"", ""fa"")
"),"موفقیت در پادکست")</f>
        <v>موفقیت در پادکست</v>
      </c>
      <c r="G8980" s="1" t="str">
        <f>IFERROR(__xludf.DUMMYFUNCTION("GOOGLETRANSLATE(C8980, ""en"", ""fa"")
"),"تکنیک‌هایی برای گنجاندن شمارش معکوس، نگاه‌های پنهان یا پیش‌نمایش‌های انحصاری در بازاریابی راه‌اندازی پادکست برای ایجاد حس انتظار و انحصار چیست؟")</f>
        <v>تکنیک‌هایی برای گنجاندن شمارش معکوس، نگاه‌های پنهان یا پیش‌نمایش‌های انحصاری در بازاریابی راه‌اندازی پادکست برای ایجاد حس انتظار و انحصار چیست؟</v>
      </c>
      <c r="H8980" s="1"/>
      <c r="I8980" s="1"/>
      <c r="J8980" s="1"/>
      <c r="K8980" s="1"/>
      <c r="L8980" s="1"/>
      <c r="M8980" s="1"/>
      <c r="N8980" s="1"/>
      <c r="O8980" s="1"/>
      <c r="P8980" s="1"/>
      <c r="Q8980" s="1"/>
      <c r="R8980" s="1"/>
      <c r="S8980" s="1"/>
      <c r="T8980" s="1"/>
      <c r="U8980" s="1"/>
      <c r="V8980" s="1"/>
      <c r="W8980" s="1"/>
      <c r="X8980" s="1"/>
      <c r="Y8980" s="1"/>
      <c r="Z8980" s="1"/>
      <c r="AA8980" s="1"/>
      <c r="AB8980" s="1"/>
    </row>
    <row r="8981" ht="50.25" customHeight="1">
      <c r="A8981" s="12">
        <v>8977.0</v>
      </c>
      <c r="B8981" s="13" t="s">
        <v>8699</v>
      </c>
      <c r="C8981" s="18" t="s">
        <v>9007</v>
      </c>
      <c r="D8981" s="1"/>
      <c r="E8981" s="1"/>
      <c r="F8981" s="1" t="str">
        <f>IFERROR(__xludf.DUMMYFUNCTION("GOOGLETRANSLATE(B8981, ""en"", ""fa"")
"),"موفقیت در پادکست")</f>
        <v>موفقیت در پادکست</v>
      </c>
      <c r="G8981" s="1" t="str">
        <f>IFERROR(__xludf.DUMMYFUNCTION("GOOGLETRANSLATE(C8981, ""en"", ""fa"")
"),"چگونه با مخاطبان خود از طریق ارتباط شخصی، مانند پیام‌های مستقیم، ایمیل‌ها یا یادداشت‌های صوتی درگیر شوید تا ارتباط شخصی ایجاد کنید و برای راه‌اندازی پادکست خود هیجان ایجاد کنید؟")</f>
        <v>چگونه با مخاطبان خود از طریق ارتباط شخصی، مانند پیام‌های مستقیم، ایمیل‌ها یا یادداشت‌های صوتی درگیر شوید تا ارتباط شخصی ایجاد کنید و برای راه‌اندازی پادکست خود هیجان ایجاد کنید؟</v>
      </c>
      <c r="H8981" s="1"/>
      <c r="I8981" s="1"/>
      <c r="J8981" s="1"/>
      <c r="K8981" s="1"/>
      <c r="L8981" s="1"/>
      <c r="M8981" s="1"/>
      <c r="N8981" s="1"/>
      <c r="O8981" s="1"/>
      <c r="P8981" s="1"/>
      <c r="Q8981" s="1"/>
      <c r="R8981" s="1"/>
      <c r="S8981" s="1"/>
      <c r="T8981" s="1"/>
      <c r="U8981" s="1"/>
      <c r="V8981" s="1"/>
      <c r="W8981" s="1"/>
      <c r="X8981" s="1"/>
      <c r="Y8981" s="1"/>
      <c r="Z8981" s="1"/>
      <c r="AA8981" s="1"/>
      <c r="AB8981" s="1"/>
    </row>
    <row r="8982" ht="50.25" customHeight="1">
      <c r="A8982" s="12">
        <v>8978.0</v>
      </c>
      <c r="B8982" s="13" t="s">
        <v>8699</v>
      </c>
      <c r="C8982" s="18" t="s">
        <v>9008</v>
      </c>
      <c r="D8982" s="1"/>
      <c r="E8982" s="1"/>
      <c r="F8982" s="1" t="str">
        <f>IFERROR(__xludf.DUMMYFUNCTION("GOOGLETRANSLATE(B8982, ""en"", ""fa"")
"),"موفقیت در پادکست")</f>
        <v>موفقیت در پادکست</v>
      </c>
      <c r="G8982" s="1" t="str">
        <f>IFERROR(__xludf.DUMMYFUNCTION("GOOGLETRANSLATE(C8982, ""en"", ""fa"")
"),"راهبردهای استفاده از مشارکت اینفلوئنسرها یا همکاری های برند برای ایجاد محتوای حمایت شده متمرکز بر راه اندازی یا تأیید برای پادکست شما چیست؟")</f>
        <v>راهبردهای استفاده از مشارکت اینفلوئنسرها یا همکاری های برند برای ایجاد محتوای حمایت شده متمرکز بر راه اندازی یا تأیید برای پادکست شما چیست؟</v>
      </c>
      <c r="H8982" s="1"/>
      <c r="I8982" s="1"/>
      <c r="J8982" s="1"/>
      <c r="K8982" s="1"/>
      <c r="L8982" s="1"/>
      <c r="M8982" s="1"/>
      <c r="N8982" s="1"/>
      <c r="O8982" s="1"/>
      <c r="P8982" s="1"/>
      <c r="Q8982" s="1"/>
      <c r="R8982" s="1"/>
      <c r="S8982" s="1"/>
      <c r="T8982" s="1"/>
      <c r="U8982" s="1"/>
      <c r="V8982" s="1"/>
      <c r="W8982" s="1"/>
      <c r="X8982" s="1"/>
      <c r="Y8982" s="1"/>
      <c r="Z8982" s="1"/>
      <c r="AA8982" s="1"/>
      <c r="AB8982" s="1"/>
    </row>
    <row r="8983" ht="50.25" customHeight="1">
      <c r="A8983" s="12">
        <v>8979.0</v>
      </c>
      <c r="B8983" s="13" t="s">
        <v>8699</v>
      </c>
      <c r="C8983" s="18" t="s">
        <v>9009</v>
      </c>
      <c r="D8983" s="1"/>
      <c r="E8983" s="1"/>
      <c r="F8983" s="1" t="str">
        <f>IFERROR(__xludf.DUMMYFUNCTION("GOOGLETRANSLATE(B8983, ""en"", ""fa"")
"),"موفقیت در پادکست")</f>
        <v>موفقیت در پادکست</v>
      </c>
      <c r="G8983" s="1" t="str">
        <f>IFERROR(__xludf.DUMMYFUNCTION("GOOGLETRANSLATE(C8983, ""en"", ""fa"")
"),"چگونه یک مهمانی راه اندازی مجازی یا رویداد زنده را سازماندهی و میزبانی کنید، از مخاطبان، همتایان خود در صنعت و اینفلوئنسرها دعوت کنید تا انتشار پادکست خود را جشن بگیرند و سر و صدا ایجاد کنند.")</f>
        <v>چگونه یک مهمانی راه اندازی مجازی یا رویداد زنده را سازماندهی و میزبانی کنید، از مخاطبان، همتایان خود در صنعت و اینفلوئنسرها دعوت کنید تا انتشار پادکست خود را جشن بگیرند و سر و صدا ایجاد کنند.</v>
      </c>
      <c r="H8983" s="1"/>
      <c r="I8983" s="1"/>
      <c r="J8983" s="1"/>
      <c r="K8983" s="1"/>
      <c r="L8983" s="1"/>
      <c r="M8983" s="1"/>
      <c r="N8983" s="1"/>
      <c r="O8983" s="1"/>
      <c r="P8983" s="1"/>
      <c r="Q8983" s="1"/>
      <c r="R8983" s="1"/>
      <c r="S8983" s="1"/>
      <c r="T8983" s="1"/>
      <c r="U8983" s="1"/>
      <c r="V8983" s="1"/>
      <c r="W8983" s="1"/>
      <c r="X8983" s="1"/>
      <c r="Y8983" s="1"/>
      <c r="Z8983" s="1"/>
      <c r="AA8983" s="1"/>
      <c r="AB8983" s="1"/>
    </row>
    <row r="8984" ht="50.25" customHeight="1">
      <c r="A8984" s="12">
        <v>8980.0</v>
      </c>
      <c r="B8984" s="13" t="s">
        <v>8699</v>
      </c>
      <c r="C8984" s="18" t="s">
        <v>9010</v>
      </c>
      <c r="D8984" s="1"/>
      <c r="E8984" s="1"/>
      <c r="F8984" s="1" t="str">
        <f>IFERROR(__xludf.DUMMYFUNCTION("GOOGLETRANSLATE(B8984, ""en"", ""fa"")
"),"موفقیت در پادکست")</f>
        <v>موفقیت در پادکست</v>
      </c>
      <c r="G8984" s="1" t="str">
        <f>IFERROR(__xludf.DUMMYFUNCTION("GOOGLETRANSLATE(C8984, ""en"", ""fa"")
"),"اصول سئو (بهینه سازی موتور جستجو) چیست و چگونه می توان آنها را در پادکست ها اعمال کرد؟")</f>
        <v>اصول سئو (بهینه سازی موتور جستجو) چیست و چگونه می توان آنها را در پادکست ها اعمال کرد؟</v>
      </c>
      <c r="H8984" s="1"/>
      <c r="I8984" s="1"/>
      <c r="J8984" s="1"/>
      <c r="K8984" s="1"/>
      <c r="L8984" s="1"/>
      <c r="M8984" s="1"/>
      <c r="N8984" s="1"/>
      <c r="O8984" s="1"/>
      <c r="P8984" s="1"/>
      <c r="Q8984" s="1"/>
      <c r="R8984" s="1"/>
      <c r="S8984" s="1"/>
      <c r="T8984" s="1"/>
      <c r="U8984" s="1"/>
      <c r="V8984" s="1"/>
      <c r="W8984" s="1"/>
      <c r="X8984" s="1"/>
      <c r="Y8984" s="1"/>
      <c r="Z8984" s="1"/>
      <c r="AA8984" s="1"/>
      <c r="AB8984" s="1"/>
    </row>
    <row r="8985" ht="50.25" customHeight="1">
      <c r="A8985" s="12">
        <v>8981.0</v>
      </c>
      <c r="B8985" s="13" t="s">
        <v>8699</v>
      </c>
      <c r="C8985" s="18" t="s">
        <v>9011</v>
      </c>
      <c r="D8985" s="1"/>
      <c r="E8985" s="1"/>
      <c r="F8985" s="1" t="str">
        <f>IFERROR(__xludf.DUMMYFUNCTION("GOOGLETRANSLATE(B8985, ""en"", ""fa"")
"),"موفقیت در پادکست")</f>
        <v>موفقیت در پادکست</v>
      </c>
      <c r="G8985" s="1" t="str">
        <f>IFERROR(__xludf.DUMMYFUNCTION("GOOGLETRANSLATE(C8985, ""en"", ""fa"")
"),"چگونه عناوین پادکست و توضیحات خود را برای موتورهای جستجو بهینه کنیم تا قابلیت کشف را افزایش دهیم؟")</f>
        <v>چگونه عناوین پادکست و توضیحات خود را برای موتورهای جستجو بهینه کنیم تا قابلیت کشف را افزایش دهیم؟</v>
      </c>
      <c r="H8985" s="1"/>
      <c r="I8985" s="1"/>
      <c r="J8985" s="1"/>
      <c r="K8985" s="1"/>
      <c r="L8985" s="1"/>
      <c r="M8985" s="1"/>
      <c r="N8985" s="1"/>
      <c r="O8985" s="1"/>
      <c r="P8985" s="1"/>
      <c r="Q8985" s="1"/>
      <c r="R8985" s="1"/>
      <c r="S8985" s="1"/>
      <c r="T8985" s="1"/>
      <c r="U8985" s="1"/>
      <c r="V8985" s="1"/>
      <c r="W8985" s="1"/>
      <c r="X8985" s="1"/>
      <c r="Y8985" s="1"/>
      <c r="Z8985" s="1"/>
      <c r="AA8985" s="1"/>
      <c r="AB8985" s="1"/>
    </row>
    <row r="8986" ht="50.25" customHeight="1">
      <c r="A8986" s="12">
        <v>8982.0</v>
      </c>
      <c r="B8986" s="13" t="s">
        <v>8699</v>
      </c>
      <c r="C8986" s="18" t="s">
        <v>9012</v>
      </c>
      <c r="D8986" s="1"/>
      <c r="E8986" s="1"/>
      <c r="F8986" s="1" t="str">
        <f>IFERROR(__xludf.DUMMYFUNCTION("GOOGLETRANSLATE(B8986, ""en"", ""fa"")
"),"موفقیت در پادکست")</f>
        <v>موفقیت در پادکست</v>
      </c>
      <c r="G8986" s="1" t="str">
        <f>IFERROR(__xludf.DUMMYFUNCTION("GOOGLETRANSLATE(C8986, ""en"", ""fa"")
"),"بهترین روش ها برای تحقیق کلمات کلیدی در زمینه پادکست و سئو چیست؟")</f>
        <v>بهترین روش ها برای تحقیق کلمات کلیدی در زمینه پادکست و سئو چیست؟</v>
      </c>
      <c r="H8986" s="1"/>
      <c r="I8986" s="1"/>
      <c r="J8986" s="1"/>
      <c r="K8986" s="1"/>
      <c r="L8986" s="1"/>
      <c r="M8986" s="1"/>
      <c r="N8986" s="1"/>
      <c r="O8986" s="1"/>
      <c r="P8986" s="1"/>
      <c r="Q8986" s="1"/>
      <c r="R8986" s="1"/>
      <c r="S8986" s="1"/>
      <c r="T8986" s="1"/>
      <c r="U8986" s="1"/>
      <c r="V8986" s="1"/>
      <c r="W8986" s="1"/>
      <c r="X8986" s="1"/>
      <c r="Y8986" s="1"/>
      <c r="Z8986" s="1"/>
      <c r="AA8986" s="1"/>
      <c r="AB8986" s="1"/>
    </row>
    <row r="8987" ht="50.25" customHeight="1">
      <c r="A8987" s="12">
        <v>8983.0</v>
      </c>
      <c r="B8987" s="13" t="s">
        <v>8699</v>
      </c>
      <c r="C8987" s="18" t="s">
        <v>9013</v>
      </c>
      <c r="D8987" s="1"/>
      <c r="E8987" s="1"/>
      <c r="F8987" s="1" t="str">
        <f>IFERROR(__xludf.DUMMYFUNCTION("GOOGLETRANSLATE(B8987, ""en"", ""fa"")
"),"موفقیت در پادکست")</f>
        <v>موفقیت در پادکست</v>
      </c>
      <c r="G8987" s="1" t="str">
        <f>IFERROR(__xludf.DUMMYFUNCTION("GOOGLETRANSLATE(C8987, ""en"", ""fa"")
"),"چگونه کلمات کلیدی مرتبط را به طور طبیعی در قسمت های پادکست خود بگنجانیم تا رتبه بندی موتورهای جستجو را بهبود ببخشیم؟")</f>
        <v>چگونه کلمات کلیدی مرتبط را به طور طبیعی در قسمت های پادکست خود بگنجانیم تا رتبه بندی موتورهای جستجو را بهبود ببخشیم؟</v>
      </c>
      <c r="H8987" s="1"/>
      <c r="I8987" s="1"/>
      <c r="J8987" s="1"/>
      <c r="K8987" s="1"/>
      <c r="L8987" s="1"/>
      <c r="M8987" s="1"/>
      <c r="N8987" s="1"/>
      <c r="O8987" s="1"/>
      <c r="P8987" s="1"/>
      <c r="Q8987" s="1"/>
      <c r="R8987" s="1"/>
      <c r="S8987" s="1"/>
      <c r="T8987" s="1"/>
      <c r="U8987" s="1"/>
      <c r="V8987" s="1"/>
      <c r="W8987" s="1"/>
      <c r="X8987" s="1"/>
      <c r="Y8987" s="1"/>
      <c r="Z8987" s="1"/>
      <c r="AA8987" s="1"/>
      <c r="AB8987" s="1"/>
    </row>
    <row r="8988" ht="50.25" customHeight="1">
      <c r="A8988" s="12">
        <v>8984.0</v>
      </c>
      <c r="B8988" s="13" t="s">
        <v>8699</v>
      </c>
      <c r="C8988" s="18" t="s">
        <v>9014</v>
      </c>
      <c r="D8988" s="1"/>
      <c r="E8988" s="1"/>
      <c r="F8988" s="1" t="str">
        <f>IFERROR(__xludf.DUMMYFUNCTION("GOOGLETRANSLATE(B8988, ""en"", ""fa"")
"),"موفقیت در پادکست")</f>
        <v>موفقیت در پادکست</v>
      </c>
      <c r="G8988" s="1" t="str">
        <f>IFERROR(__xludf.DUMMYFUNCTION("GOOGLETRANSLATE(C8988, ""en"", ""fa"")
"),"تکنیک های موثر برای بهینه سازی عناوین و توضیحات قسمت های پادکست برای حداکثر تأثیر سئو چیست؟")</f>
        <v>تکنیک های موثر برای بهینه سازی عناوین و توضیحات قسمت های پادکست برای حداکثر تأثیر سئو چیست؟</v>
      </c>
      <c r="H8988" s="1"/>
      <c r="I8988" s="1"/>
      <c r="J8988" s="1"/>
      <c r="K8988" s="1"/>
      <c r="L8988" s="1"/>
      <c r="M8988" s="1"/>
      <c r="N8988" s="1"/>
      <c r="O8988" s="1"/>
      <c r="P8988" s="1"/>
      <c r="Q8988" s="1"/>
      <c r="R8988" s="1"/>
      <c r="S8988" s="1"/>
      <c r="T8988" s="1"/>
      <c r="U8988" s="1"/>
      <c r="V8988" s="1"/>
      <c r="W8988" s="1"/>
      <c r="X8988" s="1"/>
      <c r="Y8988" s="1"/>
      <c r="Z8988" s="1"/>
      <c r="AA8988" s="1"/>
      <c r="AB8988" s="1"/>
    </row>
    <row r="8989" ht="50.25" customHeight="1">
      <c r="A8989" s="12">
        <v>8985.0</v>
      </c>
      <c r="B8989" s="13" t="s">
        <v>8699</v>
      </c>
      <c r="C8989" s="18" t="s">
        <v>9015</v>
      </c>
      <c r="D8989" s="1"/>
      <c r="E8989" s="1"/>
      <c r="F8989" s="1" t="str">
        <f>IFERROR(__xludf.DUMMYFUNCTION("GOOGLETRANSLATE(B8989, ""en"", ""fa"")
"),"موفقیت در پادکست")</f>
        <v>موفقیت در پادکست</v>
      </c>
      <c r="G8989" s="1" t="str">
        <f>IFERROR(__xludf.DUMMYFUNCTION("GOOGLETRANSLATE(C8989, ""en"", ""fa"")
"),"چگونه وب سایت پادکست یا صفحه فرود خود را برای بهبود عملکرد سئو و افزایش ترافیک ارگانیک ساختاربندی کنیم؟")</f>
        <v>چگونه وب سایت پادکست یا صفحه فرود خود را برای بهبود عملکرد سئو و افزایش ترافیک ارگانیک ساختاربندی کنیم؟</v>
      </c>
      <c r="H8989" s="1"/>
      <c r="I8989" s="1"/>
      <c r="J8989" s="1"/>
      <c r="K8989" s="1"/>
      <c r="L8989" s="1"/>
      <c r="M8989" s="1"/>
      <c r="N8989" s="1"/>
      <c r="O8989" s="1"/>
      <c r="P8989" s="1"/>
      <c r="Q8989" s="1"/>
      <c r="R8989" s="1"/>
      <c r="S8989" s="1"/>
      <c r="T8989" s="1"/>
      <c r="U8989" s="1"/>
      <c r="V8989" s="1"/>
      <c r="W8989" s="1"/>
      <c r="X8989" s="1"/>
      <c r="Y8989" s="1"/>
      <c r="Z8989" s="1"/>
      <c r="AA8989" s="1"/>
      <c r="AB8989" s="1"/>
    </row>
    <row r="8990" ht="50.25" customHeight="1">
      <c r="A8990" s="12">
        <v>8986.0</v>
      </c>
      <c r="B8990" s="13" t="s">
        <v>8699</v>
      </c>
      <c r="C8990" s="18" t="s">
        <v>9016</v>
      </c>
      <c r="D8990" s="1"/>
      <c r="E8990" s="1"/>
      <c r="F8990" s="1" t="str">
        <f>IFERROR(__xludf.DUMMYFUNCTION("GOOGLETRANSLATE(B8990, ""en"", ""fa"")
"),"موفقیت در پادکست")</f>
        <v>موفقیت در پادکست</v>
      </c>
      <c r="G8990" s="1" t="str">
        <f>IFERROR(__xludf.DUMMYFUNCTION("GOOGLETRANSLATE(C8990, ""en"", ""fa"")
"),"استراتژی های استفاده از متا تگ ها، مانند عناوین متا و توضیحات متا، برای بهبود سئوی پادکست چیست؟")</f>
        <v>استراتژی های استفاده از متا تگ ها، مانند عناوین متا و توضیحات متا، برای بهبود سئوی پادکست چیست؟</v>
      </c>
      <c r="H8990" s="1"/>
      <c r="I8990" s="1"/>
      <c r="J8990" s="1"/>
      <c r="K8990" s="1"/>
      <c r="L8990" s="1"/>
      <c r="M8990" s="1"/>
      <c r="N8990" s="1"/>
      <c r="O8990" s="1"/>
      <c r="P8990" s="1"/>
      <c r="Q8990" s="1"/>
      <c r="R8990" s="1"/>
      <c r="S8990" s="1"/>
      <c r="T8990" s="1"/>
      <c r="U8990" s="1"/>
      <c r="V8990" s="1"/>
      <c r="W8990" s="1"/>
      <c r="X8990" s="1"/>
      <c r="Y8990" s="1"/>
      <c r="Z8990" s="1"/>
      <c r="AA8990" s="1"/>
      <c r="AB8990" s="1"/>
    </row>
    <row r="8991" ht="50.25" customHeight="1">
      <c r="A8991" s="12">
        <v>8987.0</v>
      </c>
      <c r="B8991" s="13" t="s">
        <v>8699</v>
      </c>
      <c r="C8991" s="18" t="s">
        <v>9017</v>
      </c>
      <c r="D8991" s="1"/>
      <c r="E8991" s="1"/>
      <c r="F8991" s="1" t="str">
        <f>IFERROR(__xludf.DUMMYFUNCTION("GOOGLETRANSLATE(B8991, ""en"", ""fa"")
"),"موفقیت در پادکست")</f>
        <v>موفقیت در پادکست</v>
      </c>
      <c r="G8991" s="1" t="str">
        <f>IFERROR(__xludf.DUMMYFUNCTION("GOOGLETRANSLATE(C8991, ""en"", ""fa"")
"),"چگونه از یادداشت ها و رونویسی های نمایش پادکست برای بهبود سئو و بهبود رتبه بندی موتورهای جستجو استفاده کنیم؟")</f>
        <v>چگونه از یادداشت ها و رونویسی های نمایش پادکست برای بهبود سئو و بهبود رتبه بندی موتورهای جستجو استفاده کنیم؟</v>
      </c>
      <c r="H8991" s="1"/>
      <c r="I8991" s="1"/>
      <c r="J8991" s="1"/>
      <c r="K8991" s="1"/>
      <c r="L8991" s="1"/>
      <c r="M8991" s="1"/>
      <c r="N8991" s="1"/>
      <c r="O8991" s="1"/>
      <c r="P8991" s="1"/>
      <c r="Q8991" s="1"/>
      <c r="R8991" s="1"/>
      <c r="S8991" s="1"/>
      <c r="T8991" s="1"/>
      <c r="U8991" s="1"/>
      <c r="V8991" s="1"/>
      <c r="W8991" s="1"/>
      <c r="X8991" s="1"/>
      <c r="Y8991" s="1"/>
      <c r="Z8991" s="1"/>
      <c r="AA8991" s="1"/>
      <c r="AB8991" s="1"/>
    </row>
    <row r="8992" ht="50.25" customHeight="1">
      <c r="A8992" s="12">
        <v>8988.0</v>
      </c>
      <c r="B8992" s="13" t="s">
        <v>8699</v>
      </c>
      <c r="C8992" s="18" t="s">
        <v>9018</v>
      </c>
      <c r="D8992" s="1"/>
      <c r="E8992" s="1"/>
      <c r="F8992" s="1" t="str">
        <f>IFERROR(__xludf.DUMMYFUNCTION("GOOGLETRANSLATE(B8992, ""en"", ""fa"")
"),"موفقیت در پادکست")</f>
        <v>موفقیت در پادکست</v>
      </c>
      <c r="G8992" s="1" t="str">
        <f>IFERROR(__xludf.DUMMYFUNCTION("GOOGLETRANSLATE(C8992, ""en"", ""fa"")
"),"تکنیک‌هایی برای بهینه‌سازی URL قسمت پادکست و پیوندهای دائمی برای دید بهتر در موتورهای جستجو چیست؟")</f>
        <v>تکنیک‌هایی برای بهینه‌سازی URL قسمت پادکست و پیوندهای دائمی برای دید بهتر در موتورهای جستجو چیست؟</v>
      </c>
      <c r="H8992" s="1"/>
      <c r="I8992" s="1"/>
      <c r="J8992" s="1"/>
      <c r="K8992" s="1"/>
      <c r="L8992" s="1"/>
      <c r="M8992" s="1"/>
      <c r="N8992" s="1"/>
      <c r="O8992" s="1"/>
      <c r="P8992" s="1"/>
      <c r="Q8992" s="1"/>
      <c r="R8992" s="1"/>
      <c r="S8992" s="1"/>
      <c r="T8992" s="1"/>
      <c r="U8992" s="1"/>
      <c r="V8992" s="1"/>
      <c r="W8992" s="1"/>
      <c r="X8992" s="1"/>
      <c r="Y8992" s="1"/>
      <c r="Z8992" s="1"/>
      <c r="AA8992" s="1"/>
      <c r="AB8992" s="1"/>
    </row>
    <row r="8993" ht="50.25" customHeight="1">
      <c r="A8993" s="12">
        <v>8989.0</v>
      </c>
      <c r="B8993" s="13" t="s">
        <v>8699</v>
      </c>
      <c r="C8993" s="18" t="s">
        <v>9019</v>
      </c>
      <c r="D8993" s="1"/>
      <c r="E8993" s="1"/>
      <c r="F8993" s="1" t="str">
        <f>IFERROR(__xludf.DUMMYFUNCTION("GOOGLETRANSLATE(B8993, ""en"", ""fa"")
"),"موفقیت در پادکست")</f>
        <v>موفقیت در پادکست</v>
      </c>
      <c r="G8993" s="1" t="str">
        <f>IFERROR(__xludf.DUMMYFUNCTION("GOOGLETRANSLATE(C8993, ""en"", ""fa"")
"),"چگونه می توان به طور موثر از پیوند داخلی در قسمت های پادکست و وب سایت خود برای بهبود سئو و ناوبری کاربر استفاده کرد؟")</f>
        <v>چگونه می توان به طور موثر از پیوند داخلی در قسمت های پادکست و وب سایت خود برای بهبود سئو و ناوبری کاربر استفاده کرد؟</v>
      </c>
      <c r="H8993" s="1"/>
      <c r="I8993" s="1"/>
      <c r="J8993" s="1"/>
      <c r="K8993" s="1"/>
      <c r="L8993" s="1"/>
      <c r="M8993" s="1"/>
      <c r="N8993" s="1"/>
      <c r="O8993" s="1"/>
      <c r="P8993" s="1"/>
      <c r="Q8993" s="1"/>
      <c r="R8993" s="1"/>
      <c r="S8993" s="1"/>
      <c r="T8993" s="1"/>
      <c r="U8993" s="1"/>
      <c r="V8993" s="1"/>
      <c r="W8993" s="1"/>
      <c r="X8993" s="1"/>
      <c r="Y8993" s="1"/>
      <c r="Z8993" s="1"/>
      <c r="AA8993" s="1"/>
      <c r="AB8993" s="1"/>
    </row>
    <row r="8994" ht="50.25" customHeight="1">
      <c r="A8994" s="12">
        <v>8990.0</v>
      </c>
      <c r="B8994" s="13" t="s">
        <v>8699</v>
      </c>
      <c r="C8994" s="18" t="s">
        <v>9020</v>
      </c>
      <c r="D8994" s="1"/>
      <c r="E8994" s="1"/>
      <c r="F8994" s="1" t="str">
        <f>IFERROR(__xludf.DUMMYFUNCTION("GOOGLETRANSLATE(B8994, ""en"", ""fa"")
"),"موفقیت در پادکست")</f>
        <v>موفقیت در پادکست</v>
      </c>
      <c r="G8994" s="1" t="str">
        <f>IFERROR(__xludf.DUMMYFUNCTION("GOOGLETRANSLATE(C8994, ""en"", ""fa"")
"),"راهکارهای بهینه سازی فایل های صوتی پادکست مانند نام گذاری فایل ها، متادیتا و برچسب گذاری برای بهبود سئو چیست؟")</f>
        <v>راهکارهای بهینه سازی فایل های صوتی پادکست مانند نام گذاری فایل ها، متادیتا و برچسب گذاری برای بهبود سئو چیست؟</v>
      </c>
      <c r="H8994" s="1"/>
      <c r="I8994" s="1"/>
      <c r="J8994" s="1"/>
      <c r="K8994" s="1"/>
      <c r="L8994" s="1"/>
      <c r="M8994" s="1"/>
      <c r="N8994" s="1"/>
      <c r="O8994" s="1"/>
      <c r="P8994" s="1"/>
      <c r="Q8994" s="1"/>
      <c r="R8994" s="1"/>
      <c r="S8994" s="1"/>
      <c r="T8994" s="1"/>
      <c r="U8994" s="1"/>
      <c r="V8994" s="1"/>
      <c r="W8994" s="1"/>
      <c r="X8994" s="1"/>
      <c r="Y8994" s="1"/>
      <c r="Z8994" s="1"/>
      <c r="AA8994" s="1"/>
      <c r="AB8994" s="1"/>
    </row>
    <row r="8995" ht="50.25" customHeight="1">
      <c r="A8995" s="12">
        <v>8991.0</v>
      </c>
      <c r="B8995" s="13" t="s">
        <v>8699</v>
      </c>
      <c r="C8995" s="18" t="s">
        <v>9021</v>
      </c>
      <c r="D8995" s="1"/>
      <c r="E8995" s="1"/>
      <c r="F8995" s="1" t="str">
        <f>IFERROR(__xludf.DUMMYFUNCTION("GOOGLETRANSLATE(B8995, ""en"", ""fa"")
"),"موفقیت در پادکست")</f>
        <v>موفقیت در پادکست</v>
      </c>
      <c r="G8995" s="1" t="str">
        <f>IFERROR(__xludf.DUMMYFUNCTION("GOOGLETRANSLATE(C8995, ""en"", ""fa"")
"),"چگونه می توان تصاویر پادکست، مانند هنر جلد اپیزود و گرافیک وب سایت را برای SEO و نتایج جستجوی بصری بهتر بهینه کرد؟")</f>
        <v>چگونه می توان تصاویر پادکست، مانند هنر جلد اپیزود و گرافیک وب سایت را برای SEO و نتایج جستجوی بصری بهتر بهینه کرد؟</v>
      </c>
      <c r="H8995" s="1"/>
      <c r="I8995" s="1"/>
      <c r="J8995" s="1"/>
      <c r="K8995" s="1"/>
      <c r="L8995" s="1"/>
      <c r="M8995" s="1"/>
      <c r="N8995" s="1"/>
      <c r="O8995" s="1"/>
      <c r="P8995" s="1"/>
      <c r="Q8995" s="1"/>
      <c r="R8995" s="1"/>
      <c r="S8995" s="1"/>
      <c r="T8995" s="1"/>
      <c r="U8995" s="1"/>
      <c r="V8995" s="1"/>
      <c r="W8995" s="1"/>
      <c r="X8995" s="1"/>
      <c r="Y8995" s="1"/>
      <c r="Z8995" s="1"/>
      <c r="AA8995" s="1"/>
      <c r="AB8995" s="1"/>
    </row>
    <row r="8996" ht="50.25" customHeight="1">
      <c r="A8996" s="12">
        <v>8992.0</v>
      </c>
      <c r="B8996" s="13" t="s">
        <v>8699</v>
      </c>
      <c r="C8996" s="18" t="s">
        <v>9022</v>
      </c>
      <c r="D8996" s="1"/>
      <c r="E8996" s="1"/>
      <c r="F8996" s="1" t="str">
        <f>IFERROR(__xludf.DUMMYFUNCTION("GOOGLETRANSLATE(B8996, ""en"", ""fa"")
"),"موفقیت در پادکست")</f>
        <v>موفقیت در پادکست</v>
      </c>
      <c r="G8996" s="1" t="str">
        <f>IFERROR(__xludf.DUMMYFUNCTION("GOOGLETRANSLATE(C8996, ""en"", ""fa"")
"),"تکنیک‌های استفاده از نشانه‌گذاری طرحواره و داده‌های ساختاریافته برای افزایش دید پادکست در نتایج موتورهای جستجو چیست؟")</f>
        <v>تکنیک‌های استفاده از نشانه‌گذاری طرحواره و داده‌های ساختاریافته برای افزایش دید پادکست در نتایج موتورهای جستجو چیست؟</v>
      </c>
      <c r="H8996" s="1"/>
      <c r="I8996" s="1"/>
      <c r="J8996" s="1"/>
      <c r="K8996" s="1"/>
      <c r="L8996" s="1"/>
      <c r="M8996" s="1"/>
      <c r="N8996" s="1"/>
      <c r="O8996" s="1"/>
      <c r="P8996" s="1"/>
      <c r="Q8996" s="1"/>
      <c r="R8996" s="1"/>
      <c r="S8996" s="1"/>
      <c r="T8996" s="1"/>
      <c r="U8996" s="1"/>
      <c r="V8996" s="1"/>
      <c r="W8996" s="1"/>
      <c r="X8996" s="1"/>
      <c r="Y8996" s="1"/>
      <c r="Z8996" s="1"/>
      <c r="AA8996" s="1"/>
      <c r="AB8996" s="1"/>
    </row>
    <row r="8997" ht="50.25" customHeight="1">
      <c r="A8997" s="12">
        <v>8993.0</v>
      </c>
      <c r="B8997" s="13" t="s">
        <v>8699</v>
      </c>
      <c r="C8997" s="18" t="s">
        <v>9023</v>
      </c>
      <c r="D8997" s="1"/>
      <c r="E8997" s="1"/>
      <c r="F8997" s="1" t="str">
        <f>IFERROR(__xludf.DUMMYFUNCTION("GOOGLETRANSLATE(B8997, ""en"", ""fa"")
"),"موفقیت در پادکست")</f>
        <v>موفقیت در پادکست</v>
      </c>
      <c r="G8997" s="1" t="str">
        <f>IFERROR(__xludf.DUMMYFUNCTION("GOOGLETRANSLATE(C8997, ""en"", ""fa"")
"),"چگونه فید RSS پادکست خود را برای نمایه سازی و کشف بهتر توسط موتورهای جستجو بهینه کنیم؟")</f>
        <v>چگونه فید RSS پادکست خود را برای نمایه سازی و کشف بهتر توسط موتورهای جستجو بهینه کنیم؟</v>
      </c>
      <c r="H8997" s="1"/>
      <c r="I8997" s="1"/>
      <c r="J8997" s="1"/>
      <c r="K8997" s="1"/>
      <c r="L8997" s="1"/>
      <c r="M8997" s="1"/>
      <c r="N8997" s="1"/>
      <c r="O8997" s="1"/>
      <c r="P8997" s="1"/>
      <c r="Q8997" s="1"/>
      <c r="R8997" s="1"/>
      <c r="S8997" s="1"/>
      <c r="T8997" s="1"/>
      <c r="U8997" s="1"/>
      <c r="V8997" s="1"/>
      <c r="W8997" s="1"/>
      <c r="X8997" s="1"/>
      <c r="Y8997" s="1"/>
      <c r="Z8997" s="1"/>
      <c r="AA8997" s="1"/>
      <c r="AB8997" s="1"/>
    </row>
    <row r="8998" ht="50.25" customHeight="1">
      <c r="A8998" s="12">
        <v>8994.0</v>
      </c>
      <c r="B8998" s="13" t="s">
        <v>8699</v>
      </c>
      <c r="C8998" s="18" t="s">
        <v>9024</v>
      </c>
      <c r="D8998" s="1"/>
      <c r="E8998" s="1"/>
      <c r="F8998" s="1" t="str">
        <f>IFERROR(__xludf.DUMMYFUNCTION("GOOGLETRANSLATE(B8998, ""en"", ""fa"")
"),"موفقیت در پادکست")</f>
        <v>موفقیت در پادکست</v>
      </c>
      <c r="G8998" s="1" t="str">
        <f>IFERROR(__xludf.DUMMYFUNCTION("GOOGLETRANSLATE(C8998, ""en"", ""fa"")
"),"استراتژی‌های استفاده از نقشه‌های سایت XML برای بهبود خزیدن در موتورهای جستجو و نمایه‌سازی قسمت‌های پادکست شما چیست؟")</f>
        <v>استراتژی‌های استفاده از نقشه‌های سایت XML برای بهبود خزیدن در موتورهای جستجو و نمایه‌سازی قسمت‌های پادکست شما چیست؟</v>
      </c>
      <c r="H8998" s="1"/>
      <c r="I8998" s="1"/>
      <c r="J8998" s="1"/>
      <c r="K8998" s="1"/>
      <c r="L8998" s="1"/>
      <c r="M8998" s="1"/>
      <c r="N8998" s="1"/>
      <c r="O8998" s="1"/>
      <c r="P8998" s="1"/>
      <c r="Q8998" s="1"/>
      <c r="R8998" s="1"/>
      <c r="S8998" s="1"/>
      <c r="T8998" s="1"/>
      <c r="U8998" s="1"/>
      <c r="V8998" s="1"/>
      <c r="W8998" s="1"/>
      <c r="X8998" s="1"/>
      <c r="Y8998" s="1"/>
      <c r="Z8998" s="1"/>
      <c r="AA8998" s="1"/>
      <c r="AB8998" s="1"/>
    </row>
    <row r="8999" ht="50.25" customHeight="1">
      <c r="A8999" s="12">
        <v>8995.0</v>
      </c>
      <c r="B8999" s="13" t="s">
        <v>8699</v>
      </c>
      <c r="C8999" s="18" t="s">
        <v>9025</v>
      </c>
      <c r="D8999" s="1"/>
      <c r="E8999" s="1"/>
      <c r="F8999" s="1" t="str">
        <f>IFERROR(__xludf.DUMMYFUNCTION("GOOGLETRANSLATE(B8999, ""en"", ""fa"")
"),"موفقیت در پادکست")</f>
        <v>موفقیت در پادکست</v>
      </c>
      <c r="G8999" s="1" t="str">
        <f>IFERROR(__xludf.DUMMYFUNCTION("GOOGLETRANSLATE(C8999, ""en"", ""fa"")
"),"چگونه کلمات کلیدی و عبارات طولانی را در محتوای پادکست خود بگنجانیم تا عبارات جستجوی خاص را هدف قرار داده و شنوندگان مرتبط را جذب کنیم؟")</f>
        <v>چگونه کلمات کلیدی و عبارات طولانی را در محتوای پادکست خود بگنجانیم تا عبارات جستجوی خاص را هدف قرار داده و شنوندگان مرتبط را جذب کنیم؟</v>
      </c>
      <c r="H8999" s="1"/>
      <c r="I8999" s="1"/>
      <c r="J8999" s="1"/>
      <c r="K8999" s="1"/>
      <c r="L8999" s="1"/>
      <c r="M8999" s="1"/>
      <c r="N8999" s="1"/>
      <c r="O8999" s="1"/>
      <c r="P8999" s="1"/>
      <c r="Q8999" s="1"/>
      <c r="R8999" s="1"/>
      <c r="S8999" s="1"/>
      <c r="T8999" s="1"/>
      <c r="U8999" s="1"/>
      <c r="V8999" s="1"/>
      <c r="W8999" s="1"/>
      <c r="X8999" s="1"/>
      <c r="Y8999" s="1"/>
      <c r="Z8999" s="1"/>
      <c r="AA8999" s="1"/>
      <c r="AB8999" s="1"/>
    </row>
    <row r="9000" ht="50.25" customHeight="1">
      <c r="A9000" s="12">
        <v>8996.0</v>
      </c>
      <c r="B9000" s="13" t="s">
        <v>8699</v>
      </c>
      <c r="C9000" s="18" t="s">
        <v>9026</v>
      </c>
      <c r="D9000" s="1"/>
      <c r="E9000" s="1"/>
      <c r="F9000" s="1" t="str">
        <f>IFERROR(__xludf.DUMMYFUNCTION("GOOGLETRANSLATE(B9000, ""en"", ""fa"")
"),"موفقیت در پادکست")</f>
        <v>موفقیت در پادکست</v>
      </c>
      <c r="G9000" s="1" t="str">
        <f>IFERROR(__xludf.DUMMYFUNCTION("GOOGLETRANSLATE(C9000, ""en"", ""fa"")
"),"تکنیک‌هایی برای بهینه‌سازی پروفایل‌های رسانه‌های اجتماعی پادکست، مانند فهرست‌های راهنما و پلتفرم‌های پادکست، برای دیده شدن بهتر در موتورهای جستجو چیست؟")</f>
        <v>تکنیک‌هایی برای بهینه‌سازی پروفایل‌های رسانه‌های اجتماعی پادکست، مانند فهرست‌های راهنما و پلتفرم‌های پادکست، برای دیده شدن بهتر در موتورهای جستجو چیست؟</v>
      </c>
      <c r="H9000" s="1"/>
      <c r="I9000" s="1"/>
      <c r="J9000" s="1"/>
      <c r="K9000" s="1"/>
      <c r="L9000" s="1"/>
      <c r="M9000" s="1"/>
      <c r="N9000" s="1"/>
      <c r="O9000" s="1"/>
      <c r="P9000" s="1"/>
      <c r="Q9000" s="1"/>
      <c r="R9000" s="1"/>
      <c r="S9000" s="1"/>
      <c r="T9000" s="1"/>
      <c r="U9000" s="1"/>
      <c r="V9000" s="1"/>
      <c r="W9000" s="1"/>
      <c r="X9000" s="1"/>
      <c r="Y9000" s="1"/>
      <c r="Z9000" s="1"/>
      <c r="AA9000" s="1"/>
      <c r="AB9000" s="1"/>
    </row>
    <row r="9001" ht="50.25" customHeight="1">
      <c r="A9001" s="12">
        <v>8997.0</v>
      </c>
      <c r="B9001" s="13" t="s">
        <v>8699</v>
      </c>
      <c r="C9001" s="18" t="s">
        <v>9027</v>
      </c>
      <c r="D9001" s="1"/>
      <c r="E9001" s="1"/>
      <c r="F9001" s="1" t="str">
        <f>IFERROR(__xludf.DUMMYFUNCTION("GOOGLETRANSLATE(B9001, ""en"", ""fa"")
"),"موفقیت در پادکست")</f>
        <v>موفقیت در پادکست</v>
      </c>
      <c r="G9001" s="1" t="str">
        <f>IFERROR(__xludf.DUMMYFUNCTION("GOOGLETRANSLATE(C9001, ""en"", ""fa"")
"),"چگونه می توان به طور موثر از پیوندهای خارجی و بک لینک ها برای بهبود قدرت سئو پادکست و رتبه بندی موتورهای جستجو استفاده کرد؟")</f>
        <v>چگونه می توان به طور موثر از پیوندهای خارجی و بک لینک ها برای بهبود قدرت سئو پادکست و رتبه بندی موتورهای جستجو استفاده کرد؟</v>
      </c>
      <c r="H9001" s="1"/>
      <c r="I9001" s="1"/>
      <c r="J9001" s="1"/>
      <c r="K9001" s="1"/>
      <c r="L9001" s="1"/>
      <c r="M9001" s="1"/>
      <c r="N9001" s="1"/>
      <c r="O9001" s="1"/>
      <c r="P9001" s="1"/>
      <c r="Q9001" s="1"/>
      <c r="R9001" s="1"/>
      <c r="S9001" s="1"/>
      <c r="T9001" s="1"/>
      <c r="U9001" s="1"/>
      <c r="V9001" s="1"/>
      <c r="W9001" s="1"/>
      <c r="X9001" s="1"/>
      <c r="Y9001" s="1"/>
      <c r="Z9001" s="1"/>
      <c r="AA9001" s="1"/>
      <c r="AB9001" s="1"/>
    </row>
    <row r="9002" ht="50.25" customHeight="1">
      <c r="A9002" s="12">
        <v>8998.0</v>
      </c>
      <c r="B9002" s="13" t="s">
        <v>8699</v>
      </c>
      <c r="C9002" s="18" t="s">
        <v>9028</v>
      </c>
      <c r="D9002" s="1"/>
      <c r="E9002" s="1"/>
      <c r="F9002" s="1" t="str">
        <f>IFERROR(__xludf.DUMMYFUNCTION("GOOGLETRANSLATE(B9002, ""en"", ""fa"")
"),"موفقیت در پادکست")</f>
        <v>موفقیت در پادکست</v>
      </c>
      <c r="G9002" s="1" t="str">
        <f>IFERROR(__xludf.DUMMYFUNCTION("GOOGLETRANSLATE(C9002, ""en"", ""fa"")
"),"استراتژی‌هایی برای استفاده از محتوای تولید شده توسط کاربر، مانند نظرات شنوندگان و توصیه‌ها، برای افزایش سئو و اعتبار پادکست شما چیست؟")</f>
        <v>استراتژی‌هایی برای استفاده از محتوای تولید شده توسط کاربر، مانند نظرات شنوندگان و توصیه‌ها، برای افزایش سئو و اعتبار پادکست شما چیست؟</v>
      </c>
      <c r="H9002" s="1"/>
      <c r="I9002" s="1"/>
      <c r="J9002" s="1"/>
      <c r="K9002" s="1"/>
      <c r="L9002" s="1"/>
      <c r="M9002" s="1"/>
      <c r="N9002" s="1"/>
      <c r="O9002" s="1"/>
      <c r="P9002" s="1"/>
      <c r="Q9002" s="1"/>
      <c r="R9002" s="1"/>
      <c r="S9002" s="1"/>
      <c r="T9002" s="1"/>
      <c r="U9002" s="1"/>
      <c r="V9002" s="1"/>
      <c r="W9002" s="1"/>
      <c r="X9002" s="1"/>
      <c r="Y9002" s="1"/>
      <c r="Z9002" s="1"/>
      <c r="AA9002" s="1"/>
      <c r="AB9002" s="1"/>
    </row>
    <row r="9003" ht="50.25" customHeight="1">
      <c r="A9003" s="12">
        <v>8999.0</v>
      </c>
      <c r="B9003" s="13" t="s">
        <v>8699</v>
      </c>
      <c r="C9003" s="18" t="s">
        <v>9029</v>
      </c>
      <c r="D9003" s="1"/>
      <c r="E9003" s="1"/>
      <c r="F9003" s="1" t="str">
        <f>IFERROR(__xludf.DUMMYFUNCTION("GOOGLETRANSLATE(B9003, ""en"", ""fa"")
"),"موفقیت در پادکست")</f>
        <v>موفقیت در پادکست</v>
      </c>
      <c r="G9003" s="1" t="str">
        <f>IFERROR(__xludf.DUMMYFUNCTION("GOOGLETRANSLATE(C9003, ""en"", ""fa"")
"),"چگونه مدت زمان و مُهرهای قسمت پادکست را برای بهبود دید موتور جستجو و تعامل کاربر بهینه کنیم؟")</f>
        <v>چگونه مدت زمان و مُهرهای قسمت پادکست را برای بهبود دید موتور جستجو و تعامل کاربر بهینه کنیم؟</v>
      </c>
      <c r="H9003" s="1"/>
      <c r="I9003" s="1"/>
      <c r="J9003" s="1"/>
      <c r="K9003" s="1"/>
      <c r="L9003" s="1"/>
      <c r="M9003" s="1"/>
      <c r="N9003" s="1"/>
      <c r="O9003" s="1"/>
      <c r="P9003" s="1"/>
      <c r="Q9003" s="1"/>
      <c r="R9003" s="1"/>
      <c r="S9003" s="1"/>
      <c r="T9003" s="1"/>
      <c r="U9003" s="1"/>
      <c r="V9003" s="1"/>
      <c r="W9003" s="1"/>
      <c r="X9003" s="1"/>
      <c r="Y9003" s="1"/>
      <c r="Z9003" s="1"/>
      <c r="AA9003" s="1"/>
      <c r="AB9003" s="1"/>
    </row>
    <row r="9004" ht="50.25" customHeight="1">
      <c r="A9004" s="12">
        <v>9000.0</v>
      </c>
      <c r="B9004" s="13" t="s">
        <v>8699</v>
      </c>
      <c r="C9004" s="18" t="s">
        <v>9030</v>
      </c>
      <c r="D9004" s="1"/>
      <c r="E9004" s="1"/>
      <c r="F9004" s="1" t="str">
        <f>IFERROR(__xludf.DUMMYFUNCTION("GOOGLETRANSLATE(B9004, ""en"", ""fa"")
"),"موفقیت در پادکست")</f>
        <v>موفقیت در پادکست</v>
      </c>
      <c r="G9004" s="1" t="str">
        <f>IFERROR(__xludf.DUMMYFUNCTION("GOOGLETRANSLATE(C9004, ""en"", ""fa"")
"),"تکنیک های استفاده از URL های سئو و ساختار پیوند ثابت برای قسمت های پادکست و صفحات وب سایت شما چیست؟")</f>
        <v>تکنیک های استفاده از URL های سئو و ساختار پیوند ثابت برای قسمت های پادکست و صفحات وب سایت شما چیست؟</v>
      </c>
      <c r="H9004" s="1"/>
      <c r="I9004" s="1"/>
      <c r="J9004" s="1"/>
      <c r="K9004" s="1"/>
      <c r="L9004" s="1"/>
      <c r="M9004" s="1"/>
      <c r="N9004" s="1"/>
      <c r="O9004" s="1"/>
      <c r="P9004" s="1"/>
      <c r="Q9004" s="1"/>
      <c r="R9004" s="1"/>
      <c r="S9004" s="1"/>
      <c r="T9004" s="1"/>
      <c r="U9004" s="1"/>
      <c r="V9004" s="1"/>
      <c r="W9004" s="1"/>
      <c r="X9004" s="1"/>
      <c r="Y9004" s="1"/>
      <c r="Z9004" s="1"/>
      <c r="AA9004" s="1"/>
      <c r="AB9004" s="1"/>
    </row>
    <row r="9005" ht="50.25" customHeight="1">
      <c r="A9005" s="12">
        <v>9001.0</v>
      </c>
      <c r="B9005" s="13" t="s">
        <v>8699</v>
      </c>
      <c r="C9005" s="18" t="s">
        <v>9031</v>
      </c>
      <c r="D9005" s="1"/>
      <c r="E9005" s="1"/>
      <c r="F9005" s="1" t="str">
        <f>IFERROR(__xludf.DUMMYFUNCTION("GOOGLETRANSLATE(B9005, ""en"", ""fa"")
"),"موفقیت در پادکست")</f>
        <v>موفقیت در پادکست</v>
      </c>
      <c r="G9005" s="1" t="str">
        <f>IFERROR(__xludf.DUMMYFUNCTION("GOOGLETRANSLATE(C9005, ""en"", ""fa"")
"),"چگونه می توان تجزیه و تحلیل رقبا و تحقیق کلمات کلیدی را برای شناسایی فرصت های بهینه سازی SEO در جایگاه پادکست خود انجام داد؟")</f>
        <v>چگونه می توان تجزیه و تحلیل رقبا و تحقیق کلمات کلیدی را برای شناسایی فرصت های بهینه سازی SEO در جایگاه پادکست خود انجام داد؟</v>
      </c>
      <c r="H9005" s="1"/>
      <c r="I9005" s="1"/>
      <c r="J9005" s="1"/>
      <c r="K9005" s="1"/>
      <c r="L9005" s="1"/>
      <c r="M9005" s="1"/>
      <c r="N9005" s="1"/>
      <c r="O9005" s="1"/>
      <c r="P9005" s="1"/>
      <c r="Q9005" s="1"/>
      <c r="R9005" s="1"/>
      <c r="S9005" s="1"/>
      <c r="T9005" s="1"/>
      <c r="U9005" s="1"/>
      <c r="V9005" s="1"/>
      <c r="W9005" s="1"/>
      <c r="X9005" s="1"/>
      <c r="Y9005" s="1"/>
      <c r="Z9005" s="1"/>
      <c r="AA9005" s="1"/>
      <c r="AB9005" s="1"/>
    </row>
    <row r="9006" ht="50.25" customHeight="1">
      <c r="A9006" s="12">
        <v>9002.0</v>
      </c>
      <c r="B9006" s="13" t="s">
        <v>8699</v>
      </c>
      <c r="C9006" s="18" t="s">
        <v>9032</v>
      </c>
      <c r="D9006" s="1"/>
      <c r="E9006" s="1"/>
      <c r="F9006" s="1" t="str">
        <f>IFERROR(__xludf.DUMMYFUNCTION("GOOGLETRANSLATE(B9006, ""en"", ""fa"")
"),"موفقیت در پادکست")</f>
        <v>موفقیت در پادکست</v>
      </c>
      <c r="G9006" s="1" t="str">
        <f>IFERROR(__xludf.DUMMYFUNCTION("GOOGLETRANSLATE(C9006, ""en"", ""fa"")
"),"استراتژی‌هایی برای بهینه‌سازی سازگاری و پاسخ‌دهی پادکست با موبایل برای رتبه‌بندی بهتر در موتورهای جستجو چیست؟")</f>
        <v>استراتژی‌هایی برای بهینه‌سازی سازگاری و پاسخ‌دهی پادکست با موبایل برای رتبه‌بندی بهتر در موتورهای جستجو چیست؟</v>
      </c>
      <c r="H9006" s="1"/>
      <c r="I9006" s="1"/>
      <c r="J9006" s="1"/>
      <c r="K9006" s="1"/>
      <c r="L9006" s="1"/>
      <c r="M9006" s="1"/>
      <c r="N9006" s="1"/>
      <c r="O9006" s="1"/>
      <c r="P9006" s="1"/>
      <c r="Q9006" s="1"/>
      <c r="R9006" s="1"/>
      <c r="S9006" s="1"/>
      <c r="T9006" s="1"/>
      <c r="U9006" s="1"/>
      <c r="V9006" s="1"/>
      <c r="W9006" s="1"/>
      <c r="X9006" s="1"/>
      <c r="Y9006" s="1"/>
      <c r="Z9006" s="1"/>
      <c r="AA9006" s="1"/>
      <c r="AB9006" s="1"/>
    </row>
    <row r="9007" ht="50.25" customHeight="1">
      <c r="A9007" s="12">
        <v>9003.0</v>
      </c>
      <c r="B9007" s="13" t="s">
        <v>8699</v>
      </c>
      <c r="C9007" s="18" t="s">
        <v>9033</v>
      </c>
      <c r="D9007" s="1"/>
      <c r="E9007" s="1"/>
      <c r="F9007" s="1" t="str">
        <f>IFERROR(__xludf.DUMMYFUNCTION("GOOGLETRANSLATE(B9007, ""en"", ""fa"")
"),"موفقیت در پادکست")</f>
        <v>موفقیت در پادکست</v>
      </c>
      <c r="G9007" s="1" t="str">
        <f>IFERROR(__xludf.DUMMYFUNCTION("GOOGLETRANSLATE(C9007, ""en"", ""fa"")
"),"چگونه می‌توان محتوای پادکست با کیفیت و جذاب ایجاد کرد که با بهترین شیوه‌های سئو مطابقت داشته باشد و ترافیک جستجوی ارگانیک را جذب کند؟")</f>
        <v>چگونه می‌توان محتوای پادکست با کیفیت و جذاب ایجاد کرد که با بهترین شیوه‌های سئو مطابقت داشته باشد و ترافیک جستجوی ارگانیک را جذب کند؟</v>
      </c>
      <c r="H9007" s="1"/>
      <c r="I9007" s="1"/>
      <c r="J9007" s="1"/>
      <c r="K9007" s="1"/>
      <c r="L9007" s="1"/>
      <c r="M9007" s="1"/>
      <c r="N9007" s="1"/>
      <c r="O9007" s="1"/>
      <c r="P9007" s="1"/>
      <c r="Q9007" s="1"/>
      <c r="R9007" s="1"/>
      <c r="S9007" s="1"/>
      <c r="T9007" s="1"/>
      <c r="U9007" s="1"/>
      <c r="V9007" s="1"/>
      <c r="W9007" s="1"/>
      <c r="X9007" s="1"/>
      <c r="Y9007" s="1"/>
      <c r="Z9007" s="1"/>
      <c r="AA9007" s="1"/>
      <c r="AB9007" s="1"/>
    </row>
    <row r="9008" ht="50.25" customHeight="1">
      <c r="A9008" s="12">
        <v>9004.0</v>
      </c>
      <c r="B9008" s="13" t="s">
        <v>8699</v>
      </c>
      <c r="C9008" s="18" t="s">
        <v>9034</v>
      </c>
      <c r="D9008" s="1"/>
      <c r="E9008" s="1"/>
      <c r="F9008" s="1" t="str">
        <f>IFERROR(__xludf.DUMMYFUNCTION("GOOGLETRANSLATE(B9008, ""en"", ""fa"")
"),"موفقیت در پادکست")</f>
        <v>موفقیت در پادکست</v>
      </c>
      <c r="G9008" s="1" t="str">
        <f>IFERROR(__xludf.DUMMYFUNCTION("GOOGLETRANSLATE(C9008, ""en"", ""fa"")
"),"تکنیک های استفاده از سیگنال های اجتماعی مانند اشتراک گذاری، لایک و کامنت برای بهبود عملکرد سئوی پادکست شما چیست؟")</f>
        <v>تکنیک های استفاده از سیگنال های اجتماعی مانند اشتراک گذاری، لایک و کامنت برای بهبود عملکرد سئوی پادکست شما چیست؟</v>
      </c>
      <c r="H9008" s="1"/>
      <c r="I9008" s="1"/>
      <c r="J9008" s="1"/>
      <c r="K9008" s="1"/>
      <c r="L9008" s="1"/>
      <c r="M9008" s="1"/>
      <c r="N9008" s="1"/>
      <c r="O9008" s="1"/>
      <c r="P9008" s="1"/>
      <c r="Q9008" s="1"/>
      <c r="R9008" s="1"/>
      <c r="S9008" s="1"/>
      <c r="T9008" s="1"/>
      <c r="U9008" s="1"/>
      <c r="V9008" s="1"/>
      <c r="W9008" s="1"/>
      <c r="X9008" s="1"/>
      <c r="Y9008" s="1"/>
      <c r="Z9008" s="1"/>
      <c r="AA9008" s="1"/>
      <c r="AB9008" s="1"/>
    </row>
    <row r="9009" ht="50.25" customHeight="1">
      <c r="A9009" s="12">
        <v>9005.0</v>
      </c>
      <c r="B9009" s="13" t="s">
        <v>8699</v>
      </c>
      <c r="C9009" s="18" t="s">
        <v>9035</v>
      </c>
      <c r="D9009" s="1"/>
      <c r="E9009" s="1"/>
      <c r="F9009" s="1" t="str">
        <f>IFERROR(__xludf.DUMMYFUNCTION("GOOGLETRANSLATE(B9009, ""en"", ""fa"")
"),"موفقیت در پادکست")</f>
        <v>موفقیت در پادکست</v>
      </c>
      <c r="G9009" s="1" t="str">
        <f>IFERROR(__xludf.DUMMYFUNCTION("GOOGLETRANSLATE(C9009, ""en"", ""fa"")
"),"چگونه می توان توضیحات قسمت پادکست و نمایش یادداشت ها را برای قطعه های برجسته و نتایج جستجوی غنی در موتورهای جستجو بهینه کرد؟")</f>
        <v>چگونه می توان توضیحات قسمت پادکست و نمایش یادداشت ها را برای قطعه های برجسته و نتایج جستجوی غنی در موتورهای جستجو بهینه کرد؟</v>
      </c>
      <c r="H9009" s="1"/>
      <c r="I9009" s="1"/>
      <c r="J9009" s="1"/>
      <c r="K9009" s="1"/>
      <c r="L9009" s="1"/>
      <c r="M9009" s="1"/>
      <c r="N9009" s="1"/>
      <c r="O9009" s="1"/>
      <c r="P9009" s="1"/>
      <c r="Q9009" s="1"/>
      <c r="R9009" s="1"/>
      <c r="S9009" s="1"/>
      <c r="T9009" s="1"/>
      <c r="U9009" s="1"/>
      <c r="V9009" s="1"/>
      <c r="W9009" s="1"/>
      <c r="X9009" s="1"/>
      <c r="Y9009" s="1"/>
      <c r="Z9009" s="1"/>
      <c r="AA9009" s="1"/>
      <c r="AB9009" s="1"/>
    </row>
    <row r="9010" ht="50.25" customHeight="1">
      <c r="A9010" s="12">
        <v>9006.0</v>
      </c>
      <c r="B9010" s="13" t="s">
        <v>8699</v>
      </c>
      <c r="C9010" s="18" t="s">
        <v>9036</v>
      </c>
      <c r="D9010" s="1"/>
      <c r="E9010" s="1"/>
      <c r="F9010" s="1" t="str">
        <f>IFERROR(__xludf.DUMMYFUNCTION("GOOGLETRANSLATE(B9010, ""en"", ""fa"")
"),"موفقیت در پادکست")</f>
        <v>موفقیت در پادکست</v>
      </c>
      <c r="G9010" s="1" t="str">
        <f>IFERROR(__xludf.DUMMYFUNCTION("GOOGLETRANSLATE(C9010, ""en"", ""fa"")
"),"استراتژی‌های استفاده از مصاحبه‌ها و همکاری‌های مهمان برای بهبود سئوی پادکست و افزایش دیده شدن جستجوی ارگانیک چیست؟")</f>
        <v>استراتژی‌های استفاده از مصاحبه‌ها و همکاری‌های مهمان برای بهبود سئوی پادکست و افزایش دیده شدن جستجوی ارگانیک چیست؟</v>
      </c>
      <c r="H9010" s="1"/>
      <c r="I9010" s="1"/>
      <c r="J9010" s="1"/>
      <c r="K9010" s="1"/>
      <c r="L9010" s="1"/>
      <c r="M9010" s="1"/>
      <c r="N9010" s="1"/>
      <c r="O9010" s="1"/>
      <c r="P9010" s="1"/>
      <c r="Q9010" s="1"/>
      <c r="R9010" s="1"/>
      <c r="S9010" s="1"/>
      <c r="T9010" s="1"/>
      <c r="U9010" s="1"/>
      <c r="V9010" s="1"/>
      <c r="W9010" s="1"/>
      <c r="X9010" s="1"/>
      <c r="Y9010" s="1"/>
      <c r="Z9010" s="1"/>
      <c r="AA9010" s="1"/>
      <c r="AB9010" s="1"/>
    </row>
    <row r="9011" ht="50.25" customHeight="1">
      <c r="A9011" s="12">
        <v>9007.0</v>
      </c>
      <c r="B9011" s="13" t="s">
        <v>8699</v>
      </c>
      <c r="C9011" s="18" t="s">
        <v>9037</v>
      </c>
      <c r="D9011" s="1"/>
      <c r="E9011" s="1"/>
      <c r="F9011" s="1" t="str">
        <f>IFERROR(__xludf.DUMMYFUNCTION("GOOGLETRANSLATE(B9011, ""en"", ""fa"")
"),"موفقیت در پادکست")</f>
        <v>موفقیت در پادکست</v>
      </c>
      <c r="G9011" s="1" t="str">
        <f>IFERROR(__xludf.DUMMYFUNCTION("GOOGLETRANSLATE(C9011, ""en"", ""fa"")
"),"چگونه می توان به طور موثر از بهینه سازی متن لنگر در قسمت های پادکست و وب سایت خود برای بهبود سئو و ناوبری کاربر استفاده کرد؟")</f>
        <v>چگونه می توان به طور موثر از بهینه سازی متن لنگر در قسمت های پادکست و وب سایت خود برای بهبود سئو و ناوبری کاربر استفاده کرد؟</v>
      </c>
      <c r="H9011" s="1"/>
      <c r="I9011" s="1"/>
      <c r="J9011" s="1"/>
      <c r="K9011" s="1"/>
      <c r="L9011" s="1"/>
      <c r="M9011" s="1"/>
      <c r="N9011" s="1"/>
      <c r="O9011" s="1"/>
      <c r="P9011" s="1"/>
      <c r="Q9011" s="1"/>
      <c r="R9011" s="1"/>
      <c r="S9011" s="1"/>
      <c r="T9011" s="1"/>
      <c r="U9011" s="1"/>
      <c r="V9011" s="1"/>
      <c r="W9011" s="1"/>
      <c r="X9011" s="1"/>
      <c r="Y9011" s="1"/>
      <c r="Z9011" s="1"/>
      <c r="AA9011" s="1"/>
      <c r="AB9011" s="1"/>
    </row>
    <row r="9012" ht="50.25" customHeight="1">
      <c r="A9012" s="12">
        <v>9008.0</v>
      </c>
      <c r="B9012" s="13" t="s">
        <v>8699</v>
      </c>
      <c r="C9012" s="18" t="s">
        <v>9038</v>
      </c>
      <c r="D9012" s="1"/>
      <c r="E9012" s="1"/>
      <c r="F9012" s="1" t="str">
        <f>IFERROR(__xludf.DUMMYFUNCTION("GOOGLETRANSLATE(B9012, ""en"", ""fa"")
"),"موفقیت در پادکست")</f>
        <v>موفقیت در پادکست</v>
      </c>
      <c r="G9012" s="1" t="str">
        <f>IFERROR(__xludf.DUMMYFUNCTION("GOOGLETRANSLATE(C9012, ""en"", ""fa"")
"),"تکنیک‌های استفاده از استراتژی‌های سئوی محلی، مانند کلمات کلیدی و فهرست‌های مبتنی بر مکان، برای جذب شنوندگان پادکست هدف‌دار جغرافیایی چیست؟")</f>
        <v>تکنیک‌های استفاده از استراتژی‌های سئوی محلی، مانند کلمات کلیدی و فهرست‌های مبتنی بر مکان، برای جذب شنوندگان پادکست هدف‌دار جغرافیایی چیست؟</v>
      </c>
      <c r="H9012" s="1"/>
      <c r="I9012" s="1"/>
      <c r="J9012" s="1"/>
      <c r="K9012" s="1"/>
      <c r="L9012" s="1"/>
      <c r="M9012" s="1"/>
      <c r="N9012" s="1"/>
      <c r="O9012" s="1"/>
      <c r="P9012" s="1"/>
      <c r="Q9012" s="1"/>
      <c r="R9012" s="1"/>
      <c r="S9012" s="1"/>
      <c r="T9012" s="1"/>
      <c r="U9012" s="1"/>
      <c r="V9012" s="1"/>
      <c r="W9012" s="1"/>
      <c r="X9012" s="1"/>
      <c r="Y9012" s="1"/>
      <c r="Z9012" s="1"/>
      <c r="AA9012" s="1"/>
      <c r="AB9012" s="1"/>
    </row>
    <row r="9013" ht="50.25" customHeight="1">
      <c r="A9013" s="12">
        <v>9009.0</v>
      </c>
      <c r="B9013" s="13" t="s">
        <v>8699</v>
      </c>
      <c r="C9013" s="18" t="s">
        <v>9039</v>
      </c>
      <c r="D9013" s="1"/>
      <c r="E9013" s="1"/>
      <c r="F9013" s="1" t="str">
        <f>IFERROR(__xludf.DUMMYFUNCTION("GOOGLETRANSLATE(B9013, ""en"", ""fa"")
"),"موفقیت در پادکست")</f>
        <v>موفقیت در پادکست</v>
      </c>
      <c r="G9013" s="1" t="str">
        <f>IFERROR(__xludf.DUMMYFUNCTION("GOOGLETRANSLATE(C9013, ""en"", ""fa"")
"),"چگونه از حضور مهمان پادکست در برنامه های دیگر برای بهبود سئوی پادکست خود و ایجاد بک لینک های مرتبط استفاده کنید؟")</f>
        <v>چگونه از حضور مهمان پادکست در برنامه های دیگر برای بهبود سئوی پادکست خود و ایجاد بک لینک های مرتبط استفاده کنید؟</v>
      </c>
      <c r="H9013" s="1"/>
      <c r="I9013" s="1"/>
      <c r="J9013" s="1"/>
      <c r="K9013" s="1"/>
      <c r="L9013" s="1"/>
      <c r="M9013" s="1"/>
      <c r="N9013" s="1"/>
      <c r="O9013" s="1"/>
      <c r="P9013" s="1"/>
      <c r="Q9013" s="1"/>
      <c r="R9013" s="1"/>
      <c r="S9013" s="1"/>
      <c r="T9013" s="1"/>
      <c r="U9013" s="1"/>
      <c r="V9013" s="1"/>
      <c r="W9013" s="1"/>
      <c r="X9013" s="1"/>
      <c r="Y9013" s="1"/>
      <c r="Z9013" s="1"/>
      <c r="AA9013" s="1"/>
      <c r="AB9013" s="1"/>
    </row>
    <row r="9014" ht="50.25" customHeight="1">
      <c r="A9014" s="12">
        <v>9010.0</v>
      </c>
      <c r="B9014" s="13" t="s">
        <v>8699</v>
      </c>
      <c r="C9014" s="18" t="s">
        <v>9040</v>
      </c>
      <c r="D9014" s="1"/>
      <c r="E9014" s="1"/>
      <c r="F9014" s="1" t="str">
        <f>IFERROR(__xludf.DUMMYFUNCTION("GOOGLETRANSLATE(B9014, ""en"", ""fa"")
"),"موفقیت در پادکست")</f>
        <v>موفقیت در پادکست</v>
      </c>
      <c r="G9014" s="1" t="str">
        <f>IFERROR(__xludf.DUMMYFUNCTION("GOOGLETRANSLATE(C9014, ""en"", ""fa"")
"),"استراتژی‌های استفاده از بوکمارک‌های اجتماعی و پلتفرم‌های اشتراک‌گذاری محتوا برای بهبود سئو و دسترسی پادکست شما چیست؟")</f>
        <v>استراتژی‌های استفاده از بوکمارک‌های اجتماعی و پلتفرم‌های اشتراک‌گذاری محتوا برای بهبود سئو و دسترسی پادکست شما چیست؟</v>
      </c>
      <c r="H9014" s="1"/>
      <c r="I9014" s="1"/>
      <c r="J9014" s="1"/>
      <c r="K9014" s="1"/>
      <c r="L9014" s="1"/>
      <c r="M9014" s="1"/>
      <c r="N9014" s="1"/>
      <c r="O9014" s="1"/>
      <c r="P9014" s="1"/>
      <c r="Q9014" s="1"/>
      <c r="R9014" s="1"/>
      <c r="S9014" s="1"/>
      <c r="T9014" s="1"/>
      <c r="U9014" s="1"/>
      <c r="V9014" s="1"/>
      <c r="W9014" s="1"/>
      <c r="X9014" s="1"/>
      <c r="Y9014" s="1"/>
      <c r="Z9014" s="1"/>
      <c r="AA9014" s="1"/>
      <c r="AB9014" s="1"/>
    </row>
    <row r="9015" ht="50.25" customHeight="1">
      <c r="A9015" s="12">
        <v>9011.0</v>
      </c>
      <c r="B9015" s="13" t="s">
        <v>8699</v>
      </c>
      <c r="C9015" s="18" t="s">
        <v>9041</v>
      </c>
      <c r="D9015" s="1"/>
      <c r="E9015" s="1"/>
      <c r="F9015" s="1" t="str">
        <f>IFERROR(__xludf.DUMMYFUNCTION("GOOGLETRANSLATE(B9015, ""en"", ""fa"")
"),"موفقیت در پادکست")</f>
        <v>موفقیت در پادکست</v>
      </c>
      <c r="G9015" s="1" t="str">
        <f>IFERROR(__xludf.DUMMYFUNCTION("GOOGLETRANSLATE(C9015, ""en"", ""fa"")
"),"چگونه ابرداده های قسمت پادکست، از جمله عناوین، توضیحات و برچسب ها را برای بهبود سئو و قابلیت کشف بهینه کنیم؟")</f>
        <v>چگونه ابرداده های قسمت پادکست، از جمله عناوین، توضیحات و برچسب ها را برای بهبود سئو و قابلیت کشف بهینه کنیم؟</v>
      </c>
      <c r="H9015" s="1"/>
      <c r="I9015" s="1"/>
      <c r="J9015" s="1"/>
      <c r="K9015" s="1"/>
      <c r="L9015" s="1"/>
      <c r="M9015" s="1"/>
      <c r="N9015" s="1"/>
      <c r="O9015" s="1"/>
      <c r="P9015" s="1"/>
      <c r="Q9015" s="1"/>
      <c r="R9015" s="1"/>
      <c r="S9015" s="1"/>
      <c r="T9015" s="1"/>
      <c r="U9015" s="1"/>
      <c r="V9015" s="1"/>
      <c r="W9015" s="1"/>
      <c r="X9015" s="1"/>
      <c r="Y9015" s="1"/>
      <c r="Z9015" s="1"/>
      <c r="AA9015" s="1"/>
      <c r="AB9015" s="1"/>
    </row>
    <row r="9016" ht="50.25" customHeight="1">
      <c r="A9016" s="12">
        <v>9012.0</v>
      </c>
      <c r="B9016" s="13" t="s">
        <v>8699</v>
      </c>
      <c r="C9016" s="18" t="s">
        <v>9042</v>
      </c>
      <c r="D9016" s="1"/>
      <c r="E9016" s="1"/>
      <c r="F9016" s="1" t="str">
        <f>IFERROR(__xludf.DUMMYFUNCTION("GOOGLETRANSLATE(B9016, ""en"", ""fa"")
"),"موفقیت در پادکست")</f>
        <v>موفقیت در پادکست</v>
      </c>
      <c r="G9016" s="1" t="str">
        <f>IFERROR(__xludf.DUMMYFUNCTION("GOOGLETRANSLATE(C9016, ""en"", ""fa"")
"),"تکنیک های انجام ممیزی SEO و ردیابی کلمات کلیدی برای پادکست شما برای نظارت و بهبود عملکرد موتور جستجو چیست؟")</f>
        <v>تکنیک های انجام ممیزی SEO و ردیابی کلمات کلیدی برای پادکست شما برای نظارت و بهبود عملکرد موتور جستجو چیست؟</v>
      </c>
      <c r="H9016" s="1"/>
      <c r="I9016" s="1"/>
      <c r="J9016" s="1"/>
      <c r="K9016" s="1"/>
      <c r="L9016" s="1"/>
      <c r="M9016" s="1"/>
      <c r="N9016" s="1"/>
      <c r="O9016" s="1"/>
      <c r="P9016" s="1"/>
      <c r="Q9016" s="1"/>
      <c r="R9016" s="1"/>
      <c r="S9016" s="1"/>
      <c r="T9016" s="1"/>
      <c r="U9016" s="1"/>
      <c r="V9016" s="1"/>
      <c r="W9016" s="1"/>
      <c r="X9016" s="1"/>
      <c r="Y9016" s="1"/>
      <c r="Z9016" s="1"/>
      <c r="AA9016" s="1"/>
      <c r="AB9016" s="1"/>
    </row>
    <row r="9017" ht="50.25" customHeight="1">
      <c r="A9017" s="12">
        <v>9013.0</v>
      </c>
      <c r="B9017" s="13" t="s">
        <v>8699</v>
      </c>
      <c r="C9017" s="18" t="s">
        <v>9043</v>
      </c>
      <c r="D9017" s="1"/>
      <c r="E9017" s="1"/>
      <c r="F9017" s="1" t="str">
        <f>IFERROR(__xludf.DUMMYFUNCTION("GOOGLETRANSLATE(B9017, ""en"", ""fa"")
"),"موفقیت در پادکست")</f>
        <v>موفقیت در پادکست</v>
      </c>
      <c r="G9017" s="1" t="str">
        <f>IFERROR(__xludf.DUMMYFUNCTION("GOOGLETRANSLATE(C9017, ""en"", ""fa"")
"),"چگونه از گوگل آنالیتیکس و سایر ابزارهای سئو برای تجزیه و تحلیل و اندازه گیری عملکرد پادکست خود در نتایج موتورهای جستجو به طور موثر استفاده کنیم؟")</f>
        <v>چگونه از گوگل آنالیتیکس و سایر ابزارهای سئو برای تجزیه و تحلیل و اندازه گیری عملکرد پادکست خود در نتایج موتورهای جستجو به طور موثر استفاده کنیم؟</v>
      </c>
      <c r="H9017" s="1"/>
      <c r="I9017" s="1"/>
      <c r="J9017" s="1"/>
      <c r="K9017" s="1"/>
      <c r="L9017" s="1"/>
      <c r="M9017" s="1"/>
      <c r="N9017" s="1"/>
      <c r="O9017" s="1"/>
      <c r="P9017" s="1"/>
      <c r="Q9017" s="1"/>
      <c r="R9017" s="1"/>
      <c r="S9017" s="1"/>
      <c r="T9017" s="1"/>
      <c r="U9017" s="1"/>
      <c r="V9017" s="1"/>
      <c r="W9017" s="1"/>
      <c r="X9017" s="1"/>
      <c r="Y9017" s="1"/>
      <c r="Z9017" s="1"/>
      <c r="AA9017" s="1"/>
      <c r="AB9017" s="1"/>
    </row>
    <row r="9018" ht="50.25" customHeight="1">
      <c r="A9018" s="12">
        <v>9014.0</v>
      </c>
      <c r="B9018" s="13" t="s">
        <v>8699</v>
      </c>
      <c r="C9018" s="18" t="s">
        <v>9044</v>
      </c>
      <c r="D9018" s="1"/>
      <c r="E9018" s="1"/>
      <c r="F9018" s="1" t="str">
        <f>IFERROR(__xludf.DUMMYFUNCTION("GOOGLETRANSLATE(B9018, ""en"", ""fa"")
"),"موفقیت در پادکست")</f>
        <v>موفقیت در پادکست</v>
      </c>
      <c r="G9018" s="1" t="str">
        <f>IFERROR(__xludf.DUMMYFUNCTION("GOOGLETRANSLATE(C9018, ""en"", ""fa"")
"),"استراتژی های بهینه سازی حضور پادکست شما در پادکست گوگل، پادکست اپل و سایر دایرکتوری های اصلی پادکست برای بهبود سئو چیست؟")</f>
        <v>استراتژی های بهینه سازی حضور پادکست شما در پادکست گوگل، پادکست اپل و سایر دایرکتوری های اصلی پادکست برای بهبود سئو چیست؟</v>
      </c>
      <c r="H9018" s="1"/>
      <c r="I9018" s="1"/>
      <c r="J9018" s="1"/>
      <c r="K9018" s="1"/>
      <c r="L9018" s="1"/>
      <c r="M9018" s="1"/>
      <c r="N9018" s="1"/>
      <c r="O9018" s="1"/>
      <c r="P9018" s="1"/>
      <c r="Q9018" s="1"/>
      <c r="R9018" s="1"/>
      <c r="S9018" s="1"/>
      <c r="T9018" s="1"/>
      <c r="U9018" s="1"/>
      <c r="V9018" s="1"/>
      <c r="W9018" s="1"/>
      <c r="X9018" s="1"/>
      <c r="Y9018" s="1"/>
      <c r="Z9018" s="1"/>
      <c r="AA9018" s="1"/>
      <c r="AB9018" s="1"/>
    </row>
    <row r="9019" ht="50.25" customHeight="1">
      <c r="A9019" s="12">
        <v>9015.0</v>
      </c>
      <c r="B9019" s="13" t="s">
        <v>8699</v>
      </c>
      <c r="C9019" s="18" t="s">
        <v>9045</v>
      </c>
      <c r="D9019" s="1"/>
      <c r="E9019" s="1"/>
      <c r="F9019" s="1" t="str">
        <f>IFERROR(__xludf.DUMMYFUNCTION("GOOGLETRANSLATE(B9019, ""en"", ""fa"")
"),"موفقیت در پادکست")</f>
        <v>موفقیت در پادکست</v>
      </c>
      <c r="G9019" s="1" t="str">
        <f>IFERROR(__xludf.DUMMYFUNCTION("GOOGLETRANSLATE(C9019, ""en"", ""fa"")
"),"چگونه سرفصل‌ها و زیرعنوان‌های دوستدار SEO را در قسمت‌های پادکست خود برای بهبود خوانایی و دیده شدن موتورهای جستجو ترکیب کنیم؟")</f>
        <v>چگونه سرفصل‌ها و زیرعنوان‌های دوستدار SEO را در قسمت‌های پادکست خود برای بهبود خوانایی و دیده شدن موتورهای جستجو ترکیب کنیم؟</v>
      </c>
      <c r="H9019" s="1"/>
      <c r="I9019" s="1"/>
      <c r="J9019" s="1"/>
      <c r="K9019" s="1"/>
      <c r="L9019" s="1"/>
      <c r="M9019" s="1"/>
      <c r="N9019" s="1"/>
      <c r="O9019" s="1"/>
      <c r="P9019" s="1"/>
      <c r="Q9019" s="1"/>
      <c r="R9019" s="1"/>
      <c r="S9019" s="1"/>
      <c r="T9019" s="1"/>
      <c r="U9019" s="1"/>
      <c r="V9019" s="1"/>
      <c r="W9019" s="1"/>
      <c r="X9019" s="1"/>
      <c r="Y9019" s="1"/>
      <c r="Z9019" s="1"/>
      <c r="AA9019" s="1"/>
      <c r="AB9019" s="1"/>
    </row>
    <row r="9020" ht="50.25" customHeight="1">
      <c r="A9020" s="12">
        <v>9016.0</v>
      </c>
      <c r="B9020" s="13" t="s">
        <v>8699</v>
      </c>
      <c r="C9020" s="18" t="s">
        <v>9046</v>
      </c>
      <c r="D9020" s="1"/>
      <c r="E9020" s="1"/>
      <c r="F9020" s="1" t="str">
        <f>IFERROR(__xludf.DUMMYFUNCTION("GOOGLETRANSLATE(B9020, ""en"", ""fa"")
"),"موفقیت در پادکست")</f>
        <v>موفقیت در پادکست</v>
      </c>
      <c r="G9020" s="1" t="str">
        <f>IFERROR(__xludf.DUMMYFUNCTION("GOOGLETRANSLATE(C9020, ""en"", ""fa"")
"),"تکنیک‌های استفاده از سیگنال‌های تعامل کاربر، مانند رتبه‌بندی قسمت‌های پادکست، نظرات و اشتراک‌ها، برای افزایش سئوی پادکست چیست؟")</f>
        <v>تکنیک‌های استفاده از سیگنال‌های تعامل کاربر، مانند رتبه‌بندی قسمت‌های پادکست، نظرات و اشتراک‌ها، برای افزایش سئوی پادکست چیست؟</v>
      </c>
      <c r="H9020" s="1"/>
      <c r="I9020" s="1"/>
      <c r="J9020" s="1"/>
      <c r="K9020" s="1"/>
      <c r="L9020" s="1"/>
      <c r="M9020" s="1"/>
      <c r="N9020" s="1"/>
      <c r="O9020" s="1"/>
      <c r="P9020" s="1"/>
      <c r="Q9020" s="1"/>
      <c r="R9020" s="1"/>
      <c r="S9020" s="1"/>
      <c r="T9020" s="1"/>
      <c r="U9020" s="1"/>
      <c r="V9020" s="1"/>
      <c r="W9020" s="1"/>
      <c r="X9020" s="1"/>
      <c r="Y9020" s="1"/>
      <c r="Z9020" s="1"/>
      <c r="AA9020" s="1"/>
      <c r="AB9020" s="1"/>
    </row>
    <row r="9021" ht="50.25" customHeight="1">
      <c r="A9021" s="12">
        <v>9017.0</v>
      </c>
      <c r="B9021" s="13" t="s">
        <v>8699</v>
      </c>
      <c r="C9021" s="18" t="s">
        <v>9047</v>
      </c>
      <c r="D9021" s="1"/>
      <c r="E9021" s="1"/>
      <c r="F9021" s="1" t="str">
        <f>IFERROR(__xludf.DUMMYFUNCTION("GOOGLETRANSLATE(B9021, ""en"", ""fa"")
"),"موفقیت در پادکست")</f>
        <v>موفقیت در پادکست</v>
      </c>
      <c r="G9021" s="1" t="str">
        <f>IFERROR(__xludf.DUMMYFUNCTION("GOOGLETRANSLATE(C9021, ""en"", ""fa"")
"),"چگونه پست‌ها و زیرنویس‌های رسانه‌های اجتماعی پادکست خود را با کلمات کلیدی و هشتگ‌های مرتبط بهینه کنیم تا دید جستجو را افزایش دهیم؟")</f>
        <v>چگونه پست‌ها و زیرنویس‌های رسانه‌های اجتماعی پادکست خود را با کلمات کلیدی و هشتگ‌های مرتبط بهینه کنیم تا دید جستجو را افزایش دهیم؟</v>
      </c>
      <c r="H9021" s="1"/>
      <c r="I9021" s="1"/>
      <c r="J9021" s="1"/>
      <c r="K9021" s="1"/>
      <c r="L9021" s="1"/>
      <c r="M9021" s="1"/>
      <c r="N9021" s="1"/>
      <c r="O9021" s="1"/>
      <c r="P9021" s="1"/>
      <c r="Q9021" s="1"/>
      <c r="R9021" s="1"/>
      <c r="S9021" s="1"/>
      <c r="T9021" s="1"/>
      <c r="U9021" s="1"/>
      <c r="V9021" s="1"/>
      <c r="W9021" s="1"/>
      <c r="X9021" s="1"/>
      <c r="Y9021" s="1"/>
      <c r="Z9021" s="1"/>
      <c r="AA9021" s="1"/>
      <c r="AB9021" s="1"/>
    </row>
    <row r="9022" ht="50.25" customHeight="1">
      <c r="A9022" s="12">
        <v>9018.0</v>
      </c>
      <c r="B9022" s="13" t="s">
        <v>8699</v>
      </c>
      <c r="C9022" s="18" t="s">
        <v>9048</v>
      </c>
      <c r="D9022" s="1"/>
      <c r="E9022" s="1"/>
      <c r="F9022" s="1" t="str">
        <f>IFERROR(__xludf.DUMMYFUNCTION("GOOGLETRANSLATE(B9022, ""en"", ""fa"")
"),"موفقیت در پادکست")</f>
        <v>موفقیت در پادکست</v>
      </c>
      <c r="G9022" s="1" t="str">
        <f>IFERROR(__xludf.DUMMYFUNCTION("GOOGLETRANSLATE(C9022, ""en"", ""fa"")
"),"استراتژی های استفاده از وبلاگ نویسی مهمان و مشارکت محتوا برای بهبود سئوی پادکست شما از طریق بک لینک های معتبر چیست؟")</f>
        <v>استراتژی های استفاده از وبلاگ نویسی مهمان و مشارکت محتوا برای بهبود سئوی پادکست شما از طریق بک لینک های معتبر چیست؟</v>
      </c>
      <c r="H9022" s="1"/>
      <c r="I9022" s="1"/>
      <c r="J9022" s="1"/>
      <c r="K9022" s="1"/>
      <c r="L9022" s="1"/>
      <c r="M9022" s="1"/>
      <c r="N9022" s="1"/>
      <c r="O9022" s="1"/>
      <c r="P9022" s="1"/>
      <c r="Q9022" s="1"/>
      <c r="R9022" s="1"/>
      <c r="S9022" s="1"/>
      <c r="T9022" s="1"/>
      <c r="U9022" s="1"/>
      <c r="V9022" s="1"/>
      <c r="W9022" s="1"/>
      <c r="X9022" s="1"/>
      <c r="Y9022" s="1"/>
      <c r="Z9022" s="1"/>
      <c r="AA9022" s="1"/>
      <c r="AB9022" s="1"/>
    </row>
    <row r="9023" ht="50.25" customHeight="1">
      <c r="A9023" s="12">
        <v>9019.0</v>
      </c>
      <c r="B9023" s="13" t="s">
        <v>8699</v>
      </c>
      <c r="C9023" s="18" t="s">
        <v>9049</v>
      </c>
      <c r="D9023" s="1"/>
      <c r="E9023" s="1"/>
      <c r="F9023" s="1" t="str">
        <f>IFERROR(__xludf.DUMMYFUNCTION("GOOGLETRANSLATE(B9023, ""en"", ""fa"")
"),"موفقیت در پادکست")</f>
        <v>موفقیت در پادکست</v>
      </c>
      <c r="G9023" s="1" t="str">
        <f>IFERROR(__xludf.DUMMYFUNCTION("GOOGLETRANSLATE(C9023, ""en"", ""fa"")
"),"چگونه می توان فرمت های قسمت پادکست، مانند جلسات پرسش و پاسخ، فهرست ها، یا آموزش ها را بهینه کرد تا با هدف جستجوی کاربر هماهنگ شود و عملکرد سئو را بهبود بخشد؟")</f>
        <v>چگونه می توان فرمت های قسمت پادکست، مانند جلسات پرسش و پاسخ، فهرست ها، یا آموزش ها را بهینه کرد تا با هدف جستجوی کاربر هماهنگ شود و عملکرد سئو را بهبود بخشد؟</v>
      </c>
      <c r="H9023" s="1"/>
      <c r="I9023" s="1"/>
      <c r="J9023" s="1"/>
      <c r="K9023" s="1"/>
      <c r="L9023" s="1"/>
      <c r="M9023" s="1"/>
      <c r="N9023" s="1"/>
      <c r="O9023" s="1"/>
      <c r="P9023" s="1"/>
      <c r="Q9023" s="1"/>
      <c r="R9023" s="1"/>
      <c r="S9023" s="1"/>
      <c r="T9023" s="1"/>
      <c r="U9023" s="1"/>
      <c r="V9023" s="1"/>
      <c r="W9023" s="1"/>
      <c r="X9023" s="1"/>
      <c r="Y9023" s="1"/>
      <c r="Z9023" s="1"/>
      <c r="AA9023" s="1"/>
      <c r="AB9023" s="1"/>
    </row>
    <row r="9024" ht="50.25" customHeight="1">
      <c r="A9024" s="12">
        <v>9020.0</v>
      </c>
      <c r="B9024" s="13" t="s">
        <v>8699</v>
      </c>
      <c r="C9024" s="18" t="s">
        <v>9050</v>
      </c>
      <c r="D9024" s="1"/>
      <c r="E9024" s="1"/>
      <c r="F9024" s="1" t="str">
        <f>IFERROR(__xludf.DUMMYFUNCTION("GOOGLETRANSLATE(B9024, ""en"", ""fa"")
"),"موفقیت در پادکست")</f>
        <v>موفقیت در پادکست</v>
      </c>
      <c r="G9024" s="1" t="str">
        <f>IFERROR(__xludf.DUMMYFUNCTION("GOOGLETRANSLATE(C9024, ""en"", ""fa"")
"),"تکنیک های بهینه سازی طول و فرکانس قسمت پادکست برای بهبود سئو و تعامل کاربر چیست؟")</f>
        <v>تکنیک های بهینه سازی طول و فرکانس قسمت پادکست برای بهبود سئو و تعامل کاربر چیست؟</v>
      </c>
      <c r="H9024" s="1"/>
      <c r="I9024" s="1"/>
      <c r="J9024" s="1"/>
      <c r="K9024" s="1"/>
      <c r="L9024" s="1"/>
      <c r="M9024" s="1"/>
      <c r="N9024" s="1"/>
      <c r="O9024" s="1"/>
      <c r="P9024" s="1"/>
      <c r="Q9024" s="1"/>
      <c r="R9024" s="1"/>
      <c r="S9024" s="1"/>
      <c r="T9024" s="1"/>
      <c r="U9024" s="1"/>
      <c r="V9024" s="1"/>
      <c r="W9024" s="1"/>
      <c r="X9024" s="1"/>
      <c r="Y9024" s="1"/>
      <c r="Z9024" s="1"/>
      <c r="AA9024" s="1"/>
      <c r="AB9024" s="1"/>
    </row>
    <row r="9025" ht="50.25" customHeight="1">
      <c r="A9025" s="12">
        <v>9021.0</v>
      </c>
      <c r="B9025" s="13" t="s">
        <v>8699</v>
      </c>
      <c r="C9025" s="18" t="s">
        <v>9051</v>
      </c>
      <c r="D9025" s="1"/>
      <c r="E9025" s="1"/>
      <c r="F9025" s="1" t="str">
        <f>IFERROR(__xludf.DUMMYFUNCTION("GOOGLETRANSLATE(B9025, ""en"", ""fa"")
"),"موفقیت در پادکست")</f>
        <v>موفقیت در پادکست</v>
      </c>
      <c r="G9025" s="1" t="str">
        <f>IFERROR(__xludf.DUMMYFUNCTION("GOOGLETRANSLATE(C9025, ""en"", ""fa"")
"),"چگونه از خوشه های موضوعی و ستون های محتوا در پادکست خود برای ایجاد یک استراتژی جامع سئو و بهبود رتبه بندی موتورهای جستجو استفاده کنید؟")</f>
        <v>چگونه از خوشه های موضوعی و ستون های محتوا در پادکست خود برای ایجاد یک استراتژی جامع سئو و بهبود رتبه بندی موتورهای جستجو استفاده کنید؟</v>
      </c>
      <c r="H9025" s="1"/>
      <c r="I9025" s="1"/>
      <c r="J9025" s="1"/>
      <c r="K9025" s="1"/>
      <c r="L9025" s="1"/>
      <c r="M9025" s="1"/>
      <c r="N9025" s="1"/>
      <c r="O9025" s="1"/>
      <c r="P9025" s="1"/>
      <c r="Q9025" s="1"/>
      <c r="R9025" s="1"/>
      <c r="S9025" s="1"/>
      <c r="T9025" s="1"/>
      <c r="U9025" s="1"/>
      <c r="V9025" s="1"/>
      <c r="W9025" s="1"/>
      <c r="X9025" s="1"/>
      <c r="Y9025" s="1"/>
      <c r="Z9025" s="1"/>
      <c r="AA9025" s="1"/>
      <c r="AB9025" s="1"/>
    </row>
    <row r="9026" ht="50.25" customHeight="1">
      <c r="A9026" s="12">
        <v>9022.0</v>
      </c>
      <c r="B9026" s="13" t="s">
        <v>8699</v>
      </c>
      <c r="C9026" s="18" t="s">
        <v>9052</v>
      </c>
      <c r="D9026" s="1"/>
      <c r="E9026" s="1"/>
      <c r="F9026" s="1" t="str">
        <f>IFERROR(__xludf.DUMMYFUNCTION("GOOGLETRANSLATE(B9026, ""en"", ""fa"")
"),"موفقیت در پادکست")</f>
        <v>موفقیت در پادکست</v>
      </c>
      <c r="G9026" s="1" t="str">
        <f>IFERROR(__xludf.DUMMYFUNCTION("GOOGLETRANSLATE(C9026, ""en"", ""fa"")
"),"استراتژی‌هایی برای گنجاندن منابع خارجی مرتبط و ارزشمند، مانند پست‌های وبلاگ یا مقالات تحقیقاتی، در قسمت‌های پادکست برای بهبود سئو چیست؟")</f>
        <v>استراتژی‌هایی برای گنجاندن منابع خارجی مرتبط و ارزشمند، مانند پست‌های وبلاگ یا مقالات تحقیقاتی، در قسمت‌های پادکست برای بهبود سئو چیست؟</v>
      </c>
      <c r="H9026" s="1"/>
      <c r="I9026" s="1"/>
      <c r="J9026" s="1"/>
      <c r="K9026" s="1"/>
      <c r="L9026" s="1"/>
      <c r="M9026" s="1"/>
      <c r="N9026" s="1"/>
      <c r="O9026" s="1"/>
      <c r="P9026" s="1"/>
      <c r="Q9026" s="1"/>
      <c r="R9026" s="1"/>
      <c r="S9026" s="1"/>
      <c r="T9026" s="1"/>
      <c r="U9026" s="1"/>
      <c r="V9026" s="1"/>
      <c r="W9026" s="1"/>
      <c r="X9026" s="1"/>
      <c r="Y9026" s="1"/>
      <c r="Z9026" s="1"/>
      <c r="AA9026" s="1"/>
      <c r="AB9026" s="1"/>
    </row>
    <row r="9027" ht="50.25" customHeight="1">
      <c r="A9027" s="12">
        <v>9023.0</v>
      </c>
      <c r="B9027" s="13" t="s">
        <v>8699</v>
      </c>
      <c r="C9027" s="18" t="s">
        <v>9053</v>
      </c>
      <c r="D9027" s="1"/>
      <c r="E9027" s="1"/>
      <c r="F9027" s="1" t="str">
        <f>IFERROR(__xludf.DUMMYFUNCTION("GOOGLETRANSLATE(B9027, ""en"", ""fa"")
"),"موفقیت در پادکست")</f>
        <v>موفقیت در پادکست</v>
      </c>
      <c r="G9027" s="1" t="str">
        <f>IFERROR(__xludf.DUMMYFUNCTION("GOOGLETRANSLATE(C9027, ""en"", ""fa"")
"),"چگونه سرعت بارگذاری و عملکرد پادکست خود را برای بهبود تجربه کاربر و رتبه بندی موتورهای جستجو بهینه کنیم؟")</f>
        <v>چگونه سرعت بارگذاری و عملکرد پادکست خود را برای بهبود تجربه کاربر و رتبه بندی موتورهای جستجو بهینه کنیم؟</v>
      </c>
      <c r="H9027" s="1"/>
      <c r="I9027" s="1"/>
      <c r="J9027" s="1"/>
      <c r="K9027" s="1"/>
      <c r="L9027" s="1"/>
      <c r="M9027" s="1"/>
      <c r="N9027" s="1"/>
      <c r="O9027" s="1"/>
      <c r="P9027" s="1"/>
      <c r="Q9027" s="1"/>
      <c r="R9027" s="1"/>
      <c r="S9027" s="1"/>
      <c r="T9027" s="1"/>
      <c r="U9027" s="1"/>
      <c r="V9027" s="1"/>
      <c r="W9027" s="1"/>
      <c r="X9027" s="1"/>
      <c r="Y9027" s="1"/>
      <c r="Z9027" s="1"/>
      <c r="AA9027" s="1"/>
      <c r="AB9027" s="1"/>
    </row>
    <row r="9028" ht="50.25" customHeight="1">
      <c r="A9028" s="12">
        <v>9024.0</v>
      </c>
      <c r="B9028" s="13" t="s">
        <v>8699</v>
      </c>
      <c r="C9028" s="18" t="s">
        <v>9054</v>
      </c>
      <c r="D9028" s="1"/>
      <c r="E9028" s="1"/>
      <c r="F9028" s="1" t="str">
        <f>IFERROR(__xludf.DUMMYFUNCTION("GOOGLETRANSLATE(B9028, ""en"", ""fa"")
"),"موفقیت در پادکست")</f>
        <v>موفقیت در پادکست</v>
      </c>
      <c r="G9028" s="1" t="str">
        <f>IFERROR(__xludf.DUMMYFUNCTION("GOOGLETRANSLATE(C9028, ""en"", ""fa"")
"),"تکنیک های استفاده از اینفلوئنسرها و همکاری ها برای تولید بک لینک با کیفیت بالا و بهبود سئوی پادکست شما چیست؟")</f>
        <v>تکنیک های استفاده از اینفلوئنسرها و همکاری ها برای تولید بک لینک با کیفیت بالا و بهبود سئوی پادکست شما چیست؟</v>
      </c>
      <c r="H9028" s="1"/>
      <c r="I9028" s="1"/>
      <c r="J9028" s="1"/>
      <c r="K9028" s="1"/>
      <c r="L9028" s="1"/>
      <c r="M9028" s="1"/>
      <c r="N9028" s="1"/>
      <c r="O9028" s="1"/>
      <c r="P9028" s="1"/>
      <c r="Q9028" s="1"/>
      <c r="R9028" s="1"/>
      <c r="S9028" s="1"/>
      <c r="T9028" s="1"/>
      <c r="U9028" s="1"/>
      <c r="V9028" s="1"/>
      <c r="W9028" s="1"/>
      <c r="X9028" s="1"/>
      <c r="Y9028" s="1"/>
      <c r="Z9028" s="1"/>
      <c r="AA9028" s="1"/>
      <c r="AB9028" s="1"/>
    </row>
    <row r="9029" ht="50.25" customHeight="1">
      <c r="A9029" s="12">
        <v>9025.0</v>
      </c>
      <c r="B9029" s="13" t="s">
        <v>8699</v>
      </c>
      <c r="C9029" s="18" t="s">
        <v>9055</v>
      </c>
      <c r="D9029" s="1"/>
      <c r="E9029" s="1"/>
      <c r="F9029" s="1" t="str">
        <f>IFERROR(__xludf.DUMMYFUNCTION("GOOGLETRANSLATE(B9029, ""en"", ""fa"")
"),"موفقیت در پادکست")</f>
        <v>موفقیت در پادکست</v>
      </c>
      <c r="G9029" s="1" t="str">
        <f>IFERROR(__xludf.DUMMYFUNCTION("GOOGLETRANSLATE(C9029, ""en"", ""fa"")
"),"چگونه می توان بهینه سازی سئوی درون صفحه را برای وب سایت پادکست خود انجام داد، از جمله عناوین متا، توضیحات متا، تگ های هدر و قرار دادن کلمات کلیدی؟")</f>
        <v>چگونه می توان بهینه سازی سئوی درون صفحه را برای وب سایت پادکست خود انجام داد، از جمله عناوین متا، توضیحات متا، تگ های هدر و قرار دادن کلمات کلیدی؟</v>
      </c>
      <c r="H9029" s="1"/>
      <c r="I9029" s="1"/>
      <c r="J9029" s="1"/>
      <c r="K9029" s="1"/>
      <c r="L9029" s="1"/>
      <c r="M9029" s="1"/>
      <c r="N9029" s="1"/>
      <c r="O9029" s="1"/>
      <c r="P9029" s="1"/>
      <c r="Q9029" s="1"/>
      <c r="R9029" s="1"/>
      <c r="S9029" s="1"/>
      <c r="T9029" s="1"/>
      <c r="U9029" s="1"/>
      <c r="V9029" s="1"/>
      <c r="W9029" s="1"/>
      <c r="X9029" s="1"/>
      <c r="Y9029" s="1"/>
      <c r="Z9029" s="1"/>
      <c r="AA9029" s="1"/>
      <c r="AB9029" s="1"/>
    </row>
    <row r="9030" ht="50.25" customHeight="1">
      <c r="A9030" s="12">
        <v>9026.0</v>
      </c>
      <c r="B9030" s="13" t="s">
        <v>8699</v>
      </c>
      <c r="C9030" s="18" t="s">
        <v>9056</v>
      </c>
      <c r="D9030" s="1"/>
      <c r="E9030" s="1"/>
      <c r="F9030" s="1" t="str">
        <f>IFERROR(__xludf.DUMMYFUNCTION("GOOGLETRANSLATE(B9030, ""en"", ""fa"")
"),"موفقیت در پادکست")</f>
        <v>موفقیت در پادکست</v>
      </c>
      <c r="G9030" s="1" t="str">
        <f>IFERROR(__xludf.DUMMYFUNCTION("GOOGLETRANSLATE(C9030, ""en"", ""fa"")
"),"استراتژی‌هایی برای گنجاندن قالب‌بندی محتوای مناسب سئو، مانند نقاط گلوله، عنوان‌های فرعی و عناصر چندرسانه‌ای، در قسمت‌های پادکست شما چیست؟")</f>
        <v>استراتژی‌هایی برای گنجاندن قالب‌بندی محتوای مناسب سئو، مانند نقاط گلوله، عنوان‌های فرعی و عناصر چندرسانه‌ای، در قسمت‌های پادکست شما چیست؟</v>
      </c>
      <c r="H9030" s="1"/>
      <c r="I9030" s="1"/>
      <c r="J9030" s="1"/>
      <c r="K9030" s="1"/>
      <c r="L9030" s="1"/>
      <c r="M9030" s="1"/>
      <c r="N9030" s="1"/>
      <c r="O9030" s="1"/>
      <c r="P9030" s="1"/>
      <c r="Q9030" s="1"/>
      <c r="R9030" s="1"/>
      <c r="S9030" s="1"/>
      <c r="T9030" s="1"/>
      <c r="U9030" s="1"/>
      <c r="V9030" s="1"/>
      <c r="W9030" s="1"/>
      <c r="X9030" s="1"/>
      <c r="Y9030" s="1"/>
      <c r="Z9030" s="1"/>
      <c r="AA9030" s="1"/>
      <c r="AB9030" s="1"/>
    </row>
    <row r="9031" ht="50.25" customHeight="1">
      <c r="A9031" s="12">
        <v>9027.0</v>
      </c>
      <c r="B9031" s="13" t="s">
        <v>8699</v>
      </c>
      <c r="C9031" s="18" t="s">
        <v>9057</v>
      </c>
      <c r="D9031" s="1"/>
      <c r="E9031" s="1"/>
      <c r="F9031" s="1" t="str">
        <f>IFERROR(__xludf.DUMMYFUNCTION("GOOGLETRANSLATE(B9031, ""en"", ""fa"")
"),"موفقیت در پادکست")</f>
        <v>موفقیت در پادکست</v>
      </c>
      <c r="G9031" s="1" t="str">
        <f>IFERROR(__xludf.DUMMYFUNCTION("GOOGLETRANSLATE(C9031, ""en"", ""fa"")
"),"چگونه می توان از سوالات ایجاد شده توسط کاربر و بازخورد شنوندگان برای ایجاد اپیزودهای پادکست بهینه شده با سئو استفاده کرد که مستقیماً به سوالات مخاطبان پاسخ می دهد؟")</f>
        <v>چگونه می توان از سوالات ایجاد شده توسط کاربر و بازخورد شنوندگان برای ایجاد اپیزودهای پادکست بهینه شده با سئو استفاده کرد که مستقیماً به سوالات مخاطبان پاسخ می دهد؟</v>
      </c>
      <c r="H9031" s="1"/>
      <c r="I9031" s="1"/>
      <c r="J9031" s="1"/>
      <c r="K9031" s="1"/>
      <c r="L9031" s="1"/>
      <c r="M9031" s="1"/>
      <c r="N9031" s="1"/>
      <c r="O9031" s="1"/>
      <c r="P9031" s="1"/>
      <c r="Q9031" s="1"/>
      <c r="R9031" s="1"/>
      <c r="S9031" s="1"/>
      <c r="T9031" s="1"/>
      <c r="U9031" s="1"/>
      <c r="V9031" s="1"/>
      <c r="W9031" s="1"/>
      <c r="X9031" s="1"/>
      <c r="Y9031" s="1"/>
      <c r="Z9031" s="1"/>
      <c r="AA9031" s="1"/>
      <c r="AB9031" s="1"/>
    </row>
    <row r="9032" ht="50.25" customHeight="1">
      <c r="A9032" s="12">
        <v>9028.0</v>
      </c>
      <c r="B9032" s="13" t="s">
        <v>8699</v>
      </c>
      <c r="C9032" s="18" t="s">
        <v>9058</v>
      </c>
      <c r="D9032" s="1"/>
      <c r="E9032" s="1"/>
      <c r="F9032" s="1" t="str">
        <f>IFERROR(__xludf.DUMMYFUNCTION("GOOGLETRANSLATE(B9032, ""en"", ""fa"")
"),"موفقیت در پادکست")</f>
        <v>موفقیت در پادکست</v>
      </c>
      <c r="G9032" s="1" t="str">
        <f>IFERROR(__xludf.DUMMYFUNCTION("GOOGLETRANSLATE(C9032, ""en"", ""fa"")
"),"تکنیک‌های استفاده مجدد از قسمت‌های پادکست، مانند رونویسی قسمت‌ها در پست‌های وبلاگ یا ایجاد محتوای ویدیویی، برای بهبود سئو و دستیابی به مخاطبان جدید چیست؟")</f>
        <v>تکنیک‌های استفاده مجدد از قسمت‌های پادکست، مانند رونویسی قسمت‌ها در پست‌های وبلاگ یا ایجاد محتوای ویدیویی، برای بهبود سئو و دستیابی به مخاطبان جدید چیست؟</v>
      </c>
      <c r="H9032" s="1"/>
      <c r="I9032" s="1"/>
      <c r="J9032" s="1"/>
      <c r="K9032" s="1"/>
      <c r="L9032" s="1"/>
      <c r="M9032" s="1"/>
      <c r="N9032" s="1"/>
      <c r="O9032" s="1"/>
      <c r="P9032" s="1"/>
      <c r="Q9032" s="1"/>
      <c r="R9032" s="1"/>
      <c r="S9032" s="1"/>
      <c r="T9032" s="1"/>
      <c r="U9032" s="1"/>
      <c r="V9032" s="1"/>
      <c r="W9032" s="1"/>
      <c r="X9032" s="1"/>
      <c r="Y9032" s="1"/>
      <c r="Z9032" s="1"/>
      <c r="AA9032" s="1"/>
      <c r="AB9032" s="1"/>
    </row>
    <row r="9033" ht="50.25" customHeight="1">
      <c r="A9033" s="12">
        <v>9029.0</v>
      </c>
      <c r="B9033" s="13" t="s">
        <v>8699</v>
      </c>
      <c r="C9033" s="18" t="s">
        <v>9059</v>
      </c>
      <c r="D9033" s="1"/>
      <c r="E9033" s="1"/>
      <c r="F9033" s="1" t="str">
        <f>IFERROR(__xludf.DUMMYFUNCTION("GOOGLETRANSLATE(B9033, ""en"", ""fa"")
"),"موفقیت در پادکست")</f>
        <v>موفقیت در پادکست</v>
      </c>
      <c r="G9033" s="1" t="str">
        <f>IFERROR(__xludf.DUMMYFUNCTION("GOOGLETRANSLATE(C9033, ""en"", ""fa"")
"),"چگونه تبلیغ قسمت پادکست را از طریق ایمیل مارکتینگ، با استفاده از کلمات کلیدی هدفمند و خطوط موضوع ایمیل بهینه شده برای بهبود سئو بهینه کنیم؟")</f>
        <v>چگونه تبلیغ قسمت پادکست را از طریق ایمیل مارکتینگ، با استفاده از کلمات کلیدی هدفمند و خطوط موضوع ایمیل بهینه شده برای بهبود سئو بهینه کنیم؟</v>
      </c>
      <c r="H9033" s="1"/>
      <c r="I9033" s="1"/>
      <c r="J9033" s="1"/>
      <c r="K9033" s="1"/>
      <c r="L9033" s="1"/>
      <c r="M9033" s="1"/>
      <c r="N9033" s="1"/>
      <c r="O9033" s="1"/>
      <c r="P9033" s="1"/>
      <c r="Q9033" s="1"/>
      <c r="R9033" s="1"/>
      <c r="S9033" s="1"/>
      <c r="T9033" s="1"/>
      <c r="U9033" s="1"/>
      <c r="V9033" s="1"/>
      <c r="W9033" s="1"/>
      <c r="X9033" s="1"/>
      <c r="Y9033" s="1"/>
      <c r="Z9033" s="1"/>
      <c r="AA9033" s="1"/>
      <c r="AB9033" s="1"/>
    </row>
    <row r="9034" ht="50.25" customHeight="1">
      <c r="A9034" s="12">
        <v>9030.0</v>
      </c>
      <c r="B9034" s="13" t="s">
        <v>8699</v>
      </c>
      <c r="C9034" s="18" t="s">
        <v>9060</v>
      </c>
      <c r="D9034" s="1"/>
      <c r="E9034" s="1"/>
      <c r="F9034" s="1" t="str">
        <f>IFERROR(__xludf.DUMMYFUNCTION("GOOGLETRANSLATE(B9034, ""en"", ""fa"")
"),"موفقیت در پادکست")</f>
        <v>موفقیت در پادکست</v>
      </c>
      <c r="G9034" s="1" t="str">
        <f>IFERROR(__xludf.DUMMYFUNCTION("GOOGLETRANSLATE(C9034, ""en"", ""fa"")
"),"راهبردهای استفاده از دایرکتوری های کسب و کار محلی، Google My Business و دیگر پلتفرم های مبتنی بر مکان برای افزایش حضور سئوی محلی پادکست شما چیست؟")</f>
        <v>راهبردهای استفاده از دایرکتوری های کسب و کار محلی، Google My Business و دیگر پلتفرم های مبتنی بر مکان برای افزایش حضور سئوی محلی پادکست شما چیست؟</v>
      </c>
      <c r="H9034" s="1"/>
      <c r="I9034" s="1"/>
      <c r="J9034" s="1"/>
      <c r="K9034" s="1"/>
      <c r="L9034" s="1"/>
      <c r="M9034" s="1"/>
      <c r="N9034" s="1"/>
      <c r="O9034" s="1"/>
      <c r="P9034" s="1"/>
      <c r="Q9034" s="1"/>
      <c r="R9034" s="1"/>
      <c r="S9034" s="1"/>
      <c r="T9034" s="1"/>
      <c r="U9034" s="1"/>
      <c r="V9034" s="1"/>
      <c r="W9034" s="1"/>
      <c r="X9034" s="1"/>
      <c r="Y9034" s="1"/>
      <c r="Z9034" s="1"/>
      <c r="AA9034" s="1"/>
      <c r="AB9034" s="1"/>
    </row>
    <row r="9035" ht="50.25" customHeight="1">
      <c r="A9035" s="12">
        <v>9031.0</v>
      </c>
      <c r="B9035" s="13" t="s">
        <v>8699</v>
      </c>
      <c r="C9035" s="18" t="s">
        <v>9061</v>
      </c>
      <c r="D9035" s="1"/>
      <c r="E9035" s="1"/>
      <c r="F9035" s="1" t="str">
        <f>IFERROR(__xludf.DUMMYFUNCTION("GOOGLETRANSLATE(B9035, ""en"", ""fa"")
"),"موفقیت در پادکست")</f>
        <v>موفقیت در پادکست</v>
      </c>
      <c r="G9035" s="1" t="str">
        <f>IFERROR(__xludf.DUMMYFUNCTION("GOOGLETRANSLATE(C9035, ""en"", ""fa"")
"),"چگونه می توان از پیوند متقابل و ناوبری داخلی در قسمت های پادکست و وب سایت خود برای بهبود سئو و تعامل کاربر استفاده کرد؟")</f>
        <v>چگونه می توان از پیوند متقابل و ناوبری داخلی در قسمت های پادکست و وب سایت خود برای بهبود سئو و تعامل کاربر استفاده کرد؟</v>
      </c>
      <c r="H9035" s="1"/>
      <c r="I9035" s="1"/>
      <c r="J9035" s="1"/>
      <c r="K9035" s="1"/>
      <c r="L9035" s="1"/>
      <c r="M9035" s="1"/>
      <c r="N9035" s="1"/>
      <c r="O9035" s="1"/>
      <c r="P9035" s="1"/>
      <c r="Q9035" s="1"/>
      <c r="R9035" s="1"/>
      <c r="S9035" s="1"/>
      <c r="T9035" s="1"/>
      <c r="U9035" s="1"/>
      <c r="V9035" s="1"/>
      <c r="W9035" s="1"/>
      <c r="X9035" s="1"/>
      <c r="Y9035" s="1"/>
      <c r="Z9035" s="1"/>
      <c r="AA9035" s="1"/>
      <c r="AB9035" s="1"/>
    </row>
    <row r="9036" ht="50.25" customHeight="1">
      <c r="A9036" s="12">
        <v>9032.0</v>
      </c>
      <c r="B9036" s="13" t="s">
        <v>8699</v>
      </c>
      <c r="C9036" s="18" t="s">
        <v>9062</v>
      </c>
      <c r="D9036" s="1"/>
      <c r="E9036" s="1"/>
      <c r="F9036" s="1" t="str">
        <f>IFERROR(__xludf.DUMMYFUNCTION("GOOGLETRANSLATE(B9036, ""en"", ""fa"")
"),"موفقیت در پادکست")</f>
        <v>موفقیت در پادکست</v>
      </c>
      <c r="G9036" s="1" t="str">
        <f>IFERROR(__xludf.DUMMYFUNCTION("GOOGLETRANSLATE(C9036, ""en"", ""fa"")
"),"تکنیک‌های بهینه‌سازی برچسب‌ها، دسته‌ها و برچسب‌های موضوع پادکست برای افزایش دید و سازماندهی موتور جستجو چیست؟")</f>
        <v>تکنیک‌های بهینه‌سازی برچسب‌ها، دسته‌ها و برچسب‌های موضوع پادکست برای افزایش دید و سازماندهی موتور جستجو چیست؟</v>
      </c>
      <c r="H9036" s="1"/>
      <c r="I9036" s="1"/>
      <c r="J9036" s="1"/>
      <c r="K9036" s="1"/>
      <c r="L9036" s="1"/>
      <c r="M9036" s="1"/>
      <c r="N9036" s="1"/>
      <c r="O9036" s="1"/>
      <c r="P9036" s="1"/>
      <c r="Q9036" s="1"/>
      <c r="R9036" s="1"/>
      <c r="S9036" s="1"/>
      <c r="T9036" s="1"/>
      <c r="U9036" s="1"/>
      <c r="V9036" s="1"/>
      <c r="W9036" s="1"/>
      <c r="X9036" s="1"/>
      <c r="Y9036" s="1"/>
      <c r="Z9036" s="1"/>
      <c r="AA9036" s="1"/>
      <c r="AB9036" s="1"/>
    </row>
    <row r="9037" ht="50.25" customHeight="1">
      <c r="A9037" s="12">
        <v>9033.0</v>
      </c>
      <c r="B9037" s="13" t="s">
        <v>8699</v>
      </c>
      <c r="C9037" s="18" t="s">
        <v>9063</v>
      </c>
      <c r="D9037" s="1"/>
      <c r="E9037" s="1"/>
      <c r="F9037" s="1" t="str">
        <f>IFERROR(__xludf.DUMMYFUNCTION("GOOGLETRANSLATE(B9037, ""en"", ""fa"")
"),"موفقیت در پادکست")</f>
        <v>موفقیت در پادکست</v>
      </c>
      <c r="G9037" s="1" t="str">
        <f>IFERROR(__xludf.DUMMYFUNCTION("GOOGLETRANSLATE(C9037, ""en"", ""fa"")
"),"چگونه می توان از اثبات اجتماعی مانند بررسی و رتبه بندی پادکست برای بهبود سئوی پادکست و جذب شنوندگان جدید از طریق اعتبار سنجی اجتماعی استفاده کرد؟")</f>
        <v>چگونه می توان از اثبات اجتماعی مانند بررسی و رتبه بندی پادکست برای بهبود سئوی پادکست و جذب شنوندگان جدید از طریق اعتبار سنجی اجتماعی استفاده کرد؟</v>
      </c>
      <c r="H9037" s="1"/>
      <c r="I9037" s="1"/>
      <c r="J9037" s="1"/>
      <c r="K9037" s="1"/>
      <c r="L9037" s="1"/>
      <c r="M9037" s="1"/>
      <c r="N9037" s="1"/>
      <c r="O9037" s="1"/>
      <c r="P9037" s="1"/>
      <c r="Q9037" s="1"/>
      <c r="R9037" s="1"/>
      <c r="S9037" s="1"/>
      <c r="T9037" s="1"/>
      <c r="U9037" s="1"/>
      <c r="V9037" s="1"/>
      <c r="W9037" s="1"/>
      <c r="X9037" s="1"/>
      <c r="Y9037" s="1"/>
      <c r="Z9037" s="1"/>
      <c r="AA9037" s="1"/>
      <c r="AB9037" s="1"/>
    </row>
    <row r="9038" ht="50.25" customHeight="1">
      <c r="A9038" s="12">
        <v>9034.0</v>
      </c>
      <c r="B9038" s="13" t="s">
        <v>8699</v>
      </c>
      <c r="C9038" s="18" t="s">
        <v>9064</v>
      </c>
      <c r="D9038" s="1"/>
      <c r="E9038" s="1"/>
      <c r="F9038" s="1" t="str">
        <f>IFERROR(__xludf.DUMMYFUNCTION("GOOGLETRANSLATE(B9038, ""en"", ""fa"")
"),"موفقیت در پادکست")</f>
        <v>موفقیت در پادکست</v>
      </c>
      <c r="G9038" s="1" t="str">
        <f>IFERROR(__xludf.DUMMYFUNCTION("GOOGLETRANSLATE(C9038, ""en"", ""fa"")
"),"راهبردهای استفاده از بیانیه های مطبوعاتی و اطلاع رسانی رسانه ها برای ایجاد پوشش سئو و بک لینک برای پادکست شما چیست؟")</f>
        <v>راهبردهای استفاده از بیانیه های مطبوعاتی و اطلاع رسانی رسانه ها برای ایجاد پوشش سئو و بک لینک برای پادکست شما چیست؟</v>
      </c>
      <c r="H9038" s="1"/>
      <c r="I9038" s="1"/>
      <c r="J9038" s="1"/>
      <c r="K9038" s="1"/>
      <c r="L9038" s="1"/>
      <c r="M9038" s="1"/>
      <c r="N9038" s="1"/>
      <c r="O9038" s="1"/>
      <c r="P9038" s="1"/>
      <c r="Q9038" s="1"/>
      <c r="R9038" s="1"/>
      <c r="S9038" s="1"/>
      <c r="T9038" s="1"/>
      <c r="U9038" s="1"/>
      <c r="V9038" s="1"/>
      <c r="W9038" s="1"/>
      <c r="X9038" s="1"/>
      <c r="Y9038" s="1"/>
      <c r="Z9038" s="1"/>
      <c r="AA9038" s="1"/>
      <c r="AB9038" s="1"/>
    </row>
    <row r="9039" ht="50.25" customHeight="1">
      <c r="A9039" s="12">
        <v>9035.0</v>
      </c>
      <c r="B9039" s="13" t="s">
        <v>8699</v>
      </c>
      <c r="C9039" s="18" t="s">
        <v>9065</v>
      </c>
      <c r="D9039" s="1"/>
      <c r="E9039" s="1"/>
      <c r="F9039" s="1" t="str">
        <f>IFERROR(__xludf.DUMMYFUNCTION("GOOGLETRANSLATE(B9039, ""en"", ""fa"")
"),"موفقیت در پادکست")</f>
        <v>موفقیت در پادکست</v>
      </c>
      <c r="G9039" s="1" t="str">
        <f>IFERROR(__xludf.DUMMYFUNCTION("GOOGLETRANSLATE(C9039, ""en"", ""fa"")
"),"چگونه تبلیغ قسمت پادکست را از طریق تبلیغات رسانه های اجتماعی، با استفاده از کلمات کلیدی هدفمند و تقسیم بندی مخاطبان برای بهبود تاثیر سئو بهینه کنیم؟")</f>
        <v>چگونه تبلیغ قسمت پادکست را از طریق تبلیغات رسانه های اجتماعی، با استفاده از کلمات کلیدی هدفمند و تقسیم بندی مخاطبان برای بهبود تاثیر سئو بهینه کنیم؟</v>
      </c>
      <c r="H9039" s="1"/>
      <c r="I9039" s="1"/>
      <c r="J9039" s="1"/>
      <c r="K9039" s="1"/>
      <c r="L9039" s="1"/>
      <c r="M9039" s="1"/>
      <c r="N9039" s="1"/>
      <c r="O9039" s="1"/>
      <c r="P9039" s="1"/>
      <c r="Q9039" s="1"/>
      <c r="R9039" s="1"/>
      <c r="S9039" s="1"/>
      <c r="T9039" s="1"/>
      <c r="U9039" s="1"/>
      <c r="V9039" s="1"/>
      <c r="W9039" s="1"/>
      <c r="X9039" s="1"/>
      <c r="Y9039" s="1"/>
      <c r="Z9039" s="1"/>
      <c r="AA9039" s="1"/>
      <c r="AB9039" s="1"/>
    </row>
    <row r="9040" ht="50.25" customHeight="1">
      <c r="A9040" s="12">
        <v>9036.0</v>
      </c>
      <c r="B9040" s="13" t="s">
        <v>8699</v>
      </c>
      <c r="C9040" s="18" t="s">
        <v>9066</v>
      </c>
      <c r="D9040" s="1"/>
      <c r="E9040" s="1"/>
      <c r="F9040" s="1" t="str">
        <f>IFERROR(__xludf.DUMMYFUNCTION("GOOGLETRANSLATE(B9040, ""en"", ""fa"")
"),"موفقیت در پادکست")</f>
        <v>موفقیت در پادکست</v>
      </c>
      <c r="G9040" s="1" t="str">
        <f>IFERROR(__xludf.DUMMYFUNCTION("GOOGLETRANSLATE(C9040, ""en"", ""fa"")
"),"تکنیک های بهینه سازی تبلیغ قسمت پادکست از طریق اینفلوئنسر مارکتینگ، همکاری با اینفلوئنسرهایی که می توانند بک لینک های مرتبط و سیگنال های اجتماعی تولید کنند چیست؟")</f>
        <v>تکنیک های بهینه سازی تبلیغ قسمت پادکست از طریق اینفلوئنسر مارکتینگ، همکاری با اینفلوئنسرهایی که می توانند بک لینک های مرتبط و سیگنال های اجتماعی تولید کنند چیست؟</v>
      </c>
      <c r="H9040" s="1"/>
      <c r="I9040" s="1"/>
      <c r="J9040" s="1"/>
      <c r="K9040" s="1"/>
      <c r="L9040" s="1"/>
      <c r="M9040" s="1"/>
      <c r="N9040" s="1"/>
      <c r="O9040" s="1"/>
      <c r="P9040" s="1"/>
      <c r="Q9040" s="1"/>
      <c r="R9040" s="1"/>
      <c r="S9040" s="1"/>
      <c r="T9040" s="1"/>
      <c r="U9040" s="1"/>
      <c r="V9040" s="1"/>
      <c r="W9040" s="1"/>
      <c r="X9040" s="1"/>
      <c r="Y9040" s="1"/>
      <c r="Z9040" s="1"/>
      <c r="AA9040" s="1"/>
      <c r="AB9040" s="1"/>
    </row>
    <row r="9041" ht="50.25" customHeight="1">
      <c r="A9041" s="12">
        <v>9037.0</v>
      </c>
      <c r="B9041" s="13" t="s">
        <v>8699</v>
      </c>
      <c r="C9041" s="18" t="s">
        <v>9067</v>
      </c>
      <c r="D9041" s="1"/>
      <c r="E9041" s="1"/>
      <c r="F9041" s="1" t="str">
        <f>IFERROR(__xludf.DUMMYFUNCTION("GOOGLETRANSLATE(B9041, ""en"", ""fa"")
"),"موفقیت در پادکست")</f>
        <v>موفقیت در پادکست</v>
      </c>
      <c r="G9041" s="1" t="str">
        <f>IFERROR(__xludf.DUMMYFUNCTION("GOOGLETRANSLATE(C9041, ""en"", ""fa"")
"),"چگونه از دایرکتوری‌ها و پلتفرم‌های خاص صنعت استفاده کنیم تا سئوی پادکست خود را بهبود بخشیده و دید آن را در جایگاه خود افزایش دهیم؟")</f>
        <v>چگونه از دایرکتوری‌ها و پلتفرم‌های خاص صنعت استفاده کنیم تا سئوی پادکست خود را بهبود بخشیده و دید آن را در جایگاه خود افزایش دهیم؟</v>
      </c>
      <c r="H9041" s="1"/>
      <c r="I9041" s="1"/>
      <c r="J9041" s="1"/>
      <c r="K9041" s="1"/>
      <c r="L9041" s="1"/>
      <c r="M9041" s="1"/>
      <c r="N9041" s="1"/>
      <c r="O9041" s="1"/>
      <c r="P9041" s="1"/>
      <c r="Q9041" s="1"/>
      <c r="R9041" s="1"/>
      <c r="S9041" s="1"/>
      <c r="T9041" s="1"/>
      <c r="U9041" s="1"/>
      <c r="V9041" s="1"/>
      <c r="W9041" s="1"/>
      <c r="X9041" s="1"/>
      <c r="Y9041" s="1"/>
      <c r="Z9041" s="1"/>
      <c r="AA9041" s="1"/>
      <c r="AB9041" s="1"/>
    </row>
    <row r="9042" ht="50.25" customHeight="1">
      <c r="A9042" s="12">
        <v>9038.0</v>
      </c>
      <c r="B9042" s="13" t="s">
        <v>8699</v>
      </c>
      <c r="C9042" s="18" t="s">
        <v>9068</v>
      </c>
      <c r="D9042" s="1"/>
      <c r="E9042" s="1"/>
      <c r="F9042" s="1" t="str">
        <f>IFERROR(__xludf.DUMMYFUNCTION("GOOGLETRANSLATE(B9042, ""en"", ""fa"")
"),"موفقیت در پادکست")</f>
        <v>موفقیت در پادکست</v>
      </c>
      <c r="G9042" s="1" t="str">
        <f>IFERROR(__xludf.DUMMYFUNCTION("GOOGLETRANSLATE(C9042, ""en"", ""fa"")
"),"استراتژی های استفاده از یوتیوب و پلتفرم های ویدیویی برای تغییر کاربری محتوای پادکست و بهبود سئوی پادکست از طریق نتایج جستجوی ویدیو چیست؟")</f>
        <v>استراتژی های استفاده از یوتیوب و پلتفرم های ویدیویی برای تغییر کاربری محتوای پادکست و بهبود سئوی پادکست از طریق نتایج جستجوی ویدیو چیست؟</v>
      </c>
      <c r="H9042" s="1"/>
      <c r="I9042" s="1"/>
      <c r="J9042" s="1"/>
      <c r="K9042" s="1"/>
      <c r="L9042" s="1"/>
      <c r="M9042" s="1"/>
      <c r="N9042" s="1"/>
      <c r="O9042" s="1"/>
      <c r="P9042" s="1"/>
      <c r="Q9042" s="1"/>
      <c r="R9042" s="1"/>
      <c r="S9042" s="1"/>
      <c r="T9042" s="1"/>
      <c r="U9042" s="1"/>
      <c r="V9042" s="1"/>
      <c r="W9042" s="1"/>
      <c r="X9042" s="1"/>
      <c r="Y9042" s="1"/>
      <c r="Z9042" s="1"/>
      <c r="AA9042" s="1"/>
      <c r="AB9042" s="1"/>
    </row>
    <row r="9043" ht="50.25" customHeight="1">
      <c r="A9043" s="12">
        <v>9039.0</v>
      </c>
      <c r="B9043" s="13" t="s">
        <v>8699</v>
      </c>
      <c r="C9043" s="18" t="s">
        <v>9069</v>
      </c>
      <c r="D9043" s="1"/>
      <c r="E9043" s="1"/>
      <c r="F9043" s="1" t="str">
        <f>IFERROR(__xludf.DUMMYFUNCTION("GOOGLETRANSLATE(B9043, ""en"", ""fa"")
"),"موفقیت در پادکست")</f>
        <v>موفقیت در پادکست</v>
      </c>
      <c r="G9043" s="1" t="str">
        <f>IFERROR(__xludf.DUMMYFUNCTION("GOOGLETRANSLATE(C9043, ""en"", ""fa"")
"),"چگونه می توان فید RSS و ساختار XML پادکست خود را برای بهبود نمایه سازی و مشاهده آن در فهرست های پادکست و موتورهای جستجو بهینه کرد؟")</f>
        <v>چگونه می توان فید RSS و ساختار XML پادکست خود را برای بهبود نمایه سازی و مشاهده آن در فهرست های پادکست و موتورهای جستجو بهینه کرد؟</v>
      </c>
      <c r="H9043" s="1"/>
      <c r="I9043" s="1"/>
      <c r="J9043" s="1"/>
      <c r="K9043" s="1"/>
      <c r="L9043" s="1"/>
      <c r="M9043" s="1"/>
      <c r="N9043" s="1"/>
      <c r="O9043" s="1"/>
      <c r="P9043" s="1"/>
      <c r="Q9043" s="1"/>
      <c r="R9043" s="1"/>
      <c r="S9043" s="1"/>
      <c r="T9043" s="1"/>
      <c r="U9043" s="1"/>
      <c r="V9043" s="1"/>
      <c r="W9043" s="1"/>
      <c r="X9043" s="1"/>
      <c r="Y9043" s="1"/>
      <c r="Z9043" s="1"/>
      <c r="AA9043" s="1"/>
      <c r="AB9043" s="1"/>
    </row>
    <row r="9044" ht="50.25" customHeight="1">
      <c r="A9044" s="12">
        <v>9040.0</v>
      </c>
      <c r="B9044" s="13" t="s">
        <v>8699</v>
      </c>
      <c r="C9044" s="18" t="s">
        <v>9070</v>
      </c>
      <c r="D9044" s="1"/>
      <c r="E9044" s="1"/>
      <c r="F9044" s="1" t="str">
        <f>IFERROR(__xludf.DUMMYFUNCTION("GOOGLETRANSLATE(B9044, ""en"", ""fa"")
"),"موفقیت در پادکست")</f>
        <v>موفقیت در پادکست</v>
      </c>
      <c r="G9044" s="1" t="str">
        <f>IFERROR(__xludf.DUMMYFUNCTION("GOOGLETRANSLATE(C9044, ""en"", ""fa"")
"),"تکنیک‌های استفاده از تبلیغ قسمت پادکست از طریق جوامع آنلاین، انجمن‌ها و پلتفرم‌های گفتگو برای ایجاد بک لینک و تعامل با مخاطبان هدف چیست؟")</f>
        <v>تکنیک‌های استفاده از تبلیغ قسمت پادکست از طریق جوامع آنلاین، انجمن‌ها و پلتفرم‌های گفتگو برای ایجاد بک لینک و تعامل با مخاطبان هدف چیست؟</v>
      </c>
      <c r="H9044" s="1"/>
      <c r="I9044" s="1"/>
      <c r="J9044" s="1"/>
      <c r="K9044" s="1"/>
      <c r="L9044" s="1"/>
      <c r="M9044" s="1"/>
      <c r="N9044" s="1"/>
      <c r="O9044" s="1"/>
      <c r="P9044" s="1"/>
      <c r="Q9044" s="1"/>
      <c r="R9044" s="1"/>
      <c r="S9044" s="1"/>
      <c r="T9044" s="1"/>
      <c r="U9044" s="1"/>
      <c r="V9044" s="1"/>
      <c r="W9044" s="1"/>
      <c r="X9044" s="1"/>
      <c r="Y9044" s="1"/>
      <c r="Z9044" s="1"/>
      <c r="AA9044" s="1"/>
      <c r="AB9044" s="1"/>
    </row>
    <row r="9045" ht="50.25" customHeight="1">
      <c r="A9045" s="12">
        <v>9041.0</v>
      </c>
      <c r="B9045" s="13" t="s">
        <v>8699</v>
      </c>
      <c r="C9045" s="18" t="s">
        <v>9071</v>
      </c>
      <c r="D9045" s="1"/>
      <c r="E9045" s="1"/>
      <c r="F9045" s="1" t="str">
        <f>IFERROR(__xludf.DUMMYFUNCTION("GOOGLETRANSLATE(B9045, ""en"", ""fa"")
"),"موفقیت در پادکست")</f>
        <v>موفقیت در پادکست</v>
      </c>
      <c r="G9045" s="1" t="str">
        <f>IFERROR(__xludf.DUMMYFUNCTION("GOOGLETRANSLATE(C9045, ""en"", ""fa"")
"),"چگونه از استراتژی‌های ارتقای محتوای مناسب سئو، مانند وبلاگ نویسی مهمان، همکاری تأثیرگذاران، و پیوند محتوا، برای بهبود دید موتور جستجوی پادکست و جذب شنوندگان جدید استفاده کنیم؟")</f>
        <v>چگونه از استراتژی‌های ارتقای محتوای مناسب سئو، مانند وبلاگ نویسی مهمان، همکاری تأثیرگذاران، و پیوند محتوا، برای بهبود دید موتور جستجوی پادکست و جذب شنوندگان جدید استفاده کنیم؟</v>
      </c>
      <c r="H9045" s="1"/>
      <c r="I9045" s="1"/>
      <c r="J9045" s="1"/>
      <c r="K9045" s="1"/>
      <c r="L9045" s="1"/>
      <c r="M9045" s="1"/>
      <c r="N9045" s="1"/>
      <c r="O9045" s="1"/>
      <c r="P9045" s="1"/>
      <c r="Q9045" s="1"/>
      <c r="R9045" s="1"/>
      <c r="S9045" s="1"/>
      <c r="T9045" s="1"/>
      <c r="U9045" s="1"/>
      <c r="V9045" s="1"/>
      <c r="W9045" s="1"/>
      <c r="X9045" s="1"/>
      <c r="Y9045" s="1"/>
      <c r="Z9045" s="1"/>
      <c r="AA9045" s="1"/>
      <c r="AB9045" s="1"/>
    </row>
    <row r="9046" ht="50.25" customHeight="1">
      <c r="A9046" s="12">
        <v>9042.0</v>
      </c>
      <c r="B9046" s="13" t="s">
        <v>8699</v>
      </c>
      <c r="C9046" s="18" t="s">
        <v>9072</v>
      </c>
      <c r="D9046" s="1"/>
      <c r="E9046" s="1"/>
      <c r="F9046" s="1" t="str">
        <f>IFERROR(__xludf.DUMMYFUNCTION("GOOGLETRANSLATE(B9046, ""en"", ""fa"")
"),"موفقیت در پادکست")</f>
        <v>موفقیت در پادکست</v>
      </c>
      <c r="G9046" s="1" t="str">
        <f>IFERROR(__xludf.DUMMYFUNCTION("GOOGLETRANSLATE(C9046, ""en"", ""fa"")
"),"استراتژی های استفاده از تاکتیک های سئوی محلی، مانند بهینه سازی پادکست برای کلمات کلیدی مبتنی بر مکان و هدف قرار دادن هدف جستجوی محلی، برای جذب شنوندگان هدف جغرافیایی چیست؟")</f>
        <v>استراتژی های استفاده از تاکتیک های سئوی محلی، مانند بهینه سازی پادکست برای کلمات کلیدی مبتنی بر مکان و هدف قرار دادن هدف جستجوی محلی، برای جذب شنوندگان هدف جغرافیایی چیست؟</v>
      </c>
      <c r="H9046" s="1"/>
      <c r="I9046" s="1"/>
      <c r="J9046" s="1"/>
      <c r="K9046" s="1"/>
      <c r="L9046" s="1"/>
      <c r="M9046" s="1"/>
      <c r="N9046" s="1"/>
      <c r="O9046" s="1"/>
      <c r="P9046" s="1"/>
      <c r="Q9046" s="1"/>
      <c r="R9046" s="1"/>
      <c r="S9046" s="1"/>
      <c r="T9046" s="1"/>
      <c r="U9046" s="1"/>
      <c r="V9046" s="1"/>
      <c r="W9046" s="1"/>
      <c r="X9046" s="1"/>
      <c r="Y9046" s="1"/>
      <c r="Z9046" s="1"/>
      <c r="AA9046" s="1"/>
      <c r="AB9046" s="1"/>
    </row>
    <row r="9047" ht="50.25" customHeight="1">
      <c r="A9047" s="12">
        <v>9043.0</v>
      </c>
      <c r="B9047" s="13" t="s">
        <v>8699</v>
      </c>
      <c r="C9047" s="18" t="s">
        <v>9073</v>
      </c>
      <c r="D9047" s="1"/>
      <c r="E9047" s="1"/>
      <c r="F9047" s="1" t="str">
        <f>IFERROR(__xludf.DUMMYFUNCTION("GOOGLETRANSLATE(B9047, ""en"", ""fa"")
"),"موفقیت در پادکست")</f>
        <v>موفقیت در پادکست</v>
      </c>
      <c r="G9047" s="1" t="str">
        <f>IFERROR(__xludf.DUMMYFUNCTION("GOOGLETRANSLATE(C9047, ""en"", ""fa"")
"),"چگونه رونوشت‌های قسمت پادکست را برای مشاهده و دسترسی در موتورهای جستجو بهینه کنیم و از استفاده و قالب‌بندی دقیق کلمه کلیدی اطمینان حاصل کنیم؟")</f>
        <v>چگونه رونوشت‌های قسمت پادکست را برای مشاهده و دسترسی در موتورهای جستجو بهینه کنیم و از استفاده و قالب‌بندی دقیق کلمه کلیدی اطمینان حاصل کنیم؟</v>
      </c>
      <c r="H9047" s="1"/>
      <c r="I9047" s="1"/>
      <c r="J9047" s="1"/>
      <c r="K9047" s="1"/>
      <c r="L9047" s="1"/>
      <c r="M9047" s="1"/>
      <c r="N9047" s="1"/>
      <c r="O9047" s="1"/>
      <c r="P9047" s="1"/>
      <c r="Q9047" s="1"/>
      <c r="R9047" s="1"/>
      <c r="S9047" s="1"/>
      <c r="T9047" s="1"/>
      <c r="U9047" s="1"/>
      <c r="V9047" s="1"/>
      <c r="W9047" s="1"/>
      <c r="X9047" s="1"/>
      <c r="Y9047" s="1"/>
      <c r="Z9047" s="1"/>
      <c r="AA9047" s="1"/>
      <c r="AB9047" s="1"/>
    </row>
    <row r="9048" ht="50.25" customHeight="1">
      <c r="A9048" s="12">
        <v>9044.0</v>
      </c>
      <c r="B9048" s="13" t="s">
        <v>8699</v>
      </c>
      <c r="C9048" s="18" t="s">
        <v>9074</v>
      </c>
      <c r="D9048" s="1"/>
      <c r="E9048" s="1"/>
      <c r="F9048" s="1" t="str">
        <f>IFERROR(__xludf.DUMMYFUNCTION("GOOGLETRANSLATE(B9048, ""en"", ""fa"")
"),"موفقیت در پادکست")</f>
        <v>موفقیت در پادکست</v>
      </c>
      <c r="G9048" s="1" t="str">
        <f>IFERROR(__xludf.DUMMYFUNCTION("GOOGLETRANSLATE(C9048, ""en"", ""fa"")
"),"چه تکنیک هایی برای استفاده از محتوای تولید شده توسط کاربر، مانند سوالات یا نظرات ارسال شده توسط شنوندگان، برای بهبود سئوی پادکست و تعامل با مخاطبان وجود دارد؟")</f>
        <v>چه تکنیک هایی برای استفاده از محتوای تولید شده توسط کاربر، مانند سوالات یا نظرات ارسال شده توسط شنوندگان، برای بهبود سئوی پادکست و تعامل با مخاطبان وجود دارد؟</v>
      </c>
      <c r="H9048" s="1"/>
      <c r="I9048" s="1"/>
      <c r="J9048" s="1"/>
      <c r="K9048" s="1"/>
      <c r="L9048" s="1"/>
      <c r="M9048" s="1"/>
      <c r="N9048" s="1"/>
      <c r="O9048" s="1"/>
      <c r="P9048" s="1"/>
      <c r="Q9048" s="1"/>
      <c r="R9048" s="1"/>
      <c r="S9048" s="1"/>
      <c r="T9048" s="1"/>
      <c r="U9048" s="1"/>
      <c r="V9048" s="1"/>
      <c r="W9048" s="1"/>
      <c r="X9048" s="1"/>
      <c r="Y9048" s="1"/>
      <c r="Z9048" s="1"/>
      <c r="AA9048" s="1"/>
      <c r="AB9048" s="1"/>
    </row>
    <row r="9049" ht="50.25" customHeight="1">
      <c r="A9049" s="12">
        <v>9045.0</v>
      </c>
      <c r="B9049" s="13" t="s">
        <v>8699</v>
      </c>
      <c r="C9049" s="18" t="s">
        <v>9075</v>
      </c>
      <c r="D9049" s="1"/>
      <c r="E9049" s="1"/>
      <c r="F9049" s="1" t="str">
        <f>IFERROR(__xludf.DUMMYFUNCTION("GOOGLETRANSLATE(B9049, ""en"", ""fa"")
"),"موفقیت در پادکست")</f>
        <v>موفقیت در پادکست</v>
      </c>
      <c r="G9049" s="1" t="str">
        <f>IFERROR(__xludf.DUMMYFUNCTION("GOOGLETRANSLATE(C9049, ""en"", ""fa"")
"),"چگونه تجزیه و تحلیل شکاف کلمات کلیدی و تحقیقات رقبا را برای شناسایی فرصت های سئوی استفاده نشده برای پادکست خود انجام دهیم؟")</f>
        <v>چگونه تجزیه و تحلیل شکاف کلمات کلیدی و تحقیقات رقبا را برای شناسایی فرصت های سئوی استفاده نشده برای پادکست خود انجام دهیم؟</v>
      </c>
      <c r="H9049" s="1"/>
      <c r="I9049" s="1"/>
      <c r="J9049" s="1"/>
      <c r="K9049" s="1"/>
      <c r="L9049" s="1"/>
      <c r="M9049" s="1"/>
      <c r="N9049" s="1"/>
      <c r="O9049" s="1"/>
      <c r="P9049" s="1"/>
      <c r="Q9049" s="1"/>
      <c r="R9049" s="1"/>
      <c r="S9049" s="1"/>
      <c r="T9049" s="1"/>
      <c r="U9049" s="1"/>
      <c r="V9049" s="1"/>
      <c r="W9049" s="1"/>
      <c r="X9049" s="1"/>
      <c r="Y9049" s="1"/>
      <c r="Z9049" s="1"/>
      <c r="AA9049" s="1"/>
      <c r="AB9049" s="1"/>
    </row>
    <row r="9050" ht="50.25" customHeight="1">
      <c r="A9050" s="12">
        <v>9046.0</v>
      </c>
      <c r="B9050" s="13" t="s">
        <v>8699</v>
      </c>
      <c r="C9050" s="18" t="s">
        <v>9076</v>
      </c>
      <c r="D9050" s="1"/>
      <c r="E9050" s="1"/>
      <c r="F9050" s="1" t="str">
        <f>IFERROR(__xludf.DUMMYFUNCTION("GOOGLETRANSLATE(B9050, ""en"", ""fa"")
"),"موفقیت در پادکست")</f>
        <v>موفقیت در پادکست</v>
      </c>
      <c r="G9050" s="1" t="str">
        <f>IFERROR(__xludf.DUMMYFUNCTION("GOOGLETRANSLATE(C9050, ""en"", ""fa"")
"),"استراتژی‌های استفاده از اینفلوئنسرها و مشارکت‌ها برای تقویت تلاش‌های سئوی پادکست شما از طریق حضور مهمان، تأییدیه‌ها یا محتوای مشترک چیست؟")</f>
        <v>استراتژی‌های استفاده از اینفلوئنسرها و مشارکت‌ها برای تقویت تلاش‌های سئوی پادکست شما از طریق حضور مهمان، تأییدیه‌ها یا محتوای مشترک چیست؟</v>
      </c>
      <c r="H9050" s="1"/>
      <c r="I9050" s="1"/>
      <c r="J9050" s="1"/>
      <c r="K9050" s="1"/>
      <c r="L9050" s="1"/>
      <c r="M9050" s="1"/>
      <c r="N9050" s="1"/>
      <c r="O9050" s="1"/>
      <c r="P9050" s="1"/>
      <c r="Q9050" s="1"/>
      <c r="R9050" s="1"/>
      <c r="S9050" s="1"/>
      <c r="T9050" s="1"/>
      <c r="U9050" s="1"/>
      <c r="V9050" s="1"/>
      <c r="W9050" s="1"/>
      <c r="X9050" s="1"/>
      <c r="Y9050" s="1"/>
      <c r="Z9050" s="1"/>
      <c r="AA9050" s="1"/>
      <c r="AB9050" s="1"/>
    </row>
    <row r="9051" ht="50.25" customHeight="1">
      <c r="A9051" s="12">
        <v>9047.0</v>
      </c>
      <c r="B9051" s="13" t="s">
        <v>8699</v>
      </c>
      <c r="C9051" s="18" t="s">
        <v>9077</v>
      </c>
      <c r="D9051" s="1"/>
      <c r="E9051" s="1"/>
      <c r="F9051" s="1" t="str">
        <f>IFERROR(__xludf.DUMMYFUNCTION("GOOGLETRANSLATE(B9051, ""en"", ""fa"")
"),"موفقیت در پادکست")</f>
        <v>موفقیت در پادکست</v>
      </c>
      <c r="G9051" s="1" t="str">
        <f>IFERROR(__xludf.DUMMYFUNCTION("GOOGLETRANSLATE(C9051, ""en"", ""fa"")
"),"چگونه وب سایت یا صفحه فرود پادکست خود را برای سئوی موبایل بهینه کنیم، از زمان بارگذاری سریع، طراحی واکنش گرا و تجربه کاربری سازگار با موبایل اطمینان حاصل کنیم؟")</f>
        <v>چگونه وب سایت یا صفحه فرود پادکست خود را برای سئوی موبایل بهینه کنیم، از زمان بارگذاری سریع، طراحی واکنش گرا و تجربه کاربری سازگار با موبایل اطمینان حاصل کنیم؟</v>
      </c>
      <c r="H9051" s="1"/>
      <c r="I9051" s="1"/>
      <c r="J9051" s="1"/>
      <c r="K9051" s="1"/>
      <c r="L9051" s="1"/>
      <c r="M9051" s="1"/>
      <c r="N9051" s="1"/>
      <c r="O9051" s="1"/>
      <c r="P9051" s="1"/>
      <c r="Q9051" s="1"/>
      <c r="R9051" s="1"/>
      <c r="S9051" s="1"/>
      <c r="T9051" s="1"/>
      <c r="U9051" s="1"/>
      <c r="V9051" s="1"/>
      <c r="W9051" s="1"/>
      <c r="X9051" s="1"/>
      <c r="Y9051" s="1"/>
      <c r="Z9051" s="1"/>
      <c r="AA9051" s="1"/>
      <c r="AB9051" s="1"/>
    </row>
    <row r="9052" ht="50.25" customHeight="1">
      <c r="A9052" s="12">
        <v>9048.0</v>
      </c>
      <c r="B9052" s="13" t="s">
        <v>8699</v>
      </c>
      <c r="C9052" s="18" t="s">
        <v>9078</v>
      </c>
      <c r="D9052" s="1"/>
      <c r="E9052" s="1"/>
      <c r="F9052" s="1" t="str">
        <f>IFERROR(__xludf.DUMMYFUNCTION("GOOGLETRANSLATE(B9052, ""en"", ""fa"")
"),"موفقیت در پادکست")</f>
        <v>موفقیت در پادکست</v>
      </c>
      <c r="G9052" s="1" t="str">
        <f>IFERROR(__xludf.DUMMYFUNCTION("GOOGLETRANSLATE(C9052, ""en"", ""fa"")
"),"تکنیک‌هایی برای ترکیب تاکتیک‌های SEO صوتی، مانند بهینه‌سازی ابرداده‌های قسمت پادکست و استفاده از رونوشت‌های صوتی مرتبط، برای بهبود رتبه‌بندی موتورهای جستجو چیست؟")</f>
        <v>تکنیک‌هایی برای ترکیب تاکتیک‌های SEO صوتی، مانند بهینه‌سازی ابرداده‌های قسمت پادکست و استفاده از رونوشت‌های صوتی مرتبط، برای بهبود رتبه‌بندی موتورهای جستجو چیست؟</v>
      </c>
      <c r="H9052" s="1"/>
      <c r="I9052" s="1"/>
      <c r="J9052" s="1"/>
      <c r="K9052" s="1"/>
      <c r="L9052" s="1"/>
      <c r="M9052" s="1"/>
      <c r="N9052" s="1"/>
      <c r="O9052" s="1"/>
      <c r="P9052" s="1"/>
      <c r="Q9052" s="1"/>
      <c r="R9052" s="1"/>
      <c r="S9052" s="1"/>
      <c r="T9052" s="1"/>
      <c r="U9052" s="1"/>
      <c r="V9052" s="1"/>
      <c r="W9052" s="1"/>
      <c r="X9052" s="1"/>
      <c r="Y9052" s="1"/>
      <c r="Z9052" s="1"/>
      <c r="AA9052" s="1"/>
      <c r="AB9052" s="1"/>
    </row>
    <row r="9053" ht="50.25" customHeight="1">
      <c r="A9053" s="12">
        <v>9049.0</v>
      </c>
      <c r="B9053" s="13" t="s">
        <v>8699</v>
      </c>
      <c r="C9053" s="18" t="s">
        <v>9079</v>
      </c>
      <c r="D9053" s="1"/>
      <c r="E9053" s="1"/>
      <c r="F9053" s="1" t="str">
        <f>IFERROR(__xludf.DUMMYFUNCTION("GOOGLETRANSLATE(B9053, ""en"", ""fa"")
"),"موفقیت در پادکست")</f>
        <v>موفقیت در پادکست</v>
      </c>
      <c r="G9053" s="1" t="str">
        <f>IFERROR(__xludf.DUMMYFUNCTION("GOOGLETRANSLATE(C9053, ""en"", ""fa"")
"),"چگونه می توان اثربخشی تلاش های سئوی پادکست خود را از طریق ابزارهای تجزیه و تحلیل، ردیابی کلمات کلیدی و شاخص های عملکرد SEO نظارت و اندازه گیری کرد؟")</f>
        <v>چگونه می توان اثربخشی تلاش های سئوی پادکست خود را از طریق ابزارهای تجزیه و تحلیل، ردیابی کلمات کلیدی و شاخص های عملکرد SEO نظارت و اندازه گیری کرد؟</v>
      </c>
      <c r="H9053" s="1"/>
      <c r="I9053" s="1"/>
      <c r="J9053" s="1"/>
      <c r="K9053" s="1"/>
      <c r="L9053" s="1"/>
      <c r="M9053" s="1"/>
      <c r="N9053" s="1"/>
      <c r="O9053" s="1"/>
      <c r="P9053" s="1"/>
      <c r="Q9053" s="1"/>
      <c r="R9053" s="1"/>
      <c r="S9053" s="1"/>
      <c r="T9053" s="1"/>
      <c r="U9053" s="1"/>
      <c r="V9053" s="1"/>
      <c r="W9053" s="1"/>
      <c r="X9053" s="1"/>
      <c r="Y9053" s="1"/>
      <c r="Z9053" s="1"/>
      <c r="AA9053" s="1"/>
      <c r="AB9053" s="1"/>
    </row>
    <row r="9054" ht="50.25" customHeight="1">
      <c r="A9054" s="12">
        <v>9050.0</v>
      </c>
      <c r="B9054" s="13" t="s">
        <v>8699</v>
      </c>
      <c r="C9054" s="18" t="s">
        <v>9080</v>
      </c>
      <c r="D9054" s="1"/>
      <c r="E9054" s="1"/>
      <c r="F9054" s="1" t="str">
        <f>IFERROR(__xludf.DUMMYFUNCTION("GOOGLETRANSLATE(B9054, ""en"", ""fa"")
"),"موفقیت در پادکست")</f>
        <v>موفقیت در پادکست</v>
      </c>
      <c r="G9054" s="1" t="str">
        <f>IFERROR(__xludf.DUMMYFUNCTION("GOOGLETRANSLATE(C9054, ""en"", ""fa"")
"),"تجهیزات ضروری پادکست و ابزار مورد نیاز برای شروع یک پادکست با کیفیت چیست؟")</f>
        <v>تجهیزات ضروری پادکست و ابزار مورد نیاز برای شروع یک پادکست با کیفیت چیست؟</v>
      </c>
      <c r="H9054" s="1"/>
      <c r="I9054" s="1"/>
      <c r="J9054" s="1"/>
      <c r="K9054" s="1"/>
      <c r="L9054" s="1"/>
      <c r="M9054" s="1"/>
      <c r="N9054" s="1"/>
      <c r="O9054" s="1"/>
      <c r="P9054" s="1"/>
      <c r="Q9054" s="1"/>
      <c r="R9054" s="1"/>
      <c r="S9054" s="1"/>
      <c r="T9054" s="1"/>
      <c r="U9054" s="1"/>
      <c r="V9054" s="1"/>
      <c r="W9054" s="1"/>
      <c r="X9054" s="1"/>
      <c r="Y9054" s="1"/>
      <c r="Z9054" s="1"/>
      <c r="AA9054" s="1"/>
      <c r="AB9054" s="1"/>
    </row>
    <row r="9055" ht="50.25" customHeight="1">
      <c r="A9055" s="12">
        <v>9051.0</v>
      </c>
      <c r="B9055" s="13" t="s">
        <v>8699</v>
      </c>
      <c r="C9055" s="18" t="s">
        <v>9081</v>
      </c>
      <c r="D9055" s="1"/>
      <c r="E9055" s="1"/>
      <c r="F9055" s="1" t="str">
        <f>IFERROR(__xludf.DUMMYFUNCTION("GOOGLETRANSLATE(B9055, ""en"", ""fa"")
"),"موفقیت در پادکست")</f>
        <v>موفقیت در پادکست</v>
      </c>
      <c r="G9055" s="1" t="str">
        <f>IFERROR(__xludf.DUMMYFUNCTION("GOOGLETRANSLATE(C9055, ""en"", ""fa"")
"),"چگونه بر اساس بودجه و محیط ضبط، میکروفون مناسب را برای نیازهای پادکست خود انتخاب کنیم؟")</f>
        <v>چگونه بر اساس بودجه و محیط ضبط، میکروفون مناسب را برای نیازهای پادکست خود انتخاب کنیم؟</v>
      </c>
      <c r="H9055" s="1"/>
      <c r="I9055" s="1"/>
      <c r="J9055" s="1"/>
      <c r="K9055" s="1"/>
      <c r="L9055" s="1"/>
      <c r="M9055" s="1"/>
      <c r="N9055" s="1"/>
      <c r="O9055" s="1"/>
      <c r="P9055" s="1"/>
      <c r="Q9055" s="1"/>
      <c r="R9055" s="1"/>
      <c r="S9055" s="1"/>
      <c r="T9055" s="1"/>
      <c r="U9055" s="1"/>
      <c r="V9055" s="1"/>
      <c r="W9055" s="1"/>
      <c r="X9055" s="1"/>
      <c r="Y9055" s="1"/>
      <c r="Z9055" s="1"/>
      <c r="AA9055" s="1"/>
      <c r="AB9055" s="1"/>
    </row>
    <row r="9056" ht="50.25" customHeight="1">
      <c r="A9056" s="12">
        <v>9052.0</v>
      </c>
      <c r="B9056" s="13" t="s">
        <v>8699</v>
      </c>
      <c r="C9056" s="18" t="s">
        <v>9082</v>
      </c>
      <c r="D9056" s="1"/>
      <c r="E9056" s="1"/>
      <c r="F9056" s="1" t="str">
        <f>IFERROR(__xludf.DUMMYFUNCTION("GOOGLETRANSLATE(B9056, ""en"", ""fa"")
"),"موفقیت در پادکست")</f>
        <v>موفقیت در پادکست</v>
      </c>
      <c r="G9056" s="1" t="str">
        <f>IFERROR(__xludf.DUMMYFUNCTION("GOOGLETRANSLATE(C9056, ""en"", ""fa"")
"),"راهکارهای راه اندازی یک استودیوی حرفه ای ضبط پادکست در خانه یا فضای اختصاصی چیست؟")</f>
        <v>راهکارهای راه اندازی یک استودیوی حرفه ای ضبط پادکست در خانه یا فضای اختصاصی چیست؟</v>
      </c>
      <c r="H9056" s="1"/>
      <c r="I9056" s="1"/>
      <c r="J9056" s="1"/>
      <c r="K9056" s="1"/>
      <c r="L9056" s="1"/>
      <c r="M9056" s="1"/>
      <c r="N9056" s="1"/>
      <c r="O9056" s="1"/>
      <c r="P9056" s="1"/>
      <c r="Q9056" s="1"/>
      <c r="R9056" s="1"/>
      <c r="S9056" s="1"/>
      <c r="T9056" s="1"/>
      <c r="U9056" s="1"/>
      <c r="V9056" s="1"/>
      <c r="W9056" s="1"/>
      <c r="X9056" s="1"/>
      <c r="Y9056" s="1"/>
      <c r="Z9056" s="1"/>
      <c r="AA9056" s="1"/>
      <c r="AB9056" s="1"/>
    </row>
    <row r="9057" ht="50.25" customHeight="1">
      <c r="A9057" s="12">
        <v>9053.0</v>
      </c>
      <c r="B9057" s="13" t="s">
        <v>8699</v>
      </c>
      <c r="C9057" s="18" t="s">
        <v>9083</v>
      </c>
      <c r="D9057" s="1"/>
      <c r="E9057" s="1"/>
      <c r="F9057" s="1" t="str">
        <f>IFERROR(__xludf.DUMMYFUNCTION("GOOGLETRANSLATE(B9057, ""en"", ""fa"")
"),"موفقیت در پادکست")</f>
        <v>موفقیت در پادکست</v>
      </c>
      <c r="G9057" s="1" t="str">
        <f>IFERROR(__xludf.DUMMYFUNCTION("GOOGLETRANSLATE(C9057, ""en"", ""fa"")
"),"چگونه محیط ضبط پادکست خود را برای کیفیت صدای مطلوب بهینه کنیم و نویز پس زمینه را به حداقل برسانیم؟")</f>
        <v>چگونه محیط ضبط پادکست خود را برای کیفیت صدای مطلوب بهینه کنیم و نویز پس زمینه را به حداقل برسانیم؟</v>
      </c>
      <c r="H9057" s="1"/>
      <c r="I9057" s="1"/>
      <c r="J9057" s="1"/>
      <c r="K9057" s="1"/>
      <c r="L9057" s="1"/>
      <c r="M9057" s="1"/>
      <c r="N9057" s="1"/>
      <c r="O9057" s="1"/>
      <c r="P9057" s="1"/>
      <c r="Q9057" s="1"/>
      <c r="R9057" s="1"/>
      <c r="S9057" s="1"/>
      <c r="T9057" s="1"/>
      <c r="U9057" s="1"/>
      <c r="V9057" s="1"/>
      <c r="W9057" s="1"/>
      <c r="X9057" s="1"/>
      <c r="Y9057" s="1"/>
      <c r="Z9057" s="1"/>
      <c r="AA9057" s="1"/>
      <c r="AB9057" s="1"/>
    </row>
    <row r="9058" ht="50.25" customHeight="1">
      <c r="A9058" s="12">
        <v>9054.0</v>
      </c>
      <c r="B9058" s="13" t="s">
        <v>8699</v>
      </c>
      <c r="C9058" s="18" t="s">
        <v>9084</v>
      </c>
      <c r="D9058" s="1"/>
      <c r="E9058" s="1"/>
      <c r="F9058" s="1" t="str">
        <f>IFERROR(__xludf.DUMMYFUNCTION("GOOGLETRANSLATE(B9058, ""en"", ""fa"")
"),"موفقیت در پادکست")</f>
        <v>موفقیت در پادکست</v>
      </c>
      <c r="G9058" s="1" t="str">
        <f>IFERROR(__xludf.DUMMYFUNCTION("GOOGLETRANSLATE(C9058, ""en"", ""fa"")
"),"تکنیک های انتخاب بهترین هدفون برای نظارت و ویرایش قسمت های پادکست شما چیست؟")</f>
        <v>تکنیک های انتخاب بهترین هدفون برای نظارت و ویرایش قسمت های پادکست شما چیست؟</v>
      </c>
      <c r="H9058" s="1"/>
      <c r="I9058" s="1"/>
      <c r="J9058" s="1"/>
      <c r="K9058" s="1"/>
      <c r="L9058" s="1"/>
      <c r="M9058" s="1"/>
      <c r="N9058" s="1"/>
      <c r="O9058" s="1"/>
      <c r="P9058" s="1"/>
      <c r="Q9058" s="1"/>
      <c r="R9058" s="1"/>
      <c r="S9058" s="1"/>
      <c r="T9058" s="1"/>
      <c r="U9058" s="1"/>
      <c r="V9058" s="1"/>
      <c r="W9058" s="1"/>
      <c r="X9058" s="1"/>
      <c r="Y9058" s="1"/>
      <c r="Z9058" s="1"/>
      <c r="AA9058" s="1"/>
      <c r="AB9058" s="1"/>
    </row>
    <row r="9059" ht="50.25" customHeight="1">
      <c r="A9059" s="12">
        <v>9055.0</v>
      </c>
      <c r="B9059" s="13" t="s">
        <v>8699</v>
      </c>
      <c r="C9059" s="18" t="s">
        <v>9085</v>
      </c>
      <c r="D9059" s="1"/>
      <c r="E9059" s="1"/>
      <c r="F9059" s="1" t="str">
        <f>IFERROR(__xludf.DUMMYFUNCTION("GOOGLETRANSLATE(B9059, ""en"", ""fa"")
"),"موفقیت در پادکست")</f>
        <v>موفقیت در پادکست</v>
      </c>
      <c r="G9059" s="1" t="str">
        <f>IFERROR(__xludf.DUMMYFUNCTION("GOOGLETRANSLATE(C9059, ""en"", ""fa"")
"),"چگونه رابط صوتی ایده آل را برای اتصال میکروفون و سایر تجهیزات صوتی به رایانه یا دستگاه ضبط خود انتخاب کنیم؟")</f>
        <v>چگونه رابط صوتی ایده آل را برای اتصال میکروفون و سایر تجهیزات صوتی به رایانه یا دستگاه ضبط خود انتخاب کنیم؟</v>
      </c>
      <c r="H9059" s="1"/>
      <c r="I9059" s="1"/>
      <c r="J9059" s="1"/>
      <c r="K9059" s="1"/>
      <c r="L9059" s="1"/>
      <c r="M9059" s="1"/>
      <c r="N9059" s="1"/>
      <c r="O9059" s="1"/>
      <c r="P9059" s="1"/>
      <c r="Q9059" s="1"/>
      <c r="R9059" s="1"/>
      <c r="S9059" s="1"/>
      <c r="T9059" s="1"/>
      <c r="U9059" s="1"/>
      <c r="V9059" s="1"/>
      <c r="W9059" s="1"/>
      <c r="X9059" s="1"/>
      <c r="Y9059" s="1"/>
      <c r="Z9059" s="1"/>
      <c r="AA9059" s="1"/>
      <c r="AB9059" s="1"/>
    </row>
    <row r="9060" ht="50.25" customHeight="1">
      <c r="A9060" s="12">
        <v>9056.0</v>
      </c>
      <c r="B9060" s="13" t="s">
        <v>8699</v>
      </c>
      <c r="C9060" s="18" t="s">
        <v>9086</v>
      </c>
      <c r="D9060" s="1"/>
      <c r="E9060" s="1"/>
      <c r="F9060" s="1" t="str">
        <f>IFERROR(__xludf.DUMMYFUNCTION("GOOGLETRANSLATE(B9060, ""en"", ""fa"")
"),"موفقیت در پادکست")</f>
        <v>موفقیت در پادکست</v>
      </c>
      <c r="G9060" s="1" t="str">
        <f>IFERROR(__xludf.DUMMYFUNCTION("GOOGLETRANSLATE(C9060, ""en"", ""fa"")
"),"راهبردهای انتخاب پایه های میکروفون مناسب یا بازوهای بوم برای ضبط راحت و راحت پادکست چیست؟")</f>
        <v>راهبردهای انتخاب پایه های میکروفون مناسب یا بازوهای بوم برای ضبط راحت و راحت پادکست چیست؟</v>
      </c>
      <c r="H9060" s="1"/>
      <c r="I9060" s="1"/>
      <c r="J9060" s="1"/>
      <c r="K9060" s="1"/>
      <c r="L9060" s="1"/>
      <c r="M9060" s="1"/>
      <c r="N9060" s="1"/>
      <c r="O9060" s="1"/>
      <c r="P9060" s="1"/>
      <c r="Q9060" s="1"/>
      <c r="R9060" s="1"/>
      <c r="S9060" s="1"/>
      <c r="T9060" s="1"/>
      <c r="U9060" s="1"/>
      <c r="V9060" s="1"/>
      <c r="W9060" s="1"/>
      <c r="X9060" s="1"/>
      <c r="Y9060" s="1"/>
      <c r="Z9060" s="1"/>
      <c r="AA9060" s="1"/>
      <c r="AB9060" s="1"/>
    </row>
    <row r="9061" ht="50.25" customHeight="1">
      <c r="A9061" s="12">
        <v>9057.0</v>
      </c>
      <c r="B9061" s="13" t="s">
        <v>8699</v>
      </c>
      <c r="C9061" s="18" t="s">
        <v>9087</v>
      </c>
      <c r="D9061" s="1"/>
      <c r="E9061" s="1"/>
      <c r="F9061" s="1" t="str">
        <f>IFERROR(__xludf.DUMMYFUNCTION("GOOGLETRANSLATE(B9061, ""en"", ""fa"")
"),"موفقیت در پادکست")</f>
        <v>موفقیت در پادکست</v>
      </c>
      <c r="G9061" s="1" t="str">
        <f>IFERROR(__xludf.DUMMYFUNCTION("GOOGLETRANSLATE(C9061, ""en"", ""fa"")
"),"چگونه نرم افزار ضبط صدا یا ایستگاه های کاری صوتی دیجیتال (DAW) را برای ضبط قسمت های پادکست با کیفیت بالا تنظیم و پیکربندی کنیم؟")</f>
        <v>چگونه نرم افزار ضبط صدا یا ایستگاه های کاری صوتی دیجیتال (DAW) را برای ضبط قسمت های پادکست با کیفیت بالا تنظیم و پیکربندی کنیم؟</v>
      </c>
      <c r="H9061" s="1"/>
      <c r="I9061" s="1"/>
      <c r="J9061" s="1"/>
      <c r="K9061" s="1"/>
      <c r="L9061" s="1"/>
      <c r="M9061" s="1"/>
      <c r="N9061" s="1"/>
      <c r="O9061" s="1"/>
      <c r="P9061" s="1"/>
      <c r="Q9061" s="1"/>
      <c r="R9061" s="1"/>
      <c r="S9061" s="1"/>
      <c r="T9061" s="1"/>
      <c r="U9061" s="1"/>
      <c r="V9061" s="1"/>
      <c r="W9061" s="1"/>
      <c r="X9061" s="1"/>
      <c r="Y9061" s="1"/>
      <c r="Z9061" s="1"/>
      <c r="AA9061" s="1"/>
      <c r="AB9061" s="1"/>
    </row>
    <row r="9062" ht="50.25" customHeight="1">
      <c r="A9062" s="12">
        <v>9058.0</v>
      </c>
      <c r="B9062" s="13" t="s">
        <v>8699</v>
      </c>
      <c r="C9062" s="18" t="s">
        <v>9088</v>
      </c>
      <c r="D9062" s="1"/>
      <c r="E9062" s="1"/>
      <c r="F9062" s="1" t="str">
        <f>IFERROR(__xludf.DUMMYFUNCTION("GOOGLETRANSLATE(B9062, ""en"", ""fa"")
"),"موفقیت در پادکست")</f>
        <v>موفقیت در پادکست</v>
      </c>
      <c r="G9062" s="1" t="str">
        <f>IFERROR(__xludf.DUMMYFUNCTION("GOOGLETRANSLATE(C9062, ""en"", ""fa"")
"),"تکنیک‌های تنظیم تنظیمات میکروفون، مانند بهره، الگوهای قطبی، و پاسخ فرکانسی برای ضبط صدا بهینه چیست؟")</f>
        <v>تکنیک‌های تنظیم تنظیمات میکروفون، مانند بهره، الگوهای قطبی، و پاسخ فرکانسی برای ضبط صدا بهینه چیست؟</v>
      </c>
      <c r="H9062" s="1"/>
      <c r="I9062" s="1"/>
      <c r="J9062" s="1"/>
      <c r="K9062" s="1"/>
      <c r="L9062" s="1"/>
      <c r="M9062" s="1"/>
      <c r="N9062" s="1"/>
      <c r="O9062" s="1"/>
      <c r="P9062" s="1"/>
      <c r="Q9062" s="1"/>
      <c r="R9062" s="1"/>
      <c r="S9062" s="1"/>
      <c r="T9062" s="1"/>
      <c r="U9062" s="1"/>
      <c r="V9062" s="1"/>
      <c r="W9062" s="1"/>
      <c r="X9062" s="1"/>
      <c r="Y9062" s="1"/>
      <c r="Z9062" s="1"/>
      <c r="AA9062" s="1"/>
      <c r="AB9062" s="1"/>
    </row>
    <row r="9063" ht="50.25" customHeight="1">
      <c r="A9063" s="12">
        <v>9059.0</v>
      </c>
      <c r="B9063" s="13" t="s">
        <v>8699</v>
      </c>
      <c r="C9063" s="18" t="s">
        <v>9089</v>
      </c>
      <c r="D9063" s="1"/>
      <c r="E9063" s="1"/>
      <c r="F9063" s="1" t="str">
        <f>IFERROR(__xludf.DUMMYFUNCTION("GOOGLETRANSLATE(B9063, ""en"", ""fa"")
"),"موفقیت در پادکست")</f>
        <v>موفقیت در پادکست</v>
      </c>
      <c r="G9063" s="1" t="str">
        <f>IFERROR(__xludf.DUMMYFUNCTION("GOOGLETRANSLATE(C9063, ""en"", ""fa"")
"),"چگونه هدفون مناسب را برای مهمانان یا میزبانان مشترک در هنگام ضبط پادکست انتخاب کنیم تا از ارتباط و نظارت واضح اطمینان حاصل کنیم؟")</f>
        <v>چگونه هدفون مناسب را برای مهمانان یا میزبانان مشترک در هنگام ضبط پادکست انتخاب کنیم تا از ارتباط و نظارت واضح اطمینان حاصل کنیم؟</v>
      </c>
      <c r="H9063" s="1"/>
      <c r="I9063" s="1"/>
      <c r="J9063" s="1"/>
      <c r="K9063" s="1"/>
      <c r="L9063" s="1"/>
      <c r="M9063" s="1"/>
      <c r="N9063" s="1"/>
      <c r="O9063" s="1"/>
      <c r="P9063" s="1"/>
      <c r="Q9063" s="1"/>
      <c r="R9063" s="1"/>
      <c r="S9063" s="1"/>
      <c r="T9063" s="1"/>
      <c r="U9063" s="1"/>
      <c r="V9063" s="1"/>
      <c r="W9063" s="1"/>
      <c r="X9063" s="1"/>
      <c r="Y9063" s="1"/>
      <c r="Z9063" s="1"/>
      <c r="AA9063" s="1"/>
      <c r="AB9063" s="1"/>
    </row>
    <row r="9064" ht="50.25" customHeight="1">
      <c r="A9064" s="12">
        <v>9060.0</v>
      </c>
      <c r="B9064" s="13" t="s">
        <v>8699</v>
      </c>
      <c r="C9064" s="18" t="s">
        <v>9090</v>
      </c>
      <c r="D9064" s="1"/>
      <c r="E9064" s="1"/>
      <c r="F9064" s="1" t="str">
        <f>IFERROR(__xludf.DUMMYFUNCTION("GOOGLETRANSLATE(B9064, ""en"", ""fa"")
"),"موفقیت در پادکست")</f>
        <v>موفقیت در پادکست</v>
      </c>
      <c r="G9064" s="1" t="str">
        <f>IFERROR(__xludf.DUMMYFUNCTION("GOOGLETRANSLATE(C9064, ""en"", ""fa"")
"),"استراتژی‌های انتخاب و راه‌اندازی میکسر پادکست یا رابط صوتی برای کنترل سطوح صدا و ترکیب چند میکروفون چیست؟")</f>
        <v>استراتژی‌های انتخاب و راه‌اندازی میکسر پادکست یا رابط صوتی برای کنترل سطوح صدا و ترکیب چند میکروفون چیست؟</v>
      </c>
      <c r="H9064" s="1"/>
      <c r="I9064" s="1"/>
      <c r="J9064" s="1"/>
      <c r="K9064" s="1"/>
      <c r="L9064" s="1"/>
      <c r="M9064" s="1"/>
      <c r="N9064" s="1"/>
      <c r="O9064" s="1"/>
      <c r="P9064" s="1"/>
      <c r="Q9064" s="1"/>
      <c r="R9064" s="1"/>
      <c r="S9064" s="1"/>
      <c r="T9064" s="1"/>
      <c r="U9064" s="1"/>
      <c r="V9064" s="1"/>
      <c r="W9064" s="1"/>
      <c r="X9064" s="1"/>
      <c r="Y9064" s="1"/>
      <c r="Z9064" s="1"/>
      <c r="AA9064" s="1"/>
      <c r="AB9064" s="1"/>
    </row>
    <row r="9065" ht="50.25" customHeight="1">
      <c r="A9065" s="12">
        <v>9061.0</v>
      </c>
      <c r="B9065" s="13" t="s">
        <v>8699</v>
      </c>
      <c r="C9065" s="18" t="s">
        <v>9091</v>
      </c>
      <c r="D9065" s="1"/>
      <c r="E9065" s="1"/>
      <c r="F9065" s="1" t="str">
        <f>IFERROR(__xludf.DUMMYFUNCTION("GOOGLETRANSLATE(B9065, ""en"", ""fa"")
"),"موفقیت در پادکست")</f>
        <v>موفقیت در پادکست</v>
      </c>
      <c r="G9065" s="1" t="str">
        <f>IFERROR(__xludf.DUMMYFUNCTION("GOOGLETRANSLATE(C9065, ""en"", ""fa"")
"),"چگونه می توان فضای ضبط پادکست خود را از نظر آکوستیک با پانل های فوم، دیفیوزرها یا تله های باس برای بهبود کیفیت صدا و کاهش اکو بهینه کرد؟")</f>
        <v>چگونه می توان فضای ضبط پادکست خود را از نظر آکوستیک با پانل های فوم، دیفیوزرها یا تله های باس برای بهبود کیفیت صدا و کاهش اکو بهینه کرد؟</v>
      </c>
      <c r="H9065" s="1"/>
      <c r="I9065" s="1"/>
      <c r="J9065" s="1"/>
      <c r="K9065" s="1"/>
      <c r="L9065" s="1"/>
      <c r="M9065" s="1"/>
      <c r="N9065" s="1"/>
      <c r="O9065" s="1"/>
      <c r="P9065" s="1"/>
      <c r="Q9065" s="1"/>
      <c r="R9065" s="1"/>
      <c r="S9065" s="1"/>
      <c r="T9065" s="1"/>
      <c r="U9065" s="1"/>
      <c r="V9065" s="1"/>
      <c r="W9065" s="1"/>
      <c r="X9065" s="1"/>
      <c r="Y9065" s="1"/>
      <c r="Z9065" s="1"/>
      <c r="AA9065" s="1"/>
      <c r="AB9065" s="1"/>
    </row>
    <row r="9066" ht="50.25" customHeight="1">
      <c r="A9066" s="12">
        <v>9062.0</v>
      </c>
      <c r="B9066" s="13" t="s">
        <v>8699</v>
      </c>
      <c r="C9066" s="18" t="s">
        <v>9092</v>
      </c>
      <c r="D9066" s="1"/>
      <c r="E9066" s="1"/>
      <c r="F9066" s="1" t="str">
        <f>IFERROR(__xludf.DUMMYFUNCTION("GOOGLETRANSLATE(B9066, ""en"", ""fa"")
"),"موفقیت در پادکست")</f>
        <v>موفقیت در پادکست</v>
      </c>
      <c r="G9066" s="1" t="str">
        <f>IFERROR(__xludf.DUMMYFUNCTION("GOOGLETRANSLATE(C9066, ""en"", ""fa"")
"),"تکنیک‌های تنظیم فیلترهای پاپ یا شیشه‌های جلو برای به حداقل رساندن صداهای انفجاری و بهبود وضوح کلمات گفتاری چیست؟")</f>
        <v>تکنیک‌های تنظیم فیلترهای پاپ یا شیشه‌های جلو برای به حداقل رساندن صداهای انفجاری و بهبود وضوح کلمات گفتاری چیست؟</v>
      </c>
      <c r="H9066" s="1"/>
      <c r="I9066" s="1"/>
      <c r="J9066" s="1"/>
      <c r="K9066" s="1"/>
      <c r="L9066" s="1"/>
      <c r="M9066" s="1"/>
      <c r="N9066" s="1"/>
      <c r="O9066" s="1"/>
      <c r="P9066" s="1"/>
      <c r="Q9066" s="1"/>
      <c r="R9066" s="1"/>
      <c r="S9066" s="1"/>
      <c r="T9066" s="1"/>
      <c r="U9066" s="1"/>
      <c r="V9066" s="1"/>
      <c r="W9066" s="1"/>
      <c r="X9066" s="1"/>
      <c r="Y9066" s="1"/>
      <c r="Z9066" s="1"/>
      <c r="AA9066" s="1"/>
      <c r="AB9066" s="1"/>
    </row>
    <row r="9067" ht="50.25" customHeight="1">
      <c r="A9067" s="12">
        <v>9063.0</v>
      </c>
      <c r="B9067" s="13" t="s">
        <v>8699</v>
      </c>
      <c r="C9067" s="18" t="s">
        <v>9093</v>
      </c>
      <c r="D9067" s="1"/>
      <c r="E9067" s="1"/>
      <c r="F9067" s="1" t="str">
        <f>IFERROR(__xludf.DUMMYFUNCTION("GOOGLETRANSLATE(B9067, ""en"", ""fa"")
"),"موفقیت در پادکست")</f>
        <v>موفقیت در پادکست</v>
      </c>
      <c r="G9067" s="1" t="str">
        <f>IFERROR(__xludf.DUMMYFUNCTION("GOOGLETRANSLATE(C9067, ""en"", ""fa"")
"),"چگونه می توان یک نرم افزار یا برنامه ضبط پادکست را برای مصاحبه و ضبط از راه دور با مهمانان واقع در مکان های مختلف انتخاب و راه اندازی کرد؟")</f>
        <v>چگونه می توان یک نرم افزار یا برنامه ضبط پادکست را برای مصاحبه و ضبط از راه دور با مهمانان واقع در مکان های مختلف انتخاب و راه اندازی کرد؟</v>
      </c>
      <c r="H9067" s="1"/>
      <c r="I9067" s="1"/>
      <c r="J9067" s="1"/>
      <c r="K9067" s="1"/>
      <c r="L9067" s="1"/>
      <c r="M9067" s="1"/>
      <c r="N9067" s="1"/>
      <c r="O9067" s="1"/>
      <c r="P9067" s="1"/>
      <c r="Q9067" s="1"/>
      <c r="R9067" s="1"/>
      <c r="S9067" s="1"/>
      <c r="T9067" s="1"/>
      <c r="U9067" s="1"/>
      <c r="V9067" s="1"/>
      <c r="W9067" s="1"/>
      <c r="X9067" s="1"/>
      <c r="Y9067" s="1"/>
      <c r="Z9067" s="1"/>
      <c r="AA9067" s="1"/>
      <c r="AB9067" s="1"/>
    </row>
    <row r="9068" ht="50.25" customHeight="1">
      <c r="A9068" s="12">
        <v>9064.0</v>
      </c>
      <c r="B9068" s="13" t="s">
        <v>8699</v>
      </c>
      <c r="C9068" s="18" t="s">
        <v>9094</v>
      </c>
      <c r="D9068" s="1"/>
      <c r="E9068" s="1"/>
      <c r="F9068" s="1" t="str">
        <f>IFERROR(__xludf.DUMMYFUNCTION("GOOGLETRANSLATE(B9068, ""en"", ""fa"")
"),"موفقیت در پادکست")</f>
        <v>موفقیت در پادکست</v>
      </c>
      <c r="G9068" s="1" t="str">
        <f>IFERROR(__xludf.DUMMYFUNCTION("GOOGLETRANSLATE(C9068, ""en"", ""fa"")
"),"استراتژی‌های انتخاب و تنظیم لوازم جانبی ضبط پادکست، مانند پایه‌های ضربه‌گیر، فیلترهای بازتابی یا پرده‌های عایق صدا چیست؟")</f>
        <v>استراتژی‌های انتخاب و تنظیم لوازم جانبی ضبط پادکست، مانند پایه‌های ضربه‌گیر، فیلترهای بازتابی یا پرده‌های عایق صدا چیست؟</v>
      </c>
      <c r="H9068" s="1"/>
      <c r="I9068" s="1"/>
      <c r="J9068" s="1"/>
      <c r="K9068" s="1"/>
      <c r="L9068" s="1"/>
      <c r="M9068" s="1"/>
      <c r="N9068" s="1"/>
      <c r="O9068" s="1"/>
      <c r="P9068" s="1"/>
      <c r="Q9068" s="1"/>
      <c r="R9068" s="1"/>
      <c r="S9068" s="1"/>
      <c r="T9068" s="1"/>
      <c r="U9068" s="1"/>
      <c r="V9068" s="1"/>
      <c r="W9068" s="1"/>
      <c r="X9068" s="1"/>
      <c r="Y9068" s="1"/>
      <c r="Z9068" s="1"/>
      <c r="AA9068" s="1"/>
      <c r="AB9068" s="1"/>
    </row>
    <row r="9069" ht="50.25" customHeight="1">
      <c r="A9069" s="12">
        <v>9065.0</v>
      </c>
      <c r="B9069" s="13" t="s">
        <v>8699</v>
      </c>
      <c r="C9069" s="18" t="s">
        <v>9095</v>
      </c>
      <c r="D9069" s="1"/>
      <c r="E9069" s="1"/>
      <c r="F9069" s="1" t="str">
        <f>IFERROR(__xludf.DUMMYFUNCTION("GOOGLETRANSLATE(B9069, ""en"", ""fa"")
"),"موفقیت در پادکست")</f>
        <v>موفقیت در پادکست</v>
      </c>
      <c r="G9069" s="1" t="str">
        <f>IFERROR(__xludf.DUMMYFUNCTION("GOOGLETRANSLATE(C9069, ""en"", ""fa"")
"),"چگونه می توان مکان و موقعیت میکروفون را برای تنظیمات مختلف ضبط پادکست، مانند بحث های انفرادی، دو نفره یا میزگرد بهینه کرد؟")</f>
        <v>چگونه می توان مکان و موقعیت میکروفون را برای تنظیمات مختلف ضبط پادکست، مانند بحث های انفرادی، دو نفره یا میزگرد بهینه کرد؟</v>
      </c>
      <c r="H9069" s="1"/>
      <c r="I9069" s="1"/>
      <c r="J9069" s="1"/>
      <c r="K9069" s="1"/>
      <c r="L9069" s="1"/>
      <c r="M9069" s="1"/>
      <c r="N9069" s="1"/>
      <c r="O9069" s="1"/>
      <c r="P9069" s="1"/>
      <c r="Q9069" s="1"/>
      <c r="R9069" s="1"/>
      <c r="S9069" s="1"/>
      <c r="T9069" s="1"/>
      <c r="U9069" s="1"/>
      <c r="V9069" s="1"/>
      <c r="W9069" s="1"/>
      <c r="X9069" s="1"/>
      <c r="Y9069" s="1"/>
      <c r="Z9069" s="1"/>
      <c r="AA9069" s="1"/>
      <c r="AB9069" s="1"/>
    </row>
    <row r="9070" ht="50.25" customHeight="1">
      <c r="A9070" s="12">
        <v>9066.0</v>
      </c>
      <c r="B9070" s="13" t="s">
        <v>8699</v>
      </c>
      <c r="C9070" s="18" t="s">
        <v>9096</v>
      </c>
      <c r="D9070" s="1"/>
      <c r="E9070" s="1"/>
      <c r="F9070" s="1" t="str">
        <f>IFERROR(__xludf.DUMMYFUNCTION("GOOGLETRANSLATE(B9070, ""en"", ""fa"")
"),"موفقیت در پادکست")</f>
        <v>موفقیت در پادکست</v>
      </c>
      <c r="G9070" s="1" t="str">
        <f>IFERROR(__xludf.DUMMYFUNCTION("GOOGLETRANSLATE(C9070, ""en"", ""fa"")
"),"تکنیک‌های مدیریت و سازمان‌دهی فایل‌های صوتی پادکست و ضبط‌ها برای اطمینان از دسترسی آسان و گردش کار کارآمد پس از تولید چیست؟")</f>
        <v>تکنیک‌های مدیریت و سازمان‌دهی فایل‌های صوتی پادکست و ضبط‌ها برای اطمینان از دسترسی آسان و گردش کار کارآمد پس از تولید چیست؟</v>
      </c>
      <c r="H9070" s="1"/>
      <c r="I9070" s="1"/>
      <c r="J9070" s="1"/>
      <c r="K9070" s="1"/>
      <c r="L9070" s="1"/>
      <c r="M9070" s="1"/>
      <c r="N9070" s="1"/>
      <c r="O9070" s="1"/>
      <c r="P9070" s="1"/>
      <c r="Q9070" s="1"/>
      <c r="R9070" s="1"/>
      <c r="S9070" s="1"/>
      <c r="T9070" s="1"/>
      <c r="U9070" s="1"/>
      <c r="V9070" s="1"/>
      <c r="W9070" s="1"/>
      <c r="X9070" s="1"/>
      <c r="Y9070" s="1"/>
      <c r="Z9070" s="1"/>
      <c r="AA9070" s="1"/>
      <c r="AB9070" s="1"/>
    </row>
    <row r="9071" ht="50.25" customHeight="1">
      <c r="A9071" s="12">
        <v>9067.0</v>
      </c>
      <c r="B9071" s="13" t="s">
        <v>8699</v>
      </c>
      <c r="C9071" s="18" t="s">
        <v>9097</v>
      </c>
      <c r="D9071" s="1"/>
      <c r="E9071" s="1"/>
      <c r="F9071" s="1" t="str">
        <f>IFERROR(__xludf.DUMMYFUNCTION("GOOGLETRANSLATE(B9071, ""en"", ""fa"")
"),"موفقیت در پادکست")</f>
        <v>موفقیت در پادکست</v>
      </c>
      <c r="G9071" s="1" t="str">
        <f>IFERROR(__xludf.DUMMYFUNCTION("GOOGLETRANSLATE(C9071, ""en"", ""fa"")
"),"چگونه تجهیزات ضبط پادکست را برای کیفیت مطلوب صدا، از جمله پیش تقویت‌کننده‌های میکروفون، رابط‌های صوتی و تقویت‌کننده هدفون تنظیم و پیکربندی کنیم؟")</f>
        <v>چگونه تجهیزات ضبط پادکست را برای کیفیت مطلوب صدا، از جمله پیش تقویت‌کننده‌های میکروفون، رابط‌های صوتی و تقویت‌کننده هدفون تنظیم و پیکربندی کنیم؟</v>
      </c>
      <c r="H9071" s="1"/>
      <c r="I9071" s="1"/>
      <c r="J9071" s="1"/>
      <c r="K9071" s="1"/>
      <c r="L9071" s="1"/>
      <c r="M9071" s="1"/>
      <c r="N9071" s="1"/>
      <c r="O9071" s="1"/>
      <c r="P9071" s="1"/>
      <c r="Q9071" s="1"/>
      <c r="R9071" s="1"/>
      <c r="S9071" s="1"/>
      <c r="T9071" s="1"/>
      <c r="U9071" s="1"/>
      <c r="V9071" s="1"/>
      <c r="W9071" s="1"/>
      <c r="X9071" s="1"/>
      <c r="Y9071" s="1"/>
      <c r="Z9071" s="1"/>
      <c r="AA9071" s="1"/>
      <c r="AB9071" s="1"/>
    </row>
    <row r="9072" ht="50.25" customHeight="1">
      <c r="A9072" s="12">
        <v>9068.0</v>
      </c>
      <c r="B9072" s="13" t="s">
        <v>8699</v>
      </c>
      <c r="C9072" s="18" t="s">
        <v>9098</v>
      </c>
      <c r="D9072" s="1"/>
      <c r="E9072" s="1"/>
      <c r="F9072" s="1" t="str">
        <f>IFERROR(__xludf.DUMMYFUNCTION("GOOGLETRANSLATE(B9072, ""en"", ""fa"")
"),"موفقیت در پادکست")</f>
        <v>موفقیت در پادکست</v>
      </c>
      <c r="G9072" s="1" t="str">
        <f>IFERROR(__xludf.DUMMYFUNCTION("GOOGLETRANSLATE(C9072, ""en"", ""fa"")
"),"استراتژی‌های انتخاب بهترین نرم‌افزار ضبط یا ایستگاه کاری صوتی دیجیتال (DAW) بر اساس نیازهای پادکست و تنظیمات رایانه چیست؟")</f>
        <v>استراتژی‌های انتخاب بهترین نرم‌افزار ضبط یا ایستگاه کاری صوتی دیجیتال (DAW) بر اساس نیازهای پادکست و تنظیمات رایانه چیست؟</v>
      </c>
      <c r="H9072" s="1"/>
      <c r="I9072" s="1"/>
      <c r="J9072" s="1"/>
      <c r="K9072" s="1"/>
      <c r="L9072" s="1"/>
      <c r="M9072" s="1"/>
      <c r="N9072" s="1"/>
      <c r="O9072" s="1"/>
      <c r="P9072" s="1"/>
      <c r="Q9072" s="1"/>
      <c r="R9072" s="1"/>
      <c r="S9072" s="1"/>
      <c r="T9072" s="1"/>
      <c r="U9072" s="1"/>
      <c r="V9072" s="1"/>
      <c r="W9072" s="1"/>
      <c r="X9072" s="1"/>
      <c r="Y9072" s="1"/>
      <c r="Z9072" s="1"/>
      <c r="AA9072" s="1"/>
      <c r="AB9072" s="1"/>
    </row>
    <row r="9073" ht="50.25" customHeight="1">
      <c r="A9073" s="12">
        <v>9069.0</v>
      </c>
      <c r="B9073" s="13" t="s">
        <v>8699</v>
      </c>
      <c r="C9073" s="18" t="s">
        <v>9099</v>
      </c>
      <c r="D9073" s="1"/>
      <c r="E9073" s="1"/>
      <c r="F9073" s="1" t="str">
        <f>IFERROR(__xludf.DUMMYFUNCTION("GOOGLETRANSLATE(B9073, ""en"", ""fa"")
"),"موفقیت در پادکست")</f>
        <v>موفقیت در پادکست</v>
      </c>
      <c r="G9073" s="1" t="str">
        <f>IFERROR(__xludf.DUMMYFUNCTION("GOOGLETRANSLATE(C9073, ""en"", ""fa"")
"),"چگونه می توان تجهیزات ضبط پادکست را برای ضبط در حال حرکت یا از راه دور مانند میکروفون های قابل حمل و ضبط کننده های دیجیتال انتخاب و تنظیم کرد؟")</f>
        <v>چگونه می توان تجهیزات ضبط پادکست را برای ضبط در حال حرکت یا از راه دور مانند میکروفون های قابل حمل و ضبط کننده های دیجیتال انتخاب و تنظیم کرد؟</v>
      </c>
      <c r="H9073" s="1"/>
      <c r="I9073" s="1"/>
      <c r="J9073" s="1"/>
      <c r="K9073" s="1"/>
      <c r="L9073" s="1"/>
      <c r="M9073" s="1"/>
      <c r="N9073" s="1"/>
      <c r="O9073" s="1"/>
      <c r="P9073" s="1"/>
      <c r="Q9073" s="1"/>
      <c r="R9073" s="1"/>
      <c r="S9073" s="1"/>
      <c r="T9073" s="1"/>
      <c r="U9073" s="1"/>
      <c r="V9073" s="1"/>
      <c r="W9073" s="1"/>
      <c r="X9073" s="1"/>
      <c r="Y9073" s="1"/>
      <c r="Z9073" s="1"/>
      <c r="AA9073" s="1"/>
      <c r="AB9073" s="1"/>
    </row>
    <row r="9074" ht="50.25" customHeight="1">
      <c r="A9074" s="12">
        <v>9070.0</v>
      </c>
      <c r="B9074" s="13" t="s">
        <v>8699</v>
      </c>
      <c r="C9074" s="18" t="s">
        <v>9100</v>
      </c>
      <c r="D9074" s="1"/>
      <c r="E9074" s="1"/>
      <c r="F9074" s="1" t="str">
        <f>IFERROR(__xludf.DUMMYFUNCTION("GOOGLETRANSLATE(B9074, ""en"", ""fa"")
"),"موفقیت در پادکست")</f>
        <v>موفقیت در پادکست</v>
      </c>
      <c r="G9074" s="1" t="str">
        <f>IFERROR(__xludf.DUMMYFUNCTION("GOOGLETRANSLATE(C9074, ""en"", ""fa"")
"),"تکنیک‌های ایجاد سیستم‌های پشتیبان و افزونگی برای ضبط‌های پادکست برای جلوگیری از از دست رفتن داده یا نقص فنی چیست؟")</f>
        <v>تکنیک‌های ایجاد سیستم‌های پشتیبان و افزونگی برای ضبط‌های پادکست برای جلوگیری از از دست رفتن داده یا نقص فنی چیست؟</v>
      </c>
      <c r="H9074" s="1"/>
      <c r="I9074" s="1"/>
      <c r="J9074" s="1"/>
      <c r="K9074" s="1"/>
      <c r="L9074" s="1"/>
      <c r="M9074" s="1"/>
      <c r="N9074" s="1"/>
      <c r="O9074" s="1"/>
      <c r="P9074" s="1"/>
      <c r="Q9074" s="1"/>
      <c r="R9074" s="1"/>
      <c r="S9074" s="1"/>
      <c r="T9074" s="1"/>
      <c r="U9074" s="1"/>
      <c r="V9074" s="1"/>
      <c r="W9074" s="1"/>
      <c r="X9074" s="1"/>
      <c r="Y9074" s="1"/>
      <c r="Z9074" s="1"/>
      <c r="AA9074" s="1"/>
      <c r="AB9074" s="1"/>
    </row>
    <row r="9075" ht="50.25" customHeight="1">
      <c r="A9075" s="12">
        <v>9071.0</v>
      </c>
      <c r="B9075" s="13" t="s">
        <v>8699</v>
      </c>
      <c r="C9075" s="18" t="s">
        <v>9101</v>
      </c>
      <c r="D9075" s="1"/>
      <c r="E9075" s="1"/>
      <c r="F9075" s="1" t="str">
        <f>IFERROR(__xludf.DUMMYFUNCTION("GOOGLETRANSLATE(B9075, ""en"", ""fa"")
"),"موفقیت در پادکست")</f>
        <v>موفقیت در پادکست</v>
      </c>
      <c r="G9075" s="1" t="str">
        <f>IFERROR(__xludf.DUMMYFUNCTION("GOOGLETRANSLATE(C9075, ""en"", ""fa"")
"),"چگونه تنظیمات ضبط مانند نرخ نمونه، عمق بیت و فرمت فایل را برای بهترین کیفیت صدا و سازگاری با پلتفرم های مختلف بهینه کنیم؟")</f>
        <v>چگونه تنظیمات ضبط مانند نرخ نمونه، عمق بیت و فرمت فایل را برای بهترین کیفیت صدا و سازگاری با پلتفرم های مختلف بهینه کنیم؟</v>
      </c>
      <c r="H9075" s="1"/>
      <c r="I9075" s="1"/>
      <c r="J9075" s="1"/>
      <c r="K9075" s="1"/>
      <c r="L9075" s="1"/>
      <c r="M9075" s="1"/>
      <c r="N9075" s="1"/>
      <c r="O9075" s="1"/>
      <c r="P9075" s="1"/>
      <c r="Q9075" s="1"/>
      <c r="R9075" s="1"/>
      <c r="S9075" s="1"/>
      <c r="T9075" s="1"/>
      <c r="U9075" s="1"/>
      <c r="V9075" s="1"/>
      <c r="W9075" s="1"/>
      <c r="X9075" s="1"/>
      <c r="Y9075" s="1"/>
      <c r="Z9075" s="1"/>
      <c r="AA9075" s="1"/>
      <c r="AB9075" s="1"/>
    </row>
    <row r="9076" ht="50.25" customHeight="1">
      <c r="A9076" s="12">
        <v>9072.0</v>
      </c>
      <c r="B9076" s="13" t="s">
        <v>8699</v>
      </c>
      <c r="C9076" s="18" t="s">
        <v>9102</v>
      </c>
      <c r="D9076" s="1"/>
      <c r="E9076" s="1"/>
      <c r="F9076" s="1" t="str">
        <f>IFERROR(__xludf.DUMMYFUNCTION("GOOGLETRANSLATE(B9076, ""en"", ""fa"")
"),"موفقیت در پادکست")</f>
        <v>موفقیت در پادکست</v>
      </c>
      <c r="G9076" s="1" t="str">
        <f>IFERROR(__xludf.DUMMYFUNCTION("GOOGLETRANSLATE(C9076, ""en"", ""fa"")
"),"راهبردهای انتخاب و راه اندازی سیستم های مانیتورینگ پادکست، مانند مانیتورهای استودیویی یا هدفون، برای پخش و ویرایش دقیق صدا چیست؟")</f>
        <v>راهبردهای انتخاب و راه اندازی سیستم های مانیتورینگ پادکست، مانند مانیتورهای استودیویی یا هدفون، برای پخش و ویرایش دقیق صدا چیست؟</v>
      </c>
      <c r="H9076" s="1"/>
      <c r="I9076" s="1"/>
      <c r="J9076" s="1"/>
      <c r="K9076" s="1"/>
      <c r="L9076" s="1"/>
      <c r="M9076" s="1"/>
      <c r="N9076" s="1"/>
      <c r="O9076" s="1"/>
      <c r="P9076" s="1"/>
      <c r="Q9076" s="1"/>
      <c r="R9076" s="1"/>
      <c r="S9076" s="1"/>
      <c r="T9076" s="1"/>
      <c r="U9076" s="1"/>
      <c r="V9076" s="1"/>
      <c r="W9076" s="1"/>
      <c r="X9076" s="1"/>
      <c r="Y9076" s="1"/>
      <c r="Z9076" s="1"/>
      <c r="AA9076" s="1"/>
      <c r="AB9076" s="1"/>
    </row>
    <row r="9077" ht="50.25" customHeight="1">
      <c r="A9077" s="12">
        <v>9073.0</v>
      </c>
      <c r="B9077" s="13" t="s">
        <v>8699</v>
      </c>
      <c r="C9077" s="18" t="s">
        <v>9103</v>
      </c>
      <c r="D9077" s="1"/>
      <c r="E9077" s="1"/>
      <c r="F9077" s="1" t="str">
        <f>IFERROR(__xludf.DUMMYFUNCTION("GOOGLETRANSLATE(B9077, ""en"", ""fa"")
"),"موفقیت در پادکست")</f>
        <v>موفقیت در پادکست</v>
      </c>
      <c r="G9077" s="1" t="str">
        <f>IFERROR(__xludf.DUMMYFUNCTION("GOOGLETRANSLATE(C9077, ""en"", ""fa"")
"),"چگونه میز یا ایستگاه کاری پادکست را انتخاب و راه اندازی کنیم که تنظیماتی راحت و ارگونومیک را برای جلسات ضبط طولانی فراهم کند؟")</f>
        <v>چگونه میز یا ایستگاه کاری پادکست را انتخاب و راه اندازی کنیم که تنظیماتی راحت و ارگونومیک را برای جلسات ضبط طولانی فراهم کند؟</v>
      </c>
      <c r="H9077" s="1"/>
      <c r="I9077" s="1"/>
      <c r="J9077" s="1"/>
      <c r="K9077" s="1"/>
      <c r="L9077" s="1"/>
      <c r="M9077" s="1"/>
      <c r="N9077" s="1"/>
      <c r="O9077" s="1"/>
      <c r="P9077" s="1"/>
      <c r="Q9077" s="1"/>
      <c r="R9077" s="1"/>
      <c r="S9077" s="1"/>
      <c r="T9077" s="1"/>
      <c r="U9077" s="1"/>
      <c r="V9077" s="1"/>
      <c r="W9077" s="1"/>
      <c r="X9077" s="1"/>
      <c r="Y9077" s="1"/>
      <c r="Z9077" s="1"/>
      <c r="AA9077" s="1"/>
      <c r="AB9077" s="1"/>
    </row>
    <row r="9078" ht="50.25" customHeight="1">
      <c r="A9078" s="12">
        <v>9074.0</v>
      </c>
      <c r="B9078" s="13" t="s">
        <v>8699</v>
      </c>
      <c r="C9078" s="18" t="s">
        <v>9104</v>
      </c>
      <c r="D9078" s="1"/>
      <c r="E9078" s="1"/>
      <c r="F9078" s="1" t="str">
        <f>IFERROR(__xludf.DUMMYFUNCTION("GOOGLETRANSLATE(B9078, ""en"", ""fa"")
"),"موفقیت در پادکست")</f>
        <v>موفقیت در پادکست</v>
      </c>
      <c r="G9078" s="1" t="str">
        <f>IFERROR(__xludf.DUMMYFUNCTION("GOOGLETRANSLATE(C9078, ""en"", ""fa"")
"),"تکنیک های مدیریت سطوح ضبط پادکست و تنظیم افزایش صدا برای جلوگیری از اعوجاج و اطمینان از کیفیت صدای متعادل چیست؟")</f>
        <v>تکنیک های مدیریت سطوح ضبط پادکست و تنظیم افزایش صدا برای جلوگیری از اعوجاج و اطمینان از کیفیت صدای متعادل چیست؟</v>
      </c>
      <c r="H9078" s="1"/>
      <c r="I9078" s="1"/>
      <c r="J9078" s="1"/>
      <c r="K9078" s="1"/>
      <c r="L9078" s="1"/>
      <c r="M9078" s="1"/>
      <c r="N9078" s="1"/>
      <c r="O9078" s="1"/>
      <c r="P9078" s="1"/>
      <c r="Q9078" s="1"/>
      <c r="R9078" s="1"/>
      <c r="S9078" s="1"/>
      <c r="T9078" s="1"/>
      <c r="U9078" s="1"/>
      <c r="V9078" s="1"/>
      <c r="W9078" s="1"/>
      <c r="X9078" s="1"/>
      <c r="Y9078" s="1"/>
      <c r="Z9078" s="1"/>
      <c r="AA9078" s="1"/>
      <c r="AB9078" s="1"/>
    </row>
    <row r="9079" ht="50.25" customHeight="1">
      <c r="A9079" s="12">
        <v>9075.0</v>
      </c>
      <c r="B9079" s="13" t="s">
        <v>8699</v>
      </c>
      <c r="C9079" s="18" t="s">
        <v>9105</v>
      </c>
      <c r="D9079" s="1"/>
      <c r="E9079" s="1"/>
      <c r="F9079" s="1" t="str">
        <f>IFERROR(__xludf.DUMMYFUNCTION("GOOGLETRANSLATE(B9079, ""en"", ""fa"")
"),"موفقیت در پادکست")</f>
        <v>موفقیت در پادکست</v>
      </c>
      <c r="G9079" s="1" t="str">
        <f>IFERROR(__xludf.DUMMYFUNCTION("GOOGLETRANSLATE(C9079, ""en"", ""fa"")
"),"چگونه تنظیمات ضبط پادکست را برای مصاحبه از راه دور یا میزبانی مشترک با استفاده از نرم افزار VoIP (VoIP) یا پلت فرم های ارتباطی بهینه کنیم؟")</f>
        <v>چگونه تنظیمات ضبط پادکست را برای مصاحبه از راه دور یا میزبانی مشترک با استفاده از نرم افزار VoIP (VoIP) یا پلت فرم های ارتباطی بهینه کنیم؟</v>
      </c>
      <c r="H9079" s="1"/>
      <c r="I9079" s="1"/>
      <c r="J9079" s="1"/>
      <c r="K9079" s="1"/>
      <c r="L9079" s="1"/>
      <c r="M9079" s="1"/>
      <c r="N9079" s="1"/>
      <c r="O9079" s="1"/>
      <c r="P9079" s="1"/>
      <c r="Q9079" s="1"/>
      <c r="R9079" s="1"/>
      <c r="S9079" s="1"/>
      <c r="T9079" s="1"/>
      <c r="U9079" s="1"/>
      <c r="V9079" s="1"/>
      <c r="W9079" s="1"/>
      <c r="X9079" s="1"/>
      <c r="Y9079" s="1"/>
      <c r="Z9079" s="1"/>
      <c r="AA9079" s="1"/>
      <c r="AB9079" s="1"/>
    </row>
    <row r="9080" ht="50.25" customHeight="1">
      <c r="A9080" s="12">
        <v>9076.0</v>
      </c>
      <c r="B9080" s="13" t="s">
        <v>8699</v>
      </c>
      <c r="C9080" s="18" t="s">
        <v>9106</v>
      </c>
      <c r="D9080" s="1"/>
      <c r="E9080" s="1"/>
      <c r="F9080" s="1" t="str">
        <f>IFERROR(__xludf.DUMMYFUNCTION("GOOGLETRANSLATE(B9080, ""en"", ""fa"")
"),"موفقیت در پادکست")</f>
        <v>موفقیت در پادکست</v>
      </c>
      <c r="G9080" s="1" t="str">
        <f>IFERROR(__xludf.DUMMYFUNCTION("GOOGLETRANSLATE(C9080, ""en"", ""fa"")
"),"استراتژی‌های انتخاب و راه‌اندازی تجهیزات ضبط پادکست برای پادکست تلفن همراه، مانند پادکست از رویدادها یا مکان‌های دور چیست؟")</f>
        <v>استراتژی‌های انتخاب و راه‌اندازی تجهیزات ضبط پادکست برای پادکست تلفن همراه، مانند پادکست از رویدادها یا مکان‌های دور چیست؟</v>
      </c>
      <c r="H9080" s="1"/>
      <c r="I9080" s="1"/>
      <c r="J9080" s="1"/>
      <c r="K9080" s="1"/>
      <c r="L9080" s="1"/>
      <c r="M9080" s="1"/>
      <c r="N9080" s="1"/>
      <c r="O9080" s="1"/>
      <c r="P9080" s="1"/>
      <c r="Q9080" s="1"/>
      <c r="R9080" s="1"/>
      <c r="S9080" s="1"/>
      <c r="T9080" s="1"/>
      <c r="U9080" s="1"/>
      <c r="V9080" s="1"/>
      <c r="W9080" s="1"/>
      <c r="X9080" s="1"/>
      <c r="Y9080" s="1"/>
      <c r="Z9080" s="1"/>
      <c r="AA9080" s="1"/>
      <c r="AB9080" s="1"/>
    </row>
    <row r="9081" ht="50.25" customHeight="1">
      <c r="A9081" s="12">
        <v>9077.0</v>
      </c>
      <c r="B9081" s="13" t="s">
        <v>8699</v>
      </c>
      <c r="C9081" s="18" t="s">
        <v>9107</v>
      </c>
      <c r="D9081" s="1"/>
      <c r="E9081" s="1"/>
      <c r="F9081" s="1" t="str">
        <f>IFERROR(__xludf.DUMMYFUNCTION("GOOGLETRANSLATE(B9081, ""en"", ""fa"")
"),"موفقیت در پادکست")</f>
        <v>موفقیت در پادکست</v>
      </c>
      <c r="G9081" s="1" t="str">
        <f>IFERROR(__xludf.DUMMYFUNCTION("GOOGLETRANSLATE(C9081, ""en"", ""fa"")
"),"چگونه می توان با استفاده از راه حل ها و تجهیزات جایگزین، یک فضای ضبط پادکست را به شیوه ای مقرون به صرفه انتخاب و تنظیم کرد؟")</f>
        <v>چگونه می توان با استفاده از راه حل ها و تجهیزات جایگزین، یک فضای ضبط پادکست را به شیوه ای مقرون به صرفه انتخاب و تنظیم کرد؟</v>
      </c>
      <c r="H9081" s="1"/>
      <c r="I9081" s="1"/>
      <c r="J9081" s="1"/>
      <c r="K9081" s="1"/>
      <c r="L9081" s="1"/>
      <c r="M9081" s="1"/>
      <c r="N9081" s="1"/>
      <c r="O9081" s="1"/>
      <c r="P9081" s="1"/>
      <c r="Q9081" s="1"/>
      <c r="R9081" s="1"/>
      <c r="S9081" s="1"/>
      <c r="T9081" s="1"/>
      <c r="U9081" s="1"/>
      <c r="V9081" s="1"/>
      <c r="W9081" s="1"/>
      <c r="X9081" s="1"/>
      <c r="Y9081" s="1"/>
      <c r="Z9081" s="1"/>
      <c r="AA9081" s="1"/>
      <c r="AB9081" s="1"/>
    </row>
    <row r="9082" ht="50.25" customHeight="1">
      <c r="A9082" s="12">
        <v>9078.0</v>
      </c>
      <c r="B9082" s="13" t="s">
        <v>8699</v>
      </c>
      <c r="C9082" s="18" t="s">
        <v>9108</v>
      </c>
      <c r="D9082" s="1"/>
      <c r="E9082" s="1"/>
      <c r="F9082" s="1" t="str">
        <f>IFERROR(__xludf.DUMMYFUNCTION("GOOGLETRANSLATE(B9082, ""en"", ""fa"")
"),"موفقیت در پادکست")</f>
        <v>موفقیت در پادکست</v>
      </c>
      <c r="G9082" s="1" t="str">
        <f>IFERROR(__xludf.DUMMYFUNCTION("GOOGLETRANSLATE(C9082, ""en"", ""fa"")
"),"تکنیک‌های انتخاب و راه‌اندازی تنظیمات پادکست قابل حمل، مانند ضبط‌کننده‌های دستی یا میکروفون‌های USB، برای ضبط در حین حرکت چیست؟")</f>
        <v>تکنیک‌های انتخاب و راه‌اندازی تنظیمات پادکست قابل حمل، مانند ضبط‌کننده‌های دستی یا میکروفون‌های USB، برای ضبط در حین حرکت چیست؟</v>
      </c>
      <c r="H9082" s="1"/>
      <c r="I9082" s="1"/>
      <c r="J9082" s="1"/>
      <c r="K9082" s="1"/>
      <c r="L9082" s="1"/>
      <c r="M9082" s="1"/>
      <c r="N9082" s="1"/>
      <c r="O9082" s="1"/>
      <c r="P9082" s="1"/>
      <c r="Q9082" s="1"/>
      <c r="R9082" s="1"/>
      <c r="S9082" s="1"/>
      <c r="T9082" s="1"/>
      <c r="U9082" s="1"/>
      <c r="V9082" s="1"/>
      <c r="W9082" s="1"/>
      <c r="X9082" s="1"/>
      <c r="Y9082" s="1"/>
      <c r="Z9082" s="1"/>
      <c r="AA9082" s="1"/>
      <c r="AB9082" s="1"/>
    </row>
    <row r="9083" ht="50.25" customHeight="1">
      <c r="A9083" s="12">
        <v>9079.0</v>
      </c>
      <c r="B9083" s="13" t="s">
        <v>8699</v>
      </c>
      <c r="C9083" s="18" t="s">
        <v>9109</v>
      </c>
      <c r="D9083" s="1"/>
      <c r="E9083" s="1"/>
      <c r="F9083" s="1" t="str">
        <f>IFERROR(__xludf.DUMMYFUNCTION("GOOGLETRANSLATE(B9083, ""en"", ""fa"")
"),"موفقیت در پادکست")</f>
        <v>موفقیت در پادکست</v>
      </c>
      <c r="G9083" s="1" t="str">
        <f>IFERROR(__xludf.DUMMYFUNCTION("GOOGLETRANSLATE(C9083, ""en"", ""fa"")
"),"چگونه تنظیمات ضبط پادکست را برای پادکست های ویدیویی بهینه کنیم و از همگام سازی بین عناصر صوتی و تصویری برای یک تجربه بیننده یکپارچه اطمینان حاصل کنیم؟")</f>
        <v>چگونه تنظیمات ضبط پادکست را برای پادکست های ویدیویی بهینه کنیم و از همگام سازی بین عناصر صوتی و تصویری برای یک تجربه بیننده یکپارچه اطمینان حاصل کنیم؟</v>
      </c>
      <c r="H9083" s="1"/>
      <c r="I9083" s="1"/>
      <c r="J9083" s="1"/>
      <c r="K9083" s="1"/>
      <c r="L9083" s="1"/>
      <c r="M9083" s="1"/>
      <c r="N9083" s="1"/>
      <c r="O9083" s="1"/>
      <c r="P9083" s="1"/>
      <c r="Q9083" s="1"/>
      <c r="R9083" s="1"/>
      <c r="S9083" s="1"/>
      <c r="T9083" s="1"/>
      <c r="U9083" s="1"/>
      <c r="V9083" s="1"/>
      <c r="W9083" s="1"/>
      <c r="X9083" s="1"/>
      <c r="Y9083" s="1"/>
      <c r="Z9083" s="1"/>
      <c r="AA9083" s="1"/>
      <c r="AB9083" s="1"/>
    </row>
    <row r="9084" ht="50.25" customHeight="1">
      <c r="A9084" s="12">
        <v>9080.0</v>
      </c>
      <c r="B9084" s="13" t="s">
        <v>8699</v>
      </c>
      <c r="C9084" s="18" t="s">
        <v>9110</v>
      </c>
      <c r="D9084" s="1"/>
      <c r="E9084" s="1"/>
      <c r="F9084" s="1" t="str">
        <f>IFERROR(__xludf.DUMMYFUNCTION("GOOGLETRANSLATE(B9084, ""en"", ""fa"")
"),"موفقیت در پادکست")</f>
        <v>موفقیت در پادکست</v>
      </c>
      <c r="G9084" s="1" t="str">
        <f>IFERROR(__xludf.DUMMYFUNCTION("GOOGLETRANSLATE(C9084, ""en"", ""fa"")
"),"راهبردهای انتخاب و تنظیم لوازم جانبی ضبط پادکست، مانند جداکننده میکروفون یا فیلترهای بازتاب، برای کاهش بازتاب ناخواسته اتاق چیست؟")</f>
        <v>راهبردهای انتخاب و تنظیم لوازم جانبی ضبط پادکست، مانند جداکننده میکروفون یا فیلترهای بازتاب، برای کاهش بازتاب ناخواسته اتاق چیست؟</v>
      </c>
      <c r="H9084" s="1"/>
      <c r="I9084" s="1"/>
      <c r="J9084" s="1"/>
      <c r="K9084" s="1"/>
      <c r="L9084" s="1"/>
      <c r="M9084" s="1"/>
      <c r="N9084" s="1"/>
      <c r="O9084" s="1"/>
      <c r="P9084" s="1"/>
      <c r="Q9084" s="1"/>
      <c r="R9084" s="1"/>
      <c r="S9084" s="1"/>
      <c r="T9084" s="1"/>
      <c r="U9084" s="1"/>
      <c r="V9084" s="1"/>
      <c r="W9084" s="1"/>
      <c r="X9084" s="1"/>
      <c r="Y9084" s="1"/>
      <c r="Z9084" s="1"/>
      <c r="AA9084" s="1"/>
      <c r="AB9084" s="1"/>
    </row>
    <row r="9085" ht="50.25" customHeight="1">
      <c r="A9085" s="12">
        <v>9081.0</v>
      </c>
      <c r="B9085" s="13" t="s">
        <v>8699</v>
      </c>
      <c r="C9085" s="18" t="s">
        <v>9111</v>
      </c>
      <c r="D9085" s="1"/>
      <c r="E9085" s="1"/>
      <c r="F9085" s="1" t="str">
        <f>IFERROR(__xludf.DUMMYFUNCTION("GOOGLETRANSLATE(B9085, ""en"", ""fa"")
"),"موفقیت در پادکست")</f>
        <v>موفقیت در پادکست</v>
      </c>
      <c r="G9085" s="1" t="str">
        <f>IFERROR(__xludf.DUMMYFUNCTION("GOOGLETRANSLATE(C9085, ""en"", ""fa"")
"),"چگونه یک سیستم پشتیبان ضبط پادکست، مانند هارد دیسک های اضافی یا فضای ذخیره سازی ابری، انتخاب و راه اندازی کنیم تا از ضبط های خود در برابر از دست رفتن داده محافظت کنیم؟")</f>
        <v>چگونه یک سیستم پشتیبان ضبط پادکست، مانند هارد دیسک های اضافی یا فضای ذخیره سازی ابری، انتخاب و راه اندازی کنیم تا از ضبط های خود در برابر از دست رفتن داده محافظت کنیم؟</v>
      </c>
      <c r="H9085" s="1"/>
      <c r="I9085" s="1"/>
      <c r="J9085" s="1"/>
      <c r="K9085" s="1"/>
      <c r="L9085" s="1"/>
      <c r="M9085" s="1"/>
      <c r="N9085" s="1"/>
      <c r="O9085" s="1"/>
      <c r="P9085" s="1"/>
      <c r="Q9085" s="1"/>
      <c r="R9085" s="1"/>
      <c r="S9085" s="1"/>
      <c r="T9085" s="1"/>
      <c r="U9085" s="1"/>
      <c r="V9085" s="1"/>
      <c r="W9085" s="1"/>
      <c r="X9085" s="1"/>
      <c r="Y9085" s="1"/>
      <c r="Z9085" s="1"/>
      <c r="AA9085" s="1"/>
      <c r="AB9085" s="1"/>
    </row>
    <row r="9086" ht="50.25" customHeight="1">
      <c r="A9086" s="12">
        <v>9082.0</v>
      </c>
      <c r="B9086" s="13" t="s">
        <v>8699</v>
      </c>
      <c r="C9086" s="18" t="s">
        <v>9112</v>
      </c>
      <c r="D9086" s="1"/>
      <c r="E9086" s="1"/>
      <c r="F9086" s="1" t="str">
        <f>IFERROR(__xludf.DUMMYFUNCTION("GOOGLETRANSLATE(B9086, ""en"", ""fa"")
"),"موفقیت در پادکست")</f>
        <v>موفقیت در پادکست</v>
      </c>
      <c r="G9086" s="1" t="str">
        <f>IFERROR(__xludf.DUMMYFUNCTION("GOOGLETRANSLATE(C9086, ""en"", ""fa"")
"),"تکنیک‌های تنظیم برنامه ضبط پادکست و حفظ کیفیت صدای ثابت در قسمت‌های مختلف و جلسات ضبط چیست؟")</f>
        <v>تکنیک‌های تنظیم برنامه ضبط پادکست و حفظ کیفیت صدای ثابت در قسمت‌های مختلف و جلسات ضبط چیست؟</v>
      </c>
      <c r="H9086" s="1"/>
      <c r="I9086" s="1"/>
      <c r="J9086" s="1"/>
      <c r="K9086" s="1"/>
      <c r="L9086" s="1"/>
      <c r="M9086" s="1"/>
      <c r="N9086" s="1"/>
      <c r="O9086" s="1"/>
      <c r="P9086" s="1"/>
      <c r="Q9086" s="1"/>
      <c r="R9086" s="1"/>
      <c r="S9086" s="1"/>
      <c r="T9086" s="1"/>
      <c r="U9086" s="1"/>
      <c r="V9086" s="1"/>
      <c r="W9086" s="1"/>
      <c r="X9086" s="1"/>
      <c r="Y9086" s="1"/>
      <c r="Z9086" s="1"/>
      <c r="AA9086" s="1"/>
      <c r="AB9086" s="1"/>
    </row>
    <row r="9087" ht="50.25" customHeight="1">
      <c r="A9087" s="12">
        <v>9083.0</v>
      </c>
      <c r="B9087" s="13" t="s">
        <v>8699</v>
      </c>
      <c r="C9087" s="18" t="s">
        <v>9113</v>
      </c>
      <c r="D9087" s="1"/>
      <c r="E9087" s="1"/>
      <c r="F9087" s="1" t="str">
        <f>IFERROR(__xludf.DUMMYFUNCTION("GOOGLETRANSLATE(B9087, ""en"", ""fa"")
"),"موفقیت در پادکست")</f>
        <v>موفقیت در پادکست</v>
      </c>
      <c r="G9087" s="1" t="str">
        <f>IFERROR(__xludf.DUMMYFUNCTION("GOOGLETRANSLATE(C9087, ""en"", ""fa"")
"),"چگونه می توان تکنیک و موقعیت میکروفون را برای قالب های مختلف پادکست، مانند مصاحبه، قسمت های انفرادی یا بحث های پنل بهینه کرد؟")</f>
        <v>چگونه می توان تکنیک و موقعیت میکروفون را برای قالب های مختلف پادکست، مانند مصاحبه، قسمت های انفرادی یا بحث های پنل بهینه کرد؟</v>
      </c>
      <c r="H9087" s="1"/>
      <c r="I9087" s="1"/>
      <c r="J9087" s="1"/>
      <c r="K9087" s="1"/>
      <c r="L9087" s="1"/>
      <c r="M9087" s="1"/>
      <c r="N9087" s="1"/>
      <c r="O9087" s="1"/>
      <c r="P9087" s="1"/>
      <c r="Q9087" s="1"/>
      <c r="R9087" s="1"/>
      <c r="S9087" s="1"/>
      <c r="T9087" s="1"/>
      <c r="U9087" s="1"/>
      <c r="V9087" s="1"/>
      <c r="W9087" s="1"/>
      <c r="X9087" s="1"/>
      <c r="Y9087" s="1"/>
      <c r="Z9087" s="1"/>
      <c r="AA9087" s="1"/>
      <c r="AB9087" s="1"/>
    </row>
    <row r="9088" ht="50.25" customHeight="1">
      <c r="A9088" s="12">
        <v>9084.0</v>
      </c>
      <c r="B9088" s="13" t="s">
        <v>8699</v>
      </c>
      <c r="C9088" s="18" t="s">
        <v>9114</v>
      </c>
      <c r="D9088" s="1"/>
      <c r="E9088" s="1"/>
      <c r="F9088" s="1" t="str">
        <f>IFERROR(__xludf.DUMMYFUNCTION("GOOGLETRANSLATE(B9088, ""en"", ""fa"")
"),"موفقیت در پادکست")</f>
        <v>موفقیت در پادکست</v>
      </c>
      <c r="G9088" s="1" t="str">
        <f>IFERROR(__xludf.DUMMYFUNCTION("GOOGLETRANSLATE(C9088, ""en"", ""fa"")
"),"راهبردهای انتخاب و راه اندازی نرم افزار یا اپلیکیشن های ضبط پادکست با ویژگی هایی مانند قابلیت ضبط چند آهنگ و کاهش نویز چیست؟")</f>
        <v>راهبردهای انتخاب و راه اندازی نرم افزار یا اپلیکیشن های ضبط پادکست با ویژگی هایی مانند قابلیت ضبط چند آهنگ و کاهش نویز چیست؟</v>
      </c>
      <c r="H9088" s="1"/>
      <c r="I9088" s="1"/>
      <c r="J9088" s="1"/>
      <c r="K9088" s="1"/>
      <c r="L9088" s="1"/>
      <c r="M9088" s="1"/>
      <c r="N9088" s="1"/>
      <c r="O9088" s="1"/>
      <c r="P9088" s="1"/>
      <c r="Q9088" s="1"/>
      <c r="R9088" s="1"/>
      <c r="S9088" s="1"/>
      <c r="T9088" s="1"/>
      <c r="U9088" s="1"/>
      <c r="V9088" s="1"/>
      <c r="W9088" s="1"/>
      <c r="X9088" s="1"/>
      <c r="Y9088" s="1"/>
      <c r="Z9088" s="1"/>
      <c r="AA9088" s="1"/>
      <c r="AB9088" s="1"/>
    </row>
    <row r="9089" ht="50.25" customHeight="1">
      <c r="A9089" s="12">
        <v>9085.0</v>
      </c>
      <c r="B9089" s="13" t="s">
        <v>8699</v>
      </c>
      <c r="C9089" s="18" t="s">
        <v>9115</v>
      </c>
      <c r="D9089" s="1"/>
      <c r="E9089" s="1"/>
      <c r="F9089" s="1" t="str">
        <f>IFERROR(__xludf.DUMMYFUNCTION("GOOGLETRANSLATE(B9089, ""en"", ""fa"")
"),"موفقیت در پادکست")</f>
        <v>موفقیت در پادکست</v>
      </c>
      <c r="G9089" s="1" t="str">
        <f>IFERROR(__xludf.DUMMYFUNCTION("GOOGLETRANSLATE(C9089, ""en"", ""fa"")
"),"چگونه می توان تجهیزات ضبط پادکست را برای پادکست زنده یا پخش جریانی انتخاب کرد و تنظیم کرد که میکسرها، رابط های صوتی و پلتفرم های پخش را در خود جای داده است؟")</f>
        <v>چگونه می توان تجهیزات ضبط پادکست را برای پادکست زنده یا پخش جریانی انتخاب کرد و تنظیم کرد که میکسرها، رابط های صوتی و پلتفرم های پخش را در خود جای داده است؟</v>
      </c>
      <c r="H9089" s="1"/>
      <c r="I9089" s="1"/>
      <c r="J9089" s="1"/>
      <c r="K9089" s="1"/>
      <c r="L9089" s="1"/>
      <c r="M9089" s="1"/>
      <c r="N9089" s="1"/>
      <c r="O9089" s="1"/>
      <c r="P9089" s="1"/>
      <c r="Q9089" s="1"/>
      <c r="R9089" s="1"/>
      <c r="S9089" s="1"/>
      <c r="T9089" s="1"/>
      <c r="U9089" s="1"/>
      <c r="V9089" s="1"/>
      <c r="W9089" s="1"/>
      <c r="X9089" s="1"/>
      <c r="Y9089" s="1"/>
      <c r="Z9089" s="1"/>
      <c r="AA9089" s="1"/>
      <c r="AB9089" s="1"/>
    </row>
    <row r="9090" ht="50.25" customHeight="1">
      <c r="A9090" s="12">
        <v>9086.0</v>
      </c>
      <c r="B9090" s="13" t="s">
        <v>8699</v>
      </c>
      <c r="C9090" s="18" t="s">
        <v>9116</v>
      </c>
      <c r="D9090" s="1"/>
      <c r="E9090" s="1"/>
      <c r="F9090" s="1" t="str">
        <f>IFERROR(__xludf.DUMMYFUNCTION("GOOGLETRANSLATE(B9090, ""en"", ""fa"")
"),"موفقیت در پادکست")</f>
        <v>موفقیت در پادکست</v>
      </c>
      <c r="G9090" s="1" t="str">
        <f>IFERROR(__xludf.DUMMYFUNCTION("GOOGLETRANSLATE(C9090, ""en"", ""fa"")
"),"تکنیک های راه اندازی فضای ضبط پادکست با تهویه مناسب و کنترل دما برای جلوگیری از گرمای بیش از حد و آسیب تجهیزات چیست؟")</f>
        <v>تکنیک های راه اندازی فضای ضبط پادکست با تهویه مناسب و کنترل دما برای جلوگیری از گرمای بیش از حد و آسیب تجهیزات چیست؟</v>
      </c>
      <c r="H9090" s="1"/>
      <c r="I9090" s="1"/>
      <c r="J9090" s="1"/>
      <c r="K9090" s="1"/>
      <c r="L9090" s="1"/>
      <c r="M9090" s="1"/>
      <c r="N9090" s="1"/>
      <c r="O9090" s="1"/>
      <c r="P9090" s="1"/>
      <c r="Q9090" s="1"/>
      <c r="R9090" s="1"/>
      <c r="S9090" s="1"/>
      <c r="T9090" s="1"/>
      <c r="U9090" s="1"/>
      <c r="V9090" s="1"/>
      <c r="W9090" s="1"/>
      <c r="X9090" s="1"/>
      <c r="Y9090" s="1"/>
      <c r="Z9090" s="1"/>
      <c r="AA9090" s="1"/>
      <c r="AB9090" s="1"/>
    </row>
    <row r="9091" ht="50.25" customHeight="1">
      <c r="A9091" s="12">
        <v>9087.0</v>
      </c>
      <c r="B9091" s="13" t="s">
        <v>8699</v>
      </c>
      <c r="C9091" s="18" t="s">
        <v>9117</v>
      </c>
      <c r="D9091" s="1"/>
      <c r="E9091" s="1"/>
      <c r="F9091" s="1" t="str">
        <f>IFERROR(__xludf.DUMMYFUNCTION("GOOGLETRANSLATE(B9091, ""en"", ""fa"")
"),"موفقیت در پادکست")</f>
        <v>موفقیت در پادکست</v>
      </c>
      <c r="G9091" s="1" t="str">
        <f>IFERROR(__xludf.DUMMYFUNCTION("GOOGLETRANSLATE(C9091, ""en"", ""fa"")
"),"چگونه تنظیمات ضبط پادکست را برای همکاری های راه دور، با استفاده از پلتفرم هایی مانند Zencastr، SquadCast یا Cleanfeed برای ضبط های صوتی با کیفیت بالا بهینه کنیم؟")</f>
        <v>چگونه تنظیمات ضبط پادکست را برای همکاری های راه دور، با استفاده از پلتفرم هایی مانند Zencastr، SquadCast یا Cleanfeed برای ضبط های صوتی با کیفیت بالا بهینه کنیم؟</v>
      </c>
      <c r="H9091" s="1"/>
      <c r="I9091" s="1"/>
      <c r="J9091" s="1"/>
      <c r="K9091" s="1"/>
      <c r="L9091" s="1"/>
      <c r="M9091" s="1"/>
      <c r="N9091" s="1"/>
      <c r="O9091" s="1"/>
      <c r="P9091" s="1"/>
      <c r="Q9091" s="1"/>
      <c r="R9091" s="1"/>
      <c r="S9091" s="1"/>
      <c r="T9091" s="1"/>
      <c r="U9091" s="1"/>
      <c r="V9091" s="1"/>
      <c r="W9091" s="1"/>
      <c r="X9091" s="1"/>
      <c r="Y9091" s="1"/>
      <c r="Z9091" s="1"/>
      <c r="AA9091" s="1"/>
      <c r="AB9091" s="1"/>
    </row>
    <row r="9092" ht="50.25" customHeight="1">
      <c r="A9092" s="12">
        <v>9088.0</v>
      </c>
      <c r="B9092" s="13" t="s">
        <v>8699</v>
      </c>
      <c r="C9092" s="18" t="s">
        <v>9118</v>
      </c>
      <c r="D9092" s="1"/>
      <c r="E9092" s="1"/>
      <c r="F9092" s="1" t="str">
        <f>IFERROR(__xludf.DUMMYFUNCTION("GOOGLETRANSLATE(B9092, ""en"", ""fa"")
"),"موفقیت در پادکست")</f>
        <v>موفقیت در پادکست</v>
      </c>
      <c r="G9092" s="1" t="str">
        <f>IFERROR(__xludf.DUMMYFUNCTION("GOOGLETRANSLATE(C9092, ""en"", ""fa"")
"),"استراتژی‌های انتخاب و راه‌اندازی تجهیزات ضبط پادکست برای نمایش‌های چند میزبان، شامل چند میکروفون و نظارت بر هدفون چیست؟")</f>
        <v>استراتژی‌های انتخاب و راه‌اندازی تجهیزات ضبط پادکست برای نمایش‌های چند میزبان، شامل چند میکروفون و نظارت بر هدفون چیست؟</v>
      </c>
      <c r="H9092" s="1"/>
      <c r="I9092" s="1"/>
      <c r="J9092" s="1"/>
      <c r="K9092" s="1"/>
      <c r="L9092" s="1"/>
      <c r="M9092" s="1"/>
      <c r="N9092" s="1"/>
      <c r="O9092" s="1"/>
      <c r="P9092" s="1"/>
      <c r="Q9092" s="1"/>
      <c r="R9092" s="1"/>
      <c r="S9092" s="1"/>
      <c r="T9092" s="1"/>
      <c r="U9092" s="1"/>
      <c r="V9092" s="1"/>
      <c r="W9092" s="1"/>
      <c r="X9092" s="1"/>
      <c r="Y9092" s="1"/>
      <c r="Z9092" s="1"/>
      <c r="AA9092" s="1"/>
      <c r="AB9092" s="1"/>
    </row>
    <row r="9093" ht="50.25" customHeight="1">
      <c r="A9093" s="12">
        <v>9089.0</v>
      </c>
      <c r="B9093" s="13" t="s">
        <v>8699</v>
      </c>
      <c r="C9093" s="18" t="s">
        <v>9119</v>
      </c>
      <c r="D9093" s="1"/>
      <c r="E9093" s="1"/>
      <c r="F9093" s="1" t="str">
        <f>IFERROR(__xludf.DUMMYFUNCTION("GOOGLETRANSLATE(B9093, ""en"", ""fa"")
"),"موفقیت در پادکست")</f>
        <v>موفقیت در پادکست</v>
      </c>
      <c r="G9093" s="1" t="str">
        <f>IFERROR(__xludf.DUMMYFUNCTION("GOOGLETRANSLATE(C9093, ""en"", ""fa"")
"),"چگونه با استفاده از تکنیک های عایق صدا و ابزارهای کاهش نویز، یک فضای ضبط پادکست را در محیطی پر سر و صدا یا چالش برانگیز صوتی انتخاب و راه اندازی کنیم؟")</f>
        <v>چگونه با استفاده از تکنیک های عایق صدا و ابزارهای کاهش نویز، یک فضای ضبط پادکست را در محیطی پر سر و صدا یا چالش برانگیز صوتی انتخاب و راه اندازی کنیم؟</v>
      </c>
      <c r="H9093" s="1"/>
      <c r="I9093" s="1"/>
      <c r="J9093" s="1"/>
      <c r="K9093" s="1"/>
      <c r="L9093" s="1"/>
      <c r="M9093" s="1"/>
      <c r="N9093" s="1"/>
      <c r="O9093" s="1"/>
      <c r="P9093" s="1"/>
      <c r="Q9093" s="1"/>
      <c r="R9093" s="1"/>
      <c r="S9093" s="1"/>
      <c r="T9093" s="1"/>
      <c r="U9093" s="1"/>
      <c r="V9093" s="1"/>
      <c r="W9093" s="1"/>
      <c r="X9093" s="1"/>
      <c r="Y9093" s="1"/>
      <c r="Z9093" s="1"/>
      <c r="AA9093" s="1"/>
      <c r="AB9093" s="1"/>
    </row>
    <row r="9094" ht="50.25" customHeight="1">
      <c r="A9094" s="12">
        <v>9090.0</v>
      </c>
      <c r="B9094" s="13" t="s">
        <v>8699</v>
      </c>
      <c r="C9094" s="18" t="s">
        <v>9120</v>
      </c>
      <c r="D9094" s="1"/>
      <c r="E9094" s="1"/>
      <c r="F9094" s="1" t="str">
        <f>IFERROR(__xludf.DUMMYFUNCTION("GOOGLETRANSLATE(B9094, ""en"", ""fa"")
"),"موفقیت در پادکست")</f>
        <v>موفقیت در پادکست</v>
      </c>
      <c r="G9094" s="1" t="str">
        <f>IFERROR(__xludf.DUMMYFUNCTION("GOOGLETRANSLATE(C9094, ""en"", ""fa"")
"),"تکنیک های تنظیم و کالیبره کردن بلندگوها یا هدفون های مانیتور برای پخش و نظارت دقیق صدا در طول جلسات ضبط پادکست چیست؟")</f>
        <v>تکنیک های تنظیم و کالیبره کردن بلندگوها یا هدفون های مانیتور برای پخش و نظارت دقیق صدا در طول جلسات ضبط پادکست چیست؟</v>
      </c>
      <c r="H9094" s="1"/>
      <c r="I9094" s="1"/>
      <c r="J9094" s="1"/>
      <c r="K9094" s="1"/>
      <c r="L9094" s="1"/>
      <c r="M9094" s="1"/>
      <c r="N9094" s="1"/>
      <c r="O9094" s="1"/>
      <c r="P9094" s="1"/>
      <c r="Q9094" s="1"/>
      <c r="R9094" s="1"/>
      <c r="S9094" s="1"/>
      <c r="T9094" s="1"/>
      <c r="U9094" s="1"/>
      <c r="V9094" s="1"/>
      <c r="W9094" s="1"/>
      <c r="X9094" s="1"/>
      <c r="Y9094" s="1"/>
      <c r="Z9094" s="1"/>
      <c r="AA9094" s="1"/>
      <c r="AB9094" s="1"/>
    </row>
    <row r="9095" ht="50.25" customHeight="1">
      <c r="A9095" s="12">
        <v>9091.0</v>
      </c>
      <c r="B9095" s="13" t="s">
        <v>8699</v>
      </c>
      <c r="C9095" s="18" t="s">
        <v>9121</v>
      </c>
      <c r="D9095" s="1"/>
      <c r="E9095" s="1"/>
      <c r="F9095" s="1" t="str">
        <f>IFERROR(__xludf.DUMMYFUNCTION("GOOGLETRANSLATE(B9095, ""en"", ""fa"")
"),"موفقیت در پادکست")</f>
        <v>موفقیت در پادکست</v>
      </c>
      <c r="G9095" s="1" t="str">
        <f>IFERROR(__xludf.DUMMYFUNCTION("GOOGLETRANSLATE(C9095, ""en"", ""fa"")
"),"چگونه تنظیمات ضبط پادکست را برای دامنه پویا و پردازش صدا، با استفاده از تکنیک‌هایی مانند فشرده‌سازی، یکسان سازی و گیتینگ نویز بهینه کنیم؟")</f>
        <v>چگونه تنظیمات ضبط پادکست را برای دامنه پویا و پردازش صدا، با استفاده از تکنیک‌هایی مانند فشرده‌سازی، یکسان سازی و گیتینگ نویز بهینه کنیم؟</v>
      </c>
      <c r="H9095" s="1"/>
      <c r="I9095" s="1"/>
      <c r="J9095" s="1"/>
      <c r="K9095" s="1"/>
      <c r="L9095" s="1"/>
      <c r="M9095" s="1"/>
      <c r="N9095" s="1"/>
      <c r="O9095" s="1"/>
      <c r="P9095" s="1"/>
      <c r="Q9095" s="1"/>
      <c r="R9095" s="1"/>
      <c r="S9095" s="1"/>
      <c r="T9095" s="1"/>
      <c r="U9095" s="1"/>
      <c r="V9095" s="1"/>
      <c r="W9095" s="1"/>
      <c r="X9095" s="1"/>
      <c r="Y9095" s="1"/>
      <c r="Z9095" s="1"/>
      <c r="AA9095" s="1"/>
      <c r="AB9095" s="1"/>
    </row>
    <row r="9096" ht="50.25" customHeight="1">
      <c r="A9096" s="12">
        <v>9092.0</v>
      </c>
      <c r="B9096" s="13" t="s">
        <v>8699</v>
      </c>
      <c r="C9096" s="18" t="s">
        <v>9122</v>
      </c>
      <c r="D9096" s="1"/>
      <c r="E9096" s="1"/>
      <c r="F9096" s="1" t="str">
        <f>IFERROR(__xludf.DUMMYFUNCTION("GOOGLETRANSLATE(B9096, ""en"", ""fa"")
"),"موفقیت در پادکست")</f>
        <v>موفقیت در پادکست</v>
      </c>
      <c r="G9096" s="1" t="str">
        <f>IFERROR(__xludf.DUMMYFUNCTION("GOOGLETRANSLATE(C9096, ""en"", ""fa"")
"),"راهبردهای انتخاب و راه اندازی تجهیزات ضبط پادکست برای ضبط صحرایی یا پادکست در فضای باز، از جمله ضبط کننده های قابل حمل و میکروفون چیست؟")</f>
        <v>راهبردهای انتخاب و راه اندازی تجهیزات ضبط پادکست برای ضبط صحرایی یا پادکست در فضای باز، از جمله ضبط کننده های قابل حمل و میکروفون چیست؟</v>
      </c>
      <c r="H9096" s="1"/>
      <c r="I9096" s="1"/>
      <c r="J9096" s="1"/>
      <c r="K9096" s="1"/>
      <c r="L9096" s="1"/>
      <c r="M9096" s="1"/>
      <c r="N9096" s="1"/>
      <c r="O9096" s="1"/>
      <c r="P9096" s="1"/>
      <c r="Q9096" s="1"/>
      <c r="R9096" s="1"/>
      <c r="S9096" s="1"/>
      <c r="T9096" s="1"/>
      <c r="U9096" s="1"/>
      <c r="V9096" s="1"/>
      <c r="W9096" s="1"/>
      <c r="X9096" s="1"/>
      <c r="Y9096" s="1"/>
      <c r="Z9096" s="1"/>
      <c r="AA9096" s="1"/>
      <c r="AB9096" s="1"/>
    </row>
    <row r="9097" ht="50.25" customHeight="1">
      <c r="A9097" s="12">
        <v>9093.0</v>
      </c>
      <c r="B9097" s="13" t="s">
        <v>8699</v>
      </c>
      <c r="C9097" s="18" t="s">
        <v>9123</v>
      </c>
      <c r="D9097" s="1"/>
      <c r="E9097" s="1"/>
      <c r="F9097" s="1" t="str">
        <f>IFERROR(__xludf.DUMMYFUNCTION("GOOGLETRANSLATE(B9097, ""en"", ""fa"")
"),"موفقیت در پادکست")</f>
        <v>موفقیت در پادکست</v>
      </c>
      <c r="G9097" s="1" t="str">
        <f>IFERROR(__xludf.DUMMYFUNCTION("GOOGLETRANSLATE(C9097, ""en"", ""fa"")
"),"چگونه با توجه به عواملی مانند سازگاری میکروفون و تنظیمات مسیریابی صدا، تجهیزات ضبط پادکست را برای برنامه های میزبانی مشترک انتخاب و راه اندازی کنیم؟")</f>
        <v>چگونه با توجه به عواملی مانند سازگاری میکروفون و تنظیمات مسیریابی صدا، تجهیزات ضبط پادکست را برای برنامه های میزبانی مشترک انتخاب و راه اندازی کنیم؟</v>
      </c>
      <c r="H9097" s="1"/>
      <c r="I9097" s="1"/>
      <c r="J9097" s="1"/>
      <c r="K9097" s="1"/>
      <c r="L9097" s="1"/>
      <c r="M9097" s="1"/>
      <c r="N9097" s="1"/>
      <c r="O9097" s="1"/>
      <c r="P9097" s="1"/>
      <c r="Q9097" s="1"/>
      <c r="R9097" s="1"/>
      <c r="S9097" s="1"/>
      <c r="T9097" s="1"/>
      <c r="U9097" s="1"/>
      <c r="V9097" s="1"/>
      <c r="W9097" s="1"/>
      <c r="X9097" s="1"/>
      <c r="Y9097" s="1"/>
      <c r="Z9097" s="1"/>
      <c r="AA9097" s="1"/>
      <c r="AB9097" s="1"/>
    </row>
    <row r="9098" ht="50.25" customHeight="1">
      <c r="A9098" s="12">
        <v>9094.0</v>
      </c>
      <c r="B9098" s="13" t="s">
        <v>8699</v>
      </c>
      <c r="C9098" s="18" t="s">
        <v>9124</v>
      </c>
      <c r="D9098" s="1"/>
      <c r="E9098" s="1"/>
      <c r="F9098" s="1" t="str">
        <f>IFERROR(__xludf.DUMMYFUNCTION("GOOGLETRANSLATE(B9098, ""en"", ""fa"")
"),"موفقیت در پادکست")</f>
        <v>موفقیت در پادکست</v>
      </c>
      <c r="G9098" s="1" t="str">
        <f>IFERROR(__xludf.DUMMYFUNCTION("GOOGLETRANSLATE(C9098, ""en"", ""fa"")
"),"چه تکنیک هایی برای راه اندازی یک فضای ضبط پادکست با نور و زیبایی مناسب برای ایجاد یک محیط پادکست جذاب از نظر بصری وجود دارد؟")</f>
        <v>چه تکنیک هایی برای راه اندازی یک فضای ضبط پادکست با نور و زیبایی مناسب برای ایجاد یک محیط پادکست جذاب از نظر بصری وجود دارد؟</v>
      </c>
      <c r="H9098" s="1"/>
      <c r="I9098" s="1"/>
      <c r="J9098" s="1"/>
      <c r="K9098" s="1"/>
      <c r="L9098" s="1"/>
      <c r="M9098" s="1"/>
      <c r="N9098" s="1"/>
      <c r="O9098" s="1"/>
      <c r="P9098" s="1"/>
      <c r="Q9098" s="1"/>
      <c r="R9098" s="1"/>
      <c r="S9098" s="1"/>
      <c r="T9098" s="1"/>
      <c r="U9098" s="1"/>
      <c r="V9098" s="1"/>
      <c r="W9098" s="1"/>
      <c r="X9098" s="1"/>
      <c r="Y9098" s="1"/>
      <c r="Z9098" s="1"/>
      <c r="AA9098" s="1"/>
      <c r="AB9098" s="1"/>
    </row>
    <row r="9099" ht="50.25" customHeight="1">
      <c r="A9099" s="12">
        <v>9095.0</v>
      </c>
      <c r="B9099" s="13" t="s">
        <v>8699</v>
      </c>
      <c r="C9099" s="18" t="s">
        <v>9125</v>
      </c>
      <c r="D9099" s="1"/>
      <c r="E9099" s="1"/>
      <c r="F9099" s="1" t="str">
        <f>IFERROR(__xludf.DUMMYFUNCTION("GOOGLETRANSLATE(B9099, ""en"", ""fa"")
"),"موفقیت در پادکست")</f>
        <v>موفقیت در پادکست</v>
      </c>
      <c r="G9099" s="1" t="str">
        <f>IFERROR(__xludf.DUMMYFUNCTION("GOOGLETRANSLATE(C9099, ""en"", ""fa"")
"),"چگونه می توان تنظیمات ضبط پادکست را برای مصاحبه های مهمان از راه دور، با استفاده از ویژگی های نرم افزاری مانند آهنگ های صوتی فردی و تنظیمات خودکار سطح، بهینه کرد؟")</f>
        <v>چگونه می توان تنظیمات ضبط پادکست را برای مصاحبه های مهمان از راه دور، با استفاده از ویژگی های نرم افزاری مانند آهنگ های صوتی فردی و تنظیمات خودکار سطح، بهینه کرد؟</v>
      </c>
      <c r="H9099" s="1"/>
      <c r="I9099" s="1"/>
      <c r="J9099" s="1"/>
      <c r="K9099" s="1"/>
      <c r="L9099" s="1"/>
      <c r="M9099" s="1"/>
      <c r="N9099" s="1"/>
      <c r="O9099" s="1"/>
      <c r="P9099" s="1"/>
      <c r="Q9099" s="1"/>
      <c r="R9099" s="1"/>
      <c r="S9099" s="1"/>
      <c r="T9099" s="1"/>
      <c r="U9099" s="1"/>
      <c r="V9099" s="1"/>
      <c r="W9099" s="1"/>
      <c r="X9099" s="1"/>
      <c r="Y9099" s="1"/>
      <c r="Z9099" s="1"/>
      <c r="AA9099" s="1"/>
      <c r="AB9099" s="1"/>
    </row>
    <row r="9100" ht="50.25" customHeight="1">
      <c r="A9100" s="12">
        <v>9096.0</v>
      </c>
      <c r="B9100" s="13" t="s">
        <v>8699</v>
      </c>
      <c r="C9100" s="18" t="s">
        <v>9126</v>
      </c>
      <c r="D9100" s="1"/>
      <c r="E9100" s="1"/>
      <c r="F9100" s="1" t="str">
        <f>IFERROR(__xludf.DUMMYFUNCTION("GOOGLETRANSLATE(B9100, ""en"", ""fa"")
"),"موفقیت در پادکست")</f>
        <v>موفقیت در پادکست</v>
      </c>
      <c r="G9100" s="1" t="str">
        <f>IFERROR(__xludf.DUMMYFUNCTION("GOOGLETRANSLATE(C9100, ""en"", ""fa"")
"),"استراتژی‌های انتخاب و راه‌اندازی تجهیزات ضبط پادکست برای پادکست‌های موسیقی محور، ترکیب سازها، میکسرها و کنترل‌کننده‌های MIDI چیست؟")</f>
        <v>استراتژی‌های انتخاب و راه‌اندازی تجهیزات ضبط پادکست برای پادکست‌های موسیقی محور، ترکیب سازها، میکسرها و کنترل‌کننده‌های MIDI چیست؟</v>
      </c>
      <c r="H9100" s="1"/>
      <c r="I9100" s="1"/>
      <c r="J9100" s="1"/>
      <c r="K9100" s="1"/>
      <c r="L9100" s="1"/>
      <c r="M9100" s="1"/>
      <c r="N9100" s="1"/>
      <c r="O9100" s="1"/>
      <c r="P9100" s="1"/>
      <c r="Q9100" s="1"/>
      <c r="R9100" s="1"/>
      <c r="S9100" s="1"/>
      <c r="T9100" s="1"/>
      <c r="U9100" s="1"/>
      <c r="V9100" s="1"/>
      <c r="W9100" s="1"/>
      <c r="X9100" s="1"/>
      <c r="Y9100" s="1"/>
      <c r="Z9100" s="1"/>
      <c r="AA9100" s="1"/>
      <c r="AB9100" s="1"/>
    </row>
    <row r="9101" ht="50.25" customHeight="1">
      <c r="A9101" s="12">
        <v>9097.0</v>
      </c>
      <c r="B9101" s="13" t="s">
        <v>8699</v>
      </c>
      <c r="C9101" s="18" t="s">
        <v>9127</v>
      </c>
      <c r="D9101" s="1"/>
      <c r="E9101" s="1"/>
      <c r="F9101" s="1" t="str">
        <f>IFERROR(__xludf.DUMMYFUNCTION("GOOGLETRANSLATE(B9101, ""en"", ""fa"")
"),"موفقیت در پادکست")</f>
        <v>موفقیت در پادکست</v>
      </c>
      <c r="G9101" s="1" t="str">
        <f>IFERROR(__xludf.DUMMYFUNCTION("GOOGLETRANSLATE(C9101, ""en"", ""fa"")
"),"چگونه یک فضای ضبط پادکست را با مدیریت و سازماندهی مناسب کابل انتخاب و راه اندازی کنیم تا از راه اندازی تمیز و بدون درهم و برهمی اطمینان حاصل کنیم؟")</f>
        <v>چگونه یک فضای ضبط پادکست را با مدیریت و سازماندهی مناسب کابل انتخاب و راه اندازی کنیم تا از راه اندازی تمیز و بدون درهم و برهمی اطمینان حاصل کنیم؟</v>
      </c>
      <c r="H9101" s="1"/>
      <c r="I9101" s="1"/>
      <c r="J9101" s="1"/>
      <c r="K9101" s="1"/>
      <c r="L9101" s="1"/>
      <c r="M9101" s="1"/>
      <c r="N9101" s="1"/>
      <c r="O9101" s="1"/>
      <c r="P9101" s="1"/>
      <c r="Q9101" s="1"/>
      <c r="R9101" s="1"/>
      <c r="S9101" s="1"/>
      <c r="T9101" s="1"/>
      <c r="U9101" s="1"/>
      <c r="V9101" s="1"/>
      <c r="W9101" s="1"/>
      <c r="X9101" s="1"/>
      <c r="Y9101" s="1"/>
      <c r="Z9101" s="1"/>
      <c r="AA9101" s="1"/>
      <c r="AB9101" s="1"/>
    </row>
    <row r="9102" ht="50.25" customHeight="1">
      <c r="A9102" s="12">
        <v>9098.0</v>
      </c>
      <c r="B9102" s="13" t="s">
        <v>8699</v>
      </c>
      <c r="C9102" s="18" t="s">
        <v>9128</v>
      </c>
      <c r="D9102" s="1"/>
      <c r="E9102" s="1"/>
      <c r="F9102" s="1" t="str">
        <f>IFERROR(__xludf.DUMMYFUNCTION("GOOGLETRANSLATE(B9102, ""en"", ""fa"")
"),"موفقیت در پادکست")</f>
        <v>موفقیت در پادکست</v>
      </c>
      <c r="G9102" s="1" t="str">
        <f>IFERROR(__xludf.DUMMYFUNCTION("GOOGLETRANSLATE(C9102, ""en"", ""fa"")
"),"تکنیک های بهینه سازی تنظیمات ضبط پادکست برای نسبت سیگنال به نویز بهینه و حداقل مصنوعات صوتی در طول فرآیند ضبط چیست؟")</f>
        <v>تکنیک های بهینه سازی تنظیمات ضبط پادکست برای نسبت سیگنال به نویز بهینه و حداقل مصنوعات صوتی در طول فرآیند ضبط چیست؟</v>
      </c>
      <c r="H9102" s="1"/>
      <c r="I9102" s="1"/>
      <c r="J9102" s="1"/>
      <c r="K9102" s="1"/>
      <c r="L9102" s="1"/>
      <c r="M9102" s="1"/>
      <c r="N9102" s="1"/>
      <c r="O9102" s="1"/>
      <c r="P9102" s="1"/>
      <c r="Q9102" s="1"/>
      <c r="R9102" s="1"/>
      <c r="S9102" s="1"/>
      <c r="T9102" s="1"/>
      <c r="U9102" s="1"/>
      <c r="V9102" s="1"/>
      <c r="W9102" s="1"/>
      <c r="X9102" s="1"/>
      <c r="Y9102" s="1"/>
      <c r="Z9102" s="1"/>
      <c r="AA9102" s="1"/>
      <c r="AB9102" s="1"/>
    </row>
    <row r="9103" ht="50.25" customHeight="1">
      <c r="A9103" s="12">
        <v>9099.0</v>
      </c>
      <c r="B9103" s="13" t="s">
        <v>8699</v>
      </c>
      <c r="C9103" s="18" t="s">
        <v>9129</v>
      </c>
      <c r="D9103" s="1"/>
      <c r="E9103" s="1"/>
      <c r="F9103" s="1" t="str">
        <f>IFERROR(__xludf.DUMMYFUNCTION("GOOGLETRANSLATE(B9103, ""en"", ""fa"")
"),"موفقیت در پادکست")</f>
        <v>موفقیت در پادکست</v>
      </c>
      <c r="G9103" s="1" t="str">
        <f>IFERROR(__xludf.DUMMYFUNCTION("GOOGLETRANSLATE(C9103, ""en"", ""fa"")
"),"چگونه می توان تجهیزات ضبط پادکست را برای ضبط زنده مخاطبان با در نظر گرفتن عواملی مانند قرار دادن میکروفون و تعامل مخاطب تنظیم و پیکربندی کرد؟")</f>
        <v>چگونه می توان تجهیزات ضبط پادکست را برای ضبط زنده مخاطبان با در نظر گرفتن عواملی مانند قرار دادن میکروفون و تعامل مخاطب تنظیم و پیکربندی کرد؟</v>
      </c>
      <c r="H9103" s="1"/>
      <c r="I9103" s="1"/>
      <c r="J9103" s="1"/>
      <c r="K9103" s="1"/>
      <c r="L9103" s="1"/>
      <c r="M9103" s="1"/>
      <c r="N9103" s="1"/>
      <c r="O9103" s="1"/>
      <c r="P9103" s="1"/>
      <c r="Q9103" s="1"/>
      <c r="R9103" s="1"/>
      <c r="S9103" s="1"/>
      <c r="T9103" s="1"/>
      <c r="U9103" s="1"/>
      <c r="V9103" s="1"/>
      <c r="W9103" s="1"/>
      <c r="X9103" s="1"/>
      <c r="Y9103" s="1"/>
      <c r="Z9103" s="1"/>
      <c r="AA9103" s="1"/>
      <c r="AB9103" s="1"/>
    </row>
    <row r="9104" ht="50.25" customHeight="1">
      <c r="A9104" s="12">
        <v>9100.0</v>
      </c>
      <c r="B9104" s="13" t="s">
        <v>8699</v>
      </c>
      <c r="C9104" s="18" t="s">
        <v>9130</v>
      </c>
      <c r="D9104" s="1"/>
      <c r="E9104" s="1"/>
      <c r="F9104" s="1" t="str">
        <f>IFERROR(__xludf.DUMMYFUNCTION("GOOGLETRANSLATE(B9104, ""en"", ""fa"")
"),"موفقیت در پادکست")</f>
        <v>موفقیت در پادکست</v>
      </c>
      <c r="G9104" s="1" t="str">
        <f>IFERROR(__xludf.DUMMYFUNCTION("GOOGLETRANSLATE(C9104, ""en"", ""fa"")
"),"راهبردهای انتخاب و راه‌اندازی تجهیزات ضبط پادکست برای پادکست‌های داستانی روایی یا درام صوتی، از جمله میکروفون‌های درجه استودیو و کتابخانه‌های جلوه‌های صوتی چیست؟")</f>
        <v>راهبردهای انتخاب و راه‌اندازی تجهیزات ضبط پادکست برای پادکست‌های داستانی روایی یا درام صوتی، از جمله میکروفون‌های درجه استودیو و کتابخانه‌های جلوه‌های صوتی چیست؟</v>
      </c>
      <c r="H9104" s="1"/>
      <c r="I9104" s="1"/>
      <c r="J9104" s="1"/>
      <c r="K9104" s="1"/>
      <c r="L9104" s="1"/>
      <c r="M9104" s="1"/>
      <c r="N9104" s="1"/>
      <c r="O9104" s="1"/>
      <c r="P9104" s="1"/>
      <c r="Q9104" s="1"/>
      <c r="R9104" s="1"/>
      <c r="S9104" s="1"/>
      <c r="T9104" s="1"/>
      <c r="U9104" s="1"/>
      <c r="V9104" s="1"/>
      <c r="W9104" s="1"/>
      <c r="X9104" s="1"/>
      <c r="Y9104" s="1"/>
      <c r="Z9104" s="1"/>
      <c r="AA9104" s="1"/>
      <c r="AB9104" s="1"/>
    </row>
    <row r="9105" ht="50.25" customHeight="1">
      <c r="A9105" s="12">
        <v>9101.0</v>
      </c>
      <c r="B9105" s="13" t="s">
        <v>8699</v>
      </c>
      <c r="C9105" s="18" t="s">
        <v>9131</v>
      </c>
      <c r="D9105" s="1"/>
      <c r="E9105" s="1"/>
      <c r="F9105" s="1" t="str">
        <f>IFERROR(__xludf.DUMMYFUNCTION("GOOGLETRANSLATE(B9105, ""en"", ""fa"")
"),"موفقیت در پادکست")</f>
        <v>موفقیت در پادکست</v>
      </c>
      <c r="G9105" s="1" t="str">
        <f>IFERROR(__xludf.DUMMYFUNCTION("GOOGLETRANSLATE(C9105, ""en"", ""fa"")
"),"چگونه با استفاده از استراتژی هایی مانند الگوریتم های کاهش نویز و جبران تاخیر، تنظیمات ضبط پادکست را برای میزبانان یا مهمانان راه دور بهینه کنیم؟")</f>
        <v>چگونه با استفاده از استراتژی هایی مانند الگوریتم های کاهش نویز و جبران تاخیر، تنظیمات ضبط پادکست را برای میزبانان یا مهمانان راه دور بهینه کنیم؟</v>
      </c>
      <c r="H9105" s="1"/>
      <c r="I9105" s="1"/>
      <c r="J9105" s="1"/>
      <c r="K9105" s="1"/>
      <c r="L9105" s="1"/>
      <c r="M9105" s="1"/>
      <c r="N9105" s="1"/>
      <c r="O9105" s="1"/>
      <c r="P9105" s="1"/>
      <c r="Q9105" s="1"/>
      <c r="R9105" s="1"/>
      <c r="S9105" s="1"/>
      <c r="T9105" s="1"/>
      <c r="U9105" s="1"/>
      <c r="V9105" s="1"/>
      <c r="W9105" s="1"/>
      <c r="X9105" s="1"/>
      <c r="Y9105" s="1"/>
      <c r="Z9105" s="1"/>
      <c r="AA9105" s="1"/>
      <c r="AB9105" s="1"/>
    </row>
    <row r="9106" ht="50.25" customHeight="1">
      <c r="A9106" s="12">
        <v>9102.0</v>
      </c>
      <c r="B9106" s="13" t="s">
        <v>8699</v>
      </c>
      <c r="C9106" s="18" t="s">
        <v>9132</v>
      </c>
      <c r="D9106" s="1"/>
      <c r="E9106" s="1"/>
      <c r="F9106" s="1" t="str">
        <f>IFERROR(__xludf.DUMMYFUNCTION("GOOGLETRANSLATE(B9106, ""en"", ""fa"")
"),"موفقیت در پادکست")</f>
        <v>موفقیت در پادکست</v>
      </c>
      <c r="G9106" s="1" t="str">
        <f>IFERROR(__xludf.DUMMYFUNCTION("GOOGLETRANSLATE(C9106, ""en"", ""fa"")
"),"با در نظر گرفتن عواملی مانند ارتفاع صندلی، موقعیت میز و میزان دسترسی میکروفون، چه تکنیک هایی برای تنظیم فضای ضبط پادکست با ارگونومی مناسب وجود دارد؟")</f>
        <v>با در نظر گرفتن عواملی مانند ارتفاع صندلی، موقعیت میز و میزان دسترسی میکروفون، چه تکنیک هایی برای تنظیم فضای ضبط پادکست با ارگونومی مناسب وجود دارد؟</v>
      </c>
      <c r="H9106" s="1"/>
      <c r="I9106" s="1"/>
      <c r="J9106" s="1"/>
      <c r="K9106" s="1"/>
      <c r="L9106" s="1"/>
      <c r="M9106" s="1"/>
      <c r="N9106" s="1"/>
      <c r="O9106" s="1"/>
      <c r="P9106" s="1"/>
      <c r="Q9106" s="1"/>
      <c r="R9106" s="1"/>
      <c r="S9106" s="1"/>
      <c r="T9106" s="1"/>
      <c r="U9106" s="1"/>
      <c r="V9106" s="1"/>
      <c r="W9106" s="1"/>
      <c r="X9106" s="1"/>
      <c r="Y9106" s="1"/>
      <c r="Z9106" s="1"/>
      <c r="AA9106" s="1"/>
      <c r="AB9106" s="1"/>
    </row>
    <row r="9107" ht="50.25" customHeight="1">
      <c r="A9107" s="12">
        <v>9103.0</v>
      </c>
      <c r="B9107" s="13" t="s">
        <v>8699</v>
      </c>
      <c r="C9107" s="18" t="s">
        <v>9133</v>
      </c>
      <c r="D9107" s="1"/>
      <c r="E9107" s="1"/>
      <c r="F9107" s="1" t="str">
        <f>IFERROR(__xludf.DUMMYFUNCTION("GOOGLETRANSLATE(B9107, ""en"", ""fa"")
"),"موفقیت در پادکست")</f>
        <v>موفقیت در پادکست</v>
      </c>
      <c r="G9107" s="1" t="str">
        <f>IFERROR(__xludf.DUMMYFUNCTION("GOOGLETRANSLATE(C9107, ""en"", ""fa"")
"),"چگونه یک قفسه تجهیزات ضبط پادکست یا راه حل ذخیره سازی برای سازماندهی کارآمد و محافظت از تجهیزات پادکست خود انتخاب و راه اندازی کنیم؟")</f>
        <v>چگونه یک قفسه تجهیزات ضبط پادکست یا راه حل ذخیره سازی برای سازماندهی کارآمد و محافظت از تجهیزات پادکست خود انتخاب و راه اندازی کنیم؟</v>
      </c>
      <c r="H9107" s="1"/>
      <c r="I9107" s="1"/>
      <c r="J9107" s="1"/>
      <c r="K9107" s="1"/>
      <c r="L9107" s="1"/>
      <c r="M9107" s="1"/>
      <c r="N9107" s="1"/>
      <c r="O9107" s="1"/>
      <c r="P9107" s="1"/>
      <c r="Q9107" s="1"/>
      <c r="R9107" s="1"/>
      <c r="S9107" s="1"/>
      <c r="T9107" s="1"/>
      <c r="U9107" s="1"/>
      <c r="V9107" s="1"/>
      <c r="W9107" s="1"/>
      <c r="X9107" s="1"/>
      <c r="Y9107" s="1"/>
      <c r="Z9107" s="1"/>
      <c r="AA9107" s="1"/>
      <c r="AB9107" s="1"/>
    </row>
    <row r="9108" ht="50.25" customHeight="1">
      <c r="A9108" s="12">
        <v>9104.0</v>
      </c>
      <c r="B9108" s="13" t="s">
        <v>8699</v>
      </c>
      <c r="C9108" s="18" t="s">
        <v>9134</v>
      </c>
      <c r="D9108" s="1"/>
      <c r="E9108" s="1"/>
      <c r="F9108" s="1" t="str">
        <f>IFERROR(__xludf.DUMMYFUNCTION("GOOGLETRANSLATE(B9108, ""en"", ""fa"")
"),"موفقیت در پادکست")</f>
        <v>موفقیت در پادکست</v>
      </c>
      <c r="G9108" s="1" t="str">
        <f>IFERROR(__xludf.DUMMYFUNCTION("GOOGLETRANSLATE(C9108, ""en"", ""fa"")
"),"با توجه به مقیاس پذیری و سهولت استفاده، چه راهکارهایی برای انتخاب و راه اندازی تجهیزات ضبط پادکست برای شبکه های پادکست یا تنظیمات تولید چند نمایشی وجود دارد؟")</f>
        <v>با توجه به مقیاس پذیری و سهولت استفاده، چه راهکارهایی برای انتخاب و راه اندازی تجهیزات ضبط پادکست برای شبکه های پادکست یا تنظیمات تولید چند نمایشی وجود دارد؟</v>
      </c>
      <c r="H9108" s="1"/>
      <c r="I9108" s="1"/>
      <c r="J9108" s="1"/>
      <c r="K9108" s="1"/>
      <c r="L9108" s="1"/>
      <c r="M9108" s="1"/>
      <c r="N9108" s="1"/>
      <c r="O9108" s="1"/>
      <c r="P9108" s="1"/>
      <c r="Q9108" s="1"/>
      <c r="R9108" s="1"/>
      <c r="S9108" s="1"/>
      <c r="T9108" s="1"/>
      <c r="U9108" s="1"/>
      <c r="V9108" s="1"/>
      <c r="W9108" s="1"/>
      <c r="X9108" s="1"/>
      <c r="Y9108" s="1"/>
      <c r="Z9108" s="1"/>
      <c r="AA9108" s="1"/>
      <c r="AB9108" s="1"/>
    </row>
    <row r="9109" ht="50.25" customHeight="1">
      <c r="A9109" s="12">
        <v>9105.0</v>
      </c>
      <c r="B9109" s="13" t="s">
        <v>8699</v>
      </c>
      <c r="C9109" s="18" t="s">
        <v>9135</v>
      </c>
      <c r="D9109" s="1"/>
      <c r="E9109" s="1"/>
      <c r="F9109" s="1" t="str">
        <f>IFERROR(__xludf.DUMMYFUNCTION("GOOGLETRANSLATE(B9109, ""en"", ""fa"")
"),"موفقیت در پادکست")</f>
        <v>موفقیت در پادکست</v>
      </c>
      <c r="G9109" s="1" t="str">
        <f>IFERROR(__xludf.DUMMYFUNCTION("GOOGLETRANSLATE(C9109, ""en"", ""fa"")
"),"چگونه تنظیمات ضبط پادکست را برای اجرای زنده یا تعامل با مخاطب، با استفاده از ویژگی‌هایی مانند سرکوب صدای جمعیت و تنظیمات EQ پویا بهینه کنیم؟")</f>
        <v>چگونه تنظیمات ضبط پادکست را برای اجرای زنده یا تعامل با مخاطب، با استفاده از ویژگی‌هایی مانند سرکوب صدای جمعیت و تنظیمات EQ پویا بهینه کنیم؟</v>
      </c>
      <c r="H9109" s="1"/>
      <c r="I9109" s="1"/>
      <c r="J9109" s="1"/>
      <c r="K9109" s="1"/>
      <c r="L9109" s="1"/>
      <c r="M9109" s="1"/>
      <c r="N9109" s="1"/>
      <c r="O9109" s="1"/>
      <c r="P9109" s="1"/>
      <c r="Q9109" s="1"/>
      <c r="R9109" s="1"/>
      <c r="S9109" s="1"/>
      <c r="T9109" s="1"/>
      <c r="U9109" s="1"/>
      <c r="V9109" s="1"/>
      <c r="W9109" s="1"/>
      <c r="X9109" s="1"/>
      <c r="Y9109" s="1"/>
      <c r="Z9109" s="1"/>
      <c r="AA9109" s="1"/>
      <c r="AB9109" s="1"/>
    </row>
    <row r="9110" ht="50.25" customHeight="1">
      <c r="A9110" s="12">
        <v>9106.0</v>
      </c>
      <c r="B9110" s="13" t="s">
        <v>8699</v>
      </c>
      <c r="C9110" s="18" t="s">
        <v>9136</v>
      </c>
      <c r="D9110" s="1"/>
      <c r="E9110" s="1"/>
      <c r="F9110" s="1" t="str">
        <f>IFERROR(__xludf.DUMMYFUNCTION("GOOGLETRANSLATE(B9110, ""en"", ""fa"")
"),"موفقیت در پادکست")</f>
        <v>موفقیت در پادکست</v>
      </c>
      <c r="G9110" s="1" t="str">
        <f>IFERROR(__xludf.DUMMYFUNCTION("GOOGLETRANSLATE(C9110, ""en"", ""fa"")
"),"تکنیک‌های راه‌اندازی و بهینه‌سازی تجهیزات ضبط پادکست برای پادکست‌های ASMR یا مدیتیشن، با تمرکز بر میکروفون‌های حساس و با کیفیت و حداقل نویز پس‌زمینه چیست؟")</f>
        <v>تکنیک‌های راه‌اندازی و بهینه‌سازی تجهیزات ضبط پادکست برای پادکست‌های ASMR یا مدیتیشن، با تمرکز بر میکروفون‌های حساس و با کیفیت و حداقل نویز پس‌زمینه چیست؟</v>
      </c>
      <c r="H9110" s="1"/>
      <c r="I9110" s="1"/>
      <c r="J9110" s="1"/>
      <c r="K9110" s="1"/>
      <c r="L9110" s="1"/>
      <c r="M9110" s="1"/>
      <c r="N9110" s="1"/>
      <c r="O9110" s="1"/>
      <c r="P9110" s="1"/>
      <c r="Q9110" s="1"/>
      <c r="R9110" s="1"/>
      <c r="S9110" s="1"/>
      <c r="T9110" s="1"/>
      <c r="U9110" s="1"/>
      <c r="V9110" s="1"/>
      <c r="W9110" s="1"/>
      <c r="X9110" s="1"/>
      <c r="Y9110" s="1"/>
      <c r="Z9110" s="1"/>
      <c r="AA9110" s="1"/>
      <c r="AB9110" s="1"/>
    </row>
    <row r="9111" ht="50.25" customHeight="1">
      <c r="A9111" s="12">
        <v>9107.0</v>
      </c>
      <c r="B9111" s="13" t="s">
        <v>8699</v>
      </c>
      <c r="C9111" s="18" t="s">
        <v>9137</v>
      </c>
      <c r="D9111" s="1"/>
      <c r="E9111" s="1"/>
      <c r="F9111" s="1" t="str">
        <f>IFERROR(__xludf.DUMMYFUNCTION("GOOGLETRANSLATE(B9111, ""en"", ""fa"")
"),"موفقیت در پادکست")</f>
        <v>موفقیت در پادکست</v>
      </c>
      <c r="G9111" s="1" t="str">
        <f>IFERROR(__xludf.DUMMYFUNCTION("GOOGLETRANSLATE(C9111, ""en"", ""fa"")
"),"چگونه یک فضای ضبط پادکست را با مسیریابی و مدیریت کابل مناسب انتخاب و تنظیم کنیم تا تداخل را به حداقل برسانیم و از تنظیم مرتب اطمینان حاصل کنیم؟")</f>
        <v>چگونه یک فضای ضبط پادکست را با مسیریابی و مدیریت کابل مناسب انتخاب و تنظیم کنیم تا تداخل را به حداقل برسانیم و از تنظیم مرتب اطمینان حاصل کنیم؟</v>
      </c>
      <c r="H9111" s="1"/>
      <c r="I9111" s="1"/>
      <c r="J9111" s="1"/>
      <c r="K9111" s="1"/>
      <c r="L9111" s="1"/>
      <c r="M9111" s="1"/>
      <c r="N9111" s="1"/>
      <c r="O9111" s="1"/>
      <c r="P9111" s="1"/>
      <c r="Q9111" s="1"/>
      <c r="R9111" s="1"/>
      <c r="S9111" s="1"/>
      <c r="T9111" s="1"/>
      <c r="U9111" s="1"/>
      <c r="V9111" s="1"/>
      <c r="W9111" s="1"/>
      <c r="X9111" s="1"/>
      <c r="Y9111" s="1"/>
      <c r="Z9111" s="1"/>
      <c r="AA9111" s="1"/>
      <c r="AB9111" s="1"/>
    </row>
    <row r="9112" ht="50.25" customHeight="1">
      <c r="A9112" s="12">
        <v>9108.0</v>
      </c>
      <c r="B9112" s="13" t="s">
        <v>8699</v>
      </c>
      <c r="C9112" s="18" t="s">
        <v>9138</v>
      </c>
      <c r="D9112" s="1"/>
      <c r="E9112" s="1"/>
      <c r="F9112" s="1" t="str">
        <f>IFERROR(__xludf.DUMMYFUNCTION("GOOGLETRANSLATE(B9112, ""en"", ""fa"")
"),"موفقیت در پادکست")</f>
        <v>موفقیت در پادکست</v>
      </c>
      <c r="G9112" s="1" t="str">
        <f>IFERROR(__xludf.DUMMYFUNCTION("GOOGLETRANSLATE(C9112, ""en"", ""fa"")
"),"راهبردهای انتخاب و راه‌اندازی تجهیزات ضبط پادکست برای یادگیری زبان یا پادکست‌های آموزشی، همراه با بازتولید صوت واضح و دقیق چیست؟")</f>
        <v>راهبردهای انتخاب و راه‌اندازی تجهیزات ضبط پادکست برای یادگیری زبان یا پادکست‌های آموزشی، همراه با بازتولید صوت واضح و دقیق چیست؟</v>
      </c>
      <c r="H9112" s="1"/>
      <c r="I9112" s="1"/>
      <c r="J9112" s="1"/>
      <c r="K9112" s="1"/>
      <c r="L9112" s="1"/>
      <c r="M9112" s="1"/>
      <c r="N9112" s="1"/>
      <c r="O9112" s="1"/>
      <c r="P9112" s="1"/>
      <c r="Q9112" s="1"/>
      <c r="R9112" s="1"/>
      <c r="S9112" s="1"/>
      <c r="T9112" s="1"/>
      <c r="U9112" s="1"/>
      <c r="V9112" s="1"/>
      <c r="W9112" s="1"/>
      <c r="X9112" s="1"/>
      <c r="Y9112" s="1"/>
      <c r="Z9112" s="1"/>
      <c r="AA9112" s="1"/>
      <c r="AB9112" s="1"/>
    </row>
    <row r="9113" ht="50.25" customHeight="1">
      <c r="A9113" s="12">
        <v>9109.0</v>
      </c>
      <c r="B9113" s="13" t="s">
        <v>8699</v>
      </c>
      <c r="C9113" s="18" t="s">
        <v>9139</v>
      </c>
      <c r="D9113" s="1"/>
      <c r="E9113" s="1"/>
      <c r="F9113" s="1" t="str">
        <f>IFERROR(__xludf.DUMMYFUNCTION("GOOGLETRANSLATE(B9113, ""en"", ""fa"")
"),"موفقیت در پادکست")</f>
        <v>موفقیت در پادکست</v>
      </c>
      <c r="G9113" s="1" t="str">
        <f>IFERROR(__xludf.DUMMYFUNCTION("GOOGLETRANSLATE(C9113, ""en"", ""fa"")
"),"چگونه می توان تنظیمات ضبط پادکست را برای همکاری های پادکست از راه دور با استفاده از تکنیک هایی مانند ضبط همزمان و نظارت در زمان واقعی بهینه کرد؟")</f>
        <v>چگونه می توان تنظیمات ضبط پادکست را برای همکاری های پادکست از راه دور با استفاده از تکنیک هایی مانند ضبط همزمان و نظارت در زمان واقعی بهینه کرد؟</v>
      </c>
      <c r="H9113" s="1"/>
      <c r="I9113" s="1"/>
      <c r="J9113" s="1"/>
      <c r="K9113" s="1"/>
      <c r="L9113" s="1"/>
      <c r="M9113" s="1"/>
      <c r="N9113" s="1"/>
      <c r="O9113" s="1"/>
      <c r="P9113" s="1"/>
      <c r="Q9113" s="1"/>
      <c r="R9113" s="1"/>
      <c r="S9113" s="1"/>
      <c r="T9113" s="1"/>
      <c r="U9113" s="1"/>
      <c r="V9113" s="1"/>
      <c r="W9113" s="1"/>
      <c r="X9113" s="1"/>
      <c r="Y9113" s="1"/>
      <c r="Z9113" s="1"/>
      <c r="AA9113" s="1"/>
      <c r="AB9113" s="1"/>
    </row>
    <row r="9114" ht="50.25" customHeight="1">
      <c r="A9114" s="12">
        <v>9110.0</v>
      </c>
      <c r="B9114" s="13" t="s">
        <v>8699</v>
      </c>
      <c r="C9114" s="18" t="s">
        <v>9140</v>
      </c>
      <c r="D9114" s="1"/>
      <c r="E9114" s="1"/>
      <c r="F9114" s="1" t="str">
        <f>IFERROR(__xludf.DUMMYFUNCTION("GOOGLETRANSLATE(B9114, ""en"", ""fa"")
"),"موفقیت در پادکست")</f>
        <v>موفقیت در پادکست</v>
      </c>
      <c r="G9114" s="1" t="str">
        <f>IFERROR(__xludf.DUMMYFUNCTION("GOOGLETRANSLATE(C9114, ""en"", ""fa"")
"),"چگونه می توان با توجه به سازگاری میکروفون و قابلیت میکس صدا، تجهیزات ضبط پادکست را برای بحث میزگرد یا مصاحبه گروهی انتخاب و راه اندازی کرد؟")</f>
        <v>چگونه می توان با توجه به سازگاری میکروفون و قابلیت میکس صدا، تجهیزات ضبط پادکست را برای بحث میزگرد یا مصاحبه گروهی انتخاب و راه اندازی کرد؟</v>
      </c>
      <c r="H9114" s="1"/>
      <c r="I9114" s="1"/>
      <c r="J9114" s="1"/>
      <c r="K9114" s="1"/>
      <c r="L9114" s="1"/>
      <c r="M9114" s="1"/>
      <c r="N9114" s="1"/>
      <c r="O9114" s="1"/>
      <c r="P9114" s="1"/>
      <c r="Q9114" s="1"/>
      <c r="R9114" s="1"/>
      <c r="S9114" s="1"/>
      <c r="T9114" s="1"/>
      <c r="U9114" s="1"/>
      <c r="V9114" s="1"/>
      <c r="W9114" s="1"/>
      <c r="X9114" s="1"/>
      <c r="Y9114" s="1"/>
      <c r="Z9114" s="1"/>
      <c r="AA9114" s="1"/>
      <c r="AB9114" s="1"/>
    </row>
    <row r="9115" ht="50.25" customHeight="1">
      <c r="A9115" s="12">
        <v>9111.0</v>
      </c>
      <c r="B9115" s="13" t="s">
        <v>8699</v>
      </c>
      <c r="C9115" s="18" t="s">
        <v>9141</v>
      </c>
      <c r="D9115" s="1"/>
      <c r="E9115" s="1"/>
      <c r="F9115" s="1" t="str">
        <f>IFERROR(__xludf.DUMMYFUNCTION("GOOGLETRANSLATE(B9115, ""en"", ""fa"")
"),"موفقیت در پادکست")</f>
        <v>موفقیت در پادکست</v>
      </c>
      <c r="G9115" s="1" t="str">
        <f>IFERROR(__xludf.DUMMYFUNCTION("GOOGLETRANSLATE(C9115, ""en"", ""fa"")
"),"راهبردهای انتخاب و راه اندازی تجهیزات ضبط پادکست برای پادکست هایی با اجرای زنده موسیقی یا جلسات استودیویی از جمله میکروفون و رابط های صوتی چیست؟")</f>
        <v>راهبردهای انتخاب و راه اندازی تجهیزات ضبط پادکست برای پادکست هایی با اجرای زنده موسیقی یا جلسات استودیویی از جمله میکروفون و رابط های صوتی چیست؟</v>
      </c>
      <c r="H9115" s="1"/>
      <c r="I9115" s="1"/>
      <c r="J9115" s="1"/>
      <c r="K9115" s="1"/>
      <c r="L9115" s="1"/>
      <c r="M9115" s="1"/>
      <c r="N9115" s="1"/>
      <c r="O9115" s="1"/>
      <c r="P9115" s="1"/>
      <c r="Q9115" s="1"/>
      <c r="R9115" s="1"/>
      <c r="S9115" s="1"/>
      <c r="T9115" s="1"/>
      <c r="U9115" s="1"/>
      <c r="V9115" s="1"/>
      <c r="W9115" s="1"/>
      <c r="X9115" s="1"/>
      <c r="Y9115" s="1"/>
      <c r="Z9115" s="1"/>
      <c r="AA9115" s="1"/>
      <c r="AB9115" s="1"/>
    </row>
    <row r="9116" ht="50.25" customHeight="1">
      <c r="A9116" s="12">
        <v>9112.0</v>
      </c>
      <c r="B9116" s="13" t="s">
        <v>8699</v>
      </c>
      <c r="C9116" s="18" t="s">
        <v>9142</v>
      </c>
      <c r="D9116" s="1"/>
      <c r="E9116" s="1"/>
      <c r="F9116" s="1" t="str">
        <f>IFERROR(__xludf.DUMMYFUNCTION("GOOGLETRANSLATE(B9116, ""en"", ""fa"")
"),"موفقیت در پادکست")</f>
        <v>موفقیت در پادکست</v>
      </c>
      <c r="G9116" s="1" t="str">
        <f>IFERROR(__xludf.DUMMYFUNCTION("GOOGLETRANSLATE(C9116, ""en"", ""fa"")
"),"چگونه تنظیمات ضبط پادکست را برای تماس با مهمان یا مصاحبه از راه دور با استفاده از ویژگی های نرم افزاری مانند کاهش نویز و لغو اکو بهینه کنیم؟")</f>
        <v>چگونه تنظیمات ضبط پادکست را برای تماس با مهمان یا مصاحبه از راه دور با استفاده از ویژگی های نرم افزاری مانند کاهش نویز و لغو اکو بهینه کنیم؟</v>
      </c>
      <c r="H9116" s="1"/>
      <c r="I9116" s="1"/>
      <c r="J9116" s="1"/>
      <c r="K9116" s="1"/>
      <c r="L9116" s="1"/>
      <c r="M9116" s="1"/>
      <c r="N9116" s="1"/>
      <c r="O9116" s="1"/>
      <c r="P9116" s="1"/>
      <c r="Q9116" s="1"/>
      <c r="R9116" s="1"/>
      <c r="S9116" s="1"/>
      <c r="T9116" s="1"/>
      <c r="U9116" s="1"/>
      <c r="V9116" s="1"/>
      <c r="W9116" s="1"/>
      <c r="X9116" s="1"/>
      <c r="Y9116" s="1"/>
      <c r="Z9116" s="1"/>
      <c r="AA9116" s="1"/>
      <c r="AB9116" s="1"/>
    </row>
    <row r="9117" ht="50.25" customHeight="1">
      <c r="A9117" s="12">
        <v>9113.0</v>
      </c>
      <c r="B9117" s="13" t="s">
        <v>8699</v>
      </c>
      <c r="C9117" s="18" t="s">
        <v>9143</v>
      </c>
      <c r="D9117" s="1"/>
      <c r="E9117" s="1"/>
      <c r="F9117" s="1" t="str">
        <f>IFERROR(__xludf.DUMMYFUNCTION("GOOGLETRANSLATE(B9117, ""en"", ""fa"")
"),"موفقیت در پادکست")</f>
        <v>موفقیت در پادکست</v>
      </c>
      <c r="G9117" s="1" t="str">
        <f>IFERROR(__xludf.DUMMYFUNCTION("GOOGLETRANSLATE(C9117, ""en"", ""fa"")
"),"تکنیک‌های راه‌اندازی فضای ضبط پادکست با آکوستیک مناسب و پردازش صدا، استفاده از دیفیوزرها، جذب‌کننده‌ها و تله‌های باس چیست؟")</f>
        <v>تکنیک‌های راه‌اندازی فضای ضبط پادکست با آکوستیک مناسب و پردازش صدا، استفاده از دیفیوزرها، جذب‌کننده‌ها و تله‌های باس چیست؟</v>
      </c>
      <c r="H9117" s="1"/>
      <c r="I9117" s="1"/>
      <c r="J9117" s="1"/>
      <c r="K9117" s="1"/>
      <c r="L9117" s="1"/>
      <c r="M9117" s="1"/>
      <c r="N9117" s="1"/>
      <c r="O9117" s="1"/>
      <c r="P9117" s="1"/>
      <c r="Q9117" s="1"/>
      <c r="R9117" s="1"/>
      <c r="S9117" s="1"/>
      <c r="T9117" s="1"/>
      <c r="U9117" s="1"/>
      <c r="V9117" s="1"/>
      <c r="W9117" s="1"/>
      <c r="X9117" s="1"/>
      <c r="Y9117" s="1"/>
      <c r="Z9117" s="1"/>
      <c r="AA9117" s="1"/>
      <c r="AB9117" s="1"/>
    </row>
    <row r="9118" ht="50.25" customHeight="1">
      <c r="A9118" s="12">
        <v>9114.0</v>
      </c>
      <c r="B9118" s="13" t="s">
        <v>8699</v>
      </c>
      <c r="C9118" s="18" t="s">
        <v>9144</v>
      </c>
      <c r="D9118" s="1"/>
      <c r="E9118" s="1"/>
      <c r="F9118" s="1" t="str">
        <f>IFERROR(__xludf.DUMMYFUNCTION("GOOGLETRANSLATE(B9118, ""en"", ""fa"")
"),"موفقیت در پادکست")</f>
        <v>موفقیت در پادکست</v>
      </c>
      <c r="G9118" s="1" t="str">
        <f>IFERROR(__xludf.DUMMYFUNCTION("GOOGLETRANSLATE(C9118, ""en"", ""fa"")
"),"چگونه می توان تجهیزات ضبط پادکست را برای پادکست های شامل گزارش میدانی یا مصاحبه در محیط های بیرونی با توجه به مقاومت در برابر آب و هوا و قابل حمل بودن انتخاب و راه اندازی کرد؟")</f>
        <v>چگونه می توان تجهیزات ضبط پادکست را برای پادکست های شامل گزارش میدانی یا مصاحبه در محیط های بیرونی با توجه به مقاومت در برابر آب و هوا و قابل حمل بودن انتخاب و راه اندازی کرد؟</v>
      </c>
      <c r="H9118" s="1"/>
      <c r="I9118" s="1"/>
      <c r="J9118" s="1"/>
      <c r="K9118" s="1"/>
      <c r="L9118" s="1"/>
      <c r="M9118" s="1"/>
      <c r="N9118" s="1"/>
      <c r="O9118" s="1"/>
      <c r="P9118" s="1"/>
      <c r="Q9118" s="1"/>
      <c r="R9118" s="1"/>
      <c r="S9118" s="1"/>
      <c r="T9118" s="1"/>
      <c r="U9118" s="1"/>
      <c r="V9118" s="1"/>
      <c r="W9118" s="1"/>
      <c r="X9118" s="1"/>
      <c r="Y9118" s="1"/>
      <c r="Z9118" s="1"/>
      <c r="AA9118" s="1"/>
      <c r="AB9118" s="1"/>
    </row>
    <row r="9119" ht="50.25" customHeight="1">
      <c r="A9119" s="12">
        <v>9115.0</v>
      </c>
      <c r="B9119" s="13" t="s">
        <v>8699</v>
      </c>
      <c r="C9119" s="18" t="s">
        <v>9145</v>
      </c>
      <c r="D9119" s="1"/>
      <c r="E9119" s="1"/>
      <c r="F9119" s="1" t="str">
        <f>IFERROR(__xludf.DUMMYFUNCTION("GOOGLETRANSLATE(B9119, ""en"", ""fa"")
"),"موفقیت در پادکست")</f>
        <v>موفقیت در پادکست</v>
      </c>
      <c r="G9119" s="1" t="str">
        <f>IFERROR(__xludf.DUMMYFUNCTION("GOOGLETRANSLATE(C9119, ""en"", ""fa"")
"),"استراتژی‌های انتخاب و راه‌اندازی تجهیزات ضبط پادکست برای تفسیر ورزشی یا پوشش رویدادهای زنده، با ترکیب میکروفون‌های درجه پخش و میکسرهای صوتی چیست؟")</f>
        <v>استراتژی‌های انتخاب و راه‌اندازی تجهیزات ضبط پادکست برای تفسیر ورزشی یا پوشش رویدادهای زنده، با ترکیب میکروفون‌های درجه پخش و میکسرهای صوتی چیست؟</v>
      </c>
      <c r="H9119" s="1"/>
      <c r="I9119" s="1"/>
      <c r="J9119" s="1"/>
      <c r="K9119" s="1"/>
      <c r="L9119" s="1"/>
      <c r="M9119" s="1"/>
      <c r="N9119" s="1"/>
      <c r="O9119" s="1"/>
      <c r="P9119" s="1"/>
      <c r="Q9119" s="1"/>
      <c r="R9119" s="1"/>
      <c r="S9119" s="1"/>
      <c r="T9119" s="1"/>
      <c r="U9119" s="1"/>
      <c r="V9119" s="1"/>
      <c r="W9119" s="1"/>
      <c r="X9119" s="1"/>
      <c r="Y9119" s="1"/>
      <c r="Z9119" s="1"/>
      <c r="AA9119" s="1"/>
      <c r="AB9119" s="1"/>
    </row>
    <row r="9120" ht="50.25" customHeight="1">
      <c r="A9120" s="12">
        <v>9116.0</v>
      </c>
      <c r="B9120" s="13" t="s">
        <v>8699</v>
      </c>
      <c r="C9120" s="18" t="s">
        <v>9146</v>
      </c>
      <c r="D9120" s="1"/>
      <c r="E9120" s="1"/>
      <c r="F9120" s="1" t="str">
        <f>IFERROR(__xludf.DUMMYFUNCTION("GOOGLETRANSLATE(B9120, ""en"", ""fa"")
"),"موفقیت در پادکست")</f>
        <v>موفقیت در پادکست</v>
      </c>
      <c r="G9120" s="1" t="str">
        <f>IFERROR(__xludf.DUMMYFUNCTION("GOOGLETRANSLATE(C9120, ""en"", ""fa"")
"),"چگونه تنظیمات ضبط پادکست را برای پادکست‌هایی با چند زبان یا بخش‌های چند زبانه بهینه کنیم و از جداسازی واضح صدا و سطح صدای متعادل اطمینان حاصل کنیم؟")</f>
        <v>چگونه تنظیمات ضبط پادکست را برای پادکست‌هایی با چند زبان یا بخش‌های چند زبانه بهینه کنیم و از جداسازی واضح صدا و سطح صدای متعادل اطمینان حاصل کنیم؟</v>
      </c>
      <c r="H9120" s="1"/>
      <c r="I9120" s="1"/>
      <c r="J9120" s="1"/>
      <c r="K9120" s="1"/>
      <c r="L9120" s="1"/>
      <c r="M9120" s="1"/>
      <c r="N9120" s="1"/>
      <c r="O9120" s="1"/>
      <c r="P9120" s="1"/>
      <c r="Q9120" s="1"/>
      <c r="R9120" s="1"/>
      <c r="S9120" s="1"/>
      <c r="T9120" s="1"/>
      <c r="U9120" s="1"/>
      <c r="V9120" s="1"/>
      <c r="W9120" s="1"/>
      <c r="X9120" s="1"/>
      <c r="Y9120" s="1"/>
      <c r="Z9120" s="1"/>
      <c r="AA9120" s="1"/>
      <c r="AB9120" s="1"/>
    </row>
    <row r="9121" ht="50.25" customHeight="1">
      <c r="A9121" s="12">
        <v>9117.0</v>
      </c>
      <c r="B9121" s="13" t="s">
        <v>8699</v>
      </c>
      <c r="C9121" s="18" t="s">
        <v>9147</v>
      </c>
      <c r="D9121" s="1"/>
      <c r="E9121" s="1"/>
      <c r="F9121" s="1" t="str">
        <f>IFERROR(__xludf.DUMMYFUNCTION("GOOGLETRANSLATE(B9121, ""en"", ""fa"")
"),"موفقیت در پادکست")</f>
        <v>موفقیت در پادکست</v>
      </c>
      <c r="G9121" s="1" t="str">
        <f>IFERROR(__xludf.DUMMYFUNCTION("GOOGLETRANSLATE(C9121, ""en"", ""fa"")
"),"چه تکنیک هایی برای راه اندازی یک فضای ضبط پادکست با اتصال زمین الکتریکی و حفاظت در برابر نوسانات برق مناسب برای محافظت از تجهیزات شما و تضمین یک محیط ضبط پایدار وجود دارد؟")</f>
        <v>چه تکنیک هایی برای راه اندازی یک فضای ضبط پادکست با اتصال زمین الکتریکی و حفاظت در برابر نوسانات برق مناسب برای محافظت از تجهیزات شما و تضمین یک محیط ضبط پایدار وجود دارد؟</v>
      </c>
      <c r="H9121" s="1"/>
      <c r="I9121" s="1"/>
      <c r="J9121" s="1"/>
      <c r="K9121" s="1"/>
      <c r="L9121" s="1"/>
      <c r="M9121" s="1"/>
      <c r="N9121" s="1"/>
      <c r="O9121" s="1"/>
      <c r="P9121" s="1"/>
      <c r="Q9121" s="1"/>
      <c r="R9121" s="1"/>
      <c r="S9121" s="1"/>
      <c r="T9121" s="1"/>
      <c r="U9121" s="1"/>
      <c r="V9121" s="1"/>
      <c r="W9121" s="1"/>
      <c r="X9121" s="1"/>
      <c r="Y9121" s="1"/>
      <c r="Z9121" s="1"/>
      <c r="AA9121" s="1"/>
      <c r="AB9121" s="1"/>
    </row>
    <row r="9122" ht="50.25" customHeight="1">
      <c r="A9122" s="12">
        <v>9118.0</v>
      </c>
      <c r="B9122" s="13" t="s">
        <v>8699</v>
      </c>
      <c r="C9122" s="18" t="s">
        <v>9148</v>
      </c>
      <c r="D9122" s="1"/>
      <c r="E9122" s="1"/>
      <c r="F9122" s="1" t="str">
        <f>IFERROR(__xludf.DUMMYFUNCTION("GOOGLETRANSLATE(B9122, ""en"", ""fa"")
"),"موفقیت در پادکست")</f>
        <v>موفقیت در پادکست</v>
      </c>
      <c r="G9122" s="1" t="str">
        <f>IFERROR(__xludf.DUMMYFUNCTION("GOOGLETRANSLATE(C9122, ""en"", ""fa"")
"),"چگونه یک تجهیزات ضبط پادکست را برای پادکست های دارای اجرای موسیقی، از جمله میکروفون، رابط های صوتی، و ابزارهای پردازش صدا انتخاب و راه اندازی کنیم؟")</f>
        <v>چگونه یک تجهیزات ضبط پادکست را برای پادکست های دارای اجرای موسیقی، از جمله میکروفون، رابط های صوتی، و ابزارهای پردازش صدا انتخاب و راه اندازی کنیم؟</v>
      </c>
      <c r="H9122" s="1"/>
      <c r="I9122" s="1"/>
      <c r="J9122" s="1"/>
      <c r="K9122" s="1"/>
      <c r="L9122" s="1"/>
      <c r="M9122" s="1"/>
      <c r="N9122" s="1"/>
      <c r="O9122" s="1"/>
      <c r="P9122" s="1"/>
      <c r="Q9122" s="1"/>
      <c r="R9122" s="1"/>
      <c r="S9122" s="1"/>
      <c r="T9122" s="1"/>
      <c r="U9122" s="1"/>
      <c r="V9122" s="1"/>
      <c r="W9122" s="1"/>
      <c r="X9122" s="1"/>
      <c r="Y9122" s="1"/>
      <c r="Z9122" s="1"/>
      <c r="AA9122" s="1"/>
      <c r="AB9122" s="1"/>
    </row>
    <row r="9123" ht="50.25" customHeight="1">
      <c r="A9123" s="12">
        <v>9119.0</v>
      </c>
      <c r="B9123" s="13" t="s">
        <v>8699</v>
      </c>
      <c r="C9123" s="18" t="s">
        <v>9149</v>
      </c>
      <c r="D9123" s="1"/>
      <c r="E9123" s="1"/>
      <c r="F9123" s="1" t="str">
        <f>IFERROR(__xludf.DUMMYFUNCTION("GOOGLETRANSLATE(B9123, ""en"", ""fa"")
"),"موفقیت در پادکست")</f>
        <v>موفقیت در پادکست</v>
      </c>
      <c r="G9123" s="1" t="str">
        <f>IFERROR(__xludf.DUMMYFUNCTION("GOOGLETRANSLATE(C9123, ""en"", ""fa"")
"),"معیارها و تحلیل های کلیدی پادکست که باید برای اندازه گیری عملکرد پادکست خود ردیابی کنید چیست؟")</f>
        <v>معیارها و تحلیل های کلیدی پادکست که باید برای اندازه گیری عملکرد پادکست خود ردیابی کنید چیست؟</v>
      </c>
      <c r="H9123" s="1"/>
      <c r="I9123" s="1"/>
      <c r="J9123" s="1"/>
      <c r="K9123" s="1"/>
      <c r="L9123" s="1"/>
      <c r="M9123" s="1"/>
      <c r="N9123" s="1"/>
      <c r="O9123" s="1"/>
      <c r="P9123" s="1"/>
      <c r="Q9123" s="1"/>
      <c r="R9123" s="1"/>
      <c r="S9123" s="1"/>
      <c r="T9123" s="1"/>
      <c r="U9123" s="1"/>
      <c r="V9123" s="1"/>
      <c r="W9123" s="1"/>
      <c r="X9123" s="1"/>
      <c r="Y9123" s="1"/>
      <c r="Z9123" s="1"/>
      <c r="AA9123" s="1"/>
      <c r="AB9123" s="1"/>
    </row>
    <row r="9124" ht="50.25" customHeight="1">
      <c r="A9124" s="12">
        <v>9120.0</v>
      </c>
      <c r="B9124" s="13" t="s">
        <v>8699</v>
      </c>
      <c r="C9124" s="18" t="s">
        <v>9150</v>
      </c>
      <c r="D9124" s="1"/>
      <c r="E9124" s="1"/>
      <c r="F9124" s="1" t="str">
        <f>IFERROR(__xludf.DUMMYFUNCTION("GOOGLETRANSLATE(B9124, ""en"", ""fa"")
"),"موفقیت در پادکست")</f>
        <v>موفقیت در پادکست</v>
      </c>
      <c r="G9124" s="1" t="str">
        <f>IFERROR(__xludf.DUMMYFUNCTION("GOOGLETRANSLATE(C9124, ""en"", ""fa"")
"),"چگونه ابزارهای تجزیه و تحلیل پادکست مانند Google Analytics یا تجزیه و تحلیل پلتفرم میزبانی پادکست را برای نظارت و تجزیه و تحلیل عملکرد پادکست خود تنظیم کنیم؟")</f>
        <v>چگونه ابزارهای تجزیه و تحلیل پادکست مانند Google Analytics یا تجزیه و تحلیل پلتفرم میزبانی پادکست را برای نظارت و تجزیه و تحلیل عملکرد پادکست خود تنظیم کنیم؟</v>
      </c>
      <c r="H9124" s="1"/>
      <c r="I9124" s="1"/>
      <c r="J9124" s="1"/>
      <c r="K9124" s="1"/>
      <c r="L9124" s="1"/>
      <c r="M9124" s="1"/>
      <c r="N9124" s="1"/>
      <c r="O9124" s="1"/>
      <c r="P9124" s="1"/>
      <c r="Q9124" s="1"/>
      <c r="R9124" s="1"/>
      <c r="S9124" s="1"/>
      <c r="T9124" s="1"/>
      <c r="U9124" s="1"/>
      <c r="V9124" s="1"/>
      <c r="W9124" s="1"/>
      <c r="X9124" s="1"/>
      <c r="Y9124" s="1"/>
      <c r="Z9124" s="1"/>
      <c r="AA9124" s="1"/>
      <c r="AB9124" s="1"/>
    </row>
    <row r="9125" ht="50.25" customHeight="1">
      <c r="A9125" s="12">
        <v>9121.0</v>
      </c>
      <c r="B9125" s="13" t="s">
        <v>8699</v>
      </c>
      <c r="C9125" s="18" t="s">
        <v>9151</v>
      </c>
      <c r="D9125" s="1"/>
      <c r="E9125" s="1"/>
      <c r="F9125" s="1" t="str">
        <f>IFERROR(__xludf.DUMMYFUNCTION("GOOGLETRANSLATE(B9125, ""en"", ""fa"")
"),"موفقیت در پادکست")</f>
        <v>موفقیت در پادکست</v>
      </c>
      <c r="G9125" s="1" t="str">
        <f>IFERROR(__xludf.DUMMYFUNCTION("GOOGLETRANSLATE(C9125, ""en"", ""fa"")
"),"راهبردهای ردیابی تعداد دانلود پادکست و رشد مخاطبان در طول زمان چیست؟")</f>
        <v>راهبردهای ردیابی تعداد دانلود پادکست و رشد مخاطبان در طول زمان چیست؟</v>
      </c>
      <c r="H9125" s="1"/>
      <c r="I9125" s="1"/>
      <c r="J9125" s="1"/>
      <c r="K9125" s="1"/>
      <c r="L9125" s="1"/>
      <c r="M9125" s="1"/>
      <c r="N9125" s="1"/>
      <c r="O9125" s="1"/>
      <c r="P9125" s="1"/>
      <c r="Q9125" s="1"/>
      <c r="R9125" s="1"/>
      <c r="S9125" s="1"/>
      <c r="T9125" s="1"/>
      <c r="U9125" s="1"/>
      <c r="V9125" s="1"/>
      <c r="W9125" s="1"/>
      <c r="X9125" s="1"/>
      <c r="Y9125" s="1"/>
      <c r="Z9125" s="1"/>
      <c r="AA9125" s="1"/>
      <c r="AB9125" s="1"/>
    </row>
    <row r="9126" ht="50.25" customHeight="1">
      <c r="A9126" s="12">
        <v>9122.0</v>
      </c>
      <c r="B9126" s="13" t="s">
        <v>8699</v>
      </c>
      <c r="C9126" s="18" t="s">
        <v>9152</v>
      </c>
      <c r="D9126" s="1"/>
      <c r="E9126" s="1"/>
      <c r="F9126" s="1" t="str">
        <f>IFERROR(__xludf.DUMMYFUNCTION("GOOGLETRANSLATE(B9126, ""en"", ""fa"")
"),"موفقیت در پادکست")</f>
        <v>موفقیت در پادکست</v>
      </c>
      <c r="G9126" s="1" t="str">
        <f>IFERROR(__xludf.DUMMYFUNCTION("GOOGLETRANSLATE(C9126, ""en"", ""fa"")
"),"چگونه برای ارزیابی اثربخشی محتوای پادکست خود، معیارهای درگیری و حفظ شنونده، مانند میانگین مدت زمان گوش دادن و میزان اتمام را اندازه گیری کنیم؟")</f>
        <v>چگونه برای ارزیابی اثربخشی محتوای پادکست خود، معیارهای درگیری و حفظ شنونده، مانند میانگین مدت زمان گوش دادن و میزان اتمام را اندازه گیری کنیم؟</v>
      </c>
      <c r="H9126" s="1"/>
      <c r="I9126" s="1"/>
      <c r="J9126" s="1"/>
      <c r="K9126" s="1"/>
      <c r="L9126" s="1"/>
      <c r="M9126" s="1"/>
      <c r="N9126" s="1"/>
      <c r="O9126" s="1"/>
      <c r="P9126" s="1"/>
      <c r="Q9126" s="1"/>
      <c r="R9126" s="1"/>
      <c r="S9126" s="1"/>
      <c r="T9126" s="1"/>
      <c r="U9126" s="1"/>
      <c r="V9126" s="1"/>
      <c r="W9126" s="1"/>
      <c r="X9126" s="1"/>
      <c r="Y9126" s="1"/>
      <c r="Z9126" s="1"/>
      <c r="AA9126" s="1"/>
      <c r="AB9126" s="1"/>
    </row>
    <row r="9127" ht="50.25" customHeight="1">
      <c r="A9127" s="12">
        <v>9123.0</v>
      </c>
      <c r="B9127" s="13" t="s">
        <v>8699</v>
      </c>
      <c r="C9127" s="18" t="s">
        <v>9153</v>
      </c>
      <c r="D9127" s="1"/>
      <c r="E9127" s="1"/>
      <c r="F9127" s="1" t="str">
        <f>IFERROR(__xludf.DUMMYFUNCTION("GOOGLETRANSLATE(B9127, ""en"", ""fa"")
"),"موفقیت در پادکست")</f>
        <v>موفقیت در پادکست</v>
      </c>
      <c r="G9127" s="1" t="str">
        <f>IFERROR(__xludf.DUMMYFUNCTION("GOOGLETRANSLATE(C9127, ""en"", ""fa"")
"),"تکنیک های تجزیه و تحلیل جمعیت شنونده و داده های جغرافیایی برای درک مخاطبان پادکست و تنظیم محتوای شما بر اساس آن چیست؟")</f>
        <v>تکنیک های تجزیه و تحلیل جمعیت شنونده و داده های جغرافیایی برای درک مخاطبان پادکست و تنظیم محتوای شما بر اساس آن چیست؟</v>
      </c>
      <c r="H9127" s="1"/>
      <c r="I9127" s="1"/>
      <c r="J9127" s="1"/>
      <c r="K9127" s="1"/>
      <c r="L9127" s="1"/>
      <c r="M9127" s="1"/>
      <c r="N9127" s="1"/>
      <c r="O9127" s="1"/>
      <c r="P9127" s="1"/>
      <c r="Q9127" s="1"/>
      <c r="R9127" s="1"/>
      <c r="S9127" s="1"/>
      <c r="T9127" s="1"/>
      <c r="U9127" s="1"/>
      <c r="V9127" s="1"/>
      <c r="W9127" s="1"/>
      <c r="X9127" s="1"/>
      <c r="Y9127" s="1"/>
      <c r="Z9127" s="1"/>
      <c r="AA9127" s="1"/>
      <c r="AB9127" s="1"/>
    </row>
    <row r="9128" ht="50.25" customHeight="1">
      <c r="A9128" s="12">
        <v>9124.0</v>
      </c>
      <c r="B9128" s="13" t="s">
        <v>8699</v>
      </c>
      <c r="C9128" s="18" t="s">
        <v>9154</v>
      </c>
      <c r="D9128" s="1"/>
      <c r="E9128" s="1"/>
      <c r="F9128" s="1" t="str">
        <f>IFERROR(__xludf.DUMMYFUNCTION("GOOGLETRANSLATE(B9128, ""en"", ""fa"")
"),"موفقیت در پادکست")</f>
        <v>موفقیت در پادکست</v>
      </c>
      <c r="G9128" s="1" t="str">
        <f>IFERROR(__xludf.DUMMYFUNCTION("GOOGLETRANSLATE(C9128, ""en"", ""fa"")
"),"چگونه می توان محبوبیت قسمت پادکست و ترجیحات شنونده را از طریق معیارهایی مانند بارگیری ها، پخش ها و رتبه بندی قسمت ها ردیابی کرد؟")</f>
        <v>چگونه می توان محبوبیت قسمت پادکست و ترجیحات شنونده را از طریق معیارهایی مانند بارگیری ها، پخش ها و رتبه بندی قسمت ها ردیابی کرد؟</v>
      </c>
      <c r="H9128" s="1"/>
      <c r="I9128" s="1"/>
      <c r="J9128" s="1"/>
      <c r="K9128" s="1"/>
      <c r="L9128" s="1"/>
      <c r="M9128" s="1"/>
      <c r="N9128" s="1"/>
      <c r="O9128" s="1"/>
      <c r="P9128" s="1"/>
      <c r="Q9128" s="1"/>
      <c r="R9128" s="1"/>
      <c r="S9128" s="1"/>
      <c r="T9128" s="1"/>
      <c r="U9128" s="1"/>
      <c r="V9128" s="1"/>
      <c r="W9128" s="1"/>
      <c r="X9128" s="1"/>
      <c r="Y9128" s="1"/>
      <c r="Z9128" s="1"/>
      <c r="AA9128" s="1"/>
      <c r="AB9128" s="1"/>
    </row>
    <row r="9129" ht="50.25" customHeight="1">
      <c r="A9129" s="12">
        <v>9125.0</v>
      </c>
      <c r="B9129" s="13" t="s">
        <v>8699</v>
      </c>
      <c r="C9129" s="18" t="s">
        <v>9155</v>
      </c>
      <c r="D9129" s="1"/>
      <c r="E9129" s="1"/>
      <c r="F9129" s="1" t="str">
        <f>IFERROR(__xludf.DUMMYFUNCTION("GOOGLETRANSLATE(B9129, ""en"", ""fa"")
"),"موفقیت در پادکست")</f>
        <v>موفقیت در پادکست</v>
      </c>
      <c r="G9129" s="1" t="str">
        <f>IFERROR(__xludf.DUMMYFUNCTION("GOOGLETRANSLATE(C9129, ""en"", ""fa"")
"),"راهبردهای سنجش وفاداری شنوندگان پادکست و گوش دادن های تکراری برای ارزیابی قدرت پایگاه طرفداران پادکست شما چیست؟")</f>
        <v>راهبردهای سنجش وفاداری شنوندگان پادکست و گوش دادن های تکراری برای ارزیابی قدرت پایگاه طرفداران پادکست شما چیست؟</v>
      </c>
      <c r="H9129" s="1"/>
      <c r="I9129" s="1"/>
      <c r="J9129" s="1"/>
      <c r="K9129" s="1"/>
      <c r="L9129" s="1"/>
      <c r="M9129" s="1"/>
      <c r="N9129" s="1"/>
      <c r="O9129" s="1"/>
      <c r="P9129" s="1"/>
      <c r="Q9129" s="1"/>
      <c r="R9129" s="1"/>
      <c r="S9129" s="1"/>
      <c r="T9129" s="1"/>
      <c r="U9129" s="1"/>
      <c r="V9129" s="1"/>
      <c r="W9129" s="1"/>
      <c r="X9129" s="1"/>
      <c r="Y9129" s="1"/>
      <c r="Z9129" s="1"/>
      <c r="AA9129" s="1"/>
      <c r="AB9129" s="1"/>
    </row>
    <row r="9130" ht="50.25" customHeight="1">
      <c r="A9130" s="12">
        <v>9126.0</v>
      </c>
      <c r="B9130" s="13" t="s">
        <v>8699</v>
      </c>
      <c r="C9130" s="18" t="s">
        <v>9156</v>
      </c>
      <c r="D9130" s="1"/>
      <c r="E9130" s="1"/>
      <c r="F9130" s="1" t="str">
        <f>IFERROR(__xludf.DUMMYFUNCTION("GOOGLETRANSLATE(B9130, ""en"", ""fa"")
"),"موفقیت در پادکست")</f>
        <v>موفقیت در پادکست</v>
      </c>
      <c r="G9130" s="1" t="str">
        <f>IFERROR(__xludf.DUMMYFUNCTION("GOOGLETRANSLATE(C9130, ""en"", ""fa"")
"),"چگونه بازخورد، نظرات و رتبه بندی شنوندگان را برای سنجش رضایت مخاطبان و بهبود پادکست خود تجزیه و تحلیل کنیم؟")</f>
        <v>چگونه بازخورد، نظرات و رتبه بندی شنوندگان را برای سنجش رضایت مخاطبان و بهبود پادکست خود تجزیه و تحلیل کنیم؟</v>
      </c>
      <c r="H9130" s="1"/>
      <c r="I9130" s="1"/>
      <c r="J9130" s="1"/>
      <c r="K9130" s="1"/>
      <c r="L9130" s="1"/>
      <c r="M9130" s="1"/>
      <c r="N9130" s="1"/>
      <c r="O9130" s="1"/>
      <c r="P9130" s="1"/>
      <c r="Q9130" s="1"/>
      <c r="R9130" s="1"/>
      <c r="S9130" s="1"/>
      <c r="T9130" s="1"/>
      <c r="U9130" s="1"/>
      <c r="V9130" s="1"/>
      <c r="W9130" s="1"/>
      <c r="X9130" s="1"/>
      <c r="Y9130" s="1"/>
      <c r="Z9130" s="1"/>
      <c r="AA9130" s="1"/>
      <c r="AB9130" s="1"/>
    </row>
    <row r="9131" ht="50.25" customHeight="1">
      <c r="A9131" s="12">
        <v>9127.0</v>
      </c>
      <c r="B9131" s="13" t="s">
        <v>8699</v>
      </c>
      <c r="C9131" s="18" t="s">
        <v>9157</v>
      </c>
      <c r="D9131" s="1"/>
      <c r="E9131" s="1"/>
      <c r="F9131" s="1" t="str">
        <f>IFERROR(__xludf.DUMMYFUNCTION("GOOGLETRANSLATE(B9131, ""en"", ""fa"")
"),"موفقیت در پادکست")</f>
        <v>موفقیت در پادکست</v>
      </c>
      <c r="G9131" s="1" t="str">
        <f>IFERROR(__xludf.DUMMYFUNCTION("GOOGLETRANSLATE(C9131, ""en"", ""fa"")
"),"تکنیک‌هایی برای ردیابی رفتار شنونده، مانند نرخ پرش، نقاط رها کردن، و نرخ پخش مجدد قسمت، برای شناسایی مناطق برای بهینه‌سازی محتوا چیست؟")</f>
        <v>تکنیک‌هایی برای ردیابی رفتار شنونده، مانند نرخ پرش، نقاط رها کردن، و نرخ پخش مجدد قسمت، برای شناسایی مناطق برای بهینه‌سازی محتوا چیست؟</v>
      </c>
      <c r="H9131" s="1"/>
      <c r="I9131" s="1"/>
      <c r="J9131" s="1"/>
      <c r="K9131" s="1"/>
      <c r="L9131" s="1"/>
      <c r="M9131" s="1"/>
      <c r="N9131" s="1"/>
      <c r="O9131" s="1"/>
      <c r="P9131" s="1"/>
      <c r="Q9131" s="1"/>
      <c r="R9131" s="1"/>
      <c r="S9131" s="1"/>
      <c r="T9131" s="1"/>
      <c r="U9131" s="1"/>
      <c r="V9131" s="1"/>
      <c r="W9131" s="1"/>
      <c r="X9131" s="1"/>
      <c r="Y9131" s="1"/>
      <c r="Z9131" s="1"/>
      <c r="AA9131" s="1"/>
      <c r="AB9131" s="1"/>
    </row>
    <row r="9132" ht="50.25" customHeight="1">
      <c r="A9132" s="12">
        <v>9128.0</v>
      </c>
      <c r="B9132" s="13" t="s">
        <v>8699</v>
      </c>
      <c r="C9132" s="18" t="s">
        <v>9158</v>
      </c>
      <c r="D9132" s="1"/>
      <c r="E9132" s="1"/>
      <c r="F9132" s="1" t="str">
        <f>IFERROR(__xludf.DUMMYFUNCTION("GOOGLETRANSLATE(B9132, ""en"", ""fa"")
"),"موفقیت در پادکست")</f>
        <v>موفقیت در پادکست</v>
      </c>
      <c r="G9132" s="1" t="str">
        <f>IFERROR(__xludf.DUMMYFUNCTION("GOOGLETRANSLATE(C9132, ""en"", ""fa"")
"),"چگونه منابع ارجاع پادکست مانند رسانه های اجتماعی، موتورهای جستجو یا سایر وب سایت ها را اندازه گیری کنیم تا بفهمیم شنوندگان چگونه پادکست شما را کشف می کنند؟")</f>
        <v>چگونه منابع ارجاع پادکست مانند رسانه های اجتماعی، موتورهای جستجو یا سایر وب سایت ها را اندازه گیری کنیم تا بفهمیم شنوندگان چگونه پادکست شما را کشف می کنند؟</v>
      </c>
      <c r="H9132" s="1"/>
      <c r="I9132" s="1"/>
      <c r="J9132" s="1"/>
      <c r="K9132" s="1"/>
      <c r="L9132" s="1"/>
      <c r="M9132" s="1"/>
      <c r="N9132" s="1"/>
      <c r="O9132" s="1"/>
      <c r="P9132" s="1"/>
      <c r="Q9132" s="1"/>
      <c r="R9132" s="1"/>
      <c r="S9132" s="1"/>
      <c r="T9132" s="1"/>
      <c r="U9132" s="1"/>
      <c r="V9132" s="1"/>
      <c r="W9132" s="1"/>
      <c r="X9132" s="1"/>
      <c r="Y9132" s="1"/>
      <c r="Z9132" s="1"/>
      <c r="AA9132" s="1"/>
      <c r="AB9132" s="1"/>
    </row>
    <row r="9133" ht="50.25" customHeight="1">
      <c r="A9133" s="12">
        <v>9129.0</v>
      </c>
      <c r="B9133" s="13" t="s">
        <v>8699</v>
      </c>
      <c r="C9133" s="18" t="s">
        <v>9159</v>
      </c>
      <c r="D9133" s="1"/>
      <c r="E9133" s="1"/>
      <c r="F9133" s="1" t="str">
        <f>IFERROR(__xludf.DUMMYFUNCTION("GOOGLETRANSLATE(B9133, ""en"", ""fa"")
"),"موفقیت در پادکست")</f>
        <v>موفقیت در پادکست</v>
      </c>
      <c r="G9133" s="1" t="str">
        <f>IFERROR(__xludf.DUMMYFUNCTION("GOOGLETRANSLATE(C9133, ""en"", ""fa"")
"),"برای ارزیابی تأثیر اجتماعی و ویروسی بودن قسمت‌های پادکست‌تان، چه استراتژی‌هایی برای ردیابی تعامل شنوندگان در رسانه‌های اجتماعی، مانند اشتراک‌گذاری، نظرات و منشن‌ها وجود دارد؟")</f>
        <v>برای ارزیابی تأثیر اجتماعی و ویروسی بودن قسمت‌های پادکست‌تان، چه استراتژی‌هایی برای ردیابی تعامل شنوندگان در رسانه‌های اجتماعی، مانند اشتراک‌گذاری، نظرات و منشن‌ها وجود دارد؟</v>
      </c>
      <c r="H9133" s="1"/>
      <c r="I9133" s="1"/>
      <c r="J9133" s="1"/>
      <c r="K9133" s="1"/>
      <c r="L9133" s="1"/>
      <c r="M9133" s="1"/>
      <c r="N9133" s="1"/>
      <c r="O9133" s="1"/>
      <c r="P9133" s="1"/>
      <c r="Q9133" s="1"/>
      <c r="R9133" s="1"/>
      <c r="S9133" s="1"/>
      <c r="T9133" s="1"/>
      <c r="U9133" s="1"/>
      <c r="V9133" s="1"/>
      <c r="W9133" s="1"/>
      <c r="X9133" s="1"/>
      <c r="Y9133" s="1"/>
      <c r="Z9133" s="1"/>
      <c r="AA9133" s="1"/>
      <c r="AB9133" s="1"/>
    </row>
    <row r="9134" ht="50.25" customHeight="1">
      <c r="A9134" s="12">
        <v>9130.0</v>
      </c>
      <c r="B9134" s="13" t="s">
        <v>8699</v>
      </c>
      <c r="C9134" s="18" t="s">
        <v>9160</v>
      </c>
      <c r="D9134" s="1"/>
      <c r="E9134" s="1"/>
      <c r="F9134" s="1" t="str">
        <f>IFERROR(__xludf.DUMMYFUNCTION("GOOGLETRANSLATE(B9134, ""en"", ""fa"")
"),"موفقیت در پادکست")</f>
        <v>موفقیت در پادکست</v>
      </c>
      <c r="G9134" s="1" t="str">
        <f>IFERROR(__xludf.DUMMYFUNCTION("GOOGLETRANSLATE(C9134, ""en"", ""fa"")
"),"چگونه جمعیت شنونده پادکست، از جمله سن، جنسیت، علایق و شغل را تجزیه و تحلیل کنیم تا مخاطبان هدف خود را اصلاح کنیم و محتوای مناسب ایجاد کنیم؟")</f>
        <v>چگونه جمعیت شنونده پادکست، از جمله سن، جنسیت، علایق و شغل را تجزیه و تحلیل کنیم تا مخاطبان هدف خود را اصلاح کنیم و محتوای مناسب ایجاد کنیم؟</v>
      </c>
      <c r="H9134" s="1"/>
      <c r="I9134" s="1"/>
      <c r="J9134" s="1"/>
      <c r="K9134" s="1"/>
      <c r="L9134" s="1"/>
      <c r="M9134" s="1"/>
      <c r="N9134" s="1"/>
      <c r="O9134" s="1"/>
      <c r="P9134" s="1"/>
      <c r="Q9134" s="1"/>
      <c r="R9134" s="1"/>
      <c r="S9134" s="1"/>
      <c r="T9134" s="1"/>
      <c r="U9134" s="1"/>
      <c r="V9134" s="1"/>
      <c r="W9134" s="1"/>
      <c r="X9134" s="1"/>
      <c r="Y9134" s="1"/>
      <c r="Z9134" s="1"/>
      <c r="AA9134" s="1"/>
      <c r="AB9134" s="1"/>
    </row>
    <row r="9135" ht="50.25" customHeight="1">
      <c r="A9135" s="12">
        <v>9131.0</v>
      </c>
      <c r="B9135" s="13" t="s">
        <v>8699</v>
      </c>
      <c r="C9135" s="18" t="s">
        <v>9161</v>
      </c>
      <c r="D9135" s="1"/>
      <c r="E9135" s="1"/>
      <c r="F9135" s="1" t="str">
        <f>IFERROR(__xludf.DUMMYFUNCTION("GOOGLETRANSLATE(B9135, ""en"", ""fa"")
"),"موفقیت در پادکست")</f>
        <v>موفقیت در پادکست</v>
      </c>
      <c r="G9135" s="1" t="str">
        <f>IFERROR(__xludf.DUMMYFUNCTION("GOOGLETRANSLATE(C9135, ""en"", ""fa"")
"),"تکنیک‌های ردیابی عملکرد قسمت پادکست در طول زمان، مقایسه روند دانلود و شناسایی قسمت‌ها یا موضوعات موفق چیست؟")</f>
        <v>تکنیک‌های ردیابی عملکرد قسمت پادکست در طول زمان، مقایسه روند دانلود و شناسایی قسمت‌ها یا موضوعات موفق چیست؟</v>
      </c>
      <c r="H9135" s="1"/>
      <c r="I9135" s="1"/>
      <c r="J9135" s="1"/>
      <c r="K9135" s="1"/>
      <c r="L9135" s="1"/>
      <c r="M9135" s="1"/>
      <c r="N9135" s="1"/>
      <c r="O9135" s="1"/>
      <c r="P9135" s="1"/>
      <c r="Q9135" s="1"/>
      <c r="R9135" s="1"/>
      <c r="S9135" s="1"/>
      <c r="T9135" s="1"/>
      <c r="U9135" s="1"/>
      <c r="V9135" s="1"/>
      <c r="W9135" s="1"/>
      <c r="X9135" s="1"/>
      <c r="Y9135" s="1"/>
      <c r="Z9135" s="1"/>
      <c r="AA9135" s="1"/>
      <c r="AB9135" s="1"/>
    </row>
    <row r="9136" ht="50.25" customHeight="1">
      <c r="A9136" s="12">
        <v>9132.0</v>
      </c>
      <c r="B9136" s="13" t="s">
        <v>8699</v>
      </c>
      <c r="C9136" s="18" t="s">
        <v>9162</v>
      </c>
      <c r="D9136" s="1"/>
      <c r="E9136" s="1"/>
      <c r="F9136" s="1" t="str">
        <f>IFERROR(__xludf.DUMMYFUNCTION("GOOGLETRANSLATE(B9136, ""en"", ""fa"")
"),"موفقیت در پادکست")</f>
        <v>موفقیت در پادکست</v>
      </c>
      <c r="G9136" s="1" t="str">
        <f>IFERROR(__xludf.DUMMYFUNCTION("GOOGLETRANSLATE(C9136, ""en"", ""fa"")
"),"چگونه برای ارزیابی اثربخشی کمپین های تبلیغاتی خود، معیارهای درآمدزایی پادکست، مانند نمایش تبلیغات، نرخ کلیک، یا نرخ تبدیل را اندازه گیری کنیم؟")</f>
        <v>چگونه برای ارزیابی اثربخشی کمپین های تبلیغاتی خود، معیارهای درآمدزایی پادکست، مانند نمایش تبلیغات، نرخ کلیک، یا نرخ تبدیل را اندازه گیری کنیم؟</v>
      </c>
      <c r="H9136" s="1"/>
      <c r="I9136" s="1"/>
      <c r="J9136" s="1"/>
      <c r="K9136" s="1"/>
      <c r="L9136" s="1"/>
      <c r="M9136" s="1"/>
      <c r="N9136" s="1"/>
      <c r="O9136" s="1"/>
      <c r="P9136" s="1"/>
      <c r="Q9136" s="1"/>
      <c r="R9136" s="1"/>
      <c r="S9136" s="1"/>
      <c r="T9136" s="1"/>
      <c r="U9136" s="1"/>
      <c r="V9136" s="1"/>
      <c r="W9136" s="1"/>
      <c r="X9136" s="1"/>
      <c r="Y9136" s="1"/>
      <c r="Z9136" s="1"/>
      <c r="AA9136" s="1"/>
      <c r="AB9136" s="1"/>
    </row>
    <row r="9137" ht="50.25" customHeight="1">
      <c r="A9137" s="12">
        <v>9133.0</v>
      </c>
      <c r="B9137" s="13" t="s">
        <v>8699</v>
      </c>
      <c r="C9137" s="18" t="s">
        <v>9163</v>
      </c>
      <c r="D9137" s="1"/>
      <c r="E9137" s="1"/>
      <c r="F9137" s="1" t="str">
        <f>IFERROR(__xludf.DUMMYFUNCTION("GOOGLETRANSLATE(B9137, ""en"", ""fa"")
"),"موفقیت در پادکست")</f>
        <v>موفقیت در پادکست</v>
      </c>
      <c r="G9137" s="1" t="str">
        <f>IFERROR(__xludf.DUMMYFUNCTION("GOOGLETRANSLATE(C9137, ""en"", ""fa"")
"),"راهبردهای ردیابی بازخورد و تحلیل احساسات شنونده از طریق ابزارهای گوش دادن اجتماعی و نظارت بر مکالمات آنلاین در مورد پادکست شما چیست؟")</f>
        <v>راهبردهای ردیابی بازخورد و تحلیل احساسات شنونده از طریق ابزارهای گوش دادن اجتماعی و نظارت بر مکالمات آنلاین در مورد پادکست شما چیست؟</v>
      </c>
      <c r="H9137" s="1"/>
      <c r="I9137" s="1"/>
      <c r="J9137" s="1"/>
      <c r="K9137" s="1"/>
      <c r="L9137" s="1"/>
      <c r="M9137" s="1"/>
      <c r="N9137" s="1"/>
      <c r="O9137" s="1"/>
      <c r="P9137" s="1"/>
      <c r="Q9137" s="1"/>
      <c r="R9137" s="1"/>
      <c r="S9137" s="1"/>
      <c r="T9137" s="1"/>
      <c r="U9137" s="1"/>
      <c r="V9137" s="1"/>
      <c r="W9137" s="1"/>
      <c r="X9137" s="1"/>
      <c r="Y9137" s="1"/>
      <c r="Z9137" s="1"/>
      <c r="AA9137" s="1"/>
      <c r="AB9137" s="1"/>
    </row>
    <row r="9138" ht="50.25" customHeight="1">
      <c r="A9138" s="12">
        <v>9134.0</v>
      </c>
      <c r="B9138" s="13" t="s">
        <v>8699</v>
      </c>
      <c r="C9138" s="18" t="s">
        <v>9164</v>
      </c>
      <c r="D9138" s="1"/>
      <c r="E9138" s="1"/>
      <c r="F9138" s="1" t="str">
        <f>IFERROR(__xludf.DUMMYFUNCTION("GOOGLETRANSLATE(B9138, ""en"", ""fa"")
"),"موفقیت در پادکست")</f>
        <v>موفقیت در پادکست</v>
      </c>
      <c r="G9138" s="1" t="str">
        <f>IFERROR(__xludf.DUMMYFUNCTION("GOOGLETRANSLATE(C9138, ""en"", ""fa"")
"),"چگونه رفتار شنونده پادکست را از طریق نقشه های حرارتی، نرخ کلیک یا تجزیه و تحلیل جریان کاربر در وب سایت پادکست یا صفحه فرود خود تجزیه و تحلیل کنیم؟")</f>
        <v>چگونه رفتار شنونده پادکست را از طریق نقشه های حرارتی، نرخ کلیک یا تجزیه و تحلیل جریان کاربر در وب سایت پادکست یا صفحه فرود خود تجزیه و تحلیل کنیم؟</v>
      </c>
      <c r="H9138" s="1"/>
      <c r="I9138" s="1"/>
      <c r="J9138" s="1"/>
      <c r="K9138" s="1"/>
      <c r="L9138" s="1"/>
      <c r="M9138" s="1"/>
      <c r="N9138" s="1"/>
      <c r="O9138" s="1"/>
      <c r="P9138" s="1"/>
      <c r="Q9138" s="1"/>
      <c r="R9138" s="1"/>
      <c r="S9138" s="1"/>
      <c r="T9138" s="1"/>
      <c r="U9138" s="1"/>
      <c r="V9138" s="1"/>
      <c r="W9138" s="1"/>
      <c r="X9138" s="1"/>
      <c r="Y9138" s="1"/>
      <c r="Z9138" s="1"/>
      <c r="AA9138" s="1"/>
      <c r="AB9138" s="1"/>
    </row>
    <row r="9139" ht="50.25" customHeight="1">
      <c r="A9139" s="12">
        <v>9135.0</v>
      </c>
      <c r="B9139" s="13" t="s">
        <v>8699</v>
      </c>
      <c r="C9139" s="18" t="s">
        <v>9165</v>
      </c>
      <c r="D9139" s="1"/>
      <c r="E9139" s="1"/>
      <c r="F9139" s="1" t="str">
        <f>IFERROR(__xludf.DUMMYFUNCTION("GOOGLETRANSLATE(B9139, ""en"", ""fa"")
"),"موفقیت در پادکست")</f>
        <v>موفقیت در پادکست</v>
      </c>
      <c r="G9139" s="1" t="str">
        <f>IFERROR(__xludf.DUMMYFUNCTION("GOOGLETRANSLATE(C9139, ""en"", ""fa"")
"),"تکنیک‌های ردیابی اشتراک‌گذاری و ویروسی بودن قسمت پادکست، مانند اشتراک‌گذاری‌های اجتماعی، ارسال ایمیل، یا جاسازی قسمت در سایر وب‌سایت‌ها چیست؟")</f>
        <v>تکنیک‌های ردیابی اشتراک‌گذاری و ویروسی بودن قسمت پادکست، مانند اشتراک‌گذاری‌های اجتماعی، ارسال ایمیل، یا جاسازی قسمت در سایر وب‌سایت‌ها چیست؟</v>
      </c>
      <c r="H9139" s="1"/>
      <c r="I9139" s="1"/>
      <c r="J9139" s="1"/>
      <c r="K9139" s="1"/>
      <c r="L9139" s="1"/>
      <c r="M9139" s="1"/>
      <c r="N9139" s="1"/>
      <c r="O9139" s="1"/>
      <c r="P9139" s="1"/>
      <c r="Q9139" s="1"/>
      <c r="R9139" s="1"/>
      <c r="S9139" s="1"/>
      <c r="T9139" s="1"/>
      <c r="U9139" s="1"/>
      <c r="V9139" s="1"/>
      <c r="W9139" s="1"/>
      <c r="X9139" s="1"/>
      <c r="Y9139" s="1"/>
      <c r="Z9139" s="1"/>
      <c r="AA9139" s="1"/>
      <c r="AB9139" s="1"/>
    </row>
    <row r="9140" ht="50.25" customHeight="1">
      <c r="A9140" s="12">
        <v>9136.0</v>
      </c>
      <c r="B9140" s="13" t="s">
        <v>8699</v>
      </c>
      <c r="C9140" s="18" t="s">
        <v>9166</v>
      </c>
      <c r="D9140" s="1"/>
      <c r="E9140" s="1"/>
      <c r="F9140" s="1" t="str">
        <f>IFERROR(__xludf.DUMMYFUNCTION("GOOGLETRANSLATE(B9140, ""en"", ""fa"")
"),"موفقیت در پادکست")</f>
        <v>موفقیت در پادکست</v>
      </c>
      <c r="G9140" s="1" t="str">
        <f>IFERROR(__xludf.DUMMYFUNCTION("GOOGLETRANSLATE(C9140, ""en"", ""fa"")
"),"چگونه نرخ ریزش شنونده پادکست را اندازه گیری کنیم و دلایل فرسایش شنونده را شناسایی کنیم تا استراتژی هایی برای حفظ و رشد مخاطبان پیاده سازی کنیم؟")</f>
        <v>چگونه نرخ ریزش شنونده پادکست را اندازه گیری کنیم و دلایل فرسایش شنونده را شناسایی کنیم تا استراتژی هایی برای حفظ و رشد مخاطبان پیاده سازی کنیم؟</v>
      </c>
      <c r="H9140" s="1"/>
      <c r="I9140" s="1"/>
      <c r="J9140" s="1"/>
      <c r="K9140" s="1"/>
      <c r="L9140" s="1"/>
      <c r="M9140" s="1"/>
      <c r="N9140" s="1"/>
      <c r="O9140" s="1"/>
      <c r="P9140" s="1"/>
      <c r="Q9140" s="1"/>
      <c r="R9140" s="1"/>
      <c r="S9140" s="1"/>
      <c r="T9140" s="1"/>
      <c r="U9140" s="1"/>
      <c r="V9140" s="1"/>
      <c r="W9140" s="1"/>
      <c r="X9140" s="1"/>
      <c r="Y9140" s="1"/>
      <c r="Z9140" s="1"/>
      <c r="AA9140" s="1"/>
      <c r="AB9140" s="1"/>
    </row>
    <row r="9141" ht="50.25" customHeight="1">
      <c r="A9141" s="12">
        <v>9137.0</v>
      </c>
      <c r="B9141" s="13" t="s">
        <v>8699</v>
      </c>
      <c r="C9141" s="18" t="s">
        <v>9167</v>
      </c>
      <c r="D9141" s="1"/>
      <c r="E9141" s="1"/>
      <c r="F9141" s="1" t="str">
        <f>IFERROR(__xludf.DUMMYFUNCTION("GOOGLETRANSLATE(B9141, ""en"", ""fa"")
"),"موفقیت در پادکست")</f>
        <v>موفقیت در پادکست</v>
      </c>
      <c r="G9141" s="1" t="str">
        <f>IFERROR(__xludf.DUMMYFUNCTION("GOOGLETRANSLATE(C9141, ""en"", ""fa"")
"),"استراتژی‌هایی برای ارزیابی عملکرد پادکست شما در برابر استانداردهای صنعت و رقبا برای شناسایی زمینه‌های بهبود چیست؟")</f>
        <v>استراتژی‌هایی برای ارزیابی عملکرد پادکست شما در برابر استانداردهای صنعت و رقبا برای شناسایی زمینه‌های بهبود چیست؟</v>
      </c>
      <c r="H9141" s="1"/>
      <c r="I9141" s="1"/>
      <c r="J9141" s="1"/>
      <c r="K9141" s="1"/>
      <c r="L9141" s="1"/>
      <c r="M9141" s="1"/>
      <c r="N9141" s="1"/>
      <c r="O9141" s="1"/>
      <c r="P9141" s="1"/>
      <c r="Q9141" s="1"/>
      <c r="R9141" s="1"/>
      <c r="S9141" s="1"/>
      <c r="T9141" s="1"/>
      <c r="U9141" s="1"/>
      <c r="V9141" s="1"/>
      <c r="W9141" s="1"/>
      <c r="X9141" s="1"/>
      <c r="Y9141" s="1"/>
      <c r="Z9141" s="1"/>
      <c r="AA9141" s="1"/>
      <c r="AB9141" s="1"/>
    </row>
    <row r="9142" ht="50.25" customHeight="1">
      <c r="A9142" s="12">
        <v>9138.0</v>
      </c>
      <c r="B9142" s="13" t="s">
        <v>8699</v>
      </c>
      <c r="C9142" s="18" t="s">
        <v>9168</v>
      </c>
      <c r="D9142" s="1"/>
      <c r="E9142" s="1"/>
      <c r="F9142" s="1" t="str">
        <f>IFERROR(__xludf.DUMMYFUNCTION("GOOGLETRANSLATE(B9142, ""en"", ""fa"")
"),"موفقیت در پادکست")</f>
        <v>موفقیت در پادکست</v>
      </c>
      <c r="G9142" s="1" t="str">
        <f>IFERROR(__xludf.DUMMYFUNCTION("GOOGLETRANSLATE(C9142, ""en"", ""fa"")
"),"چگونه می توان تعامل مخاطب پادکست را از طریق عناصر تعاملی، مانند نظرسنجی، نظرسنجی، یا پاسخ های فراخوان برای اقدام، برای ارزیابی ترجیحات و بازخورد شنوندگان تجزیه و تحلیل کرد؟")</f>
        <v>چگونه می توان تعامل مخاطب پادکست را از طریق عناصر تعاملی، مانند نظرسنجی، نظرسنجی، یا پاسخ های فراخوان برای اقدام، برای ارزیابی ترجیحات و بازخورد شنوندگان تجزیه و تحلیل کرد؟</v>
      </c>
      <c r="H9142" s="1"/>
      <c r="I9142" s="1"/>
      <c r="J9142" s="1"/>
      <c r="K9142" s="1"/>
      <c r="L9142" s="1"/>
      <c r="M9142" s="1"/>
      <c r="N9142" s="1"/>
      <c r="O9142" s="1"/>
      <c r="P9142" s="1"/>
      <c r="Q9142" s="1"/>
      <c r="R9142" s="1"/>
      <c r="S9142" s="1"/>
      <c r="T9142" s="1"/>
      <c r="U9142" s="1"/>
      <c r="V9142" s="1"/>
      <c r="W9142" s="1"/>
      <c r="X9142" s="1"/>
      <c r="Y9142" s="1"/>
      <c r="Z9142" s="1"/>
      <c r="AA9142" s="1"/>
      <c r="AB9142" s="1"/>
    </row>
    <row r="9143" ht="50.25" customHeight="1">
      <c r="A9143" s="12">
        <v>9139.0</v>
      </c>
      <c r="B9143" s="13" t="s">
        <v>8699</v>
      </c>
      <c r="C9143" s="18" t="s">
        <v>9169</v>
      </c>
      <c r="D9143" s="1"/>
      <c r="E9143" s="1"/>
      <c r="F9143" s="1" t="str">
        <f>IFERROR(__xludf.DUMMYFUNCTION("GOOGLETRANSLATE(B9143, ""en"", ""fa"")
"),"موفقیت در پادکست")</f>
        <v>موفقیت در پادکست</v>
      </c>
      <c r="G9143" s="1" t="str">
        <f>IFERROR(__xludf.DUMMYFUNCTION("GOOGLETRANSLATE(C9143, ""en"", ""fa"")
"),"تکنیک‌های ردیابی دانلود و پخش قسمت‌های پادکست در پلتفرم‌ها و فهرست‌های پادکست مختلف برای درک توزیع مخاطب چیست؟")</f>
        <v>تکنیک‌های ردیابی دانلود و پخش قسمت‌های پادکست در پلتفرم‌ها و فهرست‌های پادکست مختلف برای درک توزیع مخاطب چیست؟</v>
      </c>
      <c r="H9143" s="1"/>
      <c r="I9143" s="1"/>
      <c r="J9143" s="1"/>
      <c r="K9143" s="1"/>
      <c r="L9143" s="1"/>
      <c r="M9143" s="1"/>
      <c r="N9143" s="1"/>
      <c r="O9143" s="1"/>
      <c r="P9143" s="1"/>
      <c r="Q9143" s="1"/>
      <c r="R9143" s="1"/>
      <c r="S9143" s="1"/>
      <c r="T9143" s="1"/>
      <c r="U9143" s="1"/>
      <c r="V9143" s="1"/>
      <c r="W9143" s="1"/>
      <c r="X9143" s="1"/>
      <c r="Y9143" s="1"/>
      <c r="Z9143" s="1"/>
      <c r="AA9143" s="1"/>
      <c r="AB9143" s="1"/>
    </row>
    <row r="9144" ht="50.25" customHeight="1">
      <c r="A9144" s="12">
        <v>9140.0</v>
      </c>
      <c r="B9144" s="13" t="s">
        <v>8699</v>
      </c>
      <c r="C9144" s="18" t="s">
        <v>9170</v>
      </c>
      <c r="D9144" s="1"/>
      <c r="E9144" s="1"/>
      <c r="F9144" s="1" t="str">
        <f>IFERROR(__xludf.DUMMYFUNCTION("GOOGLETRANSLATE(B9144, ""en"", ""fa"")
"),"موفقیت در پادکست")</f>
        <v>موفقیت در پادکست</v>
      </c>
      <c r="G9144" s="1" t="str">
        <f>IFERROR(__xludf.DUMMYFUNCTION("GOOGLETRANSLATE(C9144, ""en"", ""fa"")
"),"چگونه می توان عملکرد قسمت پادکست را با تجزیه و تحلیل تعامل شنونده در نشانگرهای زمانی خاص یا بخش های هر قسمت اندازه گیری کرد؟")</f>
        <v>چگونه می توان عملکرد قسمت پادکست را با تجزیه و تحلیل تعامل شنونده در نشانگرهای زمانی خاص یا بخش های هر قسمت اندازه گیری کرد؟</v>
      </c>
      <c r="H9144" s="1"/>
      <c r="I9144" s="1"/>
      <c r="J9144" s="1"/>
      <c r="K9144" s="1"/>
      <c r="L9144" s="1"/>
      <c r="M9144" s="1"/>
      <c r="N9144" s="1"/>
      <c r="O9144" s="1"/>
      <c r="P9144" s="1"/>
      <c r="Q9144" s="1"/>
      <c r="R9144" s="1"/>
      <c r="S9144" s="1"/>
      <c r="T9144" s="1"/>
      <c r="U9144" s="1"/>
      <c r="V9144" s="1"/>
      <c r="W9144" s="1"/>
      <c r="X9144" s="1"/>
      <c r="Y9144" s="1"/>
      <c r="Z9144" s="1"/>
      <c r="AA9144" s="1"/>
      <c r="AB9144" s="1"/>
    </row>
    <row r="9145" ht="50.25" customHeight="1">
      <c r="A9145" s="12">
        <v>9141.0</v>
      </c>
      <c r="B9145" s="13" t="s">
        <v>8699</v>
      </c>
      <c r="C9145" s="18" t="s">
        <v>9171</v>
      </c>
      <c r="D9145" s="1"/>
      <c r="E9145" s="1"/>
      <c r="F9145" s="1" t="str">
        <f>IFERROR(__xludf.DUMMYFUNCTION("GOOGLETRANSLATE(B9145, ""en"", ""fa"")
"),"موفقیت در پادکست")</f>
        <v>موفقیت در پادکست</v>
      </c>
      <c r="G9145" s="1" t="str">
        <f>IFERROR(__xludf.DUMMYFUNCTION("GOOGLETRANSLATE(C9145, ""en"", ""fa"")
"),"استراتژی‌هایی برای ردیابی نرخ تبدیل قسمت پادکست، مانند ثبت‌نام در خبرنامه، خرید محصول یا ثبت رویداد، برای ارزیابی تأثیر پادکست بر اهداف تجاری چیست؟")</f>
        <v>استراتژی‌هایی برای ردیابی نرخ تبدیل قسمت پادکست، مانند ثبت‌نام در خبرنامه، خرید محصول یا ثبت رویداد، برای ارزیابی تأثیر پادکست بر اهداف تجاری چیست؟</v>
      </c>
      <c r="H9145" s="1"/>
      <c r="I9145" s="1"/>
      <c r="J9145" s="1"/>
      <c r="K9145" s="1"/>
      <c r="L9145" s="1"/>
      <c r="M9145" s="1"/>
      <c r="N9145" s="1"/>
      <c r="O9145" s="1"/>
      <c r="P9145" s="1"/>
      <c r="Q9145" s="1"/>
      <c r="R9145" s="1"/>
      <c r="S9145" s="1"/>
      <c r="T9145" s="1"/>
      <c r="U9145" s="1"/>
      <c r="V9145" s="1"/>
      <c r="W9145" s="1"/>
      <c r="X9145" s="1"/>
      <c r="Y9145" s="1"/>
      <c r="Z9145" s="1"/>
      <c r="AA9145" s="1"/>
      <c r="AB9145" s="1"/>
    </row>
    <row r="9146" ht="50.25" customHeight="1">
      <c r="A9146" s="12">
        <v>9142.0</v>
      </c>
      <c r="B9146" s="13" t="s">
        <v>8699</v>
      </c>
      <c r="C9146" s="18" t="s">
        <v>9172</v>
      </c>
      <c r="D9146" s="1"/>
      <c r="E9146" s="1"/>
      <c r="F9146" s="1" t="str">
        <f>IFERROR(__xludf.DUMMYFUNCTION("GOOGLETRANSLATE(B9146, ""en"", ""fa"")
"),"موفقیت در پادکست")</f>
        <v>موفقیت در پادکست</v>
      </c>
      <c r="G9146" s="1" t="str">
        <f>IFERROR(__xludf.DUMMYFUNCTION("GOOGLETRANSLATE(C9146, ""en"", ""fa"")
"),"چگونه می توان سفر و قیف رفتار شنونده پادکست را تجزیه و تحلیل کرد، مسیر را از کشف اولیه تا تبدیل شدن به یک مشترک یا مشتری وفادار ردیابی کرد؟")</f>
        <v>چگونه می توان سفر و قیف رفتار شنونده پادکست را تجزیه و تحلیل کرد، مسیر را از کشف اولیه تا تبدیل شدن به یک مشترک یا مشتری وفادار ردیابی کرد؟</v>
      </c>
      <c r="H9146" s="1"/>
      <c r="I9146" s="1"/>
      <c r="J9146" s="1"/>
      <c r="K9146" s="1"/>
      <c r="L9146" s="1"/>
      <c r="M9146" s="1"/>
      <c r="N9146" s="1"/>
      <c r="O9146" s="1"/>
      <c r="P9146" s="1"/>
      <c r="Q9146" s="1"/>
      <c r="R9146" s="1"/>
      <c r="S9146" s="1"/>
      <c r="T9146" s="1"/>
      <c r="U9146" s="1"/>
      <c r="V9146" s="1"/>
      <c r="W9146" s="1"/>
      <c r="X9146" s="1"/>
      <c r="Y9146" s="1"/>
      <c r="Z9146" s="1"/>
      <c r="AA9146" s="1"/>
      <c r="AB9146" s="1"/>
    </row>
    <row r="9147" ht="50.25" customHeight="1">
      <c r="A9147" s="12">
        <v>9143.0</v>
      </c>
      <c r="B9147" s="13" t="s">
        <v>8699</v>
      </c>
      <c r="C9147" s="18" t="s">
        <v>9173</v>
      </c>
      <c r="D9147" s="1"/>
      <c r="E9147" s="1"/>
      <c r="F9147" s="1" t="str">
        <f>IFERROR(__xludf.DUMMYFUNCTION("GOOGLETRANSLATE(B9147, ""en"", ""fa"")
"),"موفقیت در پادکست")</f>
        <v>موفقیت در پادکست</v>
      </c>
      <c r="G9147" s="1" t="str">
        <f>IFERROR(__xludf.DUMMYFUNCTION("GOOGLETRANSLATE(C9147, ""en"", ""fa"")
"),"تکنیک‌های نظارت بر رتبه‌بندی و بررسی قسمت‌های پادکست در فهرست‌های پادکست، جمع‌آوری‌کننده‌ها یا پلتفرم‌های رسانه‌های اجتماعی برای سنجش احساسات و ادراک مخاطب چیست؟")</f>
        <v>تکنیک‌های نظارت بر رتبه‌بندی و بررسی قسمت‌های پادکست در فهرست‌های پادکست، جمع‌آوری‌کننده‌ها یا پلتفرم‌های رسانه‌های اجتماعی برای سنجش احساسات و ادراک مخاطب چیست؟</v>
      </c>
      <c r="H9147" s="1"/>
      <c r="I9147" s="1"/>
      <c r="J9147" s="1"/>
      <c r="K9147" s="1"/>
      <c r="L9147" s="1"/>
      <c r="M9147" s="1"/>
      <c r="N9147" s="1"/>
      <c r="O9147" s="1"/>
      <c r="P9147" s="1"/>
      <c r="Q9147" s="1"/>
      <c r="R9147" s="1"/>
      <c r="S9147" s="1"/>
      <c r="T9147" s="1"/>
      <c r="U9147" s="1"/>
      <c r="V9147" s="1"/>
      <c r="W9147" s="1"/>
      <c r="X9147" s="1"/>
      <c r="Y9147" s="1"/>
      <c r="Z9147" s="1"/>
      <c r="AA9147" s="1"/>
      <c r="AB9147" s="1"/>
    </row>
    <row r="9148" ht="50.25" customHeight="1">
      <c r="A9148" s="12">
        <v>9144.0</v>
      </c>
      <c r="B9148" s="13" t="s">
        <v>8699</v>
      </c>
      <c r="C9148" s="18" t="s">
        <v>9174</v>
      </c>
      <c r="D9148" s="1"/>
      <c r="E9148" s="1"/>
      <c r="F9148" s="1" t="str">
        <f>IFERROR(__xludf.DUMMYFUNCTION("GOOGLETRANSLATE(B9148, ""en"", ""fa"")
"),"موفقیت در پادکست")</f>
        <v>موفقیت در پادکست</v>
      </c>
      <c r="G9148" s="1" t="str">
        <f>IFERROR(__xludf.DUMMYFUNCTION("GOOGLETRANSLATE(C9148, ""en"", ""fa"")
"),"چگونه میزان استفاده از رونوشت قسمت پادکست و محبوبیت کلمه کلیدی جستجو را برای درک علاقه شنوندگان به موضوعات یا بخش های خاص اندازه گیری کنیم؟")</f>
        <v>چگونه میزان استفاده از رونوشت قسمت پادکست و محبوبیت کلمه کلیدی جستجو را برای درک علاقه شنوندگان به موضوعات یا بخش های خاص اندازه گیری کنیم؟</v>
      </c>
      <c r="H9148" s="1"/>
      <c r="I9148" s="1"/>
      <c r="J9148" s="1"/>
      <c r="K9148" s="1"/>
      <c r="L9148" s="1"/>
      <c r="M9148" s="1"/>
      <c r="N9148" s="1"/>
      <c r="O9148" s="1"/>
      <c r="P9148" s="1"/>
      <c r="Q9148" s="1"/>
      <c r="R9148" s="1"/>
      <c r="S9148" s="1"/>
      <c r="T9148" s="1"/>
      <c r="U9148" s="1"/>
      <c r="V9148" s="1"/>
      <c r="W9148" s="1"/>
      <c r="X9148" s="1"/>
      <c r="Y9148" s="1"/>
      <c r="Z9148" s="1"/>
      <c r="AA9148" s="1"/>
      <c r="AB9148" s="1"/>
    </row>
    <row r="9149" ht="50.25" customHeight="1">
      <c r="A9149" s="12">
        <v>9145.0</v>
      </c>
      <c r="B9149" s="13" t="s">
        <v>8699</v>
      </c>
      <c r="C9149" s="18" t="s">
        <v>9175</v>
      </c>
      <c r="D9149" s="1"/>
      <c r="E9149" s="1"/>
      <c r="F9149" s="1" t="str">
        <f>IFERROR(__xludf.DUMMYFUNCTION("GOOGLETRANSLATE(B9149, ""en"", ""fa"")
"),"موفقیت در پادکست")</f>
        <v>موفقیت در پادکست</v>
      </c>
      <c r="G9149" s="1" t="str">
        <f>IFERROR(__xludf.DUMMYFUNCTION("GOOGLETRANSLATE(C9149, ""en"", ""fa"")
"),"راهبردهای ردیابی بازخورد مخاطبان پادکست از طریق کانال های ارتباطی مستقیم، مانند ایمیل، نظرات یا پیام های صوتی چیست؟")</f>
        <v>راهبردهای ردیابی بازخورد مخاطبان پادکست از طریق کانال های ارتباطی مستقیم، مانند ایمیل، نظرات یا پیام های صوتی چیست؟</v>
      </c>
      <c r="H9149" s="1"/>
      <c r="I9149" s="1"/>
      <c r="J9149" s="1"/>
      <c r="K9149" s="1"/>
      <c r="L9149" s="1"/>
      <c r="M9149" s="1"/>
      <c r="N9149" s="1"/>
      <c r="O9149" s="1"/>
      <c r="P9149" s="1"/>
      <c r="Q9149" s="1"/>
      <c r="R9149" s="1"/>
      <c r="S9149" s="1"/>
      <c r="T9149" s="1"/>
      <c r="U9149" s="1"/>
      <c r="V9149" s="1"/>
      <c r="W9149" s="1"/>
      <c r="X9149" s="1"/>
      <c r="Y9149" s="1"/>
      <c r="Z9149" s="1"/>
      <c r="AA9149" s="1"/>
      <c r="AB9149" s="1"/>
    </row>
    <row r="9150" ht="50.25" customHeight="1">
      <c r="A9150" s="12">
        <v>9146.0</v>
      </c>
      <c r="B9150" s="13" t="s">
        <v>8699</v>
      </c>
      <c r="C9150" s="18" t="s">
        <v>9176</v>
      </c>
      <c r="D9150" s="1"/>
      <c r="E9150" s="1"/>
      <c r="F9150" s="1" t="str">
        <f>IFERROR(__xludf.DUMMYFUNCTION("GOOGLETRANSLATE(B9150, ""en"", ""fa"")
"),"موفقیت در پادکست")</f>
        <v>موفقیت در پادکست</v>
      </c>
      <c r="G9150" s="1" t="str">
        <f>IFERROR(__xludf.DUMMYFUNCTION("GOOGLETRANSLATE(C9150, ""en"", ""fa"")
"),"نحوه تجزیه و تحلیل عملکرد قسمت پادکست در پلتفرم های مختلف و برنامه های پخش کننده برای شناسایی محبوب ترین محیط های شنیداری و بهینه سازی استراتژی توزیع پادکست.")</f>
        <v>نحوه تجزیه و تحلیل عملکرد قسمت پادکست در پلتفرم های مختلف و برنامه های پخش کننده برای شناسایی محبوب ترین محیط های شنیداری و بهینه سازی استراتژی توزیع پادکست.</v>
      </c>
      <c r="H9150" s="1"/>
      <c r="I9150" s="1"/>
      <c r="J9150" s="1"/>
      <c r="K9150" s="1"/>
      <c r="L9150" s="1"/>
      <c r="M9150" s="1"/>
      <c r="N9150" s="1"/>
      <c r="O9150" s="1"/>
      <c r="P9150" s="1"/>
      <c r="Q9150" s="1"/>
      <c r="R9150" s="1"/>
      <c r="S9150" s="1"/>
      <c r="T9150" s="1"/>
      <c r="U9150" s="1"/>
      <c r="V9150" s="1"/>
      <c r="W9150" s="1"/>
      <c r="X9150" s="1"/>
      <c r="Y9150" s="1"/>
      <c r="Z9150" s="1"/>
      <c r="AA9150" s="1"/>
      <c r="AB9150" s="1"/>
    </row>
    <row r="9151" ht="50.25" customHeight="1">
      <c r="A9151" s="12">
        <v>9147.0</v>
      </c>
      <c r="B9151" s="13" t="s">
        <v>8699</v>
      </c>
      <c r="C9151" s="18" t="s">
        <v>9177</v>
      </c>
      <c r="D9151" s="1"/>
      <c r="E9151" s="1"/>
      <c r="F9151" s="1" t="str">
        <f>IFERROR(__xludf.DUMMYFUNCTION("GOOGLETRANSLATE(B9151, ""en"", ""fa"")
"),"موفقیت در پادکست")</f>
        <v>موفقیت در پادکست</v>
      </c>
      <c r="G9151" s="1" t="str">
        <f>IFERROR(__xludf.DUMMYFUNCTION("GOOGLETRANSLATE(C9151, ""en"", ""fa"")
"),"تکنیک‌های ردیابی روند دانلود قسمت پادکست و رفتار شنوندگان در طول کمپین‌های تبلیغاتی خاص یا طرح‌های بازاریابی چیست؟")</f>
        <v>تکنیک‌های ردیابی روند دانلود قسمت پادکست و رفتار شنوندگان در طول کمپین‌های تبلیغاتی خاص یا طرح‌های بازاریابی چیست؟</v>
      </c>
      <c r="H9151" s="1"/>
      <c r="I9151" s="1"/>
      <c r="J9151" s="1"/>
      <c r="K9151" s="1"/>
      <c r="L9151" s="1"/>
      <c r="M9151" s="1"/>
      <c r="N9151" s="1"/>
      <c r="O9151" s="1"/>
      <c r="P9151" s="1"/>
      <c r="Q9151" s="1"/>
      <c r="R9151" s="1"/>
      <c r="S9151" s="1"/>
      <c r="T9151" s="1"/>
      <c r="U9151" s="1"/>
      <c r="V9151" s="1"/>
      <c r="W9151" s="1"/>
      <c r="X9151" s="1"/>
      <c r="Y9151" s="1"/>
      <c r="Z9151" s="1"/>
      <c r="AA9151" s="1"/>
      <c r="AB9151" s="1"/>
    </row>
    <row r="9152" ht="50.25" customHeight="1">
      <c r="A9152" s="12">
        <v>9148.0</v>
      </c>
      <c r="B9152" s="13" t="s">
        <v>8699</v>
      </c>
      <c r="C9152" s="18" t="s">
        <v>9178</v>
      </c>
      <c r="D9152" s="1"/>
      <c r="E9152" s="1"/>
      <c r="F9152" s="1" t="str">
        <f>IFERROR(__xludf.DUMMYFUNCTION("GOOGLETRANSLATE(B9152, ""en"", ""fa"")
"),"موفقیت در پادکست")</f>
        <v>موفقیت در پادکست</v>
      </c>
      <c r="G9152" s="1" t="str">
        <f>IFERROR(__xludf.DUMMYFUNCTION("GOOGLETRANSLATE(C9152, ""en"", ""fa"")
"),"نحوه اندازه گیری نرخ تبدیل قسمت پادکست از طریق URL های منحصر به فرد، کدهای تبلیغاتی، یا صفحات فرود سفارشی برای ارزیابی تأثیر مشارکت های وابسته یا محتوای حمایت شده.")</f>
        <v>نحوه اندازه گیری نرخ تبدیل قسمت پادکست از طریق URL های منحصر به فرد، کدهای تبلیغاتی، یا صفحات فرود سفارشی برای ارزیابی تأثیر مشارکت های وابسته یا محتوای حمایت شده.</v>
      </c>
      <c r="H9152" s="1"/>
      <c r="I9152" s="1"/>
      <c r="J9152" s="1"/>
      <c r="K9152" s="1"/>
      <c r="L9152" s="1"/>
      <c r="M9152" s="1"/>
      <c r="N9152" s="1"/>
      <c r="O9152" s="1"/>
      <c r="P9152" s="1"/>
      <c r="Q9152" s="1"/>
      <c r="R9152" s="1"/>
      <c r="S9152" s="1"/>
      <c r="T9152" s="1"/>
      <c r="U9152" s="1"/>
      <c r="V9152" s="1"/>
      <c r="W9152" s="1"/>
      <c r="X9152" s="1"/>
      <c r="Y9152" s="1"/>
      <c r="Z9152" s="1"/>
      <c r="AA9152" s="1"/>
      <c r="AB9152" s="1"/>
    </row>
    <row r="9153" ht="50.25" customHeight="1">
      <c r="A9153" s="12">
        <v>9149.0</v>
      </c>
      <c r="B9153" s="13" t="s">
        <v>8699</v>
      </c>
      <c r="C9153" s="18" t="s">
        <v>9179</v>
      </c>
      <c r="D9153" s="1"/>
      <c r="E9153" s="1"/>
      <c r="F9153" s="1" t="str">
        <f>IFERROR(__xludf.DUMMYFUNCTION("GOOGLETRANSLATE(B9153, ""en"", ""fa"")
"),"موفقیت در پادکست")</f>
        <v>موفقیت در پادکست</v>
      </c>
      <c r="G9153" s="1" t="str">
        <f>IFERROR(__xludf.DUMMYFUNCTION("GOOGLETRANSLATE(C9153, ""en"", ""fa"")
"),"استراتژی های تجزیه و تحلیل جمعیت شناسی و روانشناختی شنوندگان پادکست برای توسعه کمپین های بازاریابی هدفمند یا پیشنهادات حمایتی چیست؟")</f>
        <v>استراتژی های تجزیه و تحلیل جمعیت شناسی و روانشناختی شنوندگان پادکست برای توسعه کمپین های بازاریابی هدفمند یا پیشنهادات حمایتی چیست؟</v>
      </c>
      <c r="H9153" s="1"/>
      <c r="I9153" s="1"/>
      <c r="J9153" s="1"/>
      <c r="K9153" s="1"/>
      <c r="L9153" s="1"/>
      <c r="M9153" s="1"/>
      <c r="N9153" s="1"/>
      <c r="O9153" s="1"/>
      <c r="P9153" s="1"/>
      <c r="Q9153" s="1"/>
      <c r="R9153" s="1"/>
      <c r="S9153" s="1"/>
      <c r="T9153" s="1"/>
      <c r="U9153" s="1"/>
      <c r="V9153" s="1"/>
      <c r="W9153" s="1"/>
      <c r="X9153" s="1"/>
      <c r="Y9153" s="1"/>
      <c r="Z9153" s="1"/>
      <c r="AA9153" s="1"/>
      <c r="AB9153" s="1"/>
    </row>
    <row r="9154" ht="50.25" customHeight="1">
      <c r="A9154" s="12">
        <v>9150.0</v>
      </c>
      <c r="B9154" s="13" t="s">
        <v>8699</v>
      </c>
      <c r="C9154" s="18" t="s">
        <v>9180</v>
      </c>
      <c r="D9154" s="1"/>
      <c r="E9154" s="1"/>
      <c r="F9154" s="1" t="str">
        <f>IFERROR(__xludf.DUMMYFUNCTION("GOOGLETRANSLATE(B9154, ""en"", ""fa"")
"),"موفقیت در پادکست")</f>
        <v>موفقیت در پادکست</v>
      </c>
      <c r="G9154" s="1" t="str">
        <f>IFERROR(__xludf.DUMMYFUNCTION("GOOGLETRANSLATE(C9154, ""en"", ""fa"")
"),"چگونه می توان تعامل و احساسات شنونده پادکست را از طریق ابزارهای تجزیه و تحلیل احساسات، نظرسنجی های احساسات یا نظارت بر رسانه های اجتماعی ردیابی کرد.")</f>
        <v>چگونه می توان تعامل و احساسات شنونده پادکست را از طریق ابزارهای تجزیه و تحلیل احساسات، نظرسنجی های احساسات یا نظارت بر رسانه های اجتماعی ردیابی کرد.</v>
      </c>
      <c r="H9154" s="1"/>
      <c r="I9154" s="1"/>
      <c r="J9154" s="1"/>
      <c r="K9154" s="1"/>
      <c r="L9154" s="1"/>
      <c r="M9154" s="1"/>
      <c r="N9154" s="1"/>
      <c r="O9154" s="1"/>
      <c r="P9154" s="1"/>
      <c r="Q9154" s="1"/>
      <c r="R9154" s="1"/>
      <c r="S9154" s="1"/>
      <c r="T9154" s="1"/>
      <c r="U9154" s="1"/>
      <c r="V9154" s="1"/>
      <c r="W9154" s="1"/>
      <c r="X9154" s="1"/>
      <c r="Y9154" s="1"/>
      <c r="Z9154" s="1"/>
      <c r="AA9154" s="1"/>
      <c r="AB9154" s="1"/>
    </row>
    <row r="9155" ht="50.25" customHeight="1">
      <c r="A9155" s="12">
        <v>9151.0</v>
      </c>
      <c r="B9155" s="13" t="s">
        <v>8699</v>
      </c>
      <c r="C9155" s="18" t="s">
        <v>9181</v>
      </c>
      <c r="D9155" s="1"/>
      <c r="E9155" s="1"/>
      <c r="F9155" s="1" t="str">
        <f>IFERROR(__xludf.DUMMYFUNCTION("GOOGLETRANSLATE(B9155, ""en"", ""fa"")
"),"موفقیت در پادکست")</f>
        <v>موفقیت در پادکست</v>
      </c>
      <c r="G9155" s="1" t="str">
        <f>IFERROR(__xludf.DUMMYFUNCTION("GOOGLETRANSLATE(C9155, ""en"", ""fa"")
"),"تکنیک های نظارت بر تعامل و تعامل شنونده پادکست در طول ضبط زنده، رویدادهای مجازی یا جلسات پرسش و پاسخ چیست؟")</f>
        <v>تکنیک های نظارت بر تعامل و تعامل شنونده پادکست در طول ضبط زنده، رویدادهای مجازی یا جلسات پرسش و پاسخ چیست؟</v>
      </c>
      <c r="H9155" s="1"/>
      <c r="I9155" s="1"/>
      <c r="J9155" s="1"/>
      <c r="K9155" s="1"/>
      <c r="L9155" s="1"/>
      <c r="M9155" s="1"/>
      <c r="N9155" s="1"/>
      <c r="O9155" s="1"/>
      <c r="P9155" s="1"/>
      <c r="Q9155" s="1"/>
      <c r="R9155" s="1"/>
      <c r="S9155" s="1"/>
      <c r="T9155" s="1"/>
      <c r="U9155" s="1"/>
      <c r="V9155" s="1"/>
      <c r="W9155" s="1"/>
      <c r="X9155" s="1"/>
      <c r="Y9155" s="1"/>
      <c r="Z9155" s="1"/>
      <c r="AA9155" s="1"/>
      <c r="AB9155" s="1"/>
    </row>
    <row r="9156" ht="50.25" customHeight="1">
      <c r="A9156" s="12">
        <v>9152.0</v>
      </c>
      <c r="B9156" s="13" t="s">
        <v>8699</v>
      </c>
      <c r="C9156" s="18" t="s">
        <v>9182</v>
      </c>
      <c r="D9156" s="1"/>
      <c r="E9156" s="1"/>
      <c r="F9156" s="1" t="str">
        <f>IFERROR(__xludf.DUMMYFUNCTION("GOOGLETRANSLATE(B9156, ""en"", ""fa"")
"),"موفقیت در پادکست")</f>
        <v>موفقیت در پادکست</v>
      </c>
      <c r="G9156" s="1" t="str">
        <f>IFERROR(__xludf.DUMMYFUNCTION("GOOGLETRANSLATE(C9156, ""en"", ""fa"")
"),"نحوه اندازه گیری اشتراک گذاری قسمت پادکست و ویروسی بودن از طریق پیوندهای ارجاع، اشتراک گذاری رسانه های اجتماعی یا ردیابی دهان به دهان.")</f>
        <v>نحوه اندازه گیری اشتراک گذاری قسمت پادکست و ویروسی بودن از طریق پیوندهای ارجاع، اشتراک گذاری رسانه های اجتماعی یا ردیابی دهان به دهان.</v>
      </c>
      <c r="H9156" s="1"/>
      <c r="I9156" s="1"/>
      <c r="J9156" s="1"/>
      <c r="K9156" s="1"/>
      <c r="L9156" s="1"/>
      <c r="M9156" s="1"/>
      <c r="N9156" s="1"/>
      <c r="O9156" s="1"/>
      <c r="P9156" s="1"/>
      <c r="Q9156" s="1"/>
      <c r="R9156" s="1"/>
      <c r="S9156" s="1"/>
      <c r="T9156" s="1"/>
      <c r="U9156" s="1"/>
      <c r="V9156" s="1"/>
      <c r="W9156" s="1"/>
      <c r="X9156" s="1"/>
      <c r="Y9156" s="1"/>
      <c r="Z9156" s="1"/>
      <c r="AA9156" s="1"/>
      <c r="AB9156" s="1"/>
    </row>
    <row r="9157" ht="50.25" customHeight="1">
      <c r="A9157" s="12">
        <v>9153.0</v>
      </c>
      <c r="B9157" s="13" t="s">
        <v>8699</v>
      </c>
      <c r="C9157" s="18" t="s">
        <v>9183</v>
      </c>
      <c r="D9157" s="1"/>
      <c r="E9157" s="1"/>
      <c r="F9157" s="1" t="str">
        <f>IFERROR(__xludf.DUMMYFUNCTION("GOOGLETRANSLATE(B9157, ""en"", ""fa"")
"),"موفقیت در پادکست")</f>
        <v>موفقیت در پادکست</v>
      </c>
      <c r="G9157" s="1" t="str">
        <f>IFERROR(__xludf.DUMMYFUNCTION("GOOGLETRANSLATE(C9157, ""en"", ""fa"")
"),"استراتژی‌های ردیابی عملکرد قسمت پادکست در دستگاه‌ها و سیستم‌عامل‌های مختلف برای بهینه‌سازی تجربه کاربر چیست.")</f>
        <v>استراتژی‌های ردیابی عملکرد قسمت پادکست در دستگاه‌ها و سیستم‌عامل‌های مختلف برای بهینه‌سازی تجربه کاربر چیست.</v>
      </c>
      <c r="H9157" s="1"/>
      <c r="I9157" s="1"/>
      <c r="J9157" s="1"/>
      <c r="K9157" s="1"/>
      <c r="L9157" s="1"/>
      <c r="M9157" s="1"/>
      <c r="N9157" s="1"/>
      <c r="O9157" s="1"/>
      <c r="P9157" s="1"/>
      <c r="Q9157" s="1"/>
      <c r="R9157" s="1"/>
      <c r="S9157" s="1"/>
      <c r="T9157" s="1"/>
      <c r="U9157" s="1"/>
      <c r="V9157" s="1"/>
      <c r="W9157" s="1"/>
      <c r="X9157" s="1"/>
      <c r="Y9157" s="1"/>
      <c r="Z9157" s="1"/>
      <c r="AA9157" s="1"/>
      <c r="AB9157" s="1"/>
    </row>
    <row r="9158" ht="50.25" customHeight="1">
      <c r="A9158" s="12">
        <v>9154.0</v>
      </c>
      <c r="B9158" s="13" t="s">
        <v>8699</v>
      </c>
      <c r="C9158" s="18" t="s">
        <v>9184</v>
      </c>
      <c r="D9158" s="1"/>
      <c r="E9158" s="1"/>
      <c r="F9158" s="1" t="str">
        <f>IFERROR(__xludf.DUMMYFUNCTION("GOOGLETRANSLATE(B9158, ""en"", ""fa"")
"),"موفقیت در پادکست")</f>
        <v>موفقیت در پادکست</v>
      </c>
      <c r="G9158" s="1" t="str">
        <f>IFERROR(__xludf.DUMMYFUNCTION("GOOGLETRANSLATE(C9158, ""en"", ""fa"")
"),"نحوه تجزیه و تحلیل نقاط حذف شنونده پادکست و منحنی های حفظ مخاطب برای شناسایی زمینه های بالقوه برای بهبود محتوا یا تنظیمات قالب.")</f>
        <v>نحوه تجزیه و تحلیل نقاط حذف شنونده پادکست و منحنی های حفظ مخاطب برای شناسایی زمینه های بالقوه برای بهبود محتوا یا تنظیمات قالب.</v>
      </c>
      <c r="H9158" s="1"/>
      <c r="I9158" s="1"/>
      <c r="J9158" s="1"/>
      <c r="K9158" s="1"/>
      <c r="L9158" s="1"/>
      <c r="M9158" s="1"/>
      <c r="N9158" s="1"/>
      <c r="O9158" s="1"/>
      <c r="P9158" s="1"/>
      <c r="Q9158" s="1"/>
      <c r="R9158" s="1"/>
      <c r="S9158" s="1"/>
      <c r="T9158" s="1"/>
      <c r="U9158" s="1"/>
      <c r="V9158" s="1"/>
      <c r="W9158" s="1"/>
      <c r="X9158" s="1"/>
      <c r="Y9158" s="1"/>
      <c r="Z9158" s="1"/>
      <c r="AA9158" s="1"/>
      <c r="AB9158" s="1"/>
    </row>
    <row r="9159" ht="50.25" customHeight="1">
      <c r="A9159" s="12">
        <v>9155.0</v>
      </c>
      <c r="B9159" s="13" t="s">
        <v>8699</v>
      </c>
      <c r="C9159" s="18" t="s">
        <v>9185</v>
      </c>
      <c r="D9159" s="1"/>
      <c r="E9159" s="1"/>
      <c r="F9159" s="1" t="str">
        <f>IFERROR(__xludf.DUMMYFUNCTION("GOOGLETRANSLATE(B9159, ""en"", ""fa"")
"),"موفقیت در پادکست")</f>
        <v>موفقیت در پادکست</v>
      </c>
      <c r="G9159" s="1" t="str">
        <f>IFERROR(__xludf.DUMMYFUNCTION("GOOGLETRANSLATE(C9159, ""en"", ""fa"")
"),"تکنیک‌های اندازه‌گیری تأثیر قسمت پادکست بر ترافیک وب‌سایت، از جمله منابع ارجاع، مدت جلسه، و بازدید از صفحه چیست.")</f>
        <v>تکنیک‌های اندازه‌گیری تأثیر قسمت پادکست بر ترافیک وب‌سایت، از جمله منابع ارجاع، مدت جلسه، و بازدید از صفحه چیست.</v>
      </c>
      <c r="H9159" s="1"/>
      <c r="I9159" s="1"/>
      <c r="J9159" s="1"/>
      <c r="K9159" s="1"/>
      <c r="L9159" s="1"/>
      <c r="M9159" s="1"/>
      <c r="N9159" s="1"/>
      <c r="O9159" s="1"/>
      <c r="P9159" s="1"/>
      <c r="Q9159" s="1"/>
      <c r="R9159" s="1"/>
      <c r="S9159" s="1"/>
      <c r="T9159" s="1"/>
      <c r="U9159" s="1"/>
      <c r="V9159" s="1"/>
      <c r="W9159" s="1"/>
      <c r="X9159" s="1"/>
      <c r="Y9159" s="1"/>
      <c r="Z9159" s="1"/>
      <c r="AA9159" s="1"/>
      <c r="AB9159" s="1"/>
    </row>
    <row r="9160" ht="50.25" customHeight="1">
      <c r="A9160" s="12">
        <v>9156.0</v>
      </c>
      <c r="B9160" s="13" t="s">
        <v>8699</v>
      </c>
      <c r="C9160" s="18" t="s">
        <v>9186</v>
      </c>
      <c r="D9160" s="1"/>
      <c r="E9160" s="1"/>
      <c r="F9160" s="1" t="str">
        <f>IFERROR(__xludf.DUMMYFUNCTION("GOOGLETRANSLATE(B9160, ""en"", ""fa"")
"),"موفقیت در پادکست")</f>
        <v>موفقیت در پادکست</v>
      </c>
      <c r="G9160" s="1" t="str">
        <f>IFERROR(__xludf.DUMMYFUNCTION("GOOGLETRANSLATE(C9160, ""en"", ""fa"")
"),"نحوه ردیابی عملکرد قسمت پادکست در بازارهای بین المللی مختلف برای درک میزان دسترسی و تعامل بینندگان جهانی.")</f>
        <v>نحوه ردیابی عملکرد قسمت پادکست در بازارهای بین المللی مختلف برای درک میزان دسترسی و تعامل بینندگان جهانی.</v>
      </c>
      <c r="H9160" s="1"/>
      <c r="I9160" s="1"/>
      <c r="J9160" s="1"/>
      <c r="K9160" s="1"/>
      <c r="L9160" s="1"/>
      <c r="M9160" s="1"/>
      <c r="N9160" s="1"/>
      <c r="O9160" s="1"/>
      <c r="P9160" s="1"/>
      <c r="Q9160" s="1"/>
      <c r="R9160" s="1"/>
      <c r="S9160" s="1"/>
      <c r="T9160" s="1"/>
      <c r="U9160" s="1"/>
      <c r="V9160" s="1"/>
      <c r="W9160" s="1"/>
      <c r="X9160" s="1"/>
      <c r="Y9160" s="1"/>
      <c r="Z9160" s="1"/>
      <c r="AA9160" s="1"/>
      <c r="AB9160" s="1"/>
    </row>
    <row r="9161" ht="50.25" customHeight="1">
      <c r="A9161" s="12">
        <v>9157.0</v>
      </c>
      <c r="B9161" s="13" t="s">
        <v>8699</v>
      </c>
      <c r="C9161" s="18" t="s">
        <v>9187</v>
      </c>
      <c r="D9161" s="1"/>
      <c r="E9161" s="1"/>
      <c r="F9161" s="1" t="str">
        <f>IFERROR(__xludf.DUMMYFUNCTION("GOOGLETRANSLATE(B9161, ""en"", ""fa"")
"),"موفقیت در پادکست")</f>
        <v>موفقیت در پادکست</v>
      </c>
      <c r="G9161" s="1" t="str">
        <f>IFERROR(__xludf.DUMMYFUNCTION("GOOGLETRANSLATE(C9161, ""en"", ""fa"")
"),"استراتژی‌های نظارت بر تعامل شنوندگان پادکست در خبرنامه‌های ایمیل، از جمله نرخ باز، نرخ کلیک و رشد اشتراک چیست.")</f>
        <v>استراتژی‌های نظارت بر تعامل شنوندگان پادکست در خبرنامه‌های ایمیل، از جمله نرخ باز، نرخ کلیک و رشد اشتراک چیست.</v>
      </c>
      <c r="H9161" s="1"/>
      <c r="I9161" s="1"/>
      <c r="J9161" s="1"/>
      <c r="K9161" s="1"/>
      <c r="L9161" s="1"/>
      <c r="M9161" s="1"/>
      <c r="N9161" s="1"/>
      <c r="O9161" s="1"/>
      <c r="P9161" s="1"/>
      <c r="Q9161" s="1"/>
      <c r="R9161" s="1"/>
      <c r="S9161" s="1"/>
      <c r="T9161" s="1"/>
      <c r="U9161" s="1"/>
      <c r="V9161" s="1"/>
      <c r="W9161" s="1"/>
      <c r="X9161" s="1"/>
      <c r="Y9161" s="1"/>
      <c r="Z9161" s="1"/>
      <c r="AA9161" s="1"/>
      <c r="AB9161" s="1"/>
    </row>
    <row r="9162" ht="50.25" customHeight="1">
      <c r="A9162" s="12">
        <v>9158.0</v>
      </c>
      <c r="B9162" s="13" t="s">
        <v>8699</v>
      </c>
      <c r="C9162" s="18" t="s">
        <v>9188</v>
      </c>
      <c r="D9162" s="1"/>
      <c r="E9162" s="1"/>
      <c r="F9162" s="1" t="str">
        <f>IFERROR(__xludf.DUMMYFUNCTION("GOOGLETRANSLATE(B9162, ""en"", ""fa"")
"),"موفقیت در پادکست")</f>
        <v>موفقیت در پادکست</v>
      </c>
      <c r="G9162" s="1" t="str">
        <f>IFERROR(__xludf.DUMMYFUNCTION("GOOGLETRANSLATE(C9162, ""en"", ""fa"")
"),"نحوه اندازه‌گیری تأثیر قسمت پادکست بر تعامل رسانه‌های اجتماعی، مانند لایک، نظرات، اشتراک‌گذاری و رشد فالوور.")</f>
        <v>نحوه اندازه‌گیری تأثیر قسمت پادکست بر تعامل رسانه‌های اجتماعی، مانند لایک، نظرات، اشتراک‌گذاری و رشد فالوور.</v>
      </c>
      <c r="H9162" s="1"/>
      <c r="I9162" s="1"/>
      <c r="J9162" s="1"/>
      <c r="K9162" s="1"/>
      <c r="L9162" s="1"/>
      <c r="M9162" s="1"/>
      <c r="N9162" s="1"/>
      <c r="O9162" s="1"/>
      <c r="P9162" s="1"/>
      <c r="Q9162" s="1"/>
      <c r="R9162" s="1"/>
      <c r="S9162" s="1"/>
      <c r="T9162" s="1"/>
      <c r="U9162" s="1"/>
      <c r="V9162" s="1"/>
      <c r="W9162" s="1"/>
      <c r="X9162" s="1"/>
      <c r="Y9162" s="1"/>
      <c r="Z9162" s="1"/>
      <c r="AA9162" s="1"/>
      <c r="AB9162" s="1"/>
    </row>
    <row r="9163" ht="50.25" customHeight="1">
      <c r="A9163" s="12">
        <v>9159.0</v>
      </c>
      <c r="B9163" s="13" t="s">
        <v>8699</v>
      </c>
      <c r="C9163" s="18" t="s">
        <v>9189</v>
      </c>
      <c r="D9163" s="1"/>
      <c r="E9163" s="1"/>
      <c r="F9163" s="1" t="str">
        <f>IFERROR(__xludf.DUMMYFUNCTION("GOOGLETRANSLATE(B9163, ""en"", ""fa"")
"),"موفقیت در پادکست")</f>
        <v>موفقیت در پادکست</v>
      </c>
      <c r="G9163" s="1" t="str">
        <f>IFERROR(__xludf.DUMMYFUNCTION("GOOGLETRANSLATE(C9163, ""en"", ""fa"")
"),"تکنیک‌های تجزیه و تحلیل تعامل شنونده پادکست از طریق محتوای تولید شده توسط کاربر، مانند فن آرت، فن تخیلی، یا توصیفات شنونده چیست؟")</f>
        <v>تکنیک‌های تجزیه و تحلیل تعامل شنونده پادکست از طریق محتوای تولید شده توسط کاربر، مانند فن آرت، فن تخیلی، یا توصیفات شنونده چیست؟</v>
      </c>
      <c r="H9163" s="1"/>
      <c r="I9163" s="1"/>
      <c r="J9163" s="1"/>
      <c r="K9163" s="1"/>
      <c r="L9163" s="1"/>
      <c r="M9163" s="1"/>
      <c r="N9163" s="1"/>
      <c r="O9163" s="1"/>
      <c r="P9163" s="1"/>
      <c r="Q9163" s="1"/>
      <c r="R9163" s="1"/>
      <c r="S9163" s="1"/>
      <c r="T9163" s="1"/>
      <c r="U9163" s="1"/>
      <c r="V9163" s="1"/>
      <c r="W9163" s="1"/>
      <c r="X9163" s="1"/>
      <c r="Y9163" s="1"/>
      <c r="Z9163" s="1"/>
      <c r="AA9163" s="1"/>
      <c r="AB9163" s="1"/>
    </row>
    <row r="9164" ht="50.25" customHeight="1">
      <c r="A9164" s="12">
        <v>9160.0</v>
      </c>
      <c r="B9164" s="13" t="s">
        <v>8699</v>
      </c>
      <c r="C9164" s="18" t="s">
        <v>9190</v>
      </c>
      <c r="D9164" s="1"/>
      <c r="E9164" s="1"/>
      <c r="F9164" s="1" t="str">
        <f>IFERROR(__xludf.DUMMYFUNCTION("GOOGLETRANSLATE(B9164, ""en"", ""fa"")
"),"موفقیت در پادکست")</f>
        <v>موفقیت در پادکست</v>
      </c>
      <c r="G9164" s="1" t="str">
        <f>IFERROR(__xludf.DUMMYFUNCTION("GOOGLETRANSLATE(C9164, ""en"", ""fa"")
"),"نحوه ردیابی عملکرد قسمت پادکست در دسته بندی های خاص یا زیرژانرها برای شناسایی بخش های مخاطب هدف.")</f>
        <v>نحوه ردیابی عملکرد قسمت پادکست در دسته بندی های خاص یا زیرژانرها برای شناسایی بخش های مخاطب هدف.</v>
      </c>
      <c r="H9164" s="1"/>
      <c r="I9164" s="1"/>
      <c r="J9164" s="1"/>
      <c r="K9164" s="1"/>
      <c r="L9164" s="1"/>
      <c r="M9164" s="1"/>
      <c r="N9164" s="1"/>
      <c r="O9164" s="1"/>
      <c r="P9164" s="1"/>
      <c r="Q9164" s="1"/>
      <c r="R9164" s="1"/>
      <c r="S9164" s="1"/>
      <c r="T9164" s="1"/>
      <c r="U9164" s="1"/>
      <c r="V9164" s="1"/>
      <c r="W9164" s="1"/>
      <c r="X9164" s="1"/>
      <c r="Y9164" s="1"/>
      <c r="Z9164" s="1"/>
      <c r="AA9164" s="1"/>
      <c r="AB9164" s="1"/>
    </row>
    <row r="9165" ht="50.25" customHeight="1">
      <c r="A9165" s="12">
        <v>9161.0</v>
      </c>
      <c r="B9165" s="13" t="s">
        <v>8699</v>
      </c>
      <c r="C9165" s="18" t="s">
        <v>9191</v>
      </c>
      <c r="D9165" s="1"/>
      <c r="E9165" s="1"/>
      <c r="F9165" s="1" t="str">
        <f>IFERROR(__xludf.DUMMYFUNCTION("GOOGLETRANSLATE(B9165, ""en"", ""fa"")
"),"موفقیت در پادکست")</f>
        <v>موفقیت در پادکست</v>
      </c>
      <c r="G9165" s="1" t="str">
        <f>IFERROR(__xludf.DUMMYFUNCTION("GOOGLETRANSLATE(C9165, ""en"", ""fa"")
"),"استراتژی‌های اندازه‌گیری تأثیر قسمت پادکست بر آگاهی و احساسات برند از طریق نظرسنجی، ذکر نام تجاری یا تجزیه و تحلیل احساسات چیست؟")</f>
        <v>استراتژی‌های اندازه‌گیری تأثیر قسمت پادکست بر آگاهی و احساسات برند از طریق نظرسنجی، ذکر نام تجاری یا تجزیه و تحلیل احساسات چیست؟</v>
      </c>
      <c r="H9165" s="1"/>
      <c r="I9165" s="1"/>
      <c r="J9165" s="1"/>
      <c r="K9165" s="1"/>
      <c r="L9165" s="1"/>
      <c r="M9165" s="1"/>
      <c r="N9165" s="1"/>
      <c r="O9165" s="1"/>
      <c r="P9165" s="1"/>
      <c r="Q9165" s="1"/>
      <c r="R9165" s="1"/>
      <c r="S9165" s="1"/>
      <c r="T9165" s="1"/>
      <c r="U9165" s="1"/>
      <c r="V9165" s="1"/>
      <c r="W9165" s="1"/>
      <c r="X9165" s="1"/>
      <c r="Y9165" s="1"/>
      <c r="Z9165" s="1"/>
      <c r="AA9165" s="1"/>
      <c r="AB9165" s="1"/>
    </row>
    <row r="9166" ht="50.25" customHeight="1">
      <c r="A9166" s="12">
        <v>9162.0</v>
      </c>
      <c r="B9166" s="13" t="s">
        <v>8699</v>
      </c>
      <c r="C9166" s="18" t="s">
        <v>9192</v>
      </c>
      <c r="D9166" s="1"/>
      <c r="E9166" s="1"/>
      <c r="F9166" s="1" t="str">
        <f>IFERROR(__xludf.DUMMYFUNCTION("GOOGLETRANSLATE(B9166, ""en"", ""fa"")
"),"موفقیت در پادکست")</f>
        <v>موفقیت در پادکست</v>
      </c>
      <c r="G9166" s="1" t="str">
        <f>IFERROR(__xludf.DUMMYFUNCTION("GOOGLETRANSLATE(C9166, ""en"", ""fa"")
"),"نحوه تجزیه و تحلیل تعامل شنونده پادکست از طریق ویژگی‌های تعاملی، مانند نظرسنجی‌های زنده، آزمون‌ها یا یادداشت‌های نمایش تعاملی.")</f>
        <v>نحوه تجزیه و تحلیل تعامل شنونده پادکست از طریق ویژگی‌های تعاملی، مانند نظرسنجی‌های زنده، آزمون‌ها یا یادداشت‌های نمایش تعاملی.</v>
      </c>
      <c r="H9166" s="1"/>
      <c r="I9166" s="1"/>
      <c r="J9166" s="1"/>
      <c r="K9166" s="1"/>
      <c r="L9166" s="1"/>
      <c r="M9166" s="1"/>
      <c r="N9166" s="1"/>
      <c r="O9166" s="1"/>
      <c r="P9166" s="1"/>
      <c r="Q9166" s="1"/>
      <c r="R9166" s="1"/>
      <c r="S9166" s="1"/>
      <c r="T9166" s="1"/>
      <c r="U9166" s="1"/>
      <c r="V9166" s="1"/>
      <c r="W9166" s="1"/>
      <c r="X9166" s="1"/>
      <c r="Y9166" s="1"/>
      <c r="Z9166" s="1"/>
      <c r="AA9166" s="1"/>
      <c r="AB9166" s="1"/>
    </row>
    <row r="9167" ht="50.25" customHeight="1">
      <c r="A9167" s="12">
        <v>9163.0</v>
      </c>
      <c r="B9167" s="13" t="s">
        <v>8699</v>
      </c>
      <c r="C9167" s="18" t="s">
        <v>9193</v>
      </c>
      <c r="D9167" s="1"/>
      <c r="E9167" s="1"/>
      <c r="F9167" s="1" t="str">
        <f>IFERROR(__xludf.DUMMYFUNCTION("GOOGLETRANSLATE(B9167, ""en"", ""fa"")
"),"موفقیت در پادکست")</f>
        <v>موفقیت در پادکست</v>
      </c>
      <c r="G9167" s="1" t="str">
        <f>IFERROR(__xludf.DUMMYFUNCTION("GOOGLETRANSLATE(C9167, ""en"", ""fa"")
"),"تکنیک‌های ردیابی عملکرد قسمت پادکست بر اساس بازه‌های زمانی مختلف، مانند روندهای روزانه، هفتگی، ماهانه یا فصلی چیست.")</f>
        <v>تکنیک‌های ردیابی عملکرد قسمت پادکست بر اساس بازه‌های زمانی مختلف، مانند روندهای روزانه، هفتگی، ماهانه یا فصلی چیست.</v>
      </c>
      <c r="H9167" s="1"/>
      <c r="I9167" s="1"/>
      <c r="J9167" s="1"/>
      <c r="K9167" s="1"/>
      <c r="L9167" s="1"/>
      <c r="M9167" s="1"/>
      <c r="N9167" s="1"/>
      <c r="O9167" s="1"/>
      <c r="P9167" s="1"/>
      <c r="Q9167" s="1"/>
      <c r="R9167" s="1"/>
      <c r="S9167" s="1"/>
      <c r="T9167" s="1"/>
      <c r="U9167" s="1"/>
      <c r="V9167" s="1"/>
      <c r="W9167" s="1"/>
      <c r="X9167" s="1"/>
      <c r="Y9167" s="1"/>
      <c r="Z9167" s="1"/>
      <c r="AA9167" s="1"/>
      <c r="AB9167" s="1"/>
    </row>
    <row r="9168" ht="50.25" customHeight="1">
      <c r="A9168" s="12">
        <v>9164.0</v>
      </c>
      <c r="B9168" s="13" t="s">
        <v>8699</v>
      </c>
      <c r="C9168" s="18" t="s">
        <v>9194</v>
      </c>
      <c r="D9168" s="1"/>
      <c r="E9168" s="1"/>
      <c r="F9168" s="1" t="str">
        <f>IFERROR(__xludf.DUMMYFUNCTION("GOOGLETRANSLATE(B9168, ""en"", ""fa"")
"),"موفقیت در پادکست")</f>
        <v>موفقیت در پادکست</v>
      </c>
      <c r="G9168" s="1" t="str">
        <f>IFERROR(__xludf.DUMMYFUNCTION("GOOGLETRANSLATE(C9168, ""en"", ""fa"")
"),"نحوه اندازه گیری تأثیر قسمت پادکست بر تبدیل وب سایت، مانند ثبت نام در خبرنامه، تولید سرنخ یا فروش محصول.")</f>
        <v>نحوه اندازه گیری تأثیر قسمت پادکست بر تبدیل وب سایت، مانند ثبت نام در خبرنامه، تولید سرنخ یا فروش محصول.</v>
      </c>
      <c r="H9168" s="1"/>
      <c r="I9168" s="1"/>
      <c r="J9168" s="1"/>
      <c r="K9168" s="1"/>
      <c r="L9168" s="1"/>
      <c r="M9168" s="1"/>
      <c r="N9168" s="1"/>
      <c r="O9168" s="1"/>
      <c r="P9168" s="1"/>
      <c r="Q9168" s="1"/>
      <c r="R9168" s="1"/>
      <c r="S9168" s="1"/>
      <c r="T9168" s="1"/>
      <c r="U9168" s="1"/>
      <c r="V9168" s="1"/>
      <c r="W9168" s="1"/>
      <c r="X9168" s="1"/>
      <c r="Y9168" s="1"/>
      <c r="Z9168" s="1"/>
      <c r="AA9168" s="1"/>
      <c r="AB9168" s="1"/>
    </row>
    <row r="9169" ht="50.25" customHeight="1">
      <c r="A9169" s="12">
        <v>9165.0</v>
      </c>
      <c r="B9169" s="13" t="s">
        <v>8699</v>
      </c>
      <c r="C9169" s="18" t="s">
        <v>9195</v>
      </c>
      <c r="D9169" s="1"/>
      <c r="E9169" s="1"/>
      <c r="F9169" s="1" t="str">
        <f>IFERROR(__xludf.DUMMYFUNCTION("GOOGLETRANSLATE(B9169, ""en"", ""fa"")
"),"موفقیت در پادکست")</f>
        <v>موفقیت در پادکست</v>
      </c>
      <c r="G9169" s="1" t="str">
        <f>IFERROR(__xludf.DUMMYFUNCTION("GOOGLETRANSLATE(C9169, ""en"", ""fa"")
"),"استراتژی‌های نظارت بر تعامل شنوندگان پادکست در پلتفرم‌های اجتماعی، مانند انجمن‌ها، Discord یا گروه‌های فیسبوک چیست.")</f>
        <v>استراتژی‌های نظارت بر تعامل شنوندگان پادکست در پلتفرم‌های اجتماعی، مانند انجمن‌ها، Discord یا گروه‌های فیسبوک چیست.</v>
      </c>
      <c r="H9169" s="1"/>
      <c r="I9169" s="1"/>
      <c r="J9169" s="1"/>
      <c r="K9169" s="1"/>
      <c r="L9169" s="1"/>
      <c r="M9169" s="1"/>
      <c r="N9169" s="1"/>
      <c r="O9169" s="1"/>
      <c r="P9169" s="1"/>
      <c r="Q9169" s="1"/>
      <c r="R9169" s="1"/>
      <c r="S9169" s="1"/>
      <c r="T9169" s="1"/>
      <c r="U9169" s="1"/>
      <c r="V9169" s="1"/>
      <c r="W9169" s="1"/>
      <c r="X9169" s="1"/>
      <c r="Y9169" s="1"/>
      <c r="Z9169" s="1"/>
      <c r="AA9169" s="1"/>
      <c r="AB9169" s="1"/>
    </row>
    <row r="9170" ht="50.25" customHeight="1">
      <c r="A9170" s="12">
        <v>9166.0</v>
      </c>
      <c r="B9170" s="13" t="s">
        <v>8699</v>
      </c>
      <c r="C9170" s="18" t="s">
        <v>9196</v>
      </c>
      <c r="D9170" s="1"/>
      <c r="E9170" s="1"/>
      <c r="F9170" s="1" t="str">
        <f>IFERROR(__xludf.DUMMYFUNCTION("GOOGLETRANSLATE(B9170, ""en"", ""fa"")
"),"موفقیت در پادکست")</f>
        <v>موفقیت در پادکست</v>
      </c>
      <c r="G9170" s="1" t="str">
        <f>IFERROR(__xludf.DUMMYFUNCTION("GOOGLETRANSLATE(C9170, ""en"", ""fa"")
"),"نحوه تجزیه و تحلیل عملکرد قسمت پادکست بر اساس بخش های رفتار شنونده، مانند شنوندگان جدید، مشترکین وفادار، یا شنوندگان خفته.")</f>
        <v>نحوه تجزیه و تحلیل عملکرد قسمت پادکست بر اساس بخش های رفتار شنونده، مانند شنوندگان جدید، مشترکین وفادار، یا شنوندگان خفته.</v>
      </c>
      <c r="H9170" s="1"/>
      <c r="I9170" s="1"/>
      <c r="J9170" s="1"/>
      <c r="K9170" s="1"/>
      <c r="L9170" s="1"/>
      <c r="M9170" s="1"/>
      <c r="N9170" s="1"/>
      <c r="O9170" s="1"/>
      <c r="P9170" s="1"/>
      <c r="Q9170" s="1"/>
      <c r="R9170" s="1"/>
      <c r="S9170" s="1"/>
      <c r="T9170" s="1"/>
      <c r="U9170" s="1"/>
      <c r="V9170" s="1"/>
      <c r="W9170" s="1"/>
      <c r="X9170" s="1"/>
      <c r="Y9170" s="1"/>
      <c r="Z9170" s="1"/>
      <c r="AA9170" s="1"/>
      <c r="AB9170" s="1"/>
    </row>
    <row r="9171" ht="50.25" customHeight="1">
      <c r="A9171" s="12">
        <v>9167.0</v>
      </c>
      <c r="B9171" s="13" t="s">
        <v>8699</v>
      </c>
      <c r="C9171" s="18" t="s">
        <v>9197</v>
      </c>
      <c r="D9171" s="1"/>
      <c r="E9171" s="1"/>
      <c r="F9171" s="1" t="str">
        <f>IFERROR(__xludf.DUMMYFUNCTION("GOOGLETRANSLATE(B9171, ""en"", ""fa"")
"),"موفقیت در پادکست")</f>
        <v>موفقیت در پادکست</v>
      </c>
      <c r="G9171" s="1" t="str">
        <f>IFERROR(__xludf.DUMMYFUNCTION("GOOGLETRANSLATE(C9171, ""en"", ""fa"")
"),"تکنیک‌های ردیابی مشارکت شنوندگان پادکست از طریق شرکت در مسابقه، هدایا یا ارسال محتوای تولید شده توسط کاربر چیست؟")</f>
        <v>تکنیک‌های ردیابی مشارکت شنوندگان پادکست از طریق شرکت در مسابقه، هدایا یا ارسال محتوای تولید شده توسط کاربر چیست؟</v>
      </c>
      <c r="H9171" s="1"/>
      <c r="I9171" s="1"/>
      <c r="J9171" s="1"/>
      <c r="K9171" s="1"/>
      <c r="L9171" s="1"/>
      <c r="M9171" s="1"/>
      <c r="N9171" s="1"/>
      <c r="O9171" s="1"/>
      <c r="P9171" s="1"/>
      <c r="Q9171" s="1"/>
      <c r="R9171" s="1"/>
      <c r="S9171" s="1"/>
      <c r="T9171" s="1"/>
      <c r="U9171" s="1"/>
      <c r="V9171" s="1"/>
      <c r="W9171" s="1"/>
      <c r="X9171" s="1"/>
      <c r="Y9171" s="1"/>
      <c r="Z9171" s="1"/>
      <c r="AA9171" s="1"/>
      <c r="AB9171" s="1"/>
    </row>
    <row r="9172" ht="50.25" customHeight="1">
      <c r="A9172" s="12">
        <v>9168.0</v>
      </c>
      <c r="B9172" s="13" t="s">
        <v>8699</v>
      </c>
      <c r="C9172" s="18" t="s">
        <v>9198</v>
      </c>
      <c r="D9172" s="1"/>
      <c r="E9172" s="1"/>
      <c r="F9172" s="1" t="str">
        <f>IFERROR(__xludf.DUMMYFUNCTION("GOOGLETRANSLATE(B9172, ""en"", ""fa"")
"),"موفقیت در پادکست")</f>
        <v>موفقیت در پادکست</v>
      </c>
      <c r="G9172" s="1" t="str">
        <f>IFERROR(__xludf.DUMMYFUNCTION("GOOGLETRANSLATE(C9172, ""en"", ""fa"")
"),"چگونه می توان تأثیر قسمت پادکست را بر احساسات مخاطب و درک برند از طریق ابزارهای تجزیه و تحلیل احساسات یا نظرسنجی های مبتنی بر احساسات اندازه گیری کرد.")</f>
        <v>چگونه می توان تأثیر قسمت پادکست را بر احساسات مخاطب و درک برند از طریق ابزارهای تجزیه و تحلیل احساسات یا نظرسنجی های مبتنی بر احساسات اندازه گیری کرد.</v>
      </c>
      <c r="H9172" s="1"/>
      <c r="I9172" s="1"/>
      <c r="J9172" s="1"/>
      <c r="K9172" s="1"/>
      <c r="L9172" s="1"/>
      <c r="M9172" s="1"/>
      <c r="N9172" s="1"/>
      <c r="O9172" s="1"/>
      <c r="P9172" s="1"/>
      <c r="Q9172" s="1"/>
      <c r="R9172" s="1"/>
      <c r="S9172" s="1"/>
      <c r="T9172" s="1"/>
      <c r="U9172" s="1"/>
      <c r="V9172" s="1"/>
      <c r="W9172" s="1"/>
      <c r="X9172" s="1"/>
      <c r="Y9172" s="1"/>
      <c r="Z9172" s="1"/>
      <c r="AA9172" s="1"/>
      <c r="AB9172" s="1"/>
    </row>
    <row r="9173" ht="50.25" customHeight="1">
      <c r="A9173" s="12">
        <v>9169.0</v>
      </c>
      <c r="B9173" s="13" t="s">
        <v>8699</v>
      </c>
      <c r="C9173" s="18" t="s">
        <v>9199</v>
      </c>
      <c r="D9173" s="1"/>
      <c r="E9173" s="1"/>
      <c r="F9173" s="1" t="str">
        <f>IFERROR(__xludf.DUMMYFUNCTION("GOOGLETRANSLATE(B9173, ""en"", ""fa"")
"),"موفقیت در پادکست")</f>
        <v>موفقیت در پادکست</v>
      </c>
      <c r="G9173" s="1" t="str">
        <f>IFERROR(__xludf.DUMMYFUNCTION("GOOGLETRANSLATE(C9173, ""en"", ""fa"")
"),"استراتژی‌های نظارت بر تعامل شنوندگان پادکست در فهرست‌ها و پلتفرم‌های پادکست، از جمله بررسی، رتبه‌بندی و نظرات شنوندگان چیست.")</f>
        <v>استراتژی‌های نظارت بر تعامل شنوندگان پادکست در فهرست‌ها و پلتفرم‌های پادکست، از جمله بررسی، رتبه‌بندی و نظرات شنوندگان چیست.</v>
      </c>
      <c r="H9173" s="1"/>
      <c r="I9173" s="1"/>
      <c r="J9173" s="1"/>
      <c r="K9173" s="1"/>
      <c r="L9173" s="1"/>
      <c r="M9173" s="1"/>
      <c r="N9173" s="1"/>
      <c r="O9173" s="1"/>
      <c r="P9173" s="1"/>
      <c r="Q9173" s="1"/>
      <c r="R9173" s="1"/>
      <c r="S9173" s="1"/>
      <c r="T9173" s="1"/>
      <c r="U9173" s="1"/>
      <c r="V9173" s="1"/>
      <c r="W9173" s="1"/>
      <c r="X9173" s="1"/>
      <c r="Y9173" s="1"/>
      <c r="Z9173" s="1"/>
      <c r="AA9173" s="1"/>
      <c r="AB9173" s="1"/>
    </row>
    <row r="9174" ht="50.25" customHeight="1">
      <c r="A9174" s="12">
        <v>9170.0</v>
      </c>
      <c r="B9174" s="13" t="s">
        <v>8699</v>
      </c>
      <c r="C9174" s="18" t="s">
        <v>9200</v>
      </c>
      <c r="D9174" s="1"/>
      <c r="E9174" s="1"/>
      <c r="F9174" s="1" t="str">
        <f>IFERROR(__xludf.DUMMYFUNCTION("GOOGLETRANSLATE(B9174, ""en"", ""fa"")
"),"موفقیت در پادکست")</f>
        <v>موفقیت در پادکست</v>
      </c>
      <c r="G9174" s="1" t="str">
        <f>IFERROR(__xludf.DUMMYFUNCTION("GOOGLETRANSLATE(C9174, ""en"", ""fa"")
"),"نحوه تجزیه و تحلیل عملکرد قسمت پادکست بر اساس بازخورد و توصیه های شنونده از طریق کانال های ارتباطی مستقیم.")</f>
        <v>نحوه تجزیه و تحلیل عملکرد قسمت پادکست بر اساس بازخورد و توصیه های شنونده از طریق کانال های ارتباطی مستقیم.</v>
      </c>
      <c r="H9174" s="1"/>
      <c r="I9174" s="1"/>
      <c r="J9174" s="1"/>
      <c r="K9174" s="1"/>
      <c r="L9174" s="1"/>
      <c r="M9174" s="1"/>
      <c r="N9174" s="1"/>
      <c r="O9174" s="1"/>
      <c r="P9174" s="1"/>
      <c r="Q9174" s="1"/>
      <c r="R9174" s="1"/>
      <c r="S9174" s="1"/>
      <c r="T9174" s="1"/>
      <c r="U9174" s="1"/>
      <c r="V9174" s="1"/>
      <c r="W9174" s="1"/>
      <c r="X9174" s="1"/>
      <c r="Y9174" s="1"/>
      <c r="Z9174" s="1"/>
      <c r="AA9174" s="1"/>
      <c r="AB9174" s="1"/>
    </row>
    <row r="9175" ht="50.25" customHeight="1">
      <c r="A9175" s="12">
        <v>9171.0</v>
      </c>
      <c r="B9175" s="13" t="s">
        <v>8699</v>
      </c>
      <c r="C9175" s="18" t="s">
        <v>9201</v>
      </c>
      <c r="D9175" s="1"/>
      <c r="E9175" s="1"/>
      <c r="F9175" s="1" t="str">
        <f>IFERROR(__xludf.DUMMYFUNCTION("GOOGLETRANSLATE(B9175, ""en"", ""fa"")
"),"موفقیت در پادکست")</f>
        <v>موفقیت در پادکست</v>
      </c>
      <c r="G9175" s="1" t="str">
        <f>IFERROR(__xludf.DUMMYFUNCTION("GOOGLETRANSLATE(C9175, ""en"", ""fa"")
"),"تکنیک‌های ردیابی تأثیر قسمت پادکست بر فالوورها و تعامل رسانه‌های اجتماعی، مانند رشد فالوور و دسترسی به پست چیست.")</f>
        <v>تکنیک‌های ردیابی تأثیر قسمت پادکست بر فالوورها و تعامل رسانه‌های اجتماعی، مانند رشد فالوور و دسترسی به پست چیست.</v>
      </c>
      <c r="H9175" s="1"/>
      <c r="I9175" s="1"/>
      <c r="J9175" s="1"/>
      <c r="K9175" s="1"/>
      <c r="L9175" s="1"/>
      <c r="M9175" s="1"/>
      <c r="N9175" s="1"/>
      <c r="O9175" s="1"/>
      <c r="P9175" s="1"/>
      <c r="Q9175" s="1"/>
      <c r="R9175" s="1"/>
      <c r="S9175" s="1"/>
      <c r="T9175" s="1"/>
      <c r="U9175" s="1"/>
      <c r="V9175" s="1"/>
      <c r="W9175" s="1"/>
      <c r="X9175" s="1"/>
      <c r="Y9175" s="1"/>
      <c r="Z9175" s="1"/>
      <c r="AA9175" s="1"/>
      <c r="AB9175" s="1"/>
    </row>
    <row r="9176" ht="50.25" customHeight="1">
      <c r="A9176" s="12">
        <v>9172.0</v>
      </c>
      <c r="B9176" s="13" t="s">
        <v>8699</v>
      </c>
      <c r="C9176" s="18" t="s">
        <v>9202</v>
      </c>
      <c r="D9176" s="1"/>
      <c r="E9176" s="1"/>
      <c r="F9176" s="1" t="str">
        <f>IFERROR(__xludf.DUMMYFUNCTION("GOOGLETRANSLATE(B9176, ""en"", ""fa"")
"),"موفقیت در پادکست")</f>
        <v>موفقیت در پادکست</v>
      </c>
      <c r="G9176" s="1" t="str">
        <f>IFERROR(__xludf.DUMMYFUNCTION("GOOGLETRANSLATE(C9176, ""en"", ""fa"")
"),"چگونه می توان مشارکت شنونده پادکست را از طریق نرخ کلیک ایمیل، نرخ باز شدن ایمیل و رشد اشتراک اندازه گیری کرد.")</f>
        <v>چگونه می توان مشارکت شنونده پادکست را از طریق نرخ کلیک ایمیل، نرخ باز شدن ایمیل و رشد اشتراک اندازه گیری کرد.</v>
      </c>
      <c r="H9176" s="1"/>
      <c r="I9176" s="1"/>
      <c r="J9176" s="1"/>
      <c r="K9176" s="1"/>
      <c r="L9176" s="1"/>
      <c r="M9176" s="1"/>
      <c r="N9176" s="1"/>
      <c r="O9176" s="1"/>
      <c r="P9176" s="1"/>
      <c r="Q9176" s="1"/>
      <c r="R9176" s="1"/>
      <c r="S9176" s="1"/>
      <c r="T9176" s="1"/>
      <c r="U9176" s="1"/>
      <c r="V9176" s="1"/>
      <c r="W9176" s="1"/>
      <c r="X9176" s="1"/>
      <c r="Y9176" s="1"/>
      <c r="Z9176" s="1"/>
      <c r="AA9176" s="1"/>
      <c r="AB9176" s="1"/>
    </row>
    <row r="9177" ht="50.25" customHeight="1">
      <c r="A9177" s="12">
        <v>9173.0</v>
      </c>
      <c r="B9177" s="13" t="s">
        <v>8699</v>
      </c>
      <c r="C9177" s="18" t="s">
        <v>9203</v>
      </c>
      <c r="D9177" s="1"/>
      <c r="E9177" s="1"/>
      <c r="F9177" s="1" t="str">
        <f>IFERROR(__xludf.DUMMYFUNCTION("GOOGLETRANSLATE(B9177, ""en"", ""fa"")
"),"موفقیت در پادکست")</f>
        <v>موفقیت در پادکست</v>
      </c>
      <c r="G9177" s="1" t="str">
        <f>IFERROR(__xludf.DUMMYFUNCTION("GOOGLETRANSLATE(C9177, ""en"", ""fa"")
"),"استراتژی های نظارت بر عملکرد قسمت پادکست در وب سایت ها یا وبلاگ های خارجی از طریق ردیابی بک لینک و تجزیه و تحلیل ترافیک ارجاع چیست؟")</f>
        <v>استراتژی های نظارت بر عملکرد قسمت پادکست در وب سایت ها یا وبلاگ های خارجی از طریق ردیابی بک لینک و تجزیه و تحلیل ترافیک ارجاع چیست؟</v>
      </c>
      <c r="H9177" s="1"/>
      <c r="I9177" s="1"/>
      <c r="J9177" s="1"/>
      <c r="K9177" s="1"/>
      <c r="L9177" s="1"/>
      <c r="M9177" s="1"/>
      <c r="N9177" s="1"/>
      <c r="O9177" s="1"/>
      <c r="P9177" s="1"/>
      <c r="Q9177" s="1"/>
      <c r="R9177" s="1"/>
      <c r="S9177" s="1"/>
      <c r="T9177" s="1"/>
      <c r="U9177" s="1"/>
      <c r="V9177" s="1"/>
      <c r="W9177" s="1"/>
      <c r="X9177" s="1"/>
      <c r="Y9177" s="1"/>
      <c r="Z9177" s="1"/>
      <c r="AA9177" s="1"/>
      <c r="AB9177" s="1"/>
    </row>
    <row r="9178" ht="50.25" customHeight="1">
      <c r="A9178" s="12">
        <v>9174.0</v>
      </c>
      <c r="B9178" s="13" t="s">
        <v>8699</v>
      </c>
      <c r="C9178" s="18" t="s">
        <v>9204</v>
      </c>
      <c r="D9178" s="1"/>
      <c r="E9178" s="1"/>
      <c r="F9178" s="1" t="str">
        <f>IFERROR(__xludf.DUMMYFUNCTION("GOOGLETRANSLATE(B9178, ""en"", ""fa"")
"),"موفقیت در پادکست")</f>
        <v>موفقیت در پادکست</v>
      </c>
      <c r="G9178" s="1" t="str">
        <f>IFERROR(__xludf.DUMMYFUNCTION("GOOGLETRANSLATE(C9178, ""en"", ""fa"")
"),"نحوه تجزیه و تحلیل تأثیر قسمت پادکست بر رفتار شنونده و سفر کاربر از طریق تجزیه و تحلیل وب سایت و تجزیه و تحلیل جریان کاربر.")</f>
        <v>نحوه تجزیه و تحلیل تأثیر قسمت پادکست بر رفتار شنونده و سفر کاربر از طریق تجزیه و تحلیل وب سایت و تجزیه و تحلیل جریان کاربر.</v>
      </c>
      <c r="H9178" s="1"/>
      <c r="I9178" s="1"/>
      <c r="J9178" s="1"/>
      <c r="K9178" s="1"/>
      <c r="L9178" s="1"/>
      <c r="M9178" s="1"/>
      <c r="N9178" s="1"/>
      <c r="O9178" s="1"/>
      <c r="P9178" s="1"/>
      <c r="Q9178" s="1"/>
      <c r="R9178" s="1"/>
      <c r="S9178" s="1"/>
      <c r="T9178" s="1"/>
      <c r="U9178" s="1"/>
      <c r="V9178" s="1"/>
      <c r="W9178" s="1"/>
      <c r="X9178" s="1"/>
      <c r="Y9178" s="1"/>
      <c r="Z9178" s="1"/>
      <c r="AA9178" s="1"/>
      <c r="AB9178" s="1"/>
    </row>
    <row r="9179" ht="50.25" customHeight="1">
      <c r="A9179" s="12">
        <v>9175.0</v>
      </c>
      <c r="B9179" s="13" t="s">
        <v>8699</v>
      </c>
      <c r="C9179" s="18" t="s">
        <v>9205</v>
      </c>
      <c r="D9179" s="1"/>
      <c r="E9179" s="1"/>
      <c r="F9179" s="1" t="str">
        <f>IFERROR(__xludf.DUMMYFUNCTION("GOOGLETRANSLATE(B9179, ""en"", ""fa"")
"),"موفقیت در پادکست")</f>
        <v>موفقیت در پادکست</v>
      </c>
      <c r="G9179" s="1" t="str">
        <f>IFERROR(__xludf.DUMMYFUNCTION("GOOGLETRANSLATE(C9179, ""en"", ""fa"")
"),"تکنیک‌هایی برای ردیابی تعامل شنوندگان پادکست از طریق نظرسنجی‌ها، نظرسنجی‌ها، یا فرم‌های بازخورد تعبیه‌شده در قسمت‌های پادکست چیست؟")</f>
        <v>تکنیک‌هایی برای ردیابی تعامل شنوندگان پادکست از طریق نظرسنجی‌ها، نظرسنجی‌ها، یا فرم‌های بازخورد تعبیه‌شده در قسمت‌های پادکست چیست؟</v>
      </c>
      <c r="H9179" s="1"/>
      <c r="I9179" s="1"/>
      <c r="J9179" s="1"/>
      <c r="K9179" s="1"/>
      <c r="L9179" s="1"/>
      <c r="M9179" s="1"/>
      <c r="N9179" s="1"/>
      <c r="O9179" s="1"/>
      <c r="P9179" s="1"/>
      <c r="Q9179" s="1"/>
      <c r="R9179" s="1"/>
      <c r="S9179" s="1"/>
      <c r="T9179" s="1"/>
      <c r="U9179" s="1"/>
      <c r="V9179" s="1"/>
      <c r="W9179" s="1"/>
      <c r="X9179" s="1"/>
      <c r="Y9179" s="1"/>
      <c r="Z9179" s="1"/>
      <c r="AA9179" s="1"/>
      <c r="AB9179" s="1"/>
    </row>
    <row r="9180" ht="50.25" customHeight="1">
      <c r="A9180" s="12">
        <v>9176.0</v>
      </c>
      <c r="B9180" s="13" t="s">
        <v>8699</v>
      </c>
      <c r="C9180" s="18" t="s">
        <v>9206</v>
      </c>
      <c r="D9180" s="1"/>
      <c r="E9180" s="1"/>
      <c r="F9180" s="1" t="str">
        <f>IFERROR(__xludf.DUMMYFUNCTION("GOOGLETRANSLATE(B9180, ""en"", ""fa"")
"),"موفقیت در پادکست")</f>
        <v>موفقیت در پادکست</v>
      </c>
      <c r="G9180" s="1" t="str">
        <f>IFERROR(__xludf.DUMMYFUNCTION("GOOGLETRANSLATE(C9180, ""en"", ""fa"")
"),"نحوه اندازه‌گیری عملکرد قسمت پادکست بر اساس درگیری شنونده در پلتفرم‌های درآمدزایی پادکست، مانند پلتفرم‌های Patreon یا اسپانسر.")</f>
        <v>نحوه اندازه‌گیری عملکرد قسمت پادکست بر اساس درگیری شنونده در پلتفرم‌های درآمدزایی پادکست، مانند پلتفرم‌های Patreon یا اسپانسر.</v>
      </c>
      <c r="H9180" s="1"/>
      <c r="I9180" s="1"/>
      <c r="J9180" s="1"/>
      <c r="K9180" s="1"/>
      <c r="L9180" s="1"/>
      <c r="M9180" s="1"/>
      <c r="N9180" s="1"/>
      <c r="O9180" s="1"/>
      <c r="P9180" s="1"/>
      <c r="Q9180" s="1"/>
      <c r="R9180" s="1"/>
      <c r="S9180" s="1"/>
      <c r="T9180" s="1"/>
      <c r="U9180" s="1"/>
      <c r="V9180" s="1"/>
      <c r="W9180" s="1"/>
      <c r="X9180" s="1"/>
      <c r="Y9180" s="1"/>
      <c r="Z9180" s="1"/>
      <c r="AA9180" s="1"/>
      <c r="AB9180" s="1"/>
    </row>
    <row r="9181" ht="50.25" customHeight="1">
      <c r="A9181" s="12">
        <v>9177.0</v>
      </c>
      <c r="B9181" s="13" t="s">
        <v>8699</v>
      </c>
      <c r="C9181" s="18" t="s">
        <v>9207</v>
      </c>
      <c r="D9181" s="1"/>
      <c r="E9181" s="1"/>
      <c r="F9181" s="1" t="str">
        <f>IFERROR(__xludf.DUMMYFUNCTION("GOOGLETRANSLATE(B9181, ""en"", ""fa"")
"),"موفقیت در پادکست")</f>
        <v>موفقیت در پادکست</v>
      </c>
      <c r="G9181" s="1" t="str">
        <f>IFERROR(__xludf.DUMMYFUNCTION("GOOGLETRANSLATE(C9181, ""en"", ""fa"")
"),"استراتژی‌های نظارت بر تعامل شنوندگان پادکست در پلتفرم‌های صوتی اجتماعی، مانند Clubhouse یا Twitter Spaces چیست؟")</f>
        <v>استراتژی‌های نظارت بر تعامل شنوندگان پادکست در پلتفرم‌های صوتی اجتماعی، مانند Clubhouse یا Twitter Spaces چیست؟</v>
      </c>
      <c r="H9181" s="1"/>
      <c r="I9181" s="1"/>
      <c r="J9181" s="1"/>
      <c r="K9181" s="1"/>
      <c r="L9181" s="1"/>
      <c r="M9181" s="1"/>
      <c r="N9181" s="1"/>
      <c r="O9181" s="1"/>
      <c r="P9181" s="1"/>
      <c r="Q9181" s="1"/>
      <c r="R9181" s="1"/>
      <c r="S9181" s="1"/>
      <c r="T9181" s="1"/>
      <c r="U9181" s="1"/>
      <c r="V9181" s="1"/>
      <c r="W9181" s="1"/>
      <c r="X9181" s="1"/>
      <c r="Y9181" s="1"/>
      <c r="Z9181" s="1"/>
      <c r="AA9181" s="1"/>
      <c r="AB9181" s="1"/>
    </row>
    <row r="9182" ht="50.25" customHeight="1">
      <c r="A9182" s="12">
        <v>9178.0</v>
      </c>
      <c r="B9182" s="13" t="s">
        <v>8699</v>
      </c>
      <c r="C9182" s="18" t="s">
        <v>9208</v>
      </c>
      <c r="D9182" s="1"/>
      <c r="E9182" s="1"/>
      <c r="F9182" s="1" t="str">
        <f>IFERROR(__xludf.DUMMYFUNCTION("GOOGLETRANSLATE(B9182, ""en"", ""fa"")
"),"موفقیت در پادکست")</f>
        <v>موفقیت در پادکست</v>
      </c>
      <c r="G9182" s="1" t="str">
        <f>IFERROR(__xludf.DUMMYFUNCTION("GOOGLETRANSLATE(C9182, ""en"", ""fa"")
"),"چگونه می توان تأثیر قسمت پادکست را بر ارزش ویژه برند و درک مشتری از طریق نظرسنجی های آگاهی از نام تجاری، تجزیه و تحلیل احساسات و بازخورد مشتری تجزیه و تحلیل کرد.")</f>
        <v>چگونه می توان تأثیر قسمت پادکست را بر ارزش ویژه برند و درک مشتری از طریق نظرسنجی های آگاهی از نام تجاری، تجزیه و تحلیل احساسات و بازخورد مشتری تجزیه و تحلیل کرد.</v>
      </c>
      <c r="H9182" s="1"/>
      <c r="I9182" s="1"/>
      <c r="J9182" s="1"/>
      <c r="K9182" s="1"/>
      <c r="L9182" s="1"/>
      <c r="M9182" s="1"/>
      <c r="N9182" s="1"/>
      <c r="O9182" s="1"/>
      <c r="P9182" s="1"/>
      <c r="Q9182" s="1"/>
      <c r="R9182" s="1"/>
      <c r="S9182" s="1"/>
      <c r="T9182" s="1"/>
      <c r="U9182" s="1"/>
      <c r="V9182" s="1"/>
      <c r="W9182" s="1"/>
      <c r="X9182" s="1"/>
      <c r="Y9182" s="1"/>
      <c r="Z9182" s="1"/>
      <c r="AA9182" s="1"/>
      <c r="AB9182" s="1"/>
    </row>
    <row r="9183" ht="50.25" customHeight="1">
      <c r="A9183" s="12">
        <v>9179.0</v>
      </c>
      <c r="B9183" s="13" t="s">
        <v>8699</v>
      </c>
      <c r="C9183" s="18" t="s">
        <v>9209</v>
      </c>
      <c r="D9183" s="1"/>
      <c r="E9183" s="1"/>
      <c r="F9183" s="1" t="str">
        <f>IFERROR(__xludf.DUMMYFUNCTION("GOOGLETRANSLATE(B9183, ""en"", ""fa"")
"),"موفقیت در پادکست")</f>
        <v>موفقیت در پادکست</v>
      </c>
      <c r="G9183" s="1" t="str">
        <f>IFERROR(__xludf.DUMMYFUNCTION("GOOGLETRANSLATE(C9183, ""en"", ""fa"")
"),"تکنیک‌های ردیابی تعامل شنونده پادکست از طریق محتوای تولید شده توسط کاربر، مانند هنرهای طرفداران، توصیفات شنوندگان، یا اشاره‌های رسانه‌های اجتماعی چیست؟")</f>
        <v>تکنیک‌های ردیابی تعامل شنونده پادکست از طریق محتوای تولید شده توسط کاربر، مانند هنرهای طرفداران، توصیفات شنوندگان، یا اشاره‌های رسانه‌های اجتماعی چیست؟</v>
      </c>
      <c r="H9183" s="1"/>
      <c r="I9183" s="1"/>
      <c r="J9183" s="1"/>
      <c r="K9183" s="1"/>
      <c r="L9183" s="1"/>
      <c r="M9183" s="1"/>
      <c r="N9183" s="1"/>
      <c r="O9183" s="1"/>
      <c r="P9183" s="1"/>
      <c r="Q9183" s="1"/>
      <c r="R9183" s="1"/>
      <c r="S9183" s="1"/>
      <c r="T9183" s="1"/>
      <c r="U9183" s="1"/>
      <c r="V9183" s="1"/>
      <c r="W9183" s="1"/>
      <c r="X9183" s="1"/>
      <c r="Y9183" s="1"/>
      <c r="Z9183" s="1"/>
      <c r="AA9183" s="1"/>
      <c r="AB9183" s="1"/>
    </row>
    <row r="9184" ht="50.25" customHeight="1">
      <c r="A9184" s="12">
        <v>9180.0</v>
      </c>
      <c r="B9184" s="13" t="s">
        <v>8699</v>
      </c>
      <c r="C9184" s="18" t="s">
        <v>9210</v>
      </c>
      <c r="D9184" s="1"/>
      <c r="E9184" s="1"/>
      <c r="F9184" s="1" t="str">
        <f>IFERROR(__xludf.DUMMYFUNCTION("GOOGLETRANSLATE(B9184, ""en"", ""fa"")
"),"موفقیت در پادکست")</f>
        <v>موفقیت در پادکست</v>
      </c>
      <c r="G9184" s="1" t="str">
        <f>IFERROR(__xludf.DUMMYFUNCTION("GOOGLETRANSLATE(C9184, ""en"", ""fa"")
"),"نحوه اندازه‌گیری عملکرد قسمت پادکست بر اساس معیارهای تعامل شنونده، مانند نظرات، اشتراک‌گذاری‌ها یا بارگیری‌ها در هر قسمت.")</f>
        <v>نحوه اندازه‌گیری عملکرد قسمت پادکست بر اساس معیارهای تعامل شنونده، مانند نظرات، اشتراک‌گذاری‌ها یا بارگیری‌ها در هر قسمت.</v>
      </c>
      <c r="H9184" s="1"/>
      <c r="I9184" s="1"/>
      <c r="J9184" s="1"/>
      <c r="K9184" s="1"/>
      <c r="L9184" s="1"/>
      <c r="M9184" s="1"/>
      <c r="N9184" s="1"/>
      <c r="O9184" s="1"/>
      <c r="P9184" s="1"/>
      <c r="Q9184" s="1"/>
      <c r="R9184" s="1"/>
      <c r="S9184" s="1"/>
      <c r="T9184" s="1"/>
      <c r="U9184" s="1"/>
      <c r="V9184" s="1"/>
      <c r="W9184" s="1"/>
      <c r="X9184" s="1"/>
      <c r="Y9184" s="1"/>
      <c r="Z9184" s="1"/>
      <c r="AA9184" s="1"/>
      <c r="AB9184" s="1"/>
    </row>
    <row r="9185" ht="50.25" customHeight="1">
      <c r="A9185" s="12">
        <v>9181.0</v>
      </c>
      <c r="B9185" s="13" t="s">
        <v>8699</v>
      </c>
      <c r="C9185" s="18" t="s">
        <v>9211</v>
      </c>
      <c r="D9185" s="1"/>
      <c r="E9185" s="1"/>
      <c r="F9185" s="1" t="str">
        <f>IFERROR(__xludf.DUMMYFUNCTION("GOOGLETRANSLATE(B9185, ""en"", ""fa"")
"),"موفقیت در پادکست")</f>
        <v>موفقیت در پادکست</v>
      </c>
      <c r="G9185" s="1" t="str">
        <f>IFERROR(__xludf.DUMMYFUNCTION("GOOGLETRANSLATE(C9185, ""en"", ""fa"")
"),"نحوه تجزیه و تحلیل تأثیر قسمت پادکست بر روی تبدیل وب سایت، مانند تولید سرنخ، فروش محصول، یا ثبت نام در خبرنامه.")</f>
        <v>نحوه تجزیه و تحلیل تأثیر قسمت پادکست بر روی تبدیل وب سایت، مانند تولید سرنخ، فروش محصول، یا ثبت نام در خبرنامه.</v>
      </c>
      <c r="H9185" s="1"/>
      <c r="I9185" s="1"/>
      <c r="J9185" s="1"/>
      <c r="K9185" s="1"/>
      <c r="L9185" s="1"/>
      <c r="M9185" s="1"/>
      <c r="N9185" s="1"/>
      <c r="O9185" s="1"/>
      <c r="P9185" s="1"/>
      <c r="Q9185" s="1"/>
      <c r="R9185" s="1"/>
      <c r="S9185" s="1"/>
      <c r="T9185" s="1"/>
      <c r="U9185" s="1"/>
      <c r="V9185" s="1"/>
      <c r="W9185" s="1"/>
      <c r="X9185" s="1"/>
      <c r="Y9185" s="1"/>
      <c r="Z9185" s="1"/>
      <c r="AA9185" s="1"/>
      <c r="AB9185" s="1"/>
    </row>
    <row r="9186" ht="50.25" customHeight="1">
      <c r="A9186" s="12">
        <v>9182.0</v>
      </c>
      <c r="B9186" s="13" t="s">
        <v>8699</v>
      </c>
      <c r="C9186" s="18" t="s">
        <v>9212</v>
      </c>
      <c r="D9186" s="1"/>
      <c r="E9186" s="1"/>
      <c r="F9186" s="1" t="str">
        <f>IFERROR(__xludf.DUMMYFUNCTION("GOOGLETRANSLATE(B9186, ""en"", ""fa"")
"),"موفقیت در پادکست")</f>
        <v>موفقیت در پادکست</v>
      </c>
      <c r="G9186" s="1" t="str">
        <f>IFERROR(__xludf.DUMMYFUNCTION("GOOGLETRANSLATE(C9186, ""en"", ""fa"")
"),"تکنیک‌هایی برای ردیابی رفتار شنونده پادکست از طریق نقشه‌های حرارتی، نرخ کلیک یا تجزیه و تحلیل جریان کاربر در وب‌سایت پادکست یا صفحه فرود شما چیست.")</f>
        <v>تکنیک‌هایی برای ردیابی رفتار شنونده پادکست از طریق نقشه‌های حرارتی، نرخ کلیک یا تجزیه و تحلیل جریان کاربر در وب‌سایت پادکست یا صفحه فرود شما چیست.</v>
      </c>
      <c r="H9186" s="1"/>
      <c r="I9186" s="1"/>
      <c r="J9186" s="1"/>
      <c r="K9186" s="1"/>
      <c r="L9186" s="1"/>
      <c r="M9186" s="1"/>
      <c r="N9186" s="1"/>
      <c r="O9186" s="1"/>
      <c r="P9186" s="1"/>
      <c r="Q9186" s="1"/>
      <c r="R9186" s="1"/>
      <c r="S9186" s="1"/>
      <c r="T9186" s="1"/>
      <c r="U9186" s="1"/>
      <c r="V9186" s="1"/>
      <c r="W9186" s="1"/>
      <c r="X9186" s="1"/>
      <c r="Y9186" s="1"/>
      <c r="Z9186" s="1"/>
      <c r="AA9186" s="1"/>
      <c r="AB9186" s="1"/>
    </row>
    <row r="9187" ht="50.25" customHeight="1">
      <c r="A9187" s="12">
        <v>9183.0</v>
      </c>
      <c r="B9187" s="13" t="s">
        <v>8699</v>
      </c>
      <c r="C9187" s="18" t="s">
        <v>9213</v>
      </c>
      <c r="D9187" s="1"/>
      <c r="E9187" s="1"/>
      <c r="F9187" s="1" t="str">
        <f>IFERROR(__xludf.DUMMYFUNCTION("GOOGLETRANSLATE(B9187, ""en"", ""fa"")
"),"موفقیت در پادکست")</f>
        <v>موفقیت در پادکست</v>
      </c>
      <c r="G9187" s="1" t="str">
        <f>IFERROR(__xludf.DUMMYFUNCTION("GOOGLETRANSLATE(C9187, ""en"", ""fa"")
"),"چگونه می توان عملکرد قسمت پادکست را بر اساس نظر شنوندگان و نظرسنجی های رضایت اندازه گیری کرد.")</f>
        <v>چگونه می توان عملکرد قسمت پادکست را بر اساس نظر شنوندگان و نظرسنجی های رضایت اندازه گیری کرد.</v>
      </c>
      <c r="H9187" s="1"/>
      <c r="I9187" s="1"/>
      <c r="J9187" s="1"/>
      <c r="K9187" s="1"/>
      <c r="L9187" s="1"/>
      <c r="M9187" s="1"/>
      <c r="N9187" s="1"/>
      <c r="O9187" s="1"/>
      <c r="P9187" s="1"/>
      <c r="Q9187" s="1"/>
      <c r="R9187" s="1"/>
      <c r="S9187" s="1"/>
      <c r="T9187" s="1"/>
      <c r="U9187" s="1"/>
      <c r="V9187" s="1"/>
      <c r="W9187" s="1"/>
      <c r="X9187" s="1"/>
      <c r="Y9187" s="1"/>
      <c r="Z9187" s="1"/>
      <c r="AA9187" s="1"/>
      <c r="AB9187" s="1"/>
    </row>
    <row r="9188" ht="50.25" customHeight="1">
      <c r="A9188" s="12">
        <v>9184.0</v>
      </c>
      <c r="B9188" s="13" t="s">
        <v>8699</v>
      </c>
      <c r="C9188" s="18" t="s">
        <v>9214</v>
      </c>
      <c r="D9188" s="1"/>
      <c r="E9188" s="1"/>
      <c r="F9188" s="1" t="str">
        <f>IFERROR(__xludf.DUMMYFUNCTION("GOOGLETRANSLATE(B9188, ""en"", ""fa"")
"),"موفقیت در پادکست")</f>
        <v>موفقیت در پادکست</v>
      </c>
      <c r="G9188" s="1" t="str">
        <f>IFERROR(__xludf.DUMMYFUNCTION("GOOGLETRANSLATE(C9188, ""en"", ""fa"")
"),"استراتژی‌های نظارت بر تعامل شنوندگان پادکست در پلتفرم‌های رسانه‌های اجتماعی، مانند لایک‌ها، نظرات، اشتراک‌گذاری‌ها یا رشد فالوور چیست؟")</f>
        <v>استراتژی‌های نظارت بر تعامل شنوندگان پادکست در پلتفرم‌های رسانه‌های اجتماعی، مانند لایک‌ها، نظرات، اشتراک‌گذاری‌ها یا رشد فالوور چیست؟</v>
      </c>
      <c r="H9188" s="1"/>
      <c r="I9188" s="1"/>
      <c r="J9188" s="1"/>
      <c r="K9188" s="1"/>
      <c r="L9188" s="1"/>
      <c r="M9188" s="1"/>
      <c r="N9188" s="1"/>
      <c r="O9188" s="1"/>
      <c r="P9188" s="1"/>
      <c r="Q9188" s="1"/>
      <c r="R9188" s="1"/>
      <c r="S9188" s="1"/>
      <c r="T9188" s="1"/>
      <c r="U9188" s="1"/>
      <c r="V9188" s="1"/>
      <c r="W9188" s="1"/>
      <c r="X9188" s="1"/>
      <c r="Y9188" s="1"/>
      <c r="Z9188" s="1"/>
      <c r="AA9188" s="1"/>
      <c r="AB9188" s="1"/>
    </row>
    <row r="9189" ht="50.25" customHeight="1">
      <c r="A9189" s="12">
        <v>9185.0</v>
      </c>
      <c r="B9189" s="13" t="s">
        <v>8699</v>
      </c>
      <c r="C9189" s="18" t="s">
        <v>9215</v>
      </c>
      <c r="D9189" s="1"/>
      <c r="E9189" s="1"/>
      <c r="F9189" s="1" t="str">
        <f>IFERROR(__xludf.DUMMYFUNCTION("GOOGLETRANSLATE(B9189, ""en"", ""fa"")
"),"موفقیت در پادکست")</f>
        <v>موفقیت در پادکست</v>
      </c>
      <c r="G9189" s="1" t="str">
        <f>IFERROR(__xludf.DUMMYFUNCTION("GOOGLETRANSLATE(C9189, ""en"", ""fa"")
"),"نحوه تجزیه و تحلیل تأثیر قسمت پادکست بر دسترسی و آگاهی مخاطب از طریق ذکر، هشتگ ها یا برداشت ها در رسانه های اجتماعی.")</f>
        <v>نحوه تجزیه و تحلیل تأثیر قسمت پادکست بر دسترسی و آگاهی مخاطب از طریق ذکر، هشتگ ها یا برداشت ها در رسانه های اجتماعی.</v>
      </c>
      <c r="H9189" s="1"/>
      <c r="I9189" s="1"/>
      <c r="J9189" s="1"/>
      <c r="K9189" s="1"/>
      <c r="L9189" s="1"/>
      <c r="M9189" s="1"/>
      <c r="N9189" s="1"/>
      <c r="O9189" s="1"/>
      <c r="P9189" s="1"/>
      <c r="Q9189" s="1"/>
      <c r="R9189" s="1"/>
      <c r="S9189" s="1"/>
      <c r="T9189" s="1"/>
      <c r="U9189" s="1"/>
      <c r="V9189" s="1"/>
      <c r="W9189" s="1"/>
      <c r="X9189" s="1"/>
      <c r="Y9189" s="1"/>
      <c r="Z9189" s="1"/>
      <c r="AA9189" s="1"/>
      <c r="AB9189" s="1"/>
    </row>
    <row r="9190" ht="50.25" customHeight="1">
      <c r="A9190" s="12">
        <v>9186.0</v>
      </c>
      <c r="B9190" s="13" t="s">
        <v>8699</v>
      </c>
      <c r="C9190" s="18" t="s">
        <v>9216</v>
      </c>
      <c r="D9190" s="1"/>
      <c r="E9190" s="1"/>
      <c r="F9190" s="1" t="str">
        <f>IFERROR(__xludf.DUMMYFUNCTION("GOOGLETRANSLATE(B9190, ""en"", ""fa"")
"),"موفقیت در پادکست")</f>
        <v>موفقیت در پادکست</v>
      </c>
      <c r="G9190" s="1" t="str">
        <f>IFERROR(__xludf.DUMMYFUNCTION("GOOGLETRANSLATE(C9190, ""en"", ""fa"")
"),"تکنیک‌های ردیابی تعامل شنوندگان پادکست از طریق مسابقات، هدایا یا بخش‌های تعاملی در قسمت‌های پادکست چیست؟")</f>
        <v>تکنیک‌های ردیابی تعامل شنوندگان پادکست از طریق مسابقات، هدایا یا بخش‌های تعاملی در قسمت‌های پادکست چیست؟</v>
      </c>
      <c r="H9190" s="1"/>
      <c r="I9190" s="1"/>
      <c r="J9190" s="1"/>
      <c r="K9190" s="1"/>
      <c r="L9190" s="1"/>
      <c r="M9190" s="1"/>
      <c r="N9190" s="1"/>
      <c r="O9190" s="1"/>
      <c r="P9190" s="1"/>
      <c r="Q9190" s="1"/>
      <c r="R9190" s="1"/>
      <c r="S9190" s="1"/>
      <c r="T9190" s="1"/>
      <c r="U9190" s="1"/>
      <c r="V9190" s="1"/>
      <c r="W9190" s="1"/>
      <c r="X9190" s="1"/>
      <c r="Y9190" s="1"/>
      <c r="Z9190" s="1"/>
      <c r="AA9190" s="1"/>
      <c r="AB9190" s="1"/>
    </row>
    <row r="9191" ht="50.25" customHeight="1">
      <c r="A9191" s="12">
        <v>9187.0</v>
      </c>
      <c r="B9191" s="13" t="s">
        <v>8699</v>
      </c>
      <c r="C9191" s="18" t="s">
        <v>9217</v>
      </c>
      <c r="D9191" s="1"/>
      <c r="E9191" s="1"/>
      <c r="F9191" s="1" t="str">
        <f>IFERROR(__xludf.DUMMYFUNCTION("GOOGLETRANSLATE(B9191, ""en"", ""fa"")
"),"موفقیت در پادکست")</f>
        <v>موفقیت در پادکست</v>
      </c>
      <c r="G9191" s="1" t="str">
        <f>IFERROR(__xludf.DUMMYFUNCTION("GOOGLETRANSLATE(C9191, ""en"", ""fa"")
"),"نحوه اندازه گیری عملکرد قسمت پادکست بر اساس بازخورد شنوندگان و رتبه بندی در فهرست ها یا پلتفرم های پادکست.")</f>
        <v>نحوه اندازه گیری عملکرد قسمت پادکست بر اساس بازخورد شنوندگان و رتبه بندی در فهرست ها یا پلتفرم های پادکست.</v>
      </c>
      <c r="H9191" s="1"/>
      <c r="I9191" s="1"/>
      <c r="J9191" s="1"/>
      <c r="K9191" s="1"/>
      <c r="L9191" s="1"/>
      <c r="M9191" s="1"/>
      <c r="N9191" s="1"/>
      <c r="O9191" s="1"/>
      <c r="P9191" s="1"/>
      <c r="Q9191" s="1"/>
      <c r="R9191" s="1"/>
      <c r="S9191" s="1"/>
      <c r="T9191" s="1"/>
      <c r="U9191" s="1"/>
      <c r="V9191" s="1"/>
      <c r="W9191" s="1"/>
      <c r="X9191" s="1"/>
      <c r="Y9191" s="1"/>
      <c r="Z9191" s="1"/>
      <c r="AA9191" s="1"/>
      <c r="AB9191" s="1"/>
    </row>
    <row r="9192" ht="50.25" customHeight="1">
      <c r="A9192" s="12">
        <v>9188.0</v>
      </c>
      <c r="B9192" s="13" t="s">
        <v>8699</v>
      </c>
      <c r="C9192" s="18" t="s">
        <v>9218</v>
      </c>
      <c r="D9192" s="1"/>
      <c r="E9192" s="1"/>
      <c r="F9192" s="1" t="str">
        <f>IFERROR(__xludf.DUMMYFUNCTION("GOOGLETRANSLATE(B9192, ""en"", ""fa"")
"),"موفقیت در پادکست")</f>
        <v>موفقیت در پادکست</v>
      </c>
      <c r="G9192" s="1" t="str">
        <f>IFERROR(__xludf.DUMMYFUNCTION("GOOGLETRANSLATE(C9192, ""en"", ""fa"")
"),"استراتژی‌های مختلف کسب درآمد برای پادکست‌ها چیست و چگونه می‌توانید یک مورد مناسب را برای پادکست خود انتخاب کنید؟")</f>
        <v>استراتژی‌های مختلف کسب درآمد برای پادکست‌ها چیست و چگونه می‌توانید یک مورد مناسب را برای پادکست خود انتخاب کنید؟</v>
      </c>
      <c r="H9192" s="1"/>
      <c r="I9192" s="1"/>
      <c r="J9192" s="1"/>
      <c r="K9192" s="1"/>
      <c r="L9192" s="1"/>
      <c r="M9192" s="1"/>
      <c r="N9192" s="1"/>
      <c r="O9192" s="1"/>
      <c r="P9192" s="1"/>
      <c r="Q9192" s="1"/>
      <c r="R9192" s="1"/>
      <c r="S9192" s="1"/>
      <c r="T9192" s="1"/>
      <c r="U9192" s="1"/>
      <c r="V9192" s="1"/>
      <c r="W9192" s="1"/>
      <c r="X9192" s="1"/>
      <c r="Y9192" s="1"/>
      <c r="Z9192" s="1"/>
      <c r="AA9192" s="1"/>
      <c r="AB9192" s="1"/>
    </row>
    <row r="9193" ht="50.25" customHeight="1">
      <c r="A9193" s="12">
        <v>9189.0</v>
      </c>
      <c r="B9193" s="13" t="s">
        <v>8699</v>
      </c>
      <c r="C9193" s="18" t="s">
        <v>9219</v>
      </c>
      <c r="D9193" s="1"/>
      <c r="E9193" s="1"/>
      <c r="F9193" s="1" t="str">
        <f>IFERROR(__xludf.DUMMYFUNCTION("GOOGLETRANSLATE(B9193, ""en"", ""fa"")
"),"موفقیت در پادکست")</f>
        <v>موفقیت در پادکست</v>
      </c>
      <c r="G9193" s="1" t="str">
        <f>IFERROR(__xludf.DUMMYFUNCTION("GOOGLETRANSLATE(C9193, ""en"", ""fa"")
"),"چگونه به طور موثر فرصت های تبلیغاتی و حمایت مالی را برای کسب درآمد از پادکست خود پیاده سازی کنید؟")</f>
        <v>چگونه به طور موثر فرصت های تبلیغاتی و حمایت مالی را برای کسب درآمد از پادکست خود پیاده سازی کنید؟</v>
      </c>
      <c r="H9193" s="1"/>
      <c r="I9193" s="1"/>
      <c r="J9193" s="1"/>
      <c r="K9193" s="1"/>
      <c r="L9193" s="1"/>
      <c r="M9193" s="1"/>
      <c r="N9193" s="1"/>
      <c r="O9193" s="1"/>
      <c r="P9193" s="1"/>
      <c r="Q9193" s="1"/>
      <c r="R9193" s="1"/>
      <c r="S9193" s="1"/>
      <c r="T9193" s="1"/>
      <c r="U9193" s="1"/>
      <c r="V9193" s="1"/>
      <c r="W9193" s="1"/>
      <c r="X9193" s="1"/>
      <c r="Y9193" s="1"/>
      <c r="Z9193" s="1"/>
      <c r="AA9193" s="1"/>
      <c r="AB9193" s="1"/>
    </row>
    <row r="9194" ht="50.25" customHeight="1">
      <c r="A9194" s="12">
        <v>9190.0</v>
      </c>
      <c r="B9194" s="13" t="s">
        <v>8699</v>
      </c>
      <c r="C9194" s="18" t="s">
        <v>9220</v>
      </c>
      <c r="D9194" s="1"/>
      <c r="E9194" s="1"/>
      <c r="F9194" s="1" t="str">
        <f>IFERROR(__xludf.DUMMYFUNCTION("GOOGLETRANSLATE(B9194, ""en"", ""fa"")
"),"موفقیت در پادکست")</f>
        <v>موفقیت در پادکست</v>
      </c>
      <c r="G9194" s="1" t="str">
        <f>IFERROR(__xludf.DUMMYFUNCTION("GOOGLETRANSLATE(C9194, ""en"", ""fa"")
"),"استراتژی های جذب و مذاکره برای حمایت مالی یا مشارکت برند برای پادکست شما چیست؟")</f>
        <v>استراتژی های جذب و مذاکره برای حمایت مالی یا مشارکت برند برای پادکست شما چیست؟</v>
      </c>
      <c r="H9194" s="1"/>
      <c r="I9194" s="1"/>
      <c r="J9194" s="1"/>
      <c r="K9194" s="1"/>
      <c r="L9194" s="1"/>
      <c r="M9194" s="1"/>
      <c r="N9194" s="1"/>
      <c r="O9194" s="1"/>
      <c r="P9194" s="1"/>
      <c r="Q9194" s="1"/>
      <c r="R9194" s="1"/>
      <c r="S9194" s="1"/>
      <c r="T9194" s="1"/>
      <c r="U9194" s="1"/>
      <c r="V9194" s="1"/>
      <c r="W9194" s="1"/>
      <c r="X9194" s="1"/>
      <c r="Y9194" s="1"/>
      <c r="Z9194" s="1"/>
      <c r="AA9194" s="1"/>
      <c r="AB9194" s="1"/>
    </row>
    <row r="9195" ht="50.25" customHeight="1">
      <c r="A9195" s="12">
        <v>9191.0</v>
      </c>
      <c r="B9195" s="13" t="s">
        <v>8699</v>
      </c>
      <c r="C9195" s="18" t="s">
        <v>9221</v>
      </c>
      <c r="D9195" s="1"/>
      <c r="E9195" s="1"/>
      <c r="F9195" s="1" t="str">
        <f>IFERROR(__xludf.DUMMYFUNCTION("GOOGLETRANSLATE(B9195, ""en"", ""fa"")
"),"موفقیت در پادکست")</f>
        <v>موفقیت در پادکست</v>
      </c>
      <c r="G9195" s="1" t="str">
        <f>IFERROR(__xludf.DUMMYFUNCTION("GOOGLETRANSLATE(C9195, ""en"", ""fa"")
"),"چگونه می‌توانید آگهی‌های جذاب و مؤثری ایجاد کنید یا اشاره‌های حامیان مالی را ایجاد کنید که در بین مخاطبان شما طنین‌انداز شده و درآمد ایجاد کند؟")</f>
        <v>چگونه می‌توانید آگهی‌های جذاب و مؤثری ایجاد کنید یا اشاره‌های حامیان مالی را ایجاد کنید که در بین مخاطبان شما طنین‌انداز شده و درآمد ایجاد کند؟</v>
      </c>
      <c r="H9195" s="1"/>
      <c r="I9195" s="1"/>
      <c r="J9195" s="1"/>
      <c r="K9195" s="1"/>
      <c r="L9195" s="1"/>
      <c r="M9195" s="1"/>
      <c r="N9195" s="1"/>
      <c r="O9195" s="1"/>
      <c r="P9195" s="1"/>
      <c r="Q9195" s="1"/>
      <c r="R9195" s="1"/>
      <c r="S9195" s="1"/>
      <c r="T9195" s="1"/>
      <c r="U9195" s="1"/>
      <c r="V9195" s="1"/>
      <c r="W9195" s="1"/>
      <c r="X9195" s="1"/>
      <c r="Y9195" s="1"/>
      <c r="Z9195" s="1"/>
      <c r="AA9195" s="1"/>
      <c r="AB9195" s="1"/>
    </row>
    <row r="9196" ht="50.25" customHeight="1">
      <c r="A9196" s="12">
        <v>9192.0</v>
      </c>
      <c r="B9196" s="13" t="s">
        <v>8699</v>
      </c>
      <c r="C9196" s="18" t="s">
        <v>9222</v>
      </c>
      <c r="D9196" s="1"/>
      <c r="E9196" s="1"/>
      <c r="F9196" s="1" t="str">
        <f>IFERROR(__xludf.DUMMYFUNCTION("GOOGLETRANSLATE(B9196, ""en"", ""fa"")
"),"موفقیت در پادکست")</f>
        <v>موفقیت در پادکست</v>
      </c>
      <c r="G9196" s="1" t="str">
        <f>IFERROR(__xludf.DUMMYFUNCTION("GOOGLETRANSLATE(C9196, ""en"", ""fa"")
"),"تکنیک‌های اعمال نفوذ برنامه‌های بازاریابی وابسته برای کسب درآمد از طریق توصیه‌ها و تأیید محصول چیست؟")</f>
        <v>تکنیک‌های اعمال نفوذ برنامه‌های بازاریابی وابسته برای کسب درآمد از طریق توصیه‌ها و تأیید محصول چیست؟</v>
      </c>
      <c r="H9196" s="1"/>
      <c r="I9196" s="1"/>
      <c r="J9196" s="1"/>
      <c r="K9196" s="1"/>
      <c r="L9196" s="1"/>
      <c r="M9196" s="1"/>
      <c r="N9196" s="1"/>
      <c r="O9196" s="1"/>
      <c r="P9196" s="1"/>
      <c r="Q9196" s="1"/>
      <c r="R9196" s="1"/>
      <c r="S9196" s="1"/>
      <c r="T9196" s="1"/>
      <c r="U9196" s="1"/>
      <c r="V9196" s="1"/>
      <c r="W9196" s="1"/>
      <c r="X9196" s="1"/>
      <c r="Y9196" s="1"/>
      <c r="Z9196" s="1"/>
      <c r="AA9196" s="1"/>
      <c r="AB9196" s="1"/>
    </row>
    <row r="9197" ht="50.25" customHeight="1">
      <c r="A9197" s="12">
        <v>9193.0</v>
      </c>
      <c r="B9197" s="13" t="s">
        <v>8699</v>
      </c>
      <c r="C9197" s="18" t="s">
        <v>9223</v>
      </c>
      <c r="D9197" s="1"/>
      <c r="E9197" s="1"/>
      <c r="F9197" s="1" t="str">
        <f>IFERROR(__xludf.DUMMYFUNCTION("GOOGLETRANSLATE(B9197, ""en"", ""fa"")
"),"موفقیت در پادکست")</f>
        <v>موفقیت در پادکست</v>
      </c>
      <c r="G9197" s="1" t="str">
        <f>IFERROR(__xludf.DUMMYFUNCTION("GOOGLETRANSLATE(C9197, ""en"", ""fa"")
"),"چگونه کالا یا محصولات مرتبط با پادکست خود را توسعه داده و بفروشیم تا جریان درآمد اضافی ایجاد کنیم؟")</f>
        <v>چگونه کالا یا محصولات مرتبط با پادکست خود را توسعه داده و بفروشیم تا جریان درآمد اضافی ایجاد کنیم؟</v>
      </c>
      <c r="H9197" s="1"/>
      <c r="I9197" s="1"/>
      <c r="J9197" s="1"/>
      <c r="K9197" s="1"/>
      <c r="L9197" s="1"/>
      <c r="M9197" s="1"/>
      <c r="N9197" s="1"/>
      <c r="O9197" s="1"/>
      <c r="P9197" s="1"/>
      <c r="Q9197" s="1"/>
      <c r="R9197" s="1"/>
      <c r="S9197" s="1"/>
      <c r="T9197" s="1"/>
      <c r="U9197" s="1"/>
      <c r="V9197" s="1"/>
      <c r="W9197" s="1"/>
      <c r="X9197" s="1"/>
      <c r="Y9197" s="1"/>
      <c r="Z9197" s="1"/>
      <c r="AA9197" s="1"/>
      <c r="AB9197" s="1"/>
    </row>
    <row r="9198" ht="50.25" customHeight="1">
      <c r="A9198" s="12">
        <v>9194.0</v>
      </c>
      <c r="B9198" s="13" t="s">
        <v>8699</v>
      </c>
      <c r="C9198" s="18" t="s">
        <v>9224</v>
      </c>
      <c r="D9198" s="1"/>
      <c r="E9198" s="1"/>
      <c r="F9198" s="1" t="str">
        <f>IFERROR(__xludf.DUMMYFUNCTION("GOOGLETRANSLATE(B9198, ""en"", ""fa"")
"),"موفقیت در پادکست")</f>
        <v>موفقیت در پادکست</v>
      </c>
      <c r="G9198" s="1" t="str">
        <f>IFERROR(__xludf.DUMMYFUNCTION("GOOGLETRANSLATE(C9198, ""en"", ""fa"")
"),"استراتژی‌های راه‌اندازی یک کمپین سرمایه‌گذاری جمعی موفق برای ایجاد حمایت مالی از مخاطبان پادکست چیست؟")</f>
        <v>استراتژی‌های راه‌اندازی یک کمپین سرمایه‌گذاری جمعی موفق برای ایجاد حمایت مالی از مخاطبان پادکست چیست؟</v>
      </c>
      <c r="H9198" s="1"/>
      <c r="I9198" s="1"/>
      <c r="J9198" s="1"/>
      <c r="K9198" s="1"/>
      <c r="L9198" s="1"/>
      <c r="M9198" s="1"/>
      <c r="N9198" s="1"/>
      <c r="O9198" s="1"/>
      <c r="P9198" s="1"/>
      <c r="Q9198" s="1"/>
      <c r="R9198" s="1"/>
      <c r="S9198" s="1"/>
      <c r="T9198" s="1"/>
      <c r="U9198" s="1"/>
      <c r="V9198" s="1"/>
      <c r="W9198" s="1"/>
      <c r="X9198" s="1"/>
      <c r="Y9198" s="1"/>
      <c r="Z9198" s="1"/>
      <c r="AA9198" s="1"/>
      <c r="AB9198" s="1"/>
    </row>
    <row r="9199" ht="50.25" customHeight="1">
      <c r="A9199" s="12">
        <v>9195.0</v>
      </c>
      <c r="B9199" s="13" t="s">
        <v>8699</v>
      </c>
      <c r="C9199" s="18" t="s">
        <v>9225</v>
      </c>
      <c r="D9199" s="1"/>
      <c r="E9199" s="1"/>
      <c r="F9199" s="1" t="str">
        <f>IFERROR(__xludf.DUMMYFUNCTION("GOOGLETRANSLATE(B9199, ""en"", ""fa"")
"),"موفقیت در پادکست")</f>
        <v>موفقیت در پادکست</v>
      </c>
      <c r="G9199" s="1" t="str">
        <f>IFERROR(__xludf.DUMMYFUNCTION("GOOGLETRANSLATE(C9199, ""en"", ""fa"")
"),"چگونه می توان از Patreon یا دیگر پلتفرم های عضویت برای کسب درآمد از پادکست خود از طریق محتوای انحصاری و مزایای حامیان استفاده کرد؟")</f>
        <v>چگونه می توان از Patreon یا دیگر پلتفرم های عضویت برای کسب درآمد از پادکست خود از طریق محتوای انحصاری و مزایای حامیان استفاده کرد؟</v>
      </c>
      <c r="H9199" s="1"/>
      <c r="I9199" s="1"/>
      <c r="J9199" s="1"/>
      <c r="K9199" s="1"/>
      <c r="L9199" s="1"/>
      <c r="M9199" s="1"/>
      <c r="N9199" s="1"/>
      <c r="O9199" s="1"/>
      <c r="P9199" s="1"/>
      <c r="Q9199" s="1"/>
      <c r="R9199" s="1"/>
      <c r="S9199" s="1"/>
      <c r="T9199" s="1"/>
      <c r="U9199" s="1"/>
      <c r="V9199" s="1"/>
      <c r="W9199" s="1"/>
      <c r="X9199" s="1"/>
      <c r="Y9199" s="1"/>
      <c r="Z9199" s="1"/>
      <c r="AA9199" s="1"/>
      <c r="AB9199" s="1"/>
    </row>
    <row r="9200" ht="50.25" customHeight="1">
      <c r="A9200" s="12">
        <v>9196.0</v>
      </c>
      <c r="B9200" s="13" t="s">
        <v>8699</v>
      </c>
      <c r="C9200" s="18" t="s">
        <v>9226</v>
      </c>
      <c r="D9200" s="1"/>
      <c r="E9200" s="1"/>
      <c r="F9200" s="1" t="str">
        <f>IFERROR(__xludf.DUMMYFUNCTION("GOOGLETRANSLATE(B9200, ""en"", ""fa"")
"),"موفقیت در پادکست")</f>
        <v>موفقیت در پادکست</v>
      </c>
      <c r="G9200" s="1" t="str">
        <f>IFERROR(__xludf.DUMMYFUNCTION("GOOGLETRANSLATE(C9200, ""en"", ""fa"")
"),"تکنیک های ایجاد و فروش محتوای یا قسمت های برتر برای کسب درآمد از شنوندگان اختصاصی چیست؟")</f>
        <v>تکنیک های ایجاد و فروش محتوای یا قسمت های برتر برای کسب درآمد از شنوندگان اختصاصی چیست؟</v>
      </c>
      <c r="H9200" s="1"/>
      <c r="I9200" s="1"/>
      <c r="J9200" s="1"/>
      <c r="K9200" s="1"/>
      <c r="L9200" s="1"/>
      <c r="M9200" s="1"/>
      <c r="N9200" s="1"/>
      <c r="O9200" s="1"/>
      <c r="P9200" s="1"/>
      <c r="Q9200" s="1"/>
      <c r="R9200" s="1"/>
      <c r="S9200" s="1"/>
      <c r="T9200" s="1"/>
      <c r="U9200" s="1"/>
      <c r="V9200" s="1"/>
      <c r="W9200" s="1"/>
      <c r="X9200" s="1"/>
      <c r="Y9200" s="1"/>
      <c r="Z9200" s="1"/>
      <c r="AA9200" s="1"/>
      <c r="AB9200" s="1"/>
    </row>
    <row r="9201" ht="50.25" customHeight="1">
      <c r="A9201" s="12">
        <v>9197.0</v>
      </c>
      <c r="B9201" s="13" t="s">
        <v>8699</v>
      </c>
      <c r="C9201" s="18" t="s">
        <v>9227</v>
      </c>
      <c r="D9201" s="1"/>
      <c r="E9201" s="1"/>
      <c r="F9201" s="1" t="str">
        <f>IFERROR(__xludf.DUMMYFUNCTION("GOOGLETRANSLATE(B9201, ""en"", ""fa"")
"),"موفقیت در پادکست")</f>
        <v>موفقیت در پادکست</v>
      </c>
      <c r="G9201" s="1" t="str">
        <f>IFERROR(__xludf.DUMMYFUNCTION("GOOGLETRANSLATE(C9201, ""en"", ""fa"")
"),"چگونه از مخاطبان پادکست و تخصص خود برای ارائه خدمات مشاوره، مربیگری یا سایر خدمات با هزینه استفاده کنید؟")</f>
        <v>چگونه از مخاطبان پادکست و تخصص خود برای ارائه خدمات مشاوره، مربیگری یا سایر خدمات با هزینه استفاده کنید؟</v>
      </c>
      <c r="H9201" s="1"/>
      <c r="I9201" s="1"/>
      <c r="J9201" s="1"/>
      <c r="K9201" s="1"/>
      <c r="L9201" s="1"/>
      <c r="M9201" s="1"/>
      <c r="N9201" s="1"/>
      <c r="O9201" s="1"/>
      <c r="P9201" s="1"/>
      <c r="Q9201" s="1"/>
      <c r="R9201" s="1"/>
      <c r="S9201" s="1"/>
      <c r="T9201" s="1"/>
      <c r="U9201" s="1"/>
      <c r="V9201" s="1"/>
      <c r="W9201" s="1"/>
      <c r="X9201" s="1"/>
      <c r="Y9201" s="1"/>
      <c r="Z9201" s="1"/>
      <c r="AA9201" s="1"/>
      <c r="AB9201" s="1"/>
    </row>
    <row r="9202" ht="50.25" customHeight="1">
      <c r="A9202" s="12">
        <v>9198.0</v>
      </c>
      <c r="B9202" s="13" t="s">
        <v>8699</v>
      </c>
      <c r="C9202" s="18" t="s">
        <v>9228</v>
      </c>
      <c r="D9202" s="1"/>
      <c r="E9202" s="1"/>
      <c r="F9202" s="1" t="str">
        <f>IFERROR(__xludf.DUMMYFUNCTION("GOOGLETRANSLATE(B9202, ""en"", ""fa"")
"),"موفقیت در پادکست")</f>
        <v>موفقیت در پادکست</v>
      </c>
      <c r="G9202" s="1" t="str">
        <f>IFERROR(__xludf.DUMMYFUNCTION("GOOGLETRANSLATE(C9202, ""en"", ""fa"")
"),"استراتژی‌های استفاده از رویدادهای زنده، کارگاه‌ها یا کنفرانس‌ها برای کسب درآمد و تعامل با مخاطبان پادکست چیست؟")</f>
        <v>استراتژی‌های استفاده از رویدادهای زنده، کارگاه‌ها یا کنفرانس‌ها برای کسب درآمد و تعامل با مخاطبان پادکست چیست؟</v>
      </c>
      <c r="H9202" s="1"/>
      <c r="I9202" s="1"/>
      <c r="J9202" s="1"/>
      <c r="K9202" s="1"/>
      <c r="L9202" s="1"/>
      <c r="M9202" s="1"/>
      <c r="N9202" s="1"/>
      <c r="O9202" s="1"/>
      <c r="P9202" s="1"/>
      <c r="Q9202" s="1"/>
      <c r="R9202" s="1"/>
      <c r="S9202" s="1"/>
      <c r="T9202" s="1"/>
      <c r="U9202" s="1"/>
      <c r="V9202" s="1"/>
      <c r="W9202" s="1"/>
      <c r="X9202" s="1"/>
      <c r="Y9202" s="1"/>
      <c r="Z9202" s="1"/>
      <c r="AA9202" s="1"/>
      <c r="AB9202" s="1"/>
    </row>
    <row r="9203" ht="50.25" customHeight="1">
      <c r="A9203" s="12">
        <v>9199.0</v>
      </c>
      <c r="B9203" s="13" t="s">
        <v>8699</v>
      </c>
      <c r="C9203" s="18" t="s">
        <v>9229</v>
      </c>
      <c r="D9203" s="1"/>
      <c r="E9203" s="1"/>
      <c r="F9203" s="1" t="str">
        <f>IFERROR(__xludf.DUMMYFUNCTION("GOOGLETRANSLATE(B9203, ""en"", ""fa"")
"),"موفقیت در پادکست")</f>
        <v>موفقیت در پادکست</v>
      </c>
      <c r="G9203" s="1" t="str">
        <f>IFERROR(__xludf.DUMMYFUNCTION("GOOGLETRANSLATE(C9203, ""en"", ""fa"")
"),"چگونه می توان به طور موثر تبلیغات پیش از پخش و میان فیلم را در قسمت های پادکست خود پیاده سازی کرد تا بدون قربانی کردن تجربه شنونده، درآمد کسب کند؟")</f>
        <v>چگونه می توان به طور موثر تبلیغات پیش از پخش و میان فیلم را در قسمت های پادکست خود پیاده سازی کرد تا بدون قربانی کردن تجربه شنونده، درآمد کسب کند؟</v>
      </c>
      <c r="H9203" s="1"/>
      <c r="I9203" s="1"/>
      <c r="J9203" s="1"/>
      <c r="K9203" s="1"/>
      <c r="L9203" s="1"/>
      <c r="M9203" s="1"/>
      <c r="N9203" s="1"/>
      <c r="O9203" s="1"/>
      <c r="P9203" s="1"/>
      <c r="Q9203" s="1"/>
      <c r="R9203" s="1"/>
      <c r="S9203" s="1"/>
      <c r="T9203" s="1"/>
      <c r="U9203" s="1"/>
      <c r="V9203" s="1"/>
      <c r="W9203" s="1"/>
      <c r="X9203" s="1"/>
      <c r="Y9203" s="1"/>
      <c r="Z9203" s="1"/>
      <c r="AA9203" s="1"/>
      <c r="AB9203" s="1"/>
    </row>
    <row r="9204" ht="50.25" customHeight="1">
      <c r="A9204" s="12">
        <v>9200.0</v>
      </c>
      <c r="B9204" s="13" t="s">
        <v>8699</v>
      </c>
      <c r="C9204" s="18" t="s">
        <v>9230</v>
      </c>
      <c r="D9204" s="1"/>
      <c r="E9204" s="1"/>
      <c r="F9204" s="1" t="str">
        <f>IFERROR(__xludf.DUMMYFUNCTION("GOOGLETRANSLATE(B9204, ""en"", ""fa"")
"),"موفقیت در پادکست")</f>
        <v>موفقیت در پادکست</v>
      </c>
      <c r="G9204" s="1" t="str">
        <f>IFERROR(__xludf.DUMMYFUNCTION("GOOGLETRANSLATE(C9204, ""en"", ""fa"")
"),"تکنیک های استفاده از فناوری درج تبلیغات پویا برای بهینه سازی هدف گذاری تبلیغات و درآمدزایی در قسمت های پادکست شما چیست؟")</f>
        <v>تکنیک های استفاده از فناوری درج تبلیغات پویا برای بهینه سازی هدف گذاری تبلیغات و درآمدزایی در قسمت های پادکست شما چیست؟</v>
      </c>
      <c r="H9204" s="1"/>
      <c r="I9204" s="1"/>
      <c r="J9204" s="1"/>
      <c r="K9204" s="1"/>
      <c r="L9204" s="1"/>
      <c r="M9204" s="1"/>
      <c r="N9204" s="1"/>
      <c r="O9204" s="1"/>
      <c r="P9204" s="1"/>
      <c r="Q9204" s="1"/>
      <c r="R9204" s="1"/>
      <c r="S9204" s="1"/>
      <c r="T9204" s="1"/>
      <c r="U9204" s="1"/>
      <c r="V9204" s="1"/>
      <c r="W9204" s="1"/>
      <c r="X9204" s="1"/>
      <c r="Y9204" s="1"/>
      <c r="Z9204" s="1"/>
      <c r="AA9204" s="1"/>
      <c r="AB9204" s="1"/>
    </row>
    <row r="9205" ht="50.25" customHeight="1">
      <c r="A9205" s="12">
        <v>9201.0</v>
      </c>
      <c r="B9205" s="13" t="s">
        <v>8699</v>
      </c>
      <c r="C9205" s="18" t="s">
        <v>9231</v>
      </c>
      <c r="D9205" s="1"/>
      <c r="E9205" s="1"/>
      <c r="F9205" s="1" t="str">
        <f>IFERROR(__xludf.DUMMYFUNCTION("GOOGLETRANSLATE(B9205, ""en"", ""fa"")
"),"موفقیت در پادکست")</f>
        <v>موفقیت در پادکست</v>
      </c>
      <c r="G9205" s="1" t="str">
        <f>IFERROR(__xludf.DUMMYFUNCTION("GOOGLETRANSLATE(C9205, ""en"", ""fa"")
"),"چگونه از پادکست خود از طریق محتوای حمایت شده یا بخش های مارک دار که با جایگاه پادکست و علایق مخاطبان شما هماهنگی دارند، درآمد کسب کنید؟")</f>
        <v>چگونه از پادکست خود از طریق محتوای حمایت شده یا بخش های مارک دار که با جایگاه پادکست و علایق مخاطبان شما هماهنگی دارند، درآمد کسب کنید؟</v>
      </c>
      <c r="H9205" s="1"/>
      <c r="I9205" s="1"/>
      <c r="J9205" s="1"/>
      <c r="K9205" s="1"/>
      <c r="L9205" s="1"/>
      <c r="M9205" s="1"/>
      <c r="N9205" s="1"/>
      <c r="O9205" s="1"/>
      <c r="P9205" s="1"/>
      <c r="Q9205" s="1"/>
      <c r="R9205" s="1"/>
      <c r="S9205" s="1"/>
      <c r="T9205" s="1"/>
      <c r="U9205" s="1"/>
      <c r="V9205" s="1"/>
      <c r="W9205" s="1"/>
      <c r="X9205" s="1"/>
      <c r="Y9205" s="1"/>
      <c r="Z9205" s="1"/>
      <c r="AA9205" s="1"/>
      <c r="AB9205" s="1"/>
    </row>
    <row r="9206" ht="50.25" customHeight="1">
      <c r="A9206" s="12">
        <v>9202.0</v>
      </c>
      <c r="B9206" s="13" t="s">
        <v>8699</v>
      </c>
      <c r="C9206" s="18" t="s">
        <v>9232</v>
      </c>
      <c r="D9206" s="1"/>
      <c r="E9206" s="1"/>
      <c r="F9206" s="1" t="str">
        <f>IFERROR(__xludf.DUMMYFUNCTION("GOOGLETRANSLATE(B9206, ""en"", ""fa"")
"),"موفقیت در پادکست")</f>
        <v>موفقیت در پادکست</v>
      </c>
      <c r="G9206" s="1" t="str">
        <f>IFERROR(__xludf.DUMMYFUNCTION("GOOGLETRANSLATE(C9206, ""en"", ""fa"")
"),"استراتژی‌هایی برای اعمال نفوذ پادکست و دسترسی مخاطبان برای مذاکره با نرخ‌های بالاتر برای معاملات تبلیغاتی و حمایت مالی چیست؟")</f>
        <v>استراتژی‌هایی برای اعمال نفوذ پادکست و دسترسی مخاطبان برای مذاکره با نرخ‌های بالاتر برای معاملات تبلیغاتی و حمایت مالی چیست؟</v>
      </c>
      <c r="H9206" s="1"/>
      <c r="I9206" s="1"/>
      <c r="J9206" s="1"/>
      <c r="K9206" s="1"/>
      <c r="L9206" s="1"/>
      <c r="M9206" s="1"/>
      <c r="N9206" s="1"/>
      <c r="O9206" s="1"/>
      <c r="P9206" s="1"/>
      <c r="Q9206" s="1"/>
      <c r="R9206" s="1"/>
      <c r="S9206" s="1"/>
      <c r="T9206" s="1"/>
      <c r="U9206" s="1"/>
      <c r="V9206" s="1"/>
      <c r="W9206" s="1"/>
      <c r="X9206" s="1"/>
      <c r="Y9206" s="1"/>
      <c r="Z9206" s="1"/>
      <c r="AA9206" s="1"/>
      <c r="AB9206" s="1"/>
    </row>
    <row r="9207" ht="50.25" customHeight="1">
      <c r="A9207" s="12">
        <v>9203.0</v>
      </c>
      <c r="B9207" s="13" t="s">
        <v>8699</v>
      </c>
      <c r="C9207" s="18" t="s">
        <v>9233</v>
      </c>
      <c r="D9207" s="1"/>
      <c r="E9207" s="1"/>
      <c r="F9207" s="1" t="str">
        <f>IFERROR(__xludf.DUMMYFUNCTION("GOOGLETRANSLATE(B9207, ""en"", ""fa"")
"),"موفقیت در پادکست")</f>
        <v>موفقیت در پادکست</v>
      </c>
      <c r="G9207" s="1" t="str">
        <f>IFERROR(__xludf.DUMMYFUNCTION("GOOGLETRANSLATE(C9207, ""en"", ""fa"")
"),"چگونه یک ساختار قیمت‌گذاری سطحی یا مدل اشتراک ممتاز را برای پادکست خود پیاده‌سازی کنید تا امتیازات اضافی را ارائه دهید و درآمد تکراری ایجاد کنید؟")</f>
        <v>چگونه یک ساختار قیمت‌گذاری سطحی یا مدل اشتراک ممتاز را برای پادکست خود پیاده‌سازی کنید تا امتیازات اضافی را ارائه دهید و درآمد تکراری ایجاد کنید؟</v>
      </c>
      <c r="H9207" s="1"/>
      <c r="I9207" s="1"/>
      <c r="J9207" s="1"/>
      <c r="K9207" s="1"/>
      <c r="L9207" s="1"/>
      <c r="M9207" s="1"/>
      <c r="N9207" s="1"/>
      <c r="O9207" s="1"/>
      <c r="P9207" s="1"/>
      <c r="Q9207" s="1"/>
      <c r="R9207" s="1"/>
      <c r="S9207" s="1"/>
      <c r="T9207" s="1"/>
      <c r="U9207" s="1"/>
      <c r="V9207" s="1"/>
      <c r="W9207" s="1"/>
      <c r="X9207" s="1"/>
      <c r="Y9207" s="1"/>
      <c r="Z9207" s="1"/>
      <c r="AA9207" s="1"/>
      <c r="AB9207" s="1"/>
    </row>
    <row r="9208" ht="50.25" customHeight="1">
      <c r="A9208" s="12">
        <v>9204.0</v>
      </c>
      <c r="B9208" s="13" t="s">
        <v>8699</v>
      </c>
      <c r="C9208" s="18" t="s">
        <v>9234</v>
      </c>
      <c r="D9208" s="1"/>
      <c r="E9208" s="1"/>
      <c r="F9208" s="1" t="str">
        <f>IFERROR(__xludf.DUMMYFUNCTION("GOOGLETRANSLATE(B9208, ""en"", ""fa"")
"),"موفقیت در پادکست")</f>
        <v>موفقیت در پادکست</v>
      </c>
      <c r="G9208" s="1" t="str">
        <f>IFERROR(__xludf.DUMMYFUNCTION("GOOGLETRANSLATE(C9208, ""en"", ""fa"")
"),"تکنیک های استفاده از حضور مهمان یا همکاری در پادکست های دیگر برای افزایش در معرض دید و درآمد پادکست شما چیست؟")</f>
        <v>تکنیک های استفاده از حضور مهمان یا همکاری در پادکست های دیگر برای افزایش در معرض دید و درآمد پادکست شما چیست؟</v>
      </c>
      <c r="H9208" s="1"/>
      <c r="I9208" s="1"/>
      <c r="J9208" s="1"/>
      <c r="K9208" s="1"/>
      <c r="L9208" s="1"/>
      <c r="M9208" s="1"/>
      <c r="N9208" s="1"/>
      <c r="O9208" s="1"/>
      <c r="P9208" s="1"/>
      <c r="Q9208" s="1"/>
      <c r="R9208" s="1"/>
      <c r="S9208" s="1"/>
      <c r="T9208" s="1"/>
      <c r="U9208" s="1"/>
      <c r="V9208" s="1"/>
      <c r="W9208" s="1"/>
      <c r="X9208" s="1"/>
      <c r="Y9208" s="1"/>
      <c r="Z9208" s="1"/>
      <c r="AA9208" s="1"/>
      <c r="AB9208" s="1"/>
    </row>
    <row r="9209" ht="50.25" customHeight="1">
      <c r="A9209" s="12">
        <v>9205.0</v>
      </c>
      <c r="B9209" s="13" t="s">
        <v>8699</v>
      </c>
      <c r="C9209" s="18" t="s">
        <v>9235</v>
      </c>
      <c r="D9209" s="1"/>
      <c r="E9209" s="1"/>
      <c r="F9209" s="1" t="str">
        <f>IFERROR(__xludf.DUMMYFUNCTION("GOOGLETRANSLATE(B9209, ""en"", ""fa"")
"),"موفقیت در پادکست")</f>
        <v>موفقیت در پادکست</v>
      </c>
      <c r="G9209" s="1" t="str">
        <f>IFERROR(__xludf.DUMMYFUNCTION("GOOGLETRANSLATE(C9209, ""en"", ""fa"")
"),"چگونه از داده های مخاطبین پادکست و تجزیه و تحلیل آن برای جذب تبلیغ کنندگان و نشان دادن ارزش شراکت با پادکست خود استفاده کنید؟")</f>
        <v>چگونه از داده های مخاطبین پادکست و تجزیه و تحلیل آن برای جذب تبلیغ کنندگان و نشان دادن ارزش شراکت با پادکست خود استفاده کنید؟</v>
      </c>
      <c r="H9209" s="1"/>
      <c r="I9209" s="1"/>
      <c r="J9209" s="1"/>
      <c r="K9209" s="1"/>
      <c r="L9209" s="1"/>
      <c r="M9209" s="1"/>
      <c r="N9209" s="1"/>
      <c r="O9209" s="1"/>
      <c r="P9209" s="1"/>
      <c r="Q9209" s="1"/>
      <c r="R9209" s="1"/>
      <c r="S9209" s="1"/>
      <c r="T9209" s="1"/>
      <c r="U9209" s="1"/>
      <c r="V9209" s="1"/>
      <c r="W9209" s="1"/>
      <c r="X9209" s="1"/>
      <c r="Y9209" s="1"/>
      <c r="Z9209" s="1"/>
      <c r="AA9209" s="1"/>
      <c r="AB9209" s="1"/>
    </row>
    <row r="9210" ht="50.25" customHeight="1">
      <c r="A9210" s="12">
        <v>9206.0</v>
      </c>
      <c r="B9210" s="13" t="s">
        <v>8699</v>
      </c>
      <c r="C9210" s="18" t="s">
        <v>9236</v>
      </c>
      <c r="D9210" s="1"/>
      <c r="E9210" s="1"/>
      <c r="F9210" s="1" t="str">
        <f>IFERROR(__xludf.DUMMYFUNCTION("GOOGLETRANSLATE(B9210, ""en"", ""fa"")
"),"موفقیت در پادکست")</f>
        <v>موفقیت در پادکست</v>
      </c>
      <c r="G9210" s="1" t="str">
        <f>IFERROR(__xludf.DUMMYFUNCTION("GOOGLETRANSLATE(C9210, ""en"", ""fa"")
"),"راهبردهای استفاده از پیوند محتوا یا معاملات مجوز برای گسترش دامنه پادکست و ایجاد درآمد اضافی چیست؟")</f>
        <v>راهبردهای استفاده از پیوند محتوا یا معاملات مجوز برای گسترش دامنه پادکست و ایجاد درآمد اضافی چیست؟</v>
      </c>
      <c r="H9210" s="1"/>
      <c r="I9210" s="1"/>
      <c r="J9210" s="1"/>
      <c r="K9210" s="1"/>
      <c r="L9210" s="1"/>
      <c r="M9210" s="1"/>
      <c r="N9210" s="1"/>
      <c r="O9210" s="1"/>
      <c r="P9210" s="1"/>
      <c r="Q9210" s="1"/>
      <c r="R9210" s="1"/>
      <c r="S9210" s="1"/>
      <c r="T9210" s="1"/>
      <c r="U9210" s="1"/>
      <c r="V9210" s="1"/>
      <c r="W9210" s="1"/>
      <c r="X9210" s="1"/>
      <c r="Y9210" s="1"/>
      <c r="Z9210" s="1"/>
      <c r="AA9210" s="1"/>
      <c r="AB9210" s="1"/>
    </row>
    <row r="9211" ht="50.25" customHeight="1">
      <c r="A9211" s="12">
        <v>9207.0</v>
      </c>
      <c r="B9211" s="13" t="s">
        <v>8699</v>
      </c>
      <c r="C9211" s="18" t="s">
        <v>9237</v>
      </c>
      <c r="D9211" s="1"/>
      <c r="E9211" s="1"/>
      <c r="F9211" s="1" t="str">
        <f>IFERROR(__xludf.DUMMYFUNCTION("GOOGLETRANSLATE(B9211, ""en"", ""fa"")
"),"موفقیت در پادکست")</f>
        <v>موفقیت در پادکست</v>
      </c>
      <c r="G9211" s="1" t="str">
        <f>IFERROR(__xludf.DUMMYFUNCTION("GOOGLETRANSLATE(C9211, ""en"", ""fa"")
"),"چگونه وب سایت یا صفحه فرود پادکست خود را برای کسب درآمد موثر از طریق تبلیغات نمایشی، پیوندهای وابسته یا محتوای حمایت شده بهینه کنیم؟")</f>
        <v>چگونه وب سایت یا صفحه فرود پادکست خود را برای کسب درآمد موثر از طریق تبلیغات نمایشی، پیوندهای وابسته یا محتوای حمایت شده بهینه کنیم؟</v>
      </c>
      <c r="H9211" s="1"/>
      <c r="I9211" s="1"/>
      <c r="J9211" s="1"/>
      <c r="K9211" s="1"/>
      <c r="L9211" s="1"/>
      <c r="M9211" s="1"/>
      <c r="N9211" s="1"/>
      <c r="O9211" s="1"/>
      <c r="P9211" s="1"/>
      <c r="Q9211" s="1"/>
      <c r="R9211" s="1"/>
      <c r="S9211" s="1"/>
      <c r="T9211" s="1"/>
      <c r="U9211" s="1"/>
      <c r="V9211" s="1"/>
      <c r="W9211" s="1"/>
      <c r="X9211" s="1"/>
      <c r="Y9211" s="1"/>
      <c r="Z9211" s="1"/>
      <c r="AA9211" s="1"/>
      <c r="AB9211" s="1"/>
    </row>
    <row r="9212" ht="50.25" customHeight="1">
      <c r="A9212" s="12">
        <v>9208.0</v>
      </c>
      <c r="B9212" s="13" t="s">
        <v>8699</v>
      </c>
      <c r="C9212" s="18" t="s">
        <v>9238</v>
      </c>
      <c r="D9212" s="1"/>
      <c r="E9212" s="1"/>
      <c r="F9212" s="1" t="str">
        <f>IFERROR(__xludf.DUMMYFUNCTION("GOOGLETRANSLATE(B9212, ""en"", ""fa"")
"),"موفقیت در پادکست")</f>
        <v>موفقیت در پادکست</v>
      </c>
      <c r="G9212" s="1" t="str">
        <f>IFERROR(__xludf.DUMMYFUNCTION("GOOGLETRANSLATE(C9212, ""en"", ""fa"")
"),"تکنیک‌های گنجاندن مسابقات یا هدایای حمایت‌شده در قسمت‌های پادکست برای درآمدزایی و جذب مخاطب چیست؟")</f>
        <v>تکنیک‌های گنجاندن مسابقات یا هدایای حمایت‌شده در قسمت‌های پادکست برای درآمدزایی و جذب مخاطب چیست؟</v>
      </c>
      <c r="H9212" s="1"/>
      <c r="I9212" s="1"/>
      <c r="J9212" s="1"/>
      <c r="K9212" s="1"/>
      <c r="L9212" s="1"/>
      <c r="M9212" s="1"/>
      <c r="N9212" s="1"/>
      <c r="O9212" s="1"/>
      <c r="P9212" s="1"/>
      <c r="Q9212" s="1"/>
      <c r="R9212" s="1"/>
      <c r="S9212" s="1"/>
      <c r="T9212" s="1"/>
      <c r="U9212" s="1"/>
      <c r="V9212" s="1"/>
      <c r="W9212" s="1"/>
      <c r="X9212" s="1"/>
      <c r="Y9212" s="1"/>
      <c r="Z9212" s="1"/>
      <c r="AA9212" s="1"/>
      <c r="AB9212" s="1"/>
    </row>
    <row r="9213" ht="50.25" customHeight="1">
      <c r="A9213" s="12">
        <v>9209.0</v>
      </c>
      <c r="B9213" s="13" t="s">
        <v>8699</v>
      </c>
      <c r="C9213" s="18" t="s">
        <v>9239</v>
      </c>
      <c r="D9213" s="1"/>
      <c r="E9213" s="1"/>
      <c r="F9213" s="1" t="str">
        <f>IFERROR(__xludf.DUMMYFUNCTION("GOOGLETRANSLATE(B9213, ""en"", ""fa"")
"),"موفقیت در پادکست")</f>
        <v>موفقیت در پادکست</v>
      </c>
      <c r="G9213" s="1" t="str">
        <f>IFERROR(__xludf.DUMMYFUNCTION("GOOGLETRANSLATE(C9213, ""en"", ""fa"")
"),"چگونه دوره های آنلاین یا منابع آموزشی مرتبط با موضوع پادکست خود را برای درآمدزایی و ارائه ارزش اضافی به مخاطبان خود توسعه دهید و بفروشید؟")</f>
        <v>چگونه دوره های آنلاین یا منابع آموزشی مرتبط با موضوع پادکست خود را برای درآمدزایی و ارائه ارزش اضافی به مخاطبان خود توسعه دهید و بفروشید؟</v>
      </c>
      <c r="H9213" s="1"/>
      <c r="I9213" s="1"/>
      <c r="J9213" s="1"/>
      <c r="K9213" s="1"/>
      <c r="L9213" s="1"/>
      <c r="M9213" s="1"/>
      <c r="N9213" s="1"/>
      <c r="O9213" s="1"/>
      <c r="P9213" s="1"/>
      <c r="Q9213" s="1"/>
      <c r="R9213" s="1"/>
      <c r="S9213" s="1"/>
      <c r="T9213" s="1"/>
      <c r="U9213" s="1"/>
      <c r="V9213" s="1"/>
      <c r="W9213" s="1"/>
      <c r="X9213" s="1"/>
      <c r="Y9213" s="1"/>
      <c r="Z9213" s="1"/>
      <c r="AA9213" s="1"/>
      <c r="AB9213" s="1"/>
    </row>
    <row r="9214" ht="50.25" customHeight="1">
      <c r="A9214" s="12">
        <v>9210.0</v>
      </c>
      <c r="B9214" s="13" t="s">
        <v>8699</v>
      </c>
      <c r="C9214" s="18" t="s">
        <v>9240</v>
      </c>
      <c r="D9214" s="1"/>
      <c r="E9214" s="1"/>
      <c r="F9214" s="1" t="str">
        <f>IFERROR(__xludf.DUMMYFUNCTION("GOOGLETRANSLATE(B9214, ""en"", ""fa"")
"),"موفقیت در پادکست")</f>
        <v>موفقیت در پادکست</v>
      </c>
      <c r="G9214" s="1" t="str">
        <f>IFERROR(__xludf.DUMMYFUNCTION("GOOGLETRANSLATE(C9214, ""en"", ""fa"")
"),"راهبردهای ایجاد و اجرای یک برنامه عضویت پادکست موفق برای ایجاد درآمد مکرر و پرورش یک جامعه وفادار چیست؟")</f>
        <v>راهبردهای ایجاد و اجرای یک برنامه عضویت پادکست موفق برای ایجاد درآمد مکرر و پرورش یک جامعه وفادار چیست؟</v>
      </c>
      <c r="H9214" s="1"/>
      <c r="I9214" s="1"/>
      <c r="J9214" s="1"/>
      <c r="K9214" s="1"/>
      <c r="L9214" s="1"/>
      <c r="M9214" s="1"/>
      <c r="N9214" s="1"/>
      <c r="O9214" s="1"/>
      <c r="P9214" s="1"/>
      <c r="Q9214" s="1"/>
      <c r="R9214" s="1"/>
      <c r="S9214" s="1"/>
      <c r="T9214" s="1"/>
      <c r="U9214" s="1"/>
      <c r="V9214" s="1"/>
      <c r="W9214" s="1"/>
      <c r="X9214" s="1"/>
      <c r="Y9214" s="1"/>
      <c r="Z9214" s="1"/>
      <c r="AA9214" s="1"/>
      <c r="AB9214" s="1"/>
    </row>
    <row r="9215" ht="50.25" customHeight="1">
      <c r="A9215" s="12">
        <v>9211.0</v>
      </c>
      <c r="B9215" s="13" t="s">
        <v>8699</v>
      </c>
      <c r="C9215" s="18" t="s">
        <v>9241</v>
      </c>
      <c r="D9215" s="1"/>
      <c r="E9215" s="1"/>
      <c r="F9215" s="1" t="str">
        <f>IFERROR(__xludf.DUMMYFUNCTION("GOOGLETRANSLATE(B9215, ""en"", ""fa"")
"),"موفقیت در پادکست")</f>
        <v>موفقیت در پادکست</v>
      </c>
      <c r="G9215" s="1" t="str">
        <f>IFERROR(__xludf.DUMMYFUNCTION("GOOGLETRANSLATE(C9215, ""en"", ""fa"")
"),"چگونه می توان به طور موثر مدل های کسب درآمد مبتنی بر کمک مالی مانند Patreon یا Ko-fi را برای ایجاد حمایت مالی از مخاطبان پادکست خود پیاده کرد؟")</f>
        <v>چگونه می توان به طور موثر مدل های کسب درآمد مبتنی بر کمک مالی مانند Patreon یا Ko-fi را برای ایجاد حمایت مالی از مخاطبان پادکست خود پیاده کرد؟</v>
      </c>
      <c r="H9215" s="1"/>
      <c r="I9215" s="1"/>
      <c r="J9215" s="1"/>
      <c r="K9215" s="1"/>
      <c r="L9215" s="1"/>
      <c r="M9215" s="1"/>
      <c r="N9215" s="1"/>
      <c r="O9215" s="1"/>
      <c r="P9215" s="1"/>
      <c r="Q9215" s="1"/>
      <c r="R9215" s="1"/>
      <c r="S9215" s="1"/>
      <c r="T9215" s="1"/>
      <c r="U9215" s="1"/>
      <c r="V9215" s="1"/>
      <c r="W9215" s="1"/>
      <c r="X9215" s="1"/>
      <c r="Y9215" s="1"/>
      <c r="Z9215" s="1"/>
      <c r="AA9215" s="1"/>
      <c r="AB9215" s="1"/>
    </row>
    <row r="9216" ht="50.25" customHeight="1">
      <c r="A9216" s="12">
        <v>9212.0</v>
      </c>
      <c r="B9216" s="13" t="s">
        <v>8699</v>
      </c>
      <c r="C9216" s="18" t="s">
        <v>9242</v>
      </c>
      <c r="D9216" s="1"/>
      <c r="E9216" s="1"/>
      <c r="F9216" s="1" t="str">
        <f>IFERROR(__xludf.DUMMYFUNCTION("GOOGLETRANSLATE(B9216, ""en"", ""fa"")
"),"موفقیت در پادکست")</f>
        <v>موفقیت در پادکست</v>
      </c>
      <c r="G9216" s="1" t="str">
        <f>IFERROR(__xludf.DUMMYFUNCTION("GOOGLETRANSLATE(C9216, ""en"", ""fa"")
"),"تکنیک‌هایی برای استفاده از تخصص پادکست و اعتماد مخاطبان برای ارائه کارگاه‌های حمایت‌شده، خدمات مشاوره، یا مشارکت‌های سخنرانی چیست؟")</f>
        <v>تکنیک‌هایی برای استفاده از تخصص پادکست و اعتماد مخاطبان برای ارائه کارگاه‌های حمایت‌شده، خدمات مشاوره، یا مشارکت‌های سخنرانی چیست؟</v>
      </c>
      <c r="H9216" s="1"/>
      <c r="I9216" s="1"/>
      <c r="J9216" s="1"/>
      <c r="K9216" s="1"/>
      <c r="L9216" s="1"/>
      <c r="M9216" s="1"/>
      <c r="N9216" s="1"/>
      <c r="O9216" s="1"/>
      <c r="P9216" s="1"/>
      <c r="Q9216" s="1"/>
      <c r="R9216" s="1"/>
      <c r="S9216" s="1"/>
      <c r="T9216" s="1"/>
      <c r="U9216" s="1"/>
      <c r="V9216" s="1"/>
      <c r="W9216" s="1"/>
      <c r="X9216" s="1"/>
      <c r="Y9216" s="1"/>
      <c r="Z9216" s="1"/>
      <c r="AA9216" s="1"/>
      <c r="AB9216" s="1"/>
    </row>
    <row r="9217" ht="50.25" customHeight="1">
      <c r="A9217" s="12">
        <v>9213.0</v>
      </c>
      <c r="B9217" s="13" t="s">
        <v>8699</v>
      </c>
      <c r="C9217" s="18" t="s">
        <v>9243</v>
      </c>
      <c r="D9217" s="1"/>
      <c r="E9217" s="1"/>
      <c r="F9217" s="1" t="str">
        <f>IFERROR(__xludf.DUMMYFUNCTION("GOOGLETRANSLATE(B9217, ""en"", ""fa"")
"),"موفقیت در پادکست")</f>
        <v>موفقیت در پادکست</v>
      </c>
      <c r="G9217" s="1" t="str">
        <f>IFERROR(__xludf.DUMMYFUNCTION("GOOGLETRANSLATE(C9217, ""en"", ""fa"")
"),"چگونه پادکست خود را از طریق حمایت های مالی مستقیم یا مشارکت با برندها یا شرکت های مرتبط در جایگاه خود کسب درآمد کنید؟")</f>
        <v>چگونه پادکست خود را از طریق حمایت های مالی مستقیم یا مشارکت با برندها یا شرکت های مرتبط در جایگاه خود کسب درآمد کنید؟</v>
      </c>
      <c r="H9217" s="1"/>
      <c r="I9217" s="1"/>
      <c r="J9217" s="1"/>
      <c r="K9217" s="1"/>
      <c r="L9217" s="1"/>
      <c r="M9217" s="1"/>
      <c r="N9217" s="1"/>
      <c r="O9217" s="1"/>
      <c r="P9217" s="1"/>
      <c r="Q9217" s="1"/>
      <c r="R9217" s="1"/>
      <c r="S9217" s="1"/>
      <c r="T9217" s="1"/>
      <c r="U9217" s="1"/>
      <c r="V9217" s="1"/>
      <c r="W9217" s="1"/>
      <c r="X9217" s="1"/>
      <c r="Y9217" s="1"/>
      <c r="Z9217" s="1"/>
      <c r="AA9217" s="1"/>
      <c r="AB9217" s="1"/>
    </row>
    <row r="9218" ht="50.25" customHeight="1">
      <c r="A9218" s="12">
        <v>9214.0</v>
      </c>
      <c r="B9218" s="13" t="s">
        <v>8699</v>
      </c>
      <c r="C9218" s="18" t="s">
        <v>9244</v>
      </c>
      <c r="D9218" s="1"/>
      <c r="E9218" s="1"/>
      <c r="F9218" s="1" t="str">
        <f>IFERROR(__xludf.DUMMYFUNCTION("GOOGLETRANSLATE(B9218, ""en"", ""fa"")
"),"موفقیت در پادکست")</f>
        <v>موفقیت در پادکست</v>
      </c>
      <c r="G9218" s="1" t="str">
        <f>IFERROR(__xludf.DUMMYFUNCTION("GOOGLETRANSLATE(C9218, ""en"", ""fa"")
"),"استراتژی های استفاده از پلتفرم های تبلیغاتی هدفمند، مانند شبکه های تبلیغاتی پادکست یا تبلیغات برنامه ای، برای کسب درآمد از پادکست شما چیست؟")</f>
        <v>استراتژی های استفاده از پلتفرم های تبلیغاتی هدفمند، مانند شبکه های تبلیغاتی پادکست یا تبلیغات برنامه ای، برای کسب درآمد از پادکست شما چیست؟</v>
      </c>
      <c r="H9218" s="1"/>
      <c r="I9218" s="1"/>
      <c r="J9218" s="1"/>
      <c r="K9218" s="1"/>
      <c r="L9218" s="1"/>
      <c r="M9218" s="1"/>
      <c r="N9218" s="1"/>
      <c r="O9218" s="1"/>
      <c r="P9218" s="1"/>
      <c r="Q9218" s="1"/>
      <c r="R9218" s="1"/>
      <c r="S9218" s="1"/>
      <c r="T9218" s="1"/>
      <c r="U9218" s="1"/>
      <c r="V9218" s="1"/>
      <c r="W9218" s="1"/>
      <c r="X9218" s="1"/>
      <c r="Y9218" s="1"/>
      <c r="Z9218" s="1"/>
      <c r="AA9218" s="1"/>
      <c r="AB9218" s="1"/>
    </row>
    <row r="9219" ht="50.25" customHeight="1">
      <c r="A9219" s="12">
        <v>9215.0</v>
      </c>
      <c r="B9219" s="13" t="s">
        <v>8699</v>
      </c>
      <c r="C9219" s="18" t="s">
        <v>9245</v>
      </c>
      <c r="D9219" s="1"/>
      <c r="E9219" s="1"/>
      <c r="F9219" s="1" t="str">
        <f>IFERROR(__xludf.DUMMYFUNCTION("GOOGLETRANSLATE(B9219, ""en"", ""fa"")
"),"موفقیت در پادکست")</f>
        <v>موفقیت در پادکست</v>
      </c>
      <c r="G9219" s="1" t="str">
        <f>IFERROR(__xludf.DUMMYFUNCTION("GOOGLETRANSLATE(C9219, ""en"", ""fa"")
"),"چگونه می توان به طور موثر مدل های کسب درآمد با پشتیبانی شنونده، مانند کمک های مالی شنونده یا انعام، برای ایجاد درآمد و تقویت حس حمایت جامعه را پیاده سازی کرد؟")</f>
        <v>چگونه می توان به طور موثر مدل های کسب درآمد با پشتیبانی شنونده، مانند کمک های مالی شنونده یا انعام، برای ایجاد درآمد و تقویت حس حمایت جامعه را پیاده سازی کرد؟</v>
      </c>
      <c r="H9219" s="1"/>
      <c r="I9219" s="1"/>
      <c r="J9219" s="1"/>
      <c r="K9219" s="1"/>
      <c r="L9219" s="1"/>
      <c r="M9219" s="1"/>
      <c r="N9219" s="1"/>
      <c r="O9219" s="1"/>
      <c r="P9219" s="1"/>
      <c r="Q9219" s="1"/>
      <c r="R9219" s="1"/>
      <c r="S9219" s="1"/>
      <c r="T9219" s="1"/>
      <c r="U9219" s="1"/>
      <c r="V9219" s="1"/>
      <c r="W9219" s="1"/>
      <c r="X9219" s="1"/>
      <c r="Y9219" s="1"/>
      <c r="Z9219" s="1"/>
      <c r="AA9219" s="1"/>
      <c r="AB9219" s="1"/>
    </row>
    <row r="9220" ht="50.25" customHeight="1">
      <c r="A9220" s="12">
        <v>9216.0</v>
      </c>
      <c r="B9220" s="13" t="s">
        <v>8699</v>
      </c>
      <c r="C9220" s="18" t="s">
        <v>9246</v>
      </c>
      <c r="D9220" s="1"/>
      <c r="E9220" s="1"/>
      <c r="F9220" s="1" t="str">
        <f>IFERROR(__xludf.DUMMYFUNCTION("GOOGLETRANSLATE(B9220, ""en"", ""fa"")
"),"موفقیت در پادکست")</f>
        <v>موفقیت در پادکست</v>
      </c>
      <c r="G9220" s="1" t="str">
        <f>IFERROR(__xludf.DUMMYFUNCTION("GOOGLETRANSLATE(C9220, ""en"", ""fa"")
"),"تکنیک‌های استفاده از مالکیت معنوی پادکست شما، مانند حقوق مجوز یا مشارکت کالا، برای ایجاد جریان‌های درآمد اضافی چیست؟")</f>
        <v>تکنیک‌های استفاده از مالکیت معنوی پادکست شما، مانند حقوق مجوز یا مشارکت کالا، برای ایجاد جریان‌های درآمد اضافی چیست؟</v>
      </c>
      <c r="H9220" s="1"/>
      <c r="I9220" s="1"/>
      <c r="J9220" s="1"/>
      <c r="K9220" s="1"/>
      <c r="L9220" s="1"/>
      <c r="M9220" s="1"/>
      <c r="N9220" s="1"/>
      <c r="O9220" s="1"/>
      <c r="P9220" s="1"/>
      <c r="Q9220" s="1"/>
      <c r="R9220" s="1"/>
      <c r="S9220" s="1"/>
      <c r="T9220" s="1"/>
      <c r="U9220" s="1"/>
      <c r="V9220" s="1"/>
      <c r="W9220" s="1"/>
      <c r="X9220" s="1"/>
      <c r="Y9220" s="1"/>
      <c r="Z9220" s="1"/>
      <c r="AA9220" s="1"/>
      <c r="AB9220" s="1"/>
    </row>
    <row r="9221" ht="50.25" customHeight="1">
      <c r="A9221" s="12">
        <v>9217.0</v>
      </c>
      <c r="B9221" s="13" t="s">
        <v>8699</v>
      </c>
      <c r="C9221" s="18" t="s">
        <v>9247</v>
      </c>
      <c r="D9221" s="1"/>
      <c r="E9221" s="1"/>
      <c r="F9221" s="1" t="str">
        <f>IFERROR(__xludf.DUMMYFUNCTION("GOOGLETRANSLATE(B9221, ""en"", ""fa"")
"),"موفقیت در پادکست")</f>
        <v>موفقیت در پادکست</v>
      </c>
      <c r="G9221" s="1" t="str">
        <f>IFERROR(__xludf.DUMMYFUNCTION("GOOGLETRANSLATE(C9221, ""en"", ""fa"")
"),"چگونه حضور آنلاین و سئوی پادکست خود را برای جذب تبلیغ کنندگان و حامیانی که به دنبال دستیابی به مخاطبان هدف خاص شما هستند، بهینه کنیم؟")</f>
        <v>چگونه حضور آنلاین و سئوی پادکست خود را برای جذب تبلیغ کنندگان و حامیانی که به دنبال دستیابی به مخاطبان هدف خاص شما هستند، بهینه کنیم؟</v>
      </c>
      <c r="H9221" s="1"/>
      <c r="I9221" s="1"/>
      <c r="J9221" s="1"/>
      <c r="K9221" s="1"/>
      <c r="L9221" s="1"/>
      <c r="M9221" s="1"/>
      <c r="N9221" s="1"/>
      <c r="O9221" s="1"/>
      <c r="P9221" s="1"/>
      <c r="Q9221" s="1"/>
      <c r="R9221" s="1"/>
      <c r="S9221" s="1"/>
      <c r="T9221" s="1"/>
      <c r="U9221" s="1"/>
      <c r="V9221" s="1"/>
      <c r="W9221" s="1"/>
      <c r="X9221" s="1"/>
      <c r="Y9221" s="1"/>
      <c r="Z9221" s="1"/>
      <c r="AA9221" s="1"/>
      <c r="AB9221" s="1"/>
    </row>
    <row r="9222" ht="50.25" customHeight="1">
      <c r="A9222" s="12">
        <v>9218.0</v>
      </c>
      <c r="B9222" s="13" t="s">
        <v>8699</v>
      </c>
      <c r="C9222" s="18" t="s">
        <v>9248</v>
      </c>
      <c r="D9222" s="1"/>
      <c r="E9222" s="1"/>
      <c r="F9222" s="1" t="str">
        <f>IFERROR(__xludf.DUMMYFUNCTION("GOOGLETRANSLATE(B9222, ""en"", ""fa"")
"),"موفقیت در پادکست")</f>
        <v>موفقیت در پادکست</v>
      </c>
      <c r="G9222" s="1" t="str">
        <f>IFERROR(__xludf.DUMMYFUNCTION("GOOGLETRANSLATE(C9222, ""en"", ""fa"")
"),"چه راهکارهایی برای تنوع بخشیدن به جریان های درآمدی پادکست شما، مانند ایجاد و فروش محصولات دیجیتال، ارائه خدمات مشاوره، یا میزبانی رویدادهای زنده، برای به حداکثر رساندن پتانسیل درآمد شما وجود دارد؟")</f>
        <v>چه راهکارهایی برای تنوع بخشیدن به جریان های درآمدی پادکست شما، مانند ایجاد و فروش محصولات دیجیتال، ارائه خدمات مشاوره، یا میزبانی رویدادهای زنده، برای به حداکثر رساندن پتانسیل درآمد شما وجود دارد؟</v>
      </c>
      <c r="H9222" s="1"/>
      <c r="I9222" s="1"/>
      <c r="J9222" s="1"/>
      <c r="K9222" s="1"/>
      <c r="L9222" s="1"/>
      <c r="M9222" s="1"/>
      <c r="N9222" s="1"/>
      <c r="O9222" s="1"/>
      <c r="P9222" s="1"/>
      <c r="Q9222" s="1"/>
      <c r="R9222" s="1"/>
      <c r="S9222" s="1"/>
      <c r="T9222" s="1"/>
      <c r="U9222" s="1"/>
      <c r="V9222" s="1"/>
      <c r="W9222" s="1"/>
      <c r="X9222" s="1"/>
      <c r="Y9222" s="1"/>
      <c r="Z9222" s="1"/>
      <c r="AA9222" s="1"/>
      <c r="AB9222" s="1"/>
    </row>
    <row r="9223" ht="50.25" customHeight="1">
      <c r="A9223" s="12">
        <v>9219.0</v>
      </c>
      <c r="B9223" s="13" t="s">
        <v>8699</v>
      </c>
      <c r="C9223" s="18" t="s">
        <v>9249</v>
      </c>
      <c r="D9223" s="1"/>
      <c r="E9223" s="1"/>
      <c r="F9223" s="1" t="str">
        <f>IFERROR(__xludf.DUMMYFUNCTION("GOOGLETRANSLATE(B9223, ""en"", ""fa"")
"),"موفقیت در پادکست")</f>
        <v>موفقیت در پادکست</v>
      </c>
      <c r="G9223" s="1" t="str">
        <f>IFERROR(__xludf.DUMMYFUNCTION("GOOGLETRANSLATE(C9223, ""en"", ""fa"")
"),"چگونه می توان به طور موثر از لیست ایمیل پادکست و پایگاه مشترکین خود برای کسب درآمد از طریق تبلیغات هدفمند و پیشنهادات انحصاری استفاده کرد؟")</f>
        <v>چگونه می توان به طور موثر از لیست ایمیل پادکست و پایگاه مشترکین خود برای کسب درآمد از طریق تبلیغات هدفمند و پیشنهادات انحصاری استفاده کرد؟</v>
      </c>
      <c r="H9223" s="1"/>
      <c r="I9223" s="1"/>
      <c r="J9223" s="1"/>
      <c r="K9223" s="1"/>
      <c r="L9223" s="1"/>
      <c r="M9223" s="1"/>
      <c r="N9223" s="1"/>
      <c r="O9223" s="1"/>
      <c r="P9223" s="1"/>
      <c r="Q9223" s="1"/>
      <c r="R9223" s="1"/>
      <c r="S9223" s="1"/>
      <c r="T9223" s="1"/>
      <c r="U9223" s="1"/>
      <c r="V9223" s="1"/>
      <c r="W9223" s="1"/>
      <c r="X9223" s="1"/>
      <c r="Y9223" s="1"/>
      <c r="Z9223" s="1"/>
      <c r="AA9223" s="1"/>
      <c r="AB9223" s="1"/>
    </row>
    <row r="9224" ht="50.25" customHeight="1">
      <c r="A9224" s="12">
        <v>9220.0</v>
      </c>
      <c r="B9224" s="13" t="s">
        <v>8699</v>
      </c>
      <c r="C9224" s="18" t="s">
        <v>9250</v>
      </c>
      <c r="D9224" s="1"/>
      <c r="E9224" s="1"/>
      <c r="F9224" s="1" t="str">
        <f>IFERROR(__xludf.DUMMYFUNCTION("GOOGLETRANSLATE(B9224, ""en"", ""fa"")
"),"موفقیت در پادکست")</f>
        <v>موفقیت در پادکست</v>
      </c>
      <c r="G9224" s="1" t="str">
        <f>IFERROR(__xludf.DUMMYFUNCTION("GOOGLETRANSLATE(C9224, ""en"", ""fa"")
"),"تکنیک های ترکیب تبلیغات بومی در قسمت های پادکست برای یکپارچه سازی محتوای حمایت شده و ایجاد درآمد چیست؟")</f>
        <v>تکنیک های ترکیب تبلیغات بومی در قسمت های پادکست برای یکپارچه سازی محتوای حمایت شده و ایجاد درآمد چیست؟</v>
      </c>
      <c r="H9224" s="1"/>
      <c r="I9224" s="1"/>
      <c r="J9224" s="1"/>
      <c r="K9224" s="1"/>
      <c r="L9224" s="1"/>
      <c r="M9224" s="1"/>
      <c r="N9224" s="1"/>
      <c r="O9224" s="1"/>
      <c r="P9224" s="1"/>
      <c r="Q9224" s="1"/>
      <c r="R9224" s="1"/>
      <c r="S9224" s="1"/>
      <c r="T9224" s="1"/>
      <c r="U9224" s="1"/>
      <c r="V9224" s="1"/>
      <c r="W9224" s="1"/>
      <c r="X9224" s="1"/>
      <c r="Y9224" s="1"/>
      <c r="Z9224" s="1"/>
      <c r="AA9224" s="1"/>
      <c r="AB9224" s="1"/>
    </row>
    <row r="9225" ht="50.25" customHeight="1">
      <c r="A9225" s="12">
        <v>9221.0</v>
      </c>
      <c r="B9225" s="13" t="s">
        <v>8699</v>
      </c>
      <c r="C9225" s="18" t="s">
        <v>9251</v>
      </c>
      <c r="D9225" s="1"/>
      <c r="E9225" s="1"/>
      <c r="F9225" s="1" t="str">
        <f>IFERROR(__xludf.DUMMYFUNCTION("GOOGLETRANSLATE(B9225, ""en"", ""fa"")
"),"موفقیت در پادکست")</f>
        <v>موفقیت در پادکست</v>
      </c>
      <c r="G9225" s="1" t="str">
        <f>IFERROR(__xludf.DUMMYFUNCTION("GOOGLETRANSLATE(C9225, ""en"", ""fa"")
"),"چگونه پادکست خود را از طریق قراردادهای مجوز با پلتفرم ها یا شبکه هایی که می خواهند محتوای شما را بین مخاطبان بیشتری توزیع کنند، کسب درآمد کنیم؟")</f>
        <v>چگونه پادکست خود را از طریق قراردادهای مجوز با پلتفرم ها یا شبکه هایی که می خواهند محتوای شما را بین مخاطبان بیشتری توزیع کنند، کسب درآمد کنیم؟</v>
      </c>
      <c r="H9225" s="1"/>
      <c r="I9225" s="1"/>
      <c r="J9225" s="1"/>
      <c r="K9225" s="1"/>
      <c r="L9225" s="1"/>
      <c r="M9225" s="1"/>
      <c r="N9225" s="1"/>
      <c r="O9225" s="1"/>
      <c r="P9225" s="1"/>
      <c r="Q9225" s="1"/>
      <c r="R9225" s="1"/>
      <c r="S9225" s="1"/>
      <c r="T9225" s="1"/>
      <c r="U9225" s="1"/>
      <c r="V9225" s="1"/>
      <c r="W9225" s="1"/>
      <c r="X9225" s="1"/>
      <c r="Y9225" s="1"/>
      <c r="Z9225" s="1"/>
      <c r="AA9225" s="1"/>
      <c r="AB9225" s="1"/>
    </row>
    <row r="9226" ht="50.25" customHeight="1">
      <c r="A9226" s="12">
        <v>9222.0</v>
      </c>
      <c r="B9226" s="13" t="s">
        <v>8699</v>
      </c>
      <c r="C9226" s="18" t="s">
        <v>9252</v>
      </c>
      <c r="D9226" s="1"/>
      <c r="E9226" s="1"/>
      <c r="F9226" s="1" t="str">
        <f>IFERROR(__xludf.DUMMYFUNCTION("GOOGLETRANSLATE(B9226, ""en"", ""fa"")
"),"موفقیت در پادکست")</f>
        <v>موفقیت در پادکست</v>
      </c>
      <c r="G9226" s="1" t="str">
        <f>IFERROR(__xludf.DUMMYFUNCTION("GOOGLETRANSLATE(C9226, ""en"", ""fa"")
"),"استراتژی‌هایی برای استفاده از حضور مهمان حمایت‌شده در پادکست برای درآمدزایی و تبلیغ متقابل برندها یا تأثیرگذاران چیست؟")</f>
        <v>استراتژی‌هایی برای استفاده از حضور مهمان حمایت‌شده در پادکست برای درآمدزایی و تبلیغ متقابل برندها یا تأثیرگذاران چیست؟</v>
      </c>
      <c r="H9226" s="1"/>
      <c r="I9226" s="1"/>
      <c r="J9226" s="1"/>
      <c r="K9226" s="1"/>
      <c r="L9226" s="1"/>
      <c r="M9226" s="1"/>
      <c r="N9226" s="1"/>
      <c r="O9226" s="1"/>
      <c r="P9226" s="1"/>
      <c r="Q9226" s="1"/>
      <c r="R9226" s="1"/>
      <c r="S9226" s="1"/>
      <c r="T9226" s="1"/>
      <c r="U9226" s="1"/>
      <c r="V9226" s="1"/>
      <c r="W9226" s="1"/>
      <c r="X9226" s="1"/>
      <c r="Y9226" s="1"/>
      <c r="Z9226" s="1"/>
      <c r="AA9226" s="1"/>
      <c r="AB9226" s="1"/>
    </row>
    <row r="9227" ht="50.25" customHeight="1">
      <c r="A9227" s="12">
        <v>9223.0</v>
      </c>
      <c r="B9227" s="13" t="s">
        <v>8699</v>
      </c>
      <c r="C9227" s="18" t="s">
        <v>9253</v>
      </c>
      <c r="D9227" s="1"/>
      <c r="E9227" s="1"/>
      <c r="F9227" s="1" t="str">
        <f>IFERROR(__xludf.DUMMYFUNCTION("GOOGLETRANSLATE(B9227, ""en"", ""fa"")
"),"موفقیت در پادکست")</f>
        <v>موفقیت در پادکست</v>
      </c>
      <c r="G9227" s="1" t="str">
        <f>IFERROR(__xludf.DUMMYFUNCTION("GOOGLETRANSLATE(C9227, ""en"", ""fa"")
"),"چگونه می توان با ارائه بسته های تبلیغاتی سفارشی یا فرصت های حمایت مالی منحصر به فرد متناسب با نیازهای هر شریک، مشارکت های برند پادکست خود را بهینه کرد؟")</f>
        <v>چگونه می توان با ارائه بسته های تبلیغاتی سفارشی یا فرصت های حمایت مالی منحصر به فرد متناسب با نیازهای هر شریک، مشارکت های برند پادکست خود را بهینه کرد؟</v>
      </c>
      <c r="H9227" s="1"/>
      <c r="I9227" s="1"/>
      <c r="J9227" s="1"/>
      <c r="K9227" s="1"/>
      <c r="L9227" s="1"/>
      <c r="M9227" s="1"/>
      <c r="N9227" s="1"/>
      <c r="O9227" s="1"/>
      <c r="P9227" s="1"/>
      <c r="Q9227" s="1"/>
      <c r="R9227" s="1"/>
      <c r="S9227" s="1"/>
      <c r="T9227" s="1"/>
      <c r="U9227" s="1"/>
      <c r="V9227" s="1"/>
      <c r="W9227" s="1"/>
      <c r="X9227" s="1"/>
      <c r="Y9227" s="1"/>
      <c r="Z9227" s="1"/>
      <c r="AA9227" s="1"/>
      <c r="AB9227" s="1"/>
    </row>
    <row r="9228" ht="50.25" customHeight="1">
      <c r="A9228" s="12">
        <v>9224.0</v>
      </c>
      <c r="B9228" s="13" t="s">
        <v>8699</v>
      </c>
      <c r="C9228" s="18" t="s">
        <v>9254</v>
      </c>
      <c r="D9228" s="1"/>
      <c r="E9228" s="1"/>
      <c r="F9228" s="1" t="str">
        <f>IFERROR(__xludf.DUMMYFUNCTION("GOOGLETRANSLATE(B9228, ""en"", ""fa"")
"),"موفقیت در پادکست")</f>
        <v>موفقیت در پادکست</v>
      </c>
      <c r="G9228" s="1" t="str">
        <f>IFERROR(__xludf.DUMMYFUNCTION("GOOGLETRANSLATE(C9228, ""en"", ""fa"")
"),"چه تکنیک هایی برای استفاده از جامعه شنونده پادکست برای ایجاد یک برنامه عضویت یا محتوای انحصاری که درآمد مکرر ایجاد می کند چیست؟")</f>
        <v>چه تکنیک هایی برای استفاده از جامعه شنونده پادکست برای ایجاد یک برنامه عضویت یا محتوای انحصاری که درآمد مکرر ایجاد می کند چیست؟</v>
      </c>
      <c r="H9228" s="1"/>
      <c r="I9228" s="1"/>
      <c r="J9228" s="1"/>
      <c r="K9228" s="1"/>
      <c r="L9228" s="1"/>
      <c r="M9228" s="1"/>
      <c r="N9228" s="1"/>
      <c r="O9228" s="1"/>
      <c r="P9228" s="1"/>
      <c r="Q9228" s="1"/>
      <c r="R9228" s="1"/>
      <c r="S9228" s="1"/>
      <c r="T9228" s="1"/>
      <c r="U9228" s="1"/>
      <c r="V9228" s="1"/>
      <c r="W9228" s="1"/>
      <c r="X9228" s="1"/>
      <c r="Y9228" s="1"/>
      <c r="Z9228" s="1"/>
      <c r="AA9228" s="1"/>
      <c r="AB9228" s="1"/>
    </row>
    <row r="9229" ht="50.25" customHeight="1">
      <c r="A9229" s="12">
        <v>9225.0</v>
      </c>
      <c r="B9229" s="13" t="s">
        <v>8699</v>
      </c>
      <c r="C9229" s="18" t="s">
        <v>9255</v>
      </c>
      <c r="D9229" s="1"/>
      <c r="E9229" s="1"/>
      <c r="F9229" s="1" t="str">
        <f>IFERROR(__xludf.DUMMYFUNCTION("GOOGLETRANSLATE(B9229, ""en"", ""fa"")
"),"موفقیت در پادکست")</f>
        <v>موفقیت در پادکست</v>
      </c>
      <c r="G9229" s="1" t="str">
        <f>IFERROR(__xludf.DUMMYFUNCTION("GOOGLETRANSLATE(C9229, ""en"", ""fa"")
"),"چگونه می توان به طور موثر تبلیغات هدفمند جغرافیایی را برای جذب مشاغل محلی و کسب درآمد از حمایت های مالی یا تبلیغاتی خاص مکان اجرا کرد؟")</f>
        <v>چگونه می توان به طور موثر تبلیغات هدفمند جغرافیایی را برای جذب مشاغل محلی و کسب درآمد از حمایت های مالی یا تبلیغاتی خاص مکان اجرا کرد؟</v>
      </c>
      <c r="H9229" s="1"/>
      <c r="I9229" s="1"/>
      <c r="J9229" s="1"/>
      <c r="K9229" s="1"/>
      <c r="L9229" s="1"/>
      <c r="M9229" s="1"/>
      <c r="N9229" s="1"/>
      <c r="O9229" s="1"/>
      <c r="P9229" s="1"/>
      <c r="Q9229" s="1"/>
      <c r="R9229" s="1"/>
      <c r="S9229" s="1"/>
      <c r="T9229" s="1"/>
      <c r="U9229" s="1"/>
      <c r="V9229" s="1"/>
      <c r="W9229" s="1"/>
      <c r="X9229" s="1"/>
      <c r="Y9229" s="1"/>
      <c r="Z9229" s="1"/>
      <c r="AA9229" s="1"/>
      <c r="AB9229" s="1"/>
    </row>
    <row r="9230" ht="50.25" customHeight="1">
      <c r="A9230" s="12">
        <v>9226.0</v>
      </c>
      <c r="B9230" s="13" t="s">
        <v>8699</v>
      </c>
      <c r="C9230" s="18" t="s">
        <v>9256</v>
      </c>
      <c r="D9230" s="1"/>
      <c r="E9230" s="1"/>
      <c r="F9230" s="1" t="str">
        <f>IFERROR(__xludf.DUMMYFUNCTION("GOOGLETRANSLATE(B9230, ""en"", ""fa"")
"),"موفقیت در پادکست")</f>
        <v>موفقیت در پادکست</v>
      </c>
      <c r="G9230" s="1" t="str">
        <f>IFERROR(__xludf.DUMMYFUNCTION("GOOGLETRANSLATE(C9230, ""en"", ""fa"")
"),"استراتژی‌های استفاده از شبکه‌های پادکست یا تجمیع‌کننده‌ها برای دسترسی به فرصت‌های کسب درآمد اضافی، مانند حمایت‌های مالی در سطح شبکه یا مبادلات تبلیغاتی چیست؟")</f>
        <v>استراتژی‌های استفاده از شبکه‌های پادکست یا تجمیع‌کننده‌ها برای دسترسی به فرصت‌های کسب درآمد اضافی، مانند حمایت‌های مالی در سطح شبکه یا مبادلات تبلیغاتی چیست؟</v>
      </c>
      <c r="H9230" s="1"/>
      <c r="I9230" s="1"/>
      <c r="J9230" s="1"/>
      <c r="K9230" s="1"/>
      <c r="L9230" s="1"/>
      <c r="M9230" s="1"/>
      <c r="N9230" s="1"/>
      <c r="O9230" s="1"/>
      <c r="P9230" s="1"/>
      <c r="Q9230" s="1"/>
      <c r="R9230" s="1"/>
      <c r="S9230" s="1"/>
      <c r="T9230" s="1"/>
      <c r="U9230" s="1"/>
      <c r="V9230" s="1"/>
      <c r="W9230" s="1"/>
      <c r="X9230" s="1"/>
      <c r="Y9230" s="1"/>
      <c r="Z9230" s="1"/>
      <c r="AA9230" s="1"/>
      <c r="AB9230" s="1"/>
    </row>
    <row r="9231" ht="50.25" customHeight="1">
      <c r="A9231" s="12">
        <v>9227.0</v>
      </c>
      <c r="B9231" s="13" t="s">
        <v>8699</v>
      </c>
      <c r="C9231" s="18" t="s">
        <v>9257</v>
      </c>
      <c r="D9231" s="1"/>
      <c r="E9231" s="1"/>
      <c r="F9231" s="1" t="str">
        <f>IFERROR(__xludf.DUMMYFUNCTION("GOOGLETRANSLATE(B9231, ""en"", ""fa"")
"),"موفقیت در پادکست")</f>
        <v>موفقیت در پادکست</v>
      </c>
      <c r="G9231" s="1" t="str">
        <f>IFERROR(__xludf.DUMMYFUNCTION("GOOGLETRANSLATE(C9231, ""en"", ""fa"")
"),"چگونه پادکست خود را از طریق فروش مستقیم محصولات فیزیکی یا کالا، با استفاده از برندینگ پادکست و وفاداری مخاطبان خود کسب درآمد کنید؟")</f>
        <v>چگونه پادکست خود را از طریق فروش مستقیم محصولات فیزیکی یا کالا، با استفاده از برندینگ پادکست و وفاداری مخاطبان خود کسب درآمد کنید؟</v>
      </c>
      <c r="H9231" s="1"/>
      <c r="I9231" s="1"/>
      <c r="J9231" s="1"/>
      <c r="K9231" s="1"/>
      <c r="L9231" s="1"/>
      <c r="M9231" s="1"/>
      <c r="N9231" s="1"/>
      <c r="O9231" s="1"/>
      <c r="P9231" s="1"/>
      <c r="Q9231" s="1"/>
      <c r="R9231" s="1"/>
      <c r="S9231" s="1"/>
      <c r="T9231" s="1"/>
      <c r="U9231" s="1"/>
      <c r="V9231" s="1"/>
      <c r="W9231" s="1"/>
      <c r="X9231" s="1"/>
      <c r="Y9231" s="1"/>
      <c r="Z9231" s="1"/>
      <c r="AA9231" s="1"/>
      <c r="AB9231" s="1"/>
    </row>
    <row r="9232" ht="50.25" customHeight="1">
      <c r="A9232" s="12">
        <v>9228.0</v>
      </c>
      <c r="B9232" s="13" t="s">
        <v>8699</v>
      </c>
      <c r="C9232" s="18" t="s">
        <v>9258</v>
      </c>
      <c r="D9232" s="1"/>
      <c r="E9232" s="1"/>
      <c r="F9232" s="1" t="str">
        <f>IFERROR(__xludf.DUMMYFUNCTION("GOOGLETRANSLATE(B9232, ""en"", ""fa"")
"),"موفقیت در پادکست")</f>
        <v>موفقیت در پادکست</v>
      </c>
      <c r="G9232" s="1" t="str">
        <f>IFERROR(__xludf.DUMMYFUNCTION("GOOGLETRANSLATE(C9232, ""en"", ""fa"")
"),"تکنیک‌های پیاده‌سازی مشارکت‌های بازاریابی وابسته با برندها یا محصولاتی که با جایگاه پادکست شما برای ایجاد درآمد بر اساس کمیسیون هماهنگ هستند، چیست؟")</f>
        <v>تکنیک‌های پیاده‌سازی مشارکت‌های بازاریابی وابسته با برندها یا محصولاتی که با جایگاه پادکست شما برای ایجاد درآمد بر اساس کمیسیون هماهنگ هستند، چیست؟</v>
      </c>
      <c r="H9232" s="1"/>
      <c r="I9232" s="1"/>
      <c r="J9232" s="1"/>
      <c r="K9232" s="1"/>
      <c r="L9232" s="1"/>
      <c r="M9232" s="1"/>
      <c r="N9232" s="1"/>
      <c r="O9232" s="1"/>
      <c r="P9232" s="1"/>
      <c r="Q9232" s="1"/>
      <c r="R9232" s="1"/>
      <c r="S9232" s="1"/>
      <c r="T9232" s="1"/>
      <c r="U9232" s="1"/>
      <c r="V9232" s="1"/>
      <c r="W9232" s="1"/>
      <c r="X9232" s="1"/>
      <c r="Y9232" s="1"/>
      <c r="Z9232" s="1"/>
      <c r="AA9232" s="1"/>
      <c r="AB9232" s="1"/>
    </row>
    <row r="9233" ht="50.25" customHeight="1">
      <c r="A9233" s="12">
        <v>9229.0</v>
      </c>
      <c r="B9233" s="13" t="s">
        <v>8699</v>
      </c>
      <c r="C9233" s="18" t="s">
        <v>9259</v>
      </c>
      <c r="D9233" s="1"/>
      <c r="E9233" s="1"/>
      <c r="F9233" s="1" t="str">
        <f>IFERROR(__xludf.DUMMYFUNCTION("GOOGLETRANSLATE(B9233, ""en"", ""fa"")
"),"موفقیت در پادکست")</f>
        <v>موفقیت در پادکست</v>
      </c>
      <c r="G9233" s="1" t="str">
        <f>IFERROR(__xludf.DUMMYFUNCTION("GOOGLETRANSLATE(C9233, ""en"", ""fa"")
"),"چگونه می توان استراتژی های جذب شنونده و حفظ پادکست خود را برای جذب تبلیغ کنندگانی که برای مخاطبان بسیار درگیر و وفادار ارزش قائل هستند، بهینه کرد؟")</f>
        <v>چگونه می توان استراتژی های جذب شنونده و حفظ پادکست خود را برای جذب تبلیغ کنندگانی که برای مخاطبان بسیار درگیر و وفادار ارزش قائل هستند، بهینه کرد؟</v>
      </c>
      <c r="H9233" s="1"/>
      <c r="I9233" s="1"/>
      <c r="J9233" s="1"/>
      <c r="K9233" s="1"/>
      <c r="L9233" s="1"/>
      <c r="M9233" s="1"/>
      <c r="N9233" s="1"/>
      <c r="O9233" s="1"/>
      <c r="P9233" s="1"/>
      <c r="Q9233" s="1"/>
      <c r="R9233" s="1"/>
      <c r="S9233" s="1"/>
      <c r="T9233" s="1"/>
      <c r="U9233" s="1"/>
      <c r="V9233" s="1"/>
      <c r="W9233" s="1"/>
      <c r="X9233" s="1"/>
      <c r="Y9233" s="1"/>
      <c r="Z9233" s="1"/>
      <c r="AA9233" s="1"/>
      <c r="AB9233" s="1"/>
    </row>
    <row r="9234" ht="50.25" customHeight="1">
      <c r="A9234" s="12">
        <v>9230.0</v>
      </c>
      <c r="B9234" s="13" t="s">
        <v>8699</v>
      </c>
      <c r="C9234" s="18" t="s">
        <v>9260</v>
      </c>
      <c r="D9234" s="1"/>
      <c r="E9234" s="1"/>
      <c r="F9234" s="1" t="str">
        <f>IFERROR(__xludf.DUMMYFUNCTION("GOOGLETRANSLATE(B9234, ""en"", ""fa"")
"),"موفقیت در پادکست")</f>
        <v>موفقیت در پادکست</v>
      </c>
      <c r="G9234" s="1" t="str">
        <f>IFERROR(__xludf.DUMMYFUNCTION("GOOGLETRANSLATE(C9234, ""en"", ""fa"")
"),"استراتژی‌های ارائه قسمت‌های جایزه حمایت‌شده، محتوای انحصاری، یا دسترسی زودهنگام برای کسب درآمد از طرفداران و حامیان اختصاصی چیست؟")</f>
        <v>استراتژی‌های ارائه قسمت‌های جایزه حمایت‌شده، محتوای انحصاری، یا دسترسی زودهنگام برای کسب درآمد از طرفداران و حامیان اختصاصی چیست؟</v>
      </c>
      <c r="H9234" s="1"/>
      <c r="I9234" s="1"/>
      <c r="J9234" s="1"/>
      <c r="K9234" s="1"/>
      <c r="L9234" s="1"/>
      <c r="M9234" s="1"/>
      <c r="N9234" s="1"/>
      <c r="O9234" s="1"/>
      <c r="P9234" s="1"/>
      <c r="Q9234" s="1"/>
      <c r="R9234" s="1"/>
      <c r="S9234" s="1"/>
      <c r="T9234" s="1"/>
      <c r="U9234" s="1"/>
      <c r="V9234" s="1"/>
      <c r="W9234" s="1"/>
      <c r="X9234" s="1"/>
      <c r="Y9234" s="1"/>
      <c r="Z9234" s="1"/>
      <c r="AA9234" s="1"/>
      <c r="AB9234" s="1"/>
    </row>
    <row r="9235" ht="50.25" customHeight="1">
      <c r="A9235" s="12">
        <v>9231.0</v>
      </c>
      <c r="B9235" s="13" t="s">
        <v>8699</v>
      </c>
      <c r="C9235" s="18" t="s">
        <v>9261</v>
      </c>
      <c r="D9235" s="1"/>
      <c r="E9235" s="1"/>
      <c r="F9235" s="1" t="str">
        <f>IFERROR(__xludf.DUMMYFUNCTION("GOOGLETRANSLATE(B9235, ""en"", ""fa"")
"),"موفقیت در پادکست")</f>
        <v>موفقیت در پادکست</v>
      </c>
      <c r="G9235" s="1" t="str">
        <f>IFERROR(__xludf.DUMMYFUNCTION("GOOGLETRANSLATE(C9235, ""en"", ""fa"")
"),"چگونه می توان به طور موثر در توافق نامه های حمایت مالی مذاکره و ساختار داد تا از جبران خسارت منصفانه و پتانسیل درآمد طولانی مدت برای پادکست خود اطمینان حاصل شود؟")</f>
        <v>چگونه می توان به طور موثر در توافق نامه های حمایت مالی مذاکره و ساختار داد تا از جبران خسارت منصفانه و پتانسیل درآمد طولانی مدت برای پادکست خود اطمینان حاصل شود؟</v>
      </c>
      <c r="H9235" s="1"/>
      <c r="I9235" s="1"/>
      <c r="J9235" s="1"/>
      <c r="K9235" s="1"/>
      <c r="L9235" s="1"/>
      <c r="M9235" s="1"/>
      <c r="N9235" s="1"/>
      <c r="O9235" s="1"/>
      <c r="P9235" s="1"/>
      <c r="Q9235" s="1"/>
      <c r="R9235" s="1"/>
      <c r="S9235" s="1"/>
      <c r="T9235" s="1"/>
      <c r="U9235" s="1"/>
      <c r="V9235" s="1"/>
      <c r="W9235" s="1"/>
      <c r="X9235" s="1"/>
      <c r="Y9235" s="1"/>
      <c r="Z9235" s="1"/>
      <c r="AA9235" s="1"/>
      <c r="AB9235" s="1"/>
    </row>
    <row r="9236" ht="50.25" customHeight="1">
      <c r="A9236" s="12">
        <v>9232.0</v>
      </c>
      <c r="B9236" s="13" t="s">
        <v>8699</v>
      </c>
      <c r="C9236" s="18" t="s">
        <v>9262</v>
      </c>
      <c r="D9236" s="1"/>
      <c r="E9236" s="1"/>
      <c r="F9236" s="1" t="str">
        <f>IFERROR(__xludf.DUMMYFUNCTION("GOOGLETRANSLATE(B9236, ""en"", ""fa"")
"),"موفقیت در پادکست")</f>
        <v>موفقیت در پادکست</v>
      </c>
      <c r="G9236" s="1" t="str">
        <f>IFERROR(__xludf.DUMMYFUNCTION("GOOGLETRANSLATE(C9236, ""en"", ""fa"")
"),"تکنیک های استفاده از پلتفرم های رسانه های اجتماعی و اینفلوئنسر مارکتینگ برای تبلیغ پادکست و جذب حامیان مالی یا تبلیغ کنندگان چیست؟")</f>
        <v>تکنیک های استفاده از پلتفرم های رسانه های اجتماعی و اینفلوئنسر مارکتینگ برای تبلیغ پادکست و جذب حامیان مالی یا تبلیغ کنندگان چیست؟</v>
      </c>
      <c r="H9236" s="1"/>
      <c r="I9236" s="1"/>
      <c r="J9236" s="1"/>
      <c r="K9236" s="1"/>
      <c r="L9236" s="1"/>
      <c r="M9236" s="1"/>
      <c r="N9236" s="1"/>
      <c r="O9236" s="1"/>
      <c r="P9236" s="1"/>
      <c r="Q9236" s="1"/>
      <c r="R9236" s="1"/>
      <c r="S9236" s="1"/>
      <c r="T9236" s="1"/>
      <c r="U9236" s="1"/>
      <c r="V9236" s="1"/>
      <c r="W9236" s="1"/>
      <c r="X9236" s="1"/>
      <c r="Y9236" s="1"/>
      <c r="Z9236" s="1"/>
      <c r="AA9236" s="1"/>
      <c r="AB9236" s="1"/>
    </row>
    <row r="9237" ht="50.25" customHeight="1">
      <c r="A9237" s="12">
        <v>9233.0</v>
      </c>
      <c r="B9237" s="13" t="s">
        <v>8699</v>
      </c>
      <c r="C9237" s="18" t="s">
        <v>9263</v>
      </c>
      <c r="D9237" s="1"/>
      <c r="E9237" s="1"/>
      <c r="F9237" s="1" t="str">
        <f>IFERROR(__xludf.DUMMYFUNCTION("GOOGLETRANSLATE(B9237, ""en"", ""fa"")
"),"موفقیت در پادکست")</f>
        <v>موفقیت در پادکست</v>
      </c>
      <c r="G9237" s="1" t="str">
        <f>IFERROR(__xludf.DUMMYFUNCTION("GOOGLETRANSLATE(C9237, ""en"", ""fa"")
"),"چگونه از پادکست خود از طریق گفتگو، تسهیل کارگاه، یا حضور مهمان در کنفرانس ها یا رویدادهای صنعتی مرتبط با جایگاه پادکست خود درآمد کسب کنید؟")</f>
        <v>چگونه از پادکست خود از طریق گفتگو، تسهیل کارگاه، یا حضور مهمان در کنفرانس ها یا رویدادهای صنعتی مرتبط با جایگاه پادکست خود درآمد کسب کنید؟</v>
      </c>
      <c r="H9237" s="1"/>
      <c r="I9237" s="1"/>
      <c r="J9237" s="1"/>
      <c r="K9237" s="1"/>
      <c r="L9237" s="1"/>
      <c r="M9237" s="1"/>
      <c r="N9237" s="1"/>
      <c r="O9237" s="1"/>
      <c r="P9237" s="1"/>
      <c r="Q9237" s="1"/>
      <c r="R9237" s="1"/>
      <c r="S9237" s="1"/>
      <c r="T9237" s="1"/>
      <c r="U9237" s="1"/>
      <c r="V9237" s="1"/>
      <c r="W9237" s="1"/>
      <c r="X9237" s="1"/>
      <c r="Y9237" s="1"/>
      <c r="Z9237" s="1"/>
      <c r="AA9237" s="1"/>
      <c r="AB9237" s="1"/>
    </row>
    <row r="9238" ht="50.25" customHeight="1">
      <c r="A9238" s="12">
        <v>9234.0</v>
      </c>
      <c r="B9238" s="13" t="s">
        <v>8699</v>
      </c>
      <c r="C9238" s="18" t="s">
        <v>9264</v>
      </c>
      <c r="D9238" s="1"/>
      <c r="E9238" s="1"/>
      <c r="F9238" s="1" t="str">
        <f>IFERROR(__xludf.DUMMYFUNCTION("GOOGLETRANSLATE(B9238, ""en"", ""fa"")
"),"موفقیت در پادکست")</f>
        <v>موفقیت در پادکست</v>
      </c>
      <c r="G9238" s="1" t="str">
        <f>IFERROR(__xludf.DUMMYFUNCTION("GOOGLETRANSLATE(C9238, ""en"", ""fa"")
"),"برای ردیابی و اندازه‌گیری درآمد حاصل از پادکست، چه استراتژی‌هایی برای ترکیب فراخوان‌های اقدام درون پادکست، مانند کدهای تخفیف یا پیوندهای وابسته وجود دارد؟")</f>
        <v>برای ردیابی و اندازه‌گیری درآمد حاصل از پادکست، چه استراتژی‌هایی برای ترکیب فراخوان‌های اقدام درون پادکست، مانند کدهای تخفیف یا پیوندهای وابسته وجود دارد؟</v>
      </c>
      <c r="H9238" s="1"/>
      <c r="I9238" s="1"/>
      <c r="J9238" s="1"/>
      <c r="K9238" s="1"/>
      <c r="L9238" s="1"/>
      <c r="M9238" s="1"/>
      <c r="N9238" s="1"/>
      <c r="O9238" s="1"/>
      <c r="P9238" s="1"/>
      <c r="Q9238" s="1"/>
      <c r="R9238" s="1"/>
      <c r="S9238" s="1"/>
      <c r="T9238" s="1"/>
      <c r="U9238" s="1"/>
      <c r="V9238" s="1"/>
      <c r="W9238" s="1"/>
      <c r="X9238" s="1"/>
      <c r="Y9238" s="1"/>
      <c r="Z9238" s="1"/>
      <c r="AA9238" s="1"/>
      <c r="AB9238" s="1"/>
    </row>
    <row r="9239" ht="50.25" customHeight="1">
      <c r="A9239" s="12">
        <v>9235.0</v>
      </c>
      <c r="B9239" s="13" t="s">
        <v>8699</v>
      </c>
      <c r="C9239" s="18" t="s">
        <v>9265</v>
      </c>
      <c r="D9239" s="1"/>
      <c r="E9239" s="1"/>
      <c r="F9239" s="1" t="str">
        <f>IFERROR(__xludf.DUMMYFUNCTION("GOOGLETRANSLATE(B9239, ""en"", ""fa"")
"),"موفقیت در پادکست")</f>
        <v>موفقیت در پادکست</v>
      </c>
      <c r="G9239" s="1" t="str">
        <f>IFERROR(__xludf.DUMMYFUNCTION("GOOGLETRANSLATE(C9239, ""en"", ""fa"")
"),"چگونه می توان درآمد پادکست خود را از طریق مدل های قیمت گذاری استراتژیک، مانند سطوح عضویت سطحی یا ارائه محصولات همراه، بهینه کرد تا درآمد و ارزش را برای مخاطبان خود به حداکثر برساند؟")</f>
        <v>چگونه می توان درآمد پادکست خود را از طریق مدل های قیمت گذاری استراتژیک، مانند سطوح عضویت سطحی یا ارائه محصولات همراه، بهینه کرد تا درآمد و ارزش را برای مخاطبان خود به حداکثر برساند؟</v>
      </c>
      <c r="H9239" s="1"/>
      <c r="I9239" s="1"/>
      <c r="J9239" s="1"/>
      <c r="K9239" s="1"/>
      <c r="L9239" s="1"/>
      <c r="M9239" s="1"/>
      <c r="N9239" s="1"/>
      <c r="O9239" s="1"/>
      <c r="P9239" s="1"/>
      <c r="Q9239" s="1"/>
      <c r="R9239" s="1"/>
      <c r="S9239" s="1"/>
      <c r="T9239" s="1"/>
      <c r="U9239" s="1"/>
      <c r="V9239" s="1"/>
      <c r="W9239" s="1"/>
      <c r="X9239" s="1"/>
      <c r="Y9239" s="1"/>
      <c r="Z9239" s="1"/>
      <c r="AA9239" s="1"/>
      <c r="AB9239" s="1"/>
    </row>
    <row r="9240" ht="50.25" customHeight="1">
      <c r="A9240" s="12">
        <v>9236.0</v>
      </c>
      <c r="B9240" s="13" t="s">
        <v>8699</v>
      </c>
      <c r="C9240" s="18" t="s">
        <v>9266</v>
      </c>
      <c r="D9240" s="1"/>
      <c r="E9240" s="1"/>
      <c r="F9240" s="1" t="str">
        <f>IFERROR(__xludf.DUMMYFUNCTION("GOOGLETRANSLATE(B9240, ""en"", ""fa"")
"),"موفقیت در پادکست")</f>
        <v>موفقیت در پادکست</v>
      </c>
      <c r="G9240" s="1" t="str">
        <f>IFERROR(__xludf.DUMMYFUNCTION("GOOGLETRANSLATE(C9240, ""en"", ""fa"")
"),"تکنیک‌هایی برای استفاده از بینش و اطلاعات جمعیتی پادکست شما برای جذب تبلیغ‌کنندگانی که به دنبال هدف قرار دادن بخش‌های مصرف‌کننده خاص هستند چیست؟")</f>
        <v>تکنیک‌هایی برای استفاده از بینش و اطلاعات جمعیتی پادکست شما برای جذب تبلیغ‌کنندگانی که به دنبال هدف قرار دادن بخش‌های مصرف‌کننده خاص هستند چیست؟</v>
      </c>
      <c r="H9240" s="1"/>
      <c r="I9240" s="1"/>
      <c r="J9240" s="1"/>
      <c r="K9240" s="1"/>
      <c r="L9240" s="1"/>
      <c r="M9240" s="1"/>
      <c r="N9240" s="1"/>
      <c r="O9240" s="1"/>
      <c r="P9240" s="1"/>
      <c r="Q9240" s="1"/>
      <c r="R9240" s="1"/>
      <c r="S9240" s="1"/>
      <c r="T9240" s="1"/>
      <c r="U9240" s="1"/>
      <c r="V9240" s="1"/>
      <c r="W9240" s="1"/>
      <c r="X9240" s="1"/>
      <c r="Y9240" s="1"/>
      <c r="Z9240" s="1"/>
      <c r="AA9240" s="1"/>
      <c r="AB9240" s="1"/>
    </row>
    <row r="9241" ht="50.25" customHeight="1">
      <c r="A9241" s="12">
        <v>9237.0</v>
      </c>
      <c r="B9241" s="13" t="s">
        <v>8699</v>
      </c>
      <c r="C9241" s="18" t="s">
        <v>9267</v>
      </c>
      <c r="D9241" s="1"/>
      <c r="E9241" s="1"/>
      <c r="F9241" s="1" t="str">
        <f>IFERROR(__xludf.DUMMYFUNCTION("GOOGLETRANSLATE(B9241, ""en"", ""fa"")
"),"موفقیت در پادکست")</f>
        <v>موفقیت در پادکست</v>
      </c>
      <c r="G9241" s="1" t="str">
        <f>IFERROR(__xludf.DUMMYFUNCTION("GOOGLETRANSLATE(C9241, ""en"", ""fa"")
"),"چگونه از پادکست خود از طریق رویدادهای زنده، همکاری‌ها یا فعال‌سازی‌های برندی که تجربیات و فرصت‌های تعامل منحصربه‌فردی را برای مخاطبان شما ارائه می‌کنند، کسب درآمد کنید؟")</f>
        <v>چگونه از پادکست خود از طریق رویدادهای زنده، همکاری‌ها یا فعال‌سازی‌های برندی که تجربیات و فرصت‌های تعامل منحصربه‌فردی را برای مخاطبان شما ارائه می‌کنند، کسب درآمد کنید؟</v>
      </c>
      <c r="H9241" s="1"/>
      <c r="I9241" s="1"/>
      <c r="J9241" s="1"/>
      <c r="K9241" s="1"/>
      <c r="L9241" s="1"/>
      <c r="M9241" s="1"/>
      <c r="N9241" s="1"/>
      <c r="O9241" s="1"/>
      <c r="P9241" s="1"/>
      <c r="Q9241" s="1"/>
      <c r="R9241" s="1"/>
      <c r="S9241" s="1"/>
      <c r="T9241" s="1"/>
      <c r="U9241" s="1"/>
      <c r="V9241" s="1"/>
      <c r="W9241" s="1"/>
      <c r="X9241" s="1"/>
      <c r="Y9241" s="1"/>
      <c r="Z9241" s="1"/>
      <c r="AA9241" s="1"/>
      <c r="AB9241" s="1"/>
    </row>
    <row r="9242" ht="50.25" customHeight="1">
      <c r="A9242" s="12">
        <v>9238.0</v>
      </c>
      <c r="B9242" s="13" t="s">
        <v>8699</v>
      </c>
      <c r="C9242" s="18" t="s">
        <v>9268</v>
      </c>
      <c r="D9242" s="1"/>
      <c r="E9242" s="1"/>
      <c r="F9242" s="1" t="str">
        <f>IFERROR(__xludf.DUMMYFUNCTION("GOOGLETRANSLATE(B9242, ""en"", ""fa"")
"),"موفقیت در پادکست")</f>
        <v>موفقیت در پادکست</v>
      </c>
      <c r="G9242" s="1" t="str">
        <f>IFERROR(__xludf.DUMMYFUNCTION("GOOGLETRANSLATE(C9242, ""en"", ""fa"")
"),"استراتژی‌های مختلف کسب درآمد برای تولیدکنندگان محتوا، از جمله پادکست‌ها، چیست و چگونه می‌توانید یک مورد مناسب را برای پادکست خود انتخاب کنید؟")</f>
        <v>استراتژی‌های مختلف کسب درآمد برای تولیدکنندگان محتوا، از جمله پادکست‌ها، چیست و چگونه می‌توانید یک مورد مناسب را برای پادکست خود انتخاب کنید؟</v>
      </c>
      <c r="H9242" s="1"/>
      <c r="I9242" s="1"/>
      <c r="J9242" s="1"/>
      <c r="K9242" s="1"/>
      <c r="L9242" s="1"/>
      <c r="M9242" s="1"/>
      <c r="N9242" s="1"/>
      <c r="O9242" s="1"/>
      <c r="P9242" s="1"/>
      <c r="Q9242" s="1"/>
      <c r="R9242" s="1"/>
      <c r="S9242" s="1"/>
      <c r="T9242" s="1"/>
      <c r="U9242" s="1"/>
      <c r="V9242" s="1"/>
      <c r="W9242" s="1"/>
      <c r="X9242" s="1"/>
      <c r="Y9242" s="1"/>
      <c r="Z9242" s="1"/>
      <c r="AA9242" s="1"/>
      <c r="AB9242" s="1"/>
    </row>
    <row r="9243" ht="50.25" customHeight="1">
      <c r="A9243" s="12">
        <v>9239.0</v>
      </c>
      <c r="B9243" s="13" t="s">
        <v>8699</v>
      </c>
      <c r="C9243" s="18" t="s">
        <v>9269</v>
      </c>
      <c r="D9243" s="1"/>
      <c r="E9243" s="1"/>
      <c r="F9243" s="1" t="str">
        <f>IFERROR(__xludf.DUMMYFUNCTION("GOOGLETRANSLATE(B9243, ""en"", ""fa"")
"),"موفقیت در پادکست")</f>
        <v>موفقیت در پادکست</v>
      </c>
      <c r="G9243" s="1" t="str">
        <f>IFERROR(__xludf.DUMMYFUNCTION("GOOGLETRANSLATE(C9243, ""en"", ""fa"")
"),"راهکارهایی برای تنوع بخشیدن به جریان درآمد پادکست شما، مانند ایجاد و فروش محصولات دیجیتال، ارائه خدمات مشاوره، یا میزبانی رویدادهای زنده، برای به حداکثر رساندن پتانسیل درآمد شما چیست؟")</f>
        <v>راهکارهایی برای تنوع بخشیدن به جریان درآمد پادکست شما، مانند ایجاد و فروش محصولات دیجیتال، ارائه خدمات مشاوره، یا میزبانی رویدادهای زنده، برای به حداکثر رساندن پتانسیل درآمد شما چیست؟</v>
      </c>
      <c r="H9243" s="1"/>
      <c r="I9243" s="1"/>
      <c r="J9243" s="1"/>
      <c r="K9243" s="1"/>
      <c r="L9243" s="1"/>
      <c r="M9243" s="1"/>
      <c r="N9243" s="1"/>
      <c r="O9243" s="1"/>
      <c r="P9243" s="1"/>
      <c r="Q9243" s="1"/>
      <c r="R9243" s="1"/>
      <c r="S9243" s="1"/>
      <c r="T9243" s="1"/>
      <c r="U9243" s="1"/>
      <c r="V9243" s="1"/>
      <c r="W9243" s="1"/>
      <c r="X9243" s="1"/>
      <c r="Y9243" s="1"/>
      <c r="Z9243" s="1"/>
      <c r="AA9243" s="1"/>
      <c r="AB9243" s="1"/>
    </row>
    <row r="9244" ht="50.25" customHeight="1">
      <c r="A9244" s="12">
        <v>9240.0</v>
      </c>
      <c r="B9244" s="13" t="s">
        <v>8699</v>
      </c>
      <c r="C9244" s="18" t="s">
        <v>9270</v>
      </c>
      <c r="D9244" s="1"/>
      <c r="E9244" s="1"/>
      <c r="F9244" s="1" t="str">
        <f>IFERROR(__xludf.DUMMYFUNCTION("GOOGLETRANSLATE(B9244, ""en"", ""fa"")
"),"موفقیت در پادکست")</f>
        <v>موفقیت در پادکست</v>
      </c>
      <c r="G9244" s="1" t="str">
        <f>IFERROR(__xludf.DUMMYFUNCTION("GOOGLETRANSLATE(C9244, ""en"", ""fa"")
"),"استراتژی‌هایی برای ارائه قسمت‌های جایزه حمایت‌شده، محتوای انحصاری، یا دسترسی زودهنگام برای کسب درآمد از طرفداران و حامیان اختصاصی چیست؟")</f>
        <v>استراتژی‌هایی برای ارائه قسمت‌های جایزه حمایت‌شده، محتوای انحصاری، یا دسترسی زودهنگام برای کسب درآمد از طرفداران و حامیان اختصاصی چیست؟</v>
      </c>
      <c r="H9244" s="1"/>
      <c r="I9244" s="1"/>
      <c r="J9244" s="1"/>
      <c r="K9244" s="1"/>
      <c r="L9244" s="1"/>
      <c r="M9244" s="1"/>
      <c r="N9244" s="1"/>
      <c r="O9244" s="1"/>
      <c r="P9244" s="1"/>
      <c r="Q9244" s="1"/>
      <c r="R9244" s="1"/>
      <c r="S9244" s="1"/>
      <c r="T9244" s="1"/>
      <c r="U9244" s="1"/>
      <c r="V9244" s="1"/>
      <c r="W9244" s="1"/>
      <c r="X9244" s="1"/>
      <c r="Y9244" s="1"/>
      <c r="Z9244" s="1"/>
      <c r="AA9244" s="1"/>
      <c r="AB9244" s="1"/>
    </row>
    <row r="9245" ht="50.25" customHeight="1">
      <c r="A9245" s="12">
        <v>9241.0</v>
      </c>
      <c r="B9245" s="13" t="s">
        <v>8699</v>
      </c>
      <c r="C9245" s="18" t="s">
        <v>9271</v>
      </c>
      <c r="D9245" s="1"/>
      <c r="E9245" s="1"/>
      <c r="F9245" s="1" t="str">
        <f>IFERROR(__xludf.DUMMYFUNCTION("GOOGLETRANSLATE(B9245, ""en"", ""fa"")
"),"موفقیت در پادکست")</f>
        <v>موفقیت در پادکست</v>
      </c>
      <c r="G9245" s="1" t="str">
        <f>IFERROR(__xludf.DUMMYFUNCTION("GOOGLETRANSLATE(C9245, ""en"", ""fa"")
"),"چگونه اشتراک‌های پادکست ممتاز یا گزینه‌های گوش دادن بدون آگهی را توسعه داده و بفروشیم تا از مخاطبان پادکست خود درآمدی مکرر ایجاد کنیم؟")</f>
        <v>چگونه اشتراک‌های پادکست ممتاز یا گزینه‌های گوش دادن بدون آگهی را توسعه داده و بفروشیم تا از مخاطبان پادکست خود درآمدی مکرر ایجاد کنیم؟</v>
      </c>
      <c r="H9245" s="1"/>
      <c r="I9245" s="1"/>
      <c r="J9245" s="1"/>
      <c r="K9245" s="1"/>
      <c r="L9245" s="1"/>
      <c r="M9245" s="1"/>
      <c r="N9245" s="1"/>
      <c r="O9245" s="1"/>
      <c r="P9245" s="1"/>
      <c r="Q9245" s="1"/>
      <c r="R9245" s="1"/>
      <c r="S9245" s="1"/>
      <c r="T9245" s="1"/>
      <c r="U9245" s="1"/>
      <c r="V9245" s="1"/>
      <c r="W9245" s="1"/>
      <c r="X9245" s="1"/>
      <c r="Y9245" s="1"/>
      <c r="Z9245" s="1"/>
      <c r="AA9245" s="1"/>
      <c r="AB9245" s="1"/>
    </row>
    <row r="9246" ht="50.25" customHeight="1">
      <c r="A9246" s="12">
        <v>9242.0</v>
      </c>
      <c r="B9246" s="13" t="s">
        <v>8699</v>
      </c>
      <c r="C9246" s="18" t="s">
        <v>9272</v>
      </c>
      <c r="D9246" s="1"/>
      <c r="E9246" s="1"/>
      <c r="F9246" s="1" t="str">
        <f>IFERROR(__xludf.DUMMYFUNCTION("GOOGLETRANSLATE(B9246, ""en"", ""fa"")
"),"موفقیت در پادکست")</f>
        <v>موفقیت در پادکست</v>
      </c>
      <c r="G9246" s="1" t="str">
        <f>IFERROR(__xludf.DUMMYFUNCTION("GOOGLETRANSLATE(C9246, ""en"", ""fa"")
"),"چگونه پادکست خود را از طریق همکاری با نام تجاری و ادغام محصول که با محتوای پادکست شما و علایق مخاطبان هماهنگ است، کسب درآمد کنید؟")</f>
        <v>چگونه پادکست خود را از طریق همکاری با نام تجاری و ادغام محصول که با محتوای پادکست شما و علایق مخاطبان هماهنگ است، کسب درآمد کنید؟</v>
      </c>
      <c r="H9246" s="1"/>
      <c r="I9246" s="1"/>
      <c r="J9246" s="1"/>
      <c r="K9246" s="1"/>
      <c r="L9246" s="1"/>
      <c r="M9246" s="1"/>
      <c r="N9246" s="1"/>
      <c r="O9246" s="1"/>
      <c r="P9246" s="1"/>
      <c r="Q9246" s="1"/>
      <c r="R9246" s="1"/>
      <c r="S9246" s="1"/>
      <c r="T9246" s="1"/>
      <c r="U9246" s="1"/>
      <c r="V9246" s="1"/>
      <c r="W9246" s="1"/>
      <c r="X9246" s="1"/>
      <c r="Y9246" s="1"/>
      <c r="Z9246" s="1"/>
      <c r="AA9246" s="1"/>
      <c r="AB9246" s="1"/>
    </row>
    <row r="9247" ht="50.25" customHeight="1">
      <c r="A9247" s="12">
        <v>9243.0</v>
      </c>
      <c r="B9247" s="13" t="s">
        <v>8699</v>
      </c>
      <c r="C9247" s="18" t="s">
        <v>9273</v>
      </c>
      <c r="D9247" s="1"/>
      <c r="E9247" s="1"/>
      <c r="F9247" s="1" t="str">
        <f>IFERROR(__xludf.DUMMYFUNCTION("GOOGLETRANSLATE(B9247, ""en"", ""fa"")
"),"موفقیت در پادکست")</f>
        <v>موفقیت در پادکست</v>
      </c>
      <c r="G9247" s="1" t="str">
        <f>IFERROR(__xludf.DUMMYFUNCTION("GOOGLETRANSLATE(C9247, ""en"", ""fa"")
"),"استراتژی‌های پیاده‌سازی مدل‌های پرداخت به ازای نمایش یا پرداخت به ازای هر قسمت برای محتوای پادکست ویژه یا ممتاز چیست؟")</f>
        <v>استراتژی‌های پیاده‌سازی مدل‌های پرداخت به ازای نمایش یا پرداخت به ازای هر قسمت برای محتوای پادکست ویژه یا ممتاز چیست؟</v>
      </c>
      <c r="H9247" s="1"/>
      <c r="I9247" s="1"/>
      <c r="J9247" s="1"/>
      <c r="K9247" s="1"/>
      <c r="L9247" s="1"/>
      <c r="M9247" s="1"/>
      <c r="N9247" s="1"/>
      <c r="O9247" s="1"/>
      <c r="P9247" s="1"/>
      <c r="Q9247" s="1"/>
      <c r="R9247" s="1"/>
      <c r="S9247" s="1"/>
      <c r="T9247" s="1"/>
      <c r="U9247" s="1"/>
      <c r="V9247" s="1"/>
      <c r="W9247" s="1"/>
      <c r="X9247" s="1"/>
      <c r="Y9247" s="1"/>
      <c r="Z9247" s="1"/>
      <c r="AA9247" s="1"/>
      <c r="AB9247" s="1"/>
    </row>
    <row r="9248" ht="50.25" customHeight="1">
      <c r="A9248" s="12">
        <v>9244.0</v>
      </c>
      <c r="B9248" s="13" t="s">
        <v>8699</v>
      </c>
      <c r="C9248" s="18" t="s">
        <v>9274</v>
      </c>
      <c r="D9248" s="1"/>
      <c r="E9248" s="1"/>
      <c r="F9248" s="1" t="str">
        <f>IFERROR(__xludf.DUMMYFUNCTION("GOOGLETRANSLATE(B9248, ""en"", ""fa"")
"),"موفقیت در پادکست")</f>
        <v>موفقیت در پادکست</v>
      </c>
      <c r="G9248" s="1" t="str">
        <f>IFERROR(__xludf.DUMMYFUNCTION("GOOGLETRANSLATE(C9248, ""en"", ""fa"")
"),"چگونه می توان یک مدل درآمدزایی ترکیبی را با ترکیب استراتژی های مختلف مانند تبلیغات، حمایت مالی و محتوای ممتاز برای به حداکثر رساندن جریان درآمد پیاده سازی کرد؟")</f>
        <v>چگونه می توان یک مدل درآمدزایی ترکیبی را با ترکیب استراتژی های مختلف مانند تبلیغات، حمایت مالی و محتوای ممتاز برای به حداکثر رساندن جریان درآمد پیاده سازی کرد؟</v>
      </c>
      <c r="H9248" s="1"/>
      <c r="I9248" s="1"/>
      <c r="J9248" s="1"/>
      <c r="K9248" s="1"/>
      <c r="L9248" s="1"/>
      <c r="M9248" s="1"/>
      <c r="N9248" s="1"/>
      <c r="O9248" s="1"/>
      <c r="P9248" s="1"/>
      <c r="Q9248" s="1"/>
      <c r="R9248" s="1"/>
      <c r="S9248" s="1"/>
      <c r="T9248" s="1"/>
      <c r="U9248" s="1"/>
      <c r="V9248" s="1"/>
      <c r="W9248" s="1"/>
      <c r="X9248" s="1"/>
      <c r="Y9248" s="1"/>
      <c r="Z9248" s="1"/>
      <c r="AA9248" s="1"/>
      <c r="AB9248" s="1"/>
    </row>
    <row r="9249" ht="50.25" customHeight="1">
      <c r="A9249" s="12">
        <v>9245.0</v>
      </c>
      <c r="B9249" s="13" t="s">
        <v>8699</v>
      </c>
      <c r="C9249" s="18" t="s">
        <v>9275</v>
      </c>
      <c r="D9249" s="1"/>
      <c r="E9249" s="1"/>
      <c r="F9249" s="1" t="str">
        <f>IFERROR(__xludf.DUMMYFUNCTION("GOOGLETRANSLATE(B9249, ""en"", ""fa"")
"),"موفقیت در پادکست")</f>
        <v>موفقیت در پادکست</v>
      </c>
      <c r="G9249" s="1" t="str">
        <f>IFERROR(__xludf.DUMMYFUNCTION("GOOGLETRANSLATE(C9249, ""en"", ""fa"")
"),"تکنیک‌هایی برای استفاده از جامعه پادکست و مشارکت مخاطبان برای ارائه عضویت ممتاز یا دسترسی انحصاری به محتوای جایزه چیست؟")</f>
        <v>تکنیک‌هایی برای استفاده از جامعه پادکست و مشارکت مخاطبان برای ارائه عضویت ممتاز یا دسترسی انحصاری به محتوای جایزه چیست؟</v>
      </c>
      <c r="H9249" s="1"/>
      <c r="I9249" s="1"/>
      <c r="J9249" s="1"/>
      <c r="K9249" s="1"/>
      <c r="L9249" s="1"/>
      <c r="M9249" s="1"/>
      <c r="N9249" s="1"/>
      <c r="O9249" s="1"/>
      <c r="P9249" s="1"/>
      <c r="Q9249" s="1"/>
      <c r="R9249" s="1"/>
      <c r="S9249" s="1"/>
      <c r="T9249" s="1"/>
      <c r="U9249" s="1"/>
      <c r="V9249" s="1"/>
      <c r="W9249" s="1"/>
      <c r="X9249" s="1"/>
      <c r="Y9249" s="1"/>
      <c r="Z9249" s="1"/>
      <c r="AA9249" s="1"/>
      <c r="AB9249" s="1"/>
    </row>
    <row r="9250" ht="50.25" customHeight="1">
      <c r="A9250" s="12">
        <v>9246.0</v>
      </c>
      <c r="B9250" s="13" t="s">
        <v>8699</v>
      </c>
      <c r="C9250" s="18" t="s">
        <v>9276</v>
      </c>
      <c r="D9250" s="1"/>
      <c r="E9250" s="1"/>
      <c r="F9250" s="1" t="str">
        <f>IFERROR(__xludf.DUMMYFUNCTION("GOOGLETRANSLATE(B9250, ""en"", ""fa"")
"),"موفقیت در پادکست")</f>
        <v>موفقیت در پادکست</v>
      </c>
      <c r="G9250" s="1" t="str">
        <f>IFERROR(__xludf.DUMMYFUNCTION("GOOGLETRANSLATE(C9250, ""en"", ""fa"")
"),"چگونه پادکست خود را از طریق مشارکت با برند و قسمت های حمایت شده که محتوا و تبلیغات ارزشمندی را در اختیار مخاطبان خود قرار می دهد، کسب درآمد کنید؟")</f>
        <v>چگونه پادکست خود را از طریق مشارکت با برند و قسمت های حمایت شده که محتوا و تبلیغات ارزشمندی را در اختیار مخاطبان خود قرار می دهد، کسب درآمد کنید؟</v>
      </c>
      <c r="H9250" s="1"/>
      <c r="I9250" s="1"/>
      <c r="J9250" s="1"/>
      <c r="K9250" s="1"/>
      <c r="L9250" s="1"/>
      <c r="M9250" s="1"/>
      <c r="N9250" s="1"/>
      <c r="O9250" s="1"/>
      <c r="P9250" s="1"/>
      <c r="Q9250" s="1"/>
      <c r="R9250" s="1"/>
      <c r="S9250" s="1"/>
      <c r="T9250" s="1"/>
      <c r="U9250" s="1"/>
      <c r="V9250" s="1"/>
      <c r="W9250" s="1"/>
      <c r="X9250" s="1"/>
      <c r="Y9250" s="1"/>
      <c r="Z9250" s="1"/>
      <c r="AA9250" s="1"/>
      <c r="AB9250" s="1"/>
    </row>
    <row r="9251" ht="50.25" customHeight="1">
      <c r="A9251" s="12">
        <v>9247.0</v>
      </c>
      <c r="B9251" s="13" t="s">
        <v>8699</v>
      </c>
      <c r="C9251" s="18" t="s">
        <v>9277</v>
      </c>
      <c r="D9251" s="1"/>
      <c r="E9251" s="1"/>
      <c r="F9251" s="1" t="str">
        <f>IFERROR(__xludf.DUMMYFUNCTION("GOOGLETRANSLATE(B9251, ""en"", ""fa"")
"),"موفقیت در پادکست")</f>
        <v>موفقیت در پادکست</v>
      </c>
      <c r="G9251" s="1" t="str">
        <f>IFERROR(__xludf.DUMMYFUNCTION("GOOGLETRANSLATE(C9251, ""en"", ""fa"")
"),"راهبردهای ارائه کالاهای مارک دار یا محصولات با نسخه محدود مرتبط با پادکست شما برای ایجاد جریان های درآمد اضافی چیست؟")</f>
        <v>راهبردهای ارائه کالاهای مارک دار یا محصولات با نسخه محدود مرتبط با پادکست شما برای ایجاد جریان های درآمد اضافی چیست؟</v>
      </c>
      <c r="H9251" s="1"/>
      <c r="I9251" s="1"/>
      <c r="J9251" s="1"/>
      <c r="K9251" s="1"/>
      <c r="L9251" s="1"/>
      <c r="M9251" s="1"/>
      <c r="N9251" s="1"/>
      <c r="O9251" s="1"/>
      <c r="P9251" s="1"/>
      <c r="Q9251" s="1"/>
      <c r="R9251" s="1"/>
      <c r="S9251" s="1"/>
      <c r="T9251" s="1"/>
      <c r="U9251" s="1"/>
      <c r="V9251" s="1"/>
      <c r="W9251" s="1"/>
      <c r="X9251" s="1"/>
      <c r="Y9251" s="1"/>
      <c r="Z9251" s="1"/>
      <c r="AA9251" s="1"/>
      <c r="AB9251" s="1"/>
    </row>
    <row r="9252" ht="50.25" customHeight="1">
      <c r="A9252" s="12">
        <v>9248.0</v>
      </c>
      <c r="B9252" s="13" t="s">
        <v>8699</v>
      </c>
      <c r="C9252" s="18" t="s">
        <v>9278</v>
      </c>
      <c r="D9252" s="1"/>
      <c r="E9252" s="1"/>
      <c r="F9252" s="1" t="str">
        <f>IFERROR(__xludf.DUMMYFUNCTION("GOOGLETRANSLATE(B9252, ""en"", ""fa"")
"),"موفقیت در پادکست")</f>
        <v>موفقیت در پادکست</v>
      </c>
      <c r="G9252" s="1" t="str">
        <f>IFERROR(__xludf.DUMMYFUNCTION("GOOGLETRANSLATE(C9252, ""en"", ""fa"")
"),"چگونه می توان تجربه و تعامل شنونده پادکست خود را برای جذب تبلیغ کنندگان و حامیانی که برای مخاطبان بسیار توجه و پاسخگو ارزش قائل هستند، بهینه کرد؟")</f>
        <v>چگونه می توان تجربه و تعامل شنونده پادکست خود را برای جذب تبلیغ کنندگان و حامیانی که برای مخاطبان بسیار توجه و پاسخگو ارزش قائل هستند، بهینه کرد؟</v>
      </c>
      <c r="H9252" s="1"/>
      <c r="I9252" s="1"/>
      <c r="J9252" s="1"/>
      <c r="K9252" s="1"/>
      <c r="L9252" s="1"/>
      <c r="M9252" s="1"/>
      <c r="N9252" s="1"/>
      <c r="O9252" s="1"/>
      <c r="P9252" s="1"/>
      <c r="Q9252" s="1"/>
      <c r="R9252" s="1"/>
      <c r="S9252" s="1"/>
      <c r="T9252" s="1"/>
      <c r="U9252" s="1"/>
      <c r="V9252" s="1"/>
      <c r="W9252" s="1"/>
      <c r="X9252" s="1"/>
      <c r="Y9252" s="1"/>
      <c r="Z9252" s="1"/>
      <c r="AA9252" s="1"/>
      <c r="AB9252" s="1"/>
    </row>
    <row r="9253" ht="50.25" customHeight="1">
      <c r="A9253" s="12">
        <v>9249.0</v>
      </c>
      <c r="B9253" s="13" t="s">
        <v>8699</v>
      </c>
      <c r="C9253" s="18" t="s">
        <v>9279</v>
      </c>
      <c r="D9253" s="1"/>
      <c r="E9253" s="1"/>
      <c r="F9253" s="1" t="str">
        <f>IFERROR(__xludf.DUMMYFUNCTION("GOOGLETRANSLATE(B9253, ""en"", ""fa"")
"),"موفقیت در پادکست")</f>
        <v>موفقیت در پادکست</v>
      </c>
      <c r="G9253" s="1" t="str">
        <f>IFERROR(__xludf.DUMMYFUNCTION("GOOGLETRANSLATE(C9253, ""en"", ""fa"")
"),"تکنیک‌های پیاده‌سازی تبلیغات هدفمند و تبلیغات شخصی‌شده در قسمت‌های پادکست برای افزایش درآمد و مشارکت شنوندگان چیست؟")</f>
        <v>تکنیک‌های پیاده‌سازی تبلیغات هدفمند و تبلیغات شخصی‌شده در قسمت‌های پادکست برای افزایش درآمد و مشارکت شنوندگان چیست؟</v>
      </c>
      <c r="H9253" s="1"/>
      <c r="I9253" s="1"/>
      <c r="J9253" s="1"/>
      <c r="K9253" s="1"/>
      <c r="L9253" s="1"/>
      <c r="M9253" s="1"/>
      <c r="N9253" s="1"/>
      <c r="O9253" s="1"/>
      <c r="P9253" s="1"/>
      <c r="Q9253" s="1"/>
      <c r="R9253" s="1"/>
      <c r="S9253" s="1"/>
      <c r="T9253" s="1"/>
      <c r="U9253" s="1"/>
      <c r="V9253" s="1"/>
      <c r="W9253" s="1"/>
      <c r="X9253" s="1"/>
      <c r="Y9253" s="1"/>
      <c r="Z9253" s="1"/>
      <c r="AA9253" s="1"/>
      <c r="AB9253" s="1"/>
    </row>
    <row r="9254" ht="50.25" customHeight="1">
      <c r="A9254" s="12">
        <v>9250.0</v>
      </c>
      <c r="B9254" s="13" t="s">
        <v>8699</v>
      </c>
      <c r="C9254" s="18" t="s">
        <v>9280</v>
      </c>
      <c r="D9254" s="1"/>
      <c r="E9254" s="1"/>
      <c r="F9254" s="1" t="str">
        <f>IFERROR(__xludf.DUMMYFUNCTION("GOOGLETRANSLATE(B9254, ""en"", ""fa"")
"),"موفقیت در پادکست")</f>
        <v>موفقیت در پادکست</v>
      </c>
      <c r="G9254" s="1" t="str">
        <f>IFERROR(__xludf.DUMMYFUNCTION("GOOGLETRANSLATE(C9254, ""en"", ""fa"")
"),"چگونه پادکست خود را از طریق مشارکت های وابسته با محصولات یا خدمات مرتبطی که با مخاطبان شما طنین انداز می شود و با جایگاه پادکست شما هماهنگ است، کسب درآمد کنید؟")</f>
        <v>چگونه پادکست خود را از طریق مشارکت های وابسته با محصولات یا خدمات مرتبطی که با مخاطبان شما طنین انداز می شود و با جایگاه پادکست شما هماهنگ است، کسب درآمد کنید؟</v>
      </c>
      <c r="H9254" s="1"/>
      <c r="I9254" s="1"/>
      <c r="J9254" s="1"/>
      <c r="K9254" s="1"/>
      <c r="L9254" s="1"/>
      <c r="M9254" s="1"/>
      <c r="N9254" s="1"/>
      <c r="O9254" s="1"/>
      <c r="P9254" s="1"/>
      <c r="Q9254" s="1"/>
      <c r="R9254" s="1"/>
      <c r="S9254" s="1"/>
      <c r="T9254" s="1"/>
      <c r="U9254" s="1"/>
      <c r="V9254" s="1"/>
      <c r="W9254" s="1"/>
      <c r="X9254" s="1"/>
      <c r="Y9254" s="1"/>
      <c r="Z9254" s="1"/>
      <c r="AA9254" s="1"/>
      <c r="AB9254" s="1"/>
    </row>
    <row r="9255" ht="50.25" customHeight="1">
      <c r="A9255" s="12">
        <v>9251.0</v>
      </c>
      <c r="B9255" s="13" t="s">
        <v>8699</v>
      </c>
      <c r="C9255" s="18" t="s">
        <v>9281</v>
      </c>
      <c r="D9255" s="1"/>
      <c r="E9255" s="1"/>
      <c r="F9255" s="1" t="str">
        <f>IFERROR(__xludf.DUMMYFUNCTION("GOOGLETRANSLATE(B9255, ""en"", ""fa"")
"),"موفقیت در پادکست")</f>
        <v>موفقیت در پادکست</v>
      </c>
      <c r="G9255" s="1" t="str">
        <f>IFERROR(__xludf.DUMMYFUNCTION("GOOGLETRANSLATE(C9255, ""en"", ""fa"")
"),"استراتژی‌های ارائه اشتراک‌های ممتاز یا عضویت با مزایای انحصاری، مانند دسترسی به قسمت‌های جایزه، محتوای پشت صحنه، یا جلسات پرسش و پاسخ چیست؟")</f>
        <v>استراتژی‌های ارائه اشتراک‌های ممتاز یا عضویت با مزایای انحصاری، مانند دسترسی به قسمت‌های جایزه، محتوای پشت صحنه، یا جلسات پرسش و پاسخ چیست؟</v>
      </c>
      <c r="H9255" s="1"/>
      <c r="I9255" s="1"/>
      <c r="J9255" s="1"/>
      <c r="K9255" s="1"/>
      <c r="L9255" s="1"/>
      <c r="M9255" s="1"/>
      <c r="N9255" s="1"/>
      <c r="O9255" s="1"/>
      <c r="P9255" s="1"/>
      <c r="Q9255" s="1"/>
      <c r="R9255" s="1"/>
      <c r="S9255" s="1"/>
      <c r="T9255" s="1"/>
      <c r="U9255" s="1"/>
      <c r="V9255" s="1"/>
      <c r="W9255" s="1"/>
      <c r="X9255" s="1"/>
      <c r="Y9255" s="1"/>
      <c r="Z9255" s="1"/>
      <c r="AA9255" s="1"/>
      <c r="AB9255" s="1"/>
    </row>
    <row r="9256" ht="50.25" customHeight="1">
      <c r="A9256" s="12">
        <v>9252.0</v>
      </c>
      <c r="B9256" s="13" t="s">
        <v>8699</v>
      </c>
      <c r="C9256" s="18" t="s">
        <v>9282</v>
      </c>
      <c r="D9256" s="1"/>
      <c r="E9256" s="1"/>
      <c r="F9256" s="1" t="str">
        <f>IFERROR(__xludf.DUMMYFUNCTION("GOOGLETRANSLATE(B9256, ""en"", ""fa"")
"),"موفقیت در پادکست")</f>
        <v>موفقیت در پادکست</v>
      </c>
      <c r="G9256" s="1" t="str">
        <f>IFERROR(__xludf.DUMMYFUNCTION("GOOGLETRANSLATE(C9256, ""en"", ""fa"")
"),"چگونه می توان از موفقیت پادکست خود و اعتماد مخاطبان برای ایمن سازی تعاملات سخنرانی یا حضور در رویدادها استفاده کرد که باعث ایجاد درآمد و تبلیغ برند شما می شود؟")</f>
        <v>چگونه می توان از موفقیت پادکست خود و اعتماد مخاطبان برای ایمن سازی تعاملات سخنرانی یا حضور در رویدادها استفاده کرد که باعث ایجاد درآمد و تبلیغ برند شما می شود؟</v>
      </c>
      <c r="H9256" s="1"/>
      <c r="I9256" s="1"/>
      <c r="J9256" s="1"/>
      <c r="K9256" s="1"/>
      <c r="L9256" s="1"/>
      <c r="M9256" s="1"/>
      <c r="N9256" s="1"/>
      <c r="O9256" s="1"/>
      <c r="P9256" s="1"/>
      <c r="Q9256" s="1"/>
      <c r="R9256" s="1"/>
      <c r="S9256" s="1"/>
      <c r="T9256" s="1"/>
      <c r="U9256" s="1"/>
      <c r="V9256" s="1"/>
      <c r="W9256" s="1"/>
      <c r="X9256" s="1"/>
      <c r="Y9256" s="1"/>
      <c r="Z9256" s="1"/>
      <c r="AA9256" s="1"/>
      <c r="AB9256" s="1"/>
    </row>
    <row r="9257" ht="50.25" customHeight="1">
      <c r="A9257" s="12">
        <v>9253.0</v>
      </c>
      <c r="B9257" s="13" t="s">
        <v>8699</v>
      </c>
      <c r="C9257" s="18" t="s">
        <v>9283</v>
      </c>
      <c r="D9257" s="1"/>
      <c r="E9257" s="1"/>
      <c r="F9257" s="1" t="str">
        <f>IFERROR(__xludf.DUMMYFUNCTION("GOOGLETRANSLATE(B9257, ""en"", ""fa"")
"),"موفقیت در پادکست")</f>
        <v>موفقیت در پادکست</v>
      </c>
      <c r="G9257" s="1" t="str">
        <f>IFERROR(__xludf.DUMMYFUNCTION("GOOGLETRANSLATE(C9257, ""en"", ""fa"")
"),"تکنیک‌های پیاده‌سازی محتوای حمایت‌شده یا تبلیغات بومی در قسمت‌های پادکست‌تان به‌گونه‌ای که معتبر باشد و برای شنوندگانتان ارزش بیافزاید، چیست؟")</f>
        <v>تکنیک‌های پیاده‌سازی محتوای حمایت‌شده یا تبلیغات بومی در قسمت‌های پادکست‌تان به‌گونه‌ای که معتبر باشد و برای شنوندگانتان ارزش بیافزاید، چیست؟</v>
      </c>
      <c r="H9257" s="1"/>
      <c r="I9257" s="1"/>
      <c r="J9257" s="1"/>
      <c r="K9257" s="1"/>
      <c r="L9257" s="1"/>
      <c r="M9257" s="1"/>
      <c r="N9257" s="1"/>
      <c r="O9257" s="1"/>
      <c r="P9257" s="1"/>
      <c r="Q9257" s="1"/>
      <c r="R9257" s="1"/>
      <c r="S9257" s="1"/>
      <c r="T9257" s="1"/>
      <c r="U9257" s="1"/>
      <c r="V9257" s="1"/>
      <c r="W9257" s="1"/>
      <c r="X9257" s="1"/>
      <c r="Y9257" s="1"/>
      <c r="Z9257" s="1"/>
      <c r="AA9257" s="1"/>
      <c r="AB9257" s="1"/>
    </row>
    <row r="9258" ht="50.25" customHeight="1">
      <c r="A9258" s="12">
        <v>9254.0</v>
      </c>
      <c r="B9258" s="13" t="s">
        <v>8699</v>
      </c>
      <c r="C9258" s="18" t="s">
        <v>9284</v>
      </c>
      <c r="D9258" s="1"/>
      <c r="E9258" s="1"/>
      <c r="F9258" s="1" t="str">
        <f>IFERROR(__xludf.DUMMYFUNCTION("GOOGLETRANSLATE(B9258, ""en"", ""fa"")
"),"موفقیت در پادکست")</f>
        <v>موفقیت در پادکست</v>
      </c>
      <c r="G9258" s="1" t="str">
        <f>IFERROR(__xludf.DUMMYFUNCTION("GOOGLETRANSLATE(C9258, ""en"", ""fa"")
"),"چگونه پادکست خود را از طریق قراردادهای مجوز یا سندیکا با پلتفرم ها یا رسانه های دیگر که به دنبال توزیع یا تغییر هدف محتوای پادکست شما هستند، کسب درآمد کنید؟")</f>
        <v>چگونه پادکست خود را از طریق قراردادهای مجوز یا سندیکا با پلتفرم ها یا رسانه های دیگر که به دنبال توزیع یا تغییر هدف محتوای پادکست شما هستند، کسب درآمد کنید؟</v>
      </c>
      <c r="H9258" s="1"/>
      <c r="I9258" s="1"/>
      <c r="J9258" s="1"/>
      <c r="K9258" s="1"/>
      <c r="L9258" s="1"/>
      <c r="M9258" s="1"/>
      <c r="N9258" s="1"/>
      <c r="O9258" s="1"/>
      <c r="P9258" s="1"/>
      <c r="Q9258" s="1"/>
      <c r="R9258" s="1"/>
      <c r="S9258" s="1"/>
      <c r="T9258" s="1"/>
      <c r="U9258" s="1"/>
      <c r="V9258" s="1"/>
      <c r="W9258" s="1"/>
      <c r="X9258" s="1"/>
      <c r="Y9258" s="1"/>
      <c r="Z9258" s="1"/>
      <c r="AA9258" s="1"/>
      <c r="AB9258" s="1"/>
    </row>
    <row r="9259" ht="50.25" customHeight="1">
      <c r="A9259" s="12">
        <v>9255.0</v>
      </c>
      <c r="B9259" s="13" t="s">
        <v>8699</v>
      </c>
      <c r="C9259" s="18" t="s">
        <v>9285</v>
      </c>
      <c r="D9259" s="1"/>
      <c r="E9259" s="1"/>
      <c r="F9259" s="1" t="str">
        <f>IFERROR(__xludf.DUMMYFUNCTION("GOOGLETRANSLATE(B9259, ""en"", ""fa"")
"),"موفقیت در پادکست")</f>
        <v>موفقیت در پادکست</v>
      </c>
      <c r="G9259" s="1" t="str">
        <f>IFERROR(__xludf.DUMMYFUNCTION("GOOGLETRANSLATE(C9259, ""en"", ""fa"")
"),"اهمیت برندسازی برای پادکست ها چیست و چگونه می توانید یک هویت برند قوی برای پادکست خود ایجاد کنید؟")</f>
        <v>اهمیت برندسازی برای پادکست ها چیست و چگونه می توانید یک هویت برند قوی برای پادکست خود ایجاد کنید؟</v>
      </c>
      <c r="H9259" s="1"/>
      <c r="I9259" s="1"/>
      <c r="J9259" s="1"/>
      <c r="K9259" s="1"/>
      <c r="L9259" s="1"/>
      <c r="M9259" s="1"/>
      <c r="N9259" s="1"/>
      <c r="O9259" s="1"/>
      <c r="P9259" s="1"/>
      <c r="Q9259" s="1"/>
      <c r="R9259" s="1"/>
      <c r="S9259" s="1"/>
      <c r="T9259" s="1"/>
      <c r="U9259" s="1"/>
      <c r="V9259" s="1"/>
      <c r="W9259" s="1"/>
      <c r="X9259" s="1"/>
      <c r="Y9259" s="1"/>
      <c r="Z9259" s="1"/>
      <c r="AA9259" s="1"/>
      <c r="AB9259" s="1"/>
    </row>
    <row r="9260" ht="50.25" customHeight="1">
      <c r="A9260" s="12">
        <v>9256.0</v>
      </c>
      <c r="B9260" s="13" t="s">
        <v>8699</v>
      </c>
      <c r="C9260" s="18" t="s">
        <v>9286</v>
      </c>
      <c r="D9260" s="1"/>
      <c r="E9260" s="1"/>
      <c r="F9260" s="1" t="str">
        <f>IFERROR(__xludf.DUMMYFUNCTION("GOOGLETRANSLATE(B9260, ""en"", ""fa"")
"),"موفقیت در پادکست")</f>
        <v>موفقیت در پادکست</v>
      </c>
      <c r="G9260" s="1" t="str">
        <f>IFERROR(__xludf.DUMMYFUNCTION("GOOGLETRANSLATE(C9260, ""en"", ""fa"")
"),"چگونه ارزش پیشنهادی و موقعیت منحصر به فرد پادکست خود را در بازار تعریف کنید تا از رقبا متمایز شوید؟")</f>
        <v>چگونه ارزش پیشنهادی و موقعیت منحصر به فرد پادکست خود را در بازار تعریف کنید تا از رقبا متمایز شوید؟</v>
      </c>
      <c r="H9260" s="1"/>
      <c r="I9260" s="1"/>
      <c r="J9260" s="1"/>
      <c r="K9260" s="1"/>
      <c r="L9260" s="1"/>
      <c r="M9260" s="1"/>
      <c r="N9260" s="1"/>
      <c r="O9260" s="1"/>
      <c r="P9260" s="1"/>
      <c r="Q9260" s="1"/>
      <c r="R9260" s="1"/>
      <c r="S9260" s="1"/>
      <c r="T9260" s="1"/>
      <c r="U9260" s="1"/>
      <c r="V9260" s="1"/>
      <c r="W9260" s="1"/>
      <c r="X9260" s="1"/>
      <c r="Y9260" s="1"/>
      <c r="Z9260" s="1"/>
      <c r="AA9260" s="1"/>
      <c r="AB9260" s="1"/>
    </row>
    <row r="9261" ht="50.25" customHeight="1">
      <c r="A9261" s="12">
        <v>9257.0</v>
      </c>
      <c r="B9261" s="13" t="s">
        <v>8699</v>
      </c>
      <c r="C9261" s="18" t="s">
        <v>9287</v>
      </c>
      <c r="D9261" s="1"/>
      <c r="E9261" s="1"/>
      <c r="F9261" s="1" t="str">
        <f>IFERROR(__xludf.DUMMYFUNCTION("GOOGLETRANSLATE(B9261, ""en"", ""fa"")
"),"موفقیت در پادکست")</f>
        <v>موفقیت در پادکست</v>
      </c>
      <c r="G9261" s="1" t="str">
        <f>IFERROR(__xludf.DUMMYFUNCTION("GOOGLETRANSLATE(C9261, ""en"", ""fa"")
"),"هنگام طراحی یک لوگوی جذاب پادکست و هویت بصری که با مخاطب هدف شما طنین انداز می شود، چه عناصر کلیدی را باید در نظر بگیرید؟")</f>
        <v>هنگام طراحی یک لوگوی جذاب پادکست و هویت بصری که با مخاطب هدف شما طنین انداز می شود، چه عناصر کلیدی را باید در نظر بگیرید؟</v>
      </c>
      <c r="H9261" s="1"/>
      <c r="I9261" s="1"/>
      <c r="J9261" s="1"/>
      <c r="K9261" s="1"/>
      <c r="L9261" s="1"/>
      <c r="M9261" s="1"/>
      <c r="N9261" s="1"/>
      <c r="O9261" s="1"/>
      <c r="P9261" s="1"/>
      <c r="Q9261" s="1"/>
      <c r="R9261" s="1"/>
      <c r="S9261" s="1"/>
      <c r="T9261" s="1"/>
      <c r="U9261" s="1"/>
      <c r="V9261" s="1"/>
      <c r="W9261" s="1"/>
      <c r="X9261" s="1"/>
      <c r="Y9261" s="1"/>
      <c r="Z9261" s="1"/>
      <c r="AA9261" s="1"/>
      <c r="AB9261" s="1"/>
    </row>
    <row r="9262" ht="50.25" customHeight="1">
      <c r="A9262" s="12">
        <v>9258.0</v>
      </c>
      <c r="B9262" s="13" t="s">
        <v>8699</v>
      </c>
      <c r="C9262" s="18" t="s">
        <v>9288</v>
      </c>
      <c r="D9262" s="1"/>
      <c r="E9262" s="1"/>
      <c r="F9262" s="1" t="str">
        <f>IFERROR(__xludf.DUMMYFUNCTION("GOOGLETRANSLATE(B9262, ""en"", ""fa"")
"),"موفقیت در پادکست")</f>
        <v>موفقیت در پادکست</v>
      </c>
      <c r="G9262" s="1" t="str">
        <f>IFERROR(__xludf.DUMMYFUNCTION("GOOGLETRANSLATE(C9262, ""en"", ""fa"")
"),"چگونه یک نام پادکست به یاد ماندنی ایجاد کنیم که محتوای شما را منعکس کند و جوهر برند شما را به تصویر بکشد؟")</f>
        <v>چگونه یک نام پادکست به یاد ماندنی ایجاد کنیم که محتوای شما را منعکس کند و جوهر برند شما را به تصویر بکشد؟</v>
      </c>
      <c r="H9262" s="1"/>
      <c r="I9262" s="1"/>
      <c r="J9262" s="1"/>
      <c r="K9262" s="1"/>
      <c r="L9262" s="1"/>
      <c r="M9262" s="1"/>
      <c r="N9262" s="1"/>
      <c r="O9262" s="1"/>
      <c r="P9262" s="1"/>
      <c r="Q9262" s="1"/>
      <c r="R9262" s="1"/>
      <c r="S9262" s="1"/>
      <c r="T9262" s="1"/>
      <c r="U9262" s="1"/>
      <c r="V9262" s="1"/>
      <c r="W9262" s="1"/>
      <c r="X9262" s="1"/>
      <c r="Y9262" s="1"/>
      <c r="Z9262" s="1"/>
      <c r="AA9262" s="1"/>
      <c r="AB9262" s="1"/>
    </row>
    <row r="9263" ht="50.25" customHeight="1">
      <c r="A9263" s="12">
        <v>9259.0</v>
      </c>
      <c r="B9263" s="13" t="s">
        <v>8699</v>
      </c>
      <c r="C9263" s="18" t="s">
        <v>9289</v>
      </c>
      <c r="D9263" s="1"/>
      <c r="E9263" s="1"/>
      <c r="F9263" s="1" t="str">
        <f>IFERROR(__xludf.DUMMYFUNCTION("GOOGLETRANSLATE(B9263, ""en"", ""fa"")
"),"موفقیت در پادکست")</f>
        <v>موفقیت در پادکست</v>
      </c>
      <c r="G9263" s="1" t="str">
        <f>IFERROR(__xludf.DUMMYFUNCTION("GOOGLETRANSLATE(C9263, ""en"", ""fa"")
"),"چه راهکارهایی برای ایجاد یک صدا و لحن برند منسجم و منسجم که با محتوا و مخاطب پادکست شما همسو باشد چیست؟")</f>
        <v>چه راهکارهایی برای ایجاد یک صدا و لحن برند منسجم و منسجم که با محتوا و مخاطب پادکست شما همسو باشد چیست؟</v>
      </c>
      <c r="H9263" s="1"/>
      <c r="I9263" s="1"/>
      <c r="J9263" s="1"/>
      <c r="K9263" s="1"/>
      <c r="L9263" s="1"/>
      <c r="M9263" s="1"/>
      <c r="N9263" s="1"/>
      <c r="O9263" s="1"/>
      <c r="P9263" s="1"/>
      <c r="Q9263" s="1"/>
      <c r="R9263" s="1"/>
      <c r="S9263" s="1"/>
      <c r="T9263" s="1"/>
      <c r="U9263" s="1"/>
      <c r="V9263" s="1"/>
      <c r="W9263" s="1"/>
      <c r="X9263" s="1"/>
      <c r="Y9263" s="1"/>
      <c r="Z9263" s="1"/>
      <c r="AA9263" s="1"/>
      <c r="AB9263" s="1"/>
    </row>
    <row r="9264" ht="50.25" customHeight="1">
      <c r="A9264" s="12">
        <v>9260.0</v>
      </c>
      <c r="B9264" s="13" t="s">
        <v>8699</v>
      </c>
      <c r="C9264" s="18" t="s">
        <v>9290</v>
      </c>
      <c r="D9264" s="1"/>
      <c r="E9264" s="1"/>
      <c r="F9264" s="1" t="str">
        <f>IFERROR(__xludf.DUMMYFUNCTION("GOOGLETRANSLATE(B9264, ""en"", ""fa"")
"),"موفقیت در پادکست")</f>
        <v>موفقیت در پادکست</v>
      </c>
      <c r="G9264" s="1" t="str">
        <f>IFERROR(__xludf.DUMMYFUNCTION("GOOGLETRANSLATE(C9264, ""en"", ""fa"")
"),"چگونه می توان تحقیقات بازار و تجزیه و تحلیل مخاطبان را انجام داد تا شنوندگان هدف خود را بهتر درک کنید و تلاش های برندسازی خود را مطابق با ترجیحات آنها انجام دهید؟")</f>
        <v>چگونه می توان تحقیقات بازار و تجزیه و تحلیل مخاطبان را انجام داد تا شنوندگان هدف خود را بهتر درک کنید و تلاش های برندسازی خود را مطابق با ترجیحات آنها انجام دهید؟</v>
      </c>
      <c r="H9264" s="1"/>
      <c r="I9264" s="1"/>
      <c r="J9264" s="1"/>
      <c r="K9264" s="1"/>
      <c r="L9264" s="1"/>
      <c r="M9264" s="1"/>
      <c r="N9264" s="1"/>
      <c r="O9264" s="1"/>
      <c r="P9264" s="1"/>
      <c r="Q9264" s="1"/>
      <c r="R9264" s="1"/>
      <c r="S9264" s="1"/>
      <c r="T9264" s="1"/>
      <c r="U9264" s="1"/>
      <c r="V9264" s="1"/>
      <c r="W9264" s="1"/>
      <c r="X9264" s="1"/>
      <c r="Y9264" s="1"/>
      <c r="Z9264" s="1"/>
      <c r="AA9264" s="1"/>
      <c r="AB9264" s="1"/>
    </row>
    <row r="9265" ht="50.25" customHeight="1">
      <c r="A9265" s="12">
        <v>9261.0</v>
      </c>
      <c r="B9265" s="13" t="s">
        <v>8699</v>
      </c>
      <c r="C9265" s="18" t="s">
        <v>9291</v>
      </c>
      <c r="D9265" s="1"/>
      <c r="E9265" s="1"/>
      <c r="F9265" s="1" t="str">
        <f>IFERROR(__xludf.DUMMYFUNCTION("GOOGLETRANSLATE(B9265, ""en"", ""fa"")
"),"موفقیت در پادکست")</f>
        <v>موفقیت در پادکست</v>
      </c>
      <c r="G9265" s="1" t="str">
        <f>IFERROR(__xludf.DUMMYFUNCTION("GOOGLETRANSLATE(C9265, ""en"", ""fa"")
"),"چه تکنیک هایی برای ایجاد یک شعار یا شعار پادکست متقاعد کننده وجود دارد که جوهر برنامه شما را در بر بگیرد و با مخاطبان شما طنین انداز شود؟")</f>
        <v>چه تکنیک هایی برای ایجاد یک شعار یا شعار پادکست متقاعد کننده وجود دارد که جوهر برنامه شما را در بر بگیرد و با مخاطبان شما طنین انداز شود؟</v>
      </c>
      <c r="H9265" s="1"/>
      <c r="I9265" s="1"/>
      <c r="J9265" s="1"/>
      <c r="K9265" s="1"/>
      <c r="L9265" s="1"/>
      <c r="M9265" s="1"/>
      <c r="N9265" s="1"/>
      <c r="O9265" s="1"/>
      <c r="P9265" s="1"/>
      <c r="Q9265" s="1"/>
      <c r="R9265" s="1"/>
      <c r="S9265" s="1"/>
      <c r="T9265" s="1"/>
      <c r="U9265" s="1"/>
      <c r="V9265" s="1"/>
      <c r="W9265" s="1"/>
      <c r="X9265" s="1"/>
      <c r="Y9265" s="1"/>
      <c r="Z9265" s="1"/>
      <c r="AA9265" s="1"/>
      <c r="AB9265" s="1"/>
    </row>
    <row r="9266" ht="50.25" customHeight="1">
      <c r="A9266" s="12">
        <v>9262.0</v>
      </c>
      <c r="B9266" s="13" t="s">
        <v>8699</v>
      </c>
      <c r="C9266" s="18" t="s">
        <v>9292</v>
      </c>
      <c r="D9266" s="1"/>
      <c r="E9266" s="1"/>
      <c r="F9266" s="1" t="str">
        <f>IFERROR(__xludf.DUMMYFUNCTION("GOOGLETRANSLATE(B9266, ""en"", ""fa"")
"),"موفقیت در پادکست")</f>
        <v>موفقیت در پادکست</v>
      </c>
      <c r="G9266" s="1" t="str">
        <f>IFERROR(__xludf.DUMMYFUNCTION("GOOGLETRANSLATE(C9266, ""en"", ""fa"")
"),"چگونه می‌توان یک جلد هنری جذاب پادکست ایجاد کرد که توجه را به خود جلب کند و شنوندگان بالقوه را به کاوش بیشتر در برنامه شما ترغیب کند؟")</f>
        <v>چگونه می‌توان یک جلد هنری جذاب پادکست ایجاد کرد که توجه را به خود جلب کند و شنوندگان بالقوه را به کاوش بیشتر در برنامه شما ترغیب کند؟</v>
      </c>
      <c r="H9266" s="1"/>
      <c r="I9266" s="1"/>
      <c r="J9266" s="1"/>
      <c r="K9266" s="1"/>
      <c r="L9266" s="1"/>
      <c r="M9266" s="1"/>
      <c r="N9266" s="1"/>
      <c r="O9266" s="1"/>
      <c r="P9266" s="1"/>
      <c r="Q9266" s="1"/>
      <c r="R9266" s="1"/>
      <c r="S9266" s="1"/>
      <c r="T9266" s="1"/>
      <c r="U9266" s="1"/>
      <c r="V9266" s="1"/>
      <c r="W9266" s="1"/>
      <c r="X9266" s="1"/>
      <c r="Y9266" s="1"/>
      <c r="Z9266" s="1"/>
      <c r="AA9266" s="1"/>
      <c r="AB9266" s="1"/>
    </row>
    <row r="9267" ht="50.25" customHeight="1">
      <c r="A9267" s="12">
        <v>9263.0</v>
      </c>
      <c r="B9267" s="13" t="s">
        <v>8699</v>
      </c>
      <c r="C9267" s="18" t="s">
        <v>9293</v>
      </c>
      <c r="D9267" s="1"/>
      <c r="E9267" s="1"/>
      <c r="F9267" s="1" t="str">
        <f>IFERROR(__xludf.DUMMYFUNCTION("GOOGLETRANSLATE(B9267, ""en"", ""fa"")
"),"موفقیت در پادکست")</f>
        <v>موفقیت در پادکست</v>
      </c>
      <c r="G9267" s="1" t="str">
        <f>IFERROR(__xludf.DUMMYFUNCTION("GOOGLETRANSLATE(C9267, ""en"", ""fa"")
"),"استراتژی‌هایی برای ایجاد یک بیانیه ماموریت پادکست قوی که هدف و ارزش‌های برنامه شما را به مخاطبان منتقل می‌کند چیست؟")</f>
        <v>استراتژی‌هایی برای ایجاد یک بیانیه ماموریت پادکست قوی که هدف و ارزش‌های برنامه شما را به مخاطبان منتقل می‌کند چیست؟</v>
      </c>
      <c r="H9267" s="1"/>
      <c r="I9267" s="1"/>
      <c r="J9267" s="1"/>
      <c r="K9267" s="1"/>
      <c r="L9267" s="1"/>
      <c r="M9267" s="1"/>
      <c r="N9267" s="1"/>
      <c r="O9267" s="1"/>
      <c r="P9267" s="1"/>
      <c r="Q9267" s="1"/>
      <c r="R9267" s="1"/>
      <c r="S9267" s="1"/>
      <c r="T9267" s="1"/>
      <c r="U9267" s="1"/>
      <c r="V9267" s="1"/>
      <c r="W9267" s="1"/>
      <c r="X9267" s="1"/>
      <c r="Y9267" s="1"/>
      <c r="Z9267" s="1"/>
      <c r="AA9267" s="1"/>
      <c r="AB9267" s="1"/>
    </row>
    <row r="9268" ht="50.25" customHeight="1">
      <c r="A9268" s="12">
        <v>9264.0</v>
      </c>
      <c r="B9268" s="13" t="s">
        <v>8699</v>
      </c>
      <c r="C9268" s="18" t="s">
        <v>9294</v>
      </c>
      <c r="D9268" s="1"/>
      <c r="E9268" s="1"/>
      <c r="F9268" s="1" t="str">
        <f>IFERROR(__xludf.DUMMYFUNCTION("GOOGLETRANSLATE(B9268, ""en"", ""fa"")
"),"موفقیت در پادکست")</f>
        <v>موفقیت در پادکست</v>
      </c>
      <c r="G9268" s="1" t="str">
        <f>IFERROR(__xludf.DUMMYFUNCTION("GOOGLETRANSLATE(C9268, ""en"", ""fa"")
"),"چگونه می توان یک برند ثابت در پلتفرم ها و نقاط تماس مختلف، از جمله رسانه های اجتماعی، وب سایت و دایرکتوری های پادکست ایجاد کرد؟")</f>
        <v>چگونه می توان یک برند ثابت در پلتفرم ها و نقاط تماس مختلف، از جمله رسانه های اجتماعی، وب سایت و دایرکتوری های پادکست ایجاد کرد؟</v>
      </c>
      <c r="H9268" s="1"/>
      <c r="I9268" s="1"/>
      <c r="J9268" s="1"/>
      <c r="K9268" s="1"/>
      <c r="L9268" s="1"/>
      <c r="M9268" s="1"/>
      <c r="N9268" s="1"/>
      <c r="O9268" s="1"/>
      <c r="P9268" s="1"/>
      <c r="Q9268" s="1"/>
      <c r="R9268" s="1"/>
      <c r="S9268" s="1"/>
      <c r="T9268" s="1"/>
      <c r="U9268" s="1"/>
      <c r="V9268" s="1"/>
      <c r="W9268" s="1"/>
      <c r="X9268" s="1"/>
      <c r="Y9268" s="1"/>
      <c r="Z9268" s="1"/>
      <c r="AA9268" s="1"/>
      <c r="AB9268" s="1"/>
    </row>
    <row r="9269" ht="50.25" customHeight="1">
      <c r="A9269" s="12">
        <v>9265.0</v>
      </c>
      <c r="B9269" s="13" t="s">
        <v>8699</v>
      </c>
      <c r="C9269" s="18" t="s">
        <v>9295</v>
      </c>
      <c r="D9269" s="1"/>
      <c r="E9269" s="1"/>
      <c r="F9269" s="1" t="str">
        <f>IFERROR(__xludf.DUMMYFUNCTION("GOOGLETRANSLATE(B9269, ""en"", ""fa"")
"),"موفقیت در پادکست")</f>
        <v>موفقیت در پادکست</v>
      </c>
      <c r="G9269" s="1" t="str">
        <f>IFERROR(__xludf.DUMMYFUNCTION("GOOGLETRANSLATE(C9269, ""en"", ""fa"")
"),"تکنیک‌های ایجاد یک مقدمه پادکست یا موسیقی تم جذاب که شخصیت برند شما را منعکس می‌کند و لحن قسمت‌های شما را تعیین می‌کند چیست؟")</f>
        <v>تکنیک‌های ایجاد یک مقدمه پادکست یا موسیقی تم جذاب که شخصیت برند شما را منعکس می‌کند و لحن قسمت‌های شما را تعیین می‌کند چیست؟</v>
      </c>
      <c r="H9269" s="1"/>
      <c r="I9269" s="1"/>
      <c r="J9269" s="1"/>
      <c r="K9269" s="1"/>
      <c r="L9269" s="1"/>
      <c r="M9269" s="1"/>
      <c r="N9269" s="1"/>
      <c r="O9269" s="1"/>
      <c r="P9269" s="1"/>
      <c r="Q9269" s="1"/>
      <c r="R9269" s="1"/>
      <c r="S9269" s="1"/>
      <c r="T9269" s="1"/>
      <c r="U9269" s="1"/>
      <c r="V9269" s="1"/>
      <c r="W9269" s="1"/>
      <c r="X9269" s="1"/>
      <c r="Y9269" s="1"/>
      <c r="Z9269" s="1"/>
      <c r="AA9269" s="1"/>
      <c r="AB9269" s="1"/>
    </row>
    <row r="9270" ht="50.25" customHeight="1">
      <c r="A9270" s="12">
        <v>9266.0</v>
      </c>
      <c r="B9270" s="13" t="s">
        <v>8699</v>
      </c>
      <c r="C9270" s="18" t="s">
        <v>9296</v>
      </c>
      <c r="D9270" s="1"/>
      <c r="E9270" s="1"/>
      <c r="F9270" s="1" t="str">
        <f>IFERROR(__xludf.DUMMYFUNCTION("GOOGLETRANSLATE(B9270, ""en"", ""fa"")
"),"موفقیت در پادکست")</f>
        <v>موفقیت در پادکست</v>
      </c>
      <c r="G9270" s="1" t="str">
        <f>IFERROR(__xludf.DUMMYFUNCTION("GOOGLETRANSLATE(C9270, ""en"", ""fa"")
"),"چگونه یک توضیح پادکست قانع کننده یا صفحه درباره درباره آن بسازید که به وضوح نشان دهد که برنامه شما درباره چه چیزی است و شنوندگان را ترغیب می کند تا با آن هماهنگ شوند؟")</f>
        <v>چگونه یک توضیح پادکست قانع کننده یا صفحه درباره درباره آن بسازید که به وضوح نشان دهد که برنامه شما درباره چه چیزی است و شنوندگان را ترغیب می کند تا با آن هماهنگ شوند؟</v>
      </c>
      <c r="H9270" s="1"/>
      <c r="I9270" s="1"/>
      <c r="J9270" s="1"/>
      <c r="K9270" s="1"/>
      <c r="L9270" s="1"/>
      <c r="M9270" s="1"/>
      <c r="N9270" s="1"/>
      <c r="O9270" s="1"/>
      <c r="P9270" s="1"/>
      <c r="Q9270" s="1"/>
      <c r="R9270" s="1"/>
      <c r="S9270" s="1"/>
      <c r="T9270" s="1"/>
      <c r="U9270" s="1"/>
      <c r="V9270" s="1"/>
      <c r="W9270" s="1"/>
      <c r="X9270" s="1"/>
      <c r="Y9270" s="1"/>
      <c r="Z9270" s="1"/>
      <c r="AA9270" s="1"/>
      <c r="AB9270" s="1"/>
    </row>
    <row r="9271" ht="50.25" customHeight="1">
      <c r="A9271" s="12">
        <v>9267.0</v>
      </c>
      <c r="B9271" s="13" t="s">
        <v>8699</v>
      </c>
      <c r="C9271" s="18" t="s">
        <v>9297</v>
      </c>
      <c r="D9271" s="1"/>
      <c r="E9271" s="1"/>
      <c r="F9271" s="1" t="str">
        <f>IFERROR(__xludf.DUMMYFUNCTION("GOOGLETRANSLATE(B9271, ""en"", ""fa"")
"),"موفقیت در پادکست")</f>
        <v>موفقیت در پادکست</v>
      </c>
      <c r="G9271" s="1" t="str">
        <f>IFERROR(__xludf.DUMMYFUNCTION("GOOGLETRANSLATE(C9271, ""en"", ""fa"")
"),"استراتژی‌هایی برای شناسایی و تعریف مخاطبان هدف پادکست و تنظیم تلاش‌های برندسازی شما برای جلب توجه به علایق و ترجیحات آن‌ها چیست؟")</f>
        <v>استراتژی‌هایی برای شناسایی و تعریف مخاطبان هدف پادکست و تنظیم تلاش‌های برندسازی شما برای جلب توجه به علایق و ترجیحات آن‌ها چیست؟</v>
      </c>
      <c r="H9271" s="1"/>
      <c r="I9271" s="1"/>
      <c r="J9271" s="1"/>
      <c r="K9271" s="1"/>
      <c r="L9271" s="1"/>
      <c r="M9271" s="1"/>
      <c r="N9271" s="1"/>
      <c r="O9271" s="1"/>
      <c r="P9271" s="1"/>
      <c r="Q9271" s="1"/>
      <c r="R9271" s="1"/>
      <c r="S9271" s="1"/>
      <c r="T9271" s="1"/>
      <c r="U9271" s="1"/>
      <c r="V9271" s="1"/>
      <c r="W9271" s="1"/>
      <c r="X9271" s="1"/>
      <c r="Y9271" s="1"/>
      <c r="Z9271" s="1"/>
      <c r="AA9271" s="1"/>
      <c r="AB9271" s="1"/>
    </row>
    <row r="9272" ht="50.25" customHeight="1">
      <c r="A9272" s="12">
        <v>9268.0</v>
      </c>
      <c r="B9272" s="13" t="s">
        <v>8699</v>
      </c>
      <c r="C9272" s="18" t="s">
        <v>9298</v>
      </c>
      <c r="D9272" s="1"/>
      <c r="E9272" s="1"/>
      <c r="F9272" s="1" t="str">
        <f>IFERROR(__xludf.DUMMYFUNCTION("GOOGLETRANSLATE(B9272, ""en"", ""fa"")
"),"موفقیت در پادکست")</f>
        <v>موفقیت در پادکست</v>
      </c>
      <c r="G9272" s="1" t="str">
        <f>IFERROR(__xludf.DUMMYFUNCTION("GOOGLETRANSLATE(C9272, ""en"", ""fa"")
"),"چگونه یک راهنمای سبک نام تجاری برای پادکست خود، از جمله پالت های رنگی، تایپوگرافی و عناصر بصری ایجاد کنیم تا در مواد برند خود ثبات داشته باشیم؟")</f>
        <v>چگونه یک راهنمای سبک نام تجاری برای پادکست خود، از جمله پالت های رنگی، تایپوگرافی و عناصر بصری ایجاد کنیم تا در مواد برند خود ثبات داشته باشیم؟</v>
      </c>
      <c r="H9272" s="1"/>
      <c r="I9272" s="1"/>
      <c r="J9272" s="1"/>
      <c r="K9272" s="1"/>
      <c r="L9272" s="1"/>
      <c r="M9272" s="1"/>
      <c r="N9272" s="1"/>
      <c r="O9272" s="1"/>
      <c r="P9272" s="1"/>
      <c r="Q9272" s="1"/>
      <c r="R9272" s="1"/>
      <c r="S9272" s="1"/>
      <c r="T9272" s="1"/>
      <c r="U9272" s="1"/>
      <c r="V9272" s="1"/>
      <c r="W9272" s="1"/>
      <c r="X9272" s="1"/>
      <c r="Y9272" s="1"/>
      <c r="Z9272" s="1"/>
      <c r="AA9272" s="1"/>
      <c r="AB9272" s="1"/>
    </row>
    <row r="9273" ht="50.25" customHeight="1">
      <c r="A9273" s="12">
        <v>9269.0</v>
      </c>
      <c r="B9273" s="13" t="s">
        <v>8699</v>
      </c>
      <c r="C9273" s="18" t="s">
        <v>9299</v>
      </c>
      <c r="D9273" s="1"/>
      <c r="E9273" s="1"/>
      <c r="F9273" s="1" t="str">
        <f>IFERROR(__xludf.DUMMYFUNCTION("GOOGLETRANSLATE(B9273, ""en"", ""fa"")
"),"موفقیت در پادکست")</f>
        <v>موفقیت در پادکست</v>
      </c>
      <c r="G9273" s="1" t="str">
        <f>IFERROR(__xludf.DUMMYFUNCTION("GOOGLETRANSLATE(C9273, ""en"", ""fa"")
"),"چه تکنیک هایی برای ترکیب داستان سرایی و عناصر روایی در قسمت های پادکست برای ارتقای هویت برند و جذب مخاطبان وجود دارد؟")</f>
        <v>چه تکنیک هایی برای ترکیب داستان سرایی و عناصر روایی در قسمت های پادکست برای ارتقای هویت برند و جذب مخاطبان وجود دارد؟</v>
      </c>
      <c r="H9273" s="1"/>
      <c r="I9273" s="1"/>
      <c r="J9273" s="1"/>
      <c r="K9273" s="1"/>
      <c r="L9273" s="1"/>
      <c r="M9273" s="1"/>
      <c r="N9273" s="1"/>
      <c r="O9273" s="1"/>
      <c r="P9273" s="1"/>
      <c r="Q9273" s="1"/>
      <c r="R9273" s="1"/>
      <c r="S9273" s="1"/>
      <c r="T9273" s="1"/>
      <c r="U9273" s="1"/>
      <c r="V9273" s="1"/>
      <c r="W9273" s="1"/>
      <c r="X9273" s="1"/>
      <c r="Y9273" s="1"/>
      <c r="Z9273" s="1"/>
      <c r="AA9273" s="1"/>
      <c r="AB9273" s="1"/>
    </row>
    <row r="9274" ht="50.25" customHeight="1">
      <c r="A9274" s="12">
        <v>9270.0</v>
      </c>
      <c r="B9274" s="13" t="s">
        <v>8699</v>
      </c>
      <c r="C9274" s="18" t="s">
        <v>9300</v>
      </c>
      <c r="D9274" s="1"/>
      <c r="E9274" s="1"/>
      <c r="F9274" s="1" t="str">
        <f>IFERROR(__xludf.DUMMYFUNCTION("GOOGLETRANSLATE(B9274, ""en"", ""fa"")
"),"موفقیت در پادکست")</f>
        <v>موفقیت در پادکست</v>
      </c>
      <c r="G9274" s="1" t="str">
        <f>IFERROR(__xludf.DUMMYFUNCTION("GOOGLETRANSLATE(C9274, ""en"", ""fa"")
"),"چگونه یک شخصیت برند پادکست قوی ایجاد کنیم که لحن، سبک و ارزش های برنامه شما را منعکس کند و با شنوندگان هدف شما طنین انداز شود؟")</f>
        <v>چگونه یک شخصیت برند پادکست قوی ایجاد کنیم که لحن، سبک و ارزش های برنامه شما را منعکس کند و با شنوندگان هدف شما طنین انداز شود؟</v>
      </c>
      <c r="H9274" s="1"/>
      <c r="I9274" s="1"/>
      <c r="J9274" s="1"/>
      <c r="K9274" s="1"/>
      <c r="L9274" s="1"/>
      <c r="M9274" s="1"/>
      <c r="N9274" s="1"/>
      <c r="O9274" s="1"/>
      <c r="P9274" s="1"/>
      <c r="Q9274" s="1"/>
      <c r="R9274" s="1"/>
      <c r="S9274" s="1"/>
      <c r="T9274" s="1"/>
      <c r="U9274" s="1"/>
      <c r="V9274" s="1"/>
      <c r="W9274" s="1"/>
      <c r="X9274" s="1"/>
      <c r="Y9274" s="1"/>
      <c r="Z9274" s="1"/>
      <c r="AA9274" s="1"/>
      <c r="AB9274" s="1"/>
    </row>
    <row r="9275" ht="50.25" customHeight="1">
      <c r="A9275" s="12">
        <v>9271.0</v>
      </c>
      <c r="B9275" s="13" t="s">
        <v>8699</v>
      </c>
      <c r="C9275" s="18" t="s">
        <v>9301</v>
      </c>
      <c r="D9275" s="1"/>
      <c r="E9275" s="1"/>
      <c r="F9275" s="1" t="str">
        <f>IFERROR(__xludf.DUMMYFUNCTION("GOOGLETRANSLATE(B9275, ""en"", ""fa"")
"),"موفقیت در پادکست")</f>
        <v>موفقیت در پادکست</v>
      </c>
      <c r="G9275" s="1" t="str">
        <f>IFERROR(__xludf.DUMMYFUNCTION("GOOGLETRANSLATE(C9275, ""en"", ""fa"")
"),"راهبردهای ایجاد یک جامعه پیرامون برند پادکست شما، تقویت تعامل و وفاداری در بین شنوندگان چیست؟")</f>
        <v>راهبردهای ایجاد یک جامعه پیرامون برند پادکست شما، تقویت تعامل و وفاداری در بین شنوندگان چیست؟</v>
      </c>
      <c r="H9275" s="1"/>
      <c r="I9275" s="1"/>
      <c r="J9275" s="1"/>
      <c r="K9275" s="1"/>
      <c r="L9275" s="1"/>
      <c r="M9275" s="1"/>
      <c r="N9275" s="1"/>
      <c r="O9275" s="1"/>
      <c r="P9275" s="1"/>
      <c r="Q9275" s="1"/>
      <c r="R9275" s="1"/>
      <c r="S9275" s="1"/>
      <c r="T9275" s="1"/>
      <c r="U9275" s="1"/>
      <c r="V9275" s="1"/>
      <c r="W9275" s="1"/>
      <c r="X9275" s="1"/>
      <c r="Y9275" s="1"/>
      <c r="Z9275" s="1"/>
      <c r="AA9275" s="1"/>
      <c r="AB9275" s="1"/>
    </row>
    <row r="9276" ht="50.25" customHeight="1">
      <c r="A9276" s="12">
        <v>9272.0</v>
      </c>
      <c r="B9276" s="13" t="s">
        <v>8699</v>
      </c>
      <c r="C9276" s="18" t="s">
        <v>9302</v>
      </c>
      <c r="D9276" s="1"/>
      <c r="E9276" s="1"/>
      <c r="F9276" s="1" t="str">
        <f>IFERROR(__xludf.DUMMYFUNCTION("GOOGLETRANSLATE(B9276, ""en"", ""fa"")
"),"موفقیت در پادکست")</f>
        <v>موفقیت در پادکست</v>
      </c>
      <c r="G9276" s="1" t="str">
        <f>IFERROR(__xludf.DUMMYFUNCTION("GOOGLETRANSLATE(C9276, ""en"", ""fa"")
"),"چگونه یک تجزیه و تحلیل رقابتی برای شناسایی شکاف ها در بازار پادکست انجام دهید و نمایش خود را به عنوان منحصر به فرد و ارزشمند در جایگاه خود قرار دهید؟")</f>
        <v>چگونه یک تجزیه و تحلیل رقابتی برای شناسایی شکاف ها در بازار پادکست انجام دهید و نمایش خود را به عنوان منحصر به فرد و ارزشمند در جایگاه خود قرار دهید؟</v>
      </c>
      <c r="H9276" s="1"/>
      <c r="I9276" s="1"/>
      <c r="J9276" s="1"/>
      <c r="K9276" s="1"/>
      <c r="L9276" s="1"/>
      <c r="M9276" s="1"/>
      <c r="N9276" s="1"/>
      <c r="O9276" s="1"/>
      <c r="P9276" s="1"/>
      <c r="Q9276" s="1"/>
      <c r="R9276" s="1"/>
      <c r="S9276" s="1"/>
      <c r="T9276" s="1"/>
      <c r="U9276" s="1"/>
      <c r="V9276" s="1"/>
      <c r="W9276" s="1"/>
      <c r="X9276" s="1"/>
      <c r="Y9276" s="1"/>
      <c r="Z9276" s="1"/>
      <c r="AA9276" s="1"/>
      <c r="AB9276" s="1"/>
    </row>
    <row r="9277" ht="50.25" customHeight="1">
      <c r="A9277" s="12">
        <v>9273.0</v>
      </c>
      <c r="B9277" s="13" t="s">
        <v>8699</v>
      </c>
      <c r="C9277" s="18" t="s">
        <v>9303</v>
      </c>
      <c r="D9277" s="1"/>
      <c r="E9277" s="1"/>
      <c r="F9277" s="1" t="str">
        <f>IFERROR(__xludf.DUMMYFUNCTION("GOOGLETRANSLATE(B9277, ""en"", ""fa"")
"),"موفقیت در پادکست")</f>
        <v>موفقیت در پادکست</v>
      </c>
      <c r="G9277" s="1" t="str">
        <f>IFERROR(__xludf.DUMMYFUNCTION("GOOGLETRANSLATE(C9277, ""en"", ""fa"")
"),"تکنیک های انجام ممیزی برند و ارزیابی اثربخشی تلاش های برندینگ پادکست شما در طول زمان چیست؟")</f>
        <v>تکنیک های انجام ممیزی برند و ارزیابی اثربخشی تلاش های برندینگ پادکست شما در طول زمان چیست؟</v>
      </c>
      <c r="H9277" s="1"/>
      <c r="I9277" s="1"/>
      <c r="J9277" s="1"/>
      <c r="K9277" s="1"/>
      <c r="L9277" s="1"/>
      <c r="M9277" s="1"/>
      <c r="N9277" s="1"/>
      <c r="O9277" s="1"/>
      <c r="P9277" s="1"/>
      <c r="Q9277" s="1"/>
      <c r="R9277" s="1"/>
      <c r="S9277" s="1"/>
      <c r="T9277" s="1"/>
      <c r="U9277" s="1"/>
      <c r="V9277" s="1"/>
      <c r="W9277" s="1"/>
      <c r="X9277" s="1"/>
      <c r="Y9277" s="1"/>
      <c r="Z9277" s="1"/>
      <c r="AA9277" s="1"/>
      <c r="AB9277" s="1"/>
    </row>
    <row r="9278" ht="50.25" customHeight="1">
      <c r="A9278" s="12">
        <v>9274.0</v>
      </c>
      <c r="B9278" s="13" t="s">
        <v>8699</v>
      </c>
      <c r="C9278" s="18" t="s">
        <v>9304</v>
      </c>
      <c r="D9278" s="1"/>
      <c r="E9278" s="1"/>
      <c r="F9278" s="1" t="str">
        <f>IFERROR(__xludf.DUMMYFUNCTION("GOOGLETRANSLATE(B9278, ""en"", ""fa"")
"),"موفقیت در پادکست")</f>
        <v>موفقیت در پادکست</v>
      </c>
      <c r="G9278" s="1" t="str">
        <f>IFERROR(__xludf.DUMMYFUNCTION("GOOGLETRANSLATE(C9278, ""en"", ""fa"")
"),"چگونه می توان از هویت برند پادکست خود برای جذب مهمانان، حامیان مالی و فرصت های همکاری که با ارزش های برنامه و مخاطبان هدف شما همسو هستند استفاده کرد؟")</f>
        <v>چگونه می توان از هویت برند پادکست خود برای جذب مهمانان، حامیان مالی و فرصت های همکاری که با ارزش های برنامه و مخاطبان هدف شما همسو هستند استفاده کرد؟</v>
      </c>
      <c r="H9278" s="1"/>
      <c r="I9278" s="1"/>
      <c r="J9278" s="1"/>
      <c r="K9278" s="1"/>
      <c r="L9278" s="1"/>
      <c r="M9278" s="1"/>
      <c r="N9278" s="1"/>
      <c r="O9278" s="1"/>
      <c r="P9278" s="1"/>
      <c r="Q9278" s="1"/>
      <c r="R9278" s="1"/>
      <c r="S9278" s="1"/>
      <c r="T9278" s="1"/>
      <c r="U9278" s="1"/>
      <c r="V9278" s="1"/>
      <c r="W9278" s="1"/>
      <c r="X9278" s="1"/>
      <c r="Y9278" s="1"/>
      <c r="Z9278" s="1"/>
      <c r="AA9278" s="1"/>
      <c r="AB9278" s="1"/>
    </row>
    <row r="9279" ht="50.25" customHeight="1">
      <c r="A9279" s="12">
        <v>9275.0</v>
      </c>
      <c r="B9279" s="13" t="s">
        <v>8699</v>
      </c>
      <c r="C9279" s="18" t="s">
        <v>9305</v>
      </c>
      <c r="D9279" s="1"/>
      <c r="E9279" s="1"/>
      <c r="F9279" s="1" t="str">
        <f>IFERROR(__xludf.DUMMYFUNCTION("GOOGLETRANSLATE(B9279, ""en"", ""fa"")
"),"موفقیت در پادکست")</f>
        <v>موفقیت در پادکست</v>
      </c>
      <c r="G9279" s="1" t="str">
        <f>IFERROR(__xludf.DUMMYFUNCTION("GOOGLETRANSLATE(C9279, ""en"", ""fa"")
"),"چه استراتژی هایی برای ساخت عناوین قسمت های پادکست قانع کننده که توجه را جلب می کنند، کنجکاوی ایجاد می کنند و محتوای شما را به طور دقیق نشان می دهند چیست؟")</f>
        <v>چه استراتژی هایی برای ساخت عناوین قسمت های پادکست قانع کننده که توجه را جلب می کنند، کنجکاوی ایجاد می کنند و محتوای شما را به طور دقیق نشان می دهند چیست؟</v>
      </c>
      <c r="H9279" s="1"/>
      <c r="I9279" s="1"/>
      <c r="J9279" s="1"/>
      <c r="K9279" s="1"/>
      <c r="L9279" s="1"/>
      <c r="M9279" s="1"/>
      <c r="N9279" s="1"/>
      <c r="O9279" s="1"/>
      <c r="P9279" s="1"/>
      <c r="Q9279" s="1"/>
      <c r="R9279" s="1"/>
      <c r="S9279" s="1"/>
      <c r="T9279" s="1"/>
      <c r="U9279" s="1"/>
      <c r="V9279" s="1"/>
      <c r="W9279" s="1"/>
      <c r="X9279" s="1"/>
      <c r="Y9279" s="1"/>
      <c r="Z9279" s="1"/>
      <c r="AA9279" s="1"/>
      <c r="AB9279" s="1"/>
    </row>
    <row r="9280" ht="50.25" customHeight="1">
      <c r="A9280" s="12">
        <v>9276.0</v>
      </c>
      <c r="B9280" s="13" t="s">
        <v>8699</v>
      </c>
      <c r="C9280" s="18" t="s">
        <v>9306</v>
      </c>
      <c r="D9280" s="1"/>
      <c r="E9280" s="1"/>
      <c r="F9280" s="1" t="str">
        <f>IFERROR(__xludf.DUMMYFUNCTION("GOOGLETRANSLATE(B9280, ""en"", ""fa"")
"),"موفقیت در پادکست")</f>
        <v>موفقیت در پادکست</v>
      </c>
      <c r="G9280" s="1" t="str">
        <f>IFERROR(__xludf.DUMMYFUNCTION("GOOGLETRANSLATE(C9280, ""en"", ""fa"")
"),"چگونه می توان یک پیام نام تجاری پادکست ایجاد کرد که به طور موثر مزایا و ارزش برنامه شما را به شنوندگان بالقوه منتقل کند؟")</f>
        <v>چگونه می توان یک پیام نام تجاری پادکست ایجاد کرد که به طور موثر مزایا و ارزش برنامه شما را به شنوندگان بالقوه منتقل کند؟</v>
      </c>
      <c r="H9280" s="1"/>
      <c r="I9280" s="1"/>
      <c r="J9280" s="1"/>
      <c r="K9280" s="1"/>
      <c r="L9280" s="1"/>
      <c r="M9280" s="1"/>
      <c r="N9280" s="1"/>
      <c r="O9280" s="1"/>
      <c r="P9280" s="1"/>
      <c r="Q9280" s="1"/>
      <c r="R9280" s="1"/>
      <c r="S9280" s="1"/>
      <c r="T9280" s="1"/>
      <c r="U9280" s="1"/>
      <c r="V9280" s="1"/>
      <c r="W9280" s="1"/>
      <c r="X9280" s="1"/>
      <c r="Y9280" s="1"/>
      <c r="Z9280" s="1"/>
      <c r="AA9280" s="1"/>
      <c r="AB9280" s="1"/>
    </row>
    <row r="9281" ht="50.25" customHeight="1">
      <c r="A9281" s="12">
        <v>9277.0</v>
      </c>
      <c r="B9281" s="13" t="s">
        <v>8699</v>
      </c>
      <c r="C9281" s="18" t="s">
        <v>9307</v>
      </c>
      <c r="D9281" s="1"/>
      <c r="E9281" s="1"/>
      <c r="F9281" s="1" t="str">
        <f>IFERROR(__xludf.DUMMYFUNCTION("GOOGLETRANSLATE(B9281, ""en"", ""fa"")
"),"موفقیت در پادکست")</f>
        <v>موفقیت در پادکست</v>
      </c>
      <c r="G9281" s="1" t="str">
        <f>IFERROR(__xludf.DUMMYFUNCTION("GOOGLETRANSLATE(C9281, ""en"", ""fa"")
"),"تکنیک‌هایی برای گنجاندن نام تجاری پادکست در نمایه‌های رسانه‌های اجتماعی، سرصفحه‌ها و عکس‌های جلد برای حفظ ثبات و شناسایی برند چیست؟")</f>
        <v>تکنیک‌هایی برای گنجاندن نام تجاری پادکست در نمایه‌های رسانه‌های اجتماعی، سرصفحه‌ها و عکس‌های جلد برای حفظ ثبات و شناسایی برند چیست؟</v>
      </c>
      <c r="H9281" s="1"/>
      <c r="I9281" s="1"/>
      <c r="J9281" s="1"/>
      <c r="K9281" s="1"/>
      <c r="L9281" s="1"/>
      <c r="M9281" s="1"/>
      <c r="N9281" s="1"/>
      <c r="O9281" s="1"/>
      <c r="P9281" s="1"/>
      <c r="Q9281" s="1"/>
      <c r="R9281" s="1"/>
      <c r="S9281" s="1"/>
      <c r="T9281" s="1"/>
      <c r="U9281" s="1"/>
      <c r="V9281" s="1"/>
      <c r="W9281" s="1"/>
      <c r="X9281" s="1"/>
      <c r="Y9281" s="1"/>
      <c r="Z9281" s="1"/>
      <c r="AA9281" s="1"/>
      <c r="AB9281" s="1"/>
    </row>
    <row r="9282" ht="50.25" customHeight="1">
      <c r="A9282" s="12">
        <v>9278.0</v>
      </c>
      <c r="B9282" s="13" t="s">
        <v>8699</v>
      </c>
      <c r="C9282" s="18" t="s">
        <v>9308</v>
      </c>
      <c r="D9282" s="1"/>
      <c r="E9282" s="1"/>
      <c r="F9282" s="1" t="str">
        <f>IFERROR(__xludf.DUMMYFUNCTION("GOOGLETRANSLATE(B9282, ""en"", ""fa"")
"),"موفقیت در پادکست")</f>
        <v>موفقیت در پادکست</v>
      </c>
      <c r="G9282" s="1" t="str">
        <f>IFERROR(__xludf.DUMMYFUNCTION("GOOGLETRANSLATE(C9282, ""en"", ""fa"")
"),"چگونه می‌توان دستورالعمل‌های برند را برای حضور مهمان در سایر پادکست‌ها یا پلتفرم‌های رسانه‌ای ایجاد کرد تا از نمایش ثابت برند پادکست خود در کانال‌های مختلف اطمینان حاصل شود؟")</f>
        <v>چگونه می‌توان دستورالعمل‌های برند را برای حضور مهمان در سایر پادکست‌ها یا پلتفرم‌های رسانه‌ای ایجاد کرد تا از نمایش ثابت برند پادکست خود در کانال‌های مختلف اطمینان حاصل شود؟</v>
      </c>
      <c r="H9282" s="1"/>
      <c r="I9282" s="1"/>
      <c r="J9282" s="1"/>
      <c r="K9282" s="1"/>
      <c r="L9282" s="1"/>
      <c r="M9282" s="1"/>
      <c r="N9282" s="1"/>
      <c r="O9282" s="1"/>
      <c r="P9282" s="1"/>
      <c r="Q9282" s="1"/>
      <c r="R9282" s="1"/>
      <c r="S9282" s="1"/>
      <c r="T9282" s="1"/>
      <c r="U9282" s="1"/>
      <c r="V9282" s="1"/>
      <c r="W9282" s="1"/>
      <c r="X9282" s="1"/>
      <c r="Y9282" s="1"/>
      <c r="Z9282" s="1"/>
      <c r="AA9282" s="1"/>
      <c r="AB9282" s="1"/>
    </row>
    <row r="9283" ht="50.25" customHeight="1">
      <c r="A9283" s="12">
        <v>9279.0</v>
      </c>
      <c r="B9283" s="13" t="s">
        <v>8699</v>
      </c>
      <c r="C9283" s="18" t="s">
        <v>9309</v>
      </c>
      <c r="D9283" s="1"/>
      <c r="E9283" s="1"/>
      <c r="F9283" s="1" t="str">
        <f>IFERROR(__xludf.DUMMYFUNCTION("GOOGLETRANSLATE(B9283, ""en"", ""fa"")
"),"موفقیت در پادکست")</f>
        <v>موفقیت در پادکست</v>
      </c>
      <c r="G9283" s="1" t="str">
        <f>IFERROR(__xludf.DUMMYFUNCTION("GOOGLETRANSLATE(C9283, ""en"", ""fa"")
"),"برای تقویت هویت برند و ایجاد یک تجربه شنیداری منسجم، چه استراتژی‌هایی برای گنجاندن نام تجاری پادکست خود در قسمت‌های معرفی، برون‌رو، و انتقال‌ها وجود دارد؟")</f>
        <v>برای تقویت هویت برند و ایجاد یک تجربه شنیداری منسجم، چه استراتژی‌هایی برای گنجاندن نام تجاری پادکست خود در قسمت‌های معرفی، برون‌رو، و انتقال‌ها وجود دارد؟</v>
      </c>
      <c r="H9283" s="1"/>
      <c r="I9283" s="1"/>
      <c r="J9283" s="1"/>
      <c r="K9283" s="1"/>
      <c r="L9283" s="1"/>
      <c r="M9283" s="1"/>
      <c r="N9283" s="1"/>
      <c r="O9283" s="1"/>
      <c r="P9283" s="1"/>
      <c r="Q9283" s="1"/>
      <c r="R9283" s="1"/>
      <c r="S9283" s="1"/>
      <c r="T9283" s="1"/>
      <c r="U9283" s="1"/>
      <c r="V9283" s="1"/>
      <c r="W9283" s="1"/>
      <c r="X9283" s="1"/>
      <c r="Y9283" s="1"/>
      <c r="Z9283" s="1"/>
      <c r="AA9283" s="1"/>
      <c r="AB9283" s="1"/>
    </row>
    <row r="9284" ht="50.25" customHeight="1">
      <c r="A9284" s="12">
        <v>9280.0</v>
      </c>
      <c r="B9284" s="13" t="s">
        <v>8699</v>
      </c>
      <c r="C9284" s="18" t="s">
        <v>9310</v>
      </c>
      <c r="D9284" s="1"/>
      <c r="E9284" s="1"/>
      <c r="F9284" s="1" t="str">
        <f>IFERROR(__xludf.DUMMYFUNCTION("GOOGLETRANSLATE(B9284, ""en"", ""fa"")
"),"موفقیت در پادکست")</f>
        <v>موفقیت در پادکست</v>
      </c>
      <c r="G9284" s="1" t="str">
        <f>IFERROR(__xludf.DUMMYFUNCTION("GOOGLETRANSLATE(C9284, ""en"", ""fa"")
"),"چگونه می توان نظرسنجی از مخاطبان یا گروه های متمرکز را برای جمع آوری بازخورد در مورد نام تجاری پادکست خود و شناسایی زمینه های بهبود یا اصلاح انجام داد؟")</f>
        <v>چگونه می توان نظرسنجی از مخاطبان یا گروه های متمرکز را برای جمع آوری بازخورد در مورد نام تجاری پادکست خود و شناسایی زمینه های بهبود یا اصلاح انجام داد؟</v>
      </c>
      <c r="H9284" s="1"/>
      <c r="I9284" s="1"/>
      <c r="J9284" s="1"/>
      <c r="K9284" s="1"/>
      <c r="L9284" s="1"/>
      <c r="M9284" s="1"/>
      <c r="N9284" s="1"/>
      <c r="O9284" s="1"/>
      <c r="P9284" s="1"/>
      <c r="Q9284" s="1"/>
      <c r="R9284" s="1"/>
      <c r="S9284" s="1"/>
      <c r="T9284" s="1"/>
      <c r="U9284" s="1"/>
      <c r="V9284" s="1"/>
      <c r="W9284" s="1"/>
      <c r="X9284" s="1"/>
      <c r="Y9284" s="1"/>
      <c r="Z9284" s="1"/>
      <c r="AA9284" s="1"/>
      <c r="AB9284" s="1"/>
    </row>
    <row r="9285" ht="50.25" customHeight="1">
      <c r="A9285" s="12">
        <v>9281.0</v>
      </c>
      <c r="B9285" s="13" t="s">
        <v>8699</v>
      </c>
      <c r="C9285" s="18" t="s">
        <v>9311</v>
      </c>
      <c r="D9285" s="1"/>
      <c r="E9285" s="1"/>
      <c r="F9285" s="1" t="str">
        <f>IFERROR(__xludf.DUMMYFUNCTION("GOOGLETRANSLATE(B9285, ""en"", ""fa"")
"),"موفقیت در پادکست")</f>
        <v>موفقیت در پادکست</v>
      </c>
      <c r="G9285" s="1" t="str">
        <f>IFERROR(__xludf.DUMMYFUNCTION("GOOGLETRANSLATE(C9285, ""en"", ""fa"")
"),"تکنیک‌های ایجاد یک وب‌سایت پادکست متقاعدکننده که هویت برند شما را منعکس می‌کند، قسمت‌های شما را به نمایش می‌گذارد و منابع اضافی برای شنوندگان شما فراهم می‌کند، چیست؟")</f>
        <v>تکنیک‌های ایجاد یک وب‌سایت پادکست متقاعدکننده که هویت برند شما را منعکس می‌کند، قسمت‌های شما را به نمایش می‌گذارد و منابع اضافی برای شنوندگان شما فراهم می‌کند، چیست؟</v>
      </c>
      <c r="H9285" s="1"/>
      <c r="I9285" s="1"/>
      <c r="J9285" s="1"/>
      <c r="K9285" s="1"/>
      <c r="L9285" s="1"/>
      <c r="M9285" s="1"/>
      <c r="N9285" s="1"/>
      <c r="O9285" s="1"/>
      <c r="P9285" s="1"/>
      <c r="Q9285" s="1"/>
      <c r="R9285" s="1"/>
      <c r="S9285" s="1"/>
      <c r="T9285" s="1"/>
      <c r="U9285" s="1"/>
      <c r="V9285" s="1"/>
      <c r="W9285" s="1"/>
      <c r="X9285" s="1"/>
      <c r="Y9285" s="1"/>
      <c r="Z9285" s="1"/>
      <c r="AA9285" s="1"/>
      <c r="AB9285" s="1"/>
    </row>
    <row r="9286" ht="50.25" customHeight="1">
      <c r="A9286" s="12">
        <v>9282.0</v>
      </c>
      <c r="B9286" s="13" t="s">
        <v>8699</v>
      </c>
      <c r="C9286" s="18" t="s">
        <v>9312</v>
      </c>
      <c r="D9286" s="1"/>
      <c r="E9286" s="1"/>
      <c r="F9286" s="1" t="str">
        <f>IFERROR(__xludf.DUMMYFUNCTION("GOOGLETRANSLATE(B9286, ""en"", ""fa"")
"),"موفقیت در پادکست")</f>
        <v>موفقیت در پادکست</v>
      </c>
      <c r="G9286" s="1" t="str">
        <f>IFERROR(__xludf.DUMMYFUNCTION("GOOGLETRANSLATE(C9286, ""en"", ""fa"")
"),"چگونه برای پادکست خود یک طرح آسانسور قانع کننده ایجاد کنید که به طور واضح و مختصر نشان دهد که چه چیزی برنامه شما را برای شنوندگان بالقوه منحصر به فرد و ارزشمند می کند؟")</f>
        <v>چگونه برای پادکست خود یک طرح آسانسور قانع کننده ایجاد کنید که به طور واضح و مختصر نشان دهد که چه چیزی برنامه شما را برای شنوندگان بالقوه منحصر به فرد و ارزشمند می کند؟</v>
      </c>
      <c r="H9286" s="1"/>
      <c r="I9286" s="1"/>
      <c r="J9286" s="1"/>
      <c r="K9286" s="1"/>
      <c r="L9286" s="1"/>
      <c r="M9286" s="1"/>
      <c r="N9286" s="1"/>
      <c r="O9286" s="1"/>
      <c r="P9286" s="1"/>
      <c r="Q9286" s="1"/>
      <c r="R9286" s="1"/>
      <c r="S9286" s="1"/>
      <c r="T9286" s="1"/>
      <c r="U9286" s="1"/>
      <c r="V9286" s="1"/>
      <c r="W9286" s="1"/>
      <c r="X9286" s="1"/>
      <c r="Y9286" s="1"/>
      <c r="Z9286" s="1"/>
      <c r="AA9286" s="1"/>
      <c r="AB9286" s="1"/>
    </row>
    <row r="9287" ht="50.25" customHeight="1">
      <c r="A9287" s="12">
        <v>9283.0</v>
      </c>
      <c r="B9287" s="13" t="s">
        <v>8699</v>
      </c>
      <c r="C9287" s="18" t="s">
        <v>9313</v>
      </c>
      <c r="D9287" s="1"/>
      <c r="E9287" s="1"/>
      <c r="F9287" s="1" t="str">
        <f>IFERROR(__xludf.DUMMYFUNCTION("GOOGLETRANSLATE(B9287, ""en"", ""fa"")
"),"موفقیت در پادکست")</f>
        <v>موفقیت در پادکست</v>
      </c>
      <c r="G9287" s="1" t="str">
        <f>IFERROR(__xludf.DUMMYFUNCTION("GOOGLETRANSLATE(C9287, ""en"", ""fa"")
"),"راهبردهای ایجاد محصولات پادکست مارک دار، مانند تی شرت، لیوان، یا برچسب، برای تقویت حس اجتماعی و ترویج پادکست شما چیست؟")</f>
        <v>راهبردهای ایجاد محصولات پادکست مارک دار، مانند تی شرت، لیوان، یا برچسب، برای تقویت حس اجتماعی و ترویج پادکست شما چیست؟</v>
      </c>
      <c r="H9287" s="1"/>
      <c r="I9287" s="1"/>
      <c r="J9287" s="1"/>
      <c r="K9287" s="1"/>
      <c r="L9287" s="1"/>
      <c r="M9287" s="1"/>
      <c r="N9287" s="1"/>
      <c r="O9287" s="1"/>
      <c r="P9287" s="1"/>
      <c r="Q9287" s="1"/>
      <c r="R9287" s="1"/>
      <c r="S9287" s="1"/>
      <c r="T9287" s="1"/>
      <c r="U9287" s="1"/>
      <c r="V9287" s="1"/>
      <c r="W9287" s="1"/>
      <c r="X9287" s="1"/>
      <c r="Y9287" s="1"/>
      <c r="Z9287" s="1"/>
      <c r="AA9287" s="1"/>
      <c r="AB9287" s="1"/>
    </row>
    <row r="9288" ht="50.25" customHeight="1">
      <c r="A9288" s="12">
        <v>9284.0</v>
      </c>
      <c r="B9288" s="13" t="s">
        <v>8699</v>
      </c>
      <c r="C9288" s="18" t="s">
        <v>9314</v>
      </c>
      <c r="D9288" s="1"/>
      <c r="E9288" s="1"/>
      <c r="F9288" s="1" t="str">
        <f>IFERROR(__xludf.DUMMYFUNCTION("GOOGLETRANSLATE(B9288, ""en"", ""fa"")
"),"موفقیت در پادکست")</f>
        <v>موفقیت در پادکست</v>
      </c>
      <c r="G9288" s="1" t="str">
        <f>IFERROR(__xludf.DUMMYFUNCTION("GOOGLETRANSLATE(C9288, ""en"", ""fa"")
"),"چگونه از داستان سرایی و حکایات شخصی در قسمت های پادکست خود برای ایجاد ارتباط عاطفی با مخاطبان خود و تقویت هویت برند خود استفاده کنید؟")</f>
        <v>چگونه از داستان سرایی و حکایات شخصی در قسمت های پادکست خود برای ایجاد ارتباط عاطفی با مخاطبان خود و تقویت هویت برند خود استفاده کنید؟</v>
      </c>
      <c r="H9288" s="1"/>
      <c r="I9288" s="1"/>
      <c r="J9288" s="1"/>
      <c r="K9288" s="1"/>
      <c r="L9288" s="1"/>
      <c r="M9288" s="1"/>
      <c r="N9288" s="1"/>
      <c r="O9288" s="1"/>
      <c r="P9288" s="1"/>
      <c r="Q9288" s="1"/>
      <c r="R9288" s="1"/>
      <c r="S9288" s="1"/>
      <c r="T9288" s="1"/>
      <c r="U9288" s="1"/>
      <c r="V9288" s="1"/>
      <c r="W9288" s="1"/>
      <c r="X9288" s="1"/>
      <c r="Y9288" s="1"/>
      <c r="Z9288" s="1"/>
      <c r="AA9288" s="1"/>
      <c r="AB9288" s="1"/>
    </row>
    <row r="9289" ht="50.25" customHeight="1">
      <c r="A9289" s="12">
        <v>9285.0</v>
      </c>
      <c r="B9289" s="13" t="s">
        <v>8699</v>
      </c>
      <c r="C9289" s="18" t="s">
        <v>9315</v>
      </c>
      <c r="D9289" s="1"/>
      <c r="E9289" s="1"/>
      <c r="F9289" s="1" t="str">
        <f>IFERROR(__xludf.DUMMYFUNCTION("GOOGLETRANSLATE(B9289, ""en"", ""fa"")
"),"موفقیت در پادکست")</f>
        <v>موفقیت در پادکست</v>
      </c>
      <c r="G9289" s="1" t="str">
        <f>IFERROR(__xludf.DUMMYFUNCTION("GOOGLETRANSLATE(C9289, ""en"", ""fa"")
"),"تکنیک‌هایی برای گنجاندن نام تجاری پادکست شما در کمپین‌های بازاریابی ایمیلی، از جمله قالب‌های برند، پیام‌های شخصی‌سازی شده و عناصر بصری ثابت چیست؟")</f>
        <v>تکنیک‌هایی برای گنجاندن نام تجاری پادکست شما در کمپین‌های بازاریابی ایمیلی، از جمله قالب‌های برند، پیام‌های شخصی‌سازی شده و عناصر بصری ثابت چیست؟</v>
      </c>
      <c r="H9289" s="1"/>
      <c r="I9289" s="1"/>
      <c r="J9289" s="1"/>
      <c r="K9289" s="1"/>
      <c r="L9289" s="1"/>
      <c r="M9289" s="1"/>
      <c r="N9289" s="1"/>
      <c r="O9289" s="1"/>
      <c r="P9289" s="1"/>
      <c r="Q9289" s="1"/>
      <c r="R9289" s="1"/>
      <c r="S9289" s="1"/>
      <c r="T9289" s="1"/>
      <c r="U9289" s="1"/>
      <c r="V9289" s="1"/>
      <c r="W9289" s="1"/>
      <c r="X9289" s="1"/>
      <c r="Y9289" s="1"/>
      <c r="Z9289" s="1"/>
      <c r="AA9289" s="1"/>
      <c r="AB9289" s="1"/>
    </row>
    <row r="9290" ht="50.25" customHeight="1">
      <c r="A9290" s="12">
        <v>9286.0</v>
      </c>
      <c r="B9290" s="13" t="s">
        <v>8699</v>
      </c>
      <c r="C9290" s="18" t="s">
        <v>9316</v>
      </c>
      <c r="D9290" s="1"/>
      <c r="E9290" s="1"/>
      <c r="F9290" s="1" t="str">
        <f>IFERROR(__xludf.DUMMYFUNCTION("GOOGLETRANSLATE(B9290, ""en"", ""fa"")
"),"موفقیت در پادکست")</f>
        <v>موفقیت در پادکست</v>
      </c>
      <c r="G9290" s="1" t="str">
        <f>IFERROR(__xludf.DUMMYFUNCTION("GOOGLETRANSLATE(C9290, ""en"", ""fa"")
"),"چگونه با سایر پادکست‌ها، اینفلوئنسرها یا متخصصان حوزه کاری خود همکاری کنید تا دامنه برند خود را گسترش دهید و مخاطبان جدیدی را جذب کنید؟")</f>
        <v>چگونه با سایر پادکست‌ها، اینفلوئنسرها یا متخصصان حوزه کاری خود همکاری کنید تا دامنه برند خود را گسترش دهید و مخاطبان جدیدی را جذب کنید؟</v>
      </c>
      <c r="H9290" s="1"/>
      <c r="I9290" s="1"/>
      <c r="J9290" s="1"/>
      <c r="K9290" s="1"/>
      <c r="L9290" s="1"/>
      <c r="M9290" s="1"/>
      <c r="N9290" s="1"/>
      <c r="O9290" s="1"/>
      <c r="P9290" s="1"/>
      <c r="Q9290" s="1"/>
      <c r="R9290" s="1"/>
      <c r="S9290" s="1"/>
      <c r="T9290" s="1"/>
      <c r="U9290" s="1"/>
      <c r="V9290" s="1"/>
      <c r="W9290" s="1"/>
      <c r="X9290" s="1"/>
      <c r="Y9290" s="1"/>
      <c r="Z9290" s="1"/>
      <c r="AA9290" s="1"/>
      <c r="AB9290" s="1"/>
    </row>
    <row r="9291" ht="50.25" customHeight="1">
      <c r="A9291" s="12">
        <v>9287.0</v>
      </c>
      <c r="B9291" s="13" t="s">
        <v>8699</v>
      </c>
      <c r="C9291" s="18" t="s">
        <v>9317</v>
      </c>
      <c r="D9291" s="1"/>
      <c r="E9291" s="1"/>
      <c r="F9291" s="1" t="str">
        <f>IFERROR(__xludf.DUMMYFUNCTION("GOOGLETRANSLATE(B9291, ""en"", ""fa"")
"),"موفقیت در پادکست")</f>
        <v>موفقیت در پادکست</v>
      </c>
      <c r="G9291" s="1" t="str">
        <f>IFERROR(__xludf.DUMMYFUNCTION("GOOGLETRANSLATE(C9291, ""en"", ""fa"")
"),"چه استراتژی هایی برای ایجاد یک تصویر کوچک پادکست ثابت و قابل تشخیص وجود دارد که با هویت برند شما همسو باشد و شنوندگان بالقوه را جذب کند؟")</f>
        <v>چه استراتژی هایی برای ایجاد یک تصویر کوچک پادکست ثابت و قابل تشخیص وجود دارد که با هویت برند شما همسو باشد و شنوندگان بالقوه را جذب کند؟</v>
      </c>
      <c r="H9291" s="1"/>
      <c r="I9291" s="1"/>
      <c r="J9291" s="1"/>
      <c r="K9291" s="1"/>
      <c r="L9291" s="1"/>
      <c r="M9291" s="1"/>
      <c r="N9291" s="1"/>
      <c r="O9291" s="1"/>
      <c r="P9291" s="1"/>
      <c r="Q9291" s="1"/>
      <c r="R9291" s="1"/>
      <c r="S9291" s="1"/>
      <c r="T9291" s="1"/>
      <c r="U9291" s="1"/>
      <c r="V9291" s="1"/>
      <c r="W9291" s="1"/>
      <c r="X9291" s="1"/>
      <c r="Y9291" s="1"/>
      <c r="Z9291" s="1"/>
      <c r="AA9291" s="1"/>
      <c r="AB9291" s="1"/>
    </row>
    <row r="9292" ht="50.25" customHeight="1">
      <c r="A9292" s="12">
        <v>9288.0</v>
      </c>
      <c r="B9292" s="13" t="s">
        <v>8699</v>
      </c>
      <c r="C9292" s="18" t="s">
        <v>9318</v>
      </c>
      <c r="D9292" s="1"/>
      <c r="E9292" s="1"/>
      <c r="F9292" s="1" t="str">
        <f>IFERROR(__xludf.DUMMYFUNCTION("GOOGLETRANSLATE(B9292, ""en"", ""fa"")
"),"موفقیت در پادکست")</f>
        <v>موفقیت در پادکست</v>
      </c>
      <c r="G9292" s="1" t="str">
        <f>IFERROR(__xludf.DUMMYFUNCTION("GOOGLETRANSLATE(C9292, ""en"", ""fa"")
"),"چگونه می توان یک بیانیه موقعیت یابی برند قوی ایجاد کرد که پیشنهاد فروش منحصر به فرد پادکست شما و تمایز آن را از سایر برنامه های موجود در حوزه شما بیان کند؟")</f>
        <v>چگونه می توان یک بیانیه موقعیت یابی برند قوی ایجاد کرد که پیشنهاد فروش منحصر به فرد پادکست شما و تمایز آن را از سایر برنامه های موجود در حوزه شما بیان کند؟</v>
      </c>
      <c r="H9292" s="1"/>
      <c r="I9292" s="1"/>
      <c r="J9292" s="1"/>
      <c r="K9292" s="1"/>
      <c r="L9292" s="1"/>
      <c r="M9292" s="1"/>
      <c r="N9292" s="1"/>
      <c r="O9292" s="1"/>
      <c r="P9292" s="1"/>
      <c r="Q9292" s="1"/>
      <c r="R9292" s="1"/>
      <c r="S9292" s="1"/>
      <c r="T9292" s="1"/>
      <c r="U9292" s="1"/>
      <c r="V9292" s="1"/>
      <c r="W9292" s="1"/>
      <c r="X9292" s="1"/>
      <c r="Y9292" s="1"/>
      <c r="Z9292" s="1"/>
      <c r="AA9292" s="1"/>
      <c r="AB9292" s="1"/>
    </row>
    <row r="9293" ht="50.25" customHeight="1">
      <c r="A9293" s="12">
        <v>9289.0</v>
      </c>
      <c r="B9293" s="13" t="s">
        <v>8699</v>
      </c>
      <c r="C9293" s="18" t="s">
        <v>9319</v>
      </c>
      <c r="D9293" s="1"/>
      <c r="E9293" s="1"/>
      <c r="F9293" s="1" t="str">
        <f>IFERROR(__xludf.DUMMYFUNCTION("GOOGLETRANSLATE(B9293, ""en"", ""fa"")
"),"موفقیت در پادکست")</f>
        <v>موفقیت در پادکست</v>
      </c>
      <c r="G9293" s="1" t="str">
        <f>IFERROR(__xludf.DUMMYFUNCTION("GOOGLETRANSLATE(C9293, ""en"", ""fa"")
"),"تکنیک های استفاده از محتوای تولید شده توسط کاربر، مانند توصیفات شنونده یا هنر طرفداران، برای تقویت هویت برند و ایجاد حسی از جامعه در اطراف پادکست شما چیست؟")</f>
        <v>تکنیک های استفاده از محتوای تولید شده توسط کاربر، مانند توصیفات شنونده یا هنر طرفداران، برای تقویت هویت برند و ایجاد حسی از جامعه در اطراف پادکست شما چیست؟</v>
      </c>
      <c r="H9293" s="1"/>
      <c r="I9293" s="1"/>
      <c r="J9293" s="1"/>
      <c r="K9293" s="1"/>
      <c r="L9293" s="1"/>
      <c r="M9293" s="1"/>
      <c r="N9293" s="1"/>
      <c r="O9293" s="1"/>
      <c r="P9293" s="1"/>
      <c r="Q9293" s="1"/>
      <c r="R9293" s="1"/>
      <c r="S9293" s="1"/>
      <c r="T9293" s="1"/>
      <c r="U9293" s="1"/>
      <c r="V9293" s="1"/>
      <c r="W9293" s="1"/>
      <c r="X9293" s="1"/>
      <c r="Y9293" s="1"/>
      <c r="Z9293" s="1"/>
      <c r="AA9293" s="1"/>
      <c r="AB9293" s="1"/>
    </row>
    <row r="9294" ht="50.25" customHeight="1">
      <c r="A9294" s="12">
        <v>9290.0</v>
      </c>
      <c r="B9294" s="13" t="s">
        <v>8699</v>
      </c>
      <c r="C9294" s="18" t="s">
        <v>9320</v>
      </c>
      <c r="D9294" s="1"/>
      <c r="E9294" s="1"/>
      <c r="F9294" s="1" t="str">
        <f>IFERROR(__xludf.DUMMYFUNCTION("GOOGLETRANSLATE(B9294, ""en"", ""fa"")
"),"موفقیت در پادکست")</f>
        <v>موفقیت در پادکست</v>
      </c>
      <c r="G9294" s="1" t="str">
        <f>IFERROR(__xludf.DUMMYFUNCTION("GOOGLETRANSLATE(C9294, ""en"", ""fa"")
"),"نحوه انجام ممیزی برند و تحقیقات بازار برای شناسایی فرصت های بالقوه تغییر نام تجاری یا اصلاحات در استراتژی نام تجاری پادکست شما.")</f>
        <v>نحوه انجام ممیزی برند و تحقیقات بازار برای شناسایی فرصت های بالقوه تغییر نام تجاری یا اصلاحات در استراتژی نام تجاری پادکست شما.</v>
      </c>
      <c r="H9294" s="1"/>
      <c r="I9294" s="1"/>
      <c r="J9294" s="1"/>
      <c r="K9294" s="1"/>
      <c r="L9294" s="1"/>
      <c r="M9294" s="1"/>
      <c r="N9294" s="1"/>
      <c r="O9294" s="1"/>
      <c r="P9294" s="1"/>
      <c r="Q9294" s="1"/>
      <c r="R9294" s="1"/>
      <c r="S9294" s="1"/>
      <c r="T9294" s="1"/>
      <c r="U9294" s="1"/>
      <c r="V9294" s="1"/>
      <c r="W9294" s="1"/>
      <c r="X9294" s="1"/>
      <c r="Y9294" s="1"/>
      <c r="Z9294" s="1"/>
      <c r="AA9294" s="1"/>
      <c r="AB9294" s="1"/>
    </row>
    <row r="9295" ht="50.25" customHeight="1">
      <c r="A9295" s="12">
        <v>9291.0</v>
      </c>
      <c r="B9295" s="13" t="s">
        <v>8699</v>
      </c>
      <c r="C9295" s="18" t="s">
        <v>9321</v>
      </c>
      <c r="D9295" s="1"/>
      <c r="E9295" s="1"/>
      <c r="F9295" s="1" t="str">
        <f>IFERROR(__xludf.DUMMYFUNCTION("GOOGLETRANSLATE(B9295, ""en"", ""fa"")
"),"موفقیت در پادکست")</f>
        <v>موفقیت در پادکست</v>
      </c>
      <c r="G9295" s="1" t="str">
        <f>IFERROR(__xludf.DUMMYFUNCTION("GOOGLETRANSLATE(C9295, ""en"", ""fa"")
"),"استراتژی‌هایی برای گنجاندن نام تجاری پادکست خود در حضور مهمان یا مصاحبه در سایر پادکست‌ها یا رسانه‌ها برای افزایش دیده شدن و شناخت برند چیست؟")</f>
        <v>استراتژی‌هایی برای گنجاندن نام تجاری پادکست خود در حضور مهمان یا مصاحبه در سایر پادکست‌ها یا رسانه‌ها برای افزایش دیده شدن و شناخت برند چیست؟</v>
      </c>
      <c r="H9295" s="1"/>
      <c r="I9295" s="1"/>
      <c r="J9295" s="1"/>
      <c r="K9295" s="1"/>
      <c r="L9295" s="1"/>
      <c r="M9295" s="1"/>
      <c r="N9295" s="1"/>
      <c r="O9295" s="1"/>
      <c r="P9295" s="1"/>
      <c r="Q9295" s="1"/>
      <c r="R9295" s="1"/>
      <c r="S9295" s="1"/>
      <c r="T9295" s="1"/>
      <c r="U9295" s="1"/>
      <c r="V9295" s="1"/>
      <c r="W9295" s="1"/>
      <c r="X9295" s="1"/>
      <c r="Y9295" s="1"/>
      <c r="Z9295" s="1"/>
      <c r="AA9295" s="1"/>
      <c r="AB9295" s="1"/>
    </row>
    <row r="9296" ht="50.25" customHeight="1">
      <c r="A9296" s="12">
        <v>9292.0</v>
      </c>
      <c r="B9296" s="13" t="s">
        <v>8699</v>
      </c>
      <c r="C9296" s="18" t="s">
        <v>9322</v>
      </c>
      <c r="D9296" s="1"/>
      <c r="E9296" s="1"/>
      <c r="F9296" s="1" t="str">
        <f>IFERROR(__xludf.DUMMYFUNCTION("GOOGLETRANSLATE(B9296, ""en"", ""fa"")
"),"موفقیت در پادکست")</f>
        <v>موفقیت در پادکست</v>
      </c>
      <c r="G9296" s="1" t="str">
        <f>IFERROR(__xludf.DUMMYFUNCTION("GOOGLETRANSLATE(C9296, ""en"", ""fa"")
"),"چگونه از پلتفرم های رسانه های اجتماعی برای تقویت هویت برند پادکست خود از طریق زیبایی شناسی بصری ثابت، محتوای جذاب و مدیریت فعال جامعه استفاده کنید.")</f>
        <v>چگونه از پلتفرم های رسانه های اجتماعی برای تقویت هویت برند پادکست خود از طریق زیبایی شناسی بصری ثابت، محتوای جذاب و مدیریت فعال جامعه استفاده کنید.</v>
      </c>
      <c r="H9296" s="1"/>
      <c r="I9296" s="1"/>
      <c r="J9296" s="1"/>
      <c r="K9296" s="1"/>
      <c r="L9296" s="1"/>
      <c r="M9296" s="1"/>
      <c r="N9296" s="1"/>
      <c r="O9296" s="1"/>
      <c r="P9296" s="1"/>
      <c r="Q9296" s="1"/>
      <c r="R9296" s="1"/>
      <c r="S9296" s="1"/>
      <c r="T9296" s="1"/>
      <c r="U9296" s="1"/>
      <c r="V9296" s="1"/>
      <c r="W9296" s="1"/>
      <c r="X9296" s="1"/>
      <c r="Y9296" s="1"/>
      <c r="Z9296" s="1"/>
      <c r="AA9296" s="1"/>
      <c r="AB9296" s="1"/>
    </row>
    <row r="9297" ht="50.25" customHeight="1">
      <c r="A9297" s="12">
        <v>9293.0</v>
      </c>
      <c r="B9297" s="13" t="s">
        <v>8699</v>
      </c>
      <c r="C9297" s="18" t="s">
        <v>9323</v>
      </c>
      <c r="D9297" s="1"/>
      <c r="E9297" s="1"/>
      <c r="F9297" s="1" t="str">
        <f>IFERROR(__xludf.DUMMYFUNCTION("GOOGLETRANSLATE(B9297, ""en"", ""fa"")
"),"موفقیت در پادکست")</f>
        <v>موفقیت در پادکست</v>
      </c>
      <c r="G9297" s="1" t="str">
        <f>IFERROR(__xludf.DUMMYFUNCTION("GOOGLETRANSLATE(C9297, ""en"", ""fa"")
"),"تکنیک‌هایی برای توسعه داستان برند یا قوس روایتی که با محتوای پادکست شما همسو باشد و با مخاطبان هدف شما طنین‌انداز شود، چیست؟")</f>
        <v>تکنیک‌هایی برای توسعه داستان برند یا قوس روایتی که با محتوای پادکست شما همسو باشد و با مخاطبان هدف شما طنین‌انداز شود، چیست؟</v>
      </c>
      <c r="H9297" s="1"/>
      <c r="I9297" s="1"/>
      <c r="J9297" s="1"/>
      <c r="K9297" s="1"/>
      <c r="L9297" s="1"/>
      <c r="M9297" s="1"/>
      <c r="N9297" s="1"/>
      <c r="O9297" s="1"/>
      <c r="P9297" s="1"/>
      <c r="Q9297" s="1"/>
      <c r="R9297" s="1"/>
      <c r="S9297" s="1"/>
      <c r="T9297" s="1"/>
      <c r="U9297" s="1"/>
      <c r="V9297" s="1"/>
      <c r="W9297" s="1"/>
      <c r="X9297" s="1"/>
      <c r="Y9297" s="1"/>
      <c r="Z9297" s="1"/>
      <c r="AA9297" s="1"/>
      <c r="AB9297" s="1"/>
    </row>
    <row r="9298" ht="50.25" customHeight="1">
      <c r="A9298" s="12">
        <v>9294.0</v>
      </c>
      <c r="B9298" s="13" t="s">
        <v>8699</v>
      </c>
      <c r="C9298" s="18" t="s">
        <v>9324</v>
      </c>
      <c r="D9298" s="1"/>
      <c r="E9298" s="1"/>
      <c r="F9298" s="1" t="str">
        <f>IFERROR(__xludf.DUMMYFUNCTION("GOOGLETRANSLATE(B9298, ""en"", ""fa"")
"),"موفقیت در پادکست")</f>
        <v>موفقیت در پادکست</v>
      </c>
      <c r="G9298" s="1" t="str">
        <f>IFERROR(__xludf.DUMMYFUNCTION("GOOGLETRANSLATE(C9298, ""en"", ""fa"")
"),"چگونه ساختار و قالب قسمت پادکست خود را بهینه کنیم تا با موقعیت نام تجاری خود مطابقت داشته باشد و یک تجربه شنیداری ثابت برای مخاطبان خود ایجاد کنید.")</f>
        <v>چگونه ساختار و قالب قسمت پادکست خود را بهینه کنیم تا با موقعیت نام تجاری خود مطابقت داشته باشد و یک تجربه شنیداری ثابت برای مخاطبان خود ایجاد کنید.</v>
      </c>
      <c r="H9298" s="1"/>
      <c r="I9298" s="1"/>
      <c r="J9298" s="1"/>
      <c r="K9298" s="1"/>
      <c r="L9298" s="1"/>
      <c r="M9298" s="1"/>
      <c r="N9298" s="1"/>
      <c r="O9298" s="1"/>
      <c r="P9298" s="1"/>
      <c r="Q9298" s="1"/>
      <c r="R9298" s="1"/>
      <c r="S9298" s="1"/>
      <c r="T9298" s="1"/>
      <c r="U9298" s="1"/>
      <c r="V9298" s="1"/>
      <c r="W9298" s="1"/>
      <c r="X9298" s="1"/>
      <c r="Y9298" s="1"/>
      <c r="Z9298" s="1"/>
      <c r="AA9298" s="1"/>
      <c r="AB9298" s="1"/>
    </row>
    <row r="9299" ht="50.25" customHeight="1">
      <c r="A9299" s="12">
        <v>9295.0</v>
      </c>
      <c r="B9299" s="13" t="s">
        <v>8699</v>
      </c>
      <c r="C9299" s="18" t="s">
        <v>9325</v>
      </c>
      <c r="D9299" s="1"/>
      <c r="E9299" s="1"/>
      <c r="F9299" s="1" t="str">
        <f>IFERROR(__xludf.DUMMYFUNCTION("GOOGLETRANSLATE(B9299, ""en"", ""fa"")
"),"موفقیت در پادکست")</f>
        <v>موفقیت در پادکست</v>
      </c>
      <c r="G9299" s="1" t="str">
        <f>IFERROR(__xludf.DUMMYFUNCTION("GOOGLETRANSLATE(C9299, ""en"", ""fa"")
"),"استراتژی‌هایی برای استفاده از نظرات، رتبه‌بندی‌ها و توصیفات تولید شده توسط کاربر برای ایجاد اثبات اجتماعی و افزایش شهرت برند پادکست شما چیست؟")</f>
        <v>استراتژی‌هایی برای استفاده از نظرات، رتبه‌بندی‌ها و توصیفات تولید شده توسط کاربر برای ایجاد اثبات اجتماعی و افزایش شهرت برند پادکست شما چیست؟</v>
      </c>
      <c r="H9299" s="1"/>
      <c r="I9299" s="1"/>
      <c r="J9299" s="1"/>
      <c r="K9299" s="1"/>
      <c r="L9299" s="1"/>
      <c r="M9299" s="1"/>
      <c r="N9299" s="1"/>
      <c r="O9299" s="1"/>
      <c r="P9299" s="1"/>
      <c r="Q9299" s="1"/>
      <c r="R9299" s="1"/>
      <c r="S9299" s="1"/>
      <c r="T9299" s="1"/>
      <c r="U9299" s="1"/>
      <c r="V9299" s="1"/>
      <c r="W9299" s="1"/>
      <c r="X9299" s="1"/>
      <c r="Y9299" s="1"/>
      <c r="Z9299" s="1"/>
      <c r="AA9299" s="1"/>
      <c r="AB9299" s="1"/>
    </row>
    <row r="9300" ht="50.25" customHeight="1">
      <c r="A9300" s="12">
        <v>9296.0</v>
      </c>
      <c r="B9300" s="13" t="s">
        <v>8699</v>
      </c>
      <c r="C9300" s="18" t="s">
        <v>9326</v>
      </c>
      <c r="D9300" s="1"/>
      <c r="E9300" s="1"/>
      <c r="F9300" s="1" t="str">
        <f>IFERROR(__xludf.DUMMYFUNCTION("GOOGLETRANSLATE(B9300, ""en"", ""fa"")
"),"موفقیت در پادکست")</f>
        <v>موفقیت در پادکست</v>
      </c>
      <c r="G9300" s="1" t="str">
        <f>IFERROR(__xludf.DUMMYFUNCTION("GOOGLETRANSLATE(C9300, ""en"", ""fa"")
"),"نحوه انجام مشارکت یا همکاری با برندهای غیررقیب یا سازمان هایی که ارزش های مشابه یا مخاطبان هدف را دارند برای افزایش نفوذ و تأثیر برند شما.")</f>
        <v>نحوه انجام مشارکت یا همکاری با برندهای غیررقیب یا سازمان هایی که ارزش های مشابه یا مخاطبان هدف را دارند برای افزایش نفوذ و تأثیر برند شما.</v>
      </c>
      <c r="H9300" s="1"/>
      <c r="I9300" s="1"/>
      <c r="J9300" s="1"/>
      <c r="K9300" s="1"/>
      <c r="L9300" s="1"/>
      <c r="M9300" s="1"/>
      <c r="N9300" s="1"/>
      <c r="O9300" s="1"/>
      <c r="P9300" s="1"/>
      <c r="Q9300" s="1"/>
      <c r="R9300" s="1"/>
      <c r="S9300" s="1"/>
      <c r="T9300" s="1"/>
      <c r="U9300" s="1"/>
      <c r="V9300" s="1"/>
      <c r="W9300" s="1"/>
      <c r="X9300" s="1"/>
      <c r="Y9300" s="1"/>
      <c r="Z9300" s="1"/>
      <c r="AA9300" s="1"/>
      <c r="AB9300" s="1"/>
    </row>
    <row r="9301" ht="50.25" customHeight="1">
      <c r="A9301" s="12">
        <v>9297.0</v>
      </c>
      <c r="B9301" s="13" t="s">
        <v>8699</v>
      </c>
      <c r="C9301" s="18" t="s">
        <v>9327</v>
      </c>
      <c r="D9301" s="1"/>
      <c r="E9301" s="1"/>
      <c r="F9301" s="1" t="str">
        <f>IFERROR(__xludf.DUMMYFUNCTION("GOOGLETRANSLATE(B9301, ""en"", ""fa"")
"),"موفقیت در پادکست")</f>
        <v>موفقیت در پادکست</v>
      </c>
      <c r="G9301" s="1" t="str">
        <f>IFERROR(__xludf.DUMMYFUNCTION("GOOGLETRANSLATE(C9301, ""en"", ""fa"")
"),"تکنیک های ایجاد یک سفیر برند یا برنامه وابسته برای تشویق شنوندگان وفادار برای تبلیغ پادکست شما و گسترش دید برند شما چیست؟")</f>
        <v>تکنیک های ایجاد یک سفیر برند یا برنامه وابسته برای تشویق شنوندگان وفادار برای تبلیغ پادکست شما و گسترش دید برند شما چیست؟</v>
      </c>
      <c r="H9301" s="1"/>
      <c r="I9301" s="1"/>
      <c r="J9301" s="1"/>
      <c r="K9301" s="1"/>
      <c r="L9301" s="1"/>
      <c r="M9301" s="1"/>
      <c r="N9301" s="1"/>
      <c r="O9301" s="1"/>
      <c r="P9301" s="1"/>
      <c r="Q9301" s="1"/>
      <c r="R9301" s="1"/>
      <c r="S9301" s="1"/>
      <c r="T9301" s="1"/>
      <c r="U9301" s="1"/>
      <c r="V9301" s="1"/>
      <c r="W9301" s="1"/>
      <c r="X9301" s="1"/>
      <c r="Y9301" s="1"/>
      <c r="Z9301" s="1"/>
      <c r="AA9301" s="1"/>
      <c r="AB9301" s="1"/>
    </row>
    <row r="9302" ht="50.25" customHeight="1">
      <c r="A9302" s="12">
        <v>9298.0</v>
      </c>
      <c r="B9302" s="13" t="s">
        <v>8699</v>
      </c>
      <c r="C9302" s="18" t="s">
        <v>9328</v>
      </c>
      <c r="D9302" s="1"/>
      <c r="E9302" s="1"/>
      <c r="F9302" s="1" t="str">
        <f>IFERROR(__xludf.DUMMYFUNCTION("GOOGLETRANSLATE(B9302, ""en"", ""fa"")
"),"موفقیت در پادکست")</f>
        <v>موفقیت در پادکست</v>
      </c>
      <c r="G9302" s="1" t="str">
        <f>IFERROR(__xludf.DUMMYFUNCTION("GOOGLETRANSLATE(C9302, ""en"", ""fa"")
"),"چگونه یک تریلر پادکست جذاب ایجاد کنیم که هویت برند شما را در بر بگیرد، شنوندگان بالقوه را جذب کند و لحن نمایش شما را مشخص کند.")</f>
        <v>چگونه یک تریلر پادکست جذاب ایجاد کنیم که هویت برند شما را در بر بگیرد، شنوندگان بالقوه را جذب کند و لحن نمایش شما را مشخص کند.</v>
      </c>
      <c r="H9302" s="1"/>
      <c r="I9302" s="1"/>
      <c r="J9302" s="1"/>
      <c r="K9302" s="1"/>
      <c r="L9302" s="1"/>
      <c r="M9302" s="1"/>
      <c r="N9302" s="1"/>
      <c r="O9302" s="1"/>
      <c r="P9302" s="1"/>
      <c r="Q9302" s="1"/>
      <c r="R9302" s="1"/>
      <c r="S9302" s="1"/>
      <c r="T9302" s="1"/>
      <c r="U9302" s="1"/>
      <c r="V9302" s="1"/>
      <c r="W9302" s="1"/>
      <c r="X9302" s="1"/>
      <c r="Y9302" s="1"/>
      <c r="Z9302" s="1"/>
      <c r="AA9302" s="1"/>
      <c r="AB9302" s="1"/>
    </row>
    <row r="9303" ht="50.25" customHeight="1">
      <c r="A9303" s="12">
        <v>9299.0</v>
      </c>
      <c r="B9303" s="13" t="s">
        <v>8699</v>
      </c>
      <c r="C9303" s="18" t="s">
        <v>9329</v>
      </c>
      <c r="D9303" s="1"/>
      <c r="E9303" s="1"/>
      <c r="F9303" s="1" t="str">
        <f>IFERROR(__xludf.DUMMYFUNCTION("GOOGLETRANSLATE(B9303, ""en"", ""fa"")
"),"موفقیت در پادکست")</f>
        <v>موفقیت در پادکست</v>
      </c>
      <c r="G9303" s="1" t="str">
        <f>IFERROR(__xludf.DUMMYFUNCTION("GOOGLETRANSLATE(C9303, ""en"", ""fa"")
"),"استراتژی‌های استفاده از خبرنامه‌های ایمیل برای تقویت ارتباط برند پادکست، ارائه محتوای انحصاری و تقویت تعامل مداوم با مخاطبان چیست؟")</f>
        <v>استراتژی‌های استفاده از خبرنامه‌های ایمیل برای تقویت ارتباط برند پادکست، ارائه محتوای انحصاری و تقویت تعامل مداوم با مخاطبان چیست؟</v>
      </c>
      <c r="H9303" s="1"/>
      <c r="I9303" s="1"/>
      <c r="J9303" s="1"/>
      <c r="K9303" s="1"/>
      <c r="L9303" s="1"/>
      <c r="M9303" s="1"/>
      <c r="N9303" s="1"/>
      <c r="O9303" s="1"/>
      <c r="P9303" s="1"/>
      <c r="Q9303" s="1"/>
      <c r="R9303" s="1"/>
      <c r="S9303" s="1"/>
      <c r="T9303" s="1"/>
      <c r="U9303" s="1"/>
      <c r="V9303" s="1"/>
      <c r="W9303" s="1"/>
      <c r="X9303" s="1"/>
      <c r="Y9303" s="1"/>
      <c r="Z9303" s="1"/>
      <c r="AA9303" s="1"/>
      <c r="AB9303" s="1"/>
    </row>
    <row r="9304" ht="50.25" customHeight="1">
      <c r="A9304" s="12">
        <v>9300.0</v>
      </c>
      <c r="B9304" s="13" t="s">
        <v>8699</v>
      </c>
      <c r="C9304" s="18" t="s">
        <v>9330</v>
      </c>
      <c r="D9304" s="1"/>
      <c r="E9304" s="1"/>
      <c r="F9304" s="1" t="str">
        <f>IFERROR(__xludf.DUMMYFUNCTION("GOOGLETRANSLATE(B9304, ""en"", ""fa"")
"),"موفقیت در پادکست")</f>
        <v>موفقیت در پادکست</v>
      </c>
      <c r="G9304" s="1" t="str">
        <f>IFERROR(__xludf.DUMMYFUNCTION("GOOGLETRANSLATE(C9304, ""en"", ""fa"")
"),"چگونه برای درک بهتر جمعیت شناسی، ترجیحات و انگیزه های شنوندگان خود تحقیق و توسعه شخصیت انجام دهید و برند خود را بر این اساس هماهنگ کنید.")</f>
        <v>چگونه برای درک بهتر جمعیت شناسی، ترجیحات و انگیزه های شنوندگان خود تحقیق و توسعه شخصیت انجام دهید و برند خود را بر این اساس هماهنگ کنید.</v>
      </c>
      <c r="H9304" s="1"/>
      <c r="I9304" s="1"/>
      <c r="J9304" s="1"/>
      <c r="K9304" s="1"/>
      <c r="L9304" s="1"/>
      <c r="M9304" s="1"/>
      <c r="N9304" s="1"/>
      <c r="O9304" s="1"/>
      <c r="P9304" s="1"/>
      <c r="Q9304" s="1"/>
      <c r="R9304" s="1"/>
      <c r="S9304" s="1"/>
      <c r="T9304" s="1"/>
      <c r="U9304" s="1"/>
      <c r="V9304" s="1"/>
      <c r="W9304" s="1"/>
      <c r="X9304" s="1"/>
      <c r="Y9304" s="1"/>
      <c r="Z9304" s="1"/>
      <c r="AA9304" s="1"/>
      <c r="AB9304" s="1"/>
    </row>
    <row r="9305" ht="50.25" customHeight="1">
      <c r="A9305" s="12">
        <v>9301.0</v>
      </c>
      <c r="B9305" s="13" t="s">
        <v>8699</v>
      </c>
      <c r="C9305" s="18" t="s">
        <v>9331</v>
      </c>
      <c r="D9305" s="1"/>
      <c r="E9305" s="1"/>
      <c r="F9305" s="1" t="str">
        <f>IFERROR(__xludf.DUMMYFUNCTION("GOOGLETRANSLATE(B9305, ""en"", ""fa"")
"),"موفقیت در پادکست")</f>
        <v>موفقیت در پادکست</v>
      </c>
      <c r="G9305" s="1" t="str">
        <f>IFERROR(__xludf.DUMMYFUNCTION("GOOGLETRANSLATE(C9305, ""en"", ""fa"")
"),"تکنیک‌های استفاده از محتوای تولید شده توسط کاربر، مانند داستان‌های شنونده، سؤالات یا بازخورد، برای ایجاد قسمت‌های پادکست معتبر و جذاب که هویت برند شما را تقویت می‌کند، چیست؟")</f>
        <v>تکنیک‌های استفاده از محتوای تولید شده توسط کاربر، مانند داستان‌های شنونده، سؤالات یا بازخورد، برای ایجاد قسمت‌های پادکست معتبر و جذاب که هویت برند شما را تقویت می‌کند، چیست؟</v>
      </c>
      <c r="H9305" s="1"/>
      <c r="I9305" s="1"/>
      <c r="J9305" s="1"/>
      <c r="K9305" s="1"/>
      <c r="L9305" s="1"/>
      <c r="M9305" s="1"/>
      <c r="N9305" s="1"/>
      <c r="O9305" s="1"/>
      <c r="P9305" s="1"/>
      <c r="Q9305" s="1"/>
      <c r="R9305" s="1"/>
      <c r="S9305" s="1"/>
      <c r="T9305" s="1"/>
      <c r="U9305" s="1"/>
      <c r="V9305" s="1"/>
      <c r="W9305" s="1"/>
      <c r="X9305" s="1"/>
      <c r="Y9305" s="1"/>
      <c r="Z9305" s="1"/>
      <c r="AA9305" s="1"/>
      <c r="AB9305" s="1"/>
    </row>
    <row r="9306" ht="50.25" customHeight="1">
      <c r="A9306" s="12">
        <v>9302.0</v>
      </c>
      <c r="B9306" s="13" t="s">
        <v>8699</v>
      </c>
      <c r="C9306" s="18" t="s">
        <v>9332</v>
      </c>
      <c r="D9306" s="1"/>
      <c r="E9306" s="1"/>
      <c r="F9306" s="1" t="str">
        <f>IFERROR(__xludf.DUMMYFUNCTION("GOOGLETRANSLATE(B9306, ""en"", ""fa"")
"),"موفقیت در پادکست")</f>
        <v>موفقیت در پادکست</v>
      </c>
      <c r="G9306" s="1" t="str">
        <f>IFERROR(__xludf.DUMMYFUNCTION("GOOGLETRANSLATE(C9306, ""en"", ""fa"")
"),"چگونه می توان نام تجاری پادکست خود را برای موتورهای جستجو بهینه کرد، از جمله استفاده از کلمات کلیدی مرتبط، متا تگ ها و فهرست های پادکست، برای افزایش قابلیت کشف و جذب شنوندگان جدید.")</f>
        <v>چگونه می توان نام تجاری پادکست خود را برای موتورهای جستجو بهینه کرد، از جمله استفاده از کلمات کلیدی مرتبط، متا تگ ها و فهرست های پادکست، برای افزایش قابلیت کشف و جذب شنوندگان جدید.</v>
      </c>
      <c r="H9306" s="1"/>
      <c r="I9306" s="1"/>
      <c r="J9306" s="1"/>
      <c r="K9306" s="1"/>
      <c r="L9306" s="1"/>
      <c r="M9306" s="1"/>
      <c r="N9306" s="1"/>
      <c r="O9306" s="1"/>
      <c r="P9306" s="1"/>
      <c r="Q9306" s="1"/>
      <c r="R9306" s="1"/>
      <c r="S9306" s="1"/>
      <c r="T9306" s="1"/>
      <c r="U9306" s="1"/>
      <c r="V9306" s="1"/>
      <c r="W9306" s="1"/>
      <c r="X9306" s="1"/>
      <c r="Y9306" s="1"/>
      <c r="Z9306" s="1"/>
      <c r="AA9306" s="1"/>
      <c r="AB9306" s="1"/>
    </row>
    <row r="9307" ht="50.25" customHeight="1">
      <c r="A9307" s="12">
        <v>9303.0</v>
      </c>
      <c r="B9307" s="13" t="s">
        <v>8699</v>
      </c>
      <c r="C9307" s="18" t="s">
        <v>9333</v>
      </c>
      <c r="D9307" s="1"/>
      <c r="E9307" s="1"/>
      <c r="F9307" s="1" t="str">
        <f>IFERROR(__xludf.DUMMYFUNCTION("GOOGLETRANSLATE(B9307, ""en"", ""fa"")
"),"موفقیت در پادکست")</f>
        <v>موفقیت در پادکست</v>
      </c>
      <c r="G9307" s="1" t="str">
        <f>IFERROR(__xludf.DUMMYFUNCTION("GOOGLETRANSLATE(C9307, ""en"", ""fa"")
"),"استراتژی‌هایی برای انجام بررسی‌ها و ارزیابی‌های منظم برند برای اطمینان از اینکه برند پادکست شما مرتبط، سازگار، و با نیازها و انتظارات در حال تحول مخاطبان هدف شما هماهنگ است، چیست؟")</f>
        <v>استراتژی‌هایی برای انجام بررسی‌ها و ارزیابی‌های منظم برند برای اطمینان از اینکه برند پادکست شما مرتبط، سازگار، و با نیازها و انتظارات در حال تحول مخاطبان هدف شما هماهنگ است، چیست؟</v>
      </c>
      <c r="H9307" s="1"/>
      <c r="I9307" s="1"/>
      <c r="J9307" s="1"/>
      <c r="K9307" s="1"/>
      <c r="L9307" s="1"/>
      <c r="M9307" s="1"/>
      <c r="N9307" s="1"/>
      <c r="O9307" s="1"/>
      <c r="P9307" s="1"/>
      <c r="Q9307" s="1"/>
      <c r="R9307" s="1"/>
      <c r="S9307" s="1"/>
      <c r="T9307" s="1"/>
      <c r="U9307" s="1"/>
      <c r="V9307" s="1"/>
      <c r="W9307" s="1"/>
      <c r="X9307" s="1"/>
      <c r="Y9307" s="1"/>
      <c r="Z9307" s="1"/>
      <c r="AA9307" s="1"/>
      <c r="AB9307" s="1"/>
    </row>
    <row r="9308" ht="50.25" customHeight="1">
      <c r="A9308" s="12">
        <v>9304.0</v>
      </c>
      <c r="B9308" s="13" t="s">
        <v>8699</v>
      </c>
      <c r="C9308" s="18" t="s">
        <v>9334</v>
      </c>
      <c r="D9308" s="1"/>
      <c r="E9308" s="1"/>
      <c r="F9308" s="1" t="str">
        <f>IFERROR(__xludf.DUMMYFUNCTION("GOOGLETRANSLATE(B9308, ""en"", ""fa"")
"),"موفقیت در پادکست")</f>
        <v>موفقیت در پادکست</v>
      </c>
      <c r="G9308" s="1" t="str">
        <f>IFERROR(__xludf.DUMMYFUNCTION("GOOGLETRANSLATE(C9308, ""en"", ""fa"")
"),"چگونه می توان با پادکسترهای مکمل یا متخصصان صنعت شراکت یا همکاری کرد تا دامنه برند خود را گسترش دهد، مخاطبان جدیدی را جذب کند و فرصت های تبلیغات متقابل را تقویت کند؟")</f>
        <v>چگونه می توان با پادکسترهای مکمل یا متخصصان صنعت شراکت یا همکاری کرد تا دامنه برند خود را گسترش دهد، مخاطبان جدیدی را جذب کند و فرصت های تبلیغات متقابل را تقویت کند؟</v>
      </c>
      <c r="H9308" s="1"/>
      <c r="I9308" s="1"/>
      <c r="J9308" s="1"/>
      <c r="K9308" s="1"/>
      <c r="L9308" s="1"/>
      <c r="M9308" s="1"/>
      <c r="N9308" s="1"/>
      <c r="O9308" s="1"/>
      <c r="P9308" s="1"/>
      <c r="Q9308" s="1"/>
      <c r="R9308" s="1"/>
      <c r="S9308" s="1"/>
      <c r="T9308" s="1"/>
      <c r="U9308" s="1"/>
      <c r="V9308" s="1"/>
      <c r="W9308" s="1"/>
      <c r="X9308" s="1"/>
      <c r="Y9308" s="1"/>
      <c r="Z9308" s="1"/>
      <c r="AA9308" s="1"/>
      <c r="AB9308" s="1"/>
    </row>
    <row r="9309" ht="50.25" customHeight="1">
      <c r="A9309" s="12">
        <v>9305.0</v>
      </c>
      <c r="B9309" s="13" t="s">
        <v>8699</v>
      </c>
      <c r="C9309" s="18" t="s">
        <v>9335</v>
      </c>
      <c r="D9309" s="1"/>
      <c r="E9309" s="1"/>
      <c r="F9309" s="1" t="str">
        <f>IFERROR(__xludf.DUMMYFUNCTION("GOOGLETRANSLATE(B9309, ""en"", ""fa"")
"),"موفقیت در پادکست")</f>
        <v>موفقیت در پادکست</v>
      </c>
      <c r="G9309" s="1" t="str">
        <f>IFERROR(__xludf.DUMMYFUNCTION("GOOGLETRANSLATE(C9309, ""en"", ""fa"")
"),"استراتژی های کلیدی برای شناسایی و تعریف مخاطبان هدف برای پادکست شما چیست؟")</f>
        <v>استراتژی های کلیدی برای شناسایی و تعریف مخاطبان هدف برای پادکست شما چیست؟</v>
      </c>
      <c r="H9309" s="1"/>
      <c r="I9309" s="1"/>
      <c r="J9309" s="1"/>
      <c r="K9309" s="1"/>
      <c r="L9309" s="1"/>
      <c r="M9309" s="1"/>
      <c r="N9309" s="1"/>
      <c r="O9309" s="1"/>
      <c r="P9309" s="1"/>
      <c r="Q9309" s="1"/>
      <c r="R9309" s="1"/>
      <c r="S9309" s="1"/>
      <c r="T9309" s="1"/>
      <c r="U9309" s="1"/>
      <c r="V9309" s="1"/>
      <c r="W9309" s="1"/>
      <c r="X9309" s="1"/>
      <c r="Y9309" s="1"/>
      <c r="Z9309" s="1"/>
      <c r="AA9309" s="1"/>
      <c r="AB9309" s="1"/>
    </row>
    <row r="9310" ht="50.25" customHeight="1">
      <c r="A9310" s="12">
        <v>9306.0</v>
      </c>
      <c r="B9310" s="13" t="s">
        <v>8699</v>
      </c>
      <c r="C9310" s="18" t="s">
        <v>9336</v>
      </c>
      <c r="D9310" s="1"/>
      <c r="E9310" s="1"/>
      <c r="F9310" s="1" t="str">
        <f>IFERROR(__xludf.DUMMYFUNCTION("GOOGLETRANSLATE(B9310, ""en"", ""fa"")
"),"موفقیت در پادکست")</f>
        <v>موفقیت در پادکست</v>
      </c>
      <c r="G9310" s="1" t="str">
        <f>IFERROR(__xludf.DUMMYFUNCTION("GOOGLETRANSLATE(C9310, ""en"", ""fa"")
"),"چگونه برای درک بهتر جمعیت شناختی، علایق و ترجیحات مخاطبان هدف خود، تحقیق درباره مخاطب انجام دهید و شخصیت های شنونده را توسعه دهید؟")</f>
        <v>چگونه برای درک بهتر جمعیت شناختی، علایق و ترجیحات مخاطبان هدف خود، تحقیق درباره مخاطب انجام دهید و شخصیت های شنونده را توسعه دهید؟</v>
      </c>
      <c r="H9310" s="1"/>
      <c r="I9310" s="1"/>
      <c r="J9310" s="1"/>
      <c r="K9310" s="1"/>
      <c r="L9310" s="1"/>
      <c r="M9310" s="1"/>
      <c r="N9310" s="1"/>
      <c r="O9310" s="1"/>
      <c r="P9310" s="1"/>
      <c r="Q9310" s="1"/>
      <c r="R9310" s="1"/>
      <c r="S9310" s="1"/>
      <c r="T9310" s="1"/>
      <c r="U9310" s="1"/>
      <c r="V9310" s="1"/>
      <c r="W9310" s="1"/>
      <c r="X9310" s="1"/>
      <c r="Y9310" s="1"/>
      <c r="Z9310" s="1"/>
      <c r="AA9310" s="1"/>
      <c r="AB9310" s="1"/>
    </row>
    <row r="9311" ht="50.25" customHeight="1">
      <c r="A9311" s="12">
        <v>9307.0</v>
      </c>
      <c r="B9311" s="13" t="s">
        <v>8699</v>
      </c>
      <c r="C9311" s="18" t="s">
        <v>9337</v>
      </c>
      <c r="D9311" s="1"/>
      <c r="E9311" s="1"/>
      <c r="F9311" s="1" t="str">
        <f>IFERROR(__xludf.DUMMYFUNCTION("GOOGLETRANSLATE(B9311, ""en"", ""fa"")
"),"موفقیت در پادکست")</f>
        <v>موفقیت در پادکست</v>
      </c>
      <c r="G9311" s="1" t="str">
        <f>IFERROR(__xludf.DUMMYFUNCTION("GOOGLETRANSLATE(C9311, ""en"", ""fa"")
"),"چه تکنیک هایی برای ایجاد محتوای پادکست متقاعد کننده و قابل اشتراک گذاری وجود دارد که با مخاطب هدف شما طنین انداز می شود و تعامل را تشویق می کند؟")</f>
        <v>چه تکنیک هایی برای ایجاد محتوای پادکست متقاعد کننده و قابل اشتراک گذاری وجود دارد که با مخاطب هدف شما طنین انداز می شود و تعامل را تشویق می کند؟</v>
      </c>
      <c r="H9311" s="1"/>
      <c r="I9311" s="1"/>
      <c r="J9311" s="1"/>
      <c r="K9311" s="1"/>
      <c r="L9311" s="1"/>
      <c r="M9311" s="1"/>
      <c r="N9311" s="1"/>
      <c r="O9311" s="1"/>
      <c r="P9311" s="1"/>
      <c r="Q9311" s="1"/>
      <c r="R9311" s="1"/>
      <c r="S9311" s="1"/>
      <c r="T9311" s="1"/>
      <c r="U9311" s="1"/>
      <c r="V9311" s="1"/>
      <c r="W9311" s="1"/>
      <c r="X9311" s="1"/>
      <c r="Y9311" s="1"/>
      <c r="Z9311" s="1"/>
      <c r="AA9311" s="1"/>
      <c r="AB9311" s="1"/>
    </row>
    <row r="9312" ht="50.25" customHeight="1">
      <c r="A9312" s="12">
        <v>9308.0</v>
      </c>
      <c r="B9312" s="13" t="s">
        <v>8699</v>
      </c>
      <c r="C9312" s="18" t="s">
        <v>9338</v>
      </c>
      <c r="D9312" s="1"/>
      <c r="E9312" s="1"/>
      <c r="F9312" s="1" t="str">
        <f>IFERROR(__xludf.DUMMYFUNCTION("GOOGLETRANSLATE(B9312, ""en"", ""fa"")
"),"موفقیت در پادکست")</f>
        <v>موفقیت در پادکست</v>
      </c>
      <c r="G9312" s="1" t="str">
        <f>IFERROR(__xludf.DUMMYFUNCTION("GOOGLETRANSLATE(C9312, ""en"", ""fa"")
"),"چگونه عنوان، توضیحات و ابرداده پادکست خود را برای بهبود قابلیت کشف و جذب مخاطبان بیشتر بهینه کنیم؟")</f>
        <v>چگونه عنوان، توضیحات و ابرداده پادکست خود را برای بهبود قابلیت کشف و جذب مخاطبان بیشتر بهینه کنیم؟</v>
      </c>
      <c r="H9312" s="1"/>
      <c r="I9312" s="1"/>
      <c r="J9312" s="1"/>
      <c r="K9312" s="1"/>
      <c r="L9312" s="1"/>
      <c r="M9312" s="1"/>
      <c r="N9312" s="1"/>
      <c r="O9312" s="1"/>
      <c r="P9312" s="1"/>
      <c r="Q9312" s="1"/>
      <c r="R9312" s="1"/>
      <c r="S9312" s="1"/>
      <c r="T9312" s="1"/>
      <c r="U9312" s="1"/>
      <c r="V9312" s="1"/>
      <c r="W9312" s="1"/>
      <c r="X9312" s="1"/>
      <c r="Y9312" s="1"/>
      <c r="Z9312" s="1"/>
      <c r="AA9312" s="1"/>
      <c r="AB9312" s="1"/>
    </row>
    <row r="9313" ht="50.25" customHeight="1">
      <c r="A9313" s="12">
        <v>9309.0</v>
      </c>
      <c r="B9313" s="13" t="s">
        <v>8699</v>
      </c>
      <c r="C9313" s="18" t="s">
        <v>9339</v>
      </c>
      <c r="D9313" s="1"/>
      <c r="E9313" s="1"/>
      <c r="F9313" s="1" t="str">
        <f>IFERROR(__xludf.DUMMYFUNCTION("GOOGLETRANSLATE(B9313, ""en"", ""fa"")
"),"موفقیت در پادکست")</f>
        <v>موفقیت در پادکست</v>
      </c>
      <c r="G9313" s="1" t="str">
        <f>IFERROR(__xludf.DUMMYFUNCTION("GOOGLETRANSLATE(C9313, ""en"", ""fa"")
"),"راهبردهای تبلیغ پادکست خود در پلتفرم های رسانه های اجتماعی برای افزایش دید و جذب شنوندگان جدید چیست؟")</f>
        <v>راهبردهای تبلیغ پادکست خود در پلتفرم های رسانه های اجتماعی برای افزایش دید و جذب شنوندگان جدید چیست؟</v>
      </c>
      <c r="H9313" s="1"/>
      <c r="I9313" s="1"/>
      <c r="J9313" s="1"/>
      <c r="K9313" s="1"/>
      <c r="L9313" s="1"/>
      <c r="M9313" s="1"/>
      <c r="N9313" s="1"/>
      <c r="O9313" s="1"/>
      <c r="P9313" s="1"/>
      <c r="Q9313" s="1"/>
      <c r="R9313" s="1"/>
      <c r="S9313" s="1"/>
      <c r="T9313" s="1"/>
      <c r="U9313" s="1"/>
      <c r="V9313" s="1"/>
      <c r="W9313" s="1"/>
      <c r="X9313" s="1"/>
      <c r="Y9313" s="1"/>
      <c r="Z9313" s="1"/>
      <c r="AA9313" s="1"/>
      <c r="AB9313" s="1"/>
    </row>
    <row r="9314" ht="50.25" customHeight="1">
      <c r="A9314" s="12">
        <v>9310.0</v>
      </c>
      <c r="B9314" s="13" t="s">
        <v>8699</v>
      </c>
      <c r="C9314" s="18" t="s">
        <v>9340</v>
      </c>
      <c r="D9314" s="1"/>
      <c r="E9314" s="1"/>
      <c r="F9314" s="1" t="str">
        <f>IFERROR(__xludf.DUMMYFUNCTION("GOOGLETRANSLATE(B9314, ""en"", ""fa"")
"),"موفقیت در پادکست")</f>
        <v>موفقیت در پادکست</v>
      </c>
      <c r="G9314" s="1" t="str">
        <f>IFERROR(__xludf.DUMMYFUNCTION("GOOGLETRANSLATE(C9314, ""en"", ""fa"")
"),"چگونه از بازاریابی ایمیلی برای افزایش مخاطبان پادکست خود و تعامل با مشترکین خود از طریق محتوای منحصر به فرد و به روز رسانی استفاده کنید؟")</f>
        <v>چگونه از بازاریابی ایمیلی برای افزایش مخاطبان پادکست خود و تعامل با مشترکین خود از طریق محتوای منحصر به فرد و به روز رسانی استفاده کنید؟</v>
      </c>
      <c r="H9314" s="1"/>
      <c r="I9314" s="1"/>
      <c r="J9314" s="1"/>
      <c r="K9314" s="1"/>
      <c r="L9314" s="1"/>
      <c r="M9314" s="1"/>
      <c r="N9314" s="1"/>
      <c r="O9314" s="1"/>
      <c r="P9314" s="1"/>
      <c r="Q9314" s="1"/>
      <c r="R9314" s="1"/>
      <c r="S9314" s="1"/>
      <c r="T9314" s="1"/>
      <c r="U9314" s="1"/>
      <c r="V9314" s="1"/>
      <c r="W9314" s="1"/>
      <c r="X9314" s="1"/>
      <c r="Y9314" s="1"/>
      <c r="Z9314" s="1"/>
      <c r="AA9314" s="1"/>
      <c r="AB9314" s="1"/>
    </row>
    <row r="9315" ht="50.25" customHeight="1">
      <c r="A9315" s="12">
        <v>9311.0</v>
      </c>
      <c r="B9315" s="13" t="s">
        <v>8699</v>
      </c>
      <c r="C9315" s="18" t="s">
        <v>9341</v>
      </c>
      <c r="D9315" s="1"/>
      <c r="E9315" s="1"/>
      <c r="F9315" s="1" t="str">
        <f>IFERROR(__xludf.DUMMYFUNCTION("GOOGLETRANSLATE(B9315, ""en"", ""fa"")
"),"موفقیت در پادکست")</f>
        <v>موفقیت در پادکست</v>
      </c>
      <c r="G9315" s="1" t="str">
        <f>IFERROR(__xludf.DUMMYFUNCTION("GOOGLETRANSLATE(C9315, ""en"", ""fa"")
"),"چه تکنیک هایی برای همکاری با سایر پادکسترها، اینفلوئنسرها یا کارشناسان صنعت وجود دارد تا از مخاطبان آنها استفاده کنید و دسترسی خود را گسترش دهید؟")</f>
        <v>چه تکنیک هایی برای همکاری با سایر پادکسترها، اینفلوئنسرها یا کارشناسان صنعت وجود دارد تا از مخاطبان آنها استفاده کنید و دسترسی خود را گسترش دهید؟</v>
      </c>
      <c r="H9315" s="1"/>
      <c r="I9315" s="1"/>
      <c r="J9315" s="1"/>
      <c r="K9315" s="1"/>
      <c r="L9315" s="1"/>
      <c r="M9315" s="1"/>
      <c r="N9315" s="1"/>
      <c r="O9315" s="1"/>
      <c r="P9315" s="1"/>
      <c r="Q9315" s="1"/>
      <c r="R9315" s="1"/>
      <c r="S9315" s="1"/>
      <c r="T9315" s="1"/>
      <c r="U9315" s="1"/>
      <c r="V9315" s="1"/>
      <c r="W9315" s="1"/>
      <c r="X9315" s="1"/>
      <c r="Y9315" s="1"/>
      <c r="Z9315" s="1"/>
      <c r="AA9315" s="1"/>
      <c r="AB9315" s="1"/>
    </row>
    <row r="9316" ht="50.25" customHeight="1">
      <c r="A9316" s="12">
        <v>9312.0</v>
      </c>
      <c r="B9316" s="13" t="s">
        <v>8699</v>
      </c>
      <c r="C9316" s="18" t="s">
        <v>9342</v>
      </c>
      <c r="D9316" s="1"/>
      <c r="E9316" s="1"/>
      <c r="F9316" s="1" t="str">
        <f>IFERROR(__xludf.DUMMYFUNCTION("GOOGLETRANSLATE(B9316, ""en"", ""fa"")
"),"موفقیت در پادکست")</f>
        <v>موفقیت در پادکست</v>
      </c>
      <c r="G9316" s="1" t="str">
        <f>IFERROR(__xludf.DUMMYFUNCTION("GOOGLETRANSLATE(C9316, ""en"", ""fa"")
"),"چگونه از مصاحبه مهمان در پادکست خود برای جذب شنوندگان جدید و تعامل با مخاطبان فعلی مهمانان خود استفاده کنید؟")</f>
        <v>چگونه از مصاحبه مهمان در پادکست خود برای جذب شنوندگان جدید و تعامل با مخاطبان فعلی مهمانان خود استفاده کنید؟</v>
      </c>
      <c r="H9316" s="1"/>
      <c r="I9316" s="1"/>
      <c r="J9316" s="1"/>
      <c r="K9316" s="1"/>
      <c r="L9316" s="1"/>
      <c r="M9316" s="1"/>
      <c r="N9316" s="1"/>
      <c r="O9316" s="1"/>
      <c r="P9316" s="1"/>
      <c r="Q9316" s="1"/>
      <c r="R9316" s="1"/>
      <c r="S9316" s="1"/>
      <c r="T9316" s="1"/>
      <c r="U9316" s="1"/>
      <c r="V9316" s="1"/>
      <c r="W9316" s="1"/>
      <c r="X9316" s="1"/>
      <c r="Y9316" s="1"/>
      <c r="Z9316" s="1"/>
      <c r="AA9316" s="1"/>
      <c r="AB9316" s="1"/>
    </row>
    <row r="9317" ht="50.25" customHeight="1">
      <c r="A9317" s="12">
        <v>9313.0</v>
      </c>
      <c r="B9317" s="13" t="s">
        <v>8699</v>
      </c>
      <c r="C9317" s="18" t="s">
        <v>9343</v>
      </c>
      <c r="D9317" s="1"/>
      <c r="E9317" s="1"/>
      <c r="F9317" s="1" t="str">
        <f>IFERROR(__xludf.DUMMYFUNCTION("GOOGLETRANSLATE(B9317, ""en"", ""fa"")
"),"موفقیت در پادکست")</f>
        <v>موفقیت در پادکست</v>
      </c>
      <c r="G9317" s="1" t="str">
        <f>IFERROR(__xludf.DUMMYFUNCTION("GOOGLETRANSLATE(C9317, ""en"", ""fa"")
"),"استراتژی های بهینه سازی وب سایت یا صفحه فرود پادکست شما برای افزایش ترافیک و تبدیل بازدیدکنندگان به شنوندگان وفادار چیست؟")</f>
        <v>استراتژی های بهینه سازی وب سایت یا صفحه فرود پادکست شما برای افزایش ترافیک و تبدیل بازدیدکنندگان به شنوندگان وفادار چیست؟</v>
      </c>
      <c r="H9317" s="1"/>
      <c r="I9317" s="1"/>
      <c r="J9317" s="1"/>
      <c r="K9317" s="1"/>
      <c r="L9317" s="1"/>
      <c r="M9317" s="1"/>
      <c r="N9317" s="1"/>
      <c r="O9317" s="1"/>
      <c r="P9317" s="1"/>
      <c r="Q9317" s="1"/>
      <c r="R9317" s="1"/>
      <c r="S9317" s="1"/>
      <c r="T9317" s="1"/>
      <c r="U9317" s="1"/>
      <c r="V9317" s="1"/>
      <c r="W9317" s="1"/>
      <c r="X9317" s="1"/>
      <c r="Y9317" s="1"/>
      <c r="Z9317" s="1"/>
      <c r="AA9317" s="1"/>
      <c r="AB9317" s="1"/>
    </row>
    <row r="9318" ht="50.25" customHeight="1">
      <c r="A9318" s="12">
        <v>9314.0</v>
      </c>
      <c r="B9318" s="13" t="s">
        <v>8699</v>
      </c>
      <c r="C9318" s="18" t="s">
        <v>9344</v>
      </c>
      <c r="D9318" s="1"/>
      <c r="E9318" s="1"/>
      <c r="F9318" s="1" t="str">
        <f>IFERROR(__xludf.DUMMYFUNCTION("GOOGLETRANSLATE(B9318, ""en"", ""fa"")
"),"موفقیت در پادکست")</f>
        <v>موفقیت در پادکست</v>
      </c>
      <c r="G9318" s="1" t="str">
        <f>IFERROR(__xludf.DUMMYFUNCTION("GOOGLETRANSLATE(C9318, ""en"", ""fa"")
"),"چگونه نظرات، رتبه‌بندی‌ها و توصیفات شنوندگان را تشویق کنیم و از آنها برای ایجاد مدرک اجتماعی و جذب شنوندگان جدید به پادکست خود استفاده کنیم؟")</f>
        <v>چگونه نظرات، رتبه‌بندی‌ها و توصیفات شنوندگان را تشویق کنیم و از آنها برای ایجاد مدرک اجتماعی و جذب شنوندگان جدید به پادکست خود استفاده کنیم؟</v>
      </c>
      <c r="H9318" s="1"/>
      <c r="I9318" s="1"/>
      <c r="J9318" s="1"/>
      <c r="K9318" s="1"/>
      <c r="L9318" s="1"/>
      <c r="M9318" s="1"/>
      <c r="N9318" s="1"/>
      <c r="O9318" s="1"/>
      <c r="P9318" s="1"/>
      <c r="Q9318" s="1"/>
      <c r="R9318" s="1"/>
      <c r="S9318" s="1"/>
      <c r="T9318" s="1"/>
      <c r="U9318" s="1"/>
      <c r="V9318" s="1"/>
      <c r="W9318" s="1"/>
      <c r="X9318" s="1"/>
      <c r="Y9318" s="1"/>
      <c r="Z9318" s="1"/>
      <c r="AA9318" s="1"/>
      <c r="AB9318" s="1"/>
    </row>
    <row r="9319" ht="50.25" customHeight="1">
      <c r="A9319" s="12">
        <v>9315.0</v>
      </c>
      <c r="B9319" s="13" t="s">
        <v>8699</v>
      </c>
      <c r="C9319" s="18" t="s">
        <v>9345</v>
      </c>
      <c r="D9319" s="1"/>
      <c r="E9319" s="1"/>
      <c r="F9319" s="1" t="str">
        <f>IFERROR(__xludf.DUMMYFUNCTION("GOOGLETRANSLATE(B9319, ""en"", ""fa"")
"),"موفقیت در پادکست")</f>
        <v>موفقیت در پادکست</v>
      </c>
      <c r="G9319" s="1" t="str">
        <f>IFERROR(__xludf.DUMMYFUNCTION("GOOGLETRANSLATE(C9319, ""en"", ""fa"")
"),"تکنیک‌هایی برای گنجاندن بازخورد و سؤالات شنونده در قسمت‌های پادکست برای تقویت حس اجتماعی و تشویق مخاطبان چیست؟")</f>
        <v>تکنیک‌هایی برای گنجاندن بازخورد و سؤالات شنونده در قسمت‌های پادکست برای تقویت حس اجتماعی و تشویق مخاطبان چیست؟</v>
      </c>
      <c r="H9319" s="1"/>
      <c r="I9319" s="1"/>
      <c r="J9319" s="1"/>
      <c r="K9319" s="1"/>
      <c r="L9319" s="1"/>
      <c r="M9319" s="1"/>
      <c r="N9319" s="1"/>
      <c r="O9319" s="1"/>
      <c r="P9319" s="1"/>
      <c r="Q9319" s="1"/>
      <c r="R9319" s="1"/>
      <c r="S9319" s="1"/>
      <c r="T9319" s="1"/>
      <c r="U9319" s="1"/>
      <c r="V9319" s="1"/>
      <c r="W9319" s="1"/>
      <c r="X9319" s="1"/>
      <c r="Y9319" s="1"/>
      <c r="Z9319" s="1"/>
      <c r="AA9319" s="1"/>
      <c r="AB9319" s="1"/>
    </row>
    <row r="9320" ht="50.25" customHeight="1">
      <c r="A9320" s="12">
        <v>9316.0</v>
      </c>
      <c r="B9320" s="13" t="s">
        <v>8699</v>
      </c>
      <c r="C9320" s="18" t="s">
        <v>9346</v>
      </c>
      <c r="D9320" s="1"/>
      <c r="E9320" s="1"/>
      <c r="F9320" s="1" t="str">
        <f>IFERROR(__xludf.DUMMYFUNCTION("GOOGLETRANSLATE(B9320, ""en"", ""fa"")
"),"موفقیت در پادکست")</f>
        <v>موفقیت در پادکست</v>
      </c>
      <c r="G9320" s="1" t="str">
        <f>IFERROR(__xludf.DUMMYFUNCTION("GOOGLETRANSLATE(C9320, ""en"", ""fa"")
"),"چگونه از ویژگی های تعاملی مانند نظرسنجی، نظرسنجی یا جلسات پرسش و پاسخ برای تعامل با مخاطبان خود و جمع آوری بینش و بازخورد ارزشمند استفاده کنید؟")</f>
        <v>چگونه از ویژگی های تعاملی مانند نظرسنجی، نظرسنجی یا جلسات پرسش و پاسخ برای تعامل با مخاطبان خود و جمع آوری بینش و بازخورد ارزشمند استفاده کنید؟</v>
      </c>
      <c r="H9320" s="1"/>
      <c r="I9320" s="1"/>
      <c r="J9320" s="1"/>
      <c r="K9320" s="1"/>
      <c r="L9320" s="1"/>
      <c r="M9320" s="1"/>
      <c r="N9320" s="1"/>
      <c r="O9320" s="1"/>
      <c r="P9320" s="1"/>
      <c r="Q9320" s="1"/>
      <c r="R9320" s="1"/>
      <c r="S9320" s="1"/>
      <c r="T9320" s="1"/>
      <c r="U9320" s="1"/>
      <c r="V9320" s="1"/>
      <c r="W9320" s="1"/>
      <c r="X9320" s="1"/>
      <c r="Y9320" s="1"/>
      <c r="Z9320" s="1"/>
      <c r="AA9320" s="1"/>
      <c r="AB9320" s="1"/>
    </row>
    <row r="9321" ht="50.25" customHeight="1">
      <c r="A9321" s="12">
        <v>9317.0</v>
      </c>
      <c r="B9321" s="13" t="s">
        <v>8699</v>
      </c>
      <c r="C9321" s="18" t="s">
        <v>9347</v>
      </c>
      <c r="D9321" s="1"/>
      <c r="E9321" s="1"/>
      <c r="F9321" s="1" t="str">
        <f>IFERROR(__xludf.DUMMYFUNCTION("GOOGLETRANSLATE(B9321, ""en"", ""fa"")
"),"موفقیت در پادکست")</f>
        <v>موفقیت در پادکست</v>
      </c>
      <c r="G9321" s="1" t="str">
        <f>IFERROR(__xludf.DUMMYFUNCTION("GOOGLETRANSLATE(C9321, ""en"", ""fa"")
"),"راهبردهای میزبانی اپیزودهای زنده، رویدادهای مجازی یا وبینارها برای ارتباط با مخاطبان خود در زمان واقعی و ایجاد یک تجربه شنیداری تعاملی تر چیست؟")</f>
        <v>راهبردهای میزبانی اپیزودهای زنده، رویدادهای مجازی یا وبینارها برای ارتباط با مخاطبان خود در زمان واقعی و ایجاد یک تجربه شنیداری تعاملی تر چیست؟</v>
      </c>
      <c r="H9321" s="1"/>
      <c r="I9321" s="1"/>
      <c r="J9321" s="1"/>
      <c r="K9321" s="1"/>
      <c r="L9321" s="1"/>
      <c r="M9321" s="1"/>
      <c r="N9321" s="1"/>
      <c r="O9321" s="1"/>
      <c r="P9321" s="1"/>
      <c r="Q9321" s="1"/>
      <c r="R9321" s="1"/>
      <c r="S9321" s="1"/>
      <c r="T9321" s="1"/>
      <c r="U9321" s="1"/>
      <c r="V9321" s="1"/>
      <c r="W9321" s="1"/>
      <c r="X9321" s="1"/>
      <c r="Y9321" s="1"/>
      <c r="Z9321" s="1"/>
      <c r="AA9321" s="1"/>
      <c r="AB9321" s="1"/>
    </row>
    <row r="9322" ht="50.25" customHeight="1">
      <c r="A9322" s="12">
        <v>9318.0</v>
      </c>
      <c r="B9322" s="13" t="s">
        <v>8699</v>
      </c>
      <c r="C9322" s="18" t="s">
        <v>9348</v>
      </c>
      <c r="D9322" s="1"/>
      <c r="E9322" s="1"/>
      <c r="F9322" s="1" t="str">
        <f>IFERROR(__xludf.DUMMYFUNCTION("GOOGLETRANSLATE(B9322, ""en"", ""fa"")
"),"موفقیت در پادکست")</f>
        <v>موفقیت در پادکست</v>
      </c>
      <c r="G9322" s="1" t="str">
        <f>IFERROR(__xludf.DUMMYFUNCTION("GOOGLETRANSLATE(C9322, ""en"", ""fa"")
"),"چگونه یک جامعه پادکست درگیر مانند یک گروه یا انجمن فیس بوک را ایجاد و پرورش دهید تا بحث ها را تقویت کنید، محتوا را به اشتراک بگذارید و با مخاطبان خود ارتباط برقرار کنید؟")</f>
        <v>چگونه یک جامعه پادکست درگیر مانند یک گروه یا انجمن فیس بوک را ایجاد و پرورش دهید تا بحث ها را تقویت کنید، محتوا را به اشتراک بگذارید و با مخاطبان خود ارتباط برقرار کنید؟</v>
      </c>
      <c r="H9322" s="1"/>
      <c r="I9322" s="1"/>
      <c r="J9322" s="1"/>
      <c r="K9322" s="1"/>
      <c r="L9322" s="1"/>
      <c r="M9322" s="1"/>
      <c r="N9322" s="1"/>
      <c r="O9322" s="1"/>
      <c r="P9322" s="1"/>
      <c r="Q9322" s="1"/>
      <c r="R9322" s="1"/>
      <c r="S9322" s="1"/>
      <c r="T9322" s="1"/>
      <c r="U9322" s="1"/>
      <c r="V9322" s="1"/>
      <c r="W9322" s="1"/>
      <c r="X9322" s="1"/>
      <c r="Y9322" s="1"/>
      <c r="Z9322" s="1"/>
      <c r="AA9322" s="1"/>
      <c r="AB9322" s="1"/>
    </row>
    <row r="9323" ht="50.25" customHeight="1">
      <c r="A9323" s="12">
        <v>9319.0</v>
      </c>
      <c r="B9323" s="13" t="s">
        <v>8699</v>
      </c>
      <c r="C9323" s="18" t="s">
        <v>9349</v>
      </c>
      <c r="D9323" s="1"/>
      <c r="E9323" s="1"/>
      <c r="F9323" s="1" t="str">
        <f>IFERROR(__xludf.DUMMYFUNCTION("GOOGLETRANSLATE(B9323, ""en"", ""fa"")
"),"موفقیت در پادکست")</f>
        <v>موفقیت در پادکست</v>
      </c>
      <c r="G9323" s="1" t="str">
        <f>IFERROR(__xludf.DUMMYFUNCTION("GOOGLETRANSLATE(C9323, ""en"", ""fa"")
"),"تکنیک های استفاده از اینفلوئنسرهای رسانه های اجتماعی یا میکرو اینفلوئنسرها برای تبلیغ پادکست و جذب شنوندگان جدید چیست؟")</f>
        <v>تکنیک های استفاده از اینفلوئنسرهای رسانه های اجتماعی یا میکرو اینفلوئنسرها برای تبلیغ پادکست و جذب شنوندگان جدید چیست؟</v>
      </c>
      <c r="H9323" s="1"/>
      <c r="I9323" s="1"/>
      <c r="J9323" s="1"/>
      <c r="K9323" s="1"/>
      <c r="L9323" s="1"/>
      <c r="M9323" s="1"/>
      <c r="N9323" s="1"/>
      <c r="O9323" s="1"/>
      <c r="P9323" s="1"/>
      <c r="Q9323" s="1"/>
      <c r="R9323" s="1"/>
      <c r="S9323" s="1"/>
      <c r="T9323" s="1"/>
      <c r="U9323" s="1"/>
      <c r="V9323" s="1"/>
      <c r="W9323" s="1"/>
      <c r="X9323" s="1"/>
      <c r="Y9323" s="1"/>
      <c r="Z9323" s="1"/>
      <c r="AA9323" s="1"/>
      <c r="AB9323" s="1"/>
    </row>
    <row r="9324" ht="50.25" customHeight="1">
      <c r="A9324" s="12">
        <v>9320.0</v>
      </c>
      <c r="B9324" s="13" t="s">
        <v>8699</v>
      </c>
      <c r="C9324" s="18" t="s">
        <v>9350</v>
      </c>
      <c r="D9324" s="1"/>
      <c r="E9324" s="1"/>
      <c r="F9324" s="1" t="str">
        <f>IFERROR(__xludf.DUMMYFUNCTION("GOOGLETRANSLATE(B9324, ""en"", ""fa"")
"),"موفقیت در پادکست")</f>
        <v>موفقیت در پادکست</v>
      </c>
      <c r="G9324" s="1" t="str">
        <f>IFERROR(__xludf.DUMMYFUNCTION("GOOGLETRANSLATE(C9324, ""en"", ""fa"")
"),"چگونه طول، فرکانس و برنامه انتشار پادکست خود را بهینه کنیم تا اولویت ها و عادات مخاطبان هدف خود را برآورده کند؟")</f>
        <v>چگونه طول، فرکانس و برنامه انتشار پادکست خود را بهینه کنیم تا اولویت ها و عادات مخاطبان هدف خود را برآورده کند؟</v>
      </c>
      <c r="H9324" s="1"/>
      <c r="I9324" s="1"/>
      <c r="J9324" s="1"/>
      <c r="K9324" s="1"/>
      <c r="L9324" s="1"/>
      <c r="M9324" s="1"/>
      <c r="N9324" s="1"/>
      <c r="O9324" s="1"/>
      <c r="P9324" s="1"/>
      <c r="Q9324" s="1"/>
      <c r="R9324" s="1"/>
      <c r="S9324" s="1"/>
      <c r="T9324" s="1"/>
      <c r="U9324" s="1"/>
      <c r="V9324" s="1"/>
      <c r="W9324" s="1"/>
      <c r="X9324" s="1"/>
      <c r="Y9324" s="1"/>
      <c r="Z9324" s="1"/>
      <c r="AA9324" s="1"/>
      <c r="AB9324" s="1"/>
    </row>
    <row r="9325" ht="50.25" customHeight="1">
      <c r="A9325" s="12">
        <v>9321.0</v>
      </c>
      <c r="B9325" s="13" t="s">
        <v>8699</v>
      </c>
      <c r="C9325" s="18" t="s">
        <v>9351</v>
      </c>
      <c r="D9325" s="1"/>
      <c r="E9325" s="1"/>
      <c r="F9325" s="1" t="str">
        <f>IFERROR(__xludf.DUMMYFUNCTION("GOOGLETRANSLATE(B9325, ""en"", ""fa"")
"),"موفقیت در پادکست")</f>
        <v>موفقیت در پادکست</v>
      </c>
      <c r="G9325" s="1" t="str">
        <f>IFERROR(__xludf.DUMMYFUNCTION("GOOGLETRANSLATE(C9325, ""en"", ""fa"")
"),"راهبردهای اجرای برنامه های ارجاع یا مشوق ها برای تشویق شنوندگان فعلی شما به توصیه پادکست شما به دیگران چیست؟")</f>
        <v>راهبردهای اجرای برنامه های ارجاع یا مشوق ها برای تشویق شنوندگان فعلی شما به توصیه پادکست شما به دیگران چیست؟</v>
      </c>
      <c r="H9325" s="1"/>
      <c r="I9325" s="1"/>
      <c r="J9325" s="1"/>
      <c r="K9325" s="1"/>
      <c r="L9325" s="1"/>
      <c r="M9325" s="1"/>
      <c r="N9325" s="1"/>
      <c r="O9325" s="1"/>
      <c r="P9325" s="1"/>
      <c r="Q9325" s="1"/>
      <c r="R9325" s="1"/>
      <c r="S9325" s="1"/>
      <c r="T9325" s="1"/>
      <c r="U9325" s="1"/>
      <c r="V9325" s="1"/>
      <c r="W9325" s="1"/>
      <c r="X9325" s="1"/>
      <c r="Y9325" s="1"/>
      <c r="Z9325" s="1"/>
      <c r="AA9325" s="1"/>
      <c r="AB9325" s="1"/>
    </row>
    <row r="9326" ht="50.25" customHeight="1">
      <c r="A9326" s="12">
        <v>9322.0</v>
      </c>
      <c r="B9326" s="13" t="s">
        <v>8699</v>
      </c>
      <c r="C9326" s="18" t="s">
        <v>9352</v>
      </c>
      <c r="D9326" s="1"/>
      <c r="E9326" s="1"/>
      <c r="F9326" s="1" t="str">
        <f>IFERROR(__xludf.DUMMYFUNCTION("GOOGLETRANSLATE(B9326, ""en"", ""fa"")
"),"موفقیت در پادکست")</f>
        <v>موفقیت در پادکست</v>
      </c>
      <c r="G9326" s="1" t="str">
        <f>IFERROR(__xludf.DUMMYFUNCTION("GOOGLETRANSLATE(C9326, ""en"", ""fa"")
"),"چگونه از حضور مهمان در سایر پادکست ها یا رسانه ها برای گسترش مخاطبان خود و استفاده از پایگاه های شنونده جدید استفاده کنید؟")</f>
        <v>چگونه از حضور مهمان در سایر پادکست ها یا رسانه ها برای گسترش مخاطبان خود و استفاده از پایگاه های شنونده جدید استفاده کنید؟</v>
      </c>
      <c r="H9326" s="1"/>
      <c r="I9326" s="1"/>
      <c r="J9326" s="1"/>
      <c r="K9326" s="1"/>
      <c r="L9326" s="1"/>
      <c r="M9326" s="1"/>
      <c r="N9326" s="1"/>
      <c r="O9326" s="1"/>
      <c r="P9326" s="1"/>
      <c r="Q9326" s="1"/>
      <c r="R9326" s="1"/>
      <c r="S9326" s="1"/>
      <c r="T9326" s="1"/>
      <c r="U9326" s="1"/>
      <c r="V9326" s="1"/>
      <c r="W9326" s="1"/>
      <c r="X9326" s="1"/>
      <c r="Y9326" s="1"/>
      <c r="Z9326" s="1"/>
      <c r="AA9326" s="1"/>
      <c r="AB9326" s="1"/>
    </row>
    <row r="9327" ht="50.25" customHeight="1">
      <c r="A9327" s="12">
        <v>9323.0</v>
      </c>
      <c r="B9327" s="13" t="s">
        <v>8699</v>
      </c>
      <c r="C9327" s="18" t="s">
        <v>9353</v>
      </c>
      <c r="D9327" s="1"/>
      <c r="E9327" s="1"/>
      <c r="F9327" s="1" t="str">
        <f>IFERROR(__xludf.DUMMYFUNCTION("GOOGLETRANSLATE(B9327, ""en"", ""fa"")
"),"موفقیت در پادکست")</f>
        <v>موفقیت در پادکست</v>
      </c>
      <c r="G9327" s="1" t="str">
        <f>IFERROR(__xludf.DUMMYFUNCTION("GOOGLETRANSLATE(C9327, ""en"", ""fa"")
"),"تکنیک‌های استفاده از استراتژی‌های بهینه‌سازی موتور جستجو (SEO) برای بهبود دید و قابلیت کشف ارگانیک پادکست شما چیست؟")</f>
        <v>تکنیک‌های استفاده از استراتژی‌های بهینه‌سازی موتور جستجو (SEO) برای بهبود دید و قابلیت کشف ارگانیک پادکست شما چیست؟</v>
      </c>
      <c r="H9327" s="1"/>
      <c r="I9327" s="1"/>
      <c r="J9327" s="1"/>
      <c r="K9327" s="1"/>
      <c r="L9327" s="1"/>
      <c r="M9327" s="1"/>
      <c r="N9327" s="1"/>
      <c r="O9327" s="1"/>
      <c r="P9327" s="1"/>
      <c r="Q9327" s="1"/>
      <c r="R9327" s="1"/>
      <c r="S9327" s="1"/>
      <c r="T9327" s="1"/>
      <c r="U9327" s="1"/>
      <c r="V9327" s="1"/>
      <c r="W9327" s="1"/>
      <c r="X9327" s="1"/>
      <c r="Y9327" s="1"/>
      <c r="Z9327" s="1"/>
      <c r="AA9327" s="1"/>
      <c r="AB9327" s="1"/>
    </row>
    <row r="9328" ht="50.25" customHeight="1">
      <c r="A9328" s="12">
        <v>9324.0</v>
      </c>
      <c r="B9328" s="13" t="s">
        <v>8699</v>
      </c>
      <c r="C9328" s="18" t="s">
        <v>9354</v>
      </c>
      <c r="D9328" s="1"/>
      <c r="E9328" s="1"/>
      <c r="F9328" s="1" t="str">
        <f>IFERROR(__xludf.DUMMYFUNCTION("GOOGLETRANSLATE(B9328, ""en"", ""fa"")
"),"موفقیت در پادکست")</f>
        <v>موفقیت در پادکست</v>
      </c>
      <c r="G9328" s="1" t="str">
        <f>IFERROR(__xludf.DUMMYFUNCTION("GOOGLETRANSLATE(C9328, ""en"", ""fa"")
"),"چگونه با پاسخ دادن به نظرات، پیام‌ها و اشاره‌ها با مخاطبان خود در پلتفرم‌های رسانه‌های اجتماعی ارتباط برقرار کنید تا حس ارتباط و وفاداری را تقویت کنید.")</f>
        <v>چگونه با پاسخ دادن به نظرات، پیام‌ها و اشاره‌ها با مخاطبان خود در پلتفرم‌های رسانه‌های اجتماعی ارتباط برقرار کنید تا حس ارتباط و وفاداری را تقویت کنید.</v>
      </c>
      <c r="H9328" s="1"/>
      <c r="I9328" s="1"/>
      <c r="J9328" s="1"/>
      <c r="K9328" s="1"/>
      <c r="L9328" s="1"/>
      <c r="M9328" s="1"/>
      <c r="N9328" s="1"/>
      <c r="O9328" s="1"/>
      <c r="P9328" s="1"/>
      <c r="Q9328" s="1"/>
      <c r="R9328" s="1"/>
      <c r="S9328" s="1"/>
      <c r="T9328" s="1"/>
      <c r="U9328" s="1"/>
      <c r="V9328" s="1"/>
      <c r="W9328" s="1"/>
      <c r="X9328" s="1"/>
      <c r="Y9328" s="1"/>
      <c r="Z9328" s="1"/>
      <c r="AA9328" s="1"/>
      <c r="AB9328" s="1"/>
    </row>
    <row r="9329" ht="50.25" customHeight="1">
      <c r="A9329" s="12">
        <v>9325.0</v>
      </c>
      <c r="B9329" s="13" t="s">
        <v>8699</v>
      </c>
      <c r="C9329" s="18" t="s">
        <v>9355</v>
      </c>
      <c r="D9329" s="1"/>
      <c r="E9329" s="1"/>
      <c r="F9329" s="1" t="str">
        <f>IFERROR(__xludf.DUMMYFUNCTION("GOOGLETRANSLATE(B9329, ""en"", ""fa"")
"),"موفقیت در پادکست")</f>
        <v>موفقیت در پادکست</v>
      </c>
      <c r="G9329" s="1" t="str">
        <f>IFERROR(__xludf.DUMMYFUNCTION("GOOGLETRANSLATE(C9329, ""en"", ""fa"")
"),"استراتژی های استفاده از تبلیغات پولی، مانند تبلیغات رسانه های اجتماعی یا شبکه های تبلیغاتی پادکست، برای دستیابی به مخاطبان گسترده تر و جذب شنوندگان جدید چیست؟")</f>
        <v>استراتژی های استفاده از تبلیغات پولی، مانند تبلیغات رسانه های اجتماعی یا شبکه های تبلیغاتی پادکست، برای دستیابی به مخاطبان گسترده تر و جذب شنوندگان جدید چیست؟</v>
      </c>
      <c r="H9329" s="1"/>
      <c r="I9329" s="1"/>
      <c r="J9329" s="1"/>
      <c r="K9329" s="1"/>
      <c r="L9329" s="1"/>
      <c r="M9329" s="1"/>
      <c r="N9329" s="1"/>
      <c r="O9329" s="1"/>
      <c r="P9329" s="1"/>
      <c r="Q9329" s="1"/>
      <c r="R9329" s="1"/>
      <c r="S9329" s="1"/>
      <c r="T9329" s="1"/>
      <c r="U9329" s="1"/>
      <c r="V9329" s="1"/>
      <c r="W9329" s="1"/>
      <c r="X9329" s="1"/>
      <c r="Y9329" s="1"/>
      <c r="Z9329" s="1"/>
      <c r="AA9329" s="1"/>
      <c r="AB9329" s="1"/>
    </row>
    <row r="9330" ht="50.25" customHeight="1">
      <c r="A9330" s="12">
        <v>9326.0</v>
      </c>
      <c r="B9330" s="13" t="s">
        <v>8699</v>
      </c>
      <c r="C9330" s="18" t="s">
        <v>9356</v>
      </c>
      <c r="D9330" s="1"/>
      <c r="E9330" s="1"/>
      <c r="F9330" s="1" t="str">
        <f>IFERROR(__xludf.DUMMYFUNCTION("GOOGLETRANSLATE(B9330, ""en"", ""fa"")
"),"موفقیت در پادکست")</f>
        <v>موفقیت در پادکست</v>
      </c>
      <c r="G9330" s="1" t="str">
        <f>IFERROR(__xludf.DUMMYFUNCTION("GOOGLETRANSLATE(C9330, ""en"", ""fa"")
"),"نحوه همکاری با وبلاگ‌ها، وب‌سایت‌ها یا نشریات مرتبط برای پست مهمان یا مشارکت محتوایی که باعث افزایش ترافیک و معرفی مخاطبان جدید به پادکست شما می‌شود.")</f>
        <v>نحوه همکاری با وبلاگ‌ها، وب‌سایت‌ها یا نشریات مرتبط برای پست مهمان یا مشارکت محتوایی که باعث افزایش ترافیک و معرفی مخاطبان جدید به پادکست شما می‌شود.</v>
      </c>
      <c r="H9330" s="1"/>
      <c r="I9330" s="1"/>
      <c r="J9330" s="1"/>
      <c r="K9330" s="1"/>
      <c r="L9330" s="1"/>
      <c r="M9330" s="1"/>
      <c r="N9330" s="1"/>
      <c r="O9330" s="1"/>
      <c r="P9330" s="1"/>
      <c r="Q9330" s="1"/>
      <c r="R9330" s="1"/>
      <c r="S9330" s="1"/>
      <c r="T9330" s="1"/>
      <c r="U9330" s="1"/>
      <c r="V9330" s="1"/>
      <c r="W9330" s="1"/>
      <c r="X9330" s="1"/>
      <c r="Y9330" s="1"/>
      <c r="Z9330" s="1"/>
      <c r="AA9330" s="1"/>
      <c r="AB9330" s="1"/>
    </row>
    <row r="9331" ht="50.25" customHeight="1">
      <c r="A9331" s="12">
        <v>9327.0</v>
      </c>
      <c r="B9331" s="13" t="s">
        <v>8699</v>
      </c>
      <c r="C9331" s="18" t="s">
        <v>9357</v>
      </c>
      <c r="D9331" s="1"/>
      <c r="E9331" s="1"/>
      <c r="F9331" s="1" t="str">
        <f>IFERROR(__xludf.DUMMYFUNCTION("GOOGLETRANSLATE(B9331, ""en"", ""fa"")
"),"موفقیت در پادکست")</f>
        <v>موفقیت در پادکست</v>
      </c>
      <c r="G9331" s="1" t="str">
        <f>IFERROR(__xludf.DUMMYFUNCTION("GOOGLETRANSLATE(C9331, ""en"", ""fa"")
"),"تکنیک‌های استفاده از فهرست ایمیل پادکست برای تعامل با مخاطبان، اشتراک‌گذاری محتوای انحصاری، و ارائه به‌روزرسانی‌ها و پیشنهادات شخصی‌شده چیست؟")</f>
        <v>تکنیک‌های استفاده از فهرست ایمیل پادکست برای تعامل با مخاطبان، اشتراک‌گذاری محتوای انحصاری، و ارائه به‌روزرسانی‌ها و پیشنهادات شخصی‌شده چیست؟</v>
      </c>
      <c r="H9331" s="1"/>
      <c r="I9331" s="1"/>
      <c r="J9331" s="1"/>
      <c r="K9331" s="1"/>
      <c r="L9331" s="1"/>
      <c r="M9331" s="1"/>
      <c r="N9331" s="1"/>
      <c r="O9331" s="1"/>
      <c r="P9331" s="1"/>
      <c r="Q9331" s="1"/>
      <c r="R9331" s="1"/>
      <c r="S9331" s="1"/>
      <c r="T9331" s="1"/>
      <c r="U9331" s="1"/>
      <c r="V9331" s="1"/>
      <c r="W9331" s="1"/>
      <c r="X9331" s="1"/>
      <c r="Y9331" s="1"/>
      <c r="Z9331" s="1"/>
      <c r="AA9331" s="1"/>
      <c r="AB9331" s="1"/>
    </row>
    <row r="9332" ht="50.25" customHeight="1">
      <c r="A9332" s="12">
        <v>9328.0</v>
      </c>
      <c r="B9332" s="13" t="s">
        <v>8699</v>
      </c>
      <c r="C9332" s="18" t="s">
        <v>9358</v>
      </c>
      <c r="D9332" s="1"/>
      <c r="E9332" s="1"/>
      <c r="F9332" s="1" t="str">
        <f>IFERROR(__xludf.DUMMYFUNCTION("GOOGLETRANSLATE(B9332, ""en"", ""fa"")
"),"موفقیت در پادکست")</f>
        <v>موفقیت در پادکست</v>
      </c>
      <c r="G9332" s="1" t="str">
        <f>IFERROR(__xludf.DUMMYFUNCTION("GOOGLETRANSLATE(C9332, ""en"", ""fa"")
"),"نحوه بهینه سازی وب سایت پادکست یا صفحه فرود برای موتورهای جستجو، از جمله استفاده از کلمات کلیدی مرتبط و ابرداده، برای افزایش ترافیک ارگانیک و قابلیت کشف.")</f>
        <v>نحوه بهینه سازی وب سایت پادکست یا صفحه فرود برای موتورهای جستجو، از جمله استفاده از کلمات کلیدی مرتبط و ابرداده، برای افزایش ترافیک ارگانیک و قابلیت کشف.</v>
      </c>
      <c r="H9332" s="1"/>
      <c r="I9332" s="1"/>
      <c r="J9332" s="1"/>
      <c r="K9332" s="1"/>
      <c r="L9332" s="1"/>
      <c r="M9332" s="1"/>
      <c r="N9332" s="1"/>
      <c r="O9332" s="1"/>
      <c r="P9332" s="1"/>
      <c r="Q9332" s="1"/>
      <c r="R9332" s="1"/>
      <c r="S9332" s="1"/>
      <c r="T9332" s="1"/>
      <c r="U9332" s="1"/>
      <c r="V9332" s="1"/>
      <c r="W9332" s="1"/>
      <c r="X9332" s="1"/>
      <c r="Y9332" s="1"/>
      <c r="Z9332" s="1"/>
      <c r="AA9332" s="1"/>
      <c r="AB9332" s="1"/>
    </row>
    <row r="9333" ht="50.25" customHeight="1">
      <c r="A9333" s="12">
        <v>9329.0</v>
      </c>
      <c r="B9333" s="13" t="s">
        <v>8699</v>
      </c>
      <c r="C9333" s="18" t="s">
        <v>9359</v>
      </c>
      <c r="D9333" s="1"/>
      <c r="E9333" s="1"/>
      <c r="F9333" s="1" t="str">
        <f>IFERROR(__xludf.DUMMYFUNCTION("GOOGLETRANSLATE(B9333, ""en"", ""fa"")
"),"موفقیت در پادکست")</f>
        <v>موفقیت در پادکست</v>
      </c>
      <c r="G9333" s="1" t="str">
        <f>IFERROR(__xludf.DUMMYFUNCTION("GOOGLETRANSLATE(C9333, ""en"", ""fa"")
"),"استراتژی‌های استفاده از اینفلوئنسر مارکتینگ یا مشارکت برند برای دستیابی به مخاطبان جدید و تبلیغ پادکست خود به دنبال‌کنندگان آن‌ها چیست؟")</f>
        <v>استراتژی‌های استفاده از اینفلوئنسر مارکتینگ یا مشارکت برند برای دستیابی به مخاطبان جدید و تبلیغ پادکست خود به دنبال‌کنندگان آن‌ها چیست؟</v>
      </c>
      <c r="H9333" s="1"/>
      <c r="I9333" s="1"/>
      <c r="J9333" s="1"/>
      <c r="K9333" s="1"/>
      <c r="L9333" s="1"/>
      <c r="M9333" s="1"/>
      <c r="N9333" s="1"/>
      <c r="O9333" s="1"/>
      <c r="P9333" s="1"/>
      <c r="Q9333" s="1"/>
      <c r="R9333" s="1"/>
      <c r="S9333" s="1"/>
      <c r="T9333" s="1"/>
      <c r="U9333" s="1"/>
      <c r="V9333" s="1"/>
      <c r="W9333" s="1"/>
      <c r="X9333" s="1"/>
      <c r="Y9333" s="1"/>
      <c r="Z9333" s="1"/>
      <c r="AA9333" s="1"/>
      <c r="AB9333" s="1"/>
    </row>
    <row r="9334" ht="50.25" customHeight="1">
      <c r="A9334" s="12">
        <v>9330.0</v>
      </c>
      <c r="B9334" s="13" t="s">
        <v>8699</v>
      </c>
      <c r="C9334" s="18" t="s">
        <v>9360</v>
      </c>
      <c r="D9334" s="1"/>
      <c r="E9334" s="1"/>
      <c r="F9334" s="1" t="str">
        <f>IFERROR(__xludf.DUMMYFUNCTION("GOOGLETRANSLATE(B9334, ""en"", ""fa"")
"),"موفقیت در پادکست")</f>
        <v>موفقیت در پادکست</v>
      </c>
      <c r="G9334" s="1" t="str">
        <f>IFERROR(__xludf.DUMMYFUNCTION("GOOGLETRANSLATE(C9334, ""en"", ""fa"")
"),"نحوه برگزاری مسابقات، هدایا یا تبلیغات برای تشویق مخاطبان به اشتراک گذاری و تبلیغ پادکست شما در شبکه هایشان.")</f>
        <v>نحوه برگزاری مسابقات، هدایا یا تبلیغات برای تشویق مخاطبان به اشتراک گذاری و تبلیغ پادکست شما در شبکه هایشان.</v>
      </c>
      <c r="H9334" s="1"/>
      <c r="I9334" s="1"/>
      <c r="J9334" s="1"/>
      <c r="K9334" s="1"/>
      <c r="L9334" s="1"/>
      <c r="M9334" s="1"/>
      <c r="N9334" s="1"/>
      <c r="O9334" s="1"/>
      <c r="P9334" s="1"/>
      <c r="Q9334" s="1"/>
      <c r="R9334" s="1"/>
      <c r="S9334" s="1"/>
      <c r="T9334" s="1"/>
      <c r="U9334" s="1"/>
      <c r="V9334" s="1"/>
      <c r="W9334" s="1"/>
      <c r="X9334" s="1"/>
      <c r="Y9334" s="1"/>
      <c r="Z9334" s="1"/>
      <c r="AA9334" s="1"/>
      <c r="AB9334" s="1"/>
    </row>
    <row r="9335" ht="50.25" customHeight="1">
      <c r="A9335" s="12">
        <v>9331.0</v>
      </c>
      <c r="B9335" s="13" t="s">
        <v>8699</v>
      </c>
      <c r="C9335" s="18" t="s">
        <v>9361</v>
      </c>
      <c r="D9335" s="1"/>
      <c r="E9335" s="1"/>
      <c r="F9335" s="1" t="str">
        <f>IFERROR(__xludf.DUMMYFUNCTION("GOOGLETRANSLATE(B9335, ""en"", ""fa"")
"),"موفقیت در پادکست")</f>
        <v>موفقیت در پادکست</v>
      </c>
      <c r="G9335" s="1" t="str">
        <f>IFERROR(__xludf.DUMMYFUNCTION("GOOGLETRANSLATE(C9335, ""en"", ""fa"")
"),"تکنیک‌هایی برای استفاده از محتوای تولید شده توسط کاربر، مانند توصیفات شنوندگان، نظرات، یا هنر طرفداران، برای تعامل با مخاطبان و نشان دادن حمایت آنها چیست؟")</f>
        <v>تکنیک‌هایی برای استفاده از محتوای تولید شده توسط کاربر، مانند توصیفات شنوندگان، نظرات، یا هنر طرفداران، برای تعامل با مخاطبان و نشان دادن حمایت آنها چیست؟</v>
      </c>
      <c r="H9335" s="1"/>
      <c r="I9335" s="1"/>
      <c r="J9335" s="1"/>
      <c r="K9335" s="1"/>
      <c r="L9335" s="1"/>
      <c r="M9335" s="1"/>
      <c r="N9335" s="1"/>
      <c r="O9335" s="1"/>
      <c r="P9335" s="1"/>
      <c r="Q9335" s="1"/>
      <c r="R9335" s="1"/>
      <c r="S9335" s="1"/>
      <c r="T9335" s="1"/>
      <c r="U9335" s="1"/>
      <c r="V9335" s="1"/>
      <c r="W9335" s="1"/>
      <c r="X9335" s="1"/>
      <c r="Y9335" s="1"/>
      <c r="Z9335" s="1"/>
      <c r="AA9335" s="1"/>
      <c r="AB9335" s="1"/>
    </row>
    <row r="9336" ht="50.25" customHeight="1">
      <c r="A9336" s="12">
        <v>9332.0</v>
      </c>
      <c r="B9336" s="13" t="s">
        <v>8699</v>
      </c>
      <c r="C9336" s="18" t="s">
        <v>9362</v>
      </c>
      <c r="D9336" s="1"/>
      <c r="E9336" s="1"/>
      <c r="F9336" s="1" t="str">
        <f>IFERROR(__xludf.DUMMYFUNCTION("GOOGLETRANSLATE(B9336, ""en"", ""fa"")
"),"موفقیت در پادکست")</f>
        <v>موفقیت در پادکست</v>
      </c>
      <c r="G9336" s="1" t="str">
        <f>IFERROR(__xludf.DUMMYFUNCTION("GOOGLETRANSLATE(C9336, ""en"", ""fa"")
"),"چگونه از تکنیک‌های داستان‌گویی و روایت‌های قانع‌کننده در قسمت‌های پادکست خود استفاده کنید تا مخاطبان خود را مجذوب خود کنید و آنها را برای اطلاعات بیشتر بازگردانید.")</f>
        <v>چگونه از تکنیک‌های داستان‌گویی و روایت‌های قانع‌کننده در قسمت‌های پادکست خود استفاده کنید تا مخاطبان خود را مجذوب خود کنید و آنها را برای اطلاعات بیشتر بازگردانید.</v>
      </c>
      <c r="H9336" s="1"/>
      <c r="I9336" s="1"/>
      <c r="J9336" s="1"/>
      <c r="K9336" s="1"/>
      <c r="L9336" s="1"/>
      <c r="M9336" s="1"/>
      <c r="N9336" s="1"/>
      <c r="O9336" s="1"/>
      <c r="P9336" s="1"/>
      <c r="Q9336" s="1"/>
      <c r="R9336" s="1"/>
      <c r="S9336" s="1"/>
      <c r="T9336" s="1"/>
      <c r="U9336" s="1"/>
      <c r="V9336" s="1"/>
      <c r="W9336" s="1"/>
      <c r="X9336" s="1"/>
      <c r="Y9336" s="1"/>
      <c r="Z9336" s="1"/>
      <c r="AA9336" s="1"/>
      <c r="AB9336" s="1"/>
    </row>
    <row r="9337" ht="50.25" customHeight="1">
      <c r="A9337" s="12">
        <v>9333.0</v>
      </c>
      <c r="B9337" s="13" t="s">
        <v>8699</v>
      </c>
      <c r="C9337" s="18" t="s">
        <v>9363</v>
      </c>
      <c r="D9337" s="1"/>
      <c r="E9337" s="1"/>
      <c r="F9337" s="1" t="str">
        <f>IFERROR(__xludf.DUMMYFUNCTION("GOOGLETRANSLATE(B9337, ""en"", ""fa"")
"),"موفقیت در پادکست")</f>
        <v>موفقیت در پادکست</v>
      </c>
      <c r="G9337" s="1" t="str">
        <f>IFERROR(__xludf.DUMMYFUNCTION("GOOGLETRANSLATE(C9337, ""en"", ""fa"")
"),"استراتژی‌هایی برای استفاده از پلتفرم‌های رسانه‌های اجتماعی برای ایجاد پادکست‌ها، کلیپ‌ها یا محتوای تیزر جذاب و قابل اشتراک‌گذاری برای جذب شنوندگان جدید چیست؟")</f>
        <v>استراتژی‌هایی برای استفاده از پلتفرم‌های رسانه‌های اجتماعی برای ایجاد پادکست‌ها، کلیپ‌ها یا محتوای تیزر جذاب و قابل اشتراک‌گذاری برای جذب شنوندگان جدید چیست؟</v>
      </c>
      <c r="H9337" s="1"/>
      <c r="I9337" s="1"/>
      <c r="J9337" s="1"/>
      <c r="K9337" s="1"/>
      <c r="L9337" s="1"/>
      <c r="M9337" s="1"/>
      <c r="N9337" s="1"/>
      <c r="O9337" s="1"/>
      <c r="P9337" s="1"/>
      <c r="Q9337" s="1"/>
      <c r="R9337" s="1"/>
      <c r="S9337" s="1"/>
      <c r="T9337" s="1"/>
      <c r="U9337" s="1"/>
      <c r="V9337" s="1"/>
      <c r="W9337" s="1"/>
      <c r="X9337" s="1"/>
      <c r="Y9337" s="1"/>
      <c r="Z9337" s="1"/>
      <c r="AA9337" s="1"/>
      <c r="AB9337" s="1"/>
    </row>
    <row r="9338" ht="50.25" customHeight="1">
      <c r="A9338" s="12">
        <v>9334.0</v>
      </c>
      <c r="B9338" s="13" t="s">
        <v>8699</v>
      </c>
      <c r="C9338" s="18" t="s">
        <v>9364</v>
      </c>
      <c r="D9338" s="1"/>
      <c r="E9338" s="1"/>
      <c r="F9338" s="1" t="str">
        <f>IFERROR(__xludf.DUMMYFUNCTION("GOOGLETRANSLATE(B9338, ""en"", ""fa"")
"),"موفقیت در پادکست")</f>
        <v>موفقیت در پادکست</v>
      </c>
      <c r="G9338" s="1" t="str">
        <f>IFERROR(__xludf.DUMMYFUNCTION("GOOGLETRANSLATE(C9338, ""en"", ""fa"")
"),"چگونه کیفیت صدای پادکست، ارزش تولید و تجربه کلی شنیداری خود را برای حفظ شنوندگان فعلی و جذب شنوندگان جدید بهینه کنید.")</f>
        <v>چگونه کیفیت صدای پادکست، ارزش تولید و تجربه کلی شنیداری خود را برای حفظ شنوندگان فعلی و جذب شنوندگان جدید بهینه کنید.</v>
      </c>
      <c r="H9338" s="1"/>
      <c r="I9338" s="1"/>
      <c r="J9338" s="1"/>
      <c r="K9338" s="1"/>
      <c r="L9338" s="1"/>
      <c r="M9338" s="1"/>
      <c r="N9338" s="1"/>
      <c r="O9338" s="1"/>
      <c r="P9338" s="1"/>
      <c r="Q9338" s="1"/>
      <c r="R9338" s="1"/>
      <c r="S9338" s="1"/>
      <c r="T9338" s="1"/>
      <c r="U9338" s="1"/>
      <c r="V9338" s="1"/>
      <c r="W9338" s="1"/>
      <c r="X9338" s="1"/>
      <c r="Y9338" s="1"/>
      <c r="Z9338" s="1"/>
      <c r="AA9338" s="1"/>
      <c r="AB9338" s="1"/>
    </row>
    <row r="9339" ht="50.25" customHeight="1">
      <c r="A9339" s="12">
        <v>9335.0</v>
      </c>
      <c r="B9339" s="13" t="s">
        <v>8699</v>
      </c>
      <c r="C9339" s="18" t="s">
        <v>9365</v>
      </c>
      <c r="D9339" s="1"/>
      <c r="E9339" s="1"/>
      <c r="F9339" s="1" t="str">
        <f>IFERROR(__xludf.DUMMYFUNCTION("GOOGLETRANSLATE(B9339, ""en"", ""fa"")
"),"موفقیت در پادکست")</f>
        <v>موفقیت در پادکست</v>
      </c>
      <c r="G9339" s="1" t="str">
        <f>IFERROR(__xludf.DUMMYFUNCTION("GOOGLETRANSLATE(C9339, ""en"", ""fa"")
"),"تکنیک‌های همکاری با پادکست‌های مکمل یا کارشناسان صنعت برای تبلیغ متقابل نمایش‌های یکدیگر و دستیابی به مخاطبان جدید چیست؟")</f>
        <v>تکنیک‌های همکاری با پادکست‌های مکمل یا کارشناسان صنعت برای تبلیغ متقابل نمایش‌های یکدیگر و دستیابی به مخاطبان جدید چیست؟</v>
      </c>
      <c r="H9339" s="1"/>
      <c r="I9339" s="1"/>
      <c r="J9339" s="1"/>
      <c r="K9339" s="1"/>
      <c r="L9339" s="1"/>
      <c r="M9339" s="1"/>
      <c r="N9339" s="1"/>
      <c r="O9339" s="1"/>
      <c r="P9339" s="1"/>
      <c r="Q9339" s="1"/>
      <c r="R9339" s="1"/>
      <c r="S9339" s="1"/>
      <c r="T9339" s="1"/>
      <c r="U9339" s="1"/>
      <c r="V9339" s="1"/>
      <c r="W9339" s="1"/>
      <c r="X9339" s="1"/>
      <c r="Y9339" s="1"/>
      <c r="Z9339" s="1"/>
      <c r="AA9339" s="1"/>
      <c r="AB9339" s="1"/>
    </row>
    <row r="9340" ht="50.25" customHeight="1">
      <c r="A9340" s="12">
        <v>9336.0</v>
      </c>
      <c r="B9340" s="13" t="s">
        <v>8699</v>
      </c>
      <c r="C9340" s="18" t="s">
        <v>9366</v>
      </c>
      <c r="D9340" s="1"/>
      <c r="E9340" s="1"/>
      <c r="F9340" s="1" t="str">
        <f>IFERROR(__xludf.DUMMYFUNCTION("GOOGLETRANSLATE(B9340, ""en"", ""fa"")
"),"موفقیت در پادکست")</f>
        <v>موفقیت در پادکست</v>
      </c>
      <c r="G9340" s="1" t="str">
        <f>IFERROR(__xludf.DUMMYFUNCTION("GOOGLETRANSLATE(C9340, ""en"", ""fa"")
"),"چگونه از اتوماسیون و تقسیم بندی ایمیل مارکتینگ برای ارائه محتوا و توصیه های شخصی به مشترکین پادکست خود استفاده کنید.")</f>
        <v>چگونه از اتوماسیون و تقسیم بندی ایمیل مارکتینگ برای ارائه محتوا و توصیه های شخصی به مشترکین پادکست خود استفاده کنید.</v>
      </c>
      <c r="H9340" s="1"/>
      <c r="I9340" s="1"/>
      <c r="J9340" s="1"/>
      <c r="K9340" s="1"/>
      <c r="L9340" s="1"/>
      <c r="M9340" s="1"/>
      <c r="N9340" s="1"/>
      <c r="O9340" s="1"/>
      <c r="P9340" s="1"/>
      <c r="Q9340" s="1"/>
      <c r="R9340" s="1"/>
      <c r="S9340" s="1"/>
      <c r="T9340" s="1"/>
      <c r="U9340" s="1"/>
      <c r="V9340" s="1"/>
      <c r="W9340" s="1"/>
      <c r="X9340" s="1"/>
      <c r="Y9340" s="1"/>
      <c r="Z9340" s="1"/>
      <c r="AA9340" s="1"/>
      <c r="AB9340" s="1"/>
    </row>
    <row r="9341" ht="50.25" customHeight="1">
      <c r="A9341" s="12">
        <v>9337.0</v>
      </c>
      <c r="B9341" s="13" t="s">
        <v>8699</v>
      </c>
      <c r="C9341" s="18" t="s">
        <v>9367</v>
      </c>
      <c r="D9341" s="1"/>
      <c r="E9341" s="1"/>
      <c r="F9341" s="1" t="str">
        <f>IFERROR(__xludf.DUMMYFUNCTION("GOOGLETRANSLATE(B9341, ""en"", ""fa"")
"),"موفقیت در پادکست")</f>
        <v>موفقیت در پادکست</v>
      </c>
      <c r="G9341" s="1" t="str">
        <f>IFERROR(__xludf.DUMMYFUNCTION("GOOGLETRANSLATE(C9341, ""en"", ""fa"")
"),"استراتژی‌هایی برای استفاده از محتوای تولید شده توسط کاربر، مانند سؤالات یا پیشنهادات شنونده، برای ایجاد قسمت‌هایی که مستقیماً علایق و نیازهای مخاطبان شما را برآورده می‌کنند، چیست؟")</f>
        <v>استراتژی‌هایی برای استفاده از محتوای تولید شده توسط کاربر، مانند سؤالات یا پیشنهادات شنونده، برای ایجاد قسمت‌هایی که مستقیماً علایق و نیازهای مخاطبان شما را برآورده می‌کنند، چیست؟</v>
      </c>
      <c r="H9341" s="1"/>
      <c r="I9341" s="1"/>
      <c r="J9341" s="1"/>
      <c r="K9341" s="1"/>
      <c r="L9341" s="1"/>
      <c r="M9341" s="1"/>
      <c r="N9341" s="1"/>
      <c r="O9341" s="1"/>
      <c r="P9341" s="1"/>
      <c r="Q9341" s="1"/>
      <c r="R9341" s="1"/>
      <c r="S9341" s="1"/>
      <c r="T9341" s="1"/>
      <c r="U9341" s="1"/>
      <c r="V9341" s="1"/>
      <c r="W9341" s="1"/>
      <c r="X9341" s="1"/>
      <c r="Y9341" s="1"/>
      <c r="Z9341" s="1"/>
      <c r="AA9341" s="1"/>
      <c r="AB9341" s="1"/>
    </row>
    <row r="9342" ht="50.25" customHeight="1">
      <c r="A9342" s="12">
        <v>9338.0</v>
      </c>
      <c r="B9342" s="13" t="s">
        <v>8699</v>
      </c>
      <c r="C9342" s="18" t="s">
        <v>9368</v>
      </c>
      <c r="D9342" s="1"/>
      <c r="E9342" s="1"/>
      <c r="F9342" s="1" t="str">
        <f>IFERROR(__xludf.DUMMYFUNCTION("GOOGLETRANSLATE(B9342, ""en"", ""fa"")
"),"موفقیت در پادکست")</f>
        <v>موفقیت در پادکست</v>
      </c>
      <c r="G9342" s="1" t="str">
        <f>IFERROR(__xludf.DUMMYFUNCTION("GOOGLETRANSLATE(C9342, ""en"", ""fa"")
"),"چگونه در هنگام ضبط زنده یا رویدادهای مجازی از طریق اتاق های گفتگو، جلسات پرسش و پاسخ یا نظرسنجی های تعاملی با مخاطبان خود درگیر شوید تا حس اجتماعی و مشارکت را تقویت کنید.")</f>
        <v>چگونه در هنگام ضبط زنده یا رویدادهای مجازی از طریق اتاق های گفتگو، جلسات پرسش و پاسخ یا نظرسنجی های تعاملی با مخاطبان خود درگیر شوید تا حس اجتماعی و مشارکت را تقویت کنید.</v>
      </c>
      <c r="H9342" s="1"/>
      <c r="I9342" s="1"/>
      <c r="J9342" s="1"/>
      <c r="K9342" s="1"/>
      <c r="L9342" s="1"/>
      <c r="M9342" s="1"/>
      <c r="N9342" s="1"/>
      <c r="O9342" s="1"/>
      <c r="P9342" s="1"/>
      <c r="Q9342" s="1"/>
      <c r="R9342" s="1"/>
      <c r="S9342" s="1"/>
      <c r="T9342" s="1"/>
      <c r="U9342" s="1"/>
      <c r="V9342" s="1"/>
      <c r="W9342" s="1"/>
      <c r="X9342" s="1"/>
      <c r="Y9342" s="1"/>
      <c r="Z9342" s="1"/>
      <c r="AA9342" s="1"/>
      <c r="AB9342" s="1"/>
    </row>
    <row r="9343" ht="50.25" customHeight="1">
      <c r="A9343" s="12">
        <v>9339.0</v>
      </c>
      <c r="B9343" s="13" t="s">
        <v>8699</v>
      </c>
      <c r="C9343" s="18" t="s">
        <v>9369</v>
      </c>
      <c r="D9343" s="1"/>
      <c r="E9343" s="1"/>
      <c r="F9343" s="1" t="str">
        <f>IFERROR(__xludf.DUMMYFUNCTION("GOOGLETRANSLATE(B9343, ""en"", ""fa"")
"),"موفقیت در پادکست")</f>
        <v>موفقیت در پادکست</v>
      </c>
      <c r="G9343" s="1" t="str">
        <f>IFERROR(__xludf.DUMMYFUNCTION("GOOGLETRANSLATE(C9343, ""en"", ""fa"")
"),"تکنیک‌های انجام نظرسنجی یا نظرسنجی از شنوندگان برای جمع‌آوری بازخورد، سنجش علایق و تنظیم محتوای پادکست برای ارائه بهتر به مخاطبان چیست؟")</f>
        <v>تکنیک‌های انجام نظرسنجی یا نظرسنجی از شنوندگان برای جمع‌آوری بازخورد، سنجش علایق و تنظیم محتوای پادکست برای ارائه بهتر به مخاطبان چیست؟</v>
      </c>
      <c r="H9343" s="1"/>
      <c r="I9343" s="1"/>
      <c r="J9343" s="1"/>
      <c r="K9343" s="1"/>
      <c r="L9343" s="1"/>
      <c r="M9343" s="1"/>
      <c r="N9343" s="1"/>
      <c r="O9343" s="1"/>
      <c r="P9343" s="1"/>
      <c r="Q9343" s="1"/>
      <c r="R9343" s="1"/>
      <c r="S9343" s="1"/>
      <c r="T9343" s="1"/>
      <c r="U9343" s="1"/>
      <c r="V9343" s="1"/>
      <c r="W9343" s="1"/>
      <c r="X9343" s="1"/>
      <c r="Y9343" s="1"/>
      <c r="Z9343" s="1"/>
      <c r="AA9343" s="1"/>
      <c r="AB9343" s="1"/>
    </row>
    <row r="9344" ht="50.25" customHeight="1">
      <c r="A9344" s="12">
        <v>9340.0</v>
      </c>
      <c r="B9344" s="13" t="s">
        <v>8699</v>
      </c>
      <c r="C9344" s="18" t="s">
        <v>9370</v>
      </c>
      <c r="D9344" s="1"/>
      <c r="E9344" s="1"/>
      <c r="F9344" s="1" t="str">
        <f>IFERROR(__xludf.DUMMYFUNCTION("GOOGLETRANSLATE(B9344, ""en"", ""fa"")
"),"موفقیت در پادکست")</f>
        <v>موفقیت در پادکست</v>
      </c>
      <c r="G9344" s="1" t="str">
        <f>IFERROR(__xludf.DUMMYFUNCTION("GOOGLETRANSLATE(C9344, ""en"", ""fa"")
"),"چگونه می توان وفاداری و تعامل شنوندگان را از طریق محتوای انحصاری، مانند قسمت های جایزه، دسترسی به پشت صحنه، یا انتشار اولیه برای طرفداران اختصاصی تقویت کرد.")</f>
        <v>چگونه می توان وفاداری و تعامل شنوندگان را از طریق محتوای انحصاری، مانند قسمت های جایزه، دسترسی به پشت صحنه، یا انتشار اولیه برای طرفداران اختصاصی تقویت کرد.</v>
      </c>
      <c r="H9344" s="1"/>
      <c r="I9344" s="1"/>
      <c r="J9344" s="1"/>
      <c r="K9344" s="1"/>
      <c r="L9344" s="1"/>
      <c r="M9344" s="1"/>
      <c r="N9344" s="1"/>
      <c r="O9344" s="1"/>
      <c r="P9344" s="1"/>
      <c r="Q9344" s="1"/>
      <c r="R9344" s="1"/>
      <c r="S9344" s="1"/>
      <c r="T9344" s="1"/>
      <c r="U9344" s="1"/>
      <c r="V9344" s="1"/>
      <c r="W9344" s="1"/>
      <c r="X9344" s="1"/>
      <c r="Y9344" s="1"/>
      <c r="Z9344" s="1"/>
      <c r="AA9344" s="1"/>
      <c r="AB9344" s="1"/>
    </row>
    <row r="9345" ht="50.25" customHeight="1">
      <c r="A9345" s="12">
        <v>9341.0</v>
      </c>
      <c r="B9345" s="13" t="s">
        <v>8699</v>
      </c>
      <c r="C9345" s="18" t="s">
        <v>9371</v>
      </c>
      <c r="D9345" s="1"/>
      <c r="E9345" s="1"/>
      <c r="F9345" s="1" t="str">
        <f>IFERROR(__xludf.DUMMYFUNCTION("GOOGLETRANSLATE(B9345, ""en"", ""fa"")
"),"موفقیت در پادکست")</f>
        <v>موفقیت در پادکست</v>
      </c>
      <c r="G9345" s="1" t="str">
        <f>IFERROR(__xludf.DUMMYFUNCTION("GOOGLETRANSLATE(C9345, ""en"", ""fa"")
"),"استراتژی‌هایی برای استفاده از ابزارهای گوش دادن به رسانه‌های اجتماعی و پلتفرم‌های نظارت برای شناسایی و تعامل با مکالمات مرتبط با موضوع پادکست و تعامل با شنوندگان بالقوه چیست.")</f>
        <v>استراتژی‌هایی برای استفاده از ابزارهای گوش دادن به رسانه‌های اجتماعی و پلتفرم‌های نظارت برای شناسایی و تعامل با مکالمات مرتبط با موضوع پادکست و تعامل با شنوندگان بالقوه چیست.</v>
      </c>
      <c r="H9345" s="1"/>
      <c r="I9345" s="1"/>
      <c r="J9345" s="1"/>
      <c r="K9345" s="1"/>
      <c r="L9345" s="1"/>
      <c r="M9345" s="1"/>
      <c r="N9345" s="1"/>
      <c r="O9345" s="1"/>
      <c r="P9345" s="1"/>
      <c r="Q9345" s="1"/>
      <c r="R9345" s="1"/>
      <c r="S9345" s="1"/>
      <c r="T9345" s="1"/>
      <c r="U9345" s="1"/>
      <c r="V9345" s="1"/>
      <c r="W9345" s="1"/>
      <c r="X9345" s="1"/>
      <c r="Y9345" s="1"/>
      <c r="Z9345" s="1"/>
      <c r="AA9345" s="1"/>
      <c r="AB9345" s="1"/>
    </row>
    <row r="9346" ht="50.25" customHeight="1">
      <c r="A9346" s="12">
        <v>9342.0</v>
      </c>
      <c r="B9346" s="13" t="s">
        <v>8699</v>
      </c>
      <c r="C9346" s="18" t="s">
        <v>9372</v>
      </c>
      <c r="D9346" s="1"/>
      <c r="E9346" s="1"/>
      <c r="F9346" s="1" t="str">
        <f>IFERROR(__xludf.DUMMYFUNCTION("GOOGLETRANSLATE(B9346, ""en"", ""fa"")
"),"موفقیت در پادکست")</f>
        <v>موفقیت در پادکست</v>
      </c>
      <c r="G9346" s="1" t="str">
        <f>IFERROR(__xludf.DUMMYFUNCTION("GOOGLETRANSLATE(C9346, ""en"", ""fa"")
"),"نحوه همکاری با کارشناسان مهمان یا تأثیرگذاران برای ایجاد تبلیغات مشترک یا محتوای تبلیغاتی متقابل که مخاطبان یکدیگر را به پادکست شما معرفی می کند.")</f>
        <v>نحوه همکاری با کارشناسان مهمان یا تأثیرگذاران برای ایجاد تبلیغات مشترک یا محتوای تبلیغاتی متقابل که مخاطبان یکدیگر را به پادکست شما معرفی می کند.</v>
      </c>
      <c r="H9346" s="1"/>
      <c r="I9346" s="1"/>
      <c r="J9346" s="1"/>
      <c r="K9346" s="1"/>
      <c r="L9346" s="1"/>
      <c r="M9346" s="1"/>
      <c r="N9346" s="1"/>
      <c r="O9346" s="1"/>
      <c r="P9346" s="1"/>
      <c r="Q9346" s="1"/>
      <c r="R9346" s="1"/>
      <c r="S9346" s="1"/>
      <c r="T9346" s="1"/>
      <c r="U9346" s="1"/>
      <c r="V9346" s="1"/>
      <c r="W9346" s="1"/>
      <c r="X9346" s="1"/>
      <c r="Y9346" s="1"/>
      <c r="Z9346" s="1"/>
      <c r="AA9346" s="1"/>
      <c r="AB9346" s="1"/>
    </row>
    <row r="9347" ht="50.25" customHeight="1">
      <c r="A9347" s="12">
        <v>9343.0</v>
      </c>
      <c r="B9347" s="13" t="s">
        <v>8699</v>
      </c>
      <c r="C9347" s="18" t="s">
        <v>9373</v>
      </c>
      <c r="D9347" s="1"/>
      <c r="E9347" s="1"/>
      <c r="F9347" s="1" t="str">
        <f>IFERROR(__xludf.DUMMYFUNCTION("GOOGLETRANSLATE(B9347, ""en"", ""fa"")
"),"موفقیت در پادکست")</f>
        <v>موفقیت در پادکست</v>
      </c>
      <c r="G9347" s="1" t="str">
        <f>IFERROR(__xludf.DUMMYFUNCTION("GOOGLETRANSLATE(C9347, ""en"", ""fa"")
"),"برای تشویق شنوندگان به اشتراک، مرور، اشتراک‌گذاری یا انجام سایر اقدامات دلخواه، چه تکنیک‌هایی برای استفاده از درخواست‌های تماس برای اقدام در قسمت‌های پادکست وجود دارد.")</f>
        <v>برای تشویق شنوندگان به اشتراک، مرور، اشتراک‌گذاری یا انجام سایر اقدامات دلخواه، چه تکنیک‌هایی برای استفاده از درخواست‌های تماس برای اقدام در قسمت‌های پادکست وجود دارد.</v>
      </c>
      <c r="H9347" s="1"/>
      <c r="I9347" s="1"/>
      <c r="J9347" s="1"/>
      <c r="K9347" s="1"/>
      <c r="L9347" s="1"/>
      <c r="M9347" s="1"/>
      <c r="N9347" s="1"/>
      <c r="O9347" s="1"/>
      <c r="P9347" s="1"/>
      <c r="Q9347" s="1"/>
      <c r="R9347" s="1"/>
      <c r="S9347" s="1"/>
      <c r="T9347" s="1"/>
      <c r="U9347" s="1"/>
      <c r="V9347" s="1"/>
      <c r="W9347" s="1"/>
      <c r="X9347" s="1"/>
      <c r="Y9347" s="1"/>
      <c r="Z9347" s="1"/>
      <c r="AA9347" s="1"/>
      <c r="AB9347" s="1"/>
    </row>
    <row r="9348" ht="50.25" customHeight="1">
      <c r="A9348" s="12">
        <v>9344.0</v>
      </c>
      <c r="B9348" s="13" t="s">
        <v>8699</v>
      </c>
      <c r="C9348" s="18" t="s">
        <v>9374</v>
      </c>
      <c r="D9348" s="1"/>
      <c r="E9348" s="1"/>
      <c r="F9348" s="1" t="str">
        <f>IFERROR(__xludf.DUMMYFUNCTION("GOOGLETRANSLATE(B9348, ""en"", ""fa"")
"),"موفقیت در پادکست")</f>
        <v>موفقیت در پادکست</v>
      </c>
      <c r="G9348" s="1" t="str">
        <f>IFERROR(__xludf.DUMMYFUNCTION("GOOGLETRANSLATE(C9348, ""en"", ""fa"")
"),"چگونه از دایرکتوری ها و پلتفرم های پادکست برای بهینه سازی دید و دسترسی پادکست خود استفاده کنید، از جمله بهینه سازی فهرست خود با کلمات کلیدی و دسته بندی های مرتبط.")</f>
        <v>چگونه از دایرکتوری ها و پلتفرم های پادکست برای بهینه سازی دید و دسترسی پادکست خود استفاده کنید، از جمله بهینه سازی فهرست خود با کلمات کلیدی و دسته بندی های مرتبط.</v>
      </c>
      <c r="H9348" s="1"/>
      <c r="I9348" s="1"/>
      <c r="J9348" s="1"/>
      <c r="K9348" s="1"/>
      <c r="L9348" s="1"/>
      <c r="M9348" s="1"/>
      <c r="N9348" s="1"/>
      <c r="O9348" s="1"/>
      <c r="P9348" s="1"/>
      <c r="Q9348" s="1"/>
      <c r="R9348" s="1"/>
      <c r="S9348" s="1"/>
      <c r="T9348" s="1"/>
      <c r="U9348" s="1"/>
      <c r="V9348" s="1"/>
      <c r="W9348" s="1"/>
      <c r="X9348" s="1"/>
      <c r="Y9348" s="1"/>
      <c r="Z9348" s="1"/>
      <c r="AA9348" s="1"/>
      <c r="AB9348" s="1"/>
    </row>
    <row r="9349" ht="50.25" customHeight="1">
      <c r="A9349" s="12">
        <v>9345.0</v>
      </c>
      <c r="B9349" s="13" t="s">
        <v>8699</v>
      </c>
      <c r="C9349" s="18" t="s">
        <v>9375</v>
      </c>
      <c r="D9349" s="1"/>
      <c r="E9349" s="1"/>
      <c r="F9349" s="1" t="str">
        <f>IFERROR(__xludf.DUMMYFUNCTION("GOOGLETRANSLATE(B9349, ""en"", ""fa"")
"),"موفقیت در پادکست")</f>
        <v>موفقیت در پادکست</v>
      </c>
      <c r="G9349" s="1" t="str">
        <f>IFERROR(__xludf.DUMMYFUNCTION("GOOGLETRANSLATE(C9349, ""en"", ""fa"")
"),"راهبردهای میزبانی جلسات پرسش و پاسخ زنده یا اپیزودهای AMA (از من هر چیزی بپرس) تا مستقیماً با مخاطبان خود درگیر شوید و سؤالات و نگرانی های آنها را برطرف کنید.")</f>
        <v>راهبردهای میزبانی جلسات پرسش و پاسخ زنده یا اپیزودهای AMA (از من هر چیزی بپرس) تا مستقیماً با مخاطبان خود درگیر شوید و سؤالات و نگرانی های آنها را برطرف کنید.</v>
      </c>
      <c r="H9349" s="1"/>
      <c r="I9349" s="1"/>
      <c r="J9349" s="1"/>
      <c r="K9349" s="1"/>
      <c r="L9349" s="1"/>
      <c r="M9349" s="1"/>
      <c r="N9349" s="1"/>
      <c r="O9349" s="1"/>
      <c r="P9349" s="1"/>
      <c r="Q9349" s="1"/>
      <c r="R9349" s="1"/>
      <c r="S9349" s="1"/>
      <c r="T9349" s="1"/>
      <c r="U9349" s="1"/>
      <c r="V9349" s="1"/>
      <c r="W9349" s="1"/>
      <c r="X9349" s="1"/>
      <c r="Y9349" s="1"/>
      <c r="Z9349" s="1"/>
      <c r="AA9349" s="1"/>
      <c r="AB9349" s="1"/>
    </row>
    <row r="9350" ht="50.25" customHeight="1">
      <c r="A9350" s="12">
        <v>9346.0</v>
      </c>
      <c r="B9350" s="13" t="s">
        <v>8699</v>
      </c>
      <c r="C9350" s="18" t="s">
        <v>9376</v>
      </c>
      <c r="D9350" s="1"/>
      <c r="E9350" s="1"/>
      <c r="F9350" s="1" t="str">
        <f>IFERROR(__xludf.DUMMYFUNCTION("GOOGLETRANSLATE(B9350, ""en"", ""fa"")
"),"موفقیت در پادکست")</f>
        <v>موفقیت در پادکست</v>
      </c>
      <c r="G9350" s="1" t="str">
        <f>IFERROR(__xludf.DUMMYFUNCTION("GOOGLETRANSLATE(C9350, ""en"", ""fa"")
"),"چگونه از طریق خبرنامه های ایمیل، پیام های شخصی یا تعاملات رسانه های اجتماعی با مخاطبان خود روابط برقرار کنید تا یک پایگاه شنونده وفادار و متعهد ایجاد کنید.")</f>
        <v>چگونه از طریق خبرنامه های ایمیل، پیام های شخصی یا تعاملات رسانه های اجتماعی با مخاطبان خود روابط برقرار کنید تا یک پایگاه شنونده وفادار و متعهد ایجاد کنید.</v>
      </c>
      <c r="H9350" s="1"/>
      <c r="I9350" s="1"/>
      <c r="J9350" s="1"/>
      <c r="K9350" s="1"/>
      <c r="L9350" s="1"/>
      <c r="M9350" s="1"/>
      <c r="N9350" s="1"/>
      <c r="O9350" s="1"/>
      <c r="P9350" s="1"/>
      <c r="Q9350" s="1"/>
      <c r="R9350" s="1"/>
      <c r="S9350" s="1"/>
      <c r="T9350" s="1"/>
      <c r="U9350" s="1"/>
      <c r="V9350" s="1"/>
      <c r="W9350" s="1"/>
      <c r="X9350" s="1"/>
      <c r="Y9350" s="1"/>
      <c r="Z9350" s="1"/>
      <c r="AA9350" s="1"/>
      <c r="AB9350" s="1"/>
    </row>
    <row r="9351" ht="50.25" customHeight="1">
      <c r="A9351" s="12">
        <v>9347.0</v>
      </c>
      <c r="B9351" s="13" t="s">
        <v>8699</v>
      </c>
      <c r="C9351" s="18" t="s">
        <v>9377</v>
      </c>
      <c r="D9351" s="1"/>
      <c r="E9351" s="1"/>
      <c r="F9351" s="1" t="str">
        <f>IFERROR(__xludf.DUMMYFUNCTION("GOOGLETRANSLATE(B9351, ""en"", ""fa"")
"),"موفقیت در پادکست")</f>
        <v>موفقیت در پادکست</v>
      </c>
      <c r="G9351" s="1" t="str">
        <f>IFERROR(__xludf.DUMMYFUNCTION("GOOGLETRANSLATE(C9351, ""en"", ""fa"")
"),"تکنیک‌هایی برای تغییر کاربری محتوای پادکست شما در قالب‌های مختلف، مانند پست‌های وبلاگ، اینفوگرافیک، یا تکه‌های ویدیویی برای دستیابی به مخاطبان در پلتفرم‌های مختلف چیست.")</f>
        <v>تکنیک‌هایی برای تغییر کاربری محتوای پادکست شما در قالب‌های مختلف، مانند پست‌های وبلاگ، اینفوگرافیک، یا تکه‌های ویدیویی برای دستیابی به مخاطبان در پلتفرم‌های مختلف چیست.</v>
      </c>
      <c r="H9351" s="1"/>
      <c r="I9351" s="1"/>
      <c r="J9351" s="1"/>
      <c r="K9351" s="1"/>
      <c r="L9351" s="1"/>
      <c r="M9351" s="1"/>
      <c r="N9351" s="1"/>
      <c r="O9351" s="1"/>
      <c r="P9351" s="1"/>
      <c r="Q9351" s="1"/>
      <c r="R9351" s="1"/>
      <c r="S9351" s="1"/>
      <c r="T9351" s="1"/>
      <c r="U9351" s="1"/>
      <c r="V9351" s="1"/>
      <c r="W9351" s="1"/>
      <c r="X9351" s="1"/>
      <c r="Y9351" s="1"/>
      <c r="Z9351" s="1"/>
      <c r="AA9351" s="1"/>
      <c r="AB9351" s="1"/>
    </row>
    <row r="9352" ht="50.25" customHeight="1">
      <c r="A9352" s="12">
        <v>9348.0</v>
      </c>
      <c r="B9352" s="13" t="s">
        <v>8699</v>
      </c>
      <c r="C9352" s="18" t="s">
        <v>9378</v>
      </c>
      <c r="D9352" s="1"/>
      <c r="E9352" s="1"/>
      <c r="F9352" s="1" t="str">
        <f>IFERROR(__xludf.DUMMYFUNCTION("GOOGLETRANSLATE(B9352, ""en"", ""fa"")
"),"موفقیت در پادکست")</f>
        <v>موفقیت در پادکست</v>
      </c>
      <c r="G9352" s="1" t="str">
        <f>IFERROR(__xludf.DUMMYFUNCTION("GOOGLETRANSLATE(C9352, ""en"", ""fa"")
"),"نحوه همکاری با برندها یا سازمان ها برای میزبانی هدایای تبلیغاتی متقابل یا کمپین های بازاریابی مشترک که شنوندگان جدیدی را به پادکست شما جذب می کند.")</f>
        <v>نحوه همکاری با برندها یا سازمان ها برای میزبانی هدایای تبلیغاتی متقابل یا کمپین های بازاریابی مشترک که شنوندگان جدیدی را به پادکست شما جذب می کند.</v>
      </c>
      <c r="H9352" s="1"/>
      <c r="I9352" s="1"/>
      <c r="J9352" s="1"/>
      <c r="K9352" s="1"/>
      <c r="L9352" s="1"/>
      <c r="M9352" s="1"/>
      <c r="N9352" s="1"/>
      <c r="O9352" s="1"/>
      <c r="P9352" s="1"/>
      <c r="Q9352" s="1"/>
      <c r="R9352" s="1"/>
      <c r="S9352" s="1"/>
      <c r="T9352" s="1"/>
      <c r="U9352" s="1"/>
      <c r="V9352" s="1"/>
      <c r="W9352" s="1"/>
      <c r="X9352" s="1"/>
      <c r="Y9352" s="1"/>
      <c r="Z9352" s="1"/>
      <c r="AA9352" s="1"/>
      <c r="AB9352" s="1"/>
    </row>
    <row r="9353" ht="50.25" customHeight="1">
      <c r="A9353" s="12">
        <v>9349.0</v>
      </c>
      <c r="B9353" s="13" t="s">
        <v>8699</v>
      </c>
      <c r="C9353" s="18" t="s">
        <v>9379</v>
      </c>
      <c r="D9353" s="1"/>
      <c r="E9353" s="1"/>
      <c r="F9353" s="1" t="str">
        <f>IFERROR(__xludf.DUMMYFUNCTION("GOOGLETRANSLATE(B9353, ""en"", ""fa"")
"),"موفقیت در پادکست")</f>
        <v>موفقیت در پادکست</v>
      </c>
      <c r="G9353" s="1" t="str">
        <f>IFERROR(__xludf.DUMMYFUNCTION("GOOGLETRANSLATE(C9353, ""en"", ""fa"")
"),"چه استراتژی هایی برای استفاده از حضور مهمان پادکست یا مشارکت در سخنرانی در صنعت وجود دارد تا خود را به عنوان یک مرجع در جایگاه خود قرار دهید و دنبال کنندگان اختصاصی را جذب کنید.")</f>
        <v>چه استراتژی هایی برای استفاده از حضور مهمان پادکست یا مشارکت در سخنرانی در صنعت وجود دارد تا خود را به عنوان یک مرجع در جایگاه خود قرار دهید و دنبال کنندگان اختصاصی را جذب کنید.</v>
      </c>
      <c r="H9353" s="1"/>
      <c r="I9353" s="1"/>
      <c r="J9353" s="1"/>
      <c r="K9353" s="1"/>
      <c r="L9353" s="1"/>
      <c r="M9353" s="1"/>
      <c r="N9353" s="1"/>
      <c r="O9353" s="1"/>
      <c r="P9353" s="1"/>
      <c r="Q9353" s="1"/>
      <c r="R9353" s="1"/>
      <c r="S9353" s="1"/>
      <c r="T9353" s="1"/>
      <c r="U9353" s="1"/>
      <c r="V9353" s="1"/>
      <c r="W9353" s="1"/>
      <c r="X9353" s="1"/>
      <c r="Y9353" s="1"/>
      <c r="Z9353" s="1"/>
      <c r="AA9353" s="1"/>
      <c r="AB9353" s="1"/>
    </row>
    <row r="9354" ht="50.25" customHeight="1">
      <c r="A9354" s="12">
        <v>9350.0</v>
      </c>
      <c r="B9354" s="13" t="s">
        <v>8699</v>
      </c>
      <c r="C9354" s="18" t="s">
        <v>9380</v>
      </c>
      <c r="D9354" s="1"/>
      <c r="E9354" s="1"/>
      <c r="F9354" s="1" t="str">
        <f>IFERROR(__xludf.DUMMYFUNCTION("GOOGLETRANSLATE(B9354, ""en"", ""fa"")
"),"موفقیت در پادکست")</f>
        <v>موفقیت در پادکست</v>
      </c>
      <c r="G9354" s="1" t="str">
        <f>IFERROR(__xludf.DUMMYFUNCTION("GOOGLETRANSLATE(C9354, ""en"", ""fa"")
"),"چگونه از پلتفرم‌های رسانه‌های اجتماعی برای گوش دادن فعالانه به مخاطبان خود، شرکت در مکالمات و به دست آوردن بینش در مورد علایق، نکات دردناک و ترجیحات آنها استفاده کنید.")</f>
        <v>چگونه از پلتفرم‌های رسانه‌های اجتماعی برای گوش دادن فعالانه به مخاطبان خود، شرکت در مکالمات و به دست آوردن بینش در مورد علایق، نکات دردناک و ترجیحات آنها استفاده کنید.</v>
      </c>
      <c r="H9354" s="1"/>
      <c r="I9354" s="1"/>
      <c r="J9354" s="1"/>
      <c r="K9354" s="1"/>
      <c r="L9354" s="1"/>
      <c r="M9354" s="1"/>
      <c r="N9354" s="1"/>
      <c r="O9354" s="1"/>
      <c r="P9354" s="1"/>
      <c r="Q9354" s="1"/>
      <c r="R9354" s="1"/>
      <c r="S9354" s="1"/>
      <c r="T9354" s="1"/>
      <c r="U9354" s="1"/>
      <c r="V9354" s="1"/>
      <c r="W9354" s="1"/>
      <c r="X9354" s="1"/>
      <c r="Y9354" s="1"/>
      <c r="Z9354" s="1"/>
      <c r="AA9354" s="1"/>
      <c r="AB9354" s="1"/>
    </row>
    <row r="9355" ht="50.25" customHeight="1">
      <c r="A9355" s="12">
        <v>9351.0</v>
      </c>
      <c r="B9355" s="13" t="s">
        <v>8699</v>
      </c>
      <c r="C9355" s="18" t="s">
        <v>9381</v>
      </c>
      <c r="D9355" s="1"/>
      <c r="E9355" s="1"/>
      <c r="F9355" s="1" t="str">
        <f>IFERROR(__xludf.DUMMYFUNCTION("GOOGLETRANSLATE(B9355, ""en"", ""fa"")
"),"موفقیت در پادکست")</f>
        <v>موفقیت در پادکست</v>
      </c>
      <c r="G9355" s="1" t="str">
        <f>IFERROR(__xludf.DUMMYFUNCTION("GOOGLETRANSLATE(C9355, ""en"", ""fa"")
"),"برای معرفی پادکست خود به مخاطبان جدید و کسب در معرض دید، چه تکنیک‌هایی برای اعمال نفوذ اینفلوئنسرها یا فرصت‌های میزبانی مهمان در پادکست‌های دیگر وجود دارد.")</f>
        <v>برای معرفی پادکست خود به مخاطبان جدید و کسب در معرض دید، چه تکنیک‌هایی برای اعمال نفوذ اینفلوئنسرها یا فرصت‌های میزبانی مهمان در پادکست‌های دیگر وجود دارد.</v>
      </c>
      <c r="H9355" s="1"/>
      <c r="I9355" s="1"/>
      <c r="J9355" s="1"/>
      <c r="K9355" s="1"/>
      <c r="L9355" s="1"/>
      <c r="M9355" s="1"/>
      <c r="N9355" s="1"/>
      <c r="O9355" s="1"/>
      <c r="P9355" s="1"/>
      <c r="Q9355" s="1"/>
      <c r="R9355" s="1"/>
      <c r="S9355" s="1"/>
      <c r="T9355" s="1"/>
      <c r="U9355" s="1"/>
      <c r="V9355" s="1"/>
      <c r="W9355" s="1"/>
      <c r="X9355" s="1"/>
      <c r="Y9355" s="1"/>
      <c r="Z9355" s="1"/>
      <c r="AA9355" s="1"/>
      <c r="AB9355" s="1"/>
    </row>
    <row r="9356" ht="50.25" customHeight="1">
      <c r="A9356" s="12">
        <v>9352.0</v>
      </c>
      <c r="B9356" s="13" t="s">
        <v>8699</v>
      </c>
      <c r="C9356" s="18" t="s">
        <v>9382</v>
      </c>
      <c r="D9356" s="1"/>
      <c r="E9356" s="1"/>
      <c r="F9356" s="1" t="str">
        <f>IFERROR(__xludf.DUMMYFUNCTION("GOOGLETRANSLATE(B9356, ""en"", ""fa"")
"),"موفقیت در پادکست")</f>
        <v>موفقیت در پادکست</v>
      </c>
      <c r="G9356" s="1" t="str">
        <f>IFERROR(__xludf.DUMMYFUNCTION("GOOGLETRANSLATE(C9356, ""en"", ""fa"")
"),"نحوه ایجاد قالب‌های نمایشی جذاب و تعاملی، مانند تماس‌های مخاطبان، چت‌های زنده یا بحث‌های پانل، برای تشویق مشارکت شنوندگان و ایجاد حس اجتماعی.")</f>
        <v>نحوه ایجاد قالب‌های نمایشی جذاب و تعاملی، مانند تماس‌های مخاطبان، چت‌های زنده یا بحث‌های پانل، برای تشویق مشارکت شنوندگان و ایجاد حس اجتماعی.</v>
      </c>
      <c r="H9356" s="1"/>
      <c r="I9356" s="1"/>
      <c r="J9356" s="1"/>
      <c r="K9356" s="1"/>
      <c r="L9356" s="1"/>
      <c r="M9356" s="1"/>
      <c r="N9356" s="1"/>
      <c r="O9356" s="1"/>
      <c r="P9356" s="1"/>
      <c r="Q9356" s="1"/>
      <c r="R9356" s="1"/>
      <c r="S9356" s="1"/>
      <c r="T9356" s="1"/>
      <c r="U9356" s="1"/>
      <c r="V9356" s="1"/>
      <c r="W9356" s="1"/>
      <c r="X9356" s="1"/>
      <c r="Y9356" s="1"/>
      <c r="Z9356" s="1"/>
      <c r="AA9356" s="1"/>
      <c r="AB9356" s="1"/>
    </row>
    <row r="9357" ht="50.25" customHeight="1">
      <c r="A9357" s="12">
        <v>9353.0</v>
      </c>
      <c r="B9357" s="13" t="s">
        <v>8699</v>
      </c>
      <c r="C9357" s="18" t="s">
        <v>9383</v>
      </c>
      <c r="D9357" s="1"/>
      <c r="E9357" s="1"/>
      <c r="F9357" s="1" t="str">
        <f>IFERROR(__xludf.DUMMYFUNCTION("GOOGLETRANSLATE(B9357, ""en"", ""fa"")
"),"موفقیت در پادکست")</f>
        <v>موفقیت در پادکست</v>
      </c>
      <c r="G9357" s="1" t="str">
        <f>IFERROR(__xludf.DUMMYFUNCTION("GOOGLETRANSLATE(C9357, ""en"", ""fa"")
"),"استراتژی‌های مشارکت با مارک‌ها، سازمان‌ها یا دلایل مرتبط برای حمایت از قسمت‌ها یا همکاری در محتوایی که با مخاطبان شما طنین‌انداز می‌شود و باعث ایجاد تعامل می‌شود، چیست.")</f>
        <v>استراتژی‌های مشارکت با مارک‌ها، سازمان‌ها یا دلایل مرتبط برای حمایت از قسمت‌ها یا همکاری در محتوایی که با مخاطبان شما طنین‌انداز می‌شود و باعث ایجاد تعامل می‌شود، چیست.</v>
      </c>
      <c r="H9357" s="1"/>
      <c r="I9357" s="1"/>
      <c r="J9357" s="1"/>
      <c r="K9357" s="1"/>
      <c r="L9357" s="1"/>
      <c r="M9357" s="1"/>
      <c r="N9357" s="1"/>
      <c r="O9357" s="1"/>
      <c r="P9357" s="1"/>
      <c r="Q9357" s="1"/>
      <c r="R9357" s="1"/>
      <c r="S9357" s="1"/>
      <c r="T9357" s="1"/>
      <c r="U9357" s="1"/>
      <c r="V9357" s="1"/>
      <c r="W9357" s="1"/>
      <c r="X9357" s="1"/>
      <c r="Y9357" s="1"/>
      <c r="Z9357" s="1"/>
      <c r="AA9357" s="1"/>
      <c r="AB9357" s="1"/>
    </row>
    <row r="9358" ht="50.25" customHeight="1">
      <c r="A9358" s="12">
        <v>9354.0</v>
      </c>
      <c r="B9358" s="13" t="s">
        <v>8699</v>
      </c>
      <c r="C9358" s="18" t="s">
        <v>9384</v>
      </c>
      <c r="D9358" s="1"/>
      <c r="E9358" s="1"/>
      <c r="F9358" s="1" t="str">
        <f>IFERROR(__xludf.DUMMYFUNCTION("GOOGLETRANSLATE(B9358, ""en"", ""fa"")
"),"موفقیت در پادکست")</f>
        <v>موفقیت در پادکست</v>
      </c>
      <c r="G9358" s="1" t="str">
        <f>IFERROR(__xludf.DUMMYFUNCTION("GOOGLETRANSLATE(C9358, ""en"", ""fa"")
"),"نحوه بهینه‌سازی یادداشت‌های نمایش پادکست، شرح قسمت‌ها و رونوشت‌ها با کلمات کلیدی و پیوندهای مرتبط برای بهبود دید موتور جستجو و جذب ترافیک ارگانیک.")</f>
        <v>نحوه بهینه‌سازی یادداشت‌های نمایش پادکست، شرح قسمت‌ها و رونوشت‌ها با کلمات کلیدی و پیوندهای مرتبط برای بهبود دید موتور جستجو و جذب ترافیک ارگانیک.</v>
      </c>
      <c r="H9358" s="1"/>
      <c r="I9358" s="1"/>
      <c r="J9358" s="1"/>
      <c r="K9358" s="1"/>
      <c r="L9358" s="1"/>
      <c r="M9358" s="1"/>
      <c r="N9358" s="1"/>
      <c r="O9358" s="1"/>
      <c r="P9358" s="1"/>
      <c r="Q9358" s="1"/>
      <c r="R9358" s="1"/>
      <c r="S9358" s="1"/>
      <c r="T9358" s="1"/>
      <c r="U9358" s="1"/>
      <c r="V9358" s="1"/>
      <c r="W9358" s="1"/>
      <c r="X9358" s="1"/>
      <c r="Y9358" s="1"/>
      <c r="Z9358" s="1"/>
      <c r="AA9358" s="1"/>
      <c r="AB9358" s="1"/>
    </row>
    <row r="9359" ht="50.25" customHeight="1">
      <c r="A9359" s="12">
        <v>9355.0</v>
      </c>
      <c r="B9359" s="13" t="s">
        <v>8699</v>
      </c>
      <c r="C9359" s="18" t="s">
        <v>9385</v>
      </c>
      <c r="D9359" s="1"/>
      <c r="E9359" s="1"/>
      <c r="F9359" s="1" t="str">
        <f>IFERROR(__xludf.DUMMYFUNCTION("GOOGLETRANSLATE(B9359, ""en"", ""fa"")
"),"موفقیت در پادکست")</f>
        <v>موفقیت در پادکست</v>
      </c>
      <c r="G9359" s="1" t="str">
        <f>IFERROR(__xludf.DUMMYFUNCTION("GOOGLETRANSLATE(C9359, ""en"", ""fa"")
"),"چگونه می‌توان مهمان‌های بالقوه‌ای را شناسایی کرد که با مخاطبان پادکست و هدف شما هماهنگ هستند؟")</f>
        <v>چگونه می‌توان مهمان‌های بالقوه‌ای را شناسایی کرد که با مخاطبان پادکست و هدف شما هماهنگ هستند؟</v>
      </c>
      <c r="H9359" s="1"/>
      <c r="I9359" s="1"/>
      <c r="J9359" s="1"/>
      <c r="K9359" s="1"/>
      <c r="L9359" s="1"/>
      <c r="M9359" s="1"/>
      <c r="N9359" s="1"/>
      <c r="O9359" s="1"/>
      <c r="P9359" s="1"/>
      <c r="Q9359" s="1"/>
      <c r="R9359" s="1"/>
      <c r="S9359" s="1"/>
      <c r="T9359" s="1"/>
      <c r="U9359" s="1"/>
      <c r="V9359" s="1"/>
      <c r="W9359" s="1"/>
      <c r="X9359" s="1"/>
      <c r="Y9359" s="1"/>
      <c r="Z9359" s="1"/>
      <c r="AA9359" s="1"/>
      <c r="AB9359" s="1"/>
    </row>
    <row r="9360" ht="50.25" customHeight="1">
      <c r="A9360" s="12">
        <v>9356.0</v>
      </c>
      <c r="B9360" s="13" t="s">
        <v>8699</v>
      </c>
      <c r="C9360" s="18" t="s">
        <v>9386</v>
      </c>
      <c r="D9360" s="1"/>
      <c r="E9360" s="1"/>
      <c r="F9360" s="1" t="str">
        <f>IFERROR(__xludf.DUMMYFUNCTION("GOOGLETRANSLATE(B9360, ""en"", ""fa"")
"),"موفقیت در پادکست")</f>
        <v>موفقیت در پادکست</v>
      </c>
      <c r="G9360" s="1" t="str">
        <f>IFERROR(__xludf.DUMMYFUNCTION("GOOGLETRANSLATE(C9360, ""en"", ""fa"")
"),"راهبردهای انجام تحقیقات موثر مهمان برای جمع آوری بینش و تهیه سوالات مصاحبه متفکرانه چیست؟")</f>
        <v>راهبردهای انجام تحقیقات موثر مهمان برای جمع آوری بینش و تهیه سوالات مصاحبه متفکرانه چیست؟</v>
      </c>
      <c r="H9360" s="1"/>
      <c r="I9360" s="1"/>
      <c r="J9360" s="1"/>
      <c r="K9360" s="1"/>
      <c r="L9360" s="1"/>
      <c r="M9360" s="1"/>
      <c r="N9360" s="1"/>
      <c r="O9360" s="1"/>
      <c r="P9360" s="1"/>
      <c r="Q9360" s="1"/>
      <c r="R9360" s="1"/>
      <c r="S9360" s="1"/>
      <c r="T9360" s="1"/>
      <c r="U9360" s="1"/>
      <c r="V9360" s="1"/>
      <c r="W9360" s="1"/>
      <c r="X9360" s="1"/>
      <c r="Y9360" s="1"/>
      <c r="Z9360" s="1"/>
      <c r="AA9360" s="1"/>
      <c r="AB9360" s="1"/>
    </row>
    <row r="9361" ht="50.25" customHeight="1">
      <c r="A9361" s="12">
        <v>9357.0</v>
      </c>
      <c r="B9361" s="13" t="s">
        <v>8699</v>
      </c>
      <c r="C9361" s="18" t="s">
        <v>9387</v>
      </c>
      <c r="D9361" s="1"/>
      <c r="E9361" s="1"/>
      <c r="F9361" s="1" t="str">
        <f>IFERROR(__xludf.DUMMYFUNCTION("GOOGLETRANSLATE(B9361, ""en"", ""fa"")
"),"موفقیت در پادکست")</f>
        <v>موفقیت در پادکست</v>
      </c>
      <c r="G9361" s="1" t="str">
        <f>IFERROR(__xludf.DUMMYFUNCTION("GOOGLETRANSLATE(C9361, ""en"", ""fa"")
"),"چگونه دعوت‌نامه‌های مهمان قانع‌کننده‌ای بسازیم که ارزش و مزایای حضور در پادکست شما را به وضوح بیان کند؟")</f>
        <v>چگونه دعوت‌نامه‌های مهمان قانع‌کننده‌ای بسازیم که ارزش و مزایای حضور در پادکست شما را به وضوح بیان کند؟</v>
      </c>
      <c r="H9361" s="1"/>
      <c r="I9361" s="1"/>
      <c r="J9361" s="1"/>
      <c r="K9361" s="1"/>
      <c r="L9361" s="1"/>
      <c r="M9361" s="1"/>
      <c r="N9361" s="1"/>
      <c r="O9361" s="1"/>
      <c r="P9361" s="1"/>
      <c r="Q9361" s="1"/>
      <c r="R9361" s="1"/>
      <c r="S9361" s="1"/>
      <c r="T9361" s="1"/>
      <c r="U9361" s="1"/>
      <c r="V9361" s="1"/>
      <c r="W9361" s="1"/>
      <c r="X9361" s="1"/>
      <c r="Y9361" s="1"/>
      <c r="Z9361" s="1"/>
      <c r="AA9361" s="1"/>
      <c r="AB9361" s="1"/>
    </row>
    <row r="9362" ht="50.25" customHeight="1">
      <c r="A9362" s="12">
        <v>9358.0</v>
      </c>
      <c r="B9362" s="13" t="s">
        <v>8699</v>
      </c>
      <c r="C9362" s="18" t="s">
        <v>9388</v>
      </c>
      <c r="D9362" s="1"/>
      <c r="E9362" s="1"/>
      <c r="F9362" s="1" t="str">
        <f>IFERROR(__xludf.DUMMYFUNCTION("GOOGLETRANSLATE(B9362, ""en"", ""fa"")
"),"موفقیت در پادکست")</f>
        <v>موفقیت در پادکست</v>
      </c>
      <c r="G9362" s="1" t="str">
        <f>IFERROR(__xludf.DUMMYFUNCTION("GOOGLETRANSLATE(C9362, ""en"", ""fa"")
"),"تکنیک‌های ایجاد پروتکل‌های ارتباطی قوی با مهمان برای اطمینان از فرآیند رزرو راحت و حرفه‌ای چیست؟")</f>
        <v>تکنیک‌های ایجاد پروتکل‌های ارتباطی قوی با مهمان برای اطمینان از فرآیند رزرو راحت و حرفه‌ای چیست؟</v>
      </c>
      <c r="H9362" s="1"/>
      <c r="I9362" s="1"/>
      <c r="J9362" s="1"/>
      <c r="K9362" s="1"/>
      <c r="L9362" s="1"/>
      <c r="M9362" s="1"/>
      <c r="N9362" s="1"/>
      <c r="O9362" s="1"/>
      <c r="P9362" s="1"/>
      <c r="Q9362" s="1"/>
      <c r="R9362" s="1"/>
      <c r="S9362" s="1"/>
      <c r="T9362" s="1"/>
      <c r="U9362" s="1"/>
      <c r="V9362" s="1"/>
      <c r="W9362" s="1"/>
      <c r="X9362" s="1"/>
      <c r="Y9362" s="1"/>
      <c r="Z9362" s="1"/>
      <c r="AA9362" s="1"/>
      <c r="AB9362" s="1"/>
    </row>
    <row r="9363" ht="50.25" customHeight="1">
      <c r="A9363" s="12">
        <v>9359.0</v>
      </c>
      <c r="B9363" s="13" t="s">
        <v>8699</v>
      </c>
      <c r="C9363" s="18" t="s">
        <v>9389</v>
      </c>
      <c r="D9363" s="1"/>
      <c r="E9363" s="1"/>
      <c r="F9363" s="1" t="str">
        <f>IFERROR(__xludf.DUMMYFUNCTION("GOOGLETRANSLATE(B9363, ""en"", ""fa"")
"),"موفقیت در پادکست")</f>
        <v>موفقیت در پادکست</v>
      </c>
      <c r="G9363" s="1" t="str">
        <f>IFERROR(__xludf.DUMMYFUNCTION("GOOGLETRANSLATE(C9363, ""en"", ""fa"")
"),"چگونه می توان برنامه ریزی مهمان را به طور موثر و موثر با در نظر گرفتن مناطق زمانی و در دسترس بودن مختلف مدیریت کرد؟")</f>
        <v>چگونه می توان برنامه ریزی مهمان را به طور موثر و موثر با در نظر گرفتن مناطق زمانی و در دسترس بودن مختلف مدیریت کرد؟</v>
      </c>
      <c r="H9363" s="1"/>
      <c r="I9363" s="1"/>
      <c r="J9363" s="1"/>
      <c r="K9363" s="1"/>
      <c r="L9363" s="1"/>
      <c r="M9363" s="1"/>
      <c r="N9363" s="1"/>
      <c r="O9363" s="1"/>
      <c r="P9363" s="1"/>
      <c r="Q9363" s="1"/>
      <c r="R9363" s="1"/>
      <c r="S9363" s="1"/>
      <c r="T9363" s="1"/>
      <c r="U9363" s="1"/>
      <c r="V9363" s="1"/>
      <c r="W9363" s="1"/>
      <c r="X9363" s="1"/>
      <c r="Y9363" s="1"/>
      <c r="Z9363" s="1"/>
      <c r="AA9363" s="1"/>
      <c r="AB9363" s="1"/>
    </row>
    <row r="9364" ht="50.25" customHeight="1">
      <c r="A9364" s="12">
        <v>9360.0</v>
      </c>
      <c r="B9364" s="13" t="s">
        <v>8699</v>
      </c>
      <c r="C9364" s="18" t="s">
        <v>9390</v>
      </c>
      <c r="D9364" s="1"/>
      <c r="E9364" s="1"/>
      <c r="F9364" s="1" t="str">
        <f>IFERROR(__xludf.DUMMYFUNCTION("GOOGLETRANSLATE(B9364, ""en"", ""fa"")
"),"موفقیت در پادکست")</f>
        <v>موفقیت در پادکست</v>
      </c>
      <c r="G9364" s="1" t="str">
        <f>IFERROR(__xludf.DUMMYFUNCTION("GOOGLETRANSLATE(C9364, ""en"", ""fa"")
"),"راهبردهایی برای انجام گفتگوها یا جلسات قبل از مصاحبه برای ایجاد ارتباط و همسو کردن انتظارات با مهمانان چیست؟")</f>
        <v>راهبردهایی برای انجام گفتگوها یا جلسات قبل از مصاحبه برای ایجاد ارتباط و همسو کردن انتظارات با مهمانان چیست؟</v>
      </c>
      <c r="H9364" s="1"/>
      <c r="I9364" s="1"/>
      <c r="J9364" s="1"/>
      <c r="K9364" s="1"/>
      <c r="L9364" s="1"/>
      <c r="M9364" s="1"/>
      <c r="N9364" s="1"/>
      <c r="O9364" s="1"/>
      <c r="P9364" s="1"/>
      <c r="Q9364" s="1"/>
      <c r="R9364" s="1"/>
      <c r="S9364" s="1"/>
      <c r="T9364" s="1"/>
      <c r="U9364" s="1"/>
      <c r="V9364" s="1"/>
      <c r="W9364" s="1"/>
      <c r="X9364" s="1"/>
      <c r="Y9364" s="1"/>
      <c r="Z9364" s="1"/>
      <c r="AA9364" s="1"/>
      <c r="AB9364" s="1"/>
    </row>
    <row r="9365" ht="50.25" customHeight="1">
      <c r="A9365" s="12">
        <v>9361.0</v>
      </c>
      <c r="B9365" s="13" t="s">
        <v>8699</v>
      </c>
      <c r="C9365" s="18" t="s">
        <v>9391</v>
      </c>
      <c r="D9365" s="1"/>
      <c r="E9365" s="1"/>
      <c r="F9365" s="1" t="str">
        <f>IFERROR(__xludf.DUMMYFUNCTION("GOOGLETRANSLATE(B9365, ""en"", ""fa"")
"),"موفقیت در پادکست")</f>
        <v>موفقیت در پادکست</v>
      </c>
      <c r="G9365" s="1" t="str">
        <f>IFERROR(__xludf.DUMMYFUNCTION("GOOGLETRANSLATE(C9365, ""en"", ""fa"")
"),"چگونه یک فرآیند پذیرش مهمان ایجاد کنیم که شامل ارائه اطلاعات، دستورالعمل‌ها و دستورالعمل‌های فنی لازم برای یک مصاحبه موفق باشد؟")</f>
        <v>چگونه یک فرآیند پذیرش مهمان ایجاد کنیم که شامل ارائه اطلاعات، دستورالعمل‌ها و دستورالعمل‌های فنی لازم برای یک مصاحبه موفق باشد؟</v>
      </c>
      <c r="H9365" s="1"/>
      <c r="I9365" s="1"/>
      <c r="J9365" s="1"/>
      <c r="K9365" s="1"/>
      <c r="L9365" s="1"/>
      <c r="M9365" s="1"/>
      <c r="N9365" s="1"/>
      <c r="O9365" s="1"/>
      <c r="P9365" s="1"/>
      <c r="Q9365" s="1"/>
      <c r="R9365" s="1"/>
      <c r="S9365" s="1"/>
      <c r="T9365" s="1"/>
      <c r="U9365" s="1"/>
      <c r="V9365" s="1"/>
      <c r="W9365" s="1"/>
      <c r="X9365" s="1"/>
      <c r="Y9365" s="1"/>
      <c r="Z9365" s="1"/>
      <c r="AA9365" s="1"/>
      <c r="AB9365" s="1"/>
    </row>
    <row r="9366" ht="50.25" customHeight="1">
      <c r="A9366" s="12">
        <v>9362.0</v>
      </c>
      <c r="B9366" s="13" t="s">
        <v>8699</v>
      </c>
      <c r="C9366" s="18" t="s">
        <v>9392</v>
      </c>
      <c r="D9366" s="1"/>
      <c r="E9366" s="1"/>
      <c r="F9366" s="1" t="str">
        <f>IFERROR(__xludf.DUMMYFUNCTION("GOOGLETRANSLATE(B9366, ""en"", ""fa"")
"),"موفقیت در پادکست")</f>
        <v>موفقیت در پادکست</v>
      </c>
      <c r="G9366" s="1" t="str">
        <f>IFERROR(__xludf.DUMMYFUNCTION("GOOGLETRANSLATE(C9366, ""en"", ""fa"")
"),"تکنیک‌های تهیه یک سند توجیهی دقیق مهمان که شامل نکات کلیدی گفتگو، قالب مصاحبه و تدارکات باشد چیست؟")</f>
        <v>تکنیک‌های تهیه یک سند توجیهی دقیق مهمان که شامل نکات کلیدی گفتگو، قالب مصاحبه و تدارکات باشد چیست؟</v>
      </c>
      <c r="H9366" s="1"/>
      <c r="I9366" s="1"/>
      <c r="J9366" s="1"/>
      <c r="K9366" s="1"/>
      <c r="L9366" s="1"/>
      <c r="M9366" s="1"/>
      <c r="N9366" s="1"/>
      <c r="O9366" s="1"/>
      <c r="P9366" s="1"/>
      <c r="Q9366" s="1"/>
      <c r="R9366" s="1"/>
      <c r="S9366" s="1"/>
      <c r="T9366" s="1"/>
      <c r="U9366" s="1"/>
      <c r="V9366" s="1"/>
      <c r="W9366" s="1"/>
      <c r="X9366" s="1"/>
      <c r="Y9366" s="1"/>
      <c r="Z9366" s="1"/>
      <c r="AA9366" s="1"/>
      <c r="AB9366" s="1"/>
    </row>
    <row r="9367" ht="50.25" customHeight="1">
      <c r="A9367" s="12">
        <v>9363.0</v>
      </c>
      <c r="B9367" s="13" t="s">
        <v>8699</v>
      </c>
      <c r="C9367" s="18" t="s">
        <v>9393</v>
      </c>
      <c r="D9367" s="1"/>
      <c r="E9367" s="1"/>
      <c r="F9367" s="1" t="str">
        <f>IFERROR(__xludf.DUMMYFUNCTION("GOOGLETRANSLATE(B9367, ""en"", ""fa"")
"),"موفقیت در پادکست")</f>
        <v>موفقیت در پادکست</v>
      </c>
      <c r="G9367" s="1" t="str">
        <f>IFERROR(__xludf.DUMMYFUNCTION("GOOGLETRANSLATE(C9367, ""en"", ""fa"")
"),"چگونه با درگیر شدن در ارتباطات فعال، ابراز قدردانی و حمایت در طول فرآیند، روابط مثبتی را با مهمانان خود تقویت کنید؟")</f>
        <v>چگونه با درگیر شدن در ارتباطات فعال، ابراز قدردانی و حمایت در طول فرآیند، روابط مثبتی را با مهمانان خود تقویت کنید؟</v>
      </c>
      <c r="H9367" s="1"/>
      <c r="I9367" s="1"/>
      <c r="J9367" s="1"/>
      <c r="K9367" s="1"/>
      <c r="L9367" s="1"/>
      <c r="M9367" s="1"/>
      <c r="N9367" s="1"/>
      <c r="O9367" s="1"/>
      <c r="P9367" s="1"/>
      <c r="Q9367" s="1"/>
      <c r="R9367" s="1"/>
      <c r="S9367" s="1"/>
      <c r="T9367" s="1"/>
      <c r="U9367" s="1"/>
      <c r="V9367" s="1"/>
      <c r="W9367" s="1"/>
      <c r="X9367" s="1"/>
      <c r="Y9367" s="1"/>
      <c r="Z9367" s="1"/>
      <c r="AA9367" s="1"/>
      <c r="AB9367" s="1"/>
    </row>
    <row r="9368" ht="50.25" customHeight="1">
      <c r="A9368" s="12">
        <v>9364.0</v>
      </c>
      <c r="B9368" s="13" t="s">
        <v>8699</v>
      </c>
      <c r="C9368" s="18" t="s">
        <v>9394</v>
      </c>
      <c r="D9368" s="1"/>
      <c r="E9368" s="1"/>
      <c r="F9368" s="1" t="str">
        <f>IFERROR(__xludf.DUMMYFUNCTION("GOOGLETRANSLATE(B9368, ""en"", ""fa"")
"),"موفقیت در پادکست")</f>
        <v>موفقیت در پادکست</v>
      </c>
      <c r="G9368" s="1" t="str">
        <f>IFERROR(__xludf.DUMMYFUNCTION("GOOGLETRANSLATE(C9368, ""en"", ""fa"")
"),"راهبردهای انجام تحقیقات پیش از مصاحبه برای به دست آوردن درک عمیق تر از تخصص، پیشینه و دستاوردهای قابل توجه مهمان خود چیست؟")</f>
        <v>راهبردهای انجام تحقیقات پیش از مصاحبه برای به دست آوردن درک عمیق تر از تخصص، پیشینه و دستاوردهای قابل توجه مهمان خود چیست؟</v>
      </c>
      <c r="H9368" s="1"/>
      <c r="I9368" s="1"/>
      <c r="J9368" s="1"/>
      <c r="K9368" s="1"/>
      <c r="L9368" s="1"/>
      <c r="M9368" s="1"/>
      <c r="N9368" s="1"/>
      <c r="O9368" s="1"/>
      <c r="P9368" s="1"/>
      <c r="Q9368" s="1"/>
      <c r="R9368" s="1"/>
      <c r="S9368" s="1"/>
      <c r="T9368" s="1"/>
      <c r="U9368" s="1"/>
      <c r="V9368" s="1"/>
      <c r="W9368" s="1"/>
      <c r="X9368" s="1"/>
      <c r="Y9368" s="1"/>
      <c r="Z9368" s="1"/>
      <c r="AA9368" s="1"/>
      <c r="AB9368" s="1"/>
    </row>
    <row r="9369" ht="50.25" customHeight="1">
      <c r="A9369" s="12">
        <v>9365.0</v>
      </c>
      <c r="B9369" s="13" t="s">
        <v>8699</v>
      </c>
      <c r="C9369" s="18" t="s">
        <v>9395</v>
      </c>
      <c r="D9369" s="1"/>
      <c r="E9369" s="1"/>
      <c r="F9369" s="1" t="str">
        <f>IFERROR(__xludf.DUMMYFUNCTION("GOOGLETRANSLATE(B9369, ""en"", ""fa"")
"),"موفقیت در پادکست")</f>
        <v>موفقیت در پادکست</v>
      </c>
      <c r="G9369" s="1" t="str">
        <f>IFERROR(__xludf.DUMMYFUNCTION("GOOGLETRANSLATE(C9369, ""en"", ""fa"")
"),"چگونه می توان به طور مؤثر توافق نامه های مهمان، از جمله فرم های رضایت، فرم های آزادسازی و هر گونه مستندات قانونی لازم را مدیریت کرد؟")</f>
        <v>چگونه می توان به طور مؤثر توافق نامه های مهمان، از جمله فرم های رضایت، فرم های آزادسازی و هر گونه مستندات قانونی لازم را مدیریت کرد؟</v>
      </c>
      <c r="H9369" s="1"/>
      <c r="I9369" s="1"/>
      <c r="J9369" s="1"/>
      <c r="K9369" s="1"/>
      <c r="L9369" s="1"/>
      <c r="M9369" s="1"/>
      <c r="N9369" s="1"/>
      <c r="O9369" s="1"/>
      <c r="P9369" s="1"/>
      <c r="Q9369" s="1"/>
      <c r="R9369" s="1"/>
      <c r="S9369" s="1"/>
      <c r="T9369" s="1"/>
      <c r="U9369" s="1"/>
      <c r="V9369" s="1"/>
      <c r="W9369" s="1"/>
      <c r="X9369" s="1"/>
      <c r="Y9369" s="1"/>
      <c r="Z9369" s="1"/>
      <c r="AA9369" s="1"/>
      <c r="AB9369" s="1"/>
    </row>
    <row r="9370" ht="50.25" customHeight="1">
      <c r="A9370" s="12">
        <v>9366.0</v>
      </c>
      <c r="B9370" s="13" t="s">
        <v>8699</v>
      </c>
      <c r="C9370" s="18" t="s">
        <v>9396</v>
      </c>
      <c r="D9370" s="1"/>
      <c r="E9370" s="1"/>
      <c r="F9370" s="1" t="str">
        <f>IFERROR(__xludf.DUMMYFUNCTION("GOOGLETRANSLATE(B9370, ""en"", ""fa"")
"),"موفقیت در پادکست")</f>
        <v>موفقیت در پادکست</v>
      </c>
      <c r="G9370" s="1" t="str">
        <f>IFERROR(__xludf.DUMMYFUNCTION("GOOGLETRANSLATE(C9370, ""en"", ""fa"")
"),"تکنیک هایی برای ایجاد انتظارات واضح از مهمانان خود در مورد مدت زمان مصاحبه، پوشش موضوع، و هرگونه الزامات یا دستورالعمل های خاص چیست؟")</f>
        <v>تکنیک هایی برای ایجاد انتظارات واضح از مهمانان خود در مورد مدت زمان مصاحبه، پوشش موضوع، و هرگونه الزامات یا دستورالعمل های خاص چیست؟</v>
      </c>
      <c r="H9370" s="1"/>
      <c r="I9370" s="1"/>
      <c r="J9370" s="1"/>
      <c r="K9370" s="1"/>
      <c r="L9370" s="1"/>
      <c r="M9370" s="1"/>
      <c r="N9370" s="1"/>
      <c r="O9370" s="1"/>
      <c r="P9370" s="1"/>
      <c r="Q9370" s="1"/>
      <c r="R9370" s="1"/>
      <c r="S9370" s="1"/>
      <c r="T9370" s="1"/>
      <c r="U9370" s="1"/>
      <c r="V9370" s="1"/>
      <c r="W9370" s="1"/>
      <c r="X9370" s="1"/>
      <c r="Y9370" s="1"/>
      <c r="Z9370" s="1"/>
      <c r="AA9370" s="1"/>
      <c r="AB9370" s="1"/>
    </row>
    <row r="9371" ht="50.25" customHeight="1">
      <c r="A9371" s="12">
        <v>9367.0</v>
      </c>
      <c r="B9371" s="13" t="s">
        <v>8699</v>
      </c>
      <c r="C9371" s="18" t="s">
        <v>9397</v>
      </c>
      <c r="D9371" s="1"/>
      <c r="E9371" s="1"/>
      <c r="F9371" s="1" t="str">
        <f>IFERROR(__xludf.DUMMYFUNCTION("GOOGLETRANSLATE(B9371, ""en"", ""fa"")
"),"موفقیت در پادکست")</f>
        <v>موفقیت در پادکست</v>
      </c>
      <c r="G9371" s="1" t="str">
        <f>IFERROR(__xludf.DUMMYFUNCTION("GOOGLETRANSLATE(C9371, ""en"", ""fa"")
"),"چگونه در طول مصاحبه فضایی راحت و دلپذیر برای مهمانان خود ایجاد کنید و آنها را احساس آرامش و تشویق کنید تا بینش خود را به اشتراک بگذارند؟")</f>
        <v>چگونه در طول مصاحبه فضایی راحت و دلپذیر برای مهمانان خود ایجاد کنید و آنها را احساس آرامش و تشویق کنید تا بینش خود را به اشتراک بگذارند؟</v>
      </c>
      <c r="H9371" s="1"/>
      <c r="I9371" s="1"/>
      <c r="J9371" s="1"/>
      <c r="K9371" s="1"/>
      <c r="L9371" s="1"/>
      <c r="M9371" s="1"/>
      <c r="N9371" s="1"/>
      <c r="O9371" s="1"/>
      <c r="P9371" s="1"/>
      <c r="Q9371" s="1"/>
      <c r="R9371" s="1"/>
      <c r="S9371" s="1"/>
      <c r="T9371" s="1"/>
      <c r="U9371" s="1"/>
      <c r="V9371" s="1"/>
      <c r="W9371" s="1"/>
      <c r="X9371" s="1"/>
      <c r="Y9371" s="1"/>
      <c r="Z9371" s="1"/>
      <c r="AA9371" s="1"/>
      <c r="AB9371" s="1"/>
    </row>
    <row r="9372" ht="50.25" customHeight="1">
      <c r="A9372" s="12">
        <v>9368.0</v>
      </c>
      <c r="B9372" s="13" t="s">
        <v>8699</v>
      </c>
      <c r="C9372" s="18" t="s">
        <v>9398</v>
      </c>
      <c r="D9372" s="1"/>
      <c r="E9372" s="1"/>
      <c r="F9372" s="1" t="str">
        <f>IFERROR(__xludf.DUMMYFUNCTION("GOOGLETRANSLATE(B9372, ""en"", ""fa"")
"),"موفقیت در پادکست")</f>
        <v>موفقیت در پادکست</v>
      </c>
      <c r="G9372" s="1" t="str">
        <f>IFERROR(__xludf.DUMMYFUNCTION("GOOGLETRANSLATE(C9372, ""en"", ""fa"")
"),"استراتژی‌هایی برای تبلیغ قسمت‌های مهمان و به حداکثر رساندن دیده شدن آن‌ها در پادکست، رسانه‌های اجتماعی و سایر پلتفرم‌ها چیست؟")</f>
        <v>استراتژی‌هایی برای تبلیغ قسمت‌های مهمان و به حداکثر رساندن دیده شدن آن‌ها در پادکست، رسانه‌های اجتماعی و سایر پلتفرم‌ها چیست؟</v>
      </c>
      <c r="H9372" s="1"/>
      <c r="I9372" s="1"/>
      <c r="J9372" s="1"/>
      <c r="K9372" s="1"/>
      <c r="L9372" s="1"/>
      <c r="M9372" s="1"/>
      <c r="N9372" s="1"/>
      <c r="O9372" s="1"/>
      <c r="P9372" s="1"/>
      <c r="Q9372" s="1"/>
      <c r="R9372" s="1"/>
      <c r="S9372" s="1"/>
      <c r="T9372" s="1"/>
      <c r="U9372" s="1"/>
      <c r="V9372" s="1"/>
      <c r="W9372" s="1"/>
      <c r="X9372" s="1"/>
      <c r="Y9372" s="1"/>
      <c r="Z9372" s="1"/>
      <c r="AA9372" s="1"/>
      <c r="AB9372" s="1"/>
    </row>
    <row r="9373" ht="50.25" customHeight="1">
      <c r="A9373" s="12">
        <v>9369.0</v>
      </c>
      <c r="B9373" s="13" t="s">
        <v>8699</v>
      </c>
      <c r="C9373" s="18" t="s">
        <v>9399</v>
      </c>
      <c r="D9373" s="1"/>
      <c r="E9373" s="1"/>
      <c r="F9373" s="1" t="str">
        <f>IFERROR(__xludf.DUMMYFUNCTION("GOOGLETRANSLATE(B9373, ""en"", ""fa"")
"),"موفقیت در پادکست")</f>
        <v>موفقیت در پادکست</v>
      </c>
      <c r="G9373" s="1" t="str">
        <f>IFERROR(__xludf.DUMMYFUNCTION("GOOGLETRANSLATE(C9373, ""en"", ""fa"")
"),"چگونه می توان بعد از مصاحبه با مهمانان پیگیری کرد، قدردانی کرد، به روزرسانی های قسمت را به اشتراک گذاشت و آنها را تشویق کرد تا ظاهر خود را در پادکست خود تبلیغ کنند؟")</f>
        <v>چگونه می توان بعد از مصاحبه با مهمانان پیگیری کرد، قدردانی کرد، به روزرسانی های قسمت را به اشتراک گذاشت و آنها را تشویق کرد تا ظاهر خود را در پادکست خود تبلیغ کنند؟</v>
      </c>
      <c r="H9373" s="1"/>
      <c r="I9373" s="1"/>
      <c r="J9373" s="1"/>
      <c r="K9373" s="1"/>
      <c r="L9373" s="1"/>
      <c r="M9373" s="1"/>
      <c r="N9373" s="1"/>
      <c r="O9373" s="1"/>
      <c r="P9373" s="1"/>
      <c r="Q9373" s="1"/>
      <c r="R9373" s="1"/>
      <c r="S9373" s="1"/>
      <c r="T9373" s="1"/>
      <c r="U9373" s="1"/>
      <c r="V9373" s="1"/>
      <c r="W9373" s="1"/>
      <c r="X9373" s="1"/>
      <c r="Y9373" s="1"/>
      <c r="Z9373" s="1"/>
      <c r="AA9373" s="1"/>
      <c r="AB9373" s="1"/>
    </row>
    <row r="9374" ht="50.25" customHeight="1">
      <c r="A9374" s="12">
        <v>9370.0</v>
      </c>
      <c r="B9374" s="13" t="s">
        <v>8699</v>
      </c>
      <c r="C9374" s="18" t="s">
        <v>9400</v>
      </c>
      <c r="D9374" s="1"/>
      <c r="E9374" s="1"/>
      <c r="F9374" s="1" t="str">
        <f>IFERROR(__xludf.DUMMYFUNCTION("GOOGLETRANSLATE(B9374, ""en"", ""fa"")
"),"موفقیت در پادکست")</f>
        <v>موفقیت در پادکست</v>
      </c>
      <c r="G9374" s="1" t="str">
        <f>IFERROR(__xludf.DUMMYFUNCTION("GOOGLETRANSLATE(C9374, ""en"", ""fa"")
"),"تکنیک‌های مدیریت بازخورد و نظرات مهمان برای بهبود تجربه مهمان و افزایش تعاملات مهمان در آینده چیست؟")</f>
        <v>تکنیک‌های مدیریت بازخورد و نظرات مهمان برای بهبود تجربه مهمان و افزایش تعاملات مهمان در آینده چیست؟</v>
      </c>
      <c r="H9374" s="1"/>
      <c r="I9374" s="1"/>
      <c r="J9374" s="1"/>
      <c r="K9374" s="1"/>
      <c r="L9374" s="1"/>
      <c r="M9374" s="1"/>
      <c r="N9374" s="1"/>
      <c r="O9374" s="1"/>
      <c r="P9374" s="1"/>
      <c r="Q9374" s="1"/>
      <c r="R9374" s="1"/>
      <c r="S9374" s="1"/>
      <c r="T9374" s="1"/>
      <c r="U9374" s="1"/>
      <c r="V9374" s="1"/>
      <c r="W9374" s="1"/>
      <c r="X9374" s="1"/>
      <c r="Y9374" s="1"/>
      <c r="Z9374" s="1"/>
      <c r="AA9374" s="1"/>
      <c r="AB9374" s="1"/>
    </row>
    <row r="9375" ht="50.25" customHeight="1">
      <c r="A9375" s="12">
        <v>9371.0</v>
      </c>
      <c r="B9375" s="13" t="s">
        <v>8699</v>
      </c>
      <c r="C9375" s="18" t="s">
        <v>9401</v>
      </c>
      <c r="D9375" s="1"/>
      <c r="E9375" s="1"/>
      <c r="F9375" s="1" t="str">
        <f>IFERROR(__xludf.DUMMYFUNCTION("GOOGLETRANSLATE(B9375, ""en"", ""fa"")
"),"موفقیت در پادکست")</f>
        <v>موفقیت در پادکست</v>
      </c>
      <c r="G9375" s="1" t="str">
        <f>IFERROR(__xludf.DUMMYFUNCTION("GOOGLETRANSLATE(C9375, ""en"", ""fa"")
"),"چگونه می توان با مهمانان چالش برانگیز یا دشوار برخورد کرد و از یک مصاحبه محترمانه و سازنده برای هر دو طرف اطمینان حاصل کرد؟")</f>
        <v>چگونه می توان با مهمانان چالش برانگیز یا دشوار برخورد کرد و از یک مصاحبه محترمانه و سازنده برای هر دو طرف اطمینان حاصل کرد؟</v>
      </c>
      <c r="H9375" s="1"/>
      <c r="I9375" s="1"/>
      <c r="J9375" s="1"/>
      <c r="K9375" s="1"/>
      <c r="L9375" s="1"/>
      <c r="M9375" s="1"/>
      <c r="N9375" s="1"/>
      <c r="O9375" s="1"/>
      <c r="P9375" s="1"/>
      <c r="Q9375" s="1"/>
      <c r="R9375" s="1"/>
      <c r="S9375" s="1"/>
      <c r="T9375" s="1"/>
      <c r="U9375" s="1"/>
      <c r="V9375" s="1"/>
      <c r="W9375" s="1"/>
      <c r="X9375" s="1"/>
      <c r="Y9375" s="1"/>
      <c r="Z9375" s="1"/>
      <c r="AA9375" s="1"/>
      <c r="AB9375" s="1"/>
    </row>
    <row r="9376" ht="50.25" customHeight="1">
      <c r="A9376" s="12">
        <v>9372.0</v>
      </c>
      <c r="B9376" s="13" t="s">
        <v>8699</v>
      </c>
      <c r="C9376" s="18" t="s">
        <v>9402</v>
      </c>
      <c r="D9376" s="1"/>
      <c r="E9376" s="1"/>
      <c r="F9376" s="1" t="str">
        <f>IFERROR(__xludf.DUMMYFUNCTION("GOOGLETRANSLATE(B9376, ""en"", ""fa"")
"),"موفقیت در پادکست")</f>
        <v>موفقیت در پادکست</v>
      </c>
      <c r="G9376" s="1" t="str">
        <f>IFERROR(__xludf.DUMMYFUNCTION("GOOGLETRANSLATE(C9376, ""en"", ""fa"")
"),"چه استراتژی هایی برای استفاده از حضور مهمان به عنوان فرصتی برای شبکه سازی و ایجاد روابط حرفه ای در صنعت یا جایگاه شما وجود دارد؟")</f>
        <v>چه استراتژی هایی برای استفاده از حضور مهمان به عنوان فرصتی برای شبکه سازی و ایجاد روابط حرفه ای در صنعت یا جایگاه شما وجود دارد؟</v>
      </c>
      <c r="H9376" s="1"/>
      <c r="I9376" s="1"/>
      <c r="J9376" s="1"/>
      <c r="K9376" s="1"/>
      <c r="L9376" s="1"/>
      <c r="M9376" s="1"/>
      <c r="N9376" s="1"/>
      <c r="O9376" s="1"/>
      <c r="P9376" s="1"/>
      <c r="Q9376" s="1"/>
      <c r="R9376" s="1"/>
      <c r="S9376" s="1"/>
      <c r="T9376" s="1"/>
      <c r="U9376" s="1"/>
      <c r="V9376" s="1"/>
      <c r="W9376" s="1"/>
      <c r="X9376" s="1"/>
      <c r="Y9376" s="1"/>
      <c r="Z9376" s="1"/>
      <c r="AA9376" s="1"/>
      <c r="AB9376" s="1"/>
    </row>
    <row r="9377" ht="50.25" customHeight="1">
      <c r="A9377" s="12">
        <v>9373.0</v>
      </c>
      <c r="B9377" s="13" t="s">
        <v>8699</v>
      </c>
      <c r="C9377" s="18" t="s">
        <v>9403</v>
      </c>
      <c r="D9377" s="1"/>
      <c r="E9377" s="1"/>
      <c r="F9377" s="1" t="str">
        <f>IFERROR(__xludf.DUMMYFUNCTION("GOOGLETRANSLATE(B9377, ""en"", ""fa"")
"),"موفقیت در پادکست")</f>
        <v>موفقیت در پادکست</v>
      </c>
      <c r="G9377" s="1" t="str">
        <f>IFERROR(__xludf.DUMMYFUNCTION("GOOGLETRANSLATE(C9377, ""en"", ""fa"")
"),"چگونه می توان یک پایگاه داده مهمان یا سیستم CRM را برای سازماندهی اطلاعات مهمان، جزئیات تماس و تاریخچه قسمت برای مراجعات بعدی نگهداری کرد؟")</f>
        <v>چگونه می توان یک پایگاه داده مهمان یا سیستم CRM را برای سازماندهی اطلاعات مهمان، جزئیات تماس و تاریخچه قسمت برای مراجعات بعدی نگهداری کرد؟</v>
      </c>
      <c r="H9377" s="1"/>
      <c r="I9377" s="1"/>
      <c r="J9377" s="1"/>
      <c r="K9377" s="1"/>
      <c r="L9377" s="1"/>
      <c r="M9377" s="1"/>
      <c r="N9377" s="1"/>
      <c r="O9377" s="1"/>
      <c r="P9377" s="1"/>
      <c r="Q9377" s="1"/>
      <c r="R9377" s="1"/>
      <c r="S9377" s="1"/>
      <c r="T9377" s="1"/>
      <c r="U9377" s="1"/>
      <c r="V9377" s="1"/>
      <c r="W9377" s="1"/>
      <c r="X9377" s="1"/>
      <c r="Y9377" s="1"/>
      <c r="Z9377" s="1"/>
      <c r="AA9377" s="1"/>
      <c r="AB9377" s="1"/>
    </row>
    <row r="9378" ht="50.25" customHeight="1">
      <c r="A9378" s="12">
        <v>9374.0</v>
      </c>
      <c r="B9378" s="13" t="s">
        <v>8699</v>
      </c>
      <c r="C9378" s="18" t="s">
        <v>9404</v>
      </c>
      <c r="D9378" s="1"/>
      <c r="E9378" s="1"/>
      <c r="F9378" s="1" t="str">
        <f>IFERROR(__xludf.DUMMYFUNCTION("GOOGLETRANSLATE(B9378, ""en"", ""fa"")
"),"موفقیت در پادکست")</f>
        <v>موفقیت در پادکست</v>
      </c>
      <c r="G9378" s="1" t="str">
        <f>IFERROR(__xludf.DUMMYFUNCTION("GOOGLETRANSLATE(C9378, ""en"", ""fa"")
"),"تکنیک‌هایی برای ترویج وفاداری مهمان و تشویق تکرار حضور در پادکست شما چیست؟")</f>
        <v>تکنیک‌هایی برای ترویج وفاداری مهمان و تشویق تکرار حضور در پادکست شما چیست؟</v>
      </c>
      <c r="H9378" s="1"/>
      <c r="I9378" s="1"/>
      <c r="J9378" s="1"/>
      <c r="K9378" s="1"/>
      <c r="L9378" s="1"/>
      <c r="M9378" s="1"/>
      <c r="N9378" s="1"/>
      <c r="O9378" s="1"/>
      <c r="P9378" s="1"/>
      <c r="Q9378" s="1"/>
      <c r="R9378" s="1"/>
      <c r="S9378" s="1"/>
      <c r="T9378" s="1"/>
      <c r="U9378" s="1"/>
      <c r="V9378" s="1"/>
      <c r="W9378" s="1"/>
      <c r="X9378" s="1"/>
      <c r="Y9378" s="1"/>
      <c r="Z9378" s="1"/>
      <c r="AA9378" s="1"/>
      <c r="AB9378" s="1"/>
    </row>
    <row r="9379" ht="50.25" customHeight="1">
      <c r="A9379" s="12">
        <v>9375.0</v>
      </c>
      <c r="B9379" s="13" t="s">
        <v>8699</v>
      </c>
      <c r="C9379" s="18" t="s">
        <v>9405</v>
      </c>
      <c r="D9379" s="1"/>
      <c r="E9379" s="1"/>
      <c r="F9379" s="1" t="str">
        <f>IFERROR(__xludf.DUMMYFUNCTION("GOOGLETRANSLATE(B9379, ""en"", ""fa"")
"),"موفقیت در پادکست")</f>
        <v>موفقیت در پادکست</v>
      </c>
      <c r="G9379" s="1" t="str">
        <f>IFERROR(__xludf.DUMMYFUNCTION("GOOGLETRANSLATE(C9379, ""en"", ""fa"")
"),"چگونه به مهمانان خود منابعی مانند قسمت های برجسته، نقل قول ها یا گرافیک ارائه دهید تا به آنها کمک کنید ظاهر خود را در پادکست خود تبلیغ کنند؟")</f>
        <v>چگونه به مهمانان خود منابعی مانند قسمت های برجسته، نقل قول ها یا گرافیک ارائه دهید تا به آنها کمک کنید ظاهر خود را در پادکست خود تبلیغ کنند؟</v>
      </c>
      <c r="H9379" s="1"/>
      <c r="I9379" s="1"/>
      <c r="J9379" s="1"/>
      <c r="K9379" s="1"/>
      <c r="L9379" s="1"/>
      <c r="M9379" s="1"/>
      <c r="N9379" s="1"/>
      <c r="O9379" s="1"/>
      <c r="P9379" s="1"/>
      <c r="Q9379" s="1"/>
      <c r="R9379" s="1"/>
      <c r="S9379" s="1"/>
      <c r="T9379" s="1"/>
      <c r="U9379" s="1"/>
      <c r="V9379" s="1"/>
      <c r="W9379" s="1"/>
      <c r="X9379" s="1"/>
      <c r="Y9379" s="1"/>
      <c r="Z9379" s="1"/>
      <c r="AA9379" s="1"/>
      <c r="AB9379" s="1"/>
    </row>
    <row r="9380" ht="50.25" customHeight="1">
      <c r="A9380" s="12">
        <v>9376.0</v>
      </c>
      <c r="B9380" s="13" t="s">
        <v>8699</v>
      </c>
      <c r="C9380" s="18" t="s">
        <v>9406</v>
      </c>
      <c r="D9380" s="1"/>
      <c r="E9380" s="1"/>
      <c r="F9380" s="1" t="str">
        <f>IFERROR(__xludf.DUMMYFUNCTION("GOOGLETRANSLATE(B9380, ""en"", ""fa"")
"),"موفقیت در پادکست")</f>
        <v>موفقیت در پادکست</v>
      </c>
      <c r="G9380" s="1" t="str">
        <f>IFERROR(__xludf.DUMMYFUNCTION("GOOGLETRANSLATE(C9380, ""en"", ""fa"")
"),"چه استراتژی هایی برای همکاری با کارشناسان مهمان برای ایجاد محتوای جایزه مانند کتاب های الکترونیکی، راهنماها یا وبینارها وجود دارد که ارزش بیشتری برای مخاطبان شما فراهم می کند؟")</f>
        <v>چه استراتژی هایی برای همکاری با کارشناسان مهمان برای ایجاد محتوای جایزه مانند کتاب های الکترونیکی، راهنماها یا وبینارها وجود دارد که ارزش بیشتری برای مخاطبان شما فراهم می کند؟</v>
      </c>
      <c r="H9380" s="1"/>
      <c r="I9380" s="1"/>
      <c r="J9380" s="1"/>
      <c r="K9380" s="1"/>
      <c r="L9380" s="1"/>
      <c r="M9380" s="1"/>
      <c r="N9380" s="1"/>
      <c r="O9380" s="1"/>
      <c r="P9380" s="1"/>
      <c r="Q9380" s="1"/>
      <c r="R9380" s="1"/>
      <c r="S9380" s="1"/>
      <c r="T9380" s="1"/>
      <c r="U9380" s="1"/>
      <c r="V9380" s="1"/>
      <c r="W9380" s="1"/>
      <c r="X9380" s="1"/>
      <c r="Y9380" s="1"/>
      <c r="Z9380" s="1"/>
      <c r="AA9380" s="1"/>
      <c r="AB9380" s="1"/>
    </row>
    <row r="9381" ht="50.25" customHeight="1">
      <c r="A9381" s="12">
        <v>9377.0</v>
      </c>
      <c r="B9381" s="13" t="s">
        <v>8699</v>
      </c>
      <c r="C9381" s="18" t="s">
        <v>9407</v>
      </c>
      <c r="D9381" s="1"/>
      <c r="E9381" s="1"/>
      <c r="F9381" s="1" t="str">
        <f>IFERROR(__xludf.DUMMYFUNCTION("GOOGLETRANSLATE(B9381, ""en"", ""fa"")
"),"موفقیت در پادکست")</f>
        <v>موفقیت در پادکست</v>
      </c>
      <c r="G9381" s="1" t="str">
        <f>IFERROR(__xludf.DUMMYFUNCTION("GOOGLETRANSLATE(C9381, ""en"", ""fa"")
"),"چگونه می توان با برنامه ریزی مجدد یا لغو به نحو احسن و کارآمد برخورد کرد و از حداقل اختلال در برنامه تولید پادکست خود اطمینان حاصل کرد؟")</f>
        <v>چگونه می توان با برنامه ریزی مجدد یا لغو به نحو احسن و کارآمد برخورد کرد و از حداقل اختلال در برنامه تولید پادکست خود اطمینان حاصل کرد؟</v>
      </c>
      <c r="H9381" s="1"/>
      <c r="I9381" s="1"/>
      <c r="J9381" s="1"/>
      <c r="K9381" s="1"/>
      <c r="L9381" s="1"/>
      <c r="M9381" s="1"/>
      <c r="N9381" s="1"/>
      <c r="O9381" s="1"/>
      <c r="P9381" s="1"/>
      <c r="Q9381" s="1"/>
      <c r="R9381" s="1"/>
      <c r="S9381" s="1"/>
      <c r="T9381" s="1"/>
      <c r="U9381" s="1"/>
      <c r="V9381" s="1"/>
      <c r="W9381" s="1"/>
      <c r="X9381" s="1"/>
      <c r="Y9381" s="1"/>
      <c r="Z9381" s="1"/>
      <c r="AA9381" s="1"/>
      <c r="AB9381" s="1"/>
    </row>
    <row r="9382" ht="50.25" customHeight="1">
      <c r="A9382" s="12">
        <v>9378.0</v>
      </c>
      <c r="B9382" s="13" t="s">
        <v>8699</v>
      </c>
      <c r="C9382" s="18" t="s">
        <v>9408</v>
      </c>
      <c r="D9382" s="1"/>
      <c r="E9382" s="1"/>
      <c r="F9382" s="1" t="str">
        <f>IFERROR(__xludf.DUMMYFUNCTION("GOOGLETRANSLATE(B9382, ""en"", ""fa"")
"),"موفقیت در پادکست")</f>
        <v>موفقیت در پادکست</v>
      </c>
      <c r="G9382" s="1" t="str">
        <f>IFERROR(__xludf.DUMMYFUNCTION("GOOGLETRANSLATE(C9382, ""en"", ""fa"")
"),"تکنیک‌های انجام ارزیابی‌ها و بازتاب‌های پس از مصاحبه برای شناسایی زمینه‌های بهبود و ارتقای تجربه کلی مهمان چیست؟")</f>
        <v>تکنیک‌های انجام ارزیابی‌ها و بازتاب‌های پس از مصاحبه برای شناسایی زمینه‌های بهبود و ارتقای تجربه کلی مهمان چیست؟</v>
      </c>
      <c r="H9382" s="1"/>
      <c r="I9382" s="1"/>
      <c r="J9382" s="1"/>
      <c r="K9382" s="1"/>
      <c r="L9382" s="1"/>
      <c r="M9382" s="1"/>
      <c r="N9382" s="1"/>
      <c r="O9382" s="1"/>
      <c r="P9382" s="1"/>
      <c r="Q9382" s="1"/>
      <c r="R9382" s="1"/>
      <c r="S9382" s="1"/>
      <c r="T9382" s="1"/>
      <c r="U9382" s="1"/>
      <c r="V9382" s="1"/>
      <c r="W9382" s="1"/>
      <c r="X9382" s="1"/>
      <c r="Y9382" s="1"/>
      <c r="Z9382" s="1"/>
      <c r="AA9382" s="1"/>
      <c r="AB9382" s="1"/>
    </row>
    <row r="9383" ht="50.25" customHeight="1">
      <c r="A9383" s="12">
        <v>9379.0</v>
      </c>
      <c r="B9383" s="13" t="s">
        <v>8699</v>
      </c>
      <c r="C9383" s="18" t="s">
        <v>9409</v>
      </c>
      <c r="D9383" s="1"/>
      <c r="E9383" s="1"/>
      <c r="F9383" s="1" t="str">
        <f>IFERROR(__xludf.DUMMYFUNCTION("GOOGLETRANSLATE(B9383, ""en"", ""fa"")
"),"موفقیت در پادکست")</f>
        <v>موفقیت در پادکست</v>
      </c>
      <c r="G9383" s="1" t="str">
        <f>IFERROR(__xludf.DUMMYFUNCTION("GOOGLETRANSLATE(C9383, ""en"", ""fa"")
"),"چگونه می توان از شبکه مهمان خود برای شناسایی مهمانان ارجاع بالقوه یا معرفی کارشناسان دیگر در صنعت یا جایگاه خود استفاده کرد؟")</f>
        <v>چگونه می توان از شبکه مهمان خود برای شناسایی مهمانان ارجاع بالقوه یا معرفی کارشناسان دیگر در صنعت یا جایگاه خود استفاده کرد؟</v>
      </c>
      <c r="H9383" s="1"/>
      <c r="I9383" s="1"/>
      <c r="J9383" s="1"/>
      <c r="K9383" s="1"/>
      <c r="L9383" s="1"/>
      <c r="M9383" s="1"/>
      <c r="N9383" s="1"/>
      <c r="O9383" s="1"/>
      <c r="P9383" s="1"/>
      <c r="Q9383" s="1"/>
      <c r="R9383" s="1"/>
      <c r="S9383" s="1"/>
      <c r="T9383" s="1"/>
      <c r="U9383" s="1"/>
      <c r="V9383" s="1"/>
      <c r="W9383" s="1"/>
      <c r="X9383" s="1"/>
      <c r="Y9383" s="1"/>
      <c r="Z9383" s="1"/>
      <c r="AA9383" s="1"/>
      <c r="AB9383" s="1"/>
    </row>
    <row r="9384" ht="50.25" customHeight="1">
      <c r="A9384" s="12">
        <v>9380.0</v>
      </c>
      <c r="B9384" s="13" t="s">
        <v>8699</v>
      </c>
      <c r="C9384" s="18" t="s">
        <v>9410</v>
      </c>
      <c r="D9384" s="1"/>
      <c r="E9384" s="1"/>
      <c r="F9384" s="1" t="str">
        <f>IFERROR(__xludf.DUMMYFUNCTION("GOOGLETRANSLATE(B9384, ""en"", ""fa"")
"),"موفقیت در پادکست")</f>
        <v>موفقیت در پادکست</v>
      </c>
      <c r="G9384" s="1" t="str">
        <f>IFERROR(__xludf.DUMMYFUNCTION("GOOGLETRANSLATE(C9384, ""en"", ""fa"")
"),"استراتژی‌هایی برای انجام تبلیغات پس از مصاحبه برای به حداکثر رساندن دسترسی و تأثیر قسمت‌های مهمان از طریق بازاریابی هدفمند و اشتراک‌گذاری اجتماعی چیست؟")</f>
        <v>استراتژی‌هایی برای انجام تبلیغات پس از مصاحبه برای به حداکثر رساندن دسترسی و تأثیر قسمت‌های مهمان از طریق بازاریابی هدفمند و اشتراک‌گذاری اجتماعی چیست؟</v>
      </c>
      <c r="H9384" s="1"/>
      <c r="I9384" s="1"/>
      <c r="J9384" s="1"/>
      <c r="K9384" s="1"/>
      <c r="L9384" s="1"/>
      <c r="M9384" s="1"/>
      <c r="N9384" s="1"/>
      <c r="O9384" s="1"/>
      <c r="P9384" s="1"/>
      <c r="Q9384" s="1"/>
      <c r="R9384" s="1"/>
      <c r="S9384" s="1"/>
      <c r="T9384" s="1"/>
      <c r="U9384" s="1"/>
      <c r="V9384" s="1"/>
      <c r="W9384" s="1"/>
      <c r="X9384" s="1"/>
      <c r="Y9384" s="1"/>
      <c r="Z9384" s="1"/>
      <c r="AA9384" s="1"/>
      <c r="AB9384" s="1"/>
    </row>
    <row r="9385" ht="50.25" customHeight="1">
      <c r="A9385" s="12">
        <v>9381.0</v>
      </c>
      <c r="B9385" s="13" t="s">
        <v>8699</v>
      </c>
      <c r="C9385" s="18" t="s">
        <v>9411</v>
      </c>
      <c r="D9385" s="1"/>
      <c r="E9385" s="1"/>
      <c r="F9385" s="1" t="str">
        <f>IFERROR(__xludf.DUMMYFUNCTION("GOOGLETRANSLATE(B9385, ""en"", ""fa"")
"),"موفقیت در پادکست")</f>
        <v>موفقیت در پادکست</v>
      </c>
      <c r="G9385" s="1" t="str">
        <f>IFERROR(__xludf.DUMMYFUNCTION("GOOGLETRANSLATE(C9385, ""en"", ""fa"")
"),"چگونه می توان چندین رزرو و مصاحبه مهمان را به طور همزمان مدیریت کرد و از روندی روان و سازماندهی شده برای همه طرف های درگیر اطمینان حاصل کرد؟")</f>
        <v>چگونه می توان چندین رزرو و مصاحبه مهمان را به طور همزمان مدیریت کرد و از روندی روان و سازماندهی شده برای همه طرف های درگیر اطمینان حاصل کرد؟</v>
      </c>
      <c r="H9385" s="1"/>
      <c r="I9385" s="1"/>
      <c r="J9385" s="1"/>
      <c r="K9385" s="1"/>
      <c r="L9385" s="1"/>
      <c r="M9385" s="1"/>
      <c r="N9385" s="1"/>
      <c r="O9385" s="1"/>
      <c r="P9385" s="1"/>
      <c r="Q9385" s="1"/>
      <c r="R9385" s="1"/>
      <c r="S9385" s="1"/>
      <c r="T9385" s="1"/>
      <c r="U9385" s="1"/>
      <c r="V9385" s="1"/>
      <c r="W9385" s="1"/>
      <c r="X9385" s="1"/>
      <c r="Y9385" s="1"/>
      <c r="Z9385" s="1"/>
      <c r="AA9385" s="1"/>
      <c r="AB9385" s="1"/>
    </row>
    <row r="9386" ht="50.25" customHeight="1">
      <c r="A9386" s="12">
        <v>9382.0</v>
      </c>
      <c r="B9386" s="13" t="s">
        <v>8699</v>
      </c>
      <c r="C9386" s="18" t="s">
        <v>9412</v>
      </c>
      <c r="D9386" s="1"/>
      <c r="E9386" s="1"/>
      <c r="F9386" s="1" t="str">
        <f>IFERROR(__xludf.DUMMYFUNCTION("GOOGLETRANSLATE(B9386, ""en"", ""fa"")
"),"موفقیت در پادکست")</f>
        <v>موفقیت در پادکست</v>
      </c>
      <c r="G9386" s="1" t="str">
        <f>IFERROR(__xludf.DUMMYFUNCTION("GOOGLETRANSLATE(C9386, ""en"", ""fa"")
"),"تکنیک‌هایی برای ارائه تجزیه و تحلیل قسمت یا معیارهای عملکرد به مهمانان برای نشان دادن تأثیر و گستردگی ظاهر آنها بر پادکست شما چیست؟")</f>
        <v>تکنیک‌هایی برای ارائه تجزیه و تحلیل قسمت یا معیارهای عملکرد به مهمانان برای نشان دادن تأثیر و گستردگی ظاهر آنها بر پادکست شما چیست؟</v>
      </c>
      <c r="H9386" s="1"/>
      <c r="I9386" s="1"/>
      <c r="J9386" s="1"/>
      <c r="K9386" s="1"/>
      <c r="L9386" s="1"/>
      <c r="M9386" s="1"/>
      <c r="N9386" s="1"/>
      <c r="O9386" s="1"/>
      <c r="P9386" s="1"/>
      <c r="Q9386" s="1"/>
      <c r="R9386" s="1"/>
      <c r="S9386" s="1"/>
      <c r="T9386" s="1"/>
      <c r="U9386" s="1"/>
      <c r="V9386" s="1"/>
      <c r="W9386" s="1"/>
      <c r="X9386" s="1"/>
      <c r="Y9386" s="1"/>
      <c r="Z9386" s="1"/>
      <c r="AA9386" s="1"/>
      <c r="AB9386" s="1"/>
    </row>
    <row r="9387" ht="50.25" customHeight="1">
      <c r="A9387" s="12">
        <v>9383.0</v>
      </c>
      <c r="B9387" s="13" t="s">
        <v>8699</v>
      </c>
      <c r="C9387" s="18" t="s">
        <v>9413</v>
      </c>
      <c r="D9387" s="1"/>
      <c r="E9387" s="1"/>
      <c r="F9387" s="1" t="str">
        <f>IFERROR(__xludf.DUMMYFUNCTION("GOOGLETRANSLATE(B9387, ""en"", ""fa"")
"),"موفقیت در پادکست")</f>
        <v>موفقیت در پادکست</v>
      </c>
      <c r="G9387" s="1" t="str">
        <f>IFERROR(__xludf.DUMMYFUNCTION("GOOGLETRANSLATE(C9387, ""en"", ""fa"")
"),"نحوه رسیدگی به درخواست‌های مهمان برای ویرایش یا بازنگری در قسمت قبل از انتشار، و متعادل کردن ترجیحات آنها با کیفیت کلی و یکپارچگی محتوای شما.")</f>
        <v>نحوه رسیدگی به درخواست‌های مهمان برای ویرایش یا بازنگری در قسمت قبل از انتشار، و متعادل کردن ترجیحات آنها با کیفیت کلی و یکپارچگی محتوای شما.</v>
      </c>
      <c r="H9387" s="1"/>
      <c r="I9387" s="1"/>
      <c r="J9387" s="1"/>
      <c r="K9387" s="1"/>
      <c r="L9387" s="1"/>
      <c r="M9387" s="1"/>
      <c r="N9387" s="1"/>
      <c r="O9387" s="1"/>
      <c r="P9387" s="1"/>
      <c r="Q9387" s="1"/>
      <c r="R9387" s="1"/>
      <c r="S9387" s="1"/>
      <c r="T9387" s="1"/>
      <c r="U9387" s="1"/>
      <c r="V9387" s="1"/>
      <c r="W9387" s="1"/>
      <c r="X9387" s="1"/>
      <c r="Y9387" s="1"/>
      <c r="Z9387" s="1"/>
      <c r="AA9387" s="1"/>
      <c r="AB9387" s="1"/>
    </row>
    <row r="9388" ht="50.25" customHeight="1">
      <c r="A9388" s="12">
        <v>9384.0</v>
      </c>
      <c r="B9388" s="13" t="s">
        <v>8699</v>
      </c>
      <c r="C9388" s="18" t="s">
        <v>9414</v>
      </c>
      <c r="D9388" s="1"/>
      <c r="E9388" s="1"/>
      <c r="F9388" s="1" t="str">
        <f>IFERROR(__xludf.DUMMYFUNCTION("GOOGLETRANSLATE(B9388, ""en"", ""fa"")
"),"موفقیت در پادکست")</f>
        <v>موفقیت در پادکست</v>
      </c>
      <c r="G9388" s="1" t="str">
        <f>IFERROR(__xludf.DUMMYFUNCTION("GOOGLETRANSLATE(C9388, ""en"", ""fa"")
"),"چه راهکارهایی برای رسیدگی به تضاد منافع یا سوگیری احتمالی در حضور مهمانانی وجود دارد که ممکن است وابستگی ها یا روابطی داشته باشند که می تواند بر یکپارچگی مصاحبه یا درک پادکست شما تأثیر بگذارد؟")</f>
        <v>چه راهکارهایی برای رسیدگی به تضاد منافع یا سوگیری احتمالی در حضور مهمانانی وجود دارد که ممکن است وابستگی ها یا روابطی داشته باشند که می تواند بر یکپارچگی مصاحبه یا درک پادکست شما تأثیر بگذارد؟</v>
      </c>
      <c r="H9388" s="1"/>
      <c r="I9388" s="1"/>
      <c r="J9388" s="1"/>
      <c r="K9388" s="1"/>
      <c r="L9388" s="1"/>
      <c r="M9388" s="1"/>
      <c r="N9388" s="1"/>
      <c r="O9388" s="1"/>
      <c r="P9388" s="1"/>
      <c r="Q9388" s="1"/>
      <c r="R9388" s="1"/>
      <c r="S9388" s="1"/>
      <c r="T9388" s="1"/>
      <c r="U9388" s="1"/>
      <c r="V9388" s="1"/>
      <c r="W9388" s="1"/>
      <c r="X9388" s="1"/>
      <c r="Y9388" s="1"/>
      <c r="Z9388" s="1"/>
      <c r="AA9388" s="1"/>
      <c r="AB9388" s="1"/>
    </row>
    <row r="9389" ht="50.25" customHeight="1">
      <c r="A9389" s="12">
        <v>9385.0</v>
      </c>
      <c r="B9389" s="13" t="s">
        <v>8699</v>
      </c>
      <c r="C9389" s="18" t="s">
        <v>9415</v>
      </c>
      <c r="D9389" s="1"/>
      <c r="E9389" s="1"/>
      <c r="F9389" s="1" t="str">
        <f>IFERROR(__xludf.DUMMYFUNCTION("GOOGLETRANSLATE(B9389, ""en"", ""fa"")
"),"موفقیت در پادکست")</f>
        <v>موفقیت در پادکست</v>
      </c>
      <c r="G9389" s="1" t="str">
        <f>IFERROR(__xludf.DUMMYFUNCTION("GOOGLETRANSLATE(C9389, ""en"", ""fa"")
"),"چگونه می توان دستورالعمل ها و انتظارات روشنی را در مورد فعالیت های تبلیغاتی یا تأییدیه های مهمانان برای حفظ شفافیت و رویه های اخلاقی ایجاد کرد.")</f>
        <v>چگونه می توان دستورالعمل ها و انتظارات روشنی را در مورد فعالیت های تبلیغاتی یا تأییدیه های مهمانان برای حفظ شفافیت و رویه های اخلاقی ایجاد کرد.</v>
      </c>
      <c r="H9389" s="1"/>
      <c r="I9389" s="1"/>
      <c r="J9389" s="1"/>
      <c r="K9389" s="1"/>
      <c r="L9389" s="1"/>
      <c r="M9389" s="1"/>
      <c r="N9389" s="1"/>
      <c r="O9389" s="1"/>
      <c r="P9389" s="1"/>
      <c r="Q9389" s="1"/>
      <c r="R9389" s="1"/>
      <c r="S9389" s="1"/>
      <c r="T9389" s="1"/>
      <c r="U9389" s="1"/>
      <c r="V9389" s="1"/>
      <c r="W9389" s="1"/>
      <c r="X9389" s="1"/>
      <c r="Y9389" s="1"/>
      <c r="Z9389" s="1"/>
      <c r="AA9389" s="1"/>
      <c r="AB9389" s="1"/>
    </row>
    <row r="9390" ht="50.25" customHeight="1">
      <c r="A9390" s="12">
        <v>9386.0</v>
      </c>
      <c r="B9390" s="13" t="s">
        <v>8699</v>
      </c>
      <c r="C9390" s="18" t="s">
        <v>9416</v>
      </c>
      <c r="D9390" s="1"/>
      <c r="E9390" s="1"/>
      <c r="F9390" s="1" t="str">
        <f>IFERROR(__xludf.DUMMYFUNCTION("GOOGLETRANSLATE(B9390, ""en"", ""fa"")
"),"موفقیت در پادکست")</f>
        <v>موفقیت در پادکست</v>
      </c>
      <c r="G9390" s="1" t="str">
        <f>IFERROR(__xludf.DUMMYFUNCTION("GOOGLETRANSLATE(C9390, ""en"", ""fa"")
"),"تکنیک‌های انجام مصاحبه‌های بعدی یا بررسی‌های حضوری با مهمانان قبلی برای ارائه به‌روزرسانی‌ها در مورد کارشان یا بازدید مجدد از موضوعات مورد علاقه مخاطبان چیست؟")</f>
        <v>تکنیک‌های انجام مصاحبه‌های بعدی یا بررسی‌های حضوری با مهمانان قبلی برای ارائه به‌روزرسانی‌ها در مورد کارشان یا بازدید مجدد از موضوعات مورد علاقه مخاطبان چیست؟</v>
      </c>
      <c r="H9390" s="1"/>
      <c r="I9390" s="1"/>
      <c r="J9390" s="1"/>
      <c r="K9390" s="1"/>
      <c r="L9390" s="1"/>
      <c r="M9390" s="1"/>
      <c r="N9390" s="1"/>
      <c r="O9390" s="1"/>
      <c r="P9390" s="1"/>
      <c r="Q9390" s="1"/>
      <c r="R9390" s="1"/>
      <c r="S9390" s="1"/>
      <c r="T9390" s="1"/>
      <c r="U9390" s="1"/>
      <c r="V9390" s="1"/>
      <c r="W9390" s="1"/>
      <c r="X9390" s="1"/>
      <c r="Y9390" s="1"/>
      <c r="Z9390" s="1"/>
      <c r="AA9390" s="1"/>
      <c r="AB9390" s="1"/>
    </row>
    <row r="9391" ht="50.25" customHeight="1">
      <c r="A9391" s="12">
        <v>9387.0</v>
      </c>
      <c r="B9391" s="13" t="s">
        <v>8699</v>
      </c>
      <c r="C9391" s="18" t="s">
        <v>9417</v>
      </c>
      <c r="D9391" s="1"/>
      <c r="E9391" s="1"/>
      <c r="F9391" s="1" t="str">
        <f>IFERROR(__xludf.DUMMYFUNCTION("GOOGLETRANSLATE(B9391, ""en"", ""fa"")
"),"موفقیت در پادکست")</f>
        <v>موفقیت در پادکست</v>
      </c>
      <c r="G9391" s="1" t="str">
        <f>IFERROR(__xludf.DUMMYFUNCTION("GOOGLETRANSLATE(C9391, ""en"", ""fa"")
"),"چگونه می توان انتشارات و مجوزهای مهمان را برای استفاده از شباهت، صدا یا نقل قول آنها در مواد تبلیغاتی، رسانه های اجتماعی یا سایر محتوای مرتبط با پادکست مدیریت کرد؟")</f>
        <v>چگونه می توان انتشارات و مجوزهای مهمان را برای استفاده از شباهت، صدا یا نقل قول آنها در مواد تبلیغاتی، رسانه های اجتماعی یا سایر محتوای مرتبط با پادکست مدیریت کرد؟</v>
      </c>
      <c r="H9391" s="1"/>
      <c r="I9391" s="1"/>
      <c r="J9391" s="1"/>
      <c r="K9391" s="1"/>
      <c r="L9391" s="1"/>
      <c r="M9391" s="1"/>
      <c r="N9391" s="1"/>
      <c r="O9391" s="1"/>
      <c r="P9391" s="1"/>
      <c r="Q9391" s="1"/>
      <c r="R9391" s="1"/>
      <c r="S9391" s="1"/>
      <c r="T9391" s="1"/>
      <c r="U9391" s="1"/>
      <c r="V9391" s="1"/>
      <c r="W9391" s="1"/>
      <c r="X9391" s="1"/>
      <c r="Y9391" s="1"/>
      <c r="Z9391" s="1"/>
      <c r="AA9391" s="1"/>
      <c r="AB9391" s="1"/>
    </row>
    <row r="9392" ht="50.25" customHeight="1">
      <c r="A9392" s="12">
        <v>9388.0</v>
      </c>
      <c r="B9392" s="13" t="s">
        <v>8699</v>
      </c>
      <c r="C9392" s="18" t="s">
        <v>9418</v>
      </c>
      <c r="D9392" s="1"/>
      <c r="E9392" s="1"/>
      <c r="F9392" s="1" t="str">
        <f>IFERROR(__xludf.DUMMYFUNCTION("GOOGLETRANSLATE(B9392, ""en"", ""fa"")
"),"موفقیت در پادکست")</f>
        <v>موفقیت در پادکست</v>
      </c>
      <c r="G9392" s="1" t="str">
        <f>IFERROR(__xludf.DUMMYFUNCTION("GOOGLETRANSLATE(C9392, ""en"", ""fa"")
"),"راهبردهایی برای ارتقای تنوع و گنجاندن در فرآیند انتخاب مهمان برای اطمینان از طیف گسترده ای از دیدگاه ها و تجربیات در پادکست شما چیست؟")</f>
        <v>راهبردهایی برای ارتقای تنوع و گنجاندن در فرآیند انتخاب مهمان برای اطمینان از طیف گسترده ای از دیدگاه ها و تجربیات در پادکست شما چیست؟</v>
      </c>
      <c r="H9392" s="1"/>
      <c r="I9392" s="1"/>
      <c r="J9392" s="1"/>
      <c r="K9392" s="1"/>
      <c r="L9392" s="1"/>
      <c r="M9392" s="1"/>
      <c r="N9392" s="1"/>
      <c r="O9392" s="1"/>
      <c r="P9392" s="1"/>
      <c r="Q9392" s="1"/>
      <c r="R9392" s="1"/>
      <c r="S9392" s="1"/>
      <c r="T9392" s="1"/>
      <c r="U9392" s="1"/>
      <c r="V9392" s="1"/>
      <c r="W9392" s="1"/>
      <c r="X9392" s="1"/>
      <c r="Y9392" s="1"/>
      <c r="Z9392" s="1"/>
      <c r="AA9392" s="1"/>
      <c r="AB9392" s="1"/>
    </row>
    <row r="9393" ht="50.25" customHeight="1">
      <c r="A9393" s="12">
        <v>9389.0</v>
      </c>
      <c r="B9393" s="13" t="s">
        <v>8699</v>
      </c>
      <c r="C9393" s="18" t="s">
        <v>9419</v>
      </c>
      <c r="D9393" s="1"/>
      <c r="E9393" s="1"/>
      <c r="F9393" s="1" t="str">
        <f>IFERROR(__xludf.DUMMYFUNCTION("GOOGLETRANSLATE(B9393, ""en"", ""fa"")
"),"موفقیت در پادکست")</f>
        <v>موفقیت در پادکست</v>
      </c>
      <c r="G9393" s="1" t="str">
        <f>IFERROR(__xludf.DUMMYFUNCTION("GOOGLETRANSLATE(C9393, ""en"", ""fa"")
"),"چگونه می توان درگیری های احتمالی یا نظرات بحث برانگیز را در طول مصاحبه، حفظ یک مکالمه متعادل و محترمانه در حین پرداختن به موضوعات چالش برانگیز، هدایت کرد.")</f>
        <v>چگونه می توان درگیری های احتمالی یا نظرات بحث برانگیز را در طول مصاحبه، حفظ یک مکالمه متعادل و محترمانه در حین پرداختن به موضوعات چالش برانگیز، هدایت کرد.</v>
      </c>
      <c r="H9393" s="1"/>
      <c r="I9393" s="1"/>
      <c r="J9393" s="1"/>
      <c r="K9393" s="1"/>
      <c r="L9393" s="1"/>
      <c r="M9393" s="1"/>
      <c r="N9393" s="1"/>
      <c r="O9393" s="1"/>
      <c r="P9393" s="1"/>
      <c r="Q9393" s="1"/>
      <c r="R9393" s="1"/>
      <c r="S9393" s="1"/>
      <c r="T9393" s="1"/>
      <c r="U9393" s="1"/>
      <c r="V9393" s="1"/>
      <c r="W9393" s="1"/>
      <c r="X9393" s="1"/>
      <c r="Y9393" s="1"/>
      <c r="Z9393" s="1"/>
      <c r="AA9393" s="1"/>
      <c r="AB9393" s="1"/>
    </row>
    <row r="9394" ht="50.25" customHeight="1">
      <c r="A9394" s="12">
        <v>9390.0</v>
      </c>
      <c r="B9394" s="13" t="s">
        <v>8699</v>
      </c>
      <c r="C9394" s="18" t="s">
        <v>9420</v>
      </c>
      <c r="D9394" s="1"/>
      <c r="E9394" s="1"/>
      <c r="F9394" s="1" t="str">
        <f>IFERROR(__xludf.DUMMYFUNCTION("GOOGLETRANSLATE(B9394, ""en"", ""fa"")
"),"موفقیت در پادکست")</f>
        <v>موفقیت در پادکست</v>
      </c>
      <c r="G9394" s="1" t="str">
        <f>IFERROR(__xludf.DUMMYFUNCTION("GOOGLETRANSLATE(C9394, ""en"", ""fa"")
"),"چه تکنیک هایی برای ایجاد محیطی دلپذیر و فراگیر برای مهمانان وجود دارد تا اطمینان حاصل شود که آنها احساس راحتی می کنند تا افکار و تجربیات معتبر خود را به اشتراک بگذارند؟")</f>
        <v>چه تکنیک هایی برای ایجاد محیطی دلپذیر و فراگیر برای مهمانان وجود دارد تا اطمینان حاصل شود که آنها احساس راحتی می کنند تا افکار و تجربیات معتبر خود را به اشتراک بگذارند؟</v>
      </c>
      <c r="H9394" s="1"/>
      <c r="I9394" s="1"/>
      <c r="J9394" s="1"/>
      <c r="K9394" s="1"/>
      <c r="L9394" s="1"/>
      <c r="M9394" s="1"/>
      <c r="N9394" s="1"/>
      <c r="O9394" s="1"/>
      <c r="P9394" s="1"/>
      <c r="Q9394" s="1"/>
      <c r="R9394" s="1"/>
      <c r="S9394" s="1"/>
      <c r="T9394" s="1"/>
      <c r="U9394" s="1"/>
      <c r="V9394" s="1"/>
      <c r="W9394" s="1"/>
      <c r="X9394" s="1"/>
      <c r="Y9394" s="1"/>
      <c r="Z9394" s="1"/>
      <c r="AA9394" s="1"/>
      <c r="AB9394" s="1"/>
    </row>
    <row r="9395" ht="50.25" customHeight="1">
      <c r="A9395" s="12">
        <v>9391.0</v>
      </c>
      <c r="B9395" s="13" t="s">
        <v>8699</v>
      </c>
      <c r="C9395" s="18" t="s">
        <v>9421</v>
      </c>
      <c r="D9395" s="1"/>
      <c r="E9395" s="1"/>
      <c r="F9395" s="1" t="str">
        <f>IFERROR(__xludf.DUMMYFUNCTION("GOOGLETRANSLATE(B9395, ""en"", ""fa"")
"),"موفقیت در پادکست")</f>
        <v>موفقیت در پادکست</v>
      </c>
      <c r="G9395" s="1" t="str">
        <f>IFERROR(__xludf.DUMMYFUNCTION("GOOGLETRANSLATE(C9395, ""en"", ""fa"")
"),"نحوه همکاری موثر با تبلیغات، نمایندگان یا نمایندگان هنگام هماهنگی حضور مهمان و مدیریت کانال های ارتباطی.")</f>
        <v>نحوه همکاری موثر با تبلیغات، نمایندگان یا نمایندگان هنگام هماهنگی حضور مهمان و مدیریت کانال های ارتباطی.</v>
      </c>
      <c r="H9395" s="1"/>
      <c r="I9395" s="1"/>
      <c r="J9395" s="1"/>
      <c r="K9395" s="1"/>
      <c r="L9395" s="1"/>
      <c r="M9395" s="1"/>
      <c r="N9395" s="1"/>
      <c r="O9395" s="1"/>
      <c r="P9395" s="1"/>
      <c r="Q9395" s="1"/>
      <c r="R9395" s="1"/>
      <c r="S9395" s="1"/>
      <c r="T9395" s="1"/>
      <c r="U9395" s="1"/>
      <c r="V9395" s="1"/>
      <c r="W9395" s="1"/>
      <c r="X9395" s="1"/>
      <c r="Y9395" s="1"/>
      <c r="Z9395" s="1"/>
      <c r="AA9395" s="1"/>
      <c r="AB9395" s="1"/>
    </row>
    <row r="9396" ht="50.25" customHeight="1">
      <c r="A9396" s="12">
        <v>9392.0</v>
      </c>
      <c r="B9396" s="13" t="s">
        <v>8699</v>
      </c>
      <c r="C9396" s="18" t="s">
        <v>9422</v>
      </c>
      <c r="D9396" s="1"/>
      <c r="E9396" s="1"/>
      <c r="F9396" s="1" t="str">
        <f>IFERROR(__xludf.DUMMYFUNCTION("GOOGLETRANSLATE(B9396, ""en"", ""fa"")
"),"موفقیت در پادکست")</f>
        <v>موفقیت در پادکست</v>
      </c>
      <c r="G9396" s="1" t="str">
        <f>IFERROR(__xludf.DUMMYFUNCTION("GOOGLETRANSLATE(C9396, ""en"", ""fa"")
"),"راهبردهایی برای رسیدگی به چالش‌های غیرمنتظره یا مسائل فنی در طول مصاحبه مهمان برای به حداقل رساندن اختلال و اطمینان از فرآیند ضبط یکپارچه چیست؟")</f>
        <v>راهبردهایی برای رسیدگی به چالش‌های غیرمنتظره یا مسائل فنی در طول مصاحبه مهمان برای به حداقل رساندن اختلال و اطمینان از فرآیند ضبط یکپارچه چیست؟</v>
      </c>
      <c r="H9396" s="1"/>
      <c r="I9396" s="1"/>
      <c r="J9396" s="1"/>
      <c r="K9396" s="1"/>
      <c r="L9396" s="1"/>
      <c r="M9396" s="1"/>
      <c r="N9396" s="1"/>
      <c r="O9396" s="1"/>
      <c r="P9396" s="1"/>
      <c r="Q9396" s="1"/>
      <c r="R9396" s="1"/>
      <c r="S9396" s="1"/>
      <c r="T9396" s="1"/>
      <c r="U9396" s="1"/>
      <c r="V9396" s="1"/>
      <c r="W9396" s="1"/>
      <c r="X9396" s="1"/>
      <c r="Y9396" s="1"/>
      <c r="Z9396" s="1"/>
      <c r="AA9396" s="1"/>
      <c r="AB9396" s="1"/>
    </row>
    <row r="9397" ht="50.25" customHeight="1">
      <c r="A9397" s="12">
        <v>9393.0</v>
      </c>
      <c r="B9397" s="13" t="s">
        <v>8699</v>
      </c>
      <c r="C9397" s="18" t="s">
        <v>9423</v>
      </c>
      <c r="D9397" s="1"/>
      <c r="E9397" s="1"/>
      <c r="F9397" s="1" t="str">
        <f>IFERROR(__xludf.DUMMYFUNCTION("GOOGLETRANSLATE(B9397, ""en"", ""fa"")
"),"موفقیت در پادکست")</f>
        <v>موفقیت در پادکست</v>
      </c>
      <c r="G9397" s="1" t="str">
        <f>IFERROR(__xludf.DUMMYFUNCTION("GOOGLETRANSLATE(C9397, ""en"", ""fa"")
"),"چگونه می توان بازخورد و پیشنهادات مهمان را در بهبود مستمر فرمت مصاحبه پادکست، سبک و تجربه کلی مهمان گنجاند.")</f>
        <v>چگونه می توان بازخورد و پیشنهادات مهمان را در بهبود مستمر فرمت مصاحبه پادکست، سبک و تجربه کلی مهمان گنجاند.</v>
      </c>
      <c r="H9397" s="1"/>
      <c r="I9397" s="1"/>
      <c r="J9397" s="1"/>
      <c r="K9397" s="1"/>
      <c r="L9397" s="1"/>
      <c r="M9397" s="1"/>
      <c r="N9397" s="1"/>
      <c r="O9397" s="1"/>
      <c r="P9397" s="1"/>
      <c r="Q9397" s="1"/>
      <c r="R9397" s="1"/>
      <c r="S9397" s="1"/>
      <c r="T9397" s="1"/>
      <c r="U9397" s="1"/>
      <c r="V9397" s="1"/>
      <c r="W9397" s="1"/>
      <c r="X9397" s="1"/>
      <c r="Y9397" s="1"/>
      <c r="Z9397" s="1"/>
      <c r="AA9397" s="1"/>
      <c r="AB9397" s="1"/>
    </row>
    <row r="9398" ht="50.25" customHeight="1">
      <c r="A9398" s="12">
        <v>9394.0</v>
      </c>
      <c r="B9398" s="13" t="s">
        <v>8699</v>
      </c>
      <c r="C9398" s="18" t="s">
        <v>9424</v>
      </c>
      <c r="D9398" s="1"/>
      <c r="E9398" s="1"/>
      <c r="F9398" s="1" t="str">
        <f>IFERROR(__xludf.DUMMYFUNCTION("GOOGLETRANSLATE(B9398, ""en"", ""fa"")
"),"موفقیت در پادکست")</f>
        <v>موفقیت در پادکست</v>
      </c>
      <c r="G9398" s="1" t="str">
        <f>IFERROR(__xludf.DUMMYFUNCTION("GOOGLETRANSLATE(C9398, ""en"", ""fa"")
"),"تکنیک‌های ایجاد قسمت‌های مهمان محور، مانند بحث‌های میزگرد یا گفتگوهای میزگرد، برای تقویت تعاملات جذاب و پویا بین مهمانان چیست؟")</f>
        <v>تکنیک‌های ایجاد قسمت‌های مهمان محور، مانند بحث‌های میزگرد یا گفتگوهای میزگرد، برای تقویت تعاملات جذاب و پویا بین مهمانان چیست؟</v>
      </c>
      <c r="H9398" s="1"/>
      <c r="I9398" s="1"/>
      <c r="J9398" s="1"/>
      <c r="K9398" s="1"/>
      <c r="L9398" s="1"/>
      <c r="M9398" s="1"/>
      <c r="N9398" s="1"/>
      <c r="O9398" s="1"/>
      <c r="P9398" s="1"/>
      <c r="Q9398" s="1"/>
      <c r="R9398" s="1"/>
      <c r="S9398" s="1"/>
      <c r="T9398" s="1"/>
      <c r="U9398" s="1"/>
      <c r="V9398" s="1"/>
      <c r="W9398" s="1"/>
      <c r="X9398" s="1"/>
      <c r="Y9398" s="1"/>
      <c r="Z9398" s="1"/>
      <c r="AA9398" s="1"/>
      <c r="AB9398" s="1"/>
    </row>
    <row r="9399" ht="50.25" customHeight="1">
      <c r="A9399" s="12">
        <v>9395.0</v>
      </c>
      <c r="B9399" s="13" t="s">
        <v>8699</v>
      </c>
      <c r="C9399" s="18" t="s">
        <v>9425</v>
      </c>
      <c r="D9399" s="1"/>
      <c r="E9399" s="1"/>
      <c r="F9399" s="1" t="str">
        <f>IFERROR(__xludf.DUMMYFUNCTION("GOOGLETRANSLATE(B9399, ""en"", ""fa"")
"),"موفقیت در پادکست")</f>
        <v>موفقیت در پادکست</v>
      </c>
      <c r="G9399" s="1" t="str">
        <f>IFERROR(__xludf.DUMMYFUNCTION("GOOGLETRANSLATE(C9399, ""en"", ""fa"")
"),"چگونه می‌توانید دستورالعمل‌هایی برای افشای هرگونه تضاد منافع یا وابستگی‌های احتمالی که مهمانانتان ممکن است داشته باشند، با حفظ شفافیت و یکپارچگی در محتوای پادکست خود ایجاد کنید.")</f>
        <v>چگونه می‌توانید دستورالعمل‌هایی برای افشای هرگونه تضاد منافع یا وابستگی‌های احتمالی که مهمانانتان ممکن است داشته باشند، با حفظ شفافیت و یکپارچگی در محتوای پادکست خود ایجاد کنید.</v>
      </c>
      <c r="H9399" s="1"/>
      <c r="I9399" s="1"/>
      <c r="J9399" s="1"/>
      <c r="K9399" s="1"/>
      <c r="L9399" s="1"/>
      <c r="M9399" s="1"/>
      <c r="N9399" s="1"/>
      <c r="O9399" s="1"/>
      <c r="P9399" s="1"/>
      <c r="Q9399" s="1"/>
      <c r="R9399" s="1"/>
      <c r="S9399" s="1"/>
      <c r="T9399" s="1"/>
      <c r="U9399" s="1"/>
      <c r="V9399" s="1"/>
      <c r="W9399" s="1"/>
      <c r="X9399" s="1"/>
      <c r="Y9399" s="1"/>
      <c r="Z9399" s="1"/>
      <c r="AA9399" s="1"/>
      <c r="AB9399" s="1"/>
    </row>
    <row r="9400" ht="50.25" customHeight="1">
      <c r="A9400" s="12">
        <v>9396.0</v>
      </c>
      <c r="B9400" s="13" t="s">
        <v>8699</v>
      </c>
      <c r="C9400" s="18" t="s">
        <v>9426</v>
      </c>
      <c r="D9400" s="1"/>
      <c r="E9400" s="1"/>
      <c r="F9400" s="1" t="str">
        <f>IFERROR(__xludf.DUMMYFUNCTION("GOOGLETRANSLATE(B9400, ""en"", ""fa"")
"),"موفقیت در پادکست")</f>
        <v>موفقیت در پادکست</v>
      </c>
      <c r="G9400" s="1" t="str">
        <f>IFERROR(__xludf.DUMMYFUNCTION("GOOGLETRANSLATE(C9400, ""en"", ""fa"")
"),"چه راهکارهایی برای معرفی مهمانان آینده یا صداهای نوظهور در صنعت یا جایگاه شما وجود دارد تا دیدگاه های تازه و معرفی استعدادهای جدید را به مخاطبان خود ارائه دهید؟")</f>
        <v>چه راهکارهایی برای معرفی مهمانان آینده یا صداهای نوظهور در صنعت یا جایگاه شما وجود دارد تا دیدگاه های تازه و معرفی استعدادهای جدید را به مخاطبان خود ارائه دهید؟</v>
      </c>
      <c r="H9400" s="1"/>
      <c r="I9400" s="1"/>
      <c r="J9400" s="1"/>
      <c r="K9400" s="1"/>
      <c r="L9400" s="1"/>
      <c r="M9400" s="1"/>
      <c r="N9400" s="1"/>
      <c r="O9400" s="1"/>
      <c r="P9400" s="1"/>
      <c r="Q9400" s="1"/>
      <c r="R9400" s="1"/>
      <c r="S9400" s="1"/>
      <c r="T9400" s="1"/>
      <c r="U9400" s="1"/>
      <c r="V9400" s="1"/>
      <c r="W9400" s="1"/>
      <c r="X9400" s="1"/>
      <c r="Y9400" s="1"/>
      <c r="Z9400" s="1"/>
      <c r="AA9400" s="1"/>
      <c r="AB9400" s="1"/>
    </row>
    <row r="9401" ht="50.25" customHeight="1">
      <c r="A9401" s="12">
        <v>9397.0</v>
      </c>
      <c r="B9401" s="13" t="s">
        <v>8699</v>
      </c>
      <c r="C9401" s="18" t="s">
        <v>9427</v>
      </c>
      <c r="D9401" s="1"/>
      <c r="E9401" s="1"/>
      <c r="F9401" s="1" t="str">
        <f>IFERROR(__xludf.DUMMYFUNCTION("GOOGLETRANSLATE(B9401, ""en"", ""fa"")
"),"موفقیت در پادکست")</f>
        <v>موفقیت در پادکست</v>
      </c>
      <c r="G9401" s="1" t="str">
        <f>IFERROR(__xludf.DUMMYFUNCTION("GOOGLETRANSLATE(C9401, ""en"", ""fa"")
"),"نحوه رسیدگی به درخواست‌های ویرایش یا اصلاح محتوا از مهمانان پس از انتشار قسمت، تضمین تعادل بین رضایت مهمان و حفظ یکپارچگی پادکست شما.")</f>
        <v>نحوه رسیدگی به درخواست‌های ویرایش یا اصلاح محتوا از مهمانان پس از انتشار قسمت، تضمین تعادل بین رضایت مهمان و حفظ یکپارچگی پادکست شما.</v>
      </c>
      <c r="H9401" s="1"/>
      <c r="I9401" s="1"/>
      <c r="J9401" s="1"/>
      <c r="K9401" s="1"/>
      <c r="L9401" s="1"/>
      <c r="M9401" s="1"/>
      <c r="N9401" s="1"/>
      <c r="O9401" s="1"/>
      <c r="P9401" s="1"/>
      <c r="Q9401" s="1"/>
      <c r="R9401" s="1"/>
      <c r="S9401" s="1"/>
      <c r="T9401" s="1"/>
      <c r="U9401" s="1"/>
      <c r="V9401" s="1"/>
      <c r="W9401" s="1"/>
      <c r="X9401" s="1"/>
      <c r="Y9401" s="1"/>
      <c r="Z9401" s="1"/>
      <c r="AA9401" s="1"/>
      <c r="AB9401" s="1"/>
    </row>
    <row r="9402" ht="50.25" customHeight="1">
      <c r="A9402" s="12">
        <v>9398.0</v>
      </c>
      <c r="B9402" s="13" t="s">
        <v>8699</v>
      </c>
      <c r="C9402" s="18" t="s">
        <v>9428</v>
      </c>
      <c r="D9402" s="1"/>
      <c r="E9402" s="1"/>
      <c r="F9402" s="1" t="str">
        <f>IFERROR(__xludf.DUMMYFUNCTION("GOOGLETRANSLATE(B9402, ""en"", ""fa"")
"),"موفقیت در پادکست")</f>
        <v>موفقیت در پادکست</v>
      </c>
      <c r="G9402" s="1" t="str">
        <f>IFERROR(__xludf.DUMMYFUNCTION("GOOGLETRANSLATE(C9402, ""en"", ""fa"")
"),"تکنیک‌هایی برای ایجاد مشارکت‌های سودمند متقابل با متخصصان مهمان، تأثیرگذاران یا رهبران فکری صنعت برای گسترش دامنه و تأثیر پادکست شما چیست.")</f>
        <v>تکنیک‌هایی برای ایجاد مشارکت‌های سودمند متقابل با متخصصان مهمان، تأثیرگذاران یا رهبران فکری صنعت برای گسترش دامنه و تأثیر پادکست شما چیست.</v>
      </c>
      <c r="H9402" s="1"/>
      <c r="I9402" s="1"/>
      <c r="J9402" s="1"/>
      <c r="K9402" s="1"/>
      <c r="L9402" s="1"/>
      <c r="M9402" s="1"/>
      <c r="N9402" s="1"/>
      <c r="O9402" s="1"/>
      <c r="P9402" s="1"/>
      <c r="Q9402" s="1"/>
      <c r="R9402" s="1"/>
      <c r="S9402" s="1"/>
      <c r="T9402" s="1"/>
      <c r="U9402" s="1"/>
      <c r="V9402" s="1"/>
      <c r="W9402" s="1"/>
      <c r="X9402" s="1"/>
      <c r="Y9402" s="1"/>
      <c r="Z9402" s="1"/>
      <c r="AA9402" s="1"/>
      <c r="AB9402" s="1"/>
    </row>
    <row r="9403" ht="50.25" customHeight="1">
      <c r="A9403" s="12">
        <v>9399.0</v>
      </c>
      <c r="B9403" s="13" t="s">
        <v>8699</v>
      </c>
      <c r="C9403" s="18" t="s">
        <v>9429</v>
      </c>
      <c r="D9403" s="1"/>
      <c r="E9403" s="1"/>
      <c r="F9403" s="1" t="str">
        <f>IFERROR(__xludf.DUMMYFUNCTION("GOOGLETRANSLATE(B9403, ""en"", ""fa"")
"),"موفقیت در پادکست")</f>
        <v>موفقیت در پادکست</v>
      </c>
      <c r="G9403" s="1" t="str">
        <f>IFERROR(__xludf.DUMMYFUNCTION("GOOGLETRANSLATE(C9403, ""en"", ""fa"")
"),"چگونه می توان به طور مؤثر ارزش پیشنهادی پادکست و جمعیت شناسی مخاطبان را به مهمانان احتمالی منتقل کرد و مزایای حضور در برنامه خود را به نمایش گذاشت.")</f>
        <v>چگونه می توان به طور مؤثر ارزش پیشنهادی پادکست و جمعیت شناسی مخاطبان را به مهمانان احتمالی منتقل کرد و مزایای حضور در برنامه خود را به نمایش گذاشت.</v>
      </c>
      <c r="H9403" s="1"/>
      <c r="I9403" s="1"/>
      <c r="J9403" s="1"/>
      <c r="K9403" s="1"/>
      <c r="L9403" s="1"/>
      <c r="M9403" s="1"/>
      <c r="N9403" s="1"/>
      <c r="O9403" s="1"/>
      <c r="P9403" s="1"/>
      <c r="Q9403" s="1"/>
      <c r="R9403" s="1"/>
      <c r="S9403" s="1"/>
      <c r="T9403" s="1"/>
      <c r="U9403" s="1"/>
      <c r="V9403" s="1"/>
      <c r="W9403" s="1"/>
      <c r="X9403" s="1"/>
      <c r="Y9403" s="1"/>
      <c r="Z9403" s="1"/>
      <c r="AA9403" s="1"/>
      <c r="AB9403" s="1"/>
    </row>
    <row r="9404" ht="50.25" customHeight="1">
      <c r="A9404" s="12">
        <v>9400.0</v>
      </c>
      <c r="B9404" s="13" t="s">
        <v>8699</v>
      </c>
      <c r="C9404" s="18" t="s">
        <v>9430</v>
      </c>
      <c r="D9404" s="1"/>
      <c r="E9404" s="1"/>
      <c r="F9404" s="1" t="str">
        <f>IFERROR(__xludf.DUMMYFUNCTION("GOOGLETRANSLATE(B9404, ""en"", ""fa"")
"),"موفقیت در پادکست")</f>
        <v>موفقیت در پادکست</v>
      </c>
      <c r="G9404" s="1" t="str">
        <f>IFERROR(__xludf.DUMMYFUNCTION("GOOGLETRANSLATE(C9404, ""en"", ""fa"")
"),"استراتژی‌هایی برای تبلیغ قسمت‌های مهمان در پلتفرم‌ها و کانال‌های مختلف، از جمله رسانه‌های اجتماعی، خبرنامه‌ها و سایر فهرست‌ها یا شبکه‌های پادکست چیست؟")</f>
        <v>استراتژی‌هایی برای تبلیغ قسمت‌های مهمان در پلتفرم‌ها و کانال‌های مختلف، از جمله رسانه‌های اجتماعی، خبرنامه‌ها و سایر فهرست‌ها یا شبکه‌های پادکست چیست؟</v>
      </c>
      <c r="H9404" s="1"/>
      <c r="I9404" s="1"/>
      <c r="J9404" s="1"/>
      <c r="K9404" s="1"/>
      <c r="L9404" s="1"/>
      <c r="M9404" s="1"/>
      <c r="N9404" s="1"/>
      <c r="O9404" s="1"/>
      <c r="P9404" s="1"/>
      <c r="Q9404" s="1"/>
      <c r="R9404" s="1"/>
      <c r="S9404" s="1"/>
      <c r="T9404" s="1"/>
      <c r="U9404" s="1"/>
      <c r="V9404" s="1"/>
      <c r="W9404" s="1"/>
      <c r="X9404" s="1"/>
      <c r="Y9404" s="1"/>
      <c r="Z9404" s="1"/>
      <c r="AA9404" s="1"/>
      <c r="AB9404" s="1"/>
    </row>
    <row r="9405" ht="50.25" customHeight="1">
      <c r="A9405" s="12">
        <v>9401.0</v>
      </c>
      <c r="B9405" s="13" t="s">
        <v>8699</v>
      </c>
      <c r="C9405" s="18" t="s">
        <v>9431</v>
      </c>
      <c r="D9405" s="1"/>
      <c r="E9405" s="1"/>
      <c r="F9405" s="1" t="str">
        <f>IFERROR(__xludf.DUMMYFUNCTION("GOOGLETRANSLATE(B9405, ""en"", ""fa"")
"),"موفقیت در پادکست")</f>
        <v>موفقیت در پادکست</v>
      </c>
      <c r="G9405" s="1" t="str">
        <f>IFERROR(__xludf.DUMMYFUNCTION("GOOGLETRANSLATE(C9405, ""en"", ""fa"")
"),"نحوه مدیریت همکاری‌ها یا مشارکت‌های پس از مصاحبه با مهمانان، مانند ایجاد محتوای مشترک، فرصت‌های میزبانی مشترک، یا طرح‌های تبلیغاتی متقابل.")</f>
        <v>نحوه مدیریت همکاری‌ها یا مشارکت‌های پس از مصاحبه با مهمانان، مانند ایجاد محتوای مشترک، فرصت‌های میزبانی مشترک، یا طرح‌های تبلیغاتی متقابل.</v>
      </c>
      <c r="H9405" s="1"/>
      <c r="I9405" s="1"/>
      <c r="J9405" s="1"/>
      <c r="K9405" s="1"/>
      <c r="L9405" s="1"/>
      <c r="M9405" s="1"/>
      <c r="N9405" s="1"/>
      <c r="O9405" s="1"/>
      <c r="P9405" s="1"/>
      <c r="Q9405" s="1"/>
      <c r="R9405" s="1"/>
      <c r="S9405" s="1"/>
      <c r="T9405" s="1"/>
      <c r="U9405" s="1"/>
      <c r="V9405" s="1"/>
      <c r="W9405" s="1"/>
      <c r="X9405" s="1"/>
      <c r="Y9405" s="1"/>
      <c r="Z9405" s="1"/>
      <c r="AA9405" s="1"/>
      <c r="AB9405" s="1"/>
    </row>
    <row r="9406" ht="50.25" customHeight="1">
      <c r="A9406" s="12">
        <v>9402.0</v>
      </c>
      <c r="B9406" s="13" t="s">
        <v>8699</v>
      </c>
      <c r="C9406" s="18" t="s">
        <v>9432</v>
      </c>
      <c r="D9406" s="1"/>
      <c r="E9406" s="1"/>
      <c r="F9406" s="1" t="str">
        <f>IFERROR(__xludf.DUMMYFUNCTION("GOOGLETRANSLATE(B9406, ""en"", ""fa"")
"),"موفقیت در پادکست")</f>
        <v>موفقیت در پادکست</v>
      </c>
      <c r="G9406" s="1" t="str">
        <f>IFERROR(__xludf.DUMMYFUNCTION("GOOGLETRANSLATE(C9406, ""en"", ""fa"")
"),"تکنیک‌هایی برای ترکیب سؤالات یا بازخورد شنوندگان در طول مصاحبه با مهمان برای تقویت تعامل و ایجاد یک تجربه شنیداری تعاملی‌تر و فراگیرتر چیست؟")</f>
        <v>تکنیک‌هایی برای ترکیب سؤالات یا بازخورد شنوندگان در طول مصاحبه با مهمان برای تقویت تعامل و ایجاد یک تجربه شنیداری تعاملی‌تر و فراگیرتر چیست؟</v>
      </c>
      <c r="H9406" s="1"/>
      <c r="I9406" s="1"/>
      <c r="J9406" s="1"/>
      <c r="K9406" s="1"/>
      <c r="L9406" s="1"/>
      <c r="M9406" s="1"/>
      <c r="N9406" s="1"/>
      <c r="O9406" s="1"/>
      <c r="P9406" s="1"/>
      <c r="Q9406" s="1"/>
      <c r="R9406" s="1"/>
      <c r="S9406" s="1"/>
      <c r="T9406" s="1"/>
      <c r="U9406" s="1"/>
      <c r="V9406" s="1"/>
      <c r="W9406" s="1"/>
      <c r="X9406" s="1"/>
      <c r="Y9406" s="1"/>
      <c r="Z9406" s="1"/>
      <c r="AA9406" s="1"/>
      <c r="AB9406" s="1"/>
    </row>
    <row r="9407" ht="50.25" customHeight="1">
      <c r="A9407" s="12">
        <v>9403.0</v>
      </c>
      <c r="B9407" s="13" t="s">
        <v>8699</v>
      </c>
      <c r="C9407" s="18" t="s">
        <v>9433</v>
      </c>
      <c r="D9407" s="1"/>
      <c r="E9407" s="1"/>
      <c r="F9407" s="1" t="str">
        <f>IFERROR(__xludf.DUMMYFUNCTION("GOOGLETRANSLATE(B9407, ""en"", ""fa"")
"),"موفقیت در پادکست")</f>
        <v>موفقیت در پادکست</v>
      </c>
      <c r="G9407" s="1" t="str">
        <f>IFERROR(__xludf.DUMMYFUNCTION("GOOGLETRANSLATE(C9407, ""en"", ""fa"")
"),"چگونه می توان روابط بلندمدت با مهمانان را فراتر از ظاهر اولیه آنها پرورش داد، فرصت های همکاری مداوم را پرورش داد و شبکه ای قوی از ارتباطات صنعتی را حفظ کرد.")</f>
        <v>چگونه می توان روابط بلندمدت با مهمانان را فراتر از ظاهر اولیه آنها پرورش داد، فرصت های همکاری مداوم را پرورش داد و شبکه ای قوی از ارتباطات صنعتی را حفظ کرد.</v>
      </c>
      <c r="H9407" s="1"/>
      <c r="I9407" s="1"/>
      <c r="J9407" s="1"/>
      <c r="K9407" s="1"/>
      <c r="L9407" s="1"/>
      <c r="M9407" s="1"/>
      <c r="N9407" s="1"/>
      <c r="O9407" s="1"/>
      <c r="P9407" s="1"/>
      <c r="Q9407" s="1"/>
      <c r="R9407" s="1"/>
      <c r="S9407" s="1"/>
      <c r="T9407" s="1"/>
      <c r="U9407" s="1"/>
      <c r="V9407" s="1"/>
      <c r="W9407" s="1"/>
      <c r="X9407" s="1"/>
      <c r="Y9407" s="1"/>
      <c r="Z9407" s="1"/>
      <c r="AA9407" s="1"/>
      <c r="AB9407" s="1"/>
    </row>
    <row r="9408" ht="50.25" customHeight="1">
      <c r="A9408" s="12">
        <v>9404.0</v>
      </c>
      <c r="B9408" s="13" t="s">
        <v>8699</v>
      </c>
      <c r="C9408" s="18" t="s">
        <v>9434</v>
      </c>
      <c r="D9408" s="1"/>
      <c r="E9408" s="1"/>
      <c r="F9408" s="1" t="str">
        <f>IFERROR(__xludf.DUMMYFUNCTION("GOOGLETRANSLATE(B9408, ""en"", ""fa"")
"),"موفقیت در پادکست")</f>
        <v>موفقیت در پادکست</v>
      </c>
      <c r="G9408" s="1" t="str">
        <f>IFERROR(__xludf.DUMMYFUNCTION("GOOGLETRANSLATE(C9408, ""en"", ""fa"")
"),"استراتژی‌هایی برای گسترش و تنوع مستمر استخر مهمان‌تان، تماس با متخصصان جدید و متفاوت برای ارائه یک تجربه پادکست غنی و متنوع برای مخاطبان چیست.")</f>
        <v>استراتژی‌هایی برای گسترش و تنوع مستمر استخر مهمان‌تان، تماس با متخصصان جدید و متفاوت برای ارائه یک تجربه پادکست غنی و متنوع برای مخاطبان چیست.</v>
      </c>
      <c r="H9408" s="1"/>
      <c r="I9408" s="1"/>
      <c r="J9408" s="1"/>
      <c r="K9408" s="1"/>
      <c r="L9408" s="1"/>
      <c r="M9408" s="1"/>
      <c r="N9408" s="1"/>
      <c r="O9408" s="1"/>
      <c r="P9408" s="1"/>
      <c r="Q9408" s="1"/>
      <c r="R9408" s="1"/>
      <c r="S9408" s="1"/>
      <c r="T9408" s="1"/>
      <c r="U9408" s="1"/>
      <c r="V9408" s="1"/>
      <c r="W9408" s="1"/>
      <c r="X9408" s="1"/>
      <c r="Y9408" s="1"/>
      <c r="Z9408" s="1"/>
      <c r="AA9408" s="1"/>
      <c r="AB9408" s="1"/>
    </row>
    <row r="9409" ht="50.25" customHeight="1">
      <c r="A9409" s="12">
        <v>9405.0</v>
      </c>
      <c r="B9409" s="13" t="s">
        <v>8699</v>
      </c>
      <c r="C9409" s="18" t="s">
        <v>9435</v>
      </c>
      <c r="D9409" s="1"/>
      <c r="E9409" s="1"/>
      <c r="F9409" s="1" t="str">
        <f>IFERROR(__xludf.DUMMYFUNCTION("GOOGLETRANSLATE(B9409, ""en"", ""fa"")
"),"موفقیت در پادکست")</f>
        <v>موفقیت در پادکست</v>
      </c>
      <c r="G9409" s="1" t="str">
        <f>IFERROR(__xludf.DUMMYFUNCTION("GOOGLETRANSLATE(C9409, ""en"", ""fa"")
"),"چگونه می توان همکاران یا شبکه های پادکست بالقوه ای را شناسایی کرد و به آنها نزدیک شد که با جایگاه و اهداف پادکست شما همسو هستند؟")</f>
        <v>چگونه می توان همکاران یا شبکه های پادکست بالقوه ای را شناسایی کرد و به آنها نزدیک شد که با جایگاه و اهداف پادکست شما همسو هستند؟</v>
      </c>
      <c r="H9409" s="1"/>
      <c r="I9409" s="1"/>
      <c r="J9409" s="1"/>
      <c r="K9409" s="1"/>
      <c r="L9409" s="1"/>
      <c r="M9409" s="1"/>
      <c r="N9409" s="1"/>
      <c r="O9409" s="1"/>
      <c r="P9409" s="1"/>
      <c r="Q9409" s="1"/>
      <c r="R9409" s="1"/>
      <c r="S9409" s="1"/>
      <c r="T9409" s="1"/>
      <c r="U9409" s="1"/>
      <c r="V9409" s="1"/>
      <c r="W9409" s="1"/>
      <c r="X9409" s="1"/>
      <c r="Y9409" s="1"/>
      <c r="Z9409" s="1"/>
      <c r="AA9409" s="1"/>
      <c r="AB9409" s="1"/>
    </row>
    <row r="9410" ht="50.25" customHeight="1">
      <c r="A9410" s="12">
        <v>9406.0</v>
      </c>
      <c r="B9410" s="13" t="s">
        <v>8699</v>
      </c>
      <c r="C9410" s="18" t="s">
        <v>9436</v>
      </c>
      <c r="D9410" s="1"/>
      <c r="E9410" s="1"/>
      <c r="F9410" s="1" t="str">
        <f>IFERROR(__xludf.DUMMYFUNCTION("GOOGLETRANSLATE(B9410, ""en"", ""fa"")
"),"موفقیت در پادکست")</f>
        <v>موفقیت در پادکست</v>
      </c>
      <c r="G9410" s="1" t="str">
        <f>IFERROR(__xludf.DUMMYFUNCTION("GOOGLETRANSLATE(C9410, ""en"", ""fa"")
"),"استراتژی‌هایی برای استفاده از پلتفرم‌های رسانه‌های اجتماعی برای ارتباط و شبکه با سایر پادکست‌ها، تأثیرگذاران و کارشناسان صنعت چیست؟")</f>
        <v>استراتژی‌هایی برای استفاده از پلتفرم‌های رسانه‌های اجتماعی برای ارتباط و شبکه با سایر پادکست‌ها، تأثیرگذاران و کارشناسان صنعت چیست؟</v>
      </c>
      <c r="H9410" s="1"/>
      <c r="I9410" s="1"/>
      <c r="J9410" s="1"/>
      <c r="K9410" s="1"/>
      <c r="L9410" s="1"/>
      <c r="M9410" s="1"/>
      <c r="N9410" s="1"/>
      <c r="O9410" s="1"/>
      <c r="P9410" s="1"/>
      <c r="Q9410" s="1"/>
      <c r="R9410" s="1"/>
      <c r="S9410" s="1"/>
      <c r="T9410" s="1"/>
      <c r="U9410" s="1"/>
      <c r="V9410" s="1"/>
      <c r="W9410" s="1"/>
      <c r="X9410" s="1"/>
      <c r="Y9410" s="1"/>
      <c r="Z9410" s="1"/>
      <c r="AA9410" s="1"/>
      <c r="AB9410" s="1"/>
    </row>
    <row r="9411" ht="50.25" customHeight="1">
      <c r="A9411" s="12">
        <v>9407.0</v>
      </c>
      <c r="B9411" s="13" t="s">
        <v>8699</v>
      </c>
      <c r="C9411" s="18" t="s">
        <v>9437</v>
      </c>
      <c r="D9411" s="1"/>
      <c r="E9411" s="1"/>
      <c r="F9411" s="1" t="str">
        <f>IFERROR(__xludf.DUMMYFUNCTION("GOOGLETRANSLATE(B9411, ""en"", ""fa"")
"),"موفقیت در پادکست")</f>
        <v>موفقیت در پادکست</v>
      </c>
      <c r="G9411" s="1" t="str">
        <f>IFERROR(__xludf.DUMMYFUNCTION("GOOGLETRANSLATE(C9411, ""en"", ""fa"")
"),"چگونه به طور موثر ایده های همکاری یا حضور مهمان را به سایر پادکست ها یا متخصصان صنعت ارائه کنید تا شبکه خود را گسترش دهید و به مخاطبان جدید دسترسی پیدا کنید؟")</f>
        <v>چگونه به طور موثر ایده های همکاری یا حضور مهمان را به سایر پادکست ها یا متخصصان صنعت ارائه کنید تا شبکه خود را گسترش دهید و به مخاطبان جدید دسترسی پیدا کنید؟</v>
      </c>
      <c r="H9411" s="1"/>
      <c r="I9411" s="1"/>
      <c r="J9411" s="1"/>
      <c r="K9411" s="1"/>
      <c r="L9411" s="1"/>
      <c r="M9411" s="1"/>
      <c r="N9411" s="1"/>
      <c r="O9411" s="1"/>
      <c r="P9411" s="1"/>
      <c r="Q9411" s="1"/>
      <c r="R9411" s="1"/>
      <c r="S9411" s="1"/>
      <c r="T9411" s="1"/>
      <c r="U9411" s="1"/>
      <c r="V9411" s="1"/>
      <c r="W9411" s="1"/>
      <c r="X9411" s="1"/>
      <c r="Y9411" s="1"/>
      <c r="Z9411" s="1"/>
      <c r="AA9411" s="1"/>
      <c r="AB9411" s="1"/>
    </row>
    <row r="9412" ht="50.25" customHeight="1">
      <c r="A9412" s="12">
        <v>9408.0</v>
      </c>
      <c r="B9412" s="13" t="s">
        <v>8699</v>
      </c>
      <c r="C9412" s="18" t="s">
        <v>9438</v>
      </c>
      <c r="D9412" s="1"/>
      <c r="E9412" s="1"/>
      <c r="F9412" s="1" t="str">
        <f>IFERROR(__xludf.DUMMYFUNCTION("GOOGLETRANSLATE(B9412, ""en"", ""fa"")
"),"موفقیت در پادکست")</f>
        <v>موفقیت در پادکست</v>
      </c>
      <c r="G9412" s="1" t="str">
        <f>IFERROR(__xludf.DUMMYFUNCTION("GOOGLETRANSLATE(C9412, ""en"", ""fa"")
"),"تکنیک‌های شرکت در کنفرانس‌ها، رویدادها یا جلسات صنعتی برای برقراری ارتباط با پادکست‌های دیگر و ایجاد روابط حرفه‌ای چیست؟")</f>
        <v>تکنیک‌های شرکت در کنفرانس‌ها، رویدادها یا جلسات صنعتی برای برقراری ارتباط با پادکست‌های دیگر و ایجاد روابط حرفه‌ای چیست؟</v>
      </c>
      <c r="H9412" s="1"/>
      <c r="I9412" s="1"/>
      <c r="J9412" s="1"/>
      <c r="K9412" s="1"/>
      <c r="L9412" s="1"/>
      <c r="M9412" s="1"/>
      <c r="N9412" s="1"/>
      <c r="O9412" s="1"/>
      <c r="P9412" s="1"/>
      <c r="Q9412" s="1"/>
      <c r="R9412" s="1"/>
      <c r="S9412" s="1"/>
      <c r="T9412" s="1"/>
      <c r="U9412" s="1"/>
      <c r="V9412" s="1"/>
      <c r="W9412" s="1"/>
      <c r="X9412" s="1"/>
      <c r="Y9412" s="1"/>
      <c r="Z9412" s="1"/>
      <c r="AA9412" s="1"/>
      <c r="AB9412" s="1"/>
    </row>
    <row r="9413" ht="50.25" customHeight="1">
      <c r="A9413" s="12">
        <v>9409.0</v>
      </c>
      <c r="B9413" s="13" t="s">
        <v>8699</v>
      </c>
      <c r="C9413" s="18" t="s">
        <v>9439</v>
      </c>
      <c r="D9413" s="1"/>
      <c r="E9413" s="1"/>
      <c r="F9413" s="1" t="str">
        <f>IFERROR(__xludf.DUMMYFUNCTION("GOOGLETRANSLATE(B9413, ""en"", ""fa"")
"),"موفقیت در پادکست")</f>
        <v>موفقیت در پادکست</v>
      </c>
      <c r="G9413" s="1" t="str">
        <f>IFERROR(__xludf.DUMMYFUNCTION("GOOGLETRANSLATE(C9413, ""en"", ""fa"")
"),"چگونه با پادکست‌ها یا برندهای مکمل، مشارکت‌های سودمند دوجانبه ایجاد کنیم تا محتوای یکدیگر را تبلیغ کنیم و دامنه مخاطبان خود را گسترش دهیم؟")</f>
        <v>چگونه با پادکست‌ها یا برندهای مکمل، مشارکت‌های سودمند دوجانبه ایجاد کنیم تا محتوای یکدیگر را تبلیغ کنیم و دامنه مخاطبان خود را گسترش دهیم؟</v>
      </c>
      <c r="H9413" s="1"/>
      <c r="I9413" s="1"/>
      <c r="J9413" s="1"/>
      <c r="K9413" s="1"/>
      <c r="L9413" s="1"/>
      <c r="M9413" s="1"/>
      <c r="N9413" s="1"/>
      <c r="O9413" s="1"/>
      <c r="P9413" s="1"/>
      <c r="Q9413" s="1"/>
      <c r="R9413" s="1"/>
      <c r="S9413" s="1"/>
      <c r="T9413" s="1"/>
      <c r="U9413" s="1"/>
      <c r="V9413" s="1"/>
      <c r="W9413" s="1"/>
      <c r="X9413" s="1"/>
      <c r="Y9413" s="1"/>
      <c r="Z9413" s="1"/>
      <c r="AA9413" s="1"/>
      <c r="AB9413" s="1"/>
    </row>
    <row r="9414" ht="50.25" customHeight="1">
      <c r="A9414" s="12">
        <v>9410.0</v>
      </c>
      <c r="B9414" s="13" t="s">
        <v>8699</v>
      </c>
      <c r="C9414" s="18" t="s">
        <v>9440</v>
      </c>
      <c r="D9414" s="1"/>
      <c r="E9414" s="1"/>
      <c r="F9414" s="1" t="str">
        <f>IFERROR(__xludf.DUMMYFUNCTION("GOOGLETRANSLATE(B9414, ""en"", ""fa"")
"),"موفقیت در پادکست")</f>
        <v>موفقیت در پادکست</v>
      </c>
      <c r="G9414" s="1" t="str">
        <f>IFERROR(__xludf.DUMMYFUNCTION("GOOGLETRANSLATE(C9414, ""en"", ""fa"")
"),"راهبردهای میزبانی اپیزودهای مشترک یا بحث های پنل با کارشناسان مهمان یا پادکست ها برای ارائه دیدگاه های منحصر به فرد و متنوع برای مخاطبان چیست؟")</f>
        <v>راهبردهای میزبانی اپیزودهای مشترک یا بحث های پنل با کارشناسان مهمان یا پادکست ها برای ارائه دیدگاه های منحصر به فرد و متنوع برای مخاطبان چیست؟</v>
      </c>
      <c r="H9414" s="1"/>
      <c r="I9414" s="1"/>
      <c r="J9414" s="1"/>
      <c r="K9414" s="1"/>
      <c r="L9414" s="1"/>
      <c r="M9414" s="1"/>
      <c r="N9414" s="1"/>
      <c r="O9414" s="1"/>
      <c r="P9414" s="1"/>
      <c r="Q9414" s="1"/>
      <c r="R9414" s="1"/>
      <c r="S9414" s="1"/>
      <c r="T9414" s="1"/>
      <c r="U9414" s="1"/>
      <c r="V9414" s="1"/>
      <c r="W9414" s="1"/>
      <c r="X9414" s="1"/>
      <c r="Y9414" s="1"/>
      <c r="Z9414" s="1"/>
      <c r="AA9414" s="1"/>
      <c r="AB9414" s="1"/>
    </row>
    <row r="9415" ht="50.25" customHeight="1">
      <c r="A9415" s="12">
        <v>9411.0</v>
      </c>
      <c r="B9415" s="13" t="s">
        <v>8699</v>
      </c>
      <c r="C9415" s="18" t="s">
        <v>9441</v>
      </c>
      <c r="D9415" s="1"/>
      <c r="E9415" s="1"/>
      <c r="F9415" s="1" t="str">
        <f>IFERROR(__xludf.DUMMYFUNCTION("GOOGLETRANSLATE(B9415, ""en"", ""fa"")
"),"موفقیت در پادکست")</f>
        <v>موفقیت در پادکست</v>
      </c>
      <c r="G9415" s="1" t="str">
        <f>IFERROR(__xludf.DUMMYFUNCTION("GOOGLETRANSLATE(C9415, ""en"", ""fa"")
"),"چگونه از حضور مهمان در پادکست های دیگر برای نشان دادن تخصص خود، ایجاد اعتبار و جذب شنوندگان جدید به برنامه خود استفاده کنید؟")</f>
        <v>چگونه از حضور مهمان در پادکست های دیگر برای نشان دادن تخصص خود، ایجاد اعتبار و جذب شنوندگان جدید به برنامه خود استفاده کنید؟</v>
      </c>
      <c r="H9415" s="1"/>
      <c r="I9415" s="1"/>
      <c r="J9415" s="1"/>
      <c r="K9415" s="1"/>
      <c r="L9415" s="1"/>
      <c r="M9415" s="1"/>
      <c r="N9415" s="1"/>
      <c r="O9415" s="1"/>
      <c r="P9415" s="1"/>
      <c r="Q9415" s="1"/>
      <c r="R9415" s="1"/>
      <c r="S9415" s="1"/>
      <c r="T9415" s="1"/>
      <c r="U9415" s="1"/>
      <c r="V9415" s="1"/>
      <c r="W9415" s="1"/>
      <c r="X9415" s="1"/>
      <c r="Y9415" s="1"/>
      <c r="Z9415" s="1"/>
      <c r="AA9415" s="1"/>
      <c r="AB9415" s="1"/>
    </row>
    <row r="9416" ht="50.25" customHeight="1">
      <c r="A9416" s="12">
        <v>9412.0</v>
      </c>
      <c r="B9416" s="13" t="s">
        <v>8699</v>
      </c>
      <c r="C9416" s="18" t="s">
        <v>9442</v>
      </c>
      <c r="D9416" s="1"/>
      <c r="E9416" s="1"/>
      <c r="F9416" s="1" t="str">
        <f>IFERROR(__xludf.DUMMYFUNCTION("GOOGLETRANSLATE(B9416, ""en"", ""fa"")
"),"موفقیت در پادکست")</f>
        <v>موفقیت در پادکست</v>
      </c>
      <c r="G9416" s="1" t="str">
        <f>IFERROR(__xludf.DUMMYFUNCTION("GOOGLETRANSLATE(C9416, ""en"", ""fa"")
"),"تکنیک‌های انجام کمپین‌های بازاریابی مشترک یا هدایا با پادکست‌ها یا برندهای دیگر برای افزایش دیده شدن و تعامل برند چیست؟")</f>
        <v>تکنیک‌های انجام کمپین‌های بازاریابی مشترک یا هدایا با پادکست‌ها یا برندهای دیگر برای افزایش دیده شدن و تعامل برند چیست؟</v>
      </c>
      <c r="H9416" s="1"/>
      <c r="I9416" s="1"/>
      <c r="J9416" s="1"/>
      <c r="K9416" s="1"/>
      <c r="L9416" s="1"/>
      <c r="M9416" s="1"/>
      <c r="N9416" s="1"/>
      <c r="O9416" s="1"/>
      <c r="P9416" s="1"/>
      <c r="Q9416" s="1"/>
      <c r="R9416" s="1"/>
      <c r="S9416" s="1"/>
      <c r="T9416" s="1"/>
      <c r="U9416" s="1"/>
      <c r="V9416" s="1"/>
      <c r="W9416" s="1"/>
      <c r="X9416" s="1"/>
      <c r="Y9416" s="1"/>
      <c r="Z9416" s="1"/>
      <c r="AA9416" s="1"/>
      <c r="AB9416" s="1"/>
    </row>
    <row r="9417" ht="50.25" customHeight="1">
      <c r="A9417" s="12">
        <v>9413.0</v>
      </c>
      <c r="B9417" s="13" t="s">
        <v>8699</v>
      </c>
      <c r="C9417" s="18" t="s">
        <v>9443</v>
      </c>
      <c r="D9417" s="1"/>
      <c r="E9417" s="1"/>
      <c r="F9417" s="1" t="str">
        <f>IFERROR(__xludf.DUMMYFUNCTION("GOOGLETRANSLATE(B9417, ""en"", ""fa"")
"),"موفقیت در پادکست")</f>
        <v>موفقیت در پادکست</v>
      </c>
      <c r="G9417" s="1" t="str">
        <f>IFERROR(__xludf.DUMMYFUNCTION("GOOGLETRANSLATE(C9417, ""en"", ""fa"")
"),"چگونه می توان رویدادهای مجازی یا زنده، مانند وبینارها، بحث های پنل، یا کارگاه های آموزشی را که پادکسترها و متخصصان صنعت را برای فرصت های شبکه و همکاری گرد هم می آورد، سازماندهی کرد؟")</f>
        <v>چگونه می توان رویدادهای مجازی یا زنده، مانند وبینارها، بحث های پنل، یا کارگاه های آموزشی را که پادکسترها و متخصصان صنعت را برای فرصت های شبکه و همکاری گرد هم می آورد، سازماندهی کرد؟</v>
      </c>
      <c r="H9417" s="1"/>
      <c r="I9417" s="1"/>
      <c r="J9417" s="1"/>
      <c r="K9417" s="1"/>
      <c r="L9417" s="1"/>
      <c r="M9417" s="1"/>
      <c r="N9417" s="1"/>
      <c r="O9417" s="1"/>
      <c r="P9417" s="1"/>
      <c r="Q9417" s="1"/>
      <c r="R9417" s="1"/>
      <c r="S9417" s="1"/>
      <c r="T9417" s="1"/>
      <c r="U9417" s="1"/>
      <c r="V9417" s="1"/>
      <c r="W9417" s="1"/>
      <c r="X9417" s="1"/>
      <c r="Y9417" s="1"/>
      <c r="Z9417" s="1"/>
      <c r="AA9417" s="1"/>
      <c r="AB9417" s="1"/>
    </row>
    <row r="9418" ht="50.25" customHeight="1">
      <c r="A9418" s="12">
        <v>9414.0</v>
      </c>
      <c r="B9418" s="13" t="s">
        <v>8699</v>
      </c>
      <c r="C9418" s="18" t="s">
        <v>9444</v>
      </c>
      <c r="D9418" s="1"/>
      <c r="E9418" s="1"/>
      <c r="F9418" s="1" t="str">
        <f>IFERROR(__xludf.DUMMYFUNCTION("GOOGLETRANSLATE(B9418, ""en"", ""fa"")
"),"موفقیت در پادکست")</f>
        <v>موفقیت در پادکست</v>
      </c>
      <c r="G9418" s="1" t="str">
        <f>IFERROR(__xludf.DUMMYFUNCTION("GOOGLETRANSLATE(C9418, ""en"", ""fa"")
"),"استراتژی‌های استفاده از لینکدین و دیگر پلتفرم‌های شبکه‌های حرفه‌ای برای ارتباط با همکاران، حامیان مالی یا رهبران فکری صنعت چیست؟")</f>
        <v>استراتژی‌های استفاده از لینکدین و دیگر پلتفرم‌های شبکه‌های حرفه‌ای برای ارتباط با همکاران، حامیان مالی یا رهبران فکری صنعت چیست؟</v>
      </c>
      <c r="H9418" s="1"/>
      <c r="I9418" s="1"/>
      <c r="J9418" s="1"/>
      <c r="K9418" s="1"/>
      <c r="L9418" s="1"/>
      <c r="M9418" s="1"/>
      <c r="N9418" s="1"/>
      <c r="O9418" s="1"/>
      <c r="P9418" s="1"/>
      <c r="Q9418" s="1"/>
      <c r="R9418" s="1"/>
      <c r="S9418" s="1"/>
      <c r="T9418" s="1"/>
      <c r="U9418" s="1"/>
      <c r="V9418" s="1"/>
      <c r="W9418" s="1"/>
      <c r="X9418" s="1"/>
      <c r="Y9418" s="1"/>
      <c r="Z9418" s="1"/>
      <c r="AA9418" s="1"/>
      <c r="AB9418" s="1"/>
    </row>
    <row r="9419" ht="50.25" customHeight="1">
      <c r="A9419" s="12">
        <v>9415.0</v>
      </c>
      <c r="B9419" s="13" t="s">
        <v>8699</v>
      </c>
      <c r="C9419" s="18" t="s">
        <v>9445</v>
      </c>
      <c r="D9419" s="1"/>
      <c r="E9419" s="1"/>
      <c r="F9419" s="1" t="str">
        <f>IFERROR(__xludf.DUMMYFUNCTION("GOOGLETRANSLATE(B9419, ""en"", ""fa"")
"),"موفقیت در پادکست")</f>
        <v>موفقیت در پادکست</v>
      </c>
      <c r="G9419" s="1" t="str">
        <f>IFERROR(__xludf.DUMMYFUNCTION("GOOGLETRANSLATE(C9419, ""en"", ""fa"")
"),"چگونه می توان با تأثیرگذاران صنعت یا رهبران فکری روابط برقرار کرد و آن ها را تقویت کرد تا در معرض دید قرار بگیرند، از تخصص آنها بهره ببرند و مخاطبان بیشتری را به پادکست خود جذب کنیم؟")</f>
        <v>چگونه می توان با تأثیرگذاران صنعت یا رهبران فکری روابط برقرار کرد و آن ها را تقویت کرد تا در معرض دید قرار بگیرند، از تخصص آنها بهره ببرند و مخاطبان بیشتری را به پادکست خود جذب کنیم؟</v>
      </c>
      <c r="H9419" s="1"/>
      <c r="I9419" s="1"/>
      <c r="J9419" s="1"/>
      <c r="K9419" s="1"/>
      <c r="L9419" s="1"/>
      <c r="M9419" s="1"/>
      <c r="N9419" s="1"/>
      <c r="O9419" s="1"/>
      <c r="P9419" s="1"/>
      <c r="Q9419" s="1"/>
      <c r="R9419" s="1"/>
      <c r="S9419" s="1"/>
      <c r="T9419" s="1"/>
      <c r="U9419" s="1"/>
      <c r="V9419" s="1"/>
      <c r="W9419" s="1"/>
      <c r="X9419" s="1"/>
      <c r="Y9419" s="1"/>
      <c r="Z9419" s="1"/>
      <c r="AA9419" s="1"/>
      <c r="AB9419" s="1"/>
    </row>
    <row r="9420" ht="50.25" customHeight="1">
      <c r="A9420" s="12">
        <v>9416.0</v>
      </c>
      <c r="B9420" s="13" t="s">
        <v>8699</v>
      </c>
      <c r="C9420" s="18" t="s">
        <v>9446</v>
      </c>
      <c r="D9420" s="1"/>
      <c r="E9420" s="1"/>
      <c r="F9420" s="1" t="str">
        <f>IFERROR(__xludf.DUMMYFUNCTION("GOOGLETRANSLATE(B9420, ""en"", ""fa"")
"),"موفقیت در پادکست")</f>
        <v>موفقیت در پادکست</v>
      </c>
      <c r="G9420" s="1" t="str">
        <f>IFERROR(__xludf.DUMMYFUNCTION("GOOGLETRANSLATE(C9420, ""en"", ""fa"")
"),"چه تکنیک هایی برای شرکت در مبادله مهمان پادکست یا میزبانی برنامه های تبادل مهمان وجود دارد تا مخاطبان خود را با صداها و دیدگاه های جدید آشنا کنید؟")</f>
        <v>چه تکنیک هایی برای شرکت در مبادله مهمان پادکست یا میزبانی برنامه های تبادل مهمان وجود دارد تا مخاطبان خود را با صداها و دیدگاه های جدید آشنا کنید؟</v>
      </c>
      <c r="H9420" s="1"/>
      <c r="I9420" s="1"/>
      <c r="J9420" s="1"/>
      <c r="K9420" s="1"/>
      <c r="L9420" s="1"/>
      <c r="M9420" s="1"/>
      <c r="N9420" s="1"/>
      <c r="O9420" s="1"/>
      <c r="P9420" s="1"/>
      <c r="Q9420" s="1"/>
      <c r="R9420" s="1"/>
      <c r="S9420" s="1"/>
      <c r="T9420" s="1"/>
      <c r="U9420" s="1"/>
      <c r="V9420" s="1"/>
      <c r="W9420" s="1"/>
      <c r="X9420" s="1"/>
      <c r="Y9420" s="1"/>
      <c r="Z9420" s="1"/>
      <c r="AA9420" s="1"/>
      <c r="AB9420" s="1"/>
    </row>
    <row r="9421" ht="50.25" customHeight="1">
      <c r="A9421" s="12">
        <v>9417.0</v>
      </c>
      <c r="B9421" s="13" t="s">
        <v>8699</v>
      </c>
      <c r="C9421" s="18" t="s">
        <v>9447</v>
      </c>
      <c r="D9421" s="1"/>
      <c r="E9421" s="1"/>
      <c r="F9421" s="1" t="str">
        <f>IFERROR(__xludf.DUMMYFUNCTION("GOOGLETRANSLATE(B9421, ""en"", ""fa"")
"),"موفقیت در پادکست")</f>
        <v>موفقیت در پادکست</v>
      </c>
      <c r="G9421" s="1" t="str">
        <f>IFERROR(__xludf.DUMMYFUNCTION("GOOGLETRANSLATE(C9421, ""en"", ""fa"")
"),"چگونه می توان از جوامع پادکست، انجمن ها یا گروه های فیس بوک برای ارتباط با پادکست های همفکر و کشف فرصت های همکاری استفاده کرد؟")</f>
        <v>چگونه می توان از جوامع پادکست، انجمن ها یا گروه های فیس بوک برای ارتباط با پادکست های همفکر و کشف فرصت های همکاری استفاده کرد؟</v>
      </c>
      <c r="H9421" s="1"/>
      <c r="I9421" s="1"/>
      <c r="J9421" s="1"/>
      <c r="K9421" s="1"/>
      <c r="L9421" s="1"/>
      <c r="M9421" s="1"/>
      <c r="N9421" s="1"/>
      <c r="O9421" s="1"/>
      <c r="P9421" s="1"/>
      <c r="Q9421" s="1"/>
      <c r="R9421" s="1"/>
      <c r="S9421" s="1"/>
      <c r="T9421" s="1"/>
      <c r="U9421" s="1"/>
      <c r="V9421" s="1"/>
      <c r="W9421" s="1"/>
      <c r="X9421" s="1"/>
      <c r="Y9421" s="1"/>
      <c r="Z9421" s="1"/>
      <c r="AA9421" s="1"/>
      <c r="AB9421" s="1"/>
    </row>
    <row r="9422" ht="50.25" customHeight="1">
      <c r="A9422" s="12">
        <v>9418.0</v>
      </c>
      <c r="B9422" s="13" t="s">
        <v>8699</v>
      </c>
      <c r="C9422" s="18" t="s">
        <v>9448</v>
      </c>
      <c r="D9422" s="1"/>
      <c r="E9422" s="1"/>
      <c r="F9422" s="1" t="str">
        <f>IFERROR(__xludf.DUMMYFUNCTION("GOOGLETRANSLATE(B9422, ""en"", ""fa"")
"),"موفقیت در پادکست")</f>
        <v>موفقیت در پادکست</v>
      </c>
      <c r="G9422" s="1" t="str">
        <f>IFERROR(__xludf.DUMMYFUNCTION("GOOGLETRANSLATE(C9422, ""en"", ""fa"")
"),"راهبردهای سازماندهی اجلاس ها یا کنفرانس های مجازی که پادکسترها، کارشناسان صنعت و شنوندگان را برای اهداف شبکه ای و آموزشی گرد هم می آورد چیست؟")</f>
        <v>راهبردهای سازماندهی اجلاس ها یا کنفرانس های مجازی که پادکسترها، کارشناسان صنعت و شنوندگان را برای اهداف شبکه ای و آموزشی گرد هم می آورد چیست؟</v>
      </c>
      <c r="H9422" s="1"/>
      <c r="I9422" s="1"/>
      <c r="J9422" s="1"/>
      <c r="K9422" s="1"/>
      <c r="L9422" s="1"/>
      <c r="M9422" s="1"/>
      <c r="N9422" s="1"/>
      <c r="O9422" s="1"/>
      <c r="P9422" s="1"/>
      <c r="Q9422" s="1"/>
      <c r="R9422" s="1"/>
      <c r="S9422" s="1"/>
      <c r="T9422" s="1"/>
      <c r="U9422" s="1"/>
      <c r="V9422" s="1"/>
      <c r="W9422" s="1"/>
      <c r="X9422" s="1"/>
      <c r="Y9422" s="1"/>
      <c r="Z9422" s="1"/>
      <c r="AA9422" s="1"/>
      <c r="AB9422" s="1"/>
    </row>
    <row r="9423" ht="50.25" customHeight="1">
      <c r="A9423" s="12">
        <v>9419.0</v>
      </c>
      <c r="B9423" s="13" t="s">
        <v>8699</v>
      </c>
      <c r="C9423" s="18" t="s">
        <v>9449</v>
      </c>
      <c r="D9423" s="1"/>
      <c r="E9423" s="1"/>
      <c r="F9423" s="1" t="str">
        <f>IFERROR(__xludf.DUMMYFUNCTION("GOOGLETRANSLATE(B9423, ""en"", ""fa"")
"),"موفقیت در پادکست")</f>
        <v>موفقیت در پادکست</v>
      </c>
      <c r="G9423" s="1" t="str">
        <f>IFERROR(__xludf.DUMMYFUNCTION("GOOGLETRANSLATE(C9423, ""en"", ""fa"")
"),"چگونه یک برنامه ارجاع یا سیستم وابسته ایجاد کنیم که مخاطبان شما را تشویق کند تا پادکست های دیگر یا متخصصان صنعت را برای همکاری با شما معرفی کنند؟")</f>
        <v>چگونه یک برنامه ارجاع یا سیستم وابسته ایجاد کنیم که مخاطبان شما را تشویق کند تا پادکست های دیگر یا متخصصان صنعت را برای همکاری با شما معرفی کنند؟</v>
      </c>
      <c r="H9423" s="1"/>
      <c r="I9423" s="1"/>
      <c r="J9423" s="1"/>
      <c r="K9423" s="1"/>
      <c r="L9423" s="1"/>
      <c r="M9423" s="1"/>
      <c r="N9423" s="1"/>
      <c r="O9423" s="1"/>
      <c r="P9423" s="1"/>
      <c r="Q9423" s="1"/>
      <c r="R9423" s="1"/>
      <c r="S9423" s="1"/>
      <c r="T9423" s="1"/>
      <c r="U9423" s="1"/>
      <c r="V9423" s="1"/>
      <c r="W9423" s="1"/>
      <c r="X9423" s="1"/>
      <c r="Y9423" s="1"/>
      <c r="Z9423" s="1"/>
      <c r="AA9423" s="1"/>
      <c r="AB9423" s="1"/>
    </row>
    <row r="9424" ht="50.25" customHeight="1">
      <c r="A9424" s="12">
        <v>9420.0</v>
      </c>
      <c r="B9424" s="13" t="s">
        <v>8699</v>
      </c>
      <c r="C9424" s="18" t="s">
        <v>9450</v>
      </c>
      <c r="D9424" s="1"/>
      <c r="E9424" s="1"/>
      <c r="F9424" s="1" t="str">
        <f>IFERROR(__xludf.DUMMYFUNCTION("GOOGLETRANSLATE(B9424, ""en"", ""fa"")
"),"موفقیت در پادکست")</f>
        <v>موفقیت در پادکست</v>
      </c>
      <c r="G9424" s="1" t="str">
        <f>IFERROR(__xludf.DUMMYFUNCTION("GOOGLETRANSLATE(C9424, ""en"", ""fa"")
"),"تکنیک های ارائه فرصت های وبلاگ نویسی مهمان یا مشارکت محتوا در وب سایت پادکست شما برای گسترش شبکه و دستیابی به مخاطبان جدید چیست؟")</f>
        <v>تکنیک های ارائه فرصت های وبلاگ نویسی مهمان یا مشارکت محتوا در وب سایت پادکست شما برای گسترش شبکه و دستیابی به مخاطبان جدید چیست؟</v>
      </c>
      <c r="H9424" s="1"/>
      <c r="I9424" s="1"/>
      <c r="J9424" s="1"/>
      <c r="K9424" s="1"/>
      <c r="L9424" s="1"/>
      <c r="M9424" s="1"/>
      <c r="N9424" s="1"/>
      <c r="O9424" s="1"/>
      <c r="P9424" s="1"/>
      <c r="Q9424" s="1"/>
      <c r="R9424" s="1"/>
      <c r="S9424" s="1"/>
      <c r="T9424" s="1"/>
      <c r="U9424" s="1"/>
      <c r="V9424" s="1"/>
      <c r="W9424" s="1"/>
      <c r="X9424" s="1"/>
      <c r="Y9424" s="1"/>
      <c r="Z9424" s="1"/>
      <c r="AA9424" s="1"/>
      <c r="AB9424" s="1"/>
    </row>
    <row r="9425" ht="50.25" customHeight="1">
      <c r="A9425" s="12">
        <v>9421.0</v>
      </c>
      <c r="B9425" s="13" t="s">
        <v>8699</v>
      </c>
      <c r="C9425" s="18" t="s">
        <v>9451</v>
      </c>
      <c r="D9425" s="1"/>
      <c r="E9425" s="1"/>
      <c r="F9425" s="1" t="str">
        <f>IFERROR(__xludf.DUMMYFUNCTION("GOOGLETRANSLATE(B9425, ""en"", ""fa"")
"),"موفقیت در پادکست")</f>
        <v>موفقیت در پادکست</v>
      </c>
      <c r="G9425" s="1" t="str">
        <f>IFERROR(__xludf.DUMMYFUNCTION("GOOGLETRANSLATE(C9425, ""en"", ""fa"")
"),"چگونه می توان از ارتباط با ایمیل و ارتباطات شخصی برای ایجاد ارتباط با همکاران، حامیان مالی یا تأثیرگذاران بالقوه صنعت استفاده کرد؟")</f>
        <v>چگونه می توان از ارتباط با ایمیل و ارتباطات شخصی برای ایجاد ارتباط با همکاران، حامیان مالی یا تأثیرگذاران بالقوه صنعت استفاده کرد؟</v>
      </c>
      <c r="H9425" s="1"/>
      <c r="I9425" s="1"/>
      <c r="J9425" s="1"/>
      <c r="K9425" s="1"/>
      <c r="L9425" s="1"/>
      <c r="M9425" s="1"/>
      <c r="N9425" s="1"/>
      <c r="O9425" s="1"/>
      <c r="P9425" s="1"/>
      <c r="Q9425" s="1"/>
      <c r="R9425" s="1"/>
      <c r="S9425" s="1"/>
      <c r="T9425" s="1"/>
      <c r="U9425" s="1"/>
      <c r="V9425" s="1"/>
      <c r="W9425" s="1"/>
      <c r="X9425" s="1"/>
      <c r="Y9425" s="1"/>
      <c r="Z9425" s="1"/>
      <c r="AA9425" s="1"/>
      <c r="AB9425" s="1"/>
    </row>
    <row r="9426" ht="50.25" customHeight="1">
      <c r="A9426" s="12">
        <v>9422.0</v>
      </c>
      <c r="B9426" s="13" t="s">
        <v>8699</v>
      </c>
      <c r="C9426" s="18" t="s">
        <v>9452</v>
      </c>
      <c r="D9426" s="1"/>
      <c r="E9426" s="1"/>
      <c r="F9426" s="1" t="str">
        <f>IFERROR(__xludf.DUMMYFUNCTION("GOOGLETRANSLATE(B9426, ""en"", ""fa"")
"),"موفقیت در پادکست")</f>
        <v>موفقیت در پادکست</v>
      </c>
      <c r="G9426" s="1" t="str">
        <f>IFERROR(__xludf.DUMMYFUNCTION("GOOGLETRANSLATE(C9426, ""en"", ""fa"")
"),"راهبردهای میزبانی قسمت‌های پادکست مشترک با پادکست‌هایی از جایگاه‌ها یا ژانرهای مختلف برای ایجاد محتوای منحصربه‌فرد و متقابل چیست؟")</f>
        <v>راهبردهای میزبانی قسمت‌های پادکست مشترک با پادکست‌هایی از جایگاه‌ها یا ژانرهای مختلف برای ایجاد محتوای منحصربه‌فرد و متقابل چیست؟</v>
      </c>
      <c r="H9426" s="1"/>
      <c r="I9426" s="1"/>
      <c r="J9426" s="1"/>
      <c r="K9426" s="1"/>
      <c r="L9426" s="1"/>
      <c r="M9426" s="1"/>
      <c r="N9426" s="1"/>
      <c r="O9426" s="1"/>
      <c r="P9426" s="1"/>
      <c r="Q9426" s="1"/>
      <c r="R9426" s="1"/>
      <c r="S9426" s="1"/>
      <c r="T9426" s="1"/>
      <c r="U9426" s="1"/>
      <c r="V9426" s="1"/>
      <c r="W9426" s="1"/>
      <c r="X9426" s="1"/>
      <c r="Y9426" s="1"/>
      <c r="Z9426" s="1"/>
      <c r="AA9426" s="1"/>
      <c r="AB9426" s="1"/>
    </row>
    <row r="9427" ht="50.25" customHeight="1">
      <c r="A9427" s="12">
        <v>9423.0</v>
      </c>
      <c r="B9427" s="13" t="s">
        <v>8699</v>
      </c>
      <c r="C9427" s="18" t="s">
        <v>9453</v>
      </c>
      <c r="D9427" s="1"/>
      <c r="E9427" s="1"/>
      <c r="F9427" s="1" t="str">
        <f>IFERROR(__xludf.DUMMYFUNCTION("GOOGLETRANSLATE(B9427, ""en"", ""fa"")
"),"موفقیت در پادکست")</f>
        <v>موفقیت در پادکست</v>
      </c>
      <c r="G9427" s="1" t="str">
        <f>IFERROR(__xludf.DUMMYFUNCTION("GOOGLETRANSLATE(C9427, ""en"", ""fa"")
"),"چگونه به طور فعال با جامعه شنوندگان پادکست خود درگیر شوید تا فرصت های همکاری بالقوه را کشف کنید، مانند مصاحبه با شنوندگان یا نمایش داستان های آنها در برنامه خود.")</f>
        <v>چگونه به طور فعال با جامعه شنوندگان پادکست خود درگیر شوید تا فرصت های همکاری بالقوه را کشف کنید، مانند مصاحبه با شنوندگان یا نمایش داستان های آنها در برنامه خود.</v>
      </c>
      <c r="H9427" s="1"/>
      <c r="I9427" s="1"/>
      <c r="J9427" s="1"/>
      <c r="K9427" s="1"/>
      <c r="L9427" s="1"/>
      <c r="M9427" s="1"/>
      <c r="N9427" s="1"/>
      <c r="O9427" s="1"/>
      <c r="P9427" s="1"/>
      <c r="Q9427" s="1"/>
      <c r="R9427" s="1"/>
      <c r="S9427" s="1"/>
      <c r="T9427" s="1"/>
      <c r="U9427" s="1"/>
      <c r="V9427" s="1"/>
      <c r="W9427" s="1"/>
      <c r="X9427" s="1"/>
      <c r="Y9427" s="1"/>
      <c r="Z9427" s="1"/>
      <c r="AA9427" s="1"/>
      <c r="AB9427" s="1"/>
    </row>
    <row r="9428" ht="50.25" customHeight="1">
      <c r="A9428" s="12">
        <v>9424.0</v>
      </c>
      <c r="B9428" s="13" t="s">
        <v>8699</v>
      </c>
      <c r="C9428" s="18" t="s">
        <v>9454</v>
      </c>
      <c r="D9428" s="1"/>
      <c r="E9428" s="1"/>
      <c r="F9428" s="1" t="str">
        <f>IFERROR(__xludf.DUMMYFUNCTION("GOOGLETRANSLATE(B9428, ""en"", ""fa"")
"),"موفقیت در پادکست")</f>
        <v>موفقیت در پادکست</v>
      </c>
      <c r="G9428" s="1" t="str">
        <f>IFERROR(__xludf.DUMMYFUNCTION("GOOGLETRANSLATE(C9428, ""en"", ""fa"")
"),"تکنیک‌های انجام چت‌های قهوه مجازی یا جلسات شبکه‌سازی با پادکست‌های دیگر برای تقویت روابط، تبادل ایده‌ها و کشف پروژه‌های همکاری بالقوه چیست؟")</f>
        <v>تکنیک‌های انجام چت‌های قهوه مجازی یا جلسات شبکه‌سازی با پادکست‌های دیگر برای تقویت روابط، تبادل ایده‌ها و کشف پروژه‌های همکاری بالقوه چیست؟</v>
      </c>
      <c r="H9428" s="1"/>
      <c r="I9428" s="1"/>
      <c r="J9428" s="1"/>
      <c r="K9428" s="1"/>
      <c r="L9428" s="1"/>
      <c r="M9428" s="1"/>
      <c r="N9428" s="1"/>
      <c r="O9428" s="1"/>
      <c r="P9428" s="1"/>
      <c r="Q9428" s="1"/>
      <c r="R9428" s="1"/>
      <c r="S9428" s="1"/>
      <c r="T9428" s="1"/>
      <c r="U9428" s="1"/>
      <c r="V9428" s="1"/>
      <c r="W9428" s="1"/>
      <c r="X9428" s="1"/>
      <c r="Y9428" s="1"/>
      <c r="Z9428" s="1"/>
      <c r="AA9428" s="1"/>
      <c r="AB9428" s="1"/>
    </row>
    <row r="9429" ht="50.25" customHeight="1">
      <c r="A9429" s="12">
        <v>9425.0</v>
      </c>
      <c r="B9429" s="13" t="s">
        <v>8699</v>
      </c>
      <c r="C9429" s="18" t="s">
        <v>9455</v>
      </c>
      <c r="D9429" s="1"/>
      <c r="E9429" s="1"/>
      <c r="F9429" s="1" t="str">
        <f>IFERROR(__xludf.DUMMYFUNCTION("GOOGLETRANSLATE(B9429, ""en"", ""fa"")
"),"موفقیت در پادکست")</f>
        <v>موفقیت در پادکست</v>
      </c>
      <c r="G9429" s="1" t="str">
        <f>IFERROR(__xludf.DUMMYFUNCTION("GOOGLETRANSLATE(C9429, ""en"", ""fa"")
"),"چگونه در جوایز، مسابقات یا نمایشگاه های پادکست شرکت کنید تا به رسمیت شناخته شوید، شبکه خود را گسترش دهید و شنوندگان جدیدی را به برنامه خود جذب کنید.")</f>
        <v>چگونه در جوایز، مسابقات یا نمایشگاه های پادکست شرکت کنید تا به رسمیت شناخته شوید، شبکه خود را گسترش دهید و شنوندگان جدیدی را به برنامه خود جذب کنید.</v>
      </c>
      <c r="H9429" s="1"/>
      <c r="I9429" s="1"/>
      <c r="J9429" s="1"/>
      <c r="K9429" s="1"/>
      <c r="L9429" s="1"/>
      <c r="M9429" s="1"/>
      <c r="N9429" s="1"/>
      <c r="O9429" s="1"/>
      <c r="P9429" s="1"/>
      <c r="Q9429" s="1"/>
      <c r="R9429" s="1"/>
      <c r="S9429" s="1"/>
      <c r="T9429" s="1"/>
      <c r="U9429" s="1"/>
      <c r="V9429" s="1"/>
      <c r="W9429" s="1"/>
      <c r="X9429" s="1"/>
      <c r="Y9429" s="1"/>
      <c r="Z9429" s="1"/>
      <c r="AA9429" s="1"/>
      <c r="AB9429" s="1"/>
    </row>
    <row r="9430" ht="50.25" customHeight="1">
      <c r="A9430" s="12">
        <v>9426.0</v>
      </c>
      <c r="B9430" s="13" t="s">
        <v>8699</v>
      </c>
      <c r="C9430" s="18" t="s">
        <v>9456</v>
      </c>
      <c r="D9430" s="1"/>
      <c r="E9430" s="1"/>
      <c r="F9430" s="1" t="str">
        <f>IFERROR(__xludf.DUMMYFUNCTION("GOOGLETRANSLATE(B9430, ""en"", ""fa"")
"),"موفقیت در پادکست")</f>
        <v>موفقیت در پادکست</v>
      </c>
      <c r="G9430" s="1" t="str">
        <f>IFERROR(__xludf.DUMMYFUNCTION("GOOGLETRANSLATE(C9430, ""en"", ""fa"")
"),"چه راهکارهایی برای دعوت از متخصصان مهمان با نفوذ یا رهبران صنعت برای شرکت در پادکست شما به عنوان پانل، مجری مشترک یا مصاحبه شونده وجود دارد تا محتوای خود را ارتقا دهید و مخاطبان بیشتری را جذب کنید.")</f>
        <v>چه راهکارهایی برای دعوت از متخصصان مهمان با نفوذ یا رهبران صنعت برای شرکت در پادکست شما به عنوان پانل، مجری مشترک یا مصاحبه شونده وجود دارد تا محتوای خود را ارتقا دهید و مخاطبان بیشتری را جذب کنید.</v>
      </c>
      <c r="H9430" s="1"/>
      <c r="I9430" s="1"/>
      <c r="J9430" s="1"/>
      <c r="K9430" s="1"/>
      <c r="L9430" s="1"/>
      <c r="M9430" s="1"/>
      <c r="N9430" s="1"/>
      <c r="O9430" s="1"/>
      <c r="P9430" s="1"/>
      <c r="Q9430" s="1"/>
      <c r="R9430" s="1"/>
      <c r="S9430" s="1"/>
      <c r="T9430" s="1"/>
      <c r="U9430" s="1"/>
      <c r="V9430" s="1"/>
      <c r="W9430" s="1"/>
      <c r="X9430" s="1"/>
      <c r="Y9430" s="1"/>
      <c r="Z9430" s="1"/>
      <c r="AA9430" s="1"/>
      <c r="AB9430" s="1"/>
    </row>
    <row r="9431" ht="50.25" customHeight="1">
      <c r="A9431" s="12">
        <v>9427.0</v>
      </c>
      <c r="B9431" s="13" t="s">
        <v>8699</v>
      </c>
      <c r="C9431" s="18" t="s">
        <v>9457</v>
      </c>
      <c r="D9431" s="1"/>
      <c r="E9431" s="1"/>
      <c r="F9431" s="1" t="str">
        <f>IFERROR(__xludf.DUMMYFUNCTION("GOOGLETRANSLATE(B9431, ""en"", ""fa"")
"),"موفقیت در پادکست")</f>
        <v>موفقیت در پادکست</v>
      </c>
      <c r="G9431" s="1" t="str">
        <f>IFERROR(__xludf.DUMMYFUNCTION("GOOGLETRANSLATE(C9431, ""en"", ""fa"")
"),"نحوه همکاری با کارشناسان مهمان یا متخصصان صنعت در تولید محتوای خارج از پادکست، مانند نوشتن مقالات مشترک یا ایجاد محتوای ویدیویی برای تبلیغات متقابل.")</f>
        <v>نحوه همکاری با کارشناسان مهمان یا متخصصان صنعت در تولید محتوای خارج از پادکست، مانند نوشتن مقالات مشترک یا ایجاد محتوای ویدیویی برای تبلیغات متقابل.</v>
      </c>
      <c r="H9431" s="1"/>
      <c r="I9431" s="1"/>
      <c r="J9431" s="1"/>
      <c r="K9431" s="1"/>
      <c r="L9431" s="1"/>
      <c r="M9431" s="1"/>
      <c r="N9431" s="1"/>
      <c r="O9431" s="1"/>
      <c r="P9431" s="1"/>
      <c r="Q9431" s="1"/>
      <c r="R9431" s="1"/>
      <c r="S9431" s="1"/>
      <c r="T9431" s="1"/>
      <c r="U9431" s="1"/>
      <c r="V9431" s="1"/>
      <c r="W9431" s="1"/>
      <c r="X9431" s="1"/>
      <c r="Y9431" s="1"/>
      <c r="Z9431" s="1"/>
      <c r="AA9431" s="1"/>
      <c r="AB9431" s="1"/>
    </row>
    <row r="9432" ht="50.25" customHeight="1">
      <c r="A9432" s="12">
        <v>9428.0</v>
      </c>
      <c r="B9432" s="13" t="s">
        <v>8699</v>
      </c>
      <c r="C9432" s="18" t="s">
        <v>9458</v>
      </c>
      <c r="D9432" s="1"/>
      <c r="E9432" s="1"/>
      <c r="F9432" s="1" t="str">
        <f>IFERROR(__xludf.DUMMYFUNCTION("GOOGLETRANSLATE(B9432, ""en"", ""fa"")
"),"موفقیت در پادکست")</f>
        <v>موفقیت در پادکست</v>
      </c>
      <c r="G9432" s="1" t="str">
        <f>IFERROR(__xludf.DUMMYFUNCTION("GOOGLETRANSLATE(C9432, ""en"", ""fa"")
"),"تکنیک‌های شرکت در گروه‌های مغز متفکر پادکست مجازی یا حضوری برای ارتباط با پادکست‌های دیگر، اشتراک‌گذاری دانش و دریافت پشتیبانی و بازخورد چیست؟")</f>
        <v>تکنیک‌های شرکت در گروه‌های مغز متفکر پادکست مجازی یا حضوری برای ارتباط با پادکست‌های دیگر، اشتراک‌گذاری دانش و دریافت پشتیبانی و بازخورد چیست؟</v>
      </c>
      <c r="H9432" s="1"/>
      <c r="I9432" s="1"/>
      <c r="J9432" s="1"/>
      <c r="K9432" s="1"/>
      <c r="L9432" s="1"/>
      <c r="M9432" s="1"/>
      <c r="N9432" s="1"/>
      <c r="O9432" s="1"/>
      <c r="P9432" s="1"/>
      <c r="Q9432" s="1"/>
      <c r="R9432" s="1"/>
      <c r="S9432" s="1"/>
      <c r="T9432" s="1"/>
      <c r="U9432" s="1"/>
      <c r="V9432" s="1"/>
      <c r="W9432" s="1"/>
      <c r="X9432" s="1"/>
      <c r="Y9432" s="1"/>
      <c r="Z9432" s="1"/>
      <c r="AA9432" s="1"/>
      <c r="AB9432" s="1"/>
    </row>
    <row r="9433" ht="50.25" customHeight="1">
      <c r="A9433" s="12">
        <v>9429.0</v>
      </c>
      <c r="B9433" s="13" t="s">
        <v>8699</v>
      </c>
      <c r="C9433" s="18" t="s">
        <v>9459</v>
      </c>
      <c r="D9433" s="1"/>
      <c r="E9433" s="1"/>
      <c r="F9433" s="1" t="str">
        <f>IFERROR(__xludf.DUMMYFUNCTION("GOOGLETRANSLATE(B9433, ""en"", ""fa"")
"),"موفقیت در پادکست")</f>
        <v>موفقیت در پادکست</v>
      </c>
      <c r="G9433" s="1" t="str">
        <f>IFERROR(__xludf.DUMMYFUNCTION("GOOGLETRANSLATE(C9433, ""en"", ""fa"")
"),"چگونه از حضور مهمان در پادکست ها یا رسانه ها برای گسترش شبکه خود و ایجاد ارتباط با میزبان ها، تولیدکنندگان و تأثیرگذاران صنعت استفاده کنید.")</f>
        <v>چگونه از حضور مهمان در پادکست ها یا رسانه ها برای گسترش شبکه خود و ایجاد ارتباط با میزبان ها، تولیدکنندگان و تأثیرگذاران صنعت استفاده کنید.</v>
      </c>
      <c r="H9433" s="1"/>
      <c r="I9433" s="1"/>
      <c r="J9433" s="1"/>
      <c r="K9433" s="1"/>
      <c r="L9433" s="1"/>
      <c r="M9433" s="1"/>
      <c r="N9433" s="1"/>
      <c r="O9433" s="1"/>
      <c r="P9433" s="1"/>
      <c r="Q9433" s="1"/>
      <c r="R9433" s="1"/>
      <c r="S9433" s="1"/>
      <c r="T9433" s="1"/>
      <c r="U9433" s="1"/>
      <c r="V9433" s="1"/>
      <c r="W9433" s="1"/>
      <c r="X9433" s="1"/>
      <c r="Y9433" s="1"/>
      <c r="Z9433" s="1"/>
      <c r="AA9433" s="1"/>
      <c r="AB9433" s="1"/>
    </row>
    <row r="9434" ht="50.25" customHeight="1">
      <c r="A9434" s="12">
        <v>9430.0</v>
      </c>
      <c r="B9434" s="13" t="s">
        <v>8699</v>
      </c>
      <c r="C9434" s="18" t="s">
        <v>9460</v>
      </c>
      <c r="D9434" s="1"/>
      <c r="E9434" s="1"/>
      <c r="F9434" s="1" t="str">
        <f>IFERROR(__xludf.DUMMYFUNCTION("GOOGLETRANSLATE(B9434, ""en"", ""fa"")
"),"موفقیت در پادکست")</f>
        <v>موفقیت در پادکست</v>
      </c>
      <c r="G9434" s="1" t="str">
        <f>IFERROR(__xludf.DUMMYFUNCTION("GOOGLETRANSLATE(C9434, ""en"", ""fa"")
"),"استراتژی ها برای میزبانی از کارشناسان مهمان یا رهبران صنعت در پادکست شما و استفاده از این روابط برای همکاری آینده چیست؟ نحوه پیوستن به شبکه‌ها یا انجمن‌های پادکست برای ارتباط با پادکست‌های دیگر، دسترسی به منابع و کشف فرصت‌های همکاری.")</f>
        <v>استراتژی ها برای میزبانی از کارشناسان مهمان یا رهبران صنعت در پادکست شما و استفاده از این روابط برای همکاری آینده چیست؟ نحوه پیوستن به شبکه‌ها یا انجمن‌های پادکست برای ارتباط با پادکست‌های دیگر، دسترسی به منابع و کشف فرصت‌های همکاری.</v>
      </c>
      <c r="H9434" s="1"/>
      <c r="I9434" s="1"/>
      <c r="J9434" s="1"/>
      <c r="K9434" s="1"/>
      <c r="L9434" s="1"/>
      <c r="M9434" s="1"/>
      <c r="N9434" s="1"/>
      <c r="O9434" s="1"/>
      <c r="P9434" s="1"/>
      <c r="Q9434" s="1"/>
      <c r="R9434" s="1"/>
      <c r="S9434" s="1"/>
      <c r="T9434" s="1"/>
      <c r="U9434" s="1"/>
      <c r="V9434" s="1"/>
      <c r="W9434" s="1"/>
      <c r="X9434" s="1"/>
      <c r="Y9434" s="1"/>
      <c r="Z9434" s="1"/>
      <c r="AA9434" s="1"/>
      <c r="AB9434" s="1"/>
    </row>
    <row r="9435" ht="50.25" customHeight="1">
      <c r="A9435" s="12">
        <v>9431.0</v>
      </c>
      <c r="B9435" s="13" t="s">
        <v>8699</v>
      </c>
      <c r="C9435" s="18" t="s">
        <v>9461</v>
      </c>
      <c r="D9435" s="1"/>
      <c r="E9435" s="1"/>
      <c r="F9435" s="1" t="str">
        <f>IFERROR(__xludf.DUMMYFUNCTION("GOOGLETRANSLATE(B9435, ""en"", ""fa"")
"),"موفقیت در پادکست")</f>
        <v>موفقیت در پادکست</v>
      </c>
      <c r="G9435" s="1" t="str">
        <f>IFERROR(__xludf.DUMMYFUNCTION("GOOGLETRANSLATE(C9435, ""en"", ""fa"")
"),"چه تکنیک هایی برای سازماندهی رویدادهای شبکه مجازی یا حضوری به طور خاص برای پادکست ها برای تقویت ارتباطات، به اشتراک گذاری تجربیات و تبادل نظر وجود دارد.")</f>
        <v>چه تکنیک هایی برای سازماندهی رویدادهای شبکه مجازی یا حضوری به طور خاص برای پادکست ها برای تقویت ارتباطات، به اشتراک گذاری تجربیات و تبادل نظر وجود دارد.</v>
      </c>
      <c r="H9435" s="1"/>
      <c r="I9435" s="1"/>
      <c r="J9435" s="1"/>
      <c r="K9435" s="1"/>
      <c r="L9435" s="1"/>
      <c r="M9435" s="1"/>
      <c r="N9435" s="1"/>
      <c r="O9435" s="1"/>
      <c r="P9435" s="1"/>
      <c r="Q9435" s="1"/>
      <c r="R9435" s="1"/>
      <c r="S9435" s="1"/>
      <c r="T9435" s="1"/>
      <c r="U9435" s="1"/>
      <c r="V9435" s="1"/>
      <c r="W9435" s="1"/>
      <c r="X9435" s="1"/>
      <c r="Y9435" s="1"/>
      <c r="Z9435" s="1"/>
      <c r="AA9435" s="1"/>
      <c r="AB9435" s="1"/>
    </row>
    <row r="9436" ht="50.25" customHeight="1">
      <c r="A9436" s="12">
        <v>9432.0</v>
      </c>
      <c r="B9436" s="13" t="s">
        <v>8699</v>
      </c>
      <c r="C9436" s="18" t="s">
        <v>9462</v>
      </c>
      <c r="D9436" s="1"/>
      <c r="E9436" s="1"/>
      <c r="F9436" s="1" t="str">
        <f>IFERROR(__xludf.DUMMYFUNCTION("GOOGLETRANSLATE(B9436, ""en"", ""fa"")
"),"موفقیت در پادکست")</f>
        <v>موفقیت در پادکست</v>
      </c>
      <c r="G9436" s="1" t="str">
        <f>IFERROR(__xludf.DUMMYFUNCTION("GOOGLETRANSLATE(C9436, ""en"", ""fa"")
"),"نحوه شرکت در پادکست یا انجمن ها، بحث ها یا انجمن های آنلاین مرتبط با صنعت برای شرکت در گفتگو و گسترش شبکه خود.")</f>
        <v>نحوه شرکت در پادکست یا انجمن ها، بحث ها یا انجمن های آنلاین مرتبط با صنعت برای شرکت در گفتگو و گسترش شبکه خود.</v>
      </c>
      <c r="H9436" s="1"/>
      <c r="I9436" s="1"/>
      <c r="J9436" s="1"/>
      <c r="K9436" s="1"/>
      <c r="L9436" s="1"/>
      <c r="M9436" s="1"/>
      <c r="N9436" s="1"/>
      <c r="O9436" s="1"/>
      <c r="P9436" s="1"/>
      <c r="Q9436" s="1"/>
      <c r="R9436" s="1"/>
      <c r="S9436" s="1"/>
      <c r="T9436" s="1"/>
      <c r="U9436" s="1"/>
      <c r="V9436" s="1"/>
      <c r="W9436" s="1"/>
      <c r="X9436" s="1"/>
      <c r="Y9436" s="1"/>
      <c r="Z9436" s="1"/>
      <c r="AA9436" s="1"/>
      <c r="AB9436" s="1"/>
    </row>
    <row r="9437" ht="50.25" customHeight="1">
      <c r="A9437" s="12">
        <v>9433.0</v>
      </c>
      <c r="B9437" s="13" t="s">
        <v>8699</v>
      </c>
      <c r="C9437" s="18" t="s">
        <v>9463</v>
      </c>
      <c r="D9437" s="1"/>
      <c r="E9437" s="1"/>
      <c r="F9437" s="1" t="str">
        <f>IFERROR(__xludf.DUMMYFUNCTION("GOOGLETRANSLATE(B9437, ""en"", ""fa"")
"),"موفقیت در پادکست")</f>
        <v>موفقیت در پادکست</v>
      </c>
      <c r="G9437" s="1" t="str">
        <f>IFERROR(__xludf.DUMMYFUNCTION("GOOGLETRANSLATE(C9437, ""en"", ""fa"")
"),"استراتژی‌های همکاری با برندها یا سازمان‌ها در قسمت‌های حمایت‌شده یا محتوای مارکی که با ارزش‌ها و علایق پادکست شما همخوانی دارد، چیست.")</f>
        <v>استراتژی‌های همکاری با برندها یا سازمان‌ها در قسمت‌های حمایت‌شده یا محتوای مارکی که با ارزش‌ها و علایق پادکست شما همخوانی دارد، چیست.</v>
      </c>
      <c r="H9437" s="1"/>
      <c r="I9437" s="1"/>
      <c r="J9437" s="1"/>
      <c r="K9437" s="1"/>
      <c r="L9437" s="1"/>
      <c r="M9437" s="1"/>
      <c r="N9437" s="1"/>
      <c r="O9437" s="1"/>
      <c r="P9437" s="1"/>
      <c r="Q9437" s="1"/>
      <c r="R9437" s="1"/>
      <c r="S9437" s="1"/>
      <c r="T9437" s="1"/>
      <c r="U9437" s="1"/>
      <c r="V9437" s="1"/>
      <c r="W9437" s="1"/>
      <c r="X9437" s="1"/>
      <c r="Y9437" s="1"/>
      <c r="Z9437" s="1"/>
      <c r="AA9437" s="1"/>
      <c r="AB9437" s="1"/>
    </row>
    <row r="9438" ht="50.25" customHeight="1">
      <c r="A9438" s="12">
        <v>9434.0</v>
      </c>
      <c r="B9438" s="13" t="s">
        <v>8699</v>
      </c>
      <c r="C9438" s="18" t="s">
        <v>9464</v>
      </c>
      <c r="D9438" s="1"/>
      <c r="E9438" s="1"/>
      <c r="F9438" s="1" t="str">
        <f>IFERROR(__xludf.DUMMYFUNCTION("GOOGLETRANSLATE(B9438, ""en"", ""fa"")
"),"موفقیت در پادکست")</f>
        <v>موفقیت در پادکست</v>
      </c>
      <c r="G9438" s="1" t="str">
        <f>IFERROR(__xludf.DUMMYFUNCTION("GOOGLETRANSLATE(C9438, ""en"", ""fa"")
"),"چگونه می توان از کارشناسان مهمان یا تأثیرگذاران صنعت برای ابتکارات بازاریابی مشترک استفاده کرد، مانند اشتراک گذاری محتوای یکدیگر، معرفی یکدیگر در خبرنامه ها یا فریادهای رسانه های اجتماعی.")</f>
        <v>چگونه می توان از کارشناسان مهمان یا تأثیرگذاران صنعت برای ابتکارات بازاریابی مشترک استفاده کرد، مانند اشتراک گذاری محتوای یکدیگر، معرفی یکدیگر در خبرنامه ها یا فریادهای رسانه های اجتماعی.</v>
      </c>
      <c r="H9438" s="1"/>
      <c r="I9438" s="1"/>
      <c r="J9438" s="1"/>
      <c r="K9438" s="1"/>
      <c r="L9438" s="1"/>
      <c r="M9438" s="1"/>
      <c r="N9438" s="1"/>
      <c r="O9438" s="1"/>
      <c r="P9438" s="1"/>
      <c r="Q9438" s="1"/>
      <c r="R9438" s="1"/>
      <c r="S9438" s="1"/>
      <c r="T9438" s="1"/>
      <c r="U9438" s="1"/>
      <c r="V9438" s="1"/>
      <c r="W9438" s="1"/>
      <c r="X9438" s="1"/>
      <c r="Y9438" s="1"/>
      <c r="Z9438" s="1"/>
      <c r="AA9438" s="1"/>
      <c r="AB9438" s="1"/>
    </row>
    <row r="9439" ht="50.25" customHeight="1">
      <c r="A9439" s="12">
        <v>9435.0</v>
      </c>
      <c r="B9439" s="13" t="s">
        <v>8699</v>
      </c>
      <c r="C9439" s="18" t="s">
        <v>9465</v>
      </c>
      <c r="D9439" s="1"/>
      <c r="E9439" s="1"/>
      <c r="F9439" s="1" t="str">
        <f>IFERROR(__xludf.DUMMYFUNCTION("GOOGLETRANSLATE(B9439, ""en"", ""fa"")
"),"موفقیت در پادکست")</f>
        <v>موفقیت در پادکست</v>
      </c>
      <c r="G9439" s="1" t="str">
        <f>IFERROR(__xludf.DUMMYFUNCTION("GOOGLETRANSLATE(C9439, ""en"", ""fa"")
"),"تکنیک‌های میزبانی کمپین‌های تبلیغاتی متقابل با پادکست‌ها یا مارک‌های مکمل برای افزایش نمایش و جذب شنوندگان جدید به برنامه شما چیست.")</f>
        <v>تکنیک‌های میزبانی کمپین‌های تبلیغاتی متقابل با پادکست‌ها یا مارک‌های مکمل برای افزایش نمایش و جذب شنوندگان جدید به برنامه شما چیست.</v>
      </c>
      <c r="H9439" s="1"/>
      <c r="I9439" s="1"/>
      <c r="J9439" s="1"/>
      <c r="K9439" s="1"/>
      <c r="L9439" s="1"/>
      <c r="M9439" s="1"/>
      <c r="N9439" s="1"/>
      <c r="O9439" s="1"/>
      <c r="P9439" s="1"/>
      <c r="Q9439" s="1"/>
      <c r="R9439" s="1"/>
      <c r="S9439" s="1"/>
      <c r="T9439" s="1"/>
      <c r="U9439" s="1"/>
      <c r="V9439" s="1"/>
      <c r="W9439" s="1"/>
      <c r="X9439" s="1"/>
      <c r="Y9439" s="1"/>
      <c r="Z9439" s="1"/>
      <c r="AA9439" s="1"/>
      <c r="AB9439" s="1"/>
    </row>
    <row r="9440" ht="50.25" customHeight="1">
      <c r="A9440" s="12">
        <v>9436.0</v>
      </c>
      <c r="B9440" s="13" t="s">
        <v>8699</v>
      </c>
      <c r="C9440" s="18" t="s">
        <v>9466</v>
      </c>
      <c r="D9440" s="1"/>
      <c r="E9440" s="1"/>
      <c r="F9440" s="1" t="str">
        <f>IFERROR(__xludf.DUMMYFUNCTION("GOOGLETRANSLATE(B9440, ""en"", ""fa"")
"),"موفقیت در پادکست")</f>
        <v>موفقیت در پادکست</v>
      </c>
      <c r="G9440" s="1" t="str">
        <f>IFERROR(__xludf.DUMMYFUNCTION("GOOGLETRANSLATE(C9440, ""en"", ""fa"")
"),"نحوه همکاری با ویراستاران پادکست، تولیدکنندگان، یا سایر ارائه دهندگان خدمات پادکست برای افزایش کیفیت و ارزش تولید نمایش خود.")</f>
        <v>نحوه همکاری با ویراستاران پادکست، تولیدکنندگان، یا سایر ارائه دهندگان خدمات پادکست برای افزایش کیفیت و ارزش تولید نمایش خود.</v>
      </c>
      <c r="H9440" s="1"/>
      <c r="I9440" s="1"/>
      <c r="J9440" s="1"/>
      <c r="K9440" s="1"/>
      <c r="L9440" s="1"/>
      <c r="M9440" s="1"/>
      <c r="N9440" s="1"/>
      <c r="O9440" s="1"/>
      <c r="P9440" s="1"/>
      <c r="Q9440" s="1"/>
      <c r="R9440" s="1"/>
      <c r="S9440" s="1"/>
      <c r="T9440" s="1"/>
      <c r="U9440" s="1"/>
      <c r="V9440" s="1"/>
      <c r="W9440" s="1"/>
      <c r="X9440" s="1"/>
      <c r="Y9440" s="1"/>
      <c r="Z9440" s="1"/>
      <c r="AA9440" s="1"/>
      <c r="AB9440" s="1"/>
    </row>
    <row r="9441" ht="50.25" customHeight="1">
      <c r="A9441" s="12">
        <v>9437.0</v>
      </c>
      <c r="B9441" s="13" t="s">
        <v>8699</v>
      </c>
      <c r="C9441" s="18" t="s">
        <v>9467</v>
      </c>
      <c r="D9441" s="1"/>
      <c r="E9441" s="1"/>
      <c r="F9441" s="1" t="str">
        <f>IFERROR(__xludf.DUMMYFUNCTION("GOOGLETRANSLATE(B9441, ""en"", ""fa"")
"),"موفقیت در پادکست")</f>
        <v>موفقیت در پادکست</v>
      </c>
      <c r="G9441" s="1" t="str">
        <f>IFERROR(__xludf.DUMMYFUNCTION("GOOGLETRANSLATE(C9441, ""en"", ""fa"")
"),"استراتژی‌های شرکت در پانل‌ها، بحث‌ها یا وبینارهای متخصص مهمان یا صنعت، برای به اشتراک گذاشتن تخصص خود، ایجاد اعتبار و ارتباط با سایر متخصصان چیست.")</f>
        <v>استراتژی‌های شرکت در پانل‌ها، بحث‌ها یا وبینارهای متخصص مهمان یا صنعت، برای به اشتراک گذاشتن تخصص خود، ایجاد اعتبار و ارتباط با سایر متخصصان چیست.</v>
      </c>
      <c r="H9441" s="1"/>
      <c r="I9441" s="1"/>
      <c r="J9441" s="1"/>
      <c r="K9441" s="1"/>
      <c r="L9441" s="1"/>
      <c r="M9441" s="1"/>
      <c r="N9441" s="1"/>
      <c r="O9441" s="1"/>
      <c r="P9441" s="1"/>
      <c r="Q9441" s="1"/>
      <c r="R9441" s="1"/>
      <c r="S9441" s="1"/>
      <c r="T9441" s="1"/>
      <c r="U9441" s="1"/>
      <c r="V9441" s="1"/>
      <c r="W9441" s="1"/>
      <c r="X9441" s="1"/>
      <c r="Y9441" s="1"/>
      <c r="Z9441" s="1"/>
      <c r="AA9441" s="1"/>
      <c r="AB9441" s="1"/>
    </row>
    <row r="9442" ht="50.25" customHeight="1">
      <c r="A9442" s="12">
        <v>9438.0</v>
      </c>
      <c r="B9442" s="13" t="s">
        <v>8699</v>
      </c>
      <c r="C9442" s="18" t="s">
        <v>9468</v>
      </c>
      <c r="D9442" s="1"/>
      <c r="E9442" s="1"/>
      <c r="F9442" s="1" t="str">
        <f>IFERROR(__xludf.DUMMYFUNCTION("GOOGLETRANSLATE(B9442, ""en"", ""fa"")
"),"موفقیت در پادکست")</f>
        <v>موفقیت در پادکست</v>
      </c>
      <c r="G9442" s="1" t="str">
        <f>IFERROR(__xludf.DUMMYFUNCTION("GOOGLETRANSLATE(C9442, ""en"", ""fa"")
"),"چگونه از استراتژی های بازاریابی اینفلوئنسر برای همکاری با اینفلوئنسرهای رسانه های اجتماعی، وبلاگ نویسان یا سازندگان YouTube برای گسترش دامنه پادکست خود و جذب شنوندگان جدید استفاده کنید.")</f>
        <v>چگونه از استراتژی های بازاریابی اینفلوئنسر برای همکاری با اینفلوئنسرهای رسانه های اجتماعی، وبلاگ نویسان یا سازندگان YouTube برای گسترش دامنه پادکست خود و جذب شنوندگان جدید استفاده کنید.</v>
      </c>
      <c r="H9442" s="1"/>
      <c r="I9442" s="1"/>
      <c r="J9442" s="1"/>
      <c r="K9442" s="1"/>
      <c r="L9442" s="1"/>
      <c r="M9442" s="1"/>
      <c r="N9442" s="1"/>
      <c r="O9442" s="1"/>
      <c r="P9442" s="1"/>
      <c r="Q9442" s="1"/>
      <c r="R9442" s="1"/>
      <c r="S9442" s="1"/>
      <c r="T9442" s="1"/>
      <c r="U9442" s="1"/>
      <c r="V9442" s="1"/>
      <c r="W9442" s="1"/>
      <c r="X9442" s="1"/>
      <c r="Y9442" s="1"/>
      <c r="Z9442" s="1"/>
      <c r="AA9442" s="1"/>
      <c r="AB9442" s="1"/>
    </row>
    <row r="9443" ht="50.25" customHeight="1">
      <c r="A9443" s="12">
        <v>9439.0</v>
      </c>
      <c r="B9443" s="13" t="s">
        <v>8699</v>
      </c>
      <c r="C9443" s="18" t="s">
        <v>9469</v>
      </c>
      <c r="D9443" s="1"/>
      <c r="E9443" s="1"/>
      <c r="F9443" s="1" t="str">
        <f>IFERROR(__xludf.DUMMYFUNCTION("GOOGLETRANSLATE(B9443, ""en"", ""fa"")
"),"موفقیت در پادکست")</f>
        <v>موفقیت در پادکست</v>
      </c>
      <c r="G9443" s="1" t="str">
        <f>IFERROR(__xludf.DUMMYFUNCTION("GOOGLETRANSLATE(C9443, ""en"", ""fa"")
"),"تکنیک‌های ایجاد میزگردهای متخصص مهمان یا قسمت‌های مشارکتی که دارای چندین متخصص است که بینش‌های خود را به اشتراک می‌گذارند و در گفتگو در مورد یک موضوع خاص شرکت می‌کنند، چیست.")</f>
        <v>تکنیک‌های ایجاد میزگردهای متخصص مهمان یا قسمت‌های مشارکتی که دارای چندین متخصص است که بینش‌های خود را به اشتراک می‌گذارند و در گفتگو در مورد یک موضوع خاص شرکت می‌کنند، چیست.</v>
      </c>
      <c r="H9443" s="1"/>
      <c r="I9443" s="1"/>
      <c r="J9443" s="1"/>
      <c r="K9443" s="1"/>
      <c r="L9443" s="1"/>
      <c r="M9443" s="1"/>
      <c r="N9443" s="1"/>
      <c r="O9443" s="1"/>
      <c r="P9443" s="1"/>
      <c r="Q9443" s="1"/>
      <c r="R9443" s="1"/>
      <c r="S9443" s="1"/>
      <c r="T9443" s="1"/>
      <c r="U9443" s="1"/>
      <c r="V9443" s="1"/>
      <c r="W9443" s="1"/>
      <c r="X9443" s="1"/>
      <c r="Y9443" s="1"/>
      <c r="Z9443" s="1"/>
      <c r="AA9443" s="1"/>
      <c r="AB9443" s="1"/>
    </row>
    <row r="9444" ht="50.25" customHeight="1">
      <c r="A9444" s="12">
        <v>9440.0</v>
      </c>
      <c r="B9444" s="13" t="s">
        <v>8699</v>
      </c>
      <c r="C9444" s="18" t="s">
        <v>9470</v>
      </c>
      <c r="D9444" s="1"/>
      <c r="E9444" s="1"/>
      <c r="F9444" s="1" t="str">
        <f>IFERROR(__xludf.DUMMYFUNCTION("GOOGLETRANSLATE(B9444, ""en"", ""fa"")
"),"موفقیت در پادکست")</f>
        <v>موفقیت در پادکست</v>
      </c>
      <c r="G9444" s="1" t="str">
        <f>IFERROR(__xludf.DUMMYFUNCTION("GOOGLETRANSLATE(C9444, ""en"", ""fa"")
"),"چگونه به عنوان یک میهمان یا متخصص مهمان در پادکست های مهمان شرکت کنید تا تخصص خود را به نمایش بگذارید، شبکه خود را گسترش دهید و شنوندگان جدیدی را به برنامه خود جذب کنید.")</f>
        <v>چگونه به عنوان یک میهمان یا متخصص مهمان در پادکست های مهمان شرکت کنید تا تخصص خود را به نمایش بگذارید، شبکه خود را گسترش دهید و شنوندگان جدیدی را به برنامه خود جذب کنید.</v>
      </c>
      <c r="H9444" s="1"/>
      <c r="I9444" s="1"/>
      <c r="J9444" s="1"/>
      <c r="K9444" s="1"/>
      <c r="L9444" s="1"/>
      <c r="M9444" s="1"/>
      <c r="N9444" s="1"/>
      <c r="O9444" s="1"/>
      <c r="P9444" s="1"/>
      <c r="Q9444" s="1"/>
      <c r="R9444" s="1"/>
      <c r="S9444" s="1"/>
      <c r="T9444" s="1"/>
      <c r="U9444" s="1"/>
      <c r="V9444" s="1"/>
      <c r="W9444" s="1"/>
      <c r="X9444" s="1"/>
      <c r="Y9444" s="1"/>
      <c r="Z9444" s="1"/>
      <c r="AA9444" s="1"/>
      <c r="AB9444" s="1"/>
    </row>
    <row r="9445" ht="50.25" customHeight="1">
      <c r="A9445" s="12">
        <v>9441.0</v>
      </c>
      <c r="B9445" s="13" t="s">
        <v>8699</v>
      </c>
      <c r="C9445" s="18" t="s">
        <v>9471</v>
      </c>
      <c r="D9445" s="1"/>
      <c r="E9445" s="1"/>
      <c r="F9445" s="1" t="str">
        <f>IFERROR(__xludf.DUMMYFUNCTION("GOOGLETRANSLATE(B9445, ""en"", ""fa"")
"),"موفقیت در پادکست")</f>
        <v>موفقیت در پادکست</v>
      </c>
      <c r="G9445" s="1" t="str">
        <f>IFERROR(__xludf.DUMMYFUNCTION("GOOGLETRANSLATE(C9445, ""en"", ""fa"")
"),"راهبردهای میزبانی جلسات شبکه مجازی یا حضوری به طور خاص برای مخاطبان پادکست شما برای تقویت ارتباطات و ایجاد یک جامعه پیرامون برنامه شما چیست.")</f>
        <v>راهبردهای میزبانی جلسات شبکه مجازی یا حضوری به طور خاص برای مخاطبان پادکست شما برای تقویت ارتباطات و ایجاد یک جامعه پیرامون برنامه شما چیست.</v>
      </c>
      <c r="H9445" s="1"/>
      <c r="I9445" s="1"/>
      <c r="J9445" s="1"/>
      <c r="K9445" s="1"/>
      <c r="L9445" s="1"/>
      <c r="M9445" s="1"/>
      <c r="N9445" s="1"/>
      <c r="O9445" s="1"/>
      <c r="P9445" s="1"/>
      <c r="Q9445" s="1"/>
      <c r="R9445" s="1"/>
      <c r="S9445" s="1"/>
      <c r="T9445" s="1"/>
      <c r="U9445" s="1"/>
      <c r="V9445" s="1"/>
      <c r="W9445" s="1"/>
      <c r="X9445" s="1"/>
      <c r="Y9445" s="1"/>
      <c r="Z9445" s="1"/>
      <c r="AA9445" s="1"/>
      <c r="AB9445" s="1"/>
    </row>
    <row r="9446" ht="50.25" customHeight="1">
      <c r="A9446" s="12">
        <v>9442.0</v>
      </c>
      <c r="B9446" s="13" t="s">
        <v>8699</v>
      </c>
      <c r="C9446" s="18" t="s">
        <v>9472</v>
      </c>
      <c r="D9446" s="1"/>
      <c r="E9446" s="1"/>
      <c r="F9446" s="1" t="str">
        <f>IFERROR(__xludf.DUMMYFUNCTION("GOOGLETRANSLATE(B9446, ""en"", ""fa"")
"),"موفقیت در پادکست")</f>
        <v>موفقیت در پادکست</v>
      </c>
      <c r="G9446" s="1" t="str">
        <f>IFERROR(__xludf.DUMMYFUNCTION("GOOGLETRANSLATE(C9446, ""en"", ""fa"")
"),"نحوه ایجاد مشارکت با شرکت‌ها یا سازمان‌های محلی برای میزبانی رویدادهای زنده پادکست یا کارگاه‌هایی که پادکست‌ها و علاقه‌مندان را در منطقه شما گرد هم می‌آورند.")</f>
        <v>نحوه ایجاد مشارکت با شرکت‌ها یا سازمان‌های محلی برای میزبانی رویدادهای زنده پادکست یا کارگاه‌هایی که پادکست‌ها و علاقه‌مندان را در منطقه شما گرد هم می‌آورند.</v>
      </c>
      <c r="H9446" s="1"/>
      <c r="I9446" s="1"/>
      <c r="J9446" s="1"/>
      <c r="K9446" s="1"/>
      <c r="L9446" s="1"/>
      <c r="M9446" s="1"/>
      <c r="N9446" s="1"/>
      <c r="O9446" s="1"/>
      <c r="P9446" s="1"/>
      <c r="Q9446" s="1"/>
      <c r="R9446" s="1"/>
      <c r="S9446" s="1"/>
      <c r="T9446" s="1"/>
      <c r="U9446" s="1"/>
      <c r="V9446" s="1"/>
      <c r="W9446" s="1"/>
      <c r="X9446" s="1"/>
      <c r="Y9446" s="1"/>
      <c r="Z9446" s="1"/>
      <c r="AA9446" s="1"/>
      <c r="AB9446" s="1"/>
    </row>
    <row r="9447" ht="50.25" customHeight="1">
      <c r="A9447" s="12">
        <v>9443.0</v>
      </c>
      <c r="B9447" s="13" t="s">
        <v>8699</v>
      </c>
      <c r="C9447" s="18" t="s">
        <v>9473</v>
      </c>
      <c r="D9447" s="1"/>
      <c r="E9447" s="1"/>
      <c r="F9447" s="1" t="str">
        <f>IFERROR(__xludf.DUMMYFUNCTION("GOOGLETRANSLATE(B9447, ""en"", ""fa"")
"),"موفقیت در پادکست")</f>
        <v>موفقیت در پادکست</v>
      </c>
      <c r="G9447" s="1" t="str">
        <f>IFERROR(__xludf.DUMMYFUNCTION("GOOGLETRANSLATE(C9447, ""en"", ""fa"")
"),"تکنیک‌های استفاده از ایجاد محتوای مشارکتی، مانند مقالات مشترک، مجموعه‌های پادکست یا پروژه‌های چند رسانه‌ای، برای گسترش شبکه و افزایش دسترسی شما چیست.")</f>
        <v>تکنیک‌های استفاده از ایجاد محتوای مشارکتی، مانند مقالات مشترک، مجموعه‌های پادکست یا پروژه‌های چند رسانه‌ای، برای گسترش شبکه و افزایش دسترسی شما چیست.</v>
      </c>
      <c r="H9447" s="1"/>
      <c r="I9447" s="1"/>
      <c r="J9447" s="1"/>
      <c r="K9447" s="1"/>
      <c r="L9447" s="1"/>
      <c r="M9447" s="1"/>
      <c r="N9447" s="1"/>
      <c r="O9447" s="1"/>
      <c r="P9447" s="1"/>
      <c r="Q9447" s="1"/>
      <c r="R9447" s="1"/>
      <c r="S9447" s="1"/>
      <c r="T9447" s="1"/>
      <c r="U9447" s="1"/>
      <c r="V9447" s="1"/>
      <c r="W9447" s="1"/>
      <c r="X9447" s="1"/>
      <c r="Y9447" s="1"/>
      <c r="Z9447" s="1"/>
      <c r="AA9447" s="1"/>
      <c r="AB9447" s="1"/>
    </row>
    <row r="9448" ht="50.25" customHeight="1">
      <c r="A9448" s="12">
        <v>9444.0</v>
      </c>
      <c r="B9448" s="13" t="s">
        <v>8699</v>
      </c>
      <c r="C9448" s="18" t="s">
        <v>9474</v>
      </c>
      <c r="D9448" s="1"/>
      <c r="E9448" s="1"/>
      <c r="F9448" s="1" t="str">
        <f>IFERROR(__xludf.DUMMYFUNCTION("GOOGLETRANSLATE(B9448, ""en"", ""fa"")
"),"موفقیت در پادکست")</f>
        <v>موفقیت در پادکست</v>
      </c>
      <c r="G9448" s="1" t="str">
        <f>IFERROR(__xludf.DUMMYFUNCTION("GOOGLETRANSLATE(C9448, ""en"", ""fa"")
"),"نحوه همکاری با پلتفرم‌ها، دایرکتوری‌ها یا برنامه‌های پادکست برای کسب در معرض دید بیشتر و دستیابی به شنوندگان جدید از طریق مکان‌های ویژه یا فرصت‌های تبلیغات متقابل.")</f>
        <v>نحوه همکاری با پلتفرم‌ها، دایرکتوری‌ها یا برنامه‌های پادکست برای کسب در معرض دید بیشتر و دستیابی به شنوندگان جدید از طریق مکان‌های ویژه یا فرصت‌های تبلیغات متقابل.</v>
      </c>
      <c r="H9448" s="1"/>
      <c r="I9448" s="1"/>
      <c r="J9448" s="1"/>
      <c r="K9448" s="1"/>
      <c r="L9448" s="1"/>
      <c r="M9448" s="1"/>
      <c r="N9448" s="1"/>
      <c r="O9448" s="1"/>
      <c r="P9448" s="1"/>
      <c r="Q9448" s="1"/>
      <c r="R9448" s="1"/>
      <c r="S9448" s="1"/>
      <c r="T9448" s="1"/>
      <c r="U9448" s="1"/>
      <c r="V9448" s="1"/>
      <c r="W9448" s="1"/>
      <c r="X9448" s="1"/>
      <c r="Y9448" s="1"/>
      <c r="Z9448" s="1"/>
      <c r="AA9448" s="1"/>
      <c r="AB9448" s="1"/>
    </row>
    <row r="9449" ht="50.25" customHeight="1">
      <c r="A9449" s="12">
        <v>9445.0</v>
      </c>
      <c r="B9449" s="13" t="s">
        <v>8699</v>
      </c>
      <c r="C9449" s="18" t="s">
        <v>9475</v>
      </c>
      <c r="D9449" s="1"/>
      <c r="E9449" s="1"/>
      <c r="F9449" s="1" t="str">
        <f>IFERROR(__xludf.DUMMYFUNCTION("GOOGLETRANSLATE(B9449, ""en"", ""fa"")
"),"موفقیت در پادکست")</f>
        <v>موفقیت در پادکست</v>
      </c>
      <c r="G9449" s="1" t="str">
        <f>IFERROR(__xludf.DUMMYFUNCTION("GOOGLETRANSLATE(C9449, ""en"", ""fa"")
"),"استراتژی‌های شرکت در کنفرانس‌ها، همایش‌ها، یا نمایشگاه‌های تجاری صنعت پادکست برای برقراری ارتباط با متخصصان، کشف فرصت‌های همکاری و به‌روز ماندن در مورد روندهای صنعت چیست.")</f>
        <v>استراتژی‌های شرکت در کنفرانس‌ها، همایش‌ها، یا نمایشگاه‌های تجاری صنعت پادکست برای برقراری ارتباط با متخصصان، کشف فرصت‌های همکاری و به‌روز ماندن در مورد روندهای صنعت چیست.</v>
      </c>
      <c r="H9449" s="1"/>
      <c r="I9449" s="1"/>
      <c r="J9449" s="1"/>
      <c r="K9449" s="1"/>
      <c r="L9449" s="1"/>
      <c r="M9449" s="1"/>
      <c r="N9449" s="1"/>
      <c r="O9449" s="1"/>
      <c r="P9449" s="1"/>
      <c r="Q9449" s="1"/>
      <c r="R9449" s="1"/>
      <c r="S9449" s="1"/>
      <c r="T9449" s="1"/>
      <c r="U9449" s="1"/>
      <c r="V9449" s="1"/>
      <c r="W9449" s="1"/>
      <c r="X9449" s="1"/>
      <c r="Y9449" s="1"/>
      <c r="Z9449" s="1"/>
      <c r="AA9449" s="1"/>
      <c r="AB9449" s="1"/>
    </row>
    <row r="9450" ht="50.25" customHeight="1">
      <c r="A9450" s="12">
        <v>9446.0</v>
      </c>
      <c r="B9450" s="13" t="s">
        <v>8699</v>
      </c>
      <c r="C9450" s="18" t="s">
        <v>9476</v>
      </c>
      <c r="D9450" s="1"/>
      <c r="E9450" s="1"/>
      <c r="F9450" s="1" t="str">
        <f>IFERROR(__xludf.DUMMYFUNCTION("GOOGLETRANSLATE(B9450, ""en"", ""fa"")
"),"موفقیت در پادکست")</f>
        <v>موفقیت در پادکست</v>
      </c>
      <c r="G9450" s="1" t="str">
        <f>IFERROR(__xludf.DUMMYFUNCTION("GOOGLETRANSLATE(C9450, ""en"", ""fa"")
"),"چگونه می توان از حضور مهمان پادکست برای ایجاد روابط با میزبانان پادکست، تولیدکنندگان یا تأثیرگذاران صنعت برای پروژه های همکاری احتمالی آینده استفاده کرد.")</f>
        <v>چگونه می توان از حضور مهمان پادکست برای ایجاد روابط با میزبانان پادکست، تولیدکنندگان یا تأثیرگذاران صنعت برای پروژه های همکاری احتمالی آینده استفاده کرد.</v>
      </c>
      <c r="H9450" s="1"/>
      <c r="I9450" s="1"/>
      <c r="J9450" s="1"/>
      <c r="K9450" s="1"/>
      <c r="L9450" s="1"/>
      <c r="M9450" s="1"/>
      <c r="N9450" s="1"/>
      <c r="O9450" s="1"/>
      <c r="P9450" s="1"/>
      <c r="Q9450" s="1"/>
      <c r="R9450" s="1"/>
      <c r="S9450" s="1"/>
      <c r="T9450" s="1"/>
      <c r="U9450" s="1"/>
      <c r="V9450" s="1"/>
      <c r="W9450" s="1"/>
      <c r="X9450" s="1"/>
      <c r="Y9450" s="1"/>
      <c r="Z9450" s="1"/>
      <c r="AA9450" s="1"/>
      <c r="AB9450" s="1"/>
    </row>
    <row r="9451" ht="50.25" customHeight="1">
      <c r="A9451" s="12">
        <v>9447.0</v>
      </c>
      <c r="B9451" s="13" t="s">
        <v>8699</v>
      </c>
      <c r="C9451" s="18" t="s">
        <v>9477</v>
      </c>
      <c r="D9451" s="1"/>
      <c r="E9451" s="1"/>
      <c r="F9451" s="1" t="str">
        <f>IFERROR(__xludf.DUMMYFUNCTION("GOOGLETRANSLATE(B9451, ""en"", ""fa"")
"),"موفقیت در پادکست")</f>
        <v>موفقیت در پادکست</v>
      </c>
      <c r="G9451" s="1" t="str">
        <f>IFERROR(__xludf.DUMMYFUNCTION("GOOGLETRANSLATE(C9451, ""en"", ""fa"")
"),"برای ارتقای پادکست خود و جذب شنوندگان جدید چه تکنیک هایی برای استفاده از اینفلوئنسرها یا فرصت های میزبانی مهمان در پلتفرم های دیگر، مانند کانال های یوتیوب یا حساب های رسانه های اجتماعی وجود دارد.")</f>
        <v>برای ارتقای پادکست خود و جذب شنوندگان جدید چه تکنیک هایی برای استفاده از اینفلوئنسرها یا فرصت های میزبانی مهمان در پلتفرم های دیگر، مانند کانال های یوتیوب یا حساب های رسانه های اجتماعی وجود دارد.</v>
      </c>
      <c r="H9451" s="1"/>
      <c r="I9451" s="1"/>
      <c r="J9451" s="1"/>
      <c r="K9451" s="1"/>
      <c r="L9451" s="1"/>
      <c r="M9451" s="1"/>
      <c r="N9451" s="1"/>
      <c r="O9451" s="1"/>
      <c r="P9451" s="1"/>
      <c r="Q9451" s="1"/>
      <c r="R9451" s="1"/>
      <c r="S9451" s="1"/>
      <c r="T9451" s="1"/>
      <c r="U9451" s="1"/>
      <c r="V9451" s="1"/>
      <c r="W9451" s="1"/>
      <c r="X9451" s="1"/>
      <c r="Y9451" s="1"/>
      <c r="Z9451" s="1"/>
      <c r="AA9451" s="1"/>
      <c r="AB9451" s="1"/>
    </row>
    <row r="9452" ht="50.25" customHeight="1">
      <c r="A9452" s="12">
        <v>9448.0</v>
      </c>
      <c r="B9452" s="13" t="s">
        <v>8699</v>
      </c>
      <c r="C9452" s="18" t="s">
        <v>9478</v>
      </c>
      <c r="D9452" s="1"/>
      <c r="E9452" s="1"/>
      <c r="F9452" s="1" t="str">
        <f>IFERROR(__xludf.DUMMYFUNCTION("GOOGLETRANSLATE(B9452, ""en"", ""fa"")
"),"موفقیت در پادکست")</f>
        <v>موفقیت در پادکست</v>
      </c>
      <c r="G9452" s="1" t="str">
        <f>IFERROR(__xludf.DUMMYFUNCTION("GOOGLETRANSLATE(C9452, ""en"", ""fa"")
"),"چگونه در رقابت‌ها، چالش‌ها یا رویدادهای مرتبط با صنعت پادکست شرکت کنید تا پادکست خود را به نمایش بگذارید، در معرض دید قرار بگیرید و با سازندگان دیگر ارتباط برقرار کنید.")</f>
        <v>چگونه در رقابت‌ها، چالش‌ها یا رویدادهای مرتبط با صنعت پادکست شرکت کنید تا پادکست خود را به نمایش بگذارید، در معرض دید قرار بگیرید و با سازندگان دیگر ارتباط برقرار کنید.</v>
      </c>
      <c r="H9452" s="1"/>
      <c r="I9452" s="1"/>
      <c r="J9452" s="1"/>
      <c r="K9452" s="1"/>
      <c r="L9452" s="1"/>
      <c r="M9452" s="1"/>
      <c r="N9452" s="1"/>
      <c r="O9452" s="1"/>
      <c r="P9452" s="1"/>
      <c r="Q9452" s="1"/>
      <c r="R9452" s="1"/>
      <c r="S9452" s="1"/>
      <c r="T9452" s="1"/>
      <c r="U9452" s="1"/>
      <c r="V9452" s="1"/>
      <c r="W9452" s="1"/>
      <c r="X9452" s="1"/>
      <c r="Y9452" s="1"/>
      <c r="Z9452" s="1"/>
      <c r="AA9452" s="1"/>
      <c r="AB9452" s="1"/>
    </row>
    <row r="9453" ht="50.25" customHeight="1">
      <c r="A9453" s="12">
        <v>9449.0</v>
      </c>
      <c r="B9453" s="13" t="s">
        <v>8699</v>
      </c>
      <c r="C9453" s="18" t="s">
        <v>9479</v>
      </c>
      <c r="D9453" s="1"/>
      <c r="E9453" s="1"/>
      <c r="F9453" s="1" t="str">
        <f>IFERROR(__xludf.DUMMYFUNCTION("GOOGLETRANSLATE(B9453, ""en"", ""fa"")
"),"موفقیت در پادکست")</f>
        <v>موفقیت در پادکست</v>
      </c>
      <c r="G9453" s="1" t="str">
        <f>IFERROR(__xludf.DUMMYFUNCTION("GOOGLETRANSLATE(C9453, ""en"", ""fa"")
"),"استراتژی‌های همکاری با انجمن‌های صنعتی، جوامع یا رهبران فکری برای ایجاد مشترک منابع آموزشی، دوره‌ها یا وبینارها برای پادکست‌های مشتاق چیست؟")</f>
        <v>استراتژی‌های همکاری با انجمن‌های صنعتی، جوامع یا رهبران فکری برای ایجاد مشترک منابع آموزشی، دوره‌ها یا وبینارها برای پادکست‌های مشتاق چیست؟</v>
      </c>
      <c r="H9453" s="1"/>
      <c r="I9453" s="1"/>
      <c r="J9453" s="1"/>
      <c r="K9453" s="1"/>
      <c r="L9453" s="1"/>
      <c r="M9453" s="1"/>
      <c r="N9453" s="1"/>
      <c r="O9453" s="1"/>
      <c r="P9453" s="1"/>
      <c r="Q9453" s="1"/>
      <c r="R9453" s="1"/>
      <c r="S9453" s="1"/>
      <c r="T9453" s="1"/>
      <c r="U9453" s="1"/>
      <c r="V9453" s="1"/>
      <c r="W9453" s="1"/>
      <c r="X9453" s="1"/>
      <c r="Y9453" s="1"/>
      <c r="Z9453" s="1"/>
      <c r="AA9453" s="1"/>
      <c r="AB9453" s="1"/>
    </row>
    <row r="9454" ht="50.25" customHeight="1">
      <c r="A9454" s="12">
        <v>9450.0</v>
      </c>
      <c r="B9454" s="13" t="s">
        <v>8699</v>
      </c>
      <c r="C9454" s="18" t="s">
        <v>9480</v>
      </c>
      <c r="D9454" s="1"/>
      <c r="E9454" s="1"/>
      <c r="F9454" s="1" t="str">
        <f>IFERROR(__xludf.DUMMYFUNCTION("GOOGLETRANSLATE(B9454, ""en"", ""fa"")
"),"موفقیت در پادکست")</f>
        <v>موفقیت در پادکست</v>
      </c>
      <c r="G9454" s="1" t="str">
        <f>IFERROR(__xludf.DUMMYFUNCTION("GOOGLETRANSLATE(C9454, ""en"", ""fa"")
"),"نحوه ایجاد مشارکت استراتژیک با برندها یا سازمان‌های مرتبط برای ایجاد مشترک محتوا، رویدادها یا کمپین‌های حمایت‌شده که با جایگاه و مخاطبان پادکست شما همسو باشد.")</f>
        <v>نحوه ایجاد مشارکت استراتژیک با برندها یا سازمان‌های مرتبط برای ایجاد مشترک محتوا، رویدادها یا کمپین‌های حمایت‌شده که با جایگاه و مخاطبان پادکست شما همسو باشد.</v>
      </c>
      <c r="H9454" s="1"/>
      <c r="I9454" s="1"/>
      <c r="J9454" s="1"/>
      <c r="K9454" s="1"/>
      <c r="L9454" s="1"/>
      <c r="M9454" s="1"/>
      <c r="N9454" s="1"/>
      <c r="O9454" s="1"/>
      <c r="P9454" s="1"/>
      <c r="Q9454" s="1"/>
      <c r="R9454" s="1"/>
      <c r="S9454" s="1"/>
      <c r="T9454" s="1"/>
      <c r="U9454" s="1"/>
      <c r="V9454" s="1"/>
      <c r="W9454" s="1"/>
      <c r="X9454" s="1"/>
      <c r="Y9454" s="1"/>
      <c r="Z9454" s="1"/>
      <c r="AA9454" s="1"/>
      <c r="AB9454" s="1"/>
    </row>
    <row r="9455" ht="50.25" customHeight="1">
      <c r="A9455" s="12">
        <v>9451.0</v>
      </c>
      <c r="B9455" s="13" t="s">
        <v>8699</v>
      </c>
      <c r="C9455" s="18" t="s">
        <v>9481</v>
      </c>
      <c r="D9455" s="1"/>
      <c r="E9455" s="1"/>
      <c r="F9455" s="1" t="str">
        <f>IFERROR(__xludf.DUMMYFUNCTION("GOOGLETRANSLATE(B9455, ""en"", ""fa"")
"),"موفقیت در پادکست")</f>
        <v>موفقیت در پادکست</v>
      </c>
      <c r="G9455" s="1" t="str">
        <f>IFERROR(__xludf.DUMMYFUNCTION("GOOGLETRANSLATE(C9455, ""en"", ""fa"")
"),"تکنیک‌های پیوستن یا ایجاد گروه‌های مغز متفکر پادکست یا مشارکت‌های پاسخگویی برای دریافت پشتیبانی، تبادل ایده‌ها و تقویت رشد مشترک چیست؟")</f>
        <v>تکنیک‌های پیوستن یا ایجاد گروه‌های مغز متفکر پادکست یا مشارکت‌های پاسخگویی برای دریافت پشتیبانی، تبادل ایده‌ها و تقویت رشد مشترک چیست؟</v>
      </c>
      <c r="H9455" s="1"/>
      <c r="I9455" s="1"/>
      <c r="J9455" s="1"/>
      <c r="K9455" s="1"/>
      <c r="L9455" s="1"/>
      <c r="M9455" s="1"/>
      <c r="N9455" s="1"/>
      <c r="O9455" s="1"/>
      <c r="P9455" s="1"/>
      <c r="Q9455" s="1"/>
      <c r="R9455" s="1"/>
      <c r="S9455" s="1"/>
      <c r="T9455" s="1"/>
      <c r="U9455" s="1"/>
      <c r="V9455" s="1"/>
      <c r="W9455" s="1"/>
      <c r="X9455" s="1"/>
      <c r="Y9455" s="1"/>
      <c r="Z9455" s="1"/>
      <c r="AA9455" s="1"/>
      <c r="AB9455" s="1"/>
    </row>
    <row r="9456" ht="50.25" customHeight="1">
      <c r="A9456" s="12">
        <v>9452.0</v>
      </c>
      <c r="B9456" s="13" t="s">
        <v>8699</v>
      </c>
      <c r="C9456" s="18" t="s">
        <v>9482</v>
      </c>
      <c r="D9456" s="1"/>
      <c r="E9456" s="1"/>
      <c r="F9456" s="1" t="str">
        <f>IFERROR(__xludf.DUMMYFUNCTION("GOOGLETRANSLATE(B9456, ""en"", ""fa"")
"),"موفقیت در پادکست")</f>
        <v>موفقیت در پادکست</v>
      </c>
      <c r="G9456" s="1" t="str">
        <f>IFERROR(__xludf.DUMMYFUNCTION("GOOGLETRANSLATE(C9456, ""en"", ""fa"")
"),"چگونه از حضور مهمان در پادکست یا همکاری ها استفاده کنید تا خود را به عنوان یک رهبر فکری یا متخصص در جایگاه خود قرار دهید و فرصت های همکاری با سایر متخصصان را جذب کنید.")</f>
        <v>چگونه از حضور مهمان در پادکست یا همکاری ها استفاده کنید تا خود را به عنوان یک رهبر فکری یا متخصص در جایگاه خود قرار دهید و فرصت های همکاری با سایر متخصصان را جذب کنید.</v>
      </c>
      <c r="H9456" s="1"/>
      <c r="I9456" s="1"/>
      <c r="J9456" s="1"/>
      <c r="K9456" s="1"/>
      <c r="L9456" s="1"/>
      <c r="M9456" s="1"/>
      <c r="N9456" s="1"/>
      <c r="O9456" s="1"/>
      <c r="P9456" s="1"/>
      <c r="Q9456" s="1"/>
      <c r="R9456" s="1"/>
      <c r="S9456" s="1"/>
      <c r="T9456" s="1"/>
      <c r="U9456" s="1"/>
      <c r="V9456" s="1"/>
      <c r="W9456" s="1"/>
      <c r="X9456" s="1"/>
      <c r="Y9456" s="1"/>
      <c r="Z9456" s="1"/>
      <c r="AA9456" s="1"/>
      <c r="AB9456" s="1"/>
    </row>
    <row r="9457" ht="50.25" customHeight="1">
      <c r="A9457" s="12">
        <v>9453.0</v>
      </c>
      <c r="B9457" s="13" t="s">
        <v>8699</v>
      </c>
      <c r="C9457" s="18" t="s">
        <v>9483</v>
      </c>
      <c r="D9457" s="1"/>
      <c r="E9457" s="1"/>
      <c r="F9457" s="1" t="str">
        <f>IFERROR(__xludf.DUMMYFUNCTION("GOOGLETRANSLATE(B9457, ""en"", ""fa"")
"),"موفقیت در پادکست")</f>
        <v>موفقیت در پادکست</v>
      </c>
      <c r="G9457" s="1" t="str">
        <f>IFERROR(__xludf.DUMMYFUNCTION("GOOGLETRANSLATE(C9457, ""en"", ""fa"")
"),"استراتژی‌های شرکت در نمایشگاه‌ها، کنوانسیون‌ها یا رویدادهای صنعتی برای برقراری ارتباط با متخصصان، بررسی فرصت‌های مشارکت و به‌روز ماندن در مورد روندها و فناوری‌های نوظهور در پادکست چیست.")</f>
        <v>استراتژی‌های شرکت در نمایشگاه‌ها، کنوانسیون‌ها یا رویدادهای صنعتی برای برقراری ارتباط با متخصصان، بررسی فرصت‌های مشارکت و به‌روز ماندن در مورد روندها و فناوری‌های نوظهور در پادکست چیست.</v>
      </c>
      <c r="H9457" s="1"/>
      <c r="I9457" s="1"/>
      <c r="J9457" s="1"/>
      <c r="K9457" s="1"/>
      <c r="L9457" s="1"/>
      <c r="M9457" s="1"/>
      <c r="N9457" s="1"/>
      <c r="O9457" s="1"/>
      <c r="P9457" s="1"/>
      <c r="Q9457" s="1"/>
      <c r="R9457" s="1"/>
      <c r="S9457" s="1"/>
      <c r="T9457" s="1"/>
      <c r="U9457" s="1"/>
      <c r="V9457" s="1"/>
      <c r="W9457" s="1"/>
      <c r="X9457" s="1"/>
      <c r="Y9457" s="1"/>
      <c r="Z9457" s="1"/>
      <c r="AA9457" s="1"/>
      <c r="AB9457" s="1"/>
    </row>
    <row r="9458" ht="50.25" customHeight="1">
      <c r="A9458" s="12">
        <v>9454.0</v>
      </c>
      <c r="B9458" s="13" t="s">
        <v>8699</v>
      </c>
      <c r="C9458" s="18" t="s">
        <v>9484</v>
      </c>
      <c r="D9458" s="1"/>
      <c r="E9458" s="1"/>
      <c r="F9458" s="1" t="str">
        <f>IFERROR(__xludf.DUMMYFUNCTION("GOOGLETRANSLATE(B9458, ""en"", ""fa"")
"),"موفقیت در پادکست")</f>
        <v>موفقیت در پادکست</v>
      </c>
      <c r="G9458" s="1" t="str">
        <f>IFERROR(__xludf.DUMMYFUNCTION("GOOGLETRANSLATE(C9458, ""en"", ""fa"")
"),"استراتژی‌های خاصی برای پادکست‌ها در حوزه کسب‌وکار و کارآفرینی برای جذب و جذب مخاطبان هدف از کارآفرینان مشتاق و متخصصان کسب‌وکار چیست؟")</f>
        <v>استراتژی‌های خاصی برای پادکست‌ها در حوزه کسب‌وکار و کارآفرینی برای جذب و جذب مخاطبان هدف از کارآفرینان مشتاق و متخصصان کسب‌وکار چیست؟</v>
      </c>
      <c r="H9458" s="1"/>
      <c r="I9458" s="1"/>
      <c r="J9458" s="1"/>
      <c r="K9458" s="1"/>
      <c r="L9458" s="1"/>
      <c r="M9458" s="1"/>
      <c r="N9458" s="1"/>
      <c r="O9458" s="1"/>
      <c r="P9458" s="1"/>
      <c r="Q9458" s="1"/>
      <c r="R9458" s="1"/>
      <c r="S9458" s="1"/>
      <c r="T9458" s="1"/>
      <c r="U9458" s="1"/>
      <c r="V9458" s="1"/>
      <c r="W9458" s="1"/>
      <c r="X9458" s="1"/>
      <c r="Y9458" s="1"/>
      <c r="Z9458" s="1"/>
      <c r="AA9458" s="1"/>
      <c r="AB9458" s="1"/>
    </row>
    <row r="9459" ht="50.25" customHeight="1">
      <c r="A9459" s="12">
        <v>9455.0</v>
      </c>
      <c r="B9459" s="13" t="s">
        <v>8699</v>
      </c>
      <c r="C9459" s="18" t="s">
        <v>9485</v>
      </c>
      <c r="D9459" s="1"/>
      <c r="E9459" s="1"/>
      <c r="F9459" s="1" t="str">
        <f>IFERROR(__xludf.DUMMYFUNCTION("GOOGLETRANSLATE(B9459, ""en"", ""fa"")
"),"موفقیت در پادکست")</f>
        <v>موفقیت در پادکست</v>
      </c>
      <c r="G9459" s="1" t="str">
        <f>IFERROR(__xludf.DUMMYFUNCTION("GOOGLETRANSLATE(C9459, ""en"", ""fa"")
"),"چگونه می توان محتواهای خاص و تکنیک های داستان سرایی را برای پادکست ها در ژانر جنایی واقعی ایجاد کرد تا شنوندگانی را که به داستان های جنایی و معمایی علاقه مند هستند مجذوب و درگیر کند؟")</f>
        <v>چگونه می توان محتواهای خاص و تکنیک های داستان سرایی را برای پادکست ها در ژانر جنایی واقعی ایجاد کرد تا شنوندگانی را که به داستان های جنایی و معمایی علاقه مند هستند مجذوب و درگیر کند؟</v>
      </c>
      <c r="H9459" s="1"/>
      <c r="I9459" s="1"/>
      <c r="J9459" s="1"/>
      <c r="K9459" s="1"/>
      <c r="L9459" s="1"/>
      <c r="M9459" s="1"/>
      <c r="N9459" s="1"/>
      <c r="O9459" s="1"/>
      <c r="P9459" s="1"/>
      <c r="Q9459" s="1"/>
      <c r="R9459" s="1"/>
      <c r="S9459" s="1"/>
      <c r="T9459" s="1"/>
      <c r="U9459" s="1"/>
      <c r="V9459" s="1"/>
      <c r="W9459" s="1"/>
      <c r="X9459" s="1"/>
      <c r="Y9459" s="1"/>
      <c r="Z9459" s="1"/>
      <c r="AA9459" s="1"/>
      <c r="AB9459" s="1"/>
    </row>
    <row r="9460" ht="50.25" customHeight="1">
      <c r="A9460" s="12">
        <v>9456.0</v>
      </c>
      <c r="B9460" s="13" t="s">
        <v>8699</v>
      </c>
      <c r="C9460" s="18" t="s">
        <v>9486</v>
      </c>
      <c r="D9460" s="1"/>
      <c r="E9460" s="1"/>
      <c r="F9460" s="1" t="str">
        <f>IFERROR(__xludf.DUMMYFUNCTION("GOOGLETRANSLATE(B9460, ""en"", ""fa"")
"),"موفقیت در پادکست")</f>
        <v>موفقیت در پادکست</v>
      </c>
      <c r="G9460" s="1" t="str">
        <f>IFERROR(__xludf.DUMMYFUNCTION("GOOGLETRANSLATE(C9460, ""en"", ""fa"")
"),"راهبردهای پادکسترها در حوزه سلامت و تندرستی برای ارائه اطلاعات ارزشمند و قابل اعتماد برای کمک به شنوندگان برای بهبود سلامت جسمی و روانی چیست؟")</f>
        <v>راهبردهای پادکسترها در حوزه سلامت و تندرستی برای ارائه اطلاعات ارزشمند و قابل اعتماد برای کمک به شنوندگان برای بهبود سلامت جسمی و روانی چیست؟</v>
      </c>
      <c r="H9460" s="1"/>
      <c r="I9460" s="1"/>
      <c r="J9460" s="1"/>
      <c r="K9460" s="1"/>
      <c r="L9460" s="1"/>
      <c r="M9460" s="1"/>
      <c r="N9460" s="1"/>
      <c r="O9460" s="1"/>
      <c r="P9460" s="1"/>
      <c r="Q9460" s="1"/>
      <c r="R9460" s="1"/>
      <c r="S9460" s="1"/>
      <c r="T9460" s="1"/>
      <c r="U9460" s="1"/>
      <c r="V9460" s="1"/>
      <c r="W9460" s="1"/>
      <c r="X9460" s="1"/>
      <c r="Y9460" s="1"/>
      <c r="Z9460" s="1"/>
      <c r="AA9460" s="1"/>
      <c r="AB9460" s="1"/>
    </row>
    <row r="9461" ht="50.25" customHeight="1">
      <c r="A9461" s="12">
        <v>9457.0</v>
      </c>
      <c r="B9461" s="13" t="s">
        <v>8699</v>
      </c>
      <c r="C9461" s="18" t="s">
        <v>9487</v>
      </c>
      <c r="D9461" s="1"/>
      <c r="E9461" s="1"/>
      <c r="F9461" s="1" t="str">
        <f>IFERROR(__xludf.DUMMYFUNCTION("GOOGLETRANSLATE(B9461, ""en"", ""fa"")
"),"موفقیت در پادکست")</f>
        <v>موفقیت در پادکست</v>
      </c>
      <c r="G9461" s="1" t="str">
        <f>IFERROR(__xludf.DUMMYFUNCTION("GOOGLETRANSLATE(C9461, ""en"", ""fa"")
"),"چگونه می توان از کارشناسان مهمان، مطالعات موردی و تجربیات شخصی برای ارائه توصیه های عملی و الهام بخشی برای پادکست ها در زمینه خودیاری و توسعه شخصی استفاده کرد؟")</f>
        <v>چگونه می توان از کارشناسان مهمان، مطالعات موردی و تجربیات شخصی برای ارائه توصیه های عملی و الهام بخشی برای پادکست ها در زمینه خودیاری و توسعه شخصی استفاده کرد؟</v>
      </c>
      <c r="H9461" s="1"/>
      <c r="I9461" s="1"/>
      <c r="J9461" s="1"/>
      <c r="K9461" s="1"/>
      <c r="L9461" s="1"/>
      <c r="M9461" s="1"/>
      <c r="N9461" s="1"/>
      <c r="O9461" s="1"/>
      <c r="P9461" s="1"/>
      <c r="Q9461" s="1"/>
      <c r="R9461" s="1"/>
      <c r="S9461" s="1"/>
      <c r="T9461" s="1"/>
      <c r="U9461" s="1"/>
      <c r="V9461" s="1"/>
      <c r="W9461" s="1"/>
      <c r="X9461" s="1"/>
      <c r="Y9461" s="1"/>
      <c r="Z9461" s="1"/>
      <c r="AA9461" s="1"/>
      <c r="AB9461" s="1"/>
    </row>
    <row r="9462" ht="50.25" customHeight="1">
      <c r="A9462" s="12">
        <v>9458.0</v>
      </c>
      <c r="B9462" s="13" t="s">
        <v>8699</v>
      </c>
      <c r="C9462" s="18" t="s">
        <v>9488</v>
      </c>
      <c r="D9462" s="1"/>
      <c r="E9462" s="1"/>
      <c r="F9462" s="1" t="str">
        <f>IFERROR(__xludf.DUMMYFUNCTION("GOOGLETRANSLATE(B9462, ""en"", ""fa"")
"),"موفقیت در پادکست")</f>
        <v>موفقیت در پادکست</v>
      </c>
      <c r="G9462" s="1" t="str">
        <f>IFERROR(__xludf.DUMMYFUNCTION("GOOGLETRANSLATE(C9462, ""en"", ""fa"")
"),"پادکست‌ها در زمینه فرزندپروری و خانواده چه تکنیک‌هایی برای رسیدگی به چالش‌های رایج، ارائه پشتیبانی و به اشتراک گذاشتن نکات و توصیه‌های والدین با شنوندگان خود دارند؟")</f>
        <v>پادکست‌ها در زمینه فرزندپروری و خانواده چه تکنیک‌هایی برای رسیدگی به چالش‌های رایج، ارائه پشتیبانی و به اشتراک گذاشتن نکات و توصیه‌های والدین با شنوندگان خود دارند؟</v>
      </c>
      <c r="H9462" s="1"/>
      <c r="I9462" s="1"/>
      <c r="J9462" s="1"/>
      <c r="K9462" s="1"/>
      <c r="L9462" s="1"/>
      <c r="M9462" s="1"/>
      <c r="N9462" s="1"/>
      <c r="O9462" s="1"/>
      <c r="P9462" s="1"/>
      <c r="Q9462" s="1"/>
      <c r="R9462" s="1"/>
      <c r="S9462" s="1"/>
      <c r="T9462" s="1"/>
      <c r="U9462" s="1"/>
      <c r="V9462" s="1"/>
      <c r="W9462" s="1"/>
      <c r="X9462" s="1"/>
      <c r="Y9462" s="1"/>
      <c r="Z9462" s="1"/>
      <c r="AA9462" s="1"/>
      <c r="AB9462" s="1"/>
    </row>
    <row r="9463" ht="50.25" customHeight="1">
      <c r="A9463" s="12">
        <v>9459.0</v>
      </c>
      <c r="B9463" s="13" t="s">
        <v>8699</v>
      </c>
      <c r="C9463" s="18" t="s">
        <v>9489</v>
      </c>
      <c r="D9463" s="1"/>
      <c r="E9463" s="1"/>
      <c r="F9463" s="1" t="str">
        <f>IFERROR(__xludf.DUMMYFUNCTION("GOOGLETRANSLATE(B9463, ""en"", ""fa"")
"),"موفقیت در پادکست")</f>
        <v>موفقیت در پادکست</v>
      </c>
      <c r="G9463" s="1" t="str">
        <f>IFERROR(__xludf.DUMMYFUNCTION("GOOGLETRANSLATE(C9463, ""en"", ""fa"")
"),"چگونه می توان محتوای جذاب و آموزنده برای پادکست ها در حوزه فناوری و ابزارک ایجاد کرد تا علاقه مندان به فناوری را از آخرین روندها، بررسی ها و اخبار فناوری به روز نگه دارد؟")</f>
        <v>چگونه می توان محتوای جذاب و آموزنده برای پادکست ها در حوزه فناوری و ابزارک ایجاد کرد تا علاقه مندان به فناوری را از آخرین روندها، بررسی ها و اخبار فناوری به روز نگه دارد؟</v>
      </c>
      <c r="H9463" s="1"/>
      <c r="I9463" s="1"/>
      <c r="J9463" s="1"/>
      <c r="K9463" s="1"/>
      <c r="L9463" s="1"/>
      <c r="M9463" s="1"/>
      <c r="N9463" s="1"/>
      <c r="O9463" s="1"/>
      <c r="P9463" s="1"/>
      <c r="Q9463" s="1"/>
      <c r="R9463" s="1"/>
      <c r="S9463" s="1"/>
      <c r="T9463" s="1"/>
      <c r="U9463" s="1"/>
      <c r="V9463" s="1"/>
      <c r="W9463" s="1"/>
      <c r="X9463" s="1"/>
      <c r="Y9463" s="1"/>
      <c r="Z9463" s="1"/>
      <c r="AA9463" s="1"/>
      <c r="AB9463" s="1"/>
    </row>
    <row r="9464" ht="50.25" customHeight="1">
      <c r="A9464" s="12">
        <v>9460.0</v>
      </c>
      <c r="B9464" s="13" t="s">
        <v>8699</v>
      </c>
      <c r="C9464" s="18" t="s">
        <v>9490</v>
      </c>
      <c r="D9464" s="1"/>
      <c r="E9464" s="1"/>
      <c r="F9464" s="1" t="str">
        <f>IFERROR(__xludf.DUMMYFUNCTION("GOOGLETRANSLATE(B9464, ""en"", ""fa"")
"),"موفقیت در پادکست")</f>
        <v>موفقیت در پادکست</v>
      </c>
      <c r="G9464" s="1" t="str">
        <f>IFERROR(__xludf.DUMMYFUNCTION("GOOGLETRANSLATE(C9464, ""en"", ""fa"")
"),"استراتژی‌هایی برای پادکست‌ها در حوزه سفر و ماجراجویی برای الهام بخشیدن و راهنمایی شنوندگان در برنامه‌ریزی سفرهای بعدی، اشتراک‌گذاری داستان‌های سفر و ارائه توصیه‌های مقصد چیست؟")</f>
        <v>استراتژی‌هایی برای پادکست‌ها در حوزه سفر و ماجراجویی برای الهام بخشیدن و راهنمایی شنوندگان در برنامه‌ریزی سفرهای بعدی، اشتراک‌گذاری داستان‌های سفر و ارائه توصیه‌های مقصد چیست؟</v>
      </c>
      <c r="H9464" s="1"/>
      <c r="I9464" s="1"/>
      <c r="J9464" s="1"/>
      <c r="K9464" s="1"/>
      <c r="L9464" s="1"/>
      <c r="M9464" s="1"/>
      <c r="N9464" s="1"/>
      <c r="O9464" s="1"/>
      <c r="P9464" s="1"/>
      <c r="Q9464" s="1"/>
      <c r="R9464" s="1"/>
      <c r="S9464" s="1"/>
      <c r="T9464" s="1"/>
      <c r="U9464" s="1"/>
      <c r="V9464" s="1"/>
      <c r="W9464" s="1"/>
      <c r="X9464" s="1"/>
      <c r="Y9464" s="1"/>
      <c r="Z9464" s="1"/>
      <c r="AA9464" s="1"/>
      <c r="AB9464" s="1"/>
    </row>
    <row r="9465" ht="50.25" customHeight="1">
      <c r="A9465" s="12">
        <v>9461.0</v>
      </c>
      <c r="B9465" s="13" t="s">
        <v>8699</v>
      </c>
      <c r="C9465" s="18" t="s">
        <v>9491</v>
      </c>
      <c r="D9465" s="1"/>
      <c r="E9465" s="1"/>
      <c r="F9465" s="1" t="str">
        <f>IFERROR(__xludf.DUMMYFUNCTION("GOOGLETRANSLATE(B9465, ""en"", ""fa"")
"),"موفقیت در پادکست")</f>
        <v>موفقیت در پادکست</v>
      </c>
      <c r="G9465" s="1" t="str">
        <f>IFERROR(__xludf.DUMMYFUNCTION("GOOGLETRANSLATE(C9465, ""en"", ""fa"")
"),"چگونه می توان از داستان سرایی و تحقیقات تاریخی استفاده کرد تا شنوندگان را درگیر کند و آنها را در مورد فرهنگ های مختلف و رویدادهای تاریخی به عنوان پادکستر در طاقچه تاریخ و فرهنگ آموزش دهد؟")</f>
        <v>چگونه می توان از داستان سرایی و تحقیقات تاریخی استفاده کرد تا شنوندگان را درگیر کند و آنها را در مورد فرهنگ های مختلف و رویدادهای تاریخی به عنوان پادکستر در طاقچه تاریخ و فرهنگ آموزش دهد؟</v>
      </c>
      <c r="H9465" s="1"/>
      <c r="I9465" s="1"/>
      <c r="J9465" s="1"/>
      <c r="K9465" s="1"/>
      <c r="L9465" s="1"/>
      <c r="M9465" s="1"/>
      <c r="N9465" s="1"/>
      <c r="O9465" s="1"/>
      <c r="P9465" s="1"/>
      <c r="Q9465" s="1"/>
      <c r="R9465" s="1"/>
      <c r="S9465" s="1"/>
      <c r="T9465" s="1"/>
      <c r="U9465" s="1"/>
      <c r="V9465" s="1"/>
      <c r="W9465" s="1"/>
      <c r="X9465" s="1"/>
      <c r="Y9465" s="1"/>
      <c r="Z9465" s="1"/>
      <c r="AA9465" s="1"/>
      <c r="AB9465" s="1"/>
    </row>
    <row r="9466" ht="50.25" customHeight="1">
      <c r="A9466" s="12">
        <v>9462.0</v>
      </c>
      <c r="B9466" s="13" t="s">
        <v>8699</v>
      </c>
      <c r="C9466" s="18" t="s">
        <v>9492</v>
      </c>
      <c r="D9466" s="1"/>
      <c r="E9466" s="1"/>
      <c r="F9466" s="1" t="str">
        <f>IFERROR(__xludf.DUMMYFUNCTION("GOOGLETRANSLATE(B9466, ""en"", ""fa"")
"),"موفقیت در پادکست")</f>
        <v>موفقیت در پادکست</v>
      </c>
      <c r="G9466" s="1" t="str">
        <f>IFERROR(__xludf.DUMMYFUNCTION("GOOGLETRANSLATE(C9466, ""en"", ""fa"")
"),"تکنیک‌های پادکست‌ها در حوزه ورزش و تناسب اندام برای ارائه تجزیه و تحلیل ورزشی، بحث در مورد نکات برجسته بازی و به اشتراک گذاشتن نکات تناسب اندام برای درگیر نگه داشتن علاقه‌مندان به ورزش چیست؟")</f>
        <v>تکنیک‌های پادکست‌ها در حوزه ورزش و تناسب اندام برای ارائه تجزیه و تحلیل ورزشی، بحث در مورد نکات برجسته بازی و به اشتراک گذاشتن نکات تناسب اندام برای درگیر نگه داشتن علاقه‌مندان به ورزش چیست؟</v>
      </c>
      <c r="H9466" s="1"/>
      <c r="I9466" s="1"/>
      <c r="J9466" s="1"/>
      <c r="K9466" s="1"/>
      <c r="L9466" s="1"/>
      <c r="M9466" s="1"/>
      <c r="N9466" s="1"/>
      <c r="O9466" s="1"/>
      <c r="P9466" s="1"/>
      <c r="Q9466" s="1"/>
      <c r="R9466" s="1"/>
      <c r="S9466" s="1"/>
      <c r="T9466" s="1"/>
      <c r="U9466" s="1"/>
      <c r="V9466" s="1"/>
      <c r="W9466" s="1"/>
      <c r="X9466" s="1"/>
      <c r="Y9466" s="1"/>
      <c r="Z9466" s="1"/>
      <c r="AA9466" s="1"/>
      <c r="AB9466" s="1"/>
    </row>
    <row r="9467" ht="50.25" customHeight="1">
      <c r="A9467" s="12">
        <v>9463.0</v>
      </c>
      <c r="B9467" s="13" t="s">
        <v>8699</v>
      </c>
      <c r="C9467" s="18" t="s">
        <v>9493</v>
      </c>
      <c r="D9467" s="1"/>
      <c r="E9467" s="1"/>
      <c r="F9467" s="1" t="str">
        <f>IFERROR(__xludf.DUMMYFUNCTION("GOOGLETRANSLATE(B9467, ""en"", ""fa"")
"),"موفقیت در پادکست")</f>
        <v>موفقیت در پادکست</v>
      </c>
      <c r="G9467" s="1" t="str">
        <f>IFERROR(__xludf.DUMMYFUNCTION("GOOGLETRANSLATE(C9467, ""en"", ""fa"")
"),"چگونه می توان آخرین فیلم های منتشر شده، سریال های تلویزیونی و اخبار سرگرمی را به عنوان پادکستر در طاقچه فیلم و سرگرمی برای ارائه به علاقه مندان فرهنگ پاپ مدیریت و بحث کرد؟")</f>
        <v>چگونه می توان آخرین فیلم های منتشر شده، سریال های تلویزیونی و اخبار سرگرمی را به عنوان پادکستر در طاقچه فیلم و سرگرمی برای ارائه به علاقه مندان فرهنگ پاپ مدیریت و بحث کرد؟</v>
      </c>
      <c r="H9467" s="1"/>
      <c r="I9467" s="1"/>
      <c r="J9467" s="1"/>
      <c r="K9467" s="1"/>
      <c r="L9467" s="1"/>
      <c r="M9467" s="1"/>
      <c r="N9467" s="1"/>
      <c r="O9467" s="1"/>
      <c r="P9467" s="1"/>
      <c r="Q9467" s="1"/>
      <c r="R9467" s="1"/>
      <c r="S9467" s="1"/>
      <c r="T9467" s="1"/>
      <c r="U9467" s="1"/>
      <c r="V9467" s="1"/>
      <c r="W9467" s="1"/>
      <c r="X9467" s="1"/>
      <c r="Y9467" s="1"/>
      <c r="Z9467" s="1"/>
      <c r="AA9467" s="1"/>
      <c r="AB9467" s="1"/>
    </row>
    <row r="9468" ht="50.25" customHeight="1">
      <c r="A9468" s="12">
        <v>9464.0</v>
      </c>
      <c r="B9468" s="13" t="s">
        <v>8699</v>
      </c>
      <c r="C9468" s="18" t="s">
        <v>9494</v>
      </c>
      <c r="D9468" s="1"/>
      <c r="E9468" s="1"/>
      <c r="F9468" s="1" t="str">
        <f>IFERROR(__xludf.DUMMYFUNCTION("GOOGLETRANSLATE(B9468, ""en"", ""fa"")
"),"موفقیت در پادکست")</f>
        <v>موفقیت در پادکست</v>
      </c>
      <c r="G9468" s="1" t="str">
        <f>IFERROR(__xludf.DUMMYFUNCTION("GOOGLETRANSLATE(C9468, ""en"", ""fa"")
"),"استراتژی‌هایی برای پادکست‌ها در طاقچه غذا و آشپزی برای به اشتراک گذاشتن دستور العمل‌ها، نکات آشپزی، و بینش آشپزی برای ارضای هوس افراد غذاخوری و آشپزهای خانگی چیست؟")</f>
        <v>استراتژی‌هایی برای پادکست‌ها در طاقچه غذا و آشپزی برای به اشتراک گذاشتن دستور العمل‌ها، نکات آشپزی، و بینش آشپزی برای ارضای هوس افراد غذاخوری و آشپزهای خانگی چیست؟</v>
      </c>
      <c r="H9468" s="1"/>
      <c r="I9468" s="1"/>
      <c r="J9468" s="1"/>
      <c r="K9468" s="1"/>
      <c r="L9468" s="1"/>
      <c r="M9468" s="1"/>
      <c r="N9468" s="1"/>
      <c r="O9468" s="1"/>
      <c r="P9468" s="1"/>
      <c r="Q9468" s="1"/>
      <c r="R9468" s="1"/>
      <c r="S9468" s="1"/>
      <c r="T9468" s="1"/>
      <c r="U9468" s="1"/>
      <c r="V9468" s="1"/>
      <c r="W9468" s="1"/>
      <c r="X9468" s="1"/>
      <c r="Y9468" s="1"/>
      <c r="Z9468" s="1"/>
      <c r="AA9468" s="1"/>
      <c r="AB9468" s="1"/>
    </row>
    <row r="9469" ht="50.25" customHeight="1">
      <c r="A9469" s="12">
        <v>9465.0</v>
      </c>
      <c r="B9469" s="13" t="s">
        <v>8699</v>
      </c>
      <c r="C9469" s="18" t="s">
        <v>9495</v>
      </c>
      <c r="D9469" s="1"/>
      <c r="E9469" s="1"/>
      <c r="F9469" s="1" t="str">
        <f>IFERROR(__xludf.DUMMYFUNCTION("GOOGLETRANSLATE(B9469, ""en"", ""fa"")
"),"موفقیت در پادکست")</f>
        <v>موفقیت در پادکست</v>
      </c>
      <c r="G9469" s="1" t="str">
        <f>IFERROR(__xludf.DUMMYFUNCTION("GOOGLETRANSLATE(C9469, ""en"", ""fa"")
"),"چگونه می‌توان بینش، استراتژی‌ها و داستان‌های موفقیت را برای پادکست‌ها در حوزه مالی و سرمایه‌گذاری ارائه کرد تا به شنوندگان کمک کند سواد مالی خود را بهبود بخشند و تصمیمات سرمایه‌گذاری آگاهانه بگیرند؟")</f>
        <v>چگونه می‌توان بینش، استراتژی‌ها و داستان‌های موفقیت را برای پادکست‌ها در حوزه مالی و سرمایه‌گذاری ارائه کرد تا به شنوندگان کمک کند سواد مالی خود را بهبود بخشند و تصمیمات سرمایه‌گذاری آگاهانه بگیرند؟</v>
      </c>
      <c r="H9469" s="1"/>
      <c r="I9469" s="1"/>
      <c r="J9469" s="1"/>
      <c r="K9469" s="1"/>
      <c r="L9469" s="1"/>
      <c r="M9469" s="1"/>
      <c r="N9469" s="1"/>
      <c r="O9469" s="1"/>
      <c r="P9469" s="1"/>
      <c r="Q9469" s="1"/>
      <c r="R9469" s="1"/>
      <c r="S9469" s="1"/>
      <c r="T9469" s="1"/>
      <c r="U9469" s="1"/>
      <c r="V9469" s="1"/>
      <c r="W9469" s="1"/>
      <c r="X9469" s="1"/>
      <c r="Y9469" s="1"/>
      <c r="Z9469" s="1"/>
      <c r="AA9469" s="1"/>
      <c r="AB9469" s="1"/>
    </row>
    <row r="9470" ht="50.25" customHeight="1">
      <c r="A9470" s="12">
        <v>9466.0</v>
      </c>
      <c r="B9470" s="13" t="s">
        <v>8699</v>
      </c>
      <c r="C9470" s="18" t="s">
        <v>9496</v>
      </c>
      <c r="D9470" s="1"/>
      <c r="E9470" s="1"/>
      <c r="F9470" s="1" t="str">
        <f>IFERROR(__xludf.DUMMYFUNCTION("GOOGLETRANSLATE(B9470, ""en"", ""fa"")
"),"موفقیت در پادکست")</f>
        <v>موفقیت در پادکست</v>
      </c>
      <c r="G9470" s="1" t="str">
        <f>IFERROR(__xludf.DUMMYFUNCTION("GOOGLETRANSLATE(C9470, ""en"", ""fa"")
"),"تکنیک‌هایی برای پادکست‌ها در حوزه علم و فناوری برای تجزیه مفاهیم پیچیده علمی، بحث در مورد اکتشافات پیشگامانه و کشف ایده‌های آینده‌نگر چیست؟")</f>
        <v>تکنیک‌هایی برای پادکست‌ها در حوزه علم و فناوری برای تجزیه مفاهیم پیچیده علمی، بحث در مورد اکتشافات پیشگامانه و کشف ایده‌های آینده‌نگر چیست؟</v>
      </c>
      <c r="H9470" s="1"/>
      <c r="I9470" s="1"/>
      <c r="J9470" s="1"/>
      <c r="K9470" s="1"/>
      <c r="L9470" s="1"/>
      <c r="M9470" s="1"/>
      <c r="N9470" s="1"/>
      <c r="O9470" s="1"/>
      <c r="P9470" s="1"/>
      <c r="Q9470" s="1"/>
      <c r="R9470" s="1"/>
      <c r="S9470" s="1"/>
      <c r="T9470" s="1"/>
      <c r="U9470" s="1"/>
      <c r="V9470" s="1"/>
      <c r="W9470" s="1"/>
      <c r="X9470" s="1"/>
      <c r="Y9470" s="1"/>
      <c r="Z9470" s="1"/>
      <c r="AA9470" s="1"/>
      <c r="AB9470" s="1"/>
    </row>
    <row r="9471" ht="50.25" customHeight="1">
      <c r="A9471" s="12">
        <v>9467.0</v>
      </c>
      <c r="B9471" s="13" t="s">
        <v>8699</v>
      </c>
      <c r="C9471" s="18" t="s">
        <v>9497</v>
      </c>
      <c r="D9471" s="1"/>
      <c r="E9471" s="1"/>
      <c r="F9471" s="1" t="str">
        <f>IFERROR(__xludf.DUMMYFUNCTION("GOOGLETRANSLATE(B9471, ""en"", ""fa"")
"),"موفقیت در پادکست")</f>
        <v>موفقیت در پادکست</v>
      </c>
      <c r="G9471" s="1" t="str">
        <f>IFERROR(__xludf.DUMMYFUNCTION("GOOGLETRANSLATE(C9471, ""en"", ""fa"")
"),"چگونه می توان محتوای جذاب و آموزشی برای پادکست ها در زمینه آموزش و یادگیری ایجاد کرد تا دانش و بینش ارزشمندی را در اختیار دانش آموزان، معلمان و فراگیران مادام العمر قرار دهد؟")</f>
        <v>چگونه می توان محتوای جذاب و آموزشی برای پادکست ها در زمینه آموزش و یادگیری ایجاد کرد تا دانش و بینش ارزشمندی را در اختیار دانش آموزان، معلمان و فراگیران مادام العمر قرار دهد؟</v>
      </c>
      <c r="H9471" s="1"/>
      <c r="I9471" s="1"/>
      <c r="J9471" s="1"/>
      <c r="K9471" s="1"/>
      <c r="L9471" s="1"/>
      <c r="M9471" s="1"/>
      <c r="N9471" s="1"/>
      <c r="O9471" s="1"/>
      <c r="P9471" s="1"/>
      <c r="Q9471" s="1"/>
      <c r="R9471" s="1"/>
      <c r="S9471" s="1"/>
      <c r="T9471" s="1"/>
      <c r="U9471" s="1"/>
      <c r="V9471" s="1"/>
      <c r="W9471" s="1"/>
      <c r="X9471" s="1"/>
      <c r="Y9471" s="1"/>
      <c r="Z9471" s="1"/>
      <c r="AA9471" s="1"/>
      <c r="AB9471" s="1"/>
    </row>
    <row r="9472" ht="50.25" customHeight="1">
      <c r="A9472" s="12">
        <v>9468.0</v>
      </c>
      <c r="B9472" s="13" t="s">
        <v>8699</v>
      </c>
      <c r="C9472" s="18" t="s">
        <v>9498</v>
      </c>
      <c r="D9472" s="1"/>
      <c r="E9472" s="1"/>
      <c r="F9472" s="1" t="str">
        <f>IFERROR(__xludf.DUMMYFUNCTION("GOOGLETRANSLATE(B9472, ""en"", ""fa"")
"),"موفقیت در پادکست")</f>
        <v>موفقیت در پادکست</v>
      </c>
      <c r="G9472" s="1" t="str">
        <f>IFERROR(__xludf.DUMMYFUNCTION("GOOGLETRANSLATE(C9472, ""en"", ""fa"")
"),"استراتژی‌های پادکست‌ها در حوزه موسیقی و هنر برای به نمایش گذاشتن هنرمندان نوظهور، بحث در مورد روند موسیقی و فراهم کردن بستری برای بحث‌ها و اجراهای خلاقانه چیست؟")</f>
        <v>استراتژی‌های پادکست‌ها در حوزه موسیقی و هنر برای به نمایش گذاشتن هنرمندان نوظهور، بحث در مورد روند موسیقی و فراهم کردن بستری برای بحث‌ها و اجراهای خلاقانه چیست؟</v>
      </c>
      <c r="H9472" s="1"/>
      <c r="I9472" s="1"/>
      <c r="J9472" s="1"/>
      <c r="K9472" s="1"/>
      <c r="L9472" s="1"/>
      <c r="M9472" s="1"/>
      <c r="N9472" s="1"/>
      <c r="O9472" s="1"/>
      <c r="P9472" s="1"/>
      <c r="Q9472" s="1"/>
      <c r="R9472" s="1"/>
      <c r="S9472" s="1"/>
      <c r="T9472" s="1"/>
      <c r="U9472" s="1"/>
      <c r="V9472" s="1"/>
      <c r="W9472" s="1"/>
      <c r="X9472" s="1"/>
      <c r="Y9472" s="1"/>
      <c r="Z9472" s="1"/>
      <c r="AA9472" s="1"/>
      <c r="AB9472" s="1"/>
    </row>
    <row r="9473" ht="50.25" customHeight="1">
      <c r="A9473" s="12">
        <v>9469.0</v>
      </c>
      <c r="B9473" s="13" t="s">
        <v>8699</v>
      </c>
      <c r="C9473" s="18" t="s">
        <v>9499</v>
      </c>
      <c r="D9473" s="1"/>
      <c r="E9473" s="1"/>
      <c r="F9473" s="1" t="str">
        <f>IFERROR(__xludf.DUMMYFUNCTION("GOOGLETRANSLATE(B9473, ""en"", ""fa"")
"),"موفقیت در پادکست")</f>
        <v>موفقیت در پادکست</v>
      </c>
      <c r="G9473" s="1" t="str">
        <f>IFERROR(__xludf.DUMMYFUNCTION("GOOGLETRANSLATE(C9473, ""en"", ""fa"")
"),"چگونه می توان آخرین روندهای مد، نکات زیبایی، و توصیه های سبک را به عنوان پادکستر در حوزه مد و زیبایی برای جذب شنوندگان آگاه به مد انتخاب و بحث کرد؟")</f>
        <v>چگونه می توان آخرین روندهای مد، نکات زیبایی، و توصیه های سبک را به عنوان پادکستر در حوزه مد و زیبایی برای جذب شنوندگان آگاه به مد انتخاب و بحث کرد؟</v>
      </c>
      <c r="H9473" s="1"/>
      <c r="I9473" s="1"/>
      <c r="J9473" s="1"/>
      <c r="K9473" s="1"/>
      <c r="L9473" s="1"/>
      <c r="M9473" s="1"/>
      <c r="N9473" s="1"/>
      <c r="O9473" s="1"/>
      <c r="P9473" s="1"/>
      <c r="Q9473" s="1"/>
      <c r="R9473" s="1"/>
      <c r="S9473" s="1"/>
      <c r="T9473" s="1"/>
      <c r="U9473" s="1"/>
      <c r="V9473" s="1"/>
      <c r="W9473" s="1"/>
      <c r="X9473" s="1"/>
      <c r="Y9473" s="1"/>
      <c r="Z9473" s="1"/>
      <c r="AA9473" s="1"/>
      <c r="AB9473" s="1"/>
    </row>
    <row r="9474" ht="50.25" customHeight="1">
      <c r="A9474" s="12">
        <v>9470.0</v>
      </c>
      <c r="B9474" s="13" t="s">
        <v>8699</v>
      </c>
      <c r="C9474" s="18" t="s">
        <v>9500</v>
      </c>
      <c r="D9474" s="1"/>
      <c r="E9474" s="1"/>
      <c r="F9474" s="1" t="str">
        <f>IFERROR(__xludf.DUMMYFUNCTION("GOOGLETRANSLATE(B9474, ""en"", ""fa"")
"),"موفقیت در پادکست")</f>
        <v>موفقیت در پادکست</v>
      </c>
      <c r="G9474" s="1" t="str">
        <f>IFERROR(__xludf.DUMMYFUNCTION("GOOGLETRANSLATE(C9474, ""en"", ""fa"")
"),"پادکست‌ها در حوزه بازی چه تکنیک‌هایی دارند تا بازی‌ها را مرور کنند، درباره استراتژی‌های بازی بحث کنند، و بینش‌هایی درباره صنعت بازی ارائه کنند تا گیمرها و علاقه‌مندان را مجذوب خود کنند؟")</f>
        <v>پادکست‌ها در حوزه بازی چه تکنیک‌هایی دارند تا بازی‌ها را مرور کنند، درباره استراتژی‌های بازی بحث کنند، و بینش‌هایی درباره صنعت بازی ارائه کنند تا گیمرها و علاقه‌مندان را مجذوب خود کنند؟</v>
      </c>
      <c r="H9474" s="1"/>
      <c r="I9474" s="1"/>
      <c r="J9474" s="1"/>
      <c r="K9474" s="1"/>
      <c r="L9474" s="1"/>
      <c r="M9474" s="1"/>
      <c r="N9474" s="1"/>
      <c r="O9474" s="1"/>
      <c r="P9474" s="1"/>
      <c r="Q9474" s="1"/>
      <c r="R9474" s="1"/>
      <c r="S9474" s="1"/>
      <c r="T9474" s="1"/>
      <c r="U9474" s="1"/>
      <c r="V9474" s="1"/>
      <c r="W9474" s="1"/>
      <c r="X9474" s="1"/>
      <c r="Y9474" s="1"/>
      <c r="Z9474" s="1"/>
      <c r="AA9474" s="1"/>
      <c r="AB9474" s="1"/>
    </row>
    <row r="9475" ht="50.25" customHeight="1">
      <c r="A9475" s="12">
        <v>9471.0</v>
      </c>
      <c r="B9475" s="13" t="s">
        <v>8699</v>
      </c>
      <c r="C9475" s="18" t="s">
        <v>9501</v>
      </c>
      <c r="D9475" s="1"/>
      <c r="E9475" s="1"/>
      <c r="F9475" s="1" t="str">
        <f>IFERROR(__xludf.DUMMYFUNCTION("GOOGLETRANSLATE(B9475, ""en"", ""fa"")
"),"موفقیت در پادکست")</f>
        <v>موفقیت در پادکست</v>
      </c>
      <c r="G9475" s="1" t="str">
        <f>IFERROR(__xludf.DUMMYFUNCTION("GOOGLETRANSLATE(C9475, ""en"", ""fa"")
"),"چگونه می‌توان نکات، تکنیک‌ها و بینش‌های عملی را برای پادکست‌ها در زمینه نوشتن و انتشار ارائه کرد تا به نویسندگان مشتاق کمک کند تا مهارت خود را بهبود بخشند و صنعت انتشارات را هدایت کنند؟")</f>
        <v>چگونه می‌توان نکات، تکنیک‌ها و بینش‌های عملی را برای پادکست‌ها در زمینه نوشتن و انتشار ارائه کرد تا به نویسندگان مشتاق کمک کند تا مهارت خود را بهبود بخشند و صنعت انتشارات را هدایت کنند؟</v>
      </c>
      <c r="H9475" s="1"/>
      <c r="I9475" s="1"/>
      <c r="J9475" s="1"/>
      <c r="K9475" s="1"/>
      <c r="L9475" s="1"/>
      <c r="M9475" s="1"/>
      <c r="N9475" s="1"/>
      <c r="O9475" s="1"/>
      <c r="P9475" s="1"/>
      <c r="Q9475" s="1"/>
      <c r="R9475" s="1"/>
      <c r="S9475" s="1"/>
      <c r="T9475" s="1"/>
      <c r="U9475" s="1"/>
      <c r="V9475" s="1"/>
      <c r="W9475" s="1"/>
      <c r="X9475" s="1"/>
      <c r="Y9475" s="1"/>
      <c r="Z9475" s="1"/>
      <c r="AA9475" s="1"/>
      <c r="AB9475" s="1"/>
    </row>
    <row r="9476" ht="50.25" customHeight="1">
      <c r="A9476" s="12">
        <v>9472.0</v>
      </c>
      <c r="B9476" s="13" t="s">
        <v>8699</v>
      </c>
      <c r="C9476" s="18" t="s">
        <v>9502</v>
      </c>
      <c r="D9476" s="1"/>
      <c r="E9476" s="1"/>
      <c r="F9476" s="1" t="str">
        <f>IFERROR(__xludf.DUMMYFUNCTION("GOOGLETRANSLATE(B9476, ""en"", ""fa"")
"),"موفقیت در پادکست")</f>
        <v>موفقیت در پادکست</v>
      </c>
      <c r="G9476" s="1" t="str">
        <f>IFERROR(__xludf.DUMMYFUNCTION("GOOGLETRANSLATE(C9476, ""en"", ""fa"")
"),"راهبردهای پادکست‌ها در حوزه معنویت و ذهن آگاهی برای ارائه راهنمایی، الهام و تمرین برای شنوندگانی که به دنبال رشد شخصی و کاوش معنوی هستند، چیست؟")</f>
        <v>راهبردهای پادکست‌ها در حوزه معنویت و ذهن آگاهی برای ارائه راهنمایی، الهام و تمرین برای شنوندگانی که به دنبال رشد شخصی و کاوش معنوی هستند، چیست؟</v>
      </c>
      <c r="H9476" s="1"/>
      <c r="I9476" s="1"/>
      <c r="J9476" s="1"/>
      <c r="K9476" s="1"/>
      <c r="L9476" s="1"/>
      <c r="M9476" s="1"/>
      <c r="N9476" s="1"/>
      <c r="O9476" s="1"/>
      <c r="P9476" s="1"/>
      <c r="Q9476" s="1"/>
      <c r="R9476" s="1"/>
      <c r="S9476" s="1"/>
      <c r="T9476" s="1"/>
      <c r="U9476" s="1"/>
      <c r="V9476" s="1"/>
      <c r="W9476" s="1"/>
      <c r="X9476" s="1"/>
      <c r="Y9476" s="1"/>
      <c r="Z9476" s="1"/>
      <c r="AA9476" s="1"/>
      <c r="AB9476" s="1"/>
    </row>
    <row r="9477" ht="50.25" customHeight="1">
      <c r="A9477" s="12">
        <v>9473.0</v>
      </c>
      <c r="B9477" s="13" t="s">
        <v>8699</v>
      </c>
      <c r="C9477" s="18" t="s">
        <v>9503</v>
      </c>
      <c r="D9477" s="1"/>
      <c r="E9477" s="1"/>
      <c r="F9477" s="1" t="str">
        <f>IFERROR(__xludf.DUMMYFUNCTION("GOOGLETRANSLATE(B9477, ""en"", ""fa"")
"),"موفقیت در پادکست")</f>
        <v>موفقیت در پادکست</v>
      </c>
      <c r="G9477" s="1" t="str">
        <f>IFERROR(__xludf.DUMMYFUNCTION("GOOGLETRANSLATE(C9477, ""en"", ""fa"")
"),"چگونه می توان آخرین اخبار، روندها و تحلیل ها را در زمینه سیاست و رویدادهای جاری به عنوان پادکستر مدیریت و بحث کرد تا بحث های آموزنده و متعادلی را برای شنوندگان درگیر سیاسی ارائه دهد؟")</f>
        <v>چگونه می توان آخرین اخبار، روندها و تحلیل ها را در زمینه سیاست و رویدادهای جاری به عنوان پادکستر مدیریت و بحث کرد تا بحث های آموزنده و متعادلی را برای شنوندگان درگیر سیاسی ارائه دهد؟</v>
      </c>
      <c r="H9477" s="1"/>
      <c r="I9477" s="1"/>
      <c r="J9477" s="1"/>
      <c r="K9477" s="1"/>
      <c r="L9477" s="1"/>
      <c r="M9477" s="1"/>
      <c r="N9477" s="1"/>
      <c r="O9477" s="1"/>
      <c r="P9477" s="1"/>
      <c r="Q9477" s="1"/>
      <c r="R9477" s="1"/>
      <c r="S9477" s="1"/>
      <c r="T9477" s="1"/>
      <c r="U9477" s="1"/>
      <c r="V9477" s="1"/>
      <c r="W9477" s="1"/>
      <c r="X9477" s="1"/>
      <c r="Y9477" s="1"/>
      <c r="Z9477" s="1"/>
      <c r="AA9477" s="1"/>
      <c r="AB9477" s="1"/>
    </row>
    <row r="9478" ht="50.25" customHeight="1">
      <c r="A9478" s="12">
        <v>9474.0</v>
      </c>
      <c r="B9478" s="13" t="s">
        <v>8699</v>
      </c>
      <c r="C9478" s="18" t="s">
        <v>9504</v>
      </c>
      <c r="D9478" s="1"/>
      <c r="E9478" s="1"/>
      <c r="F9478" s="1" t="str">
        <f>IFERROR(__xludf.DUMMYFUNCTION("GOOGLETRANSLATE(B9478, ""en"", ""fa"")
"),"موفقیت در پادکست")</f>
        <v>موفقیت در پادکست</v>
      </c>
      <c r="G9478" s="1" t="str">
        <f>IFERROR(__xludf.DUMMYFUNCTION("GOOGLETRANSLATE(C9478, ""en"", ""fa"")
"),"تکنیک‌های پادکست‌ها در حوزه علمی تخیلی و فانتزی برای بحث درباره کتاب‌ها، فیلم‌ها، و برنامه‌های تلویزیونی و کشف ایده‌های گمانه‌زنی و جهان‌های تخیلی چیست؟")</f>
        <v>تکنیک‌های پادکست‌ها در حوزه علمی تخیلی و فانتزی برای بحث درباره کتاب‌ها، فیلم‌ها، و برنامه‌های تلویزیونی و کشف ایده‌های گمانه‌زنی و جهان‌های تخیلی چیست؟</v>
      </c>
      <c r="H9478" s="1"/>
      <c r="I9478" s="1"/>
      <c r="J9478" s="1"/>
      <c r="K9478" s="1"/>
      <c r="L9478" s="1"/>
      <c r="M9478" s="1"/>
      <c r="N9478" s="1"/>
      <c r="O9478" s="1"/>
      <c r="P9478" s="1"/>
      <c r="Q9478" s="1"/>
      <c r="R9478" s="1"/>
      <c r="S9478" s="1"/>
      <c r="T9478" s="1"/>
      <c r="U9478" s="1"/>
      <c r="V9478" s="1"/>
      <c r="W9478" s="1"/>
      <c r="X9478" s="1"/>
      <c r="Y9478" s="1"/>
      <c r="Z9478" s="1"/>
      <c r="AA9478" s="1"/>
      <c r="AB9478" s="1"/>
    </row>
    <row r="9479" ht="50.25" customHeight="1">
      <c r="A9479" s="12">
        <v>9475.0</v>
      </c>
      <c r="B9479" s="13" t="s">
        <v>8699</v>
      </c>
      <c r="C9479" s="18" t="s">
        <v>9505</v>
      </c>
      <c r="D9479" s="1"/>
      <c r="E9479" s="1"/>
      <c r="F9479" s="1" t="str">
        <f>IFERROR(__xludf.DUMMYFUNCTION("GOOGLETRANSLATE(B9479, ""en"", ""fa"")
"),"موفقیت در پادکست")</f>
        <v>موفقیت در پادکست</v>
      </c>
      <c r="G9479" s="1" t="str">
        <f>IFERROR(__xludf.DUMMYFUNCTION("GOOGLETRANSLATE(C9479, ""en"", ""fa"")
"),"چگونه می توان توصیه ها، نکات و بینش هایی را برای پادکسترها در زمینه پیشرفت شغلی و حرفه ای ارائه کرد تا به شنوندگان کمک کند در حرفه خود برتری پیدا کنند و در بازار کار حرکت کنند؟")</f>
        <v>چگونه می توان توصیه ها، نکات و بینش هایی را برای پادکسترها در زمینه پیشرفت شغلی و حرفه ای ارائه کرد تا به شنوندگان کمک کند در حرفه خود برتری پیدا کنند و در بازار کار حرکت کنند؟</v>
      </c>
      <c r="H9479" s="1"/>
      <c r="I9479" s="1"/>
      <c r="J9479" s="1"/>
      <c r="K9479" s="1"/>
      <c r="L9479" s="1"/>
      <c r="M9479" s="1"/>
      <c r="N9479" s="1"/>
      <c r="O9479" s="1"/>
      <c r="P9479" s="1"/>
      <c r="Q9479" s="1"/>
      <c r="R9479" s="1"/>
      <c r="S9479" s="1"/>
      <c r="T9479" s="1"/>
      <c r="U9479" s="1"/>
      <c r="V9479" s="1"/>
      <c r="W9479" s="1"/>
      <c r="X9479" s="1"/>
      <c r="Y9479" s="1"/>
      <c r="Z9479" s="1"/>
      <c r="AA9479" s="1"/>
      <c r="AB9479" s="1"/>
    </row>
    <row r="9480" ht="50.25" customHeight="1">
      <c r="A9480" s="12">
        <v>9476.0</v>
      </c>
      <c r="B9480" s="13" t="s">
        <v>8699</v>
      </c>
      <c r="C9480" s="18" t="s">
        <v>9506</v>
      </c>
      <c r="D9480" s="1"/>
      <c r="E9480" s="1"/>
      <c r="F9480" s="1" t="str">
        <f>IFERROR(__xludf.DUMMYFUNCTION("GOOGLETRANSLATE(B9480, ""en"", ""fa"")
"),"موفقیت در پادکست")</f>
        <v>موفقیت در پادکست</v>
      </c>
      <c r="G9480" s="1" t="str">
        <f>IFERROR(__xludf.DUMMYFUNCTION("GOOGLETRANSLATE(C9480, ""en"", ""fa"")
"),"استراتژی‌های پادکست‌ها در بخش DIY و بهبود خانه برای ارائه آموزش‌های گام به گام، اشتراک‌گذاری نکات بازسازی و ارائه ایده‌های خلاقانه برای پروژه‌های خانه چیست؟")</f>
        <v>استراتژی‌های پادکست‌ها در بخش DIY و بهبود خانه برای ارائه آموزش‌های گام به گام، اشتراک‌گذاری نکات بازسازی و ارائه ایده‌های خلاقانه برای پروژه‌های خانه چیست؟</v>
      </c>
      <c r="H9480" s="1"/>
      <c r="I9480" s="1"/>
      <c r="J9480" s="1"/>
      <c r="K9480" s="1"/>
      <c r="L9480" s="1"/>
      <c r="M9480" s="1"/>
      <c r="N9480" s="1"/>
      <c r="O9480" s="1"/>
      <c r="P9480" s="1"/>
      <c r="Q9480" s="1"/>
      <c r="R9480" s="1"/>
      <c r="S9480" s="1"/>
      <c r="T9480" s="1"/>
      <c r="U9480" s="1"/>
      <c r="V9480" s="1"/>
      <c r="W9480" s="1"/>
      <c r="X9480" s="1"/>
      <c r="Y9480" s="1"/>
      <c r="Z9480" s="1"/>
      <c r="AA9480" s="1"/>
      <c r="AB9480" s="1"/>
    </row>
    <row r="9481" ht="50.25" customHeight="1">
      <c r="A9481" s="12">
        <v>9477.0</v>
      </c>
      <c r="B9481" s="13" t="s">
        <v>8699</v>
      </c>
      <c r="C9481" s="18" t="s">
        <v>9507</v>
      </c>
      <c r="D9481" s="1"/>
      <c r="E9481" s="1"/>
      <c r="F9481" s="1" t="str">
        <f>IFERROR(__xludf.DUMMYFUNCTION("GOOGLETRANSLATE(B9481, ""en"", ""fa"")
"),"موفقیت در پادکست")</f>
        <v>موفقیت در پادکست</v>
      </c>
      <c r="G9481" s="1" t="str">
        <f>IFERROR(__xludf.DUMMYFUNCTION("GOOGLETRANSLATE(C9481, ""en"", ""fa"")
"),"چگونه می توان آخرین گرایش ها، اخبار و تحلیل های حوزه مد و سبک زندگی را به عنوان یک پادکستر برای جذب شنوندگان مد پیشرو و آگاه به سبک، مدیریت و بحث کرد؟")</f>
        <v>چگونه می توان آخرین گرایش ها، اخبار و تحلیل های حوزه مد و سبک زندگی را به عنوان یک پادکستر برای جذب شنوندگان مد پیشرو و آگاه به سبک، مدیریت و بحث کرد؟</v>
      </c>
      <c r="H9481" s="1"/>
      <c r="I9481" s="1"/>
      <c r="J9481" s="1"/>
      <c r="K9481" s="1"/>
      <c r="L9481" s="1"/>
      <c r="M9481" s="1"/>
      <c r="N9481" s="1"/>
      <c r="O9481" s="1"/>
      <c r="P9481" s="1"/>
      <c r="Q9481" s="1"/>
      <c r="R9481" s="1"/>
      <c r="S9481" s="1"/>
      <c r="T9481" s="1"/>
      <c r="U9481" s="1"/>
      <c r="V9481" s="1"/>
      <c r="W9481" s="1"/>
      <c r="X9481" s="1"/>
      <c r="Y9481" s="1"/>
      <c r="Z9481" s="1"/>
      <c r="AA9481" s="1"/>
      <c r="AB9481" s="1"/>
    </row>
    <row r="9482" ht="50.25" customHeight="1">
      <c r="A9482" s="12">
        <v>9478.0</v>
      </c>
      <c r="B9482" s="13" t="s">
        <v>8699</v>
      </c>
      <c r="C9482" s="18" t="s">
        <v>9508</v>
      </c>
      <c r="D9482" s="1"/>
      <c r="E9482" s="1"/>
      <c r="F9482" s="1" t="str">
        <f>IFERROR(__xludf.DUMMYFUNCTION("GOOGLETRANSLATE(B9482, ""en"", ""fa"")
"),"موفقیت در پادکست")</f>
        <v>موفقیت در پادکست</v>
      </c>
      <c r="G9482" s="1" t="str">
        <f>IFERROR(__xludf.DUMMYFUNCTION("GOOGLETRANSLATE(C9482, ""en"", ""fa"")
"),"تکنیک‌هایی برای پادکست‌ها در فضای باز و ماجراجویی برای به اشتراک گذاشتن داستان‌ها، بحث در مورد فعالیت‌های خارج از منزل و ارائه نکاتی برای کاوش در طبیعت و مکان‌های عالی در فضای باز چیست؟")</f>
        <v>تکنیک‌هایی برای پادکست‌ها در فضای باز و ماجراجویی برای به اشتراک گذاشتن داستان‌ها، بحث در مورد فعالیت‌های خارج از منزل و ارائه نکاتی برای کاوش در طبیعت و مکان‌های عالی در فضای باز چیست؟</v>
      </c>
      <c r="H9482" s="1"/>
      <c r="I9482" s="1"/>
      <c r="J9482" s="1"/>
      <c r="K9482" s="1"/>
      <c r="L9482" s="1"/>
      <c r="M9482" s="1"/>
      <c r="N9482" s="1"/>
      <c r="O9482" s="1"/>
      <c r="P9482" s="1"/>
      <c r="Q9482" s="1"/>
      <c r="R9482" s="1"/>
      <c r="S9482" s="1"/>
      <c r="T9482" s="1"/>
      <c r="U9482" s="1"/>
      <c r="V9482" s="1"/>
      <c r="W9482" s="1"/>
      <c r="X9482" s="1"/>
      <c r="Y9482" s="1"/>
      <c r="Z9482" s="1"/>
      <c r="AA9482" s="1"/>
      <c r="AB9482" s="1"/>
    </row>
    <row r="9483" ht="50.25" customHeight="1">
      <c r="A9483" s="12">
        <v>9479.0</v>
      </c>
      <c r="B9483" s="13" t="s">
        <v>8699</v>
      </c>
      <c r="C9483" s="18" t="s">
        <v>9509</v>
      </c>
      <c r="D9483" s="1"/>
      <c r="E9483" s="1"/>
      <c r="F9483" s="1" t="str">
        <f>IFERROR(__xludf.DUMMYFUNCTION("GOOGLETRANSLATE(B9483, ""en"", ""fa"")
"),"موفقیت در پادکست")</f>
        <v>موفقیت در پادکست</v>
      </c>
      <c r="G9483" s="1" t="str">
        <f>IFERROR(__xludf.DUMMYFUNCTION("GOOGLETRANSLATE(C9483, ""en"", ""fa"")
"),"چگونه می‌توان بینش، استراتژی‌ها و داستان‌های موفقیت برای پادکست‌ها در حوزه کارآفرینی و استارت‌آپ‌ها فراهم کرد تا به کارآفرینان مشتاق کمک کند تا کسب‌وکار خود را راه‌اندازی و رشد دهند؟")</f>
        <v>چگونه می‌توان بینش، استراتژی‌ها و داستان‌های موفقیت برای پادکست‌ها در حوزه کارآفرینی و استارت‌آپ‌ها فراهم کرد تا به کارآفرینان مشتاق کمک کند تا کسب‌وکار خود را راه‌اندازی و رشد دهند؟</v>
      </c>
      <c r="H9483" s="1"/>
      <c r="I9483" s="1"/>
      <c r="J9483" s="1"/>
      <c r="K9483" s="1"/>
      <c r="L9483" s="1"/>
      <c r="M9483" s="1"/>
      <c r="N9483" s="1"/>
      <c r="O9483" s="1"/>
      <c r="P9483" s="1"/>
      <c r="Q9483" s="1"/>
      <c r="R9483" s="1"/>
      <c r="S9483" s="1"/>
      <c r="T9483" s="1"/>
      <c r="U9483" s="1"/>
      <c r="V9483" s="1"/>
      <c r="W9483" s="1"/>
      <c r="X9483" s="1"/>
      <c r="Y9483" s="1"/>
      <c r="Z9483" s="1"/>
      <c r="AA9483" s="1"/>
      <c r="AB9483" s="1"/>
    </row>
    <row r="9484" ht="50.25" customHeight="1">
      <c r="A9484" s="12">
        <v>9480.0</v>
      </c>
      <c r="B9484" s="13" t="s">
        <v>8699</v>
      </c>
      <c r="C9484" s="18" t="s">
        <v>9510</v>
      </c>
      <c r="D9484" s="1"/>
      <c r="E9484" s="1"/>
      <c r="F9484" s="1" t="str">
        <f>IFERROR(__xludf.DUMMYFUNCTION("GOOGLETRANSLATE(B9484, ""en"", ""fa"")
"),"موفقیت در پادکست")</f>
        <v>موفقیت در پادکست</v>
      </c>
      <c r="G9484" s="1" t="str">
        <f>IFERROR(__xludf.DUMMYFUNCTION("GOOGLETRANSLATE(C9484, ""en"", ""fa"")
"),"راهبردهای پادکست‌ها در حوزه زندگی پایدار و زباله‌های صفر برای بحث در مورد شیوه‌های سازگار با محیط زیست، ارائه نکاتی برای کاهش ضایعات و به اشتراک گذاشتن داستان‌های زندگی پایدار چیست؟")</f>
        <v>راهبردهای پادکست‌ها در حوزه زندگی پایدار و زباله‌های صفر برای بحث در مورد شیوه‌های سازگار با محیط زیست، ارائه نکاتی برای کاهش ضایعات و به اشتراک گذاشتن داستان‌های زندگی پایدار چیست؟</v>
      </c>
      <c r="H9484" s="1"/>
      <c r="I9484" s="1"/>
      <c r="J9484" s="1"/>
      <c r="K9484" s="1"/>
      <c r="L9484" s="1"/>
      <c r="M9484" s="1"/>
      <c r="N9484" s="1"/>
      <c r="O9484" s="1"/>
      <c r="P9484" s="1"/>
      <c r="Q9484" s="1"/>
      <c r="R9484" s="1"/>
      <c r="S9484" s="1"/>
      <c r="T9484" s="1"/>
      <c r="U9484" s="1"/>
      <c r="V9484" s="1"/>
      <c r="W9484" s="1"/>
      <c r="X9484" s="1"/>
      <c r="Y9484" s="1"/>
      <c r="Z9484" s="1"/>
      <c r="AA9484" s="1"/>
      <c r="AB9484" s="1"/>
    </row>
    <row r="9485" ht="50.25" customHeight="1">
      <c r="A9485" s="12">
        <v>9481.0</v>
      </c>
      <c r="B9485" s="13" t="s">
        <v>8699</v>
      </c>
      <c r="C9485" s="18" t="s">
        <v>9511</v>
      </c>
      <c r="D9485" s="1"/>
      <c r="E9485" s="1"/>
      <c r="F9485" s="1" t="str">
        <f>IFERROR(__xludf.DUMMYFUNCTION("GOOGLETRANSLATE(B9485, ""en"", ""fa"")
"),"موفقیت در پادکست")</f>
        <v>موفقیت در پادکست</v>
      </c>
      <c r="G9485" s="1" t="str">
        <f>IFERROR(__xludf.DUMMYFUNCTION("GOOGLETRANSLATE(C9485, ""en"", ""fa"")
"),"چگونه می توان آخرین روندها، اخبار و تجزیه و تحلیل ها در زمینه تغذیه و رژیم غذایی را به عنوان پادکستر برای ارائه اطلاعات تغذیه مبتنی بر شواهد و از بین بردن افسانه ها مدیریت و بحث کرد؟")</f>
        <v>چگونه می توان آخرین روندها، اخبار و تجزیه و تحلیل ها در زمینه تغذیه و رژیم غذایی را به عنوان پادکستر برای ارائه اطلاعات تغذیه مبتنی بر شواهد و از بین بردن افسانه ها مدیریت و بحث کرد؟</v>
      </c>
      <c r="H9485" s="1"/>
      <c r="I9485" s="1"/>
      <c r="J9485" s="1"/>
      <c r="K9485" s="1"/>
      <c r="L9485" s="1"/>
      <c r="M9485" s="1"/>
      <c r="N9485" s="1"/>
      <c r="O9485" s="1"/>
      <c r="P9485" s="1"/>
      <c r="Q9485" s="1"/>
      <c r="R9485" s="1"/>
      <c r="S9485" s="1"/>
      <c r="T9485" s="1"/>
      <c r="U9485" s="1"/>
      <c r="V9485" s="1"/>
      <c r="W9485" s="1"/>
      <c r="X9485" s="1"/>
      <c r="Y9485" s="1"/>
      <c r="Z9485" s="1"/>
      <c r="AA9485" s="1"/>
      <c r="AB9485" s="1"/>
    </row>
    <row r="9486" ht="50.25" customHeight="1">
      <c r="A9486" s="12">
        <v>9482.0</v>
      </c>
      <c r="B9486" s="13" t="s">
        <v>8699</v>
      </c>
      <c r="C9486" s="18" t="s">
        <v>9512</v>
      </c>
      <c r="D9486" s="1"/>
      <c r="E9486" s="1"/>
      <c r="F9486" s="1" t="str">
        <f>IFERROR(__xludf.DUMMYFUNCTION("GOOGLETRANSLATE(B9486, ""en"", ""fa"")
"),"موفقیت در پادکست")</f>
        <v>موفقیت در پادکست</v>
      </c>
      <c r="G9486" s="1" t="str">
        <f>IFERROR(__xludf.DUMMYFUNCTION("GOOGLETRANSLATE(C9486, ""en"", ""fa"")
"),"تکنیک‌هایی برای پادکست‌ها در طالع‌بینی و معنویت برای ارائه بینش‌های نجومی، بحث در مورد اعمال معنوی و ارائه راهنمایی برای کشف خود و رشد شخصی چیست؟")</f>
        <v>تکنیک‌هایی برای پادکست‌ها در طالع‌بینی و معنویت برای ارائه بینش‌های نجومی، بحث در مورد اعمال معنوی و ارائه راهنمایی برای کشف خود و رشد شخصی چیست؟</v>
      </c>
      <c r="H9486" s="1"/>
      <c r="I9486" s="1"/>
      <c r="J9486" s="1"/>
      <c r="K9486" s="1"/>
      <c r="L9486" s="1"/>
      <c r="M9486" s="1"/>
      <c r="N9486" s="1"/>
      <c r="O9486" s="1"/>
      <c r="P9486" s="1"/>
      <c r="Q9486" s="1"/>
      <c r="R9486" s="1"/>
      <c r="S9486" s="1"/>
      <c r="T9486" s="1"/>
      <c r="U9486" s="1"/>
      <c r="V9486" s="1"/>
      <c r="W9486" s="1"/>
      <c r="X9486" s="1"/>
      <c r="Y9486" s="1"/>
      <c r="Z9486" s="1"/>
      <c r="AA9486" s="1"/>
      <c r="AB9486" s="1"/>
    </row>
    <row r="9487" ht="50.25" customHeight="1">
      <c r="A9487" s="12">
        <v>9483.0</v>
      </c>
      <c r="B9487" s="13" t="s">
        <v>8699</v>
      </c>
      <c r="C9487" s="18" t="s">
        <v>9513</v>
      </c>
      <c r="D9487" s="1"/>
      <c r="E9487" s="1"/>
      <c r="F9487" s="1" t="str">
        <f>IFERROR(__xludf.DUMMYFUNCTION("GOOGLETRANSLATE(B9487, ""en"", ""fa"")
"),"موفقیت در پادکست")</f>
        <v>موفقیت در پادکست</v>
      </c>
      <c r="G9487" s="1" t="str">
        <f>IFERROR(__xludf.DUMMYFUNCTION("GOOGLETRANSLATE(C9487, ""en"", ""fa"")
"),"چگونه می‌توان بینش، استراتژی‌ها و داستان‌های موفقیت را برای پادکست‌ها در حوزه عدالت اجتماعی و کنش‌گری ارائه کرد تا صداهای به حاشیه رانده شده را تقویت کند، درباره مسائل اجتماعی بحث کند و تغییرات مثبت را القا کند؟")</f>
        <v>چگونه می‌توان بینش، استراتژی‌ها و داستان‌های موفقیت را برای پادکست‌ها در حوزه عدالت اجتماعی و کنش‌گری ارائه کرد تا صداهای به حاشیه رانده شده را تقویت کند، درباره مسائل اجتماعی بحث کند و تغییرات مثبت را القا کند؟</v>
      </c>
      <c r="H9487" s="1"/>
      <c r="I9487" s="1"/>
      <c r="J9487" s="1"/>
      <c r="K9487" s="1"/>
      <c r="L9487" s="1"/>
      <c r="M9487" s="1"/>
      <c r="N9487" s="1"/>
      <c r="O9487" s="1"/>
      <c r="P9487" s="1"/>
      <c r="Q9487" s="1"/>
      <c r="R9487" s="1"/>
      <c r="S9487" s="1"/>
      <c r="T9487" s="1"/>
      <c r="U9487" s="1"/>
      <c r="V9487" s="1"/>
      <c r="W9487" s="1"/>
      <c r="X9487" s="1"/>
      <c r="Y9487" s="1"/>
      <c r="Z9487" s="1"/>
      <c r="AA9487" s="1"/>
      <c r="AB9487" s="1"/>
    </row>
    <row r="9488" ht="50.25" customHeight="1">
      <c r="A9488" s="12">
        <v>9484.0</v>
      </c>
      <c r="B9488" s="13" t="s">
        <v>8699</v>
      </c>
      <c r="C9488" s="18" t="s">
        <v>9514</v>
      </c>
      <c r="D9488" s="1"/>
      <c r="E9488" s="1"/>
      <c r="F9488" s="1" t="str">
        <f>IFERROR(__xludf.DUMMYFUNCTION("GOOGLETRANSLATE(B9488, ""en"", ""fa"")
"),"موفقیت در پادکست")</f>
        <v>موفقیت در پادکست</v>
      </c>
      <c r="G9488" s="1" t="str">
        <f>IFERROR(__xludf.DUMMYFUNCTION("GOOGLETRANSLATE(C9488, ""en"", ""fa"")
"),"استراتژی‌هایی برای پادکست‌ها در حوزه برندسازی شخصی و توسعه شغلی برای کمک به افراد برای ایجاد یک برند شخصی قوی، ارتقای تصویر حرفه‌ای خود و پیشرفت شغلی چیست؟")</f>
        <v>استراتژی‌هایی برای پادکست‌ها در حوزه برندسازی شخصی و توسعه شغلی برای کمک به افراد برای ایجاد یک برند شخصی قوی، ارتقای تصویر حرفه‌ای خود و پیشرفت شغلی چیست؟</v>
      </c>
      <c r="H9488" s="1"/>
      <c r="I9488" s="1"/>
      <c r="J9488" s="1"/>
      <c r="K9488" s="1"/>
      <c r="L9488" s="1"/>
      <c r="M9488" s="1"/>
      <c r="N9488" s="1"/>
      <c r="O9488" s="1"/>
      <c r="P9488" s="1"/>
      <c r="Q9488" s="1"/>
      <c r="R9488" s="1"/>
      <c r="S9488" s="1"/>
      <c r="T9488" s="1"/>
      <c r="U9488" s="1"/>
      <c r="V9488" s="1"/>
      <c r="W9488" s="1"/>
      <c r="X9488" s="1"/>
      <c r="Y9488" s="1"/>
      <c r="Z9488" s="1"/>
      <c r="AA9488" s="1"/>
      <c r="AB9488" s="1"/>
    </row>
    <row r="9489" ht="50.25" customHeight="1">
      <c r="A9489" s="12">
        <v>9485.0</v>
      </c>
      <c r="B9489" s="13" t="s">
        <v>8699</v>
      </c>
      <c r="C9489" s="18" t="s">
        <v>9515</v>
      </c>
      <c r="D9489" s="1"/>
      <c r="E9489" s="1"/>
      <c r="F9489" s="1" t="str">
        <f>IFERROR(__xludf.DUMMYFUNCTION("GOOGLETRANSLATE(B9489, ""en"", ""fa"")
"),"موفقیت در پادکست")</f>
        <v>موفقیت در پادکست</v>
      </c>
      <c r="G9489" s="1" t="str">
        <f>IFERROR(__xludf.DUMMYFUNCTION("GOOGLETRANSLATE(C9489, ""en"", ""fa"")
"),"چگونه می توان آخرین روندها، اخبار و تجزیه و تحلیل ها را در زمینه تمرکز حواس و مراقبت از خود به عنوان یک پادکستر برای ارائه ابزارها و شیوه هایی برای افزایش رفاه کلی مدیریت و بحث کرد؟")</f>
        <v>چگونه می توان آخرین روندها، اخبار و تجزیه و تحلیل ها را در زمینه تمرکز حواس و مراقبت از خود به عنوان یک پادکستر برای ارائه ابزارها و شیوه هایی برای افزایش رفاه کلی مدیریت و بحث کرد؟</v>
      </c>
      <c r="H9489" s="1"/>
      <c r="I9489" s="1"/>
      <c r="J9489" s="1"/>
      <c r="K9489" s="1"/>
      <c r="L9489" s="1"/>
      <c r="M9489" s="1"/>
      <c r="N9489" s="1"/>
      <c r="O9489" s="1"/>
      <c r="P9489" s="1"/>
      <c r="Q9489" s="1"/>
      <c r="R9489" s="1"/>
      <c r="S9489" s="1"/>
      <c r="T9489" s="1"/>
      <c r="U9489" s="1"/>
      <c r="V9489" s="1"/>
      <c r="W9489" s="1"/>
      <c r="X9489" s="1"/>
      <c r="Y9489" s="1"/>
      <c r="Z9489" s="1"/>
      <c r="AA9489" s="1"/>
      <c r="AB9489" s="1"/>
    </row>
    <row r="9490" ht="50.25" customHeight="1">
      <c r="A9490" s="12">
        <v>9486.0</v>
      </c>
      <c r="B9490" s="13" t="s">
        <v>8699</v>
      </c>
      <c r="C9490" s="18" t="s">
        <v>9516</v>
      </c>
      <c r="D9490" s="1"/>
      <c r="E9490" s="1"/>
      <c r="F9490" s="1" t="str">
        <f>IFERROR(__xludf.DUMMYFUNCTION("GOOGLETRANSLATE(B9490, ""en"", ""fa"")
"),"موفقیت در پادکست")</f>
        <v>موفقیت در پادکست</v>
      </c>
      <c r="G9490" s="1" t="str">
        <f>IFERROR(__xludf.DUMMYFUNCTION("GOOGLETRANSLATE(C9490, ""en"", ""fa"")
"),"پادکست‌ها برای ارائه نکات آموزشی، بحث در مورد روانشناسی حیوانات و به اشتراک گذاشتن داستان‌های روابط حیوان و انسان، چه تکنیک‌هایی دارند؟")</f>
        <v>پادکست‌ها برای ارائه نکات آموزشی، بحث در مورد روانشناسی حیوانات و به اشتراک گذاشتن داستان‌های روابط حیوان و انسان، چه تکنیک‌هایی دارند؟</v>
      </c>
      <c r="H9490" s="1"/>
      <c r="I9490" s="1"/>
      <c r="J9490" s="1"/>
      <c r="K9490" s="1"/>
      <c r="L9490" s="1"/>
      <c r="M9490" s="1"/>
      <c r="N9490" s="1"/>
      <c r="O9490" s="1"/>
      <c r="P9490" s="1"/>
      <c r="Q9490" s="1"/>
      <c r="R9490" s="1"/>
      <c r="S9490" s="1"/>
      <c r="T9490" s="1"/>
      <c r="U9490" s="1"/>
      <c r="V9490" s="1"/>
      <c r="W9490" s="1"/>
      <c r="X9490" s="1"/>
      <c r="Y9490" s="1"/>
      <c r="Z9490" s="1"/>
      <c r="AA9490" s="1"/>
      <c r="AB9490" s="1"/>
    </row>
    <row r="9491" ht="50.25" customHeight="1">
      <c r="A9491" s="12">
        <v>9487.0</v>
      </c>
      <c r="B9491" s="13" t="s">
        <v>8699</v>
      </c>
      <c r="C9491" s="18" t="s">
        <v>9517</v>
      </c>
      <c r="D9491" s="1"/>
      <c r="E9491" s="1"/>
      <c r="F9491" s="1" t="str">
        <f>IFERROR(__xludf.DUMMYFUNCTION("GOOGLETRANSLATE(B9491, ""en"", ""fa"")
"),"موفقیت در پادکست")</f>
        <v>موفقیت در پادکست</v>
      </c>
      <c r="G9491" s="1" t="str">
        <f>IFERROR(__xludf.DUMMYFUNCTION("GOOGLETRANSLATE(C9491, ""en"", ""fa"")
"),"نحوه ارائه بینش، استراتژی‌ها و داستان‌های موفقیت برای پادکست‌ها در حوزه ایمان و معنویت برای ارائه راهنمایی معنوی، بحث در مورد اعمال مذهبی و تقویت حس اجتماعی.")</f>
        <v>نحوه ارائه بینش، استراتژی‌ها و داستان‌های موفقیت برای پادکست‌ها در حوزه ایمان و معنویت برای ارائه راهنمایی معنوی، بحث در مورد اعمال مذهبی و تقویت حس اجتماعی.</v>
      </c>
      <c r="H9491" s="1"/>
      <c r="I9491" s="1"/>
      <c r="J9491" s="1"/>
      <c r="K9491" s="1"/>
      <c r="L9491" s="1"/>
      <c r="M9491" s="1"/>
      <c r="N9491" s="1"/>
      <c r="O9491" s="1"/>
      <c r="P9491" s="1"/>
      <c r="Q9491" s="1"/>
      <c r="R9491" s="1"/>
      <c r="S9491" s="1"/>
      <c r="T9491" s="1"/>
      <c r="U9491" s="1"/>
      <c r="V9491" s="1"/>
      <c r="W9491" s="1"/>
      <c r="X9491" s="1"/>
      <c r="Y9491" s="1"/>
      <c r="Z9491" s="1"/>
      <c r="AA9491" s="1"/>
      <c r="AB9491" s="1"/>
    </row>
    <row r="9492" ht="50.25" customHeight="1">
      <c r="A9492" s="12">
        <v>9488.0</v>
      </c>
      <c r="B9492" s="13" t="s">
        <v>8699</v>
      </c>
      <c r="C9492" s="18" t="s">
        <v>9518</v>
      </c>
      <c r="D9492" s="1"/>
      <c r="E9492" s="1"/>
      <c r="F9492" s="1" t="str">
        <f>IFERROR(__xludf.DUMMYFUNCTION("GOOGLETRANSLATE(B9492, ""en"", ""fa"")
"),"موفقیت در پادکست")</f>
        <v>موفقیت در پادکست</v>
      </c>
      <c r="G9492" s="1" t="str">
        <f>IFERROR(__xludf.DUMMYFUNCTION("GOOGLETRANSLATE(C9492, ""en"", ""fa"")
"),"استراتژی‌هایی برای پادکست‌ها در حوزه رسانه‌های اجتماعی و اینفلوئنسر مارکتینگ برای بحث در مورد روند رسانه‌های اجتماعی، ارائه استراتژی‌های بازاریابی و کمک به کسب‌وکارها در جهت یابی در چشم‌انداز دیجیتال چیست؟")</f>
        <v>استراتژی‌هایی برای پادکست‌ها در حوزه رسانه‌های اجتماعی و اینفلوئنسر مارکتینگ برای بحث در مورد روند رسانه‌های اجتماعی، ارائه استراتژی‌های بازاریابی و کمک به کسب‌وکارها در جهت یابی در چشم‌انداز دیجیتال چیست؟</v>
      </c>
      <c r="H9492" s="1"/>
      <c r="I9492" s="1"/>
      <c r="J9492" s="1"/>
      <c r="K9492" s="1"/>
      <c r="L9492" s="1"/>
      <c r="M9492" s="1"/>
      <c r="N9492" s="1"/>
      <c r="O9492" s="1"/>
      <c r="P9492" s="1"/>
      <c r="Q9492" s="1"/>
      <c r="R9492" s="1"/>
      <c r="S9492" s="1"/>
      <c r="T9492" s="1"/>
      <c r="U9492" s="1"/>
      <c r="V9492" s="1"/>
      <c r="W9492" s="1"/>
      <c r="X9492" s="1"/>
      <c r="Y9492" s="1"/>
      <c r="Z9492" s="1"/>
      <c r="AA9492" s="1"/>
      <c r="AB9492" s="1"/>
    </row>
    <row r="9493" ht="50.25" customHeight="1">
      <c r="A9493" s="12">
        <v>9489.0</v>
      </c>
      <c r="B9493" s="13" t="s">
        <v>8699</v>
      </c>
      <c r="C9493" s="18" t="s">
        <v>9519</v>
      </c>
      <c r="D9493" s="1"/>
      <c r="E9493" s="1"/>
      <c r="F9493" s="1" t="str">
        <f>IFERROR(__xludf.DUMMYFUNCTION("GOOGLETRANSLATE(B9493, ""en"", ""fa"")
"),"موفقیت در پادکست")</f>
        <v>موفقیت در پادکست</v>
      </c>
      <c r="G9493" s="1" t="str">
        <f>IFERROR(__xludf.DUMMYFUNCTION("GOOGLETRANSLATE(C9493, ""en"", ""fa"")
"),"چگونه می توان آخرین روندها، اخبار و تحلیل ها را در زمینه کار از راه دور و سبک زندگی عشایری دیجیتال به عنوان پادکستر برای ارائه بینش و نکاتی برای زندگی مستقل از مکان، مدیریت و بحث کرد.")</f>
        <v>چگونه می توان آخرین روندها، اخبار و تحلیل ها را در زمینه کار از راه دور و سبک زندگی عشایری دیجیتال به عنوان پادکستر برای ارائه بینش و نکاتی برای زندگی مستقل از مکان، مدیریت و بحث کرد.</v>
      </c>
      <c r="H9493" s="1"/>
      <c r="I9493" s="1"/>
      <c r="J9493" s="1"/>
      <c r="K9493" s="1"/>
      <c r="L9493" s="1"/>
      <c r="M9493" s="1"/>
      <c r="N9493" s="1"/>
      <c r="O9493" s="1"/>
      <c r="P9493" s="1"/>
      <c r="Q9493" s="1"/>
      <c r="R9493" s="1"/>
      <c r="S9493" s="1"/>
      <c r="T9493" s="1"/>
      <c r="U9493" s="1"/>
      <c r="V9493" s="1"/>
      <c r="W9493" s="1"/>
      <c r="X9493" s="1"/>
      <c r="Y9493" s="1"/>
      <c r="Z9493" s="1"/>
      <c r="AA9493" s="1"/>
      <c r="AB9493" s="1"/>
    </row>
    <row r="9494" ht="50.25" customHeight="1">
      <c r="A9494" s="12">
        <v>9490.0</v>
      </c>
      <c r="B9494" s="13" t="s">
        <v>8699</v>
      </c>
      <c r="C9494" s="18" t="s">
        <v>9520</v>
      </c>
      <c r="D9494" s="1"/>
      <c r="E9494" s="1"/>
      <c r="F9494" s="1" t="str">
        <f>IFERROR(__xludf.DUMMYFUNCTION("GOOGLETRANSLATE(B9494, ""en"", ""fa"")
"),"موفقیت در پادکست")</f>
        <v>موفقیت در پادکست</v>
      </c>
      <c r="G9494" s="1" t="str">
        <f>IFERROR(__xludf.DUMMYFUNCTION("GOOGLETRANSLATE(C9494, ""en"", ""fa"")
"),"استراتژی‌هایی برای شناسایی حامیان مالی و تبلیغ‌کنندگان بالقوه که با جایگاه، ارزش‌ها و مخاطبان هدف پادکست شما هماهنگ هستند، چیست؟")</f>
        <v>استراتژی‌هایی برای شناسایی حامیان مالی و تبلیغ‌کنندگان بالقوه که با جایگاه، ارزش‌ها و مخاطبان هدف پادکست شما هماهنگ هستند، چیست؟</v>
      </c>
      <c r="H9494" s="1"/>
      <c r="I9494" s="1"/>
      <c r="J9494" s="1"/>
      <c r="K9494" s="1"/>
      <c r="L9494" s="1"/>
      <c r="M9494" s="1"/>
      <c r="N9494" s="1"/>
      <c r="O9494" s="1"/>
      <c r="P9494" s="1"/>
      <c r="Q9494" s="1"/>
      <c r="R9494" s="1"/>
      <c r="S9494" s="1"/>
      <c r="T9494" s="1"/>
      <c r="U9494" s="1"/>
      <c r="V9494" s="1"/>
      <c r="W9494" s="1"/>
      <c r="X9494" s="1"/>
      <c r="Y9494" s="1"/>
      <c r="Z9494" s="1"/>
      <c r="AA9494" s="1"/>
      <c r="AB9494" s="1"/>
    </row>
    <row r="9495" ht="50.25" customHeight="1">
      <c r="A9495" s="12">
        <v>9491.0</v>
      </c>
      <c r="B9495" s="13" t="s">
        <v>8699</v>
      </c>
      <c r="C9495" s="18" t="s">
        <v>9521</v>
      </c>
      <c r="D9495" s="1"/>
      <c r="E9495" s="1"/>
      <c r="F9495" s="1" t="str">
        <f>IFERROR(__xludf.DUMMYFUNCTION("GOOGLETRANSLATE(B9495, ""en"", ""fa"")
"),"موفقیت در پادکست")</f>
        <v>موفقیت در پادکست</v>
      </c>
      <c r="G9495" s="1" t="str">
        <f>IFERROR(__xludf.DUMMYFUNCTION("GOOGLETRANSLATE(C9495, ""en"", ""fa"")
"),"چگونه یک بسته حمایت مالی جذاب ایجاد کنیم که به وضوح مزایا و ارزش پیشنهادی را برای حامیان مالی و تبلیغ کنندگان بالقوه بیان کند؟")</f>
        <v>چگونه یک بسته حمایت مالی جذاب ایجاد کنیم که به وضوح مزایا و ارزش پیشنهادی را برای حامیان مالی و تبلیغ کنندگان بالقوه بیان کند؟</v>
      </c>
      <c r="H9495" s="1"/>
      <c r="I9495" s="1"/>
      <c r="J9495" s="1"/>
      <c r="K9495" s="1"/>
      <c r="L9495" s="1"/>
      <c r="M9495" s="1"/>
      <c r="N9495" s="1"/>
      <c r="O9495" s="1"/>
      <c r="P9495" s="1"/>
      <c r="Q9495" s="1"/>
      <c r="R9495" s="1"/>
      <c r="S9495" s="1"/>
      <c r="T9495" s="1"/>
      <c r="U9495" s="1"/>
      <c r="V9495" s="1"/>
      <c r="W9495" s="1"/>
      <c r="X9495" s="1"/>
      <c r="Y9495" s="1"/>
      <c r="Z9495" s="1"/>
      <c r="AA9495" s="1"/>
      <c r="AB9495" s="1"/>
    </row>
    <row r="9496" ht="50.25" customHeight="1">
      <c r="A9496" s="12">
        <v>9492.0</v>
      </c>
      <c r="B9496" s="13" t="s">
        <v>8699</v>
      </c>
      <c r="C9496" s="18" t="s">
        <v>9522</v>
      </c>
      <c r="D9496" s="1"/>
      <c r="E9496" s="1"/>
      <c r="F9496" s="1" t="str">
        <f>IFERROR(__xludf.DUMMYFUNCTION("GOOGLETRANSLATE(B9496, ""en"", ""fa"")
"),"موفقیت در پادکست")</f>
        <v>موفقیت در پادکست</v>
      </c>
      <c r="G9496" s="1" t="str">
        <f>IFERROR(__xludf.DUMMYFUNCTION("GOOGLETRANSLATE(C9496, ""en"", ""fa"")
"),"تکنیک‌های انجام تحقیقات و تحلیل بازار برای تعیین قیمت رقابتی و نرخ‌های منصفانه برای حمایت‌های مالی پادکست و جایگاه‌های تبلیغاتی چیست؟")</f>
        <v>تکنیک‌های انجام تحقیقات و تحلیل بازار برای تعیین قیمت رقابتی و نرخ‌های منصفانه برای حمایت‌های مالی پادکست و جایگاه‌های تبلیغاتی چیست؟</v>
      </c>
      <c r="H9496" s="1"/>
      <c r="I9496" s="1"/>
      <c r="J9496" s="1"/>
      <c r="K9496" s="1"/>
      <c r="L9496" s="1"/>
      <c r="M9496" s="1"/>
      <c r="N9496" s="1"/>
      <c r="O9496" s="1"/>
      <c r="P9496" s="1"/>
      <c r="Q9496" s="1"/>
      <c r="R9496" s="1"/>
      <c r="S9496" s="1"/>
      <c r="T9496" s="1"/>
      <c r="U9496" s="1"/>
      <c r="V9496" s="1"/>
      <c r="W9496" s="1"/>
      <c r="X9496" s="1"/>
      <c r="Y9496" s="1"/>
      <c r="Z9496" s="1"/>
      <c r="AA9496" s="1"/>
      <c r="AB9496" s="1"/>
    </row>
    <row r="9497" ht="50.25" customHeight="1">
      <c r="A9497" s="12">
        <v>9493.0</v>
      </c>
      <c r="B9497" s="13" t="s">
        <v>8699</v>
      </c>
      <c r="C9497" s="18" t="s">
        <v>9523</v>
      </c>
      <c r="D9497" s="1"/>
      <c r="E9497" s="1"/>
      <c r="F9497" s="1" t="str">
        <f>IFERROR(__xludf.DUMMYFUNCTION("GOOGLETRANSLATE(B9497, ""en"", ""fa"")
"),"موفقیت در پادکست")</f>
        <v>موفقیت در پادکست</v>
      </c>
      <c r="G9497" s="1" t="str">
        <f>IFERROR(__xludf.DUMMYFUNCTION("GOOGLETRANSLATE(C9497, ""en"", ""fa"")
"),"چگونه برای جذب حامیان مالی و تبلیغ‌کنندگان بالقوه، یک کیت رسانه‌ای قانع‌کننده ایجاد کنیم که شاخص‌های جمعیت‌شناختی، میزان دسترسی و تعامل پادکست شما را به نمایش بگذارد؟")</f>
        <v>چگونه برای جذب حامیان مالی و تبلیغ‌کنندگان بالقوه، یک کیت رسانه‌ای قانع‌کننده ایجاد کنیم که شاخص‌های جمعیت‌شناختی، میزان دسترسی و تعامل پادکست شما را به نمایش بگذارد؟</v>
      </c>
      <c r="H9497" s="1"/>
      <c r="I9497" s="1"/>
      <c r="J9497" s="1"/>
      <c r="K9497" s="1"/>
      <c r="L9497" s="1"/>
      <c r="M9497" s="1"/>
      <c r="N9497" s="1"/>
      <c r="O9497" s="1"/>
      <c r="P9497" s="1"/>
      <c r="Q9497" s="1"/>
      <c r="R9497" s="1"/>
      <c r="S9497" s="1"/>
      <c r="T9497" s="1"/>
      <c r="U9497" s="1"/>
      <c r="V9497" s="1"/>
      <c r="W9497" s="1"/>
      <c r="X9497" s="1"/>
      <c r="Y9497" s="1"/>
      <c r="Z9497" s="1"/>
      <c r="AA9497" s="1"/>
      <c r="AB9497" s="1"/>
    </row>
    <row r="9498" ht="50.25" customHeight="1">
      <c r="A9498" s="12">
        <v>9494.0</v>
      </c>
      <c r="B9498" s="13" t="s">
        <v>8699</v>
      </c>
      <c r="C9498" s="18" t="s">
        <v>9524</v>
      </c>
      <c r="D9498" s="1"/>
      <c r="E9498" s="1"/>
      <c r="F9498" s="1" t="str">
        <f>IFERROR(__xludf.DUMMYFUNCTION("GOOGLETRANSLATE(B9498, ""en"", ""fa"")
"),"موفقیت در پادکست")</f>
        <v>موفقیت در پادکست</v>
      </c>
      <c r="G9498" s="1" t="str">
        <f>IFERROR(__xludf.DUMMYFUNCTION("GOOGLETRANSLATE(C9498, ""en"", ""fa"")
"),"استراتژی‌هایی برای استفاده از داده‌های مخاطبان پادکست و تجزیه و تحلیل‌ها برای ارائه بینش و شواهدی از ارزش و بازگشت سرمایه برای حامیان مالی و تبلیغ‌کنندگان چیست؟")</f>
        <v>استراتژی‌هایی برای استفاده از داده‌های مخاطبان پادکست و تجزیه و تحلیل‌ها برای ارائه بینش و شواهدی از ارزش و بازگشت سرمایه برای حامیان مالی و تبلیغ‌کنندگان چیست؟</v>
      </c>
      <c r="H9498" s="1"/>
      <c r="I9498" s="1"/>
      <c r="J9498" s="1"/>
      <c r="K9498" s="1"/>
      <c r="L9498" s="1"/>
      <c r="M9498" s="1"/>
      <c r="N9498" s="1"/>
      <c r="O9498" s="1"/>
      <c r="P9498" s="1"/>
      <c r="Q9498" s="1"/>
      <c r="R9498" s="1"/>
      <c r="S9498" s="1"/>
      <c r="T9498" s="1"/>
      <c r="U9498" s="1"/>
      <c r="V9498" s="1"/>
      <c r="W9498" s="1"/>
      <c r="X9498" s="1"/>
      <c r="Y9498" s="1"/>
      <c r="Z9498" s="1"/>
      <c r="AA9498" s="1"/>
      <c r="AB9498" s="1"/>
    </row>
    <row r="9499" ht="50.25" customHeight="1">
      <c r="A9499" s="12">
        <v>9495.0</v>
      </c>
      <c r="B9499" s="13" t="s">
        <v>8699</v>
      </c>
      <c r="C9499" s="18" t="s">
        <v>9525</v>
      </c>
      <c r="D9499" s="1"/>
      <c r="E9499" s="1"/>
      <c r="F9499" s="1" t="str">
        <f>IFERROR(__xludf.DUMMYFUNCTION("GOOGLETRANSLATE(B9499, ""en"", ""fa"")
"),"موفقیت در پادکست")</f>
        <v>موفقیت در پادکست</v>
      </c>
      <c r="G9499" s="1" t="str">
        <f>IFERROR(__xludf.DUMMYFUNCTION("GOOGLETRANSLATE(C9499, ""en"", ""fa"")
"),"چگونه می توان به طور مؤثر به حامیان مالی و تبلیغ کنندگان بالقوه نزدیک شد، از جمله ایجاد ایمیل های ارتباطی شخصی یا برگزاری رویدادهای شبکه ای برای ایجاد ارتباط و ایجاد روابط.")</f>
        <v>چگونه می توان به طور مؤثر به حامیان مالی و تبلیغ کنندگان بالقوه نزدیک شد، از جمله ایجاد ایمیل های ارتباطی شخصی یا برگزاری رویدادهای شبکه ای برای ایجاد ارتباط و ایجاد روابط.</v>
      </c>
      <c r="H9499" s="1"/>
      <c r="I9499" s="1"/>
      <c r="J9499" s="1"/>
      <c r="K9499" s="1"/>
      <c r="L9499" s="1"/>
      <c r="M9499" s="1"/>
      <c r="N9499" s="1"/>
      <c r="O9499" s="1"/>
      <c r="P9499" s="1"/>
      <c r="Q9499" s="1"/>
      <c r="R9499" s="1"/>
      <c r="S9499" s="1"/>
      <c r="T9499" s="1"/>
      <c r="U9499" s="1"/>
      <c r="V9499" s="1"/>
      <c r="W9499" s="1"/>
      <c r="X9499" s="1"/>
      <c r="Y9499" s="1"/>
      <c r="Z9499" s="1"/>
      <c r="AA9499" s="1"/>
      <c r="AB9499" s="1"/>
    </row>
    <row r="9500" ht="50.25" customHeight="1">
      <c r="A9500" s="12">
        <v>9496.0</v>
      </c>
      <c r="B9500" s="13" t="s">
        <v>8699</v>
      </c>
      <c r="C9500" s="18" t="s">
        <v>9526</v>
      </c>
      <c r="D9500" s="1"/>
      <c r="E9500" s="1"/>
      <c r="F9500" s="1" t="str">
        <f>IFERROR(__xludf.DUMMYFUNCTION("GOOGLETRANSLATE(B9500, ""en"", ""fa"")
"),"موفقیت در پادکست")</f>
        <v>موفقیت در پادکست</v>
      </c>
      <c r="G9500" s="1" t="str">
        <f>IFERROR(__xludf.DUMMYFUNCTION("GOOGLETRANSLATE(C9500, ""en"", ""fa"")
"),"تکنیک‌های مذاکره در مورد معاملات اسپانسر، از جمله قیمت‌گذاری، کالاهای تحویلی، انحصاری بودن و طول مدت مشارکت، برای اطمینان از یک توافق سودمند متقابل برای هر دو طرف چیست؟")</f>
        <v>تکنیک‌های مذاکره در مورد معاملات اسپانسر، از جمله قیمت‌گذاری، کالاهای تحویلی، انحصاری بودن و طول مدت مشارکت، برای اطمینان از یک توافق سودمند متقابل برای هر دو طرف چیست؟</v>
      </c>
      <c r="H9500" s="1"/>
      <c r="I9500" s="1"/>
      <c r="J9500" s="1"/>
      <c r="K9500" s="1"/>
      <c r="L9500" s="1"/>
      <c r="M9500" s="1"/>
      <c r="N9500" s="1"/>
      <c r="O9500" s="1"/>
      <c r="P9500" s="1"/>
      <c r="Q9500" s="1"/>
      <c r="R9500" s="1"/>
      <c r="S9500" s="1"/>
      <c r="T9500" s="1"/>
      <c r="U9500" s="1"/>
      <c r="V9500" s="1"/>
      <c r="W9500" s="1"/>
      <c r="X9500" s="1"/>
      <c r="Y9500" s="1"/>
      <c r="Z9500" s="1"/>
      <c r="AA9500" s="1"/>
      <c r="AB9500" s="1"/>
    </row>
    <row r="9501" ht="50.25" customHeight="1">
      <c r="A9501" s="12">
        <v>9497.0</v>
      </c>
      <c r="B9501" s="13" t="s">
        <v>8699</v>
      </c>
      <c r="C9501" s="18" t="s">
        <v>9527</v>
      </c>
      <c r="D9501" s="1"/>
      <c r="E9501" s="1"/>
      <c r="F9501" s="1" t="str">
        <f>IFERROR(__xludf.DUMMYFUNCTION("GOOGLETRANSLATE(B9501, ""en"", ""fa"")
"),"موفقیت در پادکست")</f>
        <v>موفقیت در پادکست</v>
      </c>
      <c r="G9501" s="1" t="str">
        <f>IFERROR(__xludf.DUMMYFUNCTION("GOOGLETRANSLATE(C9501, ""en"", ""fa"")
"),"چگونه می توان نقاط تبلیغاتی جذاب و موثری ایجاد کرد که پیام های حامیان مالی را به طور یکپارچه در قسمت های پادکست شما ادغام می کند بدون اینکه به تجربه شنونده آسیبی وارد شود.")</f>
        <v>چگونه می توان نقاط تبلیغاتی جذاب و موثری ایجاد کرد که پیام های حامیان مالی را به طور یکپارچه در قسمت های پادکست شما ادغام می کند بدون اینکه به تجربه شنونده آسیبی وارد شود.</v>
      </c>
      <c r="H9501" s="1"/>
      <c r="I9501" s="1"/>
      <c r="J9501" s="1"/>
      <c r="K9501" s="1"/>
      <c r="L9501" s="1"/>
      <c r="M9501" s="1"/>
      <c r="N9501" s="1"/>
      <c r="O9501" s="1"/>
      <c r="P9501" s="1"/>
      <c r="Q9501" s="1"/>
      <c r="R9501" s="1"/>
      <c r="S9501" s="1"/>
      <c r="T9501" s="1"/>
      <c r="U9501" s="1"/>
      <c r="V9501" s="1"/>
      <c r="W9501" s="1"/>
      <c r="X9501" s="1"/>
      <c r="Y9501" s="1"/>
      <c r="Z9501" s="1"/>
      <c r="AA9501" s="1"/>
      <c r="AB9501" s="1"/>
    </row>
    <row r="9502" ht="50.25" customHeight="1">
      <c r="A9502" s="12">
        <v>9498.0</v>
      </c>
      <c r="B9502" s="13" t="s">
        <v>8699</v>
      </c>
      <c r="C9502" s="18" t="s">
        <v>9528</v>
      </c>
      <c r="D9502" s="1"/>
      <c r="E9502" s="1"/>
      <c r="F9502" s="1" t="str">
        <f>IFERROR(__xludf.DUMMYFUNCTION("GOOGLETRANSLATE(B9502, ""en"", ""fa"")
"),"موفقیت در پادکست")</f>
        <v>موفقیت در پادکست</v>
      </c>
      <c r="G9502" s="1" t="str">
        <f>IFERROR(__xludf.DUMMYFUNCTION("GOOGLETRANSLATE(C9502, ""en"", ""fa"")
"),"استراتژی‌هایی برای تنوع بخشیدن به درآمد حامی مالی شما با ارائه بسته‌ها یا سطوح مختلف حمایت مالی، مانند تبلیغات میان‌پولی، تبلیغات پیش از پخش، آگهی‌های خواندن میزبان یا بخش‌های برند چیست؟")</f>
        <v>استراتژی‌هایی برای تنوع بخشیدن به درآمد حامی مالی شما با ارائه بسته‌ها یا سطوح مختلف حمایت مالی، مانند تبلیغات میان‌پولی، تبلیغات پیش از پخش، آگهی‌های خواندن میزبان یا بخش‌های برند چیست؟</v>
      </c>
      <c r="H9502" s="1"/>
      <c r="I9502" s="1"/>
      <c r="J9502" s="1"/>
      <c r="K9502" s="1"/>
      <c r="L9502" s="1"/>
      <c r="M9502" s="1"/>
      <c r="N9502" s="1"/>
      <c r="O9502" s="1"/>
      <c r="P9502" s="1"/>
      <c r="Q9502" s="1"/>
      <c r="R9502" s="1"/>
      <c r="S9502" s="1"/>
      <c r="T9502" s="1"/>
      <c r="U9502" s="1"/>
      <c r="V9502" s="1"/>
      <c r="W9502" s="1"/>
      <c r="X9502" s="1"/>
      <c r="Y9502" s="1"/>
      <c r="Z9502" s="1"/>
      <c r="AA9502" s="1"/>
      <c r="AB9502" s="1"/>
    </row>
    <row r="9503" ht="50.25" customHeight="1">
      <c r="A9503" s="12">
        <v>9499.0</v>
      </c>
      <c r="B9503" s="13" t="s">
        <v>8699</v>
      </c>
      <c r="C9503" s="18" t="s">
        <v>9529</v>
      </c>
      <c r="D9503" s="1"/>
      <c r="E9503" s="1"/>
      <c r="F9503" s="1" t="str">
        <f>IFERROR(__xludf.DUMMYFUNCTION("GOOGLETRANSLATE(B9503, ""en"", ""fa"")
"),"موفقیت در پادکست")</f>
        <v>موفقیت در پادکست</v>
      </c>
      <c r="G9503" s="1" t="str">
        <f>IFERROR(__xludf.DUMMYFUNCTION("GOOGLETRANSLATE(C9503, ""en"", ""fa"")
"),"چگونه می توان از قدرت داستان سرایی و حکایت های شخصی در تبلیغات خواندنی میزبان استفاده کرد تا محتوای حمایت شده را برای مخاطبان خود جذاب تر و مرتبط تر کند.")</f>
        <v>چگونه می توان از قدرت داستان سرایی و حکایت های شخصی در تبلیغات خواندنی میزبان استفاده کرد تا محتوای حمایت شده را برای مخاطبان خود جذاب تر و مرتبط تر کند.</v>
      </c>
      <c r="H9503" s="1"/>
      <c r="I9503" s="1"/>
      <c r="J9503" s="1"/>
      <c r="K9503" s="1"/>
      <c r="L9503" s="1"/>
      <c r="M9503" s="1"/>
      <c r="N9503" s="1"/>
      <c r="O9503" s="1"/>
      <c r="P9503" s="1"/>
      <c r="Q9503" s="1"/>
      <c r="R9503" s="1"/>
      <c r="S9503" s="1"/>
      <c r="T9503" s="1"/>
      <c r="U9503" s="1"/>
      <c r="V9503" s="1"/>
      <c r="W9503" s="1"/>
      <c r="X9503" s="1"/>
      <c r="Y9503" s="1"/>
      <c r="Z9503" s="1"/>
      <c r="AA9503" s="1"/>
      <c r="AB9503" s="1"/>
    </row>
    <row r="9504" ht="50.25" customHeight="1">
      <c r="A9504" s="12">
        <v>9500.0</v>
      </c>
      <c r="B9504" s="13" t="s">
        <v>8699</v>
      </c>
      <c r="C9504" s="18" t="s">
        <v>9530</v>
      </c>
      <c r="D9504" s="1"/>
      <c r="E9504" s="1"/>
      <c r="F9504" s="1" t="str">
        <f>IFERROR(__xludf.DUMMYFUNCTION("GOOGLETRANSLATE(B9504, ""en"", ""fa"")
"),"موفقیت در پادکست")</f>
        <v>موفقیت در پادکست</v>
      </c>
      <c r="G9504" s="1" t="str">
        <f>IFERROR(__xludf.DUMMYFUNCTION("GOOGLETRANSLATE(C9504, ""en"", ""fa"")
"),"تکنیک‌هایی برای ترکیب فناوری درج آگهی پویا برای ارائه تبلیغات هدفمند و شخصی‌شده به بخش‌های مختلف مخاطبان بر اساس علایق و جمعیت‌شناسی آنها چیست؟")</f>
        <v>تکنیک‌هایی برای ترکیب فناوری درج آگهی پویا برای ارائه تبلیغات هدفمند و شخصی‌شده به بخش‌های مختلف مخاطبان بر اساس علایق و جمعیت‌شناسی آنها چیست؟</v>
      </c>
      <c r="H9504" s="1"/>
      <c r="I9504" s="1"/>
      <c r="J9504" s="1"/>
      <c r="K9504" s="1"/>
      <c r="L9504" s="1"/>
      <c r="M9504" s="1"/>
      <c r="N9504" s="1"/>
      <c r="O9504" s="1"/>
      <c r="P9504" s="1"/>
      <c r="Q9504" s="1"/>
      <c r="R9504" s="1"/>
      <c r="S9504" s="1"/>
      <c r="T9504" s="1"/>
      <c r="U9504" s="1"/>
      <c r="V9504" s="1"/>
      <c r="W9504" s="1"/>
      <c r="X9504" s="1"/>
      <c r="Y9504" s="1"/>
      <c r="Z9504" s="1"/>
      <c r="AA9504" s="1"/>
      <c r="AB9504" s="1"/>
    </row>
    <row r="9505" ht="50.25" customHeight="1">
      <c r="A9505" s="12">
        <v>9501.0</v>
      </c>
      <c r="B9505" s="13" t="s">
        <v>8699</v>
      </c>
      <c r="C9505" s="18" t="s">
        <v>9531</v>
      </c>
      <c r="D9505" s="1"/>
      <c r="E9505" s="1"/>
      <c r="F9505" s="1" t="str">
        <f>IFERROR(__xludf.DUMMYFUNCTION("GOOGLETRANSLATE(B9505, ""en"", ""fa"")
"),"موفقیت در پادکست")</f>
        <v>موفقیت در پادکست</v>
      </c>
      <c r="G9505" s="1" t="str">
        <f>IFERROR(__xludf.DUMMYFUNCTION("GOOGLETRANSLATE(C9505, ""en"", ""fa"")
"),"چگونه برای حامیان مالی خود ارزشی فراتر از قرار دادن تبلیغات ارائه دهید، مانند ارائه قرار گرفتن در معرض بیشتر از طریق فریادهای رسانه های اجتماعی، ویژگی های خبرنامه یا حضور مهمان در پادکست خود.")</f>
        <v>چگونه برای حامیان مالی خود ارزشی فراتر از قرار دادن تبلیغات ارائه دهید، مانند ارائه قرار گرفتن در معرض بیشتر از طریق فریادهای رسانه های اجتماعی، ویژگی های خبرنامه یا حضور مهمان در پادکست خود.</v>
      </c>
      <c r="H9505" s="1"/>
      <c r="I9505" s="1"/>
      <c r="J9505" s="1"/>
      <c r="K9505" s="1"/>
      <c r="L9505" s="1"/>
      <c r="M9505" s="1"/>
      <c r="N9505" s="1"/>
      <c r="O9505" s="1"/>
      <c r="P9505" s="1"/>
      <c r="Q9505" s="1"/>
      <c r="R9505" s="1"/>
      <c r="S9505" s="1"/>
      <c r="T9505" s="1"/>
      <c r="U9505" s="1"/>
      <c r="V9505" s="1"/>
      <c r="W9505" s="1"/>
      <c r="X9505" s="1"/>
      <c r="Y9505" s="1"/>
      <c r="Z9505" s="1"/>
      <c r="AA9505" s="1"/>
      <c r="AB9505" s="1"/>
    </row>
    <row r="9506" ht="50.25" customHeight="1">
      <c r="A9506" s="12">
        <v>9502.0</v>
      </c>
      <c r="B9506" s="13" t="s">
        <v>8699</v>
      </c>
      <c r="C9506" s="18" t="s">
        <v>9532</v>
      </c>
      <c r="D9506" s="1"/>
      <c r="E9506" s="1"/>
      <c r="F9506" s="1" t="str">
        <f>IFERROR(__xludf.DUMMYFUNCTION("GOOGLETRANSLATE(B9506, ""en"", ""fa"")
"),"موفقیت در پادکست")</f>
        <v>موفقیت در پادکست</v>
      </c>
      <c r="G9506" s="1" t="str">
        <f>IFERROR(__xludf.DUMMYFUNCTION("GOOGLETRANSLATE(C9506, ""en"", ""fa"")
"),"استراتژی‌های اندازه‌گیری و ردیابی اثربخشی حمایت‌ها و کمپین‌های تبلیغاتی، از جمله استفاده از کدهای تخفیف منحصربه‌فرد یا URLهای سفارشی برای نسبت دادن به تبدیل‌ها و ردیابی بازگشت سرمایه چیست.")</f>
        <v>استراتژی‌های اندازه‌گیری و ردیابی اثربخشی حمایت‌ها و کمپین‌های تبلیغاتی، از جمله استفاده از کدهای تخفیف منحصربه‌فرد یا URLهای سفارشی برای نسبت دادن به تبدیل‌ها و ردیابی بازگشت سرمایه چیست.</v>
      </c>
      <c r="H9506" s="1"/>
      <c r="I9506" s="1"/>
      <c r="J9506" s="1"/>
      <c r="K9506" s="1"/>
      <c r="L9506" s="1"/>
      <c r="M9506" s="1"/>
      <c r="N9506" s="1"/>
      <c r="O9506" s="1"/>
      <c r="P9506" s="1"/>
      <c r="Q9506" s="1"/>
      <c r="R9506" s="1"/>
      <c r="S9506" s="1"/>
      <c r="T9506" s="1"/>
      <c r="U9506" s="1"/>
      <c r="V9506" s="1"/>
      <c r="W9506" s="1"/>
      <c r="X9506" s="1"/>
      <c r="Y9506" s="1"/>
      <c r="Z9506" s="1"/>
      <c r="AA9506" s="1"/>
      <c r="AB9506" s="1"/>
    </row>
    <row r="9507" ht="50.25" customHeight="1">
      <c r="A9507" s="12">
        <v>9503.0</v>
      </c>
      <c r="B9507" s="13" t="s">
        <v>8699</v>
      </c>
      <c r="C9507" s="18" t="s">
        <v>9533</v>
      </c>
      <c r="D9507" s="1"/>
      <c r="E9507" s="1"/>
      <c r="F9507" s="1" t="str">
        <f>IFERROR(__xludf.DUMMYFUNCTION("GOOGLETRANSLATE(B9507, ""en"", ""fa"")
"),"موفقیت در پادکست")</f>
        <v>موفقیت در پادکست</v>
      </c>
      <c r="G9507" s="1" t="str">
        <f>IFERROR(__xludf.DUMMYFUNCTION("GOOGLETRANSLATE(C9507, ""en"", ""fa"")
"),"چگونه از بازخورد شنوندگان و داده‌های نظرسنجی برای جمع‌آوری بینش‌ها و توصیه‌هایی استفاده کنیم که می‌توان از آنها برای نشان دادن اثربخشی و تأثیر حمایت‌های مالی و تبلیغات در پادکست خود استفاده کرد.")</f>
        <v>چگونه از بازخورد شنوندگان و داده‌های نظرسنجی برای جمع‌آوری بینش‌ها و توصیه‌هایی استفاده کنیم که می‌توان از آنها برای نشان دادن اثربخشی و تأثیر حمایت‌های مالی و تبلیغات در پادکست خود استفاده کرد.</v>
      </c>
      <c r="H9507" s="1"/>
      <c r="I9507" s="1"/>
      <c r="J9507" s="1"/>
      <c r="K9507" s="1"/>
      <c r="L9507" s="1"/>
      <c r="M9507" s="1"/>
      <c r="N9507" s="1"/>
      <c r="O9507" s="1"/>
      <c r="P9507" s="1"/>
      <c r="Q9507" s="1"/>
      <c r="R9507" s="1"/>
      <c r="S9507" s="1"/>
      <c r="T9507" s="1"/>
      <c r="U9507" s="1"/>
      <c r="V9507" s="1"/>
      <c r="W9507" s="1"/>
      <c r="X9507" s="1"/>
      <c r="Y9507" s="1"/>
      <c r="Z9507" s="1"/>
      <c r="AA9507" s="1"/>
      <c r="AB9507" s="1"/>
    </row>
    <row r="9508" ht="50.25" customHeight="1">
      <c r="A9508" s="12">
        <v>9504.0</v>
      </c>
      <c r="B9508" s="13" t="s">
        <v>8699</v>
      </c>
      <c r="C9508" s="18" t="s">
        <v>9534</v>
      </c>
      <c r="D9508" s="1"/>
      <c r="E9508" s="1"/>
      <c r="F9508" s="1" t="str">
        <f>IFERROR(__xludf.DUMMYFUNCTION("GOOGLETRANSLATE(B9508, ""en"", ""fa"")
"),"موفقیت در پادکست")</f>
        <v>موفقیت در پادکست</v>
      </c>
      <c r="G9508" s="1" t="str">
        <f>IFERROR(__xludf.DUMMYFUNCTION("GOOGLETRANSLATE(C9508, ""en"", ""fa"")
"),"تکنیک‌هایی برای ایجاد محتوای حمایت‌شده که پیام‌های حامی مالی را به‌طور یکپارچه در قسمت‌های معمولی از طریق داستان‌گویی، مصاحبه یا بینش‌های متخصص ادغام می‌کند، چیست؟")</f>
        <v>تکنیک‌هایی برای ایجاد محتوای حمایت‌شده که پیام‌های حامی مالی را به‌طور یکپارچه در قسمت‌های معمولی از طریق داستان‌گویی، مصاحبه یا بینش‌های متخصص ادغام می‌کند، چیست؟</v>
      </c>
      <c r="H9508" s="1"/>
      <c r="I9508" s="1"/>
      <c r="J9508" s="1"/>
      <c r="K9508" s="1"/>
      <c r="L9508" s="1"/>
      <c r="M9508" s="1"/>
      <c r="N9508" s="1"/>
      <c r="O9508" s="1"/>
      <c r="P9508" s="1"/>
      <c r="Q9508" s="1"/>
      <c r="R9508" s="1"/>
      <c r="S9508" s="1"/>
      <c r="T9508" s="1"/>
      <c r="U9508" s="1"/>
      <c r="V9508" s="1"/>
      <c r="W9508" s="1"/>
      <c r="X9508" s="1"/>
      <c r="Y9508" s="1"/>
      <c r="Z9508" s="1"/>
      <c r="AA9508" s="1"/>
      <c r="AB9508" s="1"/>
    </row>
    <row r="9509" ht="50.25" customHeight="1">
      <c r="A9509" s="12">
        <v>9505.0</v>
      </c>
      <c r="B9509" s="13" t="s">
        <v>8699</v>
      </c>
      <c r="C9509" s="18" t="s">
        <v>9535</v>
      </c>
      <c r="D9509" s="1"/>
      <c r="E9509" s="1"/>
      <c r="F9509" s="1" t="str">
        <f>IFERROR(__xludf.DUMMYFUNCTION("GOOGLETRANSLATE(B9509, ""en"", ""fa"")
"),"موفقیت در پادکست")</f>
        <v>موفقیت در پادکست</v>
      </c>
      <c r="G9509" s="1" t="str">
        <f>IFERROR(__xludf.DUMMYFUNCTION("GOOGLETRANSLATE(C9509, ""en"", ""fa"")
"),"چگونه برای پذیرش و ترویج حمایت‌های مالی و تبلیغاتی که با ارزش‌های پادکست شما مطابقت دارند و اعتماد شنوندگان را حفظ می‌کنند، دستورالعمل‌ها و شیوه‌های اخلاقی روشنی ایجاد کنید.")</f>
        <v>چگونه برای پذیرش و ترویج حمایت‌های مالی و تبلیغاتی که با ارزش‌های پادکست شما مطابقت دارند و اعتماد شنوندگان را حفظ می‌کنند، دستورالعمل‌ها و شیوه‌های اخلاقی روشنی ایجاد کنید.</v>
      </c>
      <c r="H9509" s="1"/>
      <c r="I9509" s="1"/>
      <c r="J9509" s="1"/>
      <c r="K9509" s="1"/>
      <c r="L9509" s="1"/>
      <c r="M9509" s="1"/>
      <c r="N9509" s="1"/>
      <c r="O9509" s="1"/>
      <c r="P9509" s="1"/>
      <c r="Q9509" s="1"/>
      <c r="R9509" s="1"/>
      <c r="S9509" s="1"/>
      <c r="T9509" s="1"/>
      <c r="U9509" s="1"/>
      <c r="V9509" s="1"/>
      <c r="W9509" s="1"/>
      <c r="X9509" s="1"/>
      <c r="Y9509" s="1"/>
      <c r="Z9509" s="1"/>
      <c r="AA9509" s="1"/>
      <c r="AB9509" s="1"/>
    </row>
    <row r="9510" ht="50.25" customHeight="1">
      <c r="A9510" s="12">
        <v>9506.0</v>
      </c>
      <c r="B9510" s="13" t="s">
        <v>8699</v>
      </c>
      <c r="C9510" s="18" t="s">
        <v>9536</v>
      </c>
      <c r="D9510" s="1"/>
      <c r="E9510" s="1"/>
      <c r="F9510" s="1" t="str">
        <f>IFERROR(__xludf.DUMMYFUNCTION("GOOGLETRANSLATE(B9510, ""en"", ""fa"")
"),"موفقیت در پادکست")</f>
        <v>موفقیت در پادکست</v>
      </c>
      <c r="G9510" s="1" t="str">
        <f>IFERROR(__xludf.DUMMYFUNCTION("GOOGLETRANSLATE(C9510, ""en"", ""fa"")
"),"استراتژی‌های ایجاد روابط بلندمدت با حامیان مالی و تبلیغ‌کنندگان، از جمله ارائه بسته‌های بسته، مشارکت‌های انحصاری، یا کمپین‌های فصلی چیست.")</f>
        <v>استراتژی‌های ایجاد روابط بلندمدت با حامیان مالی و تبلیغ‌کنندگان، از جمله ارائه بسته‌های بسته، مشارکت‌های انحصاری، یا کمپین‌های فصلی چیست.</v>
      </c>
      <c r="H9510" s="1"/>
      <c r="I9510" s="1"/>
      <c r="J9510" s="1"/>
      <c r="K9510" s="1"/>
      <c r="L9510" s="1"/>
      <c r="M9510" s="1"/>
      <c r="N9510" s="1"/>
      <c r="O9510" s="1"/>
      <c r="P9510" s="1"/>
      <c r="Q9510" s="1"/>
      <c r="R9510" s="1"/>
      <c r="S9510" s="1"/>
      <c r="T9510" s="1"/>
      <c r="U9510" s="1"/>
      <c r="V9510" s="1"/>
      <c r="W9510" s="1"/>
      <c r="X9510" s="1"/>
      <c r="Y9510" s="1"/>
      <c r="Z9510" s="1"/>
      <c r="AA9510" s="1"/>
      <c r="AB9510" s="1"/>
    </row>
    <row r="9511" ht="50.25" customHeight="1">
      <c r="A9511" s="12">
        <v>9507.0</v>
      </c>
      <c r="B9511" s="13" t="s">
        <v>8699</v>
      </c>
      <c r="C9511" s="18" t="s">
        <v>9537</v>
      </c>
      <c r="D9511" s="1"/>
      <c r="E9511" s="1"/>
      <c r="F9511" s="1" t="str">
        <f>IFERROR(__xludf.DUMMYFUNCTION("GOOGLETRANSLATE(B9511, ""en"", ""fa"")
"),"موفقیت در پادکست")</f>
        <v>موفقیت در پادکست</v>
      </c>
      <c r="G9511" s="1" t="str">
        <f>IFERROR(__xludf.DUMMYFUNCTION("GOOGLETRANSLATE(C9511, ""en"", ""fa"")
"),"چگونه از جایگاه و تخصص پادکست خود برای ارائه فرصت های حمایت مالی تخصصی، مانند سریال های حمایت شده، بررسی محصول، یا کدهای تخفیف انحصاری برای صنایع یا جایگاه های خاص استفاده کنید.")</f>
        <v>چگونه از جایگاه و تخصص پادکست خود برای ارائه فرصت های حمایت مالی تخصصی، مانند سریال های حمایت شده، بررسی محصول، یا کدهای تخفیف انحصاری برای صنایع یا جایگاه های خاص استفاده کنید.</v>
      </c>
      <c r="H9511" s="1"/>
      <c r="I9511" s="1"/>
      <c r="J9511" s="1"/>
      <c r="K9511" s="1"/>
      <c r="L9511" s="1"/>
      <c r="M9511" s="1"/>
      <c r="N9511" s="1"/>
      <c r="O9511" s="1"/>
      <c r="P9511" s="1"/>
      <c r="Q9511" s="1"/>
      <c r="R9511" s="1"/>
      <c r="S9511" s="1"/>
      <c r="T9511" s="1"/>
      <c r="U9511" s="1"/>
      <c r="V9511" s="1"/>
      <c r="W9511" s="1"/>
      <c r="X9511" s="1"/>
      <c r="Y9511" s="1"/>
      <c r="Z9511" s="1"/>
      <c r="AA9511" s="1"/>
      <c r="AB9511" s="1"/>
    </row>
    <row r="9512" ht="50.25" customHeight="1">
      <c r="A9512" s="12">
        <v>9508.0</v>
      </c>
      <c r="B9512" s="13" t="s">
        <v>8699</v>
      </c>
      <c r="C9512" s="18" t="s">
        <v>9538</v>
      </c>
      <c r="D9512" s="1"/>
      <c r="E9512" s="1"/>
      <c r="F9512" s="1" t="str">
        <f>IFERROR(__xludf.DUMMYFUNCTION("GOOGLETRANSLATE(B9512, ""en"", ""fa"")
"),"موفقیت در پادکست")</f>
        <v>موفقیت در پادکست</v>
      </c>
      <c r="G9512" s="1" t="str">
        <f>IFERROR(__xludf.DUMMYFUNCTION("GOOGLETRANSLATE(C9512, ""en"", ""fa"")
"),"چه تکنیک هایی برای ارائه خدمات ارزش افزوده به حامیان مالی و تبلیغ کنندگان وجود دارد، مانند انجام تحقیقات بازار یا نظرسنجی در بین مخاطبان پادکست شما برای ارائه بینش ارزشمند مصرف کننده.")</f>
        <v>چه تکنیک هایی برای ارائه خدمات ارزش افزوده به حامیان مالی و تبلیغ کنندگان وجود دارد، مانند انجام تحقیقات بازار یا نظرسنجی در بین مخاطبان پادکست شما برای ارائه بینش ارزشمند مصرف کننده.</v>
      </c>
      <c r="H9512" s="1"/>
      <c r="I9512" s="1"/>
      <c r="J9512" s="1"/>
      <c r="K9512" s="1"/>
      <c r="L9512" s="1"/>
      <c r="M9512" s="1"/>
      <c r="N9512" s="1"/>
      <c r="O9512" s="1"/>
      <c r="P9512" s="1"/>
      <c r="Q9512" s="1"/>
      <c r="R9512" s="1"/>
      <c r="S9512" s="1"/>
      <c r="T9512" s="1"/>
      <c r="U9512" s="1"/>
      <c r="V9512" s="1"/>
      <c r="W9512" s="1"/>
      <c r="X9512" s="1"/>
      <c r="Y9512" s="1"/>
      <c r="Z9512" s="1"/>
      <c r="AA9512" s="1"/>
      <c r="AB9512" s="1"/>
    </row>
    <row r="9513" ht="50.25" customHeight="1">
      <c r="A9513" s="12">
        <v>9509.0</v>
      </c>
      <c r="B9513" s="13" t="s">
        <v>8699</v>
      </c>
      <c r="C9513" s="18" t="s">
        <v>9539</v>
      </c>
      <c r="D9513" s="1"/>
      <c r="E9513" s="1"/>
      <c r="F9513" s="1" t="str">
        <f>IFERROR(__xludf.DUMMYFUNCTION("GOOGLETRANSLATE(B9513, ""en"", ""fa"")
"),"موفقیت در پادکست")</f>
        <v>موفقیت در پادکست</v>
      </c>
      <c r="G9513" s="1" t="str">
        <f>IFERROR(__xludf.DUMMYFUNCTION("GOOGLETRANSLATE(C9513, ""en"", ""fa"")
"),"چگونه می توان از مصاحبه های مهمان یا همکاری با متخصصان صنعت به عنوان فرصت های حمایت مالی استفاده کرد و به حامیان مالی اجازه می دهد در قسمت های مرتبط با مخاطب هدف خود برجسته یا برجسته شوند.")</f>
        <v>چگونه می توان از مصاحبه های مهمان یا همکاری با متخصصان صنعت به عنوان فرصت های حمایت مالی استفاده کرد و به حامیان مالی اجازه می دهد در قسمت های مرتبط با مخاطب هدف خود برجسته یا برجسته شوند.</v>
      </c>
      <c r="H9513" s="1"/>
      <c r="I9513" s="1"/>
      <c r="J9513" s="1"/>
      <c r="K9513" s="1"/>
      <c r="L9513" s="1"/>
      <c r="M9513" s="1"/>
      <c r="N9513" s="1"/>
      <c r="O9513" s="1"/>
      <c r="P9513" s="1"/>
      <c r="Q9513" s="1"/>
      <c r="R9513" s="1"/>
      <c r="S9513" s="1"/>
      <c r="T9513" s="1"/>
      <c r="U9513" s="1"/>
      <c r="V9513" s="1"/>
      <c r="W9513" s="1"/>
      <c r="X9513" s="1"/>
      <c r="Y9513" s="1"/>
      <c r="Z9513" s="1"/>
      <c r="AA9513" s="1"/>
      <c r="AB9513" s="1"/>
    </row>
    <row r="9514" ht="50.25" customHeight="1">
      <c r="A9514" s="12">
        <v>9510.0</v>
      </c>
      <c r="B9514" s="13" t="s">
        <v>8699</v>
      </c>
      <c r="C9514" s="18" t="s">
        <v>9540</v>
      </c>
      <c r="D9514" s="1"/>
      <c r="E9514" s="1"/>
      <c r="F9514" s="1" t="str">
        <f>IFERROR(__xludf.DUMMYFUNCTION("GOOGLETRANSLATE(B9514, ""en"", ""fa"")
"),"موفقیت در پادکست")</f>
        <v>موفقیت در پادکست</v>
      </c>
      <c r="G9514" s="1" t="str">
        <f>IFERROR(__xludf.DUMMYFUNCTION("GOOGLETRANSLATE(C9514, ""en"", ""fa"")
"),"استراتژی‌هایی برای ترکیب مسابقات حمایت‌شده، هدایا، یا کمپین‌های تعاملی برای ایجاد تعامل و هیجان در مورد حمایت‌ها و جذب شنوندگان جدید چیست.")</f>
        <v>استراتژی‌هایی برای ترکیب مسابقات حمایت‌شده، هدایا، یا کمپین‌های تعاملی برای ایجاد تعامل و هیجان در مورد حمایت‌ها و جذب شنوندگان جدید چیست.</v>
      </c>
      <c r="H9514" s="1"/>
      <c r="I9514" s="1"/>
      <c r="J9514" s="1"/>
      <c r="K9514" s="1"/>
      <c r="L9514" s="1"/>
      <c r="M9514" s="1"/>
      <c r="N9514" s="1"/>
      <c r="O9514" s="1"/>
      <c r="P9514" s="1"/>
      <c r="Q9514" s="1"/>
      <c r="R9514" s="1"/>
      <c r="S9514" s="1"/>
      <c r="T9514" s="1"/>
      <c r="U9514" s="1"/>
      <c r="V9514" s="1"/>
      <c r="W9514" s="1"/>
      <c r="X9514" s="1"/>
      <c r="Y9514" s="1"/>
      <c r="Z9514" s="1"/>
      <c r="AA9514" s="1"/>
      <c r="AB9514" s="1"/>
    </row>
    <row r="9515" ht="50.25" customHeight="1">
      <c r="A9515" s="12">
        <v>9511.0</v>
      </c>
      <c r="B9515" s="13" t="s">
        <v>8699</v>
      </c>
      <c r="C9515" s="18" t="s">
        <v>9541</v>
      </c>
      <c r="D9515" s="1"/>
      <c r="E9515" s="1"/>
      <c r="F9515" s="1" t="str">
        <f>IFERROR(__xludf.DUMMYFUNCTION("GOOGLETRANSLATE(B9515, ""en"", ""fa"")
"),"موفقیت در پادکست")</f>
        <v>موفقیت در پادکست</v>
      </c>
      <c r="G9515" s="1" t="str">
        <f>IFERROR(__xludf.DUMMYFUNCTION("GOOGLETRANSLATE(C9515, ""en"", ""fa"")
"),"نحوه شناسایی و نزدیک شدن به شراکت‌های وابسته بالقوه که به شما امکان می‌دهد از محصولات یا خدماتی که در پادکست خود ذکر شده یا توصیه شده است، کمیسیون دریافت کنید.")</f>
        <v>نحوه شناسایی و نزدیک شدن به شراکت‌های وابسته بالقوه که به شما امکان می‌دهد از محصولات یا خدماتی که در پادکست خود ذکر شده یا توصیه شده است، کمیسیون دریافت کنید.</v>
      </c>
      <c r="H9515" s="1"/>
      <c r="I9515" s="1"/>
      <c r="J9515" s="1"/>
      <c r="K9515" s="1"/>
      <c r="L9515" s="1"/>
      <c r="M9515" s="1"/>
      <c r="N9515" s="1"/>
      <c r="O9515" s="1"/>
      <c r="P9515" s="1"/>
      <c r="Q9515" s="1"/>
      <c r="R9515" s="1"/>
      <c r="S9515" s="1"/>
      <c r="T9515" s="1"/>
      <c r="U9515" s="1"/>
      <c r="V9515" s="1"/>
      <c r="W9515" s="1"/>
      <c r="X9515" s="1"/>
      <c r="Y9515" s="1"/>
      <c r="Z9515" s="1"/>
      <c r="AA9515" s="1"/>
      <c r="AB9515" s="1"/>
    </row>
    <row r="9516" ht="50.25" customHeight="1">
      <c r="A9516" s="12">
        <v>9512.0</v>
      </c>
      <c r="B9516" s="13" t="s">
        <v>8699</v>
      </c>
      <c r="C9516" s="18" t="s">
        <v>9542</v>
      </c>
      <c r="D9516" s="1"/>
      <c r="E9516" s="1"/>
      <c r="F9516" s="1" t="str">
        <f>IFERROR(__xludf.DUMMYFUNCTION("GOOGLETRANSLATE(B9516, ""en"", ""fa"")
"),"موفقیت در پادکست")</f>
        <v>موفقیت در پادکست</v>
      </c>
      <c r="G9516" s="1" t="str">
        <f>IFERROR(__xludf.DUMMYFUNCTION("GOOGLETRANSLATE(C9516, ""en"", ""fa"")
"),"تکنیک‌های استفاده از پلتفرم‌های رسانه‌های اجتماعی و جوامع آنلاین برای ترویج محتوای حمایت‌شده، تعامل با حامیان مالی، و ایجاد سر و صدا در مورد حمایت‌های پادکست شما چیست.")</f>
        <v>تکنیک‌های استفاده از پلتفرم‌های رسانه‌های اجتماعی و جوامع آنلاین برای ترویج محتوای حمایت‌شده، تعامل با حامیان مالی، و ایجاد سر و صدا در مورد حمایت‌های پادکست شما چیست.</v>
      </c>
      <c r="H9516" s="1"/>
      <c r="I9516" s="1"/>
      <c r="J9516" s="1"/>
      <c r="K9516" s="1"/>
      <c r="L9516" s="1"/>
      <c r="M9516" s="1"/>
      <c r="N9516" s="1"/>
      <c r="O9516" s="1"/>
      <c r="P9516" s="1"/>
      <c r="Q9516" s="1"/>
      <c r="R9516" s="1"/>
      <c r="S9516" s="1"/>
      <c r="T9516" s="1"/>
      <c r="U9516" s="1"/>
      <c r="V9516" s="1"/>
      <c r="W9516" s="1"/>
      <c r="X9516" s="1"/>
      <c r="Y9516" s="1"/>
      <c r="Z9516" s="1"/>
      <c r="AA9516" s="1"/>
      <c r="AB9516" s="1"/>
    </row>
    <row r="9517" ht="50.25" customHeight="1">
      <c r="A9517" s="12">
        <v>9513.0</v>
      </c>
      <c r="B9517" s="13" t="s">
        <v>8699</v>
      </c>
      <c r="C9517" s="18" t="s">
        <v>9543</v>
      </c>
      <c r="D9517" s="1"/>
      <c r="E9517" s="1"/>
      <c r="F9517" s="1" t="str">
        <f>IFERROR(__xludf.DUMMYFUNCTION("GOOGLETRANSLATE(B9517, ""en"", ""fa"")
"),"موفقیت در پادکست")</f>
        <v>موفقیت در پادکست</v>
      </c>
      <c r="G9517" s="1" t="str">
        <f>IFERROR(__xludf.DUMMYFUNCTION("GOOGLETRANSLATE(C9517, ""en"", ""fa"")
"),"نحوه ایجاد محتوای پاداش حمایت شده، مانند قسمت های انحصاری یا دسترسی به پشت صحنه، که ارزش بیشتری برای مخاطبان شما ایجاد می کند و فرصت های حمایت مالی را افزایش می دهد.")</f>
        <v>نحوه ایجاد محتوای پاداش حمایت شده، مانند قسمت های انحصاری یا دسترسی به پشت صحنه، که ارزش بیشتری برای مخاطبان شما ایجاد می کند و فرصت های حمایت مالی را افزایش می دهد.</v>
      </c>
      <c r="H9517" s="1"/>
      <c r="I9517" s="1"/>
      <c r="J9517" s="1"/>
      <c r="K9517" s="1"/>
      <c r="L9517" s="1"/>
      <c r="M9517" s="1"/>
      <c r="N9517" s="1"/>
      <c r="O9517" s="1"/>
      <c r="P9517" s="1"/>
      <c r="Q9517" s="1"/>
      <c r="R9517" s="1"/>
      <c r="S9517" s="1"/>
      <c r="T9517" s="1"/>
      <c r="U9517" s="1"/>
      <c r="V9517" s="1"/>
      <c r="W9517" s="1"/>
      <c r="X9517" s="1"/>
      <c r="Y9517" s="1"/>
      <c r="Z9517" s="1"/>
      <c r="AA9517" s="1"/>
      <c r="AB9517" s="1"/>
    </row>
    <row r="9518" ht="50.25" customHeight="1">
      <c r="A9518" s="12">
        <v>9514.0</v>
      </c>
      <c r="B9518" s="13" t="s">
        <v>8699</v>
      </c>
      <c r="C9518" s="18" t="s">
        <v>9544</v>
      </c>
      <c r="D9518" s="1"/>
      <c r="E9518" s="1"/>
      <c r="F9518" s="1" t="str">
        <f>IFERROR(__xludf.DUMMYFUNCTION("GOOGLETRANSLATE(B9518, ""en"", ""fa"")
"),"موفقیت در پادکست")</f>
        <v>موفقیت در پادکست</v>
      </c>
      <c r="G9518" s="1" t="str">
        <f>IFERROR(__xludf.DUMMYFUNCTION("GOOGLETRANSLATE(C9518, ""en"", ""fa"")
"),"استراتژی‌ها برای حفظ شفافیت و اعتبار در محتوای حمایت‌شده، از جمله افشای شفاف حمایت‌ها و اطمینان از اینکه پیام‌های حمایت‌شده به وضوح از محتوای معمولی متمایز می‌شوند، چیست.")</f>
        <v>استراتژی‌ها برای حفظ شفافیت و اعتبار در محتوای حمایت‌شده، از جمله افشای شفاف حمایت‌ها و اطمینان از اینکه پیام‌های حمایت‌شده به وضوح از محتوای معمولی متمایز می‌شوند، چیست.</v>
      </c>
      <c r="H9518" s="1"/>
      <c r="I9518" s="1"/>
      <c r="J9518" s="1"/>
      <c r="K9518" s="1"/>
      <c r="L9518" s="1"/>
      <c r="M9518" s="1"/>
      <c r="N9518" s="1"/>
      <c r="O9518" s="1"/>
      <c r="P9518" s="1"/>
      <c r="Q9518" s="1"/>
      <c r="R9518" s="1"/>
      <c r="S9518" s="1"/>
      <c r="T9518" s="1"/>
      <c r="U9518" s="1"/>
      <c r="V9518" s="1"/>
      <c r="W9518" s="1"/>
      <c r="X9518" s="1"/>
      <c r="Y9518" s="1"/>
      <c r="Z9518" s="1"/>
      <c r="AA9518" s="1"/>
      <c r="AB9518" s="1"/>
    </row>
    <row r="9519" ht="50.25" customHeight="1">
      <c r="A9519" s="12">
        <v>9515.0</v>
      </c>
      <c r="B9519" s="13" t="s">
        <v>8699</v>
      </c>
      <c r="C9519" s="18" t="s">
        <v>9545</v>
      </c>
      <c r="D9519" s="1"/>
      <c r="E9519" s="1"/>
      <c r="F9519" s="1" t="str">
        <f>IFERROR(__xludf.DUMMYFUNCTION("GOOGLETRANSLATE(B9519, ""en"", ""fa"")
"),"موفقیت در پادکست")</f>
        <v>موفقیت در پادکست</v>
      </c>
      <c r="G9519" s="1" t="str">
        <f>IFERROR(__xludf.DUMMYFUNCTION("GOOGLETRANSLATE(C9519, ""en"", ""fa"")
"),"چگونه از دایرکتوری‌ها، پلتفرم‌ها یا شبکه‌های پادکست استفاده کنیم که فرصت‌های تبلیغاتی داخلی را برای جذب حامیان مالی و تبلیغ‌کنندگان بالقوه ارائه می‌دهند.")</f>
        <v>چگونه از دایرکتوری‌ها، پلتفرم‌ها یا شبکه‌های پادکست استفاده کنیم که فرصت‌های تبلیغاتی داخلی را برای جذب حامیان مالی و تبلیغ‌کنندگان بالقوه ارائه می‌دهند.</v>
      </c>
      <c r="H9519" s="1"/>
      <c r="I9519" s="1"/>
      <c r="J9519" s="1"/>
      <c r="K9519" s="1"/>
      <c r="L9519" s="1"/>
      <c r="M9519" s="1"/>
      <c r="N9519" s="1"/>
      <c r="O9519" s="1"/>
      <c r="P9519" s="1"/>
      <c r="Q9519" s="1"/>
      <c r="R9519" s="1"/>
      <c r="S9519" s="1"/>
      <c r="T9519" s="1"/>
      <c r="U9519" s="1"/>
      <c r="V9519" s="1"/>
      <c r="W9519" s="1"/>
      <c r="X9519" s="1"/>
      <c r="Y9519" s="1"/>
      <c r="Z9519" s="1"/>
      <c r="AA9519" s="1"/>
      <c r="AB9519" s="1"/>
    </row>
    <row r="9520" ht="50.25" customHeight="1">
      <c r="A9520" s="12">
        <v>9516.0</v>
      </c>
      <c r="B9520" s="13" t="s">
        <v>8699</v>
      </c>
      <c r="C9520" s="18" t="s">
        <v>9546</v>
      </c>
      <c r="D9520" s="1"/>
      <c r="E9520" s="1"/>
      <c r="F9520" s="1" t="str">
        <f>IFERROR(__xludf.DUMMYFUNCTION("GOOGLETRANSLATE(B9520, ""en"", ""fa"")
"),"موفقیت در پادکست")</f>
        <v>موفقیت در پادکست</v>
      </c>
      <c r="G9520" s="1" t="str">
        <f>IFERROR(__xludf.DUMMYFUNCTION("GOOGLETRANSLATE(C9520, ""en"", ""fa"")
"),"تکنیک‌های انجام تحقیقات بازار و نظرسنجی از مخاطبان برای جمع‌آوری داده‌ها و بینش‌هایی که می‌توانند برای جذب حامیان مالی و تبلیغ‌کنندگان علاقه‌مند به جایگاه پادکست شما مورد استفاده قرار گیرند، چیست.")</f>
        <v>تکنیک‌های انجام تحقیقات بازار و نظرسنجی از مخاطبان برای جمع‌آوری داده‌ها و بینش‌هایی که می‌توانند برای جذب حامیان مالی و تبلیغ‌کنندگان علاقه‌مند به جایگاه پادکست شما مورد استفاده قرار گیرند، چیست.</v>
      </c>
      <c r="H9520" s="1"/>
      <c r="I9520" s="1"/>
      <c r="J9520" s="1"/>
      <c r="K9520" s="1"/>
      <c r="L9520" s="1"/>
      <c r="M9520" s="1"/>
      <c r="N9520" s="1"/>
      <c r="O9520" s="1"/>
      <c r="P9520" s="1"/>
      <c r="Q9520" s="1"/>
      <c r="R9520" s="1"/>
      <c r="S9520" s="1"/>
      <c r="T9520" s="1"/>
      <c r="U9520" s="1"/>
      <c r="V9520" s="1"/>
      <c r="W9520" s="1"/>
      <c r="X9520" s="1"/>
      <c r="Y9520" s="1"/>
      <c r="Z9520" s="1"/>
      <c r="AA9520" s="1"/>
      <c r="AB9520" s="1"/>
    </row>
    <row r="9521" ht="50.25" customHeight="1">
      <c r="A9521" s="12">
        <v>9517.0</v>
      </c>
      <c r="B9521" s="13" t="s">
        <v>8699</v>
      </c>
      <c r="C9521" s="18" t="s">
        <v>9547</v>
      </c>
      <c r="D9521" s="1"/>
      <c r="E9521" s="1"/>
      <c r="F9521" s="1" t="str">
        <f>IFERROR(__xludf.DUMMYFUNCTION("GOOGLETRANSLATE(B9521, ""en"", ""fa"")
"),"موفقیت در پادکست")</f>
        <v>موفقیت در پادکست</v>
      </c>
      <c r="G9521" s="1" t="str">
        <f>IFERROR(__xludf.DUMMYFUNCTION("GOOGLETRANSLATE(C9521, ""en"", ""fa"")
"),"چگونه از رویدادهای زنده یا جلسات مرتبط با پادکست خود برای ارائه فرصت‌های حمایت مالی، مانند حمایت مالی رویداد یا فعال‌سازی‌های برند استفاده کنید.")</f>
        <v>چگونه از رویدادهای زنده یا جلسات مرتبط با پادکست خود برای ارائه فرصت‌های حمایت مالی، مانند حمایت مالی رویداد یا فعال‌سازی‌های برند استفاده کنید.</v>
      </c>
      <c r="H9521" s="1"/>
      <c r="I9521" s="1"/>
      <c r="J9521" s="1"/>
      <c r="K9521" s="1"/>
      <c r="L9521" s="1"/>
      <c r="M9521" s="1"/>
      <c r="N9521" s="1"/>
      <c r="O9521" s="1"/>
      <c r="P9521" s="1"/>
      <c r="Q9521" s="1"/>
      <c r="R9521" s="1"/>
      <c r="S9521" s="1"/>
      <c r="T9521" s="1"/>
      <c r="U9521" s="1"/>
      <c r="V9521" s="1"/>
      <c r="W9521" s="1"/>
      <c r="X9521" s="1"/>
      <c r="Y9521" s="1"/>
      <c r="Z9521" s="1"/>
      <c r="AA9521" s="1"/>
      <c r="AB9521" s="1"/>
    </row>
    <row r="9522" ht="50.25" customHeight="1">
      <c r="A9522" s="12">
        <v>9518.0</v>
      </c>
      <c r="B9522" s="13" t="s">
        <v>8699</v>
      </c>
      <c r="C9522" s="18" t="s">
        <v>9548</v>
      </c>
      <c r="D9522" s="1"/>
      <c r="E9522" s="1"/>
      <c r="F9522" s="1" t="str">
        <f>IFERROR(__xludf.DUMMYFUNCTION("GOOGLETRANSLATE(B9522, ""en"", ""fa"")
"),"موفقیت در پادکست")</f>
        <v>موفقیت در پادکست</v>
      </c>
      <c r="G9522" s="1" t="str">
        <f>IFERROR(__xludf.DUMMYFUNCTION("GOOGLETRANSLATE(C9522, ""en"", ""fa"")
"),"استراتژی‌های همکاری با حامیان مالی و تبلیغ‌کنندگان در محتوا یا کمپین‌هایی با برند مشترک که هم با ارزش‌های پادکست شما و هم با اهداف بازاریابی آن‌ها هماهنگ هستند، چیست.")</f>
        <v>استراتژی‌های همکاری با حامیان مالی و تبلیغ‌کنندگان در محتوا یا کمپین‌هایی با برند مشترک که هم با ارزش‌های پادکست شما و هم با اهداف بازاریابی آن‌ها هماهنگ هستند، چیست.</v>
      </c>
      <c r="H9522" s="1"/>
      <c r="I9522" s="1"/>
      <c r="J9522" s="1"/>
      <c r="K9522" s="1"/>
      <c r="L9522" s="1"/>
      <c r="M9522" s="1"/>
      <c r="N9522" s="1"/>
      <c r="O9522" s="1"/>
      <c r="P9522" s="1"/>
      <c r="Q9522" s="1"/>
      <c r="R9522" s="1"/>
      <c r="S9522" s="1"/>
      <c r="T9522" s="1"/>
      <c r="U9522" s="1"/>
      <c r="V9522" s="1"/>
      <c r="W9522" s="1"/>
      <c r="X9522" s="1"/>
      <c r="Y9522" s="1"/>
      <c r="Z9522" s="1"/>
      <c r="AA9522" s="1"/>
      <c r="AB9522" s="1"/>
    </row>
    <row r="9523" ht="50.25" customHeight="1">
      <c r="A9523" s="12">
        <v>9519.0</v>
      </c>
      <c r="B9523" s="13" t="s">
        <v>8699</v>
      </c>
      <c r="C9523" s="18" t="s">
        <v>9549</v>
      </c>
      <c r="D9523" s="1"/>
      <c r="E9523" s="1"/>
      <c r="F9523" s="1" t="str">
        <f>IFERROR(__xludf.DUMMYFUNCTION("GOOGLETRANSLATE(B9523, ""en"", ""fa"")
"),"موفقیت در پادکست")</f>
        <v>موفقیت در پادکست</v>
      </c>
      <c r="G9523" s="1" t="str">
        <f>IFERROR(__xludf.DUMMYFUNCTION("GOOGLETRANSLATE(C9523, ""en"", ""fa"")
"),"چگونه از وب سایت یا وبلاگ پادکست خود برای ارائه تبلیغات نمایشی یا محتوای حمایت شده برای ایجاد درآمد اضافی استفاده کنید.")</f>
        <v>چگونه از وب سایت یا وبلاگ پادکست خود برای ارائه تبلیغات نمایشی یا محتوای حمایت شده برای ایجاد درآمد اضافی استفاده کنید.</v>
      </c>
      <c r="H9523" s="1"/>
      <c r="I9523" s="1"/>
      <c r="J9523" s="1"/>
      <c r="K9523" s="1"/>
      <c r="L9523" s="1"/>
      <c r="M9523" s="1"/>
      <c r="N9523" s="1"/>
      <c r="O9523" s="1"/>
      <c r="P9523" s="1"/>
      <c r="Q9523" s="1"/>
      <c r="R9523" s="1"/>
      <c r="S9523" s="1"/>
      <c r="T9523" s="1"/>
      <c r="U9523" s="1"/>
      <c r="V9523" s="1"/>
      <c r="W9523" s="1"/>
      <c r="X9523" s="1"/>
      <c r="Y9523" s="1"/>
      <c r="Z9523" s="1"/>
      <c r="AA9523" s="1"/>
      <c r="AB9523" s="1"/>
    </row>
    <row r="9524" ht="50.25" customHeight="1">
      <c r="A9524" s="12">
        <v>9520.0</v>
      </c>
      <c r="B9524" s="13" t="s">
        <v>8699</v>
      </c>
      <c r="C9524" s="18" t="s">
        <v>9550</v>
      </c>
      <c r="D9524" s="1"/>
      <c r="E9524" s="1"/>
      <c r="F9524" s="1" t="str">
        <f>IFERROR(__xludf.DUMMYFUNCTION("GOOGLETRANSLATE(B9524, ""en"", ""fa"")
"),"موفقیت در پادکست")</f>
        <v>موفقیت در پادکست</v>
      </c>
      <c r="G9524" s="1" t="str">
        <f>IFERROR(__xludf.DUMMYFUNCTION("GOOGLETRANSLATE(C9524, ""en"", ""fa"")
"),"چه تکنیک هایی برای مذاکره در مورد قراردادهای انحصاری با حامیان مالی یا تبلیغ کنندگان برای به حداکثر رساندن ارزش جایگاه های تبلیغاتی پادکست شما وجود دارد.")</f>
        <v>چه تکنیک هایی برای مذاکره در مورد قراردادهای انحصاری با حامیان مالی یا تبلیغ کنندگان برای به حداکثر رساندن ارزش جایگاه های تبلیغاتی پادکست شما وجود دارد.</v>
      </c>
      <c r="H9524" s="1"/>
      <c r="I9524" s="1"/>
      <c r="J9524" s="1"/>
      <c r="K9524" s="1"/>
      <c r="L9524" s="1"/>
      <c r="M9524" s="1"/>
      <c r="N9524" s="1"/>
      <c r="O9524" s="1"/>
      <c r="P9524" s="1"/>
      <c r="Q9524" s="1"/>
      <c r="R9524" s="1"/>
      <c r="S9524" s="1"/>
      <c r="T9524" s="1"/>
      <c r="U9524" s="1"/>
      <c r="V9524" s="1"/>
      <c r="W9524" s="1"/>
      <c r="X9524" s="1"/>
      <c r="Y9524" s="1"/>
      <c r="Z9524" s="1"/>
      <c r="AA9524" s="1"/>
      <c r="AB9524" s="1"/>
    </row>
    <row r="9525" ht="50.25" customHeight="1">
      <c r="A9525" s="12">
        <v>9521.0</v>
      </c>
      <c r="B9525" s="13" t="s">
        <v>8699</v>
      </c>
      <c r="C9525" s="18" t="s">
        <v>9551</v>
      </c>
      <c r="D9525" s="1"/>
      <c r="E9525" s="1"/>
      <c r="F9525" s="1" t="str">
        <f>IFERROR(__xludf.DUMMYFUNCTION("GOOGLETRANSLATE(B9525, ""en"", ""fa"")
"),"موفقیت در پادکست")</f>
        <v>موفقیت در پادکست</v>
      </c>
      <c r="G9525" s="1" t="str">
        <f>IFERROR(__xludf.DUMMYFUNCTION("GOOGLETRANSLATE(C9525, ""en"", ""fa"")
"),"چگونه می توان از توصیفات شنوندگان یا مطالعات موردی برای نشان دادن اثربخشی و تأثیر حمایت ها و تبلیغات بر روی مخاطبان پادکست خود استفاده کرد.")</f>
        <v>چگونه می توان از توصیفات شنوندگان یا مطالعات موردی برای نشان دادن اثربخشی و تأثیر حمایت ها و تبلیغات بر روی مخاطبان پادکست خود استفاده کرد.</v>
      </c>
      <c r="H9525" s="1"/>
      <c r="I9525" s="1"/>
      <c r="J9525" s="1"/>
      <c r="K9525" s="1"/>
      <c r="L9525" s="1"/>
      <c r="M9525" s="1"/>
      <c r="N9525" s="1"/>
      <c r="O9525" s="1"/>
      <c r="P9525" s="1"/>
      <c r="Q9525" s="1"/>
      <c r="R9525" s="1"/>
      <c r="S9525" s="1"/>
      <c r="T9525" s="1"/>
      <c r="U9525" s="1"/>
      <c r="V9525" s="1"/>
      <c r="W9525" s="1"/>
      <c r="X9525" s="1"/>
      <c r="Y9525" s="1"/>
      <c r="Z9525" s="1"/>
      <c r="AA9525" s="1"/>
      <c r="AB9525" s="1"/>
    </row>
    <row r="9526" ht="50.25" customHeight="1">
      <c r="A9526" s="12">
        <v>9522.0</v>
      </c>
      <c r="B9526" s="13" t="s">
        <v>8699</v>
      </c>
      <c r="C9526" s="18" t="s">
        <v>9552</v>
      </c>
      <c r="D9526" s="1"/>
      <c r="E9526" s="1"/>
      <c r="F9526" s="1" t="str">
        <f>IFERROR(__xludf.DUMMYFUNCTION("GOOGLETRANSLATE(B9526, ""en"", ""fa"")
"),"موفقیت در پادکست")</f>
        <v>موفقیت در پادکست</v>
      </c>
      <c r="G9526" s="1" t="str">
        <f>IFERROR(__xludf.DUMMYFUNCTION("GOOGLETRANSLATE(C9526, ""en"", ""fa"")
"),"استراتژی‌هایی برای تنوع بخشیدن به درآمد حامی مالی با کاوش در انواع مختلف حامیان مالی و تبلیغ‌کنندگان، مانند کسب‌وکارهای محلی، برندهای خاص، یا حامیان مالی شرکتی چیست.")</f>
        <v>استراتژی‌هایی برای تنوع بخشیدن به درآمد حامی مالی با کاوش در انواع مختلف حامیان مالی و تبلیغ‌کنندگان، مانند کسب‌وکارهای محلی، برندهای خاص، یا حامیان مالی شرکتی چیست.</v>
      </c>
      <c r="H9526" s="1"/>
      <c r="I9526" s="1"/>
      <c r="J9526" s="1"/>
      <c r="K9526" s="1"/>
      <c r="L9526" s="1"/>
      <c r="M9526" s="1"/>
      <c r="N9526" s="1"/>
      <c r="O9526" s="1"/>
      <c r="P9526" s="1"/>
      <c r="Q9526" s="1"/>
      <c r="R9526" s="1"/>
      <c r="S9526" s="1"/>
      <c r="T9526" s="1"/>
      <c r="U9526" s="1"/>
      <c r="V9526" s="1"/>
      <c r="W9526" s="1"/>
      <c r="X9526" s="1"/>
      <c r="Y9526" s="1"/>
      <c r="Z9526" s="1"/>
      <c r="AA9526" s="1"/>
      <c r="AB9526" s="1"/>
    </row>
    <row r="9527" ht="50.25" customHeight="1">
      <c r="A9527" s="12">
        <v>9523.0</v>
      </c>
      <c r="B9527" s="13" t="s">
        <v>8699</v>
      </c>
      <c r="C9527" s="18" t="s">
        <v>9553</v>
      </c>
      <c r="D9527" s="1"/>
      <c r="E9527" s="1"/>
      <c r="F9527" s="1" t="str">
        <f>IFERROR(__xludf.DUMMYFUNCTION("GOOGLETRANSLATE(B9527, ""en"", ""fa"")
"),"موفقیت در پادکست")</f>
        <v>موفقیت در پادکست</v>
      </c>
      <c r="G9527" s="1" t="str">
        <f>IFERROR(__xludf.DUMMYFUNCTION("GOOGLETRANSLATE(C9527, ""en"", ""fa"")
"),"چگونه می توان از شبکه های پادکست یا آژانس های تخصصی در حمایت مالی پادکست برای ارتباط با حامیان بالقوه و ساده کردن فرآیند حمایت استفاده کرد.")</f>
        <v>چگونه می توان از شبکه های پادکست یا آژانس های تخصصی در حمایت مالی پادکست برای ارتباط با حامیان بالقوه و ساده کردن فرآیند حمایت استفاده کرد.</v>
      </c>
      <c r="H9527" s="1"/>
      <c r="I9527" s="1"/>
      <c r="J9527" s="1"/>
      <c r="K9527" s="1"/>
      <c r="L9527" s="1"/>
      <c r="M9527" s="1"/>
      <c r="N9527" s="1"/>
      <c r="O9527" s="1"/>
      <c r="P9527" s="1"/>
      <c r="Q9527" s="1"/>
      <c r="R9527" s="1"/>
      <c r="S9527" s="1"/>
      <c r="T9527" s="1"/>
      <c r="U9527" s="1"/>
      <c r="V9527" s="1"/>
      <c r="W9527" s="1"/>
      <c r="X9527" s="1"/>
      <c r="Y9527" s="1"/>
      <c r="Z9527" s="1"/>
      <c r="AA9527" s="1"/>
      <c r="AB9527" s="1"/>
    </row>
    <row r="9528" ht="50.25" customHeight="1">
      <c r="A9528" s="12">
        <v>9524.0</v>
      </c>
      <c r="B9528" s="13" t="s">
        <v>8699</v>
      </c>
      <c r="C9528" s="18" t="s">
        <v>9554</v>
      </c>
      <c r="D9528" s="1"/>
      <c r="E9528" s="1"/>
      <c r="F9528" s="1" t="str">
        <f>IFERROR(__xludf.DUMMYFUNCTION("GOOGLETRANSLATE(B9528, ""en"", ""fa"")
"),"موفقیت در پادکست")</f>
        <v>موفقیت در پادکست</v>
      </c>
      <c r="G9528" s="1" t="str">
        <f>IFERROR(__xludf.DUMMYFUNCTION("GOOGLETRANSLATE(C9528, ""en"", ""fa"")
"),"چه تکنیک هایی برای انجام تحقیقات مخاطب و تجزیه و تحلیل جمعیت شنوندگان برای ارائه فرصت های تبلیغاتی هدفمند به حامیان مالی و تبلیغ کنندگان وجود دارد.")</f>
        <v>چه تکنیک هایی برای انجام تحقیقات مخاطب و تجزیه و تحلیل جمعیت شنوندگان برای ارائه فرصت های تبلیغاتی هدفمند به حامیان مالی و تبلیغ کنندگان وجود دارد.</v>
      </c>
      <c r="H9528" s="1"/>
      <c r="I9528" s="1"/>
      <c r="J9528" s="1"/>
      <c r="K9528" s="1"/>
      <c r="L9528" s="1"/>
      <c r="M9528" s="1"/>
      <c r="N9528" s="1"/>
      <c r="O9528" s="1"/>
      <c r="P9528" s="1"/>
      <c r="Q9528" s="1"/>
      <c r="R9528" s="1"/>
      <c r="S9528" s="1"/>
      <c r="T9528" s="1"/>
      <c r="U9528" s="1"/>
      <c r="V9528" s="1"/>
      <c r="W9528" s="1"/>
      <c r="X9528" s="1"/>
      <c r="Y9528" s="1"/>
      <c r="Z9528" s="1"/>
      <c r="AA9528" s="1"/>
      <c r="AB9528" s="1"/>
    </row>
    <row r="9529" ht="50.25" customHeight="1">
      <c r="A9529" s="12">
        <v>9525.0</v>
      </c>
      <c r="B9529" s="13" t="s">
        <v>8699</v>
      </c>
      <c r="C9529" s="18" t="s">
        <v>9555</v>
      </c>
      <c r="D9529" s="1"/>
      <c r="E9529" s="1"/>
      <c r="F9529" s="1" t="str">
        <f>IFERROR(__xludf.DUMMYFUNCTION("GOOGLETRANSLATE(B9529, ""en"", ""fa"")
"),"موفقیت در پادکست")</f>
        <v>موفقیت در پادکست</v>
      </c>
      <c r="G9529" s="1" t="str">
        <f>IFERROR(__xludf.DUMMYFUNCTION("GOOGLETRANSLATE(C9529, ""en"", ""fa"")
"),"چگونه می‌توان بخش‌ها یا ویژگی‌هایی را ایجاد کرد که محتوای ارزشمند و انحصاری را به شنوندگان ارائه می‌دهند و در عین حال پیام‌های حامی مالی یا تبلیغات را یکپارچه می‌کنند.")</f>
        <v>چگونه می‌توان بخش‌ها یا ویژگی‌هایی را ایجاد کرد که محتوای ارزشمند و انحصاری را به شنوندگان ارائه می‌دهند و در عین حال پیام‌های حامی مالی یا تبلیغات را یکپارچه می‌کنند.</v>
      </c>
      <c r="H9529" s="1"/>
      <c r="I9529" s="1"/>
      <c r="J9529" s="1"/>
      <c r="K9529" s="1"/>
      <c r="L9529" s="1"/>
      <c r="M9529" s="1"/>
      <c r="N9529" s="1"/>
      <c r="O9529" s="1"/>
      <c r="P9529" s="1"/>
      <c r="Q9529" s="1"/>
      <c r="R9529" s="1"/>
      <c r="S9529" s="1"/>
      <c r="T9529" s="1"/>
      <c r="U9529" s="1"/>
      <c r="V9529" s="1"/>
      <c r="W9529" s="1"/>
      <c r="X9529" s="1"/>
      <c r="Y9529" s="1"/>
      <c r="Z9529" s="1"/>
      <c r="AA9529" s="1"/>
      <c r="AB9529" s="1"/>
    </row>
    <row r="9530" ht="50.25" customHeight="1">
      <c r="A9530" s="12">
        <v>9526.0</v>
      </c>
      <c r="B9530" s="13" t="s">
        <v>8699</v>
      </c>
      <c r="C9530" s="18" t="s">
        <v>9556</v>
      </c>
      <c r="D9530" s="1"/>
      <c r="E9530" s="1"/>
      <c r="F9530" s="1" t="str">
        <f>IFERROR(__xludf.DUMMYFUNCTION("GOOGLETRANSLATE(B9530, ""en"", ""fa"")
"),"موفقیت در پادکست")</f>
        <v>موفقیت در پادکست</v>
      </c>
      <c r="G9530" s="1" t="str">
        <f>IFERROR(__xludf.DUMMYFUNCTION("GOOGLETRANSLATE(C9530, ""en"", ""fa"")
"),"چه استراتژی هایی برای ترکیب تکنیک های تبلیغات بومی وجود دارد تا محتوای حمایت شده را به طور یکپارچه در جریان و سبک قسمت های پادکست خود قرار دهید.")</f>
        <v>چه استراتژی هایی برای ترکیب تکنیک های تبلیغات بومی وجود دارد تا محتوای حمایت شده را به طور یکپارچه در جریان و سبک قسمت های پادکست خود قرار دهید.</v>
      </c>
      <c r="H9530" s="1"/>
      <c r="I9530" s="1"/>
      <c r="J9530" s="1"/>
      <c r="K9530" s="1"/>
      <c r="L9530" s="1"/>
      <c r="M9530" s="1"/>
      <c r="N9530" s="1"/>
      <c r="O9530" s="1"/>
      <c r="P9530" s="1"/>
      <c r="Q9530" s="1"/>
      <c r="R9530" s="1"/>
      <c r="S9530" s="1"/>
      <c r="T9530" s="1"/>
      <c r="U9530" s="1"/>
      <c r="V9530" s="1"/>
      <c r="W9530" s="1"/>
      <c r="X9530" s="1"/>
      <c r="Y9530" s="1"/>
      <c r="Z9530" s="1"/>
      <c r="AA9530" s="1"/>
      <c r="AB9530" s="1"/>
    </row>
    <row r="9531" ht="50.25" customHeight="1">
      <c r="A9531" s="12">
        <v>9527.0</v>
      </c>
      <c r="B9531" s="13" t="s">
        <v>8699</v>
      </c>
      <c r="C9531" s="18" t="s">
        <v>9557</v>
      </c>
      <c r="D9531" s="1"/>
      <c r="E9531" s="1"/>
      <c r="F9531" s="1" t="str">
        <f>IFERROR(__xludf.DUMMYFUNCTION("GOOGLETRANSLATE(B9531, ""en"", ""fa"")
"),"موفقیت در پادکست")</f>
        <v>موفقیت در پادکست</v>
      </c>
      <c r="G9531" s="1" t="str">
        <f>IFERROR(__xludf.DUMMYFUNCTION("GOOGLETRANSLATE(C9531, ""en"", ""fa"")
"),"چگونه از نظرسنجی‌های شنوندگان یا گروه‌های متمرکز برای جمع‌آوری بازخورد و بینش در مورد حمایت‌ها و تبلیغات استفاده کنید و به شما امکان می‌دهد رویکرد خود را اصلاح و بهینه کنید.")</f>
        <v>چگونه از نظرسنجی‌های شنوندگان یا گروه‌های متمرکز برای جمع‌آوری بازخورد و بینش در مورد حمایت‌ها و تبلیغات استفاده کنید و به شما امکان می‌دهد رویکرد خود را اصلاح و بهینه کنید.</v>
      </c>
      <c r="H9531" s="1"/>
      <c r="I9531" s="1"/>
      <c r="J9531" s="1"/>
      <c r="K9531" s="1"/>
      <c r="L9531" s="1"/>
      <c r="M9531" s="1"/>
      <c r="N9531" s="1"/>
      <c r="O9531" s="1"/>
      <c r="P9531" s="1"/>
      <c r="Q9531" s="1"/>
      <c r="R9531" s="1"/>
      <c r="S9531" s="1"/>
      <c r="T9531" s="1"/>
      <c r="U9531" s="1"/>
      <c r="V9531" s="1"/>
      <c r="W9531" s="1"/>
      <c r="X9531" s="1"/>
      <c r="Y9531" s="1"/>
      <c r="Z9531" s="1"/>
      <c r="AA9531" s="1"/>
      <c r="AB9531" s="1"/>
    </row>
    <row r="9532" ht="50.25" customHeight="1">
      <c r="A9532" s="12">
        <v>9528.0</v>
      </c>
      <c r="B9532" s="13" t="s">
        <v>8699</v>
      </c>
      <c r="C9532" s="18" t="s">
        <v>9558</v>
      </c>
      <c r="D9532" s="1"/>
      <c r="E9532" s="1"/>
      <c r="F9532" s="1" t="str">
        <f>IFERROR(__xludf.DUMMYFUNCTION("GOOGLETRANSLATE(B9532, ""en"", ""fa"")
"),"موفقیت در پادکست")</f>
        <v>موفقیت در پادکست</v>
      </c>
      <c r="G9532" s="1" t="str">
        <f>IFERROR(__xludf.DUMMYFUNCTION("GOOGLETRANSLATE(C9532, ""en"", ""fa"")
"),"چه تکنیک هایی برای ایجاد پیشنهادها یا طرح های حمایت مالی قانع کننده وجود دارد که به وضوح مزایا و فرصت های منحصر به فرد را برای حامیان مالی و تبلیغ کنندگان بیان می کند.")</f>
        <v>چه تکنیک هایی برای ایجاد پیشنهادها یا طرح های حمایت مالی قانع کننده وجود دارد که به وضوح مزایا و فرصت های منحصر به فرد را برای حامیان مالی و تبلیغ کنندگان بیان می کند.</v>
      </c>
      <c r="H9532" s="1"/>
      <c r="I9532" s="1"/>
      <c r="J9532" s="1"/>
      <c r="K9532" s="1"/>
      <c r="L9532" s="1"/>
      <c r="M9532" s="1"/>
      <c r="N9532" s="1"/>
      <c r="O9532" s="1"/>
      <c r="P9532" s="1"/>
      <c r="Q9532" s="1"/>
      <c r="R9532" s="1"/>
      <c r="S9532" s="1"/>
      <c r="T9532" s="1"/>
      <c r="U9532" s="1"/>
      <c r="V9532" s="1"/>
      <c r="W9532" s="1"/>
      <c r="X9532" s="1"/>
      <c r="Y9532" s="1"/>
      <c r="Z9532" s="1"/>
      <c r="AA9532" s="1"/>
      <c r="AB9532" s="1"/>
    </row>
    <row r="9533" ht="50.25" customHeight="1">
      <c r="A9533" s="12">
        <v>9529.0</v>
      </c>
      <c r="B9533" s="13" t="s">
        <v>8699</v>
      </c>
      <c r="C9533" s="18" t="s">
        <v>9559</v>
      </c>
      <c r="D9533" s="1"/>
      <c r="E9533" s="1"/>
      <c r="F9533" s="1" t="str">
        <f>IFERROR(__xludf.DUMMYFUNCTION("GOOGLETRANSLATE(B9533, ""en"", ""fa"")
"),"موفقیت در پادکست")</f>
        <v>موفقیت در پادکست</v>
      </c>
      <c r="G9533" s="1" t="str">
        <f>IFERROR(__xludf.DUMMYFUNCTION("GOOGLETRANSLATE(C9533, ""en"", ""fa"")
"),"چگونه از حضور پادکست خود در رسانه های اجتماعی برای ارائه پست های رسانه های اجتماعی حمایت شده یا همکاری هایی که دامنه و تأثیر حمایت ها را افزایش می دهد، استفاده کنید.")</f>
        <v>چگونه از حضور پادکست خود در رسانه های اجتماعی برای ارائه پست های رسانه های اجتماعی حمایت شده یا همکاری هایی که دامنه و تأثیر حمایت ها را افزایش می دهد، استفاده کنید.</v>
      </c>
      <c r="H9533" s="1"/>
      <c r="I9533" s="1"/>
      <c r="J9533" s="1"/>
      <c r="K9533" s="1"/>
      <c r="L9533" s="1"/>
      <c r="M9533" s="1"/>
      <c r="N9533" s="1"/>
      <c r="O9533" s="1"/>
      <c r="P9533" s="1"/>
      <c r="Q9533" s="1"/>
      <c r="R9533" s="1"/>
      <c r="S9533" s="1"/>
      <c r="T9533" s="1"/>
      <c r="U9533" s="1"/>
      <c r="V9533" s="1"/>
      <c r="W9533" s="1"/>
      <c r="X9533" s="1"/>
      <c r="Y9533" s="1"/>
      <c r="Z9533" s="1"/>
      <c r="AA9533" s="1"/>
      <c r="AB9533" s="1"/>
    </row>
    <row r="9534" ht="50.25" customHeight="1">
      <c r="A9534" s="12">
        <v>9530.0</v>
      </c>
      <c r="B9534" s="13" t="s">
        <v>8699</v>
      </c>
      <c r="C9534" s="18" t="s">
        <v>9560</v>
      </c>
      <c r="D9534" s="1"/>
      <c r="E9534" s="1"/>
      <c r="F9534" s="1" t="str">
        <f>IFERROR(__xludf.DUMMYFUNCTION("GOOGLETRANSLATE(B9534, ""en"", ""fa"")
"),"موفقیت در پادکست")</f>
        <v>موفقیت در پادکست</v>
      </c>
      <c r="G9534" s="1" t="str">
        <f>IFERROR(__xludf.DUMMYFUNCTION("GOOGLETRANSLATE(C9534, ""en"", ""fa"")
"),"استراتژی های ایجاد بسته های حمایتی سفارشی یا راه حل های تبلیغاتی متناسب با نیازها و اهداف خاص حامیان مالی و تبلیغ کنندگان مختلف چیست؟")</f>
        <v>استراتژی های ایجاد بسته های حمایتی سفارشی یا راه حل های تبلیغاتی متناسب با نیازها و اهداف خاص حامیان مالی و تبلیغ کنندگان مختلف چیست؟</v>
      </c>
      <c r="H9534" s="1"/>
      <c r="I9534" s="1"/>
      <c r="J9534" s="1"/>
      <c r="K9534" s="1"/>
      <c r="L9534" s="1"/>
      <c r="M9534" s="1"/>
      <c r="N9534" s="1"/>
      <c r="O9534" s="1"/>
      <c r="P9534" s="1"/>
      <c r="Q9534" s="1"/>
      <c r="R9534" s="1"/>
      <c r="S9534" s="1"/>
      <c r="T9534" s="1"/>
      <c r="U9534" s="1"/>
      <c r="V9534" s="1"/>
      <c r="W9534" s="1"/>
      <c r="X9534" s="1"/>
      <c r="Y9534" s="1"/>
      <c r="Z9534" s="1"/>
      <c r="AA9534" s="1"/>
      <c r="AB9534" s="1"/>
    </row>
    <row r="9535" ht="50.25" customHeight="1">
      <c r="A9535" s="12">
        <v>9531.0</v>
      </c>
      <c r="B9535" s="13" t="s">
        <v>8699</v>
      </c>
      <c r="C9535" s="18" t="s">
        <v>9561</v>
      </c>
      <c r="D9535" s="1"/>
      <c r="E9535" s="1"/>
      <c r="F9535" s="1" t="str">
        <f>IFERROR(__xludf.DUMMYFUNCTION("GOOGLETRANSLATE(B9535, ""en"", ""fa"")
"),"موفقیت در پادکست")</f>
        <v>موفقیت در پادکست</v>
      </c>
      <c r="G9535" s="1" t="str">
        <f>IFERROR(__xludf.DUMMYFUNCTION("GOOGLETRANSLATE(C9535, ""en"", ""fa"")
"),"چگونه می توان از تعامل و تعامل شنونده از طریق تماس برای اقدام یا محتوای تولید شده توسط شنونده به عنوان راهی برای ایجاد تبدیل و پیگیری اثربخشی حمایت ها استفاده کرد.")</f>
        <v>چگونه می توان از تعامل و تعامل شنونده از طریق تماس برای اقدام یا محتوای تولید شده توسط شنونده به عنوان راهی برای ایجاد تبدیل و پیگیری اثربخشی حمایت ها استفاده کرد.</v>
      </c>
      <c r="H9535" s="1"/>
      <c r="I9535" s="1"/>
      <c r="J9535" s="1"/>
      <c r="K9535" s="1"/>
      <c r="L9535" s="1"/>
      <c r="M9535" s="1"/>
      <c r="N9535" s="1"/>
      <c r="O9535" s="1"/>
      <c r="P9535" s="1"/>
      <c r="Q9535" s="1"/>
      <c r="R9535" s="1"/>
      <c r="S9535" s="1"/>
      <c r="T9535" s="1"/>
      <c r="U9535" s="1"/>
      <c r="V9535" s="1"/>
      <c r="W9535" s="1"/>
      <c r="X9535" s="1"/>
      <c r="Y9535" s="1"/>
      <c r="Z9535" s="1"/>
      <c r="AA9535" s="1"/>
      <c r="AB9535" s="1"/>
    </row>
    <row r="9536" ht="50.25" customHeight="1">
      <c r="A9536" s="12">
        <v>9532.0</v>
      </c>
      <c r="B9536" s="13" t="s">
        <v>8699</v>
      </c>
      <c r="C9536" s="18" t="s">
        <v>9562</v>
      </c>
      <c r="D9536" s="1"/>
      <c r="E9536" s="1"/>
      <c r="F9536" s="1" t="str">
        <f>IFERROR(__xludf.DUMMYFUNCTION("GOOGLETRANSLATE(B9536, ""en"", ""fa"")
"),"موفقیت در پادکست")</f>
        <v>موفقیت در پادکست</v>
      </c>
      <c r="G9536" s="1" t="str">
        <f>IFERROR(__xludf.DUMMYFUNCTION("GOOGLETRANSLATE(C9536, ""en"", ""fa"")
"),"چه تکنیک هایی برای مذاکره در مورد قراردادهای تایید یا مشارکت برند وجود دارد که فراتر از تبلیغات سنتی است و یکپارچگی عمیق تر و همکاری های طولانی مدت را ارائه می دهد.")</f>
        <v>چه تکنیک هایی برای مذاکره در مورد قراردادهای تایید یا مشارکت برند وجود دارد که فراتر از تبلیغات سنتی است و یکپارچگی عمیق تر و همکاری های طولانی مدت را ارائه می دهد.</v>
      </c>
      <c r="H9536" s="1"/>
      <c r="I9536" s="1"/>
      <c r="J9536" s="1"/>
      <c r="K9536" s="1"/>
      <c r="L9536" s="1"/>
      <c r="M9536" s="1"/>
      <c r="N9536" s="1"/>
      <c r="O9536" s="1"/>
      <c r="P9536" s="1"/>
      <c r="Q9536" s="1"/>
      <c r="R9536" s="1"/>
      <c r="S9536" s="1"/>
      <c r="T9536" s="1"/>
      <c r="U9536" s="1"/>
      <c r="V9536" s="1"/>
      <c r="W9536" s="1"/>
      <c r="X9536" s="1"/>
      <c r="Y9536" s="1"/>
      <c r="Z9536" s="1"/>
      <c r="AA9536" s="1"/>
      <c r="AB9536" s="1"/>
    </row>
    <row r="9537" ht="50.25" customHeight="1">
      <c r="A9537" s="12">
        <v>9533.0</v>
      </c>
      <c r="B9537" s="13" t="s">
        <v>8699</v>
      </c>
      <c r="C9537" s="18" t="s">
        <v>9563</v>
      </c>
      <c r="D9537" s="1"/>
      <c r="E9537" s="1"/>
      <c r="F9537" s="1" t="str">
        <f>IFERROR(__xludf.DUMMYFUNCTION("GOOGLETRANSLATE(B9537, ""en"", ""fa"")
"),"موفقیت در پادکست")</f>
        <v>موفقیت در پادکست</v>
      </c>
      <c r="G9537" s="1" t="str">
        <f>IFERROR(__xludf.DUMMYFUNCTION("GOOGLETRANSLATE(C9537, ""en"", ""fa"")
"),"چگونه می توان به حامیان مالی و تبلیغ کنندگان تجزیه و تحلیل دقیق و گزارش های عملکرد ارائه کرد که معیارهای دسترسی، تعامل و تبدیل مربوط به حمایت مالی یا کمپین های تبلیغاتی آنها را نشان می دهد.")</f>
        <v>چگونه می توان به حامیان مالی و تبلیغ کنندگان تجزیه و تحلیل دقیق و گزارش های عملکرد ارائه کرد که معیارهای دسترسی، تعامل و تبدیل مربوط به حمایت مالی یا کمپین های تبلیغاتی آنها را نشان می دهد.</v>
      </c>
      <c r="H9537" s="1"/>
      <c r="I9537" s="1"/>
      <c r="J9537" s="1"/>
      <c r="K9537" s="1"/>
      <c r="L9537" s="1"/>
      <c r="M9537" s="1"/>
      <c r="N9537" s="1"/>
      <c r="O9537" s="1"/>
      <c r="P9537" s="1"/>
      <c r="Q9537" s="1"/>
      <c r="R9537" s="1"/>
      <c r="S9537" s="1"/>
      <c r="T9537" s="1"/>
      <c r="U9537" s="1"/>
      <c r="V9537" s="1"/>
      <c r="W9537" s="1"/>
      <c r="X9537" s="1"/>
      <c r="Y9537" s="1"/>
      <c r="Z9537" s="1"/>
      <c r="AA9537" s="1"/>
      <c r="AB9537" s="1"/>
    </row>
    <row r="9538" ht="50.25" customHeight="1">
      <c r="A9538" s="12">
        <v>9534.0</v>
      </c>
      <c r="B9538" s="13" t="s">
        <v>8699</v>
      </c>
      <c r="C9538" s="18" t="s">
        <v>9564</v>
      </c>
      <c r="D9538" s="1"/>
      <c r="E9538" s="1"/>
      <c r="F9538" s="1" t="str">
        <f>IFERROR(__xludf.DUMMYFUNCTION("GOOGLETRANSLATE(B9538, ""en"", ""fa"")
"),"موفقیت در پادکست")</f>
        <v>موفقیت در پادکست</v>
      </c>
      <c r="G9538" s="1" t="str">
        <f>IFERROR(__xludf.DUMMYFUNCTION("GOOGLETRANSLATE(C9538, ""en"", ""fa"")
"),"استراتژی‌هایی برای تقویت روابط بلندمدت با حامیان مالی و تبلیغ‌کنندگان، از جمله ارائه تخفیف‌های وفاداری، گزینه‌های حمایت مالی مکرر، یا فرصت‌های اولویت‌بندی چیست.")</f>
        <v>استراتژی‌هایی برای تقویت روابط بلندمدت با حامیان مالی و تبلیغ‌کنندگان، از جمله ارائه تخفیف‌های وفاداری، گزینه‌های حمایت مالی مکرر، یا فرصت‌های اولویت‌بندی چیست.</v>
      </c>
      <c r="H9538" s="1"/>
      <c r="I9538" s="1"/>
      <c r="J9538" s="1"/>
      <c r="K9538" s="1"/>
      <c r="L9538" s="1"/>
      <c r="M9538" s="1"/>
      <c r="N9538" s="1"/>
      <c r="O9538" s="1"/>
      <c r="P9538" s="1"/>
      <c r="Q9538" s="1"/>
      <c r="R9538" s="1"/>
      <c r="S9538" s="1"/>
      <c r="T9538" s="1"/>
      <c r="U9538" s="1"/>
      <c r="V9538" s="1"/>
      <c r="W9538" s="1"/>
      <c r="X9538" s="1"/>
      <c r="Y9538" s="1"/>
      <c r="Z9538" s="1"/>
      <c r="AA9538" s="1"/>
      <c r="AB9538" s="1"/>
    </row>
    <row r="9539" ht="50.25" customHeight="1">
      <c r="A9539" s="12">
        <v>9535.0</v>
      </c>
      <c r="B9539" s="13" t="s">
        <v>8699</v>
      </c>
      <c r="C9539" s="18" t="s">
        <v>9565</v>
      </c>
      <c r="D9539" s="1"/>
      <c r="E9539" s="1"/>
      <c r="F9539" s="1" t="str">
        <f>IFERROR(__xludf.DUMMYFUNCTION("GOOGLETRANSLATE(B9539, ""en"", ""fa"")
"),"موفقیت در پادکست")</f>
        <v>موفقیت در پادکست</v>
      </c>
      <c r="G9539" s="1" t="str">
        <f>IFERROR(__xludf.DUMMYFUNCTION("GOOGLETRANSLATE(C9539, ""en"", ""fa"")
"),"چگونه می توان از حمایت مالی و تبلیغات برای ارائه مزایا یا امتیازات انحصاری به شنوندگان وفادار پادکست خود، مانند کدهای تخفیف، موارد رایگان یا دسترسی VIP استفاده کرد.")</f>
        <v>چگونه می توان از حمایت مالی و تبلیغات برای ارائه مزایا یا امتیازات انحصاری به شنوندگان وفادار پادکست خود، مانند کدهای تخفیف، موارد رایگان یا دسترسی VIP استفاده کرد.</v>
      </c>
      <c r="H9539" s="1"/>
      <c r="I9539" s="1"/>
      <c r="J9539" s="1"/>
      <c r="K9539" s="1"/>
      <c r="L9539" s="1"/>
      <c r="M9539" s="1"/>
      <c r="N9539" s="1"/>
      <c r="O9539" s="1"/>
      <c r="P9539" s="1"/>
      <c r="Q9539" s="1"/>
      <c r="R9539" s="1"/>
      <c r="S9539" s="1"/>
      <c r="T9539" s="1"/>
      <c r="U9539" s="1"/>
      <c r="V9539" s="1"/>
      <c r="W9539" s="1"/>
      <c r="X9539" s="1"/>
      <c r="Y9539" s="1"/>
      <c r="Z9539" s="1"/>
      <c r="AA9539" s="1"/>
      <c r="AB9539" s="1"/>
    </row>
    <row r="9540" ht="50.25" customHeight="1">
      <c r="A9540" s="12">
        <v>9536.0</v>
      </c>
      <c r="B9540" s="13" t="s">
        <v>8699</v>
      </c>
      <c r="C9540" s="18" t="s">
        <v>9566</v>
      </c>
      <c r="D9540" s="1"/>
      <c r="E9540" s="1"/>
      <c r="F9540" s="1" t="str">
        <f>IFERROR(__xludf.DUMMYFUNCTION("GOOGLETRANSLATE(B9540, ""en"", ""fa"")
"),"موفقیت در پادکست")</f>
        <v>موفقیت در پادکست</v>
      </c>
      <c r="G9540" s="1" t="str">
        <f>IFERROR(__xludf.DUMMYFUNCTION("GOOGLETRANSLATE(C9540, ""en"", ""fa"")
"),"برای ایجاد اعتماد و اعتبار در بین مخاطبان خود، چه تکنیک هایی برای ترکیب توصیفات میزبان یا تجربیات شخصی با محصولات یا خدمات حمایت شده وجود دارد.")</f>
        <v>برای ایجاد اعتماد و اعتبار در بین مخاطبان خود، چه تکنیک هایی برای ترکیب توصیفات میزبان یا تجربیات شخصی با محصولات یا خدمات حمایت شده وجود دارد.</v>
      </c>
      <c r="H9540" s="1"/>
      <c r="I9540" s="1"/>
      <c r="J9540" s="1"/>
      <c r="K9540" s="1"/>
      <c r="L9540" s="1"/>
      <c r="M9540" s="1"/>
      <c r="N9540" s="1"/>
      <c r="O9540" s="1"/>
      <c r="P9540" s="1"/>
      <c r="Q9540" s="1"/>
      <c r="R9540" s="1"/>
      <c r="S9540" s="1"/>
      <c r="T9540" s="1"/>
      <c r="U9540" s="1"/>
      <c r="V9540" s="1"/>
      <c r="W9540" s="1"/>
      <c r="X9540" s="1"/>
      <c r="Y9540" s="1"/>
      <c r="Z9540" s="1"/>
      <c r="AA9540" s="1"/>
      <c r="AB9540" s="1"/>
    </row>
    <row r="9541" ht="50.25" customHeight="1">
      <c r="A9541" s="12">
        <v>9537.0</v>
      </c>
      <c r="B9541" s="13" t="s">
        <v>8699</v>
      </c>
      <c r="C9541" s="18" t="s">
        <v>9567</v>
      </c>
      <c r="D9541" s="1"/>
      <c r="E9541" s="1"/>
      <c r="F9541" s="1" t="str">
        <f>IFERROR(__xludf.DUMMYFUNCTION("GOOGLETRANSLATE(B9541, ""en"", ""fa"")
"),"موفقیت در پادکست")</f>
        <v>موفقیت در پادکست</v>
      </c>
      <c r="G9541" s="1" t="str">
        <f>IFERROR(__xludf.DUMMYFUNCTION("GOOGLETRANSLATE(C9541, ""en"", ""fa"")
"),"چگونه می توان از کمپین های فصلی یا با موضوع تعطیلات برای جذب حامیان مالی و تبلیغ کنندگان علاقه مند به تبلیغ محصولات یا خدمات خود در زمان های خاص سال استفاده کرد.")</f>
        <v>چگونه می توان از کمپین های فصلی یا با موضوع تعطیلات برای جذب حامیان مالی و تبلیغ کنندگان علاقه مند به تبلیغ محصولات یا خدمات خود در زمان های خاص سال استفاده کرد.</v>
      </c>
      <c r="H9541" s="1"/>
      <c r="I9541" s="1"/>
      <c r="J9541" s="1"/>
      <c r="K9541" s="1"/>
      <c r="L9541" s="1"/>
      <c r="M9541" s="1"/>
      <c r="N9541" s="1"/>
      <c r="O9541" s="1"/>
      <c r="P9541" s="1"/>
      <c r="Q9541" s="1"/>
      <c r="R9541" s="1"/>
      <c r="S9541" s="1"/>
      <c r="T9541" s="1"/>
      <c r="U9541" s="1"/>
      <c r="V9541" s="1"/>
      <c r="W9541" s="1"/>
      <c r="X9541" s="1"/>
      <c r="Y9541" s="1"/>
      <c r="Z9541" s="1"/>
      <c r="AA9541" s="1"/>
      <c r="AB9541" s="1"/>
    </row>
    <row r="9542" ht="50.25" customHeight="1">
      <c r="A9542" s="12">
        <v>9538.0</v>
      </c>
      <c r="B9542" s="13" t="s">
        <v>8699</v>
      </c>
      <c r="C9542" s="18" t="s">
        <v>9568</v>
      </c>
      <c r="D9542" s="1"/>
      <c r="E9542" s="1"/>
      <c r="F9542" s="1" t="str">
        <f>IFERROR(__xludf.DUMMYFUNCTION("GOOGLETRANSLATE(B9542, ""en"", ""fa"")
"),"موفقیت در پادکست")</f>
        <v>موفقیت در پادکست</v>
      </c>
      <c r="G9542" s="1" t="str">
        <f>IFERROR(__xludf.DUMMYFUNCTION("GOOGLETRANSLATE(C9542, ""en"", ""fa"")
"),"استراتژی‌هایی برای استفاده از شبکه مهمان پادکست شما برای شناسایی حامیان مالی یا تبلیغ‌کنندگان بالقوه که با تخصص یا صنعت متخصصان مهمان شما هماهنگ هستند، چیست.")</f>
        <v>استراتژی‌هایی برای استفاده از شبکه مهمان پادکست شما برای شناسایی حامیان مالی یا تبلیغ‌کنندگان بالقوه که با تخصص یا صنعت متخصصان مهمان شما هماهنگ هستند، چیست.</v>
      </c>
      <c r="H9542" s="1"/>
      <c r="I9542" s="1"/>
      <c r="J9542" s="1"/>
      <c r="K9542" s="1"/>
      <c r="L9542" s="1"/>
      <c r="M9542" s="1"/>
      <c r="N9542" s="1"/>
      <c r="O9542" s="1"/>
      <c r="P9542" s="1"/>
      <c r="Q9542" s="1"/>
      <c r="R9542" s="1"/>
      <c r="S9542" s="1"/>
      <c r="T9542" s="1"/>
      <c r="U9542" s="1"/>
      <c r="V9542" s="1"/>
      <c r="W9542" s="1"/>
      <c r="X9542" s="1"/>
      <c r="Y9542" s="1"/>
      <c r="Z9542" s="1"/>
      <c r="AA9542" s="1"/>
      <c r="AB9542" s="1"/>
    </row>
    <row r="9543" ht="50.25" customHeight="1">
      <c r="A9543" s="12">
        <v>9539.0</v>
      </c>
      <c r="B9543" s="13" t="s">
        <v>8699</v>
      </c>
      <c r="C9543" s="18" t="s">
        <v>9569</v>
      </c>
      <c r="D9543" s="1"/>
      <c r="E9543" s="1"/>
      <c r="F9543" s="1" t="str">
        <f>IFERROR(__xludf.DUMMYFUNCTION("GOOGLETRANSLATE(B9543, ""en"", ""fa"")
"),"موفقیت در پادکست")</f>
        <v>موفقیت در پادکست</v>
      </c>
      <c r="G9543" s="1" t="str">
        <f>IFERROR(__xludf.DUMMYFUNCTION("GOOGLETRANSLATE(C9543, ""en"", ""fa"")
"),"نحوه ایجاد فرصت های تبلیغاتی هدفمند بر اساس بخش های شنونده یا قسمت های خاص پادکست برای ارائه گزینه های حمایتی سفارشی و مرتبط.")</f>
        <v>نحوه ایجاد فرصت های تبلیغاتی هدفمند بر اساس بخش های شنونده یا قسمت های خاص پادکست برای ارائه گزینه های حمایتی سفارشی و مرتبط.</v>
      </c>
      <c r="H9543" s="1"/>
      <c r="I9543" s="1"/>
      <c r="J9543" s="1"/>
      <c r="K9543" s="1"/>
      <c r="L9543" s="1"/>
      <c r="M9543" s="1"/>
      <c r="N9543" s="1"/>
      <c r="O9543" s="1"/>
      <c r="P9543" s="1"/>
      <c r="Q9543" s="1"/>
      <c r="R9543" s="1"/>
      <c r="S9543" s="1"/>
      <c r="T9543" s="1"/>
      <c r="U9543" s="1"/>
      <c r="V9543" s="1"/>
      <c r="W9543" s="1"/>
      <c r="X9543" s="1"/>
      <c r="Y9543" s="1"/>
      <c r="Z9543" s="1"/>
      <c r="AA9543" s="1"/>
      <c r="AB9543" s="1"/>
    </row>
    <row r="9544" ht="50.25" customHeight="1">
      <c r="A9544" s="12">
        <v>9540.0</v>
      </c>
      <c r="B9544" s="13" t="s">
        <v>8699</v>
      </c>
      <c r="C9544" s="18" t="s">
        <v>9570</v>
      </c>
      <c r="D9544" s="1"/>
      <c r="E9544" s="1"/>
      <c r="F9544" s="1" t="str">
        <f>IFERROR(__xludf.DUMMYFUNCTION("GOOGLETRANSLATE(B9544, ""en"", ""fa"")
"),"موفقیت در پادکست")</f>
        <v>موفقیت در پادکست</v>
      </c>
      <c r="G9544" s="1" t="str">
        <f>IFERROR(__xludf.DUMMYFUNCTION("GOOGLETRANSLATE(C9544, ""en"", ""fa"")
"),"تکنیک‌های ارائه گزینه‌های اشتراک ممتاز یا بدون آگهی برای شنوندگانی که می‌خواهند از پادکست پشتیبانی کنند و از تجربه گوش دادن بی‌وقفه لذت ببرند، چیست.")</f>
        <v>تکنیک‌های ارائه گزینه‌های اشتراک ممتاز یا بدون آگهی برای شنوندگانی که می‌خواهند از پادکست پشتیبانی کنند و از تجربه گوش دادن بی‌وقفه لذت ببرند، چیست.</v>
      </c>
      <c r="H9544" s="1"/>
      <c r="I9544" s="1"/>
      <c r="J9544" s="1"/>
      <c r="K9544" s="1"/>
      <c r="L9544" s="1"/>
      <c r="M9544" s="1"/>
      <c r="N9544" s="1"/>
      <c r="O9544" s="1"/>
      <c r="P9544" s="1"/>
      <c r="Q9544" s="1"/>
      <c r="R9544" s="1"/>
      <c r="S9544" s="1"/>
      <c r="T9544" s="1"/>
      <c r="U9544" s="1"/>
      <c r="V9544" s="1"/>
      <c r="W9544" s="1"/>
      <c r="X9544" s="1"/>
      <c r="Y9544" s="1"/>
      <c r="Z9544" s="1"/>
      <c r="AA9544" s="1"/>
      <c r="AB9544" s="1"/>
    </row>
    <row r="9545" ht="50.25" customHeight="1">
      <c r="A9545" s="12">
        <v>9541.0</v>
      </c>
      <c r="B9545" s="13" t="s">
        <v>8699</v>
      </c>
      <c r="C9545" s="18" t="s">
        <v>9571</v>
      </c>
      <c r="D9545" s="1"/>
      <c r="E9545" s="1"/>
      <c r="F9545" s="1" t="str">
        <f>IFERROR(__xludf.DUMMYFUNCTION("GOOGLETRANSLATE(B9545, ""en"", ""fa"")
"),"موفقیت در پادکست")</f>
        <v>موفقیت در پادکست</v>
      </c>
      <c r="G9545" s="1" t="str">
        <f>IFERROR(__xludf.DUMMYFUNCTION("GOOGLETRANSLATE(C9545, ""en"", ""fa"")
"),"چگونه از فناوری درج آگهی پویا برای به‌روزرسانی و جایگزینی حمایت‌های مالی یا تبلیغات قدیمی در قسمت‌های بایگانی‌شده استفاده کنیم، و به حامیان مالی و تبلیغ‌کنندگان اجازه می‌دهیم حتی در محتوای قدیمی‌تر به دریافت تبلیغات ادامه دهند.")</f>
        <v>چگونه از فناوری درج آگهی پویا برای به‌روزرسانی و جایگزینی حمایت‌های مالی یا تبلیغات قدیمی در قسمت‌های بایگانی‌شده استفاده کنیم، و به حامیان مالی و تبلیغ‌کنندگان اجازه می‌دهیم حتی در محتوای قدیمی‌تر به دریافت تبلیغات ادامه دهند.</v>
      </c>
      <c r="H9545" s="1"/>
      <c r="I9545" s="1"/>
      <c r="J9545" s="1"/>
      <c r="K9545" s="1"/>
      <c r="L9545" s="1"/>
      <c r="M9545" s="1"/>
      <c r="N9545" s="1"/>
      <c r="O9545" s="1"/>
      <c r="P9545" s="1"/>
      <c r="Q9545" s="1"/>
      <c r="R9545" s="1"/>
      <c r="S9545" s="1"/>
      <c r="T9545" s="1"/>
      <c r="U9545" s="1"/>
      <c r="V9545" s="1"/>
      <c r="W9545" s="1"/>
      <c r="X9545" s="1"/>
      <c r="Y9545" s="1"/>
      <c r="Z9545" s="1"/>
      <c r="AA9545" s="1"/>
      <c r="AB9545" s="1"/>
    </row>
    <row r="9546" ht="50.25" customHeight="1">
      <c r="A9546" s="12">
        <v>9542.0</v>
      </c>
      <c r="B9546" s="13" t="s">
        <v>8699</v>
      </c>
      <c r="C9546" s="18" t="s">
        <v>9572</v>
      </c>
      <c r="D9546" s="1"/>
      <c r="E9546" s="1"/>
      <c r="F9546" s="1" t="str">
        <f>IFERROR(__xludf.DUMMYFUNCTION("GOOGLETRANSLATE(B9546, ""en"", ""fa"")
"),"موفقیت در پادکست")</f>
        <v>موفقیت در پادکست</v>
      </c>
      <c r="G9546" s="1" t="str">
        <f>IFERROR(__xludf.DUMMYFUNCTION("GOOGLETRANSLATE(C9546, ""en"", ""fa"")
"),"استراتژی‌های همکاری با حامیان مالی و تبلیغ‌کنندگان در زمینه محتوایی که به صورت مشترک ایجاد می‌شوند، مانند قسمت‌ها، سریال‌ها یا کمپین‌های کوچک حمایت‌شده، برای ایجاد ارزش افزوده برای هر دو طرف چیست.")</f>
        <v>استراتژی‌های همکاری با حامیان مالی و تبلیغ‌کنندگان در زمینه محتوایی که به صورت مشترک ایجاد می‌شوند، مانند قسمت‌ها، سریال‌ها یا کمپین‌های کوچک حمایت‌شده، برای ایجاد ارزش افزوده برای هر دو طرف چیست.</v>
      </c>
      <c r="H9546" s="1"/>
      <c r="I9546" s="1"/>
      <c r="J9546" s="1"/>
      <c r="K9546" s="1"/>
      <c r="L9546" s="1"/>
      <c r="M9546" s="1"/>
      <c r="N9546" s="1"/>
      <c r="O9546" s="1"/>
      <c r="P9546" s="1"/>
      <c r="Q9546" s="1"/>
      <c r="R9546" s="1"/>
      <c r="S9546" s="1"/>
      <c r="T9546" s="1"/>
      <c r="U9546" s="1"/>
      <c r="V9546" s="1"/>
      <c r="W9546" s="1"/>
      <c r="X9546" s="1"/>
      <c r="Y9546" s="1"/>
      <c r="Z9546" s="1"/>
      <c r="AA9546" s="1"/>
      <c r="AB9546" s="1"/>
    </row>
    <row r="9547" ht="50.25" customHeight="1">
      <c r="A9547" s="12">
        <v>9543.0</v>
      </c>
      <c r="B9547" s="13" t="s">
        <v>8699</v>
      </c>
      <c r="C9547" s="18" t="s">
        <v>9573</v>
      </c>
      <c r="D9547" s="1"/>
      <c r="E9547" s="1"/>
      <c r="F9547" s="1" t="str">
        <f>IFERROR(__xludf.DUMMYFUNCTION("GOOGLETRANSLATE(B9547, ""en"", ""fa"")
"),"موفقیت در پادکست")</f>
        <v>موفقیت در پادکست</v>
      </c>
      <c r="G9547" s="1" t="str">
        <f>IFERROR(__xludf.DUMMYFUNCTION("GOOGLETRANSLATE(C9547, ""en"", ""fa"")
"),"چگونه می توان از حمایت های مالی خواندن زنده استفاده کرد که در آن میزبان ها پیام های تبلیغاتی را در سبک مکالمه طبیعی خود قرار می دهند و تجربه ای معتبر و جذاب برای شنوندگان ایجاد می کنند.")</f>
        <v>چگونه می توان از حمایت های مالی خواندن زنده استفاده کرد که در آن میزبان ها پیام های تبلیغاتی را در سبک مکالمه طبیعی خود قرار می دهند و تجربه ای معتبر و جذاب برای شنوندگان ایجاد می کنند.</v>
      </c>
      <c r="H9547" s="1"/>
      <c r="I9547" s="1"/>
      <c r="J9547" s="1"/>
      <c r="K9547" s="1"/>
      <c r="L9547" s="1"/>
      <c r="M9547" s="1"/>
      <c r="N9547" s="1"/>
      <c r="O9547" s="1"/>
      <c r="P9547" s="1"/>
      <c r="Q9547" s="1"/>
      <c r="R9547" s="1"/>
      <c r="S9547" s="1"/>
      <c r="T9547" s="1"/>
      <c r="U9547" s="1"/>
      <c r="V9547" s="1"/>
      <c r="W9547" s="1"/>
      <c r="X9547" s="1"/>
      <c r="Y9547" s="1"/>
      <c r="Z9547" s="1"/>
      <c r="AA9547" s="1"/>
      <c r="AB9547" s="1"/>
    </row>
    <row r="9548" ht="50.25" customHeight="1">
      <c r="A9548" s="12">
        <v>9544.0</v>
      </c>
      <c r="B9548" s="13" t="s">
        <v>8699</v>
      </c>
      <c r="C9548" s="18" t="s">
        <v>9574</v>
      </c>
      <c r="D9548" s="1"/>
      <c r="E9548" s="1"/>
      <c r="F9548" s="1" t="str">
        <f>IFERROR(__xludf.DUMMYFUNCTION("GOOGLETRANSLATE(B9548, ""en"", ""fa"")
"),"موفقیت در پادکست")</f>
        <v>موفقیت در پادکست</v>
      </c>
      <c r="G9548" s="1" t="str">
        <f>IFERROR(__xludf.DUMMYFUNCTION("GOOGLETRANSLATE(C9548, ""en"", ""fa"")
"),"تکنیک‌های ارائه بسته‌ها یا بسته‌های حمایت مالی که شامل نمایش‌ها یا پلتفرم‌های پادکست متعدد است تا دسترسی و در معرض دید بیشتری را برای حامیان مالی فراهم کند، چیست.")</f>
        <v>تکنیک‌های ارائه بسته‌ها یا بسته‌های حمایت مالی که شامل نمایش‌ها یا پلتفرم‌های پادکست متعدد است تا دسترسی و در معرض دید بیشتری را برای حامیان مالی فراهم کند، چیست.</v>
      </c>
      <c r="H9548" s="1"/>
      <c r="I9548" s="1"/>
      <c r="J9548" s="1"/>
      <c r="K9548" s="1"/>
      <c r="L9548" s="1"/>
      <c r="M9548" s="1"/>
      <c r="N9548" s="1"/>
      <c r="O9548" s="1"/>
      <c r="P9548" s="1"/>
      <c r="Q9548" s="1"/>
      <c r="R9548" s="1"/>
      <c r="S9548" s="1"/>
      <c r="T9548" s="1"/>
      <c r="U9548" s="1"/>
      <c r="V9548" s="1"/>
      <c r="W9548" s="1"/>
      <c r="X9548" s="1"/>
      <c r="Y9548" s="1"/>
      <c r="Z9548" s="1"/>
      <c r="AA9548" s="1"/>
      <c r="AB9548" s="1"/>
    </row>
    <row r="9549" ht="50.25" customHeight="1">
      <c r="A9549" s="12">
        <v>9545.0</v>
      </c>
      <c r="B9549" s="13" t="s">
        <v>8699</v>
      </c>
      <c r="C9549" s="18" t="s">
        <v>9575</v>
      </c>
      <c r="D9549" s="1"/>
      <c r="E9549" s="1"/>
      <c r="F9549" s="1" t="str">
        <f>IFERROR(__xludf.DUMMYFUNCTION("GOOGLETRANSLATE(B9549, ""en"", ""fa"")
"),"موفقیت در پادکست")</f>
        <v>موفقیت در پادکست</v>
      </c>
      <c r="G9549" s="1" t="str">
        <f>IFERROR(__xludf.DUMMYFUNCTION("GOOGLETRANSLATE(C9549, ""en"", ""fa"")
"),"چگونه می توان توصیفات حامی مالی قانع کننده یا مطالعات موردی ایجاد کرد که موفقیت و نتایج مثبت تجربه شده توسط حامیان مالی یا تبلیغ کنندگان قبلی را برجسته می کند.")</f>
        <v>چگونه می توان توصیفات حامی مالی قانع کننده یا مطالعات موردی ایجاد کرد که موفقیت و نتایج مثبت تجربه شده توسط حامیان مالی یا تبلیغ کنندگان قبلی را برجسته می کند.</v>
      </c>
      <c r="H9549" s="1"/>
      <c r="I9549" s="1"/>
      <c r="J9549" s="1"/>
      <c r="K9549" s="1"/>
      <c r="L9549" s="1"/>
      <c r="M9549" s="1"/>
      <c r="N9549" s="1"/>
      <c r="O9549" s="1"/>
      <c r="P9549" s="1"/>
      <c r="Q9549" s="1"/>
      <c r="R9549" s="1"/>
      <c r="S9549" s="1"/>
      <c r="T9549" s="1"/>
      <c r="U9549" s="1"/>
      <c r="V9549" s="1"/>
      <c r="W9549" s="1"/>
      <c r="X9549" s="1"/>
      <c r="Y9549" s="1"/>
      <c r="Z9549" s="1"/>
      <c r="AA9549" s="1"/>
      <c r="AB9549" s="1"/>
    </row>
    <row r="9550" ht="50.25" customHeight="1">
      <c r="A9550" s="12">
        <v>9546.0</v>
      </c>
      <c r="B9550" s="13" t="s">
        <v>8699</v>
      </c>
      <c r="C9550" s="18" t="s">
        <v>9576</v>
      </c>
      <c r="D9550" s="1"/>
      <c r="E9550" s="1"/>
      <c r="F9550" s="1" t="str">
        <f>IFERROR(__xludf.DUMMYFUNCTION("GOOGLETRANSLATE(B9550, ""en"", ""fa"")
"),"موفقیت در پادکست")</f>
        <v>موفقیت در پادکست</v>
      </c>
      <c r="G9550" s="1" t="str">
        <f>IFERROR(__xludf.DUMMYFUNCTION("GOOGLETRANSLATE(C9550, ""en"", ""fa"")
"),"استراتژی‌های استفاده از پلتفرم‌های تبلیغات برنامه‌ای یا مبادلات تبلیغاتی برای خودکار کردن فرآیند خرید و فروش موجودی آگهی پادکست چیست؟")</f>
        <v>استراتژی‌های استفاده از پلتفرم‌های تبلیغات برنامه‌ای یا مبادلات تبلیغاتی برای خودکار کردن فرآیند خرید و فروش موجودی آگهی پادکست چیست؟</v>
      </c>
      <c r="H9550" s="1"/>
      <c r="I9550" s="1"/>
      <c r="J9550" s="1"/>
      <c r="K9550" s="1"/>
      <c r="L9550" s="1"/>
      <c r="M9550" s="1"/>
      <c r="N9550" s="1"/>
      <c r="O9550" s="1"/>
      <c r="P9550" s="1"/>
      <c r="Q9550" s="1"/>
      <c r="R9550" s="1"/>
      <c r="S9550" s="1"/>
      <c r="T9550" s="1"/>
      <c r="U9550" s="1"/>
      <c r="V9550" s="1"/>
      <c r="W9550" s="1"/>
      <c r="X9550" s="1"/>
      <c r="Y9550" s="1"/>
      <c r="Z9550" s="1"/>
      <c r="AA9550" s="1"/>
      <c r="AB9550" s="1"/>
    </row>
    <row r="9551" ht="50.25" customHeight="1">
      <c r="A9551" s="12">
        <v>9547.0</v>
      </c>
      <c r="B9551" s="13" t="s">
        <v>8699</v>
      </c>
      <c r="C9551" s="18" t="s">
        <v>9577</v>
      </c>
      <c r="D9551" s="1"/>
      <c r="E9551" s="1"/>
      <c r="F9551" s="1" t="str">
        <f>IFERROR(__xludf.DUMMYFUNCTION("GOOGLETRANSLATE(B9551, ""en"", ""fa"")
"),"موفقیت در پادکست")</f>
        <v>موفقیت در پادکست</v>
      </c>
      <c r="G9551" s="1" t="str">
        <f>IFERROR(__xludf.DUMMYFUNCTION("GOOGLETRANSLATE(C9551, ""en"", ""fa"")
"),"چگونه می توان از نظرسنجی ها یا نظرسنجی های شنوندگان برای جمع آوری بینش و داده هایی استفاده کرد که می توان از آنها برای ارائه گزینه های تبلیغاتی هدفمند بر اساس ترجیحات و علایق شنونده استفاده کرد.")</f>
        <v>چگونه می توان از نظرسنجی ها یا نظرسنجی های شنوندگان برای جمع آوری بینش و داده هایی استفاده کرد که می توان از آنها برای ارائه گزینه های تبلیغاتی هدفمند بر اساس ترجیحات و علایق شنونده استفاده کرد.</v>
      </c>
      <c r="H9551" s="1"/>
      <c r="I9551" s="1"/>
      <c r="J9551" s="1"/>
      <c r="K9551" s="1"/>
      <c r="L9551" s="1"/>
      <c r="M9551" s="1"/>
      <c r="N9551" s="1"/>
      <c r="O9551" s="1"/>
      <c r="P9551" s="1"/>
      <c r="Q9551" s="1"/>
      <c r="R9551" s="1"/>
      <c r="S9551" s="1"/>
      <c r="T9551" s="1"/>
      <c r="U9551" s="1"/>
      <c r="V9551" s="1"/>
      <c r="W9551" s="1"/>
      <c r="X9551" s="1"/>
      <c r="Y9551" s="1"/>
      <c r="Z9551" s="1"/>
      <c r="AA9551" s="1"/>
      <c r="AB9551" s="1"/>
    </row>
    <row r="9552" ht="50.25" customHeight="1">
      <c r="A9552" s="12">
        <v>9548.0</v>
      </c>
      <c r="B9552" s="13" t="s">
        <v>8699</v>
      </c>
      <c r="C9552" s="18" t="s">
        <v>9578</v>
      </c>
      <c r="D9552" s="1"/>
      <c r="E9552" s="1"/>
      <c r="F9552" s="1" t="str">
        <f>IFERROR(__xludf.DUMMYFUNCTION("GOOGLETRANSLATE(B9552, ""en"", ""fa"")
"),"موفقیت در پادکست")</f>
        <v>موفقیت در پادکست</v>
      </c>
      <c r="G9552" s="1" t="str">
        <f>IFERROR(__xludf.DUMMYFUNCTION("GOOGLETRANSLATE(C9552, ""en"", ""fa"")
"),"تکنیک‌هایی برای ایجاد دستورالعمل‌ها و انتظارات واضح برای محتوای حمایت‌شده، از جمله لحن، سبک و پیام‌رسانی که هم با پادکست شما و هم با نام تجاری اسپانسر هماهنگ است، چیست.")</f>
        <v>تکنیک‌هایی برای ایجاد دستورالعمل‌ها و انتظارات واضح برای محتوای حمایت‌شده، از جمله لحن، سبک و پیام‌رسانی که هم با پادکست شما و هم با نام تجاری اسپانسر هماهنگ است، چیست.</v>
      </c>
      <c r="H9552" s="1"/>
      <c r="I9552" s="1"/>
      <c r="J9552" s="1"/>
      <c r="K9552" s="1"/>
      <c r="L9552" s="1"/>
      <c r="M9552" s="1"/>
      <c r="N9552" s="1"/>
      <c r="O9552" s="1"/>
      <c r="P9552" s="1"/>
      <c r="Q9552" s="1"/>
      <c r="R9552" s="1"/>
      <c r="S9552" s="1"/>
      <c r="T9552" s="1"/>
      <c r="U9552" s="1"/>
      <c r="V9552" s="1"/>
      <c r="W9552" s="1"/>
      <c r="X9552" s="1"/>
      <c r="Y9552" s="1"/>
      <c r="Z9552" s="1"/>
      <c r="AA9552" s="1"/>
      <c r="AB9552" s="1"/>
    </row>
    <row r="9553" ht="50.25" customHeight="1">
      <c r="A9553" s="12">
        <v>9549.0</v>
      </c>
      <c r="B9553" s="13" t="s">
        <v>8699</v>
      </c>
      <c r="C9553" s="18" t="s">
        <v>9579</v>
      </c>
      <c r="D9553" s="1"/>
      <c r="E9553" s="1"/>
      <c r="F9553" s="1" t="str">
        <f>IFERROR(__xludf.DUMMYFUNCTION("GOOGLETRANSLATE(B9553, ""en"", ""fa"")
"),"موفقیت در پادکست")</f>
        <v>موفقیت در پادکست</v>
      </c>
      <c r="G9553" s="1" t="str">
        <f>IFERROR(__xludf.DUMMYFUNCTION("GOOGLETRANSLATE(C9553, ""en"", ""fa"")
"),"چگونه می توان از فرصت های تبلیغات متقابل با حامیان مالی و تبلیغ کنندگان استفاده کرد، مانند نشان دادن آنها در خبرنامه، پست های رسانه های اجتماعی یا سایر کانال های بازاریابی، برای به حداکثر رساندن قرار گرفتن در معرض و تعامل.")</f>
        <v>چگونه می توان از فرصت های تبلیغات متقابل با حامیان مالی و تبلیغ کنندگان استفاده کرد، مانند نشان دادن آنها در خبرنامه، پست های رسانه های اجتماعی یا سایر کانال های بازاریابی، برای به حداکثر رساندن قرار گرفتن در معرض و تعامل.</v>
      </c>
      <c r="H9553" s="1"/>
      <c r="I9553" s="1"/>
      <c r="J9553" s="1"/>
      <c r="K9553" s="1"/>
      <c r="L9553" s="1"/>
      <c r="M9553" s="1"/>
      <c r="N9553" s="1"/>
      <c r="O9553" s="1"/>
      <c r="P9553" s="1"/>
      <c r="Q9553" s="1"/>
      <c r="R9553" s="1"/>
      <c r="S9553" s="1"/>
      <c r="T9553" s="1"/>
      <c r="U9553" s="1"/>
      <c r="V9553" s="1"/>
      <c r="W9553" s="1"/>
      <c r="X9553" s="1"/>
      <c r="Y9553" s="1"/>
      <c r="Z9553" s="1"/>
      <c r="AA9553" s="1"/>
      <c r="AB9553" s="1"/>
    </row>
    <row r="9554" ht="50.25" customHeight="1">
      <c r="A9554" s="12">
        <v>9550.0</v>
      </c>
      <c r="B9554" s="13" t="s">
        <v>8699</v>
      </c>
      <c r="C9554" s="18" t="s">
        <v>9580</v>
      </c>
      <c r="D9554" s="1"/>
      <c r="E9554" s="1"/>
      <c r="F9554" s="1" t="str">
        <f>IFERROR(__xludf.DUMMYFUNCTION("GOOGLETRANSLATE(B9554, ""en"", ""fa"")
"),"موفقیت در پادکست")</f>
        <v>موفقیت در پادکست</v>
      </c>
      <c r="G9554" s="1" t="str">
        <f>IFERROR(__xludf.DUMMYFUNCTION("GOOGLETRANSLATE(C9554, ""en"", ""fa"")
"),"پادکست چیست و چگونه کار می کند؟")</f>
        <v>پادکست چیست و چگونه کار می کند؟</v>
      </c>
      <c r="H9554" s="1"/>
      <c r="I9554" s="1"/>
      <c r="J9554" s="1"/>
      <c r="K9554" s="1"/>
      <c r="L9554" s="1"/>
      <c r="M9554" s="1"/>
      <c r="N9554" s="1"/>
      <c r="O9554" s="1"/>
      <c r="P9554" s="1"/>
      <c r="Q9554" s="1"/>
      <c r="R9554" s="1"/>
      <c r="S9554" s="1"/>
      <c r="T9554" s="1"/>
      <c r="U9554" s="1"/>
      <c r="V9554" s="1"/>
      <c r="W9554" s="1"/>
      <c r="X9554" s="1"/>
      <c r="Y9554" s="1"/>
      <c r="Z9554" s="1"/>
      <c r="AA9554" s="1"/>
      <c r="AB9554" s="1"/>
    </row>
    <row r="9555" ht="50.25" customHeight="1">
      <c r="A9555" s="12">
        <v>9551.0</v>
      </c>
      <c r="B9555" s="13" t="s">
        <v>8699</v>
      </c>
      <c r="C9555" s="18" t="s">
        <v>9581</v>
      </c>
      <c r="D9555" s="1"/>
      <c r="E9555" s="1"/>
      <c r="F9555" s="1" t="str">
        <f>IFERROR(__xludf.DUMMYFUNCTION("GOOGLETRANSLATE(B9555, ""en"", ""fa"")
"),"موفقیت در پادکست")</f>
        <v>موفقیت در پادکست</v>
      </c>
      <c r="G9555" s="1" t="str">
        <f>IFERROR(__xludf.DUMMYFUNCTION("GOOGLETRANSLATE(C9555, ""en"", ""fa"")
"),"چگونه یک جایگاه یا موضوع پادکست را انتخاب کنید که با علایق و مخاطبان هدف شما همسو باشد.")</f>
        <v>چگونه یک جایگاه یا موضوع پادکست را انتخاب کنید که با علایق و مخاطبان هدف شما همسو باشد.</v>
      </c>
      <c r="H9555" s="1"/>
      <c r="I9555" s="1"/>
      <c r="J9555" s="1"/>
      <c r="K9555" s="1"/>
      <c r="L9555" s="1"/>
      <c r="M9555" s="1"/>
      <c r="N9555" s="1"/>
      <c r="O9555" s="1"/>
      <c r="P9555" s="1"/>
      <c r="Q9555" s="1"/>
      <c r="R9555" s="1"/>
      <c r="S9555" s="1"/>
      <c r="T9555" s="1"/>
      <c r="U9555" s="1"/>
      <c r="V9555" s="1"/>
      <c r="W9555" s="1"/>
      <c r="X9555" s="1"/>
      <c r="Y9555" s="1"/>
      <c r="Z9555" s="1"/>
      <c r="AA9555" s="1"/>
      <c r="AB9555" s="1"/>
    </row>
    <row r="9556" ht="50.25" customHeight="1">
      <c r="A9556" s="12">
        <v>9552.0</v>
      </c>
      <c r="B9556" s="13" t="s">
        <v>8699</v>
      </c>
      <c r="C9556" s="18" t="s">
        <v>9582</v>
      </c>
      <c r="D9556" s="1"/>
      <c r="E9556" s="1"/>
      <c r="F9556" s="1" t="str">
        <f>IFERROR(__xludf.DUMMYFUNCTION("GOOGLETRANSLATE(B9556, ""en"", ""fa"")
"),"موفقیت در پادکست")</f>
        <v>موفقیت در پادکست</v>
      </c>
      <c r="G9556" s="1" t="str">
        <f>IFERROR(__xludf.DUMMYFUNCTION("GOOGLETRANSLATE(C9556, ""en"", ""fa"")
"),"تجهیزات و نرم افزارهای ضروری برای شروع یک پادکست چیست؟")</f>
        <v>تجهیزات و نرم افزارهای ضروری برای شروع یک پادکست چیست؟</v>
      </c>
      <c r="H9556" s="1"/>
      <c r="I9556" s="1"/>
      <c r="J9556" s="1"/>
      <c r="K9556" s="1"/>
      <c r="L9556" s="1"/>
      <c r="M9556" s="1"/>
      <c r="N9556" s="1"/>
      <c r="O9556" s="1"/>
      <c r="P9556" s="1"/>
      <c r="Q9556" s="1"/>
      <c r="R9556" s="1"/>
      <c r="S9556" s="1"/>
      <c r="T9556" s="1"/>
      <c r="U9556" s="1"/>
      <c r="V9556" s="1"/>
      <c r="W9556" s="1"/>
      <c r="X9556" s="1"/>
      <c r="Y9556" s="1"/>
      <c r="Z9556" s="1"/>
      <c r="AA9556" s="1"/>
      <c r="AB9556" s="1"/>
    </row>
    <row r="9557" ht="50.25" customHeight="1">
      <c r="A9557" s="12">
        <v>9553.0</v>
      </c>
      <c r="B9557" s="13" t="s">
        <v>8699</v>
      </c>
      <c r="C9557" s="18" t="s">
        <v>9583</v>
      </c>
      <c r="D9557" s="1"/>
      <c r="E9557" s="1"/>
      <c r="F9557" s="1" t="str">
        <f>IFERROR(__xludf.DUMMYFUNCTION("GOOGLETRANSLATE(B9557, ""en"", ""fa"")
"),"موفقیت در پادکست")</f>
        <v>موفقیت در پادکست</v>
      </c>
      <c r="G9557" s="1" t="str">
        <f>IFERROR(__xludf.DUMMYFUNCTION("GOOGLETRANSLATE(C9557, ""en"", ""fa"")
"),"چگونه اپیزودهای پادکست خود را برای حداکثر تأثیر و تعامل برنامه ریزی و ساختار بندی کنید.")</f>
        <v>چگونه اپیزودهای پادکست خود را برای حداکثر تأثیر و تعامل برنامه ریزی و ساختار بندی کنید.</v>
      </c>
      <c r="H9557" s="1"/>
      <c r="I9557" s="1"/>
      <c r="J9557" s="1"/>
      <c r="K9557" s="1"/>
      <c r="L9557" s="1"/>
      <c r="M9557" s="1"/>
      <c r="N9557" s="1"/>
      <c r="O9557" s="1"/>
      <c r="P9557" s="1"/>
      <c r="Q9557" s="1"/>
      <c r="R9557" s="1"/>
      <c r="S9557" s="1"/>
      <c r="T9557" s="1"/>
      <c r="U9557" s="1"/>
      <c r="V9557" s="1"/>
      <c r="W9557" s="1"/>
      <c r="X9557" s="1"/>
      <c r="Y9557" s="1"/>
      <c r="Z9557" s="1"/>
      <c r="AA9557" s="1"/>
      <c r="AB9557" s="1"/>
    </row>
    <row r="9558" ht="50.25" customHeight="1">
      <c r="A9558" s="12">
        <v>9554.0</v>
      </c>
      <c r="B9558" s="13" t="s">
        <v>8699</v>
      </c>
      <c r="C9558" s="18" t="s">
        <v>9584</v>
      </c>
      <c r="D9558" s="1"/>
      <c r="E9558" s="1"/>
      <c r="F9558" s="1" t="str">
        <f>IFERROR(__xludf.DUMMYFUNCTION("GOOGLETRANSLATE(B9558, ""en"", ""fa"")
"),"موفقیت در پادکست")</f>
        <v>موفقیت در پادکست</v>
      </c>
      <c r="G9558" s="1" t="str">
        <f>IFERROR(__xludf.DUMMYFUNCTION("GOOGLETRANSLATE(C9558, ""en"", ""fa"")
"),"عناصر کلیدی یک معرفی و برون پادکست موفق چیست؟")</f>
        <v>عناصر کلیدی یک معرفی و برون پادکست موفق چیست؟</v>
      </c>
      <c r="H9558" s="1"/>
      <c r="I9558" s="1"/>
      <c r="J9558" s="1"/>
      <c r="K9558" s="1"/>
      <c r="L9558" s="1"/>
      <c r="M9558" s="1"/>
      <c r="N9558" s="1"/>
      <c r="O9558" s="1"/>
      <c r="P9558" s="1"/>
      <c r="Q9558" s="1"/>
      <c r="R9558" s="1"/>
      <c r="S9558" s="1"/>
      <c r="T9558" s="1"/>
      <c r="U9558" s="1"/>
      <c r="V9558" s="1"/>
      <c r="W9558" s="1"/>
      <c r="X9558" s="1"/>
      <c r="Y9558" s="1"/>
      <c r="Z9558" s="1"/>
      <c r="AA9558" s="1"/>
      <c r="AB9558" s="1"/>
    </row>
    <row r="9559" ht="50.25" customHeight="1">
      <c r="A9559" s="12">
        <v>9555.0</v>
      </c>
      <c r="B9559" s="13" t="s">
        <v>8699</v>
      </c>
      <c r="C9559" s="18" t="s">
        <v>9585</v>
      </c>
      <c r="D9559" s="1"/>
      <c r="E9559" s="1"/>
      <c r="F9559" s="1" t="str">
        <f>IFERROR(__xludf.DUMMYFUNCTION("GOOGLETRANSLATE(B9559, ""en"", ""fa"")
"),"موفقیت در پادکست")</f>
        <v>موفقیت در پادکست</v>
      </c>
      <c r="G9559" s="1" t="str">
        <f>IFERROR(__xludf.DUMMYFUNCTION("GOOGLETRANSLATE(C9559, ""en"", ""fa"")
"),"چگونه صدای پادکست و سبک ارائه خود را توسعه دهید.")</f>
        <v>چگونه صدای پادکست و سبک ارائه خود را توسعه دهید.</v>
      </c>
      <c r="H9559" s="1"/>
      <c r="I9559" s="1"/>
      <c r="J9559" s="1"/>
      <c r="K9559" s="1"/>
      <c r="L9559" s="1"/>
      <c r="M9559" s="1"/>
      <c r="N9559" s="1"/>
      <c r="O9559" s="1"/>
      <c r="P9559" s="1"/>
      <c r="Q9559" s="1"/>
      <c r="R9559" s="1"/>
      <c r="S9559" s="1"/>
      <c r="T9559" s="1"/>
      <c r="U9559" s="1"/>
      <c r="V9559" s="1"/>
      <c r="W9559" s="1"/>
      <c r="X9559" s="1"/>
      <c r="Y9559" s="1"/>
      <c r="Z9559" s="1"/>
      <c r="AA9559" s="1"/>
      <c r="AB9559" s="1"/>
    </row>
    <row r="9560" ht="50.25" customHeight="1">
      <c r="A9560" s="12">
        <v>9556.0</v>
      </c>
      <c r="B9560" s="13" t="s">
        <v>8699</v>
      </c>
      <c r="C9560" s="18" t="s">
        <v>9586</v>
      </c>
      <c r="D9560" s="1"/>
      <c r="E9560" s="1"/>
      <c r="F9560" s="1" t="str">
        <f>IFERROR(__xludf.DUMMYFUNCTION("GOOGLETRANSLATE(B9560, ""en"", ""fa"")
"),"موفقیت در پادکست")</f>
        <v>موفقیت در پادکست</v>
      </c>
      <c r="G9560" s="1" t="str">
        <f>IFERROR(__xludf.DUMMYFUNCTION("GOOGLETRANSLATE(C9560, ""en"", ""fa"")
"),"بهترین روش ها برای ضبط صدای با کیفیت بالا برای پادکست شما چیست؟")</f>
        <v>بهترین روش ها برای ضبط صدای با کیفیت بالا برای پادکست شما چیست؟</v>
      </c>
      <c r="H9560" s="1"/>
      <c r="I9560" s="1"/>
      <c r="J9560" s="1"/>
      <c r="K9560" s="1"/>
      <c r="L9560" s="1"/>
      <c r="M9560" s="1"/>
      <c r="N9560" s="1"/>
      <c r="O9560" s="1"/>
      <c r="P9560" s="1"/>
      <c r="Q9560" s="1"/>
      <c r="R9560" s="1"/>
      <c r="S9560" s="1"/>
      <c r="T9560" s="1"/>
      <c r="U9560" s="1"/>
      <c r="V9560" s="1"/>
      <c r="W9560" s="1"/>
      <c r="X9560" s="1"/>
      <c r="Y9560" s="1"/>
      <c r="Z9560" s="1"/>
      <c r="AA9560" s="1"/>
      <c r="AB9560" s="1"/>
    </row>
    <row r="9561" ht="50.25" customHeight="1">
      <c r="A9561" s="12">
        <v>9557.0</v>
      </c>
      <c r="B9561" s="13" t="s">
        <v>8699</v>
      </c>
      <c r="C9561" s="18" t="s">
        <v>9587</v>
      </c>
      <c r="D9561" s="1"/>
      <c r="E9561" s="1"/>
      <c r="F9561" s="1" t="str">
        <f>IFERROR(__xludf.DUMMYFUNCTION("GOOGLETRANSLATE(B9561, ""en"", ""fa"")
"),"موفقیت در پادکست")</f>
        <v>موفقیت در پادکست</v>
      </c>
      <c r="G9561" s="1" t="str">
        <f>IFERROR(__xludf.DUMMYFUNCTION("GOOGLETRANSLATE(C9561, ""en"", ""fa"")
"),"نحوه ویرایش و بهبود قسمت های پادکست با استفاده از نرم افزار ویرایش صدا.")</f>
        <v>نحوه ویرایش و بهبود قسمت های پادکست با استفاده از نرم افزار ویرایش صدا.</v>
      </c>
      <c r="H9561" s="1"/>
      <c r="I9561" s="1"/>
      <c r="J9561" s="1"/>
      <c r="K9561" s="1"/>
      <c r="L9561" s="1"/>
      <c r="M9561" s="1"/>
      <c r="N9561" s="1"/>
      <c r="O9561" s="1"/>
      <c r="P9561" s="1"/>
      <c r="Q9561" s="1"/>
      <c r="R9561" s="1"/>
      <c r="S9561" s="1"/>
      <c r="T9561" s="1"/>
      <c r="U9561" s="1"/>
      <c r="V9561" s="1"/>
      <c r="W9561" s="1"/>
      <c r="X9561" s="1"/>
      <c r="Y9561" s="1"/>
      <c r="Z9561" s="1"/>
      <c r="AA9561" s="1"/>
      <c r="AB9561" s="1"/>
    </row>
    <row r="9562" ht="50.25" customHeight="1">
      <c r="A9562" s="12">
        <v>9558.0</v>
      </c>
      <c r="B9562" s="13" t="s">
        <v>8699</v>
      </c>
      <c r="C9562" s="18" t="s">
        <v>9588</v>
      </c>
      <c r="D9562" s="1"/>
      <c r="E9562" s="1"/>
      <c r="F9562" s="1" t="str">
        <f>IFERROR(__xludf.DUMMYFUNCTION("GOOGLETRANSLATE(B9562, ""en"", ""fa"")
"),"موفقیت در پادکست")</f>
        <v>موفقیت در پادکست</v>
      </c>
      <c r="G9562" s="1" t="str">
        <f>IFERROR(__xludf.DUMMYFUNCTION("GOOGLETRANSLATE(C9562, ""en"", ""fa"")
"),"پلتفرم ها و خدمات میزبانی مختلف برای پادکست ها چیست؟")</f>
        <v>پلتفرم ها و خدمات میزبانی مختلف برای پادکست ها چیست؟</v>
      </c>
      <c r="H9562" s="1"/>
      <c r="I9562" s="1"/>
      <c r="J9562" s="1"/>
      <c r="K9562" s="1"/>
      <c r="L9562" s="1"/>
      <c r="M9562" s="1"/>
      <c r="N9562" s="1"/>
      <c r="O9562" s="1"/>
      <c r="P9562" s="1"/>
      <c r="Q9562" s="1"/>
      <c r="R9562" s="1"/>
      <c r="S9562" s="1"/>
      <c r="T9562" s="1"/>
      <c r="U9562" s="1"/>
      <c r="V9562" s="1"/>
      <c r="W9562" s="1"/>
      <c r="X9562" s="1"/>
      <c r="Y9562" s="1"/>
      <c r="Z9562" s="1"/>
      <c r="AA9562" s="1"/>
      <c r="AB9562" s="1"/>
    </row>
    <row r="9563" ht="50.25" customHeight="1">
      <c r="A9563" s="12">
        <v>9559.0</v>
      </c>
      <c r="B9563" s="13" t="s">
        <v>8699</v>
      </c>
      <c r="C9563" s="18" t="s">
        <v>9589</v>
      </c>
      <c r="D9563" s="1"/>
      <c r="E9563" s="1"/>
      <c r="F9563" s="1" t="str">
        <f>IFERROR(__xludf.DUMMYFUNCTION("GOOGLETRANSLATE(B9563, ""en"", ""fa"")
"),"موفقیت در پادکست")</f>
        <v>موفقیت در پادکست</v>
      </c>
      <c r="G9563" s="1" t="str">
        <f>IFERROR(__xludf.DUMMYFUNCTION("GOOGLETRANSLATE(C9563, ""en"", ""fa"")
"),"چگونه پادکست خود را به دایرکتوری هایی مانند Apple Podcasts، Spotify و Google Podcasts ارسال کنید.")</f>
        <v>چگونه پادکست خود را به دایرکتوری هایی مانند Apple Podcasts، Spotify و Google Podcasts ارسال کنید.</v>
      </c>
      <c r="H9563" s="1"/>
      <c r="I9563" s="1"/>
      <c r="J9563" s="1"/>
      <c r="K9563" s="1"/>
      <c r="L9563" s="1"/>
      <c r="M9563" s="1"/>
      <c r="N9563" s="1"/>
      <c r="O9563" s="1"/>
      <c r="P9563" s="1"/>
      <c r="Q9563" s="1"/>
      <c r="R9563" s="1"/>
      <c r="S9563" s="1"/>
      <c r="T9563" s="1"/>
      <c r="U9563" s="1"/>
      <c r="V9563" s="1"/>
      <c r="W9563" s="1"/>
      <c r="X9563" s="1"/>
      <c r="Y9563" s="1"/>
      <c r="Z9563" s="1"/>
      <c r="AA9563" s="1"/>
      <c r="AB9563" s="1"/>
    </row>
    <row r="9564" ht="50.25" customHeight="1">
      <c r="A9564" s="12">
        <v>9560.0</v>
      </c>
      <c r="B9564" s="13" t="s">
        <v>8699</v>
      </c>
      <c r="C9564" s="18" t="s">
        <v>9590</v>
      </c>
      <c r="D9564" s="1"/>
      <c r="E9564" s="1"/>
      <c r="F9564" s="1" t="str">
        <f>IFERROR(__xludf.DUMMYFUNCTION("GOOGLETRANSLATE(B9564, ""en"", ""fa"")
"),"موفقیت در پادکست")</f>
        <v>موفقیت در پادکست</v>
      </c>
      <c r="G9564" s="1" t="str">
        <f>IFERROR(__xludf.DUMMYFUNCTION("GOOGLETRANSLATE(C9564, ""en"", ""fa"")
"),"راهبردهای ایجاد آثار هنری پادکست و تصاویر جلد از نظر بصری جذاب چیست؟")</f>
        <v>راهبردهای ایجاد آثار هنری پادکست و تصاویر جلد از نظر بصری جذاب چیست؟</v>
      </c>
      <c r="H9564" s="1"/>
      <c r="I9564" s="1"/>
      <c r="J9564" s="1"/>
      <c r="K9564" s="1"/>
      <c r="L9564" s="1"/>
      <c r="M9564" s="1"/>
      <c r="N9564" s="1"/>
      <c r="O9564" s="1"/>
      <c r="P9564" s="1"/>
      <c r="Q9564" s="1"/>
      <c r="R9564" s="1"/>
      <c r="S9564" s="1"/>
      <c r="T9564" s="1"/>
      <c r="U9564" s="1"/>
      <c r="V9564" s="1"/>
      <c r="W9564" s="1"/>
      <c r="X9564" s="1"/>
      <c r="Y9564" s="1"/>
      <c r="Z9564" s="1"/>
      <c r="AA9564" s="1"/>
      <c r="AB9564" s="1"/>
    </row>
    <row r="9565" ht="50.25" customHeight="1">
      <c r="A9565" s="12">
        <v>9561.0</v>
      </c>
      <c r="B9565" s="13" t="s">
        <v>8699</v>
      </c>
      <c r="C9565" s="18" t="s">
        <v>9591</v>
      </c>
      <c r="D9565" s="1"/>
      <c r="E9565" s="1"/>
      <c r="F9565" s="1" t="str">
        <f>IFERROR(__xludf.DUMMYFUNCTION("GOOGLETRANSLATE(B9565, ""en"", ""fa"")
"),"موفقیت در پادکست")</f>
        <v>موفقیت در پادکست</v>
      </c>
      <c r="G9565" s="1" t="str">
        <f>IFERROR(__xludf.DUMMYFUNCTION("GOOGLETRANSLATE(C9565, ""en"", ""fa"")
"),"نحوه نوشتن یادداشت های نمایش پادکست و توضیحات قسمت موثر.")</f>
        <v>نحوه نوشتن یادداشت های نمایش پادکست و توضیحات قسمت موثر.</v>
      </c>
      <c r="H9565" s="1"/>
      <c r="I9565" s="1"/>
      <c r="J9565" s="1"/>
      <c r="K9565" s="1"/>
      <c r="L9565" s="1"/>
      <c r="M9565" s="1"/>
      <c r="N9565" s="1"/>
      <c r="O9565" s="1"/>
      <c r="P9565" s="1"/>
      <c r="Q9565" s="1"/>
      <c r="R9565" s="1"/>
      <c r="S9565" s="1"/>
      <c r="T9565" s="1"/>
      <c r="U9565" s="1"/>
      <c r="V9565" s="1"/>
      <c r="W9565" s="1"/>
      <c r="X9565" s="1"/>
      <c r="Y9565" s="1"/>
      <c r="Z9565" s="1"/>
      <c r="AA9565" s="1"/>
      <c r="AB9565" s="1"/>
    </row>
    <row r="9566" ht="50.25" customHeight="1">
      <c r="A9566" s="12">
        <v>9562.0</v>
      </c>
      <c r="B9566" s="13" t="s">
        <v>8699</v>
      </c>
      <c r="C9566" s="18" t="s">
        <v>9592</v>
      </c>
      <c r="D9566" s="1"/>
      <c r="E9566" s="1"/>
      <c r="F9566" s="1" t="str">
        <f>IFERROR(__xludf.DUMMYFUNCTION("GOOGLETRANSLATE(B9566, ""en"", ""fa"")
"),"موفقیت در پادکست")</f>
        <v>موفقیت در پادکست</v>
      </c>
      <c r="G9566" s="1" t="str">
        <f>IFERROR(__xludf.DUMMYFUNCTION("GOOGLETRANSLATE(C9566, ""en"", ""fa"")
"),"عناصر ضروری برای گنجاندن در وب سایت پادکست یا صفحه فرود چیست؟")</f>
        <v>عناصر ضروری برای گنجاندن در وب سایت پادکست یا صفحه فرود چیست؟</v>
      </c>
      <c r="H9566" s="1"/>
      <c r="I9566" s="1"/>
      <c r="J9566" s="1"/>
      <c r="K9566" s="1"/>
      <c r="L9566" s="1"/>
      <c r="M9566" s="1"/>
      <c r="N9566" s="1"/>
      <c r="O9566" s="1"/>
      <c r="P9566" s="1"/>
      <c r="Q9566" s="1"/>
      <c r="R9566" s="1"/>
      <c r="S9566" s="1"/>
      <c r="T9566" s="1"/>
      <c r="U9566" s="1"/>
      <c r="V9566" s="1"/>
      <c r="W9566" s="1"/>
      <c r="X9566" s="1"/>
      <c r="Y9566" s="1"/>
      <c r="Z9566" s="1"/>
      <c r="AA9566" s="1"/>
      <c r="AB9566" s="1"/>
    </row>
    <row r="9567" ht="50.25" customHeight="1">
      <c r="A9567" s="12">
        <v>9563.0</v>
      </c>
      <c r="B9567" s="13" t="s">
        <v>8699</v>
      </c>
      <c r="C9567" s="18" t="s">
        <v>9593</v>
      </c>
      <c r="D9567" s="1"/>
      <c r="E9567" s="1"/>
      <c r="F9567" s="1" t="str">
        <f>IFERROR(__xludf.DUMMYFUNCTION("GOOGLETRANSLATE(B9567, ""en"", ""fa"")
"),"موفقیت در پادکست")</f>
        <v>موفقیت در پادکست</v>
      </c>
      <c r="G9567" s="1" t="str">
        <f>IFERROR(__xludf.DUMMYFUNCTION("GOOGLETRANSLATE(C9567, ""en"", ""fa"")
"),"چگونه قسمت های پادکست خود را برای موتورهای جستجو و قابلیت کشف بهینه کنیم.")</f>
        <v>چگونه قسمت های پادکست خود را برای موتورهای جستجو و قابلیت کشف بهینه کنیم.</v>
      </c>
      <c r="H9567" s="1"/>
      <c r="I9567" s="1"/>
      <c r="J9567" s="1"/>
      <c r="K9567" s="1"/>
      <c r="L9567" s="1"/>
      <c r="M9567" s="1"/>
      <c r="N9567" s="1"/>
      <c r="O9567" s="1"/>
      <c r="P9567" s="1"/>
      <c r="Q9567" s="1"/>
      <c r="R9567" s="1"/>
      <c r="S9567" s="1"/>
      <c r="T9567" s="1"/>
      <c r="U9567" s="1"/>
      <c r="V9567" s="1"/>
      <c r="W9567" s="1"/>
      <c r="X9567" s="1"/>
      <c r="Y9567" s="1"/>
      <c r="Z9567" s="1"/>
      <c r="AA9567" s="1"/>
      <c r="AB9567" s="1"/>
    </row>
    <row r="9568" ht="50.25" customHeight="1">
      <c r="A9568" s="12">
        <v>9564.0</v>
      </c>
      <c r="B9568" s="13" t="s">
        <v>8699</v>
      </c>
      <c r="C9568" s="18" t="s">
        <v>9594</v>
      </c>
      <c r="D9568" s="1"/>
      <c r="E9568" s="1"/>
      <c r="F9568" s="1" t="str">
        <f>IFERROR(__xludf.DUMMYFUNCTION("GOOGLETRANSLATE(B9568, ""en"", ""fa"")
"),"موفقیت در پادکست")</f>
        <v>موفقیت در پادکست</v>
      </c>
      <c r="G9568" s="1" t="str">
        <f>IFERROR(__xludf.DUMMYFUNCTION("GOOGLETRANSLATE(C9568, ""en"", ""fa"")
"),"بهترین روش ها برای نام گذاری پادکست و انتخاب عنوان قسمت ها چیست؟")</f>
        <v>بهترین روش ها برای نام گذاری پادکست و انتخاب عنوان قسمت ها چیست؟</v>
      </c>
      <c r="H9568" s="1"/>
      <c r="I9568" s="1"/>
      <c r="J9568" s="1"/>
      <c r="K9568" s="1"/>
      <c r="L9568" s="1"/>
      <c r="M9568" s="1"/>
      <c r="N9568" s="1"/>
      <c r="O9568" s="1"/>
      <c r="P9568" s="1"/>
      <c r="Q9568" s="1"/>
      <c r="R9568" s="1"/>
      <c r="S9568" s="1"/>
      <c r="T9568" s="1"/>
      <c r="U9568" s="1"/>
      <c r="V9568" s="1"/>
      <c r="W9568" s="1"/>
      <c r="X9568" s="1"/>
      <c r="Y9568" s="1"/>
      <c r="Z9568" s="1"/>
      <c r="AA9568" s="1"/>
      <c r="AB9568" s="1"/>
    </row>
    <row r="9569" ht="50.25" customHeight="1">
      <c r="A9569" s="12">
        <v>9565.0</v>
      </c>
      <c r="B9569" s="13" t="s">
        <v>8699</v>
      </c>
      <c r="C9569" s="18" t="s">
        <v>9595</v>
      </c>
      <c r="D9569" s="1"/>
      <c r="E9569" s="1"/>
      <c r="F9569" s="1" t="str">
        <f>IFERROR(__xludf.DUMMYFUNCTION("GOOGLETRANSLATE(B9569, ""en"", ""fa"")
"),"موفقیت در پادکست")</f>
        <v>موفقیت در پادکست</v>
      </c>
      <c r="G9569" s="1" t="str">
        <f>IFERROR(__xludf.DUMMYFUNCTION("GOOGLETRANSLATE(C9569, ""en"", ""fa"")
"),"چگونه یک برنامه تولید پادکست ایجاد کنید و با نسخه های منتشر شده خود سازگار باشید.")</f>
        <v>چگونه یک برنامه تولید پادکست ایجاد کنید و با نسخه های منتشر شده خود سازگار باشید.</v>
      </c>
      <c r="H9569" s="1"/>
      <c r="I9569" s="1"/>
      <c r="J9569" s="1"/>
      <c r="K9569" s="1"/>
      <c r="L9569" s="1"/>
      <c r="M9569" s="1"/>
      <c r="N9569" s="1"/>
      <c r="O9569" s="1"/>
      <c r="P9569" s="1"/>
      <c r="Q9569" s="1"/>
      <c r="R9569" s="1"/>
      <c r="S9569" s="1"/>
      <c r="T9569" s="1"/>
      <c r="U9569" s="1"/>
      <c r="V9569" s="1"/>
      <c r="W9569" s="1"/>
      <c r="X9569" s="1"/>
      <c r="Y9569" s="1"/>
      <c r="Z9569" s="1"/>
      <c r="AA9569" s="1"/>
      <c r="AB9569" s="1"/>
    </row>
    <row r="9570" ht="50.25" customHeight="1">
      <c r="A9570" s="12">
        <v>9566.0</v>
      </c>
      <c r="B9570" s="13" t="s">
        <v>8699</v>
      </c>
      <c r="C9570" s="18" t="s">
        <v>9596</v>
      </c>
      <c r="D9570" s="1"/>
      <c r="E9570" s="1"/>
      <c r="F9570" s="1" t="str">
        <f>IFERROR(__xludf.DUMMYFUNCTION("GOOGLETRANSLATE(B9570, ""en"", ""fa"")
"),"موفقیت در پادکست")</f>
        <v>موفقیت در پادکست</v>
      </c>
      <c r="G9570" s="1" t="str">
        <f>IFERROR(__xludf.DUMMYFUNCTION("GOOGLETRANSLATE(C9570, ""en"", ""fa"")
"),"ملاحظات قانونی و دستورالعمل های حق چاپ برای پادکست ها چیست؟")</f>
        <v>ملاحظات قانونی و دستورالعمل های حق چاپ برای پادکست ها چیست؟</v>
      </c>
      <c r="H9570" s="1"/>
      <c r="I9570" s="1"/>
      <c r="J9570" s="1"/>
      <c r="K9570" s="1"/>
      <c r="L9570" s="1"/>
      <c r="M9570" s="1"/>
      <c r="N9570" s="1"/>
      <c r="O9570" s="1"/>
      <c r="P9570" s="1"/>
      <c r="Q9570" s="1"/>
      <c r="R9570" s="1"/>
      <c r="S9570" s="1"/>
      <c r="T9570" s="1"/>
      <c r="U9570" s="1"/>
      <c r="V9570" s="1"/>
      <c r="W9570" s="1"/>
      <c r="X9570" s="1"/>
      <c r="Y9570" s="1"/>
      <c r="Z9570" s="1"/>
      <c r="AA9570" s="1"/>
      <c r="AB9570" s="1"/>
    </row>
    <row r="9571" ht="50.25" customHeight="1">
      <c r="A9571" s="12">
        <v>9567.0</v>
      </c>
      <c r="B9571" s="13" t="s">
        <v>8699</v>
      </c>
      <c r="C9571" s="18" t="s">
        <v>9597</v>
      </c>
      <c r="D9571" s="1"/>
      <c r="E9571" s="1"/>
      <c r="F9571" s="1" t="str">
        <f>IFERROR(__xludf.DUMMYFUNCTION("GOOGLETRANSLATE(B9571, ""en"", ""fa"")
"),"موفقیت در پادکست")</f>
        <v>موفقیت در پادکست</v>
      </c>
      <c r="G9571" s="1" t="str">
        <f>IFERROR(__xludf.DUMMYFUNCTION("GOOGLETRANSLATE(C9571, ""en"", ""fa"")
"),"چگونه پادکست خود را در پلتفرم های رسانه های اجتماعی تبلیغ کنید و با مخاطبان خود درگیر شوید.")</f>
        <v>چگونه پادکست خود را در پلتفرم های رسانه های اجتماعی تبلیغ کنید و با مخاطبان خود درگیر شوید.</v>
      </c>
      <c r="H9571" s="1"/>
      <c r="I9571" s="1"/>
      <c r="J9571" s="1"/>
      <c r="K9571" s="1"/>
      <c r="L9571" s="1"/>
      <c r="M9571" s="1"/>
      <c r="N9571" s="1"/>
      <c r="O9571" s="1"/>
      <c r="P9571" s="1"/>
      <c r="Q9571" s="1"/>
      <c r="R9571" s="1"/>
      <c r="S9571" s="1"/>
      <c r="T9571" s="1"/>
      <c r="U9571" s="1"/>
      <c r="V9571" s="1"/>
      <c r="W9571" s="1"/>
      <c r="X9571" s="1"/>
      <c r="Y9571" s="1"/>
      <c r="Z9571" s="1"/>
      <c r="AA9571" s="1"/>
      <c r="AB9571" s="1"/>
    </row>
    <row r="9572" ht="50.25" customHeight="1">
      <c r="A9572" s="12">
        <v>9568.0</v>
      </c>
      <c r="B9572" s="13" t="s">
        <v>8699</v>
      </c>
      <c r="C9572" s="18" t="s">
        <v>9598</v>
      </c>
      <c r="D9572" s="1"/>
      <c r="E9572" s="1"/>
      <c r="F9572" s="1" t="str">
        <f>IFERROR(__xludf.DUMMYFUNCTION("GOOGLETRANSLATE(B9572, ""en"", ""fa"")
"),"موفقیت در پادکست")</f>
        <v>موفقیت در پادکست</v>
      </c>
      <c r="G9572" s="1" t="str">
        <f>IFERROR(__xludf.DUMMYFUNCTION("GOOGLETRANSLATE(C9572, ""en"", ""fa"")
"),"چه راهکارهایی برای جلب توجه اولیه و جذب اولین شنوندگان شما وجود دارد؟")</f>
        <v>چه راهکارهایی برای جلب توجه اولیه و جذب اولین شنوندگان شما وجود دارد؟</v>
      </c>
      <c r="H9572" s="1"/>
      <c r="I9572" s="1"/>
      <c r="J9572" s="1"/>
      <c r="K9572" s="1"/>
      <c r="L9572" s="1"/>
      <c r="M9572" s="1"/>
      <c r="N9572" s="1"/>
      <c r="O9572" s="1"/>
      <c r="P9572" s="1"/>
      <c r="Q9572" s="1"/>
      <c r="R9572" s="1"/>
      <c r="S9572" s="1"/>
      <c r="T9572" s="1"/>
      <c r="U9572" s="1"/>
      <c r="V9572" s="1"/>
      <c r="W9572" s="1"/>
      <c r="X9572" s="1"/>
      <c r="Y9572" s="1"/>
      <c r="Z9572" s="1"/>
      <c r="AA9572" s="1"/>
      <c r="AB9572" s="1"/>
    </row>
    <row r="9573" ht="50.25" customHeight="1">
      <c r="A9573" s="12">
        <v>9569.0</v>
      </c>
      <c r="B9573" s="13" t="s">
        <v>8699</v>
      </c>
      <c r="C9573" s="18" t="s">
        <v>9599</v>
      </c>
      <c r="D9573" s="1"/>
      <c r="E9573" s="1"/>
      <c r="F9573" s="1" t="str">
        <f>IFERROR(__xludf.DUMMYFUNCTION("GOOGLETRANSLATE(B9573, ""en"", ""fa"")
"),"موفقیت در پادکست")</f>
        <v>موفقیت در پادکست</v>
      </c>
      <c r="G9573" s="1" t="str">
        <f>IFERROR(__xludf.DUMMYFUNCTION("GOOGLETRANSLATE(C9573, ""en"", ""fa"")
"),"چگونه از مصاحبه های مهمان برای افزودن تنوع و عمق به قسمت های پادکست خود استفاده کنید.")</f>
        <v>چگونه از مصاحبه های مهمان برای افزودن تنوع و عمق به قسمت های پادکست خود استفاده کنید.</v>
      </c>
      <c r="H9573" s="1"/>
      <c r="I9573" s="1"/>
      <c r="J9573" s="1"/>
      <c r="K9573" s="1"/>
      <c r="L9573" s="1"/>
      <c r="M9573" s="1"/>
      <c r="N9573" s="1"/>
      <c r="O9573" s="1"/>
      <c r="P9573" s="1"/>
      <c r="Q9573" s="1"/>
      <c r="R9573" s="1"/>
      <c r="S9573" s="1"/>
      <c r="T9573" s="1"/>
      <c r="U9573" s="1"/>
      <c r="V9573" s="1"/>
      <c r="W9573" s="1"/>
      <c r="X9573" s="1"/>
      <c r="Y9573" s="1"/>
      <c r="Z9573" s="1"/>
      <c r="AA9573" s="1"/>
      <c r="AB9573" s="1"/>
    </row>
    <row r="9574" ht="50.25" customHeight="1">
      <c r="A9574" s="12">
        <v>9570.0</v>
      </c>
      <c r="B9574" s="13" t="s">
        <v>8699</v>
      </c>
      <c r="C9574" s="18" t="s">
        <v>9600</v>
      </c>
      <c r="D9574" s="1"/>
      <c r="E9574" s="1"/>
      <c r="F9574" s="1" t="str">
        <f>IFERROR(__xludf.DUMMYFUNCTION("GOOGLETRANSLATE(B9574, ""en"", ""fa"")
"),"موفقیت در پادکست")</f>
        <v>موفقیت در پادکست</v>
      </c>
      <c r="G9574" s="1" t="str">
        <f>IFERROR(__xludf.DUMMYFUNCTION("GOOGLETRANSLATE(C9574, ""en"", ""fa"")
"),"تکنیک های تعامل و تعامل با مخاطبان پادکست شما چیست؟")</f>
        <v>تکنیک های تعامل و تعامل با مخاطبان پادکست شما چیست؟</v>
      </c>
      <c r="H9574" s="1"/>
      <c r="I9574" s="1"/>
      <c r="J9574" s="1"/>
      <c r="K9574" s="1"/>
      <c r="L9574" s="1"/>
      <c r="M9574" s="1"/>
      <c r="N9574" s="1"/>
      <c r="O9574" s="1"/>
      <c r="P9574" s="1"/>
      <c r="Q9574" s="1"/>
      <c r="R9574" s="1"/>
      <c r="S9574" s="1"/>
      <c r="T9574" s="1"/>
      <c r="U9574" s="1"/>
      <c r="V9574" s="1"/>
      <c r="W9574" s="1"/>
      <c r="X9574" s="1"/>
      <c r="Y9574" s="1"/>
      <c r="Z9574" s="1"/>
      <c r="AA9574" s="1"/>
      <c r="AB9574" s="1"/>
    </row>
    <row r="9575" ht="50.25" customHeight="1">
      <c r="A9575" s="12">
        <v>9571.0</v>
      </c>
      <c r="B9575" s="13" t="s">
        <v>8699</v>
      </c>
      <c r="C9575" s="18" t="s">
        <v>9601</v>
      </c>
      <c r="D9575" s="1"/>
      <c r="E9575" s="1"/>
      <c r="F9575" s="1" t="str">
        <f>IFERROR(__xludf.DUMMYFUNCTION("GOOGLETRANSLATE(B9575, ""en"", ""fa"")
"),"موفقیت در پادکست")</f>
        <v>موفقیت در پادکست</v>
      </c>
      <c r="G9575" s="1" t="str">
        <f>IFERROR(__xludf.DUMMYFUNCTION("GOOGLETRANSLATE(C9575, ""en"", ""fa"")
"),"چگونه از پادکست خود از طریق حمایت مالی، تبلیغات یا تامین مالی جمعی درآمد کسب کنید.")</f>
        <v>چگونه از پادکست خود از طریق حمایت مالی، تبلیغات یا تامین مالی جمعی درآمد کسب کنید.</v>
      </c>
      <c r="H9575" s="1"/>
      <c r="I9575" s="1"/>
      <c r="J9575" s="1"/>
      <c r="K9575" s="1"/>
      <c r="L9575" s="1"/>
      <c r="M9575" s="1"/>
      <c r="N9575" s="1"/>
      <c r="O9575" s="1"/>
      <c r="P9575" s="1"/>
      <c r="Q9575" s="1"/>
      <c r="R9575" s="1"/>
      <c r="S9575" s="1"/>
      <c r="T9575" s="1"/>
      <c r="U9575" s="1"/>
      <c r="V9575" s="1"/>
      <c r="W9575" s="1"/>
      <c r="X9575" s="1"/>
      <c r="Y9575" s="1"/>
      <c r="Z9575" s="1"/>
      <c r="AA9575" s="1"/>
      <c r="AB9575" s="1"/>
    </row>
    <row r="9576" ht="50.25" customHeight="1">
      <c r="A9576" s="12">
        <v>9572.0</v>
      </c>
      <c r="B9576" s="13" t="s">
        <v>8699</v>
      </c>
      <c r="C9576" s="18" t="s">
        <v>9602</v>
      </c>
      <c r="D9576" s="1"/>
      <c r="E9576" s="1"/>
      <c r="F9576" s="1" t="str">
        <f>IFERROR(__xludf.DUMMYFUNCTION("GOOGLETRANSLATE(B9576, ""en"", ""fa"")
"),"موفقیت در پادکست")</f>
        <v>موفقیت در پادکست</v>
      </c>
      <c r="G9576" s="1" t="str">
        <f>IFERROR(__xludf.DUMMYFUNCTION("GOOGLETRANSLATE(C9576, ""en"", ""fa"")
"),"معیارها و تجزیه و تحلیل برای سنجش موفقیت پادکست شما چیست.")</f>
        <v>معیارها و تجزیه و تحلیل برای سنجش موفقیت پادکست شما چیست.</v>
      </c>
      <c r="H9576" s="1"/>
      <c r="I9576" s="1"/>
      <c r="J9576" s="1"/>
      <c r="K9576" s="1"/>
      <c r="L9576" s="1"/>
      <c r="M9576" s="1"/>
      <c r="N9576" s="1"/>
      <c r="O9576" s="1"/>
      <c r="P9576" s="1"/>
      <c r="Q9576" s="1"/>
      <c r="R9576" s="1"/>
      <c r="S9576" s="1"/>
      <c r="T9576" s="1"/>
      <c r="U9576" s="1"/>
      <c r="V9576" s="1"/>
      <c r="W9576" s="1"/>
      <c r="X9576" s="1"/>
      <c r="Y9576" s="1"/>
      <c r="Z9576" s="1"/>
      <c r="AA9576" s="1"/>
      <c r="AB9576" s="1"/>
    </row>
    <row r="9577" ht="50.25" customHeight="1">
      <c r="A9577" s="12">
        <v>9573.0</v>
      </c>
      <c r="B9577" s="13" t="s">
        <v>8699</v>
      </c>
      <c r="C9577" s="18" t="s">
        <v>9603</v>
      </c>
      <c r="D9577" s="1"/>
      <c r="E9577" s="1"/>
      <c r="F9577" s="1" t="str">
        <f>IFERROR(__xludf.DUMMYFUNCTION("GOOGLETRANSLATE(B9577, ""en"", ""fa"")
"),"موفقیت در پادکست")</f>
        <v>موفقیت در پادکست</v>
      </c>
      <c r="G9577" s="1" t="str">
        <f>IFERROR(__xludf.DUMMYFUNCTION("GOOGLETRANSLATE(C9577, ""en"", ""fa"")
"),"چگونه می توان از تبلیغات متقابل و همکاری با سایر پادکست ها استفاده کرد.")</f>
        <v>چگونه می توان از تبلیغات متقابل و همکاری با سایر پادکست ها استفاده کرد.</v>
      </c>
      <c r="H9577" s="1"/>
      <c r="I9577" s="1"/>
      <c r="J9577" s="1"/>
      <c r="K9577" s="1"/>
      <c r="L9577" s="1"/>
      <c r="M9577" s="1"/>
      <c r="N9577" s="1"/>
      <c r="O9577" s="1"/>
      <c r="P9577" s="1"/>
      <c r="Q9577" s="1"/>
      <c r="R9577" s="1"/>
      <c r="S9577" s="1"/>
      <c r="T9577" s="1"/>
      <c r="U9577" s="1"/>
      <c r="V9577" s="1"/>
      <c r="W9577" s="1"/>
      <c r="X9577" s="1"/>
      <c r="Y9577" s="1"/>
      <c r="Z9577" s="1"/>
      <c r="AA9577" s="1"/>
      <c r="AB9577" s="1"/>
    </row>
    <row r="9578" ht="50.25" customHeight="1">
      <c r="A9578" s="12">
        <v>9574.0</v>
      </c>
      <c r="B9578" s="13" t="s">
        <v>9604</v>
      </c>
      <c r="C9578" s="14" t="s">
        <v>9605</v>
      </c>
      <c r="D9578" s="1"/>
      <c r="E9578" s="1"/>
      <c r="F9578" s="1" t="str">
        <f>IFERROR(__xludf.DUMMYFUNCTION("GOOGLETRANSLATE(B9578, ""en"", ""fa"")
"),"موفقیت Etsy")</f>
        <v>موفقیت Etsy</v>
      </c>
      <c r="G9578" s="1" t="str">
        <f>IFERROR(__xludf.DUMMYFUNCTION("GOOGLETRANSLATE(C9578, ""en"", ""fa"")
"),"چند استراتژی برای قرار دادن محصولات من به عنوان منحصر به فرد در یک جایگاه رقابتی در Etsy چیست؟")</f>
        <v>چند استراتژی برای قرار دادن محصولات من به عنوان منحصر به فرد در یک جایگاه رقابتی در Etsy چیست؟</v>
      </c>
      <c r="H9578" s="1"/>
      <c r="I9578" s="1"/>
      <c r="J9578" s="1"/>
      <c r="K9578" s="1"/>
      <c r="L9578" s="1"/>
      <c r="M9578" s="1"/>
      <c r="N9578" s="1"/>
      <c r="O9578" s="1"/>
      <c r="P9578" s="1"/>
      <c r="Q9578" s="1"/>
      <c r="R9578" s="1"/>
      <c r="S9578" s="1"/>
      <c r="T9578" s="1"/>
      <c r="U9578" s="1"/>
      <c r="V9578" s="1"/>
      <c r="W9578" s="1"/>
      <c r="X9578" s="1"/>
      <c r="Y9578" s="1"/>
      <c r="Z9578" s="1"/>
      <c r="AA9578" s="1"/>
      <c r="AB9578" s="1"/>
    </row>
    <row r="9579" ht="50.25" customHeight="1">
      <c r="A9579" s="12">
        <v>9575.0</v>
      </c>
      <c r="B9579" s="13" t="s">
        <v>9604</v>
      </c>
      <c r="C9579" s="14" t="s">
        <v>9606</v>
      </c>
      <c r="D9579" s="1"/>
      <c r="E9579" s="1"/>
      <c r="F9579" s="1" t="str">
        <f>IFERROR(__xludf.DUMMYFUNCTION("GOOGLETRANSLATE(B9579, ""en"", ""fa"")
"),"موفقیت Etsy")</f>
        <v>موفقیت Etsy</v>
      </c>
      <c r="G9579" s="1" t="str">
        <f>IFERROR(__xludf.DUMMYFUNCTION("GOOGLETRANSLATE(C9579, ""en"", ""fa"")
"),"چگونه می توانم از بازخوردها و نظرات مشتریان برای اصلاح بخش انتخابی خود در Etsy استفاده کنم؟")</f>
        <v>چگونه می توانم از بازخوردها و نظرات مشتریان برای اصلاح بخش انتخابی خود در Etsy استفاده کنم؟</v>
      </c>
      <c r="H9579" s="1"/>
      <c r="I9579" s="1"/>
      <c r="J9579" s="1"/>
      <c r="K9579" s="1"/>
      <c r="L9579" s="1"/>
      <c r="M9579" s="1"/>
      <c r="N9579" s="1"/>
      <c r="O9579" s="1"/>
      <c r="P9579" s="1"/>
      <c r="Q9579" s="1"/>
      <c r="R9579" s="1"/>
      <c r="S9579" s="1"/>
      <c r="T9579" s="1"/>
      <c r="U9579" s="1"/>
      <c r="V9579" s="1"/>
      <c r="W9579" s="1"/>
      <c r="X9579" s="1"/>
      <c r="Y9579" s="1"/>
      <c r="Z9579" s="1"/>
      <c r="AA9579" s="1"/>
      <c r="AB9579" s="1"/>
    </row>
    <row r="9580" ht="50.25" customHeight="1">
      <c r="A9580" s="12">
        <v>9576.0</v>
      </c>
      <c r="B9580" s="13" t="s">
        <v>9604</v>
      </c>
      <c r="C9580" s="14" t="s">
        <v>9607</v>
      </c>
      <c r="D9580" s="1"/>
      <c r="E9580" s="1"/>
      <c r="F9580" s="1" t="str">
        <f>IFERROR(__xludf.DUMMYFUNCTION("GOOGLETRANSLATE(B9580, ""en"", ""fa"")
"),"موفقیت Etsy")</f>
        <v>موفقیت Etsy</v>
      </c>
      <c r="G9580" s="1" t="str">
        <f>IFERROR(__xludf.DUMMYFUNCTION("GOOGLETRANSLATE(C9580, ""en"", ""fa"")
"),"آیا بازارهای بین المللی یا جایگاه های دست نخورده ای در Etsy وجود دارد که باید آنها را کشف کنم؟")</f>
        <v>آیا بازارهای بین المللی یا جایگاه های دست نخورده ای در Etsy وجود دارد که باید آنها را کشف کنم؟</v>
      </c>
      <c r="H9580" s="1"/>
      <c r="I9580" s="1"/>
      <c r="J9580" s="1"/>
      <c r="K9580" s="1"/>
      <c r="L9580" s="1"/>
      <c r="M9580" s="1"/>
      <c r="N9580" s="1"/>
      <c r="O9580" s="1"/>
      <c r="P9580" s="1"/>
      <c r="Q9580" s="1"/>
      <c r="R9580" s="1"/>
      <c r="S9580" s="1"/>
      <c r="T9580" s="1"/>
      <c r="U9580" s="1"/>
      <c r="V9580" s="1"/>
      <c r="W9580" s="1"/>
      <c r="X9580" s="1"/>
      <c r="Y9580" s="1"/>
      <c r="Z9580" s="1"/>
      <c r="AA9580" s="1"/>
      <c r="AB9580" s="1"/>
    </row>
    <row r="9581" ht="50.25" customHeight="1">
      <c r="A9581" s="12">
        <v>9577.0</v>
      </c>
      <c r="B9581" s="13" t="s">
        <v>9604</v>
      </c>
      <c r="C9581" s="14" t="s">
        <v>9608</v>
      </c>
      <c r="D9581" s="1"/>
      <c r="E9581" s="1"/>
      <c r="F9581" s="1" t="str">
        <f>IFERROR(__xludf.DUMMYFUNCTION("GOOGLETRANSLATE(B9581, ""en"", ""fa"")
"),"موفقیت Etsy")</f>
        <v>موفقیت Etsy</v>
      </c>
      <c r="G9581" s="1" t="str">
        <f>IFERROR(__xludf.DUMMYFUNCTION("GOOGLETRANSLATE(C9581, ""en"", ""fa"")
"),"چگونه می توانم در مورد سودآوری و سطح رقابت کلمات کلیدی خاص در Etsy تحقیق کنم؟")</f>
        <v>چگونه می توانم در مورد سودآوری و سطح رقابت کلمات کلیدی خاص در Etsy تحقیق کنم؟</v>
      </c>
      <c r="H9581" s="1"/>
      <c r="I9581" s="1"/>
      <c r="J9581" s="1"/>
      <c r="K9581" s="1"/>
      <c r="L9581" s="1"/>
      <c r="M9581" s="1"/>
      <c r="N9581" s="1"/>
      <c r="O9581" s="1"/>
      <c r="P9581" s="1"/>
      <c r="Q9581" s="1"/>
      <c r="R9581" s="1"/>
      <c r="S9581" s="1"/>
      <c r="T9581" s="1"/>
      <c r="U9581" s="1"/>
      <c r="V9581" s="1"/>
      <c r="W9581" s="1"/>
      <c r="X9581" s="1"/>
      <c r="Y9581" s="1"/>
      <c r="Z9581" s="1"/>
      <c r="AA9581" s="1"/>
      <c r="AB9581" s="1"/>
    </row>
    <row r="9582" ht="50.25" customHeight="1">
      <c r="A9582" s="12">
        <v>9578.0</v>
      </c>
      <c r="B9582" s="13" t="s">
        <v>9604</v>
      </c>
      <c r="C9582" s="14" t="s">
        <v>9609</v>
      </c>
      <c r="D9582" s="1"/>
      <c r="E9582" s="1"/>
      <c r="F9582" s="1" t="str">
        <f>IFERROR(__xludf.DUMMYFUNCTION("GOOGLETRANSLATE(B9582, ""en"", ""fa"")
"),"موفقیت Etsy")</f>
        <v>موفقیت Etsy</v>
      </c>
      <c r="G9582" s="1" t="str">
        <f>IFERROR(__xludf.DUMMYFUNCTION("GOOGLETRANSLATE(C9582, ""en"", ""fa"")
"),"چند روش موثر برای انجام نظرسنجی یا جمع آوری بینش مشتری در یک جایگاه خاص در Etsy چیست؟")</f>
        <v>چند روش موثر برای انجام نظرسنجی یا جمع آوری بینش مشتری در یک جایگاه خاص در Etsy چیست؟</v>
      </c>
      <c r="H9582" s="1"/>
      <c r="I9582" s="1"/>
      <c r="J9582" s="1"/>
      <c r="K9582" s="1"/>
      <c r="L9582" s="1"/>
      <c r="M9582" s="1"/>
      <c r="N9582" s="1"/>
      <c r="O9582" s="1"/>
      <c r="P9582" s="1"/>
      <c r="Q9582" s="1"/>
      <c r="R9582" s="1"/>
      <c r="S9582" s="1"/>
      <c r="T9582" s="1"/>
      <c r="U9582" s="1"/>
      <c r="V9582" s="1"/>
      <c r="W9582" s="1"/>
      <c r="X9582" s="1"/>
      <c r="Y9582" s="1"/>
      <c r="Z9582" s="1"/>
      <c r="AA9582" s="1"/>
      <c r="AB9582" s="1"/>
    </row>
    <row r="9583" ht="50.25" customHeight="1">
      <c r="A9583" s="12">
        <v>9579.0</v>
      </c>
      <c r="B9583" s="13" t="s">
        <v>9604</v>
      </c>
      <c r="C9583" s="14" t="s">
        <v>9610</v>
      </c>
      <c r="D9583" s="1"/>
      <c r="E9583" s="1"/>
      <c r="F9583" s="1" t="str">
        <f>IFERROR(__xludf.DUMMYFUNCTION("GOOGLETRANSLATE(B9583, ""en"", ""fa"")
"),"موفقیت Etsy")</f>
        <v>موفقیت Etsy</v>
      </c>
      <c r="G9583" s="1" t="str">
        <f>IFERROR(__xludf.DUMMYFUNCTION("GOOGLETRANSLATE(C9583, ""en"", ""fa"")
"),"چگونه می توانم استراتژی های قیمت گذاری رقبا را در یک جایگاه در Etsy شناسایی و ارزیابی کنم؟")</f>
        <v>چگونه می توانم استراتژی های قیمت گذاری رقبا را در یک جایگاه در Etsy شناسایی و ارزیابی کنم؟</v>
      </c>
      <c r="H9583" s="1"/>
      <c r="I9583" s="1"/>
      <c r="J9583" s="1"/>
      <c r="K9583" s="1"/>
      <c r="L9583" s="1"/>
      <c r="M9583" s="1"/>
      <c r="N9583" s="1"/>
      <c r="O9583" s="1"/>
      <c r="P9583" s="1"/>
      <c r="Q9583" s="1"/>
      <c r="R9583" s="1"/>
      <c r="S9583" s="1"/>
      <c r="T9583" s="1"/>
      <c r="U9583" s="1"/>
      <c r="V9583" s="1"/>
      <c r="W9583" s="1"/>
      <c r="X9583" s="1"/>
      <c r="Y9583" s="1"/>
      <c r="Z9583" s="1"/>
      <c r="AA9583" s="1"/>
      <c r="AB9583" s="1"/>
    </row>
    <row r="9584" ht="50.25" customHeight="1">
      <c r="A9584" s="12">
        <v>9580.0</v>
      </c>
      <c r="B9584" s="13" t="s">
        <v>9604</v>
      </c>
      <c r="C9584" s="14" t="s">
        <v>9611</v>
      </c>
      <c r="D9584" s="1"/>
      <c r="E9584" s="1"/>
      <c r="F9584" s="1" t="str">
        <f>IFERROR(__xludf.DUMMYFUNCTION("GOOGLETRANSLATE(B9584, ""en"", ""fa"")
"),"موفقیت Etsy")</f>
        <v>موفقیت Etsy</v>
      </c>
      <c r="G9584" s="1" t="str">
        <f>IFERROR(__xludf.DUMMYFUNCTION("GOOGLETRANSLATE(C9584, ""en"", ""fa"")
"),"برخی از روندهای صنعتی خاص یا اخباری که می تواند بر تجارت Etsy من تأثیر بگذارد چیست؟")</f>
        <v>برخی از روندهای صنعتی خاص یا اخباری که می تواند بر تجارت Etsy من تأثیر بگذارد چیست؟</v>
      </c>
      <c r="H9584" s="1"/>
      <c r="I9584" s="1"/>
      <c r="J9584" s="1"/>
      <c r="K9584" s="1"/>
      <c r="L9584" s="1"/>
      <c r="M9584" s="1"/>
      <c r="N9584" s="1"/>
      <c r="O9584" s="1"/>
      <c r="P9584" s="1"/>
      <c r="Q9584" s="1"/>
      <c r="R9584" s="1"/>
      <c r="S9584" s="1"/>
      <c r="T9584" s="1"/>
      <c r="U9584" s="1"/>
      <c r="V9584" s="1"/>
      <c r="W9584" s="1"/>
      <c r="X9584" s="1"/>
      <c r="Y9584" s="1"/>
      <c r="Z9584" s="1"/>
      <c r="AA9584" s="1"/>
      <c r="AB9584" s="1"/>
    </row>
    <row r="9585" ht="50.25" customHeight="1">
      <c r="A9585" s="12">
        <v>9581.0</v>
      </c>
      <c r="B9585" s="13" t="s">
        <v>9604</v>
      </c>
      <c r="C9585" s="14" t="s">
        <v>9612</v>
      </c>
      <c r="D9585" s="1"/>
      <c r="E9585" s="1"/>
      <c r="F9585" s="1" t="str">
        <f>IFERROR(__xludf.DUMMYFUNCTION("GOOGLETRANSLATE(B9585, ""en"", ""fa"")
"),"موفقیت Etsy")</f>
        <v>موفقیت Etsy</v>
      </c>
      <c r="G9585" s="1" t="str">
        <f>IFERROR(__xludf.DUMMYFUNCTION("GOOGLETRANSLATE(C9585, ""en"", ""fa"")
"),"چگونه می توانم محصولات خود را بر اساس کیفیت، طراحی یا عملکرد در یک جایگاه خاص متمایز کنم؟")</f>
        <v>چگونه می توانم محصولات خود را بر اساس کیفیت، طراحی یا عملکرد در یک جایگاه خاص متمایز کنم؟</v>
      </c>
      <c r="H9585" s="1"/>
      <c r="I9585" s="1"/>
      <c r="J9585" s="1"/>
      <c r="K9585" s="1"/>
      <c r="L9585" s="1"/>
      <c r="M9585" s="1"/>
      <c r="N9585" s="1"/>
      <c r="O9585" s="1"/>
      <c r="P9585" s="1"/>
      <c r="Q9585" s="1"/>
      <c r="R9585" s="1"/>
      <c r="S9585" s="1"/>
      <c r="T9585" s="1"/>
      <c r="U9585" s="1"/>
      <c r="V9585" s="1"/>
      <c r="W9585" s="1"/>
      <c r="X9585" s="1"/>
      <c r="Y9585" s="1"/>
      <c r="Z9585" s="1"/>
      <c r="AA9585" s="1"/>
      <c r="AB9585" s="1"/>
    </row>
    <row r="9586" ht="50.25" customHeight="1">
      <c r="A9586" s="12">
        <v>9582.0</v>
      </c>
      <c r="B9586" s="13" t="s">
        <v>9604</v>
      </c>
      <c r="C9586" s="14" t="s">
        <v>9613</v>
      </c>
      <c r="D9586" s="1"/>
      <c r="E9586" s="1"/>
      <c r="F9586" s="1" t="str">
        <f>IFERROR(__xludf.DUMMYFUNCTION("GOOGLETRANSLATE(B9586, ""en"", ""fa"")
"),"موفقیت Etsy")</f>
        <v>موفقیت Etsy</v>
      </c>
      <c r="G9586" s="1" t="str">
        <f>IFERROR(__xludf.DUMMYFUNCTION("GOOGLETRANSLATE(C9586, ""en"", ""fa"")
"),"آیا بازارهای محلی یا منطقه ای وجود دارد که بتوانم در Etsy هدف قرار دهم؟")</f>
        <v>آیا بازارهای محلی یا منطقه ای وجود دارد که بتوانم در Etsy هدف قرار دهم؟</v>
      </c>
      <c r="H9586" s="1"/>
      <c r="I9586" s="1"/>
      <c r="J9586" s="1"/>
      <c r="K9586" s="1"/>
      <c r="L9586" s="1"/>
      <c r="M9586" s="1"/>
      <c r="N9586" s="1"/>
      <c r="O9586" s="1"/>
      <c r="P9586" s="1"/>
      <c r="Q9586" s="1"/>
      <c r="R9586" s="1"/>
      <c r="S9586" s="1"/>
      <c r="T9586" s="1"/>
      <c r="U9586" s="1"/>
      <c r="V9586" s="1"/>
      <c r="W9586" s="1"/>
      <c r="X9586" s="1"/>
      <c r="Y9586" s="1"/>
      <c r="Z9586" s="1"/>
      <c r="AA9586" s="1"/>
      <c r="AB9586" s="1"/>
    </row>
    <row r="9587" ht="50.25" customHeight="1">
      <c r="A9587" s="12">
        <v>9583.0</v>
      </c>
      <c r="B9587" s="13" t="s">
        <v>9604</v>
      </c>
      <c r="C9587" s="14" t="s">
        <v>9614</v>
      </c>
      <c r="D9587" s="1"/>
      <c r="E9587" s="1"/>
      <c r="F9587" s="1" t="str">
        <f>IFERROR(__xludf.DUMMYFUNCTION("GOOGLETRANSLATE(B9587, ""en"", ""fa"")
"),"موفقیت Etsy")</f>
        <v>موفقیت Etsy</v>
      </c>
      <c r="G9587" s="1" t="str">
        <f>IFERROR(__xludf.DUMMYFUNCTION("GOOGLETRANSLATE(C9587, ""en"", ""fa"")
"),"چگونه می توانم اینفلوئنسرها یا رهبران افکار خاص را که می توانند به ترویج محصولات Etsy من کمک کنند شناسایی کنم؟")</f>
        <v>چگونه می توانم اینفلوئنسرها یا رهبران افکار خاص را که می توانند به ترویج محصولات Etsy من کمک کنند شناسایی کنم؟</v>
      </c>
      <c r="H9587" s="1"/>
      <c r="I9587" s="1"/>
      <c r="J9587" s="1"/>
      <c r="K9587" s="1"/>
      <c r="L9587" s="1"/>
      <c r="M9587" s="1"/>
      <c r="N9587" s="1"/>
      <c r="O9587" s="1"/>
      <c r="P9587" s="1"/>
      <c r="Q9587" s="1"/>
      <c r="R9587" s="1"/>
      <c r="S9587" s="1"/>
      <c r="T9587" s="1"/>
      <c r="U9587" s="1"/>
      <c r="V9587" s="1"/>
      <c r="W9587" s="1"/>
      <c r="X9587" s="1"/>
      <c r="Y9587" s="1"/>
      <c r="Z9587" s="1"/>
      <c r="AA9587" s="1"/>
      <c r="AB9587" s="1"/>
    </row>
    <row r="9588" ht="50.25" customHeight="1">
      <c r="A9588" s="12">
        <v>9584.0</v>
      </c>
      <c r="B9588" s="13" t="s">
        <v>9604</v>
      </c>
      <c r="C9588" s="14" t="s">
        <v>9615</v>
      </c>
      <c r="D9588" s="1"/>
      <c r="E9588" s="1"/>
      <c r="F9588" s="1" t="str">
        <f>IFERROR(__xludf.DUMMYFUNCTION("GOOGLETRANSLATE(B9588, ""en"", ""fa"")
"),"موفقیت Etsy")</f>
        <v>موفقیت Etsy</v>
      </c>
      <c r="G9588" s="1" t="str">
        <f>IFERROR(__xludf.DUMMYFUNCTION("GOOGLETRANSLATE(C9588, ""en"", ""fa"")
"),"چالش ها یا خطرات بالقوه مرتبط با ورود به یک بازار خاص در Etsy چیست؟")</f>
        <v>چالش ها یا خطرات بالقوه مرتبط با ورود به یک بازار خاص در Etsy چیست؟</v>
      </c>
      <c r="H9588" s="1"/>
      <c r="I9588" s="1"/>
      <c r="J9588" s="1"/>
      <c r="K9588" s="1"/>
      <c r="L9588" s="1"/>
      <c r="M9588" s="1"/>
      <c r="N9588" s="1"/>
      <c r="O9588" s="1"/>
      <c r="P9588" s="1"/>
      <c r="Q9588" s="1"/>
      <c r="R9588" s="1"/>
      <c r="S9588" s="1"/>
      <c r="T9588" s="1"/>
      <c r="U9588" s="1"/>
      <c r="V9588" s="1"/>
      <c r="W9588" s="1"/>
      <c r="X9588" s="1"/>
      <c r="Y9588" s="1"/>
      <c r="Z9588" s="1"/>
      <c r="AA9588" s="1"/>
      <c r="AB9588" s="1"/>
    </row>
    <row r="9589" ht="50.25" customHeight="1">
      <c r="A9589" s="12">
        <v>9585.0</v>
      </c>
      <c r="B9589" s="13" t="s">
        <v>9604</v>
      </c>
      <c r="C9589" s="14" t="s">
        <v>9616</v>
      </c>
      <c r="D9589" s="1"/>
      <c r="E9589" s="1"/>
      <c r="F9589" s="1" t="str">
        <f>IFERROR(__xludf.DUMMYFUNCTION("GOOGLETRANSLATE(B9589, ""en"", ""fa"")
"),"موفقیت Etsy")</f>
        <v>موفقیت Etsy</v>
      </c>
      <c r="G9589" s="1" t="str">
        <f>IFERROR(__xludf.DUMMYFUNCTION("GOOGLETRANSLATE(C9589, ""en"", ""fa"")
"),"چگونه می توانم محبوب ترین زیرمجموعه ها یا انواع محصولات را در یک جایگاه در Etsy شناسایی کنم؟")</f>
        <v>چگونه می توانم محبوب ترین زیرمجموعه ها یا انواع محصولات را در یک جایگاه در Etsy شناسایی کنم؟</v>
      </c>
      <c r="H9589" s="1"/>
      <c r="I9589" s="1"/>
      <c r="J9589" s="1"/>
      <c r="K9589" s="1"/>
      <c r="L9589" s="1"/>
      <c r="M9589" s="1"/>
      <c r="N9589" s="1"/>
      <c r="O9589" s="1"/>
      <c r="P9589" s="1"/>
      <c r="Q9589" s="1"/>
      <c r="R9589" s="1"/>
      <c r="S9589" s="1"/>
      <c r="T9589" s="1"/>
      <c r="U9589" s="1"/>
      <c r="V9589" s="1"/>
      <c r="W9589" s="1"/>
      <c r="X9589" s="1"/>
      <c r="Y9589" s="1"/>
      <c r="Z9589" s="1"/>
      <c r="AA9589" s="1"/>
      <c r="AB9589" s="1"/>
    </row>
    <row r="9590" ht="50.25" customHeight="1">
      <c r="A9590" s="12">
        <v>9586.0</v>
      </c>
      <c r="B9590" s="13" t="s">
        <v>9604</v>
      </c>
      <c r="C9590" s="14" t="s">
        <v>9617</v>
      </c>
      <c r="D9590" s="1"/>
      <c r="E9590" s="1"/>
      <c r="F9590" s="1" t="str">
        <f>IFERROR(__xludf.DUMMYFUNCTION("GOOGLETRANSLATE(B9590, ""en"", ""fa"")
"),"موفقیت Etsy")</f>
        <v>موفقیت Etsy</v>
      </c>
      <c r="G9590" s="1" t="str">
        <f>IFERROR(__xludf.DUMMYFUNCTION("GOOGLETRANSLATE(C9590, ""en"", ""fa"")
"),"استراتژی‌ها یا کانال‌های بازاریابی خاص که می‌توانند به من در دستیابی به مخاطبان هدف خود در Etsy کمک کنند، کدامند؟")</f>
        <v>استراتژی‌ها یا کانال‌های بازاریابی خاص که می‌توانند به من در دستیابی به مخاطبان هدف خود در Etsy کمک کنند، کدامند؟</v>
      </c>
      <c r="H9590" s="1"/>
      <c r="I9590" s="1"/>
      <c r="J9590" s="1"/>
      <c r="K9590" s="1"/>
      <c r="L9590" s="1"/>
      <c r="M9590" s="1"/>
      <c r="N9590" s="1"/>
      <c r="O9590" s="1"/>
      <c r="P9590" s="1"/>
      <c r="Q9590" s="1"/>
      <c r="R9590" s="1"/>
      <c r="S9590" s="1"/>
      <c r="T9590" s="1"/>
      <c r="U9590" s="1"/>
      <c r="V9590" s="1"/>
      <c r="W9590" s="1"/>
      <c r="X9590" s="1"/>
      <c r="Y9590" s="1"/>
      <c r="Z9590" s="1"/>
      <c r="AA9590" s="1"/>
      <c r="AB9590" s="1"/>
    </row>
    <row r="9591" ht="50.25" customHeight="1">
      <c r="A9591" s="12">
        <v>9587.0</v>
      </c>
      <c r="B9591" s="13" t="s">
        <v>9604</v>
      </c>
      <c r="C9591" s="14" t="s">
        <v>9618</v>
      </c>
      <c r="D9591" s="1"/>
      <c r="E9591" s="1"/>
      <c r="F9591" s="1" t="str">
        <f>IFERROR(__xludf.DUMMYFUNCTION("GOOGLETRANSLATE(B9591, ""en"", ""fa"")
"),"موفقیت Etsy")</f>
        <v>موفقیت Etsy</v>
      </c>
      <c r="G9591" s="1" t="str">
        <f>IFERROR(__xludf.DUMMYFUNCTION("GOOGLETRANSLATE(C9591, ""en"", ""fa"")
"),"چگونه می توانم از داده ها و تجزیه و تحلیل ها برای شناسایی روندها و فرصت های خاص در Etsy استفاده کنم؟")</f>
        <v>چگونه می توانم از داده ها و تجزیه و تحلیل ها برای شناسایی روندها و فرصت های خاص در Etsy استفاده کنم؟</v>
      </c>
      <c r="H9591" s="1"/>
      <c r="I9591" s="1"/>
      <c r="J9591" s="1"/>
      <c r="K9591" s="1"/>
      <c r="L9591" s="1"/>
      <c r="M9591" s="1"/>
      <c r="N9591" s="1"/>
      <c r="O9591" s="1"/>
      <c r="P9591" s="1"/>
      <c r="Q9591" s="1"/>
      <c r="R9591" s="1"/>
      <c r="S9591" s="1"/>
      <c r="T9591" s="1"/>
      <c r="U9591" s="1"/>
      <c r="V9591" s="1"/>
      <c r="W9591" s="1"/>
      <c r="X9591" s="1"/>
      <c r="Y9591" s="1"/>
      <c r="Z9591" s="1"/>
      <c r="AA9591" s="1"/>
      <c r="AB9591" s="1"/>
    </row>
    <row r="9592" ht="50.25" customHeight="1">
      <c r="A9592" s="12">
        <v>9588.0</v>
      </c>
      <c r="B9592" s="13" t="s">
        <v>9604</v>
      </c>
      <c r="C9592" s="14" t="s">
        <v>9619</v>
      </c>
      <c r="D9592" s="1"/>
      <c r="E9592" s="1"/>
      <c r="F9592" s="1" t="str">
        <f>IFERROR(__xludf.DUMMYFUNCTION("GOOGLETRANSLATE(B9592, ""en"", ""fa"")
"),"موفقیت Etsy")</f>
        <v>موفقیت Etsy</v>
      </c>
      <c r="G9592" s="1" t="str">
        <f>IFERROR(__xludf.DUMMYFUNCTION("GOOGLETRANSLATE(C9592, ""en"", ""fa"")
"),"آیا نمایشگاه‌ها یا رویدادهایی خاص وجود دارد که بتوانم محصولات Etsy خود را به نمایش بگذارم؟")</f>
        <v>آیا نمایشگاه‌ها یا رویدادهایی خاص وجود دارد که بتوانم محصولات Etsy خود را به نمایش بگذارم؟</v>
      </c>
      <c r="H9592" s="1"/>
      <c r="I9592" s="1"/>
      <c r="J9592" s="1"/>
      <c r="K9592" s="1"/>
      <c r="L9592" s="1"/>
      <c r="M9592" s="1"/>
      <c r="N9592" s="1"/>
      <c r="O9592" s="1"/>
      <c r="P9592" s="1"/>
      <c r="Q9592" s="1"/>
      <c r="R9592" s="1"/>
      <c r="S9592" s="1"/>
      <c r="T9592" s="1"/>
      <c r="U9592" s="1"/>
      <c r="V9592" s="1"/>
      <c r="W9592" s="1"/>
      <c r="X9592" s="1"/>
      <c r="Y9592" s="1"/>
      <c r="Z9592" s="1"/>
      <c r="AA9592" s="1"/>
      <c r="AB9592" s="1"/>
    </row>
    <row r="9593" ht="50.25" customHeight="1">
      <c r="A9593" s="12">
        <v>9589.0</v>
      </c>
      <c r="B9593" s="13" t="s">
        <v>9604</v>
      </c>
      <c r="C9593" s="14" t="s">
        <v>9620</v>
      </c>
      <c r="D9593" s="1"/>
      <c r="E9593" s="1"/>
      <c r="F9593" s="1" t="str">
        <f>IFERROR(__xludf.DUMMYFUNCTION("GOOGLETRANSLATE(B9593, ""en"", ""fa"")
"),"موفقیت Etsy")</f>
        <v>موفقیت Etsy</v>
      </c>
      <c r="G9593" s="1" t="str">
        <f>IFERROR(__xludf.DUMMYFUNCTION("GOOGLETRANSLATE(C9593, ""en"", ""fa"")
"),"چگونه می‌توانم قبل از راه‌اندازی فروشگاه Etsy، بازخورد مشتریان بالقوه را در یک جایگاه جمع‌آوری کنم؟")</f>
        <v>چگونه می‌توانم قبل از راه‌اندازی فروشگاه Etsy، بازخورد مشتریان بالقوه را در یک جایگاه جمع‌آوری کنم؟</v>
      </c>
      <c r="H9593" s="1"/>
      <c r="I9593" s="1"/>
      <c r="J9593" s="1"/>
      <c r="K9593" s="1"/>
      <c r="L9593" s="1"/>
      <c r="M9593" s="1"/>
      <c r="N9593" s="1"/>
      <c r="O9593" s="1"/>
      <c r="P9593" s="1"/>
      <c r="Q9593" s="1"/>
      <c r="R9593" s="1"/>
      <c r="S9593" s="1"/>
      <c r="T9593" s="1"/>
      <c r="U9593" s="1"/>
      <c r="V9593" s="1"/>
      <c r="W9593" s="1"/>
      <c r="X9593" s="1"/>
      <c r="Y9593" s="1"/>
      <c r="Z9593" s="1"/>
      <c r="AA9593" s="1"/>
      <c r="AB9593" s="1"/>
    </row>
    <row r="9594" ht="50.25" customHeight="1">
      <c r="A9594" s="12">
        <v>9590.0</v>
      </c>
      <c r="B9594" s="13" t="s">
        <v>9604</v>
      </c>
      <c r="C9594" s="14" t="s">
        <v>9621</v>
      </c>
      <c r="D9594" s="1"/>
      <c r="E9594" s="1"/>
      <c r="F9594" s="1" t="str">
        <f>IFERROR(__xludf.DUMMYFUNCTION("GOOGLETRANSLATE(B9594, ""en"", ""fa"")
"),"موفقیت Etsy")</f>
        <v>موفقیت Etsy</v>
      </c>
      <c r="G9594" s="1" t="str">
        <f>IFERROR(__xludf.DUMMYFUNCTION("GOOGLETRANSLATE(C9594, ""en"", ""fa"")
"),"ملاحظات مربوط به حمل و نقل و انجام کاری که باید در Etsy در نظر داشته باشم چیست؟")</f>
        <v>ملاحظات مربوط به حمل و نقل و انجام کاری که باید در Etsy در نظر داشته باشم چیست؟</v>
      </c>
      <c r="H9594" s="1"/>
      <c r="I9594" s="1"/>
      <c r="J9594" s="1"/>
      <c r="K9594" s="1"/>
      <c r="L9594" s="1"/>
      <c r="M9594" s="1"/>
      <c r="N9594" s="1"/>
      <c r="O9594" s="1"/>
      <c r="P9594" s="1"/>
      <c r="Q9594" s="1"/>
      <c r="R9594" s="1"/>
      <c r="S9594" s="1"/>
      <c r="T9594" s="1"/>
      <c r="U9594" s="1"/>
      <c r="V9594" s="1"/>
      <c r="W9594" s="1"/>
      <c r="X9594" s="1"/>
      <c r="Y9594" s="1"/>
      <c r="Z9594" s="1"/>
      <c r="AA9594" s="1"/>
      <c r="AB9594" s="1"/>
    </row>
    <row r="9595" ht="50.25" customHeight="1">
      <c r="A9595" s="12">
        <v>9591.0</v>
      </c>
      <c r="B9595" s="13" t="s">
        <v>9604</v>
      </c>
      <c r="C9595" s="14" t="s">
        <v>9622</v>
      </c>
      <c r="D9595" s="1"/>
      <c r="E9595" s="1"/>
      <c r="F9595" s="1" t="str">
        <f>IFERROR(__xludf.DUMMYFUNCTION("GOOGLETRANSLATE(B9595, ""en"", ""fa"")
"),"موفقیت Etsy")</f>
        <v>موفقیت Etsy</v>
      </c>
      <c r="G9595" s="1" t="str">
        <f>IFERROR(__xludf.DUMMYFUNCTION("GOOGLETRANSLATE(C9595, ""en"", ""fa"")
"),"چگونه می‌توانم هشتگ‌ها یا کلمات کلیدی مرتبط با طاقچه را در رسانه‌های اجتماعی برای بینش بازار شناسایی و نظارت کنم؟")</f>
        <v>چگونه می‌توانم هشتگ‌ها یا کلمات کلیدی مرتبط با طاقچه را در رسانه‌های اجتماعی برای بینش بازار شناسایی و نظارت کنم؟</v>
      </c>
      <c r="H9595" s="1"/>
      <c r="I9595" s="1"/>
      <c r="J9595" s="1"/>
      <c r="K9595" s="1"/>
      <c r="L9595" s="1"/>
      <c r="M9595" s="1"/>
      <c r="N9595" s="1"/>
      <c r="O9595" s="1"/>
      <c r="P9595" s="1"/>
      <c r="Q9595" s="1"/>
      <c r="R9595" s="1"/>
      <c r="S9595" s="1"/>
      <c r="T9595" s="1"/>
      <c r="U9595" s="1"/>
      <c r="V9595" s="1"/>
      <c r="W9595" s="1"/>
      <c r="X9595" s="1"/>
      <c r="Y9595" s="1"/>
      <c r="Z9595" s="1"/>
      <c r="AA9595" s="1"/>
      <c r="AB9595" s="1"/>
    </row>
    <row r="9596" ht="50.25" customHeight="1">
      <c r="A9596" s="12">
        <v>9592.0</v>
      </c>
      <c r="B9596" s="13" t="s">
        <v>9604</v>
      </c>
      <c r="C9596" s="14" t="s">
        <v>9623</v>
      </c>
      <c r="D9596" s="1"/>
      <c r="E9596" s="1"/>
      <c r="F9596" s="1" t="str">
        <f>IFERROR(__xludf.DUMMYFUNCTION("GOOGLETRANSLATE(B9596, ""en"", ""fa"")
"),"موفقیت Etsy")</f>
        <v>موفقیت Etsy</v>
      </c>
      <c r="G9596" s="1" t="str">
        <f>IFERROR(__xludf.DUMMYFUNCTION("GOOGLETRANSLATE(C9596, ""en"", ""fa"")
"),"آیا هیچ فرصتی برای سفارشی سازی یا شخصی سازی محصول خاص وجود دارد که بتوانم در Etsy کشف کنم؟")</f>
        <v>آیا هیچ فرصتی برای سفارشی سازی یا شخصی سازی محصول خاص وجود دارد که بتوانم در Etsy کشف کنم؟</v>
      </c>
      <c r="H9596" s="1"/>
      <c r="I9596" s="1"/>
      <c r="J9596" s="1"/>
      <c r="K9596" s="1"/>
      <c r="L9596" s="1"/>
      <c r="M9596" s="1"/>
      <c r="N9596" s="1"/>
      <c r="O9596" s="1"/>
      <c r="P9596" s="1"/>
      <c r="Q9596" s="1"/>
      <c r="R9596" s="1"/>
      <c r="S9596" s="1"/>
      <c r="T9596" s="1"/>
      <c r="U9596" s="1"/>
      <c r="V9596" s="1"/>
      <c r="W9596" s="1"/>
      <c r="X9596" s="1"/>
      <c r="Y9596" s="1"/>
      <c r="Z9596" s="1"/>
      <c r="AA9596" s="1"/>
      <c r="AB9596" s="1"/>
    </row>
    <row r="9597" ht="50.25" customHeight="1">
      <c r="A9597" s="12">
        <v>9593.0</v>
      </c>
      <c r="B9597" s="13" t="s">
        <v>9604</v>
      </c>
      <c r="C9597" s="14" t="s">
        <v>9624</v>
      </c>
      <c r="D9597" s="1"/>
      <c r="E9597" s="1"/>
      <c r="F9597" s="1" t="str">
        <f>IFERROR(__xludf.DUMMYFUNCTION("GOOGLETRANSLATE(B9597, ""en"", ""fa"")
"),"موفقیت Etsy")</f>
        <v>موفقیت Etsy</v>
      </c>
      <c r="G9597" s="1" t="str">
        <f>IFERROR(__xludf.DUMMYFUNCTION("GOOGLETRANSLATE(C9597, ""en"", ""fa"")
"),"چگونه می توانم با تامین کنندگان یا تولید کنندگان متخصص در یک جایگاه خاص شناسایی و ایجاد مشارکت کنم؟")</f>
        <v>چگونه می توانم با تامین کنندگان یا تولید کنندگان متخصص در یک جایگاه خاص شناسایی و ایجاد مشارکت کنم؟</v>
      </c>
      <c r="H9597" s="1"/>
      <c r="I9597" s="1"/>
      <c r="J9597" s="1"/>
      <c r="K9597" s="1"/>
      <c r="L9597" s="1"/>
      <c r="M9597" s="1"/>
      <c r="N9597" s="1"/>
      <c r="O9597" s="1"/>
      <c r="P9597" s="1"/>
      <c r="Q9597" s="1"/>
      <c r="R9597" s="1"/>
      <c r="S9597" s="1"/>
      <c r="T9597" s="1"/>
      <c r="U9597" s="1"/>
      <c r="V9597" s="1"/>
      <c r="W9597" s="1"/>
      <c r="X9597" s="1"/>
      <c r="Y9597" s="1"/>
      <c r="Z9597" s="1"/>
      <c r="AA9597" s="1"/>
      <c r="AB9597" s="1"/>
    </row>
    <row r="9598" ht="50.25" customHeight="1">
      <c r="A9598" s="12">
        <v>9594.0</v>
      </c>
      <c r="B9598" s="13" t="s">
        <v>9604</v>
      </c>
      <c r="C9598" s="14" t="s">
        <v>9625</v>
      </c>
      <c r="D9598" s="1"/>
      <c r="E9598" s="1"/>
      <c r="F9598" s="1" t="str">
        <f>IFERROR(__xludf.DUMMYFUNCTION("GOOGLETRANSLATE(B9598, ""en"", ""fa"")
"),"موفقیت Etsy")</f>
        <v>موفقیت Etsy</v>
      </c>
      <c r="G9598" s="1" t="str">
        <f>IFERROR(__xludf.DUMMYFUNCTION("GOOGLETRANSLATE(C9598, ""en"", ""fa"")
"),"چند استراتژی برای ایجاد وفاداری به برند و مشتریان تکراری در یک جایگاه در Etsy چیست؟")</f>
        <v>چند استراتژی برای ایجاد وفاداری به برند و مشتریان تکراری در یک جایگاه در Etsy چیست؟</v>
      </c>
      <c r="H9598" s="1"/>
      <c r="I9598" s="1"/>
      <c r="J9598" s="1"/>
      <c r="K9598" s="1"/>
      <c r="L9598" s="1"/>
      <c r="M9598" s="1"/>
      <c r="N9598" s="1"/>
      <c r="O9598" s="1"/>
      <c r="P9598" s="1"/>
      <c r="Q9598" s="1"/>
      <c r="R9598" s="1"/>
      <c r="S9598" s="1"/>
      <c r="T9598" s="1"/>
      <c r="U9598" s="1"/>
      <c r="V9598" s="1"/>
      <c r="W9598" s="1"/>
      <c r="X9598" s="1"/>
      <c r="Y9598" s="1"/>
      <c r="Z9598" s="1"/>
      <c r="AA9598" s="1"/>
      <c r="AB9598" s="1"/>
    </row>
    <row r="9599" ht="50.25" customHeight="1">
      <c r="A9599" s="12">
        <v>9595.0</v>
      </c>
      <c r="B9599" s="13" t="s">
        <v>9604</v>
      </c>
      <c r="C9599" s="14" t="s">
        <v>9626</v>
      </c>
      <c r="D9599" s="1"/>
      <c r="E9599" s="1"/>
      <c r="F9599" s="1" t="str">
        <f>IFERROR(__xludf.DUMMYFUNCTION("GOOGLETRANSLATE(B9599, ""en"", ""fa"")
"),"موفقیت Etsy")</f>
        <v>موفقیت Etsy</v>
      </c>
      <c r="G9599" s="1" t="str">
        <f>IFERROR(__xludf.DUMMYFUNCTION("GOOGLETRANSLATE(C9599, ""en"", ""fa"")
"),"چگونه می توانم فروشگاه Etsy خود را به عنوان یک منبع معتبر یا مرجع در یک جایگاه خاص قرار دهم؟")</f>
        <v>چگونه می توانم فروشگاه Etsy خود را به عنوان یک منبع معتبر یا مرجع در یک جایگاه خاص قرار دهم؟</v>
      </c>
      <c r="H9599" s="1"/>
      <c r="I9599" s="1"/>
      <c r="J9599" s="1"/>
      <c r="K9599" s="1"/>
      <c r="L9599" s="1"/>
      <c r="M9599" s="1"/>
      <c r="N9599" s="1"/>
      <c r="O9599" s="1"/>
      <c r="P9599" s="1"/>
      <c r="Q9599" s="1"/>
      <c r="R9599" s="1"/>
      <c r="S9599" s="1"/>
      <c r="T9599" s="1"/>
      <c r="U9599" s="1"/>
      <c r="V9599" s="1"/>
      <c r="W9599" s="1"/>
      <c r="X9599" s="1"/>
      <c r="Y9599" s="1"/>
      <c r="Z9599" s="1"/>
      <c r="AA9599" s="1"/>
      <c r="AB9599" s="1"/>
    </row>
    <row r="9600" ht="50.25" customHeight="1">
      <c r="A9600" s="12">
        <v>9596.0</v>
      </c>
      <c r="B9600" s="13" t="s">
        <v>9604</v>
      </c>
      <c r="C9600" s="14" t="s">
        <v>9627</v>
      </c>
      <c r="D9600" s="1"/>
      <c r="E9600" s="1"/>
      <c r="F9600" s="1" t="str">
        <f>IFERROR(__xludf.DUMMYFUNCTION("GOOGLETRANSLATE(B9600, ""en"", ""fa"")
"),"موفقیت Etsy")</f>
        <v>موفقیت Etsy</v>
      </c>
      <c r="G9600" s="1" t="str">
        <f>IFERROR(__xludf.DUMMYFUNCTION("GOOGLETRANSLATE(C9600, ""en"", ""fa"")
"),"چالش‌ها یا موانع بالقوه‌ای برای ورود که باید در Etsy از آن‌ها آگاه باشم چیست؟")</f>
        <v>چالش‌ها یا موانع بالقوه‌ای برای ورود که باید در Etsy از آن‌ها آگاه باشم چیست؟</v>
      </c>
      <c r="H9600" s="1"/>
      <c r="I9600" s="1"/>
      <c r="J9600" s="1"/>
      <c r="K9600" s="1"/>
      <c r="L9600" s="1"/>
      <c r="M9600" s="1"/>
      <c r="N9600" s="1"/>
      <c r="O9600" s="1"/>
      <c r="P9600" s="1"/>
      <c r="Q9600" s="1"/>
      <c r="R9600" s="1"/>
      <c r="S9600" s="1"/>
      <c r="T9600" s="1"/>
      <c r="U9600" s="1"/>
      <c r="V9600" s="1"/>
      <c r="W9600" s="1"/>
      <c r="X9600" s="1"/>
      <c r="Y9600" s="1"/>
      <c r="Z9600" s="1"/>
      <c r="AA9600" s="1"/>
      <c r="AB9600" s="1"/>
    </row>
    <row r="9601" ht="50.25" customHeight="1">
      <c r="A9601" s="12">
        <v>9597.0</v>
      </c>
      <c r="B9601" s="13" t="s">
        <v>9604</v>
      </c>
      <c r="C9601" s="14" t="s">
        <v>9628</v>
      </c>
      <c r="D9601" s="1"/>
      <c r="E9601" s="1"/>
      <c r="F9601" s="1" t="str">
        <f>IFERROR(__xludf.DUMMYFUNCTION("GOOGLETRANSLATE(B9601, ""en"", ""fa"")
"),"موفقیت Etsy")</f>
        <v>موفقیت Etsy</v>
      </c>
      <c r="G9601" s="1" t="str">
        <f>IFERROR(__xludf.DUMMYFUNCTION("GOOGLETRANSLATE(C9601, ""en"", ""fa"")
"),"چگونه می توانم تجزیه و تحلیل رقبا را در یک طاقچه انجام دهم تا نقاط قوت و ضعف آنها را در Etsy شناسایی کنم؟")</f>
        <v>چگونه می توانم تجزیه و تحلیل رقبا را در یک طاقچه انجام دهم تا نقاط قوت و ضعف آنها را در Etsy شناسایی کنم؟</v>
      </c>
      <c r="H9601" s="1"/>
      <c r="I9601" s="1"/>
      <c r="J9601" s="1"/>
      <c r="K9601" s="1"/>
      <c r="L9601" s="1"/>
      <c r="M9601" s="1"/>
      <c r="N9601" s="1"/>
      <c r="O9601" s="1"/>
      <c r="P9601" s="1"/>
      <c r="Q9601" s="1"/>
      <c r="R9601" s="1"/>
      <c r="S9601" s="1"/>
      <c r="T9601" s="1"/>
      <c r="U9601" s="1"/>
      <c r="V9601" s="1"/>
      <c r="W9601" s="1"/>
      <c r="X9601" s="1"/>
      <c r="Y9601" s="1"/>
      <c r="Z9601" s="1"/>
      <c r="AA9601" s="1"/>
      <c r="AB9601" s="1"/>
    </row>
    <row r="9602" ht="50.25" customHeight="1">
      <c r="A9602" s="12">
        <v>9598.0</v>
      </c>
      <c r="B9602" s="13" t="s">
        <v>9604</v>
      </c>
      <c r="C9602" s="14" t="s">
        <v>9629</v>
      </c>
      <c r="D9602" s="1"/>
      <c r="E9602" s="1"/>
      <c r="F9602" s="1" t="str">
        <f>IFERROR(__xludf.DUMMYFUNCTION("GOOGLETRANSLATE(B9602, ""en"", ""fa"")
"),"موفقیت Etsy")</f>
        <v>موفقیت Etsy</v>
      </c>
      <c r="G9602" s="1" t="str">
        <f>IFERROR(__xludf.DUMMYFUNCTION("GOOGLETRANSLATE(C9602, ""en"", ""fa"")
"),"آیا گرایش های بسته بندی یا ارائه ویژه ای وجود دارد که بتواند ارزش درک شده محصولات Etsy من را افزایش دهد؟")</f>
        <v>آیا گرایش های بسته بندی یا ارائه ویژه ای وجود دارد که بتواند ارزش درک شده محصولات Etsy من را افزایش دهد؟</v>
      </c>
      <c r="H9602" s="1"/>
      <c r="I9602" s="1"/>
      <c r="J9602" s="1"/>
      <c r="K9602" s="1"/>
      <c r="L9602" s="1"/>
      <c r="M9602" s="1"/>
      <c r="N9602" s="1"/>
      <c r="O9602" s="1"/>
      <c r="P9602" s="1"/>
      <c r="Q9602" s="1"/>
      <c r="R9602" s="1"/>
      <c r="S9602" s="1"/>
      <c r="T9602" s="1"/>
      <c r="U9602" s="1"/>
      <c r="V9602" s="1"/>
      <c r="W9602" s="1"/>
      <c r="X9602" s="1"/>
      <c r="Y9602" s="1"/>
      <c r="Z9602" s="1"/>
      <c r="AA9602" s="1"/>
      <c r="AB9602" s="1"/>
    </row>
    <row r="9603" ht="50.25" customHeight="1">
      <c r="A9603" s="12">
        <v>9599.0</v>
      </c>
      <c r="B9603" s="13" t="s">
        <v>9604</v>
      </c>
      <c r="C9603" s="14" t="s">
        <v>9630</v>
      </c>
      <c r="D9603" s="1"/>
      <c r="E9603" s="1"/>
      <c r="F9603" s="1" t="str">
        <f>IFERROR(__xludf.DUMMYFUNCTION("GOOGLETRANSLATE(B9603, ""en"", ""fa"")
"),"موفقیت Etsy")</f>
        <v>موفقیت Etsy</v>
      </c>
      <c r="G9603" s="1" t="str">
        <f>IFERROR(__xludf.DUMMYFUNCTION("GOOGLETRANSLATE(C9603, ""en"", ""fa"")
"),"چگونه می توانم کلمات کلیدی خاص را برای بهینه سازی سئو در Etsy شناسایی و هدف قرار دهم؟")</f>
        <v>چگونه می توانم کلمات کلیدی خاص را برای بهینه سازی سئو در Etsy شناسایی و هدف قرار دهم؟</v>
      </c>
      <c r="H9603" s="1"/>
      <c r="I9603" s="1"/>
      <c r="J9603" s="1"/>
      <c r="K9603" s="1"/>
      <c r="L9603" s="1"/>
      <c r="M9603" s="1"/>
      <c r="N9603" s="1"/>
      <c r="O9603" s="1"/>
      <c r="P9603" s="1"/>
      <c r="Q9603" s="1"/>
      <c r="R9603" s="1"/>
      <c r="S9603" s="1"/>
      <c r="T9603" s="1"/>
      <c r="U9603" s="1"/>
      <c r="V9603" s="1"/>
      <c r="W9603" s="1"/>
      <c r="X9603" s="1"/>
      <c r="Y9603" s="1"/>
      <c r="Z9603" s="1"/>
      <c r="AA9603" s="1"/>
      <c r="AB9603" s="1"/>
    </row>
    <row r="9604" ht="50.25" customHeight="1">
      <c r="A9604" s="12">
        <v>9600.0</v>
      </c>
      <c r="B9604" s="13" t="s">
        <v>9604</v>
      </c>
      <c r="C9604" s="14" t="s">
        <v>9631</v>
      </c>
      <c r="D9604" s="1"/>
      <c r="E9604" s="1"/>
      <c r="F9604" s="1" t="str">
        <f>IFERROR(__xludf.DUMMYFUNCTION("GOOGLETRANSLATE(B9604, ""en"", ""fa"")
"),"موفقیت Etsy")</f>
        <v>موفقیت Etsy</v>
      </c>
      <c r="G9604" s="1" t="str">
        <f>IFERROR(__xludf.DUMMYFUNCTION("GOOGLETRANSLATE(C9604, ""en"", ""fa"")
"),"برخی از استراتژی ها یا تاکتیک های قیمت گذاری خاص برای به حداکثر رساندن سود در Etsy چیست؟")</f>
        <v>برخی از استراتژی ها یا تاکتیک های قیمت گذاری خاص برای به حداکثر رساندن سود در Etsy چیست؟</v>
      </c>
      <c r="H9604" s="1"/>
      <c r="I9604" s="1"/>
      <c r="J9604" s="1"/>
      <c r="K9604" s="1"/>
      <c r="L9604" s="1"/>
      <c r="M9604" s="1"/>
      <c r="N9604" s="1"/>
      <c r="O9604" s="1"/>
      <c r="P9604" s="1"/>
      <c r="Q9604" s="1"/>
      <c r="R9604" s="1"/>
      <c r="S9604" s="1"/>
      <c r="T9604" s="1"/>
      <c r="U9604" s="1"/>
      <c r="V9604" s="1"/>
      <c r="W9604" s="1"/>
      <c r="X9604" s="1"/>
      <c r="Y9604" s="1"/>
      <c r="Z9604" s="1"/>
      <c r="AA9604" s="1"/>
      <c r="AB9604" s="1"/>
    </row>
    <row r="9605" ht="50.25" customHeight="1">
      <c r="A9605" s="12">
        <v>9601.0</v>
      </c>
      <c r="B9605" s="13" t="s">
        <v>9604</v>
      </c>
      <c r="C9605" s="14" t="s">
        <v>9632</v>
      </c>
      <c r="D9605" s="1"/>
      <c r="E9605" s="1"/>
      <c r="F9605" s="1" t="str">
        <f>IFERROR(__xludf.DUMMYFUNCTION("GOOGLETRANSLATE(B9605, ""en"", ""fa"")
"),"موفقیت Etsy")</f>
        <v>موفقیت Etsy</v>
      </c>
      <c r="G9605" s="1" t="str">
        <f>IFERROR(__xludf.DUMMYFUNCTION("GOOGLETRANSLATE(C9605, ""en"", ""fa"")
"),"چگونه می توانم از توصیفات مشتری یا مطالعات موردی برای نشان دادن ارزش محصولات خود در یک جایگاه استفاده کنم؟")</f>
        <v>چگونه می توانم از توصیفات مشتری یا مطالعات موردی برای نشان دادن ارزش محصولات خود در یک جایگاه استفاده کنم؟</v>
      </c>
      <c r="H9605" s="1"/>
      <c r="I9605" s="1"/>
      <c r="J9605" s="1"/>
      <c r="K9605" s="1"/>
      <c r="L9605" s="1"/>
      <c r="M9605" s="1"/>
      <c r="N9605" s="1"/>
      <c r="O9605" s="1"/>
      <c r="P9605" s="1"/>
      <c r="Q9605" s="1"/>
      <c r="R9605" s="1"/>
      <c r="S9605" s="1"/>
      <c r="T9605" s="1"/>
      <c r="U9605" s="1"/>
      <c r="V9605" s="1"/>
      <c r="W9605" s="1"/>
      <c r="X9605" s="1"/>
      <c r="Y9605" s="1"/>
      <c r="Z9605" s="1"/>
      <c r="AA9605" s="1"/>
      <c r="AB9605" s="1"/>
    </row>
    <row r="9606" ht="50.25" customHeight="1">
      <c r="A9606" s="12">
        <v>9602.0</v>
      </c>
      <c r="B9606" s="13" t="s">
        <v>9604</v>
      </c>
      <c r="C9606" s="14" t="s">
        <v>9633</v>
      </c>
      <c r="D9606" s="1"/>
      <c r="E9606" s="1"/>
      <c r="F9606" s="1" t="str">
        <f>IFERROR(__xludf.DUMMYFUNCTION("GOOGLETRANSLATE(B9606, ""en"", ""fa"")
"),"موفقیت Etsy")</f>
        <v>موفقیت Etsy</v>
      </c>
      <c r="G9606" s="1" t="str">
        <f>IFERROR(__xludf.DUMMYFUNCTION("GOOGLETRANSLATE(C9606, ""en"", ""fa"")
"),"آیا قوانین خاص محصول یا الزامات انطباق وجود دارد که باید در Etsy در نظر بگیرم؟")</f>
        <v>آیا قوانین خاص محصول یا الزامات انطباق وجود دارد که باید در Etsy در نظر بگیرم؟</v>
      </c>
      <c r="H9606" s="1"/>
      <c r="I9606" s="1"/>
      <c r="J9606" s="1"/>
      <c r="K9606" s="1"/>
      <c r="L9606" s="1"/>
      <c r="M9606" s="1"/>
      <c r="N9606" s="1"/>
      <c r="O9606" s="1"/>
      <c r="P9606" s="1"/>
      <c r="Q9606" s="1"/>
      <c r="R9606" s="1"/>
      <c r="S9606" s="1"/>
      <c r="T9606" s="1"/>
      <c r="U9606" s="1"/>
      <c r="V9606" s="1"/>
      <c r="W9606" s="1"/>
      <c r="X9606" s="1"/>
      <c r="Y9606" s="1"/>
      <c r="Z9606" s="1"/>
      <c r="AA9606" s="1"/>
      <c r="AB9606" s="1"/>
    </row>
    <row r="9607" ht="50.25" customHeight="1">
      <c r="A9607" s="12">
        <v>9603.0</v>
      </c>
      <c r="B9607" s="13" t="s">
        <v>9604</v>
      </c>
      <c r="C9607" s="14" t="s">
        <v>9634</v>
      </c>
      <c r="D9607" s="1"/>
      <c r="E9607" s="1"/>
      <c r="F9607" s="1" t="str">
        <f>IFERROR(__xludf.DUMMYFUNCTION("GOOGLETRANSLATE(B9607, ""en"", ""fa"")
"),"موفقیت Etsy")</f>
        <v>موفقیت Etsy</v>
      </c>
      <c r="G9607" s="1" t="str">
        <f>IFERROR(__xludf.DUMMYFUNCTION("GOOGLETRANSLATE(C9607, ""en"", ""fa"")
"),"چگونه می توانم از داستان سرایی و بازاریابی محتوا برای ارتباط با مشتریان در یک جایگاه در Etsy استفاده کنم؟")</f>
        <v>چگونه می توانم از داستان سرایی و بازاریابی محتوا برای ارتباط با مشتریان در یک جایگاه در Etsy استفاده کنم؟</v>
      </c>
      <c r="H9607" s="1"/>
      <c r="I9607" s="1"/>
      <c r="J9607" s="1"/>
      <c r="K9607" s="1"/>
      <c r="L9607" s="1"/>
      <c r="M9607" s="1"/>
      <c r="N9607" s="1"/>
      <c r="O9607" s="1"/>
      <c r="P9607" s="1"/>
      <c r="Q9607" s="1"/>
      <c r="R9607" s="1"/>
      <c r="S9607" s="1"/>
      <c r="T9607" s="1"/>
      <c r="U9607" s="1"/>
      <c r="V9607" s="1"/>
      <c r="W9607" s="1"/>
      <c r="X9607" s="1"/>
      <c r="Y9607" s="1"/>
      <c r="Z9607" s="1"/>
      <c r="AA9607" s="1"/>
      <c r="AB9607" s="1"/>
    </row>
    <row r="9608" ht="50.25" customHeight="1">
      <c r="A9608" s="12">
        <v>9604.0</v>
      </c>
      <c r="B9608" s="13" t="s">
        <v>9604</v>
      </c>
      <c r="C9608" s="14" t="s">
        <v>9635</v>
      </c>
      <c r="D9608" s="1"/>
      <c r="E9608" s="1"/>
      <c r="F9608" s="1" t="str">
        <f>IFERROR(__xludf.DUMMYFUNCTION("GOOGLETRANSLATE(B9608, ""en"", ""fa"")
"),"موفقیت Etsy")</f>
        <v>موفقیت Etsy</v>
      </c>
      <c r="G9608" s="1" t="str">
        <f>IFERROR(__xludf.DUMMYFUNCTION("GOOGLETRANSLATE(C9608, ""en"", ""fa"")
"),"چند استراتژی برای ایجاد یک خط محصول یا مجموعه منسجم در یک طاقچه در Etsy چیست؟")</f>
        <v>چند استراتژی برای ایجاد یک خط محصول یا مجموعه منسجم در یک طاقچه در Etsy چیست؟</v>
      </c>
      <c r="H9608" s="1"/>
      <c r="I9608" s="1"/>
      <c r="J9608" s="1"/>
      <c r="K9608" s="1"/>
      <c r="L9608" s="1"/>
      <c r="M9608" s="1"/>
      <c r="N9608" s="1"/>
      <c r="O9608" s="1"/>
      <c r="P9608" s="1"/>
      <c r="Q9608" s="1"/>
      <c r="R9608" s="1"/>
      <c r="S9608" s="1"/>
      <c r="T9608" s="1"/>
      <c r="U9608" s="1"/>
      <c r="V9608" s="1"/>
      <c r="W9608" s="1"/>
      <c r="X9608" s="1"/>
      <c r="Y9608" s="1"/>
      <c r="Z9608" s="1"/>
      <c r="AA9608" s="1"/>
      <c r="AB9608" s="1"/>
    </row>
    <row r="9609" ht="50.25" customHeight="1">
      <c r="A9609" s="12">
        <v>9605.0</v>
      </c>
      <c r="B9609" s="13" t="s">
        <v>9604</v>
      </c>
      <c r="C9609" s="14" t="s">
        <v>9636</v>
      </c>
      <c r="D9609" s="1"/>
      <c r="E9609" s="1"/>
      <c r="F9609" s="1" t="str">
        <f>IFERROR(__xludf.DUMMYFUNCTION("GOOGLETRANSLATE(B9609, ""en"", ""fa"")
"),"موفقیت Etsy")</f>
        <v>موفقیت Etsy</v>
      </c>
      <c r="G9609" s="1" t="str">
        <f>IFERROR(__xludf.DUMMYFUNCTION("GOOGLETRANSLATE(C9609, ""en"", ""fa"")
"),"چگونه می توانم از داده ها و بینش های خاص برای بهینه سازی کمپین های بازاریابی خود در Etsy استفاده کنم؟")</f>
        <v>چگونه می توانم از داده ها و بینش های خاص برای بهینه سازی کمپین های بازاریابی خود در Etsy استفاده کنم؟</v>
      </c>
      <c r="H9609" s="1"/>
      <c r="I9609" s="1"/>
      <c r="J9609" s="1"/>
      <c r="K9609" s="1"/>
      <c r="L9609" s="1"/>
      <c r="M9609" s="1"/>
      <c r="N9609" s="1"/>
      <c r="O9609" s="1"/>
      <c r="P9609" s="1"/>
      <c r="Q9609" s="1"/>
      <c r="R9609" s="1"/>
      <c r="S9609" s="1"/>
      <c r="T9609" s="1"/>
      <c r="U9609" s="1"/>
      <c r="V9609" s="1"/>
      <c r="W9609" s="1"/>
      <c r="X9609" s="1"/>
      <c r="Y9609" s="1"/>
      <c r="Z9609" s="1"/>
      <c r="AA9609" s="1"/>
      <c r="AB9609" s="1"/>
    </row>
    <row r="9610" ht="50.25" customHeight="1">
      <c r="A9610" s="12">
        <v>9606.0</v>
      </c>
      <c r="B9610" s="13" t="s">
        <v>9604</v>
      </c>
      <c r="C9610" s="14" t="s">
        <v>9637</v>
      </c>
      <c r="D9610" s="1"/>
      <c r="E9610" s="1"/>
      <c r="F9610" s="1" t="str">
        <f>IFERROR(__xludf.DUMMYFUNCTION("GOOGLETRANSLATE(B9610, ""en"", ""fa"")
"),"موفقیت Etsy")</f>
        <v>موفقیت Etsy</v>
      </c>
      <c r="G9610" s="1" t="str">
        <f>IFERROR(__xludf.DUMMYFUNCTION("GOOGLETRANSLATE(C9610, ""en"", ""fa"")
"),"آیا فرصت‌هایی برای بسته‌بندی محصول یا تبلیغات متقابل خاص وجود دارد که بتوانم در Etsy کشف کنم؟")</f>
        <v>آیا فرصت‌هایی برای بسته‌بندی محصول یا تبلیغات متقابل خاص وجود دارد که بتوانم در Etsy کشف کنم؟</v>
      </c>
      <c r="H9610" s="1"/>
      <c r="I9610" s="1"/>
      <c r="J9610" s="1"/>
      <c r="K9610" s="1"/>
      <c r="L9610" s="1"/>
      <c r="M9610" s="1"/>
      <c r="N9610" s="1"/>
      <c r="O9610" s="1"/>
      <c r="P9610" s="1"/>
      <c r="Q9610" s="1"/>
      <c r="R9610" s="1"/>
      <c r="S9610" s="1"/>
      <c r="T9610" s="1"/>
      <c r="U9610" s="1"/>
      <c r="V9610" s="1"/>
      <c r="W9610" s="1"/>
      <c r="X9610" s="1"/>
      <c r="Y9610" s="1"/>
      <c r="Z9610" s="1"/>
      <c r="AA9610" s="1"/>
      <c r="AB9610" s="1"/>
    </row>
    <row r="9611" ht="50.25" customHeight="1">
      <c r="A9611" s="12">
        <v>9607.0</v>
      </c>
      <c r="B9611" s="13" t="s">
        <v>9604</v>
      </c>
      <c r="C9611" s="14" t="s">
        <v>9638</v>
      </c>
      <c r="D9611" s="1"/>
      <c r="E9611" s="1"/>
      <c r="F9611" s="1" t="str">
        <f>IFERROR(__xludf.DUMMYFUNCTION("GOOGLETRANSLATE(B9611, ""en"", ""fa"")
"),"موفقیت Etsy")</f>
        <v>موفقیت Etsy</v>
      </c>
      <c r="G9611" s="1" t="str">
        <f>IFERROR(__xludf.DUMMYFUNCTION("GOOGLETRANSLATE(C9611, ""en"", ""fa"")
"),"چگونه می توانم از اینفلوئنسرها یا وبلاگ نویسان خاص برای افزایش دید فروشگاه Etsy خود استفاده کنم؟")</f>
        <v>چگونه می توانم از اینفلوئنسرها یا وبلاگ نویسان خاص برای افزایش دید فروشگاه Etsy خود استفاده کنم؟</v>
      </c>
      <c r="H9611" s="1"/>
      <c r="I9611" s="1"/>
      <c r="J9611" s="1"/>
      <c r="K9611" s="1"/>
      <c r="L9611" s="1"/>
      <c r="M9611" s="1"/>
      <c r="N9611" s="1"/>
      <c r="O9611" s="1"/>
      <c r="P9611" s="1"/>
      <c r="Q9611" s="1"/>
      <c r="R9611" s="1"/>
      <c r="S9611" s="1"/>
      <c r="T9611" s="1"/>
      <c r="U9611" s="1"/>
      <c r="V9611" s="1"/>
      <c r="W9611" s="1"/>
      <c r="X9611" s="1"/>
      <c r="Y9611" s="1"/>
      <c r="Z9611" s="1"/>
      <c r="AA9611" s="1"/>
      <c r="AB9611" s="1"/>
    </row>
    <row r="9612" ht="50.25" customHeight="1">
      <c r="A9612" s="12">
        <v>9608.0</v>
      </c>
      <c r="B9612" s="13" t="s">
        <v>9604</v>
      </c>
      <c r="C9612" s="14" t="s">
        <v>9639</v>
      </c>
      <c r="D9612" s="1"/>
      <c r="E9612" s="1"/>
      <c r="F9612" s="1" t="str">
        <f>IFERROR(__xludf.DUMMYFUNCTION("GOOGLETRANSLATE(B9612, ""en"", ""fa"")
"),"موفقیت Etsy")</f>
        <v>موفقیت Etsy</v>
      </c>
      <c r="G9612" s="1" t="str">
        <f>IFERROR(__xludf.DUMMYFUNCTION("GOOGLETRANSLATE(C9612, ""en"", ""fa"")
"),"چند استراتژی برای انجام تحقیقات بازار مداوم و به روز ماندن در یک جایگاه خاص در Etsy چیست؟")</f>
        <v>چند استراتژی برای انجام تحقیقات بازار مداوم و به روز ماندن در یک جایگاه خاص در Etsy چیست؟</v>
      </c>
      <c r="H9612" s="1"/>
      <c r="I9612" s="1"/>
      <c r="J9612" s="1"/>
      <c r="K9612" s="1"/>
      <c r="L9612" s="1"/>
      <c r="M9612" s="1"/>
      <c r="N9612" s="1"/>
      <c r="O9612" s="1"/>
      <c r="P9612" s="1"/>
      <c r="Q9612" s="1"/>
      <c r="R9612" s="1"/>
      <c r="S9612" s="1"/>
      <c r="T9612" s="1"/>
      <c r="U9612" s="1"/>
      <c r="V9612" s="1"/>
      <c r="W9612" s="1"/>
      <c r="X9612" s="1"/>
      <c r="Y9612" s="1"/>
      <c r="Z9612" s="1"/>
      <c r="AA9612" s="1"/>
      <c r="AB9612" s="1"/>
    </row>
    <row r="9613" ht="50.25" customHeight="1">
      <c r="A9613" s="12">
        <v>9609.0</v>
      </c>
      <c r="B9613" s="13" t="s">
        <v>9604</v>
      </c>
      <c r="C9613" s="14" t="s">
        <v>9640</v>
      </c>
      <c r="D9613" s="1"/>
      <c r="E9613" s="1"/>
      <c r="F9613" s="1" t="str">
        <f>IFERROR(__xludf.DUMMYFUNCTION("GOOGLETRANSLATE(B9613, ""en"", ""fa"")
"),"موفقیت Etsy")</f>
        <v>موفقیت Etsy</v>
      </c>
      <c r="G9613" s="1" t="str">
        <f>IFERROR(__xludf.DUMMYFUNCTION("GOOGLETRANSLATE(C9613, ""en"", ""fa"")
"),"چگونه می‌توانم از نظرسنجی‌های مشتری یا حلقه‌های بازخورد برای بهبود مستمر محصولات خود در یک جایگاه در Etsy استفاده کنم؟")</f>
        <v>چگونه می‌توانم از نظرسنجی‌های مشتری یا حلقه‌های بازخورد برای بهبود مستمر محصولات خود در یک جایگاه در Etsy استفاده کنم؟</v>
      </c>
      <c r="H9613" s="1"/>
      <c r="I9613" s="1"/>
      <c r="J9613" s="1"/>
      <c r="K9613" s="1"/>
      <c r="L9613" s="1"/>
      <c r="M9613" s="1"/>
      <c r="N9613" s="1"/>
      <c r="O9613" s="1"/>
      <c r="P9613" s="1"/>
      <c r="Q9613" s="1"/>
      <c r="R9613" s="1"/>
      <c r="S9613" s="1"/>
      <c r="T9613" s="1"/>
      <c r="U9613" s="1"/>
      <c r="V9613" s="1"/>
      <c r="W9613" s="1"/>
      <c r="X9613" s="1"/>
      <c r="Y9613" s="1"/>
      <c r="Z9613" s="1"/>
      <c r="AA9613" s="1"/>
      <c r="AB9613" s="1"/>
    </row>
    <row r="9614" ht="50.25" customHeight="1">
      <c r="A9614" s="12">
        <v>9610.0</v>
      </c>
      <c r="B9614" s="13" t="s">
        <v>9604</v>
      </c>
      <c r="C9614" s="14" t="s">
        <v>9641</v>
      </c>
      <c r="D9614" s="1"/>
      <c r="E9614" s="1"/>
      <c r="F9614" s="1" t="str">
        <f>IFERROR(__xludf.DUMMYFUNCTION("GOOGLETRANSLATE(B9614, ""en"", ""fa"")
"),"موفقیت Etsy")</f>
        <v>موفقیت Etsy</v>
      </c>
      <c r="G9614" s="1" t="str">
        <f>IFERROR(__xludf.DUMMYFUNCTION("GOOGLETRANSLATE(C9614, ""en"", ""fa"")
"),"آیا استراتژی های حفظ مشتری خاص یا برنامه های وفاداری وجود دارد که بتوانم در Etsy اجرا کنم؟")</f>
        <v>آیا استراتژی های حفظ مشتری خاص یا برنامه های وفاداری وجود دارد که بتوانم در Etsy اجرا کنم؟</v>
      </c>
      <c r="H9614" s="1"/>
      <c r="I9614" s="1"/>
      <c r="J9614" s="1"/>
      <c r="K9614" s="1"/>
      <c r="L9614" s="1"/>
      <c r="M9614" s="1"/>
      <c r="N9614" s="1"/>
      <c r="O9614" s="1"/>
      <c r="P9614" s="1"/>
      <c r="Q9614" s="1"/>
      <c r="R9614" s="1"/>
      <c r="S9614" s="1"/>
      <c r="T9614" s="1"/>
      <c r="U9614" s="1"/>
      <c r="V9614" s="1"/>
      <c r="W9614" s="1"/>
      <c r="X9614" s="1"/>
      <c r="Y9614" s="1"/>
      <c r="Z9614" s="1"/>
      <c r="AA9614" s="1"/>
      <c r="AB9614" s="1"/>
    </row>
    <row r="9615" ht="50.25" customHeight="1">
      <c r="A9615" s="12">
        <v>9611.0</v>
      </c>
      <c r="B9615" s="13" t="s">
        <v>9604</v>
      </c>
      <c r="C9615" s="14" t="s">
        <v>9642</v>
      </c>
      <c r="D9615" s="1"/>
      <c r="E9615" s="1"/>
      <c r="F9615" s="1" t="str">
        <f>IFERROR(__xludf.DUMMYFUNCTION("GOOGLETRANSLATE(B9615, ""en"", ""fa"")
"),"موفقیت Etsy")</f>
        <v>موفقیت Etsy</v>
      </c>
      <c r="G9615" s="1" t="str">
        <f>IFERROR(__xludf.DUMMYFUNCTION("GOOGLETRANSLATE(C9615, ""en"", ""fa"")
"),"چگونه می‌توانم بازارهای نوظهور یا گرایش‌های مصرف‌کننده را در Etsy شناسایی کرده و از آن بهره ببرم؟")</f>
        <v>چگونه می‌توانم بازارهای نوظهور یا گرایش‌های مصرف‌کننده را در Etsy شناسایی کرده و از آن بهره ببرم؟</v>
      </c>
      <c r="H9615" s="1"/>
      <c r="I9615" s="1"/>
      <c r="J9615" s="1"/>
      <c r="K9615" s="1"/>
      <c r="L9615" s="1"/>
      <c r="M9615" s="1"/>
      <c r="N9615" s="1"/>
      <c r="O9615" s="1"/>
      <c r="P9615" s="1"/>
      <c r="Q9615" s="1"/>
      <c r="R9615" s="1"/>
      <c r="S9615" s="1"/>
      <c r="T9615" s="1"/>
      <c r="U9615" s="1"/>
      <c r="V9615" s="1"/>
      <c r="W9615" s="1"/>
      <c r="X9615" s="1"/>
      <c r="Y9615" s="1"/>
      <c r="Z9615" s="1"/>
      <c r="AA9615" s="1"/>
      <c r="AB9615" s="1"/>
    </row>
    <row r="9616" ht="50.25" customHeight="1">
      <c r="A9616" s="12">
        <v>9612.0</v>
      </c>
      <c r="B9616" s="13" t="s">
        <v>9604</v>
      </c>
      <c r="C9616" s="14" t="s">
        <v>9643</v>
      </c>
      <c r="D9616" s="1"/>
      <c r="E9616" s="1"/>
      <c r="F9616" s="1" t="str">
        <f>IFERROR(__xludf.DUMMYFUNCTION("GOOGLETRANSLATE(B9616, ""en"", ""fa"")
"),"موفقیت Etsy")</f>
        <v>موفقیت Etsy</v>
      </c>
      <c r="G9616" s="1" t="str">
        <f>IFERROR(__xludf.DUMMYFUNCTION("GOOGLETRANSLATE(C9616, ""en"", ""fa"")
"),"برخی از استراتژی‌ها برای گسترش پیشنهادات محصول من در یک جایگاه برای پاسخگویی به ترجیحات مختلف مشتریان در Etsy چیست؟")</f>
        <v>برخی از استراتژی‌ها برای گسترش پیشنهادات محصول من در یک جایگاه برای پاسخگویی به ترجیحات مختلف مشتریان در Etsy چیست؟</v>
      </c>
      <c r="H9616" s="1"/>
      <c r="I9616" s="1"/>
      <c r="J9616" s="1"/>
      <c r="K9616" s="1"/>
      <c r="L9616" s="1"/>
      <c r="M9616" s="1"/>
      <c r="N9616" s="1"/>
      <c r="O9616" s="1"/>
      <c r="P9616" s="1"/>
      <c r="Q9616" s="1"/>
      <c r="R9616" s="1"/>
      <c r="S9616" s="1"/>
      <c r="T9616" s="1"/>
      <c r="U9616" s="1"/>
      <c r="V9616" s="1"/>
      <c r="W9616" s="1"/>
      <c r="X9616" s="1"/>
      <c r="Y9616" s="1"/>
      <c r="Z9616" s="1"/>
      <c r="AA9616" s="1"/>
      <c r="AB9616" s="1"/>
    </row>
    <row r="9617" ht="50.25" customHeight="1">
      <c r="A9617" s="12">
        <v>9613.0</v>
      </c>
      <c r="B9617" s="13" t="s">
        <v>9604</v>
      </c>
      <c r="C9617" s="14" t="s">
        <v>9644</v>
      </c>
      <c r="D9617" s="1"/>
      <c r="E9617" s="1"/>
      <c r="F9617" s="1" t="str">
        <f>IFERROR(__xludf.DUMMYFUNCTION("GOOGLETRANSLATE(B9617, ""en"", ""fa"")
"),"موفقیت Etsy")</f>
        <v>موفقیت Etsy</v>
      </c>
      <c r="G9617" s="1" t="str">
        <f>IFERROR(__xludf.DUMMYFUNCTION("GOOGLETRANSLATE(C9617, ""en"", ""fa"")
"),"چگونه می توانم اعتراضات بالقوه قیمت گذاری یا نگرانی های مشتری را در Etsy شناسایی و برطرف کنم؟")</f>
        <v>چگونه می توانم اعتراضات بالقوه قیمت گذاری یا نگرانی های مشتری را در Etsy شناسایی و برطرف کنم؟</v>
      </c>
      <c r="H9617" s="1"/>
      <c r="I9617" s="1"/>
      <c r="J9617" s="1"/>
      <c r="K9617" s="1"/>
      <c r="L9617" s="1"/>
      <c r="M9617" s="1"/>
      <c r="N9617" s="1"/>
      <c r="O9617" s="1"/>
      <c r="P9617" s="1"/>
      <c r="Q9617" s="1"/>
      <c r="R9617" s="1"/>
      <c r="S9617" s="1"/>
      <c r="T9617" s="1"/>
      <c r="U9617" s="1"/>
      <c r="V9617" s="1"/>
      <c r="W9617" s="1"/>
      <c r="X9617" s="1"/>
      <c r="Y9617" s="1"/>
      <c r="Z9617" s="1"/>
      <c r="AA9617" s="1"/>
      <c r="AB9617" s="1"/>
    </row>
    <row r="9618" ht="50.25" customHeight="1">
      <c r="A9618" s="12">
        <v>9614.0</v>
      </c>
      <c r="B9618" s="13" t="s">
        <v>9604</v>
      </c>
      <c r="C9618" s="14" t="s">
        <v>9645</v>
      </c>
      <c r="D9618" s="1"/>
      <c r="E9618" s="1"/>
      <c r="F9618" s="1" t="str">
        <f>IFERROR(__xludf.DUMMYFUNCTION("GOOGLETRANSLATE(B9618, ""en"", ""fa"")
"),"موفقیت Etsy")</f>
        <v>موفقیت Etsy</v>
      </c>
      <c r="G9618" s="1" t="str">
        <f>IFERROR(__xludf.DUMMYFUNCTION("GOOGLETRANSLATE(C9618, ""en"", ""fa"")
"),"برخی از فرصت های تبلیغاتی خاص یا تبلیغاتی که می توانم در Etsy از آنها استفاده کنم چیست؟")</f>
        <v>برخی از فرصت های تبلیغاتی خاص یا تبلیغاتی که می توانم در Etsy از آنها استفاده کنم چیست؟</v>
      </c>
      <c r="H9618" s="1"/>
      <c r="I9618" s="1"/>
      <c r="J9618" s="1"/>
      <c r="K9618" s="1"/>
      <c r="L9618" s="1"/>
      <c r="M9618" s="1"/>
      <c r="N9618" s="1"/>
      <c r="O9618" s="1"/>
      <c r="P9618" s="1"/>
      <c r="Q9618" s="1"/>
      <c r="R9618" s="1"/>
      <c r="S9618" s="1"/>
      <c r="T9618" s="1"/>
      <c r="U9618" s="1"/>
      <c r="V9618" s="1"/>
      <c r="W9618" s="1"/>
      <c r="X9618" s="1"/>
      <c r="Y9618" s="1"/>
      <c r="Z9618" s="1"/>
      <c r="AA9618" s="1"/>
      <c r="AB9618" s="1"/>
    </row>
    <row r="9619" ht="50.25" customHeight="1">
      <c r="A9619" s="12">
        <v>9615.0</v>
      </c>
      <c r="B9619" s="13" t="s">
        <v>9604</v>
      </c>
      <c r="C9619" s="14" t="s">
        <v>9646</v>
      </c>
      <c r="D9619" s="1"/>
      <c r="E9619" s="1"/>
      <c r="F9619" s="1" t="str">
        <f>IFERROR(__xludf.DUMMYFUNCTION("GOOGLETRANSLATE(B9619, ""en"", ""fa"")
"),"موفقیت Etsy")</f>
        <v>موفقیت Etsy</v>
      </c>
      <c r="G9619" s="1" t="str">
        <f>IFERROR(__xludf.DUMMYFUNCTION("GOOGLETRANSLATE(C9619, ""en"", ""fa"")
"),"چگونه می توانم معیارهای عملکرد محصولات Etsy خود را در یک جایگاه خاص ردیابی و تجزیه و تحلیل کنم؟")</f>
        <v>چگونه می توانم معیارهای عملکرد محصولات Etsy خود را در یک جایگاه خاص ردیابی و تجزیه و تحلیل کنم؟</v>
      </c>
      <c r="H9619" s="1"/>
      <c r="I9619" s="1"/>
      <c r="J9619" s="1"/>
      <c r="K9619" s="1"/>
      <c r="L9619" s="1"/>
      <c r="M9619" s="1"/>
      <c r="N9619" s="1"/>
      <c r="O9619" s="1"/>
      <c r="P9619" s="1"/>
      <c r="Q9619" s="1"/>
      <c r="R9619" s="1"/>
      <c r="S9619" s="1"/>
      <c r="T9619" s="1"/>
      <c r="U9619" s="1"/>
      <c r="V9619" s="1"/>
      <c r="W9619" s="1"/>
      <c r="X9619" s="1"/>
      <c r="Y9619" s="1"/>
      <c r="Z9619" s="1"/>
      <c r="AA9619" s="1"/>
      <c r="AB9619" s="1"/>
    </row>
    <row r="9620" ht="50.25" customHeight="1">
      <c r="A9620" s="12">
        <v>9616.0</v>
      </c>
      <c r="B9620" s="13" t="s">
        <v>9604</v>
      </c>
      <c r="C9620" s="14" t="s">
        <v>9647</v>
      </c>
      <c r="D9620" s="1"/>
      <c r="E9620" s="1"/>
      <c r="F9620" s="1" t="str">
        <f>IFERROR(__xludf.DUMMYFUNCTION("GOOGLETRANSLATE(B9620, ""en"", ""fa"")
"),"موفقیت Etsy")</f>
        <v>موفقیت Etsy</v>
      </c>
      <c r="G9620" s="1" t="str">
        <f>IFERROR(__xludf.DUMMYFUNCTION("GOOGLETRANSLATE(C9620, ""en"", ""fa"")
"),"آیا ابزارها یا پلتفرم‌هایی برای تحقیق محصول خاص وجود دارد که بتوانم از آن برای تأیید تقاضا و رقابت در Etsy استفاده کنم؟")</f>
        <v>آیا ابزارها یا پلتفرم‌هایی برای تحقیق محصول خاص وجود دارد که بتوانم از آن برای تأیید تقاضا و رقابت در Etsy استفاده کنم؟</v>
      </c>
      <c r="H9620" s="1"/>
      <c r="I9620" s="1"/>
      <c r="J9620" s="1"/>
      <c r="K9620" s="1"/>
      <c r="L9620" s="1"/>
      <c r="M9620" s="1"/>
      <c r="N9620" s="1"/>
      <c r="O9620" s="1"/>
      <c r="P9620" s="1"/>
      <c r="Q9620" s="1"/>
      <c r="R9620" s="1"/>
      <c r="S9620" s="1"/>
      <c r="T9620" s="1"/>
      <c r="U9620" s="1"/>
      <c r="V9620" s="1"/>
      <c r="W9620" s="1"/>
      <c r="X9620" s="1"/>
      <c r="Y9620" s="1"/>
      <c r="Z9620" s="1"/>
      <c r="AA9620" s="1"/>
      <c r="AB9620" s="1"/>
    </row>
    <row r="9621" ht="50.25" customHeight="1">
      <c r="A9621" s="12">
        <v>9617.0</v>
      </c>
      <c r="B9621" s="13" t="s">
        <v>9604</v>
      </c>
      <c r="C9621" s="14" t="s">
        <v>9648</v>
      </c>
      <c r="D9621" s="1"/>
      <c r="E9621" s="1"/>
      <c r="F9621" s="1" t="str">
        <f>IFERROR(__xludf.DUMMYFUNCTION("GOOGLETRANSLATE(B9621, ""en"", ""fa"")
"),"موفقیت Etsy")</f>
        <v>موفقیت Etsy</v>
      </c>
      <c r="G9621" s="1" t="str">
        <f>IFERROR(__xludf.DUMMYFUNCTION("GOOGLETRANSLATE(C9621, ""en"", ""fa"")
"),"چگونه می توانم به طور موثر ارزش پیشنهادی محصولات خود را در یک جایگاه در Etsy به اشتراک بگذارم؟")</f>
        <v>چگونه می توانم به طور موثر ارزش پیشنهادی محصولات خود را در یک جایگاه در Etsy به اشتراک بگذارم؟</v>
      </c>
      <c r="H9621" s="1"/>
      <c r="I9621" s="1"/>
      <c r="J9621" s="1"/>
      <c r="K9621" s="1"/>
      <c r="L9621" s="1"/>
      <c r="M9621" s="1"/>
      <c r="N9621" s="1"/>
      <c r="O9621" s="1"/>
      <c r="P9621" s="1"/>
      <c r="Q9621" s="1"/>
      <c r="R9621" s="1"/>
      <c r="S9621" s="1"/>
      <c r="T9621" s="1"/>
      <c r="U9621" s="1"/>
      <c r="V9621" s="1"/>
      <c r="W9621" s="1"/>
      <c r="X9621" s="1"/>
      <c r="Y9621" s="1"/>
      <c r="Z9621" s="1"/>
      <c r="AA9621" s="1"/>
      <c r="AB9621" s="1"/>
    </row>
    <row r="9622" ht="50.25" customHeight="1">
      <c r="A9622" s="12">
        <v>9618.0</v>
      </c>
      <c r="B9622" s="13" t="s">
        <v>9604</v>
      </c>
      <c r="C9622" s="14" t="s">
        <v>9649</v>
      </c>
      <c r="D9622" s="1"/>
      <c r="E9622" s="1"/>
      <c r="F9622" s="1" t="str">
        <f>IFERROR(__xludf.DUMMYFUNCTION("GOOGLETRANSLATE(B9622, ""en"", ""fa"")
"),"موفقیت Etsy")</f>
        <v>موفقیت Etsy</v>
      </c>
      <c r="G9622" s="1" t="str">
        <f>IFERROR(__xludf.DUMMYFUNCTION("GOOGLETRANSLATE(C9622, ""en"", ""fa"")
"),"چند استراتژی برای ایجاد روابط و تعامل با جوامع خاص یا تأثیرگذاران در Etsy چیست؟")</f>
        <v>چند استراتژی برای ایجاد روابط و تعامل با جوامع خاص یا تأثیرگذاران در Etsy چیست؟</v>
      </c>
      <c r="H9622" s="1"/>
      <c r="I9622" s="1"/>
      <c r="J9622" s="1"/>
      <c r="K9622" s="1"/>
      <c r="L9622" s="1"/>
      <c r="M9622" s="1"/>
      <c r="N9622" s="1"/>
      <c r="O9622" s="1"/>
      <c r="P9622" s="1"/>
      <c r="Q9622" s="1"/>
      <c r="R9622" s="1"/>
      <c r="S9622" s="1"/>
      <c r="T9622" s="1"/>
      <c r="U9622" s="1"/>
      <c r="V9622" s="1"/>
      <c r="W9622" s="1"/>
      <c r="X9622" s="1"/>
      <c r="Y9622" s="1"/>
      <c r="Z9622" s="1"/>
      <c r="AA9622" s="1"/>
      <c r="AB9622" s="1"/>
    </row>
    <row r="9623" ht="50.25" customHeight="1">
      <c r="A9623" s="12">
        <v>9619.0</v>
      </c>
      <c r="B9623" s="13" t="s">
        <v>9604</v>
      </c>
      <c r="C9623" s="14" t="s">
        <v>9650</v>
      </c>
      <c r="D9623" s="1"/>
      <c r="E9623" s="1"/>
      <c r="F9623" s="1" t="str">
        <f>IFERROR(__xludf.DUMMYFUNCTION("GOOGLETRANSLATE(B9623, ""en"", ""fa"")
"),"موفقیت Etsy")</f>
        <v>موفقیت Etsy</v>
      </c>
      <c r="G9623" s="1" t="str">
        <f>IFERROR(__xludf.DUMMYFUNCTION("GOOGLETRANSLATE(C9623, ""en"", ""fa"")
"),"چگونه می توانم کلمات کلیدی و برچسب های خاص را برای بهبود قابلیت کشف در Etsy شناسایی و از آنها استفاده کنم؟")</f>
        <v>چگونه می توانم کلمات کلیدی و برچسب های خاص را برای بهبود قابلیت کشف در Etsy شناسایی و از آنها استفاده کنم؟</v>
      </c>
      <c r="H9623" s="1"/>
      <c r="I9623" s="1"/>
      <c r="J9623" s="1"/>
      <c r="K9623" s="1"/>
      <c r="L9623" s="1"/>
      <c r="M9623" s="1"/>
      <c r="N9623" s="1"/>
      <c r="O9623" s="1"/>
      <c r="P9623" s="1"/>
      <c r="Q9623" s="1"/>
      <c r="R9623" s="1"/>
      <c r="S9623" s="1"/>
      <c r="T9623" s="1"/>
      <c r="U9623" s="1"/>
      <c r="V9623" s="1"/>
      <c r="W9623" s="1"/>
      <c r="X9623" s="1"/>
      <c r="Y9623" s="1"/>
      <c r="Z9623" s="1"/>
      <c r="AA9623" s="1"/>
      <c r="AB9623" s="1"/>
    </row>
    <row r="9624" ht="50.25" customHeight="1">
      <c r="A9624" s="12">
        <v>9620.0</v>
      </c>
      <c r="B9624" s="13" t="s">
        <v>9604</v>
      </c>
      <c r="C9624" s="14" t="s">
        <v>9651</v>
      </c>
      <c r="D9624" s="1"/>
      <c r="E9624" s="1"/>
      <c r="F9624" s="1" t="str">
        <f>IFERROR(__xludf.DUMMYFUNCTION("GOOGLETRANSLATE(B9624, ""en"", ""fa"")
"),"موفقیت Etsy")</f>
        <v>موفقیت Etsy</v>
      </c>
      <c r="G9624" s="1" t="str">
        <f>IFERROR(__xludf.DUMMYFUNCTION("GOOGLETRANSLATE(C9624, ""en"", ""fa"")
"),"آیا بسته بندی خاص یا روند حمل و نقل وجود دارد که بتواند تجربه کلی مشتری در Etsy را بهبود بخشد؟")</f>
        <v>آیا بسته بندی خاص یا روند حمل و نقل وجود دارد که بتواند تجربه کلی مشتری در Etsy را بهبود بخشد؟</v>
      </c>
      <c r="H9624" s="1"/>
      <c r="I9624" s="1"/>
      <c r="J9624" s="1"/>
      <c r="K9624" s="1"/>
      <c r="L9624" s="1"/>
      <c r="M9624" s="1"/>
      <c r="N9624" s="1"/>
      <c r="O9624" s="1"/>
      <c r="P9624" s="1"/>
      <c r="Q9624" s="1"/>
      <c r="R9624" s="1"/>
      <c r="S9624" s="1"/>
      <c r="T9624" s="1"/>
      <c r="U9624" s="1"/>
      <c r="V9624" s="1"/>
      <c r="W9624" s="1"/>
      <c r="X9624" s="1"/>
      <c r="Y9624" s="1"/>
      <c r="Z9624" s="1"/>
      <c r="AA9624" s="1"/>
      <c r="AB9624" s="1"/>
    </row>
    <row r="9625" ht="50.25" customHeight="1">
      <c r="A9625" s="12">
        <v>9621.0</v>
      </c>
      <c r="B9625" s="13" t="s">
        <v>9604</v>
      </c>
      <c r="C9625" s="14" t="s">
        <v>9652</v>
      </c>
      <c r="D9625" s="1"/>
      <c r="E9625" s="1"/>
      <c r="F9625" s="1" t="str">
        <f>IFERROR(__xludf.DUMMYFUNCTION("GOOGLETRANSLATE(B9625, ""en"", ""fa"")
"),"موفقیت Etsy")</f>
        <v>موفقیت Etsy</v>
      </c>
      <c r="G9625" s="1" t="str">
        <f>IFERROR(__xludf.DUMMYFUNCTION("GOOGLETRANSLATE(C9625, ""en"", ""fa"")
"),"چگونه می توانم اطلاعات جمعیتی خاص یا بخش های مشتری را در Etsy شناسایی و هدف قرار دهم؟")</f>
        <v>چگونه می توانم اطلاعات جمعیتی خاص یا بخش های مشتری را در Etsy شناسایی و هدف قرار دهم؟</v>
      </c>
      <c r="H9625" s="1"/>
      <c r="I9625" s="1"/>
      <c r="J9625" s="1"/>
      <c r="K9625" s="1"/>
      <c r="L9625" s="1"/>
      <c r="M9625" s="1"/>
      <c r="N9625" s="1"/>
      <c r="O9625" s="1"/>
      <c r="P9625" s="1"/>
      <c r="Q9625" s="1"/>
      <c r="R9625" s="1"/>
      <c r="S9625" s="1"/>
      <c r="T9625" s="1"/>
      <c r="U9625" s="1"/>
      <c r="V9625" s="1"/>
      <c r="W9625" s="1"/>
      <c r="X9625" s="1"/>
      <c r="Y9625" s="1"/>
      <c r="Z9625" s="1"/>
      <c r="AA9625" s="1"/>
      <c r="AB9625" s="1"/>
    </row>
    <row r="9626" ht="50.25" customHeight="1">
      <c r="A9626" s="12">
        <v>9622.0</v>
      </c>
      <c r="B9626" s="13" t="s">
        <v>9604</v>
      </c>
      <c r="C9626" s="14" t="s">
        <v>9653</v>
      </c>
      <c r="D9626" s="1"/>
      <c r="E9626" s="1"/>
      <c r="F9626" s="1" t="str">
        <f>IFERROR(__xludf.DUMMYFUNCTION("GOOGLETRANSLATE(B9626, ""en"", ""fa"")
"),"موفقیت Etsy")</f>
        <v>موفقیت Etsy</v>
      </c>
      <c r="G9626" s="1" t="str">
        <f>IFERROR(__xludf.DUMMYFUNCTION("GOOGLETRANSLATE(C9626, ""en"", ""fa"")
"),"چند استراتژی برای جلوتر ماندن از رقبا در یک جایگاه در Etsy چیست؟")</f>
        <v>چند استراتژی برای جلوتر ماندن از رقبا در یک جایگاه در Etsy چیست؟</v>
      </c>
      <c r="H9626" s="1"/>
      <c r="I9626" s="1"/>
      <c r="J9626" s="1"/>
      <c r="K9626" s="1"/>
      <c r="L9626" s="1"/>
      <c r="M9626" s="1"/>
      <c r="N9626" s="1"/>
      <c r="O9626" s="1"/>
      <c r="P9626" s="1"/>
      <c r="Q9626" s="1"/>
      <c r="R9626" s="1"/>
      <c r="S9626" s="1"/>
      <c r="T9626" s="1"/>
      <c r="U9626" s="1"/>
      <c r="V9626" s="1"/>
      <c r="W9626" s="1"/>
      <c r="X9626" s="1"/>
      <c r="Y9626" s="1"/>
      <c r="Z9626" s="1"/>
      <c r="AA9626" s="1"/>
      <c r="AB9626" s="1"/>
    </row>
    <row r="9627" ht="50.25" customHeight="1">
      <c r="A9627" s="12">
        <v>9623.0</v>
      </c>
      <c r="B9627" s="13" t="s">
        <v>9604</v>
      </c>
      <c r="C9627" s="14" t="s">
        <v>9654</v>
      </c>
      <c r="D9627" s="1"/>
      <c r="E9627" s="1"/>
      <c r="F9627" s="1" t="str">
        <f>IFERROR(__xludf.DUMMYFUNCTION("GOOGLETRANSLATE(B9627, ""en"", ""fa"")
"),"موفقیت Etsy")</f>
        <v>موفقیت Etsy</v>
      </c>
      <c r="G9627" s="1" t="str">
        <f>IFERROR(__xludf.DUMMYFUNCTION("GOOGLETRANSLATE(C9627, ""en"", ""fa"")
"),"چگونه می‌توانم فهرست‌های محصولات خود را در یک جایگاه بهینه کنم تا میزان مشاهده و نرخ تبدیل در Etsy را افزایش دهم؟")</f>
        <v>چگونه می‌توانم فهرست‌های محصولات خود را در یک جایگاه بهینه کنم تا میزان مشاهده و نرخ تبدیل در Etsy را افزایش دهم؟</v>
      </c>
      <c r="H9627" s="1"/>
      <c r="I9627" s="1"/>
      <c r="J9627" s="1"/>
      <c r="K9627" s="1"/>
      <c r="L9627" s="1"/>
      <c r="M9627" s="1"/>
      <c r="N9627" s="1"/>
      <c r="O9627" s="1"/>
      <c r="P9627" s="1"/>
      <c r="Q9627" s="1"/>
      <c r="R9627" s="1"/>
      <c r="S9627" s="1"/>
      <c r="T9627" s="1"/>
      <c r="U9627" s="1"/>
      <c r="V9627" s="1"/>
      <c r="W9627" s="1"/>
      <c r="X9627" s="1"/>
      <c r="Y9627" s="1"/>
      <c r="Z9627" s="1"/>
      <c r="AA9627" s="1"/>
      <c r="AB9627" s="1"/>
    </row>
    <row r="9628" ht="50.25" customHeight="1">
      <c r="A9628" s="12">
        <v>9624.0</v>
      </c>
      <c r="B9628" s="13" t="s">
        <v>9604</v>
      </c>
      <c r="C9628" s="14" t="s">
        <v>9655</v>
      </c>
      <c r="D9628" s="1"/>
      <c r="E9628" s="1"/>
      <c r="F9628" s="1" t="str">
        <f>IFERROR(__xludf.DUMMYFUNCTION("GOOGLETRANSLATE(B9628, ""en"", ""fa"")
"),"موفقیت Etsy")</f>
        <v>موفقیت Etsy</v>
      </c>
      <c r="G9628" s="1" t="str">
        <f>IFERROR(__xludf.DUMMYFUNCTION("GOOGLETRANSLATE(C9628, ""en"", ""fa"")
"),"آیا رویدادها یا تعطیلاتی خاص وجود دارد که بتوانم تلاش های بازاریابی خود را در Etsy با آنها هماهنگ کنم؟")</f>
        <v>آیا رویدادها یا تعطیلاتی خاص وجود دارد که بتوانم تلاش های بازاریابی خود را در Etsy با آنها هماهنگ کنم؟</v>
      </c>
      <c r="H9628" s="1"/>
      <c r="I9628" s="1"/>
      <c r="J9628" s="1"/>
      <c r="K9628" s="1"/>
      <c r="L9628" s="1"/>
      <c r="M9628" s="1"/>
      <c r="N9628" s="1"/>
      <c r="O9628" s="1"/>
      <c r="P9628" s="1"/>
      <c r="Q9628" s="1"/>
      <c r="R9628" s="1"/>
      <c r="S9628" s="1"/>
      <c r="T9628" s="1"/>
      <c r="U9628" s="1"/>
      <c r="V9628" s="1"/>
      <c r="W9628" s="1"/>
      <c r="X9628" s="1"/>
      <c r="Y9628" s="1"/>
      <c r="Z9628" s="1"/>
      <c r="AA9628" s="1"/>
      <c r="AB9628" s="1"/>
    </row>
    <row r="9629" ht="50.25" customHeight="1">
      <c r="A9629" s="12">
        <v>9625.0</v>
      </c>
      <c r="B9629" s="13" t="s">
        <v>9604</v>
      </c>
      <c r="C9629" s="14" t="s">
        <v>9656</v>
      </c>
      <c r="D9629" s="1"/>
      <c r="E9629" s="1"/>
      <c r="F9629" s="1" t="str">
        <f>IFERROR(__xludf.DUMMYFUNCTION("GOOGLETRANSLATE(B9629, ""en"", ""fa"")
"),"موفقیت Etsy")</f>
        <v>موفقیت Etsy</v>
      </c>
      <c r="G9629" s="1" t="str">
        <f>IFERROR(__xludf.DUMMYFUNCTION("GOOGLETRANSLATE(C9629, ""en"", ""fa"")
"),"چگونه می توانم بازخورد و بینش را از انجمن های آنلاین یا انجمن های تخصصی مرتبط در Etsy جمع آوری کنم؟")</f>
        <v>چگونه می توانم بازخورد و بینش را از انجمن های آنلاین یا انجمن های تخصصی مرتبط در Etsy جمع آوری کنم؟</v>
      </c>
      <c r="H9629" s="1"/>
      <c r="I9629" s="1"/>
      <c r="J9629" s="1"/>
      <c r="K9629" s="1"/>
      <c r="L9629" s="1"/>
      <c r="M9629" s="1"/>
      <c r="N9629" s="1"/>
      <c r="O9629" s="1"/>
      <c r="P9629" s="1"/>
      <c r="Q9629" s="1"/>
      <c r="R9629" s="1"/>
      <c r="S9629" s="1"/>
      <c r="T9629" s="1"/>
      <c r="U9629" s="1"/>
      <c r="V9629" s="1"/>
      <c r="W9629" s="1"/>
      <c r="X9629" s="1"/>
      <c r="Y9629" s="1"/>
      <c r="Z9629" s="1"/>
      <c r="AA9629" s="1"/>
      <c r="AB9629" s="1"/>
    </row>
    <row r="9630" ht="50.25" customHeight="1">
      <c r="A9630" s="12">
        <v>9626.0</v>
      </c>
      <c r="B9630" s="13" t="s">
        <v>9604</v>
      </c>
      <c r="C9630" s="14" t="s">
        <v>9657</v>
      </c>
      <c r="D9630" s="1"/>
      <c r="E9630" s="1"/>
      <c r="F9630" s="1" t="str">
        <f>IFERROR(__xludf.DUMMYFUNCTION("GOOGLETRANSLATE(B9630, ""en"", ""fa"")
"),"موفقیت Etsy")</f>
        <v>موفقیت Etsy</v>
      </c>
      <c r="G9630" s="1" t="str">
        <f>IFERROR(__xludf.DUMMYFUNCTION("GOOGLETRANSLATE(C9630, ""en"", ""fa"")
"),"چند استراتژی برای ایجاد یک هویت برند منحصر به فرد و به یاد ماندنی در یک جایگاه در Etsy چیست؟")</f>
        <v>چند استراتژی برای ایجاد یک هویت برند منحصر به فرد و به یاد ماندنی در یک جایگاه در Etsy چیست؟</v>
      </c>
      <c r="H9630" s="1"/>
      <c r="I9630" s="1"/>
      <c r="J9630" s="1"/>
      <c r="K9630" s="1"/>
      <c r="L9630" s="1"/>
      <c r="M9630" s="1"/>
      <c r="N9630" s="1"/>
      <c r="O9630" s="1"/>
      <c r="P9630" s="1"/>
      <c r="Q9630" s="1"/>
      <c r="R9630" s="1"/>
      <c r="S9630" s="1"/>
      <c r="T9630" s="1"/>
      <c r="U9630" s="1"/>
      <c r="V9630" s="1"/>
      <c r="W9630" s="1"/>
      <c r="X9630" s="1"/>
      <c r="Y9630" s="1"/>
      <c r="Z9630" s="1"/>
      <c r="AA9630" s="1"/>
      <c r="AB9630" s="1"/>
    </row>
    <row r="9631" ht="50.25" customHeight="1">
      <c r="A9631" s="12">
        <v>9627.0</v>
      </c>
      <c r="B9631" s="13" t="s">
        <v>9604</v>
      </c>
      <c r="C9631" s="14" t="s">
        <v>9658</v>
      </c>
      <c r="D9631" s="1"/>
      <c r="E9631" s="1"/>
      <c r="F9631" s="1" t="str">
        <f>IFERROR(__xludf.DUMMYFUNCTION("GOOGLETRANSLATE(B9631, ""en"", ""fa"")
"),"موفقیت Etsy")</f>
        <v>موفقیت Etsy</v>
      </c>
      <c r="G9631" s="1" t="str">
        <f>IFERROR(__xludf.DUMMYFUNCTION("GOOGLETRANSLATE(C9631, ""en"", ""fa"")
"),"چگونه می توانم روندهای جستجوی خاص و رفتار مشتری را در Etsy شناسایی و تجزیه و تحلیل کنم؟")</f>
        <v>چگونه می توانم روندهای جستجوی خاص و رفتار مشتری را در Etsy شناسایی و تجزیه و تحلیل کنم؟</v>
      </c>
      <c r="H9631" s="1"/>
      <c r="I9631" s="1"/>
      <c r="J9631" s="1"/>
      <c r="K9631" s="1"/>
      <c r="L9631" s="1"/>
      <c r="M9631" s="1"/>
      <c r="N9631" s="1"/>
      <c r="O9631" s="1"/>
      <c r="P9631" s="1"/>
      <c r="Q9631" s="1"/>
      <c r="R9631" s="1"/>
      <c r="S9631" s="1"/>
      <c r="T9631" s="1"/>
      <c r="U9631" s="1"/>
      <c r="V9631" s="1"/>
      <c r="W9631" s="1"/>
      <c r="X9631" s="1"/>
      <c r="Y9631" s="1"/>
      <c r="Z9631" s="1"/>
      <c r="AA9631" s="1"/>
      <c r="AB9631" s="1"/>
    </row>
    <row r="9632" ht="50.25" customHeight="1">
      <c r="A9632" s="12">
        <v>9628.0</v>
      </c>
      <c r="B9632" s="13" t="s">
        <v>9604</v>
      </c>
      <c r="C9632" s="14" t="s">
        <v>9659</v>
      </c>
      <c r="D9632" s="1"/>
      <c r="E9632" s="1"/>
      <c r="F9632" s="1" t="str">
        <f>IFERROR(__xludf.DUMMYFUNCTION("GOOGLETRANSLATE(B9632, ""en"", ""fa"")
"),"موفقیت Etsy")</f>
        <v>موفقیت Etsy</v>
      </c>
      <c r="G9632" s="1" t="str">
        <f>IFERROR(__xludf.DUMMYFUNCTION("GOOGLETRANSLATE(C9632, ""en"", ""fa"")
"),"آیا ملاحظات مربوط به منبع یا تولید محصول خاص وجود دارد که باید در Etsy در نظر داشته باشم؟")</f>
        <v>آیا ملاحظات مربوط به منبع یا تولید محصول خاص وجود دارد که باید در Etsy در نظر داشته باشم؟</v>
      </c>
      <c r="H9632" s="1"/>
      <c r="I9632" s="1"/>
      <c r="J9632" s="1"/>
      <c r="K9632" s="1"/>
      <c r="L9632" s="1"/>
      <c r="M9632" s="1"/>
      <c r="N9632" s="1"/>
      <c r="O9632" s="1"/>
      <c r="P9632" s="1"/>
      <c r="Q9632" s="1"/>
      <c r="R9632" s="1"/>
      <c r="S9632" s="1"/>
      <c r="T9632" s="1"/>
      <c r="U9632" s="1"/>
      <c r="V9632" s="1"/>
      <c r="W9632" s="1"/>
      <c r="X9632" s="1"/>
      <c r="Y9632" s="1"/>
      <c r="Z9632" s="1"/>
      <c r="AA9632" s="1"/>
      <c r="AB9632" s="1"/>
    </row>
    <row r="9633" ht="50.25" customHeight="1">
      <c r="A9633" s="12">
        <v>9629.0</v>
      </c>
      <c r="B9633" s="13" t="s">
        <v>9604</v>
      </c>
      <c r="C9633" s="14" t="s">
        <v>9660</v>
      </c>
      <c r="D9633" s="1"/>
      <c r="E9633" s="1"/>
      <c r="F9633" s="1" t="str">
        <f>IFERROR(__xludf.DUMMYFUNCTION("GOOGLETRANSLATE(B9633, ""en"", ""fa"")
"),"موفقیت Etsy")</f>
        <v>موفقیت Etsy</v>
      </c>
      <c r="G9633" s="1" t="str">
        <f>IFERROR(__xludf.DUMMYFUNCTION("GOOGLETRANSLATE(C9633, ""en"", ""fa"")
"),"چگونه می توانم فروشگاه Etsy خود را به عنوان یک متخصص یا رهبر فکری در یک جایگاه خاص قرار دهم؟")</f>
        <v>چگونه می توانم فروشگاه Etsy خود را به عنوان یک متخصص یا رهبر فکری در یک جایگاه خاص قرار دهم؟</v>
      </c>
      <c r="H9633" s="1"/>
      <c r="I9633" s="1"/>
      <c r="J9633" s="1"/>
      <c r="K9633" s="1"/>
      <c r="L9633" s="1"/>
      <c r="M9633" s="1"/>
      <c r="N9633" s="1"/>
      <c r="O9633" s="1"/>
      <c r="P9633" s="1"/>
      <c r="Q9633" s="1"/>
      <c r="R9633" s="1"/>
      <c r="S9633" s="1"/>
      <c r="T9633" s="1"/>
      <c r="U9633" s="1"/>
      <c r="V9633" s="1"/>
      <c r="W9633" s="1"/>
      <c r="X9633" s="1"/>
      <c r="Y9633" s="1"/>
      <c r="Z9633" s="1"/>
      <c r="AA9633" s="1"/>
      <c r="AB9633" s="1"/>
    </row>
    <row r="9634" ht="50.25" customHeight="1">
      <c r="A9634" s="12">
        <v>9630.0</v>
      </c>
      <c r="B9634" s="13" t="s">
        <v>9604</v>
      </c>
      <c r="C9634" s="14" t="s">
        <v>9661</v>
      </c>
      <c r="D9634" s="1"/>
      <c r="E9634" s="1"/>
      <c r="F9634" s="1" t="str">
        <f>IFERROR(__xludf.DUMMYFUNCTION("GOOGLETRANSLATE(B9634, ""en"", ""fa"")
"),"موفقیت Etsy")</f>
        <v>موفقیت Etsy</v>
      </c>
      <c r="G9634" s="1" t="str">
        <f>IFERROR(__xludf.DUMMYFUNCTION("GOOGLETRANSLATE(C9634, ""en"", ""fa"")
"),"چند استراتژی برای ایجاد اعتبار و اعتماد در یک جایگاه در Etsy چیست؟")</f>
        <v>چند استراتژی برای ایجاد اعتبار و اعتماد در یک جایگاه در Etsy چیست؟</v>
      </c>
      <c r="H9634" s="1"/>
      <c r="I9634" s="1"/>
      <c r="J9634" s="1"/>
      <c r="K9634" s="1"/>
      <c r="L9634" s="1"/>
      <c r="M9634" s="1"/>
      <c r="N9634" s="1"/>
      <c r="O9634" s="1"/>
      <c r="P9634" s="1"/>
      <c r="Q9634" s="1"/>
      <c r="R9634" s="1"/>
      <c r="S9634" s="1"/>
      <c r="T9634" s="1"/>
      <c r="U9634" s="1"/>
      <c r="V9634" s="1"/>
      <c r="W9634" s="1"/>
      <c r="X9634" s="1"/>
      <c r="Y9634" s="1"/>
      <c r="Z9634" s="1"/>
      <c r="AA9634" s="1"/>
      <c r="AB9634" s="1"/>
    </row>
    <row r="9635" ht="50.25" customHeight="1">
      <c r="A9635" s="12">
        <v>9631.0</v>
      </c>
      <c r="B9635" s="13" t="s">
        <v>9604</v>
      </c>
      <c r="C9635" s="14" t="s">
        <v>9662</v>
      </c>
      <c r="D9635" s="1"/>
      <c r="E9635" s="1"/>
      <c r="F9635" s="1" t="str">
        <f>IFERROR(__xludf.DUMMYFUNCTION("GOOGLETRANSLATE(B9635, ""en"", ""fa"")
"),"موفقیت Etsy")</f>
        <v>موفقیت Etsy</v>
      </c>
      <c r="G9635" s="1" t="str">
        <f>IFERROR(__xludf.DUMMYFUNCTION("GOOGLETRANSLATE(C9635, ""en"", ""fa"")
"),"چگونه می‌توانم ترجیحات و خواسته‌های مشتری در حال تغییر را در یک جایگاه در Etsy نظارت و سازگار کنم؟")</f>
        <v>چگونه می‌توانم ترجیحات و خواسته‌های مشتری در حال تغییر را در یک جایگاه در Etsy نظارت و سازگار کنم؟</v>
      </c>
      <c r="H9635" s="1"/>
      <c r="I9635" s="1"/>
      <c r="J9635" s="1"/>
      <c r="K9635" s="1"/>
      <c r="L9635" s="1"/>
      <c r="M9635" s="1"/>
      <c r="N9635" s="1"/>
      <c r="O9635" s="1"/>
      <c r="P9635" s="1"/>
      <c r="Q9635" s="1"/>
      <c r="R9635" s="1"/>
      <c r="S9635" s="1"/>
      <c r="T9635" s="1"/>
      <c r="U9635" s="1"/>
      <c r="V9635" s="1"/>
      <c r="W9635" s="1"/>
      <c r="X9635" s="1"/>
      <c r="Y9635" s="1"/>
      <c r="Z9635" s="1"/>
      <c r="AA9635" s="1"/>
      <c r="AB9635" s="1"/>
    </row>
    <row r="9636" ht="50.25" customHeight="1">
      <c r="A9636" s="12">
        <v>9632.0</v>
      </c>
      <c r="B9636" s="13" t="s">
        <v>9604</v>
      </c>
      <c r="C9636" s="14" t="s">
        <v>9663</v>
      </c>
      <c r="D9636" s="1"/>
      <c r="E9636" s="1"/>
      <c r="F9636" s="1" t="str">
        <f>IFERROR(__xludf.DUMMYFUNCTION("GOOGLETRANSLATE(B9636, ""en"", ""fa"")
"),"موفقیت Etsy")</f>
        <v>موفقیت Etsy</v>
      </c>
      <c r="G9636" s="1" t="str">
        <f>IFERROR(__xludf.DUMMYFUNCTION("GOOGLETRANSLATE(C9636, ""en"", ""fa"")
"),"آیا بازارهای بین المللی خاص یا بخش های مشتری وجود دارد که بتوانم در Etsy هدف قرار دهم؟")</f>
        <v>آیا بازارهای بین المللی خاص یا بخش های مشتری وجود دارد که بتوانم در Etsy هدف قرار دهم؟</v>
      </c>
      <c r="H9636" s="1"/>
      <c r="I9636" s="1"/>
      <c r="J9636" s="1"/>
      <c r="K9636" s="1"/>
      <c r="L9636" s="1"/>
      <c r="M9636" s="1"/>
      <c r="N9636" s="1"/>
      <c r="O9636" s="1"/>
      <c r="P9636" s="1"/>
      <c r="Q9636" s="1"/>
      <c r="R9636" s="1"/>
      <c r="S9636" s="1"/>
      <c r="T9636" s="1"/>
      <c r="U9636" s="1"/>
      <c r="V9636" s="1"/>
      <c r="W9636" s="1"/>
      <c r="X9636" s="1"/>
      <c r="Y9636" s="1"/>
      <c r="Z9636" s="1"/>
      <c r="AA9636" s="1"/>
      <c r="AB9636" s="1"/>
    </row>
    <row r="9637" ht="50.25" customHeight="1">
      <c r="A9637" s="12">
        <v>9633.0</v>
      </c>
      <c r="B9637" s="13" t="s">
        <v>9604</v>
      </c>
      <c r="C9637" s="14" t="s">
        <v>9664</v>
      </c>
      <c r="D9637" s="1"/>
      <c r="E9637" s="1"/>
      <c r="F9637" s="1" t="str">
        <f>IFERROR(__xludf.DUMMYFUNCTION("GOOGLETRANSLATE(B9637, ""en"", ""fa"")
"),"موفقیت Etsy")</f>
        <v>موفقیت Etsy</v>
      </c>
      <c r="G9637" s="1" t="str">
        <f>IFERROR(__xludf.DUMMYFUNCTION("GOOGLETRANSLATE(C9637, ""en"", ""fa"")
"),"چگونه می توانم از نظرات و نظرات مشتریان خاص برای ایجاد اثبات اجتماعی در Etsy استفاده کنم؟")</f>
        <v>چگونه می توانم از نظرات و نظرات مشتریان خاص برای ایجاد اثبات اجتماعی در Etsy استفاده کنم؟</v>
      </c>
      <c r="H9637" s="1"/>
      <c r="I9637" s="1"/>
      <c r="J9637" s="1"/>
      <c r="K9637" s="1"/>
      <c r="L9637" s="1"/>
      <c r="M9637" s="1"/>
      <c r="N9637" s="1"/>
      <c r="O9637" s="1"/>
      <c r="P9637" s="1"/>
      <c r="Q9637" s="1"/>
      <c r="R9637" s="1"/>
      <c r="S9637" s="1"/>
      <c r="T9637" s="1"/>
      <c r="U9637" s="1"/>
      <c r="V9637" s="1"/>
      <c r="W9637" s="1"/>
      <c r="X9637" s="1"/>
      <c r="Y9637" s="1"/>
      <c r="Z9637" s="1"/>
      <c r="AA9637" s="1"/>
      <c r="AB9637" s="1"/>
    </row>
    <row r="9638" ht="50.25" customHeight="1">
      <c r="A9638" s="12">
        <v>9634.0</v>
      </c>
      <c r="B9638" s="13" t="s">
        <v>9604</v>
      </c>
      <c r="C9638" s="14" t="s">
        <v>9665</v>
      </c>
      <c r="D9638" s="1"/>
      <c r="E9638" s="1"/>
      <c r="F9638" s="1" t="str">
        <f>IFERROR(__xludf.DUMMYFUNCTION("GOOGLETRANSLATE(B9638, ""en"", ""fa"")
"),"موفقیت Etsy")</f>
        <v>موفقیت Etsy</v>
      </c>
      <c r="G9638" s="1" t="str">
        <f>IFERROR(__xludf.DUMMYFUNCTION("GOOGLETRANSLATE(C9638, ""en"", ""fa"")
"),"چند استراتژی برای تحقیق مداوم و شناسایی ایده‌های محصول جدید در یک جایگاه در Etsy چیست؟")</f>
        <v>چند استراتژی برای تحقیق مداوم و شناسایی ایده‌های محصول جدید در یک جایگاه در Etsy چیست؟</v>
      </c>
      <c r="H9638" s="1"/>
      <c r="I9638" s="1"/>
      <c r="J9638" s="1"/>
      <c r="K9638" s="1"/>
      <c r="L9638" s="1"/>
      <c r="M9638" s="1"/>
      <c r="N9638" s="1"/>
      <c r="O9638" s="1"/>
      <c r="P9638" s="1"/>
      <c r="Q9638" s="1"/>
      <c r="R9638" s="1"/>
      <c r="S9638" s="1"/>
      <c r="T9638" s="1"/>
      <c r="U9638" s="1"/>
      <c r="V9638" s="1"/>
      <c r="W9638" s="1"/>
      <c r="X9638" s="1"/>
      <c r="Y9638" s="1"/>
      <c r="Z9638" s="1"/>
      <c r="AA9638" s="1"/>
      <c r="AB9638" s="1"/>
    </row>
    <row r="9639" ht="50.25" customHeight="1">
      <c r="A9639" s="12">
        <v>9635.0</v>
      </c>
      <c r="B9639" s="13" t="s">
        <v>9604</v>
      </c>
      <c r="C9639" s="14" t="s">
        <v>9666</v>
      </c>
      <c r="D9639" s="1"/>
      <c r="E9639" s="1"/>
      <c r="F9639" s="1" t="str">
        <f>IFERROR(__xludf.DUMMYFUNCTION("GOOGLETRANSLATE(B9639, ""en"", ""fa"")
"),"موفقیت Etsy")</f>
        <v>موفقیت Etsy</v>
      </c>
      <c r="G9639" s="1" t="str">
        <f>IFERROR(__xludf.DUMMYFUNCTION("GOOGLETRANSLATE(C9639, ""en"", ""fa"")
"),"چگونه می توانم داده ها و بینش ها را از نظرسنجی های خاص یا گروه های متمرکز جمع آوری کنم تا تصمیمات تجاری Etsy خود را مطلع کنم؟")</f>
        <v>چگونه می توانم داده ها و بینش ها را از نظرسنجی های خاص یا گروه های متمرکز جمع آوری کنم تا تصمیمات تجاری Etsy خود را مطلع کنم؟</v>
      </c>
      <c r="H9639" s="1"/>
      <c r="I9639" s="1"/>
      <c r="J9639" s="1"/>
      <c r="K9639" s="1"/>
      <c r="L9639" s="1"/>
      <c r="M9639" s="1"/>
      <c r="N9639" s="1"/>
      <c r="O9639" s="1"/>
      <c r="P9639" s="1"/>
      <c r="Q9639" s="1"/>
      <c r="R9639" s="1"/>
      <c r="S9639" s="1"/>
      <c r="T9639" s="1"/>
      <c r="U9639" s="1"/>
      <c r="V9639" s="1"/>
      <c r="W9639" s="1"/>
      <c r="X9639" s="1"/>
      <c r="Y9639" s="1"/>
      <c r="Z9639" s="1"/>
      <c r="AA9639" s="1"/>
      <c r="AB9639" s="1"/>
    </row>
    <row r="9640" ht="50.25" customHeight="1">
      <c r="A9640" s="12">
        <v>9636.0</v>
      </c>
      <c r="B9640" s="13" t="s">
        <v>9604</v>
      </c>
      <c r="C9640" s="14" t="s">
        <v>9667</v>
      </c>
      <c r="D9640" s="1"/>
      <c r="E9640" s="1"/>
      <c r="F9640" s="1" t="str">
        <f>IFERROR(__xludf.DUMMYFUNCTION("GOOGLETRANSLATE(B9640, ""en"", ""fa"")
"),"موفقیت Etsy")</f>
        <v>موفقیت Etsy</v>
      </c>
      <c r="G9640" s="1" t="str">
        <f>IFERROR(__xludf.DUMMYFUNCTION("GOOGLETRANSLATE(C9640, ""en"", ""fa"")
"),"آیا الزامات بسته بندی یا برچسب گذاری محصول ویژه ای وجود دارد که باید در Etsy در نظر بگیرم؟")</f>
        <v>آیا الزامات بسته بندی یا برچسب گذاری محصول ویژه ای وجود دارد که باید در Etsy در نظر بگیرم؟</v>
      </c>
      <c r="H9640" s="1"/>
      <c r="I9640" s="1"/>
      <c r="J9640" s="1"/>
      <c r="K9640" s="1"/>
      <c r="L9640" s="1"/>
      <c r="M9640" s="1"/>
      <c r="N9640" s="1"/>
      <c r="O9640" s="1"/>
      <c r="P9640" s="1"/>
      <c r="Q9640" s="1"/>
      <c r="R9640" s="1"/>
      <c r="S9640" s="1"/>
      <c r="T9640" s="1"/>
      <c r="U9640" s="1"/>
      <c r="V9640" s="1"/>
      <c r="W9640" s="1"/>
      <c r="X9640" s="1"/>
      <c r="Y9640" s="1"/>
      <c r="Z9640" s="1"/>
      <c r="AA9640" s="1"/>
      <c r="AB9640" s="1"/>
    </row>
    <row r="9641" ht="50.25" customHeight="1">
      <c r="A9641" s="12">
        <v>9637.0</v>
      </c>
      <c r="B9641" s="13" t="s">
        <v>9604</v>
      </c>
      <c r="C9641" s="14" t="s">
        <v>9668</v>
      </c>
      <c r="D9641" s="1"/>
      <c r="E9641" s="1"/>
      <c r="F9641" s="1" t="str">
        <f>IFERROR(__xludf.DUMMYFUNCTION("GOOGLETRANSLATE(B9641, ""en"", ""fa"")
"),"موفقیت Etsy")</f>
        <v>موفقیت Etsy</v>
      </c>
      <c r="G9641" s="1" t="str">
        <f>IFERROR(__xludf.DUMMYFUNCTION("GOOGLETRANSLATE(C9641, ""en"", ""fa"")
"),"چگونه می توانم از تجزیه و تحلیل رقابتی برای شناسایی شکاف ها و فرصت ها برای کسب و کار Etsy خود استفاده کنم؟")</f>
        <v>چگونه می توانم از تجزیه و تحلیل رقابتی برای شناسایی شکاف ها و فرصت ها برای کسب و کار Etsy خود استفاده کنم؟</v>
      </c>
      <c r="H9641" s="1"/>
      <c r="I9641" s="1"/>
      <c r="J9641" s="1"/>
      <c r="K9641" s="1"/>
      <c r="L9641" s="1"/>
      <c r="M9641" s="1"/>
      <c r="N9641" s="1"/>
      <c r="O9641" s="1"/>
      <c r="P9641" s="1"/>
      <c r="Q9641" s="1"/>
      <c r="R9641" s="1"/>
      <c r="S9641" s="1"/>
      <c r="T9641" s="1"/>
      <c r="U9641" s="1"/>
      <c r="V9641" s="1"/>
      <c r="W9641" s="1"/>
      <c r="X9641" s="1"/>
      <c r="Y9641" s="1"/>
      <c r="Z9641" s="1"/>
      <c r="AA9641" s="1"/>
      <c r="AB9641" s="1"/>
    </row>
    <row r="9642" ht="50.25" customHeight="1">
      <c r="A9642" s="12">
        <v>9638.0</v>
      </c>
      <c r="B9642" s="13" t="s">
        <v>9604</v>
      </c>
      <c r="C9642" s="14" t="s">
        <v>9669</v>
      </c>
      <c r="D9642" s="1"/>
      <c r="E9642" s="1"/>
      <c r="F9642" s="1" t="str">
        <f>IFERROR(__xludf.DUMMYFUNCTION("GOOGLETRANSLATE(B9642, ""en"", ""fa"")
"),"موفقیت Etsy")</f>
        <v>موفقیت Etsy</v>
      </c>
      <c r="G9642" s="1" t="str">
        <f>IFERROR(__xludf.DUMMYFUNCTION("GOOGLETRANSLATE(C9642, ""en"", ""fa"")
"),"چند استراتژی برای ایجاد صدای و لحن برند خاص برای فروشگاه Etsy من چیست؟")</f>
        <v>چند استراتژی برای ایجاد صدای و لحن برند خاص برای فروشگاه Etsy من چیست؟</v>
      </c>
      <c r="H9642" s="1"/>
      <c r="I9642" s="1"/>
      <c r="J9642" s="1"/>
      <c r="K9642" s="1"/>
      <c r="L9642" s="1"/>
      <c r="M9642" s="1"/>
      <c r="N9642" s="1"/>
      <c r="O9642" s="1"/>
      <c r="P9642" s="1"/>
      <c r="Q9642" s="1"/>
      <c r="R9642" s="1"/>
      <c r="S9642" s="1"/>
      <c r="T9642" s="1"/>
      <c r="U9642" s="1"/>
      <c r="V9642" s="1"/>
      <c r="W9642" s="1"/>
      <c r="X9642" s="1"/>
      <c r="Y9642" s="1"/>
      <c r="Z9642" s="1"/>
      <c r="AA9642" s="1"/>
      <c r="AB9642" s="1"/>
    </row>
    <row r="9643" ht="50.25" customHeight="1">
      <c r="A9643" s="12">
        <v>9639.0</v>
      </c>
      <c r="B9643" s="13" t="s">
        <v>9604</v>
      </c>
      <c r="C9643" s="14" t="s">
        <v>9670</v>
      </c>
      <c r="D9643" s="1"/>
      <c r="E9643" s="1"/>
      <c r="F9643" s="1" t="str">
        <f>IFERROR(__xludf.DUMMYFUNCTION("GOOGLETRANSLATE(B9643, ""en"", ""fa"")
"),"موفقیت Etsy")</f>
        <v>موفقیت Etsy</v>
      </c>
      <c r="G9643" s="1" t="str">
        <f>IFERROR(__xludf.DUMMYFUNCTION("GOOGLETRANSLATE(C9643, ""en"", ""fa"")
"),"چگونه می‌توانم آزمایش کاربر انجام دهم یا بازخورد جمع‌آوری کنم تا جذابیت ایده‌های محصولم را در یک جایگاه در Etsy تأیید کنم؟")</f>
        <v>چگونه می‌توانم آزمایش کاربر انجام دهم یا بازخورد جمع‌آوری کنم تا جذابیت ایده‌های محصولم را در یک جایگاه در Etsy تأیید کنم؟</v>
      </c>
      <c r="H9643" s="1"/>
      <c r="I9643" s="1"/>
      <c r="J9643" s="1"/>
      <c r="K9643" s="1"/>
      <c r="L9643" s="1"/>
      <c r="M9643" s="1"/>
      <c r="N9643" s="1"/>
      <c r="O9643" s="1"/>
      <c r="P9643" s="1"/>
      <c r="Q9643" s="1"/>
      <c r="R9643" s="1"/>
      <c r="S9643" s="1"/>
      <c r="T9643" s="1"/>
      <c r="U9643" s="1"/>
      <c r="V9643" s="1"/>
      <c r="W9643" s="1"/>
      <c r="X9643" s="1"/>
      <c r="Y9643" s="1"/>
      <c r="Z9643" s="1"/>
      <c r="AA9643" s="1"/>
      <c r="AB9643" s="1"/>
    </row>
    <row r="9644" ht="50.25" customHeight="1">
      <c r="A9644" s="12">
        <v>9640.0</v>
      </c>
      <c r="B9644" s="13" t="s">
        <v>9604</v>
      </c>
      <c r="C9644" s="14" t="s">
        <v>9671</v>
      </c>
      <c r="D9644" s="1"/>
      <c r="E9644" s="1"/>
      <c r="F9644" s="1" t="str">
        <f>IFERROR(__xludf.DUMMYFUNCTION("GOOGLETRANSLATE(B9644, ""en"", ""fa"")
"),"موفقیت Etsy")</f>
        <v>موفقیت Etsy</v>
      </c>
      <c r="G9644" s="1" t="str">
        <f>IFERROR(__xludf.DUMMYFUNCTION("GOOGLETRANSLATE(C9644, ""en"", ""fa"")
"),"آیا اشتراک خاص یا مدل های درآمدی تکرارشونده ای وجود دارد که بتوان در Etsy پیاده سازی کرد؟")</f>
        <v>آیا اشتراک خاص یا مدل های درآمدی تکرارشونده ای وجود دارد که بتوان در Etsy پیاده سازی کرد؟</v>
      </c>
      <c r="H9644" s="1"/>
      <c r="I9644" s="1"/>
      <c r="J9644" s="1"/>
      <c r="K9644" s="1"/>
      <c r="L9644" s="1"/>
      <c r="M9644" s="1"/>
      <c r="N9644" s="1"/>
      <c r="O9644" s="1"/>
      <c r="P9644" s="1"/>
      <c r="Q9644" s="1"/>
      <c r="R9644" s="1"/>
      <c r="S9644" s="1"/>
      <c r="T9644" s="1"/>
      <c r="U9644" s="1"/>
      <c r="V9644" s="1"/>
      <c r="W9644" s="1"/>
      <c r="X9644" s="1"/>
      <c r="Y9644" s="1"/>
      <c r="Z9644" s="1"/>
      <c r="AA9644" s="1"/>
      <c r="AB9644" s="1"/>
    </row>
    <row r="9645" ht="50.25" customHeight="1">
      <c r="A9645" s="12">
        <v>9641.0</v>
      </c>
      <c r="B9645" s="13" t="s">
        <v>9604</v>
      </c>
      <c r="C9645" s="14" t="s">
        <v>9672</v>
      </c>
      <c r="D9645" s="1"/>
      <c r="E9645" s="1"/>
      <c r="F9645" s="1" t="str">
        <f>IFERROR(__xludf.DUMMYFUNCTION("GOOGLETRANSLATE(B9645, ""en"", ""fa"")
"),"موفقیت Etsy")</f>
        <v>موفقیت Etsy</v>
      </c>
      <c r="G9645" s="1" t="str">
        <f>IFERROR(__xludf.DUMMYFUNCTION("GOOGLETRANSLATE(C9645, ""en"", ""fa"")
"),"چگونه می توانم از اینفلوئنسرهای خاص یا سفیران برند برای گسترش دسترسی خود به Etsy استفاده کنم؟")</f>
        <v>چگونه می توانم از اینفلوئنسرهای خاص یا سفیران برند برای گسترش دسترسی خود به Etsy استفاده کنم؟</v>
      </c>
      <c r="H9645" s="1"/>
      <c r="I9645" s="1"/>
      <c r="J9645" s="1"/>
      <c r="K9645" s="1"/>
      <c r="L9645" s="1"/>
      <c r="M9645" s="1"/>
      <c r="N9645" s="1"/>
      <c r="O9645" s="1"/>
      <c r="P9645" s="1"/>
      <c r="Q9645" s="1"/>
      <c r="R9645" s="1"/>
      <c r="S9645" s="1"/>
      <c r="T9645" s="1"/>
      <c r="U9645" s="1"/>
      <c r="V9645" s="1"/>
      <c r="W9645" s="1"/>
      <c r="X9645" s="1"/>
      <c r="Y9645" s="1"/>
      <c r="Z9645" s="1"/>
      <c r="AA9645" s="1"/>
      <c r="AB9645" s="1"/>
    </row>
    <row r="9646" ht="50.25" customHeight="1">
      <c r="A9646" s="12">
        <v>9642.0</v>
      </c>
      <c r="B9646" s="13" t="s">
        <v>9604</v>
      </c>
      <c r="C9646" s="14" t="s">
        <v>9673</v>
      </c>
      <c r="D9646" s="1"/>
      <c r="E9646" s="1"/>
      <c r="F9646" s="1" t="str">
        <f>IFERROR(__xludf.DUMMYFUNCTION("GOOGLETRANSLATE(B9646, ""en"", ""fa"")
"),"موفقیت Etsy")</f>
        <v>موفقیت Etsy</v>
      </c>
      <c r="G9646" s="1" t="str">
        <f>IFERROR(__xludf.DUMMYFUNCTION("GOOGLETRANSLATE(C9646, ""en"", ""fa"")
"),"چند استراتژی برای متمایز ساختن محصولات من در یک طاقچه از طریق طراحی منحصر به فرد یا گزینه های سفارشی سازی در Etsy چیست؟")</f>
        <v>چند استراتژی برای متمایز ساختن محصولات من در یک طاقچه از طریق طراحی منحصر به فرد یا گزینه های سفارشی سازی در Etsy چیست؟</v>
      </c>
      <c r="H9646" s="1"/>
      <c r="I9646" s="1"/>
      <c r="J9646" s="1"/>
      <c r="K9646" s="1"/>
      <c r="L9646" s="1"/>
      <c r="M9646" s="1"/>
      <c r="N9646" s="1"/>
      <c r="O9646" s="1"/>
      <c r="P9646" s="1"/>
      <c r="Q9646" s="1"/>
      <c r="R9646" s="1"/>
      <c r="S9646" s="1"/>
      <c r="T9646" s="1"/>
      <c r="U9646" s="1"/>
      <c r="V9646" s="1"/>
      <c r="W9646" s="1"/>
      <c r="X9646" s="1"/>
      <c r="Y9646" s="1"/>
      <c r="Z9646" s="1"/>
      <c r="AA9646" s="1"/>
      <c r="AB9646" s="1"/>
    </row>
    <row r="9647" ht="50.25" customHeight="1">
      <c r="A9647" s="12">
        <v>9643.0</v>
      </c>
      <c r="B9647" s="13" t="s">
        <v>9604</v>
      </c>
      <c r="C9647" s="14" t="s">
        <v>9674</v>
      </c>
      <c r="D9647" s="1"/>
      <c r="E9647" s="1"/>
      <c r="F9647" s="1" t="str">
        <f>IFERROR(__xludf.DUMMYFUNCTION("GOOGLETRANSLATE(B9647, ""en"", ""fa"")
"),"موفقیت Etsy")</f>
        <v>موفقیت Etsy</v>
      </c>
      <c r="G9647" s="1" t="str">
        <f>IFERROR(__xludf.DUMMYFUNCTION("GOOGLETRANSLATE(C9647, ""en"", ""fa"")
"),"چگونه می توانم از داده ها و بینش های مشتری برای شخصی سازی تجربه خرید برای بخش های خاص در Etsy استفاده کنم؟")</f>
        <v>چگونه می توانم از داده ها و بینش های مشتری برای شخصی سازی تجربه خرید برای بخش های خاص در Etsy استفاده کنم؟</v>
      </c>
      <c r="H9647" s="1"/>
      <c r="I9647" s="1"/>
      <c r="J9647" s="1"/>
      <c r="K9647" s="1"/>
      <c r="L9647" s="1"/>
      <c r="M9647" s="1"/>
      <c r="N9647" s="1"/>
      <c r="O9647" s="1"/>
      <c r="P9647" s="1"/>
      <c r="Q9647" s="1"/>
      <c r="R9647" s="1"/>
      <c r="S9647" s="1"/>
      <c r="T9647" s="1"/>
      <c r="U9647" s="1"/>
      <c r="V9647" s="1"/>
      <c r="W9647" s="1"/>
      <c r="X9647" s="1"/>
      <c r="Y9647" s="1"/>
      <c r="Z9647" s="1"/>
      <c r="AA9647" s="1"/>
      <c r="AB9647" s="1"/>
    </row>
    <row r="9648" ht="50.25" customHeight="1">
      <c r="A9648" s="12">
        <v>9644.0</v>
      </c>
      <c r="B9648" s="13" t="s">
        <v>9604</v>
      </c>
      <c r="C9648" s="14" t="s">
        <v>9675</v>
      </c>
      <c r="D9648" s="1"/>
      <c r="E9648" s="1"/>
      <c r="F9648" s="1" t="str">
        <f>IFERROR(__xludf.DUMMYFUNCTION("GOOGLETRANSLATE(B9648, ""en"", ""fa"")
"),"موفقیت Etsy")</f>
        <v>موفقیت Etsy</v>
      </c>
      <c r="G9648" s="1" t="str">
        <f>IFERROR(__xludf.DUMMYFUNCTION("GOOGLETRANSLATE(C9648, ""en"", ""fa"")
"),"آیا ملاحظات مربوط به مجوز خاص یا حق چاپ وجود دارد که باید در Etsy از آنها آگاه باشم؟")</f>
        <v>آیا ملاحظات مربوط به مجوز خاص یا حق چاپ وجود دارد که باید در Etsy از آنها آگاه باشم؟</v>
      </c>
      <c r="H9648" s="1"/>
      <c r="I9648" s="1"/>
      <c r="J9648" s="1"/>
      <c r="K9648" s="1"/>
      <c r="L9648" s="1"/>
      <c r="M9648" s="1"/>
      <c r="N9648" s="1"/>
      <c r="O9648" s="1"/>
      <c r="P9648" s="1"/>
      <c r="Q9648" s="1"/>
      <c r="R9648" s="1"/>
      <c r="S9648" s="1"/>
      <c r="T9648" s="1"/>
      <c r="U9648" s="1"/>
      <c r="V9648" s="1"/>
      <c r="W9648" s="1"/>
      <c r="X9648" s="1"/>
      <c r="Y9648" s="1"/>
      <c r="Z9648" s="1"/>
      <c r="AA9648" s="1"/>
      <c r="AB9648" s="1"/>
    </row>
    <row r="9649" ht="50.25" customHeight="1">
      <c r="A9649" s="12">
        <v>9645.0</v>
      </c>
      <c r="B9649" s="13" t="s">
        <v>9604</v>
      </c>
      <c r="C9649" s="14" t="s">
        <v>9676</v>
      </c>
      <c r="D9649" s="1"/>
      <c r="E9649" s="1"/>
      <c r="F9649" s="1" t="str">
        <f>IFERROR(__xludf.DUMMYFUNCTION("GOOGLETRANSLATE(B9649, ""en"", ""fa"")
"),"موفقیت Etsy")</f>
        <v>موفقیت Etsy</v>
      </c>
      <c r="G9649" s="1" t="str">
        <f>IFERROR(__xludf.DUMMYFUNCTION("GOOGLETRANSLATE(C9649, ""en"", ""fa"")
"),"چگونه می‌توانم از روندها و رویدادهای خاص برای ایجاد محصولات با نسخه محدود یا فصلی در Etsy استفاده کنم؟")</f>
        <v>چگونه می‌توانم از روندها و رویدادهای خاص برای ایجاد محصولات با نسخه محدود یا فصلی در Etsy استفاده کنم؟</v>
      </c>
      <c r="H9649" s="1"/>
      <c r="I9649" s="1"/>
      <c r="J9649" s="1"/>
      <c r="K9649" s="1"/>
      <c r="L9649" s="1"/>
      <c r="M9649" s="1"/>
      <c r="N9649" s="1"/>
      <c r="O9649" s="1"/>
      <c r="P9649" s="1"/>
      <c r="Q9649" s="1"/>
      <c r="R9649" s="1"/>
      <c r="S9649" s="1"/>
      <c r="T9649" s="1"/>
      <c r="U9649" s="1"/>
      <c r="V9649" s="1"/>
      <c r="W9649" s="1"/>
      <c r="X9649" s="1"/>
      <c r="Y9649" s="1"/>
      <c r="Z9649" s="1"/>
      <c r="AA9649" s="1"/>
      <c r="AB9649" s="1"/>
    </row>
    <row r="9650" ht="50.25" customHeight="1">
      <c r="A9650" s="12">
        <v>9646.0</v>
      </c>
      <c r="B9650" s="13" t="s">
        <v>9604</v>
      </c>
      <c r="C9650" s="14" t="s">
        <v>9677</v>
      </c>
      <c r="D9650" s="1"/>
      <c r="E9650" s="1"/>
      <c r="F9650" s="1" t="str">
        <f>IFERROR(__xludf.DUMMYFUNCTION("GOOGLETRANSLATE(B9650, ""en"", ""fa"")
"),"موفقیت Etsy")</f>
        <v>موفقیت Etsy</v>
      </c>
      <c r="G9650" s="1" t="str">
        <f>IFERROR(__xludf.DUMMYFUNCTION("GOOGLETRANSLATE(C9650, ""en"", ""fa"")
"),"چگونه می توانم طرح و طراحی فروشگاه Etsy خود را برای بهبود تجربه کلی کاربر بهینه کنم؟")</f>
        <v>چگونه می توانم طرح و طراحی فروشگاه Etsy خود را برای بهبود تجربه کلی کاربر بهینه کنم؟</v>
      </c>
      <c r="H9650" s="1"/>
      <c r="I9650" s="1"/>
      <c r="J9650" s="1"/>
      <c r="K9650" s="1"/>
      <c r="L9650" s="1"/>
      <c r="M9650" s="1"/>
      <c r="N9650" s="1"/>
      <c r="O9650" s="1"/>
      <c r="P9650" s="1"/>
      <c r="Q9650" s="1"/>
      <c r="R9650" s="1"/>
      <c r="S9650" s="1"/>
      <c r="T9650" s="1"/>
      <c r="U9650" s="1"/>
      <c r="V9650" s="1"/>
      <c r="W9650" s="1"/>
      <c r="X9650" s="1"/>
      <c r="Y9650" s="1"/>
      <c r="Z9650" s="1"/>
      <c r="AA9650" s="1"/>
      <c r="AB9650" s="1"/>
    </row>
    <row r="9651" ht="50.25" customHeight="1">
      <c r="A9651" s="12">
        <v>9647.0</v>
      </c>
      <c r="B9651" s="13" t="s">
        <v>9604</v>
      </c>
      <c r="C9651" s="14" t="s">
        <v>9678</v>
      </c>
      <c r="D9651" s="1"/>
      <c r="E9651" s="1"/>
      <c r="F9651" s="1" t="str">
        <f>IFERROR(__xludf.DUMMYFUNCTION("GOOGLETRANSLATE(B9651, ""en"", ""fa"")
"),"موفقیت Etsy")</f>
        <v>موفقیت Etsy</v>
      </c>
      <c r="G9651" s="1" t="str">
        <f>IFERROR(__xludf.DUMMYFUNCTION("GOOGLETRANSLATE(C9651, ""en"", ""fa"")
"),"عناصر کلیدی یک بنر و لوگوی موثر فروشگاه Etsy چیست؟")</f>
        <v>عناصر کلیدی یک بنر و لوگوی موثر فروشگاه Etsy چیست؟</v>
      </c>
      <c r="H9651" s="1"/>
      <c r="I9651" s="1"/>
      <c r="J9651" s="1"/>
      <c r="K9651" s="1"/>
      <c r="L9651" s="1"/>
      <c r="M9651" s="1"/>
      <c r="N9651" s="1"/>
      <c r="O9651" s="1"/>
      <c r="P9651" s="1"/>
      <c r="Q9651" s="1"/>
      <c r="R9651" s="1"/>
      <c r="S9651" s="1"/>
      <c r="T9651" s="1"/>
      <c r="U9651" s="1"/>
      <c r="V9651" s="1"/>
      <c r="W9651" s="1"/>
      <c r="X9651" s="1"/>
      <c r="Y9651" s="1"/>
      <c r="Z9651" s="1"/>
      <c r="AA9651" s="1"/>
      <c r="AB9651" s="1"/>
    </row>
    <row r="9652" ht="50.25" customHeight="1">
      <c r="A9652" s="12">
        <v>9648.0</v>
      </c>
      <c r="B9652" s="13" t="s">
        <v>9604</v>
      </c>
      <c r="C9652" s="14" t="s">
        <v>9679</v>
      </c>
      <c r="D9652" s="1"/>
      <c r="E9652" s="1"/>
      <c r="F9652" s="1" t="str">
        <f>IFERROR(__xludf.DUMMYFUNCTION("GOOGLETRANSLATE(B9652, ""en"", ""fa"")
"),"موفقیت Etsy")</f>
        <v>موفقیت Etsy</v>
      </c>
      <c r="G9652" s="1" t="str">
        <f>IFERROR(__xludf.DUMMYFUNCTION("GOOGLETRANSLATE(C9652, ""en"", ""fa"")
"),"چگونه می توانم عنوان و برچسب فروشگاه خود را برای جذب بازدیدکنندگان بیشتر در Etsy بهینه کنم؟")</f>
        <v>چگونه می توانم عنوان و برچسب فروشگاه خود را برای جذب بازدیدکنندگان بیشتر در Etsy بهینه کنم؟</v>
      </c>
      <c r="H9652" s="1"/>
      <c r="I9652" s="1"/>
      <c r="J9652" s="1"/>
      <c r="K9652" s="1"/>
      <c r="L9652" s="1"/>
      <c r="M9652" s="1"/>
      <c r="N9652" s="1"/>
      <c r="O9652" s="1"/>
      <c r="P9652" s="1"/>
      <c r="Q9652" s="1"/>
      <c r="R9652" s="1"/>
      <c r="S9652" s="1"/>
      <c r="T9652" s="1"/>
      <c r="U9652" s="1"/>
      <c r="V9652" s="1"/>
      <c r="W9652" s="1"/>
      <c r="X9652" s="1"/>
      <c r="Y9652" s="1"/>
      <c r="Z9652" s="1"/>
      <c r="AA9652" s="1"/>
      <c r="AB9652" s="1"/>
    </row>
    <row r="9653" ht="50.25" customHeight="1">
      <c r="A9653" s="12">
        <v>9649.0</v>
      </c>
      <c r="B9653" s="13" t="s">
        <v>9604</v>
      </c>
      <c r="C9653" s="14" t="s">
        <v>9680</v>
      </c>
      <c r="D9653" s="1"/>
      <c r="E9653" s="1"/>
      <c r="F9653" s="1" t="str">
        <f>IFERROR(__xludf.DUMMYFUNCTION("GOOGLETRANSLATE(B9653, ""en"", ""fa"")
"),"موفقیت Etsy")</f>
        <v>موفقیت Etsy</v>
      </c>
      <c r="G9653" s="1" t="str">
        <f>IFERROR(__xludf.DUMMYFUNCTION("GOOGLETRANSLATE(C9653, ""en"", ""fa"")
"),"بهترین روش ها برای نوشتن اطلاعیه ها و توضیحات فروشگاه قانع کننده چیست؟")</f>
        <v>بهترین روش ها برای نوشتن اطلاعیه ها و توضیحات فروشگاه قانع کننده چیست؟</v>
      </c>
      <c r="H9653" s="1"/>
      <c r="I9653" s="1"/>
      <c r="J9653" s="1"/>
      <c r="K9653" s="1"/>
      <c r="L9653" s="1"/>
      <c r="M9653" s="1"/>
      <c r="N9653" s="1"/>
      <c r="O9653" s="1"/>
      <c r="P9653" s="1"/>
      <c r="Q9653" s="1"/>
      <c r="R9653" s="1"/>
      <c r="S9653" s="1"/>
      <c r="T9653" s="1"/>
      <c r="U9653" s="1"/>
      <c r="V9653" s="1"/>
      <c r="W9653" s="1"/>
      <c r="X9653" s="1"/>
      <c r="Y9653" s="1"/>
      <c r="Z9653" s="1"/>
      <c r="AA9653" s="1"/>
      <c r="AB9653" s="1"/>
    </row>
    <row r="9654" ht="50.25" customHeight="1">
      <c r="A9654" s="12">
        <v>9650.0</v>
      </c>
      <c r="B9654" s="13" t="s">
        <v>9604</v>
      </c>
      <c r="C9654" s="14" t="s">
        <v>9681</v>
      </c>
      <c r="D9654" s="1"/>
      <c r="E9654" s="1"/>
      <c r="F9654" s="1" t="str">
        <f>IFERROR(__xludf.DUMMYFUNCTION("GOOGLETRANSLATE(B9654, ""en"", ""fa"")
"),"موفقیت Etsy")</f>
        <v>موفقیت Etsy</v>
      </c>
      <c r="G9654" s="1" t="str">
        <f>IFERROR(__xludf.DUMMYFUNCTION("GOOGLETRANSLATE(C9654, ""en"", ""fa"")
"),"چگونه می توانم دسته ها و زیرمجموعه های فروشگاه خود را برای ناوبری آسان سازماندهی کنم؟")</f>
        <v>چگونه می توانم دسته ها و زیرمجموعه های فروشگاه خود را برای ناوبری آسان سازماندهی کنم؟</v>
      </c>
      <c r="H9654" s="1"/>
      <c r="I9654" s="1"/>
      <c r="J9654" s="1"/>
      <c r="K9654" s="1"/>
      <c r="L9654" s="1"/>
      <c r="M9654" s="1"/>
      <c r="N9654" s="1"/>
      <c r="O9654" s="1"/>
      <c r="P9654" s="1"/>
      <c r="Q9654" s="1"/>
      <c r="R9654" s="1"/>
      <c r="S9654" s="1"/>
      <c r="T9654" s="1"/>
      <c r="U9654" s="1"/>
      <c r="V9654" s="1"/>
      <c r="W9654" s="1"/>
      <c r="X9654" s="1"/>
      <c r="Y9654" s="1"/>
      <c r="Z9654" s="1"/>
      <c r="AA9654" s="1"/>
      <c r="AB9654" s="1"/>
    </row>
    <row r="9655" ht="50.25" customHeight="1">
      <c r="A9655" s="12">
        <v>9651.0</v>
      </c>
      <c r="B9655" s="13" t="s">
        <v>9604</v>
      </c>
      <c r="C9655" s="14" t="s">
        <v>9682</v>
      </c>
      <c r="D9655" s="1"/>
      <c r="E9655" s="1"/>
      <c r="F9655" s="1" t="str">
        <f>IFERROR(__xludf.DUMMYFUNCTION("GOOGLETRANSLATE(B9655, ""en"", ""fa"")
"),"موفقیت Etsy")</f>
        <v>موفقیت Etsy</v>
      </c>
      <c r="G9655" s="1" t="str">
        <f>IFERROR(__xludf.DUMMYFUNCTION("GOOGLETRANSLATE(C9655, ""en"", ""fa"")
"),"چند استراتژی برای بهینه سازی فروشگاه Etsy من برای کاربران تلفن همراه چیست؟")</f>
        <v>چند استراتژی برای بهینه سازی فروشگاه Etsy من برای کاربران تلفن همراه چیست؟</v>
      </c>
      <c r="H9655" s="1"/>
      <c r="I9655" s="1"/>
      <c r="J9655" s="1"/>
      <c r="K9655" s="1"/>
      <c r="L9655" s="1"/>
      <c r="M9655" s="1"/>
      <c r="N9655" s="1"/>
      <c r="O9655" s="1"/>
      <c r="P9655" s="1"/>
      <c r="Q9655" s="1"/>
      <c r="R9655" s="1"/>
      <c r="S9655" s="1"/>
      <c r="T9655" s="1"/>
      <c r="U9655" s="1"/>
      <c r="V9655" s="1"/>
      <c r="W9655" s="1"/>
      <c r="X9655" s="1"/>
      <c r="Y9655" s="1"/>
      <c r="Z9655" s="1"/>
      <c r="AA9655" s="1"/>
      <c r="AB9655" s="1"/>
    </row>
    <row r="9656" ht="50.25" customHeight="1">
      <c r="A9656" s="12">
        <v>9652.0</v>
      </c>
      <c r="B9656" s="13" t="s">
        <v>9604</v>
      </c>
      <c r="C9656" s="14" t="s">
        <v>9683</v>
      </c>
      <c r="D9656" s="1"/>
      <c r="E9656" s="1"/>
      <c r="F9656" s="1" t="str">
        <f>IFERROR(__xludf.DUMMYFUNCTION("GOOGLETRANSLATE(B9656, ""en"", ""fa"")
"),"موفقیت Etsy")</f>
        <v>موفقیت Etsy</v>
      </c>
      <c r="G9656" s="1" t="str">
        <f>IFERROR(__xludf.DUMMYFUNCTION("GOOGLETRANSLATE(C9656, ""en"", ""fa"")
"),"چگونه می‌توانم خط‌مشی‌های فروشگاه و بخش پرسش‌های متداول خود را برای رفع نگرانی‌های رایج مشتریان بهینه کنم؟")</f>
        <v>چگونه می‌توانم خط‌مشی‌های فروشگاه و بخش پرسش‌های متداول خود را برای رفع نگرانی‌های رایج مشتریان بهینه کنم؟</v>
      </c>
      <c r="H9656" s="1"/>
      <c r="I9656" s="1"/>
      <c r="J9656" s="1"/>
      <c r="K9656" s="1"/>
      <c r="L9656" s="1"/>
      <c r="M9656" s="1"/>
      <c r="N9656" s="1"/>
      <c r="O9656" s="1"/>
      <c r="P9656" s="1"/>
      <c r="Q9656" s="1"/>
      <c r="R9656" s="1"/>
      <c r="S9656" s="1"/>
      <c r="T9656" s="1"/>
      <c r="U9656" s="1"/>
      <c r="V9656" s="1"/>
      <c r="W9656" s="1"/>
      <c r="X9656" s="1"/>
      <c r="Y9656" s="1"/>
      <c r="Z9656" s="1"/>
      <c r="AA9656" s="1"/>
      <c r="AB9656" s="1"/>
    </row>
    <row r="9657" ht="50.25" customHeight="1">
      <c r="A9657" s="12">
        <v>9653.0</v>
      </c>
      <c r="B9657" s="13" t="s">
        <v>9604</v>
      </c>
      <c r="C9657" s="14" t="s">
        <v>9684</v>
      </c>
      <c r="D9657" s="1"/>
      <c r="E9657" s="1"/>
      <c r="F9657" s="1" t="str">
        <f>IFERROR(__xludf.DUMMYFUNCTION("GOOGLETRANSLATE(B9657, ""en"", ""fa"")
"),"موفقیت Etsy")</f>
        <v>موفقیت Etsy</v>
      </c>
      <c r="G9657" s="1" t="str">
        <f>IFERROR(__xludf.DUMMYFUNCTION("GOOGLETRANSLATE(C9657, ""en"", ""fa"")
"),"ملاحظات برای انتخاب رنگ‌ها و فونت‌های مناسب فروشگاهی که با برند من مطابقت دارند چیست؟")</f>
        <v>ملاحظات برای انتخاب رنگ‌ها و فونت‌های مناسب فروشگاهی که با برند من مطابقت دارند چیست؟</v>
      </c>
      <c r="H9657" s="1"/>
      <c r="I9657" s="1"/>
      <c r="J9657" s="1"/>
      <c r="K9657" s="1"/>
      <c r="L9657" s="1"/>
      <c r="M9657" s="1"/>
      <c r="N9657" s="1"/>
      <c r="O9657" s="1"/>
      <c r="P9657" s="1"/>
      <c r="Q9657" s="1"/>
      <c r="R9657" s="1"/>
      <c r="S9657" s="1"/>
      <c r="T9657" s="1"/>
      <c r="U9657" s="1"/>
      <c r="V9657" s="1"/>
      <c r="W9657" s="1"/>
      <c r="X9657" s="1"/>
      <c r="Y9657" s="1"/>
      <c r="Z9657" s="1"/>
      <c r="AA9657" s="1"/>
      <c r="AB9657" s="1"/>
    </row>
    <row r="9658" ht="50.25" customHeight="1">
      <c r="A9658" s="12">
        <v>9654.0</v>
      </c>
      <c r="B9658" s="13" t="s">
        <v>9604</v>
      </c>
      <c r="C9658" s="14" t="s">
        <v>9685</v>
      </c>
      <c r="D9658" s="1"/>
      <c r="E9658" s="1"/>
      <c r="F9658" s="1" t="str">
        <f>IFERROR(__xludf.DUMMYFUNCTION("GOOGLETRANSLATE(B9658, ""en"", ""fa"")
"),"موفقیت Etsy")</f>
        <v>موفقیت Etsy</v>
      </c>
      <c r="G9658" s="1" t="str">
        <f>IFERROR(__xludf.DUMMYFUNCTION("GOOGLETRANSLATE(C9658, ""en"", ""fa"")
"),"چگونه می توانم محصولات پرفروش یا مجموعه های برجسته خود را در صفحه اصلی فروشگاه Etsy خود به نمایش بگذارم؟")</f>
        <v>چگونه می توانم محصولات پرفروش یا مجموعه های برجسته خود را در صفحه اصلی فروشگاه Etsy خود به نمایش بگذارم؟</v>
      </c>
      <c r="H9658" s="1"/>
      <c r="I9658" s="1"/>
      <c r="J9658" s="1"/>
      <c r="K9658" s="1"/>
      <c r="L9658" s="1"/>
      <c r="M9658" s="1"/>
      <c r="N9658" s="1"/>
      <c r="O9658" s="1"/>
      <c r="P9658" s="1"/>
      <c r="Q9658" s="1"/>
      <c r="R9658" s="1"/>
      <c r="S9658" s="1"/>
      <c r="T9658" s="1"/>
      <c r="U9658" s="1"/>
      <c r="V9658" s="1"/>
      <c r="W9658" s="1"/>
      <c r="X9658" s="1"/>
      <c r="Y9658" s="1"/>
      <c r="Z9658" s="1"/>
      <c r="AA9658" s="1"/>
      <c r="AB9658" s="1"/>
    </row>
    <row r="9659" ht="50.25" customHeight="1">
      <c r="A9659" s="12">
        <v>9655.0</v>
      </c>
      <c r="B9659" s="13" t="s">
        <v>9604</v>
      </c>
      <c r="C9659" s="14" t="s">
        <v>9686</v>
      </c>
      <c r="D9659" s="1"/>
      <c r="E9659" s="1"/>
      <c r="F9659" s="1" t="str">
        <f>IFERROR(__xludf.DUMMYFUNCTION("GOOGLETRANSLATE(B9659, ""en"", ""fa"")
"),"موفقیت Etsy")</f>
        <v>موفقیت Etsy</v>
      </c>
      <c r="G9659" s="1" t="str">
        <f>IFERROR(__xludf.DUMMYFUNCTION("GOOGLETRANSLATE(C9659, ""en"", ""fa"")
"),"راهبردهای استفاده از تصاویر و تصاویر با کیفیت محصول برای افزایش نرخ تبدیل در Etsy چیست؟")</f>
        <v>راهبردهای استفاده از تصاویر و تصاویر با کیفیت محصول برای افزایش نرخ تبدیل در Etsy چیست؟</v>
      </c>
      <c r="H9659" s="1"/>
      <c r="I9659" s="1"/>
      <c r="J9659" s="1"/>
      <c r="K9659" s="1"/>
      <c r="L9659" s="1"/>
      <c r="M9659" s="1"/>
      <c r="N9659" s="1"/>
      <c r="O9659" s="1"/>
      <c r="P9659" s="1"/>
      <c r="Q9659" s="1"/>
      <c r="R9659" s="1"/>
      <c r="S9659" s="1"/>
      <c r="T9659" s="1"/>
      <c r="U9659" s="1"/>
      <c r="V9659" s="1"/>
      <c r="W9659" s="1"/>
      <c r="X9659" s="1"/>
      <c r="Y9659" s="1"/>
      <c r="Z9659" s="1"/>
      <c r="AA9659" s="1"/>
      <c r="AB9659" s="1"/>
    </row>
    <row r="9660" ht="50.25" customHeight="1">
      <c r="A9660" s="12">
        <v>9656.0</v>
      </c>
      <c r="B9660" s="13" t="s">
        <v>9604</v>
      </c>
      <c r="C9660" s="14" t="s">
        <v>9687</v>
      </c>
      <c r="D9660" s="1"/>
      <c r="E9660" s="1"/>
      <c r="F9660" s="1" t="str">
        <f>IFERROR(__xludf.DUMMYFUNCTION("GOOGLETRANSLATE(B9660, ""en"", ""fa"")
"),"موفقیت Etsy")</f>
        <v>موفقیت Etsy</v>
      </c>
      <c r="G9660" s="1" t="str">
        <f>IFERROR(__xludf.DUMMYFUNCTION("GOOGLETRANSLATE(C9660, ""en"", ""fa"")
"),"چگونه می توانم قیمت محصول و جزئیات حمل و نقل خود را برای افزایش فروش در Etsy بهینه کنم؟")</f>
        <v>چگونه می توانم قیمت محصول و جزئیات حمل و نقل خود را برای افزایش فروش در Etsy بهینه کنم؟</v>
      </c>
      <c r="H9660" s="1"/>
      <c r="I9660" s="1"/>
      <c r="J9660" s="1"/>
      <c r="K9660" s="1"/>
      <c r="L9660" s="1"/>
      <c r="M9660" s="1"/>
      <c r="N9660" s="1"/>
      <c r="O9660" s="1"/>
      <c r="P9660" s="1"/>
      <c r="Q9660" s="1"/>
      <c r="R9660" s="1"/>
      <c r="S9660" s="1"/>
      <c r="T9660" s="1"/>
      <c r="U9660" s="1"/>
      <c r="V9660" s="1"/>
      <c r="W9660" s="1"/>
      <c r="X9660" s="1"/>
      <c r="Y9660" s="1"/>
      <c r="Z9660" s="1"/>
      <c r="AA9660" s="1"/>
      <c r="AB9660" s="1"/>
    </row>
    <row r="9661" ht="50.25" customHeight="1">
      <c r="A9661" s="12">
        <v>9657.0</v>
      </c>
      <c r="B9661" s="13" t="s">
        <v>9604</v>
      </c>
      <c r="C9661" s="14" t="s">
        <v>9688</v>
      </c>
      <c r="D9661" s="1"/>
      <c r="E9661" s="1"/>
      <c r="F9661" s="1" t="str">
        <f>IFERROR(__xludf.DUMMYFUNCTION("GOOGLETRANSLATE(B9661, ""en"", ""fa"")
"),"موفقیت Etsy")</f>
        <v>موفقیت Etsy</v>
      </c>
      <c r="G9661" s="1" t="str">
        <f>IFERROR(__xludf.DUMMYFUNCTION("GOOGLETRANSLATE(C9661, ""en"", ""fa"")
"),"راهبردهای ایجاد لیست محصولات متقاعد کننده و دقیق در Etsy چیست؟")</f>
        <v>راهبردهای ایجاد لیست محصولات متقاعد کننده و دقیق در Etsy چیست؟</v>
      </c>
      <c r="H9661" s="1"/>
      <c r="I9661" s="1"/>
      <c r="J9661" s="1"/>
      <c r="K9661" s="1"/>
      <c r="L9661" s="1"/>
      <c r="M9661" s="1"/>
      <c r="N9661" s="1"/>
      <c r="O9661" s="1"/>
      <c r="P9661" s="1"/>
      <c r="Q9661" s="1"/>
      <c r="R9661" s="1"/>
      <c r="S9661" s="1"/>
      <c r="T9661" s="1"/>
      <c r="U9661" s="1"/>
      <c r="V9661" s="1"/>
      <c r="W9661" s="1"/>
      <c r="X9661" s="1"/>
      <c r="Y9661" s="1"/>
      <c r="Z9661" s="1"/>
      <c r="AA9661" s="1"/>
      <c r="AB9661" s="1"/>
    </row>
    <row r="9662" ht="50.25" customHeight="1">
      <c r="A9662" s="12">
        <v>9658.0</v>
      </c>
      <c r="B9662" s="13" t="s">
        <v>9604</v>
      </c>
      <c r="C9662" s="14" t="s">
        <v>9689</v>
      </c>
      <c r="D9662" s="1"/>
      <c r="E9662" s="1"/>
      <c r="F9662" s="1" t="str">
        <f>IFERROR(__xludf.DUMMYFUNCTION("GOOGLETRANSLATE(B9662, ""en"", ""fa"")
"),"موفقیت Etsy")</f>
        <v>موفقیت Etsy</v>
      </c>
      <c r="G9662" s="1" t="str">
        <f>IFERROR(__xludf.DUMMYFUNCTION("GOOGLETRANSLATE(C9662, ""en"", ""fa"")
"),"چگونه می توانم به طور موثر از نقاط گلوله و نکات برجسته محصول برای انتقال نکات کلیدی فروش استفاده کنم؟")</f>
        <v>چگونه می توانم به طور موثر از نقاط گلوله و نکات برجسته محصول برای انتقال نکات کلیدی فروش استفاده کنم؟</v>
      </c>
      <c r="H9662" s="1"/>
      <c r="I9662" s="1"/>
      <c r="J9662" s="1"/>
      <c r="K9662" s="1"/>
      <c r="L9662" s="1"/>
      <c r="M9662" s="1"/>
      <c r="N9662" s="1"/>
      <c r="O9662" s="1"/>
      <c r="P9662" s="1"/>
      <c r="Q9662" s="1"/>
      <c r="R9662" s="1"/>
      <c r="S9662" s="1"/>
      <c r="T9662" s="1"/>
      <c r="U9662" s="1"/>
      <c r="V9662" s="1"/>
      <c r="W9662" s="1"/>
      <c r="X9662" s="1"/>
      <c r="Y9662" s="1"/>
      <c r="Z9662" s="1"/>
      <c r="AA9662" s="1"/>
      <c r="AB9662" s="1"/>
    </row>
    <row r="9663" ht="50.25" customHeight="1">
      <c r="A9663" s="12">
        <v>9659.0</v>
      </c>
      <c r="B9663" s="13" t="s">
        <v>9604</v>
      </c>
      <c r="C9663" s="14" t="s">
        <v>9690</v>
      </c>
      <c r="D9663" s="1"/>
      <c r="E9663" s="1"/>
      <c r="F9663" s="1" t="str">
        <f>IFERROR(__xludf.DUMMYFUNCTION("GOOGLETRANSLATE(B9663, ""en"", ""fa"")
"),"موفقیت Etsy")</f>
        <v>موفقیت Etsy</v>
      </c>
      <c r="G9663" s="1" t="str">
        <f>IFERROR(__xludf.DUMMYFUNCTION("GOOGLETRANSLATE(C9663, ""en"", ""fa"")
"),"بهترین روش‌ها برای بهینه‌سازی عناوین و برچسب‌های محصول برای بهبود قابلیت کشف در Etsy چیست؟")</f>
        <v>بهترین روش‌ها برای بهینه‌سازی عناوین و برچسب‌های محصول برای بهبود قابلیت کشف در Etsy چیست؟</v>
      </c>
      <c r="H9663" s="1"/>
      <c r="I9663" s="1"/>
      <c r="J9663" s="1"/>
      <c r="K9663" s="1"/>
      <c r="L9663" s="1"/>
      <c r="M9663" s="1"/>
      <c r="N9663" s="1"/>
      <c r="O9663" s="1"/>
      <c r="P9663" s="1"/>
      <c r="Q9663" s="1"/>
      <c r="R9663" s="1"/>
      <c r="S9663" s="1"/>
      <c r="T9663" s="1"/>
      <c r="U9663" s="1"/>
      <c r="V9663" s="1"/>
      <c r="W9663" s="1"/>
      <c r="X9663" s="1"/>
      <c r="Y9663" s="1"/>
      <c r="Z9663" s="1"/>
      <c r="AA9663" s="1"/>
      <c r="AB9663" s="1"/>
    </row>
    <row r="9664" ht="50.25" customHeight="1">
      <c r="A9664" s="12">
        <v>9660.0</v>
      </c>
      <c r="B9664" s="13" t="s">
        <v>9604</v>
      </c>
      <c r="C9664" s="14" t="s">
        <v>9691</v>
      </c>
      <c r="D9664" s="1"/>
      <c r="E9664" s="1"/>
      <c r="F9664" s="1" t="str">
        <f>IFERROR(__xludf.DUMMYFUNCTION("GOOGLETRANSLATE(B9664, ""en"", ""fa"")
"),"موفقیت Etsy")</f>
        <v>موفقیت Etsy</v>
      </c>
      <c r="G9664" s="1" t="str">
        <f>IFERROR(__xludf.DUMMYFUNCTION("GOOGLETRANSLATE(C9664, ""en"", ""fa"")
"),"چگونه می توانم از نظرات و نظرات مشتریان برای ایجاد اعتماد و اعتبار در Etsy استفاده کنم؟")</f>
        <v>چگونه می توانم از نظرات و نظرات مشتریان برای ایجاد اعتماد و اعتبار در Etsy استفاده کنم؟</v>
      </c>
      <c r="H9664" s="1"/>
      <c r="I9664" s="1"/>
      <c r="J9664" s="1"/>
      <c r="K9664" s="1"/>
      <c r="L9664" s="1"/>
      <c r="M9664" s="1"/>
      <c r="N9664" s="1"/>
      <c r="O9664" s="1"/>
      <c r="P9664" s="1"/>
      <c r="Q9664" s="1"/>
      <c r="R9664" s="1"/>
      <c r="S9664" s="1"/>
      <c r="T9664" s="1"/>
      <c r="U9664" s="1"/>
      <c r="V9664" s="1"/>
      <c r="W9664" s="1"/>
      <c r="X9664" s="1"/>
      <c r="Y9664" s="1"/>
      <c r="Z9664" s="1"/>
      <c r="AA9664" s="1"/>
      <c r="AB9664" s="1"/>
    </row>
    <row r="9665" ht="50.25" customHeight="1">
      <c r="A9665" s="12">
        <v>9661.0</v>
      </c>
      <c r="B9665" s="13" t="s">
        <v>9604</v>
      </c>
      <c r="C9665" s="14" t="s">
        <v>9692</v>
      </c>
      <c r="D9665" s="1"/>
      <c r="E9665" s="1"/>
      <c r="F9665" s="1" t="str">
        <f>IFERROR(__xludf.DUMMYFUNCTION("GOOGLETRANSLATE(B9665, ""en"", ""fa"")
"),"موفقیت Etsy")</f>
        <v>موفقیت Etsy</v>
      </c>
      <c r="G9665" s="1" t="str">
        <f>IFERROR(__xludf.DUMMYFUNCTION("GOOGLETRANSLATE(C9665, ""en"", ""fa"")
"),"چگونه می توانم از زبان متقاعد کننده و داستان سرایی در توضیحات محصول خود برای جلب نظر خریداران استفاده کنم؟")</f>
        <v>چگونه می توانم از زبان متقاعد کننده و داستان سرایی در توضیحات محصول خود برای جلب نظر خریداران استفاده کنم؟</v>
      </c>
      <c r="H9665" s="1"/>
      <c r="I9665" s="1"/>
      <c r="J9665" s="1"/>
      <c r="K9665" s="1"/>
      <c r="L9665" s="1"/>
      <c r="M9665" s="1"/>
      <c r="N9665" s="1"/>
      <c r="O9665" s="1"/>
      <c r="P9665" s="1"/>
      <c r="Q9665" s="1"/>
      <c r="R9665" s="1"/>
      <c r="S9665" s="1"/>
      <c r="T9665" s="1"/>
      <c r="U9665" s="1"/>
      <c r="V9665" s="1"/>
      <c r="W9665" s="1"/>
      <c r="X9665" s="1"/>
      <c r="Y9665" s="1"/>
      <c r="Z9665" s="1"/>
      <c r="AA9665" s="1"/>
      <c r="AB9665" s="1"/>
    </row>
    <row r="9666" ht="50.25" customHeight="1">
      <c r="A9666" s="12">
        <v>9662.0</v>
      </c>
      <c r="B9666" s="13" t="s">
        <v>9604</v>
      </c>
      <c r="C9666" s="14" t="s">
        <v>9693</v>
      </c>
      <c r="D9666" s="1"/>
      <c r="E9666" s="1"/>
      <c r="F9666" s="1" t="str">
        <f>IFERROR(__xludf.DUMMYFUNCTION("GOOGLETRANSLATE(B9666, ""en"", ""fa"")
"),"موفقیت Etsy")</f>
        <v>موفقیت Etsy</v>
      </c>
      <c r="G9666" s="1" t="str">
        <f>IFERROR(__xludf.DUMMYFUNCTION("GOOGLETRANSLATE(C9666, ""en"", ""fa"")
"),"راهبردهای ایجاد فوریت و کمبود برای ایجاد تبدیل در Etsy چیست؟")</f>
        <v>راهبردهای ایجاد فوریت و کمبود برای ایجاد تبدیل در Etsy چیست؟</v>
      </c>
      <c r="H9666" s="1"/>
      <c r="I9666" s="1"/>
      <c r="J9666" s="1"/>
      <c r="K9666" s="1"/>
      <c r="L9666" s="1"/>
      <c r="M9666" s="1"/>
      <c r="N9666" s="1"/>
      <c r="O9666" s="1"/>
      <c r="P9666" s="1"/>
      <c r="Q9666" s="1"/>
      <c r="R9666" s="1"/>
      <c r="S9666" s="1"/>
      <c r="T9666" s="1"/>
      <c r="U9666" s="1"/>
      <c r="V9666" s="1"/>
      <c r="W9666" s="1"/>
      <c r="X9666" s="1"/>
      <c r="Y9666" s="1"/>
      <c r="Z9666" s="1"/>
      <c r="AA9666" s="1"/>
      <c r="AB9666" s="1"/>
    </row>
    <row r="9667" ht="50.25" customHeight="1">
      <c r="A9667" s="12">
        <v>9663.0</v>
      </c>
      <c r="B9667" s="13" t="s">
        <v>9604</v>
      </c>
      <c r="C9667" s="14" t="s">
        <v>9694</v>
      </c>
      <c r="D9667" s="1"/>
      <c r="E9667" s="1"/>
      <c r="F9667" s="1" t="str">
        <f>IFERROR(__xludf.DUMMYFUNCTION("GOOGLETRANSLATE(B9667, ""en"", ""fa"")
"),"موفقیت Etsy")</f>
        <v>موفقیت Etsy</v>
      </c>
      <c r="G9667" s="1" t="str">
        <f>IFERROR(__xludf.DUMMYFUNCTION("GOOGLETRANSLATE(C9667, ""en"", ""fa"")
"),"چگونه می توانم تنوع و گزینه های محصول خود را برای پاسخگویی به ترجیحات مختلف مشتریان بهینه کنم؟")</f>
        <v>چگونه می توانم تنوع و گزینه های محصول خود را برای پاسخگویی به ترجیحات مختلف مشتریان بهینه کنم؟</v>
      </c>
      <c r="H9667" s="1"/>
      <c r="I9667" s="1"/>
      <c r="J9667" s="1"/>
      <c r="K9667" s="1"/>
      <c r="L9667" s="1"/>
      <c r="M9667" s="1"/>
      <c r="N9667" s="1"/>
      <c r="O9667" s="1"/>
      <c r="P9667" s="1"/>
      <c r="Q9667" s="1"/>
      <c r="R9667" s="1"/>
      <c r="S9667" s="1"/>
      <c r="T9667" s="1"/>
      <c r="U9667" s="1"/>
      <c r="V9667" s="1"/>
      <c r="W9667" s="1"/>
      <c r="X9667" s="1"/>
      <c r="Y9667" s="1"/>
      <c r="Z9667" s="1"/>
      <c r="AA9667" s="1"/>
      <c r="AB9667" s="1"/>
    </row>
    <row r="9668" ht="50.25" customHeight="1">
      <c r="A9668" s="12">
        <v>9664.0</v>
      </c>
      <c r="B9668" s="13" t="s">
        <v>9604</v>
      </c>
      <c r="C9668" s="14" t="s">
        <v>9695</v>
      </c>
      <c r="D9668" s="1"/>
      <c r="E9668" s="1"/>
      <c r="F9668" s="1" t="str">
        <f>IFERROR(__xludf.DUMMYFUNCTION("GOOGLETRANSLATE(B9668, ""en"", ""fa"")
"),"موفقیت Etsy")</f>
        <v>موفقیت Etsy</v>
      </c>
      <c r="G9668" s="1" t="str">
        <f>IFERROR(__xludf.DUMMYFUNCTION("GOOGLETRANSLATE(C9668, ""en"", ""fa"")
"),"چگونه می توانم یک فرآیند پرداخت واضح و کاربرپسند را برای به حداقل رساندن رها شدن سبد خرید در Etsy پیاده سازی کنم؟")</f>
        <v>چگونه می توانم یک فرآیند پرداخت واضح و کاربرپسند را برای به حداقل رساندن رها شدن سبد خرید در Etsy پیاده سازی کنم؟</v>
      </c>
      <c r="H9668" s="1"/>
      <c r="I9668" s="1"/>
      <c r="J9668" s="1"/>
      <c r="K9668" s="1"/>
      <c r="L9668" s="1"/>
      <c r="M9668" s="1"/>
      <c r="N9668" s="1"/>
      <c r="O9668" s="1"/>
      <c r="P9668" s="1"/>
      <c r="Q9668" s="1"/>
      <c r="R9668" s="1"/>
      <c r="S9668" s="1"/>
      <c r="T9668" s="1"/>
      <c r="U9668" s="1"/>
      <c r="V9668" s="1"/>
      <c r="W9668" s="1"/>
      <c r="X9668" s="1"/>
      <c r="Y9668" s="1"/>
      <c r="Z9668" s="1"/>
      <c r="AA9668" s="1"/>
      <c r="AB9668" s="1"/>
    </row>
    <row r="9669" ht="50.25" customHeight="1">
      <c r="A9669" s="12">
        <v>9665.0</v>
      </c>
      <c r="B9669" s="13" t="s">
        <v>9604</v>
      </c>
      <c r="C9669" s="14" t="s">
        <v>9696</v>
      </c>
      <c r="D9669" s="1"/>
      <c r="E9669" s="1"/>
      <c r="F9669" s="1" t="str">
        <f>IFERROR(__xludf.DUMMYFUNCTION("GOOGLETRANSLATE(B9669, ""en"", ""fa"")
"),"موفقیت Etsy")</f>
        <v>موفقیت Etsy</v>
      </c>
      <c r="G9669" s="1" t="str">
        <f>IFERROR(__xludf.DUMMYFUNCTION("GOOGLETRANSLATE(C9669, ""en"", ""fa"")
"),"استراتژی‌های استفاده از تکنیک‌های فروش متقابل و افزایش فروش برای افزایش ارزش سفارش در Etsy چیست؟")</f>
        <v>استراتژی‌های استفاده از تکنیک‌های فروش متقابل و افزایش فروش برای افزایش ارزش سفارش در Etsy چیست؟</v>
      </c>
      <c r="H9669" s="1"/>
      <c r="I9669" s="1"/>
      <c r="J9669" s="1"/>
      <c r="K9669" s="1"/>
      <c r="L9669" s="1"/>
      <c r="M9669" s="1"/>
      <c r="N9669" s="1"/>
      <c r="O9669" s="1"/>
      <c r="P9669" s="1"/>
      <c r="Q9669" s="1"/>
      <c r="R9669" s="1"/>
      <c r="S9669" s="1"/>
      <c r="T9669" s="1"/>
      <c r="U9669" s="1"/>
      <c r="V9669" s="1"/>
      <c r="W9669" s="1"/>
      <c r="X9669" s="1"/>
      <c r="Y9669" s="1"/>
      <c r="Z9669" s="1"/>
      <c r="AA9669" s="1"/>
      <c r="AB9669" s="1"/>
    </row>
    <row r="9670" ht="50.25" customHeight="1">
      <c r="A9670" s="12">
        <v>9666.0</v>
      </c>
      <c r="B9670" s="13" t="s">
        <v>9604</v>
      </c>
      <c r="C9670" s="14" t="s">
        <v>9697</v>
      </c>
      <c r="D9670" s="1"/>
      <c r="E9670" s="1"/>
      <c r="F9670" s="1" t="str">
        <f>IFERROR(__xludf.DUMMYFUNCTION("GOOGLETRANSLATE(B9670, ""en"", ""fa"")
"),"موفقیت Etsy")</f>
        <v>موفقیت Etsy</v>
      </c>
      <c r="G9670" s="1" t="str">
        <f>IFERROR(__xludf.DUMMYFUNCTION("GOOGLETRANSLATE(C9670, ""en"", ""fa"")
"),"چگونه می توانم فیلترهای جستجو و گزینه های مرتب سازی فروشگاه Etsy خود را برای تجربه کاربری بهتر بهینه کنم؟")</f>
        <v>چگونه می توانم فیلترهای جستجو و گزینه های مرتب سازی فروشگاه Etsy خود را برای تجربه کاربری بهتر بهینه کنم؟</v>
      </c>
      <c r="H9670" s="1"/>
      <c r="I9670" s="1"/>
      <c r="J9670" s="1"/>
      <c r="K9670" s="1"/>
      <c r="L9670" s="1"/>
      <c r="M9670" s="1"/>
      <c r="N9670" s="1"/>
      <c r="O9670" s="1"/>
      <c r="P9670" s="1"/>
      <c r="Q9670" s="1"/>
      <c r="R9670" s="1"/>
      <c r="S9670" s="1"/>
      <c r="T9670" s="1"/>
      <c r="U9670" s="1"/>
      <c r="V9670" s="1"/>
      <c r="W9670" s="1"/>
      <c r="X9670" s="1"/>
      <c r="Y9670" s="1"/>
      <c r="Z9670" s="1"/>
      <c r="AA9670" s="1"/>
      <c r="AB9670" s="1"/>
    </row>
    <row r="9671" ht="50.25" customHeight="1">
      <c r="A9671" s="12">
        <v>9667.0</v>
      </c>
      <c r="B9671" s="13" t="s">
        <v>9604</v>
      </c>
      <c r="C9671" s="14" t="s">
        <v>9698</v>
      </c>
      <c r="D9671" s="1"/>
      <c r="E9671" s="1"/>
      <c r="F9671" s="1" t="str">
        <f>IFERROR(__xludf.DUMMYFUNCTION("GOOGLETRANSLATE(B9671, ""en"", ""fa"")
"),"موفقیت Etsy")</f>
        <v>موفقیت Etsy</v>
      </c>
      <c r="G9671" s="1" t="str">
        <f>IFERROR(__xludf.DUMMYFUNCTION("GOOGLETRANSLATE(C9671, ""en"", ""fa"")
"),"راهکارهایی برای کاهش زمان بارگذاری صفحه و بهبود عملکرد سایت در Etsy چیست؟")</f>
        <v>راهکارهایی برای کاهش زمان بارگذاری صفحه و بهبود عملکرد سایت در Etsy چیست؟</v>
      </c>
      <c r="H9671" s="1"/>
      <c r="I9671" s="1"/>
      <c r="J9671" s="1"/>
      <c r="K9671" s="1"/>
      <c r="L9671" s="1"/>
      <c r="M9671" s="1"/>
      <c r="N9671" s="1"/>
      <c r="O9671" s="1"/>
      <c r="P9671" s="1"/>
      <c r="Q9671" s="1"/>
      <c r="R9671" s="1"/>
      <c r="S9671" s="1"/>
      <c r="T9671" s="1"/>
      <c r="U9671" s="1"/>
      <c r="V9671" s="1"/>
      <c r="W9671" s="1"/>
      <c r="X9671" s="1"/>
      <c r="Y9671" s="1"/>
      <c r="Z9671" s="1"/>
      <c r="AA9671" s="1"/>
      <c r="AB9671" s="1"/>
    </row>
    <row r="9672" ht="50.25" customHeight="1">
      <c r="A9672" s="12">
        <v>9668.0</v>
      </c>
      <c r="B9672" s="13" t="s">
        <v>9604</v>
      </c>
      <c r="C9672" s="14" t="s">
        <v>9699</v>
      </c>
      <c r="D9672" s="1"/>
      <c r="E9672" s="1"/>
      <c r="F9672" s="1" t="str">
        <f>IFERROR(__xludf.DUMMYFUNCTION("GOOGLETRANSLATE(B9672, ""en"", ""fa"")
"),"موفقیت Etsy")</f>
        <v>موفقیت Etsy</v>
      </c>
      <c r="G9672" s="1" t="str">
        <f>IFERROR(__xludf.DUMMYFUNCTION("GOOGLETRANSLATE(C9672, ""en"", ""fa"")
"),"چگونه می توانم منوی ناوبری و ساختار پیوند داخلی فروشگاه خود را برای مرور آسان بهینه کنم؟")</f>
        <v>چگونه می توانم منوی ناوبری و ساختار پیوند داخلی فروشگاه خود را برای مرور آسان بهینه کنم؟</v>
      </c>
      <c r="H9672" s="1"/>
      <c r="I9672" s="1"/>
      <c r="J9672" s="1"/>
      <c r="K9672" s="1"/>
      <c r="L9672" s="1"/>
      <c r="M9672" s="1"/>
      <c r="N9672" s="1"/>
      <c r="O9672" s="1"/>
      <c r="P9672" s="1"/>
      <c r="Q9672" s="1"/>
      <c r="R9672" s="1"/>
      <c r="S9672" s="1"/>
      <c r="T9672" s="1"/>
      <c r="U9672" s="1"/>
      <c r="V9672" s="1"/>
      <c r="W9672" s="1"/>
      <c r="X9672" s="1"/>
      <c r="Y9672" s="1"/>
      <c r="Z9672" s="1"/>
      <c r="AA9672" s="1"/>
      <c r="AB9672" s="1"/>
    </row>
    <row r="9673" ht="50.25" customHeight="1">
      <c r="A9673" s="12">
        <v>9669.0</v>
      </c>
      <c r="B9673" s="13" t="s">
        <v>9604</v>
      </c>
      <c r="C9673" s="14" t="s">
        <v>9700</v>
      </c>
      <c r="D9673" s="1"/>
      <c r="E9673" s="1"/>
      <c r="F9673" s="1" t="str">
        <f>IFERROR(__xludf.DUMMYFUNCTION("GOOGLETRANSLATE(B9673, ""en"", ""fa"")
"),"موفقیت Etsy")</f>
        <v>موفقیت Etsy</v>
      </c>
      <c r="G9673" s="1" t="str">
        <f>IFERROR(__xludf.DUMMYFUNCTION("GOOGLETRANSLATE(C9673, ""en"", ""fa"")
"),"چگونه می‌توانم دکمه‌ها و اعلان‌های مؤثر فراخوان را برای راهنمایی مشتریان به سمت خرید پیاده‌سازی کنم؟")</f>
        <v>چگونه می‌توانم دکمه‌ها و اعلان‌های مؤثر فراخوان را برای راهنمایی مشتریان به سمت خرید پیاده‌سازی کنم؟</v>
      </c>
      <c r="H9673" s="1"/>
      <c r="I9673" s="1"/>
      <c r="J9673" s="1"/>
      <c r="K9673" s="1"/>
      <c r="L9673" s="1"/>
      <c r="M9673" s="1"/>
      <c r="N9673" s="1"/>
      <c r="O9673" s="1"/>
      <c r="P9673" s="1"/>
      <c r="Q9673" s="1"/>
      <c r="R9673" s="1"/>
      <c r="S9673" s="1"/>
      <c r="T9673" s="1"/>
      <c r="U9673" s="1"/>
      <c r="V9673" s="1"/>
      <c r="W9673" s="1"/>
      <c r="X9673" s="1"/>
      <c r="Y9673" s="1"/>
      <c r="Z9673" s="1"/>
      <c r="AA9673" s="1"/>
      <c r="AB9673" s="1"/>
    </row>
    <row r="9674" ht="50.25" customHeight="1">
      <c r="A9674" s="12">
        <v>9670.0</v>
      </c>
      <c r="B9674" s="13" t="s">
        <v>9604</v>
      </c>
      <c r="C9674" s="14" t="s">
        <v>9701</v>
      </c>
      <c r="D9674" s="1"/>
      <c r="E9674" s="1"/>
      <c r="F9674" s="1" t="str">
        <f>IFERROR(__xludf.DUMMYFUNCTION("GOOGLETRANSLATE(B9674, ""en"", ""fa"")
"),"موفقیت Etsy")</f>
        <v>موفقیت Etsy</v>
      </c>
      <c r="G9674" s="1" t="str">
        <f>IFERROR(__xludf.DUMMYFUNCTION("GOOGLETRANSLATE(C9674, ""en"", ""fa"")
"),"استراتژی‌های استفاده از عناصر اثبات اجتماعی مانند نشان‌ها، گواهینامه‌ها و مهرهای اعتماد در Etsy چیست؟")</f>
        <v>استراتژی‌های استفاده از عناصر اثبات اجتماعی مانند نشان‌ها، گواهینامه‌ها و مهرهای اعتماد در Etsy چیست؟</v>
      </c>
      <c r="H9674" s="1"/>
      <c r="I9674" s="1"/>
      <c r="J9674" s="1"/>
      <c r="K9674" s="1"/>
      <c r="L9674" s="1"/>
      <c r="M9674" s="1"/>
      <c r="N9674" s="1"/>
      <c r="O9674" s="1"/>
      <c r="P9674" s="1"/>
      <c r="Q9674" s="1"/>
      <c r="R9674" s="1"/>
      <c r="S9674" s="1"/>
      <c r="T9674" s="1"/>
      <c r="U9674" s="1"/>
      <c r="V9674" s="1"/>
      <c r="W9674" s="1"/>
      <c r="X9674" s="1"/>
      <c r="Y9674" s="1"/>
      <c r="Z9674" s="1"/>
      <c r="AA9674" s="1"/>
      <c r="AB9674" s="1"/>
    </row>
    <row r="9675" ht="50.25" customHeight="1">
      <c r="A9675" s="12">
        <v>9671.0</v>
      </c>
      <c r="B9675" s="13" t="s">
        <v>9604</v>
      </c>
      <c r="C9675" s="14" t="s">
        <v>9702</v>
      </c>
      <c r="D9675" s="1"/>
      <c r="E9675" s="1"/>
      <c r="F9675" s="1" t="str">
        <f>IFERROR(__xludf.DUMMYFUNCTION("GOOGLETRANSLATE(B9675, ""en"", ""fa"")
"),"موفقیت Etsy")</f>
        <v>موفقیت Etsy</v>
      </c>
      <c r="G9675" s="1" t="str">
        <f>IFERROR(__xludf.DUMMYFUNCTION("GOOGLETRANSLATE(C9675, ""en"", ""fa"")
"),"چگونه می توانم صفحه ""درباره"" فروشگاه خود را برای ایجاد اعتماد و ارتباط با مشتریان بهینه کنم؟")</f>
        <v>چگونه می توانم صفحه "درباره" فروشگاه خود را برای ایجاد اعتماد و ارتباط با مشتریان بهینه کنم؟</v>
      </c>
      <c r="H9675" s="1"/>
      <c r="I9675" s="1"/>
      <c r="J9675" s="1"/>
      <c r="K9675" s="1"/>
      <c r="L9675" s="1"/>
      <c r="M9675" s="1"/>
      <c r="N9675" s="1"/>
      <c r="O9675" s="1"/>
      <c r="P9675" s="1"/>
      <c r="Q9675" s="1"/>
      <c r="R9675" s="1"/>
      <c r="S9675" s="1"/>
      <c r="T9675" s="1"/>
      <c r="U9675" s="1"/>
      <c r="V9675" s="1"/>
      <c r="W9675" s="1"/>
      <c r="X9675" s="1"/>
      <c r="Y9675" s="1"/>
      <c r="Z9675" s="1"/>
      <c r="AA9675" s="1"/>
      <c r="AB9675" s="1"/>
    </row>
    <row r="9676" ht="50.25" customHeight="1">
      <c r="A9676" s="12">
        <v>9672.0</v>
      </c>
      <c r="B9676" s="13" t="s">
        <v>9604</v>
      </c>
      <c r="C9676" s="14" t="s">
        <v>9703</v>
      </c>
      <c r="D9676" s="1"/>
      <c r="E9676" s="1"/>
      <c r="F9676" s="1" t="str">
        <f>IFERROR(__xludf.DUMMYFUNCTION("GOOGLETRANSLATE(B9676, ""en"", ""fa"")
"),"موفقیت Etsy")</f>
        <v>موفقیت Etsy</v>
      </c>
      <c r="G9676" s="1" t="str">
        <f>IFERROR(__xludf.DUMMYFUNCTION("GOOGLETRANSLATE(C9676, ""en"", ""fa"")
"),"بهترین روش برای استفاده از توصیفات مشتری و مطالعات موردی برای افزایش تبدیل چیست؟")</f>
        <v>بهترین روش برای استفاده از توصیفات مشتری و مطالعات موردی برای افزایش تبدیل چیست؟</v>
      </c>
      <c r="H9676" s="1"/>
      <c r="I9676" s="1"/>
      <c r="J9676" s="1"/>
      <c r="K9676" s="1"/>
      <c r="L9676" s="1"/>
      <c r="M9676" s="1"/>
      <c r="N9676" s="1"/>
      <c r="O9676" s="1"/>
      <c r="P9676" s="1"/>
      <c r="Q9676" s="1"/>
      <c r="R9676" s="1"/>
      <c r="S9676" s="1"/>
      <c r="T9676" s="1"/>
      <c r="U9676" s="1"/>
      <c r="V9676" s="1"/>
      <c r="W9676" s="1"/>
      <c r="X9676" s="1"/>
      <c r="Y9676" s="1"/>
      <c r="Z9676" s="1"/>
      <c r="AA9676" s="1"/>
      <c r="AB9676" s="1"/>
    </row>
    <row r="9677" ht="50.25" customHeight="1">
      <c r="A9677" s="12">
        <v>9673.0</v>
      </c>
      <c r="B9677" s="13" t="s">
        <v>9604</v>
      </c>
      <c r="C9677" s="14" t="s">
        <v>9704</v>
      </c>
      <c r="D9677" s="1"/>
      <c r="E9677" s="1"/>
      <c r="F9677" s="1" t="str">
        <f>IFERROR(__xludf.DUMMYFUNCTION("GOOGLETRANSLATE(B9677, ""en"", ""fa"")
"),"موفقیت Etsy")</f>
        <v>موفقیت Etsy</v>
      </c>
      <c r="G9677" s="1" t="str">
        <f>IFERROR(__xludf.DUMMYFUNCTION("GOOGLETRANSLATE(C9677, ""en"", ""fa"")
"),"چگونه می توانم ویژگی های چت زنده یا ربات چت را برای ارائه پشتیبانی بلادرنگ و بهبود تجربه مشتری پیاده سازی کنم؟")</f>
        <v>چگونه می توانم ویژگی های چت زنده یا ربات چت را برای ارائه پشتیبانی بلادرنگ و بهبود تجربه مشتری پیاده سازی کنم؟</v>
      </c>
      <c r="H9677" s="1"/>
      <c r="I9677" s="1"/>
      <c r="J9677" s="1"/>
      <c r="K9677" s="1"/>
      <c r="L9677" s="1"/>
      <c r="M9677" s="1"/>
      <c r="N9677" s="1"/>
      <c r="O9677" s="1"/>
      <c r="P9677" s="1"/>
      <c r="Q9677" s="1"/>
      <c r="R9677" s="1"/>
      <c r="S9677" s="1"/>
      <c r="T9677" s="1"/>
      <c r="U9677" s="1"/>
      <c r="V9677" s="1"/>
      <c r="W9677" s="1"/>
      <c r="X9677" s="1"/>
      <c r="Y9677" s="1"/>
      <c r="Z9677" s="1"/>
      <c r="AA9677" s="1"/>
      <c r="AB9677" s="1"/>
    </row>
    <row r="9678" ht="50.25" customHeight="1">
      <c r="A9678" s="12">
        <v>9674.0</v>
      </c>
      <c r="B9678" s="13" t="s">
        <v>9604</v>
      </c>
      <c r="C9678" s="14" t="s">
        <v>9705</v>
      </c>
      <c r="D9678" s="1"/>
      <c r="E9678" s="1"/>
      <c r="F9678" s="1" t="str">
        <f>IFERROR(__xludf.DUMMYFUNCTION("GOOGLETRANSLATE(B9678, ""en"", ""fa"")
"),"موفقیت Etsy")</f>
        <v>موفقیت Etsy</v>
      </c>
      <c r="G9678" s="1" t="str">
        <f>IFERROR(__xludf.DUMMYFUNCTION("GOOGLETRANSLATE(C9678, ""en"", ""fa"")
"),"چگونه می توانم از پنجره های بازشو یا پیشنهادات خروجی برای بازیابی فروش از دست رفته احتمالی در Etsy استفاده کنم؟")</f>
        <v>چگونه می توانم از پنجره های بازشو یا پیشنهادات خروجی برای بازیابی فروش از دست رفته احتمالی در Etsy استفاده کنم؟</v>
      </c>
      <c r="H9678" s="1"/>
      <c r="I9678" s="1"/>
      <c r="J9678" s="1"/>
      <c r="K9678" s="1"/>
      <c r="L9678" s="1"/>
      <c r="M9678" s="1"/>
      <c r="N9678" s="1"/>
      <c r="O9678" s="1"/>
      <c r="P9678" s="1"/>
      <c r="Q9678" s="1"/>
      <c r="R9678" s="1"/>
      <c r="S9678" s="1"/>
      <c r="T9678" s="1"/>
      <c r="U9678" s="1"/>
      <c r="V9678" s="1"/>
      <c r="W9678" s="1"/>
      <c r="X9678" s="1"/>
      <c r="Y9678" s="1"/>
      <c r="Z9678" s="1"/>
      <c r="AA9678" s="1"/>
      <c r="AB9678" s="1"/>
    </row>
    <row r="9679" ht="50.25" customHeight="1">
      <c r="A9679" s="12">
        <v>9675.0</v>
      </c>
      <c r="B9679" s="13" t="s">
        <v>9604</v>
      </c>
      <c r="C9679" s="14" t="s">
        <v>9706</v>
      </c>
      <c r="D9679" s="1"/>
      <c r="E9679" s="1"/>
      <c r="F9679" s="1" t="str">
        <f>IFERROR(__xludf.DUMMYFUNCTION("GOOGLETRANSLATE(B9679, ""en"", ""fa"")
"),"موفقیت Etsy")</f>
        <v>موفقیت Etsy</v>
      </c>
      <c r="G9679" s="1" t="str">
        <f>IFERROR(__xludf.DUMMYFUNCTION("GOOGLETRANSLATE(C9679, ""en"", ""fa"")
"),"استراتژی‌ها برای بهینه‌سازی دید و رتبه‌بندی فروشگاه من در موتور جستجو در Etsy چیست؟")</f>
        <v>استراتژی‌ها برای بهینه‌سازی دید و رتبه‌بندی فروشگاه من در موتور جستجو در Etsy چیست؟</v>
      </c>
      <c r="H9679" s="1"/>
      <c r="I9679" s="1"/>
      <c r="J9679" s="1"/>
      <c r="K9679" s="1"/>
      <c r="L9679" s="1"/>
      <c r="M9679" s="1"/>
      <c r="N9679" s="1"/>
      <c r="O9679" s="1"/>
      <c r="P9679" s="1"/>
      <c r="Q9679" s="1"/>
      <c r="R9679" s="1"/>
      <c r="S9679" s="1"/>
      <c r="T9679" s="1"/>
      <c r="U9679" s="1"/>
      <c r="V9679" s="1"/>
      <c r="W9679" s="1"/>
      <c r="X9679" s="1"/>
      <c r="Y9679" s="1"/>
      <c r="Z9679" s="1"/>
      <c r="AA9679" s="1"/>
      <c r="AB9679" s="1"/>
    </row>
    <row r="9680" ht="50.25" customHeight="1">
      <c r="A9680" s="12">
        <v>9676.0</v>
      </c>
      <c r="B9680" s="13" t="s">
        <v>9604</v>
      </c>
      <c r="C9680" s="14" t="s">
        <v>9707</v>
      </c>
      <c r="D9680" s="1"/>
      <c r="E9680" s="1"/>
      <c r="F9680" s="1" t="str">
        <f>IFERROR(__xludf.DUMMYFUNCTION("GOOGLETRANSLATE(B9680, ""en"", ""fa"")
"),"موفقیت Etsy")</f>
        <v>موفقیت Etsy</v>
      </c>
      <c r="G9680" s="1" t="str">
        <f>IFERROR(__xludf.DUMMYFUNCTION("GOOGLETRANSLATE(C9680, ""en"", ""fa"")
"),"چگونه می‌توانم از ویژگی «به‌روزرسانی‌های فروشگاه» Etsy برای تعامل با مخاطبانم و افزایش جذب استفاده کنم؟")</f>
        <v>چگونه می‌توانم از ویژگی «به‌روزرسانی‌های فروشگاه» Etsy برای تعامل با مخاطبانم و افزایش جذب استفاده کنم؟</v>
      </c>
      <c r="H9680" s="1"/>
      <c r="I9680" s="1"/>
      <c r="J9680" s="1"/>
      <c r="K9680" s="1"/>
      <c r="L9680" s="1"/>
      <c r="M9680" s="1"/>
      <c r="N9680" s="1"/>
      <c r="O9680" s="1"/>
      <c r="P9680" s="1"/>
      <c r="Q9680" s="1"/>
      <c r="R9680" s="1"/>
      <c r="S9680" s="1"/>
      <c r="T9680" s="1"/>
      <c r="U9680" s="1"/>
      <c r="V9680" s="1"/>
      <c r="W9680" s="1"/>
      <c r="X9680" s="1"/>
      <c r="Y9680" s="1"/>
      <c r="Z9680" s="1"/>
      <c r="AA9680" s="1"/>
      <c r="AB9680" s="1"/>
    </row>
    <row r="9681" ht="50.25" customHeight="1">
      <c r="A9681" s="12">
        <v>9677.0</v>
      </c>
      <c r="B9681" s="13" t="s">
        <v>9604</v>
      </c>
      <c r="C9681" s="14" t="s">
        <v>9708</v>
      </c>
      <c r="D9681" s="1"/>
      <c r="E9681" s="1"/>
      <c r="F9681" s="1" t="str">
        <f>IFERROR(__xludf.DUMMYFUNCTION("GOOGLETRANSLATE(B9681, ""en"", ""fa"")
"),"موفقیت Etsy")</f>
        <v>موفقیت Etsy</v>
      </c>
      <c r="G9681" s="1" t="str">
        <f>IFERROR(__xludf.DUMMYFUNCTION("GOOGLETRANSLATE(C9681, ""en"", ""fa"")
"),"استراتژی‌های اجرای کمپین‌های بازاریابی ایمیلی مؤثر برای پرورش سرنخ‌ها و افزایش فروش در Etsy چیست؟")</f>
        <v>استراتژی‌های اجرای کمپین‌های بازاریابی ایمیلی مؤثر برای پرورش سرنخ‌ها و افزایش فروش در Etsy چیست؟</v>
      </c>
      <c r="H9681" s="1"/>
      <c r="I9681" s="1"/>
      <c r="J9681" s="1"/>
      <c r="K9681" s="1"/>
      <c r="L9681" s="1"/>
      <c r="M9681" s="1"/>
      <c r="N9681" s="1"/>
      <c r="O9681" s="1"/>
      <c r="P9681" s="1"/>
      <c r="Q9681" s="1"/>
      <c r="R9681" s="1"/>
      <c r="S9681" s="1"/>
      <c r="T9681" s="1"/>
      <c r="U9681" s="1"/>
      <c r="V9681" s="1"/>
      <c r="W9681" s="1"/>
      <c r="X9681" s="1"/>
      <c r="Y9681" s="1"/>
      <c r="Z9681" s="1"/>
      <c r="AA9681" s="1"/>
      <c r="AB9681" s="1"/>
    </row>
    <row r="9682" ht="50.25" customHeight="1">
      <c r="A9682" s="12">
        <v>9678.0</v>
      </c>
      <c r="B9682" s="13" t="s">
        <v>9604</v>
      </c>
      <c r="C9682" s="14" t="s">
        <v>9709</v>
      </c>
      <c r="D9682" s="1"/>
      <c r="E9682" s="1"/>
      <c r="F9682" s="1" t="str">
        <f>IFERROR(__xludf.DUMMYFUNCTION("GOOGLETRANSLATE(B9682, ""en"", ""fa"")
"),"موفقیت Etsy")</f>
        <v>موفقیت Etsy</v>
      </c>
      <c r="G9682" s="1" t="str">
        <f>IFERROR(__xludf.DUMMYFUNCTION("GOOGLETRANSLATE(C9682, ""en"", ""fa"")
"),"چگونه می توانم متا تگ ها و توضیحات فروشگاه خود را برای بهبود بهینه سازی موتور جستجو (SEO) بهینه کنم؟")</f>
        <v>چگونه می توانم متا تگ ها و توضیحات فروشگاه خود را برای بهبود بهینه سازی موتور جستجو (SEO) بهینه کنم؟</v>
      </c>
      <c r="H9682" s="1"/>
      <c r="I9682" s="1"/>
      <c r="J9682" s="1"/>
      <c r="K9682" s="1"/>
      <c r="L9682" s="1"/>
      <c r="M9682" s="1"/>
      <c r="N9682" s="1"/>
      <c r="O9682" s="1"/>
      <c r="P9682" s="1"/>
      <c r="Q9682" s="1"/>
      <c r="R9682" s="1"/>
      <c r="S9682" s="1"/>
      <c r="T9682" s="1"/>
      <c r="U9682" s="1"/>
      <c r="V9682" s="1"/>
      <c r="W9682" s="1"/>
      <c r="X9682" s="1"/>
      <c r="Y9682" s="1"/>
      <c r="Z9682" s="1"/>
      <c r="AA9682" s="1"/>
      <c r="AB9682" s="1"/>
    </row>
    <row r="9683" ht="50.25" customHeight="1">
      <c r="A9683" s="12">
        <v>9679.0</v>
      </c>
      <c r="B9683" s="13" t="s">
        <v>9604</v>
      </c>
      <c r="C9683" s="14" t="s">
        <v>9710</v>
      </c>
      <c r="D9683" s="1"/>
      <c r="E9683" s="1"/>
      <c r="F9683" s="1" t="str">
        <f>IFERROR(__xludf.DUMMYFUNCTION("GOOGLETRANSLATE(B9683, ""en"", ""fa"")
"),"موفقیت Etsy")</f>
        <v>موفقیت Etsy</v>
      </c>
      <c r="G9683" s="1" t="str">
        <f>IFERROR(__xludf.DUMMYFUNCTION("GOOGLETRANSLATE(C9683, ""en"", ""fa"")
"),"چگونه می توانم از گزینه های تبلیغاتی Etsy مانند لیست های تبلیغاتی برای افزایش دید و تبدیل استفاده کنم؟")</f>
        <v>چگونه می توانم از گزینه های تبلیغاتی Etsy مانند لیست های تبلیغاتی برای افزایش دید و تبدیل استفاده کنم؟</v>
      </c>
      <c r="H9683" s="1"/>
      <c r="I9683" s="1"/>
      <c r="J9683" s="1"/>
      <c r="K9683" s="1"/>
      <c r="L9683" s="1"/>
      <c r="M9683" s="1"/>
      <c r="N9683" s="1"/>
      <c r="O9683" s="1"/>
      <c r="P9683" s="1"/>
      <c r="Q9683" s="1"/>
      <c r="R9683" s="1"/>
      <c r="S9683" s="1"/>
      <c r="T9683" s="1"/>
      <c r="U9683" s="1"/>
      <c r="V9683" s="1"/>
      <c r="W9683" s="1"/>
      <c r="X9683" s="1"/>
      <c r="Y9683" s="1"/>
      <c r="Z9683" s="1"/>
      <c r="AA9683" s="1"/>
      <c r="AB9683" s="1"/>
    </row>
    <row r="9684" ht="50.25" customHeight="1">
      <c r="A9684" s="12">
        <v>9680.0</v>
      </c>
      <c r="B9684" s="13" t="s">
        <v>9604</v>
      </c>
      <c r="C9684" s="14" t="s">
        <v>9711</v>
      </c>
      <c r="D9684" s="1"/>
      <c r="E9684" s="1"/>
      <c r="F9684" s="1" t="str">
        <f>IFERROR(__xludf.DUMMYFUNCTION("GOOGLETRANSLATE(B9684, ""en"", ""fa"")
"),"موفقیت Etsy")</f>
        <v>موفقیت Etsy</v>
      </c>
      <c r="G9684" s="1" t="str">
        <f>IFERROR(__xludf.DUMMYFUNCTION("GOOGLETRANSLATE(C9684, ""en"", ""fa"")
"),"استراتژی های استفاده از یکپارچه سازی رسانه های اجتماعی برای هدایت ترافیک و فروش به فروشگاه Etsy من چیست؟")</f>
        <v>استراتژی های استفاده از یکپارچه سازی رسانه های اجتماعی برای هدایت ترافیک و فروش به فروشگاه Etsy من چیست؟</v>
      </c>
      <c r="H9684" s="1"/>
      <c r="I9684" s="1"/>
      <c r="J9684" s="1"/>
      <c r="K9684" s="1"/>
      <c r="L9684" s="1"/>
      <c r="M9684" s="1"/>
      <c r="N9684" s="1"/>
      <c r="O9684" s="1"/>
      <c r="P9684" s="1"/>
      <c r="Q9684" s="1"/>
      <c r="R9684" s="1"/>
      <c r="S9684" s="1"/>
      <c r="T9684" s="1"/>
      <c r="U9684" s="1"/>
      <c r="V9684" s="1"/>
      <c r="W9684" s="1"/>
      <c r="X9684" s="1"/>
      <c r="Y9684" s="1"/>
      <c r="Z9684" s="1"/>
      <c r="AA9684" s="1"/>
      <c r="AB9684" s="1"/>
    </row>
    <row r="9685" ht="50.25" customHeight="1">
      <c r="A9685" s="12">
        <v>9681.0</v>
      </c>
      <c r="B9685" s="13" t="s">
        <v>9604</v>
      </c>
      <c r="C9685" s="14" t="s">
        <v>9712</v>
      </c>
      <c r="D9685" s="1"/>
      <c r="E9685" s="1"/>
      <c r="F9685" s="1" t="str">
        <f>IFERROR(__xludf.DUMMYFUNCTION("GOOGLETRANSLATE(B9685, ""en"", ""fa"")
"),"موفقیت Etsy")</f>
        <v>موفقیت Etsy</v>
      </c>
      <c r="G9685" s="1" t="str">
        <f>IFERROR(__xludf.DUMMYFUNCTION("GOOGLETRANSLATE(C9685, ""en"", ""fa"")
"),"چگونه می توانم گزینه ها و سیاست های حمل و نقل فروشگاه خود را برای برآورده کردن انتظارات مشتری و کاهش رها شدن سبد خرید بهینه کنم؟")</f>
        <v>چگونه می توانم گزینه ها و سیاست های حمل و نقل فروشگاه خود را برای برآورده کردن انتظارات مشتری و کاهش رها شدن سبد خرید بهینه کنم؟</v>
      </c>
      <c r="H9685" s="1"/>
      <c r="I9685" s="1"/>
      <c r="J9685" s="1"/>
      <c r="K9685" s="1"/>
      <c r="L9685" s="1"/>
      <c r="M9685" s="1"/>
      <c r="N9685" s="1"/>
      <c r="O9685" s="1"/>
      <c r="P9685" s="1"/>
      <c r="Q9685" s="1"/>
      <c r="R9685" s="1"/>
      <c r="S9685" s="1"/>
      <c r="T9685" s="1"/>
      <c r="U9685" s="1"/>
      <c r="V9685" s="1"/>
      <c r="W9685" s="1"/>
      <c r="X9685" s="1"/>
      <c r="Y9685" s="1"/>
      <c r="Z9685" s="1"/>
      <c r="AA9685" s="1"/>
      <c r="AB9685" s="1"/>
    </row>
    <row r="9686" ht="50.25" customHeight="1">
      <c r="A9686" s="12">
        <v>9682.0</v>
      </c>
      <c r="B9686" s="13" t="s">
        <v>9604</v>
      </c>
      <c r="C9686" s="14" t="s">
        <v>9713</v>
      </c>
      <c r="D9686" s="1"/>
      <c r="E9686" s="1"/>
      <c r="F9686" s="1" t="str">
        <f>IFERROR(__xludf.DUMMYFUNCTION("GOOGLETRANSLATE(B9686, ""en"", ""fa"")
"),"موفقیت Etsy")</f>
        <v>موفقیت Etsy</v>
      </c>
      <c r="G9686" s="1" t="str">
        <f>IFERROR(__xludf.DUMMYFUNCTION("GOOGLETRANSLATE(C9686, ""en"", ""fa"")
"),"چگونه می توانم از تبلیغات هدفمند مجدد و ایمیل های سبد خرید رها شده برای جذب مجدد مشتریان بالقوه در Etsy استفاده کنم؟")</f>
        <v>چگونه می توانم از تبلیغات هدفمند مجدد و ایمیل های سبد خرید رها شده برای جذب مجدد مشتریان بالقوه در Etsy استفاده کنم؟</v>
      </c>
      <c r="H9686" s="1"/>
      <c r="I9686" s="1"/>
      <c r="J9686" s="1"/>
      <c r="K9686" s="1"/>
      <c r="L9686" s="1"/>
      <c r="M9686" s="1"/>
      <c r="N9686" s="1"/>
      <c r="O9686" s="1"/>
      <c r="P9686" s="1"/>
      <c r="Q9686" s="1"/>
      <c r="R9686" s="1"/>
      <c r="S9686" s="1"/>
      <c r="T9686" s="1"/>
      <c r="U9686" s="1"/>
      <c r="V9686" s="1"/>
      <c r="W9686" s="1"/>
      <c r="X9686" s="1"/>
      <c r="Y9686" s="1"/>
      <c r="Z9686" s="1"/>
      <c r="AA9686" s="1"/>
      <c r="AB9686" s="1"/>
    </row>
    <row r="9687" ht="50.25" customHeight="1">
      <c r="A9687" s="12">
        <v>9683.0</v>
      </c>
      <c r="B9687" s="13" t="s">
        <v>9604</v>
      </c>
      <c r="C9687" s="14" t="s">
        <v>9714</v>
      </c>
      <c r="D9687" s="1"/>
      <c r="E9687" s="1"/>
      <c r="F9687" s="1" t="str">
        <f>IFERROR(__xludf.DUMMYFUNCTION("GOOGLETRANSLATE(B9687, ""en"", ""fa"")
"),"موفقیت Etsy")</f>
        <v>موفقیت Etsy</v>
      </c>
      <c r="G9687" s="1" t="str">
        <f>IFERROR(__xludf.DUMMYFUNCTION("GOOGLETRANSLATE(C9687, ""en"", ""fa"")
"),"استراتژی‌ها برای اجرای برنامه‌های وفاداری مشتری و مشوق‌ها برای افزایش فروش تکراری در Etsy چیست؟")</f>
        <v>استراتژی‌ها برای اجرای برنامه‌های وفاداری مشتری و مشوق‌ها برای افزایش فروش تکراری در Etsy چیست؟</v>
      </c>
      <c r="H9687" s="1"/>
      <c r="I9687" s="1"/>
      <c r="J9687" s="1"/>
      <c r="K9687" s="1"/>
      <c r="L9687" s="1"/>
      <c r="M9687" s="1"/>
      <c r="N9687" s="1"/>
      <c r="O9687" s="1"/>
      <c r="P9687" s="1"/>
      <c r="Q9687" s="1"/>
      <c r="R9687" s="1"/>
      <c r="S9687" s="1"/>
      <c r="T9687" s="1"/>
      <c r="U9687" s="1"/>
      <c r="V9687" s="1"/>
      <c r="W9687" s="1"/>
      <c r="X9687" s="1"/>
      <c r="Y9687" s="1"/>
      <c r="Z9687" s="1"/>
      <c r="AA9687" s="1"/>
      <c r="AB9687" s="1"/>
    </row>
    <row r="9688" ht="50.25" customHeight="1">
      <c r="A9688" s="12">
        <v>9684.0</v>
      </c>
      <c r="B9688" s="13" t="s">
        <v>9604</v>
      </c>
      <c r="C9688" s="14" t="s">
        <v>9715</v>
      </c>
      <c r="D9688" s="1"/>
      <c r="E9688" s="1"/>
      <c r="F9688" s="1" t="str">
        <f>IFERROR(__xludf.DUMMYFUNCTION("GOOGLETRANSLATE(B9688, ""en"", ""fa"")
"),"موفقیت Etsy")</f>
        <v>موفقیت Etsy</v>
      </c>
      <c r="G9688" s="1" t="str">
        <f>IFERROR(__xludf.DUMMYFUNCTION("GOOGLETRANSLATE(C9688, ""en"", ""fa"")
"),"چگونه می‌توانم فیلترهای محصول و گزینه‌های مرتب‌سازی فروشگاه خود را بهینه کنم تا به مشتریان کمک کنم آنچه را که به دنبال آن هستند پیدا کنند؟")</f>
        <v>چگونه می‌توانم فیلترهای محصول و گزینه‌های مرتب‌سازی فروشگاه خود را بهینه کنم تا به مشتریان کمک کنم آنچه را که به دنبال آن هستند پیدا کنند؟</v>
      </c>
      <c r="H9688" s="1"/>
      <c r="I9688" s="1"/>
      <c r="J9688" s="1"/>
      <c r="K9688" s="1"/>
      <c r="L9688" s="1"/>
      <c r="M9688" s="1"/>
      <c r="N9688" s="1"/>
      <c r="O9688" s="1"/>
      <c r="P9688" s="1"/>
      <c r="Q9688" s="1"/>
      <c r="R9688" s="1"/>
      <c r="S9688" s="1"/>
      <c r="T9688" s="1"/>
      <c r="U9688" s="1"/>
      <c r="V9688" s="1"/>
      <c r="W9688" s="1"/>
      <c r="X9688" s="1"/>
      <c r="Y9688" s="1"/>
      <c r="Z9688" s="1"/>
      <c r="AA9688" s="1"/>
      <c r="AB9688" s="1"/>
    </row>
    <row r="9689" ht="50.25" customHeight="1">
      <c r="A9689" s="12">
        <v>9685.0</v>
      </c>
      <c r="B9689" s="13" t="s">
        <v>9604</v>
      </c>
      <c r="C9689" s="14" t="s">
        <v>9716</v>
      </c>
      <c r="D9689" s="1"/>
      <c r="E9689" s="1"/>
      <c r="F9689" s="1" t="str">
        <f>IFERROR(__xludf.DUMMYFUNCTION("GOOGLETRANSLATE(B9689, ""en"", ""fa"")
"),"موفقیت Etsy")</f>
        <v>موفقیت Etsy</v>
      </c>
      <c r="G9689" s="1" t="str">
        <f>IFERROR(__xludf.DUMMYFUNCTION("GOOGLETRANSLATE(C9689, ""en"", ""fa"")
"),"استراتژی‌های ایجاد بسته‌ها یا کیت‌های محصول مؤثر برای افزایش میانگین ارزش سفارش در Etsy چیست؟")</f>
        <v>استراتژی‌های ایجاد بسته‌ها یا کیت‌های محصول مؤثر برای افزایش میانگین ارزش سفارش در Etsy چیست؟</v>
      </c>
      <c r="H9689" s="1"/>
      <c r="I9689" s="1"/>
      <c r="J9689" s="1"/>
      <c r="K9689" s="1"/>
      <c r="L9689" s="1"/>
      <c r="M9689" s="1"/>
      <c r="N9689" s="1"/>
      <c r="O9689" s="1"/>
      <c r="P9689" s="1"/>
      <c r="Q9689" s="1"/>
      <c r="R9689" s="1"/>
      <c r="S9689" s="1"/>
      <c r="T9689" s="1"/>
      <c r="U9689" s="1"/>
      <c r="V9689" s="1"/>
      <c r="W9689" s="1"/>
      <c r="X9689" s="1"/>
      <c r="Y9689" s="1"/>
      <c r="Z9689" s="1"/>
      <c r="AA9689" s="1"/>
      <c r="AB9689" s="1"/>
    </row>
    <row r="9690" ht="50.25" customHeight="1">
      <c r="A9690" s="12">
        <v>9686.0</v>
      </c>
      <c r="B9690" s="13" t="s">
        <v>9604</v>
      </c>
      <c r="C9690" s="14" t="s">
        <v>9717</v>
      </c>
      <c r="D9690" s="1"/>
      <c r="E9690" s="1"/>
      <c r="F9690" s="1" t="str">
        <f>IFERROR(__xludf.DUMMYFUNCTION("GOOGLETRANSLATE(B9690, ""en"", ""fa"")
"),"موفقیت Etsy")</f>
        <v>موفقیت Etsy</v>
      </c>
      <c r="G9690" s="1" t="str">
        <f>IFERROR(__xludf.DUMMYFUNCTION("GOOGLETRANSLATE(C9690, ""en"", ""fa"")
"),"چگونه می توانم از تجزیه و تحلیل و بینش داده های Etsy برای شناسایی فرصت ها برای بهینه سازی فروشگاه و CRO استفاده کنم؟")</f>
        <v>چگونه می توانم از تجزیه و تحلیل و بینش داده های Etsy برای شناسایی فرصت ها برای بهینه سازی فروشگاه و CRO استفاده کنم؟</v>
      </c>
      <c r="H9690" s="1"/>
      <c r="I9690" s="1"/>
      <c r="J9690" s="1"/>
      <c r="K9690" s="1"/>
      <c r="L9690" s="1"/>
      <c r="M9690" s="1"/>
      <c r="N9690" s="1"/>
      <c r="O9690" s="1"/>
      <c r="P9690" s="1"/>
      <c r="Q9690" s="1"/>
      <c r="R9690" s="1"/>
      <c r="S9690" s="1"/>
      <c r="T9690" s="1"/>
      <c r="U9690" s="1"/>
      <c r="V9690" s="1"/>
      <c r="W9690" s="1"/>
      <c r="X9690" s="1"/>
      <c r="Y9690" s="1"/>
      <c r="Z9690" s="1"/>
      <c r="AA9690" s="1"/>
      <c r="AB9690" s="1"/>
    </row>
    <row r="9691" ht="50.25" customHeight="1">
      <c r="A9691" s="12">
        <v>9687.0</v>
      </c>
      <c r="B9691" s="13" t="s">
        <v>9604</v>
      </c>
      <c r="C9691" s="14" t="s">
        <v>9718</v>
      </c>
      <c r="D9691" s="1"/>
      <c r="E9691" s="1"/>
      <c r="F9691" s="1" t="str">
        <f>IFERROR(__xludf.DUMMYFUNCTION("GOOGLETRANSLATE(B9691, ""en"", ""fa"")
"),"موفقیت Etsy")</f>
        <v>موفقیت Etsy</v>
      </c>
      <c r="G9691" s="1" t="str">
        <f>IFERROR(__xludf.DUMMYFUNCTION("GOOGLETRANSLATE(C9691, ""en"", ""fa"")
"),"استراتژی‌های پیاده‌سازی یک تجربه تسویه‌حساب تلفن همراه بدون درز و کاربرپسند در Etsy چیست؟")</f>
        <v>استراتژی‌های پیاده‌سازی یک تجربه تسویه‌حساب تلفن همراه بدون درز و کاربرپسند در Etsy چیست؟</v>
      </c>
      <c r="H9691" s="1"/>
      <c r="I9691" s="1"/>
      <c r="J9691" s="1"/>
      <c r="K9691" s="1"/>
      <c r="L9691" s="1"/>
      <c r="M9691" s="1"/>
      <c r="N9691" s="1"/>
      <c r="O9691" s="1"/>
      <c r="P9691" s="1"/>
      <c r="Q9691" s="1"/>
      <c r="R9691" s="1"/>
      <c r="S9691" s="1"/>
      <c r="T9691" s="1"/>
      <c r="U9691" s="1"/>
      <c r="V9691" s="1"/>
      <c r="W9691" s="1"/>
      <c r="X9691" s="1"/>
      <c r="Y9691" s="1"/>
      <c r="Z9691" s="1"/>
      <c r="AA9691" s="1"/>
      <c r="AB9691" s="1"/>
    </row>
    <row r="9692" ht="50.25" customHeight="1">
      <c r="A9692" s="12">
        <v>9688.0</v>
      </c>
      <c r="B9692" s="13" t="s">
        <v>9604</v>
      </c>
      <c r="C9692" s="14" t="s">
        <v>9719</v>
      </c>
      <c r="D9692" s="1"/>
      <c r="E9692" s="1"/>
      <c r="F9692" s="1" t="str">
        <f>IFERROR(__xludf.DUMMYFUNCTION("GOOGLETRANSLATE(B9692, ""en"", ""fa"")
"),"موفقیت Etsy")</f>
        <v>موفقیت Etsy</v>
      </c>
      <c r="G9692" s="1" t="str">
        <f>IFERROR(__xludf.DUMMYFUNCTION("GOOGLETRANSLATE(C9692, ""en"", ""fa"")
"),"چگونه می توانم نظرات و رتبه بندی محصولات فروشگاه خود را برای ایجاد اعتماد و اعتبار در بین خریداران بهینه کنم؟")</f>
        <v>چگونه می توانم نظرات و رتبه بندی محصولات فروشگاه خود را برای ایجاد اعتماد و اعتبار در بین خریداران بهینه کنم؟</v>
      </c>
      <c r="H9692" s="1"/>
      <c r="I9692" s="1"/>
      <c r="J9692" s="1"/>
      <c r="K9692" s="1"/>
      <c r="L9692" s="1"/>
      <c r="M9692" s="1"/>
      <c r="N9692" s="1"/>
      <c r="O9692" s="1"/>
      <c r="P9692" s="1"/>
      <c r="Q9692" s="1"/>
      <c r="R9692" s="1"/>
      <c r="S9692" s="1"/>
      <c r="T9692" s="1"/>
      <c r="U9692" s="1"/>
      <c r="V9692" s="1"/>
      <c r="W9692" s="1"/>
      <c r="X9692" s="1"/>
      <c r="Y9692" s="1"/>
      <c r="Z9692" s="1"/>
      <c r="AA9692" s="1"/>
      <c r="AB9692" s="1"/>
    </row>
    <row r="9693" ht="50.25" customHeight="1">
      <c r="A9693" s="12">
        <v>9689.0</v>
      </c>
      <c r="B9693" s="13" t="s">
        <v>9604</v>
      </c>
      <c r="C9693" s="14" t="s">
        <v>9720</v>
      </c>
      <c r="D9693" s="1"/>
      <c r="E9693" s="1"/>
      <c r="F9693" s="1" t="str">
        <f>IFERROR(__xludf.DUMMYFUNCTION("GOOGLETRANSLATE(B9693, ""en"", ""fa"")
"),"موفقیت Etsy")</f>
        <v>موفقیت Etsy</v>
      </c>
      <c r="G9693" s="1" t="str">
        <f>IFERROR(__xludf.DUMMYFUNCTION("GOOGLETRANSLATE(C9693, ""en"", ""fa"")
"),"چگونه می توانم از توصیه های شخصی سازی شده محصول و تکنیک های افزایش فروش برای افزایش تبدیل در Etsy استفاده کنم؟")</f>
        <v>چگونه می توانم از توصیه های شخصی سازی شده محصول و تکنیک های افزایش فروش برای افزایش تبدیل در Etsy استفاده کنم؟</v>
      </c>
      <c r="H9693" s="1"/>
      <c r="I9693" s="1"/>
      <c r="J9693" s="1"/>
      <c r="K9693" s="1"/>
      <c r="L9693" s="1"/>
      <c r="M9693" s="1"/>
      <c r="N9693" s="1"/>
      <c r="O9693" s="1"/>
      <c r="P9693" s="1"/>
      <c r="Q9693" s="1"/>
      <c r="R9693" s="1"/>
      <c r="S9693" s="1"/>
      <c r="T9693" s="1"/>
      <c r="U9693" s="1"/>
      <c r="V9693" s="1"/>
      <c r="W9693" s="1"/>
      <c r="X9693" s="1"/>
      <c r="Y9693" s="1"/>
      <c r="Z9693" s="1"/>
      <c r="AA9693" s="1"/>
      <c r="AB9693" s="1"/>
    </row>
    <row r="9694" ht="50.25" customHeight="1">
      <c r="A9694" s="12">
        <v>9690.0</v>
      </c>
      <c r="B9694" s="13" t="s">
        <v>9604</v>
      </c>
      <c r="C9694" s="14" t="s">
        <v>9721</v>
      </c>
      <c r="D9694" s="1"/>
      <c r="E9694" s="1"/>
      <c r="F9694" s="1" t="str">
        <f>IFERROR(__xludf.DUMMYFUNCTION("GOOGLETRANSLATE(B9694, ""en"", ""fa"")
"),"موفقیت Etsy")</f>
        <v>موفقیت Etsy</v>
      </c>
      <c r="G9694" s="1" t="str">
        <f>IFERROR(__xludf.DUMMYFUNCTION("GOOGLETRANSLATE(C9694, ""en"", ""fa"")
"),"استراتژی‌های بهینه‌سازی منوی پیمایش و سلسله‌مراتب دسته‌بندی فروشگاه من برای تجربه کاربری بهتر چیست؟")</f>
        <v>استراتژی‌های بهینه‌سازی منوی پیمایش و سلسله‌مراتب دسته‌بندی فروشگاه من برای تجربه کاربری بهتر چیست؟</v>
      </c>
      <c r="H9694" s="1"/>
      <c r="I9694" s="1"/>
      <c r="J9694" s="1"/>
      <c r="K9694" s="1"/>
      <c r="L9694" s="1"/>
      <c r="M9694" s="1"/>
      <c r="N9694" s="1"/>
      <c r="O9694" s="1"/>
      <c r="P9694" s="1"/>
      <c r="Q9694" s="1"/>
      <c r="R9694" s="1"/>
      <c r="S9694" s="1"/>
      <c r="T9694" s="1"/>
      <c r="U9694" s="1"/>
      <c r="V9694" s="1"/>
      <c r="W9694" s="1"/>
      <c r="X9694" s="1"/>
      <c r="Y9694" s="1"/>
      <c r="Z9694" s="1"/>
      <c r="AA9694" s="1"/>
      <c r="AB9694" s="1"/>
    </row>
    <row r="9695" ht="50.25" customHeight="1">
      <c r="A9695" s="12">
        <v>9691.0</v>
      </c>
      <c r="B9695" s="13" t="s">
        <v>9604</v>
      </c>
      <c r="C9695" s="14" t="s">
        <v>9722</v>
      </c>
      <c r="D9695" s="1"/>
      <c r="E9695" s="1"/>
      <c r="F9695" s="1" t="str">
        <f>IFERROR(__xludf.DUMMYFUNCTION("GOOGLETRANSLATE(B9695, ""en"", ""fa"")
"),"موفقیت Etsy")</f>
        <v>موفقیت Etsy</v>
      </c>
      <c r="G9695" s="1" t="str">
        <f>IFERROR(__xludf.DUMMYFUNCTION("GOOGLETRANSLATE(C9695, ""en"", ""fa"")
"),"چگونه می توانم گزینه پرداخت مهمان را برای ساده کردن فرآیند خرید برای مشتریان جدید در Etsy پیاده سازی کنم؟")</f>
        <v>چگونه می توانم گزینه پرداخت مهمان را برای ساده کردن فرآیند خرید برای مشتریان جدید در Etsy پیاده سازی کنم؟</v>
      </c>
      <c r="H9695" s="1"/>
      <c r="I9695" s="1"/>
      <c r="J9695" s="1"/>
      <c r="K9695" s="1"/>
      <c r="L9695" s="1"/>
      <c r="M9695" s="1"/>
      <c r="N9695" s="1"/>
      <c r="O9695" s="1"/>
      <c r="P9695" s="1"/>
      <c r="Q9695" s="1"/>
      <c r="R9695" s="1"/>
      <c r="S9695" s="1"/>
      <c r="T9695" s="1"/>
      <c r="U9695" s="1"/>
      <c r="V9695" s="1"/>
      <c r="W9695" s="1"/>
      <c r="X9695" s="1"/>
      <c r="Y9695" s="1"/>
      <c r="Z9695" s="1"/>
      <c r="AA9695" s="1"/>
      <c r="AB9695" s="1"/>
    </row>
    <row r="9696" ht="50.25" customHeight="1">
      <c r="A9696" s="12">
        <v>9692.0</v>
      </c>
      <c r="B9696" s="13" t="s">
        <v>9604</v>
      </c>
      <c r="C9696" s="14" t="s">
        <v>9723</v>
      </c>
      <c r="D9696" s="1"/>
      <c r="E9696" s="1"/>
      <c r="F9696" s="1" t="str">
        <f>IFERROR(__xludf.DUMMYFUNCTION("GOOGLETRANSLATE(B9696, ""en"", ""fa"")
"),"موفقیت Etsy")</f>
        <v>موفقیت Etsy</v>
      </c>
      <c r="G9696" s="1" t="str">
        <f>IFERROR(__xludf.DUMMYFUNCTION("GOOGLETRANSLATE(C9696, ""en"", ""fa"")
"),"چگونه می توانم از برنامه های اشتراک گذاری و ارجاع رسانه های اجتماعی برای تشویق مشتریان به تبلیغ فروشگاه Etsy خود استفاده کنم؟")</f>
        <v>چگونه می توانم از برنامه های اشتراک گذاری و ارجاع رسانه های اجتماعی برای تشویق مشتریان به تبلیغ فروشگاه Etsy خود استفاده کنم؟</v>
      </c>
      <c r="H9696" s="1"/>
      <c r="I9696" s="1"/>
      <c r="J9696" s="1"/>
      <c r="K9696" s="1"/>
      <c r="L9696" s="1"/>
      <c r="M9696" s="1"/>
      <c r="N9696" s="1"/>
      <c r="O9696" s="1"/>
      <c r="P9696" s="1"/>
      <c r="Q9696" s="1"/>
      <c r="R9696" s="1"/>
      <c r="S9696" s="1"/>
      <c r="T9696" s="1"/>
      <c r="U9696" s="1"/>
      <c r="V9696" s="1"/>
      <c r="W9696" s="1"/>
      <c r="X9696" s="1"/>
      <c r="Y9696" s="1"/>
      <c r="Z9696" s="1"/>
      <c r="AA9696" s="1"/>
      <c r="AB9696" s="1"/>
    </row>
    <row r="9697" ht="50.25" customHeight="1">
      <c r="A9697" s="12">
        <v>9693.0</v>
      </c>
      <c r="B9697" s="13" t="s">
        <v>9604</v>
      </c>
      <c r="C9697" s="14" t="s">
        <v>9724</v>
      </c>
      <c r="D9697" s="1"/>
      <c r="E9697" s="1"/>
      <c r="F9697" s="1" t="str">
        <f>IFERROR(__xludf.DUMMYFUNCTION("GOOGLETRANSLATE(B9697, ""en"", ""fa"")
"),"موفقیت Etsy")</f>
        <v>موفقیت Etsy</v>
      </c>
      <c r="G9697" s="1" t="str">
        <f>IFERROR(__xludf.DUMMYFUNCTION("GOOGLETRANSLATE(C9697, ""en"", ""fa"")
"),"راهبردهای اجرای سیاست شفاف و مشتری پسند بازگشت و بازپرداخت در Etsy چیست؟")</f>
        <v>راهبردهای اجرای سیاست شفاف و مشتری پسند بازگشت و بازپرداخت در Etsy چیست؟</v>
      </c>
      <c r="H9697" s="1"/>
      <c r="I9697" s="1"/>
      <c r="J9697" s="1"/>
      <c r="K9697" s="1"/>
      <c r="L9697" s="1"/>
      <c r="M9697" s="1"/>
      <c r="N9697" s="1"/>
      <c r="O9697" s="1"/>
      <c r="P9697" s="1"/>
      <c r="Q9697" s="1"/>
      <c r="R9697" s="1"/>
      <c r="S9697" s="1"/>
      <c r="T9697" s="1"/>
      <c r="U9697" s="1"/>
      <c r="V9697" s="1"/>
      <c r="W9697" s="1"/>
      <c r="X9697" s="1"/>
      <c r="Y9697" s="1"/>
      <c r="Z9697" s="1"/>
      <c r="AA9697" s="1"/>
      <c r="AB9697" s="1"/>
    </row>
    <row r="9698" ht="50.25" customHeight="1">
      <c r="A9698" s="12">
        <v>9694.0</v>
      </c>
      <c r="B9698" s="13" t="s">
        <v>9604</v>
      </c>
      <c r="C9698" s="14" t="s">
        <v>9725</v>
      </c>
      <c r="D9698" s="1"/>
      <c r="E9698" s="1"/>
      <c r="F9698" s="1" t="str">
        <f>IFERROR(__xludf.DUMMYFUNCTION("GOOGLETRANSLATE(B9698, ""en"", ""fa"")
"),"موفقیت Etsy")</f>
        <v>موفقیت Etsy</v>
      </c>
      <c r="G9698" s="1" t="str">
        <f>IFERROR(__xludf.DUMMYFUNCTION("GOOGLETRANSLATE(C9698, ""en"", ""fa"")
"),"چگونه می توانم سرعت بارگیری و عملکرد کلی فروشگاه خود را برای کاهش نرخ پرش و بهبود تبدیل ها بهینه کنم؟")</f>
        <v>چگونه می توانم سرعت بارگیری و عملکرد کلی فروشگاه خود را برای کاهش نرخ پرش و بهبود تبدیل ها بهینه کنم؟</v>
      </c>
      <c r="H9698" s="1"/>
      <c r="I9698" s="1"/>
      <c r="J9698" s="1"/>
      <c r="K9698" s="1"/>
      <c r="L9698" s="1"/>
      <c r="M9698" s="1"/>
      <c r="N9698" s="1"/>
      <c r="O9698" s="1"/>
      <c r="P9698" s="1"/>
      <c r="Q9698" s="1"/>
      <c r="R9698" s="1"/>
      <c r="S9698" s="1"/>
      <c r="T9698" s="1"/>
      <c r="U9698" s="1"/>
      <c r="V9698" s="1"/>
      <c r="W9698" s="1"/>
      <c r="X9698" s="1"/>
      <c r="Y9698" s="1"/>
      <c r="Z9698" s="1"/>
      <c r="AA9698" s="1"/>
      <c r="AB9698" s="1"/>
    </row>
    <row r="9699" ht="50.25" customHeight="1">
      <c r="A9699" s="12">
        <v>9695.0</v>
      </c>
      <c r="B9699" s="13" t="s">
        <v>9604</v>
      </c>
      <c r="C9699" s="14" t="s">
        <v>9726</v>
      </c>
      <c r="D9699" s="1"/>
      <c r="E9699" s="1"/>
      <c r="F9699" s="1" t="str">
        <f>IFERROR(__xludf.DUMMYFUNCTION("GOOGLETRANSLATE(B9699, ""en"", ""fa"")
"),"موفقیت Etsy")</f>
        <v>موفقیت Etsy</v>
      </c>
      <c r="G9699" s="1" t="str">
        <f>IFERROR(__xludf.DUMMYFUNCTION("GOOGLETRANSLATE(C9699, ""en"", ""fa"")
"),"استراتژی‌های استفاده از تاکتیک‌های کمیاب مانند نسخه‌های محدود یا پیشنهادات با زمان محدود برای ایجاد فوریت در Etsy چیست؟")</f>
        <v>استراتژی‌های استفاده از تاکتیک‌های کمیاب مانند نسخه‌های محدود یا پیشنهادات با زمان محدود برای ایجاد فوریت در Etsy چیست؟</v>
      </c>
      <c r="H9699" s="1"/>
      <c r="I9699" s="1"/>
      <c r="J9699" s="1"/>
      <c r="K9699" s="1"/>
      <c r="L9699" s="1"/>
      <c r="M9699" s="1"/>
      <c r="N9699" s="1"/>
      <c r="O9699" s="1"/>
      <c r="P9699" s="1"/>
      <c r="Q9699" s="1"/>
      <c r="R9699" s="1"/>
      <c r="S9699" s="1"/>
      <c r="T9699" s="1"/>
      <c r="U9699" s="1"/>
      <c r="V9699" s="1"/>
      <c r="W9699" s="1"/>
      <c r="X9699" s="1"/>
      <c r="Y9699" s="1"/>
      <c r="Z9699" s="1"/>
      <c r="AA9699" s="1"/>
      <c r="AB9699" s="1"/>
    </row>
    <row r="9700" ht="50.25" customHeight="1">
      <c r="A9700" s="12">
        <v>9696.0</v>
      </c>
      <c r="B9700" s="13" t="s">
        <v>9604</v>
      </c>
      <c r="C9700" s="14" t="s">
        <v>9727</v>
      </c>
      <c r="D9700" s="1"/>
      <c r="E9700" s="1"/>
      <c r="F9700" s="1" t="str">
        <f>IFERROR(__xludf.DUMMYFUNCTION("GOOGLETRANSLATE(B9700, ""en"", ""fa"")
"),"موفقیت Etsy")</f>
        <v>موفقیت Etsy</v>
      </c>
      <c r="G9700" s="1" t="str">
        <f>IFERROR(__xludf.DUMMYFUNCTION("GOOGLETRANSLATE(C9700, ""en"", ""fa"")
"),"چگونه می توانم فروشگاه Etsy خود را برای مشتریان بین المللی، از جمله گزینه های زبان و تبدیل ارز، بهینه کنم؟")</f>
        <v>چگونه می توانم فروشگاه Etsy خود را برای مشتریان بین المللی، از جمله گزینه های زبان و تبدیل ارز، بهینه کنم؟</v>
      </c>
      <c r="H9700" s="1"/>
      <c r="I9700" s="1"/>
      <c r="J9700" s="1"/>
      <c r="K9700" s="1"/>
      <c r="L9700" s="1"/>
      <c r="M9700" s="1"/>
      <c r="N9700" s="1"/>
      <c r="O9700" s="1"/>
      <c r="P9700" s="1"/>
      <c r="Q9700" s="1"/>
      <c r="R9700" s="1"/>
      <c r="S9700" s="1"/>
      <c r="T9700" s="1"/>
      <c r="U9700" s="1"/>
      <c r="V9700" s="1"/>
      <c r="W9700" s="1"/>
      <c r="X9700" s="1"/>
      <c r="Y9700" s="1"/>
      <c r="Z9700" s="1"/>
      <c r="AA9700" s="1"/>
      <c r="AB9700" s="1"/>
    </row>
    <row r="9701" ht="50.25" customHeight="1">
      <c r="A9701" s="12">
        <v>9697.0</v>
      </c>
      <c r="B9701" s="13" t="s">
        <v>9604</v>
      </c>
      <c r="C9701" s="14" t="s">
        <v>9728</v>
      </c>
      <c r="D9701" s="1"/>
      <c r="E9701" s="1"/>
      <c r="F9701" s="1" t="str">
        <f>IFERROR(__xludf.DUMMYFUNCTION("GOOGLETRANSLATE(B9701, ""en"", ""fa"")
"),"موفقیت Etsy")</f>
        <v>موفقیت Etsy</v>
      </c>
      <c r="G9701" s="1" t="str">
        <f>IFERROR(__xludf.DUMMYFUNCTION("GOOGLETRANSLATE(C9701, ""en"", ""fa"")
"),"استراتژی‌های پیاده‌سازی توصیه‌های محصول شخصی‌شده بر اساس سابقه مرور مشتری در Etsy چیست؟")</f>
        <v>استراتژی‌های پیاده‌سازی توصیه‌های محصول شخصی‌شده بر اساس سابقه مرور مشتری در Etsy چیست؟</v>
      </c>
      <c r="H9701" s="1"/>
      <c r="I9701" s="1"/>
      <c r="J9701" s="1"/>
      <c r="K9701" s="1"/>
      <c r="L9701" s="1"/>
      <c r="M9701" s="1"/>
      <c r="N9701" s="1"/>
      <c r="O9701" s="1"/>
      <c r="P9701" s="1"/>
      <c r="Q9701" s="1"/>
      <c r="R9701" s="1"/>
      <c r="S9701" s="1"/>
      <c r="T9701" s="1"/>
      <c r="U9701" s="1"/>
      <c r="V9701" s="1"/>
      <c r="W9701" s="1"/>
      <c r="X9701" s="1"/>
      <c r="Y9701" s="1"/>
      <c r="Z9701" s="1"/>
      <c r="AA9701" s="1"/>
      <c r="AB9701" s="1"/>
    </row>
    <row r="9702" ht="50.25" customHeight="1">
      <c r="A9702" s="12">
        <v>9698.0</v>
      </c>
      <c r="B9702" s="13" t="s">
        <v>9604</v>
      </c>
      <c r="C9702" s="14" t="s">
        <v>9729</v>
      </c>
      <c r="D9702" s="1"/>
      <c r="E9702" s="1"/>
      <c r="F9702" s="1" t="str">
        <f>IFERROR(__xludf.DUMMYFUNCTION("GOOGLETRANSLATE(B9702, ""en"", ""fa"")
"),"موفقیت Etsy")</f>
        <v>موفقیت Etsy</v>
      </c>
      <c r="G9702" s="1" t="str">
        <f>IFERROR(__xludf.DUMMYFUNCTION("GOOGLETRANSLATE(C9702, ""en"", ""fa"")
"),"چگونه می توانم از تقسیم بندی مشتری و بازاریابی ایمیلی هدفمند برای افزایش تبدیل در Etsy استفاده کنم؟")</f>
        <v>چگونه می توانم از تقسیم بندی مشتری و بازاریابی ایمیلی هدفمند برای افزایش تبدیل در Etsy استفاده کنم؟</v>
      </c>
      <c r="H9702" s="1"/>
      <c r="I9702" s="1"/>
      <c r="J9702" s="1"/>
      <c r="K9702" s="1"/>
      <c r="L9702" s="1"/>
      <c r="M9702" s="1"/>
      <c r="N9702" s="1"/>
      <c r="O9702" s="1"/>
      <c r="P9702" s="1"/>
      <c r="Q9702" s="1"/>
      <c r="R9702" s="1"/>
      <c r="S9702" s="1"/>
      <c r="T9702" s="1"/>
      <c r="U9702" s="1"/>
      <c r="V9702" s="1"/>
      <c r="W9702" s="1"/>
      <c r="X9702" s="1"/>
      <c r="Y9702" s="1"/>
      <c r="Z9702" s="1"/>
      <c r="AA9702" s="1"/>
      <c r="AB9702" s="1"/>
    </row>
    <row r="9703" ht="50.25" customHeight="1">
      <c r="A9703" s="12">
        <v>9699.0</v>
      </c>
      <c r="B9703" s="13" t="s">
        <v>9604</v>
      </c>
      <c r="C9703" s="14" t="s">
        <v>9730</v>
      </c>
      <c r="D9703" s="1"/>
      <c r="E9703" s="1"/>
      <c r="F9703" s="1" t="str">
        <f>IFERROR(__xludf.DUMMYFUNCTION("GOOGLETRANSLATE(B9703, ""en"", ""fa"")
"),"موفقیت Etsy")</f>
        <v>موفقیت Etsy</v>
      </c>
      <c r="G9703" s="1" t="str">
        <f>IFERROR(__xludf.DUMMYFUNCTION("GOOGLETRANSLATE(C9703, ""en"", ""fa"")
"),"چگونه می توانم فیلترها و ویژگی های محصول فروشگاه خود را برای تسهیل فرآیند کشف محصول در Etsy بهینه کنم؟")</f>
        <v>چگونه می توانم فیلترها و ویژگی های محصول فروشگاه خود را برای تسهیل فرآیند کشف محصول در Etsy بهینه کنم؟</v>
      </c>
      <c r="H9703" s="1"/>
      <c r="I9703" s="1"/>
      <c r="J9703" s="1"/>
      <c r="K9703" s="1"/>
      <c r="L9703" s="1"/>
      <c r="M9703" s="1"/>
      <c r="N9703" s="1"/>
      <c r="O9703" s="1"/>
      <c r="P9703" s="1"/>
      <c r="Q9703" s="1"/>
      <c r="R9703" s="1"/>
      <c r="S9703" s="1"/>
      <c r="T9703" s="1"/>
      <c r="U9703" s="1"/>
      <c r="V9703" s="1"/>
      <c r="W9703" s="1"/>
      <c r="X9703" s="1"/>
      <c r="Y9703" s="1"/>
      <c r="Z9703" s="1"/>
      <c r="AA9703" s="1"/>
      <c r="AB9703" s="1"/>
    </row>
    <row r="9704" ht="50.25" customHeight="1">
      <c r="A9704" s="12">
        <v>9700.0</v>
      </c>
      <c r="B9704" s="13" t="s">
        <v>9604</v>
      </c>
      <c r="C9704" s="14" t="s">
        <v>9731</v>
      </c>
      <c r="D9704" s="1"/>
      <c r="E9704" s="1"/>
      <c r="F9704" s="1" t="str">
        <f>IFERROR(__xludf.DUMMYFUNCTION("GOOGLETRANSLATE(B9704, ""en"", ""fa"")
"),"موفقیت Etsy")</f>
        <v>موفقیت Etsy</v>
      </c>
      <c r="G9704" s="1" t="str">
        <f>IFERROR(__xludf.DUMMYFUNCTION("GOOGLETRANSLATE(C9704, ""en"", ""fa"")
"),"راهبردهای ایجاد ویدیوها یا دموهای محصول موثر برای نمایش ویژگی ها و مزایای Etsy چیست؟")</f>
        <v>راهبردهای ایجاد ویدیوها یا دموهای محصول موثر برای نمایش ویژگی ها و مزایای Etsy چیست؟</v>
      </c>
      <c r="H9704" s="1"/>
      <c r="I9704" s="1"/>
      <c r="J9704" s="1"/>
      <c r="K9704" s="1"/>
      <c r="L9704" s="1"/>
      <c r="M9704" s="1"/>
      <c r="N9704" s="1"/>
      <c r="O9704" s="1"/>
      <c r="P9704" s="1"/>
      <c r="Q9704" s="1"/>
      <c r="R9704" s="1"/>
      <c r="S9704" s="1"/>
      <c r="T9704" s="1"/>
      <c r="U9704" s="1"/>
      <c r="V9704" s="1"/>
      <c r="W9704" s="1"/>
      <c r="X9704" s="1"/>
      <c r="Y9704" s="1"/>
      <c r="Z9704" s="1"/>
      <c r="AA9704" s="1"/>
      <c r="AB9704" s="1"/>
    </row>
    <row r="9705" ht="50.25" customHeight="1">
      <c r="A9705" s="12">
        <v>9701.0</v>
      </c>
      <c r="B9705" s="13" t="s">
        <v>9604</v>
      </c>
      <c r="C9705" s="14" t="s">
        <v>9732</v>
      </c>
      <c r="D9705" s="1"/>
      <c r="E9705" s="1"/>
      <c r="F9705" s="1" t="str">
        <f>IFERROR(__xludf.DUMMYFUNCTION("GOOGLETRANSLATE(B9705, ""en"", ""fa"")
"),"موفقیت Etsy")</f>
        <v>موفقیت Etsy</v>
      </c>
      <c r="G9705" s="1" t="str">
        <f>IFERROR(__xludf.DUMMYFUNCTION("GOOGLETRANSLATE(C9705, ""en"", ""fa"")
"),"چگونه می توانم از محتوای تولید شده توسط کاربر، مانند عکس های مشتری یا توصیفات، برای افزایش تبدیل در Etsy استفاده کنم؟")</f>
        <v>چگونه می توانم از محتوای تولید شده توسط کاربر، مانند عکس های مشتری یا توصیفات، برای افزایش تبدیل در Etsy استفاده کنم؟</v>
      </c>
      <c r="H9705" s="1"/>
      <c r="I9705" s="1"/>
      <c r="J9705" s="1"/>
      <c r="K9705" s="1"/>
      <c r="L9705" s="1"/>
      <c r="M9705" s="1"/>
      <c r="N9705" s="1"/>
      <c r="O9705" s="1"/>
      <c r="P9705" s="1"/>
      <c r="Q9705" s="1"/>
      <c r="R9705" s="1"/>
      <c r="S9705" s="1"/>
      <c r="T9705" s="1"/>
      <c r="U9705" s="1"/>
      <c r="V9705" s="1"/>
      <c r="W9705" s="1"/>
      <c r="X9705" s="1"/>
      <c r="Y9705" s="1"/>
      <c r="Z9705" s="1"/>
      <c r="AA9705" s="1"/>
      <c r="AB9705" s="1"/>
    </row>
    <row r="9706" ht="50.25" customHeight="1">
      <c r="A9706" s="12">
        <v>9702.0</v>
      </c>
      <c r="B9706" s="13" t="s">
        <v>9604</v>
      </c>
      <c r="C9706" s="14" t="s">
        <v>9733</v>
      </c>
      <c r="D9706" s="1"/>
      <c r="E9706" s="1"/>
      <c r="F9706" s="1" t="str">
        <f>IFERROR(__xludf.DUMMYFUNCTION("GOOGLETRANSLATE(B9706, ""en"", ""fa"")
"),"موفقیت Etsy")</f>
        <v>موفقیت Etsy</v>
      </c>
      <c r="G9706" s="1" t="str">
        <f>IFERROR(__xludf.DUMMYFUNCTION("GOOGLETRANSLATE(C9706, ""en"", ""fa"")
"),"چگونه می توانم یک عملکرد جستجوی واضح و شهودی را برای کمک به مشتریان برای یافتن سریع محصولات در Etsy پیاده سازی کنم؟")</f>
        <v>چگونه می توانم یک عملکرد جستجوی واضح و شهودی را برای کمک به مشتریان برای یافتن سریع محصولات در Etsy پیاده سازی کنم؟</v>
      </c>
      <c r="H9706" s="1"/>
      <c r="I9706" s="1"/>
      <c r="J9706" s="1"/>
      <c r="K9706" s="1"/>
      <c r="L9706" s="1"/>
      <c r="M9706" s="1"/>
      <c r="N9706" s="1"/>
      <c r="O9706" s="1"/>
      <c r="P9706" s="1"/>
      <c r="Q9706" s="1"/>
      <c r="R9706" s="1"/>
      <c r="S9706" s="1"/>
      <c r="T9706" s="1"/>
      <c r="U9706" s="1"/>
      <c r="V9706" s="1"/>
      <c r="W9706" s="1"/>
      <c r="X9706" s="1"/>
      <c r="Y9706" s="1"/>
      <c r="Z9706" s="1"/>
      <c r="AA9706" s="1"/>
      <c r="AB9706" s="1"/>
    </row>
    <row r="9707" ht="50.25" customHeight="1">
      <c r="A9707" s="12">
        <v>9703.0</v>
      </c>
      <c r="B9707" s="13" t="s">
        <v>9604</v>
      </c>
      <c r="C9707" s="14" t="s">
        <v>9734</v>
      </c>
      <c r="D9707" s="1"/>
      <c r="E9707" s="1"/>
      <c r="F9707" s="1" t="str">
        <f>IFERROR(__xludf.DUMMYFUNCTION("GOOGLETRANSLATE(B9707, ""en"", ""fa"")
"),"موفقیت Etsy")</f>
        <v>موفقیت Etsy</v>
      </c>
      <c r="G9707" s="1" t="str">
        <f>IFERROR(__xludf.DUMMYFUNCTION("GOOGLETRANSLATE(C9707, ""en"", ""fa"")
"),"راهبردهای استفاده از داستان سرایی و روایت برند برای ایجاد ارتباط عاطفی با مشتریان در Etsy چیست؟")</f>
        <v>راهبردهای استفاده از داستان سرایی و روایت برند برای ایجاد ارتباط عاطفی با مشتریان در Etsy چیست؟</v>
      </c>
      <c r="H9707" s="1"/>
      <c r="I9707" s="1"/>
      <c r="J9707" s="1"/>
      <c r="K9707" s="1"/>
      <c r="L9707" s="1"/>
      <c r="M9707" s="1"/>
      <c r="N9707" s="1"/>
      <c r="O9707" s="1"/>
      <c r="P9707" s="1"/>
      <c r="Q9707" s="1"/>
      <c r="R9707" s="1"/>
      <c r="S9707" s="1"/>
      <c r="T9707" s="1"/>
      <c r="U9707" s="1"/>
      <c r="V9707" s="1"/>
      <c r="W9707" s="1"/>
      <c r="X9707" s="1"/>
      <c r="Y9707" s="1"/>
      <c r="Z9707" s="1"/>
      <c r="AA9707" s="1"/>
      <c r="AB9707" s="1"/>
    </row>
    <row r="9708" ht="50.25" customHeight="1">
      <c r="A9708" s="12">
        <v>9704.0</v>
      </c>
      <c r="B9708" s="13" t="s">
        <v>9604</v>
      </c>
      <c r="C9708" s="14" t="s">
        <v>9735</v>
      </c>
      <c r="D9708" s="1"/>
      <c r="E9708" s="1"/>
      <c r="F9708" s="1" t="str">
        <f>IFERROR(__xludf.DUMMYFUNCTION("GOOGLETRANSLATE(B9708, ""en"", ""fa"")
"),"موفقیت Etsy")</f>
        <v>موفقیت Etsy</v>
      </c>
      <c r="G9708" s="1" t="str">
        <f>IFERROR(__xludf.DUMMYFUNCTION("GOOGLETRANSLATE(C9708, ""en"", ""fa"")
"),"چگونه می توانم نمایش قیمت و ارائه فروشگاه خود را برای برجسته کردن ارزش و کاهش حساسیت قیمت در Etsy بهینه کنم؟")</f>
        <v>چگونه می توانم نمایش قیمت و ارائه فروشگاه خود را برای برجسته کردن ارزش و کاهش حساسیت قیمت در Etsy بهینه کنم؟</v>
      </c>
      <c r="H9708" s="1"/>
      <c r="I9708" s="1"/>
      <c r="J9708" s="1"/>
      <c r="K9708" s="1"/>
      <c r="L9708" s="1"/>
      <c r="M9708" s="1"/>
      <c r="N9708" s="1"/>
      <c r="O9708" s="1"/>
      <c r="P9708" s="1"/>
      <c r="Q9708" s="1"/>
      <c r="R9708" s="1"/>
      <c r="S9708" s="1"/>
      <c r="T9708" s="1"/>
      <c r="U9708" s="1"/>
      <c r="V9708" s="1"/>
      <c r="W9708" s="1"/>
      <c r="X9708" s="1"/>
      <c r="Y9708" s="1"/>
      <c r="Z9708" s="1"/>
      <c r="AA9708" s="1"/>
      <c r="AB9708" s="1"/>
    </row>
    <row r="9709" ht="50.25" customHeight="1">
      <c r="A9709" s="12">
        <v>9705.0</v>
      </c>
      <c r="B9709" s="13" t="s">
        <v>9604</v>
      </c>
      <c r="C9709" s="14" t="s">
        <v>9736</v>
      </c>
      <c r="D9709" s="1"/>
      <c r="E9709" s="1"/>
      <c r="F9709" s="1" t="str">
        <f>IFERROR(__xludf.DUMMYFUNCTION("GOOGLETRANSLATE(B9709, ""en"", ""fa"")
"),"موفقیت Etsy")</f>
        <v>موفقیت Etsy</v>
      </c>
      <c r="G9709" s="1" t="str">
        <f>IFERROR(__xludf.DUMMYFUNCTION("GOOGLETRANSLATE(C9709, ""en"", ""fa"")
"),"استراتژی‌های استفاده از پاپ‌آپ‌های هدفمند یا همپوشانی‌ها برای جذب سرنخ‌های ایمیل و ایجاد تبدیل در Etsy چیست؟")</f>
        <v>استراتژی‌های استفاده از پاپ‌آپ‌های هدفمند یا همپوشانی‌ها برای جذب سرنخ‌های ایمیل و ایجاد تبدیل در Etsy چیست؟</v>
      </c>
      <c r="H9709" s="1"/>
      <c r="I9709" s="1"/>
      <c r="J9709" s="1"/>
      <c r="K9709" s="1"/>
      <c r="L9709" s="1"/>
      <c r="M9709" s="1"/>
      <c r="N9709" s="1"/>
      <c r="O9709" s="1"/>
      <c r="P9709" s="1"/>
      <c r="Q9709" s="1"/>
      <c r="R9709" s="1"/>
      <c r="S9709" s="1"/>
      <c r="T9709" s="1"/>
      <c r="U9709" s="1"/>
      <c r="V9709" s="1"/>
      <c r="W9709" s="1"/>
      <c r="X9709" s="1"/>
      <c r="Y9709" s="1"/>
      <c r="Z9709" s="1"/>
      <c r="AA9709" s="1"/>
      <c r="AB9709" s="1"/>
    </row>
    <row r="9710" ht="50.25" customHeight="1">
      <c r="A9710" s="12">
        <v>9706.0</v>
      </c>
      <c r="B9710" s="13" t="s">
        <v>9604</v>
      </c>
      <c r="C9710" s="14" t="s">
        <v>9737</v>
      </c>
      <c r="D9710" s="1"/>
      <c r="E9710" s="1"/>
      <c r="F9710" s="1" t="str">
        <f>IFERROR(__xludf.DUMMYFUNCTION("GOOGLETRANSLATE(B9710, ""en"", ""fa"")
"),"موفقیت Etsy")</f>
        <v>موفقیت Etsy</v>
      </c>
      <c r="G9710" s="1" t="str">
        <f>IFERROR(__xludf.DUMMYFUNCTION("GOOGLETRANSLATE(C9710, ""en"", ""fa"")
"),"چگونه می توانم از بازخوردها و نظرسنجی های مشتریان برای جمع آوری بینش و بهینه سازی تجربه کاربری فروشگاهم در Etsy استفاده کنم؟")</f>
        <v>چگونه می توانم از بازخوردها و نظرسنجی های مشتریان برای جمع آوری بینش و بهینه سازی تجربه کاربری فروشگاهم در Etsy استفاده کنم؟</v>
      </c>
      <c r="H9710" s="1"/>
      <c r="I9710" s="1"/>
      <c r="J9710" s="1"/>
      <c r="K9710" s="1"/>
      <c r="L9710" s="1"/>
      <c r="M9710" s="1"/>
      <c r="N9710" s="1"/>
      <c r="O9710" s="1"/>
      <c r="P9710" s="1"/>
      <c r="Q9710" s="1"/>
      <c r="R9710" s="1"/>
      <c r="S9710" s="1"/>
      <c r="T9710" s="1"/>
      <c r="U9710" s="1"/>
      <c r="V9710" s="1"/>
      <c r="W9710" s="1"/>
      <c r="X9710" s="1"/>
      <c r="Y9710" s="1"/>
      <c r="Z9710" s="1"/>
      <c r="AA9710" s="1"/>
      <c r="AB9710" s="1"/>
    </row>
    <row r="9711" ht="50.25" customHeight="1">
      <c r="A9711" s="12">
        <v>9707.0</v>
      </c>
      <c r="B9711" s="13" t="s">
        <v>9604</v>
      </c>
      <c r="C9711" s="14" t="s">
        <v>9738</v>
      </c>
      <c r="D9711" s="1"/>
      <c r="E9711" s="1"/>
      <c r="F9711" s="1" t="str">
        <f>IFERROR(__xludf.DUMMYFUNCTION("GOOGLETRANSLATE(B9711, ""en"", ""fa"")
"),"موفقیت Etsy")</f>
        <v>موفقیت Etsy</v>
      </c>
      <c r="G9711" s="1" t="str">
        <f>IFERROR(__xludf.DUMMYFUNCTION("GOOGLETRANSLATE(C9711, ""en"", ""fa"")
"),"استراتژی‌های استفاده از پیشنهادات و تخفیف‌های مبتنی بر فوریت برای تشویق خرید فوری در Etsy چیست؟")</f>
        <v>استراتژی‌های استفاده از پیشنهادات و تخفیف‌های مبتنی بر فوریت برای تشویق خرید فوری در Etsy چیست؟</v>
      </c>
      <c r="H9711" s="1"/>
      <c r="I9711" s="1"/>
      <c r="J9711" s="1"/>
      <c r="K9711" s="1"/>
      <c r="L9711" s="1"/>
      <c r="M9711" s="1"/>
      <c r="N9711" s="1"/>
      <c r="O9711" s="1"/>
      <c r="P9711" s="1"/>
      <c r="Q9711" s="1"/>
      <c r="R9711" s="1"/>
      <c r="S9711" s="1"/>
      <c r="T9711" s="1"/>
      <c r="U9711" s="1"/>
      <c r="V9711" s="1"/>
      <c r="W9711" s="1"/>
      <c r="X9711" s="1"/>
      <c r="Y9711" s="1"/>
      <c r="Z9711" s="1"/>
      <c r="AA9711" s="1"/>
      <c r="AB9711" s="1"/>
    </row>
    <row r="9712" ht="50.25" customHeight="1">
      <c r="A9712" s="12">
        <v>9708.0</v>
      </c>
      <c r="B9712" s="13" t="s">
        <v>9604</v>
      </c>
      <c r="C9712" s="14" t="s">
        <v>9739</v>
      </c>
      <c r="D9712" s="1"/>
      <c r="E9712" s="1"/>
      <c r="F9712" s="1" t="str">
        <f>IFERROR(__xludf.DUMMYFUNCTION("GOOGLETRANSLATE(B9712, ""en"", ""fa"")
"),"موفقیت Etsy")</f>
        <v>موفقیت Etsy</v>
      </c>
      <c r="G9712" s="1" t="str">
        <f>IFERROR(__xludf.DUMMYFUNCTION("GOOGLETRANSLATE(C9712, ""en"", ""fa"")
"),"چگونه می توانم قطعات نتایج جستجو و پیش نمایش محصولات فروشگاه خود را برای جذب کلیک ها و تبدیل های بیشتر در Etsy بهینه کنم؟")</f>
        <v>چگونه می توانم قطعات نتایج جستجو و پیش نمایش محصولات فروشگاه خود را برای جذب کلیک ها و تبدیل های بیشتر در Etsy بهینه کنم؟</v>
      </c>
      <c r="H9712" s="1"/>
      <c r="I9712" s="1"/>
      <c r="J9712" s="1"/>
      <c r="K9712" s="1"/>
      <c r="L9712" s="1"/>
      <c r="M9712" s="1"/>
      <c r="N9712" s="1"/>
      <c r="O9712" s="1"/>
      <c r="P9712" s="1"/>
      <c r="Q9712" s="1"/>
      <c r="R9712" s="1"/>
      <c r="S9712" s="1"/>
      <c r="T9712" s="1"/>
      <c r="U9712" s="1"/>
      <c r="V9712" s="1"/>
      <c r="W9712" s="1"/>
      <c r="X9712" s="1"/>
      <c r="Y9712" s="1"/>
      <c r="Z9712" s="1"/>
      <c r="AA9712" s="1"/>
      <c r="AB9712" s="1"/>
    </row>
    <row r="9713" ht="50.25" customHeight="1">
      <c r="A9713" s="12">
        <v>9709.0</v>
      </c>
      <c r="B9713" s="13" t="s">
        <v>9604</v>
      </c>
      <c r="C9713" s="14" t="s">
        <v>9740</v>
      </c>
      <c r="D9713" s="1"/>
      <c r="E9713" s="1"/>
      <c r="F9713" s="1" t="str">
        <f>IFERROR(__xludf.DUMMYFUNCTION("GOOGLETRANSLATE(B9713, ""en"", ""fa"")
"),"موفقیت Etsy")</f>
        <v>موفقیت Etsy</v>
      </c>
      <c r="G9713" s="1" t="str">
        <f>IFERROR(__xludf.DUMMYFUNCTION("GOOGLETRANSLATE(C9713, ""en"", ""fa"")
"),"چگونه می توانم یک دنباله ایمیل شخصی و خودکار را برای پرورش سرنخ ها و افزایش تبدیل در Etsy پیاده سازی کنم؟")</f>
        <v>چگونه می توانم یک دنباله ایمیل شخصی و خودکار را برای پرورش سرنخ ها و افزایش تبدیل در Etsy پیاده سازی کنم؟</v>
      </c>
      <c r="H9713" s="1"/>
      <c r="I9713" s="1"/>
      <c r="J9713" s="1"/>
      <c r="K9713" s="1"/>
      <c r="L9713" s="1"/>
      <c r="M9713" s="1"/>
      <c r="N9713" s="1"/>
      <c r="O9713" s="1"/>
      <c r="P9713" s="1"/>
      <c r="Q9713" s="1"/>
      <c r="R9713" s="1"/>
      <c r="S9713" s="1"/>
      <c r="T9713" s="1"/>
      <c r="U9713" s="1"/>
      <c r="V9713" s="1"/>
      <c r="W9713" s="1"/>
      <c r="X9713" s="1"/>
      <c r="Y9713" s="1"/>
      <c r="Z9713" s="1"/>
      <c r="AA9713" s="1"/>
      <c r="AB9713" s="1"/>
    </row>
    <row r="9714" ht="50.25" customHeight="1">
      <c r="A9714" s="12">
        <v>9710.0</v>
      </c>
      <c r="B9714" s="13" t="s">
        <v>9604</v>
      </c>
      <c r="C9714" s="14" t="s">
        <v>9741</v>
      </c>
      <c r="D9714" s="1"/>
      <c r="E9714" s="1"/>
      <c r="F9714" s="1" t="str">
        <f>IFERROR(__xludf.DUMMYFUNCTION("GOOGLETRANSLATE(B9714, ""en"", ""fa"")
"),"موفقیت Etsy")</f>
        <v>موفقیت Etsy</v>
      </c>
      <c r="G9714" s="1" t="str">
        <f>IFERROR(__xludf.DUMMYFUNCTION("GOOGLETRANSLATE(C9714, ""en"", ""fa"")
"),"استراتژی‌های استفاده از عناصر اثبات اجتماعی مانند توصیفات، بررسی‌ها و رتبه‌بندی برای ایجاد اعتماد و اعتبار در Etsy چیست؟")</f>
        <v>استراتژی‌های استفاده از عناصر اثبات اجتماعی مانند توصیفات، بررسی‌ها و رتبه‌بندی برای ایجاد اعتماد و اعتبار در Etsy چیست؟</v>
      </c>
      <c r="H9714" s="1"/>
      <c r="I9714" s="1"/>
      <c r="J9714" s="1"/>
      <c r="K9714" s="1"/>
      <c r="L9714" s="1"/>
      <c r="M9714" s="1"/>
      <c r="N9714" s="1"/>
      <c r="O9714" s="1"/>
      <c r="P9714" s="1"/>
      <c r="Q9714" s="1"/>
      <c r="R9714" s="1"/>
      <c r="S9714" s="1"/>
      <c r="T9714" s="1"/>
      <c r="U9714" s="1"/>
      <c r="V9714" s="1"/>
      <c r="W9714" s="1"/>
      <c r="X9714" s="1"/>
      <c r="Y9714" s="1"/>
      <c r="Z9714" s="1"/>
      <c r="AA9714" s="1"/>
      <c r="AB9714" s="1"/>
    </row>
    <row r="9715" ht="50.25" customHeight="1">
      <c r="A9715" s="12">
        <v>9711.0</v>
      </c>
      <c r="B9715" s="13" t="s">
        <v>9604</v>
      </c>
      <c r="C9715" s="14" t="s">
        <v>9742</v>
      </c>
      <c r="D9715" s="1"/>
      <c r="E9715" s="1"/>
      <c r="F9715" s="1" t="str">
        <f>IFERROR(__xludf.DUMMYFUNCTION("GOOGLETRANSLATE(B9715, ""en"", ""fa"")
"),"موفقیت Etsy")</f>
        <v>موفقیت Etsy</v>
      </c>
      <c r="G9715" s="1" t="str">
        <f>IFERROR(__xludf.DUMMYFUNCTION("GOOGLETRANSLATE(C9715, ""en"", ""fa"")
"),"چگونه می توانم تجربه بسته بندی و جعبه گشایی محصول خود را برای ایجاد یک تجربه مشتری به یاد ماندنی و قابل اشتراک در Etsy بهینه کنم؟")</f>
        <v>چگونه می توانم تجربه بسته بندی و جعبه گشایی محصول خود را برای ایجاد یک تجربه مشتری به یاد ماندنی و قابل اشتراک در Etsy بهینه کنم؟</v>
      </c>
      <c r="H9715" s="1"/>
      <c r="I9715" s="1"/>
      <c r="J9715" s="1"/>
      <c r="K9715" s="1"/>
      <c r="L9715" s="1"/>
      <c r="M9715" s="1"/>
      <c r="N9715" s="1"/>
      <c r="O9715" s="1"/>
      <c r="P9715" s="1"/>
      <c r="Q9715" s="1"/>
      <c r="R9715" s="1"/>
      <c r="S9715" s="1"/>
      <c r="T9715" s="1"/>
      <c r="U9715" s="1"/>
      <c r="V9715" s="1"/>
      <c r="W9715" s="1"/>
      <c r="X9715" s="1"/>
      <c r="Y9715" s="1"/>
      <c r="Z9715" s="1"/>
      <c r="AA9715" s="1"/>
      <c r="AB9715" s="1"/>
    </row>
    <row r="9716" ht="50.25" customHeight="1">
      <c r="A9716" s="12">
        <v>9712.0</v>
      </c>
      <c r="B9716" s="13" t="s">
        <v>9604</v>
      </c>
      <c r="C9716" s="14" t="s">
        <v>9743</v>
      </c>
      <c r="D9716" s="1"/>
      <c r="E9716" s="1"/>
      <c r="F9716" s="1" t="str">
        <f>IFERROR(__xludf.DUMMYFUNCTION("GOOGLETRANSLATE(B9716, ""en"", ""fa"")
"),"موفقیت Etsy")</f>
        <v>موفقیت Etsy</v>
      </c>
      <c r="G9716" s="1" t="str">
        <f>IFERROR(__xludf.DUMMYFUNCTION("GOOGLETRANSLATE(C9716, ""en"", ""fa"")
"),"چگونه می توانم از محتوای تولید شده توسط کاربر، مانند نظرات محصول و عکس های مشتری، برای افزایش تبدیل در Etsy استفاده کنم؟")</f>
        <v>چگونه می توانم از محتوای تولید شده توسط کاربر، مانند نظرات محصول و عکس های مشتری، برای افزایش تبدیل در Etsy استفاده کنم؟</v>
      </c>
      <c r="H9716" s="1"/>
      <c r="I9716" s="1"/>
      <c r="J9716" s="1"/>
      <c r="K9716" s="1"/>
      <c r="L9716" s="1"/>
      <c r="M9716" s="1"/>
      <c r="N9716" s="1"/>
      <c r="O9716" s="1"/>
      <c r="P9716" s="1"/>
      <c r="Q9716" s="1"/>
      <c r="R9716" s="1"/>
      <c r="S9716" s="1"/>
      <c r="T9716" s="1"/>
      <c r="U9716" s="1"/>
      <c r="V9716" s="1"/>
      <c r="W9716" s="1"/>
      <c r="X9716" s="1"/>
      <c r="Y9716" s="1"/>
      <c r="Z9716" s="1"/>
      <c r="AA9716" s="1"/>
      <c r="AB9716" s="1"/>
    </row>
    <row r="9717" ht="50.25" customHeight="1">
      <c r="A9717" s="12">
        <v>9713.0</v>
      </c>
      <c r="B9717" s="13" t="s">
        <v>9604</v>
      </c>
      <c r="C9717" s="14" t="s">
        <v>9744</v>
      </c>
      <c r="D9717" s="1"/>
      <c r="E9717" s="1"/>
      <c r="F9717" s="1" t="str">
        <f>IFERROR(__xludf.DUMMYFUNCTION("GOOGLETRANSLATE(B9717, ""en"", ""fa"")
"),"موفقیت Etsy")</f>
        <v>موفقیت Etsy</v>
      </c>
      <c r="G9717" s="1" t="str">
        <f>IFERROR(__xludf.DUMMYFUNCTION("GOOGLETRANSLATE(C9717, ""en"", ""fa"")
"),"استراتژی های پیاده سازی موتور توصیه محصول برای ارائه پیشنهادات شخصی به مشتریان در Etsy چیست؟")</f>
        <v>استراتژی های پیاده سازی موتور توصیه محصول برای ارائه پیشنهادات شخصی به مشتریان در Etsy چیست؟</v>
      </c>
      <c r="H9717" s="1"/>
      <c r="I9717" s="1"/>
      <c r="J9717" s="1"/>
      <c r="K9717" s="1"/>
      <c r="L9717" s="1"/>
      <c r="M9717" s="1"/>
      <c r="N9717" s="1"/>
      <c r="O9717" s="1"/>
      <c r="P9717" s="1"/>
      <c r="Q9717" s="1"/>
      <c r="R9717" s="1"/>
      <c r="S9717" s="1"/>
      <c r="T9717" s="1"/>
      <c r="U9717" s="1"/>
      <c r="V9717" s="1"/>
      <c r="W9717" s="1"/>
      <c r="X9717" s="1"/>
      <c r="Y9717" s="1"/>
      <c r="Z9717" s="1"/>
      <c r="AA9717" s="1"/>
      <c r="AB9717" s="1"/>
    </row>
    <row r="9718" ht="50.25" customHeight="1">
      <c r="A9718" s="12">
        <v>9714.0</v>
      </c>
      <c r="B9718" s="13" t="s">
        <v>9604</v>
      </c>
      <c r="C9718" s="14" t="s">
        <v>9745</v>
      </c>
      <c r="D9718" s="1"/>
      <c r="E9718" s="1"/>
      <c r="F9718" s="1" t="str">
        <f>IFERROR(__xludf.DUMMYFUNCTION("GOOGLETRANSLATE(B9718, ""en"", ""fa"")
"),"موفقیت Etsy")</f>
        <v>موفقیت Etsy</v>
      </c>
      <c r="G9718" s="1" t="str">
        <f>IFERROR(__xludf.DUMMYFUNCTION("GOOGLETRANSLATE(C9718, ""en"", ""fa"")
"),"چگونه می توانم چیدمان مغازه و نمایش محصول خود را بهینه کنم تا تجربه ای جذاب و جذاب از مرور در Etsy ایجاد کنم؟")</f>
        <v>چگونه می توانم چیدمان مغازه و نمایش محصول خود را بهینه کنم تا تجربه ای جذاب و جذاب از مرور در Etsy ایجاد کنم؟</v>
      </c>
      <c r="H9718" s="1"/>
      <c r="I9718" s="1"/>
      <c r="J9718" s="1"/>
      <c r="K9718" s="1"/>
      <c r="L9718" s="1"/>
      <c r="M9718" s="1"/>
      <c r="N9718" s="1"/>
      <c r="O9718" s="1"/>
      <c r="P9718" s="1"/>
      <c r="Q9718" s="1"/>
      <c r="R9718" s="1"/>
      <c r="S9718" s="1"/>
      <c r="T9718" s="1"/>
      <c r="U9718" s="1"/>
      <c r="V9718" s="1"/>
      <c r="W9718" s="1"/>
      <c r="X9718" s="1"/>
      <c r="Y9718" s="1"/>
      <c r="Z9718" s="1"/>
      <c r="AA9718" s="1"/>
      <c r="AB9718" s="1"/>
    </row>
    <row r="9719" ht="50.25" customHeight="1">
      <c r="A9719" s="12">
        <v>9715.0</v>
      </c>
      <c r="B9719" s="13" t="s">
        <v>9604</v>
      </c>
      <c r="C9719" s="14" t="s">
        <v>9746</v>
      </c>
      <c r="D9719" s="1"/>
      <c r="E9719" s="1"/>
      <c r="F9719" s="1" t="str">
        <f>IFERROR(__xludf.DUMMYFUNCTION("GOOGLETRANSLATE(B9719, ""en"", ""fa"")
"),"موفقیت Etsy")</f>
        <v>موفقیت Etsy</v>
      </c>
      <c r="G9719" s="1" t="str">
        <f>IFERROR(__xludf.DUMMYFUNCTION("GOOGLETRANSLATE(C9719, ""en"", ""fa"")
"),"راهبردهای استفاده از کمیابی و تبلیغات با زمان محدود برای ایجاد حس فوریت و ایجاد تبدیل در Etsy چیست؟")</f>
        <v>راهبردهای استفاده از کمیابی و تبلیغات با زمان محدود برای ایجاد حس فوریت و ایجاد تبدیل در Etsy چیست؟</v>
      </c>
      <c r="H9719" s="1"/>
      <c r="I9719" s="1"/>
      <c r="J9719" s="1"/>
      <c r="K9719" s="1"/>
      <c r="L9719" s="1"/>
      <c r="M9719" s="1"/>
      <c r="N9719" s="1"/>
      <c r="O9719" s="1"/>
      <c r="P9719" s="1"/>
      <c r="Q9719" s="1"/>
      <c r="R9719" s="1"/>
      <c r="S9719" s="1"/>
      <c r="T9719" s="1"/>
      <c r="U9719" s="1"/>
      <c r="V9719" s="1"/>
      <c r="W9719" s="1"/>
      <c r="X9719" s="1"/>
      <c r="Y9719" s="1"/>
      <c r="Z9719" s="1"/>
      <c r="AA9719" s="1"/>
      <c r="AB9719" s="1"/>
    </row>
    <row r="9720" ht="50.25" customHeight="1">
      <c r="A9720" s="12">
        <v>9716.0</v>
      </c>
      <c r="B9720" s="13" t="s">
        <v>9604</v>
      </c>
      <c r="C9720" s="14" t="s">
        <v>9747</v>
      </c>
      <c r="D9720" s="1"/>
      <c r="E9720" s="1"/>
      <c r="F9720" s="1" t="str">
        <f>IFERROR(__xludf.DUMMYFUNCTION("GOOGLETRANSLATE(B9720, ""en"", ""fa"")
"),"موفقیت Etsy")</f>
        <v>موفقیت Etsy</v>
      </c>
      <c r="G9720" s="1" t="str">
        <f>IFERROR(__xludf.DUMMYFUNCTION("GOOGLETRANSLATE(C9720, ""en"", ""fa"")
"),"چگونه می توانم از اینفلوئنسرها و مشارکت های رسانه های اجتماعی برای افزایش دیده شدن برند و هدایت ترافیک به فروشگاه Etsy خود استفاده کنم؟")</f>
        <v>چگونه می توانم از اینفلوئنسرها و مشارکت های رسانه های اجتماعی برای افزایش دیده شدن برند و هدایت ترافیک به فروشگاه Etsy خود استفاده کنم؟</v>
      </c>
      <c r="H9720" s="1"/>
      <c r="I9720" s="1"/>
      <c r="J9720" s="1"/>
      <c r="K9720" s="1"/>
      <c r="L9720" s="1"/>
      <c r="M9720" s="1"/>
      <c r="N9720" s="1"/>
      <c r="O9720" s="1"/>
      <c r="P9720" s="1"/>
      <c r="Q9720" s="1"/>
      <c r="R9720" s="1"/>
      <c r="S9720" s="1"/>
      <c r="T9720" s="1"/>
      <c r="U9720" s="1"/>
      <c r="V9720" s="1"/>
      <c r="W9720" s="1"/>
      <c r="X9720" s="1"/>
      <c r="Y9720" s="1"/>
      <c r="Z9720" s="1"/>
      <c r="AA9720" s="1"/>
      <c r="AB9720" s="1"/>
    </row>
    <row r="9721" ht="50.25" customHeight="1">
      <c r="A9721" s="12">
        <v>9717.0</v>
      </c>
      <c r="B9721" s="13" t="s">
        <v>9604</v>
      </c>
      <c r="C9721" s="14" t="s">
        <v>9748</v>
      </c>
      <c r="D9721" s="1"/>
      <c r="E9721" s="1"/>
      <c r="F9721" s="1" t="str">
        <f>IFERROR(__xludf.DUMMYFUNCTION("GOOGLETRANSLATE(B9721, ""en"", ""fa"")
"),"موفقیت Etsy")</f>
        <v>موفقیت Etsy</v>
      </c>
      <c r="G9721" s="1" t="str">
        <f>IFERROR(__xludf.DUMMYFUNCTION("GOOGLETRANSLATE(C9721, ""en"", ""fa"")
"),"استراتژی‌هایی برای بهینه‌سازی سلسله مراتب و پیمایش دسته‌بندی فروشگاه من برای بهبود تجربه کاربر و نرخ تبدیل در Etsy چیست؟")</f>
        <v>استراتژی‌هایی برای بهینه‌سازی سلسله مراتب و پیمایش دسته‌بندی فروشگاه من برای بهبود تجربه کاربر و نرخ تبدیل در Etsy چیست؟</v>
      </c>
      <c r="H9721" s="1"/>
      <c r="I9721" s="1"/>
      <c r="J9721" s="1"/>
      <c r="K9721" s="1"/>
      <c r="L9721" s="1"/>
      <c r="M9721" s="1"/>
      <c r="N9721" s="1"/>
      <c r="O9721" s="1"/>
      <c r="P9721" s="1"/>
      <c r="Q9721" s="1"/>
      <c r="R9721" s="1"/>
      <c r="S9721" s="1"/>
      <c r="T9721" s="1"/>
      <c r="U9721" s="1"/>
      <c r="V9721" s="1"/>
      <c r="W9721" s="1"/>
      <c r="X9721" s="1"/>
      <c r="Y9721" s="1"/>
      <c r="Z9721" s="1"/>
      <c r="AA9721" s="1"/>
      <c r="AB9721" s="1"/>
    </row>
    <row r="9722" ht="50.25" customHeight="1">
      <c r="A9722" s="12">
        <v>9718.0</v>
      </c>
      <c r="B9722" s="13" t="s">
        <v>9604</v>
      </c>
      <c r="C9722" s="14" t="s">
        <v>9749</v>
      </c>
      <c r="D9722" s="1"/>
      <c r="E9722" s="1"/>
      <c r="F9722" s="1" t="str">
        <f>IFERROR(__xludf.DUMMYFUNCTION("GOOGLETRANSLATE(B9722, ""en"", ""fa"")
"),"موفقیت Etsy")</f>
        <v>موفقیت Etsy</v>
      </c>
      <c r="G9722" s="1" t="str">
        <f>IFERROR(__xludf.DUMMYFUNCTION("GOOGLETRANSLATE(C9722, ""en"", ""fa"")
"),"چگونه می توانم از تقسیم بندی و هدف گذاری مشتری برای ارائه توصیه ها و پیشنهادات محصول شخصی سازی شده در Etsy استفاده کنم؟")</f>
        <v>چگونه می توانم از تقسیم بندی و هدف گذاری مشتری برای ارائه توصیه ها و پیشنهادات محصول شخصی سازی شده در Etsy استفاده کنم؟</v>
      </c>
      <c r="H9722" s="1"/>
      <c r="I9722" s="1"/>
      <c r="J9722" s="1"/>
      <c r="K9722" s="1"/>
      <c r="L9722" s="1"/>
      <c r="M9722" s="1"/>
      <c r="N9722" s="1"/>
      <c r="O9722" s="1"/>
      <c r="P9722" s="1"/>
      <c r="Q9722" s="1"/>
      <c r="R9722" s="1"/>
      <c r="S9722" s="1"/>
      <c r="T9722" s="1"/>
      <c r="U9722" s="1"/>
      <c r="V9722" s="1"/>
      <c r="W9722" s="1"/>
      <c r="X9722" s="1"/>
      <c r="Y9722" s="1"/>
      <c r="Z9722" s="1"/>
      <c r="AA9722" s="1"/>
      <c r="AB9722" s="1"/>
    </row>
    <row r="9723" ht="50.25" customHeight="1">
      <c r="A9723" s="12">
        <v>9719.0</v>
      </c>
      <c r="B9723" s="13" t="s">
        <v>9604</v>
      </c>
      <c r="C9723" s="14" t="s">
        <v>9750</v>
      </c>
      <c r="D9723" s="1"/>
      <c r="E9723" s="1"/>
      <c r="F9723" s="1" t="str">
        <f>IFERROR(__xludf.DUMMYFUNCTION("GOOGLETRANSLATE(B9723, ""en"", ""fa"")
"),"موفقیت Etsy")</f>
        <v>موفقیت Etsy</v>
      </c>
      <c r="G9723" s="1" t="str">
        <f>IFERROR(__xludf.DUMMYFUNCTION("GOOGLETRANSLATE(C9723, ""en"", ""fa"")
"),"چگونه می توانم تصاویر و ریز عکس های محصول خود را برای جلب توجه و جلب کلیک ها در Etsy بهینه کنم؟")</f>
        <v>چگونه می توانم تصاویر و ریز عکس های محصول خود را برای جلب توجه و جلب کلیک ها در Etsy بهینه کنم؟</v>
      </c>
      <c r="H9723" s="1"/>
      <c r="I9723" s="1"/>
      <c r="J9723" s="1"/>
      <c r="K9723" s="1"/>
      <c r="L9723" s="1"/>
      <c r="M9723" s="1"/>
      <c r="N9723" s="1"/>
      <c r="O9723" s="1"/>
      <c r="P9723" s="1"/>
      <c r="Q9723" s="1"/>
      <c r="R9723" s="1"/>
      <c r="S9723" s="1"/>
      <c r="T9723" s="1"/>
      <c r="U9723" s="1"/>
      <c r="V9723" s="1"/>
      <c r="W9723" s="1"/>
      <c r="X9723" s="1"/>
      <c r="Y9723" s="1"/>
      <c r="Z9723" s="1"/>
      <c r="AA9723" s="1"/>
      <c r="AB9723" s="1"/>
    </row>
    <row r="9724" ht="50.25" customHeight="1">
      <c r="A9724" s="12">
        <v>9720.0</v>
      </c>
      <c r="B9724" s="13" t="s">
        <v>9604</v>
      </c>
      <c r="C9724" s="14" t="s">
        <v>9751</v>
      </c>
      <c r="D9724" s="1"/>
      <c r="E9724" s="1"/>
      <c r="F9724" s="1" t="str">
        <f>IFERROR(__xludf.DUMMYFUNCTION("GOOGLETRANSLATE(B9724, ""en"", ""fa"")
"),"موفقیت Etsy")</f>
        <v>موفقیت Etsy</v>
      </c>
      <c r="G9724" s="1" t="str">
        <f>IFERROR(__xludf.DUMMYFUNCTION("GOOGLETRANSLATE(C9724, ""en"", ""fa"")
"),"استراتژی های استفاده از توصیفات مشتری و داستان های موفقیت برای برجسته کردن ارزش و مزایای محصولات من در Etsy چیست؟")</f>
        <v>استراتژی های استفاده از توصیفات مشتری و داستان های موفقیت برای برجسته کردن ارزش و مزایای محصولات من در Etsy چیست؟</v>
      </c>
      <c r="H9724" s="1"/>
      <c r="I9724" s="1"/>
      <c r="J9724" s="1"/>
      <c r="K9724" s="1"/>
      <c r="L9724" s="1"/>
      <c r="M9724" s="1"/>
      <c r="N9724" s="1"/>
      <c r="O9724" s="1"/>
      <c r="P9724" s="1"/>
      <c r="Q9724" s="1"/>
      <c r="R9724" s="1"/>
      <c r="S9724" s="1"/>
      <c r="T9724" s="1"/>
      <c r="U9724" s="1"/>
      <c r="V9724" s="1"/>
      <c r="W9724" s="1"/>
      <c r="X9724" s="1"/>
      <c r="Y9724" s="1"/>
      <c r="Z9724" s="1"/>
      <c r="AA9724" s="1"/>
      <c r="AB9724" s="1"/>
    </row>
    <row r="9725" ht="50.25" customHeight="1">
      <c r="A9725" s="12">
        <v>9721.0</v>
      </c>
      <c r="B9725" s="13" t="s">
        <v>9604</v>
      </c>
      <c r="C9725" s="14" t="s">
        <v>9752</v>
      </c>
      <c r="D9725" s="1"/>
      <c r="E9725" s="1"/>
      <c r="F9725" s="1" t="str">
        <f>IFERROR(__xludf.DUMMYFUNCTION("GOOGLETRANSLATE(B9725, ""en"", ""fa"")
"),"موفقیت Etsy")</f>
        <v>موفقیت Etsy</v>
      </c>
      <c r="G9725" s="1" t="str">
        <f>IFERROR(__xludf.DUMMYFUNCTION("GOOGLETRANSLATE(C9725, ""en"", ""fa"")
"),"چگونه می توانم پشتیبانی چت زنده یا چت بات را برای ارائه کمک در زمان واقعی و بهبود رضایت مشتری در Etsy اجرا کنم؟")</f>
        <v>چگونه می توانم پشتیبانی چت زنده یا چت بات را برای ارائه کمک در زمان واقعی و بهبود رضایت مشتری در Etsy اجرا کنم؟</v>
      </c>
      <c r="H9725" s="1"/>
      <c r="I9725" s="1"/>
      <c r="J9725" s="1"/>
      <c r="K9725" s="1"/>
      <c r="L9725" s="1"/>
      <c r="M9725" s="1"/>
      <c r="N9725" s="1"/>
      <c r="O9725" s="1"/>
      <c r="P9725" s="1"/>
      <c r="Q9725" s="1"/>
      <c r="R9725" s="1"/>
      <c r="S9725" s="1"/>
      <c r="T9725" s="1"/>
      <c r="U9725" s="1"/>
      <c r="V9725" s="1"/>
      <c r="W9725" s="1"/>
      <c r="X9725" s="1"/>
      <c r="Y9725" s="1"/>
      <c r="Z9725" s="1"/>
      <c r="AA9725" s="1"/>
      <c r="AB9725" s="1"/>
    </row>
    <row r="9726" ht="50.25" customHeight="1">
      <c r="A9726" s="12">
        <v>9722.0</v>
      </c>
      <c r="B9726" s="13" t="s">
        <v>9604</v>
      </c>
      <c r="C9726" s="14" t="s">
        <v>9753</v>
      </c>
      <c r="D9726" s="1"/>
      <c r="E9726" s="1"/>
      <c r="F9726" s="1" t="str">
        <f>IFERROR(__xludf.DUMMYFUNCTION("GOOGLETRANSLATE(B9726, ""en"", ""fa"")
"),"موفقیت Etsy")</f>
        <v>موفقیت Etsy</v>
      </c>
      <c r="G9726" s="1" t="str">
        <f>IFERROR(__xludf.DUMMYFUNCTION("GOOGLETRANSLATE(C9726, ""en"", ""fa"")
"),"چگونه می توانم از عناصر اثبات اجتماعی مانند نشان های اعتماد، گواهینامه ها و اشاره های رسانه های اجتماعی برای ایجاد اعتبار در Etsy استفاده کنم؟")</f>
        <v>چگونه می توانم از عناصر اثبات اجتماعی مانند نشان های اعتماد، گواهینامه ها و اشاره های رسانه های اجتماعی برای ایجاد اعتبار در Etsy استفاده کنم؟</v>
      </c>
      <c r="H9726" s="1"/>
      <c r="I9726" s="1"/>
      <c r="J9726" s="1"/>
      <c r="K9726" s="1"/>
      <c r="L9726" s="1"/>
      <c r="M9726" s="1"/>
      <c r="N9726" s="1"/>
      <c r="O9726" s="1"/>
      <c r="P9726" s="1"/>
      <c r="Q9726" s="1"/>
      <c r="R9726" s="1"/>
      <c r="S9726" s="1"/>
      <c r="T9726" s="1"/>
      <c r="U9726" s="1"/>
      <c r="V9726" s="1"/>
      <c r="W9726" s="1"/>
      <c r="X9726" s="1"/>
      <c r="Y9726" s="1"/>
      <c r="Z9726" s="1"/>
      <c r="AA9726" s="1"/>
      <c r="AB9726" s="1"/>
    </row>
    <row r="9727" ht="50.25" customHeight="1">
      <c r="A9727" s="12">
        <v>9723.0</v>
      </c>
      <c r="B9727" s="13" t="s">
        <v>9604</v>
      </c>
      <c r="C9727" s="14" t="s">
        <v>9754</v>
      </c>
      <c r="D9727" s="1"/>
      <c r="E9727" s="1"/>
      <c r="F9727" s="1" t="str">
        <f>IFERROR(__xludf.DUMMYFUNCTION("GOOGLETRANSLATE(B9727, ""en"", ""fa"")
"),"موفقیت Etsy")</f>
        <v>موفقیت Etsy</v>
      </c>
      <c r="G9727" s="1" t="str">
        <f>IFERROR(__xludf.DUMMYFUNCTION("GOOGLETRANSLATE(C9727, ""en"", ""fa"")
"),"استراتژی‌هایی برای بهینه‌سازی نظرات و رتبه‌بندی‌های مشتریان فروشگاه من برای ایجاد اطمینان و افزایش تبدیل در Etsy چیست؟")</f>
        <v>استراتژی‌هایی برای بهینه‌سازی نظرات و رتبه‌بندی‌های مشتریان فروشگاه من برای ایجاد اطمینان و افزایش تبدیل در Etsy چیست؟</v>
      </c>
      <c r="H9727" s="1"/>
      <c r="I9727" s="1"/>
      <c r="J9727" s="1"/>
      <c r="K9727" s="1"/>
      <c r="L9727" s="1"/>
      <c r="M9727" s="1"/>
      <c r="N9727" s="1"/>
      <c r="O9727" s="1"/>
      <c r="P9727" s="1"/>
      <c r="Q9727" s="1"/>
      <c r="R9727" s="1"/>
      <c r="S9727" s="1"/>
      <c r="T9727" s="1"/>
      <c r="U9727" s="1"/>
      <c r="V9727" s="1"/>
      <c r="W9727" s="1"/>
      <c r="X9727" s="1"/>
      <c r="Y9727" s="1"/>
      <c r="Z9727" s="1"/>
      <c r="AA9727" s="1"/>
      <c r="AB9727" s="1"/>
    </row>
    <row r="9728" ht="50.25" customHeight="1">
      <c r="A9728" s="12">
        <v>9724.0</v>
      </c>
      <c r="B9728" s="13" t="s">
        <v>9604</v>
      </c>
      <c r="C9728" s="14" t="s">
        <v>9755</v>
      </c>
      <c r="D9728" s="1"/>
      <c r="E9728" s="1"/>
      <c r="F9728" s="1" t="str">
        <f>IFERROR(__xludf.DUMMYFUNCTION("GOOGLETRANSLATE(B9728, ""en"", ""fa"")
"),"موفقیت Etsy")</f>
        <v>موفقیت Etsy</v>
      </c>
      <c r="G9728" s="1" t="str">
        <f>IFERROR(__xludf.DUMMYFUNCTION("GOOGLETRANSLATE(C9728, ""en"", ""fa"")
"),"چگونه می توانم از کمپین های بازاریابی ایمیلی هدفمند برای جذب مجدد مشتریان غیرفعال و خریدهای تکراری در Etsy استفاده کنم؟")</f>
        <v>چگونه می توانم از کمپین های بازاریابی ایمیلی هدفمند برای جذب مجدد مشتریان غیرفعال و خریدهای تکراری در Etsy استفاده کنم؟</v>
      </c>
      <c r="H9728" s="1"/>
      <c r="I9728" s="1"/>
      <c r="J9728" s="1"/>
      <c r="K9728" s="1"/>
      <c r="L9728" s="1"/>
      <c r="M9728" s="1"/>
      <c r="N9728" s="1"/>
      <c r="O9728" s="1"/>
      <c r="P9728" s="1"/>
      <c r="Q9728" s="1"/>
      <c r="R9728" s="1"/>
      <c r="S9728" s="1"/>
      <c r="T9728" s="1"/>
      <c r="U9728" s="1"/>
      <c r="V9728" s="1"/>
      <c r="W9728" s="1"/>
      <c r="X9728" s="1"/>
      <c r="Y9728" s="1"/>
      <c r="Z9728" s="1"/>
      <c r="AA9728" s="1"/>
      <c r="AB9728" s="1"/>
    </row>
    <row r="9729" ht="50.25" customHeight="1">
      <c r="A9729" s="12">
        <v>9725.0</v>
      </c>
      <c r="B9729" s="13" t="s">
        <v>9604</v>
      </c>
      <c r="C9729" s="14" t="s">
        <v>9756</v>
      </c>
      <c r="D9729" s="1"/>
      <c r="E9729" s="1"/>
      <c r="F9729" s="1" t="str">
        <f>IFERROR(__xludf.DUMMYFUNCTION("GOOGLETRANSLATE(B9729, ""en"", ""fa"")
"),"موفقیت Etsy")</f>
        <v>موفقیت Etsy</v>
      </c>
      <c r="G9729" s="1" t="str">
        <f>IFERROR(__xludf.DUMMYFUNCTION("GOOGLETRANSLATE(C9729, ""en"", ""fa"")
"),"برای افزایش میانگین ارزش سفارش در Etsy، چه راهکارهایی برای استفاده از توصیه های محصول شخصی سازی شده بر اساس رفتار مرورگر وجود دارد؟")</f>
        <v>برای افزایش میانگین ارزش سفارش در Etsy، چه راهکارهایی برای استفاده از توصیه های محصول شخصی سازی شده بر اساس رفتار مرورگر وجود دارد؟</v>
      </c>
      <c r="H9729" s="1"/>
      <c r="I9729" s="1"/>
      <c r="J9729" s="1"/>
      <c r="K9729" s="1"/>
      <c r="L9729" s="1"/>
      <c r="M9729" s="1"/>
      <c r="N9729" s="1"/>
      <c r="O9729" s="1"/>
      <c r="P9729" s="1"/>
      <c r="Q9729" s="1"/>
      <c r="R9729" s="1"/>
      <c r="S9729" s="1"/>
      <c r="T9729" s="1"/>
      <c r="U9729" s="1"/>
      <c r="V9729" s="1"/>
      <c r="W9729" s="1"/>
      <c r="X9729" s="1"/>
      <c r="Y9729" s="1"/>
      <c r="Z9729" s="1"/>
      <c r="AA9729" s="1"/>
      <c r="AB9729" s="1"/>
    </row>
    <row r="9730" ht="50.25" customHeight="1">
      <c r="A9730" s="12">
        <v>9726.0</v>
      </c>
      <c r="B9730" s="13" t="s">
        <v>9604</v>
      </c>
      <c r="C9730" s="14" t="s">
        <v>9757</v>
      </c>
      <c r="D9730" s="1"/>
      <c r="E9730" s="1"/>
      <c r="F9730" s="1" t="str">
        <f>IFERROR(__xludf.DUMMYFUNCTION("GOOGLETRANSLATE(B9730, ""en"", ""fa"")
"),"موفقیت Etsy")</f>
        <v>موفقیت Etsy</v>
      </c>
      <c r="G9730" s="1" t="str">
        <f>IFERROR(__xludf.DUMMYFUNCTION("GOOGLETRANSLATE(C9730, ""en"", ""fa"")
"),"چگونه می توانم ویژگی های مقایسه محصول و عناصر تعاملی فروشگاه خود را برای کمک به مشتریان در تصمیم گیری آگاهانه در Etsy بهینه کنم؟")</f>
        <v>چگونه می توانم ویژگی های مقایسه محصول و عناصر تعاملی فروشگاه خود را برای کمک به مشتریان در تصمیم گیری آگاهانه در Etsy بهینه کنم؟</v>
      </c>
      <c r="H9730" s="1"/>
      <c r="I9730" s="1"/>
      <c r="J9730" s="1"/>
      <c r="K9730" s="1"/>
      <c r="L9730" s="1"/>
      <c r="M9730" s="1"/>
      <c r="N9730" s="1"/>
      <c r="O9730" s="1"/>
      <c r="P9730" s="1"/>
      <c r="Q9730" s="1"/>
      <c r="R9730" s="1"/>
      <c r="S9730" s="1"/>
      <c r="T9730" s="1"/>
      <c r="U9730" s="1"/>
      <c r="V9730" s="1"/>
      <c r="W9730" s="1"/>
      <c r="X9730" s="1"/>
      <c r="Y9730" s="1"/>
      <c r="Z9730" s="1"/>
      <c r="AA9730" s="1"/>
      <c r="AB9730" s="1"/>
    </row>
    <row r="9731" ht="50.25" customHeight="1">
      <c r="A9731" s="12">
        <v>9727.0</v>
      </c>
      <c r="B9731" s="13" t="s">
        <v>9604</v>
      </c>
      <c r="C9731" s="14" t="s">
        <v>9758</v>
      </c>
      <c r="D9731" s="1"/>
      <c r="E9731" s="1"/>
      <c r="F9731" s="1" t="str">
        <f>IFERROR(__xludf.DUMMYFUNCTION("GOOGLETRANSLATE(B9731, ""en"", ""fa"")
"),"موفقیت Etsy")</f>
        <v>موفقیت Etsy</v>
      </c>
      <c r="G9731" s="1" t="str">
        <f>IFERROR(__xludf.DUMMYFUNCTION("GOOGLETRANSLATE(C9731, ""en"", ""fa"")
"),"استراتژی‌های استفاده از پاپ‌آپ‌ها و پیشنهادات خروجی برای بازیابی سبدهای رها شده و تشویق به خرید در Etsy چیست؟")</f>
        <v>استراتژی‌های استفاده از پاپ‌آپ‌ها و پیشنهادات خروجی برای بازیابی سبدهای رها شده و تشویق به خرید در Etsy چیست؟</v>
      </c>
      <c r="H9731" s="1"/>
      <c r="I9731" s="1"/>
      <c r="J9731" s="1"/>
      <c r="K9731" s="1"/>
      <c r="L9731" s="1"/>
      <c r="M9731" s="1"/>
      <c r="N9731" s="1"/>
      <c r="O9731" s="1"/>
      <c r="P9731" s="1"/>
      <c r="Q9731" s="1"/>
      <c r="R9731" s="1"/>
      <c r="S9731" s="1"/>
      <c r="T9731" s="1"/>
      <c r="U9731" s="1"/>
      <c r="V9731" s="1"/>
      <c r="W9731" s="1"/>
      <c r="X9731" s="1"/>
      <c r="Y9731" s="1"/>
      <c r="Z9731" s="1"/>
      <c r="AA9731" s="1"/>
      <c r="AB9731" s="1"/>
    </row>
    <row r="9732" ht="50.25" customHeight="1">
      <c r="A9732" s="12">
        <v>9728.0</v>
      </c>
      <c r="B9732" s="13" t="s">
        <v>9604</v>
      </c>
      <c r="C9732" s="14" t="s">
        <v>9759</v>
      </c>
      <c r="D9732" s="1"/>
      <c r="E9732" s="1"/>
      <c r="F9732" s="1" t="str">
        <f>IFERROR(__xludf.DUMMYFUNCTION("GOOGLETRANSLATE(B9732, ""en"", ""fa"")
"),"موفقیت Etsy")</f>
        <v>موفقیت Etsy</v>
      </c>
      <c r="G9732" s="1" t="str">
        <f>IFERROR(__xludf.DUMMYFUNCTION("GOOGLETRANSLATE(C9732, ""en"", ""fa"")
"),"چگونه می توانم از محتوای تولید شده توسط کاربر، مانند توصیفات مشتری و عکس ها، برای ایجاد گواهی اجتماعی و افزایش تبدیل در Etsy استفاده کنم؟")</f>
        <v>چگونه می توانم از محتوای تولید شده توسط کاربر، مانند توصیفات مشتری و عکس ها، برای ایجاد گواهی اجتماعی و افزایش تبدیل در Etsy استفاده کنم؟</v>
      </c>
      <c r="H9732" s="1"/>
      <c r="I9732" s="1"/>
      <c r="J9732" s="1"/>
      <c r="K9732" s="1"/>
      <c r="L9732" s="1"/>
      <c r="M9732" s="1"/>
      <c r="N9732" s="1"/>
      <c r="O9732" s="1"/>
      <c r="P9732" s="1"/>
      <c r="Q9732" s="1"/>
      <c r="R9732" s="1"/>
      <c r="S9732" s="1"/>
      <c r="T9732" s="1"/>
      <c r="U9732" s="1"/>
      <c r="V9732" s="1"/>
      <c r="W9732" s="1"/>
      <c r="X9732" s="1"/>
      <c r="Y9732" s="1"/>
      <c r="Z9732" s="1"/>
      <c r="AA9732" s="1"/>
      <c r="AB9732" s="1"/>
    </row>
    <row r="9733" ht="50.25" customHeight="1">
      <c r="A9733" s="12">
        <v>9729.0</v>
      </c>
      <c r="B9733" s="13" t="s">
        <v>9604</v>
      </c>
      <c r="C9733" s="14" t="s">
        <v>9760</v>
      </c>
      <c r="D9733" s="1"/>
      <c r="E9733" s="1"/>
      <c r="F9733" s="1" t="str">
        <f>IFERROR(__xludf.DUMMYFUNCTION("GOOGLETRANSLATE(B9733, ""en"", ""fa"")
"),"موفقیت Etsy")</f>
        <v>موفقیت Etsy</v>
      </c>
      <c r="G9733" s="1" t="str">
        <f>IFERROR(__xludf.DUMMYFUNCTION("GOOGLETRANSLATE(C9733, ""en"", ""fa"")
"),"چگونه می توانم یک برنامه ارجاع یا سیستم بازاریابی وابسته را برای تشویق مشتریان برای تبلیغ فروشگاه Etsy خود اجرا کنم؟")</f>
        <v>چگونه می توانم یک برنامه ارجاع یا سیستم بازاریابی وابسته را برای تشویق مشتریان برای تبلیغ فروشگاه Etsy خود اجرا کنم؟</v>
      </c>
      <c r="H9733" s="1"/>
      <c r="I9733" s="1"/>
      <c r="J9733" s="1"/>
      <c r="K9733" s="1"/>
      <c r="L9733" s="1"/>
      <c r="M9733" s="1"/>
      <c r="N9733" s="1"/>
      <c r="O9733" s="1"/>
      <c r="P9733" s="1"/>
      <c r="Q9733" s="1"/>
      <c r="R9733" s="1"/>
      <c r="S9733" s="1"/>
      <c r="T9733" s="1"/>
      <c r="U9733" s="1"/>
      <c r="V9733" s="1"/>
      <c r="W9733" s="1"/>
      <c r="X9733" s="1"/>
      <c r="Y9733" s="1"/>
      <c r="Z9733" s="1"/>
      <c r="AA9733" s="1"/>
      <c r="AB9733" s="1"/>
    </row>
    <row r="9734" ht="50.25" customHeight="1">
      <c r="A9734" s="12">
        <v>9730.0</v>
      </c>
      <c r="B9734" s="13" t="s">
        <v>9604</v>
      </c>
      <c r="C9734" s="14" t="s">
        <v>9761</v>
      </c>
      <c r="D9734" s="1"/>
      <c r="E9734" s="1"/>
      <c r="F9734" s="1" t="str">
        <f>IFERROR(__xludf.DUMMYFUNCTION("GOOGLETRANSLATE(B9734, ""en"", ""fa"")
"),"موفقیت Etsy")</f>
        <v>موفقیت Etsy</v>
      </c>
      <c r="G9734" s="1" t="str">
        <f>IFERROR(__xludf.DUMMYFUNCTION("GOOGLETRANSLATE(C9734, ""en"", ""fa"")
"),"راهبردهای استفاده از افزایش فروش و فروش متقابل هدفمند محصول برای افزایش میانگین ارزش سفارش در Etsy چیست؟")</f>
        <v>راهبردهای استفاده از افزایش فروش و فروش متقابل هدفمند محصول برای افزایش میانگین ارزش سفارش در Etsy چیست؟</v>
      </c>
      <c r="H9734" s="1"/>
      <c r="I9734" s="1"/>
      <c r="J9734" s="1"/>
      <c r="K9734" s="1"/>
      <c r="L9734" s="1"/>
      <c r="M9734" s="1"/>
      <c r="N9734" s="1"/>
      <c r="O9734" s="1"/>
      <c r="P9734" s="1"/>
      <c r="Q9734" s="1"/>
      <c r="R9734" s="1"/>
      <c r="S9734" s="1"/>
      <c r="T9734" s="1"/>
      <c r="U9734" s="1"/>
      <c r="V9734" s="1"/>
      <c r="W9734" s="1"/>
      <c r="X9734" s="1"/>
      <c r="Y9734" s="1"/>
      <c r="Z9734" s="1"/>
      <c r="AA9734" s="1"/>
      <c r="AB9734" s="1"/>
    </row>
    <row r="9735" ht="50.25" customHeight="1">
      <c r="A9735" s="12">
        <v>9731.0</v>
      </c>
      <c r="B9735" s="13" t="s">
        <v>9604</v>
      </c>
      <c r="C9735" s="14" t="s">
        <v>9762</v>
      </c>
      <c r="D9735" s="1"/>
      <c r="E9735" s="1"/>
      <c r="F9735" s="1" t="str">
        <f>IFERROR(__xludf.DUMMYFUNCTION("GOOGLETRANSLATE(B9735, ""en"", ""fa"")
"),"موفقیت Etsy")</f>
        <v>موفقیت Etsy</v>
      </c>
      <c r="G9735" s="1" t="str">
        <f>IFERROR(__xludf.DUMMYFUNCTION("GOOGLETRANSLATE(C9735, ""en"", ""fa"")
"),"چگونه می‌توانم کانال‌های پشتیبانی مشتری فروشگاهم، مانند ایمیل یا پیام، را برای ارائه کمک به موقع و مفید در Etsy بهینه کنم؟")</f>
        <v>چگونه می‌توانم کانال‌های پشتیبانی مشتری فروشگاهم، مانند ایمیل یا پیام، را برای ارائه کمک به موقع و مفید در Etsy بهینه کنم؟</v>
      </c>
      <c r="H9735" s="1"/>
      <c r="I9735" s="1"/>
      <c r="J9735" s="1"/>
      <c r="K9735" s="1"/>
      <c r="L9735" s="1"/>
      <c r="M9735" s="1"/>
      <c r="N9735" s="1"/>
      <c r="O9735" s="1"/>
      <c r="P9735" s="1"/>
      <c r="Q9735" s="1"/>
      <c r="R9735" s="1"/>
      <c r="S9735" s="1"/>
      <c r="T9735" s="1"/>
      <c r="U9735" s="1"/>
      <c r="V9735" s="1"/>
      <c r="W9735" s="1"/>
      <c r="X9735" s="1"/>
      <c r="Y9735" s="1"/>
      <c r="Z9735" s="1"/>
      <c r="AA9735" s="1"/>
      <c r="AB9735" s="1"/>
    </row>
    <row r="9736" ht="50.25" customHeight="1">
      <c r="A9736" s="12">
        <v>9732.0</v>
      </c>
      <c r="B9736" s="13" t="s">
        <v>9604</v>
      </c>
      <c r="C9736" s="14" t="s">
        <v>9763</v>
      </c>
      <c r="D9736" s="1"/>
      <c r="E9736" s="1"/>
      <c r="F9736" s="1" t="str">
        <f>IFERROR(__xludf.DUMMYFUNCTION("GOOGLETRANSLATE(B9736, ""en"", ""fa"")
"),"موفقیت Etsy")</f>
        <v>موفقیت Etsy</v>
      </c>
      <c r="G9736" s="1" t="str">
        <f>IFERROR(__xludf.DUMMYFUNCTION("GOOGLETRANSLATE(C9736, ""en"", ""fa"")
"),"چگونه می توانم از محتوای تولید شده توسط کاربر، مانند بررسی محصول و ذکر رسانه های اجتماعی، برای افزایش آگاهی و اعتماد از برند در Etsy استفاده کنم؟")</f>
        <v>چگونه می توانم از محتوای تولید شده توسط کاربر، مانند بررسی محصول و ذکر رسانه های اجتماعی، برای افزایش آگاهی و اعتماد از برند در Etsy استفاده کنم؟</v>
      </c>
      <c r="H9736" s="1"/>
      <c r="I9736" s="1"/>
      <c r="J9736" s="1"/>
      <c r="K9736" s="1"/>
      <c r="L9736" s="1"/>
      <c r="M9736" s="1"/>
      <c r="N9736" s="1"/>
      <c r="O9736" s="1"/>
      <c r="P9736" s="1"/>
      <c r="Q9736" s="1"/>
      <c r="R9736" s="1"/>
      <c r="S9736" s="1"/>
      <c r="T9736" s="1"/>
      <c r="U9736" s="1"/>
      <c r="V9736" s="1"/>
      <c r="W9736" s="1"/>
      <c r="X9736" s="1"/>
      <c r="Y9736" s="1"/>
      <c r="Z9736" s="1"/>
      <c r="AA9736" s="1"/>
      <c r="AB9736" s="1"/>
    </row>
    <row r="9737" ht="50.25" customHeight="1">
      <c r="A9737" s="12">
        <v>9733.0</v>
      </c>
      <c r="B9737" s="13" t="s">
        <v>9604</v>
      </c>
      <c r="C9737" s="14" t="s">
        <v>9764</v>
      </c>
      <c r="D9737" s="1"/>
      <c r="E9737" s="1"/>
      <c r="F9737" s="1" t="str">
        <f>IFERROR(__xludf.DUMMYFUNCTION("GOOGLETRANSLATE(B9737, ""en"", ""fa"")
"),"موفقیت Etsy")</f>
        <v>موفقیت Etsy</v>
      </c>
      <c r="G9737" s="1" t="str">
        <f>IFERROR(__xludf.DUMMYFUNCTION("GOOGLETRANSLATE(C9737, ""en"", ""fa"")
"),"استراتژی‌هایی برای بهینه‌سازی فیلترهای جستجوی فروشگاه من و گزینه‌های مرتب‌سازی برای بهبود قابلیت کشف محصول و تجربه مرور در Etsy چیست؟")</f>
        <v>استراتژی‌هایی برای بهینه‌سازی فیلترهای جستجوی فروشگاه من و گزینه‌های مرتب‌سازی برای بهبود قابلیت کشف محصول و تجربه مرور در Etsy چیست؟</v>
      </c>
      <c r="H9737" s="1"/>
      <c r="I9737" s="1"/>
      <c r="J9737" s="1"/>
      <c r="K9737" s="1"/>
      <c r="L9737" s="1"/>
      <c r="M9737" s="1"/>
      <c r="N9737" s="1"/>
      <c r="O9737" s="1"/>
      <c r="P9737" s="1"/>
      <c r="Q9737" s="1"/>
      <c r="R9737" s="1"/>
      <c r="S9737" s="1"/>
      <c r="T9737" s="1"/>
      <c r="U9737" s="1"/>
      <c r="V9737" s="1"/>
      <c r="W9737" s="1"/>
      <c r="X9737" s="1"/>
      <c r="Y9737" s="1"/>
      <c r="Z9737" s="1"/>
      <c r="AA9737" s="1"/>
      <c r="AB9737" s="1"/>
    </row>
    <row r="9738" ht="50.25" customHeight="1">
      <c r="A9738" s="12">
        <v>9734.0</v>
      </c>
      <c r="B9738" s="13" t="s">
        <v>9604</v>
      </c>
      <c r="C9738" s="14" t="s">
        <v>9765</v>
      </c>
      <c r="D9738" s="1"/>
      <c r="E9738" s="1"/>
      <c r="F9738" s="1" t="str">
        <f>IFERROR(__xludf.DUMMYFUNCTION("GOOGLETRANSLATE(B9738, ""en"", ""fa"")
"),"موفقیت Etsy")</f>
        <v>موفقیت Etsy</v>
      </c>
      <c r="G9738" s="1" t="str">
        <f>IFERROR(__xludf.DUMMYFUNCTION("GOOGLETRANSLATE(C9738, ""en"", ""fa"")
"),"چگونه می توانم از تاکتیک های کمیاب مانند نسخه های محدود یا پیشنهادات انحصاری برای ایجاد احساس فوریت و ایجاد تبدیل در Etsy استفاده کنم؟")</f>
        <v>چگونه می توانم از تاکتیک های کمیاب مانند نسخه های محدود یا پیشنهادات انحصاری برای ایجاد احساس فوریت و ایجاد تبدیل در Etsy استفاده کنم؟</v>
      </c>
      <c r="H9738" s="1"/>
      <c r="I9738" s="1"/>
      <c r="J9738" s="1"/>
      <c r="K9738" s="1"/>
      <c r="L9738" s="1"/>
      <c r="M9738" s="1"/>
      <c r="N9738" s="1"/>
      <c r="O9738" s="1"/>
      <c r="P9738" s="1"/>
      <c r="Q9738" s="1"/>
      <c r="R9738" s="1"/>
      <c r="S9738" s="1"/>
      <c r="T9738" s="1"/>
      <c r="U9738" s="1"/>
      <c r="V9738" s="1"/>
      <c r="W9738" s="1"/>
      <c r="X9738" s="1"/>
      <c r="Y9738" s="1"/>
      <c r="Z9738" s="1"/>
      <c r="AA9738" s="1"/>
      <c r="AB9738" s="1"/>
    </row>
    <row r="9739" ht="50.25" customHeight="1">
      <c r="A9739" s="12">
        <v>9735.0</v>
      </c>
      <c r="B9739" s="13" t="s">
        <v>9604</v>
      </c>
      <c r="C9739" s="14" t="s">
        <v>9766</v>
      </c>
      <c r="D9739" s="1"/>
      <c r="E9739" s="1"/>
      <c r="F9739" s="1" t="str">
        <f>IFERROR(__xludf.DUMMYFUNCTION("GOOGLETRANSLATE(B9739, ""en"", ""fa"")
"),"موفقیت Etsy")</f>
        <v>موفقیت Etsy</v>
      </c>
      <c r="G9739" s="1" t="str">
        <f>IFERROR(__xludf.DUMMYFUNCTION("GOOGLETRANSLATE(C9739, ""en"", ""fa"")
"),"استراتژی های استفاده از تست و تجزیه و تحلیل A/B برای شناسایی و بهینه سازی نقاط تبدیل کلیدی در فروشگاه Etsy من چیست؟")</f>
        <v>استراتژی های استفاده از تست و تجزیه و تحلیل A/B برای شناسایی و بهینه سازی نقاط تبدیل کلیدی در فروشگاه Etsy من چیست؟</v>
      </c>
      <c r="H9739" s="1"/>
      <c r="I9739" s="1"/>
      <c r="J9739" s="1"/>
      <c r="K9739" s="1"/>
      <c r="L9739" s="1"/>
      <c r="M9739" s="1"/>
      <c r="N9739" s="1"/>
      <c r="O9739" s="1"/>
      <c r="P9739" s="1"/>
      <c r="Q9739" s="1"/>
      <c r="R9739" s="1"/>
      <c r="S9739" s="1"/>
      <c r="T9739" s="1"/>
      <c r="U9739" s="1"/>
      <c r="V9739" s="1"/>
      <c r="W9739" s="1"/>
      <c r="X9739" s="1"/>
      <c r="Y9739" s="1"/>
      <c r="Z9739" s="1"/>
      <c r="AA9739" s="1"/>
      <c r="AB9739" s="1"/>
    </row>
    <row r="9740" ht="50.25" customHeight="1">
      <c r="A9740" s="12">
        <v>9736.0</v>
      </c>
      <c r="B9740" s="13" t="s">
        <v>9604</v>
      </c>
      <c r="C9740" s="14" t="s">
        <v>9767</v>
      </c>
      <c r="D9740" s="1"/>
      <c r="E9740" s="1"/>
      <c r="F9740" s="1" t="str">
        <f>IFERROR(__xludf.DUMMYFUNCTION("GOOGLETRANSLATE(B9740, ""en"", ""fa"")
"),"موفقیت Etsy")</f>
        <v>موفقیت Etsy</v>
      </c>
      <c r="G9740" s="1" t="str">
        <f>IFERROR(__xludf.DUMMYFUNCTION("GOOGLETRANSLATE(C9740, ""en"", ""fa"")
"),"چگونه می توانم بازخورد مشتری و فرآیند مدیریت فروشگاه خود را برای حفظ شهرت مثبت و ایجاد اعتماد در Etsy بهینه کنم؟")</f>
        <v>چگونه می توانم بازخورد مشتری و فرآیند مدیریت فروشگاه خود را برای حفظ شهرت مثبت و ایجاد اعتماد در Etsy بهینه کنم؟</v>
      </c>
      <c r="H9740" s="1"/>
      <c r="I9740" s="1"/>
      <c r="J9740" s="1"/>
      <c r="K9740" s="1"/>
      <c r="L9740" s="1"/>
      <c r="M9740" s="1"/>
      <c r="N9740" s="1"/>
      <c r="O9740" s="1"/>
      <c r="P9740" s="1"/>
      <c r="Q9740" s="1"/>
      <c r="R9740" s="1"/>
      <c r="S9740" s="1"/>
      <c r="T9740" s="1"/>
      <c r="U9740" s="1"/>
      <c r="V9740" s="1"/>
      <c r="W9740" s="1"/>
      <c r="X9740" s="1"/>
      <c r="Y9740" s="1"/>
      <c r="Z9740" s="1"/>
      <c r="AA9740" s="1"/>
      <c r="AB9740" s="1"/>
    </row>
    <row r="9741" ht="50.25" customHeight="1">
      <c r="A9741" s="12">
        <v>9737.0</v>
      </c>
      <c r="B9741" s="13" t="s">
        <v>9604</v>
      </c>
      <c r="C9741" s="14" t="s">
        <v>9768</v>
      </c>
      <c r="D9741" s="1"/>
      <c r="E9741" s="1"/>
      <c r="F9741" s="1" t="str">
        <f>IFERROR(__xludf.DUMMYFUNCTION("GOOGLETRANSLATE(B9741, ""en"", ""fa"")
"),"موفقیت Etsy")</f>
        <v>موفقیت Etsy</v>
      </c>
      <c r="G9741" s="1" t="str">
        <f>IFERROR(__xludf.DUMMYFUNCTION("GOOGLETRANSLATE(C9741, ""en"", ""fa"")
"),"استراتژی‌های استفاده از توصیه‌های محصول شخصی‌شده براساس خریدهای گذشته یا سابقه مرور برای افزایش تعامل مشتری در Etsy چیست؟")</f>
        <v>استراتژی‌های استفاده از توصیه‌های محصول شخصی‌شده براساس خریدهای گذشته یا سابقه مرور برای افزایش تعامل مشتری در Etsy چیست؟</v>
      </c>
      <c r="H9741" s="1"/>
      <c r="I9741" s="1"/>
      <c r="J9741" s="1"/>
      <c r="K9741" s="1"/>
      <c r="L9741" s="1"/>
      <c r="M9741" s="1"/>
      <c r="N9741" s="1"/>
      <c r="O9741" s="1"/>
      <c r="P9741" s="1"/>
      <c r="Q9741" s="1"/>
      <c r="R9741" s="1"/>
      <c r="S9741" s="1"/>
      <c r="T9741" s="1"/>
      <c r="U9741" s="1"/>
      <c r="V9741" s="1"/>
      <c r="W9741" s="1"/>
      <c r="X9741" s="1"/>
      <c r="Y9741" s="1"/>
      <c r="Z9741" s="1"/>
      <c r="AA9741" s="1"/>
      <c r="AB9741" s="1"/>
    </row>
    <row r="9742" ht="50.25" customHeight="1">
      <c r="A9742" s="12">
        <v>9738.0</v>
      </c>
      <c r="B9742" s="13" t="s">
        <v>9604</v>
      </c>
      <c r="C9742" s="14" t="s">
        <v>9769</v>
      </c>
      <c r="D9742" s="1"/>
      <c r="E9742" s="1"/>
      <c r="F9742" s="1" t="str">
        <f>IFERROR(__xludf.DUMMYFUNCTION("GOOGLETRANSLATE(B9742, ""en"", ""fa"")
"),"موفقیت Etsy")</f>
        <v>موفقیت Etsy</v>
      </c>
      <c r="G9742" s="1" t="str">
        <f>IFERROR(__xludf.DUMMYFUNCTION("GOOGLETRANSLATE(C9742, ""en"", ""fa"")
"),"چگونه می توانم از برنامه های وفاداری مشتری، تخفیف ها یا پاداش ها برای تشویق خریدهای تکراری و افزایش ارزش طول عمر مشتری در Etsy استفاده کنم؟")</f>
        <v>چگونه می توانم از برنامه های وفاداری مشتری، تخفیف ها یا پاداش ها برای تشویق خریدهای تکراری و افزایش ارزش طول عمر مشتری در Etsy استفاده کنم؟</v>
      </c>
      <c r="H9742" s="1"/>
      <c r="I9742" s="1"/>
      <c r="J9742" s="1"/>
      <c r="K9742" s="1"/>
      <c r="L9742" s="1"/>
      <c r="M9742" s="1"/>
      <c r="N9742" s="1"/>
      <c r="O9742" s="1"/>
      <c r="P9742" s="1"/>
      <c r="Q9742" s="1"/>
      <c r="R9742" s="1"/>
      <c r="S9742" s="1"/>
      <c r="T9742" s="1"/>
      <c r="U9742" s="1"/>
      <c r="V9742" s="1"/>
      <c r="W9742" s="1"/>
      <c r="X9742" s="1"/>
      <c r="Y9742" s="1"/>
      <c r="Z9742" s="1"/>
      <c r="AA9742" s="1"/>
      <c r="AB9742" s="1"/>
    </row>
    <row r="9743" ht="50.25" customHeight="1">
      <c r="A9743" s="12">
        <v>9739.0</v>
      </c>
      <c r="B9743" s="13" t="s">
        <v>9604</v>
      </c>
      <c r="C9743" s="14" t="s">
        <v>9770</v>
      </c>
      <c r="D9743" s="1"/>
      <c r="E9743" s="1"/>
      <c r="F9743" s="1" t="str">
        <f>IFERROR(__xludf.DUMMYFUNCTION("GOOGLETRANSLATE(B9743, ""en"", ""fa"")
"),"موفقیت Etsy")</f>
        <v>موفقیت Etsy</v>
      </c>
      <c r="G9743" s="1" t="str">
        <f>IFERROR(__xludf.DUMMYFUNCTION("GOOGLETRANSLATE(C9743, ""en"", ""fa"")
"),"چگونه می توانم داستان سرایی بصری و روایت برند فروشگاه خود را برای ایجاد ارتباط عاطفی با مشتریان در Etsy بهینه کنم؟")</f>
        <v>چگونه می توانم داستان سرایی بصری و روایت برند فروشگاه خود را برای ایجاد ارتباط عاطفی با مشتریان در Etsy بهینه کنم؟</v>
      </c>
      <c r="H9743" s="1"/>
      <c r="I9743" s="1"/>
      <c r="J9743" s="1"/>
      <c r="K9743" s="1"/>
      <c r="L9743" s="1"/>
      <c r="M9743" s="1"/>
      <c r="N9743" s="1"/>
      <c r="O9743" s="1"/>
      <c r="P9743" s="1"/>
      <c r="Q9743" s="1"/>
      <c r="R9743" s="1"/>
      <c r="S9743" s="1"/>
      <c r="T9743" s="1"/>
      <c r="U9743" s="1"/>
      <c r="V9743" s="1"/>
      <c r="W9743" s="1"/>
      <c r="X9743" s="1"/>
      <c r="Y9743" s="1"/>
      <c r="Z9743" s="1"/>
      <c r="AA9743" s="1"/>
      <c r="AB9743" s="1"/>
    </row>
    <row r="9744" ht="50.25" customHeight="1">
      <c r="A9744" s="12">
        <v>9740.0</v>
      </c>
      <c r="B9744" s="13" t="s">
        <v>9604</v>
      </c>
      <c r="C9744" s="14" t="s">
        <v>9771</v>
      </c>
      <c r="D9744" s="1"/>
      <c r="E9744" s="1"/>
      <c r="F9744" s="1" t="str">
        <f>IFERROR(__xludf.DUMMYFUNCTION("GOOGLETRANSLATE(B9744, ""en"", ""fa"")
"),"موفقیت Etsy")</f>
        <v>موفقیت Etsy</v>
      </c>
      <c r="G9744" s="1" t="str">
        <f>IFERROR(__xludf.DUMMYFUNCTION("GOOGLETRANSLATE(C9744, ""en"", ""fa"")
"),"استراتژی‌های استفاده از تکنیک‌های کپی‌رایتینگ متقاعدکننده و داستان سرایی در توضیحات محصول من برای افزایش تبدیل در Etsy چیست؟")</f>
        <v>استراتژی‌های استفاده از تکنیک‌های کپی‌رایتینگ متقاعدکننده و داستان سرایی در توضیحات محصول من برای افزایش تبدیل در Etsy چیست؟</v>
      </c>
      <c r="H9744" s="1"/>
      <c r="I9744" s="1"/>
      <c r="J9744" s="1"/>
      <c r="K9744" s="1"/>
      <c r="L9744" s="1"/>
      <c r="M9744" s="1"/>
      <c r="N9744" s="1"/>
      <c r="O9744" s="1"/>
      <c r="P9744" s="1"/>
      <c r="Q9744" s="1"/>
      <c r="R9744" s="1"/>
      <c r="S9744" s="1"/>
      <c r="T9744" s="1"/>
      <c r="U9744" s="1"/>
      <c r="V9744" s="1"/>
      <c r="W9744" s="1"/>
      <c r="X9744" s="1"/>
      <c r="Y9744" s="1"/>
      <c r="Z9744" s="1"/>
      <c r="AA9744" s="1"/>
      <c r="AB9744" s="1"/>
    </row>
    <row r="9745" ht="50.25" customHeight="1">
      <c r="A9745" s="12">
        <v>9741.0</v>
      </c>
      <c r="B9745" s="13" t="s">
        <v>9604</v>
      </c>
      <c r="C9745" s="14" t="s">
        <v>9772</v>
      </c>
      <c r="D9745" s="1"/>
      <c r="E9745" s="1"/>
      <c r="F9745" s="1" t="str">
        <f>IFERROR(__xludf.DUMMYFUNCTION("GOOGLETRANSLATE(B9745, ""en"", ""fa"")
"),"موفقیت Etsy")</f>
        <v>موفقیت Etsy</v>
      </c>
      <c r="G9745" s="1" t="str">
        <f>IFERROR(__xludf.DUMMYFUNCTION("GOOGLETRANSLATE(C9745, ""en"", ""fa"")
"),"چگونه می توانم تاکتیک های کمبود محصول مانند موجودی محدود یا تایمرهای شمارش معکوس را برای ایجاد احساس فوریت و خرید در Etsy پیاده کنم؟")</f>
        <v>چگونه می توانم تاکتیک های کمبود محصول مانند موجودی محدود یا تایمرهای شمارش معکوس را برای ایجاد احساس فوریت و خرید در Etsy پیاده کنم؟</v>
      </c>
      <c r="H9745" s="1"/>
      <c r="I9745" s="1"/>
      <c r="J9745" s="1"/>
      <c r="K9745" s="1"/>
      <c r="L9745" s="1"/>
      <c r="M9745" s="1"/>
      <c r="N9745" s="1"/>
      <c r="O9745" s="1"/>
      <c r="P9745" s="1"/>
      <c r="Q9745" s="1"/>
      <c r="R9745" s="1"/>
      <c r="S9745" s="1"/>
      <c r="T9745" s="1"/>
      <c r="U9745" s="1"/>
      <c r="V9745" s="1"/>
      <c r="W9745" s="1"/>
      <c r="X9745" s="1"/>
      <c r="Y9745" s="1"/>
      <c r="Z9745" s="1"/>
      <c r="AA9745" s="1"/>
      <c r="AB9745" s="1"/>
    </row>
    <row r="9746" ht="50.25" customHeight="1">
      <c r="A9746" s="12">
        <v>9742.0</v>
      </c>
      <c r="B9746" s="13" t="s">
        <v>9604</v>
      </c>
      <c r="C9746" s="14" t="s">
        <v>9773</v>
      </c>
      <c r="D9746" s="1"/>
      <c r="E9746" s="1"/>
      <c r="F9746" s="1" t="str">
        <f>IFERROR(__xludf.DUMMYFUNCTION("GOOGLETRANSLATE(B9746, ""en"", ""fa"")
"),"موفقیت Etsy")</f>
        <v>موفقیت Etsy</v>
      </c>
      <c r="G9746" s="1" t="str">
        <f>IFERROR(__xludf.DUMMYFUNCTION("GOOGLETRANSLATE(C9746, ""en"", ""fa"")
"),"چگونه می توانم از تقسیم بندی ایمیل و پیشنهادات شخصی برای ارائه تبلیغات هدفمند و افزایش تبدیل در Etsy استفاده کنم؟")</f>
        <v>چگونه می توانم از تقسیم بندی ایمیل و پیشنهادات شخصی برای ارائه تبلیغات هدفمند و افزایش تبدیل در Etsy استفاده کنم؟</v>
      </c>
      <c r="H9746" s="1"/>
      <c r="I9746" s="1"/>
      <c r="J9746" s="1"/>
      <c r="K9746" s="1"/>
      <c r="L9746" s="1"/>
      <c r="M9746" s="1"/>
      <c r="N9746" s="1"/>
      <c r="O9746" s="1"/>
      <c r="P9746" s="1"/>
      <c r="Q9746" s="1"/>
      <c r="R9746" s="1"/>
      <c r="S9746" s="1"/>
      <c r="T9746" s="1"/>
      <c r="U9746" s="1"/>
      <c r="V9746" s="1"/>
      <c r="W9746" s="1"/>
      <c r="X9746" s="1"/>
      <c r="Y9746" s="1"/>
      <c r="Z9746" s="1"/>
      <c r="AA9746" s="1"/>
      <c r="AB9746" s="1"/>
    </row>
    <row r="9747" ht="50.25" customHeight="1">
      <c r="A9747" s="12">
        <v>9743.0</v>
      </c>
      <c r="B9747" s="13" t="s">
        <v>9604</v>
      </c>
      <c r="C9747" s="14" t="s">
        <v>9774</v>
      </c>
      <c r="D9747" s="1"/>
      <c r="E9747" s="1"/>
      <c r="F9747" s="1" t="str">
        <f>IFERROR(__xludf.DUMMYFUNCTION("GOOGLETRANSLATE(B9747, ""en"", ""fa"")
"),"موفقیت Etsy")</f>
        <v>موفقیت Etsy</v>
      </c>
      <c r="G9747" s="1" t="str">
        <f>IFERROR(__xludf.DUMMYFUNCTION("GOOGLETRANSLATE(C9747, ""en"", ""fa"")
"),"استراتژی‌هایی برای بهینه‌سازی نمایش نظرات و رتبه‌بندی مشتریان فروشگاه من برای افزایش اثبات اجتماعی و قابلیت اعتماد در Etsy چیست؟")</f>
        <v>استراتژی‌هایی برای بهینه‌سازی نمایش نظرات و رتبه‌بندی مشتریان فروشگاه من برای افزایش اثبات اجتماعی و قابلیت اعتماد در Etsy چیست؟</v>
      </c>
      <c r="H9747" s="1"/>
      <c r="I9747" s="1"/>
      <c r="J9747" s="1"/>
      <c r="K9747" s="1"/>
      <c r="L9747" s="1"/>
      <c r="M9747" s="1"/>
      <c r="N9747" s="1"/>
      <c r="O9747" s="1"/>
      <c r="P9747" s="1"/>
      <c r="Q9747" s="1"/>
      <c r="R9747" s="1"/>
      <c r="S9747" s="1"/>
      <c r="T9747" s="1"/>
      <c r="U9747" s="1"/>
      <c r="V9747" s="1"/>
      <c r="W9747" s="1"/>
      <c r="X9747" s="1"/>
      <c r="Y9747" s="1"/>
      <c r="Z9747" s="1"/>
      <c r="AA9747" s="1"/>
      <c r="AB9747" s="1"/>
    </row>
    <row r="9748" ht="50.25" customHeight="1">
      <c r="A9748" s="12">
        <v>9744.0</v>
      </c>
      <c r="B9748" s="13" t="s">
        <v>9604</v>
      </c>
      <c r="C9748" s="14" t="s">
        <v>9775</v>
      </c>
      <c r="D9748" s="1"/>
      <c r="E9748" s="1"/>
      <c r="F9748" s="1" t="str">
        <f>IFERROR(__xludf.DUMMYFUNCTION("GOOGLETRANSLATE(B9748, ""en"", ""fa"")
"),"موفقیت Etsy")</f>
        <v>موفقیت Etsy</v>
      </c>
      <c r="G9748" s="1" t="str">
        <f>IFERROR(__xludf.DUMMYFUNCTION("GOOGLETRANSLATE(C9748, ""en"", ""fa"")
"),"چگونه می توانم از تبلیغات بازاریابی مجدد و کمپین های ایمیل برای جذب مجدد مشتریان گذشته و تشویق مجدد خرید در Etsy استفاده کنم؟")</f>
        <v>چگونه می توانم از تبلیغات بازاریابی مجدد و کمپین های ایمیل برای جذب مجدد مشتریان گذشته و تشویق مجدد خرید در Etsy استفاده کنم؟</v>
      </c>
      <c r="H9748" s="1"/>
      <c r="I9748" s="1"/>
      <c r="J9748" s="1"/>
      <c r="K9748" s="1"/>
      <c r="L9748" s="1"/>
      <c r="M9748" s="1"/>
      <c r="N9748" s="1"/>
      <c r="O9748" s="1"/>
      <c r="P9748" s="1"/>
      <c r="Q9748" s="1"/>
      <c r="R9748" s="1"/>
      <c r="S9748" s="1"/>
      <c r="T9748" s="1"/>
      <c r="U9748" s="1"/>
      <c r="V9748" s="1"/>
      <c r="W9748" s="1"/>
      <c r="X9748" s="1"/>
      <c r="Y9748" s="1"/>
      <c r="Z9748" s="1"/>
      <c r="AA9748" s="1"/>
      <c r="AB9748" s="1"/>
    </row>
    <row r="9749" ht="50.25" customHeight="1">
      <c r="A9749" s="12">
        <v>9745.0</v>
      </c>
      <c r="B9749" s="13" t="s">
        <v>9604</v>
      </c>
      <c r="C9749" s="14" t="s">
        <v>9776</v>
      </c>
      <c r="D9749" s="1"/>
      <c r="E9749" s="1"/>
      <c r="F9749" s="1" t="str">
        <f>IFERROR(__xludf.DUMMYFUNCTION("GOOGLETRANSLATE(B9749, ""en"", ""fa"")
"),"موفقیت Etsy")</f>
        <v>موفقیت Etsy</v>
      </c>
      <c r="G9749" s="1" t="str">
        <f>IFERROR(__xludf.DUMMYFUNCTION("GOOGLETRANSLATE(C9749, ""en"", ""fa"")
"),"استراتژی‌هایی برای بهینه‌سازی توصیفات مشتری و عناصر اثبات اجتماعی فروشگاه من برای ایجاد اعتبار و افزایش تبدیل در Etsy چیست؟")</f>
        <v>استراتژی‌هایی برای بهینه‌سازی توصیفات مشتری و عناصر اثبات اجتماعی فروشگاه من برای ایجاد اعتبار و افزایش تبدیل در Etsy چیست؟</v>
      </c>
      <c r="H9749" s="1"/>
      <c r="I9749" s="1"/>
      <c r="J9749" s="1"/>
      <c r="K9749" s="1"/>
      <c r="L9749" s="1"/>
      <c r="M9749" s="1"/>
      <c r="N9749" s="1"/>
      <c r="O9749" s="1"/>
      <c r="P9749" s="1"/>
      <c r="Q9749" s="1"/>
      <c r="R9749" s="1"/>
      <c r="S9749" s="1"/>
      <c r="T9749" s="1"/>
      <c r="U9749" s="1"/>
      <c r="V9749" s="1"/>
      <c r="W9749" s="1"/>
      <c r="X9749" s="1"/>
      <c r="Y9749" s="1"/>
      <c r="Z9749" s="1"/>
      <c r="AA9749" s="1"/>
      <c r="AB9749" s="1"/>
    </row>
    <row r="9750" ht="50.25" customHeight="1">
      <c r="A9750" s="12">
        <v>9746.0</v>
      </c>
      <c r="B9750" s="13" t="s">
        <v>9604</v>
      </c>
      <c r="C9750" s="14" t="s">
        <v>9777</v>
      </c>
      <c r="D9750" s="1"/>
      <c r="E9750" s="1"/>
      <c r="F9750" s="1" t="str">
        <f>IFERROR(__xludf.DUMMYFUNCTION("GOOGLETRANSLATE(B9750, ""en"", ""fa"")
"),"موفقیت Etsy")</f>
        <v>موفقیت Etsy</v>
      </c>
      <c r="G9750" s="1" t="str">
        <f>IFERROR(__xludf.DUMMYFUNCTION("GOOGLETRANSLATE(C9750, ""en"", ""fa"")
"),"چگونه می توانم بازار هدف خود را در Etsy شناسایی و تعریف کنم؟")</f>
        <v>چگونه می توانم بازار هدف خود را در Etsy شناسایی و تعریف کنم؟</v>
      </c>
      <c r="H9750" s="1"/>
      <c r="I9750" s="1"/>
      <c r="J9750" s="1"/>
      <c r="K9750" s="1"/>
      <c r="L9750" s="1"/>
      <c r="M9750" s="1"/>
      <c r="N9750" s="1"/>
      <c r="O9750" s="1"/>
      <c r="P9750" s="1"/>
      <c r="Q9750" s="1"/>
      <c r="R9750" s="1"/>
      <c r="S9750" s="1"/>
      <c r="T9750" s="1"/>
      <c r="U9750" s="1"/>
      <c r="V9750" s="1"/>
      <c r="W9750" s="1"/>
      <c r="X9750" s="1"/>
      <c r="Y9750" s="1"/>
      <c r="Z9750" s="1"/>
      <c r="AA9750" s="1"/>
      <c r="AB9750" s="1"/>
    </row>
    <row r="9751" ht="50.25" customHeight="1">
      <c r="A9751" s="12">
        <v>9747.0</v>
      </c>
      <c r="B9751" s="13" t="s">
        <v>9604</v>
      </c>
      <c r="C9751" s="14" t="s">
        <v>9778</v>
      </c>
      <c r="D9751" s="1"/>
      <c r="E9751" s="1"/>
      <c r="F9751" s="1" t="str">
        <f>IFERROR(__xludf.DUMMYFUNCTION("GOOGLETRANSLATE(B9751, ""en"", ""fa"")
"),"موفقیت Etsy")</f>
        <v>موفقیت Etsy</v>
      </c>
      <c r="G9751" s="1" t="str">
        <f>IFERROR(__xludf.DUMMYFUNCTION("GOOGLETRANSLATE(C9751, ""en"", ""fa"")
"),"فاکتورهای جمعیت شناختی کلیدی که باید در هنگام ایجاد پرسونای مشتری برای کسب و کار Etsy من در نظر بگیریم چیست؟")</f>
        <v>فاکتورهای جمعیت شناختی کلیدی که باید در هنگام ایجاد پرسونای مشتری برای کسب و کار Etsy من در نظر بگیریم چیست؟</v>
      </c>
      <c r="H9751" s="1"/>
      <c r="I9751" s="1"/>
      <c r="J9751" s="1"/>
      <c r="K9751" s="1"/>
      <c r="L9751" s="1"/>
      <c r="M9751" s="1"/>
      <c r="N9751" s="1"/>
      <c r="O9751" s="1"/>
      <c r="P9751" s="1"/>
      <c r="Q9751" s="1"/>
      <c r="R9751" s="1"/>
      <c r="S9751" s="1"/>
      <c r="T9751" s="1"/>
      <c r="U9751" s="1"/>
      <c r="V9751" s="1"/>
      <c r="W9751" s="1"/>
      <c r="X9751" s="1"/>
      <c r="Y9751" s="1"/>
      <c r="Z9751" s="1"/>
      <c r="AA9751" s="1"/>
      <c r="AB9751" s="1"/>
    </row>
    <row r="9752" ht="50.25" customHeight="1">
      <c r="A9752" s="12">
        <v>9748.0</v>
      </c>
      <c r="B9752" s="13" t="s">
        <v>9604</v>
      </c>
      <c r="C9752" s="14" t="s">
        <v>9779</v>
      </c>
      <c r="D9752" s="1"/>
      <c r="E9752" s="1"/>
      <c r="F9752" s="1" t="str">
        <f>IFERROR(__xludf.DUMMYFUNCTION("GOOGLETRANSLATE(B9752, ""en"", ""fa"")
"),"موفقیت Etsy")</f>
        <v>موفقیت Etsy</v>
      </c>
      <c r="G9752" s="1" t="str">
        <f>IFERROR(__xludf.DUMMYFUNCTION("GOOGLETRANSLATE(C9752, ""en"", ""fa"")
"),"چگونه می توانم تحقیقات بازار را برای درک نیازها و ترجیحات مخاطبان هدف خود در Etsy انجام دهم؟")</f>
        <v>چگونه می توانم تحقیقات بازار را برای درک نیازها و ترجیحات مخاطبان هدف خود در Etsy انجام دهم؟</v>
      </c>
      <c r="H9752" s="1"/>
      <c r="I9752" s="1"/>
      <c r="J9752" s="1"/>
      <c r="K9752" s="1"/>
      <c r="L9752" s="1"/>
      <c r="M9752" s="1"/>
      <c r="N9752" s="1"/>
      <c r="O9752" s="1"/>
      <c r="P9752" s="1"/>
      <c r="Q9752" s="1"/>
      <c r="R9752" s="1"/>
      <c r="S9752" s="1"/>
      <c r="T9752" s="1"/>
      <c r="U9752" s="1"/>
      <c r="V9752" s="1"/>
      <c r="W9752" s="1"/>
      <c r="X9752" s="1"/>
      <c r="Y9752" s="1"/>
      <c r="Z9752" s="1"/>
      <c r="AA9752" s="1"/>
      <c r="AB9752" s="1"/>
    </row>
    <row r="9753" ht="50.25" customHeight="1">
      <c r="A9753" s="12">
        <v>9749.0</v>
      </c>
      <c r="B9753" s="13" t="s">
        <v>9604</v>
      </c>
      <c r="C9753" s="14" t="s">
        <v>9780</v>
      </c>
      <c r="D9753" s="1"/>
      <c r="E9753" s="1"/>
      <c r="F9753" s="1" t="str">
        <f>IFERROR(__xludf.DUMMYFUNCTION("GOOGLETRANSLATE(B9753, ""en"", ""fa"")
"),"موفقیت Etsy")</f>
        <v>موفقیت Etsy</v>
      </c>
      <c r="G9753" s="1" t="str">
        <f>IFERROR(__xludf.DUMMYFUNCTION("GOOGLETRANSLATE(C9753, ""en"", ""fa"")
"),"ویژگی های روانشناختی و عوامل سبک زندگی که باید هنگام ایجاد پرسونای مشتری برای فروشگاه Etsy من در نظر بگیریم چیست؟")</f>
        <v>ویژگی های روانشناختی و عوامل سبک زندگی که باید هنگام ایجاد پرسونای مشتری برای فروشگاه Etsy من در نظر بگیریم چیست؟</v>
      </c>
      <c r="H9753" s="1"/>
      <c r="I9753" s="1"/>
      <c r="J9753" s="1"/>
      <c r="K9753" s="1"/>
      <c r="L9753" s="1"/>
      <c r="M9753" s="1"/>
      <c r="N9753" s="1"/>
      <c r="O9753" s="1"/>
      <c r="P9753" s="1"/>
      <c r="Q9753" s="1"/>
      <c r="R9753" s="1"/>
      <c r="S9753" s="1"/>
      <c r="T9753" s="1"/>
      <c r="U9753" s="1"/>
      <c r="V9753" s="1"/>
      <c r="W9753" s="1"/>
      <c r="X9753" s="1"/>
      <c r="Y9753" s="1"/>
      <c r="Z9753" s="1"/>
      <c r="AA9753" s="1"/>
      <c r="AB9753" s="1"/>
    </row>
    <row r="9754" ht="50.25" customHeight="1">
      <c r="A9754" s="12">
        <v>9750.0</v>
      </c>
      <c r="B9754" s="13" t="s">
        <v>9604</v>
      </c>
      <c r="C9754" s="14" t="s">
        <v>9781</v>
      </c>
      <c r="D9754" s="1"/>
      <c r="E9754" s="1"/>
      <c r="F9754" s="1" t="str">
        <f>IFERROR(__xludf.DUMMYFUNCTION("GOOGLETRANSLATE(B9754, ""en"", ""fa"")
"),"موفقیت Etsy")</f>
        <v>موفقیت Etsy</v>
      </c>
      <c r="G9754" s="1" t="str">
        <f>IFERROR(__xludf.DUMMYFUNCTION("GOOGLETRANSLATE(C9754, ""en"", ""fa"")
"),"چگونه می توانم داده ها و بینش هایی را در مورد رفتارها و ترجیحات خرید آنلاین بازار هدف خود در Etsy جمع آوری کنم؟")</f>
        <v>چگونه می توانم داده ها و بینش هایی را در مورد رفتارها و ترجیحات خرید آنلاین بازار هدف خود در Etsy جمع آوری کنم؟</v>
      </c>
      <c r="H9754" s="1"/>
      <c r="I9754" s="1"/>
      <c r="J9754" s="1"/>
      <c r="K9754" s="1"/>
      <c r="L9754" s="1"/>
      <c r="M9754" s="1"/>
      <c r="N9754" s="1"/>
      <c r="O9754" s="1"/>
      <c r="P9754" s="1"/>
      <c r="Q9754" s="1"/>
      <c r="R9754" s="1"/>
      <c r="S9754" s="1"/>
      <c r="T9754" s="1"/>
      <c r="U9754" s="1"/>
      <c r="V9754" s="1"/>
      <c r="W9754" s="1"/>
      <c r="X9754" s="1"/>
      <c r="Y9754" s="1"/>
      <c r="Z9754" s="1"/>
      <c r="AA9754" s="1"/>
      <c r="AB9754" s="1"/>
    </row>
    <row r="9755" ht="50.25" customHeight="1">
      <c r="A9755" s="12">
        <v>9751.0</v>
      </c>
      <c r="B9755" s="13" t="s">
        <v>9604</v>
      </c>
      <c r="C9755" s="14" t="s">
        <v>9782</v>
      </c>
      <c r="D9755" s="1"/>
      <c r="E9755" s="1"/>
      <c r="F9755" s="1" t="str">
        <f>IFERROR(__xludf.DUMMYFUNCTION("GOOGLETRANSLATE(B9755, ""en"", ""fa"")
"),"موفقیت Etsy")</f>
        <v>موفقیت Etsy</v>
      </c>
      <c r="G9755" s="1" t="str">
        <f>IFERROR(__xludf.DUMMYFUNCTION("GOOGLETRANSLATE(C9755, ""en"", ""fa"")
"),"راهبردهای شناسایی و درک مشکلات و چالش های بازار هدف من در Etsy چیست؟")</f>
        <v>راهبردهای شناسایی و درک مشکلات و چالش های بازار هدف من در Etsy چیست؟</v>
      </c>
      <c r="H9755" s="1"/>
      <c r="I9755" s="1"/>
      <c r="J9755" s="1"/>
      <c r="K9755" s="1"/>
      <c r="L9755" s="1"/>
      <c r="M9755" s="1"/>
      <c r="N9755" s="1"/>
      <c r="O9755" s="1"/>
      <c r="P9755" s="1"/>
      <c r="Q9755" s="1"/>
      <c r="R9755" s="1"/>
      <c r="S9755" s="1"/>
      <c r="T9755" s="1"/>
      <c r="U9755" s="1"/>
      <c r="V9755" s="1"/>
      <c r="W9755" s="1"/>
      <c r="X9755" s="1"/>
      <c r="Y9755" s="1"/>
      <c r="Z9755" s="1"/>
      <c r="AA9755" s="1"/>
      <c r="AB9755" s="1"/>
    </row>
    <row r="9756" ht="50.25" customHeight="1">
      <c r="A9756" s="12">
        <v>9752.0</v>
      </c>
      <c r="B9756" s="13" t="s">
        <v>9604</v>
      </c>
      <c r="C9756" s="14" t="s">
        <v>9783</v>
      </c>
      <c r="D9756" s="1"/>
      <c r="E9756" s="1"/>
      <c r="F9756" s="1" t="str">
        <f>IFERROR(__xludf.DUMMYFUNCTION("GOOGLETRANSLATE(B9756, ""en"", ""fa"")
"),"موفقیت Etsy")</f>
        <v>موفقیت Etsy</v>
      </c>
      <c r="G9756" s="1" t="str">
        <f>IFERROR(__xludf.DUMMYFUNCTION("GOOGLETRANSLATE(C9756, ""en"", ""fa"")
"),"چگونه می توانم پرسونای مشتری ایجاد کنم که به طور دقیق بخش های متنوع بازار هدف من را در Etsy نشان دهد؟")</f>
        <v>چگونه می توانم پرسونای مشتری ایجاد کنم که به طور دقیق بخش های متنوع بازار هدف من را در Etsy نشان دهد؟</v>
      </c>
      <c r="H9756" s="1"/>
      <c r="I9756" s="1"/>
      <c r="J9756" s="1"/>
      <c r="K9756" s="1"/>
      <c r="L9756" s="1"/>
      <c r="M9756" s="1"/>
      <c r="N9756" s="1"/>
      <c r="O9756" s="1"/>
      <c r="P9756" s="1"/>
      <c r="Q9756" s="1"/>
      <c r="R9756" s="1"/>
      <c r="S9756" s="1"/>
      <c r="T9756" s="1"/>
      <c r="U9756" s="1"/>
      <c r="V9756" s="1"/>
      <c r="W9756" s="1"/>
      <c r="X9756" s="1"/>
      <c r="Y9756" s="1"/>
      <c r="Z9756" s="1"/>
      <c r="AA9756" s="1"/>
      <c r="AB9756" s="1"/>
    </row>
    <row r="9757" ht="50.25" customHeight="1">
      <c r="A9757" s="12">
        <v>9753.0</v>
      </c>
      <c r="B9757" s="13" t="s">
        <v>9604</v>
      </c>
      <c r="C9757" s="14" t="s">
        <v>9784</v>
      </c>
      <c r="D9757" s="1"/>
      <c r="E9757" s="1"/>
      <c r="F9757" s="1" t="str">
        <f>IFERROR(__xludf.DUMMYFUNCTION("GOOGLETRANSLATE(B9757, ""en"", ""fa"")
"),"موفقیت Etsy")</f>
        <v>موفقیت Etsy</v>
      </c>
      <c r="G9757" s="1" t="str">
        <f>IFERROR(__xludf.DUMMYFUNCTION("GOOGLETRANSLATE(C9757, ""en"", ""fa"")
"),"بهترین روش ها برای انجام نظرسنجی یا مصاحبه برای جمع آوری بازخورد از بازار هدف من در Etsy چیست؟")</f>
        <v>بهترین روش ها برای انجام نظرسنجی یا مصاحبه برای جمع آوری بازخورد از بازار هدف من در Etsy چیست؟</v>
      </c>
      <c r="H9757" s="1"/>
      <c r="I9757" s="1"/>
      <c r="J9757" s="1"/>
      <c r="K9757" s="1"/>
      <c r="L9757" s="1"/>
      <c r="M9757" s="1"/>
      <c r="N9757" s="1"/>
      <c r="O9757" s="1"/>
      <c r="P9757" s="1"/>
      <c r="Q9757" s="1"/>
      <c r="R9757" s="1"/>
      <c r="S9757" s="1"/>
      <c r="T9757" s="1"/>
      <c r="U9757" s="1"/>
      <c r="V9757" s="1"/>
      <c r="W9757" s="1"/>
      <c r="X9757" s="1"/>
      <c r="Y9757" s="1"/>
      <c r="Z9757" s="1"/>
      <c r="AA9757" s="1"/>
      <c r="AB9757" s="1"/>
    </row>
    <row r="9758" ht="50.25" customHeight="1">
      <c r="A9758" s="12">
        <v>9754.0</v>
      </c>
      <c r="B9758" s="13" t="s">
        <v>9604</v>
      </c>
      <c r="C9758" s="14" t="s">
        <v>9785</v>
      </c>
      <c r="D9758" s="1"/>
      <c r="E9758" s="1"/>
      <c r="F9758" s="1" t="str">
        <f>IFERROR(__xludf.DUMMYFUNCTION("GOOGLETRANSLATE(B9758, ""en"", ""fa"")
"),"موفقیت Etsy")</f>
        <v>موفقیت Etsy</v>
      </c>
      <c r="G9758" s="1" t="str">
        <f>IFERROR(__xludf.DUMMYFUNCTION("GOOGLETRANSLATE(C9758, ""en"", ""fa"")
"),"چگونه می توانم از تجزیه و تحلیل و داده های Etsy برای شناسایی الگوها و روندها در بازار هدف خود استفاده کنم؟")</f>
        <v>چگونه می توانم از تجزیه و تحلیل و داده های Etsy برای شناسایی الگوها و روندها در بازار هدف خود استفاده کنم؟</v>
      </c>
      <c r="H9758" s="1"/>
      <c r="I9758" s="1"/>
      <c r="J9758" s="1"/>
      <c r="K9758" s="1"/>
      <c r="L9758" s="1"/>
      <c r="M9758" s="1"/>
      <c r="N9758" s="1"/>
      <c r="O9758" s="1"/>
      <c r="P9758" s="1"/>
      <c r="Q9758" s="1"/>
      <c r="R9758" s="1"/>
      <c r="S9758" s="1"/>
      <c r="T9758" s="1"/>
      <c r="U9758" s="1"/>
      <c r="V9758" s="1"/>
      <c r="W9758" s="1"/>
      <c r="X9758" s="1"/>
      <c r="Y9758" s="1"/>
      <c r="Z9758" s="1"/>
      <c r="AA9758" s="1"/>
      <c r="AB9758" s="1"/>
    </row>
    <row r="9759" ht="50.25" customHeight="1">
      <c r="A9759" s="12">
        <v>9755.0</v>
      </c>
      <c r="B9759" s="13" t="s">
        <v>9604</v>
      </c>
      <c r="C9759" s="14" t="s">
        <v>9786</v>
      </c>
      <c r="D9759" s="1"/>
      <c r="E9759" s="1"/>
      <c r="F9759" s="1" t="str">
        <f>IFERROR(__xludf.DUMMYFUNCTION("GOOGLETRANSLATE(B9759, ""en"", ""fa"")
"),"موفقیت Etsy")</f>
        <v>موفقیت Etsy</v>
      </c>
      <c r="G9759" s="1" t="str">
        <f>IFERROR(__xludf.DUMMYFUNCTION("GOOGLETRANSLATE(C9759, ""en"", ""fa"")
"),"استراتژی‌هایی برای استفاده از پلتفرم‌های رسانه‌های اجتماعی برای به دست آوردن بینش در مورد علایق و رفتارهای بازار هدف من چیست؟")</f>
        <v>استراتژی‌هایی برای استفاده از پلتفرم‌های رسانه‌های اجتماعی برای به دست آوردن بینش در مورد علایق و رفتارهای بازار هدف من چیست؟</v>
      </c>
      <c r="H9759" s="1"/>
      <c r="I9759" s="1"/>
      <c r="J9759" s="1"/>
      <c r="K9759" s="1"/>
      <c r="L9759" s="1"/>
      <c r="M9759" s="1"/>
      <c r="N9759" s="1"/>
      <c r="O9759" s="1"/>
      <c r="P9759" s="1"/>
      <c r="Q9759" s="1"/>
      <c r="R9759" s="1"/>
      <c r="S9759" s="1"/>
      <c r="T9759" s="1"/>
      <c r="U9759" s="1"/>
      <c r="V9759" s="1"/>
      <c r="W9759" s="1"/>
      <c r="X9759" s="1"/>
      <c r="Y9759" s="1"/>
      <c r="Z9759" s="1"/>
      <c r="AA9759" s="1"/>
      <c r="AB9759" s="1"/>
    </row>
    <row r="9760" ht="50.25" customHeight="1">
      <c r="A9760" s="12">
        <v>9756.0</v>
      </c>
      <c r="B9760" s="13" t="s">
        <v>9604</v>
      </c>
      <c r="C9760" s="14" t="s">
        <v>9787</v>
      </c>
      <c r="D9760" s="1"/>
      <c r="E9760" s="1"/>
      <c r="F9760" s="1" t="str">
        <f>IFERROR(__xludf.DUMMYFUNCTION("GOOGLETRANSLATE(B9760, ""en"", ""fa"")
"),"موفقیت Etsy")</f>
        <v>موفقیت Etsy</v>
      </c>
      <c r="G9760" s="1" t="str">
        <f>IFERROR(__xludf.DUMMYFUNCTION("GOOGLETRANSLATE(C9760, ""en"", ""fa"")
"),"چگونه می توانم بازار هدف خود را بر اساس شخصیت های مختلف خریدار یا پروفایل های مشتری در Etsy تقسیم کنم؟")</f>
        <v>چگونه می توانم بازار هدف خود را بر اساس شخصیت های مختلف خریدار یا پروفایل های مشتری در Etsy تقسیم کنم؟</v>
      </c>
      <c r="H9760" s="1"/>
      <c r="I9760" s="1"/>
      <c r="J9760" s="1"/>
      <c r="K9760" s="1"/>
      <c r="L9760" s="1"/>
      <c r="M9760" s="1"/>
      <c r="N9760" s="1"/>
      <c r="O9760" s="1"/>
      <c r="P9760" s="1"/>
      <c r="Q9760" s="1"/>
      <c r="R9760" s="1"/>
      <c r="S9760" s="1"/>
      <c r="T9760" s="1"/>
      <c r="U9760" s="1"/>
      <c r="V9760" s="1"/>
      <c r="W9760" s="1"/>
      <c r="X9760" s="1"/>
      <c r="Y9760" s="1"/>
      <c r="Z9760" s="1"/>
      <c r="AA9760" s="1"/>
      <c r="AB9760" s="1"/>
    </row>
    <row r="9761" ht="50.25" customHeight="1">
      <c r="A9761" s="12">
        <v>9757.0</v>
      </c>
      <c r="B9761" s="13" t="s">
        <v>9604</v>
      </c>
      <c r="C9761" s="14" t="s">
        <v>9788</v>
      </c>
      <c r="D9761" s="1"/>
      <c r="E9761" s="1"/>
      <c r="F9761" s="1" t="str">
        <f>IFERROR(__xludf.DUMMYFUNCTION("GOOGLETRANSLATE(B9761, ""en"", ""fa"")
"),"موفقیت Etsy")</f>
        <v>موفقیت Etsy</v>
      </c>
      <c r="G9761" s="1" t="str">
        <f>IFERROR(__xludf.DUMMYFUNCTION("GOOGLETRANSLATE(C9761, ""en"", ""fa"")
"),"استراتژی‌های شناسایی بازارهای خاص یا زیربخش‌ها در بازار هدف گسترده‌تر من در Etsy چیست؟")</f>
        <v>استراتژی‌های شناسایی بازارهای خاص یا زیربخش‌ها در بازار هدف گسترده‌تر من در Etsy چیست؟</v>
      </c>
      <c r="H9761" s="1"/>
      <c r="I9761" s="1"/>
      <c r="J9761" s="1"/>
      <c r="K9761" s="1"/>
      <c r="L9761" s="1"/>
      <c r="M9761" s="1"/>
      <c r="N9761" s="1"/>
      <c r="O9761" s="1"/>
      <c r="P9761" s="1"/>
      <c r="Q9761" s="1"/>
      <c r="R9761" s="1"/>
      <c r="S9761" s="1"/>
      <c r="T9761" s="1"/>
      <c r="U9761" s="1"/>
      <c r="V9761" s="1"/>
      <c r="W9761" s="1"/>
      <c r="X9761" s="1"/>
      <c r="Y9761" s="1"/>
      <c r="Z9761" s="1"/>
      <c r="AA9761" s="1"/>
      <c r="AB9761" s="1"/>
    </row>
    <row r="9762" ht="50.25" customHeight="1">
      <c r="A9762" s="12">
        <v>9758.0</v>
      </c>
      <c r="B9762" s="13" t="s">
        <v>9604</v>
      </c>
      <c r="C9762" s="14" t="s">
        <v>9789</v>
      </c>
      <c r="D9762" s="1"/>
      <c r="E9762" s="1"/>
      <c r="F9762" s="1" t="str">
        <f>IFERROR(__xludf.DUMMYFUNCTION("GOOGLETRANSLATE(B9762, ""en"", ""fa"")
"),"موفقیت Etsy")</f>
        <v>موفقیت Etsy</v>
      </c>
      <c r="G9762" s="1" t="str">
        <f>IFERROR(__xludf.DUMMYFUNCTION("GOOGLETRANSLATE(C9762, ""en"", ""fa"")
"),"چگونه می توانم از بازخورد و نظرات مشتریان در Etsy برای اصلاح و بهبود درک خود از بازار هدفم استفاده کنم؟")</f>
        <v>چگونه می توانم از بازخورد و نظرات مشتریان در Etsy برای اصلاح و بهبود درک خود از بازار هدفم استفاده کنم؟</v>
      </c>
      <c r="H9762" s="1"/>
      <c r="I9762" s="1"/>
      <c r="J9762" s="1"/>
      <c r="K9762" s="1"/>
      <c r="L9762" s="1"/>
      <c r="M9762" s="1"/>
      <c r="N9762" s="1"/>
      <c r="O9762" s="1"/>
      <c r="P9762" s="1"/>
      <c r="Q9762" s="1"/>
      <c r="R9762" s="1"/>
      <c r="S9762" s="1"/>
      <c r="T9762" s="1"/>
      <c r="U9762" s="1"/>
      <c r="V9762" s="1"/>
      <c r="W9762" s="1"/>
      <c r="X9762" s="1"/>
      <c r="Y9762" s="1"/>
      <c r="Z9762" s="1"/>
      <c r="AA9762" s="1"/>
      <c r="AB9762" s="1"/>
    </row>
    <row r="9763" ht="50.25" customHeight="1">
      <c r="A9763" s="12">
        <v>9759.0</v>
      </c>
      <c r="B9763" s="13" t="s">
        <v>9604</v>
      </c>
      <c r="C9763" s="14" t="s">
        <v>9790</v>
      </c>
      <c r="D9763" s="1"/>
      <c r="E9763" s="1"/>
      <c r="F9763" s="1" t="str">
        <f>IFERROR(__xludf.DUMMYFUNCTION("GOOGLETRANSLATE(B9763, ""en"", ""fa"")
"),"موفقیت Etsy")</f>
        <v>موفقیت Etsy</v>
      </c>
      <c r="G9763" s="1" t="str">
        <f>IFERROR(__xludf.DUMMYFUNCTION("GOOGLETRANSLATE(C9763, ""en"", ""fa"")
"),"چگونه می توانم پرسونای مشتری ایجاد کنم که با ارزش های برند من و جایگاه من در Etsy هماهنگ باشد؟")</f>
        <v>چگونه می توانم پرسونای مشتری ایجاد کنم که با ارزش های برند من و جایگاه من در Etsy هماهنگ باشد؟</v>
      </c>
      <c r="H9763" s="1"/>
      <c r="I9763" s="1"/>
      <c r="J9763" s="1"/>
      <c r="K9763" s="1"/>
      <c r="L9763" s="1"/>
      <c r="M9763" s="1"/>
      <c r="N9763" s="1"/>
      <c r="O9763" s="1"/>
      <c r="P9763" s="1"/>
      <c r="Q9763" s="1"/>
      <c r="R9763" s="1"/>
      <c r="S9763" s="1"/>
      <c r="T9763" s="1"/>
      <c r="U9763" s="1"/>
      <c r="V9763" s="1"/>
      <c r="W9763" s="1"/>
      <c r="X9763" s="1"/>
      <c r="Y9763" s="1"/>
      <c r="Z9763" s="1"/>
      <c r="AA9763" s="1"/>
      <c r="AB9763" s="1"/>
    </row>
    <row r="9764" ht="50.25" customHeight="1">
      <c r="A9764" s="12">
        <v>9760.0</v>
      </c>
      <c r="B9764" s="13" t="s">
        <v>9604</v>
      </c>
      <c r="C9764" s="14" t="s">
        <v>9791</v>
      </c>
      <c r="D9764" s="1"/>
      <c r="E9764" s="1"/>
      <c r="F9764" s="1" t="str">
        <f>IFERROR(__xludf.DUMMYFUNCTION("GOOGLETRANSLATE(B9764, ""en"", ""fa"")
"),"موفقیت Etsy")</f>
        <v>موفقیت Etsy</v>
      </c>
      <c r="G9764" s="1" t="str">
        <f>IFERROR(__xludf.DUMMYFUNCTION("GOOGLETRANSLATE(C9764, ""en"", ""fa"")
"),"استراتژی‌هایی برای شناسایی و هدف‌گیری بخش‌های خاص مشتریان بر اساس قدرت خرید و عادات خرج کردن آن‌ها در Etsy چیست؟")</f>
        <v>استراتژی‌هایی برای شناسایی و هدف‌گیری بخش‌های خاص مشتریان بر اساس قدرت خرید و عادات خرج کردن آن‌ها در Etsy چیست؟</v>
      </c>
      <c r="H9764" s="1"/>
      <c r="I9764" s="1"/>
      <c r="J9764" s="1"/>
      <c r="K9764" s="1"/>
      <c r="L9764" s="1"/>
      <c r="M9764" s="1"/>
      <c r="N9764" s="1"/>
      <c r="O9764" s="1"/>
      <c r="P9764" s="1"/>
      <c r="Q9764" s="1"/>
      <c r="R9764" s="1"/>
      <c r="S9764" s="1"/>
      <c r="T9764" s="1"/>
      <c r="U9764" s="1"/>
      <c r="V9764" s="1"/>
      <c r="W9764" s="1"/>
      <c r="X9764" s="1"/>
      <c r="Y9764" s="1"/>
      <c r="Z9764" s="1"/>
      <c r="AA9764" s="1"/>
      <c r="AB9764" s="1"/>
    </row>
    <row r="9765" ht="50.25" customHeight="1">
      <c r="A9765" s="12">
        <v>9761.0</v>
      </c>
      <c r="B9765" s="13" t="s">
        <v>9604</v>
      </c>
      <c r="C9765" s="14" t="s">
        <v>9792</v>
      </c>
      <c r="D9765" s="1"/>
      <c r="E9765" s="1"/>
      <c r="F9765" s="1" t="str">
        <f>IFERROR(__xludf.DUMMYFUNCTION("GOOGLETRANSLATE(B9765, ""en"", ""fa"")
"),"موفقیت Etsy")</f>
        <v>موفقیت Etsy</v>
      </c>
      <c r="G9765" s="1" t="str">
        <f>IFERROR(__xludf.DUMMYFUNCTION("GOOGLETRANSLATE(C9765, ""en"", ""fa"")
"),"چگونه می توانم از تجزیه و تحلیل رقبا برای به دست آوردن بینشی در مورد ترجیحات بازار هدف و رفتارهای خرید خود در Etsy استفاده کنم؟")</f>
        <v>چگونه می توانم از تجزیه و تحلیل رقبا برای به دست آوردن بینشی در مورد ترجیحات بازار هدف و رفتارهای خرید خود در Etsy استفاده کنم؟</v>
      </c>
      <c r="H9765" s="1"/>
      <c r="I9765" s="1"/>
      <c r="J9765" s="1"/>
      <c r="K9765" s="1"/>
      <c r="L9765" s="1"/>
      <c r="M9765" s="1"/>
      <c r="N9765" s="1"/>
      <c r="O9765" s="1"/>
      <c r="P9765" s="1"/>
      <c r="Q9765" s="1"/>
      <c r="R9765" s="1"/>
      <c r="S9765" s="1"/>
      <c r="T9765" s="1"/>
      <c r="U9765" s="1"/>
      <c r="V9765" s="1"/>
      <c r="W9765" s="1"/>
      <c r="X9765" s="1"/>
      <c r="Y9765" s="1"/>
      <c r="Z9765" s="1"/>
      <c r="AA9765" s="1"/>
      <c r="AB9765" s="1"/>
    </row>
    <row r="9766" ht="50.25" customHeight="1">
      <c r="A9766" s="12">
        <v>9762.0</v>
      </c>
      <c r="B9766" s="13" t="s">
        <v>9604</v>
      </c>
      <c r="C9766" s="14" t="s">
        <v>9793</v>
      </c>
      <c r="D9766" s="1"/>
      <c r="E9766" s="1"/>
      <c r="F9766" s="1" t="str">
        <f>IFERROR(__xludf.DUMMYFUNCTION("GOOGLETRANSLATE(B9766, ""en"", ""fa"")
"),"موفقیت Etsy")</f>
        <v>موفقیت Etsy</v>
      </c>
      <c r="G9766" s="1" t="str">
        <f>IFERROR(__xludf.DUMMYFUNCTION("GOOGLETRANSLATE(C9766, ""en"", ""fa"")
"),"چگونه می توانم پرسونای مشتری ایجاد کنم که منعکس کننده انگیزه های احساسی و آرزوهای بازار هدف من در Etsy باشد؟")</f>
        <v>چگونه می توانم پرسونای مشتری ایجاد کنم که منعکس کننده انگیزه های احساسی و آرزوهای بازار هدف من در Etsy باشد؟</v>
      </c>
      <c r="H9766" s="1"/>
      <c r="I9766" s="1"/>
      <c r="J9766" s="1"/>
      <c r="K9766" s="1"/>
      <c r="L9766" s="1"/>
      <c r="M9766" s="1"/>
      <c r="N9766" s="1"/>
      <c r="O9766" s="1"/>
      <c r="P9766" s="1"/>
      <c r="Q9766" s="1"/>
      <c r="R9766" s="1"/>
      <c r="S9766" s="1"/>
      <c r="T9766" s="1"/>
      <c r="U9766" s="1"/>
      <c r="V9766" s="1"/>
      <c r="W9766" s="1"/>
      <c r="X9766" s="1"/>
      <c r="Y9766" s="1"/>
      <c r="Z9766" s="1"/>
      <c r="AA9766" s="1"/>
      <c r="AB9766" s="1"/>
    </row>
    <row r="9767" ht="50.25" customHeight="1">
      <c r="A9767" s="12">
        <v>9763.0</v>
      </c>
      <c r="B9767" s="13" t="s">
        <v>9604</v>
      </c>
      <c r="C9767" s="14" t="s">
        <v>9794</v>
      </c>
      <c r="D9767" s="1"/>
      <c r="E9767" s="1"/>
      <c r="F9767" s="1" t="str">
        <f>IFERROR(__xludf.DUMMYFUNCTION("GOOGLETRANSLATE(B9767, ""en"", ""fa"")
"),"موفقیت Etsy")</f>
        <v>موفقیت Etsy</v>
      </c>
      <c r="G9767" s="1" t="str">
        <f>IFERROR(__xludf.DUMMYFUNCTION("GOOGLETRANSLATE(C9767, ""en"", ""fa"")
"),"استراتژی‌های استفاده از تحقیق کلمات کلیدی و تجزیه و تحلیل سئو برای درک هدف جستجوی بازار هدف من در Etsy چیست؟")</f>
        <v>استراتژی‌های استفاده از تحقیق کلمات کلیدی و تجزیه و تحلیل سئو برای درک هدف جستجوی بازار هدف من در Etsy چیست؟</v>
      </c>
      <c r="H9767" s="1"/>
      <c r="I9767" s="1"/>
      <c r="J9767" s="1"/>
      <c r="K9767" s="1"/>
      <c r="L9767" s="1"/>
      <c r="M9767" s="1"/>
      <c r="N9767" s="1"/>
      <c r="O9767" s="1"/>
      <c r="P9767" s="1"/>
      <c r="Q9767" s="1"/>
      <c r="R9767" s="1"/>
      <c r="S9767" s="1"/>
      <c r="T9767" s="1"/>
      <c r="U9767" s="1"/>
      <c r="V9767" s="1"/>
      <c r="W9767" s="1"/>
      <c r="X9767" s="1"/>
      <c r="Y9767" s="1"/>
      <c r="Z9767" s="1"/>
      <c r="AA9767" s="1"/>
      <c r="AB9767" s="1"/>
    </row>
    <row r="9768" ht="50.25" customHeight="1">
      <c r="A9768" s="12">
        <v>9764.0</v>
      </c>
      <c r="B9768" s="13" t="s">
        <v>9604</v>
      </c>
      <c r="C9768" s="14" t="s">
        <v>9795</v>
      </c>
      <c r="D9768" s="1"/>
      <c r="E9768" s="1"/>
      <c r="F9768" s="1" t="str">
        <f>IFERROR(__xludf.DUMMYFUNCTION("GOOGLETRANSLATE(B9768, ""en"", ""fa"")
"),"موفقیت Etsy")</f>
        <v>موفقیت Etsy</v>
      </c>
      <c r="G9768" s="1" t="str">
        <f>IFERROR(__xludf.DUMMYFUNCTION("GOOGLETRANSLATE(C9768, ""en"", ""fa"")
"),"چگونه می توانم گرایش ها و ترجیحات در حال ظهور را در بازار هدف خود در Etsy شناسایی کرده و از آنها بهره ببرم؟")</f>
        <v>چگونه می توانم گرایش ها و ترجیحات در حال ظهور را در بازار هدف خود در Etsy شناسایی کرده و از آنها بهره ببرم؟</v>
      </c>
      <c r="H9768" s="1"/>
      <c r="I9768" s="1"/>
      <c r="J9768" s="1"/>
      <c r="K9768" s="1"/>
      <c r="L9768" s="1"/>
      <c r="M9768" s="1"/>
      <c r="N9768" s="1"/>
      <c r="O9768" s="1"/>
      <c r="P9768" s="1"/>
      <c r="Q9768" s="1"/>
      <c r="R9768" s="1"/>
      <c r="S9768" s="1"/>
      <c r="T9768" s="1"/>
      <c r="U9768" s="1"/>
      <c r="V9768" s="1"/>
      <c r="W9768" s="1"/>
      <c r="X9768" s="1"/>
      <c r="Y9768" s="1"/>
      <c r="Z9768" s="1"/>
      <c r="AA9768" s="1"/>
      <c r="AB9768" s="1"/>
    </row>
    <row r="9769" ht="50.25" customHeight="1">
      <c r="A9769" s="12">
        <v>9765.0</v>
      </c>
      <c r="B9769" s="13" t="s">
        <v>9604</v>
      </c>
      <c r="C9769" s="14" t="s">
        <v>9796</v>
      </c>
      <c r="D9769" s="1"/>
      <c r="E9769" s="1"/>
      <c r="F9769" s="1" t="str">
        <f>IFERROR(__xludf.DUMMYFUNCTION("GOOGLETRANSLATE(B9769, ""en"", ""fa"")
"),"موفقیت Etsy")</f>
        <v>موفقیت Etsy</v>
      </c>
      <c r="G9769" s="1" t="str">
        <f>IFERROR(__xludf.DUMMYFUNCTION("GOOGLETRANSLATE(C9769, ""en"", ""fa"")
"),"بهترین روش‌ها برای اعتبارسنجی و اصلاح شخصیت‌های مشتری من از طریق تحقیقات مداوم و بازخورد در Etsy چیست؟")</f>
        <v>بهترین روش‌ها برای اعتبارسنجی و اصلاح شخصیت‌های مشتری من از طریق تحقیقات مداوم و بازخورد در Etsy چیست؟</v>
      </c>
      <c r="H9769" s="1"/>
      <c r="I9769" s="1"/>
      <c r="J9769" s="1"/>
      <c r="K9769" s="1"/>
      <c r="L9769" s="1"/>
      <c r="M9769" s="1"/>
      <c r="N9769" s="1"/>
      <c r="O9769" s="1"/>
      <c r="P9769" s="1"/>
      <c r="Q9769" s="1"/>
      <c r="R9769" s="1"/>
      <c r="S9769" s="1"/>
      <c r="T9769" s="1"/>
      <c r="U9769" s="1"/>
      <c r="V9769" s="1"/>
      <c r="W9769" s="1"/>
      <c r="X9769" s="1"/>
      <c r="Y9769" s="1"/>
      <c r="Z9769" s="1"/>
      <c r="AA9769" s="1"/>
      <c r="AB9769" s="1"/>
    </row>
    <row r="9770" ht="50.25" customHeight="1">
      <c r="A9770" s="12">
        <v>9766.0</v>
      </c>
      <c r="B9770" s="13" t="s">
        <v>9604</v>
      </c>
      <c r="C9770" s="14" t="s">
        <v>9797</v>
      </c>
      <c r="D9770" s="1"/>
      <c r="E9770" s="1"/>
      <c r="F9770" s="1" t="str">
        <f>IFERROR(__xludf.DUMMYFUNCTION("GOOGLETRANSLATE(B9770, ""en"", ""fa"")
"),"موفقیت Etsy")</f>
        <v>موفقیت Etsy</v>
      </c>
      <c r="G9770" s="1" t="str">
        <f>IFERROR(__xludf.DUMMYFUNCTION("GOOGLETRANSLATE(C9770, ""en"", ""fa"")
"),"چگونه می توانم پرسونای مشتری ایجاد کنم که ویژگی های فرهنگی یا منطقه ای خاص بازار هدف من را در Etsy در نظر بگیرد؟")</f>
        <v>چگونه می توانم پرسونای مشتری ایجاد کنم که ویژگی های فرهنگی یا منطقه ای خاص بازار هدف من را در Etsy در نظر بگیرد؟</v>
      </c>
      <c r="H9770" s="1"/>
      <c r="I9770" s="1"/>
      <c r="J9770" s="1"/>
      <c r="K9770" s="1"/>
      <c r="L9770" s="1"/>
      <c r="M9770" s="1"/>
      <c r="N9770" s="1"/>
      <c r="O9770" s="1"/>
      <c r="P9770" s="1"/>
      <c r="Q9770" s="1"/>
      <c r="R9770" s="1"/>
      <c r="S9770" s="1"/>
      <c r="T9770" s="1"/>
      <c r="U9770" s="1"/>
      <c r="V9770" s="1"/>
      <c r="W9770" s="1"/>
      <c r="X9770" s="1"/>
      <c r="Y9770" s="1"/>
      <c r="Z9770" s="1"/>
      <c r="AA9770" s="1"/>
      <c r="AB9770" s="1"/>
    </row>
    <row r="9771" ht="50.25" customHeight="1">
      <c r="A9771" s="12">
        <v>9767.0</v>
      </c>
      <c r="B9771" s="13" t="s">
        <v>9604</v>
      </c>
      <c r="C9771" s="14" t="s">
        <v>9798</v>
      </c>
      <c r="D9771" s="1"/>
      <c r="E9771" s="1"/>
      <c r="F9771" s="1" t="str">
        <f>IFERROR(__xludf.DUMMYFUNCTION("GOOGLETRANSLATE(B9771, ""en"", ""fa"")
"),"موفقیت Etsy")</f>
        <v>موفقیت Etsy</v>
      </c>
      <c r="G9771" s="1" t="str">
        <f>IFERROR(__xludf.DUMMYFUNCTION("GOOGLETRANSLATE(C9771, ""en"", ""fa"")
"),"استراتژی‌هایی برای انجام آزمایش کاربر یا جمع‌آوری بازخورد برای تأیید صحت و اثربخشی شخصیت‌های مشتری من در Etsy چیست؟")</f>
        <v>استراتژی‌هایی برای انجام آزمایش کاربر یا جمع‌آوری بازخورد برای تأیید صحت و اثربخشی شخصیت‌های مشتری من در Etsy چیست؟</v>
      </c>
      <c r="H9771" s="1"/>
      <c r="I9771" s="1"/>
      <c r="J9771" s="1"/>
      <c r="K9771" s="1"/>
      <c r="L9771" s="1"/>
      <c r="M9771" s="1"/>
      <c r="N9771" s="1"/>
      <c r="O9771" s="1"/>
      <c r="P9771" s="1"/>
      <c r="Q9771" s="1"/>
      <c r="R9771" s="1"/>
      <c r="S9771" s="1"/>
      <c r="T9771" s="1"/>
      <c r="U9771" s="1"/>
      <c r="V9771" s="1"/>
      <c r="W9771" s="1"/>
      <c r="X9771" s="1"/>
      <c r="Y9771" s="1"/>
      <c r="Z9771" s="1"/>
      <c r="AA9771" s="1"/>
      <c r="AB9771" s="1"/>
    </row>
    <row r="9772" ht="50.25" customHeight="1">
      <c r="A9772" s="12">
        <v>9768.0</v>
      </c>
      <c r="B9772" s="13" t="s">
        <v>9604</v>
      </c>
      <c r="C9772" s="14" t="s">
        <v>9799</v>
      </c>
      <c r="D9772" s="1"/>
      <c r="E9772" s="1"/>
      <c r="F9772" s="1" t="str">
        <f>IFERROR(__xludf.DUMMYFUNCTION("GOOGLETRANSLATE(B9772, ""en"", ""fa"")
"),"موفقیت Etsy")</f>
        <v>موفقیت Etsy</v>
      </c>
      <c r="G9772" s="1" t="str">
        <f>IFERROR(__xludf.DUMMYFUNCTION("GOOGLETRANSLATE(C9772, ""en"", ""fa"")
"),"چگونه می توانم مخالفت ها یا موانع رایجی را که بازار هدف من ممکن است در هنگام بررسی خرید در Etsy داشته باشد شناسایی و برطرف کنم؟")</f>
        <v>چگونه می توانم مخالفت ها یا موانع رایجی را که بازار هدف من ممکن است در هنگام بررسی خرید در Etsy داشته باشد شناسایی و برطرف کنم؟</v>
      </c>
      <c r="H9772" s="1"/>
      <c r="I9772" s="1"/>
      <c r="J9772" s="1"/>
      <c r="K9772" s="1"/>
      <c r="L9772" s="1"/>
      <c r="M9772" s="1"/>
      <c r="N9772" s="1"/>
      <c r="O9772" s="1"/>
      <c r="P9772" s="1"/>
      <c r="Q9772" s="1"/>
      <c r="R9772" s="1"/>
      <c r="S9772" s="1"/>
      <c r="T9772" s="1"/>
      <c r="U9772" s="1"/>
      <c r="V9772" s="1"/>
      <c r="W9772" s="1"/>
      <c r="X9772" s="1"/>
      <c r="Y9772" s="1"/>
      <c r="Z9772" s="1"/>
      <c r="AA9772" s="1"/>
      <c r="AB9772" s="1"/>
    </row>
    <row r="9773" ht="50.25" customHeight="1">
      <c r="A9773" s="12">
        <v>9769.0</v>
      </c>
      <c r="B9773" s="13" t="s">
        <v>9604</v>
      </c>
      <c r="C9773" s="14" t="s">
        <v>9800</v>
      </c>
      <c r="D9773" s="1"/>
      <c r="E9773" s="1"/>
      <c r="F9773" s="1" t="str">
        <f>IFERROR(__xludf.DUMMYFUNCTION("GOOGLETRANSLATE(B9773, ""en"", ""fa"")
"),"موفقیت Etsy")</f>
        <v>موفقیت Etsy</v>
      </c>
      <c r="G9773" s="1" t="str">
        <f>IFERROR(__xludf.DUMMYFUNCTION("GOOGLETRANSLATE(C9773, ""en"", ""fa"")
"),"چگونه می توانم پرسونای مشتری ایجاد کنم که نقاط فروش منحصر به فرد و مزایای محصولات من را برای بازار هدف من در Etsy برجسته کند؟")</f>
        <v>چگونه می توانم پرسونای مشتری ایجاد کنم که نقاط فروش منحصر به فرد و مزایای محصولات من را برای بازار هدف من در Etsy برجسته کند؟</v>
      </c>
      <c r="H9773" s="1"/>
      <c r="I9773" s="1"/>
      <c r="J9773" s="1"/>
      <c r="K9773" s="1"/>
      <c r="L9773" s="1"/>
      <c r="M9773" s="1"/>
      <c r="N9773" s="1"/>
      <c r="O9773" s="1"/>
      <c r="P9773" s="1"/>
      <c r="Q9773" s="1"/>
      <c r="R9773" s="1"/>
      <c r="S9773" s="1"/>
      <c r="T9773" s="1"/>
      <c r="U9773" s="1"/>
      <c r="V9773" s="1"/>
      <c r="W9773" s="1"/>
      <c r="X9773" s="1"/>
      <c r="Y9773" s="1"/>
      <c r="Z9773" s="1"/>
      <c r="AA9773" s="1"/>
      <c r="AB9773" s="1"/>
    </row>
    <row r="9774" ht="50.25" customHeight="1">
      <c r="A9774" s="12">
        <v>9770.0</v>
      </c>
      <c r="B9774" s="13" t="s">
        <v>9604</v>
      </c>
      <c r="C9774" s="14" t="s">
        <v>9801</v>
      </c>
      <c r="D9774" s="1"/>
      <c r="E9774" s="1"/>
      <c r="F9774" s="1" t="str">
        <f>IFERROR(__xludf.DUMMYFUNCTION("GOOGLETRANSLATE(B9774, ""en"", ""fa"")
"),"موفقیت Etsy")</f>
        <v>موفقیت Etsy</v>
      </c>
      <c r="G9774" s="1" t="str">
        <f>IFERROR(__xludf.DUMMYFUNCTION("GOOGLETRANSLATE(C9774, ""en"", ""fa"")
"),"راهبردهای استفاده از ابزارهای گوش دادن و نظارت رسانه های اجتماعی برای به دست آوردن بینش در مورد مکالمات و روندهای بازار هدف من در Etsy چیست؟")</f>
        <v>راهبردهای استفاده از ابزارهای گوش دادن و نظارت رسانه های اجتماعی برای به دست آوردن بینش در مورد مکالمات و روندهای بازار هدف من در Etsy چیست؟</v>
      </c>
      <c r="H9774" s="1"/>
      <c r="I9774" s="1"/>
      <c r="J9774" s="1"/>
      <c r="K9774" s="1"/>
      <c r="L9774" s="1"/>
      <c r="M9774" s="1"/>
      <c r="N9774" s="1"/>
      <c r="O9774" s="1"/>
      <c r="P9774" s="1"/>
      <c r="Q9774" s="1"/>
      <c r="R9774" s="1"/>
      <c r="S9774" s="1"/>
      <c r="T9774" s="1"/>
      <c r="U9774" s="1"/>
      <c r="V9774" s="1"/>
      <c r="W9774" s="1"/>
      <c r="X9774" s="1"/>
      <c r="Y9774" s="1"/>
      <c r="Z9774" s="1"/>
      <c r="AA9774" s="1"/>
      <c r="AB9774" s="1"/>
    </row>
    <row r="9775" ht="50.25" customHeight="1">
      <c r="A9775" s="12">
        <v>9771.0</v>
      </c>
      <c r="B9775" s="13" t="s">
        <v>9604</v>
      </c>
      <c r="C9775" s="14" t="s">
        <v>9802</v>
      </c>
      <c r="D9775" s="1"/>
      <c r="E9775" s="1"/>
      <c r="F9775" s="1" t="str">
        <f>IFERROR(__xludf.DUMMYFUNCTION("GOOGLETRANSLATE(B9775, ""en"", ""fa"")
"),"موفقیت Etsy")</f>
        <v>موفقیت Etsy</v>
      </c>
      <c r="G9775" s="1" t="str">
        <f>IFERROR(__xludf.DUMMYFUNCTION("GOOGLETRANSLATE(C9775, ""en"", ""fa"")
"),"چگونه می توانم پرسونای مشتری ایجاد کنم که منعکس کننده سطوح مختلف دانش و تخصص محصول در بازار هدف من در Etsy باشد؟")</f>
        <v>چگونه می توانم پرسونای مشتری ایجاد کنم که منعکس کننده سطوح مختلف دانش و تخصص محصول در بازار هدف من در Etsy باشد؟</v>
      </c>
      <c r="H9775" s="1"/>
      <c r="I9775" s="1"/>
      <c r="J9775" s="1"/>
      <c r="K9775" s="1"/>
      <c r="L9775" s="1"/>
      <c r="M9775" s="1"/>
      <c r="N9775" s="1"/>
      <c r="O9775" s="1"/>
      <c r="P9775" s="1"/>
      <c r="Q9775" s="1"/>
      <c r="R9775" s="1"/>
      <c r="S9775" s="1"/>
      <c r="T9775" s="1"/>
      <c r="U9775" s="1"/>
      <c r="V9775" s="1"/>
      <c r="W9775" s="1"/>
      <c r="X9775" s="1"/>
      <c r="Y9775" s="1"/>
      <c r="Z9775" s="1"/>
      <c r="AA9775" s="1"/>
      <c r="AB9775" s="1"/>
    </row>
    <row r="9776" ht="50.25" customHeight="1">
      <c r="A9776" s="12">
        <v>9772.0</v>
      </c>
      <c r="B9776" s="13" t="s">
        <v>9604</v>
      </c>
      <c r="C9776" s="14" t="s">
        <v>9803</v>
      </c>
      <c r="D9776" s="1"/>
      <c r="E9776" s="1"/>
      <c r="F9776" s="1" t="str">
        <f>IFERROR(__xludf.DUMMYFUNCTION("GOOGLETRANSLATE(B9776, ""en"", ""fa"")
"),"موفقیت Etsy")</f>
        <v>موفقیت Etsy</v>
      </c>
      <c r="G9776" s="1" t="str">
        <f>IFERROR(__xludf.DUMMYFUNCTION("GOOGLETRANSLATE(C9776, ""en"", ""fa"")
"),"چگونه می توانم از تقسیم بندی مشتری برای شخصی سازی پیام ها و پیشنهادات بازاریابی خود برای شخصیت های مختلف مشتریان در Etsy استفاده کنم؟")</f>
        <v>چگونه می توانم از تقسیم بندی مشتری برای شخصی سازی پیام ها و پیشنهادات بازاریابی خود برای شخصیت های مختلف مشتریان در Etsy استفاده کنم؟</v>
      </c>
      <c r="H9776" s="1"/>
      <c r="I9776" s="1"/>
      <c r="J9776" s="1"/>
      <c r="K9776" s="1"/>
      <c r="L9776" s="1"/>
      <c r="M9776" s="1"/>
      <c r="N9776" s="1"/>
      <c r="O9776" s="1"/>
      <c r="P9776" s="1"/>
      <c r="Q9776" s="1"/>
      <c r="R9776" s="1"/>
      <c r="S9776" s="1"/>
      <c r="T9776" s="1"/>
      <c r="U9776" s="1"/>
      <c r="V9776" s="1"/>
      <c r="W9776" s="1"/>
      <c r="X9776" s="1"/>
      <c r="Y9776" s="1"/>
      <c r="Z9776" s="1"/>
      <c r="AA9776" s="1"/>
      <c r="AB9776" s="1"/>
    </row>
    <row r="9777" ht="50.25" customHeight="1">
      <c r="A9777" s="12">
        <v>9773.0</v>
      </c>
      <c r="B9777" s="13" t="s">
        <v>9604</v>
      </c>
      <c r="C9777" s="14" t="s">
        <v>9804</v>
      </c>
      <c r="D9777" s="1"/>
      <c r="E9777" s="1"/>
      <c r="F9777" s="1" t="str">
        <f>IFERROR(__xludf.DUMMYFUNCTION("GOOGLETRANSLATE(B9777, ""en"", ""fa"")
"),"موفقیت Etsy")</f>
        <v>موفقیت Etsy</v>
      </c>
      <c r="G9777" s="1" t="str">
        <f>IFERROR(__xludf.DUMMYFUNCTION("GOOGLETRANSLATE(C9777, ""en"", ""fa"")
"),"استراتژی های استفاده از نظرسنجی مشتری یا فرم های بازخورد برای جمع آوری داده های جمعیت شناختی و روانشناختی از بازار هدف من در Etsy چیست؟")</f>
        <v>استراتژی های استفاده از نظرسنجی مشتری یا فرم های بازخورد برای جمع آوری داده های جمعیت شناختی و روانشناختی از بازار هدف من در Etsy چیست؟</v>
      </c>
      <c r="H9777" s="1"/>
      <c r="I9777" s="1"/>
      <c r="J9777" s="1"/>
      <c r="K9777" s="1"/>
      <c r="L9777" s="1"/>
      <c r="M9777" s="1"/>
      <c r="N9777" s="1"/>
      <c r="O9777" s="1"/>
      <c r="P9777" s="1"/>
      <c r="Q9777" s="1"/>
      <c r="R9777" s="1"/>
      <c r="S9777" s="1"/>
      <c r="T9777" s="1"/>
      <c r="U9777" s="1"/>
      <c r="V9777" s="1"/>
      <c r="W9777" s="1"/>
      <c r="X9777" s="1"/>
      <c r="Y9777" s="1"/>
      <c r="Z9777" s="1"/>
      <c r="AA9777" s="1"/>
      <c r="AB9777" s="1"/>
    </row>
    <row r="9778" ht="50.25" customHeight="1">
      <c r="A9778" s="12">
        <v>9774.0</v>
      </c>
      <c r="B9778" s="13" t="s">
        <v>9604</v>
      </c>
      <c r="C9778" s="14" t="s">
        <v>9805</v>
      </c>
      <c r="D9778" s="1"/>
      <c r="E9778" s="1"/>
      <c r="F9778" s="1" t="str">
        <f>IFERROR(__xludf.DUMMYFUNCTION("GOOGLETRANSLATE(B9778, ""en"", ""fa"")
"),"موفقیت Etsy")</f>
        <v>موفقیت Etsy</v>
      </c>
      <c r="G9778" s="1" t="str">
        <f>IFERROR(__xludf.DUMMYFUNCTION("GOOGLETRANSLATE(C9778, ""en"", ""fa"")
"),"چگونه می توانم پرسونای مشتری ایجاد کنم که مراحل مختلف سفر خریدار را در بازار هدف من در Etsy در نظر بگیرد؟")</f>
        <v>چگونه می توانم پرسونای مشتری ایجاد کنم که مراحل مختلف سفر خریدار را در بازار هدف من در Etsy در نظر بگیرد؟</v>
      </c>
      <c r="H9778" s="1"/>
      <c r="I9778" s="1"/>
      <c r="J9778" s="1"/>
      <c r="K9778" s="1"/>
      <c r="L9778" s="1"/>
      <c r="M9778" s="1"/>
      <c r="N9778" s="1"/>
      <c r="O9778" s="1"/>
      <c r="P9778" s="1"/>
      <c r="Q9778" s="1"/>
      <c r="R9778" s="1"/>
      <c r="S9778" s="1"/>
      <c r="T9778" s="1"/>
      <c r="U9778" s="1"/>
      <c r="V9778" s="1"/>
      <c r="W9778" s="1"/>
      <c r="X9778" s="1"/>
      <c r="Y9778" s="1"/>
      <c r="Z9778" s="1"/>
      <c r="AA9778" s="1"/>
      <c r="AB9778" s="1"/>
    </row>
    <row r="9779" ht="50.25" customHeight="1">
      <c r="A9779" s="12">
        <v>9775.0</v>
      </c>
      <c r="B9779" s="13" t="s">
        <v>9604</v>
      </c>
      <c r="C9779" s="14" t="s">
        <v>9806</v>
      </c>
      <c r="D9779" s="1"/>
      <c r="E9779" s="1"/>
      <c r="F9779" s="1" t="str">
        <f>IFERROR(__xludf.DUMMYFUNCTION("GOOGLETRANSLATE(B9779, ""en"", ""fa"")
"),"موفقیت Etsy")</f>
        <v>موفقیت Etsy</v>
      </c>
      <c r="G9779" s="1" t="str">
        <f>IFERROR(__xludf.DUMMYFUNCTION("GOOGLETRANSLATE(C9779, ""en"", ""fa"")
"),"بهترین شیوه ها برای مستندسازی و به اشتراک گذاری شخصیت های مشتری در کسب و کار Etsy من برای اطمینان از درک ثابت در سراسر تیم چیست؟")</f>
        <v>بهترین شیوه ها برای مستندسازی و به اشتراک گذاری شخصیت های مشتری در کسب و کار Etsy من برای اطمینان از درک ثابت در سراسر تیم چیست؟</v>
      </c>
      <c r="H9779" s="1"/>
      <c r="I9779" s="1"/>
      <c r="J9779" s="1"/>
      <c r="K9779" s="1"/>
      <c r="L9779" s="1"/>
      <c r="M9779" s="1"/>
      <c r="N9779" s="1"/>
      <c r="O9779" s="1"/>
      <c r="P9779" s="1"/>
      <c r="Q9779" s="1"/>
      <c r="R9779" s="1"/>
      <c r="S9779" s="1"/>
      <c r="T9779" s="1"/>
      <c r="U9779" s="1"/>
      <c r="V9779" s="1"/>
      <c r="W9779" s="1"/>
      <c r="X9779" s="1"/>
      <c r="Y9779" s="1"/>
      <c r="Z9779" s="1"/>
      <c r="AA9779" s="1"/>
      <c r="AB9779" s="1"/>
    </row>
    <row r="9780" ht="50.25" customHeight="1">
      <c r="A9780" s="12">
        <v>9776.0</v>
      </c>
      <c r="B9780" s="13" t="s">
        <v>9604</v>
      </c>
      <c r="C9780" s="14" t="s">
        <v>9807</v>
      </c>
      <c r="D9780" s="1"/>
      <c r="E9780" s="1"/>
      <c r="F9780" s="1" t="str">
        <f>IFERROR(__xludf.DUMMYFUNCTION("GOOGLETRANSLATE(B9780, ""en"", ""fa"")
"),"موفقیت Etsy")</f>
        <v>موفقیت Etsy</v>
      </c>
      <c r="G9780" s="1" t="str">
        <f>IFERROR(__xludf.DUMMYFUNCTION("GOOGLETRANSLATE(C9780, ""en"", ""fa"")
"),"چگونه می توانم پرسونای مشتری ایجاد کنم که با ارزش ها و علایق بازار هدف یا خرده فرهنگ خاص من در Etsy هماهنگ باشد؟")</f>
        <v>چگونه می توانم پرسونای مشتری ایجاد کنم که با ارزش ها و علایق بازار هدف یا خرده فرهنگ خاص من در Etsy هماهنگ باشد؟</v>
      </c>
      <c r="H9780" s="1"/>
      <c r="I9780" s="1"/>
      <c r="J9780" s="1"/>
      <c r="K9780" s="1"/>
      <c r="L9780" s="1"/>
      <c r="M9780" s="1"/>
      <c r="N9780" s="1"/>
      <c r="O9780" s="1"/>
      <c r="P9780" s="1"/>
      <c r="Q9780" s="1"/>
      <c r="R9780" s="1"/>
      <c r="S9780" s="1"/>
      <c r="T9780" s="1"/>
      <c r="U9780" s="1"/>
      <c r="V9780" s="1"/>
      <c r="W9780" s="1"/>
      <c r="X9780" s="1"/>
      <c r="Y9780" s="1"/>
      <c r="Z9780" s="1"/>
      <c r="AA9780" s="1"/>
      <c r="AB9780" s="1"/>
    </row>
    <row r="9781" ht="50.25" customHeight="1">
      <c r="A9781" s="12">
        <v>9777.0</v>
      </c>
      <c r="B9781" s="13" t="s">
        <v>9604</v>
      </c>
      <c r="C9781" s="14" t="s">
        <v>9808</v>
      </c>
      <c r="D9781" s="1"/>
      <c r="E9781" s="1"/>
      <c r="F9781" s="1" t="str">
        <f>IFERROR(__xludf.DUMMYFUNCTION("GOOGLETRANSLATE(B9781, ""en"", ""fa"")
"),"موفقیت Etsy")</f>
        <v>موفقیت Etsy</v>
      </c>
      <c r="G9781" s="1" t="str">
        <f>IFERROR(__xludf.DUMMYFUNCTION("GOOGLETRANSLATE(C9781, ""en"", ""fa"")
"),"استراتژی‌های استفاده از تقسیم‌بندی مشتری برای تطبیق پیشنهادات و تبلیغات محصولات من با شخصیت‌های مختلف مشتریان در Etsy چیست؟")</f>
        <v>استراتژی‌های استفاده از تقسیم‌بندی مشتری برای تطبیق پیشنهادات و تبلیغات محصولات من با شخصیت‌های مختلف مشتریان در Etsy چیست؟</v>
      </c>
      <c r="H9781" s="1"/>
      <c r="I9781" s="1"/>
      <c r="J9781" s="1"/>
      <c r="K9781" s="1"/>
      <c r="L9781" s="1"/>
      <c r="M9781" s="1"/>
      <c r="N9781" s="1"/>
      <c r="O9781" s="1"/>
      <c r="P9781" s="1"/>
      <c r="Q9781" s="1"/>
      <c r="R9781" s="1"/>
      <c r="S9781" s="1"/>
      <c r="T9781" s="1"/>
      <c r="U9781" s="1"/>
      <c r="V9781" s="1"/>
      <c r="W9781" s="1"/>
      <c r="X9781" s="1"/>
      <c r="Y9781" s="1"/>
      <c r="Z9781" s="1"/>
      <c r="AA9781" s="1"/>
      <c r="AB9781" s="1"/>
    </row>
    <row r="9782" ht="50.25" customHeight="1">
      <c r="A9782" s="12">
        <v>9778.0</v>
      </c>
      <c r="B9782" s="13" t="s">
        <v>9604</v>
      </c>
      <c r="C9782" s="14" t="s">
        <v>9809</v>
      </c>
      <c r="D9782" s="1"/>
      <c r="E9782" s="1"/>
      <c r="F9782" s="1" t="str">
        <f>IFERROR(__xludf.DUMMYFUNCTION("GOOGLETRANSLATE(B9782, ""en"", ""fa"")
"),"موفقیت Etsy")</f>
        <v>موفقیت Etsy</v>
      </c>
      <c r="G9782" s="1" t="str">
        <f>IFERROR(__xludf.DUMMYFUNCTION("GOOGLETRANSLATE(C9782, ""en"", ""fa"")
"),"چگونه می توانم داده ها و بینش هایی را در مورد رفتارهای مرور آنلاین و خرید بازار هدف خود در خارج از Etsy جمع آوری کنم؟")</f>
        <v>چگونه می توانم داده ها و بینش هایی را در مورد رفتارهای مرور آنلاین و خرید بازار هدف خود در خارج از Etsy جمع آوری کنم؟</v>
      </c>
      <c r="H9782" s="1"/>
      <c r="I9782" s="1"/>
      <c r="J9782" s="1"/>
      <c r="K9782" s="1"/>
      <c r="L9782" s="1"/>
      <c r="M9782" s="1"/>
      <c r="N9782" s="1"/>
      <c r="O9782" s="1"/>
      <c r="P9782" s="1"/>
      <c r="Q9782" s="1"/>
      <c r="R9782" s="1"/>
      <c r="S9782" s="1"/>
      <c r="T9782" s="1"/>
      <c r="U9782" s="1"/>
      <c r="V9782" s="1"/>
      <c r="W9782" s="1"/>
      <c r="X9782" s="1"/>
      <c r="Y9782" s="1"/>
      <c r="Z9782" s="1"/>
      <c r="AA9782" s="1"/>
      <c r="AB9782" s="1"/>
    </row>
    <row r="9783" ht="50.25" customHeight="1">
      <c r="A9783" s="12">
        <v>9779.0</v>
      </c>
      <c r="B9783" s="13" t="s">
        <v>9604</v>
      </c>
      <c r="C9783" s="14" t="s">
        <v>9810</v>
      </c>
      <c r="D9783" s="1"/>
      <c r="E9783" s="1"/>
      <c r="F9783" s="1" t="str">
        <f>IFERROR(__xludf.DUMMYFUNCTION("GOOGLETRANSLATE(B9783, ""en"", ""fa"")
"),"موفقیت Etsy")</f>
        <v>موفقیت Etsy</v>
      </c>
      <c r="G9783" s="1" t="str">
        <f>IFERROR(__xludf.DUMMYFUNCTION("GOOGLETRANSLATE(C9783, ""en"", ""fa"")
"),"چگونه می توانم پرسونای مشتری ایجاد کنم که به نقاط دردناک و چالش های خاصی که بازار هدف من در تجربه خرید Etsy با آن مواجه است پاسخ دهد؟")</f>
        <v>چگونه می توانم پرسونای مشتری ایجاد کنم که به نقاط دردناک و چالش های خاصی که بازار هدف من در تجربه خرید Etsy با آن مواجه است پاسخ دهد؟</v>
      </c>
      <c r="H9783" s="1"/>
      <c r="I9783" s="1"/>
      <c r="J9783" s="1"/>
      <c r="K9783" s="1"/>
      <c r="L9783" s="1"/>
      <c r="M9783" s="1"/>
      <c r="N9783" s="1"/>
      <c r="O9783" s="1"/>
      <c r="P9783" s="1"/>
      <c r="Q9783" s="1"/>
      <c r="R9783" s="1"/>
      <c r="S9783" s="1"/>
      <c r="T9783" s="1"/>
      <c r="U9783" s="1"/>
      <c r="V9783" s="1"/>
      <c r="W9783" s="1"/>
      <c r="X9783" s="1"/>
      <c r="Y9783" s="1"/>
      <c r="Z9783" s="1"/>
      <c r="AA9783" s="1"/>
      <c r="AB9783" s="1"/>
    </row>
    <row r="9784" ht="50.25" customHeight="1">
      <c r="A9784" s="12">
        <v>9780.0</v>
      </c>
      <c r="B9784" s="13" t="s">
        <v>9604</v>
      </c>
      <c r="C9784" s="14" t="s">
        <v>9811</v>
      </c>
      <c r="D9784" s="1"/>
      <c r="E9784" s="1"/>
      <c r="F9784" s="1" t="str">
        <f>IFERROR(__xludf.DUMMYFUNCTION("GOOGLETRANSLATE(B9784, ""en"", ""fa"")
"),"موفقیت Etsy")</f>
        <v>موفقیت Etsy</v>
      </c>
      <c r="G9784" s="1" t="str">
        <f>IFERROR(__xludf.DUMMYFUNCTION("GOOGLETRANSLATE(C9784, ""en"", ""fa"")
"),"استراتژی های استفاده از توصیفات مشتری و داستان های موفقیت برای درک بیشتر انگیزه ها و خواسته های بازار هدف من در Etsy چیست؟")</f>
        <v>استراتژی های استفاده از توصیفات مشتری و داستان های موفقیت برای درک بیشتر انگیزه ها و خواسته های بازار هدف من در Etsy چیست؟</v>
      </c>
      <c r="H9784" s="1"/>
      <c r="I9784" s="1"/>
      <c r="J9784" s="1"/>
      <c r="K9784" s="1"/>
      <c r="L9784" s="1"/>
      <c r="M9784" s="1"/>
      <c r="N9784" s="1"/>
      <c r="O9784" s="1"/>
      <c r="P9784" s="1"/>
      <c r="Q9784" s="1"/>
      <c r="R9784" s="1"/>
      <c r="S9784" s="1"/>
      <c r="T9784" s="1"/>
      <c r="U9784" s="1"/>
      <c r="V9784" s="1"/>
      <c r="W9784" s="1"/>
      <c r="X9784" s="1"/>
      <c r="Y9784" s="1"/>
      <c r="Z9784" s="1"/>
      <c r="AA9784" s="1"/>
      <c r="AB9784" s="1"/>
    </row>
    <row r="9785" ht="50.25" customHeight="1">
      <c r="A9785" s="12">
        <v>9781.0</v>
      </c>
      <c r="B9785" s="13" t="s">
        <v>9604</v>
      </c>
      <c r="C9785" s="14" t="s">
        <v>9812</v>
      </c>
      <c r="D9785" s="1"/>
      <c r="E9785" s="1"/>
      <c r="F9785" s="1" t="str">
        <f>IFERROR(__xludf.DUMMYFUNCTION("GOOGLETRANSLATE(B9785, ""en"", ""fa"")
"),"موفقیت Etsy")</f>
        <v>موفقیت Etsy</v>
      </c>
      <c r="G9785" s="1" t="str">
        <f>IFERROR(__xludf.DUMMYFUNCTION("GOOGLETRANSLATE(C9785, ""en"", ""fa"")
"),"چگونه می توانم پرسونای مشتری ایجاد کنم که کانال ها و نقاط تماس مختلفی را که بازار هدف من برای تعامل با فروشگاه Etsy من استفاده می کند در نظر بگیرد؟")</f>
        <v>چگونه می توانم پرسونای مشتری ایجاد کنم که کانال ها و نقاط تماس مختلفی را که بازار هدف من برای تعامل با فروشگاه Etsy من استفاده می کند در نظر بگیرد؟</v>
      </c>
      <c r="H9785" s="1"/>
      <c r="I9785" s="1"/>
      <c r="J9785" s="1"/>
      <c r="K9785" s="1"/>
      <c r="L9785" s="1"/>
      <c r="M9785" s="1"/>
      <c r="N9785" s="1"/>
      <c r="O9785" s="1"/>
      <c r="P9785" s="1"/>
      <c r="Q9785" s="1"/>
      <c r="R9785" s="1"/>
      <c r="S9785" s="1"/>
      <c r="T9785" s="1"/>
      <c r="U9785" s="1"/>
      <c r="V9785" s="1"/>
      <c r="W9785" s="1"/>
      <c r="X9785" s="1"/>
      <c r="Y9785" s="1"/>
      <c r="Z9785" s="1"/>
      <c r="AA9785" s="1"/>
      <c r="AB9785" s="1"/>
    </row>
    <row r="9786" ht="50.25" customHeight="1">
      <c r="A9786" s="12">
        <v>9782.0</v>
      </c>
      <c r="B9786" s="13" t="s">
        <v>9604</v>
      </c>
      <c r="C9786" s="14" t="s">
        <v>9813</v>
      </c>
      <c r="D9786" s="1"/>
      <c r="E9786" s="1"/>
      <c r="F9786" s="1" t="str">
        <f>IFERROR(__xludf.DUMMYFUNCTION("GOOGLETRANSLATE(B9786, ""en"", ""fa"")
"),"موفقیت Etsy")</f>
        <v>موفقیت Etsy</v>
      </c>
      <c r="G9786" s="1" t="str">
        <f>IFERROR(__xludf.DUMMYFUNCTION("GOOGLETRANSLATE(C9786, ""en"", ""fa"")
"),"چگونه می توانم از تحقیقات کلمات کلیدی و تجزیه و تحلیل سئو برای کشف بخش های مشتری و بازارهای خاص در بازار هدف خود در Etsy استفاده کنم؟")</f>
        <v>چگونه می توانم از تحقیقات کلمات کلیدی و تجزیه و تحلیل سئو برای کشف بخش های مشتری و بازارهای خاص در بازار هدف خود در Etsy استفاده کنم؟</v>
      </c>
      <c r="H9786" s="1"/>
      <c r="I9786" s="1"/>
      <c r="J9786" s="1"/>
      <c r="K9786" s="1"/>
      <c r="L9786" s="1"/>
      <c r="M9786" s="1"/>
      <c r="N9786" s="1"/>
      <c r="O9786" s="1"/>
      <c r="P9786" s="1"/>
      <c r="Q9786" s="1"/>
      <c r="R9786" s="1"/>
      <c r="S9786" s="1"/>
      <c r="T9786" s="1"/>
      <c r="U9786" s="1"/>
      <c r="V9786" s="1"/>
      <c r="W9786" s="1"/>
      <c r="X9786" s="1"/>
      <c r="Y9786" s="1"/>
      <c r="Z9786" s="1"/>
      <c r="AA9786" s="1"/>
      <c r="AB9786" s="1"/>
    </row>
    <row r="9787" ht="50.25" customHeight="1">
      <c r="A9787" s="12">
        <v>9783.0</v>
      </c>
      <c r="B9787" s="13" t="s">
        <v>9604</v>
      </c>
      <c r="C9787" s="14" t="s">
        <v>9814</v>
      </c>
      <c r="D9787" s="1"/>
      <c r="E9787" s="1"/>
      <c r="F9787" s="1" t="str">
        <f>IFERROR(__xludf.DUMMYFUNCTION("GOOGLETRANSLATE(B9787, ""en"", ""fa"")
"),"موفقیت Etsy")</f>
        <v>موفقیت Etsy</v>
      </c>
      <c r="G9787" s="1" t="str">
        <f>IFERROR(__xludf.DUMMYFUNCTION("GOOGLETRANSLATE(C9787, ""en"", ""fa"")
"),"استراتژی های انجام تجزیه و تحلیل رقبا برای به دست آوردن بینش در مورد بازار هدف سایر فروشندگان موفق Etsy در جایگاه من چیست؟")</f>
        <v>استراتژی های انجام تجزیه و تحلیل رقبا برای به دست آوردن بینش در مورد بازار هدف سایر فروشندگان موفق Etsy در جایگاه من چیست؟</v>
      </c>
      <c r="H9787" s="1"/>
      <c r="I9787" s="1"/>
      <c r="J9787" s="1"/>
      <c r="K9787" s="1"/>
      <c r="L9787" s="1"/>
      <c r="M9787" s="1"/>
      <c r="N9787" s="1"/>
      <c r="O9787" s="1"/>
      <c r="P9787" s="1"/>
      <c r="Q9787" s="1"/>
      <c r="R9787" s="1"/>
      <c r="S9787" s="1"/>
      <c r="T9787" s="1"/>
      <c r="U9787" s="1"/>
      <c r="V9787" s="1"/>
      <c r="W9787" s="1"/>
      <c r="X9787" s="1"/>
      <c r="Y9787" s="1"/>
      <c r="Z9787" s="1"/>
      <c r="AA9787" s="1"/>
      <c r="AB9787" s="1"/>
    </row>
    <row r="9788" ht="50.25" customHeight="1">
      <c r="A9788" s="12">
        <v>9784.0</v>
      </c>
      <c r="B9788" s="13" t="s">
        <v>9604</v>
      </c>
      <c r="C9788" s="14" t="s">
        <v>9815</v>
      </c>
      <c r="D9788" s="1"/>
      <c r="E9788" s="1"/>
      <c r="F9788" s="1" t="str">
        <f>IFERROR(__xludf.DUMMYFUNCTION("GOOGLETRANSLATE(B9788, ""en"", ""fa"")
"),"موفقیت Etsy")</f>
        <v>موفقیت Etsy</v>
      </c>
      <c r="G9788" s="1" t="str">
        <f>IFERROR(__xludf.DUMMYFUNCTION("GOOGLETRANSLATE(C9788, ""en"", ""fa"")
"),"چگونه می توانم پرسونای مشتری ایجاد کنم که انگیزه های خرید خاص و عوامل تصمیم گیری بازار هدف من را در Etsy منعکس کند؟")</f>
        <v>چگونه می توانم پرسونای مشتری ایجاد کنم که انگیزه های خرید خاص و عوامل تصمیم گیری بازار هدف من را در Etsy منعکس کند؟</v>
      </c>
      <c r="H9788" s="1"/>
      <c r="I9788" s="1"/>
      <c r="J9788" s="1"/>
      <c r="K9788" s="1"/>
      <c r="L9788" s="1"/>
      <c r="M9788" s="1"/>
      <c r="N9788" s="1"/>
      <c r="O9788" s="1"/>
      <c r="P9788" s="1"/>
      <c r="Q9788" s="1"/>
      <c r="R9788" s="1"/>
      <c r="S9788" s="1"/>
      <c r="T9788" s="1"/>
      <c r="U9788" s="1"/>
      <c r="V9788" s="1"/>
      <c r="W9788" s="1"/>
      <c r="X9788" s="1"/>
      <c r="Y9788" s="1"/>
      <c r="Z9788" s="1"/>
      <c r="AA9788" s="1"/>
      <c r="AB9788" s="1"/>
    </row>
    <row r="9789" ht="50.25" customHeight="1">
      <c r="A9789" s="12">
        <v>9785.0</v>
      </c>
      <c r="B9789" s="13" t="s">
        <v>9604</v>
      </c>
      <c r="C9789" s="14" t="s">
        <v>9816</v>
      </c>
      <c r="D9789" s="1"/>
      <c r="E9789" s="1"/>
      <c r="F9789" s="1" t="str">
        <f>IFERROR(__xludf.DUMMYFUNCTION("GOOGLETRANSLATE(B9789, ""en"", ""fa"")
"),"موفقیت Etsy")</f>
        <v>موفقیت Etsy</v>
      </c>
      <c r="G9789" s="1" t="str">
        <f>IFERROR(__xludf.DUMMYFUNCTION("GOOGLETRANSLATE(C9789, ""en"", ""fa"")
"),"چگونه می توانم داده ها و بینش هایی را در مورد واکنش بازار هدفم به استراتژی های قیمت گذاری مختلف و پیشنهادهای ارزش در Etsy جمع آوری کنم؟")</f>
        <v>چگونه می توانم داده ها و بینش هایی را در مورد واکنش بازار هدفم به استراتژی های قیمت گذاری مختلف و پیشنهادهای ارزش در Etsy جمع آوری کنم؟</v>
      </c>
      <c r="H9789" s="1"/>
      <c r="I9789" s="1"/>
      <c r="J9789" s="1"/>
      <c r="K9789" s="1"/>
      <c r="L9789" s="1"/>
      <c r="M9789" s="1"/>
      <c r="N9789" s="1"/>
      <c r="O9789" s="1"/>
      <c r="P9789" s="1"/>
      <c r="Q9789" s="1"/>
      <c r="R9789" s="1"/>
      <c r="S9789" s="1"/>
      <c r="T9789" s="1"/>
      <c r="U9789" s="1"/>
      <c r="V9789" s="1"/>
      <c r="W9789" s="1"/>
      <c r="X9789" s="1"/>
      <c r="Y9789" s="1"/>
      <c r="Z9789" s="1"/>
      <c r="AA9789" s="1"/>
      <c r="AB9789" s="1"/>
    </row>
    <row r="9790" ht="50.25" customHeight="1">
      <c r="A9790" s="12">
        <v>9786.0</v>
      </c>
      <c r="B9790" s="13" t="s">
        <v>9604</v>
      </c>
      <c r="C9790" s="14" t="s">
        <v>9817</v>
      </c>
      <c r="D9790" s="1"/>
      <c r="E9790" s="1"/>
      <c r="F9790" s="1" t="str">
        <f>IFERROR(__xludf.DUMMYFUNCTION("GOOGLETRANSLATE(B9790, ""en"", ""fa"")
"),"موفقیت Etsy")</f>
        <v>موفقیت Etsy</v>
      </c>
      <c r="G9790" s="1" t="str">
        <f>IFERROR(__xludf.DUMMYFUNCTION("GOOGLETRANSLATE(C9790, ""en"", ""fa"")
"),"استراتژی‌های استفاده از تعامل و تعامل رسانه‌های اجتماعی برای جمع‌آوری بینش‌های کیفی در مورد ترجیحات بازار هدف من در Etsy چیست؟")</f>
        <v>استراتژی‌های استفاده از تعامل و تعامل رسانه‌های اجتماعی برای جمع‌آوری بینش‌های کیفی در مورد ترجیحات بازار هدف من در Etsy چیست؟</v>
      </c>
      <c r="H9790" s="1"/>
      <c r="I9790" s="1"/>
      <c r="J9790" s="1"/>
      <c r="K9790" s="1"/>
      <c r="L9790" s="1"/>
      <c r="M9790" s="1"/>
      <c r="N9790" s="1"/>
      <c r="O9790" s="1"/>
      <c r="P9790" s="1"/>
      <c r="Q9790" s="1"/>
      <c r="R9790" s="1"/>
      <c r="S9790" s="1"/>
      <c r="T9790" s="1"/>
      <c r="U9790" s="1"/>
      <c r="V9790" s="1"/>
      <c r="W9790" s="1"/>
      <c r="X9790" s="1"/>
      <c r="Y9790" s="1"/>
      <c r="Z9790" s="1"/>
      <c r="AA9790" s="1"/>
      <c r="AB9790" s="1"/>
    </row>
    <row r="9791" ht="50.25" customHeight="1">
      <c r="A9791" s="12">
        <v>9787.0</v>
      </c>
      <c r="B9791" s="13" t="s">
        <v>9604</v>
      </c>
      <c r="C9791" s="14" t="s">
        <v>9818</v>
      </c>
      <c r="D9791" s="1"/>
      <c r="E9791" s="1"/>
      <c r="F9791" s="1" t="str">
        <f>IFERROR(__xludf.DUMMYFUNCTION("GOOGLETRANSLATE(B9791, ""en"", ""fa"")
"),"موفقیت Etsy")</f>
        <v>موفقیت Etsy</v>
      </c>
      <c r="G9791" s="1" t="str">
        <f>IFERROR(__xludf.DUMMYFUNCTION("GOOGLETRANSLATE(C9791, ""en"", ""fa"")
"),"چگونه می توانم پرسونای مشتری ایجاد کنم که به سبک های ارتباطی و ترجیحات مختلف بازار هدف من در Etsy بپردازد؟")</f>
        <v>چگونه می توانم پرسونای مشتری ایجاد کنم که به سبک های ارتباطی و ترجیحات مختلف بازار هدف من در Etsy بپردازد؟</v>
      </c>
      <c r="H9791" s="1"/>
      <c r="I9791" s="1"/>
      <c r="J9791" s="1"/>
      <c r="K9791" s="1"/>
      <c r="L9791" s="1"/>
      <c r="M9791" s="1"/>
      <c r="N9791" s="1"/>
      <c r="O9791" s="1"/>
      <c r="P9791" s="1"/>
      <c r="Q9791" s="1"/>
      <c r="R9791" s="1"/>
      <c r="S9791" s="1"/>
      <c r="T9791" s="1"/>
      <c r="U9791" s="1"/>
      <c r="V9791" s="1"/>
      <c r="W9791" s="1"/>
      <c r="X9791" s="1"/>
      <c r="Y9791" s="1"/>
      <c r="Z9791" s="1"/>
      <c r="AA9791" s="1"/>
      <c r="AB9791" s="1"/>
    </row>
    <row r="9792" ht="50.25" customHeight="1">
      <c r="A9792" s="12">
        <v>9788.0</v>
      </c>
      <c r="B9792" s="13" t="s">
        <v>9604</v>
      </c>
      <c r="C9792" s="14" t="s">
        <v>9819</v>
      </c>
      <c r="D9792" s="1"/>
      <c r="E9792" s="1"/>
      <c r="F9792" s="1" t="str">
        <f>IFERROR(__xludf.DUMMYFUNCTION("GOOGLETRANSLATE(B9792, ""en"", ""fa"")
"),"موفقیت Etsy")</f>
        <v>موفقیت Etsy</v>
      </c>
      <c r="G9792" s="1" t="str">
        <f>IFERROR(__xludf.DUMMYFUNCTION("GOOGLETRANSLATE(C9792, ""en"", ""fa"")
"),"چگونه می توانم اینفلوئنسرهای کلیدی یا رهبران عقیده را در بازار هدف خود شناسایی و از آنها استفاده کنم تا دسترسی خود را به Etsy گسترش دهم؟")</f>
        <v>چگونه می توانم اینفلوئنسرهای کلیدی یا رهبران عقیده را در بازار هدف خود شناسایی و از آنها استفاده کنم تا دسترسی خود را به Etsy گسترش دهم؟</v>
      </c>
      <c r="H9792" s="1"/>
      <c r="I9792" s="1"/>
      <c r="J9792" s="1"/>
      <c r="K9792" s="1"/>
      <c r="L9792" s="1"/>
      <c r="M9792" s="1"/>
      <c r="N9792" s="1"/>
      <c r="O9792" s="1"/>
      <c r="P9792" s="1"/>
      <c r="Q9792" s="1"/>
      <c r="R9792" s="1"/>
      <c r="S9792" s="1"/>
      <c r="T9792" s="1"/>
      <c r="U9792" s="1"/>
      <c r="V9792" s="1"/>
      <c r="W9792" s="1"/>
      <c r="X9792" s="1"/>
      <c r="Y9792" s="1"/>
      <c r="Z9792" s="1"/>
      <c r="AA9792" s="1"/>
      <c r="AB9792" s="1"/>
    </row>
    <row r="9793" ht="50.25" customHeight="1">
      <c r="A9793" s="12">
        <v>9789.0</v>
      </c>
      <c r="B9793" s="13" t="s">
        <v>9604</v>
      </c>
      <c r="C9793" s="14" t="s">
        <v>9820</v>
      </c>
      <c r="D9793" s="1"/>
      <c r="E9793" s="1"/>
      <c r="F9793" s="1" t="str">
        <f>IFERROR(__xludf.DUMMYFUNCTION("GOOGLETRANSLATE(B9793, ""en"", ""fa"")
"),"موفقیت Etsy")</f>
        <v>موفقیت Etsy</v>
      </c>
      <c r="G9793" s="1" t="str">
        <f>IFERROR(__xludf.DUMMYFUNCTION("GOOGLETRANSLATE(C9793, ""en"", ""fa"")
"),"استراتژی‌های استفاده از نقشه سفر مشتری برای درک نقاط تماس و تعاملاتی که تجربه خرید Etsy در بازار هدف من را شکل می‌دهند چیست؟")</f>
        <v>استراتژی‌های استفاده از نقشه سفر مشتری برای درک نقاط تماس و تعاملاتی که تجربه خرید Etsy در بازار هدف من را شکل می‌دهند چیست؟</v>
      </c>
      <c r="H9793" s="1"/>
      <c r="I9793" s="1"/>
      <c r="J9793" s="1"/>
      <c r="K9793" s="1"/>
      <c r="L9793" s="1"/>
      <c r="M9793" s="1"/>
      <c r="N9793" s="1"/>
      <c r="O9793" s="1"/>
      <c r="P9793" s="1"/>
      <c r="Q9793" s="1"/>
      <c r="R9793" s="1"/>
      <c r="S9793" s="1"/>
      <c r="T9793" s="1"/>
      <c r="U9793" s="1"/>
      <c r="V9793" s="1"/>
      <c r="W9793" s="1"/>
      <c r="X9793" s="1"/>
      <c r="Y9793" s="1"/>
      <c r="Z9793" s="1"/>
      <c r="AA9793" s="1"/>
      <c r="AB9793" s="1"/>
    </row>
    <row r="9794" ht="50.25" customHeight="1">
      <c r="A9794" s="12">
        <v>9790.0</v>
      </c>
      <c r="B9794" s="13" t="s">
        <v>9604</v>
      </c>
      <c r="C9794" s="14" t="s">
        <v>9821</v>
      </c>
      <c r="D9794" s="1"/>
      <c r="E9794" s="1"/>
      <c r="F9794" s="1" t="str">
        <f>IFERROR(__xludf.DUMMYFUNCTION("GOOGLETRANSLATE(B9794, ""en"", ""fa"")
"),"موفقیت Etsy")</f>
        <v>موفقیت Etsy</v>
      </c>
      <c r="G9794" s="1" t="str">
        <f>IFERROR(__xludf.DUMMYFUNCTION("GOOGLETRANSLATE(C9794, ""en"", ""fa"")
"),"چگونه می توانم پرسونای مشتری ایجاد کنم که استفاده از دستگاه خاص و ترجیحات تکنولوژیکی بازار هدف من را در Etsy در نظر بگیرد؟")</f>
        <v>چگونه می توانم پرسونای مشتری ایجاد کنم که استفاده از دستگاه خاص و ترجیحات تکنولوژیکی بازار هدف من را در Etsy در نظر بگیرد؟</v>
      </c>
      <c r="H9794" s="1"/>
      <c r="I9794" s="1"/>
      <c r="J9794" s="1"/>
      <c r="K9794" s="1"/>
      <c r="L9794" s="1"/>
      <c r="M9794" s="1"/>
      <c r="N9794" s="1"/>
      <c r="O9794" s="1"/>
      <c r="P9794" s="1"/>
      <c r="Q9794" s="1"/>
      <c r="R9794" s="1"/>
      <c r="S9794" s="1"/>
      <c r="T9794" s="1"/>
      <c r="U9794" s="1"/>
      <c r="V9794" s="1"/>
      <c r="W9794" s="1"/>
      <c r="X9794" s="1"/>
      <c r="Y9794" s="1"/>
      <c r="Z9794" s="1"/>
      <c r="AA9794" s="1"/>
      <c r="AB9794" s="1"/>
    </row>
    <row r="9795" ht="50.25" customHeight="1">
      <c r="A9795" s="12">
        <v>9791.0</v>
      </c>
      <c r="B9795" s="13" t="s">
        <v>9604</v>
      </c>
      <c r="C9795" s="14" t="s">
        <v>9822</v>
      </c>
      <c r="D9795" s="1"/>
      <c r="E9795" s="1"/>
      <c r="F9795" s="1" t="str">
        <f>IFERROR(__xludf.DUMMYFUNCTION("GOOGLETRANSLATE(B9795, ""en"", ""fa"")
"),"موفقیت Etsy")</f>
        <v>موفقیت Etsy</v>
      </c>
      <c r="G9795" s="1" t="str">
        <f>IFERROR(__xludf.DUMMYFUNCTION("GOOGLETRANSLATE(C9795, ""en"", ""fa"")
"),"چگونه می توانم داده ها و بینش هایی را در مورد واکنش بازار هدفم به زیبایی شناسی بصری و عناصر طراحی مختلف در Etsy جمع آوری کنم؟")</f>
        <v>چگونه می توانم داده ها و بینش هایی را در مورد واکنش بازار هدفم به زیبایی شناسی بصری و عناصر طراحی مختلف در Etsy جمع آوری کنم؟</v>
      </c>
      <c r="H9795" s="1"/>
      <c r="I9795" s="1"/>
      <c r="J9795" s="1"/>
      <c r="K9795" s="1"/>
      <c r="L9795" s="1"/>
      <c r="M9795" s="1"/>
      <c r="N9795" s="1"/>
      <c r="O9795" s="1"/>
      <c r="P9795" s="1"/>
      <c r="Q9795" s="1"/>
      <c r="R9795" s="1"/>
      <c r="S9795" s="1"/>
      <c r="T9795" s="1"/>
      <c r="U9795" s="1"/>
      <c r="V9795" s="1"/>
      <c r="W9795" s="1"/>
      <c r="X9795" s="1"/>
      <c r="Y9795" s="1"/>
      <c r="Z9795" s="1"/>
      <c r="AA9795" s="1"/>
      <c r="AB9795" s="1"/>
    </row>
    <row r="9796" ht="50.25" customHeight="1">
      <c r="A9796" s="12">
        <v>9792.0</v>
      </c>
      <c r="B9796" s="13" t="s">
        <v>9604</v>
      </c>
      <c r="C9796" s="14" t="s">
        <v>9823</v>
      </c>
      <c r="D9796" s="1"/>
      <c r="E9796" s="1"/>
      <c r="F9796" s="1" t="str">
        <f>IFERROR(__xludf.DUMMYFUNCTION("GOOGLETRANSLATE(B9796, ""en"", ""fa"")
"),"موفقیت Etsy")</f>
        <v>موفقیت Etsy</v>
      </c>
      <c r="G9796" s="1" t="str">
        <f>IFERROR(__xludf.DUMMYFUNCTION("GOOGLETRANSLATE(C9796, ""en"", ""fa"")
"),"استراتژی‌های استفاده از بازخورد و نظرات مشتریان در Etsy برای شناسایی فرصت‌های بهبود و نوآوری محصول چیست؟")</f>
        <v>استراتژی‌های استفاده از بازخورد و نظرات مشتریان در Etsy برای شناسایی فرصت‌های بهبود و نوآوری محصول چیست؟</v>
      </c>
      <c r="H9796" s="1"/>
      <c r="I9796" s="1"/>
      <c r="J9796" s="1"/>
      <c r="K9796" s="1"/>
      <c r="L9796" s="1"/>
      <c r="M9796" s="1"/>
      <c r="N9796" s="1"/>
      <c r="O9796" s="1"/>
      <c r="P9796" s="1"/>
      <c r="Q9796" s="1"/>
      <c r="R9796" s="1"/>
      <c r="S9796" s="1"/>
      <c r="T9796" s="1"/>
      <c r="U9796" s="1"/>
      <c r="V9796" s="1"/>
      <c r="W9796" s="1"/>
      <c r="X9796" s="1"/>
      <c r="Y9796" s="1"/>
      <c r="Z9796" s="1"/>
      <c r="AA9796" s="1"/>
      <c r="AB9796" s="1"/>
    </row>
    <row r="9797" ht="50.25" customHeight="1">
      <c r="A9797" s="12">
        <v>9793.0</v>
      </c>
      <c r="B9797" s="13" t="s">
        <v>9604</v>
      </c>
      <c r="C9797" s="14" t="s">
        <v>9824</v>
      </c>
      <c r="D9797" s="1"/>
      <c r="E9797" s="1"/>
      <c r="F9797" s="1" t="str">
        <f>IFERROR(__xludf.DUMMYFUNCTION("GOOGLETRANSLATE(B9797, ""en"", ""fa"")
"),"موفقیت Etsy")</f>
        <v>موفقیت Etsy</v>
      </c>
      <c r="G9797" s="1" t="str">
        <f>IFERROR(__xludf.DUMMYFUNCTION("GOOGLETRANSLATE(C9797, ""en"", ""fa"")
"),"چگونه می توانم پرسونای مشتری ایجاد کنم که سطوح مختلف وفاداری و تمایل به برند را در بازار هدف من در Etsy بررسی کند؟")</f>
        <v>چگونه می توانم پرسونای مشتری ایجاد کنم که سطوح مختلف وفاداری و تمایل به برند را در بازار هدف من در Etsy بررسی کند؟</v>
      </c>
      <c r="H9797" s="1"/>
      <c r="I9797" s="1"/>
      <c r="J9797" s="1"/>
      <c r="K9797" s="1"/>
      <c r="L9797" s="1"/>
      <c r="M9797" s="1"/>
      <c r="N9797" s="1"/>
      <c r="O9797" s="1"/>
      <c r="P9797" s="1"/>
      <c r="Q9797" s="1"/>
      <c r="R9797" s="1"/>
      <c r="S9797" s="1"/>
      <c r="T9797" s="1"/>
      <c r="U9797" s="1"/>
      <c r="V9797" s="1"/>
      <c r="W9797" s="1"/>
      <c r="X9797" s="1"/>
      <c r="Y9797" s="1"/>
      <c r="Z9797" s="1"/>
      <c r="AA9797" s="1"/>
      <c r="AB9797" s="1"/>
    </row>
    <row r="9798" ht="50.25" customHeight="1">
      <c r="A9798" s="12">
        <v>9794.0</v>
      </c>
      <c r="B9798" s="13" t="s">
        <v>9604</v>
      </c>
      <c r="C9798" s="14" t="s">
        <v>9825</v>
      </c>
      <c r="D9798" s="1"/>
      <c r="E9798" s="1"/>
      <c r="F9798" s="1" t="str">
        <f>IFERROR(__xludf.DUMMYFUNCTION("GOOGLETRANSLATE(B9798, ""en"", ""fa"")
"),"موفقیت Etsy")</f>
        <v>موفقیت Etsy</v>
      </c>
      <c r="G9798" s="1" t="str">
        <f>IFERROR(__xludf.DUMMYFUNCTION("GOOGLETRANSLATE(C9798, ""en"", ""fa"")
"),"چگونه می توانم نیازها و نگرانی های اطلاعاتی خاص بازار هدف خود را در مراحل مختلف سفر خرید Etsy شناسایی و برطرف کنم؟")</f>
        <v>چگونه می توانم نیازها و نگرانی های اطلاعاتی خاص بازار هدف خود را در مراحل مختلف سفر خرید Etsy شناسایی و برطرف کنم؟</v>
      </c>
      <c r="H9798" s="1"/>
      <c r="I9798" s="1"/>
      <c r="J9798" s="1"/>
      <c r="K9798" s="1"/>
      <c r="L9798" s="1"/>
      <c r="M9798" s="1"/>
      <c r="N9798" s="1"/>
      <c r="O9798" s="1"/>
      <c r="P9798" s="1"/>
      <c r="Q9798" s="1"/>
      <c r="R9798" s="1"/>
      <c r="S9798" s="1"/>
      <c r="T9798" s="1"/>
      <c r="U9798" s="1"/>
      <c r="V9798" s="1"/>
      <c r="W9798" s="1"/>
      <c r="X9798" s="1"/>
      <c r="Y9798" s="1"/>
      <c r="Z9798" s="1"/>
      <c r="AA9798" s="1"/>
      <c r="AB9798" s="1"/>
    </row>
    <row r="9799" ht="50.25" customHeight="1">
      <c r="A9799" s="12">
        <v>9795.0</v>
      </c>
      <c r="B9799" s="13" t="s">
        <v>9604</v>
      </c>
      <c r="C9799" s="14" t="s">
        <v>9826</v>
      </c>
      <c r="D9799" s="1"/>
      <c r="E9799" s="1"/>
      <c r="F9799" s="1" t="str">
        <f>IFERROR(__xludf.DUMMYFUNCTION("GOOGLETRANSLATE(B9799, ""en"", ""fa"")
"),"موفقیت Etsy")</f>
        <v>موفقیت Etsy</v>
      </c>
      <c r="G9799" s="1" t="str">
        <f>IFERROR(__xludf.DUMMYFUNCTION("GOOGLETRANSLATE(C9799, ""en"", ""fa"")
"),"استراتژی‌های استفاده از تقسیم‌بندی مشتری و شخصیت‌ها برای شخصی‌سازی پیام‌ها، محتوا و توصیه‌های محصول فروشگاه Etsy چیست؟")</f>
        <v>استراتژی‌های استفاده از تقسیم‌بندی مشتری و شخصیت‌ها برای شخصی‌سازی پیام‌ها، محتوا و توصیه‌های محصول فروشگاه Etsy چیست؟</v>
      </c>
      <c r="H9799" s="1"/>
      <c r="I9799" s="1"/>
      <c r="J9799" s="1"/>
      <c r="K9799" s="1"/>
      <c r="L9799" s="1"/>
      <c r="M9799" s="1"/>
      <c r="N9799" s="1"/>
      <c r="O9799" s="1"/>
      <c r="P9799" s="1"/>
      <c r="Q9799" s="1"/>
      <c r="R9799" s="1"/>
      <c r="S9799" s="1"/>
      <c r="T9799" s="1"/>
      <c r="U9799" s="1"/>
      <c r="V9799" s="1"/>
      <c r="W9799" s="1"/>
      <c r="X9799" s="1"/>
      <c r="Y9799" s="1"/>
      <c r="Z9799" s="1"/>
      <c r="AA9799" s="1"/>
      <c r="AB9799" s="1"/>
    </row>
    <row r="9800" ht="50.25" customHeight="1">
      <c r="A9800" s="12">
        <v>9796.0</v>
      </c>
      <c r="B9800" s="13" t="s">
        <v>9604</v>
      </c>
      <c r="C9800" s="14" t="s">
        <v>9827</v>
      </c>
      <c r="D9800" s="1"/>
      <c r="E9800" s="1"/>
      <c r="F9800" s="1" t="str">
        <f>IFERROR(__xludf.DUMMYFUNCTION("GOOGLETRANSLATE(B9800, ""en"", ""fa"")
"),"موفقیت Etsy")</f>
        <v>موفقیت Etsy</v>
      </c>
      <c r="G9800" s="1" t="str">
        <f>IFERROR(__xludf.DUMMYFUNCTION("GOOGLETRANSLATE(C9800, ""en"", ""fa"")
"),"چگونه می توانم استراتژی قیمت گذاری بهینه را برای محصولاتم در Etsy تعیین کنم؟")</f>
        <v>چگونه می توانم استراتژی قیمت گذاری بهینه را برای محصولاتم در Etsy تعیین کنم؟</v>
      </c>
      <c r="H9800" s="1"/>
      <c r="I9800" s="1"/>
      <c r="J9800" s="1"/>
      <c r="K9800" s="1"/>
      <c r="L9800" s="1"/>
      <c r="M9800" s="1"/>
      <c r="N9800" s="1"/>
      <c r="O9800" s="1"/>
      <c r="P9800" s="1"/>
      <c r="Q9800" s="1"/>
      <c r="R9800" s="1"/>
      <c r="S9800" s="1"/>
      <c r="T9800" s="1"/>
      <c r="U9800" s="1"/>
      <c r="V9800" s="1"/>
      <c r="W9800" s="1"/>
      <c r="X9800" s="1"/>
      <c r="Y9800" s="1"/>
      <c r="Z9800" s="1"/>
      <c r="AA9800" s="1"/>
      <c r="AB9800" s="1"/>
    </row>
    <row r="9801" ht="50.25" customHeight="1">
      <c r="A9801" s="12">
        <v>9797.0</v>
      </c>
      <c r="B9801" s="13" t="s">
        <v>9604</v>
      </c>
      <c r="C9801" s="14" t="s">
        <v>9828</v>
      </c>
      <c r="D9801" s="1"/>
      <c r="E9801" s="1"/>
      <c r="F9801" s="1" t="str">
        <f>IFERROR(__xludf.DUMMYFUNCTION("GOOGLETRANSLATE(B9801, ""en"", ""fa"")
"),"موفقیت Etsy")</f>
        <v>موفقیت Etsy</v>
      </c>
      <c r="G9801" s="1" t="str">
        <f>IFERROR(__xludf.DUMMYFUNCTION("GOOGLETRANSLATE(C9801, ""en"", ""fa"")
"),"فاکتورهای کلیدی که باید هنگام تعیین قیمت محصولات Etsy من در نظر بگیریم چیست؟")</f>
        <v>فاکتورهای کلیدی که باید هنگام تعیین قیمت محصولات Etsy من در نظر بگیریم چیست؟</v>
      </c>
      <c r="H9801" s="1"/>
      <c r="I9801" s="1"/>
      <c r="J9801" s="1"/>
      <c r="K9801" s="1"/>
      <c r="L9801" s="1"/>
      <c r="M9801" s="1"/>
      <c r="N9801" s="1"/>
      <c r="O9801" s="1"/>
      <c r="P9801" s="1"/>
      <c r="Q9801" s="1"/>
      <c r="R9801" s="1"/>
      <c r="S9801" s="1"/>
      <c r="T9801" s="1"/>
      <c r="U9801" s="1"/>
      <c r="V9801" s="1"/>
      <c r="W9801" s="1"/>
      <c r="X9801" s="1"/>
      <c r="Y9801" s="1"/>
      <c r="Z9801" s="1"/>
      <c r="AA9801" s="1"/>
      <c r="AB9801" s="1"/>
    </row>
    <row r="9802" ht="50.25" customHeight="1">
      <c r="A9802" s="12">
        <v>9798.0</v>
      </c>
      <c r="B9802" s="13" t="s">
        <v>9604</v>
      </c>
      <c r="C9802" s="14" t="s">
        <v>9829</v>
      </c>
      <c r="D9802" s="1"/>
      <c r="E9802" s="1"/>
      <c r="F9802" s="1" t="str">
        <f>IFERROR(__xludf.DUMMYFUNCTION("GOOGLETRANSLATE(B9802, ""en"", ""fa"")
"),"موفقیت Etsy")</f>
        <v>موفقیت Etsy</v>
      </c>
      <c r="G9802" s="1" t="str">
        <f>IFERROR(__xludf.DUMMYFUNCTION("GOOGLETRANSLATE(C9802, ""en"", ""fa"")
"),"چگونه می توانم هزینه های تولید محصول خود را محاسبه کنم و آنها را در استراتژی قیمت گذاری خود در Etsy لحاظ کنم؟")</f>
        <v>چگونه می توانم هزینه های تولید محصول خود را محاسبه کنم و آنها را در استراتژی قیمت گذاری خود در Etsy لحاظ کنم؟</v>
      </c>
      <c r="H9802" s="1"/>
      <c r="I9802" s="1"/>
      <c r="J9802" s="1"/>
      <c r="K9802" s="1"/>
      <c r="L9802" s="1"/>
      <c r="M9802" s="1"/>
      <c r="N9802" s="1"/>
      <c r="O9802" s="1"/>
      <c r="P9802" s="1"/>
      <c r="Q9802" s="1"/>
      <c r="R9802" s="1"/>
      <c r="S9802" s="1"/>
      <c r="T9802" s="1"/>
      <c r="U9802" s="1"/>
      <c r="V9802" s="1"/>
      <c r="W9802" s="1"/>
      <c r="X9802" s="1"/>
      <c r="Y9802" s="1"/>
      <c r="Z9802" s="1"/>
      <c r="AA9802" s="1"/>
      <c r="AB9802" s="1"/>
    </row>
    <row r="9803" ht="50.25" customHeight="1">
      <c r="A9803" s="12">
        <v>9799.0</v>
      </c>
      <c r="B9803" s="13" t="s">
        <v>9604</v>
      </c>
      <c r="C9803" s="14" t="s">
        <v>9830</v>
      </c>
      <c r="D9803" s="1"/>
      <c r="E9803" s="1"/>
      <c r="F9803" s="1" t="str">
        <f>IFERROR(__xludf.DUMMYFUNCTION("GOOGLETRANSLATE(B9803, ""en"", ""fa"")
"),"موفقیت Etsy")</f>
        <v>موفقیت Etsy</v>
      </c>
      <c r="G9803" s="1" t="str">
        <f>IFERROR(__xludf.DUMMYFUNCTION("GOOGLETRANSLATE(C9803, ""en"", ""fa"")
"),"استراتژی‌های انجام تحقیقات بازار برای درک محدوده قیمت و چشم‌انداز رقابتی در جایگاه من در Etsy چیست؟")</f>
        <v>استراتژی‌های انجام تحقیقات بازار برای درک محدوده قیمت و چشم‌انداز رقابتی در جایگاه من در Etsy چیست؟</v>
      </c>
      <c r="H9803" s="1"/>
      <c r="I9803" s="1"/>
      <c r="J9803" s="1"/>
      <c r="K9803" s="1"/>
      <c r="L9803" s="1"/>
      <c r="M9803" s="1"/>
      <c r="N9803" s="1"/>
      <c r="O9803" s="1"/>
      <c r="P9803" s="1"/>
      <c r="Q9803" s="1"/>
      <c r="R9803" s="1"/>
      <c r="S9803" s="1"/>
      <c r="T9803" s="1"/>
      <c r="U9803" s="1"/>
      <c r="V9803" s="1"/>
      <c r="W9803" s="1"/>
      <c r="X9803" s="1"/>
      <c r="Y9803" s="1"/>
      <c r="Z9803" s="1"/>
      <c r="AA9803" s="1"/>
      <c r="AB9803" s="1"/>
    </row>
    <row r="9804" ht="50.25" customHeight="1">
      <c r="A9804" s="12">
        <v>9800.0</v>
      </c>
      <c r="B9804" s="13" t="s">
        <v>9604</v>
      </c>
      <c r="C9804" s="14" t="s">
        <v>9831</v>
      </c>
      <c r="D9804" s="1"/>
      <c r="E9804" s="1"/>
      <c r="F9804" s="1" t="str">
        <f>IFERROR(__xludf.DUMMYFUNCTION("GOOGLETRANSLATE(B9804, ""en"", ""fa"")
"),"موفقیت Etsy")</f>
        <v>موفقیت Etsy</v>
      </c>
      <c r="G9804" s="1" t="str">
        <f>IFERROR(__xludf.DUMMYFUNCTION("GOOGLETRANSLATE(C9804, ""en"", ""fa"")
"),"چگونه می توانم حساسیت قیمت بازار هدف و تمایل به پرداخت برای محصولات مشابه من در Etsy را تجزیه و تحلیل کنم؟")</f>
        <v>چگونه می توانم حساسیت قیمت بازار هدف و تمایل به پرداخت برای محصولات مشابه من در Etsy را تجزیه و تحلیل کنم؟</v>
      </c>
      <c r="H9804" s="1"/>
      <c r="I9804" s="1"/>
      <c r="J9804" s="1"/>
      <c r="K9804" s="1"/>
      <c r="L9804" s="1"/>
      <c r="M9804" s="1"/>
      <c r="N9804" s="1"/>
      <c r="O9804" s="1"/>
      <c r="P9804" s="1"/>
      <c r="Q9804" s="1"/>
      <c r="R9804" s="1"/>
      <c r="S9804" s="1"/>
      <c r="T9804" s="1"/>
      <c r="U9804" s="1"/>
      <c r="V9804" s="1"/>
      <c r="W9804" s="1"/>
      <c r="X9804" s="1"/>
      <c r="Y9804" s="1"/>
      <c r="Z9804" s="1"/>
      <c r="AA9804" s="1"/>
      <c r="AB9804" s="1"/>
    </row>
    <row r="9805" ht="50.25" customHeight="1">
      <c r="A9805" s="12">
        <v>9801.0</v>
      </c>
      <c r="B9805" s="13" t="s">
        <v>9604</v>
      </c>
      <c r="C9805" s="14" t="s">
        <v>9832</v>
      </c>
      <c r="D9805" s="1"/>
      <c r="E9805" s="1"/>
      <c r="F9805" s="1" t="str">
        <f>IFERROR(__xludf.DUMMYFUNCTION("GOOGLETRANSLATE(B9805, ""en"", ""fa"")
"),"موفقیت Etsy")</f>
        <v>موفقیت Etsy</v>
      </c>
      <c r="G9805" s="1" t="str">
        <f>IFERROR(__xludf.DUMMYFUNCTION("GOOGLETRANSLATE(C9805, ""en"", ""fa"")
"),"بهترین روش ها برای تعیین قیمت هایی که منعکس کننده ارزش و کیفیت محصولات من در Etsy هستند چیست؟")</f>
        <v>بهترین روش ها برای تعیین قیمت هایی که منعکس کننده ارزش و کیفیت محصولات من در Etsy هستند چیست؟</v>
      </c>
      <c r="H9805" s="1"/>
      <c r="I9805" s="1"/>
      <c r="J9805" s="1"/>
      <c r="K9805" s="1"/>
      <c r="L9805" s="1"/>
      <c r="M9805" s="1"/>
      <c r="N9805" s="1"/>
      <c r="O9805" s="1"/>
      <c r="P9805" s="1"/>
      <c r="Q9805" s="1"/>
      <c r="R9805" s="1"/>
      <c r="S9805" s="1"/>
      <c r="T9805" s="1"/>
      <c r="U9805" s="1"/>
      <c r="V9805" s="1"/>
      <c r="W9805" s="1"/>
      <c r="X9805" s="1"/>
      <c r="Y9805" s="1"/>
      <c r="Z9805" s="1"/>
      <c r="AA9805" s="1"/>
      <c r="AB9805" s="1"/>
    </row>
    <row r="9806" ht="50.25" customHeight="1">
      <c r="A9806" s="12">
        <v>9802.0</v>
      </c>
      <c r="B9806" s="13" t="s">
        <v>9604</v>
      </c>
      <c r="C9806" s="14" t="s">
        <v>9833</v>
      </c>
      <c r="D9806" s="1"/>
      <c r="E9806" s="1"/>
      <c r="F9806" s="1" t="str">
        <f>IFERROR(__xludf.DUMMYFUNCTION("GOOGLETRANSLATE(B9806, ""en"", ""fa"")
"),"موفقیت Etsy")</f>
        <v>موفقیت Etsy</v>
      </c>
      <c r="G9806" s="1" t="str">
        <f>IFERROR(__xludf.DUMMYFUNCTION("GOOGLETRANSLATE(C9806, ""en"", ""fa"")
"),"چگونه می توانم حاشیه سودی را محاسبه و لحاظ کنم که پایداری و رشد کسب و کار Etsy من را تضمین می کند؟")</f>
        <v>چگونه می توانم حاشیه سودی را محاسبه و لحاظ کنم که پایداری و رشد کسب و کار Etsy من را تضمین می کند؟</v>
      </c>
      <c r="H9806" s="1"/>
      <c r="I9806" s="1"/>
      <c r="J9806" s="1"/>
      <c r="K9806" s="1"/>
      <c r="L9806" s="1"/>
      <c r="M9806" s="1"/>
      <c r="N9806" s="1"/>
      <c r="O9806" s="1"/>
      <c r="P9806" s="1"/>
      <c r="Q9806" s="1"/>
      <c r="R9806" s="1"/>
      <c r="S9806" s="1"/>
      <c r="T9806" s="1"/>
      <c r="U9806" s="1"/>
      <c r="V9806" s="1"/>
      <c r="W9806" s="1"/>
      <c r="X9806" s="1"/>
      <c r="Y9806" s="1"/>
      <c r="Z9806" s="1"/>
      <c r="AA9806" s="1"/>
      <c r="AB9806" s="1"/>
    </row>
    <row r="9807" ht="50.25" customHeight="1">
      <c r="A9807" s="12">
        <v>9803.0</v>
      </c>
      <c r="B9807" s="13" t="s">
        <v>9604</v>
      </c>
      <c r="C9807" s="14" t="s">
        <v>9834</v>
      </c>
      <c r="D9807" s="1"/>
      <c r="E9807" s="1"/>
      <c r="F9807" s="1" t="str">
        <f>IFERROR(__xludf.DUMMYFUNCTION("GOOGLETRANSLATE(B9807, ""en"", ""fa"")
"),"موفقیت Etsy")</f>
        <v>موفقیت Etsy</v>
      </c>
      <c r="G9807" s="1" t="str">
        <f>IFERROR(__xludf.DUMMYFUNCTION("GOOGLETRANSLATE(C9807, ""en"", ""fa"")
"),"استراتژی‌هایی برای تعدیل قیمت‌ها بر اساس فصلی، روندها یا نوسانات تقاضا در Etsy چیست؟")</f>
        <v>استراتژی‌هایی برای تعدیل قیمت‌ها بر اساس فصلی، روندها یا نوسانات تقاضا در Etsy چیست؟</v>
      </c>
      <c r="H9807" s="1"/>
      <c r="I9807" s="1"/>
      <c r="J9807" s="1"/>
      <c r="K9807" s="1"/>
      <c r="L9807" s="1"/>
      <c r="M9807" s="1"/>
      <c r="N9807" s="1"/>
      <c r="O9807" s="1"/>
      <c r="P9807" s="1"/>
      <c r="Q9807" s="1"/>
      <c r="R9807" s="1"/>
      <c r="S9807" s="1"/>
      <c r="T9807" s="1"/>
      <c r="U9807" s="1"/>
      <c r="V9807" s="1"/>
      <c r="W9807" s="1"/>
      <c r="X9807" s="1"/>
      <c r="Y9807" s="1"/>
      <c r="Z9807" s="1"/>
      <c r="AA9807" s="1"/>
      <c r="AB9807" s="1"/>
    </row>
    <row r="9808" ht="50.25" customHeight="1">
      <c r="A9808" s="12">
        <v>9804.0</v>
      </c>
      <c r="B9808" s="13" t="s">
        <v>9604</v>
      </c>
      <c r="C9808" s="14" t="s">
        <v>9835</v>
      </c>
      <c r="D9808" s="1"/>
      <c r="E9808" s="1"/>
      <c r="F9808" s="1" t="str">
        <f>IFERROR(__xludf.DUMMYFUNCTION("GOOGLETRANSLATE(B9808, ""en"", ""fa"")
"),"موفقیت Etsy")</f>
        <v>موفقیت Etsy</v>
      </c>
      <c r="G9808" s="1" t="str">
        <f>IFERROR(__xludf.DUMMYFUNCTION("GOOGLETRANSLATE(C9808, ""en"", ""fa"")
"),"چگونه می توانم از تکنیک های روانشناسی قیمت گذاری برای تأثیرگذاری بر ادراک مشتری و افزایش فروش در Etsy استفاده کنم؟")</f>
        <v>چگونه می توانم از تکنیک های روانشناسی قیمت گذاری برای تأثیرگذاری بر ادراک مشتری و افزایش فروش در Etsy استفاده کنم؟</v>
      </c>
      <c r="H9808" s="1"/>
      <c r="I9808" s="1"/>
      <c r="J9808" s="1"/>
      <c r="K9808" s="1"/>
      <c r="L9808" s="1"/>
      <c r="M9808" s="1"/>
      <c r="N9808" s="1"/>
      <c r="O9808" s="1"/>
      <c r="P9808" s="1"/>
      <c r="Q9808" s="1"/>
      <c r="R9808" s="1"/>
      <c r="S9808" s="1"/>
      <c r="T9808" s="1"/>
      <c r="U9808" s="1"/>
      <c r="V9808" s="1"/>
      <c r="W9808" s="1"/>
      <c r="X9808" s="1"/>
      <c r="Y9808" s="1"/>
      <c r="Z9808" s="1"/>
      <c r="AA9808" s="1"/>
      <c r="AB9808" s="1"/>
    </row>
    <row r="9809" ht="50.25" customHeight="1">
      <c r="A9809" s="12">
        <v>9805.0</v>
      </c>
      <c r="B9809" s="13" t="s">
        <v>9604</v>
      </c>
      <c r="C9809" s="14" t="s">
        <v>9836</v>
      </c>
      <c r="D9809" s="1"/>
      <c r="E9809" s="1"/>
      <c r="F9809" s="1" t="str">
        <f>IFERROR(__xludf.DUMMYFUNCTION("GOOGLETRANSLATE(B9809, ""en"", ""fa"")
"),"موفقیت Etsy")</f>
        <v>موفقیت Etsy</v>
      </c>
      <c r="G9809" s="1" t="str">
        <f>IFERROR(__xludf.DUMMYFUNCTION("GOOGLETRANSLATE(C9809, ""en"", ""fa"")
"),"ملاحظات برای تغییرات قیمت، مانند ارائه اندازه‌ها، گزینه‌ها یا بسته‌های مختلف در Etsy چیست؟")</f>
        <v>ملاحظات برای تغییرات قیمت، مانند ارائه اندازه‌ها، گزینه‌ها یا بسته‌های مختلف در Etsy چیست؟</v>
      </c>
      <c r="H9809" s="1"/>
      <c r="I9809" s="1"/>
      <c r="J9809" s="1"/>
      <c r="K9809" s="1"/>
      <c r="L9809" s="1"/>
      <c r="M9809" s="1"/>
      <c r="N9809" s="1"/>
      <c r="O9809" s="1"/>
      <c r="P9809" s="1"/>
      <c r="Q9809" s="1"/>
      <c r="R9809" s="1"/>
      <c r="S9809" s="1"/>
      <c r="T9809" s="1"/>
      <c r="U9809" s="1"/>
      <c r="V9809" s="1"/>
      <c r="W9809" s="1"/>
      <c r="X9809" s="1"/>
      <c r="Y9809" s="1"/>
      <c r="Z9809" s="1"/>
      <c r="AA9809" s="1"/>
      <c r="AB9809" s="1"/>
    </row>
    <row r="9810" ht="50.25" customHeight="1">
      <c r="A9810" s="12">
        <v>9806.0</v>
      </c>
      <c r="B9810" s="13" t="s">
        <v>9604</v>
      </c>
      <c r="C9810" s="14" t="s">
        <v>9837</v>
      </c>
      <c r="D9810" s="1"/>
      <c r="E9810" s="1"/>
      <c r="F9810" s="1" t="str">
        <f>IFERROR(__xludf.DUMMYFUNCTION("GOOGLETRANSLATE(B9810, ""en"", ""fa"")
"),"موفقیت Etsy")</f>
        <v>موفقیت Etsy</v>
      </c>
      <c r="G9810" s="1" t="str">
        <f>IFERROR(__xludf.DUMMYFUNCTION("GOOGLETRANSLATE(C9810, ""en"", ""fa"")
"),"چگونه می‌توانم استراتژی‌های قیمت‌گذاری پویا، مانند تخفیف‌ها، تبلیغات، یا فروش‌های فلش را برای ایجاد تبدیل و جذب مشتری در Etsy پیاده‌سازی کنم؟")</f>
        <v>چگونه می‌توانم استراتژی‌های قیمت‌گذاری پویا، مانند تخفیف‌ها، تبلیغات، یا فروش‌های فلش را برای ایجاد تبدیل و جذب مشتری در Etsy پیاده‌سازی کنم؟</v>
      </c>
      <c r="H9810" s="1"/>
      <c r="I9810" s="1"/>
      <c r="J9810" s="1"/>
      <c r="K9810" s="1"/>
      <c r="L9810" s="1"/>
      <c r="M9810" s="1"/>
      <c r="N9810" s="1"/>
      <c r="O9810" s="1"/>
      <c r="P9810" s="1"/>
      <c r="Q9810" s="1"/>
      <c r="R9810" s="1"/>
      <c r="S9810" s="1"/>
      <c r="T9810" s="1"/>
      <c r="U9810" s="1"/>
      <c r="V9810" s="1"/>
      <c r="W9810" s="1"/>
      <c r="X9810" s="1"/>
      <c r="Y9810" s="1"/>
      <c r="Z9810" s="1"/>
      <c r="AA9810" s="1"/>
      <c r="AB9810" s="1"/>
    </row>
    <row r="9811" ht="50.25" customHeight="1">
      <c r="A9811" s="12">
        <v>9807.0</v>
      </c>
      <c r="B9811" s="13" t="s">
        <v>9604</v>
      </c>
      <c r="C9811" s="14" t="s">
        <v>9838</v>
      </c>
      <c r="D9811" s="1"/>
      <c r="E9811" s="1"/>
      <c r="F9811" s="1" t="str">
        <f>IFERROR(__xludf.DUMMYFUNCTION("GOOGLETRANSLATE(B9811, ""en"", ""fa"")
"),"موفقیت Etsy")</f>
        <v>موفقیت Etsy</v>
      </c>
      <c r="G9811" s="1" t="str">
        <f>IFERROR(__xludf.DUMMYFUNCTION("GOOGLETRANSLATE(C9811, ""en"", ""fa"")
"),"راهبردهای ارتباط با ارزش و نقاط فروش منحصر به فرد محصولات من برای توجیه قیمت های بالاتر در Etsy چیست؟")</f>
        <v>راهبردهای ارتباط با ارزش و نقاط فروش منحصر به فرد محصولات من برای توجیه قیمت های بالاتر در Etsy چیست؟</v>
      </c>
      <c r="H9811" s="1"/>
      <c r="I9811" s="1"/>
      <c r="J9811" s="1"/>
      <c r="K9811" s="1"/>
      <c r="L9811" s="1"/>
      <c r="M9811" s="1"/>
      <c r="N9811" s="1"/>
      <c r="O9811" s="1"/>
      <c r="P9811" s="1"/>
      <c r="Q9811" s="1"/>
      <c r="R9811" s="1"/>
      <c r="S9811" s="1"/>
      <c r="T9811" s="1"/>
      <c r="U9811" s="1"/>
      <c r="V9811" s="1"/>
      <c r="W9811" s="1"/>
      <c r="X9811" s="1"/>
      <c r="Y9811" s="1"/>
      <c r="Z9811" s="1"/>
      <c r="AA9811" s="1"/>
      <c r="AB9811" s="1"/>
    </row>
    <row r="9812" ht="50.25" customHeight="1">
      <c r="A9812" s="12">
        <v>9808.0</v>
      </c>
      <c r="B9812" s="13" t="s">
        <v>9604</v>
      </c>
      <c r="C9812" s="14" t="s">
        <v>9839</v>
      </c>
      <c r="D9812" s="1"/>
      <c r="E9812" s="1"/>
      <c r="F9812" s="1" t="str">
        <f>IFERROR(__xludf.DUMMYFUNCTION("GOOGLETRANSLATE(B9812, ""en"", ""fa"")
"),"موفقیت Etsy")</f>
        <v>موفقیت Etsy</v>
      </c>
      <c r="G9812" s="1" t="str">
        <f>IFERROR(__xludf.DUMMYFUNCTION("GOOGLETRANSLATE(C9812, ""en"", ""fa"")
"),"چگونه می توانم داده های قیمت گذاری و تجزیه و تحلیل های Etsy را تجزیه و تحلیل و تفسیر کنم تا تصمیمات قیمت گذاری آگاهانه بگیرم؟")</f>
        <v>چگونه می توانم داده های قیمت گذاری و تجزیه و تحلیل های Etsy را تجزیه و تحلیل و تفسیر کنم تا تصمیمات قیمت گذاری آگاهانه بگیرم؟</v>
      </c>
      <c r="H9812" s="1"/>
      <c r="I9812" s="1"/>
      <c r="J9812" s="1"/>
      <c r="K9812" s="1"/>
      <c r="L9812" s="1"/>
      <c r="M9812" s="1"/>
      <c r="N9812" s="1"/>
      <c r="O9812" s="1"/>
      <c r="P9812" s="1"/>
      <c r="Q9812" s="1"/>
      <c r="R9812" s="1"/>
      <c r="S9812" s="1"/>
      <c r="T9812" s="1"/>
      <c r="U9812" s="1"/>
      <c r="V9812" s="1"/>
      <c r="W9812" s="1"/>
      <c r="X9812" s="1"/>
      <c r="Y9812" s="1"/>
      <c r="Z9812" s="1"/>
      <c r="AA9812" s="1"/>
      <c r="AB9812" s="1"/>
    </row>
    <row r="9813" ht="50.25" customHeight="1">
      <c r="A9813" s="12">
        <v>9809.0</v>
      </c>
      <c r="B9813" s="13" t="s">
        <v>9604</v>
      </c>
      <c r="C9813" s="14" t="s">
        <v>9840</v>
      </c>
      <c r="D9813" s="1"/>
      <c r="E9813" s="1"/>
      <c r="F9813" s="1" t="str">
        <f>IFERROR(__xludf.DUMMYFUNCTION("GOOGLETRANSLATE(B9813, ""en"", ""fa"")
"),"موفقیت Etsy")</f>
        <v>موفقیت Etsy</v>
      </c>
      <c r="G9813" s="1" t="str">
        <f>IFERROR(__xludf.DUMMYFUNCTION("GOOGLETRANSLATE(C9813, ""en"", ""fa"")
"),"چگونه می توانم قیمت هایی را تعیین کنم که مزیت رقابتی ایجاد کند و در عین حال سودآوری را در Etsy حفظ کند؟")</f>
        <v>چگونه می توانم قیمت هایی را تعیین کنم که مزیت رقابتی ایجاد کند و در عین حال سودآوری را در Etsy حفظ کند؟</v>
      </c>
      <c r="H9813" s="1"/>
      <c r="I9813" s="1"/>
      <c r="J9813" s="1"/>
      <c r="K9813" s="1"/>
      <c r="L9813" s="1"/>
      <c r="M9813" s="1"/>
      <c r="N9813" s="1"/>
      <c r="O9813" s="1"/>
      <c r="P9813" s="1"/>
      <c r="Q9813" s="1"/>
      <c r="R9813" s="1"/>
      <c r="S9813" s="1"/>
      <c r="T9813" s="1"/>
      <c r="U9813" s="1"/>
      <c r="V9813" s="1"/>
      <c r="W9813" s="1"/>
      <c r="X9813" s="1"/>
      <c r="Y9813" s="1"/>
      <c r="Z9813" s="1"/>
      <c r="AA9813" s="1"/>
      <c r="AB9813" s="1"/>
    </row>
    <row r="9814" ht="50.25" customHeight="1">
      <c r="A9814" s="12">
        <v>9810.0</v>
      </c>
      <c r="B9814" s="13" t="s">
        <v>9604</v>
      </c>
      <c r="C9814" s="14" t="s">
        <v>9841</v>
      </c>
      <c r="D9814" s="1"/>
      <c r="E9814" s="1"/>
      <c r="F9814" s="1" t="str">
        <f>IFERROR(__xludf.DUMMYFUNCTION("GOOGLETRANSLATE(B9814, ""en"", ""fa"")
"),"موفقیت Etsy")</f>
        <v>موفقیت Etsy</v>
      </c>
      <c r="G9814" s="1" t="str">
        <f>IFERROR(__xludf.DUMMYFUNCTION("GOOGLETRANSLATE(C9814, ""en"", ""fa"")
"),"استراتژی‌های ارائه سطوح یا بسته‌های قیمت‌گذاری مختلف برای پاسخگویی به بخش‌های مختلف مشتریان در Etsy چیست؟")</f>
        <v>استراتژی‌های ارائه سطوح یا بسته‌های قیمت‌گذاری مختلف برای پاسخگویی به بخش‌های مختلف مشتریان در Etsy چیست؟</v>
      </c>
      <c r="H9814" s="1"/>
      <c r="I9814" s="1"/>
      <c r="J9814" s="1"/>
      <c r="K9814" s="1"/>
      <c r="L9814" s="1"/>
      <c r="M9814" s="1"/>
      <c r="N9814" s="1"/>
      <c r="O9814" s="1"/>
      <c r="P9814" s="1"/>
      <c r="Q9814" s="1"/>
      <c r="R9814" s="1"/>
      <c r="S9814" s="1"/>
      <c r="T9814" s="1"/>
      <c r="U9814" s="1"/>
      <c r="V9814" s="1"/>
      <c r="W9814" s="1"/>
      <c r="X9814" s="1"/>
      <c r="Y9814" s="1"/>
      <c r="Z9814" s="1"/>
      <c r="AA9814" s="1"/>
      <c r="AB9814" s="1"/>
    </row>
    <row r="9815" ht="50.25" customHeight="1">
      <c r="A9815" s="12">
        <v>9811.0</v>
      </c>
      <c r="B9815" s="13" t="s">
        <v>9604</v>
      </c>
      <c r="C9815" s="14" t="s">
        <v>9842</v>
      </c>
      <c r="D9815" s="1"/>
      <c r="E9815" s="1"/>
      <c r="F9815" s="1" t="str">
        <f>IFERROR(__xludf.DUMMYFUNCTION("GOOGLETRANSLATE(B9815, ""en"", ""fa"")
"),"موفقیت Etsy")</f>
        <v>موفقیت Etsy</v>
      </c>
      <c r="G9815" s="1" t="str">
        <f>IFERROR(__xludf.DUMMYFUNCTION("GOOGLETRANSLATE(C9815, ""en"", ""fa"")
"),"چگونه می توانم هزینه های سربار مانند بسته بندی، حمل و نقل و هزینه های Etsy را هنگام تعیین قیمت محصول محاسبه و حساب کنم؟")</f>
        <v>چگونه می توانم هزینه های سربار مانند بسته بندی، حمل و نقل و هزینه های Etsy را هنگام تعیین قیمت محصول محاسبه و حساب کنم؟</v>
      </c>
      <c r="H9815" s="1"/>
      <c r="I9815" s="1"/>
      <c r="J9815" s="1"/>
      <c r="K9815" s="1"/>
      <c r="L9815" s="1"/>
      <c r="M9815" s="1"/>
      <c r="N9815" s="1"/>
      <c r="O9815" s="1"/>
      <c r="P9815" s="1"/>
      <c r="Q9815" s="1"/>
      <c r="R9815" s="1"/>
      <c r="S9815" s="1"/>
      <c r="T9815" s="1"/>
      <c r="U9815" s="1"/>
      <c r="V9815" s="1"/>
      <c r="W9815" s="1"/>
      <c r="X9815" s="1"/>
      <c r="Y9815" s="1"/>
      <c r="Z9815" s="1"/>
      <c r="AA9815" s="1"/>
      <c r="AB9815" s="1"/>
    </row>
    <row r="9816" ht="50.25" customHeight="1">
      <c r="A9816" s="12">
        <v>9812.0</v>
      </c>
      <c r="B9816" s="13" t="s">
        <v>9604</v>
      </c>
      <c r="C9816" s="14" t="s">
        <v>9843</v>
      </c>
      <c r="D9816" s="1"/>
      <c r="E9816" s="1"/>
      <c r="F9816" s="1" t="str">
        <f>IFERROR(__xludf.DUMMYFUNCTION("GOOGLETRANSLATE(B9816, ""en"", ""fa"")
"),"موفقیت Etsy")</f>
        <v>موفقیت Etsy</v>
      </c>
      <c r="G9816" s="1" t="str">
        <f>IFERROR(__xludf.DUMMYFUNCTION("GOOGLETRANSLATE(C9816, ""en"", ""fa"")
"),"چگونه می توانم تست A/B را برای ارزیابی تاثیر نقاط مختلف قیمت بر رفتار مشتری و عملکرد فروش در Etsy انجام دهم؟")</f>
        <v>چگونه می توانم تست A/B را برای ارزیابی تاثیر نقاط مختلف قیمت بر رفتار مشتری و عملکرد فروش در Etsy انجام دهم؟</v>
      </c>
      <c r="H9816" s="1"/>
      <c r="I9816" s="1"/>
      <c r="J9816" s="1"/>
      <c r="K9816" s="1"/>
      <c r="L9816" s="1"/>
      <c r="M9816" s="1"/>
      <c r="N9816" s="1"/>
      <c r="O9816" s="1"/>
      <c r="P9816" s="1"/>
      <c r="Q9816" s="1"/>
      <c r="R9816" s="1"/>
      <c r="S9816" s="1"/>
      <c r="T9816" s="1"/>
      <c r="U9816" s="1"/>
      <c r="V9816" s="1"/>
      <c r="W9816" s="1"/>
      <c r="X9816" s="1"/>
      <c r="Y9816" s="1"/>
      <c r="Z9816" s="1"/>
      <c r="AA9816" s="1"/>
      <c r="AB9816" s="1"/>
    </row>
    <row r="9817" ht="50.25" customHeight="1">
      <c r="A9817" s="12">
        <v>9813.0</v>
      </c>
      <c r="B9817" s="13" t="s">
        <v>9604</v>
      </c>
      <c r="C9817" s="14" t="s">
        <v>9844</v>
      </c>
      <c r="D9817" s="1"/>
      <c r="E9817" s="1"/>
      <c r="F9817" s="1" t="str">
        <f>IFERROR(__xludf.DUMMYFUNCTION("GOOGLETRANSLATE(B9817, ""en"", ""fa"")
"),"موفقیت Etsy")</f>
        <v>موفقیت Etsy</v>
      </c>
      <c r="G9817" s="1" t="str">
        <f>IFERROR(__xludf.DUMMYFUNCTION("GOOGLETRANSLATE(C9817, ""en"", ""fa"")
"),"راهبردهای اجرای تست کشش قیمت برای درک حساسیت قیمت بازار هدف من در Etsy چیست؟")</f>
        <v>راهبردهای اجرای تست کشش قیمت برای درک حساسیت قیمت بازار هدف من در Etsy چیست؟</v>
      </c>
      <c r="H9817" s="1"/>
      <c r="I9817" s="1"/>
      <c r="J9817" s="1"/>
      <c r="K9817" s="1"/>
      <c r="L9817" s="1"/>
      <c r="M9817" s="1"/>
      <c r="N9817" s="1"/>
      <c r="O9817" s="1"/>
      <c r="P9817" s="1"/>
      <c r="Q9817" s="1"/>
      <c r="R9817" s="1"/>
      <c r="S9817" s="1"/>
      <c r="T9817" s="1"/>
      <c r="U9817" s="1"/>
      <c r="V9817" s="1"/>
      <c r="W9817" s="1"/>
      <c r="X9817" s="1"/>
      <c r="Y9817" s="1"/>
      <c r="Z9817" s="1"/>
      <c r="AA9817" s="1"/>
      <c r="AB9817" s="1"/>
    </row>
    <row r="9818" ht="50.25" customHeight="1">
      <c r="A9818" s="12">
        <v>9814.0</v>
      </c>
      <c r="B9818" s="13" t="s">
        <v>9604</v>
      </c>
      <c r="C9818" s="14" t="s">
        <v>9845</v>
      </c>
      <c r="D9818" s="1"/>
      <c r="E9818" s="1"/>
      <c r="F9818" s="1" t="str">
        <f>IFERROR(__xludf.DUMMYFUNCTION("GOOGLETRANSLATE(B9818, ""en"", ""fa"")
"),"موفقیت Etsy")</f>
        <v>موفقیت Etsy</v>
      </c>
      <c r="G9818" s="1" t="str">
        <f>IFERROR(__xludf.DUMMYFUNCTION("GOOGLETRANSLATE(C9818, ""en"", ""fa"")
"),"چگونه می توانم قیمت های خود را بر اساس بازخورد مشتری، بررسی ها و روند بازار در Etsy نظارت و تنظیم کنم؟")</f>
        <v>چگونه می توانم قیمت های خود را بر اساس بازخورد مشتری، بررسی ها و روند بازار در Etsy نظارت و تنظیم کنم؟</v>
      </c>
      <c r="H9818" s="1"/>
      <c r="I9818" s="1"/>
      <c r="J9818" s="1"/>
      <c r="K9818" s="1"/>
      <c r="L9818" s="1"/>
      <c r="M9818" s="1"/>
      <c r="N9818" s="1"/>
      <c r="O9818" s="1"/>
      <c r="P9818" s="1"/>
      <c r="Q9818" s="1"/>
      <c r="R9818" s="1"/>
      <c r="S9818" s="1"/>
      <c r="T9818" s="1"/>
      <c r="U9818" s="1"/>
      <c r="V9818" s="1"/>
      <c r="W9818" s="1"/>
      <c r="X9818" s="1"/>
      <c r="Y9818" s="1"/>
      <c r="Z9818" s="1"/>
      <c r="AA9818" s="1"/>
      <c r="AB9818" s="1"/>
    </row>
    <row r="9819" ht="50.25" customHeight="1">
      <c r="A9819" s="12">
        <v>9815.0</v>
      </c>
      <c r="B9819" s="13" t="s">
        <v>9604</v>
      </c>
      <c r="C9819" s="14" t="s">
        <v>9846</v>
      </c>
      <c r="D9819" s="1"/>
      <c r="E9819" s="1"/>
      <c r="F9819" s="1" t="str">
        <f>IFERROR(__xludf.DUMMYFUNCTION("GOOGLETRANSLATE(B9819, ""en"", ""fa"")
"),"موفقیت Etsy")</f>
        <v>موفقیت Etsy</v>
      </c>
      <c r="G9819" s="1" t="str">
        <f>IFERROR(__xludf.DUMMYFUNCTION("GOOGLETRANSLATE(C9819, ""en"", ""fa"")
"),"هنگام فروش در Etsy چه ملاحظاتی برای قیمت گذاری بین المللی و تبدیل ارز وجود دارد؟")</f>
        <v>هنگام فروش در Etsy چه ملاحظاتی برای قیمت گذاری بین المللی و تبدیل ارز وجود دارد؟</v>
      </c>
      <c r="H9819" s="1"/>
      <c r="I9819" s="1"/>
      <c r="J9819" s="1"/>
      <c r="K9819" s="1"/>
      <c r="L9819" s="1"/>
      <c r="M9819" s="1"/>
      <c r="N9819" s="1"/>
      <c r="O9819" s="1"/>
      <c r="P9819" s="1"/>
      <c r="Q9819" s="1"/>
      <c r="R9819" s="1"/>
      <c r="S9819" s="1"/>
      <c r="T9819" s="1"/>
      <c r="U9819" s="1"/>
      <c r="V9819" s="1"/>
      <c r="W9819" s="1"/>
      <c r="X9819" s="1"/>
      <c r="Y9819" s="1"/>
      <c r="Z9819" s="1"/>
      <c r="AA9819" s="1"/>
      <c r="AB9819" s="1"/>
    </row>
    <row r="9820" ht="50.25" customHeight="1">
      <c r="A9820" s="12">
        <v>9816.0</v>
      </c>
      <c r="B9820" s="13" t="s">
        <v>9604</v>
      </c>
      <c r="C9820" s="14" t="s">
        <v>9847</v>
      </c>
      <c r="D9820" s="1"/>
      <c r="E9820" s="1"/>
      <c r="F9820" s="1" t="str">
        <f>IFERROR(__xludf.DUMMYFUNCTION("GOOGLETRANSLATE(B9820, ""en"", ""fa"")
"),"موفقیت Etsy")</f>
        <v>موفقیت Etsy</v>
      </c>
      <c r="G9820" s="1" t="str">
        <f>IFERROR(__xludf.DUMMYFUNCTION("GOOGLETRANSLATE(C9820, ""en"", ""fa"")
"),"چگونه می توانم استراتژی های قیمت گذاری مبتنی بر ارزش را اجرا کنم که با ویژگی ها و مزایای منحصر به فرد محصولات من در Etsy هماهنگ باشد؟")</f>
        <v>چگونه می توانم استراتژی های قیمت گذاری مبتنی بر ارزش را اجرا کنم که با ویژگی ها و مزایای منحصر به فرد محصولات من در Etsy هماهنگ باشد؟</v>
      </c>
      <c r="H9820" s="1"/>
      <c r="I9820" s="1"/>
      <c r="J9820" s="1"/>
      <c r="K9820" s="1"/>
      <c r="L9820" s="1"/>
      <c r="M9820" s="1"/>
      <c r="N9820" s="1"/>
      <c r="O9820" s="1"/>
      <c r="P9820" s="1"/>
      <c r="Q9820" s="1"/>
      <c r="R9820" s="1"/>
      <c r="S9820" s="1"/>
      <c r="T9820" s="1"/>
      <c r="U9820" s="1"/>
      <c r="V9820" s="1"/>
      <c r="W9820" s="1"/>
      <c r="X9820" s="1"/>
      <c r="Y9820" s="1"/>
      <c r="Z9820" s="1"/>
      <c r="AA9820" s="1"/>
      <c r="AB9820" s="1"/>
    </row>
    <row r="9821" ht="50.25" customHeight="1">
      <c r="A9821" s="12">
        <v>9817.0</v>
      </c>
      <c r="B9821" s="13" t="s">
        <v>9604</v>
      </c>
      <c r="C9821" s="14" t="s">
        <v>9848</v>
      </c>
      <c r="D9821" s="1"/>
      <c r="E9821" s="1"/>
      <c r="F9821" s="1" t="str">
        <f>IFERROR(__xludf.DUMMYFUNCTION("GOOGLETRANSLATE(B9821, ""en"", ""fa"")
"),"موفقیت Etsy")</f>
        <v>موفقیت Etsy</v>
      </c>
      <c r="G9821" s="1" t="str">
        <f>IFERROR(__xludf.DUMMYFUNCTION("GOOGLETRANSLATE(C9821, ""en"", ""fa"")
"),"استراتژی‌های بسته‌بندی یا افزایش فروش محصولات برای افزایش میانگین ارزش سفارش و سودآوری کلی در Etsy چیست؟")</f>
        <v>استراتژی‌های بسته‌بندی یا افزایش فروش محصولات برای افزایش میانگین ارزش سفارش و سودآوری کلی در Etsy چیست؟</v>
      </c>
      <c r="H9821" s="1"/>
      <c r="I9821" s="1"/>
      <c r="J9821" s="1"/>
      <c r="K9821" s="1"/>
      <c r="L9821" s="1"/>
      <c r="M9821" s="1"/>
      <c r="N9821" s="1"/>
      <c r="O9821" s="1"/>
      <c r="P9821" s="1"/>
      <c r="Q9821" s="1"/>
      <c r="R9821" s="1"/>
      <c r="S9821" s="1"/>
      <c r="T9821" s="1"/>
      <c r="U9821" s="1"/>
      <c r="V9821" s="1"/>
      <c r="W9821" s="1"/>
      <c r="X9821" s="1"/>
      <c r="Y9821" s="1"/>
      <c r="Z9821" s="1"/>
      <c r="AA9821" s="1"/>
      <c r="AB9821" s="1"/>
    </row>
    <row r="9822" ht="50.25" customHeight="1">
      <c r="A9822" s="12">
        <v>9818.0</v>
      </c>
      <c r="B9822" s="13" t="s">
        <v>9604</v>
      </c>
      <c r="C9822" s="14" t="s">
        <v>9849</v>
      </c>
      <c r="D9822" s="1"/>
      <c r="E9822" s="1"/>
      <c r="F9822" s="1" t="str">
        <f>IFERROR(__xludf.DUMMYFUNCTION("GOOGLETRANSLATE(B9822, ""en"", ""fa"")
"),"موفقیت Etsy")</f>
        <v>موفقیت Etsy</v>
      </c>
      <c r="G9822" s="1" t="str">
        <f>IFERROR(__xludf.DUMMYFUNCTION("GOOGLETRANSLATE(C9822, ""en"", ""fa"")
"),"چگونه می توانم نقطه سربه سر و حاشیه سود محصولاتم را محاسبه کنم تا از دوام مالی در Etsy اطمینان حاصل کنم؟")</f>
        <v>چگونه می توانم نقطه سربه سر و حاشیه سود محصولاتم را محاسبه کنم تا از دوام مالی در Etsy اطمینان حاصل کنم؟</v>
      </c>
      <c r="H9822" s="1"/>
      <c r="I9822" s="1"/>
      <c r="J9822" s="1"/>
      <c r="K9822" s="1"/>
      <c r="L9822" s="1"/>
      <c r="M9822" s="1"/>
      <c r="N9822" s="1"/>
      <c r="O9822" s="1"/>
      <c r="P9822" s="1"/>
      <c r="Q9822" s="1"/>
      <c r="R9822" s="1"/>
      <c r="S9822" s="1"/>
      <c r="T9822" s="1"/>
      <c r="U9822" s="1"/>
      <c r="V9822" s="1"/>
      <c r="W9822" s="1"/>
      <c r="X9822" s="1"/>
      <c r="Y9822" s="1"/>
      <c r="Z9822" s="1"/>
      <c r="AA9822" s="1"/>
      <c r="AB9822" s="1"/>
    </row>
    <row r="9823" ht="50.25" customHeight="1">
      <c r="A9823" s="12">
        <v>9819.0</v>
      </c>
      <c r="B9823" s="13" t="s">
        <v>9604</v>
      </c>
      <c r="C9823" s="14" t="s">
        <v>9850</v>
      </c>
      <c r="D9823" s="1"/>
      <c r="E9823" s="1"/>
      <c r="F9823" s="1" t="str">
        <f>IFERROR(__xludf.DUMMYFUNCTION("GOOGLETRANSLATE(B9823, ""en"", ""fa"")
"),"موفقیت Etsy")</f>
        <v>موفقیت Etsy</v>
      </c>
      <c r="G9823" s="1" t="str">
        <f>IFERROR(__xludf.DUMMYFUNCTION("GOOGLETRANSLATE(C9823, ""en"", ""fa"")
"),"چگونه می‌توانم قیمت‌هایی را تعیین کنم که برای زمان و تلاش سرمایه‌گذاری شده برای ایجاد یا تامین محصولات من در Etsy باشد؟")</f>
        <v>چگونه می‌توانم قیمت‌هایی را تعیین کنم که برای زمان و تلاش سرمایه‌گذاری شده برای ایجاد یا تامین محصولات من در Etsy باشد؟</v>
      </c>
      <c r="H9823" s="1"/>
      <c r="I9823" s="1"/>
      <c r="J9823" s="1"/>
      <c r="K9823" s="1"/>
      <c r="L9823" s="1"/>
      <c r="M9823" s="1"/>
      <c r="N9823" s="1"/>
      <c r="O9823" s="1"/>
      <c r="P9823" s="1"/>
      <c r="Q9823" s="1"/>
      <c r="R9823" s="1"/>
      <c r="S9823" s="1"/>
      <c r="T9823" s="1"/>
      <c r="U9823" s="1"/>
      <c r="V9823" s="1"/>
      <c r="W9823" s="1"/>
      <c r="X9823" s="1"/>
      <c r="Y9823" s="1"/>
      <c r="Z9823" s="1"/>
      <c r="AA9823" s="1"/>
      <c r="AB9823" s="1"/>
    </row>
    <row r="9824" ht="50.25" customHeight="1">
      <c r="A9824" s="12">
        <v>9820.0</v>
      </c>
      <c r="B9824" s="13" t="s">
        <v>9604</v>
      </c>
      <c r="C9824" s="14" t="s">
        <v>9851</v>
      </c>
      <c r="D9824" s="1"/>
      <c r="E9824" s="1"/>
      <c r="F9824" s="1" t="str">
        <f>IFERROR(__xludf.DUMMYFUNCTION("GOOGLETRANSLATE(B9824, ""en"", ""fa"")
"),"موفقیت Etsy")</f>
        <v>موفقیت Etsy</v>
      </c>
      <c r="G9824" s="1" t="str">
        <f>IFERROR(__xludf.DUMMYFUNCTION("GOOGLETRANSLATE(C9824, ""en"", ""fa"")
"),"استراتژی‌های استفاده از سطوح قیمت‌گذاری یا مدل‌های اشتراک برای ارائه سطوح مختلف ارزش و مزایا در Etsy چیست؟")</f>
        <v>استراتژی‌های استفاده از سطوح قیمت‌گذاری یا مدل‌های اشتراک برای ارائه سطوح مختلف ارزش و مزایا در Etsy چیست؟</v>
      </c>
      <c r="H9824" s="1"/>
      <c r="I9824" s="1"/>
      <c r="J9824" s="1"/>
      <c r="K9824" s="1"/>
      <c r="L9824" s="1"/>
      <c r="M9824" s="1"/>
      <c r="N9824" s="1"/>
      <c r="O9824" s="1"/>
      <c r="P9824" s="1"/>
      <c r="Q9824" s="1"/>
      <c r="R9824" s="1"/>
      <c r="S9824" s="1"/>
      <c r="T9824" s="1"/>
      <c r="U9824" s="1"/>
      <c r="V9824" s="1"/>
      <c r="W9824" s="1"/>
      <c r="X9824" s="1"/>
      <c r="Y9824" s="1"/>
      <c r="Z9824" s="1"/>
      <c r="AA9824" s="1"/>
      <c r="AB9824" s="1"/>
    </row>
    <row r="9825" ht="50.25" customHeight="1">
      <c r="A9825" s="12">
        <v>9821.0</v>
      </c>
      <c r="B9825" s="13" t="s">
        <v>9604</v>
      </c>
      <c r="C9825" s="14" t="s">
        <v>9852</v>
      </c>
      <c r="D9825" s="1"/>
      <c r="E9825" s="1"/>
      <c r="F9825" s="1" t="str">
        <f>IFERROR(__xludf.DUMMYFUNCTION("GOOGLETRANSLATE(B9825, ""en"", ""fa"")
"),"موفقیت Etsy")</f>
        <v>موفقیت Etsy</v>
      </c>
      <c r="G9825" s="1" t="str">
        <f>IFERROR(__xludf.DUMMYFUNCTION("GOOGLETRANSLATE(C9825, ""en"", ""fa"")
"),"چگونه می توانم از قیمت گذاری به عنوان یک ابزار استراتژیک استفاده کنم تا محصولات خود را به عنوان پیشنهادات ممتاز یا لوکس در Etsy قرار دهم؟")</f>
        <v>چگونه می توانم از قیمت گذاری به عنوان یک ابزار استراتژیک استفاده کنم تا محصولات خود را به عنوان پیشنهادات ممتاز یا لوکس در Etsy قرار دهم؟</v>
      </c>
      <c r="H9825" s="1"/>
      <c r="I9825" s="1"/>
      <c r="J9825" s="1"/>
      <c r="K9825" s="1"/>
      <c r="L9825" s="1"/>
      <c r="M9825" s="1"/>
      <c r="N9825" s="1"/>
      <c r="O9825" s="1"/>
      <c r="P9825" s="1"/>
      <c r="Q9825" s="1"/>
      <c r="R9825" s="1"/>
      <c r="S9825" s="1"/>
      <c r="T9825" s="1"/>
      <c r="U9825" s="1"/>
      <c r="V9825" s="1"/>
      <c r="W9825" s="1"/>
      <c r="X9825" s="1"/>
      <c r="Y9825" s="1"/>
      <c r="Z9825" s="1"/>
      <c r="AA9825" s="1"/>
      <c r="AB9825" s="1"/>
    </row>
    <row r="9826" ht="50.25" customHeight="1">
      <c r="A9826" s="12">
        <v>9822.0</v>
      </c>
      <c r="B9826" s="13" t="s">
        <v>9604</v>
      </c>
      <c r="C9826" s="14" t="s">
        <v>9853</v>
      </c>
      <c r="D9826" s="1"/>
      <c r="E9826" s="1"/>
      <c r="F9826" s="1" t="str">
        <f>IFERROR(__xludf.DUMMYFUNCTION("GOOGLETRANSLATE(B9826, ""en"", ""fa"")
"),"موفقیت Etsy")</f>
        <v>موفقیت Etsy</v>
      </c>
      <c r="G9826" s="1" t="str">
        <f>IFERROR(__xludf.DUMMYFUNCTION("GOOGLETRANSLATE(C9826, ""en"", ""fa"")
"),"چگونه می توانم استراتژی قیمت گذاری خود را برای دستیابی به تعادل سالم بین حجم فروش و حاشیه سود در Etsy محاسبه و بهینه کنم؟")</f>
        <v>چگونه می توانم استراتژی قیمت گذاری خود را برای دستیابی به تعادل سالم بین حجم فروش و حاشیه سود در Etsy محاسبه و بهینه کنم؟</v>
      </c>
      <c r="H9826" s="1"/>
      <c r="I9826" s="1"/>
      <c r="J9826" s="1"/>
      <c r="K9826" s="1"/>
      <c r="L9826" s="1"/>
      <c r="M9826" s="1"/>
      <c r="N9826" s="1"/>
      <c r="O9826" s="1"/>
      <c r="P9826" s="1"/>
      <c r="Q9826" s="1"/>
      <c r="R9826" s="1"/>
      <c r="S9826" s="1"/>
      <c r="T9826" s="1"/>
      <c r="U9826" s="1"/>
      <c r="V9826" s="1"/>
      <c r="W9826" s="1"/>
      <c r="X9826" s="1"/>
      <c r="Y9826" s="1"/>
      <c r="Z9826" s="1"/>
      <c r="AA9826" s="1"/>
      <c r="AB9826" s="1"/>
    </row>
    <row r="9827" ht="50.25" customHeight="1">
      <c r="A9827" s="12">
        <v>9823.0</v>
      </c>
      <c r="B9827" s="13" t="s">
        <v>9604</v>
      </c>
      <c r="C9827" s="14" t="s">
        <v>9854</v>
      </c>
      <c r="D9827" s="1"/>
      <c r="E9827" s="1"/>
      <c r="F9827" s="1" t="str">
        <f>IFERROR(__xludf.DUMMYFUNCTION("GOOGLETRANSLATE(B9827, ""en"", ""fa"")
"),"موفقیت Etsy")</f>
        <v>موفقیت Etsy</v>
      </c>
      <c r="G9827" s="1" t="str">
        <f>IFERROR(__xludf.DUMMYFUNCTION("GOOGLETRANSLATE(C9827, ""en"", ""fa"")
"),"ملاحظات استراتژی های قیمت گذاری فصلی یا نسخه محدود برای ایجاد انحصار و افزایش تقاضا در Etsy چیست؟")</f>
        <v>ملاحظات استراتژی های قیمت گذاری فصلی یا نسخه محدود برای ایجاد انحصار و افزایش تقاضا در Etsy چیست؟</v>
      </c>
      <c r="H9827" s="1"/>
      <c r="I9827" s="1"/>
      <c r="J9827" s="1"/>
      <c r="K9827" s="1"/>
      <c r="L9827" s="1"/>
      <c r="M9827" s="1"/>
      <c r="N9827" s="1"/>
      <c r="O9827" s="1"/>
      <c r="P9827" s="1"/>
      <c r="Q9827" s="1"/>
      <c r="R9827" s="1"/>
      <c r="S9827" s="1"/>
      <c r="T9827" s="1"/>
      <c r="U9827" s="1"/>
      <c r="V9827" s="1"/>
      <c r="W9827" s="1"/>
      <c r="X9827" s="1"/>
      <c r="Y9827" s="1"/>
      <c r="Z9827" s="1"/>
      <c r="AA9827" s="1"/>
      <c r="AB9827" s="1"/>
    </row>
    <row r="9828" ht="50.25" customHeight="1">
      <c r="A9828" s="12">
        <v>9824.0</v>
      </c>
      <c r="B9828" s="13" t="s">
        <v>9604</v>
      </c>
      <c r="C9828" s="14" t="s">
        <v>9855</v>
      </c>
      <c r="D9828" s="1"/>
      <c r="E9828" s="1"/>
      <c r="F9828" s="1" t="str">
        <f>IFERROR(__xludf.DUMMYFUNCTION("GOOGLETRANSLATE(B9828, ""en"", ""fa"")
"),"موفقیت Etsy")</f>
        <v>موفقیت Etsy</v>
      </c>
      <c r="G9828" s="1" t="str">
        <f>IFERROR(__xludf.DUMMYFUNCTION("GOOGLETRANSLATE(C9828, ""en"", ""fa"")
"),"چگونه می توانم ارزش پیشنهادی محصولات خود را از طریق قیمت گذاری موثر و توضیحات محصول در Etsy بیان کنم؟")</f>
        <v>چگونه می توانم ارزش پیشنهادی محصولات خود را از طریق قیمت گذاری موثر و توضیحات محصول در Etsy بیان کنم؟</v>
      </c>
      <c r="H9828" s="1"/>
      <c r="I9828" s="1"/>
      <c r="J9828" s="1"/>
      <c r="K9828" s="1"/>
      <c r="L9828" s="1"/>
      <c r="M9828" s="1"/>
      <c r="N9828" s="1"/>
      <c r="O9828" s="1"/>
      <c r="P9828" s="1"/>
      <c r="Q9828" s="1"/>
      <c r="R9828" s="1"/>
      <c r="S9828" s="1"/>
      <c r="T9828" s="1"/>
      <c r="U9828" s="1"/>
      <c r="V9828" s="1"/>
      <c r="W9828" s="1"/>
      <c r="X9828" s="1"/>
      <c r="Y9828" s="1"/>
      <c r="Z9828" s="1"/>
      <c r="AA9828" s="1"/>
      <c r="AB9828" s="1"/>
    </row>
    <row r="9829" ht="50.25" customHeight="1">
      <c r="A9829" s="12">
        <v>9825.0</v>
      </c>
      <c r="B9829" s="13" t="s">
        <v>9604</v>
      </c>
      <c r="C9829" s="14" t="s">
        <v>9856</v>
      </c>
      <c r="D9829" s="1"/>
      <c r="E9829" s="1"/>
      <c r="F9829" s="1" t="str">
        <f>IFERROR(__xludf.DUMMYFUNCTION("GOOGLETRANSLATE(B9829, ""en"", ""fa"")
"),"موفقیت Etsy")</f>
        <v>موفقیت Etsy</v>
      </c>
      <c r="G9829" s="1" t="str">
        <f>IFERROR(__xludf.DUMMYFUNCTION("GOOGLETRANSLATE(C9829, ""en"", ""fa"")
"),"راهکارهایی برای ارائه تخفیف یا مشوق برای تشویق تکرار خرید و تقویت وفاداری مشتری در Etsy چیست؟")</f>
        <v>راهکارهایی برای ارائه تخفیف یا مشوق برای تشویق تکرار خرید و تقویت وفاداری مشتری در Etsy چیست؟</v>
      </c>
      <c r="H9829" s="1"/>
      <c r="I9829" s="1"/>
      <c r="J9829" s="1"/>
      <c r="K9829" s="1"/>
      <c r="L9829" s="1"/>
      <c r="M9829" s="1"/>
      <c r="N9829" s="1"/>
      <c r="O9829" s="1"/>
      <c r="P9829" s="1"/>
      <c r="Q9829" s="1"/>
      <c r="R9829" s="1"/>
      <c r="S9829" s="1"/>
      <c r="T9829" s="1"/>
      <c r="U9829" s="1"/>
      <c r="V9829" s="1"/>
      <c r="W9829" s="1"/>
      <c r="X9829" s="1"/>
      <c r="Y9829" s="1"/>
      <c r="Z9829" s="1"/>
      <c r="AA9829" s="1"/>
      <c r="AB9829" s="1"/>
    </row>
    <row r="9830" ht="50.25" customHeight="1">
      <c r="A9830" s="12">
        <v>9826.0</v>
      </c>
      <c r="B9830" s="13" t="s">
        <v>9604</v>
      </c>
      <c r="C9830" s="14" t="s">
        <v>9857</v>
      </c>
      <c r="D9830" s="1"/>
      <c r="E9830" s="1"/>
      <c r="F9830" s="1" t="str">
        <f>IFERROR(__xludf.DUMMYFUNCTION("GOOGLETRANSLATE(B9830, ""en"", ""fa"")
"),"موفقیت Etsy")</f>
        <v>موفقیت Etsy</v>
      </c>
      <c r="G9830" s="1" t="str">
        <f>IFERROR(__xludf.DUMMYFUNCTION("GOOGLETRANSLATE(C9830, ""en"", ""fa"")
"),"چگونه می‌توانم استراتژی‌های قیمت‌گذاری را پیاده‌سازی کنم که ارزش درک شده و ارتباط عاطفی مشتریان را با محصولات من در Etsy نشان دهد؟")</f>
        <v>چگونه می‌توانم استراتژی‌های قیمت‌گذاری را پیاده‌سازی کنم که ارزش درک شده و ارتباط عاطفی مشتریان را با محصولات من در Etsy نشان دهد؟</v>
      </c>
      <c r="H9830" s="1"/>
      <c r="I9830" s="1"/>
      <c r="J9830" s="1"/>
      <c r="K9830" s="1"/>
      <c r="L9830" s="1"/>
      <c r="M9830" s="1"/>
      <c r="N9830" s="1"/>
      <c r="O9830" s="1"/>
      <c r="P9830" s="1"/>
      <c r="Q9830" s="1"/>
      <c r="R9830" s="1"/>
      <c r="S9830" s="1"/>
      <c r="T9830" s="1"/>
      <c r="U9830" s="1"/>
      <c r="V9830" s="1"/>
      <c r="W9830" s="1"/>
      <c r="X9830" s="1"/>
      <c r="Y9830" s="1"/>
      <c r="Z9830" s="1"/>
      <c r="AA9830" s="1"/>
      <c r="AB9830" s="1"/>
    </row>
    <row r="9831" ht="50.25" customHeight="1">
      <c r="A9831" s="12">
        <v>9827.0</v>
      </c>
      <c r="B9831" s="13" t="s">
        <v>9604</v>
      </c>
      <c r="C9831" s="14" t="s">
        <v>9858</v>
      </c>
      <c r="D9831" s="1"/>
      <c r="E9831" s="1"/>
      <c r="F9831" s="1" t="str">
        <f>IFERROR(__xludf.DUMMYFUNCTION("GOOGLETRANSLATE(B9831, ""en"", ""fa"")
"),"موفقیت Etsy")</f>
        <v>موفقیت Etsy</v>
      </c>
      <c r="G9831" s="1" t="str">
        <f>IFERROR(__xludf.DUMMYFUNCTION("GOOGLETRANSLATE(C9831, ""en"", ""fa"")
"),"استراتژی‌هایی برای سفارشی‌سازی قیمت یا محصولات شخصی‌سازی‌شده برای بازتاب تلاش بیشتر و منحصربه‌فرد بودن Etsy چیست؟")</f>
        <v>استراتژی‌هایی برای سفارشی‌سازی قیمت یا محصولات شخصی‌سازی‌شده برای بازتاب تلاش بیشتر و منحصربه‌فرد بودن Etsy چیست؟</v>
      </c>
      <c r="H9831" s="1"/>
      <c r="I9831" s="1"/>
      <c r="J9831" s="1"/>
      <c r="K9831" s="1"/>
      <c r="L9831" s="1"/>
      <c r="M9831" s="1"/>
      <c r="N9831" s="1"/>
      <c r="O9831" s="1"/>
      <c r="P9831" s="1"/>
      <c r="Q9831" s="1"/>
      <c r="R9831" s="1"/>
      <c r="S9831" s="1"/>
      <c r="T9831" s="1"/>
      <c r="U9831" s="1"/>
      <c r="V9831" s="1"/>
      <c r="W9831" s="1"/>
      <c r="X9831" s="1"/>
      <c r="Y9831" s="1"/>
      <c r="Z9831" s="1"/>
      <c r="AA9831" s="1"/>
      <c r="AB9831" s="1"/>
    </row>
    <row r="9832" ht="50.25" customHeight="1">
      <c r="A9832" s="12">
        <v>9828.0</v>
      </c>
      <c r="B9832" s="13" t="s">
        <v>9604</v>
      </c>
      <c r="C9832" s="14" t="s">
        <v>9859</v>
      </c>
      <c r="D9832" s="1"/>
      <c r="E9832" s="1"/>
      <c r="F9832" s="1" t="str">
        <f>IFERROR(__xludf.DUMMYFUNCTION("GOOGLETRANSLATE(B9832, ""en"", ""fa"")
"),"موفقیت Etsy")</f>
        <v>موفقیت Etsy</v>
      </c>
      <c r="G9832" s="1" t="str">
        <f>IFERROR(__xludf.DUMMYFUNCTION("GOOGLETRANSLATE(C9832, ""en"", ""fa"")
"),"چگونه می توانم قیمت های خود را بر اساس هزینه جذب مشتری از طریق تلاش های بازاریابی و تبلیغات در Etsy محاسبه و تنظیم کنم؟")</f>
        <v>چگونه می توانم قیمت های خود را بر اساس هزینه جذب مشتری از طریق تلاش های بازاریابی و تبلیغات در Etsy محاسبه و تنظیم کنم؟</v>
      </c>
      <c r="H9832" s="1"/>
      <c r="I9832" s="1"/>
      <c r="J9832" s="1"/>
      <c r="K9832" s="1"/>
      <c r="L9832" s="1"/>
      <c r="M9832" s="1"/>
      <c r="N9832" s="1"/>
      <c r="O9832" s="1"/>
      <c r="P9832" s="1"/>
      <c r="Q9832" s="1"/>
      <c r="R9832" s="1"/>
      <c r="S9832" s="1"/>
      <c r="T9832" s="1"/>
      <c r="U9832" s="1"/>
      <c r="V9832" s="1"/>
      <c r="W9832" s="1"/>
      <c r="X9832" s="1"/>
      <c r="Y9832" s="1"/>
      <c r="Z9832" s="1"/>
      <c r="AA9832" s="1"/>
      <c r="AB9832" s="1"/>
    </row>
    <row r="9833" ht="50.25" customHeight="1">
      <c r="A9833" s="12">
        <v>9829.0</v>
      </c>
      <c r="B9833" s="13" t="s">
        <v>9604</v>
      </c>
      <c r="C9833" s="14" t="s">
        <v>9860</v>
      </c>
      <c r="D9833" s="1"/>
      <c r="E9833" s="1"/>
      <c r="F9833" s="1" t="str">
        <f>IFERROR(__xludf.DUMMYFUNCTION("GOOGLETRANSLATE(B9833, ""en"", ""fa"")
"),"موفقیت Etsy")</f>
        <v>موفقیت Etsy</v>
      </c>
      <c r="G9833" s="1" t="str">
        <f>IFERROR(__xludf.DUMMYFUNCTION("GOOGLETRANSLATE(C9833, ""en"", ""fa"")
"),"چگونه می توانم با حفظ حاشیه سود سالم و اجتناب از جنگ قیمت در Etsy، قیمت رقابتی ارائه دهم؟")</f>
        <v>چگونه می توانم با حفظ حاشیه سود سالم و اجتناب از جنگ قیمت در Etsy، قیمت رقابتی ارائه دهم؟</v>
      </c>
      <c r="H9833" s="1"/>
      <c r="I9833" s="1"/>
      <c r="J9833" s="1"/>
      <c r="K9833" s="1"/>
      <c r="L9833" s="1"/>
      <c r="M9833" s="1"/>
      <c r="N9833" s="1"/>
      <c r="O9833" s="1"/>
      <c r="P9833" s="1"/>
      <c r="Q9833" s="1"/>
      <c r="R9833" s="1"/>
      <c r="S9833" s="1"/>
      <c r="T9833" s="1"/>
      <c r="U9833" s="1"/>
      <c r="V9833" s="1"/>
      <c r="W9833" s="1"/>
      <c r="X9833" s="1"/>
      <c r="Y9833" s="1"/>
      <c r="Z9833" s="1"/>
      <c r="AA9833" s="1"/>
      <c r="AB9833" s="1"/>
    </row>
    <row r="9834" ht="50.25" customHeight="1">
      <c r="A9834" s="12">
        <v>9830.0</v>
      </c>
      <c r="B9834" s="13" t="s">
        <v>9604</v>
      </c>
      <c r="C9834" s="14" t="s">
        <v>9861</v>
      </c>
      <c r="D9834" s="1"/>
      <c r="E9834" s="1"/>
      <c r="F9834" s="1" t="str">
        <f>IFERROR(__xludf.DUMMYFUNCTION("GOOGLETRANSLATE(B9834, ""en"", ""fa"")
"),"موفقیت Etsy")</f>
        <v>موفقیت Etsy</v>
      </c>
      <c r="G9834" s="1" t="str">
        <f>IFERROR(__xludf.DUMMYFUNCTION("GOOGLETRANSLATE(C9834, ""en"", ""fa"")
"),"ملاحظات برای قیمت گذاری محصولات با نسخه محدود یا منحصر به فرد که دارای ارزش و انحصار بالاتری در Etsy هستند چیست؟")</f>
        <v>ملاحظات برای قیمت گذاری محصولات با نسخه محدود یا منحصر به فرد که دارای ارزش و انحصار بالاتری در Etsy هستند چیست؟</v>
      </c>
      <c r="H9834" s="1"/>
      <c r="I9834" s="1"/>
      <c r="J9834" s="1"/>
      <c r="K9834" s="1"/>
      <c r="L9834" s="1"/>
      <c r="M9834" s="1"/>
      <c r="N9834" s="1"/>
      <c r="O9834" s="1"/>
      <c r="P9834" s="1"/>
      <c r="Q9834" s="1"/>
      <c r="R9834" s="1"/>
      <c r="S9834" s="1"/>
      <c r="T9834" s="1"/>
      <c r="U9834" s="1"/>
      <c r="V9834" s="1"/>
      <c r="W9834" s="1"/>
      <c r="X9834" s="1"/>
      <c r="Y9834" s="1"/>
      <c r="Z9834" s="1"/>
      <c r="AA9834" s="1"/>
      <c r="AB9834" s="1"/>
    </row>
    <row r="9835" ht="50.25" customHeight="1">
      <c r="A9835" s="12">
        <v>9831.0</v>
      </c>
      <c r="B9835" s="13" t="s">
        <v>9604</v>
      </c>
      <c r="C9835" s="14" t="s">
        <v>9862</v>
      </c>
      <c r="D9835" s="1"/>
      <c r="E9835" s="1"/>
      <c r="F9835" s="1" t="str">
        <f>IFERROR(__xludf.DUMMYFUNCTION("GOOGLETRANSLATE(B9835, ""en"", ""fa"")
"),"موفقیت Etsy")</f>
        <v>موفقیت Etsy</v>
      </c>
      <c r="G9835" s="1" t="str">
        <f>IFERROR(__xludf.DUMMYFUNCTION("GOOGLETRANSLATE(C9835, ""en"", ""fa"")
"),"چگونه می توانم قیمت گذاری رقبا و روندهای بازار را برای شناسایی شکاف ها و فرصت های قیمت گذاری برای محصولاتم در Etsy تجزیه و تحلیل کنم؟")</f>
        <v>چگونه می توانم قیمت گذاری رقبا و روندهای بازار را برای شناسایی شکاف ها و فرصت های قیمت گذاری برای محصولاتم در Etsy تجزیه و تحلیل کنم؟</v>
      </c>
      <c r="H9835" s="1"/>
      <c r="I9835" s="1"/>
      <c r="J9835" s="1"/>
      <c r="K9835" s="1"/>
      <c r="L9835" s="1"/>
      <c r="M9835" s="1"/>
      <c r="N9835" s="1"/>
      <c r="O9835" s="1"/>
      <c r="P9835" s="1"/>
      <c r="Q9835" s="1"/>
      <c r="R9835" s="1"/>
      <c r="S9835" s="1"/>
      <c r="T9835" s="1"/>
      <c r="U9835" s="1"/>
      <c r="V9835" s="1"/>
      <c r="W9835" s="1"/>
      <c r="X9835" s="1"/>
      <c r="Y9835" s="1"/>
      <c r="Z9835" s="1"/>
      <c r="AA9835" s="1"/>
      <c r="AB9835" s="1"/>
    </row>
    <row r="9836" ht="50.25" customHeight="1">
      <c r="A9836" s="12">
        <v>9832.0</v>
      </c>
      <c r="B9836" s="13" t="s">
        <v>9604</v>
      </c>
      <c r="C9836" s="14" t="s">
        <v>9863</v>
      </c>
      <c r="D9836" s="1"/>
      <c r="E9836" s="1"/>
      <c r="F9836" s="1" t="str">
        <f>IFERROR(__xludf.DUMMYFUNCTION("GOOGLETRANSLATE(B9836, ""en"", ""fa"")
"),"موفقیت Etsy")</f>
        <v>موفقیت Etsy</v>
      </c>
      <c r="G9836" s="1" t="str">
        <f>IFERROR(__xludf.DUMMYFUNCTION("GOOGLETRANSLATE(C9836, ""en"", ""fa"")
"),"چگونه می‌توانم استراتژی‌های قیمت‌گذاری را پیاده‌سازی کنم که باعث تشویق مقادیر بیشتر سفارش یا خرید عمده‌فروشی در Etsy شود؟")</f>
        <v>چگونه می‌توانم استراتژی‌های قیمت‌گذاری را پیاده‌سازی کنم که باعث تشویق مقادیر بیشتر سفارش یا خرید عمده‌فروشی در Etsy شود؟</v>
      </c>
      <c r="H9836" s="1"/>
      <c r="I9836" s="1"/>
      <c r="J9836" s="1"/>
      <c r="K9836" s="1"/>
      <c r="L9836" s="1"/>
      <c r="M9836" s="1"/>
      <c r="N9836" s="1"/>
      <c r="O9836" s="1"/>
      <c r="P9836" s="1"/>
      <c r="Q9836" s="1"/>
      <c r="R9836" s="1"/>
      <c r="S9836" s="1"/>
      <c r="T9836" s="1"/>
      <c r="U9836" s="1"/>
      <c r="V9836" s="1"/>
      <c r="W9836" s="1"/>
      <c r="X9836" s="1"/>
      <c r="Y9836" s="1"/>
      <c r="Z9836" s="1"/>
      <c r="AA9836" s="1"/>
      <c r="AB9836" s="1"/>
    </row>
    <row r="9837" ht="50.25" customHeight="1">
      <c r="A9837" s="12">
        <v>9833.0</v>
      </c>
      <c r="B9837" s="13" t="s">
        <v>9604</v>
      </c>
      <c r="C9837" s="14" t="s">
        <v>9864</v>
      </c>
      <c r="D9837" s="1"/>
      <c r="E9837" s="1"/>
      <c r="F9837" s="1" t="str">
        <f>IFERROR(__xludf.DUMMYFUNCTION("GOOGLETRANSLATE(B9837, ""en"", ""fa"")
"),"موفقیت Etsy")</f>
        <v>موفقیت Etsy</v>
      </c>
      <c r="G9837" s="1" t="str">
        <f>IFERROR(__xludf.DUMMYFUNCTION("GOOGLETRANSLATE(C9837, ""en"", ""fa"")
"),"راهبردهای ارتباط موثر تغییرات یا افزایش قیمت به مشتریان در Etsy چیست؟")</f>
        <v>راهبردهای ارتباط موثر تغییرات یا افزایش قیمت به مشتریان در Etsy چیست؟</v>
      </c>
      <c r="H9837" s="1"/>
      <c r="I9837" s="1"/>
      <c r="J9837" s="1"/>
      <c r="K9837" s="1"/>
      <c r="L9837" s="1"/>
      <c r="M9837" s="1"/>
      <c r="N9837" s="1"/>
      <c r="O9837" s="1"/>
      <c r="P9837" s="1"/>
      <c r="Q9837" s="1"/>
      <c r="R9837" s="1"/>
      <c r="S9837" s="1"/>
      <c r="T9837" s="1"/>
      <c r="U9837" s="1"/>
      <c r="V9837" s="1"/>
      <c r="W9837" s="1"/>
      <c r="X9837" s="1"/>
      <c r="Y9837" s="1"/>
      <c r="Z9837" s="1"/>
      <c r="AA9837" s="1"/>
      <c r="AB9837" s="1"/>
    </row>
    <row r="9838" ht="50.25" customHeight="1">
      <c r="A9838" s="12">
        <v>9834.0</v>
      </c>
      <c r="B9838" s="13" t="s">
        <v>9604</v>
      </c>
      <c r="C9838" s="14" t="s">
        <v>9865</v>
      </c>
      <c r="D9838" s="1"/>
      <c r="E9838" s="1"/>
      <c r="F9838" s="1" t="str">
        <f>IFERROR(__xludf.DUMMYFUNCTION("GOOGLETRANSLATE(B9838, ""en"", ""fa"")
"),"موفقیت Etsy")</f>
        <v>موفقیت Etsy</v>
      </c>
      <c r="G9838" s="1" t="str">
        <f>IFERROR(__xludf.DUMMYFUNCTION("GOOGLETRANSLATE(C9838, ""en"", ""fa"")
"),"چگونه می‌توانم استراتژی‌های قیمت‌گذاری را ایجاد کنم که به بخش‌های مختلف مشتریان، مانند خریدارانی که بودجه‌شان آگاه است یا مشتریانی که به دنبال حق بیمه هستند، در Etsy پاسخگو باشد؟")</f>
        <v>چگونه می‌توانم استراتژی‌های قیمت‌گذاری را ایجاد کنم که به بخش‌های مختلف مشتریان، مانند خریدارانی که بودجه‌شان آگاه است یا مشتریانی که به دنبال حق بیمه هستند، در Etsy پاسخگو باشد؟</v>
      </c>
      <c r="H9838" s="1"/>
      <c r="I9838" s="1"/>
      <c r="J9838" s="1"/>
      <c r="K9838" s="1"/>
      <c r="L9838" s="1"/>
      <c r="M9838" s="1"/>
      <c r="N9838" s="1"/>
      <c r="O9838" s="1"/>
      <c r="P9838" s="1"/>
      <c r="Q9838" s="1"/>
      <c r="R9838" s="1"/>
      <c r="S9838" s="1"/>
      <c r="T9838" s="1"/>
      <c r="U9838" s="1"/>
      <c r="V9838" s="1"/>
      <c r="W9838" s="1"/>
      <c r="X9838" s="1"/>
      <c r="Y9838" s="1"/>
      <c r="Z9838" s="1"/>
      <c r="AA9838" s="1"/>
      <c r="AB9838" s="1"/>
    </row>
    <row r="9839" ht="50.25" customHeight="1">
      <c r="A9839" s="12">
        <v>9835.0</v>
      </c>
      <c r="B9839" s="13" t="s">
        <v>9604</v>
      </c>
      <c r="C9839" s="14" t="s">
        <v>9866</v>
      </c>
      <c r="D9839" s="1"/>
      <c r="E9839" s="1"/>
      <c r="F9839" s="1" t="str">
        <f>IFERROR(__xludf.DUMMYFUNCTION("GOOGLETRANSLATE(B9839, ""en"", ""fa"")
"),"موفقیت Etsy")</f>
        <v>موفقیت Etsy</v>
      </c>
      <c r="G9839" s="1" t="str">
        <f>IFERROR(__xludf.DUMMYFUNCTION("GOOGLETRANSLATE(C9839, ""en"", ""fa"")
"),"ملاحظات برای ارائه حمل و نقل رایگان و گنجاندن آن در استراتژی قیمت گذاری کلی برای محصولات Etsy من چیست؟")</f>
        <v>ملاحظات برای ارائه حمل و نقل رایگان و گنجاندن آن در استراتژی قیمت گذاری کلی برای محصولات Etsy من چیست؟</v>
      </c>
      <c r="H9839" s="1"/>
      <c r="I9839" s="1"/>
      <c r="J9839" s="1"/>
      <c r="K9839" s="1"/>
      <c r="L9839" s="1"/>
      <c r="M9839" s="1"/>
      <c r="N9839" s="1"/>
      <c r="O9839" s="1"/>
      <c r="P9839" s="1"/>
      <c r="Q9839" s="1"/>
      <c r="R9839" s="1"/>
      <c r="S9839" s="1"/>
      <c r="T9839" s="1"/>
      <c r="U9839" s="1"/>
      <c r="V9839" s="1"/>
      <c r="W9839" s="1"/>
      <c r="X9839" s="1"/>
      <c r="Y9839" s="1"/>
      <c r="Z9839" s="1"/>
      <c r="AA9839" s="1"/>
      <c r="AB9839" s="1"/>
    </row>
    <row r="9840" ht="50.25" customHeight="1">
      <c r="A9840" s="12">
        <v>9836.0</v>
      </c>
      <c r="B9840" s="13" t="s">
        <v>9604</v>
      </c>
      <c r="C9840" s="14" t="s">
        <v>9867</v>
      </c>
      <c r="D9840" s="1"/>
      <c r="E9840" s="1"/>
      <c r="F9840" s="1" t="str">
        <f>IFERROR(__xludf.DUMMYFUNCTION("GOOGLETRANSLATE(B9840, ""en"", ""fa"")
"),"موفقیت Etsy")</f>
        <v>موفقیت Etsy</v>
      </c>
      <c r="G9840" s="1" t="str">
        <f>IFERROR(__xludf.DUMMYFUNCTION("GOOGLETRANSLATE(C9840, ""en"", ""fa"")
"),"چگونه می توانم قیمت های خود را محاسبه و بهینه کنم تا به تعادلی بین ایجاد سود و حفظ قیمت رقابتی در Etsy برسم؟")</f>
        <v>چگونه می توانم قیمت های خود را محاسبه و بهینه کنم تا به تعادلی بین ایجاد سود و حفظ قیمت رقابتی در Etsy برسم؟</v>
      </c>
      <c r="H9840" s="1"/>
      <c r="I9840" s="1"/>
      <c r="J9840" s="1"/>
      <c r="K9840" s="1"/>
      <c r="L9840" s="1"/>
      <c r="M9840" s="1"/>
      <c r="N9840" s="1"/>
      <c r="O9840" s="1"/>
      <c r="P9840" s="1"/>
      <c r="Q9840" s="1"/>
      <c r="R9840" s="1"/>
      <c r="S9840" s="1"/>
      <c r="T9840" s="1"/>
      <c r="U9840" s="1"/>
      <c r="V9840" s="1"/>
      <c r="W9840" s="1"/>
      <c r="X9840" s="1"/>
      <c r="Y9840" s="1"/>
      <c r="Z9840" s="1"/>
      <c r="AA9840" s="1"/>
      <c r="AB9840" s="1"/>
    </row>
    <row r="9841" ht="50.25" customHeight="1">
      <c r="A9841" s="12">
        <v>9837.0</v>
      </c>
      <c r="B9841" s="13" t="s">
        <v>9604</v>
      </c>
      <c r="C9841" s="14" t="s">
        <v>9868</v>
      </c>
      <c r="D9841" s="1"/>
      <c r="E9841" s="1"/>
      <c r="F9841" s="1" t="str">
        <f>IFERROR(__xludf.DUMMYFUNCTION("GOOGLETRANSLATE(B9841, ""en"", ""fa"")
"),"موفقیت Etsy")</f>
        <v>موفقیت Etsy</v>
      </c>
      <c r="G9841" s="1" t="str">
        <f>IFERROR(__xludf.DUMMYFUNCTION("GOOGLETRANSLATE(C9841, ""en"", ""fa"")
"),"استراتژی‌های استفاده از تکنیک‌های روان‌شناسی قیمت‌گذاری، مانند قیمت‌گذاری جذاب یا قیمت‌گذاری فریبنده، برای تأثیرگذاری بر تصمیم‌گیری مشتری در Etsy چیست؟")</f>
        <v>استراتژی‌های استفاده از تکنیک‌های روان‌شناسی قیمت‌گذاری، مانند قیمت‌گذاری جذاب یا قیمت‌گذاری فریبنده، برای تأثیرگذاری بر تصمیم‌گیری مشتری در Etsy چیست؟</v>
      </c>
      <c r="H9841" s="1"/>
      <c r="I9841" s="1"/>
      <c r="J9841" s="1"/>
      <c r="K9841" s="1"/>
      <c r="L9841" s="1"/>
      <c r="M9841" s="1"/>
      <c r="N9841" s="1"/>
      <c r="O9841" s="1"/>
      <c r="P9841" s="1"/>
      <c r="Q9841" s="1"/>
      <c r="R9841" s="1"/>
      <c r="S9841" s="1"/>
      <c r="T9841" s="1"/>
      <c r="U9841" s="1"/>
      <c r="V9841" s="1"/>
      <c r="W9841" s="1"/>
      <c r="X9841" s="1"/>
      <c r="Y9841" s="1"/>
      <c r="Z9841" s="1"/>
      <c r="AA9841" s="1"/>
      <c r="AB9841" s="1"/>
    </row>
    <row r="9842" ht="50.25" customHeight="1">
      <c r="A9842" s="12">
        <v>9838.0</v>
      </c>
      <c r="B9842" s="13" t="s">
        <v>9604</v>
      </c>
      <c r="C9842" s="14" t="s">
        <v>9869</v>
      </c>
      <c r="D9842" s="1"/>
      <c r="E9842" s="1"/>
      <c r="F9842" s="1" t="str">
        <f>IFERROR(__xludf.DUMMYFUNCTION("GOOGLETRANSLATE(B9842, ""en"", ""fa"")
"),"موفقیت Etsy")</f>
        <v>موفقیت Etsy</v>
      </c>
      <c r="G9842" s="1" t="str">
        <f>IFERROR(__xludf.DUMMYFUNCTION("GOOGLETRANSLATE(C9842, ""en"", ""fa"")
"),"چگونه می‌توانم استراتژی‌های قیمت‌گذاری را پیاده‌سازی کنم که ارزش و مهارت درک شده محصولات دست‌ساز یا صنایع دستی را در Etsy محاسبه می‌کنند؟")</f>
        <v>چگونه می‌توانم استراتژی‌های قیمت‌گذاری را پیاده‌سازی کنم که ارزش و مهارت درک شده محصولات دست‌ساز یا صنایع دستی را در Etsy محاسبه می‌کنند؟</v>
      </c>
      <c r="H9842" s="1"/>
      <c r="I9842" s="1"/>
      <c r="J9842" s="1"/>
      <c r="K9842" s="1"/>
      <c r="L9842" s="1"/>
      <c r="M9842" s="1"/>
      <c r="N9842" s="1"/>
      <c r="O9842" s="1"/>
      <c r="P9842" s="1"/>
      <c r="Q9842" s="1"/>
      <c r="R9842" s="1"/>
      <c r="S9842" s="1"/>
      <c r="T9842" s="1"/>
      <c r="U9842" s="1"/>
      <c r="V9842" s="1"/>
      <c r="W9842" s="1"/>
      <c r="X9842" s="1"/>
      <c r="Y9842" s="1"/>
      <c r="Z9842" s="1"/>
      <c r="AA9842" s="1"/>
      <c r="AB9842" s="1"/>
    </row>
    <row r="9843" ht="50.25" customHeight="1">
      <c r="A9843" s="12">
        <v>9839.0</v>
      </c>
      <c r="B9843" s="13" t="s">
        <v>9604</v>
      </c>
      <c r="C9843" s="14" t="s">
        <v>9870</v>
      </c>
      <c r="D9843" s="1"/>
      <c r="E9843" s="1"/>
      <c r="F9843" s="1" t="str">
        <f>IFERROR(__xludf.DUMMYFUNCTION("GOOGLETRANSLATE(B9843, ""en"", ""fa"")
"),"موفقیت Etsy")</f>
        <v>موفقیت Etsy</v>
      </c>
      <c r="G9843" s="1" t="str">
        <f>IFERROR(__xludf.DUMMYFUNCTION("GOOGLETRANSLATE(C9843, ""en"", ""fa"")
"),"چگونه می توانم قیمت های خود را برای هماهنگی با شرایط فعلی بازار، اختلالات زنجیره تامین، یا تغییرات در هزینه های مواد خام در Etsy تنظیم کنم؟")</f>
        <v>چگونه می توانم قیمت های خود را برای هماهنگی با شرایط فعلی بازار، اختلالات زنجیره تامین، یا تغییرات در هزینه های مواد خام در Etsy تنظیم کنم؟</v>
      </c>
      <c r="H9843" s="1"/>
      <c r="I9843" s="1"/>
      <c r="J9843" s="1"/>
      <c r="K9843" s="1"/>
      <c r="L9843" s="1"/>
      <c r="M9843" s="1"/>
      <c r="N9843" s="1"/>
      <c r="O9843" s="1"/>
      <c r="P9843" s="1"/>
      <c r="Q9843" s="1"/>
      <c r="R9843" s="1"/>
      <c r="S9843" s="1"/>
      <c r="T9843" s="1"/>
      <c r="U9843" s="1"/>
      <c r="V9843" s="1"/>
      <c r="W9843" s="1"/>
      <c r="X9843" s="1"/>
      <c r="Y9843" s="1"/>
      <c r="Z9843" s="1"/>
      <c r="AA9843" s="1"/>
      <c r="AB9843" s="1"/>
    </row>
    <row r="9844" ht="50.25" customHeight="1">
      <c r="A9844" s="12">
        <v>9840.0</v>
      </c>
      <c r="B9844" s="13" t="s">
        <v>9604</v>
      </c>
      <c r="C9844" s="14" t="s">
        <v>9871</v>
      </c>
      <c r="D9844" s="1"/>
      <c r="E9844" s="1"/>
      <c r="F9844" s="1" t="str">
        <f>IFERROR(__xludf.DUMMYFUNCTION("GOOGLETRANSLATE(B9844, ""en"", ""fa"")
"),"موفقیت Etsy")</f>
        <v>موفقیت Etsy</v>
      </c>
      <c r="G9844" s="1" t="str">
        <f>IFERROR(__xludf.DUMMYFUNCTION("GOOGLETRANSLATE(C9844, ""en"", ""fa"")
"),"ملاحظات برای اجرای قیمت گذاری پلکانی بر اساس وفاداری مشتری، خریدهای تکراری یا برنامه های ارجاع در Etsy چیست؟")</f>
        <v>ملاحظات برای اجرای قیمت گذاری پلکانی بر اساس وفاداری مشتری، خریدهای تکراری یا برنامه های ارجاع در Etsy چیست؟</v>
      </c>
      <c r="H9844" s="1"/>
      <c r="I9844" s="1"/>
      <c r="J9844" s="1"/>
      <c r="K9844" s="1"/>
      <c r="L9844" s="1"/>
      <c r="M9844" s="1"/>
      <c r="N9844" s="1"/>
      <c r="O9844" s="1"/>
      <c r="P9844" s="1"/>
      <c r="Q9844" s="1"/>
      <c r="R9844" s="1"/>
      <c r="S9844" s="1"/>
      <c r="T9844" s="1"/>
      <c r="U9844" s="1"/>
      <c r="V9844" s="1"/>
      <c r="W9844" s="1"/>
      <c r="X9844" s="1"/>
      <c r="Y9844" s="1"/>
      <c r="Z9844" s="1"/>
      <c r="AA9844" s="1"/>
      <c r="AB9844" s="1"/>
    </row>
    <row r="9845" ht="50.25" customHeight="1">
      <c r="A9845" s="12">
        <v>9841.0</v>
      </c>
      <c r="B9845" s="13" t="s">
        <v>9604</v>
      </c>
      <c r="C9845" s="14" t="s">
        <v>9872</v>
      </c>
      <c r="D9845" s="1"/>
      <c r="E9845" s="1"/>
      <c r="F9845" s="1" t="str">
        <f>IFERROR(__xludf.DUMMYFUNCTION("GOOGLETRANSLATE(B9845, ""en"", ""fa"")
"),"موفقیت Etsy")</f>
        <v>موفقیت Etsy</v>
      </c>
      <c r="G9845" s="1" t="str">
        <f>IFERROR(__xludf.DUMMYFUNCTION("GOOGLETRANSLATE(C9845, ""en"", ""fa"")
"),"چگونه می توانم با حفظ استانداردهای با کیفیت بالا و مواد ممتاز در محصولاتم در Etsy، قیمت رقابتی ارائه دهم؟")</f>
        <v>چگونه می توانم با حفظ استانداردهای با کیفیت بالا و مواد ممتاز در محصولاتم در Etsy، قیمت رقابتی ارائه دهم؟</v>
      </c>
      <c r="H9845" s="1"/>
      <c r="I9845" s="1"/>
      <c r="J9845" s="1"/>
      <c r="K9845" s="1"/>
      <c r="L9845" s="1"/>
      <c r="M9845" s="1"/>
      <c r="N9845" s="1"/>
      <c r="O9845" s="1"/>
      <c r="P9845" s="1"/>
      <c r="Q9845" s="1"/>
      <c r="R9845" s="1"/>
      <c r="S9845" s="1"/>
      <c r="T9845" s="1"/>
      <c r="U9845" s="1"/>
      <c r="V9845" s="1"/>
      <c r="W9845" s="1"/>
      <c r="X9845" s="1"/>
      <c r="Y9845" s="1"/>
      <c r="Z9845" s="1"/>
      <c r="AA9845" s="1"/>
      <c r="AB9845" s="1"/>
    </row>
    <row r="9846" ht="50.25" customHeight="1">
      <c r="A9846" s="12">
        <v>9842.0</v>
      </c>
      <c r="B9846" s="13" t="s">
        <v>9604</v>
      </c>
      <c r="C9846" s="14" t="s">
        <v>9873</v>
      </c>
      <c r="D9846" s="1"/>
      <c r="E9846" s="1"/>
      <c r="F9846" s="1" t="str">
        <f>IFERROR(__xludf.DUMMYFUNCTION("GOOGLETRANSLATE(B9846, ""en"", ""fa"")
"),"موفقیت Etsy")</f>
        <v>موفقیت Etsy</v>
      </c>
      <c r="G9846" s="1" t="str">
        <f>IFERROR(__xludf.DUMMYFUNCTION("GOOGLETRANSLATE(C9846, ""en"", ""fa"")
"),"چگونه می توانم قیمت های خود را برای محاسبه نوسانات تقاضای فصلی و به حداکثر رساندن درآمد در Etsy محاسبه و بهینه کنم؟")</f>
        <v>چگونه می توانم قیمت های خود را برای محاسبه نوسانات تقاضای فصلی و به حداکثر رساندن درآمد در Etsy محاسبه و بهینه کنم؟</v>
      </c>
      <c r="H9846" s="1"/>
      <c r="I9846" s="1"/>
      <c r="J9846" s="1"/>
      <c r="K9846" s="1"/>
      <c r="L9846" s="1"/>
      <c r="M9846" s="1"/>
      <c r="N9846" s="1"/>
      <c r="O9846" s="1"/>
      <c r="P9846" s="1"/>
      <c r="Q9846" s="1"/>
      <c r="R9846" s="1"/>
      <c r="S9846" s="1"/>
      <c r="T9846" s="1"/>
      <c r="U9846" s="1"/>
      <c r="V9846" s="1"/>
      <c r="W9846" s="1"/>
      <c r="X9846" s="1"/>
      <c r="Y9846" s="1"/>
      <c r="Z9846" s="1"/>
      <c r="AA9846" s="1"/>
      <c r="AB9846" s="1"/>
    </row>
    <row r="9847" ht="50.25" customHeight="1">
      <c r="A9847" s="12">
        <v>9843.0</v>
      </c>
      <c r="B9847" s="13" t="s">
        <v>9604</v>
      </c>
      <c r="C9847" s="14" t="s">
        <v>9874</v>
      </c>
      <c r="D9847" s="1"/>
      <c r="E9847" s="1"/>
      <c r="F9847" s="1" t="str">
        <f>IFERROR(__xludf.DUMMYFUNCTION("GOOGLETRANSLATE(B9847, ""en"", ""fa"")
"),"موفقیت Etsy")</f>
        <v>موفقیت Etsy</v>
      </c>
      <c r="G9847" s="1" t="str">
        <f>IFERROR(__xludf.DUMMYFUNCTION("GOOGLETRANSLATE(C9847, ""en"", ""fa"")
"),"استراتژی‌های استفاده از شفافیت قیمت‌گذاری برای ایجاد اعتماد و اعتبار نزد مشتریان در Etsy چیست؟")</f>
        <v>استراتژی‌های استفاده از شفافیت قیمت‌گذاری برای ایجاد اعتماد و اعتبار نزد مشتریان در Etsy چیست؟</v>
      </c>
      <c r="H9847" s="1"/>
      <c r="I9847" s="1"/>
      <c r="J9847" s="1"/>
      <c r="K9847" s="1"/>
      <c r="L9847" s="1"/>
      <c r="M9847" s="1"/>
      <c r="N9847" s="1"/>
      <c r="O9847" s="1"/>
      <c r="P9847" s="1"/>
      <c r="Q9847" s="1"/>
      <c r="R9847" s="1"/>
      <c r="S9847" s="1"/>
      <c r="T9847" s="1"/>
      <c r="U9847" s="1"/>
      <c r="V9847" s="1"/>
      <c r="W9847" s="1"/>
      <c r="X9847" s="1"/>
      <c r="Y9847" s="1"/>
      <c r="Z9847" s="1"/>
      <c r="AA9847" s="1"/>
      <c r="AB9847" s="1"/>
    </row>
    <row r="9848" ht="50.25" customHeight="1">
      <c r="A9848" s="12">
        <v>9844.0</v>
      </c>
      <c r="B9848" s="13" t="s">
        <v>9604</v>
      </c>
      <c r="C9848" s="14" t="s">
        <v>9875</v>
      </c>
      <c r="D9848" s="1"/>
      <c r="E9848" s="1"/>
      <c r="F9848" s="1" t="str">
        <f>IFERROR(__xludf.DUMMYFUNCTION("GOOGLETRANSLATE(B9848, ""en"", ""fa"")
"),"موفقیت Etsy")</f>
        <v>موفقیت Etsy</v>
      </c>
      <c r="G9848" s="1" t="str">
        <f>IFERROR(__xludf.DUMMYFUNCTION("GOOGLETRANSLATE(C9848, ""en"", ""fa"")
"),"چگونه می توانم استراتژی های قیمت گذاری ایجاد کنم که ارزش و مزایای درک شده محصولات من را در مقایسه با پیشنهادات مشابه در Etsy در نظر بگیرد؟")</f>
        <v>چگونه می توانم استراتژی های قیمت گذاری ایجاد کنم که ارزش و مزایای درک شده محصولات من را در مقایسه با پیشنهادات مشابه در Etsy در نظر بگیرد؟</v>
      </c>
      <c r="H9848" s="1"/>
      <c r="I9848" s="1"/>
      <c r="J9848" s="1"/>
      <c r="K9848" s="1"/>
      <c r="L9848" s="1"/>
      <c r="M9848" s="1"/>
      <c r="N9848" s="1"/>
      <c r="O9848" s="1"/>
      <c r="P9848" s="1"/>
      <c r="Q9848" s="1"/>
      <c r="R9848" s="1"/>
      <c r="S9848" s="1"/>
      <c r="T9848" s="1"/>
      <c r="U9848" s="1"/>
      <c r="V9848" s="1"/>
      <c r="W9848" s="1"/>
      <c r="X9848" s="1"/>
      <c r="Y9848" s="1"/>
      <c r="Z9848" s="1"/>
      <c r="AA9848" s="1"/>
      <c r="AB9848" s="1"/>
    </row>
    <row r="9849" ht="50.25" customHeight="1">
      <c r="A9849" s="12">
        <v>9845.0</v>
      </c>
      <c r="B9849" s="13" t="s">
        <v>9604</v>
      </c>
      <c r="C9849" s="14" t="s">
        <v>9876</v>
      </c>
      <c r="D9849" s="1"/>
      <c r="E9849" s="1"/>
      <c r="F9849" s="1" t="str">
        <f>IFERROR(__xludf.DUMMYFUNCTION("GOOGLETRANSLATE(B9849, ""en"", ""fa"")
"),"موفقیت Etsy")</f>
        <v>موفقیت Etsy</v>
      </c>
      <c r="G9849" s="1" t="str">
        <f>IFERROR(__xludf.DUMMYFUNCTION("GOOGLETRANSLATE(C9849, ""en"", ""fa"")
"),"ملاحظات برای اجرای استراتژی های قیمت گذاری که خریدهای فوری را تشویق می کند و نرخ تبدیل را در Etsy افزایش می دهد چیست؟")</f>
        <v>ملاحظات برای اجرای استراتژی های قیمت گذاری که خریدهای فوری را تشویق می کند و نرخ تبدیل را در Etsy افزایش می دهد چیست؟</v>
      </c>
      <c r="H9849" s="1"/>
      <c r="I9849" s="1"/>
      <c r="J9849" s="1"/>
      <c r="K9849" s="1"/>
      <c r="L9849" s="1"/>
      <c r="M9849" s="1"/>
      <c r="N9849" s="1"/>
      <c r="O9849" s="1"/>
      <c r="P9849" s="1"/>
      <c r="Q9849" s="1"/>
      <c r="R9849" s="1"/>
      <c r="S9849" s="1"/>
      <c r="T9849" s="1"/>
      <c r="U9849" s="1"/>
      <c r="V9849" s="1"/>
      <c r="W9849" s="1"/>
      <c r="X9849" s="1"/>
      <c r="Y9849" s="1"/>
      <c r="Z9849" s="1"/>
      <c r="AA9849" s="1"/>
      <c r="AB9849" s="1"/>
    </row>
    <row r="9850" ht="50.25" customHeight="1">
      <c r="A9850" s="12">
        <v>9846.0</v>
      </c>
      <c r="B9850" s="13" t="s">
        <v>9604</v>
      </c>
      <c r="C9850" s="14" t="s">
        <v>9877</v>
      </c>
      <c r="D9850" s="1"/>
      <c r="E9850" s="1"/>
      <c r="F9850" s="1" t="str">
        <f>IFERROR(__xludf.DUMMYFUNCTION("GOOGLETRANSLATE(B9850, ""en"", ""fa"")
"),"موفقیت Etsy")</f>
        <v>موفقیت Etsy</v>
      </c>
      <c r="G9850" s="1" t="str">
        <f>IFERROR(__xludf.DUMMYFUNCTION("GOOGLETRANSLATE(C9850, ""en"", ""fa"")
"),"چگونه می توانم عناوین لیست قانع کننده ای ایجاد کنم که توجه خریداران بالقوه را در Etsy جلب کند؟")</f>
        <v>چگونه می توانم عناوین لیست قانع کننده ای ایجاد کنم که توجه خریداران بالقوه را در Etsy جلب کند؟</v>
      </c>
      <c r="H9850" s="1"/>
      <c r="I9850" s="1"/>
      <c r="J9850" s="1"/>
      <c r="K9850" s="1"/>
      <c r="L9850" s="1"/>
      <c r="M9850" s="1"/>
      <c r="N9850" s="1"/>
      <c r="O9850" s="1"/>
      <c r="P9850" s="1"/>
      <c r="Q9850" s="1"/>
      <c r="R9850" s="1"/>
      <c r="S9850" s="1"/>
      <c r="T9850" s="1"/>
      <c r="U9850" s="1"/>
      <c r="V9850" s="1"/>
      <c r="W9850" s="1"/>
      <c r="X9850" s="1"/>
      <c r="Y9850" s="1"/>
      <c r="Z9850" s="1"/>
      <c r="AA9850" s="1"/>
      <c r="AB9850" s="1"/>
    </row>
    <row r="9851" ht="50.25" customHeight="1">
      <c r="A9851" s="12">
        <v>9847.0</v>
      </c>
      <c r="B9851" s="13" t="s">
        <v>9604</v>
      </c>
      <c r="C9851" s="14" t="s">
        <v>9878</v>
      </c>
      <c r="D9851" s="1"/>
      <c r="E9851" s="1"/>
      <c r="F9851" s="1" t="str">
        <f>IFERROR(__xludf.DUMMYFUNCTION("GOOGLETRANSLATE(B9851, ""en"", ""fa"")
"),"موفقیت Etsy")</f>
        <v>موفقیت Etsy</v>
      </c>
      <c r="G9851" s="1" t="str">
        <f>IFERROR(__xludf.DUMMYFUNCTION("GOOGLETRANSLATE(C9851, ""en"", ""fa"")
"),"عناصر کلیدی برای بهینه سازی نمایان بودن جستجو و نرخ کلیک در Etsy در عناوین فهرست من چه هستند؟")</f>
        <v>عناصر کلیدی برای بهینه سازی نمایان بودن جستجو و نرخ کلیک در Etsy در عناوین فهرست من چه هستند؟</v>
      </c>
      <c r="H9851" s="1"/>
      <c r="I9851" s="1"/>
      <c r="J9851" s="1"/>
      <c r="K9851" s="1"/>
      <c r="L9851" s="1"/>
      <c r="M9851" s="1"/>
      <c r="N9851" s="1"/>
      <c r="O9851" s="1"/>
      <c r="P9851" s="1"/>
      <c r="Q9851" s="1"/>
      <c r="R9851" s="1"/>
      <c r="S9851" s="1"/>
      <c r="T9851" s="1"/>
      <c r="U9851" s="1"/>
      <c r="V9851" s="1"/>
      <c r="W9851" s="1"/>
      <c r="X9851" s="1"/>
      <c r="Y9851" s="1"/>
      <c r="Z9851" s="1"/>
      <c r="AA9851" s="1"/>
      <c r="AB9851" s="1"/>
    </row>
    <row r="9852" ht="50.25" customHeight="1">
      <c r="A9852" s="12">
        <v>9848.0</v>
      </c>
      <c r="B9852" s="13" t="s">
        <v>9604</v>
      </c>
      <c r="C9852" s="14" t="s">
        <v>9879</v>
      </c>
      <c r="D9852" s="1"/>
      <c r="E9852" s="1"/>
      <c r="F9852" s="1" t="str">
        <f>IFERROR(__xludf.DUMMYFUNCTION("GOOGLETRANSLATE(B9852, ""en"", ""fa"")
"),"موفقیت Etsy")</f>
        <v>موفقیت Etsy</v>
      </c>
      <c r="G9852" s="1" t="str">
        <f>IFERROR(__xludf.DUMMYFUNCTION("GOOGLETRANSLATE(C9852, ""en"", ""fa"")
"),"چگونه می توانم از تحقیقات کلمات کلیدی برای ایجاد عناوین فهرست بندی هدفمند و مرتبط برای محصولات Etsy خود استفاده کنم؟")</f>
        <v>چگونه می توانم از تحقیقات کلمات کلیدی برای ایجاد عناوین فهرست بندی هدفمند و مرتبط برای محصولات Etsy خود استفاده کنم؟</v>
      </c>
      <c r="H9852" s="1"/>
      <c r="I9852" s="1"/>
      <c r="J9852" s="1"/>
      <c r="K9852" s="1"/>
      <c r="L9852" s="1"/>
      <c r="M9852" s="1"/>
      <c r="N9852" s="1"/>
      <c r="O9852" s="1"/>
      <c r="P9852" s="1"/>
      <c r="Q9852" s="1"/>
      <c r="R9852" s="1"/>
      <c r="S9852" s="1"/>
      <c r="T9852" s="1"/>
      <c r="U9852" s="1"/>
      <c r="V9852" s="1"/>
      <c r="W9852" s="1"/>
      <c r="X9852" s="1"/>
      <c r="Y9852" s="1"/>
      <c r="Z9852" s="1"/>
      <c r="AA9852" s="1"/>
      <c r="AB9852" s="1"/>
    </row>
    <row r="9853" ht="50.25" customHeight="1">
      <c r="A9853" s="12">
        <v>9849.0</v>
      </c>
      <c r="B9853" s="13" t="s">
        <v>9604</v>
      </c>
      <c r="C9853" s="14" t="s">
        <v>9880</v>
      </c>
      <c r="D9853" s="1"/>
      <c r="E9853" s="1"/>
      <c r="F9853" s="1" t="str">
        <f>IFERROR(__xludf.DUMMYFUNCTION("GOOGLETRANSLATE(B9853, ""en"", ""fa"")
"),"موفقیت Etsy")</f>
        <v>موفقیت Etsy</v>
      </c>
      <c r="G9853" s="1" t="str">
        <f>IFERROR(__xludf.DUMMYFUNCTION("GOOGLETRANSLATE(C9853, ""en"", ""fa"")
"),"راهبردهای گنجاندن جزئیات توصیفی و خاص در عناوین فهرست من برای جذب مخاطب مناسب در Etsy چیست؟")</f>
        <v>راهبردهای گنجاندن جزئیات توصیفی و خاص در عناوین فهرست من برای جذب مخاطب مناسب در Etsy چیست؟</v>
      </c>
      <c r="H9853" s="1"/>
      <c r="I9853" s="1"/>
      <c r="J9853" s="1"/>
      <c r="K9853" s="1"/>
      <c r="L9853" s="1"/>
      <c r="M9853" s="1"/>
      <c r="N9853" s="1"/>
      <c r="O9853" s="1"/>
      <c r="P9853" s="1"/>
      <c r="Q9853" s="1"/>
      <c r="R9853" s="1"/>
      <c r="S9853" s="1"/>
      <c r="T9853" s="1"/>
      <c r="U9853" s="1"/>
      <c r="V9853" s="1"/>
      <c r="W9853" s="1"/>
      <c r="X9853" s="1"/>
      <c r="Y9853" s="1"/>
      <c r="Z9853" s="1"/>
      <c r="AA9853" s="1"/>
      <c r="AB9853" s="1"/>
    </row>
    <row r="9854" ht="50.25" customHeight="1">
      <c r="A9854" s="12">
        <v>9850.0</v>
      </c>
      <c r="B9854" s="13" t="s">
        <v>9604</v>
      </c>
      <c r="C9854" s="14" t="s">
        <v>9881</v>
      </c>
      <c r="D9854" s="1"/>
      <c r="E9854" s="1"/>
      <c r="F9854" s="1" t="str">
        <f>IFERROR(__xludf.DUMMYFUNCTION("GOOGLETRANSLATE(B9854, ""en"", ""fa"")
"),"موفقیت Etsy")</f>
        <v>موفقیت Etsy</v>
      </c>
      <c r="G9854" s="1" t="str">
        <f>IFERROR(__xludf.DUMMYFUNCTION("GOOGLETRANSLATE(C9854, ""en"", ""fa"")
"),"چگونه می توانم عناوین فهرست خود را بهینه کنم تا در بین رقبا برجسته شوم و شانس تبدیل در Etsy را افزایش دهم؟")</f>
        <v>چگونه می توانم عناوین فهرست خود را بهینه کنم تا در بین رقبا برجسته شوم و شانس تبدیل در Etsy را افزایش دهم؟</v>
      </c>
      <c r="H9854" s="1"/>
      <c r="I9854" s="1"/>
      <c r="J9854" s="1"/>
      <c r="K9854" s="1"/>
      <c r="L9854" s="1"/>
      <c r="M9854" s="1"/>
      <c r="N9854" s="1"/>
      <c r="O9854" s="1"/>
      <c r="P9854" s="1"/>
      <c r="Q9854" s="1"/>
      <c r="R9854" s="1"/>
      <c r="S9854" s="1"/>
      <c r="T9854" s="1"/>
      <c r="U9854" s="1"/>
      <c r="V9854" s="1"/>
      <c r="W9854" s="1"/>
      <c r="X9854" s="1"/>
      <c r="Y9854" s="1"/>
      <c r="Z9854" s="1"/>
      <c r="AA9854" s="1"/>
      <c r="AB9854" s="1"/>
    </row>
    <row r="9855" ht="50.25" customHeight="1">
      <c r="A9855" s="12">
        <v>9851.0</v>
      </c>
      <c r="B9855" s="13" t="s">
        <v>9604</v>
      </c>
      <c r="C9855" s="14" t="s">
        <v>9882</v>
      </c>
      <c r="D9855" s="1"/>
      <c r="E9855" s="1"/>
      <c r="F9855" s="1" t="str">
        <f>IFERROR(__xludf.DUMMYFUNCTION("GOOGLETRANSLATE(B9855, ""en"", ""fa"")
"),"موفقیت Etsy")</f>
        <v>موفقیت Etsy</v>
      </c>
      <c r="G9855" s="1" t="str">
        <f>IFERROR(__xludf.DUMMYFUNCTION("GOOGLETRANSLATE(C9855, ""en"", ""fa"")
"),"بهترین روش‌ها برای ایجاد عناوین فهرست‌بندی مختصر و مختصر که به طور مؤثر ماهیت محصولات من را در Etsy بیان می‌کنند چیست؟")</f>
        <v>بهترین روش‌ها برای ایجاد عناوین فهرست‌بندی مختصر و مختصر که به طور مؤثر ماهیت محصولات من را در Etsy بیان می‌کنند چیست؟</v>
      </c>
      <c r="H9855" s="1"/>
      <c r="I9855" s="1"/>
      <c r="J9855" s="1"/>
      <c r="K9855" s="1"/>
      <c r="L9855" s="1"/>
      <c r="M9855" s="1"/>
      <c r="N9855" s="1"/>
      <c r="O9855" s="1"/>
      <c r="P9855" s="1"/>
      <c r="Q9855" s="1"/>
      <c r="R9855" s="1"/>
      <c r="S9855" s="1"/>
      <c r="T9855" s="1"/>
      <c r="U9855" s="1"/>
      <c r="V9855" s="1"/>
      <c r="W9855" s="1"/>
      <c r="X9855" s="1"/>
      <c r="Y9855" s="1"/>
      <c r="Z9855" s="1"/>
      <c r="AA9855" s="1"/>
      <c r="AB9855" s="1"/>
    </row>
    <row r="9856" ht="50.25" customHeight="1">
      <c r="A9856" s="12">
        <v>9852.0</v>
      </c>
      <c r="B9856" s="13" t="s">
        <v>9604</v>
      </c>
      <c r="C9856" s="14" t="s">
        <v>9883</v>
      </c>
      <c r="D9856" s="1"/>
      <c r="E9856" s="1"/>
      <c r="F9856" s="1" t="str">
        <f>IFERROR(__xludf.DUMMYFUNCTION("GOOGLETRANSLATE(B9856, ""en"", ""fa"")
"),"موفقیت Etsy")</f>
        <v>موفقیت Etsy</v>
      </c>
      <c r="G9856" s="1" t="str">
        <f>IFERROR(__xludf.DUMMYFUNCTION("GOOGLETRANSLATE(C9856, ""en"", ""fa"")
"),"چگونه می توانم از کلمات قدرتمند و زبان متقاعدکننده در عناوین فهرست خود برای برانگیختن احساسات و ایجاد علاقه در Etsy استفاده کنم؟")</f>
        <v>چگونه می توانم از کلمات قدرتمند و زبان متقاعدکننده در عناوین فهرست خود برای برانگیختن احساسات و ایجاد علاقه در Etsy استفاده کنم؟</v>
      </c>
      <c r="H9856" s="1"/>
      <c r="I9856" s="1"/>
      <c r="J9856" s="1"/>
      <c r="K9856" s="1"/>
      <c r="L9856" s="1"/>
      <c r="M9856" s="1"/>
      <c r="N9856" s="1"/>
      <c r="O9856" s="1"/>
      <c r="P9856" s="1"/>
      <c r="Q9856" s="1"/>
      <c r="R9856" s="1"/>
      <c r="S9856" s="1"/>
      <c r="T9856" s="1"/>
      <c r="U9856" s="1"/>
      <c r="V9856" s="1"/>
      <c r="W9856" s="1"/>
      <c r="X9856" s="1"/>
      <c r="Y9856" s="1"/>
      <c r="Z9856" s="1"/>
      <c r="AA9856" s="1"/>
      <c r="AB9856" s="1"/>
    </row>
    <row r="9857" ht="50.25" customHeight="1">
      <c r="A9857" s="12">
        <v>9853.0</v>
      </c>
      <c r="B9857" s="13" t="s">
        <v>9604</v>
      </c>
      <c r="C9857" s="14" t="s">
        <v>9884</v>
      </c>
      <c r="D9857" s="1"/>
      <c r="E9857" s="1"/>
      <c r="F9857" s="1" t="str">
        <f>IFERROR(__xludf.DUMMYFUNCTION("GOOGLETRANSLATE(B9857, ""en"", ""fa"")
"),"موفقیت Etsy")</f>
        <v>موفقیت Etsy</v>
      </c>
      <c r="G9857" s="1" t="str">
        <f>IFERROR(__xludf.DUMMYFUNCTION("GOOGLETRANSLATE(C9857, ""en"", ""fa"")
"),"ملاحظات استفاده از نمادها یا کاراکترهای خاص در عناوین فهرست من برای جذابیت بصری آنها در Etsy چیست؟")</f>
        <v>ملاحظات استفاده از نمادها یا کاراکترهای خاص در عناوین فهرست من برای جذابیت بصری آنها در Etsy چیست؟</v>
      </c>
      <c r="H9857" s="1"/>
      <c r="I9857" s="1"/>
      <c r="J9857" s="1"/>
      <c r="K9857" s="1"/>
      <c r="L9857" s="1"/>
      <c r="M9857" s="1"/>
      <c r="N9857" s="1"/>
      <c r="O9857" s="1"/>
      <c r="P9857" s="1"/>
      <c r="Q9857" s="1"/>
      <c r="R9857" s="1"/>
      <c r="S9857" s="1"/>
      <c r="T9857" s="1"/>
      <c r="U9857" s="1"/>
      <c r="V9857" s="1"/>
      <c r="W9857" s="1"/>
      <c r="X9857" s="1"/>
      <c r="Y9857" s="1"/>
      <c r="Z9857" s="1"/>
      <c r="AA9857" s="1"/>
      <c r="AB9857" s="1"/>
    </row>
    <row r="9858" ht="50.25" customHeight="1">
      <c r="A9858" s="12">
        <v>9854.0</v>
      </c>
      <c r="B9858" s="13" t="s">
        <v>9604</v>
      </c>
      <c r="C9858" s="14" t="s">
        <v>9885</v>
      </c>
      <c r="D9858" s="1"/>
      <c r="E9858" s="1"/>
      <c r="F9858" s="1" t="str">
        <f>IFERROR(__xludf.DUMMYFUNCTION("GOOGLETRANSLATE(B9858, ""en"", ""fa"")
"),"موفقیت Etsy")</f>
        <v>موفقیت Etsy</v>
      </c>
      <c r="G9858" s="1" t="str">
        <f>IFERROR(__xludf.DUMMYFUNCTION("GOOGLETRANSLATE(C9858, ""en"", ""fa"")
"),"چگونه می توانم عناوین فهرست خود را آزمایش و تکرار کنم تا موثرترین آنها را برای ایجاد تعامل و فروش در Etsy شناسایی کنم؟")</f>
        <v>چگونه می توانم عناوین فهرست خود را آزمایش و تکرار کنم تا موثرترین آنها را برای ایجاد تعامل و فروش در Etsy شناسایی کنم؟</v>
      </c>
      <c r="H9858" s="1"/>
      <c r="I9858" s="1"/>
      <c r="J9858" s="1"/>
      <c r="K9858" s="1"/>
      <c r="L9858" s="1"/>
      <c r="M9858" s="1"/>
      <c r="N9858" s="1"/>
      <c r="O9858" s="1"/>
      <c r="P9858" s="1"/>
      <c r="Q9858" s="1"/>
      <c r="R9858" s="1"/>
      <c r="S9858" s="1"/>
      <c r="T9858" s="1"/>
      <c r="U9858" s="1"/>
      <c r="V9858" s="1"/>
      <c r="W9858" s="1"/>
      <c r="X9858" s="1"/>
      <c r="Y9858" s="1"/>
      <c r="Z9858" s="1"/>
      <c r="AA9858" s="1"/>
      <c r="AB9858" s="1"/>
    </row>
    <row r="9859" ht="50.25" customHeight="1">
      <c r="A9859" s="12">
        <v>9855.0</v>
      </c>
      <c r="B9859" s="13" t="s">
        <v>9604</v>
      </c>
      <c r="C9859" s="14" t="s">
        <v>9886</v>
      </c>
      <c r="D9859" s="1"/>
      <c r="E9859" s="1"/>
      <c r="F9859" s="1" t="str">
        <f>IFERROR(__xludf.DUMMYFUNCTION("GOOGLETRANSLATE(B9859, ""en"", ""fa"")
"),"موفقیت Etsy")</f>
        <v>موفقیت Etsy</v>
      </c>
      <c r="G9859" s="1" t="str">
        <f>IFERROR(__xludf.DUMMYFUNCTION("GOOGLETRANSLATE(C9859, ""en"", ""fa"")
"),"استراتژی‌هایی برای بومی‌سازی عناوین فهرست من برای هدف قرار دادن بازارهای جغرافیایی خاص یا ترجیحات زبانی در Etsy چیست؟")</f>
        <v>استراتژی‌هایی برای بومی‌سازی عناوین فهرست من برای هدف قرار دادن بازارهای جغرافیایی خاص یا ترجیحات زبانی در Etsy چیست؟</v>
      </c>
      <c r="H9859" s="1"/>
      <c r="I9859" s="1"/>
      <c r="J9859" s="1"/>
      <c r="K9859" s="1"/>
      <c r="L9859" s="1"/>
      <c r="M9859" s="1"/>
      <c r="N9859" s="1"/>
      <c r="O9859" s="1"/>
      <c r="P9859" s="1"/>
      <c r="Q9859" s="1"/>
      <c r="R9859" s="1"/>
      <c r="S9859" s="1"/>
      <c r="T9859" s="1"/>
      <c r="U9859" s="1"/>
      <c r="V9859" s="1"/>
      <c r="W9859" s="1"/>
      <c r="X9859" s="1"/>
      <c r="Y9859" s="1"/>
      <c r="Z9859" s="1"/>
      <c r="AA9859" s="1"/>
      <c r="AB9859" s="1"/>
    </row>
    <row r="9860" ht="50.25" customHeight="1">
      <c r="A9860" s="12">
        <v>9856.0</v>
      </c>
      <c r="B9860" s="13" t="s">
        <v>9604</v>
      </c>
      <c r="C9860" s="14" t="s">
        <v>9887</v>
      </c>
      <c r="D9860" s="1"/>
      <c r="E9860" s="1"/>
      <c r="F9860" s="1" t="str">
        <f>IFERROR(__xludf.DUMMYFUNCTION("GOOGLETRANSLATE(B9860, ""en"", ""fa"")
"),"موفقیت Etsy")</f>
        <v>موفقیت Etsy</v>
      </c>
      <c r="G9860" s="1" t="str">
        <f>IFERROR(__xludf.DUMMYFUNCTION("GOOGLETRANSLATE(C9860, ""en"", ""fa"")
"),"چگونه می توانم ویژگی های محصول مرتبط، مانند اندازه، رنگ، یا مواد را در عناوین فهرست خود در Etsy بگنجانم؟")</f>
        <v>چگونه می توانم ویژگی های محصول مرتبط، مانند اندازه، رنگ، یا مواد را در عناوین فهرست خود در Etsy بگنجانم؟</v>
      </c>
      <c r="H9860" s="1"/>
      <c r="I9860" s="1"/>
      <c r="J9860" s="1"/>
      <c r="K9860" s="1"/>
      <c r="L9860" s="1"/>
      <c r="M9860" s="1"/>
      <c r="N9860" s="1"/>
      <c r="O9860" s="1"/>
      <c r="P9860" s="1"/>
      <c r="Q9860" s="1"/>
      <c r="R9860" s="1"/>
      <c r="S9860" s="1"/>
      <c r="T9860" s="1"/>
      <c r="U9860" s="1"/>
      <c r="V9860" s="1"/>
      <c r="W9860" s="1"/>
      <c r="X9860" s="1"/>
      <c r="Y9860" s="1"/>
      <c r="Z9860" s="1"/>
      <c r="AA9860" s="1"/>
      <c r="AB9860" s="1"/>
    </row>
    <row r="9861" ht="50.25" customHeight="1">
      <c r="A9861" s="12">
        <v>9857.0</v>
      </c>
      <c r="B9861" s="13" t="s">
        <v>9604</v>
      </c>
      <c r="C9861" s="14" t="s">
        <v>9888</v>
      </c>
      <c r="D9861" s="1"/>
      <c r="E9861" s="1"/>
      <c r="F9861" s="1" t="str">
        <f>IFERROR(__xludf.DUMMYFUNCTION("GOOGLETRANSLATE(B9861, ""en"", ""fa"")
"),"موفقیت Etsy")</f>
        <v>موفقیت Etsy</v>
      </c>
      <c r="G9861" s="1" t="str">
        <f>IFERROR(__xludf.DUMMYFUNCTION("GOOGLETRANSLATE(C9861, ""en"", ""fa"")
"),"استراتژی های برجسته کردن نقاط فروش منحصر به فرد یا ویژگی های محصولات من در عناوین لیست من در Etsy چیست؟")</f>
        <v>استراتژی های برجسته کردن نقاط فروش منحصر به فرد یا ویژگی های محصولات من در عناوین لیست من در Etsy چیست؟</v>
      </c>
      <c r="H9861" s="1"/>
      <c r="I9861" s="1"/>
      <c r="J9861" s="1"/>
      <c r="K9861" s="1"/>
      <c r="L9861" s="1"/>
      <c r="M9861" s="1"/>
      <c r="N9861" s="1"/>
      <c r="O9861" s="1"/>
      <c r="P9861" s="1"/>
      <c r="Q9861" s="1"/>
      <c r="R9861" s="1"/>
      <c r="S9861" s="1"/>
      <c r="T9861" s="1"/>
      <c r="U9861" s="1"/>
      <c r="V9861" s="1"/>
      <c r="W9861" s="1"/>
      <c r="X9861" s="1"/>
      <c r="Y9861" s="1"/>
      <c r="Z9861" s="1"/>
      <c r="AA9861" s="1"/>
      <c r="AB9861" s="1"/>
    </row>
    <row r="9862" ht="50.25" customHeight="1">
      <c r="A9862" s="12">
        <v>9858.0</v>
      </c>
      <c r="B9862" s="13" t="s">
        <v>9604</v>
      </c>
      <c r="C9862" s="14" t="s">
        <v>9889</v>
      </c>
      <c r="D9862" s="1"/>
      <c r="E9862" s="1"/>
      <c r="F9862" s="1" t="str">
        <f>IFERROR(__xludf.DUMMYFUNCTION("GOOGLETRANSLATE(B9862, ""en"", ""fa"")
"),"موفقیت Etsy")</f>
        <v>موفقیت Etsy</v>
      </c>
      <c r="G9862" s="1" t="str">
        <f>IFERROR(__xludf.DUMMYFUNCTION("GOOGLETRANSLATE(C9862, ""en"", ""fa"")
"),"چگونه می توانم فوریت یا کمبود را در عناوین فهرست خود ایجاد کنم تا اقدامات و تبدیل های فوری در Etsy را تشویق کنم؟")</f>
        <v>چگونه می توانم فوریت یا کمبود را در عناوین فهرست خود ایجاد کنم تا اقدامات و تبدیل های فوری در Etsy را تشویق کنم؟</v>
      </c>
      <c r="H9862" s="1"/>
      <c r="I9862" s="1"/>
      <c r="J9862" s="1"/>
      <c r="K9862" s="1"/>
      <c r="L9862" s="1"/>
      <c r="M9862" s="1"/>
      <c r="N9862" s="1"/>
      <c r="O9862" s="1"/>
      <c r="P9862" s="1"/>
      <c r="Q9862" s="1"/>
      <c r="R9862" s="1"/>
      <c r="S9862" s="1"/>
      <c r="T9862" s="1"/>
      <c r="U9862" s="1"/>
      <c r="V9862" s="1"/>
      <c r="W9862" s="1"/>
      <c r="X9862" s="1"/>
      <c r="Y9862" s="1"/>
      <c r="Z9862" s="1"/>
      <c r="AA9862" s="1"/>
      <c r="AB9862" s="1"/>
    </row>
    <row r="9863" ht="50.25" customHeight="1">
      <c r="A9863" s="12">
        <v>9859.0</v>
      </c>
      <c r="B9863" s="13" t="s">
        <v>9604</v>
      </c>
      <c r="C9863" s="14" t="s">
        <v>9890</v>
      </c>
      <c r="D9863" s="1"/>
      <c r="E9863" s="1"/>
      <c r="F9863" s="1" t="str">
        <f>IFERROR(__xludf.DUMMYFUNCTION("GOOGLETRANSLATE(B9863, ""en"", ""fa"")
"),"موفقیت Etsy")</f>
        <v>موفقیت Etsy</v>
      </c>
      <c r="G9863" s="1" t="str">
        <f>IFERROR(__xludf.DUMMYFUNCTION("GOOGLETRANSLATE(C9863, ""en"", ""fa"")
"),"چگونه می توانم مزایا و ارزش پیشنهادی محصولات خود را در عناوین فهرست خود در Etsy به طور موثر منتقل کنم؟")</f>
        <v>چگونه می توانم مزایا و ارزش پیشنهادی محصولات خود را در عناوین فهرست خود در Etsy به طور موثر منتقل کنم؟</v>
      </c>
      <c r="H9863" s="1"/>
      <c r="I9863" s="1"/>
      <c r="J9863" s="1"/>
      <c r="K9863" s="1"/>
      <c r="L9863" s="1"/>
      <c r="M9863" s="1"/>
      <c r="N9863" s="1"/>
      <c r="O9863" s="1"/>
      <c r="P9863" s="1"/>
      <c r="Q9863" s="1"/>
      <c r="R9863" s="1"/>
      <c r="S9863" s="1"/>
      <c r="T9863" s="1"/>
      <c r="U9863" s="1"/>
      <c r="V9863" s="1"/>
      <c r="W9863" s="1"/>
      <c r="X9863" s="1"/>
      <c r="Y9863" s="1"/>
      <c r="Z9863" s="1"/>
      <c r="AA9863" s="1"/>
      <c r="AB9863" s="1"/>
    </row>
    <row r="9864" ht="50.25" customHeight="1">
      <c r="A9864" s="12">
        <v>9860.0</v>
      </c>
      <c r="B9864" s="13" t="s">
        <v>9604</v>
      </c>
      <c r="C9864" s="14" t="s">
        <v>9891</v>
      </c>
      <c r="D9864" s="1"/>
      <c r="E9864" s="1"/>
      <c r="F9864" s="1" t="str">
        <f>IFERROR(__xludf.DUMMYFUNCTION("GOOGLETRANSLATE(B9864, ""en"", ""fa"")
"),"موفقیت Etsy")</f>
        <v>موفقیت Etsy</v>
      </c>
      <c r="G9864" s="1" t="str">
        <f>IFERROR(__xludf.DUMMYFUNCTION("GOOGLETRANSLATE(C9864, ""en"", ""fa"")
"),"ملاحظات استفاده از طنز یا خلاقیت در عناوین فهرست من برای جلب توجه و گذاشتن تأثیر ماندگار در Etsy چیست؟")</f>
        <v>ملاحظات استفاده از طنز یا خلاقیت در عناوین فهرست من برای جلب توجه و گذاشتن تأثیر ماندگار در Etsy چیست؟</v>
      </c>
      <c r="H9864" s="1"/>
      <c r="I9864" s="1"/>
      <c r="J9864" s="1"/>
      <c r="K9864" s="1"/>
      <c r="L9864" s="1"/>
      <c r="M9864" s="1"/>
      <c r="N9864" s="1"/>
      <c r="O9864" s="1"/>
      <c r="P9864" s="1"/>
      <c r="Q9864" s="1"/>
      <c r="R9864" s="1"/>
      <c r="S9864" s="1"/>
      <c r="T9864" s="1"/>
      <c r="U9864" s="1"/>
      <c r="V9864" s="1"/>
      <c r="W9864" s="1"/>
      <c r="X9864" s="1"/>
      <c r="Y9864" s="1"/>
      <c r="Z9864" s="1"/>
      <c r="AA9864" s="1"/>
      <c r="AB9864" s="1"/>
    </row>
    <row r="9865" ht="50.25" customHeight="1">
      <c r="A9865" s="12">
        <v>9861.0</v>
      </c>
      <c r="B9865" s="13" t="s">
        <v>9604</v>
      </c>
      <c r="C9865" s="14" t="s">
        <v>9892</v>
      </c>
      <c r="D9865" s="1"/>
      <c r="E9865" s="1"/>
      <c r="F9865" s="1" t="str">
        <f>IFERROR(__xludf.DUMMYFUNCTION("GOOGLETRANSLATE(B9865, ""en"", ""fa"")
"),"موفقیت Etsy")</f>
        <v>موفقیت Etsy</v>
      </c>
      <c r="G9865" s="1" t="str">
        <f>IFERROR(__xludf.DUMMYFUNCTION("GOOGLETRANSLATE(C9865, ""en"", ""fa"")
"),"چگونه می توانم پرس و جوهای جستجوی مشتری و کلمات کلیدی محبوب را برای بهینه سازی عناوین لیست خود در Etsy تجزیه و تحلیل و از آنها استفاده کنم؟")</f>
        <v>چگونه می توانم پرس و جوهای جستجوی مشتری و کلمات کلیدی محبوب را برای بهینه سازی عناوین لیست خود در Etsy تجزیه و تحلیل و از آنها استفاده کنم؟</v>
      </c>
      <c r="H9865" s="1"/>
      <c r="I9865" s="1"/>
      <c r="J9865" s="1"/>
      <c r="K9865" s="1"/>
      <c r="L9865" s="1"/>
      <c r="M9865" s="1"/>
      <c r="N9865" s="1"/>
      <c r="O9865" s="1"/>
      <c r="P9865" s="1"/>
      <c r="Q9865" s="1"/>
      <c r="R9865" s="1"/>
      <c r="S9865" s="1"/>
      <c r="T9865" s="1"/>
      <c r="U9865" s="1"/>
      <c r="V9865" s="1"/>
      <c r="W9865" s="1"/>
      <c r="X9865" s="1"/>
      <c r="Y9865" s="1"/>
      <c r="Z9865" s="1"/>
      <c r="AA9865" s="1"/>
      <c r="AB9865" s="1"/>
    </row>
    <row r="9866" ht="50.25" customHeight="1">
      <c r="A9866" s="12">
        <v>9862.0</v>
      </c>
      <c r="B9866" s="13" t="s">
        <v>9604</v>
      </c>
      <c r="C9866" s="14" t="s">
        <v>9893</v>
      </c>
      <c r="D9866" s="1"/>
      <c r="E9866" s="1"/>
      <c r="F9866" s="1" t="str">
        <f>IFERROR(__xludf.DUMMYFUNCTION("GOOGLETRANSLATE(B9866, ""en"", ""fa"")
"),"موفقیت Etsy")</f>
        <v>موفقیت Etsy</v>
      </c>
      <c r="G9866" s="1" t="str">
        <f>IFERROR(__xludf.DUMMYFUNCTION("GOOGLETRANSLATE(C9866, ""en"", ""fa"")
"),"بهترین روش‌ها برای استفاده از برچسب‌های عنوان و توضیحات متا در فهرست‌های Etsy من برای بهبود دید موتور جستجو و نرخ کلیک چیست؟")</f>
        <v>بهترین روش‌ها برای استفاده از برچسب‌های عنوان و توضیحات متا در فهرست‌های Etsy من برای بهبود دید موتور جستجو و نرخ کلیک چیست؟</v>
      </c>
      <c r="H9866" s="1"/>
      <c r="I9866" s="1"/>
      <c r="J9866" s="1"/>
      <c r="K9866" s="1"/>
      <c r="L9866" s="1"/>
      <c r="M9866" s="1"/>
      <c r="N9866" s="1"/>
      <c r="O9866" s="1"/>
      <c r="P9866" s="1"/>
      <c r="Q9866" s="1"/>
      <c r="R9866" s="1"/>
      <c r="S9866" s="1"/>
      <c r="T9866" s="1"/>
      <c r="U9866" s="1"/>
      <c r="V9866" s="1"/>
      <c r="W9866" s="1"/>
      <c r="X9866" s="1"/>
      <c r="Y9866" s="1"/>
      <c r="Z9866" s="1"/>
      <c r="AA9866" s="1"/>
      <c r="AB9866" s="1"/>
    </row>
    <row r="9867" ht="50.25" customHeight="1">
      <c r="A9867" s="12">
        <v>9863.0</v>
      </c>
      <c r="B9867" s="13" t="s">
        <v>9604</v>
      </c>
      <c r="C9867" s="14" t="s">
        <v>9894</v>
      </c>
      <c r="D9867" s="1"/>
      <c r="E9867" s="1"/>
      <c r="F9867" s="1" t="str">
        <f>IFERROR(__xludf.DUMMYFUNCTION("GOOGLETRANSLATE(B9867, ""en"", ""fa"")
"),"موفقیت Etsy")</f>
        <v>موفقیت Etsy</v>
      </c>
      <c r="G9867" s="1" t="str">
        <f>IFERROR(__xludf.DUMMYFUNCTION("GOOGLETRANSLATE(C9867, ""en"", ""fa"")
"),"چگونه می توانم عناوین فهرست خود را با زبان بازار هدف، ترجیحات و رفتار جستجوی خود در Etsy هماهنگ کنم؟")</f>
        <v>چگونه می توانم عناوین فهرست خود را با زبان بازار هدف، ترجیحات و رفتار جستجوی خود در Etsy هماهنگ کنم؟</v>
      </c>
      <c r="H9867" s="1"/>
      <c r="I9867" s="1"/>
      <c r="J9867" s="1"/>
      <c r="K9867" s="1"/>
      <c r="L9867" s="1"/>
      <c r="M9867" s="1"/>
      <c r="N9867" s="1"/>
      <c r="O9867" s="1"/>
      <c r="P9867" s="1"/>
      <c r="Q9867" s="1"/>
      <c r="R9867" s="1"/>
      <c r="S9867" s="1"/>
      <c r="T9867" s="1"/>
      <c r="U9867" s="1"/>
      <c r="V9867" s="1"/>
      <c r="W9867" s="1"/>
      <c r="X9867" s="1"/>
      <c r="Y9867" s="1"/>
      <c r="Z9867" s="1"/>
      <c r="AA9867" s="1"/>
      <c r="AB9867" s="1"/>
    </row>
    <row r="9868" ht="50.25" customHeight="1">
      <c r="A9868" s="12">
        <v>9864.0</v>
      </c>
      <c r="B9868" s="13" t="s">
        <v>9604</v>
      </c>
      <c r="C9868" s="14" t="s">
        <v>9895</v>
      </c>
      <c r="D9868" s="1"/>
      <c r="E9868" s="1"/>
      <c r="F9868" s="1" t="str">
        <f>IFERROR(__xludf.DUMMYFUNCTION("GOOGLETRANSLATE(B9868, ""en"", ""fa"")
"),"موفقیت Etsy")</f>
        <v>موفقیت Etsy</v>
      </c>
      <c r="G9868" s="1" t="str">
        <f>IFERROR(__xludf.DUMMYFUNCTION("GOOGLETRANSLATE(C9868, ""en"", ""fa"")
"),"چگونه می توانم روندهای مرتبط یا کلمات کلیدی فصلی را در عناوین فهرست خود بگنجانم تا از علایق فعلی بازار در Etsy استفاده کنم؟")</f>
        <v>چگونه می توانم روندهای مرتبط یا کلمات کلیدی فصلی را در عناوین فهرست خود بگنجانم تا از علایق فعلی بازار در Etsy استفاده کنم؟</v>
      </c>
      <c r="H9868" s="1"/>
      <c r="I9868" s="1"/>
      <c r="J9868" s="1"/>
      <c r="K9868" s="1"/>
      <c r="L9868" s="1"/>
      <c r="M9868" s="1"/>
      <c r="N9868" s="1"/>
      <c r="O9868" s="1"/>
      <c r="P9868" s="1"/>
      <c r="Q9868" s="1"/>
      <c r="R9868" s="1"/>
      <c r="S9868" s="1"/>
      <c r="T9868" s="1"/>
      <c r="U9868" s="1"/>
      <c r="V9868" s="1"/>
      <c r="W9868" s="1"/>
      <c r="X9868" s="1"/>
      <c r="Y9868" s="1"/>
      <c r="Z9868" s="1"/>
      <c r="AA9868" s="1"/>
      <c r="AB9868" s="1"/>
    </row>
    <row r="9869" ht="50.25" customHeight="1">
      <c r="A9869" s="12">
        <v>9865.0</v>
      </c>
      <c r="B9869" s="13" t="s">
        <v>9604</v>
      </c>
      <c r="C9869" s="14" t="s">
        <v>9896</v>
      </c>
      <c r="D9869" s="1"/>
      <c r="E9869" s="1"/>
      <c r="F9869" s="1" t="str">
        <f>IFERROR(__xludf.DUMMYFUNCTION("GOOGLETRANSLATE(B9869, ""en"", ""fa"")
"),"موفقیت Etsy")</f>
        <v>موفقیت Etsy</v>
      </c>
      <c r="G9869" s="1" t="str">
        <f>IFERROR(__xludf.DUMMYFUNCTION("GOOGLETRANSLATE(C9869, ""en"", ""fa"")
"),"استراتژی‌های انجام تست A/B برای مقایسه عملکرد عناوین مختلف فهرست‌بندی و بهینه‌سازی نرخ تبدیل در Etsy چیست؟")</f>
        <v>استراتژی‌های انجام تست A/B برای مقایسه عملکرد عناوین مختلف فهرست‌بندی و بهینه‌سازی نرخ تبدیل در Etsy چیست؟</v>
      </c>
      <c r="H9869" s="1"/>
      <c r="I9869" s="1"/>
      <c r="J9869" s="1"/>
      <c r="K9869" s="1"/>
      <c r="L9869" s="1"/>
      <c r="M9869" s="1"/>
      <c r="N9869" s="1"/>
      <c r="O9869" s="1"/>
      <c r="P9869" s="1"/>
      <c r="Q9869" s="1"/>
      <c r="R9869" s="1"/>
      <c r="S9869" s="1"/>
      <c r="T9869" s="1"/>
      <c r="U9869" s="1"/>
      <c r="V9869" s="1"/>
      <c r="W9869" s="1"/>
      <c r="X9869" s="1"/>
      <c r="Y9869" s="1"/>
      <c r="Z9869" s="1"/>
      <c r="AA9869" s="1"/>
      <c r="AB9869" s="1"/>
    </row>
    <row r="9870" ht="50.25" customHeight="1">
      <c r="A9870" s="12">
        <v>9866.0</v>
      </c>
      <c r="B9870" s="13" t="s">
        <v>9604</v>
      </c>
      <c r="C9870" s="14" t="s">
        <v>9897</v>
      </c>
      <c r="D9870" s="1"/>
      <c r="E9870" s="1"/>
      <c r="F9870" s="1" t="str">
        <f>IFERROR(__xludf.DUMMYFUNCTION("GOOGLETRANSLATE(B9870, ""en"", ""fa"")
"),"موفقیت Etsy")</f>
        <v>موفقیت Etsy</v>
      </c>
      <c r="G9870" s="1" t="str">
        <f>IFERROR(__xludf.DUMMYFUNCTION("GOOGLETRANSLATE(C9870, ""en"", ""fa"")
"),"چگونه می توانم از عناوین فهرست برای انتقال حس انحصاری یا کیفیت برتر برای محصولاتم در Etsy استفاده کنم؟")</f>
        <v>چگونه می توانم از عناوین فهرست برای انتقال حس انحصاری یا کیفیت برتر برای محصولاتم در Etsy استفاده کنم؟</v>
      </c>
      <c r="H9870" s="1"/>
      <c r="I9870" s="1"/>
      <c r="J9870" s="1"/>
      <c r="K9870" s="1"/>
      <c r="L9870" s="1"/>
      <c r="M9870" s="1"/>
      <c r="N9870" s="1"/>
      <c r="O9870" s="1"/>
      <c r="P9870" s="1"/>
      <c r="Q9870" s="1"/>
      <c r="R9870" s="1"/>
      <c r="S9870" s="1"/>
      <c r="T9870" s="1"/>
      <c r="U9870" s="1"/>
      <c r="V9870" s="1"/>
      <c r="W9870" s="1"/>
      <c r="X9870" s="1"/>
      <c r="Y9870" s="1"/>
      <c r="Z9870" s="1"/>
      <c r="AA9870" s="1"/>
      <c r="AB9870" s="1"/>
    </row>
    <row r="9871" ht="50.25" customHeight="1">
      <c r="A9871" s="12">
        <v>9867.0</v>
      </c>
      <c r="B9871" s="13" t="s">
        <v>9604</v>
      </c>
      <c r="C9871" s="14" t="s">
        <v>9898</v>
      </c>
      <c r="D9871" s="1"/>
      <c r="E9871" s="1"/>
      <c r="F9871" s="1" t="str">
        <f>IFERROR(__xludf.DUMMYFUNCTION("GOOGLETRANSLATE(B9871, ""en"", ""fa"")
"),"موفقیت Etsy")</f>
        <v>موفقیت Etsy</v>
      </c>
      <c r="G9871" s="1" t="str">
        <f>IFERROR(__xludf.DUMMYFUNCTION("GOOGLETRANSLATE(C9871, ""en"", ""fa"")
"),"ملاحظات برای ایجاد تعادل بین خلاقیت و وضوح در عناوین فهرست من برای اطمینان از اینکه آنها به طور مؤثر ماهیت محصول را در Etsy ارتباط برقرار می کنند چیست؟")</f>
        <v>ملاحظات برای ایجاد تعادل بین خلاقیت و وضوح در عناوین فهرست من برای اطمینان از اینکه آنها به طور مؤثر ماهیت محصول را در Etsy ارتباط برقرار می کنند چیست؟</v>
      </c>
      <c r="H9871" s="1"/>
      <c r="I9871" s="1"/>
      <c r="J9871" s="1"/>
      <c r="K9871" s="1"/>
      <c r="L9871" s="1"/>
      <c r="M9871" s="1"/>
      <c r="N9871" s="1"/>
      <c r="O9871" s="1"/>
      <c r="P9871" s="1"/>
      <c r="Q9871" s="1"/>
      <c r="R9871" s="1"/>
      <c r="S9871" s="1"/>
      <c r="T9871" s="1"/>
      <c r="U9871" s="1"/>
      <c r="V9871" s="1"/>
      <c r="W9871" s="1"/>
      <c r="X9871" s="1"/>
      <c r="Y9871" s="1"/>
      <c r="Z9871" s="1"/>
      <c r="AA9871" s="1"/>
      <c r="AB9871" s="1"/>
    </row>
    <row r="9872" ht="50.25" customHeight="1">
      <c r="A9872" s="12">
        <v>9868.0</v>
      </c>
      <c r="B9872" s="13" t="s">
        <v>9604</v>
      </c>
      <c r="C9872" s="14" t="s">
        <v>9899</v>
      </c>
      <c r="D9872" s="1"/>
      <c r="E9872" s="1"/>
      <c r="F9872" s="1" t="str">
        <f>IFERROR(__xludf.DUMMYFUNCTION("GOOGLETRANSLATE(B9872, ""en"", ""fa"")
"),"موفقیت Etsy")</f>
        <v>موفقیت Etsy</v>
      </c>
      <c r="G9872" s="1" t="str">
        <f>IFERROR(__xludf.DUMMYFUNCTION("GOOGLETRANSLATE(C9872, ""en"", ""fa"")
"),"چگونه می توانم به نقاط درد مشترک مشتری یا مشکلات موجود در عناوین فهرست خود بپردازم تا محصولات خود را به عنوان راه حل در Etsy قرار دهم؟")</f>
        <v>چگونه می توانم به نقاط درد مشترک مشتری یا مشکلات موجود در عناوین فهرست خود بپردازم تا محصولات خود را به عنوان راه حل در Etsy قرار دهم؟</v>
      </c>
      <c r="H9872" s="1"/>
      <c r="I9872" s="1"/>
      <c r="J9872" s="1"/>
      <c r="K9872" s="1"/>
      <c r="L9872" s="1"/>
      <c r="M9872" s="1"/>
      <c r="N9872" s="1"/>
      <c r="O9872" s="1"/>
      <c r="P9872" s="1"/>
      <c r="Q9872" s="1"/>
      <c r="R9872" s="1"/>
      <c r="S9872" s="1"/>
      <c r="T9872" s="1"/>
      <c r="U9872" s="1"/>
      <c r="V9872" s="1"/>
      <c r="W9872" s="1"/>
      <c r="X9872" s="1"/>
      <c r="Y9872" s="1"/>
      <c r="Z9872" s="1"/>
      <c r="AA9872" s="1"/>
      <c r="AB9872" s="1"/>
    </row>
    <row r="9873" ht="50.25" customHeight="1">
      <c r="A9873" s="12">
        <v>9869.0</v>
      </c>
      <c r="B9873" s="13" t="s">
        <v>9604</v>
      </c>
      <c r="C9873" s="14" t="s">
        <v>9900</v>
      </c>
      <c r="D9873" s="1"/>
      <c r="E9873" s="1"/>
      <c r="F9873" s="1" t="str">
        <f>IFERROR(__xludf.DUMMYFUNCTION("GOOGLETRANSLATE(B9873, ""en"", ""fa"")
"),"موفقیت Etsy")</f>
        <v>موفقیت Etsy</v>
      </c>
      <c r="G9873" s="1" t="str">
        <f>IFERROR(__xludf.DUMMYFUNCTION("GOOGLETRANSLATE(C9873, ""en"", ""fa"")
"),"چگونه می توانم عناوین فهرست خود را به گونه ای قالب بندی کنم که از نظر بصری جذاب و خواندن آن ها در دستگاه های دسکتاپ و تلفن همراه در Etsy آسان شود؟")</f>
        <v>چگونه می توانم عناوین فهرست خود را به گونه ای قالب بندی کنم که از نظر بصری جذاب و خواندن آن ها در دستگاه های دسکتاپ و تلفن همراه در Etsy آسان شود؟</v>
      </c>
      <c r="H9873" s="1"/>
      <c r="I9873" s="1"/>
      <c r="J9873" s="1"/>
      <c r="K9873" s="1"/>
      <c r="L9873" s="1"/>
      <c r="M9873" s="1"/>
      <c r="N9873" s="1"/>
      <c r="O9873" s="1"/>
      <c r="P9873" s="1"/>
      <c r="Q9873" s="1"/>
      <c r="R9873" s="1"/>
      <c r="S9873" s="1"/>
      <c r="T9873" s="1"/>
      <c r="U9873" s="1"/>
      <c r="V9873" s="1"/>
      <c r="W9873" s="1"/>
      <c r="X9873" s="1"/>
      <c r="Y9873" s="1"/>
      <c r="Z9873" s="1"/>
      <c r="AA9873" s="1"/>
      <c r="AB9873" s="1"/>
    </row>
    <row r="9874" ht="50.25" customHeight="1">
      <c r="A9874" s="12">
        <v>9870.0</v>
      </c>
      <c r="B9874" s="13" t="s">
        <v>9604</v>
      </c>
      <c r="C9874" s="14" t="s">
        <v>9901</v>
      </c>
      <c r="D9874" s="1"/>
      <c r="E9874" s="1"/>
      <c r="F9874" s="1" t="str">
        <f>IFERROR(__xludf.DUMMYFUNCTION("GOOGLETRANSLATE(B9874, ""en"", ""fa"")
"),"موفقیت Etsy")</f>
        <v>موفقیت Etsy</v>
      </c>
      <c r="G9874" s="1" t="str">
        <f>IFERROR(__xludf.DUMMYFUNCTION("GOOGLETRANSLATE(C9874, ""en"", ""fa"")
"),"استراتژی‌هایی برای تطبیق عناوین فهرست من برای هدف قرار دادن بخش‌های خاص مشتری یا بازارهای خاص در Etsy چیست؟")</f>
        <v>استراتژی‌هایی برای تطبیق عناوین فهرست من برای هدف قرار دادن بخش‌های خاص مشتری یا بازارهای خاص در Etsy چیست؟</v>
      </c>
      <c r="H9874" s="1"/>
      <c r="I9874" s="1"/>
      <c r="J9874" s="1"/>
      <c r="K9874" s="1"/>
      <c r="L9874" s="1"/>
      <c r="M9874" s="1"/>
      <c r="N9874" s="1"/>
      <c r="O9874" s="1"/>
      <c r="P9874" s="1"/>
      <c r="Q9874" s="1"/>
      <c r="R9874" s="1"/>
      <c r="S9874" s="1"/>
      <c r="T9874" s="1"/>
      <c r="U9874" s="1"/>
      <c r="V9874" s="1"/>
      <c r="W9874" s="1"/>
      <c r="X9874" s="1"/>
      <c r="Y9874" s="1"/>
      <c r="Z9874" s="1"/>
      <c r="AA9874" s="1"/>
      <c r="AB9874" s="1"/>
    </row>
    <row r="9875" ht="50.25" customHeight="1">
      <c r="A9875" s="12">
        <v>9871.0</v>
      </c>
      <c r="B9875" s="13" t="s">
        <v>9604</v>
      </c>
      <c r="C9875" s="14" t="s">
        <v>9902</v>
      </c>
      <c r="D9875" s="1"/>
      <c r="E9875" s="1"/>
      <c r="F9875" s="1" t="str">
        <f>IFERROR(__xludf.DUMMYFUNCTION("GOOGLETRANSLATE(B9875, ""en"", ""fa"")
"),"موفقیت Etsy")</f>
        <v>موفقیت Etsy</v>
      </c>
      <c r="G9875" s="1" t="str">
        <f>IFERROR(__xludf.DUMMYFUNCTION("GOOGLETRANSLATE(C9875, ""en"", ""fa"")
"),"چگونه می توانم از عناوین فهرست برای ایجاد هویت و شناخت قوی برند برای محصولاتم در Etsy استفاده کنم؟")</f>
        <v>چگونه می توانم از عناوین فهرست برای ایجاد هویت و شناخت قوی برند برای محصولاتم در Etsy استفاده کنم؟</v>
      </c>
      <c r="H9875" s="1"/>
      <c r="I9875" s="1"/>
      <c r="J9875" s="1"/>
      <c r="K9875" s="1"/>
      <c r="L9875" s="1"/>
      <c r="M9875" s="1"/>
      <c r="N9875" s="1"/>
      <c r="O9875" s="1"/>
      <c r="P9875" s="1"/>
      <c r="Q9875" s="1"/>
      <c r="R9875" s="1"/>
      <c r="S9875" s="1"/>
      <c r="T9875" s="1"/>
      <c r="U9875" s="1"/>
      <c r="V9875" s="1"/>
      <c r="W9875" s="1"/>
      <c r="X9875" s="1"/>
      <c r="Y9875" s="1"/>
      <c r="Z9875" s="1"/>
      <c r="AA9875" s="1"/>
      <c r="AB9875" s="1"/>
    </row>
    <row r="9876" ht="50.25" customHeight="1">
      <c r="A9876" s="12">
        <v>9872.0</v>
      </c>
      <c r="B9876" s="13" t="s">
        <v>9604</v>
      </c>
      <c r="C9876" s="14" t="s">
        <v>9903</v>
      </c>
      <c r="D9876" s="1"/>
      <c r="E9876" s="1"/>
      <c r="F9876" s="1" t="str">
        <f>IFERROR(__xludf.DUMMYFUNCTION("GOOGLETRANSLATE(B9876, ""en"", ""fa"")
"),"موفقیت Etsy")</f>
        <v>موفقیت Etsy</v>
      </c>
      <c r="G9876" s="1" t="str">
        <f>IFERROR(__xludf.DUMMYFUNCTION("GOOGLETRANSLATE(C9876, ""en"", ""fa"")
"),"چگونه می توانم عناصر داستان سرایی یا محرک های احساسی را در عناوین فهرست خود بگنجانم تا با خریداران بالقوه در Etsy درگیر و طنین انداز شوم؟")</f>
        <v>چگونه می توانم عناصر داستان سرایی یا محرک های احساسی را در عناوین فهرست خود بگنجانم تا با خریداران بالقوه در Etsy درگیر و طنین انداز شوم؟</v>
      </c>
      <c r="H9876" s="1"/>
      <c r="I9876" s="1"/>
      <c r="J9876" s="1"/>
      <c r="K9876" s="1"/>
      <c r="L9876" s="1"/>
      <c r="M9876" s="1"/>
      <c r="N9876" s="1"/>
      <c r="O9876" s="1"/>
      <c r="P9876" s="1"/>
      <c r="Q9876" s="1"/>
      <c r="R9876" s="1"/>
      <c r="S9876" s="1"/>
      <c r="T9876" s="1"/>
      <c r="U9876" s="1"/>
      <c r="V9876" s="1"/>
      <c r="W9876" s="1"/>
      <c r="X9876" s="1"/>
      <c r="Y9876" s="1"/>
      <c r="Z9876" s="1"/>
      <c r="AA9876" s="1"/>
      <c r="AB9876" s="1"/>
    </row>
    <row r="9877" ht="50.25" customHeight="1">
      <c r="A9877" s="12">
        <v>9873.0</v>
      </c>
      <c r="B9877" s="13" t="s">
        <v>9604</v>
      </c>
      <c r="C9877" s="14" t="s">
        <v>9904</v>
      </c>
      <c r="D9877" s="1"/>
      <c r="E9877" s="1"/>
      <c r="F9877" s="1" t="str">
        <f>IFERROR(__xludf.DUMMYFUNCTION("GOOGLETRANSLATE(B9877, ""en"", ""fa"")
"),"موفقیت Etsy")</f>
        <v>موفقیت Etsy</v>
      </c>
      <c r="G9877" s="1" t="str">
        <f>IFERROR(__xludf.DUMMYFUNCTION("GOOGLETRANSLATE(C9877, ""en"", ""fa"")
"),"ملاحظات استفاده از اصطلاحات خاص محصول یا صنعت در عناوین فهرست من برای جذب خریداران آگاه در Etsy چیست؟")</f>
        <v>ملاحظات استفاده از اصطلاحات خاص محصول یا صنعت در عناوین فهرست من برای جذب خریداران آگاه در Etsy چیست؟</v>
      </c>
      <c r="H9877" s="1"/>
      <c r="I9877" s="1"/>
      <c r="J9877" s="1"/>
      <c r="K9877" s="1"/>
      <c r="L9877" s="1"/>
      <c r="M9877" s="1"/>
      <c r="N9877" s="1"/>
      <c r="O9877" s="1"/>
      <c r="P9877" s="1"/>
      <c r="Q9877" s="1"/>
      <c r="R9877" s="1"/>
      <c r="S9877" s="1"/>
      <c r="T9877" s="1"/>
      <c r="U9877" s="1"/>
      <c r="V9877" s="1"/>
      <c r="W9877" s="1"/>
      <c r="X9877" s="1"/>
      <c r="Y9877" s="1"/>
      <c r="Z9877" s="1"/>
      <c r="AA9877" s="1"/>
      <c r="AB9877" s="1"/>
    </row>
    <row r="9878" ht="50.25" customHeight="1">
      <c r="A9878" s="12">
        <v>9874.0</v>
      </c>
      <c r="B9878" s="13" t="s">
        <v>9604</v>
      </c>
      <c r="C9878" s="14" t="s">
        <v>9905</v>
      </c>
      <c r="D9878" s="1"/>
      <c r="E9878" s="1"/>
      <c r="F9878" s="1" t="str">
        <f>IFERROR(__xludf.DUMMYFUNCTION("GOOGLETRANSLATE(B9878, ""en"", ""fa"")
"),"موفقیت Etsy")</f>
        <v>موفقیت Etsy</v>
      </c>
      <c r="G9878" s="1" t="str">
        <f>IFERROR(__xludf.DUMMYFUNCTION("GOOGLETRANSLATE(C9878, ""en"", ""fa"")
"),"چگونه می توانم عناوین لیست رقبا را تجزیه و تحلیل کنم و فرصت هایی را برای متمایز کردن و بهبود عناوین خودم در Etsy شناسایی کنم؟")</f>
        <v>چگونه می توانم عناوین لیست رقبا را تجزیه و تحلیل کنم و فرصت هایی را برای متمایز کردن و بهبود عناوین خودم در Etsy شناسایی کنم؟</v>
      </c>
      <c r="H9878" s="1"/>
      <c r="I9878" s="1"/>
      <c r="J9878" s="1"/>
      <c r="K9878" s="1"/>
      <c r="L9878" s="1"/>
      <c r="M9878" s="1"/>
      <c r="N9878" s="1"/>
      <c r="O9878" s="1"/>
      <c r="P9878" s="1"/>
      <c r="Q9878" s="1"/>
      <c r="R9878" s="1"/>
      <c r="S9878" s="1"/>
      <c r="T9878" s="1"/>
      <c r="U9878" s="1"/>
      <c r="V9878" s="1"/>
      <c r="W9878" s="1"/>
      <c r="X9878" s="1"/>
      <c r="Y9878" s="1"/>
      <c r="Z9878" s="1"/>
      <c r="AA9878" s="1"/>
      <c r="AB9878" s="1"/>
    </row>
    <row r="9879" ht="50.25" customHeight="1">
      <c r="A9879" s="12">
        <v>9875.0</v>
      </c>
      <c r="B9879" s="13" t="s">
        <v>9604</v>
      </c>
      <c r="C9879" s="14" t="s">
        <v>9906</v>
      </c>
      <c r="D9879" s="1"/>
      <c r="E9879" s="1"/>
      <c r="F9879" s="1" t="str">
        <f>IFERROR(__xludf.DUMMYFUNCTION("GOOGLETRANSLATE(B9879, ""en"", ""fa"")
"),"موفقیت Etsy")</f>
        <v>موفقیت Etsy</v>
      </c>
      <c r="G9879" s="1" t="str">
        <f>IFERROR(__xludf.DUMMYFUNCTION("GOOGLETRANSLATE(C9879, ""en"", ""fa"")
"),"استراتژی‌های بهینه‌سازی عناوین فهرست من برای جستجوی موبایل و جستجوی صوتی در Etsy چیست؟")</f>
        <v>استراتژی‌های بهینه‌سازی عناوین فهرست من برای جستجوی موبایل و جستجوی صوتی در Etsy چیست؟</v>
      </c>
      <c r="H9879" s="1"/>
      <c r="I9879" s="1"/>
      <c r="J9879" s="1"/>
      <c r="K9879" s="1"/>
      <c r="L9879" s="1"/>
      <c r="M9879" s="1"/>
      <c r="N9879" s="1"/>
      <c r="O9879" s="1"/>
      <c r="P9879" s="1"/>
      <c r="Q9879" s="1"/>
      <c r="R9879" s="1"/>
      <c r="S9879" s="1"/>
      <c r="T9879" s="1"/>
      <c r="U9879" s="1"/>
      <c r="V9879" s="1"/>
      <c r="W9879" s="1"/>
      <c r="X9879" s="1"/>
      <c r="Y9879" s="1"/>
      <c r="Z9879" s="1"/>
      <c r="AA9879" s="1"/>
      <c r="AB9879" s="1"/>
    </row>
    <row r="9880" ht="50.25" customHeight="1">
      <c r="A9880" s="12">
        <v>9876.0</v>
      </c>
      <c r="B9880" s="13" t="s">
        <v>9604</v>
      </c>
      <c r="C9880" s="14" t="s">
        <v>9907</v>
      </c>
      <c r="D9880" s="1"/>
      <c r="E9880" s="1"/>
      <c r="F9880" s="1" t="str">
        <f>IFERROR(__xludf.DUMMYFUNCTION("GOOGLETRANSLATE(B9880, ""en"", ""fa"")
"),"موفقیت Etsy")</f>
        <v>موفقیت Etsy</v>
      </c>
      <c r="G9880" s="1" t="str">
        <f>IFERROR(__xludf.DUMMYFUNCTION("GOOGLETRANSLATE(C9880, ""en"", ""fa"")
"),"چگونه می‌توانم عناوین فهرست‌بندی را ایجاد کنم که نیازها، خواسته‌ها یا آرزوهای خاص بازار هدف من را در Etsy بیان کنند؟")</f>
        <v>چگونه می‌توانم عناوین فهرست‌بندی را ایجاد کنم که نیازها، خواسته‌ها یا آرزوهای خاص بازار هدف من را در Etsy بیان کنند؟</v>
      </c>
      <c r="H9880" s="1"/>
      <c r="I9880" s="1"/>
      <c r="J9880" s="1"/>
      <c r="K9880" s="1"/>
      <c r="L9880" s="1"/>
      <c r="M9880" s="1"/>
      <c r="N9880" s="1"/>
      <c r="O9880" s="1"/>
      <c r="P9880" s="1"/>
      <c r="Q9880" s="1"/>
      <c r="R9880" s="1"/>
      <c r="S9880" s="1"/>
      <c r="T9880" s="1"/>
      <c r="U9880" s="1"/>
      <c r="V9880" s="1"/>
      <c r="W9880" s="1"/>
      <c r="X9880" s="1"/>
      <c r="Y9880" s="1"/>
      <c r="Z9880" s="1"/>
      <c r="AA9880" s="1"/>
      <c r="AB9880" s="1"/>
    </row>
    <row r="9881" ht="50.25" customHeight="1">
      <c r="A9881" s="12">
        <v>9877.0</v>
      </c>
      <c r="B9881" s="13" t="s">
        <v>9604</v>
      </c>
      <c r="C9881" s="14" t="s">
        <v>9908</v>
      </c>
      <c r="D9881" s="1"/>
      <c r="E9881" s="1"/>
      <c r="F9881" s="1" t="str">
        <f>IFERROR(__xludf.DUMMYFUNCTION("GOOGLETRANSLATE(B9881, ""en"", ""fa"")
"),"موفقیت Etsy")</f>
        <v>موفقیت Etsy</v>
      </c>
      <c r="G9881" s="1" t="str">
        <f>IFERROR(__xludf.DUMMYFUNCTION("GOOGLETRANSLATE(C9881, ""en"", ""fa"")
"),"بهترین روش برای استفاده از زبان مختصر و تاثیرگذار در عناوین فهرست من برای جلب توجه و انتقال ارزش در Etsy چیست؟")</f>
        <v>بهترین روش برای استفاده از زبان مختصر و تاثیرگذار در عناوین فهرست من برای جلب توجه و انتقال ارزش در Etsy چیست؟</v>
      </c>
      <c r="H9881" s="1"/>
      <c r="I9881" s="1"/>
      <c r="J9881" s="1"/>
      <c r="K9881" s="1"/>
      <c r="L9881" s="1"/>
      <c r="M9881" s="1"/>
      <c r="N9881" s="1"/>
      <c r="O9881" s="1"/>
      <c r="P9881" s="1"/>
      <c r="Q9881" s="1"/>
      <c r="R9881" s="1"/>
      <c r="S9881" s="1"/>
      <c r="T9881" s="1"/>
      <c r="U9881" s="1"/>
      <c r="V9881" s="1"/>
      <c r="W9881" s="1"/>
      <c r="X9881" s="1"/>
      <c r="Y9881" s="1"/>
      <c r="Z9881" s="1"/>
      <c r="AA9881" s="1"/>
      <c r="AB9881" s="1"/>
    </row>
    <row r="9882" ht="50.25" customHeight="1">
      <c r="A9882" s="12">
        <v>9878.0</v>
      </c>
      <c r="B9882" s="13" t="s">
        <v>9604</v>
      </c>
      <c r="C9882" s="14" t="s">
        <v>9909</v>
      </c>
      <c r="D9882" s="1"/>
      <c r="E9882" s="1"/>
      <c r="F9882" s="1" t="str">
        <f>IFERROR(__xludf.DUMMYFUNCTION("GOOGLETRANSLATE(B9882, ""en"", ""fa"")
"),"موفقیت Etsy")</f>
        <v>موفقیت Etsy</v>
      </c>
      <c r="G9882" s="1" t="str">
        <f>IFERROR(__xludf.DUMMYFUNCTION("GOOGLETRANSLATE(C9882, ""en"", ""fa"")
"),"چگونه می توانم از عناوین فهرست برای تبلیغ موثر محصولات مرتبط یا فروش اقلام اضافی در فروشگاه Etsy خود استفاده کنم؟")</f>
        <v>چگونه می توانم از عناوین فهرست برای تبلیغ موثر محصولات مرتبط یا فروش اقلام اضافی در فروشگاه Etsy خود استفاده کنم؟</v>
      </c>
      <c r="H9882" s="1"/>
      <c r="I9882" s="1"/>
      <c r="J9882" s="1"/>
      <c r="K9882" s="1"/>
      <c r="L9882" s="1"/>
      <c r="M9882" s="1"/>
      <c r="N9882" s="1"/>
      <c r="O9882" s="1"/>
      <c r="P9882" s="1"/>
      <c r="Q9882" s="1"/>
      <c r="R9882" s="1"/>
      <c r="S9882" s="1"/>
      <c r="T9882" s="1"/>
      <c r="U9882" s="1"/>
      <c r="V9882" s="1"/>
      <c r="W9882" s="1"/>
      <c r="X9882" s="1"/>
      <c r="Y9882" s="1"/>
      <c r="Z9882" s="1"/>
      <c r="AA9882" s="1"/>
      <c r="AB9882" s="1"/>
    </row>
    <row r="9883" ht="50.25" customHeight="1">
      <c r="A9883" s="12">
        <v>9879.0</v>
      </c>
      <c r="B9883" s="13" t="s">
        <v>9604</v>
      </c>
      <c r="C9883" s="14" t="s">
        <v>9910</v>
      </c>
      <c r="D9883" s="1"/>
      <c r="E9883" s="1"/>
      <c r="F9883" s="1" t="str">
        <f>IFERROR(__xludf.DUMMYFUNCTION("GOOGLETRANSLATE(B9883, ""en"", ""fa"")
"),"موفقیت Etsy")</f>
        <v>موفقیت Etsy</v>
      </c>
      <c r="G9883" s="1" t="str">
        <f>IFERROR(__xludf.DUMMYFUNCTION("GOOGLETRANSLATE(C9883, ""en"", ""fa"")
"),"چگونه می توانم برای ارزیابی اثربخشی عناوین فهرست خود در جذب و جذب خریداران بالقوه در Etsy، آزمایش کاربر انجام دهم یا بازخورد جمع آوری کنم؟")</f>
        <v>چگونه می توانم برای ارزیابی اثربخشی عناوین فهرست خود در جذب و جذب خریداران بالقوه در Etsy، آزمایش کاربر انجام دهم یا بازخورد جمع آوری کنم؟</v>
      </c>
      <c r="H9883" s="1"/>
      <c r="I9883" s="1"/>
      <c r="J9883" s="1"/>
      <c r="K9883" s="1"/>
      <c r="L9883" s="1"/>
      <c r="M9883" s="1"/>
      <c r="N9883" s="1"/>
      <c r="O9883" s="1"/>
      <c r="P9883" s="1"/>
      <c r="Q9883" s="1"/>
      <c r="R9883" s="1"/>
      <c r="S9883" s="1"/>
      <c r="T9883" s="1"/>
      <c r="U9883" s="1"/>
      <c r="V9883" s="1"/>
      <c r="W9883" s="1"/>
      <c r="X9883" s="1"/>
      <c r="Y9883" s="1"/>
      <c r="Z9883" s="1"/>
      <c r="AA9883" s="1"/>
      <c r="AB9883" s="1"/>
    </row>
    <row r="9884" ht="50.25" customHeight="1">
      <c r="A9884" s="12">
        <v>9880.0</v>
      </c>
      <c r="B9884" s="13" t="s">
        <v>9604</v>
      </c>
      <c r="C9884" s="14" t="s">
        <v>9911</v>
      </c>
      <c r="D9884" s="1"/>
      <c r="E9884" s="1"/>
      <c r="F9884" s="1" t="str">
        <f>IFERROR(__xludf.DUMMYFUNCTION("GOOGLETRANSLATE(B9884, ""en"", ""fa"")
"),"موفقیت Etsy")</f>
        <v>موفقیت Etsy</v>
      </c>
      <c r="G9884" s="1" t="str">
        <f>IFERROR(__xludf.DUMMYFUNCTION("GOOGLETRANSLATE(C9884, ""en"", ""fa"")
"),"استراتژی‌هایی برای ادغام هشتگ‌های مرتبط یا کلیدواژه‌های پرطرفدار در عناوین فهرست من برای گسترش دسترسی و دیده شدن در Etsy چیست؟")</f>
        <v>استراتژی‌هایی برای ادغام هشتگ‌های مرتبط یا کلیدواژه‌های پرطرفدار در عناوین فهرست من برای گسترش دسترسی و دیده شدن در Etsy چیست؟</v>
      </c>
      <c r="H9884" s="1"/>
      <c r="I9884" s="1"/>
      <c r="J9884" s="1"/>
      <c r="K9884" s="1"/>
      <c r="L9884" s="1"/>
      <c r="M9884" s="1"/>
      <c r="N9884" s="1"/>
      <c r="O9884" s="1"/>
      <c r="P9884" s="1"/>
      <c r="Q9884" s="1"/>
      <c r="R9884" s="1"/>
      <c r="S9884" s="1"/>
      <c r="T9884" s="1"/>
      <c r="U9884" s="1"/>
      <c r="V9884" s="1"/>
      <c r="W9884" s="1"/>
      <c r="X9884" s="1"/>
      <c r="Y9884" s="1"/>
      <c r="Z9884" s="1"/>
      <c r="AA9884" s="1"/>
      <c r="AB9884" s="1"/>
    </row>
    <row r="9885" ht="50.25" customHeight="1">
      <c r="A9885" s="12">
        <v>9881.0</v>
      </c>
      <c r="B9885" s="13" t="s">
        <v>9604</v>
      </c>
      <c r="C9885" s="14" t="s">
        <v>9912</v>
      </c>
      <c r="D9885" s="1"/>
      <c r="E9885" s="1"/>
      <c r="F9885" s="1" t="str">
        <f>IFERROR(__xludf.DUMMYFUNCTION("GOOGLETRANSLATE(B9885, ""en"", ""fa"")
"),"موفقیت Etsy")</f>
        <v>موفقیت Etsy</v>
      </c>
      <c r="G9885" s="1" t="str">
        <f>IFERROR(__xludf.DUMMYFUNCTION("GOOGLETRANSLATE(C9885, ""en"", ""fa"")
"),"چگونه می توانم عناوین فهرست خود را برای مطابقت با الگوریتم جستجوی Etsy و بهبود رتبه محصولات خود در نتایج جستجو بهینه کنم؟")</f>
        <v>چگونه می توانم عناوین فهرست خود را برای مطابقت با الگوریتم جستجوی Etsy و بهبود رتبه محصولات خود در نتایج جستجو بهینه کنم؟</v>
      </c>
      <c r="H9885" s="1"/>
      <c r="I9885" s="1"/>
      <c r="J9885" s="1"/>
      <c r="K9885" s="1"/>
      <c r="L9885" s="1"/>
      <c r="M9885" s="1"/>
      <c r="N9885" s="1"/>
      <c r="O9885" s="1"/>
      <c r="P9885" s="1"/>
      <c r="Q9885" s="1"/>
      <c r="R9885" s="1"/>
      <c r="S9885" s="1"/>
      <c r="T9885" s="1"/>
      <c r="U9885" s="1"/>
      <c r="V9885" s="1"/>
      <c r="W9885" s="1"/>
      <c r="X9885" s="1"/>
      <c r="Y9885" s="1"/>
      <c r="Z9885" s="1"/>
      <c r="AA9885" s="1"/>
      <c r="AB9885" s="1"/>
    </row>
    <row r="9886" ht="50.25" customHeight="1">
      <c r="A9886" s="12">
        <v>9882.0</v>
      </c>
      <c r="B9886" s="13" t="s">
        <v>9604</v>
      </c>
      <c r="C9886" s="14" t="s">
        <v>9913</v>
      </c>
      <c r="D9886" s="1"/>
      <c r="E9886" s="1"/>
      <c r="F9886" s="1" t="str">
        <f>IFERROR(__xludf.DUMMYFUNCTION("GOOGLETRANSLATE(B9886, ""en"", ""fa"")
"),"موفقیت Etsy")</f>
        <v>موفقیت Etsy</v>
      </c>
      <c r="G9886" s="1" t="str">
        <f>IFERROR(__xludf.DUMMYFUNCTION("GOOGLETRANSLATE(C9886, ""en"", ""fa"")
"),"چگونه می توانم عناوین لیستی را ایجاد کنم که هم بهینه سازی موتورهای جستجو (SEO) و هم جذابیت مشتری در Etsy را تامین کند؟")</f>
        <v>چگونه می توانم عناوین لیستی را ایجاد کنم که هم بهینه سازی موتورهای جستجو (SEO) و هم جذابیت مشتری در Etsy را تامین کند؟</v>
      </c>
      <c r="H9886" s="1"/>
      <c r="I9886" s="1"/>
      <c r="J9886" s="1"/>
      <c r="K9886" s="1"/>
      <c r="L9886" s="1"/>
      <c r="M9886" s="1"/>
      <c r="N9886" s="1"/>
      <c r="O9886" s="1"/>
      <c r="P9886" s="1"/>
      <c r="Q9886" s="1"/>
      <c r="R9886" s="1"/>
      <c r="S9886" s="1"/>
      <c r="T9886" s="1"/>
      <c r="U9886" s="1"/>
      <c r="V9886" s="1"/>
      <c r="W9886" s="1"/>
      <c r="X9886" s="1"/>
      <c r="Y9886" s="1"/>
      <c r="Z9886" s="1"/>
      <c r="AA9886" s="1"/>
      <c r="AB9886" s="1"/>
    </row>
    <row r="9887" ht="50.25" customHeight="1">
      <c r="A9887" s="12">
        <v>9883.0</v>
      </c>
      <c r="B9887" s="13" t="s">
        <v>9604</v>
      </c>
      <c r="C9887" s="14" t="s">
        <v>9914</v>
      </c>
      <c r="D9887" s="1"/>
      <c r="E9887" s="1"/>
      <c r="F9887" s="1" t="str">
        <f>IFERROR(__xludf.DUMMYFUNCTION("GOOGLETRANSLATE(B9887, ""en"", ""fa"")
"),"موفقیت Etsy")</f>
        <v>موفقیت Etsy</v>
      </c>
      <c r="G9887" s="1" t="str">
        <f>IFERROR(__xludf.DUMMYFUNCTION("GOOGLETRANSLATE(C9887, ""en"", ""fa"")
"),"ملاحظات برای جلوگیری از هرزنامه یا اقدامات گمراه کننده در عناوین فهرست من که می تواند به شهرت فروشگاه من در Etsy آسیب برساند چیست؟")</f>
        <v>ملاحظات برای جلوگیری از هرزنامه یا اقدامات گمراه کننده در عناوین فهرست من که می تواند به شهرت فروشگاه من در Etsy آسیب برساند چیست؟</v>
      </c>
      <c r="H9887" s="1"/>
      <c r="I9887" s="1"/>
      <c r="J9887" s="1"/>
      <c r="K9887" s="1"/>
      <c r="L9887" s="1"/>
      <c r="M9887" s="1"/>
      <c r="N9887" s="1"/>
      <c r="O9887" s="1"/>
      <c r="P9887" s="1"/>
      <c r="Q9887" s="1"/>
      <c r="R9887" s="1"/>
      <c r="S9887" s="1"/>
      <c r="T9887" s="1"/>
      <c r="U9887" s="1"/>
      <c r="V9887" s="1"/>
      <c r="W9887" s="1"/>
      <c r="X9887" s="1"/>
      <c r="Y9887" s="1"/>
      <c r="Z9887" s="1"/>
      <c r="AA9887" s="1"/>
      <c r="AB9887" s="1"/>
    </row>
    <row r="9888" ht="50.25" customHeight="1">
      <c r="A9888" s="12">
        <v>9884.0</v>
      </c>
      <c r="B9888" s="13" t="s">
        <v>9604</v>
      </c>
      <c r="C9888" s="14" t="s">
        <v>9915</v>
      </c>
      <c r="D9888" s="1"/>
      <c r="E9888" s="1"/>
      <c r="F9888" s="1" t="str">
        <f>IFERROR(__xludf.DUMMYFUNCTION("GOOGLETRANSLATE(B9888, ""en"", ""fa"")
"),"موفقیت Etsy")</f>
        <v>موفقیت Etsy</v>
      </c>
      <c r="G9888" s="1" t="str">
        <f>IFERROR(__xludf.DUMMYFUNCTION("GOOGLETRANSLATE(C9888, ""en"", ""fa"")
"),"چگونه می توانم عناوین لیستی ایجاد کنم که حس اعتماد، اعتبار و حرفه ای بودن را برای محصولات من در Etsy ایجاد کنند؟")</f>
        <v>چگونه می توانم عناوین لیستی ایجاد کنم که حس اعتماد، اعتبار و حرفه ای بودن را برای محصولات من در Etsy ایجاد کنند؟</v>
      </c>
      <c r="H9888" s="1"/>
      <c r="I9888" s="1"/>
      <c r="J9888" s="1"/>
      <c r="K9888" s="1"/>
      <c r="L9888" s="1"/>
      <c r="M9888" s="1"/>
      <c r="N9888" s="1"/>
      <c r="O9888" s="1"/>
      <c r="P9888" s="1"/>
      <c r="Q9888" s="1"/>
      <c r="R9888" s="1"/>
      <c r="S9888" s="1"/>
      <c r="T9888" s="1"/>
      <c r="U9888" s="1"/>
      <c r="V9888" s="1"/>
      <c r="W9888" s="1"/>
      <c r="X9888" s="1"/>
      <c r="Y9888" s="1"/>
      <c r="Z9888" s="1"/>
      <c r="AA9888" s="1"/>
      <c r="AB9888" s="1"/>
    </row>
    <row r="9889" ht="50.25" customHeight="1">
      <c r="A9889" s="12">
        <v>9885.0</v>
      </c>
      <c r="B9889" s="13" t="s">
        <v>9604</v>
      </c>
      <c r="C9889" s="14" t="s">
        <v>9916</v>
      </c>
      <c r="D9889" s="1"/>
      <c r="E9889" s="1"/>
      <c r="F9889" s="1" t="str">
        <f>IFERROR(__xludf.DUMMYFUNCTION("GOOGLETRANSLATE(B9889, ""en"", ""fa"")
"),"موفقیت Etsy")</f>
        <v>موفقیت Etsy</v>
      </c>
      <c r="G9889" s="1" t="str">
        <f>IFERROR(__xludf.DUMMYFUNCTION("GOOGLETRANSLATE(C9889, ""en"", ""fa"")
"),"استراتژی‌های استفاده از تکنیک‌های داستان‌سرایی یا ساختارهای روایی در عناوین فهرست من برای جذب و جذب خریداران بالقوه در Etsy چیست؟")</f>
        <v>استراتژی‌های استفاده از تکنیک‌های داستان‌سرایی یا ساختارهای روایی در عناوین فهرست من برای جذب و جذب خریداران بالقوه در Etsy چیست؟</v>
      </c>
      <c r="H9889" s="1"/>
      <c r="I9889" s="1"/>
      <c r="J9889" s="1"/>
      <c r="K9889" s="1"/>
      <c r="L9889" s="1"/>
      <c r="M9889" s="1"/>
      <c r="N9889" s="1"/>
      <c r="O9889" s="1"/>
      <c r="P9889" s="1"/>
      <c r="Q9889" s="1"/>
      <c r="R9889" s="1"/>
      <c r="S9889" s="1"/>
      <c r="T9889" s="1"/>
      <c r="U9889" s="1"/>
      <c r="V9889" s="1"/>
      <c r="W9889" s="1"/>
      <c r="X9889" s="1"/>
      <c r="Y9889" s="1"/>
      <c r="Z9889" s="1"/>
      <c r="AA9889" s="1"/>
      <c r="AB9889" s="1"/>
    </row>
    <row r="9890" ht="50.25" customHeight="1">
      <c r="A9890" s="12">
        <v>9886.0</v>
      </c>
      <c r="B9890" s="13" t="s">
        <v>9604</v>
      </c>
      <c r="C9890" s="14" t="s">
        <v>9917</v>
      </c>
      <c r="D9890" s="1"/>
      <c r="E9890" s="1"/>
      <c r="F9890" s="1" t="str">
        <f>IFERROR(__xludf.DUMMYFUNCTION("GOOGLETRANSLATE(B9890, ""en"", ""fa"")
"),"موفقیت Etsy")</f>
        <v>موفقیت Etsy</v>
      </c>
      <c r="G9890" s="1" t="str">
        <f>IFERROR(__xludf.DUMMYFUNCTION("GOOGLETRANSLATE(C9890, ""en"", ""fa"")
"),"چگونه می‌توانم عناصر اثبات اجتماعی، مانند نظرات یا رتبه‌بندی‌ها را در عناوین فهرست خود بگنجانم تا اعتماد و اعتبار را در بین خریداران بالقوه در Etsy ایجاد کنم؟")</f>
        <v>چگونه می‌توانم عناصر اثبات اجتماعی، مانند نظرات یا رتبه‌بندی‌ها را در عناوین فهرست خود بگنجانم تا اعتماد و اعتبار را در بین خریداران بالقوه در Etsy ایجاد کنم؟</v>
      </c>
      <c r="H9890" s="1"/>
      <c r="I9890" s="1"/>
      <c r="J9890" s="1"/>
      <c r="K9890" s="1"/>
      <c r="L9890" s="1"/>
      <c r="M9890" s="1"/>
      <c r="N9890" s="1"/>
      <c r="O9890" s="1"/>
      <c r="P9890" s="1"/>
      <c r="Q9890" s="1"/>
      <c r="R9890" s="1"/>
      <c r="S9890" s="1"/>
      <c r="T9890" s="1"/>
      <c r="U9890" s="1"/>
      <c r="V9890" s="1"/>
      <c r="W9890" s="1"/>
      <c r="X9890" s="1"/>
      <c r="Y9890" s="1"/>
      <c r="Z9890" s="1"/>
      <c r="AA9890" s="1"/>
      <c r="AB9890" s="1"/>
    </row>
    <row r="9891" ht="50.25" customHeight="1">
      <c r="A9891" s="12">
        <v>9887.0</v>
      </c>
      <c r="B9891" s="13" t="s">
        <v>9604</v>
      </c>
      <c r="C9891" s="14" t="s">
        <v>9918</v>
      </c>
      <c r="D9891" s="1"/>
      <c r="E9891" s="1"/>
      <c r="F9891" s="1" t="str">
        <f>IFERROR(__xludf.DUMMYFUNCTION("GOOGLETRANSLATE(B9891, ""en"", ""fa"")
"),"موفقیت Etsy")</f>
        <v>موفقیت Etsy</v>
      </c>
      <c r="G9891" s="1" t="str">
        <f>IFERROR(__xludf.DUMMYFUNCTION("GOOGLETRANSLATE(C9891, ""en"", ""fa"")
"),"ملاحظات استفاده از زبان احساسی یا تصاویر تداعی کننده در عناوین فهرست من برای ایجاد ارتباط عاطفی با خریداران بالقوه در Etsy چیست؟")</f>
        <v>ملاحظات استفاده از زبان احساسی یا تصاویر تداعی کننده در عناوین فهرست من برای ایجاد ارتباط عاطفی با خریداران بالقوه در Etsy چیست؟</v>
      </c>
      <c r="H9891" s="1"/>
      <c r="I9891" s="1"/>
      <c r="J9891" s="1"/>
      <c r="K9891" s="1"/>
      <c r="L9891" s="1"/>
      <c r="M9891" s="1"/>
      <c r="N9891" s="1"/>
      <c r="O9891" s="1"/>
      <c r="P9891" s="1"/>
      <c r="Q9891" s="1"/>
      <c r="R9891" s="1"/>
      <c r="S9891" s="1"/>
      <c r="T9891" s="1"/>
      <c r="U9891" s="1"/>
      <c r="V9891" s="1"/>
      <c r="W9891" s="1"/>
      <c r="X9891" s="1"/>
      <c r="Y9891" s="1"/>
      <c r="Z9891" s="1"/>
      <c r="AA9891" s="1"/>
      <c r="AB9891" s="1"/>
    </row>
    <row r="9892" ht="50.25" customHeight="1">
      <c r="A9892" s="12">
        <v>9888.0</v>
      </c>
      <c r="B9892" s="13" t="s">
        <v>9604</v>
      </c>
      <c r="C9892" s="14" t="s">
        <v>9919</v>
      </c>
      <c r="D9892" s="1"/>
      <c r="E9892" s="1"/>
      <c r="F9892" s="1" t="str">
        <f>IFERROR(__xludf.DUMMYFUNCTION("GOOGLETRANSLATE(B9892, ""en"", ""fa"")
"),"موفقیت Etsy")</f>
        <v>موفقیت Etsy</v>
      </c>
      <c r="G9892" s="1" t="str">
        <f>IFERROR(__xludf.DUMMYFUNCTION("GOOGLETRANSLATE(C9892, ""en"", ""fa"")
"),"چگونه می توانم به طور موثر با مخاطبان هدف یا استفاده مورد نظر از محصولاتم در عناوین فهرست خود در Etsy ارتباط برقرار کنم؟")</f>
        <v>چگونه می توانم به طور موثر با مخاطبان هدف یا استفاده مورد نظر از محصولاتم در عناوین فهرست خود در Etsy ارتباط برقرار کنم؟</v>
      </c>
      <c r="H9892" s="1"/>
      <c r="I9892" s="1"/>
      <c r="J9892" s="1"/>
      <c r="K9892" s="1"/>
      <c r="L9892" s="1"/>
      <c r="M9892" s="1"/>
      <c r="N9892" s="1"/>
      <c r="O9892" s="1"/>
      <c r="P9892" s="1"/>
      <c r="Q9892" s="1"/>
      <c r="R9892" s="1"/>
      <c r="S9892" s="1"/>
      <c r="T9892" s="1"/>
      <c r="U9892" s="1"/>
      <c r="V9892" s="1"/>
      <c r="W9892" s="1"/>
      <c r="X9892" s="1"/>
      <c r="Y9892" s="1"/>
      <c r="Z9892" s="1"/>
      <c r="AA9892" s="1"/>
      <c r="AB9892" s="1"/>
    </row>
    <row r="9893" ht="50.25" customHeight="1">
      <c r="A9893" s="12">
        <v>9889.0</v>
      </c>
      <c r="B9893" s="13" t="s">
        <v>9604</v>
      </c>
      <c r="C9893" s="14" t="s">
        <v>9920</v>
      </c>
      <c r="D9893" s="1"/>
      <c r="E9893" s="1"/>
      <c r="F9893" s="1" t="str">
        <f>IFERROR(__xludf.DUMMYFUNCTION("GOOGLETRANSLATE(B9893, ""en"", ""fa"")
"),"موفقیت Etsy")</f>
        <v>موفقیت Etsy</v>
      </c>
      <c r="G9893" s="1" t="str">
        <f>IFERROR(__xludf.DUMMYFUNCTION("GOOGLETRANSLATE(C9893, ""en"", ""fa"")
"),"چگونه می توانم عناوین لیستی ایجاد کنم که محصولات من را از پیشنهادات مشابه متمایز کند و ارزش منحصر به فرد آنها را در Etsy برجسته کند؟")</f>
        <v>چگونه می توانم عناوین لیستی ایجاد کنم که محصولات من را از پیشنهادات مشابه متمایز کند و ارزش منحصر به فرد آنها را در Etsy برجسته کند؟</v>
      </c>
      <c r="H9893" s="1"/>
      <c r="I9893" s="1"/>
      <c r="J9893" s="1"/>
      <c r="K9893" s="1"/>
      <c r="L9893" s="1"/>
      <c r="M9893" s="1"/>
      <c r="N9893" s="1"/>
      <c r="O9893" s="1"/>
      <c r="P9893" s="1"/>
      <c r="Q9893" s="1"/>
      <c r="R9893" s="1"/>
      <c r="S9893" s="1"/>
      <c r="T9893" s="1"/>
      <c r="U9893" s="1"/>
      <c r="V9893" s="1"/>
      <c r="W9893" s="1"/>
      <c r="X9893" s="1"/>
      <c r="Y9893" s="1"/>
      <c r="Z9893" s="1"/>
      <c r="AA9893" s="1"/>
      <c r="AB9893" s="1"/>
    </row>
    <row r="9894" ht="50.25" customHeight="1">
      <c r="A9894" s="12">
        <v>9890.0</v>
      </c>
      <c r="B9894" s="13" t="s">
        <v>9604</v>
      </c>
      <c r="C9894" s="14" t="s">
        <v>9921</v>
      </c>
      <c r="D9894" s="1"/>
      <c r="E9894" s="1"/>
      <c r="F9894" s="1" t="str">
        <f>IFERROR(__xludf.DUMMYFUNCTION("GOOGLETRANSLATE(B9894, ""en"", ""fa"")
"),"موفقیت Etsy")</f>
        <v>موفقیت Etsy</v>
      </c>
      <c r="G9894" s="1" t="str">
        <f>IFERROR(__xludf.DUMMYFUNCTION("GOOGLETRANSLATE(C9894, ""en"", ""fa"")
"),"استراتژی‌های استفاده از عناوین فهرست‌بندی برای رسیدگی به اعتراض‌ها یا نگرانی‌هایی که خریداران بالقوه ممکن است در مورد محصولات من در Etsy داشته باشند چیست؟")</f>
        <v>استراتژی‌های استفاده از عناوین فهرست‌بندی برای رسیدگی به اعتراض‌ها یا نگرانی‌هایی که خریداران بالقوه ممکن است در مورد محصولات من در Etsy داشته باشند چیست؟</v>
      </c>
      <c r="H9894" s="1"/>
      <c r="I9894" s="1"/>
      <c r="J9894" s="1"/>
      <c r="K9894" s="1"/>
      <c r="L9894" s="1"/>
      <c r="M9894" s="1"/>
      <c r="N9894" s="1"/>
      <c r="O9894" s="1"/>
      <c r="P9894" s="1"/>
      <c r="Q9894" s="1"/>
      <c r="R9894" s="1"/>
      <c r="S9894" s="1"/>
      <c r="T9894" s="1"/>
      <c r="U9894" s="1"/>
      <c r="V9894" s="1"/>
      <c r="W9894" s="1"/>
      <c r="X9894" s="1"/>
      <c r="Y9894" s="1"/>
      <c r="Z9894" s="1"/>
      <c r="AA9894" s="1"/>
      <c r="AB9894" s="1"/>
    </row>
    <row r="9895" ht="50.25" customHeight="1">
      <c r="A9895" s="12">
        <v>9891.0</v>
      </c>
      <c r="B9895" s="13" t="s">
        <v>9604</v>
      </c>
      <c r="C9895" s="14" t="s">
        <v>9922</v>
      </c>
      <c r="D9895" s="1"/>
      <c r="E9895" s="1"/>
      <c r="F9895" s="1" t="str">
        <f>IFERROR(__xludf.DUMMYFUNCTION("GOOGLETRANSLATE(B9895, ""en"", ""fa"")
"),"موفقیت Etsy")</f>
        <v>موفقیت Etsy</v>
      </c>
      <c r="G9895" s="1" t="str">
        <f>IFERROR(__xludf.DUMMYFUNCTION("GOOGLETRANSLATE(C9895, ""en"", ""fa"")
"),"چگونه می توانم موضوعات پرطرفدار مرتبط یا مراجع فرهنگ عامه را در عناوین فهرست خود بگنجانم تا توجه خریداران بالقوه را در Etsy جلب کنم؟")</f>
        <v>چگونه می توانم موضوعات پرطرفدار مرتبط یا مراجع فرهنگ عامه را در عناوین فهرست خود بگنجانم تا توجه خریداران بالقوه را در Etsy جلب کنم؟</v>
      </c>
      <c r="H9895" s="1"/>
      <c r="I9895" s="1"/>
      <c r="J9895" s="1"/>
      <c r="K9895" s="1"/>
      <c r="L9895" s="1"/>
      <c r="M9895" s="1"/>
      <c r="N9895" s="1"/>
      <c r="O9895" s="1"/>
      <c r="P9895" s="1"/>
      <c r="Q9895" s="1"/>
      <c r="R9895" s="1"/>
      <c r="S9895" s="1"/>
      <c r="T9895" s="1"/>
      <c r="U9895" s="1"/>
      <c r="V9895" s="1"/>
      <c r="W9895" s="1"/>
      <c r="X9895" s="1"/>
      <c r="Y9895" s="1"/>
      <c r="Z9895" s="1"/>
      <c r="AA9895" s="1"/>
      <c r="AB9895" s="1"/>
    </row>
    <row r="9896" ht="50.25" customHeight="1">
      <c r="A9896" s="12">
        <v>9892.0</v>
      </c>
      <c r="B9896" s="13" t="s">
        <v>9604</v>
      </c>
      <c r="C9896" s="14" t="s">
        <v>9923</v>
      </c>
      <c r="D9896" s="1"/>
      <c r="E9896" s="1"/>
      <c r="F9896" s="1" t="str">
        <f>IFERROR(__xludf.DUMMYFUNCTION("GOOGLETRANSLATE(B9896, ""en"", ""fa"")
"),"موفقیت Etsy")</f>
        <v>موفقیت Etsy</v>
      </c>
      <c r="G9896" s="1" t="str">
        <f>IFERROR(__xludf.DUMMYFUNCTION("GOOGLETRANSLATE(C9896, ""en"", ""fa"")
"),"چگونه می توانم عناوین لیستی ایجاد کنم که حس اطمینان یا اطمینان را در مورد کیفیت و قابلیت اطمینان محصولاتم در Etsy به خریداران بالقوه القا کند؟")</f>
        <v>چگونه می توانم عناوین لیستی ایجاد کنم که حس اطمینان یا اطمینان را در مورد کیفیت و قابلیت اطمینان محصولاتم در Etsy به خریداران بالقوه القا کند؟</v>
      </c>
      <c r="H9896" s="1"/>
      <c r="I9896" s="1"/>
      <c r="J9896" s="1"/>
      <c r="K9896" s="1"/>
      <c r="L9896" s="1"/>
      <c r="M9896" s="1"/>
      <c r="N9896" s="1"/>
      <c r="O9896" s="1"/>
      <c r="P9896" s="1"/>
      <c r="Q9896" s="1"/>
      <c r="R9896" s="1"/>
      <c r="S9896" s="1"/>
      <c r="T9896" s="1"/>
      <c r="U9896" s="1"/>
      <c r="V9896" s="1"/>
      <c r="W9896" s="1"/>
      <c r="X9896" s="1"/>
      <c r="Y9896" s="1"/>
      <c r="Z9896" s="1"/>
      <c r="AA9896" s="1"/>
      <c r="AB9896" s="1"/>
    </row>
    <row r="9897" ht="50.25" customHeight="1">
      <c r="A9897" s="12">
        <v>9893.0</v>
      </c>
      <c r="B9897" s="13" t="s">
        <v>9604</v>
      </c>
      <c r="C9897" s="14" t="s">
        <v>9924</v>
      </c>
      <c r="D9897" s="1"/>
      <c r="E9897" s="1"/>
      <c r="F9897" s="1" t="str">
        <f>IFERROR(__xludf.DUMMYFUNCTION("GOOGLETRANSLATE(B9897, ""en"", ""fa"")
"),"موفقیت Etsy")</f>
        <v>موفقیت Etsy</v>
      </c>
      <c r="G9897" s="1" t="str">
        <f>IFERROR(__xludf.DUMMYFUNCTION("GOOGLETRANSLATE(C9897, ""en"", ""fa"")
"),"ملاحظات استفاده از کلمات کلیدی محلی یا منطقه ای در عناوین فهرست من برای هدف قرار دادن بازارهای خاص یا بخش های مشتری در Etsy چیست؟")</f>
        <v>ملاحظات استفاده از کلمات کلیدی محلی یا منطقه ای در عناوین فهرست من برای هدف قرار دادن بازارهای خاص یا بخش های مشتری در Etsy چیست؟</v>
      </c>
      <c r="H9897" s="1"/>
      <c r="I9897" s="1"/>
      <c r="J9897" s="1"/>
      <c r="K9897" s="1"/>
      <c r="L9897" s="1"/>
      <c r="M9897" s="1"/>
      <c r="N9897" s="1"/>
      <c r="O9897" s="1"/>
      <c r="P9897" s="1"/>
      <c r="Q9897" s="1"/>
      <c r="R9897" s="1"/>
      <c r="S9897" s="1"/>
      <c r="T9897" s="1"/>
      <c r="U9897" s="1"/>
      <c r="V9897" s="1"/>
      <c r="W9897" s="1"/>
      <c r="X9897" s="1"/>
      <c r="Y9897" s="1"/>
      <c r="Z9897" s="1"/>
      <c r="AA9897" s="1"/>
      <c r="AB9897" s="1"/>
    </row>
    <row r="9898" ht="50.25" customHeight="1">
      <c r="A9898" s="12">
        <v>9894.0</v>
      </c>
      <c r="B9898" s="13" t="s">
        <v>9604</v>
      </c>
      <c r="C9898" s="14" t="s">
        <v>9925</v>
      </c>
      <c r="D9898" s="1"/>
      <c r="E9898" s="1"/>
      <c r="F9898" s="1" t="str">
        <f>IFERROR(__xludf.DUMMYFUNCTION("GOOGLETRANSLATE(B9898, ""en"", ""fa"")
"),"موفقیت Etsy")</f>
        <v>موفقیت Etsy</v>
      </c>
      <c r="G9898" s="1" t="str">
        <f>IFERROR(__xludf.DUMMYFUNCTION("GOOGLETRANSLATE(C9898, ""en"", ""fa"")
"),"چگونه می توانم از تکنیک های داستان سرایی یا حکایت های شخصی در عناوین فهرست خود برای ایجاد یک ارتباط عاطفی و ایجاد رابطه با خریداران بالقوه در Etsy استفاده کنم؟")</f>
        <v>چگونه می توانم از تکنیک های داستان سرایی یا حکایت های شخصی در عناوین فهرست خود برای ایجاد یک ارتباط عاطفی و ایجاد رابطه با خریداران بالقوه در Etsy استفاده کنم؟</v>
      </c>
      <c r="H9898" s="1"/>
      <c r="I9898" s="1"/>
      <c r="J9898" s="1"/>
      <c r="K9898" s="1"/>
      <c r="L9898" s="1"/>
      <c r="M9898" s="1"/>
      <c r="N9898" s="1"/>
      <c r="O9898" s="1"/>
      <c r="P9898" s="1"/>
      <c r="Q9898" s="1"/>
      <c r="R9898" s="1"/>
      <c r="S9898" s="1"/>
      <c r="T9898" s="1"/>
      <c r="U9898" s="1"/>
      <c r="V9898" s="1"/>
      <c r="W9898" s="1"/>
      <c r="X9898" s="1"/>
      <c r="Y9898" s="1"/>
      <c r="Z9898" s="1"/>
      <c r="AA9898" s="1"/>
      <c r="AB9898" s="1"/>
    </row>
    <row r="9899" ht="50.25" customHeight="1">
      <c r="A9899" s="12">
        <v>9895.0</v>
      </c>
      <c r="B9899" s="13" t="s">
        <v>9604</v>
      </c>
      <c r="C9899" s="14" t="s">
        <v>9926</v>
      </c>
      <c r="D9899" s="1"/>
      <c r="E9899" s="1"/>
      <c r="F9899" s="1" t="str">
        <f>IFERROR(__xludf.DUMMYFUNCTION("GOOGLETRANSLATE(B9899, ""en"", ""fa"")
"),"موفقیت Etsy")</f>
        <v>موفقیت Etsy</v>
      </c>
      <c r="G9899" s="1" t="str">
        <f>IFERROR(__xludf.DUMMYFUNCTION("GOOGLETRANSLATE(C9899, ""en"", ""fa"")
"),"راهبردهای استفاده از کلمات قدرتمند و افعال عمل در عناوین فهرست من برای ایجاد حس فوریت و تشویق اقدام فوری در Etsy چیست؟")</f>
        <v>راهبردهای استفاده از کلمات قدرتمند و افعال عمل در عناوین فهرست من برای ایجاد حس فوریت و تشویق اقدام فوری در Etsy چیست؟</v>
      </c>
      <c r="H9899" s="1"/>
      <c r="I9899" s="1"/>
      <c r="J9899" s="1"/>
      <c r="K9899" s="1"/>
      <c r="L9899" s="1"/>
      <c r="M9899" s="1"/>
      <c r="N9899" s="1"/>
      <c r="O9899" s="1"/>
      <c r="P9899" s="1"/>
      <c r="Q9899" s="1"/>
      <c r="R9899" s="1"/>
      <c r="S9899" s="1"/>
      <c r="T9899" s="1"/>
      <c r="U9899" s="1"/>
      <c r="V9899" s="1"/>
      <c r="W9899" s="1"/>
      <c r="X9899" s="1"/>
      <c r="Y9899" s="1"/>
      <c r="Z9899" s="1"/>
      <c r="AA9899" s="1"/>
      <c r="AB9899" s="1"/>
    </row>
    <row r="9900" ht="50.25" customHeight="1">
      <c r="A9900" s="12">
        <v>9896.0</v>
      </c>
      <c r="B9900" s="13" t="s">
        <v>9604</v>
      </c>
      <c r="C9900" s="14" t="s">
        <v>9927</v>
      </c>
      <c r="D9900" s="1"/>
      <c r="E9900" s="1"/>
      <c r="F9900" s="1" t="str">
        <f>IFERROR(__xludf.DUMMYFUNCTION("GOOGLETRANSLATE(B9900, ""en"", ""fa"")
"),"موفقیت Etsy")</f>
        <v>موفقیت Etsy</v>
      </c>
      <c r="G9900" s="1" t="str">
        <f>IFERROR(__xludf.DUMMYFUNCTION("GOOGLETRANSLATE(C9900, ""en"", ""fa"")
"),"چگونه می توانم تحقیقات کلمات کلیدی را برای شناسایی مرتبط ترین و پربازدیدترین کلمات کلیدی برای لیست های Etsy خود انجام دهم؟")</f>
        <v>چگونه می توانم تحقیقات کلمات کلیدی را برای شناسایی مرتبط ترین و پربازدیدترین کلمات کلیدی برای لیست های Etsy خود انجام دهم؟</v>
      </c>
      <c r="H9900" s="1"/>
      <c r="I9900" s="1"/>
      <c r="J9900" s="1"/>
      <c r="K9900" s="1"/>
      <c r="L9900" s="1"/>
      <c r="M9900" s="1"/>
      <c r="N9900" s="1"/>
      <c r="O9900" s="1"/>
      <c r="P9900" s="1"/>
      <c r="Q9900" s="1"/>
      <c r="R9900" s="1"/>
      <c r="S9900" s="1"/>
      <c r="T9900" s="1"/>
      <c r="U9900" s="1"/>
      <c r="V9900" s="1"/>
      <c r="W9900" s="1"/>
      <c r="X9900" s="1"/>
      <c r="Y9900" s="1"/>
      <c r="Z9900" s="1"/>
      <c r="AA9900" s="1"/>
      <c r="AB9900" s="1"/>
    </row>
    <row r="9901" ht="50.25" customHeight="1">
      <c r="A9901" s="12">
        <v>9897.0</v>
      </c>
      <c r="B9901" s="13" t="s">
        <v>9604</v>
      </c>
      <c r="C9901" s="14" t="s">
        <v>9928</v>
      </c>
      <c r="D9901" s="1"/>
      <c r="E9901" s="1"/>
      <c r="F9901" s="1" t="str">
        <f>IFERROR(__xludf.DUMMYFUNCTION("GOOGLETRANSLATE(B9901, ""en"", ""fa"")
"),"موفقیت Etsy")</f>
        <v>موفقیت Etsy</v>
      </c>
      <c r="G9901" s="1" t="str">
        <f>IFERROR(__xludf.DUMMYFUNCTION("GOOGLETRANSLATE(C9901, ""en"", ""fa"")
"),"بهترین روش ها برای ترکیب کلمات کلیدی به طور طبیعی و استراتژیک در عناوین و توضیحات فهرست Etsy من چیست؟")</f>
        <v>بهترین روش ها برای ترکیب کلمات کلیدی به طور طبیعی و استراتژیک در عناوین و توضیحات فهرست Etsy من چیست؟</v>
      </c>
      <c r="H9901" s="1"/>
      <c r="I9901" s="1"/>
      <c r="J9901" s="1"/>
      <c r="K9901" s="1"/>
      <c r="L9901" s="1"/>
      <c r="M9901" s="1"/>
      <c r="N9901" s="1"/>
      <c r="O9901" s="1"/>
      <c r="P9901" s="1"/>
      <c r="Q9901" s="1"/>
      <c r="R9901" s="1"/>
      <c r="S9901" s="1"/>
      <c r="T9901" s="1"/>
      <c r="U9901" s="1"/>
      <c r="V9901" s="1"/>
      <c r="W9901" s="1"/>
      <c r="X9901" s="1"/>
      <c r="Y9901" s="1"/>
      <c r="Z9901" s="1"/>
      <c r="AA9901" s="1"/>
      <c r="AB9901" s="1"/>
    </row>
    <row r="9902" ht="50.25" customHeight="1">
      <c r="A9902" s="12">
        <v>9898.0</v>
      </c>
      <c r="B9902" s="13" t="s">
        <v>9604</v>
      </c>
      <c r="C9902" s="14" t="s">
        <v>9929</v>
      </c>
      <c r="D9902" s="1"/>
      <c r="E9902" s="1"/>
      <c r="F9902" s="1" t="str">
        <f>IFERROR(__xludf.DUMMYFUNCTION("GOOGLETRANSLATE(B9902, ""en"", ""fa"")
"),"موفقیت Etsy")</f>
        <v>موفقیت Etsy</v>
      </c>
      <c r="G9902" s="1" t="str">
        <f>IFERROR(__xludf.DUMMYFUNCTION("GOOGLETRANSLATE(C9902, ""en"", ""fa"")
"),"چگونه می توانم برچسب های لیست Etsy خود را برای بهبود دید جستجو و جذب ترافیک ارگانیک بیشتر بهینه کنم؟")</f>
        <v>چگونه می توانم برچسب های لیست Etsy خود را برای بهبود دید جستجو و جذب ترافیک ارگانیک بیشتر بهینه کنم؟</v>
      </c>
      <c r="H9902" s="1"/>
      <c r="I9902" s="1"/>
      <c r="J9902" s="1"/>
      <c r="K9902" s="1"/>
      <c r="L9902" s="1"/>
      <c r="M9902" s="1"/>
      <c r="N9902" s="1"/>
      <c r="O9902" s="1"/>
      <c r="P9902" s="1"/>
      <c r="Q9902" s="1"/>
      <c r="R9902" s="1"/>
      <c r="S9902" s="1"/>
      <c r="T9902" s="1"/>
      <c r="U9902" s="1"/>
      <c r="V9902" s="1"/>
      <c r="W9902" s="1"/>
      <c r="X9902" s="1"/>
      <c r="Y9902" s="1"/>
      <c r="Z9902" s="1"/>
      <c r="AA9902" s="1"/>
      <c r="AB9902" s="1"/>
    </row>
    <row r="9903" ht="50.25" customHeight="1">
      <c r="A9903" s="12">
        <v>9899.0</v>
      </c>
      <c r="B9903" s="13" t="s">
        <v>9604</v>
      </c>
      <c r="C9903" s="14" t="s">
        <v>9930</v>
      </c>
      <c r="D9903" s="1"/>
      <c r="E9903" s="1"/>
      <c r="F9903" s="1" t="str">
        <f>IFERROR(__xludf.DUMMYFUNCTION("GOOGLETRANSLATE(B9903, ""en"", ""fa"")
"),"موفقیت Etsy")</f>
        <v>موفقیت Etsy</v>
      </c>
      <c r="G9903" s="1" t="str">
        <f>IFERROR(__xludf.DUMMYFUNCTION("GOOGLETRANSLATE(C9903, ""en"", ""fa"")
"),"استراتژی‌هایی برای استفاده از کلمات کلیدی طولانی در فهرست‌های Etsy من برای هدف قرار دادن درخواست‌های مشتری خاص و بازارهای خاص چیست؟")</f>
        <v>استراتژی‌هایی برای استفاده از کلمات کلیدی طولانی در فهرست‌های Etsy من برای هدف قرار دادن درخواست‌های مشتری خاص و بازارهای خاص چیست؟</v>
      </c>
      <c r="H9903" s="1"/>
      <c r="I9903" s="1"/>
      <c r="J9903" s="1"/>
      <c r="K9903" s="1"/>
      <c r="L9903" s="1"/>
      <c r="M9903" s="1"/>
      <c r="N9903" s="1"/>
      <c r="O9903" s="1"/>
      <c r="P9903" s="1"/>
      <c r="Q9903" s="1"/>
      <c r="R9903" s="1"/>
      <c r="S9903" s="1"/>
      <c r="T9903" s="1"/>
      <c r="U9903" s="1"/>
      <c r="V9903" s="1"/>
      <c r="W9903" s="1"/>
      <c r="X9903" s="1"/>
      <c r="Y9903" s="1"/>
      <c r="Z9903" s="1"/>
      <c r="AA9903" s="1"/>
      <c r="AB9903" s="1"/>
    </row>
    <row r="9904" ht="50.25" customHeight="1">
      <c r="A9904" s="12">
        <v>9900.0</v>
      </c>
      <c r="B9904" s="13" t="s">
        <v>9604</v>
      </c>
      <c r="C9904" s="14" t="s">
        <v>9931</v>
      </c>
      <c r="D9904" s="1"/>
      <c r="E9904" s="1"/>
      <c r="F9904" s="1" t="str">
        <f>IFERROR(__xludf.DUMMYFUNCTION("GOOGLETRANSLATE(B9904, ""en"", ""fa"")
"),"موفقیت Etsy")</f>
        <v>موفقیت Etsy</v>
      </c>
      <c r="G9904" s="1" t="str">
        <f>IFERROR(__xludf.DUMMYFUNCTION("GOOGLETRANSLATE(C9904, ""en"", ""fa"")
"),"چگونه می توانم کلمات کلیدی رقیب و داده های فهرست را تجزیه و تحلیل کنم و از آنها برای به دست آوردن بینش و بهبود فهرست های Etsy خود استفاده کنم؟")</f>
        <v>چگونه می توانم کلمات کلیدی رقیب و داده های فهرست را تجزیه و تحلیل کنم و از آنها برای به دست آوردن بینش و بهبود فهرست های Etsy خود استفاده کنم؟</v>
      </c>
      <c r="H9904" s="1"/>
      <c r="I9904" s="1"/>
      <c r="J9904" s="1"/>
      <c r="K9904" s="1"/>
      <c r="L9904" s="1"/>
      <c r="M9904" s="1"/>
      <c r="N9904" s="1"/>
      <c r="O9904" s="1"/>
      <c r="P9904" s="1"/>
      <c r="Q9904" s="1"/>
      <c r="R9904" s="1"/>
      <c r="S9904" s="1"/>
      <c r="T9904" s="1"/>
      <c r="U9904" s="1"/>
      <c r="V9904" s="1"/>
      <c r="W9904" s="1"/>
      <c r="X9904" s="1"/>
      <c r="Y9904" s="1"/>
      <c r="Z9904" s="1"/>
      <c r="AA9904" s="1"/>
      <c r="AB9904" s="1"/>
    </row>
    <row r="9905" ht="50.25" customHeight="1">
      <c r="A9905" s="12">
        <v>9901.0</v>
      </c>
      <c r="B9905" s="13" t="s">
        <v>9604</v>
      </c>
      <c r="C9905" s="14" t="s">
        <v>9932</v>
      </c>
      <c r="D9905" s="1"/>
      <c r="E9905" s="1"/>
      <c r="F9905" s="1" t="str">
        <f>IFERROR(__xludf.DUMMYFUNCTION("GOOGLETRANSLATE(B9905, ""en"", ""fa"")
"),"موفقیت Etsy")</f>
        <v>موفقیت Etsy</v>
      </c>
      <c r="G9905" s="1" t="str">
        <f>IFERROR(__xludf.DUMMYFUNCTION("GOOGLETRANSLATE(C9905, ""en"", ""fa"")
"),"ملاحظات استفاده از کلمات کلیدی خاص مکان در لیست های Etsy من برای هدف قرار دادن مشتریان محلی یا بازارهای جغرافیایی خاص چیست؟")</f>
        <v>ملاحظات استفاده از کلمات کلیدی خاص مکان در لیست های Etsy من برای هدف قرار دادن مشتریان محلی یا بازارهای جغرافیایی خاص چیست؟</v>
      </c>
      <c r="H9905" s="1"/>
      <c r="I9905" s="1"/>
      <c r="J9905" s="1"/>
      <c r="K9905" s="1"/>
      <c r="L9905" s="1"/>
      <c r="M9905" s="1"/>
      <c r="N9905" s="1"/>
      <c r="O9905" s="1"/>
      <c r="P9905" s="1"/>
      <c r="Q9905" s="1"/>
      <c r="R9905" s="1"/>
      <c r="S9905" s="1"/>
      <c r="T9905" s="1"/>
      <c r="U9905" s="1"/>
      <c r="V9905" s="1"/>
      <c r="W9905" s="1"/>
      <c r="X9905" s="1"/>
      <c r="Y9905" s="1"/>
      <c r="Z9905" s="1"/>
      <c r="AA9905" s="1"/>
      <c r="AB9905" s="1"/>
    </row>
    <row r="9906" ht="50.25" customHeight="1">
      <c r="A9906" s="12">
        <v>9902.0</v>
      </c>
      <c r="B9906" s="13" t="s">
        <v>9604</v>
      </c>
      <c r="C9906" s="14" t="s">
        <v>9933</v>
      </c>
      <c r="D9906" s="1"/>
      <c r="E9906" s="1"/>
      <c r="F9906" s="1" t="str">
        <f>IFERROR(__xludf.DUMMYFUNCTION("GOOGLETRANSLATE(B9906, ""en"", ""fa"")
"),"موفقیت Etsy")</f>
        <v>موفقیت Etsy</v>
      </c>
      <c r="G9906" s="1" t="str">
        <f>IFERROR(__xludf.DUMMYFUNCTION("GOOGLETRANSLATE(C9906, ""en"", ""fa"")
"),"چگونه می توانم تصاویر لیست Etsy خود را با اضافه کردن نام فایل های توصیفی و برچسب های alt برای بهبود دید موتور جستجو بهینه کنم؟")</f>
        <v>چگونه می توانم تصاویر لیست Etsy خود را با اضافه کردن نام فایل های توصیفی و برچسب های alt برای بهبود دید موتور جستجو بهینه کنم؟</v>
      </c>
      <c r="H9906" s="1"/>
      <c r="I9906" s="1"/>
      <c r="J9906" s="1"/>
      <c r="K9906" s="1"/>
      <c r="L9906" s="1"/>
      <c r="M9906" s="1"/>
      <c r="N9906" s="1"/>
      <c r="O9906" s="1"/>
      <c r="P9906" s="1"/>
      <c r="Q9906" s="1"/>
      <c r="R9906" s="1"/>
      <c r="S9906" s="1"/>
      <c r="T9906" s="1"/>
      <c r="U9906" s="1"/>
      <c r="V9906" s="1"/>
      <c r="W9906" s="1"/>
      <c r="X9906" s="1"/>
      <c r="Y9906" s="1"/>
      <c r="Z9906" s="1"/>
      <c r="AA9906" s="1"/>
      <c r="AB9906" s="1"/>
    </row>
    <row r="9907" ht="50.25" customHeight="1">
      <c r="A9907" s="12">
        <v>9903.0</v>
      </c>
      <c r="B9907" s="13" t="s">
        <v>9604</v>
      </c>
      <c r="C9907" s="14" t="s">
        <v>9934</v>
      </c>
      <c r="D9907" s="1"/>
      <c r="E9907" s="1"/>
      <c r="F9907" s="1" t="str">
        <f>IFERROR(__xludf.DUMMYFUNCTION("GOOGLETRANSLATE(B9907, ""en"", ""fa"")
"),"موفقیت Etsy")</f>
        <v>موفقیت Etsy</v>
      </c>
      <c r="G9907" s="1" t="str">
        <f>IFERROR(__xludf.DUMMYFUNCTION("GOOGLETRANSLATE(C9907, ""en"", ""fa"")
"),"بهترین شیوه ها برای بهینه سازی بخش درباره فروشگاه Etsy و سیاست ها با کلمات کلیدی مرتبط برای بهبود سئوی کلی چیست؟")</f>
        <v>بهترین شیوه ها برای بهینه سازی بخش درباره فروشگاه Etsy و سیاست ها با کلمات کلیدی مرتبط برای بهبود سئوی کلی چیست؟</v>
      </c>
      <c r="H9907" s="1"/>
      <c r="I9907" s="1"/>
      <c r="J9907" s="1"/>
      <c r="K9907" s="1"/>
      <c r="L9907" s="1"/>
      <c r="M9907" s="1"/>
      <c r="N9907" s="1"/>
      <c r="O9907" s="1"/>
      <c r="P9907" s="1"/>
      <c r="Q9907" s="1"/>
      <c r="R9907" s="1"/>
      <c r="S9907" s="1"/>
      <c r="T9907" s="1"/>
      <c r="U9907" s="1"/>
      <c r="V9907" s="1"/>
      <c r="W9907" s="1"/>
      <c r="X9907" s="1"/>
      <c r="Y9907" s="1"/>
      <c r="Z9907" s="1"/>
      <c r="AA9907" s="1"/>
      <c r="AB9907" s="1"/>
    </row>
    <row r="9908" ht="50.25" customHeight="1">
      <c r="A9908" s="12">
        <v>9904.0</v>
      </c>
      <c r="B9908" s="13" t="s">
        <v>9604</v>
      </c>
      <c r="C9908" s="14" t="s">
        <v>9935</v>
      </c>
      <c r="D9908" s="1"/>
      <c r="E9908" s="1"/>
      <c r="F9908" s="1" t="str">
        <f>IFERROR(__xludf.DUMMYFUNCTION("GOOGLETRANSLATE(B9908, ""en"", ""fa"")
"),"موفقیت Etsy")</f>
        <v>موفقیت Etsy</v>
      </c>
      <c r="G9908" s="1" t="str">
        <f>IFERROR(__xludf.DUMMYFUNCTION("GOOGLETRANSLATE(C9908, ""en"", ""fa"")
"),"چگونه می توانم از نظرات و بازخوردهای مشتریان در لیست های Etsy خود برای افزایش اعتبار و بهبود رتبه بندی جستجو استفاده کنم؟")</f>
        <v>چگونه می توانم از نظرات و بازخوردهای مشتریان در لیست های Etsy خود برای افزایش اعتبار و بهبود رتبه بندی جستجو استفاده کنم؟</v>
      </c>
      <c r="H9908" s="1"/>
      <c r="I9908" s="1"/>
      <c r="J9908" s="1"/>
      <c r="K9908" s="1"/>
      <c r="L9908" s="1"/>
      <c r="M9908" s="1"/>
      <c r="N9908" s="1"/>
      <c r="O9908" s="1"/>
      <c r="P9908" s="1"/>
      <c r="Q9908" s="1"/>
      <c r="R9908" s="1"/>
      <c r="S9908" s="1"/>
      <c r="T9908" s="1"/>
      <c r="U9908" s="1"/>
      <c r="V9908" s="1"/>
      <c r="W9908" s="1"/>
      <c r="X9908" s="1"/>
      <c r="Y9908" s="1"/>
      <c r="Z9908" s="1"/>
      <c r="AA9908" s="1"/>
      <c r="AB9908" s="1"/>
    </row>
    <row r="9909" ht="50.25" customHeight="1">
      <c r="A9909" s="12">
        <v>9905.0</v>
      </c>
      <c r="B9909" s="13" t="s">
        <v>9604</v>
      </c>
      <c r="C9909" s="14" t="s">
        <v>9936</v>
      </c>
      <c r="D9909" s="1"/>
      <c r="E9909" s="1"/>
      <c r="F9909" s="1" t="str">
        <f>IFERROR(__xludf.DUMMYFUNCTION("GOOGLETRANSLATE(B9909, ""en"", ""fa"")
"),"موفقیت Etsy")</f>
        <v>موفقیت Etsy</v>
      </c>
      <c r="G9909" s="1" t="str">
        <f>IFERROR(__xludf.DUMMYFUNCTION("GOOGLETRANSLATE(C9909, ""en"", ""fa"")
"),"استراتژی‌های پیاده‌سازی پیوند داخلی در فروشگاه Etsy من برای بهبود خزیدن و نمایه‌سازی موتور جستجو چیست؟")</f>
        <v>استراتژی‌های پیاده‌سازی پیوند داخلی در فروشگاه Etsy من برای بهبود خزیدن و نمایه‌سازی موتور جستجو چیست؟</v>
      </c>
      <c r="H9909" s="1"/>
      <c r="I9909" s="1"/>
      <c r="J9909" s="1"/>
      <c r="K9909" s="1"/>
      <c r="L9909" s="1"/>
      <c r="M9909" s="1"/>
      <c r="N9909" s="1"/>
      <c r="O9909" s="1"/>
      <c r="P9909" s="1"/>
      <c r="Q9909" s="1"/>
      <c r="R9909" s="1"/>
      <c r="S9909" s="1"/>
      <c r="T9909" s="1"/>
      <c r="U9909" s="1"/>
      <c r="V9909" s="1"/>
      <c r="W9909" s="1"/>
      <c r="X9909" s="1"/>
      <c r="Y9909" s="1"/>
      <c r="Z9909" s="1"/>
      <c r="AA9909" s="1"/>
      <c r="AB9909" s="1"/>
    </row>
    <row r="9910" ht="50.25" customHeight="1">
      <c r="A9910" s="12">
        <v>9906.0</v>
      </c>
      <c r="B9910" s="13" t="s">
        <v>9604</v>
      </c>
      <c r="C9910" s="14" t="s">
        <v>9937</v>
      </c>
      <c r="D9910" s="1"/>
      <c r="E9910" s="1"/>
      <c r="F9910" s="1" t="str">
        <f>IFERROR(__xludf.DUMMYFUNCTION("GOOGLETRANSLATE(B9910, ""en"", ""fa"")
"),"موفقیت Etsy")</f>
        <v>موفقیت Etsy</v>
      </c>
      <c r="G9910" s="1" t="str">
        <f>IFERROR(__xludf.DUMMYFUNCTION("GOOGLETRANSLATE(C9910, ""en"", ""fa"")
"),"چگونه می توانم توضیحات فهرست Etsy خود را با گنجاندن اطلاعات ارزشمند، ویژگی ها و مزایایی که با کلمات کلیدی هدف همسو هستند، بهینه کنم؟")</f>
        <v>چگونه می توانم توضیحات فهرست Etsy خود را با گنجاندن اطلاعات ارزشمند، ویژگی ها و مزایایی که با کلمات کلیدی هدف همسو هستند، بهینه کنم؟</v>
      </c>
      <c r="H9910" s="1"/>
      <c r="I9910" s="1"/>
      <c r="J9910" s="1"/>
      <c r="K9910" s="1"/>
      <c r="L9910" s="1"/>
      <c r="M9910" s="1"/>
      <c r="N9910" s="1"/>
      <c r="O9910" s="1"/>
      <c r="P9910" s="1"/>
      <c r="Q9910" s="1"/>
      <c r="R9910" s="1"/>
      <c r="S9910" s="1"/>
      <c r="T9910" s="1"/>
      <c r="U9910" s="1"/>
      <c r="V9910" s="1"/>
      <c r="W9910" s="1"/>
      <c r="X9910" s="1"/>
      <c r="Y9910" s="1"/>
      <c r="Z9910" s="1"/>
      <c r="AA9910" s="1"/>
      <c r="AB9910" s="1"/>
    </row>
    <row r="9911" ht="50.25" customHeight="1">
      <c r="A9911" s="12">
        <v>9907.0</v>
      </c>
      <c r="B9911" s="13" t="s">
        <v>9604</v>
      </c>
      <c r="C9911" s="14" t="s">
        <v>9938</v>
      </c>
      <c r="D9911" s="1"/>
      <c r="E9911" s="1"/>
      <c r="F9911" s="1" t="str">
        <f>IFERROR(__xludf.DUMMYFUNCTION("GOOGLETRANSLATE(B9911, ""en"", ""fa"")
"),"موفقیت Etsy")</f>
        <v>موفقیت Etsy</v>
      </c>
      <c r="G9911" s="1" t="str">
        <f>IFERROR(__xludf.DUMMYFUNCTION("GOOGLETRANSLATE(C9911, ""en"", ""fa"")
"),"ملاحظات استفاده از تغییرات مترادف و کلمات کلیدی مرتبط در فهرست‌های Etsy من برای جذب طیف گسترده‌تری از عبارت‌های جستجو چیست؟")</f>
        <v>ملاحظات استفاده از تغییرات مترادف و کلمات کلیدی مرتبط در فهرست‌های Etsy من برای جذب طیف گسترده‌تری از عبارت‌های جستجو چیست؟</v>
      </c>
      <c r="H9911" s="1"/>
      <c r="I9911" s="1"/>
      <c r="J9911" s="1"/>
      <c r="K9911" s="1"/>
      <c r="L9911" s="1"/>
      <c r="M9911" s="1"/>
      <c r="N9911" s="1"/>
      <c r="O9911" s="1"/>
      <c r="P9911" s="1"/>
      <c r="Q9911" s="1"/>
      <c r="R9911" s="1"/>
      <c r="S9911" s="1"/>
      <c r="T9911" s="1"/>
      <c r="U9911" s="1"/>
      <c r="V9911" s="1"/>
      <c r="W9911" s="1"/>
      <c r="X9911" s="1"/>
      <c r="Y9911" s="1"/>
      <c r="Z9911" s="1"/>
      <c r="AA9911" s="1"/>
      <c r="AB9911" s="1"/>
    </row>
    <row r="9912" ht="50.25" customHeight="1">
      <c r="A9912" s="12">
        <v>9908.0</v>
      </c>
      <c r="B9912" s="13" t="s">
        <v>9604</v>
      </c>
      <c r="C9912" s="14" t="s">
        <v>9939</v>
      </c>
      <c r="D9912" s="1"/>
      <c r="E9912" s="1"/>
      <c r="F9912" s="1" t="str">
        <f>IFERROR(__xludf.DUMMYFUNCTION("GOOGLETRANSLATE(B9912, ""en"", ""fa"")
"),"موفقیت Etsy")</f>
        <v>موفقیت Etsy</v>
      </c>
      <c r="G9912" s="1" t="str">
        <f>IFERROR(__xludf.DUMMYFUNCTION("GOOGLETRANSLATE(C9912, ""en"", ""fa"")
"),"چگونه می توانم تجزیه و تحلیل و داده های جستجوی Etsy را تجزیه و تحلیل و تفسیر کنم تا فرصت های بهینه سازی SEO را در لیست های خود شناسایی کنم؟")</f>
        <v>چگونه می توانم تجزیه و تحلیل و داده های جستجوی Etsy را تجزیه و تحلیل و تفسیر کنم تا فرصت های بهینه سازی SEO را در لیست های خود شناسایی کنم؟</v>
      </c>
      <c r="H9912" s="1"/>
      <c r="I9912" s="1"/>
      <c r="J9912" s="1"/>
      <c r="K9912" s="1"/>
      <c r="L9912" s="1"/>
      <c r="M9912" s="1"/>
      <c r="N9912" s="1"/>
      <c r="O9912" s="1"/>
      <c r="P9912" s="1"/>
      <c r="Q9912" s="1"/>
      <c r="R9912" s="1"/>
      <c r="S9912" s="1"/>
      <c r="T9912" s="1"/>
      <c r="U9912" s="1"/>
      <c r="V9912" s="1"/>
      <c r="W9912" s="1"/>
      <c r="X9912" s="1"/>
      <c r="Y9912" s="1"/>
      <c r="Z9912" s="1"/>
      <c r="AA9912" s="1"/>
      <c r="AB9912" s="1"/>
    </row>
    <row r="9913" ht="50.25" customHeight="1">
      <c r="A9913" s="12">
        <v>9909.0</v>
      </c>
      <c r="B9913" s="13" t="s">
        <v>9604</v>
      </c>
      <c r="C9913" s="14" t="s">
        <v>9940</v>
      </c>
      <c r="D9913" s="1"/>
      <c r="E9913" s="1"/>
      <c r="F9913" s="1" t="str">
        <f>IFERROR(__xludf.DUMMYFUNCTION("GOOGLETRANSLATE(B9913, ""en"", ""fa"")
"),"موفقیت Etsy")</f>
        <v>موفقیت Etsy</v>
      </c>
      <c r="G9913" s="1" t="str">
        <f>IFERROR(__xludf.DUMMYFUNCTION("GOOGLETRANSLATE(C9913, ""en"", ""fa"")
"),"چگونه می توانم دسته ها و زیرمجموعه های فروشگاه Etsy خود را با استفاده از عناوین و توضیحات غنی از کلمات کلیدی بهینه کنم؟")</f>
        <v>چگونه می توانم دسته ها و زیرمجموعه های فروشگاه Etsy خود را با استفاده از عناوین و توضیحات غنی از کلمات کلیدی بهینه کنم؟</v>
      </c>
      <c r="H9913" s="1"/>
      <c r="I9913" s="1"/>
      <c r="J9913" s="1"/>
      <c r="K9913" s="1"/>
      <c r="L9913" s="1"/>
      <c r="M9913" s="1"/>
      <c r="N9913" s="1"/>
      <c r="O9913" s="1"/>
      <c r="P9913" s="1"/>
      <c r="Q9913" s="1"/>
      <c r="R9913" s="1"/>
      <c r="S9913" s="1"/>
      <c r="T9913" s="1"/>
      <c r="U9913" s="1"/>
      <c r="V9913" s="1"/>
      <c r="W9913" s="1"/>
      <c r="X9913" s="1"/>
      <c r="Y9913" s="1"/>
      <c r="Z9913" s="1"/>
      <c r="AA9913" s="1"/>
      <c r="AB9913" s="1"/>
    </row>
    <row r="9914" ht="50.25" customHeight="1">
      <c r="A9914" s="12">
        <v>9910.0</v>
      </c>
      <c r="B9914" s="13" t="s">
        <v>9604</v>
      </c>
      <c r="C9914" s="14" t="s">
        <v>9941</v>
      </c>
      <c r="D9914" s="1"/>
      <c r="E9914" s="1"/>
      <c r="F9914" s="1" t="str">
        <f>IFERROR(__xludf.DUMMYFUNCTION("GOOGLETRANSLATE(B9914, ""en"", ""fa"")
"),"موفقیت Etsy")</f>
        <v>موفقیت Etsy</v>
      </c>
      <c r="G9914" s="1" t="str">
        <f>IFERROR(__xludf.DUMMYFUNCTION("GOOGLETRANSLATE(C9914, ""en"", ""fa"")
"),"استراتژی‌هایی برای گنجاندن تغییرات کلیدواژه و املای متناوب در فهرست‌های Etsy من برای مطابقت با اولویت‌های جستجوی مختلف چیست؟")</f>
        <v>استراتژی‌هایی برای گنجاندن تغییرات کلیدواژه و املای متناوب در فهرست‌های Etsy من برای مطابقت با اولویت‌های جستجوی مختلف چیست؟</v>
      </c>
      <c r="H9914" s="1"/>
      <c r="I9914" s="1"/>
      <c r="J9914" s="1"/>
      <c r="K9914" s="1"/>
      <c r="L9914" s="1"/>
      <c r="M9914" s="1"/>
      <c r="N9914" s="1"/>
      <c r="O9914" s="1"/>
      <c r="P9914" s="1"/>
      <c r="Q9914" s="1"/>
      <c r="R9914" s="1"/>
      <c r="S9914" s="1"/>
      <c r="T9914" s="1"/>
      <c r="U9914" s="1"/>
      <c r="V9914" s="1"/>
      <c r="W9914" s="1"/>
      <c r="X9914" s="1"/>
      <c r="Y9914" s="1"/>
      <c r="Z9914" s="1"/>
      <c r="AA9914" s="1"/>
      <c r="AB9914" s="1"/>
    </row>
    <row r="9915" ht="50.25" customHeight="1">
      <c r="A9915" s="12">
        <v>9911.0</v>
      </c>
      <c r="B9915" s="13" t="s">
        <v>9604</v>
      </c>
      <c r="C9915" s="14" t="s">
        <v>9942</v>
      </c>
      <c r="D9915" s="1"/>
      <c r="E9915" s="1"/>
      <c r="F9915" s="1" t="str">
        <f>IFERROR(__xludf.DUMMYFUNCTION("GOOGLETRANSLATE(B9915, ""en"", ""fa"")
"),"موفقیت Etsy")</f>
        <v>موفقیت Etsy</v>
      </c>
      <c r="G9915" s="1" t="str">
        <f>IFERROR(__xludf.DUMMYFUNCTION("GOOGLETRANSLATE(C9915, ""en"", ""fa"")
"),"چگونه می توانم URL های لیست Etsy خود را با گنجاندن کلمات کلیدی مرتبط و حذف کاراکترها یا اعداد غیر ضروری بهینه کنم؟")</f>
        <v>چگونه می توانم URL های لیست Etsy خود را با گنجاندن کلمات کلیدی مرتبط و حذف کاراکترها یا اعداد غیر ضروری بهینه کنم؟</v>
      </c>
      <c r="H9915" s="1"/>
      <c r="I9915" s="1"/>
      <c r="J9915" s="1"/>
      <c r="K9915" s="1"/>
      <c r="L9915" s="1"/>
      <c r="M9915" s="1"/>
      <c r="N9915" s="1"/>
      <c r="O9915" s="1"/>
      <c r="P9915" s="1"/>
      <c r="Q9915" s="1"/>
      <c r="R9915" s="1"/>
      <c r="S9915" s="1"/>
      <c r="T9915" s="1"/>
      <c r="U9915" s="1"/>
      <c r="V9915" s="1"/>
      <c r="W9915" s="1"/>
      <c r="X9915" s="1"/>
      <c r="Y9915" s="1"/>
      <c r="Z9915" s="1"/>
      <c r="AA9915" s="1"/>
      <c r="AB9915" s="1"/>
    </row>
    <row r="9916" ht="50.25" customHeight="1">
      <c r="A9916" s="12">
        <v>9912.0</v>
      </c>
      <c r="B9916" s="13" t="s">
        <v>9604</v>
      </c>
      <c r="C9916" s="14" t="s">
        <v>9943</v>
      </c>
      <c r="D9916" s="1"/>
      <c r="E9916" s="1"/>
      <c r="F9916" s="1" t="str">
        <f>IFERROR(__xludf.DUMMYFUNCTION("GOOGLETRANSLATE(B9916, ""en"", ""fa"")
"),"موفقیت Etsy")</f>
        <v>موفقیت Etsy</v>
      </c>
      <c r="G9916" s="1" t="str">
        <f>IFERROR(__xludf.DUMMYFUNCTION("GOOGLETRANSLATE(C9916, ""en"", ""fa"")
"),"چگونه می توانم از پیوندهای خارجی، مانند پروفایل های رسانه های اجتماعی یا پست های وبلاگ، برای بهبود سئوی کلی لیست های Etsy خود استفاده کنم؟")</f>
        <v>چگونه می توانم از پیوندهای خارجی، مانند پروفایل های رسانه های اجتماعی یا پست های وبلاگ، برای بهبود سئوی کلی لیست های Etsy خود استفاده کنم؟</v>
      </c>
      <c r="H9916" s="1"/>
      <c r="I9916" s="1"/>
      <c r="J9916" s="1"/>
      <c r="K9916" s="1"/>
      <c r="L9916" s="1"/>
      <c r="M9916" s="1"/>
      <c r="N9916" s="1"/>
      <c r="O9916" s="1"/>
      <c r="P9916" s="1"/>
      <c r="Q9916" s="1"/>
      <c r="R9916" s="1"/>
      <c r="S9916" s="1"/>
      <c r="T9916" s="1"/>
      <c r="U9916" s="1"/>
      <c r="V9916" s="1"/>
      <c r="W9916" s="1"/>
      <c r="X9916" s="1"/>
      <c r="Y9916" s="1"/>
      <c r="Z9916" s="1"/>
      <c r="AA9916" s="1"/>
      <c r="AB9916" s="1"/>
    </row>
    <row r="9917" ht="50.25" customHeight="1">
      <c r="A9917" s="12">
        <v>9913.0</v>
      </c>
      <c r="B9917" s="13" t="s">
        <v>9604</v>
      </c>
      <c r="C9917" s="14" t="s">
        <v>9944</v>
      </c>
      <c r="D9917" s="1"/>
      <c r="E9917" s="1"/>
      <c r="F9917" s="1" t="str">
        <f>IFERROR(__xludf.DUMMYFUNCTION("GOOGLETRANSLATE(B9917, ""en"", ""fa"")
"),"موفقیت Etsy")</f>
        <v>موفقیت Etsy</v>
      </c>
      <c r="G9917" s="1" t="str">
        <f>IFERROR(__xludf.DUMMYFUNCTION("GOOGLETRANSLATE(C9917, ""en"", ""fa"")
"),"ملاحظات برای بهینه‌سازی ویژگی‌های فهرست Etsy من، مانند رنگ، اندازه یا ماده، با کلمات کلیدی مرتبط چیست؟")</f>
        <v>ملاحظات برای بهینه‌سازی ویژگی‌های فهرست Etsy من، مانند رنگ، اندازه یا ماده، با کلمات کلیدی مرتبط چیست؟</v>
      </c>
      <c r="H9917" s="1"/>
      <c r="I9917" s="1"/>
      <c r="J9917" s="1"/>
      <c r="K9917" s="1"/>
      <c r="L9917" s="1"/>
      <c r="M9917" s="1"/>
      <c r="N9917" s="1"/>
      <c r="O9917" s="1"/>
      <c r="P9917" s="1"/>
      <c r="Q9917" s="1"/>
      <c r="R9917" s="1"/>
      <c r="S9917" s="1"/>
      <c r="T9917" s="1"/>
      <c r="U9917" s="1"/>
      <c r="V9917" s="1"/>
      <c r="W9917" s="1"/>
      <c r="X9917" s="1"/>
      <c r="Y9917" s="1"/>
      <c r="Z9917" s="1"/>
      <c r="AA9917" s="1"/>
      <c r="AB9917" s="1"/>
    </row>
    <row r="9918" ht="50.25" customHeight="1">
      <c r="A9918" s="12">
        <v>9914.0</v>
      </c>
      <c r="B9918" s="13" t="s">
        <v>9604</v>
      </c>
      <c r="C9918" s="14" t="s">
        <v>9945</v>
      </c>
      <c r="D9918" s="1"/>
      <c r="E9918" s="1"/>
      <c r="F9918" s="1" t="str">
        <f>IFERROR(__xludf.DUMMYFUNCTION("GOOGLETRANSLATE(B9918, ""en"", ""fa"")
"),"موفقیت Etsy")</f>
        <v>موفقیت Etsy</v>
      </c>
      <c r="G9918" s="1" t="str">
        <f>IFERROR(__xludf.DUMMYFUNCTION("GOOGLETRANSLATE(C9918, ""en"", ""fa"")
"),"چگونه می توانم عناوین صفحه فروشگاه Etsy و توضیحات متا خود را برای بهبود نرخ کلیک و مشاهده موتور جستجو بهینه کنم؟")</f>
        <v>چگونه می توانم عناوین صفحه فروشگاه Etsy و توضیحات متا خود را برای بهبود نرخ کلیک و مشاهده موتور جستجو بهینه کنم؟</v>
      </c>
      <c r="H9918" s="1"/>
      <c r="I9918" s="1"/>
      <c r="J9918" s="1"/>
      <c r="K9918" s="1"/>
      <c r="L9918" s="1"/>
      <c r="M9918" s="1"/>
      <c r="N9918" s="1"/>
      <c r="O9918" s="1"/>
      <c r="P9918" s="1"/>
      <c r="Q9918" s="1"/>
      <c r="R9918" s="1"/>
      <c r="S9918" s="1"/>
      <c r="T9918" s="1"/>
      <c r="U9918" s="1"/>
      <c r="V9918" s="1"/>
      <c r="W9918" s="1"/>
      <c r="X9918" s="1"/>
      <c r="Y9918" s="1"/>
      <c r="Z9918" s="1"/>
      <c r="AA9918" s="1"/>
      <c r="AB9918" s="1"/>
    </row>
    <row r="9919" ht="50.25" customHeight="1">
      <c r="A9919" s="12">
        <v>9915.0</v>
      </c>
      <c r="B9919" s="13" t="s">
        <v>9604</v>
      </c>
      <c r="C9919" s="14" t="s">
        <v>9946</v>
      </c>
      <c r="D9919" s="1"/>
      <c r="E9919" s="1"/>
      <c r="F9919" s="1" t="str">
        <f>IFERROR(__xludf.DUMMYFUNCTION("GOOGLETRANSLATE(B9919, ""en"", ""fa"")
"),"موفقیت Etsy")</f>
        <v>موفقیت Etsy</v>
      </c>
      <c r="G9919" s="1" t="str">
        <f>IFERROR(__xludf.DUMMYFUNCTION("GOOGLETRANSLATE(C9919, ""en"", ""fa"")
"),"استراتژی‌هایی برای بهینه‌سازی ساختار کلی، ناوبری و تجربه کاربری فروشگاه Etsy من برای عملکرد بهتر سئو چیست؟")</f>
        <v>استراتژی‌هایی برای بهینه‌سازی ساختار کلی، ناوبری و تجربه کاربری فروشگاه Etsy من برای عملکرد بهتر سئو چیست؟</v>
      </c>
      <c r="H9919" s="1"/>
      <c r="I9919" s="1"/>
      <c r="J9919" s="1"/>
      <c r="K9919" s="1"/>
      <c r="L9919" s="1"/>
      <c r="M9919" s="1"/>
      <c r="N9919" s="1"/>
      <c r="O9919" s="1"/>
      <c r="P9919" s="1"/>
      <c r="Q9919" s="1"/>
      <c r="R9919" s="1"/>
      <c r="S9919" s="1"/>
      <c r="T9919" s="1"/>
      <c r="U9919" s="1"/>
      <c r="V9919" s="1"/>
      <c r="W9919" s="1"/>
      <c r="X9919" s="1"/>
      <c r="Y9919" s="1"/>
      <c r="Z9919" s="1"/>
      <c r="AA9919" s="1"/>
      <c r="AB9919" s="1"/>
    </row>
    <row r="9920" ht="50.25" customHeight="1">
      <c r="A9920" s="12">
        <v>9916.0</v>
      </c>
      <c r="B9920" s="13" t="s">
        <v>9604</v>
      </c>
      <c r="C9920" s="14" t="s">
        <v>9947</v>
      </c>
      <c r="D9920" s="1"/>
      <c r="E9920" s="1"/>
      <c r="F9920" s="1" t="str">
        <f>IFERROR(__xludf.DUMMYFUNCTION("GOOGLETRANSLATE(B9920, ""en"", ""fa"")
"),"موفقیت Etsy")</f>
        <v>موفقیت Etsy</v>
      </c>
      <c r="G9920" s="1" t="str">
        <f>IFERROR(__xludf.DUMMYFUNCTION("GOOGLETRANSLATE(C9920, ""en"", ""fa"")
"),"چگونه می توانم از Google Trends و سایر ابزارهای SEO برای شناسایی کلمات کلیدی و موضوعات پرطرفدار برای لیست های Etsy خود استفاده کنم؟")</f>
        <v>چگونه می توانم از Google Trends و سایر ابزارهای SEO برای شناسایی کلمات کلیدی و موضوعات پرطرفدار برای لیست های Etsy خود استفاده کنم؟</v>
      </c>
      <c r="H9920" s="1"/>
      <c r="I9920" s="1"/>
      <c r="J9920" s="1"/>
      <c r="K9920" s="1"/>
      <c r="L9920" s="1"/>
      <c r="M9920" s="1"/>
      <c r="N9920" s="1"/>
      <c r="O9920" s="1"/>
      <c r="P9920" s="1"/>
      <c r="Q9920" s="1"/>
      <c r="R9920" s="1"/>
      <c r="S9920" s="1"/>
      <c r="T9920" s="1"/>
      <c r="U9920" s="1"/>
      <c r="V9920" s="1"/>
      <c r="W9920" s="1"/>
      <c r="X9920" s="1"/>
      <c r="Y9920" s="1"/>
      <c r="Z9920" s="1"/>
      <c r="AA9920" s="1"/>
      <c r="AB9920" s="1"/>
    </row>
    <row r="9921" ht="50.25" customHeight="1">
      <c r="A9921" s="12">
        <v>9917.0</v>
      </c>
      <c r="B9921" s="13" t="s">
        <v>9604</v>
      </c>
      <c r="C9921" s="14" t="s">
        <v>9948</v>
      </c>
      <c r="D9921" s="1"/>
      <c r="E9921" s="1"/>
      <c r="F9921" s="1" t="str">
        <f>IFERROR(__xludf.DUMMYFUNCTION("GOOGLETRANSLATE(B9921, ""en"", ""fa"")
"),"موفقیت Etsy")</f>
        <v>موفقیت Etsy</v>
      </c>
      <c r="G9921" s="1" t="str">
        <f>IFERROR(__xludf.DUMMYFUNCTION("GOOGLETRANSLATE(C9921, ""en"", ""fa"")
"),"بهترین روش‌ها برای بهینه‌سازی عناوین و توضیحات فهرست Etsy من برای جست‌وجوی تلفن همراه و عبارت‌های جستجوی صوتی چیست؟")</f>
        <v>بهترین روش‌ها برای بهینه‌سازی عناوین و توضیحات فهرست Etsy من برای جست‌وجوی تلفن همراه و عبارت‌های جستجوی صوتی چیست؟</v>
      </c>
      <c r="H9921" s="1"/>
      <c r="I9921" s="1"/>
      <c r="J9921" s="1"/>
      <c r="K9921" s="1"/>
      <c r="L9921" s="1"/>
      <c r="M9921" s="1"/>
      <c r="N9921" s="1"/>
      <c r="O9921" s="1"/>
      <c r="P9921" s="1"/>
      <c r="Q9921" s="1"/>
      <c r="R9921" s="1"/>
      <c r="S9921" s="1"/>
      <c r="T9921" s="1"/>
      <c r="U9921" s="1"/>
      <c r="V9921" s="1"/>
      <c r="W9921" s="1"/>
      <c r="X9921" s="1"/>
      <c r="Y9921" s="1"/>
      <c r="Z9921" s="1"/>
      <c r="AA9921" s="1"/>
      <c r="AB9921" s="1"/>
    </row>
    <row r="9922" ht="50.25" customHeight="1">
      <c r="A9922" s="12">
        <v>9918.0</v>
      </c>
      <c r="B9922" s="13" t="s">
        <v>9604</v>
      </c>
      <c r="C9922" s="14" t="s">
        <v>9949</v>
      </c>
      <c r="D9922" s="1"/>
      <c r="E9922" s="1"/>
      <c r="F9922" s="1" t="str">
        <f>IFERROR(__xludf.DUMMYFUNCTION("GOOGLETRANSLATE(B9922, ""en"", ""fa"")
"),"موفقیت Etsy")</f>
        <v>موفقیت Etsy</v>
      </c>
      <c r="G9922" s="1" t="str">
        <f>IFERROR(__xludf.DUMMYFUNCTION("GOOGLETRANSLATE(C9922, ""en"", ""fa"")
"),"چگونه می‌توانم فهرست‌های Etsy خود را برای دسته‌های محصول یا زیرمجموعه‌های خاص بهینه کنم تا دید در آن بخش‌ها افزایش یابد؟")</f>
        <v>چگونه می‌توانم فهرست‌های Etsy خود را برای دسته‌های محصول یا زیرمجموعه‌های خاص بهینه کنم تا دید در آن بخش‌ها افزایش یابد؟</v>
      </c>
      <c r="H9922" s="1"/>
      <c r="I9922" s="1"/>
      <c r="J9922" s="1"/>
      <c r="K9922" s="1"/>
      <c r="L9922" s="1"/>
      <c r="M9922" s="1"/>
      <c r="N9922" s="1"/>
      <c r="O9922" s="1"/>
      <c r="P9922" s="1"/>
      <c r="Q9922" s="1"/>
      <c r="R9922" s="1"/>
      <c r="S9922" s="1"/>
      <c r="T9922" s="1"/>
      <c r="U9922" s="1"/>
      <c r="V9922" s="1"/>
      <c r="W9922" s="1"/>
      <c r="X9922" s="1"/>
      <c r="Y9922" s="1"/>
      <c r="Z9922" s="1"/>
      <c r="AA9922" s="1"/>
      <c r="AB9922" s="1"/>
    </row>
    <row r="9923" ht="50.25" customHeight="1">
      <c r="A9923" s="12">
        <v>9919.0</v>
      </c>
      <c r="B9923" s="13" t="s">
        <v>9604</v>
      </c>
      <c r="C9923" s="14" t="s">
        <v>9950</v>
      </c>
      <c r="D9923" s="1"/>
      <c r="E9923" s="1"/>
      <c r="F9923" s="1" t="str">
        <f>IFERROR(__xludf.DUMMYFUNCTION("GOOGLETRANSLATE(B9923, ""en"", ""fa"")
"),"موفقیت Etsy")</f>
        <v>موفقیت Etsy</v>
      </c>
      <c r="G9923" s="1" t="str">
        <f>IFERROR(__xludf.DUMMYFUNCTION("GOOGLETRANSLATE(C9923, ""en"", ""fa"")
"),"چگونه می توانم از سوالات جستجوی مشتری و سوالات متداول برای تولید محتوای غنی از کلمات کلیدی در لیست های Etsy خود استفاده کنم؟")</f>
        <v>چگونه می توانم از سوالات جستجوی مشتری و سوالات متداول برای تولید محتوای غنی از کلمات کلیدی در لیست های Etsy خود استفاده کنم؟</v>
      </c>
      <c r="H9923" s="1"/>
      <c r="I9923" s="1"/>
      <c r="J9923" s="1"/>
      <c r="K9923" s="1"/>
      <c r="L9923" s="1"/>
      <c r="M9923" s="1"/>
      <c r="N9923" s="1"/>
      <c r="O9923" s="1"/>
      <c r="P9923" s="1"/>
      <c r="Q9923" s="1"/>
      <c r="R9923" s="1"/>
      <c r="S9923" s="1"/>
      <c r="T9923" s="1"/>
      <c r="U9923" s="1"/>
      <c r="V9923" s="1"/>
      <c r="W9923" s="1"/>
      <c r="X9923" s="1"/>
      <c r="Y9923" s="1"/>
      <c r="Z9923" s="1"/>
      <c r="AA9923" s="1"/>
      <c r="AB9923" s="1"/>
    </row>
    <row r="9924" ht="50.25" customHeight="1">
      <c r="A9924" s="12">
        <v>9920.0</v>
      </c>
      <c r="B9924" s="13" t="s">
        <v>9604</v>
      </c>
      <c r="C9924" s="14" t="s">
        <v>9951</v>
      </c>
      <c r="D9924" s="1"/>
      <c r="E9924" s="1"/>
      <c r="F9924" s="1" t="str">
        <f>IFERROR(__xludf.DUMMYFUNCTION("GOOGLETRANSLATE(B9924, ""en"", ""fa"")
"),"موفقیت Etsy")</f>
        <v>موفقیت Etsy</v>
      </c>
      <c r="G9924" s="1" t="str">
        <f>IFERROR(__xludf.DUMMYFUNCTION("GOOGLETRANSLATE(C9924, ""en"", ""fa"")
"),"با در نظر گرفتن ترجیحات زبانی و تفاوت های ظریف فرهنگی، چه استراتژی هایی برای بهینه سازی لیست های Etsy من برای مخاطبان بین المللی وجود دارد؟")</f>
        <v>با در نظر گرفتن ترجیحات زبانی و تفاوت های ظریف فرهنگی، چه استراتژی هایی برای بهینه سازی لیست های Etsy من برای مخاطبان بین المللی وجود دارد؟</v>
      </c>
      <c r="H9924" s="1"/>
      <c r="I9924" s="1"/>
      <c r="J9924" s="1"/>
      <c r="K9924" s="1"/>
      <c r="L9924" s="1"/>
      <c r="M9924" s="1"/>
      <c r="N9924" s="1"/>
      <c r="O9924" s="1"/>
      <c r="P9924" s="1"/>
      <c r="Q9924" s="1"/>
      <c r="R9924" s="1"/>
      <c r="S9924" s="1"/>
      <c r="T9924" s="1"/>
      <c r="U9924" s="1"/>
      <c r="V9924" s="1"/>
      <c r="W9924" s="1"/>
      <c r="X9924" s="1"/>
      <c r="Y9924" s="1"/>
      <c r="Z9924" s="1"/>
      <c r="AA9924" s="1"/>
      <c r="AB9924" s="1"/>
    </row>
    <row r="9925" ht="50.25" customHeight="1">
      <c r="A9925" s="12">
        <v>9921.0</v>
      </c>
      <c r="B9925" s="13" t="s">
        <v>9604</v>
      </c>
      <c r="C9925" s="14" t="s">
        <v>9952</v>
      </c>
      <c r="D9925" s="1"/>
      <c r="E9925" s="1"/>
      <c r="F9925" s="1" t="str">
        <f>IFERROR(__xludf.DUMMYFUNCTION("GOOGLETRANSLATE(B9925, ""en"", ""fa"")
"),"موفقیت Etsy")</f>
        <v>موفقیت Etsy</v>
      </c>
      <c r="G9925" s="1" t="str">
        <f>IFERROR(__xludf.DUMMYFUNCTION("GOOGLETRANSLATE(C9925, ""en"", ""fa"")
"),"چگونه می توانم ممیزی منظم سئو لیست های Etsy خود را برای شناسایی زمینه های بهبود و حفظ عملکرد بهینه انجام دهم؟")</f>
        <v>چگونه می توانم ممیزی منظم سئو لیست های Etsy خود را برای شناسایی زمینه های بهبود و حفظ عملکرد بهینه انجام دهم؟</v>
      </c>
      <c r="H9925" s="1"/>
      <c r="I9925" s="1"/>
      <c r="J9925" s="1"/>
      <c r="K9925" s="1"/>
      <c r="L9925" s="1"/>
      <c r="M9925" s="1"/>
      <c r="N9925" s="1"/>
      <c r="O9925" s="1"/>
      <c r="P9925" s="1"/>
      <c r="Q9925" s="1"/>
      <c r="R9925" s="1"/>
      <c r="S9925" s="1"/>
      <c r="T9925" s="1"/>
      <c r="U9925" s="1"/>
      <c r="V9925" s="1"/>
      <c r="W9925" s="1"/>
      <c r="X9925" s="1"/>
      <c r="Y9925" s="1"/>
      <c r="Z9925" s="1"/>
      <c r="AA9925" s="1"/>
      <c r="AB9925" s="1"/>
    </row>
    <row r="9926" ht="50.25" customHeight="1">
      <c r="A9926" s="12">
        <v>9922.0</v>
      </c>
      <c r="B9926" s="13" t="s">
        <v>9604</v>
      </c>
      <c r="C9926" s="14" t="s">
        <v>9953</v>
      </c>
      <c r="D9926" s="1"/>
      <c r="E9926" s="1"/>
      <c r="F9926" s="1" t="str">
        <f>IFERROR(__xludf.DUMMYFUNCTION("GOOGLETRANSLATE(B9926, ""en"", ""fa"")
"),"موفقیت Etsy")</f>
        <v>موفقیت Etsy</v>
      </c>
      <c r="G9926" s="1" t="str">
        <f>IFERROR(__xludf.DUMMYFUNCTION("GOOGLETRANSLATE(C9926, ""en"", ""fa"")
"),"ملاحظات استفاده از نشانه‌گذاری طرحواره یا ریچ اسنیپت‌ها در فهرست‌های Etsy من برای افزایش دید موتور جستجو چیست؟")</f>
        <v>ملاحظات استفاده از نشانه‌گذاری طرحواره یا ریچ اسنیپت‌ها در فهرست‌های Etsy من برای افزایش دید موتور جستجو چیست؟</v>
      </c>
      <c r="H9926" s="1"/>
      <c r="I9926" s="1"/>
      <c r="J9926" s="1"/>
      <c r="K9926" s="1"/>
      <c r="L9926" s="1"/>
      <c r="M9926" s="1"/>
      <c r="N9926" s="1"/>
      <c r="O9926" s="1"/>
      <c r="P9926" s="1"/>
      <c r="Q9926" s="1"/>
      <c r="R9926" s="1"/>
      <c r="S9926" s="1"/>
      <c r="T9926" s="1"/>
      <c r="U9926" s="1"/>
      <c r="V9926" s="1"/>
      <c r="W9926" s="1"/>
      <c r="X9926" s="1"/>
      <c r="Y9926" s="1"/>
      <c r="Z9926" s="1"/>
      <c r="AA9926" s="1"/>
      <c r="AB9926" s="1"/>
    </row>
    <row r="9927" ht="50.25" customHeight="1">
      <c r="A9927" s="12">
        <v>9923.0</v>
      </c>
      <c r="B9927" s="13" t="s">
        <v>9604</v>
      </c>
      <c r="C9927" s="14" t="s">
        <v>9954</v>
      </c>
      <c r="D9927" s="1"/>
      <c r="E9927" s="1"/>
      <c r="F9927" s="1" t="str">
        <f>IFERROR(__xludf.DUMMYFUNCTION("GOOGLETRANSLATE(B9927, ""en"", ""fa"")
"),"موفقیت Etsy")</f>
        <v>موفقیت Etsy</v>
      </c>
      <c r="G9927" s="1" t="str">
        <f>IFERROR(__xludf.DUMMYFUNCTION("GOOGLETRANSLATE(C9927, ""en"", ""fa"")
"),"چگونه می توانم عناوین و توضیحات فهرست Etsy خود را بهینه کنم تا در قطعه های برجسته یا سایر ویژگی های برجسته نتایج جستجو ظاهر شوند؟")</f>
        <v>چگونه می توانم عناوین و توضیحات فهرست Etsy خود را بهینه کنم تا در قطعه های برجسته یا سایر ویژگی های برجسته نتایج جستجو ظاهر شوند؟</v>
      </c>
      <c r="H9927" s="1"/>
      <c r="I9927" s="1"/>
      <c r="J9927" s="1"/>
      <c r="K9927" s="1"/>
      <c r="L9927" s="1"/>
      <c r="M9927" s="1"/>
      <c r="N9927" s="1"/>
      <c r="O9927" s="1"/>
      <c r="P9927" s="1"/>
      <c r="Q9927" s="1"/>
      <c r="R9927" s="1"/>
      <c r="S9927" s="1"/>
      <c r="T9927" s="1"/>
      <c r="U9927" s="1"/>
      <c r="V9927" s="1"/>
      <c r="W9927" s="1"/>
      <c r="X9927" s="1"/>
      <c r="Y9927" s="1"/>
      <c r="Z9927" s="1"/>
      <c r="AA9927" s="1"/>
      <c r="AB9927" s="1"/>
    </row>
    <row r="9928" ht="50.25" customHeight="1">
      <c r="A9928" s="12">
        <v>9924.0</v>
      </c>
      <c r="B9928" s="13" t="s">
        <v>9604</v>
      </c>
      <c r="C9928" s="14" t="s">
        <v>9955</v>
      </c>
      <c r="D9928" s="1"/>
      <c r="E9928" s="1"/>
      <c r="F9928" s="1" t="str">
        <f>IFERROR(__xludf.DUMMYFUNCTION("GOOGLETRANSLATE(B9928, ""en"", ""fa"")
"),"موفقیت Etsy")</f>
        <v>موفقیت Etsy</v>
      </c>
      <c r="G9928" s="1" t="str">
        <f>IFERROR(__xludf.DUMMYFUNCTION("GOOGLETRANSLATE(C9928, ""en"", ""fa"")
"),"چگونه می توانم حضور و شهرت کلی برند فروشگاه Etsy خود را برای بهبود رتبه بندی و دیده شدن موتورهای جستجو بهینه کنم؟")</f>
        <v>چگونه می توانم حضور و شهرت کلی برند فروشگاه Etsy خود را برای بهبود رتبه بندی و دیده شدن موتورهای جستجو بهینه کنم؟</v>
      </c>
      <c r="H9928" s="1"/>
      <c r="I9928" s="1"/>
      <c r="J9928" s="1"/>
      <c r="K9928" s="1"/>
      <c r="L9928" s="1"/>
      <c r="M9928" s="1"/>
      <c r="N9928" s="1"/>
      <c r="O9928" s="1"/>
      <c r="P9928" s="1"/>
      <c r="Q9928" s="1"/>
      <c r="R9928" s="1"/>
      <c r="S9928" s="1"/>
      <c r="T9928" s="1"/>
      <c r="U9928" s="1"/>
      <c r="V9928" s="1"/>
      <c r="W9928" s="1"/>
      <c r="X9928" s="1"/>
      <c r="Y9928" s="1"/>
      <c r="Z9928" s="1"/>
      <c r="AA9928" s="1"/>
      <c r="AB9928" s="1"/>
    </row>
    <row r="9929" ht="50.25" customHeight="1">
      <c r="A9929" s="12">
        <v>9925.0</v>
      </c>
      <c r="B9929" s="13" t="s">
        <v>9604</v>
      </c>
      <c r="C9929" s="14" t="s">
        <v>9956</v>
      </c>
      <c r="D9929" s="1"/>
      <c r="E9929" s="1"/>
      <c r="F9929" s="1" t="str">
        <f>IFERROR(__xludf.DUMMYFUNCTION("GOOGLETRANSLATE(B9929, ""en"", ""fa"")
"),"موفقیت Etsy")</f>
        <v>موفقیت Etsy</v>
      </c>
      <c r="G9929" s="1" t="str">
        <f>IFERROR(__xludf.DUMMYFUNCTION("GOOGLETRANSLATE(C9929, ""en"", ""fa"")
"),"استراتژی‌هایی برای بهینه‌سازی فهرست‌های Etsy من برای تعطیلات، رویدادها یا روندهای فصلی خاص چیست؟")</f>
        <v>استراتژی‌هایی برای بهینه‌سازی فهرست‌های Etsy من برای تعطیلات، رویدادها یا روندهای فصلی خاص چیست؟</v>
      </c>
      <c r="H9929" s="1"/>
      <c r="I9929" s="1"/>
      <c r="J9929" s="1"/>
      <c r="K9929" s="1"/>
      <c r="L9929" s="1"/>
      <c r="M9929" s="1"/>
      <c r="N9929" s="1"/>
      <c r="O9929" s="1"/>
      <c r="P9929" s="1"/>
      <c r="Q9929" s="1"/>
      <c r="R9929" s="1"/>
      <c r="S9929" s="1"/>
      <c r="T9929" s="1"/>
      <c r="U9929" s="1"/>
      <c r="V9929" s="1"/>
      <c r="W9929" s="1"/>
      <c r="X9929" s="1"/>
      <c r="Y9929" s="1"/>
      <c r="Z9929" s="1"/>
      <c r="AA9929" s="1"/>
      <c r="AB9929" s="1"/>
    </row>
    <row r="9930" ht="50.25" customHeight="1">
      <c r="A9930" s="12">
        <v>9926.0</v>
      </c>
      <c r="B9930" s="13" t="s">
        <v>9604</v>
      </c>
      <c r="C9930" s="14" t="s">
        <v>9957</v>
      </c>
      <c r="D9930" s="1"/>
      <c r="E9930" s="1"/>
      <c r="F9930" s="1" t="str">
        <f>IFERROR(__xludf.DUMMYFUNCTION("GOOGLETRANSLATE(B9930, ""en"", ""fa"")
"),"موفقیت Etsy")</f>
        <v>موفقیت Etsy</v>
      </c>
      <c r="G9930" s="1" t="str">
        <f>IFERROR(__xludf.DUMMYFUNCTION("GOOGLETRANSLATE(C9930, ""en"", ""fa"")
"),"چگونه می توانم به روز رسانی ها و تغییرات الگوریتم جستجوی Etsy را تجزیه و تحلیل و تفسیر کنم تا استراتژی های سئوی خود را بر این اساس تطبیق دهم؟")</f>
        <v>چگونه می توانم به روز رسانی ها و تغییرات الگوریتم جستجوی Etsy را تجزیه و تحلیل و تفسیر کنم تا استراتژی های سئوی خود را بر این اساس تطبیق دهم؟</v>
      </c>
      <c r="H9930" s="1"/>
      <c r="I9930" s="1"/>
      <c r="J9930" s="1"/>
      <c r="K9930" s="1"/>
      <c r="L9930" s="1"/>
      <c r="M9930" s="1"/>
      <c r="N9930" s="1"/>
      <c r="O9930" s="1"/>
      <c r="P9930" s="1"/>
      <c r="Q9930" s="1"/>
      <c r="R9930" s="1"/>
      <c r="S9930" s="1"/>
      <c r="T9930" s="1"/>
      <c r="U9930" s="1"/>
      <c r="V9930" s="1"/>
      <c r="W9930" s="1"/>
      <c r="X9930" s="1"/>
      <c r="Y9930" s="1"/>
      <c r="Z9930" s="1"/>
      <c r="AA9930" s="1"/>
      <c r="AB9930" s="1"/>
    </row>
    <row r="9931" ht="50.25" customHeight="1">
      <c r="A9931" s="12">
        <v>9927.0</v>
      </c>
      <c r="B9931" s="13" t="s">
        <v>9604</v>
      </c>
      <c r="C9931" s="14" t="s">
        <v>9958</v>
      </c>
      <c r="D9931" s="1"/>
      <c r="E9931" s="1"/>
      <c r="F9931" s="1" t="str">
        <f>IFERROR(__xludf.DUMMYFUNCTION("GOOGLETRANSLATE(B9931, ""en"", ""fa"")
"),"موفقیت Etsy")</f>
        <v>موفقیت Etsy</v>
      </c>
      <c r="G9931" s="1" t="str">
        <f>IFERROR(__xludf.DUMMYFUNCTION("GOOGLETRANSLATE(C9931, ""en"", ""fa"")
"),"بهترین روش‌ها برای بهینه‌سازی نظرات و رتبه‌بندی‌های مشتریان فروشگاه Etsy من برای تأثیر مثبت بر رتبه‌بندی جستجو چیست؟")</f>
        <v>بهترین روش‌ها برای بهینه‌سازی نظرات و رتبه‌بندی‌های مشتریان فروشگاه Etsy من برای تأثیر مثبت بر رتبه‌بندی جستجو چیست؟</v>
      </c>
      <c r="H9931" s="1"/>
      <c r="I9931" s="1"/>
      <c r="J9931" s="1"/>
      <c r="K9931" s="1"/>
      <c r="L9931" s="1"/>
      <c r="M9931" s="1"/>
      <c r="N9931" s="1"/>
      <c r="O9931" s="1"/>
      <c r="P9931" s="1"/>
      <c r="Q9931" s="1"/>
      <c r="R9931" s="1"/>
      <c r="S9931" s="1"/>
      <c r="T9931" s="1"/>
      <c r="U9931" s="1"/>
      <c r="V9931" s="1"/>
      <c r="W9931" s="1"/>
      <c r="X9931" s="1"/>
      <c r="Y9931" s="1"/>
      <c r="Z9931" s="1"/>
      <c r="AA9931" s="1"/>
      <c r="AB9931" s="1"/>
    </row>
    <row r="9932" ht="50.25" customHeight="1">
      <c r="A9932" s="12">
        <v>9928.0</v>
      </c>
      <c r="B9932" s="13" t="s">
        <v>9604</v>
      </c>
      <c r="C9932" s="14" t="s">
        <v>9959</v>
      </c>
      <c r="D9932" s="1"/>
      <c r="E9932" s="1"/>
      <c r="F9932" s="1" t="str">
        <f>IFERROR(__xludf.DUMMYFUNCTION("GOOGLETRANSLATE(B9932, ""en"", ""fa"")
"),"موفقیت Etsy")</f>
        <v>موفقیت Etsy</v>
      </c>
      <c r="G9932" s="1" t="str">
        <f>IFERROR(__xludf.DUMMYFUNCTION("GOOGLETRANSLATE(C9932, ""en"", ""fa"")
"),"چگونه می توانم لیست های Etsy خود را برای دستیارهای صوتی، مانند الکسا یا دستیار گوگل، بهینه کنم تا ترافیک جستجوی صوتی را جذب کنم؟")</f>
        <v>چگونه می توانم لیست های Etsy خود را برای دستیارهای صوتی، مانند الکسا یا دستیار گوگل، بهینه کنم تا ترافیک جستجوی صوتی را جذب کنم؟</v>
      </c>
      <c r="H9932" s="1"/>
      <c r="I9932" s="1"/>
      <c r="J9932" s="1"/>
      <c r="K9932" s="1"/>
      <c r="L9932" s="1"/>
      <c r="M9932" s="1"/>
      <c r="N9932" s="1"/>
      <c r="O9932" s="1"/>
      <c r="P9932" s="1"/>
      <c r="Q9932" s="1"/>
      <c r="R9932" s="1"/>
      <c r="S9932" s="1"/>
      <c r="T9932" s="1"/>
      <c r="U9932" s="1"/>
      <c r="V9932" s="1"/>
      <c r="W9932" s="1"/>
      <c r="X9932" s="1"/>
      <c r="Y9932" s="1"/>
      <c r="Z9932" s="1"/>
      <c r="AA9932" s="1"/>
      <c r="AB9932" s="1"/>
    </row>
    <row r="9933" ht="50.25" customHeight="1">
      <c r="A9933" s="12">
        <v>9929.0</v>
      </c>
      <c r="B9933" s="13" t="s">
        <v>9604</v>
      </c>
      <c r="C9933" s="14" t="s">
        <v>9960</v>
      </c>
      <c r="D9933" s="1"/>
      <c r="E9933" s="1"/>
      <c r="F9933" s="1" t="str">
        <f>IFERROR(__xludf.DUMMYFUNCTION("GOOGLETRANSLATE(B9933, ""en"", ""fa"")
"),"موفقیت Etsy")</f>
        <v>موفقیت Etsy</v>
      </c>
      <c r="G9933" s="1" t="str">
        <f>IFERROR(__xludf.DUMMYFUNCTION("GOOGLETRANSLATE(C9933, ""en"", ""fa"")
"),"چگونه می توانم تست A/B استراتژی های مختلف سئو مانند کلمات کلیدی، عناوین یا توضیحات را انجام دهم تا تاثیر آنها بر عملکرد لیست را اندازه گیری کنم؟")</f>
        <v>چگونه می توانم تست A/B استراتژی های مختلف سئو مانند کلمات کلیدی، عناوین یا توضیحات را انجام دهم تا تاثیر آنها بر عملکرد لیست را اندازه گیری کنم؟</v>
      </c>
      <c r="H9933" s="1"/>
      <c r="I9933" s="1"/>
      <c r="J9933" s="1"/>
      <c r="K9933" s="1"/>
      <c r="L9933" s="1"/>
      <c r="M9933" s="1"/>
      <c r="N9933" s="1"/>
      <c r="O9933" s="1"/>
      <c r="P9933" s="1"/>
      <c r="Q9933" s="1"/>
      <c r="R9933" s="1"/>
      <c r="S9933" s="1"/>
      <c r="T9933" s="1"/>
      <c r="U9933" s="1"/>
      <c r="V9933" s="1"/>
      <c r="W9933" s="1"/>
      <c r="X9933" s="1"/>
      <c r="Y9933" s="1"/>
      <c r="Z9933" s="1"/>
      <c r="AA9933" s="1"/>
      <c r="AB9933" s="1"/>
    </row>
    <row r="9934" ht="50.25" customHeight="1">
      <c r="A9934" s="12">
        <v>9930.0</v>
      </c>
      <c r="B9934" s="13" t="s">
        <v>9604</v>
      </c>
      <c r="C9934" s="14" t="s">
        <v>9961</v>
      </c>
      <c r="D9934" s="1"/>
      <c r="E9934" s="1"/>
      <c r="F9934" s="1" t="str">
        <f>IFERROR(__xludf.DUMMYFUNCTION("GOOGLETRANSLATE(B9934, ""en"", ""fa"")
"),"موفقیت Etsy")</f>
        <v>موفقیت Etsy</v>
      </c>
      <c r="G9934" s="1" t="str">
        <f>IFERROR(__xludf.DUMMYFUNCTION("GOOGLETRANSLATE(C9934, ""en"", ""fa"")
"),"ملاحظات برای بهینه سازی فهرست های Etsy من برای بخش های جمعیتی خاص، مانند سن، جنسیت، یا علایق چیست؟")</f>
        <v>ملاحظات برای بهینه سازی فهرست های Etsy من برای بخش های جمعیتی خاص، مانند سن، جنسیت، یا علایق چیست؟</v>
      </c>
      <c r="H9934" s="1"/>
      <c r="I9934" s="1"/>
      <c r="J9934" s="1"/>
      <c r="K9934" s="1"/>
      <c r="L9934" s="1"/>
      <c r="M9934" s="1"/>
      <c r="N9934" s="1"/>
      <c r="O9934" s="1"/>
      <c r="P9934" s="1"/>
      <c r="Q9934" s="1"/>
      <c r="R9934" s="1"/>
      <c r="S9934" s="1"/>
      <c r="T9934" s="1"/>
      <c r="U9934" s="1"/>
      <c r="V9934" s="1"/>
      <c r="W9934" s="1"/>
      <c r="X9934" s="1"/>
      <c r="Y9934" s="1"/>
      <c r="Z9934" s="1"/>
      <c r="AA9934" s="1"/>
      <c r="AB9934" s="1"/>
    </row>
    <row r="9935" ht="50.25" customHeight="1">
      <c r="A9935" s="12">
        <v>9931.0</v>
      </c>
      <c r="B9935" s="13" t="s">
        <v>9604</v>
      </c>
      <c r="C9935" s="14" t="s">
        <v>9962</v>
      </c>
      <c r="D9935" s="1"/>
      <c r="E9935" s="1"/>
      <c r="F9935" s="1" t="str">
        <f>IFERROR(__xludf.DUMMYFUNCTION("GOOGLETRANSLATE(B9935, ""en"", ""fa"")
"),"موفقیت Etsy")</f>
        <v>موفقیت Etsy</v>
      </c>
      <c r="G9935" s="1" t="str">
        <f>IFERROR(__xludf.DUMMYFUNCTION("GOOGLETRANSLATE(C9935, ""en"", ""fa"")
"),"چگونه می توانم سرعت بارگیری و عملکرد کلی فروشگاه Etsy خود را برای بهبود رتبه بندی موتورهای جستجو و تجربه کاربر بهینه کنم؟")</f>
        <v>چگونه می توانم سرعت بارگیری و عملکرد کلی فروشگاه Etsy خود را برای بهبود رتبه بندی موتورهای جستجو و تجربه کاربر بهینه کنم؟</v>
      </c>
      <c r="H9935" s="1"/>
      <c r="I9935" s="1"/>
      <c r="J9935" s="1"/>
      <c r="K9935" s="1"/>
      <c r="L9935" s="1"/>
      <c r="M9935" s="1"/>
      <c r="N9935" s="1"/>
      <c r="O9935" s="1"/>
      <c r="P9935" s="1"/>
      <c r="Q9935" s="1"/>
      <c r="R9935" s="1"/>
      <c r="S9935" s="1"/>
      <c r="T9935" s="1"/>
      <c r="U9935" s="1"/>
      <c r="V9935" s="1"/>
      <c r="W9935" s="1"/>
      <c r="X9935" s="1"/>
      <c r="Y9935" s="1"/>
      <c r="Z9935" s="1"/>
      <c r="AA9935" s="1"/>
      <c r="AB9935" s="1"/>
    </row>
    <row r="9936" ht="50.25" customHeight="1">
      <c r="A9936" s="12">
        <v>9932.0</v>
      </c>
      <c r="B9936" s="13" t="s">
        <v>9604</v>
      </c>
      <c r="C9936" s="14" t="s">
        <v>9963</v>
      </c>
      <c r="D9936" s="1"/>
      <c r="E9936" s="1"/>
      <c r="F9936" s="1" t="str">
        <f>IFERROR(__xludf.DUMMYFUNCTION("GOOGLETRANSLATE(B9936, ""en"", ""fa"")
"),"موفقیت Etsy")</f>
        <v>موفقیت Etsy</v>
      </c>
      <c r="G9936" s="1" t="str">
        <f>IFERROR(__xludf.DUMMYFUNCTION("GOOGLETRANSLATE(C9936, ""en"", ""fa"")
"),"چگونه می توانم از پلتفرم های رسانه های اجتماعی و وب سایت های خارجی برای تولید بک لینک و بهبود سئو لیست های Etsy خود استفاده کنم؟")</f>
        <v>چگونه می توانم از پلتفرم های رسانه های اجتماعی و وب سایت های خارجی برای تولید بک لینک و بهبود سئو لیست های Etsy خود استفاده کنم؟</v>
      </c>
      <c r="H9936" s="1"/>
      <c r="I9936" s="1"/>
      <c r="J9936" s="1"/>
      <c r="K9936" s="1"/>
      <c r="L9936" s="1"/>
      <c r="M9936" s="1"/>
      <c r="N9936" s="1"/>
      <c r="O9936" s="1"/>
      <c r="P9936" s="1"/>
      <c r="Q9936" s="1"/>
      <c r="R9936" s="1"/>
      <c r="S9936" s="1"/>
      <c r="T9936" s="1"/>
      <c r="U9936" s="1"/>
      <c r="V9936" s="1"/>
      <c r="W9936" s="1"/>
      <c r="X9936" s="1"/>
      <c r="Y9936" s="1"/>
      <c r="Z9936" s="1"/>
      <c r="AA9936" s="1"/>
      <c r="AB9936" s="1"/>
    </row>
    <row r="9937" ht="50.25" customHeight="1">
      <c r="A9937" s="12">
        <v>9933.0</v>
      </c>
      <c r="B9937" s="13" t="s">
        <v>9604</v>
      </c>
      <c r="C9937" s="14" t="s">
        <v>9964</v>
      </c>
      <c r="D9937" s="1"/>
      <c r="E9937" s="1"/>
      <c r="F9937" s="1" t="str">
        <f>IFERROR(__xludf.DUMMYFUNCTION("GOOGLETRANSLATE(B9937, ""en"", ""fa"")
"),"موفقیت Etsy")</f>
        <v>موفقیت Etsy</v>
      </c>
      <c r="G9937" s="1" t="str">
        <f>IFERROR(__xludf.DUMMYFUNCTION("GOOGLETRANSLATE(C9937, ""en"", ""fa"")
"),"بهترین روش‌ها برای بهینه‌سازی فهرست‌های Etsy من برای تغییرات یا گزینه‌های خاص محصول برای افزایش دید و فروش چیست؟")</f>
        <v>بهترین روش‌ها برای بهینه‌سازی فهرست‌های Etsy من برای تغییرات یا گزینه‌های خاص محصول برای افزایش دید و فروش چیست؟</v>
      </c>
      <c r="H9937" s="1"/>
      <c r="I9937" s="1"/>
      <c r="J9937" s="1"/>
      <c r="K9937" s="1"/>
      <c r="L9937" s="1"/>
      <c r="M9937" s="1"/>
      <c r="N9937" s="1"/>
      <c r="O9937" s="1"/>
      <c r="P9937" s="1"/>
      <c r="Q9937" s="1"/>
      <c r="R9937" s="1"/>
      <c r="S9937" s="1"/>
      <c r="T9937" s="1"/>
      <c r="U9937" s="1"/>
      <c r="V9937" s="1"/>
      <c r="W9937" s="1"/>
      <c r="X9937" s="1"/>
      <c r="Y9937" s="1"/>
      <c r="Z9937" s="1"/>
      <c r="AA9937" s="1"/>
      <c r="AB9937" s="1"/>
    </row>
    <row r="9938" ht="50.25" customHeight="1">
      <c r="A9938" s="12">
        <v>9934.0</v>
      </c>
      <c r="B9938" s="13" t="s">
        <v>9604</v>
      </c>
      <c r="C9938" s="14" t="s">
        <v>9965</v>
      </c>
      <c r="D9938" s="1"/>
      <c r="E9938" s="1"/>
      <c r="F9938" s="1" t="str">
        <f>IFERROR(__xludf.DUMMYFUNCTION("GOOGLETRANSLATE(B9938, ""en"", ""fa"")
"),"موفقیت Etsy")</f>
        <v>موفقیت Etsy</v>
      </c>
      <c r="G9938" s="1" t="str">
        <f>IFERROR(__xludf.DUMMYFUNCTION("GOOGLETRANSLATE(C9938, ""en"", ""fa"")
"),"چگونه می توانم لیست های Etsy خود را برای هدف جستجوی خاص، مانند پرس و جوهای اطلاعاتی، مقایسه محصول، یا کلمات کلیدی مرتبط با خرید، بهینه کنم؟")</f>
        <v>چگونه می توانم لیست های Etsy خود را برای هدف جستجوی خاص، مانند پرس و جوهای اطلاعاتی، مقایسه محصول، یا کلمات کلیدی مرتبط با خرید، بهینه کنم؟</v>
      </c>
      <c r="H9938" s="1"/>
      <c r="I9938" s="1"/>
      <c r="J9938" s="1"/>
      <c r="K9938" s="1"/>
      <c r="L9938" s="1"/>
      <c r="M9938" s="1"/>
      <c r="N9938" s="1"/>
      <c r="O9938" s="1"/>
      <c r="P9938" s="1"/>
      <c r="Q9938" s="1"/>
      <c r="R9938" s="1"/>
      <c r="S9938" s="1"/>
      <c r="T9938" s="1"/>
      <c r="U9938" s="1"/>
      <c r="V9938" s="1"/>
      <c r="W9938" s="1"/>
      <c r="X9938" s="1"/>
      <c r="Y9938" s="1"/>
      <c r="Z9938" s="1"/>
      <c r="AA9938" s="1"/>
      <c r="AB9938" s="1"/>
    </row>
    <row r="9939" ht="50.25" customHeight="1">
      <c r="A9939" s="12">
        <v>9935.0</v>
      </c>
      <c r="B9939" s="13" t="s">
        <v>9604</v>
      </c>
      <c r="C9939" s="14" t="s">
        <v>9966</v>
      </c>
      <c r="D9939" s="1"/>
      <c r="E9939" s="1"/>
      <c r="F9939" s="1" t="str">
        <f>IFERROR(__xludf.DUMMYFUNCTION("GOOGLETRANSLATE(B9939, ""en"", ""fa"")
"),"موفقیت Etsy")</f>
        <v>موفقیت Etsy</v>
      </c>
      <c r="G9939" s="1" t="str">
        <f>IFERROR(__xludf.DUMMYFUNCTION("GOOGLETRANSLATE(C9939, ""en"", ""fa"")
"),"استراتژی‌های بهینه‌سازی فهرست‌های Etsy من برای نمایه‌سازی اول تلفن همراه و تضمین تجربه یکپارچه مرور تلفن همراه چیست؟")</f>
        <v>استراتژی‌های بهینه‌سازی فهرست‌های Etsy من برای نمایه‌سازی اول تلفن همراه و تضمین تجربه یکپارچه مرور تلفن همراه چیست؟</v>
      </c>
      <c r="H9939" s="1"/>
      <c r="I9939" s="1"/>
      <c r="J9939" s="1"/>
      <c r="K9939" s="1"/>
      <c r="L9939" s="1"/>
      <c r="M9939" s="1"/>
      <c r="N9939" s="1"/>
      <c r="O9939" s="1"/>
      <c r="P9939" s="1"/>
      <c r="Q9939" s="1"/>
      <c r="R9939" s="1"/>
      <c r="S9939" s="1"/>
      <c r="T9939" s="1"/>
      <c r="U9939" s="1"/>
      <c r="V9939" s="1"/>
      <c r="W9939" s="1"/>
      <c r="X9939" s="1"/>
      <c r="Y9939" s="1"/>
      <c r="Z9939" s="1"/>
      <c r="AA9939" s="1"/>
      <c r="AB9939" s="1"/>
    </row>
    <row r="9940" ht="50.25" customHeight="1">
      <c r="A9940" s="12">
        <v>9936.0</v>
      </c>
      <c r="B9940" s="13" t="s">
        <v>9604</v>
      </c>
      <c r="C9940" s="14" t="s">
        <v>9967</v>
      </c>
      <c r="D9940" s="1"/>
      <c r="E9940" s="1"/>
      <c r="F9940" s="1" t="str">
        <f>IFERROR(__xludf.DUMMYFUNCTION("GOOGLETRANSLATE(B9940, ""en"", ""fa"")
"),"موفقیت Etsy")</f>
        <v>موفقیت Etsy</v>
      </c>
      <c r="G9940" s="1" t="str">
        <f>IFERROR(__xludf.DUMMYFUNCTION("GOOGLETRANSLATE(C9940, ""en"", ""fa"")
"),"چگونه می توانم استراتژی محتوای کلی فروشگاه Etsy خود، از جمله پست های وبلاگ یا منابع آموزشی را برای بهبود سئو و جذب ترافیک ارگانیک بهینه کنم؟")</f>
        <v>چگونه می توانم استراتژی محتوای کلی فروشگاه Etsy خود، از جمله پست های وبلاگ یا منابع آموزشی را برای بهبود سئو و جذب ترافیک ارگانیک بهینه کنم؟</v>
      </c>
      <c r="H9940" s="1"/>
      <c r="I9940" s="1"/>
      <c r="J9940" s="1"/>
      <c r="K9940" s="1"/>
      <c r="L9940" s="1"/>
      <c r="M9940" s="1"/>
      <c r="N9940" s="1"/>
      <c r="O9940" s="1"/>
      <c r="P9940" s="1"/>
      <c r="Q9940" s="1"/>
      <c r="R9940" s="1"/>
      <c r="S9940" s="1"/>
      <c r="T9940" s="1"/>
      <c r="U9940" s="1"/>
      <c r="V9940" s="1"/>
      <c r="W9940" s="1"/>
      <c r="X9940" s="1"/>
      <c r="Y9940" s="1"/>
      <c r="Z9940" s="1"/>
      <c r="AA9940" s="1"/>
      <c r="AB9940" s="1"/>
    </row>
    <row r="9941" ht="50.25" customHeight="1">
      <c r="A9941" s="12">
        <v>9937.0</v>
      </c>
      <c r="B9941" s="13" t="s">
        <v>9604</v>
      </c>
      <c r="C9941" s="14" t="s">
        <v>9968</v>
      </c>
      <c r="D9941" s="1"/>
      <c r="E9941" s="1"/>
      <c r="F9941" s="1" t="str">
        <f>IFERROR(__xludf.DUMMYFUNCTION("GOOGLETRANSLATE(B9941, ""en"", ""fa"")
"),"موفقیت Etsy")</f>
        <v>موفقیت Etsy</v>
      </c>
      <c r="G9941" s="1" t="str">
        <f>IFERROR(__xludf.DUMMYFUNCTION("GOOGLETRANSLATE(C9941, ""en"", ""fa"")
"),"ملاحظات برای بهینه‌سازی فهرست‌های Etsy من برای ترجیحات مشتری خاص، مانند محصولات سازگار با محیط زیست، پایدار یا دست ساز چیست؟")</f>
        <v>ملاحظات برای بهینه‌سازی فهرست‌های Etsy من برای ترجیحات مشتری خاص، مانند محصولات سازگار با محیط زیست، پایدار یا دست ساز چیست؟</v>
      </c>
      <c r="H9941" s="1"/>
      <c r="I9941" s="1"/>
      <c r="J9941" s="1"/>
      <c r="K9941" s="1"/>
      <c r="L9941" s="1"/>
      <c r="M9941" s="1"/>
      <c r="N9941" s="1"/>
      <c r="O9941" s="1"/>
      <c r="P9941" s="1"/>
      <c r="Q9941" s="1"/>
      <c r="R9941" s="1"/>
      <c r="S9941" s="1"/>
      <c r="T9941" s="1"/>
      <c r="U9941" s="1"/>
      <c r="V9941" s="1"/>
      <c r="W9941" s="1"/>
      <c r="X9941" s="1"/>
      <c r="Y9941" s="1"/>
      <c r="Z9941" s="1"/>
      <c r="AA9941" s="1"/>
      <c r="AB9941" s="1"/>
    </row>
    <row r="9942" ht="50.25" customHeight="1">
      <c r="A9942" s="12">
        <v>9938.0</v>
      </c>
      <c r="B9942" s="13" t="s">
        <v>9604</v>
      </c>
      <c r="C9942" s="14" t="s">
        <v>9969</v>
      </c>
      <c r="D9942" s="1"/>
      <c r="E9942" s="1"/>
      <c r="F9942" s="1" t="str">
        <f>IFERROR(__xludf.DUMMYFUNCTION("GOOGLETRANSLATE(B9942, ""en"", ""fa"")
"),"موفقیت Etsy")</f>
        <v>موفقیت Etsy</v>
      </c>
      <c r="G9942" s="1" t="str">
        <f>IFERROR(__xludf.DUMMYFUNCTION("GOOGLETRANSLATE(C9942, ""en"", ""fa"")
"),"چگونه می توانم نرخ کلیک (CTR) و نرخ تبدیل (CVR) فروشگاه Etsy خود را برای بهبود عملکرد کلی SEO تجزیه و تحلیل و بهینه کنم؟")</f>
        <v>چگونه می توانم نرخ کلیک (CTR) و نرخ تبدیل (CVR) فروشگاه Etsy خود را برای بهبود عملکرد کلی SEO تجزیه و تحلیل و بهینه کنم؟</v>
      </c>
      <c r="H9942" s="1"/>
      <c r="I9942" s="1"/>
      <c r="J9942" s="1"/>
      <c r="K9942" s="1"/>
      <c r="L9942" s="1"/>
      <c r="M9942" s="1"/>
      <c r="N9942" s="1"/>
      <c r="O9942" s="1"/>
      <c r="P9942" s="1"/>
      <c r="Q9942" s="1"/>
      <c r="R9942" s="1"/>
      <c r="S9942" s="1"/>
      <c r="T9942" s="1"/>
      <c r="U9942" s="1"/>
      <c r="V9942" s="1"/>
      <c r="W9942" s="1"/>
      <c r="X9942" s="1"/>
      <c r="Y9942" s="1"/>
      <c r="Z9942" s="1"/>
      <c r="AA9942" s="1"/>
      <c r="AB9942" s="1"/>
    </row>
    <row r="9943" ht="50.25" customHeight="1">
      <c r="A9943" s="12">
        <v>9939.0</v>
      </c>
      <c r="B9943" s="13" t="s">
        <v>9604</v>
      </c>
      <c r="C9943" s="14" t="s">
        <v>9970</v>
      </c>
      <c r="D9943" s="1"/>
      <c r="E9943" s="1"/>
      <c r="F9943" s="1" t="str">
        <f>IFERROR(__xludf.DUMMYFUNCTION("GOOGLETRANSLATE(B9943, ""en"", ""fa"")
"),"موفقیت Etsy")</f>
        <v>موفقیت Etsy</v>
      </c>
      <c r="G9943" s="1" t="str">
        <f>IFERROR(__xludf.DUMMYFUNCTION("GOOGLETRANSLATE(C9943, ""en"", ""fa"")
"),"چگونه می‌توانم فهرست‌های Etsy خود را برای مناسبت‌های خاص، مانند عروسی، تولد، یا تعطیلات، بهینه کنم تا هدف خریدار فصلی باشد؟")</f>
        <v>چگونه می‌توانم فهرست‌های Etsy خود را برای مناسبت‌های خاص، مانند عروسی، تولد، یا تعطیلات، بهینه کنم تا هدف خریدار فصلی باشد؟</v>
      </c>
      <c r="H9943" s="1"/>
      <c r="I9943" s="1"/>
      <c r="J9943" s="1"/>
      <c r="K9943" s="1"/>
      <c r="L9943" s="1"/>
      <c r="M9943" s="1"/>
      <c r="N9943" s="1"/>
      <c r="O9943" s="1"/>
      <c r="P9943" s="1"/>
      <c r="Q9943" s="1"/>
      <c r="R9943" s="1"/>
      <c r="S9943" s="1"/>
      <c r="T9943" s="1"/>
      <c r="U9943" s="1"/>
      <c r="V9943" s="1"/>
      <c r="W9943" s="1"/>
      <c r="X9943" s="1"/>
      <c r="Y9943" s="1"/>
      <c r="Z9943" s="1"/>
      <c r="AA9943" s="1"/>
      <c r="AB9943" s="1"/>
    </row>
    <row r="9944" ht="50.25" customHeight="1">
      <c r="A9944" s="12">
        <v>9940.0</v>
      </c>
      <c r="B9944" s="13" t="s">
        <v>9604</v>
      </c>
      <c r="C9944" s="14" t="s">
        <v>9971</v>
      </c>
      <c r="D9944" s="1"/>
      <c r="E9944" s="1"/>
      <c r="F9944" s="1" t="str">
        <f>IFERROR(__xludf.DUMMYFUNCTION("GOOGLETRANSLATE(B9944, ""en"", ""fa"")
"),"موفقیت Etsy")</f>
        <v>موفقیت Etsy</v>
      </c>
      <c r="G9944" s="1" t="str">
        <f>IFERROR(__xludf.DUMMYFUNCTION("GOOGLETRANSLATE(C9944, ""en"", ""fa"")
"),"استراتژی‌هایی برای بهینه‌سازی فهرست‌های Etsy من برای جست‌وجوهای محلی، مانند «نزدیک من» یا کلمات کلیدی خاص مکان چیست؟")</f>
        <v>استراتژی‌هایی برای بهینه‌سازی فهرست‌های Etsy من برای جست‌وجوهای محلی، مانند «نزدیک من» یا کلمات کلیدی خاص مکان چیست؟</v>
      </c>
      <c r="H9944" s="1"/>
      <c r="I9944" s="1"/>
      <c r="J9944" s="1"/>
      <c r="K9944" s="1"/>
      <c r="L9944" s="1"/>
      <c r="M9944" s="1"/>
      <c r="N9944" s="1"/>
      <c r="O9944" s="1"/>
      <c r="P9944" s="1"/>
      <c r="Q9944" s="1"/>
      <c r="R9944" s="1"/>
      <c r="S9944" s="1"/>
      <c r="T9944" s="1"/>
      <c r="U9944" s="1"/>
      <c r="V9944" s="1"/>
      <c r="W9944" s="1"/>
      <c r="X9944" s="1"/>
      <c r="Y9944" s="1"/>
      <c r="Z9944" s="1"/>
      <c r="AA9944" s="1"/>
      <c r="AB9944" s="1"/>
    </row>
    <row r="9945" ht="50.25" customHeight="1">
      <c r="A9945" s="12">
        <v>9941.0</v>
      </c>
      <c r="B9945" s="13" t="s">
        <v>9604</v>
      </c>
      <c r="C9945" s="14" t="s">
        <v>9972</v>
      </c>
      <c r="D9945" s="1"/>
      <c r="E9945" s="1"/>
      <c r="F9945" s="1" t="str">
        <f>IFERROR(__xludf.DUMMYFUNCTION("GOOGLETRANSLATE(B9945, ""en"", ""fa"")
"),"موفقیت Etsy")</f>
        <v>موفقیت Etsy</v>
      </c>
      <c r="G9945" s="1" t="str">
        <f>IFERROR(__xludf.DUMMYFUNCTION("GOOGLETRANSLATE(C9945, ""en"", ""fa"")
"),"چگونه می توانم حضور و مشارکت کلی فروشگاه Etsy خود را در رسانه های اجتماعی بهینه کنم تا دید موتور جستجو و آگاهی از برند را افزایش دهم؟")</f>
        <v>چگونه می توانم حضور و مشارکت کلی فروشگاه Etsy خود را در رسانه های اجتماعی بهینه کنم تا دید موتور جستجو و آگاهی از برند را افزایش دهم؟</v>
      </c>
      <c r="H9945" s="1"/>
      <c r="I9945" s="1"/>
      <c r="J9945" s="1"/>
      <c r="K9945" s="1"/>
      <c r="L9945" s="1"/>
      <c r="M9945" s="1"/>
      <c r="N9945" s="1"/>
      <c r="O9945" s="1"/>
      <c r="P9945" s="1"/>
      <c r="Q9945" s="1"/>
      <c r="R9945" s="1"/>
      <c r="S9945" s="1"/>
      <c r="T9945" s="1"/>
      <c r="U9945" s="1"/>
      <c r="V9945" s="1"/>
      <c r="W9945" s="1"/>
      <c r="X9945" s="1"/>
      <c r="Y9945" s="1"/>
      <c r="Z9945" s="1"/>
      <c r="AA9945" s="1"/>
      <c r="AB9945" s="1"/>
    </row>
    <row r="9946" ht="50.25" customHeight="1">
      <c r="A9946" s="12">
        <v>9942.0</v>
      </c>
      <c r="B9946" s="13" t="s">
        <v>9604</v>
      </c>
      <c r="C9946" s="14" t="s">
        <v>9973</v>
      </c>
      <c r="D9946" s="1"/>
      <c r="E9946" s="1"/>
      <c r="F9946" s="1" t="str">
        <f>IFERROR(__xludf.DUMMYFUNCTION("GOOGLETRANSLATE(B9946, ""en"", ""fa"")
"),"موفقیت Etsy")</f>
        <v>موفقیت Etsy</v>
      </c>
      <c r="G9946" s="1" t="str">
        <f>IFERROR(__xludf.DUMMYFUNCTION("GOOGLETRANSLATE(C9946, ""en"", ""fa"")
"),"چگونه می توانم از روندهای جستجوی مشتری و درخواست های محبوب برای تولید محتوای مرتبط و به موقع در لیست های Etsy خود استفاده کنم؟")</f>
        <v>چگونه می توانم از روندهای جستجوی مشتری و درخواست های محبوب برای تولید محتوای مرتبط و به موقع در لیست های Etsy خود استفاده کنم؟</v>
      </c>
      <c r="H9946" s="1"/>
      <c r="I9946" s="1"/>
      <c r="J9946" s="1"/>
      <c r="K9946" s="1"/>
      <c r="L9946" s="1"/>
      <c r="M9946" s="1"/>
      <c r="N9946" s="1"/>
      <c r="O9946" s="1"/>
      <c r="P9946" s="1"/>
      <c r="Q9946" s="1"/>
      <c r="R9946" s="1"/>
      <c r="S9946" s="1"/>
      <c r="T9946" s="1"/>
      <c r="U9946" s="1"/>
      <c r="V9946" s="1"/>
      <c r="W9946" s="1"/>
      <c r="X9946" s="1"/>
      <c r="Y9946" s="1"/>
      <c r="Z9946" s="1"/>
      <c r="AA9946" s="1"/>
      <c r="AB9946" s="1"/>
    </row>
    <row r="9947" ht="50.25" customHeight="1">
      <c r="A9947" s="12">
        <v>9943.0</v>
      </c>
      <c r="B9947" s="13" t="s">
        <v>9604</v>
      </c>
      <c r="C9947" s="14" t="s">
        <v>9974</v>
      </c>
      <c r="D9947" s="1"/>
      <c r="E9947" s="1"/>
      <c r="F9947" s="1" t="str">
        <f>IFERROR(__xludf.DUMMYFUNCTION("GOOGLETRANSLATE(B9947, ""en"", ""fa"")
"),"موفقیت Etsy")</f>
        <v>موفقیت Etsy</v>
      </c>
      <c r="G9947" s="1" t="str">
        <f>IFERROR(__xludf.DUMMYFUNCTION("GOOGLETRANSLATE(C9947, ""en"", ""fa"")
"),"ملاحظات برای بهینه‌سازی فهرست‌های Etsy من برای گروه‌های سنی یا نسل‌های خاص، مانند هزاره‌ها یا بچه‌های بوم، چیست؟")</f>
        <v>ملاحظات برای بهینه‌سازی فهرست‌های Etsy من برای گروه‌های سنی یا نسل‌های خاص، مانند هزاره‌ها یا بچه‌های بوم، چیست؟</v>
      </c>
      <c r="H9947" s="1"/>
      <c r="I9947" s="1"/>
      <c r="J9947" s="1"/>
      <c r="K9947" s="1"/>
      <c r="L9947" s="1"/>
      <c r="M9947" s="1"/>
      <c r="N9947" s="1"/>
      <c r="O9947" s="1"/>
      <c r="P9947" s="1"/>
      <c r="Q9947" s="1"/>
      <c r="R9947" s="1"/>
      <c r="S9947" s="1"/>
      <c r="T9947" s="1"/>
      <c r="U9947" s="1"/>
      <c r="V9947" s="1"/>
      <c r="W9947" s="1"/>
      <c r="X9947" s="1"/>
      <c r="Y9947" s="1"/>
      <c r="Z9947" s="1"/>
      <c r="AA9947" s="1"/>
      <c r="AB9947" s="1"/>
    </row>
    <row r="9948" ht="50.25" customHeight="1">
      <c r="A9948" s="12">
        <v>9944.0</v>
      </c>
      <c r="B9948" s="13" t="s">
        <v>9604</v>
      </c>
      <c r="C9948" s="14" t="s">
        <v>9975</v>
      </c>
      <c r="D9948" s="1"/>
      <c r="E9948" s="1"/>
      <c r="F9948" s="1" t="str">
        <f>IFERROR(__xludf.DUMMYFUNCTION("GOOGLETRANSLATE(B9948, ""en"", ""fa"")
"),"موفقیت Etsy")</f>
        <v>موفقیت Etsy</v>
      </c>
      <c r="G9948" s="1" t="str">
        <f>IFERROR(__xludf.DUMMYFUNCTION("GOOGLETRANSLATE(C9948, ""en"", ""fa"")
"),"چگونه می‌توانم فهرست‌های Etsy خود را با توجه به اولویت‌ها، نیازها و نقاط دردسر خریداران خاص، بهینه‌سازی کنم؟")</f>
        <v>چگونه می‌توانم فهرست‌های Etsy خود را با توجه به اولویت‌ها، نیازها و نقاط دردسر خریداران خاص، بهینه‌سازی کنم؟</v>
      </c>
      <c r="H9948" s="1"/>
      <c r="I9948" s="1"/>
      <c r="J9948" s="1"/>
      <c r="K9948" s="1"/>
      <c r="L9948" s="1"/>
      <c r="M9948" s="1"/>
      <c r="N9948" s="1"/>
      <c r="O9948" s="1"/>
      <c r="P9948" s="1"/>
      <c r="Q9948" s="1"/>
      <c r="R9948" s="1"/>
      <c r="S9948" s="1"/>
      <c r="T9948" s="1"/>
      <c r="U9948" s="1"/>
      <c r="V9948" s="1"/>
      <c r="W9948" s="1"/>
      <c r="X9948" s="1"/>
      <c r="Y9948" s="1"/>
      <c r="Z9948" s="1"/>
      <c r="AA9948" s="1"/>
      <c r="AB9948" s="1"/>
    </row>
    <row r="9949" ht="50.25" customHeight="1">
      <c r="A9949" s="12">
        <v>9945.0</v>
      </c>
      <c r="B9949" s="13" t="s">
        <v>9604</v>
      </c>
      <c r="C9949" s="14" t="s">
        <v>9976</v>
      </c>
      <c r="D9949" s="1"/>
      <c r="E9949" s="1"/>
      <c r="F9949" s="1" t="str">
        <f>IFERROR(__xludf.DUMMYFUNCTION("GOOGLETRANSLATE(B9949, ""en"", ""fa"")
"),"موفقیت Etsy")</f>
        <v>موفقیت Etsy</v>
      </c>
      <c r="G9949" s="1" t="str">
        <f>IFERROR(__xludf.DUMMYFUNCTION("GOOGLETRANSLATE(C9949, ""en"", ""fa"")
"),"استراتژی‌هایی برای نظارت و تجزیه و تحلیل مداوم عملکرد سئو فهرست‌های Etsy من و بهینه‌سازی‌های مبتنی بر داده چیست؟")</f>
        <v>استراتژی‌هایی برای نظارت و تجزیه و تحلیل مداوم عملکرد سئو فهرست‌های Etsy من و بهینه‌سازی‌های مبتنی بر داده چیست؟</v>
      </c>
      <c r="H9949" s="1"/>
      <c r="I9949" s="1"/>
      <c r="J9949" s="1"/>
      <c r="K9949" s="1"/>
      <c r="L9949" s="1"/>
      <c r="M9949" s="1"/>
      <c r="N9949" s="1"/>
      <c r="O9949" s="1"/>
      <c r="P9949" s="1"/>
      <c r="Q9949" s="1"/>
      <c r="R9949" s="1"/>
      <c r="S9949" s="1"/>
      <c r="T9949" s="1"/>
      <c r="U9949" s="1"/>
      <c r="V9949" s="1"/>
      <c r="W9949" s="1"/>
      <c r="X9949" s="1"/>
      <c r="Y9949" s="1"/>
      <c r="Z9949" s="1"/>
      <c r="AA9949" s="1"/>
      <c r="AB9949" s="1"/>
    </row>
    <row r="9950" ht="50.25" customHeight="1">
      <c r="A9950" s="12">
        <v>9946.0</v>
      </c>
      <c r="B9950" s="13" t="s">
        <v>9604</v>
      </c>
      <c r="C9950" s="14" t="s">
        <v>9977</v>
      </c>
      <c r="D9950" s="1"/>
      <c r="E9950" s="1"/>
      <c r="F9950" s="1" t="str">
        <f>IFERROR(__xludf.DUMMYFUNCTION("GOOGLETRANSLATE(B9950, ""en"", ""fa"")
"),"موفقیت Etsy")</f>
        <v>موفقیت Etsy</v>
      </c>
      <c r="G9950" s="1" t="str">
        <f>IFERROR(__xludf.DUMMYFUNCTION("GOOGLETRANSLATE(C9950, ""en"", ""fa"")
"),"موثرترین کانال های بازاریابی برای تبلیغ فروشگاه و محصولات Etsy من کدامند؟")</f>
        <v>موثرترین کانال های بازاریابی برای تبلیغ فروشگاه و محصولات Etsy من کدامند؟</v>
      </c>
      <c r="H9950" s="1"/>
      <c r="I9950" s="1"/>
      <c r="J9950" s="1"/>
      <c r="K9950" s="1"/>
      <c r="L9950" s="1"/>
      <c r="M9950" s="1"/>
      <c r="N9950" s="1"/>
      <c r="O9950" s="1"/>
      <c r="P9950" s="1"/>
      <c r="Q9950" s="1"/>
      <c r="R9950" s="1"/>
      <c r="S9950" s="1"/>
      <c r="T9950" s="1"/>
      <c r="U9950" s="1"/>
      <c r="V9950" s="1"/>
      <c r="W9950" s="1"/>
      <c r="X9950" s="1"/>
      <c r="Y9950" s="1"/>
      <c r="Z9950" s="1"/>
      <c r="AA9950" s="1"/>
      <c r="AB9950" s="1"/>
    </row>
    <row r="9951" ht="50.25" customHeight="1">
      <c r="A9951" s="12">
        <v>9947.0</v>
      </c>
      <c r="B9951" s="13" t="s">
        <v>9604</v>
      </c>
      <c r="C9951" s="14" t="s">
        <v>9978</v>
      </c>
      <c r="D9951" s="1"/>
      <c r="E9951" s="1"/>
      <c r="F9951" s="1" t="str">
        <f>IFERROR(__xludf.DUMMYFUNCTION("GOOGLETRANSLATE(B9951, ""en"", ""fa"")
"),"موفقیت Etsy")</f>
        <v>موفقیت Etsy</v>
      </c>
      <c r="G9951" s="1" t="str">
        <f>IFERROR(__xludf.DUMMYFUNCTION("GOOGLETRANSLATE(C9951, ""en"", ""fa"")
"),"چگونه می توانم از پلتفرم های رسانه های اجتماعی مانند اینستاگرام یا پینترست برای هدایت ترافیک و فروش به فروشگاه Etsy خود استفاده کنم؟")</f>
        <v>چگونه می توانم از پلتفرم های رسانه های اجتماعی مانند اینستاگرام یا پینترست برای هدایت ترافیک و فروش به فروشگاه Etsy خود استفاده کنم؟</v>
      </c>
      <c r="H9951" s="1"/>
      <c r="I9951" s="1"/>
      <c r="J9951" s="1"/>
      <c r="K9951" s="1"/>
      <c r="L9951" s="1"/>
      <c r="M9951" s="1"/>
      <c r="N9951" s="1"/>
      <c r="O9951" s="1"/>
      <c r="P9951" s="1"/>
      <c r="Q9951" s="1"/>
      <c r="R9951" s="1"/>
      <c r="S9951" s="1"/>
      <c r="T9951" s="1"/>
      <c r="U9951" s="1"/>
      <c r="V9951" s="1"/>
      <c r="W9951" s="1"/>
      <c r="X9951" s="1"/>
      <c r="Y9951" s="1"/>
      <c r="Z9951" s="1"/>
      <c r="AA9951" s="1"/>
      <c r="AB9951" s="1"/>
    </row>
    <row r="9952" ht="50.25" customHeight="1">
      <c r="A9952" s="12">
        <v>9948.0</v>
      </c>
      <c r="B9952" s="13" t="s">
        <v>9604</v>
      </c>
      <c r="C9952" s="14" t="s">
        <v>9979</v>
      </c>
      <c r="D9952" s="1"/>
      <c r="E9952" s="1"/>
      <c r="F9952" s="1" t="str">
        <f>IFERROR(__xludf.DUMMYFUNCTION("GOOGLETRANSLATE(B9952, ""en"", ""fa"")
"),"موفقیت Etsy")</f>
        <v>موفقیت Etsy</v>
      </c>
      <c r="G9952" s="1" t="str">
        <f>IFERROR(__xludf.DUMMYFUNCTION("GOOGLETRANSLATE(C9952, ""en"", ""fa"")
"),"راهبردهای ایجاد تصاویر و تصاویر جذاب محصول برای جلب توجه و تعامل در Etsy چیست؟")</f>
        <v>راهبردهای ایجاد تصاویر و تصاویر جذاب محصول برای جلب توجه و تعامل در Etsy چیست؟</v>
      </c>
      <c r="H9952" s="1"/>
      <c r="I9952" s="1"/>
      <c r="J9952" s="1"/>
      <c r="K9952" s="1"/>
      <c r="L9952" s="1"/>
      <c r="M9952" s="1"/>
      <c r="N9952" s="1"/>
      <c r="O9952" s="1"/>
      <c r="P9952" s="1"/>
      <c r="Q9952" s="1"/>
      <c r="R9952" s="1"/>
      <c r="S9952" s="1"/>
      <c r="T9952" s="1"/>
      <c r="U9952" s="1"/>
      <c r="V9952" s="1"/>
      <c r="W9952" s="1"/>
      <c r="X9952" s="1"/>
      <c r="Y9952" s="1"/>
      <c r="Z9952" s="1"/>
      <c r="AA9952" s="1"/>
      <c r="AB9952" s="1"/>
    </row>
    <row r="9953" ht="50.25" customHeight="1">
      <c r="A9953" s="12">
        <v>9949.0</v>
      </c>
      <c r="B9953" s="13" t="s">
        <v>9604</v>
      </c>
      <c r="C9953" s="14" t="s">
        <v>9980</v>
      </c>
      <c r="D9953" s="1"/>
      <c r="E9953" s="1"/>
      <c r="F9953" s="1" t="str">
        <f>IFERROR(__xludf.DUMMYFUNCTION("GOOGLETRANSLATE(B9953, ""en"", ""fa"")
"),"موفقیت Etsy")</f>
        <v>موفقیت Etsy</v>
      </c>
      <c r="G9953" s="1" t="str">
        <f>IFERROR(__xludf.DUMMYFUNCTION("GOOGLETRANSLATE(C9953, ""en"", ""fa"")
"),"چگونه می توانم به طور موثر از بازاریابی ایمیلی برای تقویت روابط با مشتری و خریدهای تکراری در Etsy استفاده کنم؟")</f>
        <v>چگونه می توانم به طور موثر از بازاریابی ایمیلی برای تقویت روابط با مشتری و خریدهای تکراری در Etsy استفاده کنم؟</v>
      </c>
      <c r="H9953" s="1"/>
      <c r="I9953" s="1"/>
      <c r="J9953" s="1"/>
      <c r="K9953" s="1"/>
      <c r="L9953" s="1"/>
      <c r="M9953" s="1"/>
      <c r="N9953" s="1"/>
      <c r="O9953" s="1"/>
      <c r="P9953" s="1"/>
      <c r="Q9953" s="1"/>
      <c r="R9953" s="1"/>
      <c r="S9953" s="1"/>
      <c r="T9953" s="1"/>
      <c r="U9953" s="1"/>
      <c r="V9953" s="1"/>
      <c r="W9953" s="1"/>
      <c r="X9953" s="1"/>
      <c r="Y9953" s="1"/>
      <c r="Z9953" s="1"/>
      <c r="AA9953" s="1"/>
      <c r="AB9953" s="1"/>
    </row>
    <row r="9954" ht="50.25" customHeight="1">
      <c r="A9954" s="12">
        <v>9950.0</v>
      </c>
      <c r="B9954" s="13" t="s">
        <v>9604</v>
      </c>
      <c r="C9954" s="14" t="s">
        <v>9981</v>
      </c>
      <c r="D9954" s="1"/>
      <c r="E9954" s="1"/>
      <c r="F9954" s="1" t="str">
        <f>IFERROR(__xludf.DUMMYFUNCTION("GOOGLETRANSLATE(B9954, ""en"", ""fa"")
"),"موفقیت Etsy")</f>
        <v>موفقیت Etsy</v>
      </c>
      <c r="G9954" s="1" t="str">
        <f>IFERROR(__xludf.DUMMYFUNCTION("GOOGLETRANSLATE(C9954, ""en"", ""fa"")
"),"ملاحظات استفاده از اینفلوئنسر مارکتینگ برای تبلیغ فروشگاه و محصولات Etsy من به مخاطبان وسیع تری چیست؟")</f>
        <v>ملاحظات استفاده از اینفلوئنسر مارکتینگ برای تبلیغ فروشگاه و محصولات Etsy من به مخاطبان وسیع تری چیست؟</v>
      </c>
      <c r="H9954" s="1"/>
      <c r="I9954" s="1"/>
      <c r="J9954" s="1"/>
      <c r="K9954" s="1"/>
      <c r="L9954" s="1"/>
      <c r="M9954" s="1"/>
      <c r="N9954" s="1"/>
      <c r="O9954" s="1"/>
      <c r="P9954" s="1"/>
      <c r="Q9954" s="1"/>
      <c r="R9954" s="1"/>
      <c r="S9954" s="1"/>
      <c r="T9954" s="1"/>
      <c r="U9954" s="1"/>
      <c r="V9954" s="1"/>
      <c r="W9954" s="1"/>
      <c r="X9954" s="1"/>
      <c r="Y9954" s="1"/>
      <c r="Z9954" s="1"/>
      <c r="AA9954" s="1"/>
      <c r="AB9954" s="1"/>
    </row>
    <row r="9955" ht="50.25" customHeight="1">
      <c r="A9955" s="12">
        <v>9951.0</v>
      </c>
      <c r="B9955" s="13" t="s">
        <v>9604</v>
      </c>
      <c r="C9955" s="14" t="s">
        <v>9982</v>
      </c>
      <c r="D9955" s="1"/>
      <c r="E9955" s="1"/>
      <c r="F9955" s="1" t="str">
        <f>IFERROR(__xludf.DUMMYFUNCTION("GOOGLETRANSLATE(B9955, ""en"", ""fa"")
"),"موفقیت Etsy")</f>
        <v>موفقیت Etsy</v>
      </c>
      <c r="G9955" s="1" t="str">
        <f>IFERROR(__xludf.DUMMYFUNCTION("GOOGLETRANSLATE(C9955, ""en"", ""fa"")
"),"چگونه می توانم نام تجاری و پیام های فروشگاه Etsy خود را برای ایجاد یک تجربه مشتری منسجم و به یاد ماندنی بهینه کنم؟")</f>
        <v>چگونه می توانم نام تجاری و پیام های فروشگاه Etsy خود را برای ایجاد یک تجربه مشتری منسجم و به یاد ماندنی بهینه کنم؟</v>
      </c>
      <c r="H9955" s="1"/>
      <c r="I9955" s="1"/>
      <c r="J9955" s="1"/>
      <c r="K9955" s="1"/>
      <c r="L9955" s="1"/>
      <c r="M9955" s="1"/>
      <c r="N9955" s="1"/>
      <c r="O9955" s="1"/>
      <c r="P9955" s="1"/>
      <c r="Q9955" s="1"/>
      <c r="R9955" s="1"/>
      <c r="S9955" s="1"/>
      <c r="T9955" s="1"/>
      <c r="U9955" s="1"/>
      <c r="V9955" s="1"/>
      <c r="W9955" s="1"/>
      <c r="X9955" s="1"/>
      <c r="Y9955" s="1"/>
      <c r="Z9955" s="1"/>
      <c r="AA9955" s="1"/>
      <c r="AB9955" s="1"/>
    </row>
    <row r="9956" ht="50.25" customHeight="1">
      <c r="A9956" s="12">
        <v>9952.0</v>
      </c>
      <c r="B9956" s="13" t="s">
        <v>9604</v>
      </c>
      <c r="C9956" s="14" t="s">
        <v>9983</v>
      </c>
      <c r="D9956" s="1"/>
      <c r="E9956" s="1"/>
      <c r="F9956" s="1" t="str">
        <f>IFERROR(__xludf.DUMMYFUNCTION("GOOGLETRANSLATE(B9956, ""en"", ""fa"")
"),"موفقیت Etsy")</f>
        <v>موفقیت Etsy</v>
      </c>
      <c r="G9956" s="1" t="str">
        <f>IFERROR(__xludf.DUMMYFUNCTION("GOOGLETRANSLATE(C9956, ""en"", ""fa"")
"),"بهترین روش ها برای اجرای تبلیغات، تخفیف ها یا پیشنهادات با زمان محدود برای افزایش فروش و جذب مشتریان جدید در Etsy چیست؟")</f>
        <v>بهترین روش ها برای اجرای تبلیغات، تخفیف ها یا پیشنهادات با زمان محدود برای افزایش فروش و جذب مشتریان جدید در Etsy چیست؟</v>
      </c>
      <c r="H9956" s="1"/>
      <c r="I9956" s="1"/>
      <c r="J9956" s="1"/>
      <c r="K9956" s="1"/>
      <c r="L9956" s="1"/>
      <c r="M9956" s="1"/>
      <c r="N9956" s="1"/>
      <c r="O9956" s="1"/>
      <c r="P9956" s="1"/>
      <c r="Q9956" s="1"/>
      <c r="R9956" s="1"/>
      <c r="S9956" s="1"/>
      <c r="T9956" s="1"/>
      <c r="U9956" s="1"/>
      <c r="V9956" s="1"/>
      <c r="W9956" s="1"/>
      <c r="X9956" s="1"/>
      <c r="Y9956" s="1"/>
      <c r="Z9956" s="1"/>
      <c r="AA9956" s="1"/>
      <c r="AB9956" s="1"/>
    </row>
    <row r="9957" ht="50.25" customHeight="1">
      <c r="A9957" s="12">
        <v>9953.0</v>
      </c>
      <c r="B9957" s="13" t="s">
        <v>9604</v>
      </c>
      <c r="C9957" s="14" t="s">
        <v>9984</v>
      </c>
      <c r="D9957" s="1"/>
      <c r="E9957" s="1"/>
      <c r="F9957" s="1" t="str">
        <f>IFERROR(__xludf.DUMMYFUNCTION("GOOGLETRANSLATE(B9957, ""en"", ""fa"")
"),"موفقیت Etsy")</f>
        <v>موفقیت Etsy</v>
      </c>
      <c r="G9957" s="1" t="str">
        <f>IFERROR(__xludf.DUMMYFUNCTION("GOOGLETRANSLATE(C9957, ""en"", ""fa"")
"),"چگونه می‌توانم با سایر فروشندگان یا کسب‌وکارهای Etsy برای تبلیغ محصولات یکدیگر و دستیابی به مخاطبان جدید همکاری کنم؟")</f>
        <v>چگونه می‌توانم با سایر فروشندگان یا کسب‌وکارهای Etsy برای تبلیغ محصولات یکدیگر و دستیابی به مخاطبان جدید همکاری کنم؟</v>
      </c>
      <c r="H9957" s="1"/>
      <c r="I9957" s="1"/>
      <c r="J9957" s="1"/>
      <c r="K9957" s="1"/>
      <c r="L9957" s="1"/>
      <c r="M9957" s="1"/>
      <c r="N9957" s="1"/>
      <c r="O9957" s="1"/>
      <c r="P9957" s="1"/>
      <c r="Q9957" s="1"/>
      <c r="R9957" s="1"/>
      <c r="S9957" s="1"/>
      <c r="T9957" s="1"/>
      <c r="U9957" s="1"/>
      <c r="V9957" s="1"/>
      <c r="W9957" s="1"/>
      <c r="X9957" s="1"/>
      <c r="Y9957" s="1"/>
      <c r="Z9957" s="1"/>
      <c r="AA9957" s="1"/>
      <c r="AB9957" s="1"/>
    </row>
    <row r="9958" ht="50.25" customHeight="1">
      <c r="A9958" s="12">
        <v>9954.0</v>
      </c>
      <c r="B9958" s="13" t="s">
        <v>9604</v>
      </c>
      <c r="C9958" s="14" t="s">
        <v>9985</v>
      </c>
      <c r="D9958" s="1"/>
      <c r="E9958" s="1"/>
      <c r="F9958" s="1" t="str">
        <f>IFERROR(__xludf.DUMMYFUNCTION("GOOGLETRANSLATE(B9958, ""en"", ""fa"")
"),"موفقیت Etsy")</f>
        <v>موفقیت Etsy</v>
      </c>
      <c r="G9958" s="1" t="str">
        <f>IFERROR(__xludf.DUMMYFUNCTION("GOOGLETRANSLATE(C9958, ""en"", ""fa"")
"),"استراتژی‌های استفاده از ویژگی‌های تبلیغاتی Etsy، مانند فهرست‌های تبلیغاتی یا تبلیغات Google Shopping، برای افزایش دید و تبدیل چیست؟")</f>
        <v>استراتژی‌های استفاده از ویژگی‌های تبلیغاتی Etsy، مانند فهرست‌های تبلیغاتی یا تبلیغات Google Shopping، برای افزایش دید و تبدیل چیست؟</v>
      </c>
      <c r="H9958" s="1"/>
      <c r="I9958" s="1"/>
      <c r="J9958" s="1"/>
      <c r="K9958" s="1"/>
      <c r="L9958" s="1"/>
      <c r="M9958" s="1"/>
      <c r="N9958" s="1"/>
      <c r="O9958" s="1"/>
      <c r="P9958" s="1"/>
      <c r="Q9958" s="1"/>
      <c r="R9958" s="1"/>
      <c r="S9958" s="1"/>
      <c r="T9958" s="1"/>
      <c r="U9958" s="1"/>
      <c r="V9958" s="1"/>
      <c r="W9958" s="1"/>
      <c r="X9958" s="1"/>
      <c r="Y9958" s="1"/>
      <c r="Z9958" s="1"/>
      <c r="AA9958" s="1"/>
      <c r="AB9958" s="1"/>
    </row>
    <row r="9959" ht="50.25" customHeight="1">
      <c r="A9959" s="12">
        <v>9955.0</v>
      </c>
      <c r="B9959" s="13" t="s">
        <v>9604</v>
      </c>
      <c r="C9959" s="14" t="s">
        <v>9986</v>
      </c>
      <c r="D9959" s="1"/>
      <c r="E9959" s="1"/>
      <c r="F9959" s="1" t="str">
        <f>IFERROR(__xludf.DUMMYFUNCTION("GOOGLETRANSLATE(B9959, ""en"", ""fa"")
"),"موفقیت Etsy")</f>
        <v>موفقیت Etsy</v>
      </c>
      <c r="G9959" s="1" t="str">
        <f>IFERROR(__xludf.DUMMYFUNCTION("GOOGLETRANSLATE(C9959, ""en"", ""fa"")
"),"چگونه می توانم از توصیفات مشتری، نظرات، یا محتوای تولید شده توسط کاربر برای ایجاد اعتماد و اثبات اجتماعی برای فروشگاه Etsy خود استفاده کنم؟")</f>
        <v>چگونه می توانم از توصیفات مشتری، نظرات، یا محتوای تولید شده توسط کاربر برای ایجاد اعتماد و اثبات اجتماعی برای فروشگاه Etsy خود استفاده کنم؟</v>
      </c>
      <c r="H9959" s="1"/>
      <c r="I9959" s="1"/>
      <c r="J9959" s="1"/>
      <c r="K9959" s="1"/>
      <c r="L9959" s="1"/>
      <c r="M9959" s="1"/>
      <c r="N9959" s="1"/>
      <c r="O9959" s="1"/>
      <c r="P9959" s="1"/>
      <c r="Q9959" s="1"/>
      <c r="R9959" s="1"/>
      <c r="S9959" s="1"/>
      <c r="T9959" s="1"/>
      <c r="U9959" s="1"/>
      <c r="V9959" s="1"/>
      <c r="W9959" s="1"/>
      <c r="X9959" s="1"/>
      <c r="Y9959" s="1"/>
      <c r="Z9959" s="1"/>
      <c r="AA9959" s="1"/>
      <c r="AB9959" s="1"/>
    </row>
    <row r="9960" ht="50.25" customHeight="1">
      <c r="A9960" s="12">
        <v>9956.0</v>
      </c>
      <c r="B9960" s="13" t="s">
        <v>9604</v>
      </c>
      <c r="C9960" s="14" t="s">
        <v>9987</v>
      </c>
      <c r="D9960" s="1"/>
      <c r="E9960" s="1"/>
      <c r="F9960" s="1" t="str">
        <f>IFERROR(__xludf.DUMMYFUNCTION("GOOGLETRANSLATE(B9960, ""en"", ""fa"")
"),"موفقیت Etsy")</f>
        <v>موفقیت Etsy</v>
      </c>
      <c r="G9960" s="1" t="str">
        <f>IFERROR(__xludf.DUMMYFUNCTION("GOOGLETRANSLATE(C9960, ""en"", ""fa"")
"),"چگونه می توانم استراتژی های بازاریابی محتوا، مانند وبلاگ نویسی یا ایجاد آموزش های ویدئویی را برای ایجاد رهبری فکری و هدایت ترافیک به فروشگاه Etsy خود پیاده کنم؟")</f>
        <v>چگونه می توانم استراتژی های بازاریابی محتوا، مانند وبلاگ نویسی یا ایجاد آموزش های ویدئویی را برای ایجاد رهبری فکری و هدایت ترافیک به فروشگاه Etsy خود پیاده کنم؟</v>
      </c>
      <c r="H9960" s="1"/>
      <c r="I9960" s="1"/>
      <c r="J9960" s="1"/>
      <c r="K9960" s="1"/>
      <c r="L9960" s="1"/>
      <c r="M9960" s="1"/>
      <c r="N9960" s="1"/>
      <c r="O9960" s="1"/>
      <c r="P9960" s="1"/>
      <c r="Q9960" s="1"/>
      <c r="R9960" s="1"/>
      <c r="S9960" s="1"/>
      <c r="T9960" s="1"/>
      <c r="U9960" s="1"/>
      <c r="V9960" s="1"/>
      <c r="W9960" s="1"/>
      <c r="X9960" s="1"/>
      <c r="Y9960" s="1"/>
      <c r="Z9960" s="1"/>
      <c r="AA9960" s="1"/>
      <c r="AB9960" s="1"/>
    </row>
    <row r="9961" ht="50.25" customHeight="1">
      <c r="A9961" s="12">
        <v>9957.0</v>
      </c>
      <c r="B9961" s="13" t="s">
        <v>9604</v>
      </c>
      <c r="C9961" s="14" t="s">
        <v>9988</v>
      </c>
      <c r="D9961" s="1"/>
      <c r="E9961" s="1"/>
      <c r="F9961" s="1" t="str">
        <f>IFERROR(__xludf.DUMMYFUNCTION("GOOGLETRANSLATE(B9961, ""en"", ""fa"")
"),"موفقیت Etsy")</f>
        <v>موفقیت Etsy</v>
      </c>
      <c r="G9961" s="1" t="str">
        <f>IFERROR(__xludf.DUMMYFUNCTION("GOOGLETRANSLATE(C9961, ""en"", ""fa"")
"),"ملاحظات برای بهینه سازی سئوی فروشگاه Etsy من برای بهبود رتبه بندی موتورهای جستجو و دید ارگانیک چیست؟")</f>
        <v>ملاحظات برای بهینه سازی سئوی فروشگاه Etsy من برای بهبود رتبه بندی موتورهای جستجو و دید ارگانیک چیست؟</v>
      </c>
      <c r="H9961" s="1"/>
      <c r="I9961" s="1"/>
      <c r="J9961" s="1"/>
      <c r="K9961" s="1"/>
      <c r="L9961" s="1"/>
      <c r="M9961" s="1"/>
      <c r="N9961" s="1"/>
      <c r="O9961" s="1"/>
      <c r="P9961" s="1"/>
      <c r="Q9961" s="1"/>
      <c r="R9961" s="1"/>
      <c r="S9961" s="1"/>
      <c r="T9961" s="1"/>
      <c r="U9961" s="1"/>
      <c r="V9961" s="1"/>
      <c r="W9961" s="1"/>
      <c r="X9961" s="1"/>
      <c r="Y9961" s="1"/>
      <c r="Z9961" s="1"/>
      <c r="AA9961" s="1"/>
      <c r="AB9961" s="1"/>
    </row>
    <row r="9962" ht="50.25" customHeight="1">
      <c r="A9962" s="12">
        <v>9958.0</v>
      </c>
      <c r="B9962" s="13" t="s">
        <v>9604</v>
      </c>
      <c r="C9962" s="14" t="s">
        <v>9989</v>
      </c>
      <c r="D9962" s="1"/>
      <c r="E9962" s="1"/>
      <c r="F9962" s="1" t="str">
        <f>IFERROR(__xludf.DUMMYFUNCTION("GOOGLETRANSLATE(B9962, ""en"", ""fa"")
"),"موفقیت Etsy")</f>
        <v>موفقیت Etsy</v>
      </c>
      <c r="G9962" s="1" t="str">
        <f>IFERROR(__xludf.DUMMYFUNCTION("GOOGLETRANSLATE(C9962, ""en"", ""fa"")
"),"چگونه می‌توانم از ویژگی «به‌روزرسانی‌های فروشگاه» Etsy برای به اشتراک گذاشتن محتوای پشت صحنه، راه‌اندازی محصول یا به‌روزرسانی‌ها با مخاطبانم استفاده کنم؟")</f>
        <v>چگونه می‌توانم از ویژگی «به‌روزرسانی‌های فروشگاه» Etsy برای به اشتراک گذاشتن محتوای پشت صحنه، راه‌اندازی محصول یا به‌روزرسانی‌ها با مخاطبانم استفاده کنم؟</v>
      </c>
      <c r="H9962" s="1"/>
      <c r="I9962" s="1"/>
      <c r="J9962" s="1"/>
      <c r="K9962" s="1"/>
      <c r="L9962" s="1"/>
      <c r="M9962" s="1"/>
      <c r="N9962" s="1"/>
      <c r="O9962" s="1"/>
      <c r="P9962" s="1"/>
      <c r="Q9962" s="1"/>
      <c r="R9962" s="1"/>
      <c r="S9962" s="1"/>
      <c r="T9962" s="1"/>
      <c r="U9962" s="1"/>
      <c r="V9962" s="1"/>
      <c r="W9962" s="1"/>
      <c r="X9962" s="1"/>
      <c r="Y9962" s="1"/>
      <c r="Z9962" s="1"/>
      <c r="AA9962" s="1"/>
      <c r="AB9962" s="1"/>
    </row>
    <row r="9963" ht="50.25" customHeight="1">
      <c r="A9963" s="12">
        <v>9959.0</v>
      </c>
      <c r="B9963" s="13" t="s">
        <v>9604</v>
      </c>
      <c r="C9963" s="14" t="s">
        <v>9990</v>
      </c>
      <c r="D9963" s="1"/>
      <c r="E9963" s="1"/>
      <c r="F9963" s="1" t="str">
        <f>IFERROR(__xludf.DUMMYFUNCTION("GOOGLETRANSLATE(B9963, ""en"", ""fa"")
"),"موفقیت Etsy")</f>
        <v>موفقیت Etsy</v>
      </c>
      <c r="G9963" s="1" t="str">
        <f>IFERROR(__xludf.DUMMYFUNCTION("GOOGLETRANSLATE(C9963, ""en"", ""fa"")
"),"چگونه می توانم از قدرت داستان سرایی برای ایجاد ارتباطات عاطفی با خریداران بالقوه و افزایش وفاداری به برند در Etsy استفاده کنم؟")</f>
        <v>چگونه می توانم از قدرت داستان سرایی برای ایجاد ارتباطات عاطفی با خریداران بالقوه و افزایش وفاداری به برند در Etsy استفاده کنم؟</v>
      </c>
      <c r="H9963" s="1"/>
      <c r="I9963" s="1"/>
      <c r="J9963" s="1"/>
      <c r="K9963" s="1"/>
      <c r="L9963" s="1"/>
      <c r="M9963" s="1"/>
      <c r="N9963" s="1"/>
      <c r="O9963" s="1"/>
      <c r="P9963" s="1"/>
      <c r="Q9963" s="1"/>
      <c r="R9963" s="1"/>
      <c r="S9963" s="1"/>
      <c r="T9963" s="1"/>
      <c r="U9963" s="1"/>
      <c r="V9963" s="1"/>
      <c r="W9963" s="1"/>
      <c r="X9963" s="1"/>
      <c r="Y9963" s="1"/>
      <c r="Z9963" s="1"/>
      <c r="AA9963" s="1"/>
      <c r="AB9963" s="1"/>
    </row>
    <row r="9964" ht="50.25" customHeight="1">
      <c r="A9964" s="12">
        <v>9960.0</v>
      </c>
      <c r="B9964" s="13" t="s">
        <v>9604</v>
      </c>
      <c r="C9964" s="14" t="s">
        <v>9991</v>
      </c>
      <c r="D9964" s="1"/>
      <c r="E9964" s="1"/>
      <c r="F9964" s="1" t="str">
        <f>IFERROR(__xludf.DUMMYFUNCTION("GOOGLETRANSLATE(B9964, ""en"", ""fa"")
"),"موفقیت Etsy")</f>
        <v>موفقیت Etsy</v>
      </c>
      <c r="G9964" s="1" t="str">
        <f>IFERROR(__xludf.DUMMYFUNCTION("GOOGLETRANSLATE(C9964, ""en"", ""fa"")
"),"استراتژی‌های میزبانی هدایا، مسابقات یا همکاری‌ها برای ایجاد سر و صدا و افزایش تعامل در Etsy چیست؟")</f>
        <v>استراتژی‌های میزبانی هدایا، مسابقات یا همکاری‌ها برای ایجاد سر و صدا و افزایش تعامل در Etsy چیست؟</v>
      </c>
      <c r="H9964" s="1"/>
      <c r="I9964" s="1"/>
      <c r="J9964" s="1"/>
      <c r="K9964" s="1"/>
      <c r="L9964" s="1"/>
      <c r="M9964" s="1"/>
      <c r="N9964" s="1"/>
      <c r="O9964" s="1"/>
      <c r="P9964" s="1"/>
      <c r="Q9964" s="1"/>
      <c r="R9964" s="1"/>
      <c r="S9964" s="1"/>
      <c r="T9964" s="1"/>
      <c r="U9964" s="1"/>
      <c r="V9964" s="1"/>
      <c r="W9964" s="1"/>
      <c r="X9964" s="1"/>
      <c r="Y9964" s="1"/>
      <c r="Z9964" s="1"/>
      <c r="AA9964" s="1"/>
      <c r="AB9964" s="1"/>
    </row>
    <row r="9965" ht="50.25" customHeight="1">
      <c r="A9965" s="12">
        <v>9961.0</v>
      </c>
      <c r="B9965" s="13" t="s">
        <v>9604</v>
      </c>
      <c r="C9965" s="14" t="s">
        <v>9992</v>
      </c>
      <c r="D9965" s="1"/>
      <c r="E9965" s="1"/>
      <c r="F9965" s="1" t="str">
        <f>IFERROR(__xludf.DUMMYFUNCTION("GOOGLETRANSLATE(B9965, ""en"", ""fa"")
"),"موفقیت Etsy")</f>
        <v>موفقیت Etsy</v>
      </c>
      <c r="G9965" s="1" t="str">
        <f>IFERROR(__xludf.DUMMYFUNCTION("GOOGLETRANSLATE(C9965, ""en"", ""fa"")
"),"چگونه می توانم به طور موثر از تقسیم بندی و شخصی سازی مشتری برای تنظیم پیام ها و پیشنهادات بازاریابی خود در Etsy استفاده کنم؟")</f>
        <v>چگونه می توانم به طور موثر از تقسیم بندی و شخصی سازی مشتری برای تنظیم پیام ها و پیشنهادات بازاریابی خود در Etsy استفاده کنم؟</v>
      </c>
      <c r="H9965" s="1"/>
      <c r="I9965" s="1"/>
      <c r="J9965" s="1"/>
      <c r="K9965" s="1"/>
      <c r="L9965" s="1"/>
      <c r="M9965" s="1"/>
      <c r="N9965" s="1"/>
      <c r="O9965" s="1"/>
      <c r="P9965" s="1"/>
      <c r="Q9965" s="1"/>
      <c r="R9965" s="1"/>
      <c r="S9965" s="1"/>
      <c r="T9965" s="1"/>
      <c r="U9965" s="1"/>
      <c r="V9965" s="1"/>
      <c r="W9965" s="1"/>
      <c r="X9965" s="1"/>
      <c r="Y9965" s="1"/>
      <c r="Z9965" s="1"/>
      <c r="AA9965" s="1"/>
      <c r="AB9965" s="1"/>
    </row>
    <row r="9966" ht="50.25" customHeight="1">
      <c r="A9966" s="12">
        <v>9962.0</v>
      </c>
      <c r="B9966" s="13" t="s">
        <v>9604</v>
      </c>
      <c r="C9966" s="14" t="s">
        <v>9993</v>
      </c>
      <c r="D9966" s="1"/>
      <c r="E9966" s="1"/>
      <c r="F9966" s="1" t="str">
        <f>IFERROR(__xludf.DUMMYFUNCTION("GOOGLETRANSLATE(B9966, ""en"", ""fa"")
"),"موفقیت Etsy")</f>
        <v>موفقیت Etsy</v>
      </c>
      <c r="G9966" s="1" t="str">
        <f>IFERROR(__xludf.DUMMYFUNCTION("GOOGLETRANSLATE(C9966, ""en"", ""fa"")
"),"بهترین روش‌ها برای استفاده از فهرست‌های ایمیل مشتریان و بخش‌بندی برای ارائه تبلیغات هدفمند و مرتبط یا به‌روزرسانی‌های محصول چیست؟")</f>
        <v>بهترین روش‌ها برای استفاده از فهرست‌های ایمیل مشتریان و بخش‌بندی برای ارائه تبلیغات هدفمند و مرتبط یا به‌روزرسانی‌های محصول چیست؟</v>
      </c>
      <c r="H9966" s="1"/>
      <c r="I9966" s="1"/>
      <c r="J9966" s="1"/>
      <c r="K9966" s="1"/>
      <c r="L9966" s="1"/>
      <c r="M9966" s="1"/>
      <c r="N9966" s="1"/>
      <c r="O9966" s="1"/>
      <c r="P9966" s="1"/>
      <c r="Q9966" s="1"/>
      <c r="R9966" s="1"/>
      <c r="S9966" s="1"/>
      <c r="T9966" s="1"/>
      <c r="U9966" s="1"/>
      <c r="V9966" s="1"/>
      <c r="W9966" s="1"/>
      <c r="X9966" s="1"/>
      <c r="Y9966" s="1"/>
      <c r="Z9966" s="1"/>
      <c r="AA9966" s="1"/>
      <c r="AB9966" s="1"/>
    </row>
    <row r="9967" ht="50.25" customHeight="1">
      <c r="A9967" s="12">
        <v>9963.0</v>
      </c>
      <c r="B9967" s="13" t="s">
        <v>9604</v>
      </c>
      <c r="C9967" s="14" t="s">
        <v>9994</v>
      </c>
      <c r="D9967" s="1"/>
      <c r="E9967" s="1"/>
      <c r="F9967" s="1" t="str">
        <f>IFERROR(__xludf.DUMMYFUNCTION("GOOGLETRANSLATE(B9967, ""en"", ""fa"")
"),"موفقیت Etsy")</f>
        <v>موفقیت Etsy</v>
      </c>
      <c r="G9967" s="1" t="str">
        <f>IFERROR(__xludf.DUMMYFUNCTION("GOOGLETRANSLATE(C9967, ""en"", ""fa"")
"),"چگونه می توانم توضیحات و برچسب های محصول فروشگاه Etsy خود را بهینه کنم تا با کلمات کلیدی پرطرفدار مطابقت داشته باشد و علایق فعلی بازار را جلب کنم؟")</f>
        <v>چگونه می توانم توضیحات و برچسب های محصول فروشگاه Etsy خود را بهینه کنم تا با کلمات کلیدی پرطرفدار مطابقت داشته باشد و علایق فعلی بازار را جلب کنم؟</v>
      </c>
      <c r="H9967" s="1"/>
      <c r="I9967" s="1"/>
      <c r="J9967" s="1"/>
      <c r="K9967" s="1"/>
      <c r="L9967" s="1"/>
      <c r="M9967" s="1"/>
      <c r="N9967" s="1"/>
      <c r="O9967" s="1"/>
      <c r="P9967" s="1"/>
      <c r="Q9967" s="1"/>
      <c r="R9967" s="1"/>
      <c r="S9967" s="1"/>
      <c r="T9967" s="1"/>
      <c r="U9967" s="1"/>
      <c r="V9967" s="1"/>
      <c r="W9967" s="1"/>
      <c r="X9967" s="1"/>
      <c r="Y9967" s="1"/>
      <c r="Z9967" s="1"/>
      <c r="AA9967" s="1"/>
      <c r="AB9967" s="1"/>
    </row>
    <row r="9968" ht="50.25" customHeight="1">
      <c r="A9968" s="12">
        <v>9964.0</v>
      </c>
      <c r="B9968" s="13" t="s">
        <v>9604</v>
      </c>
      <c r="C9968" s="14" t="s">
        <v>9995</v>
      </c>
      <c r="D9968" s="1"/>
      <c r="E9968" s="1"/>
      <c r="F9968" s="1" t="str">
        <f>IFERROR(__xludf.DUMMYFUNCTION("GOOGLETRANSLATE(B9968, ""en"", ""fa"")
"),"موفقیت Etsy")</f>
        <v>موفقیت Etsy</v>
      </c>
      <c r="G9968" s="1" t="str">
        <f>IFERROR(__xludf.DUMMYFUNCTION("GOOGLETRANSLATE(C9968, ""en"", ""fa"")
"),"چگونه می توانم محتوای ویدیویی جذاب و آموزنده برای نمایش محصولات خود و افزایش تعامل در فروشگاه Etsy خود ایجاد کنم؟")</f>
        <v>چگونه می توانم محتوای ویدیویی جذاب و آموزنده برای نمایش محصولات خود و افزایش تعامل در فروشگاه Etsy خود ایجاد کنم؟</v>
      </c>
      <c r="H9968" s="1"/>
      <c r="I9968" s="1"/>
      <c r="J9968" s="1"/>
      <c r="K9968" s="1"/>
      <c r="L9968" s="1"/>
      <c r="M9968" s="1"/>
      <c r="N9968" s="1"/>
      <c r="O9968" s="1"/>
      <c r="P9968" s="1"/>
      <c r="Q9968" s="1"/>
      <c r="R9968" s="1"/>
      <c r="S9968" s="1"/>
      <c r="T9968" s="1"/>
      <c r="U9968" s="1"/>
      <c r="V9968" s="1"/>
      <c r="W9968" s="1"/>
      <c r="X9968" s="1"/>
      <c r="Y9968" s="1"/>
      <c r="Z9968" s="1"/>
      <c r="AA9968" s="1"/>
      <c r="AB9968" s="1"/>
    </row>
    <row r="9969" ht="50.25" customHeight="1">
      <c r="A9969" s="12">
        <v>9965.0</v>
      </c>
      <c r="B9969" s="13" t="s">
        <v>9604</v>
      </c>
      <c r="C9969" s="14" t="s">
        <v>9996</v>
      </c>
      <c r="D9969" s="1"/>
      <c r="E9969" s="1"/>
      <c r="F9969" s="1" t="str">
        <f>IFERROR(__xludf.DUMMYFUNCTION("GOOGLETRANSLATE(B9969, ""en"", ""fa"")
"),"موفقیت Etsy")</f>
        <v>موفقیت Etsy</v>
      </c>
      <c r="G9969" s="1" t="str">
        <f>IFERROR(__xludf.DUMMYFUNCTION("GOOGLETRANSLATE(C9969, ""en"", ""fa"")
"),"راهبردهای استفاده از ویژگی «تبلیغات خارج از سایت» Etsy برای گسترش دسترسی و جذب مشتریان بالقوه خارج از پلتفرم Etsy چیست؟")</f>
        <v>راهبردهای استفاده از ویژگی «تبلیغات خارج از سایت» Etsy برای گسترش دسترسی و جذب مشتریان بالقوه خارج از پلتفرم Etsy چیست؟</v>
      </c>
      <c r="H9969" s="1"/>
      <c r="I9969" s="1"/>
      <c r="J9969" s="1"/>
      <c r="K9969" s="1"/>
      <c r="L9969" s="1"/>
      <c r="M9969" s="1"/>
      <c r="N9969" s="1"/>
      <c r="O9969" s="1"/>
      <c r="P9969" s="1"/>
      <c r="Q9969" s="1"/>
      <c r="R9969" s="1"/>
      <c r="S9969" s="1"/>
      <c r="T9969" s="1"/>
      <c r="U9969" s="1"/>
      <c r="V9969" s="1"/>
      <c r="W9969" s="1"/>
      <c r="X9969" s="1"/>
      <c r="Y9969" s="1"/>
      <c r="Z9969" s="1"/>
      <c r="AA9969" s="1"/>
      <c r="AB9969" s="1"/>
    </row>
    <row r="9970" ht="50.25" customHeight="1">
      <c r="A9970" s="12">
        <v>9966.0</v>
      </c>
      <c r="B9970" s="13" t="s">
        <v>9604</v>
      </c>
      <c r="C9970" s="14" t="s">
        <v>9997</v>
      </c>
      <c r="D9970" s="1"/>
      <c r="E9970" s="1"/>
      <c r="F9970" s="1" t="str">
        <f>IFERROR(__xludf.DUMMYFUNCTION("GOOGLETRANSLATE(B9970, ""en"", ""fa"")
"),"موفقیت Etsy")</f>
        <v>موفقیت Etsy</v>
      </c>
      <c r="G9970" s="1" t="str">
        <f>IFERROR(__xludf.DUMMYFUNCTION("GOOGLETRANSLATE(C9970, ""en"", ""fa"")
"),"چگونه می توانم از قدرت ارجاع مشتری و بازاریابی دهان به دهان برای ایجاد رشد و فروش ارگانیک در Etsy استفاده کنم؟")</f>
        <v>چگونه می توانم از قدرت ارجاع مشتری و بازاریابی دهان به دهان برای ایجاد رشد و فروش ارگانیک در Etsy استفاده کنم؟</v>
      </c>
      <c r="H9970" s="1"/>
      <c r="I9970" s="1"/>
      <c r="J9970" s="1"/>
      <c r="K9970" s="1"/>
      <c r="L9970" s="1"/>
      <c r="M9970" s="1"/>
      <c r="N9970" s="1"/>
      <c r="O9970" s="1"/>
      <c r="P9970" s="1"/>
      <c r="Q9970" s="1"/>
      <c r="R9970" s="1"/>
      <c r="S9970" s="1"/>
      <c r="T9970" s="1"/>
      <c r="U9970" s="1"/>
      <c r="V9970" s="1"/>
      <c r="W9970" s="1"/>
      <c r="X9970" s="1"/>
      <c r="Y9970" s="1"/>
      <c r="Z9970" s="1"/>
      <c r="AA9970" s="1"/>
      <c r="AB9970" s="1"/>
    </row>
    <row r="9971" ht="50.25" customHeight="1">
      <c r="A9971" s="12">
        <v>9967.0</v>
      </c>
      <c r="B9971" s="13" t="s">
        <v>9604</v>
      </c>
      <c r="C9971" s="14" t="s">
        <v>9998</v>
      </c>
      <c r="D9971" s="1"/>
      <c r="E9971" s="1"/>
      <c r="F9971" s="1" t="str">
        <f>IFERROR(__xludf.DUMMYFUNCTION("GOOGLETRANSLATE(B9971, ""en"", ""fa"")
"),"موفقیت Etsy")</f>
        <v>موفقیت Etsy</v>
      </c>
      <c r="G9971" s="1" t="str">
        <f>IFERROR(__xludf.DUMMYFUNCTION("GOOGLETRANSLATE(C9971, ""en"", ""fa"")
"),"ملاحظات برای اجرای یک برنامه وفاداری یا سیستم پاداش برای ایجاد انگیزه برای تکرار خرید و وفاداری مشتری در Etsy چیست؟")</f>
        <v>ملاحظات برای اجرای یک برنامه وفاداری یا سیستم پاداش برای ایجاد انگیزه برای تکرار خرید و وفاداری مشتری در Etsy چیست؟</v>
      </c>
      <c r="H9971" s="1"/>
      <c r="I9971" s="1"/>
      <c r="J9971" s="1"/>
      <c r="K9971" s="1"/>
      <c r="L9971" s="1"/>
      <c r="M9971" s="1"/>
      <c r="N9971" s="1"/>
      <c r="O9971" s="1"/>
      <c r="P9971" s="1"/>
      <c r="Q9971" s="1"/>
      <c r="R9971" s="1"/>
      <c r="S9971" s="1"/>
      <c r="T9971" s="1"/>
      <c r="U9971" s="1"/>
      <c r="V9971" s="1"/>
      <c r="W9971" s="1"/>
      <c r="X9971" s="1"/>
      <c r="Y9971" s="1"/>
      <c r="Z9971" s="1"/>
      <c r="AA9971" s="1"/>
      <c r="AB9971" s="1"/>
    </row>
    <row r="9972" ht="50.25" customHeight="1">
      <c r="A9972" s="12">
        <v>9968.0</v>
      </c>
      <c r="B9972" s="13" t="s">
        <v>9604</v>
      </c>
      <c r="C9972" s="14" t="s">
        <v>9999</v>
      </c>
      <c r="D9972" s="1"/>
      <c r="E9972" s="1"/>
      <c r="F9972" s="1" t="str">
        <f>IFERROR(__xludf.DUMMYFUNCTION("GOOGLETRANSLATE(B9972, ""en"", ""fa"")
"),"موفقیت Etsy")</f>
        <v>موفقیت Etsy</v>
      </c>
      <c r="G9972" s="1" t="str">
        <f>IFERROR(__xludf.DUMMYFUNCTION("GOOGLETRANSLATE(C9972, ""en"", ""fa"")
"),"چگونه می توانم از تجزیه و تحلیل و داده های یکپارچه Etsy برای پیگیری عملکرد تلاش های بازاریابی خود و بهینه سازی های مبتنی بر داده استفاده کنم؟")</f>
        <v>چگونه می توانم از تجزیه و تحلیل و داده های یکپارچه Etsy برای پیگیری عملکرد تلاش های بازاریابی خود و بهینه سازی های مبتنی بر داده استفاده کنم؟</v>
      </c>
      <c r="H9972" s="1"/>
      <c r="I9972" s="1"/>
      <c r="J9972" s="1"/>
      <c r="K9972" s="1"/>
      <c r="L9972" s="1"/>
      <c r="M9972" s="1"/>
      <c r="N9972" s="1"/>
      <c r="O9972" s="1"/>
      <c r="P9972" s="1"/>
      <c r="Q9972" s="1"/>
      <c r="R9972" s="1"/>
      <c r="S9972" s="1"/>
      <c r="T9972" s="1"/>
      <c r="U9972" s="1"/>
      <c r="V9972" s="1"/>
      <c r="W9972" s="1"/>
      <c r="X9972" s="1"/>
      <c r="Y9972" s="1"/>
      <c r="Z9972" s="1"/>
      <c r="AA9972" s="1"/>
      <c r="AB9972" s="1"/>
    </row>
    <row r="9973" ht="50.25" customHeight="1">
      <c r="A9973" s="12">
        <v>9969.0</v>
      </c>
      <c r="B9973" s="13" t="s">
        <v>9604</v>
      </c>
      <c r="C9973" s="14" t="s">
        <v>10000</v>
      </c>
      <c r="D9973" s="1"/>
      <c r="E9973" s="1"/>
      <c r="F9973" s="1" t="str">
        <f>IFERROR(__xludf.DUMMYFUNCTION("GOOGLETRANSLATE(B9973, ""en"", ""fa"")
"),"موفقیت Etsy")</f>
        <v>موفقیت Etsy</v>
      </c>
      <c r="G9973" s="1" t="str">
        <f>IFERROR(__xludf.DUMMYFUNCTION("GOOGLETRANSLATE(C9973, ""en"", ""fa"")
"),"چگونه می توانم نرخ تبدیل فروشگاه Etsy خود را با اجرای فراخوان های موثر و دستورالعمل های خرید واضح بهینه کنم؟")</f>
        <v>چگونه می توانم نرخ تبدیل فروشگاه Etsy خود را با اجرای فراخوان های موثر و دستورالعمل های خرید واضح بهینه کنم؟</v>
      </c>
      <c r="H9973" s="1"/>
      <c r="I9973" s="1"/>
      <c r="J9973" s="1"/>
      <c r="K9973" s="1"/>
      <c r="L9973" s="1"/>
      <c r="M9973" s="1"/>
      <c r="N9973" s="1"/>
      <c r="O9973" s="1"/>
      <c r="P9973" s="1"/>
      <c r="Q9973" s="1"/>
      <c r="R9973" s="1"/>
      <c r="S9973" s="1"/>
      <c r="T9973" s="1"/>
      <c r="U9973" s="1"/>
      <c r="V9973" s="1"/>
      <c r="W9973" s="1"/>
      <c r="X9973" s="1"/>
      <c r="Y9973" s="1"/>
      <c r="Z9973" s="1"/>
      <c r="AA9973" s="1"/>
      <c r="AB9973" s="1"/>
    </row>
    <row r="9974" ht="50.25" customHeight="1">
      <c r="A9974" s="12">
        <v>9970.0</v>
      </c>
      <c r="B9974" s="13" t="s">
        <v>9604</v>
      </c>
      <c r="C9974" s="14" t="s">
        <v>10001</v>
      </c>
      <c r="D9974" s="1"/>
      <c r="E9974" s="1"/>
      <c r="F9974" s="1" t="str">
        <f>IFERROR(__xludf.DUMMYFUNCTION("GOOGLETRANSLATE(B9974, ""en"", ""fa"")
"),"موفقیت Etsy")</f>
        <v>موفقیت Etsy</v>
      </c>
      <c r="G9974" s="1" t="str">
        <f>IFERROR(__xludf.DUMMYFUNCTION("GOOGLETRANSLATE(C9974, ""en"", ""fa"")
"),"استراتژی‌های بهینه‌سازی سیاست‌های ارسال و بازگشت فروشگاه Etsy من برای ارائه یک تجربه مثبت برای مشتری و تشویق به خرید چیست؟")</f>
        <v>استراتژی‌های بهینه‌سازی سیاست‌های ارسال و بازگشت فروشگاه Etsy من برای ارائه یک تجربه مثبت برای مشتری و تشویق به خرید چیست؟</v>
      </c>
      <c r="H9974" s="1"/>
      <c r="I9974" s="1"/>
      <c r="J9974" s="1"/>
      <c r="K9974" s="1"/>
      <c r="L9974" s="1"/>
      <c r="M9974" s="1"/>
      <c r="N9974" s="1"/>
      <c r="O9974" s="1"/>
      <c r="P9974" s="1"/>
      <c r="Q9974" s="1"/>
      <c r="R9974" s="1"/>
      <c r="S9974" s="1"/>
      <c r="T9974" s="1"/>
      <c r="U9974" s="1"/>
      <c r="V9974" s="1"/>
      <c r="W9974" s="1"/>
      <c r="X9974" s="1"/>
      <c r="Y9974" s="1"/>
      <c r="Z9974" s="1"/>
      <c r="AA9974" s="1"/>
      <c r="AB9974" s="1"/>
    </row>
    <row r="9975" ht="50.25" customHeight="1">
      <c r="A9975" s="12">
        <v>9971.0</v>
      </c>
      <c r="B9975" s="13" t="s">
        <v>9604</v>
      </c>
      <c r="C9975" s="14" t="s">
        <v>10002</v>
      </c>
      <c r="D9975" s="1"/>
      <c r="E9975" s="1"/>
      <c r="F9975" s="1" t="str">
        <f>IFERROR(__xludf.DUMMYFUNCTION("GOOGLETRANSLATE(B9975, ""en"", ""fa"")
"),"موفقیت Etsy")</f>
        <v>موفقیت Etsy</v>
      </c>
      <c r="G9975" s="1" t="str">
        <f>IFERROR(__xludf.DUMMYFUNCTION("GOOGLETRANSLATE(C9975, ""en"", ""fa"")
"),"چگونه می توانم از ویژگی های اشتراک گذاری اجتماعی داخلی Etsy برای تشویق مشتریان برای به اشتراک گذاشتن خریدهای خود و ترویج محصولات من به صورت ارگانیک استفاده کنم؟")</f>
        <v>چگونه می توانم از ویژگی های اشتراک گذاری اجتماعی داخلی Etsy برای تشویق مشتریان برای به اشتراک گذاشتن خریدهای خود و ترویج محصولات من به صورت ارگانیک استفاده کنم؟</v>
      </c>
      <c r="H9975" s="1"/>
      <c r="I9975" s="1"/>
      <c r="J9975" s="1"/>
      <c r="K9975" s="1"/>
      <c r="L9975" s="1"/>
      <c r="M9975" s="1"/>
      <c r="N9975" s="1"/>
      <c r="O9975" s="1"/>
      <c r="P9975" s="1"/>
      <c r="Q9975" s="1"/>
      <c r="R9975" s="1"/>
      <c r="S9975" s="1"/>
      <c r="T9975" s="1"/>
      <c r="U9975" s="1"/>
      <c r="V9975" s="1"/>
      <c r="W9975" s="1"/>
      <c r="X9975" s="1"/>
      <c r="Y9975" s="1"/>
      <c r="Z9975" s="1"/>
      <c r="AA9975" s="1"/>
      <c r="AB9975" s="1"/>
    </row>
    <row r="9976" ht="50.25" customHeight="1">
      <c r="A9976" s="12">
        <v>9972.0</v>
      </c>
      <c r="B9976" s="13" t="s">
        <v>9604</v>
      </c>
      <c r="C9976" s="14" t="s">
        <v>10003</v>
      </c>
      <c r="D9976" s="1"/>
      <c r="E9976" s="1"/>
      <c r="F9976" s="1" t="str">
        <f>IFERROR(__xludf.DUMMYFUNCTION("GOOGLETRANSLATE(B9976, ""en"", ""fa"")
"),"موفقیت Etsy")</f>
        <v>موفقیت Etsy</v>
      </c>
      <c r="G9976" s="1" t="str">
        <f>IFERROR(__xludf.DUMMYFUNCTION("GOOGLETRANSLATE(C9976, ""en"", ""fa"")
"),"بهترین روش‌ها برای استفاده از نظرات و رتبه‌بندی‌های مشتریان به عنوان ابزار بازاریابی برای ایجاد اعتماد و جذب مشتریان جدید در Etsy چیست؟")</f>
        <v>بهترین روش‌ها برای استفاده از نظرات و رتبه‌بندی‌های مشتریان به عنوان ابزار بازاریابی برای ایجاد اعتماد و جذب مشتریان جدید در Etsy چیست؟</v>
      </c>
      <c r="H9976" s="1"/>
      <c r="I9976" s="1"/>
      <c r="J9976" s="1"/>
      <c r="K9976" s="1"/>
      <c r="L9976" s="1"/>
      <c r="M9976" s="1"/>
      <c r="N9976" s="1"/>
      <c r="O9976" s="1"/>
      <c r="P9976" s="1"/>
      <c r="Q9976" s="1"/>
      <c r="R9976" s="1"/>
      <c r="S9976" s="1"/>
      <c r="T9976" s="1"/>
      <c r="U9976" s="1"/>
      <c r="V9976" s="1"/>
      <c r="W9976" s="1"/>
      <c r="X9976" s="1"/>
      <c r="Y9976" s="1"/>
      <c r="Z9976" s="1"/>
      <c r="AA9976" s="1"/>
      <c r="AB9976" s="1"/>
    </row>
    <row r="9977" ht="50.25" customHeight="1">
      <c r="A9977" s="12">
        <v>9973.0</v>
      </c>
      <c r="B9977" s="13" t="s">
        <v>9604</v>
      </c>
      <c r="C9977" s="14" t="s">
        <v>10004</v>
      </c>
      <c r="D9977" s="1"/>
      <c r="E9977" s="1"/>
      <c r="F9977" s="1" t="str">
        <f>IFERROR(__xludf.DUMMYFUNCTION("GOOGLETRANSLATE(B9977, ""en"", ""fa"")
"),"موفقیت Etsy")</f>
        <v>موفقیت Etsy</v>
      </c>
      <c r="G9977" s="1" t="str">
        <f>IFERROR(__xludf.DUMMYFUNCTION("GOOGLETRANSLATE(C9977, ""en"", ""fa"")
"),"چگونه می توانم پست های وبلاگ یا مقالاتی جذاب و آموزنده ایجاد کنم که باعث افزایش ترافیک و تبلیغ محصولات Etsy من شود؟")</f>
        <v>چگونه می توانم پست های وبلاگ یا مقالاتی جذاب و آموزنده ایجاد کنم که باعث افزایش ترافیک و تبلیغ محصولات Etsy من شود؟</v>
      </c>
      <c r="H9977" s="1"/>
      <c r="I9977" s="1"/>
      <c r="J9977" s="1"/>
      <c r="K9977" s="1"/>
      <c r="L9977" s="1"/>
      <c r="M9977" s="1"/>
      <c r="N9977" s="1"/>
      <c r="O9977" s="1"/>
      <c r="P9977" s="1"/>
      <c r="Q9977" s="1"/>
      <c r="R9977" s="1"/>
      <c r="S9977" s="1"/>
      <c r="T9977" s="1"/>
      <c r="U9977" s="1"/>
      <c r="V9977" s="1"/>
      <c r="W9977" s="1"/>
      <c r="X9977" s="1"/>
      <c r="Y9977" s="1"/>
      <c r="Z9977" s="1"/>
      <c r="AA9977" s="1"/>
      <c r="AB9977" s="1"/>
    </row>
    <row r="9978" ht="50.25" customHeight="1">
      <c r="A9978" s="12">
        <v>9974.0</v>
      </c>
      <c r="B9978" s="13" t="s">
        <v>9604</v>
      </c>
      <c r="C9978" s="14" t="s">
        <v>10005</v>
      </c>
      <c r="D9978" s="1"/>
      <c r="E9978" s="1"/>
      <c r="F9978" s="1" t="str">
        <f>IFERROR(__xludf.DUMMYFUNCTION("GOOGLETRANSLATE(B9978, ""en"", ""fa"")
"),"موفقیت Etsy")</f>
        <v>موفقیت Etsy</v>
      </c>
      <c r="G9978" s="1" t="str">
        <f>IFERROR(__xludf.DUMMYFUNCTION("GOOGLETRANSLATE(C9978, ""en"", ""fa"")
"),"چگونه می توانم از انجمن ها و گروه های انجمن Etsy برای تعامل با مشتریان بالقوه، به اشتراک گذاری دانش و ایجاد تخصص خود استفاده کنم؟")</f>
        <v>چگونه می توانم از انجمن ها و گروه های انجمن Etsy برای تعامل با مشتریان بالقوه، به اشتراک گذاری دانش و ایجاد تخصص خود استفاده کنم؟</v>
      </c>
      <c r="H9978" s="1"/>
      <c r="I9978" s="1"/>
      <c r="J9978" s="1"/>
      <c r="K9978" s="1"/>
      <c r="L9978" s="1"/>
      <c r="M9978" s="1"/>
      <c r="N9978" s="1"/>
      <c r="O9978" s="1"/>
      <c r="P9978" s="1"/>
      <c r="Q9978" s="1"/>
      <c r="R9978" s="1"/>
      <c r="S9978" s="1"/>
      <c r="T9978" s="1"/>
      <c r="U9978" s="1"/>
      <c r="V9978" s="1"/>
      <c r="W9978" s="1"/>
      <c r="X9978" s="1"/>
      <c r="Y9978" s="1"/>
      <c r="Z9978" s="1"/>
      <c r="AA9978" s="1"/>
      <c r="AB9978" s="1"/>
    </row>
    <row r="9979" ht="50.25" customHeight="1">
      <c r="A9979" s="12">
        <v>9975.0</v>
      </c>
      <c r="B9979" s="13" t="s">
        <v>9604</v>
      </c>
      <c r="C9979" s="14" t="s">
        <v>10006</v>
      </c>
      <c r="D9979" s="1"/>
      <c r="E9979" s="1"/>
      <c r="F9979" s="1" t="str">
        <f>IFERROR(__xludf.DUMMYFUNCTION("GOOGLETRANSLATE(B9979, ""en"", ""fa"")
"),"موفقیت Etsy")</f>
        <v>موفقیت Etsy</v>
      </c>
      <c r="G9979" s="1" t="str">
        <f>IFERROR(__xludf.DUMMYFUNCTION("GOOGLETRANSLATE(C9979, ""en"", ""fa"")
"),"استراتژی‌های اجرای برنامه‌های ارجاع یا بازاریابی وابسته برای تشویق دیگران به تبلیغ فروشگاه و محصولات Etsy من چیست؟")</f>
        <v>استراتژی‌های اجرای برنامه‌های ارجاع یا بازاریابی وابسته برای تشویق دیگران به تبلیغ فروشگاه و محصولات Etsy من چیست؟</v>
      </c>
      <c r="H9979" s="1"/>
      <c r="I9979" s="1"/>
      <c r="J9979" s="1"/>
      <c r="K9979" s="1"/>
      <c r="L9979" s="1"/>
      <c r="M9979" s="1"/>
      <c r="N9979" s="1"/>
      <c r="O9979" s="1"/>
      <c r="P9979" s="1"/>
      <c r="Q9979" s="1"/>
      <c r="R9979" s="1"/>
      <c r="S9979" s="1"/>
      <c r="T9979" s="1"/>
      <c r="U9979" s="1"/>
      <c r="V9979" s="1"/>
      <c r="W9979" s="1"/>
      <c r="X9979" s="1"/>
      <c r="Y9979" s="1"/>
      <c r="Z9979" s="1"/>
      <c r="AA9979" s="1"/>
      <c r="AB9979" s="1"/>
    </row>
    <row r="9980" ht="50.25" customHeight="1">
      <c r="A9980" s="12">
        <v>9976.0</v>
      </c>
      <c r="B9980" s="13" t="s">
        <v>9604</v>
      </c>
      <c r="C9980" s="14" t="s">
        <v>10007</v>
      </c>
      <c r="D9980" s="1"/>
      <c r="E9980" s="1"/>
      <c r="F9980" s="1" t="str">
        <f>IFERROR(__xludf.DUMMYFUNCTION("GOOGLETRANSLATE(B9980, ""en"", ""fa"")
"),"موفقیت Etsy")</f>
        <v>موفقیت Etsy</v>
      </c>
      <c r="G9980" s="1" t="str">
        <f>IFERROR(__xludf.DUMMYFUNCTION("GOOGLETRANSLATE(C9980, ""en"", ""fa"")
"),"چگونه می توانم خدمات مشتری و پاسخگویی فروشگاه Etsy خود را برای ایجاد شهرت مثبت و تشویق ارجاعات دهان به دهان بهینه کنم؟")</f>
        <v>چگونه می توانم خدمات مشتری و پاسخگویی فروشگاه Etsy خود را برای ایجاد شهرت مثبت و تشویق ارجاعات دهان به دهان بهینه کنم؟</v>
      </c>
      <c r="H9980" s="1"/>
      <c r="I9980" s="1"/>
      <c r="J9980" s="1"/>
      <c r="K9980" s="1"/>
      <c r="L9980" s="1"/>
      <c r="M9980" s="1"/>
      <c r="N9980" s="1"/>
      <c r="O9980" s="1"/>
      <c r="P9980" s="1"/>
      <c r="Q9980" s="1"/>
      <c r="R9980" s="1"/>
      <c r="S9980" s="1"/>
      <c r="T9980" s="1"/>
      <c r="U9980" s="1"/>
      <c r="V9980" s="1"/>
      <c r="W9980" s="1"/>
      <c r="X9980" s="1"/>
      <c r="Y9980" s="1"/>
      <c r="Z9980" s="1"/>
      <c r="AA9980" s="1"/>
      <c r="AB9980" s="1"/>
    </row>
    <row r="9981" ht="50.25" customHeight="1">
      <c r="A9981" s="12">
        <v>9977.0</v>
      </c>
      <c r="B9981" s="13" t="s">
        <v>9604</v>
      </c>
      <c r="C9981" s="14" t="s">
        <v>10008</v>
      </c>
      <c r="D9981" s="1"/>
      <c r="E9981" s="1"/>
      <c r="F9981" s="1" t="str">
        <f>IFERROR(__xludf.DUMMYFUNCTION("GOOGLETRANSLATE(B9981, ""en"", ""fa"")
"),"موفقیت Etsy")</f>
        <v>موفقیت Etsy</v>
      </c>
      <c r="G9981" s="1" t="str">
        <f>IFERROR(__xludf.DUMMYFUNCTION("GOOGLETRANSLATE(C9981, ""en"", ""fa"")
"),"ملاحظات استفاده از ابزارهای تبلیغاتی Etsy، مانند تبلیغات Etsy یا کدهای کوپن، برای افزایش فروش و جذب مشتریان جدید چیست؟")</f>
        <v>ملاحظات استفاده از ابزارهای تبلیغاتی Etsy، مانند تبلیغات Etsy یا کدهای کوپن، برای افزایش فروش و جذب مشتریان جدید چیست؟</v>
      </c>
      <c r="H9981" s="1"/>
      <c r="I9981" s="1"/>
      <c r="J9981" s="1"/>
      <c r="K9981" s="1"/>
      <c r="L9981" s="1"/>
      <c r="M9981" s="1"/>
      <c r="N9981" s="1"/>
      <c r="O9981" s="1"/>
      <c r="P9981" s="1"/>
      <c r="Q9981" s="1"/>
      <c r="R9981" s="1"/>
      <c r="S9981" s="1"/>
      <c r="T9981" s="1"/>
      <c r="U9981" s="1"/>
      <c r="V9981" s="1"/>
      <c r="W9981" s="1"/>
      <c r="X9981" s="1"/>
      <c r="Y9981" s="1"/>
      <c r="Z9981" s="1"/>
      <c r="AA9981" s="1"/>
      <c r="AB9981" s="1"/>
    </row>
    <row r="9982" ht="50.25" customHeight="1">
      <c r="A9982" s="12">
        <v>9978.0</v>
      </c>
      <c r="B9982" s="13" t="s">
        <v>9604</v>
      </c>
      <c r="C9982" s="14" t="s">
        <v>10009</v>
      </c>
      <c r="D9982" s="1"/>
      <c r="E9982" s="1"/>
      <c r="F9982" s="1" t="str">
        <f>IFERROR(__xludf.DUMMYFUNCTION("GOOGLETRANSLATE(B9982, ""en"", ""fa"")
"),"موفقیت Etsy")</f>
        <v>موفقیت Etsy</v>
      </c>
      <c r="G9982" s="1" t="str">
        <f>IFERROR(__xludf.DUMMYFUNCTION("GOOGLETRANSLATE(C9982, ""en"", ""fa"")
"),"چگونه می توانم با وبلاگ نویسان یا اینفلوئنسرهای مرتبط در حوزه کاری خود همکاری کنم تا محصولات Etsy خود را بررسی یا ارائه دهم و به مخاطبان آنها دسترسی پیدا کنم؟")</f>
        <v>چگونه می توانم با وبلاگ نویسان یا اینفلوئنسرهای مرتبط در حوزه کاری خود همکاری کنم تا محصولات Etsy خود را بررسی یا ارائه دهم و به مخاطبان آنها دسترسی پیدا کنم؟</v>
      </c>
      <c r="H9982" s="1"/>
      <c r="I9982" s="1"/>
      <c r="J9982" s="1"/>
      <c r="K9982" s="1"/>
      <c r="L9982" s="1"/>
      <c r="M9982" s="1"/>
      <c r="N9982" s="1"/>
      <c r="O9982" s="1"/>
      <c r="P9982" s="1"/>
      <c r="Q9982" s="1"/>
      <c r="R9982" s="1"/>
      <c r="S9982" s="1"/>
      <c r="T9982" s="1"/>
      <c r="U9982" s="1"/>
      <c r="V9982" s="1"/>
      <c r="W9982" s="1"/>
      <c r="X9982" s="1"/>
      <c r="Y9982" s="1"/>
      <c r="Z9982" s="1"/>
      <c r="AA9982" s="1"/>
      <c r="AB9982" s="1"/>
    </row>
    <row r="9983" ht="50.25" customHeight="1">
      <c r="A9983" s="12">
        <v>9979.0</v>
      </c>
      <c r="B9983" s="13" t="s">
        <v>9604</v>
      </c>
      <c r="C9983" s="14" t="s">
        <v>10010</v>
      </c>
      <c r="D9983" s="1"/>
      <c r="E9983" s="1"/>
      <c r="F9983" s="1" t="str">
        <f>IFERROR(__xludf.DUMMYFUNCTION("GOOGLETRANSLATE(B9983, ""en"", ""fa"")
"),"موفقیت Etsy")</f>
        <v>موفقیت Etsy</v>
      </c>
      <c r="G9983" s="1" t="str">
        <f>IFERROR(__xludf.DUMMYFUNCTION("GOOGLETRANSLATE(C9983, ""en"", ""fa"")
"),"چگونه می‌توانم از ویژگی پیام‌رسانی مشتری Etsy برای تعامل با خریداران بالقوه، پاسخ به سؤالات آنها و ارائه توصیه‌های شخصی استفاده کنم؟")</f>
        <v>چگونه می‌توانم از ویژگی پیام‌رسانی مشتری Etsy برای تعامل با خریداران بالقوه، پاسخ به سؤالات آنها و ارائه توصیه‌های شخصی استفاده کنم؟</v>
      </c>
      <c r="H9983" s="1"/>
      <c r="I9983" s="1"/>
      <c r="J9983" s="1"/>
      <c r="K9983" s="1"/>
      <c r="L9983" s="1"/>
      <c r="M9983" s="1"/>
      <c r="N9983" s="1"/>
      <c r="O9983" s="1"/>
      <c r="P9983" s="1"/>
      <c r="Q9983" s="1"/>
      <c r="R9983" s="1"/>
      <c r="S9983" s="1"/>
      <c r="T9983" s="1"/>
      <c r="U9983" s="1"/>
      <c r="V9983" s="1"/>
      <c r="W9983" s="1"/>
      <c r="X9983" s="1"/>
      <c r="Y9983" s="1"/>
      <c r="Z9983" s="1"/>
      <c r="AA9983" s="1"/>
      <c r="AB9983" s="1"/>
    </row>
    <row r="9984" ht="50.25" customHeight="1">
      <c r="A9984" s="12">
        <v>9980.0</v>
      </c>
      <c r="B9984" s="13" t="s">
        <v>9604</v>
      </c>
      <c r="C9984" s="14" t="s">
        <v>10011</v>
      </c>
      <c r="D9984" s="1"/>
      <c r="E9984" s="1"/>
      <c r="F9984" s="1" t="str">
        <f>IFERROR(__xludf.DUMMYFUNCTION("GOOGLETRANSLATE(B9984, ""en"", ""fa"")
"),"موفقیت Etsy")</f>
        <v>موفقیت Etsy</v>
      </c>
      <c r="G9984" s="1" t="str">
        <f>IFERROR(__xludf.DUMMYFUNCTION("GOOGLETRANSLATE(C9984, ""en"", ""fa"")
"),"استراتژی‌هایی برای استفاده از فصول تعطیلات، مناسبت‌های خاص یا رویدادهای فرهنگی برای ایجاد کمپین‌های بازاریابی هدفمند برای فروشگاه Etsy من چیست؟")</f>
        <v>استراتژی‌هایی برای استفاده از فصول تعطیلات، مناسبت‌های خاص یا رویدادهای فرهنگی برای ایجاد کمپین‌های بازاریابی هدفمند برای فروشگاه Etsy من چیست؟</v>
      </c>
      <c r="H9984" s="1"/>
      <c r="I9984" s="1"/>
      <c r="J9984" s="1"/>
      <c r="K9984" s="1"/>
      <c r="L9984" s="1"/>
      <c r="M9984" s="1"/>
      <c r="N9984" s="1"/>
      <c r="O9984" s="1"/>
      <c r="P9984" s="1"/>
      <c r="Q9984" s="1"/>
      <c r="R9984" s="1"/>
      <c r="S9984" s="1"/>
      <c r="T9984" s="1"/>
      <c r="U9984" s="1"/>
      <c r="V9984" s="1"/>
      <c r="W9984" s="1"/>
      <c r="X9984" s="1"/>
      <c r="Y9984" s="1"/>
      <c r="Z9984" s="1"/>
      <c r="AA9984" s="1"/>
      <c r="AB9984" s="1"/>
    </row>
    <row r="9985" ht="50.25" customHeight="1">
      <c r="A9985" s="12">
        <v>9981.0</v>
      </c>
      <c r="B9985" s="13" t="s">
        <v>9604</v>
      </c>
      <c r="C9985" s="14" t="s">
        <v>10012</v>
      </c>
      <c r="D9985" s="1"/>
      <c r="E9985" s="1"/>
      <c r="F9985" s="1" t="str">
        <f>IFERROR(__xludf.DUMMYFUNCTION("GOOGLETRANSLATE(B9985, ""en"", ""fa"")
"),"موفقیت Etsy")</f>
        <v>موفقیت Etsy</v>
      </c>
      <c r="G9985" s="1" t="str">
        <f>IFERROR(__xludf.DUMMYFUNCTION("GOOGLETRANSLATE(C9985, ""en"", ""fa"")
"),"چگونه می توانم تجربه کلی مشتری فروشگاه Etsy خود را، از مرور تا پرداخت، بهینه سازی کنم تا رها شدن سبد خرید را به حداقل برسانم و تبدیل ها را افزایش دهم؟")</f>
        <v>چگونه می توانم تجربه کلی مشتری فروشگاه Etsy خود را، از مرور تا پرداخت، بهینه سازی کنم تا رها شدن سبد خرید را به حداقل برسانم و تبدیل ها را افزایش دهم؟</v>
      </c>
      <c r="H9985" s="1"/>
      <c r="I9985" s="1"/>
      <c r="J9985" s="1"/>
      <c r="K9985" s="1"/>
      <c r="L9985" s="1"/>
      <c r="M9985" s="1"/>
      <c r="N9985" s="1"/>
      <c r="O9985" s="1"/>
      <c r="P9985" s="1"/>
      <c r="Q9985" s="1"/>
      <c r="R9985" s="1"/>
      <c r="S9985" s="1"/>
      <c r="T9985" s="1"/>
      <c r="U9985" s="1"/>
      <c r="V9985" s="1"/>
      <c r="W9985" s="1"/>
      <c r="X9985" s="1"/>
      <c r="Y9985" s="1"/>
      <c r="Z9985" s="1"/>
      <c r="AA9985" s="1"/>
      <c r="AB9985" s="1"/>
    </row>
    <row r="9986" ht="50.25" customHeight="1">
      <c r="A9986" s="12">
        <v>9982.0</v>
      </c>
      <c r="B9986" s="13" t="s">
        <v>9604</v>
      </c>
      <c r="C9986" s="14" t="s">
        <v>10013</v>
      </c>
      <c r="D9986" s="1"/>
      <c r="E9986" s="1"/>
      <c r="F9986" s="1" t="str">
        <f>IFERROR(__xludf.DUMMYFUNCTION("GOOGLETRANSLATE(B9986, ""en"", ""fa"")
"),"موفقیت Etsy")</f>
        <v>موفقیت Etsy</v>
      </c>
      <c r="G9986" s="1" t="str">
        <f>IFERROR(__xludf.DUMMYFUNCTION("GOOGLETRANSLATE(C9986, ""en"", ""fa"")
"),"چگونه می توانم از محتوای تولید شده توسط کاربر، مانند عکس های مشتری یا توصیفات، برای ایجاد مدرک اجتماعی و افزایش اعتماد به فروشگاه Etsy خود استفاده کنم؟")</f>
        <v>چگونه می توانم از محتوای تولید شده توسط کاربر، مانند عکس های مشتری یا توصیفات، برای ایجاد مدرک اجتماعی و افزایش اعتماد به فروشگاه Etsy خود استفاده کنم؟</v>
      </c>
      <c r="H9986" s="1"/>
      <c r="I9986" s="1"/>
      <c r="J9986" s="1"/>
      <c r="K9986" s="1"/>
      <c r="L9986" s="1"/>
      <c r="M9986" s="1"/>
      <c r="N9986" s="1"/>
      <c r="O9986" s="1"/>
      <c r="P9986" s="1"/>
      <c r="Q9986" s="1"/>
      <c r="R9986" s="1"/>
      <c r="S9986" s="1"/>
      <c r="T9986" s="1"/>
      <c r="U9986" s="1"/>
      <c r="V9986" s="1"/>
      <c r="W9986" s="1"/>
      <c r="X9986" s="1"/>
      <c r="Y9986" s="1"/>
      <c r="Z9986" s="1"/>
      <c r="AA9986" s="1"/>
      <c r="AB9986" s="1"/>
    </row>
    <row r="9987" ht="50.25" customHeight="1">
      <c r="A9987" s="12">
        <v>9983.0</v>
      </c>
      <c r="B9987" s="13" t="s">
        <v>9604</v>
      </c>
      <c r="C9987" s="14" t="s">
        <v>10014</v>
      </c>
      <c r="D9987" s="1"/>
      <c r="E9987" s="1"/>
      <c r="F9987" s="1" t="str">
        <f>IFERROR(__xludf.DUMMYFUNCTION("GOOGLETRANSLATE(B9987, ""en"", ""fa"")
"),"موفقیت Etsy")</f>
        <v>موفقیت Etsy</v>
      </c>
      <c r="G9987" s="1" t="str">
        <f>IFERROR(__xludf.DUMMYFUNCTION("GOOGLETRANSLATE(C9987, ""en"", ""fa"")
"),"ملاحظات برای اجرای تکنیک‌های فروش متقابل و فروش متقابل برای تشویق مشتریان به خرید محصولات اضافی از فروشگاه Etsy من چیست؟")</f>
        <v>ملاحظات برای اجرای تکنیک‌های فروش متقابل و فروش متقابل برای تشویق مشتریان به خرید محصولات اضافی از فروشگاه Etsy من چیست؟</v>
      </c>
      <c r="H9987" s="1"/>
      <c r="I9987" s="1"/>
      <c r="J9987" s="1"/>
      <c r="K9987" s="1"/>
      <c r="L9987" s="1"/>
      <c r="M9987" s="1"/>
      <c r="N9987" s="1"/>
      <c r="O9987" s="1"/>
      <c r="P9987" s="1"/>
      <c r="Q9987" s="1"/>
      <c r="R9987" s="1"/>
      <c r="S9987" s="1"/>
      <c r="T9987" s="1"/>
      <c r="U9987" s="1"/>
      <c r="V9987" s="1"/>
      <c r="W9987" s="1"/>
      <c r="X9987" s="1"/>
      <c r="Y9987" s="1"/>
      <c r="Z9987" s="1"/>
      <c r="AA9987" s="1"/>
      <c r="AB9987" s="1"/>
    </row>
    <row r="9988" ht="50.25" customHeight="1">
      <c r="A9988" s="12">
        <v>9984.0</v>
      </c>
      <c r="B9988" s="13" t="s">
        <v>9604</v>
      </c>
      <c r="C9988" s="14" t="s">
        <v>10015</v>
      </c>
      <c r="D9988" s="1"/>
      <c r="E9988" s="1"/>
      <c r="F9988" s="1" t="str">
        <f>IFERROR(__xludf.DUMMYFUNCTION("GOOGLETRANSLATE(B9988, ""en"", ""fa"")
"),"موفقیت Etsy")</f>
        <v>موفقیت Etsy</v>
      </c>
      <c r="G9988" s="1" t="str">
        <f>IFERROR(__xludf.DUMMYFUNCTION("GOOGLETRANSLATE(C9988, ""en"", ""fa"")
"),"چگونه می توانم با فروشندگان مکمل Etsy یا مشاغل محلی برای میزبانی رویدادهای تبلیغاتی مشترک یا فروشگاه های پاپ آپ همکاری کنم؟")</f>
        <v>چگونه می توانم با فروشندگان مکمل Etsy یا مشاغل محلی برای میزبانی رویدادهای تبلیغاتی مشترک یا فروشگاه های پاپ آپ همکاری کنم؟</v>
      </c>
      <c r="H9988" s="1"/>
      <c r="I9988" s="1"/>
      <c r="J9988" s="1"/>
      <c r="K9988" s="1"/>
      <c r="L9988" s="1"/>
      <c r="M9988" s="1"/>
      <c r="N9988" s="1"/>
      <c r="O9988" s="1"/>
      <c r="P9988" s="1"/>
      <c r="Q9988" s="1"/>
      <c r="R9988" s="1"/>
      <c r="S9988" s="1"/>
      <c r="T9988" s="1"/>
      <c r="U9988" s="1"/>
      <c r="V9988" s="1"/>
      <c r="W9988" s="1"/>
      <c r="X9988" s="1"/>
      <c r="Y9988" s="1"/>
      <c r="Z9988" s="1"/>
      <c r="AA9988" s="1"/>
      <c r="AB9988" s="1"/>
    </row>
    <row r="9989" ht="50.25" customHeight="1">
      <c r="A9989" s="12">
        <v>9985.0</v>
      </c>
      <c r="B9989" s="13" t="s">
        <v>9604</v>
      </c>
      <c r="C9989" s="14" t="s">
        <v>10016</v>
      </c>
      <c r="D9989" s="1"/>
      <c r="E9989" s="1"/>
      <c r="F9989" s="1" t="str">
        <f>IFERROR(__xludf.DUMMYFUNCTION("GOOGLETRANSLATE(B9989, ""en"", ""fa"")
"),"موفقیت Etsy")</f>
        <v>موفقیت Etsy</v>
      </c>
      <c r="G9989" s="1" t="str">
        <f>IFERROR(__xludf.DUMMYFUNCTION("GOOGLETRANSLATE(C9989, ""en"", ""fa"")
"),"چگونه می توانم به طور موثر از گزینه های پرداخت مستقیم Etsy مانند Apple Pay یا Google Pay برای ساده کردن فرآیند خرید و افزایش تبدیل استفاده کنم؟")</f>
        <v>چگونه می توانم به طور موثر از گزینه های پرداخت مستقیم Etsy مانند Apple Pay یا Google Pay برای ساده کردن فرآیند خرید و افزایش تبدیل استفاده کنم؟</v>
      </c>
      <c r="H9989" s="1"/>
      <c r="I9989" s="1"/>
      <c r="J9989" s="1"/>
      <c r="K9989" s="1"/>
      <c r="L9989" s="1"/>
      <c r="M9989" s="1"/>
      <c r="N9989" s="1"/>
      <c r="O9989" s="1"/>
      <c r="P9989" s="1"/>
      <c r="Q9989" s="1"/>
      <c r="R9989" s="1"/>
      <c r="S9989" s="1"/>
      <c r="T9989" s="1"/>
      <c r="U9989" s="1"/>
      <c r="V9989" s="1"/>
      <c r="W9989" s="1"/>
      <c r="X9989" s="1"/>
      <c r="Y9989" s="1"/>
      <c r="Z9989" s="1"/>
      <c r="AA9989" s="1"/>
      <c r="AB9989" s="1"/>
    </row>
    <row r="9990" ht="50.25" customHeight="1">
      <c r="A9990" s="12">
        <v>9986.0</v>
      </c>
      <c r="B9990" s="13" t="s">
        <v>9604</v>
      </c>
      <c r="C9990" s="14" t="s">
        <v>10017</v>
      </c>
      <c r="D9990" s="1"/>
      <c r="E9990" s="1"/>
      <c r="F9990" s="1" t="str">
        <f>IFERROR(__xludf.DUMMYFUNCTION("GOOGLETRANSLATE(B9990, ""en"", ""fa"")
"),"موفقیت Etsy")</f>
        <v>موفقیت Etsy</v>
      </c>
      <c r="G9990" s="1" t="str">
        <f>IFERROR(__xludf.DUMMYFUNCTION("GOOGLETRANSLATE(C9990, ""en"", ""fa"")
"),"چگونه می توانم بسته بندی و درج محصولات فروشگاه Etsy خود را برای ایجاد یک تجربه جعبه گشایی به یاد ماندنی و تشویق وفاداری مشتری بهینه کنم؟")</f>
        <v>چگونه می توانم بسته بندی و درج محصولات فروشگاه Etsy خود را برای ایجاد یک تجربه جعبه گشایی به یاد ماندنی و تشویق وفاداری مشتری بهینه کنم؟</v>
      </c>
      <c r="H9990" s="1"/>
      <c r="I9990" s="1"/>
      <c r="J9990" s="1"/>
      <c r="K9990" s="1"/>
      <c r="L9990" s="1"/>
      <c r="M9990" s="1"/>
      <c r="N9990" s="1"/>
      <c r="O9990" s="1"/>
      <c r="P9990" s="1"/>
      <c r="Q9990" s="1"/>
      <c r="R9990" s="1"/>
      <c r="S9990" s="1"/>
      <c r="T9990" s="1"/>
      <c r="U9990" s="1"/>
      <c r="V9990" s="1"/>
      <c r="W9990" s="1"/>
      <c r="X9990" s="1"/>
      <c r="Y9990" s="1"/>
      <c r="Z9990" s="1"/>
      <c r="AA9990" s="1"/>
      <c r="AB9990" s="1"/>
    </row>
    <row r="9991" ht="50.25" customHeight="1">
      <c r="A9991" s="12">
        <v>9987.0</v>
      </c>
      <c r="B9991" s="13" t="s">
        <v>9604</v>
      </c>
      <c r="C9991" s="14" t="s">
        <v>10018</v>
      </c>
      <c r="D9991" s="1"/>
      <c r="E9991" s="1"/>
      <c r="F9991" s="1" t="str">
        <f>IFERROR(__xludf.DUMMYFUNCTION("GOOGLETRANSLATE(B9991, ""en"", ""fa"")
"),"موفقیت Etsy")</f>
        <v>موفقیت Etsy</v>
      </c>
      <c r="G9991" s="1" t="str">
        <f>IFERROR(__xludf.DUMMYFUNCTION("GOOGLETRANSLATE(C9991, ""en"", ""fa"")
"),"بهترین روش ها برای ایجاد ویدیوهای فهرست محصولات از نظر بصری جذاب و آموزنده برای نمایش محصولات من در Etsy چیست؟")</f>
        <v>بهترین روش ها برای ایجاد ویدیوهای فهرست محصولات از نظر بصری جذاب و آموزنده برای نمایش محصولات من در Etsy چیست؟</v>
      </c>
      <c r="H9991" s="1"/>
      <c r="I9991" s="1"/>
      <c r="J9991" s="1"/>
      <c r="K9991" s="1"/>
      <c r="L9991" s="1"/>
      <c r="M9991" s="1"/>
      <c r="N9991" s="1"/>
      <c r="O9991" s="1"/>
      <c r="P9991" s="1"/>
      <c r="Q9991" s="1"/>
      <c r="R9991" s="1"/>
      <c r="S9991" s="1"/>
      <c r="T9991" s="1"/>
      <c r="U9991" s="1"/>
      <c r="V9991" s="1"/>
      <c r="W9991" s="1"/>
      <c r="X9991" s="1"/>
      <c r="Y9991" s="1"/>
      <c r="Z9991" s="1"/>
      <c r="AA9991" s="1"/>
      <c r="AB9991" s="1"/>
    </row>
    <row r="9992" ht="50.25" customHeight="1">
      <c r="A9992" s="12">
        <v>9988.0</v>
      </c>
      <c r="B9992" s="13" t="s">
        <v>9604</v>
      </c>
      <c r="C9992" s="14" t="s">
        <v>10019</v>
      </c>
      <c r="D9992" s="1"/>
      <c r="E9992" s="1"/>
      <c r="F9992" s="1" t="str">
        <f>IFERROR(__xludf.DUMMYFUNCTION("GOOGLETRANSLATE(B9992, ""en"", ""fa"")
"),"موفقیت Etsy")</f>
        <v>موفقیت Etsy</v>
      </c>
      <c r="G9992" s="1" t="str">
        <f>IFERROR(__xludf.DUMMYFUNCTION("GOOGLETRANSLATE(C9992, ""en"", ""fa"")
"),"چگونه می توانم از پلتفرم های تبلیغاتی رسانه های اجتماعی، مانند تبلیغات فیس بوک یا تبلیغات اینستاگرام، برای هدف قرار دادن بخش های خاص مشتریان و هدایت ترافیک به فروشگاه Etsy خود استفاده کنم؟")</f>
        <v>چگونه می توانم از پلتفرم های تبلیغاتی رسانه های اجتماعی، مانند تبلیغات فیس بوک یا تبلیغات اینستاگرام، برای هدف قرار دادن بخش های خاص مشتریان و هدایت ترافیک به فروشگاه Etsy خود استفاده کنم؟</v>
      </c>
      <c r="H9992" s="1"/>
      <c r="I9992" s="1"/>
      <c r="J9992" s="1"/>
      <c r="K9992" s="1"/>
      <c r="L9992" s="1"/>
      <c r="M9992" s="1"/>
      <c r="N9992" s="1"/>
      <c r="O9992" s="1"/>
      <c r="P9992" s="1"/>
      <c r="Q9992" s="1"/>
      <c r="R9992" s="1"/>
      <c r="S9992" s="1"/>
      <c r="T9992" s="1"/>
      <c r="U9992" s="1"/>
      <c r="V9992" s="1"/>
      <c r="W9992" s="1"/>
      <c r="X9992" s="1"/>
      <c r="Y9992" s="1"/>
      <c r="Z9992" s="1"/>
      <c r="AA9992" s="1"/>
      <c r="AB9992" s="1"/>
    </row>
    <row r="9993" ht="50.25" customHeight="1">
      <c r="A9993" s="12">
        <v>9989.0</v>
      </c>
      <c r="B9993" s="13" t="s">
        <v>9604</v>
      </c>
      <c r="C9993" s="14" t="s">
        <v>10020</v>
      </c>
      <c r="D9993" s="1"/>
      <c r="E9993" s="1"/>
      <c r="F9993" s="1" t="str">
        <f>IFERROR(__xludf.DUMMYFUNCTION("GOOGLETRANSLATE(B9993, ""en"", ""fa"")
"),"موفقیت Etsy")</f>
        <v>موفقیت Etsy</v>
      </c>
      <c r="G9993" s="1" t="str">
        <f>IFERROR(__xludf.DUMMYFUNCTION("GOOGLETRANSLATE(C9993, ""en"", ""fa"")
"),"چگونه می توانم از نظرات و رتبه بندی های مشتریان Etsy برای شناسایی زمینه های بهبود و ارتقای کیفیت محصولات و خدمات خود استفاده کنم؟")</f>
        <v>چگونه می توانم از نظرات و رتبه بندی های مشتریان Etsy برای شناسایی زمینه های بهبود و ارتقای کیفیت محصولات و خدمات خود استفاده کنم؟</v>
      </c>
      <c r="H9993" s="1"/>
      <c r="I9993" s="1"/>
      <c r="J9993" s="1"/>
      <c r="K9993" s="1"/>
      <c r="L9993" s="1"/>
      <c r="M9993" s="1"/>
      <c r="N9993" s="1"/>
      <c r="O9993" s="1"/>
      <c r="P9993" s="1"/>
      <c r="Q9993" s="1"/>
      <c r="R9993" s="1"/>
      <c r="S9993" s="1"/>
      <c r="T9993" s="1"/>
      <c r="U9993" s="1"/>
      <c r="V9993" s="1"/>
      <c r="W9993" s="1"/>
      <c r="X9993" s="1"/>
      <c r="Y9993" s="1"/>
      <c r="Z9993" s="1"/>
      <c r="AA9993" s="1"/>
      <c r="AB9993" s="1"/>
    </row>
    <row r="9994" ht="50.25" customHeight="1">
      <c r="A9994" s="12">
        <v>9990.0</v>
      </c>
      <c r="B9994" s="13" t="s">
        <v>9604</v>
      </c>
      <c r="C9994" s="14" t="s">
        <v>10021</v>
      </c>
      <c r="D9994" s="1"/>
      <c r="E9994" s="1"/>
      <c r="F9994" s="1" t="str">
        <f>IFERROR(__xludf.DUMMYFUNCTION("GOOGLETRANSLATE(B9994, ""en"", ""fa"")
"),"موفقیت Etsy")</f>
        <v>موفقیت Etsy</v>
      </c>
      <c r="G9994" s="1" t="str">
        <f>IFERROR(__xludf.DUMMYFUNCTION("GOOGLETRANSLATE(C9994, ""en"", ""fa"")
"),"استراتژی‌های استفاده از بخش «اعلام فروشگاه» Etsy برای برجسته کردن تبلیغات، راه‌اندازی محصول جدید یا به‌روزرسانی‌های مهم چیست؟")</f>
        <v>استراتژی‌های استفاده از بخش «اعلام فروشگاه» Etsy برای برجسته کردن تبلیغات، راه‌اندازی محصول جدید یا به‌روزرسانی‌های مهم چیست؟</v>
      </c>
      <c r="H9994" s="1"/>
      <c r="I9994" s="1"/>
      <c r="J9994" s="1"/>
      <c r="K9994" s="1"/>
      <c r="L9994" s="1"/>
      <c r="M9994" s="1"/>
      <c r="N9994" s="1"/>
      <c r="O9994" s="1"/>
      <c r="P9994" s="1"/>
      <c r="Q9994" s="1"/>
      <c r="R9994" s="1"/>
      <c r="S9994" s="1"/>
      <c r="T9994" s="1"/>
      <c r="U9994" s="1"/>
      <c r="V9994" s="1"/>
      <c r="W9994" s="1"/>
      <c r="X9994" s="1"/>
      <c r="Y9994" s="1"/>
      <c r="Z9994" s="1"/>
      <c r="AA9994" s="1"/>
      <c r="AB9994" s="1"/>
    </row>
    <row r="9995" ht="50.25" customHeight="1">
      <c r="A9995" s="12">
        <v>9991.0</v>
      </c>
      <c r="B9995" s="13" t="s">
        <v>9604</v>
      </c>
      <c r="C9995" s="14" t="s">
        <v>10022</v>
      </c>
      <c r="D9995" s="1"/>
      <c r="E9995" s="1"/>
      <c r="F9995" s="1" t="str">
        <f>IFERROR(__xludf.DUMMYFUNCTION("GOOGLETRANSLATE(B9995, ""en"", ""fa"")
"),"موفقیت Etsy")</f>
        <v>موفقیت Etsy</v>
      </c>
      <c r="G9995" s="1" t="str">
        <f>IFERROR(__xludf.DUMMYFUNCTION("GOOGLETRANSLATE(C9995, ""en"", ""fa"")
"),"چگونه می توانم برند بصری کلی فروشگاه Etsy خود را از جمله لوگوها، بنرها و طرح های رنگی بهینه کنم تا یک تصور منسجم و حرفه ای ایجاد کنم؟")</f>
        <v>چگونه می توانم برند بصری کلی فروشگاه Etsy خود را از جمله لوگوها، بنرها و طرح های رنگی بهینه کنم تا یک تصور منسجم و حرفه ای ایجاد کنم؟</v>
      </c>
      <c r="H9995" s="1"/>
      <c r="I9995" s="1"/>
      <c r="J9995" s="1"/>
      <c r="K9995" s="1"/>
      <c r="L9995" s="1"/>
      <c r="M9995" s="1"/>
      <c r="N9995" s="1"/>
      <c r="O9995" s="1"/>
      <c r="P9995" s="1"/>
      <c r="Q9995" s="1"/>
      <c r="R9995" s="1"/>
      <c r="S9995" s="1"/>
      <c r="T9995" s="1"/>
      <c r="U9995" s="1"/>
      <c r="V9995" s="1"/>
      <c r="W9995" s="1"/>
      <c r="X9995" s="1"/>
      <c r="Y9995" s="1"/>
      <c r="Z9995" s="1"/>
      <c r="AA9995" s="1"/>
      <c r="AB9995" s="1"/>
    </row>
    <row r="9996" ht="50.25" customHeight="1">
      <c r="A9996" s="12">
        <v>9992.0</v>
      </c>
      <c r="B9996" s="13" t="s">
        <v>9604</v>
      </c>
      <c r="C9996" s="14" t="s">
        <v>10023</v>
      </c>
      <c r="D9996" s="1"/>
      <c r="E9996" s="1"/>
      <c r="F9996" s="1" t="str">
        <f>IFERROR(__xludf.DUMMYFUNCTION("GOOGLETRANSLATE(B9996, ""en"", ""fa"")
"),"موفقیت Etsy")</f>
        <v>موفقیت Etsy</v>
      </c>
      <c r="G9996" s="1" t="str">
        <f>IFERROR(__xludf.DUMMYFUNCTION("GOOGLETRANSLATE(C9996, ""en"", ""fa"")
"),"چگونه می توانم از خبرنامه های ایمیل یا کمپین های قطره ای برای پرورش سرنخ ها، ایجاد روابط و ایجاد تبدیل برای فروشگاه Etsy خود استفاده کنم؟")</f>
        <v>چگونه می توانم از خبرنامه های ایمیل یا کمپین های قطره ای برای پرورش سرنخ ها، ایجاد روابط و ایجاد تبدیل برای فروشگاه Etsy خود استفاده کنم؟</v>
      </c>
      <c r="H9996" s="1"/>
      <c r="I9996" s="1"/>
      <c r="J9996" s="1"/>
      <c r="K9996" s="1"/>
      <c r="L9996" s="1"/>
      <c r="M9996" s="1"/>
      <c r="N9996" s="1"/>
      <c r="O9996" s="1"/>
      <c r="P9996" s="1"/>
      <c r="Q9996" s="1"/>
      <c r="R9996" s="1"/>
      <c r="S9996" s="1"/>
      <c r="T9996" s="1"/>
      <c r="U9996" s="1"/>
      <c r="V9996" s="1"/>
      <c r="W9996" s="1"/>
      <c r="X9996" s="1"/>
      <c r="Y9996" s="1"/>
      <c r="Z9996" s="1"/>
      <c r="AA9996" s="1"/>
      <c r="AB9996" s="1"/>
    </row>
    <row r="9997" ht="50.25" customHeight="1">
      <c r="A9997" s="12">
        <v>9993.0</v>
      </c>
      <c r="B9997" s="13" t="s">
        <v>9604</v>
      </c>
      <c r="C9997" s="14" t="s">
        <v>10024</v>
      </c>
      <c r="D9997" s="1"/>
      <c r="E9997" s="1"/>
      <c r="F9997" s="1" t="str">
        <f>IFERROR(__xludf.DUMMYFUNCTION("GOOGLETRANSLATE(B9997, ""en"", ""fa"")
"),"موفقیت Etsy")</f>
        <v>موفقیت Etsy</v>
      </c>
      <c r="G9997" s="1" t="str">
        <f>IFERROR(__xludf.DUMMYFUNCTION("GOOGLETRANSLATE(C9997, ""en"", ""fa"")
"),"ملاحظات اجرای چت زنده یا ویژگی های چت بات در فروشگاه Etsy من برای ارائه پشتیبانی و کمک به مشتری در زمان واقعی چیست؟")</f>
        <v>ملاحظات اجرای چت زنده یا ویژگی های چت بات در فروشگاه Etsy من برای ارائه پشتیبانی و کمک به مشتری در زمان واقعی چیست؟</v>
      </c>
      <c r="H9997" s="1"/>
      <c r="I9997" s="1"/>
      <c r="J9997" s="1"/>
      <c r="K9997" s="1"/>
      <c r="L9997" s="1"/>
      <c r="M9997" s="1"/>
      <c r="N9997" s="1"/>
      <c r="O9997" s="1"/>
      <c r="P9997" s="1"/>
      <c r="Q9997" s="1"/>
      <c r="R9997" s="1"/>
      <c r="S9997" s="1"/>
      <c r="T9997" s="1"/>
      <c r="U9997" s="1"/>
      <c r="V9997" s="1"/>
      <c r="W9997" s="1"/>
      <c r="X9997" s="1"/>
      <c r="Y9997" s="1"/>
      <c r="Z9997" s="1"/>
      <c r="AA9997" s="1"/>
      <c r="AB9997" s="1"/>
    </row>
    <row r="9998" ht="50.25" customHeight="1">
      <c r="A9998" s="12">
        <v>9994.0</v>
      </c>
      <c r="B9998" s="13" t="s">
        <v>9604</v>
      </c>
      <c r="C9998" s="14" t="s">
        <v>10025</v>
      </c>
      <c r="D9998" s="1"/>
      <c r="E9998" s="1"/>
      <c r="F9998" s="1" t="str">
        <f>IFERROR(__xludf.DUMMYFUNCTION("GOOGLETRANSLATE(B9998, ""en"", ""fa"")
"),"موفقیت Etsy")</f>
        <v>موفقیت Etsy</v>
      </c>
      <c r="G9998" s="1" t="str">
        <f>IFERROR(__xludf.DUMMYFUNCTION("GOOGLETRANSLATE(C9998, ""en"", ""fa"")
"),"چگونه می توانم عکاسی محصول فروشگاه Etsy خود را بهینه کنم تا ویژگی ها، جزئیات و مهارت محصولاتم را به طور موثر به نمایش بگذارم؟")</f>
        <v>چگونه می توانم عکاسی محصول فروشگاه Etsy خود را بهینه کنم تا ویژگی ها، جزئیات و مهارت محصولاتم را به طور موثر به نمایش بگذارم؟</v>
      </c>
      <c r="H9998" s="1"/>
      <c r="I9998" s="1"/>
      <c r="J9998" s="1"/>
      <c r="K9998" s="1"/>
      <c r="L9998" s="1"/>
      <c r="M9998" s="1"/>
      <c r="N9998" s="1"/>
      <c r="O9998" s="1"/>
      <c r="P9998" s="1"/>
      <c r="Q9998" s="1"/>
      <c r="R9998" s="1"/>
      <c r="S9998" s="1"/>
      <c r="T9998" s="1"/>
      <c r="U9998" s="1"/>
      <c r="V9998" s="1"/>
      <c r="W9998" s="1"/>
      <c r="X9998" s="1"/>
      <c r="Y9998" s="1"/>
      <c r="Z9998" s="1"/>
      <c r="AA9998" s="1"/>
      <c r="AB9998" s="1"/>
    </row>
    <row r="9999" ht="50.25" customHeight="1">
      <c r="A9999" s="12">
        <v>9995.0</v>
      </c>
      <c r="B9999" s="13" t="s">
        <v>9604</v>
      </c>
      <c r="C9999" s="14" t="s">
        <v>10026</v>
      </c>
      <c r="D9999" s="1"/>
      <c r="E9999" s="1"/>
      <c r="F9999" s="1" t="str">
        <f>IFERROR(__xludf.DUMMYFUNCTION("GOOGLETRANSLATE(B9999, ""en"", ""fa"")
"),"موفقیت Etsy")</f>
        <v>موفقیت Etsy</v>
      </c>
      <c r="G9999" s="1" t="str">
        <f>IFERROR(__xludf.DUMMYFUNCTION("GOOGLETRANSLATE(C9999, ""en"", ""fa"")
"),"استراتژی‌هایی برای استفاده از قدرت توصیفات مشتری، مطالعات موردی یا داستان‌های موفقیت برای تبلیغ محصولات Etsy و ایجاد اعتبار چیست؟")</f>
        <v>استراتژی‌هایی برای استفاده از قدرت توصیفات مشتری، مطالعات موردی یا داستان‌های موفقیت برای تبلیغ محصولات Etsy و ایجاد اعتبار چیست؟</v>
      </c>
      <c r="H9999" s="1"/>
      <c r="I9999" s="1"/>
      <c r="J9999" s="1"/>
      <c r="K9999" s="1"/>
      <c r="L9999" s="1"/>
      <c r="M9999" s="1"/>
      <c r="N9999" s="1"/>
      <c r="O9999" s="1"/>
      <c r="P9999" s="1"/>
      <c r="Q9999" s="1"/>
      <c r="R9999" s="1"/>
      <c r="S9999" s="1"/>
      <c r="T9999" s="1"/>
      <c r="U9999" s="1"/>
      <c r="V9999" s="1"/>
      <c r="W9999" s="1"/>
      <c r="X9999" s="1"/>
      <c r="Y9999" s="1"/>
      <c r="Z9999" s="1"/>
      <c r="AA9999" s="1"/>
      <c r="AB9999" s="1"/>
    </row>
    <row r="10000" ht="50.25" customHeight="1">
      <c r="A10000" s="12">
        <v>9996.0</v>
      </c>
      <c r="B10000" s="13" t="s">
        <v>9604</v>
      </c>
      <c r="C10000" s="14" t="s">
        <v>10027</v>
      </c>
      <c r="D10000" s="1"/>
      <c r="E10000" s="1"/>
      <c r="F10000" s="1" t="str">
        <f>IFERROR(__xludf.DUMMYFUNCTION("GOOGLETRANSLATE(B10000, ""en"", ""fa"")
"),"موفقیت Etsy")</f>
        <v>موفقیت Etsy</v>
      </c>
      <c r="G10000" s="1" t="str">
        <f>IFERROR(__xludf.DUMMYFUNCTION("GOOGLETRANSLATE(C10000, ""en"", ""fa"")
"),"تجهیزات و ابزار ضروری مورد نیاز برای ایجاد عکاسی از محصول با کیفیت بالا برای فروشگاه Etsy من چیست؟")</f>
        <v>تجهیزات و ابزار ضروری مورد نیاز برای ایجاد عکاسی از محصول با کیفیت بالا برای فروشگاه Etsy من چیست؟</v>
      </c>
      <c r="H10000" s="1"/>
      <c r="I10000" s="1"/>
      <c r="J10000" s="1"/>
      <c r="K10000" s="1"/>
      <c r="L10000" s="1"/>
      <c r="M10000" s="1"/>
      <c r="N10000" s="1"/>
      <c r="O10000" s="1"/>
      <c r="P10000" s="1"/>
      <c r="Q10000" s="1"/>
      <c r="R10000" s="1"/>
      <c r="S10000" s="1"/>
      <c r="T10000" s="1"/>
      <c r="U10000" s="1"/>
      <c r="V10000" s="1"/>
      <c r="W10000" s="1"/>
      <c r="X10000" s="1"/>
      <c r="Y10000" s="1"/>
      <c r="Z10000" s="1"/>
      <c r="AA10000" s="1"/>
      <c r="AB10000" s="1"/>
    </row>
    <row r="10001" ht="50.25" customHeight="1">
      <c r="A10001" s="12">
        <v>9997.0</v>
      </c>
      <c r="B10001" s="13" t="s">
        <v>9604</v>
      </c>
      <c r="C10001" s="14" t="s">
        <v>10028</v>
      </c>
      <c r="D10001" s="1"/>
      <c r="E10001" s="1"/>
      <c r="F10001" s="1" t="str">
        <f>IFERROR(__xludf.DUMMYFUNCTION("GOOGLETRANSLATE(B10001, ""en"", ""fa"")
"),"موفقیت Etsy")</f>
        <v>موفقیت Etsy</v>
      </c>
      <c r="G10001" s="1" t="str">
        <f>IFERROR(__xludf.DUMMYFUNCTION("GOOGLETRANSLATE(C10001, ""en"", ""fa"")
"),"چگونه می توانم به طور موثر از نور طبیعی برای ثبت تصاویر خیره کننده محصول استفاده کنم که رنگ ها و جزئیات را به طور دقیق نشان می دهد؟")</f>
        <v>چگونه می توانم به طور موثر از نور طبیعی برای ثبت تصاویر خیره کننده محصول استفاده کنم که رنگ ها و جزئیات را به طور دقیق نشان می دهد؟</v>
      </c>
      <c r="H10001" s="1"/>
      <c r="I10001" s="1"/>
      <c r="J10001" s="1"/>
      <c r="K10001" s="1"/>
      <c r="L10001" s="1"/>
      <c r="M10001" s="1"/>
      <c r="N10001" s="1"/>
      <c r="O10001" s="1"/>
      <c r="P10001" s="1"/>
      <c r="Q10001" s="1"/>
      <c r="R10001" s="1"/>
      <c r="S10001" s="1"/>
      <c r="T10001" s="1"/>
      <c r="U10001" s="1"/>
      <c r="V10001" s="1"/>
      <c r="W10001" s="1"/>
      <c r="X10001" s="1"/>
      <c r="Y10001" s="1"/>
      <c r="Z10001" s="1"/>
      <c r="AA10001" s="1"/>
      <c r="AB10001" s="1"/>
    </row>
    <row r="10002" ht="50.25" customHeight="1">
      <c r="A10002" s="12">
        <v>9998.0</v>
      </c>
      <c r="B10002" s="13" t="s">
        <v>9604</v>
      </c>
      <c r="C10002" s="14" t="s">
        <v>10029</v>
      </c>
      <c r="D10002" s="1"/>
      <c r="E10002" s="1"/>
      <c r="F10002" s="1" t="str">
        <f>IFERROR(__xludf.DUMMYFUNCTION("GOOGLETRANSLATE(B10002, ""en"", ""fa"")
"),"موفقیت Etsy")</f>
        <v>موفقیت Etsy</v>
      </c>
      <c r="G10002" s="1" t="str">
        <f>IFERROR(__xludf.DUMMYFUNCTION("GOOGLETRANSLATE(C10002, ""en"", ""fa"")
"),"بهترین شیوه ها برای یک ظاهر طراحی و چیدمان وسایل برای ایجاد ترکیبات بصری جذاب محصول و چیدمان های تخت چیست؟")</f>
        <v>بهترین شیوه ها برای یک ظاهر طراحی و چیدمان وسایل برای ایجاد ترکیبات بصری جذاب محصول و چیدمان های تخت چیست؟</v>
      </c>
      <c r="H10002" s="1"/>
      <c r="I10002" s="1"/>
      <c r="J10002" s="1"/>
      <c r="K10002" s="1"/>
      <c r="L10002" s="1"/>
      <c r="M10002" s="1"/>
      <c r="N10002" s="1"/>
      <c r="O10002" s="1"/>
      <c r="P10002" s="1"/>
      <c r="Q10002" s="1"/>
      <c r="R10002" s="1"/>
      <c r="S10002" s="1"/>
      <c r="T10002" s="1"/>
      <c r="U10002" s="1"/>
      <c r="V10002" s="1"/>
      <c r="W10002" s="1"/>
      <c r="X10002" s="1"/>
      <c r="Y10002" s="1"/>
      <c r="Z10002" s="1"/>
      <c r="AA10002" s="1"/>
      <c r="AB10002" s="1"/>
    </row>
    <row r="10003" ht="50.25" customHeight="1">
      <c r="A10003" s="12">
        <v>9999.0</v>
      </c>
      <c r="B10003" s="13" t="s">
        <v>9604</v>
      </c>
      <c r="C10003" s="14" t="s">
        <v>10030</v>
      </c>
      <c r="D10003" s="1"/>
      <c r="E10003" s="1"/>
      <c r="F10003" s="1" t="str">
        <f>IFERROR(__xludf.DUMMYFUNCTION("GOOGLETRANSLATE(B10003, ""en"", ""fa"")
"),"موفقیت Etsy")</f>
        <v>موفقیت Etsy</v>
      </c>
      <c r="G10003" s="1" t="str">
        <f>IFERROR(__xludf.DUMMYFUNCTION("GOOGLETRANSLATE(C10003, ""en"", ""fa"")
"),"چگونه می توانم زیبایی بصری منسجم و منسجمی را برای عکاسی از محصولات فروشگاه Etsy خود ایجاد کنم تا هویت برند را تقویت کنم؟")</f>
        <v>چگونه می توانم زیبایی بصری منسجم و منسجمی را برای عکاسی از محصولات فروشگاه Etsy خود ایجاد کنم تا هویت برند را تقویت کنم؟</v>
      </c>
      <c r="H10003" s="1"/>
      <c r="I10003" s="1"/>
      <c r="J10003" s="1"/>
      <c r="K10003" s="1"/>
      <c r="L10003" s="1"/>
      <c r="M10003" s="1"/>
      <c r="N10003" s="1"/>
      <c r="O10003" s="1"/>
      <c r="P10003" s="1"/>
      <c r="Q10003" s="1"/>
      <c r="R10003" s="1"/>
      <c r="S10003" s="1"/>
      <c r="T10003" s="1"/>
      <c r="U10003" s="1"/>
      <c r="V10003" s="1"/>
      <c r="W10003" s="1"/>
      <c r="X10003" s="1"/>
      <c r="Y10003" s="1"/>
      <c r="Z10003" s="1"/>
      <c r="AA10003" s="1"/>
      <c r="AB10003" s="1"/>
    </row>
    <row r="10004" ht="50.25" customHeight="1">
      <c r="A10004" s="12">
        <v>10000.0</v>
      </c>
      <c r="B10004" s="13" t="s">
        <v>9604</v>
      </c>
      <c r="C10004" s="14" t="s">
        <v>10031</v>
      </c>
      <c r="D10004" s="1"/>
      <c r="E10004" s="1"/>
      <c r="F10004" s="1" t="str">
        <f>IFERROR(__xludf.DUMMYFUNCTION("GOOGLETRANSLATE(B10004, ""en"", ""fa"")
"),"موفقیت Etsy")</f>
        <v>موفقیت Etsy</v>
      </c>
      <c r="G10004" s="1" t="str">
        <f>IFERROR(__xludf.DUMMYFUNCTION("GOOGLETRANSLATE(C10004, ""en"", ""fa"")
"),"چه راهکارهایی برای گرفتن زوایای مختلف و چشم اندازهای محصولاتم وجود دارد تا دیدی جامع برای خریداران بالقوه ارائه کنم؟")</f>
        <v>چه راهکارهایی برای گرفتن زوایای مختلف و چشم اندازهای محصولاتم وجود دارد تا دیدی جامع برای خریداران بالقوه ارائه کنم؟</v>
      </c>
      <c r="H10004" s="1"/>
      <c r="I10004" s="1"/>
      <c r="J10004" s="1"/>
      <c r="K10004" s="1"/>
      <c r="L10004" s="1"/>
      <c r="M10004" s="1"/>
      <c r="N10004" s="1"/>
      <c r="O10004" s="1"/>
      <c r="P10004" s="1"/>
      <c r="Q10004" s="1"/>
      <c r="R10004" s="1"/>
      <c r="S10004" s="1"/>
      <c r="T10004" s="1"/>
      <c r="U10004" s="1"/>
      <c r="V10004" s="1"/>
      <c r="W10004" s="1"/>
      <c r="X10004" s="1"/>
      <c r="Y10004" s="1"/>
      <c r="Z10004" s="1"/>
      <c r="AA10004" s="1"/>
      <c r="AB10004" s="1"/>
    </row>
    <row r="10005" ht="50.25" customHeight="1">
      <c r="A10005" s="12">
        <v>10001.0</v>
      </c>
      <c r="B10005" s="13" t="s">
        <v>9604</v>
      </c>
      <c r="C10005" s="14" t="s">
        <v>10032</v>
      </c>
      <c r="D10005" s="1"/>
      <c r="E10005" s="1"/>
      <c r="F10005" s="1" t="str">
        <f>IFERROR(__xludf.DUMMYFUNCTION("GOOGLETRANSLATE(B10005, ""en"", ""fa"")
"),"موفقیت Etsy")</f>
        <v>موفقیت Etsy</v>
      </c>
      <c r="G10005" s="1" t="str">
        <f>IFERROR(__xludf.DUMMYFUNCTION("GOOGLETRANSLATE(C10005, ""en"", ""fa"")
"),"چگونه می توانم از یک نرم افزار ویرایش عکس مانند Adobe Photoshop یا Lightroom برای افزایش کیفیت و ظاهر تصاویر محصول خود استفاده کنم؟")</f>
        <v>چگونه می توانم از یک نرم افزار ویرایش عکس مانند Adobe Photoshop یا Lightroom برای افزایش کیفیت و ظاهر تصاویر محصول خود استفاده کنم؟</v>
      </c>
      <c r="H10005" s="1"/>
      <c r="I10005" s="1"/>
      <c r="J10005" s="1"/>
      <c r="K10005" s="1"/>
      <c r="L10005" s="1"/>
      <c r="M10005" s="1"/>
      <c r="N10005" s="1"/>
      <c r="O10005" s="1"/>
      <c r="P10005" s="1"/>
      <c r="Q10005" s="1"/>
      <c r="R10005" s="1"/>
      <c r="S10005" s="1"/>
      <c r="T10005" s="1"/>
      <c r="U10005" s="1"/>
      <c r="V10005" s="1"/>
      <c r="W10005" s="1"/>
      <c r="X10005" s="1"/>
      <c r="Y10005" s="1"/>
      <c r="Z10005" s="1"/>
      <c r="AA10005" s="1"/>
      <c r="AB10005" s="1"/>
    </row>
    <row r="10006" ht="50.25" customHeight="1">
      <c r="A10006" s="12">
        <v>10002.0</v>
      </c>
      <c r="B10006" s="13" t="s">
        <v>9604</v>
      </c>
      <c r="C10006" s="14" t="s">
        <v>10033</v>
      </c>
      <c r="D10006" s="1"/>
      <c r="E10006" s="1"/>
      <c r="F10006" s="1" t="str">
        <f>IFERROR(__xludf.DUMMYFUNCTION("GOOGLETRANSLATE(B10006, ""en"", ""fa"")
"),"موفقیت Etsy")</f>
        <v>موفقیت Etsy</v>
      </c>
      <c r="G10006" s="1" t="str">
        <f>IFERROR(__xludf.DUMMYFUNCTION("GOOGLETRANSLATE(C10006, ""en"", ""fa"")
"),"ملاحظات برای انتخاب پس‌زمینه یا پس‌زمینه مناسب برای عکاسی محصول من برای تکمیل مؤثر محصولات چیست؟")</f>
        <v>ملاحظات برای انتخاب پس‌زمینه یا پس‌زمینه مناسب برای عکاسی محصول من برای تکمیل مؤثر محصولات چیست؟</v>
      </c>
      <c r="H10006" s="1"/>
      <c r="I10006" s="1"/>
      <c r="J10006" s="1"/>
      <c r="K10006" s="1"/>
      <c r="L10006" s="1"/>
      <c r="M10006" s="1"/>
      <c r="N10006" s="1"/>
      <c r="O10006" s="1"/>
      <c r="P10006" s="1"/>
      <c r="Q10006" s="1"/>
      <c r="R10006" s="1"/>
      <c r="S10006" s="1"/>
      <c r="T10006" s="1"/>
      <c r="U10006" s="1"/>
      <c r="V10006" s="1"/>
      <c r="W10006" s="1"/>
      <c r="X10006" s="1"/>
      <c r="Y10006" s="1"/>
      <c r="Z10006" s="1"/>
      <c r="AA10006" s="1"/>
      <c r="AB10006" s="1"/>
    </row>
    <row r="10007" ht="50.25" customHeight="1">
      <c r="A10007" s="12">
        <v>10003.0</v>
      </c>
      <c r="B10007" s="13" t="s">
        <v>9604</v>
      </c>
      <c r="C10007" s="14" t="s">
        <v>10034</v>
      </c>
      <c r="D10007" s="1"/>
      <c r="E10007" s="1"/>
      <c r="F10007" s="1" t="str">
        <f>IFERROR(__xludf.DUMMYFUNCTION("GOOGLETRANSLATE(B10007, ""en"", ""fa"")
"),"موفقیت Etsy")</f>
        <v>موفقیت Etsy</v>
      </c>
      <c r="G10007" s="1" t="str">
        <f>IFERROR(__xludf.DUMMYFUNCTION("GOOGLETRANSLATE(C10007, ""en"", ""fa"")
"),"چگونه می توانم مقیاس و ابعاد محصولات خود را از طریق استفاده از لوازم جانبی یا با گنجاندن اشیاء رایج برای مرجع به نمایش بگذارم؟")</f>
        <v>چگونه می توانم مقیاس و ابعاد محصولات خود را از طریق استفاده از لوازم جانبی یا با گنجاندن اشیاء رایج برای مرجع به نمایش بگذارم؟</v>
      </c>
      <c r="H10007" s="1"/>
      <c r="I10007" s="1"/>
      <c r="J10007" s="1"/>
      <c r="K10007" s="1"/>
      <c r="L10007" s="1"/>
      <c r="M10007" s="1"/>
      <c r="N10007" s="1"/>
      <c r="O10007" s="1"/>
      <c r="P10007" s="1"/>
      <c r="Q10007" s="1"/>
      <c r="R10007" s="1"/>
      <c r="S10007" s="1"/>
      <c r="T10007" s="1"/>
      <c r="U10007" s="1"/>
      <c r="V10007" s="1"/>
      <c r="W10007" s="1"/>
      <c r="X10007" s="1"/>
      <c r="Y10007" s="1"/>
      <c r="Z10007" s="1"/>
      <c r="AA10007" s="1"/>
      <c r="AB10007" s="1"/>
    </row>
    <row r="10008" ht="50.25" customHeight="1">
      <c r="A10008" s="12">
        <v>10004.0</v>
      </c>
      <c r="B10008" s="13" t="s">
        <v>9604</v>
      </c>
      <c r="C10008" s="14" t="s">
        <v>10035</v>
      </c>
      <c r="D10008" s="1"/>
      <c r="E10008" s="1"/>
      <c r="F10008" s="1" t="str">
        <f>IFERROR(__xludf.DUMMYFUNCTION("GOOGLETRANSLATE(B10008, ""en"", ""fa"")
"),"موفقیت Etsy")</f>
        <v>موفقیت Etsy</v>
      </c>
      <c r="G10008" s="1" t="str">
        <f>IFERROR(__xludf.DUMMYFUNCTION("GOOGLETRANSLATE(C10008, ""en"", ""fa"")
"),"بهترین روش ها برای گرفتن عکس هایی از سبک زندگی یا در حال استفاده که عملی بودن و کارایی محصولات من را نشان می دهد چیست؟")</f>
        <v>بهترین روش ها برای گرفتن عکس هایی از سبک زندگی یا در حال استفاده که عملی بودن و کارایی محصولات من را نشان می دهد چیست؟</v>
      </c>
      <c r="H10008" s="1"/>
      <c r="I10008" s="1"/>
      <c r="J10008" s="1"/>
      <c r="K10008" s="1"/>
      <c r="L10008" s="1"/>
      <c r="M10008" s="1"/>
      <c r="N10008" s="1"/>
      <c r="O10008" s="1"/>
      <c r="P10008" s="1"/>
      <c r="Q10008" s="1"/>
      <c r="R10008" s="1"/>
      <c r="S10008" s="1"/>
      <c r="T10008" s="1"/>
      <c r="U10008" s="1"/>
      <c r="V10008" s="1"/>
      <c r="W10008" s="1"/>
      <c r="X10008" s="1"/>
      <c r="Y10008" s="1"/>
      <c r="Z10008" s="1"/>
      <c r="AA10008" s="1"/>
      <c r="AB10008" s="1"/>
    </row>
    <row r="10009" ht="50.25" customHeight="1">
      <c r="A10009" s="12">
        <v>10005.0</v>
      </c>
      <c r="B10009" s="13" t="s">
        <v>9604</v>
      </c>
      <c r="C10009" s="14" t="s">
        <v>10036</v>
      </c>
      <c r="D10009" s="1"/>
      <c r="E10009" s="1"/>
      <c r="F10009" s="1" t="str">
        <f>IFERROR(__xludf.DUMMYFUNCTION("GOOGLETRANSLATE(B10009, ""en"", ""fa"")
"),"موفقیت Etsy")</f>
        <v>موفقیت Etsy</v>
      </c>
      <c r="G10009" s="1" t="str">
        <f>IFERROR(__xludf.DUMMYFUNCTION("GOOGLETRANSLATE(C10009, ""en"", ""fa"")
"),"چگونه می‌توانم کلاژهای جذاب بصری یا فهرست‌های چند تصویری ایجاد کنم تا تغییرات یا ترکیبات مختلف محصول را به نمایش بگذارم؟")</f>
        <v>چگونه می‌توانم کلاژهای جذاب بصری یا فهرست‌های چند تصویری ایجاد کنم تا تغییرات یا ترکیبات مختلف محصول را به نمایش بگذارم؟</v>
      </c>
      <c r="H10009" s="1"/>
      <c r="I10009" s="1"/>
      <c r="J10009" s="1"/>
      <c r="K10009" s="1"/>
      <c r="L10009" s="1"/>
      <c r="M10009" s="1"/>
      <c r="N10009" s="1"/>
      <c r="O10009" s="1"/>
      <c r="P10009" s="1"/>
      <c r="Q10009" s="1"/>
      <c r="R10009" s="1"/>
      <c r="S10009" s="1"/>
      <c r="T10009" s="1"/>
      <c r="U10009" s="1"/>
      <c r="V10009" s="1"/>
      <c r="W10009" s="1"/>
      <c r="X10009" s="1"/>
      <c r="Y10009" s="1"/>
      <c r="Z10009" s="1"/>
      <c r="AA10009" s="1"/>
      <c r="AB10009" s="1"/>
    </row>
    <row r="10010" ht="50.25" customHeight="1">
      <c r="A10010" s="12">
        <v>10006.0</v>
      </c>
      <c r="B10010" s="13" t="s">
        <v>9604</v>
      </c>
      <c r="C10010" s="14" t="s">
        <v>10037</v>
      </c>
      <c r="D10010" s="1"/>
      <c r="E10010" s="1"/>
      <c r="F10010" s="1" t="str">
        <f>IFERROR(__xludf.DUMMYFUNCTION("GOOGLETRANSLATE(B10010, ""en"", ""fa"")
"),"موفقیت Etsy")</f>
        <v>موفقیت Etsy</v>
      </c>
      <c r="G10010" s="1" t="str">
        <f>IFERROR(__xludf.DUMMYFUNCTION("GOOGLETRANSLATE(C10010, ""en"", ""fa"")
"),"راهکارهایی برای گرفتن عکس های نزدیک که جزئیات پیچیده و مهارت محصولات من را برجسته می کند چیست؟")</f>
        <v>راهکارهایی برای گرفتن عکس های نزدیک که جزئیات پیچیده و مهارت محصولات من را برجسته می کند چیست؟</v>
      </c>
      <c r="H10010" s="1"/>
      <c r="I10010" s="1"/>
      <c r="J10010" s="1"/>
      <c r="K10010" s="1"/>
      <c r="L10010" s="1"/>
      <c r="M10010" s="1"/>
      <c r="N10010" s="1"/>
      <c r="O10010" s="1"/>
      <c r="P10010" s="1"/>
      <c r="Q10010" s="1"/>
      <c r="R10010" s="1"/>
      <c r="S10010" s="1"/>
      <c r="T10010" s="1"/>
      <c r="U10010" s="1"/>
      <c r="V10010" s="1"/>
      <c r="W10010" s="1"/>
      <c r="X10010" s="1"/>
      <c r="Y10010" s="1"/>
      <c r="Z10010" s="1"/>
      <c r="AA10010" s="1"/>
      <c r="AB10010" s="1"/>
    </row>
    <row r="10011" ht="50.25" customHeight="1">
      <c r="A10011" s="12">
        <v>10007.0</v>
      </c>
      <c r="B10011" s="13" t="s">
        <v>9604</v>
      </c>
      <c r="C10011" s="14" t="s">
        <v>10038</v>
      </c>
      <c r="D10011" s="1"/>
      <c r="E10011" s="1"/>
      <c r="F10011" s="1" t="str">
        <f>IFERROR(__xludf.DUMMYFUNCTION("GOOGLETRANSLATE(B10011, ""en"", ""fa"")
"),"موفقیت Etsy")</f>
        <v>موفقیت Etsy</v>
      </c>
      <c r="G10011" s="1" t="str">
        <f>IFERROR(__xludf.DUMMYFUNCTION("GOOGLETRANSLATE(C10011, ""en"", ""fa"")
"),"چگونه می توانم به طور موثر از انواع مختلف نورپردازی، مانند پراکنده یا نورافکن، برای ایجاد حال و هوای دلخواه برای تصاویر محصولم استفاده کنم؟")</f>
        <v>چگونه می توانم به طور موثر از انواع مختلف نورپردازی، مانند پراکنده یا نورافکن، برای ایجاد حال و هوای دلخواه برای تصاویر محصولم استفاده کنم؟</v>
      </c>
      <c r="H10011" s="1"/>
      <c r="I10011" s="1"/>
      <c r="J10011" s="1"/>
      <c r="K10011" s="1"/>
      <c r="L10011" s="1"/>
      <c r="M10011" s="1"/>
      <c r="N10011" s="1"/>
      <c r="O10011" s="1"/>
      <c r="P10011" s="1"/>
      <c r="Q10011" s="1"/>
      <c r="R10011" s="1"/>
      <c r="S10011" s="1"/>
      <c r="T10011" s="1"/>
      <c r="U10011" s="1"/>
      <c r="V10011" s="1"/>
      <c r="W10011" s="1"/>
      <c r="X10011" s="1"/>
      <c r="Y10011" s="1"/>
      <c r="Z10011" s="1"/>
      <c r="AA10011" s="1"/>
      <c r="AB10011" s="1"/>
    </row>
    <row r="10012" ht="50.25" customHeight="1">
      <c r="A10012" s="12">
        <v>10008.0</v>
      </c>
      <c r="B10012" s="13" t="s">
        <v>9604</v>
      </c>
      <c r="C10012" s="14" t="s">
        <v>10039</v>
      </c>
      <c r="D10012" s="1"/>
      <c r="E10012" s="1"/>
      <c r="F10012" s="1" t="str">
        <f>IFERROR(__xludf.DUMMYFUNCTION("GOOGLETRANSLATE(B10012, ""en"", ""fa"")
"),"موفقیت Etsy")</f>
        <v>موفقیت Etsy</v>
      </c>
      <c r="G10012" s="1" t="str">
        <f>IFERROR(__xludf.DUMMYFUNCTION("GOOGLETRANSLATE(C10012, ""en"", ""fa"")
"),"برای جلوگیری از انعکاس و تابش خیره کننده ناخواسته، چه ملاحظاتی برای عکاسی از سطوح بازتابنده یا براق، مانند جواهرات یا ظروف شیشه ای وجود دارد؟")</f>
        <v>برای جلوگیری از انعکاس و تابش خیره کننده ناخواسته، چه ملاحظاتی برای عکاسی از سطوح بازتابنده یا براق، مانند جواهرات یا ظروف شیشه ای وجود دارد؟</v>
      </c>
      <c r="H10012" s="1"/>
      <c r="I10012" s="1"/>
      <c r="J10012" s="1"/>
      <c r="K10012" s="1"/>
      <c r="L10012" s="1"/>
      <c r="M10012" s="1"/>
      <c r="N10012" s="1"/>
      <c r="O10012" s="1"/>
      <c r="P10012" s="1"/>
      <c r="Q10012" s="1"/>
      <c r="R10012" s="1"/>
      <c r="S10012" s="1"/>
      <c r="T10012" s="1"/>
      <c r="U10012" s="1"/>
      <c r="V10012" s="1"/>
      <c r="W10012" s="1"/>
      <c r="X10012" s="1"/>
      <c r="Y10012" s="1"/>
      <c r="Z10012" s="1"/>
      <c r="AA10012" s="1"/>
      <c r="AB10012" s="1"/>
    </row>
    <row r="10013" ht="50.25" customHeight="1">
      <c r="A10013" s="12">
        <v>10009.0</v>
      </c>
      <c r="B10013" s="13" t="s">
        <v>9604</v>
      </c>
      <c r="C10013" s="14" t="s">
        <v>10040</v>
      </c>
      <c r="D10013" s="1"/>
      <c r="E10013" s="1"/>
      <c r="F10013" s="1" t="str">
        <f>IFERROR(__xludf.DUMMYFUNCTION("GOOGLETRANSLATE(B10013, ""en"", ""fa"")
"),"موفقیت Etsy")</f>
        <v>موفقیت Etsy</v>
      </c>
      <c r="G10013" s="1" t="str">
        <f>IFERROR(__xludf.DUMMYFUNCTION("GOOGLETRANSLATE(C10013, ""en"", ""fa"")
"),"چگونه می توانم تصاویر محصول خود را برای نمای بندانگشتی Etsy بهینه کنم تا اطمینان حاصل کنم که از نظر بصری جذاب و جلب توجه هستند؟")</f>
        <v>چگونه می توانم تصاویر محصول خود را برای نمای بندانگشتی Etsy بهینه کنم تا اطمینان حاصل کنم که از نظر بصری جذاب و جلب توجه هستند؟</v>
      </c>
      <c r="H10013" s="1"/>
      <c r="I10013" s="1"/>
      <c r="J10013" s="1"/>
      <c r="K10013" s="1"/>
      <c r="L10013" s="1"/>
      <c r="M10013" s="1"/>
      <c r="N10013" s="1"/>
      <c r="O10013" s="1"/>
      <c r="P10013" s="1"/>
      <c r="Q10013" s="1"/>
      <c r="R10013" s="1"/>
      <c r="S10013" s="1"/>
      <c r="T10013" s="1"/>
      <c r="U10013" s="1"/>
      <c r="V10013" s="1"/>
      <c r="W10013" s="1"/>
      <c r="X10013" s="1"/>
      <c r="Y10013" s="1"/>
      <c r="Z10013" s="1"/>
      <c r="AA10013" s="1"/>
      <c r="AB10013" s="1"/>
    </row>
    <row r="10014" ht="50.25" customHeight="1">
      <c r="A10014" s="12">
        <v>10010.0</v>
      </c>
      <c r="B10014" s="13" t="s">
        <v>9604</v>
      </c>
      <c r="C10014" s="14" t="s">
        <v>10041</v>
      </c>
      <c r="D10014" s="1"/>
      <c r="E10014" s="1"/>
      <c r="F10014" s="1" t="str">
        <f>IFERROR(__xludf.DUMMYFUNCTION("GOOGLETRANSLATE(B10014, ""en"", ""fa"")
"),"موفقیت Etsy")</f>
        <v>موفقیت Etsy</v>
      </c>
      <c r="G10014" s="1" t="str">
        <f>IFERROR(__xludf.DUMMYFUNCTION("GOOGLETRANSLATE(C10014, ""en"", ""fa"")
"),"بهترین روش ها برای عکاسی از محصولات با بافت ها یا متریال های مختلف برای ثبت دقیق کیفیت های منحصر به فرد آنها چیست؟")</f>
        <v>بهترین روش ها برای عکاسی از محصولات با بافت ها یا متریال های مختلف برای ثبت دقیق کیفیت های منحصر به فرد آنها چیست؟</v>
      </c>
      <c r="H10014" s="1"/>
      <c r="I10014" s="1"/>
      <c r="J10014" s="1"/>
      <c r="K10014" s="1"/>
      <c r="L10014" s="1"/>
      <c r="M10014" s="1"/>
      <c r="N10014" s="1"/>
      <c r="O10014" s="1"/>
      <c r="P10014" s="1"/>
      <c r="Q10014" s="1"/>
      <c r="R10014" s="1"/>
      <c r="S10014" s="1"/>
      <c r="T10014" s="1"/>
      <c r="U10014" s="1"/>
      <c r="V10014" s="1"/>
      <c r="W10014" s="1"/>
      <c r="X10014" s="1"/>
      <c r="Y10014" s="1"/>
      <c r="Z10014" s="1"/>
      <c r="AA10014" s="1"/>
      <c r="AB10014" s="1"/>
    </row>
    <row r="10015" ht="50.25" customHeight="1">
      <c r="A10015" s="12">
        <v>10011.0</v>
      </c>
      <c r="B10015" s="13" t="s">
        <v>9604</v>
      </c>
      <c r="C10015" s="14" t="s">
        <v>10042</v>
      </c>
      <c r="D10015" s="1"/>
      <c r="E10015" s="1"/>
      <c r="F10015" s="1" t="str">
        <f>IFERROR(__xludf.DUMMYFUNCTION("GOOGLETRANSLATE(B10015, ""en"", ""fa"")
"),"موفقیت Etsy")</f>
        <v>موفقیت Etsy</v>
      </c>
      <c r="G10015" s="1" t="str">
        <f>IFERROR(__xludf.DUMMYFUNCTION("GOOGLETRANSLATE(C10015, ""en"", ""fa"")
"),"چگونه می توانم تصاویر بسته بندی محصول از نظر بصری جذاب ایجاد کنم تا تجربه جعبه گشایی را به نمایش بگذارم و به محصولاتم ارزش بیافزاییم؟")</f>
        <v>چگونه می توانم تصاویر بسته بندی محصول از نظر بصری جذاب ایجاد کنم تا تجربه جعبه گشایی را به نمایش بگذارم و به محصولاتم ارزش بیافزاییم؟</v>
      </c>
      <c r="H10015" s="1"/>
      <c r="I10015" s="1"/>
      <c r="J10015" s="1"/>
      <c r="K10015" s="1"/>
      <c r="L10015" s="1"/>
      <c r="M10015" s="1"/>
      <c r="N10015" s="1"/>
      <c r="O10015" s="1"/>
      <c r="P10015" s="1"/>
      <c r="Q10015" s="1"/>
      <c r="R10015" s="1"/>
      <c r="S10015" s="1"/>
      <c r="T10015" s="1"/>
      <c r="U10015" s="1"/>
      <c r="V10015" s="1"/>
      <c r="W10015" s="1"/>
      <c r="X10015" s="1"/>
      <c r="Y10015" s="1"/>
      <c r="Z10015" s="1"/>
      <c r="AA10015" s="1"/>
      <c r="AB10015" s="1"/>
    </row>
    <row r="10016" ht="50.25" customHeight="1">
      <c r="A10016" s="12">
        <v>10012.0</v>
      </c>
      <c r="B10016" s="13" t="s">
        <v>9604</v>
      </c>
      <c r="C10016" s="14" t="s">
        <v>10043</v>
      </c>
      <c r="D10016" s="1"/>
      <c r="E10016" s="1"/>
      <c r="F10016" s="1" t="str">
        <f>IFERROR(__xludf.DUMMYFUNCTION("GOOGLETRANSLATE(B10016, ""en"", ""fa"")
"),"موفقیت Etsy")</f>
        <v>موفقیت Etsy</v>
      </c>
      <c r="G10016" s="1" t="str">
        <f>IFERROR(__xludf.DUMMYFUNCTION("GOOGLETRANSLATE(C10016, ""en"", ""fa"")
"),"چه راهکارهایی برای ترکیب عناصر یا زمینه سبک زندگی در عکاسی محصولم برای برانگیختن احساسات و ایجاد داستانی پیرامون محصولاتم وجود دارد؟")</f>
        <v>چه راهکارهایی برای ترکیب عناصر یا زمینه سبک زندگی در عکاسی محصولم برای برانگیختن احساسات و ایجاد داستانی پیرامون محصولاتم وجود دارد؟</v>
      </c>
      <c r="H10016" s="1"/>
      <c r="I10016" s="1"/>
      <c r="J10016" s="1"/>
      <c r="K10016" s="1"/>
      <c r="L10016" s="1"/>
      <c r="M10016" s="1"/>
      <c r="N10016" s="1"/>
      <c r="O10016" s="1"/>
      <c r="P10016" s="1"/>
      <c r="Q10016" s="1"/>
      <c r="R10016" s="1"/>
      <c r="S10016" s="1"/>
      <c r="T10016" s="1"/>
      <c r="U10016" s="1"/>
      <c r="V10016" s="1"/>
      <c r="W10016" s="1"/>
      <c r="X10016" s="1"/>
      <c r="Y10016" s="1"/>
      <c r="Z10016" s="1"/>
      <c r="AA10016" s="1"/>
      <c r="AB10016" s="1"/>
    </row>
    <row r="10017" ht="50.25" customHeight="1">
      <c r="A10017" s="12">
        <v>10013.0</v>
      </c>
      <c r="B10017" s="13" t="s">
        <v>9604</v>
      </c>
      <c r="C10017" s="14" t="s">
        <v>10044</v>
      </c>
      <c r="D10017" s="1"/>
      <c r="E10017" s="1"/>
      <c r="F10017" s="1" t="str">
        <f>IFERROR(__xludf.DUMMYFUNCTION("GOOGLETRANSLATE(B10017, ""en"", ""fa"")
"),"موفقیت Etsy")</f>
        <v>موفقیت Etsy</v>
      </c>
      <c r="G10017" s="1" t="str">
        <f>IFERROR(__xludf.DUMMYFUNCTION("GOOGLETRANSLATE(C10017, ""en"", ""fa"")
"),"چگونه می توانم به طور موثر از روانشناسی رنگ در عکاسی محصول خود برای انتقال احساسات یا تداعی های مورد نظر مرتبط با برند و محصولاتم استفاده کنم؟")</f>
        <v>چگونه می توانم به طور موثر از روانشناسی رنگ در عکاسی محصول خود برای انتقال احساسات یا تداعی های مورد نظر مرتبط با برند و محصولاتم استفاده کنم؟</v>
      </c>
      <c r="H10017" s="1"/>
      <c r="I10017" s="1"/>
      <c r="J10017" s="1"/>
      <c r="K10017" s="1"/>
      <c r="L10017" s="1"/>
      <c r="M10017" s="1"/>
      <c r="N10017" s="1"/>
      <c r="O10017" s="1"/>
      <c r="P10017" s="1"/>
      <c r="Q10017" s="1"/>
      <c r="R10017" s="1"/>
      <c r="S10017" s="1"/>
      <c r="T10017" s="1"/>
      <c r="U10017" s="1"/>
      <c r="V10017" s="1"/>
      <c r="W10017" s="1"/>
      <c r="X10017" s="1"/>
      <c r="Y10017" s="1"/>
      <c r="Z10017" s="1"/>
      <c r="AA10017" s="1"/>
      <c r="AB10017" s="1"/>
    </row>
    <row r="10018" ht="50.25" customHeight="1">
      <c r="A10018" s="12">
        <v>10014.0</v>
      </c>
      <c r="B10018" s="13" t="s">
        <v>9604</v>
      </c>
      <c r="C10018" s="14" t="s">
        <v>10045</v>
      </c>
      <c r="D10018" s="1"/>
      <c r="E10018" s="1"/>
      <c r="F10018" s="1" t="str">
        <f>IFERROR(__xludf.DUMMYFUNCTION("GOOGLETRANSLATE(B10018, ""en"", ""fa"")
"),"موفقیت Etsy")</f>
        <v>موفقیت Etsy</v>
      </c>
      <c r="G10018" s="1" t="str">
        <f>IFERROR(__xludf.DUMMYFUNCTION("GOOGLETRANSLATE(C10018, ""en"", ""fa"")
"),"برای عکاسی از محصولات با عناصر شفاف یا شفاف چه نکاتی را باید در نظر گرفت تا زیبایی و ویژگی های منحصر به فرد آنها را به تصویر بکشد؟")</f>
        <v>برای عکاسی از محصولات با عناصر شفاف یا شفاف چه نکاتی را باید در نظر گرفت تا زیبایی و ویژگی های منحصر به فرد آنها را به تصویر بکشد؟</v>
      </c>
      <c r="H10018" s="1"/>
      <c r="I10018" s="1"/>
      <c r="J10018" s="1"/>
      <c r="K10018" s="1"/>
      <c r="L10018" s="1"/>
      <c r="M10018" s="1"/>
      <c r="N10018" s="1"/>
      <c r="O10018" s="1"/>
      <c r="P10018" s="1"/>
      <c r="Q10018" s="1"/>
      <c r="R10018" s="1"/>
      <c r="S10018" s="1"/>
      <c r="T10018" s="1"/>
      <c r="U10018" s="1"/>
      <c r="V10018" s="1"/>
      <c r="W10018" s="1"/>
      <c r="X10018" s="1"/>
      <c r="Y10018" s="1"/>
      <c r="Z10018" s="1"/>
      <c r="AA10018" s="1"/>
      <c r="AB10018" s="1"/>
    </row>
    <row r="10019" ht="50.25" customHeight="1">
      <c r="A10019" s="12">
        <v>10015.0</v>
      </c>
      <c r="B10019" s="13" t="s">
        <v>9604</v>
      </c>
      <c r="C10019" s="14" t="s">
        <v>10046</v>
      </c>
      <c r="D10019" s="1"/>
      <c r="E10019" s="1"/>
      <c r="F10019" s="1" t="str">
        <f>IFERROR(__xludf.DUMMYFUNCTION("GOOGLETRANSLATE(B10019, ""en"", ""fa"")
"),"موفقیت Etsy")</f>
        <v>موفقیت Etsy</v>
      </c>
      <c r="G10019" s="1" t="str">
        <f>IFERROR(__xludf.DUMMYFUNCTION("GOOGLETRANSLATE(C10019, ""en"", ""fa"")
"),"چگونه می توانم کلاژ محصول یا عکس های گروهی از نظر بصری سازگار و جذاب برای نمایش مجموعه ها یا مجموعه های محصول ایجاد کنم؟")</f>
        <v>چگونه می توانم کلاژ محصول یا عکس های گروهی از نظر بصری سازگار و جذاب برای نمایش مجموعه ها یا مجموعه های محصول ایجاد کنم؟</v>
      </c>
      <c r="H10019" s="1"/>
      <c r="I10019" s="1"/>
      <c r="J10019" s="1"/>
      <c r="K10019" s="1"/>
      <c r="L10019" s="1"/>
      <c r="M10019" s="1"/>
      <c r="N10019" s="1"/>
      <c r="O10019" s="1"/>
      <c r="P10019" s="1"/>
      <c r="Q10019" s="1"/>
      <c r="R10019" s="1"/>
      <c r="S10019" s="1"/>
      <c r="T10019" s="1"/>
      <c r="U10019" s="1"/>
      <c r="V10019" s="1"/>
      <c r="W10019" s="1"/>
      <c r="X10019" s="1"/>
      <c r="Y10019" s="1"/>
      <c r="Z10019" s="1"/>
      <c r="AA10019" s="1"/>
      <c r="AB10019" s="1"/>
    </row>
    <row r="10020" ht="50.25" customHeight="1">
      <c r="A10020" s="12">
        <v>10016.0</v>
      </c>
      <c r="B10020" s="13" t="s">
        <v>9604</v>
      </c>
      <c r="C10020" s="14" t="s">
        <v>10047</v>
      </c>
      <c r="D10020" s="1"/>
      <c r="E10020" s="1"/>
      <c r="F10020" s="1" t="str">
        <f>IFERROR(__xludf.DUMMYFUNCTION("GOOGLETRANSLATE(B10020, ""en"", ""fa"")
"),"موفقیت Etsy")</f>
        <v>موفقیت Etsy</v>
      </c>
      <c r="G10020" s="1" t="str">
        <f>IFERROR(__xludf.DUMMYFUNCTION("GOOGLETRANSLATE(C10020, ""en"", ""fa"")
"),"بهترین روش‌ها برای گرفتن عکس‌های اکشن یا حرکتی برای نمایش محصولات پویا، مانند لباس یا لوازم جانبی چیست؟")</f>
        <v>بهترین روش‌ها برای گرفتن عکس‌های اکشن یا حرکتی برای نمایش محصولات پویا، مانند لباس یا لوازم جانبی چیست؟</v>
      </c>
      <c r="H10020" s="1"/>
      <c r="I10020" s="1"/>
      <c r="J10020" s="1"/>
      <c r="K10020" s="1"/>
      <c r="L10020" s="1"/>
      <c r="M10020" s="1"/>
      <c r="N10020" s="1"/>
      <c r="O10020" s="1"/>
      <c r="P10020" s="1"/>
      <c r="Q10020" s="1"/>
      <c r="R10020" s="1"/>
      <c r="S10020" s="1"/>
      <c r="T10020" s="1"/>
      <c r="U10020" s="1"/>
      <c r="V10020" s="1"/>
      <c r="W10020" s="1"/>
      <c r="X10020" s="1"/>
      <c r="Y10020" s="1"/>
      <c r="Z10020" s="1"/>
      <c r="AA10020" s="1"/>
      <c r="AB10020" s="1"/>
    </row>
    <row r="10021" ht="50.25" customHeight="1">
      <c r="A10021" s="12">
        <v>10017.0</v>
      </c>
      <c r="B10021" s="13" t="s">
        <v>9604</v>
      </c>
      <c r="C10021" s="14" t="s">
        <v>10048</v>
      </c>
      <c r="D10021" s="1"/>
      <c r="E10021" s="1"/>
      <c r="F10021" s="1" t="str">
        <f>IFERROR(__xludf.DUMMYFUNCTION("GOOGLETRANSLATE(B10021, ""en"", ""fa"")
"),"موفقیت Etsy")</f>
        <v>موفقیت Etsy</v>
      </c>
      <c r="G10021" s="1" t="str">
        <f>IFERROR(__xludf.DUMMYFUNCTION("GOOGLETRANSLATE(C10021, ""en"", ""fa"")
"),"چگونه می توانم تصاویر محصول خود را برای دستگاه های تلفن همراه بهینه کنم تا مطمئن شوم از نظر بصری جذاب و کاربرپسند برای خریداران تلفن همراه در Etsy هستند؟")</f>
        <v>چگونه می توانم تصاویر محصول خود را برای دستگاه های تلفن همراه بهینه کنم تا مطمئن شوم از نظر بصری جذاب و کاربرپسند برای خریداران تلفن همراه در Etsy هستند؟</v>
      </c>
      <c r="H10021" s="1"/>
      <c r="I10021" s="1"/>
      <c r="J10021" s="1"/>
      <c r="K10021" s="1"/>
      <c r="L10021" s="1"/>
      <c r="M10021" s="1"/>
      <c r="N10021" s="1"/>
      <c r="O10021" s="1"/>
      <c r="P10021" s="1"/>
      <c r="Q10021" s="1"/>
      <c r="R10021" s="1"/>
      <c r="S10021" s="1"/>
      <c r="T10021" s="1"/>
      <c r="U10021" s="1"/>
      <c r="V10021" s="1"/>
      <c r="W10021" s="1"/>
      <c r="X10021" s="1"/>
      <c r="Y10021" s="1"/>
      <c r="Z10021" s="1"/>
      <c r="AA10021" s="1"/>
      <c r="AB10021" s="1"/>
    </row>
    <row r="10022" ht="50.25" customHeight="1">
      <c r="A10022" s="12">
        <v>10018.0</v>
      </c>
      <c r="B10022" s="13" t="s">
        <v>9604</v>
      </c>
      <c r="C10022" s="14" t="s">
        <v>10049</v>
      </c>
      <c r="D10022" s="1"/>
      <c r="E10022" s="1"/>
      <c r="F10022" s="1" t="str">
        <f>IFERROR(__xludf.DUMMYFUNCTION("GOOGLETRANSLATE(B10022, ""en"", ""fa"")
"),"موفقیت Etsy")</f>
        <v>موفقیت Etsy</v>
      </c>
      <c r="G10022" s="1" t="str">
        <f>IFERROR(__xludf.DUMMYFUNCTION("GOOGLETRANSLATE(C10022, ""en"", ""fa"")
"),"استراتژی‌های ایجاد مدل‌های محصول بصری چشمگیر یا نمایش دیجیتالی محصولات فیزیکی من برای نمایش مجازی در Etsy چیست؟")</f>
        <v>استراتژی‌های ایجاد مدل‌های محصول بصری چشمگیر یا نمایش دیجیتالی محصولات فیزیکی من برای نمایش مجازی در Etsy چیست؟</v>
      </c>
      <c r="H10022" s="1"/>
      <c r="I10022" s="1"/>
      <c r="J10022" s="1"/>
      <c r="K10022" s="1"/>
      <c r="L10022" s="1"/>
      <c r="M10022" s="1"/>
      <c r="N10022" s="1"/>
      <c r="O10022" s="1"/>
      <c r="P10022" s="1"/>
      <c r="Q10022" s="1"/>
      <c r="R10022" s="1"/>
      <c r="S10022" s="1"/>
      <c r="T10022" s="1"/>
      <c r="U10022" s="1"/>
      <c r="V10022" s="1"/>
      <c r="W10022" s="1"/>
      <c r="X10022" s="1"/>
      <c r="Y10022" s="1"/>
      <c r="Z10022" s="1"/>
      <c r="AA10022" s="1"/>
      <c r="AB10022" s="1"/>
    </row>
    <row r="10023" ht="50.25" customHeight="1">
      <c r="A10023" s="12">
        <v>10019.0</v>
      </c>
      <c r="B10023" s="13" t="s">
        <v>9604</v>
      </c>
      <c r="C10023" s="14" t="s">
        <v>10050</v>
      </c>
      <c r="D10023" s="1"/>
      <c r="E10023" s="1"/>
      <c r="F10023" s="1" t="str">
        <f>IFERROR(__xludf.DUMMYFUNCTION("GOOGLETRANSLATE(B10023, ""en"", ""fa"")
"),"موفقیت Etsy")</f>
        <v>موفقیت Etsy</v>
      </c>
      <c r="G10023" s="1" t="str">
        <f>IFERROR(__xludf.DUMMYFUNCTION("GOOGLETRANSLATE(C10023, ""en"", ""fa"")
"),"چگونه می توانم به طور موثر از وسایل یا عناصر سبک زندگی در عکاسی محصول خود استفاده کنم تا حسی از مقیاس، زمینه یا محیط دلخواه ایجاد کنم؟")</f>
        <v>چگونه می توانم به طور موثر از وسایل یا عناصر سبک زندگی در عکاسی محصول خود استفاده کنم تا حسی از مقیاس، زمینه یا محیط دلخواه ایجاد کنم؟</v>
      </c>
      <c r="H10023" s="1"/>
      <c r="I10023" s="1"/>
      <c r="J10023" s="1"/>
      <c r="K10023" s="1"/>
      <c r="L10023" s="1"/>
      <c r="M10023" s="1"/>
      <c r="N10023" s="1"/>
      <c r="O10023" s="1"/>
      <c r="P10023" s="1"/>
      <c r="Q10023" s="1"/>
      <c r="R10023" s="1"/>
      <c r="S10023" s="1"/>
      <c r="T10023" s="1"/>
      <c r="U10023" s="1"/>
      <c r="V10023" s="1"/>
      <c r="W10023" s="1"/>
      <c r="X10023" s="1"/>
      <c r="Y10023" s="1"/>
      <c r="Z10023" s="1"/>
      <c r="AA10023" s="1"/>
      <c r="AB10023" s="1"/>
    </row>
    <row r="10024" ht="50.25" customHeight="1">
      <c r="A10024" s="12">
        <v>10020.0</v>
      </c>
      <c r="B10024" s="13" t="s">
        <v>9604</v>
      </c>
      <c r="C10024" s="14" t="s">
        <v>10051</v>
      </c>
      <c r="D10024" s="1"/>
      <c r="E10024" s="1"/>
      <c r="F10024" s="1" t="str">
        <f>IFERROR(__xludf.DUMMYFUNCTION("GOOGLETRANSLATE(B10024, ""en"", ""fa"")
"),"موفقیت Etsy")</f>
        <v>موفقیت Etsy</v>
      </c>
      <c r="G10024" s="1" t="str">
        <f>IFERROR(__xludf.DUMMYFUNCTION("GOOGLETRANSLATE(C10024, ""en"", ""fa"")
"),"برای عکاسی از محصولات با جزئیات ظریف یا پیچیده چه ملاحظاتی وجود دارد تا اطمینان حاصل شود که آنها به طور دقیق و جذاب ثبت می شوند؟")</f>
        <v>برای عکاسی از محصولات با جزئیات ظریف یا پیچیده چه ملاحظاتی وجود دارد تا اطمینان حاصل شود که آنها به طور دقیق و جذاب ثبت می شوند؟</v>
      </c>
      <c r="H10024" s="1"/>
      <c r="I10024" s="1"/>
      <c r="J10024" s="1"/>
      <c r="K10024" s="1"/>
      <c r="L10024" s="1"/>
      <c r="M10024" s="1"/>
      <c r="N10024" s="1"/>
      <c r="O10024" s="1"/>
      <c r="P10024" s="1"/>
      <c r="Q10024" s="1"/>
      <c r="R10024" s="1"/>
      <c r="S10024" s="1"/>
      <c r="T10024" s="1"/>
      <c r="U10024" s="1"/>
      <c r="V10024" s="1"/>
      <c r="W10024" s="1"/>
      <c r="X10024" s="1"/>
      <c r="Y10024" s="1"/>
      <c r="Z10024" s="1"/>
      <c r="AA10024" s="1"/>
      <c r="AB10024" s="1"/>
    </row>
    <row r="10025" ht="50.25" customHeight="1">
      <c r="A10025" s="12">
        <v>10021.0</v>
      </c>
      <c r="B10025" s="13" t="s">
        <v>9604</v>
      </c>
      <c r="C10025" s="14" t="s">
        <v>10052</v>
      </c>
      <c r="D10025" s="1"/>
      <c r="E10025" s="1"/>
      <c r="F10025" s="1" t="str">
        <f>IFERROR(__xludf.DUMMYFUNCTION("GOOGLETRANSLATE(B10025, ""en"", ""fa"")
"),"موفقیت Etsy")</f>
        <v>موفقیت Etsy</v>
      </c>
      <c r="G10025" s="1" t="str">
        <f>IFERROR(__xludf.DUMMYFUNCTION("GOOGLETRANSLATE(C10025, ""en"", ""fa"")
"),"چگونه می توانم تصاویر جذاب بصری برای تغییرات محصول یا گزینه های سفارشی سازی ایجاد کنم تا انتخاب های موجود را برای خریداران به نمایش بگذارم؟")</f>
        <v>چگونه می توانم تصاویر جذاب بصری برای تغییرات محصول یا گزینه های سفارشی سازی ایجاد کنم تا انتخاب های موجود را برای خریداران به نمایش بگذارم؟</v>
      </c>
      <c r="H10025" s="1"/>
      <c r="I10025" s="1"/>
      <c r="J10025" s="1"/>
      <c r="K10025" s="1"/>
      <c r="L10025" s="1"/>
      <c r="M10025" s="1"/>
      <c r="N10025" s="1"/>
      <c r="O10025" s="1"/>
      <c r="P10025" s="1"/>
      <c r="Q10025" s="1"/>
      <c r="R10025" s="1"/>
      <c r="S10025" s="1"/>
      <c r="T10025" s="1"/>
      <c r="U10025" s="1"/>
      <c r="V10025" s="1"/>
      <c r="W10025" s="1"/>
      <c r="X10025" s="1"/>
      <c r="Y10025" s="1"/>
      <c r="Z10025" s="1"/>
      <c r="AA10025" s="1"/>
      <c r="AB10025" s="1"/>
    </row>
    <row r="10026" ht="50.25" customHeight="1">
      <c r="A10026" s="12">
        <v>10022.0</v>
      </c>
      <c r="B10026" s="13" t="s">
        <v>9604</v>
      </c>
      <c r="C10026" s="14" t="s">
        <v>10053</v>
      </c>
      <c r="D10026" s="1"/>
      <c r="E10026" s="1"/>
      <c r="F10026" s="1" t="str">
        <f>IFERROR(__xludf.DUMMYFUNCTION("GOOGLETRANSLATE(B10026, ""en"", ""fa"")
"),"موفقیت Etsy")</f>
        <v>موفقیت Etsy</v>
      </c>
      <c r="G10026" s="1" t="str">
        <f>IFERROR(__xludf.DUMMYFUNCTION("GOOGLETRANSLATE(C10026, ""en"", ""fa"")
"),"بهترین روش ها برای عکاسی از محصولات با رنگ ها یا پرداخت های مختلف برای نمایش دقیق ظاهر آنها در شرایط نوری مختلف چیست؟")</f>
        <v>بهترین روش ها برای عکاسی از محصولات با رنگ ها یا پرداخت های مختلف برای نمایش دقیق ظاهر آنها در شرایط نوری مختلف چیست؟</v>
      </c>
      <c r="H10026" s="1"/>
      <c r="I10026" s="1"/>
      <c r="J10026" s="1"/>
      <c r="K10026" s="1"/>
      <c r="L10026" s="1"/>
      <c r="M10026" s="1"/>
      <c r="N10026" s="1"/>
      <c r="O10026" s="1"/>
      <c r="P10026" s="1"/>
      <c r="Q10026" s="1"/>
      <c r="R10026" s="1"/>
      <c r="S10026" s="1"/>
      <c r="T10026" s="1"/>
      <c r="U10026" s="1"/>
      <c r="V10026" s="1"/>
      <c r="W10026" s="1"/>
      <c r="X10026" s="1"/>
      <c r="Y10026" s="1"/>
      <c r="Z10026" s="1"/>
      <c r="AA10026" s="1"/>
      <c r="AB10026" s="1"/>
    </row>
    <row r="10027" ht="50.25" customHeight="1">
      <c r="A10027" s="12">
        <v>10023.0</v>
      </c>
      <c r="B10027" s="13" t="s">
        <v>9604</v>
      </c>
      <c r="C10027" s="14" t="s">
        <v>10054</v>
      </c>
      <c r="D10027" s="1"/>
      <c r="E10027" s="1"/>
      <c r="F10027" s="1" t="str">
        <f>IFERROR(__xludf.DUMMYFUNCTION("GOOGLETRANSLATE(B10027, ""en"", ""fa"")
"),"موفقیت Etsy")</f>
        <v>موفقیت Etsy</v>
      </c>
      <c r="G10027" s="1" t="str">
        <f>IFERROR(__xludf.DUMMYFUNCTION("GOOGLETRANSLATE(C10027, ""en"", ""fa"")
"),"چگونه می توانم تصاویر محصول خود را برای Pinterest یا دیگر پلتفرم های اکتشاف بصری بهینه کنم تا ترافیک را افزایش دهم و در فروشگاه Etsy خود نوردهی بیشتری داشته باشم؟")</f>
        <v>چگونه می توانم تصاویر محصول خود را برای Pinterest یا دیگر پلتفرم های اکتشاف بصری بهینه کنم تا ترافیک را افزایش دهم و در فروشگاه Etsy خود نوردهی بیشتری داشته باشم؟</v>
      </c>
      <c r="H10027" s="1"/>
      <c r="I10027" s="1"/>
      <c r="J10027" s="1"/>
      <c r="K10027" s="1"/>
      <c r="L10027" s="1"/>
      <c r="M10027" s="1"/>
      <c r="N10027" s="1"/>
      <c r="O10027" s="1"/>
      <c r="P10027" s="1"/>
      <c r="Q10027" s="1"/>
      <c r="R10027" s="1"/>
      <c r="S10027" s="1"/>
      <c r="T10027" s="1"/>
      <c r="U10027" s="1"/>
      <c r="V10027" s="1"/>
      <c r="W10027" s="1"/>
      <c r="X10027" s="1"/>
      <c r="Y10027" s="1"/>
      <c r="Z10027" s="1"/>
      <c r="AA10027" s="1"/>
      <c r="AB10027" s="1"/>
    </row>
    <row r="10028" ht="50.25" customHeight="1">
      <c r="A10028" s="12">
        <v>10024.0</v>
      </c>
      <c r="B10028" s="13" t="s">
        <v>9604</v>
      </c>
      <c r="C10028" s="14" t="s">
        <v>10055</v>
      </c>
      <c r="D10028" s="1"/>
      <c r="E10028" s="1"/>
      <c r="F10028" s="1" t="str">
        <f>IFERROR(__xludf.DUMMYFUNCTION("GOOGLETRANSLATE(B10028, ""en"", ""fa"")
"),"موفقیت Etsy")</f>
        <v>موفقیت Etsy</v>
      </c>
      <c r="G10028" s="1" t="str">
        <f>IFERROR(__xludf.DUMMYFUNCTION("GOOGLETRANSLATE(C10028, ""en"", ""fa"")
"),"چه راهکارهایی برای ثبت تصاویر قانع کننده ای وجود دارد که احساسات را برمی انگیزد یا ارتباطی با خریداران بالقوه در سطح احساسی ایجاد می کند؟")</f>
        <v>چه راهکارهایی برای ثبت تصاویر قانع کننده ای وجود دارد که احساسات را برمی انگیزد یا ارتباطی با خریداران بالقوه در سطح احساسی ایجاد می کند؟</v>
      </c>
      <c r="H10028" s="1"/>
      <c r="I10028" s="1"/>
      <c r="J10028" s="1"/>
      <c r="K10028" s="1"/>
      <c r="L10028" s="1"/>
      <c r="M10028" s="1"/>
      <c r="N10028" s="1"/>
      <c r="O10028" s="1"/>
      <c r="P10028" s="1"/>
      <c r="Q10028" s="1"/>
      <c r="R10028" s="1"/>
      <c r="S10028" s="1"/>
      <c r="T10028" s="1"/>
      <c r="U10028" s="1"/>
      <c r="V10028" s="1"/>
      <c r="W10028" s="1"/>
      <c r="X10028" s="1"/>
      <c r="Y10028" s="1"/>
      <c r="Z10028" s="1"/>
      <c r="AA10028" s="1"/>
      <c r="AB10028" s="1"/>
    </row>
    <row r="10029" ht="50.25" customHeight="1">
      <c r="A10029" s="12">
        <v>10025.0</v>
      </c>
      <c r="B10029" s="13" t="s">
        <v>9604</v>
      </c>
      <c r="C10029" s="14" t="s">
        <v>10056</v>
      </c>
      <c r="D10029" s="1"/>
      <c r="E10029" s="1"/>
      <c r="F10029" s="1" t="str">
        <f>IFERROR(__xludf.DUMMYFUNCTION("GOOGLETRANSLATE(B10029, ""en"", ""fa"")
"),"موفقیت Etsy")</f>
        <v>موفقیت Etsy</v>
      </c>
      <c r="G10029" s="1" t="str">
        <f>IFERROR(__xludf.DUMMYFUNCTION("GOOGLETRANSLATE(C10029, ""en"", ""fa"")
"),"چگونه می توانم تصاویر قبل و بعد یا عکس های تغییر شکل بصری جذاب ایجاد کنم تا تأثیر بالقوه محصولاتم را به نمایش بگذارم؟")</f>
        <v>چگونه می توانم تصاویر قبل و بعد یا عکس های تغییر شکل بصری جذاب ایجاد کنم تا تأثیر بالقوه محصولاتم را به نمایش بگذارم؟</v>
      </c>
      <c r="H10029" s="1"/>
      <c r="I10029" s="1"/>
      <c r="J10029" s="1"/>
      <c r="K10029" s="1"/>
      <c r="L10029" s="1"/>
      <c r="M10029" s="1"/>
      <c r="N10029" s="1"/>
      <c r="O10029" s="1"/>
      <c r="P10029" s="1"/>
      <c r="Q10029" s="1"/>
      <c r="R10029" s="1"/>
      <c r="S10029" s="1"/>
      <c r="T10029" s="1"/>
      <c r="U10029" s="1"/>
      <c r="V10029" s="1"/>
      <c r="W10029" s="1"/>
      <c r="X10029" s="1"/>
      <c r="Y10029" s="1"/>
      <c r="Z10029" s="1"/>
      <c r="AA10029" s="1"/>
      <c r="AB10029" s="1"/>
    </row>
    <row r="10030" ht="50.25" customHeight="1">
      <c r="A10030" s="12">
        <v>10026.0</v>
      </c>
      <c r="B10030" s="13" t="s">
        <v>9604</v>
      </c>
      <c r="C10030" s="14" t="s">
        <v>10057</v>
      </c>
      <c r="D10030" s="1"/>
      <c r="E10030" s="1"/>
      <c r="F10030" s="1" t="str">
        <f>IFERROR(__xludf.DUMMYFUNCTION("GOOGLETRANSLATE(B10030, ""en"", ""fa"")
"),"موفقیت Etsy")</f>
        <v>موفقیت Etsy</v>
      </c>
      <c r="G10030" s="1" t="str">
        <f>IFERROR(__xludf.DUMMYFUNCTION("GOOGLETRANSLATE(C10030, ""en"", ""fa"")
"),"برای عکاسی از محصولات با طرح‌های بسته‌بندی پیچیده یا منحصربه‌فرد برای جلب جذابیت بصری و جلب توجه چه ملاحظاتی وجود دارد؟")</f>
        <v>برای عکاسی از محصولات با طرح‌های بسته‌بندی پیچیده یا منحصربه‌فرد برای جلب جذابیت بصری و جلب توجه چه ملاحظاتی وجود دارد؟</v>
      </c>
      <c r="H10030" s="1"/>
      <c r="I10030" s="1"/>
      <c r="J10030" s="1"/>
      <c r="K10030" s="1"/>
      <c r="L10030" s="1"/>
      <c r="M10030" s="1"/>
      <c r="N10030" s="1"/>
      <c r="O10030" s="1"/>
      <c r="P10030" s="1"/>
      <c r="Q10030" s="1"/>
      <c r="R10030" s="1"/>
      <c r="S10030" s="1"/>
      <c r="T10030" s="1"/>
      <c r="U10030" s="1"/>
      <c r="V10030" s="1"/>
      <c r="W10030" s="1"/>
      <c r="X10030" s="1"/>
      <c r="Y10030" s="1"/>
      <c r="Z10030" s="1"/>
      <c r="AA10030" s="1"/>
      <c r="AB10030" s="1"/>
    </row>
    <row r="10031" ht="50.25" customHeight="1">
      <c r="A10031" s="12">
        <v>10027.0</v>
      </c>
      <c r="B10031" s="13" t="s">
        <v>9604</v>
      </c>
      <c r="C10031" s="14" t="s">
        <v>10058</v>
      </c>
      <c r="D10031" s="1"/>
      <c r="E10031" s="1"/>
      <c r="F10031" s="1" t="str">
        <f>IFERROR(__xludf.DUMMYFUNCTION("GOOGLETRANSLATE(B10031, ""en"", ""fa"")
"),"موفقیت Etsy")</f>
        <v>موفقیت Etsy</v>
      </c>
      <c r="G10031" s="1" t="str">
        <f>IFERROR(__xludf.DUMMYFUNCTION("GOOGLETRANSLATE(C10031, ""en"", ""fa"")
"),"چگونه می توانم تصاویر محصول خود را برای ویژگی زوم Etsy بهینه کنم تا به خریداران بالقوه اجازه دهم جزئیات و کیفیت محصولات من را بررسی کنند؟")</f>
        <v>چگونه می توانم تصاویر محصول خود را برای ویژگی زوم Etsy بهینه کنم تا به خریداران بالقوه اجازه دهم جزئیات و کیفیت محصولات من را بررسی کنند؟</v>
      </c>
      <c r="H10031" s="1"/>
      <c r="I10031" s="1"/>
      <c r="J10031" s="1"/>
      <c r="K10031" s="1"/>
      <c r="L10031" s="1"/>
      <c r="M10031" s="1"/>
      <c r="N10031" s="1"/>
      <c r="O10031" s="1"/>
      <c r="P10031" s="1"/>
      <c r="Q10031" s="1"/>
      <c r="R10031" s="1"/>
      <c r="S10031" s="1"/>
      <c r="T10031" s="1"/>
      <c r="U10031" s="1"/>
      <c r="V10031" s="1"/>
      <c r="W10031" s="1"/>
      <c r="X10031" s="1"/>
      <c r="Y10031" s="1"/>
      <c r="Z10031" s="1"/>
      <c r="AA10031" s="1"/>
      <c r="AB10031" s="1"/>
    </row>
    <row r="10032" ht="50.25" customHeight="1">
      <c r="A10032" s="12">
        <v>10028.0</v>
      </c>
      <c r="B10032" s="13" t="s">
        <v>9604</v>
      </c>
      <c r="C10032" s="14" t="s">
        <v>10059</v>
      </c>
      <c r="D10032" s="1"/>
      <c r="E10032" s="1"/>
      <c r="F10032" s="1" t="str">
        <f>IFERROR(__xludf.DUMMYFUNCTION("GOOGLETRANSLATE(B10032, ""en"", ""fa"")
"),"موفقیت Etsy")</f>
        <v>موفقیت Etsy</v>
      </c>
      <c r="G10032" s="1" t="str">
        <f>IFERROR(__xludf.DUMMYFUNCTION("GOOGLETRANSLATE(C10032, ""en"", ""fa"")
"),"بهترین شیوه‌ها برای ایجاد ترکیب‌بندی‌های مسطح بصری جذاب که چندین محصول یا لوازم جانبی مرتبط را با هم نشان می‌دهند چیست؟")</f>
        <v>بهترین شیوه‌ها برای ایجاد ترکیب‌بندی‌های مسطح بصری جذاب که چندین محصول یا لوازم جانبی مرتبط را با هم نشان می‌دهند چیست؟</v>
      </c>
      <c r="H10032" s="1"/>
      <c r="I10032" s="1"/>
      <c r="J10032" s="1"/>
      <c r="K10032" s="1"/>
      <c r="L10032" s="1"/>
      <c r="M10032" s="1"/>
      <c r="N10032" s="1"/>
      <c r="O10032" s="1"/>
      <c r="P10032" s="1"/>
      <c r="Q10032" s="1"/>
      <c r="R10032" s="1"/>
      <c r="S10032" s="1"/>
      <c r="T10032" s="1"/>
      <c r="U10032" s="1"/>
      <c r="V10032" s="1"/>
      <c r="W10032" s="1"/>
      <c r="X10032" s="1"/>
      <c r="Y10032" s="1"/>
      <c r="Z10032" s="1"/>
      <c r="AA10032" s="1"/>
      <c r="AB10032" s="1"/>
    </row>
    <row r="10033" ht="50.25" customHeight="1">
      <c r="A10033" s="12">
        <v>10029.0</v>
      </c>
      <c r="B10033" s="13" t="s">
        <v>9604</v>
      </c>
      <c r="C10033" s="14" t="s">
        <v>10060</v>
      </c>
      <c r="D10033" s="1"/>
      <c r="E10033" s="1"/>
      <c r="F10033" s="1" t="str">
        <f>IFERROR(__xludf.DUMMYFUNCTION("GOOGLETRANSLATE(B10033, ""en"", ""fa"")
"),"موفقیت Etsy")</f>
        <v>موفقیت Etsy</v>
      </c>
      <c r="G10033" s="1" t="str">
        <f>IFERROR(__xludf.DUMMYFUNCTION("GOOGLETRANSLATE(C10033, ""en"", ""fa"")
"),"چگونه می توانم به طور موثر از فضای نگاتیو یا ترکیب بندی های مینیمالیستی در عکاسی محصول خود برای ایجاد ظاهری تمیز و مدرن استفاده کنم؟")</f>
        <v>چگونه می توانم به طور موثر از فضای نگاتیو یا ترکیب بندی های مینیمالیستی در عکاسی محصول خود برای ایجاد ظاهری تمیز و مدرن استفاده کنم؟</v>
      </c>
      <c r="H10033" s="1"/>
      <c r="I10033" s="1"/>
      <c r="J10033" s="1"/>
      <c r="K10033" s="1"/>
      <c r="L10033" s="1"/>
      <c r="M10033" s="1"/>
      <c r="N10033" s="1"/>
      <c r="O10033" s="1"/>
      <c r="P10033" s="1"/>
      <c r="Q10033" s="1"/>
      <c r="R10033" s="1"/>
      <c r="S10033" s="1"/>
      <c r="T10033" s="1"/>
      <c r="U10033" s="1"/>
      <c r="V10033" s="1"/>
      <c r="W10033" s="1"/>
      <c r="X10033" s="1"/>
      <c r="Y10033" s="1"/>
      <c r="Z10033" s="1"/>
      <c r="AA10033" s="1"/>
      <c r="AB10033" s="1"/>
    </row>
    <row r="10034" ht="50.25" customHeight="1">
      <c r="A10034" s="12">
        <v>10030.0</v>
      </c>
      <c r="B10034" s="13" t="s">
        <v>9604</v>
      </c>
      <c r="C10034" s="14" t="s">
        <v>10061</v>
      </c>
      <c r="D10034" s="1"/>
      <c r="E10034" s="1"/>
      <c r="F10034" s="1" t="str">
        <f>IFERROR(__xludf.DUMMYFUNCTION("GOOGLETRANSLATE(B10034, ""en"", ""fa"")
"),"موفقیت Etsy")</f>
        <v>موفقیت Etsy</v>
      </c>
      <c r="G10034" s="1" t="str">
        <f>IFERROR(__xludf.DUMMYFUNCTION("GOOGLETRANSLATE(C10034, ""en"", ""fa"")
"),"استراتژی‌هایی برای ثبت عکس‌هایی از سبک زندگی یا محیطی که نشان می‌دهند چگونه محصولات من می‌توانند در زندگی روزمره یا تنظیمات مشتریان گنجانده شوند، چیست؟")</f>
        <v>استراتژی‌هایی برای ثبت عکس‌هایی از سبک زندگی یا محیطی که نشان می‌دهند چگونه محصولات من می‌توانند در زندگی روزمره یا تنظیمات مشتریان گنجانده شوند، چیست؟</v>
      </c>
      <c r="H10034" s="1"/>
      <c r="I10034" s="1"/>
      <c r="J10034" s="1"/>
      <c r="K10034" s="1"/>
      <c r="L10034" s="1"/>
      <c r="M10034" s="1"/>
      <c r="N10034" s="1"/>
      <c r="O10034" s="1"/>
      <c r="P10034" s="1"/>
      <c r="Q10034" s="1"/>
      <c r="R10034" s="1"/>
      <c r="S10034" s="1"/>
      <c r="T10034" s="1"/>
      <c r="U10034" s="1"/>
      <c r="V10034" s="1"/>
      <c r="W10034" s="1"/>
      <c r="X10034" s="1"/>
      <c r="Y10034" s="1"/>
      <c r="Z10034" s="1"/>
      <c r="AA10034" s="1"/>
      <c r="AB10034" s="1"/>
    </row>
    <row r="10035" ht="50.25" customHeight="1">
      <c r="A10035" s="12">
        <v>10031.0</v>
      </c>
      <c r="B10035" s="13" t="s">
        <v>9604</v>
      </c>
      <c r="C10035" s="14" t="s">
        <v>10062</v>
      </c>
      <c r="D10035" s="1"/>
      <c r="E10035" s="1"/>
      <c r="F10035" s="1" t="str">
        <f>IFERROR(__xludf.DUMMYFUNCTION("GOOGLETRANSLATE(B10035, ""en"", ""fa"")
"),"موفقیت Etsy")</f>
        <v>موفقیت Etsy</v>
      </c>
      <c r="G10035" s="1" t="str">
        <f>IFERROR(__xludf.DUMMYFUNCTION("GOOGLETRANSLATE(C10035, ""en"", ""fa"")
"),"چگونه می توانم تصاویر محصول خود را برای صفحه نتایج جستجوی Etsy بهینه کنم تا توجه خریداران بالقوه را جلب کنم؟")</f>
        <v>چگونه می توانم تصاویر محصول خود را برای صفحه نتایج جستجوی Etsy بهینه کنم تا توجه خریداران بالقوه را جلب کنم؟</v>
      </c>
      <c r="H10035" s="1"/>
      <c r="I10035" s="1"/>
      <c r="J10035" s="1"/>
      <c r="K10035" s="1"/>
      <c r="L10035" s="1"/>
      <c r="M10035" s="1"/>
      <c r="N10035" s="1"/>
      <c r="O10035" s="1"/>
      <c r="P10035" s="1"/>
      <c r="Q10035" s="1"/>
      <c r="R10035" s="1"/>
      <c r="S10035" s="1"/>
      <c r="T10035" s="1"/>
      <c r="U10035" s="1"/>
      <c r="V10035" s="1"/>
      <c r="W10035" s="1"/>
      <c r="X10035" s="1"/>
      <c r="Y10035" s="1"/>
      <c r="Z10035" s="1"/>
      <c r="AA10035" s="1"/>
      <c r="AB10035" s="1"/>
    </row>
    <row r="10036" ht="50.25" customHeight="1">
      <c r="A10036" s="12">
        <v>10032.0</v>
      </c>
      <c r="B10036" s="13" t="s">
        <v>9604</v>
      </c>
      <c r="C10036" s="14" t="s">
        <v>10063</v>
      </c>
      <c r="D10036" s="1"/>
      <c r="E10036" s="1"/>
      <c r="F10036" s="1" t="str">
        <f>IFERROR(__xludf.DUMMYFUNCTION("GOOGLETRANSLATE(B10036, ""en"", ""fa"")
"),"موفقیت Etsy")</f>
        <v>موفقیت Etsy</v>
      </c>
      <c r="G10036" s="1" t="str">
        <f>IFERROR(__xludf.DUMMYFUNCTION("GOOGLETRANSLATE(C10036, ""en"", ""fa"")
"),"چه ملاحظاتی برای عکاسی از محصولات با اشکال منحصر به فرد یا غیر متعارف برای برجسته کردن متمایز بودن و جلب علاقه وجود دارد؟")</f>
        <v>چه ملاحظاتی برای عکاسی از محصولات با اشکال منحصر به فرد یا غیر متعارف برای برجسته کردن متمایز بودن و جلب علاقه وجود دارد؟</v>
      </c>
      <c r="H10036" s="1"/>
      <c r="I10036" s="1"/>
      <c r="J10036" s="1"/>
      <c r="K10036" s="1"/>
      <c r="L10036" s="1"/>
      <c r="M10036" s="1"/>
      <c r="N10036" s="1"/>
      <c r="O10036" s="1"/>
      <c r="P10036" s="1"/>
      <c r="Q10036" s="1"/>
      <c r="R10036" s="1"/>
      <c r="S10036" s="1"/>
      <c r="T10036" s="1"/>
      <c r="U10036" s="1"/>
      <c r="V10036" s="1"/>
      <c r="W10036" s="1"/>
      <c r="X10036" s="1"/>
      <c r="Y10036" s="1"/>
      <c r="Z10036" s="1"/>
      <c r="AA10036" s="1"/>
      <c r="AB10036" s="1"/>
    </row>
    <row r="10037" ht="50.25" customHeight="1">
      <c r="A10037" s="12">
        <v>10033.0</v>
      </c>
      <c r="B10037" s="13" t="s">
        <v>9604</v>
      </c>
      <c r="C10037" s="14" t="s">
        <v>10064</v>
      </c>
      <c r="D10037" s="1"/>
      <c r="E10037" s="1"/>
      <c r="F10037" s="1" t="str">
        <f>IFERROR(__xludf.DUMMYFUNCTION("GOOGLETRANSLATE(B10037, ""en"", ""fa"")
"),"موفقیت Etsy")</f>
        <v>موفقیت Etsy</v>
      </c>
      <c r="G10037" s="1" t="str">
        <f>IFERROR(__xludf.DUMMYFUNCTION("GOOGLETRANSLATE(C10037, ""en"", ""fa"")
"),"چگونه می توانم تصاویر بصری جذابی ایجاد کنم که روند ایجاد یا تولید محصولات من را به نمایش بگذارد، ارزش افزوده و داستان سرایی را به لیست های من اضافه کند؟")</f>
        <v>چگونه می توانم تصاویر بصری جذابی ایجاد کنم که روند ایجاد یا تولید محصولات من را به نمایش بگذارد، ارزش افزوده و داستان سرایی را به لیست های من اضافه کند؟</v>
      </c>
      <c r="H10037" s="1"/>
      <c r="I10037" s="1"/>
      <c r="J10037" s="1"/>
      <c r="K10037" s="1"/>
      <c r="L10037" s="1"/>
      <c r="M10037" s="1"/>
      <c r="N10037" s="1"/>
      <c r="O10037" s="1"/>
      <c r="P10037" s="1"/>
      <c r="Q10037" s="1"/>
      <c r="R10037" s="1"/>
      <c r="S10037" s="1"/>
      <c r="T10037" s="1"/>
      <c r="U10037" s="1"/>
      <c r="V10037" s="1"/>
      <c r="W10037" s="1"/>
      <c r="X10037" s="1"/>
      <c r="Y10037" s="1"/>
      <c r="Z10037" s="1"/>
      <c r="AA10037" s="1"/>
      <c r="AB10037" s="1"/>
    </row>
    <row r="10038" ht="50.25" customHeight="1">
      <c r="A10038" s="12">
        <v>10034.0</v>
      </c>
      <c r="B10038" s="13" t="s">
        <v>9604</v>
      </c>
      <c r="C10038" s="14" t="s">
        <v>10065</v>
      </c>
      <c r="D10038" s="1"/>
      <c r="E10038" s="1"/>
      <c r="F10038" s="1" t="str">
        <f>IFERROR(__xludf.DUMMYFUNCTION("GOOGLETRANSLATE(B10038, ""en"", ""fa"")
"),"موفقیت Etsy")</f>
        <v>موفقیت Etsy</v>
      </c>
      <c r="G10038" s="1" t="str">
        <f>IFERROR(__xludf.DUMMYFUNCTION("GOOGLETRANSLATE(C10038, ""en"", ""fa"")
"),"بهترین شیوه ها برای عکاسی از محصولات در شرایط یا سناریوهای مختلف برای نشان دادن تطبیق پذیری و سازگاری آنها چیست؟")</f>
        <v>بهترین شیوه ها برای عکاسی از محصولات در شرایط یا سناریوهای مختلف برای نشان دادن تطبیق پذیری و سازگاری آنها چیست؟</v>
      </c>
      <c r="H10038" s="1"/>
      <c r="I10038" s="1"/>
      <c r="J10038" s="1"/>
      <c r="K10038" s="1"/>
      <c r="L10038" s="1"/>
      <c r="M10038" s="1"/>
      <c r="N10038" s="1"/>
      <c r="O10038" s="1"/>
      <c r="P10038" s="1"/>
      <c r="Q10038" s="1"/>
      <c r="R10038" s="1"/>
      <c r="S10038" s="1"/>
      <c r="T10038" s="1"/>
      <c r="U10038" s="1"/>
      <c r="V10038" s="1"/>
      <c r="W10038" s="1"/>
      <c r="X10038" s="1"/>
      <c r="Y10038" s="1"/>
      <c r="Z10038" s="1"/>
      <c r="AA10038" s="1"/>
      <c r="AB10038" s="1"/>
    </row>
    <row r="10039" ht="50.25" customHeight="1">
      <c r="A10039" s="12">
        <v>10035.0</v>
      </c>
      <c r="B10039" s="13" t="s">
        <v>9604</v>
      </c>
      <c r="C10039" s="14" t="s">
        <v>10066</v>
      </c>
      <c r="D10039" s="1"/>
      <c r="E10039" s="1"/>
      <c r="F10039" s="1" t="str">
        <f>IFERROR(__xludf.DUMMYFUNCTION("GOOGLETRANSLATE(B10039, ""en"", ""fa"")
"),"موفقیت Etsy")</f>
        <v>موفقیت Etsy</v>
      </c>
      <c r="G10039" s="1" t="str">
        <f>IFERROR(__xludf.DUMMYFUNCTION("GOOGLETRANSLATE(C10039, ""en"", ""fa"")
"),"چگونه می توانم از وسایل یا عناصر مرتبط با هدف یا استفاده از محصول برای ایجاد تصاویر جذاب بصری استفاده کنم که با خریداران بالقوه طنین انداز شود؟")</f>
        <v>چگونه می توانم از وسایل یا عناصر مرتبط با هدف یا استفاده از محصول برای ایجاد تصاویر جذاب بصری استفاده کنم که با خریداران بالقوه طنین انداز شود؟</v>
      </c>
      <c r="H10039" s="1"/>
      <c r="I10039" s="1"/>
      <c r="J10039" s="1"/>
      <c r="K10039" s="1"/>
      <c r="L10039" s="1"/>
      <c r="M10039" s="1"/>
      <c r="N10039" s="1"/>
      <c r="O10039" s="1"/>
      <c r="P10039" s="1"/>
      <c r="Q10039" s="1"/>
      <c r="R10039" s="1"/>
      <c r="S10039" s="1"/>
      <c r="T10039" s="1"/>
      <c r="U10039" s="1"/>
      <c r="V10039" s="1"/>
      <c r="W10039" s="1"/>
      <c r="X10039" s="1"/>
      <c r="Y10039" s="1"/>
      <c r="Z10039" s="1"/>
      <c r="AA10039" s="1"/>
      <c r="AB10039" s="1"/>
    </row>
    <row r="10040" ht="50.25" customHeight="1">
      <c r="A10040" s="12">
        <v>10036.0</v>
      </c>
      <c r="B10040" s="13" t="s">
        <v>9604</v>
      </c>
      <c r="C10040" s="14" t="s">
        <v>10067</v>
      </c>
      <c r="D10040" s="1"/>
      <c r="E10040" s="1"/>
      <c r="F10040" s="1" t="str">
        <f>IFERROR(__xludf.DUMMYFUNCTION("GOOGLETRANSLATE(B10040, ""en"", ""fa"")
"),"موفقیت Etsy")</f>
        <v>موفقیت Etsy</v>
      </c>
      <c r="G10040" s="1" t="str">
        <f>IFERROR(__xludf.DUMMYFUNCTION("GOOGLETRANSLATE(C10040, ""en"", ""fa"")
"),"استراتژی‌هایی برای گنجاندن مدل‌های سبک زندگی یا عناصر انسانی در عکاسی محصول من برای نشان دادن مقیاس و کمک به مشتریان در تصور استفاده از محصول چیست؟")</f>
        <v>استراتژی‌هایی برای گنجاندن مدل‌های سبک زندگی یا عناصر انسانی در عکاسی محصول من برای نشان دادن مقیاس و کمک به مشتریان در تصور استفاده از محصول چیست؟</v>
      </c>
      <c r="H10040" s="1"/>
      <c r="I10040" s="1"/>
      <c r="J10040" s="1"/>
      <c r="K10040" s="1"/>
      <c r="L10040" s="1"/>
      <c r="M10040" s="1"/>
      <c r="N10040" s="1"/>
      <c r="O10040" s="1"/>
      <c r="P10040" s="1"/>
      <c r="Q10040" s="1"/>
      <c r="R10040" s="1"/>
      <c r="S10040" s="1"/>
      <c r="T10040" s="1"/>
      <c r="U10040" s="1"/>
      <c r="V10040" s="1"/>
      <c r="W10040" s="1"/>
      <c r="X10040" s="1"/>
      <c r="Y10040" s="1"/>
      <c r="Z10040" s="1"/>
      <c r="AA10040" s="1"/>
      <c r="AB10040" s="1"/>
    </row>
    <row r="10041" ht="50.25" customHeight="1">
      <c r="A10041" s="12">
        <v>10037.0</v>
      </c>
      <c r="B10041" s="13" t="s">
        <v>9604</v>
      </c>
      <c r="C10041" s="14" t="s">
        <v>10068</v>
      </c>
      <c r="D10041" s="1"/>
      <c r="E10041" s="1"/>
      <c r="F10041" s="1" t="str">
        <f>IFERROR(__xludf.DUMMYFUNCTION("GOOGLETRANSLATE(B10041, ""en"", ""fa"")
"),"موفقیت Etsy")</f>
        <v>موفقیت Etsy</v>
      </c>
      <c r="G10041" s="1" t="str">
        <f>IFERROR(__xludf.DUMMYFUNCTION("GOOGLETRANSLATE(C10041, ""en"", ""fa"")
"),"چگونه می توانم تصاویر محصول خود را برای بخش «موارد مرتبط» Etsy بهینه کنم تا فرصت های فروش متقابل و افزایش فروش را برای محصولاتم تشویق کنم؟")</f>
        <v>چگونه می توانم تصاویر محصول خود را برای بخش «موارد مرتبط» Etsy بهینه کنم تا فرصت های فروش متقابل و افزایش فروش را برای محصولاتم تشویق کنم؟</v>
      </c>
      <c r="H10041" s="1"/>
      <c r="I10041" s="1"/>
      <c r="J10041" s="1"/>
      <c r="K10041" s="1"/>
      <c r="L10041" s="1"/>
      <c r="M10041" s="1"/>
      <c r="N10041" s="1"/>
      <c r="O10041" s="1"/>
      <c r="P10041" s="1"/>
      <c r="Q10041" s="1"/>
      <c r="R10041" s="1"/>
      <c r="S10041" s="1"/>
      <c r="T10041" s="1"/>
      <c r="U10041" s="1"/>
      <c r="V10041" s="1"/>
      <c r="W10041" s="1"/>
      <c r="X10041" s="1"/>
      <c r="Y10041" s="1"/>
      <c r="Z10041" s="1"/>
      <c r="AA10041" s="1"/>
      <c r="AB10041" s="1"/>
    </row>
    <row r="10042" ht="50.25" customHeight="1">
      <c r="A10042" s="12">
        <v>10038.0</v>
      </c>
      <c r="B10042" s="13" t="s">
        <v>9604</v>
      </c>
      <c r="C10042" s="14" t="s">
        <v>10069</v>
      </c>
      <c r="D10042" s="1"/>
      <c r="E10042" s="1"/>
      <c r="F10042" s="1" t="str">
        <f>IFERROR(__xludf.DUMMYFUNCTION("GOOGLETRANSLATE(B10042, ""en"", ""fa"")
"),"موفقیت Etsy")</f>
        <v>موفقیت Etsy</v>
      </c>
      <c r="G10042" s="1" t="str">
        <f>IFERROR(__xludf.DUMMYFUNCTION("GOOGLETRANSLATE(C10042, ""en"", ""fa"")
"),"برای عکاسی از محصولات با بافت ها یا الگوهای پیچیده چه ملاحظاتی وجود دارد تا اطمینان حاصل شود که آنها با جزئیات بالا و جذابیت بصری ثبت می شوند؟")</f>
        <v>برای عکاسی از محصولات با بافت ها یا الگوهای پیچیده چه ملاحظاتی وجود دارد تا اطمینان حاصل شود که آنها با جزئیات بالا و جذابیت بصری ثبت می شوند؟</v>
      </c>
      <c r="H10042" s="1"/>
      <c r="I10042" s="1"/>
      <c r="J10042" s="1"/>
      <c r="K10042" s="1"/>
      <c r="L10042" s="1"/>
      <c r="M10042" s="1"/>
      <c r="N10042" s="1"/>
      <c r="O10042" s="1"/>
      <c r="P10042" s="1"/>
      <c r="Q10042" s="1"/>
      <c r="R10042" s="1"/>
      <c r="S10042" s="1"/>
      <c r="T10042" s="1"/>
      <c r="U10042" s="1"/>
      <c r="V10042" s="1"/>
      <c r="W10042" s="1"/>
      <c r="X10042" s="1"/>
      <c r="Y10042" s="1"/>
      <c r="Z10042" s="1"/>
      <c r="AA10042" s="1"/>
      <c r="AB10042" s="1"/>
    </row>
    <row r="10043" ht="50.25" customHeight="1">
      <c r="A10043" s="12">
        <v>10039.0</v>
      </c>
      <c r="B10043" s="13" t="s">
        <v>9604</v>
      </c>
      <c r="C10043" s="14" t="s">
        <v>10070</v>
      </c>
      <c r="D10043" s="1"/>
      <c r="E10043" s="1"/>
      <c r="F10043" s="1" t="str">
        <f>IFERROR(__xludf.DUMMYFUNCTION("GOOGLETRANSLATE(B10043, ""en"", ""fa"")
"),"موفقیت Etsy")</f>
        <v>موفقیت Etsy</v>
      </c>
      <c r="G10043" s="1" t="str">
        <f>IFERROR(__xludf.DUMMYFUNCTION("GOOGLETRANSLATE(C10043, ""en"", ""fa"")
"),"چگونه می توانم با استفاده از یک پالت رنگی یا تم خاص در عکاسی محصول خود، فهرست های محصولات از نظر بصری سازگار و جذاب ایجاد کنم؟")</f>
        <v>چگونه می توانم با استفاده از یک پالت رنگی یا تم خاص در عکاسی محصول خود، فهرست های محصولات از نظر بصری سازگار و جذاب ایجاد کنم؟</v>
      </c>
      <c r="H10043" s="1"/>
      <c r="I10043" s="1"/>
      <c r="J10043" s="1"/>
      <c r="K10043" s="1"/>
      <c r="L10043" s="1"/>
      <c r="M10043" s="1"/>
      <c r="N10043" s="1"/>
      <c r="O10043" s="1"/>
      <c r="P10043" s="1"/>
      <c r="Q10043" s="1"/>
      <c r="R10043" s="1"/>
      <c r="S10043" s="1"/>
      <c r="T10043" s="1"/>
      <c r="U10043" s="1"/>
      <c r="V10043" s="1"/>
      <c r="W10043" s="1"/>
      <c r="X10043" s="1"/>
      <c r="Y10043" s="1"/>
      <c r="Z10043" s="1"/>
      <c r="AA10043" s="1"/>
      <c r="AB10043" s="1"/>
    </row>
    <row r="10044" ht="50.25" customHeight="1">
      <c r="A10044" s="12">
        <v>10040.0</v>
      </c>
      <c r="B10044" s="13" t="s">
        <v>9604</v>
      </c>
      <c r="C10044" s="14" t="s">
        <v>10071</v>
      </c>
      <c r="D10044" s="1"/>
      <c r="E10044" s="1"/>
      <c r="F10044" s="1" t="str">
        <f>IFERROR(__xludf.DUMMYFUNCTION("GOOGLETRANSLATE(B10044, ""en"", ""fa"")
"),"موفقیت Etsy")</f>
        <v>موفقیت Etsy</v>
      </c>
      <c r="G10044" s="1" t="str">
        <f>IFERROR(__xludf.DUMMYFUNCTION("GOOGLETRANSLATE(C10044, ""en"", ""fa"")
"),"بهترین روش ها برای ایجاد تصاویر بصری جذاب که ویژگی ها یا مزایای منحصر به فرد محصولات من را در مقایسه با رقبا برجسته می کند چیست؟")</f>
        <v>بهترین روش ها برای ایجاد تصاویر بصری جذاب که ویژگی ها یا مزایای منحصر به فرد محصولات من را در مقایسه با رقبا برجسته می کند چیست؟</v>
      </c>
      <c r="H10044" s="1"/>
      <c r="I10044" s="1"/>
      <c r="J10044" s="1"/>
      <c r="K10044" s="1"/>
      <c r="L10044" s="1"/>
      <c r="M10044" s="1"/>
      <c r="N10044" s="1"/>
      <c r="O10044" s="1"/>
      <c r="P10044" s="1"/>
      <c r="Q10044" s="1"/>
      <c r="R10044" s="1"/>
      <c r="S10044" s="1"/>
      <c r="T10044" s="1"/>
      <c r="U10044" s="1"/>
      <c r="V10044" s="1"/>
      <c r="W10044" s="1"/>
      <c r="X10044" s="1"/>
      <c r="Y10044" s="1"/>
      <c r="Z10044" s="1"/>
      <c r="AA10044" s="1"/>
      <c r="AB10044" s="1"/>
    </row>
    <row r="10045" ht="50.25" customHeight="1">
      <c r="A10045" s="12">
        <v>10041.0</v>
      </c>
      <c r="B10045" s="13" t="s">
        <v>9604</v>
      </c>
      <c r="C10045" s="14" t="s">
        <v>10072</v>
      </c>
      <c r="D10045" s="1"/>
      <c r="E10045" s="1"/>
      <c r="F10045" s="1" t="str">
        <f>IFERROR(__xludf.DUMMYFUNCTION("GOOGLETRANSLATE(B10045, ""en"", ""fa"")
"),"موفقیت Etsy")</f>
        <v>موفقیت Etsy</v>
      </c>
      <c r="G10045" s="1" t="str">
        <f>IFERROR(__xludf.DUMMYFUNCTION("GOOGLETRANSLATE(C10045, ""en"", ""fa"")
"),"چگونه می توانم تصاویر محصول خود را برای برنامه موبایل Etsy بهینه کنم تا از نمایش بهینه و جذاب آنها در صفحه نمایش های کوچک اطمینان حاصل کنم؟")</f>
        <v>چگونه می توانم تصاویر محصول خود را برای برنامه موبایل Etsy بهینه کنم تا از نمایش بهینه و جذاب آنها در صفحه نمایش های کوچک اطمینان حاصل کنم؟</v>
      </c>
      <c r="H10045" s="1"/>
      <c r="I10045" s="1"/>
      <c r="J10045" s="1"/>
      <c r="K10045" s="1"/>
      <c r="L10045" s="1"/>
      <c r="M10045" s="1"/>
      <c r="N10045" s="1"/>
      <c r="O10045" s="1"/>
      <c r="P10045" s="1"/>
      <c r="Q10045" s="1"/>
      <c r="R10045" s="1"/>
      <c r="S10045" s="1"/>
      <c r="T10045" s="1"/>
      <c r="U10045" s="1"/>
      <c r="V10045" s="1"/>
      <c r="W10045" s="1"/>
      <c r="X10045" s="1"/>
      <c r="Y10045" s="1"/>
      <c r="Z10045" s="1"/>
      <c r="AA10045" s="1"/>
      <c r="AB10045" s="1"/>
    </row>
    <row r="10046" ht="50.25" customHeight="1">
      <c r="A10046" s="12">
        <v>10042.0</v>
      </c>
      <c r="B10046" s="13" t="s">
        <v>9604</v>
      </c>
      <c r="C10046" s="14" t="s">
        <v>10073</v>
      </c>
      <c r="D10046" s="1"/>
      <c r="E10046" s="1"/>
      <c r="F10046" s="1" t="str">
        <f>IFERROR(__xludf.DUMMYFUNCTION("GOOGLETRANSLATE(B10046, ""en"", ""fa"")
"),"موفقیت Etsy")</f>
        <v>موفقیت Etsy</v>
      </c>
      <c r="G10046" s="1" t="str">
        <f>IFERROR(__xludf.DUMMYFUNCTION("GOOGLETRANSLATE(C10046, ""en"", ""fa"")
"),"چه راهکارهایی برای ایجاد تصاویر «قبل و بعد» جذاب بصری وجود دارد که تحول یا نتایج استفاده از محصولات من را به نمایش بگذارد؟")</f>
        <v>چه راهکارهایی برای ایجاد تصاویر «قبل و بعد» جذاب بصری وجود دارد که تحول یا نتایج استفاده از محصولات من را به نمایش بگذارد؟</v>
      </c>
      <c r="H10046" s="1"/>
      <c r="I10046" s="1"/>
      <c r="J10046" s="1"/>
      <c r="K10046" s="1"/>
      <c r="L10046" s="1"/>
      <c r="M10046" s="1"/>
      <c r="N10046" s="1"/>
      <c r="O10046" s="1"/>
      <c r="P10046" s="1"/>
      <c r="Q10046" s="1"/>
      <c r="R10046" s="1"/>
      <c r="S10046" s="1"/>
      <c r="T10046" s="1"/>
      <c r="U10046" s="1"/>
      <c r="V10046" s="1"/>
      <c r="W10046" s="1"/>
      <c r="X10046" s="1"/>
      <c r="Y10046" s="1"/>
      <c r="Z10046" s="1"/>
      <c r="AA10046" s="1"/>
      <c r="AB10046" s="1"/>
    </row>
    <row r="10047" ht="50.25" customHeight="1">
      <c r="A10047" s="12">
        <v>10043.0</v>
      </c>
      <c r="B10047" s="13" t="s">
        <v>9604</v>
      </c>
      <c r="C10047" s="14" t="s">
        <v>10074</v>
      </c>
      <c r="D10047" s="1"/>
      <c r="E10047" s="1"/>
      <c r="F10047" s="1" t="str">
        <f>IFERROR(__xludf.DUMMYFUNCTION("GOOGLETRANSLATE(B10047, ""en"", ""fa"")
"),"موفقیت Etsy")</f>
        <v>موفقیت Etsy</v>
      </c>
      <c r="G10047" s="1" t="str">
        <f>IFERROR(__xludf.DUMMYFUNCTION("GOOGLETRANSLATE(C10047, ""en"", ""fa"")
"),"چگونه می توانم به طور موثر از وسایل یا پس زمینه هایی استفاده کنم که منعکس کننده سبک زندگی، علایق یا ترجیحات مخاطبان هدف من برای ایجاد تصاویر مرتبط با محصول هستند؟")</f>
        <v>چگونه می توانم به طور موثر از وسایل یا پس زمینه هایی استفاده کنم که منعکس کننده سبک زندگی، علایق یا ترجیحات مخاطبان هدف من برای ایجاد تصاویر مرتبط با محصول هستند؟</v>
      </c>
      <c r="H10047" s="1"/>
      <c r="I10047" s="1"/>
      <c r="J10047" s="1"/>
      <c r="K10047" s="1"/>
      <c r="L10047" s="1"/>
      <c r="M10047" s="1"/>
      <c r="N10047" s="1"/>
      <c r="O10047" s="1"/>
      <c r="P10047" s="1"/>
      <c r="Q10047" s="1"/>
      <c r="R10047" s="1"/>
      <c r="S10047" s="1"/>
      <c r="T10047" s="1"/>
      <c r="U10047" s="1"/>
      <c r="V10047" s="1"/>
      <c r="W10047" s="1"/>
      <c r="X10047" s="1"/>
      <c r="Y10047" s="1"/>
      <c r="Z10047" s="1"/>
      <c r="AA10047" s="1"/>
      <c r="AB10047" s="1"/>
    </row>
    <row r="10048" ht="50.25" customHeight="1">
      <c r="A10048" s="12">
        <v>10044.0</v>
      </c>
      <c r="B10048" s="13" t="s">
        <v>9604</v>
      </c>
      <c r="C10048" s="14" t="s">
        <v>10075</v>
      </c>
      <c r="D10048" s="1"/>
      <c r="E10048" s="1"/>
      <c r="F10048" s="1" t="str">
        <f>IFERROR(__xludf.DUMMYFUNCTION("GOOGLETRANSLATE(B10048, ""en"", ""fa"")
"),"موفقیت Etsy")</f>
        <v>موفقیت Etsy</v>
      </c>
      <c r="G10048" s="1" t="str">
        <f>IFERROR(__xludf.DUMMYFUNCTION("GOOGLETRANSLATE(C10048, ""en"", ""fa"")
"),"چه ملاحظاتی برای عکاسی از محصولات با بسته بندی شفاف یا نیمه شفاف برای نمایش محصول در داخل و جلب نظر خریداران وجود دارد؟")</f>
        <v>چه ملاحظاتی برای عکاسی از محصولات با بسته بندی شفاف یا نیمه شفاف برای نمایش محصول در داخل و جلب نظر خریداران وجود دارد؟</v>
      </c>
      <c r="H10048" s="1"/>
      <c r="I10048" s="1"/>
      <c r="J10048" s="1"/>
      <c r="K10048" s="1"/>
      <c r="L10048" s="1"/>
      <c r="M10048" s="1"/>
      <c r="N10048" s="1"/>
      <c r="O10048" s="1"/>
      <c r="P10048" s="1"/>
      <c r="Q10048" s="1"/>
      <c r="R10048" s="1"/>
      <c r="S10048" s="1"/>
      <c r="T10048" s="1"/>
      <c r="U10048" s="1"/>
      <c r="V10048" s="1"/>
      <c r="W10048" s="1"/>
      <c r="X10048" s="1"/>
      <c r="Y10048" s="1"/>
      <c r="Z10048" s="1"/>
      <c r="AA10048" s="1"/>
      <c r="AB10048" s="1"/>
    </row>
    <row r="10049" ht="50.25" customHeight="1">
      <c r="A10049" s="12">
        <v>10045.0</v>
      </c>
      <c r="B10049" s="13" t="s">
        <v>9604</v>
      </c>
      <c r="C10049" s="14" t="s">
        <v>10076</v>
      </c>
      <c r="D10049" s="1"/>
      <c r="E10049" s="1"/>
      <c r="F10049" s="1" t="str">
        <f>IFERROR(__xludf.DUMMYFUNCTION("GOOGLETRANSLATE(B10049, ""en"", ""fa"")
"),"موفقیت Etsy")</f>
        <v>موفقیت Etsy</v>
      </c>
      <c r="G10049" s="1" t="str">
        <f>IFERROR(__xludf.DUMMYFUNCTION("GOOGLETRANSLATE(C10049, ""en"", ""fa"")
"),"چگونه می توانم تصاویر بصری جذابی ایجاد کنم که تطبیق پذیری یا جنبه های چند منظوره محصولات من را برای جذب پایگاه وسیع تری از مشتریان برجسته کند؟")</f>
        <v>چگونه می توانم تصاویر بصری جذابی ایجاد کنم که تطبیق پذیری یا جنبه های چند منظوره محصولات من را برای جذب پایگاه وسیع تری از مشتریان برجسته کند؟</v>
      </c>
      <c r="H10049" s="1"/>
      <c r="I10049" s="1"/>
      <c r="J10049" s="1"/>
      <c r="K10049" s="1"/>
      <c r="L10049" s="1"/>
      <c r="M10049" s="1"/>
      <c r="N10049" s="1"/>
      <c r="O10049" s="1"/>
      <c r="P10049" s="1"/>
      <c r="Q10049" s="1"/>
      <c r="R10049" s="1"/>
      <c r="S10049" s="1"/>
      <c r="T10049" s="1"/>
      <c r="U10049" s="1"/>
      <c r="V10049" s="1"/>
      <c r="W10049" s="1"/>
      <c r="X10049" s="1"/>
      <c r="Y10049" s="1"/>
      <c r="Z10049" s="1"/>
      <c r="AA10049" s="1"/>
      <c r="AB10049" s="1"/>
    </row>
    <row r="10050" ht="50.25" customHeight="1">
      <c r="A10050" s="12">
        <v>10046.0</v>
      </c>
      <c r="B10050" s="13" t="s">
        <v>9604</v>
      </c>
      <c r="C10050" s="14" t="s">
        <v>10077</v>
      </c>
      <c r="D10050" s="1"/>
      <c r="E10050" s="1"/>
      <c r="F10050" s="1" t="str">
        <f>IFERROR(__xludf.DUMMYFUNCTION("GOOGLETRANSLATE(B10050, ""en"", ""fa"")
"),"موفقیت Etsy")</f>
        <v>موفقیت Etsy</v>
      </c>
      <c r="G10050" s="1" t="str">
        <f>IFERROR(__xludf.DUMMYFUNCTION("GOOGLETRANSLATE(C10050, ""en"", ""fa"")
"),"چگونه می‌توانم رقبای برتر خود را در Etsy در دسته یا دسته محصولات خود شناسایی کنم؟")</f>
        <v>چگونه می‌توانم رقبای برتر خود را در Etsy در دسته یا دسته محصولات خود شناسایی کنم؟</v>
      </c>
      <c r="H10050" s="1"/>
      <c r="I10050" s="1"/>
      <c r="J10050" s="1"/>
      <c r="K10050" s="1"/>
      <c r="L10050" s="1"/>
      <c r="M10050" s="1"/>
      <c r="N10050" s="1"/>
      <c r="O10050" s="1"/>
      <c r="P10050" s="1"/>
      <c r="Q10050" s="1"/>
      <c r="R10050" s="1"/>
      <c r="S10050" s="1"/>
      <c r="T10050" s="1"/>
      <c r="U10050" s="1"/>
      <c r="V10050" s="1"/>
      <c r="W10050" s="1"/>
      <c r="X10050" s="1"/>
      <c r="Y10050" s="1"/>
      <c r="Z10050" s="1"/>
      <c r="AA10050" s="1"/>
      <c r="AB10050" s="1"/>
    </row>
    <row r="10051" ht="50.25" customHeight="1">
      <c r="A10051" s="12">
        <v>10047.0</v>
      </c>
      <c r="B10051" s="13" t="s">
        <v>9604</v>
      </c>
      <c r="C10051" s="14" t="s">
        <v>10078</v>
      </c>
      <c r="D10051" s="1"/>
      <c r="E10051" s="1"/>
      <c r="F10051" s="1" t="str">
        <f>IFERROR(__xludf.DUMMYFUNCTION("GOOGLETRANSLATE(B10051, ""en"", ""fa"")
"),"موفقیت Etsy")</f>
        <v>موفقیت Etsy</v>
      </c>
      <c r="G10051" s="1" t="str">
        <f>IFERROR(__xludf.DUMMYFUNCTION("GOOGLETRANSLATE(C10051, ""en"", ""fa"")
"),"فاکتورهای کلیدی که باید در هنگام تجزیه و تحلیل پیشنهادات محصول رقبای من مانند قیمت، ویژگی ها یا گزینه های سفارشی سازی در نظر بگیریم، چیست؟")</f>
        <v>فاکتورهای کلیدی که باید در هنگام تجزیه و تحلیل پیشنهادات محصول رقبای من مانند قیمت، ویژگی ها یا گزینه های سفارشی سازی در نظر بگیریم، چیست؟</v>
      </c>
      <c r="H10051" s="1"/>
      <c r="I10051" s="1"/>
      <c r="J10051" s="1"/>
      <c r="K10051" s="1"/>
      <c r="L10051" s="1"/>
      <c r="M10051" s="1"/>
      <c r="N10051" s="1"/>
      <c r="O10051" s="1"/>
      <c r="P10051" s="1"/>
      <c r="Q10051" s="1"/>
      <c r="R10051" s="1"/>
      <c r="S10051" s="1"/>
      <c r="T10051" s="1"/>
      <c r="U10051" s="1"/>
      <c r="V10051" s="1"/>
      <c r="W10051" s="1"/>
      <c r="X10051" s="1"/>
      <c r="Y10051" s="1"/>
      <c r="Z10051" s="1"/>
      <c r="AA10051" s="1"/>
      <c r="AB10051" s="1"/>
    </row>
    <row r="10052" ht="50.25" customHeight="1">
      <c r="A10052" s="12">
        <v>10048.0</v>
      </c>
      <c r="B10052" s="13" t="s">
        <v>9604</v>
      </c>
      <c r="C10052" s="14" t="s">
        <v>10079</v>
      </c>
      <c r="D10052" s="1"/>
      <c r="E10052" s="1"/>
      <c r="F10052" s="1" t="str">
        <f>IFERROR(__xludf.DUMMYFUNCTION("GOOGLETRANSLATE(B10052, ""en"", ""fa"")
"),"موفقیت Etsy")</f>
        <v>موفقیت Etsy</v>
      </c>
      <c r="G10052" s="1" t="str">
        <f>IFERROR(__xludf.DUMMYFUNCTION("GOOGLETRANSLATE(C10052, ""en"", ""fa"")
"),"چگونه می توانم نام تجاری و ارائه بصری رقبای خود را در Etsy ارزیابی کنم تا نقاط قوت و زمینه های بالقوه برای بهبود در فروشگاه خود را شناسایی کنم؟")</f>
        <v>چگونه می توانم نام تجاری و ارائه بصری رقبای خود را در Etsy ارزیابی کنم تا نقاط قوت و زمینه های بالقوه برای بهبود در فروشگاه خود را شناسایی کنم؟</v>
      </c>
      <c r="H10052" s="1"/>
      <c r="I10052" s="1"/>
      <c r="J10052" s="1"/>
      <c r="K10052" s="1"/>
      <c r="L10052" s="1"/>
      <c r="M10052" s="1"/>
      <c r="N10052" s="1"/>
      <c r="O10052" s="1"/>
      <c r="P10052" s="1"/>
      <c r="Q10052" s="1"/>
      <c r="R10052" s="1"/>
      <c r="S10052" s="1"/>
      <c r="T10052" s="1"/>
      <c r="U10052" s="1"/>
      <c r="V10052" s="1"/>
      <c r="W10052" s="1"/>
      <c r="X10052" s="1"/>
      <c r="Y10052" s="1"/>
      <c r="Z10052" s="1"/>
      <c r="AA10052" s="1"/>
      <c r="AB10052" s="1"/>
    </row>
    <row r="10053" ht="50.25" customHeight="1">
      <c r="A10053" s="12">
        <v>10049.0</v>
      </c>
      <c r="B10053" s="13" t="s">
        <v>9604</v>
      </c>
      <c r="C10053" s="14" t="s">
        <v>10080</v>
      </c>
      <c r="D10053" s="1"/>
      <c r="E10053" s="1"/>
      <c r="F10053" s="1" t="str">
        <f>IFERROR(__xludf.DUMMYFUNCTION("GOOGLETRANSLATE(B10053, ""en"", ""fa"")
"),"موفقیت Etsy")</f>
        <v>موفقیت Etsy</v>
      </c>
      <c r="G10053" s="1" t="str">
        <f>IFERROR(__xludf.DUMMYFUNCTION("GOOGLETRANSLATE(C10053, ""en"", ""fa"")
"),"استراتژی‌هایی برای تجزیه و تحلیل نظرات و رتبه‌بندی‌های مشتریان رقبای من برای به دست آوردن بینشی در مورد کیفیت محصول و سطح رضایت مشتری چیست؟")</f>
        <v>استراتژی‌هایی برای تجزیه و تحلیل نظرات و رتبه‌بندی‌های مشتریان رقبای من برای به دست آوردن بینشی در مورد کیفیت محصول و سطح رضایت مشتری چیست؟</v>
      </c>
      <c r="H10053" s="1"/>
      <c r="I10053" s="1"/>
      <c r="J10053" s="1"/>
      <c r="K10053" s="1"/>
      <c r="L10053" s="1"/>
      <c r="M10053" s="1"/>
      <c r="N10053" s="1"/>
      <c r="O10053" s="1"/>
      <c r="P10053" s="1"/>
      <c r="Q10053" s="1"/>
      <c r="R10053" s="1"/>
      <c r="S10053" s="1"/>
      <c r="T10053" s="1"/>
      <c r="U10053" s="1"/>
      <c r="V10053" s="1"/>
      <c r="W10053" s="1"/>
      <c r="X10053" s="1"/>
      <c r="Y10053" s="1"/>
      <c r="Z10053" s="1"/>
      <c r="AA10053" s="1"/>
      <c r="AB10053" s="1"/>
    </row>
    <row r="10054" ht="50.25" customHeight="1">
      <c r="A10054" s="12">
        <v>10050.0</v>
      </c>
      <c r="B10054" s="13" t="s">
        <v>9604</v>
      </c>
      <c r="C10054" s="14" t="s">
        <v>10081</v>
      </c>
      <c r="D10054" s="1"/>
      <c r="E10054" s="1"/>
      <c r="F10054" s="1" t="str">
        <f>IFERROR(__xludf.DUMMYFUNCTION("GOOGLETRANSLATE(B10054, ""en"", ""fa"")
"),"موفقیت Etsy")</f>
        <v>موفقیت Etsy</v>
      </c>
      <c r="G10054" s="1" t="str">
        <f>IFERROR(__xludf.DUMMYFUNCTION("GOOGLETRANSLATE(C10054, ""en"", ""fa"")
"),"چگونه می توانم عکاسی و زیبایی بصری محصول رقبای خود را ارزیابی کنم تا روندها یا حوزه هایی را که می توانم متمایز و متمایز شوم شناسایی کنم؟")</f>
        <v>چگونه می توانم عکاسی و زیبایی بصری محصول رقبای خود را ارزیابی کنم تا روندها یا حوزه هایی را که می توانم متمایز و متمایز شوم شناسایی کنم؟</v>
      </c>
      <c r="H10054" s="1"/>
      <c r="I10054" s="1"/>
      <c r="J10054" s="1"/>
      <c r="K10054" s="1"/>
      <c r="L10054" s="1"/>
      <c r="M10054" s="1"/>
      <c r="N10054" s="1"/>
      <c r="O10054" s="1"/>
      <c r="P10054" s="1"/>
      <c r="Q10054" s="1"/>
      <c r="R10054" s="1"/>
      <c r="S10054" s="1"/>
      <c r="T10054" s="1"/>
      <c r="U10054" s="1"/>
      <c r="V10054" s="1"/>
      <c r="W10054" s="1"/>
      <c r="X10054" s="1"/>
      <c r="Y10054" s="1"/>
      <c r="Z10054" s="1"/>
      <c r="AA10054" s="1"/>
      <c r="AB10054" s="1"/>
    </row>
    <row r="10055" ht="50.25" customHeight="1">
      <c r="A10055" s="12">
        <v>10051.0</v>
      </c>
      <c r="B10055" s="13" t="s">
        <v>9604</v>
      </c>
      <c r="C10055" s="14" t="s">
        <v>10082</v>
      </c>
      <c r="D10055" s="1"/>
      <c r="E10055" s="1"/>
      <c r="F10055" s="1" t="str">
        <f>IFERROR(__xludf.DUMMYFUNCTION("GOOGLETRANSLATE(B10055, ""en"", ""fa"")
"),"موفقیت Etsy")</f>
        <v>موفقیت Etsy</v>
      </c>
      <c r="G10055" s="1" t="str">
        <f>IFERROR(__xludf.DUMMYFUNCTION("GOOGLETRANSLATE(C10055, ""en"", ""fa"")
"),"ملاحظات برای تجزیه و تحلیل حجم فروش و محبوبیت رقبای من در Etsy برای ارزیابی موقعیت بازار و تقاضای بالقوه آنها چیست؟")</f>
        <v>ملاحظات برای تجزیه و تحلیل حجم فروش و محبوبیت رقبای من در Etsy برای ارزیابی موقعیت بازار و تقاضای بالقوه آنها چیست؟</v>
      </c>
      <c r="H10055" s="1"/>
      <c r="I10055" s="1"/>
      <c r="J10055" s="1"/>
      <c r="K10055" s="1"/>
      <c r="L10055" s="1"/>
      <c r="M10055" s="1"/>
      <c r="N10055" s="1"/>
      <c r="O10055" s="1"/>
      <c r="P10055" s="1"/>
      <c r="Q10055" s="1"/>
      <c r="R10055" s="1"/>
      <c r="S10055" s="1"/>
      <c r="T10055" s="1"/>
      <c r="U10055" s="1"/>
      <c r="V10055" s="1"/>
      <c r="W10055" s="1"/>
      <c r="X10055" s="1"/>
      <c r="Y10055" s="1"/>
      <c r="Z10055" s="1"/>
      <c r="AA10055" s="1"/>
      <c r="AB10055" s="1"/>
    </row>
    <row r="10056" ht="50.25" customHeight="1">
      <c r="A10056" s="12">
        <v>10052.0</v>
      </c>
      <c r="B10056" s="13" t="s">
        <v>9604</v>
      </c>
      <c r="C10056" s="14" t="s">
        <v>10083</v>
      </c>
      <c r="D10056" s="1"/>
      <c r="E10056" s="1"/>
      <c r="F10056" s="1" t="str">
        <f>IFERROR(__xludf.DUMMYFUNCTION("GOOGLETRANSLATE(B10056, ""en"", ""fa"")
"),"موفقیت Etsy")</f>
        <v>موفقیت Etsy</v>
      </c>
      <c r="G10056" s="1" t="str">
        <f>IFERROR(__xludf.DUMMYFUNCTION("GOOGLETRANSLATE(C10056, ""en"", ""fa"")
"),"چگونه می توانم مخاطبان هدف و پایگاه مشتری رقبای خود را در Etsy شناسایی کنم تا بازار هدف خود را اصلاح کنم و استراتژی های بازاریابی خود را بر اساس آن تنظیم کنم؟")</f>
        <v>چگونه می توانم مخاطبان هدف و پایگاه مشتری رقبای خود را در Etsy شناسایی کنم تا بازار هدف خود را اصلاح کنم و استراتژی های بازاریابی خود را بر اساس آن تنظیم کنم؟</v>
      </c>
      <c r="H10056" s="1"/>
      <c r="I10056" s="1"/>
      <c r="J10056" s="1"/>
      <c r="K10056" s="1"/>
      <c r="L10056" s="1"/>
      <c r="M10056" s="1"/>
      <c r="N10056" s="1"/>
      <c r="O10056" s="1"/>
      <c r="P10056" s="1"/>
      <c r="Q10056" s="1"/>
      <c r="R10056" s="1"/>
      <c r="S10056" s="1"/>
      <c r="T10056" s="1"/>
      <c r="U10056" s="1"/>
      <c r="V10056" s="1"/>
      <c r="W10056" s="1"/>
      <c r="X10056" s="1"/>
      <c r="Y10056" s="1"/>
      <c r="Z10056" s="1"/>
      <c r="AA10056" s="1"/>
      <c r="AB10056" s="1"/>
    </row>
    <row r="10057" ht="50.25" customHeight="1">
      <c r="A10057" s="12">
        <v>10053.0</v>
      </c>
      <c r="B10057" s="13" t="s">
        <v>9604</v>
      </c>
      <c r="C10057" s="14" t="s">
        <v>10084</v>
      </c>
      <c r="D10057" s="1"/>
      <c r="E10057" s="1"/>
      <c r="F10057" s="1" t="str">
        <f>IFERROR(__xludf.DUMMYFUNCTION("GOOGLETRANSLATE(B10057, ""en"", ""fa"")
"),"موفقیت Etsy")</f>
        <v>موفقیت Etsy</v>
      </c>
      <c r="G10057" s="1" t="str">
        <f>IFERROR(__xludf.DUMMYFUNCTION("GOOGLETRANSLATE(C10057, ""en"", ""fa"")
"),"استراتژی‌هایی برای نظارت بر استراتژی‌های قیمت‌گذاری و تبلیغات رقبای من برای اطمینان از رقابتی ماندن و به حداکثر رساندن حاشیه سود چیست؟")</f>
        <v>استراتژی‌هایی برای نظارت بر استراتژی‌های قیمت‌گذاری و تبلیغات رقبای من برای اطمینان از رقابتی ماندن و به حداکثر رساندن حاشیه سود چیست؟</v>
      </c>
      <c r="H10057" s="1"/>
      <c r="I10057" s="1"/>
      <c r="J10057" s="1"/>
      <c r="K10057" s="1"/>
      <c r="L10057" s="1"/>
      <c r="M10057" s="1"/>
      <c r="N10057" s="1"/>
      <c r="O10057" s="1"/>
      <c r="P10057" s="1"/>
      <c r="Q10057" s="1"/>
      <c r="R10057" s="1"/>
      <c r="S10057" s="1"/>
      <c r="T10057" s="1"/>
      <c r="U10057" s="1"/>
      <c r="V10057" s="1"/>
      <c r="W10057" s="1"/>
      <c r="X10057" s="1"/>
      <c r="Y10057" s="1"/>
      <c r="Z10057" s="1"/>
      <c r="AA10057" s="1"/>
      <c r="AB10057" s="1"/>
    </row>
    <row r="10058" ht="50.25" customHeight="1">
      <c r="A10058" s="12">
        <v>10054.0</v>
      </c>
      <c r="B10058" s="13" t="s">
        <v>9604</v>
      </c>
      <c r="C10058" s="14" t="s">
        <v>10085</v>
      </c>
      <c r="D10058" s="1"/>
      <c r="E10058" s="1"/>
      <c r="F10058" s="1" t="str">
        <f>IFERROR(__xludf.DUMMYFUNCTION("GOOGLETRANSLATE(B10058, ""en"", ""fa"")
"),"موفقیت Etsy")</f>
        <v>موفقیت Etsy</v>
      </c>
      <c r="G10058" s="1" t="str">
        <f>IFERROR(__xludf.DUMMYFUNCTION("GOOGLETRANSLATE(C10058, ""en"", ""fa"")
"),"چگونه می توانم فرآیندهای ارسال و تکمیل رقبای خود را در Etsy ارزیابی کنم تا زمینه های بالقوه برای بهبود در عملیات خود را شناسایی کنم؟")</f>
        <v>چگونه می توانم فرآیندهای ارسال و تکمیل رقبای خود را در Etsy ارزیابی کنم تا زمینه های بالقوه برای بهبود در عملیات خود را شناسایی کنم؟</v>
      </c>
      <c r="H10058" s="1"/>
      <c r="I10058" s="1"/>
      <c r="J10058" s="1"/>
      <c r="K10058" s="1"/>
      <c r="L10058" s="1"/>
      <c r="M10058" s="1"/>
      <c r="N10058" s="1"/>
      <c r="O10058" s="1"/>
      <c r="P10058" s="1"/>
      <c r="Q10058" s="1"/>
      <c r="R10058" s="1"/>
      <c r="S10058" s="1"/>
      <c r="T10058" s="1"/>
      <c r="U10058" s="1"/>
      <c r="V10058" s="1"/>
      <c r="W10058" s="1"/>
      <c r="X10058" s="1"/>
      <c r="Y10058" s="1"/>
      <c r="Z10058" s="1"/>
      <c r="AA10058" s="1"/>
      <c r="AB10058" s="1"/>
    </row>
    <row r="10059" ht="50.25" customHeight="1">
      <c r="A10059" s="12">
        <v>10055.0</v>
      </c>
      <c r="B10059" s="13" t="s">
        <v>9604</v>
      </c>
      <c r="C10059" s="14" t="s">
        <v>10086</v>
      </c>
      <c r="D10059" s="1"/>
      <c r="E10059" s="1"/>
      <c r="F10059" s="1" t="str">
        <f>IFERROR(__xludf.DUMMYFUNCTION("GOOGLETRANSLATE(B10059, ""en"", ""fa"")
"),"موفقیت Etsy")</f>
        <v>موفقیت Etsy</v>
      </c>
      <c r="G10059" s="1" t="str">
        <f>IFERROR(__xludf.DUMMYFUNCTION("GOOGLETRANSLATE(C10059, ""en"", ""fa"")
"),"معیارها و شاخص های کلیدی برای ردیابی هنگام تجزیه و تحلیل عملکرد رقبای من در Etsy، مانند نرخ تبدیل، سرعت فروش، یا تعامل با مشتری چیست؟")</f>
        <v>معیارها و شاخص های کلیدی برای ردیابی هنگام تجزیه و تحلیل عملکرد رقبای من در Etsy، مانند نرخ تبدیل، سرعت فروش، یا تعامل با مشتری چیست؟</v>
      </c>
      <c r="H10059" s="1"/>
      <c r="I10059" s="1"/>
      <c r="J10059" s="1"/>
      <c r="K10059" s="1"/>
      <c r="L10059" s="1"/>
      <c r="M10059" s="1"/>
      <c r="N10059" s="1"/>
      <c r="O10059" s="1"/>
      <c r="P10059" s="1"/>
      <c r="Q10059" s="1"/>
      <c r="R10059" s="1"/>
      <c r="S10059" s="1"/>
      <c r="T10059" s="1"/>
      <c r="U10059" s="1"/>
      <c r="V10059" s="1"/>
      <c r="W10059" s="1"/>
      <c r="X10059" s="1"/>
      <c r="Y10059" s="1"/>
      <c r="Z10059" s="1"/>
      <c r="AA10059" s="1"/>
      <c r="AB10059" s="1"/>
    </row>
    <row r="10060" ht="50.25" customHeight="1">
      <c r="A10060" s="12">
        <v>10056.0</v>
      </c>
      <c r="B10060" s="13" t="s">
        <v>9604</v>
      </c>
      <c r="C10060" s="14" t="s">
        <v>10087</v>
      </c>
      <c r="D10060" s="1"/>
      <c r="E10060" s="1"/>
      <c r="F10060" s="1" t="str">
        <f>IFERROR(__xludf.DUMMYFUNCTION("GOOGLETRANSLATE(B10060, ""en"", ""fa"")
"),"موفقیت Etsy")</f>
        <v>موفقیت Etsy</v>
      </c>
      <c r="G10060" s="1" t="str">
        <f>IFERROR(__xludf.DUMMYFUNCTION("GOOGLETRANSLATE(C10060, ""en"", ""fa"")
"),"چگونه می توانم کلمات کلیدی و برچسب های رقبای خود را در Etsy تحقیق و تجزیه و تحلیل کنم تا سئوی فهرست خود را بهینه کنم و دید در نتایج جستجو را بهبود بخشم؟")</f>
        <v>چگونه می توانم کلمات کلیدی و برچسب های رقبای خود را در Etsy تحقیق و تجزیه و تحلیل کنم تا سئوی فهرست خود را بهینه کنم و دید در نتایج جستجو را بهبود بخشم؟</v>
      </c>
      <c r="H10060" s="1"/>
      <c r="I10060" s="1"/>
      <c r="J10060" s="1"/>
      <c r="K10060" s="1"/>
      <c r="L10060" s="1"/>
      <c r="M10060" s="1"/>
      <c r="N10060" s="1"/>
      <c r="O10060" s="1"/>
      <c r="P10060" s="1"/>
      <c r="Q10060" s="1"/>
      <c r="R10060" s="1"/>
      <c r="S10060" s="1"/>
      <c r="T10060" s="1"/>
      <c r="U10060" s="1"/>
      <c r="V10060" s="1"/>
      <c r="W10060" s="1"/>
      <c r="X10060" s="1"/>
      <c r="Y10060" s="1"/>
      <c r="Z10060" s="1"/>
      <c r="AA10060" s="1"/>
      <c r="AB10060" s="1"/>
    </row>
    <row r="10061" ht="50.25" customHeight="1">
      <c r="A10061" s="12">
        <v>10057.0</v>
      </c>
      <c r="B10061" s="13" t="s">
        <v>9604</v>
      </c>
      <c r="C10061" s="14" t="s">
        <v>10088</v>
      </c>
      <c r="D10061" s="1"/>
      <c r="E10061" s="1"/>
      <c r="F10061" s="1" t="str">
        <f>IFERROR(__xludf.DUMMYFUNCTION("GOOGLETRANSLATE(B10061, ""en"", ""fa"")
"),"موفقیت Etsy")</f>
        <v>موفقیت Etsy</v>
      </c>
      <c r="G10061" s="1" t="str">
        <f>IFERROR(__xludf.DUMMYFUNCTION("GOOGLETRANSLATE(C10061, ""en"", ""fa"")
"),"استراتژی‌هایی برای تجزیه و تحلیل حضور و مشارکت رقبای من در رسانه‌های اجتماعی برای درک استراتژی‌های بازاریابی و دسترسی مخاطبان آن‌ها چیست؟")</f>
        <v>استراتژی‌هایی برای تجزیه و تحلیل حضور و مشارکت رقبای من در رسانه‌های اجتماعی برای درک استراتژی‌های بازاریابی و دسترسی مخاطبان آن‌ها چیست؟</v>
      </c>
      <c r="H10061" s="1"/>
      <c r="I10061" s="1"/>
      <c r="J10061" s="1"/>
      <c r="K10061" s="1"/>
      <c r="L10061" s="1"/>
      <c r="M10061" s="1"/>
      <c r="N10061" s="1"/>
      <c r="O10061" s="1"/>
      <c r="P10061" s="1"/>
      <c r="Q10061" s="1"/>
      <c r="R10061" s="1"/>
      <c r="S10061" s="1"/>
      <c r="T10061" s="1"/>
      <c r="U10061" s="1"/>
      <c r="V10061" s="1"/>
      <c r="W10061" s="1"/>
      <c r="X10061" s="1"/>
      <c r="Y10061" s="1"/>
      <c r="Z10061" s="1"/>
      <c r="AA10061" s="1"/>
      <c r="AB10061" s="1"/>
    </row>
    <row r="10062" ht="50.25" customHeight="1">
      <c r="A10062" s="12">
        <v>10058.0</v>
      </c>
      <c r="B10062" s="13" t="s">
        <v>9604</v>
      </c>
      <c r="C10062" s="14" t="s">
        <v>10089</v>
      </c>
      <c r="D10062" s="1"/>
      <c r="E10062" s="1"/>
      <c r="F10062" s="1" t="str">
        <f>IFERROR(__xludf.DUMMYFUNCTION("GOOGLETRANSLATE(B10062, ""en"", ""fa"")
"),"موفقیت Etsy")</f>
        <v>موفقیت Etsy</v>
      </c>
      <c r="G10062" s="1" t="str">
        <f>IFERROR(__xludf.DUMMYFUNCTION("GOOGLETRANSLATE(C10062, ""en"", ""fa"")
"),"چگونه می توانم خدمات مشتری و پاسخگویی رقبای خود را در Etsy ارزیابی کنم تا فرصت های ارائه یک تجربه مشتری برتر را شناسایی کنم؟")</f>
        <v>چگونه می توانم خدمات مشتری و پاسخگویی رقبای خود را در Etsy ارزیابی کنم تا فرصت های ارائه یک تجربه مشتری برتر را شناسایی کنم؟</v>
      </c>
      <c r="H10062" s="1"/>
      <c r="I10062" s="1"/>
      <c r="J10062" s="1"/>
      <c r="K10062" s="1"/>
      <c r="L10062" s="1"/>
      <c r="M10062" s="1"/>
      <c r="N10062" s="1"/>
      <c r="O10062" s="1"/>
      <c r="P10062" s="1"/>
      <c r="Q10062" s="1"/>
      <c r="R10062" s="1"/>
      <c r="S10062" s="1"/>
      <c r="T10062" s="1"/>
      <c r="U10062" s="1"/>
      <c r="V10062" s="1"/>
      <c r="W10062" s="1"/>
      <c r="X10062" s="1"/>
      <c r="Y10062" s="1"/>
      <c r="Z10062" s="1"/>
      <c r="AA10062" s="1"/>
      <c r="AB10062" s="1"/>
    </row>
    <row r="10063" ht="50.25" customHeight="1">
      <c r="A10063" s="12">
        <v>10059.0</v>
      </c>
      <c r="B10063" s="13" t="s">
        <v>9604</v>
      </c>
      <c r="C10063" s="14" t="s">
        <v>10090</v>
      </c>
      <c r="D10063" s="1"/>
      <c r="E10063" s="1"/>
      <c r="F10063" s="1" t="str">
        <f>IFERROR(__xludf.DUMMYFUNCTION("GOOGLETRANSLATE(B10063, ""en"", ""fa"")
"),"موفقیت Etsy")</f>
        <v>موفقیت Etsy</v>
      </c>
      <c r="G10063" s="1" t="str">
        <f>IFERROR(__xludf.DUMMYFUNCTION("GOOGLETRANSLATE(C10063, ""en"", ""fa"")
"),"ملاحظات برای تجزیه و تحلیل بازخوردها و شکایات مشتریان رقبای من در مورد Etsy برای شناسایی شکاف های بالقوه محصول یا خدماتی که می توانم پر کنم چیست؟")</f>
        <v>ملاحظات برای تجزیه و تحلیل بازخوردها و شکایات مشتریان رقبای من در مورد Etsy برای شناسایی شکاف های بالقوه محصول یا خدماتی که می توانم پر کنم چیست؟</v>
      </c>
      <c r="H10063" s="1"/>
      <c r="I10063" s="1"/>
      <c r="J10063" s="1"/>
      <c r="K10063" s="1"/>
      <c r="L10063" s="1"/>
      <c r="M10063" s="1"/>
      <c r="N10063" s="1"/>
      <c r="O10063" s="1"/>
      <c r="P10063" s="1"/>
      <c r="Q10063" s="1"/>
      <c r="R10063" s="1"/>
      <c r="S10063" s="1"/>
      <c r="T10063" s="1"/>
      <c r="U10063" s="1"/>
      <c r="V10063" s="1"/>
      <c r="W10063" s="1"/>
      <c r="X10063" s="1"/>
      <c r="Y10063" s="1"/>
      <c r="Z10063" s="1"/>
      <c r="AA10063" s="1"/>
      <c r="AB10063" s="1"/>
    </row>
    <row r="10064" ht="50.25" customHeight="1">
      <c r="A10064" s="12">
        <v>10060.0</v>
      </c>
      <c r="B10064" s="13" t="s">
        <v>9604</v>
      </c>
      <c r="C10064" s="14" t="s">
        <v>10091</v>
      </c>
      <c r="D10064" s="1"/>
      <c r="E10064" s="1"/>
      <c r="F10064" s="1" t="str">
        <f>IFERROR(__xludf.DUMMYFUNCTION("GOOGLETRANSLATE(B10064, ""en"", ""fa"")
"),"موفقیت Etsy")</f>
        <v>موفقیت Etsy</v>
      </c>
      <c r="G10064" s="1" t="str">
        <f>IFERROR(__xludf.DUMMYFUNCTION("GOOGLETRANSLATE(C10064, ""en"", ""fa"")
"),"چگونه می توانم استراتژی های حفظ مشتری و وفاداری رقبای خود را در Etsy ارزیابی کنم تا بینشی در مورد نرخ خرید تکراری و مدیریت ارتباط با مشتری کسب کنم؟")</f>
        <v>چگونه می توانم استراتژی های حفظ مشتری و وفاداری رقبای خود را در Etsy ارزیابی کنم تا بینشی در مورد نرخ خرید تکراری و مدیریت ارتباط با مشتری کسب کنم؟</v>
      </c>
      <c r="H10064" s="1"/>
      <c r="I10064" s="1"/>
      <c r="J10064" s="1"/>
      <c r="K10064" s="1"/>
      <c r="L10064" s="1"/>
      <c r="M10064" s="1"/>
      <c r="N10064" s="1"/>
      <c r="O10064" s="1"/>
      <c r="P10064" s="1"/>
      <c r="Q10064" s="1"/>
      <c r="R10064" s="1"/>
      <c r="S10064" s="1"/>
      <c r="T10064" s="1"/>
      <c r="U10064" s="1"/>
      <c r="V10064" s="1"/>
      <c r="W10064" s="1"/>
      <c r="X10064" s="1"/>
      <c r="Y10064" s="1"/>
      <c r="Z10064" s="1"/>
      <c r="AA10064" s="1"/>
      <c r="AB10064" s="1"/>
    </row>
    <row r="10065" ht="50.25" customHeight="1">
      <c r="A10065" s="12">
        <v>10061.0</v>
      </c>
      <c r="B10065" s="13" t="s">
        <v>9604</v>
      </c>
      <c r="C10065" s="14" t="s">
        <v>10092</v>
      </c>
      <c r="D10065" s="1"/>
      <c r="E10065" s="1"/>
      <c r="F10065" s="1" t="str">
        <f>IFERROR(__xludf.DUMMYFUNCTION("GOOGLETRANSLATE(B10065, ""en"", ""fa"")
"),"موفقیت Etsy")</f>
        <v>موفقیت Etsy</v>
      </c>
      <c r="G10065" s="1" t="str">
        <f>IFERROR(__xludf.DUMMYFUNCTION("GOOGLETRANSLATE(C10065, ""en"", ""fa"")
"),"استراتژی‌های تحقیق درباره بسته‌بندی و ارائه محصول رقبای من برای شناسایی راه‌هایی برای ارتقای برند و تجربه مشتری من چیست؟")</f>
        <v>استراتژی‌های تحقیق درباره بسته‌بندی و ارائه محصول رقبای من برای شناسایی راه‌هایی برای ارتقای برند و تجربه مشتری من چیست؟</v>
      </c>
      <c r="H10065" s="1"/>
      <c r="I10065" s="1"/>
      <c r="J10065" s="1"/>
      <c r="K10065" s="1"/>
      <c r="L10065" s="1"/>
      <c r="M10065" s="1"/>
      <c r="N10065" s="1"/>
      <c r="O10065" s="1"/>
      <c r="P10065" s="1"/>
      <c r="Q10065" s="1"/>
      <c r="R10065" s="1"/>
      <c r="S10065" s="1"/>
      <c r="T10065" s="1"/>
      <c r="U10065" s="1"/>
      <c r="V10065" s="1"/>
      <c r="W10065" s="1"/>
      <c r="X10065" s="1"/>
      <c r="Y10065" s="1"/>
      <c r="Z10065" s="1"/>
      <c r="AA10065" s="1"/>
      <c r="AB10065" s="1"/>
    </row>
    <row r="10066" ht="50.25" customHeight="1">
      <c r="A10066" s="12">
        <v>10062.0</v>
      </c>
      <c r="B10066" s="13" t="s">
        <v>9604</v>
      </c>
      <c r="C10066" s="14" t="s">
        <v>10093</v>
      </c>
      <c r="D10066" s="1"/>
      <c r="E10066" s="1"/>
      <c r="F10066" s="1" t="str">
        <f>IFERROR(__xludf.DUMMYFUNCTION("GOOGLETRANSLATE(B10066, ""en"", ""fa"")
"),"موفقیت Etsy")</f>
        <v>موفقیت Etsy</v>
      </c>
      <c r="G10066" s="1" t="str">
        <f>IFERROR(__xludf.DUMMYFUNCTION("GOOGLETRANSLATE(C10066, ""en"", ""fa"")
"),"چگونه می‌توانم استراتژی‌های بهینه‌سازی فهرست رقبای خود، مانند عناوین، توضیحات و برچسب‌ها را تجزیه و تحلیل کنم تا دید و قابلیت کشف محصولات خود را بهبود بخشم؟")</f>
        <v>چگونه می‌توانم استراتژی‌های بهینه‌سازی فهرست رقبای خود، مانند عناوین، توضیحات و برچسب‌ها را تجزیه و تحلیل کنم تا دید و قابلیت کشف محصولات خود را بهبود بخشم؟</v>
      </c>
      <c r="H10066" s="1"/>
      <c r="I10066" s="1"/>
      <c r="J10066" s="1"/>
      <c r="K10066" s="1"/>
      <c r="L10066" s="1"/>
      <c r="M10066" s="1"/>
      <c r="N10066" s="1"/>
      <c r="O10066" s="1"/>
      <c r="P10066" s="1"/>
      <c r="Q10066" s="1"/>
      <c r="R10066" s="1"/>
      <c r="S10066" s="1"/>
      <c r="T10066" s="1"/>
      <c r="U10066" s="1"/>
      <c r="V10066" s="1"/>
      <c r="W10066" s="1"/>
      <c r="X10066" s="1"/>
      <c r="Y10066" s="1"/>
      <c r="Z10066" s="1"/>
      <c r="AA10066" s="1"/>
      <c r="AB10066" s="1"/>
    </row>
    <row r="10067" ht="50.25" customHeight="1">
      <c r="A10067" s="12">
        <v>10063.0</v>
      </c>
      <c r="B10067" s="13" t="s">
        <v>9604</v>
      </c>
      <c r="C10067" s="14" t="s">
        <v>10094</v>
      </c>
      <c r="D10067" s="1"/>
      <c r="E10067" s="1"/>
      <c r="F10067" s="1" t="str">
        <f>IFERROR(__xludf.DUMMYFUNCTION("GOOGLETRANSLATE(B10067, ""en"", ""fa"")
"),"موفقیت Etsy")</f>
        <v>موفقیت Etsy</v>
      </c>
      <c r="G10067" s="1" t="str">
        <f>IFERROR(__xludf.DUMMYFUNCTION("GOOGLETRANSLATE(C10067, ""en"", ""fa"")
"),"ملاحظات برای تجزیه و تحلیل تلاش‌های بازاریابی و تبلیغات رقبای من در Etsy برای شناسایی کانال‌های موثر یا تاکتیک‌های تبلیغاتی که می‌توانم اجرا کنم چیست؟")</f>
        <v>ملاحظات برای تجزیه و تحلیل تلاش‌های بازاریابی و تبلیغات رقبای من در Etsy برای شناسایی کانال‌های موثر یا تاکتیک‌های تبلیغاتی که می‌توانم اجرا کنم چیست؟</v>
      </c>
      <c r="H10067" s="1"/>
      <c r="I10067" s="1"/>
      <c r="J10067" s="1"/>
      <c r="K10067" s="1"/>
      <c r="L10067" s="1"/>
      <c r="M10067" s="1"/>
      <c r="N10067" s="1"/>
      <c r="O10067" s="1"/>
      <c r="P10067" s="1"/>
      <c r="Q10067" s="1"/>
      <c r="R10067" s="1"/>
      <c r="S10067" s="1"/>
      <c r="T10067" s="1"/>
      <c r="U10067" s="1"/>
      <c r="V10067" s="1"/>
      <c r="W10067" s="1"/>
      <c r="X10067" s="1"/>
      <c r="Y10067" s="1"/>
      <c r="Z10067" s="1"/>
      <c r="AA10067" s="1"/>
      <c r="AB10067" s="1"/>
    </row>
    <row r="10068" ht="50.25" customHeight="1">
      <c r="A10068" s="12">
        <v>10064.0</v>
      </c>
      <c r="B10068" s="13" t="s">
        <v>9604</v>
      </c>
      <c r="C10068" s="14" t="s">
        <v>10095</v>
      </c>
      <c r="D10068" s="1"/>
      <c r="E10068" s="1"/>
      <c r="F10068" s="1" t="str">
        <f>IFERROR(__xludf.DUMMYFUNCTION("GOOGLETRANSLATE(B10068, ""en"", ""fa"")
"),"موفقیت Etsy")</f>
        <v>موفقیت Etsy</v>
      </c>
      <c r="G10068" s="1" t="str">
        <f>IFERROR(__xludf.DUMMYFUNCTION("GOOGLETRANSLATE(C10068, ""en"", ""fa"")
"),"چگونه می توانم استراتژی های جذب مشتری رقبای خود را در Etsy ارزیابی کنم، مانند همکاری ها یا برنامه های وابسته، تا فرصت های مشارکت بالقوه را کشف کنم؟")</f>
        <v>چگونه می توانم استراتژی های جذب مشتری رقبای خود را در Etsy ارزیابی کنم، مانند همکاری ها یا برنامه های وابسته، تا فرصت های مشارکت بالقوه را کشف کنم؟</v>
      </c>
      <c r="H10068" s="1"/>
      <c r="I10068" s="1"/>
      <c r="J10068" s="1"/>
      <c r="K10068" s="1"/>
      <c r="L10068" s="1"/>
      <c r="M10068" s="1"/>
      <c r="N10068" s="1"/>
      <c r="O10068" s="1"/>
      <c r="P10068" s="1"/>
      <c r="Q10068" s="1"/>
      <c r="R10068" s="1"/>
      <c r="S10068" s="1"/>
      <c r="T10068" s="1"/>
      <c r="U10068" s="1"/>
      <c r="V10068" s="1"/>
      <c r="W10068" s="1"/>
      <c r="X10068" s="1"/>
      <c r="Y10068" s="1"/>
      <c r="Z10068" s="1"/>
      <c r="AA10068" s="1"/>
      <c r="AB10068" s="1"/>
    </row>
    <row r="10069" ht="50.25" customHeight="1">
      <c r="A10069" s="12">
        <v>10065.0</v>
      </c>
      <c r="B10069" s="13" t="s">
        <v>9604</v>
      </c>
      <c r="C10069" s="14" t="s">
        <v>10096</v>
      </c>
      <c r="D10069" s="1"/>
      <c r="E10069" s="1"/>
      <c r="F10069" s="1" t="str">
        <f>IFERROR(__xludf.DUMMYFUNCTION("GOOGLETRANSLATE(B10069, ""en"", ""fa"")
"),"موفقیت Etsy")</f>
        <v>موفقیت Etsy</v>
      </c>
      <c r="G10069" s="1" t="str">
        <f>IFERROR(__xludf.DUMMYFUNCTION("GOOGLETRANSLATE(C10069, ""en"", ""fa"")
"),"استراتژی‌هایی برای ایجاد یک نمایه رسانه‌های اجتماعی جذاب و جذاب که با برند Etsy من همسو باشد چیست؟")</f>
        <v>استراتژی‌هایی برای ایجاد یک نمایه رسانه‌های اجتماعی جذاب و جذاب که با برند Etsy من همسو باشد چیست؟</v>
      </c>
      <c r="H10069" s="1"/>
      <c r="I10069" s="1"/>
      <c r="J10069" s="1"/>
      <c r="K10069" s="1"/>
      <c r="L10069" s="1"/>
      <c r="M10069" s="1"/>
      <c r="N10069" s="1"/>
      <c r="O10069" s="1"/>
      <c r="P10069" s="1"/>
      <c r="Q10069" s="1"/>
      <c r="R10069" s="1"/>
      <c r="S10069" s="1"/>
      <c r="T10069" s="1"/>
      <c r="U10069" s="1"/>
      <c r="V10069" s="1"/>
      <c r="W10069" s="1"/>
      <c r="X10069" s="1"/>
      <c r="Y10069" s="1"/>
      <c r="Z10069" s="1"/>
      <c r="AA10069" s="1"/>
      <c r="AB10069" s="1"/>
    </row>
    <row r="10070" ht="50.25" customHeight="1">
      <c r="A10070" s="12">
        <v>10066.0</v>
      </c>
      <c r="B10070" s="13" t="s">
        <v>9604</v>
      </c>
      <c r="C10070" s="14" t="s">
        <v>10097</v>
      </c>
      <c r="D10070" s="1"/>
      <c r="E10070" s="1"/>
      <c r="F10070" s="1" t="str">
        <f>IFERROR(__xludf.DUMMYFUNCTION("GOOGLETRANSLATE(B10070, ""en"", ""fa"")
"),"موفقیت Etsy")</f>
        <v>موفقیت Etsy</v>
      </c>
      <c r="G10070" s="1" t="str">
        <f>IFERROR(__xludf.DUMMYFUNCTION("GOOGLETRANSLATE(C10070, ""en"", ""fa"")
"),"چگونه می توانم پست های رسانه های اجتماعی خود را برای هدایت ترافیک و تبدیل به فروشگاه Etsy خود بهینه کنم؟")</f>
        <v>چگونه می توانم پست های رسانه های اجتماعی خود را برای هدایت ترافیک و تبدیل به فروشگاه Etsy خود بهینه کنم؟</v>
      </c>
      <c r="H10070" s="1"/>
      <c r="I10070" s="1"/>
      <c r="J10070" s="1"/>
      <c r="K10070" s="1"/>
      <c r="L10070" s="1"/>
      <c r="M10070" s="1"/>
      <c r="N10070" s="1"/>
      <c r="O10070" s="1"/>
      <c r="P10070" s="1"/>
      <c r="Q10070" s="1"/>
      <c r="R10070" s="1"/>
      <c r="S10070" s="1"/>
      <c r="T10070" s="1"/>
      <c r="U10070" s="1"/>
      <c r="V10070" s="1"/>
      <c r="W10070" s="1"/>
      <c r="X10070" s="1"/>
      <c r="Y10070" s="1"/>
      <c r="Z10070" s="1"/>
      <c r="AA10070" s="1"/>
      <c r="AB10070" s="1"/>
    </row>
    <row r="10071" ht="50.25" customHeight="1">
      <c r="A10071" s="12">
        <v>10067.0</v>
      </c>
      <c r="B10071" s="13" t="s">
        <v>9604</v>
      </c>
      <c r="C10071" s="14" t="s">
        <v>10098</v>
      </c>
      <c r="D10071" s="1"/>
      <c r="E10071" s="1"/>
      <c r="F10071" s="1" t="str">
        <f>IFERROR(__xludf.DUMMYFUNCTION("GOOGLETRANSLATE(B10071, ""en"", ""fa"")
"),"موفقیت Etsy")</f>
        <v>موفقیت Etsy</v>
      </c>
      <c r="G10071" s="1" t="str">
        <f>IFERROR(__xludf.DUMMYFUNCTION("GOOGLETRANSLATE(C10071, ""en"", ""fa"")
"),"ملاحظات برای شناسایی و تعامل با اینفلوئنسرها یا وبلاگ نویسان در جایگاه من برای تبلیغ محصولات Etsy چیست؟")</f>
        <v>ملاحظات برای شناسایی و تعامل با اینفلوئنسرها یا وبلاگ نویسان در جایگاه من برای تبلیغ محصولات Etsy چیست؟</v>
      </c>
      <c r="H10071" s="1"/>
      <c r="I10071" s="1"/>
      <c r="J10071" s="1"/>
      <c r="K10071" s="1"/>
      <c r="L10071" s="1"/>
      <c r="M10071" s="1"/>
      <c r="N10071" s="1"/>
      <c r="O10071" s="1"/>
      <c r="P10071" s="1"/>
      <c r="Q10071" s="1"/>
      <c r="R10071" s="1"/>
      <c r="S10071" s="1"/>
      <c r="T10071" s="1"/>
      <c r="U10071" s="1"/>
      <c r="V10071" s="1"/>
      <c r="W10071" s="1"/>
      <c r="X10071" s="1"/>
      <c r="Y10071" s="1"/>
      <c r="Z10071" s="1"/>
      <c r="AA10071" s="1"/>
      <c r="AB10071" s="1"/>
    </row>
    <row r="10072" ht="50.25" customHeight="1">
      <c r="A10072" s="12">
        <v>10068.0</v>
      </c>
      <c r="B10072" s="13" t="s">
        <v>9604</v>
      </c>
      <c r="C10072" s="14" t="s">
        <v>10099</v>
      </c>
      <c r="D10072" s="1"/>
      <c r="E10072" s="1"/>
      <c r="F10072" s="1" t="str">
        <f>IFERROR(__xludf.DUMMYFUNCTION("GOOGLETRANSLATE(B10072, ""en"", ""fa"")
"),"موفقیت Etsy")</f>
        <v>موفقیت Etsy</v>
      </c>
      <c r="G10072" s="1" t="str">
        <f>IFERROR(__xludf.DUMMYFUNCTION("GOOGLETRANSLATE(C10072, ""en"", ""fa"")
"),"چگونه می توانم از محتوای تولید شده توسط کاربر در رسانه های اجتماعی برای نشان دادن تجربیات مشتری و ایجاد مدرک اجتماعی برای فروشگاه Etsy خود استفاده کنم؟")</f>
        <v>چگونه می توانم از محتوای تولید شده توسط کاربر در رسانه های اجتماعی برای نشان دادن تجربیات مشتری و ایجاد مدرک اجتماعی برای فروشگاه Etsy خود استفاده کنم؟</v>
      </c>
      <c r="H10072" s="1"/>
      <c r="I10072" s="1"/>
      <c r="J10072" s="1"/>
      <c r="K10072" s="1"/>
      <c r="L10072" s="1"/>
      <c r="M10072" s="1"/>
      <c r="N10072" s="1"/>
      <c r="O10072" s="1"/>
      <c r="P10072" s="1"/>
      <c r="Q10072" s="1"/>
      <c r="R10072" s="1"/>
      <c r="S10072" s="1"/>
      <c r="T10072" s="1"/>
      <c r="U10072" s="1"/>
      <c r="V10072" s="1"/>
      <c r="W10072" s="1"/>
      <c r="X10072" s="1"/>
      <c r="Y10072" s="1"/>
      <c r="Z10072" s="1"/>
      <c r="AA10072" s="1"/>
      <c r="AB10072" s="1"/>
    </row>
    <row r="10073" ht="50.25" customHeight="1">
      <c r="A10073" s="12">
        <v>10069.0</v>
      </c>
      <c r="B10073" s="13" t="s">
        <v>9604</v>
      </c>
      <c r="C10073" s="14" t="s">
        <v>10100</v>
      </c>
      <c r="D10073" s="1"/>
      <c r="E10073" s="1"/>
      <c r="F10073" s="1" t="str">
        <f>IFERROR(__xludf.DUMMYFUNCTION("GOOGLETRANSLATE(B10073, ""en"", ""fa"")
"),"موفقیت Etsy")</f>
        <v>موفقیت Etsy</v>
      </c>
      <c r="G10073" s="1" t="str">
        <f>IFERROR(__xludf.DUMMYFUNCTION("GOOGLETRANSLATE(C10073, ""en"", ""fa"")
"),"راهبردهای اجرای مسابقات رسانه های اجتماعی یا هدایا برای افزایش تعامل و دسترسی در پلتفرم هایی مانند اینستاگرام یا فیس بوک چیست؟")</f>
        <v>راهبردهای اجرای مسابقات رسانه های اجتماعی یا هدایا برای افزایش تعامل و دسترسی در پلتفرم هایی مانند اینستاگرام یا فیس بوک چیست؟</v>
      </c>
      <c r="H10073" s="1"/>
      <c r="I10073" s="1"/>
      <c r="J10073" s="1"/>
      <c r="K10073" s="1"/>
      <c r="L10073" s="1"/>
      <c r="M10073" s="1"/>
      <c r="N10073" s="1"/>
      <c r="O10073" s="1"/>
      <c r="P10073" s="1"/>
      <c r="Q10073" s="1"/>
      <c r="R10073" s="1"/>
      <c r="S10073" s="1"/>
      <c r="T10073" s="1"/>
      <c r="U10073" s="1"/>
      <c r="V10073" s="1"/>
      <c r="W10073" s="1"/>
      <c r="X10073" s="1"/>
      <c r="Y10073" s="1"/>
      <c r="Z10073" s="1"/>
      <c r="AA10073" s="1"/>
      <c r="AB10073" s="1"/>
    </row>
    <row r="10074" ht="50.25" customHeight="1">
      <c r="A10074" s="12">
        <v>10070.0</v>
      </c>
      <c r="B10074" s="13" t="s">
        <v>9604</v>
      </c>
      <c r="C10074" s="14" t="s">
        <v>10101</v>
      </c>
      <c r="D10074" s="1"/>
      <c r="E10074" s="1"/>
      <c r="F10074" s="1" t="str">
        <f>IFERROR(__xludf.DUMMYFUNCTION("GOOGLETRANSLATE(B10074, ""en"", ""fa"")
"),"موفقیت Etsy")</f>
        <v>موفقیت Etsy</v>
      </c>
      <c r="G10074" s="1" t="str">
        <f>IFERROR(__xludf.DUMMYFUNCTION("GOOGLETRANSLATE(C10074, ""en"", ""fa"")
"),"چگونه می توانم از استوری های اینستاگرام یا فیس بوک لایو برای ارائه اجمالی اجمالی از پشت صحنه فرآیند خلاقیت خود و ارتباط با مخاطبانم استفاده کنم؟")</f>
        <v>چگونه می توانم از استوری های اینستاگرام یا فیس بوک لایو برای ارائه اجمالی اجمالی از پشت صحنه فرآیند خلاقیت خود و ارتباط با مخاطبانم استفاده کنم؟</v>
      </c>
      <c r="H10074" s="1"/>
      <c r="I10074" s="1"/>
      <c r="J10074" s="1"/>
      <c r="K10074" s="1"/>
      <c r="L10074" s="1"/>
      <c r="M10074" s="1"/>
      <c r="N10074" s="1"/>
      <c r="O10074" s="1"/>
      <c r="P10074" s="1"/>
      <c r="Q10074" s="1"/>
      <c r="R10074" s="1"/>
      <c r="S10074" s="1"/>
      <c r="T10074" s="1"/>
      <c r="U10074" s="1"/>
      <c r="V10074" s="1"/>
      <c r="W10074" s="1"/>
      <c r="X10074" s="1"/>
      <c r="Y10074" s="1"/>
      <c r="Z10074" s="1"/>
      <c r="AA10074" s="1"/>
      <c r="AB10074" s="1"/>
    </row>
    <row r="10075" ht="50.25" customHeight="1">
      <c r="A10075" s="12">
        <v>10071.0</v>
      </c>
      <c r="B10075" s="13" t="s">
        <v>9604</v>
      </c>
      <c r="C10075" s="14" t="s">
        <v>10102</v>
      </c>
      <c r="D10075" s="1"/>
      <c r="E10075" s="1"/>
      <c r="F10075" s="1" t="str">
        <f>IFERROR(__xludf.DUMMYFUNCTION("GOOGLETRANSLATE(B10075, ""en"", ""fa"")
"),"موفقیت Etsy")</f>
        <v>موفقیت Etsy</v>
      </c>
      <c r="G10075" s="1" t="str">
        <f>IFERROR(__xludf.DUMMYFUNCTION("GOOGLETRANSLATE(C10075, ""en"", ""fa"")
"),"بهترین روش ها برای استفاده موثر از هشتگ ها در رسانه های اجتماعی برای افزایش قابلیت کشف محصولات Etsy من چیست؟")</f>
        <v>بهترین روش ها برای استفاده موثر از هشتگ ها در رسانه های اجتماعی برای افزایش قابلیت کشف محصولات Etsy من چیست؟</v>
      </c>
      <c r="H10075" s="1"/>
      <c r="I10075" s="1"/>
      <c r="J10075" s="1"/>
      <c r="K10075" s="1"/>
      <c r="L10075" s="1"/>
      <c r="M10075" s="1"/>
      <c r="N10075" s="1"/>
      <c r="O10075" s="1"/>
      <c r="P10075" s="1"/>
      <c r="Q10075" s="1"/>
      <c r="R10075" s="1"/>
      <c r="S10075" s="1"/>
      <c r="T10075" s="1"/>
      <c r="U10075" s="1"/>
      <c r="V10075" s="1"/>
      <c r="W10075" s="1"/>
      <c r="X10075" s="1"/>
      <c r="Y10075" s="1"/>
      <c r="Z10075" s="1"/>
      <c r="AA10075" s="1"/>
      <c r="AB10075" s="1"/>
    </row>
    <row r="10076" ht="50.25" customHeight="1">
      <c r="A10076" s="12">
        <v>10072.0</v>
      </c>
      <c r="B10076" s="13" t="s">
        <v>9604</v>
      </c>
      <c r="C10076" s="14" t="s">
        <v>10103</v>
      </c>
      <c r="D10076" s="1"/>
      <c r="E10076" s="1"/>
      <c r="F10076" s="1" t="str">
        <f>IFERROR(__xludf.DUMMYFUNCTION("GOOGLETRANSLATE(B10076, ""en"", ""fa"")
"),"موفقیت Etsy")</f>
        <v>موفقیت Etsy</v>
      </c>
      <c r="G10076" s="1" t="str">
        <f>IFERROR(__xludf.DUMMYFUNCTION("GOOGLETRANSLATE(C10076, ""en"", ""fa"")
"),"چگونه می توانم با سایر فروشندگان Etsy یا مشاغل مکمل در رسانه های اجتماعی برای تبلیغ متقابل و گسترش دامنه دسترسی خود همکاری کنم؟")</f>
        <v>چگونه می توانم با سایر فروشندگان Etsy یا مشاغل مکمل در رسانه های اجتماعی برای تبلیغ متقابل و گسترش دامنه دسترسی خود همکاری کنم؟</v>
      </c>
      <c r="H10076" s="1"/>
      <c r="I10076" s="1"/>
      <c r="J10076" s="1"/>
      <c r="K10076" s="1"/>
      <c r="L10076" s="1"/>
      <c r="M10076" s="1"/>
      <c r="N10076" s="1"/>
      <c r="O10076" s="1"/>
      <c r="P10076" s="1"/>
      <c r="Q10076" s="1"/>
      <c r="R10076" s="1"/>
      <c r="S10076" s="1"/>
      <c r="T10076" s="1"/>
      <c r="U10076" s="1"/>
      <c r="V10076" s="1"/>
      <c r="W10076" s="1"/>
      <c r="X10076" s="1"/>
      <c r="Y10076" s="1"/>
      <c r="Z10076" s="1"/>
      <c r="AA10076" s="1"/>
      <c r="AB10076" s="1"/>
    </row>
    <row r="10077" ht="50.25" customHeight="1">
      <c r="A10077" s="12">
        <v>10073.0</v>
      </c>
      <c r="B10077" s="13" t="s">
        <v>9604</v>
      </c>
      <c r="C10077" s="14" t="s">
        <v>10104</v>
      </c>
      <c r="D10077" s="1"/>
      <c r="E10077" s="1"/>
      <c r="F10077" s="1" t="str">
        <f>IFERROR(__xludf.DUMMYFUNCTION("GOOGLETRANSLATE(B10077, ""en"", ""fa"")
"),"موفقیت Etsy")</f>
        <v>موفقیت Etsy</v>
      </c>
      <c r="G10077" s="1" t="str">
        <f>IFERROR(__xludf.DUMMYFUNCTION("GOOGLETRANSLATE(C10077, ""en"", ""fa"")
"),"ملاحظات برای گنجاندن تبلیغات رسانه های اجتماعی، مانند تبلیغات فیس بوک یا تبلیغات اینستاگرام، در استراتژی بازاریابی من برای Etsy چیست؟")</f>
        <v>ملاحظات برای گنجاندن تبلیغات رسانه های اجتماعی، مانند تبلیغات فیس بوک یا تبلیغات اینستاگرام، در استراتژی بازاریابی من برای Etsy چیست؟</v>
      </c>
      <c r="H10077" s="1"/>
      <c r="I10077" s="1"/>
      <c r="J10077" s="1"/>
      <c r="K10077" s="1"/>
      <c r="L10077" s="1"/>
      <c r="M10077" s="1"/>
      <c r="N10077" s="1"/>
      <c r="O10077" s="1"/>
      <c r="P10077" s="1"/>
      <c r="Q10077" s="1"/>
      <c r="R10077" s="1"/>
      <c r="S10077" s="1"/>
      <c r="T10077" s="1"/>
      <c r="U10077" s="1"/>
      <c r="V10077" s="1"/>
      <c r="W10077" s="1"/>
      <c r="X10077" s="1"/>
      <c r="Y10077" s="1"/>
      <c r="Z10077" s="1"/>
      <c r="AA10077" s="1"/>
      <c r="AB10077" s="1"/>
    </row>
    <row r="10078" ht="50.25" customHeight="1">
      <c r="A10078" s="12">
        <v>10074.0</v>
      </c>
      <c r="B10078" s="13" t="s">
        <v>9604</v>
      </c>
      <c r="C10078" s="14" t="s">
        <v>10105</v>
      </c>
      <c r="D10078" s="1"/>
      <c r="E10078" s="1"/>
      <c r="F10078" s="1" t="str">
        <f>IFERROR(__xludf.DUMMYFUNCTION("GOOGLETRANSLATE(B10078, ""en"", ""fa"")
"),"موفقیت Etsy")</f>
        <v>موفقیت Etsy</v>
      </c>
      <c r="G10078" s="1" t="str">
        <f>IFERROR(__xludf.DUMMYFUNCTION("GOOGLETRANSLATE(C10078, ""en"", ""fa"")
"),"چگونه می توانم محتوای جذاب و قابل اشتراک گذاری در رسانه های اجتماعی ایجاد کنم که با برند Etsy من همسو باشد و با مخاطبان هدف من طنین انداز شود؟")</f>
        <v>چگونه می توانم محتوای جذاب و قابل اشتراک گذاری در رسانه های اجتماعی ایجاد کنم که با برند Etsy من همسو باشد و با مخاطبان هدف من طنین انداز شود؟</v>
      </c>
      <c r="H10078" s="1"/>
      <c r="I10078" s="1"/>
      <c r="J10078" s="1"/>
      <c r="K10078" s="1"/>
      <c r="L10078" s="1"/>
      <c r="M10078" s="1"/>
      <c r="N10078" s="1"/>
      <c r="O10078" s="1"/>
      <c r="P10078" s="1"/>
      <c r="Q10078" s="1"/>
      <c r="R10078" s="1"/>
      <c r="S10078" s="1"/>
      <c r="T10078" s="1"/>
      <c r="U10078" s="1"/>
      <c r="V10078" s="1"/>
      <c r="W10078" s="1"/>
      <c r="X10078" s="1"/>
      <c r="Y10078" s="1"/>
      <c r="Z10078" s="1"/>
      <c r="AA10078" s="1"/>
      <c r="AB10078" s="1"/>
    </row>
    <row r="10079" ht="50.25" customHeight="1">
      <c r="A10079" s="12">
        <v>10075.0</v>
      </c>
      <c r="B10079" s="13" t="s">
        <v>9604</v>
      </c>
      <c r="C10079" s="14" t="s">
        <v>10106</v>
      </c>
      <c r="D10079" s="1"/>
      <c r="E10079" s="1"/>
      <c r="F10079" s="1" t="str">
        <f>IFERROR(__xludf.DUMMYFUNCTION("GOOGLETRANSLATE(B10079, ""en"", ""fa"")
"),"موفقیت Etsy")</f>
        <v>موفقیت Etsy</v>
      </c>
      <c r="G10079" s="1" t="str">
        <f>IFERROR(__xludf.DUMMYFUNCTION("GOOGLETRANSLATE(C10079, ""en"", ""fa"")
"),"استراتژی‌های ایجاد و پرورش یک جامعه آنلاین یا گروه فیس‌بوک در اطراف محصولات یا جایگاه من Etsy چیست؟")</f>
        <v>استراتژی‌های ایجاد و پرورش یک جامعه آنلاین یا گروه فیس‌بوک در اطراف محصولات یا جایگاه من Etsy چیست؟</v>
      </c>
      <c r="H10079" s="1"/>
      <c r="I10079" s="1"/>
      <c r="J10079" s="1"/>
      <c r="K10079" s="1"/>
      <c r="L10079" s="1"/>
      <c r="M10079" s="1"/>
      <c r="N10079" s="1"/>
      <c r="O10079" s="1"/>
      <c r="P10079" s="1"/>
      <c r="Q10079" s="1"/>
      <c r="R10079" s="1"/>
      <c r="S10079" s="1"/>
      <c r="T10079" s="1"/>
      <c r="U10079" s="1"/>
      <c r="V10079" s="1"/>
      <c r="W10079" s="1"/>
      <c r="X10079" s="1"/>
      <c r="Y10079" s="1"/>
      <c r="Z10079" s="1"/>
      <c r="AA10079" s="1"/>
      <c r="AB10079" s="1"/>
    </row>
    <row r="10080" ht="50.25" customHeight="1">
      <c r="A10080" s="12">
        <v>10076.0</v>
      </c>
      <c r="B10080" s="13" t="s">
        <v>9604</v>
      </c>
      <c r="C10080" s="14" t="s">
        <v>10107</v>
      </c>
      <c r="D10080" s="1"/>
      <c r="E10080" s="1"/>
      <c r="F10080" s="1" t="str">
        <f>IFERROR(__xludf.DUMMYFUNCTION("GOOGLETRANSLATE(B10080, ""en"", ""fa"")
"),"موفقیت Etsy")</f>
        <v>موفقیت Etsy</v>
      </c>
      <c r="G10080" s="1" t="str">
        <f>IFERROR(__xludf.DUMMYFUNCTION("GOOGLETRANSLATE(C10080, ""en"", ""fa"")
"),"چگونه می توانم از مشارکت اینفلوئنسرها در پلتفرم هایی مانند TikTok یا YouTube برای افزایش آگاهی از برند و افزایش فروش برای فروشگاه Etsy خود استفاده کنم؟")</f>
        <v>چگونه می توانم از مشارکت اینفلوئنسرها در پلتفرم هایی مانند TikTok یا YouTube برای افزایش آگاهی از برند و افزایش فروش برای فروشگاه Etsy خود استفاده کنم؟</v>
      </c>
      <c r="H10080" s="1"/>
      <c r="I10080" s="1"/>
      <c r="J10080" s="1"/>
      <c r="K10080" s="1"/>
      <c r="L10080" s="1"/>
      <c r="M10080" s="1"/>
      <c r="N10080" s="1"/>
      <c r="O10080" s="1"/>
      <c r="P10080" s="1"/>
      <c r="Q10080" s="1"/>
      <c r="R10080" s="1"/>
      <c r="S10080" s="1"/>
      <c r="T10080" s="1"/>
      <c r="U10080" s="1"/>
      <c r="V10080" s="1"/>
      <c r="W10080" s="1"/>
      <c r="X10080" s="1"/>
      <c r="Y10080" s="1"/>
      <c r="Z10080" s="1"/>
      <c r="AA10080" s="1"/>
      <c r="AB10080" s="1"/>
    </row>
    <row r="10081" ht="50.25" customHeight="1">
      <c r="A10081" s="12">
        <v>10077.0</v>
      </c>
      <c r="B10081" s="13" t="s">
        <v>9604</v>
      </c>
      <c r="C10081" s="14" t="s">
        <v>10108</v>
      </c>
      <c r="D10081" s="1"/>
      <c r="E10081" s="1"/>
      <c r="F10081" s="1" t="str">
        <f>IFERROR(__xludf.DUMMYFUNCTION("GOOGLETRANSLATE(B10081, ""en"", ""fa"")
"),"موفقیت Etsy")</f>
        <v>موفقیت Etsy</v>
      </c>
      <c r="G10081" s="1" t="str">
        <f>IFERROR(__xludf.DUMMYFUNCTION("GOOGLETRANSLATE(C10081, ""en"", ""fa"")
"),"ملاحظات برای استفاده از تجزیه و تحلیل رسانه های اجتماعی و بینش برای ردیابی عملکرد و تأثیر تلاش های بازاریابی رسانه های اجتماعی من چیست؟")</f>
        <v>ملاحظات برای استفاده از تجزیه و تحلیل رسانه های اجتماعی و بینش برای ردیابی عملکرد و تأثیر تلاش های بازاریابی رسانه های اجتماعی من چیست؟</v>
      </c>
      <c r="H10081" s="1"/>
      <c r="I10081" s="1"/>
      <c r="J10081" s="1"/>
      <c r="K10081" s="1"/>
      <c r="L10081" s="1"/>
      <c r="M10081" s="1"/>
      <c r="N10081" s="1"/>
      <c r="O10081" s="1"/>
      <c r="P10081" s="1"/>
      <c r="Q10081" s="1"/>
      <c r="R10081" s="1"/>
      <c r="S10081" s="1"/>
      <c r="T10081" s="1"/>
      <c r="U10081" s="1"/>
      <c r="V10081" s="1"/>
      <c r="W10081" s="1"/>
      <c r="X10081" s="1"/>
      <c r="Y10081" s="1"/>
      <c r="Z10081" s="1"/>
      <c r="AA10081" s="1"/>
      <c r="AB10081" s="1"/>
    </row>
    <row r="10082" ht="50.25" customHeight="1">
      <c r="A10082" s="12">
        <v>10078.0</v>
      </c>
      <c r="B10082" s="13" t="s">
        <v>9604</v>
      </c>
      <c r="C10082" s="14" t="s">
        <v>10109</v>
      </c>
      <c r="D10082" s="1"/>
      <c r="E10082" s="1"/>
      <c r="F10082" s="1" t="str">
        <f>IFERROR(__xludf.DUMMYFUNCTION("GOOGLETRANSLATE(B10082, ""en"", ""fa"")
"),"موفقیت Etsy")</f>
        <v>موفقیت Etsy</v>
      </c>
      <c r="G10082" s="1" t="str">
        <f>IFERROR(__xludf.DUMMYFUNCTION("GOOGLETRANSLATE(C10082, ""en"", ""fa"")
"),"چگونه می توانم به طور موثر از Pinterest برای نمایش محصولات Etsy خود، هدایت ترافیک به فروشگاه و افزایش فروش استفاده کنم؟")</f>
        <v>چگونه می توانم به طور موثر از Pinterest برای نمایش محصولات Etsy خود، هدایت ترافیک به فروشگاه و افزایش فروش استفاده کنم؟</v>
      </c>
      <c r="H10082" s="1"/>
      <c r="I10082" s="1"/>
      <c r="J10082" s="1"/>
      <c r="K10082" s="1"/>
      <c r="L10082" s="1"/>
      <c r="M10082" s="1"/>
      <c r="N10082" s="1"/>
      <c r="O10082" s="1"/>
      <c r="P10082" s="1"/>
      <c r="Q10082" s="1"/>
      <c r="R10082" s="1"/>
      <c r="S10082" s="1"/>
      <c r="T10082" s="1"/>
      <c r="U10082" s="1"/>
      <c r="V10082" s="1"/>
      <c r="W10082" s="1"/>
      <c r="X10082" s="1"/>
      <c r="Y10082" s="1"/>
      <c r="Z10082" s="1"/>
      <c r="AA10082" s="1"/>
      <c r="AB10082" s="1"/>
    </row>
    <row r="10083" ht="50.25" customHeight="1">
      <c r="A10083" s="12">
        <v>10079.0</v>
      </c>
      <c r="B10083" s="13" t="s">
        <v>9604</v>
      </c>
      <c r="C10083" s="14" t="s">
        <v>10110</v>
      </c>
      <c r="D10083" s="1"/>
      <c r="E10083" s="1"/>
      <c r="F10083" s="1" t="str">
        <f>IFERROR(__xludf.DUMMYFUNCTION("GOOGLETRANSLATE(B10083, ""en"", ""fa"")
"),"موفقیت Etsy")</f>
        <v>موفقیت Etsy</v>
      </c>
      <c r="G10083" s="1" t="str">
        <f>IFERROR(__xludf.DUMMYFUNCTION("GOOGLETRANSLATE(C10083, ""en"", ""fa"")
"),"راهبردهای ایجاد محتوای ویدیویی جذاب، مانند آموزش یا نمایش محصولات، برای پلتفرم هایی مانند YouTube یا Instagram Reels چیست؟")</f>
        <v>راهبردهای ایجاد محتوای ویدیویی جذاب، مانند آموزش یا نمایش محصولات، برای پلتفرم هایی مانند YouTube یا Instagram Reels چیست؟</v>
      </c>
      <c r="H10083" s="1"/>
      <c r="I10083" s="1"/>
      <c r="J10083" s="1"/>
      <c r="K10083" s="1"/>
      <c r="L10083" s="1"/>
      <c r="M10083" s="1"/>
      <c r="N10083" s="1"/>
      <c r="O10083" s="1"/>
      <c r="P10083" s="1"/>
      <c r="Q10083" s="1"/>
      <c r="R10083" s="1"/>
      <c r="S10083" s="1"/>
      <c r="T10083" s="1"/>
      <c r="U10083" s="1"/>
      <c r="V10083" s="1"/>
      <c r="W10083" s="1"/>
      <c r="X10083" s="1"/>
      <c r="Y10083" s="1"/>
      <c r="Z10083" s="1"/>
      <c r="AA10083" s="1"/>
      <c r="AB10083" s="1"/>
    </row>
    <row r="10084" ht="50.25" customHeight="1">
      <c r="A10084" s="12">
        <v>10080.0</v>
      </c>
      <c r="B10084" s="13" t="s">
        <v>9604</v>
      </c>
      <c r="C10084" s="14" t="s">
        <v>10111</v>
      </c>
      <c r="D10084" s="1"/>
      <c r="E10084" s="1"/>
      <c r="F10084" s="1" t="str">
        <f>IFERROR(__xludf.DUMMYFUNCTION("GOOGLETRANSLATE(B10084, ""en"", ""fa"")
"),"موفقیت Etsy")</f>
        <v>موفقیت Etsy</v>
      </c>
      <c r="G10084" s="1" t="str">
        <f>IFERROR(__xludf.DUMMYFUNCTION("GOOGLETRANSLATE(C10084, ""en"", ""fa"")
"),"چگونه می‌توانم از ابزارهای زمان‌بندی رسانه‌های اجتماعی برای ساده‌سازی تلاش‌های بازاریابی رسانه‌های اجتماعی خود و حفظ یک برنامه پست ثابت استفاده کنم؟")</f>
        <v>چگونه می‌توانم از ابزارهای زمان‌بندی رسانه‌های اجتماعی برای ساده‌سازی تلاش‌های بازاریابی رسانه‌های اجتماعی خود و حفظ یک برنامه پست ثابت استفاده کنم؟</v>
      </c>
      <c r="H10084" s="1"/>
      <c r="I10084" s="1"/>
      <c r="J10084" s="1"/>
      <c r="K10084" s="1"/>
      <c r="L10084" s="1"/>
      <c r="M10084" s="1"/>
      <c r="N10084" s="1"/>
      <c r="O10084" s="1"/>
      <c r="P10084" s="1"/>
      <c r="Q10084" s="1"/>
      <c r="R10084" s="1"/>
      <c r="S10084" s="1"/>
      <c r="T10084" s="1"/>
      <c r="U10084" s="1"/>
      <c r="V10084" s="1"/>
      <c r="W10084" s="1"/>
      <c r="X10084" s="1"/>
      <c r="Y10084" s="1"/>
      <c r="Z10084" s="1"/>
      <c r="AA10084" s="1"/>
      <c r="AB10084" s="1"/>
    </row>
    <row r="10085" ht="50.25" customHeight="1">
      <c r="A10085" s="12">
        <v>10081.0</v>
      </c>
      <c r="B10085" s="13" t="s">
        <v>9604</v>
      </c>
      <c r="C10085" s="14" t="s">
        <v>10112</v>
      </c>
      <c r="D10085" s="1"/>
      <c r="E10085" s="1"/>
      <c r="F10085" s="1" t="str">
        <f>IFERROR(__xludf.DUMMYFUNCTION("GOOGLETRANSLATE(B10085, ""en"", ""fa"")
"),"موفقیت Etsy")</f>
        <v>موفقیت Etsy</v>
      </c>
      <c r="G10085" s="1" t="str">
        <f>IFERROR(__xludf.DUMMYFUNCTION("GOOGLETRANSLATE(C10085, ""en"", ""fa"")
"),"بهترین روش برای تعامل با دنبال کنندگان رسانه های اجتماعی و پاسخ به نظرات، پیام ها و اشاره ها به موقع چیست؟")</f>
        <v>بهترین روش برای تعامل با دنبال کنندگان رسانه های اجتماعی و پاسخ به نظرات، پیام ها و اشاره ها به موقع چیست؟</v>
      </c>
      <c r="H10085" s="1"/>
      <c r="I10085" s="1"/>
      <c r="J10085" s="1"/>
      <c r="K10085" s="1"/>
      <c r="L10085" s="1"/>
      <c r="M10085" s="1"/>
      <c r="N10085" s="1"/>
      <c r="O10085" s="1"/>
      <c r="P10085" s="1"/>
      <c r="Q10085" s="1"/>
      <c r="R10085" s="1"/>
      <c r="S10085" s="1"/>
      <c r="T10085" s="1"/>
      <c r="U10085" s="1"/>
      <c r="V10085" s="1"/>
      <c r="W10085" s="1"/>
      <c r="X10085" s="1"/>
      <c r="Y10085" s="1"/>
      <c r="Z10085" s="1"/>
      <c r="AA10085" s="1"/>
      <c r="AB10085" s="1"/>
    </row>
    <row r="10086" ht="50.25" customHeight="1">
      <c r="A10086" s="12">
        <v>10082.0</v>
      </c>
      <c r="B10086" s="13" t="s">
        <v>9604</v>
      </c>
      <c r="C10086" s="14" t="s">
        <v>10113</v>
      </c>
      <c r="D10086" s="1"/>
      <c r="E10086" s="1"/>
      <c r="F10086" s="1" t="str">
        <f>IFERROR(__xludf.DUMMYFUNCTION("GOOGLETRANSLATE(B10086, ""en"", ""fa"")
"),"موفقیت Etsy")</f>
        <v>موفقیت Etsy</v>
      </c>
      <c r="G10086" s="1" t="str">
        <f>IFERROR(__xludf.DUMMYFUNCTION("GOOGLETRANSLATE(C10086, ""en"", ""fa"")
"),"چگونه می توانم با میکرو اینفلوئنسرها یا اینفلوئنسرهای محلی در بازار هدفم همکاری کنم تا دید و اعتبار فروشگاه Etsy خود را تقویت کنم؟")</f>
        <v>چگونه می توانم با میکرو اینفلوئنسرها یا اینفلوئنسرهای محلی در بازار هدفم همکاری کنم تا دید و اعتبار فروشگاه Etsy خود را تقویت کنم؟</v>
      </c>
      <c r="H10086" s="1"/>
      <c r="I10086" s="1"/>
      <c r="J10086" s="1"/>
      <c r="K10086" s="1"/>
      <c r="L10086" s="1"/>
      <c r="M10086" s="1"/>
      <c r="N10086" s="1"/>
      <c r="O10086" s="1"/>
      <c r="P10086" s="1"/>
      <c r="Q10086" s="1"/>
      <c r="R10086" s="1"/>
      <c r="S10086" s="1"/>
      <c r="T10086" s="1"/>
      <c r="U10086" s="1"/>
      <c r="V10086" s="1"/>
      <c r="W10086" s="1"/>
      <c r="X10086" s="1"/>
      <c r="Y10086" s="1"/>
      <c r="Z10086" s="1"/>
      <c r="AA10086" s="1"/>
      <c r="AB10086" s="1"/>
    </row>
    <row r="10087" ht="50.25" customHeight="1">
      <c r="A10087" s="12">
        <v>10083.0</v>
      </c>
      <c r="B10087" s="13" t="s">
        <v>9604</v>
      </c>
      <c r="C10087" s="14" t="s">
        <v>10114</v>
      </c>
      <c r="D10087" s="1"/>
      <c r="E10087" s="1"/>
      <c r="F10087" s="1" t="str">
        <f>IFERROR(__xludf.DUMMYFUNCTION("GOOGLETRANSLATE(B10087, ""en"", ""fa"")
"),"موفقیت Etsy")</f>
        <v>موفقیت Etsy</v>
      </c>
      <c r="G10087" s="1" t="str">
        <f>IFERROR(__xludf.DUMMYFUNCTION("GOOGLETRANSLATE(C10087, ""en"", ""fa"")
"),"ملاحظات ایجاد یک تقویم محتوای رسانه های اجتماعی برای برنامه ریزی و سازماندهی موثر پست ها و کمپین های رسانه های اجتماعی من چیست؟")</f>
        <v>ملاحظات ایجاد یک تقویم محتوای رسانه های اجتماعی برای برنامه ریزی و سازماندهی موثر پست ها و کمپین های رسانه های اجتماعی من چیست؟</v>
      </c>
      <c r="H10087" s="1"/>
      <c r="I10087" s="1"/>
      <c r="J10087" s="1"/>
      <c r="K10087" s="1"/>
      <c r="L10087" s="1"/>
      <c r="M10087" s="1"/>
      <c r="N10087" s="1"/>
      <c r="O10087" s="1"/>
      <c r="P10087" s="1"/>
      <c r="Q10087" s="1"/>
      <c r="R10087" s="1"/>
      <c r="S10087" s="1"/>
      <c r="T10087" s="1"/>
      <c r="U10087" s="1"/>
      <c r="V10087" s="1"/>
      <c r="W10087" s="1"/>
      <c r="X10087" s="1"/>
      <c r="Y10087" s="1"/>
      <c r="Z10087" s="1"/>
      <c r="AA10087" s="1"/>
      <c r="AB10087" s="1"/>
    </row>
    <row r="10088" ht="50.25" customHeight="1">
      <c r="A10088" s="12">
        <v>10084.0</v>
      </c>
      <c r="B10088" s="13" t="s">
        <v>9604</v>
      </c>
      <c r="C10088" s="14" t="s">
        <v>10115</v>
      </c>
      <c r="D10088" s="1"/>
      <c r="E10088" s="1"/>
      <c r="F10088" s="1" t="str">
        <f>IFERROR(__xludf.DUMMYFUNCTION("GOOGLETRANSLATE(B10088, ""en"", ""fa"")
"),"موفقیت Etsy")</f>
        <v>موفقیت Etsy</v>
      </c>
      <c r="G10088" s="1" t="str">
        <f>IFERROR(__xludf.DUMMYFUNCTION("GOOGLETRANSLATE(C10088, ""en"", ""fa"")
"),"چگونه می توانم از ویژگی های خرید اینستاگرام یا فروشگاه های فیس بوک برای تسهیل فروش مستقیم و بهبود تجربه خرید برای مخاطبان رسانه های اجتماعی خود استفاده کنم؟")</f>
        <v>چگونه می توانم از ویژگی های خرید اینستاگرام یا فروشگاه های فیس بوک برای تسهیل فروش مستقیم و بهبود تجربه خرید برای مخاطبان رسانه های اجتماعی خود استفاده کنم؟</v>
      </c>
      <c r="H10088" s="1"/>
      <c r="I10088" s="1"/>
      <c r="J10088" s="1"/>
      <c r="K10088" s="1"/>
      <c r="L10088" s="1"/>
      <c r="M10088" s="1"/>
      <c r="N10088" s="1"/>
      <c r="O10088" s="1"/>
      <c r="P10088" s="1"/>
      <c r="Q10088" s="1"/>
      <c r="R10088" s="1"/>
      <c r="S10088" s="1"/>
      <c r="T10088" s="1"/>
      <c r="U10088" s="1"/>
      <c r="V10088" s="1"/>
      <c r="W10088" s="1"/>
      <c r="X10088" s="1"/>
      <c r="Y10088" s="1"/>
      <c r="Z10088" s="1"/>
      <c r="AA10088" s="1"/>
      <c r="AB10088" s="1"/>
    </row>
    <row r="10089" ht="50.25" customHeight="1">
      <c r="A10089" s="12">
        <v>10085.0</v>
      </c>
      <c r="B10089" s="13" t="s">
        <v>9604</v>
      </c>
      <c r="C10089" s="14" t="s">
        <v>10116</v>
      </c>
      <c r="D10089" s="1"/>
      <c r="E10089" s="1"/>
      <c r="F10089" s="1" t="str">
        <f>IFERROR(__xludf.DUMMYFUNCTION("GOOGLETRANSLATE(B10089, ""en"", ""fa"")
"),"موفقیت Etsy")</f>
        <v>موفقیت Etsy</v>
      </c>
      <c r="G10089" s="1" t="str">
        <f>IFERROR(__xludf.DUMMYFUNCTION("GOOGLETRANSLATE(C10089, ""en"", ""fa"")
"),"استراتژی‌هایی برای استفاده از هشتگ‌ها یا چالش‌های تولید شده توسط کاربر در پلتفرم‌هایی مانند TikTok یا Instagram برای ایجاد هجو و ویروسی در اطراف محصولات Etsy من چیست؟")</f>
        <v>استراتژی‌هایی برای استفاده از هشتگ‌ها یا چالش‌های تولید شده توسط کاربر در پلتفرم‌هایی مانند TikTok یا Instagram برای ایجاد هجو و ویروسی در اطراف محصولات Etsy من چیست؟</v>
      </c>
      <c r="H10089" s="1"/>
      <c r="I10089" s="1"/>
      <c r="J10089" s="1"/>
      <c r="K10089" s="1"/>
      <c r="L10089" s="1"/>
      <c r="M10089" s="1"/>
      <c r="N10089" s="1"/>
      <c r="O10089" s="1"/>
      <c r="P10089" s="1"/>
      <c r="Q10089" s="1"/>
      <c r="R10089" s="1"/>
      <c r="S10089" s="1"/>
      <c r="T10089" s="1"/>
      <c r="U10089" s="1"/>
      <c r="V10089" s="1"/>
      <c r="W10089" s="1"/>
      <c r="X10089" s="1"/>
      <c r="Y10089" s="1"/>
      <c r="Z10089" s="1"/>
      <c r="AA10089" s="1"/>
      <c r="AB10089" s="1"/>
    </row>
    <row r="10090" ht="50.25" customHeight="1">
      <c r="A10090" s="12">
        <v>10086.0</v>
      </c>
      <c r="B10090" s="13" t="s">
        <v>9604</v>
      </c>
      <c r="C10090" s="14" t="s">
        <v>10117</v>
      </c>
      <c r="D10090" s="1"/>
      <c r="E10090" s="1"/>
      <c r="F10090" s="1" t="str">
        <f>IFERROR(__xludf.DUMMYFUNCTION("GOOGLETRANSLATE(B10090, ""en"", ""fa"")
"),"موفقیت Etsy")</f>
        <v>موفقیت Etsy</v>
      </c>
      <c r="G10090" s="1" t="str">
        <f>IFERROR(__xludf.DUMMYFUNCTION("GOOGLETRANSLATE(C10090, ""en"", ""fa"")
"),"چگونه می توانم با جوامع مرتبط رسانه های اجتماعی درگیر باشم و در بحث های مرتبط با صنعت شرکت کنم تا خودم را به عنوان یک مرجع در جایگاه Etsy خود معرفی کنم؟")</f>
        <v>چگونه می توانم با جوامع مرتبط رسانه های اجتماعی درگیر باشم و در بحث های مرتبط با صنعت شرکت کنم تا خودم را به عنوان یک مرجع در جایگاه Etsy خود معرفی کنم؟</v>
      </c>
      <c r="H10090" s="1"/>
      <c r="I10090" s="1"/>
      <c r="J10090" s="1"/>
      <c r="K10090" s="1"/>
      <c r="L10090" s="1"/>
      <c r="M10090" s="1"/>
      <c r="N10090" s="1"/>
      <c r="O10090" s="1"/>
      <c r="P10090" s="1"/>
      <c r="Q10090" s="1"/>
      <c r="R10090" s="1"/>
      <c r="S10090" s="1"/>
      <c r="T10090" s="1"/>
      <c r="U10090" s="1"/>
      <c r="V10090" s="1"/>
      <c r="W10090" s="1"/>
      <c r="X10090" s="1"/>
      <c r="Y10090" s="1"/>
      <c r="Z10090" s="1"/>
      <c r="AA10090" s="1"/>
      <c r="AB10090" s="1"/>
    </row>
    <row r="10091" ht="50.25" customHeight="1">
      <c r="A10091" s="12">
        <v>10087.0</v>
      </c>
      <c r="B10091" s="13" t="s">
        <v>9604</v>
      </c>
      <c r="C10091" s="14" t="s">
        <v>10118</v>
      </c>
      <c r="D10091" s="1"/>
      <c r="E10091" s="1"/>
      <c r="F10091" s="1" t="str">
        <f>IFERROR(__xludf.DUMMYFUNCTION("GOOGLETRANSLATE(B10091, ""en"", ""fa"")
"),"موفقیت Etsy")</f>
        <v>موفقیت Etsy</v>
      </c>
      <c r="G10091" s="1" t="str">
        <f>IFERROR(__xludf.DUMMYFUNCTION("GOOGLETRANSLATE(C10091, ""en"", ""fa"")
"),"ملاحظات برای بهینه سازی پروفایل ها و پست های رسانه های اجتماعی من برای موتورهای جستجو برای بهبود دید فروشگاه Etsy من در نتایج جستجوی ارگانیک چیست؟")</f>
        <v>ملاحظات برای بهینه سازی پروفایل ها و پست های رسانه های اجتماعی من برای موتورهای جستجو برای بهبود دید فروشگاه Etsy من در نتایج جستجوی ارگانیک چیست؟</v>
      </c>
      <c r="H10091" s="1"/>
      <c r="I10091" s="1"/>
      <c r="J10091" s="1"/>
      <c r="K10091" s="1"/>
      <c r="L10091" s="1"/>
      <c r="M10091" s="1"/>
      <c r="N10091" s="1"/>
      <c r="O10091" s="1"/>
      <c r="P10091" s="1"/>
      <c r="Q10091" s="1"/>
      <c r="R10091" s="1"/>
      <c r="S10091" s="1"/>
      <c r="T10091" s="1"/>
      <c r="U10091" s="1"/>
      <c r="V10091" s="1"/>
      <c r="W10091" s="1"/>
      <c r="X10091" s="1"/>
      <c r="Y10091" s="1"/>
      <c r="Z10091" s="1"/>
      <c r="AA10091" s="1"/>
      <c r="AB10091" s="1"/>
    </row>
    <row r="10092" ht="50.25" customHeight="1">
      <c r="A10092" s="12">
        <v>10088.0</v>
      </c>
      <c r="B10092" s="13" t="s">
        <v>9604</v>
      </c>
      <c r="C10092" s="14" t="s">
        <v>10119</v>
      </c>
      <c r="D10092" s="1"/>
      <c r="E10092" s="1"/>
      <c r="F10092" s="1" t="str">
        <f>IFERROR(__xludf.DUMMYFUNCTION("GOOGLETRANSLATE(B10092, ""en"", ""fa"")
"),"موفقیت Etsy")</f>
        <v>موفقیت Etsy</v>
      </c>
      <c r="G10092" s="1" t="str">
        <f>IFERROR(__xludf.DUMMYFUNCTION("GOOGLETRANSLATE(C10092, ""en"", ""fa"")
"),"چگونه می توانم با اینفلوئنسرهای محلی یا آنلاین برای بررسی محصول یا پست های حمایت شده همکاری کنم تا توصیه های معتبر و تاثیرگذار برای محصولات Etsy خود ایجاد کنم؟")</f>
        <v>چگونه می توانم با اینفلوئنسرهای محلی یا آنلاین برای بررسی محصول یا پست های حمایت شده همکاری کنم تا توصیه های معتبر و تاثیرگذار برای محصولات Etsy خود ایجاد کنم؟</v>
      </c>
      <c r="H10092" s="1"/>
      <c r="I10092" s="1"/>
      <c r="J10092" s="1"/>
      <c r="K10092" s="1"/>
      <c r="L10092" s="1"/>
      <c r="M10092" s="1"/>
      <c r="N10092" s="1"/>
      <c r="O10092" s="1"/>
      <c r="P10092" s="1"/>
      <c r="Q10092" s="1"/>
      <c r="R10092" s="1"/>
      <c r="S10092" s="1"/>
      <c r="T10092" s="1"/>
      <c r="U10092" s="1"/>
      <c r="V10092" s="1"/>
      <c r="W10092" s="1"/>
      <c r="X10092" s="1"/>
      <c r="Y10092" s="1"/>
      <c r="Z10092" s="1"/>
      <c r="AA10092" s="1"/>
      <c r="AB10092" s="1"/>
    </row>
    <row r="10093" ht="50.25" customHeight="1">
      <c r="A10093" s="12">
        <v>10089.0</v>
      </c>
      <c r="B10093" s="13" t="s">
        <v>9604</v>
      </c>
      <c r="C10093" s="14" t="s">
        <v>10120</v>
      </c>
      <c r="D10093" s="1"/>
      <c r="E10093" s="1"/>
      <c r="F10093" s="1" t="str">
        <f>IFERROR(__xludf.DUMMYFUNCTION("GOOGLETRANSLATE(B10093, ""en"", ""fa"")
"),"موفقیت Etsy")</f>
        <v>موفقیت Etsy</v>
      </c>
      <c r="G10093" s="1" t="str">
        <f>IFERROR(__xludf.DUMMYFUNCTION("GOOGLETRANSLATE(C10093, ""en"", ""fa"")
"),"چه استراتژی هایی برای ایجاد زیبایی بصری جذاب و منسجم رسانه های اجتماعی وجود دارد که نشان دهنده برند Etsy من باشد و مخاطبان هدف من را جذب کند؟")</f>
        <v>چه استراتژی هایی برای ایجاد زیبایی بصری جذاب و منسجم رسانه های اجتماعی وجود دارد که نشان دهنده برند Etsy من باشد و مخاطبان هدف من را جذب کند؟</v>
      </c>
      <c r="H10093" s="1"/>
      <c r="I10093" s="1"/>
      <c r="J10093" s="1"/>
      <c r="K10093" s="1"/>
      <c r="L10093" s="1"/>
      <c r="M10093" s="1"/>
      <c r="N10093" s="1"/>
      <c r="O10093" s="1"/>
      <c r="P10093" s="1"/>
      <c r="Q10093" s="1"/>
      <c r="R10093" s="1"/>
      <c r="S10093" s="1"/>
      <c r="T10093" s="1"/>
      <c r="U10093" s="1"/>
      <c r="V10093" s="1"/>
      <c r="W10093" s="1"/>
      <c r="X10093" s="1"/>
      <c r="Y10093" s="1"/>
      <c r="Z10093" s="1"/>
      <c r="AA10093" s="1"/>
      <c r="AB10093" s="1"/>
    </row>
    <row r="10094" ht="50.25" customHeight="1">
      <c r="A10094" s="12">
        <v>10090.0</v>
      </c>
      <c r="B10094" s="13" t="s">
        <v>9604</v>
      </c>
      <c r="C10094" s="14" t="s">
        <v>10121</v>
      </c>
      <c r="D10094" s="1"/>
      <c r="E10094" s="1"/>
      <c r="F10094" s="1" t="str">
        <f>IFERROR(__xludf.DUMMYFUNCTION("GOOGLETRANSLATE(B10094, ""en"", ""fa"")
"),"موفقیت Etsy")</f>
        <v>موفقیت Etsy</v>
      </c>
      <c r="G10094" s="1" t="str">
        <f>IFERROR(__xludf.DUMMYFUNCTION("GOOGLETRANSLATE(C10094, ""en"", ""fa"")
"),"چگونه می توانم از گروه های فیس بوک یا گروه های لینکدین برای ارتباط با فروشندگان Etsy و تبادل دانش، نکات و منابع استفاده کنم؟")</f>
        <v>چگونه می توانم از گروه های فیس بوک یا گروه های لینکدین برای ارتباط با فروشندگان Etsy و تبادل دانش، نکات و منابع استفاده کنم؟</v>
      </c>
      <c r="H10094" s="1"/>
      <c r="I10094" s="1"/>
      <c r="J10094" s="1"/>
      <c r="K10094" s="1"/>
      <c r="L10094" s="1"/>
      <c r="M10094" s="1"/>
      <c r="N10094" s="1"/>
      <c r="O10094" s="1"/>
      <c r="P10094" s="1"/>
      <c r="Q10094" s="1"/>
      <c r="R10094" s="1"/>
      <c r="S10094" s="1"/>
      <c r="T10094" s="1"/>
      <c r="U10094" s="1"/>
      <c r="V10094" s="1"/>
      <c r="W10094" s="1"/>
      <c r="X10094" s="1"/>
      <c r="Y10094" s="1"/>
      <c r="Z10094" s="1"/>
      <c r="AA10094" s="1"/>
      <c r="AB10094" s="1"/>
    </row>
    <row r="10095" ht="50.25" customHeight="1">
      <c r="A10095" s="12">
        <v>10091.0</v>
      </c>
      <c r="B10095" s="13" t="s">
        <v>9604</v>
      </c>
      <c r="C10095" s="14" t="s">
        <v>10122</v>
      </c>
      <c r="D10095" s="1"/>
      <c r="E10095" s="1"/>
      <c r="F10095" s="1" t="str">
        <f>IFERROR(__xludf.DUMMYFUNCTION("GOOGLETRANSLATE(B10095, ""en"", ""fa"")
"),"موفقیت Etsy")</f>
        <v>موفقیت Etsy</v>
      </c>
      <c r="G10095" s="1" t="str">
        <f>IFERROR(__xludf.DUMMYFUNCTION("GOOGLETRANSLATE(C10095, ""en"", ""fa"")
"),"بهترین شیوه ها برای استفاده از ابزارهای تجزیه و تحلیل رسانه های اجتماعی و ردیابی برای نظارت بر عملکرد کمپین های رسانه های اجتماعی من و شناسایی زمینه های بهبود چیست؟")</f>
        <v>بهترین شیوه ها برای استفاده از ابزارهای تجزیه و تحلیل رسانه های اجتماعی و ردیابی برای نظارت بر عملکرد کمپین های رسانه های اجتماعی من و شناسایی زمینه های بهبود چیست؟</v>
      </c>
      <c r="H10095" s="1"/>
      <c r="I10095" s="1"/>
      <c r="J10095" s="1"/>
      <c r="K10095" s="1"/>
      <c r="L10095" s="1"/>
      <c r="M10095" s="1"/>
      <c r="N10095" s="1"/>
      <c r="O10095" s="1"/>
      <c r="P10095" s="1"/>
      <c r="Q10095" s="1"/>
      <c r="R10095" s="1"/>
      <c r="S10095" s="1"/>
      <c r="T10095" s="1"/>
      <c r="U10095" s="1"/>
      <c r="V10095" s="1"/>
      <c r="W10095" s="1"/>
      <c r="X10095" s="1"/>
      <c r="Y10095" s="1"/>
      <c r="Z10095" s="1"/>
      <c r="AA10095" s="1"/>
      <c r="AB10095" s="1"/>
    </row>
    <row r="10096" ht="50.25" customHeight="1">
      <c r="A10096" s="12">
        <v>10092.0</v>
      </c>
      <c r="B10096" s="13" t="s">
        <v>9604</v>
      </c>
      <c r="C10096" s="14" t="s">
        <v>10123</v>
      </c>
      <c r="D10096" s="1"/>
      <c r="E10096" s="1"/>
      <c r="F10096" s="1" t="str">
        <f>IFERROR(__xludf.DUMMYFUNCTION("GOOGLETRANSLATE(B10096, ""en"", ""fa"")
"),"موفقیت Etsy")</f>
        <v>موفقیت Etsy</v>
      </c>
      <c r="G10096" s="1" t="str">
        <f>IFERROR(__xludf.DUMMYFUNCTION("GOOGLETRANSLATE(C10096, ""en"", ""fa"")
"),"چگونه می توانم با اینفلوئنسرهای رسانه های اجتماعی یا وبلاگ نویسان برای پست های مهمان یا رویدادهای تصاحب همکاری کنم تا دامنه دسترسی خود را گسترش دهم و در فروشگاه Etsy خود در معرض دید قرار بگیرم؟")</f>
        <v>چگونه می توانم با اینفلوئنسرهای رسانه های اجتماعی یا وبلاگ نویسان برای پست های مهمان یا رویدادهای تصاحب همکاری کنم تا دامنه دسترسی خود را گسترش دهم و در فروشگاه Etsy خود در معرض دید قرار بگیرم؟</v>
      </c>
      <c r="H10096" s="1"/>
      <c r="I10096" s="1"/>
      <c r="J10096" s="1"/>
      <c r="K10096" s="1"/>
      <c r="L10096" s="1"/>
      <c r="M10096" s="1"/>
      <c r="N10096" s="1"/>
      <c r="O10096" s="1"/>
      <c r="P10096" s="1"/>
      <c r="Q10096" s="1"/>
      <c r="R10096" s="1"/>
      <c r="S10096" s="1"/>
      <c r="T10096" s="1"/>
      <c r="U10096" s="1"/>
      <c r="V10096" s="1"/>
      <c r="W10096" s="1"/>
      <c r="X10096" s="1"/>
      <c r="Y10096" s="1"/>
      <c r="Z10096" s="1"/>
      <c r="AA10096" s="1"/>
      <c r="AB10096" s="1"/>
    </row>
    <row r="10097" ht="50.25" customHeight="1">
      <c r="A10097" s="12">
        <v>10093.0</v>
      </c>
      <c r="B10097" s="13" t="s">
        <v>9604</v>
      </c>
      <c r="C10097" s="14" t="s">
        <v>10124</v>
      </c>
      <c r="D10097" s="1"/>
      <c r="E10097" s="1"/>
      <c r="F10097" s="1" t="str">
        <f>IFERROR(__xludf.DUMMYFUNCTION("GOOGLETRANSLATE(B10097, ""en"", ""fa"")
"),"موفقیت Etsy")</f>
        <v>موفقیت Etsy</v>
      </c>
      <c r="G10097" s="1" t="str">
        <f>IFERROR(__xludf.DUMMYFUNCTION("GOOGLETRANSLATE(C10097, ""en"", ""fa"")
"),"ملاحظات برای تبلیغ متقابل فروشگاه و محصولات Etsy من در سیستم عامل های رسانه های اجتماعی، مانند اشتراک گذاری پست های اینستاگرام در فیس بوک یا توییتر چیست؟")</f>
        <v>ملاحظات برای تبلیغ متقابل فروشگاه و محصولات Etsy من در سیستم عامل های رسانه های اجتماعی، مانند اشتراک گذاری پست های اینستاگرام در فیس بوک یا توییتر چیست؟</v>
      </c>
      <c r="H10097" s="1"/>
      <c r="I10097" s="1"/>
      <c r="J10097" s="1"/>
      <c r="K10097" s="1"/>
      <c r="L10097" s="1"/>
      <c r="M10097" s="1"/>
      <c r="N10097" s="1"/>
      <c r="O10097" s="1"/>
      <c r="P10097" s="1"/>
      <c r="Q10097" s="1"/>
      <c r="R10097" s="1"/>
      <c r="S10097" s="1"/>
      <c r="T10097" s="1"/>
      <c r="U10097" s="1"/>
      <c r="V10097" s="1"/>
      <c r="W10097" s="1"/>
      <c r="X10097" s="1"/>
      <c r="Y10097" s="1"/>
      <c r="Z10097" s="1"/>
      <c r="AA10097" s="1"/>
      <c r="AB10097" s="1"/>
    </row>
    <row r="10098" ht="50.25" customHeight="1">
      <c r="A10098" s="12">
        <v>10094.0</v>
      </c>
      <c r="B10098" s="13" t="s">
        <v>9604</v>
      </c>
      <c r="C10098" s="14" t="s">
        <v>10125</v>
      </c>
      <c r="D10098" s="1"/>
      <c r="E10098" s="1"/>
      <c r="F10098" s="1" t="str">
        <f>IFERROR(__xludf.DUMMYFUNCTION("GOOGLETRANSLATE(B10098, ""en"", ""fa"")
"),"موفقیت Etsy")</f>
        <v>موفقیت Etsy</v>
      </c>
      <c r="G10098" s="1" t="str">
        <f>IFERROR(__xludf.DUMMYFUNCTION("GOOGLETRANSLATE(C10098, ""en"", ""fa"")
"),"چگونه می توانم از ابزارها و تکنیک های گوش دادن به رسانه های اجتماعی برای نظارت بر مکالمات و جمع آوری بینش در مورد ترجیحات، نیازها و نقاط دردناک مخاطب هدفم استفاده کنم؟")</f>
        <v>چگونه می توانم از ابزارها و تکنیک های گوش دادن به رسانه های اجتماعی برای نظارت بر مکالمات و جمع آوری بینش در مورد ترجیحات، نیازها و نقاط دردناک مخاطب هدفم استفاده کنم؟</v>
      </c>
      <c r="H10098" s="1"/>
      <c r="I10098" s="1"/>
      <c r="J10098" s="1"/>
      <c r="K10098" s="1"/>
      <c r="L10098" s="1"/>
      <c r="M10098" s="1"/>
      <c r="N10098" s="1"/>
      <c r="O10098" s="1"/>
      <c r="P10098" s="1"/>
      <c r="Q10098" s="1"/>
      <c r="R10098" s="1"/>
      <c r="S10098" s="1"/>
      <c r="T10098" s="1"/>
      <c r="U10098" s="1"/>
      <c r="V10098" s="1"/>
      <c r="W10098" s="1"/>
      <c r="X10098" s="1"/>
      <c r="Y10098" s="1"/>
      <c r="Z10098" s="1"/>
      <c r="AA10098" s="1"/>
      <c r="AB10098" s="1"/>
    </row>
    <row r="10099" ht="50.25" customHeight="1">
      <c r="A10099" s="12">
        <v>10095.0</v>
      </c>
      <c r="B10099" s="13" t="s">
        <v>9604</v>
      </c>
      <c r="C10099" s="14" t="s">
        <v>10126</v>
      </c>
      <c r="D10099" s="1"/>
      <c r="E10099" s="1"/>
      <c r="F10099" s="1" t="str">
        <f>IFERROR(__xludf.DUMMYFUNCTION("GOOGLETRANSLATE(B10099, ""en"", ""fa"")
"),"موفقیت Etsy")</f>
        <v>موفقیت Etsy</v>
      </c>
      <c r="G10099" s="1" t="str">
        <f>IFERROR(__xludf.DUMMYFUNCTION("GOOGLETRANSLATE(C10099, ""en"", ""fa"")
"),"راهبردهای استفاده از داستان سرایی رسانه های اجتماعی برای ایجاد روایتی پیرامون محصولات Etsy من و ایجاد ارتباط عاطفی با مخاطبانم چیست؟")</f>
        <v>راهبردهای استفاده از داستان سرایی رسانه های اجتماعی برای ایجاد روایتی پیرامون محصولات Etsy من و ایجاد ارتباط عاطفی با مخاطبانم چیست؟</v>
      </c>
      <c r="H10099" s="1"/>
      <c r="I10099" s="1"/>
      <c r="J10099" s="1"/>
      <c r="K10099" s="1"/>
      <c r="L10099" s="1"/>
      <c r="M10099" s="1"/>
      <c r="N10099" s="1"/>
      <c r="O10099" s="1"/>
      <c r="P10099" s="1"/>
      <c r="Q10099" s="1"/>
      <c r="R10099" s="1"/>
      <c r="S10099" s="1"/>
      <c r="T10099" s="1"/>
      <c r="U10099" s="1"/>
      <c r="V10099" s="1"/>
      <c r="W10099" s="1"/>
      <c r="X10099" s="1"/>
      <c r="Y10099" s="1"/>
      <c r="Z10099" s="1"/>
      <c r="AA10099" s="1"/>
      <c r="AB10099" s="1"/>
    </row>
    <row r="10100" ht="50.25" customHeight="1">
      <c r="A10100" s="12">
        <v>10096.0</v>
      </c>
      <c r="B10100" s="13" t="s">
        <v>9604</v>
      </c>
      <c r="C10100" s="14" t="s">
        <v>10127</v>
      </c>
      <c r="D10100" s="1"/>
      <c r="E10100" s="1"/>
      <c r="F10100" s="1" t="str">
        <f>IFERROR(__xludf.DUMMYFUNCTION("GOOGLETRANSLATE(B10100, ""en"", ""fa"")
"),"موفقیت Etsy")</f>
        <v>موفقیت Etsy</v>
      </c>
      <c r="G10100" s="1" t="str">
        <f>IFERROR(__xludf.DUMMYFUNCTION("GOOGLETRANSLATE(C10100, ""en"", ""fa"")
"),"چگونه می توانم با اینفلوئنسرهای رسانه های اجتماعی یا تولیدکنندگان محتوا برای محتوای حمایت شده یا سفیر برند برای افزایش آگاهی از برند و ایجاد تبدیل همکاری کنم؟")</f>
        <v>چگونه می توانم با اینفلوئنسرهای رسانه های اجتماعی یا تولیدکنندگان محتوا برای محتوای حمایت شده یا سفیر برند برای افزایش آگاهی از برند و ایجاد تبدیل همکاری کنم؟</v>
      </c>
      <c r="H10100" s="1"/>
      <c r="I10100" s="1"/>
      <c r="J10100" s="1"/>
      <c r="K10100" s="1"/>
      <c r="L10100" s="1"/>
      <c r="M10100" s="1"/>
      <c r="N10100" s="1"/>
      <c r="O10100" s="1"/>
      <c r="P10100" s="1"/>
      <c r="Q10100" s="1"/>
      <c r="R10100" s="1"/>
      <c r="S10100" s="1"/>
      <c r="T10100" s="1"/>
      <c r="U10100" s="1"/>
      <c r="V10100" s="1"/>
      <c r="W10100" s="1"/>
      <c r="X10100" s="1"/>
      <c r="Y10100" s="1"/>
      <c r="Z10100" s="1"/>
      <c r="AA10100" s="1"/>
      <c r="AB10100" s="1"/>
    </row>
    <row r="10101" ht="50.25" customHeight="1">
      <c r="A10101" s="12">
        <v>10097.0</v>
      </c>
      <c r="B10101" s="13" t="s">
        <v>9604</v>
      </c>
      <c r="C10101" s="14" t="s">
        <v>10128</v>
      </c>
      <c r="D10101" s="1"/>
      <c r="E10101" s="1"/>
      <c r="F10101" s="1" t="str">
        <f>IFERROR(__xludf.DUMMYFUNCTION("GOOGLETRANSLATE(B10101, ""en"", ""fa"")
"),"موفقیت Etsy")</f>
        <v>موفقیت Etsy</v>
      </c>
      <c r="G10101" s="1" t="str">
        <f>IFERROR(__xludf.DUMMYFUNCTION("GOOGLETRANSLATE(C10101, ""en"", ""fa"")
"),"ملاحظات استفاده از محتوای تولید شده توسط کاربر در رسانه های اجتماعی برای تقویت حس جامعه و اعتبار در مورد برند Etsy من چیست؟")</f>
        <v>ملاحظات استفاده از محتوای تولید شده توسط کاربر در رسانه های اجتماعی برای تقویت حس جامعه و اعتبار در مورد برند Etsy من چیست؟</v>
      </c>
      <c r="H10101" s="1"/>
      <c r="I10101" s="1"/>
      <c r="J10101" s="1"/>
      <c r="K10101" s="1"/>
      <c r="L10101" s="1"/>
      <c r="M10101" s="1"/>
      <c r="N10101" s="1"/>
      <c r="O10101" s="1"/>
      <c r="P10101" s="1"/>
      <c r="Q10101" s="1"/>
      <c r="R10101" s="1"/>
      <c r="S10101" s="1"/>
      <c r="T10101" s="1"/>
      <c r="U10101" s="1"/>
      <c r="V10101" s="1"/>
      <c r="W10101" s="1"/>
      <c r="X10101" s="1"/>
      <c r="Y10101" s="1"/>
      <c r="Z10101" s="1"/>
      <c r="AA10101" s="1"/>
      <c r="AB10101" s="1"/>
    </row>
    <row r="10102" ht="50.25" customHeight="1">
      <c r="A10102" s="12">
        <v>10098.0</v>
      </c>
      <c r="B10102" s="13" t="s">
        <v>9604</v>
      </c>
      <c r="C10102" s="14" t="s">
        <v>10129</v>
      </c>
      <c r="D10102" s="1"/>
      <c r="E10102" s="1"/>
      <c r="F10102" s="1" t="str">
        <f>IFERROR(__xludf.DUMMYFUNCTION("GOOGLETRANSLATE(B10102, ""en"", ""fa"")
"),"موفقیت Etsy")</f>
        <v>موفقیت Etsy</v>
      </c>
      <c r="G10102" s="1" t="str">
        <f>IFERROR(__xludf.DUMMYFUNCTION("GOOGLETRANSLATE(C10102, ""en"", ""fa"")
"),"چگونه می توانم از اینفلوئنسرهای رسانه های اجتماعی یا حامیان برند برای تولید نظرات و توصیفات محصول استفاده کنم که می توانند در فروشگاه یا وب سایت Etsy من به اشتراک گذاشته شوند؟")</f>
        <v>چگونه می توانم از اینفلوئنسرهای رسانه های اجتماعی یا حامیان برند برای تولید نظرات و توصیفات محصول استفاده کنم که می توانند در فروشگاه یا وب سایت Etsy من به اشتراک گذاشته شوند؟</v>
      </c>
      <c r="H10102" s="1"/>
      <c r="I10102" s="1"/>
      <c r="J10102" s="1"/>
      <c r="K10102" s="1"/>
      <c r="L10102" s="1"/>
      <c r="M10102" s="1"/>
      <c r="N10102" s="1"/>
      <c r="O10102" s="1"/>
      <c r="P10102" s="1"/>
      <c r="Q10102" s="1"/>
      <c r="R10102" s="1"/>
      <c r="S10102" s="1"/>
      <c r="T10102" s="1"/>
      <c r="U10102" s="1"/>
      <c r="V10102" s="1"/>
      <c r="W10102" s="1"/>
      <c r="X10102" s="1"/>
      <c r="Y10102" s="1"/>
      <c r="Z10102" s="1"/>
      <c r="AA10102" s="1"/>
      <c r="AB10102" s="1"/>
    </row>
    <row r="10103" ht="50.25" customHeight="1">
      <c r="A10103" s="12">
        <v>10099.0</v>
      </c>
      <c r="B10103" s="13" t="s">
        <v>9604</v>
      </c>
      <c r="C10103" s="14" t="s">
        <v>10130</v>
      </c>
      <c r="D10103" s="1"/>
      <c r="E10103" s="1"/>
      <c r="F10103" s="1" t="str">
        <f>IFERROR(__xludf.DUMMYFUNCTION("GOOGLETRANSLATE(B10103, ""en"", ""fa"")
"),"موفقیت Etsy")</f>
        <v>موفقیت Etsy</v>
      </c>
      <c r="G10103" s="1" t="str">
        <f>IFERROR(__xludf.DUMMYFUNCTION("GOOGLETRANSLATE(C10103, ""en"", ""fa"")
"),"استراتژی‌های اجرای کمپین‌های تبلیغاتی رسانه‌های اجتماعی با اهداف خاص، مانند افزایش ترافیک وب‌سایت یا افزایش فروش به فروشگاه Etsy من چیست؟")</f>
        <v>استراتژی‌های اجرای کمپین‌های تبلیغاتی رسانه‌های اجتماعی با اهداف خاص، مانند افزایش ترافیک وب‌سایت یا افزایش فروش به فروشگاه Etsy من چیست؟</v>
      </c>
      <c r="H10103" s="1"/>
      <c r="I10103" s="1"/>
      <c r="J10103" s="1"/>
      <c r="K10103" s="1"/>
      <c r="L10103" s="1"/>
      <c r="M10103" s="1"/>
      <c r="N10103" s="1"/>
      <c r="O10103" s="1"/>
      <c r="P10103" s="1"/>
      <c r="Q10103" s="1"/>
      <c r="R10103" s="1"/>
      <c r="S10103" s="1"/>
      <c r="T10103" s="1"/>
      <c r="U10103" s="1"/>
      <c r="V10103" s="1"/>
      <c r="W10103" s="1"/>
      <c r="X10103" s="1"/>
      <c r="Y10103" s="1"/>
      <c r="Z10103" s="1"/>
      <c r="AA10103" s="1"/>
      <c r="AB10103" s="1"/>
    </row>
    <row r="10104" ht="50.25" customHeight="1">
      <c r="A10104" s="12">
        <v>10100.0</v>
      </c>
      <c r="B10104" s="13" t="s">
        <v>9604</v>
      </c>
      <c r="C10104" s="14" t="s">
        <v>10131</v>
      </c>
      <c r="D10104" s="1"/>
      <c r="E10104" s="1"/>
      <c r="F10104" s="1" t="str">
        <f>IFERROR(__xludf.DUMMYFUNCTION("GOOGLETRANSLATE(B10104, ""en"", ""fa"")
"),"موفقیت Etsy")</f>
        <v>موفقیت Etsy</v>
      </c>
      <c r="G10104" s="1" t="str">
        <f>IFERROR(__xludf.DUMMYFUNCTION("GOOGLETRANSLATE(C10104, ""en"", ""fa"")
"),"چگونه می توانم با اینفلوئنسرها یا وبلاگ نویسان رسانه های اجتماعی برای همکاری یا شراکت در محصولات برای ایجاد آیتم های منحصر به فرد یا با نسخه محدود برای فروشگاه Etsy خود تعامل داشته باشم؟")</f>
        <v>چگونه می توانم با اینفلوئنسرها یا وبلاگ نویسان رسانه های اجتماعی برای همکاری یا شراکت در محصولات برای ایجاد آیتم های منحصر به فرد یا با نسخه محدود برای فروشگاه Etsy خود تعامل داشته باشم؟</v>
      </c>
      <c r="H10104" s="1"/>
      <c r="I10104" s="1"/>
      <c r="J10104" s="1"/>
      <c r="K10104" s="1"/>
      <c r="L10104" s="1"/>
      <c r="M10104" s="1"/>
      <c r="N10104" s="1"/>
      <c r="O10104" s="1"/>
      <c r="P10104" s="1"/>
      <c r="Q10104" s="1"/>
      <c r="R10104" s="1"/>
      <c r="S10104" s="1"/>
      <c r="T10104" s="1"/>
      <c r="U10104" s="1"/>
      <c r="V10104" s="1"/>
      <c r="W10104" s="1"/>
      <c r="X10104" s="1"/>
      <c r="Y10104" s="1"/>
      <c r="Z10104" s="1"/>
      <c r="AA10104" s="1"/>
      <c r="AB10104" s="1"/>
    </row>
    <row r="10105" ht="50.25" customHeight="1">
      <c r="A10105" s="12">
        <v>10101.0</v>
      </c>
      <c r="B10105" s="13" t="s">
        <v>9604</v>
      </c>
      <c r="C10105" s="14" t="s">
        <v>10132</v>
      </c>
      <c r="D10105" s="1"/>
      <c r="E10105" s="1"/>
      <c r="F10105" s="1" t="str">
        <f>IFERROR(__xludf.DUMMYFUNCTION("GOOGLETRANSLATE(B10105, ""en"", ""fa"")
"),"موفقیت Etsy")</f>
        <v>موفقیت Etsy</v>
      </c>
      <c r="G10105" s="1" t="str">
        <f>IFERROR(__xludf.DUMMYFUNCTION("GOOGLETRANSLATE(C10105, ""en"", ""fa"")
"),"بهترین روش ها برای ایجاد محتوای بصری جذاب برای پلتفرم های رسانه های اجتماعی، مانند پست های اینستاگرام، پین های پینترست یا داستان های اسنپ چت چیست؟")</f>
        <v>بهترین روش ها برای ایجاد محتوای بصری جذاب برای پلتفرم های رسانه های اجتماعی، مانند پست های اینستاگرام، پین های پینترست یا داستان های اسنپ چت چیست؟</v>
      </c>
      <c r="H10105" s="1"/>
      <c r="I10105" s="1"/>
      <c r="J10105" s="1"/>
      <c r="K10105" s="1"/>
      <c r="L10105" s="1"/>
      <c r="M10105" s="1"/>
      <c r="N10105" s="1"/>
      <c r="O10105" s="1"/>
      <c r="P10105" s="1"/>
      <c r="Q10105" s="1"/>
      <c r="R10105" s="1"/>
      <c r="S10105" s="1"/>
      <c r="T10105" s="1"/>
      <c r="U10105" s="1"/>
      <c r="V10105" s="1"/>
      <c r="W10105" s="1"/>
      <c r="X10105" s="1"/>
      <c r="Y10105" s="1"/>
      <c r="Z10105" s="1"/>
      <c r="AA10105" s="1"/>
      <c r="AB10105" s="1"/>
    </row>
    <row r="10106" ht="50.25" customHeight="1">
      <c r="A10106" s="12">
        <v>10102.0</v>
      </c>
      <c r="B10106" s="13" t="s">
        <v>9604</v>
      </c>
      <c r="C10106" s="14" t="s">
        <v>10133</v>
      </c>
      <c r="D10106" s="1"/>
      <c r="E10106" s="1"/>
      <c r="F10106" s="1" t="str">
        <f>IFERROR(__xludf.DUMMYFUNCTION("GOOGLETRANSLATE(B10106, ""en"", ""fa"")
"),"موفقیت Etsy")</f>
        <v>موفقیت Etsy</v>
      </c>
      <c r="G10106" s="1" t="str">
        <f>IFERROR(__xludf.DUMMYFUNCTION("GOOGLETRANSLATE(C10106, ""en"", ""fa"")
"),"چگونه می‌توانم با تیم‌های Etsy همکاری کنم یا در چت‌های رسانه‌های اجتماعی مرتبط با صنعت یا مهمانی‌های توییتری برای شبکه‌سازی و ایجاد روابط در جایگاه خود شرکت کنم؟")</f>
        <v>چگونه می‌توانم با تیم‌های Etsy همکاری کنم یا در چت‌های رسانه‌های اجتماعی مرتبط با صنعت یا مهمانی‌های توییتری برای شبکه‌سازی و ایجاد روابط در جایگاه خود شرکت کنم؟</v>
      </c>
      <c r="H10106" s="1"/>
      <c r="I10106" s="1"/>
      <c r="J10106" s="1"/>
      <c r="K10106" s="1"/>
      <c r="L10106" s="1"/>
      <c r="M10106" s="1"/>
      <c r="N10106" s="1"/>
      <c r="O10106" s="1"/>
      <c r="P10106" s="1"/>
      <c r="Q10106" s="1"/>
      <c r="R10106" s="1"/>
      <c r="S10106" s="1"/>
      <c r="T10106" s="1"/>
      <c r="U10106" s="1"/>
      <c r="V10106" s="1"/>
      <c r="W10106" s="1"/>
      <c r="X10106" s="1"/>
      <c r="Y10106" s="1"/>
      <c r="Z10106" s="1"/>
      <c r="AA10106" s="1"/>
      <c r="AB10106" s="1"/>
    </row>
    <row r="10107" ht="50.25" customHeight="1">
      <c r="A10107" s="12">
        <v>10103.0</v>
      </c>
      <c r="B10107" s="13" t="s">
        <v>9604</v>
      </c>
      <c r="C10107" s="14" t="s">
        <v>10134</v>
      </c>
      <c r="D10107" s="1"/>
      <c r="E10107" s="1"/>
      <c r="F10107" s="1" t="str">
        <f>IFERROR(__xludf.DUMMYFUNCTION("GOOGLETRANSLATE(B10107, ""en"", ""fa"")
"),"موفقیت Etsy")</f>
        <v>موفقیت Etsy</v>
      </c>
      <c r="G10107" s="1" t="str">
        <f>IFERROR(__xludf.DUMMYFUNCTION("GOOGLETRANSLATE(C10107, ""en"", ""fa"")
"),"ملاحظات استفاده از ابزارهای نظارت بر رسانه های اجتماعی برای ردیابی نام ها، هشتگ ها یا مکالمات مربوط به برند یا محصولات Etsy من چیست؟")</f>
        <v>ملاحظات استفاده از ابزارهای نظارت بر رسانه های اجتماعی برای ردیابی نام ها، هشتگ ها یا مکالمات مربوط به برند یا محصولات Etsy من چیست؟</v>
      </c>
      <c r="H10107" s="1"/>
      <c r="I10107" s="1"/>
      <c r="J10107" s="1"/>
      <c r="K10107" s="1"/>
      <c r="L10107" s="1"/>
      <c r="M10107" s="1"/>
      <c r="N10107" s="1"/>
      <c r="O10107" s="1"/>
      <c r="P10107" s="1"/>
      <c r="Q10107" s="1"/>
      <c r="R10107" s="1"/>
      <c r="S10107" s="1"/>
      <c r="T10107" s="1"/>
      <c r="U10107" s="1"/>
      <c r="V10107" s="1"/>
      <c r="W10107" s="1"/>
      <c r="X10107" s="1"/>
      <c r="Y10107" s="1"/>
      <c r="Z10107" s="1"/>
      <c r="AA10107" s="1"/>
      <c r="AB10107" s="1"/>
    </row>
    <row r="10108" ht="50.25" customHeight="1">
      <c r="A10108" s="12">
        <v>10104.0</v>
      </c>
      <c r="B10108" s="13" t="s">
        <v>9604</v>
      </c>
      <c r="C10108" s="14" t="s">
        <v>10135</v>
      </c>
      <c r="D10108" s="1"/>
      <c r="E10108" s="1"/>
      <c r="F10108" s="1" t="str">
        <f>IFERROR(__xludf.DUMMYFUNCTION("GOOGLETRANSLATE(B10108, ""en"", ""fa"")
"),"موفقیت Etsy")</f>
        <v>موفقیت Etsy</v>
      </c>
      <c r="G10108" s="1" t="str">
        <f>IFERROR(__xludf.DUMMYFUNCTION("GOOGLETRANSLATE(C10108, ""en"", ""fa"")
"),"چگونه می توانم از نظرات و توصیفات تولید شده توسط کاربر در سیستم عامل هایی مانند Yelp یا Google My Business استفاده کنم تا برای فروشگاه Etsy خود اعتماد و اعتبار ایجاد کنم؟")</f>
        <v>چگونه می توانم از نظرات و توصیفات تولید شده توسط کاربر در سیستم عامل هایی مانند Yelp یا Google My Business استفاده کنم تا برای فروشگاه Etsy خود اعتماد و اعتبار ایجاد کنم؟</v>
      </c>
      <c r="H10108" s="1"/>
      <c r="I10108" s="1"/>
      <c r="J10108" s="1"/>
      <c r="K10108" s="1"/>
      <c r="L10108" s="1"/>
      <c r="M10108" s="1"/>
      <c r="N10108" s="1"/>
      <c r="O10108" s="1"/>
      <c r="P10108" s="1"/>
      <c r="Q10108" s="1"/>
      <c r="R10108" s="1"/>
      <c r="S10108" s="1"/>
      <c r="T10108" s="1"/>
      <c r="U10108" s="1"/>
      <c r="V10108" s="1"/>
      <c r="W10108" s="1"/>
      <c r="X10108" s="1"/>
      <c r="Y10108" s="1"/>
      <c r="Z10108" s="1"/>
      <c r="AA10108" s="1"/>
      <c r="AB10108" s="1"/>
    </row>
    <row r="10109" ht="50.25" customHeight="1">
      <c r="A10109" s="12">
        <v>10105.0</v>
      </c>
      <c r="B10109" s="13" t="s">
        <v>9604</v>
      </c>
      <c r="C10109" s="14" t="s">
        <v>10136</v>
      </c>
      <c r="D10109" s="1"/>
      <c r="E10109" s="1"/>
      <c r="F10109" s="1" t="str">
        <f>IFERROR(__xludf.DUMMYFUNCTION("GOOGLETRANSLATE(B10109, ""en"", ""fa"")
"),"موفقیت Etsy")</f>
        <v>موفقیت Etsy</v>
      </c>
      <c r="G10109" s="1" t="str">
        <f>IFERROR(__xludf.DUMMYFUNCTION("GOOGLETRANSLATE(C10109, ""en"", ""fa"")
"),"استراتژی های استفاده از اینفلوئنسرها یا وبلاگ نویسان رسانه های اجتماعی برای ایجاد جعبه گشایی محصول یا بررسی ویدیوهایی که محصولات Etsy من را به نمایش می گذارند چیست؟")</f>
        <v>استراتژی های استفاده از اینفلوئنسرها یا وبلاگ نویسان رسانه های اجتماعی برای ایجاد جعبه گشایی محصول یا بررسی ویدیوهایی که محصولات Etsy من را به نمایش می گذارند چیست؟</v>
      </c>
      <c r="H10109" s="1"/>
      <c r="I10109" s="1"/>
      <c r="J10109" s="1"/>
      <c r="K10109" s="1"/>
      <c r="L10109" s="1"/>
      <c r="M10109" s="1"/>
      <c r="N10109" s="1"/>
      <c r="O10109" s="1"/>
      <c r="P10109" s="1"/>
      <c r="Q10109" s="1"/>
      <c r="R10109" s="1"/>
      <c r="S10109" s="1"/>
      <c r="T10109" s="1"/>
      <c r="U10109" s="1"/>
      <c r="V10109" s="1"/>
      <c r="W10109" s="1"/>
      <c r="X10109" s="1"/>
      <c r="Y10109" s="1"/>
      <c r="Z10109" s="1"/>
      <c r="AA10109" s="1"/>
      <c r="AB10109" s="1"/>
    </row>
    <row r="10110" ht="50.25" customHeight="1">
      <c r="A10110" s="12">
        <v>10106.0</v>
      </c>
      <c r="B10110" s="13" t="s">
        <v>9604</v>
      </c>
      <c r="C10110" s="14" t="s">
        <v>10137</v>
      </c>
      <c r="D10110" s="1"/>
      <c r="E10110" s="1"/>
      <c r="F10110" s="1" t="str">
        <f>IFERROR(__xludf.DUMMYFUNCTION("GOOGLETRANSLATE(B10110, ""en"", ""fa"")
"),"موفقیت Etsy")</f>
        <v>موفقیت Etsy</v>
      </c>
      <c r="G10110" s="1" t="str">
        <f>IFERROR(__xludf.DUMMYFUNCTION("GOOGLETRANSLATE(C10110, ""en"", ""fa"")
"),"چگونه می توانم از طریق محتوای تعاملی، مانند نظرسنجی، آزمون یا چالش، با فالوورهای رسانه های اجتماعی خود ارتباط برقرار کنم تا تعامل را افزایش داده و حس سرگرمی ایجاد کنم؟")</f>
        <v>چگونه می توانم از طریق محتوای تعاملی، مانند نظرسنجی، آزمون یا چالش، با فالوورهای رسانه های اجتماعی خود ارتباط برقرار کنم تا تعامل را افزایش داده و حس سرگرمی ایجاد کنم؟</v>
      </c>
      <c r="H10110" s="1"/>
      <c r="I10110" s="1"/>
      <c r="J10110" s="1"/>
      <c r="K10110" s="1"/>
      <c r="L10110" s="1"/>
      <c r="M10110" s="1"/>
      <c r="N10110" s="1"/>
      <c r="O10110" s="1"/>
      <c r="P10110" s="1"/>
      <c r="Q10110" s="1"/>
      <c r="R10110" s="1"/>
      <c r="S10110" s="1"/>
      <c r="T10110" s="1"/>
      <c r="U10110" s="1"/>
      <c r="V10110" s="1"/>
      <c r="W10110" s="1"/>
      <c r="X10110" s="1"/>
      <c r="Y10110" s="1"/>
      <c r="Z10110" s="1"/>
      <c r="AA10110" s="1"/>
      <c r="AB10110" s="1"/>
    </row>
    <row r="10111" ht="50.25" customHeight="1">
      <c r="A10111" s="12">
        <v>10107.0</v>
      </c>
      <c r="B10111" s="13" t="s">
        <v>9604</v>
      </c>
      <c r="C10111" s="14" t="s">
        <v>10138</v>
      </c>
      <c r="D10111" s="1"/>
      <c r="E10111" s="1"/>
      <c r="F10111" s="1" t="str">
        <f>IFERROR(__xludf.DUMMYFUNCTION("GOOGLETRANSLATE(B10111, ""en"", ""fa"")
"),"موفقیت Etsy")</f>
        <v>موفقیت Etsy</v>
      </c>
      <c r="G10111" s="1" t="str">
        <f>IFERROR(__xludf.DUMMYFUNCTION("GOOGLETRANSLATE(C10111, ""en"", ""fa"")
"),"ملاحظات برای انجام هدایا یا تبلیغات انحصاری در رسانه های اجتماعی برای پاداش دادن به دنبال کنندگان وفادار رسانه های اجتماعی و ایجاد انگیزه برای مشتریان جدید چیست؟")</f>
        <v>ملاحظات برای انجام هدایا یا تبلیغات انحصاری در رسانه های اجتماعی برای پاداش دادن به دنبال کنندگان وفادار رسانه های اجتماعی و ایجاد انگیزه برای مشتریان جدید چیست؟</v>
      </c>
      <c r="H10111" s="1"/>
      <c r="I10111" s="1"/>
      <c r="J10111" s="1"/>
      <c r="K10111" s="1"/>
      <c r="L10111" s="1"/>
      <c r="M10111" s="1"/>
      <c r="N10111" s="1"/>
      <c r="O10111" s="1"/>
      <c r="P10111" s="1"/>
      <c r="Q10111" s="1"/>
      <c r="R10111" s="1"/>
      <c r="S10111" s="1"/>
      <c r="T10111" s="1"/>
      <c r="U10111" s="1"/>
      <c r="V10111" s="1"/>
      <c r="W10111" s="1"/>
      <c r="X10111" s="1"/>
      <c r="Y10111" s="1"/>
      <c r="Z10111" s="1"/>
      <c r="AA10111" s="1"/>
      <c r="AB10111" s="1"/>
    </row>
    <row r="10112" ht="50.25" customHeight="1">
      <c r="A10112" s="12">
        <v>10108.0</v>
      </c>
      <c r="B10112" s="13" t="s">
        <v>9604</v>
      </c>
      <c r="C10112" s="14" t="s">
        <v>10139</v>
      </c>
      <c r="D10112" s="1"/>
      <c r="E10112" s="1"/>
      <c r="F10112" s="1" t="str">
        <f>IFERROR(__xludf.DUMMYFUNCTION("GOOGLETRANSLATE(B10112, ""en"", ""fa"")
"),"موفقیت Etsy")</f>
        <v>موفقیت Etsy</v>
      </c>
      <c r="G10112" s="1" t="str">
        <f>IFERROR(__xludf.DUMMYFUNCTION("GOOGLETRANSLATE(C10112, ""en"", ""fa"")
"),"چگونه می‌توانم با اینفلوئنسرهای رسانه‌های اجتماعی یا تولیدکنندگان محتوا برای استوری‌های حمایت‌شده اینستاگرام یا تصاحب اسنپ چت برای افزایش دیده شدن و دسترسی به برند همکاری کنم؟")</f>
        <v>چگونه می‌توانم با اینفلوئنسرهای رسانه‌های اجتماعی یا تولیدکنندگان محتوا برای استوری‌های حمایت‌شده اینستاگرام یا تصاحب اسنپ چت برای افزایش دیده شدن و دسترسی به برند همکاری کنم؟</v>
      </c>
      <c r="H10112" s="1"/>
      <c r="I10112" s="1"/>
      <c r="J10112" s="1"/>
      <c r="K10112" s="1"/>
      <c r="L10112" s="1"/>
      <c r="M10112" s="1"/>
      <c r="N10112" s="1"/>
      <c r="O10112" s="1"/>
      <c r="P10112" s="1"/>
      <c r="Q10112" s="1"/>
      <c r="R10112" s="1"/>
      <c r="S10112" s="1"/>
      <c r="T10112" s="1"/>
      <c r="U10112" s="1"/>
      <c r="V10112" s="1"/>
      <c r="W10112" s="1"/>
      <c r="X10112" s="1"/>
      <c r="Y10112" s="1"/>
      <c r="Z10112" s="1"/>
      <c r="AA10112" s="1"/>
      <c r="AB10112" s="1"/>
    </row>
    <row r="10113" ht="50.25" customHeight="1">
      <c r="A10113" s="12">
        <v>10109.0</v>
      </c>
      <c r="B10113" s="13" t="s">
        <v>9604</v>
      </c>
      <c r="C10113" s="14" t="s">
        <v>10140</v>
      </c>
      <c r="D10113" s="1"/>
      <c r="E10113" s="1"/>
      <c r="F10113" s="1" t="str">
        <f>IFERROR(__xludf.DUMMYFUNCTION("GOOGLETRANSLATE(B10113, ""en"", ""fa"")
"),"موفقیت Etsy")</f>
        <v>موفقیت Etsy</v>
      </c>
      <c r="G10113" s="1" t="str">
        <f>IFERROR(__xludf.DUMMYFUNCTION("GOOGLETRANSLATE(C10113, ""en"", ""fa"")
"),"استراتژی‌هایی برای استفاده مجدد از تبلیغات و بازاریابی مجدد رسانه‌های اجتماعی برای تعامل مجدد با کاربرانی که به محصولات Etsy من علاقه نشان داده‌اند چیست؟")</f>
        <v>استراتژی‌هایی برای استفاده مجدد از تبلیغات و بازاریابی مجدد رسانه‌های اجتماعی برای تعامل مجدد با کاربرانی که به محصولات Etsy من علاقه نشان داده‌اند چیست؟</v>
      </c>
      <c r="H10113" s="1"/>
      <c r="I10113" s="1"/>
      <c r="J10113" s="1"/>
      <c r="K10113" s="1"/>
      <c r="L10113" s="1"/>
      <c r="M10113" s="1"/>
      <c r="N10113" s="1"/>
      <c r="O10113" s="1"/>
      <c r="P10113" s="1"/>
      <c r="Q10113" s="1"/>
      <c r="R10113" s="1"/>
      <c r="S10113" s="1"/>
      <c r="T10113" s="1"/>
      <c r="U10113" s="1"/>
      <c r="V10113" s="1"/>
      <c r="W10113" s="1"/>
      <c r="X10113" s="1"/>
      <c r="Y10113" s="1"/>
      <c r="Z10113" s="1"/>
      <c r="AA10113" s="1"/>
      <c r="AB10113" s="1"/>
    </row>
    <row r="10114" ht="50.25" customHeight="1">
      <c r="A10114" s="12">
        <v>10110.0</v>
      </c>
      <c r="B10114" s="13" t="s">
        <v>9604</v>
      </c>
      <c r="C10114" s="14" t="s">
        <v>10141</v>
      </c>
      <c r="D10114" s="1"/>
      <c r="E10114" s="1"/>
      <c r="F10114" s="1" t="str">
        <f>IFERROR(__xludf.DUMMYFUNCTION("GOOGLETRANSLATE(B10114, ""en"", ""fa"")
"),"موفقیت Etsy")</f>
        <v>موفقیت Etsy</v>
      </c>
      <c r="G10114" s="1" t="str">
        <f>IFERROR(__xludf.DUMMYFUNCTION("GOOGLETRANSLATE(C10114, ""en"", ""fa"")
"),"چگونه می توانم از گوش دادن و نظارت رسانه های اجتماعی برای جمع آوری تحقیقات بازار و بینش در مورد استراتژی های رسانه های اجتماعی رقبا و ترجیحات مخاطبانم استفاده کنم؟")</f>
        <v>چگونه می توانم از گوش دادن و نظارت رسانه های اجتماعی برای جمع آوری تحقیقات بازار و بینش در مورد استراتژی های رسانه های اجتماعی رقبا و ترجیحات مخاطبانم استفاده کنم؟</v>
      </c>
      <c r="H10114" s="1"/>
      <c r="I10114" s="1"/>
      <c r="J10114" s="1"/>
      <c r="K10114" s="1"/>
      <c r="L10114" s="1"/>
      <c r="M10114" s="1"/>
      <c r="N10114" s="1"/>
      <c r="O10114" s="1"/>
      <c r="P10114" s="1"/>
      <c r="Q10114" s="1"/>
      <c r="R10114" s="1"/>
      <c r="S10114" s="1"/>
      <c r="T10114" s="1"/>
      <c r="U10114" s="1"/>
      <c r="V10114" s="1"/>
      <c r="W10114" s="1"/>
      <c r="X10114" s="1"/>
      <c r="Y10114" s="1"/>
      <c r="Z10114" s="1"/>
      <c r="AA10114" s="1"/>
      <c r="AB10114" s="1"/>
    </row>
    <row r="10115" ht="50.25" customHeight="1">
      <c r="A10115" s="12">
        <v>10111.0</v>
      </c>
      <c r="B10115" s="13" t="s">
        <v>9604</v>
      </c>
      <c r="C10115" s="14" t="s">
        <v>10142</v>
      </c>
      <c r="D10115" s="1"/>
      <c r="E10115" s="1"/>
      <c r="F10115" s="1" t="str">
        <f>IFERROR(__xludf.DUMMYFUNCTION("GOOGLETRANSLATE(B10115, ""en"", ""fa"")
"),"موفقیت Etsy")</f>
        <v>موفقیت Etsy</v>
      </c>
      <c r="G10115" s="1" t="str">
        <f>IFERROR(__xludf.DUMMYFUNCTION("GOOGLETRANSLATE(C10115, ""en"", ""fa"")
"),"بهترین روش ها برای ایجاد چرخ فلک های جذاب و تعاملی اینستاگرام یا نمایش اسلایدهای فیس بوک برای نمایش چندین محصول یا بیان یک داستان بصری چیست؟")</f>
        <v>بهترین روش ها برای ایجاد چرخ فلک های جذاب و تعاملی اینستاگرام یا نمایش اسلایدهای فیس بوک برای نمایش چندین محصول یا بیان یک داستان بصری چیست؟</v>
      </c>
      <c r="H10115" s="1"/>
      <c r="I10115" s="1"/>
      <c r="J10115" s="1"/>
      <c r="K10115" s="1"/>
      <c r="L10115" s="1"/>
      <c r="M10115" s="1"/>
      <c r="N10115" s="1"/>
      <c r="O10115" s="1"/>
      <c r="P10115" s="1"/>
      <c r="Q10115" s="1"/>
      <c r="R10115" s="1"/>
      <c r="S10115" s="1"/>
      <c r="T10115" s="1"/>
      <c r="U10115" s="1"/>
      <c r="V10115" s="1"/>
      <c r="W10115" s="1"/>
      <c r="X10115" s="1"/>
      <c r="Y10115" s="1"/>
      <c r="Z10115" s="1"/>
      <c r="AA10115" s="1"/>
      <c r="AB10115" s="1"/>
    </row>
    <row r="10116" ht="50.25" customHeight="1">
      <c r="A10116" s="12">
        <v>10112.0</v>
      </c>
      <c r="B10116" s="13" t="s">
        <v>9604</v>
      </c>
      <c r="C10116" s="14" t="s">
        <v>10143</v>
      </c>
      <c r="D10116" s="1"/>
      <c r="E10116" s="1"/>
      <c r="F10116" s="1" t="str">
        <f>IFERROR(__xludf.DUMMYFUNCTION("GOOGLETRANSLATE(B10116, ""en"", ""fa"")
"),"موفقیت Etsy")</f>
        <v>موفقیت Etsy</v>
      </c>
      <c r="G10116" s="1" t="str">
        <f>IFERROR(__xludf.DUMMYFUNCTION("GOOGLETRANSLATE(C10116, ""en"", ""fa"")
"),"چگونه می توانم با اینفلوئنسرها یا وبلاگ نویسان رسانه های اجتماعی برای تهیه محتوا یا وبلاگ نویسی مهمان همکاری کنم تا بینش و منابع ارزشمندی را برای مخاطبان هدف خود فراهم کنم؟")</f>
        <v>چگونه می توانم با اینفلوئنسرها یا وبلاگ نویسان رسانه های اجتماعی برای تهیه محتوا یا وبلاگ نویسی مهمان همکاری کنم تا بینش و منابع ارزشمندی را برای مخاطبان هدف خود فراهم کنم؟</v>
      </c>
      <c r="H10116" s="1"/>
      <c r="I10116" s="1"/>
      <c r="J10116" s="1"/>
      <c r="K10116" s="1"/>
      <c r="L10116" s="1"/>
      <c r="M10116" s="1"/>
      <c r="N10116" s="1"/>
      <c r="O10116" s="1"/>
      <c r="P10116" s="1"/>
      <c r="Q10116" s="1"/>
      <c r="R10116" s="1"/>
      <c r="S10116" s="1"/>
      <c r="T10116" s="1"/>
      <c r="U10116" s="1"/>
      <c r="V10116" s="1"/>
      <c r="W10116" s="1"/>
      <c r="X10116" s="1"/>
      <c r="Y10116" s="1"/>
      <c r="Z10116" s="1"/>
      <c r="AA10116" s="1"/>
      <c r="AB10116" s="1"/>
    </row>
    <row r="10117" ht="50.25" customHeight="1">
      <c r="A10117" s="12">
        <v>10113.0</v>
      </c>
      <c r="B10117" s="13" t="s">
        <v>9604</v>
      </c>
      <c r="C10117" s="14" t="s">
        <v>10144</v>
      </c>
      <c r="D10117" s="1"/>
      <c r="E10117" s="1"/>
      <c r="F10117" s="1" t="str">
        <f>IFERROR(__xludf.DUMMYFUNCTION("GOOGLETRANSLATE(B10117, ""en"", ""fa"")
"),"موفقیت Etsy")</f>
        <v>موفقیت Etsy</v>
      </c>
      <c r="G10117" s="1" t="str">
        <f>IFERROR(__xludf.DUMMYFUNCTION("GOOGLETRANSLATE(C10117, ""en"", ""fa"")
"),"ملاحظات ایجاد مشارکت در رسانه های اجتماعی یا کمپین های مشترک با برندهای مکمل یا فروشندگان Etsy برای گسترش دامنه دسترسی من و استفاده از پایگاه های مشتریان جدید چیست؟")</f>
        <v>ملاحظات ایجاد مشارکت در رسانه های اجتماعی یا کمپین های مشترک با برندهای مکمل یا فروشندگان Etsy برای گسترش دامنه دسترسی من و استفاده از پایگاه های مشتریان جدید چیست؟</v>
      </c>
      <c r="H10117" s="1"/>
      <c r="I10117" s="1"/>
      <c r="J10117" s="1"/>
      <c r="K10117" s="1"/>
      <c r="L10117" s="1"/>
      <c r="M10117" s="1"/>
      <c r="N10117" s="1"/>
      <c r="O10117" s="1"/>
      <c r="P10117" s="1"/>
      <c r="Q10117" s="1"/>
      <c r="R10117" s="1"/>
      <c r="S10117" s="1"/>
      <c r="T10117" s="1"/>
      <c r="U10117" s="1"/>
      <c r="V10117" s="1"/>
      <c r="W10117" s="1"/>
      <c r="X10117" s="1"/>
      <c r="Y10117" s="1"/>
      <c r="Z10117" s="1"/>
      <c r="AA10117" s="1"/>
      <c r="AB10117" s="1"/>
    </row>
    <row r="10118" ht="50.25" customHeight="1">
      <c r="A10118" s="12">
        <v>10114.0</v>
      </c>
      <c r="B10118" s="13" t="s">
        <v>9604</v>
      </c>
      <c r="C10118" s="14" t="s">
        <v>10145</v>
      </c>
      <c r="D10118" s="1"/>
      <c r="E10118" s="1"/>
      <c r="F10118" s="1" t="str">
        <f>IFERROR(__xludf.DUMMYFUNCTION("GOOGLETRANSLATE(B10118, ""en"", ""fa"")
"),"موفقیت Etsy")</f>
        <v>موفقیت Etsy</v>
      </c>
      <c r="G10118" s="1" t="str">
        <f>IFERROR(__xludf.DUMMYFUNCTION("GOOGLETRANSLATE(C10118, ""en"", ""fa"")
"),"چگونه می توانم یک تجربه به یاد ماندنی و شخصی پس از خرید برای مشتریان Etsy خود ایجاد کنم تا تجارت مجدد را تشویق کنم؟")</f>
        <v>چگونه می توانم یک تجربه به یاد ماندنی و شخصی پس از خرید برای مشتریان Etsy خود ایجاد کنم تا تجارت مجدد را تشویق کنم؟</v>
      </c>
      <c r="H10118" s="1"/>
      <c r="I10118" s="1"/>
      <c r="J10118" s="1"/>
      <c r="K10118" s="1"/>
      <c r="L10118" s="1"/>
      <c r="M10118" s="1"/>
      <c r="N10118" s="1"/>
      <c r="O10118" s="1"/>
      <c r="P10118" s="1"/>
      <c r="Q10118" s="1"/>
      <c r="R10118" s="1"/>
      <c r="S10118" s="1"/>
      <c r="T10118" s="1"/>
      <c r="U10118" s="1"/>
      <c r="V10118" s="1"/>
      <c r="W10118" s="1"/>
      <c r="X10118" s="1"/>
      <c r="Y10118" s="1"/>
      <c r="Z10118" s="1"/>
      <c r="AA10118" s="1"/>
      <c r="AB10118" s="1"/>
    </row>
    <row r="10119" ht="50.25" customHeight="1">
      <c r="A10119" s="12">
        <v>10115.0</v>
      </c>
      <c r="B10119" s="13" t="s">
        <v>9604</v>
      </c>
      <c r="C10119" s="14" t="s">
        <v>10146</v>
      </c>
      <c r="D10119" s="1"/>
      <c r="E10119" s="1"/>
      <c r="F10119" s="1" t="str">
        <f>IFERROR(__xludf.DUMMYFUNCTION("GOOGLETRANSLATE(B10119, ""en"", ""fa"")
"),"موفقیت Etsy")</f>
        <v>موفقیت Etsy</v>
      </c>
      <c r="G10119" s="1" t="str">
        <f>IFERROR(__xludf.DUMMYFUNCTION("GOOGLETRANSLATE(C10119, ""en"", ""fa"")
"),"راهبردهای اجرای برنامه وفاداری مشتری در Etsy برای ایجاد انگیزه برای تکرار خرید و پاداش دادن به مشتریان وفادار چیست؟")</f>
        <v>راهبردهای اجرای برنامه وفاداری مشتری در Etsy برای ایجاد انگیزه برای تکرار خرید و پاداش دادن به مشتریان وفادار چیست؟</v>
      </c>
      <c r="H10119" s="1"/>
      <c r="I10119" s="1"/>
      <c r="J10119" s="1"/>
      <c r="K10119" s="1"/>
      <c r="L10119" s="1"/>
      <c r="M10119" s="1"/>
      <c r="N10119" s="1"/>
      <c r="O10119" s="1"/>
      <c r="P10119" s="1"/>
      <c r="Q10119" s="1"/>
      <c r="R10119" s="1"/>
      <c r="S10119" s="1"/>
      <c r="T10119" s="1"/>
      <c r="U10119" s="1"/>
      <c r="V10119" s="1"/>
      <c r="W10119" s="1"/>
      <c r="X10119" s="1"/>
      <c r="Y10119" s="1"/>
      <c r="Z10119" s="1"/>
      <c r="AA10119" s="1"/>
      <c r="AB10119" s="1"/>
    </row>
    <row r="10120" ht="50.25" customHeight="1">
      <c r="A10120" s="12">
        <v>10116.0</v>
      </c>
      <c r="B10120" s="13" t="s">
        <v>9604</v>
      </c>
      <c r="C10120" s="14" t="s">
        <v>10147</v>
      </c>
      <c r="D10120" s="1"/>
      <c r="E10120" s="1"/>
      <c r="F10120" s="1" t="str">
        <f>IFERROR(__xludf.DUMMYFUNCTION("GOOGLETRANSLATE(B10120, ""en"", ""fa"")
"),"موفقیت Etsy")</f>
        <v>موفقیت Etsy</v>
      </c>
      <c r="G10120" s="1" t="str">
        <f>IFERROR(__xludf.DUMMYFUNCTION("GOOGLETRANSLATE(C10120, ""en"", ""fa"")
"),"چگونه می توانم از بازاریابی ایمیلی برای حفظ ارتباط با مشتریان قبلی خود و تقویت روابط بلندمدت استفاده کنم؟")</f>
        <v>چگونه می توانم از بازاریابی ایمیلی برای حفظ ارتباط با مشتریان قبلی خود و تقویت روابط بلندمدت استفاده کنم؟</v>
      </c>
      <c r="H10120" s="1"/>
      <c r="I10120" s="1"/>
      <c r="J10120" s="1"/>
      <c r="K10120" s="1"/>
      <c r="L10120" s="1"/>
      <c r="M10120" s="1"/>
      <c r="N10120" s="1"/>
      <c r="O10120" s="1"/>
      <c r="P10120" s="1"/>
      <c r="Q10120" s="1"/>
      <c r="R10120" s="1"/>
      <c r="S10120" s="1"/>
      <c r="T10120" s="1"/>
      <c r="U10120" s="1"/>
      <c r="V10120" s="1"/>
      <c r="W10120" s="1"/>
      <c r="X10120" s="1"/>
      <c r="Y10120" s="1"/>
      <c r="Z10120" s="1"/>
      <c r="AA10120" s="1"/>
      <c r="AB10120" s="1"/>
    </row>
    <row r="10121" ht="50.25" customHeight="1">
      <c r="A10121" s="12">
        <v>10117.0</v>
      </c>
      <c r="B10121" s="13" t="s">
        <v>9604</v>
      </c>
      <c r="C10121" s="14" t="s">
        <v>10148</v>
      </c>
      <c r="D10121" s="1"/>
      <c r="E10121" s="1"/>
      <c r="F10121" s="1" t="str">
        <f>IFERROR(__xludf.DUMMYFUNCTION("GOOGLETRANSLATE(B10121, ""en"", ""fa"")
"),"موفقیت Etsy")</f>
        <v>موفقیت Etsy</v>
      </c>
      <c r="G10121" s="1" t="str">
        <f>IFERROR(__xludf.DUMMYFUNCTION("GOOGLETRANSLATE(C10121, ""en"", ""fa"")
"),"ملاحظات ارائه تخفیف یا تبلیغات انحصاری به مشتریان فعلی به عنوان راهی برای تشویق مجدد تجارت چیست؟")</f>
        <v>ملاحظات ارائه تخفیف یا تبلیغات انحصاری به مشتریان فعلی به عنوان راهی برای تشویق مجدد تجارت چیست؟</v>
      </c>
      <c r="H10121" s="1"/>
      <c r="I10121" s="1"/>
      <c r="J10121" s="1"/>
      <c r="K10121" s="1"/>
      <c r="L10121" s="1"/>
      <c r="M10121" s="1"/>
      <c r="N10121" s="1"/>
      <c r="O10121" s="1"/>
      <c r="P10121" s="1"/>
      <c r="Q10121" s="1"/>
      <c r="R10121" s="1"/>
      <c r="S10121" s="1"/>
      <c r="T10121" s="1"/>
      <c r="U10121" s="1"/>
      <c r="V10121" s="1"/>
      <c r="W10121" s="1"/>
      <c r="X10121" s="1"/>
      <c r="Y10121" s="1"/>
      <c r="Z10121" s="1"/>
      <c r="AA10121" s="1"/>
      <c r="AB10121" s="1"/>
    </row>
    <row r="10122" ht="50.25" customHeight="1">
      <c r="A10122" s="12">
        <v>10118.0</v>
      </c>
      <c r="B10122" s="13" t="s">
        <v>9604</v>
      </c>
      <c r="C10122" s="14" t="s">
        <v>10149</v>
      </c>
      <c r="D10122" s="1"/>
      <c r="E10122" s="1"/>
      <c r="F10122" s="1" t="str">
        <f>IFERROR(__xludf.DUMMYFUNCTION("GOOGLETRANSLATE(B10122, ""en"", ""fa"")
"),"موفقیت Etsy")</f>
        <v>موفقیت Etsy</v>
      </c>
      <c r="G10122" s="1" t="str">
        <f>IFERROR(__xludf.DUMMYFUNCTION("GOOGLETRANSLATE(C10122, ""en"", ""fa"")
"),"چگونه می توانم به طور فعال بازخورد و نظرات مشتری را جمع آوری و استفاده کنم تا محصولاتم را بهبود بخشم و تجربه کلی مشتری را بهبود بخشم؟")</f>
        <v>چگونه می توانم به طور فعال بازخورد و نظرات مشتری را جمع آوری و استفاده کنم تا محصولاتم را بهبود بخشم و تجربه کلی مشتری را بهبود بخشم؟</v>
      </c>
      <c r="H10122" s="1"/>
      <c r="I10122" s="1"/>
      <c r="J10122" s="1"/>
      <c r="K10122" s="1"/>
      <c r="L10122" s="1"/>
      <c r="M10122" s="1"/>
      <c r="N10122" s="1"/>
      <c r="O10122" s="1"/>
      <c r="P10122" s="1"/>
      <c r="Q10122" s="1"/>
      <c r="R10122" s="1"/>
      <c r="S10122" s="1"/>
      <c r="T10122" s="1"/>
      <c r="U10122" s="1"/>
      <c r="V10122" s="1"/>
      <c r="W10122" s="1"/>
      <c r="X10122" s="1"/>
      <c r="Y10122" s="1"/>
      <c r="Z10122" s="1"/>
      <c r="AA10122" s="1"/>
      <c r="AB10122" s="1"/>
    </row>
    <row r="10123" ht="50.25" customHeight="1">
      <c r="A10123" s="12">
        <v>10119.0</v>
      </c>
      <c r="B10123" s="13" t="s">
        <v>9604</v>
      </c>
      <c r="C10123" s="14" t="s">
        <v>10150</v>
      </c>
      <c r="D10123" s="1"/>
      <c r="E10123" s="1"/>
      <c r="F10123" s="1" t="str">
        <f>IFERROR(__xludf.DUMMYFUNCTION("GOOGLETRANSLATE(B10123, ""en"", ""fa"")
"),"موفقیت Etsy")</f>
        <v>موفقیت Etsy</v>
      </c>
      <c r="G10123" s="1" t="str">
        <f>IFERROR(__xludf.DUMMYFUNCTION("GOOGLETRANSLATE(C10123, ""en"", ""fa"")
"),"راهبردهای ارائه خدمات استثنایی به مشتریان و حل و فصل هر گونه مشکل یا نگرانی به سرعت برای تقویت وفاداری مشتری چیست؟")</f>
        <v>راهبردهای ارائه خدمات استثنایی به مشتریان و حل و فصل هر گونه مشکل یا نگرانی به سرعت برای تقویت وفاداری مشتری چیست؟</v>
      </c>
      <c r="H10123" s="1"/>
      <c r="I10123" s="1"/>
      <c r="J10123" s="1"/>
      <c r="K10123" s="1"/>
      <c r="L10123" s="1"/>
      <c r="M10123" s="1"/>
      <c r="N10123" s="1"/>
      <c r="O10123" s="1"/>
      <c r="P10123" s="1"/>
      <c r="Q10123" s="1"/>
      <c r="R10123" s="1"/>
      <c r="S10123" s="1"/>
      <c r="T10123" s="1"/>
      <c r="U10123" s="1"/>
      <c r="V10123" s="1"/>
      <c r="W10123" s="1"/>
      <c r="X10123" s="1"/>
      <c r="Y10123" s="1"/>
      <c r="Z10123" s="1"/>
      <c r="AA10123" s="1"/>
      <c r="AB10123" s="1"/>
    </row>
    <row r="10124" ht="50.25" customHeight="1">
      <c r="A10124" s="12">
        <v>10120.0</v>
      </c>
      <c r="B10124" s="13" t="s">
        <v>9604</v>
      </c>
      <c r="C10124" s="14" t="s">
        <v>10151</v>
      </c>
      <c r="D10124" s="1"/>
      <c r="E10124" s="1"/>
      <c r="F10124" s="1" t="str">
        <f>IFERROR(__xludf.DUMMYFUNCTION("GOOGLETRANSLATE(B10124, ""en"", ""fa"")
"),"موفقیت Etsy")</f>
        <v>موفقیت Etsy</v>
      </c>
      <c r="G10124" s="1" t="str">
        <f>IFERROR(__xludf.DUMMYFUNCTION("GOOGLETRANSLATE(C10124, ""en"", ""fa"")
"),"چگونه می توانم از توصیه های شخصی یا پیشنهادات محصول بر اساس خریدهای گذشته استفاده کنم تا مشتریان را به خریدهای اضافی ترغیب کنم؟")</f>
        <v>چگونه می توانم از توصیه های شخصی یا پیشنهادات محصول بر اساس خریدهای گذشته استفاده کنم تا مشتریان را به خریدهای اضافی ترغیب کنم؟</v>
      </c>
      <c r="H10124" s="1"/>
      <c r="I10124" s="1"/>
      <c r="J10124" s="1"/>
      <c r="K10124" s="1"/>
      <c r="L10124" s="1"/>
      <c r="M10124" s="1"/>
      <c r="N10124" s="1"/>
      <c r="O10124" s="1"/>
      <c r="P10124" s="1"/>
      <c r="Q10124" s="1"/>
      <c r="R10124" s="1"/>
      <c r="S10124" s="1"/>
      <c r="T10124" s="1"/>
      <c r="U10124" s="1"/>
      <c r="V10124" s="1"/>
      <c r="W10124" s="1"/>
      <c r="X10124" s="1"/>
      <c r="Y10124" s="1"/>
      <c r="Z10124" s="1"/>
      <c r="AA10124" s="1"/>
      <c r="AB10124" s="1"/>
    </row>
    <row r="10125" ht="50.25" customHeight="1">
      <c r="A10125" s="12">
        <v>10121.0</v>
      </c>
      <c r="B10125" s="13" t="s">
        <v>9604</v>
      </c>
      <c r="C10125" s="14" t="s">
        <v>10152</v>
      </c>
      <c r="D10125" s="1"/>
      <c r="E10125" s="1"/>
      <c r="F10125" s="1" t="str">
        <f>IFERROR(__xludf.DUMMYFUNCTION("GOOGLETRANSLATE(B10125, ""en"", ""fa"")
"),"موفقیت Etsy")</f>
        <v>موفقیت Etsy</v>
      </c>
      <c r="G10125" s="1" t="str">
        <f>IFERROR(__xludf.DUMMYFUNCTION("GOOGLETRANSLATE(C10125, ""en"", ""fa"")
"),"بهترین روش‌ها برای ارسال یادداشت‌های تشکر شخصی یا ایمیل‌های بعدی پس از خرید برای نشان دادن قدردانی و تشویق مجدد تجارت چیست؟")</f>
        <v>بهترین روش‌ها برای ارسال یادداشت‌های تشکر شخصی یا ایمیل‌های بعدی پس از خرید برای نشان دادن قدردانی و تشویق مجدد تجارت چیست؟</v>
      </c>
      <c r="H10125" s="1"/>
      <c r="I10125" s="1"/>
      <c r="J10125" s="1"/>
      <c r="K10125" s="1"/>
      <c r="L10125" s="1"/>
      <c r="M10125" s="1"/>
      <c r="N10125" s="1"/>
      <c r="O10125" s="1"/>
      <c r="P10125" s="1"/>
      <c r="Q10125" s="1"/>
      <c r="R10125" s="1"/>
      <c r="S10125" s="1"/>
      <c r="T10125" s="1"/>
      <c r="U10125" s="1"/>
      <c r="V10125" s="1"/>
      <c r="W10125" s="1"/>
      <c r="X10125" s="1"/>
      <c r="Y10125" s="1"/>
      <c r="Z10125" s="1"/>
      <c r="AA10125" s="1"/>
      <c r="AB10125" s="1"/>
    </row>
    <row r="10126" ht="50.25" customHeight="1">
      <c r="A10126" s="12">
        <v>10122.0</v>
      </c>
      <c r="B10126" s="13" t="s">
        <v>9604</v>
      </c>
      <c r="C10126" s="14" t="s">
        <v>10153</v>
      </c>
      <c r="D10126" s="1"/>
      <c r="E10126" s="1"/>
      <c r="F10126" s="1" t="str">
        <f>IFERROR(__xludf.DUMMYFUNCTION("GOOGLETRANSLATE(B10126, ""en"", ""fa"")
"),"موفقیت Etsy")</f>
        <v>موفقیت Etsy</v>
      </c>
      <c r="G10126" s="1" t="str">
        <f>IFERROR(__xludf.DUMMYFUNCTION("GOOGLETRANSLATE(C10126, ""en"", ""fa"")
"),"چگونه می توانم با مشتریان قبلی خود در پلتفرم های رسانه های اجتماعی ارتباط برقرار کنم و آنها را تشویق کنم که دوباره از فروشگاه Etsy من بازدید کنند؟")</f>
        <v>چگونه می توانم با مشتریان قبلی خود در پلتفرم های رسانه های اجتماعی ارتباط برقرار کنم و آنها را تشویق کنم که دوباره از فروشگاه Etsy من بازدید کنند؟</v>
      </c>
      <c r="H10126" s="1"/>
      <c r="I10126" s="1"/>
      <c r="J10126" s="1"/>
      <c r="K10126" s="1"/>
      <c r="L10126" s="1"/>
      <c r="M10126" s="1"/>
      <c r="N10126" s="1"/>
      <c r="O10126" s="1"/>
      <c r="P10126" s="1"/>
      <c r="Q10126" s="1"/>
      <c r="R10126" s="1"/>
      <c r="S10126" s="1"/>
      <c r="T10126" s="1"/>
      <c r="U10126" s="1"/>
      <c r="V10126" s="1"/>
      <c r="W10126" s="1"/>
      <c r="X10126" s="1"/>
      <c r="Y10126" s="1"/>
      <c r="Z10126" s="1"/>
      <c r="AA10126" s="1"/>
      <c r="AB10126" s="1"/>
    </row>
    <row r="10127" ht="50.25" customHeight="1">
      <c r="A10127" s="12">
        <v>10123.0</v>
      </c>
      <c r="B10127" s="13" t="s">
        <v>9604</v>
      </c>
      <c r="C10127" s="14" t="s">
        <v>10154</v>
      </c>
      <c r="D10127" s="1"/>
      <c r="E10127" s="1"/>
      <c r="F10127" s="1" t="str">
        <f>IFERROR(__xludf.DUMMYFUNCTION("GOOGLETRANSLATE(B10127, ""en"", ""fa"")
"),"موفقیت Etsy")</f>
        <v>موفقیت Etsy</v>
      </c>
      <c r="G10127" s="1" t="str">
        <f>IFERROR(__xludf.DUMMYFUNCTION("GOOGLETRANSLATE(C10127, ""en"", ""fa"")
"),"ملاحظات ایجاد یک برنامه ارجاع که به مشتریان برای ارجاع دوستان و خانواده خود به فروشگاه Etsy من پاداش می دهد چیست؟")</f>
        <v>ملاحظات ایجاد یک برنامه ارجاع که به مشتریان برای ارجاع دوستان و خانواده خود به فروشگاه Etsy من پاداش می دهد چیست؟</v>
      </c>
      <c r="H10127" s="1"/>
      <c r="I10127" s="1"/>
      <c r="J10127" s="1"/>
      <c r="K10127" s="1"/>
      <c r="L10127" s="1"/>
      <c r="M10127" s="1"/>
      <c r="N10127" s="1"/>
      <c r="O10127" s="1"/>
      <c r="P10127" s="1"/>
      <c r="Q10127" s="1"/>
      <c r="R10127" s="1"/>
      <c r="S10127" s="1"/>
      <c r="T10127" s="1"/>
      <c r="U10127" s="1"/>
      <c r="V10127" s="1"/>
      <c r="W10127" s="1"/>
      <c r="X10127" s="1"/>
      <c r="Y10127" s="1"/>
      <c r="Z10127" s="1"/>
      <c r="AA10127" s="1"/>
      <c r="AB10127" s="1"/>
    </row>
    <row r="10128" ht="50.25" customHeight="1">
      <c r="A10128" s="12">
        <v>10124.0</v>
      </c>
      <c r="B10128" s="13" t="s">
        <v>9604</v>
      </c>
      <c r="C10128" s="14" t="s">
        <v>10155</v>
      </c>
      <c r="D10128" s="1"/>
      <c r="E10128" s="1"/>
      <c r="F10128" s="1" t="str">
        <f>IFERROR(__xludf.DUMMYFUNCTION("GOOGLETRANSLATE(B10128, ""en"", ""fa"")
"),"موفقیت Etsy")</f>
        <v>موفقیت Etsy</v>
      </c>
      <c r="G10128" s="1" t="str">
        <f>IFERROR(__xludf.DUMMYFUNCTION("GOOGLETRANSLATE(C10128, ""en"", ""fa"")
"),"چگونه می توانم از درج های بسته بندی یا نمونه های رایگان با هر سفارش استفاده کنم تا مشتریانم را شگفت زده و خوشحال کنم و احتمال تکرار خرید را افزایش دهم؟")</f>
        <v>چگونه می توانم از درج های بسته بندی یا نمونه های رایگان با هر سفارش استفاده کنم تا مشتریانم را شگفت زده و خوشحال کنم و احتمال تکرار خرید را افزایش دهم؟</v>
      </c>
      <c r="H10128" s="1"/>
      <c r="I10128" s="1"/>
      <c r="J10128" s="1"/>
      <c r="K10128" s="1"/>
      <c r="L10128" s="1"/>
      <c r="M10128" s="1"/>
      <c r="N10128" s="1"/>
      <c r="O10128" s="1"/>
      <c r="P10128" s="1"/>
      <c r="Q10128" s="1"/>
      <c r="R10128" s="1"/>
      <c r="S10128" s="1"/>
      <c r="T10128" s="1"/>
      <c r="U10128" s="1"/>
      <c r="V10128" s="1"/>
      <c r="W10128" s="1"/>
      <c r="X10128" s="1"/>
      <c r="Y10128" s="1"/>
      <c r="Z10128" s="1"/>
      <c r="AA10128" s="1"/>
      <c r="AB10128" s="1"/>
    </row>
    <row r="10129" ht="50.25" customHeight="1">
      <c r="A10129" s="12">
        <v>10125.0</v>
      </c>
      <c r="B10129" s="13" t="s">
        <v>9604</v>
      </c>
      <c r="C10129" s="14" t="s">
        <v>10156</v>
      </c>
      <c r="D10129" s="1"/>
      <c r="E10129" s="1"/>
      <c r="F10129" s="1" t="str">
        <f>IFERROR(__xludf.DUMMYFUNCTION("GOOGLETRANSLATE(B10129, ""en"", ""fa"")
"),"موفقیت Etsy")</f>
        <v>موفقیت Etsy</v>
      </c>
      <c r="G10129" s="1" t="str">
        <f>IFERROR(__xludf.DUMMYFUNCTION("GOOGLETRANSLATE(C10129, ""en"", ""fa"")
"),"استراتژی‌هایی برای اجرای اشتراک یا گزینه خرید تکراری برای محصولات خاص برای تشویق تجارت تکراری چیست؟")</f>
        <v>استراتژی‌هایی برای اجرای اشتراک یا گزینه خرید تکراری برای محصولات خاص برای تشویق تجارت تکراری چیست؟</v>
      </c>
      <c r="H10129" s="1"/>
      <c r="I10129" s="1"/>
      <c r="J10129" s="1"/>
      <c r="K10129" s="1"/>
      <c r="L10129" s="1"/>
      <c r="M10129" s="1"/>
      <c r="N10129" s="1"/>
      <c r="O10129" s="1"/>
      <c r="P10129" s="1"/>
      <c r="Q10129" s="1"/>
      <c r="R10129" s="1"/>
      <c r="S10129" s="1"/>
      <c r="T10129" s="1"/>
      <c r="U10129" s="1"/>
      <c r="V10129" s="1"/>
      <c r="W10129" s="1"/>
      <c r="X10129" s="1"/>
      <c r="Y10129" s="1"/>
      <c r="Z10129" s="1"/>
      <c r="AA10129" s="1"/>
      <c r="AB10129" s="1"/>
    </row>
    <row r="10130" ht="50.25" customHeight="1">
      <c r="A10130" s="12">
        <v>10126.0</v>
      </c>
      <c r="B10130" s="13" t="s">
        <v>9604</v>
      </c>
      <c r="C10130" s="14" t="s">
        <v>10157</v>
      </c>
      <c r="D10130" s="1"/>
      <c r="E10130" s="1"/>
      <c r="F10130" s="1" t="str">
        <f>IFERROR(__xludf.DUMMYFUNCTION("GOOGLETRANSLATE(B10130, ""en"", ""fa"")
"),"موفقیت Etsy")</f>
        <v>موفقیت Etsy</v>
      </c>
      <c r="G10130" s="1" t="str">
        <f>IFERROR(__xludf.DUMMYFUNCTION("GOOGLETRANSLATE(C10130, ""en"", ""fa"")
"),"چگونه می توانم با انجام نظرسنجی های دوره ای یا فرم های بازخورد در مورد نیازها و ترجیحات مشتریان خود به روز باشم؟")</f>
        <v>چگونه می توانم با انجام نظرسنجی های دوره ای یا فرم های بازخورد در مورد نیازها و ترجیحات مشتریان خود به روز باشم؟</v>
      </c>
      <c r="H10130" s="1"/>
      <c r="I10130" s="1"/>
      <c r="J10130" s="1"/>
      <c r="K10130" s="1"/>
      <c r="L10130" s="1"/>
      <c r="M10130" s="1"/>
      <c r="N10130" s="1"/>
      <c r="O10130" s="1"/>
      <c r="P10130" s="1"/>
      <c r="Q10130" s="1"/>
      <c r="R10130" s="1"/>
      <c r="S10130" s="1"/>
      <c r="T10130" s="1"/>
      <c r="U10130" s="1"/>
      <c r="V10130" s="1"/>
      <c r="W10130" s="1"/>
      <c r="X10130" s="1"/>
      <c r="Y10130" s="1"/>
      <c r="Z10130" s="1"/>
      <c r="AA10130" s="1"/>
      <c r="AB10130" s="1"/>
    </row>
    <row r="10131" ht="50.25" customHeight="1">
      <c r="A10131" s="12">
        <v>10127.0</v>
      </c>
      <c r="B10131" s="13" t="s">
        <v>9604</v>
      </c>
      <c r="C10131" s="14" t="s">
        <v>10158</v>
      </c>
      <c r="D10131" s="1"/>
      <c r="E10131" s="1"/>
      <c r="F10131" s="1" t="str">
        <f>IFERROR(__xludf.DUMMYFUNCTION("GOOGLETRANSLATE(B10131, ""en"", ""fa"")
"),"موفقیت Etsy")</f>
        <v>موفقیت Etsy</v>
      </c>
      <c r="G10131" s="1" t="str">
        <f>IFERROR(__xludf.DUMMYFUNCTION("GOOGLETRANSLATE(C10131, ""en"", ""fa"")
"),"ملاحظات ارائه پشتیبانی استثنایی پس از فروش، مانند راهنمای عیب یابی یا آموزش های ویدیویی، برای افزایش تجربه مشتری چیست؟")</f>
        <v>ملاحظات ارائه پشتیبانی استثنایی پس از فروش، مانند راهنمای عیب یابی یا آموزش های ویدیویی، برای افزایش تجربه مشتری چیست؟</v>
      </c>
      <c r="H10131" s="1"/>
      <c r="I10131" s="1"/>
      <c r="J10131" s="1"/>
      <c r="K10131" s="1"/>
      <c r="L10131" s="1"/>
      <c r="M10131" s="1"/>
      <c r="N10131" s="1"/>
      <c r="O10131" s="1"/>
      <c r="P10131" s="1"/>
      <c r="Q10131" s="1"/>
      <c r="R10131" s="1"/>
      <c r="S10131" s="1"/>
      <c r="T10131" s="1"/>
      <c r="U10131" s="1"/>
      <c r="V10131" s="1"/>
      <c r="W10131" s="1"/>
      <c r="X10131" s="1"/>
      <c r="Y10131" s="1"/>
      <c r="Z10131" s="1"/>
      <c r="AA10131" s="1"/>
      <c r="AB10131" s="1"/>
    </row>
    <row r="10132" ht="50.25" customHeight="1">
      <c r="A10132" s="12">
        <v>10128.0</v>
      </c>
      <c r="B10132" s="13" t="s">
        <v>9604</v>
      </c>
      <c r="C10132" s="14" t="s">
        <v>10159</v>
      </c>
      <c r="D10132" s="1"/>
      <c r="E10132" s="1"/>
      <c r="F10132" s="1" t="str">
        <f>IFERROR(__xludf.DUMMYFUNCTION("GOOGLETRANSLATE(B10132, ""en"", ""fa"")
"),"موفقیت Etsy")</f>
        <v>موفقیت Etsy</v>
      </c>
      <c r="G10132" s="1" t="str">
        <f>IFERROR(__xludf.DUMMYFUNCTION("GOOGLETRANSLATE(C10132, ""en"", ""fa"")
"),"چگونه می توانم از طریق تبلیغات ویژه یا دسترسی زودهنگام به محصولات جدید، حس انحصار یا رفتار VIP را برای مشتریان تکراری خود ایجاد کنم؟")</f>
        <v>چگونه می توانم از طریق تبلیغات ویژه یا دسترسی زودهنگام به محصولات جدید، حس انحصار یا رفتار VIP را برای مشتریان تکراری خود ایجاد کنم؟</v>
      </c>
      <c r="H10132" s="1"/>
      <c r="I10132" s="1"/>
      <c r="J10132" s="1"/>
      <c r="K10132" s="1"/>
      <c r="L10132" s="1"/>
      <c r="M10132" s="1"/>
      <c r="N10132" s="1"/>
      <c r="O10132" s="1"/>
      <c r="P10132" s="1"/>
      <c r="Q10132" s="1"/>
      <c r="R10132" s="1"/>
      <c r="S10132" s="1"/>
      <c r="T10132" s="1"/>
      <c r="U10132" s="1"/>
      <c r="V10132" s="1"/>
      <c r="W10132" s="1"/>
      <c r="X10132" s="1"/>
      <c r="Y10132" s="1"/>
      <c r="Z10132" s="1"/>
      <c r="AA10132" s="1"/>
      <c r="AB10132" s="1"/>
    </row>
    <row r="10133" ht="50.25" customHeight="1">
      <c r="A10133" s="12">
        <v>10129.0</v>
      </c>
      <c r="B10133" s="13" t="s">
        <v>9604</v>
      </c>
      <c r="C10133" s="14" t="s">
        <v>10160</v>
      </c>
      <c r="D10133" s="1"/>
      <c r="E10133" s="1"/>
      <c r="F10133" s="1" t="str">
        <f>IFERROR(__xludf.DUMMYFUNCTION("GOOGLETRANSLATE(B10133, ""en"", ""fa"")
"),"موفقیت Etsy")</f>
        <v>موفقیت Etsy</v>
      </c>
      <c r="G10133" s="1" t="str">
        <f>IFERROR(__xludf.DUMMYFUNCTION("GOOGLETRANSLATE(C10133, ""en"", ""fa"")
"),"چه راهکارهایی برای جذب مجدد مشتریان خفته ای که مدتی است خریدی انجام نداده اند، برای تشویق آنها به بازگشت به فروشگاه Etsy من چیست؟")</f>
        <v>چه راهکارهایی برای جذب مجدد مشتریان خفته ای که مدتی است خریدی انجام نداده اند، برای تشویق آنها به بازگشت به فروشگاه Etsy من چیست؟</v>
      </c>
      <c r="H10133" s="1"/>
      <c r="I10133" s="1"/>
      <c r="J10133" s="1"/>
      <c r="K10133" s="1"/>
      <c r="L10133" s="1"/>
      <c r="M10133" s="1"/>
      <c r="N10133" s="1"/>
      <c r="O10133" s="1"/>
      <c r="P10133" s="1"/>
      <c r="Q10133" s="1"/>
      <c r="R10133" s="1"/>
      <c r="S10133" s="1"/>
      <c r="T10133" s="1"/>
      <c r="U10133" s="1"/>
      <c r="V10133" s="1"/>
      <c r="W10133" s="1"/>
      <c r="X10133" s="1"/>
      <c r="Y10133" s="1"/>
      <c r="Z10133" s="1"/>
      <c r="AA10133" s="1"/>
      <c r="AB10133" s="1"/>
    </row>
    <row r="10134" ht="50.25" customHeight="1">
      <c r="A10134" s="12">
        <v>10130.0</v>
      </c>
      <c r="B10134" s="13" t="s">
        <v>9604</v>
      </c>
      <c r="C10134" s="14" t="s">
        <v>10161</v>
      </c>
      <c r="D10134" s="1"/>
      <c r="E10134" s="1"/>
      <c r="F10134" s="1" t="str">
        <f>IFERROR(__xludf.DUMMYFUNCTION("GOOGLETRANSLATE(B10134, ""en"", ""fa"")
"),"موفقیت Etsy")</f>
        <v>موفقیت Etsy</v>
      </c>
      <c r="G10134" s="1" t="str">
        <f>IFERROR(__xludf.DUMMYFUNCTION("GOOGLETRANSLATE(C10134, ""en"", ""fa"")
"),"چگونه می توانم از شواهد اجتماعی، مانند توصیفات مشتری یا داستان های موفقیت، برای ایجاد اعتماد و تشویق مجدد تجارت استفاده کنم؟")</f>
        <v>چگونه می توانم از شواهد اجتماعی، مانند توصیفات مشتری یا داستان های موفقیت، برای ایجاد اعتماد و تشویق مجدد تجارت استفاده کنم؟</v>
      </c>
      <c r="H10134" s="1"/>
      <c r="I10134" s="1"/>
      <c r="J10134" s="1"/>
      <c r="K10134" s="1"/>
      <c r="L10134" s="1"/>
      <c r="M10134" s="1"/>
      <c r="N10134" s="1"/>
      <c r="O10134" s="1"/>
      <c r="P10134" s="1"/>
      <c r="Q10134" s="1"/>
      <c r="R10134" s="1"/>
      <c r="S10134" s="1"/>
      <c r="T10134" s="1"/>
      <c r="U10134" s="1"/>
      <c r="V10134" s="1"/>
      <c r="W10134" s="1"/>
      <c r="X10134" s="1"/>
      <c r="Y10134" s="1"/>
      <c r="Z10134" s="1"/>
      <c r="AA10134" s="1"/>
      <c r="AB10134" s="1"/>
    </row>
    <row r="10135" ht="50.25" customHeight="1">
      <c r="A10135" s="12">
        <v>10131.0</v>
      </c>
      <c r="B10135" s="13" t="s">
        <v>9604</v>
      </c>
      <c r="C10135" s="14" t="s">
        <v>10162</v>
      </c>
      <c r="D10135" s="1"/>
      <c r="E10135" s="1"/>
      <c r="F10135" s="1" t="str">
        <f>IFERROR(__xludf.DUMMYFUNCTION("GOOGLETRANSLATE(B10135, ""en"", ""fa"")
"),"موفقیت Etsy")</f>
        <v>موفقیت Etsy</v>
      </c>
      <c r="G10135" s="1" t="str">
        <f>IFERROR(__xludf.DUMMYFUNCTION("GOOGLETRANSLATE(C10135, ""en"", ""fa"")
"),"بهترین روش ها برای حفظ حضور فعال و جذاب در انجمن ها یا انجمن های آنلاین مربوطه برای حفظ ارتباط با مشتریان من چیست؟")</f>
        <v>بهترین روش ها برای حفظ حضور فعال و جذاب در انجمن ها یا انجمن های آنلاین مربوطه برای حفظ ارتباط با مشتریان من چیست؟</v>
      </c>
      <c r="H10135" s="1"/>
      <c r="I10135" s="1"/>
      <c r="J10135" s="1"/>
      <c r="K10135" s="1"/>
      <c r="L10135" s="1"/>
      <c r="M10135" s="1"/>
      <c r="N10135" s="1"/>
      <c r="O10135" s="1"/>
      <c r="P10135" s="1"/>
      <c r="Q10135" s="1"/>
      <c r="R10135" s="1"/>
      <c r="S10135" s="1"/>
      <c r="T10135" s="1"/>
      <c r="U10135" s="1"/>
      <c r="V10135" s="1"/>
      <c r="W10135" s="1"/>
      <c r="X10135" s="1"/>
      <c r="Y10135" s="1"/>
      <c r="Z10135" s="1"/>
      <c r="AA10135" s="1"/>
      <c r="AB10135" s="1"/>
    </row>
    <row r="10136" ht="50.25" customHeight="1">
      <c r="A10136" s="12">
        <v>10132.0</v>
      </c>
      <c r="B10136" s="13" t="s">
        <v>9604</v>
      </c>
      <c r="C10136" s="14" t="s">
        <v>10163</v>
      </c>
      <c r="D10136" s="1"/>
      <c r="E10136" s="1"/>
      <c r="F10136" s="1" t="str">
        <f>IFERROR(__xludf.DUMMYFUNCTION("GOOGLETRANSLATE(B10136, ""en"", ""fa"")
"),"موفقیت Etsy")</f>
        <v>موفقیت Etsy</v>
      </c>
      <c r="G10136" s="1" t="str">
        <f>IFERROR(__xludf.DUMMYFUNCTION("GOOGLETRANSLATE(C10136, ""en"", ""fa"")
"),"چگونه می توانم دنباله ای از ایمیل های بعدی را برای تقویت روابط با مشتریانم و تشویق به خریدهای تکراری در طول زمان اجرا کنم؟")</f>
        <v>چگونه می توانم دنباله ای از ایمیل های بعدی را برای تقویت روابط با مشتریانم و تشویق به خریدهای تکراری در طول زمان اجرا کنم؟</v>
      </c>
      <c r="H10136" s="1"/>
      <c r="I10136" s="1"/>
      <c r="J10136" s="1"/>
      <c r="K10136" s="1"/>
      <c r="L10136" s="1"/>
      <c r="M10136" s="1"/>
      <c r="N10136" s="1"/>
      <c r="O10136" s="1"/>
      <c r="P10136" s="1"/>
      <c r="Q10136" s="1"/>
      <c r="R10136" s="1"/>
      <c r="S10136" s="1"/>
      <c r="T10136" s="1"/>
      <c r="U10136" s="1"/>
      <c r="V10136" s="1"/>
      <c r="W10136" s="1"/>
      <c r="X10136" s="1"/>
      <c r="Y10136" s="1"/>
      <c r="Z10136" s="1"/>
      <c r="AA10136" s="1"/>
      <c r="AB10136" s="1"/>
    </row>
    <row r="10137" ht="50.25" customHeight="1">
      <c r="A10137" s="12">
        <v>10133.0</v>
      </c>
      <c r="B10137" s="13" t="s">
        <v>9604</v>
      </c>
      <c r="C10137" s="14" t="s">
        <v>10164</v>
      </c>
      <c r="D10137" s="1"/>
      <c r="E10137" s="1"/>
      <c r="F10137" s="1" t="str">
        <f>IFERROR(__xludf.DUMMYFUNCTION("GOOGLETRANSLATE(B10137, ""en"", ""fa"")
"),"موفقیت Etsy")</f>
        <v>موفقیت Etsy</v>
      </c>
      <c r="G10137" s="1" t="str">
        <f>IFERROR(__xludf.DUMMYFUNCTION("GOOGLETRANSLATE(C10137, ""en"", ""fa"")
"),"ملاحظات برای ارائه تجربه‌های بسته‌بندی و جعبه‌گشایی عالی که تأثیر ماندگاری بر مشتریان باقی می‌گذارد و شانس تکرار تجارت را افزایش می‌دهد، چیست؟")</f>
        <v>ملاحظات برای ارائه تجربه‌های بسته‌بندی و جعبه‌گشایی عالی که تأثیر ماندگاری بر مشتریان باقی می‌گذارد و شانس تکرار تجارت را افزایش می‌دهد، چیست؟</v>
      </c>
      <c r="H10137" s="1"/>
      <c r="I10137" s="1"/>
      <c r="J10137" s="1"/>
      <c r="K10137" s="1"/>
      <c r="L10137" s="1"/>
      <c r="M10137" s="1"/>
      <c r="N10137" s="1"/>
      <c r="O10137" s="1"/>
      <c r="P10137" s="1"/>
      <c r="Q10137" s="1"/>
      <c r="R10137" s="1"/>
      <c r="S10137" s="1"/>
      <c r="T10137" s="1"/>
      <c r="U10137" s="1"/>
      <c r="V10137" s="1"/>
      <c r="W10137" s="1"/>
      <c r="X10137" s="1"/>
      <c r="Y10137" s="1"/>
      <c r="Z10137" s="1"/>
      <c r="AA10137" s="1"/>
      <c r="AB10137" s="1"/>
    </row>
    <row r="10138" ht="50.25" customHeight="1">
      <c r="A10138" s="12">
        <v>10134.0</v>
      </c>
      <c r="B10138" s="13" t="s">
        <v>9604</v>
      </c>
      <c r="C10138" s="14" t="s">
        <v>10165</v>
      </c>
      <c r="D10138" s="1"/>
      <c r="E10138" s="1"/>
      <c r="F10138" s="1" t="str">
        <f>IFERROR(__xludf.DUMMYFUNCTION("GOOGLETRANSLATE(B10138, ""en"", ""fa"")
"),"موفقیت Etsy")</f>
        <v>موفقیت Etsy</v>
      </c>
      <c r="G10138" s="1" t="str">
        <f>IFERROR(__xludf.DUMMYFUNCTION("GOOGLETRANSLATE(C10138, ""en"", ""fa"")
"),"چگونه می توانم احساس فوریت یا انحصار را از طریق پیشنهادهای محدود یا فروش فوری ایجاد کنم تا مشتریان را برای خریدهای تکراری ترغیب کنم؟")</f>
        <v>چگونه می توانم احساس فوریت یا انحصار را از طریق پیشنهادهای محدود یا فروش فوری ایجاد کنم تا مشتریان را برای خریدهای تکراری ترغیب کنم؟</v>
      </c>
      <c r="H10138" s="1"/>
      <c r="I10138" s="1"/>
      <c r="J10138" s="1"/>
      <c r="K10138" s="1"/>
      <c r="L10138" s="1"/>
      <c r="M10138" s="1"/>
      <c r="N10138" s="1"/>
      <c r="O10138" s="1"/>
      <c r="P10138" s="1"/>
      <c r="Q10138" s="1"/>
      <c r="R10138" s="1"/>
      <c r="S10138" s="1"/>
      <c r="T10138" s="1"/>
      <c r="U10138" s="1"/>
      <c r="V10138" s="1"/>
      <c r="W10138" s="1"/>
      <c r="X10138" s="1"/>
      <c r="Y10138" s="1"/>
      <c r="Z10138" s="1"/>
      <c r="AA10138" s="1"/>
      <c r="AB10138" s="1"/>
    </row>
    <row r="10139" ht="50.25" customHeight="1">
      <c r="A10139" s="12">
        <v>10135.0</v>
      </c>
      <c r="B10139" s="13" t="s">
        <v>9604</v>
      </c>
      <c r="C10139" s="14" t="s">
        <v>10166</v>
      </c>
      <c r="D10139" s="1"/>
      <c r="E10139" s="1"/>
      <c r="F10139" s="1" t="str">
        <f>IFERROR(__xludf.DUMMYFUNCTION("GOOGLETRANSLATE(B10139, ""en"", ""fa"")
"),"موفقیت Etsy")</f>
        <v>موفقیت Etsy</v>
      </c>
      <c r="G10139" s="1" t="str">
        <f>IFERROR(__xludf.DUMMYFUNCTION("GOOGLETRANSLATE(C10139, ""en"", ""fa"")
"),"چه استراتژی هایی برای ایجاد محتوای ارزشمند و آموزشی، مانند پست های وبلاگ یا آموزش های ویدیویی وجود دارد که مشتریان را درگیر خود نگه می دارد و آنها را تشویق به بازگشت می کند؟")</f>
        <v>چه استراتژی هایی برای ایجاد محتوای ارزشمند و آموزشی، مانند پست های وبلاگ یا آموزش های ویدیویی وجود دارد که مشتریان را درگیر خود نگه می دارد و آنها را تشویق به بازگشت می کند؟</v>
      </c>
      <c r="H10139" s="1"/>
      <c r="I10139" s="1"/>
      <c r="J10139" s="1"/>
      <c r="K10139" s="1"/>
      <c r="L10139" s="1"/>
      <c r="M10139" s="1"/>
      <c r="N10139" s="1"/>
      <c r="O10139" s="1"/>
      <c r="P10139" s="1"/>
      <c r="Q10139" s="1"/>
      <c r="R10139" s="1"/>
      <c r="S10139" s="1"/>
      <c r="T10139" s="1"/>
      <c r="U10139" s="1"/>
      <c r="V10139" s="1"/>
      <c r="W10139" s="1"/>
      <c r="X10139" s="1"/>
      <c r="Y10139" s="1"/>
      <c r="Z10139" s="1"/>
      <c r="AA10139" s="1"/>
      <c r="AB10139" s="1"/>
    </row>
    <row r="10140" ht="50.25" customHeight="1">
      <c r="A10140" s="12">
        <v>10136.0</v>
      </c>
      <c r="B10140" s="13" t="s">
        <v>9604</v>
      </c>
      <c r="C10140" s="14" t="s">
        <v>10167</v>
      </c>
      <c r="D10140" s="1"/>
      <c r="E10140" s="1"/>
      <c r="F10140" s="1" t="str">
        <f>IFERROR(__xludf.DUMMYFUNCTION("GOOGLETRANSLATE(B10140, ""en"", ""fa"")
"),"موفقیت Etsy")</f>
        <v>موفقیت Etsy</v>
      </c>
      <c r="G10140" s="1" t="str">
        <f>IFERROR(__xludf.DUMMYFUNCTION("GOOGLETRANSLATE(C10140, ""en"", ""fa"")
"),"چگونه می توانم از توصیه های شخصی سازی شده محصول بر اساس تاریخچه مرور و خرید مشتریان برای تبلیغ خریدهای اضافی استفاده کنم؟")</f>
        <v>چگونه می توانم از توصیه های شخصی سازی شده محصول بر اساس تاریخچه مرور و خرید مشتریان برای تبلیغ خریدهای اضافی استفاده کنم؟</v>
      </c>
      <c r="H10140" s="1"/>
      <c r="I10140" s="1"/>
      <c r="J10140" s="1"/>
      <c r="K10140" s="1"/>
      <c r="L10140" s="1"/>
      <c r="M10140" s="1"/>
      <c r="N10140" s="1"/>
      <c r="O10140" s="1"/>
      <c r="P10140" s="1"/>
      <c r="Q10140" s="1"/>
      <c r="R10140" s="1"/>
      <c r="S10140" s="1"/>
      <c r="T10140" s="1"/>
      <c r="U10140" s="1"/>
      <c r="V10140" s="1"/>
      <c r="W10140" s="1"/>
      <c r="X10140" s="1"/>
      <c r="Y10140" s="1"/>
      <c r="Z10140" s="1"/>
      <c r="AA10140" s="1"/>
      <c r="AB10140" s="1"/>
    </row>
    <row r="10141" ht="50.25" customHeight="1">
      <c r="A10141" s="12">
        <v>10137.0</v>
      </c>
      <c r="B10141" s="13" t="s">
        <v>9604</v>
      </c>
      <c r="C10141" s="14" t="s">
        <v>10168</v>
      </c>
      <c r="D10141" s="1"/>
      <c r="E10141" s="1"/>
      <c r="F10141" s="1" t="str">
        <f>IFERROR(__xludf.DUMMYFUNCTION("GOOGLETRANSLATE(B10141, ""en"", ""fa"")
"),"موفقیت Etsy")</f>
        <v>موفقیت Etsy</v>
      </c>
      <c r="G10141" s="1" t="str">
        <f>IFERROR(__xludf.DUMMYFUNCTION("GOOGLETRANSLATE(C10141, ""en"", ""fa"")
"),"ملاحظات برای اجرای سیستم بازخورد یا بررسی مشتری در فروشگاه Etsy من برای تشویق تعامل و ارائه اثبات اجتماعی چیست؟")</f>
        <v>ملاحظات برای اجرای سیستم بازخورد یا بررسی مشتری در فروشگاه Etsy من برای تشویق تعامل و ارائه اثبات اجتماعی چیست؟</v>
      </c>
      <c r="H10141" s="1"/>
      <c r="I10141" s="1"/>
      <c r="J10141" s="1"/>
      <c r="K10141" s="1"/>
      <c r="L10141" s="1"/>
      <c r="M10141" s="1"/>
      <c r="N10141" s="1"/>
      <c r="O10141" s="1"/>
      <c r="P10141" s="1"/>
      <c r="Q10141" s="1"/>
      <c r="R10141" s="1"/>
      <c r="S10141" s="1"/>
      <c r="T10141" s="1"/>
      <c r="U10141" s="1"/>
      <c r="V10141" s="1"/>
      <c r="W10141" s="1"/>
      <c r="X10141" s="1"/>
      <c r="Y10141" s="1"/>
      <c r="Z10141" s="1"/>
      <c r="AA10141" s="1"/>
      <c r="AB10141" s="1"/>
    </row>
    <row r="10142" ht="50.25" customHeight="1">
      <c r="A10142" s="12">
        <v>10138.0</v>
      </c>
      <c r="B10142" s="13" t="s">
        <v>9604</v>
      </c>
      <c r="C10142" s="14" t="s">
        <v>10169</v>
      </c>
      <c r="D10142" s="1"/>
      <c r="E10142" s="1"/>
      <c r="F10142" s="1" t="str">
        <f>IFERROR(__xludf.DUMMYFUNCTION("GOOGLETRANSLATE(B10142, ""en"", ""fa"")
"),"موفقیت Etsy")</f>
        <v>موفقیت Etsy</v>
      </c>
      <c r="G10142" s="1" t="str">
        <f>IFERROR(__xludf.DUMMYFUNCTION("GOOGLETRANSLATE(C10142, ""en"", ""fa"")
"),"چگونه می توانم یک برنامه VIP یا خودی برای وفادارترین مشتریان خود ایجاد کنم که امتیازات انحصاری یا دسترسی اولیه به محصولات جدید را ارائه می دهد؟")</f>
        <v>چگونه می توانم یک برنامه VIP یا خودی برای وفادارترین مشتریان خود ایجاد کنم که امتیازات انحصاری یا دسترسی اولیه به محصولات جدید را ارائه می دهد؟</v>
      </c>
      <c r="H10142" s="1"/>
      <c r="I10142" s="1"/>
      <c r="J10142" s="1"/>
      <c r="K10142" s="1"/>
      <c r="L10142" s="1"/>
      <c r="M10142" s="1"/>
      <c r="N10142" s="1"/>
      <c r="O10142" s="1"/>
      <c r="P10142" s="1"/>
      <c r="Q10142" s="1"/>
      <c r="R10142" s="1"/>
      <c r="S10142" s="1"/>
      <c r="T10142" s="1"/>
      <c r="U10142" s="1"/>
      <c r="V10142" s="1"/>
      <c r="W10142" s="1"/>
      <c r="X10142" s="1"/>
      <c r="Y10142" s="1"/>
      <c r="Z10142" s="1"/>
      <c r="AA10142" s="1"/>
      <c r="AB10142" s="1"/>
    </row>
    <row r="10143" ht="50.25" customHeight="1">
      <c r="A10143" s="12">
        <v>10139.0</v>
      </c>
      <c r="B10143" s="13" t="s">
        <v>9604</v>
      </c>
      <c r="C10143" s="14" t="s">
        <v>10170</v>
      </c>
      <c r="D10143" s="1"/>
      <c r="E10143" s="1"/>
      <c r="F10143" s="1" t="str">
        <f>IFERROR(__xludf.DUMMYFUNCTION("GOOGLETRANSLATE(B10143, ""en"", ""fa"")
"),"موفقیت Etsy")</f>
        <v>موفقیت Etsy</v>
      </c>
      <c r="G10143" s="1" t="str">
        <f>IFERROR(__xludf.DUMMYFUNCTION("GOOGLETRANSLATE(C10143, ""en"", ""fa"")
"),"استراتژی‌هایی برای تقسیم‌بندی پایگاه مشتری و ارائه کمپین‌های ایمیل هدفمند به گروه‌های خاص برای به حداکثر رساندن کسب و کار تکراری چیست؟")</f>
        <v>استراتژی‌هایی برای تقسیم‌بندی پایگاه مشتری و ارائه کمپین‌های ایمیل هدفمند به گروه‌های خاص برای به حداکثر رساندن کسب و کار تکراری چیست؟</v>
      </c>
      <c r="H10143" s="1"/>
      <c r="I10143" s="1"/>
      <c r="J10143" s="1"/>
      <c r="K10143" s="1"/>
      <c r="L10143" s="1"/>
      <c r="M10143" s="1"/>
      <c r="N10143" s="1"/>
      <c r="O10143" s="1"/>
      <c r="P10143" s="1"/>
      <c r="Q10143" s="1"/>
      <c r="R10143" s="1"/>
      <c r="S10143" s="1"/>
      <c r="T10143" s="1"/>
      <c r="U10143" s="1"/>
      <c r="V10143" s="1"/>
      <c r="W10143" s="1"/>
      <c r="X10143" s="1"/>
      <c r="Y10143" s="1"/>
      <c r="Z10143" s="1"/>
      <c r="AA10143" s="1"/>
      <c r="AB10143" s="1"/>
    </row>
    <row r="10144" ht="50.25" customHeight="1">
      <c r="A10144" s="12">
        <v>10140.0</v>
      </c>
      <c r="B10144" s="13" t="s">
        <v>9604</v>
      </c>
      <c r="C10144" s="14" t="s">
        <v>10171</v>
      </c>
      <c r="D10144" s="1"/>
      <c r="E10144" s="1"/>
      <c r="F10144" s="1" t="str">
        <f>IFERROR(__xludf.DUMMYFUNCTION("GOOGLETRANSLATE(B10144, ""en"", ""fa"")
"),"موفقیت Etsy")</f>
        <v>موفقیت Etsy</v>
      </c>
      <c r="G10144" s="1" t="str">
        <f>IFERROR(__xludf.DUMMYFUNCTION("GOOGLETRANSLATE(C10144, ""en"", ""fa"")
"),"چگونه می توانم یک کمپین برنده بازگشت را برای تعامل مجدد با مشتریانی که مدت زیادی است خریدی انجام نداده اند، اجرا کنم؟")</f>
        <v>چگونه می توانم یک کمپین برنده بازگشت را برای تعامل مجدد با مشتریانی که مدت زیادی است خریدی انجام نداده اند، اجرا کنم؟</v>
      </c>
      <c r="H10144" s="1"/>
      <c r="I10144" s="1"/>
      <c r="J10144" s="1"/>
      <c r="K10144" s="1"/>
      <c r="L10144" s="1"/>
      <c r="M10144" s="1"/>
      <c r="N10144" s="1"/>
      <c r="O10144" s="1"/>
      <c r="P10144" s="1"/>
      <c r="Q10144" s="1"/>
      <c r="R10144" s="1"/>
      <c r="S10144" s="1"/>
      <c r="T10144" s="1"/>
      <c r="U10144" s="1"/>
      <c r="V10144" s="1"/>
      <c r="W10144" s="1"/>
      <c r="X10144" s="1"/>
      <c r="Y10144" s="1"/>
      <c r="Z10144" s="1"/>
      <c r="AA10144" s="1"/>
      <c r="AB10144" s="1"/>
    </row>
    <row r="10145" ht="50.25" customHeight="1">
      <c r="A10145" s="12">
        <v>10141.0</v>
      </c>
      <c r="B10145" s="13" t="s">
        <v>9604</v>
      </c>
      <c r="C10145" s="14" t="s">
        <v>10172</v>
      </c>
      <c r="D10145" s="1"/>
      <c r="E10145" s="1"/>
      <c r="F10145" s="1" t="str">
        <f>IFERROR(__xludf.DUMMYFUNCTION("GOOGLETRANSLATE(B10145, ""en"", ""fa"")
"),"موفقیت Etsy")</f>
        <v>موفقیت Etsy</v>
      </c>
      <c r="G10145" s="1" t="str">
        <f>IFERROR(__xludf.DUMMYFUNCTION("GOOGLETRANSLATE(C10145, ""en"", ""fa"")
"),"بهترین شیوه ها برای تقویت روابط با مشتریان از طریق ارتباطات ایمیل شخصی و به موقع، مانند تبریک تولد یا سالگرد چیست؟")</f>
        <v>بهترین شیوه ها برای تقویت روابط با مشتریان از طریق ارتباطات ایمیل شخصی و به موقع، مانند تبریک تولد یا سالگرد چیست؟</v>
      </c>
      <c r="H10145" s="1"/>
      <c r="I10145" s="1"/>
      <c r="J10145" s="1"/>
      <c r="K10145" s="1"/>
      <c r="L10145" s="1"/>
      <c r="M10145" s="1"/>
      <c r="N10145" s="1"/>
      <c r="O10145" s="1"/>
      <c r="P10145" s="1"/>
      <c r="Q10145" s="1"/>
      <c r="R10145" s="1"/>
      <c r="S10145" s="1"/>
      <c r="T10145" s="1"/>
      <c r="U10145" s="1"/>
      <c r="V10145" s="1"/>
      <c r="W10145" s="1"/>
      <c r="X10145" s="1"/>
      <c r="Y10145" s="1"/>
      <c r="Z10145" s="1"/>
      <c r="AA10145" s="1"/>
      <c r="AB10145" s="1"/>
    </row>
    <row r="10146" ht="50.25" customHeight="1">
      <c r="A10146" s="12">
        <v>10142.0</v>
      </c>
      <c r="B10146" s="13" t="s">
        <v>9604</v>
      </c>
      <c r="C10146" s="14" t="s">
        <v>10173</v>
      </c>
      <c r="D10146" s="1"/>
      <c r="E10146" s="1"/>
      <c r="F10146" s="1" t="str">
        <f>IFERROR(__xludf.DUMMYFUNCTION("GOOGLETRANSLATE(B10146, ""en"", ""fa"")
"),"موفقیت Etsy")</f>
        <v>موفقیت Etsy</v>
      </c>
      <c r="G10146" s="1" t="str">
        <f>IFERROR(__xludf.DUMMYFUNCTION("GOOGLETRANSLATE(C10146, ""en"", ""fa"")
"),"چگونه می توانم از پلتفرم های رسانه های اجتماعی استفاده کنم تا با مشتریان خود در ارتباط باشم، به روز رسانی ها را به اشتراک بگذارم و فروشگاه و محصولات Etsy خود را به آنها یادآوری کنم؟")</f>
        <v>چگونه می توانم از پلتفرم های رسانه های اجتماعی استفاده کنم تا با مشتریان خود در ارتباط باشم، به روز رسانی ها را به اشتراک بگذارم و فروشگاه و محصولات Etsy خود را به آنها یادآوری کنم؟</v>
      </c>
      <c r="H10146" s="1"/>
      <c r="I10146" s="1"/>
      <c r="J10146" s="1"/>
      <c r="K10146" s="1"/>
      <c r="L10146" s="1"/>
      <c r="M10146" s="1"/>
      <c r="N10146" s="1"/>
      <c r="O10146" s="1"/>
      <c r="P10146" s="1"/>
      <c r="Q10146" s="1"/>
      <c r="R10146" s="1"/>
      <c r="S10146" s="1"/>
      <c r="T10146" s="1"/>
      <c r="U10146" s="1"/>
      <c r="V10146" s="1"/>
      <c r="W10146" s="1"/>
      <c r="X10146" s="1"/>
      <c r="Y10146" s="1"/>
      <c r="Z10146" s="1"/>
      <c r="AA10146" s="1"/>
      <c r="AB10146" s="1"/>
    </row>
    <row r="10147" ht="50.25" customHeight="1">
      <c r="A10147" s="12">
        <v>10143.0</v>
      </c>
      <c r="B10147" s="13" t="s">
        <v>9604</v>
      </c>
      <c r="C10147" s="14" t="s">
        <v>10174</v>
      </c>
      <c r="D10147" s="1"/>
      <c r="E10147" s="1"/>
      <c r="F10147" s="1" t="str">
        <f>IFERROR(__xludf.DUMMYFUNCTION("GOOGLETRANSLATE(B10147, ""en"", ""fa"")
"),"موفقیت Etsy")</f>
        <v>موفقیت Etsy</v>
      </c>
      <c r="G10147" s="1" t="str">
        <f>IFERROR(__xludf.DUMMYFUNCTION("GOOGLETRANSLATE(C10147, ""en"", ""fa"")
"),"ملاحظات ارائه یک سیاست بازگشت یا مبادله بدون دردسر برای القای اعتماد به مشتریان و تشویق مجدد تجارت چیست؟")</f>
        <v>ملاحظات ارائه یک سیاست بازگشت یا مبادله بدون دردسر برای القای اعتماد به مشتریان و تشویق مجدد تجارت چیست؟</v>
      </c>
      <c r="H10147" s="1"/>
      <c r="I10147" s="1"/>
      <c r="J10147" s="1"/>
      <c r="K10147" s="1"/>
      <c r="L10147" s="1"/>
      <c r="M10147" s="1"/>
      <c r="N10147" s="1"/>
      <c r="O10147" s="1"/>
      <c r="P10147" s="1"/>
      <c r="Q10147" s="1"/>
      <c r="R10147" s="1"/>
      <c r="S10147" s="1"/>
      <c r="T10147" s="1"/>
      <c r="U10147" s="1"/>
      <c r="V10147" s="1"/>
      <c r="W10147" s="1"/>
      <c r="X10147" s="1"/>
      <c r="Y10147" s="1"/>
      <c r="Z10147" s="1"/>
      <c r="AA10147" s="1"/>
      <c r="AB10147" s="1"/>
    </row>
    <row r="10148" ht="50.25" customHeight="1">
      <c r="A10148" s="12">
        <v>10144.0</v>
      </c>
      <c r="B10148" s="13" t="s">
        <v>9604</v>
      </c>
      <c r="C10148" s="14" t="s">
        <v>10175</v>
      </c>
      <c r="D10148" s="1"/>
      <c r="E10148" s="1"/>
      <c r="F10148" s="1" t="str">
        <f>IFERROR(__xludf.DUMMYFUNCTION("GOOGLETRANSLATE(B10148, ""en"", ""fa"")
"),"موفقیت Etsy")</f>
        <v>موفقیت Etsy</v>
      </c>
      <c r="G10148" s="1" t="str">
        <f>IFERROR(__xludf.DUMMYFUNCTION("GOOGLETRANSLATE(C10148, ""en"", ""fa"")
"),"چگونه می توانم مشتریان تکراری خود را با پاداش ها یا هدایای غیرمنتظره غافلگیر و خوشحال کنم تا از حمایت مستمر آنها قدردانی کنم؟")</f>
        <v>چگونه می توانم مشتریان تکراری خود را با پاداش ها یا هدایای غیرمنتظره غافلگیر و خوشحال کنم تا از حمایت مستمر آنها قدردانی کنم؟</v>
      </c>
      <c r="H10148" s="1"/>
      <c r="I10148" s="1"/>
      <c r="J10148" s="1"/>
      <c r="K10148" s="1"/>
      <c r="L10148" s="1"/>
      <c r="M10148" s="1"/>
      <c r="N10148" s="1"/>
      <c r="O10148" s="1"/>
      <c r="P10148" s="1"/>
      <c r="Q10148" s="1"/>
      <c r="R10148" s="1"/>
      <c r="S10148" s="1"/>
      <c r="T10148" s="1"/>
      <c r="U10148" s="1"/>
      <c r="V10148" s="1"/>
      <c r="W10148" s="1"/>
      <c r="X10148" s="1"/>
      <c r="Y10148" s="1"/>
      <c r="Z10148" s="1"/>
      <c r="AA10148" s="1"/>
      <c r="AB10148" s="1"/>
    </row>
    <row r="10149" ht="50.25" customHeight="1">
      <c r="A10149" s="12">
        <v>10145.0</v>
      </c>
      <c r="B10149" s="13" t="s">
        <v>9604</v>
      </c>
      <c r="C10149" s="14" t="s">
        <v>10176</v>
      </c>
      <c r="D10149" s="1"/>
      <c r="E10149" s="1"/>
      <c r="F10149" s="1" t="str">
        <f>IFERROR(__xludf.DUMMYFUNCTION("GOOGLETRANSLATE(B10149, ""en"", ""fa"")
"),"موفقیت Etsy")</f>
        <v>موفقیت Etsy</v>
      </c>
      <c r="G10149" s="1" t="str">
        <f>IFERROR(__xludf.DUMMYFUNCTION("GOOGLETRANSLATE(C10149, ""en"", ""fa"")
"),"راهبردهای ایجاد یک فرآیند پرداخت بدون درز و راحت در فروشگاه Etsy من برای تشویق مشتریان به تکمیل خریدهای تکراری چیست؟")</f>
        <v>راهبردهای ایجاد یک فرآیند پرداخت بدون درز و راحت در فروشگاه Etsy من برای تشویق مشتریان به تکمیل خریدهای تکراری چیست؟</v>
      </c>
      <c r="H10149" s="1"/>
      <c r="I10149" s="1"/>
      <c r="J10149" s="1"/>
      <c r="K10149" s="1"/>
      <c r="L10149" s="1"/>
      <c r="M10149" s="1"/>
      <c r="N10149" s="1"/>
      <c r="O10149" s="1"/>
      <c r="P10149" s="1"/>
      <c r="Q10149" s="1"/>
      <c r="R10149" s="1"/>
      <c r="S10149" s="1"/>
      <c r="T10149" s="1"/>
      <c r="U10149" s="1"/>
      <c r="V10149" s="1"/>
      <c r="W10149" s="1"/>
      <c r="X10149" s="1"/>
      <c r="Y10149" s="1"/>
      <c r="Z10149" s="1"/>
      <c r="AA10149" s="1"/>
      <c r="AB10149" s="1"/>
    </row>
    <row r="10150" ht="50.25" customHeight="1">
      <c r="A10150" s="12">
        <v>10146.0</v>
      </c>
      <c r="B10150" s="13" t="s">
        <v>9604</v>
      </c>
      <c r="C10150" s="14" t="s">
        <v>10177</v>
      </c>
      <c r="D10150" s="1"/>
      <c r="E10150" s="1"/>
      <c r="F10150" s="1" t="str">
        <f>IFERROR(__xludf.DUMMYFUNCTION("GOOGLETRANSLATE(B10150, ""en"", ""fa"")
"),"موفقیت Etsy")</f>
        <v>موفقیت Etsy</v>
      </c>
      <c r="G10150" s="1" t="str">
        <f>IFERROR(__xludf.DUMMYFUNCTION("GOOGLETRANSLATE(C10150, ""en"", ""fa"")
"),"چگونه می توانم از طریق رویدادهای آنلاین، مانند کارگاه های مجازی یا جلسات پرسش و پاسخ زنده، برای مشتریان خود احساس جامعه و تعلق ایجاد کنم؟")</f>
        <v>چگونه می توانم از طریق رویدادهای آنلاین، مانند کارگاه های مجازی یا جلسات پرسش و پاسخ زنده، برای مشتریان خود احساس جامعه و تعلق ایجاد کنم؟</v>
      </c>
      <c r="H10150" s="1"/>
      <c r="I10150" s="1"/>
      <c r="J10150" s="1"/>
      <c r="K10150" s="1"/>
      <c r="L10150" s="1"/>
      <c r="M10150" s="1"/>
      <c r="N10150" s="1"/>
      <c r="O10150" s="1"/>
      <c r="P10150" s="1"/>
      <c r="Q10150" s="1"/>
      <c r="R10150" s="1"/>
      <c r="S10150" s="1"/>
      <c r="T10150" s="1"/>
      <c r="U10150" s="1"/>
      <c r="V10150" s="1"/>
      <c r="W10150" s="1"/>
      <c r="X10150" s="1"/>
      <c r="Y10150" s="1"/>
      <c r="Z10150" s="1"/>
      <c r="AA10150" s="1"/>
      <c r="AB10150" s="1"/>
    </row>
    <row r="10151" ht="50.25" customHeight="1">
      <c r="A10151" s="12">
        <v>10147.0</v>
      </c>
      <c r="B10151" s="13" t="s">
        <v>9604</v>
      </c>
      <c r="C10151" s="14" t="s">
        <v>10178</v>
      </c>
      <c r="D10151" s="1"/>
      <c r="E10151" s="1"/>
      <c r="F10151" s="1" t="str">
        <f>IFERROR(__xludf.DUMMYFUNCTION("GOOGLETRANSLATE(B10151, ""en"", ""fa"")
"),"موفقیت Etsy")</f>
        <v>موفقیت Etsy</v>
      </c>
      <c r="G10151" s="1" t="str">
        <f>IFERROR(__xludf.DUMMYFUNCTION("GOOGLETRANSLATE(C10151, ""en"", ""fa"")
"),"ملاحظات برای استفاده از محتوای تولید شده توسط مشتری، مانند عکس های کاربر یا توصیفات، برای نمایش تجربیات مشتریان راضی چیست؟")</f>
        <v>ملاحظات برای استفاده از محتوای تولید شده توسط مشتری، مانند عکس های کاربر یا توصیفات، برای نمایش تجربیات مشتریان راضی چیست؟</v>
      </c>
      <c r="H10151" s="1"/>
      <c r="I10151" s="1"/>
      <c r="J10151" s="1"/>
      <c r="K10151" s="1"/>
      <c r="L10151" s="1"/>
      <c r="M10151" s="1"/>
      <c r="N10151" s="1"/>
      <c r="O10151" s="1"/>
      <c r="P10151" s="1"/>
      <c r="Q10151" s="1"/>
      <c r="R10151" s="1"/>
      <c r="S10151" s="1"/>
      <c r="T10151" s="1"/>
      <c r="U10151" s="1"/>
      <c r="V10151" s="1"/>
      <c r="W10151" s="1"/>
      <c r="X10151" s="1"/>
      <c r="Y10151" s="1"/>
      <c r="Z10151" s="1"/>
      <c r="AA10151" s="1"/>
      <c r="AB10151" s="1"/>
    </row>
    <row r="10152" ht="50.25" customHeight="1">
      <c r="A10152" s="12">
        <v>10148.0</v>
      </c>
      <c r="B10152" s="13" t="s">
        <v>9604</v>
      </c>
      <c r="C10152" s="14" t="s">
        <v>10179</v>
      </c>
      <c r="D10152" s="1"/>
      <c r="E10152" s="1"/>
      <c r="F10152" s="1" t="str">
        <f>IFERROR(__xludf.DUMMYFUNCTION("GOOGLETRANSLATE(B10152, ""en"", ""fa"")
"),"موفقیت Etsy")</f>
        <v>موفقیت Etsy</v>
      </c>
      <c r="G10152" s="1" t="str">
        <f>IFERROR(__xludf.DUMMYFUNCTION("GOOGLETRANSLATE(C10152, ""en"", ""fa"")
"),"چگونه می توانم به طور فعال با مشتریان خود در رسانه های اجتماعی از طریق پاسخ دادن به نظرات، پیام ها و اشاره ها برای ایجاد رابطه و وفاداری تعامل داشته باشم؟")</f>
        <v>چگونه می توانم به طور فعال با مشتریان خود در رسانه های اجتماعی از طریق پاسخ دادن به نظرات، پیام ها و اشاره ها برای ایجاد رابطه و وفاداری تعامل داشته باشم؟</v>
      </c>
      <c r="H10152" s="1"/>
      <c r="I10152" s="1"/>
      <c r="J10152" s="1"/>
      <c r="K10152" s="1"/>
      <c r="L10152" s="1"/>
      <c r="M10152" s="1"/>
      <c r="N10152" s="1"/>
      <c r="O10152" s="1"/>
      <c r="P10152" s="1"/>
      <c r="Q10152" s="1"/>
      <c r="R10152" s="1"/>
      <c r="S10152" s="1"/>
      <c r="T10152" s="1"/>
      <c r="U10152" s="1"/>
      <c r="V10152" s="1"/>
      <c r="W10152" s="1"/>
      <c r="X10152" s="1"/>
      <c r="Y10152" s="1"/>
      <c r="Z10152" s="1"/>
      <c r="AA10152" s="1"/>
      <c r="AB10152" s="1"/>
    </row>
    <row r="10153" ht="50.25" customHeight="1">
      <c r="A10153" s="12">
        <v>10149.0</v>
      </c>
      <c r="B10153" s="13" t="s">
        <v>9604</v>
      </c>
      <c r="C10153" s="14" t="s">
        <v>10180</v>
      </c>
      <c r="D10153" s="1"/>
      <c r="E10153" s="1"/>
      <c r="F10153" s="1" t="str">
        <f>IFERROR(__xludf.DUMMYFUNCTION("GOOGLETRANSLATE(B10153, ""en"", ""fa"")
"),"موفقیت Etsy")</f>
        <v>موفقیت Etsy</v>
      </c>
      <c r="G10153" s="1" t="str">
        <f>IFERROR(__xludf.DUMMYFUNCTION("GOOGLETRANSLATE(C10153, ""en"", ""fa"")
"),"استراتژی‌هایی برای اجرای جعبه اشتراک یا بسته محصول برای تشویق مشتریان به شرکت در خریدهای تکراری چیست؟")</f>
        <v>استراتژی‌هایی برای اجرای جعبه اشتراک یا بسته محصول برای تشویق مشتریان به شرکت در خریدهای تکراری چیست؟</v>
      </c>
      <c r="H10153" s="1"/>
      <c r="I10153" s="1"/>
      <c r="J10153" s="1"/>
      <c r="K10153" s="1"/>
      <c r="L10153" s="1"/>
      <c r="M10153" s="1"/>
      <c r="N10153" s="1"/>
      <c r="O10153" s="1"/>
      <c r="P10153" s="1"/>
      <c r="Q10153" s="1"/>
      <c r="R10153" s="1"/>
      <c r="S10153" s="1"/>
      <c r="T10153" s="1"/>
      <c r="U10153" s="1"/>
      <c r="V10153" s="1"/>
      <c r="W10153" s="1"/>
      <c r="X10153" s="1"/>
      <c r="Y10153" s="1"/>
      <c r="Z10153" s="1"/>
      <c r="AA10153" s="1"/>
      <c r="AB10153" s="1"/>
    </row>
    <row r="10154" ht="50.25" customHeight="1">
      <c r="A10154" s="12">
        <v>10150.0</v>
      </c>
      <c r="B10154" s="13" t="s">
        <v>9604</v>
      </c>
      <c r="C10154" s="14" t="s">
        <v>10181</v>
      </c>
      <c r="D10154" s="1"/>
      <c r="E10154" s="1"/>
      <c r="F10154" s="1" t="str">
        <f>IFERROR(__xludf.DUMMYFUNCTION("GOOGLETRANSLATE(B10154, ""en"", ""fa"")
"),"موفقیت Etsy")</f>
        <v>موفقیت Etsy</v>
      </c>
      <c r="G10154" s="1" t="str">
        <f>IFERROR(__xludf.DUMMYFUNCTION("GOOGLETRANSLATE(C10154, ""en"", ""fa"")
"),"چگونه می‌توانم تلاش‌های ارتباطی و بازاریابی خود را برای پاسخگویی به بخش‌های خاص مشتری یا جمعیت‌شناسی شخصی‌سازی کنم و تجارت مجدد را تشویق کنم؟")</f>
        <v>چگونه می‌توانم تلاش‌های ارتباطی و بازاریابی خود را برای پاسخگویی به بخش‌های خاص مشتری یا جمعیت‌شناسی شخصی‌سازی کنم و تجارت مجدد را تشویق کنم؟</v>
      </c>
      <c r="H10154" s="1"/>
      <c r="I10154" s="1"/>
      <c r="J10154" s="1"/>
      <c r="K10154" s="1"/>
      <c r="L10154" s="1"/>
      <c r="M10154" s="1"/>
      <c r="N10154" s="1"/>
      <c r="O10154" s="1"/>
      <c r="P10154" s="1"/>
      <c r="Q10154" s="1"/>
      <c r="R10154" s="1"/>
      <c r="S10154" s="1"/>
      <c r="T10154" s="1"/>
      <c r="U10154" s="1"/>
      <c r="V10154" s="1"/>
      <c r="W10154" s="1"/>
      <c r="X10154" s="1"/>
      <c r="Y10154" s="1"/>
      <c r="Z10154" s="1"/>
      <c r="AA10154" s="1"/>
      <c r="AB10154" s="1"/>
    </row>
    <row r="10155" ht="50.25" customHeight="1">
      <c r="A10155" s="12">
        <v>10151.0</v>
      </c>
      <c r="B10155" s="13" t="s">
        <v>9604</v>
      </c>
      <c r="C10155" s="14" t="s">
        <v>10182</v>
      </c>
      <c r="D10155" s="1"/>
      <c r="E10155" s="1"/>
      <c r="F10155" s="1" t="str">
        <f>IFERROR(__xludf.DUMMYFUNCTION("GOOGLETRANSLATE(B10155, ""en"", ""fa"")
"),"موفقیت Etsy")</f>
        <v>موفقیت Etsy</v>
      </c>
      <c r="G10155" s="1" t="str">
        <f>IFERROR(__xludf.DUMMYFUNCTION("GOOGLETRANSLATE(C10155, ""en"", ""fa"")
"),"بهترین روش‌ها برای حفظ ذهنیت مشتریانم از طریق خبرنامه‌های ایمیلی منظم یا به‌روزرسانی‌ها درباره محصولات یا تبلیغات جدید چیست؟")</f>
        <v>بهترین روش‌ها برای حفظ ذهنیت مشتریانم از طریق خبرنامه‌های ایمیلی منظم یا به‌روزرسانی‌ها درباره محصولات یا تبلیغات جدید چیست؟</v>
      </c>
      <c r="H10155" s="1"/>
      <c r="I10155" s="1"/>
      <c r="J10155" s="1"/>
      <c r="K10155" s="1"/>
      <c r="L10155" s="1"/>
      <c r="M10155" s="1"/>
      <c r="N10155" s="1"/>
      <c r="O10155" s="1"/>
      <c r="P10155" s="1"/>
      <c r="Q10155" s="1"/>
      <c r="R10155" s="1"/>
      <c r="S10155" s="1"/>
      <c r="T10155" s="1"/>
      <c r="U10155" s="1"/>
      <c r="V10155" s="1"/>
      <c r="W10155" s="1"/>
      <c r="X10155" s="1"/>
      <c r="Y10155" s="1"/>
      <c r="Z10155" s="1"/>
      <c r="AA10155" s="1"/>
      <c r="AB10155" s="1"/>
    </row>
    <row r="10156" ht="50.25" customHeight="1">
      <c r="A10156" s="12">
        <v>10152.0</v>
      </c>
      <c r="B10156" s="13" t="s">
        <v>9604</v>
      </c>
      <c r="C10156" s="14" t="s">
        <v>10183</v>
      </c>
      <c r="D10156" s="1"/>
      <c r="E10156" s="1"/>
      <c r="F10156" s="1" t="str">
        <f>IFERROR(__xludf.DUMMYFUNCTION("GOOGLETRANSLATE(B10156, ""en"", ""fa"")
"),"موفقیت Etsy")</f>
        <v>موفقیت Etsy</v>
      </c>
      <c r="G10156" s="1" t="str">
        <f>IFERROR(__xludf.DUMMYFUNCTION("GOOGLETRANSLATE(C10156, ""en"", ""fa"")
"),"چگونه می توانم از تکنیک های فروش متقابل و فروش متقابل برای نمایش محصولات مکمل و تشویق مشتریان به خریدهای اضافی استفاده کنم؟")</f>
        <v>چگونه می توانم از تکنیک های فروش متقابل و فروش متقابل برای نمایش محصولات مکمل و تشویق مشتریان به خریدهای اضافی استفاده کنم؟</v>
      </c>
      <c r="H10156" s="1"/>
      <c r="I10156" s="1"/>
      <c r="J10156" s="1"/>
      <c r="K10156" s="1"/>
      <c r="L10156" s="1"/>
      <c r="M10156" s="1"/>
      <c r="N10156" s="1"/>
      <c r="O10156" s="1"/>
      <c r="P10156" s="1"/>
      <c r="Q10156" s="1"/>
      <c r="R10156" s="1"/>
      <c r="S10156" s="1"/>
      <c r="T10156" s="1"/>
      <c r="U10156" s="1"/>
      <c r="V10156" s="1"/>
      <c r="W10156" s="1"/>
      <c r="X10156" s="1"/>
      <c r="Y10156" s="1"/>
      <c r="Z10156" s="1"/>
      <c r="AA10156" s="1"/>
      <c r="AB10156" s="1"/>
    </row>
    <row r="10157" ht="50.25" customHeight="1">
      <c r="A10157" s="12">
        <v>10153.0</v>
      </c>
      <c r="B10157" s="13" t="s">
        <v>9604</v>
      </c>
      <c r="C10157" s="14" t="s">
        <v>10184</v>
      </c>
      <c r="D10157" s="1"/>
      <c r="E10157" s="1"/>
      <c r="F10157" s="1" t="str">
        <f>IFERROR(__xludf.DUMMYFUNCTION("GOOGLETRANSLATE(B10157, ""en"", ""fa"")
"),"موفقیت Etsy")</f>
        <v>موفقیت Etsy</v>
      </c>
      <c r="G10157" s="1" t="str">
        <f>IFERROR(__xludf.DUMMYFUNCTION("GOOGLETRANSLATE(C10157, ""en"", ""fa"")
"),"ملاحظات برای میزبانی فروش یا رویدادهای انحصاری برای مشتریان فعلی، ایجاد انگیزه برای بازگشت و خریدهای تکراری برای آنها چیست؟")</f>
        <v>ملاحظات برای میزبانی فروش یا رویدادهای انحصاری برای مشتریان فعلی، ایجاد انگیزه برای بازگشت و خریدهای تکراری برای آنها چیست؟</v>
      </c>
      <c r="H10157" s="1"/>
      <c r="I10157" s="1"/>
      <c r="J10157" s="1"/>
      <c r="K10157" s="1"/>
      <c r="L10157" s="1"/>
      <c r="M10157" s="1"/>
      <c r="N10157" s="1"/>
      <c r="O10157" s="1"/>
      <c r="P10157" s="1"/>
      <c r="Q10157" s="1"/>
      <c r="R10157" s="1"/>
      <c r="S10157" s="1"/>
      <c r="T10157" s="1"/>
      <c r="U10157" s="1"/>
      <c r="V10157" s="1"/>
      <c r="W10157" s="1"/>
      <c r="X10157" s="1"/>
      <c r="Y10157" s="1"/>
      <c r="Z10157" s="1"/>
      <c r="AA10157" s="1"/>
      <c r="AB10157" s="1"/>
    </row>
    <row r="10158" ht="50.25" customHeight="1">
      <c r="A10158" s="12">
        <v>10154.0</v>
      </c>
      <c r="B10158" s="13" t="s">
        <v>9604</v>
      </c>
      <c r="C10158" s="14" t="s">
        <v>10185</v>
      </c>
      <c r="D10158" s="1"/>
      <c r="E10158" s="1"/>
      <c r="F10158" s="1" t="str">
        <f>IFERROR(__xludf.DUMMYFUNCTION("GOOGLETRANSLATE(B10158, ""en"", ""fa"")
"),"موفقیت Etsy")</f>
        <v>موفقیت Etsy</v>
      </c>
      <c r="G10158" s="1" t="str">
        <f>IFERROR(__xludf.DUMMYFUNCTION("GOOGLETRANSLATE(C10158, ""en"", ""fa"")
"),"چگونه می توانم فعالانه به دنبال بازخورد و پیشنهادات از مشتریان خود باشم تا به طور مداوم محصولات خود را بهبود بخشم و نیازهای آنها را بهتر برآورده کنم؟")</f>
        <v>چگونه می توانم فعالانه به دنبال بازخورد و پیشنهادات از مشتریان خود باشم تا به طور مداوم محصولات خود را بهبود بخشم و نیازهای آنها را بهتر برآورده کنم؟</v>
      </c>
      <c r="H10158" s="1"/>
      <c r="I10158" s="1"/>
      <c r="J10158" s="1"/>
      <c r="K10158" s="1"/>
      <c r="L10158" s="1"/>
      <c r="M10158" s="1"/>
      <c r="N10158" s="1"/>
      <c r="O10158" s="1"/>
      <c r="P10158" s="1"/>
      <c r="Q10158" s="1"/>
      <c r="R10158" s="1"/>
      <c r="S10158" s="1"/>
      <c r="T10158" s="1"/>
      <c r="U10158" s="1"/>
      <c r="V10158" s="1"/>
      <c r="W10158" s="1"/>
      <c r="X10158" s="1"/>
      <c r="Y10158" s="1"/>
      <c r="Z10158" s="1"/>
      <c r="AA10158" s="1"/>
      <c r="AB10158" s="1"/>
    </row>
    <row r="10159" ht="50.25" customHeight="1">
      <c r="A10159" s="12">
        <v>10155.0</v>
      </c>
      <c r="B10159" s="13" t="s">
        <v>9604</v>
      </c>
      <c r="C10159" s="14" t="s">
        <v>10186</v>
      </c>
      <c r="D10159" s="1"/>
      <c r="E10159" s="1"/>
      <c r="F10159" s="1" t="str">
        <f>IFERROR(__xludf.DUMMYFUNCTION("GOOGLETRANSLATE(B10159, ""en"", ""fa"")
"),"موفقیت Etsy")</f>
        <v>موفقیت Etsy</v>
      </c>
      <c r="G10159" s="1" t="str">
        <f>IFERROR(__xludf.DUMMYFUNCTION("GOOGLETRANSLATE(C10159, ""en"", ""fa"")
"),"استراتژی های ایجاد یک تجربه خرید شخصی و سفارشی برای هر مشتری، سفارشی کردن توصیه ها و پیشنهادات محصول بر اساس ترجیحات آنها چیست؟")</f>
        <v>استراتژی های ایجاد یک تجربه خرید شخصی و سفارشی برای هر مشتری، سفارشی کردن توصیه ها و پیشنهادات محصول بر اساس ترجیحات آنها چیست؟</v>
      </c>
      <c r="H10159" s="1"/>
      <c r="I10159" s="1"/>
      <c r="J10159" s="1"/>
      <c r="K10159" s="1"/>
      <c r="L10159" s="1"/>
      <c r="M10159" s="1"/>
      <c r="N10159" s="1"/>
      <c r="O10159" s="1"/>
      <c r="P10159" s="1"/>
      <c r="Q10159" s="1"/>
      <c r="R10159" s="1"/>
      <c r="S10159" s="1"/>
      <c r="T10159" s="1"/>
      <c r="U10159" s="1"/>
      <c r="V10159" s="1"/>
      <c r="W10159" s="1"/>
      <c r="X10159" s="1"/>
      <c r="Y10159" s="1"/>
      <c r="Z10159" s="1"/>
      <c r="AA10159" s="1"/>
      <c r="AB10159" s="1"/>
    </row>
    <row r="10160" ht="50.25" customHeight="1">
      <c r="A10160" s="12">
        <v>10156.0</v>
      </c>
      <c r="B10160" s="13" t="s">
        <v>9604</v>
      </c>
      <c r="C10160" s="14" t="s">
        <v>10187</v>
      </c>
      <c r="D10160" s="1"/>
      <c r="E10160" s="1"/>
      <c r="F10160" s="1" t="str">
        <f>IFERROR(__xludf.DUMMYFUNCTION("GOOGLETRANSLATE(B10160, ""en"", ""fa"")
"),"موفقیت Etsy")</f>
        <v>موفقیت Etsy</v>
      </c>
      <c r="G10160" s="1" t="str">
        <f>IFERROR(__xludf.DUMMYFUNCTION("GOOGLETRANSLATE(C10160, ""en"", ""fa"")
"),"چگونه می توانم از قدرت داستان سرایی در تلاش های بازاریابی خود برای ایجاد ارتباط عاطفی با مشتریان و تقویت وفاداری طولانی مدت استفاده کنم؟")</f>
        <v>چگونه می توانم از قدرت داستان سرایی در تلاش های بازاریابی خود برای ایجاد ارتباط عاطفی با مشتریان و تقویت وفاداری طولانی مدت استفاده کنم؟</v>
      </c>
      <c r="H10160" s="1"/>
      <c r="I10160" s="1"/>
      <c r="J10160" s="1"/>
      <c r="K10160" s="1"/>
      <c r="L10160" s="1"/>
      <c r="M10160" s="1"/>
      <c r="N10160" s="1"/>
      <c r="O10160" s="1"/>
      <c r="P10160" s="1"/>
      <c r="Q10160" s="1"/>
      <c r="R10160" s="1"/>
      <c r="S10160" s="1"/>
      <c r="T10160" s="1"/>
      <c r="U10160" s="1"/>
      <c r="V10160" s="1"/>
      <c r="W10160" s="1"/>
      <c r="X10160" s="1"/>
      <c r="Y10160" s="1"/>
      <c r="Z10160" s="1"/>
      <c r="AA10160" s="1"/>
      <c r="AB10160" s="1"/>
    </row>
    <row r="10161" ht="50.25" customHeight="1">
      <c r="A10161" s="12">
        <v>10157.0</v>
      </c>
      <c r="B10161" s="13" t="s">
        <v>9604</v>
      </c>
      <c r="C10161" s="14" t="s">
        <v>10188</v>
      </c>
      <c r="D10161" s="1"/>
      <c r="E10161" s="1"/>
      <c r="F10161" s="1" t="str">
        <f>IFERROR(__xludf.DUMMYFUNCTION("GOOGLETRANSLATE(B10161, ""en"", ""fa"")
"),"موفقیت Etsy")</f>
        <v>موفقیت Etsy</v>
      </c>
      <c r="G10161" s="1" t="str">
        <f>IFERROR(__xludf.DUMMYFUNCTION("GOOGLETRANSLATE(C10161, ""en"", ""fa"")
"),"ملاحظات برای اجرای یک برنامه پاداش لایه ای که با خرید بیشتر مشتریان، مزایا و مزایا فزاینده ای را ارائه می دهد، چیست؟")</f>
        <v>ملاحظات برای اجرای یک برنامه پاداش لایه ای که با خرید بیشتر مشتریان، مزایا و مزایا فزاینده ای را ارائه می دهد، چیست؟</v>
      </c>
      <c r="H10161" s="1"/>
      <c r="I10161" s="1"/>
      <c r="J10161" s="1"/>
      <c r="K10161" s="1"/>
      <c r="L10161" s="1"/>
      <c r="M10161" s="1"/>
      <c r="N10161" s="1"/>
      <c r="O10161" s="1"/>
      <c r="P10161" s="1"/>
      <c r="Q10161" s="1"/>
      <c r="R10161" s="1"/>
      <c r="S10161" s="1"/>
      <c r="T10161" s="1"/>
      <c r="U10161" s="1"/>
      <c r="V10161" s="1"/>
      <c r="W10161" s="1"/>
      <c r="X10161" s="1"/>
      <c r="Y10161" s="1"/>
      <c r="Z10161" s="1"/>
      <c r="AA10161" s="1"/>
      <c r="AB10161" s="1"/>
    </row>
    <row r="10162" ht="50.25" customHeight="1">
      <c r="A10162" s="12">
        <v>10158.0</v>
      </c>
      <c r="B10162" s="13" t="s">
        <v>9604</v>
      </c>
      <c r="C10162" s="14" t="s">
        <v>10189</v>
      </c>
      <c r="D10162" s="1"/>
      <c r="E10162" s="1"/>
      <c r="F10162" s="1" t="str">
        <f>IFERROR(__xludf.DUMMYFUNCTION("GOOGLETRANSLATE(B10162, ""en"", ""fa"")
"),"موفقیت Etsy")</f>
        <v>موفقیت Etsy</v>
      </c>
      <c r="G10162" s="1" t="str">
        <f>IFERROR(__xludf.DUMMYFUNCTION("GOOGLETRANSLATE(C10162, ""en"", ""fa"")
"),"چگونه می توانم با ارائه تخفیف های انحصاری یا دسترسی زودهنگام به عرضه محصولات جدید قبل از اینکه در دسترس عموم قرار گیرد، از مشتریان خود قدردانی کنم؟")</f>
        <v>چگونه می توانم با ارائه تخفیف های انحصاری یا دسترسی زودهنگام به عرضه محصولات جدید قبل از اینکه در دسترس عموم قرار گیرد، از مشتریان خود قدردانی کنم؟</v>
      </c>
      <c r="H10162" s="1"/>
      <c r="I10162" s="1"/>
      <c r="J10162" s="1"/>
      <c r="K10162" s="1"/>
      <c r="L10162" s="1"/>
      <c r="M10162" s="1"/>
      <c r="N10162" s="1"/>
      <c r="O10162" s="1"/>
      <c r="P10162" s="1"/>
      <c r="Q10162" s="1"/>
      <c r="R10162" s="1"/>
      <c r="S10162" s="1"/>
      <c r="T10162" s="1"/>
      <c r="U10162" s="1"/>
      <c r="V10162" s="1"/>
      <c r="W10162" s="1"/>
      <c r="X10162" s="1"/>
      <c r="Y10162" s="1"/>
      <c r="Z10162" s="1"/>
      <c r="AA10162" s="1"/>
      <c r="AB10162" s="1"/>
    </row>
    <row r="10163" ht="50.25" customHeight="1">
      <c r="A10163" s="12">
        <v>10159.0</v>
      </c>
      <c r="B10163" s="13" t="s">
        <v>9604</v>
      </c>
      <c r="C10163" s="14" t="s">
        <v>10190</v>
      </c>
      <c r="D10163" s="1"/>
      <c r="E10163" s="1"/>
      <c r="F10163" s="1" t="str">
        <f>IFERROR(__xludf.DUMMYFUNCTION("GOOGLETRANSLATE(B10163, ""en"", ""fa"")
"),"موفقیت Etsy")</f>
        <v>موفقیت Etsy</v>
      </c>
      <c r="G10163" s="1" t="str">
        <f>IFERROR(__xludf.DUMMYFUNCTION("GOOGLETRANSLATE(C10163, ""en"", ""fa"")
"),"استراتژی‌های تعامل مجدد با مشتریانی که سبد خرید خود را رها کرده‌اند یا فرآیند پرداخت را شروع کرده‌اند اما خرید را کامل نکرده‌اند، چیست؟")</f>
        <v>استراتژی‌های تعامل مجدد با مشتریانی که سبد خرید خود را رها کرده‌اند یا فرآیند پرداخت را شروع کرده‌اند اما خرید را کامل نکرده‌اند، چیست؟</v>
      </c>
      <c r="H10163" s="1"/>
      <c r="I10163" s="1"/>
      <c r="J10163" s="1"/>
      <c r="K10163" s="1"/>
      <c r="L10163" s="1"/>
      <c r="M10163" s="1"/>
      <c r="N10163" s="1"/>
      <c r="O10163" s="1"/>
      <c r="P10163" s="1"/>
      <c r="Q10163" s="1"/>
      <c r="R10163" s="1"/>
      <c r="S10163" s="1"/>
      <c r="T10163" s="1"/>
      <c r="U10163" s="1"/>
      <c r="V10163" s="1"/>
      <c r="W10163" s="1"/>
      <c r="X10163" s="1"/>
      <c r="Y10163" s="1"/>
      <c r="Z10163" s="1"/>
      <c r="AA10163" s="1"/>
      <c r="AB10163" s="1"/>
    </row>
    <row r="10164" ht="50.25" customHeight="1">
      <c r="A10164" s="12">
        <v>10160.0</v>
      </c>
      <c r="B10164" s="13" t="s">
        <v>9604</v>
      </c>
      <c r="C10164" s="14" t="s">
        <v>10191</v>
      </c>
      <c r="D10164" s="1"/>
      <c r="E10164" s="1"/>
      <c r="F10164" s="1" t="str">
        <f>IFERROR(__xludf.DUMMYFUNCTION("GOOGLETRANSLATE(B10164, ""en"", ""fa"")
"),"موفقیت Etsy")</f>
        <v>موفقیت Etsy</v>
      </c>
      <c r="G10164" s="1" t="str">
        <f>IFERROR(__xludf.DUMMYFUNCTION("GOOGLETRANSLATE(C10164, ""en"", ""fa"")
"),"چگونه می‌توانم یادداشت‌ها یا پیام‌های شخصی‌سازی‌شده را در هر سفارش برای ایجاد ارتباط شخصی با مشتریان و تشویق آنها به بازگشت اضافه کنم؟")</f>
        <v>چگونه می‌توانم یادداشت‌ها یا پیام‌های شخصی‌سازی‌شده را در هر سفارش برای ایجاد ارتباط شخصی با مشتریان و تشویق آنها به بازگشت اضافه کنم؟</v>
      </c>
      <c r="H10164" s="1"/>
      <c r="I10164" s="1"/>
      <c r="J10164" s="1"/>
      <c r="K10164" s="1"/>
      <c r="L10164" s="1"/>
      <c r="M10164" s="1"/>
      <c r="N10164" s="1"/>
      <c r="O10164" s="1"/>
      <c r="P10164" s="1"/>
      <c r="Q10164" s="1"/>
      <c r="R10164" s="1"/>
      <c r="S10164" s="1"/>
      <c r="T10164" s="1"/>
      <c r="U10164" s="1"/>
      <c r="V10164" s="1"/>
      <c r="W10164" s="1"/>
      <c r="X10164" s="1"/>
      <c r="Y10164" s="1"/>
      <c r="Z10164" s="1"/>
      <c r="AA10164" s="1"/>
      <c r="AB10164" s="1"/>
    </row>
    <row r="10165" ht="50.25" customHeight="1">
      <c r="A10165" s="12">
        <v>10161.0</v>
      </c>
      <c r="B10165" s="13" t="s">
        <v>9604</v>
      </c>
      <c r="C10165" s="14" t="s">
        <v>10192</v>
      </c>
      <c r="D10165" s="1"/>
      <c r="E10165" s="1"/>
      <c r="F10165" s="1" t="str">
        <f>IFERROR(__xludf.DUMMYFUNCTION("GOOGLETRANSLATE(B10165, ""en"", ""fa"")
"),"موفقیت Etsy")</f>
        <v>موفقیت Etsy</v>
      </c>
      <c r="G10165" s="1" t="str">
        <f>IFERROR(__xludf.DUMMYFUNCTION("GOOGLETRANSLATE(C10165, ""en"", ""fa"")
"),"بهترین روش ها برای پیگیری ترجیحات مشتری و سابقه خرید برای ارائه توصیه های شخصی و بهبود تجربه خرید چیست؟")</f>
        <v>بهترین روش ها برای پیگیری ترجیحات مشتری و سابقه خرید برای ارائه توصیه های شخصی و بهبود تجربه خرید چیست؟</v>
      </c>
      <c r="H10165" s="1"/>
      <c r="I10165" s="1"/>
      <c r="J10165" s="1"/>
      <c r="K10165" s="1"/>
      <c r="L10165" s="1"/>
      <c r="M10165" s="1"/>
      <c r="N10165" s="1"/>
      <c r="O10165" s="1"/>
      <c r="P10165" s="1"/>
      <c r="Q10165" s="1"/>
      <c r="R10165" s="1"/>
      <c r="S10165" s="1"/>
      <c r="T10165" s="1"/>
      <c r="U10165" s="1"/>
      <c r="V10165" s="1"/>
      <c r="W10165" s="1"/>
      <c r="X10165" s="1"/>
      <c r="Y10165" s="1"/>
      <c r="Z10165" s="1"/>
      <c r="AA10165" s="1"/>
      <c r="AB10165" s="1"/>
    </row>
    <row r="10166" ht="50.25" customHeight="1">
      <c r="A10166" s="12">
        <v>10162.0</v>
      </c>
      <c r="B10166" s="13" t="s">
        <v>9604</v>
      </c>
      <c r="C10166" s="14" t="s">
        <v>10193</v>
      </c>
      <c r="D10166" s="1"/>
      <c r="E10166" s="1"/>
      <c r="F10166" s="1" t="str">
        <f>IFERROR(__xludf.DUMMYFUNCTION("GOOGLETRANSLATE(B10166, ""en"", ""fa"")
"),"موفقیت Etsy")</f>
        <v>موفقیت Etsy</v>
      </c>
      <c r="G10166" s="1" t="str">
        <f>IFERROR(__xludf.DUMMYFUNCTION("GOOGLETRANSLATE(C10166, ""en"", ""fa"")
"),"چگونه می توانم از توصیفات مشتری یا داستان های موفقیت در فروشگاه یا وب سایت Etsy خود برای نشان دادن تجربیات مثبت مشتریان قبلی استفاده کنم؟")</f>
        <v>چگونه می توانم از توصیفات مشتری یا داستان های موفقیت در فروشگاه یا وب سایت Etsy خود برای نشان دادن تجربیات مثبت مشتریان قبلی استفاده کنم؟</v>
      </c>
      <c r="H10166" s="1"/>
      <c r="I10166" s="1"/>
      <c r="J10166" s="1"/>
      <c r="K10166" s="1"/>
      <c r="L10166" s="1"/>
      <c r="M10166" s="1"/>
      <c r="N10166" s="1"/>
      <c r="O10166" s="1"/>
      <c r="P10166" s="1"/>
      <c r="Q10166" s="1"/>
      <c r="R10166" s="1"/>
      <c r="S10166" s="1"/>
      <c r="T10166" s="1"/>
      <c r="U10166" s="1"/>
      <c r="V10166" s="1"/>
      <c r="W10166" s="1"/>
      <c r="X10166" s="1"/>
      <c r="Y10166" s="1"/>
      <c r="Z10166" s="1"/>
      <c r="AA10166" s="1"/>
      <c r="AB10166" s="1"/>
    </row>
    <row r="10167" ht="50.25" customHeight="1">
      <c r="A10167" s="12">
        <v>10163.0</v>
      </c>
      <c r="B10167" s="13" t="s">
        <v>9604</v>
      </c>
      <c r="C10167" s="14" t="s">
        <v>10194</v>
      </c>
      <c r="D10167" s="1"/>
      <c r="E10167" s="1"/>
      <c r="F10167" s="1" t="str">
        <f>IFERROR(__xludf.DUMMYFUNCTION("GOOGLETRANSLATE(B10167, ""en"", ""fa"")
"),"موفقیت Etsy")</f>
        <v>موفقیت Etsy</v>
      </c>
      <c r="G10167" s="1" t="str">
        <f>IFERROR(__xludf.DUMMYFUNCTION("GOOGLETRANSLATE(C10167, ""en"", ""fa"")
"),"ملاحظات ارائه دوره ای تبلیغات یا تخفیف های منحصر به فرد به مشتریان فعلی به عنوان راهی برای ابراز قدردانی و تشویق مجدد تجارت چیست؟")</f>
        <v>ملاحظات ارائه دوره ای تبلیغات یا تخفیف های منحصر به فرد به مشتریان فعلی به عنوان راهی برای ابراز قدردانی و تشویق مجدد تجارت چیست؟</v>
      </c>
      <c r="H10167" s="1"/>
      <c r="I10167" s="1"/>
      <c r="J10167" s="1"/>
      <c r="K10167" s="1"/>
      <c r="L10167" s="1"/>
      <c r="M10167" s="1"/>
      <c r="N10167" s="1"/>
      <c r="O10167" s="1"/>
      <c r="P10167" s="1"/>
      <c r="Q10167" s="1"/>
      <c r="R10167" s="1"/>
      <c r="S10167" s="1"/>
      <c r="T10167" s="1"/>
      <c r="U10167" s="1"/>
      <c r="V10167" s="1"/>
      <c r="W10167" s="1"/>
      <c r="X10167" s="1"/>
      <c r="Y10167" s="1"/>
      <c r="Z10167" s="1"/>
      <c r="AA10167" s="1"/>
      <c r="AB10167" s="1"/>
    </row>
    <row r="10168" ht="50.25" customHeight="1">
      <c r="A10168" s="12">
        <v>10164.0</v>
      </c>
      <c r="B10168" s="13" t="s">
        <v>9604</v>
      </c>
      <c r="C10168" s="14" t="s">
        <v>10195</v>
      </c>
      <c r="D10168" s="1"/>
      <c r="E10168" s="1"/>
      <c r="F10168" s="1" t="str">
        <f>IFERROR(__xludf.DUMMYFUNCTION("GOOGLETRANSLATE(B10168, ""en"", ""fa"")
"),"موفقیت Etsy")</f>
        <v>موفقیت Etsy</v>
      </c>
      <c r="G10168" s="1" t="str">
        <f>IFERROR(__xludf.DUMMYFUNCTION("GOOGLETRANSLATE(C10168, ""en"", ""fa"")
"),"مراحل کلیدی درگیر در انجام تحقیقات روند و پیش‌بینی برای شناسایی روندهای نوظهور مرتبط با جایگاه Etsy من چیست؟")</f>
        <v>مراحل کلیدی درگیر در انجام تحقیقات روند و پیش‌بینی برای شناسایی روندهای نوظهور مرتبط با جایگاه Etsy من چیست؟</v>
      </c>
      <c r="H10168" s="1"/>
      <c r="I10168" s="1"/>
      <c r="J10168" s="1"/>
      <c r="K10168" s="1"/>
      <c r="L10168" s="1"/>
      <c r="M10168" s="1"/>
      <c r="N10168" s="1"/>
      <c r="O10168" s="1"/>
      <c r="P10168" s="1"/>
      <c r="Q10168" s="1"/>
      <c r="R10168" s="1"/>
      <c r="S10168" s="1"/>
      <c r="T10168" s="1"/>
      <c r="U10168" s="1"/>
      <c r="V10168" s="1"/>
      <c r="W10168" s="1"/>
      <c r="X10168" s="1"/>
      <c r="Y10168" s="1"/>
      <c r="Z10168" s="1"/>
      <c r="AA10168" s="1"/>
      <c r="AB10168" s="1"/>
    </row>
    <row r="10169" ht="50.25" customHeight="1">
      <c r="A10169" s="12">
        <v>10165.0</v>
      </c>
      <c r="B10169" s="13" t="s">
        <v>9604</v>
      </c>
      <c r="C10169" s="14" t="s">
        <v>10196</v>
      </c>
      <c r="D10169" s="1"/>
      <c r="E10169" s="1"/>
      <c r="F10169" s="1" t="str">
        <f>IFERROR(__xludf.DUMMYFUNCTION("GOOGLETRANSLATE(B10169, ""en"", ""fa"")
"),"موفقیت Etsy")</f>
        <v>موفقیت Etsy</v>
      </c>
      <c r="G10169" s="1" t="str">
        <f>IFERROR(__xludf.DUMMYFUNCTION("GOOGLETRANSLATE(C10169, ""en"", ""fa"")
"),"چگونه می توانم از آخرین مد، دکوراسیون منزل یا روند طراحی به روز بمانم تا اطمینان حاصل کنم که محصولات Etsy من با تقاضاهای فعلی بازار مطابقت دارند؟")</f>
        <v>چگونه می توانم از آخرین مد، دکوراسیون منزل یا روند طراحی به روز بمانم تا اطمینان حاصل کنم که محصولات Etsy من با تقاضاهای فعلی بازار مطابقت دارند؟</v>
      </c>
      <c r="H10169" s="1"/>
      <c r="I10169" s="1"/>
      <c r="J10169" s="1"/>
      <c r="K10169" s="1"/>
      <c r="L10169" s="1"/>
      <c r="M10169" s="1"/>
      <c r="N10169" s="1"/>
      <c r="O10169" s="1"/>
      <c r="P10169" s="1"/>
      <c r="Q10169" s="1"/>
      <c r="R10169" s="1"/>
      <c r="S10169" s="1"/>
      <c r="T10169" s="1"/>
      <c r="U10169" s="1"/>
      <c r="V10169" s="1"/>
      <c r="W10169" s="1"/>
      <c r="X10169" s="1"/>
      <c r="Y10169" s="1"/>
      <c r="Z10169" s="1"/>
      <c r="AA10169" s="1"/>
      <c r="AB10169" s="1"/>
    </row>
    <row r="10170" ht="50.25" customHeight="1">
      <c r="A10170" s="12">
        <v>10166.0</v>
      </c>
      <c r="B10170" s="13" t="s">
        <v>9604</v>
      </c>
      <c r="C10170" s="14" t="s">
        <v>10197</v>
      </c>
      <c r="D10170" s="1"/>
      <c r="E10170" s="1"/>
      <c r="F10170" s="1" t="str">
        <f>IFERROR(__xludf.DUMMYFUNCTION("GOOGLETRANSLATE(B10170, ""en"", ""fa"")
"),"موفقیت Etsy")</f>
        <v>موفقیت Etsy</v>
      </c>
      <c r="G10170" s="1" t="str">
        <f>IFERROR(__xludf.DUMMYFUNCTION("GOOGLETRANSLATE(C10170, ""en"", ""fa"")
"),"استراتژی‌هایی برای گنجاندن عناصر یا موضوعات فصلی در محصولات پیشنهادی من برای پاسخگویی به روندهای فصلی و استفاده از رفتار خرید فصلی چیست؟")</f>
        <v>استراتژی‌هایی برای گنجاندن عناصر یا موضوعات فصلی در محصولات پیشنهادی من برای پاسخگویی به روندهای فصلی و استفاده از رفتار خرید فصلی چیست؟</v>
      </c>
      <c r="H10170" s="1"/>
      <c r="I10170" s="1"/>
      <c r="J10170" s="1"/>
      <c r="K10170" s="1"/>
      <c r="L10170" s="1"/>
      <c r="M10170" s="1"/>
      <c r="N10170" s="1"/>
      <c r="O10170" s="1"/>
      <c r="P10170" s="1"/>
      <c r="Q10170" s="1"/>
      <c r="R10170" s="1"/>
      <c r="S10170" s="1"/>
      <c r="T10170" s="1"/>
      <c r="U10170" s="1"/>
      <c r="V10170" s="1"/>
      <c r="W10170" s="1"/>
      <c r="X10170" s="1"/>
      <c r="Y10170" s="1"/>
      <c r="Z10170" s="1"/>
      <c r="AA10170" s="1"/>
      <c r="AB10170" s="1"/>
    </row>
    <row r="10171" ht="50.25" customHeight="1">
      <c r="A10171" s="12">
        <v>10167.0</v>
      </c>
      <c r="B10171" s="13" t="s">
        <v>9604</v>
      </c>
      <c r="C10171" s="14" t="s">
        <v>10198</v>
      </c>
      <c r="D10171" s="1"/>
      <c r="E10171" s="1"/>
      <c r="F10171" s="1" t="str">
        <f>IFERROR(__xludf.DUMMYFUNCTION("GOOGLETRANSLATE(B10171, ""en"", ""fa"")
"),"موفقیت Etsy")</f>
        <v>موفقیت Etsy</v>
      </c>
      <c r="G10171" s="1" t="str">
        <f>IFERROR(__xludf.DUMMYFUNCTION("GOOGLETRANSLATE(C10171, ""en"", ""fa"")
"),"چگونه می توانم از پلتفرم های رسانه های اجتماعی مانند اینستاگرام یا پینترست برای کشف و نظارت بر روندهای محبوب در صنعت خود استفاده کنم و فروشگاه Etsy خود را بر این اساس تطبیق دهم؟")</f>
        <v>چگونه می توانم از پلتفرم های رسانه های اجتماعی مانند اینستاگرام یا پینترست برای کشف و نظارت بر روندهای محبوب در صنعت خود استفاده کنم و فروشگاه Etsy خود را بر این اساس تطبیق دهم؟</v>
      </c>
      <c r="H10171" s="1"/>
      <c r="I10171" s="1"/>
      <c r="J10171" s="1"/>
      <c r="K10171" s="1"/>
      <c r="L10171" s="1"/>
      <c r="M10171" s="1"/>
      <c r="N10171" s="1"/>
      <c r="O10171" s="1"/>
      <c r="P10171" s="1"/>
      <c r="Q10171" s="1"/>
      <c r="R10171" s="1"/>
      <c r="S10171" s="1"/>
      <c r="T10171" s="1"/>
      <c r="U10171" s="1"/>
      <c r="V10171" s="1"/>
      <c r="W10171" s="1"/>
      <c r="X10171" s="1"/>
      <c r="Y10171" s="1"/>
      <c r="Z10171" s="1"/>
      <c r="AA10171" s="1"/>
      <c r="AB10171" s="1"/>
    </row>
    <row r="10172" ht="50.25" customHeight="1">
      <c r="A10172" s="12">
        <v>10168.0</v>
      </c>
      <c r="B10172" s="13" t="s">
        <v>9604</v>
      </c>
      <c r="C10172" s="14" t="s">
        <v>10199</v>
      </c>
      <c r="D10172" s="1"/>
      <c r="E10172" s="1"/>
      <c r="F10172" s="1" t="str">
        <f>IFERROR(__xludf.DUMMYFUNCTION("GOOGLETRANSLATE(B10172, ""en"", ""fa"")
"),"موفقیت Etsy")</f>
        <v>موفقیت Etsy</v>
      </c>
      <c r="G10172" s="1" t="str">
        <f>IFERROR(__xludf.DUMMYFUNCTION("GOOGLETRANSLATE(C10172, ""en"", ""fa"")
"),"ملاحظات برای تجزیه و تحلیل رفتار مصرف کننده و داده های تحقیقات بازار برای کشف روندهای آینده و تصمیم گیری آگاهانه برای تجارت Etsy من چیست؟")</f>
        <v>ملاحظات برای تجزیه و تحلیل رفتار مصرف کننده و داده های تحقیقات بازار برای کشف روندهای آینده و تصمیم گیری آگاهانه برای تجارت Etsy من چیست؟</v>
      </c>
      <c r="H10172" s="1"/>
      <c r="I10172" s="1"/>
      <c r="J10172" s="1"/>
      <c r="K10172" s="1"/>
      <c r="L10172" s="1"/>
      <c r="M10172" s="1"/>
      <c r="N10172" s="1"/>
      <c r="O10172" s="1"/>
      <c r="P10172" s="1"/>
      <c r="Q10172" s="1"/>
      <c r="R10172" s="1"/>
      <c r="S10172" s="1"/>
      <c r="T10172" s="1"/>
      <c r="U10172" s="1"/>
      <c r="V10172" s="1"/>
      <c r="W10172" s="1"/>
      <c r="X10172" s="1"/>
      <c r="Y10172" s="1"/>
      <c r="Z10172" s="1"/>
      <c r="AA10172" s="1"/>
      <c r="AB10172" s="1"/>
    </row>
    <row r="10173" ht="50.25" customHeight="1">
      <c r="A10173" s="12">
        <v>10169.0</v>
      </c>
      <c r="B10173" s="13" t="s">
        <v>9604</v>
      </c>
      <c r="C10173" s="14" t="s">
        <v>10200</v>
      </c>
      <c r="D10173" s="1"/>
      <c r="E10173" s="1"/>
      <c r="F10173" s="1" t="str">
        <f>IFERROR(__xludf.DUMMYFUNCTION("GOOGLETRANSLATE(B10173, ""en"", ""fa"")
"),"موفقیت Etsy")</f>
        <v>موفقیت Etsy</v>
      </c>
      <c r="G10173" s="1" t="str">
        <f>IFERROR(__xludf.DUMMYFUNCTION("GOOGLETRANSLATE(C10173, ""en"", ""fa"")
"),"چگونه می توانم با اینفلوئنسرها، وبلاگ نویسان یا کارشناسان صنعت همکاری کنم تا بینش هایی در مورد روندهای آینده به دست بیاورم و آنها را در مجموعه محصولات Etsy خود بگنجانم؟")</f>
        <v>چگونه می توانم با اینفلوئنسرها، وبلاگ نویسان یا کارشناسان صنعت همکاری کنم تا بینش هایی در مورد روندهای آینده به دست بیاورم و آنها را در مجموعه محصولات Etsy خود بگنجانم؟</v>
      </c>
      <c r="H10173" s="1"/>
      <c r="I10173" s="1"/>
      <c r="J10173" s="1"/>
      <c r="K10173" s="1"/>
      <c r="L10173" s="1"/>
      <c r="M10173" s="1"/>
      <c r="N10173" s="1"/>
      <c r="O10173" s="1"/>
      <c r="P10173" s="1"/>
      <c r="Q10173" s="1"/>
      <c r="R10173" s="1"/>
      <c r="S10173" s="1"/>
      <c r="T10173" s="1"/>
      <c r="U10173" s="1"/>
      <c r="V10173" s="1"/>
      <c r="W10173" s="1"/>
      <c r="X10173" s="1"/>
      <c r="Y10173" s="1"/>
      <c r="Z10173" s="1"/>
      <c r="AA10173" s="1"/>
      <c r="AB10173" s="1"/>
    </row>
    <row r="10174" ht="50.25" customHeight="1">
      <c r="A10174" s="12">
        <v>10170.0</v>
      </c>
      <c r="B10174" s="13" t="s">
        <v>9604</v>
      </c>
      <c r="C10174" s="14" t="s">
        <v>10201</v>
      </c>
      <c r="D10174" s="1"/>
      <c r="E10174" s="1"/>
      <c r="F10174" s="1" t="str">
        <f>IFERROR(__xludf.DUMMYFUNCTION("GOOGLETRANSLATE(B10174, ""en"", ""fa"")
"),"موفقیت Etsy")</f>
        <v>موفقیت Etsy</v>
      </c>
      <c r="G10174" s="1" t="str">
        <f>IFERROR(__xludf.DUMMYFUNCTION("GOOGLETRANSLATE(C10174, ""en"", ""fa"")
"),"بهترین روش ها برای ایجاد مجموعه های الهام گرفته از روند یا موارد با نسخه محدود برای ایجاد حس فوریت و افزایش فروش در دوره های اوج روند چیست؟")</f>
        <v>بهترین روش ها برای ایجاد مجموعه های الهام گرفته از روند یا موارد با نسخه محدود برای ایجاد حس فوریت و افزایش فروش در دوره های اوج روند چیست؟</v>
      </c>
      <c r="H10174" s="1"/>
      <c r="I10174" s="1"/>
      <c r="J10174" s="1"/>
      <c r="K10174" s="1"/>
      <c r="L10174" s="1"/>
      <c r="M10174" s="1"/>
      <c r="N10174" s="1"/>
      <c r="O10174" s="1"/>
      <c r="P10174" s="1"/>
      <c r="Q10174" s="1"/>
      <c r="R10174" s="1"/>
      <c r="S10174" s="1"/>
      <c r="T10174" s="1"/>
      <c r="U10174" s="1"/>
      <c r="V10174" s="1"/>
      <c r="W10174" s="1"/>
      <c r="X10174" s="1"/>
      <c r="Y10174" s="1"/>
      <c r="Z10174" s="1"/>
      <c r="AA10174" s="1"/>
      <c r="AB10174" s="1"/>
    </row>
    <row r="10175" ht="50.25" customHeight="1">
      <c r="A10175" s="12">
        <v>10171.0</v>
      </c>
      <c r="B10175" s="13" t="s">
        <v>9604</v>
      </c>
      <c r="C10175" s="14" t="s">
        <v>10202</v>
      </c>
      <c r="D10175" s="1"/>
      <c r="E10175" s="1"/>
      <c r="F10175" s="1" t="str">
        <f>IFERROR(__xludf.DUMMYFUNCTION("GOOGLETRANSLATE(B10175, ""en"", ""fa"")
"),"موفقیت Etsy")</f>
        <v>موفقیت Etsy</v>
      </c>
      <c r="G10175" s="1" t="str">
        <f>IFERROR(__xludf.DUMMYFUNCTION("GOOGLETRANSLATE(C10175, ""en"", ""fa"")
"),"چگونه می توانم از ابزارها یا نرم افزارهای پیش بینی روند برای ردیابی و پیش بینی روند بازار استفاده کنم و پیشنهادات فروشگاه Etsy خود را مطابق با آن هماهنگ کنم؟")</f>
        <v>چگونه می توانم از ابزارها یا نرم افزارهای پیش بینی روند برای ردیابی و پیش بینی روند بازار استفاده کنم و پیشنهادات فروشگاه Etsy خود را مطابق با آن هماهنگ کنم؟</v>
      </c>
      <c r="H10175" s="1"/>
      <c r="I10175" s="1"/>
      <c r="J10175" s="1"/>
      <c r="K10175" s="1"/>
      <c r="L10175" s="1"/>
      <c r="M10175" s="1"/>
      <c r="N10175" s="1"/>
      <c r="O10175" s="1"/>
      <c r="P10175" s="1"/>
      <c r="Q10175" s="1"/>
      <c r="R10175" s="1"/>
      <c r="S10175" s="1"/>
      <c r="T10175" s="1"/>
      <c r="U10175" s="1"/>
      <c r="V10175" s="1"/>
      <c r="W10175" s="1"/>
      <c r="X10175" s="1"/>
      <c r="Y10175" s="1"/>
      <c r="Z10175" s="1"/>
      <c r="AA10175" s="1"/>
      <c r="AB10175" s="1"/>
    </row>
    <row r="10176" ht="50.25" customHeight="1">
      <c r="A10176" s="12">
        <v>10172.0</v>
      </c>
      <c r="B10176" s="13" t="s">
        <v>9604</v>
      </c>
      <c r="C10176" s="14" t="s">
        <v>10203</v>
      </c>
      <c r="D10176" s="1"/>
      <c r="E10176" s="1"/>
      <c r="F10176" s="1" t="str">
        <f>IFERROR(__xludf.DUMMYFUNCTION("GOOGLETRANSLATE(B10176, ""en"", ""fa"")
"),"موفقیت Etsy")</f>
        <v>موفقیت Etsy</v>
      </c>
      <c r="G10176" s="1" t="str">
        <f>IFERROR(__xludf.DUMMYFUNCTION("GOOGLETRANSLATE(C10176, ""en"", ""fa"")
"),"استراتژی‌های انجام تجزیه و تحلیل رقبا برای شناسایی روندهایی که آنها از آنها سرمایه‌گذاری می‌کنند و یافتن راه‌های منحصربه‌فردی برای متمایز کردن محصولات Etsy من در آن گرایش‌ها چیست؟")</f>
        <v>استراتژی‌های انجام تجزیه و تحلیل رقبا برای شناسایی روندهایی که آنها از آنها سرمایه‌گذاری می‌کنند و یافتن راه‌های منحصربه‌فردی برای متمایز کردن محصولات Etsy من در آن گرایش‌ها چیست؟</v>
      </c>
      <c r="H10176" s="1"/>
      <c r="I10176" s="1"/>
      <c r="J10176" s="1"/>
      <c r="K10176" s="1"/>
      <c r="L10176" s="1"/>
      <c r="M10176" s="1"/>
      <c r="N10176" s="1"/>
      <c r="O10176" s="1"/>
      <c r="P10176" s="1"/>
      <c r="Q10176" s="1"/>
      <c r="R10176" s="1"/>
      <c r="S10176" s="1"/>
      <c r="T10176" s="1"/>
      <c r="U10176" s="1"/>
      <c r="V10176" s="1"/>
      <c r="W10176" s="1"/>
      <c r="X10176" s="1"/>
      <c r="Y10176" s="1"/>
      <c r="Z10176" s="1"/>
      <c r="AA10176" s="1"/>
      <c r="AB10176" s="1"/>
    </row>
    <row r="10177" ht="50.25" customHeight="1">
      <c r="A10177" s="12">
        <v>10173.0</v>
      </c>
      <c r="B10177" s="13" t="s">
        <v>9604</v>
      </c>
      <c r="C10177" s="14" t="s">
        <v>10204</v>
      </c>
      <c r="D10177" s="1"/>
      <c r="E10177" s="1"/>
      <c r="F10177" s="1" t="str">
        <f>IFERROR(__xludf.DUMMYFUNCTION("GOOGLETRANSLATE(B10177, ""en"", ""fa"")
"),"موفقیت Etsy")</f>
        <v>موفقیت Etsy</v>
      </c>
      <c r="G10177" s="1" t="str">
        <f>IFERROR(__xludf.DUMMYFUNCTION("GOOGLETRANSLATE(C10177, ""en"", ""fa"")
"),"چگونه می توانم تطبیق پذیری و تطبیق پذیری محصولاتم را با برجسته کردن نحوه گنجاندن آنها در روندهای مختلف فعلی به نمایش بگذارم؟")</f>
        <v>چگونه می توانم تطبیق پذیری و تطبیق پذیری محصولاتم را با برجسته کردن نحوه گنجاندن آنها در روندهای مختلف فعلی به نمایش بگذارم؟</v>
      </c>
      <c r="H10177" s="1"/>
      <c r="I10177" s="1"/>
      <c r="J10177" s="1"/>
      <c r="K10177" s="1"/>
      <c r="L10177" s="1"/>
      <c r="M10177" s="1"/>
      <c r="N10177" s="1"/>
      <c r="O10177" s="1"/>
      <c r="P10177" s="1"/>
      <c r="Q10177" s="1"/>
      <c r="R10177" s="1"/>
      <c r="S10177" s="1"/>
      <c r="T10177" s="1"/>
      <c r="U10177" s="1"/>
      <c r="V10177" s="1"/>
      <c r="W10177" s="1"/>
      <c r="X10177" s="1"/>
      <c r="Y10177" s="1"/>
      <c r="Z10177" s="1"/>
      <c r="AA10177" s="1"/>
      <c r="AB10177" s="1"/>
    </row>
    <row r="10178" ht="50.25" customHeight="1">
      <c r="A10178" s="12">
        <v>10174.0</v>
      </c>
      <c r="B10178" s="13" t="s">
        <v>9604</v>
      </c>
      <c r="C10178" s="14" t="s">
        <v>10205</v>
      </c>
      <c r="D10178" s="1"/>
      <c r="E10178" s="1"/>
      <c r="F10178" s="1" t="str">
        <f>IFERROR(__xludf.DUMMYFUNCTION("GOOGLETRANSLATE(B10178, ""en"", ""fa"")
"),"موفقیت Etsy")</f>
        <v>موفقیت Etsy</v>
      </c>
      <c r="G10178" s="1" t="str">
        <f>IFERROR(__xludf.DUMMYFUNCTION("GOOGLETRANSLATE(C10178, ""en"", ""fa"")
"),"ملاحظات برای انجام نظرسنجی ها یا نظرسنجی های مشتریان برای جمع آوری بینش در مورد ترجیحات و علایق آنها در مورد روندهای فعلی و آینده چیست؟")</f>
        <v>ملاحظات برای انجام نظرسنجی ها یا نظرسنجی های مشتریان برای جمع آوری بینش در مورد ترجیحات و علایق آنها در مورد روندهای فعلی و آینده چیست؟</v>
      </c>
      <c r="H10178" s="1"/>
      <c r="I10178" s="1"/>
      <c r="J10178" s="1"/>
      <c r="K10178" s="1"/>
      <c r="L10178" s="1"/>
      <c r="M10178" s="1"/>
      <c r="N10178" s="1"/>
      <c r="O10178" s="1"/>
      <c r="P10178" s="1"/>
      <c r="Q10178" s="1"/>
      <c r="R10178" s="1"/>
      <c r="S10178" s="1"/>
      <c r="T10178" s="1"/>
      <c r="U10178" s="1"/>
      <c r="V10178" s="1"/>
      <c r="W10178" s="1"/>
      <c r="X10178" s="1"/>
      <c r="Y10178" s="1"/>
      <c r="Z10178" s="1"/>
      <c r="AA10178" s="1"/>
      <c r="AB10178" s="1"/>
    </row>
    <row r="10179" ht="50.25" customHeight="1">
      <c r="A10179" s="12">
        <v>10175.0</v>
      </c>
      <c r="B10179" s="13" t="s">
        <v>9604</v>
      </c>
      <c r="C10179" s="14" t="s">
        <v>10206</v>
      </c>
      <c r="D10179" s="1"/>
      <c r="E10179" s="1"/>
      <c r="F10179" s="1" t="str">
        <f>IFERROR(__xludf.DUMMYFUNCTION("GOOGLETRANSLATE(B10179, ""en"", ""fa"")
"),"موفقیت Etsy")</f>
        <v>موفقیت Etsy</v>
      </c>
      <c r="G10179" s="1" t="str">
        <f>IFERROR(__xludf.DUMMYFUNCTION("GOOGLETRANSLATE(C10179, ""en"", ""fa"")
"),"چگونه می‌توانم از رویدادها یا تعطیلات محبوب برای ایجاد مجموعه‌های محصولات یا تبلیغات متمرکز بر روند استفاده کنم که با فصلی بودن تقاضای مشتری همسو باشد؟")</f>
        <v>چگونه می‌توانم از رویدادها یا تعطیلات محبوب برای ایجاد مجموعه‌های محصولات یا تبلیغات متمرکز بر روند استفاده کنم که با فصلی بودن تقاضای مشتری همسو باشد؟</v>
      </c>
      <c r="H10179" s="1"/>
      <c r="I10179" s="1"/>
      <c r="J10179" s="1"/>
      <c r="K10179" s="1"/>
      <c r="L10179" s="1"/>
      <c r="M10179" s="1"/>
      <c r="N10179" s="1"/>
      <c r="O10179" s="1"/>
      <c r="P10179" s="1"/>
      <c r="Q10179" s="1"/>
      <c r="R10179" s="1"/>
      <c r="S10179" s="1"/>
      <c r="T10179" s="1"/>
      <c r="U10179" s="1"/>
      <c r="V10179" s="1"/>
      <c r="W10179" s="1"/>
      <c r="X10179" s="1"/>
      <c r="Y10179" s="1"/>
      <c r="Z10179" s="1"/>
      <c r="AA10179" s="1"/>
      <c r="AB10179" s="1"/>
    </row>
    <row r="10180" ht="50.25" customHeight="1">
      <c r="A10180" s="12">
        <v>10176.0</v>
      </c>
      <c r="B10180" s="13" t="s">
        <v>9604</v>
      </c>
      <c r="C10180" s="14" t="s">
        <v>10207</v>
      </c>
      <c r="D10180" s="1"/>
      <c r="E10180" s="1"/>
      <c r="F10180" s="1" t="str">
        <f>IFERROR(__xludf.DUMMYFUNCTION("GOOGLETRANSLATE(B10180, ""en"", ""fa"")
"),"موفقیت Etsy")</f>
        <v>موفقیت Etsy</v>
      </c>
      <c r="G10180" s="1" t="str">
        <f>IFERROR(__xludf.DUMMYFUNCTION("GOOGLETRANSLATE(C10180, ""en"", ""fa"")
"),"استراتژی‌هایی برای گنجاندن گرایش‌های رنگی در طرح‌ها یا بسته‌بندی محصول من برای مرتبط ماندن و جذاب ماندن بصری برای مشتریان چیست؟")</f>
        <v>استراتژی‌هایی برای گنجاندن گرایش‌های رنگی در طرح‌ها یا بسته‌بندی محصول من برای مرتبط ماندن و جذاب ماندن بصری برای مشتریان چیست؟</v>
      </c>
      <c r="H10180" s="1"/>
      <c r="I10180" s="1"/>
      <c r="J10180" s="1"/>
      <c r="K10180" s="1"/>
      <c r="L10180" s="1"/>
      <c r="M10180" s="1"/>
      <c r="N10180" s="1"/>
      <c r="O10180" s="1"/>
      <c r="P10180" s="1"/>
      <c r="Q10180" s="1"/>
      <c r="R10180" s="1"/>
      <c r="S10180" s="1"/>
      <c r="T10180" s="1"/>
      <c r="U10180" s="1"/>
      <c r="V10180" s="1"/>
      <c r="W10180" s="1"/>
      <c r="X10180" s="1"/>
      <c r="Y10180" s="1"/>
      <c r="Z10180" s="1"/>
      <c r="AA10180" s="1"/>
      <c r="AB10180" s="1"/>
    </row>
    <row r="10181" ht="50.25" customHeight="1">
      <c r="A10181" s="12">
        <v>10177.0</v>
      </c>
      <c r="B10181" s="13" t="s">
        <v>9604</v>
      </c>
      <c r="C10181" s="14" t="s">
        <v>10208</v>
      </c>
      <c r="D10181" s="1"/>
      <c r="E10181" s="1"/>
      <c r="F10181" s="1" t="str">
        <f>IFERROR(__xludf.DUMMYFUNCTION("GOOGLETRANSLATE(B10181, ""en"", ""fa"")
"),"موفقیت Etsy")</f>
        <v>موفقیت Etsy</v>
      </c>
      <c r="G10181" s="1" t="str">
        <f>IFERROR(__xludf.DUMMYFUNCTION("GOOGLETRANSLATE(C10181, ""en"", ""fa"")
"),"چگونه می توانم در مورد روندهای آتی مخصوص بازار Etsy خود، مانند محصولات سازگار با محیط زیست یا پایدار، تحقیق و پیش بینی کنم و پیشنهادات خود را بر این اساس قرار دهم؟")</f>
        <v>چگونه می توانم در مورد روندهای آتی مخصوص بازار Etsy خود، مانند محصولات سازگار با محیط زیست یا پایدار، تحقیق و پیش بینی کنم و پیشنهادات خود را بر این اساس قرار دهم؟</v>
      </c>
      <c r="H10181" s="1"/>
      <c r="I10181" s="1"/>
      <c r="J10181" s="1"/>
      <c r="K10181" s="1"/>
      <c r="L10181" s="1"/>
      <c r="M10181" s="1"/>
      <c r="N10181" s="1"/>
      <c r="O10181" s="1"/>
      <c r="P10181" s="1"/>
      <c r="Q10181" s="1"/>
      <c r="R10181" s="1"/>
      <c r="S10181" s="1"/>
      <c r="T10181" s="1"/>
      <c r="U10181" s="1"/>
      <c r="V10181" s="1"/>
      <c r="W10181" s="1"/>
      <c r="X10181" s="1"/>
      <c r="Y10181" s="1"/>
      <c r="Z10181" s="1"/>
      <c r="AA10181" s="1"/>
      <c r="AB10181" s="1"/>
    </row>
    <row r="10182" ht="50.25" customHeight="1">
      <c r="A10182" s="12">
        <v>10178.0</v>
      </c>
      <c r="B10182" s="13" t="s">
        <v>9604</v>
      </c>
      <c r="C10182" s="14" t="s">
        <v>10209</v>
      </c>
      <c r="D10182" s="1"/>
      <c r="E10182" s="1"/>
      <c r="F10182" s="1" t="str">
        <f>IFERROR(__xludf.DUMMYFUNCTION("GOOGLETRANSLATE(B10182, ""en"", ""fa"")
"),"موفقیت Etsy")</f>
        <v>موفقیت Etsy</v>
      </c>
      <c r="G10182" s="1" t="str">
        <f>IFERROR(__xludf.DUMMYFUNCTION("GOOGLETRANSLATE(C10182, ""en"", ""fa"")
"),"ملاحظات انجام تجزیه و تحلیل روند در بازارهای بین المللی برای شناسایی روندهای بین فرهنگی که می تواند پایگاه مشتریان هدف من را گسترش دهد چیست؟")</f>
        <v>ملاحظات انجام تجزیه و تحلیل روند در بازارهای بین المللی برای شناسایی روندهای بین فرهنگی که می تواند پایگاه مشتریان هدف من را گسترش دهد چیست؟</v>
      </c>
      <c r="H10182" s="1"/>
      <c r="I10182" s="1"/>
      <c r="J10182" s="1"/>
      <c r="K10182" s="1"/>
      <c r="L10182" s="1"/>
      <c r="M10182" s="1"/>
      <c r="N10182" s="1"/>
      <c r="O10182" s="1"/>
      <c r="P10182" s="1"/>
      <c r="Q10182" s="1"/>
      <c r="R10182" s="1"/>
      <c r="S10182" s="1"/>
      <c r="T10182" s="1"/>
      <c r="U10182" s="1"/>
      <c r="V10182" s="1"/>
      <c r="W10182" s="1"/>
      <c r="X10182" s="1"/>
      <c r="Y10182" s="1"/>
      <c r="Z10182" s="1"/>
      <c r="AA10182" s="1"/>
      <c r="AB10182" s="1"/>
    </row>
    <row r="10183" ht="50.25" customHeight="1">
      <c r="A10183" s="12">
        <v>10179.0</v>
      </c>
      <c r="B10183" s="13" t="s">
        <v>9604</v>
      </c>
      <c r="C10183" s="14" t="s">
        <v>10210</v>
      </c>
      <c r="D10183" s="1"/>
      <c r="E10183" s="1"/>
      <c r="F10183" s="1" t="str">
        <f>IFERROR(__xludf.DUMMYFUNCTION("GOOGLETRANSLATE(B10183, ""en"", ""fa"")
"),"موفقیت Etsy")</f>
        <v>موفقیت Etsy</v>
      </c>
      <c r="G10183" s="1" t="str">
        <f>IFERROR(__xludf.DUMMYFUNCTION("GOOGLETRANSLATE(C10183, ""en"", ""fa"")
"),"چگونه می توانم محتوای متمرکز بر روند، مانند پست های وبلاگ یا به روز رسانی رسانه های اجتماعی ایجاد کنم تا خود را به عنوان یک منبع آگاه معرفی کنم و مشتریانی را که به دنبال محصولات مد روز هستند جذب کنم؟")</f>
        <v>چگونه می توانم محتوای متمرکز بر روند، مانند پست های وبلاگ یا به روز رسانی رسانه های اجتماعی ایجاد کنم تا خود را به عنوان یک منبع آگاه معرفی کنم و مشتریانی را که به دنبال محصولات مد روز هستند جذب کنم؟</v>
      </c>
      <c r="H10183" s="1"/>
      <c r="I10183" s="1"/>
      <c r="J10183" s="1"/>
      <c r="K10183" s="1"/>
      <c r="L10183" s="1"/>
      <c r="M10183" s="1"/>
      <c r="N10183" s="1"/>
      <c r="O10183" s="1"/>
      <c r="P10183" s="1"/>
      <c r="Q10183" s="1"/>
      <c r="R10183" s="1"/>
      <c r="S10183" s="1"/>
      <c r="T10183" s="1"/>
      <c r="U10183" s="1"/>
      <c r="V10183" s="1"/>
      <c r="W10183" s="1"/>
      <c r="X10183" s="1"/>
      <c r="Y10183" s="1"/>
      <c r="Z10183" s="1"/>
      <c r="AA10183" s="1"/>
      <c r="AB10183" s="1"/>
    </row>
    <row r="10184" ht="50.25" customHeight="1">
      <c r="A10184" s="12">
        <v>10180.0</v>
      </c>
      <c r="B10184" s="13" t="s">
        <v>9604</v>
      </c>
      <c r="C10184" s="14" t="s">
        <v>10211</v>
      </c>
      <c r="D10184" s="1"/>
      <c r="E10184" s="1"/>
      <c r="F10184" s="1" t="str">
        <f>IFERROR(__xludf.DUMMYFUNCTION("GOOGLETRANSLATE(B10184, ""en"", ""fa"")
"),"موفقیت Etsy")</f>
        <v>موفقیت Etsy</v>
      </c>
      <c r="G10184" s="1" t="str">
        <f>IFERROR(__xludf.DUMMYFUNCTION("GOOGLETRANSLATE(C10184, ""en"", ""fa"")
"),"بهترین روش‌ها برای تطبیق عکاسی یا ارائه بصری محصول من برای منعکس‌کننده روندهای فعلی و جذاب‌تر کردن فهرست‌های Etsy من برای خریداران بالقوه چیست؟")</f>
        <v>بهترین روش‌ها برای تطبیق عکاسی یا ارائه بصری محصول من برای منعکس‌کننده روندهای فعلی و جذاب‌تر کردن فهرست‌های Etsy من برای خریداران بالقوه چیست؟</v>
      </c>
      <c r="H10184" s="1"/>
      <c r="I10184" s="1"/>
      <c r="J10184" s="1"/>
      <c r="K10184" s="1"/>
      <c r="L10184" s="1"/>
      <c r="M10184" s="1"/>
      <c r="N10184" s="1"/>
      <c r="O10184" s="1"/>
      <c r="P10184" s="1"/>
      <c r="Q10184" s="1"/>
      <c r="R10184" s="1"/>
      <c r="S10184" s="1"/>
      <c r="T10184" s="1"/>
      <c r="U10184" s="1"/>
      <c r="V10184" s="1"/>
      <c r="W10184" s="1"/>
      <c r="X10184" s="1"/>
      <c r="Y10184" s="1"/>
      <c r="Z10184" s="1"/>
      <c r="AA10184" s="1"/>
      <c r="AB10184" s="1"/>
    </row>
    <row r="10185" ht="50.25" customHeight="1">
      <c r="A10185" s="12">
        <v>10181.0</v>
      </c>
      <c r="B10185" s="13" t="s">
        <v>9604</v>
      </c>
      <c r="C10185" s="14" t="s">
        <v>10212</v>
      </c>
      <c r="D10185" s="1"/>
      <c r="E10185" s="1"/>
      <c r="F10185" s="1" t="str">
        <f>IFERROR(__xludf.DUMMYFUNCTION("GOOGLETRANSLATE(B10185, ""en"", ""fa"")
"),"موفقیت Etsy")</f>
        <v>موفقیت Etsy</v>
      </c>
      <c r="G10185" s="1" t="str">
        <f>IFERROR(__xludf.DUMMYFUNCTION("GOOGLETRANSLATE(C10185, ""en"", ""fa"")
"),"چگونه می توانم با اینفلوئنسرهای صنعت ارتباط برقرار کنم، در نمایشگاه های تجاری شرکت کنم یا در انجمن های مرتبط شرکت کنم تا از روندهای نوظهور در Etsy خود مطلع شوم؟")</f>
        <v>چگونه می توانم با اینفلوئنسرهای صنعت ارتباط برقرار کنم، در نمایشگاه های تجاری شرکت کنم یا در انجمن های مرتبط شرکت کنم تا از روندهای نوظهور در Etsy خود مطلع شوم؟</v>
      </c>
      <c r="H10185" s="1"/>
      <c r="I10185" s="1"/>
      <c r="J10185" s="1"/>
      <c r="K10185" s="1"/>
      <c r="L10185" s="1"/>
      <c r="M10185" s="1"/>
      <c r="N10185" s="1"/>
      <c r="O10185" s="1"/>
      <c r="P10185" s="1"/>
      <c r="Q10185" s="1"/>
      <c r="R10185" s="1"/>
      <c r="S10185" s="1"/>
      <c r="T10185" s="1"/>
      <c r="U10185" s="1"/>
      <c r="V10185" s="1"/>
      <c r="W10185" s="1"/>
      <c r="X10185" s="1"/>
      <c r="Y10185" s="1"/>
      <c r="Z10185" s="1"/>
      <c r="AA10185" s="1"/>
      <c r="AB10185" s="1"/>
    </row>
    <row r="10186" ht="50.25" customHeight="1">
      <c r="A10186" s="12">
        <v>10182.0</v>
      </c>
      <c r="B10186" s="13" t="s">
        <v>9604</v>
      </c>
      <c r="C10186" s="14" t="s">
        <v>10213</v>
      </c>
      <c r="D10186" s="1"/>
      <c r="E10186" s="1"/>
      <c r="F10186" s="1" t="str">
        <f>IFERROR(__xludf.DUMMYFUNCTION("GOOGLETRANSLATE(B10186, ""en"", ""fa"")
"),"موفقیت Etsy")</f>
        <v>موفقیت Etsy</v>
      </c>
      <c r="G10186" s="1" t="str">
        <f>IFERROR(__xludf.DUMMYFUNCTION("GOOGLETRANSLATE(C10186, ""en"", ""fa"")
"),"استراتژی‌های همکاری با سایر فروشندگان یا صنعتگران Etsy برای ایجاد بسته‌های محصول متمرکز بر روند یا مجموعه‌های سرپرستی که برای مشتریان گسترده‌تری جذاب است، چیست؟")</f>
        <v>استراتژی‌های همکاری با سایر فروشندگان یا صنعتگران Etsy برای ایجاد بسته‌های محصول متمرکز بر روند یا مجموعه‌های سرپرستی که برای مشتریان گسترده‌تری جذاب است، چیست؟</v>
      </c>
      <c r="H10186" s="1"/>
      <c r="I10186" s="1"/>
      <c r="J10186" s="1"/>
      <c r="K10186" s="1"/>
      <c r="L10186" s="1"/>
      <c r="M10186" s="1"/>
      <c r="N10186" s="1"/>
      <c r="O10186" s="1"/>
      <c r="P10186" s="1"/>
      <c r="Q10186" s="1"/>
      <c r="R10186" s="1"/>
      <c r="S10186" s="1"/>
      <c r="T10186" s="1"/>
      <c r="U10186" s="1"/>
      <c r="V10186" s="1"/>
      <c r="W10186" s="1"/>
      <c r="X10186" s="1"/>
      <c r="Y10186" s="1"/>
      <c r="Z10186" s="1"/>
      <c r="AA10186" s="1"/>
      <c r="AB10186" s="1"/>
    </row>
    <row r="10187" ht="50.25" customHeight="1">
      <c r="A10187" s="12">
        <v>10183.0</v>
      </c>
      <c r="B10187" s="13" t="s">
        <v>9604</v>
      </c>
      <c r="C10187" s="14" t="s">
        <v>10214</v>
      </c>
      <c r="D10187" s="1"/>
      <c r="E10187" s="1"/>
      <c r="F10187" s="1" t="str">
        <f>IFERROR(__xludf.DUMMYFUNCTION("GOOGLETRANSLATE(B10187, ""en"", ""fa"")
"),"موفقیت Etsy")</f>
        <v>موفقیت Etsy</v>
      </c>
      <c r="G10187" s="1" t="str">
        <f>IFERROR(__xludf.DUMMYFUNCTION("GOOGLETRANSLATE(C10187, ""en"", ""fa"")
"),"چگونه می توانم از بازخوردها و نظرات مشتریان برای شناسایی گرایش ها در ترجیحات آنها و تطبیق پیشنهادات محصول خود برای رفع نیازهای در حال تحول آنها استفاده کنم؟")</f>
        <v>چگونه می توانم از بازخوردها و نظرات مشتریان برای شناسایی گرایش ها در ترجیحات آنها و تطبیق پیشنهادات محصول خود برای رفع نیازهای در حال تحول آنها استفاده کنم؟</v>
      </c>
      <c r="H10187" s="1"/>
      <c r="I10187" s="1"/>
      <c r="J10187" s="1"/>
      <c r="K10187" s="1"/>
      <c r="L10187" s="1"/>
      <c r="M10187" s="1"/>
      <c r="N10187" s="1"/>
      <c r="O10187" s="1"/>
      <c r="P10187" s="1"/>
      <c r="Q10187" s="1"/>
      <c r="R10187" s="1"/>
      <c r="S10187" s="1"/>
      <c r="T10187" s="1"/>
      <c r="U10187" s="1"/>
      <c r="V10187" s="1"/>
      <c r="W10187" s="1"/>
      <c r="X10187" s="1"/>
      <c r="Y10187" s="1"/>
      <c r="Z10187" s="1"/>
      <c r="AA10187" s="1"/>
      <c r="AB10187" s="1"/>
    </row>
    <row r="10188" ht="50.25" customHeight="1">
      <c r="A10188" s="12">
        <v>10184.0</v>
      </c>
      <c r="B10188" s="13" t="s">
        <v>9604</v>
      </c>
      <c r="C10188" s="14" t="s">
        <v>10215</v>
      </c>
      <c r="D10188" s="1"/>
      <c r="E10188" s="1"/>
      <c r="F10188" s="1" t="str">
        <f>IFERROR(__xludf.DUMMYFUNCTION("GOOGLETRANSLATE(B10188, ""en"", ""fa"")
"),"موفقیت Etsy")</f>
        <v>موفقیت Etsy</v>
      </c>
      <c r="G10188" s="1" t="str">
        <f>IFERROR(__xludf.DUMMYFUNCTION("GOOGLETRANSLATE(C10188, ""en"", ""fa"")
"),"ملاحظات برای گنجاندن روندها در نام تجاری و پیام‌رسانی فروشگاه Etsy من برای ایجاد یک تجربه برند منسجم و جذاب برای مشتریان چیست؟")</f>
        <v>ملاحظات برای گنجاندن روندها در نام تجاری و پیام‌رسانی فروشگاه Etsy من برای ایجاد یک تجربه برند منسجم و جذاب برای مشتریان چیست؟</v>
      </c>
      <c r="H10188" s="1"/>
      <c r="I10188" s="1"/>
      <c r="J10188" s="1"/>
      <c r="K10188" s="1"/>
      <c r="L10188" s="1"/>
      <c r="M10188" s="1"/>
      <c r="N10188" s="1"/>
      <c r="O10188" s="1"/>
      <c r="P10188" s="1"/>
      <c r="Q10188" s="1"/>
      <c r="R10188" s="1"/>
      <c r="S10188" s="1"/>
      <c r="T10188" s="1"/>
      <c r="U10188" s="1"/>
      <c r="V10188" s="1"/>
      <c r="W10188" s="1"/>
      <c r="X10188" s="1"/>
      <c r="Y10188" s="1"/>
      <c r="Z10188" s="1"/>
      <c r="AA10188" s="1"/>
      <c r="AB10188" s="1"/>
    </row>
    <row r="10189" ht="50.25" customHeight="1">
      <c r="A10189" s="12">
        <v>10185.0</v>
      </c>
      <c r="B10189" s="13" t="s">
        <v>9604</v>
      </c>
      <c r="C10189" s="14" t="s">
        <v>10216</v>
      </c>
      <c r="D10189" s="1"/>
      <c r="E10189" s="1"/>
      <c r="F10189" s="1" t="str">
        <f>IFERROR(__xludf.DUMMYFUNCTION("GOOGLETRANSLATE(B10189, ""en"", ""fa"")
"),"موفقیت Etsy")</f>
        <v>موفقیت Etsy</v>
      </c>
      <c r="G10189" s="1" t="str">
        <f>IFERROR(__xludf.DUMMYFUNCTION("GOOGLETRANSLATE(C10189, ""en"", ""fa"")
"),"چگونه می‌توانم تحقیقات کلمات کلیدی را انجام دهم و عبارات جستجوی پرطرفدار را در فهرست‌های فروشگاه Etsy خود بگنجانم تا دید را افزایش داده و مشتریانی را که در جستجوی محصولات مد روز هستند، جذب کنم؟")</f>
        <v>چگونه می‌توانم تحقیقات کلمات کلیدی را انجام دهم و عبارات جستجوی پرطرفدار را در فهرست‌های فروشگاه Etsy خود بگنجانم تا دید را افزایش داده و مشتریانی را که در جستجوی محصولات مد روز هستند، جذب کنم؟</v>
      </c>
      <c r="H10189" s="1"/>
      <c r="I10189" s="1"/>
      <c r="J10189" s="1"/>
      <c r="K10189" s="1"/>
      <c r="L10189" s="1"/>
      <c r="M10189" s="1"/>
      <c r="N10189" s="1"/>
      <c r="O10189" s="1"/>
      <c r="P10189" s="1"/>
      <c r="Q10189" s="1"/>
      <c r="R10189" s="1"/>
      <c r="S10189" s="1"/>
      <c r="T10189" s="1"/>
      <c r="U10189" s="1"/>
      <c r="V10189" s="1"/>
      <c r="W10189" s="1"/>
      <c r="X10189" s="1"/>
      <c r="Y10189" s="1"/>
      <c r="Z10189" s="1"/>
      <c r="AA10189" s="1"/>
      <c r="AB10189" s="1"/>
    </row>
    <row r="10190" ht="50.25" customHeight="1">
      <c r="A10190" s="12">
        <v>10186.0</v>
      </c>
      <c r="B10190" s="13" t="s">
        <v>9604</v>
      </c>
      <c r="C10190" s="14" t="s">
        <v>10217</v>
      </c>
      <c r="D10190" s="1"/>
      <c r="E10190" s="1"/>
      <c r="F10190" s="1" t="str">
        <f>IFERROR(__xludf.DUMMYFUNCTION("GOOGLETRANSLATE(B10190, ""en"", ""fa"")
"),"موفقیت Etsy")</f>
        <v>موفقیت Etsy</v>
      </c>
      <c r="G10190" s="1" t="str">
        <f>IFERROR(__xludf.DUMMYFUNCTION("GOOGLETRANSLATE(C10190, ""en"", ""fa"")
"),"استراتژی‌هایی برای شناسایی گرایش‌های خرد یا گرایش‌های خاص در Etsy من و استفاده از آنها برای متمایز کردن پیشنهادات من و جذب پایگاه مشتری هدفمند چیست؟")</f>
        <v>استراتژی‌هایی برای شناسایی گرایش‌های خرد یا گرایش‌های خاص در Etsy من و استفاده از آنها برای متمایز کردن پیشنهادات من و جذب پایگاه مشتری هدفمند چیست؟</v>
      </c>
      <c r="H10190" s="1"/>
      <c r="I10190" s="1"/>
      <c r="J10190" s="1"/>
      <c r="K10190" s="1"/>
      <c r="L10190" s="1"/>
      <c r="M10190" s="1"/>
      <c r="N10190" s="1"/>
      <c r="O10190" s="1"/>
      <c r="P10190" s="1"/>
      <c r="Q10190" s="1"/>
      <c r="R10190" s="1"/>
      <c r="S10190" s="1"/>
      <c r="T10190" s="1"/>
      <c r="U10190" s="1"/>
      <c r="V10190" s="1"/>
      <c r="W10190" s="1"/>
      <c r="X10190" s="1"/>
      <c r="Y10190" s="1"/>
      <c r="Z10190" s="1"/>
      <c r="AA10190" s="1"/>
      <c r="AB10190" s="1"/>
    </row>
    <row r="10191" ht="50.25" customHeight="1">
      <c r="A10191" s="12">
        <v>10187.0</v>
      </c>
      <c r="B10191" s="13" t="s">
        <v>9604</v>
      </c>
      <c r="C10191" s="14" t="s">
        <v>10218</v>
      </c>
      <c r="D10191" s="1"/>
      <c r="E10191" s="1"/>
      <c r="F10191" s="1" t="str">
        <f>IFERROR(__xludf.DUMMYFUNCTION("GOOGLETRANSLATE(B10191, ""en"", ""fa"")
"),"موفقیت Etsy")</f>
        <v>موفقیت Etsy</v>
      </c>
      <c r="G10191" s="1" t="str">
        <f>IFERROR(__xludf.DUMMYFUNCTION("GOOGLETRANSLATE(C10191, ""en"", ""fa"")
"),"چگونه می توانم از همکاری های اینفلوئنسرها یا محتوای حمایت شده برای نمایش محصولات Etsy خود در چارچوب روندهای فعلی استفاده کنم و به مخاطبان گسترده تری دست یابم؟")</f>
        <v>چگونه می توانم از همکاری های اینفلوئنسرها یا محتوای حمایت شده برای نمایش محصولات Etsy خود در چارچوب روندهای فعلی استفاده کنم و به مخاطبان گسترده تری دست یابم؟</v>
      </c>
      <c r="H10191" s="1"/>
      <c r="I10191" s="1"/>
      <c r="J10191" s="1"/>
      <c r="K10191" s="1"/>
      <c r="L10191" s="1"/>
      <c r="M10191" s="1"/>
      <c r="N10191" s="1"/>
      <c r="O10191" s="1"/>
      <c r="P10191" s="1"/>
      <c r="Q10191" s="1"/>
      <c r="R10191" s="1"/>
      <c r="S10191" s="1"/>
      <c r="T10191" s="1"/>
      <c r="U10191" s="1"/>
      <c r="V10191" s="1"/>
      <c r="W10191" s="1"/>
      <c r="X10191" s="1"/>
      <c r="Y10191" s="1"/>
      <c r="Z10191" s="1"/>
      <c r="AA10191" s="1"/>
      <c r="AB10191" s="1"/>
    </row>
    <row r="10192" ht="50.25" customHeight="1">
      <c r="A10192" s="12">
        <v>10188.0</v>
      </c>
      <c r="B10192" s="13" t="s">
        <v>9604</v>
      </c>
      <c r="C10192" s="14" t="s">
        <v>10219</v>
      </c>
      <c r="D10192" s="1"/>
      <c r="E10192" s="1"/>
      <c r="F10192" s="1" t="str">
        <f>IFERROR(__xludf.DUMMYFUNCTION("GOOGLETRANSLATE(B10192, ""en"", ""fa"")
"),"موفقیت Etsy")</f>
        <v>موفقیت Etsy</v>
      </c>
      <c r="G10192" s="1" t="str">
        <f>IFERROR(__xludf.DUMMYFUNCTION("GOOGLETRANSLATE(C10192, ""en"", ""fa"")
"),"ملاحظات برای تجزیه و تحلیل گزارش های بازار، انتشارات صنعت، یا آژانس های پیش بینی روند برای به دست آوردن بینش در مورد روندهای مصرف کننده گسترده تر و تطبیق استراتژی تجاری Etsy من بر این اساس چیست؟")</f>
        <v>ملاحظات برای تجزیه و تحلیل گزارش های بازار، انتشارات صنعت، یا آژانس های پیش بینی روند برای به دست آوردن بینش در مورد روندهای مصرف کننده گسترده تر و تطبیق استراتژی تجاری Etsy من بر این اساس چیست؟</v>
      </c>
      <c r="H10192" s="1"/>
      <c r="I10192" s="1"/>
      <c r="J10192" s="1"/>
      <c r="K10192" s="1"/>
      <c r="L10192" s="1"/>
      <c r="M10192" s="1"/>
      <c r="N10192" s="1"/>
      <c r="O10192" s="1"/>
      <c r="P10192" s="1"/>
      <c r="Q10192" s="1"/>
      <c r="R10192" s="1"/>
      <c r="S10192" s="1"/>
      <c r="T10192" s="1"/>
      <c r="U10192" s="1"/>
      <c r="V10192" s="1"/>
      <c r="W10192" s="1"/>
      <c r="X10192" s="1"/>
      <c r="Y10192" s="1"/>
      <c r="Z10192" s="1"/>
      <c r="AA10192" s="1"/>
      <c r="AB10192" s="1"/>
    </row>
    <row r="10193" ht="50.25" customHeight="1">
      <c r="A10193" s="12">
        <v>10189.0</v>
      </c>
      <c r="B10193" s="13" t="s">
        <v>9604</v>
      </c>
      <c r="C10193" s="14" t="s">
        <v>10220</v>
      </c>
      <c r="D10193" s="1"/>
      <c r="E10193" s="1"/>
      <c r="F10193" s="1" t="str">
        <f>IFERROR(__xludf.DUMMYFUNCTION("GOOGLETRANSLATE(B10193, ""en"", ""fa"")
"),"موفقیت Etsy")</f>
        <v>موفقیت Etsy</v>
      </c>
      <c r="G10193" s="1" t="str">
        <f>IFERROR(__xludf.DUMMYFUNCTION("GOOGLETRANSLATE(C10193, ""en"", ""fa"")
"),"چگونه می توانم از تجزیه و تحلیل داده ها و معیارهای فروشگاه Etsy برای پیگیری عملکرد محصولات الهام گرفته از روند و بهینه سازی پیشنهاداتم بر اساس پاسخ و تقاضای مشتری استفاده کنم؟")</f>
        <v>چگونه می توانم از تجزیه و تحلیل داده ها و معیارهای فروشگاه Etsy برای پیگیری عملکرد محصولات الهام گرفته از روند و بهینه سازی پیشنهاداتم بر اساس پاسخ و تقاضای مشتری استفاده کنم؟</v>
      </c>
      <c r="H10193" s="1"/>
      <c r="I10193" s="1"/>
      <c r="J10193" s="1"/>
      <c r="K10193" s="1"/>
      <c r="L10193" s="1"/>
      <c r="M10193" s="1"/>
      <c r="N10193" s="1"/>
      <c r="O10193" s="1"/>
      <c r="P10193" s="1"/>
      <c r="Q10193" s="1"/>
      <c r="R10193" s="1"/>
      <c r="S10193" s="1"/>
      <c r="T10193" s="1"/>
      <c r="U10193" s="1"/>
      <c r="V10193" s="1"/>
      <c r="W10193" s="1"/>
      <c r="X10193" s="1"/>
      <c r="Y10193" s="1"/>
      <c r="Z10193" s="1"/>
      <c r="AA10193" s="1"/>
      <c r="AB10193" s="1"/>
    </row>
    <row r="10194" ht="50.25" customHeight="1">
      <c r="A10194" s="12">
        <v>10190.0</v>
      </c>
      <c r="B10194" s="13" t="s">
        <v>9604</v>
      </c>
      <c r="C10194" s="14" t="s">
        <v>10221</v>
      </c>
      <c r="D10194" s="1"/>
      <c r="E10194" s="1"/>
      <c r="F10194" s="1" t="str">
        <f>IFERROR(__xludf.DUMMYFUNCTION("GOOGLETRANSLATE(B10194, ""en"", ""fa"")
"),"موفقیت Etsy")</f>
        <v>موفقیت Etsy</v>
      </c>
      <c r="G10194" s="1" t="str">
        <f>IFERROR(__xludf.DUMMYFUNCTION("GOOGLETRANSLATE(C10194, ""en"", ""fa"")
"),"بهترین شیوه ها برای ترکیب عناصر الهام گرفته از روند در بسته بندی محصول یا مواد برند من برای ایجاد یک تجربه برند به یاد ماندنی و منسجم برای مشتریان چیست؟")</f>
        <v>بهترین شیوه ها برای ترکیب عناصر الهام گرفته از روند در بسته بندی محصول یا مواد برند من برای ایجاد یک تجربه برند به یاد ماندنی و منسجم برای مشتریان چیست؟</v>
      </c>
      <c r="H10194" s="1"/>
      <c r="I10194" s="1"/>
      <c r="J10194" s="1"/>
      <c r="K10194" s="1"/>
      <c r="L10194" s="1"/>
      <c r="M10194" s="1"/>
      <c r="N10194" s="1"/>
      <c r="O10194" s="1"/>
      <c r="P10194" s="1"/>
      <c r="Q10194" s="1"/>
      <c r="R10194" s="1"/>
      <c r="S10194" s="1"/>
      <c r="T10194" s="1"/>
      <c r="U10194" s="1"/>
      <c r="V10194" s="1"/>
      <c r="W10194" s="1"/>
      <c r="X10194" s="1"/>
      <c r="Y10194" s="1"/>
      <c r="Z10194" s="1"/>
      <c r="AA10194" s="1"/>
      <c r="AB10194" s="1"/>
    </row>
    <row r="10195" ht="50.25" customHeight="1">
      <c r="A10195" s="12">
        <v>10191.0</v>
      </c>
      <c r="B10195" s="13" t="s">
        <v>9604</v>
      </c>
      <c r="C10195" s="14" t="s">
        <v>10222</v>
      </c>
      <c r="D10195" s="1"/>
      <c r="E10195" s="1"/>
      <c r="F10195" s="1" t="str">
        <f>IFERROR(__xludf.DUMMYFUNCTION("GOOGLETRANSLATE(B10195, ""en"", ""fa"")
"),"موفقیت Etsy")</f>
        <v>موفقیت Etsy</v>
      </c>
      <c r="G10195" s="1" t="str">
        <f>IFERROR(__xludf.DUMMYFUNCTION("GOOGLETRANSLATE(C10195, ""en"", ""fa"")
"),"چگونه می‌توانم محتوای رسانه‌های اجتماعی جذاب و متمرکز بر روند، مانند آموزش‌ها، لوک‌بوک‌ها یا راهنماهای سبک ایجاد کنم تا تطبیق‌پذیری و جذابیت محصولات Etsy خود را به نمایش بگذارم؟")</f>
        <v>چگونه می‌توانم محتوای رسانه‌های اجتماعی جذاب و متمرکز بر روند، مانند آموزش‌ها، لوک‌بوک‌ها یا راهنماهای سبک ایجاد کنم تا تطبیق‌پذیری و جذابیت محصولات Etsy خود را به نمایش بگذارم؟</v>
      </c>
      <c r="H10195" s="1"/>
      <c r="I10195" s="1"/>
      <c r="J10195" s="1"/>
      <c r="K10195" s="1"/>
      <c r="L10195" s="1"/>
      <c r="M10195" s="1"/>
      <c r="N10195" s="1"/>
      <c r="O10195" s="1"/>
      <c r="P10195" s="1"/>
      <c r="Q10195" s="1"/>
      <c r="R10195" s="1"/>
      <c r="S10195" s="1"/>
      <c r="T10195" s="1"/>
      <c r="U10195" s="1"/>
      <c r="V10195" s="1"/>
      <c r="W10195" s="1"/>
      <c r="X10195" s="1"/>
      <c r="Y10195" s="1"/>
      <c r="Z10195" s="1"/>
      <c r="AA10195" s="1"/>
      <c r="AB10195" s="1"/>
    </row>
    <row r="10196" ht="50.25" customHeight="1">
      <c r="A10196" s="12">
        <v>10192.0</v>
      </c>
      <c r="B10196" s="13" t="s">
        <v>9604</v>
      </c>
      <c r="C10196" s="14" t="s">
        <v>10223</v>
      </c>
      <c r="D10196" s="1"/>
      <c r="E10196" s="1"/>
      <c r="F10196" s="1" t="str">
        <f>IFERROR(__xludf.DUMMYFUNCTION("GOOGLETRANSLATE(B10196, ""en"", ""fa"")
"),"موفقیت Etsy")</f>
        <v>موفقیت Etsy</v>
      </c>
      <c r="G10196" s="1" t="str">
        <f>IFERROR(__xludf.DUMMYFUNCTION("GOOGLETRANSLATE(C10196, ""en"", ""fa"")
"),"استراتژی‌هایی برای برنامه‌ریزی پیش‌رو و آماده‌سازی موجودی فروشگاه Etsy من برای هماهنگی با روندهای آینده و تقاضاهای فصلی چیست؟")</f>
        <v>استراتژی‌هایی برای برنامه‌ریزی پیش‌رو و آماده‌سازی موجودی فروشگاه Etsy من برای هماهنگی با روندهای آینده و تقاضاهای فصلی چیست؟</v>
      </c>
      <c r="H10196" s="1"/>
      <c r="I10196" s="1"/>
      <c r="J10196" s="1"/>
      <c r="K10196" s="1"/>
      <c r="L10196" s="1"/>
      <c r="M10196" s="1"/>
      <c r="N10196" s="1"/>
      <c r="O10196" s="1"/>
      <c r="P10196" s="1"/>
      <c r="Q10196" s="1"/>
      <c r="R10196" s="1"/>
      <c r="S10196" s="1"/>
      <c r="T10196" s="1"/>
      <c r="U10196" s="1"/>
      <c r="V10196" s="1"/>
      <c r="W10196" s="1"/>
      <c r="X10196" s="1"/>
      <c r="Y10196" s="1"/>
      <c r="Z10196" s="1"/>
      <c r="AA10196" s="1"/>
      <c r="AB10196" s="1"/>
    </row>
    <row r="10197" ht="50.25" customHeight="1">
      <c r="A10197" s="12">
        <v>10193.0</v>
      </c>
      <c r="B10197" s="13" t="s">
        <v>9604</v>
      </c>
      <c r="C10197" s="14" t="s">
        <v>10224</v>
      </c>
      <c r="D10197" s="1"/>
      <c r="E10197" s="1"/>
      <c r="F10197" s="1" t="str">
        <f>IFERROR(__xludf.DUMMYFUNCTION("GOOGLETRANSLATE(B10197, ""en"", ""fa"")
"),"موفقیت Etsy")</f>
        <v>موفقیت Etsy</v>
      </c>
      <c r="G10197" s="1" t="str">
        <f>IFERROR(__xludf.DUMMYFUNCTION("GOOGLETRANSLATE(C10197, ""en"", ""fa"")
"),"چگونه می توانم از پلتفرم های پیش بینی روند یا جوامع آنلاین برای ارتباط با فروشندگان همفکر و تبادل بینش در مورد روندهای نوظهور در جایگاه Etsy خود استفاده کنم؟")</f>
        <v>چگونه می توانم از پلتفرم های پیش بینی روند یا جوامع آنلاین برای ارتباط با فروشندگان همفکر و تبادل بینش در مورد روندهای نوظهور در جایگاه Etsy خود استفاده کنم؟</v>
      </c>
      <c r="H10197" s="1"/>
      <c r="I10197" s="1"/>
      <c r="J10197" s="1"/>
      <c r="K10197" s="1"/>
      <c r="L10197" s="1"/>
      <c r="M10197" s="1"/>
      <c r="N10197" s="1"/>
      <c r="O10197" s="1"/>
      <c r="P10197" s="1"/>
      <c r="Q10197" s="1"/>
      <c r="R10197" s="1"/>
      <c r="S10197" s="1"/>
      <c r="T10197" s="1"/>
      <c r="U10197" s="1"/>
      <c r="V10197" s="1"/>
      <c r="W10197" s="1"/>
      <c r="X10197" s="1"/>
      <c r="Y10197" s="1"/>
      <c r="Z10197" s="1"/>
      <c r="AA10197" s="1"/>
      <c r="AB10197" s="1"/>
    </row>
    <row r="10198" ht="50.25" customHeight="1">
      <c r="A10198" s="12">
        <v>10194.0</v>
      </c>
      <c r="B10198" s="13" t="s">
        <v>9604</v>
      </c>
      <c r="C10198" s="14" t="s">
        <v>10225</v>
      </c>
      <c r="D10198" s="1"/>
      <c r="E10198" s="1"/>
      <c r="F10198" s="1" t="str">
        <f>IFERROR(__xludf.DUMMYFUNCTION("GOOGLETRANSLATE(B10198, ""en"", ""fa"")
"),"موفقیت Etsy")</f>
        <v>موفقیت Etsy</v>
      </c>
      <c r="G10198" s="1" t="str">
        <f>IFERROR(__xludf.DUMMYFUNCTION("GOOGLETRANSLATE(C10198, ""en"", ""fa"")
"),"ملاحظات برای نظارت و تجزیه و تحلیل بازخورد مشتریان، بررسی ها و بحث های رسانه های اجتماعی برای شناسایی گرایش ها یا ترجیحات در حال ظهور چیست؟")</f>
        <v>ملاحظات برای نظارت و تجزیه و تحلیل بازخورد مشتریان، بررسی ها و بحث های رسانه های اجتماعی برای شناسایی گرایش ها یا ترجیحات در حال ظهور چیست؟</v>
      </c>
      <c r="H10198" s="1"/>
      <c r="I10198" s="1"/>
      <c r="J10198" s="1"/>
      <c r="K10198" s="1"/>
      <c r="L10198" s="1"/>
      <c r="M10198" s="1"/>
      <c r="N10198" s="1"/>
      <c r="O10198" s="1"/>
      <c r="P10198" s="1"/>
      <c r="Q10198" s="1"/>
      <c r="R10198" s="1"/>
      <c r="S10198" s="1"/>
      <c r="T10198" s="1"/>
      <c r="U10198" s="1"/>
      <c r="V10198" s="1"/>
      <c r="W10198" s="1"/>
      <c r="X10198" s="1"/>
      <c r="Y10198" s="1"/>
      <c r="Z10198" s="1"/>
      <c r="AA10198" s="1"/>
      <c r="AB10198" s="1"/>
    </row>
    <row r="10199" ht="50.25" customHeight="1">
      <c r="A10199" s="12">
        <v>10195.0</v>
      </c>
      <c r="B10199" s="13" t="s">
        <v>9604</v>
      </c>
      <c r="C10199" s="14" t="s">
        <v>10226</v>
      </c>
      <c r="D10199" s="1"/>
      <c r="E10199" s="1"/>
      <c r="F10199" s="1" t="str">
        <f>IFERROR(__xludf.DUMMYFUNCTION("GOOGLETRANSLATE(B10199, ""en"", ""fa"")
"),"موفقیت Etsy")</f>
        <v>موفقیت Etsy</v>
      </c>
      <c r="G10199" s="1" t="str">
        <f>IFERROR(__xludf.DUMMYFUNCTION("GOOGLETRANSLATE(C10199, ""en"", ""fa"")
"),"چگونه می توانم با صنعتگران، تامین کنندگان یا تولیدکنندگان محلی برای ایجاد محصولات متمرکز بر روند که گزینه های منحصر به فرد و منبع محلی را برای مشتریان ارائه می دهد، همکاری کنم؟")</f>
        <v>چگونه می توانم با صنعتگران، تامین کنندگان یا تولیدکنندگان محلی برای ایجاد محصولات متمرکز بر روند که گزینه های منحصر به فرد و منبع محلی را برای مشتریان ارائه می دهد، همکاری کنم؟</v>
      </c>
      <c r="H10199" s="1"/>
      <c r="I10199" s="1"/>
      <c r="J10199" s="1"/>
      <c r="K10199" s="1"/>
      <c r="L10199" s="1"/>
      <c r="M10199" s="1"/>
      <c r="N10199" s="1"/>
      <c r="O10199" s="1"/>
      <c r="P10199" s="1"/>
      <c r="Q10199" s="1"/>
      <c r="R10199" s="1"/>
      <c r="S10199" s="1"/>
      <c r="T10199" s="1"/>
      <c r="U10199" s="1"/>
      <c r="V10199" s="1"/>
      <c r="W10199" s="1"/>
      <c r="X10199" s="1"/>
      <c r="Y10199" s="1"/>
      <c r="Z10199" s="1"/>
      <c r="AA10199" s="1"/>
      <c r="AB10199" s="1"/>
    </row>
    <row r="10200" ht="50.25" customHeight="1">
      <c r="A10200" s="12">
        <v>10196.0</v>
      </c>
      <c r="B10200" s="13" t="s">
        <v>9604</v>
      </c>
      <c r="C10200" s="14" t="s">
        <v>10227</v>
      </c>
      <c r="D10200" s="1"/>
      <c r="E10200" s="1"/>
      <c r="F10200" s="1" t="str">
        <f>IFERROR(__xludf.DUMMYFUNCTION("GOOGLETRANSLATE(B10200, ""en"", ""fa"")
"),"موفقیت Etsy")</f>
        <v>موفقیت Etsy</v>
      </c>
      <c r="G10200" s="1" t="str">
        <f>IFERROR(__xludf.DUMMYFUNCTION("GOOGLETRANSLATE(C10200, ""en"", ""fa"")
"),"استراتژی‌هایی برای ایجاد بسته‌های محصول یا مجموعه‌های هدیه با الهام از روند که مجموعه‌ای از اقلام مکمل را به مشتریان ارائه می‌دهد چیست؟")</f>
        <v>استراتژی‌هایی برای ایجاد بسته‌های محصول یا مجموعه‌های هدیه با الهام از روند که مجموعه‌ای از اقلام مکمل را به مشتریان ارائه می‌دهد چیست؟</v>
      </c>
      <c r="H10200" s="1"/>
      <c r="I10200" s="1"/>
      <c r="J10200" s="1"/>
      <c r="K10200" s="1"/>
      <c r="L10200" s="1"/>
      <c r="M10200" s="1"/>
      <c r="N10200" s="1"/>
      <c r="O10200" s="1"/>
      <c r="P10200" s="1"/>
      <c r="Q10200" s="1"/>
      <c r="R10200" s="1"/>
      <c r="S10200" s="1"/>
      <c r="T10200" s="1"/>
      <c r="U10200" s="1"/>
      <c r="V10200" s="1"/>
      <c r="W10200" s="1"/>
      <c r="X10200" s="1"/>
      <c r="Y10200" s="1"/>
      <c r="Z10200" s="1"/>
      <c r="AA10200" s="1"/>
      <c r="AB10200" s="1"/>
    </row>
    <row r="10201" ht="50.25" customHeight="1">
      <c r="A10201" s="12">
        <v>10197.0</v>
      </c>
      <c r="B10201" s="13" t="s">
        <v>9604</v>
      </c>
      <c r="C10201" s="14" t="s">
        <v>10228</v>
      </c>
      <c r="D10201" s="1"/>
      <c r="E10201" s="1"/>
      <c r="F10201" s="1" t="str">
        <f>IFERROR(__xludf.DUMMYFUNCTION("GOOGLETRANSLATE(B10201, ""en"", ""fa"")
"),"موفقیت Etsy")</f>
        <v>موفقیت Etsy</v>
      </c>
      <c r="G10201" s="1" t="str">
        <f>IFERROR(__xludf.DUMMYFUNCTION("GOOGLETRANSLATE(C10201, ""en"", ""fa"")
"),"چگونه می توانم از محتوای تولید شده توسط مشتری، مانند عکس های کاربر یا توصیفات، استفاده کنم تا نشان دهم که چگونه محصولات Etsy من با روندهای فعلی هماهنگ هستند و خریداران بالقوه را تشویق می کنند؟")</f>
        <v>چگونه می توانم از محتوای تولید شده توسط مشتری، مانند عکس های کاربر یا توصیفات، استفاده کنم تا نشان دهم که چگونه محصولات Etsy من با روندهای فعلی هماهنگ هستند و خریداران بالقوه را تشویق می کنند؟</v>
      </c>
      <c r="H10201" s="1"/>
      <c r="I10201" s="1"/>
      <c r="J10201" s="1"/>
      <c r="K10201" s="1"/>
      <c r="L10201" s="1"/>
      <c r="M10201" s="1"/>
      <c r="N10201" s="1"/>
      <c r="O10201" s="1"/>
      <c r="P10201" s="1"/>
      <c r="Q10201" s="1"/>
      <c r="R10201" s="1"/>
      <c r="S10201" s="1"/>
      <c r="T10201" s="1"/>
      <c r="U10201" s="1"/>
      <c r="V10201" s="1"/>
      <c r="W10201" s="1"/>
      <c r="X10201" s="1"/>
      <c r="Y10201" s="1"/>
      <c r="Z10201" s="1"/>
      <c r="AA10201" s="1"/>
      <c r="AB10201" s="1"/>
    </row>
    <row r="10202" ht="50.25" customHeight="1">
      <c r="A10202" s="12">
        <v>10198.0</v>
      </c>
      <c r="B10202" s="13" t="s">
        <v>9604</v>
      </c>
      <c r="C10202" s="14" t="s">
        <v>10229</v>
      </c>
      <c r="D10202" s="1"/>
      <c r="E10202" s="1"/>
      <c r="F10202" s="1" t="str">
        <f>IFERROR(__xludf.DUMMYFUNCTION("GOOGLETRANSLATE(B10202, ""en"", ""fa"")
"),"موفقیت Etsy")</f>
        <v>موفقیت Etsy</v>
      </c>
      <c r="G10202" s="1" t="str">
        <f>IFERROR(__xludf.DUMMYFUNCTION("GOOGLETRANSLATE(C10202, ""en"", ""fa"")
"),"ملاحظات برای شرکت در رویدادهای فروش فصلی یا همکاری با سایر فروشندگان Etsy برای ایجاد حضور جمعی و افزایش فروش در دوره‌های اوج روند چیست؟")</f>
        <v>ملاحظات برای شرکت در رویدادهای فروش فصلی یا همکاری با سایر فروشندگان Etsy برای ایجاد حضور جمعی و افزایش فروش در دوره‌های اوج روند چیست؟</v>
      </c>
      <c r="H10202" s="1"/>
      <c r="I10202" s="1"/>
      <c r="J10202" s="1"/>
      <c r="K10202" s="1"/>
      <c r="L10202" s="1"/>
      <c r="M10202" s="1"/>
      <c r="N10202" s="1"/>
      <c r="O10202" s="1"/>
      <c r="P10202" s="1"/>
      <c r="Q10202" s="1"/>
      <c r="R10202" s="1"/>
      <c r="S10202" s="1"/>
      <c r="T10202" s="1"/>
      <c r="U10202" s="1"/>
      <c r="V10202" s="1"/>
      <c r="W10202" s="1"/>
      <c r="X10202" s="1"/>
      <c r="Y10202" s="1"/>
      <c r="Z10202" s="1"/>
      <c r="AA10202" s="1"/>
      <c r="AB10202" s="1"/>
    </row>
    <row r="10203" ht="50.25" customHeight="1">
      <c r="A10203" s="12">
        <v>10199.0</v>
      </c>
      <c r="B10203" s="13" t="s">
        <v>9604</v>
      </c>
      <c r="C10203" s="14" t="s">
        <v>10230</v>
      </c>
      <c r="D10203" s="1"/>
      <c r="E10203" s="1"/>
      <c r="F10203" s="1" t="str">
        <f>IFERROR(__xludf.DUMMYFUNCTION("GOOGLETRANSLATE(B10203, ""en"", ""fa"")
"),"موفقیت Etsy")</f>
        <v>موفقیت Etsy</v>
      </c>
      <c r="G10203" s="1" t="str">
        <f>IFERROR(__xludf.DUMMYFUNCTION("GOOGLETRANSLATE(C10203, ""en"", ""fa"")
"),"چگونه می‌توانم از طریق خبرنامه‌های متمرکز بر روند یا کمپین‌های ایمیلی، اشتراک‌گذاری بینش‌ها، نکات و توصیه‌های محصول همسو با روندهای فعلی، فعالانه با مشتریانم تعامل داشته باشم؟")</f>
        <v>چگونه می‌توانم از طریق خبرنامه‌های متمرکز بر روند یا کمپین‌های ایمیلی، اشتراک‌گذاری بینش‌ها، نکات و توصیه‌های محصول همسو با روندهای فعلی، فعالانه با مشتریانم تعامل داشته باشم؟</v>
      </c>
      <c r="H10203" s="1"/>
      <c r="I10203" s="1"/>
      <c r="J10203" s="1"/>
      <c r="K10203" s="1"/>
      <c r="L10203" s="1"/>
      <c r="M10203" s="1"/>
      <c r="N10203" s="1"/>
      <c r="O10203" s="1"/>
      <c r="P10203" s="1"/>
      <c r="Q10203" s="1"/>
      <c r="R10203" s="1"/>
      <c r="S10203" s="1"/>
      <c r="T10203" s="1"/>
      <c r="U10203" s="1"/>
      <c r="V10203" s="1"/>
      <c r="W10203" s="1"/>
      <c r="X10203" s="1"/>
      <c r="Y10203" s="1"/>
      <c r="Z10203" s="1"/>
      <c r="AA10203" s="1"/>
      <c r="AB10203" s="1"/>
    </row>
    <row r="10204" ht="50.25" customHeight="1">
      <c r="A10204" s="12">
        <v>10200.0</v>
      </c>
      <c r="B10204" s="13" t="s">
        <v>9604</v>
      </c>
      <c r="C10204" s="14" t="s">
        <v>10231</v>
      </c>
      <c r="D10204" s="1"/>
      <c r="E10204" s="1"/>
      <c r="F10204" s="1" t="str">
        <f>IFERROR(__xludf.DUMMYFUNCTION("GOOGLETRANSLATE(B10204, ""en"", ""fa"")
"),"موفقیت Etsy")</f>
        <v>موفقیت Etsy</v>
      </c>
      <c r="G10204" s="1" t="str">
        <f>IFERROR(__xludf.DUMMYFUNCTION("GOOGLETRANSLATE(C10204, ""en"", ""fa"")
"),"بهترین روش‌ها برای انجام تست A/B یا آزمایش انواع مختلف محصولات برای شناسایی موفق‌ترین پیشنهادات الهام‌گرفته از روند برای فروشگاه Etsy من چیست؟")</f>
        <v>بهترین روش‌ها برای انجام تست A/B یا آزمایش انواع مختلف محصولات برای شناسایی موفق‌ترین پیشنهادات الهام‌گرفته از روند برای فروشگاه Etsy من چیست؟</v>
      </c>
      <c r="H10204" s="1"/>
      <c r="I10204" s="1"/>
      <c r="J10204" s="1"/>
      <c r="K10204" s="1"/>
      <c r="L10204" s="1"/>
      <c r="M10204" s="1"/>
      <c r="N10204" s="1"/>
      <c r="O10204" s="1"/>
      <c r="P10204" s="1"/>
      <c r="Q10204" s="1"/>
      <c r="R10204" s="1"/>
      <c r="S10204" s="1"/>
      <c r="T10204" s="1"/>
      <c r="U10204" s="1"/>
      <c r="V10204" s="1"/>
      <c r="W10204" s="1"/>
      <c r="X10204" s="1"/>
      <c r="Y10204" s="1"/>
      <c r="Z10204" s="1"/>
      <c r="AA10204" s="1"/>
      <c r="AB10204" s="1"/>
    </row>
    <row r="10205" ht="50.25" customHeight="1">
      <c r="A10205" s="12">
        <v>10201.0</v>
      </c>
      <c r="B10205" s="13" t="s">
        <v>9604</v>
      </c>
      <c r="C10205" s="14" t="s">
        <v>10232</v>
      </c>
      <c r="D10205" s="1"/>
      <c r="E10205" s="1"/>
      <c r="F10205" s="1" t="str">
        <f>IFERROR(__xludf.DUMMYFUNCTION("GOOGLETRANSLATE(B10205, ""en"", ""fa"")
"),"موفقیت Etsy")</f>
        <v>موفقیت Etsy</v>
      </c>
      <c r="G10205" s="1" t="str">
        <f>IFERROR(__xludf.DUMMYFUNCTION("GOOGLETRANSLATE(C10205, ""en"", ""fa"")
"),"چگونه می توانم از تکنیک های داستان سرایی برای ارتباط محصولات Etsy خود با روندهای گسترده تر و ایجاد ارتباط عاطفی با مشتریان استفاده کنم؟")</f>
        <v>چگونه می توانم از تکنیک های داستان سرایی برای ارتباط محصولات Etsy خود با روندهای گسترده تر و ایجاد ارتباط عاطفی با مشتریان استفاده کنم؟</v>
      </c>
      <c r="H10205" s="1"/>
      <c r="I10205" s="1"/>
      <c r="J10205" s="1"/>
      <c r="K10205" s="1"/>
      <c r="L10205" s="1"/>
      <c r="M10205" s="1"/>
      <c r="N10205" s="1"/>
      <c r="O10205" s="1"/>
      <c r="P10205" s="1"/>
      <c r="Q10205" s="1"/>
      <c r="R10205" s="1"/>
      <c r="S10205" s="1"/>
      <c r="T10205" s="1"/>
      <c r="U10205" s="1"/>
      <c r="V10205" s="1"/>
      <c r="W10205" s="1"/>
      <c r="X10205" s="1"/>
      <c r="Y10205" s="1"/>
      <c r="Z10205" s="1"/>
      <c r="AA10205" s="1"/>
      <c r="AB10205" s="1"/>
    </row>
    <row r="10206" ht="50.25" customHeight="1">
      <c r="A10206" s="12">
        <v>10202.0</v>
      </c>
      <c r="B10206" s="13" t="s">
        <v>9604</v>
      </c>
      <c r="C10206" s="14" t="s">
        <v>10233</v>
      </c>
      <c r="D10206" s="1"/>
      <c r="E10206" s="1"/>
      <c r="F10206" s="1" t="str">
        <f>IFERROR(__xludf.DUMMYFUNCTION("GOOGLETRANSLATE(B10206, ""en"", ""fa"")
"),"موفقیت Etsy")</f>
        <v>موفقیت Etsy</v>
      </c>
      <c r="G10206" s="1" t="str">
        <f>IFERROR(__xludf.DUMMYFUNCTION("GOOGLETRANSLATE(C10206, ""en"", ""fa"")
"),"استراتژی‌هایی برای تطبیق توضیحات محصول و کلمات کلیدی من برای انعکاس روندهای فعلی و افزایش دیده شدن فهرست‌های Etsy من در نتایج جستجو چیست؟")</f>
        <v>استراتژی‌هایی برای تطبیق توضیحات محصول و کلمات کلیدی من برای انعکاس روندهای فعلی و افزایش دیده شدن فهرست‌های Etsy من در نتایج جستجو چیست؟</v>
      </c>
      <c r="H10206" s="1"/>
      <c r="I10206" s="1"/>
      <c r="J10206" s="1"/>
      <c r="K10206" s="1"/>
      <c r="L10206" s="1"/>
      <c r="M10206" s="1"/>
      <c r="N10206" s="1"/>
      <c r="O10206" s="1"/>
      <c r="P10206" s="1"/>
      <c r="Q10206" s="1"/>
      <c r="R10206" s="1"/>
      <c r="S10206" s="1"/>
      <c r="T10206" s="1"/>
      <c r="U10206" s="1"/>
      <c r="V10206" s="1"/>
      <c r="W10206" s="1"/>
      <c r="X10206" s="1"/>
      <c r="Y10206" s="1"/>
      <c r="Z10206" s="1"/>
      <c r="AA10206" s="1"/>
      <c r="AB10206" s="1"/>
    </row>
    <row r="10207" ht="50.25" customHeight="1">
      <c r="A10207" s="12">
        <v>10203.0</v>
      </c>
      <c r="B10207" s="13" t="s">
        <v>9604</v>
      </c>
      <c r="C10207" s="14" t="s">
        <v>10234</v>
      </c>
      <c r="D10207" s="1"/>
      <c r="E10207" s="1"/>
      <c r="F10207" s="1" t="str">
        <f>IFERROR(__xludf.DUMMYFUNCTION("GOOGLETRANSLATE(B10207, ""en"", ""fa"")
"),"موفقیت Etsy")</f>
        <v>موفقیت Etsy</v>
      </c>
      <c r="G10207" s="1" t="str">
        <f>IFERROR(__xludf.DUMMYFUNCTION("GOOGLETRANSLATE(C10207, ""en"", ""fa"")
"),"چگونه می توانم عناصر الهام گرفته از روند را در برند بصری فروشگاه Etsy خود، مانند طراحی لوگو یا تصاویر بنر، برای ایجاد یک زیبایی شناسی منسجم و مد روز، وارد کنم؟")</f>
        <v>چگونه می توانم عناصر الهام گرفته از روند را در برند بصری فروشگاه Etsy خود، مانند طراحی لوگو یا تصاویر بنر، برای ایجاد یک زیبایی شناسی منسجم و مد روز، وارد کنم؟</v>
      </c>
      <c r="H10207" s="1"/>
      <c r="I10207" s="1"/>
      <c r="J10207" s="1"/>
      <c r="K10207" s="1"/>
      <c r="L10207" s="1"/>
      <c r="M10207" s="1"/>
      <c r="N10207" s="1"/>
      <c r="O10207" s="1"/>
      <c r="P10207" s="1"/>
      <c r="Q10207" s="1"/>
      <c r="R10207" s="1"/>
      <c r="S10207" s="1"/>
      <c r="T10207" s="1"/>
      <c r="U10207" s="1"/>
      <c r="V10207" s="1"/>
      <c r="W10207" s="1"/>
      <c r="X10207" s="1"/>
      <c r="Y10207" s="1"/>
      <c r="Z10207" s="1"/>
      <c r="AA10207" s="1"/>
      <c r="AB10207" s="1"/>
    </row>
    <row r="10208" ht="50.25" customHeight="1">
      <c r="A10208" s="12">
        <v>10204.0</v>
      </c>
      <c r="B10208" s="13" t="s">
        <v>9604</v>
      </c>
      <c r="C10208" s="14" t="s">
        <v>10235</v>
      </c>
      <c r="D10208" s="1"/>
      <c r="E10208" s="1"/>
      <c r="F10208" s="1" t="str">
        <f>IFERROR(__xludf.DUMMYFUNCTION("GOOGLETRANSLATE(B10208, ""en"", ""fa"")
"),"موفقیت Etsy")</f>
        <v>موفقیت Etsy</v>
      </c>
      <c r="G10208" s="1" t="str">
        <f>IFERROR(__xludf.DUMMYFUNCTION("GOOGLETRANSLATE(C10208, ""en"", ""fa"")
"),"ملاحظات برای تحقیق و شناسایی عوامل یا شخصیت‌های تأثیرگذار در حوزه Etsy من برای به دست آوردن بینش در مورد روندهای نوظهور و تطبیق پیشنهادات من بر این اساس چیست؟")</f>
        <v>ملاحظات برای تحقیق و شناسایی عوامل یا شخصیت‌های تأثیرگذار در حوزه Etsy من برای به دست آوردن بینش در مورد روندهای نوظهور و تطبیق پیشنهادات من بر این اساس چیست؟</v>
      </c>
      <c r="H10208" s="1"/>
      <c r="I10208" s="1"/>
      <c r="J10208" s="1"/>
      <c r="K10208" s="1"/>
      <c r="L10208" s="1"/>
      <c r="M10208" s="1"/>
      <c r="N10208" s="1"/>
      <c r="O10208" s="1"/>
      <c r="P10208" s="1"/>
      <c r="Q10208" s="1"/>
      <c r="R10208" s="1"/>
      <c r="S10208" s="1"/>
      <c r="T10208" s="1"/>
      <c r="U10208" s="1"/>
      <c r="V10208" s="1"/>
      <c r="W10208" s="1"/>
      <c r="X10208" s="1"/>
      <c r="Y10208" s="1"/>
      <c r="Z10208" s="1"/>
      <c r="AA10208" s="1"/>
      <c r="AB10208" s="1"/>
    </row>
    <row r="10209" ht="50.25" customHeight="1">
      <c r="A10209" s="12">
        <v>10205.0</v>
      </c>
      <c r="B10209" s="13" t="s">
        <v>9604</v>
      </c>
      <c r="C10209" s="14" t="s">
        <v>10236</v>
      </c>
      <c r="D10209" s="1"/>
      <c r="E10209" s="1"/>
      <c r="F10209" s="1" t="str">
        <f>IFERROR(__xludf.DUMMYFUNCTION("GOOGLETRANSLATE(B10209, ""en"", ""fa"")
"),"موفقیت Etsy")</f>
        <v>موفقیت Etsy</v>
      </c>
      <c r="G10209" s="1" t="str">
        <f>IFERROR(__xludf.DUMMYFUNCTION("GOOGLETRANSLATE(C10209, ""en"", ""fa"")
"),"چگونه می توانم از محتوای تولید شده توسط کاربر استفاده کنم و مشتریان را تشویق کنم تا تجربیات الهام گرفته از روند خود را با محصولات من در رسانه های اجتماعی از طریق مسابقه یا هدایا به اشتراک بگذارند؟")</f>
        <v>چگونه می توانم از محتوای تولید شده توسط کاربر استفاده کنم و مشتریان را تشویق کنم تا تجربیات الهام گرفته از روند خود را با محصولات من در رسانه های اجتماعی از طریق مسابقه یا هدایا به اشتراک بگذارند؟</v>
      </c>
      <c r="H10209" s="1"/>
      <c r="I10209" s="1"/>
      <c r="J10209" s="1"/>
      <c r="K10209" s="1"/>
      <c r="L10209" s="1"/>
      <c r="M10209" s="1"/>
      <c r="N10209" s="1"/>
      <c r="O10209" s="1"/>
      <c r="P10209" s="1"/>
      <c r="Q10209" s="1"/>
      <c r="R10209" s="1"/>
      <c r="S10209" s="1"/>
      <c r="T10209" s="1"/>
      <c r="U10209" s="1"/>
      <c r="V10209" s="1"/>
      <c r="W10209" s="1"/>
      <c r="X10209" s="1"/>
      <c r="Y10209" s="1"/>
      <c r="Z10209" s="1"/>
      <c r="AA10209" s="1"/>
      <c r="AB10209" s="1"/>
    </row>
    <row r="10210" ht="50.25" customHeight="1">
      <c r="A10210" s="12">
        <v>10206.0</v>
      </c>
      <c r="B10210" s="13" t="s">
        <v>9604</v>
      </c>
      <c r="C10210" s="14" t="s">
        <v>10237</v>
      </c>
      <c r="D10210" s="1"/>
      <c r="E10210" s="1"/>
      <c r="F10210" s="1" t="str">
        <f>IFERROR(__xludf.DUMMYFUNCTION("GOOGLETRANSLATE(B10210, ""en"", ""fa"")
"),"موفقیت Etsy")</f>
        <v>موفقیت Etsy</v>
      </c>
      <c r="G10210" s="1" t="str">
        <f>IFERROR(__xludf.DUMMYFUNCTION("GOOGLETRANSLATE(C10210, ""en"", ""fa"")
"),"استراتژی‌های همکاری با سایر فروشندگان Etsy یا برندهای مکمل برای ایجاد کمپین‌های بازاریابی متمرکز بر روند یا تبلیغات مشترک چیست؟")</f>
        <v>استراتژی‌های همکاری با سایر فروشندگان Etsy یا برندهای مکمل برای ایجاد کمپین‌های بازاریابی متمرکز بر روند یا تبلیغات مشترک چیست؟</v>
      </c>
      <c r="H10210" s="1"/>
      <c r="I10210" s="1"/>
      <c r="J10210" s="1"/>
      <c r="K10210" s="1"/>
      <c r="L10210" s="1"/>
      <c r="M10210" s="1"/>
      <c r="N10210" s="1"/>
      <c r="O10210" s="1"/>
      <c r="P10210" s="1"/>
      <c r="Q10210" s="1"/>
      <c r="R10210" s="1"/>
      <c r="S10210" s="1"/>
      <c r="T10210" s="1"/>
      <c r="U10210" s="1"/>
      <c r="V10210" s="1"/>
      <c r="W10210" s="1"/>
      <c r="X10210" s="1"/>
      <c r="Y10210" s="1"/>
      <c r="Z10210" s="1"/>
      <c r="AA10210" s="1"/>
      <c r="AB10210" s="1"/>
    </row>
    <row r="10211" ht="50.25" customHeight="1">
      <c r="A10211" s="12">
        <v>10207.0</v>
      </c>
      <c r="B10211" s="13" t="s">
        <v>9604</v>
      </c>
      <c r="C10211" s="14" t="s">
        <v>10238</v>
      </c>
      <c r="D10211" s="1"/>
      <c r="E10211" s="1"/>
      <c r="F10211" s="1" t="str">
        <f>IFERROR(__xludf.DUMMYFUNCTION("GOOGLETRANSLATE(B10211, ""en"", ""fa"")
"),"موفقیت Etsy")</f>
        <v>موفقیت Etsy</v>
      </c>
      <c r="G10211" s="1" t="str">
        <f>IFERROR(__xludf.DUMMYFUNCTION("GOOGLETRANSLATE(C10211, ""en"", ""fa"")
"),"چگونه می توانم از روندهای گذشته و تأثیر آنها بر عملکرد فروشگاه Etsy خود برای پیش بینی های دقیق تر و تصمیم گیری های استراتژیک در آینده تجزیه و تحلیل و یاد بگیرم؟")</f>
        <v>چگونه می توانم از روندهای گذشته و تأثیر آنها بر عملکرد فروشگاه Etsy خود برای پیش بینی های دقیق تر و تصمیم گیری های استراتژیک در آینده تجزیه و تحلیل و یاد بگیرم؟</v>
      </c>
      <c r="H10211" s="1"/>
      <c r="I10211" s="1"/>
      <c r="J10211" s="1"/>
      <c r="K10211" s="1"/>
      <c r="L10211" s="1"/>
      <c r="M10211" s="1"/>
      <c r="N10211" s="1"/>
      <c r="O10211" s="1"/>
      <c r="P10211" s="1"/>
      <c r="Q10211" s="1"/>
      <c r="R10211" s="1"/>
      <c r="S10211" s="1"/>
      <c r="T10211" s="1"/>
      <c r="U10211" s="1"/>
      <c r="V10211" s="1"/>
      <c r="W10211" s="1"/>
      <c r="X10211" s="1"/>
      <c r="Y10211" s="1"/>
      <c r="Z10211" s="1"/>
      <c r="AA10211" s="1"/>
      <c r="AB10211" s="1"/>
    </row>
    <row r="10212" ht="50.25" customHeight="1">
      <c r="A10212" s="12">
        <v>10208.0</v>
      </c>
      <c r="B10212" s="13" t="s">
        <v>9604</v>
      </c>
      <c r="C10212" s="14" t="s">
        <v>10239</v>
      </c>
      <c r="D10212" s="1"/>
      <c r="E10212" s="1"/>
      <c r="F10212" s="1" t="str">
        <f>IFERROR(__xludf.DUMMYFUNCTION("GOOGLETRANSLATE(B10212, ""en"", ""fa"")
"),"موفقیت Etsy")</f>
        <v>موفقیت Etsy</v>
      </c>
      <c r="G10212" s="1" t="str">
        <f>IFERROR(__xludf.DUMMYFUNCTION("GOOGLETRANSLATE(C10212, ""en"", ""fa"")
"),"ملاحظات برای همسویی استراتژی قیمت گذاری فروشگاه Etsy من با روندهای فعلی بازار و درک مشتری از ارزش محصولات الهام گرفته از روند چیست؟")</f>
        <v>ملاحظات برای همسویی استراتژی قیمت گذاری فروشگاه Etsy من با روندهای فعلی بازار و درک مشتری از ارزش محصولات الهام گرفته از روند چیست؟</v>
      </c>
      <c r="H10212" s="1"/>
      <c r="I10212" s="1"/>
      <c r="J10212" s="1"/>
      <c r="K10212" s="1"/>
      <c r="L10212" s="1"/>
      <c r="M10212" s="1"/>
      <c r="N10212" s="1"/>
      <c r="O10212" s="1"/>
      <c r="P10212" s="1"/>
      <c r="Q10212" s="1"/>
      <c r="R10212" s="1"/>
      <c r="S10212" s="1"/>
      <c r="T10212" s="1"/>
      <c r="U10212" s="1"/>
      <c r="V10212" s="1"/>
      <c r="W10212" s="1"/>
      <c r="X10212" s="1"/>
      <c r="Y10212" s="1"/>
      <c r="Z10212" s="1"/>
      <c r="AA10212" s="1"/>
      <c r="AB10212" s="1"/>
    </row>
    <row r="10213" ht="50.25" customHeight="1">
      <c r="A10213" s="12">
        <v>10209.0</v>
      </c>
      <c r="B10213" s="13" t="s">
        <v>9604</v>
      </c>
      <c r="C10213" s="14" t="s">
        <v>10240</v>
      </c>
      <c r="D10213" s="1"/>
      <c r="E10213" s="1"/>
      <c r="F10213" s="1" t="str">
        <f>IFERROR(__xludf.DUMMYFUNCTION("GOOGLETRANSLATE(B10213, ""en"", ""fa"")
"),"موفقیت Etsy")</f>
        <v>موفقیت Etsy</v>
      </c>
      <c r="G10213" s="1" t="str">
        <f>IFERROR(__xludf.DUMMYFUNCTION("GOOGLETRANSLATE(C10213, ""en"", ""fa"")
"),"چگونه می توانم از ابزارها یا پلتفرم های گوش دادن اجتماعی برای نظارت بر مکالمات و روندهای مرتبط با جایگاه Etsy خود و جمع آوری بینش برای توسعه محصول یا استراتژی های بازاریابی استفاده کنم؟")</f>
        <v>چگونه می توانم از ابزارها یا پلتفرم های گوش دادن اجتماعی برای نظارت بر مکالمات و روندهای مرتبط با جایگاه Etsy خود و جمع آوری بینش برای توسعه محصول یا استراتژی های بازاریابی استفاده کنم؟</v>
      </c>
      <c r="H10213" s="1"/>
      <c r="I10213" s="1"/>
      <c r="J10213" s="1"/>
      <c r="K10213" s="1"/>
      <c r="L10213" s="1"/>
      <c r="M10213" s="1"/>
      <c r="N10213" s="1"/>
      <c r="O10213" s="1"/>
      <c r="P10213" s="1"/>
      <c r="Q10213" s="1"/>
      <c r="R10213" s="1"/>
      <c r="S10213" s="1"/>
      <c r="T10213" s="1"/>
      <c r="U10213" s="1"/>
      <c r="V10213" s="1"/>
      <c r="W10213" s="1"/>
      <c r="X10213" s="1"/>
      <c r="Y10213" s="1"/>
      <c r="Z10213" s="1"/>
      <c r="AA10213" s="1"/>
      <c r="AB10213" s="1"/>
    </row>
    <row r="10214" ht="50.25" customHeight="1">
      <c r="A10214" s="12">
        <v>10210.0</v>
      </c>
      <c r="B10214" s="13" t="s">
        <v>9604</v>
      </c>
      <c r="C10214" s="14" t="s">
        <v>10241</v>
      </c>
      <c r="D10214" s="1"/>
      <c r="E10214" s="1"/>
      <c r="F10214" s="1" t="str">
        <f>IFERROR(__xludf.DUMMYFUNCTION("GOOGLETRANSLATE(B10214, ""en"", ""fa"")
"),"موفقیت Etsy")</f>
        <v>موفقیت Etsy</v>
      </c>
      <c r="G10214" s="1" t="str">
        <f>IFERROR(__xludf.DUMMYFUNCTION("GOOGLETRANSLATE(C10214, ""en"", ""fa"")
"),"بهترین شیوه‌ها برای تطبیق برند بصری فروشگاه Etsy من، مانند طراحی لوگو یا بنر، برای منعکس کردن روندهای فعلی و جذابیت برای مخاطبان آگاه چیست؟")</f>
        <v>بهترین شیوه‌ها برای تطبیق برند بصری فروشگاه Etsy من، مانند طراحی لوگو یا بنر، برای منعکس کردن روندهای فعلی و جذابیت برای مخاطبان آگاه چیست؟</v>
      </c>
      <c r="H10214" s="1"/>
      <c r="I10214" s="1"/>
      <c r="J10214" s="1"/>
      <c r="K10214" s="1"/>
      <c r="L10214" s="1"/>
      <c r="M10214" s="1"/>
      <c r="N10214" s="1"/>
      <c r="O10214" s="1"/>
      <c r="P10214" s="1"/>
      <c r="Q10214" s="1"/>
      <c r="R10214" s="1"/>
      <c r="S10214" s="1"/>
      <c r="T10214" s="1"/>
      <c r="U10214" s="1"/>
      <c r="V10214" s="1"/>
      <c r="W10214" s="1"/>
      <c r="X10214" s="1"/>
      <c r="Y10214" s="1"/>
      <c r="Z10214" s="1"/>
      <c r="AA10214" s="1"/>
      <c r="AB10214" s="1"/>
    </row>
    <row r="10215" ht="50.25" customHeight="1">
      <c r="A10215" s="12">
        <v>10211.0</v>
      </c>
      <c r="B10215" s="13" t="s">
        <v>9604</v>
      </c>
      <c r="C10215" s="14" t="s">
        <v>10242</v>
      </c>
      <c r="D10215" s="1"/>
      <c r="E10215" s="1"/>
      <c r="F10215" s="1" t="str">
        <f>IFERROR(__xludf.DUMMYFUNCTION("GOOGLETRANSLATE(B10215, ""en"", ""fa"")
"),"موفقیت Etsy")</f>
        <v>موفقیت Etsy</v>
      </c>
      <c r="G10215" s="1" t="str">
        <f>IFERROR(__xludf.DUMMYFUNCTION("GOOGLETRANSLATE(C10215, ""en"", ""fa"")
"),"چگونه می توانم محتوای تولید شده توسط کاربر را با محصولات الهام گرفته از روند من در محتوای بصری فروشگاه Etsy خود، مانند گالری محصولات یا نمایشگرهای چرخ فلک، ترکیب کنم؟")</f>
        <v>چگونه می توانم محتوای تولید شده توسط کاربر را با محصولات الهام گرفته از روند من در محتوای بصری فروشگاه Etsy خود، مانند گالری محصولات یا نمایشگرهای چرخ فلک، ترکیب کنم؟</v>
      </c>
      <c r="H10215" s="1"/>
      <c r="I10215" s="1"/>
      <c r="J10215" s="1"/>
      <c r="K10215" s="1"/>
      <c r="L10215" s="1"/>
      <c r="M10215" s="1"/>
      <c r="N10215" s="1"/>
      <c r="O10215" s="1"/>
      <c r="P10215" s="1"/>
      <c r="Q10215" s="1"/>
      <c r="R10215" s="1"/>
      <c r="S10215" s="1"/>
      <c r="T10215" s="1"/>
      <c r="U10215" s="1"/>
      <c r="V10215" s="1"/>
      <c r="W10215" s="1"/>
      <c r="X10215" s="1"/>
      <c r="Y10215" s="1"/>
      <c r="Z10215" s="1"/>
      <c r="AA10215" s="1"/>
      <c r="AB10215" s="1"/>
    </row>
    <row r="10216" ht="50.25" customHeight="1">
      <c r="A10216" s="12">
        <v>10212.0</v>
      </c>
      <c r="B10216" s="13" t="s">
        <v>9604</v>
      </c>
      <c r="C10216" s="14" t="s">
        <v>10243</v>
      </c>
      <c r="D10216" s="1"/>
      <c r="E10216" s="1"/>
      <c r="F10216" s="1" t="str">
        <f>IFERROR(__xludf.DUMMYFUNCTION("GOOGLETRANSLATE(B10216, ""en"", ""fa"")
"),"موفقیت Etsy")</f>
        <v>موفقیت Etsy</v>
      </c>
      <c r="G10216" s="1" t="str">
        <f>IFERROR(__xludf.DUMMYFUNCTION("GOOGLETRANSLATE(C10216, ""en"", ""fa"")
"),"استراتژی‌های ایجاد پست‌ها یا مقالات وبلاگ متمرکز بر روند در وب‌سایت فروشگاه Etsy من برای جذب ترافیک ارگانیک و ایجاد رهبری فکری در جایگاه من چیست؟")</f>
        <v>استراتژی‌های ایجاد پست‌ها یا مقالات وبلاگ متمرکز بر روند در وب‌سایت فروشگاه Etsy من برای جذب ترافیک ارگانیک و ایجاد رهبری فکری در جایگاه من چیست؟</v>
      </c>
      <c r="H10216" s="1"/>
      <c r="I10216" s="1"/>
      <c r="J10216" s="1"/>
      <c r="K10216" s="1"/>
      <c r="L10216" s="1"/>
      <c r="M10216" s="1"/>
      <c r="N10216" s="1"/>
      <c r="O10216" s="1"/>
      <c r="P10216" s="1"/>
      <c r="Q10216" s="1"/>
      <c r="R10216" s="1"/>
      <c r="S10216" s="1"/>
      <c r="T10216" s="1"/>
      <c r="U10216" s="1"/>
      <c r="V10216" s="1"/>
      <c r="W10216" s="1"/>
      <c r="X10216" s="1"/>
      <c r="Y10216" s="1"/>
      <c r="Z10216" s="1"/>
      <c r="AA10216" s="1"/>
      <c r="AB10216" s="1"/>
    </row>
    <row r="10217" ht="50.25" customHeight="1">
      <c r="A10217" s="12">
        <v>10213.0</v>
      </c>
      <c r="B10217" s="13" t="s">
        <v>9604</v>
      </c>
      <c r="C10217" s="14" t="s">
        <v>10244</v>
      </c>
      <c r="D10217" s="1"/>
      <c r="E10217" s="1"/>
      <c r="F10217" s="1" t="str">
        <f>IFERROR(__xludf.DUMMYFUNCTION("GOOGLETRANSLATE(B10217, ""en"", ""fa"")
"),"موفقیت Etsy")</f>
        <v>موفقیت Etsy</v>
      </c>
      <c r="G10217" s="1" t="str">
        <f>IFERROR(__xludf.DUMMYFUNCTION("GOOGLETRANSLATE(C10217, ""en"", ""fa"")
"),"چگونه می‌توانم از طریق نظرسنجی‌ها یا نظرسنجی‌های رسانه‌های اجتماعی به طور فعال با مشتریانم درگیر شوم تا بینش‌هایی در مورد ترجیحات آنها جمع‌آوری کنم و از داده‌ها برای اطلاع‌رسانی توسعه محصول و تلاش‌های بازاریابی متمرکز بر روند خود استفاده کنم؟")</f>
        <v>چگونه می‌توانم از طریق نظرسنجی‌ها یا نظرسنجی‌های رسانه‌های اجتماعی به طور فعال با مشتریانم درگیر شوم تا بینش‌هایی در مورد ترجیحات آنها جمع‌آوری کنم و از داده‌ها برای اطلاع‌رسانی توسعه محصول و تلاش‌های بازاریابی متمرکز بر روند خود استفاده کنم؟</v>
      </c>
      <c r="H10217" s="1"/>
      <c r="I10217" s="1"/>
      <c r="J10217" s="1"/>
      <c r="K10217" s="1"/>
      <c r="L10217" s="1"/>
      <c r="M10217" s="1"/>
      <c r="N10217" s="1"/>
      <c r="O10217" s="1"/>
      <c r="P10217" s="1"/>
      <c r="Q10217" s="1"/>
      <c r="R10217" s="1"/>
      <c r="S10217" s="1"/>
      <c r="T10217" s="1"/>
      <c r="U10217" s="1"/>
      <c r="V10217" s="1"/>
      <c r="W10217" s="1"/>
      <c r="X10217" s="1"/>
      <c r="Y10217" s="1"/>
      <c r="Z10217" s="1"/>
      <c r="AA10217" s="1"/>
      <c r="AB10217" s="1"/>
    </row>
    <row r="10218" ht="50.25" customHeight="1">
      <c r="A10218" s="12">
        <v>10214.0</v>
      </c>
      <c r="B10218" s="13" t="s">
        <v>9604</v>
      </c>
      <c r="C10218" s="14" t="s">
        <v>10245</v>
      </c>
      <c r="D10218" s="1"/>
      <c r="E10218" s="1"/>
      <c r="F10218" s="1" t="str">
        <f>IFERROR(__xludf.DUMMYFUNCTION("GOOGLETRANSLATE(B10218, ""en"", ""fa"")
"),"موفقیت Etsy")</f>
        <v>موفقیت Etsy</v>
      </c>
      <c r="G10218" s="1" t="str">
        <f>IFERROR(__xludf.DUMMYFUNCTION("GOOGLETRANSLATE(C10218, ""en"", ""fa"")
"),"چگونه می توانم فرصت های همکاری بالقوه را با سایر فروشندگان Etsy که محصولات مکمل ارائه می دهند یا مخاطبان هدف مشابهی را به اشتراک می گذارند شناسایی کنم؟")</f>
        <v>چگونه می توانم فرصت های همکاری بالقوه را با سایر فروشندگان Etsy که محصولات مکمل ارائه می دهند یا مخاطبان هدف مشابهی را به اشتراک می گذارند شناسایی کنم؟</v>
      </c>
      <c r="H10218" s="1"/>
      <c r="I10218" s="1"/>
      <c r="J10218" s="1"/>
      <c r="K10218" s="1"/>
      <c r="L10218" s="1"/>
      <c r="M10218" s="1"/>
      <c r="N10218" s="1"/>
      <c r="O10218" s="1"/>
      <c r="P10218" s="1"/>
      <c r="Q10218" s="1"/>
      <c r="R10218" s="1"/>
      <c r="S10218" s="1"/>
      <c r="T10218" s="1"/>
      <c r="U10218" s="1"/>
      <c r="V10218" s="1"/>
      <c r="W10218" s="1"/>
      <c r="X10218" s="1"/>
      <c r="Y10218" s="1"/>
      <c r="Z10218" s="1"/>
      <c r="AA10218" s="1"/>
      <c r="AB10218" s="1"/>
    </row>
    <row r="10219" ht="50.25" customHeight="1">
      <c r="A10219" s="12">
        <v>10215.0</v>
      </c>
      <c r="B10219" s="13" t="s">
        <v>9604</v>
      </c>
      <c r="C10219" s="14" t="s">
        <v>10246</v>
      </c>
      <c r="D10219" s="1"/>
      <c r="E10219" s="1"/>
      <c r="F10219" s="1" t="str">
        <f>IFERROR(__xludf.DUMMYFUNCTION("GOOGLETRANSLATE(B10219, ""en"", ""fa"")
"),"موفقیت Etsy")</f>
        <v>موفقیت Etsy</v>
      </c>
      <c r="G10219" s="1" t="str">
        <f>IFERROR(__xludf.DUMMYFUNCTION("GOOGLETRANSLATE(C10219, ""en"", ""fa"")
"),"ملاحظات برای نزدیک شدن و شروع همکاری با یکی دیگر از فروشندگان Etsy، مانند تعیین اهداف، مسئولیت ها و منافع مشترک چیست؟")</f>
        <v>ملاحظات برای نزدیک شدن و شروع همکاری با یکی دیگر از فروشندگان Etsy، مانند تعیین اهداف، مسئولیت ها و منافع مشترک چیست؟</v>
      </c>
      <c r="H10219" s="1"/>
      <c r="I10219" s="1"/>
      <c r="J10219" s="1"/>
      <c r="K10219" s="1"/>
      <c r="L10219" s="1"/>
      <c r="M10219" s="1"/>
      <c r="N10219" s="1"/>
      <c r="O10219" s="1"/>
      <c r="P10219" s="1"/>
      <c r="Q10219" s="1"/>
      <c r="R10219" s="1"/>
      <c r="S10219" s="1"/>
      <c r="T10219" s="1"/>
      <c r="U10219" s="1"/>
      <c r="V10219" s="1"/>
      <c r="W10219" s="1"/>
      <c r="X10219" s="1"/>
      <c r="Y10219" s="1"/>
      <c r="Z10219" s="1"/>
      <c r="AA10219" s="1"/>
      <c r="AB10219" s="1"/>
    </row>
    <row r="10220" ht="50.25" customHeight="1">
      <c r="A10220" s="12">
        <v>10216.0</v>
      </c>
      <c r="B10220" s="13" t="s">
        <v>9604</v>
      </c>
      <c r="C10220" s="14" t="s">
        <v>10247</v>
      </c>
      <c r="D10220" s="1"/>
      <c r="E10220" s="1"/>
      <c r="F10220" s="1" t="str">
        <f>IFERROR(__xludf.DUMMYFUNCTION("GOOGLETRANSLATE(B10220, ""en"", ""fa"")
"),"موفقیت Etsy")</f>
        <v>موفقیت Etsy</v>
      </c>
      <c r="G10220" s="1" t="str">
        <f>IFERROR(__xludf.DUMMYFUNCTION("GOOGLETRANSLATE(C10220, ""en"", ""fa"")
"),"چگونه می توانم از قدرت تبلیغات متقابل با ارائه محصولات فروشنده Etsy دیگر در فروشگاه خود و بالعکس برای گسترش پایگاه های مشتریان مربوطه خود استفاده کنم؟")</f>
        <v>چگونه می توانم از قدرت تبلیغات متقابل با ارائه محصولات فروشنده Etsy دیگر در فروشگاه خود و بالعکس برای گسترش پایگاه های مشتریان مربوطه خود استفاده کنم؟</v>
      </c>
      <c r="H10220" s="1"/>
      <c r="I10220" s="1"/>
      <c r="J10220" s="1"/>
      <c r="K10220" s="1"/>
      <c r="L10220" s="1"/>
      <c r="M10220" s="1"/>
      <c r="N10220" s="1"/>
      <c r="O10220" s="1"/>
      <c r="P10220" s="1"/>
      <c r="Q10220" s="1"/>
      <c r="R10220" s="1"/>
      <c r="S10220" s="1"/>
      <c r="T10220" s="1"/>
      <c r="U10220" s="1"/>
      <c r="V10220" s="1"/>
      <c r="W10220" s="1"/>
      <c r="X10220" s="1"/>
      <c r="Y10220" s="1"/>
      <c r="Z10220" s="1"/>
      <c r="AA10220" s="1"/>
      <c r="AB10220" s="1"/>
    </row>
    <row r="10221" ht="50.25" customHeight="1">
      <c r="A10221" s="12">
        <v>10217.0</v>
      </c>
      <c r="B10221" s="13" t="s">
        <v>9604</v>
      </c>
      <c r="C10221" s="14" t="s">
        <v>10248</v>
      </c>
      <c r="D10221" s="1"/>
      <c r="E10221" s="1"/>
      <c r="F10221" s="1" t="str">
        <f>IFERROR(__xludf.DUMMYFUNCTION("GOOGLETRANSLATE(B10221, ""en"", ""fa"")
"),"موفقیت Etsy")</f>
        <v>موفقیت Etsy</v>
      </c>
      <c r="G10221" s="1" t="str">
        <f>IFERROR(__xludf.DUMMYFUNCTION("GOOGLETRANSLATE(C10221, ""en"", ""fa"")
"),"راهبردهای ایجاد کمپین های بازاریابی یا تبلیغات مشترک با یکی دیگر از فروشندگان Etsy برای افزایش دسترسی و ایجاد فروش متقابل چیست؟")</f>
        <v>راهبردهای ایجاد کمپین های بازاریابی یا تبلیغات مشترک با یکی دیگر از فروشندگان Etsy برای افزایش دسترسی و ایجاد فروش متقابل چیست؟</v>
      </c>
      <c r="H10221" s="1"/>
      <c r="I10221" s="1"/>
      <c r="J10221" s="1"/>
      <c r="K10221" s="1"/>
      <c r="L10221" s="1"/>
      <c r="M10221" s="1"/>
      <c r="N10221" s="1"/>
      <c r="O10221" s="1"/>
      <c r="P10221" s="1"/>
      <c r="Q10221" s="1"/>
      <c r="R10221" s="1"/>
      <c r="S10221" s="1"/>
      <c r="T10221" s="1"/>
      <c r="U10221" s="1"/>
      <c r="V10221" s="1"/>
      <c r="W10221" s="1"/>
      <c r="X10221" s="1"/>
      <c r="Y10221" s="1"/>
      <c r="Z10221" s="1"/>
      <c r="AA10221" s="1"/>
      <c r="AB10221" s="1"/>
    </row>
    <row r="10222" ht="50.25" customHeight="1">
      <c r="A10222" s="12">
        <v>10218.0</v>
      </c>
      <c r="B10222" s="13" t="s">
        <v>9604</v>
      </c>
      <c r="C10222" s="14" t="s">
        <v>10249</v>
      </c>
      <c r="D10222" s="1"/>
      <c r="E10222" s="1"/>
      <c r="F10222" s="1" t="str">
        <f>IFERROR(__xludf.DUMMYFUNCTION("GOOGLETRANSLATE(B10222, ""en"", ""fa"")
"),"موفقیت Etsy")</f>
        <v>موفقیت Etsy</v>
      </c>
      <c r="G10222" s="1" t="str">
        <f>IFERROR(__xludf.DUMMYFUNCTION("GOOGLETRANSLATE(C10222, ""en"", ""fa"")
"),"چگونه می توانم با هنرمندان یا صنعتگران محلی برای ایجاد محصولات منحصر به فرد و منحصر به فرد که مهارت ها و تخصص مربوطه ما را ترکیب می کند، همکاری کنم؟")</f>
        <v>چگونه می توانم با هنرمندان یا صنعتگران محلی برای ایجاد محصولات منحصر به فرد و منحصر به فرد که مهارت ها و تخصص مربوطه ما را ترکیب می کند، همکاری کنم؟</v>
      </c>
      <c r="H10222" s="1"/>
      <c r="I10222" s="1"/>
      <c r="J10222" s="1"/>
      <c r="K10222" s="1"/>
      <c r="L10222" s="1"/>
      <c r="M10222" s="1"/>
      <c r="N10222" s="1"/>
      <c r="O10222" s="1"/>
      <c r="P10222" s="1"/>
      <c r="Q10222" s="1"/>
      <c r="R10222" s="1"/>
      <c r="S10222" s="1"/>
      <c r="T10222" s="1"/>
      <c r="U10222" s="1"/>
      <c r="V10222" s="1"/>
      <c r="W10222" s="1"/>
      <c r="X10222" s="1"/>
      <c r="Y10222" s="1"/>
      <c r="Z10222" s="1"/>
      <c r="AA10222" s="1"/>
      <c r="AB10222" s="1"/>
    </row>
    <row r="10223" ht="50.25" customHeight="1">
      <c r="A10223" s="12">
        <v>10219.0</v>
      </c>
      <c r="B10223" s="13" t="s">
        <v>9604</v>
      </c>
      <c r="C10223" s="14" t="s">
        <v>10250</v>
      </c>
      <c r="D10223" s="1"/>
      <c r="E10223" s="1"/>
      <c r="F10223" s="1" t="str">
        <f>IFERROR(__xludf.DUMMYFUNCTION("GOOGLETRANSLATE(B10223, ""en"", ""fa"")
"),"موفقیت Etsy")</f>
        <v>موفقیت Etsy</v>
      </c>
      <c r="G10223" s="1" t="str">
        <f>IFERROR(__xludf.DUMMYFUNCTION("GOOGLETRANSLATE(C10223, ""en"", ""fa"")
"),"ملاحظات برای ارتباط با اینفلوئنسرها یا وبلاگ نویسانی که با Etsy من برای همکاری های احتمالی، مانند بررسی محصول یا محتوای حمایت شده، هماهنگ هستند، چیست؟")</f>
        <v>ملاحظات برای ارتباط با اینفلوئنسرها یا وبلاگ نویسانی که با Etsy من برای همکاری های احتمالی، مانند بررسی محصول یا محتوای حمایت شده، هماهنگ هستند، چیست؟</v>
      </c>
      <c r="H10223" s="1"/>
      <c r="I10223" s="1"/>
      <c r="J10223" s="1"/>
      <c r="K10223" s="1"/>
      <c r="L10223" s="1"/>
      <c r="M10223" s="1"/>
      <c r="N10223" s="1"/>
      <c r="O10223" s="1"/>
      <c r="P10223" s="1"/>
      <c r="Q10223" s="1"/>
      <c r="R10223" s="1"/>
      <c r="S10223" s="1"/>
      <c r="T10223" s="1"/>
      <c r="U10223" s="1"/>
      <c r="V10223" s="1"/>
      <c r="W10223" s="1"/>
      <c r="X10223" s="1"/>
      <c r="Y10223" s="1"/>
      <c r="Z10223" s="1"/>
      <c r="AA10223" s="1"/>
      <c r="AB10223" s="1"/>
    </row>
    <row r="10224" ht="50.25" customHeight="1">
      <c r="A10224" s="12">
        <v>10220.0</v>
      </c>
      <c r="B10224" s="13" t="s">
        <v>9604</v>
      </c>
      <c r="C10224" s="14" t="s">
        <v>10251</v>
      </c>
      <c r="D10224" s="1"/>
      <c r="E10224" s="1"/>
      <c r="F10224" s="1" t="str">
        <f>IFERROR(__xludf.DUMMYFUNCTION("GOOGLETRANSLATE(B10224, ""en"", ""fa"")
"),"موفقیت Etsy")</f>
        <v>موفقیت Etsy</v>
      </c>
      <c r="G10224" s="1" t="str">
        <f>IFERROR(__xludf.DUMMYFUNCTION("GOOGLETRANSLATE(C10224, ""en"", ""fa"")
"),"چگونه می‌توانم از تیم‌ها یا انجمن‌های Etsy برای ارتباط با فروشندگان همفکر و کشف فرصت‌های همکاری در بخش‌های خاص یا گروه‌های علاقه‌مند استفاده کنم؟")</f>
        <v>چگونه می‌توانم از تیم‌ها یا انجمن‌های Etsy برای ارتباط با فروشندگان همفکر و کشف فرصت‌های همکاری در بخش‌های خاص یا گروه‌های علاقه‌مند استفاده کنم؟</v>
      </c>
      <c r="H10224" s="1"/>
      <c r="I10224" s="1"/>
      <c r="J10224" s="1"/>
      <c r="K10224" s="1"/>
      <c r="L10224" s="1"/>
      <c r="M10224" s="1"/>
      <c r="N10224" s="1"/>
      <c r="O10224" s="1"/>
      <c r="P10224" s="1"/>
      <c r="Q10224" s="1"/>
      <c r="R10224" s="1"/>
      <c r="S10224" s="1"/>
      <c r="T10224" s="1"/>
      <c r="U10224" s="1"/>
      <c r="V10224" s="1"/>
      <c r="W10224" s="1"/>
      <c r="X10224" s="1"/>
      <c r="Y10224" s="1"/>
      <c r="Z10224" s="1"/>
      <c r="AA10224" s="1"/>
      <c r="AB10224" s="1"/>
    </row>
    <row r="10225" ht="50.25" customHeight="1">
      <c r="A10225" s="12">
        <v>10221.0</v>
      </c>
      <c r="B10225" s="13" t="s">
        <v>9604</v>
      </c>
      <c r="C10225" s="14" t="s">
        <v>10252</v>
      </c>
      <c r="D10225" s="1"/>
      <c r="E10225" s="1"/>
      <c r="F10225" s="1" t="str">
        <f>IFERROR(__xludf.DUMMYFUNCTION("GOOGLETRANSLATE(B10225, ""en"", ""fa"")
"),"موفقیت Etsy")</f>
        <v>موفقیت Etsy</v>
      </c>
      <c r="G10225" s="1" t="str">
        <f>IFERROR(__xludf.DUMMYFUNCTION("GOOGLETRANSLATE(C10225, ""en"", ""fa"")
"),"بهترین روش‌ها برای ایجاد محصولات یا مجموعه‌های مشترک با نسخه محدود با یکی دیگر از فروشندگان Etsy، ارائه اقلام انحصاری که برای مشتریان مشترک ما جذاب است، چیست؟")</f>
        <v>بهترین روش‌ها برای ایجاد محصولات یا مجموعه‌های مشترک با نسخه محدود با یکی دیگر از فروشندگان Etsy، ارائه اقلام انحصاری که برای مشتریان مشترک ما جذاب است، چیست؟</v>
      </c>
      <c r="H10225" s="1"/>
      <c r="I10225" s="1"/>
      <c r="J10225" s="1"/>
      <c r="K10225" s="1"/>
      <c r="L10225" s="1"/>
      <c r="M10225" s="1"/>
      <c r="N10225" s="1"/>
      <c r="O10225" s="1"/>
      <c r="P10225" s="1"/>
      <c r="Q10225" s="1"/>
      <c r="R10225" s="1"/>
      <c r="S10225" s="1"/>
      <c r="T10225" s="1"/>
      <c r="U10225" s="1"/>
      <c r="V10225" s="1"/>
      <c r="W10225" s="1"/>
      <c r="X10225" s="1"/>
      <c r="Y10225" s="1"/>
      <c r="Z10225" s="1"/>
      <c r="AA10225" s="1"/>
      <c r="AB10225" s="1"/>
    </row>
    <row r="10226" ht="50.25" customHeight="1">
      <c r="A10226" s="12">
        <v>10222.0</v>
      </c>
      <c r="B10226" s="13" t="s">
        <v>9604</v>
      </c>
      <c r="C10226" s="14" t="s">
        <v>10253</v>
      </c>
      <c r="D10226" s="1"/>
      <c r="E10226" s="1"/>
      <c r="F10226" s="1" t="str">
        <f>IFERROR(__xludf.DUMMYFUNCTION("GOOGLETRANSLATE(B10226, ""en"", ""fa"")
"),"موفقیت Etsy")</f>
        <v>موفقیت Etsy</v>
      </c>
      <c r="G10226" s="1" t="str">
        <f>IFERROR(__xludf.DUMMYFUNCTION("GOOGLETRANSLATE(C10226, ""en"", ""fa"")
"),"چگونه می توانم از قدرت داستان سرایی برای انتقال ارزش و منحصر به فرد بودن یک پروژه همکاری به مشتریان بالقوه و ایجاد هیجان در اطراف شراکت استفاده کنم؟")</f>
        <v>چگونه می توانم از قدرت داستان سرایی برای انتقال ارزش و منحصر به فرد بودن یک پروژه همکاری به مشتریان بالقوه و ایجاد هیجان در اطراف شراکت استفاده کنم؟</v>
      </c>
      <c r="H10226" s="1"/>
      <c r="I10226" s="1"/>
      <c r="J10226" s="1"/>
      <c r="K10226" s="1"/>
      <c r="L10226" s="1"/>
      <c r="M10226" s="1"/>
      <c r="N10226" s="1"/>
      <c r="O10226" s="1"/>
      <c r="P10226" s="1"/>
      <c r="Q10226" s="1"/>
      <c r="R10226" s="1"/>
      <c r="S10226" s="1"/>
      <c r="T10226" s="1"/>
      <c r="U10226" s="1"/>
      <c r="V10226" s="1"/>
      <c r="W10226" s="1"/>
      <c r="X10226" s="1"/>
      <c r="Y10226" s="1"/>
      <c r="Z10226" s="1"/>
      <c r="AA10226" s="1"/>
      <c r="AB10226" s="1"/>
    </row>
    <row r="10227" ht="50.25" customHeight="1">
      <c r="A10227" s="12">
        <v>10223.0</v>
      </c>
      <c r="B10227" s="13" t="s">
        <v>9604</v>
      </c>
      <c r="C10227" s="14" t="s">
        <v>10254</v>
      </c>
      <c r="D10227" s="1"/>
      <c r="E10227" s="1"/>
      <c r="F10227" s="1" t="str">
        <f>IFERROR(__xludf.DUMMYFUNCTION("GOOGLETRANSLATE(B10227, ""en"", ""fa"")
"),"موفقیت Etsy")</f>
        <v>موفقیت Etsy</v>
      </c>
      <c r="G10227" s="1" t="str">
        <f>IFERROR(__xludf.DUMMYFUNCTION("GOOGLETRANSLATE(C10227, ""en"", ""fa"")
"),"ملاحظات ایجاد کانال های ارتباطی روشن و انتظارات با یک همکار برای اطمینان از مشارکت روان و موفق چیست؟")</f>
        <v>ملاحظات ایجاد کانال های ارتباطی روشن و انتظارات با یک همکار برای اطمینان از مشارکت روان و موفق چیست؟</v>
      </c>
      <c r="H10227" s="1"/>
      <c r="I10227" s="1"/>
      <c r="J10227" s="1"/>
      <c r="K10227" s="1"/>
      <c r="L10227" s="1"/>
      <c r="M10227" s="1"/>
      <c r="N10227" s="1"/>
      <c r="O10227" s="1"/>
      <c r="P10227" s="1"/>
      <c r="Q10227" s="1"/>
      <c r="R10227" s="1"/>
      <c r="S10227" s="1"/>
      <c r="T10227" s="1"/>
      <c r="U10227" s="1"/>
      <c r="V10227" s="1"/>
      <c r="W10227" s="1"/>
      <c r="X10227" s="1"/>
      <c r="Y10227" s="1"/>
      <c r="Z10227" s="1"/>
      <c r="AA10227" s="1"/>
      <c r="AB10227" s="1"/>
    </row>
    <row r="10228" ht="50.25" customHeight="1">
      <c r="A10228" s="12">
        <v>10224.0</v>
      </c>
      <c r="B10228" s="13" t="s">
        <v>9604</v>
      </c>
      <c r="C10228" s="14" t="s">
        <v>10255</v>
      </c>
      <c r="D10228" s="1"/>
      <c r="E10228" s="1"/>
      <c r="F10228" s="1" t="str">
        <f>IFERROR(__xludf.DUMMYFUNCTION("GOOGLETRANSLATE(B10228, ""en"", ""fa"")
"),"موفقیت Etsy")</f>
        <v>موفقیت Etsy</v>
      </c>
      <c r="G10228" s="1" t="str">
        <f>IFERROR(__xludf.DUMMYFUNCTION("GOOGLETRANSLATE(C10228, ""en"", ""fa"")
"),"چگونه می توانم برای یافتن برندها یا مشاغل غیررقیب بالقوه خارج از Etsy که با مخاطبان هدف من هماهنگ هستند و فرصت های همکاری را کشف می کنند، تحقیق کنم؟")</f>
        <v>چگونه می توانم برای یافتن برندها یا مشاغل غیررقیب بالقوه خارج از Etsy که با مخاطبان هدف من هماهنگ هستند و فرصت های همکاری را کشف می کنند، تحقیق کنم؟</v>
      </c>
      <c r="H10228" s="1"/>
      <c r="I10228" s="1"/>
      <c r="J10228" s="1"/>
      <c r="K10228" s="1"/>
      <c r="L10228" s="1"/>
      <c r="M10228" s="1"/>
      <c r="N10228" s="1"/>
      <c r="O10228" s="1"/>
      <c r="P10228" s="1"/>
      <c r="Q10228" s="1"/>
      <c r="R10228" s="1"/>
      <c r="S10228" s="1"/>
      <c r="T10228" s="1"/>
      <c r="U10228" s="1"/>
      <c r="V10228" s="1"/>
      <c r="W10228" s="1"/>
      <c r="X10228" s="1"/>
      <c r="Y10228" s="1"/>
      <c r="Z10228" s="1"/>
      <c r="AA10228" s="1"/>
      <c r="AB10228" s="1"/>
    </row>
    <row r="10229" ht="50.25" customHeight="1">
      <c r="A10229" s="12">
        <v>10225.0</v>
      </c>
      <c r="B10229" s="13" t="s">
        <v>9604</v>
      </c>
      <c r="C10229" s="14" t="s">
        <v>10256</v>
      </c>
      <c r="D10229" s="1"/>
      <c r="E10229" s="1"/>
      <c r="F10229" s="1" t="str">
        <f>IFERROR(__xludf.DUMMYFUNCTION("GOOGLETRANSLATE(B10229, ""en"", ""fa"")
"),"موفقیت Etsy")</f>
        <v>موفقیت Etsy</v>
      </c>
      <c r="G10229" s="1" t="str">
        <f>IFERROR(__xludf.DUMMYFUNCTION("GOOGLETRANSLATE(C10229, ""en"", ""fa"")
"),"استراتژی‌های میزبانی هدایا یا مسابقات مشترک با فروشنده یا برند Etsy دیگر، ایجاد سر و صدا و ایجاد تعامل برای هر دو طرف درگیر چیست؟")</f>
        <v>استراتژی‌های میزبانی هدایا یا مسابقات مشترک با فروشنده یا برند Etsy دیگر، ایجاد سر و صدا و ایجاد تعامل برای هر دو طرف درگیر چیست؟</v>
      </c>
      <c r="H10229" s="1"/>
      <c r="I10229" s="1"/>
      <c r="J10229" s="1"/>
      <c r="K10229" s="1"/>
      <c r="L10229" s="1"/>
      <c r="M10229" s="1"/>
      <c r="N10229" s="1"/>
      <c r="O10229" s="1"/>
      <c r="P10229" s="1"/>
      <c r="Q10229" s="1"/>
      <c r="R10229" s="1"/>
      <c r="S10229" s="1"/>
      <c r="T10229" s="1"/>
      <c r="U10229" s="1"/>
      <c r="V10229" s="1"/>
      <c r="W10229" s="1"/>
      <c r="X10229" s="1"/>
      <c r="Y10229" s="1"/>
      <c r="Z10229" s="1"/>
      <c r="AA10229" s="1"/>
      <c r="AB10229" s="1"/>
    </row>
    <row r="10230" ht="50.25" customHeight="1">
      <c r="A10230" s="12">
        <v>10226.0</v>
      </c>
      <c r="B10230" s="13" t="s">
        <v>9604</v>
      </c>
      <c r="C10230" s="14" t="s">
        <v>10257</v>
      </c>
      <c r="D10230" s="1"/>
      <c r="E10230" s="1"/>
      <c r="F10230" s="1" t="str">
        <f>IFERROR(__xludf.DUMMYFUNCTION("GOOGLETRANSLATE(B10230, ""en"", ""fa"")
"),"موفقیت Etsy")</f>
        <v>موفقیت Etsy</v>
      </c>
      <c r="G10230" s="1" t="str">
        <f>IFERROR(__xludf.DUMMYFUNCTION("GOOGLETRANSLATE(C10230, ""en"", ""fa"")
"),"چگونه می‌توانم با خرده‌فروشان یا بوتیک‌های محلی همکاری کنم تا محصولات Etsy خود را در فروشگاه‌های فیزیکی آن‌ها به نمایش بگذارم، دسترسی خود را گسترش داده و در بازارهای جدید قرار بگیرم؟")</f>
        <v>چگونه می‌توانم با خرده‌فروشان یا بوتیک‌های محلی همکاری کنم تا محصولات Etsy خود را در فروشگاه‌های فیزیکی آن‌ها به نمایش بگذارم، دسترسی خود را گسترش داده و در بازارهای جدید قرار بگیرم؟</v>
      </c>
      <c r="H10230" s="1"/>
      <c r="I10230" s="1"/>
      <c r="J10230" s="1"/>
      <c r="K10230" s="1"/>
      <c r="L10230" s="1"/>
      <c r="M10230" s="1"/>
      <c r="N10230" s="1"/>
      <c r="O10230" s="1"/>
      <c r="P10230" s="1"/>
      <c r="Q10230" s="1"/>
      <c r="R10230" s="1"/>
      <c r="S10230" s="1"/>
      <c r="T10230" s="1"/>
      <c r="U10230" s="1"/>
      <c r="V10230" s="1"/>
      <c r="W10230" s="1"/>
      <c r="X10230" s="1"/>
      <c r="Y10230" s="1"/>
      <c r="Z10230" s="1"/>
      <c r="AA10230" s="1"/>
      <c r="AB10230" s="1"/>
    </row>
    <row r="10231" ht="50.25" customHeight="1">
      <c r="A10231" s="12">
        <v>10227.0</v>
      </c>
      <c r="B10231" s="13" t="s">
        <v>9604</v>
      </c>
      <c r="C10231" s="14" t="s">
        <v>10258</v>
      </c>
      <c r="D10231" s="1"/>
      <c r="E10231" s="1"/>
      <c r="F10231" s="1" t="str">
        <f>IFERROR(__xludf.DUMMYFUNCTION("GOOGLETRANSLATE(B10231, ""en"", ""fa"")
"),"موفقیت Etsy")</f>
        <v>موفقیت Etsy</v>
      </c>
      <c r="G10231" s="1" t="str">
        <f>IFERROR(__xludf.DUMMYFUNCTION("GOOGLETRANSLATE(C10231, ""en"", ""fa"")
"),"ملاحظات ایجاد برنامه‌های وابسته سودمند متقابل با فروشندگان مکمل Etsy، که در آن ما برای ارجاع مشتریان به یکدیگر کمیسیون دریافت می‌کنیم، چیست؟")</f>
        <v>ملاحظات ایجاد برنامه‌های وابسته سودمند متقابل با فروشندگان مکمل Etsy، که در آن ما برای ارجاع مشتریان به یکدیگر کمیسیون دریافت می‌کنیم، چیست؟</v>
      </c>
      <c r="H10231" s="1"/>
      <c r="I10231" s="1"/>
      <c r="J10231" s="1"/>
      <c r="K10231" s="1"/>
      <c r="L10231" s="1"/>
      <c r="M10231" s="1"/>
      <c r="N10231" s="1"/>
      <c r="O10231" s="1"/>
      <c r="P10231" s="1"/>
      <c r="Q10231" s="1"/>
      <c r="R10231" s="1"/>
      <c r="S10231" s="1"/>
      <c r="T10231" s="1"/>
      <c r="U10231" s="1"/>
      <c r="V10231" s="1"/>
      <c r="W10231" s="1"/>
      <c r="X10231" s="1"/>
      <c r="Y10231" s="1"/>
      <c r="Z10231" s="1"/>
      <c r="AA10231" s="1"/>
      <c r="AB10231" s="1"/>
    </row>
    <row r="10232" ht="50.25" customHeight="1">
      <c r="A10232" s="12">
        <v>10228.0</v>
      </c>
      <c r="B10232" s="13" t="s">
        <v>9604</v>
      </c>
      <c r="C10232" s="14" t="s">
        <v>10259</v>
      </c>
      <c r="D10232" s="1"/>
      <c r="E10232" s="1"/>
      <c r="F10232" s="1" t="str">
        <f>IFERROR(__xludf.DUMMYFUNCTION("GOOGLETRANSLATE(B10232, ""en"", ""fa"")
"),"موفقیت Etsy")</f>
        <v>موفقیت Etsy</v>
      </c>
      <c r="G10232" s="1" t="str">
        <f>IFERROR(__xludf.DUMMYFUNCTION("GOOGLETRANSLATE(C10232, ""en"", ""fa"")
"),"چگونه می توانم با اینفلوئنسرها یا تولیدکنندگان محتوا برای ایجاد محتوای جذاب و معتبر با محصولات Etsy خود همکاری کنم و به مخاطبان اختصاصی آنها دسترسی پیدا کنم؟")</f>
        <v>چگونه می توانم با اینفلوئنسرها یا تولیدکنندگان محتوا برای ایجاد محتوای جذاب و معتبر با محصولات Etsy خود همکاری کنم و به مخاطبان اختصاصی آنها دسترسی پیدا کنم؟</v>
      </c>
      <c r="H10232" s="1"/>
      <c r="I10232" s="1"/>
      <c r="J10232" s="1"/>
      <c r="K10232" s="1"/>
      <c r="L10232" s="1"/>
      <c r="M10232" s="1"/>
      <c r="N10232" s="1"/>
      <c r="O10232" s="1"/>
      <c r="P10232" s="1"/>
      <c r="Q10232" s="1"/>
      <c r="R10232" s="1"/>
      <c r="S10232" s="1"/>
      <c r="T10232" s="1"/>
      <c r="U10232" s="1"/>
      <c r="V10232" s="1"/>
      <c r="W10232" s="1"/>
      <c r="X10232" s="1"/>
      <c r="Y10232" s="1"/>
      <c r="Z10232" s="1"/>
      <c r="AA10232" s="1"/>
      <c r="AB10232" s="1"/>
    </row>
    <row r="10233" ht="50.25" customHeight="1">
      <c r="A10233" s="12">
        <v>10229.0</v>
      </c>
      <c r="B10233" s="13" t="s">
        <v>9604</v>
      </c>
      <c r="C10233" s="14" t="s">
        <v>10260</v>
      </c>
      <c r="D10233" s="1"/>
      <c r="E10233" s="1"/>
      <c r="F10233" s="1" t="str">
        <f>IFERROR(__xludf.DUMMYFUNCTION("GOOGLETRANSLATE(B10233, ""en"", ""fa"")
"),"موفقیت Etsy")</f>
        <v>موفقیت Etsy</v>
      </c>
      <c r="G10233" s="1" t="str">
        <f>IFERROR(__xludf.DUMMYFUNCTION("GOOGLETRANSLATE(C10233, ""en"", ""fa"")
"),"استراتژی‌های شرکت در رویدادهای مشترک یا بازارهای پاپ‌آپ که در آن چندین فروشنده Etsy گرد هم می‌آیند تا محصولات خود را به نمایش بگذارند و پایگاه مشتریان بزرگ‌تری را جذب کنند، چیست؟")</f>
        <v>استراتژی‌های شرکت در رویدادهای مشترک یا بازارهای پاپ‌آپ که در آن چندین فروشنده Etsy گرد هم می‌آیند تا محصولات خود را به نمایش بگذارند و پایگاه مشتریان بزرگ‌تری را جذب کنند، چیست؟</v>
      </c>
      <c r="H10233" s="1"/>
      <c r="I10233" s="1"/>
      <c r="J10233" s="1"/>
      <c r="K10233" s="1"/>
      <c r="L10233" s="1"/>
      <c r="M10233" s="1"/>
      <c r="N10233" s="1"/>
      <c r="O10233" s="1"/>
      <c r="P10233" s="1"/>
      <c r="Q10233" s="1"/>
      <c r="R10233" s="1"/>
      <c r="S10233" s="1"/>
      <c r="T10233" s="1"/>
      <c r="U10233" s="1"/>
      <c r="V10233" s="1"/>
      <c r="W10233" s="1"/>
      <c r="X10233" s="1"/>
      <c r="Y10233" s="1"/>
      <c r="Z10233" s="1"/>
      <c r="AA10233" s="1"/>
      <c r="AB10233" s="1"/>
    </row>
    <row r="10234" ht="50.25" customHeight="1">
      <c r="A10234" s="12">
        <v>10230.0</v>
      </c>
      <c r="B10234" s="13" t="s">
        <v>9604</v>
      </c>
      <c r="C10234" s="14" t="s">
        <v>10261</v>
      </c>
      <c r="D10234" s="1"/>
      <c r="E10234" s="1"/>
      <c r="F10234" s="1" t="str">
        <f>IFERROR(__xludf.DUMMYFUNCTION("GOOGLETRANSLATE(B10234, ""en"", ""fa"")
"),"موفقیت Etsy")</f>
        <v>موفقیت Etsy</v>
      </c>
      <c r="G10234" s="1" t="str">
        <f>IFERROR(__xludf.DUMMYFUNCTION("GOOGLETRANSLATE(C10234, ""en"", ""fa"")
"),"چگونه می‌توانم با سازمان‌های غیرانتفاعی یا خیریه‌ها برای ایجاد محصولات نسخه ویژه همکاری کنم و بخشی از درآمد را به هدفی همسو با ارزش‌هایم اهدا کنم؟")</f>
        <v>چگونه می‌توانم با سازمان‌های غیرانتفاعی یا خیریه‌ها برای ایجاد محصولات نسخه ویژه همکاری کنم و بخشی از درآمد را به هدفی همسو با ارزش‌هایم اهدا کنم؟</v>
      </c>
      <c r="H10234" s="1"/>
      <c r="I10234" s="1"/>
      <c r="J10234" s="1"/>
      <c r="K10234" s="1"/>
      <c r="L10234" s="1"/>
      <c r="M10234" s="1"/>
      <c r="N10234" s="1"/>
      <c r="O10234" s="1"/>
      <c r="P10234" s="1"/>
      <c r="Q10234" s="1"/>
      <c r="R10234" s="1"/>
      <c r="S10234" s="1"/>
      <c r="T10234" s="1"/>
      <c r="U10234" s="1"/>
      <c r="V10234" s="1"/>
      <c r="W10234" s="1"/>
      <c r="X10234" s="1"/>
      <c r="Y10234" s="1"/>
      <c r="Z10234" s="1"/>
      <c r="AA10234" s="1"/>
      <c r="AB10234" s="1"/>
    </row>
    <row r="10235" ht="50.25" customHeight="1">
      <c r="A10235" s="12">
        <v>10231.0</v>
      </c>
      <c r="B10235" s="13" t="s">
        <v>9604</v>
      </c>
      <c r="C10235" s="14" t="s">
        <v>10262</v>
      </c>
      <c r="D10235" s="1"/>
      <c r="E10235" s="1"/>
      <c r="F10235" s="1" t="str">
        <f>IFERROR(__xludf.DUMMYFUNCTION("GOOGLETRANSLATE(B10235, ""en"", ""fa"")
"),"موفقیت Etsy")</f>
        <v>موفقیت Etsy</v>
      </c>
      <c r="G10235" s="1" t="str">
        <f>IFERROR(__xludf.DUMMYFUNCTION("GOOGLETRANSLATE(C10235, ""en"", ""fa"")
"),"بهترین شیوه‌ها برای استفاده از تعطیلات محلی یا ملی برای ایجاد پیشنهادها یا تبلیغات مشترک با سایر فروشندگان Etsy چیست؟")</f>
        <v>بهترین شیوه‌ها برای استفاده از تعطیلات محلی یا ملی برای ایجاد پیشنهادها یا تبلیغات مشترک با سایر فروشندگان Etsy چیست؟</v>
      </c>
      <c r="H10235" s="1"/>
      <c r="I10235" s="1"/>
      <c r="J10235" s="1"/>
      <c r="K10235" s="1"/>
      <c r="L10235" s="1"/>
      <c r="M10235" s="1"/>
      <c r="N10235" s="1"/>
      <c r="O10235" s="1"/>
      <c r="P10235" s="1"/>
      <c r="Q10235" s="1"/>
      <c r="R10235" s="1"/>
      <c r="S10235" s="1"/>
      <c r="T10235" s="1"/>
      <c r="U10235" s="1"/>
      <c r="V10235" s="1"/>
      <c r="W10235" s="1"/>
      <c r="X10235" s="1"/>
      <c r="Y10235" s="1"/>
      <c r="Z10235" s="1"/>
      <c r="AA10235" s="1"/>
      <c r="AB10235" s="1"/>
    </row>
    <row r="10236" ht="50.25" customHeight="1">
      <c r="A10236" s="12">
        <v>10232.0</v>
      </c>
      <c r="B10236" s="13" t="s">
        <v>9604</v>
      </c>
      <c r="C10236" s="14" t="s">
        <v>10263</v>
      </c>
      <c r="D10236" s="1"/>
      <c r="E10236" s="1"/>
      <c r="F10236" s="1" t="str">
        <f>IFERROR(__xludf.DUMMYFUNCTION("GOOGLETRANSLATE(B10236, ""en"", ""fa"")
"),"موفقیت Etsy")</f>
        <v>موفقیت Etsy</v>
      </c>
      <c r="G10236" s="1" t="str">
        <f>IFERROR(__xludf.DUMMYFUNCTION("GOOGLETRANSLATE(C10236, ""en"", ""fa"")
"),"چگونه می توانم بسته بندی یا مواد تبلیغاتی با نام تجاری مشترک را با یک همکار برای تقویت مشارکت و افزایش ارزش درک شده محصولات مشترکمان ایجاد کنم؟")</f>
        <v>چگونه می توانم بسته بندی یا مواد تبلیغاتی با نام تجاری مشترک را با یک همکار برای تقویت مشارکت و افزایش ارزش درک شده محصولات مشترکمان ایجاد کنم؟</v>
      </c>
      <c r="H10236" s="1"/>
      <c r="I10236" s="1"/>
      <c r="J10236" s="1"/>
      <c r="K10236" s="1"/>
      <c r="L10236" s="1"/>
      <c r="M10236" s="1"/>
      <c r="N10236" s="1"/>
      <c r="O10236" s="1"/>
      <c r="P10236" s="1"/>
      <c r="Q10236" s="1"/>
      <c r="R10236" s="1"/>
      <c r="S10236" s="1"/>
      <c r="T10236" s="1"/>
      <c r="U10236" s="1"/>
      <c r="V10236" s="1"/>
      <c r="W10236" s="1"/>
      <c r="X10236" s="1"/>
      <c r="Y10236" s="1"/>
      <c r="Z10236" s="1"/>
      <c r="AA10236" s="1"/>
      <c r="AB10236" s="1"/>
    </row>
    <row r="10237" ht="50.25" customHeight="1">
      <c r="A10237" s="12">
        <v>10233.0</v>
      </c>
      <c r="B10237" s="13" t="s">
        <v>9604</v>
      </c>
      <c r="C10237" s="14" t="s">
        <v>10264</v>
      </c>
      <c r="D10237" s="1"/>
      <c r="E10237" s="1"/>
      <c r="F10237" s="1" t="str">
        <f>IFERROR(__xludf.DUMMYFUNCTION("GOOGLETRANSLATE(B10237, ""en"", ""fa"")
"),"موفقیت Etsy")</f>
        <v>موفقیت Etsy</v>
      </c>
      <c r="G10237" s="1" t="str">
        <f>IFERROR(__xludf.DUMMYFUNCTION("GOOGLETRANSLATE(C10237, ""en"", ""fa"")
"),"ملاحظات برای ایجاد دستورالعمل های روشن برای قیمت گذاری، تقسیم سود و مدیریت موجودی در یک پروژه مشارکتی برای اطمینان از انصاف و شفافیت چیست؟")</f>
        <v>ملاحظات برای ایجاد دستورالعمل های روشن برای قیمت گذاری، تقسیم سود و مدیریت موجودی در یک پروژه مشارکتی برای اطمینان از انصاف و شفافیت چیست؟</v>
      </c>
      <c r="H10237" s="1"/>
      <c r="I10237" s="1"/>
      <c r="J10237" s="1"/>
      <c r="K10237" s="1"/>
      <c r="L10237" s="1"/>
      <c r="M10237" s="1"/>
      <c r="N10237" s="1"/>
      <c r="O10237" s="1"/>
      <c r="P10237" s="1"/>
      <c r="Q10237" s="1"/>
      <c r="R10237" s="1"/>
      <c r="S10237" s="1"/>
      <c r="T10237" s="1"/>
      <c r="U10237" s="1"/>
      <c r="V10237" s="1"/>
      <c r="W10237" s="1"/>
      <c r="X10237" s="1"/>
      <c r="Y10237" s="1"/>
      <c r="Z10237" s="1"/>
      <c r="AA10237" s="1"/>
      <c r="AB10237" s="1"/>
    </row>
    <row r="10238" ht="50.25" customHeight="1">
      <c r="A10238" s="12">
        <v>10234.0</v>
      </c>
      <c r="B10238" s="13" t="s">
        <v>9604</v>
      </c>
      <c r="C10238" s="14" t="s">
        <v>10265</v>
      </c>
      <c r="D10238" s="1"/>
      <c r="E10238" s="1"/>
      <c r="F10238" s="1" t="str">
        <f>IFERROR(__xludf.DUMMYFUNCTION("GOOGLETRANSLATE(B10238, ""en"", ""fa"")
"),"موفقیت Etsy")</f>
        <v>موفقیت Etsy</v>
      </c>
      <c r="G10238" s="1" t="str">
        <f>IFERROR(__xludf.DUMMYFUNCTION("GOOGLETRANSLATE(C10238, ""en"", ""fa"")
"),"چگونه می‌توانم با اینفلوئنسرها یا تولیدکنندگان محتوا برای میزبانی نمایش‌های زنده یا کارگاه‌هایی که محصولات Etsy من را به نمایش می‌گذارند، همکاری کنم و از تخصص آن‌ها و تعامل با مخاطبان بهره ببرم؟")</f>
        <v>چگونه می‌توانم با اینفلوئنسرها یا تولیدکنندگان محتوا برای میزبانی نمایش‌های زنده یا کارگاه‌هایی که محصولات Etsy من را به نمایش می‌گذارند، همکاری کنم و از تخصص آن‌ها و تعامل با مخاطبان بهره ببرم؟</v>
      </c>
      <c r="H10238" s="1"/>
      <c r="I10238" s="1"/>
      <c r="J10238" s="1"/>
      <c r="K10238" s="1"/>
      <c r="L10238" s="1"/>
      <c r="M10238" s="1"/>
      <c r="N10238" s="1"/>
      <c r="O10238" s="1"/>
      <c r="P10238" s="1"/>
      <c r="Q10238" s="1"/>
      <c r="R10238" s="1"/>
      <c r="S10238" s="1"/>
      <c r="T10238" s="1"/>
      <c r="U10238" s="1"/>
      <c r="V10238" s="1"/>
      <c r="W10238" s="1"/>
      <c r="X10238" s="1"/>
      <c r="Y10238" s="1"/>
      <c r="Z10238" s="1"/>
      <c r="AA10238" s="1"/>
      <c r="AB10238" s="1"/>
    </row>
    <row r="10239" ht="50.25" customHeight="1">
      <c r="A10239" s="12">
        <v>10235.0</v>
      </c>
      <c r="B10239" s="13" t="s">
        <v>9604</v>
      </c>
      <c r="C10239" s="14" t="s">
        <v>10266</v>
      </c>
      <c r="D10239" s="1"/>
      <c r="E10239" s="1"/>
      <c r="F10239" s="1" t="str">
        <f>IFERROR(__xludf.DUMMYFUNCTION("GOOGLETRANSLATE(B10239, ""en"", ""fa"")
"),"موفقیت Etsy")</f>
        <v>موفقیت Etsy</v>
      </c>
      <c r="G10239" s="1" t="str">
        <f>IFERROR(__xludf.DUMMYFUNCTION("GOOGLETRANSLATE(C10239, ""en"", ""fa"")
"),"استراتژی‌های میزبانی رویدادهای مشترک یا نمایش‌های داخلی با سایر فروشندگان Etsy یا کسب‌وکارهای محلی، ارائه یک تجربه خرید منحصر به فرد به مشتریان و افزایش در معرض دید همه شرکت‌کنندگان چیست؟")</f>
        <v>استراتژی‌های میزبانی رویدادهای مشترک یا نمایش‌های داخلی با سایر فروشندگان Etsy یا کسب‌وکارهای محلی، ارائه یک تجربه خرید منحصر به فرد به مشتریان و افزایش در معرض دید همه شرکت‌کنندگان چیست؟</v>
      </c>
      <c r="H10239" s="1"/>
      <c r="I10239" s="1"/>
      <c r="J10239" s="1"/>
      <c r="K10239" s="1"/>
      <c r="L10239" s="1"/>
      <c r="M10239" s="1"/>
      <c r="N10239" s="1"/>
      <c r="O10239" s="1"/>
      <c r="P10239" s="1"/>
      <c r="Q10239" s="1"/>
      <c r="R10239" s="1"/>
      <c r="S10239" s="1"/>
      <c r="T10239" s="1"/>
      <c r="U10239" s="1"/>
      <c r="V10239" s="1"/>
      <c r="W10239" s="1"/>
      <c r="X10239" s="1"/>
      <c r="Y10239" s="1"/>
      <c r="Z10239" s="1"/>
      <c r="AA10239" s="1"/>
      <c r="AB10239" s="1"/>
    </row>
    <row r="10240" ht="50.25" customHeight="1">
      <c r="A10240" s="12">
        <v>10236.0</v>
      </c>
      <c r="B10240" s="13" t="s">
        <v>9604</v>
      </c>
      <c r="C10240" s="14" t="s">
        <v>10267</v>
      </c>
      <c r="D10240" s="1"/>
      <c r="E10240" s="1"/>
      <c r="F10240" s="1" t="str">
        <f>IFERROR(__xludf.DUMMYFUNCTION("GOOGLETRANSLATE(B10240, ""en"", ""fa"")
"),"موفقیت Etsy")</f>
        <v>موفقیت Etsy</v>
      </c>
      <c r="G10240" s="1" t="str">
        <f>IFERROR(__xludf.DUMMYFUNCTION("GOOGLETRANSLATE(C10240, ""en"", ""fa"")
"),"چگونه می توانم با وبلاگ نویسان یا وبلاگ نویسان برای ایجاد محتوای جذاب و آموزشی، مانند آموزش های DIY یا نکات سبک، با استفاده از محصولات Etsy خود همکاری کنم؟")</f>
        <v>چگونه می توانم با وبلاگ نویسان یا وبلاگ نویسان برای ایجاد محتوای جذاب و آموزشی، مانند آموزش های DIY یا نکات سبک، با استفاده از محصولات Etsy خود همکاری کنم؟</v>
      </c>
      <c r="H10240" s="1"/>
      <c r="I10240" s="1"/>
      <c r="J10240" s="1"/>
      <c r="K10240" s="1"/>
      <c r="L10240" s="1"/>
      <c r="M10240" s="1"/>
      <c r="N10240" s="1"/>
      <c r="O10240" s="1"/>
      <c r="P10240" s="1"/>
      <c r="Q10240" s="1"/>
      <c r="R10240" s="1"/>
      <c r="S10240" s="1"/>
      <c r="T10240" s="1"/>
      <c r="U10240" s="1"/>
      <c r="V10240" s="1"/>
      <c r="W10240" s="1"/>
      <c r="X10240" s="1"/>
      <c r="Y10240" s="1"/>
      <c r="Z10240" s="1"/>
      <c r="AA10240" s="1"/>
      <c r="AB10240" s="1"/>
    </row>
    <row r="10241" ht="50.25" customHeight="1">
      <c r="A10241" s="12">
        <v>10237.0</v>
      </c>
      <c r="B10241" s="13" t="s">
        <v>9604</v>
      </c>
      <c r="C10241" s="14" t="s">
        <v>10268</v>
      </c>
      <c r="D10241" s="1"/>
      <c r="E10241" s="1"/>
      <c r="F10241" s="1" t="str">
        <f>IFERROR(__xludf.DUMMYFUNCTION("GOOGLETRANSLATE(B10241, ""en"", ""fa"")
"),"موفقیت Etsy")</f>
        <v>موفقیت Etsy</v>
      </c>
      <c r="G10241" s="1" t="str">
        <f>IFERROR(__xludf.DUMMYFUNCTION("GOOGLETRANSLATE(C10241, ""en"", ""fa"")
"),"ملاحظات ایجاد یک لوک بوک یا کاتالوگ مشترک شامل محصولات چندین فروشنده Etsy، نمایش ایده های مختلف استایل یا استفاده برای الهام بخشیدن به مشتریان چیست؟")</f>
        <v>ملاحظات ایجاد یک لوک بوک یا کاتالوگ مشترک شامل محصولات چندین فروشنده Etsy، نمایش ایده های مختلف استایل یا استفاده برای الهام بخشیدن به مشتریان چیست؟</v>
      </c>
      <c r="H10241" s="1"/>
      <c r="I10241" s="1"/>
      <c r="J10241" s="1"/>
      <c r="K10241" s="1"/>
      <c r="L10241" s="1"/>
      <c r="M10241" s="1"/>
      <c r="N10241" s="1"/>
      <c r="O10241" s="1"/>
      <c r="P10241" s="1"/>
      <c r="Q10241" s="1"/>
      <c r="R10241" s="1"/>
      <c r="S10241" s="1"/>
      <c r="T10241" s="1"/>
      <c r="U10241" s="1"/>
      <c r="V10241" s="1"/>
      <c r="W10241" s="1"/>
      <c r="X10241" s="1"/>
      <c r="Y10241" s="1"/>
      <c r="Z10241" s="1"/>
      <c r="AA10241" s="1"/>
      <c r="AB10241" s="1"/>
    </row>
    <row r="10242" ht="50.25" customHeight="1">
      <c r="A10242" s="12">
        <v>10238.0</v>
      </c>
      <c r="B10242" s="13" t="s">
        <v>9604</v>
      </c>
      <c r="C10242" s="14" t="s">
        <v>10269</v>
      </c>
      <c r="D10242" s="1"/>
      <c r="E10242" s="1"/>
      <c r="F10242" s="1" t="str">
        <f>IFERROR(__xludf.DUMMYFUNCTION("GOOGLETRANSLATE(B10242, ""en"", ""fa"")
"),"موفقیت Etsy")</f>
        <v>موفقیت Etsy</v>
      </c>
      <c r="G10242" s="1" t="str">
        <f>IFERROR(__xludf.DUMMYFUNCTION("GOOGLETRANSLATE(C10242, ""en"", ""fa"")
"),"چگونه می‌توانم با اینفلوئنسرهای Etsy یا تیم‌های Etsy برای ایجاد مجموعه‌های محصول انتخاب شده یا راهنمای هدیه همکاری کنم و پیشنهادات خود را به عنوان توصیه‌های برتر در جایگاه‌های مربوطه خود قرار دهیم؟")</f>
        <v>چگونه می‌توانم با اینفلوئنسرهای Etsy یا تیم‌های Etsy برای ایجاد مجموعه‌های محصول انتخاب شده یا راهنمای هدیه همکاری کنم و پیشنهادات خود را به عنوان توصیه‌های برتر در جایگاه‌های مربوطه خود قرار دهیم؟</v>
      </c>
      <c r="H10242" s="1"/>
      <c r="I10242" s="1"/>
      <c r="J10242" s="1"/>
      <c r="K10242" s="1"/>
      <c r="L10242" s="1"/>
      <c r="M10242" s="1"/>
      <c r="N10242" s="1"/>
      <c r="O10242" s="1"/>
      <c r="P10242" s="1"/>
      <c r="Q10242" s="1"/>
      <c r="R10242" s="1"/>
      <c r="S10242" s="1"/>
      <c r="T10242" s="1"/>
      <c r="U10242" s="1"/>
      <c r="V10242" s="1"/>
      <c r="W10242" s="1"/>
      <c r="X10242" s="1"/>
      <c r="Y10242" s="1"/>
      <c r="Z10242" s="1"/>
      <c r="AA10242" s="1"/>
      <c r="AB10242" s="1"/>
    </row>
    <row r="10243" ht="50.25" customHeight="1">
      <c r="A10243" s="12">
        <v>10239.0</v>
      </c>
      <c r="B10243" s="13" t="s">
        <v>9604</v>
      </c>
      <c r="C10243" s="14" t="s">
        <v>10270</v>
      </c>
      <c r="D10243" s="1"/>
      <c r="E10243" s="1"/>
      <c r="F10243" s="1" t="str">
        <f>IFERROR(__xludf.DUMMYFUNCTION("GOOGLETRANSLATE(B10243, ""en"", ""fa"")
"),"موفقیت Etsy")</f>
        <v>موفقیت Etsy</v>
      </c>
      <c r="G10243" s="1" t="str">
        <f>IFERROR(__xludf.DUMMYFUNCTION("GOOGLETRANSLATE(C10243, ""en"", ""fa"")
"),"بهترین روش‌ها برای ایجاد یک مشارکت بلندمدت با یک همکار، مانند یک فضای کاری مشترک، تلاش‌های تبلیغاتی مشترک، یا فرصت‌های فروش متقابل چیست؟")</f>
        <v>بهترین روش‌ها برای ایجاد یک مشارکت بلندمدت با یک همکار، مانند یک فضای کاری مشترک، تلاش‌های تبلیغاتی مشترک، یا فرصت‌های فروش متقابل چیست؟</v>
      </c>
      <c r="H10243" s="1"/>
      <c r="I10243" s="1"/>
      <c r="J10243" s="1"/>
      <c r="K10243" s="1"/>
      <c r="L10243" s="1"/>
      <c r="M10243" s="1"/>
      <c r="N10243" s="1"/>
      <c r="O10243" s="1"/>
      <c r="P10243" s="1"/>
      <c r="Q10243" s="1"/>
      <c r="R10243" s="1"/>
      <c r="S10243" s="1"/>
      <c r="T10243" s="1"/>
      <c r="U10243" s="1"/>
      <c r="V10243" s="1"/>
      <c r="W10243" s="1"/>
      <c r="X10243" s="1"/>
      <c r="Y10243" s="1"/>
      <c r="Z10243" s="1"/>
      <c r="AA10243" s="1"/>
      <c r="AB10243" s="1"/>
    </row>
    <row r="10244" ht="50.25" customHeight="1">
      <c r="A10244" s="12">
        <v>10240.0</v>
      </c>
      <c r="B10244" s="13" t="s">
        <v>9604</v>
      </c>
      <c r="C10244" s="14" t="s">
        <v>10271</v>
      </c>
      <c r="D10244" s="1"/>
      <c r="E10244" s="1"/>
      <c r="F10244" s="1" t="str">
        <f>IFERROR(__xludf.DUMMYFUNCTION("GOOGLETRANSLATE(B10244, ""en"", ""fa"")
"),"موفقیت Etsy")</f>
        <v>موفقیت Etsy</v>
      </c>
      <c r="G10244" s="1" t="str">
        <f>IFERROR(__xludf.DUMMYFUNCTION("GOOGLETRANSLATE(C10244, ""en"", ""fa"")
"),"چگونه می توانم با عکاسان یا استایلیست های محلی همکاری کنم تا تصاویر بصری خیره کننده ای از محصول ایجاد کنم که محصولات Etsy من را در نوری جدید به نمایش بگذارد؟")</f>
        <v>چگونه می توانم با عکاسان یا استایلیست های محلی همکاری کنم تا تصاویر بصری خیره کننده ای از محصول ایجاد کنم که محصولات Etsy من را در نوری جدید به نمایش بگذارد؟</v>
      </c>
      <c r="H10244" s="1"/>
      <c r="I10244" s="1"/>
      <c r="J10244" s="1"/>
      <c r="K10244" s="1"/>
      <c r="L10244" s="1"/>
      <c r="M10244" s="1"/>
      <c r="N10244" s="1"/>
      <c r="O10244" s="1"/>
      <c r="P10244" s="1"/>
      <c r="Q10244" s="1"/>
      <c r="R10244" s="1"/>
      <c r="S10244" s="1"/>
      <c r="T10244" s="1"/>
      <c r="U10244" s="1"/>
      <c r="V10244" s="1"/>
      <c r="W10244" s="1"/>
      <c r="X10244" s="1"/>
      <c r="Y10244" s="1"/>
      <c r="Z10244" s="1"/>
      <c r="AA10244" s="1"/>
      <c r="AB10244" s="1"/>
    </row>
    <row r="10245" ht="50.25" customHeight="1">
      <c r="A10245" s="12">
        <v>10241.0</v>
      </c>
      <c r="B10245" s="13" t="s">
        <v>9604</v>
      </c>
      <c r="C10245" s="14" t="s">
        <v>10272</v>
      </c>
      <c r="D10245" s="1"/>
      <c r="E10245" s="1"/>
      <c r="F10245" s="1" t="str">
        <f>IFERROR(__xludf.DUMMYFUNCTION("GOOGLETRANSLATE(B10245, ""en"", ""fa"")
"),"موفقیت Etsy")</f>
        <v>موفقیت Etsy</v>
      </c>
      <c r="G10245" s="1" t="str">
        <f>IFERROR(__xludf.DUMMYFUNCTION("GOOGLETRANSLATE(C10245, ""en"", ""fa"")
"),"راهبردهای میزبانی کارگاه های مشترک یا رویدادهای آموزشی با سایر فروشندگان Etsy، به اشتراک گذاشتن دانش و تخصص ما با مشتریان و ایجاد تعامل با جامعه چیست؟")</f>
        <v>راهبردهای میزبانی کارگاه های مشترک یا رویدادهای آموزشی با سایر فروشندگان Etsy، به اشتراک گذاشتن دانش و تخصص ما با مشتریان و ایجاد تعامل با جامعه چیست؟</v>
      </c>
      <c r="H10245" s="1"/>
      <c r="I10245" s="1"/>
      <c r="J10245" s="1"/>
      <c r="K10245" s="1"/>
      <c r="L10245" s="1"/>
      <c r="M10245" s="1"/>
      <c r="N10245" s="1"/>
      <c r="O10245" s="1"/>
      <c r="P10245" s="1"/>
      <c r="Q10245" s="1"/>
      <c r="R10245" s="1"/>
      <c r="S10245" s="1"/>
      <c r="T10245" s="1"/>
      <c r="U10245" s="1"/>
      <c r="V10245" s="1"/>
      <c r="W10245" s="1"/>
      <c r="X10245" s="1"/>
      <c r="Y10245" s="1"/>
      <c r="Z10245" s="1"/>
      <c r="AA10245" s="1"/>
      <c r="AB10245" s="1"/>
    </row>
    <row r="10246" ht="50.25" customHeight="1">
      <c r="A10246" s="12">
        <v>10242.0</v>
      </c>
      <c r="B10246" s="13" t="s">
        <v>9604</v>
      </c>
      <c r="C10246" s="14" t="s">
        <v>10273</v>
      </c>
      <c r="D10246" s="1"/>
      <c r="E10246" s="1"/>
      <c r="F10246" s="1" t="str">
        <f>IFERROR(__xludf.DUMMYFUNCTION("GOOGLETRANSLATE(B10246, ""en"", ""fa"")
"),"موفقیت Etsy")</f>
        <v>موفقیت Etsy</v>
      </c>
      <c r="G10246" s="1" t="str">
        <f>IFERROR(__xludf.DUMMYFUNCTION("GOOGLETRANSLATE(C10246, ""en"", ""fa"")
"),"چگونه می توانم با فروشندگان Etsy که حضور قوی در رسانه های اجتماعی دارند، برای میزبانی مشترک تصاحب اینستاگرام یا تبلیغ متقابل محتوای یکدیگر برای دستیابی به مخاطبان جدید، همکاری کنم؟")</f>
        <v>چگونه می توانم با فروشندگان Etsy که حضور قوی در رسانه های اجتماعی دارند، برای میزبانی مشترک تصاحب اینستاگرام یا تبلیغ متقابل محتوای یکدیگر برای دستیابی به مخاطبان جدید، همکاری کنم؟</v>
      </c>
      <c r="H10246" s="1"/>
      <c r="I10246" s="1"/>
      <c r="J10246" s="1"/>
      <c r="K10246" s="1"/>
      <c r="L10246" s="1"/>
      <c r="M10246" s="1"/>
      <c r="N10246" s="1"/>
      <c r="O10246" s="1"/>
      <c r="P10246" s="1"/>
      <c r="Q10246" s="1"/>
      <c r="R10246" s="1"/>
      <c r="S10246" s="1"/>
      <c r="T10246" s="1"/>
      <c r="U10246" s="1"/>
      <c r="V10246" s="1"/>
      <c r="W10246" s="1"/>
      <c r="X10246" s="1"/>
      <c r="Y10246" s="1"/>
      <c r="Z10246" s="1"/>
      <c r="AA10246" s="1"/>
      <c r="AB10246" s="1"/>
    </row>
    <row r="10247" ht="50.25" customHeight="1">
      <c r="A10247" s="12">
        <v>10243.0</v>
      </c>
      <c r="B10247" s="13" t="s">
        <v>9604</v>
      </c>
      <c r="C10247" s="14" t="s">
        <v>10274</v>
      </c>
      <c r="D10247" s="1"/>
      <c r="E10247" s="1"/>
      <c r="F10247" s="1" t="str">
        <f>IFERROR(__xludf.DUMMYFUNCTION("GOOGLETRANSLATE(B10247, ""en"", ""fa"")
"),"موفقیت Etsy")</f>
        <v>موفقیت Etsy</v>
      </c>
      <c r="G10247" s="1" t="str">
        <f>IFERROR(__xludf.DUMMYFUNCTION("GOOGLETRANSLATE(C10247, ""en"", ""fa"")
"),"ملاحظات برای ایجاد بسته‌های محصول مشترک یا مجموعه‌های سرپرستی شده با یکی دیگر از فروشنده‌های Etsy، ارائه یک تجربه خرید جامع و منسجم به مشتریان چیست؟")</f>
        <v>ملاحظات برای ایجاد بسته‌های محصول مشترک یا مجموعه‌های سرپرستی شده با یکی دیگر از فروشنده‌های Etsy، ارائه یک تجربه خرید جامع و منسجم به مشتریان چیست؟</v>
      </c>
      <c r="H10247" s="1"/>
      <c r="I10247" s="1"/>
      <c r="J10247" s="1"/>
      <c r="K10247" s="1"/>
      <c r="L10247" s="1"/>
      <c r="M10247" s="1"/>
      <c r="N10247" s="1"/>
      <c r="O10247" s="1"/>
      <c r="P10247" s="1"/>
      <c r="Q10247" s="1"/>
      <c r="R10247" s="1"/>
      <c r="S10247" s="1"/>
      <c r="T10247" s="1"/>
      <c r="U10247" s="1"/>
      <c r="V10247" s="1"/>
      <c r="W10247" s="1"/>
      <c r="X10247" s="1"/>
      <c r="Y10247" s="1"/>
      <c r="Z10247" s="1"/>
      <c r="AA10247" s="1"/>
      <c r="AB10247" s="1"/>
    </row>
    <row r="10248" ht="50.25" customHeight="1">
      <c r="A10248" s="12">
        <v>10244.0</v>
      </c>
      <c r="B10248" s="13" t="s">
        <v>9604</v>
      </c>
      <c r="C10248" s="14" t="s">
        <v>10275</v>
      </c>
      <c r="D10248" s="1"/>
      <c r="E10248" s="1"/>
      <c r="F10248" s="1" t="str">
        <f>IFERROR(__xludf.DUMMYFUNCTION("GOOGLETRANSLATE(B10248, ""en"", ""fa"")
"),"موفقیت Etsy")</f>
        <v>موفقیت Etsy</v>
      </c>
      <c r="G10248" s="1" t="str">
        <f>IFERROR(__xludf.DUMMYFUNCTION("GOOGLETRANSLATE(C10248, ""en"", ""fa"")
"),"چگونه می‌توانم با سایر فروشندگان Etsy برای ایجاد جعبه‌های اشتراک با زمان محدود یا بسته‌های محصول تکرارشونده همکاری کنم، و به طور منظم مجموعه‌ای از اقلام را از چندین فروشنده به مشتریان ارائه دهم؟")</f>
        <v>چگونه می‌توانم با سایر فروشندگان Etsy برای ایجاد جعبه‌های اشتراک با زمان محدود یا بسته‌های محصول تکرارشونده همکاری کنم، و به طور منظم مجموعه‌ای از اقلام را از چندین فروشنده به مشتریان ارائه دهم؟</v>
      </c>
      <c r="H10248" s="1"/>
      <c r="I10248" s="1"/>
      <c r="J10248" s="1"/>
      <c r="K10248" s="1"/>
      <c r="L10248" s="1"/>
      <c r="M10248" s="1"/>
      <c r="N10248" s="1"/>
      <c r="O10248" s="1"/>
      <c r="P10248" s="1"/>
      <c r="Q10248" s="1"/>
      <c r="R10248" s="1"/>
      <c r="S10248" s="1"/>
      <c r="T10248" s="1"/>
      <c r="U10248" s="1"/>
      <c r="V10248" s="1"/>
      <c r="W10248" s="1"/>
      <c r="X10248" s="1"/>
      <c r="Y10248" s="1"/>
      <c r="Z10248" s="1"/>
      <c r="AA10248" s="1"/>
      <c r="AB10248" s="1"/>
    </row>
    <row r="10249" ht="50.25" customHeight="1">
      <c r="A10249" s="12">
        <v>10245.0</v>
      </c>
      <c r="B10249" s="13" t="s">
        <v>9604</v>
      </c>
      <c r="C10249" s="14" t="s">
        <v>10276</v>
      </c>
      <c r="D10249" s="1"/>
      <c r="E10249" s="1"/>
      <c r="F10249" s="1" t="str">
        <f>IFERROR(__xludf.DUMMYFUNCTION("GOOGLETRANSLATE(B10249, ""en"", ""fa"")
"),"موفقیت Etsy")</f>
        <v>موفقیت Etsy</v>
      </c>
      <c r="G10249" s="1" t="str">
        <f>IFERROR(__xludf.DUMMYFUNCTION("GOOGLETRANSLATE(C10249, ""en"", ""fa"")
"),"چه استراتژی هایی برای طراحی و توسعه مشترک یک محصول جدید با یک همکار، ترکیب دیدگاه های خلاقانه و تخصص فنی ما وجود دارد؟")</f>
        <v>چه استراتژی هایی برای طراحی و توسعه مشترک یک محصول جدید با یک همکار، ترکیب دیدگاه های خلاقانه و تخصص فنی ما وجود دارد؟</v>
      </c>
      <c r="H10249" s="1"/>
      <c r="I10249" s="1"/>
      <c r="J10249" s="1"/>
      <c r="K10249" s="1"/>
      <c r="L10249" s="1"/>
      <c r="M10249" s="1"/>
      <c r="N10249" s="1"/>
      <c r="O10249" s="1"/>
      <c r="P10249" s="1"/>
      <c r="Q10249" s="1"/>
      <c r="R10249" s="1"/>
      <c r="S10249" s="1"/>
      <c r="T10249" s="1"/>
      <c r="U10249" s="1"/>
      <c r="V10249" s="1"/>
      <c r="W10249" s="1"/>
      <c r="X10249" s="1"/>
      <c r="Y10249" s="1"/>
      <c r="Z10249" s="1"/>
      <c r="AA10249" s="1"/>
      <c r="AB10249" s="1"/>
    </row>
    <row r="10250" ht="50.25" customHeight="1">
      <c r="A10250" s="12">
        <v>10246.0</v>
      </c>
      <c r="B10250" s="13" t="s">
        <v>9604</v>
      </c>
      <c r="C10250" s="14" t="s">
        <v>10277</v>
      </c>
      <c r="D10250" s="1"/>
      <c r="E10250" s="1"/>
      <c r="F10250" s="1" t="str">
        <f>IFERROR(__xludf.DUMMYFUNCTION("GOOGLETRANSLATE(B10250, ""en"", ""fa"")
"),"موفقیت Etsy")</f>
        <v>موفقیت Etsy</v>
      </c>
      <c r="G10250" s="1" t="str">
        <f>IFERROR(__xludf.DUMMYFUNCTION("GOOGLETRANSLATE(C10250, ""en"", ""fa"")
"),"چگونه می‌توانم با اینفلوئنسرهای محلی یا میکرو اینفلوئنسرها برای میزبانی رویدادهای حضوری یا فروشگاه‌های پاپ‌آپ که محصولات Etsy من را نشان می‌دهند همکاری کنم و از دنبال‌کنندگان محلی آنها استفاده کنم؟")</f>
        <v>چگونه می‌توانم با اینفلوئنسرهای محلی یا میکرو اینفلوئنسرها برای میزبانی رویدادهای حضوری یا فروشگاه‌های پاپ‌آپ که محصولات Etsy من را نشان می‌دهند همکاری کنم و از دنبال‌کنندگان محلی آنها استفاده کنم؟</v>
      </c>
      <c r="H10250" s="1"/>
      <c r="I10250" s="1"/>
      <c r="J10250" s="1"/>
      <c r="K10250" s="1"/>
      <c r="L10250" s="1"/>
      <c r="M10250" s="1"/>
      <c r="N10250" s="1"/>
      <c r="O10250" s="1"/>
      <c r="P10250" s="1"/>
      <c r="Q10250" s="1"/>
      <c r="R10250" s="1"/>
      <c r="S10250" s="1"/>
      <c r="T10250" s="1"/>
      <c r="U10250" s="1"/>
      <c r="V10250" s="1"/>
      <c r="W10250" s="1"/>
      <c r="X10250" s="1"/>
      <c r="Y10250" s="1"/>
      <c r="Z10250" s="1"/>
      <c r="AA10250" s="1"/>
      <c r="AB10250" s="1"/>
    </row>
    <row r="10251" ht="50.25" customHeight="1">
      <c r="A10251" s="12">
        <v>10247.0</v>
      </c>
      <c r="B10251" s="13" t="s">
        <v>9604</v>
      </c>
      <c r="C10251" s="14" t="s">
        <v>10278</v>
      </c>
      <c r="D10251" s="1"/>
      <c r="E10251" s="1"/>
      <c r="F10251" s="1" t="str">
        <f>IFERROR(__xludf.DUMMYFUNCTION("GOOGLETRANSLATE(B10251, ""en"", ""fa"")
"),"موفقیت Etsy")</f>
        <v>موفقیت Etsy</v>
      </c>
      <c r="G10251" s="1" t="str">
        <f>IFERROR(__xludf.DUMMYFUNCTION("GOOGLETRANSLATE(C10251, ""en"", ""fa"")
"),"ملاحظات برای تبلیغ متقابل با مشاغل یا مارک های مکمل خارج از Etsy از طریق برنامه های ارجاع یا کمپین های تبلیغاتی مشترک چیست؟")</f>
        <v>ملاحظات برای تبلیغ متقابل با مشاغل یا مارک های مکمل خارج از Etsy از طریق برنامه های ارجاع یا کمپین های تبلیغاتی مشترک چیست؟</v>
      </c>
      <c r="H10251" s="1"/>
      <c r="I10251" s="1"/>
      <c r="J10251" s="1"/>
      <c r="K10251" s="1"/>
      <c r="L10251" s="1"/>
      <c r="M10251" s="1"/>
      <c r="N10251" s="1"/>
      <c r="O10251" s="1"/>
      <c r="P10251" s="1"/>
      <c r="Q10251" s="1"/>
      <c r="R10251" s="1"/>
      <c r="S10251" s="1"/>
      <c r="T10251" s="1"/>
      <c r="U10251" s="1"/>
      <c r="V10251" s="1"/>
      <c r="W10251" s="1"/>
      <c r="X10251" s="1"/>
      <c r="Y10251" s="1"/>
      <c r="Z10251" s="1"/>
      <c r="AA10251" s="1"/>
      <c r="AB10251" s="1"/>
    </row>
    <row r="10252" ht="50.25" customHeight="1">
      <c r="A10252" s="12">
        <v>10248.0</v>
      </c>
      <c r="B10252" s="13" t="s">
        <v>9604</v>
      </c>
      <c r="C10252" s="14" t="s">
        <v>10279</v>
      </c>
      <c r="D10252" s="1"/>
      <c r="E10252" s="1"/>
      <c r="F10252" s="1" t="str">
        <f>IFERROR(__xludf.DUMMYFUNCTION("GOOGLETRANSLATE(B10252, ""en"", ""fa"")
"),"موفقیت Etsy")</f>
        <v>موفقیت Etsy</v>
      </c>
      <c r="G10252" s="1" t="str">
        <f>IFERROR(__xludf.DUMMYFUNCTION("GOOGLETRANSLATE(C10252, ""en"", ""fa"")
"),"چگونه می‌توانم با فروشندگان Etsy که خدمات تکمیلی مانند بسته‌بندی یا سفارشی‌سازی هدیه ارائه می‌کنند، همکاری کنم تا تجربه کلی مشتری را بهبود بخشیم و پیشنهاداتمان را متمایز کنیم؟")</f>
        <v>چگونه می‌توانم با فروشندگان Etsy که خدمات تکمیلی مانند بسته‌بندی یا سفارشی‌سازی هدیه ارائه می‌کنند، همکاری کنم تا تجربه کلی مشتری را بهبود بخشیم و پیشنهاداتمان را متمایز کنیم؟</v>
      </c>
      <c r="H10252" s="1"/>
      <c r="I10252" s="1"/>
      <c r="J10252" s="1"/>
      <c r="K10252" s="1"/>
      <c r="L10252" s="1"/>
      <c r="M10252" s="1"/>
      <c r="N10252" s="1"/>
      <c r="O10252" s="1"/>
      <c r="P10252" s="1"/>
      <c r="Q10252" s="1"/>
      <c r="R10252" s="1"/>
      <c r="S10252" s="1"/>
      <c r="T10252" s="1"/>
      <c r="U10252" s="1"/>
      <c r="V10252" s="1"/>
      <c r="W10252" s="1"/>
      <c r="X10252" s="1"/>
      <c r="Y10252" s="1"/>
      <c r="Z10252" s="1"/>
      <c r="AA10252" s="1"/>
      <c r="AB10252" s="1"/>
    </row>
    <row r="10253" ht="50.25" customHeight="1">
      <c r="A10253" s="12">
        <v>10249.0</v>
      </c>
      <c r="B10253" s="13" t="s">
        <v>9604</v>
      </c>
      <c r="C10253" s="14" t="s">
        <v>10280</v>
      </c>
      <c r="D10253" s="1"/>
      <c r="E10253" s="1"/>
      <c r="F10253" s="1" t="str">
        <f>IFERROR(__xludf.DUMMYFUNCTION("GOOGLETRANSLATE(B10253, ""en"", ""fa"")
"),"موفقیت Etsy")</f>
        <v>موفقیت Etsy</v>
      </c>
      <c r="G10253" s="1" t="str">
        <f>IFERROR(__xludf.DUMMYFUNCTION("GOOGLETRANSLATE(C10253, ""en"", ""fa"")
"),"بهترین شیوه ها برای ایجاد یک بسته مطبوعاتی مشترک یا بسته رسانه ای برای انتقال موثر ارزش و منحصر به فرد بودن یک مشارکت به روزنامه نگاران یا رسانه ها چیست؟")</f>
        <v>بهترین شیوه ها برای ایجاد یک بسته مطبوعاتی مشترک یا بسته رسانه ای برای انتقال موثر ارزش و منحصر به فرد بودن یک مشارکت به روزنامه نگاران یا رسانه ها چیست؟</v>
      </c>
      <c r="H10253" s="1"/>
      <c r="I10253" s="1"/>
      <c r="J10253" s="1"/>
      <c r="K10253" s="1"/>
      <c r="L10253" s="1"/>
      <c r="M10253" s="1"/>
      <c r="N10253" s="1"/>
      <c r="O10253" s="1"/>
      <c r="P10253" s="1"/>
      <c r="Q10253" s="1"/>
      <c r="R10253" s="1"/>
      <c r="S10253" s="1"/>
      <c r="T10253" s="1"/>
      <c r="U10253" s="1"/>
      <c r="V10253" s="1"/>
      <c r="W10253" s="1"/>
      <c r="X10253" s="1"/>
      <c r="Y10253" s="1"/>
      <c r="Z10253" s="1"/>
      <c r="AA10253" s="1"/>
      <c r="AB10253" s="1"/>
    </row>
    <row r="10254" ht="50.25" customHeight="1">
      <c r="A10254" s="12">
        <v>10250.0</v>
      </c>
      <c r="B10254" s="13" t="s">
        <v>9604</v>
      </c>
      <c r="C10254" s="14" t="s">
        <v>10281</v>
      </c>
      <c r="D10254" s="1"/>
      <c r="E10254" s="1"/>
      <c r="F10254" s="1" t="str">
        <f>IFERROR(__xludf.DUMMYFUNCTION("GOOGLETRANSLATE(B10254, ""en"", ""fa"")
"),"موفقیت Etsy")</f>
        <v>موفقیت Etsy</v>
      </c>
      <c r="G10254" s="1" t="str">
        <f>IFERROR(__xludf.DUMMYFUNCTION("GOOGLETRANSLATE(C10254, ""en"", ""fa"")
"),"چگونه می توانم با فروشندگان Etsy در مناطق جغرافیایی مختلف برای کشف بازارهای جدید و گسترش پایگاه مشتریان خود فراتر از مخاطبان هدف فعلی خود همکاری کنم؟")</f>
        <v>چگونه می توانم با فروشندگان Etsy در مناطق جغرافیایی مختلف برای کشف بازارهای جدید و گسترش پایگاه مشتریان خود فراتر از مخاطبان هدف فعلی خود همکاری کنم؟</v>
      </c>
      <c r="H10254" s="1"/>
      <c r="I10254" s="1"/>
      <c r="J10254" s="1"/>
      <c r="K10254" s="1"/>
      <c r="L10254" s="1"/>
      <c r="M10254" s="1"/>
      <c r="N10254" s="1"/>
      <c r="O10254" s="1"/>
      <c r="P10254" s="1"/>
      <c r="Q10254" s="1"/>
      <c r="R10254" s="1"/>
      <c r="S10254" s="1"/>
      <c r="T10254" s="1"/>
      <c r="U10254" s="1"/>
      <c r="V10254" s="1"/>
      <c r="W10254" s="1"/>
      <c r="X10254" s="1"/>
      <c r="Y10254" s="1"/>
      <c r="Z10254" s="1"/>
      <c r="AA10254" s="1"/>
      <c r="AB10254" s="1"/>
    </row>
    <row r="10255" ht="50.25" customHeight="1">
      <c r="A10255" s="12">
        <v>10251.0</v>
      </c>
      <c r="B10255" s="13" t="s">
        <v>9604</v>
      </c>
      <c r="C10255" s="14" t="s">
        <v>10282</v>
      </c>
      <c r="D10255" s="1"/>
      <c r="E10255" s="1"/>
      <c r="F10255" s="1" t="str">
        <f>IFERROR(__xludf.DUMMYFUNCTION("GOOGLETRANSLATE(B10255, ""en"", ""fa"")
"),"موفقیت Etsy")</f>
        <v>موفقیت Etsy</v>
      </c>
      <c r="G10255" s="1" t="str">
        <f>IFERROR(__xludf.DUMMYFUNCTION("GOOGLETRANSLATE(C10255, ""en"", ""fa"")
"),"استراتژی‌های ایجاد محتوای مشترک، مانند پست‌های وبلاگ یا ویدیو، که داستان پشت شراکت را برجسته می‌کند و ارزش مشترکی که برای مشتریان به ارمغان می‌آوریم را به نمایش می‌گذارد، چیست؟")</f>
        <v>استراتژی‌های ایجاد محتوای مشترک، مانند پست‌های وبلاگ یا ویدیو، که داستان پشت شراکت را برجسته می‌کند و ارزش مشترکی که برای مشتریان به ارمغان می‌آوریم را به نمایش می‌گذارد، چیست؟</v>
      </c>
      <c r="H10255" s="1"/>
      <c r="I10255" s="1"/>
      <c r="J10255" s="1"/>
      <c r="K10255" s="1"/>
      <c r="L10255" s="1"/>
      <c r="M10255" s="1"/>
      <c r="N10255" s="1"/>
      <c r="O10255" s="1"/>
      <c r="P10255" s="1"/>
      <c r="Q10255" s="1"/>
      <c r="R10255" s="1"/>
      <c r="S10255" s="1"/>
      <c r="T10255" s="1"/>
      <c r="U10255" s="1"/>
      <c r="V10255" s="1"/>
      <c r="W10255" s="1"/>
      <c r="X10255" s="1"/>
      <c r="Y10255" s="1"/>
      <c r="Z10255" s="1"/>
      <c r="AA10255" s="1"/>
      <c r="AB10255" s="1"/>
    </row>
    <row r="10256" ht="50.25" customHeight="1">
      <c r="A10256" s="12">
        <v>10252.0</v>
      </c>
      <c r="B10256" s="13" t="s">
        <v>9604</v>
      </c>
      <c r="C10256" s="14" t="s">
        <v>10283</v>
      </c>
      <c r="D10256" s="1"/>
      <c r="E10256" s="1"/>
      <c r="F10256" s="1" t="str">
        <f>IFERROR(__xludf.DUMMYFUNCTION("GOOGLETRANSLATE(B10256, ""en"", ""fa"")
"),"موفقیت Etsy")</f>
        <v>موفقیت Etsy</v>
      </c>
      <c r="G10256" s="1" t="str">
        <f>IFERROR(__xludf.DUMMYFUNCTION("GOOGLETRANSLATE(C10256, ""en"", ""fa"")
"),"چگونه می‌توانم با برنامه‌ریزان رویدادهای محلی یا هماهنگ‌کننده‌های عروسی همکاری کنم تا محصولات Etsy خود را در عکس‌ها یا رویدادهای مدل‌دار به نمایش بگذارم و بخش خاصی از بازار را هدف قرار دهم؟")</f>
        <v>چگونه می‌توانم با برنامه‌ریزان رویدادهای محلی یا هماهنگ‌کننده‌های عروسی همکاری کنم تا محصولات Etsy خود را در عکس‌ها یا رویدادهای مدل‌دار به نمایش بگذارم و بخش خاصی از بازار را هدف قرار دهم؟</v>
      </c>
      <c r="H10256" s="1"/>
      <c r="I10256" s="1"/>
      <c r="J10256" s="1"/>
      <c r="K10256" s="1"/>
      <c r="L10256" s="1"/>
      <c r="M10256" s="1"/>
      <c r="N10256" s="1"/>
      <c r="O10256" s="1"/>
      <c r="P10256" s="1"/>
      <c r="Q10256" s="1"/>
      <c r="R10256" s="1"/>
      <c r="S10256" s="1"/>
      <c r="T10256" s="1"/>
      <c r="U10256" s="1"/>
      <c r="V10256" s="1"/>
      <c r="W10256" s="1"/>
      <c r="X10256" s="1"/>
      <c r="Y10256" s="1"/>
      <c r="Z10256" s="1"/>
      <c r="AA10256" s="1"/>
      <c r="AB10256" s="1"/>
    </row>
    <row r="10257" ht="50.25" customHeight="1">
      <c r="A10257" s="12">
        <v>10253.0</v>
      </c>
      <c r="B10257" s="13" t="s">
        <v>9604</v>
      </c>
      <c r="C10257" s="14" t="s">
        <v>10284</v>
      </c>
      <c r="D10257" s="1"/>
      <c r="E10257" s="1"/>
      <c r="F10257" s="1" t="str">
        <f>IFERROR(__xludf.DUMMYFUNCTION("GOOGLETRANSLATE(B10257, ""en"", ""fa"")
"),"موفقیت Etsy")</f>
        <v>موفقیت Etsy</v>
      </c>
      <c r="G10257" s="1" t="str">
        <f>IFERROR(__xludf.DUMMYFUNCTION("GOOGLETRANSLATE(C10257, ""en"", ""fa"")
"),"چه ملاحظاتی برای ایجاد توافقنامه ها و شرایط قانونی واضح در هنگام وارد شدن به یک همکاری یا مشارکت، از جمله حقوق مالکیت معنوی و تقسیم درآمد وجود دارد؟")</f>
        <v>چه ملاحظاتی برای ایجاد توافقنامه ها و شرایط قانونی واضح در هنگام وارد شدن به یک همکاری یا مشارکت، از جمله حقوق مالکیت معنوی و تقسیم درآمد وجود دارد؟</v>
      </c>
      <c r="H10257" s="1"/>
      <c r="I10257" s="1"/>
      <c r="J10257" s="1"/>
      <c r="K10257" s="1"/>
      <c r="L10257" s="1"/>
      <c r="M10257" s="1"/>
      <c r="N10257" s="1"/>
      <c r="O10257" s="1"/>
      <c r="P10257" s="1"/>
      <c r="Q10257" s="1"/>
      <c r="R10257" s="1"/>
      <c r="S10257" s="1"/>
      <c r="T10257" s="1"/>
      <c r="U10257" s="1"/>
      <c r="V10257" s="1"/>
      <c r="W10257" s="1"/>
      <c r="X10257" s="1"/>
      <c r="Y10257" s="1"/>
      <c r="Z10257" s="1"/>
      <c r="AA10257" s="1"/>
      <c r="AB10257" s="1"/>
    </row>
    <row r="10258" ht="50.25" customHeight="1">
      <c r="A10258" s="12">
        <v>10254.0</v>
      </c>
      <c r="B10258" s="13" t="s">
        <v>9604</v>
      </c>
      <c r="C10258" s="14" t="s">
        <v>10285</v>
      </c>
      <c r="D10258" s="1"/>
      <c r="E10258" s="1"/>
      <c r="F10258" s="1" t="str">
        <f>IFERROR(__xludf.DUMMYFUNCTION("GOOGLETRANSLATE(B10258, ""en"", ""fa"")
"),"موفقیت Etsy")</f>
        <v>موفقیت Etsy</v>
      </c>
      <c r="G10258" s="1" t="str">
        <f>IFERROR(__xludf.DUMMYFUNCTION("GOOGLETRANSLATE(C10258, ""en"", ""fa"")
"),"چگونه می توانم با فروشندگان Etsy که دارای پایگاه مشترک ایمیل قوی یا برنامه وفاداری مشتری هستند برای ارائه تخفیف یا تبلیغات انحصاری به مخاطبان خود همکاری کنم؟")</f>
        <v>چگونه می توانم با فروشندگان Etsy که دارای پایگاه مشترک ایمیل قوی یا برنامه وفاداری مشتری هستند برای ارائه تخفیف یا تبلیغات انحصاری به مخاطبان خود همکاری کنم؟</v>
      </c>
      <c r="H10258" s="1"/>
      <c r="I10258" s="1"/>
      <c r="J10258" s="1"/>
      <c r="K10258" s="1"/>
      <c r="L10258" s="1"/>
      <c r="M10258" s="1"/>
      <c r="N10258" s="1"/>
      <c r="O10258" s="1"/>
      <c r="P10258" s="1"/>
      <c r="Q10258" s="1"/>
      <c r="R10258" s="1"/>
      <c r="S10258" s="1"/>
      <c r="T10258" s="1"/>
      <c r="U10258" s="1"/>
      <c r="V10258" s="1"/>
      <c r="W10258" s="1"/>
      <c r="X10258" s="1"/>
      <c r="Y10258" s="1"/>
      <c r="Z10258" s="1"/>
      <c r="AA10258" s="1"/>
      <c r="AB10258" s="1"/>
    </row>
    <row r="10259" ht="50.25" customHeight="1">
      <c r="A10259" s="12">
        <v>10255.0</v>
      </c>
      <c r="B10259" s="13" t="s">
        <v>9604</v>
      </c>
      <c r="C10259" s="14" t="s">
        <v>10286</v>
      </c>
      <c r="D10259" s="1"/>
      <c r="E10259" s="1"/>
      <c r="F10259" s="1" t="str">
        <f>IFERROR(__xludf.DUMMYFUNCTION("GOOGLETRANSLATE(B10259, ""en"", ""fa"")
"),"موفقیت Etsy")</f>
        <v>موفقیت Etsy</v>
      </c>
      <c r="G10259" s="1" t="str">
        <f>IFERROR(__xludf.DUMMYFUNCTION("GOOGLETRANSLATE(C10259, ""en"", ""fa"")
"),"استراتژی‌های همکاری با فروشندگان Etsy که در جنبه خاصی از تجارت، مانند بهینه‌سازی SEO یا عکاسی محصول، تخصص دارند، برای به دست آوردن بینش و بهبود فروشگاه Etsy من چیست؟")</f>
        <v>استراتژی‌های همکاری با فروشندگان Etsy که در جنبه خاصی از تجارت، مانند بهینه‌سازی SEO یا عکاسی محصول، تخصص دارند، برای به دست آوردن بینش و بهبود فروشگاه Etsy من چیست؟</v>
      </c>
      <c r="H10259" s="1"/>
      <c r="I10259" s="1"/>
      <c r="J10259" s="1"/>
      <c r="K10259" s="1"/>
      <c r="L10259" s="1"/>
      <c r="M10259" s="1"/>
      <c r="N10259" s="1"/>
      <c r="O10259" s="1"/>
      <c r="P10259" s="1"/>
      <c r="Q10259" s="1"/>
      <c r="R10259" s="1"/>
      <c r="S10259" s="1"/>
      <c r="T10259" s="1"/>
      <c r="U10259" s="1"/>
      <c r="V10259" s="1"/>
      <c r="W10259" s="1"/>
      <c r="X10259" s="1"/>
      <c r="Y10259" s="1"/>
      <c r="Z10259" s="1"/>
      <c r="AA10259" s="1"/>
      <c r="AB10259" s="1"/>
    </row>
    <row r="10260" ht="50.25" customHeight="1">
      <c r="A10260" s="12">
        <v>10256.0</v>
      </c>
      <c r="B10260" s="13" t="s">
        <v>9604</v>
      </c>
      <c r="C10260" s="14" t="s">
        <v>10287</v>
      </c>
      <c r="D10260" s="1"/>
      <c r="E10260" s="1"/>
      <c r="F10260" s="1" t="str">
        <f>IFERROR(__xludf.DUMMYFUNCTION("GOOGLETRANSLATE(B10260, ""en"", ""fa"")
"),"موفقیت Etsy")</f>
        <v>موفقیت Etsy</v>
      </c>
      <c r="G10260" s="1" t="str">
        <f>IFERROR(__xludf.DUMMYFUNCTION("GOOGLETRANSLATE(C10260, ""en"", ""fa"")
"),"چگونه می توانم با اینفلوئنسرهای محلی یا وبلاگ نویسان برای ایجاد محتوایی همکاری کنم که محصولات Etsy من را در زندگی روزمره آنها یا در سناریوهای خاص مرتبط با بازار هدف من به نمایش بگذارد؟")</f>
        <v>چگونه می توانم با اینفلوئنسرهای محلی یا وبلاگ نویسان برای ایجاد محتوایی همکاری کنم که محصولات Etsy من را در زندگی روزمره آنها یا در سناریوهای خاص مرتبط با بازار هدف من به نمایش بگذارد؟</v>
      </c>
      <c r="H10260" s="1"/>
      <c r="I10260" s="1"/>
      <c r="J10260" s="1"/>
      <c r="K10260" s="1"/>
      <c r="L10260" s="1"/>
      <c r="M10260" s="1"/>
      <c r="N10260" s="1"/>
      <c r="O10260" s="1"/>
      <c r="P10260" s="1"/>
      <c r="Q10260" s="1"/>
      <c r="R10260" s="1"/>
      <c r="S10260" s="1"/>
      <c r="T10260" s="1"/>
      <c r="U10260" s="1"/>
      <c r="V10260" s="1"/>
      <c r="W10260" s="1"/>
      <c r="X10260" s="1"/>
      <c r="Y10260" s="1"/>
      <c r="Z10260" s="1"/>
      <c r="AA10260" s="1"/>
      <c r="AB10260" s="1"/>
    </row>
    <row r="10261" ht="50.25" customHeight="1">
      <c r="A10261" s="12">
        <v>10257.0</v>
      </c>
      <c r="B10261" s="13" t="s">
        <v>9604</v>
      </c>
      <c r="C10261" s="14" t="s">
        <v>10288</v>
      </c>
      <c r="D10261" s="1"/>
      <c r="E10261" s="1"/>
      <c r="F10261" s="1" t="str">
        <f>IFERROR(__xludf.DUMMYFUNCTION("GOOGLETRANSLATE(B10261, ""en"", ""fa"")
"),"موفقیت Etsy")</f>
        <v>موفقیت Etsy</v>
      </c>
      <c r="G10261" s="1" t="str">
        <f>IFERROR(__xludf.DUMMYFUNCTION("GOOGLETRANSLATE(C10261, ""en"", ""fa"")
"),"چه ملاحظاتی برای ایجاد عرضه مشترک محصول یا پیش‌سفارش با یکی دیگر از فروشندگان Etsy، ایجاد پیش‌بینی و استفاده از هر دو مخاطب برای افزایش فروش وجود دارد؟")</f>
        <v>چه ملاحظاتی برای ایجاد عرضه مشترک محصول یا پیش‌سفارش با یکی دیگر از فروشندگان Etsy، ایجاد پیش‌بینی و استفاده از هر دو مخاطب برای افزایش فروش وجود دارد؟</v>
      </c>
      <c r="H10261" s="1"/>
      <c r="I10261" s="1"/>
      <c r="J10261" s="1"/>
      <c r="K10261" s="1"/>
      <c r="L10261" s="1"/>
      <c r="M10261" s="1"/>
      <c r="N10261" s="1"/>
      <c r="O10261" s="1"/>
      <c r="P10261" s="1"/>
      <c r="Q10261" s="1"/>
      <c r="R10261" s="1"/>
      <c r="S10261" s="1"/>
      <c r="T10261" s="1"/>
      <c r="U10261" s="1"/>
      <c r="V10261" s="1"/>
      <c r="W10261" s="1"/>
      <c r="X10261" s="1"/>
      <c r="Y10261" s="1"/>
      <c r="Z10261" s="1"/>
      <c r="AA10261" s="1"/>
      <c r="AB10261" s="1"/>
    </row>
    <row r="10262" ht="50.25" customHeight="1">
      <c r="A10262" s="12">
        <v>10258.0</v>
      </c>
      <c r="B10262" s="13" t="s">
        <v>9604</v>
      </c>
      <c r="C10262" s="14" t="s">
        <v>10289</v>
      </c>
      <c r="D10262" s="1"/>
      <c r="E10262" s="1"/>
      <c r="F10262" s="1" t="str">
        <f>IFERROR(__xludf.DUMMYFUNCTION("GOOGLETRANSLATE(B10262, ""en"", ""fa"")
"),"موفقیت Etsy")</f>
        <v>موفقیت Etsy</v>
      </c>
      <c r="G10262" s="1" t="str">
        <f>IFERROR(__xludf.DUMMYFUNCTION("GOOGLETRANSLATE(C10262, ""en"", ""fa"")
"),"چگونه می‌توانم با فروشندگان Etsy که مشارکت‌های عمده‌فروشی یا خرده‌فروشی ایجاد کرده‌اند همکاری کنم تا فرصت‌هایی را برای نمایش محصولات من در فروشگاه‌های فیزیکی یا بوتیک‌ها کشف کنم؟")</f>
        <v>چگونه می‌توانم با فروشندگان Etsy که مشارکت‌های عمده‌فروشی یا خرده‌فروشی ایجاد کرده‌اند همکاری کنم تا فرصت‌هایی را برای نمایش محصولات من در فروشگاه‌های فیزیکی یا بوتیک‌ها کشف کنم؟</v>
      </c>
      <c r="H10262" s="1"/>
      <c r="I10262" s="1"/>
      <c r="J10262" s="1"/>
      <c r="K10262" s="1"/>
      <c r="L10262" s="1"/>
      <c r="M10262" s="1"/>
      <c r="N10262" s="1"/>
      <c r="O10262" s="1"/>
      <c r="P10262" s="1"/>
      <c r="Q10262" s="1"/>
      <c r="R10262" s="1"/>
      <c r="S10262" s="1"/>
      <c r="T10262" s="1"/>
      <c r="U10262" s="1"/>
      <c r="V10262" s="1"/>
      <c r="W10262" s="1"/>
      <c r="X10262" s="1"/>
      <c r="Y10262" s="1"/>
      <c r="Z10262" s="1"/>
      <c r="AA10262" s="1"/>
      <c r="AB10262" s="1"/>
    </row>
    <row r="10263" ht="50.25" customHeight="1">
      <c r="A10263" s="12">
        <v>10259.0</v>
      </c>
      <c r="B10263" s="13" t="s">
        <v>9604</v>
      </c>
      <c r="C10263" s="14" t="s">
        <v>10290</v>
      </c>
      <c r="D10263" s="1"/>
      <c r="E10263" s="1"/>
      <c r="F10263" s="1" t="str">
        <f>IFERROR(__xludf.DUMMYFUNCTION("GOOGLETRANSLATE(B10263, ""en"", ""fa"")
"),"موفقیت Etsy")</f>
        <v>موفقیت Etsy</v>
      </c>
      <c r="G10263" s="1" t="str">
        <f>IFERROR(__xludf.DUMMYFUNCTION("GOOGLETRANSLATE(C10263, ""en"", ""fa"")
"),"بهترین روش ها برای ایجاد یک شبکه ارجاع با فروشندگان مکمل Etsy، که در آن مشتریان را بر اساس معیارهای خاص یا ترجیحات مشتری به یکدیگر ارجاع می دهیم، چیست؟")</f>
        <v>بهترین روش ها برای ایجاد یک شبکه ارجاع با فروشندگان مکمل Etsy، که در آن مشتریان را بر اساس معیارهای خاص یا ترجیحات مشتری به یکدیگر ارجاع می دهیم، چیست؟</v>
      </c>
      <c r="H10263" s="1"/>
      <c r="I10263" s="1"/>
      <c r="J10263" s="1"/>
      <c r="K10263" s="1"/>
      <c r="L10263" s="1"/>
      <c r="M10263" s="1"/>
      <c r="N10263" s="1"/>
      <c r="O10263" s="1"/>
      <c r="P10263" s="1"/>
      <c r="Q10263" s="1"/>
      <c r="R10263" s="1"/>
      <c r="S10263" s="1"/>
      <c r="T10263" s="1"/>
      <c r="U10263" s="1"/>
      <c r="V10263" s="1"/>
      <c r="W10263" s="1"/>
      <c r="X10263" s="1"/>
      <c r="Y10263" s="1"/>
      <c r="Z10263" s="1"/>
      <c r="AA10263" s="1"/>
      <c r="AB10263" s="1"/>
    </row>
    <row r="10264" ht="50.25" customHeight="1">
      <c r="A10264" s="12">
        <v>10260.0</v>
      </c>
      <c r="B10264" s="13" t="s">
        <v>9604</v>
      </c>
      <c r="C10264" s="14" t="s">
        <v>10291</v>
      </c>
      <c r="D10264" s="1"/>
      <c r="E10264" s="1"/>
      <c r="F10264" s="1" t="str">
        <f>IFERROR(__xludf.DUMMYFUNCTION("GOOGLETRANSLATE(B10264, ""en"", ""fa"")
"),"موفقیت Etsy")</f>
        <v>موفقیت Etsy</v>
      </c>
      <c r="G10264" s="1" t="str">
        <f>IFERROR(__xludf.DUMMYFUNCTION("GOOGLETRANSLATE(C10264, ""en"", ""fa"")
"),"چگونه می توانم با فروشندگان Etsy که در دسته بندی محصولات متفاوتی تخصص دارند، اما بازار هدف مشابهی را به اشتراک می گذارند، همکاری کنم که به ما امکان می دهد پایگاه مشتریان خود را به صورت متقابل تبلیغ و گسترش دهیم؟")</f>
        <v>چگونه می توانم با فروشندگان Etsy که در دسته بندی محصولات متفاوتی تخصص دارند، اما بازار هدف مشابهی را به اشتراک می گذارند، همکاری کنم که به ما امکان می دهد پایگاه مشتریان خود را به صورت متقابل تبلیغ و گسترش دهیم؟</v>
      </c>
      <c r="H10264" s="1"/>
      <c r="I10264" s="1"/>
      <c r="J10264" s="1"/>
      <c r="K10264" s="1"/>
      <c r="L10264" s="1"/>
      <c r="M10264" s="1"/>
      <c r="N10264" s="1"/>
      <c r="O10264" s="1"/>
      <c r="P10264" s="1"/>
      <c r="Q10264" s="1"/>
      <c r="R10264" s="1"/>
      <c r="S10264" s="1"/>
      <c r="T10264" s="1"/>
      <c r="U10264" s="1"/>
      <c r="V10264" s="1"/>
      <c r="W10264" s="1"/>
      <c r="X10264" s="1"/>
      <c r="Y10264" s="1"/>
      <c r="Z10264" s="1"/>
      <c r="AA10264" s="1"/>
      <c r="AB10264" s="1"/>
    </row>
    <row r="10265" ht="50.25" customHeight="1">
      <c r="A10265" s="12">
        <v>10261.0</v>
      </c>
      <c r="B10265" s="13" t="s">
        <v>9604</v>
      </c>
      <c r="C10265" s="14" t="s">
        <v>10292</v>
      </c>
      <c r="D10265" s="1"/>
      <c r="E10265" s="1"/>
      <c r="F10265" s="1" t="str">
        <f>IFERROR(__xludf.DUMMYFUNCTION("GOOGLETRANSLATE(B10265, ""en"", ""fa"")
"),"موفقیت Etsy")</f>
        <v>موفقیت Etsy</v>
      </c>
      <c r="G10265" s="1" t="str">
        <f>IFERROR(__xludf.DUMMYFUNCTION("GOOGLETRANSLATE(C10265, ""en"", ""fa"")
"),"راهبردهای میزبانی وبینارهای مشترک یا کارگاه های آنلاین با سایر فروشندگان Etsy، به اشتراک گذاشتن بینش یا مهارت های ارزشمند با شرکت کنندگان و ایجاد اعتبار برند چیست؟")</f>
        <v>راهبردهای میزبانی وبینارهای مشترک یا کارگاه های آنلاین با سایر فروشندگان Etsy، به اشتراک گذاشتن بینش یا مهارت های ارزشمند با شرکت کنندگان و ایجاد اعتبار برند چیست؟</v>
      </c>
      <c r="H10265" s="1"/>
      <c r="I10265" s="1"/>
      <c r="J10265" s="1"/>
      <c r="K10265" s="1"/>
      <c r="L10265" s="1"/>
      <c r="M10265" s="1"/>
      <c r="N10265" s="1"/>
      <c r="O10265" s="1"/>
      <c r="P10265" s="1"/>
      <c r="Q10265" s="1"/>
      <c r="R10265" s="1"/>
      <c r="S10265" s="1"/>
      <c r="T10265" s="1"/>
      <c r="U10265" s="1"/>
      <c r="V10265" s="1"/>
      <c r="W10265" s="1"/>
      <c r="X10265" s="1"/>
      <c r="Y10265" s="1"/>
      <c r="Z10265" s="1"/>
      <c r="AA10265" s="1"/>
      <c r="AB10265" s="1"/>
    </row>
    <row r="10266" ht="50.25" customHeight="1">
      <c r="A10266" s="12">
        <v>10262.0</v>
      </c>
      <c r="B10266" s="13" t="s">
        <v>9604</v>
      </c>
      <c r="C10266" s="14" t="s">
        <v>10293</v>
      </c>
      <c r="D10266" s="1"/>
      <c r="E10266" s="1"/>
      <c r="F10266" s="1" t="str">
        <f>IFERROR(__xludf.DUMMYFUNCTION("GOOGLETRANSLATE(B10266, ""en"", ""fa"")
"),"موفقیت Etsy")</f>
        <v>موفقیت Etsy</v>
      </c>
      <c r="G10266" s="1" t="str">
        <f>IFERROR(__xludf.DUMMYFUNCTION("GOOGLETRANSLATE(C10266, ""en"", ""fa"")
"),"چگونه می توانم با فروشندگان Etsy که خدمات یا افزونه هایی را ارائه می دهند که مکمل محصولات من هستند، مانند بسته بندی هدیه یا شخصی سازی، برای بهبود تجربه کلی مشتری همکاری کنم؟")</f>
        <v>چگونه می توانم با فروشندگان Etsy که خدمات یا افزونه هایی را ارائه می دهند که مکمل محصولات من هستند، مانند بسته بندی هدیه یا شخصی سازی، برای بهبود تجربه کلی مشتری همکاری کنم؟</v>
      </c>
      <c r="H10266" s="1"/>
      <c r="I10266" s="1"/>
      <c r="J10266" s="1"/>
      <c r="K10266" s="1"/>
      <c r="L10266" s="1"/>
      <c r="M10266" s="1"/>
      <c r="N10266" s="1"/>
      <c r="O10266" s="1"/>
      <c r="P10266" s="1"/>
      <c r="Q10266" s="1"/>
      <c r="R10266" s="1"/>
      <c r="S10266" s="1"/>
      <c r="T10266" s="1"/>
      <c r="U10266" s="1"/>
      <c r="V10266" s="1"/>
      <c r="W10266" s="1"/>
      <c r="X10266" s="1"/>
      <c r="Y10266" s="1"/>
      <c r="Z10266" s="1"/>
      <c r="AA10266" s="1"/>
      <c r="AB10266" s="1"/>
    </row>
    <row r="10267" ht="50.25" customHeight="1">
      <c r="A10267" s="12">
        <v>10263.0</v>
      </c>
      <c r="B10267" s="13" t="s">
        <v>9604</v>
      </c>
      <c r="C10267" s="14" t="s">
        <v>10294</v>
      </c>
      <c r="D10267" s="1"/>
      <c r="E10267" s="1"/>
      <c r="F10267" s="1" t="str">
        <f>IFERROR(__xludf.DUMMYFUNCTION("GOOGLETRANSLATE(B10267, ""en"", ""fa"")
"),"موفقیت Etsy")</f>
        <v>موفقیت Etsy</v>
      </c>
      <c r="G10267" s="1" t="str">
        <f>IFERROR(__xludf.DUMMYFUNCTION("GOOGLETRANSLATE(C10267, ""en"", ""fa"")
"),"ملاحظات ایجاد محتوای مشترک، مانند پست‌های وبلاگ یا ویدیوها، که به مشتریان در مورد مزایای مشارکت ما آموزش می‌دهد و ارزش منحصر به فردی که ارائه می‌دهیم را برجسته می‌کند، چیست؟")</f>
        <v>ملاحظات ایجاد محتوای مشترک، مانند پست‌های وبلاگ یا ویدیوها، که به مشتریان در مورد مزایای مشارکت ما آموزش می‌دهد و ارزش منحصر به فردی که ارائه می‌دهیم را برجسته می‌کند، چیست؟</v>
      </c>
      <c r="H10267" s="1"/>
      <c r="I10267" s="1"/>
      <c r="J10267" s="1"/>
      <c r="K10267" s="1"/>
      <c r="L10267" s="1"/>
      <c r="M10267" s="1"/>
      <c r="N10267" s="1"/>
      <c r="O10267" s="1"/>
      <c r="P10267" s="1"/>
      <c r="Q10267" s="1"/>
      <c r="R10267" s="1"/>
      <c r="S10267" s="1"/>
      <c r="T10267" s="1"/>
      <c r="U10267" s="1"/>
      <c r="V10267" s="1"/>
      <c r="W10267" s="1"/>
      <c r="X10267" s="1"/>
      <c r="Y10267" s="1"/>
      <c r="Z10267" s="1"/>
      <c r="AA10267" s="1"/>
      <c r="AB10267" s="1"/>
    </row>
    <row r="10268" ht="50.25" customHeight="1">
      <c r="A10268" s="12">
        <v>10264.0</v>
      </c>
      <c r="B10268" s="13" t="s">
        <v>9604</v>
      </c>
      <c r="C10268" s="14" t="s">
        <v>10295</v>
      </c>
      <c r="D10268" s="1"/>
      <c r="E10268" s="1"/>
      <c r="F10268" s="1" t="str">
        <f>IFERROR(__xludf.DUMMYFUNCTION("GOOGLETRANSLATE(B10268, ""en"", ""fa"")
"),"موفقیت Etsy")</f>
        <v>موفقیت Etsy</v>
      </c>
      <c r="G10268" s="1" t="str">
        <f>IFERROR(__xludf.DUMMYFUNCTION("GOOGLETRANSLATE(C10268, ""en"", ""fa"")
"),"چگونه می توانم عملیات فعلی کسب و کار Etsy خود را تجزیه و تحلیل کنم و مناطقی را که می توانم مقیاس و رشد کنم را شناسایی کنم؟")</f>
        <v>چگونه می توانم عملیات فعلی کسب و کار Etsy خود را تجزیه و تحلیل کنم و مناطقی را که می توانم مقیاس و رشد کنم را شناسایی کنم؟</v>
      </c>
      <c r="H10268" s="1"/>
      <c r="I10268" s="1"/>
      <c r="J10268" s="1"/>
      <c r="K10268" s="1"/>
      <c r="L10268" s="1"/>
      <c r="M10268" s="1"/>
      <c r="N10268" s="1"/>
      <c r="O10268" s="1"/>
      <c r="P10268" s="1"/>
      <c r="Q10268" s="1"/>
      <c r="R10268" s="1"/>
      <c r="S10268" s="1"/>
      <c r="T10268" s="1"/>
      <c r="U10268" s="1"/>
      <c r="V10268" s="1"/>
      <c r="W10268" s="1"/>
      <c r="X10268" s="1"/>
      <c r="Y10268" s="1"/>
      <c r="Z10268" s="1"/>
      <c r="AA10268" s="1"/>
      <c r="AB10268" s="1"/>
    </row>
    <row r="10269" ht="50.25" customHeight="1">
      <c r="A10269" s="12">
        <v>10265.0</v>
      </c>
      <c r="B10269" s="13" t="s">
        <v>9604</v>
      </c>
      <c r="C10269" s="14" t="s">
        <v>10296</v>
      </c>
      <c r="D10269" s="1"/>
      <c r="E10269" s="1"/>
      <c r="F10269" s="1" t="str">
        <f>IFERROR(__xludf.DUMMYFUNCTION("GOOGLETRANSLATE(B10269, ""en"", ""fa"")
"),"موفقیت Etsy")</f>
        <v>موفقیت Etsy</v>
      </c>
      <c r="G10269" s="1" t="str">
        <f>IFERROR(__xludf.DUMMYFUNCTION("GOOGLETRANSLATE(C10269, ""en"", ""fa"")
"),"استراتژی‌هایی برای گسترش خط تولید من به منظور ارائه طیف وسیع‌تری از گزینه‌ها به مشتریان در حوزه من چیست؟")</f>
        <v>استراتژی‌هایی برای گسترش خط تولید من به منظور ارائه طیف وسیع‌تری از گزینه‌ها به مشتریان در حوزه من چیست؟</v>
      </c>
      <c r="H10269" s="1"/>
      <c r="I10269" s="1"/>
      <c r="J10269" s="1"/>
      <c r="K10269" s="1"/>
      <c r="L10269" s="1"/>
      <c r="M10269" s="1"/>
      <c r="N10269" s="1"/>
      <c r="O10269" s="1"/>
      <c r="P10269" s="1"/>
      <c r="Q10269" s="1"/>
      <c r="R10269" s="1"/>
      <c r="S10269" s="1"/>
      <c r="T10269" s="1"/>
      <c r="U10269" s="1"/>
      <c r="V10269" s="1"/>
      <c r="W10269" s="1"/>
      <c r="X10269" s="1"/>
      <c r="Y10269" s="1"/>
      <c r="Z10269" s="1"/>
      <c r="AA10269" s="1"/>
      <c r="AB10269" s="1"/>
    </row>
    <row r="10270" ht="50.25" customHeight="1">
      <c r="A10270" s="12">
        <v>10266.0</v>
      </c>
      <c r="B10270" s="13" t="s">
        <v>9604</v>
      </c>
      <c r="C10270" s="14" t="s">
        <v>10297</v>
      </c>
      <c r="D10270" s="1"/>
      <c r="E10270" s="1"/>
      <c r="F10270" s="1" t="str">
        <f>IFERROR(__xludf.DUMMYFUNCTION("GOOGLETRANSLATE(B10270, ""en"", ""fa"")
"),"موفقیت Etsy")</f>
        <v>موفقیت Etsy</v>
      </c>
      <c r="G10270" s="1" t="str">
        <f>IFERROR(__xludf.DUMMYFUNCTION("GOOGLETRANSLATE(C10270, ""en"", ""fa"")
"),"چگونه می‌توانم از بازخورد مشتری و تحقیقات بازار برای شناسایی دسته‌ها یا جایگاه‌های جدید محصولات جدید برای تنوع بخشیدن به تجارت Etsy خود استفاده کنم؟")</f>
        <v>چگونه می‌توانم از بازخورد مشتری و تحقیقات بازار برای شناسایی دسته‌ها یا جایگاه‌های جدید محصولات جدید برای تنوع بخشیدن به تجارت Etsy خود استفاده کنم؟</v>
      </c>
      <c r="H10270" s="1"/>
      <c r="I10270" s="1"/>
      <c r="J10270" s="1"/>
      <c r="K10270" s="1"/>
      <c r="L10270" s="1"/>
      <c r="M10270" s="1"/>
      <c r="N10270" s="1"/>
      <c r="O10270" s="1"/>
      <c r="P10270" s="1"/>
      <c r="Q10270" s="1"/>
      <c r="R10270" s="1"/>
      <c r="S10270" s="1"/>
      <c r="T10270" s="1"/>
      <c r="U10270" s="1"/>
      <c r="V10270" s="1"/>
      <c r="W10270" s="1"/>
      <c r="X10270" s="1"/>
      <c r="Y10270" s="1"/>
      <c r="Z10270" s="1"/>
      <c r="AA10270" s="1"/>
      <c r="AB10270" s="1"/>
    </row>
    <row r="10271" ht="50.25" customHeight="1">
      <c r="A10271" s="12">
        <v>10267.0</v>
      </c>
      <c r="B10271" s="13" t="s">
        <v>9604</v>
      </c>
      <c r="C10271" s="14" t="s">
        <v>10298</v>
      </c>
      <c r="D10271" s="1"/>
      <c r="E10271" s="1"/>
      <c r="F10271" s="1" t="str">
        <f>IFERROR(__xludf.DUMMYFUNCTION("GOOGLETRANSLATE(B10271, ""en"", ""fa"")
"),"موفقیت Etsy")</f>
        <v>موفقیت Etsy</v>
      </c>
      <c r="G10271" s="1" t="str">
        <f>IFERROR(__xludf.DUMMYFUNCTION("GOOGLETRANSLATE(C10271, ""en"", ""fa"")
"),"ملاحظات برای برون سپاری وظایف یا فرآیندهای خاص در کسب و کار Etsy من برای آزاد کردن زمان و منابع برای افزایش مقیاس و رشد چیست؟")</f>
        <v>ملاحظات برای برون سپاری وظایف یا فرآیندهای خاص در کسب و کار Etsy من برای آزاد کردن زمان و منابع برای افزایش مقیاس و رشد چیست؟</v>
      </c>
      <c r="H10271" s="1"/>
      <c r="I10271" s="1"/>
      <c r="J10271" s="1"/>
      <c r="K10271" s="1"/>
      <c r="L10271" s="1"/>
      <c r="M10271" s="1"/>
      <c r="N10271" s="1"/>
      <c r="O10271" s="1"/>
      <c r="P10271" s="1"/>
      <c r="Q10271" s="1"/>
      <c r="R10271" s="1"/>
      <c r="S10271" s="1"/>
      <c r="T10271" s="1"/>
      <c r="U10271" s="1"/>
      <c r="V10271" s="1"/>
      <c r="W10271" s="1"/>
      <c r="X10271" s="1"/>
      <c r="Y10271" s="1"/>
      <c r="Z10271" s="1"/>
      <c r="AA10271" s="1"/>
      <c r="AB10271" s="1"/>
    </row>
    <row r="10272" ht="50.25" customHeight="1">
      <c r="A10272" s="12">
        <v>10268.0</v>
      </c>
      <c r="B10272" s="13" t="s">
        <v>9604</v>
      </c>
      <c r="C10272" s="14" t="s">
        <v>10299</v>
      </c>
      <c r="D10272" s="1"/>
      <c r="E10272" s="1"/>
      <c r="F10272" s="1" t="str">
        <f>IFERROR(__xludf.DUMMYFUNCTION("GOOGLETRANSLATE(B10272, ""en"", ""fa"")
"),"موفقیت Etsy")</f>
        <v>موفقیت Etsy</v>
      </c>
      <c r="G10272" s="1" t="str">
        <f>IFERROR(__xludf.DUMMYFUNCTION("GOOGLETRANSLATE(C10272, ""en"", ""fa"")
"),"چگونه می توانم کانال های فروش جدید خارج از Etsy را کشف کنم، مانند راه اندازی وب سایت تجارت الکترونیک خود یا فروش در سایر بازارهای آنلاین؟")</f>
        <v>چگونه می توانم کانال های فروش جدید خارج از Etsy را کشف کنم، مانند راه اندازی وب سایت تجارت الکترونیک خود یا فروش در سایر بازارهای آنلاین؟</v>
      </c>
      <c r="H10272" s="1"/>
      <c r="I10272" s="1"/>
      <c r="J10272" s="1"/>
      <c r="K10272" s="1"/>
      <c r="L10272" s="1"/>
      <c r="M10272" s="1"/>
      <c r="N10272" s="1"/>
      <c r="O10272" s="1"/>
      <c r="P10272" s="1"/>
      <c r="Q10272" s="1"/>
      <c r="R10272" s="1"/>
      <c r="S10272" s="1"/>
      <c r="T10272" s="1"/>
      <c r="U10272" s="1"/>
      <c r="V10272" s="1"/>
      <c r="W10272" s="1"/>
      <c r="X10272" s="1"/>
      <c r="Y10272" s="1"/>
      <c r="Z10272" s="1"/>
      <c r="AA10272" s="1"/>
      <c r="AB10272" s="1"/>
    </row>
    <row r="10273" ht="50.25" customHeight="1">
      <c r="A10273" s="12">
        <v>10269.0</v>
      </c>
      <c r="B10273" s="13" t="s">
        <v>9604</v>
      </c>
      <c r="C10273" s="14" t="s">
        <v>10300</v>
      </c>
      <c r="D10273" s="1"/>
      <c r="E10273" s="1"/>
      <c r="F10273" s="1" t="str">
        <f>IFERROR(__xludf.DUMMYFUNCTION("GOOGLETRANSLATE(B10273, ""en"", ""fa"")
"),"موفقیت Etsy")</f>
        <v>موفقیت Etsy</v>
      </c>
      <c r="G10273" s="1" t="str">
        <f>IFERROR(__xludf.DUMMYFUNCTION("GOOGLETRANSLATE(C10273, ""en"", ""fa"")
"),"راهبردهای ایجاد مشارکت عمده فروشی با خرده فروشان یا بوتیک ها برای گسترش دامنه محصولات Etsy من چیست؟")</f>
        <v>راهبردهای ایجاد مشارکت عمده فروشی با خرده فروشان یا بوتیک ها برای گسترش دامنه محصولات Etsy من چیست؟</v>
      </c>
      <c r="H10273" s="1"/>
      <c r="I10273" s="1"/>
      <c r="J10273" s="1"/>
      <c r="K10273" s="1"/>
      <c r="L10273" s="1"/>
      <c r="M10273" s="1"/>
      <c r="N10273" s="1"/>
      <c r="O10273" s="1"/>
      <c r="P10273" s="1"/>
      <c r="Q10273" s="1"/>
      <c r="R10273" s="1"/>
      <c r="S10273" s="1"/>
      <c r="T10273" s="1"/>
      <c r="U10273" s="1"/>
      <c r="V10273" s="1"/>
      <c r="W10273" s="1"/>
      <c r="X10273" s="1"/>
      <c r="Y10273" s="1"/>
      <c r="Z10273" s="1"/>
      <c r="AA10273" s="1"/>
      <c r="AB10273" s="1"/>
    </row>
    <row r="10274" ht="50.25" customHeight="1">
      <c r="A10274" s="12">
        <v>10270.0</v>
      </c>
      <c r="B10274" s="13" t="s">
        <v>9604</v>
      </c>
      <c r="C10274" s="14" t="s">
        <v>10301</v>
      </c>
      <c r="D10274" s="1"/>
      <c r="E10274" s="1"/>
      <c r="F10274" s="1" t="str">
        <f>IFERROR(__xludf.DUMMYFUNCTION("GOOGLETRANSLATE(B10274, ""en"", ""fa"")
"),"موفقیت Etsy")</f>
        <v>موفقیت Etsy</v>
      </c>
      <c r="G10274" s="1" t="str">
        <f>IFERROR(__xludf.DUMMYFUNCTION("GOOGLETRANSLATE(C10274, ""en"", ""fa"")
"),"چگونه می توانم یک فرآیند تولید مقیاس پذیر ایجاد کنم یا تامین کنندگان قابل اعتمادی را برای پاسخگویی به تقاضای افزایش یافته برای محصولات Etsy خود تهیه کنم؟")</f>
        <v>چگونه می توانم یک فرآیند تولید مقیاس پذیر ایجاد کنم یا تامین کنندگان قابل اعتمادی را برای پاسخگویی به تقاضای افزایش یافته برای محصولات Etsy خود تهیه کنم؟</v>
      </c>
      <c r="H10274" s="1"/>
      <c r="I10274" s="1"/>
      <c r="J10274" s="1"/>
      <c r="K10274" s="1"/>
      <c r="L10274" s="1"/>
      <c r="M10274" s="1"/>
      <c r="N10274" s="1"/>
      <c r="O10274" s="1"/>
      <c r="P10274" s="1"/>
      <c r="Q10274" s="1"/>
      <c r="R10274" s="1"/>
      <c r="S10274" s="1"/>
      <c r="T10274" s="1"/>
      <c r="U10274" s="1"/>
      <c r="V10274" s="1"/>
      <c r="W10274" s="1"/>
      <c r="X10274" s="1"/>
      <c r="Y10274" s="1"/>
      <c r="Z10274" s="1"/>
      <c r="AA10274" s="1"/>
      <c r="AB10274" s="1"/>
    </row>
    <row r="10275" ht="50.25" customHeight="1">
      <c r="A10275" s="12">
        <v>10271.0</v>
      </c>
      <c r="B10275" s="13" t="s">
        <v>9604</v>
      </c>
      <c r="C10275" s="14" t="s">
        <v>10302</v>
      </c>
      <c r="D10275" s="1"/>
      <c r="E10275" s="1"/>
      <c r="F10275" s="1" t="str">
        <f>IFERROR(__xludf.DUMMYFUNCTION("GOOGLETRANSLATE(B10275, ""en"", ""fa"")
"),"موفقیت Etsy")</f>
        <v>موفقیت Etsy</v>
      </c>
      <c r="G10275" s="1" t="str">
        <f>IFERROR(__xludf.DUMMYFUNCTION("GOOGLETRANSLATE(C10275, ""en"", ""fa"")
"),"ملاحظات برای استخدام اعضای تیم اضافی یا دستیاران مجازی برای حمایت از رشد و عملیات کسب و کار Etsy من چیست؟")</f>
        <v>ملاحظات برای استخدام اعضای تیم اضافی یا دستیاران مجازی برای حمایت از رشد و عملیات کسب و کار Etsy من چیست؟</v>
      </c>
      <c r="H10275" s="1"/>
      <c r="I10275" s="1"/>
      <c r="J10275" s="1"/>
      <c r="K10275" s="1"/>
      <c r="L10275" s="1"/>
      <c r="M10275" s="1"/>
      <c r="N10275" s="1"/>
      <c r="O10275" s="1"/>
      <c r="P10275" s="1"/>
      <c r="Q10275" s="1"/>
      <c r="R10275" s="1"/>
      <c r="S10275" s="1"/>
      <c r="T10275" s="1"/>
      <c r="U10275" s="1"/>
      <c r="V10275" s="1"/>
      <c r="W10275" s="1"/>
      <c r="X10275" s="1"/>
      <c r="Y10275" s="1"/>
      <c r="Z10275" s="1"/>
      <c r="AA10275" s="1"/>
      <c r="AB10275" s="1"/>
    </row>
    <row r="10276" ht="50.25" customHeight="1">
      <c r="A10276" s="12">
        <v>10272.0</v>
      </c>
      <c r="B10276" s="13" t="s">
        <v>9604</v>
      </c>
      <c r="C10276" s="14" t="s">
        <v>10303</v>
      </c>
      <c r="D10276" s="1"/>
      <c r="E10276" s="1"/>
      <c r="F10276" s="1" t="str">
        <f>IFERROR(__xludf.DUMMYFUNCTION("GOOGLETRANSLATE(B10276, ""en"", ""fa"")
"),"موفقیت Etsy")</f>
        <v>موفقیت Etsy</v>
      </c>
      <c r="G10276" s="1" t="str">
        <f>IFERROR(__xludf.DUMMYFUNCTION("GOOGLETRANSLATE(C10276, ""en"", ""fa"")
"),"چگونه می توانم فرآیندهای انجام سفارش و حمل و نقل خود را برای رسیدگی به حجم بیشتری از فروش و اطمینان از خدمات کارآمد به مشتریان بهینه کنم؟")</f>
        <v>چگونه می توانم فرآیندهای انجام سفارش و حمل و نقل خود را برای رسیدگی به حجم بیشتری از فروش و اطمینان از خدمات کارآمد به مشتریان بهینه کنم؟</v>
      </c>
      <c r="H10276" s="1"/>
      <c r="I10276" s="1"/>
      <c r="J10276" s="1"/>
      <c r="K10276" s="1"/>
      <c r="L10276" s="1"/>
      <c r="M10276" s="1"/>
      <c r="N10276" s="1"/>
      <c r="O10276" s="1"/>
      <c r="P10276" s="1"/>
      <c r="Q10276" s="1"/>
      <c r="R10276" s="1"/>
      <c r="S10276" s="1"/>
      <c r="T10276" s="1"/>
      <c r="U10276" s="1"/>
      <c r="V10276" s="1"/>
      <c r="W10276" s="1"/>
      <c r="X10276" s="1"/>
      <c r="Y10276" s="1"/>
      <c r="Z10276" s="1"/>
      <c r="AA10276" s="1"/>
      <c r="AB10276" s="1"/>
    </row>
    <row r="10277" ht="50.25" customHeight="1">
      <c r="A10277" s="12">
        <v>10273.0</v>
      </c>
      <c r="B10277" s="13" t="s">
        <v>9604</v>
      </c>
      <c r="C10277" s="14" t="s">
        <v>10304</v>
      </c>
      <c r="D10277" s="1"/>
      <c r="E10277" s="1"/>
      <c r="F10277" s="1" t="str">
        <f>IFERROR(__xludf.DUMMYFUNCTION("GOOGLETRANSLATE(B10277, ""en"", ""fa"")
"),"موفقیت Etsy")</f>
        <v>موفقیت Etsy</v>
      </c>
      <c r="G10277" s="1" t="str">
        <f>IFERROR(__xludf.DUMMYFUNCTION("GOOGLETRANSLATE(C10277, ""en"", ""fa"")
"),"استراتژی‌های پیاده‌سازی سیستم‌های مدیریت موجودی مؤثر برای ردیابی سطوح موجودی، جلوگیری از ریزش انبارها و حمایت از مقیاس‌پذیری کسب‌وکار Etsy من چیست؟")</f>
        <v>استراتژی‌های پیاده‌سازی سیستم‌های مدیریت موجودی مؤثر برای ردیابی سطوح موجودی، جلوگیری از ریزش انبارها و حمایت از مقیاس‌پذیری کسب‌وکار Etsy من چیست؟</v>
      </c>
      <c r="H10277" s="1"/>
      <c r="I10277" s="1"/>
      <c r="J10277" s="1"/>
      <c r="K10277" s="1"/>
      <c r="L10277" s="1"/>
      <c r="M10277" s="1"/>
      <c r="N10277" s="1"/>
      <c r="O10277" s="1"/>
      <c r="P10277" s="1"/>
      <c r="Q10277" s="1"/>
      <c r="R10277" s="1"/>
      <c r="S10277" s="1"/>
      <c r="T10277" s="1"/>
      <c r="U10277" s="1"/>
      <c r="V10277" s="1"/>
      <c r="W10277" s="1"/>
      <c r="X10277" s="1"/>
      <c r="Y10277" s="1"/>
      <c r="Z10277" s="1"/>
      <c r="AA10277" s="1"/>
      <c r="AB10277" s="1"/>
    </row>
    <row r="10278" ht="50.25" customHeight="1">
      <c r="A10278" s="12">
        <v>10274.0</v>
      </c>
      <c r="B10278" s="13" t="s">
        <v>9604</v>
      </c>
      <c r="C10278" s="14" t="s">
        <v>10305</v>
      </c>
      <c r="D10278" s="1"/>
      <c r="E10278" s="1"/>
      <c r="F10278" s="1" t="str">
        <f>IFERROR(__xludf.DUMMYFUNCTION("GOOGLETRANSLATE(B10278, ""en"", ""fa"")
"),"موفقیت Etsy")</f>
        <v>موفقیت Etsy</v>
      </c>
      <c r="G10278" s="1" t="str">
        <f>IFERROR(__xludf.DUMMYFUNCTION("GOOGLETRANSLATE(C10278, ""en"", ""fa"")
"),"چگونه می توانم از داده ها و تجزیه و تحلیل ها برای شناسایی شاخص های کلیدی عملکرد (KPI) استفاده کنم و رشد و موفقیت کسب و کار Etsy خود را دنبال کنم؟")</f>
        <v>چگونه می توانم از داده ها و تجزیه و تحلیل ها برای شناسایی شاخص های کلیدی عملکرد (KPI) استفاده کنم و رشد و موفقیت کسب و کار Etsy خود را دنبال کنم؟</v>
      </c>
      <c r="H10278" s="1"/>
      <c r="I10278" s="1"/>
      <c r="J10278" s="1"/>
      <c r="K10278" s="1"/>
      <c r="L10278" s="1"/>
      <c r="M10278" s="1"/>
      <c r="N10278" s="1"/>
      <c r="O10278" s="1"/>
      <c r="P10278" s="1"/>
      <c r="Q10278" s="1"/>
      <c r="R10278" s="1"/>
      <c r="S10278" s="1"/>
      <c r="T10278" s="1"/>
      <c r="U10278" s="1"/>
      <c r="V10278" s="1"/>
      <c r="W10278" s="1"/>
      <c r="X10278" s="1"/>
      <c r="Y10278" s="1"/>
      <c r="Z10278" s="1"/>
      <c r="AA10278" s="1"/>
      <c r="AB10278" s="1"/>
    </row>
    <row r="10279" ht="50.25" customHeight="1">
      <c r="A10279" s="12">
        <v>10275.0</v>
      </c>
      <c r="B10279" s="13" t="s">
        <v>9604</v>
      </c>
      <c r="C10279" s="14" t="s">
        <v>10306</v>
      </c>
      <c r="D10279" s="1"/>
      <c r="E10279" s="1"/>
      <c r="F10279" s="1" t="str">
        <f>IFERROR(__xludf.DUMMYFUNCTION("GOOGLETRANSLATE(B10279, ""en"", ""fa"")
"),"موفقیت Etsy")</f>
        <v>موفقیت Etsy</v>
      </c>
      <c r="G10279" s="1" t="str">
        <f>IFERROR(__xludf.DUMMYFUNCTION("GOOGLETRANSLATE(C10279, ""en"", ""fa"")
"),"ملاحظات برای تنوع بخشیدن به تلاش‌های بازاریابی و تبلیغات من برای دستیابی به بخش‌های جدید مشتریان و گسترش تجارت Etsy من چیست؟")</f>
        <v>ملاحظات برای تنوع بخشیدن به تلاش‌های بازاریابی و تبلیغات من برای دستیابی به بخش‌های جدید مشتریان و گسترش تجارت Etsy من چیست؟</v>
      </c>
      <c r="H10279" s="1"/>
      <c r="I10279" s="1"/>
      <c r="J10279" s="1"/>
      <c r="K10279" s="1"/>
      <c r="L10279" s="1"/>
      <c r="M10279" s="1"/>
      <c r="N10279" s="1"/>
      <c r="O10279" s="1"/>
      <c r="P10279" s="1"/>
      <c r="Q10279" s="1"/>
      <c r="R10279" s="1"/>
      <c r="S10279" s="1"/>
      <c r="T10279" s="1"/>
      <c r="U10279" s="1"/>
      <c r="V10279" s="1"/>
      <c r="W10279" s="1"/>
      <c r="X10279" s="1"/>
      <c r="Y10279" s="1"/>
      <c r="Z10279" s="1"/>
      <c r="AA10279" s="1"/>
      <c r="AB10279" s="1"/>
    </row>
    <row r="10280" ht="50.25" customHeight="1">
      <c r="A10280" s="12">
        <v>10276.0</v>
      </c>
      <c r="B10280" s="13" t="s">
        <v>9604</v>
      </c>
      <c r="C10280" s="14" t="s">
        <v>10307</v>
      </c>
      <c r="D10280" s="1"/>
      <c r="E10280" s="1"/>
      <c r="F10280" s="1" t="str">
        <f>IFERROR(__xludf.DUMMYFUNCTION("GOOGLETRANSLATE(B10280, ""en"", ""fa"")
"),"موفقیت Etsy")</f>
        <v>موفقیت Etsy</v>
      </c>
      <c r="G10280" s="1" t="str">
        <f>IFERROR(__xludf.DUMMYFUNCTION("GOOGLETRANSLATE(C10280, ""en"", ""fa"")
"),"چگونه می توانم گزینه های حمل و نقل بین المللی را کشف کنم و پایگاه مشتریان خود را برای دسترسی به خریداران در کشورهای مختلف گسترش دهم؟")</f>
        <v>چگونه می توانم گزینه های حمل و نقل بین المللی را کشف کنم و پایگاه مشتریان خود را برای دسترسی به خریداران در کشورهای مختلف گسترش دهم؟</v>
      </c>
      <c r="H10280" s="1"/>
      <c r="I10280" s="1"/>
      <c r="J10280" s="1"/>
      <c r="K10280" s="1"/>
      <c r="L10280" s="1"/>
      <c r="M10280" s="1"/>
      <c r="N10280" s="1"/>
      <c r="O10280" s="1"/>
      <c r="P10280" s="1"/>
      <c r="Q10280" s="1"/>
      <c r="R10280" s="1"/>
      <c r="S10280" s="1"/>
      <c r="T10280" s="1"/>
      <c r="U10280" s="1"/>
      <c r="V10280" s="1"/>
      <c r="W10280" s="1"/>
      <c r="X10280" s="1"/>
      <c r="Y10280" s="1"/>
      <c r="Z10280" s="1"/>
      <c r="AA10280" s="1"/>
      <c r="AB10280" s="1"/>
    </row>
    <row r="10281" ht="50.25" customHeight="1">
      <c r="A10281" s="12">
        <v>10277.0</v>
      </c>
      <c r="B10281" s="13" t="s">
        <v>9604</v>
      </c>
      <c r="C10281" s="14" t="s">
        <v>10308</v>
      </c>
      <c r="D10281" s="1"/>
      <c r="E10281" s="1"/>
      <c r="F10281" s="1" t="str">
        <f>IFERROR(__xludf.DUMMYFUNCTION("GOOGLETRANSLATE(B10281, ""en"", ""fa"")
"),"موفقیت Etsy")</f>
        <v>موفقیت Etsy</v>
      </c>
      <c r="G10281" s="1" t="str">
        <f>IFERROR(__xludf.DUMMYFUNCTION("GOOGLETRANSLATE(C10281, ""en"", ""fa"")
"),"استراتژی‌هایی برای ارائه گزینه‌های سفارشی‌سازی یا شخصی‌سازی برای محصولات Etsy من برای پاسخگویی به ترجیحات مشتری و افزایش فروش چیست؟")</f>
        <v>استراتژی‌هایی برای ارائه گزینه‌های سفارشی‌سازی یا شخصی‌سازی برای محصولات Etsy من برای پاسخگویی به ترجیحات مشتری و افزایش فروش چیست؟</v>
      </c>
      <c r="H10281" s="1"/>
      <c r="I10281" s="1"/>
      <c r="J10281" s="1"/>
      <c r="K10281" s="1"/>
      <c r="L10281" s="1"/>
      <c r="M10281" s="1"/>
      <c r="N10281" s="1"/>
      <c r="O10281" s="1"/>
      <c r="P10281" s="1"/>
      <c r="Q10281" s="1"/>
      <c r="R10281" s="1"/>
      <c r="S10281" s="1"/>
      <c r="T10281" s="1"/>
      <c r="U10281" s="1"/>
      <c r="V10281" s="1"/>
      <c r="W10281" s="1"/>
      <c r="X10281" s="1"/>
      <c r="Y10281" s="1"/>
      <c r="Z10281" s="1"/>
      <c r="AA10281" s="1"/>
      <c r="AB10281" s="1"/>
    </row>
    <row r="10282" ht="50.25" customHeight="1">
      <c r="A10282" s="12">
        <v>10278.0</v>
      </c>
      <c r="B10282" s="13" t="s">
        <v>9604</v>
      </c>
      <c r="C10282" s="14" t="s">
        <v>10309</v>
      </c>
      <c r="D10282" s="1"/>
      <c r="E10282" s="1"/>
      <c r="F10282" s="1" t="str">
        <f>IFERROR(__xludf.DUMMYFUNCTION("GOOGLETRANSLATE(B10282, ""en"", ""fa"")
"),"موفقیت Etsy")</f>
        <v>موفقیت Etsy</v>
      </c>
      <c r="G10282" s="1" t="str">
        <f>IFERROR(__xludf.DUMMYFUNCTION("GOOGLETRANSLATE(C10282, ""en"", ""fa"")
"),"چگونه می توانم از برنامه ها یا مشوق های وفاداری مشتری برای تشویق تجارت تکراری و تقویت روابط بلندمدت با مشتریان Etsy خود استفاده کنم؟")</f>
        <v>چگونه می توانم از برنامه ها یا مشوق های وفاداری مشتری برای تشویق تجارت تکراری و تقویت روابط بلندمدت با مشتریان Etsy خود استفاده کنم؟</v>
      </c>
      <c r="H10282" s="1"/>
      <c r="I10282" s="1"/>
      <c r="J10282" s="1"/>
      <c r="K10282" s="1"/>
      <c r="L10282" s="1"/>
      <c r="M10282" s="1"/>
      <c r="N10282" s="1"/>
      <c r="O10282" s="1"/>
      <c r="P10282" s="1"/>
      <c r="Q10282" s="1"/>
      <c r="R10282" s="1"/>
      <c r="S10282" s="1"/>
      <c r="T10282" s="1"/>
      <c r="U10282" s="1"/>
      <c r="V10282" s="1"/>
      <c r="W10282" s="1"/>
      <c r="X10282" s="1"/>
      <c r="Y10282" s="1"/>
      <c r="Z10282" s="1"/>
      <c r="AA10282" s="1"/>
      <c r="AB10282" s="1"/>
    </row>
    <row r="10283" ht="50.25" customHeight="1">
      <c r="A10283" s="12">
        <v>10279.0</v>
      </c>
      <c r="B10283" s="13" t="s">
        <v>9604</v>
      </c>
      <c r="C10283" s="14" t="s">
        <v>10310</v>
      </c>
      <c r="D10283" s="1"/>
      <c r="E10283" s="1"/>
      <c r="F10283" s="1" t="str">
        <f>IFERROR(__xludf.DUMMYFUNCTION("GOOGLETRANSLATE(B10283, ""en"", ""fa"")
"),"موفقیت Etsy")</f>
        <v>موفقیت Etsy</v>
      </c>
      <c r="G10283" s="1" t="str">
        <f>IFERROR(__xludf.DUMMYFUNCTION("GOOGLETRANSLATE(C10283, ""en"", ""fa"")
"),"ملاحظات برای ایجاد هویت و موقعیت برند قوی برای متمایز کردن تجارت Etsy من در بازار رقابتی چیست؟")</f>
        <v>ملاحظات برای ایجاد هویت و موقعیت برند قوی برای متمایز کردن تجارت Etsy من در بازار رقابتی چیست؟</v>
      </c>
      <c r="H10283" s="1"/>
      <c r="I10283" s="1"/>
      <c r="J10283" s="1"/>
      <c r="K10283" s="1"/>
      <c r="L10283" s="1"/>
      <c r="M10283" s="1"/>
      <c r="N10283" s="1"/>
      <c r="O10283" s="1"/>
      <c r="P10283" s="1"/>
      <c r="Q10283" s="1"/>
      <c r="R10283" s="1"/>
      <c r="S10283" s="1"/>
      <c r="T10283" s="1"/>
      <c r="U10283" s="1"/>
      <c r="V10283" s="1"/>
      <c r="W10283" s="1"/>
      <c r="X10283" s="1"/>
      <c r="Y10283" s="1"/>
      <c r="Z10283" s="1"/>
      <c r="AA10283" s="1"/>
      <c r="AB10283" s="1"/>
    </row>
    <row r="10284" ht="50.25" customHeight="1">
      <c r="A10284" s="12">
        <v>10280.0</v>
      </c>
      <c r="B10284" s="13" t="s">
        <v>9604</v>
      </c>
      <c r="C10284" s="14" t="s">
        <v>10311</v>
      </c>
      <c r="D10284" s="1"/>
      <c r="E10284" s="1"/>
      <c r="F10284" s="1" t="str">
        <f>IFERROR(__xludf.DUMMYFUNCTION("GOOGLETRANSLATE(B10284, ""en"", ""fa"")
"),"موفقیت Etsy")</f>
        <v>موفقیت Etsy</v>
      </c>
      <c r="G10284" s="1" t="str">
        <f>IFERROR(__xludf.DUMMYFUNCTION("GOOGLETRANSLATE(C10284, ""en"", ""fa"")
"),"چگونه می توانم همکاری یا مشارکت با اینفلوئنسرها یا برندهای دیگر را برای افزایش دیده شدن برند و دستیابی به مخاطبان گسترده تری کشف کنم؟")</f>
        <v>چگونه می توانم همکاری یا مشارکت با اینفلوئنسرها یا برندهای دیگر را برای افزایش دیده شدن برند و دستیابی به مخاطبان گسترده تری کشف کنم؟</v>
      </c>
      <c r="H10284" s="1"/>
      <c r="I10284" s="1"/>
      <c r="J10284" s="1"/>
      <c r="K10284" s="1"/>
      <c r="L10284" s="1"/>
      <c r="M10284" s="1"/>
      <c r="N10284" s="1"/>
      <c r="O10284" s="1"/>
      <c r="P10284" s="1"/>
      <c r="Q10284" s="1"/>
      <c r="R10284" s="1"/>
      <c r="S10284" s="1"/>
      <c r="T10284" s="1"/>
      <c r="U10284" s="1"/>
      <c r="V10284" s="1"/>
      <c r="W10284" s="1"/>
      <c r="X10284" s="1"/>
      <c r="Y10284" s="1"/>
      <c r="Z10284" s="1"/>
      <c r="AA10284" s="1"/>
      <c r="AB10284" s="1"/>
    </row>
    <row r="10285" ht="50.25" customHeight="1">
      <c r="A10285" s="12">
        <v>10281.0</v>
      </c>
      <c r="B10285" s="13" t="s">
        <v>9604</v>
      </c>
      <c r="C10285" s="14" t="s">
        <v>10312</v>
      </c>
      <c r="D10285" s="1"/>
      <c r="E10285" s="1"/>
      <c r="F10285" s="1" t="str">
        <f>IFERROR(__xludf.DUMMYFUNCTION("GOOGLETRANSLATE(B10285, ""en"", ""fa"")
"),"موفقیت Etsy")</f>
        <v>موفقیت Etsy</v>
      </c>
      <c r="G10285" s="1" t="str">
        <f>IFERROR(__xludf.DUMMYFUNCTION("GOOGLETRANSLATE(C10285, ""en"", ""fa"")
"),"راهبردهای ایجاد اتحادهای استراتژیک با فروشندگان یا مشاغل مکمل Etsy برای ارتقاء متقابل و گسترش دسترسی مشتری چیست؟")</f>
        <v>راهبردهای ایجاد اتحادهای استراتژیک با فروشندگان یا مشاغل مکمل Etsy برای ارتقاء متقابل و گسترش دسترسی مشتری چیست؟</v>
      </c>
      <c r="H10285" s="1"/>
      <c r="I10285" s="1"/>
      <c r="J10285" s="1"/>
      <c r="K10285" s="1"/>
      <c r="L10285" s="1"/>
      <c r="M10285" s="1"/>
      <c r="N10285" s="1"/>
      <c r="O10285" s="1"/>
      <c r="P10285" s="1"/>
      <c r="Q10285" s="1"/>
      <c r="R10285" s="1"/>
      <c r="S10285" s="1"/>
      <c r="T10285" s="1"/>
      <c r="U10285" s="1"/>
      <c r="V10285" s="1"/>
      <c r="W10285" s="1"/>
      <c r="X10285" s="1"/>
      <c r="Y10285" s="1"/>
      <c r="Z10285" s="1"/>
      <c r="AA10285" s="1"/>
      <c r="AB10285" s="1"/>
    </row>
    <row r="10286" ht="50.25" customHeight="1">
      <c r="A10286" s="12">
        <v>10282.0</v>
      </c>
      <c r="B10286" s="13" t="s">
        <v>9604</v>
      </c>
      <c r="C10286" s="14" t="s">
        <v>10313</v>
      </c>
      <c r="D10286" s="1"/>
      <c r="E10286" s="1"/>
      <c r="F10286" s="1" t="str">
        <f>IFERROR(__xludf.DUMMYFUNCTION("GOOGLETRANSLATE(B10286, ""en"", ""fa"")
"),"موفقیت Etsy")</f>
        <v>موفقیت Etsy</v>
      </c>
      <c r="G10286" s="1" t="str">
        <f>IFERROR(__xludf.DUMMYFUNCTION("GOOGLETRANSLATE(C10286, ""en"", ""fa"")
"),"چگونه می توانم از بازاریابی ایمیلی و اتوماسیون برای تقویت روابط با مشتری، افزایش فروش و حمایت از رشد تجارت Etsy خود استفاده کنم؟")</f>
        <v>چگونه می توانم از بازاریابی ایمیلی و اتوماسیون برای تقویت روابط با مشتری، افزایش فروش و حمایت از رشد تجارت Etsy خود استفاده کنم؟</v>
      </c>
      <c r="H10286" s="1"/>
      <c r="I10286" s="1"/>
      <c r="J10286" s="1"/>
      <c r="K10286" s="1"/>
      <c r="L10286" s="1"/>
      <c r="M10286" s="1"/>
      <c r="N10286" s="1"/>
      <c r="O10286" s="1"/>
      <c r="P10286" s="1"/>
      <c r="Q10286" s="1"/>
      <c r="R10286" s="1"/>
      <c r="S10286" s="1"/>
      <c r="T10286" s="1"/>
      <c r="U10286" s="1"/>
      <c r="V10286" s="1"/>
      <c r="W10286" s="1"/>
      <c r="X10286" s="1"/>
      <c r="Y10286" s="1"/>
      <c r="Z10286" s="1"/>
      <c r="AA10286" s="1"/>
      <c r="AB10286" s="1"/>
    </row>
    <row r="10287" ht="50.25" customHeight="1">
      <c r="A10287" s="12">
        <v>10283.0</v>
      </c>
      <c r="B10287" s="13" t="s">
        <v>9604</v>
      </c>
      <c r="C10287" s="14" t="s">
        <v>10314</v>
      </c>
      <c r="D10287" s="1"/>
      <c r="E10287" s="1"/>
      <c r="F10287" s="1" t="str">
        <f>IFERROR(__xludf.DUMMYFUNCTION("GOOGLETRANSLATE(B10287, ""en"", ""fa"")
"),"موفقیت Etsy")</f>
        <v>موفقیت Etsy</v>
      </c>
      <c r="G10287" s="1" t="str">
        <f>IFERROR(__xludf.DUMMYFUNCTION("GOOGLETRANSLATE(C10287, ""en"", ""fa"")
"),"ملاحظات برای تعیین اهداف و بودجه های مالی روشن برای حمایت از مقیاس و تنوع کسب و کار Etsy من چیست؟")</f>
        <v>ملاحظات برای تعیین اهداف و بودجه های مالی روشن برای حمایت از مقیاس و تنوع کسب و کار Etsy من چیست؟</v>
      </c>
      <c r="H10287" s="1"/>
      <c r="I10287" s="1"/>
      <c r="J10287" s="1"/>
      <c r="K10287" s="1"/>
      <c r="L10287" s="1"/>
      <c r="M10287" s="1"/>
      <c r="N10287" s="1"/>
      <c r="O10287" s="1"/>
      <c r="P10287" s="1"/>
      <c r="Q10287" s="1"/>
      <c r="R10287" s="1"/>
      <c r="S10287" s="1"/>
      <c r="T10287" s="1"/>
      <c r="U10287" s="1"/>
      <c r="V10287" s="1"/>
      <c r="W10287" s="1"/>
      <c r="X10287" s="1"/>
      <c r="Y10287" s="1"/>
      <c r="Z10287" s="1"/>
      <c r="AA10287" s="1"/>
      <c r="AB10287" s="1"/>
    </row>
    <row r="10288" ht="50.25" customHeight="1">
      <c r="A10288" s="12">
        <v>10284.0</v>
      </c>
      <c r="B10288" s="13" t="s">
        <v>9604</v>
      </c>
      <c r="C10288" s="14" t="s">
        <v>10315</v>
      </c>
      <c r="D10288" s="1"/>
      <c r="E10288" s="1"/>
      <c r="F10288" s="1" t="str">
        <f>IFERROR(__xludf.DUMMYFUNCTION("GOOGLETRANSLATE(B10288, ""en"", ""fa"")
"),"موفقیت Etsy")</f>
        <v>موفقیت Etsy</v>
      </c>
      <c r="G10288" s="1" t="str">
        <f>IFERROR(__xludf.DUMMYFUNCTION("GOOGLETRANSLATE(C10288, ""en"", ""fa"")
"),"چگونه می توانم فرصت هایی را برای صدور مجوز یا امتیاز دادن به برند Etsy خود برای گسترش به بازارها یا مناطق جدید کشف کنم؟")</f>
        <v>چگونه می توانم فرصت هایی را برای صدور مجوز یا امتیاز دادن به برند Etsy خود برای گسترش به بازارها یا مناطق جدید کشف کنم؟</v>
      </c>
      <c r="H10288" s="1"/>
      <c r="I10288" s="1"/>
      <c r="J10288" s="1"/>
      <c r="K10288" s="1"/>
      <c r="L10288" s="1"/>
      <c r="M10288" s="1"/>
      <c r="N10288" s="1"/>
      <c r="O10288" s="1"/>
      <c r="P10288" s="1"/>
      <c r="Q10288" s="1"/>
      <c r="R10288" s="1"/>
      <c r="S10288" s="1"/>
      <c r="T10288" s="1"/>
      <c r="U10288" s="1"/>
      <c r="V10288" s="1"/>
      <c r="W10288" s="1"/>
      <c r="X10288" s="1"/>
      <c r="Y10288" s="1"/>
      <c r="Z10288" s="1"/>
      <c r="AA10288" s="1"/>
      <c r="AB10288" s="1"/>
    </row>
    <row r="10289" ht="50.25" customHeight="1">
      <c r="A10289" s="12">
        <v>10285.0</v>
      </c>
      <c r="B10289" s="13" t="s">
        <v>9604</v>
      </c>
      <c r="C10289" s="14" t="s">
        <v>10316</v>
      </c>
      <c r="D10289" s="1"/>
      <c r="E10289" s="1"/>
      <c r="F10289" s="1" t="str">
        <f>IFERROR(__xludf.DUMMYFUNCTION("GOOGLETRANSLATE(B10289, ""en"", ""fa"")
"),"موفقیت Etsy")</f>
        <v>موفقیت Etsy</v>
      </c>
      <c r="G10289" s="1" t="str">
        <f>IFERROR(__xludf.DUMMYFUNCTION("GOOGLETRANSLATE(C10289, ""en"", ""fa"")
"),"استراتژی‌های انجام تحقیقات بازار برای شناسایی گرایش‌ها یا شکاف‌های نوظهور در بازار که فرصت‌هایی را برای مقیاس‌بندی و تنوع بخشیدن به کسب‌وکار Etsy من ایجاد می‌کنند، چیست؟")</f>
        <v>استراتژی‌های انجام تحقیقات بازار برای شناسایی گرایش‌ها یا شکاف‌های نوظهور در بازار که فرصت‌هایی را برای مقیاس‌بندی و تنوع بخشیدن به کسب‌وکار Etsy من ایجاد می‌کنند، چیست؟</v>
      </c>
      <c r="H10289" s="1"/>
      <c r="I10289" s="1"/>
      <c r="J10289" s="1"/>
      <c r="K10289" s="1"/>
      <c r="L10289" s="1"/>
      <c r="M10289" s="1"/>
      <c r="N10289" s="1"/>
      <c r="O10289" s="1"/>
      <c r="P10289" s="1"/>
      <c r="Q10289" s="1"/>
      <c r="R10289" s="1"/>
      <c r="S10289" s="1"/>
      <c r="T10289" s="1"/>
      <c r="U10289" s="1"/>
      <c r="V10289" s="1"/>
      <c r="W10289" s="1"/>
      <c r="X10289" s="1"/>
      <c r="Y10289" s="1"/>
      <c r="Z10289" s="1"/>
      <c r="AA10289" s="1"/>
      <c r="AB10289" s="1"/>
    </row>
    <row r="10290" ht="50.25" customHeight="1">
      <c r="A10290" s="12">
        <v>10286.0</v>
      </c>
      <c r="B10290" s="13" t="s">
        <v>9604</v>
      </c>
      <c r="C10290" s="14" t="s">
        <v>10317</v>
      </c>
      <c r="D10290" s="1"/>
      <c r="E10290" s="1"/>
      <c r="F10290" s="1" t="str">
        <f>IFERROR(__xludf.DUMMYFUNCTION("GOOGLETRANSLATE(B10290, ""en"", ""fa"")
"),"موفقیت Etsy")</f>
        <v>موفقیت Etsy</v>
      </c>
      <c r="G10290" s="1" t="str">
        <f>IFERROR(__xludf.DUMMYFUNCTION("GOOGLETRANSLATE(C10290, ""en"", ""fa"")
"),"چگونه می توانم از تبلیغات رسانه های اجتماعی و تبلیغات پولی برای دستیابی به مخاطبان گسترده تر و هدایت ترافیک به فروشگاه Etsy خود استفاده کنم؟")</f>
        <v>چگونه می توانم از تبلیغات رسانه های اجتماعی و تبلیغات پولی برای دستیابی به مخاطبان گسترده تر و هدایت ترافیک به فروشگاه Etsy خود استفاده کنم؟</v>
      </c>
      <c r="H10290" s="1"/>
      <c r="I10290" s="1"/>
      <c r="J10290" s="1"/>
      <c r="K10290" s="1"/>
      <c r="L10290" s="1"/>
      <c r="M10290" s="1"/>
      <c r="N10290" s="1"/>
      <c r="O10290" s="1"/>
      <c r="P10290" s="1"/>
      <c r="Q10290" s="1"/>
      <c r="R10290" s="1"/>
      <c r="S10290" s="1"/>
      <c r="T10290" s="1"/>
      <c r="U10290" s="1"/>
      <c r="V10290" s="1"/>
      <c r="W10290" s="1"/>
      <c r="X10290" s="1"/>
      <c r="Y10290" s="1"/>
      <c r="Z10290" s="1"/>
      <c r="AA10290" s="1"/>
      <c r="AB10290" s="1"/>
    </row>
    <row r="10291" ht="50.25" customHeight="1">
      <c r="A10291" s="12">
        <v>10287.0</v>
      </c>
      <c r="B10291" s="13" t="s">
        <v>9604</v>
      </c>
      <c r="C10291" s="14" t="s">
        <v>10318</v>
      </c>
      <c r="D10291" s="1"/>
      <c r="E10291" s="1"/>
      <c r="F10291" s="1" t="str">
        <f>IFERROR(__xludf.DUMMYFUNCTION("GOOGLETRANSLATE(B10291, ""en"", ""fa"")
"),"موفقیت Etsy")</f>
        <v>موفقیت Etsy</v>
      </c>
      <c r="G10291" s="1" t="str">
        <f>IFERROR(__xludf.DUMMYFUNCTION("GOOGLETRANSLATE(C10291, ""en"", ""fa"")
"),"ملاحظات برای گسترش کسب و کار Etsy من در سطح بین المللی و پیمایش مقررات بین المللی، آداب و رسوم و الزامات حمل و نقل چیست؟")</f>
        <v>ملاحظات برای گسترش کسب و کار Etsy من در سطح بین المللی و پیمایش مقررات بین المللی، آداب و رسوم و الزامات حمل و نقل چیست؟</v>
      </c>
      <c r="H10291" s="1"/>
      <c r="I10291" s="1"/>
      <c r="J10291" s="1"/>
      <c r="K10291" s="1"/>
      <c r="L10291" s="1"/>
      <c r="M10291" s="1"/>
      <c r="N10291" s="1"/>
      <c r="O10291" s="1"/>
      <c r="P10291" s="1"/>
      <c r="Q10291" s="1"/>
      <c r="R10291" s="1"/>
      <c r="S10291" s="1"/>
      <c r="T10291" s="1"/>
      <c r="U10291" s="1"/>
      <c r="V10291" s="1"/>
      <c r="W10291" s="1"/>
      <c r="X10291" s="1"/>
      <c r="Y10291" s="1"/>
      <c r="Z10291" s="1"/>
      <c r="AA10291" s="1"/>
      <c r="AB10291" s="1"/>
    </row>
    <row r="10292" ht="50.25" customHeight="1">
      <c r="A10292" s="12">
        <v>10288.0</v>
      </c>
      <c r="B10292" s="13" t="s">
        <v>9604</v>
      </c>
      <c r="C10292" s="14" t="s">
        <v>10319</v>
      </c>
      <c r="D10292" s="1"/>
      <c r="E10292" s="1"/>
      <c r="F10292" s="1" t="str">
        <f>IFERROR(__xludf.DUMMYFUNCTION("GOOGLETRANSLATE(B10292, ""en"", ""fa"")
"),"موفقیت Etsy")</f>
        <v>موفقیت Etsy</v>
      </c>
      <c r="G10292" s="1" t="str">
        <f>IFERROR(__xludf.DUMMYFUNCTION("GOOGLETRANSLATE(C10292, ""en"", ""fa"")
"),"چگونه می توانم فرصت های ایجاد و فروش محصولات دیجیتال یا دانلودهای قابل چاپ را برای تنوع بخشیدن به محصولاتم و افزایش جریان های درآمد کشف کنم؟")</f>
        <v>چگونه می توانم فرصت های ایجاد و فروش محصولات دیجیتال یا دانلودهای قابل چاپ را برای تنوع بخشیدن به محصولاتم و افزایش جریان های درآمد کشف کنم؟</v>
      </c>
      <c r="H10292" s="1"/>
      <c r="I10292" s="1"/>
      <c r="J10292" s="1"/>
      <c r="K10292" s="1"/>
      <c r="L10292" s="1"/>
      <c r="M10292" s="1"/>
      <c r="N10292" s="1"/>
      <c r="O10292" s="1"/>
      <c r="P10292" s="1"/>
      <c r="Q10292" s="1"/>
      <c r="R10292" s="1"/>
      <c r="S10292" s="1"/>
      <c r="T10292" s="1"/>
      <c r="U10292" s="1"/>
      <c r="V10292" s="1"/>
      <c r="W10292" s="1"/>
      <c r="X10292" s="1"/>
      <c r="Y10292" s="1"/>
      <c r="Z10292" s="1"/>
      <c r="AA10292" s="1"/>
      <c r="AB10292" s="1"/>
    </row>
    <row r="10293" ht="50.25" customHeight="1">
      <c r="A10293" s="12">
        <v>10289.0</v>
      </c>
      <c r="B10293" s="13" t="s">
        <v>9604</v>
      </c>
      <c r="C10293" s="14" t="s">
        <v>10320</v>
      </c>
      <c r="D10293" s="1"/>
      <c r="E10293" s="1"/>
      <c r="F10293" s="1" t="str">
        <f>IFERROR(__xludf.DUMMYFUNCTION("GOOGLETRANSLATE(B10293, ""en"", ""fa"")
"),"موفقیت Etsy")</f>
        <v>موفقیت Etsy</v>
      </c>
      <c r="G10293" s="1" t="str">
        <f>IFERROR(__xludf.DUMMYFUNCTION("GOOGLETRANSLATE(C10293, ""en"", ""fa"")
"),"استراتژی‌های اعمال نفوذ اینفلوئنسر مارکتینگ برای تبلیغ محصولات Etsy من و قرار گرفتن در معرض مخاطبان جدید چیست؟")</f>
        <v>استراتژی‌های اعمال نفوذ اینفلوئنسر مارکتینگ برای تبلیغ محصولات Etsy من و قرار گرفتن در معرض مخاطبان جدید چیست؟</v>
      </c>
      <c r="H10293" s="1"/>
      <c r="I10293" s="1"/>
      <c r="J10293" s="1"/>
      <c r="K10293" s="1"/>
      <c r="L10293" s="1"/>
      <c r="M10293" s="1"/>
      <c r="N10293" s="1"/>
      <c r="O10293" s="1"/>
      <c r="P10293" s="1"/>
      <c r="Q10293" s="1"/>
      <c r="R10293" s="1"/>
      <c r="S10293" s="1"/>
      <c r="T10293" s="1"/>
      <c r="U10293" s="1"/>
      <c r="V10293" s="1"/>
      <c r="W10293" s="1"/>
      <c r="X10293" s="1"/>
      <c r="Y10293" s="1"/>
      <c r="Z10293" s="1"/>
      <c r="AA10293" s="1"/>
      <c r="AB10293" s="1"/>
    </row>
    <row r="10294" ht="50.25" customHeight="1">
      <c r="A10294" s="12">
        <v>10290.0</v>
      </c>
      <c r="B10294" s="13" t="s">
        <v>9604</v>
      </c>
      <c r="C10294" s="14" t="s">
        <v>10321</v>
      </c>
      <c r="D10294" s="1"/>
      <c r="E10294" s="1"/>
      <c r="F10294" s="1" t="str">
        <f>IFERROR(__xludf.DUMMYFUNCTION("GOOGLETRANSLATE(B10294, ""en"", ""fa"")
"),"موفقیت Etsy")</f>
        <v>موفقیت Etsy</v>
      </c>
      <c r="G10294" s="1" t="str">
        <f>IFERROR(__xludf.DUMMYFUNCTION("GOOGLETRANSLATE(C10294, ""en"", ""fa"")
"),"چگونه می توانم SEO (بهینه سازی موتور جستجو) فروشگاه Etsy خود را برای افزایش دید در نتایج جستجو و جذب ترافیک ارگانیک بیشتر بهینه کنم؟")</f>
        <v>چگونه می توانم SEO (بهینه سازی موتور جستجو) فروشگاه Etsy خود را برای افزایش دید در نتایج جستجو و جذب ترافیک ارگانیک بیشتر بهینه کنم؟</v>
      </c>
      <c r="H10294" s="1"/>
      <c r="I10294" s="1"/>
      <c r="J10294" s="1"/>
      <c r="K10294" s="1"/>
      <c r="L10294" s="1"/>
      <c r="M10294" s="1"/>
      <c r="N10294" s="1"/>
      <c r="O10294" s="1"/>
      <c r="P10294" s="1"/>
      <c r="Q10294" s="1"/>
      <c r="R10294" s="1"/>
      <c r="S10294" s="1"/>
      <c r="T10294" s="1"/>
      <c r="U10294" s="1"/>
      <c r="V10294" s="1"/>
      <c r="W10294" s="1"/>
      <c r="X10294" s="1"/>
      <c r="Y10294" s="1"/>
      <c r="Z10294" s="1"/>
      <c r="AA10294" s="1"/>
      <c r="AB10294" s="1"/>
    </row>
    <row r="10295" ht="50.25" customHeight="1">
      <c r="A10295" s="12">
        <v>10291.0</v>
      </c>
      <c r="B10295" s="13" t="s">
        <v>9604</v>
      </c>
      <c r="C10295" s="14" t="s">
        <v>10322</v>
      </c>
      <c r="D10295" s="1"/>
      <c r="E10295" s="1"/>
      <c r="F10295" s="1" t="str">
        <f>IFERROR(__xludf.DUMMYFUNCTION("GOOGLETRANSLATE(B10295, ""en"", ""fa"")
"),"موفقیت Etsy")</f>
        <v>موفقیت Etsy</v>
      </c>
      <c r="G10295" s="1" t="str">
        <f>IFERROR(__xludf.DUMMYFUNCTION("GOOGLETRANSLATE(C10295, ""en"", ""fa"")
"),"ملاحظات برای راه اندازی یک مرکز انجام یا برون سپاری انجام سفارش به ارائه دهندگان تدارکات شخص ثالث (3PL) برای حمایت از گسترش کسب و کار Etsy من چیست؟")</f>
        <v>ملاحظات برای راه اندازی یک مرکز انجام یا برون سپاری انجام سفارش به ارائه دهندگان تدارکات شخص ثالث (3PL) برای حمایت از گسترش کسب و کار Etsy من چیست؟</v>
      </c>
      <c r="H10295" s="1"/>
      <c r="I10295" s="1"/>
      <c r="J10295" s="1"/>
      <c r="K10295" s="1"/>
      <c r="L10295" s="1"/>
      <c r="M10295" s="1"/>
      <c r="N10295" s="1"/>
      <c r="O10295" s="1"/>
      <c r="P10295" s="1"/>
      <c r="Q10295" s="1"/>
      <c r="R10295" s="1"/>
      <c r="S10295" s="1"/>
      <c r="T10295" s="1"/>
      <c r="U10295" s="1"/>
      <c r="V10295" s="1"/>
      <c r="W10295" s="1"/>
      <c r="X10295" s="1"/>
      <c r="Y10295" s="1"/>
      <c r="Z10295" s="1"/>
      <c r="AA10295" s="1"/>
      <c r="AB10295" s="1"/>
    </row>
    <row r="10296" ht="50.25" customHeight="1">
      <c r="A10296" s="12">
        <v>10292.0</v>
      </c>
      <c r="B10296" s="13" t="s">
        <v>9604</v>
      </c>
      <c r="C10296" s="14" t="s">
        <v>10323</v>
      </c>
      <c r="D10296" s="1"/>
      <c r="E10296" s="1"/>
      <c r="F10296" s="1" t="str">
        <f>IFERROR(__xludf.DUMMYFUNCTION("GOOGLETRANSLATE(B10296, ""en"", ""fa"")
"),"موفقیت Etsy")</f>
        <v>موفقیت Etsy</v>
      </c>
      <c r="G10296" s="1" t="str">
        <f>IFERROR(__xludf.DUMMYFUNCTION("GOOGLETRANSLATE(C10296, ""en"", ""fa"")
"),"چگونه می‌توانم فرصت‌های همکاری عمده‌فروشی با خرده‌فروشان یا برندهای معتبر را برای متنوع کردن کانال‌های توزیع و دستیابی به بازارهای جدید کشف کنم؟")</f>
        <v>چگونه می‌توانم فرصت‌های همکاری عمده‌فروشی با خرده‌فروشان یا برندهای معتبر را برای متنوع کردن کانال‌های توزیع و دستیابی به بازارهای جدید کشف کنم؟</v>
      </c>
      <c r="H10296" s="1"/>
      <c r="I10296" s="1"/>
      <c r="J10296" s="1"/>
      <c r="K10296" s="1"/>
      <c r="L10296" s="1"/>
      <c r="M10296" s="1"/>
      <c r="N10296" s="1"/>
      <c r="O10296" s="1"/>
      <c r="P10296" s="1"/>
      <c r="Q10296" s="1"/>
      <c r="R10296" s="1"/>
      <c r="S10296" s="1"/>
      <c r="T10296" s="1"/>
      <c r="U10296" s="1"/>
      <c r="V10296" s="1"/>
      <c r="W10296" s="1"/>
      <c r="X10296" s="1"/>
      <c r="Y10296" s="1"/>
      <c r="Z10296" s="1"/>
      <c r="AA10296" s="1"/>
      <c r="AB10296" s="1"/>
    </row>
    <row r="10297" ht="50.25" customHeight="1">
      <c r="A10297" s="12">
        <v>10293.0</v>
      </c>
      <c r="B10297" s="13" t="s">
        <v>9604</v>
      </c>
      <c r="C10297" s="14" t="s">
        <v>10324</v>
      </c>
      <c r="D10297" s="1"/>
      <c r="E10297" s="1"/>
      <c r="F10297" s="1" t="str">
        <f>IFERROR(__xludf.DUMMYFUNCTION("GOOGLETRANSLATE(B10297, ""en"", ""fa"")
"),"موفقیت Etsy")</f>
        <v>موفقیت Etsy</v>
      </c>
      <c r="G10297" s="1" t="str">
        <f>IFERROR(__xludf.DUMMYFUNCTION("GOOGLETRANSLATE(C10297, ""en"", ""fa"")
"),"راهبردهای ایجاد یک برنامه وابسته موثر برای تشویق دیگران برای تبلیغ و فروش محصولات Etsy من چیست؟")</f>
        <v>راهبردهای ایجاد یک برنامه وابسته موثر برای تشویق دیگران برای تبلیغ و فروش محصولات Etsy من چیست؟</v>
      </c>
      <c r="H10297" s="1"/>
      <c r="I10297" s="1"/>
      <c r="J10297" s="1"/>
      <c r="K10297" s="1"/>
      <c r="L10297" s="1"/>
      <c r="M10297" s="1"/>
      <c r="N10297" s="1"/>
      <c r="O10297" s="1"/>
      <c r="P10297" s="1"/>
      <c r="Q10297" s="1"/>
      <c r="R10297" s="1"/>
      <c r="S10297" s="1"/>
      <c r="T10297" s="1"/>
      <c r="U10297" s="1"/>
      <c r="V10297" s="1"/>
      <c r="W10297" s="1"/>
      <c r="X10297" s="1"/>
      <c r="Y10297" s="1"/>
      <c r="Z10297" s="1"/>
      <c r="AA10297" s="1"/>
      <c r="AB10297" s="1"/>
    </row>
    <row r="10298" ht="50.25" customHeight="1">
      <c r="A10298" s="12">
        <v>10294.0</v>
      </c>
      <c r="B10298" s="13" t="s">
        <v>9604</v>
      </c>
      <c r="C10298" s="14" t="s">
        <v>10325</v>
      </c>
      <c r="D10298" s="1"/>
      <c r="E10298" s="1"/>
      <c r="F10298" s="1" t="str">
        <f>IFERROR(__xludf.DUMMYFUNCTION("GOOGLETRANSLATE(B10298, ""en"", ""fa"")
"),"موفقیت Etsy")</f>
        <v>موفقیت Etsy</v>
      </c>
      <c r="G10298" s="1" t="str">
        <f>IFERROR(__xludf.DUMMYFUNCTION("GOOGLETRANSLATE(C10298, ""en"", ""fa"")
"),"چگونه می توانم از تجزیه و تحلیل داده ها و بینش مشتری برای شناسایی فرصت های فروش متقابل یا افزایش فروش در پایگاه مشتری فعلی خود و افزایش میانگین ارزش سفارش استفاده کنم؟")</f>
        <v>چگونه می توانم از تجزیه و تحلیل داده ها و بینش مشتری برای شناسایی فرصت های فروش متقابل یا افزایش فروش در پایگاه مشتری فعلی خود و افزایش میانگین ارزش سفارش استفاده کنم؟</v>
      </c>
      <c r="H10298" s="1"/>
      <c r="I10298" s="1"/>
      <c r="J10298" s="1"/>
      <c r="K10298" s="1"/>
      <c r="L10298" s="1"/>
      <c r="M10298" s="1"/>
      <c r="N10298" s="1"/>
      <c r="O10298" s="1"/>
      <c r="P10298" s="1"/>
      <c r="Q10298" s="1"/>
      <c r="R10298" s="1"/>
      <c r="S10298" s="1"/>
      <c r="T10298" s="1"/>
      <c r="U10298" s="1"/>
      <c r="V10298" s="1"/>
      <c r="W10298" s="1"/>
      <c r="X10298" s="1"/>
      <c r="Y10298" s="1"/>
      <c r="Z10298" s="1"/>
      <c r="AA10298" s="1"/>
      <c r="AB10298" s="1"/>
    </row>
    <row r="10299" ht="50.25" customHeight="1">
      <c r="A10299" s="12">
        <v>10295.0</v>
      </c>
      <c r="B10299" s="13" t="s">
        <v>9604</v>
      </c>
      <c r="C10299" s="14" t="s">
        <v>10326</v>
      </c>
      <c r="D10299" s="1"/>
      <c r="E10299" s="1"/>
      <c r="F10299" s="1" t="str">
        <f>IFERROR(__xludf.DUMMYFUNCTION("GOOGLETRANSLATE(B10299, ""en"", ""fa"")
"),"موفقیت Etsy")</f>
        <v>موفقیت Etsy</v>
      </c>
      <c r="G10299" s="1" t="str">
        <f>IFERROR(__xludf.DUMMYFUNCTION("GOOGLETRANSLATE(C10299, ""en"", ""fa"")
"),"ملاحظات برای ایجاد یک حضور آنلاین قوی فراتر از Etsy، مانند حفظ یک وبلاگ یا ایجاد محتوا در پلتفرم های رسانه های اجتماعی، برای حمایت از گسترش کسب و کار Etsy من چیست؟")</f>
        <v>ملاحظات برای ایجاد یک حضور آنلاین قوی فراتر از Etsy، مانند حفظ یک وبلاگ یا ایجاد محتوا در پلتفرم های رسانه های اجتماعی، برای حمایت از گسترش کسب و کار Etsy من چیست؟</v>
      </c>
      <c r="H10299" s="1"/>
      <c r="I10299" s="1"/>
      <c r="J10299" s="1"/>
      <c r="K10299" s="1"/>
      <c r="L10299" s="1"/>
      <c r="M10299" s="1"/>
      <c r="N10299" s="1"/>
      <c r="O10299" s="1"/>
      <c r="P10299" s="1"/>
      <c r="Q10299" s="1"/>
      <c r="R10299" s="1"/>
      <c r="S10299" s="1"/>
      <c r="T10299" s="1"/>
      <c r="U10299" s="1"/>
      <c r="V10299" s="1"/>
      <c r="W10299" s="1"/>
      <c r="X10299" s="1"/>
      <c r="Y10299" s="1"/>
      <c r="Z10299" s="1"/>
      <c r="AA10299" s="1"/>
      <c r="AB10299" s="1"/>
    </row>
    <row r="10300" ht="50.25" customHeight="1">
      <c r="A10300" s="12">
        <v>10296.0</v>
      </c>
      <c r="B10300" s="13" t="s">
        <v>9604</v>
      </c>
      <c r="C10300" s="14" t="s">
        <v>10327</v>
      </c>
      <c r="D10300" s="1"/>
      <c r="E10300" s="1"/>
      <c r="F10300" s="1" t="str">
        <f>IFERROR(__xludf.DUMMYFUNCTION("GOOGLETRANSLATE(B10300, ""en"", ""fa"")
"),"موفقیت Etsy")</f>
        <v>موفقیت Etsy</v>
      </c>
      <c r="G10300" s="1" t="str">
        <f>IFERROR(__xludf.DUMMYFUNCTION("GOOGLETRANSLATE(C10300, ""en"", ""fa"")
"),"چگونه می‌توانم فرصت‌های فروش محصولات Etsy خود را از طریق فروشگاه‌های پاپ‌آپ، نمایشگاه‌های صنایع دستی یا نمایشگاه‌های تجاری برای گسترش حضور آفلاین خود و جذب مشتریان جدید کشف کنم؟")</f>
        <v>چگونه می‌توانم فرصت‌های فروش محصولات Etsy خود را از طریق فروشگاه‌های پاپ‌آپ، نمایشگاه‌های صنایع دستی یا نمایشگاه‌های تجاری برای گسترش حضور آفلاین خود و جذب مشتریان جدید کشف کنم؟</v>
      </c>
      <c r="H10300" s="1"/>
      <c r="I10300" s="1"/>
      <c r="J10300" s="1"/>
      <c r="K10300" s="1"/>
      <c r="L10300" s="1"/>
      <c r="M10300" s="1"/>
      <c r="N10300" s="1"/>
      <c r="O10300" s="1"/>
      <c r="P10300" s="1"/>
      <c r="Q10300" s="1"/>
      <c r="R10300" s="1"/>
      <c r="S10300" s="1"/>
      <c r="T10300" s="1"/>
      <c r="U10300" s="1"/>
      <c r="V10300" s="1"/>
      <c r="W10300" s="1"/>
      <c r="X10300" s="1"/>
      <c r="Y10300" s="1"/>
      <c r="Z10300" s="1"/>
      <c r="AA10300" s="1"/>
      <c r="AB10300" s="1"/>
    </row>
    <row r="10301" ht="50.25" customHeight="1">
      <c r="A10301" s="12">
        <v>10297.0</v>
      </c>
      <c r="B10301" s="13" t="s">
        <v>9604</v>
      </c>
      <c r="C10301" s="14" t="s">
        <v>10328</v>
      </c>
      <c r="D10301" s="1"/>
      <c r="E10301" s="1"/>
      <c r="F10301" s="1" t="str">
        <f>IFERROR(__xludf.DUMMYFUNCTION("GOOGLETRANSLATE(B10301, ""en"", ""fa"")
"),"موفقیت Etsy")</f>
        <v>موفقیت Etsy</v>
      </c>
      <c r="G10301" s="1" t="str">
        <f>IFERROR(__xludf.DUMMYFUNCTION("GOOGLETRANSLATE(C10301, ""en"", ""fa"")
"),"استراتژی‌هایی برای بهینه‌سازی نرخ تبدیل فروشگاه Etsy من و بهبود تجربه مشتری برای افزایش فروش و افزایش حمایت از کسب و کار من چیست؟")</f>
        <v>استراتژی‌هایی برای بهینه‌سازی نرخ تبدیل فروشگاه Etsy من و بهبود تجربه مشتری برای افزایش فروش و افزایش حمایت از کسب و کار من چیست؟</v>
      </c>
      <c r="H10301" s="1"/>
      <c r="I10301" s="1"/>
      <c r="J10301" s="1"/>
      <c r="K10301" s="1"/>
      <c r="L10301" s="1"/>
      <c r="M10301" s="1"/>
      <c r="N10301" s="1"/>
      <c r="O10301" s="1"/>
      <c r="P10301" s="1"/>
      <c r="Q10301" s="1"/>
      <c r="R10301" s="1"/>
      <c r="S10301" s="1"/>
      <c r="T10301" s="1"/>
      <c r="U10301" s="1"/>
      <c r="V10301" s="1"/>
      <c r="W10301" s="1"/>
      <c r="X10301" s="1"/>
      <c r="Y10301" s="1"/>
      <c r="Z10301" s="1"/>
      <c r="AA10301" s="1"/>
      <c r="AB10301" s="1"/>
    </row>
    <row r="10302" ht="50.25" customHeight="1">
      <c r="A10302" s="12">
        <v>10298.0</v>
      </c>
      <c r="B10302" s="13" t="s">
        <v>9604</v>
      </c>
      <c r="C10302" s="14" t="s">
        <v>10329</v>
      </c>
      <c r="D10302" s="1"/>
      <c r="E10302" s="1"/>
      <c r="F10302" s="1" t="str">
        <f>IFERROR(__xludf.DUMMYFUNCTION("GOOGLETRANSLATE(B10302, ""en"", ""fa"")
"),"موفقیت Etsy")</f>
        <v>موفقیت Etsy</v>
      </c>
      <c r="G10302" s="1" t="str">
        <f>IFERROR(__xludf.DUMMYFUNCTION("GOOGLETRANSLATE(C10302, ""en"", ""fa"")
"),"چگونه می توانم از تقسیم بندی ایمیل و کمپین های هدفمند برای ارائه پیام ها و پیشنهادات شخصی به بخش های مختلف مشتریان استفاده کنم؟")</f>
        <v>چگونه می توانم از تقسیم بندی ایمیل و کمپین های هدفمند برای ارائه پیام ها و پیشنهادات شخصی به بخش های مختلف مشتریان استفاده کنم؟</v>
      </c>
      <c r="H10302" s="1"/>
      <c r="I10302" s="1"/>
      <c r="J10302" s="1"/>
      <c r="K10302" s="1"/>
      <c r="L10302" s="1"/>
      <c r="M10302" s="1"/>
      <c r="N10302" s="1"/>
      <c r="O10302" s="1"/>
      <c r="P10302" s="1"/>
      <c r="Q10302" s="1"/>
      <c r="R10302" s="1"/>
      <c r="S10302" s="1"/>
      <c r="T10302" s="1"/>
      <c r="U10302" s="1"/>
      <c r="V10302" s="1"/>
      <c r="W10302" s="1"/>
      <c r="X10302" s="1"/>
      <c r="Y10302" s="1"/>
      <c r="Z10302" s="1"/>
      <c r="AA10302" s="1"/>
      <c r="AB10302" s="1"/>
    </row>
    <row r="10303" ht="50.25" customHeight="1">
      <c r="A10303" s="12">
        <v>10299.0</v>
      </c>
      <c r="B10303" s="13" t="s">
        <v>9604</v>
      </c>
      <c r="C10303" s="14" t="s">
        <v>10330</v>
      </c>
      <c r="D10303" s="1"/>
      <c r="E10303" s="1"/>
      <c r="F10303" s="1" t="str">
        <f>IFERROR(__xludf.DUMMYFUNCTION("GOOGLETRANSLATE(B10303, ""en"", ""fa"")
"),"موفقیت Etsy")</f>
        <v>موفقیت Etsy</v>
      </c>
      <c r="G10303" s="1" t="str">
        <f>IFERROR(__xludf.DUMMYFUNCTION("GOOGLETRANSLATE(C10303, ""en"", ""fa"")
"),"ملاحظات برای پیاده سازی اتوماسیون و ساده کردن فرآیندها در کسب و کار Etsy من برای افزایش کارایی و رسیدگی به حجم سفارشات بالاتر چیست؟")</f>
        <v>ملاحظات برای پیاده سازی اتوماسیون و ساده کردن فرآیندها در کسب و کار Etsy من برای افزایش کارایی و رسیدگی به حجم سفارشات بالاتر چیست؟</v>
      </c>
      <c r="H10303" s="1"/>
      <c r="I10303" s="1"/>
      <c r="J10303" s="1"/>
      <c r="K10303" s="1"/>
      <c r="L10303" s="1"/>
      <c r="M10303" s="1"/>
      <c r="N10303" s="1"/>
      <c r="O10303" s="1"/>
      <c r="P10303" s="1"/>
      <c r="Q10303" s="1"/>
      <c r="R10303" s="1"/>
      <c r="S10303" s="1"/>
      <c r="T10303" s="1"/>
      <c r="U10303" s="1"/>
      <c r="V10303" s="1"/>
      <c r="W10303" s="1"/>
      <c r="X10303" s="1"/>
      <c r="Y10303" s="1"/>
      <c r="Z10303" s="1"/>
      <c r="AA10303" s="1"/>
      <c r="AB10303" s="1"/>
    </row>
    <row r="10304" ht="50.25" customHeight="1">
      <c r="A10304" s="12">
        <v>10300.0</v>
      </c>
      <c r="B10304" s="13" t="s">
        <v>9604</v>
      </c>
      <c r="C10304" s="14" t="s">
        <v>10331</v>
      </c>
      <c r="D10304" s="1"/>
      <c r="E10304" s="1"/>
      <c r="F10304" s="1" t="str">
        <f>IFERROR(__xludf.DUMMYFUNCTION("GOOGLETRANSLATE(B10304, ""en"", ""fa"")
"),"موفقیت Etsy")</f>
        <v>موفقیت Etsy</v>
      </c>
      <c r="G10304" s="1" t="str">
        <f>IFERROR(__xludf.DUMMYFUNCTION("GOOGLETRANSLATE(C10304, ""en"", ""fa"")
"),"چگونه می توانم فرصت هایی را برای برچسب زدن خصوصی یا ایجاد محصولات با برچسب سفید برای ارائه پیشنهادات منحصر به فرد و تنوع بخشیدن به محدوده محصولات خود کشف کنم؟")</f>
        <v>چگونه می توانم فرصت هایی را برای برچسب زدن خصوصی یا ایجاد محصولات با برچسب سفید برای ارائه پیشنهادات منحصر به فرد و تنوع بخشیدن به محدوده محصولات خود کشف کنم؟</v>
      </c>
      <c r="H10304" s="1"/>
      <c r="I10304" s="1"/>
      <c r="J10304" s="1"/>
      <c r="K10304" s="1"/>
      <c r="L10304" s="1"/>
      <c r="M10304" s="1"/>
      <c r="N10304" s="1"/>
      <c r="O10304" s="1"/>
      <c r="P10304" s="1"/>
      <c r="Q10304" s="1"/>
      <c r="R10304" s="1"/>
      <c r="S10304" s="1"/>
      <c r="T10304" s="1"/>
      <c r="U10304" s="1"/>
      <c r="V10304" s="1"/>
      <c r="W10304" s="1"/>
      <c r="X10304" s="1"/>
      <c r="Y10304" s="1"/>
      <c r="Z10304" s="1"/>
      <c r="AA10304" s="1"/>
      <c r="AB10304" s="1"/>
    </row>
    <row r="10305" ht="50.25" customHeight="1">
      <c r="A10305" s="12">
        <v>10301.0</v>
      </c>
      <c r="B10305" s="13" t="s">
        <v>9604</v>
      </c>
      <c r="C10305" s="14" t="s">
        <v>10332</v>
      </c>
      <c r="D10305" s="1"/>
      <c r="E10305" s="1"/>
      <c r="F10305" s="1" t="str">
        <f>IFERROR(__xludf.DUMMYFUNCTION("GOOGLETRANSLATE(B10305, ""en"", ""fa"")
"),"موفقیت Etsy")</f>
        <v>موفقیت Etsy</v>
      </c>
      <c r="G10305" s="1" t="str">
        <f>IFERROR(__xludf.DUMMYFUNCTION("GOOGLETRANSLATE(C10305, ""en"", ""fa"")
"),"استراتژی‌هایی برای بهینه‌سازی قیمت‌گذاری و حاشیه سود برای حمایت از مقیاس‌پذیری کسب‌وکار Etsy من با حفظ سودآوری چیست؟")</f>
        <v>استراتژی‌هایی برای بهینه‌سازی قیمت‌گذاری و حاشیه سود برای حمایت از مقیاس‌پذیری کسب‌وکار Etsy من با حفظ سودآوری چیست؟</v>
      </c>
      <c r="H10305" s="1"/>
      <c r="I10305" s="1"/>
      <c r="J10305" s="1"/>
      <c r="K10305" s="1"/>
      <c r="L10305" s="1"/>
      <c r="M10305" s="1"/>
      <c r="N10305" s="1"/>
      <c r="O10305" s="1"/>
      <c r="P10305" s="1"/>
      <c r="Q10305" s="1"/>
      <c r="R10305" s="1"/>
      <c r="S10305" s="1"/>
      <c r="T10305" s="1"/>
      <c r="U10305" s="1"/>
      <c r="V10305" s="1"/>
      <c r="W10305" s="1"/>
      <c r="X10305" s="1"/>
      <c r="Y10305" s="1"/>
      <c r="Z10305" s="1"/>
      <c r="AA10305" s="1"/>
      <c r="AB10305" s="1"/>
    </row>
    <row r="10306" ht="50.25" customHeight="1">
      <c r="A10306" s="12">
        <v>10302.0</v>
      </c>
      <c r="B10306" s="13" t="s">
        <v>9604</v>
      </c>
      <c r="C10306" s="14" t="s">
        <v>10333</v>
      </c>
      <c r="D10306" s="1"/>
      <c r="E10306" s="1"/>
      <c r="F10306" s="1" t="str">
        <f>IFERROR(__xludf.DUMMYFUNCTION("GOOGLETRANSLATE(B10306, ""en"", ""fa"")
"),"موفقیت Etsy")</f>
        <v>موفقیت Etsy</v>
      </c>
      <c r="G10306" s="1" t="str">
        <f>IFERROR(__xludf.DUMMYFUNCTION("GOOGLETRANSLATE(C10306, ""en"", ""fa"")
"),"چگونه می‌توانم از همکاری‌های اینفلوئنسرها یا محتوای حمایت‌شده برای ایجاد سر و صدا و ایجاد علاقه به محصولات Etsy خود استفاده کنم؟")</f>
        <v>چگونه می‌توانم از همکاری‌های اینفلوئنسرها یا محتوای حمایت‌شده برای ایجاد سر و صدا و ایجاد علاقه به محصولات Etsy خود استفاده کنم؟</v>
      </c>
      <c r="H10306" s="1"/>
      <c r="I10306" s="1"/>
      <c r="J10306" s="1"/>
      <c r="K10306" s="1"/>
      <c r="L10306" s="1"/>
      <c r="M10306" s="1"/>
      <c r="N10306" s="1"/>
      <c r="O10306" s="1"/>
      <c r="P10306" s="1"/>
      <c r="Q10306" s="1"/>
      <c r="R10306" s="1"/>
      <c r="S10306" s="1"/>
      <c r="T10306" s="1"/>
      <c r="U10306" s="1"/>
      <c r="V10306" s="1"/>
      <c r="W10306" s="1"/>
      <c r="X10306" s="1"/>
      <c r="Y10306" s="1"/>
      <c r="Z10306" s="1"/>
      <c r="AA10306" s="1"/>
      <c r="AB10306" s="1"/>
    </row>
    <row r="10307" ht="50.25" customHeight="1">
      <c r="A10307" s="12">
        <v>10303.0</v>
      </c>
      <c r="B10307" s="13" t="s">
        <v>9604</v>
      </c>
      <c r="C10307" s="14" t="s">
        <v>10334</v>
      </c>
      <c r="D10307" s="1"/>
      <c r="E10307" s="1"/>
      <c r="F10307" s="1" t="str">
        <f>IFERROR(__xludf.DUMMYFUNCTION("GOOGLETRANSLATE(B10307, ""en"", ""fa"")
"),"موفقیت Etsy")</f>
        <v>موفقیت Etsy</v>
      </c>
      <c r="G10307" s="1" t="str">
        <f>IFERROR(__xludf.DUMMYFUNCTION("GOOGLETRANSLATE(C10307, ""en"", ""fa"")
"),"ملاحظات برای پیاده سازی سیستم ها و فرآیندهای خدمات مشتری که می تواند در کنار رشد کسب و کار Etsy من افزایش یابد چیست؟")</f>
        <v>ملاحظات برای پیاده سازی سیستم ها و فرآیندهای خدمات مشتری که می تواند در کنار رشد کسب و کار Etsy من افزایش یابد چیست؟</v>
      </c>
      <c r="H10307" s="1"/>
      <c r="I10307" s="1"/>
      <c r="J10307" s="1"/>
      <c r="K10307" s="1"/>
      <c r="L10307" s="1"/>
      <c r="M10307" s="1"/>
      <c r="N10307" s="1"/>
      <c r="O10307" s="1"/>
      <c r="P10307" s="1"/>
      <c r="Q10307" s="1"/>
      <c r="R10307" s="1"/>
      <c r="S10307" s="1"/>
      <c r="T10307" s="1"/>
      <c r="U10307" s="1"/>
      <c r="V10307" s="1"/>
      <c r="W10307" s="1"/>
      <c r="X10307" s="1"/>
      <c r="Y10307" s="1"/>
      <c r="Z10307" s="1"/>
      <c r="AA10307" s="1"/>
      <c r="AB10307" s="1"/>
    </row>
    <row r="10308" ht="50.25" customHeight="1">
      <c r="A10308" s="12">
        <v>10304.0</v>
      </c>
      <c r="B10308" s="13" t="s">
        <v>9604</v>
      </c>
      <c r="C10308" s="14" t="s">
        <v>10335</v>
      </c>
      <c r="D10308" s="1"/>
      <c r="E10308" s="1"/>
      <c r="F10308" s="1" t="str">
        <f>IFERROR(__xludf.DUMMYFUNCTION("GOOGLETRANSLATE(B10308, ""en"", ""fa"")
"),"موفقیت Etsy")</f>
        <v>موفقیت Etsy</v>
      </c>
      <c r="G10308" s="1" t="str">
        <f>IFERROR(__xludf.DUMMYFUNCTION("GOOGLETRANSLATE(C10308, ""en"", ""fa"")
"),"چگونه می‌توانم فرصت‌های فروش محصولات Etsy خود را از طریق خدمات جعبه اشتراک یا جعبه‌های هدیه انتخاب‌شده برای ورود به بازارهای جدید و رسیدن به یک پایگاه مشتری تکرارشونده کشف کنم؟")</f>
        <v>چگونه می‌توانم فرصت‌های فروش محصولات Etsy خود را از طریق خدمات جعبه اشتراک یا جعبه‌های هدیه انتخاب‌شده برای ورود به بازارهای جدید و رسیدن به یک پایگاه مشتری تکرارشونده کشف کنم؟</v>
      </c>
      <c r="H10308" s="1"/>
      <c r="I10308" s="1"/>
      <c r="J10308" s="1"/>
      <c r="K10308" s="1"/>
      <c r="L10308" s="1"/>
      <c r="M10308" s="1"/>
      <c r="N10308" s="1"/>
      <c r="O10308" s="1"/>
      <c r="P10308" s="1"/>
      <c r="Q10308" s="1"/>
      <c r="R10308" s="1"/>
      <c r="S10308" s="1"/>
      <c r="T10308" s="1"/>
      <c r="U10308" s="1"/>
      <c r="V10308" s="1"/>
      <c r="W10308" s="1"/>
      <c r="X10308" s="1"/>
      <c r="Y10308" s="1"/>
      <c r="Z10308" s="1"/>
      <c r="AA10308" s="1"/>
      <c r="AB10308" s="1"/>
    </row>
    <row r="10309" ht="50.25" customHeight="1">
      <c r="A10309" s="12">
        <v>10305.0</v>
      </c>
      <c r="B10309" s="13" t="s">
        <v>9604</v>
      </c>
      <c r="C10309" s="14" t="s">
        <v>10336</v>
      </c>
      <c r="D10309" s="1"/>
      <c r="E10309" s="1"/>
      <c r="F10309" s="1" t="str">
        <f>IFERROR(__xludf.DUMMYFUNCTION("GOOGLETRANSLATE(B10309, ""en"", ""fa"")
"),"موفقیت Etsy")</f>
        <v>موفقیت Etsy</v>
      </c>
      <c r="G10309" s="1" t="str">
        <f>IFERROR(__xludf.DUMMYFUNCTION("GOOGLETRANSLATE(C10309, ""en"", ""fa"")
"),"استراتژی‌های اجرای برنامه‌های موثر حفظ مشتری، مانند پاداش‌های وفاداری یا پیشنهادات انحصاری، برای تقویت تجارت تکراری و افزایش ارزش طول عمر مشتری چیست؟")</f>
        <v>استراتژی‌های اجرای برنامه‌های موثر حفظ مشتری، مانند پاداش‌های وفاداری یا پیشنهادات انحصاری، برای تقویت تجارت تکراری و افزایش ارزش طول عمر مشتری چیست؟</v>
      </c>
      <c r="H10309" s="1"/>
      <c r="I10309" s="1"/>
      <c r="J10309" s="1"/>
      <c r="K10309" s="1"/>
      <c r="L10309" s="1"/>
      <c r="M10309" s="1"/>
      <c r="N10309" s="1"/>
      <c r="O10309" s="1"/>
      <c r="P10309" s="1"/>
      <c r="Q10309" s="1"/>
      <c r="R10309" s="1"/>
      <c r="S10309" s="1"/>
      <c r="T10309" s="1"/>
      <c r="U10309" s="1"/>
      <c r="V10309" s="1"/>
      <c r="W10309" s="1"/>
      <c r="X10309" s="1"/>
      <c r="Y10309" s="1"/>
      <c r="Z10309" s="1"/>
      <c r="AA10309" s="1"/>
      <c r="AB10309" s="1"/>
    </row>
    <row r="10310" ht="50.25" customHeight="1">
      <c r="A10310" s="12">
        <v>10306.0</v>
      </c>
      <c r="B10310" s="13" t="s">
        <v>9604</v>
      </c>
      <c r="C10310" s="14" t="s">
        <v>10337</v>
      </c>
      <c r="D10310" s="1"/>
      <c r="E10310" s="1"/>
      <c r="F10310" s="1" t="str">
        <f>IFERROR(__xludf.DUMMYFUNCTION("GOOGLETRANSLATE(B10310, ""en"", ""fa"")
"),"موفقیت Etsy")</f>
        <v>موفقیت Etsy</v>
      </c>
      <c r="G10310" s="1" t="str">
        <f>IFERROR(__xludf.DUMMYFUNCTION("GOOGLETRANSLATE(C10310, ""en"", ""fa"")
"),"چگونه می توانم برای ایجاد اعتماد و اعتبار برای کسب و کار Etsy خود و جذب مشتریان بیشتر، از اثبات اجتماعی، مانند نظرات یا نظرات مشتریان استفاده کنم؟")</f>
        <v>چگونه می توانم برای ایجاد اعتماد و اعتبار برای کسب و کار Etsy خود و جذب مشتریان بیشتر، از اثبات اجتماعی، مانند نظرات یا نظرات مشتریان استفاده کنم؟</v>
      </c>
      <c r="H10310" s="1"/>
      <c r="I10310" s="1"/>
      <c r="J10310" s="1"/>
      <c r="K10310" s="1"/>
      <c r="L10310" s="1"/>
      <c r="M10310" s="1"/>
      <c r="N10310" s="1"/>
      <c r="O10310" s="1"/>
      <c r="P10310" s="1"/>
      <c r="Q10310" s="1"/>
      <c r="R10310" s="1"/>
      <c r="S10310" s="1"/>
      <c r="T10310" s="1"/>
      <c r="U10310" s="1"/>
      <c r="V10310" s="1"/>
      <c r="W10310" s="1"/>
      <c r="X10310" s="1"/>
      <c r="Y10310" s="1"/>
      <c r="Z10310" s="1"/>
      <c r="AA10310" s="1"/>
      <c r="AB10310" s="1"/>
    </row>
    <row r="10311" ht="50.25" customHeight="1">
      <c r="A10311" s="12">
        <v>10307.0</v>
      </c>
      <c r="B10311" s="13" t="s">
        <v>9604</v>
      </c>
      <c r="C10311" s="14" t="s">
        <v>10338</v>
      </c>
      <c r="D10311" s="1"/>
      <c r="E10311" s="1"/>
      <c r="F10311" s="1" t="str">
        <f>IFERROR(__xludf.DUMMYFUNCTION("GOOGLETRANSLATE(B10311, ""en"", ""fa"")
"),"موفقیت Etsy")</f>
        <v>موفقیت Etsy</v>
      </c>
      <c r="G10311" s="1" t="str">
        <f>IFERROR(__xludf.DUMMYFUNCTION("GOOGLETRANSLATE(C10311, ""en"", ""fa"")
"),"ملاحظات برای گسترش تجارت Etsy من در مکان‌های خرده‌فروشی فیزیکی، مانند راه‌اندازی یک فروشگاه آجر و ملات یا شراکت با خرده‌فروشان موجود چیست؟")</f>
        <v>ملاحظات برای گسترش تجارت Etsy من در مکان‌های خرده‌فروشی فیزیکی، مانند راه‌اندازی یک فروشگاه آجر و ملات یا شراکت با خرده‌فروشان موجود چیست؟</v>
      </c>
      <c r="H10311" s="1"/>
      <c r="I10311" s="1"/>
      <c r="J10311" s="1"/>
      <c r="K10311" s="1"/>
      <c r="L10311" s="1"/>
      <c r="M10311" s="1"/>
      <c r="N10311" s="1"/>
      <c r="O10311" s="1"/>
      <c r="P10311" s="1"/>
      <c r="Q10311" s="1"/>
      <c r="R10311" s="1"/>
      <c r="S10311" s="1"/>
      <c r="T10311" s="1"/>
      <c r="U10311" s="1"/>
      <c r="V10311" s="1"/>
      <c r="W10311" s="1"/>
      <c r="X10311" s="1"/>
      <c r="Y10311" s="1"/>
      <c r="Z10311" s="1"/>
      <c r="AA10311" s="1"/>
      <c r="AB10311" s="1"/>
    </row>
    <row r="10312" ht="50.25" customHeight="1">
      <c r="A10312" s="12">
        <v>10308.0</v>
      </c>
      <c r="B10312" s="13" t="s">
        <v>9604</v>
      </c>
      <c r="C10312" s="14" t="s">
        <v>10339</v>
      </c>
      <c r="D10312" s="1"/>
      <c r="E10312" s="1"/>
      <c r="F10312" s="1" t="str">
        <f>IFERROR(__xludf.DUMMYFUNCTION("GOOGLETRANSLATE(B10312, ""en"", ""fa"")
"),"موفقیت Etsy")</f>
        <v>موفقیت Etsy</v>
      </c>
      <c r="G10312" s="1" t="str">
        <f>IFERROR(__xludf.DUMMYFUNCTION("GOOGLETRANSLATE(C10312, ""en"", ""fa"")
"),"چگونه می‌توانم فرصت‌هایی را برای صدور مجوز یا فروش طرح‌ها یا الگوهایم به سایر کسب‌وکارها یا تولیدکنندگان برای تنوع بخشیدن به جریان‌های درآمد و گسترش دامنه برندم کشف کنم؟")</f>
        <v>چگونه می‌توانم فرصت‌هایی را برای صدور مجوز یا فروش طرح‌ها یا الگوهایم به سایر کسب‌وکارها یا تولیدکنندگان برای تنوع بخشیدن به جریان‌های درآمد و گسترش دامنه برندم کشف کنم؟</v>
      </c>
      <c r="H10312" s="1"/>
      <c r="I10312" s="1"/>
      <c r="J10312" s="1"/>
      <c r="K10312" s="1"/>
      <c r="L10312" s="1"/>
      <c r="M10312" s="1"/>
      <c r="N10312" s="1"/>
      <c r="O10312" s="1"/>
      <c r="P10312" s="1"/>
      <c r="Q10312" s="1"/>
      <c r="R10312" s="1"/>
      <c r="S10312" s="1"/>
      <c r="T10312" s="1"/>
      <c r="U10312" s="1"/>
      <c r="V10312" s="1"/>
      <c r="W10312" s="1"/>
      <c r="X10312" s="1"/>
      <c r="Y10312" s="1"/>
      <c r="Z10312" s="1"/>
      <c r="AA10312" s="1"/>
      <c r="AB10312" s="1"/>
    </row>
    <row r="10313" ht="50.25" customHeight="1">
      <c r="A10313" s="12">
        <v>10309.0</v>
      </c>
      <c r="B10313" s="13" t="s">
        <v>9604</v>
      </c>
      <c r="C10313" s="14" t="s">
        <v>10340</v>
      </c>
      <c r="D10313" s="1"/>
      <c r="E10313" s="1"/>
      <c r="F10313" s="1" t="str">
        <f>IFERROR(__xludf.DUMMYFUNCTION("GOOGLETRANSLATE(B10313, ""en"", ""fa"")
"),"موفقیت Etsy")</f>
        <v>موفقیت Etsy</v>
      </c>
      <c r="G10313" s="1" t="str">
        <f>IFERROR(__xludf.DUMMYFUNCTION("GOOGLETRANSLATE(C10313, ""en"", ""fa"")
"),"استراتژی‌های بهینه‌سازی تجربه تلفن همراه فروشگاه Etsy من برای پاسخگویی به تعداد فزاینده‌ای از خریدارانی که با استفاده از دستگاه‌های تلفن همراه مرور و خرید می‌کنند چیست؟")</f>
        <v>استراتژی‌های بهینه‌سازی تجربه تلفن همراه فروشگاه Etsy من برای پاسخگویی به تعداد فزاینده‌ای از خریدارانی که با استفاده از دستگاه‌های تلفن همراه مرور و خرید می‌کنند چیست؟</v>
      </c>
      <c r="H10313" s="1"/>
      <c r="I10313" s="1"/>
      <c r="J10313" s="1"/>
      <c r="K10313" s="1"/>
      <c r="L10313" s="1"/>
      <c r="M10313" s="1"/>
      <c r="N10313" s="1"/>
      <c r="O10313" s="1"/>
      <c r="P10313" s="1"/>
      <c r="Q10313" s="1"/>
      <c r="R10313" s="1"/>
      <c r="S10313" s="1"/>
      <c r="T10313" s="1"/>
      <c r="U10313" s="1"/>
      <c r="V10313" s="1"/>
      <c r="W10313" s="1"/>
      <c r="X10313" s="1"/>
      <c r="Y10313" s="1"/>
      <c r="Z10313" s="1"/>
      <c r="AA10313" s="1"/>
      <c r="AB10313" s="1"/>
    </row>
    <row r="10314" ht="50.25" customHeight="1">
      <c r="A10314" s="12">
        <v>10310.0</v>
      </c>
      <c r="B10314" s="13" t="s">
        <v>9604</v>
      </c>
      <c r="C10314" s="14" t="s">
        <v>10341</v>
      </c>
      <c r="D10314" s="1"/>
      <c r="E10314" s="1"/>
      <c r="F10314" s="1" t="str">
        <f>IFERROR(__xludf.DUMMYFUNCTION("GOOGLETRANSLATE(B10314, ""en"", ""fa"")
"),"موفقیت Etsy")</f>
        <v>موفقیت Etsy</v>
      </c>
      <c r="G10314" s="1" t="str">
        <f>IFERROR(__xludf.DUMMYFUNCTION("GOOGLETRANSLATE(C10314, ""en"", ""fa"")
"),"چگونه می توانم از تکنیک های فروش و فروش متقابل در فروشگاه Etsy خود برای افزایش میانگین ارزش سفارش و افزایش فروش کلی استفاده کنم؟")</f>
        <v>چگونه می توانم از تکنیک های فروش و فروش متقابل در فروشگاه Etsy خود برای افزایش میانگین ارزش سفارش و افزایش فروش کلی استفاده کنم؟</v>
      </c>
      <c r="H10314" s="1"/>
      <c r="I10314" s="1"/>
      <c r="J10314" s="1"/>
      <c r="K10314" s="1"/>
      <c r="L10314" s="1"/>
      <c r="M10314" s="1"/>
      <c r="N10314" s="1"/>
      <c r="O10314" s="1"/>
      <c r="P10314" s="1"/>
      <c r="Q10314" s="1"/>
      <c r="R10314" s="1"/>
      <c r="S10314" s="1"/>
      <c r="T10314" s="1"/>
      <c r="U10314" s="1"/>
      <c r="V10314" s="1"/>
      <c r="W10314" s="1"/>
      <c r="X10314" s="1"/>
      <c r="Y10314" s="1"/>
      <c r="Z10314" s="1"/>
      <c r="AA10314" s="1"/>
      <c r="AB10314" s="1"/>
    </row>
    <row r="10315" ht="50.25" customHeight="1">
      <c r="A10315" s="12">
        <v>10311.0</v>
      </c>
      <c r="B10315" s="13" t="s">
        <v>9604</v>
      </c>
      <c r="C10315" s="14" t="s">
        <v>10342</v>
      </c>
      <c r="D10315" s="1"/>
      <c r="E10315" s="1"/>
      <c r="F10315" s="1" t="str">
        <f>IFERROR(__xludf.DUMMYFUNCTION("GOOGLETRANSLATE(B10315, ""en"", ""fa"")
"),"موفقیت Etsy")</f>
        <v>موفقیت Etsy</v>
      </c>
      <c r="G10315" s="1" t="str">
        <f>IFERROR(__xludf.DUMMYFUNCTION("GOOGLETRANSLATE(C10315, ""en"", ""fa"")
"),"ملاحظات برای پیاده سازی سیستم ها و ابزارهای مدیریت ارتباط با مشتری (CRM) برای مدیریت موثر و پرورش روابط با مشتری به عنوان مقیاس های تجاری Etsy من چیست؟")</f>
        <v>ملاحظات برای پیاده سازی سیستم ها و ابزارهای مدیریت ارتباط با مشتری (CRM) برای مدیریت موثر و پرورش روابط با مشتری به عنوان مقیاس های تجاری Etsy من چیست؟</v>
      </c>
      <c r="H10315" s="1"/>
      <c r="I10315" s="1"/>
      <c r="J10315" s="1"/>
      <c r="K10315" s="1"/>
      <c r="L10315" s="1"/>
      <c r="M10315" s="1"/>
      <c r="N10315" s="1"/>
      <c r="O10315" s="1"/>
      <c r="P10315" s="1"/>
      <c r="Q10315" s="1"/>
      <c r="R10315" s="1"/>
      <c r="S10315" s="1"/>
      <c r="T10315" s="1"/>
      <c r="U10315" s="1"/>
      <c r="V10315" s="1"/>
      <c r="W10315" s="1"/>
      <c r="X10315" s="1"/>
      <c r="Y10315" s="1"/>
      <c r="Z10315" s="1"/>
      <c r="AA10315" s="1"/>
      <c r="AB10315" s="1"/>
    </row>
    <row r="10316" ht="50.25" customHeight="1">
      <c r="A10316" s="12">
        <v>10312.0</v>
      </c>
      <c r="B10316" s="13" t="s">
        <v>9604</v>
      </c>
      <c r="C10316" s="14" t="s">
        <v>10343</v>
      </c>
      <c r="D10316" s="1"/>
      <c r="E10316" s="1"/>
      <c r="F10316" s="1" t="str">
        <f>IFERROR(__xludf.DUMMYFUNCTION("GOOGLETRANSLATE(B10316, ""en"", ""fa"")
"),"موفقیت Etsy")</f>
        <v>موفقیت Etsy</v>
      </c>
      <c r="G10316" s="1" t="str">
        <f>IFERROR(__xludf.DUMMYFUNCTION("GOOGLETRANSLATE(C10316, ""en"", ""fa"")
"),"چگونه می‌توانم فرصت‌هایی را برای ایجاد و فروش دوره‌های دیجیتال یا کارگاه‌های آموزشی مرتبط با جایگاه Etsy خود برای تنوع بخشیدن به جریان‌های درآمد و جایگاه خود به عنوان یک متخصص در این زمینه کشف کنم؟")</f>
        <v>چگونه می‌توانم فرصت‌هایی را برای ایجاد و فروش دوره‌های دیجیتال یا کارگاه‌های آموزشی مرتبط با جایگاه Etsy خود برای تنوع بخشیدن به جریان‌های درآمد و جایگاه خود به عنوان یک متخصص در این زمینه کشف کنم؟</v>
      </c>
      <c r="H10316" s="1"/>
      <c r="I10316" s="1"/>
      <c r="J10316" s="1"/>
      <c r="K10316" s="1"/>
      <c r="L10316" s="1"/>
      <c r="M10316" s="1"/>
      <c r="N10316" s="1"/>
      <c r="O10316" s="1"/>
      <c r="P10316" s="1"/>
      <c r="Q10316" s="1"/>
      <c r="R10316" s="1"/>
      <c r="S10316" s="1"/>
      <c r="T10316" s="1"/>
      <c r="U10316" s="1"/>
      <c r="V10316" s="1"/>
      <c r="W10316" s="1"/>
      <c r="X10316" s="1"/>
      <c r="Y10316" s="1"/>
      <c r="Z10316" s="1"/>
      <c r="AA10316" s="1"/>
      <c r="AB10316" s="1"/>
    </row>
    <row r="10317" ht="50.25" customHeight="1">
      <c r="A10317" s="12">
        <v>10313.0</v>
      </c>
      <c r="B10317" s="13" t="s">
        <v>9604</v>
      </c>
      <c r="C10317" s="14" t="s">
        <v>10344</v>
      </c>
      <c r="D10317" s="1"/>
      <c r="E10317" s="1"/>
      <c r="F10317" s="1" t="str">
        <f>IFERROR(__xludf.DUMMYFUNCTION("GOOGLETRANSLATE(B10317, ""en"", ""fa"")
"),"موفقیت Etsy")</f>
        <v>موفقیت Etsy</v>
      </c>
      <c r="G10317" s="1" t="str">
        <f>IFERROR(__xludf.DUMMYFUNCTION("GOOGLETRANSLATE(C10317, ""en"", ""fa"")
"),"استراتژی‌هایی برای استفاده از ارجاع مشتری و بازاریابی دهان به دهان برای گسترش پایگاه مشتری و رشد ارگانیک چیست؟")</f>
        <v>استراتژی‌هایی برای استفاده از ارجاع مشتری و بازاریابی دهان به دهان برای گسترش پایگاه مشتری و رشد ارگانیک چیست؟</v>
      </c>
      <c r="H10317" s="1"/>
      <c r="I10317" s="1"/>
      <c r="J10317" s="1"/>
      <c r="K10317" s="1"/>
      <c r="L10317" s="1"/>
      <c r="M10317" s="1"/>
      <c r="N10317" s="1"/>
      <c r="O10317" s="1"/>
      <c r="P10317" s="1"/>
      <c r="Q10317" s="1"/>
      <c r="R10317" s="1"/>
      <c r="S10317" s="1"/>
      <c r="T10317" s="1"/>
      <c r="U10317" s="1"/>
      <c r="V10317" s="1"/>
      <c r="W10317" s="1"/>
      <c r="X10317" s="1"/>
      <c r="Y10317" s="1"/>
      <c r="Z10317" s="1"/>
      <c r="AA10317" s="1"/>
      <c r="AB10317" s="1"/>
    </row>
    <row r="10318" ht="50.25" customHeight="1">
      <c r="A10318" s="12">
        <v>10314.0</v>
      </c>
      <c r="B10318" s="13" t="s">
        <v>9604</v>
      </c>
      <c r="C10318" s="14" t="s">
        <v>10345</v>
      </c>
      <c r="D10318" s="1"/>
      <c r="E10318" s="1"/>
      <c r="F10318" s="1" t="str">
        <f>IFERROR(__xludf.DUMMYFUNCTION("GOOGLETRANSLATE(B10318, ""en"", ""fa"")
"),"موفقیت Etsy")</f>
        <v>موفقیت Etsy</v>
      </c>
      <c r="G10318" s="1" t="str">
        <f>IFERROR(__xludf.DUMMYFUNCTION("GOOGLETRANSLATE(C10318, ""en"", ""fa"")
"),"چگونه می‌توانم از محتوای تولید شده توسط کاربر، مانند عکس‌ها یا توصیفات مشتری، برای ایجاد حسی از جامعه پیرامون برند Etsy خود و تشویق تعامل و فروش بیشتر استفاده کنم؟")</f>
        <v>چگونه می‌توانم از محتوای تولید شده توسط کاربر، مانند عکس‌ها یا توصیفات مشتری، برای ایجاد حسی از جامعه پیرامون برند Etsy خود و تشویق تعامل و فروش بیشتر استفاده کنم؟</v>
      </c>
      <c r="H10318" s="1"/>
      <c r="I10318" s="1"/>
      <c r="J10318" s="1"/>
      <c r="K10318" s="1"/>
      <c r="L10318" s="1"/>
      <c r="M10318" s="1"/>
      <c r="N10318" s="1"/>
      <c r="O10318" s="1"/>
      <c r="P10318" s="1"/>
      <c r="Q10318" s="1"/>
      <c r="R10318" s="1"/>
      <c r="S10318" s="1"/>
      <c r="T10318" s="1"/>
      <c r="U10318" s="1"/>
      <c r="V10318" s="1"/>
      <c r="W10318" s="1"/>
      <c r="X10318" s="1"/>
      <c r="Y10318" s="1"/>
      <c r="Z10318" s="1"/>
      <c r="AA10318" s="1"/>
      <c r="AB10318" s="1"/>
    </row>
    <row r="10319" ht="50.25" customHeight="1">
      <c r="A10319" s="12">
        <v>10315.0</v>
      </c>
      <c r="B10319" s="13" t="s">
        <v>9604</v>
      </c>
      <c r="C10319" s="14" t="s">
        <v>10346</v>
      </c>
      <c r="D10319" s="1"/>
      <c r="E10319" s="1"/>
      <c r="F10319" s="1" t="str">
        <f>IFERROR(__xludf.DUMMYFUNCTION("GOOGLETRANSLATE(B10319, ""en"", ""fa"")
"),"موفقیت Etsy")</f>
        <v>موفقیت Etsy</v>
      </c>
      <c r="G10319" s="1" t="str">
        <f>IFERROR(__xludf.DUMMYFUNCTION("GOOGLETRANSLATE(C10319, ""en"", ""fa"")
"),"ملاحظات برای گسترش تجارت Etsy من در بازارهای بین المللی با بومی سازی توضیحات محصول، پشتیبانی مشتری و مواد بازاریابی چیست؟")</f>
        <v>ملاحظات برای گسترش تجارت Etsy من در بازارهای بین المللی با بومی سازی توضیحات محصول، پشتیبانی مشتری و مواد بازاریابی چیست؟</v>
      </c>
      <c r="H10319" s="1"/>
      <c r="I10319" s="1"/>
      <c r="J10319" s="1"/>
      <c r="K10319" s="1"/>
      <c r="L10319" s="1"/>
      <c r="M10319" s="1"/>
      <c r="N10319" s="1"/>
      <c r="O10319" s="1"/>
      <c r="P10319" s="1"/>
      <c r="Q10319" s="1"/>
      <c r="R10319" s="1"/>
      <c r="S10319" s="1"/>
      <c r="T10319" s="1"/>
      <c r="U10319" s="1"/>
      <c r="V10319" s="1"/>
      <c r="W10319" s="1"/>
      <c r="X10319" s="1"/>
      <c r="Y10319" s="1"/>
      <c r="Z10319" s="1"/>
      <c r="AA10319" s="1"/>
      <c r="AB10319" s="1"/>
    </row>
    <row r="10320" ht="50.25" customHeight="1">
      <c r="A10320" s="12">
        <v>10316.0</v>
      </c>
      <c r="B10320" s="13" t="s">
        <v>9604</v>
      </c>
      <c r="C10320" s="14" t="s">
        <v>10347</v>
      </c>
      <c r="D10320" s="1"/>
      <c r="E10320" s="1"/>
      <c r="F10320" s="1" t="str">
        <f>IFERROR(__xludf.DUMMYFUNCTION("GOOGLETRANSLATE(B10320, ""en"", ""fa"")
"),"موفقیت Etsy")</f>
        <v>موفقیت Etsy</v>
      </c>
      <c r="G10320" s="1" t="str">
        <f>IFERROR(__xludf.DUMMYFUNCTION("GOOGLETRANSLATE(C10320, ""en"", ""fa"")
"),"چگونه می توانم فرصت های همکاری با اینفلوئنسرها یا سازندگان محتوا را برای ایجاد خطوط محصول انحصاری یا اقلام با نسخه محدود برای فروشگاه Etsy خود کشف کنم؟")</f>
        <v>چگونه می توانم فرصت های همکاری با اینفلوئنسرها یا سازندگان محتوا را برای ایجاد خطوط محصول انحصاری یا اقلام با نسخه محدود برای فروشگاه Etsy خود کشف کنم؟</v>
      </c>
      <c r="H10320" s="1"/>
      <c r="I10320" s="1"/>
      <c r="J10320" s="1"/>
      <c r="K10320" s="1"/>
      <c r="L10320" s="1"/>
      <c r="M10320" s="1"/>
      <c r="N10320" s="1"/>
      <c r="O10320" s="1"/>
      <c r="P10320" s="1"/>
      <c r="Q10320" s="1"/>
      <c r="R10320" s="1"/>
      <c r="S10320" s="1"/>
      <c r="T10320" s="1"/>
      <c r="U10320" s="1"/>
      <c r="V10320" s="1"/>
      <c r="W10320" s="1"/>
      <c r="X10320" s="1"/>
      <c r="Y10320" s="1"/>
      <c r="Z10320" s="1"/>
      <c r="AA10320" s="1"/>
      <c r="AB10320" s="1"/>
    </row>
    <row r="10321" ht="50.25" customHeight="1">
      <c r="A10321" s="12">
        <v>10317.0</v>
      </c>
      <c r="B10321" s="13" t="s">
        <v>9604</v>
      </c>
      <c r="C10321" s="14" t="s">
        <v>10348</v>
      </c>
      <c r="D10321" s="1"/>
      <c r="E10321" s="1"/>
      <c r="F10321" s="1" t="str">
        <f>IFERROR(__xludf.DUMMYFUNCTION("GOOGLETRANSLATE(B10321, ""en"", ""fa"")
"),"موفقیت Etsy")</f>
        <v>موفقیت Etsy</v>
      </c>
      <c r="G10321" s="1" t="str">
        <f>IFERROR(__xludf.DUMMYFUNCTION("GOOGLETRANSLATE(C10321, ""en"", ""fa"")
"),"استراتژی‌های پیاده‌سازی تکنیک‌های موثر افزایش فروش و فروش متقابل در فروشگاه Etsy من برای تشویق مشتریان به خرید اقلام اضافی چیست؟")</f>
        <v>استراتژی‌های پیاده‌سازی تکنیک‌های موثر افزایش فروش و فروش متقابل در فروشگاه Etsy من برای تشویق مشتریان به خرید اقلام اضافی چیست؟</v>
      </c>
      <c r="H10321" s="1"/>
      <c r="I10321" s="1"/>
      <c r="J10321" s="1"/>
      <c r="K10321" s="1"/>
      <c r="L10321" s="1"/>
      <c r="M10321" s="1"/>
      <c r="N10321" s="1"/>
      <c r="O10321" s="1"/>
      <c r="P10321" s="1"/>
      <c r="Q10321" s="1"/>
      <c r="R10321" s="1"/>
      <c r="S10321" s="1"/>
      <c r="T10321" s="1"/>
      <c r="U10321" s="1"/>
      <c r="V10321" s="1"/>
      <c r="W10321" s="1"/>
      <c r="X10321" s="1"/>
      <c r="Y10321" s="1"/>
      <c r="Z10321" s="1"/>
      <c r="AA10321" s="1"/>
      <c r="AB10321" s="1"/>
    </row>
    <row r="10322" ht="50.25" customHeight="1">
      <c r="A10322" s="12">
        <v>10318.0</v>
      </c>
      <c r="B10322" s="13" t="s">
        <v>9604</v>
      </c>
      <c r="C10322" s="14" t="s">
        <v>10349</v>
      </c>
      <c r="D10322" s="1"/>
      <c r="E10322" s="1"/>
      <c r="F10322" s="1" t="str">
        <f>IFERROR(__xludf.DUMMYFUNCTION("GOOGLETRANSLATE(B10322, ""en"", ""fa"")
"),"موفقیت Etsy")</f>
        <v>موفقیت Etsy</v>
      </c>
      <c r="G10322" s="1" t="str">
        <f>IFERROR(__xludf.DUMMYFUNCTION("GOOGLETRANSLATE(C10322, ""en"", ""fa"")
"),"چگونه می توانم از تجزیه و تحلیل داده ها و روندهای بازار استفاده کنم تا فرصت های فصلی را شناسایی کرده و از آن ها سرمایه گذاری کنم و بر اساس آن محصولات خود را متنوع کنم؟")</f>
        <v>چگونه می توانم از تجزیه و تحلیل داده ها و روندهای بازار استفاده کنم تا فرصت های فصلی را شناسایی کرده و از آن ها سرمایه گذاری کنم و بر اساس آن محصولات خود را متنوع کنم؟</v>
      </c>
      <c r="H10322" s="1"/>
      <c r="I10322" s="1"/>
      <c r="J10322" s="1"/>
      <c r="K10322" s="1"/>
      <c r="L10322" s="1"/>
      <c r="M10322" s="1"/>
      <c r="N10322" s="1"/>
      <c r="O10322" s="1"/>
      <c r="P10322" s="1"/>
      <c r="Q10322" s="1"/>
      <c r="R10322" s="1"/>
      <c r="S10322" s="1"/>
      <c r="T10322" s="1"/>
      <c r="U10322" s="1"/>
      <c r="V10322" s="1"/>
      <c r="W10322" s="1"/>
      <c r="X10322" s="1"/>
      <c r="Y10322" s="1"/>
      <c r="Z10322" s="1"/>
      <c r="AA10322" s="1"/>
      <c r="AB10322" s="1"/>
    </row>
    <row r="10323" ht="50.25" customHeight="1">
      <c r="A10323" s="12">
        <v>10319.0</v>
      </c>
      <c r="B10323" s="13" t="s">
        <v>9604</v>
      </c>
      <c r="C10323" s="14" t="s">
        <v>10350</v>
      </c>
      <c r="D10323" s="1"/>
      <c r="E10323" s="1"/>
      <c r="F10323" s="1" t="str">
        <f>IFERROR(__xludf.DUMMYFUNCTION("GOOGLETRANSLATE(B10323, ""en"", ""fa"")
"),"موفقیت Etsy")</f>
        <v>موفقیت Etsy</v>
      </c>
      <c r="G10323" s="1" t="str">
        <f>IFERROR(__xludf.DUMMYFUNCTION("GOOGLETRANSLATE(C10323, ""en"", ""fa"")
"),"ملاحظات برای گسترش تجارت Etsy من به بازار عمده فروشی و ایجاد روابط با خرده فروشان یا توزیع کنندگان چیست؟")</f>
        <v>ملاحظات برای گسترش تجارت Etsy من به بازار عمده فروشی و ایجاد روابط با خرده فروشان یا توزیع کنندگان چیست؟</v>
      </c>
      <c r="H10323" s="1"/>
      <c r="I10323" s="1"/>
      <c r="J10323" s="1"/>
      <c r="K10323" s="1"/>
      <c r="L10323" s="1"/>
      <c r="M10323" s="1"/>
      <c r="N10323" s="1"/>
      <c r="O10323" s="1"/>
      <c r="P10323" s="1"/>
      <c r="Q10323" s="1"/>
      <c r="R10323" s="1"/>
      <c r="S10323" s="1"/>
      <c r="T10323" s="1"/>
      <c r="U10323" s="1"/>
      <c r="V10323" s="1"/>
      <c r="W10323" s="1"/>
      <c r="X10323" s="1"/>
      <c r="Y10323" s="1"/>
      <c r="Z10323" s="1"/>
      <c r="AA10323" s="1"/>
      <c r="AB10323" s="1"/>
    </row>
    <row r="10324" ht="50.25" customHeight="1">
      <c r="A10324" s="12">
        <v>10320.0</v>
      </c>
      <c r="B10324" s="13" t="s">
        <v>9604</v>
      </c>
      <c r="C10324" s="14" t="s">
        <v>10351</v>
      </c>
      <c r="D10324" s="1"/>
      <c r="E10324" s="1"/>
      <c r="F10324" s="1" t="str">
        <f>IFERROR(__xludf.DUMMYFUNCTION("GOOGLETRANSLATE(B10324, ""en"", ""fa"")
"),"موفقیت Etsy")</f>
        <v>موفقیت Etsy</v>
      </c>
      <c r="G10324" s="1" t="str">
        <f>IFERROR(__xludf.DUMMYFUNCTION("GOOGLETRANSLATE(C10324, ""en"", ""fa"")
"),"چگونه می توانم فرصت هایی را برای ایجاد و فروش قالب های دیجیتال یا منابع طراحی که به سایر فروشندگان Etsy یا کارآفرینان خلاق پاسخ می دهد، کشف کنم؟")</f>
        <v>چگونه می توانم فرصت هایی را برای ایجاد و فروش قالب های دیجیتال یا منابع طراحی که به سایر فروشندگان Etsy یا کارآفرینان خلاق پاسخ می دهد، کشف کنم؟</v>
      </c>
      <c r="H10324" s="1"/>
      <c r="I10324" s="1"/>
      <c r="J10324" s="1"/>
      <c r="K10324" s="1"/>
      <c r="L10324" s="1"/>
      <c r="M10324" s="1"/>
      <c r="N10324" s="1"/>
      <c r="O10324" s="1"/>
      <c r="P10324" s="1"/>
      <c r="Q10324" s="1"/>
      <c r="R10324" s="1"/>
      <c r="S10324" s="1"/>
      <c r="T10324" s="1"/>
      <c r="U10324" s="1"/>
      <c r="V10324" s="1"/>
      <c r="W10324" s="1"/>
      <c r="X10324" s="1"/>
      <c r="Y10324" s="1"/>
      <c r="Z10324" s="1"/>
      <c r="AA10324" s="1"/>
      <c r="AB10324" s="1"/>
    </row>
    <row r="10325" ht="50.25" customHeight="1">
      <c r="A10325" s="12">
        <v>10321.0</v>
      </c>
      <c r="B10325" s="13" t="s">
        <v>9604</v>
      </c>
      <c r="C10325" s="14" t="s">
        <v>10352</v>
      </c>
      <c r="D10325" s="1"/>
      <c r="E10325" s="1"/>
      <c r="F10325" s="1" t="str">
        <f>IFERROR(__xludf.DUMMYFUNCTION("GOOGLETRANSLATE(B10325, ""en"", ""fa"")
"),"موفقیت Etsy")</f>
        <v>موفقیت Etsy</v>
      </c>
      <c r="G10325" s="1" t="str">
        <f>IFERROR(__xludf.DUMMYFUNCTION("GOOGLETRANSLATE(C10325, ""en"", ""fa"")
"),"استراتژی‌های بهینه‌سازی فرآیند پرداخت مشتری در فروشگاه Etsy من برای به حداقل رساندن رها شدن سبد خرید و افزایش نرخ تبدیل چیست؟")</f>
        <v>استراتژی‌های بهینه‌سازی فرآیند پرداخت مشتری در فروشگاه Etsy من برای به حداقل رساندن رها شدن سبد خرید و افزایش نرخ تبدیل چیست؟</v>
      </c>
      <c r="H10325" s="1"/>
      <c r="I10325" s="1"/>
      <c r="J10325" s="1"/>
      <c r="K10325" s="1"/>
      <c r="L10325" s="1"/>
      <c r="M10325" s="1"/>
      <c r="N10325" s="1"/>
      <c r="O10325" s="1"/>
      <c r="P10325" s="1"/>
      <c r="Q10325" s="1"/>
      <c r="R10325" s="1"/>
      <c r="S10325" s="1"/>
      <c r="T10325" s="1"/>
      <c r="U10325" s="1"/>
      <c r="V10325" s="1"/>
      <c r="W10325" s="1"/>
      <c r="X10325" s="1"/>
      <c r="Y10325" s="1"/>
      <c r="Z10325" s="1"/>
      <c r="AA10325" s="1"/>
      <c r="AB10325" s="1"/>
    </row>
    <row r="10326" ht="50.25" customHeight="1">
      <c r="A10326" s="12">
        <v>10322.0</v>
      </c>
      <c r="B10326" s="13" t="s">
        <v>9604</v>
      </c>
      <c r="C10326" s="14" t="s">
        <v>10353</v>
      </c>
      <c r="D10326" s="1"/>
      <c r="E10326" s="1"/>
      <c r="F10326" s="1" t="str">
        <f>IFERROR(__xludf.DUMMYFUNCTION("GOOGLETRANSLATE(B10326, ""en"", ""fa"")
"),"موفقیت Etsy")</f>
        <v>موفقیت Etsy</v>
      </c>
      <c r="G10326" s="1" t="str">
        <f>IFERROR(__xludf.DUMMYFUNCTION("GOOGLETRANSLATE(C10326, ""en"", ""fa"")
"),"چگونه می توانم از همکاری اینفلوئنسرها یا هدایای حمایت شده برای افزایش آگاهی از برند و جذب مشتریان جدید به فروشگاه Etsy خود استفاده کنم؟")</f>
        <v>چگونه می توانم از همکاری اینفلوئنسرها یا هدایای حمایت شده برای افزایش آگاهی از برند و جذب مشتریان جدید به فروشگاه Etsy خود استفاده کنم؟</v>
      </c>
      <c r="H10326" s="1"/>
      <c r="I10326" s="1"/>
      <c r="J10326" s="1"/>
      <c r="K10326" s="1"/>
      <c r="L10326" s="1"/>
      <c r="M10326" s="1"/>
      <c r="N10326" s="1"/>
      <c r="O10326" s="1"/>
      <c r="P10326" s="1"/>
      <c r="Q10326" s="1"/>
      <c r="R10326" s="1"/>
      <c r="S10326" s="1"/>
      <c r="T10326" s="1"/>
      <c r="U10326" s="1"/>
      <c r="V10326" s="1"/>
      <c r="W10326" s="1"/>
      <c r="X10326" s="1"/>
      <c r="Y10326" s="1"/>
      <c r="Z10326" s="1"/>
      <c r="AA10326" s="1"/>
      <c r="AB10326" s="1"/>
    </row>
    <row r="10327" ht="50.25" customHeight="1">
      <c r="A10327" s="12">
        <v>10323.0</v>
      </c>
      <c r="B10327" s="13" t="s">
        <v>9604</v>
      </c>
      <c r="C10327" s="14" t="s">
        <v>10354</v>
      </c>
      <c r="D10327" s="1"/>
      <c r="E10327" s="1"/>
      <c r="F10327" s="1" t="str">
        <f>IFERROR(__xludf.DUMMYFUNCTION("GOOGLETRANSLATE(B10327, ""en"", ""fa"")
"),"موفقیت Etsy")</f>
        <v>موفقیت Etsy</v>
      </c>
      <c r="G10327" s="1" t="str">
        <f>IFERROR(__xludf.DUMMYFUNCTION("GOOGLETRANSLATE(C10327, ""en"", ""fa"")
"),"ملاحظات پیاده‌سازی سیستم بازخورد و بررسی مشتری برای جمع‌آوری بینش، بهبود محصولات و بهبود تجربه کلی مشتری چیست؟")</f>
        <v>ملاحظات پیاده‌سازی سیستم بازخورد و بررسی مشتری برای جمع‌آوری بینش، بهبود محصولات و بهبود تجربه کلی مشتری چیست؟</v>
      </c>
      <c r="H10327" s="1"/>
      <c r="I10327" s="1"/>
      <c r="J10327" s="1"/>
      <c r="K10327" s="1"/>
      <c r="L10327" s="1"/>
      <c r="M10327" s="1"/>
      <c r="N10327" s="1"/>
      <c r="O10327" s="1"/>
      <c r="P10327" s="1"/>
      <c r="Q10327" s="1"/>
      <c r="R10327" s="1"/>
      <c r="S10327" s="1"/>
      <c r="T10327" s="1"/>
      <c r="U10327" s="1"/>
      <c r="V10327" s="1"/>
      <c r="W10327" s="1"/>
      <c r="X10327" s="1"/>
      <c r="Y10327" s="1"/>
      <c r="Z10327" s="1"/>
      <c r="AA10327" s="1"/>
      <c r="AB10327" s="1"/>
    </row>
    <row r="10328" ht="50.25" customHeight="1">
      <c r="A10328" s="12">
        <v>10324.0</v>
      </c>
      <c r="B10328" s="13" t="s">
        <v>9604</v>
      </c>
      <c r="C10328" s="14" t="s">
        <v>10355</v>
      </c>
      <c r="D10328" s="1"/>
      <c r="E10328" s="1"/>
      <c r="F10328" s="1" t="str">
        <f>IFERROR(__xludf.DUMMYFUNCTION("GOOGLETRANSLATE(B10328, ""en"", ""fa"")
"),"موفقیت Etsy")</f>
        <v>موفقیت Etsy</v>
      </c>
      <c r="G10328" s="1" t="str">
        <f>IFERROR(__xludf.DUMMYFUNCTION("GOOGLETRANSLATE(C10328, ""en"", ""fa"")
"),"چگونه می‌توانم فرصت‌هایی را برای ایجاد و فروش کیت‌های DIY یا لوازم صنایع دستی که مکمل محصولات Etsy موجود من هستند و مخاطبان بیشتری را جذب می‌کنند، کشف کنم؟")</f>
        <v>چگونه می‌توانم فرصت‌هایی را برای ایجاد و فروش کیت‌های DIY یا لوازم صنایع دستی که مکمل محصولات Etsy موجود من هستند و مخاطبان بیشتری را جذب می‌کنند، کشف کنم؟</v>
      </c>
      <c r="H10328" s="1"/>
      <c r="I10328" s="1"/>
      <c r="J10328" s="1"/>
      <c r="K10328" s="1"/>
      <c r="L10328" s="1"/>
      <c r="M10328" s="1"/>
      <c r="N10328" s="1"/>
      <c r="O10328" s="1"/>
      <c r="P10328" s="1"/>
      <c r="Q10328" s="1"/>
      <c r="R10328" s="1"/>
      <c r="S10328" s="1"/>
      <c r="T10328" s="1"/>
      <c r="U10328" s="1"/>
      <c r="V10328" s="1"/>
      <c r="W10328" s="1"/>
      <c r="X10328" s="1"/>
      <c r="Y10328" s="1"/>
      <c r="Z10328" s="1"/>
      <c r="AA10328" s="1"/>
      <c r="AB10328" s="1"/>
    </row>
    <row r="10329" ht="50.25" customHeight="1">
      <c r="A10329" s="12">
        <v>10325.0</v>
      </c>
      <c r="B10329" s="13" t="s">
        <v>9604</v>
      </c>
      <c r="C10329" s="14" t="s">
        <v>10356</v>
      </c>
      <c r="D10329" s="1"/>
      <c r="E10329" s="1"/>
      <c r="F10329" s="1" t="str">
        <f>IFERROR(__xludf.DUMMYFUNCTION("GOOGLETRANSLATE(B10329, ""en"", ""fa"")
"),"موفقیت Etsy")</f>
        <v>موفقیت Etsy</v>
      </c>
      <c r="G10329" s="1" t="str">
        <f>IFERROR(__xludf.DUMMYFUNCTION("GOOGLETRANSLATE(C10329, ""en"", ""fa"")
"),"استراتژی‌های اجرای بخش‌بندی مؤثر مشتری برای ارائه کمپین‌های بازاریابی هدفمند و توصیه‌های شخصی‌شده در فروشگاه Etsy من چیست؟")</f>
        <v>استراتژی‌های اجرای بخش‌بندی مؤثر مشتری برای ارائه کمپین‌های بازاریابی هدفمند و توصیه‌های شخصی‌شده در فروشگاه Etsy من چیست؟</v>
      </c>
      <c r="H10329" s="1"/>
      <c r="I10329" s="1"/>
      <c r="J10329" s="1"/>
      <c r="K10329" s="1"/>
      <c r="L10329" s="1"/>
      <c r="M10329" s="1"/>
      <c r="N10329" s="1"/>
      <c r="O10329" s="1"/>
      <c r="P10329" s="1"/>
      <c r="Q10329" s="1"/>
      <c r="R10329" s="1"/>
      <c r="S10329" s="1"/>
      <c r="T10329" s="1"/>
      <c r="U10329" s="1"/>
      <c r="V10329" s="1"/>
      <c r="W10329" s="1"/>
      <c r="X10329" s="1"/>
      <c r="Y10329" s="1"/>
      <c r="Z10329" s="1"/>
      <c r="AA10329" s="1"/>
      <c r="AB10329" s="1"/>
    </row>
    <row r="10330" ht="50.25" customHeight="1">
      <c r="A10330" s="12">
        <v>10326.0</v>
      </c>
      <c r="B10330" s="13" t="s">
        <v>9604</v>
      </c>
      <c r="C10330" s="14" t="s">
        <v>10357</v>
      </c>
      <c r="D10330" s="1"/>
      <c r="E10330" s="1"/>
      <c r="F10330" s="1" t="str">
        <f>IFERROR(__xludf.DUMMYFUNCTION("GOOGLETRANSLATE(B10330, ""en"", ""fa"")
"),"موفقیت Etsy")</f>
        <v>موفقیت Etsy</v>
      </c>
      <c r="G10330" s="1" t="str">
        <f>IFERROR(__xludf.DUMMYFUNCTION("GOOGLETRANSLATE(C10330, ""en"", ""fa"")
"),"چگونه می توانم از اینفلوئنسرهای رسانه اجتماعی یا میکرو اینفلوئنسرها برای تبلیغ محصولات Etsy خود و ایجاد سر و صدا در میان دنبال کنندگان اختصاصی آنها استفاده کنم؟")</f>
        <v>چگونه می توانم از اینفلوئنسرهای رسانه اجتماعی یا میکرو اینفلوئنسرها برای تبلیغ محصولات Etsy خود و ایجاد سر و صدا در میان دنبال کنندگان اختصاصی آنها استفاده کنم؟</v>
      </c>
      <c r="H10330" s="1"/>
      <c r="I10330" s="1"/>
      <c r="J10330" s="1"/>
      <c r="K10330" s="1"/>
      <c r="L10330" s="1"/>
      <c r="M10330" s="1"/>
      <c r="N10330" s="1"/>
      <c r="O10330" s="1"/>
      <c r="P10330" s="1"/>
      <c r="Q10330" s="1"/>
      <c r="R10330" s="1"/>
      <c r="S10330" s="1"/>
      <c r="T10330" s="1"/>
      <c r="U10330" s="1"/>
      <c r="V10330" s="1"/>
      <c r="W10330" s="1"/>
      <c r="X10330" s="1"/>
      <c r="Y10330" s="1"/>
      <c r="Z10330" s="1"/>
      <c r="AA10330" s="1"/>
      <c r="AB10330" s="1"/>
    </row>
    <row r="10331" ht="50.25" customHeight="1">
      <c r="A10331" s="12">
        <v>10327.0</v>
      </c>
      <c r="B10331" s="13" t="s">
        <v>9604</v>
      </c>
      <c r="C10331" s="14" t="s">
        <v>10358</v>
      </c>
      <c r="D10331" s="1"/>
      <c r="E10331" s="1"/>
      <c r="F10331" s="1" t="str">
        <f>IFERROR(__xludf.DUMMYFUNCTION("GOOGLETRANSLATE(B10331, ""en"", ""fa"")
"),"موفقیت Etsy")</f>
        <v>موفقیت Etsy</v>
      </c>
      <c r="G10331" s="1" t="str">
        <f>IFERROR(__xludf.DUMMYFUNCTION("GOOGLETRANSLATE(C10331, ""en"", ""fa"")
"),"ملاحظات برای گسترش کسب و کار Etsy من به مدل dropshipping چیست که به من امکان می دهد طیف وسیع تری از محصولات را بدون نیاز به مدیریت موجودی ارائه دهم؟")</f>
        <v>ملاحظات برای گسترش کسب و کار Etsy من به مدل dropshipping چیست که به من امکان می دهد طیف وسیع تری از محصولات را بدون نیاز به مدیریت موجودی ارائه دهم؟</v>
      </c>
      <c r="H10331" s="1"/>
      <c r="I10331" s="1"/>
      <c r="J10331" s="1"/>
      <c r="K10331" s="1"/>
      <c r="L10331" s="1"/>
      <c r="M10331" s="1"/>
      <c r="N10331" s="1"/>
      <c r="O10331" s="1"/>
      <c r="P10331" s="1"/>
      <c r="Q10331" s="1"/>
      <c r="R10331" s="1"/>
      <c r="S10331" s="1"/>
      <c r="T10331" s="1"/>
      <c r="U10331" s="1"/>
      <c r="V10331" s="1"/>
      <c r="W10331" s="1"/>
      <c r="X10331" s="1"/>
      <c r="Y10331" s="1"/>
      <c r="Z10331" s="1"/>
      <c r="AA10331" s="1"/>
      <c r="AB10331" s="1"/>
    </row>
    <row r="10332" ht="50.25" customHeight="1">
      <c r="A10332" s="12">
        <v>10328.0</v>
      </c>
      <c r="B10332" s="13" t="s">
        <v>9604</v>
      </c>
      <c r="C10332" s="14" t="s">
        <v>10359</v>
      </c>
      <c r="D10332" s="1"/>
      <c r="E10332" s="1"/>
      <c r="F10332" s="1" t="str">
        <f>IFERROR(__xludf.DUMMYFUNCTION("GOOGLETRANSLATE(B10332, ""en"", ""fa"")
"),"موفقیت Etsy")</f>
        <v>موفقیت Etsy</v>
      </c>
      <c r="G10332" s="1" t="str">
        <f>IFERROR(__xludf.DUMMYFUNCTION("GOOGLETRANSLATE(C10332, ""en"", ""fa"")
"),"چگونه می‌توانم فرصت‌هایی را برای صدور مجوز طرح‌های Etsy خود به تولیدکنندگان یا برندها برای گسترش دامنه محصولاتم فراتر از بازار Etsy کشف کنم؟")</f>
        <v>چگونه می‌توانم فرصت‌هایی را برای صدور مجوز طرح‌های Etsy خود به تولیدکنندگان یا برندها برای گسترش دامنه محصولاتم فراتر از بازار Etsy کشف کنم؟</v>
      </c>
      <c r="H10332" s="1"/>
      <c r="I10332" s="1"/>
      <c r="J10332" s="1"/>
      <c r="K10332" s="1"/>
      <c r="L10332" s="1"/>
      <c r="M10332" s="1"/>
      <c r="N10332" s="1"/>
      <c r="O10332" s="1"/>
      <c r="P10332" s="1"/>
      <c r="Q10332" s="1"/>
      <c r="R10332" s="1"/>
      <c r="S10332" s="1"/>
      <c r="T10332" s="1"/>
      <c r="U10332" s="1"/>
      <c r="V10332" s="1"/>
      <c r="W10332" s="1"/>
      <c r="X10332" s="1"/>
      <c r="Y10332" s="1"/>
      <c r="Z10332" s="1"/>
      <c r="AA10332" s="1"/>
      <c r="AB10332" s="1"/>
    </row>
    <row r="10333" ht="50.25" customHeight="1">
      <c r="A10333" s="12">
        <v>10329.0</v>
      </c>
      <c r="B10333" s="13" t="s">
        <v>9604</v>
      </c>
      <c r="C10333" s="14" t="s">
        <v>10360</v>
      </c>
      <c r="D10333" s="1"/>
      <c r="E10333" s="1"/>
      <c r="F10333" s="1" t="str">
        <f>IFERROR(__xludf.DUMMYFUNCTION("GOOGLETRANSLATE(B10333, ""en"", ""fa"")
"),"موفقیت Etsy")</f>
        <v>موفقیت Etsy</v>
      </c>
      <c r="G10333" s="1" t="str">
        <f>IFERROR(__xludf.DUMMYFUNCTION("GOOGLETRANSLATE(C10333, ""en"", ""fa"")
"),"استراتژی های بهینه سازی نام تجاری و هویت بصری فروشگاه Etsy من برای ایجاد یک تجربه مشتری منسجم و به یاد ماندنی چیست؟")</f>
        <v>استراتژی های بهینه سازی نام تجاری و هویت بصری فروشگاه Etsy من برای ایجاد یک تجربه مشتری منسجم و به یاد ماندنی چیست؟</v>
      </c>
      <c r="H10333" s="1"/>
      <c r="I10333" s="1"/>
      <c r="J10333" s="1"/>
      <c r="K10333" s="1"/>
      <c r="L10333" s="1"/>
      <c r="M10333" s="1"/>
      <c r="N10333" s="1"/>
      <c r="O10333" s="1"/>
      <c r="P10333" s="1"/>
      <c r="Q10333" s="1"/>
      <c r="R10333" s="1"/>
      <c r="S10333" s="1"/>
      <c r="T10333" s="1"/>
      <c r="U10333" s="1"/>
      <c r="V10333" s="1"/>
      <c r="W10333" s="1"/>
      <c r="X10333" s="1"/>
      <c r="Y10333" s="1"/>
      <c r="Z10333" s="1"/>
      <c r="AA10333" s="1"/>
      <c r="AB10333" s="1"/>
    </row>
    <row r="10334" ht="50.25" customHeight="1">
      <c r="A10334" s="12">
        <v>10330.0</v>
      </c>
      <c r="B10334" s="13" t="s">
        <v>9604</v>
      </c>
      <c r="C10334" s="14" t="s">
        <v>10361</v>
      </c>
      <c r="D10334" s="1"/>
      <c r="E10334" s="1"/>
      <c r="F10334" s="1" t="str">
        <f>IFERROR(__xludf.DUMMYFUNCTION("GOOGLETRANSLATE(B10334, ""en"", ""fa"")
"),"موفقیت Etsy")</f>
        <v>موفقیت Etsy</v>
      </c>
      <c r="G10334" s="1" t="str">
        <f>IFERROR(__xludf.DUMMYFUNCTION("GOOGLETRANSLATE(C10334, ""en"", ""fa"")
"),"چگونه می توانم از شراکت با مشاغل یا رویدادهای محلی برای نمایش و فروش محصولات Etsy خود در فروشگاه های پاپ آپ فیزیکی یا فضاهای خرده فروشی موقت استفاده کنم؟")</f>
        <v>چگونه می توانم از شراکت با مشاغل یا رویدادهای محلی برای نمایش و فروش محصولات Etsy خود در فروشگاه های پاپ آپ فیزیکی یا فضاهای خرده فروشی موقت استفاده کنم؟</v>
      </c>
      <c r="H10334" s="1"/>
      <c r="I10334" s="1"/>
      <c r="J10334" s="1"/>
      <c r="K10334" s="1"/>
      <c r="L10334" s="1"/>
      <c r="M10334" s="1"/>
      <c r="N10334" s="1"/>
      <c r="O10334" s="1"/>
      <c r="P10334" s="1"/>
      <c r="Q10334" s="1"/>
      <c r="R10334" s="1"/>
      <c r="S10334" s="1"/>
      <c r="T10334" s="1"/>
      <c r="U10334" s="1"/>
      <c r="V10334" s="1"/>
      <c r="W10334" s="1"/>
      <c r="X10334" s="1"/>
      <c r="Y10334" s="1"/>
      <c r="Z10334" s="1"/>
      <c r="AA10334" s="1"/>
      <c r="AB10334" s="1"/>
    </row>
    <row r="10335" ht="50.25" customHeight="1">
      <c r="A10335" s="12">
        <v>10331.0</v>
      </c>
      <c r="B10335" s="13" t="s">
        <v>9604</v>
      </c>
      <c r="C10335" s="14" t="s">
        <v>10362</v>
      </c>
      <c r="D10335" s="1"/>
      <c r="E10335" s="1"/>
      <c r="F10335" s="1" t="str">
        <f>IFERROR(__xludf.DUMMYFUNCTION("GOOGLETRANSLATE(B10335, ""en"", ""fa"")
"),"موفقیت Etsy")</f>
        <v>موفقیت Etsy</v>
      </c>
      <c r="G10335" s="1" t="str">
        <f>IFERROR(__xludf.DUMMYFUNCTION("GOOGLETRANSLATE(C10335, ""en"", ""fa"")
"),"ملاحظات برای گسترش تجارت Etsy من به بازار B2B (کسب و کار به تجارت) با ارائه گزینه های عمده فروشی به سایر مشاغل یا خرده فروشان چیست؟")</f>
        <v>ملاحظات برای گسترش تجارت Etsy من به بازار B2B (کسب و کار به تجارت) با ارائه گزینه های عمده فروشی به سایر مشاغل یا خرده فروشان چیست؟</v>
      </c>
      <c r="H10335" s="1"/>
      <c r="I10335" s="1"/>
      <c r="J10335" s="1"/>
      <c r="K10335" s="1"/>
      <c r="L10335" s="1"/>
      <c r="M10335" s="1"/>
      <c r="N10335" s="1"/>
      <c r="O10335" s="1"/>
      <c r="P10335" s="1"/>
      <c r="Q10335" s="1"/>
      <c r="R10335" s="1"/>
      <c r="S10335" s="1"/>
      <c r="T10335" s="1"/>
      <c r="U10335" s="1"/>
      <c r="V10335" s="1"/>
      <c r="W10335" s="1"/>
      <c r="X10335" s="1"/>
      <c r="Y10335" s="1"/>
      <c r="Z10335" s="1"/>
      <c r="AA10335" s="1"/>
      <c r="AB10335" s="1"/>
    </row>
    <row r="10336" ht="50.25" customHeight="1">
      <c r="A10336" s="12">
        <v>10332.0</v>
      </c>
      <c r="B10336" s="13" t="s">
        <v>9604</v>
      </c>
      <c r="C10336" s="14" t="s">
        <v>10363</v>
      </c>
      <c r="D10336" s="1"/>
      <c r="E10336" s="1"/>
      <c r="F10336" s="1" t="str">
        <f>IFERROR(__xludf.DUMMYFUNCTION("GOOGLETRANSLATE(B10336, ""en"", ""fa"")
"),"موفقیت Etsy")</f>
        <v>موفقیت Etsy</v>
      </c>
      <c r="G10336" s="1" t="str">
        <f>IFERROR(__xludf.DUMMYFUNCTION("GOOGLETRANSLATE(C10336, ""en"", ""fa"")
"),"چگونه می‌توانم فرصت‌های همکاری با اینفلوئنسرها یا تولیدکنندگان محتوا را برای میزبانی هدایا یا مسابقات مشترکی که باعث ایجاد هیجان و نمایش برای فروشگاه Etsy من می‌شوند، کشف کنم؟")</f>
        <v>چگونه می‌توانم فرصت‌های همکاری با اینفلوئنسرها یا تولیدکنندگان محتوا را برای میزبانی هدایا یا مسابقات مشترکی که باعث ایجاد هیجان و نمایش برای فروشگاه Etsy من می‌شوند، کشف کنم؟</v>
      </c>
      <c r="H10336" s="1"/>
      <c r="I10336" s="1"/>
      <c r="J10336" s="1"/>
      <c r="K10336" s="1"/>
      <c r="L10336" s="1"/>
      <c r="M10336" s="1"/>
      <c r="N10336" s="1"/>
      <c r="O10336" s="1"/>
      <c r="P10336" s="1"/>
      <c r="Q10336" s="1"/>
      <c r="R10336" s="1"/>
      <c r="S10336" s="1"/>
      <c r="T10336" s="1"/>
      <c r="U10336" s="1"/>
      <c r="V10336" s="1"/>
      <c r="W10336" s="1"/>
      <c r="X10336" s="1"/>
      <c r="Y10336" s="1"/>
      <c r="Z10336" s="1"/>
      <c r="AA10336" s="1"/>
      <c r="AB10336" s="1"/>
    </row>
    <row r="10337" ht="50.25" customHeight="1">
      <c r="A10337" s="12">
        <v>10333.0</v>
      </c>
      <c r="B10337" s="13" t="s">
        <v>9604</v>
      </c>
      <c r="C10337" s="14" t="s">
        <v>10364</v>
      </c>
      <c r="D10337" s="1"/>
      <c r="E10337" s="1"/>
      <c r="F10337" s="1" t="str">
        <f>IFERROR(__xludf.DUMMYFUNCTION("GOOGLETRANSLATE(B10337, ""en"", ""fa"")
"),"موفقیت Etsy")</f>
        <v>موفقیت Etsy</v>
      </c>
      <c r="G10337" s="1" t="str">
        <f>IFERROR(__xludf.DUMMYFUNCTION("GOOGLETRANSLATE(C10337, ""en"", ""fa"")
"),"راهبردهای پیاده سازی کانال های ارتباطی موثر با مشتری، مانند چت بات ها یا پشتیبانی چت زنده، برای ارائه کمک به موقع و بهبود رضایت مشتری چیست؟")</f>
        <v>راهبردهای پیاده سازی کانال های ارتباطی موثر با مشتری، مانند چت بات ها یا پشتیبانی چت زنده، برای ارائه کمک به موقع و بهبود رضایت مشتری چیست؟</v>
      </c>
      <c r="H10337" s="1"/>
      <c r="I10337" s="1"/>
      <c r="J10337" s="1"/>
      <c r="K10337" s="1"/>
      <c r="L10337" s="1"/>
      <c r="M10337" s="1"/>
      <c r="N10337" s="1"/>
      <c r="O10337" s="1"/>
      <c r="P10337" s="1"/>
      <c r="Q10337" s="1"/>
      <c r="R10337" s="1"/>
      <c r="S10337" s="1"/>
      <c r="T10337" s="1"/>
      <c r="U10337" s="1"/>
      <c r="V10337" s="1"/>
      <c r="W10337" s="1"/>
      <c r="X10337" s="1"/>
      <c r="Y10337" s="1"/>
      <c r="Z10337" s="1"/>
      <c r="AA10337" s="1"/>
      <c r="AB10337" s="1"/>
    </row>
    <row r="10338" ht="50.25" customHeight="1">
      <c r="A10338" s="12">
        <v>10334.0</v>
      </c>
      <c r="B10338" s="13" t="s">
        <v>9604</v>
      </c>
      <c r="C10338" s="14" t="s">
        <v>10365</v>
      </c>
      <c r="D10338" s="1"/>
      <c r="E10338" s="1"/>
      <c r="F10338" s="1" t="str">
        <f>IFERROR(__xludf.DUMMYFUNCTION("GOOGLETRANSLATE(B10338, ""en"", ""fa"")
"),"موفقیت Etsy")</f>
        <v>موفقیت Etsy</v>
      </c>
      <c r="G10338" s="1" t="str">
        <f>IFERROR(__xludf.DUMMYFUNCTION("GOOGLETRANSLATE(C10338, ""en"", ""fa"")
"),"چگونه می توانم از قدرت توصیفات مشتری و مطالعات موردی برای نشان دادن تجربیات و نتایج مثبتی که مشتریان با محصولات Etsy من به دست آورده اند استفاده کنم؟")</f>
        <v>چگونه می توانم از قدرت توصیفات مشتری و مطالعات موردی برای نشان دادن تجربیات و نتایج مثبتی که مشتریان با محصولات Etsy من به دست آورده اند استفاده کنم؟</v>
      </c>
      <c r="H10338" s="1"/>
      <c r="I10338" s="1"/>
      <c r="J10338" s="1"/>
      <c r="K10338" s="1"/>
      <c r="L10338" s="1"/>
      <c r="M10338" s="1"/>
      <c r="N10338" s="1"/>
      <c r="O10338" s="1"/>
      <c r="P10338" s="1"/>
      <c r="Q10338" s="1"/>
      <c r="R10338" s="1"/>
      <c r="S10338" s="1"/>
      <c r="T10338" s="1"/>
      <c r="U10338" s="1"/>
      <c r="V10338" s="1"/>
      <c r="W10338" s="1"/>
      <c r="X10338" s="1"/>
      <c r="Y10338" s="1"/>
      <c r="Z10338" s="1"/>
      <c r="AA10338" s="1"/>
      <c r="AB10338" s="1"/>
    </row>
    <row r="10339" ht="50.25" customHeight="1">
      <c r="A10339" s="12">
        <v>10335.0</v>
      </c>
      <c r="B10339" s="13" t="s">
        <v>9604</v>
      </c>
      <c r="C10339" s="14" t="s">
        <v>10366</v>
      </c>
      <c r="D10339" s="1"/>
      <c r="E10339" s="1"/>
      <c r="F10339" s="1" t="str">
        <f>IFERROR(__xludf.DUMMYFUNCTION("GOOGLETRANSLATE(B10339, ""en"", ""fa"")
"),"موفقیت Etsy")</f>
        <v>موفقیت Etsy</v>
      </c>
      <c r="G10339" s="1" t="str">
        <f>IFERROR(__xludf.DUMMYFUNCTION("GOOGLETRANSLATE(C10339, ""en"", ""fa"")
"),"ملاحظات برای گسترش کسب و کار Etsy من به مدل چاپ بر اساس تقاضا چیست و به من امکان می دهد محصولات قابل تنظیم بدون نیاز به تولید یا موجودی را ارائه دهم؟")</f>
        <v>ملاحظات برای گسترش کسب و کار Etsy من به مدل چاپ بر اساس تقاضا چیست و به من امکان می دهد محصولات قابل تنظیم بدون نیاز به تولید یا موجودی را ارائه دهم؟</v>
      </c>
      <c r="H10339" s="1"/>
      <c r="I10339" s="1"/>
      <c r="J10339" s="1"/>
      <c r="K10339" s="1"/>
      <c r="L10339" s="1"/>
      <c r="M10339" s="1"/>
      <c r="N10339" s="1"/>
      <c r="O10339" s="1"/>
      <c r="P10339" s="1"/>
      <c r="Q10339" s="1"/>
      <c r="R10339" s="1"/>
      <c r="S10339" s="1"/>
      <c r="T10339" s="1"/>
      <c r="U10339" s="1"/>
      <c r="V10339" s="1"/>
      <c r="W10339" s="1"/>
      <c r="X10339" s="1"/>
      <c r="Y10339" s="1"/>
      <c r="Z10339" s="1"/>
      <c r="AA10339" s="1"/>
      <c r="AB10339" s="1"/>
    </row>
    <row r="10340" ht="50.25" customHeight="1">
      <c r="A10340" s="12">
        <v>10336.0</v>
      </c>
      <c r="B10340" s="13" t="s">
        <v>9604</v>
      </c>
      <c r="C10340" s="14" t="s">
        <v>10367</v>
      </c>
      <c r="D10340" s="1"/>
      <c r="E10340" s="1"/>
      <c r="F10340" s="1" t="str">
        <f>IFERROR(__xludf.DUMMYFUNCTION("GOOGLETRANSLATE(B10340, ""en"", ""fa"")
"),"موفقیت Etsy")</f>
        <v>موفقیت Etsy</v>
      </c>
      <c r="G10340" s="1" t="str">
        <f>IFERROR(__xludf.DUMMYFUNCTION("GOOGLETRANSLATE(C10340, ""en"", ""fa"")
"),"چگونه می‌توانم فرصت‌هایی را برای تبلیغات متقابل با فروشندگان یا کسب‌وکارهای مکمل Etsy کشف کنم تا از پایگاه مشتریان یکدیگر بهره ببرم و در معرض دید قرار گرفتن آنها بیشتر شود؟")</f>
        <v>چگونه می‌توانم فرصت‌هایی را برای تبلیغات متقابل با فروشندگان یا کسب‌وکارهای مکمل Etsy کشف کنم تا از پایگاه مشتریان یکدیگر بهره ببرم و در معرض دید قرار گرفتن آنها بیشتر شود؟</v>
      </c>
      <c r="H10340" s="1"/>
      <c r="I10340" s="1"/>
      <c r="J10340" s="1"/>
      <c r="K10340" s="1"/>
      <c r="L10340" s="1"/>
      <c r="M10340" s="1"/>
      <c r="N10340" s="1"/>
      <c r="O10340" s="1"/>
      <c r="P10340" s="1"/>
      <c r="Q10340" s="1"/>
      <c r="R10340" s="1"/>
      <c r="S10340" s="1"/>
      <c r="T10340" s="1"/>
      <c r="U10340" s="1"/>
      <c r="V10340" s="1"/>
      <c r="W10340" s="1"/>
      <c r="X10340" s="1"/>
      <c r="Y10340" s="1"/>
      <c r="Z10340" s="1"/>
      <c r="AA10340" s="1"/>
      <c r="AB10340" s="1"/>
    </row>
    <row r="10341" ht="50.25" customHeight="1">
      <c r="A10341" s="12">
        <v>10337.0</v>
      </c>
      <c r="B10341" s="13" t="s">
        <v>9604</v>
      </c>
      <c r="C10341" s="14" t="s">
        <v>10368</v>
      </c>
      <c r="D10341" s="1"/>
      <c r="E10341" s="1"/>
      <c r="F10341" s="1" t="str">
        <f>IFERROR(__xludf.DUMMYFUNCTION("GOOGLETRANSLATE(B10341, ""en"", ""fa"")
"),"موفقیت Etsy")</f>
        <v>موفقیت Etsy</v>
      </c>
      <c r="G10341" s="1" t="str">
        <f>IFERROR(__xludf.DUMMYFUNCTION("GOOGLETRANSLATE(C10341, ""en"", ""fa"")
"),"استراتژی‌های بهینه‌سازی فرآیند پرداخت فروشگاه Etsy من برای به حداقل رساندن نقاط اصطکاک و بهبود نرخ تبدیل چیست؟")</f>
        <v>استراتژی‌های بهینه‌سازی فرآیند پرداخت فروشگاه Etsy من برای به حداقل رساندن نقاط اصطکاک و بهبود نرخ تبدیل چیست؟</v>
      </c>
      <c r="H10341" s="1"/>
      <c r="I10341" s="1"/>
      <c r="J10341" s="1"/>
      <c r="K10341" s="1"/>
      <c r="L10341" s="1"/>
      <c r="M10341" s="1"/>
      <c r="N10341" s="1"/>
      <c r="O10341" s="1"/>
      <c r="P10341" s="1"/>
      <c r="Q10341" s="1"/>
      <c r="R10341" s="1"/>
      <c r="S10341" s="1"/>
      <c r="T10341" s="1"/>
      <c r="U10341" s="1"/>
      <c r="V10341" s="1"/>
      <c r="W10341" s="1"/>
      <c r="X10341" s="1"/>
      <c r="Y10341" s="1"/>
      <c r="Z10341" s="1"/>
      <c r="AA10341" s="1"/>
      <c r="AB10341" s="1"/>
    </row>
    <row r="10342" ht="50.25" customHeight="1">
      <c r="A10342" s="12">
        <v>10338.0</v>
      </c>
      <c r="B10342" s="13" t="s">
        <v>9604</v>
      </c>
      <c r="C10342" s="14" t="s">
        <v>10369</v>
      </c>
      <c r="D10342" s="1"/>
      <c r="E10342" s="1"/>
      <c r="F10342" s="1" t="str">
        <f>IFERROR(__xludf.DUMMYFUNCTION("GOOGLETRANSLATE(B10342, ""en"", ""fa"")
"),"موفقیت Etsy")</f>
        <v>موفقیت Etsy</v>
      </c>
      <c r="G10342" s="1" t="str">
        <f>IFERROR(__xludf.DUMMYFUNCTION("GOOGLETRANSLATE(C10342, ""en"", ""fa"")
"),"چگونه می توانم از اتوماسیون بازاریابی ایمیلی برای ایجاد کمپین های ایمیل شخصی و هدفمند استفاده کنم که باعث ایجاد تعامل و فروش برای محصولات Etsy من می شود؟")</f>
        <v>چگونه می توانم از اتوماسیون بازاریابی ایمیلی برای ایجاد کمپین های ایمیل شخصی و هدفمند استفاده کنم که باعث ایجاد تعامل و فروش برای محصولات Etsy من می شود؟</v>
      </c>
      <c r="H10342" s="1"/>
      <c r="I10342" s="1"/>
      <c r="J10342" s="1"/>
      <c r="K10342" s="1"/>
      <c r="L10342" s="1"/>
      <c r="M10342" s="1"/>
      <c r="N10342" s="1"/>
      <c r="O10342" s="1"/>
      <c r="P10342" s="1"/>
      <c r="Q10342" s="1"/>
      <c r="R10342" s="1"/>
      <c r="S10342" s="1"/>
      <c r="T10342" s="1"/>
      <c r="U10342" s="1"/>
      <c r="V10342" s="1"/>
      <c r="W10342" s="1"/>
      <c r="X10342" s="1"/>
      <c r="Y10342" s="1"/>
      <c r="Z10342" s="1"/>
      <c r="AA10342" s="1"/>
      <c r="AB10342" s="1"/>
    </row>
    <row r="10343" ht="50.25" customHeight="1">
      <c r="A10343" s="12">
        <v>10339.0</v>
      </c>
      <c r="B10343" s="13" t="s">
        <v>9604</v>
      </c>
      <c r="C10343" s="14" t="s">
        <v>10370</v>
      </c>
      <c r="D10343" s="1"/>
      <c r="E10343" s="1"/>
      <c r="F10343" s="1" t="str">
        <f>IFERROR(__xludf.DUMMYFUNCTION("GOOGLETRANSLATE(B10343, ""en"", ""fa"")
"),"موفقیت Etsy")</f>
        <v>موفقیت Etsy</v>
      </c>
      <c r="G10343" s="1" t="str">
        <f>IFERROR(__xludf.DUMMYFUNCTION("GOOGLETRANSLATE(C10343, ""en"", ""fa"")
"),"چگونه می توانم کمپین تبلیغاتی Etsy خود را راه اندازی و بهینه کنم تا دید را به حداکثر برسانم و ترافیک هدفمند را به لیست های خود هدایت کنم؟")</f>
        <v>چگونه می توانم کمپین تبلیغاتی Etsy خود را راه اندازی و بهینه کنم تا دید را به حداکثر برسانم و ترافیک هدفمند را به لیست های خود هدایت کنم؟</v>
      </c>
      <c r="H10343" s="1"/>
      <c r="I10343" s="1"/>
      <c r="J10343" s="1"/>
      <c r="K10343" s="1"/>
      <c r="L10343" s="1"/>
      <c r="M10343" s="1"/>
      <c r="N10343" s="1"/>
      <c r="O10343" s="1"/>
      <c r="P10343" s="1"/>
      <c r="Q10343" s="1"/>
      <c r="R10343" s="1"/>
      <c r="S10343" s="1"/>
      <c r="T10343" s="1"/>
      <c r="U10343" s="1"/>
      <c r="V10343" s="1"/>
      <c r="W10343" s="1"/>
      <c r="X10343" s="1"/>
      <c r="Y10343" s="1"/>
      <c r="Z10343" s="1"/>
      <c r="AA10343" s="1"/>
      <c r="AB10343" s="1"/>
    </row>
    <row r="10344" ht="50.25" customHeight="1">
      <c r="A10344" s="12">
        <v>10340.0</v>
      </c>
      <c r="B10344" s="13" t="s">
        <v>9604</v>
      </c>
      <c r="C10344" s="14" t="s">
        <v>10371</v>
      </c>
      <c r="D10344" s="1"/>
      <c r="E10344" s="1"/>
      <c r="F10344" s="1" t="str">
        <f>IFERROR(__xludf.DUMMYFUNCTION("GOOGLETRANSLATE(B10344, ""en"", ""fa"")
"),"موفقیت Etsy")</f>
        <v>موفقیت Etsy</v>
      </c>
      <c r="G10344" s="1" t="str">
        <f>IFERROR(__xludf.DUMMYFUNCTION("GOOGLETRANSLATE(C10344, ""en"", ""fa"")
"),"بهترین روش ها برای انتخاب کلمات کلیدی مرتبط و بهینه سازی تبلیغات Etsy من برای دستیابی به مخاطبان هدف من چیست؟")</f>
        <v>بهترین روش ها برای انتخاب کلمات کلیدی مرتبط و بهینه سازی تبلیغات Etsy من برای دستیابی به مخاطبان هدف من چیست؟</v>
      </c>
      <c r="H10344" s="1"/>
      <c r="I10344" s="1"/>
      <c r="J10344" s="1"/>
      <c r="K10344" s="1"/>
      <c r="L10344" s="1"/>
      <c r="M10344" s="1"/>
      <c r="N10344" s="1"/>
      <c r="O10344" s="1"/>
      <c r="P10344" s="1"/>
      <c r="Q10344" s="1"/>
      <c r="R10344" s="1"/>
      <c r="S10344" s="1"/>
      <c r="T10344" s="1"/>
      <c r="U10344" s="1"/>
      <c r="V10344" s="1"/>
      <c r="W10344" s="1"/>
      <c r="X10344" s="1"/>
      <c r="Y10344" s="1"/>
      <c r="Z10344" s="1"/>
      <c r="AA10344" s="1"/>
      <c r="AB10344" s="1"/>
    </row>
    <row r="10345" ht="50.25" customHeight="1">
      <c r="A10345" s="12">
        <v>10341.0</v>
      </c>
      <c r="B10345" s="13" t="s">
        <v>9604</v>
      </c>
      <c r="C10345" s="14" t="s">
        <v>10372</v>
      </c>
      <c r="D10345" s="1"/>
      <c r="E10345" s="1"/>
      <c r="F10345" s="1" t="str">
        <f>IFERROR(__xludf.DUMMYFUNCTION("GOOGLETRANSLATE(B10345, ""en"", ""fa"")
"),"موفقیت Etsy")</f>
        <v>موفقیت Etsy</v>
      </c>
      <c r="G10345" s="1" t="str">
        <f>IFERROR(__xludf.DUMMYFUNCTION("GOOGLETRANSLATE(C10345, ""en"", ""fa"")
"),"چگونه می توانم عملکرد کمپین Etsy Ads خود را برای تصمیم گیری مبتنی بر داده و بهبود اثربخشی آن نظارت و تجزیه و تحلیل کنم؟")</f>
        <v>چگونه می توانم عملکرد کمپین Etsy Ads خود را برای تصمیم گیری مبتنی بر داده و بهبود اثربخشی آن نظارت و تجزیه و تحلیل کنم؟</v>
      </c>
      <c r="H10345" s="1"/>
      <c r="I10345" s="1"/>
      <c r="J10345" s="1"/>
      <c r="K10345" s="1"/>
      <c r="L10345" s="1"/>
      <c r="M10345" s="1"/>
      <c r="N10345" s="1"/>
      <c r="O10345" s="1"/>
      <c r="P10345" s="1"/>
      <c r="Q10345" s="1"/>
      <c r="R10345" s="1"/>
      <c r="S10345" s="1"/>
      <c r="T10345" s="1"/>
      <c r="U10345" s="1"/>
      <c r="V10345" s="1"/>
      <c r="W10345" s="1"/>
      <c r="X10345" s="1"/>
      <c r="Y10345" s="1"/>
      <c r="Z10345" s="1"/>
      <c r="AA10345" s="1"/>
      <c r="AB10345" s="1"/>
    </row>
    <row r="10346" ht="50.25" customHeight="1">
      <c r="A10346" s="12">
        <v>10342.0</v>
      </c>
      <c r="B10346" s="13" t="s">
        <v>9604</v>
      </c>
      <c r="C10346" s="14" t="s">
        <v>10373</v>
      </c>
      <c r="D10346" s="1"/>
      <c r="E10346" s="1"/>
      <c r="F10346" s="1" t="str">
        <f>IFERROR(__xludf.DUMMYFUNCTION("GOOGLETRANSLATE(B10346, ""en"", ""fa"")
"),"موفقیت Etsy")</f>
        <v>موفقیت Etsy</v>
      </c>
      <c r="G10346" s="1" t="str">
        <f>IFERROR(__xludf.DUMMYFUNCTION("GOOGLETRANSLATE(C10346, ""en"", ""fa"")
"),"ملاحظات برای تنظیم بودجه و استراتژی مناقصه که با اهداف من مطابقت دارد و بازگشت سرمایه (ROI) را برای تبلیغات Etsy من به حداکثر می رساند چیست؟")</f>
        <v>ملاحظات برای تنظیم بودجه و استراتژی مناقصه که با اهداف من مطابقت دارد و بازگشت سرمایه (ROI) را برای تبلیغات Etsy من به حداکثر می رساند چیست؟</v>
      </c>
      <c r="H10346" s="1"/>
      <c r="I10346" s="1"/>
      <c r="J10346" s="1"/>
      <c r="K10346" s="1"/>
      <c r="L10346" s="1"/>
      <c r="M10346" s="1"/>
      <c r="N10346" s="1"/>
      <c r="O10346" s="1"/>
      <c r="P10346" s="1"/>
      <c r="Q10346" s="1"/>
      <c r="R10346" s="1"/>
      <c r="S10346" s="1"/>
      <c r="T10346" s="1"/>
      <c r="U10346" s="1"/>
      <c r="V10346" s="1"/>
      <c r="W10346" s="1"/>
      <c r="X10346" s="1"/>
      <c r="Y10346" s="1"/>
      <c r="Z10346" s="1"/>
      <c r="AA10346" s="1"/>
      <c r="AB10346" s="1"/>
    </row>
    <row r="10347" ht="50.25" customHeight="1">
      <c r="A10347" s="12">
        <v>10343.0</v>
      </c>
      <c r="B10347" s="13" t="s">
        <v>9604</v>
      </c>
      <c r="C10347" s="14" t="s">
        <v>10374</v>
      </c>
      <c r="D10347" s="1"/>
      <c r="E10347" s="1"/>
      <c r="F10347" s="1" t="str">
        <f>IFERROR(__xludf.DUMMYFUNCTION("GOOGLETRANSLATE(B10347, ""en"", ""fa"")
"),"موفقیت Etsy")</f>
        <v>موفقیت Etsy</v>
      </c>
      <c r="G10347" s="1" t="str">
        <f>IFERROR(__xludf.DUMMYFUNCTION("GOOGLETRANSLATE(C10347, ""en"", ""fa"")
"),"چگونه می توانم از قدرت لیست های تبلیغاتی برای افزایش دید محصولات Etsy خود در نتایج جستجو و صفحات دسته استفاده کنم؟")</f>
        <v>چگونه می توانم از قدرت لیست های تبلیغاتی برای افزایش دید محصولات Etsy خود در نتایج جستجو و صفحات دسته استفاده کنم؟</v>
      </c>
      <c r="H10347" s="1"/>
      <c r="I10347" s="1"/>
      <c r="J10347" s="1"/>
      <c r="K10347" s="1"/>
      <c r="L10347" s="1"/>
      <c r="M10347" s="1"/>
      <c r="N10347" s="1"/>
      <c r="O10347" s="1"/>
      <c r="P10347" s="1"/>
      <c r="Q10347" s="1"/>
      <c r="R10347" s="1"/>
      <c r="S10347" s="1"/>
      <c r="T10347" s="1"/>
      <c r="U10347" s="1"/>
      <c r="V10347" s="1"/>
      <c r="W10347" s="1"/>
      <c r="X10347" s="1"/>
      <c r="Y10347" s="1"/>
      <c r="Z10347" s="1"/>
      <c r="AA10347" s="1"/>
      <c r="AB10347" s="1"/>
    </row>
    <row r="10348" ht="50.25" customHeight="1">
      <c r="A10348" s="12">
        <v>10344.0</v>
      </c>
      <c r="B10348" s="13" t="s">
        <v>9604</v>
      </c>
      <c r="C10348" s="14" t="s">
        <v>10375</v>
      </c>
      <c r="D10348" s="1"/>
      <c r="E10348" s="1"/>
      <c r="F10348" s="1" t="str">
        <f>IFERROR(__xludf.DUMMYFUNCTION("GOOGLETRANSLATE(B10348, ""en"", ""fa"")
"),"موفقیت Etsy")</f>
        <v>موفقیت Etsy</v>
      </c>
      <c r="G10348" s="1" t="str">
        <f>IFERROR(__xludf.DUMMYFUNCTION("GOOGLETRANSLATE(C10348, ""en"", ""fa"")
"),"استراتژی‌های انتخاب فهرست‌های مناسب برای تبلیغ و بهینه‌سازی عناوین، برچسب‌ها و توضیحات آن‌ها برای عملکرد بهتر در فهرست‌های تبلیغاتی چیست؟")</f>
        <v>استراتژی‌های انتخاب فهرست‌های مناسب برای تبلیغ و بهینه‌سازی عناوین، برچسب‌ها و توضیحات آن‌ها برای عملکرد بهتر در فهرست‌های تبلیغاتی چیست؟</v>
      </c>
      <c r="H10348" s="1"/>
      <c r="I10348" s="1"/>
      <c r="J10348" s="1"/>
      <c r="K10348" s="1"/>
      <c r="L10348" s="1"/>
      <c r="M10348" s="1"/>
      <c r="N10348" s="1"/>
      <c r="O10348" s="1"/>
      <c r="P10348" s="1"/>
      <c r="Q10348" s="1"/>
      <c r="R10348" s="1"/>
      <c r="S10348" s="1"/>
      <c r="T10348" s="1"/>
      <c r="U10348" s="1"/>
      <c r="V10348" s="1"/>
      <c r="W10348" s="1"/>
      <c r="X10348" s="1"/>
      <c r="Y10348" s="1"/>
      <c r="Z10348" s="1"/>
      <c r="AA10348" s="1"/>
      <c r="AB10348" s="1"/>
    </row>
    <row r="10349" ht="50.25" customHeight="1">
      <c r="A10349" s="12">
        <v>10345.0</v>
      </c>
      <c r="B10349" s="13" t="s">
        <v>9604</v>
      </c>
      <c r="C10349" s="14" t="s">
        <v>10376</v>
      </c>
      <c r="D10349" s="1"/>
      <c r="E10349" s="1"/>
      <c r="F10349" s="1" t="str">
        <f>IFERROR(__xludf.DUMMYFUNCTION("GOOGLETRANSLATE(B10349, ""en"", ""fa"")
"),"موفقیت Etsy")</f>
        <v>موفقیت Etsy</v>
      </c>
      <c r="G10349" s="1" t="str">
        <f>IFERROR(__xludf.DUMMYFUNCTION("GOOGLETRANSLATE(C10349, ""en"", ""fa"")
"),"چگونه می توانم معیارهای عملکرد فهرست های تبلیغاتی خود را برای ارزیابی اثربخشی و انجام تنظیمات لازم نظارت و پیگیری کنم؟")</f>
        <v>چگونه می توانم معیارهای عملکرد فهرست های تبلیغاتی خود را برای ارزیابی اثربخشی و انجام تنظیمات لازم نظارت و پیگیری کنم؟</v>
      </c>
      <c r="H10349" s="1"/>
      <c r="I10349" s="1"/>
      <c r="J10349" s="1"/>
      <c r="K10349" s="1"/>
      <c r="L10349" s="1"/>
      <c r="M10349" s="1"/>
      <c r="N10349" s="1"/>
      <c r="O10349" s="1"/>
      <c r="P10349" s="1"/>
      <c r="Q10349" s="1"/>
      <c r="R10349" s="1"/>
      <c r="S10349" s="1"/>
      <c r="T10349" s="1"/>
      <c r="U10349" s="1"/>
      <c r="V10349" s="1"/>
      <c r="W10349" s="1"/>
      <c r="X10349" s="1"/>
      <c r="Y10349" s="1"/>
      <c r="Z10349" s="1"/>
      <c r="AA10349" s="1"/>
      <c r="AB10349" s="1"/>
    </row>
    <row r="10350" ht="50.25" customHeight="1">
      <c r="A10350" s="12">
        <v>10346.0</v>
      </c>
      <c r="B10350" s="13" t="s">
        <v>9604</v>
      </c>
      <c r="C10350" s="14" t="s">
        <v>10377</v>
      </c>
      <c r="D10350" s="1"/>
      <c r="E10350" s="1"/>
      <c r="F10350" s="1" t="str">
        <f>IFERROR(__xludf.DUMMYFUNCTION("GOOGLETRANSLATE(B10350, ""en"", ""fa"")
"),"موفقیت Etsy")</f>
        <v>موفقیت Etsy</v>
      </c>
      <c r="G10350" s="1" t="str">
        <f>IFERROR(__xludf.DUMMYFUNCTION("GOOGLETRANSLATE(C10350, ""en"", ""fa"")
"),"ملاحظات برای آزمایش خلاقیت های مختلف تبلیغات، مانند تصاویر یا گرافیک، برای بهینه سازی نرخ کلیک و نرخ تبدیل تبلیغات Etsy من چیست؟")</f>
        <v>ملاحظات برای آزمایش خلاقیت های مختلف تبلیغات، مانند تصاویر یا گرافیک، برای بهینه سازی نرخ کلیک و نرخ تبدیل تبلیغات Etsy من چیست؟</v>
      </c>
      <c r="H10350" s="1"/>
      <c r="I10350" s="1"/>
      <c r="J10350" s="1"/>
      <c r="K10350" s="1"/>
      <c r="L10350" s="1"/>
      <c r="M10350" s="1"/>
      <c r="N10350" s="1"/>
      <c r="O10350" s="1"/>
      <c r="P10350" s="1"/>
      <c r="Q10350" s="1"/>
      <c r="R10350" s="1"/>
      <c r="S10350" s="1"/>
      <c r="T10350" s="1"/>
      <c r="U10350" s="1"/>
      <c r="V10350" s="1"/>
      <c r="W10350" s="1"/>
      <c r="X10350" s="1"/>
      <c r="Y10350" s="1"/>
      <c r="Z10350" s="1"/>
      <c r="AA10350" s="1"/>
      <c r="AB10350" s="1"/>
    </row>
    <row r="10351" ht="50.25" customHeight="1">
      <c r="A10351" s="12">
        <v>10347.0</v>
      </c>
      <c r="B10351" s="13" t="s">
        <v>9604</v>
      </c>
      <c r="C10351" s="14" t="s">
        <v>10378</v>
      </c>
      <c r="D10351" s="1"/>
      <c r="E10351" s="1"/>
      <c r="F10351" s="1" t="str">
        <f>IFERROR(__xludf.DUMMYFUNCTION("GOOGLETRANSLATE(B10351, ""en"", ""fa"")
"),"موفقیت Etsy")</f>
        <v>موفقیت Etsy</v>
      </c>
      <c r="G10351" s="1" t="str">
        <f>IFERROR(__xludf.DUMMYFUNCTION("GOOGLETRANSLATE(C10351, ""en"", ""fa"")
"),"چگونه می توانم از گزینه های هدف گیری پیشرفته موجود در تبلیغات Etsy برای دستیابی به بخش های خاص مشتری و افزایش ارتباط کمپین های تبلیغاتی خود استفاده کنم؟")</f>
        <v>چگونه می توانم از گزینه های هدف گیری پیشرفته موجود در تبلیغات Etsy برای دستیابی به بخش های خاص مشتری و افزایش ارتباط کمپین های تبلیغاتی خود استفاده کنم؟</v>
      </c>
      <c r="H10351" s="1"/>
      <c r="I10351" s="1"/>
      <c r="J10351" s="1"/>
      <c r="K10351" s="1"/>
      <c r="L10351" s="1"/>
      <c r="M10351" s="1"/>
      <c r="N10351" s="1"/>
      <c r="O10351" s="1"/>
      <c r="P10351" s="1"/>
      <c r="Q10351" s="1"/>
      <c r="R10351" s="1"/>
      <c r="S10351" s="1"/>
      <c r="T10351" s="1"/>
      <c r="U10351" s="1"/>
      <c r="V10351" s="1"/>
      <c r="W10351" s="1"/>
      <c r="X10351" s="1"/>
      <c r="Y10351" s="1"/>
      <c r="Z10351" s="1"/>
      <c r="AA10351" s="1"/>
      <c r="AB10351" s="1"/>
    </row>
    <row r="10352" ht="50.25" customHeight="1">
      <c r="A10352" s="12">
        <v>10348.0</v>
      </c>
      <c r="B10352" s="13" t="s">
        <v>9604</v>
      </c>
      <c r="C10352" s="14" t="s">
        <v>10379</v>
      </c>
      <c r="D10352" s="1"/>
      <c r="E10352" s="1"/>
      <c r="F10352" s="1" t="str">
        <f>IFERROR(__xludf.DUMMYFUNCTION("GOOGLETRANSLATE(B10352, ""en"", ""fa"")
"),"موفقیت Etsy")</f>
        <v>موفقیت Etsy</v>
      </c>
      <c r="G10352" s="1" t="str">
        <f>IFERROR(__xludf.DUMMYFUNCTION("GOOGLETRANSLATE(C10352, ""en"", ""fa"")
"),"استراتژی‌هایی برای ایجاد کپی تبلیغاتی قانع‌کننده که توجه را جلب کند، مزایای محصول را برجسته کند و کلیک‌ها و تبدیل‌ها را در تبلیغات Etsy تشویق کند، چیست؟")</f>
        <v>استراتژی‌هایی برای ایجاد کپی تبلیغاتی قانع‌کننده که توجه را جلب کند، مزایای محصول را برجسته کند و کلیک‌ها و تبدیل‌ها را در تبلیغات Etsy تشویق کند، چیست؟</v>
      </c>
      <c r="H10352" s="1"/>
      <c r="I10352" s="1"/>
      <c r="J10352" s="1"/>
      <c r="K10352" s="1"/>
      <c r="L10352" s="1"/>
      <c r="M10352" s="1"/>
      <c r="N10352" s="1"/>
      <c r="O10352" s="1"/>
      <c r="P10352" s="1"/>
      <c r="Q10352" s="1"/>
      <c r="R10352" s="1"/>
      <c r="S10352" s="1"/>
      <c r="T10352" s="1"/>
      <c r="U10352" s="1"/>
      <c r="V10352" s="1"/>
      <c r="W10352" s="1"/>
      <c r="X10352" s="1"/>
      <c r="Y10352" s="1"/>
      <c r="Z10352" s="1"/>
      <c r="AA10352" s="1"/>
      <c r="AB10352" s="1"/>
    </row>
    <row r="10353" ht="50.25" customHeight="1">
      <c r="A10353" s="12">
        <v>10349.0</v>
      </c>
      <c r="B10353" s="13" t="s">
        <v>9604</v>
      </c>
      <c r="C10353" s="14" t="s">
        <v>10380</v>
      </c>
      <c r="D10353" s="1"/>
      <c r="E10353" s="1"/>
      <c r="F10353" s="1" t="str">
        <f>IFERROR(__xludf.DUMMYFUNCTION("GOOGLETRANSLATE(B10353, ""en"", ""fa"")
"),"موفقیت Etsy")</f>
        <v>موفقیت Etsy</v>
      </c>
      <c r="G10353" s="1" t="str">
        <f>IFERROR(__xludf.DUMMYFUNCTION("GOOGLETRANSLATE(C10353, ""en"", ""fa"")
"),"چگونه می توانم از روندها و رویدادهای فصلی برای ایجاد کمپین های تبلیغاتی Etsy هدفمند استفاده کنم که با علایق و رفتارهای خرید مخاطبان هدف من هماهنگ باشد؟")</f>
        <v>چگونه می توانم از روندها و رویدادهای فصلی برای ایجاد کمپین های تبلیغاتی Etsy هدفمند استفاده کنم که با علایق و رفتارهای خرید مخاطبان هدف من هماهنگ باشد؟</v>
      </c>
      <c r="H10353" s="1"/>
      <c r="I10353" s="1"/>
      <c r="J10353" s="1"/>
      <c r="K10353" s="1"/>
      <c r="L10353" s="1"/>
      <c r="M10353" s="1"/>
      <c r="N10353" s="1"/>
      <c r="O10353" s="1"/>
      <c r="P10353" s="1"/>
      <c r="Q10353" s="1"/>
      <c r="R10353" s="1"/>
      <c r="S10353" s="1"/>
      <c r="T10353" s="1"/>
      <c r="U10353" s="1"/>
      <c r="V10353" s="1"/>
      <c r="W10353" s="1"/>
      <c r="X10353" s="1"/>
      <c r="Y10353" s="1"/>
      <c r="Z10353" s="1"/>
      <c r="AA10353" s="1"/>
      <c r="AB10353" s="1"/>
    </row>
    <row r="10354" ht="50.25" customHeight="1">
      <c r="A10354" s="12">
        <v>10350.0</v>
      </c>
      <c r="B10354" s="13" t="s">
        <v>9604</v>
      </c>
      <c r="C10354" s="14" t="s">
        <v>10381</v>
      </c>
      <c r="D10354" s="1"/>
      <c r="E10354" s="1"/>
      <c r="F10354" s="1" t="str">
        <f>IFERROR(__xludf.DUMMYFUNCTION("GOOGLETRANSLATE(B10354, ""en"", ""fa"")
"),"موفقیت Etsy")</f>
        <v>موفقیت Etsy</v>
      </c>
      <c r="G10354" s="1" t="str">
        <f>IFERROR(__xludf.DUMMYFUNCTION("GOOGLETRANSLATE(C10354, ""en"", ""fa"")
"),"ملاحظات برای زمان‌بندی و زمان‌بندی تبلیغات Etsy من برای به حداکثر رساندن تأثیر و دسترسی آنها در دوره‌های اوج خرید یا روزهای خاص هفته چیست؟")</f>
        <v>ملاحظات برای زمان‌بندی و زمان‌بندی تبلیغات Etsy من برای به حداکثر رساندن تأثیر و دسترسی آنها در دوره‌های اوج خرید یا روزهای خاص هفته چیست؟</v>
      </c>
      <c r="H10354" s="1"/>
      <c r="I10354" s="1"/>
      <c r="J10354" s="1"/>
      <c r="K10354" s="1"/>
      <c r="L10354" s="1"/>
      <c r="M10354" s="1"/>
      <c r="N10354" s="1"/>
      <c r="O10354" s="1"/>
      <c r="P10354" s="1"/>
      <c r="Q10354" s="1"/>
      <c r="R10354" s="1"/>
      <c r="S10354" s="1"/>
      <c r="T10354" s="1"/>
      <c r="U10354" s="1"/>
      <c r="V10354" s="1"/>
      <c r="W10354" s="1"/>
      <c r="X10354" s="1"/>
      <c r="Y10354" s="1"/>
      <c r="Z10354" s="1"/>
      <c r="AA10354" s="1"/>
      <c r="AB10354" s="1"/>
    </row>
    <row r="10355" ht="50.25" customHeight="1">
      <c r="A10355" s="12">
        <v>10351.0</v>
      </c>
      <c r="B10355" s="13" t="s">
        <v>9604</v>
      </c>
      <c r="C10355" s="14" t="s">
        <v>10382</v>
      </c>
      <c r="D10355" s="1"/>
      <c r="E10355" s="1"/>
      <c r="F10355" s="1" t="str">
        <f>IFERROR(__xludf.DUMMYFUNCTION("GOOGLETRANSLATE(B10355, ""en"", ""fa"")
"),"موفقیت Etsy")</f>
        <v>موفقیت Etsy</v>
      </c>
      <c r="G10355" s="1" t="str">
        <f>IFERROR(__xludf.DUMMYFUNCTION("GOOGLETRANSLATE(C10355, ""en"", ""fa"")
"),"چگونه می توانم از تست A/B برای آزمایش انواع مختلف تبلیغات Etsy خود و تعیین موثرترین عناصر برای ایجاد تبدیل استفاده کنم؟")</f>
        <v>چگونه می توانم از تست A/B برای آزمایش انواع مختلف تبلیغات Etsy خود و تعیین موثرترین عناصر برای ایجاد تبدیل استفاده کنم؟</v>
      </c>
      <c r="H10355" s="1"/>
      <c r="I10355" s="1"/>
      <c r="J10355" s="1"/>
      <c r="K10355" s="1"/>
      <c r="L10355" s="1"/>
      <c r="M10355" s="1"/>
      <c r="N10355" s="1"/>
      <c r="O10355" s="1"/>
      <c r="P10355" s="1"/>
      <c r="Q10355" s="1"/>
      <c r="R10355" s="1"/>
      <c r="S10355" s="1"/>
      <c r="T10355" s="1"/>
      <c r="U10355" s="1"/>
      <c r="V10355" s="1"/>
      <c r="W10355" s="1"/>
      <c r="X10355" s="1"/>
      <c r="Y10355" s="1"/>
      <c r="Z10355" s="1"/>
      <c r="AA10355" s="1"/>
      <c r="AB10355" s="1"/>
    </row>
    <row r="10356" ht="50.25" customHeight="1">
      <c r="A10356" s="12">
        <v>10352.0</v>
      </c>
      <c r="B10356" s="13" t="s">
        <v>9604</v>
      </c>
      <c r="C10356" s="14" t="s">
        <v>10383</v>
      </c>
      <c r="D10356" s="1"/>
      <c r="E10356" s="1"/>
      <c r="F10356" s="1" t="str">
        <f>IFERROR(__xludf.DUMMYFUNCTION("GOOGLETRANSLATE(B10356, ""en"", ""fa"")
"),"موفقیت Etsy")</f>
        <v>موفقیت Etsy</v>
      </c>
      <c r="G10356" s="1" t="str">
        <f>IFERROR(__xludf.DUMMYFUNCTION("GOOGLETRANSLATE(C10356, ""en"", ""fa"")
"),"استراتژی‌هایی برای بهینه‌سازی صفحات فرود فروشگاه Etsy من برای اطمینان از تجربه کاربری یکپارچه و جذاب برای بازدیدکنندگانی که روی تبلیغات Etsy من کلیک می‌کنند چیست؟")</f>
        <v>استراتژی‌هایی برای بهینه‌سازی صفحات فرود فروشگاه Etsy من برای اطمینان از تجربه کاربری یکپارچه و جذاب برای بازدیدکنندگانی که روی تبلیغات Etsy من کلیک می‌کنند چیست؟</v>
      </c>
      <c r="H10356" s="1"/>
      <c r="I10356" s="1"/>
      <c r="J10356" s="1"/>
      <c r="K10356" s="1"/>
      <c r="L10356" s="1"/>
      <c r="M10356" s="1"/>
      <c r="N10356" s="1"/>
      <c r="O10356" s="1"/>
      <c r="P10356" s="1"/>
      <c r="Q10356" s="1"/>
      <c r="R10356" s="1"/>
      <c r="S10356" s="1"/>
      <c r="T10356" s="1"/>
      <c r="U10356" s="1"/>
      <c r="V10356" s="1"/>
      <c r="W10356" s="1"/>
      <c r="X10356" s="1"/>
      <c r="Y10356" s="1"/>
      <c r="Z10356" s="1"/>
      <c r="AA10356" s="1"/>
      <c r="AB10356" s="1"/>
    </row>
    <row r="10357" ht="50.25" customHeight="1">
      <c r="A10357" s="12">
        <v>10353.0</v>
      </c>
      <c r="B10357" s="13" t="s">
        <v>9604</v>
      </c>
      <c r="C10357" s="14" t="s">
        <v>10384</v>
      </c>
      <c r="D10357" s="1"/>
      <c r="E10357" s="1"/>
      <c r="F10357" s="1" t="str">
        <f>IFERROR(__xludf.DUMMYFUNCTION("GOOGLETRANSLATE(B10357, ""en"", ""fa"")
"),"موفقیت Etsy")</f>
        <v>موفقیت Etsy</v>
      </c>
      <c r="G10357" s="1" t="str">
        <f>IFERROR(__xludf.DUMMYFUNCTION("GOOGLETRANSLATE(C10357, ""en"", ""fa"")
"),"چگونه می توانم از داده ها و بینش های ابزارهای تجزیه و تحلیل Etsy برای شناسایی روندها و الگوهایی استفاده کنم که استراتژی های هدف گذاری و بهینه سازی تبلیغات Etsy من را مشخص می کند؟")</f>
        <v>چگونه می توانم از داده ها و بینش های ابزارهای تجزیه و تحلیل Etsy برای شناسایی روندها و الگوهایی استفاده کنم که استراتژی های هدف گذاری و بهینه سازی تبلیغات Etsy من را مشخص می کند؟</v>
      </c>
      <c r="H10357" s="1"/>
      <c r="I10357" s="1"/>
      <c r="J10357" s="1"/>
      <c r="K10357" s="1"/>
      <c r="L10357" s="1"/>
      <c r="M10357" s="1"/>
      <c r="N10357" s="1"/>
      <c r="O10357" s="1"/>
      <c r="P10357" s="1"/>
      <c r="Q10357" s="1"/>
      <c r="R10357" s="1"/>
      <c r="S10357" s="1"/>
      <c r="T10357" s="1"/>
      <c r="U10357" s="1"/>
      <c r="V10357" s="1"/>
      <c r="W10357" s="1"/>
      <c r="X10357" s="1"/>
      <c r="Y10357" s="1"/>
      <c r="Z10357" s="1"/>
      <c r="AA10357" s="1"/>
      <c r="AB10357" s="1"/>
    </row>
    <row r="10358" ht="50.25" customHeight="1">
      <c r="A10358" s="12">
        <v>10354.0</v>
      </c>
      <c r="B10358" s="13" t="s">
        <v>9604</v>
      </c>
      <c r="C10358" s="14" t="s">
        <v>10385</v>
      </c>
      <c r="D10358" s="1"/>
      <c r="E10358" s="1"/>
      <c r="F10358" s="1" t="str">
        <f>IFERROR(__xludf.DUMMYFUNCTION("GOOGLETRANSLATE(B10358, ""en"", ""fa"")
"),"موفقیت Etsy")</f>
        <v>موفقیت Etsy</v>
      </c>
      <c r="G10358" s="1" t="str">
        <f>IFERROR(__xludf.DUMMYFUNCTION("GOOGLETRANSLATE(C10358, ""en"", ""fa"")
"),"ملاحظات برای تنظیم پیشنهادات و بودجه Etsy Ads من بر اساس عملکرد فهرست‌ها یا دسته‌های محصول منفرد چیست؟")</f>
        <v>ملاحظات برای تنظیم پیشنهادات و بودجه Etsy Ads من بر اساس عملکرد فهرست‌ها یا دسته‌های محصول منفرد چیست؟</v>
      </c>
      <c r="H10358" s="1"/>
      <c r="I10358" s="1"/>
      <c r="J10358" s="1"/>
      <c r="K10358" s="1"/>
      <c r="L10358" s="1"/>
      <c r="M10358" s="1"/>
      <c r="N10358" s="1"/>
      <c r="O10358" s="1"/>
      <c r="P10358" s="1"/>
      <c r="Q10358" s="1"/>
      <c r="R10358" s="1"/>
      <c r="S10358" s="1"/>
      <c r="T10358" s="1"/>
      <c r="U10358" s="1"/>
      <c r="V10358" s="1"/>
      <c r="W10358" s="1"/>
      <c r="X10358" s="1"/>
      <c r="Y10358" s="1"/>
      <c r="Z10358" s="1"/>
      <c r="AA10358" s="1"/>
      <c r="AB10358" s="1"/>
    </row>
    <row r="10359" ht="50.25" customHeight="1">
      <c r="A10359" s="12">
        <v>10355.0</v>
      </c>
      <c r="B10359" s="13" t="s">
        <v>9604</v>
      </c>
      <c r="C10359" s="14" t="s">
        <v>10386</v>
      </c>
      <c r="D10359" s="1"/>
      <c r="E10359" s="1"/>
      <c r="F10359" s="1" t="str">
        <f>IFERROR(__xludf.DUMMYFUNCTION("GOOGLETRANSLATE(B10359, ""en"", ""fa"")
"),"موفقیت Etsy")</f>
        <v>موفقیت Etsy</v>
      </c>
      <c r="G10359" s="1" t="str">
        <f>IFERROR(__xludf.DUMMYFUNCTION("GOOGLETRANSLATE(C10359, ""en"", ""fa"")
"),"چگونه می‌توانم با هدف قرار دادن تبلیغات Etsy خود برای نمایش در فهرست‌های فروشندگان مکمل یا مرتبط Etsy، فرصت‌های تبلیغات متقابل را کشف کنم؟")</f>
        <v>چگونه می‌توانم با هدف قرار دادن تبلیغات Etsy خود برای نمایش در فهرست‌های فروشندگان مکمل یا مرتبط Etsy، فرصت‌های تبلیغات متقابل را کشف کنم؟</v>
      </c>
      <c r="H10359" s="1"/>
      <c r="I10359" s="1"/>
      <c r="J10359" s="1"/>
      <c r="K10359" s="1"/>
      <c r="L10359" s="1"/>
      <c r="M10359" s="1"/>
      <c r="N10359" s="1"/>
      <c r="O10359" s="1"/>
      <c r="P10359" s="1"/>
      <c r="Q10359" s="1"/>
      <c r="R10359" s="1"/>
      <c r="S10359" s="1"/>
      <c r="T10359" s="1"/>
      <c r="U10359" s="1"/>
      <c r="V10359" s="1"/>
      <c r="W10359" s="1"/>
      <c r="X10359" s="1"/>
      <c r="Y10359" s="1"/>
      <c r="Z10359" s="1"/>
      <c r="AA10359" s="1"/>
      <c r="AB10359" s="1"/>
    </row>
    <row r="10360" ht="50.25" customHeight="1">
      <c r="A10360" s="12">
        <v>10356.0</v>
      </c>
      <c r="B10360" s="13" t="s">
        <v>9604</v>
      </c>
      <c r="C10360" s="14" t="s">
        <v>10387</v>
      </c>
      <c r="D10360" s="1"/>
      <c r="E10360" s="1"/>
      <c r="F10360" s="1" t="str">
        <f>IFERROR(__xludf.DUMMYFUNCTION("GOOGLETRANSLATE(B10360, ""en"", ""fa"")
"),"موفقیت Etsy")</f>
        <v>موفقیت Etsy</v>
      </c>
      <c r="G10360" s="1" t="str">
        <f>IFERROR(__xludf.DUMMYFUNCTION("GOOGLETRANSLATE(C10360, ""en"", ""fa"")
"),"استراتژی‌های استفاده از کمپین‌های هدف‌گیری مجدد در تبلیغات Etsy برای جذب مجدد بازدیدکنندگانی که قبلاً به لیست‌های من علاقه نشان داده‌اند چیست؟")</f>
        <v>استراتژی‌های استفاده از کمپین‌های هدف‌گیری مجدد در تبلیغات Etsy برای جذب مجدد بازدیدکنندگانی که قبلاً به لیست‌های من علاقه نشان داده‌اند چیست؟</v>
      </c>
      <c r="H10360" s="1"/>
      <c r="I10360" s="1"/>
      <c r="J10360" s="1"/>
      <c r="K10360" s="1"/>
      <c r="L10360" s="1"/>
      <c r="M10360" s="1"/>
      <c r="N10360" s="1"/>
      <c r="O10360" s="1"/>
      <c r="P10360" s="1"/>
      <c r="Q10360" s="1"/>
      <c r="R10360" s="1"/>
      <c r="S10360" s="1"/>
      <c r="T10360" s="1"/>
      <c r="U10360" s="1"/>
      <c r="V10360" s="1"/>
      <c r="W10360" s="1"/>
      <c r="X10360" s="1"/>
      <c r="Y10360" s="1"/>
      <c r="Z10360" s="1"/>
      <c r="AA10360" s="1"/>
      <c r="AB10360" s="1"/>
    </row>
    <row r="10361" ht="50.25" customHeight="1">
      <c r="A10361" s="12">
        <v>10357.0</v>
      </c>
      <c r="B10361" s="13" t="s">
        <v>9604</v>
      </c>
      <c r="C10361" s="14" t="s">
        <v>10388</v>
      </c>
      <c r="D10361" s="1"/>
      <c r="E10361" s="1"/>
      <c r="F10361" s="1" t="str">
        <f>IFERROR(__xludf.DUMMYFUNCTION("GOOGLETRANSLATE(B10361, ""en"", ""fa"")
"),"موفقیت Etsy")</f>
        <v>موفقیت Etsy</v>
      </c>
      <c r="G10361" s="1" t="str">
        <f>IFERROR(__xludf.DUMMYFUNCTION("GOOGLETRANSLATE(C10361, ""en"", ""fa"")
"),"چگونه می توانم از نظرات و رتبه بندی های مشتریان در تبلیغات Etsy خود برای ایجاد اعتماد و اعتبار و افزایش نرخ کلیک و تبدیل استفاده کنم؟")</f>
        <v>چگونه می توانم از نظرات و رتبه بندی های مشتریان در تبلیغات Etsy خود برای ایجاد اعتماد و اعتبار و افزایش نرخ کلیک و تبدیل استفاده کنم؟</v>
      </c>
      <c r="H10361" s="1"/>
      <c r="I10361" s="1"/>
      <c r="J10361" s="1"/>
      <c r="K10361" s="1"/>
      <c r="L10361" s="1"/>
      <c r="M10361" s="1"/>
      <c r="N10361" s="1"/>
      <c r="O10361" s="1"/>
      <c r="P10361" s="1"/>
      <c r="Q10361" s="1"/>
      <c r="R10361" s="1"/>
      <c r="S10361" s="1"/>
      <c r="T10361" s="1"/>
      <c r="U10361" s="1"/>
      <c r="V10361" s="1"/>
      <c r="W10361" s="1"/>
      <c r="X10361" s="1"/>
      <c r="Y10361" s="1"/>
      <c r="Z10361" s="1"/>
      <c r="AA10361" s="1"/>
      <c r="AB10361" s="1"/>
    </row>
    <row r="10362" ht="50.25" customHeight="1">
      <c r="A10362" s="12">
        <v>10358.0</v>
      </c>
      <c r="B10362" s="13" t="s">
        <v>9604</v>
      </c>
      <c r="C10362" s="14" t="s">
        <v>10389</v>
      </c>
      <c r="D10362" s="1"/>
      <c r="E10362" s="1"/>
      <c r="F10362" s="1" t="str">
        <f>IFERROR(__xludf.DUMMYFUNCTION("GOOGLETRANSLATE(B10362, ""en"", ""fa"")
"),"موفقیت Etsy")</f>
        <v>موفقیت Etsy</v>
      </c>
      <c r="G10362" s="1" t="str">
        <f>IFERROR(__xludf.DUMMYFUNCTION("GOOGLETRANSLATE(C10362, ""en"", ""fa"")
"),"ملاحظات برای بهینه سازی عکاسی و تصاویر بصری فروشگاه Etsy من برای ایجاد تبلیغات تاثیرگذار و چشم نواز در Etsy Ads چیست؟")</f>
        <v>ملاحظات برای بهینه سازی عکاسی و تصاویر بصری فروشگاه Etsy من برای ایجاد تبلیغات تاثیرگذار و چشم نواز در Etsy Ads چیست؟</v>
      </c>
      <c r="H10362" s="1"/>
      <c r="I10362" s="1"/>
      <c r="J10362" s="1"/>
      <c r="K10362" s="1"/>
      <c r="L10362" s="1"/>
      <c r="M10362" s="1"/>
      <c r="N10362" s="1"/>
      <c r="O10362" s="1"/>
      <c r="P10362" s="1"/>
      <c r="Q10362" s="1"/>
      <c r="R10362" s="1"/>
      <c r="S10362" s="1"/>
      <c r="T10362" s="1"/>
      <c r="U10362" s="1"/>
      <c r="V10362" s="1"/>
      <c r="W10362" s="1"/>
      <c r="X10362" s="1"/>
      <c r="Y10362" s="1"/>
      <c r="Z10362" s="1"/>
      <c r="AA10362" s="1"/>
      <c r="AB10362" s="1"/>
    </row>
    <row r="10363" ht="50.25" customHeight="1">
      <c r="A10363" s="12">
        <v>10359.0</v>
      </c>
      <c r="B10363" s="13" t="s">
        <v>9604</v>
      </c>
      <c r="C10363" s="14" t="s">
        <v>10390</v>
      </c>
      <c r="D10363" s="1"/>
      <c r="E10363" s="1"/>
      <c r="F10363" s="1" t="str">
        <f>IFERROR(__xludf.DUMMYFUNCTION("GOOGLETRANSLATE(B10363, ""en"", ""fa"")
"),"موفقیت Etsy")</f>
        <v>موفقیت Etsy</v>
      </c>
      <c r="G10363" s="1" t="str">
        <f>IFERROR(__xludf.DUMMYFUNCTION("GOOGLETRANSLATE(C10363, ""en"", ""fa"")
"),"چگونه می توانم استراتژی های Etsy Ads رقابت را برای شناسایی فرصت ها و کسب مزیت رقابتی در کمپین های تبلیغاتی خود تحقیق و تجزیه و تحلیل کنم؟")</f>
        <v>چگونه می توانم استراتژی های Etsy Ads رقابت را برای شناسایی فرصت ها و کسب مزیت رقابتی در کمپین های تبلیغاتی خود تحقیق و تجزیه و تحلیل کنم؟</v>
      </c>
      <c r="H10363" s="1"/>
      <c r="I10363" s="1"/>
      <c r="J10363" s="1"/>
      <c r="K10363" s="1"/>
      <c r="L10363" s="1"/>
      <c r="M10363" s="1"/>
      <c r="N10363" s="1"/>
      <c r="O10363" s="1"/>
      <c r="P10363" s="1"/>
      <c r="Q10363" s="1"/>
      <c r="R10363" s="1"/>
      <c r="S10363" s="1"/>
      <c r="T10363" s="1"/>
      <c r="U10363" s="1"/>
      <c r="V10363" s="1"/>
      <c r="W10363" s="1"/>
      <c r="X10363" s="1"/>
      <c r="Y10363" s="1"/>
      <c r="Z10363" s="1"/>
      <c r="AA10363" s="1"/>
      <c r="AB10363" s="1"/>
    </row>
    <row r="10364" ht="50.25" customHeight="1">
      <c r="A10364" s="12">
        <v>10360.0</v>
      </c>
      <c r="B10364" s="13" t="s">
        <v>9604</v>
      </c>
      <c r="C10364" s="14" t="s">
        <v>10391</v>
      </c>
      <c r="D10364" s="1"/>
      <c r="E10364" s="1"/>
      <c r="F10364" s="1" t="str">
        <f>IFERROR(__xludf.DUMMYFUNCTION("GOOGLETRANSLATE(B10364, ""en"", ""fa"")
"),"موفقیت Etsy")</f>
        <v>موفقیت Etsy</v>
      </c>
      <c r="G10364" s="1" t="str">
        <f>IFERROR(__xludf.DUMMYFUNCTION("GOOGLETRANSLATE(C10364, ""en"", ""fa"")
"),"راهبردهای ایجاد فوریت و احساس کمبود در تبلیغات Etsy من برای ایجاد انگیزه در مشتریان بالقوه برای اقدام فوری چیست؟")</f>
        <v>راهبردهای ایجاد فوریت و احساس کمبود در تبلیغات Etsy من برای ایجاد انگیزه در مشتریان بالقوه برای اقدام فوری چیست؟</v>
      </c>
      <c r="H10364" s="1"/>
      <c r="I10364" s="1"/>
      <c r="J10364" s="1"/>
      <c r="K10364" s="1"/>
      <c r="L10364" s="1"/>
      <c r="M10364" s="1"/>
      <c r="N10364" s="1"/>
      <c r="O10364" s="1"/>
      <c r="P10364" s="1"/>
      <c r="Q10364" s="1"/>
      <c r="R10364" s="1"/>
      <c r="S10364" s="1"/>
      <c r="T10364" s="1"/>
      <c r="U10364" s="1"/>
      <c r="V10364" s="1"/>
      <c r="W10364" s="1"/>
      <c r="X10364" s="1"/>
      <c r="Y10364" s="1"/>
      <c r="Z10364" s="1"/>
      <c r="AA10364" s="1"/>
      <c r="AB10364" s="1"/>
    </row>
    <row r="10365" ht="50.25" customHeight="1">
      <c r="A10365" s="12">
        <v>10361.0</v>
      </c>
      <c r="B10365" s="13" t="s">
        <v>9604</v>
      </c>
      <c r="C10365" s="14" t="s">
        <v>10392</v>
      </c>
      <c r="D10365" s="1"/>
      <c r="E10365" s="1"/>
      <c r="F10365" s="1" t="str">
        <f>IFERROR(__xludf.DUMMYFUNCTION("GOOGLETRANSLATE(B10365, ""en"", ""fa"")
"),"موفقیت Etsy")</f>
        <v>موفقیت Etsy</v>
      </c>
      <c r="G10365" s="1" t="str">
        <f>IFERROR(__xludf.DUMMYFUNCTION("GOOGLETRANSLATE(C10365, ""en"", ""fa"")
"),"چگونه می‌توانم از تقسیم‌بندی مشتری و هدف‌گیری در تبلیغات Etsy برای ارائه تجربیات تبلیغاتی شخصی‌سازی‌شده که در گروه‌های مختلف مشتریان طنین‌انداز است، استفاده کنم؟")</f>
        <v>چگونه می‌توانم از تقسیم‌بندی مشتری و هدف‌گیری در تبلیغات Etsy برای ارائه تجربیات تبلیغاتی شخصی‌سازی‌شده که در گروه‌های مختلف مشتریان طنین‌انداز است، استفاده کنم؟</v>
      </c>
      <c r="H10365" s="1"/>
      <c r="I10365" s="1"/>
      <c r="J10365" s="1"/>
      <c r="K10365" s="1"/>
      <c r="L10365" s="1"/>
      <c r="M10365" s="1"/>
      <c r="N10365" s="1"/>
      <c r="O10365" s="1"/>
      <c r="P10365" s="1"/>
      <c r="Q10365" s="1"/>
      <c r="R10365" s="1"/>
      <c r="S10365" s="1"/>
      <c r="T10365" s="1"/>
      <c r="U10365" s="1"/>
      <c r="V10365" s="1"/>
      <c r="W10365" s="1"/>
      <c r="X10365" s="1"/>
      <c r="Y10365" s="1"/>
      <c r="Z10365" s="1"/>
      <c r="AA10365" s="1"/>
      <c r="AB10365" s="1"/>
    </row>
    <row r="10366" ht="50.25" customHeight="1">
      <c r="A10366" s="12">
        <v>10362.0</v>
      </c>
      <c r="B10366" s="13" t="s">
        <v>9604</v>
      </c>
      <c r="C10366" s="14" t="s">
        <v>10393</v>
      </c>
      <c r="D10366" s="1"/>
      <c r="E10366" s="1"/>
      <c r="F10366" s="1" t="str">
        <f>IFERROR(__xludf.DUMMYFUNCTION("GOOGLETRANSLATE(B10366, ""en"", ""fa"")
"),"موفقیت Etsy")</f>
        <v>موفقیت Etsy</v>
      </c>
      <c r="G10366" s="1" t="str">
        <f>IFERROR(__xludf.DUMMYFUNCTION("GOOGLETRANSLATE(C10366, ""en"", ""fa"")
"),"ملاحظات برای گنجاندن کلمات کلیدی فصلی و موضوعات پرطرفدار در تبلیغات Etsy من برای هماهنگی با علایق فعلی بازار و افزایش ارتباط تبلیغات چیست؟")</f>
        <v>ملاحظات برای گنجاندن کلمات کلیدی فصلی و موضوعات پرطرفدار در تبلیغات Etsy من برای هماهنگی با علایق فعلی بازار و افزایش ارتباط تبلیغات چیست؟</v>
      </c>
      <c r="H10366" s="1"/>
      <c r="I10366" s="1"/>
      <c r="J10366" s="1"/>
      <c r="K10366" s="1"/>
      <c r="L10366" s="1"/>
      <c r="M10366" s="1"/>
      <c r="N10366" s="1"/>
      <c r="O10366" s="1"/>
      <c r="P10366" s="1"/>
      <c r="Q10366" s="1"/>
      <c r="R10366" s="1"/>
      <c r="S10366" s="1"/>
      <c r="T10366" s="1"/>
      <c r="U10366" s="1"/>
      <c r="V10366" s="1"/>
      <c r="W10366" s="1"/>
      <c r="X10366" s="1"/>
      <c r="Y10366" s="1"/>
      <c r="Z10366" s="1"/>
      <c r="AA10366" s="1"/>
      <c r="AB10366" s="1"/>
    </row>
    <row r="10367" ht="50.25" customHeight="1">
      <c r="A10367" s="12">
        <v>10363.0</v>
      </c>
      <c r="B10367" s="13" t="s">
        <v>9604</v>
      </c>
      <c r="C10367" s="14" t="s">
        <v>10394</v>
      </c>
      <c r="D10367" s="1"/>
      <c r="E10367" s="1"/>
      <c r="F10367" s="1" t="str">
        <f>IFERROR(__xludf.DUMMYFUNCTION("GOOGLETRANSLATE(B10367, ""en"", ""fa"")
"),"موفقیت Etsy")</f>
        <v>موفقیت Etsy</v>
      </c>
      <c r="G10367" s="1" t="str">
        <f>IFERROR(__xludf.DUMMYFUNCTION("GOOGLETRANSLATE(C10367, ""en"", ""fa"")
"),"چگونه می توانم از افزونه های تبلیغاتی و ویژگی های اضافی موجود در Etsy Ads برای افزایش دید و جذابیت کمپین های تبلیغاتی خود استفاده کنم؟")</f>
        <v>چگونه می توانم از افزونه های تبلیغاتی و ویژگی های اضافی موجود در Etsy Ads برای افزایش دید و جذابیت کمپین های تبلیغاتی خود استفاده کنم؟</v>
      </c>
      <c r="H10367" s="1"/>
      <c r="I10367" s="1"/>
      <c r="J10367" s="1"/>
      <c r="K10367" s="1"/>
      <c r="L10367" s="1"/>
      <c r="M10367" s="1"/>
      <c r="N10367" s="1"/>
      <c r="O10367" s="1"/>
      <c r="P10367" s="1"/>
      <c r="Q10367" s="1"/>
      <c r="R10367" s="1"/>
      <c r="S10367" s="1"/>
      <c r="T10367" s="1"/>
      <c r="U10367" s="1"/>
      <c r="V10367" s="1"/>
      <c r="W10367" s="1"/>
      <c r="X10367" s="1"/>
      <c r="Y10367" s="1"/>
      <c r="Z10367" s="1"/>
      <c r="AA10367" s="1"/>
      <c r="AB10367" s="1"/>
    </row>
    <row r="10368" ht="50.25" customHeight="1">
      <c r="A10368" s="12">
        <v>10364.0</v>
      </c>
      <c r="B10368" s="13" t="s">
        <v>9604</v>
      </c>
      <c r="C10368" s="14" t="s">
        <v>10395</v>
      </c>
      <c r="D10368" s="1"/>
      <c r="E10368" s="1"/>
      <c r="F10368" s="1" t="str">
        <f>IFERROR(__xludf.DUMMYFUNCTION("GOOGLETRANSLATE(B10368, ""en"", ""fa"")
"),"موفقیت Etsy")</f>
        <v>موفقیت Etsy</v>
      </c>
      <c r="G10368" s="1" t="str">
        <f>IFERROR(__xludf.DUMMYFUNCTION("GOOGLETRANSLATE(C10368, ""en"", ""fa"")
"),"استراتژی‌ها برای بهینه‌سازی قیمت و تخفیف‌های محصولات فروشگاه Etsy من برای هماهنگی با کمپین‌های تبلیغات Etsy من و به حداکثر رساندن اثربخشی تبلیغات چیست؟")</f>
        <v>استراتژی‌ها برای بهینه‌سازی قیمت و تخفیف‌های محصولات فروشگاه Etsy من برای هماهنگی با کمپین‌های تبلیغات Etsy من و به حداکثر رساندن اثربخشی تبلیغات چیست؟</v>
      </c>
      <c r="H10368" s="1"/>
      <c r="I10368" s="1"/>
      <c r="J10368" s="1"/>
      <c r="K10368" s="1"/>
      <c r="L10368" s="1"/>
      <c r="M10368" s="1"/>
      <c r="N10368" s="1"/>
      <c r="O10368" s="1"/>
      <c r="P10368" s="1"/>
      <c r="Q10368" s="1"/>
      <c r="R10368" s="1"/>
      <c r="S10368" s="1"/>
      <c r="T10368" s="1"/>
      <c r="U10368" s="1"/>
      <c r="V10368" s="1"/>
      <c r="W10368" s="1"/>
      <c r="X10368" s="1"/>
      <c r="Y10368" s="1"/>
      <c r="Z10368" s="1"/>
      <c r="AA10368" s="1"/>
      <c r="AB10368" s="1"/>
    </row>
    <row r="10369" ht="50.25" customHeight="1">
      <c r="A10369" s="12">
        <v>10365.0</v>
      </c>
      <c r="B10369" s="13" t="s">
        <v>9604</v>
      </c>
      <c r="C10369" s="14" t="s">
        <v>10396</v>
      </c>
      <c r="D10369" s="1"/>
      <c r="E10369" s="1"/>
      <c r="F10369" s="1" t="str">
        <f>IFERROR(__xludf.DUMMYFUNCTION("GOOGLETRANSLATE(B10369, ""en"", ""fa"")
"),"موفقیت Etsy")</f>
        <v>موفقیت Etsy</v>
      </c>
      <c r="G10369" s="1" t="str">
        <f>IFERROR(__xludf.DUMMYFUNCTION("GOOGLETRANSLATE(C10369, ""en"", ""fa"")
"),"چگونه می توانم از توصیفات مشتری یا محتوای تولید شده توسط کاربر در تبلیغات Etsy خود برای ایجاد اثبات اجتماعی و افزایش اعتماد در بین مشتریان بالقوه استفاده کنم؟")</f>
        <v>چگونه می توانم از توصیفات مشتری یا محتوای تولید شده توسط کاربر در تبلیغات Etsy خود برای ایجاد اثبات اجتماعی و افزایش اعتماد در بین مشتریان بالقوه استفاده کنم؟</v>
      </c>
      <c r="H10369" s="1"/>
      <c r="I10369" s="1"/>
      <c r="J10369" s="1"/>
      <c r="K10369" s="1"/>
      <c r="L10369" s="1"/>
      <c r="M10369" s="1"/>
      <c r="N10369" s="1"/>
      <c r="O10369" s="1"/>
      <c r="P10369" s="1"/>
      <c r="Q10369" s="1"/>
      <c r="R10369" s="1"/>
      <c r="S10369" s="1"/>
      <c r="T10369" s="1"/>
      <c r="U10369" s="1"/>
      <c r="V10369" s="1"/>
      <c r="W10369" s="1"/>
      <c r="X10369" s="1"/>
      <c r="Y10369" s="1"/>
      <c r="Z10369" s="1"/>
      <c r="AA10369" s="1"/>
      <c r="AB10369" s="1"/>
    </row>
    <row r="10370" ht="50.25" customHeight="1">
      <c r="A10370" s="12">
        <v>10366.0</v>
      </c>
      <c r="B10370" s="13" t="s">
        <v>9604</v>
      </c>
      <c r="C10370" s="14" t="s">
        <v>10397</v>
      </c>
      <c r="D10370" s="1"/>
      <c r="E10370" s="1"/>
      <c r="F10370" s="1" t="str">
        <f>IFERROR(__xludf.DUMMYFUNCTION("GOOGLETRANSLATE(B10370, ""en"", ""fa"")
"),"موفقیت Etsy")</f>
        <v>موفقیت Etsy</v>
      </c>
      <c r="G10370" s="1" t="str">
        <f>IFERROR(__xludf.DUMMYFUNCTION("GOOGLETRANSLATE(C10370, ""en"", ""fa"")
"),"ملاحظات برای نظارت و تنظیم کمپین های تبلیغات Etsy در فصل های اوج خرید یا دوره های افزایش رقابت چیست؟")</f>
        <v>ملاحظات برای نظارت و تنظیم کمپین های تبلیغات Etsy در فصل های اوج خرید یا دوره های افزایش رقابت چیست؟</v>
      </c>
      <c r="H10370" s="1"/>
      <c r="I10370" s="1"/>
      <c r="J10370" s="1"/>
      <c r="K10370" s="1"/>
      <c r="L10370" s="1"/>
      <c r="M10370" s="1"/>
      <c r="N10370" s="1"/>
      <c r="O10370" s="1"/>
      <c r="P10370" s="1"/>
      <c r="Q10370" s="1"/>
      <c r="R10370" s="1"/>
      <c r="S10370" s="1"/>
      <c r="T10370" s="1"/>
      <c r="U10370" s="1"/>
      <c r="V10370" s="1"/>
      <c r="W10370" s="1"/>
      <c r="X10370" s="1"/>
      <c r="Y10370" s="1"/>
      <c r="Z10370" s="1"/>
      <c r="AA10370" s="1"/>
      <c r="AB10370" s="1"/>
    </row>
    <row r="10371" ht="50.25" customHeight="1">
      <c r="A10371" s="12">
        <v>10367.0</v>
      </c>
      <c r="B10371" s="13" t="s">
        <v>9604</v>
      </c>
      <c r="C10371" s="14" t="s">
        <v>10398</v>
      </c>
      <c r="D10371" s="1"/>
      <c r="E10371" s="1"/>
      <c r="F10371" s="1" t="str">
        <f>IFERROR(__xludf.DUMMYFUNCTION("GOOGLETRANSLATE(B10371, ""en"", ""fa"")
"),"موفقیت Etsy")</f>
        <v>موفقیت Etsy</v>
      </c>
      <c r="G10371" s="1" t="str">
        <f>IFERROR(__xludf.DUMMYFUNCTION("GOOGLETRANSLATE(C10371, ""en"", ""fa"")
"),"چگونه می توانم فرصت هایی را برای تبلیغ متقابل لیست های Etsy خود از طریق پلتفرم های تبلیغاتی خارجی یا کانال های رسانه های اجتماعی در ارتباط با تبلیغات Etsy کشف کنم؟")</f>
        <v>چگونه می توانم فرصت هایی را برای تبلیغ متقابل لیست های Etsy خود از طریق پلتفرم های تبلیغاتی خارجی یا کانال های رسانه های اجتماعی در ارتباط با تبلیغات Etsy کشف کنم؟</v>
      </c>
      <c r="H10371" s="1"/>
      <c r="I10371" s="1"/>
      <c r="J10371" s="1"/>
      <c r="K10371" s="1"/>
      <c r="L10371" s="1"/>
      <c r="M10371" s="1"/>
      <c r="N10371" s="1"/>
      <c r="O10371" s="1"/>
      <c r="P10371" s="1"/>
      <c r="Q10371" s="1"/>
      <c r="R10371" s="1"/>
      <c r="S10371" s="1"/>
      <c r="T10371" s="1"/>
      <c r="U10371" s="1"/>
      <c r="V10371" s="1"/>
      <c r="W10371" s="1"/>
      <c r="X10371" s="1"/>
      <c r="Y10371" s="1"/>
      <c r="Z10371" s="1"/>
      <c r="AA10371" s="1"/>
      <c r="AB10371" s="1"/>
    </row>
    <row r="10372" ht="50.25" customHeight="1">
      <c r="A10372" s="12">
        <v>10368.0</v>
      </c>
      <c r="B10372" s="13" t="s">
        <v>9604</v>
      </c>
      <c r="C10372" s="14" t="s">
        <v>10399</v>
      </c>
      <c r="D10372" s="1"/>
      <c r="E10372" s="1"/>
      <c r="F10372" s="1" t="str">
        <f>IFERROR(__xludf.DUMMYFUNCTION("GOOGLETRANSLATE(B10372, ""en"", ""fa"")
"),"موفقیت Etsy")</f>
        <v>موفقیت Etsy</v>
      </c>
      <c r="G10372" s="1" t="str">
        <f>IFERROR(__xludf.DUMMYFUNCTION("GOOGLETRANSLATE(C10372, ""en"", ""fa"")
"),"چه استراتژی هایی برای ایجاد تماس برای اقدام قانع کننده (CTA) در تبلیغات Etsy من وجود دارد که مشتریان را وادار به کلیک کردن و خرید می کند؟")</f>
        <v>چه استراتژی هایی برای ایجاد تماس برای اقدام قانع کننده (CTA) در تبلیغات Etsy من وجود دارد که مشتریان را وادار به کلیک کردن و خرید می کند؟</v>
      </c>
      <c r="H10372" s="1"/>
      <c r="I10372" s="1"/>
      <c r="J10372" s="1"/>
      <c r="K10372" s="1"/>
      <c r="L10372" s="1"/>
      <c r="M10372" s="1"/>
      <c r="N10372" s="1"/>
      <c r="O10372" s="1"/>
      <c r="P10372" s="1"/>
      <c r="Q10372" s="1"/>
      <c r="R10372" s="1"/>
      <c r="S10372" s="1"/>
      <c r="T10372" s="1"/>
      <c r="U10372" s="1"/>
      <c r="V10372" s="1"/>
      <c r="W10372" s="1"/>
      <c r="X10372" s="1"/>
      <c r="Y10372" s="1"/>
      <c r="Z10372" s="1"/>
      <c r="AA10372" s="1"/>
      <c r="AB10372" s="1"/>
    </row>
    <row r="10373" ht="50.25" customHeight="1">
      <c r="A10373" s="12">
        <v>10369.0</v>
      </c>
      <c r="B10373" s="13" t="s">
        <v>9604</v>
      </c>
      <c r="C10373" s="14" t="s">
        <v>10400</v>
      </c>
      <c r="D10373" s="1"/>
      <c r="E10373" s="1"/>
      <c r="F10373" s="1" t="str">
        <f>IFERROR(__xludf.DUMMYFUNCTION("GOOGLETRANSLATE(B10373, ""en"", ""fa"")
"),"موفقیت Etsy")</f>
        <v>موفقیت Etsy</v>
      </c>
      <c r="G10373" s="1" t="str">
        <f>IFERROR(__xludf.DUMMYFUNCTION("GOOGLETRANSLATE(C10373, ""en"", ""fa"")
"),"چگونه می توانم از قدرت تبلیغات ویدیویی در تبلیغات Etsy برای ایجاد تجربیات تبلیغاتی جذاب و تعاملی استفاده کنم که باعث ایجاد تبدیل می شود؟")</f>
        <v>چگونه می توانم از قدرت تبلیغات ویدیویی در تبلیغات Etsy برای ایجاد تجربیات تبلیغاتی جذاب و تعاملی استفاده کنم که باعث ایجاد تبدیل می شود؟</v>
      </c>
      <c r="H10373" s="1"/>
      <c r="I10373" s="1"/>
      <c r="J10373" s="1"/>
      <c r="K10373" s="1"/>
      <c r="L10373" s="1"/>
      <c r="M10373" s="1"/>
      <c r="N10373" s="1"/>
      <c r="O10373" s="1"/>
      <c r="P10373" s="1"/>
      <c r="Q10373" s="1"/>
      <c r="R10373" s="1"/>
      <c r="S10373" s="1"/>
      <c r="T10373" s="1"/>
      <c r="U10373" s="1"/>
      <c r="V10373" s="1"/>
      <c r="W10373" s="1"/>
      <c r="X10373" s="1"/>
      <c r="Y10373" s="1"/>
      <c r="Z10373" s="1"/>
      <c r="AA10373" s="1"/>
      <c r="AB10373" s="1"/>
    </row>
    <row r="10374" ht="50.25" customHeight="1">
      <c r="A10374" s="12">
        <v>10370.0</v>
      </c>
      <c r="B10374" s="13" t="s">
        <v>9604</v>
      </c>
      <c r="C10374" s="14" t="s">
        <v>10401</v>
      </c>
      <c r="D10374" s="1"/>
      <c r="E10374" s="1"/>
      <c r="F10374" s="1" t="str">
        <f>IFERROR(__xludf.DUMMYFUNCTION("GOOGLETRANSLATE(B10374, ""en"", ""fa"")
"),"موفقیت Etsy")</f>
        <v>موفقیت Etsy</v>
      </c>
      <c r="G10374" s="1" t="str">
        <f>IFERROR(__xludf.DUMMYFUNCTION("GOOGLETRANSLATE(C10374, ""en"", ""fa"")
"),"ملاحظات برای هدف قرار دادن و بهینه سازی تبلیغات Etsy برای مکان های جغرافیایی خاص یا بازارهای بین المللی برای گسترش پایگاه مشتری من چیست؟")</f>
        <v>ملاحظات برای هدف قرار دادن و بهینه سازی تبلیغات Etsy برای مکان های جغرافیایی خاص یا بازارهای بین المللی برای گسترش پایگاه مشتری من چیست؟</v>
      </c>
      <c r="H10374" s="1"/>
      <c r="I10374" s="1"/>
      <c r="J10374" s="1"/>
      <c r="K10374" s="1"/>
      <c r="L10374" s="1"/>
      <c r="M10374" s="1"/>
      <c r="N10374" s="1"/>
      <c r="O10374" s="1"/>
      <c r="P10374" s="1"/>
      <c r="Q10374" s="1"/>
      <c r="R10374" s="1"/>
      <c r="S10374" s="1"/>
      <c r="T10374" s="1"/>
      <c r="U10374" s="1"/>
      <c r="V10374" s="1"/>
      <c r="W10374" s="1"/>
      <c r="X10374" s="1"/>
      <c r="Y10374" s="1"/>
      <c r="Z10374" s="1"/>
      <c r="AA10374" s="1"/>
      <c r="AB10374" s="1"/>
    </row>
    <row r="10375" ht="50.25" customHeight="1">
      <c r="A10375" s="12">
        <v>10371.0</v>
      </c>
      <c r="B10375" s="13" t="s">
        <v>9604</v>
      </c>
      <c r="C10375" s="14" t="s">
        <v>10402</v>
      </c>
      <c r="D10375" s="1"/>
      <c r="E10375" s="1"/>
      <c r="F10375" s="1" t="str">
        <f>IFERROR(__xludf.DUMMYFUNCTION("GOOGLETRANSLATE(B10375, ""en"", ""fa"")
"),"موفقیت Etsy")</f>
        <v>موفقیت Etsy</v>
      </c>
      <c r="G10375" s="1" t="str">
        <f>IFERROR(__xludf.DUMMYFUNCTION("GOOGLETRANSLATE(C10375, ""en"", ""fa"")
"),"چگونه می توانم از تجزیه و تحلیل داده ها و معیارهای عملکرد در تبلیغات Etsy برای شناسایی لیست ها یا کمپین های تبلیغاتی با عملکرد ضعیف و انجام تنظیمات لازم استفاده کنم؟")</f>
        <v>چگونه می توانم از تجزیه و تحلیل داده ها و معیارهای عملکرد در تبلیغات Etsy برای شناسایی لیست ها یا کمپین های تبلیغاتی با عملکرد ضعیف و انجام تنظیمات لازم استفاده کنم؟</v>
      </c>
      <c r="H10375" s="1"/>
      <c r="I10375" s="1"/>
      <c r="J10375" s="1"/>
      <c r="K10375" s="1"/>
      <c r="L10375" s="1"/>
      <c r="M10375" s="1"/>
      <c r="N10375" s="1"/>
      <c r="O10375" s="1"/>
      <c r="P10375" s="1"/>
      <c r="Q10375" s="1"/>
      <c r="R10375" s="1"/>
      <c r="S10375" s="1"/>
      <c r="T10375" s="1"/>
      <c r="U10375" s="1"/>
      <c r="V10375" s="1"/>
      <c r="W10375" s="1"/>
      <c r="X10375" s="1"/>
      <c r="Y10375" s="1"/>
      <c r="Z10375" s="1"/>
      <c r="AA10375" s="1"/>
      <c r="AB10375" s="1"/>
    </row>
    <row r="10376" ht="50.25" customHeight="1">
      <c r="A10376" s="12">
        <v>10372.0</v>
      </c>
      <c r="B10376" s="13" t="s">
        <v>9604</v>
      </c>
      <c r="C10376" s="14" t="s">
        <v>10403</v>
      </c>
      <c r="D10376" s="1"/>
      <c r="E10376" s="1"/>
      <c r="F10376" s="1" t="str">
        <f>IFERROR(__xludf.DUMMYFUNCTION("GOOGLETRANSLATE(B10376, ""en"", ""fa"")
"),"موفقیت Etsy")</f>
        <v>موفقیت Etsy</v>
      </c>
      <c r="G10376" s="1" t="str">
        <f>IFERROR(__xludf.DUMMYFUNCTION("GOOGLETRANSLATE(C10376, ""en"", ""fa"")
"),"راهبردهای استفاده از پیشنهادات تبلیغاتی، مانند ارسال رایگان یا تخفیف، در تبلیغات Etsy من برای ایجاد انگیزه در مشتریان و افزایش تبدیل چیست؟")</f>
        <v>راهبردهای استفاده از پیشنهادات تبلیغاتی، مانند ارسال رایگان یا تخفیف، در تبلیغات Etsy من برای ایجاد انگیزه در مشتریان و افزایش تبدیل چیست؟</v>
      </c>
      <c r="H10376" s="1"/>
      <c r="I10376" s="1"/>
      <c r="J10376" s="1"/>
      <c r="K10376" s="1"/>
      <c r="L10376" s="1"/>
      <c r="M10376" s="1"/>
      <c r="N10376" s="1"/>
      <c r="O10376" s="1"/>
      <c r="P10376" s="1"/>
      <c r="Q10376" s="1"/>
      <c r="R10376" s="1"/>
      <c r="S10376" s="1"/>
      <c r="T10376" s="1"/>
      <c r="U10376" s="1"/>
      <c r="V10376" s="1"/>
      <c r="W10376" s="1"/>
      <c r="X10376" s="1"/>
      <c r="Y10376" s="1"/>
      <c r="Z10376" s="1"/>
      <c r="AA10376" s="1"/>
      <c r="AB10376" s="1"/>
    </row>
    <row r="10377" ht="50.25" customHeight="1">
      <c r="A10377" s="12">
        <v>10373.0</v>
      </c>
      <c r="B10377" s="13" t="s">
        <v>9604</v>
      </c>
      <c r="C10377" s="14" t="s">
        <v>10404</v>
      </c>
      <c r="D10377" s="1"/>
      <c r="E10377" s="1"/>
      <c r="F10377" s="1" t="str">
        <f>IFERROR(__xludf.DUMMYFUNCTION("GOOGLETRANSLATE(B10377, ""en"", ""fa"")
"),"موفقیت Etsy")</f>
        <v>موفقیت Etsy</v>
      </c>
      <c r="G10377" s="1" t="str">
        <f>IFERROR(__xludf.DUMMYFUNCTION("GOOGLETRANSLATE(C10377, ""en"", ""fa"")
"),"چگونه می توانم از قدرت همکاری یا مشارکت اینفلوئنسرها در تبلیغات Etsy خود استفاده کنم تا از مخاطبان آنها استفاده کنم و قرار گرفتن در معرض برند را افزایش دهم؟")</f>
        <v>چگونه می توانم از قدرت همکاری یا مشارکت اینفلوئنسرها در تبلیغات Etsy خود استفاده کنم تا از مخاطبان آنها استفاده کنم و قرار گرفتن در معرض برند را افزایش دهم؟</v>
      </c>
      <c r="H10377" s="1"/>
      <c r="I10377" s="1"/>
      <c r="J10377" s="1"/>
      <c r="K10377" s="1"/>
      <c r="L10377" s="1"/>
      <c r="M10377" s="1"/>
      <c r="N10377" s="1"/>
      <c r="O10377" s="1"/>
      <c r="P10377" s="1"/>
      <c r="Q10377" s="1"/>
      <c r="R10377" s="1"/>
      <c r="S10377" s="1"/>
      <c r="T10377" s="1"/>
      <c r="U10377" s="1"/>
      <c r="V10377" s="1"/>
      <c r="W10377" s="1"/>
      <c r="X10377" s="1"/>
      <c r="Y10377" s="1"/>
      <c r="Z10377" s="1"/>
      <c r="AA10377" s="1"/>
      <c r="AB10377" s="1"/>
    </row>
    <row r="10378" ht="50.25" customHeight="1">
      <c r="A10378" s="12">
        <v>10374.0</v>
      </c>
      <c r="B10378" s="13" t="s">
        <v>9604</v>
      </c>
      <c r="C10378" s="14" t="s">
        <v>10405</v>
      </c>
      <c r="D10378" s="1"/>
      <c r="E10378" s="1"/>
      <c r="F10378" s="1" t="str">
        <f>IFERROR(__xludf.DUMMYFUNCTION("GOOGLETRANSLATE(B10378, ""en"", ""fa"")
"),"موفقیت Etsy")</f>
        <v>موفقیت Etsy</v>
      </c>
      <c r="G10378" s="1" t="str">
        <f>IFERROR(__xludf.DUMMYFUNCTION("GOOGLETRANSLATE(C10378, ""en"", ""fa"")
"),"ملاحظات برای همسویی تبلیغات Etsy من با استراتژی کلی بازاریابی و برندسازی من برای حفظ ثبات و تقویت هویت برند من چیست؟")</f>
        <v>ملاحظات برای همسویی تبلیغات Etsy من با استراتژی کلی بازاریابی و برندسازی من برای حفظ ثبات و تقویت هویت برند من چیست؟</v>
      </c>
      <c r="H10378" s="1"/>
      <c r="I10378" s="1"/>
      <c r="J10378" s="1"/>
      <c r="K10378" s="1"/>
      <c r="L10378" s="1"/>
      <c r="M10378" s="1"/>
      <c r="N10378" s="1"/>
      <c r="O10378" s="1"/>
      <c r="P10378" s="1"/>
      <c r="Q10378" s="1"/>
      <c r="R10378" s="1"/>
      <c r="S10378" s="1"/>
      <c r="T10378" s="1"/>
      <c r="U10378" s="1"/>
      <c r="V10378" s="1"/>
      <c r="W10378" s="1"/>
      <c r="X10378" s="1"/>
      <c r="Y10378" s="1"/>
      <c r="Z10378" s="1"/>
      <c r="AA10378" s="1"/>
      <c r="AB10378" s="1"/>
    </row>
    <row r="10379" ht="50.25" customHeight="1">
      <c r="A10379" s="12">
        <v>10375.0</v>
      </c>
      <c r="B10379" s="13" t="s">
        <v>9604</v>
      </c>
      <c r="C10379" s="14" t="s">
        <v>10406</v>
      </c>
      <c r="D10379" s="1"/>
      <c r="E10379" s="1"/>
      <c r="F10379" s="1" t="str">
        <f>IFERROR(__xludf.DUMMYFUNCTION("GOOGLETRANSLATE(B10379, ""en"", ""fa"")
"),"موفقیت Etsy")</f>
        <v>موفقیت Etsy</v>
      </c>
      <c r="G10379" s="1" t="str">
        <f>IFERROR(__xludf.DUMMYFUNCTION("GOOGLETRANSLATE(C10379, ""en"", ""fa"")
"),"چگونه می توانم فرصت هایی را برای بازاریابی مجدد و هدف قرار دادن مشتریانی که قبلاً با فروشگاه Etsy من از طریق سایر کانال ها یا پلتفرم های آنلاین تعامل داشته اند، کشف کنم؟")</f>
        <v>چگونه می توانم فرصت هایی را برای بازاریابی مجدد و هدف قرار دادن مشتریانی که قبلاً با فروشگاه Etsy من از طریق سایر کانال ها یا پلتفرم های آنلاین تعامل داشته اند، کشف کنم؟</v>
      </c>
      <c r="H10379" s="1"/>
      <c r="I10379" s="1"/>
      <c r="J10379" s="1"/>
      <c r="K10379" s="1"/>
      <c r="L10379" s="1"/>
      <c r="M10379" s="1"/>
      <c r="N10379" s="1"/>
      <c r="O10379" s="1"/>
      <c r="P10379" s="1"/>
      <c r="Q10379" s="1"/>
      <c r="R10379" s="1"/>
      <c r="S10379" s="1"/>
      <c r="T10379" s="1"/>
      <c r="U10379" s="1"/>
      <c r="V10379" s="1"/>
      <c r="W10379" s="1"/>
      <c r="X10379" s="1"/>
      <c r="Y10379" s="1"/>
      <c r="Z10379" s="1"/>
      <c r="AA10379" s="1"/>
      <c r="AB10379" s="1"/>
    </row>
    <row r="10380" ht="50.25" customHeight="1">
      <c r="A10380" s="12">
        <v>10376.0</v>
      </c>
      <c r="B10380" s="13" t="s">
        <v>9604</v>
      </c>
      <c r="C10380" s="14" t="s">
        <v>10407</v>
      </c>
      <c r="D10380" s="1"/>
      <c r="E10380" s="1"/>
      <c r="F10380" s="1" t="str">
        <f>IFERROR(__xludf.DUMMYFUNCTION("GOOGLETRANSLATE(B10380, ""en"", ""fa"")
"),"موفقیت Etsy")</f>
        <v>موفقیت Etsy</v>
      </c>
      <c r="G10380" s="1" t="str">
        <f>IFERROR(__xludf.DUMMYFUNCTION("GOOGLETRANSLATE(C10380, ""en"", ""fa"")
"),"استراتژی‌های بهینه‌سازی تجربه تلفن همراه تبلیغات Etsy من برای پاسخگویی به تعداد فزاینده خریدارانی که با استفاده از دستگاه‌های تلفن همراه مرور و خرید می‌کنند چیست؟")</f>
        <v>استراتژی‌های بهینه‌سازی تجربه تلفن همراه تبلیغات Etsy من برای پاسخگویی به تعداد فزاینده خریدارانی که با استفاده از دستگاه‌های تلفن همراه مرور و خرید می‌کنند چیست؟</v>
      </c>
      <c r="H10380" s="1"/>
      <c r="I10380" s="1"/>
      <c r="J10380" s="1"/>
      <c r="K10380" s="1"/>
      <c r="L10380" s="1"/>
      <c r="M10380" s="1"/>
      <c r="N10380" s="1"/>
      <c r="O10380" s="1"/>
      <c r="P10380" s="1"/>
      <c r="Q10380" s="1"/>
      <c r="R10380" s="1"/>
      <c r="S10380" s="1"/>
      <c r="T10380" s="1"/>
      <c r="U10380" s="1"/>
      <c r="V10380" s="1"/>
      <c r="W10380" s="1"/>
      <c r="X10380" s="1"/>
      <c r="Y10380" s="1"/>
      <c r="Z10380" s="1"/>
      <c r="AA10380" s="1"/>
      <c r="AB10380" s="1"/>
    </row>
    <row r="10381" ht="50.25" customHeight="1">
      <c r="A10381" s="12">
        <v>10377.0</v>
      </c>
      <c r="B10381" s="13" t="s">
        <v>9604</v>
      </c>
      <c r="C10381" s="14" t="s">
        <v>10408</v>
      </c>
      <c r="D10381" s="1"/>
      <c r="E10381" s="1"/>
      <c r="F10381" s="1" t="str">
        <f>IFERROR(__xludf.DUMMYFUNCTION("GOOGLETRANSLATE(B10381, ""en"", ""fa"")
"),"موفقیت Etsy")</f>
        <v>موفقیت Etsy</v>
      </c>
      <c r="G10381" s="1" t="str">
        <f>IFERROR(__xludf.DUMMYFUNCTION("GOOGLETRANSLATE(C10381, ""en"", ""fa"")
"),"چگونه می توانم از داده ها و بینش های Etsy Ads برای شناسایی و استفاده از روندها و فرصت های بازار در حال ظهور استفاده کنم؟")</f>
        <v>چگونه می توانم از داده ها و بینش های Etsy Ads برای شناسایی و استفاده از روندها و فرصت های بازار در حال ظهور استفاده کنم؟</v>
      </c>
      <c r="H10381" s="1"/>
      <c r="I10381" s="1"/>
      <c r="J10381" s="1"/>
      <c r="K10381" s="1"/>
      <c r="L10381" s="1"/>
      <c r="M10381" s="1"/>
      <c r="N10381" s="1"/>
      <c r="O10381" s="1"/>
      <c r="P10381" s="1"/>
      <c r="Q10381" s="1"/>
      <c r="R10381" s="1"/>
      <c r="S10381" s="1"/>
      <c r="T10381" s="1"/>
      <c r="U10381" s="1"/>
      <c r="V10381" s="1"/>
      <c r="W10381" s="1"/>
      <c r="X10381" s="1"/>
      <c r="Y10381" s="1"/>
      <c r="Z10381" s="1"/>
      <c r="AA10381" s="1"/>
      <c r="AB10381" s="1"/>
    </row>
    <row r="10382" ht="50.25" customHeight="1">
      <c r="A10382" s="12">
        <v>10378.0</v>
      </c>
      <c r="B10382" s="13" t="s">
        <v>9604</v>
      </c>
      <c r="C10382" s="14" t="s">
        <v>10409</v>
      </c>
      <c r="D10382" s="1"/>
      <c r="E10382" s="1"/>
      <c r="F10382" s="1" t="str">
        <f>IFERROR(__xludf.DUMMYFUNCTION("GOOGLETRANSLATE(B10382, ""en"", ""fa"")
"),"موفقیت Etsy")</f>
        <v>موفقیت Etsy</v>
      </c>
      <c r="G10382" s="1" t="str">
        <f>IFERROR(__xludf.DUMMYFUNCTION("GOOGLETRANSLATE(C10382, ""en"", ""fa"")
"),"ملاحظات برای ایجاد تبلیغات جذاب و جذاب از نظر بصری در تبلیغات Etsy که توجه را به خود جلب می کند و از رقبا متمایز می شود چیست؟")</f>
        <v>ملاحظات برای ایجاد تبلیغات جذاب و جذاب از نظر بصری در تبلیغات Etsy که توجه را به خود جلب می کند و از رقبا متمایز می شود چیست؟</v>
      </c>
      <c r="H10382" s="1"/>
      <c r="I10382" s="1"/>
      <c r="J10382" s="1"/>
      <c r="K10382" s="1"/>
      <c r="L10382" s="1"/>
      <c r="M10382" s="1"/>
      <c r="N10382" s="1"/>
      <c r="O10382" s="1"/>
      <c r="P10382" s="1"/>
      <c r="Q10382" s="1"/>
      <c r="R10382" s="1"/>
      <c r="S10382" s="1"/>
      <c r="T10382" s="1"/>
      <c r="U10382" s="1"/>
      <c r="V10382" s="1"/>
      <c r="W10382" s="1"/>
      <c r="X10382" s="1"/>
      <c r="Y10382" s="1"/>
      <c r="Z10382" s="1"/>
      <c r="AA10382" s="1"/>
      <c r="AB10382" s="1"/>
    </row>
    <row r="10383" ht="50.25" customHeight="1">
      <c r="A10383" s="12">
        <v>10379.0</v>
      </c>
      <c r="B10383" s="13" t="s">
        <v>9604</v>
      </c>
      <c r="C10383" s="14" t="s">
        <v>10410</v>
      </c>
      <c r="D10383" s="1"/>
      <c r="E10383" s="1"/>
      <c r="F10383" s="1" t="str">
        <f>IFERROR(__xludf.DUMMYFUNCTION("GOOGLETRANSLATE(B10383, ""en"", ""fa"")
"),"موفقیت Etsy")</f>
        <v>موفقیت Etsy</v>
      </c>
      <c r="G10383" s="1" t="str">
        <f>IFERROR(__xludf.DUMMYFUNCTION("GOOGLETRANSLATE(C10383, ""en"", ""fa"")
"),"چگونه می توانم از داستان سرایی و جذابیت های احساسی در تبلیغات Etsy خود برای ایجاد ارتباط با مشتریان بالقوه و ایجاد تعامل استفاده کنم؟")</f>
        <v>چگونه می توانم از داستان سرایی و جذابیت های احساسی در تبلیغات Etsy خود برای ایجاد ارتباط با مشتریان بالقوه و ایجاد تعامل استفاده کنم؟</v>
      </c>
      <c r="H10383" s="1"/>
      <c r="I10383" s="1"/>
      <c r="J10383" s="1"/>
      <c r="K10383" s="1"/>
      <c r="L10383" s="1"/>
      <c r="M10383" s="1"/>
      <c r="N10383" s="1"/>
      <c r="O10383" s="1"/>
      <c r="P10383" s="1"/>
      <c r="Q10383" s="1"/>
      <c r="R10383" s="1"/>
      <c r="S10383" s="1"/>
      <c r="T10383" s="1"/>
      <c r="U10383" s="1"/>
      <c r="V10383" s="1"/>
      <c r="W10383" s="1"/>
      <c r="X10383" s="1"/>
      <c r="Y10383" s="1"/>
      <c r="Z10383" s="1"/>
      <c r="AA10383" s="1"/>
      <c r="AB10383" s="1"/>
    </row>
    <row r="10384" ht="50.25" customHeight="1">
      <c r="A10384" s="12">
        <v>10380.0</v>
      </c>
      <c r="B10384" s="13" t="s">
        <v>9604</v>
      </c>
      <c r="C10384" s="14" t="s">
        <v>10411</v>
      </c>
      <c r="D10384" s="1"/>
      <c r="E10384" s="1"/>
      <c r="F10384" s="1" t="str">
        <f>IFERROR(__xludf.DUMMYFUNCTION("GOOGLETRANSLATE(B10384, ""en"", ""fa"")
"),"موفقیت Etsy")</f>
        <v>موفقیت Etsy</v>
      </c>
      <c r="G10384" s="1" t="str">
        <f>IFERROR(__xludf.DUMMYFUNCTION("GOOGLETRANSLATE(C10384, ""en"", ""fa"")
"),"استراتژی‌های استفاده از تقسیم‌بندی مشتری و هدف‌گیری مجدد در تبلیغات Etsy برای ارائه تجربیات تبلیغاتی شخصی‌شده بر اساس تعاملات گذشته مشتریان چیست؟")</f>
        <v>استراتژی‌های استفاده از تقسیم‌بندی مشتری و هدف‌گیری مجدد در تبلیغات Etsy برای ارائه تجربیات تبلیغاتی شخصی‌شده بر اساس تعاملات گذشته مشتریان چیست؟</v>
      </c>
      <c r="H10384" s="1"/>
      <c r="I10384" s="1"/>
      <c r="J10384" s="1"/>
      <c r="K10384" s="1"/>
      <c r="L10384" s="1"/>
      <c r="M10384" s="1"/>
      <c r="N10384" s="1"/>
      <c r="O10384" s="1"/>
      <c r="P10384" s="1"/>
      <c r="Q10384" s="1"/>
      <c r="R10384" s="1"/>
      <c r="S10384" s="1"/>
      <c r="T10384" s="1"/>
      <c r="U10384" s="1"/>
      <c r="V10384" s="1"/>
      <c r="W10384" s="1"/>
      <c r="X10384" s="1"/>
      <c r="Y10384" s="1"/>
      <c r="Z10384" s="1"/>
      <c r="AA10384" s="1"/>
      <c r="AB10384" s="1"/>
    </row>
    <row r="10385" ht="50.25" customHeight="1">
      <c r="A10385" s="12">
        <v>10381.0</v>
      </c>
      <c r="B10385" s="13" t="s">
        <v>9604</v>
      </c>
      <c r="C10385" s="14" t="s">
        <v>10412</v>
      </c>
      <c r="D10385" s="1"/>
      <c r="E10385" s="1"/>
      <c r="F10385" s="1" t="str">
        <f>IFERROR(__xludf.DUMMYFUNCTION("GOOGLETRANSLATE(B10385, ""en"", ""fa"")
"),"موفقیت Etsy")</f>
        <v>موفقیت Etsy</v>
      </c>
      <c r="G10385" s="1" t="str">
        <f>IFERROR(__xludf.DUMMYFUNCTION("GOOGLETRANSLATE(C10385, ""en"", ""fa"")
"),"چگونه می‌توانم گزینه‌های یکپارچه‌سازی و اشتراک‌گذاری رسانه‌های اجتماعی را در تبلیغات Etsy خود بگنجانم تا مشتریان را تشویق به انتشار اخبار و تقویت دامنه کمپین‌هایم کنم؟")</f>
        <v>چگونه می‌توانم گزینه‌های یکپارچه‌سازی و اشتراک‌گذاری رسانه‌های اجتماعی را در تبلیغات Etsy خود بگنجانم تا مشتریان را تشویق به انتشار اخبار و تقویت دامنه کمپین‌هایم کنم؟</v>
      </c>
      <c r="H10385" s="1"/>
      <c r="I10385" s="1"/>
      <c r="J10385" s="1"/>
      <c r="K10385" s="1"/>
      <c r="L10385" s="1"/>
      <c r="M10385" s="1"/>
      <c r="N10385" s="1"/>
      <c r="O10385" s="1"/>
      <c r="P10385" s="1"/>
      <c r="Q10385" s="1"/>
      <c r="R10385" s="1"/>
      <c r="S10385" s="1"/>
      <c r="T10385" s="1"/>
      <c r="U10385" s="1"/>
      <c r="V10385" s="1"/>
      <c r="W10385" s="1"/>
      <c r="X10385" s="1"/>
      <c r="Y10385" s="1"/>
      <c r="Z10385" s="1"/>
      <c r="AA10385" s="1"/>
      <c r="AB10385" s="1"/>
    </row>
    <row r="10386" ht="50.25" customHeight="1">
      <c r="A10386" s="12">
        <v>10382.0</v>
      </c>
      <c r="B10386" s="13" t="s">
        <v>9604</v>
      </c>
      <c r="C10386" s="14" t="s">
        <v>10413</v>
      </c>
      <c r="D10386" s="1"/>
      <c r="E10386" s="1"/>
      <c r="F10386" s="1" t="str">
        <f>IFERROR(__xludf.DUMMYFUNCTION("GOOGLETRANSLATE(B10386, ""en"", ""fa"")
"),"موفقیت Etsy")</f>
        <v>موفقیت Etsy</v>
      </c>
      <c r="G10386" s="1" t="str">
        <f>IFERROR(__xludf.DUMMYFUNCTION("GOOGLETRANSLATE(C10386, ""en"", ""fa"")
"),"ملاحظات برای تعیین اهداف و انتظارات واقع بینانه برای کمپین های Etsy Ads و ردیابی شاخص های کلیدی عملکرد (KPI) برای اندازه گیری موفقیت چیست؟")</f>
        <v>ملاحظات برای تعیین اهداف و انتظارات واقع بینانه برای کمپین های Etsy Ads و ردیابی شاخص های کلیدی عملکرد (KPI) برای اندازه گیری موفقیت چیست؟</v>
      </c>
      <c r="H10386" s="1"/>
      <c r="I10386" s="1"/>
      <c r="J10386" s="1"/>
      <c r="K10386" s="1"/>
      <c r="L10386" s="1"/>
      <c r="M10386" s="1"/>
      <c r="N10386" s="1"/>
      <c r="O10386" s="1"/>
      <c r="P10386" s="1"/>
      <c r="Q10386" s="1"/>
      <c r="R10386" s="1"/>
      <c r="S10386" s="1"/>
      <c r="T10386" s="1"/>
      <c r="U10386" s="1"/>
      <c r="V10386" s="1"/>
      <c r="W10386" s="1"/>
      <c r="X10386" s="1"/>
      <c r="Y10386" s="1"/>
      <c r="Z10386" s="1"/>
      <c r="AA10386" s="1"/>
      <c r="AB10386" s="1"/>
    </row>
    <row r="10387" ht="50.25" customHeight="1">
      <c r="A10387" s="12">
        <v>10383.0</v>
      </c>
      <c r="B10387" s="13" t="s">
        <v>9604</v>
      </c>
      <c r="C10387" s="14" t="s">
        <v>10414</v>
      </c>
      <c r="D10387" s="1"/>
      <c r="E10387" s="1"/>
      <c r="F10387" s="1" t="str">
        <f>IFERROR(__xludf.DUMMYFUNCTION("GOOGLETRANSLATE(B10387, ""en"", ""fa"")
"),"موفقیت Etsy")</f>
        <v>موفقیت Etsy</v>
      </c>
      <c r="G10387" s="1" t="str">
        <f>IFERROR(__xludf.DUMMYFUNCTION("GOOGLETRANSLATE(C10387, ""en"", ""fa"")
"),"چگونه می توانم از داده های مشتری و سابقه خرید در تبلیغات Etsy برای ایجاد تجربیات تبلیغاتی سفارشی و توصیه محصولات مرتبط به مشتریان استفاده کنم؟")</f>
        <v>چگونه می توانم از داده های مشتری و سابقه خرید در تبلیغات Etsy برای ایجاد تجربیات تبلیغاتی سفارشی و توصیه محصولات مرتبط به مشتریان استفاده کنم؟</v>
      </c>
      <c r="H10387" s="1"/>
      <c r="I10387" s="1"/>
      <c r="J10387" s="1"/>
      <c r="K10387" s="1"/>
      <c r="L10387" s="1"/>
      <c r="M10387" s="1"/>
      <c r="N10387" s="1"/>
      <c r="O10387" s="1"/>
      <c r="P10387" s="1"/>
      <c r="Q10387" s="1"/>
      <c r="R10387" s="1"/>
      <c r="S10387" s="1"/>
      <c r="T10387" s="1"/>
      <c r="U10387" s="1"/>
      <c r="V10387" s="1"/>
      <c r="W10387" s="1"/>
      <c r="X10387" s="1"/>
      <c r="Y10387" s="1"/>
      <c r="Z10387" s="1"/>
      <c r="AA10387" s="1"/>
      <c r="AB10387" s="1"/>
    </row>
    <row r="10388" ht="50.25" customHeight="1">
      <c r="A10388" s="12">
        <v>10384.0</v>
      </c>
      <c r="B10388" s="13" t="s">
        <v>9604</v>
      </c>
      <c r="C10388" s="14" t="s">
        <v>10415</v>
      </c>
      <c r="D10388" s="1"/>
      <c r="E10388" s="1"/>
      <c r="F10388" s="1" t="str">
        <f>IFERROR(__xludf.DUMMYFUNCTION("GOOGLETRANSLATE(B10388, ""en"", ""fa"")
"),"موفقیت Etsy")</f>
        <v>موفقیت Etsy</v>
      </c>
      <c r="G10388" s="1" t="str">
        <f>IFERROR(__xludf.DUMMYFUNCTION("GOOGLETRANSLATE(C10388, ""en"", ""fa"")
"),"استراتژی‌هایی برای استفاده از زمان‌بندی تبلیغات و تنظیمات پیشنهادی در تبلیغات Etsy برای هدف‌یابی زمان‌های خاصی از روز یا روزهای هفته که مخاطبان هدف من فعال‌ترین هستند، چیست؟")</f>
        <v>استراتژی‌هایی برای استفاده از زمان‌بندی تبلیغات و تنظیمات پیشنهادی در تبلیغات Etsy برای هدف‌یابی زمان‌های خاصی از روز یا روزهای هفته که مخاطبان هدف من فعال‌ترین هستند، چیست؟</v>
      </c>
      <c r="H10388" s="1"/>
      <c r="I10388" s="1"/>
      <c r="J10388" s="1"/>
      <c r="K10388" s="1"/>
      <c r="L10388" s="1"/>
      <c r="M10388" s="1"/>
      <c r="N10388" s="1"/>
      <c r="O10388" s="1"/>
      <c r="P10388" s="1"/>
      <c r="Q10388" s="1"/>
      <c r="R10388" s="1"/>
      <c r="S10388" s="1"/>
      <c r="T10388" s="1"/>
      <c r="U10388" s="1"/>
      <c r="V10388" s="1"/>
      <c r="W10388" s="1"/>
      <c r="X10388" s="1"/>
      <c r="Y10388" s="1"/>
      <c r="Z10388" s="1"/>
      <c r="AA10388" s="1"/>
      <c r="AB10388" s="1"/>
    </row>
    <row r="10389" ht="50.25" customHeight="1">
      <c r="A10389" s="12">
        <v>10385.0</v>
      </c>
      <c r="B10389" s="13" t="s">
        <v>9604</v>
      </c>
      <c r="C10389" s="14" t="s">
        <v>10416</v>
      </c>
      <c r="D10389" s="1"/>
      <c r="E10389" s="1"/>
      <c r="F10389" s="1" t="str">
        <f>IFERROR(__xludf.DUMMYFUNCTION("GOOGLETRANSLATE(B10389, ""en"", ""fa"")
"),"موفقیت Etsy")</f>
        <v>موفقیت Etsy</v>
      </c>
      <c r="G10389" s="1" t="str">
        <f>IFERROR(__xludf.DUMMYFUNCTION("GOOGLETRANSLATE(C10389, ""en"", ""fa"")
"),"چگونه می‌توانم فرصت‌هایی را برای تبلیغات مشترک با سایر فروشندگان یا کسب‌وکارهای Etsy برای تقسیم هزینه‌ها و افزایش نمایش کمپین‌های تبلیغاتی خود کشف کنم؟")</f>
        <v>چگونه می‌توانم فرصت‌هایی را برای تبلیغات مشترک با سایر فروشندگان یا کسب‌وکارهای Etsy برای تقسیم هزینه‌ها و افزایش نمایش کمپین‌های تبلیغاتی خود کشف کنم؟</v>
      </c>
      <c r="H10389" s="1"/>
      <c r="I10389" s="1"/>
      <c r="J10389" s="1"/>
      <c r="K10389" s="1"/>
      <c r="L10389" s="1"/>
      <c r="M10389" s="1"/>
      <c r="N10389" s="1"/>
      <c r="O10389" s="1"/>
      <c r="P10389" s="1"/>
      <c r="Q10389" s="1"/>
      <c r="R10389" s="1"/>
      <c r="S10389" s="1"/>
      <c r="T10389" s="1"/>
      <c r="U10389" s="1"/>
      <c r="V10389" s="1"/>
      <c r="W10389" s="1"/>
      <c r="X10389" s="1"/>
      <c r="Y10389" s="1"/>
      <c r="Z10389" s="1"/>
      <c r="AA10389" s="1"/>
      <c r="AB10389" s="1"/>
    </row>
    <row r="10390" ht="50.25" customHeight="1">
      <c r="A10390" s="12">
        <v>10386.0</v>
      </c>
      <c r="B10390" s="13" t="s">
        <v>9604</v>
      </c>
      <c r="C10390" s="14" t="s">
        <v>10417</v>
      </c>
      <c r="D10390" s="1"/>
      <c r="E10390" s="1"/>
      <c r="F10390" s="1" t="str">
        <f>IFERROR(__xludf.DUMMYFUNCTION("GOOGLETRANSLATE(B10390, ""en"", ""fa"")
"),"موفقیت Etsy")</f>
        <v>موفقیت Etsy</v>
      </c>
      <c r="G10390" s="1" t="str">
        <f>IFERROR(__xludf.DUMMYFUNCTION("GOOGLETRANSLATE(C10390, ""en"", ""fa"")
"),"ملاحظات استفاده از قالب‌های تبلیغاتی مختلف، مانند تبلیغات چرخ و فلک یا تبلیغات پویا، در تبلیغات Etsy برای نمایش چندین محصول یا برجسته کردن ویژگی‌های خاص چیست؟")</f>
        <v>ملاحظات استفاده از قالب‌های تبلیغاتی مختلف، مانند تبلیغات چرخ و فلک یا تبلیغات پویا، در تبلیغات Etsy برای نمایش چندین محصول یا برجسته کردن ویژگی‌های خاص چیست؟</v>
      </c>
      <c r="H10390" s="1"/>
      <c r="I10390" s="1"/>
      <c r="J10390" s="1"/>
      <c r="K10390" s="1"/>
      <c r="L10390" s="1"/>
      <c r="M10390" s="1"/>
      <c r="N10390" s="1"/>
      <c r="O10390" s="1"/>
      <c r="P10390" s="1"/>
      <c r="Q10390" s="1"/>
      <c r="R10390" s="1"/>
      <c r="S10390" s="1"/>
      <c r="T10390" s="1"/>
      <c r="U10390" s="1"/>
      <c r="V10390" s="1"/>
      <c r="W10390" s="1"/>
      <c r="X10390" s="1"/>
      <c r="Y10390" s="1"/>
      <c r="Z10390" s="1"/>
      <c r="AA10390" s="1"/>
      <c r="AB10390" s="1"/>
    </row>
    <row r="10391" ht="50.25" customHeight="1">
      <c r="A10391" s="12">
        <v>10387.0</v>
      </c>
      <c r="B10391" s="13" t="s">
        <v>9604</v>
      </c>
      <c r="C10391" s="14" t="s">
        <v>10418</v>
      </c>
      <c r="D10391" s="1"/>
      <c r="E10391" s="1"/>
      <c r="F10391" s="1" t="str">
        <f>IFERROR(__xludf.DUMMYFUNCTION("GOOGLETRANSLATE(B10391, ""en"", ""fa"")
"),"موفقیت Etsy")</f>
        <v>موفقیت Etsy</v>
      </c>
      <c r="G10391" s="1" t="str">
        <f>IFERROR(__xludf.DUMMYFUNCTION("GOOGLETRANSLATE(C10391, ""en"", ""fa"")
"),"چگونه می توانم با همکاری با اینفلوئنسرها یا تولیدکنندگان محتوا که با برند و مخاطبان هدف من هماهنگ هستند، از قدرت اینفلوئنسر مارکتینگ در تبلیغات Etsy استفاده کنم؟")</f>
        <v>چگونه می توانم با همکاری با اینفلوئنسرها یا تولیدکنندگان محتوا که با برند و مخاطبان هدف من هماهنگ هستند، از قدرت اینفلوئنسر مارکتینگ در تبلیغات Etsy استفاده کنم؟</v>
      </c>
      <c r="H10391" s="1"/>
      <c r="I10391" s="1"/>
      <c r="J10391" s="1"/>
      <c r="K10391" s="1"/>
      <c r="L10391" s="1"/>
      <c r="M10391" s="1"/>
      <c r="N10391" s="1"/>
      <c r="O10391" s="1"/>
      <c r="P10391" s="1"/>
      <c r="Q10391" s="1"/>
      <c r="R10391" s="1"/>
      <c r="S10391" s="1"/>
      <c r="T10391" s="1"/>
      <c r="U10391" s="1"/>
      <c r="V10391" s="1"/>
      <c r="W10391" s="1"/>
      <c r="X10391" s="1"/>
      <c r="Y10391" s="1"/>
      <c r="Z10391" s="1"/>
      <c r="AA10391" s="1"/>
      <c r="AB10391" s="1"/>
    </row>
    <row r="10392" ht="50.25" customHeight="1">
      <c r="A10392" s="12">
        <v>10388.0</v>
      </c>
      <c r="B10392" s="13" t="s">
        <v>9604</v>
      </c>
      <c r="C10392" s="14" t="s">
        <v>10419</v>
      </c>
      <c r="D10392" s="1"/>
      <c r="E10392" s="1"/>
      <c r="F10392" s="1" t="str">
        <f>IFERROR(__xludf.DUMMYFUNCTION("GOOGLETRANSLATE(B10392, ""en"", ""fa"")
"),"موفقیت Etsy")</f>
        <v>موفقیت Etsy</v>
      </c>
      <c r="G10392" s="1" t="str">
        <f>IFERROR(__xludf.DUMMYFUNCTION("GOOGLETRANSLATE(C10392, ""en"", ""fa"")
"),"استراتژی‌های انجام آزمایش‌های تست A/B در Etsy Ads برای مقایسه انواع مختلف تبلیغات و بهینه‌سازی عملکرد آنها برای نتایج بهتر چیست؟")</f>
        <v>استراتژی‌های انجام آزمایش‌های تست A/B در Etsy Ads برای مقایسه انواع مختلف تبلیغات و بهینه‌سازی عملکرد آنها برای نتایج بهتر چیست؟</v>
      </c>
      <c r="H10392" s="1"/>
      <c r="I10392" s="1"/>
      <c r="J10392" s="1"/>
      <c r="K10392" s="1"/>
      <c r="L10392" s="1"/>
      <c r="M10392" s="1"/>
      <c r="N10392" s="1"/>
      <c r="O10392" s="1"/>
      <c r="P10392" s="1"/>
      <c r="Q10392" s="1"/>
      <c r="R10392" s="1"/>
      <c r="S10392" s="1"/>
      <c r="T10392" s="1"/>
      <c r="U10392" s="1"/>
      <c r="V10392" s="1"/>
      <c r="W10392" s="1"/>
      <c r="X10392" s="1"/>
      <c r="Y10392" s="1"/>
      <c r="Z10392" s="1"/>
      <c r="AA10392" s="1"/>
      <c r="AB10392" s="1"/>
    </row>
    <row r="10393" ht="50.25" customHeight="1">
      <c r="A10393" s="12">
        <v>10389.0</v>
      </c>
      <c r="B10393" s="13" t="s">
        <v>9604</v>
      </c>
      <c r="C10393" s="14" t="s">
        <v>10420</v>
      </c>
      <c r="D10393" s="1"/>
      <c r="E10393" s="1"/>
      <c r="F10393" s="1" t="str">
        <f>IFERROR(__xludf.DUMMYFUNCTION("GOOGLETRANSLATE(B10393, ""en"", ""fa"")
"),"موفقیت Etsy")</f>
        <v>موفقیت Etsy</v>
      </c>
      <c r="G10393" s="1" t="str">
        <f>IFERROR(__xludf.DUMMYFUNCTION("GOOGLETRANSLATE(C10393, ""en"", ""fa"")
"),"چگونه می توانم با استفاده از مواد بسته بندی منحصر به فرد و مارک، یک تجربه جعبه گشایی به یاد ماندنی برای مشتریان خود ایجاد کنم؟")</f>
        <v>چگونه می توانم با استفاده از مواد بسته بندی منحصر به فرد و مارک، یک تجربه جعبه گشایی به یاد ماندنی برای مشتریان خود ایجاد کنم؟</v>
      </c>
      <c r="H10393" s="1"/>
      <c r="I10393" s="1"/>
      <c r="J10393" s="1"/>
      <c r="K10393" s="1"/>
      <c r="L10393" s="1"/>
      <c r="M10393" s="1"/>
      <c r="N10393" s="1"/>
      <c r="O10393" s="1"/>
      <c r="P10393" s="1"/>
      <c r="Q10393" s="1"/>
      <c r="R10393" s="1"/>
      <c r="S10393" s="1"/>
      <c r="T10393" s="1"/>
      <c r="U10393" s="1"/>
      <c r="V10393" s="1"/>
      <c r="W10393" s="1"/>
      <c r="X10393" s="1"/>
      <c r="Y10393" s="1"/>
      <c r="Z10393" s="1"/>
      <c r="AA10393" s="1"/>
      <c r="AB10393" s="1"/>
    </row>
    <row r="10394" ht="50.25" customHeight="1">
      <c r="A10394" s="12">
        <v>10390.0</v>
      </c>
      <c r="B10394" s="13" t="s">
        <v>9604</v>
      </c>
      <c r="C10394" s="14" t="s">
        <v>10421</v>
      </c>
      <c r="D10394" s="1"/>
      <c r="E10394" s="1"/>
      <c r="F10394" s="1" t="str">
        <f>IFERROR(__xludf.DUMMYFUNCTION("GOOGLETRANSLATE(B10394, ""en"", ""fa"")
"),"موفقیت Etsy")</f>
        <v>موفقیت Etsy</v>
      </c>
      <c r="G10394" s="1" t="str">
        <f>IFERROR(__xludf.DUMMYFUNCTION("GOOGLETRANSLATE(C10394, ""en"", ""fa"")
"),"لوازم بسته بندی ضروری که برای ارسال ایمن و ایمن محصولاتم باید در دسترس داشته باشم چیست؟")</f>
        <v>لوازم بسته بندی ضروری که برای ارسال ایمن و ایمن محصولاتم باید در دسترس داشته باشم چیست؟</v>
      </c>
      <c r="H10394" s="1"/>
      <c r="I10394" s="1"/>
      <c r="J10394" s="1"/>
      <c r="K10394" s="1"/>
      <c r="L10394" s="1"/>
      <c r="M10394" s="1"/>
      <c r="N10394" s="1"/>
      <c r="O10394" s="1"/>
      <c r="P10394" s="1"/>
      <c r="Q10394" s="1"/>
      <c r="R10394" s="1"/>
      <c r="S10394" s="1"/>
      <c r="T10394" s="1"/>
      <c r="U10394" s="1"/>
      <c r="V10394" s="1"/>
      <c r="W10394" s="1"/>
      <c r="X10394" s="1"/>
      <c r="Y10394" s="1"/>
      <c r="Z10394" s="1"/>
      <c r="AA10394" s="1"/>
      <c r="AB10394" s="1"/>
    </row>
    <row r="10395" ht="50.25" customHeight="1">
      <c r="A10395" s="12">
        <v>10391.0</v>
      </c>
      <c r="B10395" s="13" t="s">
        <v>9604</v>
      </c>
      <c r="C10395" s="14" t="s">
        <v>10422</v>
      </c>
      <c r="D10395" s="1"/>
      <c r="E10395" s="1"/>
      <c r="F10395" s="1" t="str">
        <f>IFERROR(__xludf.DUMMYFUNCTION("GOOGLETRANSLATE(B10395, ""en"", ""fa"")
"),"موفقیت Etsy")</f>
        <v>موفقیت Etsy</v>
      </c>
      <c r="G10395" s="1" t="str">
        <f>IFERROR(__xludf.DUMMYFUNCTION("GOOGLETRANSLATE(C10395, ""en"", ""fa"")
"),"چگونه می توانم مواد و روش های بسته بندی سازگار با محیط زیست را در فرآیند حمل و نقل خود بگنجانم تا با ارزش های پایدار همسو شود؟")</f>
        <v>چگونه می توانم مواد و روش های بسته بندی سازگار با محیط زیست را در فرآیند حمل و نقل خود بگنجانم تا با ارزش های پایدار همسو شود؟</v>
      </c>
      <c r="H10395" s="1"/>
      <c r="I10395" s="1"/>
      <c r="J10395" s="1"/>
      <c r="K10395" s="1"/>
      <c r="L10395" s="1"/>
      <c r="M10395" s="1"/>
      <c r="N10395" s="1"/>
      <c r="O10395" s="1"/>
      <c r="P10395" s="1"/>
      <c r="Q10395" s="1"/>
      <c r="R10395" s="1"/>
      <c r="S10395" s="1"/>
      <c r="T10395" s="1"/>
      <c r="U10395" s="1"/>
      <c r="V10395" s="1"/>
      <c r="W10395" s="1"/>
      <c r="X10395" s="1"/>
      <c r="Y10395" s="1"/>
      <c r="Z10395" s="1"/>
      <c r="AA10395" s="1"/>
      <c r="AB10395" s="1"/>
    </row>
    <row r="10396" ht="50.25" customHeight="1">
      <c r="A10396" s="12">
        <v>10392.0</v>
      </c>
      <c r="B10396" s="13" t="s">
        <v>9604</v>
      </c>
      <c r="C10396" s="14" t="s">
        <v>10423</v>
      </c>
      <c r="D10396" s="1"/>
      <c r="E10396" s="1"/>
      <c r="F10396" s="1" t="str">
        <f>IFERROR(__xludf.DUMMYFUNCTION("GOOGLETRANSLATE(B10396, ""en"", ""fa"")
"),"موفقیت Etsy")</f>
        <v>موفقیت Etsy</v>
      </c>
      <c r="G10396" s="1" t="str">
        <f>IFERROR(__xludf.DUMMYFUNCTION("GOOGLETRANSLATE(C10396, ""en"", ""fa"")
"),"ملاحظات برای انتخاب جعبه های حمل و نقل یا پستی مناسب که محافظت کافی از محصولات من را فراهم می کند و در عین حال هزینه های حمل و نقل را به حداقل می رساند، چیست؟")</f>
        <v>ملاحظات برای انتخاب جعبه های حمل و نقل یا پستی مناسب که محافظت کافی از محصولات من را فراهم می کند و در عین حال هزینه های حمل و نقل را به حداقل می رساند، چیست؟</v>
      </c>
      <c r="H10396" s="1"/>
      <c r="I10396" s="1"/>
      <c r="J10396" s="1"/>
      <c r="K10396" s="1"/>
      <c r="L10396" s="1"/>
      <c r="M10396" s="1"/>
      <c r="N10396" s="1"/>
      <c r="O10396" s="1"/>
      <c r="P10396" s="1"/>
      <c r="Q10396" s="1"/>
      <c r="R10396" s="1"/>
      <c r="S10396" s="1"/>
      <c r="T10396" s="1"/>
      <c r="U10396" s="1"/>
      <c r="V10396" s="1"/>
      <c r="W10396" s="1"/>
      <c r="X10396" s="1"/>
      <c r="Y10396" s="1"/>
      <c r="Z10396" s="1"/>
      <c r="AA10396" s="1"/>
      <c r="AB10396" s="1"/>
    </row>
    <row r="10397" ht="50.25" customHeight="1">
      <c r="A10397" s="12">
        <v>10393.0</v>
      </c>
      <c r="B10397" s="13" t="s">
        <v>9604</v>
      </c>
      <c r="C10397" s="14" t="s">
        <v>10424</v>
      </c>
      <c r="D10397" s="1"/>
      <c r="E10397" s="1"/>
      <c r="F10397" s="1" t="str">
        <f>IFERROR(__xludf.DUMMYFUNCTION("GOOGLETRANSLATE(B10397, ""en"", ""fa"")
"),"موفقیت Etsy")</f>
        <v>موفقیت Etsy</v>
      </c>
      <c r="G10397" s="1" t="str">
        <f>IFERROR(__xludf.DUMMYFUNCTION("GOOGLETRANSLATE(C10397, ""en"", ""fa"")
"),"چگونه می توانم بسته بندی خود را با گنجاندن یادداشت های تشکر دست نویس یا هدایای شگفت انگیز کوچک شخصی سازی کنم تا مشتریانم را خوشحال و شگفت زده کنم؟")</f>
        <v>چگونه می توانم بسته بندی خود را با گنجاندن یادداشت های تشکر دست نویس یا هدایای شگفت انگیز کوچک شخصی سازی کنم تا مشتریانم را خوشحال و شگفت زده کنم؟</v>
      </c>
      <c r="H10397" s="1"/>
      <c r="I10397" s="1"/>
      <c r="J10397" s="1"/>
      <c r="K10397" s="1"/>
      <c r="L10397" s="1"/>
      <c r="M10397" s="1"/>
      <c r="N10397" s="1"/>
      <c r="O10397" s="1"/>
      <c r="P10397" s="1"/>
      <c r="Q10397" s="1"/>
      <c r="R10397" s="1"/>
      <c r="S10397" s="1"/>
      <c r="T10397" s="1"/>
      <c r="U10397" s="1"/>
      <c r="V10397" s="1"/>
      <c r="W10397" s="1"/>
      <c r="X10397" s="1"/>
      <c r="Y10397" s="1"/>
      <c r="Z10397" s="1"/>
      <c r="AA10397" s="1"/>
      <c r="AB10397" s="1"/>
    </row>
    <row r="10398" ht="50.25" customHeight="1">
      <c r="A10398" s="12">
        <v>10394.0</v>
      </c>
      <c r="B10398" s="13" t="s">
        <v>9604</v>
      </c>
      <c r="C10398" s="14" t="s">
        <v>10425</v>
      </c>
      <c r="D10398" s="1"/>
      <c r="E10398" s="1"/>
      <c r="F10398" s="1" t="str">
        <f>IFERROR(__xludf.DUMMYFUNCTION("GOOGLETRANSLATE(B10398, ""en"", ""fa"")
"),"موفقیت Etsy")</f>
        <v>موفقیت Etsy</v>
      </c>
      <c r="G10398" s="1" t="str">
        <f>IFERROR(__xludf.DUMMYFUNCTION("GOOGLETRANSLATE(C10398, ""en"", ""fa"")
"),"برای اطمینان از حمل و نقل ایمن اقلام شکننده، چه راهکارهایی برای انتخاب مواد بالش‌دهنده مناسب، مانند پوشش حباب‌دار یا بسته‌بندی بادام‌زمینی وجود دارد؟")</f>
        <v>برای اطمینان از حمل و نقل ایمن اقلام شکننده، چه راهکارهایی برای انتخاب مواد بالش‌دهنده مناسب، مانند پوشش حباب‌دار یا بسته‌بندی بادام‌زمینی وجود دارد؟</v>
      </c>
      <c r="H10398" s="1"/>
      <c r="I10398" s="1"/>
      <c r="J10398" s="1"/>
      <c r="K10398" s="1"/>
      <c r="L10398" s="1"/>
      <c r="M10398" s="1"/>
      <c r="N10398" s="1"/>
      <c r="O10398" s="1"/>
      <c r="P10398" s="1"/>
      <c r="Q10398" s="1"/>
      <c r="R10398" s="1"/>
      <c r="S10398" s="1"/>
      <c r="T10398" s="1"/>
      <c r="U10398" s="1"/>
      <c r="V10398" s="1"/>
      <c r="W10398" s="1"/>
      <c r="X10398" s="1"/>
      <c r="Y10398" s="1"/>
      <c r="Z10398" s="1"/>
      <c r="AA10398" s="1"/>
      <c r="AB10398" s="1"/>
    </row>
    <row r="10399" ht="50.25" customHeight="1">
      <c r="A10399" s="12">
        <v>10395.0</v>
      </c>
      <c r="B10399" s="13" t="s">
        <v>9604</v>
      </c>
      <c r="C10399" s="14" t="s">
        <v>10426</v>
      </c>
      <c r="D10399" s="1"/>
      <c r="E10399" s="1"/>
      <c r="F10399" s="1" t="str">
        <f>IFERROR(__xludf.DUMMYFUNCTION("GOOGLETRANSLATE(B10399, ""en"", ""fa"")
"),"موفقیت Etsy")</f>
        <v>موفقیت Etsy</v>
      </c>
      <c r="G10399" s="1" t="str">
        <f>IFERROR(__xludf.DUMMYFUNCTION("GOOGLETRANSLATE(C10399, ""en"", ""fa"")
"),"چگونه می توانم برند و لوگوی خود را روی مواد بسته بندی خود بگنجانم تا ظاهری منسجم و حرفه ای ایجاد کنم؟")</f>
        <v>چگونه می توانم برند و لوگوی خود را روی مواد بسته بندی خود بگنجانم تا ظاهری منسجم و حرفه ای ایجاد کنم؟</v>
      </c>
      <c r="H10399" s="1"/>
      <c r="I10399" s="1"/>
      <c r="J10399" s="1"/>
      <c r="K10399" s="1"/>
      <c r="L10399" s="1"/>
      <c r="M10399" s="1"/>
      <c r="N10399" s="1"/>
      <c r="O10399" s="1"/>
      <c r="P10399" s="1"/>
      <c r="Q10399" s="1"/>
      <c r="R10399" s="1"/>
      <c r="S10399" s="1"/>
      <c r="T10399" s="1"/>
      <c r="U10399" s="1"/>
      <c r="V10399" s="1"/>
      <c r="W10399" s="1"/>
      <c r="X10399" s="1"/>
      <c r="Y10399" s="1"/>
      <c r="Z10399" s="1"/>
      <c r="AA10399" s="1"/>
      <c r="AB10399" s="1"/>
    </row>
    <row r="10400" ht="50.25" customHeight="1">
      <c r="A10400" s="12">
        <v>10396.0</v>
      </c>
      <c r="B10400" s="13" t="s">
        <v>9604</v>
      </c>
      <c r="C10400" s="14" t="s">
        <v>10427</v>
      </c>
      <c r="D10400" s="1"/>
      <c r="E10400" s="1"/>
      <c r="F10400" s="1" t="str">
        <f>IFERROR(__xludf.DUMMYFUNCTION("GOOGLETRANSLATE(B10400, ""en"", ""fa"")
"),"موفقیت Etsy")</f>
        <v>موفقیت Etsy</v>
      </c>
      <c r="G10400" s="1" t="str">
        <f>IFERROR(__xludf.DUMMYFUNCTION("GOOGLETRANSLATE(C10400, ""en"", ""fa"")
"),"ملاحظات برای انتخاب اندازه و نوع مناسب برچسب های حمل و نقل برای اطمینان از تحویل دقیق و ارائه حرفه ای چیست؟")</f>
        <v>ملاحظات برای انتخاب اندازه و نوع مناسب برچسب های حمل و نقل برای اطمینان از تحویل دقیق و ارائه حرفه ای چیست؟</v>
      </c>
      <c r="H10400" s="1"/>
      <c r="I10400" s="1"/>
      <c r="J10400" s="1"/>
      <c r="K10400" s="1"/>
      <c r="L10400" s="1"/>
      <c r="M10400" s="1"/>
      <c r="N10400" s="1"/>
      <c r="O10400" s="1"/>
      <c r="P10400" s="1"/>
      <c r="Q10400" s="1"/>
      <c r="R10400" s="1"/>
      <c r="S10400" s="1"/>
      <c r="T10400" s="1"/>
      <c r="U10400" s="1"/>
      <c r="V10400" s="1"/>
      <c r="W10400" s="1"/>
      <c r="X10400" s="1"/>
      <c r="Y10400" s="1"/>
      <c r="Z10400" s="1"/>
      <c r="AA10400" s="1"/>
      <c r="AB10400" s="1"/>
    </row>
    <row r="10401" ht="50.25" customHeight="1">
      <c r="A10401" s="12">
        <v>10397.0</v>
      </c>
      <c r="B10401" s="13" t="s">
        <v>9604</v>
      </c>
      <c r="C10401" s="14" t="s">
        <v>10428</v>
      </c>
      <c r="D10401" s="1"/>
      <c r="E10401" s="1"/>
      <c r="F10401" s="1" t="str">
        <f>IFERROR(__xludf.DUMMYFUNCTION("GOOGLETRANSLATE(B10401, ""en"", ""fa"")
"),"موفقیت Etsy")</f>
        <v>موفقیت Etsy</v>
      </c>
      <c r="G10401" s="1" t="str">
        <f>IFERROR(__xludf.DUMMYFUNCTION("GOOGLETRANSLATE(C10401, ""en"", ""fa"")
"),"چگونه می توانم فرآیند حمل و نقل خود را با استفاده از خدمات پست آنلاین یا نرم افزار حمل و نقل برای صرفه جویی در زمان و کاهش خطاهای دستی ساده کنم؟")</f>
        <v>چگونه می توانم فرآیند حمل و نقل خود را با استفاده از خدمات پست آنلاین یا نرم افزار حمل و نقل برای صرفه جویی در زمان و کاهش خطاهای دستی ساده کنم؟</v>
      </c>
      <c r="H10401" s="1"/>
      <c r="I10401" s="1"/>
      <c r="J10401" s="1"/>
      <c r="K10401" s="1"/>
      <c r="L10401" s="1"/>
      <c r="M10401" s="1"/>
      <c r="N10401" s="1"/>
      <c r="O10401" s="1"/>
      <c r="P10401" s="1"/>
      <c r="Q10401" s="1"/>
      <c r="R10401" s="1"/>
      <c r="S10401" s="1"/>
      <c r="T10401" s="1"/>
      <c r="U10401" s="1"/>
      <c r="V10401" s="1"/>
      <c r="W10401" s="1"/>
      <c r="X10401" s="1"/>
      <c r="Y10401" s="1"/>
      <c r="Z10401" s="1"/>
      <c r="AA10401" s="1"/>
      <c r="AB10401" s="1"/>
    </row>
    <row r="10402" ht="50.25" customHeight="1">
      <c r="A10402" s="12">
        <v>10398.0</v>
      </c>
      <c r="B10402" s="13" t="s">
        <v>9604</v>
      </c>
      <c r="C10402" s="14" t="s">
        <v>10429</v>
      </c>
      <c r="D10402" s="1"/>
      <c r="E10402" s="1"/>
      <c r="F10402" s="1" t="str">
        <f>IFERROR(__xludf.DUMMYFUNCTION("GOOGLETRANSLATE(B10402, ""en"", ""fa"")
"),"موفقیت Etsy")</f>
        <v>موفقیت Etsy</v>
      </c>
      <c r="G10402" s="1" t="str">
        <f>IFERROR(__xludf.DUMMYFUNCTION("GOOGLETRANSLATE(C10402, ""en"", ""fa"")
"),"راهبردهایی برای بهینه‌سازی کارایی فرآیند بسته‌بندی برای اطمینان از زمان‌بندی سریع و انجام سریع سفارش چیست؟")</f>
        <v>راهبردهایی برای بهینه‌سازی کارایی فرآیند بسته‌بندی برای اطمینان از زمان‌بندی سریع و انجام سریع سفارش چیست؟</v>
      </c>
      <c r="H10402" s="1"/>
      <c r="I10402" s="1"/>
      <c r="J10402" s="1"/>
      <c r="K10402" s="1"/>
      <c r="L10402" s="1"/>
      <c r="M10402" s="1"/>
      <c r="N10402" s="1"/>
      <c r="O10402" s="1"/>
      <c r="P10402" s="1"/>
      <c r="Q10402" s="1"/>
      <c r="R10402" s="1"/>
      <c r="S10402" s="1"/>
      <c r="T10402" s="1"/>
      <c r="U10402" s="1"/>
      <c r="V10402" s="1"/>
      <c r="W10402" s="1"/>
      <c r="X10402" s="1"/>
      <c r="Y10402" s="1"/>
      <c r="Z10402" s="1"/>
      <c r="AA10402" s="1"/>
      <c r="AB10402" s="1"/>
    </row>
    <row r="10403" ht="50.25" customHeight="1">
      <c r="A10403" s="12">
        <v>10399.0</v>
      </c>
      <c r="B10403" s="13" t="s">
        <v>9604</v>
      </c>
      <c r="C10403" s="14" t="s">
        <v>10430</v>
      </c>
      <c r="D10403" s="1"/>
      <c r="E10403" s="1"/>
      <c r="F10403" s="1" t="str">
        <f>IFERROR(__xludf.DUMMYFUNCTION("GOOGLETRANSLATE(B10403, ""en"", ""fa"")
"),"موفقیت Etsy")</f>
        <v>موفقیت Etsy</v>
      </c>
      <c r="G10403" s="1" t="str">
        <f>IFERROR(__xludf.DUMMYFUNCTION("GOOGLETRANSLATE(C10403, ""en"", ""fa"")
"),"چگونه می توانم یک برگه بسته بندی یا فاکتور جذاب و آموزنده برای درج در هر بسته ایجاد کنم؟")</f>
        <v>چگونه می توانم یک برگه بسته بندی یا فاکتور جذاب و آموزنده برای درج در هر بسته ایجاد کنم؟</v>
      </c>
      <c r="H10403" s="1"/>
      <c r="I10403" s="1"/>
      <c r="J10403" s="1"/>
      <c r="K10403" s="1"/>
      <c r="L10403" s="1"/>
      <c r="M10403" s="1"/>
      <c r="N10403" s="1"/>
      <c r="O10403" s="1"/>
      <c r="P10403" s="1"/>
      <c r="Q10403" s="1"/>
      <c r="R10403" s="1"/>
      <c r="S10403" s="1"/>
      <c r="T10403" s="1"/>
      <c r="U10403" s="1"/>
      <c r="V10403" s="1"/>
      <c r="W10403" s="1"/>
      <c r="X10403" s="1"/>
      <c r="Y10403" s="1"/>
      <c r="Z10403" s="1"/>
      <c r="AA10403" s="1"/>
      <c r="AB10403" s="1"/>
    </row>
    <row r="10404" ht="50.25" customHeight="1">
      <c r="A10404" s="12">
        <v>10400.0</v>
      </c>
      <c r="B10404" s="13" t="s">
        <v>9604</v>
      </c>
      <c r="C10404" s="14" t="s">
        <v>10431</v>
      </c>
      <c r="D10404" s="1"/>
      <c r="E10404" s="1"/>
      <c r="F10404" s="1" t="str">
        <f>IFERROR(__xludf.DUMMYFUNCTION("GOOGLETRANSLATE(B10404, ""en"", ""fa"")
"),"موفقیت Etsy")</f>
        <v>موفقیت Etsy</v>
      </c>
      <c r="G10404" s="1" t="str">
        <f>IFERROR(__xludf.DUMMYFUNCTION("GOOGLETRANSLATE(C10404, ""en"", ""fa"")
"),"ملاحظات برای انتخاب نوار بسته بندی مناسب که بسته شدن ایمن و ویژگی های بدون دستکاری بسته های من را فراهم می کند چیست؟")</f>
        <v>ملاحظات برای انتخاب نوار بسته بندی مناسب که بسته شدن ایمن و ویژگی های بدون دستکاری بسته های من را فراهم می کند چیست؟</v>
      </c>
      <c r="H10404" s="1"/>
      <c r="I10404" s="1"/>
      <c r="J10404" s="1"/>
      <c r="K10404" s="1"/>
      <c r="L10404" s="1"/>
      <c r="M10404" s="1"/>
      <c r="N10404" s="1"/>
      <c r="O10404" s="1"/>
      <c r="P10404" s="1"/>
      <c r="Q10404" s="1"/>
      <c r="R10404" s="1"/>
      <c r="S10404" s="1"/>
      <c r="T10404" s="1"/>
      <c r="U10404" s="1"/>
      <c r="V10404" s="1"/>
      <c r="W10404" s="1"/>
      <c r="X10404" s="1"/>
      <c r="Y10404" s="1"/>
      <c r="Z10404" s="1"/>
      <c r="AA10404" s="1"/>
      <c r="AB10404" s="1"/>
    </row>
    <row r="10405" ht="50.25" customHeight="1">
      <c r="A10405" s="12">
        <v>10401.0</v>
      </c>
      <c r="B10405" s="13" t="s">
        <v>9604</v>
      </c>
      <c r="C10405" s="14" t="s">
        <v>10432</v>
      </c>
      <c r="D10405" s="1"/>
      <c r="E10405" s="1"/>
      <c r="F10405" s="1" t="str">
        <f>IFERROR(__xludf.DUMMYFUNCTION("GOOGLETRANSLATE(B10405, ""en"", ""fa"")
"),"موفقیت Etsy")</f>
        <v>موفقیت Etsy</v>
      </c>
      <c r="G10405" s="1" t="str">
        <f>IFERROR(__xludf.DUMMYFUNCTION("GOOGLETRANSLATE(C10405, ""en"", ""fa"")
"),"چگونه می توانم گزینه های بسته بندی هدیه یا بسته بندی ویژه را برای مشتریانی که اقلامی را به عنوان هدیه خریداری می کنند ارائه دهم؟")</f>
        <v>چگونه می توانم گزینه های بسته بندی هدیه یا بسته بندی ویژه را برای مشتریانی که اقلامی را به عنوان هدیه خریداری می کنند ارائه دهم؟</v>
      </c>
      <c r="H10405" s="1"/>
      <c r="I10405" s="1"/>
      <c r="J10405" s="1"/>
      <c r="K10405" s="1"/>
      <c r="L10405" s="1"/>
      <c r="M10405" s="1"/>
      <c r="N10405" s="1"/>
      <c r="O10405" s="1"/>
      <c r="P10405" s="1"/>
      <c r="Q10405" s="1"/>
      <c r="R10405" s="1"/>
      <c r="S10405" s="1"/>
      <c r="T10405" s="1"/>
      <c r="U10405" s="1"/>
      <c r="V10405" s="1"/>
      <c r="W10405" s="1"/>
      <c r="X10405" s="1"/>
      <c r="Y10405" s="1"/>
      <c r="Z10405" s="1"/>
      <c r="AA10405" s="1"/>
      <c r="AB10405" s="1"/>
    </row>
    <row r="10406" ht="50.25" customHeight="1">
      <c r="A10406" s="12">
        <v>10402.0</v>
      </c>
      <c r="B10406" s="13" t="s">
        <v>9604</v>
      </c>
      <c r="C10406" s="14" t="s">
        <v>10433</v>
      </c>
      <c r="D10406" s="1"/>
      <c r="E10406" s="1"/>
      <c r="F10406" s="1" t="str">
        <f>IFERROR(__xludf.DUMMYFUNCTION("GOOGLETRANSLATE(B10406, ""en"", ""fa"")
"),"موفقیت Etsy")</f>
        <v>موفقیت Etsy</v>
      </c>
      <c r="G10406" s="1" t="str">
        <f>IFERROR(__xludf.DUMMYFUNCTION("GOOGLETRANSLATE(C10406, ""en"", ""fa"")
"),"راهبردهای سازماندهی و نگهداری بسته بندی و لوازم حمل و نقل من برای حفظ یک فضای کاری مرتب و کارآمد چیست؟")</f>
        <v>راهبردهای سازماندهی و نگهداری بسته بندی و لوازم حمل و نقل من برای حفظ یک فضای کاری مرتب و کارآمد چیست؟</v>
      </c>
      <c r="H10406" s="1"/>
      <c r="I10406" s="1"/>
      <c r="J10406" s="1"/>
      <c r="K10406" s="1"/>
      <c r="L10406" s="1"/>
      <c r="M10406" s="1"/>
      <c r="N10406" s="1"/>
      <c r="O10406" s="1"/>
      <c r="P10406" s="1"/>
      <c r="Q10406" s="1"/>
      <c r="R10406" s="1"/>
      <c r="S10406" s="1"/>
      <c r="T10406" s="1"/>
      <c r="U10406" s="1"/>
      <c r="V10406" s="1"/>
      <c r="W10406" s="1"/>
      <c r="X10406" s="1"/>
      <c r="Y10406" s="1"/>
      <c r="Z10406" s="1"/>
      <c r="AA10406" s="1"/>
      <c r="AB10406" s="1"/>
    </row>
    <row r="10407" ht="50.25" customHeight="1">
      <c r="A10407" s="12">
        <v>10403.0</v>
      </c>
      <c r="B10407" s="13" t="s">
        <v>9604</v>
      </c>
      <c r="C10407" s="14" t="s">
        <v>10434</v>
      </c>
      <c r="D10407" s="1"/>
      <c r="E10407" s="1"/>
      <c r="F10407" s="1" t="str">
        <f>IFERROR(__xludf.DUMMYFUNCTION("GOOGLETRANSLATE(B10407, ""en"", ""fa"")
"),"موفقیت Etsy")</f>
        <v>موفقیت Etsy</v>
      </c>
      <c r="G10407" s="1" t="str">
        <f>IFERROR(__xludf.DUMMYFUNCTION("GOOGLETRANSLATE(C10407, ""en"", ""fa"")
"),"چگونه می توانم یک سیستم ردیابی و تایید تحویل را پیاده سازی کنم تا شفافیت و آرامش خاطر را برای مشتریان فراهم کنم؟")</f>
        <v>چگونه می توانم یک سیستم ردیابی و تایید تحویل را پیاده سازی کنم تا شفافیت و آرامش خاطر را برای مشتریان فراهم کنم؟</v>
      </c>
      <c r="H10407" s="1"/>
      <c r="I10407" s="1"/>
      <c r="J10407" s="1"/>
      <c r="K10407" s="1"/>
      <c r="L10407" s="1"/>
      <c r="M10407" s="1"/>
      <c r="N10407" s="1"/>
      <c r="O10407" s="1"/>
      <c r="P10407" s="1"/>
      <c r="Q10407" s="1"/>
      <c r="R10407" s="1"/>
      <c r="S10407" s="1"/>
      <c r="T10407" s="1"/>
      <c r="U10407" s="1"/>
      <c r="V10407" s="1"/>
      <c r="W10407" s="1"/>
      <c r="X10407" s="1"/>
      <c r="Y10407" s="1"/>
      <c r="Z10407" s="1"/>
      <c r="AA10407" s="1"/>
      <c r="AB10407" s="1"/>
    </row>
    <row r="10408" ht="50.25" customHeight="1">
      <c r="A10408" s="12">
        <v>10404.0</v>
      </c>
      <c r="B10408" s="13" t="s">
        <v>9604</v>
      </c>
      <c r="C10408" s="14" t="s">
        <v>10435</v>
      </c>
      <c r="D10408" s="1"/>
      <c r="E10408" s="1"/>
      <c r="F10408" s="1" t="str">
        <f>IFERROR(__xludf.DUMMYFUNCTION("GOOGLETRANSLATE(B10408, ""en"", ""fa"")
"),"موفقیت Etsy")</f>
        <v>موفقیت Etsy</v>
      </c>
      <c r="G10408" s="1" t="str">
        <f>IFERROR(__xludf.DUMMYFUNCTION("GOOGLETRANSLATE(C10408, ""en"", ""fa"")
"),"ملاحظات اجرای سیاست بازگشت یا تعویض و گنجاندن مدارک لازم در بسته های من چیست؟")</f>
        <v>ملاحظات اجرای سیاست بازگشت یا تعویض و گنجاندن مدارک لازم در بسته های من چیست؟</v>
      </c>
      <c r="H10408" s="1"/>
      <c r="I10408" s="1"/>
      <c r="J10408" s="1"/>
      <c r="K10408" s="1"/>
      <c r="L10408" s="1"/>
      <c r="M10408" s="1"/>
      <c r="N10408" s="1"/>
      <c r="O10408" s="1"/>
      <c r="P10408" s="1"/>
      <c r="Q10408" s="1"/>
      <c r="R10408" s="1"/>
      <c r="S10408" s="1"/>
      <c r="T10408" s="1"/>
      <c r="U10408" s="1"/>
      <c r="V10408" s="1"/>
      <c r="W10408" s="1"/>
      <c r="X10408" s="1"/>
      <c r="Y10408" s="1"/>
      <c r="Z10408" s="1"/>
      <c r="AA10408" s="1"/>
      <c r="AB10408" s="1"/>
    </row>
    <row r="10409" ht="50.25" customHeight="1">
      <c r="A10409" s="12">
        <v>10405.0</v>
      </c>
      <c r="B10409" s="13" t="s">
        <v>9604</v>
      </c>
      <c r="C10409" s="14" t="s">
        <v>10436</v>
      </c>
      <c r="D10409" s="1"/>
      <c r="E10409" s="1"/>
      <c r="F10409" s="1" t="str">
        <f>IFERROR(__xludf.DUMMYFUNCTION("GOOGLETRANSLATE(B10409, ""en"", ""fa"")
"),"موفقیت Etsy")</f>
        <v>موفقیت Etsy</v>
      </c>
      <c r="G10409" s="1" t="str">
        <f>IFERROR(__xludf.DUMMYFUNCTION("GOOGLETRANSLATE(C10409, ""en"", ""fa"")
"),"چگونه می‌توانم گزینه‌های بسته‌بندی سفارشی، مانند جعبه‌های چاپی یا دستمال کاغذی مارک‌دار را برای بهبود ارائه محصولاتم کشف کنم؟")</f>
        <v>چگونه می‌توانم گزینه‌های بسته‌بندی سفارشی، مانند جعبه‌های چاپی یا دستمال کاغذی مارک‌دار را برای بهبود ارائه محصولاتم کشف کنم؟</v>
      </c>
      <c r="H10409" s="1"/>
      <c r="I10409" s="1"/>
      <c r="J10409" s="1"/>
      <c r="K10409" s="1"/>
      <c r="L10409" s="1"/>
      <c r="M10409" s="1"/>
      <c r="N10409" s="1"/>
      <c r="O10409" s="1"/>
      <c r="P10409" s="1"/>
      <c r="Q10409" s="1"/>
      <c r="R10409" s="1"/>
      <c r="S10409" s="1"/>
      <c r="T10409" s="1"/>
      <c r="U10409" s="1"/>
      <c r="V10409" s="1"/>
      <c r="W10409" s="1"/>
      <c r="X10409" s="1"/>
      <c r="Y10409" s="1"/>
      <c r="Z10409" s="1"/>
      <c r="AA10409" s="1"/>
      <c r="AB10409" s="1"/>
    </row>
    <row r="10410" ht="50.25" customHeight="1">
      <c r="A10410" s="12">
        <v>10406.0</v>
      </c>
      <c r="B10410" s="13" t="s">
        <v>9604</v>
      </c>
      <c r="C10410" s="14" t="s">
        <v>10437</v>
      </c>
      <c r="D10410" s="1"/>
      <c r="E10410" s="1"/>
      <c r="F10410" s="1" t="str">
        <f>IFERROR(__xludf.DUMMYFUNCTION("GOOGLETRANSLATE(B10410, ""en"", ""fa"")
"),"موفقیت Etsy")</f>
        <v>موفقیت Etsy</v>
      </c>
      <c r="G10410" s="1" t="str">
        <f>IFERROR(__xludf.DUMMYFUNCTION("GOOGLETRANSLATE(C10410, ""en"", ""fa"")
"),"راهکارهایی برای به حداقل رساندن زباله های بسته بندی و استفاده از جایگزین های پایدار، مانند مواد قابل بازیافت یا زیست تخریب پذیر چیست؟")</f>
        <v>راهکارهایی برای به حداقل رساندن زباله های بسته بندی و استفاده از جایگزین های پایدار، مانند مواد قابل بازیافت یا زیست تخریب پذیر چیست؟</v>
      </c>
      <c r="H10410" s="1"/>
      <c r="I10410" s="1"/>
      <c r="J10410" s="1"/>
      <c r="K10410" s="1"/>
      <c r="L10410" s="1"/>
      <c r="M10410" s="1"/>
      <c r="N10410" s="1"/>
      <c r="O10410" s="1"/>
      <c r="P10410" s="1"/>
      <c r="Q10410" s="1"/>
      <c r="R10410" s="1"/>
      <c r="S10410" s="1"/>
      <c r="T10410" s="1"/>
      <c r="U10410" s="1"/>
      <c r="V10410" s="1"/>
      <c r="W10410" s="1"/>
      <c r="X10410" s="1"/>
      <c r="Y10410" s="1"/>
      <c r="Z10410" s="1"/>
      <c r="AA10410" s="1"/>
      <c r="AB10410" s="1"/>
    </row>
    <row r="10411" ht="50.25" customHeight="1">
      <c r="A10411" s="12">
        <v>10407.0</v>
      </c>
      <c r="B10411" s="13" t="s">
        <v>9604</v>
      </c>
      <c r="C10411" s="14" t="s">
        <v>10438</v>
      </c>
      <c r="D10411" s="1"/>
      <c r="E10411" s="1"/>
      <c r="F10411" s="1" t="str">
        <f>IFERROR(__xludf.DUMMYFUNCTION("GOOGLETRANSLATE(B10411, ""en"", ""fa"")
"),"موفقیت Etsy")</f>
        <v>موفقیت Etsy</v>
      </c>
      <c r="G10411" s="1" t="str">
        <f>IFERROR(__xludf.DUMMYFUNCTION("GOOGLETRANSLATE(C10411, ""en"", ""fa"")
"),"چگونه می توانم مواد تبلیغاتی مانند کارت ویزیت یا کدهای تخفیف را در بسته بندی خود بگنجانم تا خریدهای مجدد را تشویق کنم؟")</f>
        <v>چگونه می توانم مواد تبلیغاتی مانند کارت ویزیت یا کدهای تخفیف را در بسته بندی خود بگنجانم تا خریدهای مجدد را تشویق کنم؟</v>
      </c>
      <c r="H10411" s="1"/>
      <c r="I10411" s="1"/>
      <c r="J10411" s="1"/>
      <c r="K10411" s="1"/>
      <c r="L10411" s="1"/>
      <c r="M10411" s="1"/>
      <c r="N10411" s="1"/>
      <c r="O10411" s="1"/>
      <c r="P10411" s="1"/>
      <c r="Q10411" s="1"/>
      <c r="R10411" s="1"/>
      <c r="S10411" s="1"/>
      <c r="T10411" s="1"/>
      <c r="U10411" s="1"/>
      <c r="V10411" s="1"/>
      <c r="W10411" s="1"/>
      <c r="X10411" s="1"/>
      <c r="Y10411" s="1"/>
      <c r="Z10411" s="1"/>
      <c r="AA10411" s="1"/>
      <c r="AB10411" s="1"/>
    </row>
    <row r="10412" ht="50.25" customHeight="1">
      <c r="A10412" s="12">
        <v>10408.0</v>
      </c>
      <c r="B10412" s="13" t="s">
        <v>9604</v>
      </c>
      <c r="C10412" s="14" t="s">
        <v>10439</v>
      </c>
      <c r="D10412" s="1"/>
      <c r="E10412" s="1"/>
      <c r="F10412" s="1" t="str">
        <f>IFERROR(__xludf.DUMMYFUNCTION("GOOGLETRANSLATE(B10412, ""en"", ""fa"")
"),"موفقیت Etsy")</f>
        <v>موفقیت Etsy</v>
      </c>
      <c r="G10412" s="1" t="str">
        <f>IFERROR(__xludf.DUMMYFUNCTION("GOOGLETRANSLATE(C10412, ""en"", ""fa"")
"),"ملاحظات برای انتخاب شرکت های حمل و نقل و خدمات مناسب که تحویل قابل اعتماد و نرخ های رقابتی ارائه می دهند چیست؟")</f>
        <v>ملاحظات برای انتخاب شرکت های حمل و نقل و خدمات مناسب که تحویل قابل اعتماد و نرخ های رقابتی ارائه می دهند چیست؟</v>
      </c>
      <c r="H10412" s="1"/>
      <c r="I10412" s="1"/>
      <c r="J10412" s="1"/>
      <c r="K10412" s="1"/>
      <c r="L10412" s="1"/>
      <c r="M10412" s="1"/>
      <c r="N10412" s="1"/>
      <c r="O10412" s="1"/>
      <c r="P10412" s="1"/>
      <c r="Q10412" s="1"/>
      <c r="R10412" s="1"/>
      <c r="S10412" s="1"/>
      <c r="T10412" s="1"/>
      <c r="U10412" s="1"/>
      <c r="V10412" s="1"/>
      <c r="W10412" s="1"/>
      <c r="X10412" s="1"/>
      <c r="Y10412" s="1"/>
      <c r="Z10412" s="1"/>
      <c r="AA10412" s="1"/>
      <c r="AB10412" s="1"/>
    </row>
    <row r="10413" ht="50.25" customHeight="1">
      <c r="A10413" s="12">
        <v>10409.0</v>
      </c>
      <c r="B10413" s="13" t="s">
        <v>9604</v>
      </c>
      <c r="C10413" s="14" t="s">
        <v>10440</v>
      </c>
      <c r="D10413" s="1"/>
      <c r="E10413" s="1"/>
      <c r="F10413" s="1" t="str">
        <f>IFERROR(__xludf.DUMMYFUNCTION("GOOGLETRANSLATE(B10413, ""en"", ""fa"")
"),"موفقیت Etsy")</f>
        <v>موفقیت Etsy</v>
      </c>
      <c r="G10413" s="1" t="str">
        <f>IFERROR(__xludf.DUMMYFUNCTION("GOOGLETRANSLATE(C10413, ""en"", ""fa"")
"),"چگونه می توانم برچسب های حمل و نقل آموزنده و چشم نوازی ایجاد کنم که حاوی اطلاعات مهمی مانند آدرس های برگشت و دستورالعمل های جابجایی باشد؟")</f>
        <v>چگونه می توانم برچسب های حمل و نقل آموزنده و چشم نوازی ایجاد کنم که حاوی اطلاعات مهمی مانند آدرس های برگشت و دستورالعمل های جابجایی باشد؟</v>
      </c>
      <c r="H10413" s="1"/>
      <c r="I10413" s="1"/>
      <c r="J10413" s="1"/>
      <c r="K10413" s="1"/>
      <c r="L10413" s="1"/>
      <c r="M10413" s="1"/>
      <c r="N10413" s="1"/>
      <c r="O10413" s="1"/>
      <c r="P10413" s="1"/>
      <c r="Q10413" s="1"/>
      <c r="R10413" s="1"/>
      <c r="S10413" s="1"/>
      <c r="T10413" s="1"/>
      <c r="U10413" s="1"/>
      <c r="V10413" s="1"/>
      <c r="W10413" s="1"/>
      <c r="X10413" s="1"/>
      <c r="Y10413" s="1"/>
      <c r="Z10413" s="1"/>
      <c r="AA10413" s="1"/>
      <c r="AB10413" s="1"/>
    </row>
    <row r="10414" ht="50.25" customHeight="1">
      <c r="A10414" s="12">
        <v>10410.0</v>
      </c>
      <c r="B10414" s="13" t="s">
        <v>9604</v>
      </c>
      <c r="C10414" s="14" t="s">
        <v>10441</v>
      </c>
      <c r="D10414" s="1"/>
      <c r="E10414" s="1"/>
      <c r="F10414" s="1" t="str">
        <f>IFERROR(__xludf.DUMMYFUNCTION("GOOGLETRANSLATE(B10414, ""en"", ""fa"")
"),"موفقیت Etsy")</f>
        <v>موفقیت Etsy</v>
      </c>
      <c r="G10414" s="1" t="str">
        <f>IFERROR(__xludf.DUMMYFUNCTION("GOOGLETRANSLATE(C10414, ""en"", ""fa"")
"),"راهکارهایی برای بهینه سازی وزن و ابعاد بسته بندی من برای به حداقل رساندن هزینه های حمل و نقل بدون به خطر انداختن محافظت از محصول چیست؟")</f>
        <v>راهکارهایی برای بهینه سازی وزن و ابعاد بسته بندی من برای به حداقل رساندن هزینه های حمل و نقل بدون به خطر انداختن محافظت از محصول چیست؟</v>
      </c>
      <c r="H10414" s="1"/>
      <c r="I10414" s="1"/>
      <c r="J10414" s="1"/>
      <c r="K10414" s="1"/>
      <c r="L10414" s="1"/>
      <c r="M10414" s="1"/>
      <c r="N10414" s="1"/>
      <c r="O10414" s="1"/>
      <c r="P10414" s="1"/>
      <c r="Q10414" s="1"/>
      <c r="R10414" s="1"/>
      <c r="S10414" s="1"/>
      <c r="T10414" s="1"/>
      <c r="U10414" s="1"/>
      <c r="V10414" s="1"/>
      <c r="W10414" s="1"/>
      <c r="X10414" s="1"/>
      <c r="Y10414" s="1"/>
      <c r="Z10414" s="1"/>
      <c r="AA10414" s="1"/>
      <c r="AB10414" s="1"/>
    </row>
    <row r="10415" ht="50.25" customHeight="1">
      <c r="A10415" s="12">
        <v>10411.0</v>
      </c>
      <c r="B10415" s="13" t="s">
        <v>9604</v>
      </c>
      <c r="C10415" s="14" t="s">
        <v>10442</v>
      </c>
      <c r="D10415" s="1"/>
      <c r="E10415" s="1"/>
      <c r="F10415" s="1" t="str">
        <f>IFERROR(__xludf.DUMMYFUNCTION("GOOGLETRANSLATE(B10415, ""en"", ""fa"")
"),"موفقیت Etsy")</f>
        <v>موفقیت Etsy</v>
      </c>
      <c r="G10415" s="1" t="str">
        <f>IFERROR(__xludf.DUMMYFUNCTION("GOOGLETRANSLATE(C10415, ""en"", ""fa"")
"),"چگونه می‌توانم گزینه‌های بسته‌بندی شخصی‌شده، مانند پیام‌های هدیه یا یادداشت‌های سفارشی را برای برآوردن نیازها و ترجیحات خاص مشتریانم ارائه دهم؟")</f>
        <v>چگونه می‌توانم گزینه‌های بسته‌بندی شخصی‌شده، مانند پیام‌های هدیه یا یادداشت‌های سفارشی را برای برآوردن نیازها و ترجیحات خاص مشتریانم ارائه دهم؟</v>
      </c>
      <c r="H10415" s="1"/>
      <c r="I10415" s="1"/>
      <c r="J10415" s="1"/>
      <c r="K10415" s="1"/>
      <c r="L10415" s="1"/>
      <c r="M10415" s="1"/>
      <c r="N10415" s="1"/>
      <c r="O10415" s="1"/>
      <c r="P10415" s="1"/>
      <c r="Q10415" s="1"/>
      <c r="R10415" s="1"/>
      <c r="S10415" s="1"/>
      <c r="T10415" s="1"/>
      <c r="U10415" s="1"/>
      <c r="V10415" s="1"/>
      <c r="W10415" s="1"/>
      <c r="X10415" s="1"/>
      <c r="Y10415" s="1"/>
      <c r="Z10415" s="1"/>
      <c r="AA10415" s="1"/>
      <c r="AB10415" s="1"/>
    </row>
    <row r="10416" ht="50.25" customHeight="1">
      <c r="A10416" s="12">
        <v>10412.0</v>
      </c>
      <c r="B10416" s="13" t="s">
        <v>9604</v>
      </c>
      <c r="C10416" s="14" t="s">
        <v>10443</v>
      </c>
      <c r="D10416" s="1"/>
      <c r="E10416" s="1"/>
      <c r="F10416" s="1" t="str">
        <f>IFERROR(__xludf.DUMMYFUNCTION("GOOGLETRANSLATE(B10416, ""en"", ""fa"")
"),"موفقیت Etsy")</f>
        <v>موفقیت Etsy</v>
      </c>
      <c r="G10416" s="1" t="str">
        <f>IFERROR(__xludf.DUMMYFUNCTION("GOOGLETRANSLATE(C10416, ""en"", ""fa"")
"),"ملاحظات برای انتخاب گزینه های بیمه حمل و نقل مناسب برای محافظت از محصولاتم و ارائه پوشش در صورت مفقود شدن یا آسیب دیدن چیست؟")</f>
        <v>ملاحظات برای انتخاب گزینه های بیمه حمل و نقل مناسب برای محافظت از محصولاتم و ارائه پوشش در صورت مفقود شدن یا آسیب دیدن چیست؟</v>
      </c>
      <c r="H10416" s="1"/>
      <c r="I10416" s="1"/>
      <c r="J10416" s="1"/>
      <c r="K10416" s="1"/>
      <c r="L10416" s="1"/>
      <c r="M10416" s="1"/>
      <c r="N10416" s="1"/>
      <c r="O10416" s="1"/>
      <c r="P10416" s="1"/>
      <c r="Q10416" s="1"/>
      <c r="R10416" s="1"/>
      <c r="S10416" s="1"/>
      <c r="T10416" s="1"/>
      <c r="U10416" s="1"/>
      <c r="V10416" s="1"/>
      <c r="W10416" s="1"/>
      <c r="X10416" s="1"/>
      <c r="Y10416" s="1"/>
      <c r="Z10416" s="1"/>
      <c r="AA10416" s="1"/>
      <c r="AB10416" s="1"/>
    </row>
    <row r="10417" ht="50.25" customHeight="1">
      <c r="A10417" s="12">
        <v>10413.0</v>
      </c>
      <c r="B10417" s="13" t="s">
        <v>9604</v>
      </c>
      <c r="C10417" s="14" t="s">
        <v>10444</v>
      </c>
      <c r="D10417" s="1"/>
      <c r="E10417" s="1"/>
      <c r="F10417" s="1" t="str">
        <f>IFERROR(__xludf.DUMMYFUNCTION("GOOGLETRANSLATE(B10417, ""en"", ""fa"")
"),"موفقیت Etsy")</f>
        <v>موفقیت Etsy</v>
      </c>
      <c r="G10417" s="1" t="str">
        <f>IFERROR(__xludf.DUMMYFUNCTION("GOOGLETRANSLATE(C10417, ""en"", ""fa"")
"),"چگونه می توانم سیستمی را برای ردیابی و نظارت بر موجودی بسته بندی و حمل و نقل پیاده سازی کنم تا اطمینان حاصل کنم که هرگز مواد ضروری را تمام نمی کنم؟")</f>
        <v>چگونه می توانم سیستمی را برای ردیابی و نظارت بر موجودی بسته بندی و حمل و نقل پیاده سازی کنم تا اطمینان حاصل کنم که هرگز مواد ضروری را تمام نمی کنم؟</v>
      </c>
      <c r="H10417" s="1"/>
      <c r="I10417" s="1"/>
      <c r="J10417" s="1"/>
      <c r="K10417" s="1"/>
      <c r="L10417" s="1"/>
      <c r="M10417" s="1"/>
      <c r="N10417" s="1"/>
      <c r="O10417" s="1"/>
      <c r="P10417" s="1"/>
      <c r="Q10417" s="1"/>
      <c r="R10417" s="1"/>
      <c r="S10417" s="1"/>
      <c r="T10417" s="1"/>
      <c r="U10417" s="1"/>
      <c r="V10417" s="1"/>
      <c r="W10417" s="1"/>
      <c r="X10417" s="1"/>
      <c r="Y10417" s="1"/>
      <c r="Z10417" s="1"/>
      <c r="AA10417" s="1"/>
      <c r="AB10417" s="1"/>
    </row>
    <row r="10418" ht="50.25" customHeight="1">
      <c r="A10418" s="12">
        <v>10414.0</v>
      </c>
      <c r="B10418" s="13" t="s">
        <v>9604</v>
      </c>
      <c r="C10418" s="14" t="s">
        <v>10445</v>
      </c>
      <c r="D10418" s="1"/>
      <c r="E10418" s="1"/>
      <c r="F10418" s="1" t="str">
        <f>IFERROR(__xludf.DUMMYFUNCTION("GOOGLETRANSLATE(B10418, ""en"", ""fa"")
"),"موفقیت Etsy")</f>
        <v>موفقیت Etsy</v>
      </c>
      <c r="G10418" s="1" t="str">
        <f>IFERROR(__xludf.DUMMYFUNCTION("GOOGLETRANSLATE(C10418, ""en"", ""fa"")
"),"برای افزودن یک عنصر هیجان انگیز اضافی به بسته بندی من، چه راهکارهایی برای استفاده از لمس های خلاقانه، مانند دستمال کاغذی یا روبان رنگارنگ وجود دارد؟")</f>
        <v>برای افزودن یک عنصر هیجان انگیز اضافی به بسته بندی من، چه راهکارهایی برای استفاده از لمس های خلاقانه، مانند دستمال کاغذی یا روبان رنگارنگ وجود دارد؟</v>
      </c>
      <c r="H10418" s="1"/>
      <c r="I10418" s="1"/>
      <c r="J10418" s="1"/>
      <c r="K10418" s="1"/>
      <c r="L10418" s="1"/>
      <c r="M10418" s="1"/>
      <c r="N10418" s="1"/>
      <c r="O10418" s="1"/>
      <c r="P10418" s="1"/>
      <c r="Q10418" s="1"/>
      <c r="R10418" s="1"/>
      <c r="S10418" s="1"/>
      <c r="T10418" s="1"/>
      <c r="U10418" s="1"/>
      <c r="V10418" s="1"/>
      <c r="W10418" s="1"/>
      <c r="X10418" s="1"/>
      <c r="Y10418" s="1"/>
      <c r="Z10418" s="1"/>
      <c r="AA10418" s="1"/>
      <c r="AB10418" s="1"/>
    </row>
    <row r="10419" ht="50.25" customHeight="1">
      <c r="A10419" s="12">
        <v>10415.0</v>
      </c>
      <c r="B10419" s="13" t="s">
        <v>9604</v>
      </c>
      <c r="C10419" s="14" t="s">
        <v>10446</v>
      </c>
      <c r="D10419" s="1"/>
      <c r="E10419" s="1"/>
      <c r="F10419" s="1" t="str">
        <f>IFERROR(__xludf.DUMMYFUNCTION("GOOGLETRANSLATE(B10419, ""en"", ""fa"")
"),"موفقیت Etsy")</f>
        <v>موفقیت Etsy</v>
      </c>
      <c r="G10419" s="1" t="str">
        <f>IFERROR(__xludf.DUMMYFUNCTION("GOOGLETRANSLATE(C10419, ""en"", ""fa"")
"),"چگونه می‌توانم از درج‌های بسته‌بندی، مانند کوپن‌های تخفیف یا نمونه‌های محصول، برای تشویق وفاداری مشتری و خریدهای تکراری استفاده کنم؟")</f>
        <v>چگونه می‌توانم از درج‌های بسته‌بندی، مانند کوپن‌های تخفیف یا نمونه‌های محصول، برای تشویق وفاداری مشتری و خریدهای تکراری استفاده کنم؟</v>
      </c>
      <c r="H10419" s="1"/>
      <c r="I10419" s="1"/>
      <c r="J10419" s="1"/>
      <c r="K10419" s="1"/>
      <c r="L10419" s="1"/>
      <c r="M10419" s="1"/>
      <c r="N10419" s="1"/>
      <c r="O10419" s="1"/>
      <c r="P10419" s="1"/>
      <c r="Q10419" s="1"/>
      <c r="R10419" s="1"/>
      <c r="S10419" s="1"/>
      <c r="T10419" s="1"/>
      <c r="U10419" s="1"/>
      <c r="V10419" s="1"/>
      <c r="W10419" s="1"/>
      <c r="X10419" s="1"/>
      <c r="Y10419" s="1"/>
      <c r="Z10419" s="1"/>
      <c r="AA10419" s="1"/>
      <c r="AB10419" s="1"/>
    </row>
    <row r="10420" ht="50.25" customHeight="1">
      <c r="A10420" s="12">
        <v>10416.0</v>
      </c>
      <c r="B10420" s="13" t="s">
        <v>9604</v>
      </c>
      <c r="C10420" s="14" t="s">
        <v>10447</v>
      </c>
      <c r="D10420" s="1"/>
      <c r="E10420" s="1"/>
      <c r="F10420" s="1" t="str">
        <f>IFERROR(__xludf.DUMMYFUNCTION("GOOGLETRANSLATE(B10420, ""en"", ""fa"")
"),"موفقیت Etsy")</f>
        <v>موفقیت Etsy</v>
      </c>
      <c r="G10420" s="1" t="str">
        <f>IFERROR(__xludf.DUMMYFUNCTION("GOOGLETRANSLATE(C10420, ""en"", ""fa"")
"),"ملاحظات رعایت مقررات بین المللی حمل و نقل و الزامات گمرکی هنگام ارسال محصولات به مشتریان در کشورهای مختلف چیست؟")</f>
        <v>ملاحظات رعایت مقررات بین المللی حمل و نقل و الزامات گمرکی هنگام ارسال محصولات به مشتریان در کشورهای مختلف چیست؟</v>
      </c>
      <c r="H10420" s="1"/>
      <c r="I10420" s="1"/>
      <c r="J10420" s="1"/>
      <c r="K10420" s="1"/>
      <c r="L10420" s="1"/>
      <c r="M10420" s="1"/>
      <c r="N10420" s="1"/>
      <c r="O10420" s="1"/>
      <c r="P10420" s="1"/>
      <c r="Q10420" s="1"/>
      <c r="R10420" s="1"/>
      <c r="S10420" s="1"/>
      <c r="T10420" s="1"/>
      <c r="U10420" s="1"/>
      <c r="V10420" s="1"/>
      <c r="W10420" s="1"/>
      <c r="X10420" s="1"/>
      <c r="Y10420" s="1"/>
      <c r="Z10420" s="1"/>
      <c r="AA10420" s="1"/>
      <c r="AB10420" s="1"/>
    </row>
    <row r="10421" ht="50.25" customHeight="1">
      <c r="A10421" s="12">
        <v>10417.0</v>
      </c>
      <c r="B10421" s="13" t="s">
        <v>9604</v>
      </c>
      <c r="C10421" s="14" t="s">
        <v>10448</v>
      </c>
      <c r="D10421" s="1"/>
      <c r="E10421" s="1"/>
      <c r="F10421" s="1" t="str">
        <f>IFERROR(__xludf.DUMMYFUNCTION("GOOGLETRANSLATE(B10421, ""en"", ""fa"")
"),"موفقیت Etsy")</f>
        <v>موفقیت Etsy</v>
      </c>
      <c r="G10421" s="1" t="str">
        <f>IFERROR(__xludf.DUMMYFUNCTION("GOOGLETRANSLATE(C10421, ""en"", ""fa"")
"),"چگونه می توانم گزینه های حمل و نقل سریع را برای مشتریانی که به زمان تحویل سریعتر نیاز دارند ارائه دهم، و ملاحظات برای قیمت گذاری این گزینه ها چیست؟")</f>
        <v>چگونه می توانم گزینه های حمل و نقل سریع را برای مشتریانی که به زمان تحویل سریعتر نیاز دارند ارائه دهم، و ملاحظات برای قیمت گذاری این گزینه ها چیست؟</v>
      </c>
      <c r="H10421" s="1"/>
      <c r="I10421" s="1"/>
      <c r="J10421" s="1"/>
      <c r="K10421" s="1"/>
      <c r="L10421" s="1"/>
      <c r="M10421" s="1"/>
      <c r="N10421" s="1"/>
      <c r="O10421" s="1"/>
      <c r="P10421" s="1"/>
      <c r="Q10421" s="1"/>
      <c r="R10421" s="1"/>
      <c r="S10421" s="1"/>
      <c r="T10421" s="1"/>
      <c r="U10421" s="1"/>
      <c r="V10421" s="1"/>
      <c r="W10421" s="1"/>
      <c r="X10421" s="1"/>
      <c r="Y10421" s="1"/>
      <c r="Z10421" s="1"/>
      <c r="AA10421" s="1"/>
      <c r="AB10421" s="1"/>
    </row>
    <row r="10422" ht="50.25" customHeight="1">
      <c r="A10422" s="12">
        <v>10418.0</v>
      </c>
      <c r="B10422" s="13" t="s">
        <v>9604</v>
      </c>
      <c r="C10422" s="14" t="s">
        <v>10449</v>
      </c>
      <c r="D10422" s="1"/>
      <c r="E10422" s="1"/>
      <c r="F10422" s="1" t="str">
        <f>IFERROR(__xludf.DUMMYFUNCTION("GOOGLETRANSLATE(B10422, ""en"", ""fa"")
"),"موفقیت Etsy")</f>
        <v>موفقیت Etsy</v>
      </c>
      <c r="G10422" s="1" t="str">
        <f>IFERROR(__xludf.DUMMYFUNCTION("GOOGLETRANSLATE(C10422, ""en"", ""fa"")
"),"استراتژی‌هایی برای مدیریت و پیگیری هزینه‌های حمل و نقل مرتبط با هر سفارش برای اطمینان از قیمت‌گذاری و سودآوری دقیق چیست؟")</f>
        <v>استراتژی‌هایی برای مدیریت و پیگیری هزینه‌های حمل و نقل مرتبط با هر سفارش برای اطمینان از قیمت‌گذاری و سودآوری دقیق چیست؟</v>
      </c>
      <c r="H10422" s="1"/>
      <c r="I10422" s="1"/>
      <c r="J10422" s="1"/>
      <c r="K10422" s="1"/>
      <c r="L10422" s="1"/>
      <c r="M10422" s="1"/>
      <c r="N10422" s="1"/>
      <c r="O10422" s="1"/>
      <c r="P10422" s="1"/>
      <c r="Q10422" s="1"/>
      <c r="R10422" s="1"/>
      <c r="S10422" s="1"/>
      <c r="T10422" s="1"/>
      <c r="U10422" s="1"/>
      <c r="V10422" s="1"/>
      <c r="W10422" s="1"/>
      <c r="X10422" s="1"/>
      <c r="Y10422" s="1"/>
      <c r="Z10422" s="1"/>
      <c r="AA10422" s="1"/>
      <c r="AB10422" s="1"/>
    </row>
    <row r="10423" ht="50.25" customHeight="1">
      <c r="A10423" s="12">
        <v>10419.0</v>
      </c>
      <c r="B10423" s="13" t="s">
        <v>9604</v>
      </c>
      <c r="C10423" s="14" t="s">
        <v>10450</v>
      </c>
      <c r="D10423" s="1"/>
      <c r="E10423" s="1"/>
      <c r="F10423" s="1" t="str">
        <f>IFERROR(__xludf.DUMMYFUNCTION("GOOGLETRANSLATE(B10423, ""en"", ""fa"")
"),"موفقیت Etsy")</f>
        <v>موفقیت Etsy</v>
      </c>
      <c r="G10423" s="1" t="str">
        <f>IFERROR(__xludf.DUMMYFUNCTION("GOOGLETRANSLATE(C10423, ""en"", ""fa"")
"),"چگونه می توانم از اعلان های ردیابی بسته و به روز رسانی های تحویل برای برقراری ارتباط فعالانه با مشتریانم و رسیدگی به مشکلات احتمالی تحویل استفاده کنم؟")</f>
        <v>چگونه می توانم از اعلان های ردیابی بسته و به روز رسانی های تحویل برای برقراری ارتباط فعالانه با مشتریانم و رسیدگی به مشکلات احتمالی تحویل استفاده کنم؟</v>
      </c>
      <c r="H10423" s="1"/>
      <c r="I10423" s="1"/>
      <c r="J10423" s="1"/>
      <c r="K10423" s="1"/>
      <c r="L10423" s="1"/>
      <c r="M10423" s="1"/>
      <c r="N10423" s="1"/>
      <c r="O10423" s="1"/>
      <c r="P10423" s="1"/>
      <c r="Q10423" s="1"/>
      <c r="R10423" s="1"/>
      <c r="S10423" s="1"/>
      <c r="T10423" s="1"/>
      <c r="U10423" s="1"/>
      <c r="V10423" s="1"/>
      <c r="W10423" s="1"/>
      <c r="X10423" s="1"/>
      <c r="Y10423" s="1"/>
      <c r="Z10423" s="1"/>
      <c r="AA10423" s="1"/>
      <c r="AB10423" s="1"/>
    </row>
    <row r="10424" ht="50.25" customHeight="1">
      <c r="A10424" s="12">
        <v>10420.0</v>
      </c>
      <c r="B10424" s="13" t="s">
        <v>9604</v>
      </c>
      <c r="C10424" s="14" t="s">
        <v>10451</v>
      </c>
      <c r="D10424" s="1"/>
      <c r="E10424" s="1"/>
      <c r="F10424" s="1" t="str">
        <f>IFERROR(__xludf.DUMMYFUNCTION("GOOGLETRANSLATE(B10424, ""en"", ""fa"")
"),"موفقیت Etsy")</f>
        <v>موفقیت Etsy</v>
      </c>
      <c r="G10424" s="1" t="str">
        <f>IFERROR(__xludf.DUMMYFUNCTION("GOOGLETRANSLATE(C10424, ""en"", ""fa"")
"),"ملاحظات برای انتخاب شرکت حمل و نقل مناسب بر اساس عواملی مانند سرعت تحویل، قابلیت اطمینان و منطقه تحت پوشش چیست؟")</f>
        <v>ملاحظات برای انتخاب شرکت حمل و نقل مناسب بر اساس عواملی مانند سرعت تحویل، قابلیت اطمینان و منطقه تحت پوشش چیست؟</v>
      </c>
      <c r="H10424" s="1"/>
      <c r="I10424" s="1"/>
      <c r="J10424" s="1"/>
      <c r="K10424" s="1"/>
      <c r="L10424" s="1"/>
      <c r="M10424" s="1"/>
      <c r="N10424" s="1"/>
      <c r="O10424" s="1"/>
      <c r="P10424" s="1"/>
      <c r="Q10424" s="1"/>
      <c r="R10424" s="1"/>
      <c r="S10424" s="1"/>
      <c r="T10424" s="1"/>
      <c r="U10424" s="1"/>
      <c r="V10424" s="1"/>
      <c r="W10424" s="1"/>
      <c r="X10424" s="1"/>
      <c r="Y10424" s="1"/>
      <c r="Z10424" s="1"/>
      <c r="AA10424" s="1"/>
      <c r="AB10424" s="1"/>
    </row>
    <row r="10425" ht="50.25" customHeight="1">
      <c r="A10425" s="12">
        <v>10421.0</v>
      </c>
      <c r="B10425" s="13" t="s">
        <v>9604</v>
      </c>
      <c r="C10425" s="14" t="s">
        <v>10452</v>
      </c>
      <c r="D10425" s="1"/>
      <c r="E10425" s="1"/>
      <c r="F10425" s="1" t="str">
        <f>IFERROR(__xludf.DUMMYFUNCTION("GOOGLETRANSLATE(B10425, ""en"", ""fa"")
"),"موفقیت Etsy")</f>
        <v>موفقیت Etsy</v>
      </c>
      <c r="G10425" s="1" t="str">
        <f>IFERROR(__xludf.DUMMYFUNCTION("GOOGLETRANSLATE(C10425, ""en"", ""fa"")
"),"چگونه می توانم یک طراحی بسته بندی منسجم و مطابق با نام تجاری ایجاد کنم که با سبک و زیبایی شناسی محصولات من و فروشگاه Etsy هماهنگ باشد؟")</f>
        <v>چگونه می توانم یک طراحی بسته بندی منسجم و مطابق با نام تجاری ایجاد کنم که با سبک و زیبایی شناسی محصولات من و فروشگاه Etsy هماهنگ باشد؟</v>
      </c>
      <c r="H10425" s="1"/>
      <c r="I10425" s="1"/>
      <c r="J10425" s="1"/>
      <c r="K10425" s="1"/>
      <c r="L10425" s="1"/>
      <c r="M10425" s="1"/>
      <c r="N10425" s="1"/>
      <c r="O10425" s="1"/>
      <c r="P10425" s="1"/>
      <c r="Q10425" s="1"/>
      <c r="R10425" s="1"/>
      <c r="S10425" s="1"/>
      <c r="T10425" s="1"/>
      <c r="U10425" s="1"/>
      <c r="V10425" s="1"/>
      <c r="W10425" s="1"/>
      <c r="X10425" s="1"/>
      <c r="Y10425" s="1"/>
      <c r="Z10425" s="1"/>
      <c r="AA10425" s="1"/>
      <c r="AB10425" s="1"/>
    </row>
    <row r="10426" ht="50.25" customHeight="1">
      <c r="A10426" s="12">
        <v>10422.0</v>
      </c>
      <c r="B10426" s="13" t="s">
        <v>9604</v>
      </c>
      <c r="C10426" s="14" t="s">
        <v>10453</v>
      </c>
      <c r="D10426" s="1"/>
      <c r="E10426" s="1"/>
      <c r="F10426" s="1" t="str">
        <f>IFERROR(__xludf.DUMMYFUNCTION("GOOGLETRANSLATE(B10426, ""en"", ""fa"")
"),"موفقیت Etsy")</f>
        <v>موفقیت Etsy</v>
      </c>
      <c r="G10426" s="1" t="str">
        <f>IFERROR(__xludf.DUMMYFUNCTION("GOOGLETRANSLATE(C10426, ""en"", ""fa"")
"),"استراتژی‌هایی برای تجزیه و تحلیل عملکرد تنوع یا گزینه‌های مختلف محصول از نظر محبوبیت، ترجیحات مشتری و سودآوری چیست؟")</f>
        <v>استراتژی‌هایی برای تجزیه و تحلیل عملکرد تنوع یا گزینه‌های مختلف محصول از نظر محبوبیت، ترجیحات مشتری و سودآوری چیست؟</v>
      </c>
      <c r="H10426" s="1"/>
      <c r="I10426" s="1"/>
      <c r="J10426" s="1"/>
      <c r="K10426" s="1"/>
      <c r="L10426" s="1"/>
      <c r="M10426" s="1"/>
      <c r="N10426" s="1"/>
      <c r="O10426" s="1"/>
      <c r="P10426" s="1"/>
      <c r="Q10426" s="1"/>
      <c r="R10426" s="1"/>
      <c r="S10426" s="1"/>
      <c r="T10426" s="1"/>
      <c r="U10426" s="1"/>
      <c r="V10426" s="1"/>
      <c r="W10426" s="1"/>
      <c r="X10426" s="1"/>
      <c r="Y10426" s="1"/>
      <c r="Z10426" s="1"/>
      <c r="AA10426" s="1"/>
      <c r="AB10426" s="1"/>
    </row>
    <row r="10427" ht="50.25" customHeight="1">
      <c r="A10427" s="12">
        <v>10423.0</v>
      </c>
      <c r="B10427" s="13" t="s">
        <v>9604</v>
      </c>
      <c r="C10427" s="14" t="s">
        <v>10454</v>
      </c>
      <c r="D10427" s="1"/>
      <c r="E10427" s="1"/>
      <c r="F10427" s="1" t="str">
        <f>IFERROR(__xludf.DUMMYFUNCTION("GOOGLETRANSLATE(B10427, ""en"", ""fa"")
"),"موفقیت Etsy")</f>
        <v>موفقیت Etsy</v>
      </c>
      <c r="G10427" s="1" t="str">
        <f>IFERROR(__xludf.DUMMYFUNCTION("GOOGLETRANSLATE(C10427, ""en"", ""fa"")
"),"چگونه می‌توانم تأثیر تعامل و تعامل با مشتری، مانند نظرات یا لایک‌ها، بر روی دید و دسترسی فهرست‌های فروشگاه Etsy خود را ردیابی و تجزیه و تحلیل کنم؟")</f>
        <v>چگونه می‌توانم تأثیر تعامل و تعامل با مشتری، مانند نظرات یا لایک‌ها، بر روی دید و دسترسی فهرست‌های فروشگاه Etsy خود را ردیابی و تجزیه و تحلیل کنم؟</v>
      </c>
      <c r="H10427" s="1"/>
      <c r="I10427" s="1"/>
      <c r="J10427" s="1"/>
      <c r="K10427" s="1"/>
      <c r="L10427" s="1"/>
      <c r="M10427" s="1"/>
      <c r="N10427" s="1"/>
      <c r="O10427" s="1"/>
      <c r="P10427" s="1"/>
      <c r="Q10427" s="1"/>
      <c r="R10427" s="1"/>
      <c r="S10427" s="1"/>
      <c r="T10427" s="1"/>
      <c r="U10427" s="1"/>
      <c r="V10427" s="1"/>
      <c r="W10427" s="1"/>
      <c r="X10427" s="1"/>
      <c r="Y10427" s="1"/>
      <c r="Z10427" s="1"/>
      <c r="AA10427" s="1"/>
      <c r="AB10427" s="1"/>
    </row>
    <row r="10428" ht="50.25" customHeight="1">
      <c r="A10428" s="12">
        <v>10424.0</v>
      </c>
      <c r="B10428" s="13" t="s">
        <v>9604</v>
      </c>
      <c r="C10428" s="14" t="s">
        <v>10455</v>
      </c>
      <c r="D10428" s="1"/>
      <c r="E10428" s="1"/>
      <c r="F10428" s="1" t="str">
        <f>IFERROR(__xludf.DUMMYFUNCTION("GOOGLETRANSLATE(B10428, ""en"", ""fa"")
"),"موفقیت Etsy")</f>
        <v>موفقیت Etsy</v>
      </c>
      <c r="G10428" s="1" t="str">
        <f>IFERROR(__xludf.DUMMYFUNCTION("GOOGLETRANSLATE(C10428, ""en"", ""fa"")
"),"ملاحظات انجام تجزیه و تحلیل روند در داده های فروش فروشگاه Etsy من برای شناسایی روندهای بازار در حال ظهور، ترجیحات مشتری یا فرصت های محصول چیست؟")</f>
        <v>ملاحظات انجام تجزیه و تحلیل روند در داده های فروش فروشگاه Etsy من برای شناسایی روندهای بازار در حال ظهور، ترجیحات مشتری یا فرصت های محصول چیست؟</v>
      </c>
      <c r="H10428" s="1"/>
      <c r="I10428" s="1"/>
      <c r="J10428" s="1"/>
      <c r="K10428" s="1"/>
      <c r="L10428" s="1"/>
      <c r="M10428" s="1"/>
      <c r="N10428" s="1"/>
      <c r="O10428" s="1"/>
      <c r="P10428" s="1"/>
      <c r="Q10428" s="1"/>
      <c r="R10428" s="1"/>
      <c r="S10428" s="1"/>
      <c r="T10428" s="1"/>
      <c r="U10428" s="1"/>
      <c r="V10428" s="1"/>
      <c r="W10428" s="1"/>
      <c r="X10428" s="1"/>
      <c r="Y10428" s="1"/>
      <c r="Z10428" s="1"/>
      <c r="AA10428" s="1"/>
      <c r="AB10428" s="1"/>
    </row>
    <row r="10429" ht="50.25" customHeight="1">
      <c r="A10429" s="12">
        <v>10425.0</v>
      </c>
      <c r="B10429" s="13" t="s">
        <v>9604</v>
      </c>
      <c r="C10429" s="14" t="s">
        <v>10456</v>
      </c>
      <c r="D10429" s="1"/>
      <c r="E10429" s="1"/>
      <c r="F10429" s="1" t="str">
        <f>IFERROR(__xludf.DUMMYFUNCTION("GOOGLETRANSLATE(B10429, ""en"", ""fa"")
"),"موفقیت Etsy")</f>
        <v>موفقیت Etsy</v>
      </c>
      <c r="G10429" s="1" t="str">
        <f>IFERROR(__xludf.DUMMYFUNCTION("GOOGLETRANSLATE(C10429, ""en"", ""fa"")
"),"چگونه می توانم به طور موثر نظرات مشتریان را برای فروشگاه Etsy خود نظارت و پیگیری کنم؟")</f>
        <v>چگونه می توانم به طور موثر نظرات مشتریان را برای فروشگاه Etsy خود نظارت و پیگیری کنم؟</v>
      </c>
      <c r="H10429" s="1"/>
      <c r="I10429" s="1"/>
      <c r="J10429" s="1"/>
      <c r="K10429" s="1"/>
      <c r="L10429" s="1"/>
      <c r="M10429" s="1"/>
      <c r="N10429" s="1"/>
      <c r="O10429" s="1"/>
      <c r="P10429" s="1"/>
      <c r="Q10429" s="1"/>
      <c r="R10429" s="1"/>
      <c r="S10429" s="1"/>
      <c r="T10429" s="1"/>
      <c r="U10429" s="1"/>
      <c r="V10429" s="1"/>
      <c r="W10429" s="1"/>
      <c r="X10429" s="1"/>
      <c r="Y10429" s="1"/>
      <c r="Z10429" s="1"/>
      <c r="AA10429" s="1"/>
      <c r="AB10429" s="1"/>
    </row>
    <row r="10430" ht="50.25" customHeight="1">
      <c r="A10430" s="12">
        <v>10426.0</v>
      </c>
      <c r="B10430" s="13" t="s">
        <v>9604</v>
      </c>
      <c r="C10430" s="14" t="s">
        <v>10457</v>
      </c>
      <c r="D10430" s="1"/>
      <c r="E10430" s="1"/>
      <c r="F10430" s="1" t="str">
        <f>IFERROR(__xludf.DUMMYFUNCTION("GOOGLETRANSLATE(B10430, ""en"", ""fa"")
"),"موفقیت Etsy")</f>
        <v>موفقیت Etsy</v>
      </c>
      <c r="G10430" s="1" t="str">
        <f>IFERROR(__xludf.DUMMYFUNCTION("GOOGLETRANSLATE(C10430, ""en"", ""fa"")
"),"راهبردهای پاسخ به نظرات مثبت مشتریان در Etsy چیست؟")</f>
        <v>راهبردهای پاسخ به نظرات مثبت مشتریان در Etsy چیست؟</v>
      </c>
      <c r="H10430" s="1"/>
      <c r="I10430" s="1"/>
      <c r="J10430" s="1"/>
      <c r="K10430" s="1"/>
      <c r="L10430" s="1"/>
      <c r="M10430" s="1"/>
      <c r="N10430" s="1"/>
      <c r="O10430" s="1"/>
      <c r="P10430" s="1"/>
      <c r="Q10430" s="1"/>
      <c r="R10430" s="1"/>
      <c r="S10430" s="1"/>
      <c r="T10430" s="1"/>
      <c r="U10430" s="1"/>
      <c r="V10430" s="1"/>
      <c r="W10430" s="1"/>
      <c r="X10430" s="1"/>
      <c r="Y10430" s="1"/>
      <c r="Z10430" s="1"/>
      <c r="AA10430" s="1"/>
      <c r="AB10430" s="1"/>
    </row>
    <row r="10431" ht="50.25" customHeight="1">
      <c r="A10431" s="12">
        <v>10427.0</v>
      </c>
      <c r="B10431" s="13" t="s">
        <v>9604</v>
      </c>
      <c r="C10431" s="14" t="s">
        <v>10458</v>
      </c>
      <c r="D10431" s="1"/>
      <c r="E10431" s="1"/>
      <c r="F10431" s="1" t="str">
        <f>IFERROR(__xludf.DUMMYFUNCTION("GOOGLETRANSLATE(B10431, ""en"", ""fa"")
"),"موفقیت Etsy")</f>
        <v>موفقیت Etsy</v>
      </c>
      <c r="G10431" s="1" t="str">
        <f>IFERROR(__xludf.DUMMYFUNCTION("GOOGLETRANSLATE(C10431, ""en"", ""fa"")
"),"چگونه می توانم به نظرات منفی مشتریان در Etsy به شیوه ای حرفه ای و سازنده پاسخ دهم؟")</f>
        <v>چگونه می توانم به نظرات منفی مشتریان در Etsy به شیوه ای حرفه ای و سازنده پاسخ دهم؟</v>
      </c>
      <c r="H10431" s="1"/>
      <c r="I10431" s="1"/>
      <c r="J10431" s="1"/>
      <c r="K10431" s="1"/>
      <c r="L10431" s="1"/>
      <c r="M10431" s="1"/>
      <c r="N10431" s="1"/>
      <c r="O10431" s="1"/>
      <c r="P10431" s="1"/>
      <c r="Q10431" s="1"/>
      <c r="R10431" s="1"/>
      <c r="S10431" s="1"/>
      <c r="T10431" s="1"/>
      <c r="U10431" s="1"/>
      <c r="V10431" s="1"/>
      <c r="W10431" s="1"/>
      <c r="X10431" s="1"/>
      <c r="Y10431" s="1"/>
      <c r="Z10431" s="1"/>
      <c r="AA10431" s="1"/>
      <c r="AB10431" s="1"/>
    </row>
    <row r="10432" ht="50.25" customHeight="1">
      <c r="A10432" s="12">
        <v>10428.0</v>
      </c>
      <c r="B10432" s="13" t="s">
        <v>9604</v>
      </c>
      <c r="C10432" s="14" t="s">
        <v>10459</v>
      </c>
      <c r="D10432" s="1"/>
      <c r="E10432" s="1"/>
      <c r="F10432" s="1" t="str">
        <f>IFERROR(__xludf.DUMMYFUNCTION("GOOGLETRANSLATE(B10432, ""en"", ""fa"")
"),"موفقیت Etsy")</f>
        <v>موفقیت Etsy</v>
      </c>
      <c r="G10432" s="1" t="str">
        <f>IFERROR(__xludf.DUMMYFUNCTION("GOOGLETRANSLATE(C10432, ""en"", ""fa"")
"),"بهترین روش‌ها برای تشویق مشتریان به اظهار نظر در Etsy پس از خرید چیست؟")</f>
        <v>بهترین روش‌ها برای تشویق مشتریان به اظهار نظر در Etsy پس از خرید چیست؟</v>
      </c>
      <c r="H10432" s="1"/>
      <c r="I10432" s="1"/>
      <c r="J10432" s="1"/>
      <c r="K10432" s="1"/>
      <c r="L10432" s="1"/>
      <c r="M10432" s="1"/>
      <c r="N10432" s="1"/>
      <c r="O10432" s="1"/>
      <c r="P10432" s="1"/>
      <c r="Q10432" s="1"/>
      <c r="R10432" s="1"/>
      <c r="S10432" s="1"/>
      <c r="T10432" s="1"/>
      <c r="U10432" s="1"/>
      <c r="V10432" s="1"/>
      <c r="W10432" s="1"/>
      <c r="X10432" s="1"/>
      <c r="Y10432" s="1"/>
      <c r="Z10432" s="1"/>
      <c r="AA10432" s="1"/>
      <c r="AB10432" s="1"/>
    </row>
    <row r="10433" ht="50.25" customHeight="1">
      <c r="A10433" s="12">
        <v>10429.0</v>
      </c>
      <c r="B10433" s="13" t="s">
        <v>9604</v>
      </c>
      <c r="C10433" s="14" t="s">
        <v>10460</v>
      </c>
      <c r="D10433" s="1"/>
      <c r="E10433" s="1"/>
      <c r="F10433" s="1" t="str">
        <f>IFERROR(__xludf.DUMMYFUNCTION("GOOGLETRANSLATE(B10433, ""en"", ""fa"")
"),"موفقیت Etsy")</f>
        <v>موفقیت Etsy</v>
      </c>
      <c r="G10433" s="1" t="str">
        <f>IFERROR(__xludf.DUMMYFUNCTION("GOOGLETRANSLATE(C10433, ""en"", ""fa"")
"),"چگونه می توانم از نظرات مشتریان برای بهبود کیفیت و ارزش محصولاتم در Etsy استفاده کنم؟")</f>
        <v>چگونه می توانم از نظرات مشتریان برای بهبود کیفیت و ارزش محصولاتم در Etsy استفاده کنم؟</v>
      </c>
      <c r="H10433" s="1"/>
      <c r="I10433" s="1"/>
      <c r="J10433" s="1"/>
      <c r="K10433" s="1"/>
      <c r="L10433" s="1"/>
      <c r="M10433" s="1"/>
      <c r="N10433" s="1"/>
      <c r="O10433" s="1"/>
      <c r="P10433" s="1"/>
      <c r="Q10433" s="1"/>
      <c r="R10433" s="1"/>
      <c r="S10433" s="1"/>
      <c r="T10433" s="1"/>
      <c r="U10433" s="1"/>
      <c r="V10433" s="1"/>
      <c r="W10433" s="1"/>
      <c r="X10433" s="1"/>
      <c r="Y10433" s="1"/>
      <c r="Z10433" s="1"/>
      <c r="AA10433" s="1"/>
      <c r="AB10433" s="1"/>
    </row>
    <row r="10434" ht="50.25" customHeight="1">
      <c r="A10434" s="12">
        <v>10430.0</v>
      </c>
      <c r="B10434" s="13" t="s">
        <v>9604</v>
      </c>
      <c r="C10434" s="14" t="s">
        <v>10461</v>
      </c>
      <c r="D10434" s="1"/>
      <c r="E10434" s="1"/>
      <c r="F10434" s="1" t="str">
        <f>IFERROR(__xludf.DUMMYFUNCTION("GOOGLETRANSLATE(B10434, ""en"", ""fa"")
"),"موفقیت Etsy")</f>
        <v>موفقیت Etsy</v>
      </c>
      <c r="G10434" s="1" t="str">
        <f>IFERROR(__xludf.DUMMYFUNCTION("GOOGLETRANSLATE(C10434, ""en"", ""fa"")
"),"ملاحظات برای برخورد با بررسی های جعلی یا مخرب در Etsy چیست؟")</f>
        <v>ملاحظات برای برخورد با بررسی های جعلی یا مخرب در Etsy چیست؟</v>
      </c>
      <c r="H10434" s="1"/>
      <c r="I10434" s="1"/>
      <c r="J10434" s="1"/>
      <c r="K10434" s="1"/>
      <c r="L10434" s="1"/>
      <c r="M10434" s="1"/>
      <c r="N10434" s="1"/>
      <c r="O10434" s="1"/>
      <c r="P10434" s="1"/>
      <c r="Q10434" s="1"/>
      <c r="R10434" s="1"/>
      <c r="S10434" s="1"/>
      <c r="T10434" s="1"/>
      <c r="U10434" s="1"/>
      <c r="V10434" s="1"/>
      <c r="W10434" s="1"/>
      <c r="X10434" s="1"/>
      <c r="Y10434" s="1"/>
      <c r="Z10434" s="1"/>
      <c r="AA10434" s="1"/>
      <c r="AB10434" s="1"/>
    </row>
    <row r="10435" ht="50.25" customHeight="1">
      <c r="A10435" s="12">
        <v>10431.0</v>
      </c>
      <c r="B10435" s="13" t="s">
        <v>9604</v>
      </c>
      <c r="C10435" s="14" t="s">
        <v>10462</v>
      </c>
      <c r="D10435" s="1"/>
      <c r="E10435" s="1"/>
      <c r="F10435" s="1" t="str">
        <f>IFERROR(__xludf.DUMMYFUNCTION("GOOGLETRANSLATE(B10435, ""en"", ""fa"")
"),"موفقیت Etsy")</f>
        <v>موفقیت Etsy</v>
      </c>
      <c r="G10435" s="1" t="str">
        <f>IFERROR(__xludf.DUMMYFUNCTION("GOOGLETRANSLATE(C10435, ""en"", ""fa"")
"),"چگونه می توانم از نظرات مثبت مشتریان به عنوان گواهی اجتماعی و گواهی برای فروشگاه Etsy خود استفاده کنم؟")</f>
        <v>چگونه می توانم از نظرات مثبت مشتریان به عنوان گواهی اجتماعی و گواهی برای فروشگاه Etsy خود استفاده کنم؟</v>
      </c>
      <c r="H10435" s="1"/>
      <c r="I10435" s="1"/>
      <c r="J10435" s="1"/>
      <c r="K10435" s="1"/>
      <c r="L10435" s="1"/>
      <c r="M10435" s="1"/>
      <c r="N10435" s="1"/>
      <c r="O10435" s="1"/>
      <c r="P10435" s="1"/>
      <c r="Q10435" s="1"/>
      <c r="R10435" s="1"/>
      <c r="S10435" s="1"/>
      <c r="T10435" s="1"/>
      <c r="U10435" s="1"/>
      <c r="V10435" s="1"/>
      <c r="W10435" s="1"/>
      <c r="X10435" s="1"/>
      <c r="Y10435" s="1"/>
      <c r="Z10435" s="1"/>
      <c r="AA10435" s="1"/>
      <c r="AB10435" s="1"/>
    </row>
    <row r="10436" ht="50.25" customHeight="1">
      <c r="A10436" s="12">
        <v>10432.0</v>
      </c>
      <c r="B10436" s="13" t="s">
        <v>9604</v>
      </c>
      <c r="C10436" s="14" t="s">
        <v>10463</v>
      </c>
      <c r="D10436" s="1"/>
      <c r="E10436" s="1"/>
      <c r="F10436" s="1" t="str">
        <f>IFERROR(__xludf.DUMMYFUNCTION("GOOGLETRANSLATE(B10436, ""en"", ""fa"")
"),"موفقیت Etsy")</f>
        <v>موفقیت Etsy</v>
      </c>
      <c r="G10436" s="1" t="str">
        <f>IFERROR(__xludf.DUMMYFUNCTION("GOOGLETRANSLATE(C10436, ""en"", ""fa"")
"),"استراتژی‌هایی برای رسیدگی به نگرانی‌ها یا شکایات مشترک مشتریان در بررسی‌های Etsy چیست؟")</f>
        <v>استراتژی‌هایی برای رسیدگی به نگرانی‌ها یا شکایات مشترک مشتریان در بررسی‌های Etsy چیست؟</v>
      </c>
      <c r="H10436" s="1"/>
      <c r="I10436" s="1"/>
      <c r="J10436" s="1"/>
      <c r="K10436" s="1"/>
      <c r="L10436" s="1"/>
      <c r="M10436" s="1"/>
      <c r="N10436" s="1"/>
      <c r="O10436" s="1"/>
      <c r="P10436" s="1"/>
      <c r="Q10436" s="1"/>
      <c r="R10436" s="1"/>
      <c r="S10436" s="1"/>
      <c r="T10436" s="1"/>
      <c r="U10436" s="1"/>
      <c r="V10436" s="1"/>
      <c r="W10436" s="1"/>
      <c r="X10436" s="1"/>
      <c r="Y10436" s="1"/>
      <c r="Z10436" s="1"/>
      <c r="AA10436" s="1"/>
      <c r="AB10436" s="1"/>
    </row>
    <row r="10437" ht="50.25" customHeight="1">
      <c r="A10437" s="12">
        <v>10433.0</v>
      </c>
      <c r="B10437" s="13" t="s">
        <v>9604</v>
      </c>
      <c r="C10437" s="14" t="s">
        <v>10464</v>
      </c>
      <c r="D10437" s="1"/>
      <c r="E10437" s="1"/>
      <c r="F10437" s="1" t="str">
        <f>IFERROR(__xludf.DUMMYFUNCTION("GOOGLETRANSLATE(B10437, ""en"", ""fa"")
"),"موفقیت Etsy")</f>
        <v>موفقیت Etsy</v>
      </c>
      <c r="G10437" s="1" t="str">
        <f>IFERROR(__xludf.DUMMYFUNCTION("GOOGLETRANSLATE(C10437, ""en"", ""fa"")
"),"چگونه می توانم از بازخورد مشتریان در بررسی ها یاد بگیرم تا تغییرات و بهبودهای لازم را در محصولات یا خدمات خود ایجاد کنم؟")</f>
        <v>چگونه می توانم از بازخورد مشتریان در بررسی ها یاد بگیرم تا تغییرات و بهبودهای لازم را در محصولات یا خدمات خود ایجاد کنم؟</v>
      </c>
      <c r="H10437" s="1"/>
      <c r="I10437" s="1"/>
      <c r="J10437" s="1"/>
      <c r="K10437" s="1"/>
      <c r="L10437" s="1"/>
      <c r="M10437" s="1"/>
      <c r="N10437" s="1"/>
      <c r="O10437" s="1"/>
      <c r="P10437" s="1"/>
      <c r="Q10437" s="1"/>
      <c r="R10437" s="1"/>
      <c r="S10437" s="1"/>
      <c r="T10437" s="1"/>
      <c r="U10437" s="1"/>
      <c r="V10437" s="1"/>
      <c r="W10437" s="1"/>
      <c r="X10437" s="1"/>
      <c r="Y10437" s="1"/>
      <c r="Z10437" s="1"/>
      <c r="AA10437" s="1"/>
      <c r="AB10437" s="1"/>
    </row>
    <row r="10438" ht="50.25" customHeight="1">
      <c r="A10438" s="12">
        <v>10434.0</v>
      </c>
      <c r="B10438" s="13" t="s">
        <v>9604</v>
      </c>
      <c r="C10438" s="14" t="s">
        <v>10465</v>
      </c>
      <c r="D10438" s="1"/>
      <c r="E10438" s="1"/>
      <c r="F10438" s="1" t="str">
        <f>IFERROR(__xludf.DUMMYFUNCTION("GOOGLETRANSLATE(B10438, ""en"", ""fa"")
"),"موفقیت Etsy")</f>
        <v>موفقیت Etsy</v>
      </c>
      <c r="G10438" s="1" t="str">
        <f>IFERROR(__xludf.DUMMYFUNCTION("GOOGLETRANSLATE(C10438, ""en"", ""fa"")
"),"بهترین شیوه ها برای ابراز قدردانی و قدردانی از مشتریانی که در Etsy نظر می گذارند چیست؟")</f>
        <v>بهترین شیوه ها برای ابراز قدردانی و قدردانی از مشتریانی که در Etsy نظر می گذارند چیست؟</v>
      </c>
      <c r="H10438" s="1"/>
      <c r="I10438" s="1"/>
      <c r="J10438" s="1"/>
      <c r="K10438" s="1"/>
      <c r="L10438" s="1"/>
      <c r="M10438" s="1"/>
      <c r="N10438" s="1"/>
      <c r="O10438" s="1"/>
      <c r="P10438" s="1"/>
      <c r="Q10438" s="1"/>
      <c r="R10438" s="1"/>
      <c r="S10438" s="1"/>
      <c r="T10438" s="1"/>
      <c r="U10438" s="1"/>
      <c r="V10438" s="1"/>
      <c r="W10438" s="1"/>
      <c r="X10438" s="1"/>
      <c r="Y10438" s="1"/>
      <c r="Z10438" s="1"/>
      <c r="AA10438" s="1"/>
      <c r="AB10438" s="1"/>
    </row>
    <row r="10439" ht="50.25" customHeight="1">
      <c r="A10439" s="12">
        <v>10435.0</v>
      </c>
      <c r="B10439" s="13" t="s">
        <v>9604</v>
      </c>
      <c r="C10439" s="14" t="s">
        <v>10466</v>
      </c>
      <c r="D10439" s="1"/>
      <c r="E10439" s="1"/>
      <c r="F10439" s="1" t="str">
        <f>IFERROR(__xludf.DUMMYFUNCTION("GOOGLETRANSLATE(B10439, ""en"", ""fa"")
"),"موفقیت Etsy")</f>
        <v>موفقیت Etsy</v>
      </c>
      <c r="G10439" s="1" t="str">
        <f>IFERROR(__xludf.DUMMYFUNCTION("GOOGLETRANSLATE(C10439, ""en"", ""fa"")
"),"چگونه می توانم از نظرات مشتریان در Etsy برای شناسایی زمینه های بهبود و بهبود تجربه کلی مشتری استفاده کنم؟")</f>
        <v>چگونه می توانم از نظرات مشتریان در Etsy برای شناسایی زمینه های بهبود و بهبود تجربه کلی مشتری استفاده کنم؟</v>
      </c>
      <c r="H10439" s="1"/>
      <c r="I10439" s="1"/>
      <c r="J10439" s="1"/>
      <c r="K10439" s="1"/>
      <c r="L10439" s="1"/>
      <c r="M10439" s="1"/>
      <c r="N10439" s="1"/>
      <c r="O10439" s="1"/>
      <c r="P10439" s="1"/>
      <c r="Q10439" s="1"/>
      <c r="R10439" s="1"/>
      <c r="S10439" s="1"/>
      <c r="T10439" s="1"/>
      <c r="U10439" s="1"/>
      <c r="V10439" s="1"/>
      <c r="W10439" s="1"/>
      <c r="X10439" s="1"/>
      <c r="Y10439" s="1"/>
      <c r="Z10439" s="1"/>
      <c r="AA10439" s="1"/>
      <c r="AB10439" s="1"/>
    </row>
    <row r="10440" ht="50.25" customHeight="1">
      <c r="A10440" s="12">
        <v>10436.0</v>
      </c>
      <c r="B10440" s="13" t="s">
        <v>9604</v>
      </c>
      <c r="C10440" s="14" t="s">
        <v>10467</v>
      </c>
      <c r="D10440" s="1"/>
      <c r="E10440" s="1"/>
      <c r="F10440" s="1" t="str">
        <f>IFERROR(__xludf.DUMMYFUNCTION("GOOGLETRANSLATE(B10440, ""en"", ""fa"")
"),"موفقیت Etsy")</f>
        <v>موفقیت Etsy</v>
      </c>
      <c r="G10440" s="1" t="str">
        <f>IFERROR(__xludf.DUMMYFUNCTION("GOOGLETRANSLATE(C10440, ""en"", ""fa"")
"),"هنگام پاسخ به نظرات منفی مشتریان در Etsy، ملاحظات برای حفظ حرفه ای بودن و ادب چیست؟")</f>
        <v>هنگام پاسخ به نظرات منفی مشتریان در Etsy، ملاحظات برای حفظ حرفه ای بودن و ادب چیست؟</v>
      </c>
      <c r="H10440" s="1"/>
      <c r="I10440" s="1"/>
      <c r="J10440" s="1"/>
      <c r="K10440" s="1"/>
      <c r="L10440" s="1"/>
      <c r="M10440" s="1"/>
      <c r="N10440" s="1"/>
      <c r="O10440" s="1"/>
      <c r="P10440" s="1"/>
      <c r="Q10440" s="1"/>
      <c r="R10440" s="1"/>
      <c r="S10440" s="1"/>
      <c r="T10440" s="1"/>
      <c r="U10440" s="1"/>
      <c r="V10440" s="1"/>
      <c r="W10440" s="1"/>
      <c r="X10440" s="1"/>
      <c r="Y10440" s="1"/>
      <c r="Z10440" s="1"/>
      <c r="AA10440" s="1"/>
      <c r="AB10440" s="1"/>
    </row>
    <row r="10441" ht="50.25" customHeight="1">
      <c r="A10441" s="12">
        <v>10437.0</v>
      </c>
      <c r="B10441" s="13" t="s">
        <v>9604</v>
      </c>
      <c r="C10441" s="14" t="s">
        <v>10468</v>
      </c>
      <c r="D10441" s="1"/>
      <c r="E10441" s="1"/>
      <c r="F10441" s="1" t="str">
        <f>IFERROR(__xludf.DUMMYFUNCTION("GOOGLETRANSLATE(B10441, ""en"", ""fa"")
"),"موفقیت Etsy")</f>
        <v>موفقیت Etsy</v>
      </c>
      <c r="G10441" s="1" t="str">
        <f>IFERROR(__xludf.DUMMYFUNCTION("GOOGLETRANSLATE(C10441, ""en"", ""fa"")
"),"چگونه می توانم به طور مؤثر به سؤالات یا سؤالات مشتری در بررسی ها پاسخ دهم و پاسخ های مفید و آموزنده ارائه کنم؟")</f>
        <v>چگونه می توانم به طور مؤثر به سؤالات یا سؤالات مشتری در بررسی ها پاسخ دهم و پاسخ های مفید و آموزنده ارائه کنم؟</v>
      </c>
      <c r="H10441" s="1"/>
      <c r="I10441" s="1"/>
      <c r="J10441" s="1"/>
      <c r="K10441" s="1"/>
      <c r="L10441" s="1"/>
      <c r="M10441" s="1"/>
      <c r="N10441" s="1"/>
      <c r="O10441" s="1"/>
      <c r="P10441" s="1"/>
      <c r="Q10441" s="1"/>
      <c r="R10441" s="1"/>
      <c r="S10441" s="1"/>
      <c r="T10441" s="1"/>
      <c r="U10441" s="1"/>
      <c r="V10441" s="1"/>
      <c r="W10441" s="1"/>
      <c r="X10441" s="1"/>
      <c r="Y10441" s="1"/>
      <c r="Z10441" s="1"/>
      <c r="AA10441" s="1"/>
      <c r="AB10441" s="1"/>
    </row>
    <row r="10442" ht="50.25" customHeight="1">
      <c r="A10442" s="12">
        <v>10438.0</v>
      </c>
      <c r="B10442" s="13" t="s">
        <v>9604</v>
      </c>
      <c r="C10442" s="14" t="s">
        <v>10469</v>
      </c>
      <c r="D10442" s="1"/>
      <c r="E10442" s="1"/>
      <c r="F10442" s="1" t="str">
        <f>IFERROR(__xludf.DUMMYFUNCTION("GOOGLETRANSLATE(B10442, ""en"", ""fa"")
"),"موفقیت Etsy")</f>
        <v>موفقیت Etsy</v>
      </c>
      <c r="G10442" s="1" t="str">
        <f>IFERROR(__xludf.DUMMYFUNCTION("GOOGLETRANSLATE(C10442, ""en"", ""fa"")
"),"برای ایجاد اعتماد و اعتبار، چه راهکارهایی برای نمایش نظرات مشتریان در فروشگاه Etsy من وجود دارد؟")</f>
        <v>برای ایجاد اعتماد و اعتبار، چه راهکارهایی برای نمایش نظرات مشتریان در فروشگاه Etsy من وجود دارد؟</v>
      </c>
      <c r="H10442" s="1"/>
      <c r="I10442" s="1"/>
      <c r="J10442" s="1"/>
      <c r="K10442" s="1"/>
      <c r="L10442" s="1"/>
      <c r="M10442" s="1"/>
      <c r="N10442" s="1"/>
      <c r="O10442" s="1"/>
      <c r="P10442" s="1"/>
      <c r="Q10442" s="1"/>
      <c r="R10442" s="1"/>
      <c r="S10442" s="1"/>
      <c r="T10442" s="1"/>
      <c r="U10442" s="1"/>
      <c r="V10442" s="1"/>
      <c r="W10442" s="1"/>
      <c r="X10442" s="1"/>
      <c r="Y10442" s="1"/>
      <c r="Z10442" s="1"/>
      <c r="AA10442" s="1"/>
      <c r="AB10442" s="1"/>
    </row>
    <row r="10443" ht="50.25" customHeight="1">
      <c r="A10443" s="12">
        <v>10439.0</v>
      </c>
      <c r="B10443" s="13" t="s">
        <v>9604</v>
      </c>
      <c r="C10443" s="14" t="s">
        <v>10470</v>
      </c>
      <c r="D10443" s="1"/>
      <c r="E10443" s="1"/>
      <c r="F10443" s="1" t="str">
        <f>IFERROR(__xludf.DUMMYFUNCTION("GOOGLETRANSLATE(B10443, ""en"", ""fa"")
"),"موفقیت Etsy")</f>
        <v>موفقیت Etsy</v>
      </c>
      <c r="G10443" s="1" t="str">
        <f>IFERROR(__xludf.DUMMYFUNCTION("GOOGLETRANSLATE(C10443, ""en"", ""fa"")
"),"چگونه می توانم فعالانه از مشتریانی که در Etsy نظری نگذاشته اند درخواست بازخورد کنم؟")</f>
        <v>چگونه می توانم فعالانه از مشتریانی که در Etsy نظری نگذاشته اند درخواست بازخورد کنم؟</v>
      </c>
      <c r="H10443" s="1"/>
      <c r="I10443" s="1"/>
      <c r="J10443" s="1"/>
      <c r="K10443" s="1"/>
      <c r="L10443" s="1"/>
      <c r="M10443" s="1"/>
      <c r="N10443" s="1"/>
      <c r="O10443" s="1"/>
      <c r="P10443" s="1"/>
      <c r="Q10443" s="1"/>
      <c r="R10443" s="1"/>
      <c r="S10443" s="1"/>
      <c r="T10443" s="1"/>
      <c r="U10443" s="1"/>
      <c r="V10443" s="1"/>
      <c r="W10443" s="1"/>
      <c r="X10443" s="1"/>
      <c r="Y10443" s="1"/>
      <c r="Z10443" s="1"/>
      <c r="AA10443" s="1"/>
      <c r="AB10443" s="1"/>
    </row>
    <row r="10444" ht="50.25" customHeight="1">
      <c r="A10444" s="12">
        <v>10440.0</v>
      </c>
      <c r="B10444" s="13" t="s">
        <v>9604</v>
      </c>
      <c r="C10444" s="14" t="s">
        <v>10471</v>
      </c>
      <c r="D10444" s="1"/>
      <c r="E10444" s="1"/>
      <c r="F10444" s="1" t="str">
        <f>IFERROR(__xludf.DUMMYFUNCTION("GOOGLETRANSLATE(B10444, ""en"", ""fa"")
"),"موفقیت Etsy")</f>
        <v>موفقیت Etsy</v>
      </c>
      <c r="G10444" s="1" t="str">
        <f>IFERROR(__xludf.DUMMYFUNCTION("GOOGLETRANSLATE(C10444, ""en"", ""fa"")
"),"بهترین روش‌ها برای درخواست و پاسخ به نظرات مشتریان در Etsy از طریق ایمیل‌ها یا پیام‌های بعدی چیست؟")</f>
        <v>بهترین روش‌ها برای درخواست و پاسخ به نظرات مشتریان در Etsy از طریق ایمیل‌ها یا پیام‌های بعدی چیست؟</v>
      </c>
      <c r="H10444" s="1"/>
      <c r="I10444" s="1"/>
      <c r="J10444" s="1"/>
      <c r="K10444" s="1"/>
      <c r="L10444" s="1"/>
      <c r="M10444" s="1"/>
      <c r="N10444" s="1"/>
      <c r="O10444" s="1"/>
      <c r="P10444" s="1"/>
      <c r="Q10444" s="1"/>
      <c r="R10444" s="1"/>
      <c r="S10444" s="1"/>
      <c r="T10444" s="1"/>
      <c r="U10444" s="1"/>
      <c r="V10444" s="1"/>
      <c r="W10444" s="1"/>
      <c r="X10444" s="1"/>
      <c r="Y10444" s="1"/>
      <c r="Z10444" s="1"/>
      <c r="AA10444" s="1"/>
      <c r="AB10444" s="1"/>
    </row>
    <row r="10445" ht="50.25" customHeight="1">
      <c r="A10445" s="12">
        <v>10441.0</v>
      </c>
      <c r="B10445" s="13" t="s">
        <v>9604</v>
      </c>
      <c r="C10445" s="14" t="s">
        <v>10472</v>
      </c>
      <c r="D10445" s="1"/>
      <c r="E10445" s="1"/>
      <c r="F10445" s="1" t="str">
        <f>IFERROR(__xludf.DUMMYFUNCTION("GOOGLETRANSLATE(B10445, ""en"", ""fa"")
"),"موفقیت Etsy")</f>
        <v>موفقیت Etsy</v>
      </c>
      <c r="G10445" s="1" t="str">
        <f>IFERROR(__xludf.DUMMYFUNCTION("GOOGLETRANSLATE(C10445, ""en"", ""fa"")
"),"چگونه می توانم از نظرات مشتریان برای شناسایی فرصت های بالقوه برای نوآوری یا تنوع محصول در Etsy استفاده کنم؟")</f>
        <v>چگونه می توانم از نظرات مشتریان برای شناسایی فرصت های بالقوه برای نوآوری یا تنوع محصول در Etsy استفاده کنم؟</v>
      </c>
      <c r="H10445" s="1"/>
      <c r="I10445" s="1"/>
      <c r="J10445" s="1"/>
      <c r="K10445" s="1"/>
      <c r="L10445" s="1"/>
      <c r="M10445" s="1"/>
      <c r="N10445" s="1"/>
      <c r="O10445" s="1"/>
      <c r="P10445" s="1"/>
      <c r="Q10445" s="1"/>
      <c r="R10445" s="1"/>
      <c r="S10445" s="1"/>
      <c r="T10445" s="1"/>
      <c r="U10445" s="1"/>
      <c r="V10445" s="1"/>
      <c r="W10445" s="1"/>
      <c r="X10445" s="1"/>
      <c r="Y10445" s="1"/>
      <c r="Z10445" s="1"/>
      <c r="AA10445" s="1"/>
      <c r="AB10445" s="1"/>
    </row>
    <row r="10446" ht="50.25" customHeight="1">
      <c r="A10446" s="12">
        <v>10442.0</v>
      </c>
      <c r="B10446" s="13" t="s">
        <v>9604</v>
      </c>
      <c r="C10446" s="14" t="s">
        <v>10473</v>
      </c>
      <c r="D10446" s="1"/>
      <c r="E10446" s="1"/>
      <c r="F10446" s="1" t="str">
        <f>IFERROR(__xludf.DUMMYFUNCTION("GOOGLETRANSLATE(B10446, ""en"", ""fa"")
"),"موفقیت Etsy")</f>
        <v>موفقیت Etsy</v>
      </c>
      <c r="G10446" s="1" t="str">
        <f>IFERROR(__xludf.DUMMYFUNCTION("GOOGLETRANSLATE(C10446, ""en"", ""fa"")
"),"ملاحظات برای استفاده از نظرات مشتریان برای بهینه سازی رتبه بندی جستجوی فروشگاه Etsy و دیده شدن آن چیست؟")</f>
        <v>ملاحظات برای استفاده از نظرات مشتریان برای بهینه سازی رتبه بندی جستجوی فروشگاه Etsy و دیده شدن آن چیست؟</v>
      </c>
      <c r="H10446" s="1"/>
      <c r="I10446" s="1"/>
      <c r="J10446" s="1"/>
      <c r="K10446" s="1"/>
      <c r="L10446" s="1"/>
      <c r="M10446" s="1"/>
      <c r="N10446" s="1"/>
      <c r="O10446" s="1"/>
      <c r="P10446" s="1"/>
      <c r="Q10446" s="1"/>
      <c r="R10446" s="1"/>
      <c r="S10446" s="1"/>
      <c r="T10446" s="1"/>
      <c r="U10446" s="1"/>
      <c r="V10446" s="1"/>
      <c r="W10446" s="1"/>
      <c r="X10446" s="1"/>
      <c r="Y10446" s="1"/>
      <c r="Z10446" s="1"/>
      <c r="AA10446" s="1"/>
      <c r="AB10446" s="1"/>
    </row>
    <row r="10447" ht="50.25" customHeight="1">
      <c r="A10447" s="12">
        <v>10443.0</v>
      </c>
      <c r="B10447" s="13" t="s">
        <v>9604</v>
      </c>
      <c r="C10447" s="14" t="s">
        <v>10474</v>
      </c>
      <c r="D10447" s="1"/>
      <c r="E10447" s="1"/>
      <c r="F10447" s="1" t="str">
        <f>IFERROR(__xludf.DUMMYFUNCTION("GOOGLETRANSLATE(B10447, ""en"", ""fa"")
"),"موفقیت Etsy")</f>
        <v>موفقیت Etsy</v>
      </c>
      <c r="G10447" s="1" t="str">
        <f>IFERROR(__xludf.DUMMYFUNCTION("GOOGLETRANSLATE(C10447, ""en"", ""fa"")
"),"چگونه می توانم نظرات منفی مشتریان را به فرصت هایی برای بازیابی و حل و فصل خدمات مشتری تبدیل کنم؟")</f>
        <v>چگونه می توانم نظرات منفی مشتریان را به فرصت هایی برای بازیابی و حل و فصل خدمات مشتری تبدیل کنم؟</v>
      </c>
      <c r="H10447" s="1"/>
      <c r="I10447" s="1"/>
      <c r="J10447" s="1"/>
      <c r="K10447" s="1"/>
      <c r="L10447" s="1"/>
      <c r="M10447" s="1"/>
      <c r="N10447" s="1"/>
      <c r="O10447" s="1"/>
      <c r="P10447" s="1"/>
      <c r="Q10447" s="1"/>
      <c r="R10447" s="1"/>
      <c r="S10447" s="1"/>
      <c r="T10447" s="1"/>
      <c r="U10447" s="1"/>
      <c r="V10447" s="1"/>
      <c r="W10447" s="1"/>
      <c r="X10447" s="1"/>
      <c r="Y10447" s="1"/>
      <c r="Z10447" s="1"/>
      <c r="AA10447" s="1"/>
      <c r="AB10447" s="1"/>
    </row>
    <row r="10448" ht="50.25" customHeight="1">
      <c r="A10448" s="12">
        <v>10444.0</v>
      </c>
      <c r="B10448" s="13" t="s">
        <v>9604</v>
      </c>
      <c r="C10448" s="14" t="s">
        <v>10475</v>
      </c>
      <c r="D10448" s="1"/>
      <c r="E10448" s="1"/>
      <c r="F10448" s="1" t="str">
        <f>IFERROR(__xludf.DUMMYFUNCTION("GOOGLETRANSLATE(B10448, ""en"", ""fa"")
"),"موفقیت Etsy")</f>
        <v>موفقیت Etsy</v>
      </c>
      <c r="G10448" s="1" t="str">
        <f>IFERROR(__xludf.DUMMYFUNCTION("GOOGLETRANSLATE(C10448, ""en"", ""fa"")
"),"راهبردهای تعامل به موقع با مشتریان و حفظ رویکرد پاسخگو به بررسی ها در Etsy چیست؟")</f>
        <v>راهبردهای تعامل به موقع با مشتریان و حفظ رویکرد پاسخگو به بررسی ها در Etsy چیست؟</v>
      </c>
      <c r="H10448" s="1"/>
      <c r="I10448" s="1"/>
      <c r="J10448" s="1"/>
      <c r="K10448" s="1"/>
      <c r="L10448" s="1"/>
      <c r="M10448" s="1"/>
      <c r="N10448" s="1"/>
      <c r="O10448" s="1"/>
      <c r="P10448" s="1"/>
      <c r="Q10448" s="1"/>
      <c r="R10448" s="1"/>
      <c r="S10448" s="1"/>
      <c r="T10448" s="1"/>
      <c r="U10448" s="1"/>
      <c r="V10448" s="1"/>
      <c r="W10448" s="1"/>
      <c r="X10448" s="1"/>
      <c r="Y10448" s="1"/>
      <c r="Z10448" s="1"/>
      <c r="AA10448" s="1"/>
      <c r="AB10448" s="1"/>
    </row>
    <row r="10449" ht="50.25" customHeight="1">
      <c r="A10449" s="12">
        <v>10445.0</v>
      </c>
      <c r="B10449" s="13" t="s">
        <v>9604</v>
      </c>
      <c r="C10449" s="14" t="s">
        <v>10476</v>
      </c>
      <c r="D10449" s="1"/>
      <c r="E10449" s="1"/>
      <c r="F10449" s="1" t="str">
        <f>IFERROR(__xludf.DUMMYFUNCTION("GOOGLETRANSLATE(B10449, ""en"", ""fa"")
"),"موفقیت Etsy")</f>
        <v>موفقیت Etsy</v>
      </c>
      <c r="G10449" s="1" t="str">
        <f>IFERROR(__xludf.DUMMYFUNCTION("GOOGLETRANSLATE(C10449, ""en"", ""fa"")
"),"چگونه می توانم مشتریان را تشویق کنم تا نظرات خود را در Etsy بر اساس تجربه یا رضایت به روز شده خود به روز کنند یا ویرایش کنند؟")</f>
        <v>چگونه می توانم مشتریان را تشویق کنم تا نظرات خود را در Etsy بر اساس تجربه یا رضایت به روز شده خود به روز کنند یا ویرایش کنند؟</v>
      </c>
      <c r="H10449" s="1"/>
      <c r="I10449" s="1"/>
      <c r="J10449" s="1"/>
      <c r="K10449" s="1"/>
      <c r="L10449" s="1"/>
      <c r="M10449" s="1"/>
      <c r="N10449" s="1"/>
      <c r="O10449" s="1"/>
      <c r="P10449" s="1"/>
      <c r="Q10449" s="1"/>
      <c r="R10449" s="1"/>
      <c r="S10449" s="1"/>
      <c r="T10449" s="1"/>
      <c r="U10449" s="1"/>
      <c r="V10449" s="1"/>
      <c r="W10449" s="1"/>
      <c r="X10449" s="1"/>
      <c r="Y10449" s="1"/>
      <c r="Z10449" s="1"/>
      <c r="AA10449" s="1"/>
      <c r="AB10449" s="1"/>
    </row>
    <row r="10450" ht="50.25" customHeight="1">
      <c r="A10450" s="12">
        <v>10446.0</v>
      </c>
      <c r="B10450" s="13" t="s">
        <v>9604</v>
      </c>
      <c r="C10450" s="14" t="s">
        <v>10477</v>
      </c>
      <c r="D10450" s="1"/>
      <c r="E10450" s="1"/>
      <c r="F10450" s="1" t="str">
        <f>IFERROR(__xludf.DUMMYFUNCTION("GOOGLETRANSLATE(B10450, ""en"", ""fa"")
"),"موفقیت Etsy")</f>
        <v>موفقیت Etsy</v>
      </c>
      <c r="G10450" s="1" t="str">
        <f>IFERROR(__xludf.DUMMYFUNCTION("GOOGLETRANSLATE(C10450, ""en"", ""fa"")
"),"بهترین روش‌ها برای تأیید و پرداختن به بازخورد یا پیشنهادات خاص مشتری در بررسی‌های Etsy چیست؟")</f>
        <v>بهترین روش‌ها برای تأیید و پرداختن به بازخورد یا پیشنهادات خاص مشتری در بررسی‌های Etsy چیست؟</v>
      </c>
      <c r="H10450" s="1"/>
      <c r="I10450" s="1"/>
      <c r="J10450" s="1"/>
      <c r="K10450" s="1"/>
      <c r="L10450" s="1"/>
      <c r="M10450" s="1"/>
      <c r="N10450" s="1"/>
      <c r="O10450" s="1"/>
      <c r="P10450" s="1"/>
      <c r="Q10450" s="1"/>
      <c r="R10450" s="1"/>
      <c r="S10450" s="1"/>
      <c r="T10450" s="1"/>
      <c r="U10450" s="1"/>
      <c r="V10450" s="1"/>
      <c r="W10450" s="1"/>
      <c r="X10450" s="1"/>
      <c r="Y10450" s="1"/>
      <c r="Z10450" s="1"/>
      <c r="AA10450" s="1"/>
      <c r="AB10450" s="1"/>
    </row>
    <row r="10451" ht="50.25" customHeight="1">
      <c r="A10451" s="12">
        <v>10447.0</v>
      </c>
      <c r="B10451" s="13" t="s">
        <v>9604</v>
      </c>
      <c r="C10451" s="14" t="s">
        <v>10478</v>
      </c>
      <c r="D10451" s="1"/>
      <c r="E10451" s="1"/>
      <c r="F10451" s="1" t="str">
        <f>IFERROR(__xludf.DUMMYFUNCTION("GOOGLETRANSLATE(B10451, ""en"", ""fa"")
"),"موفقیت Etsy")</f>
        <v>موفقیت Etsy</v>
      </c>
      <c r="G10451" s="1" t="str">
        <f>IFERROR(__xludf.DUMMYFUNCTION("GOOGLETRANSLATE(C10451, ""en"", ""fa"")
"),"چگونه می توانم از نظرات مشتریان برای ایجاد یک پایگاه مشتری وفادار و ایجاد شهرت مثبت برای فروشگاه Etsy خود استفاده کنم؟")</f>
        <v>چگونه می توانم از نظرات مشتریان برای ایجاد یک پایگاه مشتری وفادار و ایجاد شهرت مثبت برای فروشگاه Etsy خود استفاده کنم؟</v>
      </c>
      <c r="H10451" s="1"/>
      <c r="I10451" s="1"/>
      <c r="J10451" s="1"/>
      <c r="K10451" s="1"/>
      <c r="L10451" s="1"/>
      <c r="M10451" s="1"/>
      <c r="N10451" s="1"/>
      <c r="O10451" s="1"/>
      <c r="P10451" s="1"/>
      <c r="Q10451" s="1"/>
      <c r="R10451" s="1"/>
      <c r="S10451" s="1"/>
      <c r="T10451" s="1"/>
      <c r="U10451" s="1"/>
      <c r="V10451" s="1"/>
      <c r="W10451" s="1"/>
      <c r="X10451" s="1"/>
      <c r="Y10451" s="1"/>
      <c r="Z10451" s="1"/>
      <c r="AA10451" s="1"/>
      <c r="AB10451" s="1"/>
    </row>
    <row r="10452" ht="50.25" customHeight="1">
      <c r="A10452" s="12">
        <v>10448.0</v>
      </c>
      <c r="B10452" s="13" t="s">
        <v>9604</v>
      </c>
      <c r="C10452" s="14" t="s">
        <v>10479</v>
      </c>
      <c r="D10452" s="1"/>
      <c r="E10452" s="1"/>
      <c r="F10452" s="1" t="str">
        <f>IFERROR(__xludf.DUMMYFUNCTION("GOOGLETRANSLATE(B10452, ""en"", ""fa"")
"),"موفقیت Etsy")</f>
        <v>موفقیت Etsy</v>
      </c>
      <c r="G10452" s="1" t="str">
        <f>IFERROR(__xludf.DUMMYFUNCTION("GOOGLETRANSLATE(C10452, ""en"", ""fa"")
"),"ملاحظات برای گنجاندن نظرات و نظرات مشتریان در مواد بازاریابی فروشگاه Etsy و توضیحات محصول من چیست؟")</f>
        <v>ملاحظات برای گنجاندن نظرات و نظرات مشتریان در مواد بازاریابی فروشگاه Etsy و توضیحات محصول من چیست؟</v>
      </c>
      <c r="H10452" s="1"/>
      <c r="I10452" s="1"/>
      <c r="J10452" s="1"/>
      <c r="K10452" s="1"/>
      <c r="L10452" s="1"/>
      <c r="M10452" s="1"/>
      <c r="N10452" s="1"/>
      <c r="O10452" s="1"/>
      <c r="P10452" s="1"/>
      <c r="Q10452" s="1"/>
      <c r="R10452" s="1"/>
      <c r="S10452" s="1"/>
      <c r="T10452" s="1"/>
      <c r="U10452" s="1"/>
      <c r="V10452" s="1"/>
      <c r="W10452" s="1"/>
      <c r="X10452" s="1"/>
      <c r="Y10452" s="1"/>
      <c r="Z10452" s="1"/>
      <c r="AA10452" s="1"/>
      <c r="AB10452" s="1"/>
    </row>
    <row r="10453" ht="50.25" customHeight="1">
      <c r="A10453" s="12">
        <v>10449.0</v>
      </c>
      <c r="B10453" s="13" t="s">
        <v>9604</v>
      </c>
      <c r="C10453" s="14" t="s">
        <v>10480</v>
      </c>
      <c r="D10453" s="1"/>
      <c r="E10453" s="1"/>
      <c r="F10453" s="1" t="str">
        <f>IFERROR(__xludf.DUMMYFUNCTION("GOOGLETRANSLATE(B10453, ""en"", ""fa"")
"),"موفقیت Etsy")</f>
        <v>موفقیت Etsy</v>
      </c>
      <c r="G10453" s="1" t="str">
        <f>IFERROR(__xludf.DUMMYFUNCTION("GOOGLETRANSLATE(C10453, ""en"", ""fa"")
"),"چگونه می توانم از نظرات مشتریان برای شناسایی زمینه های بالقوه برای فرصت های همکاری یا مشارکت در Etsy استفاده کنم؟")</f>
        <v>چگونه می توانم از نظرات مشتریان برای شناسایی زمینه های بالقوه برای فرصت های همکاری یا مشارکت در Etsy استفاده کنم؟</v>
      </c>
      <c r="H10453" s="1"/>
      <c r="I10453" s="1"/>
      <c r="J10453" s="1"/>
      <c r="K10453" s="1"/>
      <c r="L10453" s="1"/>
      <c r="M10453" s="1"/>
      <c r="N10453" s="1"/>
      <c r="O10453" s="1"/>
      <c r="P10453" s="1"/>
      <c r="Q10453" s="1"/>
      <c r="R10453" s="1"/>
      <c r="S10453" s="1"/>
      <c r="T10453" s="1"/>
      <c r="U10453" s="1"/>
      <c r="V10453" s="1"/>
      <c r="W10453" s="1"/>
      <c r="X10453" s="1"/>
      <c r="Y10453" s="1"/>
      <c r="Z10453" s="1"/>
      <c r="AA10453" s="1"/>
      <c r="AB10453" s="1"/>
    </row>
    <row r="10454" ht="50.25" customHeight="1">
      <c r="A10454" s="12">
        <v>10450.0</v>
      </c>
      <c r="B10454" s="13" t="s">
        <v>9604</v>
      </c>
      <c r="C10454" s="14" t="s">
        <v>10481</v>
      </c>
      <c r="D10454" s="1"/>
      <c r="E10454" s="1"/>
      <c r="F10454" s="1" t="str">
        <f>IFERROR(__xludf.DUMMYFUNCTION("GOOGLETRANSLATE(B10454, ""en"", ""fa"")
"),"موفقیت Etsy")</f>
        <v>موفقیت Etsy</v>
      </c>
      <c r="G10454" s="1" t="str">
        <f>IFERROR(__xludf.DUMMYFUNCTION("GOOGLETRANSLATE(C10454, ""en"", ""fa"")
"),"استراتژی‌هایی برای نمایش نظرات مشتریان در قالب‌های مختلف، مانند توصیفات ویدیویی یا نقل قول‌های نوشته شده، برای افزایش تأثیر آنها بر خریداران Etsy چیست؟")</f>
        <v>استراتژی‌هایی برای نمایش نظرات مشتریان در قالب‌های مختلف، مانند توصیفات ویدیویی یا نقل قول‌های نوشته شده، برای افزایش تأثیر آنها بر خریداران Etsy چیست؟</v>
      </c>
      <c r="H10454" s="1"/>
      <c r="I10454" s="1"/>
      <c r="J10454" s="1"/>
      <c r="K10454" s="1"/>
      <c r="L10454" s="1"/>
      <c r="M10454" s="1"/>
      <c r="N10454" s="1"/>
      <c r="O10454" s="1"/>
      <c r="P10454" s="1"/>
      <c r="Q10454" s="1"/>
      <c r="R10454" s="1"/>
      <c r="S10454" s="1"/>
      <c r="T10454" s="1"/>
      <c r="U10454" s="1"/>
      <c r="V10454" s="1"/>
      <c r="W10454" s="1"/>
      <c r="X10454" s="1"/>
      <c r="Y10454" s="1"/>
      <c r="Z10454" s="1"/>
      <c r="AA10454" s="1"/>
      <c r="AB10454" s="1"/>
    </row>
    <row r="10455" ht="50.25" customHeight="1">
      <c r="A10455" s="12">
        <v>10451.0</v>
      </c>
      <c r="B10455" s="13" t="s">
        <v>9604</v>
      </c>
      <c r="C10455" s="14" t="s">
        <v>10482</v>
      </c>
      <c r="D10455" s="1"/>
      <c r="E10455" s="1"/>
      <c r="F10455" s="1" t="str">
        <f>IFERROR(__xludf.DUMMYFUNCTION("GOOGLETRANSLATE(B10455, ""en"", ""fa"")
"),"موفقیت Etsy")</f>
        <v>موفقیت Etsy</v>
      </c>
      <c r="G10455" s="1" t="str">
        <f>IFERROR(__xludf.DUMMYFUNCTION("GOOGLETRANSLATE(C10455, ""en"", ""fa"")
"),"چگونه می توانم از نظرات مشتریان برای متمایز کردن فروشگاه Etsy خود از رقبا و برجسته کردن ارزش منحصر به فرد ارائه شده استفاده کنم؟")</f>
        <v>چگونه می توانم از نظرات مشتریان برای متمایز کردن فروشگاه Etsy خود از رقبا و برجسته کردن ارزش منحصر به فرد ارائه شده استفاده کنم؟</v>
      </c>
      <c r="H10455" s="1"/>
      <c r="I10455" s="1"/>
      <c r="J10455" s="1"/>
      <c r="K10455" s="1"/>
      <c r="L10455" s="1"/>
      <c r="M10455" s="1"/>
      <c r="N10455" s="1"/>
      <c r="O10455" s="1"/>
      <c r="P10455" s="1"/>
      <c r="Q10455" s="1"/>
      <c r="R10455" s="1"/>
      <c r="S10455" s="1"/>
      <c r="T10455" s="1"/>
      <c r="U10455" s="1"/>
      <c r="V10455" s="1"/>
      <c r="W10455" s="1"/>
      <c r="X10455" s="1"/>
      <c r="Y10455" s="1"/>
      <c r="Z10455" s="1"/>
      <c r="AA10455" s="1"/>
      <c r="AB10455" s="1"/>
    </row>
    <row r="10456" ht="50.25" customHeight="1">
      <c r="A10456" s="12">
        <v>10452.0</v>
      </c>
      <c r="B10456" s="13" t="s">
        <v>9604</v>
      </c>
      <c r="C10456" s="14" t="s">
        <v>10483</v>
      </c>
      <c r="D10456" s="1"/>
      <c r="E10456" s="1"/>
      <c r="F10456" s="1" t="str">
        <f>IFERROR(__xludf.DUMMYFUNCTION("GOOGLETRANSLATE(B10456, ""en"", ""fa"")
"),"موفقیت Etsy")</f>
        <v>موفقیت Etsy</v>
      </c>
      <c r="G10456" s="1" t="str">
        <f>IFERROR(__xludf.DUMMYFUNCTION("GOOGLETRANSLATE(C10456, ""en"", ""fa"")
"),"ملاحظات برای رسیدگی به نظرات مشتریان که حاوی اطلاعات شخصی یا حساس در Etsy هستند چیست؟")</f>
        <v>ملاحظات برای رسیدگی به نظرات مشتریان که حاوی اطلاعات شخصی یا حساس در Etsy هستند چیست؟</v>
      </c>
      <c r="H10456" s="1"/>
      <c r="I10456" s="1"/>
      <c r="J10456" s="1"/>
      <c r="K10456" s="1"/>
      <c r="L10456" s="1"/>
      <c r="M10456" s="1"/>
      <c r="N10456" s="1"/>
      <c r="O10456" s="1"/>
      <c r="P10456" s="1"/>
      <c r="Q10456" s="1"/>
      <c r="R10456" s="1"/>
      <c r="S10456" s="1"/>
      <c r="T10456" s="1"/>
      <c r="U10456" s="1"/>
      <c r="V10456" s="1"/>
      <c r="W10456" s="1"/>
      <c r="X10456" s="1"/>
      <c r="Y10456" s="1"/>
      <c r="Z10456" s="1"/>
      <c r="AA10456" s="1"/>
      <c r="AB10456" s="1"/>
    </row>
    <row r="10457" ht="50.25" customHeight="1">
      <c r="A10457" s="12">
        <v>10453.0</v>
      </c>
      <c r="B10457" s="13" t="s">
        <v>9604</v>
      </c>
      <c r="C10457" s="14" t="s">
        <v>10484</v>
      </c>
      <c r="D10457" s="1"/>
      <c r="E10457" s="1"/>
      <c r="F10457" s="1" t="str">
        <f>IFERROR(__xludf.DUMMYFUNCTION("GOOGLETRANSLATE(B10457, ""en"", ""fa"")
"),"موفقیت Etsy")</f>
        <v>موفقیت Etsy</v>
      </c>
      <c r="G10457" s="1" t="str">
        <f>IFERROR(__xludf.DUMMYFUNCTION("GOOGLETRANSLATE(C10457, ""en"", ""fa"")
"),"چگونه می‌توانم نظرات مشتریان را در چندین پلتفرم از جمله Etsy و وب‌سایت‌های بررسی خارجی نظارت کنم و به آنها پاسخ دهم؟")</f>
        <v>چگونه می‌توانم نظرات مشتریان را در چندین پلتفرم از جمله Etsy و وب‌سایت‌های بررسی خارجی نظارت کنم و به آنها پاسخ دهم؟</v>
      </c>
      <c r="H10457" s="1"/>
      <c r="I10457" s="1"/>
      <c r="J10457" s="1"/>
      <c r="K10457" s="1"/>
      <c r="L10457" s="1"/>
      <c r="M10457" s="1"/>
      <c r="N10457" s="1"/>
      <c r="O10457" s="1"/>
      <c r="P10457" s="1"/>
      <c r="Q10457" s="1"/>
      <c r="R10457" s="1"/>
      <c r="S10457" s="1"/>
      <c r="T10457" s="1"/>
      <c r="U10457" s="1"/>
      <c r="V10457" s="1"/>
      <c r="W10457" s="1"/>
      <c r="X10457" s="1"/>
      <c r="Y10457" s="1"/>
      <c r="Z10457" s="1"/>
      <c r="AA10457" s="1"/>
      <c r="AB10457" s="1"/>
    </row>
    <row r="10458" ht="50.25" customHeight="1">
      <c r="A10458" s="12">
        <v>10454.0</v>
      </c>
      <c r="B10458" s="13" t="s">
        <v>9604</v>
      </c>
      <c r="C10458" s="14" t="s">
        <v>10485</v>
      </c>
      <c r="D10458" s="1"/>
      <c r="E10458" s="1"/>
      <c r="F10458" s="1" t="str">
        <f>IFERROR(__xludf.DUMMYFUNCTION("GOOGLETRANSLATE(B10458, ""en"", ""fa"")
"),"موفقیت Etsy")</f>
        <v>موفقیت Etsy</v>
      </c>
      <c r="G10458" s="1" t="str">
        <f>IFERROR(__xludf.DUMMYFUNCTION("GOOGLETRANSLATE(C10458, ""en"", ""fa"")
"),"بهترین شیوه ها برای حفظ شفافیت و اصالت در پاسخ به نظرات مشتریان در Etsy چیست؟")</f>
        <v>بهترین شیوه ها برای حفظ شفافیت و اصالت در پاسخ به نظرات مشتریان در Etsy چیست؟</v>
      </c>
      <c r="H10458" s="1"/>
      <c r="I10458" s="1"/>
      <c r="J10458" s="1"/>
      <c r="K10458" s="1"/>
      <c r="L10458" s="1"/>
      <c r="M10458" s="1"/>
      <c r="N10458" s="1"/>
      <c r="O10458" s="1"/>
      <c r="P10458" s="1"/>
      <c r="Q10458" s="1"/>
      <c r="R10458" s="1"/>
      <c r="S10458" s="1"/>
      <c r="T10458" s="1"/>
      <c r="U10458" s="1"/>
      <c r="V10458" s="1"/>
      <c r="W10458" s="1"/>
      <c r="X10458" s="1"/>
      <c r="Y10458" s="1"/>
      <c r="Z10458" s="1"/>
      <c r="AA10458" s="1"/>
      <c r="AB10458" s="1"/>
    </row>
    <row r="10459" ht="50.25" customHeight="1">
      <c r="A10459" s="12">
        <v>10455.0</v>
      </c>
      <c r="B10459" s="13" t="s">
        <v>9604</v>
      </c>
      <c r="C10459" s="14" t="s">
        <v>10486</v>
      </c>
      <c r="D10459" s="1"/>
      <c r="E10459" s="1"/>
      <c r="F10459" s="1" t="str">
        <f>IFERROR(__xludf.DUMMYFUNCTION("GOOGLETRANSLATE(B10459, ""en"", ""fa"")
"),"موفقیت Etsy")</f>
        <v>موفقیت Etsy</v>
      </c>
      <c r="G10459" s="1" t="str">
        <f>IFERROR(__xludf.DUMMYFUNCTION("GOOGLETRANSLATE(C10459, ""en"", ""fa"")
"),"چگونه می توانم از نظرات مشتریان برای شناسایی الگوها یا روندها در ترجیحات محصول یا تقاضای بازار در Etsy استفاده کنم؟")</f>
        <v>چگونه می توانم از نظرات مشتریان برای شناسایی الگوها یا روندها در ترجیحات محصول یا تقاضای بازار در Etsy استفاده کنم؟</v>
      </c>
      <c r="H10459" s="1"/>
      <c r="I10459" s="1"/>
      <c r="J10459" s="1"/>
      <c r="K10459" s="1"/>
      <c r="L10459" s="1"/>
      <c r="M10459" s="1"/>
      <c r="N10459" s="1"/>
      <c r="O10459" s="1"/>
      <c r="P10459" s="1"/>
      <c r="Q10459" s="1"/>
      <c r="R10459" s="1"/>
      <c r="S10459" s="1"/>
      <c r="T10459" s="1"/>
      <c r="U10459" s="1"/>
      <c r="V10459" s="1"/>
      <c r="W10459" s="1"/>
      <c r="X10459" s="1"/>
      <c r="Y10459" s="1"/>
      <c r="Z10459" s="1"/>
      <c r="AA10459" s="1"/>
      <c r="AB10459" s="1"/>
    </row>
    <row r="10460" ht="50.25" customHeight="1">
      <c r="A10460" s="12">
        <v>10456.0</v>
      </c>
      <c r="B10460" s="13" t="s">
        <v>9604</v>
      </c>
      <c r="C10460" s="14" t="s">
        <v>10487</v>
      </c>
      <c r="D10460" s="1"/>
      <c r="E10460" s="1"/>
      <c r="F10460" s="1" t="str">
        <f>IFERROR(__xludf.DUMMYFUNCTION("GOOGLETRANSLATE(B10460, ""en"", ""fa"")
"),"موفقیت Etsy")</f>
        <v>موفقیت Etsy</v>
      </c>
      <c r="G10460" s="1" t="str">
        <f>IFERROR(__xludf.DUMMYFUNCTION("GOOGLETRANSLATE(C10460, ""en"", ""fa"")
"),"استراتژی‌های استفاده از نظرات مشتریان برای بهینه‌سازی سیاست‌های بازگشت و بازپرداخت فروشگاه Etsy من چیست؟")</f>
        <v>استراتژی‌های استفاده از نظرات مشتریان برای بهینه‌سازی سیاست‌های بازگشت و بازپرداخت فروشگاه Etsy من چیست؟</v>
      </c>
      <c r="H10460" s="1"/>
      <c r="I10460" s="1"/>
      <c r="J10460" s="1"/>
      <c r="K10460" s="1"/>
      <c r="L10460" s="1"/>
      <c r="M10460" s="1"/>
      <c r="N10460" s="1"/>
      <c r="O10460" s="1"/>
      <c r="P10460" s="1"/>
      <c r="Q10460" s="1"/>
      <c r="R10460" s="1"/>
      <c r="S10460" s="1"/>
      <c r="T10460" s="1"/>
      <c r="U10460" s="1"/>
      <c r="V10460" s="1"/>
      <c r="W10460" s="1"/>
      <c r="X10460" s="1"/>
      <c r="Y10460" s="1"/>
      <c r="Z10460" s="1"/>
      <c r="AA10460" s="1"/>
      <c r="AB10460" s="1"/>
    </row>
    <row r="10461" ht="50.25" customHeight="1">
      <c r="A10461" s="12">
        <v>10457.0</v>
      </c>
      <c r="B10461" s="13" t="s">
        <v>9604</v>
      </c>
      <c r="C10461" s="14" t="s">
        <v>10488</v>
      </c>
      <c r="D10461" s="1"/>
      <c r="E10461" s="1"/>
      <c r="F10461" s="1" t="str">
        <f>IFERROR(__xludf.DUMMYFUNCTION("GOOGLETRANSLATE(B10461, ""en"", ""fa"")
"),"موفقیت Etsy")</f>
        <v>موفقیت Etsy</v>
      </c>
      <c r="G10461" s="1" t="str">
        <f>IFERROR(__xludf.DUMMYFUNCTION("GOOGLETRANSLATE(C10461, ""en"", ""fa"")
"),"چگونه می توانم به طور موثر نظرات مشتریان را در کانال های رسانه اجتماعی فروشگاه Etsy یا وبلاگ خود به نمایش بگذارم و به آنها پاسخ دهم؟")</f>
        <v>چگونه می توانم به طور موثر نظرات مشتریان را در کانال های رسانه اجتماعی فروشگاه Etsy یا وبلاگ خود به نمایش بگذارم و به آنها پاسخ دهم؟</v>
      </c>
      <c r="H10461" s="1"/>
      <c r="I10461" s="1"/>
      <c r="J10461" s="1"/>
      <c r="K10461" s="1"/>
      <c r="L10461" s="1"/>
      <c r="M10461" s="1"/>
      <c r="N10461" s="1"/>
      <c r="O10461" s="1"/>
      <c r="P10461" s="1"/>
      <c r="Q10461" s="1"/>
      <c r="R10461" s="1"/>
      <c r="S10461" s="1"/>
      <c r="T10461" s="1"/>
      <c r="U10461" s="1"/>
      <c r="V10461" s="1"/>
      <c r="W10461" s="1"/>
      <c r="X10461" s="1"/>
      <c r="Y10461" s="1"/>
      <c r="Z10461" s="1"/>
      <c r="AA10461" s="1"/>
      <c r="AB10461" s="1"/>
    </row>
    <row r="10462" ht="50.25" customHeight="1">
      <c r="A10462" s="12">
        <v>10458.0</v>
      </c>
      <c r="B10462" s="13" t="s">
        <v>9604</v>
      </c>
      <c r="C10462" s="14" t="s">
        <v>10489</v>
      </c>
      <c r="D10462" s="1"/>
      <c r="E10462" s="1"/>
      <c r="F10462" s="1" t="str">
        <f>IFERROR(__xludf.DUMMYFUNCTION("GOOGLETRANSLATE(B10462, ""en"", ""fa"")
"),"موفقیت Etsy")</f>
        <v>موفقیت Etsy</v>
      </c>
      <c r="G10462" s="1" t="str">
        <f>IFERROR(__xludf.DUMMYFUNCTION("GOOGLETRANSLATE(C10462, ""en"", ""fa"")
"),"ملاحظات برای کسب اجازه از مشتریان برای استفاده از نظرات آنها به عنوان مواد بازاریابی برای فروشگاه Etsy من چیست؟")</f>
        <v>ملاحظات برای کسب اجازه از مشتریان برای استفاده از نظرات آنها به عنوان مواد بازاریابی برای فروشگاه Etsy من چیست؟</v>
      </c>
      <c r="H10462" s="1"/>
      <c r="I10462" s="1"/>
      <c r="J10462" s="1"/>
      <c r="K10462" s="1"/>
      <c r="L10462" s="1"/>
      <c r="M10462" s="1"/>
      <c r="N10462" s="1"/>
      <c r="O10462" s="1"/>
      <c r="P10462" s="1"/>
      <c r="Q10462" s="1"/>
      <c r="R10462" s="1"/>
      <c r="S10462" s="1"/>
      <c r="T10462" s="1"/>
      <c r="U10462" s="1"/>
      <c r="V10462" s="1"/>
      <c r="W10462" s="1"/>
      <c r="X10462" s="1"/>
      <c r="Y10462" s="1"/>
      <c r="Z10462" s="1"/>
      <c r="AA10462" s="1"/>
      <c r="AB10462" s="1"/>
    </row>
    <row r="10463" ht="50.25" customHeight="1">
      <c r="A10463" s="12">
        <v>10459.0</v>
      </c>
      <c r="B10463" s="13" t="s">
        <v>9604</v>
      </c>
      <c r="C10463" s="14" t="s">
        <v>10490</v>
      </c>
      <c r="D10463" s="1"/>
      <c r="E10463" s="1"/>
      <c r="F10463" s="1" t="str">
        <f>IFERROR(__xludf.DUMMYFUNCTION("GOOGLETRANSLATE(B10463, ""en"", ""fa"")
"),"موفقیت Etsy")</f>
        <v>موفقیت Etsy</v>
      </c>
      <c r="G10463" s="1" t="str">
        <f>IFERROR(__xludf.DUMMYFUNCTION("GOOGLETRANSLATE(C10463, ""en"", ""fa"")
"),"چگونه می توانم از نظرات مشتریان برای ایجاد رابطه و ایجاد ارتباط با مشتریان بالقوه ای که از فروشگاه Etsy من بازدید می کنند استفاده کنم؟")</f>
        <v>چگونه می توانم از نظرات مشتریان برای ایجاد رابطه و ایجاد ارتباط با مشتریان بالقوه ای که از فروشگاه Etsy من بازدید می کنند استفاده کنم؟</v>
      </c>
      <c r="H10463" s="1"/>
      <c r="I10463" s="1"/>
      <c r="J10463" s="1"/>
      <c r="K10463" s="1"/>
      <c r="L10463" s="1"/>
      <c r="M10463" s="1"/>
      <c r="N10463" s="1"/>
      <c r="O10463" s="1"/>
      <c r="P10463" s="1"/>
      <c r="Q10463" s="1"/>
      <c r="R10463" s="1"/>
      <c r="S10463" s="1"/>
      <c r="T10463" s="1"/>
      <c r="U10463" s="1"/>
      <c r="V10463" s="1"/>
      <c r="W10463" s="1"/>
      <c r="X10463" s="1"/>
      <c r="Y10463" s="1"/>
      <c r="Z10463" s="1"/>
      <c r="AA10463" s="1"/>
      <c r="AB10463" s="1"/>
    </row>
    <row r="10464" ht="50.25" customHeight="1">
      <c r="A10464" s="12">
        <v>10460.0</v>
      </c>
      <c r="B10464" s="13" t="s">
        <v>9604</v>
      </c>
      <c r="C10464" s="14" t="s">
        <v>10491</v>
      </c>
      <c r="D10464" s="1"/>
      <c r="E10464" s="1"/>
      <c r="F10464" s="1" t="str">
        <f>IFERROR(__xludf.DUMMYFUNCTION("GOOGLETRANSLATE(B10464, ""en"", ""fa"")
"),"موفقیت Etsy")</f>
        <v>موفقیت Etsy</v>
      </c>
      <c r="G10464" s="1" t="str">
        <f>IFERROR(__xludf.DUMMYFUNCTION("GOOGLETRANSLATE(C10464, ""en"", ""fa"")
"),"بهترین شیوه ها برای رسیدگی به نظرات مشتریان که شامل اطلاعات نادرست یا گمراه کننده در Etsy است چیست؟")</f>
        <v>بهترین شیوه ها برای رسیدگی به نظرات مشتریان که شامل اطلاعات نادرست یا گمراه کننده در Etsy است چیست؟</v>
      </c>
      <c r="H10464" s="1"/>
      <c r="I10464" s="1"/>
      <c r="J10464" s="1"/>
      <c r="K10464" s="1"/>
      <c r="L10464" s="1"/>
      <c r="M10464" s="1"/>
      <c r="N10464" s="1"/>
      <c r="O10464" s="1"/>
      <c r="P10464" s="1"/>
      <c r="Q10464" s="1"/>
      <c r="R10464" s="1"/>
      <c r="S10464" s="1"/>
      <c r="T10464" s="1"/>
      <c r="U10464" s="1"/>
      <c r="V10464" s="1"/>
      <c r="W10464" s="1"/>
      <c r="X10464" s="1"/>
      <c r="Y10464" s="1"/>
      <c r="Z10464" s="1"/>
      <c r="AA10464" s="1"/>
      <c r="AB10464" s="1"/>
    </row>
    <row r="10465" ht="50.25" customHeight="1">
      <c r="A10465" s="12">
        <v>10461.0</v>
      </c>
      <c r="B10465" s="13" t="s">
        <v>9604</v>
      </c>
      <c r="C10465" s="14" t="s">
        <v>10492</v>
      </c>
      <c r="D10465" s="1"/>
      <c r="E10465" s="1"/>
      <c r="F10465" s="1" t="str">
        <f>IFERROR(__xludf.DUMMYFUNCTION("GOOGLETRANSLATE(B10465, ""en"", ""fa"")
"),"موفقیت Etsy")</f>
        <v>موفقیت Etsy</v>
      </c>
      <c r="G10465" s="1" t="str">
        <f>IFERROR(__xludf.DUMMYFUNCTION("GOOGLETRANSLATE(C10465, ""en"", ""fa"")
"),"چگونه می توانم از نظرات مشتریان برای اصلاح و بهبود فرآیندها و خط مشی های خدمات مشتری فروشگاه Etsy خود استفاده کنم؟")</f>
        <v>چگونه می توانم از نظرات مشتریان برای اصلاح و بهبود فرآیندها و خط مشی های خدمات مشتری فروشگاه Etsy خود استفاده کنم؟</v>
      </c>
      <c r="H10465" s="1"/>
      <c r="I10465" s="1"/>
      <c r="J10465" s="1"/>
      <c r="K10465" s="1"/>
      <c r="L10465" s="1"/>
      <c r="M10465" s="1"/>
      <c r="N10465" s="1"/>
      <c r="O10465" s="1"/>
      <c r="P10465" s="1"/>
      <c r="Q10465" s="1"/>
      <c r="R10465" s="1"/>
      <c r="S10465" s="1"/>
      <c r="T10465" s="1"/>
      <c r="U10465" s="1"/>
      <c r="V10465" s="1"/>
      <c r="W10465" s="1"/>
      <c r="X10465" s="1"/>
      <c r="Y10465" s="1"/>
      <c r="Z10465" s="1"/>
      <c r="AA10465" s="1"/>
      <c r="AB10465" s="1"/>
    </row>
    <row r="10466" ht="50.25" customHeight="1">
      <c r="A10466" s="12">
        <v>10462.0</v>
      </c>
      <c r="B10466" s="13" t="s">
        <v>9604</v>
      </c>
      <c r="C10466" s="14" t="s">
        <v>10493</v>
      </c>
      <c r="D10466" s="1"/>
      <c r="E10466" s="1"/>
      <c r="F10466" s="1" t="str">
        <f>IFERROR(__xludf.DUMMYFUNCTION("GOOGLETRANSLATE(B10466, ""en"", ""fa"")
"),"موفقیت Etsy")</f>
        <v>موفقیت Etsy</v>
      </c>
      <c r="G10466" s="1" t="str">
        <f>IFERROR(__xludf.DUMMYFUNCTION("GOOGLETRANSLATE(C10466, ""en"", ""fa"")
"),"راهبردهای پاسخ به نظرات مشتریان خنثی در Etsy برای نشان دادن قدردانی از بازخورد و تشویق تعامل بیشتر چیست؟")</f>
        <v>راهبردهای پاسخ به نظرات مشتریان خنثی در Etsy برای نشان دادن قدردانی از بازخورد و تشویق تعامل بیشتر چیست؟</v>
      </c>
      <c r="H10466" s="1"/>
      <c r="I10466" s="1"/>
      <c r="J10466" s="1"/>
      <c r="K10466" s="1"/>
      <c r="L10466" s="1"/>
      <c r="M10466" s="1"/>
      <c r="N10466" s="1"/>
      <c r="O10466" s="1"/>
      <c r="P10466" s="1"/>
      <c r="Q10466" s="1"/>
      <c r="R10466" s="1"/>
      <c r="S10466" s="1"/>
      <c r="T10466" s="1"/>
      <c r="U10466" s="1"/>
      <c r="V10466" s="1"/>
      <c r="W10466" s="1"/>
      <c r="X10466" s="1"/>
      <c r="Y10466" s="1"/>
      <c r="Z10466" s="1"/>
      <c r="AA10466" s="1"/>
      <c r="AB10466" s="1"/>
    </row>
    <row r="10467" ht="50.25" customHeight="1">
      <c r="A10467" s="12">
        <v>10463.0</v>
      </c>
      <c r="B10467" s="13" t="s">
        <v>9604</v>
      </c>
      <c r="C10467" s="14" t="s">
        <v>10494</v>
      </c>
      <c r="D10467" s="1"/>
      <c r="E10467" s="1"/>
      <c r="F10467" s="1" t="str">
        <f>IFERROR(__xludf.DUMMYFUNCTION("GOOGLETRANSLATE(B10467, ""en"", ""fa"")
"),"موفقیت Etsy")</f>
        <v>موفقیت Etsy</v>
      </c>
      <c r="G10467" s="1" t="str">
        <f>IFERROR(__xludf.DUMMYFUNCTION("GOOGLETRANSLATE(C10467, ""en"", ""fa"")
"),"چگونه می توانم از نظرات مشتریان برای برجسته کردن نقاط فروش منحصر به فرد محصولاتم استفاده کنم و خودم را از رقبا در Etsy متمایز کنم؟")</f>
        <v>چگونه می توانم از نظرات مشتریان برای برجسته کردن نقاط فروش منحصر به فرد محصولاتم استفاده کنم و خودم را از رقبا در Etsy متمایز کنم؟</v>
      </c>
      <c r="H10467" s="1"/>
      <c r="I10467" s="1"/>
      <c r="J10467" s="1"/>
      <c r="K10467" s="1"/>
      <c r="L10467" s="1"/>
      <c r="M10467" s="1"/>
      <c r="N10467" s="1"/>
      <c r="O10467" s="1"/>
      <c r="P10467" s="1"/>
      <c r="Q10467" s="1"/>
      <c r="R10467" s="1"/>
      <c r="S10467" s="1"/>
      <c r="T10467" s="1"/>
      <c r="U10467" s="1"/>
      <c r="V10467" s="1"/>
      <c r="W10467" s="1"/>
      <c r="X10467" s="1"/>
      <c r="Y10467" s="1"/>
      <c r="Z10467" s="1"/>
      <c r="AA10467" s="1"/>
      <c r="AB10467" s="1"/>
    </row>
    <row r="10468" ht="50.25" customHeight="1">
      <c r="A10468" s="12">
        <v>10464.0</v>
      </c>
      <c r="B10468" s="13" t="s">
        <v>9604</v>
      </c>
      <c r="C10468" s="14" t="s">
        <v>10495</v>
      </c>
      <c r="D10468" s="1"/>
      <c r="E10468" s="1"/>
      <c r="F10468" s="1" t="str">
        <f>IFERROR(__xludf.DUMMYFUNCTION("GOOGLETRANSLATE(B10468, ""en"", ""fa"")
"),"موفقیت Etsy")</f>
        <v>موفقیت Etsy</v>
      </c>
      <c r="G10468" s="1" t="str">
        <f>IFERROR(__xludf.DUMMYFUNCTION("GOOGLETRANSLATE(C10468, ""en"", ""fa"")
"),"ملاحظات برای تعدیل و مدیریت نظرات مشتریان در Etsy برای حفظ یک پلت فرم منصفانه و بی طرفانه چیست؟")</f>
        <v>ملاحظات برای تعدیل و مدیریت نظرات مشتریان در Etsy برای حفظ یک پلت فرم منصفانه و بی طرفانه چیست؟</v>
      </c>
      <c r="H10468" s="1"/>
      <c r="I10468" s="1"/>
      <c r="J10468" s="1"/>
      <c r="K10468" s="1"/>
      <c r="L10468" s="1"/>
      <c r="M10468" s="1"/>
      <c r="N10468" s="1"/>
      <c r="O10468" s="1"/>
      <c r="P10468" s="1"/>
      <c r="Q10468" s="1"/>
      <c r="R10468" s="1"/>
      <c r="S10468" s="1"/>
      <c r="T10468" s="1"/>
      <c r="U10468" s="1"/>
      <c r="V10468" s="1"/>
      <c r="W10468" s="1"/>
      <c r="X10468" s="1"/>
      <c r="Y10468" s="1"/>
      <c r="Z10468" s="1"/>
      <c r="AA10468" s="1"/>
      <c r="AB10468" s="1"/>
    </row>
    <row r="10469" ht="50.25" customHeight="1">
      <c r="A10469" s="12">
        <v>10465.0</v>
      </c>
      <c r="B10469" s="13" t="s">
        <v>9604</v>
      </c>
      <c r="C10469" s="14" t="s">
        <v>10496</v>
      </c>
      <c r="D10469" s="1"/>
      <c r="E10469" s="1"/>
      <c r="F10469" s="1" t="str">
        <f>IFERROR(__xludf.DUMMYFUNCTION("GOOGLETRANSLATE(B10469, ""en"", ""fa"")
"),"موفقیت Etsy")</f>
        <v>موفقیت Etsy</v>
      </c>
      <c r="G10469" s="1" t="str">
        <f>IFERROR(__xludf.DUMMYFUNCTION("GOOGLETRANSLATE(C10469, ""en"", ""fa"")
"),"چگونه می‌توانم از نظرات مشتریان برای جمع‌آوری بینش و توصیفات برای راه‌اندازی محصول یا کمپین‌های بازاریابی در Etsy استفاده کنم؟")</f>
        <v>چگونه می‌توانم از نظرات مشتریان برای جمع‌آوری بینش و توصیفات برای راه‌اندازی محصول یا کمپین‌های بازاریابی در Etsy استفاده کنم؟</v>
      </c>
      <c r="H10469" s="1"/>
      <c r="I10469" s="1"/>
      <c r="J10469" s="1"/>
      <c r="K10469" s="1"/>
      <c r="L10469" s="1"/>
      <c r="M10469" s="1"/>
      <c r="N10469" s="1"/>
      <c r="O10469" s="1"/>
      <c r="P10469" s="1"/>
      <c r="Q10469" s="1"/>
      <c r="R10469" s="1"/>
      <c r="S10469" s="1"/>
      <c r="T10469" s="1"/>
      <c r="U10469" s="1"/>
      <c r="V10469" s="1"/>
      <c r="W10469" s="1"/>
      <c r="X10469" s="1"/>
      <c r="Y10469" s="1"/>
      <c r="Z10469" s="1"/>
      <c r="AA10469" s="1"/>
      <c r="AB10469" s="1"/>
    </row>
    <row r="10470" ht="50.25" customHeight="1">
      <c r="A10470" s="12">
        <v>10466.0</v>
      </c>
      <c r="B10470" s="13" t="s">
        <v>9604</v>
      </c>
      <c r="C10470" s="14" t="s">
        <v>10497</v>
      </c>
      <c r="D10470" s="1"/>
      <c r="E10470" s="1"/>
      <c r="F10470" s="1" t="str">
        <f>IFERROR(__xludf.DUMMYFUNCTION("GOOGLETRANSLATE(B10470, ""en"", ""fa"")
"),"موفقیت Etsy")</f>
        <v>موفقیت Etsy</v>
      </c>
      <c r="G10470" s="1" t="str">
        <f>IFERROR(__xludf.DUMMYFUNCTION("GOOGLETRANSLATE(C10470, ""en"", ""fa"")
"),"راهکارهایی برای پاسخ دادن به نظرات مشتریان به گونه ای که با صدای برند و ارزش های فروشگاه Etsy من مطابقت داشته باشد چیست؟")</f>
        <v>راهکارهایی برای پاسخ دادن به نظرات مشتریان به گونه ای که با صدای برند و ارزش های فروشگاه Etsy من مطابقت داشته باشد چیست؟</v>
      </c>
      <c r="H10470" s="1"/>
      <c r="I10470" s="1"/>
      <c r="J10470" s="1"/>
      <c r="K10470" s="1"/>
      <c r="L10470" s="1"/>
      <c r="M10470" s="1"/>
      <c r="N10470" s="1"/>
      <c r="O10470" s="1"/>
      <c r="P10470" s="1"/>
      <c r="Q10470" s="1"/>
      <c r="R10470" s="1"/>
      <c r="S10470" s="1"/>
      <c r="T10470" s="1"/>
      <c r="U10470" s="1"/>
      <c r="V10470" s="1"/>
      <c r="W10470" s="1"/>
      <c r="X10470" s="1"/>
      <c r="Y10470" s="1"/>
      <c r="Z10470" s="1"/>
      <c r="AA10470" s="1"/>
      <c r="AB10470" s="1"/>
    </row>
    <row r="10471" ht="50.25" customHeight="1">
      <c r="A10471" s="12">
        <v>10467.0</v>
      </c>
      <c r="B10471" s="13" t="s">
        <v>9604</v>
      </c>
      <c r="C10471" s="14" t="s">
        <v>10498</v>
      </c>
      <c r="D10471" s="1"/>
      <c r="E10471" s="1"/>
      <c r="F10471" s="1" t="str">
        <f>IFERROR(__xludf.DUMMYFUNCTION("GOOGLETRANSLATE(B10471, ""en"", ""fa"")
"),"موفقیت Etsy")</f>
        <v>موفقیت Etsy</v>
      </c>
      <c r="G10471" s="1" t="str">
        <f>IFERROR(__xludf.DUMMYFUNCTION("GOOGLETRANSLATE(C10471, ""en"", ""fa"")
"),"چگونه می توانم به نظرات مشتریانی که حاوی انتقاد یا پیشنهادات سازنده برای بهبود Etsy هستند پاسخ دهم؟")</f>
        <v>چگونه می توانم به نظرات مشتریانی که حاوی انتقاد یا پیشنهادات سازنده برای بهبود Etsy هستند پاسخ دهم؟</v>
      </c>
      <c r="H10471" s="1"/>
      <c r="I10471" s="1"/>
      <c r="J10471" s="1"/>
      <c r="K10471" s="1"/>
      <c r="L10471" s="1"/>
      <c r="M10471" s="1"/>
      <c r="N10471" s="1"/>
      <c r="O10471" s="1"/>
      <c r="P10471" s="1"/>
      <c r="Q10471" s="1"/>
      <c r="R10471" s="1"/>
      <c r="S10471" s="1"/>
      <c r="T10471" s="1"/>
      <c r="U10471" s="1"/>
      <c r="V10471" s="1"/>
      <c r="W10471" s="1"/>
      <c r="X10471" s="1"/>
      <c r="Y10471" s="1"/>
      <c r="Z10471" s="1"/>
      <c r="AA10471" s="1"/>
      <c r="AB10471" s="1"/>
    </row>
    <row r="10472" ht="50.25" customHeight="1">
      <c r="A10472" s="12">
        <v>10468.0</v>
      </c>
      <c r="B10472" s="13" t="s">
        <v>9604</v>
      </c>
      <c r="C10472" s="14" t="s">
        <v>10499</v>
      </c>
      <c r="D10472" s="1"/>
      <c r="E10472" s="1"/>
      <c r="F10472" s="1" t="str">
        <f>IFERROR(__xludf.DUMMYFUNCTION("GOOGLETRANSLATE(B10472, ""en"", ""fa"")
"),"موفقیت Etsy")</f>
        <v>موفقیت Etsy</v>
      </c>
      <c r="G10472" s="1" t="str">
        <f>IFERROR(__xludf.DUMMYFUNCTION("GOOGLETRANSLATE(C10472, ""en"", ""fa"")
"),"ملاحظات به اشتراک گذاشتن نظرات مشتریان با تیم یا کارمندانم برای ایجاد انگیزه و الهام بخشیدن به آنها در ارائه تجربیات عالی به مشتری چیست؟")</f>
        <v>ملاحظات به اشتراک گذاشتن نظرات مشتریان با تیم یا کارمندانم برای ایجاد انگیزه و الهام بخشیدن به آنها در ارائه تجربیات عالی به مشتری چیست؟</v>
      </c>
      <c r="H10472" s="1"/>
      <c r="I10472" s="1"/>
      <c r="J10472" s="1"/>
      <c r="K10472" s="1"/>
      <c r="L10472" s="1"/>
      <c r="M10472" s="1"/>
      <c r="N10472" s="1"/>
      <c r="O10472" s="1"/>
      <c r="P10472" s="1"/>
      <c r="Q10472" s="1"/>
      <c r="R10472" s="1"/>
      <c r="S10472" s="1"/>
      <c r="T10472" s="1"/>
      <c r="U10472" s="1"/>
      <c r="V10472" s="1"/>
      <c r="W10472" s="1"/>
      <c r="X10472" s="1"/>
      <c r="Y10472" s="1"/>
      <c r="Z10472" s="1"/>
      <c r="AA10472" s="1"/>
      <c r="AB10472" s="1"/>
    </row>
    <row r="10473" ht="50.25" customHeight="1">
      <c r="A10473" s="12">
        <v>10469.0</v>
      </c>
      <c r="B10473" s="13" t="s">
        <v>9604</v>
      </c>
      <c r="C10473" s="14" t="s">
        <v>10500</v>
      </c>
      <c r="D10473" s="1"/>
      <c r="E10473" s="1"/>
      <c r="F10473" s="1" t="str">
        <f>IFERROR(__xludf.DUMMYFUNCTION("GOOGLETRANSLATE(B10473, ""en"", ""fa"")
"),"موفقیت Etsy")</f>
        <v>موفقیت Etsy</v>
      </c>
      <c r="G10473" s="1" t="str">
        <f>IFERROR(__xludf.DUMMYFUNCTION("GOOGLETRANSLATE(C10473, ""en"", ""fa"")
"),"چگونه می توانم از نظرات مشتریان برای شناسایی زمینه های بالقوه برای بهبود فرآیندهای حمل و نقل و بسته بندی فروشگاه Etsy خود استفاده کنم؟")</f>
        <v>چگونه می توانم از نظرات مشتریان برای شناسایی زمینه های بالقوه برای بهبود فرآیندهای حمل و نقل و بسته بندی فروشگاه Etsy خود استفاده کنم؟</v>
      </c>
      <c r="H10473" s="1"/>
      <c r="I10473" s="1"/>
      <c r="J10473" s="1"/>
      <c r="K10473" s="1"/>
      <c r="L10473" s="1"/>
      <c r="M10473" s="1"/>
      <c r="N10473" s="1"/>
      <c r="O10473" s="1"/>
      <c r="P10473" s="1"/>
      <c r="Q10473" s="1"/>
      <c r="R10473" s="1"/>
      <c r="S10473" s="1"/>
      <c r="T10473" s="1"/>
      <c r="U10473" s="1"/>
      <c r="V10473" s="1"/>
      <c r="W10473" s="1"/>
      <c r="X10473" s="1"/>
      <c r="Y10473" s="1"/>
      <c r="Z10473" s="1"/>
      <c r="AA10473" s="1"/>
      <c r="AB10473" s="1"/>
    </row>
    <row r="10474" ht="50.25" customHeight="1">
      <c r="A10474" s="12">
        <v>10470.0</v>
      </c>
      <c r="B10474" s="13" t="s">
        <v>9604</v>
      </c>
      <c r="C10474" s="14" t="s">
        <v>10501</v>
      </c>
      <c r="D10474" s="1"/>
      <c r="E10474" s="1"/>
      <c r="F10474" s="1" t="str">
        <f>IFERROR(__xludf.DUMMYFUNCTION("GOOGLETRANSLATE(B10474, ""en"", ""fa"")
"),"موفقیت Etsy")</f>
        <v>موفقیت Etsy</v>
      </c>
      <c r="G10474" s="1" t="str">
        <f>IFERROR(__xludf.DUMMYFUNCTION("GOOGLETRANSLATE(C10474, ""en"", ""fa"")
"),"بهترین روش ها برای برجسته کردن و پاسخ به نظرات مشتریان در خبرنامه فروشگاه Etsy یا کمپین های بازاریابی ایمیلی من چیست؟")</f>
        <v>بهترین روش ها برای برجسته کردن و پاسخ به نظرات مشتریان در خبرنامه فروشگاه Etsy یا کمپین های بازاریابی ایمیلی من چیست؟</v>
      </c>
      <c r="H10474" s="1"/>
      <c r="I10474" s="1"/>
      <c r="J10474" s="1"/>
      <c r="K10474" s="1"/>
      <c r="L10474" s="1"/>
      <c r="M10474" s="1"/>
      <c r="N10474" s="1"/>
      <c r="O10474" s="1"/>
      <c r="P10474" s="1"/>
      <c r="Q10474" s="1"/>
      <c r="R10474" s="1"/>
      <c r="S10474" s="1"/>
      <c r="T10474" s="1"/>
      <c r="U10474" s="1"/>
      <c r="V10474" s="1"/>
      <c r="W10474" s="1"/>
      <c r="X10474" s="1"/>
      <c r="Y10474" s="1"/>
      <c r="Z10474" s="1"/>
      <c r="AA10474" s="1"/>
      <c r="AB10474" s="1"/>
    </row>
    <row r="10475" ht="50.25" customHeight="1">
      <c r="A10475" s="12">
        <v>10471.0</v>
      </c>
      <c r="B10475" s="13" t="s">
        <v>9604</v>
      </c>
      <c r="C10475" s="14" t="s">
        <v>10502</v>
      </c>
      <c r="D10475" s="1"/>
      <c r="E10475" s="1"/>
      <c r="F10475" s="1" t="str">
        <f>IFERROR(__xludf.DUMMYFUNCTION("GOOGLETRANSLATE(B10475, ""en"", ""fa"")
"),"موفقیت Etsy")</f>
        <v>موفقیت Etsy</v>
      </c>
      <c r="G10475" s="1" t="str">
        <f>IFERROR(__xludf.DUMMYFUNCTION("GOOGLETRANSLATE(C10475, ""en"", ""fa"")
"),"چگونه می توانم از نظرات مشتریان برای جمع آوری بینش در مورد ترجیحات مشتری، جمعیت شناسی و رفتارهای خرید در Etsy استفاده کنم؟")</f>
        <v>چگونه می توانم از نظرات مشتریان برای جمع آوری بینش در مورد ترجیحات مشتری، جمعیت شناسی و رفتارهای خرید در Etsy استفاده کنم؟</v>
      </c>
      <c r="H10475" s="1"/>
      <c r="I10475" s="1"/>
      <c r="J10475" s="1"/>
      <c r="K10475" s="1"/>
      <c r="L10475" s="1"/>
      <c r="M10475" s="1"/>
      <c r="N10475" s="1"/>
      <c r="O10475" s="1"/>
      <c r="P10475" s="1"/>
      <c r="Q10475" s="1"/>
      <c r="R10475" s="1"/>
      <c r="S10475" s="1"/>
      <c r="T10475" s="1"/>
      <c r="U10475" s="1"/>
      <c r="V10475" s="1"/>
      <c r="W10475" s="1"/>
      <c r="X10475" s="1"/>
      <c r="Y10475" s="1"/>
      <c r="Z10475" s="1"/>
      <c r="AA10475" s="1"/>
      <c r="AB10475" s="1"/>
    </row>
    <row r="10476" ht="50.25" customHeight="1">
      <c r="A10476" s="12">
        <v>10472.0</v>
      </c>
      <c r="B10476" s="13" t="s">
        <v>9604</v>
      </c>
      <c r="C10476" s="14" t="s">
        <v>10503</v>
      </c>
      <c r="D10476" s="1"/>
      <c r="E10476" s="1"/>
      <c r="F10476" s="1" t="str">
        <f>IFERROR(__xludf.DUMMYFUNCTION("GOOGLETRANSLATE(B10476, ""en"", ""fa"")
"),"موفقیت Etsy")</f>
        <v>موفقیت Etsy</v>
      </c>
      <c r="G10476" s="1" t="str">
        <f>IFERROR(__xludf.DUMMYFUNCTION("GOOGLETRANSLATE(C10476, ""en"", ""fa"")
"),"استراتژی‌هایی برای استفاده از نظرات مشتریان برای ایجاد شهرت برند قوی و حضور آنلاین مثبت برای فروشگاه Etsy من چیست؟")</f>
        <v>استراتژی‌هایی برای استفاده از نظرات مشتریان برای ایجاد شهرت برند قوی و حضور آنلاین مثبت برای فروشگاه Etsy من چیست؟</v>
      </c>
      <c r="H10476" s="1"/>
      <c r="I10476" s="1"/>
      <c r="J10476" s="1"/>
      <c r="K10476" s="1"/>
      <c r="L10476" s="1"/>
      <c r="M10476" s="1"/>
      <c r="N10476" s="1"/>
      <c r="O10476" s="1"/>
      <c r="P10476" s="1"/>
      <c r="Q10476" s="1"/>
      <c r="R10476" s="1"/>
      <c r="S10476" s="1"/>
      <c r="T10476" s="1"/>
      <c r="U10476" s="1"/>
      <c r="V10476" s="1"/>
      <c r="W10476" s="1"/>
      <c r="X10476" s="1"/>
      <c r="Y10476" s="1"/>
      <c r="Z10476" s="1"/>
      <c r="AA10476" s="1"/>
      <c r="AB10476" s="1"/>
    </row>
    <row r="10477" ht="50.25" customHeight="1">
      <c r="A10477" s="12">
        <v>10473.0</v>
      </c>
      <c r="B10477" s="13" t="s">
        <v>9604</v>
      </c>
      <c r="C10477" s="14" t="s">
        <v>10504</v>
      </c>
      <c r="D10477" s="1"/>
      <c r="E10477" s="1"/>
      <c r="F10477" s="1" t="str">
        <f>IFERROR(__xludf.DUMMYFUNCTION("GOOGLETRANSLATE(B10477, ""en"", ""fa"")
"),"موفقیت Etsy")</f>
        <v>موفقیت Etsy</v>
      </c>
      <c r="G10477" s="1" t="str">
        <f>IFERROR(__xludf.DUMMYFUNCTION("GOOGLETRANSLATE(C10477, ""en"", ""fa"")
"),"چگونه می توانم در دوره های شلوغ یا پر حجم در فروشگاه Etsy خود، به طور موثری نظرات مشتریان را مدیریت و به آنها پاسخ دهم؟")</f>
        <v>چگونه می توانم در دوره های شلوغ یا پر حجم در فروشگاه Etsy خود، به طور موثری نظرات مشتریان را مدیریت و به آنها پاسخ دهم؟</v>
      </c>
      <c r="H10477" s="1"/>
      <c r="I10477" s="1"/>
      <c r="J10477" s="1"/>
      <c r="K10477" s="1"/>
      <c r="L10477" s="1"/>
      <c r="M10477" s="1"/>
      <c r="N10477" s="1"/>
      <c r="O10477" s="1"/>
      <c r="P10477" s="1"/>
      <c r="Q10477" s="1"/>
      <c r="R10477" s="1"/>
      <c r="S10477" s="1"/>
      <c r="T10477" s="1"/>
      <c r="U10477" s="1"/>
      <c r="V10477" s="1"/>
      <c r="W10477" s="1"/>
      <c r="X10477" s="1"/>
      <c r="Y10477" s="1"/>
      <c r="Z10477" s="1"/>
      <c r="AA10477" s="1"/>
      <c r="AB10477" s="1"/>
    </row>
    <row r="10478" ht="50.25" customHeight="1">
      <c r="A10478" s="12">
        <v>10474.0</v>
      </c>
      <c r="B10478" s="13" t="s">
        <v>9604</v>
      </c>
      <c r="C10478" s="14" t="s">
        <v>10505</v>
      </c>
      <c r="D10478" s="1"/>
      <c r="E10478" s="1"/>
      <c r="F10478" s="1" t="str">
        <f>IFERROR(__xludf.DUMMYFUNCTION("GOOGLETRANSLATE(B10478, ""en"", ""fa"")
"),"موفقیت Etsy")</f>
        <v>موفقیت Etsy</v>
      </c>
      <c r="G10478" s="1" t="str">
        <f>IFERROR(__xludf.DUMMYFUNCTION("GOOGLETRANSLATE(C10478, ""en"", ""fa"")
"),"ملاحظات برای گنجاندن نظرات مشتریان در نقشه راه توسعه محصول فروشگاه Etsy من و برنامه ریزی آینده چیست؟")</f>
        <v>ملاحظات برای گنجاندن نظرات مشتریان در نقشه راه توسعه محصول فروشگاه Etsy من و برنامه ریزی آینده چیست؟</v>
      </c>
      <c r="H10478" s="1"/>
      <c r="I10478" s="1"/>
      <c r="J10478" s="1"/>
      <c r="K10478" s="1"/>
      <c r="L10478" s="1"/>
      <c r="M10478" s="1"/>
      <c r="N10478" s="1"/>
      <c r="O10478" s="1"/>
      <c r="P10478" s="1"/>
      <c r="Q10478" s="1"/>
      <c r="R10478" s="1"/>
      <c r="S10478" s="1"/>
      <c r="T10478" s="1"/>
      <c r="U10478" s="1"/>
      <c r="V10478" s="1"/>
      <c r="W10478" s="1"/>
      <c r="X10478" s="1"/>
      <c r="Y10478" s="1"/>
      <c r="Z10478" s="1"/>
      <c r="AA10478" s="1"/>
      <c r="AB10478" s="1"/>
    </row>
    <row r="10479" ht="50.25" customHeight="1">
      <c r="A10479" s="12">
        <v>10475.0</v>
      </c>
      <c r="B10479" s="13" t="s">
        <v>9604</v>
      </c>
      <c r="C10479" s="14" t="s">
        <v>10506</v>
      </c>
      <c r="D10479" s="1"/>
      <c r="E10479" s="1"/>
      <c r="F10479" s="1" t="str">
        <f>IFERROR(__xludf.DUMMYFUNCTION("GOOGLETRANSLATE(B10479, ""en"", ""fa"")
"),"موفقیت Etsy")</f>
        <v>موفقیت Etsy</v>
      </c>
      <c r="G10479" s="1" t="str">
        <f>IFERROR(__xludf.DUMMYFUNCTION("GOOGLETRANSLATE(C10479, ""en"", ""fa"")
"),"چگونه می توانم یک برنامه روزانه ایجاد کنم که به من امکان می دهد زمان و وظایف خود را به عنوان فروشنده Etsy به طور مؤثر مدیریت کنم؟")</f>
        <v>چگونه می توانم یک برنامه روزانه ایجاد کنم که به من امکان می دهد زمان و وظایف خود را به عنوان فروشنده Etsy به طور مؤثر مدیریت کنم؟</v>
      </c>
      <c r="H10479" s="1"/>
      <c r="I10479" s="1"/>
      <c r="J10479" s="1"/>
      <c r="K10479" s="1"/>
      <c r="L10479" s="1"/>
      <c r="M10479" s="1"/>
      <c r="N10479" s="1"/>
      <c r="O10479" s="1"/>
      <c r="P10479" s="1"/>
      <c r="Q10479" s="1"/>
      <c r="R10479" s="1"/>
      <c r="S10479" s="1"/>
      <c r="T10479" s="1"/>
      <c r="U10479" s="1"/>
      <c r="V10479" s="1"/>
      <c r="W10479" s="1"/>
      <c r="X10479" s="1"/>
      <c r="Y10479" s="1"/>
      <c r="Z10479" s="1"/>
      <c r="AA10479" s="1"/>
      <c r="AB10479" s="1"/>
    </row>
    <row r="10480" ht="50.25" customHeight="1">
      <c r="A10480" s="12">
        <v>10476.0</v>
      </c>
      <c r="B10480" s="13" t="s">
        <v>9604</v>
      </c>
      <c r="C10480" s="14" t="s">
        <v>10507</v>
      </c>
      <c r="D10480" s="1"/>
      <c r="E10480" s="1"/>
      <c r="F10480" s="1" t="str">
        <f>IFERROR(__xludf.DUMMYFUNCTION("GOOGLETRANSLATE(B10480, ""en"", ""fa"")
"),"موفقیت Etsy")</f>
        <v>موفقیت Etsy</v>
      </c>
      <c r="G10480" s="1" t="str">
        <f>IFERROR(__xludf.DUMMYFUNCTION("GOOGLETRANSLATE(C10480, ""en"", ""fa"")
"),"استراتژی‌هایی برای اولویت‌بندی فعالیت‌های فروشگاه Etsy من و تمرکز بر کارهای با ارزش چیست؟")</f>
        <v>استراتژی‌هایی برای اولویت‌بندی فعالیت‌های فروشگاه Etsy من و تمرکز بر کارهای با ارزش چیست؟</v>
      </c>
      <c r="H10480" s="1"/>
      <c r="I10480" s="1"/>
      <c r="J10480" s="1"/>
      <c r="K10480" s="1"/>
      <c r="L10480" s="1"/>
      <c r="M10480" s="1"/>
      <c r="N10480" s="1"/>
      <c r="O10480" s="1"/>
      <c r="P10480" s="1"/>
      <c r="Q10480" s="1"/>
      <c r="R10480" s="1"/>
      <c r="S10480" s="1"/>
      <c r="T10480" s="1"/>
      <c r="U10480" s="1"/>
      <c r="V10480" s="1"/>
      <c r="W10480" s="1"/>
      <c r="X10480" s="1"/>
      <c r="Y10480" s="1"/>
      <c r="Z10480" s="1"/>
      <c r="AA10480" s="1"/>
      <c r="AB10480" s="1"/>
    </row>
    <row r="10481" ht="50.25" customHeight="1">
      <c r="A10481" s="12">
        <v>10477.0</v>
      </c>
      <c r="B10481" s="13" t="s">
        <v>9604</v>
      </c>
      <c r="C10481" s="14" t="s">
        <v>10508</v>
      </c>
      <c r="D10481" s="1"/>
      <c r="E10481" s="1"/>
      <c r="F10481" s="1" t="str">
        <f>IFERROR(__xludf.DUMMYFUNCTION("GOOGLETRANSLATE(B10481, ""en"", ""fa"")
"),"موفقیت Etsy")</f>
        <v>موفقیت Etsy</v>
      </c>
      <c r="G10481" s="1" t="str">
        <f>IFERROR(__xludf.DUMMYFUNCTION("GOOGLETRANSLATE(C10481, ""en"", ""fa"")
"),"چگونه می توانم به طور موثر اهداف تعیین کنم و نقاط عطف را برای پیگیری پیشرفت و بهره وری خود به عنوان فروشنده Etsy ایجاد کنم؟")</f>
        <v>چگونه می توانم به طور موثر اهداف تعیین کنم و نقاط عطف را برای پیگیری پیشرفت و بهره وری خود به عنوان فروشنده Etsy ایجاد کنم؟</v>
      </c>
      <c r="H10481" s="1"/>
      <c r="I10481" s="1"/>
      <c r="J10481" s="1"/>
      <c r="K10481" s="1"/>
      <c r="L10481" s="1"/>
      <c r="M10481" s="1"/>
      <c r="N10481" s="1"/>
      <c r="O10481" s="1"/>
      <c r="P10481" s="1"/>
      <c r="Q10481" s="1"/>
      <c r="R10481" s="1"/>
      <c r="S10481" s="1"/>
      <c r="T10481" s="1"/>
      <c r="U10481" s="1"/>
      <c r="V10481" s="1"/>
      <c r="W10481" s="1"/>
      <c r="X10481" s="1"/>
      <c r="Y10481" s="1"/>
      <c r="Z10481" s="1"/>
      <c r="AA10481" s="1"/>
      <c r="AB10481" s="1"/>
    </row>
    <row r="10482" ht="50.25" customHeight="1">
      <c r="A10482" s="12">
        <v>10478.0</v>
      </c>
      <c r="B10482" s="13" t="s">
        <v>9604</v>
      </c>
      <c r="C10482" s="14" t="s">
        <v>10509</v>
      </c>
      <c r="D10482" s="1"/>
      <c r="E10482" s="1"/>
      <c r="F10482" s="1" t="str">
        <f>IFERROR(__xludf.DUMMYFUNCTION("GOOGLETRANSLATE(B10482, ""en"", ""fa"")
"),"موفقیت Etsy")</f>
        <v>موفقیت Etsy</v>
      </c>
      <c r="G10482" s="1" t="str">
        <f>IFERROR(__xludf.DUMMYFUNCTION("GOOGLETRANSLATE(C10482, ""en"", ""fa"")
"),"بهترین شیوه ها برای مدیریت حواس پرتی و حفظ تمرکز در حین کار بر روی کسب و کار Etsy من چیست؟")</f>
        <v>بهترین شیوه ها برای مدیریت حواس پرتی و حفظ تمرکز در حین کار بر روی کسب و کار Etsy من چیست؟</v>
      </c>
      <c r="H10482" s="1"/>
      <c r="I10482" s="1"/>
      <c r="J10482" s="1"/>
      <c r="K10482" s="1"/>
      <c r="L10482" s="1"/>
      <c r="M10482" s="1"/>
      <c r="N10482" s="1"/>
      <c r="O10482" s="1"/>
      <c r="P10482" s="1"/>
      <c r="Q10482" s="1"/>
      <c r="R10482" s="1"/>
      <c r="S10482" s="1"/>
      <c r="T10482" s="1"/>
      <c r="U10482" s="1"/>
      <c r="V10482" s="1"/>
      <c r="W10482" s="1"/>
      <c r="X10482" s="1"/>
      <c r="Y10482" s="1"/>
      <c r="Z10482" s="1"/>
      <c r="AA10482" s="1"/>
      <c r="AB10482" s="1"/>
    </row>
    <row r="10483" ht="50.25" customHeight="1">
      <c r="A10483" s="12">
        <v>10479.0</v>
      </c>
      <c r="B10483" s="13" t="s">
        <v>9604</v>
      </c>
      <c r="C10483" s="14" t="s">
        <v>10510</v>
      </c>
      <c r="D10483" s="1"/>
      <c r="E10483" s="1"/>
      <c r="F10483" s="1" t="str">
        <f>IFERROR(__xludf.DUMMYFUNCTION("GOOGLETRANSLATE(B10483, ""en"", ""fa"")
"),"موفقیت Etsy")</f>
        <v>موفقیت Etsy</v>
      </c>
      <c r="G10483" s="1" t="str">
        <f>IFERROR(__xludf.DUMMYFUNCTION("GOOGLETRANSLATE(C10483, ""en"", ""fa"")
"),"چگونه می توانم از تکنیک های انسداد زمان برای تخصیص بازه های زمانی اختصاصی برای فعالیت های مختلف در فروشگاه Etsy خود استفاده کنم؟")</f>
        <v>چگونه می توانم از تکنیک های انسداد زمان برای تخصیص بازه های زمانی اختصاصی برای فعالیت های مختلف در فروشگاه Etsy خود استفاده کنم؟</v>
      </c>
      <c r="H10483" s="1"/>
      <c r="I10483" s="1"/>
      <c r="J10483" s="1"/>
      <c r="K10483" s="1"/>
      <c r="L10483" s="1"/>
      <c r="M10483" s="1"/>
      <c r="N10483" s="1"/>
      <c r="O10483" s="1"/>
      <c r="P10483" s="1"/>
      <c r="Q10483" s="1"/>
      <c r="R10483" s="1"/>
      <c r="S10483" s="1"/>
      <c r="T10483" s="1"/>
      <c r="U10483" s="1"/>
      <c r="V10483" s="1"/>
      <c r="W10483" s="1"/>
      <c r="X10483" s="1"/>
      <c r="Y10483" s="1"/>
      <c r="Z10483" s="1"/>
      <c r="AA10483" s="1"/>
      <c r="AB10483" s="1"/>
    </row>
    <row r="10484" ht="50.25" customHeight="1">
      <c r="A10484" s="12">
        <v>10480.0</v>
      </c>
      <c r="B10484" s="13" t="s">
        <v>9604</v>
      </c>
      <c r="C10484" s="14" t="s">
        <v>10511</v>
      </c>
      <c r="D10484" s="1"/>
      <c r="E10484" s="1"/>
      <c r="F10484" s="1" t="str">
        <f>IFERROR(__xludf.DUMMYFUNCTION("GOOGLETRANSLATE(B10484, ""en"", ""fa"")
"),"موفقیت Etsy")</f>
        <v>موفقیت Etsy</v>
      </c>
      <c r="G10484" s="1" t="str">
        <f>IFERROR(__xludf.DUMMYFUNCTION("GOOGLETRANSLATE(C10484, ""en"", ""fa"")
"),"ملاحظات برای برون سپاری یا واگذاری برخی وظایف برای آزاد کردن زمان بیشتر برای فعالیت های اصلی تجاری چیست؟")</f>
        <v>ملاحظات برای برون سپاری یا واگذاری برخی وظایف برای آزاد کردن زمان بیشتر برای فعالیت های اصلی تجاری چیست؟</v>
      </c>
      <c r="H10484" s="1"/>
      <c r="I10484" s="1"/>
      <c r="J10484" s="1"/>
      <c r="K10484" s="1"/>
      <c r="L10484" s="1"/>
      <c r="M10484" s="1"/>
      <c r="N10484" s="1"/>
      <c r="O10484" s="1"/>
      <c r="P10484" s="1"/>
      <c r="Q10484" s="1"/>
      <c r="R10484" s="1"/>
      <c r="S10484" s="1"/>
      <c r="T10484" s="1"/>
      <c r="U10484" s="1"/>
      <c r="V10484" s="1"/>
      <c r="W10484" s="1"/>
      <c r="X10484" s="1"/>
      <c r="Y10484" s="1"/>
      <c r="Z10484" s="1"/>
      <c r="AA10484" s="1"/>
      <c r="AB10484" s="1"/>
    </row>
    <row r="10485" ht="50.25" customHeight="1">
      <c r="A10485" s="12">
        <v>10481.0</v>
      </c>
      <c r="B10485" s="13" t="s">
        <v>9604</v>
      </c>
      <c r="C10485" s="14" t="s">
        <v>10512</v>
      </c>
      <c r="D10485" s="1"/>
      <c r="E10485" s="1"/>
      <c r="F10485" s="1" t="str">
        <f>IFERROR(__xludf.DUMMYFUNCTION("GOOGLETRANSLATE(B10485, ""en"", ""fa"")
"),"موفقیت Etsy")</f>
        <v>موفقیت Etsy</v>
      </c>
      <c r="G10485" s="1" t="str">
        <f>IFERROR(__xludf.DUMMYFUNCTION("GOOGLETRANSLATE(C10485, ""en"", ""fa"")
"),"چگونه می توانم از ابزارها و برنامه های بهره وری برای ساده کردن گردش کار خود و خودکارسازی کارهای تکراری در فروشگاه Etsy خود استفاده کنم؟")</f>
        <v>چگونه می توانم از ابزارها و برنامه های بهره وری برای ساده کردن گردش کار خود و خودکارسازی کارهای تکراری در فروشگاه Etsy خود استفاده کنم؟</v>
      </c>
      <c r="H10485" s="1"/>
      <c r="I10485" s="1"/>
      <c r="J10485" s="1"/>
      <c r="K10485" s="1"/>
      <c r="L10485" s="1"/>
      <c r="M10485" s="1"/>
      <c r="N10485" s="1"/>
      <c r="O10485" s="1"/>
      <c r="P10485" s="1"/>
      <c r="Q10485" s="1"/>
      <c r="R10485" s="1"/>
      <c r="S10485" s="1"/>
      <c r="T10485" s="1"/>
      <c r="U10485" s="1"/>
      <c r="V10485" s="1"/>
      <c r="W10485" s="1"/>
      <c r="X10485" s="1"/>
      <c r="Y10485" s="1"/>
      <c r="Z10485" s="1"/>
      <c r="AA10485" s="1"/>
      <c r="AB10485" s="1"/>
    </row>
    <row r="10486" ht="50.25" customHeight="1">
      <c r="A10486" s="12">
        <v>10482.0</v>
      </c>
      <c r="B10486" s="13" t="s">
        <v>9604</v>
      </c>
      <c r="C10486" s="14" t="s">
        <v>10513</v>
      </c>
      <c r="D10486" s="1"/>
      <c r="E10486" s="1"/>
      <c r="F10486" s="1" t="str">
        <f>IFERROR(__xludf.DUMMYFUNCTION("GOOGLETRANSLATE(B10486, ""en"", ""fa"")
"),"موفقیت Etsy")</f>
        <v>موفقیت Etsy</v>
      </c>
      <c r="G10486" s="1" t="str">
        <f>IFERROR(__xludf.DUMMYFUNCTION("GOOGLETRANSLATE(C10486, ""en"", ""fa"")
"),"استراتژی های بهینه سازی فضای کاری من و ایجاد محیطی مناسب برای بهره وری به عنوان فروشنده Etsy چیست؟")</f>
        <v>استراتژی های بهینه سازی فضای کاری من و ایجاد محیطی مناسب برای بهره وری به عنوان فروشنده Etsy چیست؟</v>
      </c>
      <c r="H10486" s="1"/>
      <c r="I10486" s="1"/>
      <c r="J10486" s="1"/>
      <c r="K10486" s="1"/>
      <c r="L10486" s="1"/>
      <c r="M10486" s="1"/>
      <c r="N10486" s="1"/>
      <c r="O10486" s="1"/>
      <c r="P10486" s="1"/>
      <c r="Q10486" s="1"/>
      <c r="R10486" s="1"/>
      <c r="S10486" s="1"/>
      <c r="T10486" s="1"/>
      <c r="U10486" s="1"/>
      <c r="V10486" s="1"/>
      <c r="W10486" s="1"/>
      <c r="X10486" s="1"/>
      <c r="Y10486" s="1"/>
      <c r="Z10486" s="1"/>
      <c r="AA10486" s="1"/>
      <c r="AB10486" s="1"/>
    </row>
    <row r="10487" ht="50.25" customHeight="1">
      <c r="A10487" s="12">
        <v>10483.0</v>
      </c>
      <c r="B10487" s="13" t="s">
        <v>9604</v>
      </c>
      <c r="C10487" s="14" t="s">
        <v>10514</v>
      </c>
      <c r="D10487" s="1"/>
      <c r="E10487" s="1"/>
      <c r="F10487" s="1" t="str">
        <f>IFERROR(__xludf.DUMMYFUNCTION("GOOGLETRANSLATE(B10487, ""en"", ""fa"")
"),"موفقیت Etsy")</f>
        <v>موفقیت Etsy</v>
      </c>
      <c r="G10487" s="1" t="str">
        <f>IFERROR(__xludf.DUMMYFUNCTION("GOOGLETRANSLATE(C10487, ""en"", ""fa"")
"),"چگونه می توانم به طور مؤثر زندگی شخصی و مسئولیت های خود را با تجارت Etsy خود مدیریت و متعادل کنم؟")</f>
        <v>چگونه می توانم به طور مؤثر زندگی شخصی و مسئولیت های خود را با تجارت Etsy خود مدیریت و متعادل کنم؟</v>
      </c>
      <c r="H10487" s="1"/>
      <c r="I10487" s="1"/>
      <c r="J10487" s="1"/>
      <c r="K10487" s="1"/>
      <c r="L10487" s="1"/>
      <c r="M10487" s="1"/>
      <c r="N10487" s="1"/>
      <c r="O10487" s="1"/>
      <c r="P10487" s="1"/>
      <c r="Q10487" s="1"/>
      <c r="R10487" s="1"/>
      <c r="S10487" s="1"/>
      <c r="T10487" s="1"/>
      <c r="U10487" s="1"/>
      <c r="V10487" s="1"/>
      <c r="W10487" s="1"/>
      <c r="X10487" s="1"/>
      <c r="Y10487" s="1"/>
      <c r="Z10487" s="1"/>
      <c r="AA10487" s="1"/>
      <c r="AB10487" s="1"/>
    </row>
    <row r="10488" ht="50.25" customHeight="1">
      <c r="A10488" s="12">
        <v>10484.0</v>
      </c>
      <c r="B10488" s="13" t="s">
        <v>9604</v>
      </c>
      <c r="C10488" s="14" t="s">
        <v>10515</v>
      </c>
      <c r="D10488" s="1"/>
      <c r="E10488" s="1"/>
      <c r="F10488" s="1" t="str">
        <f>IFERROR(__xludf.DUMMYFUNCTION("GOOGLETRANSLATE(B10488, ""en"", ""fa"")
"),"موفقیت Etsy")</f>
        <v>موفقیت Etsy</v>
      </c>
      <c r="G10488" s="1" t="str">
        <f>IFERROR(__xludf.DUMMYFUNCTION("GOOGLETRANSLATE(C10488, ""en"", ""fa"")
"),"بهترین شیوه ها برای جلوگیری از اهمال کاری و حفظ اخلاق کاری ثابت به عنوان فروشنده Etsy چیست؟")</f>
        <v>بهترین شیوه ها برای جلوگیری از اهمال کاری و حفظ اخلاق کاری ثابت به عنوان فروشنده Etsy چیست؟</v>
      </c>
      <c r="H10488" s="1"/>
      <c r="I10488" s="1"/>
      <c r="J10488" s="1"/>
      <c r="K10488" s="1"/>
      <c r="L10488" s="1"/>
      <c r="M10488" s="1"/>
      <c r="N10488" s="1"/>
      <c r="O10488" s="1"/>
      <c r="P10488" s="1"/>
      <c r="Q10488" s="1"/>
      <c r="R10488" s="1"/>
      <c r="S10488" s="1"/>
      <c r="T10488" s="1"/>
      <c r="U10488" s="1"/>
      <c r="V10488" s="1"/>
      <c r="W10488" s="1"/>
      <c r="X10488" s="1"/>
      <c r="Y10488" s="1"/>
      <c r="Z10488" s="1"/>
      <c r="AA10488" s="1"/>
      <c r="AB10488" s="1"/>
    </row>
    <row r="10489" ht="50.25" customHeight="1">
      <c r="A10489" s="12">
        <v>10485.0</v>
      </c>
      <c r="B10489" s="13" t="s">
        <v>9604</v>
      </c>
      <c r="C10489" s="14" t="s">
        <v>10516</v>
      </c>
      <c r="D10489" s="1"/>
      <c r="E10489" s="1"/>
      <c r="F10489" s="1" t="str">
        <f>IFERROR(__xludf.DUMMYFUNCTION("GOOGLETRANSLATE(B10489, ""en"", ""fa"")
"),"موفقیت Etsy")</f>
        <v>موفقیت Etsy</v>
      </c>
      <c r="G10489" s="1" t="str">
        <f>IFERROR(__xludf.DUMMYFUNCTION("GOOGLETRANSLATE(C10489, ""en"", ""fa"")
"),"چگونه می توانم از پردازش دسته ای یا عملیات انبوه برای انجام کارآمد وظایفی مانند ایجاد فهرست، مدیریت موجودی یا پردازش سفارش در Etsy استفاده کنم؟")</f>
        <v>چگونه می توانم از پردازش دسته ای یا عملیات انبوه برای انجام کارآمد وظایفی مانند ایجاد فهرست، مدیریت موجودی یا پردازش سفارش در Etsy استفاده کنم؟</v>
      </c>
      <c r="H10489" s="1"/>
      <c r="I10489" s="1"/>
      <c r="J10489" s="1"/>
      <c r="K10489" s="1"/>
      <c r="L10489" s="1"/>
      <c r="M10489" s="1"/>
      <c r="N10489" s="1"/>
      <c r="O10489" s="1"/>
      <c r="P10489" s="1"/>
      <c r="Q10489" s="1"/>
      <c r="R10489" s="1"/>
      <c r="S10489" s="1"/>
      <c r="T10489" s="1"/>
      <c r="U10489" s="1"/>
      <c r="V10489" s="1"/>
      <c r="W10489" s="1"/>
      <c r="X10489" s="1"/>
      <c r="Y10489" s="1"/>
      <c r="Z10489" s="1"/>
      <c r="AA10489" s="1"/>
      <c r="AB10489" s="1"/>
    </row>
    <row r="10490" ht="50.25" customHeight="1">
      <c r="A10490" s="12">
        <v>10486.0</v>
      </c>
      <c r="B10490" s="13" t="s">
        <v>9604</v>
      </c>
      <c r="C10490" s="14" t="s">
        <v>10517</v>
      </c>
      <c r="D10490" s="1"/>
      <c r="E10490" s="1"/>
      <c r="F10490" s="1" t="str">
        <f>IFERROR(__xludf.DUMMYFUNCTION("GOOGLETRANSLATE(B10490, ""en"", ""fa"")
"),"موفقیت Etsy")</f>
        <v>موفقیت Etsy</v>
      </c>
      <c r="G10490" s="1" t="str">
        <f>IFERROR(__xludf.DUMMYFUNCTION("GOOGLETRANSLATE(C10490, ""en"", ""fa"")
"),"ملاحظات برای تعیین ضرب الاجل های واقعی و مدیریت بافرهای زمانی برای در نظر گرفتن شرایط پیش بینی نشده در فروشگاه Etsy من چیست؟")</f>
        <v>ملاحظات برای تعیین ضرب الاجل های واقعی و مدیریت بافرهای زمانی برای در نظر گرفتن شرایط پیش بینی نشده در فروشگاه Etsy من چیست؟</v>
      </c>
      <c r="H10490" s="1"/>
      <c r="I10490" s="1"/>
      <c r="J10490" s="1"/>
      <c r="K10490" s="1"/>
      <c r="L10490" s="1"/>
      <c r="M10490" s="1"/>
      <c r="N10490" s="1"/>
      <c r="O10490" s="1"/>
      <c r="P10490" s="1"/>
      <c r="Q10490" s="1"/>
      <c r="R10490" s="1"/>
      <c r="S10490" s="1"/>
      <c r="T10490" s="1"/>
      <c r="U10490" s="1"/>
      <c r="V10490" s="1"/>
      <c r="W10490" s="1"/>
      <c r="X10490" s="1"/>
      <c r="Y10490" s="1"/>
      <c r="Z10490" s="1"/>
      <c r="AA10490" s="1"/>
      <c r="AB10490" s="1"/>
    </row>
    <row r="10491" ht="50.25" customHeight="1">
      <c r="A10491" s="12">
        <v>10487.0</v>
      </c>
      <c r="B10491" s="13" t="s">
        <v>9604</v>
      </c>
      <c r="C10491" s="14" t="s">
        <v>10518</v>
      </c>
      <c r="D10491" s="1"/>
      <c r="E10491" s="1"/>
      <c r="F10491" s="1" t="str">
        <f>IFERROR(__xludf.DUMMYFUNCTION("GOOGLETRANSLATE(B10491, ""en"", ""fa"")
"),"موفقیت Etsy")</f>
        <v>موفقیت Etsy</v>
      </c>
      <c r="G10491" s="1" t="str">
        <f>IFERROR(__xludf.DUMMYFUNCTION("GOOGLETRANSLATE(C10491, ""en"", ""fa"")
"),"چگونه می توانم در حین اجرای یک کسب و کار موفق Etsy، مراقبت از خود را در اولویت قرار دهم و از فرسودگی شغلی جلوگیری کنم؟")</f>
        <v>چگونه می توانم در حین اجرای یک کسب و کار موفق Etsy، مراقبت از خود را در اولویت قرار دهم و از فرسودگی شغلی جلوگیری کنم؟</v>
      </c>
      <c r="H10491" s="1"/>
      <c r="I10491" s="1"/>
      <c r="J10491" s="1"/>
      <c r="K10491" s="1"/>
      <c r="L10491" s="1"/>
      <c r="M10491" s="1"/>
      <c r="N10491" s="1"/>
      <c r="O10491" s="1"/>
      <c r="P10491" s="1"/>
      <c r="Q10491" s="1"/>
      <c r="R10491" s="1"/>
      <c r="S10491" s="1"/>
      <c r="T10491" s="1"/>
      <c r="U10491" s="1"/>
      <c r="V10491" s="1"/>
      <c r="W10491" s="1"/>
      <c r="X10491" s="1"/>
      <c r="Y10491" s="1"/>
      <c r="Z10491" s="1"/>
      <c r="AA10491" s="1"/>
      <c r="AB10491" s="1"/>
    </row>
    <row r="10492" ht="50.25" customHeight="1">
      <c r="A10492" s="12">
        <v>10488.0</v>
      </c>
      <c r="B10492" s="13" t="s">
        <v>9604</v>
      </c>
      <c r="C10492" s="14" t="s">
        <v>10519</v>
      </c>
      <c r="D10492" s="1"/>
      <c r="E10492" s="1"/>
      <c r="F10492" s="1" t="str">
        <f>IFERROR(__xludf.DUMMYFUNCTION("GOOGLETRANSLATE(B10492, ""en"", ""fa"")
"),"موفقیت Etsy")</f>
        <v>موفقیت Etsy</v>
      </c>
      <c r="G10492" s="1" t="str">
        <f>IFERROR(__xludf.DUMMYFUNCTION("GOOGLETRANSLATE(C10492, ""en"", ""fa"")
"),"استراتژی‌هایی برای مدیریت مؤثر و پاسخگویی به سؤالات و پیام‌های مشتری در یک بازه زمانی معقول در Etsy چیست؟")</f>
        <v>استراتژی‌هایی برای مدیریت مؤثر و پاسخگویی به سؤالات و پیام‌های مشتری در یک بازه زمانی معقول در Etsy چیست؟</v>
      </c>
      <c r="H10492" s="1"/>
      <c r="I10492" s="1"/>
      <c r="J10492" s="1"/>
      <c r="K10492" s="1"/>
      <c r="L10492" s="1"/>
      <c r="M10492" s="1"/>
      <c r="N10492" s="1"/>
      <c r="O10492" s="1"/>
      <c r="P10492" s="1"/>
      <c r="Q10492" s="1"/>
      <c r="R10492" s="1"/>
      <c r="S10492" s="1"/>
      <c r="T10492" s="1"/>
      <c r="U10492" s="1"/>
      <c r="V10492" s="1"/>
      <c r="W10492" s="1"/>
      <c r="X10492" s="1"/>
      <c r="Y10492" s="1"/>
      <c r="Z10492" s="1"/>
      <c r="AA10492" s="1"/>
      <c r="AB10492" s="1"/>
    </row>
    <row r="10493" ht="50.25" customHeight="1">
      <c r="A10493" s="12">
        <v>10489.0</v>
      </c>
      <c r="B10493" s="13" t="s">
        <v>9604</v>
      </c>
      <c r="C10493" s="14" t="s">
        <v>10520</v>
      </c>
      <c r="D10493" s="1"/>
      <c r="E10493" s="1"/>
      <c r="F10493" s="1" t="str">
        <f>IFERROR(__xludf.DUMMYFUNCTION("GOOGLETRANSLATE(B10493, ""en"", ""fa"")
"),"موفقیت Etsy")</f>
        <v>موفقیت Etsy</v>
      </c>
      <c r="G10493" s="1" t="str">
        <f>IFERROR(__xludf.DUMMYFUNCTION("GOOGLETRANSLATE(C10493, ""en"", ""fa"")
"),"چگونه می توانم از ابزارهای اتوماسیون و گردش کار برای ساده کردن وظایف اداری تکراری در فروشگاه Etsy خود استفاده کنم؟")</f>
        <v>چگونه می توانم از ابزارهای اتوماسیون و گردش کار برای ساده کردن وظایف اداری تکراری در فروشگاه Etsy خود استفاده کنم؟</v>
      </c>
      <c r="H10493" s="1"/>
      <c r="I10493" s="1"/>
      <c r="J10493" s="1"/>
      <c r="K10493" s="1"/>
      <c r="L10493" s="1"/>
      <c r="M10493" s="1"/>
      <c r="N10493" s="1"/>
      <c r="O10493" s="1"/>
      <c r="P10493" s="1"/>
      <c r="Q10493" s="1"/>
      <c r="R10493" s="1"/>
      <c r="S10493" s="1"/>
      <c r="T10493" s="1"/>
      <c r="U10493" s="1"/>
      <c r="V10493" s="1"/>
      <c r="W10493" s="1"/>
      <c r="X10493" s="1"/>
      <c r="Y10493" s="1"/>
      <c r="Z10493" s="1"/>
      <c r="AA10493" s="1"/>
      <c r="AB10493" s="1"/>
    </row>
    <row r="10494" ht="50.25" customHeight="1">
      <c r="A10494" s="12">
        <v>10490.0</v>
      </c>
      <c r="B10494" s="13" t="s">
        <v>9604</v>
      </c>
      <c r="C10494" s="14" t="s">
        <v>10521</v>
      </c>
      <c r="D10494" s="1"/>
      <c r="E10494" s="1"/>
      <c r="F10494" s="1" t="str">
        <f>IFERROR(__xludf.DUMMYFUNCTION("GOOGLETRANSLATE(B10494, ""en"", ""fa"")
"),"موفقیت Etsy")</f>
        <v>موفقیت Etsy</v>
      </c>
      <c r="G10494" s="1" t="str">
        <f>IFERROR(__xludf.DUMMYFUNCTION("GOOGLETRANSLATE(C10494, ""en"", ""fa"")
"),"بهترین روش ها برای مدیریت ارتباطات ایمیل و تعیین حد و مرز برای جلوگیری از سرکوب شدن به عنوان یک فروشنده Etsy چیست؟")</f>
        <v>بهترین روش ها برای مدیریت ارتباطات ایمیل و تعیین حد و مرز برای جلوگیری از سرکوب شدن به عنوان یک فروشنده Etsy چیست؟</v>
      </c>
      <c r="H10494" s="1"/>
      <c r="I10494" s="1"/>
      <c r="J10494" s="1"/>
      <c r="K10494" s="1"/>
      <c r="L10494" s="1"/>
      <c r="M10494" s="1"/>
      <c r="N10494" s="1"/>
      <c r="O10494" s="1"/>
      <c r="P10494" s="1"/>
      <c r="Q10494" s="1"/>
      <c r="R10494" s="1"/>
      <c r="S10494" s="1"/>
      <c r="T10494" s="1"/>
      <c r="U10494" s="1"/>
      <c r="V10494" s="1"/>
      <c r="W10494" s="1"/>
      <c r="X10494" s="1"/>
      <c r="Y10494" s="1"/>
      <c r="Z10494" s="1"/>
      <c r="AA10494" s="1"/>
      <c r="AB10494" s="1"/>
    </row>
    <row r="10495" ht="50.25" customHeight="1">
      <c r="A10495" s="12">
        <v>10491.0</v>
      </c>
      <c r="B10495" s="13" t="s">
        <v>9604</v>
      </c>
      <c r="C10495" s="14" t="s">
        <v>10522</v>
      </c>
      <c r="D10495" s="1"/>
      <c r="E10495" s="1"/>
      <c r="F10495" s="1" t="str">
        <f>IFERROR(__xludf.DUMMYFUNCTION("GOOGLETRANSLATE(B10495, ""en"", ""fa"")
"),"موفقیت Etsy")</f>
        <v>موفقیت Etsy</v>
      </c>
      <c r="G10495" s="1" t="str">
        <f>IFERROR(__xludf.DUMMYFUNCTION("GOOGLETRANSLATE(C10495, ""en"", ""fa"")
"),"چگونه می توانم از تکنیک های مدیریت زمان، مانند تکنیک پومودورو، برای افزایش تمرکز و بهره وری در کسب و کار Etsy خود استفاده کنم؟")</f>
        <v>چگونه می توانم از تکنیک های مدیریت زمان، مانند تکنیک پومودورو، برای افزایش تمرکز و بهره وری در کسب و کار Etsy خود استفاده کنم؟</v>
      </c>
      <c r="H10495" s="1"/>
      <c r="I10495" s="1"/>
      <c r="J10495" s="1"/>
      <c r="K10495" s="1"/>
      <c r="L10495" s="1"/>
      <c r="M10495" s="1"/>
      <c r="N10495" s="1"/>
      <c r="O10495" s="1"/>
      <c r="P10495" s="1"/>
      <c r="Q10495" s="1"/>
      <c r="R10495" s="1"/>
      <c r="S10495" s="1"/>
      <c r="T10495" s="1"/>
      <c r="U10495" s="1"/>
      <c r="V10495" s="1"/>
      <c r="W10495" s="1"/>
      <c r="X10495" s="1"/>
      <c r="Y10495" s="1"/>
      <c r="Z10495" s="1"/>
      <c r="AA10495" s="1"/>
      <c r="AB10495" s="1"/>
    </row>
    <row r="10496" ht="50.25" customHeight="1">
      <c r="A10496" s="12">
        <v>10492.0</v>
      </c>
      <c r="B10496" s="13" t="s">
        <v>9604</v>
      </c>
      <c r="C10496" s="14" t="s">
        <v>10523</v>
      </c>
      <c r="D10496" s="1"/>
      <c r="E10496" s="1"/>
      <c r="F10496" s="1" t="str">
        <f>IFERROR(__xludf.DUMMYFUNCTION("GOOGLETRANSLATE(B10496, ""en"", ""fa"")
"),"موفقیت Etsy")</f>
        <v>موفقیت Etsy</v>
      </c>
      <c r="G10496" s="1" t="str">
        <f>IFERROR(__xludf.DUMMYFUNCTION("GOOGLETRANSLATE(C10496, ""en"", ""fa"")
"),"ملاحظات برای تعیین انتظارات و مهلت‌های واقعی برای سفارش‌های سفارشی یا محصولات سفارشی در Etsy چیست؟")</f>
        <v>ملاحظات برای تعیین انتظارات و مهلت‌های واقعی برای سفارش‌های سفارشی یا محصولات سفارشی در Etsy چیست؟</v>
      </c>
      <c r="H10496" s="1"/>
      <c r="I10496" s="1"/>
      <c r="J10496" s="1"/>
      <c r="K10496" s="1"/>
      <c r="L10496" s="1"/>
      <c r="M10496" s="1"/>
      <c r="N10496" s="1"/>
      <c r="O10496" s="1"/>
      <c r="P10496" s="1"/>
      <c r="Q10496" s="1"/>
      <c r="R10496" s="1"/>
      <c r="S10496" s="1"/>
      <c r="T10496" s="1"/>
      <c r="U10496" s="1"/>
      <c r="V10496" s="1"/>
      <c r="W10496" s="1"/>
      <c r="X10496" s="1"/>
      <c r="Y10496" s="1"/>
      <c r="Z10496" s="1"/>
      <c r="AA10496" s="1"/>
      <c r="AB10496" s="1"/>
    </row>
    <row r="10497" ht="50.25" customHeight="1">
      <c r="A10497" s="12">
        <v>10493.0</v>
      </c>
      <c r="B10497" s="13" t="s">
        <v>9604</v>
      </c>
      <c r="C10497" s="14" t="s">
        <v>10524</v>
      </c>
      <c r="D10497" s="1"/>
      <c r="E10497" s="1"/>
      <c r="F10497" s="1" t="str">
        <f>IFERROR(__xludf.DUMMYFUNCTION("GOOGLETRANSLATE(B10497, ""en"", ""fa"")
"),"موفقیت Etsy")</f>
        <v>موفقیت Etsy</v>
      </c>
      <c r="G10497" s="1" t="str">
        <f>IFERROR(__xludf.DUMMYFUNCTION("GOOGLETRANSLATE(C10497, ""en"", ""fa"")
"),"چگونه می توانم وظایف مالی فروشگاه Etsy خود مانند حسابداری، تشکیل پرونده مالیاتی و بهای تمام شده موجودی را به طور موثر اولویت بندی و مدیریت کنم؟")</f>
        <v>چگونه می توانم وظایف مالی فروشگاه Etsy خود مانند حسابداری، تشکیل پرونده مالیاتی و بهای تمام شده موجودی را به طور موثر اولویت بندی و مدیریت کنم؟</v>
      </c>
      <c r="H10497" s="1"/>
      <c r="I10497" s="1"/>
      <c r="J10497" s="1"/>
      <c r="K10497" s="1"/>
      <c r="L10497" s="1"/>
      <c r="M10497" s="1"/>
      <c r="N10497" s="1"/>
      <c r="O10497" s="1"/>
      <c r="P10497" s="1"/>
      <c r="Q10497" s="1"/>
      <c r="R10497" s="1"/>
      <c r="S10497" s="1"/>
      <c r="T10497" s="1"/>
      <c r="U10497" s="1"/>
      <c r="V10497" s="1"/>
      <c r="W10497" s="1"/>
      <c r="X10497" s="1"/>
      <c r="Y10497" s="1"/>
      <c r="Z10497" s="1"/>
      <c r="AA10497" s="1"/>
      <c r="AB10497" s="1"/>
    </row>
    <row r="10498" ht="50.25" customHeight="1">
      <c r="A10498" s="12">
        <v>10494.0</v>
      </c>
      <c r="B10498" s="13" t="s">
        <v>9604</v>
      </c>
      <c r="C10498" s="14" t="s">
        <v>10525</v>
      </c>
      <c r="D10498" s="1"/>
      <c r="E10498" s="1"/>
      <c r="F10498" s="1" t="str">
        <f>IFERROR(__xludf.DUMMYFUNCTION("GOOGLETRANSLATE(B10498, ""en"", ""fa"")
"),"موفقیت Etsy")</f>
        <v>موفقیت Etsy</v>
      </c>
      <c r="G10498" s="1" t="str">
        <f>IFERROR(__xludf.DUMMYFUNCTION("GOOGLETRANSLATE(C10498, ""en"", ""fa"")
"),"راهکارهایی برای به حداقل رساندن چندوظیفه ای و تمرکز روی یک کار در یک زمان برای بهبود کارایی و بهره وری به عنوان فروشنده Etsy چیست؟")</f>
        <v>راهکارهایی برای به حداقل رساندن چندوظیفه ای و تمرکز روی یک کار در یک زمان برای بهبود کارایی و بهره وری به عنوان فروشنده Etsy چیست؟</v>
      </c>
      <c r="H10498" s="1"/>
      <c r="I10498" s="1"/>
      <c r="J10498" s="1"/>
      <c r="K10498" s="1"/>
      <c r="L10498" s="1"/>
      <c r="M10498" s="1"/>
      <c r="N10498" s="1"/>
      <c r="O10498" s="1"/>
      <c r="P10498" s="1"/>
      <c r="Q10498" s="1"/>
      <c r="R10498" s="1"/>
      <c r="S10498" s="1"/>
      <c r="T10498" s="1"/>
      <c r="U10498" s="1"/>
      <c r="V10498" s="1"/>
      <c r="W10498" s="1"/>
      <c r="X10498" s="1"/>
      <c r="Y10498" s="1"/>
      <c r="Z10498" s="1"/>
      <c r="AA10498" s="1"/>
      <c r="AB10498" s="1"/>
    </row>
    <row r="10499" ht="50.25" customHeight="1">
      <c r="A10499" s="12">
        <v>10495.0</v>
      </c>
      <c r="B10499" s="13" t="s">
        <v>9604</v>
      </c>
      <c r="C10499" s="14" t="s">
        <v>10526</v>
      </c>
      <c r="D10499" s="1"/>
      <c r="E10499" s="1"/>
      <c r="F10499" s="1" t="str">
        <f>IFERROR(__xludf.DUMMYFUNCTION("GOOGLETRANSLATE(B10499, ""en"", ""fa"")
"),"موفقیت Etsy")</f>
        <v>موفقیت Etsy</v>
      </c>
      <c r="G10499" s="1" t="str">
        <f>IFERROR(__xludf.DUMMYFUNCTION("GOOGLETRANSLATE(C10499, ""en"", ""fa"")
"),"چگونه می توانم از برنامه ها یا نرم افزارهای بهره وری برای ردیابی و تجزیه و تحلیل استفاده از زمان خود و شناسایی زمینه های بهبود در کسب و کار Etsy خود استفاده کنم؟")</f>
        <v>چگونه می توانم از برنامه ها یا نرم افزارهای بهره وری برای ردیابی و تجزیه و تحلیل استفاده از زمان خود و شناسایی زمینه های بهبود در کسب و کار Etsy خود استفاده کنم؟</v>
      </c>
      <c r="H10499" s="1"/>
      <c r="I10499" s="1"/>
      <c r="J10499" s="1"/>
      <c r="K10499" s="1"/>
      <c r="L10499" s="1"/>
      <c r="M10499" s="1"/>
      <c r="N10499" s="1"/>
      <c r="O10499" s="1"/>
      <c r="P10499" s="1"/>
      <c r="Q10499" s="1"/>
      <c r="R10499" s="1"/>
      <c r="S10499" s="1"/>
      <c r="T10499" s="1"/>
      <c r="U10499" s="1"/>
      <c r="V10499" s="1"/>
      <c r="W10499" s="1"/>
      <c r="X10499" s="1"/>
      <c r="Y10499" s="1"/>
      <c r="Z10499" s="1"/>
      <c r="AA10499" s="1"/>
      <c r="AB10499" s="1"/>
    </row>
    <row r="10500" ht="50.25" customHeight="1">
      <c r="A10500" s="12">
        <v>10496.0</v>
      </c>
      <c r="B10500" s="13" t="s">
        <v>9604</v>
      </c>
      <c r="C10500" s="14" t="s">
        <v>10527</v>
      </c>
      <c r="D10500" s="1"/>
      <c r="E10500" s="1"/>
      <c r="F10500" s="1" t="str">
        <f>IFERROR(__xludf.DUMMYFUNCTION("GOOGLETRANSLATE(B10500, ""en"", ""fa"")
"),"موفقیت Etsy")</f>
        <v>موفقیت Etsy</v>
      </c>
      <c r="G10500" s="1" t="str">
        <f>IFERROR(__xludf.DUMMYFUNCTION("GOOGLETRANSLATE(C10500, ""en"", ""fa"")
"),"بهترین روش ها برای تعیین مرزها و مدیریت وقفه ها در ساعات کاری اختصاصی برای فروشگاه Etsy من چیست؟")</f>
        <v>بهترین روش ها برای تعیین مرزها و مدیریت وقفه ها در ساعات کاری اختصاصی برای فروشگاه Etsy من چیست؟</v>
      </c>
      <c r="H10500" s="1"/>
      <c r="I10500" s="1"/>
      <c r="J10500" s="1"/>
      <c r="K10500" s="1"/>
      <c r="L10500" s="1"/>
      <c r="M10500" s="1"/>
      <c r="N10500" s="1"/>
      <c r="O10500" s="1"/>
      <c r="P10500" s="1"/>
      <c r="Q10500" s="1"/>
      <c r="R10500" s="1"/>
      <c r="S10500" s="1"/>
      <c r="T10500" s="1"/>
      <c r="U10500" s="1"/>
      <c r="V10500" s="1"/>
      <c r="W10500" s="1"/>
      <c r="X10500" s="1"/>
      <c r="Y10500" s="1"/>
      <c r="Z10500" s="1"/>
      <c r="AA10500" s="1"/>
      <c r="AB10500" s="1"/>
    </row>
    <row r="10501" ht="50.25" customHeight="1">
      <c r="A10501" s="12">
        <v>10497.0</v>
      </c>
      <c r="B10501" s="13" t="s">
        <v>9604</v>
      </c>
      <c r="C10501" s="14" t="s">
        <v>10528</v>
      </c>
      <c r="D10501" s="1"/>
      <c r="E10501" s="1"/>
      <c r="F10501" s="1" t="str">
        <f>IFERROR(__xludf.DUMMYFUNCTION("GOOGLETRANSLATE(B10501, ""en"", ""fa"")
"),"موفقیت Etsy")</f>
        <v>موفقیت Etsy</v>
      </c>
      <c r="G10501" s="1" t="str">
        <f>IFERROR(__xludf.DUMMYFUNCTION("GOOGLETRANSLATE(C10501, ""en"", ""fa"")
"),"چگونه می توانم از تکنیک های مدیریت پروژه، مانند ایجاد لیست وظایف و تعیین نقاط عطف، برای سازماندهی و در مسیر اهداف تجاری Etsy خود استفاده کنم؟")</f>
        <v>چگونه می توانم از تکنیک های مدیریت پروژه، مانند ایجاد لیست وظایف و تعیین نقاط عطف، برای سازماندهی و در مسیر اهداف تجاری Etsy خود استفاده کنم؟</v>
      </c>
      <c r="H10501" s="1"/>
      <c r="I10501" s="1"/>
      <c r="J10501" s="1"/>
      <c r="K10501" s="1"/>
      <c r="L10501" s="1"/>
      <c r="M10501" s="1"/>
      <c r="N10501" s="1"/>
      <c r="O10501" s="1"/>
      <c r="P10501" s="1"/>
      <c r="Q10501" s="1"/>
      <c r="R10501" s="1"/>
      <c r="S10501" s="1"/>
      <c r="T10501" s="1"/>
      <c r="U10501" s="1"/>
      <c r="V10501" s="1"/>
      <c r="W10501" s="1"/>
      <c r="X10501" s="1"/>
      <c r="Y10501" s="1"/>
      <c r="Z10501" s="1"/>
      <c r="AA10501" s="1"/>
      <c r="AB10501" s="1"/>
    </row>
    <row r="10502" ht="50.25" customHeight="1">
      <c r="A10502" s="12">
        <v>10498.0</v>
      </c>
      <c r="B10502" s="13" t="s">
        <v>9604</v>
      </c>
      <c r="C10502" s="14" t="s">
        <v>10529</v>
      </c>
      <c r="D10502" s="1"/>
      <c r="E10502" s="1"/>
      <c r="F10502" s="1" t="str">
        <f>IFERROR(__xludf.DUMMYFUNCTION("GOOGLETRANSLATE(B10502, ""en"", ""fa"")
"),"موفقیت Etsy")</f>
        <v>موفقیت Etsy</v>
      </c>
      <c r="G10502" s="1" t="str">
        <f>IFERROR(__xludf.DUMMYFUNCTION("GOOGLETRANSLATE(C10502, ""en"", ""fa"")
"),"ملاحظات برای تنظیم زمان‌بندی تولید یا اجرای واقعی برای انواع یا پیچیدگی‌های محصول در Etsy چیست؟")</f>
        <v>ملاحظات برای تنظیم زمان‌بندی تولید یا اجرای واقعی برای انواع یا پیچیدگی‌های محصول در Etsy چیست؟</v>
      </c>
      <c r="H10502" s="1"/>
      <c r="I10502" s="1"/>
      <c r="J10502" s="1"/>
      <c r="K10502" s="1"/>
      <c r="L10502" s="1"/>
      <c r="M10502" s="1"/>
      <c r="N10502" s="1"/>
      <c r="O10502" s="1"/>
      <c r="P10502" s="1"/>
      <c r="Q10502" s="1"/>
      <c r="R10502" s="1"/>
      <c r="S10502" s="1"/>
      <c r="T10502" s="1"/>
      <c r="U10502" s="1"/>
      <c r="V10502" s="1"/>
      <c r="W10502" s="1"/>
      <c r="X10502" s="1"/>
      <c r="Y10502" s="1"/>
      <c r="Z10502" s="1"/>
      <c r="AA10502" s="1"/>
      <c r="AB10502" s="1"/>
    </row>
    <row r="10503" ht="50.25" customHeight="1">
      <c r="A10503" s="12">
        <v>10499.0</v>
      </c>
      <c r="B10503" s="13" t="s">
        <v>9604</v>
      </c>
      <c r="C10503" s="14" t="s">
        <v>10530</v>
      </c>
      <c r="D10503" s="1"/>
      <c r="E10503" s="1"/>
      <c r="F10503" s="1" t="str">
        <f>IFERROR(__xludf.DUMMYFUNCTION("GOOGLETRANSLATE(B10503, ""en"", ""fa"")
"),"موفقیت Etsy")</f>
        <v>موفقیت Etsy</v>
      </c>
      <c r="G10503" s="1" t="str">
        <f>IFERROR(__xludf.DUMMYFUNCTION("GOOGLETRANSLATE(C10503, ""en"", ""fa"")
"),"چگونه می توانم از هک های بهره وری، مانند ایجاد الگوها یا منابع قابل استفاده مجدد، برای صرفه جویی در زمان و تلاش در عملیات فروشگاه Etsy خود استفاده کنم؟")</f>
        <v>چگونه می توانم از هک های بهره وری، مانند ایجاد الگوها یا منابع قابل استفاده مجدد، برای صرفه جویی در زمان و تلاش در عملیات فروشگاه Etsy خود استفاده کنم؟</v>
      </c>
      <c r="H10503" s="1"/>
      <c r="I10503" s="1"/>
      <c r="J10503" s="1"/>
      <c r="K10503" s="1"/>
      <c r="L10503" s="1"/>
      <c r="M10503" s="1"/>
      <c r="N10503" s="1"/>
      <c r="O10503" s="1"/>
      <c r="P10503" s="1"/>
      <c r="Q10503" s="1"/>
      <c r="R10503" s="1"/>
      <c r="S10503" s="1"/>
      <c r="T10503" s="1"/>
      <c r="U10503" s="1"/>
      <c r="V10503" s="1"/>
      <c r="W10503" s="1"/>
      <c r="X10503" s="1"/>
      <c r="Y10503" s="1"/>
      <c r="Z10503" s="1"/>
      <c r="AA10503" s="1"/>
      <c r="AB10503" s="1"/>
    </row>
    <row r="10504" ht="50.25" customHeight="1">
      <c r="A10504" s="12">
        <v>10500.0</v>
      </c>
      <c r="B10504" s="13" t="s">
        <v>9604</v>
      </c>
      <c r="C10504" s="17" t="s">
        <v>10531</v>
      </c>
      <c r="D10504" s="1"/>
      <c r="E10504" s="1"/>
      <c r="F10504" s="1" t="str">
        <f>IFERROR(__xludf.DUMMYFUNCTION("GOOGLETRANSLATE(B10504, ""en"", ""fa"")
"),"موفقیت Etsy")</f>
        <v>موفقیت Etsy</v>
      </c>
      <c r="G10504" s="1" t="str">
        <f>IFERROR(__xludf.DUMMYFUNCTION("GOOGLETRANSLATE(C10504, ""en"", ""fa"")
"),"استراتژی‌های مدیریت و متعادل کردن چندین پروژه یا خطوط تولید در کسب و کار Etsy من چیست؟")</f>
        <v>استراتژی‌های مدیریت و متعادل کردن چندین پروژه یا خطوط تولید در کسب و کار Etsy من چیست؟</v>
      </c>
      <c r="H10504" s="1"/>
      <c r="I10504" s="1"/>
      <c r="J10504" s="1"/>
      <c r="K10504" s="1"/>
      <c r="L10504" s="1"/>
      <c r="M10504" s="1"/>
      <c r="N10504" s="1"/>
      <c r="O10504" s="1"/>
      <c r="P10504" s="1"/>
      <c r="Q10504" s="1"/>
      <c r="R10504" s="1"/>
      <c r="S10504" s="1"/>
      <c r="T10504" s="1"/>
      <c r="U10504" s="1"/>
      <c r="V10504" s="1"/>
      <c r="W10504" s="1"/>
      <c r="X10504" s="1"/>
      <c r="Y10504" s="1"/>
      <c r="Z10504" s="1"/>
      <c r="AA10504" s="1"/>
      <c r="AB10504" s="1"/>
    </row>
    <row r="10505" ht="50.25" customHeight="1">
      <c r="A10505" s="12">
        <v>10501.0</v>
      </c>
      <c r="B10505" s="13" t="s">
        <v>9604</v>
      </c>
      <c r="C10505" s="14" t="s">
        <v>10532</v>
      </c>
      <c r="D10505" s="1"/>
      <c r="E10505" s="1"/>
      <c r="F10505" s="1" t="str">
        <f>IFERROR(__xludf.DUMMYFUNCTION("GOOGLETRANSLATE(B10505, ""en"", ""fa"")
"),"موفقیت Etsy")</f>
        <v>موفقیت Etsy</v>
      </c>
      <c r="G10505" s="1" t="str">
        <f>IFERROR(__xludf.DUMMYFUNCTION("GOOGLETRANSLATE(C10505, ""en"", ""fa"")
"),"چگونه می توانم به طور موثر از لیست های کارها یا ابزارهای مدیریت وظایف برای سازماندهی و اولویت بندی کارهای روزانه یا هفتگی خود به عنوان فروشنده Etsy استفاده کنم؟")</f>
        <v>چگونه می توانم به طور موثر از لیست های کارها یا ابزارهای مدیریت وظایف برای سازماندهی و اولویت بندی کارهای روزانه یا هفتگی خود به عنوان فروشنده Etsy استفاده کنم؟</v>
      </c>
      <c r="H10505" s="1"/>
      <c r="I10505" s="1"/>
      <c r="J10505" s="1"/>
      <c r="K10505" s="1"/>
      <c r="L10505" s="1"/>
      <c r="M10505" s="1"/>
      <c r="N10505" s="1"/>
      <c r="O10505" s="1"/>
      <c r="P10505" s="1"/>
      <c r="Q10505" s="1"/>
      <c r="R10505" s="1"/>
      <c r="S10505" s="1"/>
      <c r="T10505" s="1"/>
      <c r="U10505" s="1"/>
      <c r="V10505" s="1"/>
      <c r="W10505" s="1"/>
      <c r="X10505" s="1"/>
      <c r="Y10505" s="1"/>
      <c r="Z10505" s="1"/>
      <c r="AA10505" s="1"/>
      <c r="AB10505" s="1"/>
    </row>
    <row r="10506" ht="50.25" customHeight="1">
      <c r="A10506" s="12">
        <v>10502.0</v>
      </c>
      <c r="B10506" s="13" t="s">
        <v>9604</v>
      </c>
      <c r="C10506" s="14" t="s">
        <v>10533</v>
      </c>
      <c r="D10506" s="1"/>
      <c r="E10506" s="1"/>
      <c r="F10506" s="1" t="str">
        <f>IFERROR(__xludf.DUMMYFUNCTION("GOOGLETRANSLATE(B10506, ""en"", ""fa"")
"),"موفقیت Etsy")</f>
        <v>موفقیت Etsy</v>
      </c>
      <c r="G10506" s="1" t="str">
        <f>IFERROR(__xludf.DUMMYFUNCTION("GOOGLETRANSLATE(C10506, ""en"", ""fa"")
"),"ملاحظات برای تعیین حدود ساعات کاری و ایجاد تعادل سالم بین کار و زندگی به عنوان فروشنده Etsy چیست؟")</f>
        <v>ملاحظات برای تعیین حدود ساعات کاری و ایجاد تعادل سالم بین کار و زندگی به عنوان فروشنده Etsy چیست؟</v>
      </c>
      <c r="H10506" s="1"/>
      <c r="I10506" s="1"/>
      <c r="J10506" s="1"/>
      <c r="K10506" s="1"/>
      <c r="L10506" s="1"/>
      <c r="M10506" s="1"/>
      <c r="N10506" s="1"/>
      <c r="O10506" s="1"/>
      <c r="P10506" s="1"/>
      <c r="Q10506" s="1"/>
      <c r="R10506" s="1"/>
      <c r="S10506" s="1"/>
      <c r="T10506" s="1"/>
      <c r="U10506" s="1"/>
      <c r="V10506" s="1"/>
      <c r="W10506" s="1"/>
      <c r="X10506" s="1"/>
      <c r="Y10506" s="1"/>
      <c r="Z10506" s="1"/>
      <c r="AA10506" s="1"/>
      <c r="AB10506" s="1"/>
    </row>
    <row r="10507" ht="50.25" customHeight="1">
      <c r="A10507" s="12">
        <v>10503.0</v>
      </c>
      <c r="B10507" s="13" t="s">
        <v>9604</v>
      </c>
      <c r="C10507" s="14" t="s">
        <v>10534</v>
      </c>
      <c r="D10507" s="1"/>
      <c r="E10507" s="1"/>
      <c r="F10507" s="1" t="str">
        <f>IFERROR(__xludf.DUMMYFUNCTION("GOOGLETRANSLATE(B10507, ""en"", ""fa"")
"),"موفقیت Etsy")</f>
        <v>موفقیت Etsy</v>
      </c>
      <c r="G10507" s="1" t="str">
        <f>IFERROR(__xludf.DUMMYFUNCTION("GOOGLETRANSLATE(C10507, ""en"", ""fa"")
"),"چگونه می توانم از ابزارها و پلتفرم های همکاری برای ساده کردن ارتباطات و همکاری با اعضای تیم یا دستیاران مجازی در تجارت Etsy خود استفاده کنم؟")</f>
        <v>چگونه می توانم از ابزارها و پلتفرم های همکاری برای ساده کردن ارتباطات و همکاری با اعضای تیم یا دستیاران مجازی در تجارت Etsy خود استفاده کنم؟</v>
      </c>
      <c r="H10507" s="1"/>
      <c r="I10507" s="1"/>
      <c r="J10507" s="1"/>
      <c r="K10507" s="1"/>
      <c r="L10507" s="1"/>
      <c r="M10507" s="1"/>
      <c r="N10507" s="1"/>
      <c r="O10507" s="1"/>
      <c r="P10507" s="1"/>
      <c r="Q10507" s="1"/>
      <c r="R10507" s="1"/>
      <c r="S10507" s="1"/>
      <c r="T10507" s="1"/>
      <c r="U10507" s="1"/>
      <c r="V10507" s="1"/>
      <c r="W10507" s="1"/>
      <c r="X10507" s="1"/>
      <c r="Y10507" s="1"/>
      <c r="Z10507" s="1"/>
      <c r="AA10507" s="1"/>
      <c r="AB10507" s="1"/>
    </row>
    <row r="10508" ht="50.25" customHeight="1">
      <c r="A10508" s="12">
        <v>10504.0</v>
      </c>
      <c r="B10508" s="13" t="s">
        <v>10535</v>
      </c>
      <c r="C10508" s="14" t="s">
        <v>10536</v>
      </c>
      <c r="D10508" s="1"/>
      <c r="E10508" s="1"/>
      <c r="F10508" s="1" t="str">
        <f>IFERROR(__xludf.DUMMYFUNCTION("GOOGLETRANSLATE(B10508, ""en"", ""fa"")
"),"کپی رایتینگ II")</f>
        <v>کپی رایتینگ II</v>
      </c>
      <c r="G10508" s="1" t="str">
        <f>IFERROR(__xludf.DUMMYFUNCTION("GOOGLETRANSLATE(C10508, ""en"", ""fa"")
"),"در مورد نقش توالی سرفصل و سلسله مراتب در انتقال یک پیام منسجم بحث کنید.")</f>
        <v>در مورد نقش توالی سرفصل و سلسله مراتب در انتقال یک پیام منسجم بحث کنید.</v>
      </c>
      <c r="H10508" s="1"/>
      <c r="I10508" s="1"/>
      <c r="J10508" s="1"/>
      <c r="K10508" s="1"/>
      <c r="L10508" s="1"/>
      <c r="M10508" s="1"/>
      <c r="N10508" s="1"/>
      <c r="O10508" s="1"/>
      <c r="P10508" s="1"/>
      <c r="Q10508" s="1"/>
      <c r="R10508" s="1"/>
      <c r="S10508" s="1"/>
      <c r="T10508" s="1"/>
      <c r="U10508" s="1"/>
      <c r="V10508" s="1"/>
      <c r="W10508" s="1"/>
      <c r="X10508" s="1"/>
      <c r="Y10508" s="1"/>
      <c r="Z10508" s="1"/>
      <c r="AA10508" s="1"/>
      <c r="AB10508" s="1"/>
    </row>
    <row r="10509" ht="50.25" customHeight="1">
      <c r="A10509" s="12">
        <v>10505.0</v>
      </c>
      <c r="B10509" s="13" t="s">
        <v>10535</v>
      </c>
      <c r="C10509" s="14" t="s">
        <v>10537</v>
      </c>
      <c r="D10509" s="1"/>
      <c r="E10509" s="1"/>
      <c r="F10509" s="1" t="str">
        <f>IFERROR(__xludf.DUMMYFUNCTION("GOOGLETRANSLATE(B10509, ""en"", ""fa"")
"),"کپی رایتینگ II")</f>
        <v>کپی رایتینگ II</v>
      </c>
      <c r="G10509" s="1" t="str">
        <f>IFERROR(__xludf.DUMMYFUNCTION("GOOGLETRANSLATE(C10509, ""en"", ""fa"")
"),"چگونه می توانید تیترهایی ایجاد کنید که خواسته ها و خواسته های خوانندگان را جلب کند؟")</f>
        <v>چگونه می توانید تیترهایی ایجاد کنید که خواسته ها و خواسته های خوانندگان را جلب کند؟</v>
      </c>
      <c r="H10509" s="1"/>
      <c r="I10509" s="1"/>
      <c r="J10509" s="1"/>
      <c r="K10509" s="1"/>
      <c r="L10509" s="1"/>
      <c r="M10509" s="1"/>
      <c r="N10509" s="1"/>
      <c r="O10509" s="1"/>
      <c r="P10509" s="1"/>
      <c r="Q10509" s="1"/>
      <c r="R10509" s="1"/>
      <c r="S10509" s="1"/>
      <c r="T10509" s="1"/>
      <c r="U10509" s="1"/>
      <c r="V10509" s="1"/>
      <c r="W10509" s="1"/>
      <c r="X10509" s="1"/>
      <c r="Y10509" s="1"/>
      <c r="Z10509" s="1"/>
      <c r="AA10509" s="1"/>
      <c r="AB10509" s="1"/>
    </row>
    <row r="10510" ht="50.25" customHeight="1">
      <c r="A10510" s="12">
        <v>10506.0</v>
      </c>
      <c r="B10510" s="13" t="s">
        <v>10535</v>
      </c>
      <c r="C10510" s="14" t="s">
        <v>10538</v>
      </c>
      <c r="D10510" s="1"/>
      <c r="E10510" s="1"/>
      <c r="F10510" s="1" t="str">
        <f>IFERROR(__xludf.DUMMYFUNCTION("GOOGLETRANSLATE(B10510, ""en"", ""fa"")
"),"کپی رایتینگ II")</f>
        <v>کپی رایتینگ II</v>
      </c>
      <c r="G10510" s="1" t="str">
        <f>IFERROR(__xludf.DUMMYFUNCTION("GOOGLETRANSLATE(C10510, ""en"", ""fa"")
"),"بینش خود را در مورد ایجاد سرفصل هایی که حس اقتدار و تخصص را ایجاد می کند، به اشتراک بگذارید.")</f>
        <v>بینش خود را در مورد ایجاد سرفصل هایی که حس اقتدار و تخصص را ایجاد می کند، به اشتراک بگذارید.</v>
      </c>
      <c r="H10510" s="1"/>
      <c r="I10510" s="1"/>
      <c r="J10510" s="1"/>
      <c r="K10510" s="1"/>
      <c r="L10510" s="1"/>
      <c r="M10510" s="1"/>
      <c r="N10510" s="1"/>
      <c r="O10510" s="1"/>
      <c r="P10510" s="1"/>
      <c r="Q10510" s="1"/>
      <c r="R10510" s="1"/>
      <c r="S10510" s="1"/>
      <c r="T10510" s="1"/>
      <c r="U10510" s="1"/>
      <c r="V10510" s="1"/>
      <c r="W10510" s="1"/>
      <c r="X10510" s="1"/>
      <c r="Y10510" s="1"/>
      <c r="Z10510" s="1"/>
      <c r="AA10510" s="1"/>
      <c r="AB10510" s="1"/>
    </row>
    <row r="10511" ht="50.25" customHeight="1">
      <c r="A10511" s="12">
        <v>10507.0</v>
      </c>
      <c r="B10511" s="13" t="s">
        <v>10535</v>
      </c>
      <c r="C10511" s="14" t="s">
        <v>10539</v>
      </c>
      <c r="D10511" s="1"/>
      <c r="E10511" s="1"/>
      <c r="F10511" s="1" t="str">
        <f>IFERROR(__xludf.DUMMYFUNCTION("GOOGLETRANSLATE(B10511, ""en"", ""fa"")
"),"کپی رایتینگ II")</f>
        <v>کپی رایتینگ II</v>
      </c>
      <c r="G10511" s="1" t="str">
        <f>IFERROR(__xludf.DUMMYFUNCTION("GOOGLETRANSLATE(C10511, ""en"", ""fa"")
"),"استفاده از محرک‌های عاطفی و اصول روان‌شناختی را در تیترنویسی بررسی کنید.")</f>
        <v>استفاده از محرک‌های عاطفی و اصول روان‌شناختی را در تیترنویسی بررسی کنید.</v>
      </c>
      <c r="H10511" s="1"/>
      <c r="I10511" s="1"/>
      <c r="J10511" s="1"/>
      <c r="K10511" s="1"/>
      <c r="L10511" s="1"/>
      <c r="M10511" s="1"/>
      <c r="N10511" s="1"/>
      <c r="O10511" s="1"/>
      <c r="P10511" s="1"/>
      <c r="Q10511" s="1"/>
      <c r="R10511" s="1"/>
      <c r="S10511" s="1"/>
      <c r="T10511" s="1"/>
      <c r="U10511" s="1"/>
      <c r="V10511" s="1"/>
      <c r="W10511" s="1"/>
      <c r="X10511" s="1"/>
      <c r="Y10511" s="1"/>
      <c r="Z10511" s="1"/>
      <c r="AA10511" s="1"/>
      <c r="AB10511" s="1"/>
    </row>
    <row r="10512" ht="50.25" customHeight="1">
      <c r="A10512" s="12">
        <v>10508.0</v>
      </c>
      <c r="B10512" s="13" t="s">
        <v>10535</v>
      </c>
      <c r="C10512" s="14" t="s">
        <v>10540</v>
      </c>
      <c r="D10512" s="1"/>
      <c r="E10512" s="1"/>
      <c r="F10512" s="1" t="str">
        <f>IFERROR(__xludf.DUMMYFUNCTION("GOOGLETRANSLATE(B10512, ""en"", ""fa"")
"),"کپی رایتینگ II")</f>
        <v>کپی رایتینگ II</v>
      </c>
      <c r="G10512" s="1" t="str">
        <f>IFERROR(__xludf.DUMMYFUNCTION("GOOGLETRANSLATE(C10512, ""en"", ""fa"")
"),"درباره تأثیر حساسیت فرهنگی و فراگیری در تیترنویسی بحث کنید.")</f>
        <v>درباره تأثیر حساسیت فرهنگی و فراگیری در تیترنویسی بحث کنید.</v>
      </c>
      <c r="H10512" s="1"/>
      <c r="I10512" s="1"/>
      <c r="J10512" s="1"/>
      <c r="K10512" s="1"/>
      <c r="L10512" s="1"/>
      <c r="M10512" s="1"/>
      <c r="N10512" s="1"/>
      <c r="O10512" s="1"/>
      <c r="P10512" s="1"/>
      <c r="Q10512" s="1"/>
      <c r="R10512" s="1"/>
      <c r="S10512" s="1"/>
      <c r="T10512" s="1"/>
      <c r="U10512" s="1"/>
      <c r="V10512" s="1"/>
      <c r="W10512" s="1"/>
      <c r="X10512" s="1"/>
      <c r="Y10512" s="1"/>
      <c r="Z10512" s="1"/>
      <c r="AA10512" s="1"/>
      <c r="AB10512" s="1"/>
    </row>
    <row r="10513" ht="50.25" customHeight="1">
      <c r="A10513" s="12">
        <v>10509.0</v>
      </c>
      <c r="B10513" s="13" t="s">
        <v>10535</v>
      </c>
      <c r="C10513" s="14" t="s">
        <v>10541</v>
      </c>
      <c r="D10513" s="1"/>
      <c r="E10513" s="1"/>
      <c r="F10513" s="1" t="str">
        <f>IFERROR(__xludf.DUMMYFUNCTION("GOOGLETRANSLATE(B10513, ""en"", ""fa"")
"),"کپی رایتینگ II")</f>
        <v>کپی رایتینگ II</v>
      </c>
      <c r="G10513" s="1" t="str">
        <f>IFERROR(__xludf.DUMMYFUNCTION("GOOGLETRANSLATE(C10513, ""en"", ""fa"")
"),"چگونه عناوینی ایجاد می کنید که ارزش و مزایای واضحی را به خواننده ارائه می دهند؟")</f>
        <v>چگونه عناوینی ایجاد می کنید که ارزش و مزایای واضحی را به خواننده ارائه می دهند؟</v>
      </c>
      <c r="H10513" s="1"/>
      <c r="I10513" s="1"/>
      <c r="J10513" s="1"/>
      <c r="K10513" s="1"/>
      <c r="L10513" s="1"/>
      <c r="M10513" s="1"/>
      <c r="N10513" s="1"/>
      <c r="O10513" s="1"/>
      <c r="P10513" s="1"/>
      <c r="Q10513" s="1"/>
      <c r="R10513" s="1"/>
      <c r="S10513" s="1"/>
      <c r="T10513" s="1"/>
      <c r="U10513" s="1"/>
      <c r="V10513" s="1"/>
      <c r="W10513" s="1"/>
      <c r="X10513" s="1"/>
      <c r="Y10513" s="1"/>
      <c r="Z10513" s="1"/>
      <c r="AA10513" s="1"/>
      <c r="AB10513" s="1"/>
    </row>
    <row r="10514" ht="50.25" customHeight="1">
      <c r="A10514" s="12">
        <v>10510.0</v>
      </c>
      <c r="B10514" s="13" t="s">
        <v>10535</v>
      </c>
      <c r="C10514" s="14" t="s">
        <v>10542</v>
      </c>
      <c r="D10514" s="1"/>
      <c r="E10514" s="1"/>
      <c r="F10514" s="1" t="str">
        <f>IFERROR(__xludf.DUMMYFUNCTION("GOOGLETRANSLATE(B10514, ""en"", ""fa"")
"),"کپی رایتینگ II")</f>
        <v>کپی رایتینگ II</v>
      </c>
      <c r="G10514" s="1" t="str">
        <f>IFERROR(__xludf.DUMMYFUNCTION("GOOGLETRANSLATE(C10514, ""en"", ""fa"")
"),"استراتژی های خود را برای ایجاد سرفصل هایی که حس کنجکاوی را برانگیخته و بازدیدکنندگان را ایجاد می کند، به اشتراک بگذارید.")</f>
        <v>استراتژی های خود را برای ایجاد سرفصل هایی که حس کنجکاوی را برانگیخته و بازدیدکنندگان را ایجاد می کند، به اشتراک بگذارید.</v>
      </c>
      <c r="H10514" s="1"/>
      <c r="I10514" s="1"/>
      <c r="J10514" s="1"/>
      <c r="K10514" s="1"/>
      <c r="L10514" s="1"/>
      <c r="M10514" s="1"/>
      <c r="N10514" s="1"/>
      <c r="O10514" s="1"/>
      <c r="P10514" s="1"/>
      <c r="Q10514" s="1"/>
      <c r="R10514" s="1"/>
      <c r="S10514" s="1"/>
      <c r="T10514" s="1"/>
      <c r="U10514" s="1"/>
      <c r="V10514" s="1"/>
      <c r="W10514" s="1"/>
      <c r="X10514" s="1"/>
      <c r="Y10514" s="1"/>
      <c r="Z10514" s="1"/>
      <c r="AA10514" s="1"/>
      <c r="AB10514" s="1"/>
    </row>
    <row r="10515" ht="50.25" customHeight="1">
      <c r="A10515" s="12">
        <v>10511.0</v>
      </c>
      <c r="B10515" s="13" t="s">
        <v>10535</v>
      </c>
      <c r="C10515" s="14" t="s">
        <v>10543</v>
      </c>
      <c r="D10515" s="1"/>
      <c r="E10515" s="1"/>
      <c r="F10515" s="1" t="str">
        <f>IFERROR(__xludf.DUMMYFUNCTION("GOOGLETRANSLATE(B10515, ""en"", ""fa"")
"),"کپی رایتینگ II")</f>
        <v>کپی رایتینگ II</v>
      </c>
      <c r="G10515" s="1" t="str">
        <f>IFERROR(__xludf.DUMMYFUNCTION("GOOGLETRANSLATE(C10515, ""en"", ""fa"")
"),"استفاده از عناصر داستان سرایی، مانند تضاد و حل، در نوشتن عنوان را بررسی کنید.")</f>
        <v>استفاده از عناصر داستان سرایی، مانند تضاد و حل، در نوشتن عنوان را بررسی کنید.</v>
      </c>
      <c r="H10515" s="1"/>
      <c r="I10515" s="1"/>
      <c r="J10515" s="1"/>
      <c r="K10515" s="1"/>
      <c r="L10515" s="1"/>
      <c r="M10515" s="1"/>
      <c r="N10515" s="1"/>
      <c r="O10515" s="1"/>
      <c r="P10515" s="1"/>
      <c r="Q10515" s="1"/>
      <c r="R10515" s="1"/>
      <c r="S10515" s="1"/>
      <c r="T10515" s="1"/>
      <c r="U10515" s="1"/>
      <c r="V10515" s="1"/>
      <c r="W10515" s="1"/>
      <c r="X10515" s="1"/>
      <c r="Y10515" s="1"/>
      <c r="Z10515" s="1"/>
      <c r="AA10515" s="1"/>
      <c r="AB10515" s="1"/>
    </row>
    <row r="10516" ht="50.25" customHeight="1">
      <c r="A10516" s="12">
        <v>10512.0</v>
      </c>
      <c r="B10516" s="13" t="s">
        <v>10535</v>
      </c>
      <c r="C10516" s="14" t="s">
        <v>10544</v>
      </c>
      <c r="D10516" s="1"/>
      <c r="E10516" s="1"/>
      <c r="F10516" s="1" t="str">
        <f>IFERROR(__xludf.DUMMYFUNCTION("GOOGLETRANSLATE(B10516, ""en"", ""fa"")
"),"کپی رایتینگ II")</f>
        <v>کپی رایتینگ II</v>
      </c>
      <c r="G10516" s="1" t="str">
        <f>IFERROR(__xludf.DUMMYFUNCTION("GOOGLETRANSLATE(C10516, ""en"", ""fa"")
"),"درباره تأثیر شخصی‌سازی و تقسیم‌بندی سرفصل در تعامل با خواننده بحث کنید.")</f>
        <v>درباره تأثیر شخصی‌سازی و تقسیم‌بندی سرفصل در تعامل با خواننده بحث کنید.</v>
      </c>
      <c r="H10516" s="1"/>
      <c r="I10516" s="1"/>
      <c r="J10516" s="1"/>
      <c r="K10516" s="1"/>
      <c r="L10516" s="1"/>
      <c r="M10516" s="1"/>
      <c r="N10516" s="1"/>
      <c r="O10516" s="1"/>
      <c r="P10516" s="1"/>
      <c r="Q10516" s="1"/>
      <c r="R10516" s="1"/>
      <c r="S10516" s="1"/>
      <c r="T10516" s="1"/>
      <c r="U10516" s="1"/>
      <c r="V10516" s="1"/>
      <c r="W10516" s="1"/>
      <c r="X10516" s="1"/>
      <c r="Y10516" s="1"/>
      <c r="Z10516" s="1"/>
      <c r="AA10516" s="1"/>
      <c r="AB10516" s="1"/>
    </row>
    <row r="10517" ht="50.25" customHeight="1">
      <c r="A10517" s="12">
        <v>10513.0</v>
      </c>
      <c r="B10517" s="13" t="s">
        <v>10535</v>
      </c>
      <c r="C10517" s="18" t="s">
        <v>10545</v>
      </c>
      <c r="D10517" s="1"/>
      <c r="E10517" s="1"/>
      <c r="F10517" s="1" t="str">
        <f>IFERROR(__xludf.DUMMYFUNCTION("GOOGLETRANSLATE(B10517, ""en"", ""fa"")
"),"کپی رایتینگ II")</f>
        <v>کپی رایتینگ II</v>
      </c>
      <c r="G10517" s="1" t="str">
        <f>IFERROR(__xludf.DUMMYFUNCTION("GOOGLETRANSLATE(C10517, ""en"", ""fa"")
"),"چگونه طول کپی تبلیغات را برای پلتفرم های مختلف رسانه های اجتماعی و ترجیحات مخاطب بهینه کنیم؟")</f>
        <v>چگونه طول کپی تبلیغات را برای پلتفرم های مختلف رسانه های اجتماعی و ترجیحات مخاطب بهینه کنیم؟</v>
      </c>
      <c r="H10517" s="1"/>
      <c r="I10517" s="1"/>
      <c r="J10517" s="1"/>
      <c r="K10517" s="1"/>
      <c r="L10517" s="1"/>
      <c r="M10517" s="1"/>
      <c r="N10517" s="1"/>
      <c r="O10517" s="1"/>
      <c r="P10517" s="1"/>
      <c r="Q10517" s="1"/>
      <c r="R10517" s="1"/>
      <c r="S10517" s="1"/>
      <c r="T10517" s="1"/>
      <c r="U10517" s="1"/>
      <c r="V10517" s="1"/>
      <c r="W10517" s="1"/>
      <c r="X10517" s="1"/>
      <c r="Y10517" s="1"/>
      <c r="Z10517" s="1"/>
      <c r="AA10517" s="1"/>
      <c r="AB10517" s="1"/>
    </row>
    <row r="10518" ht="50.25" customHeight="1">
      <c r="A10518" s="12">
        <v>10514.0</v>
      </c>
      <c r="B10518" s="13" t="s">
        <v>10535</v>
      </c>
      <c r="C10518" s="18" t="s">
        <v>10546</v>
      </c>
      <c r="D10518" s="1"/>
      <c r="E10518" s="1"/>
      <c r="F10518" s="1" t="str">
        <f>IFERROR(__xludf.DUMMYFUNCTION("GOOGLETRANSLATE(B10518, ""en"", ""fa"")
"),"کپی رایتینگ II")</f>
        <v>کپی رایتینگ II</v>
      </c>
      <c r="G10518" s="1" t="str">
        <f>IFERROR(__xludf.DUMMYFUNCTION("GOOGLETRANSLATE(C10518, ""en"", ""fa"")
"),"برای دستیابی به مخاطبان خاص با تبلیغات خود، بینش‌های خود را در مورد استفاده از گزینه‌های هدف‌گذاری رسانه‌های اجتماعی، مانند جمعیت‌شناسی یا علایق، به اشتراک بگذارید.")</f>
        <v>برای دستیابی به مخاطبان خاص با تبلیغات خود، بینش‌های خود را در مورد استفاده از گزینه‌های هدف‌گذاری رسانه‌های اجتماعی، مانند جمعیت‌شناسی یا علایق، به اشتراک بگذارید.</v>
      </c>
      <c r="H10518" s="1"/>
      <c r="I10518" s="1"/>
      <c r="J10518" s="1"/>
      <c r="K10518" s="1"/>
      <c r="L10518" s="1"/>
      <c r="M10518" s="1"/>
      <c r="N10518" s="1"/>
      <c r="O10518" s="1"/>
      <c r="P10518" s="1"/>
      <c r="Q10518" s="1"/>
      <c r="R10518" s="1"/>
      <c r="S10518" s="1"/>
      <c r="T10518" s="1"/>
      <c r="U10518" s="1"/>
      <c r="V10518" s="1"/>
      <c r="W10518" s="1"/>
      <c r="X10518" s="1"/>
      <c r="Y10518" s="1"/>
      <c r="Z10518" s="1"/>
      <c r="AA10518" s="1"/>
      <c r="AB10518" s="1"/>
    </row>
    <row r="10519" ht="50.25" customHeight="1">
      <c r="A10519" s="12">
        <v>10515.0</v>
      </c>
      <c r="B10519" s="13" t="s">
        <v>10535</v>
      </c>
      <c r="C10519" s="18" t="s">
        <v>10547</v>
      </c>
      <c r="D10519" s="1"/>
      <c r="E10519" s="1"/>
      <c r="F10519" s="1" t="str">
        <f>IFERROR(__xludf.DUMMYFUNCTION("GOOGLETRANSLATE(B10519, ""en"", ""fa"")
"),"کپی رایتینگ II")</f>
        <v>کپی رایتینگ II</v>
      </c>
      <c r="G10519" s="1" t="str">
        <f>IFERROR(__xludf.DUMMYFUNCTION("GOOGLETRANSLATE(C10519, ""en"", ""fa"")
"),"استفاده از شواهد اجتماعی، مانند تعداد فالوورهای رسانه های اجتماعی یا محتوای تولید شده توسط کاربر را برای ایجاد اعتبار در تبلیغات رسانه های اجتماعی خود کاوش کنید.")</f>
        <v>استفاده از شواهد اجتماعی، مانند تعداد فالوورهای رسانه های اجتماعی یا محتوای تولید شده توسط کاربر را برای ایجاد اعتبار در تبلیغات رسانه های اجتماعی خود کاوش کنید.</v>
      </c>
      <c r="H10519" s="1"/>
      <c r="I10519" s="1"/>
      <c r="J10519" s="1"/>
      <c r="K10519" s="1"/>
      <c r="L10519" s="1"/>
      <c r="M10519" s="1"/>
      <c r="N10519" s="1"/>
      <c r="O10519" s="1"/>
      <c r="P10519" s="1"/>
      <c r="Q10519" s="1"/>
      <c r="R10519" s="1"/>
      <c r="S10519" s="1"/>
      <c r="T10519" s="1"/>
      <c r="U10519" s="1"/>
      <c r="V10519" s="1"/>
      <c r="W10519" s="1"/>
      <c r="X10519" s="1"/>
      <c r="Y10519" s="1"/>
      <c r="Z10519" s="1"/>
      <c r="AA10519" s="1"/>
      <c r="AB10519" s="1"/>
    </row>
    <row r="10520" ht="50.25" customHeight="1">
      <c r="A10520" s="12">
        <v>10516.0</v>
      </c>
      <c r="B10520" s="13" t="s">
        <v>10535</v>
      </c>
      <c r="C10520" s="18" t="s">
        <v>10548</v>
      </c>
      <c r="D10520" s="1"/>
      <c r="E10520" s="1"/>
      <c r="F10520" s="1" t="str">
        <f>IFERROR(__xludf.DUMMYFUNCTION("GOOGLETRANSLATE(B10520, ""en"", ""fa"")
"),"کپی رایتینگ II")</f>
        <v>کپی رایتینگ II</v>
      </c>
      <c r="G10520" s="1" t="str">
        <f>IFERROR(__xludf.DUMMYFUNCTION("GOOGLETRANSLATE(C10520, ""en"", ""fa"")
"),"در مورد اهمیت تراز کردن نسخه تبلیغاتی خود با اهداف و اهداف خاص کمپین تبلیغاتی رسانه های اجتماعی خود بحث کنید.")</f>
        <v>در مورد اهمیت تراز کردن نسخه تبلیغاتی خود با اهداف و اهداف خاص کمپین تبلیغاتی رسانه های اجتماعی خود بحث کنید.</v>
      </c>
      <c r="H10520" s="1"/>
      <c r="I10520" s="1"/>
      <c r="J10520" s="1"/>
      <c r="K10520" s="1"/>
      <c r="L10520" s="1"/>
      <c r="M10520" s="1"/>
      <c r="N10520" s="1"/>
      <c r="O10520" s="1"/>
      <c r="P10520" s="1"/>
      <c r="Q10520" s="1"/>
      <c r="R10520" s="1"/>
      <c r="S10520" s="1"/>
      <c r="T10520" s="1"/>
      <c r="U10520" s="1"/>
      <c r="V10520" s="1"/>
      <c r="W10520" s="1"/>
      <c r="X10520" s="1"/>
      <c r="Y10520" s="1"/>
      <c r="Z10520" s="1"/>
      <c r="AA10520" s="1"/>
      <c r="AB10520" s="1"/>
    </row>
    <row r="10521" ht="50.25" customHeight="1">
      <c r="A10521" s="12">
        <v>10517.0</v>
      </c>
      <c r="B10521" s="13" t="s">
        <v>10535</v>
      </c>
      <c r="C10521" s="18" t="s">
        <v>10549</v>
      </c>
      <c r="D10521" s="1"/>
      <c r="E10521" s="1"/>
      <c r="F10521" s="1" t="str">
        <f>IFERROR(__xludf.DUMMYFUNCTION("GOOGLETRANSLATE(B10521, ""en"", ""fa"")
"),"کپی رایتینگ II")</f>
        <v>کپی رایتینگ II</v>
      </c>
      <c r="G10521" s="1" t="str">
        <f>IFERROR(__xludf.DUMMYFUNCTION("GOOGLETRANSLATE(C10521, ""en"", ""fa"")
"),"چگونه از معیارهای تعامل کاربر، مانند لایک ها یا نظرات، برای سنجش عملکرد و اثربخشی تبلیغات رسانه های اجتماعی خود استفاده کنید؟")</f>
        <v>چگونه از معیارهای تعامل کاربر، مانند لایک ها یا نظرات، برای سنجش عملکرد و اثربخشی تبلیغات رسانه های اجتماعی خود استفاده کنید؟</v>
      </c>
      <c r="H10521" s="1"/>
      <c r="I10521" s="1"/>
      <c r="J10521" s="1"/>
      <c r="K10521" s="1"/>
      <c r="L10521" s="1"/>
      <c r="M10521" s="1"/>
      <c r="N10521" s="1"/>
      <c r="O10521" s="1"/>
      <c r="P10521" s="1"/>
      <c r="Q10521" s="1"/>
      <c r="R10521" s="1"/>
      <c r="S10521" s="1"/>
      <c r="T10521" s="1"/>
      <c r="U10521" s="1"/>
      <c r="V10521" s="1"/>
      <c r="W10521" s="1"/>
      <c r="X10521" s="1"/>
      <c r="Y10521" s="1"/>
      <c r="Z10521" s="1"/>
      <c r="AA10521" s="1"/>
      <c r="AB10521" s="1"/>
    </row>
    <row r="10522" ht="50.25" customHeight="1">
      <c r="A10522" s="12">
        <v>10518.0</v>
      </c>
      <c r="B10522" s="13" t="s">
        <v>10535</v>
      </c>
      <c r="C10522" s="18" t="s">
        <v>10550</v>
      </c>
      <c r="D10522" s="1"/>
      <c r="E10522" s="1"/>
      <c r="F10522" s="1" t="str">
        <f>IFERROR(__xludf.DUMMYFUNCTION("GOOGLETRANSLATE(B10522, ""en"", ""fa"")
"),"کپی رایتینگ II")</f>
        <v>کپی رایتینگ II</v>
      </c>
      <c r="G10522" s="1" t="str">
        <f>IFERROR(__xludf.DUMMYFUNCTION("GOOGLETRANSLATE(C10522, ""en"", ""fa"")
"),"استراتژی‌هایی را برای ایجاد حس انحصار یا دسترسی محدود در تبلیغات رسانه‌های اجتماعی برای افزایش تقاضا به اشتراک بگذارید.")</f>
        <v>استراتژی‌هایی را برای ایجاد حس انحصار یا دسترسی محدود در تبلیغات رسانه‌های اجتماعی برای افزایش تقاضا به اشتراک بگذارید.</v>
      </c>
      <c r="H10522" s="1"/>
      <c r="I10522" s="1"/>
      <c r="J10522" s="1"/>
      <c r="K10522" s="1"/>
      <c r="L10522" s="1"/>
      <c r="M10522" s="1"/>
      <c r="N10522" s="1"/>
      <c r="O10522" s="1"/>
      <c r="P10522" s="1"/>
      <c r="Q10522" s="1"/>
      <c r="R10522" s="1"/>
      <c r="S10522" s="1"/>
      <c r="T10522" s="1"/>
      <c r="U10522" s="1"/>
      <c r="V10522" s="1"/>
      <c r="W10522" s="1"/>
      <c r="X10522" s="1"/>
      <c r="Y10522" s="1"/>
      <c r="Z10522" s="1"/>
      <c r="AA10522" s="1"/>
      <c r="AB10522" s="1"/>
    </row>
    <row r="10523" ht="50.25" customHeight="1">
      <c r="A10523" s="12">
        <v>10519.0</v>
      </c>
      <c r="B10523" s="13" t="s">
        <v>10535</v>
      </c>
      <c r="C10523" s="18" t="s">
        <v>10551</v>
      </c>
      <c r="D10523" s="1"/>
      <c r="E10523" s="1"/>
      <c r="F10523" s="1" t="str">
        <f>IFERROR(__xludf.DUMMYFUNCTION("GOOGLETRANSLATE(B10523, ""en"", ""fa"")
"),"کپی رایتینگ II")</f>
        <v>کپی رایتینگ II</v>
      </c>
      <c r="G10523" s="1" t="str">
        <f>IFERROR(__xludf.DUMMYFUNCTION("GOOGLETRANSLATE(C10523, ""en"", ""fa"")
"),"در مورد تاثیر استفاده از تصاویر قوی و جلب توجه در تبلیغات رسانه های اجتماعی برای افزایش نرخ کلیک بحث کنید.")</f>
        <v>در مورد تاثیر استفاده از تصاویر قوی و جلب توجه در تبلیغات رسانه های اجتماعی برای افزایش نرخ کلیک بحث کنید.</v>
      </c>
      <c r="H10523" s="1"/>
      <c r="I10523" s="1"/>
      <c r="J10523" s="1"/>
      <c r="K10523" s="1"/>
      <c r="L10523" s="1"/>
      <c r="M10523" s="1"/>
      <c r="N10523" s="1"/>
      <c r="O10523" s="1"/>
      <c r="P10523" s="1"/>
      <c r="Q10523" s="1"/>
      <c r="R10523" s="1"/>
      <c r="S10523" s="1"/>
      <c r="T10523" s="1"/>
      <c r="U10523" s="1"/>
      <c r="V10523" s="1"/>
      <c r="W10523" s="1"/>
      <c r="X10523" s="1"/>
      <c r="Y10523" s="1"/>
      <c r="Z10523" s="1"/>
      <c r="AA10523" s="1"/>
      <c r="AB10523" s="1"/>
    </row>
    <row r="10524" ht="50.25" customHeight="1">
      <c r="A10524" s="12">
        <v>10520.0</v>
      </c>
      <c r="B10524" s="13" t="s">
        <v>10535</v>
      </c>
      <c r="C10524" s="18" t="s">
        <v>10552</v>
      </c>
      <c r="D10524" s="1"/>
      <c r="E10524" s="1"/>
      <c r="F10524" s="1" t="str">
        <f>IFERROR(__xludf.DUMMYFUNCTION("GOOGLETRANSLATE(B10524, ""en"", ""fa"")
"),"کپی رایتینگ II")</f>
        <v>کپی رایتینگ II</v>
      </c>
      <c r="G10524" s="1" t="str">
        <f>IFERROR(__xludf.DUMMYFUNCTION("GOOGLETRANSLATE(C10524, ""en"", ""fa"")
"),"چگونه می توان یک نسخه تبلیغاتی ایجاد کرد که مستقیماً با آرزوها، رویاها یا خواسته های مخاطب هدف شما در تبلیغات رسانه های اجتماعی صحبت کند؟")</f>
        <v>چگونه می توان یک نسخه تبلیغاتی ایجاد کرد که مستقیماً با آرزوها، رویاها یا خواسته های مخاطب هدف شما در تبلیغات رسانه های اجتماعی صحبت کند؟</v>
      </c>
      <c r="H10524" s="1"/>
      <c r="I10524" s="1"/>
      <c r="J10524" s="1"/>
      <c r="K10524" s="1"/>
      <c r="L10524" s="1"/>
      <c r="M10524" s="1"/>
      <c r="N10524" s="1"/>
      <c r="O10524" s="1"/>
      <c r="P10524" s="1"/>
      <c r="Q10524" s="1"/>
      <c r="R10524" s="1"/>
      <c r="S10524" s="1"/>
      <c r="T10524" s="1"/>
      <c r="U10524" s="1"/>
      <c r="V10524" s="1"/>
      <c r="W10524" s="1"/>
      <c r="X10524" s="1"/>
      <c r="Y10524" s="1"/>
      <c r="Z10524" s="1"/>
      <c r="AA10524" s="1"/>
      <c r="AB10524" s="1"/>
    </row>
    <row r="10525" ht="50.25" customHeight="1">
      <c r="A10525" s="12">
        <v>10521.0</v>
      </c>
      <c r="B10525" s="13" t="s">
        <v>10535</v>
      </c>
      <c r="C10525" s="18" t="s">
        <v>10553</v>
      </c>
      <c r="D10525" s="1"/>
      <c r="E10525" s="1"/>
      <c r="F10525" s="1" t="str">
        <f>IFERROR(__xludf.DUMMYFUNCTION("GOOGLETRANSLATE(B10525, ""en"", ""fa"")
"),"کپی رایتینگ II")</f>
        <v>کپی رایتینگ II</v>
      </c>
      <c r="G10525" s="1" t="str">
        <f>IFERROR(__xludf.DUMMYFUNCTION("GOOGLETRANSLATE(C10525, ""en"", ""fa"")
"),"در مورد استفاده از چارچوب‌های داستان‌گویی، مانند سفر قهرمان، برای ساختار بخشیدن به نسخه تبلیغاتی خود و جذب مخاطب در تبلیغات رسانه‌های اجتماعی، بینش‌هایی را به اشتراک بگذارید.")</f>
        <v>در مورد استفاده از چارچوب‌های داستان‌گویی، مانند سفر قهرمان، برای ساختار بخشیدن به نسخه تبلیغاتی خود و جذب مخاطب در تبلیغات رسانه‌های اجتماعی، بینش‌هایی را به اشتراک بگذارید.</v>
      </c>
      <c r="H10525" s="1"/>
      <c r="I10525" s="1"/>
      <c r="J10525" s="1"/>
      <c r="K10525" s="1"/>
      <c r="L10525" s="1"/>
      <c r="M10525" s="1"/>
      <c r="N10525" s="1"/>
      <c r="O10525" s="1"/>
      <c r="P10525" s="1"/>
      <c r="Q10525" s="1"/>
      <c r="R10525" s="1"/>
      <c r="S10525" s="1"/>
      <c r="T10525" s="1"/>
      <c r="U10525" s="1"/>
      <c r="V10525" s="1"/>
      <c r="W10525" s="1"/>
      <c r="X10525" s="1"/>
      <c r="Y10525" s="1"/>
      <c r="Z10525" s="1"/>
      <c r="AA10525" s="1"/>
      <c r="AB10525" s="1"/>
    </row>
    <row r="10526" ht="50.25" customHeight="1">
      <c r="A10526" s="12">
        <v>10522.0</v>
      </c>
      <c r="B10526" s="13" t="s">
        <v>10535</v>
      </c>
      <c r="C10526" s="18" t="s">
        <v>10554</v>
      </c>
      <c r="D10526" s="1"/>
      <c r="E10526" s="1"/>
      <c r="F10526" s="1" t="str">
        <f>IFERROR(__xludf.DUMMYFUNCTION("GOOGLETRANSLATE(B10526, ""en"", ""fa"")
"),"کپی رایتینگ II")</f>
        <v>کپی رایتینگ II</v>
      </c>
      <c r="G10526" s="1" t="str">
        <f>IFERROR(__xludf.DUMMYFUNCTION("GOOGLETRANSLATE(C10526, ""en"", ""fa"")
"),"استفاده از گزینه‌های هدف‌یابی تبلیغات رسانه‌های اجتماعی، مانند مخاطبان سفارشی یا مخاطبان مشابه، را برای دستیابی به مخاطبان بسیار مرتبط بررسی کنید.")</f>
        <v>استفاده از گزینه‌های هدف‌یابی تبلیغات رسانه‌های اجتماعی، مانند مخاطبان سفارشی یا مخاطبان مشابه، را برای دستیابی به مخاطبان بسیار مرتبط بررسی کنید.</v>
      </c>
      <c r="H10526" s="1"/>
      <c r="I10526" s="1"/>
      <c r="J10526" s="1"/>
      <c r="K10526" s="1"/>
      <c r="L10526" s="1"/>
      <c r="M10526" s="1"/>
      <c r="N10526" s="1"/>
      <c r="O10526" s="1"/>
      <c r="P10526" s="1"/>
      <c r="Q10526" s="1"/>
      <c r="R10526" s="1"/>
      <c r="S10526" s="1"/>
      <c r="T10526" s="1"/>
      <c r="U10526" s="1"/>
      <c r="V10526" s="1"/>
      <c r="W10526" s="1"/>
      <c r="X10526" s="1"/>
      <c r="Y10526" s="1"/>
      <c r="Z10526" s="1"/>
      <c r="AA10526" s="1"/>
      <c r="AB10526" s="1"/>
    </row>
    <row r="10527" ht="50.25" customHeight="1">
      <c r="A10527" s="12">
        <v>10523.0</v>
      </c>
      <c r="B10527" s="13" t="s">
        <v>10535</v>
      </c>
      <c r="C10527" s="18" t="s">
        <v>10555</v>
      </c>
      <c r="D10527" s="1"/>
      <c r="E10527" s="1"/>
      <c r="F10527" s="1" t="str">
        <f>IFERROR(__xludf.DUMMYFUNCTION("GOOGLETRANSLATE(B10527, ""en"", ""fa"")
"),"کپی رایتینگ II")</f>
        <v>کپی رایتینگ II</v>
      </c>
      <c r="G10527" s="1" t="str">
        <f>IFERROR(__xludf.DUMMYFUNCTION("GOOGLETRANSLATE(C10527, ""en"", ""fa"")
"),"در مورد اهمیت همراستایی نسخه تبلیغاتی خود با ویژگی ها یا مزایای خاص پلت فرم رسانه اجتماعی که در آن تبلیغ می کنید بحث کنید.")</f>
        <v>در مورد اهمیت همراستایی نسخه تبلیغاتی خود با ویژگی ها یا مزایای خاص پلت فرم رسانه اجتماعی که در آن تبلیغ می کنید بحث کنید.</v>
      </c>
      <c r="H10527" s="1"/>
      <c r="I10527" s="1"/>
      <c r="J10527" s="1"/>
      <c r="K10527" s="1"/>
      <c r="L10527" s="1"/>
      <c r="M10527" s="1"/>
      <c r="N10527" s="1"/>
      <c r="O10527" s="1"/>
      <c r="P10527" s="1"/>
      <c r="Q10527" s="1"/>
      <c r="R10527" s="1"/>
      <c r="S10527" s="1"/>
      <c r="T10527" s="1"/>
      <c r="U10527" s="1"/>
      <c r="V10527" s="1"/>
      <c r="W10527" s="1"/>
      <c r="X10527" s="1"/>
      <c r="Y10527" s="1"/>
      <c r="Z10527" s="1"/>
      <c r="AA10527" s="1"/>
      <c r="AB10527" s="1"/>
    </row>
    <row r="10528" ht="50.25" customHeight="1">
      <c r="A10528" s="12">
        <v>10524.0</v>
      </c>
      <c r="B10528" s="13" t="s">
        <v>10535</v>
      </c>
      <c r="C10528" s="18" t="s">
        <v>10556</v>
      </c>
      <c r="D10528" s="1"/>
      <c r="E10528" s="1"/>
      <c r="F10528" s="1" t="str">
        <f>IFERROR(__xludf.DUMMYFUNCTION("GOOGLETRANSLATE(B10528, ""en"", ""fa"")
"),"کپی رایتینگ II")</f>
        <v>کپی رایتینگ II</v>
      </c>
      <c r="G10528" s="1" t="str">
        <f>IFERROR(__xludf.DUMMYFUNCTION("GOOGLETRANSLATE(C10528, ""en"", ""fa"")
"),"چگونه می توان از تکنیک های زبان متقاعدکننده مانند کمبود یا اعتبار سنجی اجتماعی برای تأثیرگذاری بر رفتار کاربر در تبلیغات رسانه های اجتماعی استفاده کرد؟")</f>
        <v>چگونه می توان از تکنیک های زبان متقاعدکننده مانند کمبود یا اعتبار سنجی اجتماعی برای تأثیرگذاری بر رفتار کاربر در تبلیغات رسانه های اجتماعی استفاده کرد؟</v>
      </c>
      <c r="H10528" s="1"/>
      <c r="I10528" s="1"/>
      <c r="J10528" s="1"/>
      <c r="K10528" s="1"/>
      <c r="L10528" s="1"/>
      <c r="M10528" s="1"/>
      <c r="N10528" s="1"/>
      <c r="O10528" s="1"/>
      <c r="P10528" s="1"/>
      <c r="Q10528" s="1"/>
      <c r="R10528" s="1"/>
      <c r="S10528" s="1"/>
      <c r="T10528" s="1"/>
      <c r="U10528" s="1"/>
      <c r="V10528" s="1"/>
      <c r="W10528" s="1"/>
      <c r="X10528" s="1"/>
      <c r="Y10528" s="1"/>
      <c r="Z10528" s="1"/>
      <c r="AA10528" s="1"/>
      <c r="AB10528" s="1"/>
    </row>
    <row r="10529" ht="50.25" customHeight="1">
      <c r="A10529" s="12">
        <v>10525.0</v>
      </c>
      <c r="B10529" s="13" t="s">
        <v>10535</v>
      </c>
      <c r="C10529" s="18" t="s">
        <v>10557</v>
      </c>
      <c r="D10529" s="1"/>
      <c r="E10529" s="1"/>
      <c r="F10529" s="1" t="str">
        <f>IFERROR(__xludf.DUMMYFUNCTION("GOOGLETRANSLATE(B10529, ""en"", ""fa"")
"),"کپی رایتینگ II")</f>
        <v>کپی رایتینگ II</v>
      </c>
      <c r="G10529" s="1" t="str">
        <f>IFERROR(__xludf.DUMMYFUNCTION("GOOGLETRANSLATE(C10529, ""en"", ""fa"")
"),"استراتژی هایی را برای ایجاد نسخه تبلیغاتی به اشتراک بگذارید که به اعتراضات یا نگرانی های مخاطبان هدف شما در تبلیغات رسانه های اجتماعی رسیدگی می کند.")</f>
        <v>استراتژی هایی را برای ایجاد نسخه تبلیغاتی به اشتراک بگذارید که به اعتراضات یا نگرانی های مخاطبان هدف شما در تبلیغات رسانه های اجتماعی رسیدگی می کند.</v>
      </c>
      <c r="H10529" s="1"/>
      <c r="I10529" s="1"/>
      <c r="J10529" s="1"/>
      <c r="K10529" s="1"/>
      <c r="L10529" s="1"/>
      <c r="M10529" s="1"/>
      <c r="N10529" s="1"/>
      <c r="O10529" s="1"/>
      <c r="P10529" s="1"/>
      <c r="Q10529" s="1"/>
      <c r="R10529" s="1"/>
      <c r="S10529" s="1"/>
      <c r="T10529" s="1"/>
      <c r="U10529" s="1"/>
      <c r="V10529" s="1"/>
      <c r="W10529" s="1"/>
      <c r="X10529" s="1"/>
      <c r="Y10529" s="1"/>
      <c r="Z10529" s="1"/>
      <c r="AA10529" s="1"/>
      <c r="AB10529" s="1"/>
    </row>
    <row r="10530" ht="50.25" customHeight="1">
      <c r="A10530" s="12">
        <v>10526.0</v>
      </c>
      <c r="B10530" s="13" t="s">
        <v>10535</v>
      </c>
      <c r="C10530" s="18" t="s">
        <v>10558</v>
      </c>
      <c r="D10530" s="1"/>
      <c r="E10530" s="1"/>
      <c r="F10530" s="1" t="str">
        <f>IFERROR(__xludf.DUMMYFUNCTION("GOOGLETRANSLATE(B10530, ""en"", ""fa"")
"),"کپی رایتینگ II")</f>
        <v>کپی رایتینگ II</v>
      </c>
      <c r="G10530" s="1" t="str">
        <f>IFERROR(__xludf.DUMMYFUNCTION("GOOGLETRANSLATE(C10530, ""en"", ""fa"")
"),"در مورد تأثیر استفاده از تبلیغات پویا و خلاقانه و شخصی سازی برای ارائه پیام های متناسب به کاربران در کمپین های رسانه های اجتماعی بحث کنید.")</f>
        <v>در مورد تأثیر استفاده از تبلیغات پویا و خلاقانه و شخصی سازی برای ارائه پیام های متناسب به کاربران در کمپین های رسانه های اجتماعی بحث کنید.</v>
      </c>
      <c r="H10530" s="1"/>
      <c r="I10530" s="1"/>
      <c r="J10530" s="1"/>
      <c r="K10530" s="1"/>
      <c r="L10530" s="1"/>
      <c r="M10530" s="1"/>
      <c r="N10530" s="1"/>
      <c r="O10530" s="1"/>
      <c r="P10530" s="1"/>
      <c r="Q10530" s="1"/>
      <c r="R10530" s="1"/>
      <c r="S10530" s="1"/>
      <c r="T10530" s="1"/>
      <c r="U10530" s="1"/>
      <c r="V10530" s="1"/>
      <c r="W10530" s="1"/>
      <c r="X10530" s="1"/>
      <c r="Y10530" s="1"/>
      <c r="Z10530" s="1"/>
      <c r="AA10530" s="1"/>
      <c r="AB10530" s="1"/>
    </row>
    <row r="10531" ht="50.25" customHeight="1">
      <c r="A10531" s="12">
        <v>10527.0</v>
      </c>
      <c r="B10531" s="13" t="s">
        <v>10535</v>
      </c>
      <c r="C10531" s="18" t="s">
        <v>10559</v>
      </c>
      <c r="D10531" s="1"/>
      <c r="E10531" s="1"/>
      <c r="F10531" s="1" t="str">
        <f>IFERROR(__xludf.DUMMYFUNCTION("GOOGLETRANSLATE(B10531, ""en"", ""fa"")
"),"کپی رایتینگ II")</f>
        <v>کپی رایتینگ II</v>
      </c>
      <c r="G10531" s="1" t="str">
        <f>IFERROR(__xludf.DUMMYFUNCTION("GOOGLETRANSLATE(C10531, ""en"", ""fa"")
"),"چگونه می توان یک نسخه تبلیغاتی ایجاد کرد که با هدف یا طرز فکر کاربر در هنگام مرور پلت فرم های رسانه های اجتماعی مطابقت داشته باشد؟")</f>
        <v>چگونه می توان یک نسخه تبلیغاتی ایجاد کرد که با هدف یا طرز فکر کاربر در هنگام مرور پلت فرم های رسانه های اجتماعی مطابقت داشته باشد؟</v>
      </c>
      <c r="H10531" s="1"/>
      <c r="I10531" s="1"/>
      <c r="J10531" s="1"/>
      <c r="K10531" s="1"/>
      <c r="L10531" s="1"/>
      <c r="M10531" s="1"/>
      <c r="N10531" s="1"/>
      <c r="O10531" s="1"/>
      <c r="P10531" s="1"/>
      <c r="Q10531" s="1"/>
      <c r="R10531" s="1"/>
      <c r="S10531" s="1"/>
      <c r="T10531" s="1"/>
      <c r="U10531" s="1"/>
      <c r="V10531" s="1"/>
      <c r="W10531" s="1"/>
      <c r="X10531" s="1"/>
      <c r="Y10531" s="1"/>
      <c r="Z10531" s="1"/>
      <c r="AA10531" s="1"/>
      <c r="AB10531" s="1"/>
    </row>
    <row r="10532" ht="50.25" customHeight="1">
      <c r="A10532" s="12">
        <v>10528.0</v>
      </c>
      <c r="B10532" s="13" t="s">
        <v>10535</v>
      </c>
      <c r="C10532" s="18" t="s">
        <v>10560</v>
      </c>
      <c r="D10532" s="1"/>
      <c r="E10532" s="1"/>
      <c r="F10532" s="1" t="str">
        <f>IFERROR(__xludf.DUMMYFUNCTION("GOOGLETRANSLATE(B10532, ""en"", ""fa"")
"),"کپی رایتینگ II")</f>
        <v>کپی رایتینگ II</v>
      </c>
      <c r="G10532" s="1" t="str">
        <f>IFERROR(__xludf.DUMMYFUNCTION("GOOGLETRANSLATE(C10532, ""en"", ""fa"")
"),"برای بهینه‌سازی کمپین‌های تبلیغاتی رسانه‌های اجتماعی و بهبود بازگشت سرمایه، بینش‌هایی در مورد استفاده از تصمیم‌گیری مبتنی بر داده به اشتراک بگذارید.")</f>
        <v>برای بهینه‌سازی کمپین‌های تبلیغاتی رسانه‌های اجتماعی و بهبود بازگشت سرمایه، بینش‌هایی در مورد استفاده از تصمیم‌گیری مبتنی بر داده به اشتراک بگذارید.</v>
      </c>
      <c r="H10532" s="1"/>
      <c r="I10532" s="1"/>
      <c r="J10532" s="1"/>
      <c r="K10532" s="1"/>
      <c r="L10532" s="1"/>
      <c r="M10532" s="1"/>
      <c r="N10532" s="1"/>
      <c r="O10532" s="1"/>
      <c r="P10532" s="1"/>
      <c r="Q10532" s="1"/>
      <c r="R10532" s="1"/>
      <c r="S10532" s="1"/>
      <c r="T10532" s="1"/>
      <c r="U10532" s="1"/>
      <c r="V10532" s="1"/>
      <c r="W10532" s="1"/>
      <c r="X10532" s="1"/>
      <c r="Y10532" s="1"/>
      <c r="Z10532" s="1"/>
      <c r="AA10532" s="1"/>
      <c r="AB10532" s="1"/>
    </row>
    <row r="10533" ht="50.25" customHeight="1">
      <c r="A10533" s="12">
        <v>10529.0</v>
      </c>
      <c r="B10533" s="13" t="s">
        <v>10535</v>
      </c>
      <c r="C10533" s="18" t="s">
        <v>10561</v>
      </c>
      <c r="D10533" s="1"/>
      <c r="E10533" s="1"/>
      <c r="F10533" s="1" t="str">
        <f>IFERROR(__xludf.DUMMYFUNCTION("GOOGLETRANSLATE(B10533, ""en"", ""fa"")
"),"کپی رایتینگ II")</f>
        <v>کپی رایتینگ II</v>
      </c>
      <c r="G10533" s="1" t="str">
        <f>IFERROR(__xludf.DUMMYFUNCTION("GOOGLETRANSLATE(C10533, ""en"", ""fa"")
"),"استفاده از داستان سرایی را از طریق محتوای تولید شده توسط کاربر یا توصیفات مشتری در تبلیغات رسانه های اجتماعی برای ایجاد اعتبار و تعامل کاوش کنید.")</f>
        <v>استفاده از داستان سرایی را از طریق محتوای تولید شده توسط کاربر یا توصیفات مشتری در تبلیغات رسانه های اجتماعی برای ایجاد اعتبار و تعامل کاوش کنید.</v>
      </c>
      <c r="H10533" s="1"/>
      <c r="I10533" s="1"/>
      <c r="J10533" s="1"/>
      <c r="K10533" s="1"/>
      <c r="L10533" s="1"/>
      <c r="M10533" s="1"/>
      <c r="N10533" s="1"/>
      <c r="O10533" s="1"/>
      <c r="P10533" s="1"/>
      <c r="Q10533" s="1"/>
      <c r="R10533" s="1"/>
      <c r="S10533" s="1"/>
      <c r="T10533" s="1"/>
      <c r="U10533" s="1"/>
      <c r="V10533" s="1"/>
      <c r="W10533" s="1"/>
      <c r="X10533" s="1"/>
      <c r="Y10533" s="1"/>
      <c r="Z10533" s="1"/>
      <c r="AA10533" s="1"/>
      <c r="AB10533" s="1"/>
    </row>
    <row r="10534" ht="50.25" customHeight="1">
      <c r="A10534" s="12">
        <v>10530.0</v>
      </c>
      <c r="B10534" s="13" t="s">
        <v>10535</v>
      </c>
      <c r="C10534" s="18" t="s">
        <v>10562</v>
      </c>
      <c r="D10534" s="1"/>
      <c r="E10534" s="1"/>
      <c r="F10534" s="1" t="str">
        <f>IFERROR(__xludf.DUMMYFUNCTION("GOOGLETRANSLATE(B10534, ""en"", ""fa"")
"),"کپی رایتینگ II")</f>
        <v>کپی رایتینگ II</v>
      </c>
      <c r="G10534" s="1" t="str">
        <f>IFERROR(__xludf.DUMMYFUNCTION("GOOGLETRANSLATE(C10534, ""en"", ""fa"")
"),"در مورد اهمیت سرفصل های قوی و مختصر که توجه را به خود جلب می کند و پیام اصلی تبلیغات رسانه های اجتماعی شما را منتقل می کند، بحث کنید.")</f>
        <v>در مورد اهمیت سرفصل های قوی و مختصر که توجه را به خود جلب می کند و پیام اصلی تبلیغات رسانه های اجتماعی شما را منتقل می کند، بحث کنید.</v>
      </c>
      <c r="H10534" s="1"/>
      <c r="I10534" s="1"/>
      <c r="J10534" s="1"/>
      <c r="K10534" s="1"/>
      <c r="L10534" s="1"/>
      <c r="M10534" s="1"/>
      <c r="N10534" s="1"/>
      <c r="O10534" s="1"/>
      <c r="P10534" s="1"/>
      <c r="Q10534" s="1"/>
      <c r="R10534" s="1"/>
      <c r="S10534" s="1"/>
      <c r="T10534" s="1"/>
      <c r="U10534" s="1"/>
      <c r="V10534" s="1"/>
      <c r="W10534" s="1"/>
      <c r="X10534" s="1"/>
      <c r="Y10534" s="1"/>
      <c r="Z10534" s="1"/>
      <c r="AA10534" s="1"/>
      <c r="AB10534" s="1"/>
    </row>
    <row r="10535" ht="50.25" customHeight="1">
      <c r="A10535" s="12">
        <v>10531.0</v>
      </c>
      <c r="B10535" s="13" t="s">
        <v>10535</v>
      </c>
      <c r="C10535" s="18" t="s">
        <v>10563</v>
      </c>
      <c r="D10535" s="1"/>
      <c r="E10535" s="1"/>
      <c r="F10535" s="1" t="str">
        <f>IFERROR(__xludf.DUMMYFUNCTION("GOOGLETRANSLATE(B10535, ""en"", ""fa"")
"),"کپی رایتینگ II")</f>
        <v>کپی رایتینگ II</v>
      </c>
      <c r="G10535" s="1" t="str">
        <f>IFERROR(__xludf.DUMMYFUNCTION("GOOGLETRANSLATE(C10535, ""en"", ""fa"")
"),"چگونه می توان از قدرت گزینه های هدف گذاری تبلیغات رسانه های اجتماعی، مانند علایق یا رفتارها، برای دستیابی به یک مخاطب بسیار خاص استفاده کرد؟")</f>
        <v>چگونه می توان از قدرت گزینه های هدف گذاری تبلیغات رسانه های اجتماعی، مانند علایق یا رفتارها، برای دستیابی به یک مخاطب بسیار خاص استفاده کرد؟</v>
      </c>
      <c r="H10535" s="1"/>
      <c r="I10535" s="1"/>
      <c r="J10535" s="1"/>
      <c r="K10535" s="1"/>
      <c r="L10535" s="1"/>
      <c r="M10535" s="1"/>
      <c r="N10535" s="1"/>
      <c r="O10535" s="1"/>
      <c r="P10535" s="1"/>
      <c r="Q10535" s="1"/>
      <c r="R10535" s="1"/>
      <c r="S10535" s="1"/>
      <c r="T10535" s="1"/>
      <c r="U10535" s="1"/>
      <c r="V10535" s="1"/>
      <c r="W10535" s="1"/>
      <c r="X10535" s="1"/>
      <c r="Y10535" s="1"/>
      <c r="Z10535" s="1"/>
      <c r="AA10535" s="1"/>
      <c r="AB10535" s="1"/>
    </row>
    <row r="10536" ht="50.25" customHeight="1">
      <c r="A10536" s="12">
        <v>10532.0</v>
      </c>
      <c r="B10536" s="13" t="s">
        <v>10535</v>
      </c>
      <c r="C10536" s="18" t="s">
        <v>10564</v>
      </c>
      <c r="D10536" s="1"/>
      <c r="E10536" s="1"/>
      <c r="F10536" s="1" t="str">
        <f>IFERROR(__xludf.DUMMYFUNCTION("GOOGLETRANSLATE(B10536, ""en"", ""fa"")
"),"کپی رایتینگ II")</f>
        <v>کپی رایتینگ II</v>
      </c>
      <c r="G10536" s="1" t="str">
        <f>IFERROR(__xludf.DUMMYFUNCTION("GOOGLETRANSLATE(C10536, ""en"", ""fa"")
"),"استراتژی هایی را برای ایجاد نسخه تبلیغاتی به اشتراک بگذارید که ارزش و پتانسیل بازگشت سرمایه محصول یا خدمات شما را در تبلیغات رسانه های اجتماعی برجسته می کند.")</f>
        <v>استراتژی هایی را برای ایجاد نسخه تبلیغاتی به اشتراک بگذارید که ارزش و پتانسیل بازگشت سرمایه محصول یا خدمات شما را در تبلیغات رسانه های اجتماعی برجسته می کند.</v>
      </c>
      <c r="H10536" s="1"/>
      <c r="I10536" s="1"/>
      <c r="J10536" s="1"/>
      <c r="K10536" s="1"/>
      <c r="L10536" s="1"/>
      <c r="M10536" s="1"/>
      <c r="N10536" s="1"/>
      <c r="O10536" s="1"/>
      <c r="P10536" s="1"/>
      <c r="Q10536" s="1"/>
      <c r="R10536" s="1"/>
      <c r="S10536" s="1"/>
      <c r="T10536" s="1"/>
      <c r="U10536" s="1"/>
      <c r="V10536" s="1"/>
      <c r="W10536" s="1"/>
      <c r="X10536" s="1"/>
      <c r="Y10536" s="1"/>
      <c r="Z10536" s="1"/>
      <c r="AA10536" s="1"/>
      <c r="AB10536" s="1"/>
    </row>
    <row r="10537" ht="50.25" customHeight="1">
      <c r="A10537" s="12">
        <v>10533.0</v>
      </c>
      <c r="B10537" s="13" t="s">
        <v>10535</v>
      </c>
      <c r="C10537" s="18" t="s">
        <v>10565</v>
      </c>
      <c r="D10537" s="1"/>
      <c r="E10537" s="1"/>
      <c r="F10537" s="1" t="str">
        <f>IFERROR(__xludf.DUMMYFUNCTION("GOOGLETRANSLATE(B10537, ""en"", ""fa"")
"),"کپی رایتینگ II")</f>
        <v>کپی رایتینگ II</v>
      </c>
      <c r="G10537" s="1" t="str">
        <f>IFERROR(__xludf.DUMMYFUNCTION("GOOGLETRANSLATE(C10537, ""en"", ""fa"")
"),"درباره تأثیر استفاده از هدف‌گیری مجدد تبلیغات رسانه‌های اجتماعی برای جذب مجدد کاربرانی که قبلاً به برند یا پیشنهادات شما علاقه نشان داده‌اند، بحث کنید.")</f>
        <v>درباره تأثیر استفاده از هدف‌گیری مجدد تبلیغات رسانه‌های اجتماعی برای جذب مجدد کاربرانی که قبلاً به برند یا پیشنهادات شما علاقه نشان داده‌اند، بحث کنید.</v>
      </c>
      <c r="H10537" s="1"/>
      <c r="I10537" s="1"/>
      <c r="J10537" s="1"/>
      <c r="K10537" s="1"/>
      <c r="L10537" s="1"/>
      <c r="M10537" s="1"/>
      <c r="N10537" s="1"/>
      <c r="O10537" s="1"/>
      <c r="P10537" s="1"/>
      <c r="Q10537" s="1"/>
      <c r="R10537" s="1"/>
      <c r="S10537" s="1"/>
      <c r="T10537" s="1"/>
      <c r="U10537" s="1"/>
      <c r="V10537" s="1"/>
      <c r="W10537" s="1"/>
      <c r="X10537" s="1"/>
      <c r="Y10537" s="1"/>
      <c r="Z10537" s="1"/>
      <c r="AA10537" s="1"/>
      <c r="AB10537" s="1"/>
    </row>
    <row r="10538" ht="50.25" customHeight="1">
      <c r="A10538" s="12">
        <v>10534.0</v>
      </c>
      <c r="B10538" s="13" t="s">
        <v>10535</v>
      </c>
      <c r="C10538" s="18" t="s">
        <v>10566</v>
      </c>
      <c r="D10538" s="1"/>
      <c r="E10538" s="1"/>
      <c r="F10538" s="1" t="str">
        <f>IFERROR(__xludf.DUMMYFUNCTION("GOOGLETRANSLATE(B10538, ""en"", ""fa"")
"),"کپی رایتینگ II")</f>
        <v>کپی رایتینگ II</v>
      </c>
      <c r="G10538" s="1" t="str">
        <f>IFERROR(__xludf.DUMMYFUNCTION("GOOGLETRANSLATE(C10538, ""en"", ""fa"")
"),"چگونه یک نسخه تبلیغاتی بنویسیم که اعتماد و اعتبار را به برند یا محصول شما در تبلیغات رسانه های اجتماعی القا کند؟")</f>
        <v>چگونه یک نسخه تبلیغاتی بنویسیم که اعتماد و اعتبار را به برند یا محصول شما در تبلیغات رسانه های اجتماعی القا کند؟</v>
      </c>
      <c r="H10538" s="1"/>
      <c r="I10538" s="1"/>
      <c r="J10538" s="1"/>
      <c r="K10538" s="1"/>
      <c r="L10538" s="1"/>
      <c r="M10538" s="1"/>
      <c r="N10538" s="1"/>
      <c r="O10538" s="1"/>
      <c r="P10538" s="1"/>
      <c r="Q10538" s="1"/>
      <c r="R10538" s="1"/>
      <c r="S10538" s="1"/>
      <c r="T10538" s="1"/>
      <c r="U10538" s="1"/>
      <c r="V10538" s="1"/>
      <c r="W10538" s="1"/>
      <c r="X10538" s="1"/>
      <c r="Y10538" s="1"/>
      <c r="Z10538" s="1"/>
      <c r="AA10538" s="1"/>
      <c r="AB10538" s="1"/>
    </row>
    <row r="10539" ht="50.25" customHeight="1">
      <c r="A10539" s="12">
        <v>10535.0</v>
      </c>
      <c r="B10539" s="13" t="s">
        <v>10535</v>
      </c>
      <c r="C10539" s="18" t="s">
        <v>10567</v>
      </c>
      <c r="D10539" s="1"/>
      <c r="E10539" s="1"/>
      <c r="F10539" s="1" t="str">
        <f>IFERROR(__xludf.DUMMYFUNCTION("GOOGLETRANSLATE(B10539, ""en"", ""fa"")
"),"کپی رایتینگ II")</f>
        <v>کپی رایتینگ II</v>
      </c>
      <c r="G10539" s="1" t="str">
        <f>IFERROR(__xludf.DUMMYFUNCTION("GOOGLETRANSLATE(C10539, ""en"", ""fa"")
"),"در مورد استفاده از عناصر داستان سرایی، مانند تضاد یا حل، برای ایجاد قوس روایی در کپی تبلیغات رسانه های اجتماعی خود، بینش خود را به اشتراک بگذارید.")</f>
        <v>در مورد استفاده از عناصر داستان سرایی، مانند تضاد یا حل، برای ایجاد قوس روایی در کپی تبلیغات رسانه های اجتماعی خود، بینش خود را به اشتراک بگذارید.</v>
      </c>
      <c r="H10539" s="1"/>
      <c r="I10539" s="1"/>
      <c r="J10539" s="1"/>
      <c r="K10539" s="1"/>
      <c r="L10539" s="1"/>
      <c r="M10539" s="1"/>
      <c r="N10539" s="1"/>
      <c r="O10539" s="1"/>
      <c r="P10539" s="1"/>
      <c r="Q10539" s="1"/>
      <c r="R10539" s="1"/>
      <c r="S10539" s="1"/>
      <c r="T10539" s="1"/>
      <c r="U10539" s="1"/>
      <c r="V10539" s="1"/>
      <c r="W10539" s="1"/>
      <c r="X10539" s="1"/>
      <c r="Y10539" s="1"/>
      <c r="Z10539" s="1"/>
      <c r="AA10539" s="1"/>
      <c r="AB10539" s="1"/>
    </row>
    <row r="10540" ht="50.25" customHeight="1">
      <c r="A10540" s="12">
        <v>10536.0</v>
      </c>
      <c r="B10540" s="13" t="s">
        <v>10535</v>
      </c>
      <c r="C10540" s="18" t="s">
        <v>10568</v>
      </c>
      <c r="D10540" s="1"/>
      <c r="E10540" s="1"/>
      <c r="F10540" s="1" t="str">
        <f>IFERROR(__xludf.DUMMYFUNCTION("GOOGLETRANSLATE(B10540, ""en"", ""fa"")
"),"کپی رایتینگ II")</f>
        <v>کپی رایتینگ II</v>
      </c>
      <c r="G10540" s="1" t="str">
        <f>IFERROR(__xludf.DUMMYFUNCTION("GOOGLETRANSLATE(C10540, ""en"", ""fa"")
"),"استفاده از جذابیت های احساسی یا پیام های آرزویی در تبلیغات رسانه های اجتماعی را بررسی کنید تا با خواسته های مخاطب هدف خود طنین انداز شوید.")</f>
        <v>استفاده از جذابیت های احساسی یا پیام های آرزویی در تبلیغات رسانه های اجتماعی را بررسی کنید تا با خواسته های مخاطب هدف خود طنین انداز شوید.</v>
      </c>
      <c r="H10540" s="1"/>
      <c r="I10540" s="1"/>
      <c r="J10540" s="1"/>
      <c r="K10540" s="1"/>
      <c r="L10540" s="1"/>
      <c r="M10540" s="1"/>
      <c r="N10540" s="1"/>
      <c r="O10540" s="1"/>
      <c r="P10540" s="1"/>
      <c r="Q10540" s="1"/>
      <c r="R10540" s="1"/>
      <c r="S10540" s="1"/>
      <c r="T10540" s="1"/>
      <c r="U10540" s="1"/>
      <c r="V10540" s="1"/>
      <c r="W10540" s="1"/>
      <c r="X10540" s="1"/>
      <c r="Y10540" s="1"/>
      <c r="Z10540" s="1"/>
      <c r="AA10540" s="1"/>
      <c r="AB10540" s="1"/>
    </row>
    <row r="10541" ht="50.25" customHeight="1">
      <c r="A10541" s="12">
        <v>10537.0</v>
      </c>
      <c r="B10541" s="13" t="s">
        <v>10535</v>
      </c>
      <c r="C10541" s="18" t="s">
        <v>10569</v>
      </c>
      <c r="D10541" s="1"/>
      <c r="E10541" s="1"/>
      <c r="F10541" s="1" t="str">
        <f>IFERROR(__xludf.DUMMYFUNCTION("GOOGLETRANSLATE(B10541, ""en"", ""fa"")
"),"کپی رایتینگ II")</f>
        <v>کپی رایتینگ II</v>
      </c>
      <c r="G10541" s="1" t="str">
        <f>IFERROR(__xludf.DUMMYFUNCTION("GOOGLETRANSLATE(C10541, ""en"", ""fa"")
"),"در مورد اهمیت کپی تبلیغاتی واضح و مختصر که پیام کلیدی و ارزش پیشنهادی تبلیغات رسانه های اجتماعی شما را منتقل می کند، بحث کنید.")</f>
        <v>در مورد اهمیت کپی تبلیغاتی واضح و مختصر که پیام کلیدی و ارزش پیشنهادی تبلیغات رسانه های اجتماعی شما را منتقل می کند، بحث کنید.</v>
      </c>
      <c r="H10541" s="1"/>
      <c r="I10541" s="1"/>
      <c r="J10541" s="1"/>
      <c r="K10541" s="1"/>
      <c r="L10541" s="1"/>
      <c r="M10541" s="1"/>
      <c r="N10541" s="1"/>
      <c r="O10541" s="1"/>
      <c r="P10541" s="1"/>
      <c r="Q10541" s="1"/>
      <c r="R10541" s="1"/>
      <c r="S10541" s="1"/>
      <c r="T10541" s="1"/>
      <c r="U10541" s="1"/>
      <c r="V10541" s="1"/>
      <c r="W10541" s="1"/>
      <c r="X10541" s="1"/>
      <c r="Y10541" s="1"/>
      <c r="Z10541" s="1"/>
      <c r="AA10541" s="1"/>
      <c r="AB10541" s="1"/>
    </row>
    <row r="10542" ht="50.25" customHeight="1">
      <c r="A10542" s="12">
        <v>10538.0</v>
      </c>
      <c r="B10542" s="13" t="s">
        <v>10535</v>
      </c>
      <c r="C10542" s="18" t="s">
        <v>10570</v>
      </c>
      <c r="D10542" s="1"/>
      <c r="E10542" s="1"/>
      <c r="F10542" s="1" t="str">
        <f>IFERROR(__xludf.DUMMYFUNCTION("GOOGLETRANSLATE(B10542, ""en"", ""fa"")
"),"کپی رایتینگ II")</f>
        <v>کپی رایتینگ II</v>
      </c>
      <c r="G10542" s="1" t="str">
        <f>IFERROR(__xludf.DUMMYFUNCTION("GOOGLETRANSLATE(C10542, ""en"", ""fa"")
"),"چگونه از تست تبلیغات رسانه های اجتماعی برای شناسایی انواع تبلیغات با بهترین عملکرد و بهینه سازی اثربخشی کمپین خود استفاده کنیم؟")</f>
        <v>چگونه از تست تبلیغات رسانه های اجتماعی برای شناسایی انواع تبلیغات با بهترین عملکرد و بهینه سازی اثربخشی کمپین خود استفاده کنیم؟</v>
      </c>
      <c r="H10542" s="1"/>
      <c r="I10542" s="1"/>
      <c r="J10542" s="1"/>
      <c r="K10542" s="1"/>
      <c r="L10542" s="1"/>
      <c r="M10542" s="1"/>
      <c r="N10542" s="1"/>
      <c r="O10542" s="1"/>
      <c r="P10542" s="1"/>
      <c r="Q10542" s="1"/>
      <c r="R10542" s="1"/>
      <c r="S10542" s="1"/>
      <c r="T10542" s="1"/>
      <c r="U10542" s="1"/>
      <c r="V10542" s="1"/>
      <c r="W10542" s="1"/>
      <c r="X10542" s="1"/>
      <c r="Y10542" s="1"/>
      <c r="Z10542" s="1"/>
      <c r="AA10542" s="1"/>
      <c r="AB10542" s="1"/>
    </row>
    <row r="10543" ht="50.25" customHeight="1">
      <c r="A10543" s="12">
        <v>10539.0</v>
      </c>
      <c r="B10543" s="13" t="s">
        <v>10535</v>
      </c>
      <c r="C10543" s="18" t="s">
        <v>10571</v>
      </c>
      <c r="D10543" s="1"/>
      <c r="E10543" s="1"/>
      <c r="F10543" s="1" t="str">
        <f>IFERROR(__xludf.DUMMYFUNCTION("GOOGLETRANSLATE(B10543, ""en"", ""fa"")
"),"کپی رایتینگ II")</f>
        <v>کپی رایتینگ II</v>
      </c>
      <c r="G10543" s="1" t="str">
        <f>IFERROR(__xludf.DUMMYFUNCTION("GOOGLETRANSLATE(C10543, ""en"", ""fa"")
"),"استراتژی هایی را برای ایجاد کپی تبلیغاتی که حس کنجکاوی ایجاد می کند و کاربران را تشویق می کند تا در تبلیغات رسانه های اجتماعی کلیک کنند و اطلاعات بیشتری کسب کنند، به اشتراک بگذارید.")</f>
        <v>استراتژی هایی را برای ایجاد کپی تبلیغاتی که حس کنجکاوی ایجاد می کند و کاربران را تشویق می کند تا در تبلیغات رسانه های اجتماعی کلیک کنند و اطلاعات بیشتری کسب کنند، به اشتراک بگذارید.</v>
      </c>
      <c r="H10543" s="1"/>
      <c r="I10543" s="1"/>
      <c r="J10543" s="1"/>
      <c r="K10543" s="1"/>
      <c r="L10543" s="1"/>
      <c r="M10543" s="1"/>
      <c r="N10543" s="1"/>
      <c r="O10543" s="1"/>
      <c r="P10543" s="1"/>
      <c r="Q10543" s="1"/>
      <c r="R10543" s="1"/>
      <c r="S10543" s="1"/>
      <c r="T10543" s="1"/>
      <c r="U10543" s="1"/>
      <c r="V10543" s="1"/>
      <c r="W10543" s="1"/>
      <c r="X10543" s="1"/>
      <c r="Y10543" s="1"/>
      <c r="Z10543" s="1"/>
      <c r="AA10543" s="1"/>
      <c r="AB10543" s="1"/>
    </row>
    <row r="10544" ht="50.25" customHeight="1">
      <c r="A10544" s="12">
        <v>10540.0</v>
      </c>
      <c r="B10544" s="13" t="s">
        <v>10535</v>
      </c>
      <c r="C10544" s="18" t="s">
        <v>10572</v>
      </c>
      <c r="D10544" s="1"/>
      <c r="E10544" s="1"/>
      <c r="F10544" s="1" t="str">
        <f>IFERROR(__xludf.DUMMYFUNCTION("GOOGLETRANSLATE(B10544, ""en"", ""fa"")
"),"کپی رایتینگ II")</f>
        <v>کپی رایتینگ II</v>
      </c>
      <c r="G10544" s="1" t="str">
        <f>IFERROR(__xludf.DUMMYFUNCTION("GOOGLETRANSLATE(C10544, ""en"", ""fa"")
"),"درباره تأثیر استفاده از گزینه‌های قرار دادن تبلیغات در رسانه‌های اجتماعی، مانند شبکه مخاطب یا داستان، برای دسترسی به کاربران در نقاط تماس مختلف بحث کنید.")</f>
        <v>درباره تأثیر استفاده از گزینه‌های قرار دادن تبلیغات در رسانه‌های اجتماعی، مانند شبکه مخاطب یا داستان، برای دسترسی به کاربران در نقاط تماس مختلف بحث کنید.</v>
      </c>
      <c r="H10544" s="1"/>
      <c r="I10544" s="1"/>
      <c r="J10544" s="1"/>
      <c r="K10544" s="1"/>
      <c r="L10544" s="1"/>
      <c r="M10544" s="1"/>
      <c r="N10544" s="1"/>
      <c r="O10544" s="1"/>
      <c r="P10544" s="1"/>
      <c r="Q10544" s="1"/>
      <c r="R10544" s="1"/>
      <c r="S10544" s="1"/>
      <c r="T10544" s="1"/>
      <c r="U10544" s="1"/>
      <c r="V10544" s="1"/>
      <c r="W10544" s="1"/>
      <c r="X10544" s="1"/>
      <c r="Y10544" s="1"/>
      <c r="Z10544" s="1"/>
      <c r="AA10544" s="1"/>
      <c r="AB10544" s="1"/>
    </row>
    <row r="10545" ht="50.25" customHeight="1">
      <c r="A10545" s="12">
        <v>10541.0</v>
      </c>
      <c r="B10545" s="13" t="s">
        <v>10535</v>
      </c>
      <c r="C10545" s="18" t="s">
        <v>10573</v>
      </c>
      <c r="D10545" s="1"/>
      <c r="E10545" s="1"/>
      <c r="F10545" s="1" t="str">
        <f>IFERROR(__xludf.DUMMYFUNCTION("GOOGLETRANSLATE(B10545, ""en"", ""fa"")
"),"کپی رایتینگ II")</f>
        <v>کپی رایتینگ II</v>
      </c>
      <c r="G10545" s="1" t="str">
        <f>IFERROR(__xludf.DUMMYFUNCTION("GOOGLETRANSLATE(C10545, ""en"", ""fa"")
"),"چگونه می توان یک نسخه تبلیغاتی ایجاد کرد که به نقاط درد خاص توجه کند یا تجربیات مخاطب هدف شما در تبلیغات رسانه های اجتماعی را به چالش بکشد؟")</f>
        <v>چگونه می توان یک نسخه تبلیغاتی ایجاد کرد که به نقاط درد خاص توجه کند یا تجربیات مخاطب هدف شما در تبلیغات رسانه های اجتماعی را به چالش بکشد؟</v>
      </c>
      <c r="H10545" s="1"/>
      <c r="I10545" s="1"/>
      <c r="J10545" s="1"/>
      <c r="K10545" s="1"/>
      <c r="L10545" s="1"/>
      <c r="M10545" s="1"/>
      <c r="N10545" s="1"/>
      <c r="O10545" s="1"/>
      <c r="P10545" s="1"/>
      <c r="Q10545" s="1"/>
      <c r="R10545" s="1"/>
      <c r="S10545" s="1"/>
      <c r="T10545" s="1"/>
      <c r="U10545" s="1"/>
      <c r="V10545" s="1"/>
      <c r="W10545" s="1"/>
      <c r="X10545" s="1"/>
      <c r="Y10545" s="1"/>
      <c r="Z10545" s="1"/>
      <c r="AA10545" s="1"/>
      <c r="AB10545" s="1"/>
    </row>
    <row r="10546" ht="50.25" customHeight="1">
      <c r="A10546" s="12">
        <v>10542.0</v>
      </c>
      <c r="B10546" s="13" t="s">
        <v>10535</v>
      </c>
      <c r="C10546" s="18" t="s">
        <v>10574</v>
      </c>
      <c r="D10546" s="1"/>
      <c r="E10546" s="1"/>
      <c r="F10546" s="1" t="str">
        <f>IFERROR(__xludf.DUMMYFUNCTION("GOOGLETRANSLATE(B10546, ""en"", ""fa"")
"),"کپی رایتینگ II")</f>
        <v>کپی رایتینگ II</v>
      </c>
      <c r="G10546" s="1" t="str">
        <f>IFERROR(__xludf.DUMMYFUNCTION("GOOGLETRANSLATE(C10546, ""en"", ""fa"")
"),"بینش در مورد استفاده از زمان‌بندی تبلیغات رسانه‌های اجتماعی و محدودیت فرکانس برای کنترل تحویل و دیده شدن تبلیغات خود را به اشتراک بگذارید.")</f>
        <v>بینش در مورد استفاده از زمان‌بندی تبلیغات رسانه‌های اجتماعی و محدودیت فرکانس برای کنترل تحویل و دیده شدن تبلیغات خود را به اشتراک بگذارید.</v>
      </c>
      <c r="H10546" s="1"/>
      <c r="I10546" s="1"/>
      <c r="J10546" s="1"/>
      <c r="K10546" s="1"/>
      <c r="L10546" s="1"/>
      <c r="M10546" s="1"/>
      <c r="N10546" s="1"/>
      <c r="O10546" s="1"/>
      <c r="P10546" s="1"/>
      <c r="Q10546" s="1"/>
      <c r="R10546" s="1"/>
      <c r="S10546" s="1"/>
      <c r="T10546" s="1"/>
      <c r="U10546" s="1"/>
      <c r="V10546" s="1"/>
      <c r="W10546" s="1"/>
      <c r="X10546" s="1"/>
      <c r="Y10546" s="1"/>
      <c r="Z10546" s="1"/>
      <c r="AA10546" s="1"/>
      <c r="AB10546" s="1"/>
    </row>
    <row r="10547" ht="50.25" customHeight="1">
      <c r="A10547" s="12">
        <v>10543.0</v>
      </c>
      <c r="B10547" s="13" t="s">
        <v>10535</v>
      </c>
      <c r="C10547" s="18" t="s">
        <v>10575</v>
      </c>
      <c r="D10547" s="1"/>
      <c r="E10547" s="1"/>
      <c r="F10547" s="1" t="str">
        <f>IFERROR(__xludf.DUMMYFUNCTION("GOOGLETRANSLATE(B10547, ""en"", ""fa"")
"),"کپی رایتینگ II")</f>
        <v>کپی رایتینگ II</v>
      </c>
      <c r="G10547" s="1" t="str">
        <f>IFERROR(__xludf.DUMMYFUNCTION("GOOGLETRANSLATE(C10547, ""en"", ""fa"")
"),"استفاده از تقسیم‌بندی مشتری و هدف‌یابی تبلیغات شخصی‌شده را برای ارائه پیام‌های متناسب به بخش‌های مختلف مخاطب در کمپین‌های رسانه‌های اجتماعی کاوش کنید.")</f>
        <v>استفاده از تقسیم‌بندی مشتری و هدف‌یابی تبلیغات شخصی‌شده را برای ارائه پیام‌های متناسب به بخش‌های مختلف مخاطب در کمپین‌های رسانه‌های اجتماعی کاوش کنید.</v>
      </c>
      <c r="H10547" s="1"/>
      <c r="I10547" s="1"/>
      <c r="J10547" s="1"/>
      <c r="K10547" s="1"/>
      <c r="L10547" s="1"/>
      <c r="M10547" s="1"/>
      <c r="N10547" s="1"/>
      <c r="O10547" s="1"/>
      <c r="P10547" s="1"/>
      <c r="Q10547" s="1"/>
      <c r="R10547" s="1"/>
      <c r="S10547" s="1"/>
      <c r="T10547" s="1"/>
      <c r="U10547" s="1"/>
      <c r="V10547" s="1"/>
      <c r="W10547" s="1"/>
      <c r="X10547" s="1"/>
      <c r="Y10547" s="1"/>
      <c r="Z10547" s="1"/>
      <c r="AA10547" s="1"/>
      <c r="AB10547" s="1"/>
    </row>
    <row r="10548" ht="50.25" customHeight="1">
      <c r="A10548" s="12">
        <v>10544.0</v>
      </c>
      <c r="B10548" s="13" t="s">
        <v>10535</v>
      </c>
      <c r="C10548" s="18" t="s">
        <v>10576</v>
      </c>
      <c r="D10548" s="1"/>
      <c r="E10548" s="1"/>
      <c r="F10548" s="1" t="str">
        <f>IFERROR(__xludf.DUMMYFUNCTION("GOOGLETRANSLATE(B10548, ""en"", ""fa"")
"),"کپی رایتینگ II")</f>
        <v>کپی رایتینگ II</v>
      </c>
      <c r="G10548" s="1" t="str">
        <f>IFERROR(__xludf.DUMMYFUNCTION("GOOGLETRANSLATE(C10548, ""en"", ""fa"")
"),"در مورد اهمیت همراستایی نسخه تبلیغاتی خود با عناصر بصری و اصول طراحی پلت فرم رسانه اجتماعی که در آن تبلیغ می کنید بحث کنید.")</f>
        <v>در مورد اهمیت همراستایی نسخه تبلیغاتی خود با عناصر بصری و اصول طراحی پلت فرم رسانه اجتماعی که در آن تبلیغ می کنید بحث کنید.</v>
      </c>
      <c r="H10548" s="1"/>
      <c r="I10548" s="1"/>
      <c r="J10548" s="1"/>
      <c r="K10548" s="1"/>
      <c r="L10548" s="1"/>
      <c r="M10548" s="1"/>
      <c r="N10548" s="1"/>
      <c r="O10548" s="1"/>
      <c r="P10548" s="1"/>
      <c r="Q10548" s="1"/>
      <c r="R10548" s="1"/>
      <c r="S10548" s="1"/>
      <c r="T10548" s="1"/>
      <c r="U10548" s="1"/>
      <c r="V10548" s="1"/>
      <c r="W10548" s="1"/>
      <c r="X10548" s="1"/>
      <c r="Y10548" s="1"/>
      <c r="Z10548" s="1"/>
      <c r="AA10548" s="1"/>
      <c r="AB10548" s="1"/>
    </row>
    <row r="10549" ht="50.25" customHeight="1">
      <c r="A10549" s="12">
        <v>10545.0</v>
      </c>
      <c r="B10549" s="13" t="s">
        <v>10535</v>
      </c>
      <c r="C10549" s="18" t="s">
        <v>10577</v>
      </c>
      <c r="D10549" s="1"/>
      <c r="E10549" s="1"/>
      <c r="F10549" s="1" t="str">
        <f>IFERROR(__xludf.DUMMYFUNCTION("GOOGLETRANSLATE(B10549, ""en"", ""fa"")
"),"کپی رایتینگ II")</f>
        <v>کپی رایتینگ II</v>
      </c>
      <c r="G10549" s="1" t="str">
        <f>IFERROR(__xludf.DUMMYFUNCTION("GOOGLETRANSLATE(C10549, ""en"", ""fa"")
"),"چگونه یک نسخه تبلیغاتی بنویسیم که حس کنجکاوی را برانگیزد و کاربران را تشویق کند تا با تبلیغات رسانه های اجتماعی شما درگیر شوند؟")</f>
        <v>چگونه یک نسخه تبلیغاتی بنویسیم که حس کنجکاوی را برانگیزد و کاربران را تشویق کند تا با تبلیغات رسانه های اجتماعی شما درگیر شوند؟</v>
      </c>
      <c r="H10549" s="1"/>
      <c r="I10549" s="1"/>
      <c r="J10549" s="1"/>
      <c r="K10549" s="1"/>
      <c r="L10549" s="1"/>
      <c r="M10549" s="1"/>
      <c r="N10549" s="1"/>
      <c r="O10549" s="1"/>
      <c r="P10549" s="1"/>
      <c r="Q10549" s="1"/>
      <c r="R10549" s="1"/>
      <c r="S10549" s="1"/>
      <c r="T10549" s="1"/>
      <c r="U10549" s="1"/>
      <c r="V10549" s="1"/>
      <c r="W10549" s="1"/>
      <c r="X10549" s="1"/>
      <c r="Y10549" s="1"/>
      <c r="Z10549" s="1"/>
      <c r="AA10549" s="1"/>
      <c r="AB10549" s="1"/>
    </row>
    <row r="10550" ht="50.25" customHeight="1">
      <c r="A10550" s="12">
        <v>10546.0</v>
      </c>
      <c r="B10550" s="13" t="s">
        <v>10535</v>
      </c>
      <c r="C10550" s="18" t="s">
        <v>10578</v>
      </c>
      <c r="D10550" s="1"/>
      <c r="E10550" s="1"/>
      <c r="F10550" s="1" t="str">
        <f>IFERROR(__xludf.DUMMYFUNCTION("GOOGLETRANSLATE(B10550, ""en"", ""fa"")
"),"کپی رایتینگ II")</f>
        <v>کپی رایتینگ II</v>
      </c>
      <c r="G10550" s="1" t="str">
        <f>IFERROR(__xludf.DUMMYFUNCTION("GOOGLETRANSLATE(C10550, ""en"", ""fa"")
"),"استراتژی‌های استفاده از تجزیه و تحلیل تبلیغات رسانه‌های اجتماعی برای اندازه‌گیری تأثیر و بازگشت سرمایه کمپین‌های خود و بهینه‌سازی‌های مبتنی بر داده را به اشتراک بگذارید.")</f>
        <v>استراتژی‌های استفاده از تجزیه و تحلیل تبلیغات رسانه‌های اجتماعی برای اندازه‌گیری تأثیر و بازگشت سرمایه کمپین‌های خود و بهینه‌سازی‌های مبتنی بر داده را به اشتراک بگذارید.</v>
      </c>
      <c r="H10550" s="1"/>
      <c r="I10550" s="1"/>
      <c r="J10550" s="1"/>
      <c r="K10550" s="1"/>
      <c r="L10550" s="1"/>
      <c r="M10550" s="1"/>
      <c r="N10550" s="1"/>
      <c r="O10550" s="1"/>
      <c r="P10550" s="1"/>
      <c r="Q10550" s="1"/>
      <c r="R10550" s="1"/>
      <c r="S10550" s="1"/>
      <c r="T10550" s="1"/>
      <c r="U10550" s="1"/>
      <c r="V10550" s="1"/>
      <c r="W10550" s="1"/>
      <c r="X10550" s="1"/>
      <c r="Y10550" s="1"/>
      <c r="Z10550" s="1"/>
      <c r="AA10550" s="1"/>
      <c r="AB10550" s="1"/>
    </row>
    <row r="10551" ht="50.25" customHeight="1">
      <c r="A10551" s="12">
        <v>10547.0</v>
      </c>
      <c r="B10551" s="13" t="s">
        <v>10535</v>
      </c>
      <c r="C10551" s="18" t="s">
        <v>10579</v>
      </c>
      <c r="D10551" s="1"/>
      <c r="E10551" s="1"/>
      <c r="F10551" s="1" t="str">
        <f>IFERROR(__xludf.DUMMYFUNCTION("GOOGLETRANSLATE(B10551, ""en"", ""fa"")
"),"کپی رایتینگ II")</f>
        <v>کپی رایتینگ II</v>
      </c>
      <c r="G10551" s="1" t="str">
        <f>IFERROR(__xludf.DUMMYFUNCTION("GOOGLETRANSLATE(C10551, ""en"", ""fa"")
"),"درباره تأثیر استفاده از قالب‌های تبلیغاتی رسانه‌های اجتماعی، مانند داستان‌ها یا چرخ فلک‌ها، برای ایجاد تجربه‌های تعاملی و همه‌جانبه برند بحث کنید.")</f>
        <v>درباره تأثیر استفاده از قالب‌های تبلیغاتی رسانه‌های اجتماعی، مانند داستان‌ها یا چرخ فلک‌ها، برای ایجاد تجربه‌های تعاملی و همه‌جانبه برند بحث کنید.</v>
      </c>
      <c r="H10551" s="1"/>
      <c r="I10551" s="1"/>
      <c r="J10551" s="1"/>
      <c r="K10551" s="1"/>
      <c r="L10551" s="1"/>
      <c r="M10551" s="1"/>
      <c r="N10551" s="1"/>
      <c r="O10551" s="1"/>
      <c r="P10551" s="1"/>
      <c r="Q10551" s="1"/>
      <c r="R10551" s="1"/>
      <c r="S10551" s="1"/>
      <c r="T10551" s="1"/>
      <c r="U10551" s="1"/>
      <c r="V10551" s="1"/>
      <c r="W10551" s="1"/>
      <c r="X10551" s="1"/>
      <c r="Y10551" s="1"/>
      <c r="Z10551" s="1"/>
      <c r="AA10551" s="1"/>
      <c r="AB10551" s="1"/>
    </row>
    <row r="10552" ht="50.25" customHeight="1">
      <c r="A10552" s="12">
        <v>10548.0</v>
      </c>
      <c r="B10552" s="13" t="s">
        <v>10535</v>
      </c>
      <c r="C10552" s="18" t="s">
        <v>10580</v>
      </c>
      <c r="D10552" s="1"/>
      <c r="E10552" s="1"/>
      <c r="F10552" s="1" t="str">
        <f>IFERROR(__xludf.DUMMYFUNCTION("GOOGLETRANSLATE(B10552, ""en"", ""fa"")
"),"کپی رایتینگ II")</f>
        <v>کپی رایتینگ II</v>
      </c>
      <c r="G10552" s="1" t="str">
        <f>IFERROR(__xludf.DUMMYFUNCTION("GOOGLETRANSLATE(C10552, ""en"", ""fa"")
"),"چگونه از تست خلاقانه تبلیغات رسانه های اجتماعی برای شناسایی موثرترین تصاویر و پیام برای مخاطبان هدف خود استفاده کنید؟")</f>
        <v>چگونه از تست خلاقانه تبلیغات رسانه های اجتماعی برای شناسایی موثرترین تصاویر و پیام برای مخاطبان هدف خود استفاده کنید؟</v>
      </c>
      <c r="H10552" s="1"/>
      <c r="I10552" s="1"/>
      <c r="J10552" s="1"/>
      <c r="K10552" s="1"/>
      <c r="L10552" s="1"/>
      <c r="M10552" s="1"/>
      <c r="N10552" s="1"/>
      <c r="O10552" s="1"/>
      <c r="P10552" s="1"/>
      <c r="Q10552" s="1"/>
      <c r="R10552" s="1"/>
      <c r="S10552" s="1"/>
      <c r="T10552" s="1"/>
      <c r="U10552" s="1"/>
      <c r="V10552" s="1"/>
      <c r="W10552" s="1"/>
      <c r="X10552" s="1"/>
      <c r="Y10552" s="1"/>
      <c r="Z10552" s="1"/>
      <c r="AA10552" s="1"/>
      <c r="AB10552" s="1"/>
    </row>
    <row r="10553" ht="50.25" customHeight="1">
      <c r="A10553" s="12">
        <v>10549.0</v>
      </c>
      <c r="B10553" s="13" t="s">
        <v>10535</v>
      </c>
      <c r="C10553" s="18" t="s">
        <v>10581</v>
      </c>
      <c r="D10553" s="1"/>
      <c r="E10553" s="1"/>
      <c r="F10553" s="1" t="str">
        <f>IFERROR(__xludf.DUMMYFUNCTION("GOOGLETRANSLATE(B10553, ""en"", ""fa"")
"),"کپی رایتینگ II")</f>
        <v>کپی رایتینگ II</v>
      </c>
      <c r="G10553" s="1" t="str">
        <f>IFERROR(__xludf.DUMMYFUNCTION("GOOGLETRANSLATE(C10553, ""en"", ""fa"")
"),"بینش هایی در مورد استفاده از مشارکت یا همکاری اینفلوئنسرها در تبلیغات رسانه های اجتماعی برای گسترش دامنه و اعتبار برند خود به اشتراک بگذارید.")</f>
        <v>بینش هایی در مورد استفاده از مشارکت یا همکاری اینفلوئنسرها در تبلیغات رسانه های اجتماعی برای گسترش دامنه و اعتبار برند خود به اشتراک بگذارید.</v>
      </c>
      <c r="H10553" s="1"/>
      <c r="I10553" s="1"/>
      <c r="J10553" s="1"/>
      <c r="K10553" s="1"/>
      <c r="L10553" s="1"/>
      <c r="M10553" s="1"/>
      <c r="N10553" s="1"/>
      <c r="O10553" s="1"/>
      <c r="P10553" s="1"/>
      <c r="Q10553" s="1"/>
      <c r="R10553" s="1"/>
      <c r="S10553" s="1"/>
      <c r="T10553" s="1"/>
      <c r="U10553" s="1"/>
      <c r="V10553" s="1"/>
      <c r="W10553" s="1"/>
      <c r="X10553" s="1"/>
      <c r="Y10553" s="1"/>
      <c r="Z10553" s="1"/>
      <c r="AA10553" s="1"/>
      <c r="AB10553" s="1"/>
    </row>
    <row r="10554" ht="50.25" customHeight="1">
      <c r="A10554" s="12">
        <v>10550.0</v>
      </c>
      <c r="B10554" s="13" t="s">
        <v>10535</v>
      </c>
      <c r="C10554" s="18" t="s">
        <v>10582</v>
      </c>
      <c r="D10554" s="1"/>
      <c r="E10554" s="1"/>
      <c r="F10554" s="1" t="str">
        <f>IFERROR(__xludf.DUMMYFUNCTION("GOOGLETRANSLATE(B10554, ""en"", ""fa"")
"),"کپی رایتینگ II")</f>
        <v>کپی رایتینگ II</v>
      </c>
      <c r="G10554" s="1" t="str">
        <f>IFERROR(__xludf.DUMMYFUNCTION("GOOGLETRANSLATE(C10554, ""en"", ""fa"")
"),"استفاده از محرک‌های عاطفی مانند ترس یا شادی را در تبلیغات رسانه‌های اجتماعی برای برانگیختن واکنش‌های احساسی قوی از سوی مخاطب بررسی کنید.")</f>
        <v>استفاده از محرک‌های عاطفی مانند ترس یا شادی را در تبلیغات رسانه‌های اجتماعی برای برانگیختن واکنش‌های احساسی قوی از سوی مخاطب بررسی کنید.</v>
      </c>
      <c r="H10554" s="1"/>
      <c r="I10554" s="1"/>
      <c r="J10554" s="1"/>
      <c r="K10554" s="1"/>
      <c r="L10554" s="1"/>
      <c r="M10554" s="1"/>
      <c r="N10554" s="1"/>
      <c r="O10554" s="1"/>
      <c r="P10554" s="1"/>
      <c r="Q10554" s="1"/>
      <c r="R10554" s="1"/>
      <c r="S10554" s="1"/>
      <c r="T10554" s="1"/>
      <c r="U10554" s="1"/>
      <c r="V10554" s="1"/>
      <c r="W10554" s="1"/>
      <c r="X10554" s="1"/>
      <c r="Y10554" s="1"/>
      <c r="Z10554" s="1"/>
      <c r="AA10554" s="1"/>
      <c r="AB10554" s="1"/>
    </row>
    <row r="10555" ht="50.25" customHeight="1">
      <c r="A10555" s="12">
        <v>10551.0</v>
      </c>
      <c r="B10555" s="13" t="s">
        <v>10535</v>
      </c>
      <c r="C10555" s="18" t="s">
        <v>10583</v>
      </c>
      <c r="D10555" s="1"/>
      <c r="E10555" s="1"/>
      <c r="F10555" s="1" t="str">
        <f>IFERROR(__xludf.DUMMYFUNCTION("GOOGLETRANSLATE(B10555, ""en"", ""fa"")
"),"کپی رایتینگ II")</f>
        <v>کپی رایتینگ II</v>
      </c>
      <c r="G10555" s="1" t="str">
        <f>IFERROR(__xludf.DUMMYFUNCTION("GOOGLETRANSLATE(C10555, ""en"", ""fa"")
"),"در مورد اهمیت کپی تبلیغاتی که تأثیر اجتماعی، محیطی یا اخلاقی برند یا محصول شما را در تبلیغات رسانه های اجتماعی برجسته می کند، بحث کنید.")</f>
        <v>در مورد اهمیت کپی تبلیغاتی که تأثیر اجتماعی، محیطی یا اخلاقی برند یا محصول شما را در تبلیغات رسانه های اجتماعی برجسته می کند، بحث کنید.</v>
      </c>
      <c r="H10555" s="1"/>
      <c r="I10555" s="1"/>
      <c r="J10555" s="1"/>
      <c r="K10555" s="1"/>
      <c r="L10555" s="1"/>
      <c r="M10555" s="1"/>
      <c r="N10555" s="1"/>
      <c r="O10555" s="1"/>
      <c r="P10555" s="1"/>
      <c r="Q10555" s="1"/>
      <c r="R10555" s="1"/>
      <c r="S10555" s="1"/>
      <c r="T10555" s="1"/>
      <c r="U10555" s="1"/>
      <c r="V10555" s="1"/>
      <c r="W10555" s="1"/>
      <c r="X10555" s="1"/>
      <c r="Y10555" s="1"/>
      <c r="Z10555" s="1"/>
      <c r="AA10555" s="1"/>
      <c r="AB10555" s="1"/>
    </row>
    <row r="10556" ht="50.25" customHeight="1">
      <c r="A10556" s="12">
        <v>10552.0</v>
      </c>
      <c r="B10556" s="13" t="s">
        <v>10535</v>
      </c>
      <c r="C10556" s="18" t="s">
        <v>10584</v>
      </c>
      <c r="D10556" s="1"/>
      <c r="E10556" s="1"/>
      <c r="F10556" s="1" t="str">
        <f>IFERROR(__xludf.DUMMYFUNCTION("GOOGLETRANSLATE(B10556, ""en"", ""fa"")
"),"کپی رایتینگ II")</f>
        <v>کپی رایتینگ II</v>
      </c>
      <c r="G10556" s="1" t="str">
        <f>IFERROR(__xludf.DUMMYFUNCTION("GOOGLETRANSLATE(C10556, ""en"", ""fa"")
"),"چگونه یک نسخه تبلیغاتی بسازیم که ارزش ها و باورهای مخاطب هدف شما را در تبلیغات رسانه های اجتماعی جلب کند؟")</f>
        <v>چگونه یک نسخه تبلیغاتی بسازیم که ارزش ها و باورهای مخاطب هدف شما را در تبلیغات رسانه های اجتماعی جلب کند؟</v>
      </c>
      <c r="H10556" s="1"/>
      <c r="I10556" s="1"/>
      <c r="J10556" s="1"/>
      <c r="K10556" s="1"/>
      <c r="L10556" s="1"/>
      <c r="M10556" s="1"/>
      <c r="N10556" s="1"/>
      <c r="O10556" s="1"/>
      <c r="P10556" s="1"/>
      <c r="Q10556" s="1"/>
      <c r="R10556" s="1"/>
      <c r="S10556" s="1"/>
      <c r="T10556" s="1"/>
      <c r="U10556" s="1"/>
      <c r="V10556" s="1"/>
      <c r="W10556" s="1"/>
      <c r="X10556" s="1"/>
      <c r="Y10556" s="1"/>
      <c r="Z10556" s="1"/>
      <c r="AA10556" s="1"/>
      <c r="AB10556" s="1"/>
    </row>
    <row r="10557" ht="50.25" customHeight="1">
      <c r="A10557" s="12">
        <v>10553.0</v>
      </c>
      <c r="B10557" s="13" t="s">
        <v>10535</v>
      </c>
      <c r="C10557" s="18" t="s">
        <v>10585</v>
      </c>
      <c r="D10557" s="1"/>
      <c r="E10557" s="1"/>
      <c r="F10557" s="1" t="str">
        <f>IFERROR(__xludf.DUMMYFUNCTION("GOOGLETRANSLATE(B10557, ""en"", ""fa"")
"),"کپی رایتینگ II")</f>
        <v>کپی رایتینگ II</v>
      </c>
      <c r="G10557" s="1" t="str">
        <f>IFERROR(__xludf.DUMMYFUNCTION("GOOGLETRANSLATE(C10557, ""en"", ""fa"")
"),"استراتژی های ایجاد حس جامعه یا انحصار را از طریق کپی تبلیغات رسانه های اجتماعی خود به اشتراک بگذارید تا وفاداری به برند را تقویت کنید.")</f>
        <v>استراتژی های ایجاد حس جامعه یا انحصار را از طریق کپی تبلیغات رسانه های اجتماعی خود به اشتراک بگذارید تا وفاداری به برند را تقویت کنید.</v>
      </c>
      <c r="H10557" s="1"/>
      <c r="I10557" s="1"/>
      <c r="J10557" s="1"/>
      <c r="K10557" s="1"/>
      <c r="L10557" s="1"/>
      <c r="M10557" s="1"/>
      <c r="N10557" s="1"/>
      <c r="O10557" s="1"/>
      <c r="P10557" s="1"/>
      <c r="Q10557" s="1"/>
      <c r="R10557" s="1"/>
      <c r="S10557" s="1"/>
      <c r="T10557" s="1"/>
      <c r="U10557" s="1"/>
      <c r="V10557" s="1"/>
      <c r="W10557" s="1"/>
      <c r="X10557" s="1"/>
      <c r="Y10557" s="1"/>
      <c r="Z10557" s="1"/>
      <c r="AA10557" s="1"/>
      <c r="AB10557" s="1"/>
    </row>
    <row r="10558" ht="50.25" customHeight="1">
      <c r="A10558" s="12">
        <v>10554.0</v>
      </c>
      <c r="B10558" s="13" t="s">
        <v>10535</v>
      </c>
      <c r="C10558" s="18" t="s">
        <v>10586</v>
      </c>
      <c r="D10558" s="1"/>
      <c r="E10558" s="1"/>
      <c r="F10558" s="1" t="str">
        <f>IFERROR(__xludf.DUMMYFUNCTION("GOOGLETRANSLATE(B10558, ""en"", ""fa"")
"),"کپی رایتینگ II")</f>
        <v>کپی رایتینگ II</v>
      </c>
      <c r="G10558" s="1" t="str">
        <f>IFERROR(__xludf.DUMMYFUNCTION("GOOGLETRANSLATE(C10558, ""en"", ""fa"")
"),"در مورد تأثیر استفاده از تکنیک‌های داستان سرایی متقاعدکننده، مانند روایت‌های مرتبط یا توصیفات، در تبلیغات رسانه‌های اجتماعی بحث کنید.")</f>
        <v>در مورد تأثیر استفاده از تکنیک‌های داستان سرایی متقاعدکننده، مانند روایت‌های مرتبط یا توصیفات، در تبلیغات رسانه‌های اجتماعی بحث کنید.</v>
      </c>
      <c r="H10558" s="1"/>
      <c r="I10558" s="1"/>
      <c r="J10558" s="1"/>
      <c r="K10558" s="1"/>
      <c r="L10558" s="1"/>
      <c r="M10558" s="1"/>
      <c r="N10558" s="1"/>
      <c r="O10558" s="1"/>
      <c r="P10558" s="1"/>
      <c r="Q10558" s="1"/>
      <c r="R10558" s="1"/>
      <c r="S10558" s="1"/>
      <c r="T10558" s="1"/>
      <c r="U10558" s="1"/>
      <c r="V10558" s="1"/>
      <c r="W10558" s="1"/>
      <c r="X10558" s="1"/>
      <c r="Y10558" s="1"/>
      <c r="Z10558" s="1"/>
      <c r="AA10558" s="1"/>
      <c r="AB10558" s="1"/>
    </row>
    <row r="10559" ht="50.25" customHeight="1">
      <c r="A10559" s="12">
        <v>10555.0</v>
      </c>
      <c r="B10559" s="13" t="s">
        <v>10535</v>
      </c>
      <c r="C10559" s="18" t="s">
        <v>10587</v>
      </c>
      <c r="D10559" s="1"/>
      <c r="E10559" s="1"/>
      <c r="F10559" s="1" t="str">
        <f>IFERROR(__xludf.DUMMYFUNCTION("GOOGLETRANSLATE(B10559, ""en"", ""fa"")
"),"کپی رایتینگ II")</f>
        <v>کپی رایتینگ II</v>
      </c>
      <c r="G10559" s="1" t="str">
        <f>IFERROR(__xludf.DUMMYFUNCTION("GOOGLETRANSLATE(C10559, ""en"", ""fa"")
"),"چگونه طول کپی تبلیغات را برای پلتفرم های مختلف رسانه های اجتماعی و دامنه توجه کاربران بهینه کنیم؟")</f>
        <v>چگونه طول کپی تبلیغات را برای پلتفرم های مختلف رسانه های اجتماعی و دامنه توجه کاربران بهینه کنیم؟</v>
      </c>
      <c r="H10559" s="1"/>
      <c r="I10559" s="1"/>
      <c r="J10559" s="1"/>
      <c r="K10559" s="1"/>
      <c r="L10559" s="1"/>
      <c r="M10559" s="1"/>
      <c r="N10559" s="1"/>
      <c r="O10559" s="1"/>
      <c r="P10559" s="1"/>
      <c r="Q10559" s="1"/>
      <c r="R10559" s="1"/>
      <c r="S10559" s="1"/>
      <c r="T10559" s="1"/>
      <c r="U10559" s="1"/>
      <c r="V10559" s="1"/>
      <c r="W10559" s="1"/>
      <c r="X10559" s="1"/>
      <c r="Y10559" s="1"/>
      <c r="Z10559" s="1"/>
      <c r="AA10559" s="1"/>
      <c r="AB10559" s="1"/>
    </row>
    <row r="10560" ht="50.25" customHeight="1">
      <c r="A10560" s="12">
        <v>10556.0</v>
      </c>
      <c r="B10560" s="13" t="s">
        <v>10535</v>
      </c>
      <c r="C10560" s="18" t="s">
        <v>10588</v>
      </c>
      <c r="D10560" s="1"/>
      <c r="E10560" s="1"/>
      <c r="F10560" s="1" t="str">
        <f>IFERROR(__xludf.DUMMYFUNCTION("GOOGLETRANSLATE(B10560, ""en"", ""fa"")
"),"کپی رایتینگ II")</f>
        <v>کپی رایتینگ II</v>
      </c>
      <c r="G10560" s="1" t="str">
        <f>IFERROR(__xludf.DUMMYFUNCTION("GOOGLETRANSLATE(C10560, ""en"", ""fa"")
"),"بینش در مورد استفاده از گزینه‌های هدف‌یابی تبلیغات رسانه‌های اجتماعی، مانند مخاطبان سفارشی یا هدف‌گیری مجدد، برای جذب مجدد کاربرانی که علاقه قبلی نشان داده‌اند، به اشتراک بگذارید.")</f>
        <v>بینش در مورد استفاده از گزینه‌های هدف‌یابی تبلیغات رسانه‌های اجتماعی، مانند مخاطبان سفارشی یا هدف‌گیری مجدد، برای جذب مجدد کاربرانی که علاقه قبلی نشان داده‌اند، به اشتراک بگذارید.</v>
      </c>
      <c r="H10560" s="1"/>
      <c r="I10560" s="1"/>
      <c r="J10560" s="1"/>
      <c r="K10560" s="1"/>
      <c r="L10560" s="1"/>
      <c r="M10560" s="1"/>
      <c r="N10560" s="1"/>
      <c r="O10560" s="1"/>
      <c r="P10560" s="1"/>
      <c r="Q10560" s="1"/>
      <c r="R10560" s="1"/>
      <c r="S10560" s="1"/>
      <c r="T10560" s="1"/>
      <c r="U10560" s="1"/>
      <c r="V10560" s="1"/>
      <c r="W10560" s="1"/>
      <c r="X10560" s="1"/>
      <c r="Y10560" s="1"/>
      <c r="Z10560" s="1"/>
      <c r="AA10560" s="1"/>
      <c r="AB10560" s="1"/>
    </row>
    <row r="10561" ht="50.25" customHeight="1">
      <c r="A10561" s="12">
        <v>10557.0</v>
      </c>
      <c r="B10561" s="13" t="s">
        <v>10535</v>
      </c>
      <c r="C10561" s="18" t="s">
        <v>10589</v>
      </c>
      <c r="D10561" s="1"/>
      <c r="E10561" s="1"/>
      <c r="F10561" s="1" t="str">
        <f>IFERROR(__xludf.DUMMYFUNCTION("GOOGLETRANSLATE(B10561, ""en"", ""fa"")
"),"کپی رایتینگ II")</f>
        <v>کپی رایتینگ II</v>
      </c>
      <c r="G10561" s="1" t="str">
        <f>IFERROR(__xludf.DUMMYFUNCTION("GOOGLETRANSLATE(C10561, ""en"", ""fa"")
"),"استفاده از توالی تبلیغات رسانه های اجتماعی را برای بیان یک داستان یک برند منسجم و راهنمایی کاربران در مسیر سفر مشتری کاوش کنید.")</f>
        <v>استفاده از توالی تبلیغات رسانه های اجتماعی را برای بیان یک داستان یک برند منسجم و راهنمایی کاربران در مسیر سفر مشتری کاوش کنید.</v>
      </c>
      <c r="H10561" s="1"/>
      <c r="I10561" s="1"/>
      <c r="J10561" s="1"/>
      <c r="K10561" s="1"/>
      <c r="L10561" s="1"/>
      <c r="M10561" s="1"/>
      <c r="N10561" s="1"/>
      <c r="O10561" s="1"/>
      <c r="P10561" s="1"/>
      <c r="Q10561" s="1"/>
      <c r="R10561" s="1"/>
      <c r="S10561" s="1"/>
      <c r="T10561" s="1"/>
      <c r="U10561" s="1"/>
      <c r="V10561" s="1"/>
      <c r="W10561" s="1"/>
      <c r="X10561" s="1"/>
      <c r="Y10561" s="1"/>
      <c r="Z10561" s="1"/>
      <c r="AA10561" s="1"/>
      <c r="AB10561" s="1"/>
    </row>
    <row r="10562" ht="50.25" customHeight="1">
      <c r="A10562" s="12">
        <v>10558.0</v>
      </c>
      <c r="B10562" s="13" t="s">
        <v>10535</v>
      </c>
      <c r="C10562" s="18" t="s">
        <v>10590</v>
      </c>
      <c r="D10562" s="1"/>
      <c r="E10562" s="1"/>
      <c r="F10562" s="1" t="str">
        <f>IFERROR(__xludf.DUMMYFUNCTION("GOOGLETRANSLATE(B10562, ""en"", ""fa"")
"),"کپی رایتینگ II")</f>
        <v>کپی رایتینگ II</v>
      </c>
      <c r="G10562" s="1" t="str">
        <f>IFERROR(__xludf.DUMMYFUNCTION("GOOGLETRANSLATE(C10562, ""en"", ""fa"")
"),"در مورد اهمیت تبلیغات قوی و قانع کننده که جوهر برند یا محصول شما را در تبلیغات رسانه های اجتماعی بیان می کند، بحث کنید.")</f>
        <v>در مورد اهمیت تبلیغات قوی و قانع کننده که جوهر برند یا محصول شما را در تبلیغات رسانه های اجتماعی بیان می کند، بحث کنید.</v>
      </c>
      <c r="H10562" s="1"/>
      <c r="I10562" s="1"/>
      <c r="J10562" s="1"/>
      <c r="K10562" s="1"/>
      <c r="L10562" s="1"/>
      <c r="M10562" s="1"/>
      <c r="N10562" s="1"/>
      <c r="O10562" s="1"/>
      <c r="P10562" s="1"/>
      <c r="Q10562" s="1"/>
      <c r="R10562" s="1"/>
      <c r="S10562" s="1"/>
      <c r="T10562" s="1"/>
      <c r="U10562" s="1"/>
      <c r="V10562" s="1"/>
      <c r="W10562" s="1"/>
      <c r="X10562" s="1"/>
      <c r="Y10562" s="1"/>
      <c r="Z10562" s="1"/>
      <c r="AA10562" s="1"/>
      <c r="AB10562" s="1"/>
    </row>
    <row r="10563" ht="50.25" customHeight="1">
      <c r="A10563" s="12">
        <v>10559.0</v>
      </c>
      <c r="B10563" s="13" t="s">
        <v>10535</v>
      </c>
      <c r="C10563" s="18" t="s">
        <v>10591</v>
      </c>
      <c r="D10563" s="1"/>
      <c r="E10563" s="1"/>
      <c r="F10563" s="1" t="str">
        <f>IFERROR(__xludf.DUMMYFUNCTION("GOOGLETRANSLATE(B10563, ""en"", ""fa"")
"),"کپی رایتینگ II")</f>
        <v>کپی رایتینگ II</v>
      </c>
      <c r="G10563" s="1" t="str">
        <f>IFERROR(__xludf.DUMMYFUNCTION("GOOGLETRANSLATE(C10563, ""en"", ""fa"")
"),"چگونه می توان یک نسخه تبلیغاتی نوشت که به مخالفت ها یا تردیدهایی که ممکن است مخاطبان هدف شما در تبلیغات رسانه های اجتماعی داشته باشند پاسخ دهد؟")</f>
        <v>چگونه می توان یک نسخه تبلیغاتی نوشت که به مخالفت ها یا تردیدهایی که ممکن است مخاطبان هدف شما در تبلیغات رسانه های اجتماعی داشته باشند پاسخ دهد؟</v>
      </c>
      <c r="H10563" s="1"/>
      <c r="I10563" s="1"/>
      <c r="J10563" s="1"/>
      <c r="K10563" s="1"/>
      <c r="L10563" s="1"/>
      <c r="M10563" s="1"/>
      <c r="N10563" s="1"/>
      <c r="O10563" s="1"/>
      <c r="P10563" s="1"/>
      <c r="Q10563" s="1"/>
      <c r="R10563" s="1"/>
      <c r="S10563" s="1"/>
      <c r="T10563" s="1"/>
      <c r="U10563" s="1"/>
      <c r="V10563" s="1"/>
      <c r="W10563" s="1"/>
      <c r="X10563" s="1"/>
      <c r="Y10563" s="1"/>
      <c r="Z10563" s="1"/>
      <c r="AA10563" s="1"/>
      <c r="AB10563" s="1"/>
    </row>
    <row r="10564" ht="50.25" customHeight="1">
      <c r="A10564" s="12">
        <v>10560.0</v>
      </c>
      <c r="B10564" s="13" t="s">
        <v>10535</v>
      </c>
      <c r="C10564" s="18" t="s">
        <v>10592</v>
      </c>
      <c r="D10564" s="1"/>
      <c r="E10564" s="1"/>
      <c r="F10564" s="1" t="str">
        <f>IFERROR(__xludf.DUMMYFUNCTION("GOOGLETRANSLATE(B10564, ""en"", ""fa"")
"),"کپی رایتینگ II")</f>
        <v>کپی رایتینگ II</v>
      </c>
      <c r="G10564" s="1" t="str">
        <f>IFERROR(__xludf.DUMMYFUNCTION("GOOGLETRANSLATE(C10564, ""en"", ""fa"")
"),"استراتژی‌های استفاده از محدودیت‌های فرکانس تبلیغات رسانه‌های اجتماعی را به اشتراک بگذارید تا تعداد دفعاتی که کاربران تبلیغات شما را مشاهده می‌کنند کنترل کنید و از خستگی تبلیغات جلوگیری کنید.")</f>
        <v>استراتژی‌های استفاده از محدودیت‌های فرکانس تبلیغات رسانه‌های اجتماعی را به اشتراک بگذارید تا تعداد دفعاتی که کاربران تبلیغات شما را مشاهده می‌کنند کنترل کنید و از خستگی تبلیغات جلوگیری کنید.</v>
      </c>
      <c r="H10564" s="1"/>
      <c r="I10564" s="1"/>
      <c r="J10564" s="1"/>
      <c r="K10564" s="1"/>
      <c r="L10564" s="1"/>
      <c r="M10564" s="1"/>
      <c r="N10564" s="1"/>
      <c r="O10564" s="1"/>
      <c r="P10564" s="1"/>
      <c r="Q10564" s="1"/>
      <c r="R10564" s="1"/>
      <c r="S10564" s="1"/>
      <c r="T10564" s="1"/>
      <c r="U10564" s="1"/>
      <c r="V10564" s="1"/>
      <c r="W10564" s="1"/>
      <c r="X10564" s="1"/>
      <c r="Y10564" s="1"/>
      <c r="Z10564" s="1"/>
      <c r="AA10564" s="1"/>
      <c r="AB10564" s="1"/>
    </row>
    <row r="10565" ht="50.25" customHeight="1">
      <c r="A10565" s="12">
        <v>10561.0</v>
      </c>
      <c r="B10565" s="13" t="s">
        <v>10535</v>
      </c>
      <c r="C10565" s="18" t="s">
        <v>10593</v>
      </c>
      <c r="D10565" s="1"/>
      <c r="E10565" s="1"/>
      <c r="F10565" s="1" t="str">
        <f>IFERROR(__xludf.DUMMYFUNCTION("GOOGLETRANSLATE(B10565, ""en"", ""fa"")
"),"کپی رایتینگ II")</f>
        <v>کپی رایتینگ II</v>
      </c>
      <c r="G10565" s="1" t="str">
        <f>IFERROR(__xludf.DUMMYFUNCTION("GOOGLETRANSLATE(C10565, ""en"", ""fa"")
"),"درباره تأثیر استفاده از بومی‌سازی تبلیغات رسانه‌های اجتماعی و هدف‌گیری زبان برای دستیابی مؤثر به مخاطبان مختلف جهانی بحث کنید.")</f>
        <v>درباره تأثیر استفاده از بومی‌سازی تبلیغات رسانه‌های اجتماعی و هدف‌گیری زبان برای دستیابی مؤثر به مخاطبان مختلف جهانی بحث کنید.</v>
      </c>
      <c r="H10565" s="1"/>
      <c r="I10565" s="1"/>
      <c r="J10565" s="1"/>
      <c r="K10565" s="1"/>
      <c r="L10565" s="1"/>
      <c r="M10565" s="1"/>
      <c r="N10565" s="1"/>
      <c r="O10565" s="1"/>
      <c r="P10565" s="1"/>
      <c r="Q10565" s="1"/>
      <c r="R10565" s="1"/>
      <c r="S10565" s="1"/>
      <c r="T10565" s="1"/>
      <c r="U10565" s="1"/>
      <c r="V10565" s="1"/>
      <c r="W10565" s="1"/>
      <c r="X10565" s="1"/>
      <c r="Y10565" s="1"/>
      <c r="Z10565" s="1"/>
      <c r="AA10565" s="1"/>
      <c r="AB10565" s="1"/>
    </row>
    <row r="10566" ht="50.25" customHeight="1">
      <c r="A10566" s="12">
        <v>10562.0</v>
      </c>
      <c r="B10566" s="13" t="s">
        <v>10535</v>
      </c>
      <c r="C10566" s="18" t="s">
        <v>10594</v>
      </c>
      <c r="D10566" s="1"/>
      <c r="E10566" s="1"/>
      <c r="F10566" s="1" t="str">
        <f>IFERROR(__xludf.DUMMYFUNCTION("GOOGLETRANSLATE(B10566, ""en"", ""fa"")
"),"کپی رایتینگ II")</f>
        <v>کپی رایتینگ II</v>
      </c>
      <c r="G10566" s="1" t="str">
        <f>IFERROR(__xludf.DUMMYFUNCTION("GOOGLETRANSLATE(C10566, ""en"", ""fa"")
"),"چگونه می توان یک نسخه تبلیغاتی ایجاد کرد که از تأثیرگذاران رسانه های اجتماعی یا سفیران برند برای افزایش دسترسی و اعتبار برند شما استفاده کند؟")</f>
        <v>چگونه می توان یک نسخه تبلیغاتی ایجاد کرد که از تأثیرگذاران رسانه های اجتماعی یا سفیران برند برای افزایش دسترسی و اعتبار برند شما استفاده کند؟</v>
      </c>
      <c r="H10566" s="1"/>
      <c r="I10566" s="1"/>
      <c r="J10566" s="1"/>
      <c r="K10566" s="1"/>
      <c r="L10566" s="1"/>
      <c r="M10566" s="1"/>
      <c r="N10566" s="1"/>
      <c r="O10566" s="1"/>
      <c r="P10566" s="1"/>
      <c r="Q10566" s="1"/>
      <c r="R10566" s="1"/>
      <c r="S10566" s="1"/>
      <c r="T10566" s="1"/>
      <c r="U10566" s="1"/>
      <c r="V10566" s="1"/>
      <c r="W10566" s="1"/>
      <c r="X10566" s="1"/>
      <c r="Y10566" s="1"/>
      <c r="Z10566" s="1"/>
      <c r="AA10566" s="1"/>
      <c r="AB10566" s="1"/>
    </row>
    <row r="10567" ht="50.25" customHeight="1">
      <c r="A10567" s="12">
        <v>10563.0</v>
      </c>
      <c r="B10567" s="13" t="s">
        <v>10535</v>
      </c>
      <c r="C10567" s="18" t="s">
        <v>10595</v>
      </c>
      <c r="D10567" s="1"/>
      <c r="E10567" s="1"/>
      <c r="F10567" s="1" t="str">
        <f>IFERROR(__xludf.DUMMYFUNCTION("GOOGLETRANSLATE(B10567, ""en"", ""fa"")
"),"کپی رایتینگ II")</f>
        <v>کپی رایتینگ II</v>
      </c>
      <c r="G10567" s="1" t="str">
        <f>IFERROR(__xludf.DUMMYFUNCTION("GOOGLETRANSLATE(C10567, ""en"", ""fa"")
"),"بینش هایی در مورد استفاده از عناصر داستان سرایی، مانند تضاد یا حل، برای ایجاد روایت های تبلیغاتی جذاب و تاثیرگذار در رسانه های اجتماعی به اشتراک بگذارید.")</f>
        <v>بینش هایی در مورد استفاده از عناصر داستان سرایی، مانند تضاد یا حل، برای ایجاد روایت های تبلیغاتی جذاب و تاثیرگذار در رسانه های اجتماعی به اشتراک بگذارید.</v>
      </c>
      <c r="H10567" s="1"/>
      <c r="I10567" s="1"/>
      <c r="J10567" s="1"/>
      <c r="K10567" s="1"/>
      <c r="L10567" s="1"/>
      <c r="M10567" s="1"/>
      <c r="N10567" s="1"/>
      <c r="O10567" s="1"/>
      <c r="P10567" s="1"/>
      <c r="Q10567" s="1"/>
      <c r="R10567" s="1"/>
      <c r="S10567" s="1"/>
      <c r="T10567" s="1"/>
      <c r="U10567" s="1"/>
      <c r="V10567" s="1"/>
      <c r="W10567" s="1"/>
      <c r="X10567" s="1"/>
      <c r="Y10567" s="1"/>
      <c r="Z10567" s="1"/>
      <c r="AA10567" s="1"/>
      <c r="AB10567" s="1"/>
    </row>
    <row r="10568" ht="50.25" customHeight="1">
      <c r="A10568" s="12">
        <v>10564.0</v>
      </c>
      <c r="B10568" s="13" t="s">
        <v>10535</v>
      </c>
      <c r="C10568" s="18" t="s">
        <v>10596</v>
      </c>
      <c r="D10568" s="1"/>
      <c r="E10568" s="1"/>
      <c r="F10568" s="1" t="str">
        <f>IFERROR(__xludf.DUMMYFUNCTION("GOOGLETRANSLATE(B10568, ""en"", ""fa"")
"),"کپی رایتینگ II")</f>
        <v>کپی رایتینگ II</v>
      </c>
      <c r="G10568" s="1" t="str">
        <f>IFERROR(__xludf.DUMMYFUNCTION("GOOGLETRANSLATE(C10568, ""en"", ""fa"")
"),"استفاده از هدف‌گیری مجدد تبلیغات رسانه‌های اجتماعی را برای جذب مجدد کاربرانی که فرآیند خرید را رها کرده‌اند یا به پیشنهادات شما علاقه نشان داده‌اند، کاوش کنید.")</f>
        <v>استفاده از هدف‌گیری مجدد تبلیغات رسانه‌های اجتماعی را برای جذب مجدد کاربرانی که فرآیند خرید را رها کرده‌اند یا به پیشنهادات شما علاقه نشان داده‌اند، کاوش کنید.</v>
      </c>
      <c r="H10568" s="1"/>
      <c r="I10568" s="1"/>
      <c r="J10568" s="1"/>
      <c r="K10568" s="1"/>
      <c r="L10568" s="1"/>
      <c r="M10568" s="1"/>
      <c r="N10568" s="1"/>
      <c r="O10568" s="1"/>
      <c r="P10568" s="1"/>
      <c r="Q10568" s="1"/>
      <c r="R10568" s="1"/>
      <c r="S10568" s="1"/>
      <c r="T10568" s="1"/>
      <c r="U10568" s="1"/>
      <c r="V10568" s="1"/>
      <c r="W10568" s="1"/>
      <c r="X10568" s="1"/>
      <c r="Y10568" s="1"/>
      <c r="Z10568" s="1"/>
      <c r="AA10568" s="1"/>
      <c r="AB10568" s="1"/>
    </row>
    <row r="10569" ht="50.25" customHeight="1">
      <c r="A10569" s="12">
        <v>10565.0</v>
      </c>
      <c r="B10569" s="13" t="s">
        <v>10535</v>
      </c>
      <c r="C10569" s="18" t="s">
        <v>10597</v>
      </c>
      <c r="D10569" s="1"/>
      <c r="E10569" s="1"/>
      <c r="F10569" s="1" t="str">
        <f>IFERROR(__xludf.DUMMYFUNCTION("GOOGLETRANSLATE(B10569, ""en"", ""fa"")
"),"کپی رایتینگ II")</f>
        <v>کپی رایتینگ II</v>
      </c>
      <c r="G10569" s="1" t="str">
        <f>IFERROR(__xludf.DUMMYFUNCTION("GOOGLETRANSLATE(C10569, ""en"", ""fa"")
"),"در مورد اهمیت کپی تبلیغاتی واضح و مختصر که ارزش پیشنهادی و مزایای محصول یا خدمات شما را در تبلیغات رسانه های اجتماعی به اشتراک می گذارد، بحث کنید.")</f>
        <v>در مورد اهمیت کپی تبلیغاتی واضح و مختصر که ارزش پیشنهادی و مزایای محصول یا خدمات شما را در تبلیغات رسانه های اجتماعی به اشتراک می گذارد، بحث کنید.</v>
      </c>
      <c r="H10569" s="1"/>
      <c r="I10569" s="1"/>
      <c r="J10569" s="1"/>
      <c r="K10569" s="1"/>
      <c r="L10569" s="1"/>
      <c r="M10569" s="1"/>
      <c r="N10569" s="1"/>
      <c r="O10569" s="1"/>
      <c r="P10569" s="1"/>
      <c r="Q10569" s="1"/>
      <c r="R10569" s="1"/>
      <c r="S10569" s="1"/>
      <c r="T10569" s="1"/>
      <c r="U10569" s="1"/>
      <c r="V10569" s="1"/>
      <c r="W10569" s="1"/>
      <c r="X10569" s="1"/>
      <c r="Y10569" s="1"/>
      <c r="Z10569" s="1"/>
      <c r="AA10569" s="1"/>
      <c r="AB10569" s="1"/>
    </row>
    <row r="10570" ht="50.25" customHeight="1">
      <c r="A10570" s="12">
        <v>10566.0</v>
      </c>
      <c r="B10570" s="13" t="s">
        <v>10535</v>
      </c>
      <c r="C10570" s="18" t="s">
        <v>10598</v>
      </c>
      <c r="D10570" s="1"/>
      <c r="E10570" s="1"/>
      <c r="F10570" s="1" t="str">
        <f>IFERROR(__xludf.DUMMYFUNCTION("GOOGLETRANSLATE(B10570, ""en"", ""fa"")
"),"کپی رایتینگ II")</f>
        <v>کپی رایتینگ II</v>
      </c>
      <c r="G10570" s="1" t="str">
        <f>IFERROR(__xludf.DUMMYFUNCTION("GOOGLETRANSLATE(C10570, ""en"", ""fa"")
"),"چگونه می توان نسخه تبلیغاتی نوشت که توجه کاربر را جلب کرده و در فضای محدود موجود در تبلیغات رسانه های اجتماعی، کنجکاوی ایجاد کند؟")</f>
        <v>چگونه می توان نسخه تبلیغاتی نوشت که توجه کاربر را جلب کرده و در فضای محدود موجود در تبلیغات رسانه های اجتماعی، کنجکاوی ایجاد کند؟</v>
      </c>
      <c r="H10570" s="1"/>
      <c r="I10570" s="1"/>
      <c r="J10570" s="1"/>
      <c r="K10570" s="1"/>
      <c r="L10570" s="1"/>
      <c r="M10570" s="1"/>
      <c r="N10570" s="1"/>
      <c r="O10570" s="1"/>
      <c r="P10570" s="1"/>
      <c r="Q10570" s="1"/>
      <c r="R10570" s="1"/>
      <c r="S10570" s="1"/>
      <c r="T10570" s="1"/>
      <c r="U10570" s="1"/>
      <c r="V10570" s="1"/>
      <c r="W10570" s="1"/>
      <c r="X10570" s="1"/>
      <c r="Y10570" s="1"/>
      <c r="Z10570" s="1"/>
      <c r="AA10570" s="1"/>
      <c r="AB10570" s="1"/>
    </row>
    <row r="10571" ht="50.25" customHeight="1">
      <c r="A10571" s="12">
        <v>10567.0</v>
      </c>
      <c r="B10571" s="13" t="s">
        <v>10535</v>
      </c>
      <c r="C10571" s="18" t="s">
        <v>10599</v>
      </c>
      <c r="D10571" s="1"/>
      <c r="E10571" s="1"/>
      <c r="F10571" s="1" t="str">
        <f>IFERROR(__xludf.DUMMYFUNCTION("GOOGLETRANSLATE(B10571, ""en"", ""fa"")
"),"کپی رایتینگ II")</f>
        <v>کپی رایتینگ II</v>
      </c>
      <c r="G10571" s="1" t="str">
        <f>IFERROR(__xludf.DUMMYFUNCTION("GOOGLETRANSLATE(C10571, ""en"", ""fa"")
"),"استراتژی‌های استفاده از تست A/B تبلیغات رسانه‌های اجتماعی را برای مقایسه انواع مختلف تبلیغات و شناسایی مؤثرترین عناصر به اشتراک بگذارید.")</f>
        <v>استراتژی‌های استفاده از تست A/B تبلیغات رسانه‌های اجتماعی را برای مقایسه انواع مختلف تبلیغات و شناسایی مؤثرترین عناصر به اشتراک بگذارید.</v>
      </c>
      <c r="H10571" s="1"/>
      <c r="I10571" s="1"/>
      <c r="J10571" s="1"/>
      <c r="K10571" s="1"/>
      <c r="L10571" s="1"/>
      <c r="M10571" s="1"/>
      <c r="N10571" s="1"/>
      <c r="O10571" s="1"/>
      <c r="P10571" s="1"/>
      <c r="Q10571" s="1"/>
      <c r="R10571" s="1"/>
      <c r="S10571" s="1"/>
      <c r="T10571" s="1"/>
      <c r="U10571" s="1"/>
      <c r="V10571" s="1"/>
      <c r="W10571" s="1"/>
      <c r="X10571" s="1"/>
      <c r="Y10571" s="1"/>
      <c r="Z10571" s="1"/>
      <c r="AA10571" s="1"/>
      <c r="AB10571" s="1"/>
    </row>
    <row r="10572" ht="50.25" customHeight="1">
      <c r="A10572" s="12">
        <v>10568.0</v>
      </c>
      <c r="B10572" s="13" t="s">
        <v>10535</v>
      </c>
      <c r="C10572" s="18" t="s">
        <v>10600</v>
      </c>
      <c r="D10572" s="1"/>
      <c r="E10572" s="1"/>
      <c r="F10572" s="1" t="str">
        <f>IFERROR(__xludf.DUMMYFUNCTION("GOOGLETRANSLATE(B10572, ""en"", ""fa"")
"),"کپی رایتینگ II")</f>
        <v>کپی رایتینگ II</v>
      </c>
      <c r="G10572" s="1" t="str">
        <f>IFERROR(__xludf.DUMMYFUNCTION("GOOGLETRANSLATE(C10572, ""en"", ""fa"")
"),"درباره تأثیر استفاده از محتوای تولید شده توسط کاربر، مانند نظرات مشتریان یا عکس های ارسالی توسط کاربر، برای افزایش اعتبار و اعتبار تبلیغات رسانه های اجتماعی خود بحث کنید.")</f>
        <v>درباره تأثیر استفاده از محتوای تولید شده توسط کاربر، مانند نظرات مشتریان یا عکس های ارسالی توسط کاربر، برای افزایش اعتبار و اعتبار تبلیغات رسانه های اجتماعی خود بحث کنید.</v>
      </c>
      <c r="H10572" s="1"/>
      <c r="I10572" s="1"/>
      <c r="J10572" s="1"/>
      <c r="K10572" s="1"/>
      <c r="L10572" s="1"/>
      <c r="M10572" s="1"/>
      <c r="N10572" s="1"/>
      <c r="O10572" s="1"/>
      <c r="P10572" s="1"/>
      <c r="Q10572" s="1"/>
      <c r="R10572" s="1"/>
      <c r="S10572" s="1"/>
      <c r="T10572" s="1"/>
      <c r="U10572" s="1"/>
      <c r="V10572" s="1"/>
      <c r="W10572" s="1"/>
      <c r="X10572" s="1"/>
      <c r="Y10572" s="1"/>
      <c r="Z10572" s="1"/>
      <c r="AA10572" s="1"/>
      <c r="AB10572" s="1"/>
    </row>
    <row r="10573" ht="50.25" customHeight="1">
      <c r="A10573" s="12">
        <v>10569.0</v>
      </c>
      <c r="B10573" s="13" t="s">
        <v>10535</v>
      </c>
      <c r="C10573" s="18" t="s">
        <v>10601</v>
      </c>
      <c r="D10573" s="1"/>
      <c r="E10573" s="1"/>
      <c r="F10573" s="1" t="str">
        <f>IFERROR(__xludf.DUMMYFUNCTION("GOOGLETRANSLATE(B10573, ""en"", ""fa"")
"),"کپی رایتینگ II")</f>
        <v>کپی رایتینگ II</v>
      </c>
      <c r="G10573" s="1" t="str">
        <f>IFERROR(__xludf.DUMMYFUNCTION("GOOGLETRANSLATE(C10573, ""en"", ""fa"")
"),"چگونه کپی تبلیغات را برای دستگاه های تلفن همراه بهینه کنیم و از تجربه کاربری یکپارچه در کمپین های تبلیغاتی رسانه های اجتماعی اطمینان حاصل کنیم؟")</f>
        <v>چگونه کپی تبلیغات را برای دستگاه های تلفن همراه بهینه کنیم و از تجربه کاربری یکپارچه در کمپین های تبلیغاتی رسانه های اجتماعی اطمینان حاصل کنیم؟</v>
      </c>
      <c r="H10573" s="1"/>
      <c r="I10573" s="1"/>
      <c r="J10573" s="1"/>
      <c r="K10573" s="1"/>
      <c r="L10573" s="1"/>
      <c r="M10573" s="1"/>
      <c r="N10573" s="1"/>
      <c r="O10573" s="1"/>
      <c r="P10573" s="1"/>
      <c r="Q10573" s="1"/>
      <c r="R10573" s="1"/>
      <c r="S10573" s="1"/>
      <c r="T10573" s="1"/>
      <c r="U10573" s="1"/>
      <c r="V10573" s="1"/>
      <c r="W10573" s="1"/>
      <c r="X10573" s="1"/>
      <c r="Y10573" s="1"/>
      <c r="Z10573" s="1"/>
      <c r="AA10573" s="1"/>
      <c r="AB10573" s="1"/>
    </row>
    <row r="10574" ht="50.25" customHeight="1">
      <c r="A10574" s="12">
        <v>10570.0</v>
      </c>
      <c r="B10574" s="13" t="s">
        <v>10535</v>
      </c>
      <c r="C10574" s="18" t="s">
        <v>10602</v>
      </c>
      <c r="D10574" s="1"/>
      <c r="E10574" s="1"/>
      <c r="F10574" s="1" t="str">
        <f>IFERROR(__xludf.DUMMYFUNCTION("GOOGLETRANSLATE(B10574, ""en"", ""fa"")
"),"کپی رایتینگ II")</f>
        <v>کپی رایتینگ II</v>
      </c>
      <c r="G10574" s="1" t="str">
        <f>IFERROR(__xludf.DUMMYFUNCTION("GOOGLETRANSLATE(C10574, ""en"", ""fa"")
"),"بینش در مورد استفاده از بازاریابی مجدد تبلیغات رسانه های اجتماعی را برای جذب مجدد کاربرانی که قبلاً با برند شما تعامل داشته اند یا از وب سایت شما بازدید کرده اند به اشتراک بگذارید.")</f>
        <v>بینش در مورد استفاده از بازاریابی مجدد تبلیغات رسانه های اجتماعی را برای جذب مجدد کاربرانی که قبلاً با برند شما تعامل داشته اند یا از وب سایت شما بازدید کرده اند به اشتراک بگذارید.</v>
      </c>
      <c r="H10574" s="1"/>
      <c r="I10574" s="1"/>
      <c r="J10574" s="1"/>
      <c r="K10574" s="1"/>
      <c r="L10574" s="1"/>
      <c r="M10574" s="1"/>
      <c r="N10574" s="1"/>
      <c r="O10574" s="1"/>
      <c r="P10574" s="1"/>
      <c r="Q10574" s="1"/>
      <c r="R10574" s="1"/>
      <c r="S10574" s="1"/>
      <c r="T10574" s="1"/>
      <c r="U10574" s="1"/>
      <c r="V10574" s="1"/>
      <c r="W10574" s="1"/>
      <c r="X10574" s="1"/>
      <c r="Y10574" s="1"/>
      <c r="Z10574" s="1"/>
      <c r="AA10574" s="1"/>
      <c r="AB10574" s="1"/>
    </row>
    <row r="10575" ht="50.25" customHeight="1">
      <c r="A10575" s="12">
        <v>10571.0</v>
      </c>
      <c r="B10575" s="13" t="s">
        <v>10535</v>
      </c>
      <c r="C10575" s="18" t="s">
        <v>10603</v>
      </c>
      <c r="D10575" s="1"/>
      <c r="E10575" s="1"/>
      <c r="F10575" s="1" t="str">
        <f>IFERROR(__xludf.DUMMYFUNCTION("GOOGLETRANSLATE(B10575, ""en"", ""fa"")
"),"کپی رایتینگ II")</f>
        <v>کپی رایتینگ II</v>
      </c>
      <c r="G10575" s="1" t="str">
        <f>IFERROR(__xludf.DUMMYFUNCTION("GOOGLETRANSLATE(C10575, ""en"", ""fa"")
"),"استفاده از گزینه‌های هدف‌یابی تبلیغات رسانه‌های اجتماعی، مانند علایق یا رفتارها را برای دستیابی به بخش مخاطب بسیار خاص و مرتبط بررسی کنید.")</f>
        <v>استفاده از گزینه‌های هدف‌یابی تبلیغات رسانه‌های اجتماعی، مانند علایق یا رفتارها را برای دستیابی به بخش مخاطب بسیار خاص و مرتبط بررسی کنید.</v>
      </c>
      <c r="H10575" s="1"/>
      <c r="I10575" s="1"/>
      <c r="J10575" s="1"/>
      <c r="K10575" s="1"/>
      <c r="L10575" s="1"/>
      <c r="M10575" s="1"/>
      <c r="N10575" s="1"/>
      <c r="O10575" s="1"/>
      <c r="P10575" s="1"/>
      <c r="Q10575" s="1"/>
      <c r="R10575" s="1"/>
      <c r="S10575" s="1"/>
      <c r="T10575" s="1"/>
      <c r="U10575" s="1"/>
      <c r="V10575" s="1"/>
      <c r="W10575" s="1"/>
      <c r="X10575" s="1"/>
      <c r="Y10575" s="1"/>
      <c r="Z10575" s="1"/>
      <c r="AA10575" s="1"/>
      <c r="AB10575" s="1"/>
    </row>
    <row r="10576" ht="50.25" customHeight="1">
      <c r="A10576" s="12">
        <v>10572.0</v>
      </c>
      <c r="B10576" s="13" t="s">
        <v>10535</v>
      </c>
      <c r="C10576" s="18" t="s">
        <v>10604</v>
      </c>
      <c r="D10576" s="1"/>
      <c r="E10576" s="1"/>
      <c r="F10576" s="1" t="str">
        <f>IFERROR(__xludf.DUMMYFUNCTION("GOOGLETRANSLATE(B10576, ""en"", ""fa"")
"),"کپی رایتینگ II")</f>
        <v>کپی رایتینگ II</v>
      </c>
      <c r="G10576" s="1" t="str">
        <f>IFERROR(__xludf.DUMMYFUNCTION("GOOGLETRANSLATE(C10576, ""en"", ""fa"")
"),"چگونه یک نسخه تبلیغاتی بسازیم که به خواسته ها، آرزوها یا نقاط دردناک مخاطب هدف شما در تبلیغات رسانه های اجتماعی بپردازد؟")</f>
        <v>چگونه یک نسخه تبلیغاتی بسازیم که به خواسته ها، آرزوها یا نقاط دردناک مخاطب هدف شما در تبلیغات رسانه های اجتماعی بپردازد؟</v>
      </c>
      <c r="H10576" s="1"/>
      <c r="I10576" s="1"/>
      <c r="J10576" s="1"/>
      <c r="K10576" s="1"/>
      <c r="L10576" s="1"/>
      <c r="M10576" s="1"/>
      <c r="N10576" s="1"/>
      <c r="O10576" s="1"/>
      <c r="P10576" s="1"/>
      <c r="Q10576" s="1"/>
      <c r="R10576" s="1"/>
      <c r="S10576" s="1"/>
      <c r="T10576" s="1"/>
      <c r="U10576" s="1"/>
      <c r="V10576" s="1"/>
      <c r="W10576" s="1"/>
      <c r="X10576" s="1"/>
      <c r="Y10576" s="1"/>
      <c r="Z10576" s="1"/>
      <c r="AA10576" s="1"/>
      <c r="AB10576" s="1"/>
    </row>
    <row r="10577" ht="50.25" customHeight="1">
      <c r="A10577" s="12">
        <v>10573.0</v>
      </c>
      <c r="B10577" s="13" t="s">
        <v>10535</v>
      </c>
      <c r="C10577" s="18" t="s">
        <v>10605</v>
      </c>
      <c r="D10577" s="1"/>
      <c r="E10577" s="1"/>
      <c r="F10577" s="1" t="str">
        <f>IFERROR(__xludf.DUMMYFUNCTION("GOOGLETRANSLATE(B10577, ""en"", ""fa"")
"),"کپی رایتینگ II")</f>
        <v>کپی رایتینگ II</v>
      </c>
      <c r="G10577" s="1" t="str">
        <f>IFERROR(__xludf.DUMMYFUNCTION("GOOGLETRANSLATE(C10577, ""en"", ""fa"")
"),"استراتژی هایی برای استفاده از قدرت داستان سرایی احساسی در تبلیغات رسانه های اجتماعی برای ایجاد ارتباط عمیق با مخاطب به اشتراک بگذارید.")</f>
        <v>استراتژی هایی برای استفاده از قدرت داستان سرایی احساسی در تبلیغات رسانه های اجتماعی برای ایجاد ارتباط عمیق با مخاطب به اشتراک بگذارید.</v>
      </c>
      <c r="H10577" s="1"/>
      <c r="I10577" s="1"/>
      <c r="J10577" s="1"/>
      <c r="K10577" s="1"/>
      <c r="L10577" s="1"/>
      <c r="M10577" s="1"/>
      <c r="N10577" s="1"/>
      <c r="O10577" s="1"/>
      <c r="P10577" s="1"/>
      <c r="Q10577" s="1"/>
      <c r="R10577" s="1"/>
      <c r="S10577" s="1"/>
      <c r="T10577" s="1"/>
      <c r="U10577" s="1"/>
      <c r="V10577" s="1"/>
      <c r="W10577" s="1"/>
      <c r="X10577" s="1"/>
      <c r="Y10577" s="1"/>
      <c r="Z10577" s="1"/>
      <c r="AA10577" s="1"/>
      <c r="AB10577" s="1"/>
    </row>
    <row r="10578" ht="50.25" customHeight="1">
      <c r="A10578" s="12">
        <v>10574.0</v>
      </c>
      <c r="B10578" s="13" t="s">
        <v>10535</v>
      </c>
      <c r="C10578" s="18" t="s">
        <v>10606</v>
      </c>
      <c r="D10578" s="1"/>
      <c r="E10578" s="1"/>
      <c r="F10578" s="1" t="str">
        <f>IFERROR(__xludf.DUMMYFUNCTION("GOOGLETRANSLATE(B10578, ""en"", ""fa"")
"),"کپی رایتینگ II")</f>
        <v>کپی رایتینگ II</v>
      </c>
      <c r="G10578" s="1" t="str">
        <f>IFERROR(__xludf.DUMMYFUNCTION("GOOGLETRANSLATE(C10578, ""en"", ""fa"")
"),"در مورد تأثیر استفاده از تجزیه و تحلیل تبلیغات رسانه های اجتماعی برای اندازه گیری عملکرد و اثربخشی کمپین های خود و ایجاد بهینه سازی های مبتنی بر داده بحث کنید.")</f>
        <v>در مورد تأثیر استفاده از تجزیه و تحلیل تبلیغات رسانه های اجتماعی برای اندازه گیری عملکرد و اثربخشی کمپین های خود و ایجاد بهینه سازی های مبتنی بر داده بحث کنید.</v>
      </c>
      <c r="H10578" s="1"/>
      <c r="I10578" s="1"/>
      <c r="J10578" s="1"/>
      <c r="K10578" s="1"/>
      <c r="L10578" s="1"/>
      <c r="M10578" s="1"/>
      <c r="N10578" s="1"/>
      <c r="O10578" s="1"/>
      <c r="P10578" s="1"/>
      <c r="Q10578" s="1"/>
      <c r="R10578" s="1"/>
      <c r="S10578" s="1"/>
      <c r="T10578" s="1"/>
      <c r="U10578" s="1"/>
      <c r="V10578" s="1"/>
      <c r="W10578" s="1"/>
      <c r="X10578" s="1"/>
      <c r="Y10578" s="1"/>
      <c r="Z10578" s="1"/>
      <c r="AA10578" s="1"/>
      <c r="AB10578" s="1"/>
    </row>
    <row r="10579" ht="50.25" customHeight="1">
      <c r="A10579" s="12">
        <v>10575.0</v>
      </c>
      <c r="B10579" s="13" t="s">
        <v>10535</v>
      </c>
      <c r="C10579" s="18" t="s">
        <v>10607</v>
      </c>
      <c r="D10579" s="1"/>
      <c r="E10579" s="1"/>
      <c r="F10579" s="1" t="str">
        <f>IFERROR(__xludf.DUMMYFUNCTION("GOOGLETRANSLATE(B10579, ""en"", ""fa"")
"),"کپی رایتینگ II")</f>
        <v>کپی رایتینگ II</v>
      </c>
      <c r="G10579" s="1" t="str">
        <f>IFERROR(__xludf.DUMMYFUNCTION("GOOGLETRANSLATE(C10579, ""en"", ""fa"")
"),"چگونه می توان یک نسخه تبلیغاتی نوشت که حس فوریت یا انحصار را برای انجام اقدامات فوری در تبلیغات رسانه های اجتماعی منتقل می کند؟")</f>
        <v>چگونه می توان یک نسخه تبلیغاتی نوشت که حس فوریت یا انحصار را برای انجام اقدامات فوری در تبلیغات رسانه های اجتماعی منتقل می کند؟</v>
      </c>
      <c r="H10579" s="1"/>
      <c r="I10579" s="1"/>
      <c r="J10579" s="1"/>
      <c r="K10579" s="1"/>
      <c r="L10579" s="1"/>
      <c r="M10579" s="1"/>
      <c r="N10579" s="1"/>
      <c r="O10579" s="1"/>
      <c r="P10579" s="1"/>
      <c r="Q10579" s="1"/>
      <c r="R10579" s="1"/>
      <c r="S10579" s="1"/>
      <c r="T10579" s="1"/>
      <c r="U10579" s="1"/>
      <c r="V10579" s="1"/>
      <c r="W10579" s="1"/>
      <c r="X10579" s="1"/>
      <c r="Y10579" s="1"/>
      <c r="Z10579" s="1"/>
      <c r="AA10579" s="1"/>
      <c r="AB10579" s="1"/>
    </row>
    <row r="10580" ht="50.25" customHeight="1">
      <c r="A10580" s="12">
        <v>10576.0</v>
      </c>
      <c r="B10580" s="13" t="s">
        <v>10535</v>
      </c>
      <c r="C10580" s="18" t="s">
        <v>10608</v>
      </c>
      <c r="D10580" s="1"/>
      <c r="E10580" s="1"/>
      <c r="F10580" s="1" t="str">
        <f>IFERROR(__xludf.DUMMYFUNCTION("GOOGLETRANSLATE(B10580, ""en"", ""fa"")
"),"کپی رایتینگ II")</f>
        <v>کپی رایتینگ II</v>
      </c>
      <c r="G10580" s="1" t="str">
        <f>IFERROR(__xludf.DUMMYFUNCTION("GOOGLETRANSLATE(C10580, ""en"", ""fa"")
"),"بینش‌هایی در مورد استفاده از گزینه‌های قرار دادن تبلیغات در رسانه‌های اجتماعی، مانند تبلیغات درون جریانی یا پست‌های حمایت‌شده، برای دستیابی به کاربران در تجربه مرور طبیعی خود به اشتراک بگذارید.")</f>
        <v>بینش‌هایی در مورد استفاده از گزینه‌های قرار دادن تبلیغات در رسانه‌های اجتماعی، مانند تبلیغات درون جریانی یا پست‌های حمایت‌شده، برای دستیابی به کاربران در تجربه مرور طبیعی خود به اشتراک بگذارید.</v>
      </c>
      <c r="H10580" s="1"/>
      <c r="I10580" s="1"/>
      <c r="J10580" s="1"/>
      <c r="K10580" s="1"/>
      <c r="L10580" s="1"/>
      <c r="M10580" s="1"/>
      <c r="N10580" s="1"/>
      <c r="O10580" s="1"/>
      <c r="P10580" s="1"/>
      <c r="Q10580" s="1"/>
      <c r="R10580" s="1"/>
      <c r="S10580" s="1"/>
      <c r="T10580" s="1"/>
      <c r="U10580" s="1"/>
      <c r="V10580" s="1"/>
      <c r="W10580" s="1"/>
      <c r="X10580" s="1"/>
      <c r="Y10580" s="1"/>
      <c r="Z10580" s="1"/>
      <c r="AA10580" s="1"/>
      <c r="AB10580" s="1"/>
    </row>
    <row r="10581" ht="50.25" customHeight="1">
      <c r="A10581" s="12">
        <v>10577.0</v>
      </c>
      <c r="B10581" s="13" t="s">
        <v>10535</v>
      </c>
      <c r="C10581" s="18" t="s">
        <v>10609</v>
      </c>
      <c r="D10581" s="1"/>
      <c r="E10581" s="1"/>
      <c r="F10581" s="1" t="str">
        <f>IFERROR(__xludf.DUMMYFUNCTION("GOOGLETRANSLATE(B10581, ""en"", ""fa"")
"),"کپی رایتینگ II")</f>
        <v>کپی رایتینگ II</v>
      </c>
      <c r="G10581" s="1" t="str">
        <f>IFERROR(__xludf.DUMMYFUNCTION("GOOGLETRANSLATE(C10581, ""en"", ""fa"")
"),"استفاده از هدف‌گذاری تبلیغات رسانه‌های اجتماعی را بر اساس جمعیت‌شناسی یا روان‌شناسی کاربر بررسی کنید تا مطمئن شوید تبلیغات شما به مخاطبان مناسب می‌رسد.")</f>
        <v>استفاده از هدف‌گذاری تبلیغات رسانه‌های اجتماعی را بر اساس جمعیت‌شناسی یا روان‌شناسی کاربر بررسی کنید تا مطمئن شوید تبلیغات شما به مخاطبان مناسب می‌رسد.</v>
      </c>
      <c r="H10581" s="1"/>
      <c r="I10581" s="1"/>
      <c r="J10581" s="1"/>
      <c r="K10581" s="1"/>
      <c r="L10581" s="1"/>
      <c r="M10581" s="1"/>
      <c r="N10581" s="1"/>
      <c r="O10581" s="1"/>
      <c r="P10581" s="1"/>
      <c r="Q10581" s="1"/>
      <c r="R10581" s="1"/>
      <c r="S10581" s="1"/>
      <c r="T10581" s="1"/>
      <c r="U10581" s="1"/>
      <c r="V10581" s="1"/>
      <c r="W10581" s="1"/>
      <c r="X10581" s="1"/>
      <c r="Y10581" s="1"/>
      <c r="Z10581" s="1"/>
      <c r="AA10581" s="1"/>
      <c r="AB10581" s="1"/>
    </row>
    <row r="10582" ht="50.25" customHeight="1">
      <c r="A10582" s="12">
        <v>10578.0</v>
      </c>
      <c r="B10582" s="13" t="s">
        <v>10535</v>
      </c>
      <c r="C10582" s="18" t="s">
        <v>10610</v>
      </c>
      <c r="D10582" s="1"/>
      <c r="E10582" s="1"/>
      <c r="F10582" s="1" t="str">
        <f>IFERROR(__xludf.DUMMYFUNCTION("GOOGLETRANSLATE(B10582, ""en"", ""fa"")
"),"کپی رایتینگ II")</f>
        <v>کپی رایتینگ II</v>
      </c>
      <c r="G10582" s="1" t="str">
        <f>IFERROR(__xludf.DUMMYFUNCTION("GOOGLETRANSLATE(C10582, ""en"", ""fa"")
"),"در مورد اهمیت همراستایی نسخه تبلیغاتی خود با دستورالعمل های زیبایی بصری و برندسازی پلت فرم رسانه اجتماعی که در آن تبلیغ می کنید بحث کنید.")</f>
        <v>در مورد اهمیت همراستایی نسخه تبلیغاتی خود با دستورالعمل های زیبایی بصری و برندسازی پلت فرم رسانه اجتماعی که در آن تبلیغ می کنید بحث کنید.</v>
      </c>
      <c r="H10582" s="1"/>
      <c r="I10582" s="1"/>
      <c r="J10582" s="1"/>
      <c r="K10582" s="1"/>
      <c r="L10582" s="1"/>
      <c r="M10582" s="1"/>
      <c r="N10582" s="1"/>
      <c r="O10582" s="1"/>
      <c r="P10582" s="1"/>
      <c r="Q10582" s="1"/>
      <c r="R10582" s="1"/>
      <c r="S10582" s="1"/>
      <c r="T10582" s="1"/>
      <c r="U10582" s="1"/>
      <c r="V10582" s="1"/>
      <c r="W10582" s="1"/>
      <c r="X10582" s="1"/>
      <c r="Y10582" s="1"/>
      <c r="Z10582" s="1"/>
      <c r="AA10582" s="1"/>
      <c r="AB10582" s="1"/>
    </row>
    <row r="10583" ht="50.25" customHeight="1">
      <c r="A10583" s="12">
        <v>10579.0</v>
      </c>
      <c r="B10583" s="13" t="s">
        <v>10535</v>
      </c>
      <c r="C10583" s="18" t="s">
        <v>10611</v>
      </c>
      <c r="D10583" s="1"/>
      <c r="E10583" s="1"/>
      <c r="F10583" s="1" t="str">
        <f>IFERROR(__xludf.DUMMYFUNCTION("GOOGLETRANSLATE(B10583, ""en"", ""fa"")
"),"کپی رایتینگ II")</f>
        <v>کپی رایتینگ II</v>
      </c>
      <c r="G10583" s="1" t="str">
        <f>IFERROR(__xludf.DUMMYFUNCTION("GOOGLETRANSLATE(C10583, ""en"", ""fa"")
"),"چگونه می توان نسخه تبلیغاتی را برای قالب های مختلف تبلیغات رسانه های اجتماعی، مانند تبلیغات ویدیویی یا تبلیغات چرخ و فلک، بهینه کرد تا تعامل و تبدیل ها را به حداکثر برسانیم؟")</f>
        <v>چگونه می توان نسخه تبلیغاتی را برای قالب های مختلف تبلیغات رسانه های اجتماعی، مانند تبلیغات ویدیویی یا تبلیغات چرخ و فلک، بهینه کرد تا تعامل و تبدیل ها را به حداکثر برسانیم؟</v>
      </c>
      <c r="H10583" s="1"/>
      <c r="I10583" s="1"/>
      <c r="J10583" s="1"/>
      <c r="K10583" s="1"/>
      <c r="L10583" s="1"/>
      <c r="M10583" s="1"/>
      <c r="N10583" s="1"/>
      <c r="O10583" s="1"/>
      <c r="P10583" s="1"/>
      <c r="Q10583" s="1"/>
      <c r="R10583" s="1"/>
      <c r="S10583" s="1"/>
      <c r="T10583" s="1"/>
      <c r="U10583" s="1"/>
      <c r="V10583" s="1"/>
      <c r="W10583" s="1"/>
      <c r="X10583" s="1"/>
      <c r="Y10583" s="1"/>
      <c r="Z10583" s="1"/>
      <c r="AA10583" s="1"/>
      <c r="AB10583" s="1"/>
    </row>
    <row r="10584" ht="50.25" customHeight="1">
      <c r="A10584" s="12">
        <v>10580.0</v>
      </c>
      <c r="B10584" s="13" t="s">
        <v>10535</v>
      </c>
      <c r="C10584" s="18" t="s">
        <v>10612</v>
      </c>
      <c r="D10584" s="1"/>
      <c r="E10584" s="1"/>
      <c r="F10584" s="1" t="str">
        <f>IFERROR(__xludf.DUMMYFUNCTION("GOOGLETRANSLATE(B10584, ""en"", ""fa"")
"),"کپی رایتینگ II")</f>
        <v>کپی رایتینگ II</v>
      </c>
      <c r="G10584" s="1" t="str">
        <f>IFERROR(__xludf.DUMMYFUNCTION("GOOGLETRANSLATE(C10584, ""en"", ""fa"")
"),"استراتژی‌های استفاده از تست تبلیغات رسانه‌های اجتماعی را برای شناسایی مؤثرترین قالب‌های تبلیغات، تصاویر و پیام‌رسانی برای مخاطبان هدف خود به اشتراک بگذارید.")</f>
        <v>استراتژی‌های استفاده از تست تبلیغات رسانه‌های اجتماعی را برای شناسایی مؤثرترین قالب‌های تبلیغات، تصاویر و پیام‌رسانی برای مخاطبان هدف خود به اشتراک بگذارید.</v>
      </c>
      <c r="H10584" s="1"/>
      <c r="I10584" s="1"/>
      <c r="J10584" s="1"/>
      <c r="K10584" s="1"/>
      <c r="L10584" s="1"/>
      <c r="M10584" s="1"/>
      <c r="N10584" s="1"/>
      <c r="O10584" s="1"/>
      <c r="P10584" s="1"/>
      <c r="Q10584" s="1"/>
      <c r="R10584" s="1"/>
      <c r="S10584" s="1"/>
      <c r="T10584" s="1"/>
      <c r="U10584" s="1"/>
      <c r="V10584" s="1"/>
      <c r="W10584" s="1"/>
      <c r="X10584" s="1"/>
      <c r="Y10584" s="1"/>
      <c r="Z10584" s="1"/>
      <c r="AA10584" s="1"/>
      <c r="AB10584" s="1"/>
    </row>
    <row r="10585" ht="50.25" customHeight="1">
      <c r="A10585" s="12">
        <v>10581.0</v>
      </c>
      <c r="B10585" s="13" t="s">
        <v>10535</v>
      </c>
      <c r="C10585" s="18" t="s">
        <v>10613</v>
      </c>
      <c r="D10585" s="1"/>
      <c r="E10585" s="1"/>
      <c r="F10585" s="1" t="str">
        <f>IFERROR(__xludf.DUMMYFUNCTION("GOOGLETRANSLATE(B10585, ""en"", ""fa"")
"),"کپی رایتینگ II")</f>
        <v>کپی رایتینگ II</v>
      </c>
      <c r="G10585" s="1" t="str">
        <f>IFERROR(__xludf.DUMMYFUNCTION("GOOGLETRANSLATE(C10585, ""en"", ""fa"")
"),"درباره تأثیر استفاده از شخصی‌سازی تبلیغات رسانه‌های اجتماعی، مانند تبلیغات محصول پویا، برای ارائه پیام‌های متناسب به کاربران فردی بحث کنید.")</f>
        <v>درباره تأثیر استفاده از شخصی‌سازی تبلیغات رسانه‌های اجتماعی، مانند تبلیغات محصول پویا، برای ارائه پیام‌های متناسب به کاربران فردی بحث کنید.</v>
      </c>
      <c r="H10585" s="1"/>
      <c r="I10585" s="1"/>
      <c r="J10585" s="1"/>
      <c r="K10585" s="1"/>
      <c r="L10585" s="1"/>
      <c r="M10585" s="1"/>
      <c r="N10585" s="1"/>
      <c r="O10585" s="1"/>
      <c r="P10585" s="1"/>
      <c r="Q10585" s="1"/>
      <c r="R10585" s="1"/>
      <c r="S10585" s="1"/>
      <c r="T10585" s="1"/>
      <c r="U10585" s="1"/>
      <c r="V10585" s="1"/>
      <c r="W10585" s="1"/>
      <c r="X10585" s="1"/>
      <c r="Y10585" s="1"/>
      <c r="Z10585" s="1"/>
      <c r="AA10585" s="1"/>
      <c r="AB10585" s="1"/>
    </row>
    <row r="10586" ht="50.25" customHeight="1">
      <c r="A10586" s="12">
        <v>10582.0</v>
      </c>
      <c r="B10586" s="13" t="s">
        <v>10535</v>
      </c>
      <c r="C10586" s="18" t="s">
        <v>10614</v>
      </c>
      <c r="D10586" s="1"/>
      <c r="E10586" s="1"/>
      <c r="F10586" s="1" t="str">
        <f>IFERROR(__xludf.DUMMYFUNCTION("GOOGLETRANSLATE(B10586, ""en"", ""fa"")
"),"کپی رایتینگ II")</f>
        <v>کپی رایتینگ II</v>
      </c>
      <c r="G10586" s="1" t="str">
        <f>IFERROR(__xludf.DUMMYFUNCTION("GOOGLETRANSLATE(C10586, ""en"", ""fa"")
"),"چگونه یک کپی تبلیغاتی ایجاد کنیم که حس اصالت را ایجاد کند و در تبلیغات رسانه های اجتماعی به برند یا محصول شما اعتماد ایجاد کند؟")</f>
        <v>چگونه یک کپی تبلیغاتی ایجاد کنیم که حس اصالت را ایجاد کند و در تبلیغات رسانه های اجتماعی به برند یا محصول شما اعتماد ایجاد کند؟</v>
      </c>
      <c r="H10586" s="1"/>
      <c r="I10586" s="1"/>
      <c r="J10586" s="1"/>
      <c r="K10586" s="1"/>
      <c r="L10586" s="1"/>
      <c r="M10586" s="1"/>
      <c r="N10586" s="1"/>
      <c r="O10586" s="1"/>
      <c r="P10586" s="1"/>
      <c r="Q10586" s="1"/>
      <c r="R10586" s="1"/>
      <c r="S10586" s="1"/>
      <c r="T10586" s="1"/>
      <c r="U10586" s="1"/>
      <c r="V10586" s="1"/>
      <c r="W10586" s="1"/>
      <c r="X10586" s="1"/>
      <c r="Y10586" s="1"/>
      <c r="Z10586" s="1"/>
      <c r="AA10586" s="1"/>
      <c r="AB10586" s="1"/>
    </row>
    <row r="10587" ht="50.25" customHeight="1">
      <c r="A10587" s="12">
        <v>10583.0</v>
      </c>
      <c r="B10587" s="13" t="s">
        <v>10535</v>
      </c>
      <c r="C10587" s="18" t="s">
        <v>10615</v>
      </c>
      <c r="D10587" s="1"/>
      <c r="E10587" s="1"/>
      <c r="F10587" s="1" t="str">
        <f>IFERROR(__xludf.DUMMYFUNCTION("GOOGLETRANSLATE(B10587, ""en"", ""fa"")
"),"کپی رایتینگ II")</f>
        <v>کپی رایتینگ II</v>
      </c>
      <c r="G10587" s="1" t="str">
        <f>IFERROR(__xludf.DUMMYFUNCTION("GOOGLETRANSLATE(C10587, ""en"", ""fa"")
"),"چگونه می توان یک مقدمه قانع کننده ایجاد کرد که بلافاصله توجه خواننده را جلب کرده و علاقه آنها را برانگیخت؟")</f>
        <v>چگونه می توان یک مقدمه قانع کننده ایجاد کرد که بلافاصله توجه خواننده را جلب کرده و علاقه آنها را برانگیخت؟</v>
      </c>
      <c r="H10587" s="1"/>
      <c r="I10587" s="1"/>
      <c r="J10587" s="1"/>
      <c r="K10587" s="1"/>
      <c r="L10587" s="1"/>
      <c r="M10587" s="1"/>
      <c r="N10587" s="1"/>
      <c r="O10587" s="1"/>
      <c r="P10587" s="1"/>
      <c r="Q10587" s="1"/>
      <c r="R10587" s="1"/>
      <c r="S10587" s="1"/>
      <c r="T10587" s="1"/>
      <c r="U10587" s="1"/>
      <c r="V10587" s="1"/>
      <c r="W10587" s="1"/>
      <c r="X10587" s="1"/>
      <c r="Y10587" s="1"/>
      <c r="Z10587" s="1"/>
      <c r="AA10587" s="1"/>
      <c r="AB10587" s="1"/>
    </row>
    <row r="10588" ht="50.25" customHeight="1">
      <c r="A10588" s="12">
        <v>10584.0</v>
      </c>
      <c r="B10588" s="13" t="s">
        <v>10535</v>
      </c>
      <c r="C10588" s="18" t="s">
        <v>10616</v>
      </c>
      <c r="D10588" s="1"/>
      <c r="E10588" s="1"/>
      <c r="F10588" s="1" t="str">
        <f>IFERROR(__xludf.DUMMYFUNCTION("GOOGLETRANSLATE(B10588, ""en"", ""fa"")
"),"کپی رایتینگ II")</f>
        <v>کپی رایتینگ II</v>
      </c>
      <c r="G10588" s="1" t="str">
        <f>IFERROR(__xludf.DUMMYFUNCTION("GOOGLETRANSLATE(C10588, ""en"", ""fa"")
"),"تکنیک هایی را برای ساختاربندی استدلال های متقاعدکننده به اشتراک بگذارید که یک مورد قوی ایجاد می کند و نظر خواننده را تحت تأثیر قرار می دهد.")</f>
        <v>تکنیک هایی را برای ساختاربندی استدلال های متقاعدکننده به اشتراک بگذارید که یک مورد قوی ایجاد می کند و نظر خواننده را تحت تأثیر قرار می دهد.</v>
      </c>
      <c r="H10588" s="1"/>
      <c r="I10588" s="1"/>
      <c r="J10588" s="1"/>
      <c r="K10588" s="1"/>
      <c r="L10588" s="1"/>
      <c r="M10588" s="1"/>
      <c r="N10588" s="1"/>
      <c r="O10588" s="1"/>
      <c r="P10588" s="1"/>
      <c r="Q10588" s="1"/>
      <c r="R10588" s="1"/>
      <c r="S10588" s="1"/>
      <c r="T10588" s="1"/>
      <c r="U10588" s="1"/>
      <c r="V10588" s="1"/>
      <c r="W10588" s="1"/>
      <c r="X10588" s="1"/>
      <c r="Y10588" s="1"/>
      <c r="Z10588" s="1"/>
      <c r="AA10588" s="1"/>
      <c r="AB10588" s="1"/>
    </row>
    <row r="10589" ht="50.25" customHeight="1">
      <c r="A10589" s="12">
        <v>10585.0</v>
      </c>
      <c r="B10589" s="13" t="s">
        <v>10535</v>
      </c>
      <c r="C10589" s="18" t="s">
        <v>10617</v>
      </c>
      <c r="D10589" s="1"/>
      <c r="E10589" s="1"/>
      <c r="F10589" s="1" t="str">
        <f>IFERROR(__xludf.DUMMYFUNCTION("GOOGLETRANSLATE(B10589, ""en"", ""fa"")
"),"کپی رایتینگ II")</f>
        <v>کپی رایتینگ II</v>
      </c>
      <c r="G10589" s="1" t="str">
        <f>IFERROR(__xludf.DUMMYFUNCTION("GOOGLETRANSLATE(C10589, ""en"", ""fa"")
"),"درباره قدرت داستان سرایی در نوشتن متقاعدکننده و چگونگی ترکیب عناصر روایی برای درگیر کردن و متقاعد کردن مخاطب بحث کنید.")</f>
        <v>درباره قدرت داستان سرایی در نوشتن متقاعدکننده و چگونگی ترکیب عناصر روایی برای درگیر کردن و متقاعد کردن مخاطب بحث کنید.</v>
      </c>
      <c r="H10589" s="1"/>
      <c r="I10589" s="1"/>
      <c r="J10589" s="1"/>
      <c r="K10589" s="1"/>
      <c r="L10589" s="1"/>
      <c r="M10589" s="1"/>
      <c r="N10589" s="1"/>
      <c r="O10589" s="1"/>
      <c r="P10589" s="1"/>
      <c r="Q10589" s="1"/>
      <c r="R10589" s="1"/>
      <c r="S10589" s="1"/>
      <c r="T10589" s="1"/>
      <c r="U10589" s="1"/>
      <c r="V10589" s="1"/>
      <c r="W10589" s="1"/>
      <c r="X10589" s="1"/>
      <c r="Y10589" s="1"/>
      <c r="Z10589" s="1"/>
      <c r="AA10589" s="1"/>
      <c r="AB10589" s="1"/>
    </row>
    <row r="10590" ht="50.25" customHeight="1">
      <c r="A10590" s="12">
        <v>10586.0</v>
      </c>
      <c r="B10590" s="13" t="s">
        <v>10535</v>
      </c>
      <c r="C10590" s="18" t="s">
        <v>10618</v>
      </c>
      <c r="D10590" s="1"/>
      <c r="E10590" s="1"/>
      <c r="F10590" s="1" t="str">
        <f>IFERROR(__xludf.DUMMYFUNCTION("GOOGLETRANSLATE(B10590, ""en"", ""fa"")
"),"کپی رایتینگ II")</f>
        <v>کپی رایتینگ II</v>
      </c>
      <c r="G10590" s="1" t="str">
        <f>IFERROR(__xludf.DUMMYFUNCTION("GOOGLETRANSLATE(C10590, ""en"", ""fa"")
"),"چگونه از زبان متقاعد کننده و ابزارهای بلاغی برای برانگیختن احساسات و ایجاد تأثیر متقاعدکننده در نوشته خود استفاده کنید؟")</f>
        <v>چگونه از زبان متقاعد کننده و ابزارهای بلاغی برای برانگیختن احساسات و ایجاد تأثیر متقاعدکننده در نوشته خود استفاده کنید؟</v>
      </c>
      <c r="H10590" s="1"/>
      <c r="I10590" s="1"/>
      <c r="J10590" s="1"/>
      <c r="K10590" s="1"/>
      <c r="L10590" s="1"/>
      <c r="M10590" s="1"/>
      <c r="N10590" s="1"/>
      <c r="O10590" s="1"/>
      <c r="P10590" s="1"/>
      <c r="Q10590" s="1"/>
      <c r="R10590" s="1"/>
      <c r="S10590" s="1"/>
      <c r="T10590" s="1"/>
      <c r="U10590" s="1"/>
      <c r="V10590" s="1"/>
      <c r="W10590" s="1"/>
      <c r="X10590" s="1"/>
      <c r="Y10590" s="1"/>
      <c r="Z10590" s="1"/>
      <c r="AA10590" s="1"/>
      <c r="AB10590" s="1"/>
    </row>
    <row r="10591" ht="50.25" customHeight="1">
      <c r="A10591" s="12">
        <v>10587.0</v>
      </c>
      <c r="B10591" s="13" t="s">
        <v>10535</v>
      </c>
      <c r="C10591" s="18" t="s">
        <v>10619</v>
      </c>
      <c r="D10591" s="1"/>
      <c r="E10591" s="1"/>
      <c r="F10591" s="1" t="str">
        <f>IFERROR(__xludf.DUMMYFUNCTION("GOOGLETRANSLATE(B10591, ""en"", ""fa"")
"),"کپی رایتینگ II")</f>
        <v>کپی رایتینگ II</v>
      </c>
      <c r="G10591" s="1" t="str">
        <f>IFERROR(__xludf.DUMMYFUNCTION("GOOGLETRANSLATE(C10591, ""en"", ""fa"")
"),"هنر ایجاد سرفصل ها و زیرعنوان های قدرتمندی را که خوانندگان را مجذوب می کند و پیام اصلی را به طور موثر منتقل می کند، کاوش کنید.")</f>
        <v>هنر ایجاد سرفصل ها و زیرعنوان های قدرتمندی را که خوانندگان را مجذوب می کند و پیام اصلی را به طور موثر منتقل می کند، کاوش کنید.</v>
      </c>
      <c r="H10591" s="1"/>
      <c r="I10591" s="1"/>
      <c r="J10591" s="1"/>
      <c r="K10591" s="1"/>
      <c r="L10591" s="1"/>
      <c r="M10591" s="1"/>
      <c r="N10591" s="1"/>
      <c r="O10591" s="1"/>
      <c r="P10591" s="1"/>
      <c r="Q10591" s="1"/>
      <c r="R10591" s="1"/>
      <c r="S10591" s="1"/>
      <c r="T10591" s="1"/>
      <c r="U10591" s="1"/>
      <c r="V10591" s="1"/>
      <c r="W10591" s="1"/>
      <c r="X10591" s="1"/>
      <c r="Y10591" s="1"/>
      <c r="Z10591" s="1"/>
      <c r="AA10591" s="1"/>
      <c r="AB10591" s="1"/>
    </row>
    <row r="10592" ht="50.25" customHeight="1">
      <c r="A10592" s="12">
        <v>10588.0</v>
      </c>
      <c r="B10592" s="13" t="s">
        <v>10535</v>
      </c>
      <c r="C10592" s="18" t="s">
        <v>10620</v>
      </c>
      <c r="D10592" s="1"/>
      <c r="E10592" s="1"/>
      <c r="F10592" s="1" t="str">
        <f>IFERROR(__xludf.DUMMYFUNCTION("GOOGLETRANSLATE(B10592, ""en"", ""fa"")
"),"کپی رایتینگ II")</f>
        <v>کپی رایتینگ II</v>
      </c>
      <c r="G10592" s="1" t="str">
        <f>IFERROR(__xludf.DUMMYFUNCTION("GOOGLETRANSLATE(C10592, ""en"", ""fa"")
"),"برای غلبه بر مقاومت و ایجاد اعتماد، استراتژی‌هایی را برای رسیدگی به مخالفت‌ها یا استدلال‌های متقابل در نوشته‌تان به اشتراک بگذارید.")</f>
        <v>برای غلبه بر مقاومت و ایجاد اعتماد، استراتژی‌هایی را برای رسیدگی به مخالفت‌ها یا استدلال‌های متقابل در نوشته‌تان به اشتراک بگذارید.</v>
      </c>
      <c r="H10592" s="1"/>
      <c r="I10592" s="1"/>
      <c r="J10592" s="1"/>
      <c r="K10592" s="1"/>
      <c r="L10592" s="1"/>
      <c r="M10592" s="1"/>
      <c r="N10592" s="1"/>
      <c r="O10592" s="1"/>
      <c r="P10592" s="1"/>
      <c r="Q10592" s="1"/>
      <c r="R10592" s="1"/>
      <c r="S10592" s="1"/>
      <c r="T10592" s="1"/>
      <c r="U10592" s="1"/>
      <c r="V10592" s="1"/>
      <c r="W10592" s="1"/>
      <c r="X10592" s="1"/>
      <c r="Y10592" s="1"/>
      <c r="Z10592" s="1"/>
      <c r="AA10592" s="1"/>
      <c r="AB10592" s="1"/>
    </row>
    <row r="10593" ht="50.25" customHeight="1">
      <c r="A10593" s="12">
        <v>10589.0</v>
      </c>
      <c r="B10593" s="13" t="s">
        <v>10535</v>
      </c>
      <c r="C10593" s="18" t="s">
        <v>10621</v>
      </c>
      <c r="D10593" s="1"/>
      <c r="E10593" s="1"/>
      <c r="F10593" s="1" t="str">
        <f>IFERROR(__xludf.DUMMYFUNCTION("GOOGLETRANSLATE(B10593, ""en"", ""fa"")
"),"کپی رایتینگ II")</f>
        <v>کپی رایتینگ II</v>
      </c>
      <c r="G10593" s="1" t="str">
        <f>IFERROR(__xludf.DUMMYFUNCTION("GOOGLETRANSLATE(C10593, ""en"", ""fa"")
"),"در مورد اهمیت درک نیازها، خواسته ها و نقاط درد مخاطب هدف خود بحث کنید تا پیام متقاعدکننده خود را به طور موثر تنظیم کنید.")</f>
        <v>در مورد اهمیت درک نیازها، خواسته ها و نقاط درد مخاطب هدف خود بحث کنید تا پیام متقاعدکننده خود را به طور موثر تنظیم کنید.</v>
      </c>
      <c r="H10593" s="1"/>
      <c r="I10593" s="1"/>
      <c r="J10593" s="1"/>
      <c r="K10593" s="1"/>
      <c r="L10593" s="1"/>
      <c r="M10593" s="1"/>
      <c r="N10593" s="1"/>
      <c r="O10593" s="1"/>
      <c r="P10593" s="1"/>
      <c r="Q10593" s="1"/>
      <c r="R10593" s="1"/>
      <c r="S10593" s="1"/>
      <c r="T10593" s="1"/>
      <c r="U10593" s="1"/>
      <c r="V10593" s="1"/>
      <c r="W10593" s="1"/>
      <c r="X10593" s="1"/>
      <c r="Y10593" s="1"/>
      <c r="Z10593" s="1"/>
      <c r="AA10593" s="1"/>
      <c r="AB10593" s="1"/>
    </row>
    <row r="10594" ht="50.25" customHeight="1">
      <c r="A10594" s="12">
        <v>10590.0</v>
      </c>
      <c r="B10594" s="13" t="s">
        <v>10535</v>
      </c>
      <c r="C10594" s="18" t="s">
        <v>10622</v>
      </c>
      <c r="D10594" s="1"/>
      <c r="E10594" s="1"/>
      <c r="F10594" s="1" t="str">
        <f>IFERROR(__xludf.DUMMYFUNCTION("GOOGLETRANSLATE(B10594, ""en"", ""fa"")
"),"کپی رایتینگ II")</f>
        <v>کپی رایتینگ II</v>
      </c>
      <c r="G10594" s="1" t="str">
        <f>IFERROR(__xludf.DUMMYFUNCTION("GOOGLETRANSLATE(C10594, ""en"", ""fa"")
"),"چگونه می توان از شواهد اجتماعی، مانند توصیفات یا مطالعات موردی، برای افزایش اعتبار و متقاعدسازی نوشته خود استفاده کرد؟")</f>
        <v>چگونه می توان از شواهد اجتماعی، مانند توصیفات یا مطالعات موردی، برای افزایش اعتبار و متقاعدسازی نوشته خود استفاده کرد؟</v>
      </c>
      <c r="H10594" s="1"/>
      <c r="I10594" s="1"/>
      <c r="J10594" s="1"/>
      <c r="K10594" s="1"/>
      <c r="L10594" s="1"/>
      <c r="M10594" s="1"/>
      <c r="N10594" s="1"/>
      <c r="O10594" s="1"/>
      <c r="P10594" s="1"/>
      <c r="Q10594" s="1"/>
      <c r="R10594" s="1"/>
      <c r="S10594" s="1"/>
      <c r="T10594" s="1"/>
      <c r="U10594" s="1"/>
      <c r="V10594" s="1"/>
      <c r="W10594" s="1"/>
      <c r="X10594" s="1"/>
      <c r="Y10594" s="1"/>
      <c r="Z10594" s="1"/>
      <c r="AA10594" s="1"/>
      <c r="AB10594" s="1"/>
    </row>
    <row r="10595" ht="50.25" customHeight="1">
      <c r="A10595" s="12">
        <v>10591.0</v>
      </c>
      <c r="B10595" s="13" t="s">
        <v>10535</v>
      </c>
      <c r="C10595" s="18" t="s">
        <v>10623</v>
      </c>
      <c r="D10595" s="1"/>
      <c r="E10595" s="1"/>
      <c r="F10595" s="1" t="str">
        <f>IFERROR(__xludf.DUMMYFUNCTION("GOOGLETRANSLATE(B10595, ""en"", ""fa"")
"),"کپی رایتینگ II")</f>
        <v>کپی رایتینگ II</v>
      </c>
      <c r="G10595" s="1" t="str">
        <f>IFERROR(__xludf.DUMMYFUNCTION("GOOGLETRANSLATE(C10595, ""en"", ""fa"")
"),"استفاده از تکنیک‌های متقاعدکننده، مانند کمبود یا فوریت را برای ایجاد احساس اهمیت و ایجاد انگیزه برای اقدام در نوشتار خود، بررسی کنید.")</f>
        <v>استفاده از تکنیک‌های متقاعدکننده، مانند کمبود یا فوریت را برای ایجاد احساس اهمیت و ایجاد انگیزه برای اقدام در نوشتار خود، بررسی کنید.</v>
      </c>
      <c r="H10595" s="1"/>
      <c r="I10595" s="1"/>
      <c r="J10595" s="1"/>
      <c r="K10595" s="1"/>
      <c r="L10595" s="1"/>
      <c r="M10595" s="1"/>
      <c r="N10595" s="1"/>
      <c r="O10595" s="1"/>
      <c r="P10595" s="1"/>
      <c r="Q10595" s="1"/>
      <c r="R10595" s="1"/>
      <c r="S10595" s="1"/>
      <c r="T10595" s="1"/>
      <c r="U10595" s="1"/>
      <c r="V10595" s="1"/>
      <c r="W10595" s="1"/>
      <c r="X10595" s="1"/>
      <c r="Y10595" s="1"/>
      <c r="Z10595" s="1"/>
      <c r="AA10595" s="1"/>
      <c r="AB10595" s="1"/>
    </row>
    <row r="10596" ht="50.25" customHeight="1">
      <c r="A10596" s="12">
        <v>10592.0</v>
      </c>
      <c r="B10596" s="13" t="s">
        <v>10535</v>
      </c>
      <c r="C10596" s="18" t="s">
        <v>10624</v>
      </c>
      <c r="D10596" s="1"/>
      <c r="E10596" s="1"/>
      <c r="F10596" s="1" t="str">
        <f>IFERROR(__xludf.DUMMYFUNCTION("GOOGLETRANSLATE(B10596, ""en"", ""fa"")
"),"کپی رایتینگ II")</f>
        <v>کپی رایتینگ II</v>
      </c>
      <c r="G10596" s="1" t="str">
        <f>IFERROR(__xludf.DUMMYFUNCTION("GOOGLETRANSLATE(C10596, ""en"", ""fa"")
"),"بینش های خود را در مورد استفاده از داده ها، حقایق و آمار برای افزایش اعتبار و تقویت استدلال های متقاعدکننده خود به اشتراک بگذارید.")</f>
        <v>بینش های خود را در مورد استفاده از داده ها، حقایق و آمار برای افزایش اعتبار و تقویت استدلال های متقاعدکننده خود به اشتراک بگذارید.</v>
      </c>
      <c r="H10596" s="1"/>
      <c r="I10596" s="1"/>
      <c r="J10596" s="1"/>
      <c r="K10596" s="1"/>
      <c r="L10596" s="1"/>
      <c r="M10596" s="1"/>
      <c r="N10596" s="1"/>
      <c r="O10596" s="1"/>
      <c r="P10596" s="1"/>
      <c r="Q10596" s="1"/>
      <c r="R10596" s="1"/>
      <c r="S10596" s="1"/>
      <c r="T10596" s="1"/>
      <c r="U10596" s="1"/>
      <c r="V10596" s="1"/>
      <c r="W10596" s="1"/>
      <c r="X10596" s="1"/>
      <c r="Y10596" s="1"/>
      <c r="Z10596" s="1"/>
      <c r="AA10596" s="1"/>
      <c r="AB10596" s="1"/>
    </row>
    <row r="10597" ht="50.25" customHeight="1">
      <c r="A10597" s="12">
        <v>10593.0</v>
      </c>
      <c r="B10597" s="13" t="s">
        <v>10535</v>
      </c>
      <c r="C10597" s="18" t="s">
        <v>10625</v>
      </c>
      <c r="D10597" s="1"/>
      <c r="E10597" s="1"/>
      <c r="F10597" s="1" t="str">
        <f>IFERROR(__xludf.DUMMYFUNCTION("GOOGLETRANSLATE(B10597, ""en"", ""fa"")
"),"کپی رایتینگ II")</f>
        <v>کپی رایتینگ II</v>
      </c>
      <c r="G10597" s="1" t="str">
        <f>IFERROR(__xludf.DUMMYFUNCTION("GOOGLETRANSLATE(C10597, ""en"", ""fa"")
"),"در مورد تأثیر استفاده از زبان زنده و حسی برای ترسیم یک تصویر متقاعد کننده و درگیر کردن تخیل خواننده بحث کنید.")</f>
        <v>در مورد تأثیر استفاده از زبان زنده و حسی برای ترسیم یک تصویر متقاعد کننده و درگیر کردن تخیل خواننده بحث کنید.</v>
      </c>
      <c r="H10597" s="1"/>
      <c r="I10597" s="1"/>
      <c r="J10597" s="1"/>
      <c r="K10597" s="1"/>
      <c r="L10597" s="1"/>
      <c r="M10597" s="1"/>
      <c r="N10597" s="1"/>
      <c r="O10597" s="1"/>
      <c r="P10597" s="1"/>
      <c r="Q10597" s="1"/>
      <c r="R10597" s="1"/>
      <c r="S10597" s="1"/>
      <c r="T10597" s="1"/>
      <c r="U10597" s="1"/>
      <c r="V10597" s="1"/>
      <c r="W10597" s="1"/>
      <c r="X10597" s="1"/>
      <c r="Y10597" s="1"/>
      <c r="Z10597" s="1"/>
      <c r="AA10597" s="1"/>
      <c r="AB10597" s="1"/>
    </row>
    <row r="10598" ht="50.25" customHeight="1">
      <c r="A10598" s="12">
        <v>10594.0</v>
      </c>
      <c r="B10598" s="13" t="s">
        <v>10535</v>
      </c>
      <c r="C10598" s="18" t="s">
        <v>10626</v>
      </c>
      <c r="D10598" s="1"/>
      <c r="E10598" s="1"/>
      <c r="F10598" s="1" t="str">
        <f>IFERROR(__xludf.DUMMYFUNCTION("GOOGLETRANSLATE(B10598, ""en"", ""fa"")
"),"کپی رایتینگ II")</f>
        <v>کپی رایتینگ II</v>
      </c>
      <c r="G10598" s="1" t="str">
        <f>IFERROR(__xludf.DUMMYFUNCTION("GOOGLETRANSLATE(C10598, ""en"", ""fa"")
"),"چگونه نوشته خود را با یک جریان روشن و منطقی ساختار دهید که خواننده را به سمت عمل یا نتیجه دلخواه هدایت کند؟")</f>
        <v>چگونه نوشته خود را با یک جریان روشن و منطقی ساختار دهید که خواننده را به سمت عمل یا نتیجه دلخواه هدایت کند؟</v>
      </c>
      <c r="H10598" s="1"/>
      <c r="I10598" s="1"/>
      <c r="J10598" s="1"/>
      <c r="K10598" s="1"/>
      <c r="L10598" s="1"/>
      <c r="M10598" s="1"/>
      <c r="N10598" s="1"/>
      <c r="O10598" s="1"/>
      <c r="P10598" s="1"/>
      <c r="Q10598" s="1"/>
      <c r="R10598" s="1"/>
      <c r="S10598" s="1"/>
      <c r="T10598" s="1"/>
      <c r="U10598" s="1"/>
      <c r="V10598" s="1"/>
      <c r="W10598" s="1"/>
      <c r="X10598" s="1"/>
      <c r="Y10598" s="1"/>
      <c r="Z10598" s="1"/>
      <c r="AA10598" s="1"/>
      <c r="AB10598" s="1"/>
    </row>
    <row r="10599" ht="50.25" customHeight="1">
      <c r="A10599" s="12">
        <v>10595.0</v>
      </c>
      <c r="B10599" s="13" t="s">
        <v>10535</v>
      </c>
      <c r="C10599" s="18" t="s">
        <v>10627</v>
      </c>
      <c r="D10599" s="1"/>
      <c r="E10599" s="1"/>
      <c r="F10599" s="1" t="str">
        <f>IFERROR(__xludf.DUMMYFUNCTION("GOOGLETRANSLATE(B10599, ""en"", ""fa"")
"),"کپی رایتینگ II")</f>
        <v>کپی رایتینگ II</v>
      </c>
      <c r="G10599" s="1" t="str">
        <f>IFERROR(__xludf.DUMMYFUNCTION("GOOGLETRANSLATE(C10599, ""en"", ""fa"")
"),"راهبردهای استفاده از داستان سرایی متقاعدکننده برای ایجاد یک ارتباط عاطفی و همخوانی با ارزش ها و باورهای خواننده را به اشتراک بگذارید.")</f>
        <v>راهبردهای استفاده از داستان سرایی متقاعدکننده برای ایجاد یک ارتباط عاطفی و همخوانی با ارزش ها و باورهای خواننده را به اشتراک بگذارید.</v>
      </c>
      <c r="H10599" s="1"/>
      <c r="I10599" s="1"/>
      <c r="J10599" s="1"/>
      <c r="K10599" s="1"/>
      <c r="L10599" s="1"/>
      <c r="M10599" s="1"/>
      <c r="N10599" s="1"/>
      <c r="O10599" s="1"/>
      <c r="P10599" s="1"/>
      <c r="Q10599" s="1"/>
      <c r="R10599" s="1"/>
      <c r="S10599" s="1"/>
      <c r="T10599" s="1"/>
      <c r="U10599" s="1"/>
      <c r="V10599" s="1"/>
      <c r="W10599" s="1"/>
      <c r="X10599" s="1"/>
      <c r="Y10599" s="1"/>
      <c r="Z10599" s="1"/>
      <c r="AA10599" s="1"/>
      <c r="AB10599" s="1"/>
    </row>
    <row r="10600" ht="50.25" customHeight="1">
      <c r="A10600" s="12">
        <v>10596.0</v>
      </c>
      <c r="B10600" s="13" t="s">
        <v>10535</v>
      </c>
      <c r="C10600" s="18" t="s">
        <v>10628</v>
      </c>
      <c r="D10600" s="1"/>
      <c r="E10600" s="1"/>
      <c r="F10600" s="1" t="str">
        <f>IFERROR(__xludf.DUMMYFUNCTION("GOOGLETRANSLATE(B10600, ""en"", ""fa"")
"),"کپی رایتینگ II")</f>
        <v>کپی رایتینگ II</v>
      </c>
      <c r="G10600" s="1" t="str">
        <f>IFERROR(__xludf.DUMMYFUNCTION("GOOGLETRANSLATE(C10600, ""en"", ""fa"")
"),"استفاده از سؤالات بلاغی و عبارات تأمل برانگیز را برای مجذوب کردن خواننده و تشویق آنها به تفکر عمیق در مورد پیام شما کاوش کنید.")</f>
        <v>استفاده از سؤالات بلاغی و عبارات تأمل برانگیز را برای مجذوب کردن خواننده و تشویق آنها به تفکر عمیق در مورد پیام شما کاوش کنید.</v>
      </c>
      <c r="H10600" s="1"/>
      <c r="I10600" s="1"/>
      <c r="J10600" s="1"/>
      <c r="K10600" s="1"/>
      <c r="L10600" s="1"/>
      <c r="M10600" s="1"/>
      <c r="N10600" s="1"/>
      <c r="O10600" s="1"/>
      <c r="P10600" s="1"/>
      <c r="Q10600" s="1"/>
      <c r="R10600" s="1"/>
      <c r="S10600" s="1"/>
      <c r="T10600" s="1"/>
      <c r="U10600" s="1"/>
      <c r="V10600" s="1"/>
      <c r="W10600" s="1"/>
      <c r="X10600" s="1"/>
      <c r="Y10600" s="1"/>
      <c r="Z10600" s="1"/>
      <c r="AA10600" s="1"/>
      <c r="AB10600" s="1"/>
    </row>
    <row r="10601" ht="50.25" customHeight="1">
      <c r="A10601" s="12">
        <v>10597.0</v>
      </c>
      <c r="B10601" s="13" t="s">
        <v>10535</v>
      </c>
      <c r="C10601" s="18" t="s">
        <v>10629</v>
      </c>
      <c r="D10601" s="1"/>
      <c r="E10601" s="1"/>
      <c r="F10601" s="1" t="str">
        <f>IFERROR(__xludf.DUMMYFUNCTION("GOOGLETRANSLATE(B10601, ""en"", ""fa"")
"),"کپی رایتینگ II")</f>
        <v>کپی رایتینگ II</v>
      </c>
      <c r="G10601" s="1" t="str">
        <f>IFERROR(__xludf.DUMMYFUNCTION("GOOGLETRANSLATE(C10601, ""en"", ""fa"")
"),"در مورد اهمیت ایجاد اعتماد و اعتبار از طریق نظرات متخصص، تحقیق یا تایید در نوشته های متقاعدکننده خود بحث کنید.")</f>
        <v>در مورد اهمیت ایجاد اعتماد و اعتبار از طریق نظرات متخصص، تحقیق یا تایید در نوشته های متقاعدکننده خود بحث کنید.</v>
      </c>
      <c r="H10601" s="1"/>
      <c r="I10601" s="1"/>
      <c r="J10601" s="1"/>
      <c r="K10601" s="1"/>
      <c r="L10601" s="1"/>
      <c r="M10601" s="1"/>
      <c r="N10601" s="1"/>
      <c r="O10601" s="1"/>
      <c r="P10601" s="1"/>
      <c r="Q10601" s="1"/>
      <c r="R10601" s="1"/>
      <c r="S10601" s="1"/>
      <c r="T10601" s="1"/>
      <c r="U10601" s="1"/>
      <c r="V10601" s="1"/>
      <c r="W10601" s="1"/>
      <c r="X10601" s="1"/>
      <c r="Y10601" s="1"/>
      <c r="Z10601" s="1"/>
      <c r="AA10601" s="1"/>
      <c r="AB10601" s="1"/>
    </row>
    <row r="10602" ht="50.25" customHeight="1">
      <c r="A10602" s="12">
        <v>10598.0</v>
      </c>
      <c r="B10602" s="13" t="s">
        <v>10535</v>
      </c>
      <c r="C10602" s="18" t="s">
        <v>10630</v>
      </c>
      <c r="D10602" s="1"/>
      <c r="E10602" s="1"/>
      <c r="F10602" s="1" t="str">
        <f>IFERROR(__xludf.DUMMYFUNCTION("GOOGLETRANSLATE(B10602, ""en"", ""fa"")
"),"کپی رایتینگ II")</f>
        <v>کپی رایتینگ II</v>
      </c>
      <c r="G10602" s="1" t="str">
        <f>IFERROR(__xludf.DUMMYFUNCTION("GOOGLETRANSLATE(C10602, ""en"", ""fa"")
"),"چگونه می توان از اصول متقاعدسازی، مانند رفتار متقابل یا تأثیر اجتماعی، برای جلب پاسخ مطلوب خوانندگان خود استفاده کرد؟")</f>
        <v>چگونه می توان از اصول متقاعدسازی، مانند رفتار متقابل یا تأثیر اجتماعی، برای جلب پاسخ مطلوب خوانندگان خود استفاده کرد؟</v>
      </c>
      <c r="H10602" s="1"/>
      <c r="I10602" s="1"/>
      <c r="J10602" s="1"/>
      <c r="K10602" s="1"/>
      <c r="L10602" s="1"/>
      <c r="M10602" s="1"/>
      <c r="N10602" s="1"/>
      <c r="O10602" s="1"/>
      <c r="P10602" s="1"/>
      <c r="Q10602" s="1"/>
      <c r="R10602" s="1"/>
      <c r="S10602" s="1"/>
      <c r="T10602" s="1"/>
      <c r="U10602" s="1"/>
      <c r="V10602" s="1"/>
      <c r="W10602" s="1"/>
      <c r="X10602" s="1"/>
      <c r="Y10602" s="1"/>
      <c r="Z10602" s="1"/>
      <c r="AA10602" s="1"/>
      <c r="AB10602" s="1"/>
    </row>
    <row r="10603" ht="50.25" customHeight="1">
      <c r="A10603" s="12">
        <v>10599.0</v>
      </c>
      <c r="B10603" s="13" t="s">
        <v>10535</v>
      </c>
      <c r="C10603" s="18" t="s">
        <v>10631</v>
      </c>
      <c r="D10603" s="1"/>
      <c r="E10603" s="1"/>
      <c r="F10603" s="1" t="str">
        <f>IFERROR(__xludf.DUMMYFUNCTION("GOOGLETRANSLATE(B10603, ""en"", ""fa"")
"),"کپی رایتینگ II")</f>
        <v>کپی رایتینگ II</v>
      </c>
      <c r="G10603" s="1" t="str">
        <f>IFERROR(__xludf.DUMMYFUNCTION("GOOGLETRANSLATE(C10603, ""en"", ""fa"")
"),"تکنیک های استفاده از نوشتار متقاعد کننده در فروش و کپی بازاریابی را به اشتراک بگذارید تا جذب مشتری را افزایش دهید.")</f>
        <v>تکنیک های استفاده از نوشتار متقاعد کننده در فروش و کپی بازاریابی را به اشتراک بگذارید تا جذب مشتری را افزایش دهید.</v>
      </c>
      <c r="H10603" s="1"/>
      <c r="I10603" s="1"/>
      <c r="J10603" s="1"/>
      <c r="K10603" s="1"/>
      <c r="L10603" s="1"/>
      <c r="M10603" s="1"/>
      <c r="N10603" s="1"/>
      <c r="O10603" s="1"/>
      <c r="P10603" s="1"/>
      <c r="Q10603" s="1"/>
      <c r="R10603" s="1"/>
      <c r="S10603" s="1"/>
      <c r="T10603" s="1"/>
      <c r="U10603" s="1"/>
      <c r="V10603" s="1"/>
      <c r="W10603" s="1"/>
      <c r="X10603" s="1"/>
      <c r="Y10603" s="1"/>
      <c r="Z10603" s="1"/>
      <c r="AA10603" s="1"/>
      <c r="AB10603" s="1"/>
    </row>
    <row r="10604" ht="50.25" customHeight="1">
      <c r="A10604" s="12">
        <v>10600.0</v>
      </c>
      <c r="B10604" s="13" t="s">
        <v>10535</v>
      </c>
      <c r="C10604" s="18" t="s">
        <v>10632</v>
      </c>
      <c r="D10604" s="1"/>
      <c r="E10604" s="1"/>
      <c r="F10604" s="1" t="str">
        <f>IFERROR(__xludf.DUMMYFUNCTION("GOOGLETRANSLATE(B10604, ""en"", ""fa"")
"),"کپی رایتینگ II")</f>
        <v>کپی رایتینگ II</v>
      </c>
      <c r="G10604" s="1" t="str">
        <f>IFERROR(__xludf.DUMMYFUNCTION("GOOGLETRANSLATE(C10604, ""en"", ""fa"")
"),"در مورد قدرت قاب بندی و دیدگاه در نوشتن متقاعدکننده و نحوه قرار دادن پیام خود به گونه ای که با مخاطبان خود طنین انداز شود، بحث کنید.")</f>
        <v>در مورد قدرت قاب بندی و دیدگاه در نوشتن متقاعدکننده و نحوه قرار دادن پیام خود به گونه ای که با مخاطبان خود طنین انداز شود، بحث کنید.</v>
      </c>
      <c r="H10604" s="1"/>
      <c r="I10604" s="1"/>
      <c r="J10604" s="1"/>
      <c r="K10604" s="1"/>
      <c r="L10604" s="1"/>
      <c r="M10604" s="1"/>
      <c r="N10604" s="1"/>
      <c r="O10604" s="1"/>
      <c r="P10604" s="1"/>
      <c r="Q10604" s="1"/>
      <c r="R10604" s="1"/>
      <c r="S10604" s="1"/>
      <c r="T10604" s="1"/>
      <c r="U10604" s="1"/>
      <c r="V10604" s="1"/>
      <c r="W10604" s="1"/>
      <c r="X10604" s="1"/>
      <c r="Y10604" s="1"/>
      <c r="Z10604" s="1"/>
      <c r="AA10604" s="1"/>
      <c r="AB10604" s="1"/>
    </row>
    <row r="10605" ht="50.25" customHeight="1">
      <c r="A10605" s="12">
        <v>10601.0</v>
      </c>
      <c r="B10605" s="13" t="s">
        <v>10535</v>
      </c>
      <c r="C10605" s="18" t="s">
        <v>10633</v>
      </c>
      <c r="D10605" s="1"/>
      <c r="E10605" s="1"/>
      <c r="F10605" s="1" t="str">
        <f>IFERROR(__xludf.DUMMYFUNCTION("GOOGLETRANSLATE(B10605, ""en"", ""fa"")
"),"کپی رایتینگ II")</f>
        <v>کپی رایتینگ II</v>
      </c>
      <c r="G10605" s="1" t="str">
        <f>IFERROR(__xludf.DUMMYFUNCTION("GOOGLETRANSLATE(C10605, ""en"", ""fa"")
"),"چگونه می توان یک فراخوان قانع کننده (CTA) ایجاد کرد که خوانندگان را تشویق می کند تا اقدام مورد نظر را انجام دهند و به نتیجه مورد نظر دست یابند؟")</f>
        <v>چگونه می توان یک فراخوان قانع کننده (CTA) ایجاد کرد که خوانندگان را تشویق می کند تا اقدام مورد نظر را انجام دهند و به نتیجه مورد نظر دست یابند؟</v>
      </c>
      <c r="H10605" s="1"/>
      <c r="I10605" s="1"/>
      <c r="J10605" s="1"/>
      <c r="K10605" s="1"/>
      <c r="L10605" s="1"/>
      <c r="M10605" s="1"/>
      <c r="N10605" s="1"/>
      <c r="O10605" s="1"/>
      <c r="P10605" s="1"/>
      <c r="Q10605" s="1"/>
      <c r="R10605" s="1"/>
      <c r="S10605" s="1"/>
      <c r="T10605" s="1"/>
      <c r="U10605" s="1"/>
      <c r="V10605" s="1"/>
      <c r="W10605" s="1"/>
      <c r="X10605" s="1"/>
      <c r="Y10605" s="1"/>
      <c r="Z10605" s="1"/>
      <c r="AA10605" s="1"/>
      <c r="AB10605" s="1"/>
    </row>
    <row r="10606" ht="50.25" customHeight="1">
      <c r="A10606" s="12">
        <v>10602.0</v>
      </c>
      <c r="B10606" s="13" t="s">
        <v>10535</v>
      </c>
      <c r="C10606" s="18" t="s">
        <v>10634</v>
      </c>
      <c r="D10606" s="1"/>
      <c r="E10606" s="1"/>
      <c r="F10606" s="1" t="str">
        <f>IFERROR(__xludf.DUMMYFUNCTION("GOOGLETRANSLATE(B10606, ""en"", ""fa"")
"),"کپی رایتینگ II")</f>
        <v>کپی رایتینگ II</v>
      </c>
      <c r="G10606" s="1" t="str">
        <f>IFERROR(__xludf.DUMMYFUNCTION("GOOGLETRANSLATE(C10606, ""en"", ""fa"")
"),"استفاده از چارچوب‌های داستان‌گویی، مانند حل مسئله یا قبل و بعد، را بررسی کنید تا قدرت تغییردهنده پیام خود را در نوشتن متقاعدکننده نشان دهید.")</f>
        <v>استفاده از چارچوب‌های داستان‌گویی، مانند حل مسئله یا قبل و بعد، را بررسی کنید تا قدرت تغییردهنده پیام خود را در نوشتن متقاعدکننده نشان دهید.</v>
      </c>
      <c r="H10606" s="1"/>
      <c r="I10606" s="1"/>
      <c r="J10606" s="1"/>
      <c r="K10606" s="1"/>
      <c r="L10606" s="1"/>
      <c r="M10606" s="1"/>
      <c r="N10606" s="1"/>
      <c r="O10606" s="1"/>
      <c r="P10606" s="1"/>
      <c r="Q10606" s="1"/>
      <c r="R10606" s="1"/>
      <c r="S10606" s="1"/>
      <c r="T10606" s="1"/>
      <c r="U10606" s="1"/>
      <c r="V10606" s="1"/>
      <c r="W10606" s="1"/>
      <c r="X10606" s="1"/>
      <c r="Y10606" s="1"/>
      <c r="Z10606" s="1"/>
      <c r="AA10606" s="1"/>
      <c r="AB10606" s="1"/>
    </row>
    <row r="10607" ht="50.25" customHeight="1">
      <c r="A10607" s="12">
        <v>10603.0</v>
      </c>
      <c r="B10607" s="13" t="s">
        <v>10535</v>
      </c>
      <c r="C10607" s="18" t="s">
        <v>10635</v>
      </c>
      <c r="D10607" s="1"/>
      <c r="E10607" s="1"/>
      <c r="F10607" s="1" t="str">
        <f>IFERROR(__xludf.DUMMYFUNCTION("GOOGLETRANSLATE(B10607, ""en"", ""fa"")
"),"کپی رایتینگ II")</f>
        <v>کپی رایتینگ II</v>
      </c>
      <c r="G10607" s="1" t="str">
        <f>IFERROR(__xludf.DUMMYFUNCTION("GOOGLETRANSLATE(C10607, ""en"", ""fa"")
"),"استراتژی های ایجاد حس فوریت یا FOMO (ترس از دست دادن) را در نوشته متقاعدکننده خود به اشتراک بگذارید تا اقدام فوری را انجام دهید.")</f>
        <v>استراتژی های ایجاد حس فوریت یا FOMO (ترس از دست دادن) را در نوشته متقاعدکننده خود به اشتراک بگذارید تا اقدام فوری را انجام دهید.</v>
      </c>
      <c r="H10607" s="1"/>
      <c r="I10607" s="1"/>
      <c r="J10607" s="1"/>
      <c r="K10607" s="1"/>
      <c r="L10607" s="1"/>
      <c r="M10607" s="1"/>
      <c r="N10607" s="1"/>
      <c r="O10607" s="1"/>
      <c r="P10607" s="1"/>
      <c r="Q10607" s="1"/>
      <c r="R10607" s="1"/>
      <c r="S10607" s="1"/>
      <c r="T10607" s="1"/>
      <c r="U10607" s="1"/>
      <c r="V10607" s="1"/>
      <c r="W10607" s="1"/>
      <c r="X10607" s="1"/>
      <c r="Y10607" s="1"/>
      <c r="Z10607" s="1"/>
      <c r="AA10607" s="1"/>
      <c r="AB10607" s="1"/>
    </row>
    <row r="10608" ht="50.25" customHeight="1">
      <c r="A10608" s="12">
        <v>10604.0</v>
      </c>
      <c r="B10608" s="13" t="s">
        <v>10535</v>
      </c>
      <c r="C10608" s="18" t="s">
        <v>10636</v>
      </c>
      <c r="D10608" s="1"/>
      <c r="E10608" s="1"/>
      <c r="F10608" s="1" t="str">
        <f>IFERROR(__xludf.DUMMYFUNCTION("GOOGLETRANSLATE(B10608, ""en"", ""fa"")
"),"کپی رایتینگ II")</f>
        <v>کپی رایتینگ II</v>
      </c>
      <c r="G10608" s="1" t="str">
        <f>IFERROR(__xludf.DUMMYFUNCTION("GOOGLETRANSLATE(C10608, ""en"", ""fa"")
"),"در مورد تأثیر استفاده از رسانه های اجتماعی و پلتفرم های دیجیتال برای تقویت دسترسی و تأثیر متقاعدکننده نوشته خود بحث کنید.")</f>
        <v>در مورد تأثیر استفاده از رسانه های اجتماعی و پلتفرم های دیجیتال برای تقویت دسترسی و تأثیر متقاعدکننده نوشته خود بحث کنید.</v>
      </c>
      <c r="H10608" s="1"/>
      <c r="I10608" s="1"/>
      <c r="J10608" s="1"/>
      <c r="K10608" s="1"/>
      <c r="L10608" s="1"/>
      <c r="M10608" s="1"/>
      <c r="N10608" s="1"/>
      <c r="O10608" s="1"/>
      <c r="P10608" s="1"/>
      <c r="Q10608" s="1"/>
      <c r="R10608" s="1"/>
      <c r="S10608" s="1"/>
      <c r="T10608" s="1"/>
      <c r="U10608" s="1"/>
      <c r="V10608" s="1"/>
      <c r="W10608" s="1"/>
      <c r="X10608" s="1"/>
      <c r="Y10608" s="1"/>
      <c r="Z10608" s="1"/>
      <c r="AA10608" s="1"/>
      <c r="AB10608" s="1"/>
    </row>
    <row r="10609" ht="50.25" customHeight="1">
      <c r="A10609" s="12">
        <v>10605.0</v>
      </c>
      <c r="B10609" s="13" t="s">
        <v>10535</v>
      </c>
      <c r="C10609" s="18" t="s">
        <v>10637</v>
      </c>
      <c r="D10609" s="1"/>
      <c r="E10609" s="1"/>
      <c r="F10609" s="1" t="str">
        <f>IFERROR(__xludf.DUMMYFUNCTION("GOOGLETRANSLATE(B10609, ""en"", ""fa"")
"),"کپی رایتینگ II")</f>
        <v>کپی رایتینگ II</v>
      </c>
      <c r="G10609" s="1" t="str">
        <f>IFERROR(__xludf.DUMMYFUNCTION("GOOGLETRANSLATE(C10609, ""en"", ""fa"")
"),"چگونه نوشته‌های متقاعدکننده خود را با کانال‌ها و رسانه‌های ارتباطی مختلف، مانند ایمیل‌ها، پست‌های وبلاگ، یا نامه‌های فروش تطبیق دهید؟")</f>
        <v>چگونه نوشته‌های متقاعدکننده خود را با کانال‌ها و رسانه‌های ارتباطی مختلف، مانند ایمیل‌ها، پست‌های وبلاگ، یا نامه‌های فروش تطبیق دهید؟</v>
      </c>
      <c r="H10609" s="1"/>
      <c r="I10609" s="1"/>
      <c r="J10609" s="1"/>
      <c r="K10609" s="1"/>
      <c r="L10609" s="1"/>
      <c r="M10609" s="1"/>
      <c r="N10609" s="1"/>
      <c r="O10609" s="1"/>
      <c r="P10609" s="1"/>
      <c r="Q10609" s="1"/>
      <c r="R10609" s="1"/>
      <c r="S10609" s="1"/>
      <c r="T10609" s="1"/>
      <c r="U10609" s="1"/>
      <c r="V10609" s="1"/>
      <c r="W10609" s="1"/>
      <c r="X10609" s="1"/>
      <c r="Y10609" s="1"/>
      <c r="Z10609" s="1"/>
      <c r="AA10609" s="1"/>
      <c r="AB10609" s="1"/>
    </row>
    <row r="10610" ht="50.25" customHeight="1">
      <c r="A10610" s="12">
        <v>10606.0</v>
      </c>
      <c r="B10610" s="13" t="s">
        <v>10535</v>
      </c>
      <c r="C10610" s="18" t="s">
        <v>10638</v>
      </c>
      <c r="D10610" s="1"/>
      <c r="E10610" s="1"/>
      <c r="F10610" s="1" t="str">
        <f>IFERROR(__xludf.DUMMYFUNCTION("GOOGLETRANSLATE(B10610, ""en"", ""fa"")
"),"کپی رایتینگ II")</f>
        <v>کپی رایتینگ II</v>
      </c>
      <c r="G10610" s="1" t="str">
        <f>IFERROR(__xludf.DUMMYFUNCTION("GOOGLETRANSLATE(C10610, ""en"", ""fa"")
"),"بینش های خود را در مورد استفاده از اصول نفوذ، مانند اقتدار یا اجماع، برای افزایش متقاعدسازی نوشته خود به اشتراک بگذارید.")</f>
        <v>بینش های خود را در مورد استفاده از اصول نفوذ، مانند اقتدار یا اجماع، برای افزایش متقاعدسازی نوشته خود به اشتراک بگذارید.</v>
      </c>
      <c r="H10610" s="1"/>
      <c r="I10610" s="1"/>
      <c r="J10610" s="1"/>
      <c r="K10610" s="1"/>
      <c r="L10610" s="1"/>
      <c r="M10610" s="1"/>
      <c r="N10610" s="1"/>
      <c r="O10610" s="1"/>
      <c r="P10610" s="1"/>
      <c r="Q10610" s="1"/>
      <c r="R10610" s="1"/>
      <c r="S10610" s="1"/>
      <c r="T10610" s="1"/>
      <c r="U10610" s="1"/>
      <c r="V10610" s="1"/>
      <c r="W10610" s="1"/>
      <c r="X10610" s="1"/>
      <c r="Y10610" s="1"/>
      <c r="Z10610" s="1"/>
      <c r="AA10610" s="1"/>
      <c r="AB10610" s="1"/>
    </row>
    <row r="10611" ht="50.25" customHeight="1">
      <c r="A10611" s="12">
        <v>10607.0</v>
      </c>
      <c r="B10611" s="13" t="s">
        <v>10535</v>
      </c>
      <c r="C10611" s="18" t="s">
        <v>10639</v>
      </c>
      <c r="D10611" s="1"/>
      <c r="E10611" s="1"/>
      <c r="F10611" s="1" t="str">
        <f>IFERROR(__xludf.DUMMYFUNCTION("GOOGLETRANSLATE(B10611, ""en"", ""fa"")
"),"کپی رایتینگ II")</f>
        <v>کپی رایتینگ II</v>
      </c>
      <c r="G10611" s="1" t="str">
        <f>IFERROR(__xludf.DUMMYFUNCTION("GOOGLETRANSLATE(C10611, ""en"", ""fa"")
"),"استفاده از عناصر داستان سرایی، مانند توسعه شخصیت یا حل تعارض، را برای جذب خوانندگان و نگه داشتن آنها در طول نوشته خود کاوش کنید.")</f>
        <v>استفاده از عناصر داستان سرایی، مانند توسعه شخصیت یا حل تعارض، را برای جذب خوانندگان و نگه داشتن آنها در طول نوشته خود کاوش کنید.</v>
      </c>
      <c r="H10611" s="1"/>
      <c r="I10611" s="1"/>
      <c r="J10611" s="1"/>
      <c r="K10611" s="1"/>
      <c r="L10611" s="1"/>
      <c r="M10611" s="1"/>
      <c r="N10611" s="1"/>
      <c r="O10611" s="1"/>
      <c r="P10611" s="1"/>
      <c r="Q10611" s="1"/>
      <c r="R10611" s="1"/>
      <c r="S10611" s="1"/>
      <c r="T10611" s="1"/>
      <c r="U10611" s="1"/>
      <c r="V10611" s="1"/>
      <c r="W10611" s="1"/>
      <c r="X10611" s="1"/>
      <c r="Y10611" s="1"/>
      <c r="Z10611" s="1"/>
      <c r="AA10611" s="1"/>
      <c r="AB10611" s="1"/>
    </row>
    <row r="10612" ht="50.25" customHeight="1">
      <c r="A10612" s="12">
        <v>10608.0</v>
      </c>
      <c r="B10612" s="13" t="s">
        <v>10535</v>
      </c>
      <c r="C10612" s="18" t="s">
        <v>10640</v>
      </c>
      <c r="D10612" s="1"/>
      <c r="E10612" s="1"/>
      <c r="F10612" s="1" t="str">
        <f>IFERROR(__xludf.DUMMYFUNCTION("GOOGLETRANSLATE(B10612, ""en"", ""fa"")
"),"کپی رایتینگ II")</f>
        <v>کپی رایتینگ II</v>
      </c>
      <c r="G10612" s="1" t="str">
        <f>IFERROR(__xludf.DUMMYFUNCTION("GOOGLETRANSLATE(C10612, ""en"", ""fa"")
"),"در مورد اهمیت ایجاد یک پیشنهاد ارزش قانع کننده که به وضوح مزایا و ارزش پیشنهاد شما را در نوشتن متقاعد کننده بیان می کند، بحث کنید.")</f>
        <v>در مورد اهمیت ایجاد یک پیشنهاد ارزش قانع کننده که به وضوح مزایا و ارزش پیشنهاد شما را در نوشتن متقاعد کننده بیان می کند، بحث کنید.</v>
      </c>
      <c r="H10612" s="1"/>
      <c r="I10612" s="1"/>
      <c r="J10612" s="1"/>
      <c r="K10612" s="1"/>
      <c r="L10612" s="1"/>
      <c r="M10612" s="1"/>
      <c r="N10612" s="1"/>
      <c r="O10612" s="1"/>
      <c r="P10612" s="1"/>
      <c r="Q10612" s="1"/>
      <c r="R10612" s="1"/>
      <c r="S10612" s="1"/>
      <c r="T10612" s="1"/>
      <c r="U10612" s="1"/>
      <c r="V10612" s="1"/>
      <c r="W10612" s="1"/>
      <c r="X10612" s="1"/>
      <c r="Y10612" s="1"/>
      <c r="Z10612" s="1"/>
      <c r="AA10612" s="1"/>
      <c r="AB10612" s="1"/>
    </row>
    <row r="10613" ht="50.25" customHeight="1">
      <c r="A10613" s="12">
        <v>10609.0</v>
      </c>
      <c r="B10613" s="13" t="s">
        <v>10535</v>
      </c>
      <c r="C10613" s="18" t="s">
        <v>10641</v>
      </c>
      <c r="D10613" s="1"/>
      <c r="E10613" s="1"/>
      <c r="F10613" s="1" t="str">
        <f>IFERROR(__xludf.DUMMYFUNCTION("GOOGLETRANSLATE(B10613, ""en"", ""fa"")
"),"کپی رایتینگ II")</f>
        <v>کپی رایتینگ II</v>
      </c>
      <c r="G10613" s="1" t="str">
        <f>IFERROR(__xludf.DUMMYFUNCTION("GOOGLETRANSLATE(C10613, ""en"", ""fa"")
"),"چگونه می توان از تکنیک های نوشتاری متقاعدکننده برای غلبه بر مخالفت ها و رفع موانع رایجی که ممکن است مانع فرآیند تصمیم گیری خواننده شود، استفاده کرد؟")</f>
        <v>چگونه می توان از تکنیک های نوشتاری متقاعدکننده برای غلبه بر مخالفت ها و رفع موانع رایجی که ممکن است مانع فرآیند تصمیم گیری خواننده شود، استفاده کرد؟</v>
      </c>
      <c r="H10613" s="1"/>
      <c r="I10613" s="1"/>
      <c r="J10613" s="1"/>
      <c r="K10613" s="1"/>
      <c r="L10613" s="1"/>
      <c r="M10613" s="1"/>
      <c r="N10613" s="1"/>
      <c r="O10613" s="1"/>
      <c r="P10613" s="1"/>
      <c r="Q10613" s="1"/>
      <c r="R10613" s="1"/>
      <c r="S10613" s="1"/>
      <c r="T10613" s="1"/>
      <c r="U10613" s="1"/>
      <c r="V10613" s="1"/>
      <c r="W10613" s="1"/>
      <c r="X10613" s="1"/>
      <c r="Y10613" s="1"/>
      <c r="Z10613" s="1"/>
      <c r="AA10613" s="1"/>
      <c r="AB10613" s="1"/>
    </row>
    <row r="10614" ht="50.25" customHeight="1">
      <c r="A10614" s="12">
        <v>10610.0</v>
      </c>
      <c r="B10614" s="13" t="s">
        <v>10535</v>
      </c>
      <c r="C10614" s="18" t="s">
        <v>10642</v>
      </c>
      <c r="D10614" s="1"/>
      <c r="E10614" s="1"/>
      <c r="F10614" s="1" t="str">
        <f>IFERROR(__xludf.DUMMYFUNCTION("GOOGLETRANSLATE(B10614, ""en"", ""fa"")
"),"کپی رایتینگ II")</f>
        <v>کپی رایتینگ II</v>
      </c>
      <c r="G10614" s="1" t="str">
        <f>IFERROR(__xludf.DUMMYFUNCTION("GOOGLETRANSLATE(C10614, ""en"", ""fa"")
"),"استراتژی های استفاده از نوشتار متقاعد کننده در بازاریابی محتوا برای آموزش، اطلاع رسانی و تأثیرگذاری بر مخاطبان هدف خود را به اشتراک بگذارید.")</f>
        <v>استراتژی های استفاده از نوشتار متقاعد کننده در بازاریابی محتوا برای آموزش، اطلاع رسانی و تأثیرگذاری بر مخاطبان هدف خود را به اشتراک بگذارید.</v>
      </c>
      <c r="H10614" s="1"/>
      <c r="I10614" s="1"/>
      <c r="J10614" s="1"/>
      <c r="K10614" s="1"/>
      <c r="L10614" s="1"/>
      <c r="M10614" s="1"/>
      <c r="N10614" s="1"/>
      <c r="O10614" s="1"/>
      <c r="P10614" s="1"/>
      <c r="Q10614" s="1"/>
      <c r="R10614" s="1"/>
      <c r="S10614" s="1"/>
      <c r="T10614" s="1"/>
      <c r="U10614" s="1"/>
      <c r="V10614" s="1"/>
      <c r="W10614" s="1"/>
      <c r="X10614" s="1"/>
      <c r="Y10614" s="1"/>
      <c r="Z10614" s="1"/>
      <c r="AA10614" s="1"/>
      <c r="AB10614" s="1"/>
    </row>
    <row r="10615" ht="50.25" customHeight="1">
      <c r="A10615" s="12">
        <v>10611.0</v>
      </c>
      <c r="B10615" s="13" t="s">
        <v>10535</v>
      </c>
      <c r="C10615" s="18" t="s">
        <v>10643</v>
      </c>
      <c r="D10615" s="1"/>
      <c r="E10615" s="1"/>
      <c r="F10615" s="1" t="str">
        <f>IFERROR(__xludf.DUMMYFUNCTION("GOOGLETRANSLATE(B10615, ""en"", ""fa"")
"),"کپی رایتینگ II")</f>
        <v>کپی رایتینگ II</v>
      </c>
      <c r="G10615" s="1" t="str">
        <f>IFERROR(__xludf.DUMMYFUNCTION("GOOGLETRANSLATE(C10615, ""en"", ""fa"")
"),"در مورد تأثیر استفاده از عناصر بصری، مانند اینفوگرافیک یا نمودار، برای حمایت و افزایش متقاعدسازی محتوای نوشتاری خود بحث کنید.")</f>
        <v>در مورد تأثیر استفاده از عناصر بصری، مانند اینفوگرافیک یا نمودار، برای حمایت و افزایش متقاعدسازی محتوای نوشتاری خود بحث کنید.</v>
      </c>
      <c r="H10615" s="1"/>
      <c r="I10615" s="1"/>
      <c r="J10615" s="1"/>
      <c r="K10615" s="1"/>
      <c r="L10615" s="1"/>
      <c r="M10615" s="1"/>
      <c r="N10615" s="1"/>
      <c r="O10615" s="1"/>
      <c r="P10615" s="1"/>
      <c r="Q10615" s="1"/>
      <c r="R10615" s="1"/>
      <c r="S10615" s="1"/>
      <c r="T10615" s="1"/>
      <c r="U10615" s="1"/>
      <c r="V10615" s="1"/>
      <c r="W10615" s="1"/>
      <c r="X10615" s="1"/>
      <c r="Y10615" s="1"/>
      <c r="Z10615" s="1"/>
      <c r="AA10615" s="1"/>
      <c r="AB10615" s="1"/>
    </row>
    <row r="10616" ht="50.25" customHeight="1">
      <c r="A10616" s="12">
        <v>10612.0</v>
      </c>
      <c r="B10616" s="13" t="s">
        <v>10535</v>
      </c>
      <c r="C10616" s="18" t="s">
        <v>10644</v>
      </c>
      <c r="D10616" s="1"/>
      <c r="E10616" s="1"/>
      <c r="F10616" s="1" t="str">
        <f>IFERROR(__xludf.DUMMYFUNCTION("GOOGLETRANSLATE(B10616, ""en"", ""fa"")
"),"کپی رایتینگ II")</f>
        <v>کپی رایتینگ II</v>
      </c>
      <c r="G10616" s="1" t="str">
        <f>IFERROR(__xludf.DUMMYFUNCTION("GOOGLETRANSLATE(C10616, ""en"", ""fa"")
"),"چگونه از اصول داستان سرایی و تعلیق برای ایجاد حس انتظار و فتنه در نوشته متقاعدکننده خود استفاده کنید؟")</f>
        <v>چگونه از اصول داستان سرایی و تعلیق برای ایجاد حس انتظار و فتنه در نوشته متقاعدکننده خود استفاده کنید؟</v>
      </c>
      <c r="H10616" s="1"/>
      <c r="I10616" s="1"/>
      <c r="J10616" s="1"/>
      <c r="K10616" s="1"/>
      <c r="L10616" s="1"/>
      <c r="M10616" s="1"/>
      <c r="N10616" s="1"/>
      <c r="O10616" s="1"/>
      <c r="P10616" s="1"/>
      <c r="Q10616" s="1"/>
      <c r="R10616" s="1"/>
      <c r="S10616" s="1"/>
      <c r="T10616" s="1"/>
      <c r="U10616" s="1"/>
      <c r="V10616" s="1"/>
      <c r="W10616" s="1"/>
      <c r="X10616" s="1"/>
      <c r="Y10616" s="1"/>
      <c r="Z10616" s="1"/>
      <c r="AA10616" s="1"/>
      <c r="AB10616" s="1"/>
    </row>
    <row r="10617" ht="50.25" customHeight="1">
      <c r="A10617" s="12">
        <v>10613.0</v>
      </c>
      <c r="B10617" s="13" t="s">
        <v>10535</v>
      </c>
      <c r="C10617" s="18" t="s">
        <v>10645</v>
      </c>
      <c r="D10617" s="1"/>
      <c r="E10617" s="1"/>
      <c r="F10617" s="1" t="str">
        <f>IFERROR(__xludf.DUMMYFUNCTION("GOOGLETRANSLATE(B10617, ""en"", ""fa"")
"),"کپی رایتینگ II")</f>
        <v>کپی رایتینگ II</v>
      </c>
      <c r="G10617" s="1" t="str">
        <f>IFERROR(__xludf.DUMMYFUNCTION("GOOGLETRANSLATE(C10617, ""en"", ""fa"")
"),"بینش هایی را در مورد استفاده از روانشناسی متقاعدسازی، مانند سوگیری های شناختی یا محرک های عاطفی، برای تأثیرگذاری و متقاعد کردن خوانندگان خود به اشتراک بگذارید.")</f>
        <v>بینش هایی را در مورد استفاده از روانشناسی متقاعدسازی، مانند سوگیری های شناختی یا محرک های عاطفی، برای تأثیرگذاری و متقاعد کردن خوانندگان خود به اشتراک بگذارید.</v>
      </c>
      <c r="H10617" s="1"/>
      <c r="I10617" s="1"/>
      <c r="J10617" s="1"/>
      <c r="K10617" s="1"/>
      <c r="L10617" s="1"/>
      <c r="M10617" s="1"/>
      <c r="N10617" s="1"/>
      <c r="O10617" s="1"/>
      <c r="P10617" s="1"/>
      <c r="Q10617" s="1"/>
      <c r="R10617" s="1"/>
      <c r="S10617" s="1"/>
      <c r="T10617" s="1"/>
      <c r="U10617" s="1"/>
      <c r="V10617" s="1"/>
      <c r="W10617" s="1"/>
      <c r="X10617" s="1"/>
      <c r="Y10617" s="1"/>
      <c r="Z10617" s="1"/>
      <c r="AA10617" s="1"/>
      <c r="AB10617" s="1"/>
    </row>
    <row r="10618" ht="50.25" customHeight="1">
      <c r="A10618" s="12">
        <v>10614.0</v>
      </c>
      <c r="B10618" s="13" t="s">
        <v>10535</v>
      </c>
      <c r="C10618" s="18" t="s">
        <v>10646</v>
      </c>
      <c r="D10618" s="1"/>
      <c r="E10618" s="1"/>
      <c r="F10618" s="1" t="str">
        <f>IFERROR(__xludf.DUMMYFUNCTION("GOOGLETRANSLATE(B10618, ""en"", ""fa"")
"),"کپی رایتینگ II")</f>
        <v>کپی رایتینگ II</v>
      </c>
      <c r="G10618" s="1" t="str">
        <f>IFERROR(__xludf.DUMMYFUNCTION("GOOGLETRANSLATE(C10618, ""en"", ""fa"")
"),"استفاده از توصیفات، داستان های موفقیت، یا مطالعات موردی را برای ارائه اثبات اجتماعی و تأیید اثربخشی پیام متقاعدکننده خود کاوش کنید.")</f>
        <v>استفاده از توصیفات، داستان های موفقیت، یا مطالعات موردی را برای ارائه اثبات اجتماعی و تأیید اثربخشی پیام متقاعدکننده خود کاوش کنید.</v>
      </c>
      <c r="H10618" s="1"/>
      <c r="I10618" s="1"/>
      <c r="J10618" s="1"/>
      <c r="K10618" s="1"/>
      <c r="L10618" s="1"/>
      <c r="M10618" s="1"/>
      <c r="N10618" s="1"/>
      <c r="O10618" s="1"/>
      <c r="P10618" s="1"/>
      <c r="Q10618" s="1"/>
      <c r="R10618" s="1"/>
      <c r="S10618" s="1"/>
      <c r="T10618" s="1"/>
      <c r="U10618" s="1"/>
      <c r="V10618" s="1"/>
      <c r="W10618" s="1"/>
      <c r="X10618" s="1"/>
      <c r="Y10618" s="1"/>
      <c r="Z10618" s="1"/>
      <c r="AA10618" s="1"/>
      <c r="AB10618" s="1"/>
    </row>
    <row r="10619" ht="50.25" customHeight="1">
      <c r="A10619" s="12">
        <v>10615.0</v>
      </c>
      <c r="B10619" s="13" t="s">
        <v>10535</v>
      </c>
      <c r="C10619" s="18" t="s">
        <v>10647</v>
      </c>
      <c r="D10619" s="1"/>
      <c r="E10619" s="1"/>
      <c r="F10619" s="1" t="str">
        <f>IFERROR(__xludf.DUMMYFUNCTION("GOOGLETRANSLATE(B10619, ""en"", ""fa"")
"),"کپی رایتینگ II")</f>
        <v>کپی رایتینگ II</v>
      </c>
      <c r="G10619" s="1" t="str">
        <f>IFERROR(__xludf.DUMMYFUNCTION("GOOGLETRANSLATE(C10619, ""en"", ""fa"")
"),"در مورد اهمیت انجام تحقیقات کامل و گردآوری شواهد قانع کننده برای حمایت از استدلال های متقاعدکننده خود به صورت کتبی بحث کنید.")</f>
        <v>در مورد اهمیت انجام تحقیقات کامل و گردآوری شواهد قانع کننده برای حمایت از استدلال های متقاعدکننده خود به صورت کتبی بحث کنید.</v>
      </c>
      <c r="H10619" s="1"/>
      <c r="I10619" s="1"/>
      <c r="J10619" s="1"/>
      <c r="K10619" s="1"/>
      <c r="L10619" s="1"/>
      <c r="M10619" s="1"/>
      <c r="N10619" s="1"/>
      <c r="O10619" s="1"/>
      <c r="P10619" s="1"/>
      <c r="Q10619" s="1"/>
      <c r="R10619" s="1"/>
      <c r="S10619" s="1"/>
      <c r="T10619" s="1"/>
      <c r="U10619" s="1"/>
      <c r="V10619" s="1"/>
      <c r="W10619" s="1"/>
      <c r="X10619" s="1"/>
      <c r="Y10619" s="1"/>
      <c r="Z10619" s="1"/>
      <c r="AA10619" s="1"/>
      <c r="AB10619" s="1"/>
    </row>
    <row r="10620" ht="50.25" customHeight="1">
      <c r="A10620" s="12">
        <v>10616.0</v>
      </c>
      <c r="B10620" s="13" t="s">
        <v>10535</v>
      </c>
      <c r="C10620" s="18" t="s">
        <v>10648</v>
      </c>
      <c r="D10620" s="1"/>
      <c r="E10620" s="1"/>
      <c r="F10620" s="1" t="str">
        <f>IFERROR(__xludf.DUMMYFUNCTION("GOOGLETRANSLATE(B10620, ""en"", ""fa"")
"),"کپی رایتینگ II")</f>
        <v>کپی رایتینگ II</v>
      </c>
      <c r="G10620" s="1" t="str">
        <f>IFERROR(__xludf.DUMMYFUNCTION("GOOGLETRANSLATE(C10620, ""en"", ""fa"")
"),"چگونه اعتبار و تخصص خود را در نوشتار خود ایجاد کنید تا اعتماد خواننده را جلب کنید و متقاعد کننده بودن پیام خود را افزایش دهید؟")</f>
        <v>چگونه اعتبار و تخصص خود را در نوشتار خود ایجاد کنید تا اعتماد خواننده را جلب کنید و متقاعد کننده بودن پیام خود را افزایش دهید؟</v>
      </c>
      <c r="H10620" s="1"/>
      <c r="I10620" s="1"/>
      <c r="J10620" s="1"/>
      <c r="K10620" s="1"/>
      <c r="L10620" s="1"/>
      <c r="M10620" s="1"/>
      <c r="N10620" s="1"/>
      <c r="O10620" s="1"/>
      <c r="P10620" s="1"/>
      <c r="Q10620" s="1"/>
      <c r="R10620" s="1"/>
      <c r="S10620" s="1"/>
      <c r="T10620" s="1"/>
      <c r="U10620" s="1"/>
      <c r="V10620" s="1"/>
      <c r="W10620" s="1"/>
      <c r="X10620" s="1"/>
      <c r="Y10620" s="1"/>
      <c r="Z10620" s="1"/>
      <c r="AA10620" s="1"/>
      <c r="AB10620" s="1"/>
    </row>
    <row r="10621" ht="50.25" customHeight="1">
      <c r="A10621" s="12">
        <v>10617.0</v>
      </c>
      <c r="B10621" s="13" t="s">
        <v>10535</v>
      </c>
      <c r="C10621" s="18" t="s">
        <v>10649</v>
      </c>
      <c r="D10621" s="1"/>
      <c r="E10621" s="1"/>
      <c r="F10621" s="1" t="str">
        <f>IFERROR(__xludf.DUMMYFUNCTION("GOOGLETRANSLATE(B10621, ""en"", ""fa"")
"),"کپی رایتینگ II")</f>
        <v>کپی رایتینگ II</v>
      </c>
      <c r="G10621" s="1" t="str">
        <f>IFERROR(__xludf.DUMMYFUNCTION("GOOGLETRANSLATE(C10621, ""en"", ""fa"")
"),"استراتژی‌های استفاده از نوشته‌های متقاعدکننده در کمپین‌های جمع‌آوری کمک مالی یا کمک مالی برای الهام بخشیدن به سخاوت و حمایت از یک هدف را به اشتراک بگذارید.")</f>
        <v>استراتژی‌های استفاده از نوشته‌های متقاعدکننده در کمپین‌های جمع‌آوری کمک مالی یا کمک مالی برای الهام بخشیدن به سخاوت و حمایت از یک هدف را به اشتراک بگذارید.</v>
      </c>
      <c r="H10621" s="1"/>
      <c r="I10621" s="1"/>
      <c r="J10621" s="1"/>
      <c r="K10621" s="1"/>
      <c r="L10621" s="1"/>
      <c r="M10621" s="1"/>
      <c r="N10621" s="1"/>
      <c r="O10621" s="1"/>
      <c r="P10621" s="1"/>
      <c r="Q10621" s="1"/>
      <c r="R10621" s="1"/>
      <c r="S10621" s="1"/>
      <c r="T10621" s="1"/>
      <c r="U10621" s="1"/>
      <c r="V10621" s="1"/>
      <c r="W10621" s="1"/>
      <c r="X10621" s="1"/>
      <c r="Y10621" s="1"/>
      <c r="Z10621" s="1"/>
      <c r="AA10621" s="1"/>
      <c r="AB10621" s="1"/>
    </row>
    <row r="10622" ht="50.25" customHeight="1">
      <c r="A10622" s="12">
        <v>10618.0</v>
      </c>
      <c r="B10622" s="13" t="s">
        <v>10535</v>
      </c>
      <c r="C10622" s="18" t="s">
        <v>10650</v>
      </c>
      <c r="D10622" s="1"/>
      <c r="E10622" s="1"/>
      <c r="F10622" s="1" t="str">
        <f>IFERROR(__xludf.DUMMYFUNCTION("GOOGLETRANSLATE(B10622, ""en"", ""fa"")
"),"کپی رایتینگ II")</f>
        <v>کپی رایتینگ II</v>
      </c>
      <c r="G10622" s="1" t="str">
        <f>IFERROR(__xludf.DUMMYFUNCTION("GOOGLETRANSLATE(C10622, ""en"", ""fa"")
"),"در مورد تأثیر استفاده از عناصر داستان سرایی، مانند حکایات مرتبط یا تجربیات شخصی، برای ایجاد ارتباط با خوانندگان خود در نوشتن متقاعدکننده بحث کنید.")</f>
        <v>در مورد تأثیر استفاده از عناصر داستان سرایی، مانند حکایات مرتبط یا تجربیات شخصی، برای ایجاد ارتباط با خوانندگان خود در نوشتن متقاعدکننده بحث کنید.</v>
      </c>
      <c r="H10622" s="1"/>
      <c r="I10622" s="1"/>
      <c r="J10622" s="1"/>
      <c r="K10622" s="1"/>
      <c r="L10622" s="1"/>
      <c r="M10622" s="1"/>
      <c r="N10622" s="1"/>
      <c r="O10622" s="1"/>
      <c r="P10622" s="1"/>
      <c r="Q10622" s="1"/>
      <c r="R10622" s="1"/>
      <c r="S10622" s="1"/>
      <c r="T10622" s="1"/>
      <c r="U10622" s="1"/>
      <c r="V10622" s="1"/>
      <c r="W10622" s="1"/>
      <c r="X10622" s="1"/>
      <c r="Y10622" s="1"/>
      <c r="Z10622" s="1"/>
      <c r="AA10622" s="1"/>
      <c r="AB10622" s="1"/>
    </row>
    <row r="10623" ht="50.25" customHeight="1">
      <c r="A10623" s="12">
        <v>10619.0</v>
      </c>
      <c r="B10623" s="13" t="s">
        <v>10535</v>
      </c>
      <c r="C10623" s="18" t="s">
        <v>10651</v>
      </c>
      <c r="D10623" s="1"/>
      <c r="E10623" s="1"/>
      <c r="F10623" s="1" t="str">
        <f>IFERROR(__xludf.DUMMYFUNCTION("GOOGLETRANSLATE(B10623, ""en"", ""fa"")
"),"کپی رایتینگ II")</f>
        <v>کپی رایتینگ II</v>
      </c>
      <c r="G10623" s="1" t="str">
        <f>IFERROR(__xludf.DUMMYFUNCTION("GOOGLETRANSLATE(C10623, ""en"", ""fa"")
"),"چگونه با نوشته متقاعدکننده خود به احساسات و ارزش های خواننده متوسل شوید تا تأثیر عمیق و ماندگاری ایجاد کنید؟")</f>
        <v>چگونه با نوشته متقاعدکننده خود به احساسات و ارزش های خواننده متوسل شوید تا تأثیر عمیق و ماندگاری ایجاد کنید؟</v>
      </c>
      <c r="H10623" s="1"/>
      <c r="I10623" s="1"/>
      <c r="J10623" s="1"/>
      <c r="K10623" s="1"/>
      <c r="L10623" s="1"/>
      <c r="M10623" s="1"/>
      <c r="N10623" s="1"/>
      <c r="O10623" s="1"/>
      <c r="P10623" s="1"/>
      <c r="Q10623" s="1"/>
      <c r="R10623" s="1"/>
      <c r="S10623" s="1"/>
      <c r="T10623" s="1"/>
      <c r="U10623" s="1"/>
      <c r="V10623" s="1"/>
      <c r="W10623" s="1"/>
      <c r="X10623" s="1"/>
      <c r="Y10623" s="1"/>
      <c r="Z10623" s="1"/>
      <c r="AA10623" s="1"/>
      <c r="AB10623" s="1"/>
    </row>
    <row r="10624" ht="50.25" customHeight="1">
      <c r="A10624" s="12">
        <v>10620.0</v>
      </c>
      <c r="B10624" s="13" t="s">
        <v>10535</v>
      </c>
      <c r="C10624" s="18" t="s">
        <v>10652</v>
      </c>
      <c r="D10624" s="1"/>
      <c r="E10624" s="1"/>
      <c r="F10624" s="1" t="str">
        <f>IFERROR(__xludf.DUMMYFUNCTION("GOOGLETRANSLATE(B10624, ""en"", ""fa"")
"),"کپی رایتینگ II")</f>
        <v>کپی رایتینگ II</v>
      </c>
      <c r="G10624" s="1" t="str">
        <f>IFERROR(__xludf.DUMMYFUNCTION("GOOGLETRANSLATE(C10624, ""en"", ""fa"")
"),"تکنیک های استفاده از قدرت کلمات و زبان را برای ایجاد ریتم و آهنگ متقاعد کننده در نوشتار خود به اشتراک بگذارید.")</f>
        <v>تکنیک های استفاده از قدرت کلمات و زبان را برای ایجاد ریتم و آهنگ متقاعد کننده در نوشتار خود به اشتراک بگذارید.</v>
      </c>
      <c r="H10624" s="1"/>
      <c r="I10624" s="1"/>
      <c r="J10624" s="1"/>
      <c r="K10624" s="1"/>
      <c r="L10624" s="1"/>
      <c r="M10624" s="1"/>
      <c r="N10624" s="1"/>
      <c r="O10624" s="1"/>
      <c r="P10624" s="1"/>
      <c r="Q10624" s="1"/>
      <c r="R10624" s="1"/>
      <c r="S10624" s="1"/>
      <c r="T10624" s="1"/>
      <c r="U10624" s="1"/>
      <c r="V10624" s="1"/>
      <c r="W10624" s="1"/>
      <c r="X10624" s="1"/>
      <c r="Y10624" s="1"/>
      <c r="Z10624" s="1"/>
      <c r="AA10624" s="1"/>
      <c r="AB10624" s="1"/>
    </row>
    <row r="10625" ht="50.25" customHeight="1">
      <c r="A10625" s="12">
        <v>10621.0</v>
      </c>
      <c r="B10625" s="13" t="s">
        <v>10535</v>
      </c>
      <c r="C10625" s="18" t="s">
        <v>10653</v>
      </c>
      <c r="D10625" s="1"/>
      <c r="E10625" s="1"/>
      <c r="F10625" s="1" t="str">
        <f>IFERROR(__xludf.DUMMYFUNCTION("GOOGLETRANSLATE(B10625, ""en"", ""fa"")
"),"کپی رایتینگ II")</f>
        <v>کپی رایتینگ II</v>
      </c>
      <c r="G10625" s="1" t="str">
        <f>IFERROR(__xludf.DUMMYFUNCTION("GOOGLETRANSLATE(C10625, ""en"", ""fa"")
"),"استفاده از استعاره ها یا تشبیهات بصری را برای ساده کردن مفاهیم پیچیده و قابل دسترس تر کردن پیام متقاعدکننده خود کاوش کنید.")</f>
        <v>استفاده از استعاره ها یا تشبیهات بصری را برای ساده کردن مفاهیم پیچیده و قابل دسترس تر کردن پیام متقاعدکننده خود کاوش کنید.</v>
      </c>
      <c r="H10625" s="1"/>
      <c r="I10625" s="1"/>
      <c r="J10625" s="1"/>
      <c r="K10625" s="1"/>
      <c r="L10625" s="1"/>
      <c r="M10625" s="1"/>
      <c r="N10625" s="1"/>
      <c r="O10625" s="1"/>
      <c r="P10625" s="1"/>
      <c r="Q10625" s="1"/>
      <c r="R10625" s="1"/>
      <c r="S10625" s="1"/>
      <c r="T10625" s="1"/>
      <c r="U10625" s="1"/>
      <c r="V10625" s="1"/>
      <c r="W10625" s="1"/>
      <c r="X10625" s="1"/>
      <c r="Y10625" s="1"/>
      <c r="Z10625" s="1"/>
      <c r="AA10625" s="1"/>
      <c r="AB10625" s="1"/>
    </row>
    <row r="10626" ht="50.25" customHeight="1">
      <c r="A10626" s="12">
        <v>10622.0</v>
      </c>
      <c r="B10626" s="13" t="s">
        <v>10535</v>
      </c>
      <c r="C10626" s="18" t="s">
        <v>10654</v>
      </c>
      <c r="D10626" s="1"/>
      <c r="E10626" s="1"/>
      <c r="F10626" s="1" t="str">
        <f>IFERROR(__xludf.DUMMYFUNCTION("GOOGLETRANSLATE(B10626, ""en"", ""fa"")
"),"کپی رایتینگ II")</f>
        <v>کپی رایتینگ II</v>
      </c>
      <c r="G10626" s="1" t="str">
        <f>IFERROR(__xludf.DUMMYFUNCTION("GOOGLETRANSLATE(C10626, ""en"", ""fa"")
"),"در مورد اهمیت درک محرک‌های روانی و انگیزه‌های مخاطبان هدف خود برای ایجاد پیام‌های متقاعدکننده که با آنها طنین‌انداز می‌شود، بحث کنید.")</f>
        <v>در مورد اهمیت درک محرک‌های روانی و انگیزه‌های مخاطبان هدف خود برای ایجاد پیام‌های متقاعدکننده که با آنها طنین‌انداز می‌شود، بحث کنید.</v>
      </c>
      <c r="H10626" s="1"/>
      <c r="I10626" s="1"/>
      <c r="J10626" s="1"/>
      <c r="K10626" s="1"/>
      <c r="L10626" s="1"/>
      <c r="M10626" s="1"/>
      <c r="N10626" s="1"/>
      <c r="O10626" s="1"/>
      <c r="P10626" s="1"/>
      <c r="Q10626" s="1"/>
      <c r="R10626" s="1"/>
      <c r="S10626" s="1"/>
      <c r="T10626" s="1"/>
      <c r="U10626" s="1"/>
      <c r="V10626" s="1"/>
      <c r="W10626" s="1"/>
      <c r="X10626" s="1"/>
      <c r="Y10626" s="1"/>
      <c r="Z10626" s="1"/>
      <c r="AA10626" s="1"/>
      <c r="AB10626" s="1"/>
    </row>
    <row r="10627" ht="50.25" customHeight="1">
      <c r="A10627" s="12">
        <v>10623.0</v>
      </c>
      <c r="B10627" s="13" t="s">
        <v>10535</v>
      </c>
      <c r="C10627" s="18" t="s">
        <v>10655</v>
      </c>
      <c r="D10627" s="1"/>
      <c r="E10627" s="1"/>
      <c r="F10627" s="1" t="str">
        <f>IFERROR(__xludf.DUMMYFUNCTION("GOOGLETRANSLATE(B10627, ""en"", ""fa"")
"),"کپی رایتینگ II")</f>
        <v>کپی رایتینگ II</v>
      </c>
      <c r="G10627" s="1" t="str">
        <f>IFERROR(__xludf.DUMMYFUNCTION("GOOGLETRANSLATE(C10627, ""en"", ""fa"")
"),"چگونه می توان با پرداختن به شبهات احتمالی و ارائه استدلال های متقابل قانع کننده بر تردید و مخالفت در نوشته متقاعدکننده خود غلبه کرد؟")</f>
        <v>چگونه می توان با پرداختن به شبهات احتمالی و ارائه استدلال های متقابل قانع کننده بر تردید و مخالفت در نوشته متقاعدکننده خود غلبه کرد؟</v>
      </c>
      <c r="H10627" s="1"/>
      <c r="I10627" s="1"/>
      <c r="J10627" s="1"/>
      <c r="K10627" s="1"/>
      <c r="L10627" s="1"/>
      <c r="M10627" s="1"/>
      <c r="N10627" s="1"/>
      <c r="O10627" s="1"/>
      <c r="P10627" s="1"/>
      <c r="Q10627" s="1"/>
      <c r="R10627" s="1"/>
      <c r="S10627" s="1"/>
      <c r="T10627" s="1"/>
      <c r="U10627" s="1"/>
      <c r="V10627" s="1"/>
      <c r="W10627" s="1"/>
      <c r="X10627" s="1"/>
      <c r="Y10627" s="1"/>
      <c r="Z10627" s="1"/>
      <c r="AA10627" s="1"/>
      <c r="AB10627" s="1"/>
    </row>
    <row r="10628" ht="50.25" customHeight="1">
      <c r="A10628" s="12">
        <v>10624.0</v>
      </c>
      <c r="B10628" s="13" t="s">
        <v>10535</v>
      </c>
      <c r="C10628" s="18" t="s">
        <v>10656</v>
      </c>
      <c r="D10628" s="1"/>
      <c r="E10628" s="1"/>
      <c r="F10628" s="1" t="str">
        <f>IFERROR(__xludf.DUMMYFUNCTION("GOOGLETRANSLATE(B10628, ""en"", ""fa"")
"),"کپی رایتینگ II")</f>
        <v>کپی رایتینگ II</v>
      </c>
      <c r="G10628" s="1" t="str">
        <f>IFERROR(__xludf.DUMMYFUNCTION("GOOGLETRANSLATE(C10628, ""en"", ""fa"")
"),"استراتژی‌های استفاده از نوشته‌های متقاعدکننده را در کمپین‌های سیاسی یا حمایتی برای بسیج حمایت و ایجاد تغییرات اجتماعی به اشتراک بگذارید.")</f>
        <v>استراتژی‌های استفاده از نوشته‌های متقاعدکننده را در کمپین‌های سیاسی یا حمایتی برای بسیج حمایت و ایجاد تغییرات اجتماعی به اشتراک بگذارید.</v>
      </c>
      <c r="H10628" s="1"/>
      <c r="I10628" s="1"/>
      <c r="J10628" s="1"/>
      <c r="K10628" s="1"/>
      <c r="L10628" s="1"/>
      <c r="M10628" s="1"/>
      <c r="N10628" s="1"/>
      <c r="O10628" s="1"/>
      <c r="P10628" s="1"/>
      <c r="Q10628" s="1"/>
      <c r="R10628" s="1"/>
      <c r="S10628" s="1"/>
      <c r="T10628" s="1"/>
      <c r="U10628" s="1"/>
      <c r="V10628" s="1"/>
      <c r="W10628" s="1"/>
      <c r="X10628" s="1"/>
      <c r="Y10628" s="1"/>
      <c r="Z10628" s="1"/>
      <c r="AA10628" s="1"/>
      <c r="AB10628" s="1"/>
    </row>
    <row r="10629" ht="50.25" customHeight="1">
      <c r="A10629" s="12">
        <v>10625.0</v>
      </c>
      <c r="B10629" s="13" t="s">
        <v>10535</v>
      </c>
      <c r="C10629" s="18" t="s">
        <v>10657</v>
      </c>
      <c r="D10629" s="1"/>
      <c r="E10629" s="1"/>
      <c r="F10629" s="1" t="str">
        <f>IFERROR(__xludf.DUMMYFUNCTION("GOOGLETRANSLATE(B10629, ""en"", ""fa"")
"),"کپی رایتینگ II")</f>
        <v>کپی رایتینگ II</v>
      </c>
      <c r="G10629" s="1" t="str">
        <f>IFERROR(__xludf.DUMMYFUNCTION("GOOGLETRANSLATE(C10629, ""en"", ""fa"")
"),"در مورد تأثیر استفاده از عناصر داستان سرایی، مانند تعلیق یا صخره ها، برای درگیر نگه داشتن خوانندگان و مشتاق به یادگیری بیشتر در نوشتار متقاعدکننده خود بحث کنید.")</f>
        <v>در مورد تأثیر استفاده از عناصر داستان سرایی، مانند تعلیق یا صخره ها، برای درگیر نگه داشتن خوانندگان و مشتاق به یادگیری بیشتر در نوشتار متقاعدکننده خود بحث کنید.</v>
      </c>
      <c r="H10629" s="1"/>
      <c r="I10629" s="1"/>
      <c r="J10629" s="1"/>
      <c r="K10629" s="1"/>
      <c r="L10629" s="1"/>
      <c r="M10629" s="1"/>
      <c r="N10629" s="1"/>
      <c r="O10629" s="1"/>
      <c r="P10629" s="1"/>
      <c r="Q10629" s="1"/>
      <c r="R10629" s="1"/>
      <c r="S10629" s="1"/>
      <c r="T10629" s="1"/>
      <c r="U10629" s="1"/>
      <c r="V10629" s="1"/>
      <c r="W10629" s="1"/>
      <c r="X10629" s="1"/>
      <c r="Y10629" s="1"/>
      <c r="Z10629" s="1"/>
      <c r="AA10629" s="1"/>
      <c r="AB10629" s="1"/>
    </row>
    <row r="10630" ht="50.25" customHeight="1">
      <c r="A10630" s="12">
        <v>10626.0</v>
      </c>
      <c r="B10630" s="13" t="s">
        <v>10535</v>
      </c>
      <c r="C10630" s="18" t="s">
        <v>10658</v>
      </c>
      <c r="D10630" s="1"/>
      <c r="E10630" s="1"/>
      <c r="F10630" s="1" t="str">
        <f>IFERROR(__xludf.DUMMYFUNCTION("GOOGLETRANSLATE(B10630, ""en"", ""fa"")
"),"کپی رایتینگ II")</f>
        <v>کپی رایتینگ II</v>
      </c>
      <c r="G10630" s="1" t="str">
        <f>IFERROR(__xludf.DUMMYFUNCTION("GOOGLETRANSLATE(C10630, ""en"", ""fa"")
"),"چگونه با تطبیق پیام خود با نیازها و علایق خاص مخاطبان، حس شخصی سازی و مرتبط بودن را در نوشته متقاعدکننده خود ایجاد کنید؟")</f>
        <v>چگونه با تطبیق پیام خود با نیازها و علایق خاص مخاطبان، حس شخصی سازی و مرتبط بودن را در نوشته متقاعدکننده خود ایجاد کنید؟</v>
      </c>
      <c r="H10630" s="1"/>
      <c r="I10630" s="1"/>
      <c r="J10630" s="1"/>
      <c r="K10630" s="1"/>
      <c r="L10630" s="1"/>
      <c r="M10630" s="1"/>
      <c r="N10630" s="1"/>
      <c r="O10630" s="1"/>
      <c r="P10630" s="1"/>
      <c r="Q10630" s="1"/>
      <c r="R10630" s="1"/>
      <c r="S10630" s="1"/>
      <c r="T10630" s="1"/>
      <c r="U10630" s="1"/>
      <c r="V10630" s="1"/>
      <c r="W10630" s="1"/>
      <c r="X10630" s="1"/>
      <c r="Y10630" s="1"/>
      <c r="Z10630" s="1"/>
      <c r="AA10630" s="1"/>
      <c r="AB10630" s="1"/>
    </row>
    <row r="10631" ht="50.25" customHeight="1">
      <c r="A10631" s="12">
        <v>10627.0</v>
      </c>
      <c r="B10631" s="13" t="s">
        <v>10535</v>
      </c>
      <c r="C10631" s="18" t="s">
        <v>10659</v>
      </c>
      <c r="D10631" s="1"/>
      <c r="E10631" s="1"/>
      <c r="F10631" s="1" t="str">
        <f>IFERROR(__xludf.DUMMYFUNCTION("GOOGLETRANSLATE(B10631, ""en"", ""fa"")
"),"کپی رایتینگ II")</f>
        <v>کپی رایتینگ II</v>
      </c>
      <c r="G10631" s="1" t="str">
        <f>IFERROR(__xludf.DUMMYFUNCTION("GOOGLETRANSLATE(C10631, ""en"", ""fa"")
"),"بینش های خود را در مورد استفاده از اصول اعتبار، دوست داشتنی و اعتماد برای ایجاد ارتباط متقاعدکننده با خوانندگان خود به اشتراک بگذارید.")</f>
        <v>بینش های خود را در مورد استفاده از اصول اعتبار، دوست داشتنی و اعتماد برای ایجاد ارتباط متقاعدکننده با خوانندگان خود به اشتراک بگذارید.</v>
      </c>
      <c r="H10631" s="1"/>
      <c r="I10631" s="1"/>
      <c r="J10631" s="1"/>
      <c r="K10631" s="1"/>
      <c r="L10631" s="1"/>
      <c r="M10631" s="1"/>
      <c r="N10631" s="1"/>
      <c r="O10631" s="1"/>
      <c r="P10631" s="1"/>
      <c r="Q10631" s="1"/>
      <c r="R10631" s="1"/>
      <c r="S10631" s="1"/>
      <c r="T10631" s="1"/>
      <c r="U10631" s="1"/>
      <c r="V10631" s="1"/>
      <c r="W10631" s="1"/>
      <c r="X10631" s="1"/>
      <c r="Y10631" s="1"/>
      <c r="Z10631" s="1"/>
      <c r="AA10631" s="1"/>
      <c r="AB10631" s="1"/>
    </row>
    <row r="10632" ht="50.25" customHeight="1">
      <c r="A10632" s="12">
        <v>10628.0</v>
      </c>
      <c r="B10632" s="13" t="s">
        <v>10535</v>
      </c>
      <c r="C10632" s="18" t="s">
        <v>10660</v>
      </c>
      <c r="D10632" s="1"/>
      <c r="E10632" s="1"/>
      <c r="F10632" s="1" t="str">
        <f>IFERROR(__xludf.DUMMYFUNCTION("GOOGLETRANSLATE(B10632, ""en"", ""fa"")
"),"کپی رایتینگ II")</f>
        <v>کپی رایتینگ II</v>
      </c>
      <c r="G10632" s="1" t="str">
        <f>IFERROR(__xludf.DUMMYFUNCTION("GOOGLETRANSLATE(C10632, ""en"", ""fa"")
"),"استفاده از نوشتار متقاعد کننده را در سخنرانی عمومی یا ارائه برای مجذوب کردن و متقاعد کردن موثر مخاطبان خود کاوش کنید.")</f>
        <v>استفاده از نوشتار متقاعد کننده را در سخنرانی عمومی یا ارائه برای مجذوب کردن و متقاعد کردن موثر مخاطبان خود کاوش کنید.</v>
      </c>
      <c r="H10632" s="1"/>
      <c r="I10632" s="1"/>
      <c r="J10632" s="1"/>
      <c r="K10632" s="1"/>
      <c r="L10632" s="1"/>
      <c r="M10632" s="1"/>
      <c r="N10632" s="1"/>
      <c r="O10632" s="1"/>
      <c r="P10632" s="1"/>
      <c r="Q10632" s="1"/>
      <c r="R10632" s="1"/>
      <c r="S10632" s="1"/>
      <c r="T10632" s="1"/>
      <c r="U10632" s="1"/>
      <c r="V10632" s="1"/>
      <c r="W10632" s="1"/>
      <c r="X10632" s="1"/>
      <c r="Y10632" s="1"/>
      <c r="Z10632" s="1"/>
      <c r="AA10632" s="1"/>
      <c r="AB10632" s="1"/>
    </row>
    <row r="10633" ht="50.25" customHeight="1">
      <c r="A10633" s="12">
        <v>10629.0</v>
      </c>
      <c r="B10633" s="13" t="s">
        <v>10535</v>
      </c>
      <c r="C10633" s="18" t="s">
        <v>10661</v>
      </c>
      <c r="D10633" s="1"/>
      <c r="E10633" s="1"/>
      <c r="F10633" s="1" t="str">
        <f>IFERROR(__xludf.DUMMYFUNCTION("GOOGLETRANSLATE(B10633, ""en"", ""fa"")
"),"کپی رایتینگ II")</f>
        <v>کپی رایتینگ II</v>
      </c>
      <c r="G10633" s="1" t="str">
        <f>IFERROR(__xludf.DUMMYFUNCTION("GOOGLETRANSLATE(C10633, ""en"", ""fa"")
"),"در مورد اهمیت استفاده از لحن محاوره ای و جذاب در نوشتار متقاعدکننده خود برای ایجاد رابطه و ارتباط با خوانندگان خود بحث کنید.")</f>
        <v>در مورد اهمیت استفاده از لحن محاوره ای و جذاب در نوشتار متقاعدکننده خود برای ایجاد رابطه و ارتباط با خوانندگان خود بحث کنید.</v>
      </c>
      <c r="H10633" s="1"/>
      <c r="I10633" s="1"/>
      <c r="J10633" s="1"/>
      <c r="K10633" s="1"/>
      <c r="L10633" s="1"/>
      <c r="M10633" s="1"/>
      <c r="N10633" s="1"/>
      <c r="O10633" s="1"/>
      <c r="P10633" s="1"/>
      <c r="Q10633" s="1"/>
      <c r="R10633" s="1"/>
      <c r="S10633" s="1"/>
      <c r="T10633" s="1"/>
      <c r="U10633" s="1"/>
      <c r="V10633" s="1"/>
      <c r="W10633" s="1"/>
      <c r="X10633" s="1"/>
      <c r="Y10633" s="1"/>
      <c r="Z10633" s="1"/>
      <c r="AA10633" s="1"/>
      <c r="AB10633" s="1"/>
    </row>
    <row r="10634" ht="50.25" customHeight="1">
      <c r="A10634" s="12">
        <v>10630.0</v>
      </c>
      <c r="B10634" s="13" t="s">
        <v>10535</v>
      </c>
      <c r="C10634" s="18" t="s">
        <v>10662</v>
      </c>
      <c r="D10634" s="1"/>
      <c r="E10634" s="1"/>
      <c r="F10634" s="1" t="str">
        <f>IFERROR(__xludf.DUMMYFUNCTION("GOOGLETRANSLATE(B10634, ""en"", ""fa"")
"),"کپی رایتینگ II")</f>
        <v>کپی رایتینگ II</v>
      </c>
      <c r="G10634" s="1" t="str">
        <f>IFERROR(__xludf.DUMMYFUNCTION("GOOGLETRANSLATE(C10634, ""en"", ""fa"")
"),"چگونه برای رفع تردیدها و افزایش احتمال پذیرش، به ایرادات یا تصورات غلط رایج در نوشتار متقاعدکننده خود رسیدگی کنید؟")</f>
        <v>چگونه برای رفع تردیدها و افزایش احتمال پذیرش، به ایرادات یا تصورات غلط رایج در نوشتار متقاعدکننده خود رسیدگی کنید؟</v>
      </c>
      <c r="H10634" s="1"/>
      <c r="I10634" s="1"/>
      <c r="J10634" s="1"/>
      <c r="K10634" s="1"/>
      <c r="L10634" s="1"/>
      <c r="M10634" s="1"/>
      <c r="N10634" s="1"/>
      <c r="O10634" s="1"/>
      <c r="P10634" s="1"/>
      <c r="Q10634" s="1"/>
      <c r="R10634" s="1"/>
      <c r="S10634" s="1"/>
      <c r="T10634" s="1"/>
      <c r="U10634" s="1"/>
      <c r="V10634" s="1"/>
      <c r="W10634" s="1"/>
      <c r="X10634" s="1"/>
      <c r="Y10634" s="1"/>
      <c r="Z10634" s="1"/>
      <c r="AA10634" s="1"/>
      <c r="AB10634" s="1"/>
    </row>
    <row r="10635" ht="50.25" customHeight="1">
      <c r="A10635" s="12">
        <v>10631.0</v>
      </c>
      <c r="B10635" s="13" t="s">
        <v>10535</v>
      </c>
      <c r="C10635" s="18" t="s">
        <v>10663</v>
      </c>
      <c r="D10635" s="1"/>
      <c r="E10635" s="1"/>
      <c r="F10635" s="1" t="str">
        <f>IFERROR(__xludf.DUMMYFUNCTION("GOOGLETRANSLATE(B10635, ""en"", ""fa"")
"),"کپی رایتینگ II")</f>
        <v>کپی رایتینگ II</v>
      </c>
      <c r="G10635" s="1" t="str">
        <f>IFERROR(__xludf.DUMMYFUNCTION("GOOGLETRANSLATE(C10635, ""en"", ""fa"")
"),"استراتژی‌های استفاده از نوشته‌های متقاعدکننده را در نظرات یا بررسی‌های مشتریان برای ایجاد اثبات اجتماعی و تأثیرگذاری بر تصمیم‌گیری‌های خرید به اشتراک بگذارید.")</f>
        <v>استراتژی‌های استفاده از نوشته‌های متقاعدکننده را در نظرات یا بررسی‌های مشتریان برای ایجاد اثبات اجتماعی و تأثیرگذاری بر تصمیم‌گیری‌های خرید به اشتراک بگذارید.</v>
      </c>
      <c r="H10635" s="1"/>
      <c r="I10635" s="1"/>
      <c r="J10635" s="1"/>
      <c r="K10635" s="1"/>
      <c r="L10635" s="1"/>
      <c r="M10635" s="1"/>
      <c r="N10635" s="1"/>
      <c r="O10635" s="1"/>
      <c r="P10635" s="1"/>
      <c r="Q10635" s="1"/>
      <c r="R10635" s="1"/>
      <c r="S10635" s="1"/>
      <c r="T10635" s="1"/>
      <c r="U10635" s="1"/>
      <c r="V10635" s="1"/>
      <c r="W10635" s="1"/>
      <c r="X10635" s="1"/>
      <c r="Y10635" s="1"/>
      <c r="Z10635" s="1"/>
      <c r="AA10635" s="1"/>
      <c r="AB10635" s="1"/>
    </row>
    <row r="10636" ht="50.25" customHeight="1">
      <c r="A10636" s="12">
        <v>10632.0</v>
      </c>
      <c r="B10636" s="13" t="s">
        <v>10535</v>
      </c>
      <c r="C10636" s="18" t="s">
        <v>10664</v>
      </c>
      <c r="D10636" s="1"/>
      <c r="E10636" s="1"/>
      <c r="F10636" s="1" t="str">
        <f>IFERROR(__xludf.DUMMYFUNCTION("GOOGLETRANSLATE(B10636, ""en"", ""fa"")
"),"کپی رایتینگ II")</f>
        <v>کپی رایتینگ II</v>
      </c>
      <c r="G10636" s="1" t="str">
        <f>IFERROR(__xludf.DUMMYFUNCTION("GOOGLETRANSLATE(C10636, ""en"", ""fa"")
"),"در مورد تأثیر استفاده از تکنیک های زبان متقاعد کننده، مانند تکرار یا ابزارهای بلاغی، برای تقویت پیام های کلیدی خود در نوشتار بحث کنید.")</f>
        <v>در مورد تأثیر استفاده از تکنیک های زبان متقاعد کننده، مانند تکرار یا ابزارهای بلاغی، برای تقویت پیام های کلیدی خود در نوشتار بحث کنید.</v>
      </c>
      <c r="H10636" s="1"/>
      <c r="I10636" s="1"/>
      <c r="J10636" s="1"/>
      <c r="K10636" s="1"/>
      <c r="L10636" s="1"/>
      <c r="M10636" s="1"/>
      <c r="N10636" s="1"/>
      <c r="O10636" s="1"/>
      <c r="P10636" s="1"/>
      <c r="Q10636" s="1"/>
      <c r="R10636" s="1"/>
      <c r="S10636" s="1"/>
      <c r="T10636" s="1"/>
      <c r="U10636" s="1"/>
      <c r="V10636" s="1"/>
      <c r="W10636" s="1"/>
      <c r="X10636" s="1"/>
      <c r="Y10636" s="1"/>
      <c r="Z10636" s="1"/>
      <c r="AA10636" s="1"/>
      <c r="AB10636" s="1"/>
    </row>
    <row r="10637" ht="50.25" customHeight="1">
      <c r="A10637" s="12">
        <v>10633.0</v>
      </c>
      <c r="B10637" s="13" t="s">
        <v>10535</v>
      </c>
      <c r="C10637" s="18" t="s">
        <v>10665</v>
      </c>
      <c r="D10637" s="1"/>
      <c r="E10637" s="1"/>
      <c r="F10637" s="1" t="str">
        <f>IFERROR(__xludf.DUMMYFUNCTION("GOOGLETRANSLATE(B10637, ""en"", ""fa"")
"),"کپی رایتینگ II")</f>
        <v>کپی رایتینگ II</v>
      </c>
      <c r="G10637" s="1" t="str">
        <f>IFERROR(__xludf.DUMMYFUNCTION("GOOGLETRANSLATE(C10637, ""en"", ""fa"")
"),"چگونه نوشته‌های متقاعدکننده خود را با بافت‌های جمعیتی یا فرهنگی هدف مختلف تطبیق دهید تا حداکثر ارتباط و اثربخشی را تضمین کنید؟")</f>
        <v>چگونه نوشته‌های متقاعدکننده خود را با بافت‌های جمعیتی یا فرهنگی هدف مختلف تطبیق دهید تا حداکثر ارتباط و اثربخشی را تضمین کنید؟</v>
      </c>
      <c r="H10637" s="1"/>
      <c r="I10637" s="1"/>
      <c r="J10637" s="1"/>
      <c r="K10637" s="1"/>
      <c r="L10637" s="1"/>
      <c r="M10637" s="1"/>
      <c r="N10637" s="1"/>
      <c r="O10637" s="1"/>
      <c r="P10637" s="1"/>
      <c r="Q10637" s="1"/>
      <c r="R10637" s="1"/>
      <c r="S10637" s="1"/>
      <c r="T10637" s="1"/>
      <c r="U10637" s="1"/>
      <c r="V10637" s="1"/>
      <c r="W10637" s="1"/>
      <c r="X10637" s="1"/>
      <c r="Y10637" s="1"/>
      <c r="Z10637" s="1"/>
      <c r="AA10637" s="1"/>
      <c r="AB10637" s="1"/>
    </row>
    <row r="10638" ht="50.25" customHeight="1">
      <c r="A10638" s="12">
        <v>10634.0</v>
      </c>
      <c r="B10638" s="13" t="s">
        <v>10535</v>
      </c>
      <c r="C10638" s="18" t="s">
        <v>10666</v>
      </c>
      <c r="D10638" s="1"/>
      <c r="E10638" s="1"/>
      <c r="F10638" s="1" t="str">
        <f>IFERROR(__xludf.DUMMYFUNCTION("GOOGLETRANSLATE(B10638, ""en"", ""fa"")
"),"کپی رایتینگ II")</f>
        <v>کپی رایتینگ II</v>
      </c>
      <c r="G10638" s="1" t="str">
        <f>IFERROR(__xludf.DUMMYFUNCTION("GOOGLETRANSLATE(C10638, ""en"", ""fa"")
"),"بینش های خود را در مورد استفاده از نوشتار متقاعد کننده در ارتباطات کارکنان یا یادداشت های داخلی برای ایجاد تعامل و حمایت از ابتکارات سازمانی به اشتراک بگذارید.")</f>
        <v>بینش های خود را در مورد استفاده از نوشتار متقاعد کننده در ارتباطات کارکنان یا یادداشت های داخلی برای ایجاد تعامل و حمایت از ابتکارات سازمانی به اشتراک بگذارید.</v>
      </c>
      <c r="H10638" s="1"/>
      <c r="I10638" s="1"/>
      <c r="J10638" s="1"/>
      <c r="K10638" s="1"/>
      <c r="L10638" s="1"/>
      <c r="M10638" s="1"/>
      <c r="N10638" s="1"/>
      <c r="O10638" s="1"/>
      <c r="P10638" s="1"/>
      <c r="Q10638" s="1"/>
      <c r="R10638" s="1"/>
      <c r="S10638" s="1"/>
      <c r="T10638" s="1"/>
      <c r="U10638" s="1"/>
      <c r="V10638" s="1"/>
      <c r="W10638" s="1"/>
      <c r="X10638" s="1"/>
      <c r="Y10638" s="1"/>
      <c r="Z10638" s="1"/>
      <c r="AA10638" s="1"/>
      <c r="AB10638" s="1"/>
    </row>
    <row r="10639" ht="50.25" customHeight="1">
      <c r="A10639" s="12">
        <v>10635.0</v>
      </c>
      <c r="B10639" s="13" t="s">
        <v>10535</v>
      </c>
      <c r="C10639" s="18" t="s">
        <v>10667</v>
      </c>
      <c r="D10639" s="1"/>
      <c r="E10639" s="1"/>
      <c r="F10639" s="1" t="str">
        <f>IFERROR(__xludf.DUMMYFUNCTION("GOOGLETRANSLATE(B10639, ""en"", ""fa"")
"),"کپی رایتینگ II")</f>
        <v>کپی رایتینگ II</v>
      </c>
      <c r="G10639" s="1" t="str">
        <f>IFERROR(__xludf.DUMMYFUNCTION("GOOGLETRANSLATE(C10639, ""en"", ""fa"")
"),"برای برانگیختن احساسات قدرتمند و الهام بخشیدن به کنش در نوشته های خود، استفاده از کهن الگوهای داستان سرایی، مانند سفر قهرمان یا روایت افسرده را کاوش کنید.")</f>
        <v>برای برانگیختن احساسات قدرتمند و الهام بخشیدن به کنش در نوشته های خود، استفاده از کهن الگوهای داستان سرایی، مانند سفر قهرمان یا روایت افسرده را کاوش کنید.</v>
      </c>
      <c r="H10639" s="1"/>
      <c r="I10639" s="1"/>
      <c r="J10639" s="1"/>
      <c r="K10639" s="1"/>
      <c r="L10639" s="1"/>
      <c r="M10639" s="1"/>
      <c r="N10639" s="1"/>
      <c r="O10639" s="1"/>
      <c r="P10639" s="1"/>
      <c r="Q10639" s="1"/>
      <c r="R10639" s="1"/>
      <c r="S10639" s="1"/>
      <c r="T10639" s="1"/>
      <c r="U10639" s="1"/>
      <c r="V10639" s="1"/>
      <c r="W10639" s="1"/>
      <c r="X10639" s="1"/>
      <c r="Y10639" s="1"/>
      <c r="Z10639" s="1"/>
      <c r="AA10639" s="1"/>
      <c r="AB10639" s="1"/>
    </row>
    <row r="10640" ht="50.25" customHeight="1">
      <c r="A10640" s="12">
        <v>10636.0</v>
      </c>
      <c r="B10640" s="13" t="s">
        <v>10535</v>
      </c>
      <c r="C10640" s="18" t="s">
        <v>10668</v>
      </c>
      <c r="D10640" s="1"/>
      <c r="E10640" s="1"/>
      <c r="F10640" s="1" t="str">
        <f>IFERROR(__xludf.DUMMYFUNCTION("GOOGLETRANSLATE(B10640, ""en"", ""fa"")
"),"کپی رایتینگ II")</f>
        <v>کپی رایتینگ II</v>
      </c>
      <c r="G10640" s="1" t="str">
        <f>IFERROR(__xludf.DUMMYFUNCTION("GOOGLETRANSLATE(C10640, ""en"", ""fa"")
"),"در مورد اهمیت متقاعدسازی اخلاقی در نوشته خود و چگونگی اطمینان از شفافیت و صحت پیام های متقاعدکننده خود بحث کنید.")</f>
        <v>در مورد اهمیت متقاعدسازی اخلاقی در نوشته خود و چگونگی اطمینان از شفافیت و صحت پیام های متقاعدکننده خود بحث کنید.</v>
      </c>
      <c r="H10640" s="1"/>
      <c r="I10640" s="1"/>
      <c r="J10640" s="1"/>
      <c r="K10640" s="1"/>
      <c r="L10640" s="1"/>
      <c r="M10640" s="1"/>
      <c r="N10640" s="1"/>
      <c r="O10640" s="1"/>
      <c r="P10640" s="1"/>
      <c r="Q10640" s="1"/>
      <c r="R10640" s="1"/>
      <c r="S10640" s="1"/>
      <c r="T10640" s="1"/>
      <c r="U10640" s="1"/>
      <c r="V10640" s="1"/>
      <c r="W10640" s="1"/>
      <c r="X10640" s="1"/>
      <c r="Y10640" s="1"/>
      <c r="Z10640" s="1"/>
      <c r="AA10640" s="1"/>
      <c r="AB10640" s="1"/>
    </row>
    <row r="10641" ht="50.25" customHeight="1">
      <c r="A10641" s="12">
        <v>10637.0</v>
      </c>
      <c r="B10641" s="13" t="s">
        <v>10535</v>
      </c>
      <c r="C10641" s="18" t="s">
        <v>10669</v>
      </c>
      <c r="D10641" s="1"/>
      <c r="E10641" s="1"/>
      <c r="F10641" s="1" t="str">
        <f>IFERROR(__xludf.DUMMYFUNCTION("GOOGLETRANSLATE(B10641, ""en"", ""fa"")
"),"کپی رایتینگ II")</f>
        <v>کپی رایتینگ II</v>
      </c>
      <c r="G10641" s="1" t="str">
        <f>IFERROR(__xludf.DUMMYFUNCTION("GOOGLETRANSLATE(C10641, ""en"", ""fa"")
"),"چگونه عناصری از اعتبار، اقتدار و تخصص را در نوشتار متقاعدکننده خود بگنجانید تا خود را به عنوان یک رهبر فکری صنعت مورد اعتماد معرفی کنید؟")</f>
        <v>چگونه عناصری از اعتبار، اقتدار و تخصص را در نوشتار متقاعدکننده خود بگنجانید تا خود را به عنوان یک رهبر فکری صنعت مورد اعتماد معرفی کنید؟</v>
      </c>
      <c r="H10641" s="1"/>
      <c r="I10641" s="1"/>
      <c r="J10641" s="1"/>
      <c r="K10641" s="1"/>
      <c r="L10641" s="1"/>
      <c r="M10641" s="1"/>
      <c r="N10641" s="1"/>
      <c r="O10641" s="1"/>
      <c r="P10641" s="1"/>
      <c r="Q10641" s="1"/>
      <c r="R10641" s="1"/>
      <c r="S10641" s="1"/>
      <c r="T10641" s="1"/>
      <c r="U10641" s="1"/>
      <c r="V10641" s="1"/>
      <c r="W10641" s="1"/>
      <c r="X10641" s="1"/>
      <c r="Y10641" s="1"/>
      <c r="Z10641" s="1"/>
      <c r="AA10641" s="1"/>
      <c r="AB10641" s="1"/>
    </row>
    <row r="10642" ht="50.25" customHeight="1">
      <c r="A10642" s="12">
        <v>10638.0</v>
      </c>
      <c r="B10642" s="13" t="s">
        <v>10535</v>
      </c>
      <c r="C10642" s="18" t="s">
        <v>10670</v>
      </c>
      <c r="D10642" s="1"/>
      <c r="E10642" s="1"/>
      <c r="F10642" s="1" t="str">
        <f>IFERROR(__xludf.DUMMYFUNCTION("GOOGLETRANSLATE(B10642, ""en"", ""fa"")
"),"کپی رایتینگ II")</f>
        <v>کپی رایتینگ II</v>
      </c>
      <c r="G10642" s="1" t="str">
        <f>IFERROR(__xludf.DUMMYFUNCTION("GOOGLETRANSLATE(C10642, ""en"", ""fa"")
"),"استراتژی های استفاده از نوشتن متقاعد کننده در برنامه های حفظ مشتری و وفاداری برای تقویت روابط طولانی مدت و تکرار تجارت را به اشتراک بگذارید.")</f>
        <v>استراتژی های استفاده از نوشتن متقاعد کننده در برنامه های حفظ مشتری و وفاداری برای تقویت روابط طولانی مدت و تکرار تجارت را به اشتراک بگذارید.</v>
      </c>
      <c r="H10642" s="1"/>
      <c r="I10642" s="1"/>
      <c r="J10642" s="1"/>
      <c r="K10642" s="1"/>
      <c r="L10642" s="1"/>
      <c r="M10642" s="1"/>
      <c r="N10642" s="1"/>
      <c r="O10642" s="1"/>
      <c r="P10642" s="1"/>
      <c r="Q10642" s="1"/>
      <c r="R10642" s="1"/>
      <c r="S10642" s="1"/>
      <c r="T10642" s="1"/>
      <c r="U10642" s="1"/>
      <c r="V10642" s="1"/>
      <c r="W10642" s="1"/>
      <c r="X10642" s="1"/>
      <c r="Y10642" s="1"/>
      <c r="Z10642" s="1"/>
      <c r="AA10642" s="1"/>
      <c r="AB10642" s="1"/>
    </row>
    <row r="10643" ht="50.25" customHeight="1">
      <c r="A10643" s="12">
        <v>10639.0</v>
      </c>
      <c r="B10643" s="13" t="s">
        <v>10535</v>
      </c>
      <c r="C10643" s="18" t="s">
        <v>10671</v>
      </c>
      <c r="D10643" s="1"/>
      <c r="E10643" s="1"/>
      <c r="F10643" s="1" t="str">
        <f>IFERROR(__xludf.DUMMYFUNCTION("GOOGLETRANSLATE(B10643, ""en"", ""fa"")
"),"کپی رایتینگ II")</f>
        <v>کپی رایتینگ II</v>
      </c>
      <c r="G10643" s="1" t="str">
        <f>IFERROR(__xludf.DUMMYFUNCTION("GOOGLETRANSLATE(C10643, ""en"", ""fa"")
"),"در مورد تأثیر استفاده از نوشتن متقاعد کننده در کپی وب سایت یا صفحات فرود برای بهینه سازی تبدیل ها و راهنمایی کاربران به سمت اقدام مورد نظر بحث کنید.")</f>
        <v>در مورد تأثیر استفاده از نوشتن متقاعد کننده در کپی وب سایت یا صفحات فرود برای بهینه سازی تبدیل ها و راهنمایی کاربران به سمت اقدام مورد نظر بحث کنید.</v>
      </c>
      <c r="H10643" s="1"/>
      <c r="I10643" s="1"/>
      <c r="J10643" s="1"/>
      <c r="K10643" s="1"/>
      <c r="L10643" s="1"/>
      <c r="M10643" s="1"/>
      <c r="N10643" s="1"/>
      <c r="O10643" s="1"/>
      <c r="P10643" s="1"/>
      <c r="Q10643" s="1"/>
      <c r="R10643" s="1"/>
      <c r="S10643" s="1"/>
      <c r="T10643" s="1"/>
      <c r="U10643" s="1"/>
      <c r="V10643" s="1"/>
      <c r="W10643" s="1"/>
      <c r="X10643" s="1"/>
      <c r="Y10643" s="1"/>
      <c r="Z10643" s="1"/>
      <c r="AA10643" s="1"/>
      <c r="AB10643" s="1"/>
    </row>
    <row r="10644" ht="50.25" customHeight="1">
      <c r="A10644" s="12">
        <v>10640.0</v>
      </c>
      <c r="B10644" s="13" t="s">
        <v>10535</v>
      </c>
      <c r="C10644" s="18" t="s">
        <v>10672</v>
      </c>
      <c r="D10644" s="1"/>
      <c r="E10644" s="1"/>
      <c r="F10644" s="1" t="str">
        <f>IFERROR(__xludf.DUMMYFUNCTION("GOOGLETRANSLATE(B10644, ""en"", ""fa"")
"),"کپی رایتینگ II")</f>
        <v>کپی رایتینگ II</v>
      </c>
      <c r="G10644" s="1" t="str">
        <f>IFERROR(__xludf.DUMMYFUNCTION("GOOGLETRANSLATE(C10644, ""en"", ""fa"")
"),"چگونه نوشته متقاعدکننده خود را با مراحل مختلف سفر مشتری، از آگاهی گرفته تا توجه به تبدیل، تطبیق دهید؟")</f>
        <v>چگونه نوشته متقاعدکننده خود را با مراحل مختلف سفر مشتری، از آگاهی گرفته تا توجه به تبدیل، تطبیق دهید؟</v>
      </c>
      <c r="H10644" s="1"/>
      <c r="I10644" s="1"/>
      <c r="J10644" s="1"/>
      <c r="K10644" s="1"/>
      <c r="L10644" s="1"/>
      <c r="M10644" s="1"/>
      <c r="N10644" s="1"/>
      <c r="O10644" s="1"/>
      <c r="P10644" s="1"/>
      <c r="Q10644" s="1"/>
      <c r="R10644" s="1"/>
      <c r="S10644" s="1"/>
      <c r="T10644" s="1"/>
      <c r="U10644" s="1"/>
      <c r="V10644" s="1"/>
      <c r="W10644" s="1"/>
      <c r="X10644" s="1"/>
      <c r="Y10644" s="1"/>
      <c r="Z10644" s="1"/>
      <c r="AA10644" s="1"/>
      <c r="AB10644" s="1"/>
    </row>
    <row r="10645" ht="50.25" customHeight="1">
      <c r="A10645" s="12">
        <v>10641.0</v>
      </c>
      <c r="B10645" s="13" t="s">
        <v>10535</v>
      </c>
      <c r="C10645" s="18" t="s">
        <v>10673</v>
      </c>
      <c r="D10645" s="1"/>
      <c r="E10645" s="1"/>
      <c r="F10645" s="1" t="str">
        <f>IFERROR(__xludf.DUMMYFUNCTION("GOOGLETRANSLATE(B10645, ""en"", ""fa"")
"),"کپی رایتینگ II")</f>
        <v>کپی رایتینگ II</v>
      </c>
      <c r="G10645" s="1" t="str">
        <f>IFERROR(__xludf.DUMMYFUNCTION("GOOGLETRANSLATE(C10645, ""en"", ""fa"")
"),"تکنیک‌های استفاده از تکنیک‌های داستان‌سرایی قدرتمند، مانند پیش‌نمایش یا پیچش‌های داستانی را به اشتراک بگذارید تا خوانندگان را درگیر کرده و متقاعدکننده بودن نوشته‌تان را افزایش دهید.")</f>
        <v>تکنیک‌های استفاده از تکنیک‌های داستان‌سرایی قدرتمند، مانند پیش‌نمایش یا پیچش‌های داستانی را به اشتراک بگذارید تا خوانندگان را درگیر کرده و متقاعدکننده بودن نوشته‌تان را افزایش دهید.</v>
      </c>
      <c r="H10645" s="1"/>
      <c r="I10645" s="1"/>
      <c r="J10645" s="1"/>
      <c r="K10645" s="1"/>
      <c r="L10645" s="1"/>
      <c r="M10645" s="1"/>
      <c r="N10645" s="1"/>
      <c r="O10645" s="1"/>
      <c r="P10645" s="1"/>
      <c r="Q10645" s="1"/>
      <c r="R10645" s="1"/>
      <c r="S10645" s="1"/>
      <c r="T10645" s="1"/>
      <c r="U10645" s="1"/>
      <c r="V10645" s="1"/>
      <c r="W10645" s="1"/>
      <c r="X10645" s="1"/>
      <c r="Y10645" s="1"/>
      <c r="Z10645" s="1"/>
      <c r="AA10645" s="1"/>
      <c r="AB10645" s="1"/>
    </row>
    <row r="10646" ht="50.25" customHeight="1">
      <c r="A10646" s="12">
        <v>10642.0</v>
      </c>
      <c r="B10646" s="13" t="s">
        <v>10535</v>
      </c>
      <c r="C10646" s="18" t="s">
        <v>10674</v>
      </c>
      <c r="D10646" s="1"/>
      <c r="E10646" s="1"/>
      <c r="F10646" s="1" t="str">
        <f>IFERROR(__xludf.DUMMYFUNCTION("GOOGLETRANSLATE(B10646, ""en"", ""fa"")
"),"کپی رایتینگ II")</f>
        <v>کپی رایتینگ II</v>
      </c>
      <c r="G10646" s="1" t="str">
        <f>IFERROR(__xludf.DUMMYFUNCTION("GOOGLETRANSLATE(C10646, ""en"", ""fa"")
"),"اهمیت همدلی و درک دیدگاه مخاطبان خود را در نوشتن متقاعدکننده برای ارتباط در سطح عمیق تر و تأثیرگذاری بر روند تصمیم گیری آنها مورد بحث قرار دهید.")</f>
        <v>اهمیت همدلی و درک دیدگاه مخاطبان خود را در نوشتن متقاعدکننده برای ارتباط در سطح عمیق تر و تأثیرگذاری بر روند تصمیم گیری آنها مورد بحث قرار دهید.</v>
      </c>
      <c r="H10646" s="1"/>
      <c r="I10646" s="1"/>
      <c r="J10646" s="1"/>
      <c r="K10646" s="1"/>
      <c r="L10646" s="1"/>
      <c r="M10646" s="1"/>
      <c r="N10646" s="1"/>
      <c r="O10646" s="1"/>
      <c r="P10646" s="1"/>
      <c r="Q10646" s="1"/>
      <c r="R10646" s="1"/>
      <c r="S10646" s="1"/>
      <c r="T10646" s="1"/>
      <c r="U10646" s="1"/>
      <c r="V10646" s="1"/>
      <c r="W10646" s="1"/>
      <c r="X10646" s="1"/>
      <c r="Y10646" s="1"/>
      <c r="Z10646" s="1"/>
      <c r="AA10646" s="1"/>
      <c r="AB10646" s="1"/>
    </row>
    <row r="10647" ht="50.25" customHeight="1">
      <c r="A10647" s="12">
        <v>10643.0</v>
      </c>
      <c r="B10647" s="13" t="s">
        <v>10535</v>
      </c>
      <c r="C10647" s="18" t="s">
        <v>10675</v>
      </c>
      <c r="D10647" s="1"/>
      <c r="E10647" s="1"/>
      <c r="F10647" s="1" t="str">
        <f>IFERROR(__xludf.DUMMYFUNCTION("GOOGLETRANSLATE(B10647, ""en"", ""fa"")
"),"کپی رایتینگ II")</f>
        <v>کپی رایتینگ II</v>
      </c>
      <c r="G10647" s="1" t="str">
        <f>IFERROR(__xludf.DUMMYFUNCTION("GOOGLETRANSLATE(C10647, ""en"", ""fa"")
"),"چگونه می توان در نوشته متقاعدکننده خود احساس فوریت و کمبود ایجاد کرد تا اقدام فوری و جلوگیری از به تعویق انداختن کار را انجام دهد؟")</f>
        <v>چگونه می توان در نوشته متقاعدکننده خود احساس فوریت و کمبود ایجاد کرد تا اقدام فوری و جلوگیری از به تعویق انداختن کار را انجام دهد؟</v>
      </c>
      <c r="H10647" s="1"/>
      <c r="I10647" s="1"/>
      <c r="J10647" s="1"/>
      <c r="K10647" s="1"/>
      <c r="L10647" s="1"/>
      <c r="M10647" s="1"/>
      <c r="N10647" s="1"/>
      <c r="O10647" s="1"/>
      <c r="P10647" s="1"/>
      <c r="Q10647" s="1"/>
      <c r="R10647" s="1"/>
      <c r="S10647" s="1"/>
      <c r="T10647" s="1"/>
      <c r="U10647" s="1"/>
      <c r="V10647" s="1"/>
      <c r="W10647" s="1"/>
      <c r="X10647" s="1"/>
      <c r="Y10647" s="1"/>
      <c r="Z10647" s="1"/>
      <c r="AA10647" s="1"/>
      <c r="AB10647" s="1"/>
    </row>
    <row r="10648" ht="50.25" customHeight="1">
      <c r="A10648" s="12">
        <v>10644.0</v>
      </c>
      <c r="B10648" s="13" t="s">
        <v>10535</v>
      </c>
      <c r="C10648" s="18" t="s">
        <v>10676</v>
      </c>
      <c r="D10648" s="1"/>
      <c r="E10648" s="1"/>
      <c r="F10648" s="1" t="str">
        <f>IFERROR(__xludf.DUMMYFUNCTION("GOOGLETRANSLATE(B10648, ""en"", ""fa"")
"),"کپی رایتینگ II")</f>
        <v>کپی رایتینگ II</v>
      </c>
      <c r="G10648" s="1" t="str">
        <f>IFERROR(__xludf.DUMMYFUNCTION("GOOGLETRANSLATE(C10648, ""en"", ""fa"")
"),"استراتژی های استفاده از نوشته های متقاعد کننده در روابط عمومی یا مدیریت بحران برای شکل دادن به افکار عمومی و کاهش آسیب های احتمالی اعتبار را به اشتراک بگذارید.")</f>
        <v>استراتژی های استفاده از نوشته های متقاعد کننده در روابط عمومی یا مدیریت بحران برای شکل دادن به افکار عمومی و کاهش آسیب های احتمالی اعتبار را به اشتراک بگذارید.</v>
      </c>
      <c r="H10648" s="1"/>
      <c r="I10648" s="1"/>
      <c r="J10648" s="1"/>
      <c r="K10648" s="1"/>
      <c r="L10648" s="1"/>
      <c r="M10648" s="1"/>
      <c r="N10648" s="1"/>
      <c r="O10648" s="1"/>
      <c r="P10648" s="1"/>
      <c r="Q10648" s="1"/>
      <c r="R10648" s="1"/>
      <c r="S10648" s="1"/>
      <c r="T10648" s="1"/>
      <c r="U10648" s="1"/>
      <c r="V10648" s="1"/>
      <c r="W10648" s="1"/>
      <c r="X10648" s="1"/>
      <c r="Y10648" s="1"/>
      <c r="Z10648" s="1"/>
      <c r="AA10648" s="1"/>
      <c r="AB10648" s="1"/>
    </row>
    <row r="10649" ht="50.25" customHeight="1">
      <c r="A10649" s="12">
        <v>10645.0</v>
      </c>
      <c r="B10649" s="13" t="s">
        <v>10535</v>
      </c>
      <c r="C10649" s="18" t="s">
        <v>10677</v>
      </c>
      <c r="D10649" s="1"/>
      <c r="E10649" s="1"/>
      <c r="F10649" s="1" t="str">
        <f>IFERROR(__xludf.DUMMYFUNCTION("GOOGLETRANSLATE(B10649, ""en"", ""fa"")
"),"کپی رایتینگ II")</f>
        <v>کپی رایتینگ II</v>
      </c>
      <c r="G10649" s="1" t="str">
        <f>IFERROR(__xludf.DUMMYFUNCTION("GOOGLETRANSLATE(C10649, ""en"", ""fa"")
"),"استفاده از تکنیک‌های نوشتاری متقاعدکننده، مانند جذابیت‌های بلاغی (اخلاق، پاتوس، آرم) را برای تقویت استدلال‌های خود و جذب خوانندگان از نظر فکری و احساسی بررسی کنید.")</f>
        <v>استفاده از تکنیک‌های نوشتاری متقاعدکننده، مانند جذابیت‌های بلاغی (اخلاق، پاتوس، آرم) را برای تقویت استدلال‌های خود و جذب خوانندگان از نظر فکری و احساسی بررسی کنید.</v>
      </c>
      <c r="H10649" s="1"/>
      <c r="I10649" s="1"/>
      <c r="J10649" s="1"/>
      <c r="K10649" s="1"/>
      <c r="L10649" s="1"/>
      <c r="M10649" s="1"/>
      <c r="N10649" s="1"/>
      <c r="O10649" s="1"/>
      <c r="P10649" s="1"/>
      <c r="Q10649" s="1"/>
      <c r="R10649" s="1"/>
      <c r="S10649" s="1"/>
      <c r="T10649" s="1"/>
      <c r="U10649" s="1"/>
      <c r="V10649" s="1"/>
      <c r="W10649" s="1"/>
      <c r="X10649" s="1"/>
      <c r="Y10649" s="1"/>
      <c r="Z10649" s="1"/>
      <c r="AA10649" s="1"/>
      <c r="AB10649" s="1"/>
    </row>
    <row r="10650" ht="50.25" customHeight="1">
      <c r="A10650" s="12">
        <v>10646.0</v>
      </c>
      <c r="B10650" s="13" t="s">
        <v>10535</v>
      </c>
      <c r="C10650" s="18" t="s">
        <v>10678</v>
      </c>
      <c r="D10650" s="1"/>
      <c r="E10650" s="1"/>
      <c r="F10650" s="1" t="str">
        <f>IFERROR(__xludf.DUMMYFUNCTION("GOOGLETRANSLATE(B10650, ""en"", ""fa"")
"),"کپی رایتینگ II")</f>
        <v>کپی رایتینگ II</v>
      </c>
      <c r="G10650" s="1" t="str">
        <f>IFERROR(__xludf.DUMMYFUNCTION("GOOGLETRANSLATE(C10650, ""en"", ""fa"")
"),"در مورد تأثیر استفاده از داستان سرایی بصری، مانند اینفوگرافیک ها یا ویدیوها، برای افزایش متقاعد کننده و به یاد ماندنی محتوای نوشتاری خود بحث کنید.")</f>
        <v>در مورد تأثیر استفاده از داستان سرایی بصری، مانند اینفوگرافیک ها یا ویدیوها، برای افزایش متقاعد کننده و به یاد ماندنی محتوای نوشتاری خود بحث کنید.</v>
      </c>
      <c r="H10650" s="1"/>
      <c r="I10650" s="1"/>
      <c r="J10650" s="1"/>
      <c r="K10650" s="1"/>
      <c r="L10650" s="1"/>
      <c r="M10650" s="1"/>
      <c r="N10650" s="1"/>
      <c r="O10650" s="1"/>
      <c r="P10650" s="1"/>
      <c r="Q10650" s="1"/>
      <c r="R10650" s="1"/>
      <c r="S10650" s="1"/>
      <c r="T10650" s="1"/>
      <c r="U10650" s="1"/>
      <c r="V10650" s="1"/>
      <c r="W10650" s="1"/>
      <c r="X10650" s="1"/>
      <c r="Y10650" s="1"/>
      <c r="Z10650" s="1"/>
      <c r="AA10650" s="1"/>
      <c r="AB10650" s="1"/>
    </row>
    <row r="10651" ht="50.25" customHeight="1">
      <c r="A10651" s="12">
        <v>10647.0</v>
      </c>
      <c r="B10651" s="13" t="s">
        <v>10535</v>
      </c>
      <c r="C10651" s="18" t="s">
        <v>10679</v>
      </c>
      <c r="D10651" s="1"/>
      <c r="E10651" s="1"/>
      <c r="F10651" s="1" t="str">
        <f>IFERROR(__xludf.DUMMYFUNCTION("GOOGLETRANSLATE(B10651, ""en"", ""fa"")
"),"کپی رایتینگ II")</f>
        <v>کپی رایتینگ II</v>
      </c>
      <c r="G10651" s="1" t="str">
        <f>IFERROR(__xludf.DUMMYFUNCTION("GOOGLETRANSLATE(C10651, ""en"", ""fa"")
"),"درک اطلاعات جمعیتی مخاطبان هدف، مانند سن، جنسیت و مکان، چگونه بر رویکرد کپی‌نویسی شما تأثیر می‌گذارد؟")</f>
        <v>درک اطلاعات جمعیتی مخاطبان هدف، مانند سن، جنسیت و مکان، چگونه بر رویکرد کپی‌نویسی شما تأثیر می‌گذارد؟</v>
      </c>
      <c r="H10651" s="1"/>
      <c r="I10651" s="1"/>
      <c r="J10651" s="1"/>
      <c r="K10651" s="1"/>
      <c r="L10651" s="1"/>
      <c r="M10651" s="1"/>
      <c r="N10651" s="1"/>
      <c r="O10651" s="1"/>
      <c r="P10651" s="1"/>
      <c r="Q10651" s="1"/>
      <c r="R10651" s="1"/>
      <c r="S10651" s="1"/>
      <c r="T10651" s="1"/>
      <c r="U10651" s="1"/>
      <c r="V10651" s="1"/>
      <c r="W10651" s="1"/>
      <c r="X10651" s="1"/>
      <c r="Y10651" s="1"/>
      <c r="Z10651" s="1"/>
      <c r="AA10651" s="1"/>
      <c r="AB10651" s="1"/>
    </row>
    <row r="10652" ht="50.25" customHeight="1">
      <c r="A10652" s="12">
        <v>10648.0</v>
      </c>
      <c r="B10652" s="13" t="s">
        <v>10535</v>
      </c>
      <c r="C10652" s="18" t="s">
        <v>10680</v>
      </c>
      <c r="D10652" s="1"/>
      <c r="E10652" s="1"/>
      <c r="F10652" s="1" t="str">
        <f>IFERROR(__xludf.DUMMYFUNCTION("GOOGLETRANSLATE(B10652, ""en"", ""fa"")
"),"کپی رایتینگ II")</f>
        <v>کپی رایتینگ II</v>
      </c>
      <c r="G10652" s="1" t="str">
        <f>IFERROR(__xludf.DUMMYFUNCTION("GOOGLETRANSLATE(C10652, ""en"", ""fa"")
"),"عوامل روانشناختی کلیدی که بر تصمیمات خرید مصرف کننده تأثیر می گذارند، چیست و چگونه می توانید آنها را در کپی رایتینگ خود بگنجانید؟")</f>
        <v>عوامل روانشناختی کلیدی که بر تصمیمات خرید مصرف کننده تأثیر می گذارند، چیست و چگونه می توانید آنها را در کپی رایتینگ خود بگنجانید؟</v>
      </c>
      <c r="H10652" s="1"/>
      <c r="I10652" s="1"/>
      <c r="J10652" s="1"/>
      <c r="K10652" s="1"/>
      <c r="L10652" s="1"/>
      <c r="M10652" s="1"/>
      <c r="N10652" s="1"/>
      <c r="O10652" s="1"/>
      <c r="P10652" s="1"/>
      <c r="Q10652" s="1"/>
      <c r="R10652" s="1"/>
      <c r="S10652" s="1"/>
      <c r="T10652" s="1"/>
      <c r="U10652" s="1"/>
      <c r="V10652" s="1"/>
      <c r="W10652" s="1"/>
      <c r="X10652" s="1"/>
      <c r="Y10652" s="1"/>
      <c r="Z10652" s="1"/>
      <c r="AA10652" s="1"/>
      <c r="AB10652" s="1"/>
    </row>
    <row r="10653" ht="50.25" customHeight="1">
      <c r="A10653" s="12">
        <v>10649.0</v>
      </c>
      <c r="B10653" s="13" t="s">
        <v>10535</v>
      </c>
      <c r="C10653" s="18" t="s">
        <v>10681</v>
      </c>
      <c r="D10653" s="1"/>
      <c r="E10653" s="1"/>
      <c r="F10653" s="1" t="str">
        <f>IFERROR(__xludf.DUMMYFUNCTION("GOOGLETRANSLATE(B10653, ""en"", ""fa"")
"),"کپی رایتینگ II")</f>
        <v>کپی رایتینگ II</v>
      </c>
      <c r="G10653" s="1" t="str">
        <f>IFERROR(__xludf.DUMMYFUNCTION("GOOGLETRANSLATE(C10653, ""en"", ""fa"")
"),"ناهماهنگی شناختی چگونه بر رفتار مصرف کننده تأثیر می گذارد و چگونه می توانید آن را در کپی رایتینگ خود برای کاهش تعارضات بالقوه برطرف کنید؟")</f>
        <v>ناهماهنگی شناختی چگونه بر رفتار مصرف کننده تأثیر می گذارد و چگونه می توانید آن را در کپی رایتینگ خود برای کاهش تعارضات بالقوه برطرف کنید؟</v>
      </c>
      <c r="H10653" s="1"/>
      <c r="I10653" s="1"/>
      <c r="J10653" s="1"/>
      <c r="K10653" s="1"/>
      <c r="L10653" s="1"/>
      <c r="M10653" s="1"/>
      <c r="N10653" s="1"/>
      <c r="O10653" s="1"/>
      <c r="P10653" s="1"/>
      <c r="Q10653" s="1"/>
      <c r="R10653" s="1"/>
      <c r="S10653" s="1"/>
      <c r="T10653" s="1"/>
      <c r="U10653" s="1"/>
      <c r="V10653" s="1"/>
      <c r="W10653" s="1"/>
      <c r="X10653" s="1"/>
      <c r="Y10653" s="1"/>
      <c r="Z10653" s="1"/>
      <c r="AA10653" s="1"/>
      <c r="AB10653" s="1"/>
    </row>
    <row r="10654" ht="50.25" customHeight="1">
      <c r="A10654" s="12">
        <v>10650.0</v>
      </c>
      <c r="B10654" s="13" t="s">
        <v>10535</v>
      </c>
      <c r="C10654" s="18" t="s">
        <v>10682</v>
      </c>
      <c r="D10654" s="1"/>
      <c r="E10654" s="1"/>
      <c r="F10654" s="1" t="str">
        <f>IFERROR(__xludf.DUMMYFUNCTION("GOOGLETRANSLATE(B10654, ""en"", ""fa"")
"),"کپی رایتینگ II")</f>
        <v>کپی رایتینگ II</v>
      </c>
      <c r="G10654" s="1" t="str">
        <f>IFERROR(__xludf.DUMMYFUNCTION("GOOGLETRANSLATE(C10654, ""en"", ""fa"")
"),"در مورد مفهوم اثبات اجتماعی و تأثیر آن بر تصمیم گیری مصرف کننده بحث کنید. چگونه می توانید عناصر اثبات اجتماعی را در کپی رایتینگ خود بگنجانید؟")</f>
        <v>در مورد مفهوم اثبات اجتماعی و تأثیر آن بر تصمیم گیری مصرف کننده بحث کنید. چگونه می توانید عناصر اثبات اجتماعی را در کپی رایتینگ خود بگنجانید؟</v>
      </c>
      <c r="H10654" s="1"/>
      <c r="I10654" s="1"/>
      <c r="J10654" s="1"/>
      <c r="K10654" s="1"/>
      <c r="L10654" s="1"/>
      <c r="M10654" s="1"/>
      <c r="N10654" s="1"/>
      <c r="O10654" s="1"/>
      <c r="P10654" s="1"/>
      <c r="Q10654" s="1"/>
      <c r="R10654" s="1"/>
      <c r="S10654" s="1"/>
      <c r="T10654" s="1"/>
      <c r="U10654" s="1"/>
      <c r="V10654" s="1"/>
      <c r="W10654" s="1"/>
      <c r="X10654" s="1"/>
      <c r="Y10654" s="1"/>
      <c r="Z10654" s="1"/>
      <c r="AA10654" s="1"/>
      <c r="AB10654" s="1"/>
    </row>
    <row r="10655" ht="50.25" customHeight="1">
      <c r="A10655" s="12">
        <v>10651.0</v>
      </c>
      <c r="B10655" s="13" t="s">
        <v>10535</v>
      </c>
      <c r="C10655" s="18" t="s">
        <v>10683</v>
      </c>
      <c r="D10655" s="1"/>
      <c r="E10655" s="1"/>
      <c r="F10655" s="1" t="str">
        <f>IFERROR(__xludf.DUMMYFUNCTION("GOOGLETRANSLATE(B10655, ""en"", ""fa"")
"),"کپی رایتینگ II")</f>
        <v>کپی رایتینگ II</v>
      </c>
      <c r="G10655" s="1" t="str">
        <f>IFERROR(__xludf.DUMMYFUNCTION("GOOGLETRANSLATE(C10655, ""en"", ""fa"")
"),"چگونه می توان از اصول متقاعدسازی، مانند عمل متقابل و کمیابی، برای تأثیرگذاری بر ادراک و واکنش مخاطب هدف به نسخه مورد نظر استفاده کرد؟")</f>
        <v>چگونه می توان از اصول متقاعدسازی، مانند عمل متقابل و کمیابی، برای تأثیرگذاری بر ادراک و واکنش مخاطب هدف به نسخه مورد نظر استفاده کرد؟</v>
      </c>
      <c r="H10655" s="1"/>
      <c r="I10655" s="1"/>
      <c r="J10655" s="1"/>
      <c r="K10655" s="1"/>
      <c r="L10655" s="1"/>
      <c r="M10655" s="1"/>
      <c r="N10655" s="1"/>
      <c r="O10655" s="1"/>
      <c r="P10655" s="1"/>
      <c r="Q10655" s="1"/>
      <c r="R10655" s="1"/>
      <c r="S10655" s="1"/>
      <c r="T10655" s="1"/>
      <c r="U10655" s="1"/>
      <c r="V10655" s="1"/>
      <c r="W10655" s="1"/>
      <c r="X10655" s="1"/>
      <c r="Y10655" s="1"/>
      <c r="Z10655" s="1"/>
      <c r="AA10655" s="1"/>
      <c r="AB10655" s="1"/>
    </row>
    <row r="10656" ht="50.25" customHeight="1">
      <c r="A10656" s="12">
        <v>10652.0</v>
      </c>
      <c r="B10656" s="13" t="s">
        <v>10535</v>
      </c>
      <c r="C10656" s="18" t="s">
        <v>10684</v>
      </c>
      <c r="D10656" s="1"/>
      <c r="E10656" s="1"/>
      <c r="F10656" s="1" t="str">
        <f>IFERROR(__xludf.DUMMYFUNCTION("GOOGLETRANSLATE(B10656, ""en"", ""fa"")
"),"کپی رایتینگ II")</f>
        <v>کپی رایتینگ II</v>
      </c>
      <c r="G10656" s="1" t="str">
        <f>IFERROR(__xludf.DUMMYFUNCTION("GOOGLETRANSLATE(C10656, ""en"", ""fa"")
"),"نقش احساسات را در کپی‌رایتینگ و اینکه چگونه می‌توانید واکنش‌های عاطفی خاصی را برای طنین‌اندازی با مخاطب هدف خود برانگیزید، بررسی کنید.")</f>
        <v>نقش احساسات را در کپی‌رایتینگ و اینکه چگونه می‌توانید واکنش‌های عاطفی خاصی را برای طنین‌اندازی با مخاطب هدف خود برانگیزید، بررسی کنید.</v>
      </c>
      <c r="H10656" s="1"/>
      <c r="I10656" s="1"/>
      <c r="J10656" s="1"/>
      <c r="K10656" s="1"/>
      <c r="L10656" s="1"/>
      <c r="M10656" s="1"/>
      <c r="N10656" s="1"/>
      <c r="O10656" s="1"/>
      <c r="P10656" s="1"/>
      <c r="Q10656" s="1"/>
      <c r="R10656" s="1"/>
      <c r="S10656" s="1"/>
      <c r="T10656" s="1"/>
      <c r="U10656" s="1"/>
      <c r="V10656" s="1"/>
      <c r="W10656" s="1"/>
      <c r="X10656" s="1"/>
      <c r="Y10656" s="1"/>
      <c r="Z10656" s="1"/>
      <c r="AA10656" s="1"/>
      <c r="AB10656" s="1"/>
    </row>
    <row r="10657" ht="50.25" customHeight="1">
      <c r="A10657" s="12">
        <v>10653.0</v>
      </c>
      <c r="B10657" s="13" t="s">
        <v>10535</v>
      </c>
      <c r="C10657" s="18" t="s">
        <v>10685</v>
      </c>
      <c r="D10657" s="1"/>
      <c r="E10657" s="1"/>
      <c r="F10657" s="1" t="str">
        <f>IFERROR(__xludf.DUMMYFUNCTION("GOOGLETRANSLATE(B10657, ""en"", ""fa"")
"),"کپی رایتینگ II")</f>
        <v>کپی رایتینگ II</v>
      </c>
      <c r="G10657" s="1" t="str">
        <f>IFERROR(__xludf.DUMMYFUNCTION("GOOGLETRANSLATE(C10657, ""en"", ""fa"")
"),"محرک‌های روان‌شناختی که باعث خرید ناگهانی می‌شوند، چیست و چگونه می‌توانید از آنها در کپی‌رایتینگ خود برای اقدام فوری استفاده کنید؟")</f>
        <v>محرک‌های روان‌شناختی که باعث خرید ناگهانی می‌شوند، چیست و چگونه می‌توانید از آنها در کپی‌رایتینگ خود برای اقدام فوری استفاده کنید؟</v>
      </c>
      <c r="H10657" s="1"/>
      <c r="I10657" s="1"/>
      <c r="J10657" s="1"/>
      <c r="K10657" s="1"/>
      <c r="L10657" s="1"/>
      <c r="M10657" s="1"/>
      <c r="N10657" s="1"/>
      <c r="O10657" s="1"/>
      <c r="P10657" s="1"/>
      <c r="Q10657" s="1"/>
      <c r="R10657" s="1"/>
      <c r="S10657" s="1"/>
      <c r="T10657" s="1"/>
      <c r="U10657" s="1"/>
      <c r="V10657" s="1"/>
      <c r="W10657" s="1"/>
      <c r="X10657" s="1"/>
      <c r="Y10657" s="1"/>
      <c r="Z10657" s="1"/>
      <c r="AA10657" s="1"/>
      <c r="AB10657" s="1"/>
    </row>
    <row r="10658" ht="50.25" customHeight="1">
      <c r="A10658" s="12">
        <v>10654.0</v>
      </c>
      <c r="B10658" s="13" t="s">
        <v>10535</v>
      </c>
      <c r="C10658" s="18" t="s">
        <v>10686</v>
      </c>
      <c r="D10658" s="1"/>
      <c r="E10658" s="1"/>
      <c r="F10658" s="1" t="str">
        <f>IFERROR(__xludf.DUMMYFUNCTION("GOOGLETRANSLATE(B10658, ""en"", ""fa"")
"),"کپی رایتینگ II")</f>
        <v>کپی رایتینگ II</v>
      </c>
      <c r="G10658" s="1" t="str">
        <f>IFERROR(__xludf.DUMMYFUNCTION("GOOGLETRANSLATE(C10658, ""en"", ""fa"")
"),"در مورد مفهوم سوگیری های شناختی و اینکه چگونه می توان از آنها برای شکل دادن به ادراکات و ترجیحات مصرف کننده از طریق تکنیک های کپی رایتینگ متقاعدکننده استفاده کرد، بحث کنید.")</f>
        <v>در مورد مفهوم سوگیری های شناختی و اینکه چگونه می توان از آنها برای شکل دادن به ادراکات و ترجیحات مصرف کننده از طریق تکنیک های کپی رایتینگ متقاعدکننده استفاده کرد، بحث کنید.</v>
      </c>
      <c r="H10658" s="1"/>
      <c r="I10658" s="1"/>
      <c r="J10658" s="1"/>
      <c r="K10658" s="1"/>
      <c r="L10658" s="1"/>
      <c r="M10658" s="1"/>
      <c r="N10658" s="1"/>
      <c r="O10658" s="1"/>
      <c r="P10658" s="1"/>
      <c r="Q10658" s="1"/>
      <c r="R10658" s="1"/>
      <c r="S10658" s="1"/>
      <c r="T10658" s="1"/>
      <c r="U10658" s="1"/>
      <c r="V10658" s="1"/>
      <c r="W10658" s="1"/>
      <c r="X10658" s="1"/>
      <c r="Y10658" s="1"/>
      <c r="Z10658" s="1"/>
      <c r="AA10658" s="1"/>
      <c r="AB10658" s="1"/>
    </row>
    <row r="10659" ht="50.25" customHeight="1">
      <c r="A10659" s="12">
        <v>10655.0</v>
      </c>
      <c r="B10659" s="13" t="s">
        <v>10535</v>
      </c>
      <c r="C10659" s="18" t="s">
        <v>10687</v>
      </c>
      <c r="D10659" s="1"/>
      <c r="E10659" s="1"/>
      <c r="F10659" s="1" t="str">
        <f>IFERROR(__xludf.DUMMYFUNCTION("GOOGLETRANSLATE(B10659, ""en"", ""fa"")
"),"کپی رایتینگ II")</f>
        <v>کپی رایتینگ II</v>
      </c>
      <c r="G10659" s="1" t="str">
        <f>IFERROR(__xludf.DUMMYFUNCTION("GOOGLETRANSLATE(C10659, ""en"", ""fa"")
"),"چگونه می توان از اصول روانشناسی شناختی مانند توجه و حافظه برای ایجاد نسخه ای استفاده کرد که علاقه مخاطب را جذب و حفظ کند؟")</f>
        <v>چگونه می توان از اصول روانشناسی شناختی مانند توجه و حافظه برای ایجاد نسخه ای استفاده کرد که علاقه مخاطب را جذب و حفظ کند؟</v>
      </c>
      <c r="H10659" s="1"/>
      <c r="I10659" s="1"/>
      <c r="J10659" s="1"/>
      <c r="K10659" s="1"/>
      <c r="L10659" s="1"/>
      <c r="M10659" s="1"/>
      <c r="N10659" s="1"/>
      <c r="O10659" s="1"/>
      <c r="P10659" s="1"/>
      <c r="Q10659" s="1"/>
      <c r="R10659" s="1"/>
      <c r="S10659" s="1"/>
      <c r="T10659" s="1"/>
      <c r="U10659" s="1"/>
      <c r="V10659" s="1"/>
      <c r="W10659" s="1"/>
      <c r="X10659" s="1"/>
      <c r="Y10659" s="1"/>
      <c r="Z10659" s="1"/>
      <c r="AA10659" s="1"/>
      <c r="AB10659" s="1"/>
    </row>
    <row r="10660" ht="50.25" customHeight="1">
      <c r="A10660" s="12">
        <v>10656.0</v>
      </c>
      <c r="B10660" s="13" t="s">
        <v>10535</v>
      </c>
      <c r="C10660" s="18" t="s">
        <v>10688</v>
      </c>
      <c r="D10660" s="1"/>
      <c r="E10660" s="1"/>
      <c r="F10660" s="1" t="str">
        <f>IFERROR(__xludf.DUMMYFUNCTION("GOOGLETRANSLATE(B10660, ""en"", ""fa"")
"),"کپی رایتینگ II")</f>
        <v>کپی رایتینگ II</v>
      </c>
      <c r="G10660" s="1" t="str">
        <f>IFERROR(__xludf.DUMMYFUNCTION("GOOGLETRANSLATE(C10660, ""en"", ""fa"")
"),"انگیزه‌ها و خواسته‌های کلیدی مخاطبان هدف شما چیست و چگونه می‌توانید کپی‌رایتینگ خود را برای رفع این نیازها هماهنگ کنید؟")</f>
        <v>انگیزه‌ها و خواسته‌های کلیدی مخاطبان هدف شما چیست و چگونه می‌توانید کپی‌رایتینگ خود را برای رفع این نیازها هماهنگ کنید؟</v>
      </c>
      <c r="H10660" s="1"/>
      <c r="I10660" s="1"/>
      <c r="J10660" s="1"/>
      <c r="K10660" s="1"/>
      <c r="L10660" s="1"/>
      <c r="M10660" s="1"/>
      <c r="N10660" s="1"/>
      <c r="O10660" s="1"/>
      <c r="P10660" s="1"/>
      <c r="Q10660" s="1"/>
      <c r="R10660" s="1"/>
      <c r="S10660" s="1"/>
      <c r="T10660" s="1"/>
      <c r="U10660" s="1"/>
      <c r="V10660" s="1"/>
      <c r="W10660" s="1"/>
      <c r="X10660" s="1"/>
      <c r="Y10660" s="1"/>
      <c r="Z10660" s="1"/>
      <c r="AA10660" s="1"/>
      <c r="AB10660" s="1"/>
    </row>
    <row r="10661" ht="50.25" customHeight="1">
      <c r="A10661" s="12">
        <v>10657.0</v>
      </c>
      <c r="B10661" s="13" t="s">
        <v>10535</v>
      </c>
      <c r="C10661" s="18" t="s">
        <v>10689</v>
      </c>
      <c r="D10661" s="1"/>
      <c r="E10661" s="1"/>
      <c r="F10661" s="1" t="str">
        <f>IFERROR(__xludf.DUMMYFUNCTION("GOOGLETRANSLATE(B10661, ""en"", ""fa"")
"),"کپی رایتینگ II")</f>
        <v>کپی رایتینگ II</v>
      </c>
      <c r="G10661" s="1" t="str">
        <f>IFERROR(__xludf.DUMMYFUNCTION("GOOGLETRANSLATE(C10661, ""en"", ""fa"")
"),"تأثیر هویت اجتماعی و تعلق بر رفتار مصرف کننده را بررسی کنید. چگونه می توانید از این روانشناسی در کپی رایتینگ خود بهره ببرید؟")</f>
        <v>تأثیر هویت اجتماعی و تعلق بر رفتار مصرف کننده را بررسی کنید. چگونه می توانید از این روانشناسی در کپی رایتینگ خود بهره ببرید؟</v>
      </c>
      <c r="H10661" s="1"/>
      <c r="I10661" s="1"/>
      <c r="J10661" s="1"/>
      <c r="K10661" s="1"/>
      <c r="L10661" s="1"/>
      <c r="M10661" s="1"/>
      <c r="N10661" s="1"/>
      <c r="O10661" s="1"/>
      <c r="P10661" s="1"/>
      <c r="Q10661" s="1"/>
      <c r="R10661" s="1"/>
      <c r="S10661" s="1"/>
      <c r="T10661" s="1"/>
      <c r="U10661" s="1"/>
      <c r="V10661" s="1"/>
      <c r="W10661" s="1"/>
      <c r="X10661" s="1"/>
      <c r="Y10661" s="1"/>
      <c r="Z10661" s="1"/>
      <c r="AA10661" s="1"/>
      <c r="AB10661" s="1"/>
    </row>
    <row r="10662" ht="50.25" customHeight="1">
      <c r="A10662" s="12">
        <v>10658.0</v>
      </c>
      <c r="B10662" s="13" t="s">
        <v>10535</v>
      </c>
      <c r="C10662" s="18" t="s">
        <v>10690</v>
      </c>
      <c r="D10662" s="1"/>
      <c r="E10662" s="1"/>
      <c r="F10662" s="1" t="str">
        <f>IFERROR(__xludf.DUMMYFUNCTION("GOOGLETRANSLATE(B10662, ""en"", ""fa"")
"),"کپی رایتینگ II")</f>
        <v>کپی رایتینگ II</v>
      </c>
      <c r="G10662" s="1" t="str">
        <f>IFERROR(__xludf.DUMMYFUNCTION("GOOGLETRANSLATE(C10662, ""en"", ""fa"")
"),"چگونه می توانید از تکنیک های داستان سرایی برای درگیر کردن تخیل مخاطب و ایجاد ارتباط عمیق تر با کپی رایتینگ خود استفاده کنید؟")</f>
        <v>چگونه می توانید از تکنیک های داستان سرایی برای درگیر کردن تخیل مخاطب و ایجاد ارتباط عمیق تر با کپی رایتینگ خود استفاده کنید؟</v>
      </c>
      <c r="H10662" s="1"/>
      <c r="I10662" s="1"/>
      <c r="J10662" s="1"/>
      <c r="K10662" s="1"/>
      <c r="L10662" s="1"/>
      <c r="M10662" s="1"/>
      <c r="N10662" s="1"/>
      <c r="O10662" s="1"/>
      <c r="P10662" s="1"/>
      <c r="Q10662" s="1"/>
      <c r="R10662" s="1"/>
      <c r="S10662" s="1"/>
      <c r="T10662" s="1"/>
      <c r="U10662" s="1"/>
      <c r="V10662" s="1"/>
      <c r="W10662" s="1"/>
      <c r="X10662" s="1"/>
      <c r="Y10662" s="1"/>
      <c r="Z10662" s="1"/>
      <c r="AA10662" s="1"/>
      <c r="AB10662" s="1"/>
    </row>
    <row r="10663" ht="50.25" customHeight="1">
      <c r="A10663" s="12">
        <v>10659.0</v>
      </c>
      <c r="B10663" s="13" t="s">
        <v>10535</v>
      </c>
      <c r="C10663" s="18" t="s">
        <v>10691</v>
      </c>
      <c r="D10663" s="1"/>
      <c r="E10663" s="1"/>
      <c r="F10663" s="1" t="str">
        <f>IFERROR(__xludf.DUMMYFUNCTION("GOOGLETRANSLATE(B10663, ""en"", ""fa"")
"),"کپی رایتینگ II")</f>
        <v>کپی رایتینگ II</v>
      </c>
      <c r="G10663" s="1" t="str">
        <f>IFERROR(__xludf.DUMMYFUNCTION("GOOGLETRANSLATE(C10663, ""en"", ""fa"")
"),"در مورد تأثیر سوگیری های تصمیم گیری، مانند لنگر انداختن یا بیزاری از ضرر، بر درک مخاطب از ارزش بحث کنید. چگونه می توانید از این تعصبات در نسخه خود استفاده کنید؟")</f>
        <v>در مورد تأثیر سوگیری های تصمیم گیری، مانند لنگر انداختن یا بیزاری از ضرر، بر درک مخاطب از ارزش بحث کنید. چگونه می توانید از این تعصبات در نسخه خود استفاده کنید؟</v>
      </c>
      <c r="H10663" s="1"/>
      <c r="I10663" s="1"/>
      <c r="J10663" s="1"/>
      <c r="K10663" s="1"/>
      <c r="L10663" s="1"/>
      <c r="M10663" s="1"/>
      <c r="N10663" s="1"/>
      <c r="O10663" s="1"/>
      <c r="P10663" s="1"/>
      <c r="Q10663" s="1"/>
      <c r="R10663" s="1"/>
      <c r="S10663" s="1"/>
      <c r="T10663" s="1"/>
      <c r="U10663" s="1"/>
      <c r="V10663" s="1"/>
      <c r="W10663" s="1"/>
      <c r="X10663" s="1"/>
      <c r="Y10663" s="1"/>
      <c r="Z10663" s="1"/>
      <c r="AA10663" s="1"/>
      <c r="AB10663" s="1"/>
    </row>
    <row r="10664" ht="50.25" customHeight="1">
      <c r="A10664" s="12">
        <v>10660.0</v>
      </c>
      <c r="B10664" s="13" t="s">
        <v>10535</v>
      </c>
      <c r="C10664" s="18" t="s">
        <v>10692</v>
      </c>
      <c r="D10664" s="1"/>
      <c r="E10664" s="1"/>
      <c r="F10664" s="1" t="str">
        <f>IFERROR(__xludf.DUMMYFUNCTION("GOOGLETRANSLATE(B10664, ""en"", ""fa"")
"),"کپی رایتینگ II")</f>
        <v>کپی رایتینگ II</v>
      </c>
      <c r="G10664" s="1" t="str">
        <f>IFERROR(__xludf.DUMMYFUNCTION("GOOGLETRANSLATE(C10664, ""en"", ""fa"")
"),"نظریه ادراک از خود چگونه بر رفتار مصرف کننده تأثیر می گذارد و چگونه می توانید نسخه ای ایجاد کنید که با تصویر مورد نظر مخاطب هدف از خود هماهنگ باشد؟")</f>
        <v>نظریه ادراک از خود چگونه بر رفتار مصرف کننده تأثیر می گذارد و چگونه می توانید نسخه ای ایجاد کنید که با تصویر مورد نظر مخاطب هدف از خود هماهنگ باشد؟</v>
      </c>
      <c r="H10664" s="1"/>
      <c r="I10664" s="1"/>
      <c r="J10664" s="1"/>
      <c r="K10664" s="1"/>
      <c r="L10664" s="1"/>
      <c r="M10664" s="1"/>
      <c r="N10664" s="1"/>
      <c r="O10664" s="1"/>
      <c r="P10664" s="1"/>
      <c r="Q10664" s="1"/>
      <c r="R10664" s="1"/>
      <c r="S10664" s="1"/>
      <c r="T10664" s="1"/>
      <c r="U10664" s="1"/>
      <c r="V10664" s="1"/>
      <c r="W10664" s="1"/>
      <c r="X10664" s="1"/>
      <c r="Y10664" s="1"/>
      <c r="Z10664" s="1"/>
      <c r="AA10664" s="1"/>
      <c r="AB10664" s="1"/>
    </row>
    <row r="10665" ht="50.25" customHeight="1">
      <c r="A10665" s="12">
        <v>10661.0</v>
      </c>
      <c r="B10665" s="13" t="s">
        <v>10535</v>
      </c>
      <c r="C10665" s="18" t="s">
        <v>10693</v>
      </c>
      <c r="D10665" s="1"/>
      <c r="E10665" s="1"/>
      <c r="F10665" s="1" t="str">
        <f>IFERROR(__xludf.DUMMYFUNCTION("GOOGLETRANSLATE(B10665, ""en"", ""fa"")
"),"کپی رایتینگ II")</f>
        <v>کپی رایتینگ II</v>
      </c>
      <c r="G10665" s="1" t="str">
        <f>IFERROR(__xludf.DUMMYFUNCTION("GOOGLETRANSLATE(C10665, ""en"", ""fa"")
"),"موانع روانشناختی که می‌توانند مانع تصمیم‌گیری مصرف‌کننده شوند، چیست و چگونه می‌توانید آنها را در کپی‌رایتینگ خود برای افزایش نرخ تبدیل برطرف کنید؟")</f>
        <v>موانع روانشناختی که می‌توانند مانع تصمیم‌گیری مصرف‌کننده شوند، چیست و چگونه می‌توانید آنها را در کپی‌رایتینگ خود برای افزایش نرخ تبدیل برطرف کنید؟</v>
      </c>
      <c r="H10665" s="1"/>
      <c r="I10665" s="1"/>
      <c r="J10665" s="1"/>
      <c r="K10665" s="1"/>
      <c r="L10665" s="1"/>
      <c r="M10665" s="1"/>
      <c r="N10665" s="1"/>
      <c r="O10665" s="1"/>
      <c r="P10665" s="1"/>
      <c r="Q10665" s="1"/>
      <c r="R10665" s="1"/>
      <c r="S10665" s="1"/>
      <c r="T10665" s="1"/>
      <c r="U10665" s="1"/>
      <c r="V10665" s="1"/>
      <c r="W10665" s="1"/>
      <c r="X10665" s="1"/>
      <c r="Y10665" s="1"/>
      <c r="Z10665" s="1"/>
      <c r="AA10665" s="1"/>
      <c r="AB10665" s="1"/>
    </row>
    <row r="10666" ht="50.25" customHeight="1">
      <c r="A10666" s="12">
        <v>10662.0</v>
      </c>
      <c r="B10666" s="13" t="s">
        <v>10535</v>
      </c>
      <c r="C10666" s="18" t="s">
        <v>10694</v>
      </c>
      <c r="D10666" s="1"/>
      <c r="E10666" s="1"/>
      <c r="F10666" s="1" t="str">
        <f>IFERROR(__xludf.DUMMYFUNCTION("GOOGLETRANSLATE(B10666, ""en"", ""fa"")
"),"کپی رایتینگ II")</f>
        <v>کپی رایتینگ II</v>
      </c>
      <c r="G10666" s="1" t="str">
        <f>IFERROR(__xludf.DUMMYFUNCTION("GOOGLETRANSLATE(C10666, ""en"", ""fa"")
"),"مفهوم شخصیت برند و اینکه چگونه می توان آن را در کپی رایتینگ خود گنجاند تا با ارزش ها و ترجیحات مخاطبان طنین انداز شود، کاوش کنید.")</f>
        <v>مفهوم شخصیت برند و اینکه چگونه می توان آن را در کپی رایتینگ خود گنجاند تا با ارزش ها و ترجیحات مخاطبان طنین انداز شود، کاوش کنید.</v>
      </c>
      <c r="H10666" s="1"/>
      <c r="I10666" s="1"/>
      <c r="J10666" s="1"/>
      <c r="K10666" s="1"/>
      <c r="L10666" s="1"/>
      <c r="M10666" s="1"/>
      <c r="N10666" s="1"/>
      <c r="O10666" s="1"/>
      <c r="P10666" s="1"/>
      <c r="Q10666" s="1"/>
      <c r="R10666" s="1"/>
      <c r="S10666" s="1"/>
      <c r="T10666" s="1"/>
      <c r="U10666" s="1"/>
      <c r="V10666" s="1"/>
      <c r="W10666" s="1"/>
      <c r="X10666" s="1"/>
      <c r="Y10666" s="1"/>
      <c r="Z10666" s="1"/>
      <c r="AA10666" s="1"/>
      <c r="AB10666" s="1"/>
    </row>
    <row r="10667" ht="50.25" customHeight="1">
      <c r="A10667" s="12">
        <v>10663.0</v>
      </c>
      <c r="B10667" s="13" t="s">
        <v>10535</v>
      </c>
      <c r="C10667" s="18" t="s">
        <v>10695</v>
      </c>
      <c r="D10667" s="1"/>
      <c r="E10667" s="1"/>
      <c r="F10667" s="1" t="str">
        <f>IFERROR(__xludf.DUMMYFUNCTION("GOOGLETRANSLATE(B10667, ""en"", ""fa"")
"),"کپی رایتینگ II")</f>
        <v>کپی رایتینگ II</v>
      </c>
      <c r="G10667" s="1" t="str">
        <f>IFERROR(__xludf.DUMMYFUNCTION("GOOGLETRANSLATE(C10667, ""en"", ""fa"")
"),"چگونه می توانید از قدرت داستان سرایی برای ایجاد روایتی استفاده کنید که با آرزوها، ترس ها یا خواسته های مخاطب در کپی رایتینگ شما همسو باشد؟")</f>
        <v>چگونه می توانید از قدرت داستان سرایی برای ایجاد روایتی استفاده کنید که با آرزوها، ترس ها یا خواسته های مخاطب در کپی رایتینگ شما همسو باشد؟</v>
      </c>
      <c r="H10667" s="1"/>
      <c r="I10667" s="1"/>
      <c r="J10667" s="1"/>
      <c r="K10667" s="1"/>
      <c r="L10667" s="1"/>
      <c r="M10667" s="1"/>
      <c r="N10667" s="1"/>
      <c r="O10667" s="1"/>
      <c r="P10667" s="1"/>
      <c r="Q10667" s="1"/>
      <c r="R10667" s="1"/>
      <c r="S10667" s="1"/>
      <c r="T10667" s="1"/>
      <c r="U10667" s="1"/>
      <c r="V10667" s="1"/>
      <c r="W10667" s="1"/>
      <c r="X10667" s="1"/>
      <c r="Y10667" s="1"/>
      <c r="Z10667" s="1"/>
      <c r="AA10667" s="1"/>
      <c r="AB10667" s="1"/>
    </row>
    <row r="10668" ht="50.25" customHeight="1">
      <c r="A10668" s="12">
        <v>10664.0</v>
      </c>
      <c r="B10668" s="13" t="s">
        <v>10535</v>
      </c>
      <c r="C10668" s="18" t="s">
        <v>10696</v>
      </c>
      <c r="D10668" s="1"/>
      <c r="E10668" s="1"/>
      <c r="F10668" s="1" t="str">
        <f>IFERROR(__xludf.DUMMYFUNCTION("GOOGLETRANSLATE(B10668, ""en"", ""fa"")
"),"کپی رایتینگ II")</f>
        <v>کپی رایتینگ II</v>
      </c>
      <c r="G10668" s="1" t="str">
        <f>IFERROR(__xludf.DUMMYFUNCTION("GOOGLETRANSLATE(C10668, ""en"", ""fa"")
"),"درباره تأثیر بار شناختی بر پردازش اطلاعات مخاطب بحث کنید. چگونه می توانید کپی رایتینگ خود را برای افزایش درک و تعامل ساده کنید؟")</f>
        <v>درباره تأثیر بار شناختی بر پردازش اطلاعات مخاطب بحث کنید. چگونه می توانید کپی رایتینگ خود را برای افزایش درک و تعامل ساده کنید؟</v>
      </c>
      <c r="H10668" s="1"/>
      <c r="I10668" s="1"/>
      <c r="J10668" s="1"/>
      <c r="K10668" s="1"/>
      <c r="L10668" s="1"/>
      <c r="M10668" s="1"/>
      <c r="N10668" s="1"/>
      <c r="O10668" s="1"/>
      <c r="P10668" s="1"/>
      <c r="Q10668" s="1"/>
      <c r="R10668" s="1"/>
      <c r="S10668" s="1"/>
      <c r="T10668" s="1"/>
      <c r="U10668" s="1"/>
      <c r="V10668" s="1"/>
      <c r="W10668" s="1"/>
      <c r="X10668" s="1"/>
      <c r="Y10668" s="1"/>
      <c r="Z10668" s="1"/>
      <c r="AA10668" s="1"/>
      <c r="AB10668" s="1"/>
    </row>
    <row r="10669" ht="50.25" customHeight="1">
      <c r="A10669" s="12">
        <v>10665.0</v>
      </c>
      <c r="B10669" s="13" t="s">
        <v>10535</v>
      </c>
      <c r="C10669" s="18" t="s">
        <v>10697</v>
      </c>
      <c r="D10669" s="1"/>
      <c r="E10669" s="1"/>
      <c r="F10669" s="1" t="str">
        <f>IFERROR(__xludf.DUMMYFUNCTION("GOOGLETRANSLATE(B10669, ""en"", ""fa"")
"),"کپی رایتینگ II")</f>
        <v>کپی رایتینگ II</v>
      </c>
      <c r="G10669" s="1" t="str">
        <f>IFERROR(__xludf.DUMMYFUNCTION("GOOGLETRANSLATE(C10669, ""en"", ""fa"")
"),"عوامل روانشناختی که باعث وفاداری به برند می شوند، چیست و چگونه می توانید آن را از طریق کپی رایتینگ خود برای تقویت روابط بلندمدت با مشتری پرورش دهید؟")</f>
        <v>عوامل روانشناختی که باعث وفاداری به برند می شوند، چیست و چگونه می توانید آن را از طریق کپی رایتینگ خود برای تقویت روابط بلندمدت با مشتری پرورش دهید؟</v>
      </c>
      <c r="H10669" s="1"/>
      <c r="I10669" s="1"/>
      <c r="J10669" s="1"/>
      <c r="K10669" s="1"/>
      <c r="L10669" s="1"/>
      <c r="M10669" s="1"/>
      <c r="N10669" s="1"/>
      <c r="O10669" s="1"/>
      <c r="P10669" s="1"/>
      <c r="Q10669" s="1"/>
      <c r="R10669" s="1"/>
      <c r="S10669" s="1"/>
      <c r="T10669" s="1"/>
      <c r="U10669" s="1"/>
      <c r="V10669" s="1"/>
      <c r="W10669" s="1"/>
      <c r="X10669" s="1"/>
      <c r="Y10669" s="1"/>
      <c r="Z10669" s="1"/>
      <c r="AA10669" s="1"/>
      <c r="AB10669" s="1"/>
    </row>
    <row r="10670" ht="50.25" customHeight="1">
      <c r="A10670" s="12">
        <v>10666.0</v>
      </c>
      <c r="B10670" s="13" t="s">
        <v>10535</v>
      </c>
      <c r="C10670" s="18" t="s">
        <v>10698</v>
      </c>
      <c r="D10670" s="1"/>
      <c r="E10670" s="1"/>
      <c r="F10670" s="1" t="str">
        <f>IFERROR(__xludf.DUMMYFUNCTION("GOOGLETRANSLATE(B10670, ""en"", ""fa"")
"),"کپی رایتینگ II")</f>
        <v>کپی رایتینگ II</v>
      </c>
      <c r="G10670" s="1" t="str">
        <f>IFERROR(__xludf.DUMMYFUNCTION("GOOGLETRANSLATE(C10670, ""en"", ""fa"")
"),"چگونه می توانید از نیاز مخاطب به اعتبار اجتماعی و تعلق در کپی رایتینگ خود استفاده کنید تا تأثیر متقاعدکننده پیام خود را افزایش دهید؟")</f>
        <v>چگونه می توانید از نیاز مخاطب به اعتبار اجتماعی و تعلق در کپی رایتینگ خود استفاده کنید تا تأثیر متقاعدکننده پیام خود را افزایش دهید؟</v>
      </c>
      <c r="H10670" s="1"/>
      <c r="I10670" s="1"/>
      <c r="J10670" s="1"/>
      <c r="K10670" s="1"/>
      <c r="L10670" s="1"/>
      <c r="M10670" s="1"/>
      <c r="N10670" s="1"/>
      <c r="O10670" s="1"/>
      <c r="P10670" s="1"/>
      <c r="Q10670" s="1"/>
      <c r="R10670" s="1"/>
      <c r="S10670" s="1"/>
      <c r="T10670" s="1"/>
      <c r="U10670" s="1"/>
      <c r="V10670" s="1"/>
      <c r="W10670" s="1"/>
      <c r="X10670" s="1"/>
      <c r="Y10670" s="1"/>
      <c r="Z10670" s="1"/>
      <c r="AA10670" s="1"/>
      <c r="AB10670" s="1"/>
    </row>
    <row r="10671" ht="50.25" customHeight="1">
      <c r="A10671" s="12">
        <v>10667.0</v>
      </c>
      <c r="B10671" s="13" t="s">
        <v>10535</v>
      </c>
      <c r="C10671" s="18" t="s">
        <v>10699</v>
      </c>
      <c r="D10671" s="1"/>
      <c r="E10671" s="1"/>
      <c r="F10671" s="1" t="str">
        <f>IFERROR(__xludf.DUMMYFUNCTION("GOOGLETRANSLATE(B10671, ""en"", ""fa"")
"),"کپی رایتینگ II")</f>
        <v>کپی رایتینگ II</v>
      </c>
      <c r="G10671" s="1" t="str">
        <f>IFERROR(__xludf.DUMMYFUNCTION("GOOGLETRANSLATE(C10671, ""en"", ""fa"")
"),"نقش اولیه و نشانه های ناخودآگاه را در تصمیم گیری مصرف کننده بررسی کنید. چگونه می توانید این عناصر را در کپی خود بگنجانید تا بر ادراک تأثیر بگذارد؟")</f>
        <v>نقش اولیه و نشانه های ناخودآگاه را در تصمیم گیری مصرف کننده بررسی کنید. چگونه می توانید این عناصر را در کپی خود بگنجانید تا بر ادراک تأثیر بگذارد؟</v>
      </c>
      <c r="H10671" s="1"/>
      <c r="I10671" s="1"/>
      <c r="J10671" s="1"/>
      <c r="K10671" s="1"/>
      <c r="L10671" s="1"/>
      <c r="M10671" s="1"/>
      <c r="N10671" s="1"/>
      <c r="O10671" s="1"/>
      <c r="P10671" s="1"/>
      <c r="Q10671" s="1"/>
      <c r="R10671" s="1"/>
      <c r="S10671" s="1"/>
      <c r="T10671" s="1"/>
      <c r="U10671" s="1"/>
      <c r="V10671" s="1"/>
      <c r="W10671" s="1"/>
      <c r="X10671" s="1"/>
      <c r="Y10671" s="1"/>
      <c r="Z10671" s="1"/>
      <c r="AA10671" s="1"/>
      <c r="AB10671" s="1"/>
    </row>
    <row r="10672" ht="50.25" customHeight="1">
      <c r="A10672" s="12">
        <v>10668.0</v>
      </c>
      <c r="B10672" s="13" t="s">
        <v>10535</v>
      </c>
      <c r="C10672" s="18" t="s">
        <v>10700</v>
      </c>
      <c r="D10672" s="1"/>
      <c r="E10672" s="1"/>
      <c r="F10672" s="1" t="str">
        <f>IFERROR(__xludf.DUMMYFUNCTION("GOOGLETRANSLATE(B10672, ""en"", ""fa"")
"),"کپی رایتینگ II")</f>
        <v>کپی رایتینگ II</v>
      </c>
      <c r="G10672" s="1" t="str">
        <f>IFERROR(__xludf.DUMMYFUNCTION("GOOGLETRANSLATE(C10672, ""en"", ""fa"")
"),"چگونه می توانید از ترس مخاطب از دست دادن (FOMO) در کپی رایتینگ خود برای اقدام فوری و ایجاد تبدیل استفاده کنید؟")</f>
        <v>چگونه می توانید از ترس مخاطب از دست دادن (FOMO) در کپی رایتینگ خود برای اقدام فوری و ایجاد تبدیل استفاده کنید؟</v>
      </c>
      <c r="H10672" s="1"/>
      <c r="I10672" s="1"/>
      <c r="J10672" s="1"/>
      <c r="K10672" s="1"/>
      <c r="L10672" s="1"/>
      <c r="M10672" s="1"/>
      <c r="N10672" s="1"/>
      <c r="O10672" s="1"/>
      <c r="P10672" s="1"/>
      <c r="Q10672" s="1"/>
      <c r="R10672" s="1"/>
      <c r="S10672" s="1"/>
      <c r="T10672" s="1"/>
      <c r="U10672" s="1"/>
      <c r="V10672" s="1"/>
      <c r="W10672" s="1"/>
      <c r="X10672" s="1"/>
      <c r="Y10672" s="1"/>
      <c r="Z10672" s="1"/>
      <c r="AA10672" s="1"/>
      <c r="AB10672" s="1"/>
    </row>
    <row r="10673" ht="50.25" customHeight="1">
      <c r="A10673" s="12">
        <v>10669.0</v>
      </c>
      <c r="B10673" s="13" t="s">
        <v>10535</v>
      </c>
      <c r="C10673" s="18" t="s">
        <v>10701</v>
      </c>
      <c r="D10673" s="1"/>
      <c r="E10673" s="1"/>
      <c r="F10673" s="1" t="str">
        <f>IFERROR(__xludf.DUMMYFUNCTION("GOOGLETRANSLATE(B10673, ""en"", ""fa"")
"),"کپی رایتینگ II")</f>
        <v>کپی رایتینگ II</v>
      </c>
      <c r="G10673" s="1" t="str">
        <f>IFERROR(__xludf.DUMMYFUNCTION("GOOGLETRANSLATE(C10673, ""en"", ""fa"")
"),"در مورد تأثیر روانشناختی استراتژی های قیمت گذاری، مانند قیمت گذاری لنگر یا فریب، بر ادراک مصرف کننده بحث کنید. چگونه می توانید به روانشناسی قیمت گذاری در نسخه خود بپردازید؟")</f>
        <v>در مورد تأثیر روانشناختی استراتژی های قیمت گذاری، مانند قیمت گذاری لنگر یا فریب، بر ادراک مصرف کننده بحث کنید. چگونه می توانید به روانشناسی قیمت گذاری در نسخه خود بپردازید؟</v>
      </c>
      <c r="H10673" s="1"/>
      <c r="I10673" s="1"/>
      <c r="J10673" s="1"/>
      <c r="K10673" s="1"/>
      <c r="L10673" s="1"/>
      <c r="M10673" s="1"/>
      <c r="N10673" s="1"/>
      <c r="O10673" s="1"/>
      <c r="P10673" s="1"/>
      <c r="Q10673" s="1"/>
      <c r="R10673" s="1"/>
      <c r="S10673" s="1"/>
      <c r="T10673" s="1"/>
      <c r="U10673" s="1"/>
      <c r="V10673" s="1"/>
      <c r="W10673" s="1"/>
      <c r="X10673" s="1"/>
      <c r="Y10673" s="1"/>
      <c r="Z10673" s="1"/>
      <c r="AA10673" s="1"/>
      <c r="AB10673" s="1"/>
    </row>
    <row r="10674" ht="50.25" customHeight="1">
      <c r="A10674" s="12">
        <v>10670.0</v>
      </c>
      <c r="B10674" s="13" t="s">
        <v>10535</v>
      </c>
      <c r="C10674" s="18" t="s">
        <v>10702</v>
      </c>
      <c r="D10674" s="1"/>
      <c r="E10674" s="1"/>
      <c r="F10674" s="1" t="str">
        <f>IFERROR(__xludf.DUMMYFUNCTION("GOOGLETRANSLATE(B10674, ""en"", ""fa"")
"),"کپی رایتینگ II")</f>
        <v>کپی رایتینگ II</v>
      </c>
      <c r="G10674" s="1" t="str">
        <f>IFERROR(__xludf.DUMMYFUNCTION("GOOGLETRANSLATE(C10674, ""en"", ""fa"")
"),"انگیزه‌های کلیدی و نقاط دردناک مخاطبان هدف چیست و چگونه می‌توانید به طور مؤثر به آنها در کپی‌رایتینگ خود رسیدگی کنید؟")</f>
        <v>انگیزه‌های کلیدی و نقاط دردناک مخاطبان هدف چیست و چگونه می‌توانید به طور مؤثر به آنها در کپی‌رایتینگ خود رسیدگی کنید؟</v>
      </c>
      <c r="H10674" s="1"/>
      <c r="I10674" s="1"/>
      <c r="J10674" s="1"/>
      <c r="K10674" s="1"/>
      <c r="L10674" s="1"/>
      <c r="M10674" s="1"/>
      <c r="N10674" s="1"/>
      <c r="O10674" s="1"/>
      <c r="P10674" s="1"/>
      <c r="Q10674" s="1"/>
      <c r="R10674" s="1"/>
      <c r="S10674" s="1"/>
      <c r="T10674" s="1"/>
      <c r="U10674" s="1"/>
      <c r="V10674" s="1"/>
      <c r="W10674" s="1"/>
      <c r="X10674" s="1"/>
      <c r="Y10674" s="1"/>
      <c r="Z10674" s="1"/>
      <c r="AA10674" s="1"/>
      <c r="AB10674" s="1"/>
    </row>
    <row r="10675" ht="50.25" customHeight="1">
      <c r="A10675" s="12">
        <v>10671.0</v>
      </c>
      <c r="B10675" s="13" t="s">
        <v>10535</v>
      </c>
      <c r="C10675" s="18" t="s">
        <v>10703</v>
      </c>
      <c r="D10675" s="1"/>
      <c r="E10675" s="1"/>
      <c r="F10675" s="1" t="str">
        <f>IFERROR(__xludf.DUMMYFUNCTION("GOOGLETRANSLATE(B10675, ""en"", ""fa"")
"),"کپی رایتینگ II")</f>
        <v>کپی رایتینگ II</v>
      </c>
      <c r="G10675" s="1" t="str">
        <f>IFERROR(__xludf.DUMMYFUNCTION("GOOGLETRANSLATE(C10675, ""en"", ""fa"")
"),"چگونه می‌توانید از قدرت تکنیک‌های متقاعدسازی، مانند اقتدار یا اجماع، برای تأثیرگذاری بر ادراک و پاسخ مخاطب به نسخه خود استفاده کنید؟")</f>
        <v>چگونه می‌توانید از قدرت تکنیک‌های متقاعدسازی، مانند اقتدار یا اجماع، برای تأثیرگذاری بر ادراک و پاسخ مخاطب به نسخه خود استفاده کنید؟</v>
      </c>
      <c r="H10675" s="1"/>
      <c r="I10675" s="1"/>
      <c r="J10675" s="1"/>
      <c r="K10675" s="1"/>
      <c r="L10675" s="1"/>
      <c r="M10675" s="1"/>
      <c r="N10675" s="1"/>
      <c r="O10675" s="1"/>
      <c r="P10675" s="1"/>
      <c r="Q10675" s="1"/>
      <c r="R10675" s="1"/>
      <c r="S10675" s="1"/>
      <c r="T10675" s="1"/>
      <c r="U10675" s="1"/>
      <c r="V10675" s="1"/>
      <c r="W10675" s="1"/>
      <c r="X10675" s="1"/>
      <c r="Y10675" s="1"/>
      <c r="Z10675" s="1"/>
      <c r="AA10675" s="1"/>
      <c r="AB10675" s="1"/>
    </row>
    <row r="10676" ht="50.25" customHeight="1">
      <c r="A10676" s="12">
        <v>10672.0</v>
      </c>
      <c r="B10676" s="13" t="s">
        <v>10535</v>
      </c>
      <c r="C10676" s="18" t="s">
        <v>10704</v>
      </c>
      <c r="D10676" s="1"/>
      <c r="E10676" s="1"/>
      <c r="F10676" s="1" t="str">
        <f>IFERROR(__xludf.DUMMYFUNCTION("GOOGLETRANSLATE(B10676, ""en"", ""fa"")
"),"کپی رایتینگ II")</f>
        <v>کپی رایتینگ II</v>
      </c>
      <c r="G10676" s="1" t="str">
        <f>IFERROR(__xludf.DUMMYFUNCTION("GOOGLETRANSLATE(C10676, ""en"", ""fa"")
"),"مفهوم روانی شناختی و تأثیر آن بر درک مخاطب از نسخه شما را بررسی کنید. چگونه می توانید کپی رایتینگ خود را برای تسلط بیشتر بهینه کنید؟")</f>
        <v>مفهوم روانی شناختی و تأثیر آن بر درک مخاطب از نسخه شما را بررسی کنید. چگونه می توانید کپی رایتینگ خود را برای تسلط بیشتر بهینه کنید؟</v>
      </c>
      <c r="H10676" s="1"/>
      <c r="I10676" s="1"/>
      <c r="J10676" s="1"/>
      <c r="K10676" s="1"/>
      <c r="L10676" s="1"/>
      <c r="M10676" s="1"/>
      <c r="N10676" s="1"/>
      <c r="O10676" s="1"/>
      <c r="P10676" s="1"/>
      <c r="Q10676" s="1"/>
      <c r="R10676" s="1"/>
      <c r="S10676" s="1"/>
      <c r="T10676" s="1"/>
      <c r="U10676" s="1"/>
      <c r="V10676" s="1"/>
      <c r="W10676" s="1"/>
      <c r="X10676" s="1"/>
      <c r="Y10676" s="1"/>
      <c r="Z10676" s="1"/>
      <c r="AA10676" s="1"/>
      <c r="AB10676" s="1"/>
    </row>
    <row r="10677" ht="50.25" customHeight="1">
      <c r="A10677" s="12">
        <v>10673.0</v>
      </c>
      <c r="B10677" s="13" t="s">
        <v>10535</v>
      </c>
      <c r="C10677" s="18" t="s">
        <v>10705</v>
      </c>
      <c r="D10677" s="1"/>
      <c r="E10677" s="1"/>
      <c r="F10677" s="1" t="str">
        <f>IFERROR(__xludf.DUMMYFUNCTION("GOOGLETRANSLATE(B10677, ""en"", ""fa"")
"),"کپی رایتینگ II")</f>
        <v>کپی رایتینگ II</v>
      </c>
      <c r="G10677" s="1" t="str">
        <f>IFERROR(__xludf.DUMMYFUNCTION("GOOGLETRANSLATE(C10677, ""en"", ""fa"")
"),"مفهوم تئوری خودمختاری چگونه بر رفتار مصرف کننده تأثیر می گذارد و چگونه می توانید استقلال، شایستگی و ارتباط را در نسخه خود بگنجانید؟")</f>
        <v>مفهوم تئوری خودمختاری چگونه بر رفتار مصرف کننده تأثیر می گذارد و چگونه می توانید استقلال، شایستگی و ارتباط را در نسخه خود بگنجانید؟</v>
      </c>
      <c r="H10677" s="1"/>
      <c r="I10677" s="1"/>
      <c r="J10677" s="1"/>
      <c r="K10677" s="1"/>
      <c r="L10677" s="1"/>
      <c r="M10677" s="1"/>
      <c r="N10677" s="1"/>
      <c r="O10677" s="1"/>
      <c r="P10677" s="1"/>
      <c r="Q10677" s="1"/>
      <c r="R10677" s="1"/>
      <c r="S10677" s="1"/>
      <c r="T10677" s="1"/>
      <c r="U10677" s="1"/>
      <c r="V10677" s="1"/>
      <c r="W10677" s="1"/>
      <c r="X10677" s="1"/>
      <c r="Y10677" s="1"/>
      <c r="Z10677" s="1"/>
      <c r="AA10677" s="1"/>
      <c r="AB10677" s="1"/>
    </row>
    <row r="10678" ht="50.25" customHeight="1">
      <c r="A10678" s="12">
        <v>10674.0</v>
      </c>
      <c r="B10678" s="13" t="s">
        <v>10535</v>
      </c>
      <c r="C10678" s="18" t="s">
        <v>10706</v>
      </c>
      <c r="D10678" s="1"/>
      <c r="E10678" s="1"/>
      <c r="F10678" s="1" t="str">
        <f>IFERROR(__xludf.DUMMYFUNCTION("GOOGLETRANSLATE(B10678, ""en"", ""fa"")
"),"کپی رایتینگ II")</f>
        <v>کپی رایتینگ II</v>
      </c>
      <c r="G10678" s="1" t="str">
        <f>IFERROR(__xludf.DUMMYFUNCTION("GOOGLETRANSLATE(C10678, ""en"", ""fa"")
"),"در مورد عوامل روانشناختی که بر اعتماد و اعتبار برند تأثیر می گذارد بحث کنید. چگونه می توانید اعتماد را از طریق کپی رایتینگ خود برای افزایش میل به برند ایجاد کنید؟")</f>
        <v>در مورد عوامل روانشناختی که بر اعتماد و اعتبار برند تأثیر می گذارد بحث کنید. چگونه می توانید اعتماد را از طریق کپی رایتینگ خود برای افزایش میل به برند ایجاد کنید؟</v>
      </c>
      <c r="H10678" s="1"/>
      <c r="I10678" s="1"/>
      <c r="J10678" s="1"/>
      <c r="K10678" s="1"/>
      <c r="L10678" s="1"/>
      <c r="M10678" s="1"/>
      <c r="N10678" s="1"/>
      <c r="O10678" s="1"/>
      <c r="P10678" s="1"/>
      <c r="Q10678" s="1"/>
      <c r="R10678" s="1"/>
      <c r="S10678" s="1"/>
      <c r="T10678" s="1"/>
      <c r="U10678" s="1"/>
      <c r="V10678" s="1"/>
      <c r="W10678" s="1"/>
      <c r="X10678" s="1"/>
      <c r="Y10678" s="1"/>
      <c r="Z10678" s="1"/>
      <c r="AA10678" s="1"/>
      <c r="AB10678" s="1"/>
    </row>
    <row r="10679" ht="50.25" customHeight="1">
      <c r="A10679" s="12">
        <v>10675.0</v>
      </c>
      <c r="B10679" s="13" t="s">
        <v>10535</v>
      </c>
      <c r="C10679" s="18" t="s">
        <v>10707</v>
      </c>
      <c r="D10679" s="1"/>
      <c r="E10679" s="1"/>
      <c r="F10679" s="1" t="str">
        <f>IFERROR(__xludf.DUMMYFUNCTION("GOOGLETRANSLATE(B10679, ""en"", ""fa"")
"),"کپی رایتینگ II")</f>
        <v>کپی رایتینگ II</v>
      </c>
      <c r="G10679" s="1" t="str">
        <f>IFERROR(__xludf.DUMMYFUNCTION("GOOGLETRANSLATE(C10679, ""en"", ""fa"")
"),"عوامل روانشناختی که انگیزه مصرف کننده و تعقیب هدف را هدایت می کنند چیست؟ چگونه می توانید کپی رایتینگ خود را برای حمایت از خواسته های مخاطب هماهنگ کنید؟")</f>
        <v>عوامل روانشناختی که انگیزه مصرف کننده و تعقیب هدف را هدایت می کنند چیست؟ چگونه می توانید کپی رایتینگ خود را برای حمایت از خواسته های مخاطب هماهنگ کنید؟</v>
      </c>
      <c r="H10679" s="1"/>
      <c r="I10679" s="1"/>
      <c r="J10679" s="1"/>
      <c r="K10679" s="1"/>
      <c r="L10679" s="1"/>
      <c r="M10679" s="1"/>
      <c r="N10679" s="1"/>
      <c r="O10679" s="1"/>
      <c r="P10679" s="1"/>
      <c r="Q10679" s="1"/>
      <c r="R10679" s="1"/>
      <c r="S10679" s="1"/>
      <c r="T10679" s="1"/>
      <c r="U10679" s="1"/>
      <c r="V10679" s="1"/>
      <c r="W10679" s="1"/>
      <c r="X10679" s="1"/>
      <c r="Y10679" s="1"/>
      <c r="Z10679" s="1"/>
      <c r="AA10679" s="1"/>
      <c r="AB10679" s="1"/>
    </row>
    <row r="10680" ht="50.25" customHeight="1">
      <c r="A10680" s="12">
        <v>10676.0</v>
      </c>
      <c r="B10680" s="13" t="s">
        <v>10535</v>
      </c>
      <c r="C10680" s="18" t="s">
        <v>10708</v>
      </c>
      <c r="D10680" s="1"/>
      <c r="E10680" s="1"/>
      <c r="F10680" s="1" t="str">
        <f>IFERROR(__xludf.DUMMYFUNCTION("GOOGLETRANSLATE(B10680, ""en"", ""fa"")
"),"کپی رایتینگ II")</f>
        <v>کپی رایتینگ II</v>
      </c>
      <c r="G10680" s="1" t="str">
        <f>IFERROR(__xludf.DUMMYFUNCTION("GOOGLETRANSLATE(C10680, ""en"", ""fa"")
"),"چگونه می توانید از نیاز مخاطب به رضایت فوری در کپی رایتینگ خود برای ایجاد اقدام فوری و تبدیل استفاده کنید؟")</f>
        <v>چگونه می توانید از نیاز مخاطب به رضایت فوری در کپی رایتینگ خود برای ایجاد اقدام فوری و تبدیل استفاده کنید؟</v>
      </c>
      <c r="H10680" s="1"/>
      <c r="I10680" s="1"/>
      <c r="J10680" s="1"/>
      <c r="K10680" s="1"/>
      <c r="L10680" s="1"/>
      <c r="M10680" s="1"/>
      <c r="N10680" s="1"/>
      <c r="O10680" s="1"/>
      <c r="P10680" s="1"/>
      <c r="Q10680" s="1"/>
      <c r="R10680" s="1"/>
      <c r="S10680" s="1"/>
      <c r="T10680" s="1"/>
      <c r="U10680" s="1"/>
      <c r="V10680" s="1"/>
      <c r="W10680" s="1"/>
      <c r="X10680" s="1"/>
      <c r="Y10680" s="1"/>
      <c r="Z10680" s="1"/>
      <c r="AA10680" s="1"/>
      <c r="AB10680" s="1"/>
    </row>
    <row r="10681" ht="50.25" customHeight="1">
      <c r="A10681" s="12">
        <v>10677.0</v>
      </c>
      <c r="B10681" s="13" t="s">
        <v>10535</v>
      </c>
      <c r="C10681" s="18" t="s">
        <v>10709</v>
      </c>
      <c r="D10681" s="1"/>
      <c r="E10681" s="1"/>
      <c r="F10681" s="1" t="str">
        <f>IFERROR(__xludf.DUMMYFUNCTION("GOOGLETRANSLATE(B10681, ""en"", ""fa"")
"),"کپی رایتینگ II")</f>
        <v>کپی رایتینگ II</v>
      </c>
      <c r="G10681" s="1" t="str">
        <f>IFERROR(__xludf.DUMMYFUNCTION("GOOGLETRANSLATE(C10681, ""en"", ""fa"")
"),"تاثیر روانشناسی رنگ ها بر درک مصرف کننده را بررسی کنید. چگونه می توانید از رنگ به صورت استراتژیک در کپی رایتینگ خود برای برانگیختن احساسات یا تداعی های خاص استفاده کنید؟")</f>
        <v>تاثیر روانشناسی رنگ ها بر درک مصرف کننده را بررسی کنید. چگونه می توانید از رنگ به صورت استراتژیک در کپی رایتینگ خود برای برانگیختن احساسات یا تداعی های خاص استفاده کنید؟</v>
      </c>
      <c r="H10681" s="1"/>
      <c r="I10681" s="1"/>
      <c r="J10681" s="1"/>
      <c r="K10681" s="1"/>
      <c r="L10681" s="1"/>
      <c r="M10681" s="1"/>
      <c r="N10681" s="1"/>
      <c r="O10681" s="1"/>
      <c r="P10681" s="1"/>
      <c r="Q10681" s="1"/>
      <c r="R10681" s="1"/>
      <c r="S10681" s="1"/>
      <c r="T10681" s="1"/>
      <c r="U10681" s="1"/>
      <c r="V10681" s="1"/>
      <c r="W10681" s="1"/>
      <c r="X10681" s="1"/>
      <c r="Y10681" s="1"/>
      <c r="Z10681" s="1"/>
      <c r="AA10681" s="1"/>
      <c r="AB10681" s="1"/>
    </row>
    <row r="10682" ht="50.25" customHeight="1">
      <c r="A10682" s="12">
        <v>10678.0</v>
      </c>
      <c r="B10682" s="13" t="s">
        <v>10535</v>
      </c>
      <c r="C10682" s="18" t="s">
        <v>10710</v>
      </c>
      <c r="D10682" s="1"/>
      <c r="E10682" s="1"/>
      <c r="F10682" s="1" t="str">
        <f>IFERROR(__xludf.DUMMYFUNCTION("GOOGLETRANSLATE(B10682, ""en"", ""fa"")
"),"کپی رایتینگ II")</f>
        <v>کپی رایتینگ II</v>
      </c>
      <c r="G10682" s="1" t="str">
        <f>IFERROR(__xludf.DUMMYFUNCTION("GOOGLETRANSLATE(C10682, ""en"", ""fa"")
"),"مفهوم ناهماهنگی شناختی چگونه بر رفتار پس از خرید تأثیر می‌گذارد و چگونه می‌توانید در نسخه خود به آن بپردازید تا از رضایت مشتری اطمینان حاصل کنید؟")</f>
        <v>مفهوم ناهماهنگی شناختی چگونه بر رفتار پس از خرید تأثیر می‌گذارد و چگونه می‌توانید در نسخه خود به آن بپردازید تا از رضایت مشتری اطمینان حاصل کنید؟</v>
      </c>
      <c r="H10682" s="1"/>
      <c r="I10682" s="1"/>
      <c r="J10682" s="1"/>
      <c r="K10682" s="1"/>
      <c r="L10682" s="1"/>
      <c r="M10682" s="1"/>
      <c r="N10682" s="1"/>
      <c r="O10682" s="1"/>
      <c r="P10682" s="1"/>
      <c r="Q10682" s="1"/>
      <c r="R10682" s="1"/>
      <c r="S10682" s="1"/>
      <c r="T10682" s="1"/>
      <c r="U10682" s="1"/>
      <c r="V10682" s="1"/>
      <c r="W10682" s="1"/>
      <c r="X10682" s="1"/>
      <c r="Y10682" s="1"/>
      <c r="Z10682" s="1"/>
      <c r="AA10682" s="1"/>
      <c r="AB10682" s="1"/>
    </row>
    <row r="10683" ht="50.25" customHeight="1">
      <c r="A10683" s="12">
        <v>10679.0</v>
      </c>
      <c r="B10683" s="13" t="s">
        <v>10535</v>
      </c>
      <c r="C10683" s="18" t="s">
        <v>10711</v>
      </c>
      <c r="D10683" s="1"/>
      <c r="E10683" s="1"/>
      <c r="F10683" s="1" t="str">
        <f>IFERROR(__xludf.DUMMYFUNCTION("GOOGLETRANSLATE(B10683, ""en"", ""fa"")
"),"کپی رایتینگ II")</f>
        <v>کپی رایتینگ II</v>
      </c>
      <c r="G10683" s="1" t="str">
        <f>IFERROR(__xludf.DUMMYFUNCTION("GOOGLETRANSLATE(C10683, ""en"", ""fa"")
"),"عوامل روانشناختی که بر اعتماد مصرف کننده در معاملات آنلاین تأثیر می گذارد چیست؟ چگونه می توانید نگرانی ها را کاهش دهید و از طریق کپی رایتینگ خود اعتماد ایجاد کنید؟")</f>
        <v>عوامل روانشناختی که بر اعتماد مصرف کننده در معاملات آنلاین تأثیر می گذارد چیست؟ چگونه می توانید نگرانی ها را کاهش دهید و از طریق کپی رایتینگ خود اعتماد ایجاد کنید؟</v>
      </c>
      <c r="H10683" s="1"/>
      <c r="I10683" s="1"/>
      <c r="J10683" s="1"/>
      <c r="K10683" s="1"/>
      <c r="L10683" s="1"/>
      <c r="M10683" s="1"/>
      <c r="N10683" s="1"/>
      <c r="O10683" s="1"/>
      <c r="P10683" s="1"/>
      <c r="Q10683" s="1"/>
      <c r="R10683" s="1"/>
      <c r="S10683" s="1"/>
      <c r="T10683" s="1"/>
      <c r="U10683" s="1"/>
      <c r="V10683" s="1"/>
      <c r="W10683" s="1"/>
      <c r="X10683" s="1"/>
      <c r="Y10683" s="1"/>
      <c r="Z10683" s="1"/>
      <c r="AA10683" s="1"/>
      <c r="AB10683" s="1"/>
    </row>
    <row r="10684" ht="50.25" customHeight="1">
      <c r="A10684" s="12">
        <v>10680.0</v>
      </c>
      <c r="B10684" s="13" t="s">
        <v>10535</v>
      </c>
      <c r="C10684" s="18" t="s">
        <v>10712</v>
      </c>
      <c r="D10684" s="1"/>
      <c r="E10684" s="1"/>
      <c r="F10684" s="1" t="str">
        <f>IFERROR(__xludf.DUMMYFUNCTION("GOOGLETRANSLATE(B10684, ""en"", ""fa"")
"),"کپی رایتینگ II")</f>
        <v>کپی رایتینگ II</v>
      </c>
      <c r="G10684" s="1" t="str">
        <f>IFERROR(__xludf.DUMMYFUNCTION("GOOGLETRANSLATE(C10684, ""en"", ""fa"")
"),"در مورد تأثیر روانی قاب بندی مثبت و منفی در کپی رایتینگ خود بحث کنید. چگونه می توانید پیام خود را برای دریافت پاسخ مورد نظر قاب بندی کنید؟")</f>
        <v>در مورد تأثیر روانی قاب بندی مثبت و منفی در کپی رایتینگ خود بحث کنید. چگونه می توانید پیام خود را برای دریافت پاسخ مورد نظر قاب بندی کنید؟</v>
      </c>
      <c r="H10684" s="1"/>
      <c r="I10684" s="1"/>
      <c r="J10684" s="1"/>
      <c r="K10684" s="1"/>
      <c r="L10684" s="1"/>
      <c r="M10684" s="1"/>
      <c r="N10684" s="1"/>
      <c r="O10684" s="1"/>
      <c r="P10684" s="1"/>
      <c r="Q10684" s="1"/>
      <c r="R10684" s="1"/>
      <c r="S10684" s="1"/>
      <c r="T10684" s="1"/>
      <c r="U10684" s="1"/>
      <c r="V10684" s="1"/>
      <c r="W10684" s="1"/>
      <c r="X10684" s="1"/>
      <c r="Y10684" s="1"/>
      <c r="Z10684" s="1"/>
      <c r="AA10684" s="1"/>
      <c r="AB10684" s="1"/>
    </row>
    <row r="10685" ht="50.25" customHeight="1">
      <c r="A10685" s="12">
        <v>10681.0</v>
      </c>
      <c r="B10685" s="13" t="s">
        <v>10535</v>
      </c>
      <c r="C10685" s="18" t="s">
        <v>10713</v>
      </c>
      <c r="D10685" s="1"/>
      <c r="E10685" s="1"/>
      <c r="F10685" s="1" t="str">
        <f>IFERROR(__xludf.DUMMYFUNCTION("GOOGLETRANSLATE(B10685, ""en"", ""fa"")
"),"کپی رایتینگ II")</f>
        <v>کپی رایتینگ II</v>
      </c>
      <c r="G10685" s="1" t="str">
        <f>IFERROR(__xludf.DUMMYFUNCTION("GOOGLETRANSLATE(C10685, ""en"", ""fa"")
"),"چگونه می توانید از نیاز مخاطب به استقلال و شخصی سازی در کپی رایتینگ خود برای ایجاد حس ارتباط و ارتباط فردی استفاده کنید؟")</f>
        <v>چگونه می توانید از نیاز مخاطب به استقلال و شخصی سازی در کپی رایتینگ خود برای ایجاد حس ارتباط و ارتباط فردی استفاده کنید؟</v>
      </c>
      <c r="H10685" s="1"/>
      <c r="I10685" s="1"/>
      <c r="J10685" s="1"/>
      <c r="K10685" s="1"/>
      <c r="L10685" s="1"/>
      <c r="M10685" s="1"/>
      <c r="N10685" s="1"/>
      <c r="O10685" s="1"/>
      <c r="P10685" s="1"/>
      <c r="Q10685" s="1"/>
      <c r="R10685" s="1"/>
      <c r="S10685" s="1"/>
      <c r="T10685" s="1"/>
      <c r="U10685" s="1"/>
      <c r="V10685" s="1"/>
      <c r="W10685" s="1"/>
      <c r="X10685" s="1"/>
      <c r="Y10685" s="1"/>
      <c r="Z10685" s="1"/>
      <c r="AA10685" s="1"/>
      <c r="AB10685" s="1"/>
    </row>
    <row r="10686" ht="50.25" customHeight="1">
      <c r="A10686" s="12">
        <v>10682.0</v>
      </c>
      <c r="B10686" s="13" t="s">
        <v>10535</v>
      </c>
      <c r="C10686" s="18" t="s">
        <v>10714</v>
      </c>
      <c r="D10686" s="1"/>
      <c r="E10686" s="1"/>
      <c r="F10686" s="1" t="str">
        <f>IFERROR(__xludf.DUMMYFUNCTION("GOOGLETRANSLATE(B10686, ""en"", ""fa"")
"),"کپی رایتینگ II")</f>
        <v>کپی رایتینگ II</v>
      </c>
      <c r="G10686" s="1" t="str">
        <f>IFERROR(__xludf.DUMMYFUNCTION("GOOGLETRANSLATE(C10686, ""en"", ""fa"")
"),"مفهوم اثر قرار گرفتن در معرض صرف و تأثیر آن بر ترجیح مصرف کننده را بررسی کنید. چگونه می توانید از طریق کپی رایتینگ خود آشنایی و دوست داشتنی بودن را افزایش دهید؟")</f>
        <v>مفهوم اثر قرار گرفتن در معرض صرف و تأثیر آن بر ترجیح مصرف کننده را بررسی کنید. چگونه می توانید از طریق کپی رایتینگ خود آشنایی و دوست داشتنی بودن را افزایش دهید؟</v>
      </c>
      <c r="H10686" s="1"/>
      <c r="I10686" s="1"/>
      <c r="J10686" s="1"/>
      <c r="K10686" s="1"/>
      <c r="L10686" s="1"/>
      <c r="M10686" s="1"/>
      <c r="N10686" s="1"/>
      <c r="O10686" s="1"/>
      <c r="P10686" s="1"/>
      <c r="Q10686" s="1"/>
      <c r="R10686" s="1"/>
      <c r="S10686" s="1"/>
      <c r="T10686" s="1"/>
      <c r="U10686" s="1"/>
      <c r="V10686" s="1"/>
      <c r="W10686" s="1"/>
      <c r="X10686" s="1"/>
      <c r="Y10686" s="1"/>
      <c r="Z10686" s="1"/>
      <c r="AA10686" s="1"/>
      <c r="AB10686" s="1"/>
    </row>
    <row r="10687" ht="50.25" customHeight="1">
      <c r="A10687" s="12">
        <v>10683.0</v>
      </c>
      <c r="B10687" s="13" t="s">
        <v>10535</v>
      </c>
      <c r="C10687" s="18" t="s">
        <v>10715</v>
      </c>
      <c r="D10687" s="1"/>
      <c r="E10687" s="1"/>
      <c r="F10687" s="1" t="str">
        <f>IFERROR(__xludf.DUMMYFUNCTION("GOOGLETRANSLATE(B10687, ""en"", ""fa"")
"),"کپی رایتینگ II")</f>
        <v>کپی رایتینگ II</v>
      </c>
      <c r="G10687" s="1" t="str">
        <f>IFERROR(__xludf.DUMMYFUNCTION("GOOGLETRANSLATE(C10687, ""en"", ""fa"")
"),"مفهوم روانی شناختی و سهولت پردازش چگونه بر درک مخاطب از نسخه شما تأثیر می گذارد؟ چگونه می توانید نسخه خود را برای تسلط بیشتر بهینه کنید؟")</f>
        <v>مفهوم روانی شناختی و سهولت پردازش چگونه بر درک مخاطب از نسخه شما تأثیر می گذارد؟ چگونه می توانید نسخه خود را برای تسلط بیشتر بهینه کنید؟</v>
      </c>
      <c r="H10687" s="1"/>
      <c r="I10687" s="1"/>
      <c r="J10687" s="1"/>
      <c r="K10687" s="1"/>
      <c r="L10687" s="1"/>
      <c r="M10687" s="1"/>
      <c r="N10687" s="1"/>
      <c r="O10687" s="1"/>
      <c r="P10687" s="1"/>
      <c r="Q10687" s="1"/>
      <c r="R10687" s="1"/>
      <c r="S10687" s="1"/>
      <c r="T10687" s="1"/>
      <c r="U10687" s="1"/>
      <c r="V10687" s="1"/>
      <c r="W10687" s="1"/>
      <c r="X10687" s="1"/>
      <c r="Y10687" s="1"/>
      <c r="Z10687" s="1"/>
      <c r="AA10687" s="1"/>
      <c r="AB10687" s="1"/>
    </row>
    <row r="10688" ht="50.25" customHeight="1">
      <c r="A10688" s="12">
        <v>10684.0</v>
      </c>
      <c r="B10688" s="13" t="s">
        <v>10535</v>
      </c>
      <c r="C10688" s="18" t="s">
        <v>10716</v>
      </c>
      <c r="D10688" s="1"/>
      <c r="E10688" s="1"/>
      <c r="F10688" s="1" t="str">
        <f>IFERROR(__xludf.DUMMYFUNCTION("GOOGLETRANSLATE(B10688, ""en"", ""fa"")
"),"کپی رایتینگ II")</f>
        <v>کپی رایتینگ II</v>
      </c>
      <c r="G10688" s="1" t="str">
        <f>IFERROR(__xludf.DUMMYFUNCTION("GOOGLETRANSLATE(C10688, ""en"", ""fa"")
"),"محرک های انگیزشی کلیدی در فرآیند تصمیم گیری مخاطبان هدف شما چیست و چگونه می توانید به این انگیزه ها در کپی رایتینگ خود متوسل شوید؟")</f>
        <v>محرک های انگیزشی کلیدی در فرآیند تصمیم گیری مخاطبان هدف شما چیست و چگونه می توانید به این انگیزه ها در کپی رایتینگ خود متوسل شوید؟</v>
      </c>
      <c r="H10688" s="1"/>
      <c r="I10688" s="1"/>
      <c r="J10688" s="1"/>
      <c r="K10688" s="1"/>
      <c r="L10688" s="1"/>
      <c r="M10688" s="1"/>
      <c r="N10688" s="1"/>
      <c r="O10688" s="1"/>
      <c r="P10688" s="1"/>
      <c r="Q10688" s="1"/>
      <c r="R10688" s="1"/>
      <c r="S10688" s="1"/>
      <c r="T10688" s="1"/>
      <c r="U10688" s="1"/>
      <c r="V10688" s="1"/>
      <c r="W10688" s="1"/>
      <c r="X10688" s="1"/>
      <c r="Y10688" s="1"/>
      <c r="Z10688" s="1"/>
      <c r="AA10688" s="1"/>
      <c r="AB10688" s="1"/>
    </row>
    <row r="10689" ht="50.25" customHeight="1">
      <c r="A10689" s="12">
        <v>10685.0</v>
      </c>
      <c r="B10689" s="13" t="s">
        <v>10535</v>
      </c>
      <c r="C10689" s="18" t="s">
        <v>10717</v>
      </c>
      <c r="D10689" s="1"/>
      <c r="E10689" s="1"/>
      <c r="F10689" s="1" t="str">
        <f>IFERROR(__xludf.DUMMYFUNCTION("GOOGLETRANSLATE(B10689, ""en"", ""fa"")
"),"کپی رایتینگ II")</f>
        <v>کپی رایتینگ II</v>
      </c>
      <c r="G10689" s="1" t="str">
        <f>IFERROR(__xludf.DUMMYFUNCTION("GOOGLETRANSLATE(C10689, ""en"", ""fa"")
"),"درباره تأثیر رسانه های اجتماعی و تأثیر همتایان بر رفتار مصرف کننده بحث کنید. چگونه می توانید از اثبات اجتماعی و تأثیر اجتماعی در کپی رایتینگ خود استفاده کنید؟")</f>
        <v>درباره تأثیر رسانه های اجتماعی و تأثیر همتایان بر رفتار مصرف کننده بحث کنید. چگونه می توانید از اثبات اجتماعی و تأثیر اجتماعی در کپی رایتینگ خود استفاده کنید؟</v>
      </c>
      <c r="H10689" s="1"/>
      <c r="I10689" s="1"/>
      <c r="J10689" s="1"/>
      <c r="K10689" s="1"/>
      <c r="L10689" s="1"/>
      <c r="M10689" s="1"/>
      <c r="N10689" s="1"/>
      <c r="O10689" s="1"/>
      <c r="P10689" s="1"/>
      <c r="Q10689" s="1"/>
      <c r="R10689" s="1"/>
      <c r="S10689" s="1"/>
      <c r="T10689" s="1"/>
      <c r="U10689" s="1"/>
      <c r="V10689" s="1"/>
      <c r="W10689" s="1"/>
      <c r="X10689" s="1"/>
      <c r="Y10689" s="1"/>
      <c r="Z10689" s="1"/>
      <c r="AA10689" s="1"/>
      <c r="AB10689" s="1"/>
    </row>
    <row r="10690" ht="50.25" customHeight="1">
      <c r="A10690" s="12">
        <v>10686.0</v>
      </c>
      <c r="B10690" s="13" t="s">
        <v>10535</v>
      </c>
      <c r="C10690" s="18" t="s">
        <v>10718</v>
      </c>
      <c r="D10690" s="1"/>
      <c r="E10690" s="1"/>
      <c r="F10690" s="1" t="str">
        <f>IFERROR(__xludf.DUMMYFUNCTION("GOOGLETRANSLATE(B10690, ""en"", ""fa"")
"),"کپی رایتینگ II")</f>
        <v>کپی رایتینگ II</v>
      </c>
      <c r="G10690" s="1" t="str">
        <f>IFERROR(__xludf.DUMMYFUNCTION("GOOGLETRANSLATE(C10690, ""en"", ""fa"")
"),"چگونه می توانید از نیاز مخاطب به تازگی و کنجکاوی در کپی رایتینگ خود برای جلب توجه و حفظ توجه آنها استفاده کنید؟")</f>
        <v>چگونه می توانید از نیاز مخاطب به تازگی و کنجکاوی در کپی رایتینگ خود برای جلب توجه و حفظ توجه آنها استفاده کنید؟</v>
      </c>
      <c r="H10690" s="1"/>
      <c r="I10690" s="1"/>
      <c r="J10690" s="1"/>
      <c r="K10690" s="1"/>
      <c r="L10690" s="1"/>
      <c r="M10690" s="1"/>
      <c r="N10690" s="1"/>
      <c r="O10690" s="1"/>
      <c r="P10690" s="1"/>
      <c r="Q10690" s="1"/>
      <c r="R10690" s="1"/>
      <c r="S10690" s="1"/>
      <c r="T10690" s="1"/>
      <c r="U10690" s="1"/>
      <c r="V10690" s="1"/>
      <c r="W10690" s="1"/>
      <c r="X10690" s="1"/>
      <c r="Y10690" s="1"/>
      <c r="Z10690" s="1"/>
      <c r="AA10690" s="1"/>
      <c r="AB10690" s="1"/>
    </row>
    <row r="10691" ht="50.25" customHeight="1">
      <c r="A10691" s="12">
        <v>10687.0</v>
      </c>
      <c r="B10691" s="13" t="s">
        <v>10535</v>
      </c>
      <c r="C10691" s="18" t="s">
        <v>10719</v>
      </c>
      <c r="D10691" s="1"/>
      <c r="E10691" s="1"/>
      <c r="F10691" s="1" t="str">
        <f>IFERROR(__xludf.DUMMYFUNCTION("GOOGLETRANSLATE(B10691, ""en"", ""fa"")
"),"کپی رایتینگ II")</f>
        <v>کپی رایتینگ II</v>
      </c>
      <c r="G10691" s="1" t="str">
        <f>IFERROR(__xludf.DUMMYFUNCTION("GOOGLETRANSLATE(C10691, ""en"", ""fa"")
"),"نقش بازاریابی حسی و نشانه های چند حسی را در کپی رایتینگ بررسی کنید. چگونه می توانید حواس چندگانه را درگیر کنید تا تأثیر متقاعدکننده پیام خود را افزایش دهید؟")</f>
        <v>نقش بازاریابی حسی و نشانه های چند حسی را در کپی رایتینگ بررسی کنید. چگونه می توانید حواس چندگانه را درگیر کنید تا تأثیر متقاعدکننده پیام خود را افزایش دهید؟</v>
      </c>
      <c r="H10691" s="1"/>
      <c r="I10691" s="1"/>
      <c r="J10691" s="1"/>
      <c r="K10691" s="1"/>
      <c r="L10691" s="1"/>
      <c r="M10691" s="1"/>
      <c r="N10691" s="1"/>
      <c r="O10691" s="1"/>
      <c r="P10691" s="1"/>
      <c r="Q10691" s="1"/>
      <c r="R10691" s="1"/>
      <c r="S10691" s="1"/>
      <c r="T10691" s="1"/>
      <c r="U10691" s="1"/>
      <c r="V10691" s="1"/>
      <c r="W10691" s="1"/>
      <c r="X10691" s="1"/>
      <c r="Y10691" s="1"/>
      <c r="Z10691" s="1"/>
      <c r="AA10691" s="1"/>
      <c r="AB10691" s="1"/>
    </row>
    <row r="10692" ht="50.25" customHeight="1">
      <c r="A10692" s="12">
        <v>10688.0</v>
      </c>
      <c r="B10692" s="13" t="s">
        <v>10535</v>
      </c>
      <c r="C10692" s="18" t="s">
        <v>10720</v>
      </c>
      <c r="D10692" s="1"/>
      <c r="E10692" s="1"/>
      <c r="F10692" s="1" t="str">
        <f>IFERROR(__xludf.DUMMYFUNCTION("GOOGLETRANSLATE(B10692, ""en"", ""fa"")
"),"کپی رایتینگ II")</f>
        <v>کپی رایتینگ II</v>
      </c>
      <c r="G10692" s="1" t="str">
        <f>IFERROR(__xludf.DUMMYFUNCTION("GOOGLETRANSLATE(C10692, ""en"", ""fa"")
"),"مفهوم خودکارآمدی چگونه بر رفتار مصرف‌کننده تأثیر می‌گذارد و چگونه می‌توانید نسخه‌ای ایجاد کنید که اعتماد به نفس را القا کند و به مخاطبان قدرت دهد؟")</f>
        <v>مفهوم خودکارآمدی چگونه بر رفتار مصرف‌کننده تأثیر می‌گذارد و چگونه می‌توانید نسخه‌ای ایجاد کنید که اعتماد به نفس را القا کند و به مخاطبان قدرت دهد؟</v>
      </c>
      <c r="H10692" s="1"/>
      <c r="I10692" s="1"/>
      <c r="J10692" s="1"/>
      <c r="K10692" s="1"/>
      <c r="L10692" s="1"/>
      <c r="M10692" s="1"/>
      <c r="N10692" s="1"/>
      <c r="O10692" s="1"/>
      <c r="P10692" s="1"/>
      <c r="Q10692" s="1"/>
      <c r="R10692" s="1"/>
      <c r="S10692" s="1"/>
      <c r="T10692" s="1"/>
      <c r="U10692" s="1"/>
      <c r="V10692" s="1"/>
      <c r="W10692" s="1"/>
      <c r="X10692" s="1"/>
      <c r="Y10692" s="1"/>
      <c r="Z10692" s="1"/>
      <c r="AA10692" s="1"/>
      <c r="AB10692" s="1"/>
    </row>
    <row r="10693" ht="50.25" customHeight="1">
      <c r="A10693" s="12">
        <v>10689.0</v>
      </c>
      <c r="B10693" s="13" t="s">
        <v>10535</v>
      </c>
      <c r="C10693" s="18" t="s">
        <v>10721</v>
      </c>
      <c r="D10693" s="1"/>
      <c r="E10693" s="1"/>
      <c r="F10693" s="1" t="str">
        <f>IFERROR(__xludf.DUMMYFUNCTION("GOOGLETRANSLATE(B10693, ""en"", ""fa"")
"),"کپی رایتینگ II")</f>
        <v>کپی رایتینگ II</v>
      </c>
      <c r="G10693" s="1" t="str">
        <f>IFERROR(__xludf.DUMMYFUNCTION("GOOGLETRANSLATE(C10693, ""en"", ""fa"")
"),"عوامل روانشناختی که باعث وفاداری و حمایت مصرف کننده می شود چیست؟ چگونه می توانید وفاداری را از طریق کپی رایتینگ خود برای تشویق تجارت تکراری تقویت کنید؟")</f>
        <v>عوامل روانشناختی که باعث وفاداری و حمایت مصرف کننده می شود چیست؟ چگونه می توانید وفاداری را از طریق کپی رایتینگ خود برای تشویق تجارت تکراری تقویت کنید؟</v>
      </c>
      <c r="H10693" s="1"/>
      <c r="I10693" s="1"/>
      <c r="J10693" s="1"/>
      <c r="K10693" s="1"/>
      <c r="L10693" s="1"/>
      <c r="M10693" s="1"/>
      <c r="N10693" s="1"/>
      <c r="O10693" s="1"/>
      <c r="P10693" s="1"/>
      <c r="Q10693" s="1"/>
      <c r="R10693" s="1"/>
      <c r="S10693" s="1"/>
      <c r="T10693" s="1"/>
      <c r="U10693" s="1"/>
      <c r="V10693" s="1"/>
      <c r="W10693" s="1"/>
      <c r="X10693" s="1"/>
      <c r="Y10693" s="1"/>
      <c r="Z10693" s="1"/>
      <c r="AA10693" s="1"/>
      <c r="AB10693" s="1"/>
    </row>
    <row r="10694" ht="50.25" customHeight="1">
      <c r="A10694" s="12">
        <v>10690.0</v>
      </c>
      <c r="B10694" s="13" t="s">
        <v>10535</v>
      </c>
      <c r="C10694" s="18" t="s">
        <v>10722</v>
      </c>
      <c r="D10694" s="1"/>
      <c r="E10694" s="1"/>
      <c r="F10694" s="1" t="str">
        <f>IFERROR(__xludf.DUMMYFUNCTION("GOOGLETRANSLATE(B10694, ""en"", ""fa"")
"),"کپی رایتینگ II")</f>
        <v>کپی رایتینگ II</v>
      </c>
      <c r="G10694" s="1" t="str">
        <f>IFERROR(__xludf.DUMMYFUNCTION("GOOGLETRANSLATE(C10694, ""en"", ""fa"")
"),"درباره تأثیر مقایسه اجتماعی و ترس از طرد اجتماعی در تصمیم گیری مصرف کننده بحث کنید. چگونه می توانید به این عوامل روانی در نسخه خود بپردازید؟")</f>
        <v>درباره تأثیر مقایسه اجتماعی و ترس از طرد اجتماعی در تصمیم گیری مصرف کننده بحث کنید. چگونه می توانید به این عوامل روانی در نسخه خود بپردازید؟</v>
      </c>
      <c r="H10694" s="1"/>
      <c r="I10694" s="1"/>
      <c r="J10694" s="1"/>
      <c r="K10694" s="1"/>
      <c r="L10694" s="1"/>
      <c r="M10694" s="1"/>
      <c r="N10694" s="1"/>
      <c r="O10694" s="1"/>
      <c r="P10694" s="1"/>
      <c r="Q10694" s="1"/>
      <c r="R10694" s="1"/>
      <c r="S10694" s="1"/>
      <c r="T10694" s="1"/>
      <c r="U10694" s="1"/>
      <c r="V10694" s="1"/>
      <c r="W10694" s="1"/>
      <c r="X10694" s="1"/>
      <c r="Y10694" s="1"/>
      <c r="Z10694" s="1"/>
      <c r="AA10694" s="1"/>
      <c r="AB10694" s="1"/>
    </row>
    <row r="10695" ht="50.25" customHeight="1">
      <c r="A10695" s="12">
        <v>10691.0</v>
      </c>
      <c r="B10695" s="13" t="s">
        <v>10535</v>
      </c>
      <c r="C10695" s="18" t="s">
        <v>10723</v>
      </c>
      <c r="D10695" s="1"/>
      <c r="E10695" s="1"/>
      <c r="F10695" s="1" t="str">
        <f>IFERROR(__xludf.DUMMYFUNCTION("GOOGLETRANSLATE(B10695, ""en"", ""fa"")
"),"کپی رایتینگ II")</f>
        <v>کپی رایتینگ II</v>
      </c>
      <c r="G10695" s="1" t="str">
        <f>IFERROR(__xludf.DUMMYFUNCTION("GOOGLETRANSLATE(C10695, ""en"", ""fa"")
"),"مفهوم بار شناختی و اضافه بار اطلاعات را بررسی کنید. چگونه می توانید کپی رایتینگ خود را برای بهینه سازی درک و تصمیم گیری ساده کنید؟")</f>
        <v>مفهوم بار شناختی و اضافه بار اطلاعات را بررسی کنید. چگونه می توانید کپی رایتینگ خود را برای بهینه سازی درک و تصمیم گیری ساده کنید؟</v>
      </c>
      <c r="H10695" s="1"/>
      <c r="I10695" s="1"/>
      <c r="J10695" s="1"/>
      <c r="K10695" s="1"/>
      <c r="L10695" s="1"/>
      <c r="M10695" s="1"/>
      <c r="N10695" s="1"/>
      <c r="O10695" s="1"/>
      <c r="P10695" s="1"/>
      <c r="Q10695" s="1"/>
      <c r="R10695" s="1"/>
      <c r="S10695" s="1"/>
      <c r="T10695" s="1"/>
      <c r="U10695" s="1"/>
      <c r="V10695" s="1"/>
      <c r="W10695" s="1"/>
      <c r="X10695" s="1"/>
      <c r="Y10695" s="1"/>
      <c r="Z10695" s="1"/>
      <c r="AA10695" s="1"/>
      <c r="AB10695" s="1"/>
    </row>
    <row r="10696" ht="50.25" customHeight="1">
      <c r="A10696" s="12">
        <v>10692.0</v>
      </c>
      <c r="B10696" s="13" t="s">
        <v>10535</v>
      </c>
      <c r="C10696" s="18" t="s">
        <v>10724</v>
      </c>
      <c r="D10696" s="1"/>
      <c r="E10696" s="1"/>
      <c r="F10696" s="1" t="str">
        <f>IFERROR(__xludf.DUMMYFUNCTION("GOOGLETRANSLATE(B10696, ""en"", ""fa"")
"),"کپی رایتینگ II")</f>
        <v>کپی رایتینگ II</v>
      </c>
      <c r="G10696" s="1" t="str">
        <f>IFERROR(__xludf.DUMMYFUNCTION("GOOGLETRANSLATE(C10696, ""en"", ""fa"")
"),"مفهوم تقدم و تازگی چه تاثیری بر حافظه و درک مخاطب از کپی شما دارد؟ چگونه می توانید ترتیب و قرارگیری پیام های خود را بهینه کنید؟")</f>
        <v>مفهوم تقدم و تازگی چه تاثیری بر حافظه و درک مخاطب از کپی شما دارد؟ چگونه می توانید ترتیب و قرارگیری پیام های خود را بهینه کنید؟</v>
      </c>
      <c r="H10696" s="1"/>
      <c r="I10696" s="1"/>
      <c r="J10696" s="1"/>
      <c r="K10696" s="1"/>
      <c r="L10696" s="1"/>
      <c r="M10696" s="1"/>
      <c r="N10696" s="1"/>
      <c r="O10696" s="1"/>
      <c r="P10696" s="1"/>
      <c r="Q10696" s="1"/>
      <c r="R10696" s="1"/>
      <c r="S10696" s="1"/>
      <c r="T10696" s="1"/>
      <c r="U10696" s="1"/>
      <c r="V10696" s="1"/>
      <c r="W10696" s="1"/>
      <c r="X10696" s="1"/>
      <c r="Y10696" s="1"/>
      <c r="Z10696" s="1"/>
      <c r="AA10696" s="1"/>
      <c r="AB10696" s="1"/>
    </row>
    <row r="10697" ht="50.25" customHeight="1">
      <c r="A10697" s="12">
        <v>10693.0</v>
      </c>
      <c r="B10697" s="13" t="s">
        <v>10535</v>
      </c>
      <c r="C10697" s="18" t="s">
        <v>10725</v>
      </c>
      <c r="D10697" s="1"/>
      <c r="E10697" s="1"/>
      <c r="F10697" s="1" t="str">
        <f>IFERROR(__xludf.DUMMYFUNCTION("GOOGLETRANSLATE(B10697, ""en"", ""fa"")
"),"کپی رایتینگ II")</f>
        <v>کپی رایتینگ II</v>
      </c>
      <c r="G10697" s="1" t="str">
        <f>IFERROR(__xludf.DUMMYFUNCTION("GOOGLETRANSLATE(C10697, ""en"", ""fa"")
"),"عوامل روانی که باعث وفاداری و حفظ مشتری می شود چیست؟ چگونه می توانید وفاداری را از طریق کپی رایتینگ خود برای تقویت روابط بلندمدت پرورش دهید؟")</f>
        <v>عوامل روانی که باعث وفاداری و حفظ مشتری می شود چیست؟ چگونه می توانید وفاداری را از طریق کپی رایتینگ خود برای تقویت روابط بلندمدت پرورش دهید؟</v>
      </c>
      <c r="H10697" s="1"/>
      <c r="I10697" s="1"/>
      <c r="J10697" s="1"/>
      <c r="K10697" s="1"/>
      <c r="L10697" s="1"/>
      <c r="M10697" s="1"/>
      <c r="N10697" s="1"/>
      <c r="O10697" s="1"/>
      <c r="P10697" s="1"/>
      <c r="Q10697" s="1"/>
      <c r="R10697" s="1"/>
      <c r="S10697" s="1"/>
      <c r="T10697" s="1"/>
      <c r="U10697" s="1"/>
      <c r="V10697" s="1"/>
      <c r="W10697" s="1"/>
      <c r="X10697" s="1"/>
      <c r="Y10697" s="1"/>
      <c r="Z10697" s="1"/>
      <c r="AA10697" s="1"/>
      <c r="AB10697" s="1"/>
    </row>
    <row r="10698" ht="50.25" customHeight="1">
      <c r="A10698" s="12">
        <v>10694.0</v>
      </c>
      <c r="B10698" s="13" t="s">
        <v>10535</v>
      </c>
      <c r="C10698" s="18" t="s">
        <v>10726</v>
      </c>
      <c r="D10698" s="1"/>
      <c r="E10698" s="1"/>
      <c r="F10698" s="1" t="str">
        <f>IFERROR(__xludf.DUMMYFUNCTION("GOOGLETRANSLATE(B10698, ""en"", ""fa"")
"),"کپی رایتینگ II")</f>
        <v>کپی رایتینگ II</v>
      </c>
      <c r="G10698" s="1" t="str">
        <f>IFERROR(__xludf.DUMMYFUNCTION("GOOGLETRANSLATE(C10698, ""en"", ""fa"")
"),"درباره تأثیر خستگی تصمیم بر رفتار مصرف کننده بحث کنید. چگونه می توانید فرآیند تصمیم گیری را از طریق کپی رایتینگ خود ساده کنید؟")</f>
        <v>درباره تأثیر خستگی تصمیم بر رفتار مصرف کننده بحث کنید. چگونه می توانید فرآیند تصمیم گیری را از طریق کپی رایتینگ خود ساده کنید؟</v>
      </c>
      <c r="H10698" s="1"/>
      <c r="I10698" s="1"/>
      <c r="J10698" s="1"/>
      <c r="K10698" s="1"/>
      <c r="L10698" s="1"/>
      <c r="M10698" s="1"/>
      <c r="N10698" s="1"/>
      <c r="O10698" s="1"/>
      <c r="P10698" s="1"/>
      <c r="Q10698" s="1"/>
      <c r="R10698" s="1"/>
      <c r="S10698" s="1"/>
      <c r="T10698" s="1"/>
      <c r="U10698" s="1"/>
      <c r="V10698" s="1"/>
      <c r="W10698" s="1"/>
      <c r="X10698" s="1"/>
      <c r="Y10698" s="1"/>
      <c r="Z10698" s="1"/>
      <c r="AA10698" s="1"/>
      <c r="AB10698" s="1"/>
    </row>
    <row r="10699" ht="50.25" customHeight="1">
      <c r="A10699" s="12">
        <v>10695.0</v>
      </c>
      <c r="B10699" s="13" t="s">
        <v>10535</v>
      </c>
      <c r="C10699" s="18" t="s">
        <v>10727</v>
      </c>
      <c r="D10699" s="1"/>
      <c r="E10699" s="1"/>
      <c r="F10699" s="1" t="str">
        <f>IFERROR(__xludf.DUMMYFUNCTION("GOOGLETRANSLATE(B10699, ""en"", ""fa"")
"),"کپی رایتینگ II")</f>
        <v>کپی رایتینگ II</v>
      </c>
      <c r="G10699" s="1" t="str">
        <f>IFERROR(__xludf.DUMMYFUNCTION("GOOGLETRANSLATE(C10699, ""en"", ""fa"")
"),"چگونه می توانید از نیاز مخاطب به اعتبار اجتماعی و انطباق در کپی رایتینگ خود برای افزایش متقاعدسازی و تأثیرگذاری استفاده کنید؟")</f>
        <v>چگونه می توانید از نیاز مخاطب به اعتبار اجتماعی و انطباق در کپی رایتینگ خود برای افزایش متقاعدسازی و تأثیرگذاری استفاده کنید؟</v>
      </c>
      <c r="H10699" s="1"/>
      <c r="I10699" s="1"/>
      <c r="J10699" s="1"/>
      <c r="K10699" s="1"/>
      <c r="L10699" s="1"/>
      <c r="M10699" s="1"/>
      <c r="N10699" s="1"/>
      <c r="O10699" s="1"/>
      <c r="P10699" s="1"/>
      <c r="Q10699" s="1"/>
      <c r="R10699" s="1"/>
      <c r="S10699" s="1"/>
      <c r="T10699" s="1"/>
      <c r="U10699" s="1"/>
      <c r="V10699" s="1"/>
      <c r="W10699" s="1"/>
      <c r="X10699" s="1"/>
      <c r="Y10699" s="1"/>
      <c r="Z10699" s="1"/>
      <c r="AA10699" s="1"/>
      <c r="AB10699" s="1"/>
    </row>
    <row r="10700" ht="50.25" customHeight="1">
      <c r="A10700" s="12">
        <v>10696.0</v>
      </c>
      <c r="B10700" s="13" t="s">
        <v>10535</v>
      </c>
      <c r="C10700" s="18" t="s">
        <v>10728</v>
      </c>
      <c r="D10700" s="1"/>
      <c r="E10700" s="1"/>
      <c r="F10700" s="1" t="str">
        <f>IFERROR(__xludf.DUMMYFUNCTION("GOOGLETRANSLATE(B10700, ""en"", ""fa"")
"),"کپی رایتینگ II")</f>
        <v>کپی رایتینگ II</v>
      </c>
      <c r="G10700" s="1" t="str">
        <f>IFERROR(__xludf.DUMMYFUNCTION("GOOGLETRANSLATE(C10700, ""en"", ""fa"")
"),"مفهوم قاب بندی و تاثیر آن بر ادراک مصرف کننده را بررسی کنید. چگونه می توانید پیام خود را به گونه ای قالب بندی کنید که با ارزش ها و اولویت های مخاطب همخوانی داشته باشد؟")</f>
        <v>مفهوم قاب بندی و تاثیر آن بر ادراک مصرف کننده را بررسی کنید. چگونه می توانید پیام خود را به گونه ای قالب بندی کنید که با ارزش ها و اولویت های مخاطب همخوانی داشته باشد؟</v>
      </c>
      <c r="H10700" s="1"/>
      <c r="I10700" s="1"/>
      <c r="J10700" s="1"/>
      <c r="K10700" s="1"/>
      <c r="L10700" s="1"/>
      <c r="M10700" s="1"/>
      <c r="N10700" s="1"/>
      <c r="O10700" s="1"/>
      <c r="P10700" s="1"/>
      <c r="Q10700" s="1"/>
      <c r="R10700" s="1"/>
      <c r="S10700" s="1"/>
      <c r="T10700" s="1"/>
      <c r="U10700" s="1"/>
      <c r="V10700" s="1"/>
      <c r="W10700" s="1"/>
      <c r="X10700" s="1"/>
      <c r="Y10700" s="1"/>
      <c r="Z10700" s="1"/>
      <c r="AA10700" s="1"/>
      <c r="AB10700" s="1"/>
    </row>
    <row r="10701" ht="50.25" customHeight="1">
      <c r="A10701" s="12">
        <v>10697.0</v>
      </c>
      <c r="B10701" s="13" t="s">
        <v>10535</v>
      </c>
      <c r="C10701" s="18" t="s">
        <v>10729</v>
      </c>
      <c r="D10701" s="1"/>
      <c r="E10701" s="1"/>
      <c r="F10701" s="1" t="str">
        <f>IFERROR(__xludf.DUMMYFUNCTION("GOOGLETRANSLATE(B10701, ""en"", ""fa"")
"),"کپی رایتینگ II")</f>
        <v>کپی رایتینگ II</v>
      </c>
      <c r="G10701" s="1" t="str">
        <f>IFERROR(__xludf.DUMMYFUNCTION("GOOGLETRANSLATE(C10701, ""en"", ""fa"")
"),"مفهوم واکنش روانی چگونه بر پاسخ مصرف کننده به پیام های متقاعدکننده تأثیر می گذارد؟ چگونه می توانید از ایجاد واکنش در کپی رایتینگ خود جلوگیری کنید؟")</f>
        <v>مفهوم واکنش روانی چگونه بر پاسخ مصرف کننده به پیام های متقاعدکننده تأثیر می گذارد؟ چگونه می توانید از ایجاد واکنش در کپی رایتینگ خود جلوگیری کنید؟</v>
      </c>
      <c r="H10701" s="1"/>
      <c r="I10701" s="1"/>
      <c r="J10701" s="1"/>
      <c r="K10701" s="1"/>
      <c r="L10701" s="1"/>
      <c r="M10701" s="1"/>
      <c r="N10701" s="1"/>
      <c r="O10701" s="1"/>
      <c r="P10701" s="1"/>
      <c r="Q10701" s="1"/>
      <c r="R10701" s="1"/>
      <c r="S10701" s="1"/>
      <c r="T10701" s="1"/>
      <c r="U10701" s="1"/>
      <c r="V10701" s="1"/>
      <c r="W10701" s="1"/>
      <c r="X10701" s="1"/>
      <c r="Y10701" s="1"/>
      <c r="Z10701" s="1"/>
      <c r="AA10701" s="1"/>
      <c r="AB10701" s="1"/>
    </row>
    <row r="10702" ht="50.25" customHeight="1">
      <c r="A10702" s="12">
        <v>10698.0</v>
      </c>
      <c r="B10702" s="13" t="s">
        <v>10535</v>
      </c>
      <c r="C10702" s="18" t="s">
        <v>10730</v>
      </c>
      <c r="D10702" s="1"/>
      <c r="E10702" s="1"/>
      <c r="F10702" s="1" t="str">
        <f>IFERROR(__xludf.DUMMYFUNCTION("GOOGLETRANSLATE(B10702, ""en"", ""fa"")
"),"کپی رایتینگ II")</f>
        <v>کپی رایتینگ II</v>
      </c>
      <c r="G10702" s="1" t="str">
        <f>IFERROR(__xludf.DUMMYFUNCTION("GOOGLETRANSLATE(C10702, ""en"", ""fa"")
"),"عوامل روانشناختی که باعث رضایت مشتری و رفتار پس از خرید می شود چیست؟ چگونه می توانید به این عوامل در نسخه خود توجه کنید تا نتایج مثبت را تشویق کنید؟")</f>
        <v>عوامل روانشناختی که باعث رضایت مشتری و رفتار پس از خرید می شود چیست؟ چگونه می توانید به این عوامل در نسخه خود توجه کنید تا نتایج مثبت را تشویق کنید؟</v>
      </c>
      <c r="H10702" s="1"/>
      <c r="I10702" s="1"/>
      <c r="J10702" s="1"/>
      <c r="K10702" s="1"/>
      <c r="L10702" s="1"/>
      <c r="M10702" s="1"/>
      <c r="N10702" s="1"/>
      <c r="O10702" s="1"/>
      <c r="P10702" s="1"/>
      <c r="Q10702" s="1"/>
      <c r="R10702" s="1"/>
      <c r="S10702" s="1"/>
      <c r="T10702" s="1"/>
      <c r="U10702" s="1"/>
      <c r="V10702" s="1"/>
      <c r="W10702" s="1"/>
      <c r="X10702" s="1"/>
      <c r="Y10702" s="1"/>
      <c r="Z10702" s="1"/>
      <c r="AA10702" s="1"/>
      <c r="AB10702" s="1"/>
    </row>
    <row r="10703" ht="50.25" customHeight="1">
      <c r="A10703" s="12">
        <v>10699.0</v>
      </c>
      <c r="B10703" s="13" t="s">
        <v>10535</v>
      </c>
      <c r="C10703" s="18" t="s">
        <v>10731</v>
      </c>
      <c r="D10703" s="1"/>
      <c r="E10703" s="1"/>
      <c r="F10703" s="1" t="str">
        <f>IFERROR(__xludf.DUMMYFUNCTION("GOOGLETRANSLATE(B10703, ""en"", ""fa"")
"),"کپی رایتینگ II")</f>
        <v>کپی رایتینگ II</v>
      </c>
      <c r="G10703" s="1" t="str">
        <f>IFERROR(__xludf.DUMMYFUNCTION("GOOGLETRANSLATE(C10703, ""en"", ""fa"")
"),"درباره تأثیر جذابیت های انگیزشی، مانند موفقیت یا وابستگی، بر رفتار مصرف کننده بحث کنید. چگونه می توانید عناصر انگیزشی را در کپی رایتینگ خود بگنجانید؟")</f>
        <v>درباره تأثیر جذابیت های انگیزشی، مانند موفقیت یا وابستگی، بر رفتار مصرف کننده بحث کنید. چگونه می توانید عناصر انگیزشی را در کپی رایتینگ خود بگنجانید؟</v>
      </c>
      <c r="H10703" s="1"/>
      <c r="I10703" s="1"/>
      <c r="J10703" s="1"/>
      <c r="K10703" s="1"/>
      <c r="L10703" s="1"/>
      <c r="M10703" s="1"/>
      <c r="N10703" s="1"/>
      <c r="O10703" s="1"/>
      <c r="P10703" s="1"/>
      <c r="Q10703" s="1"/>
      <c r="R10703" s="1"/>
      <c r="S10703" s="1"/>
      <c r="T10703" s="1"/>
      <c r="U10703" s="1"/>
      <c r="V10703" s="1"/>
      <c r="W10703" s="1"/>
      <c r="X10703" s="1"/>
      <c r="Y10703" s="1"/>
      <c r="Z10703" s="1"/>
      <c r="AA10703" s="1"/>
      <c r="AB10703" s="1"/>
    </row>
    <row r="10704" ht="50.25" customHeight="1">
      <c r="A10704" s="12">
        <v>10700.0</v>
      </c>
      <c r="B10704" s="13" t="s">
        <v>10535</v>
      </c>
      <c r="C10704" s="18" t="s">
        <v>10732</v>
      </c>
      <c r="D10704" s="1"/>
      <c r="E10704" s="1"/>
      <c r="F10704" s="1" t="str">
        <f>IFERROR(__xludf.DUMMYFUNCTION("GOOGLETRANSLATE(B10704, ""en"", ""fa"")
"),"کپی رایتینگ II")</f>
        <v>کپی رایتینگ II</v>
      </c>
      <c r="G10704" s="1" t="str">
        <f>IFERROR(__xludf.DUMMYFUNCTION("GOOGLETRANSLATE(C10704, ""en"", ""fa"")
"),"چگونه می توانید از نیاز مخاطب به ارتباط شخصی و فردیت در کپی رایتینگ خود برای ایجاد حس انحصار و ارتباط استفاده کنید؟")</f>
        <v>چگونه می توانید از نیاز مخاطب به ارتباط شخصی و فردیت در کپی رایتینگ خود برای ایجاد حس انحصار و ارتباط استفاده کنید؟</v>
      </c>
      <c r="H10704" s="1"/>
      <c r="I10704" s="1"/>
      <c r="J10704" s="1"/>
      <c r="K10704" s="1"/>
      <c r="L10704" s="1"/>
      <c r="M10704" s="1"/>
      <c r="N10704" s="1"/>
      <c r="O10704" s="1"/>
      <c r="P10704" s="1"/>
      <c r="Q10704" s="1"/>
      <c r="R10704" s="1"/>
      <c r="S10704" s="1"/>
      <c r="T10704" s="1"/>
      <c r="U10704" s="1"/>
      <c r="V10704" s="1"/>
      <c r="W10704" s="1"/>
      <c r="X10704" s="1"/>
      <c r="Y10704" s="1"/>
      <c r="Z10704" s="1"/>
      <c r="AA10704" s="1"/>
      <c r="AB10704" s="1"/>
    </row>
    <row r="10705" ht="50.25" customHeight="1">
      <c r="A10705" s="12">
        <v>10701.0</v>
      </c>
      <c r="B10705" s="13" t="s">
        <v>10535</v>
      </c>
      <c r="C10705" s="18" t="s">
        <v>10733</v>
      </c>
      <c r="D10705" s="1"/>
      <c r="E10705" s="1"/>
      <c r="F10705" s="1" t="str">
        <f>IFERROR(__xludf.DUMMYFUNCTION("GOOGLETRANSLATE(B10705, ""en"", ""fa"")
"),"کپی رایتینگ II")</f>
        <v>کپی رایتینگ II</v>
      </c>
      <c r="G10705" s="1" t="str">
        <f>IFERROR(__xludf.DUMMYFUNCTION("GOOGLETRANSLATE(C10705, ""en"", ""fa"")
"),"مفهوم سوگیری تایید و تاثیر آن بر تصمیم گیری مصرف کننده را بررسی کنید. چگونه می توانید از سوگیری تایید به نفع خود در کپی رایتینگ خود استفاده کنید؟")</f>
        <v>مفهوم سوگیری تایید و تاثیر آن بر تصمیم گیری مصرف کننده را بررسی کنید. چگونه می توانید از سوگیری تایید به نفع خود در کپی رایتینگ خود استفاده کنید؟</v>
      </c>
      <c r="H10705" s="1"/>
      <c r="I10705" s="1"/>
      <c r="J10705" s="1"/>
      <c r="K10705" s="1"/>
      <c r="L10705" s="1"/>
      <c r="M10705" s="1"/>
      <c r="N10705" s="1"/>
      <c r="O10705" s="1"/>
      <c r="P10705" s="1"/>
      <c r="Q10705" s="1"/>
      <c r="R10705" s="1"/>
      <c r="S10705" s="1"/>
      <c r="T10705" s="1"/>
      <c r="U10705" s="1"/>
      <c r="V10705" s="1"/>
      <c r="W10705" s="1"/>
      <c r="X10705" s="1"/>
      <c r="Y10705" s="1"/>
      <c r="Z10705" s="1"/>
      <c r="AA10705" s="1"/>
      <c r="AB10705" s="1"/>
    </row>
    <row r="10706" ht="50.25" customHeight="1">
      <c r="A10706" s="12">
        <v>10702.0</v>
      </c>
      <c r="B10706" s="13" t="s">
        <v>10535</v>
      </c>
      <c r="C10706" s="18" t="s">
        <v>10734</v>
      </c>
      <c r="D10706" s="1"/>
      <c r="E10706" s="1"/>
      <c r="F10706" s="1" t="str">
        <f>IFERROR(__xludf.DUMMYFUNCTION("GOOGLETRANSLATE(B10706, ""en"", ""fa"")
"),"کپی رایتینگ II")</f>
        <v>کپی رایتینگ II</v>
      </c>
      <c r="G10706" s="1" t="str">
        <f>IFERROR(__xludf.DUMMYFUNCTION("GOOGLETRANSLATE(C10706, ""en"", ""fa"")
"),"مفهوم سرایت عاطفی چگونه بر پاسخ مصرف کننده به نسخه شما تأثیر می گذارد؟ چگونه می توانید احساسات مثبت را از طریق نوشتن خود برانگیخته و تقویت کنید؟")</f>
        <v>مفهوم سرایت عاطفی چگونه بر پاسخ مصرف کننده به نسخه شما تأثیر می گذارد؟ چگونه می توانید احساسات مثبت را از طریق نوشتن خود برانگیخته و تقویت کنید؟</v>
      </c>
      <c r="H10706" s="1"/>
      <c r="I10706" s="1"/>
      <c r="J10706" s="1"/>
      <c r="K10706" s="1"/>
      <c r="L10706" s="1"/>
      <c r="M10706" s="1"/>
      <c r="N10706" s="1"/>
      <c r="O10706" s="1"/>
      <c r="P10706" s="1"/>
      <c r="Q10706" s="1"/>
      <c r="R10706" s="1"/>
      <c r="S10706" s="1"/>
      <c r="T10706" s="1"/>
      <c r="U10706" s="1"/>
      <c r="V10706" s="1"/>
      <c r="W10706" s="1"/>
      <c r="X10706" s="1"/>
      <c r="Y10706" s="1"/>
      <c r="Z10706" s="1"/>
      <c r="AA10706" s="1"/>
      <c r="AB10706" s="1"/>
    </row>
    <row r="10707" ht="50.25" customHeight="1">
      <c r="A10707" s="12">
        <v>10703.0</v>
      </c>
      <c r="B10707" s="13" t="s">
        <v>10535</v>
      </c>
      <c r="C10707" s="18" t="s">
        <v>10735</v>
      </c>
      <c r="D10707" s="1"/>
      <c r="E10707" s="1"/>
      <c r="F10707" s="1" t="str">
        <f>IFERROR(__xludf.DUMMYFUNCTION("GOOGLETRANSLATE(B10707, ""en"", ""fa"")
"),"کپی رایتینگ II")</f>
        <v>کپی رایتینگ II</v>
      </c>
      <c r="G10707" s="1" t="str">
        <f>IFERROR(__xludf.DUMMYFUNCTION("GOOGLETRANSLATE(C10707, ""en"", ""fa"")
"),"چه عواملی روانشناختی باعث وفاداری و حمایت مشتری می شود؟ چگونه می توانید وفاداری را از طریق کپی رایتینگ خود برای تشویق تجارت تکراری پرورش دهید؟")</f>
        <v>چه عواملی روانشناختی باعث وفاداری و حمایت مشتری می شود؟ چگونه می توانید وفاداری را از طریق کپی رایتینگ خود برای تشویق تجارت تکراری پرورش دهید؟</v>
      </c>
      <c r="H10707" s="1"/>
      <c r="I10707" s="1"/>
      <c r="J10707" s="1"/>
      <c r="K10707" s="1"/>
      <c r="L10707" s="1"/>
      <c r="M10707" s="1"/>
      <c r="N10707" s="1"/>
      <c r="O10707" s="1"/>
      <c r="P10707" s="1"/>
      <c r="Q10707" s="1"/>
      <c r="R10707" s="1"/>
      <c r="S10707" s="1"/>
      <c r="T10707" s="1"/>
      <c r="U10707" s="1"/>
      <c r="V10707" s="1"/>
      <c r="W10707" s="1"/>
      <c r="X10707" s="1"/>
      <c r="Y10707" s="1"/>
      <c r="Z10707" s="1"/>
      <c r="AA10707" s="1"/>
      <c r="AB10707" s="1"/>
    </row>
    <row r="10708" ht="50.25" customHeight="1">
      <c r="A10708" s="12">
        <v>10704.0</v>
      </c>
      <c r="B10708" s="13" t="s">
        <v>10535</v>
      </c>
      <c r="C10708" s="18" t="s">
        <v>10736</v>
      </c>
      <c r="D10708" s="1"/>
      <c r="E10708" s="1"/>
      <c r="F10708" s="1" t="str">
        <f>IFERROR(__xludf.DUMMYFUNCTION("GOOGLETRANSLATE(B10708, ""en"", ""fa"")
"),"کپی رایتینگ II")</f>
        <v>کپی رایتینگ II</v>
      </c>
      <c r="G10708" s="1" t="str">
        <f>IFERROR(__xludf.DUMMYFUNCTION("GOOGLETRANSLATE(C10708, ""en"", ""fa"")
"),"عوامل روانشناختی که باعث اعتماد و اعتبار مصرف کننده می شود چیست؟ چگونه می توانید اعتماد را از طریق کپی رایتینگ خود برای افزایش وفاداری به برند ایجاد کنید؟")</f>
        <v>عوامل روانشناختی که باعث اعتماد و اعتبار مصرف کننده می شود چیست؟ چگونه می توانید اعتماد را از طریق کپی رایتینگ خود برای افزایش وفاداری به برند ایجاد کنید؟</v>
      </c>
      <c r="H10708" s="1"/>
      <c r="I10708" s="1"/>
      <c r="J10708" s="1"/>
      <c r="K10708" s="1"/>
      <c r="L10708" s="1"/>
      <c r="M10708" s="1"/>
      <c r="N10708" s="1"/>
      <c r="O10708" s="1"/>
      <c r="P10708" s="1"/>
      <c r="Q10708" s="1"/>
      <c r="R10708" s="1"/>
      <c r="S10708" s="1"/>
      <c r="T10708" s="1"/>
      <c r="U10708" s="1"/>
      <c r="V10708" s="1"/>
      <c r="W10708" s="1"/>
      <c r="X10708" s="1"/>
      <c r="Y10708" s="1"/>
      <c r="Z10708" s="1"/>
      <c r="AA10708" s="1"/>
      <c r="AB10708" s="1"/>
    </row>
    <row r="10709" ht="50.25" customHeight="1">
      <c r="A10709" s="12">
        <v>10705.0</v>
      </c>
      <c r="B10709" s="13" t="s">
        <v>10535</v>
      </c>
      <c r="C10709" s="18" t="s">
        <v>10737</v>
      </c>
      <c r="D10709" s="1"/>
      <c r="E10709" s="1"/>
      <c r="F10709" s="1" t="str">
        <f>IFERROR(__xludf.DUMMYFUNCTION("GOOGLETRANSLATE(B10709, ""en"", ""fa"")
"),"کپی رایتینگ II")</f>
        <v>کپی رایتینگ II</v>
      </c>
      <c r="G10709" s="1" t="str">
        <f>IFERROR(__xludf.DUMMYFUNCTION("GOOGLETRANSLATE(C10709, ""en"", ""fa"")
"),"در مورد تأثیر ناهماهنگی شناختی و نیاز به سازگاری شناختی بر تصمیم گیری مصرف کننده بحث کنید. چگونه می توانید تضادهای شناختی را از طریق کپی خود کاهش دهید؟")</f>
        <v>در مورد تأثیر ناهماهنگی شناختی و نیاز به سازگاری شناختی بر تصمیم گیری مصرف کننده بحث کنید. چگونه می توانید تضادهای شناختی را از طریق کپی خود کاهش دهید؟</v>
      </c>
      <c r="H10709" s="1"/>
      <c r="I10709" s="1"/>
      <c r="J10709" s="1"/>
      <c r="K10709" s="1"/>
      <c r="L10709" s="1"/>
      <c r="M10709" s="1"/>
      <c r="N10709" s="1"/>
      <c r="O10709" s="1"/>
      <c r="P10709" s="1"/>
      <c r="Q10709" s="1"/>
      <c r="R10709" s="1"/>
      <c r="S10709" s="1"/>
      <c r="T10709" s="1"/>
      <c r="U10709" s="1"/>
      <c r="V10709" s="1"/>
      <c r="W10709" s="1"/>
      <c r="X10709" s="1"/>
      <c r="Y10709" s="1"/>
      <c r="Z10709" s="1"/>
      <c r="AA10709" s="1"/>
      <c r="AB10709" s="1"/>
    </row>
    <row r="10710" ht="50.25" customHeight="1">
      <c r="A10710" s="12">
        <v>10706.0</v>
      </c>
      <c r="B10710" s="13" t="s">
        <v>10535</v>
      </c>
      <c r="C10710" s="18" t="s">
        <v>10738</v>
      </c>
      <c r="D10710" s="1"/>
      <c r="E10710" s="1"/>
      <c r="F10710" s="1" t="str">
        <f>IFERROR(__xludf.DUMMYFUNCTION("GOOGLETRANSLATE(B10710, ""en"", ""fa"")
"),"کپی رایتینگ II")</f>
        <v>کپی رایتینگ II</v>
      </c>
      <c r="G10710" s="1" t="str">
        <f>IFERROR(__xludf.DUMMYFUNCTION("GOOGLETRANSLATE(C10710, ""en"", ""fa"")
"),"چگونه می توانید از نیاز مخاطب به تحقق شخصی و خودشکوفایی در کپی رایتینگ خود برای ایجاد پیام های آرزومند استفاده کنید؟")</f>
        <v>چگونه می توانید از نیاز مخاطب به تحقق شخصی و خودشکوفایی در کپی رایتینگ خود برای ایجاد پیام های آرزومند استفاده کنید؟</v>
      </c>
      <c r="H10710" s="1"/>
      <c r="I10710" s="1"/>
      <c r="J10710" s="1"/>
      <c r="K10710" s="1"/>
      <c r="L10710" s="1"/>
      <c r="M10710" s="1"/>
      <c r="N10710" s="1"/>
      <c r="O10710" s="1"/>
      <c r="P10710" s="1"/>
      <c r="Q10710" s="1"/>
      <c r="R10710" s="1"/>
      <c r="S10710" s="1"/>
      <c r="T10710" s="1"/>
      <c r="U10710" s="1"/>
      <c r="V10710" s="1"/>
      <c r="W10710" s="1"/>
      <c r="X10710" s="1"/>
      <c r="Y10710" s="1"/>
      <c r="Z10710" s="1"/>
      <c r="AA10710" s="1"/>
      <c r="AB10710" s="1"/>
    </row>
    <row r="10711" ht="50.25" customHeight="1">
      <c r="A10711" s="12">
        <v>10707.0</v>
      </c>
      <c r="B10711" s="13" t="s">
        <v>10535</v>
      </c>
      <c r="C10711" s="18" t="s">
        <v>10739</v>
      </c>
      <c r="D10711" s="1"/>
      <c r="E10711" s="1"/>
      <c r="F10711" s="1" t="str">
        <f>IFERROR(__xludf.DUMMYFUNCTION("GOOGLETRANSLATE(B10711, ""en"", ""fa"")
"),"کپی رایتینگ II")</f>
        <v>کپی رایتینگ II</v>
      </c>
      <c r="G10711" s="1" t="str">
        <f>IFERROR(__xludf.DUMMYFUNCTION("GOOGLETRANSLATE(C10711, ""en"", ""fa"")
"),"نقش نوستالژی و محرک های عاطفی را در کپی رایتینگ بررسی کنید. چگونه می توانید احساسات نوستالژیک را برای ایجاد ارتباط مثبت با برند یا محصول خود برانگیزید؟")</f>
        <v>نقش نوستالژی و محرک های عاطفی را در کپی رایتینگ بررسی کنید. چگونه می توانید احساسات نوستالژیک را برای ایجاد ارتباط مثبت با برند یا محصول خود برانگیزید؟</v>
      </c>
      <c r="H10711" s="1"/>
      <c r="I10711" s="1"/>
      <c r="J10711" s="1"/>
      <c r="K10711" s="1"/>
      <c r="L10711" s="1"/>
      <c r="M10711" s="1"/>
      <c r="N10711" s="1"/>
      <c r="O10711" s="1"/>
      <c r="P10711" s="1"/>
      <c r="Q10711" s="1"/>
      <c r="R10711" s="1"/>
      <c r="S10711" s="1"/>
      <c r="T10711" s="1"/>
      <c r="U10711" s="1"/>
      <c r="V10711" s="1"/>
      <c r="W10711" s="1"/>
      <c r="X10711" s="1"/>
      <c r="Y10711" s="1"/>
      <c r="Z10711" s="1"/>
      <c r="AA10711" s="1"/>
      <c r="AB10711" s="1"/>
    </row>
    <row r="10712" ht="50.25" customHeight="1">
      <c r="A10712" s="12">
        <v>10708.0</v>
      </c>
      <c r="B10712" s="13" t="s">
        <v>10535</v>
      </c>
      <c r="C10712" s="18" t="s">
        <v>10740</v>
      </c>
      <c r="D10712" s="1"/>
      <c r="E10712" s="1"/>
      <c r="F10712" s="1" t="str">
        <f>IFERROR(__xludf.DUMMYFUNCTION("GOOGLETRANSLATE(B10712, ""en"", ""fa"")
"),"کپی رایتینگ II")</f>
        <v>کپی رایتینگ II</v>
      </c>
      <c r="G10712" s="1" t="str">
        <f>IFERROR(__xludf.DUMMYFUNCTION("GOOGLETRANSLATE(C10712, ""en"", ""fa"")
"),"مفهوم توجه انتخابی چگونه بر درک و پردازش مخاطب از نسخه شما تأثیر می گذارد؟ چگونه می توانید توجه آنها را به طور موثر جلب و حفظ کنید؟")</f>
        <v>مفهوم توجه انتخابی چگونه بر درک و پردازش مخاطب از نسخه شما تأثیر می گذارد؟ چگونه می توانید توجه آنها را به طور موثر جلب و حفظ کنید؟</v>
      </c>
      <c r="H10712" s="1"/>
      <c r="I10712" s="1"/>
      <c r="J10712" s="1"/>
      <c r="K10712" s="1"/>
      <c r="L10712" s="1"/>
      <c r="M10712" s="1"/>
      <c r="N10712" s="1"/>
      <c r="O10712" s="1"/>
      <c r="P10712" s="1"/>
      <c r="Q10712" s="1"/>
      <c r="R10712" s="1"/>
      <c r="S10712" s="1"/>
      <c r="T10712" s="1"/>
      <c r="U10712" s="1"/>
      <c r="V10712" s="1"/>
      <c r="W10712" s="1"/>
      <c r="X10712" s="1"/>
      <c r="Y10712" s="1"/>
      <c r="Z10712" s="1"/>
      <c r="AA10712" s="1"/>
      <c r="AB10712" s="1"/>
    </row>
    <row r="10713" ht="50.25" customHeight="1">
      <c r="A10713" s="12">
        <v>10709.0</v>
      </c>
      <c r="B10713" s="13" t="s">
        <v>10535</v>
      </c>
      <c r="C10713" s="18" t="s">
        <v>10741</v>
      </c>
      <c r="D10713" s="1"/>
      <c r="E10713" s="1"/>
      <c r="F10713" s="1" t="str">
        <f>IFERROR(__xludf.DUMMYFUNCTION("GOOGLETRANSLATE(B10713, ""en"", ""fa"")
"),"کپی رایتینگ II")</f>
        <v>کپی رایتینگ II</v>
      </c>
      <c r="G10713" s="1" t="str">
        <f>IFERROR(__xludf.DUMMYFUNCTION("GOOGLETRANSLATE(C10713, ""en"", ""fa"")
"),"عوامل روانشناختی که بازاریابی دهان به دهان و ویروسی را هدایت می کنند چیست؟ چگونه می توانید اشتراک گذاری و مشارکت را از طریق کپی رایتینگ خود تشویق کنید؟")</f>
        <v>عوامل روانشناختی که بازاریابی دهان به دهان و ویروسی را هدایت می کنند چیست؟ چگونه می توانید اشتراک گذاری و مشارکت را از طریق کپی رایتینگ خود تشویق کنید؟</v>
      </c>
      <c r="H10713" s="1"/>
      <c r="I10713" s="1"/>
      <c r="J10713" s="1"/>
      <c r="K10713" s="1"/>
      <c r="L10713" s="1"/>
      <c r="M10713" s="1"/>
      <c r="N10713" s="1"/>
      <c r="O10713" s="1"/>
      <c r="P10713" s="1"/>
      <c r="Q10713" s="1"/>
      <c r="R10713" s="1"/>
      <c r="S10713" s="1"/>
      <c r="T10713" s="1"/>
      <c r="U10713" s="1"/>
      <c r="V10713" s="1"/>
      <c r="W10713" s="1"/>
      <c r="X10713" s="1"/>
      <c r="Y10713" s="1"/>
      <c r="Z10713" s="1"/>
      <c r="AA10713" s="1"/>
      <c r="AB10713" s="1"/>
    </row>
    <row r="10714" ht="50.25" customHeight="1">
      <c r="A10714" s="12">
        <v>10710.0</v>
      </c>
      <c r="B10714" s="13" t="s">
        <v>10535</v>
      </c>
      <c r="C10714" s="18" t="s">
        <v>10742</v>
      </c>
      <c r="D10714" s="1"/>
      <c r="E10714" s="1"/>
      <c r="F10714" s="1" t="str">
        <f>IFERROR(__xludf.DUMMYFUNCTION("GOOGLETRANSLATE(B10714, ""en"", ""fa"")
"),"کپی رایتینگ II")</f>
        <v>کپی رایتینگ II</v>
      </c>
      <c r="G10714" s="1" t="str">
        <f>IFERROR(__xludf.DUMMYFUNCTION("GOOGLETRANSLATE(C10714, ""en"", ""fa"")
"),"در مورد تأثیر سوگیری های شناختی، مانند اکتشافی در دسترس بودن یا اثر باند واگن، بر تصمیم گیری مصرف کننده بحث کنید. چگونه می توانید این سوگیری ها را در نسخه خود مرور کنید؟")</f>
        <v>در مورد تأثیر سوگیری های شناختی، مانند اکتشافی در دسترس بودن یا اثر باند واگن، بر تصمیم گیری مصرف کننده بحث کنید. چگونه می توانید این سوگیری ها را در نسخه خود مرور کنید؟</v>
      </c>
      <c r="H10714" s="1"/>
      <c r="I10714" s="1"/>
      <c r="J10714" s="1"/>
      <c r="K10714" s="1"/>
      <c r="L10714" s="1"/>
      <c r="M10714" s="1"/>
      <c r="N10714" s="1"/>
      <c r="O10714" s="1"/>
      <c r="P10714" s="1"/>
      <c r="Q10714" s="1"/>
      <c r="R10714" s="1"/>
      <c r="S10714" s="1"/>
      <c r="T10714" s="1"/>
      <c r="U10714" s="1"/>
      <c r="V10714" s="1"/>
      <c r="W10714" s="1"/>
      <c r="X10714" s="1"/>
      <c r="Y10714" s="1"/>
      <c r="Z10714" s="1"/>
      <c r="AA10714" s="1"/>
      <c r="AB10714" s="1"/>
    </row>
    <row r="10715" ht="50.25" customHeight="1">
      <c r="A10715" s="12">
        <v>10711.0</v>
      </c>
      <c r="B10715" s="13" t="s">
        <v>10535</v>
      </c>
      <c r="C10715" s="18" t="s">
        <v>10743</v>
      </c>
      <c r="D10715" s="1"/>
      <c r="E10715" s="1"/>
      <c r="F10715" s="1" t="str">
        <f>IFERROR(__xludf.DUMMYFUNCTION("GOOGLETRANSLATE(B10715, ""en"", ""fa"")
"),"کپی رایتینگ II")</f>
        <v>کپی رایتینگ II</v>
      </c>
      <c r="G10715" s="1" t="str">
        <f>IFERROR(__xludf.DUMMYFUNCTION("GOOGLETRANSLATE(C10715, ""en"", ""fa"")
"),"چگونه می توانید از نیاز مخاطب به اعتبار اجتماعی و تعلق در کپی رایتینگ خود برای ایجاد حس اجتماعی و ارتباط استفاده کنید؟")</f>
        <v>چگونه می توانید از نیاز مخاطب به اعتبار اجتماعی و تعلق در کپی رایتینگ خود برای ایجاد حس اجتماعی و ارتباط استفاده کنید؟</v>
      </c>
      <c r="H10715" s="1"/>
      <c r="I10715" s="1"/>
      <c r="J10715" s="1"/>
      <c r="K10715" s="1"/>
      <c r="L10715" s="1"/>
      <c r="M10715" s="1"/>
      <c r="N10715" s="1"/>
      <c r="O10715" s="1"/>
      <c r="P10715" s="1"/>
      <c r="Q10715" s="1"/>
      <c r="R10715" s="1"/>
      <c r="S10715" s="1"/>
      <c r="T10715" s="1"/>
      <c r="U10715" s="1"/>
      <c r="V10715" s="1"/>
      <c r="W10715" s="1"/>
      <c r="X10715" s="1"/>
      <c r="Y10715" s="1"/>
      <c r="Z10715" s="1"/>
      <c r="AA10715" s="1"/>
      <c r="AB10715" s="1"/>
    </row>
    <row r="10716" ht="50.25" customHeight="1">
      <c r="A10716" s="12">
        <v>10712.0</v>
      </c>
      <c r="B10716" s="13" t="s">
        <v>10535</v>
      </c>
      <c r="C10716" s="18" t="s">
        <v>10744</v>
      </c>
      <c r="D10716" s="1"/>
      <c r="E10716" s="1"/>
      <c r="F10716" s="1" t="str">
        <f>IFERROR(__xludf.DUMMYFUNCTION("GOOGLETRANSLATE(B10716, ""en"", ""fa"")
"),"کپی رایتینگ II")</f>
        <v>کپی رایتینگ II</v>
      </c>
      <c r="G10716" s="1" t="str">
        <f>IFERROR(__xludf.DUMMYFUNCTION("GOOGLETRANSLATE(C10716, ""en"", ""fa"")
"),"مفهوم چارچوب بندی و تاثیر آن بر درک ریسک را بررسی کنید. چگونه می توانید پیام خود را برای به حداقل رساندن خطرات درک شده و افزایش اعتماد مصرف کننده تنظیم کنید؟")</f>
        <v>مفهوم چارچوب بندی و تاثیر آن بر درک ریسک را بررسی کنید. چگونه می توانید پیام خود را برای به حداقل رساندن خطرات درک شده و افزایش اعتماد مصرف کننده تنظیم کنید؟</v>
      </c>
      <c r="H10716" s="1"/>
      <c r="I10716" s="1"/>
      <c r="J10716" s="1"/>
      <c r="K10716" s="1"/>
      <c r="L10716" s="1"/>
      <c r="M10716" s="1"/>
      <c r="N10716" s="1"/>
      <c r="O10716" s="1"/>
      <c r="P10716" s="1"/>
      <c r="Q10716" s="1"/>
      <c r="R10716" s="1"/>
      <c r="S10716" s="1"/>
      <c r="T10716" s="1"/>
      <c r="U10716" s="1"/>
      <c r="V10716" s="1"/>
      <c r="W10716" s="1"/>
      <c r="X10716" s="1"/>
      <c r="Y10716" s="1"/>
      <c r="Z10716" s="1"/>
      <c r="AA10716" s="1"/>
      <c r="AB10716" s="1"/>
    </row>
    <row r="10717" ht="50.25" customHeight="1">
      <c r="A10717" s="12">
        <v>10713.0</v>
      </c>
      <c r="B10717" s="13" t="s">
        <v>10535</v>
      </c>
      <c r="C10717" s="18" t="s">
        <v>10745</v>
      </c>
      <c r="D10717" s="1"/>
      <c r="E10717" s="1"/>
      <c r="F10717" s="1" t="str">
        <f>IFERROR(__xludf.DUMMYFUNCTION("GOOGLETRANSLATE(B10717, ""en"", ""fa"")
"),"کپی رایتینگ II")</f>
        <v>کپی رایتینگ II</v>
      </c>
      <c r="G10717" s="1" t="str">
        <f>IFERROR(__xludf.DUMMYFUNCTION("GOOGLETRANSLATE(C10717, ""en"", ""fa"")
"),"مفهوم هویت اجتماعی چگونه بر رفتار مصرف کننده و ترجیحات برند تأثیر می گذارد؟ چگونه می توانید کپی رایتینگ خود را با هویت اجتماعی مخاطب هماهنگ کنید؟")</f>
        <v>مفهوم هویت اجتماعی چگونه بر رفتار مصرف کننده و ترجیحات برند تأثیر می گذارد؟ چگونه می توانید کپی رایتینگ خود را با هویت اجتماعی مخاطب هماهنگ کنید؟</v>
      </c>
      <c r="H10717" s="1"/>
      <c r="I10717" s="1"/>
      <c r="J10717" s="1"/>
      <c r="K10717" s="1"/>
      <c r="L10717" s="1"/>
      <c r="M10717" s="1"/>
      <c r="N10717" s="1"/>
      <c r="O10717" s="1"/>
      <c r="P10717" s="1"/>
      <c r="Q10717" s="1"/>
      <c r="R10717" s="1"/>
      <c r="S10717" s="1"/>
      <c r="T10717" s="1"/>
      <c r="U10717" s="1"/>
      <c r="V10717" s="1"/>
      <c r="W10717" s="1"/>
      <c r="X10717" s="1"/>
      <c r="Y10717" s="1"/>
      <c r="Z10717" s="1"/>
      <c r="AA10717" s="1"/>
      <c r="AB10717" s="1"/>
    </row>
    <row r="10718" ht="50.25" customHeight="1">
      <c r="A10718" s="12">
        <v>10714.0</v>
      </c>
      <c r="B10718" s="13" t="s">
        <v>10535</v>
      </c>
      <c r="C10718" s="18" t="s">
        <v>10746</v>
      </c>
      <c r="D10718" s="1"/>
      <c r="E10718" s="1"/>
      <c r="F10718" s="1" t="str">
        <f>IFERROR(__xludf.DUMMYFUNCTION("GOOGLETRANSLATE(B10718, ""en"", ""fa"")
"),"کپی رایتینگ II")</f>
        <v>کپی رایتینگ II</v>
      </c>
      <c r="G10718" s="1" t="str">
        <f>IFERROR(__xludf.DUMMYFUNCTION("GOOGLETRANSLATE(C10718, ""en"", ""fa"")
"),"عوامل روانشناختی که باعث خرید آنی مصرف کننده می شود چیست؟ چگونه می توانید در کپی رایتینگ خود اضطرار و تمایل ایجاد کنید تا اقدام فوری را انجام دهید؟")</f>
        <v>عوامل روانشناختی که باعث خرید آنی مصرف کننده می شود چیست؟ چگونه می توانید در کپی رایتینگ خود اضطرار و تمایل ایجاد کنید تا اقدام فوری را انجام دهید؟</v>
      </c>
      <c r="H10718" s="1"/>
      <c r="I10718" s="1"/>
      <c r="J10718" s="1"/>
      <c r="K10718" s="1"/>
      <c r="L10718" s="1"/>
      <c r="M10718" s="1"/>
      <c r="N10718" s="1"/>
      <c r="O10718" s="1"/>
      <c r="P10718" s="1"/>
      <c r="Q10718" s="1"/>
      <c r="R10718" s="1"/>
      <c r="S10718" s="1"/>
      <c r="T10718" s="1"/>
      <c r="U10718" s="1"/>
      <c r="V10718" s="1"/>
      <c r="W10718" s="1"/>
      <c r="X10718" s="1"/>
      <c r="Y10718" s="1"/>
      <c r="Z10718" s="1"/>
      <c r="AA10718" s="1"/>
      <c r="AB10718" s="1"/>
    </row>
    <row r="10719" ht="50.25" customHeight="1">
      <c r="A10719" s="12">
        <v>10715.0</v>
      </c>
      <c r="B10719" s="13" t="s">
        <v>10535</v>
      </c>
      <c r="C10719" s="18" t="s">
        <v>10747</v>
      </c>
      <c r="D10719" s="1"/>
      <c r="E10719" s="1"/>
      <c r="F10719" s="1" t="str">
        <f>IFERROR(__xludf.DUMMYFUNCTION("GOOGLETRANSLATE(B10719, ""en"", ""fa"")
"),"کپی رایتینگ II")</f>
        <v>کپی رایتینگ II</v>
      </c>
      <c r="G10719" s="1" t="str">
        <f>IFERROR(__xludf.DUMMYFUNCTION("GOOGLETRANSLATE(C10719, ""en"", ""fa"")
"),"در مورد تأثیر ضرر گریزی و ترس از دست دادن (FOMO) بر تصمیم گیری مصرف کننده بحث کنید. چگونه می توانید از این عوامل روانی در نسخه خود استفاده کنید؟")</f>
        <v>در مورد تأثیر ضرر گریزی و ترس از دست دادن (FOMO) بر تصمیم گیری مصرف کننده بحث کنید. چگونه می توانید از این عوامل روانی در نسخه خود استفاده کنید؟</v>
      </c>
      <c r="H10719" s="1"/>
      <c r="I10719" s="1"/>
      <c r="J10719" s="1"/>
      <c r="K10719" s="1"/>
      <c r="L10719" s="1"/>
      <c r="M10719" s="1"/>
      <c r="N10719" s="1"/>
      <c r="O10719" s="1"/>
      <c r="P10719" s="1"/>
      <c r="Q10719" s="1"/>
      <c r="R10719" s="1"/>
      <c r="S10719" s="1"/>
      <c r="T10719" s="1"/>
      <c r="U10719" s="1"/>
      <c r="V10719" s="1"/>
      <c r="W10719" s="1"/>
      <c r="X10719" s="1"/>
      <c r="Y10719" s="1"/>
      <c r="Z10719" s="1"/>
      <c r="AA10719" s="1"/>
      <c r="AB10719" s="1"/>
    </row>
    <row r="10720" ht="50.25" customHeight="1">
      <c r="A10720" s="12">
        <v>10716.0</v>
      </c>
      <c r="B10720" s="13" t="s">
        <v>10535</v>
      </c>
      <c r="C10720" s="18" t="s">
        <v>10748</v>
      </c>
      <c r="D10720" s="1"/>
      <c r="E10720" s="1"/>
      <c r="F10720" s="1" t="str">
        <f>IFERROR(__xludf.DUMMYFUNCTION("GOOGLETRANSLATE(B10720, ""en"", ""fa"")
"),"کپی رایتینگ II")</f>
        <v>کپی رایتینگ II</v>
      </c>
      <c r="G10720" s="1" t="str">
        <f>IFERROR(__xludf.DUMMYFUNCTION("GOOGLETRANSLATE(C10720, ""en"", ""fa"")
"),"چگونه می توانید از نیاز مخاطب به استقلال و کنترل در کپی رایتینگ خود برای تقویت فرآیند تصمیم گیری آنها استفاده کنید؟")</f>
        <v>چگونه می توانید از نیاز مخاطب به استقلال و کنترل در کپی رایتینگ خود برای تقویت فرآیند تصمیم گیری آنها استفاده کنید؟</v>
      </c>
      <c r="H10720" s="1"/>
      <c r="I10720" s="1"/>
      <c r="J10720" s="1"/>
      <c r="K10720" s="1"/>
      <c r="L10720" s="1"/>
      <c r="M10720" s="1"/>
      <c r="N10720" s="1"/>
      <c r="O10720" s="1"/>
      <c r="P10720" s="1"/>
      <c r="Q10720" s="1"/>
      <c r="R10720" s="1"/>
      <c r="S10720" s="1"/>
      <c r="T10720" s="1"/>
      <c r="U10720" s="1"/>
      <c r="V10720" s="1"/>
      <c r="W10720" s="1"/>
      <c r="X10720" s="1"/>
      <c r="Y10720" s="1"/>
      <c r="Z10720" s="1"/>
      <c r="AA10720" s="1"/>
      <c r="AB10720" s="1"/>
    </row>
    <row r="10721" ht="50.25" customHeight="1">
      <c r="A10721" s="12">
        <v>10717.0</v>
      </c>
      <c r="B10721" s="13" t="s">
        <v>10535</v>
      </c>
      <c r="C10721" s="18" t="s">
        <v>10749</v>
      </c>
      <c r="D10721" s="1"/>
      <c r="E10721" s="1"/>
      <c r="F10721" s="1" t="str">
        <f>IFERROR(__xludf.DUMMYFUNCTION("GOOGLETRANSLATE(B10721, ""en"", ""fa"")
"),"کپی رایتینگ II")</f>
        <v>کپی رایتینگ II</v>
      </c>
      <c r="G10721" s="1" t="str">
        <f>IFERROR(__xludf.DUMMYFUNCTION("GOOGLETRANSLATE(C10721, ""en"", ""fa"")
"),"مفهوم ناهماهنگی شناختی و نیاز به توجیه پس از خرید را بررسی کنید. چگونه می توانید تضادهای شناختی را از طریق کپی رایتینگ کاهش دهید؟")</f>
        <v>مفهوم ناهماهنگی شناختی و نیاز به توجیه پس از خرید را بررسی کنید. چگونه می توانید تضادهای شناختی را از طریق کپی رایتینگ کاهش دهید؟</v>
      </c>
      <c r="H10721" s="1"/>
      <c r="I10721" s="1"/>
      <c r="J10721" s="1"/>
      <c r="K10721" s="1"/>
      <c r="L10721" s="1"/>
      <c r="M10721" s="1"/>
      <c r="N10721" s="1"/>
      <c r="O10721" s="1"/>
      <c r="P10721" s="1"/>
      <c r="Q10721" s="1"/>
      <c r="R10721" s="1"/>
      <c r="S10721" s="1"/>
      <c r="T10721" s="1"/>
      <c r="U10721" s="1"/>
      <c r="V10721" s="1"/>
      <c r="W10721" s="1"/>
      <c r="X10721" s="1"/>
      <c r="Y10721" s="1"/>
      <c r="Z10721" s="1"/>
      <c r="AA10721" s="1"/>
      <c r="AB10721" s="1"/>
    </row>
    <row r="10722" ht="50.25" customHeight="1">
      <c r="A10722" s="12">
        <v>10718.0</v>
      </c>
      <c r="B10722" s="13" t="s">
        <v>10535</v>
      </c>
      <c r="C10722" s="18" t="s">
        <v>10750</v>
      </c>
      <c r="D10722" s="1"/>
      <c r="E10722" s="1"/>
      <c r="F10722" s="1" t="str">
        <f>IFERROR(__xludf.DUMMYFUNCTION("GOOGLETRANSLATE(B10722, ""en"", ""fa"")
"),"کپی رایتینگ II")</f>
        <v>کپی رایتینگ II</v>
      </c>
      <c r="G10722" s="1" t="str">
        <f>IFERROR(__xludf.DUMMYFUNCTION("GOOGLETRANSLATE(C10722, ""en"", ""fa"")
"),"مفهوم لنگر و قدرت نقاط مرجع چگونه بر درک مصرف کننده از ارزش تأثیر می گذارد؟ چگونه می توانید از تکنیک های لنگر در کپی خود استفاده کنید؟")</f>
        <v>مفهوم لنگر و قدرت نقاط مرجع چگونه بر درک مصرف کننده از ارزش تأثیر می گذارد؟ چگونه می توانید از تکنیک های لنگر در کپی خود استفاده کنید؟</v>
      </c>
      <c r="H10722" s="1"/>
      <c r="I10722" s="1"/>
      <c r="J10722" s="1"/>
      <c r="K10722" s="1"/>
      <c r="L10722" s="1"/>
      <c r="M10722" s="1"/>
      <c r="N10722" s="1"/>
      <c r="O10722" s="1"/>
      <c r="P10722" s="1"/>
      <c r="Q10722" s="1"/>
      <c r="R10722" s="1"/>
      <c r="S10722" s="1"/>
      <c r="T10722" s="1"/>
      <c r="U10722" s="1"/>
      <c r="V10722" s="1"/>
      <c r="W10722" s="1"/>
      <c r="X10722" s="1"/>
      <c r="Y10722" s="1"/>
      <c r="Z10722" s="1"/>
      <c r="AA10722" s="1"/>
      <c r="AB10722" s="1"/>
    </row>
    <row r="10723" ht="50.25" customHeight="1">
      <c r="A10723" s="12">
        <v>10719.0</v>
      </c>
      <c r="B10723" s="13" t="s">
        <v>10535</v>
      </c>
      <c r="C10723" s="18" t="s">
        <v>10751</v>
      </c>
      <c r="D10723" s="1"/>
      <c r="E10723" s="1"/>
      <c r="F10723" s="1" t="str">
        <f>IFERROR(__xludf.DUMMYFUNCTION("GOOGLETRANSLATE(B10723, ""en"", ""fa"")
"),"کپی رایتینگ II")</f>
        <v>کپی رایتینگ II</v>
      </c>
      <c r="G10723" s="1" t="str">
        <f>IFERROR(__xludf.DUMMYFUNCTION("GOOGLETRANSLATE(C10723, ""en"", ""fa"")
"),"عوامل روانشناختی که باعث وفاداری و حمایت از برند می شود چیست؟ چگونه می توانید وفاداری به برند را از طریق کپی رایتینگ خود برای تشویق تجارت تکراری تقویت کنید؟")</f>
        <v>عوامل روانشناختی که باعث وفاداری و حمایت از برند می شود چیست؟ چگونه می توانید وفاداری به برند را از طریق کپی رایتینگ خود برای تشویق تجارت تکراری تقویت کنید؟</v>
      </c>
      <c r="H10723" s="1"/>
      <c r="I10723" s="1"/>
      <c r="J10723" s="1"/>
      <c r="K10723" s="1"/>
      <c r="L10723" s="1"/>
      <c r="M10723" s="1"/>
      <c r="N10723" s="1"/>
      <c r="O10723" s="1"/>
      <c r="P10723" s="1"/>
      <c r="Q10723" s="1"/>
      <c r="R10723" s="1"/>
      <c r="S10723" s="1"/>
      <c r="T10723" s="1"/>
      <c r="U10723" s="1"/>
      <c r="V10723" s="1"/>
      <c r="W10723" s="1"/>
      <c r="X10723" s="1"/>
      <c r="Y10723" s="1"/>
      <c r="Z10723" s="1"/>
      <c r="AA10723" s="1"/>
      <c r="AB10723" s="1"/>
    </row>
    <row r="10724" ht="50.25" customHeight="1">
      <c r="A10724" s="12">
        <v>10720.0</v>
      </c>
      <c r="B10724" s="13" t="s">
        <v>10535</v>
      </c>
      <c r="C10724" s="18" t="s">
        <v>10752</v>
      </c>
      <c r="D10724" s="1"/>
      <c r="E10724" s="1"/>
      <c r="F10724" s="1" t="str">
        <f>IFERROR(__xludf.DUMMYFUNCTION("GOOGLETRANSLATE(B10724, ""en"", ""fa"")
"),"کپی رایتینگ II")</f>
        <v>کپی رایتینگ II</v>
      </c>
      <c r="G10724" s="1" t="str">
        <f>IFERROR(__xludf.DUMMYFUNCTION("GOOGLETRANSLATE(C10724, ""en"", ""fa"")
"),"در مورد تأثیر جذابیت های احساسی، مانند ترس یا شادی، بر پاسخ مصرف کننده به نسخه شما بحث کنید. چگونه می توانید پاسخ احساسی مورد نظر را برانگیزید؟")</f>
        <v>در مورد تأثیر جذابیت های احساسی، مانند ترس یا شادی، بر پاسخ مصرف کننده به نسخه شما بحث کنید. چگونه می توانید پاسخ احساسی مورد نظر را برانگیزید؟</v>
      </c>
      <c r="H10724" s="1"/>
      <c r="I10724" s="1"/>
      <c r="J10724" s="1"/>
      <c r="K10724" s="1"/>
      <c r="L10724" s="1"/>
      <c r="M10724" s="1"/>
      <c r="N10724" s="1"/>
      <c r="O10724" s="1"/>
      <c r="P10724" s="1"/>
      <c r="Q10724" s="1"/>
      <c r="R10724" s="1"/>
      <c r="S10724" s="1"/>
      <c r="T10724" s="1"/>
      <c r="U10724" s="1"/>
      <c r="V10724" s="1"/>
      <c r="W10724" s="1"/>
      <c r="X10724" s="1"/>
      <c r="Y10724" s="1"/>
      <c r="Z10724" s="1"/>
      <c r="AA10724" s="1"/>
      <c r="AB10724" s="1"/>
    </row>
    <row r="10725" ht="50.25" customHeight="1">
      <c r="A10725" s="12">
        <v>10721.0</v>
      </c>
      <c r="B10725" s="13" t="s">
        <v>10535</v>
      </c>
      <c r="C10725" s="18" t="s">
        <v>10753</v>
      </c>
      <c r="D10725" s="1"/>
      <c r="E10725" s="1"/>
      <c r="F10725" s="1" t="str">
        <f>IFERROR(__xludf.DUMMYFUNCTION("GOOGLETRANSLATE(B10725, ""en"", ""fa"")
"),"کپی رایتینگ II")</f>
        <v>کپی رایتینگ II</v>
      </c>
      <c r="G10725" s="1" t="str">
        <f>IFERROR(__xludf.DUMMYFUNCTION("GOOGLETRANSLATE(C10725, ""en"", ""fa"")
"),"چگونه می توانید از نیاز مخاطب به بیان خود و هویت در کپی رایتینگ خود برای ایجاد حس ارتباط شخصی استفاده کنید؟")</f>
        <v>چگونه می توانید از نیاز مخاطب به بیان خود و هویت در کپی رایتینگ خود برای ایجاد حس ارتباط شخصی استفاده کنید؟</v>
      </c>
      <c r="H10725" s="1"/>
      <c r="I10725" s="1"/>
      <c r="J10725" s="1"/>
      <c r="K10725" s="1"/>
      <c r="L10725" s="1"/>
      <c r="M10725" s="1"/>
      <c r="N10725" s="1"/>
      <c r="O10725" s="1"/>
      <c r="P10725" s="1"/>
      <c r="Q10725" s="1"/>
      <c r="R10725" s="1"/>
      <c r="S10725" s="1"/>
      <c r="T10725" s="1"/>
      <c r="U10725" s="1"/>
      <c r="V10725" s="1"/>
      <c r="W10725" s="1"/>
      <c r="X10725" s="1"/>
      <c r="Y10725" s="1"/>
      <c r="Z10725" s="1"/>
      <c r="AA10725" s="1"/>
      <c r="AB10725" s="1"/>
    </row>
    <row r="10726" ht="50.25" customHeight="1">
      <c r="A10726" s="12">
        <v>10722.0</v>
      </c>
      <c r="B10726" s="13" t="s">
        <v>10535</v>
      </c>
      <c r="C10726" s="18" t="s">
        <v>10754</v>
      </c>
      <c r="D10726" s="1"/>
      <c r="E10726" s="1"/>
      <c r="F10726" s="1" t="str">
        <f>IFERROR(__xludf.DUMMYFUNCTION("GOOGLETRANSLATE(B10726, ""en"", ""fa"")
"),"کپی رایتینگ II")</f>
        <v>کپی رایتینگ II</v>
      </c>
      <c r="G10726" s="1" t="str">
        <f>IFERROR(__xludf.DUMMYFUNCTION("GOOGLETRANSLATE(C10726, ""en"", ""fa"")
"),"مفهوم سوگیری های شناختی، مانند اثر قاب بندی یا اثر هاله، و تأثیر آنها بر تصمیم گیری مصرف کننده را بررسی کنید. چگونه می توانید این سوگیری ها را در نسخه خود برطرف کنید؟")</f>
        <v>مفهوم سوگیری های شناختی، مانند اثر قاب بندی یا اثر هاله، و تأثیر آنها بر تصمیم گیری مصرف کننده را بررسی کنید. چگونه می توانید این سوگیری ها را در نسخه خود برطرف کنید؟</v>
      </c>
      <c r="H10726" s="1"/>
      <c r="I10726" s="1"/>
      <c r="J10726" s="1"/>
      <c r="K10726" s="1"/>
      <c r="L10726" s="1"/>
      <c r="M10726" s="1"/>
      <c r="N10726" s="1"/>
      <c r="O10726" s="1"/>
      <c r="P10726" s="1"/>
      <c r="Q10726" s="1"/>
      <c r="R10726" s="1"/>
      <c r="S10726" s="1"/>
      <c r="T10726" s="1"/>
      <c r="U10726" s="1"/>
      <c r="V10726" s="1"/>
      <c r="W10726" s="1"/>
      <c r="X10726" s="1"/>
      <c r="Y10726" s="1"/>
      <c r="Z10726" s="1"/>
      <c r="AA10726" s="1"/>
      <c r="AB10726" s="1"/>
    </row>
    <row r="10727" ht="50.25" customHeight="1">
      <c r="A10727" s="12">
        <v>10723.0</v>
      </c>
      <c r="B10727" s="13" t="s">
        <v>10535</v>
      </c>
      <c r="C10727" s="18" t="s">
        <v>10755</v>
      </c>
      <c r="D10727" s="1"/>
      <c r="E10727" s="1"/>
      <c r="F10727" s="1" t="str">
        <f>IFERROR(__xludf.DUMMYFUNCTION("GOOGLETRANSLATE(B10727, ""en"", ""fa"")
"),"کپی رایتینگ II")</f>
        <v>کپی رایتینگ II</v>
      </c>
      <c r="G10727" s="1" t="str">
        <f>IFERROR(__xludf.DUMMYFUNCTION("GOOGLETRANSLATE(C10727, ""en"", ""fa"")
"),"مفهوم روانی شناختی و سهولت پردازش چگونه بر درک مصرف کننده از نسخه شما تأثیر می گذارد؟ چگونه می توانید کپی رایتینگ خود را برای تسلط بیشتر بهینه کنید؟")</f>
        <v>مفهوم روانی شناختی و سهولت پردازش چگونه بر درک مصرف کننده از نسخه شما تأثیر می گذارد؟ چگونه می توانید کپی رایتینگ خود را برای تسلط بیشتر بهینه کنید؟</v>
      </c>
      <c r="H10727" s="1"/>
      <c r="I10727" s="1"/>
      <c r="J10727" s="1"/>
      <c r="K10727" s="1"/>
      <c r="L10727" s="1"/>
      <c r="M10727" s="1"/>
      <c r="N10727" s="1"/>
      <c r="O10727" s="1"/>
      <c r="P10727" s="1"/>
      <c r="Q10727" s="1"/>
      <c r="R10727" s="1"/>
      <c r="S10727" s="1"/>
      <c r="T10727" s="1"/>
      <c r="U10727" s="1"/>
      <c r="V10727" s="1"/>
      <c r="W10727" s="1"/>
      <c r="X10727" s="1"/>
      <c r="Y10727" s="1"/>
      <c r="Z10727" s="1"/>
      <c r="AA10727" s="1"/>
      <c r="AB10727" s="1"/>
    </row>
    <row r="10728" ht="50.25" customHeight="1">
      <c r="A10728" s="12">
        <v>10724.0</v>
      </c>
      <c r="B10728" s="13" t="s">
        <v>10535</v>
      </c>
      <c r="C10728" s="18" t="s">
        <v>10756</v>
      </c>
      <c r="D10728" s="1"/>
      <c r="E10728" s="1"/>
      <c r="F10728" s="1" t="str">
        <f>IFERROR(__xludf.DUMMYFUNCTION("GOOGLETRANSLATE(B10728, ""en"", ""fa"")
"),"کپی رایتینگ II")</f>
        <v>کپی رایتینگ II</v>
      </c>
      <c r="G10728" s="1" t="str">
        <f>IFERROR(__xludf.DUMMYFUNCTION("GOOGLETRANSLATE(C10728, ""en"", ""fa"")
"),"چگونه یک معرفی جذاب ایجاد کنیم که از همان ابتدا مخاطبان خود را جذب کند؟")</f>
        <v>چگونه یک معرفی جذاب ایجاد کنیم که از همان ابتدا مخاطبان خود را جذب کند؟</v>
      </c>
      <c r="H10728" s="1"/>
      <c r="I10728" s="1"/>
      <c r="J10728" s="1"/>
      <c r="K10728" s="1"/>
      <c r="L10728" s="1"/>
      <c r="M10728" s="1"/>
      <c r="N10728" s="1"/>
      <c r="O10728" s="1"/>
      <c r="P10728" s="1"/>
      <c r="Q10728" s="1"/>
      <c r="R10728" s="1"/>
      <c r="S10728" s="1"/>
      <c r="T10728" s="1"/>
      <c r="U10728" s="1"/>
      <c r="V10728" s="1"/>
      <c r="W10728" s="1"/>
      <c r="X10728" s="1"/>
      <c r="Y10728" s="1"/>
      <c r="Z10728" s="1"/>
      <c r="AA10728" s="1"/>
      <c r="AB10728" s="1"/>
    </row>
    <row r="10729" ht="50.25" customHeight="1">
      <c r="A10729" s="12">
        <v>10725.0</v>
      </c>
      <c r="B10729" s="13" t="s">
        <v>10535</v>
      </c>
      <c r="C10729" s="18" t="s">
        <v>10757</v>
      </c>
      <c r="D10729" s="1"/>
      <c r="E10729" s="1"/>
      <c r="F10729" s="1" t="str">
        <f>IFERROR(__xludf.DUMMYFUNCTION("GOOGLETRANSLATE(B10729, ""en"", ""fa"")
"),"کپی رایتینگ II")</f>
        <v>کپی رایتینگ II</v>
      </c>
      <c r="G10729" s="1" t="str">
        <f>IFERROR(__xludf.DUMMYFUNCTION("GOOGLETRANSLATE(C10729, ""en"", ""fa"")
"),"عناصر کلیدی یک ساختار داستان سرایی قانع کننده برای فیلمنامه های ویدیویی یا پادکست ها چیست؟")</f>
        <v>عناصر کلیدی یک ساختار داستان سرایی قانع کننده برای فیلمنامه های ویدیویی یا پادکست ها چیست؟</v>
      </c>
      <c r="H10729" s="1"/>
      <c r="I10729" s="1"/>
      <c r="J10729" s="1"/>
      <c r="K10729" s="1"/>
      <c r="L10729" s="1"/>
      <c r="M10729" s="1"/>
      <c r="N10729" s="1"/>
      <c r="O10729" s="1"/>
      <c r="P10729" s="1"/>
      <c r="Q10729" s="1"/>
      <c r="R10729" s="1"/>
      <c r="S10729" s="1"/>
      <c r="T10729" s="1"/>
      <c r="U10729" s="1"/>
      <c r="V10729" s="1"/>
      <c r="W10729" s="1"/>
      <c r="X10729" s="1"/>
      <c r="Y10729" s="1"/>
      <c r="Z10729" s="1"/>
      <c r="AA10729" s="1"/>
      <c r="AB10729" s="1"/>
    </row>
    <row r="10730" ht="50.25" customHeight="1">
      <c r="A10730" s="12">
        <v>10726.0</v>
      </c>
      <c r="B10730" s="13" t="s">
        <v>10535</v>
      </c>
      <c r="C10730" s="18" t="s">
        <v>10758</v>
      </c>
      <c r="D10730" s="1"/>
      <c r="E10730" s="1"/>
      <c r="F10730" s="1" t="str">
        <f>IFERROR(__xludf.DUMMYFUNCTION("GOOGLETRANSLATE(B10730, ""en"", ""fa"")
"),"کپی رایتینگ II")</f>
        <v>کپی رایتینگ II</v>
      </c>
      <c r="G10730" s="1" t="str">
        <f>IFERROR(__xludf.DUMMYFUNCTION("GOOGLETRANSLATE(C10730, ""en"", ""fa"")
"),"در مورد اهمیت تعیین اهداف واضح و فراخوان برای اقدام در اسکریپت های ویدیویی یا پادکست خود بحث کنید.")</f>
        <v>در مورد اهمیت تعیین اهداف واضح و فراخوان برای اقدام در اسکریپت های ویدیویی یا پادکست خود بحث کنید.</v>
      </c>
      <c r="H10730" s="1"/>
      <c r="I10730" s="1"/>
      <c r="J10730" s="1"/>
      <c r="K10730" s="1"/>
      <c r="L10730" s="1"/>
      <c r="M10730" s="1"/>
      <c r="N10730" s="1"/>
      <c r="O10730" s="1"/>
      <c r="P10730" s="1"/>
      <c r="Q10730" s="1"/>
      <c r="R10730" s="1"/>
      <c r="S10730" s="1"/>
      <c r="T10730" s="1"/>
      <c r="U10730" s="1"/>
      <c r="V10730" s="1"/>
      <c r="W10730" s="1"/>
      <c r="X10730" s="1"/>
      <c r="Y10730" s="1"/>
      <c r="Z10730" s="1"/>
      <c r="AA10730" s="1"/>
      <c r="AB10730" s="1"/>
    </row>
    <row r="10731" ht="50.25" customHeight="1">
      <c r="A10731" s="12">
        <v>10727.0</v>
      </c>
      <c r="B10731" s="13" t="s">
        <v>10535</v>
      </c>
      <c r="C10731" s="18" t="s">
        <v>10759</v>
      </c>
      <c r="D10731" s="1"/>
      <c r="E10731" s="1"/>
      <c r="F10731" s="1" t="str">
        <f>IFERROR(__xludf.DUMMYFUNCTION("GOOGLETRANSLATE(B10731, ""en"", ""fa"")
"),"کپی رایتینگ II")</f>
        <v>کپی رایتینگ II</v>
      </c>
      <c r="G10731" s="1" t="str">
        <f>IFERROR(__xludf.DUMMYFUNCTION("GOOGLETRANSLATE(C10731, ""en"", ""fa"")
"),"چگونه از طنز به طور موثر برای جذب مخاطبان خود استفاده کنید و آنها را در طول ویدیو یا پادکست خود سرگرم نگه دارید؟")</f>
        <v>چگونه از طنز به طور موثر برای جذب مخاطبان خود استفاده کنید و آنها را در طول ویدیو یا پادکست خود سرگرم نگه دارید؟</v>
      </c>
      <c r="H10731" s="1"/>
      <c r="I10731" s="1"/>
      <c r="J10731" s="1"/>
      <c r="K10731" s="1"/>
      <c r="L10731" s="1"/>
      <c r="M10731" s="1"/>
      <c r="N10731" s="1"/>
      <c r="O10731" s="1"/>
      <c r="P10731" s="1"/>
      <c r="Q10731" s="1"/>
      <c r="R10731" s="1"/>
      <c r="S10731" s="1"/>
      <c r="T10731" s="1"/>
      <c r="U10731" s="1"/>
      <c r="V10731" s="1"/>
      <c r="W10731" s="1"/>
      <c r="X10731" s="1"/>
      <c r="Y10731" s="1"/>
      <c r="Z10731" s="1"/>
      <c r="AA10731" s="1"/>
      <c r="AB10731" s="1"/>
    </row>
    <row r="10732" ht="50.25" customHeight="1">
      <c r="A10732" s="12">
        <v>10728.0</v>
      </c>
      <c r="B10732" s="13" t="s">
        <v>10535</v>
      </c>
      <c r="C10732" s="18" t="s">
        <v>10760</v>
      </c>
      <c r="D10732" s="1"/>
      <c r="E10732" s="1"/>
      <c r="F10732" s="1" t="str">
        <f>IFERROR(__xludf.DUMMYFUNCTION("GOOGLETRANSLATE(B10732, ""en"", ""fa"")
"),"کپی رایتینگ II")</f>
        <v>کپی رایتینگ II</v>
      </c>
      <c r="G10732" s="1" t="str">
        <f>IFERROR(__xludf.DUMMYFUNCTION("GOOGLETRANSLATE(C10732, ""en"", ""fa"")
"),"تکنیک های مختلف مصاحبه را برای انجام مصاحبه های پادکست جذاب و آموزنده کاوش کنید.")</f>
        <v>تکنیک های مختلف مصاحبه را برای انجام مصاحبه های پادکست جذاب و آموزنده کاوش کنید.</v>
      </c>
      <c r="H10732" s="1"/>
      <c r="I10732" s="1"/>
      <c r="J10732" s="1"/>
      <c r="K10732" s="1"/>
      <c r="L10732" s="1"/>
      <c r="M10732" s="1"/>
      <c r="N10732" s="1"/>
      <c r="O10732" s="1"/>
      <c r="P10732" s="1"/>
      <c r="Q10732" s="1"/>
      <c r="R10732" s="1"/>
      <c r="S10732" s="1"/>
      <c r="T10732" s="1"/>
      <c r="U10732" s="1"/>
      <c r="V10732" s="1"/>
      <c r="W10732" s="1"/>
      <c r="X10732" s="1"/>
      <c r="Y10732" s="1"/>
      <c r="Z10732" s="1"/>
      <c r="AA10732" s="1"/>
      <c r="AB10732" s="1"/>
    </row>
    <row r="10733" ht="50.25" customHeight="1">
      <c r="A10733" s="12">
        <v>10729.0</v>
      </c>
      <c r="B10733" s="13" t="s">
        <v>10535</v>
      </c>
      <c r="C10733" s="18" t="s">
        <v>10761</v>
      </c>
      <c r="D10733" s="1"/>
      <c r="E10733" s="1"/>
      <c r="F10733" s="1" t="str">
        <f>IFERROR(__xludf.DUMMYFUNCTION("GOOGLETRANSLATE(B10733, ""en"", ""fa"")
"),"کپی رایتینگ II")</f>
        <v>کپی رایتینگ II</v>
      </c>
      <c r="G10733" s="1" t="str">
        <f>IFERROR(__xludf.DUMMYFUNCTION("GOOGLETRANSLATE(C10733, ""en"", ""fa"")
"),"چگونه یک فیلمنامه تاثیرگذار بسازیم که با مخاطب هدف شما طنین انداز شود و پیام شما را به طور موثر ارائه دهد؟")</f>
        <v>چگونه یک فیلمنامه تاثیرگذار بسازیم که با مخاطب هدف شما طنین انداز شود و پیام شما را به طور موثر ارائه دهد؟</v>
      </c>
      <c r="H10733" s="1"/>
      <c r="I10733" s="1"/>
      <c r="J10733" s="1"/>
      <c r="K10733" s="1"/>
      <c r="L10733" s="1"/>
      <c r="M10733" s="1"/>
      <c r="N10733" s="1"/>
      <c r="O10733" s="1"/>
      <c r="P10733" s="1"/>
      <c r="Q10733" s="1"/>
      <c r="R10733" s="1"/>
      <c r="S10733" s="1"/>
      <c r="T10733" s="1"/>
      <c r="U10733" s="1"/>
      <c r="V10733" s="1"/>
      <c r="W10733" s="1"/>
      <c r="X10733" s="1"/>
      <c r="Y10733" s="1"/>
      <c r="Z10733" s="1"/>
      <c r="AA10733" s="1"/>
      <c r="AB10733" s="1"/>
    </row>
    <row r="10734" ht="50.25" customHeight="1">
      <c r="A10734" s="12">
        <v>10730.0</v>
      </c>
      <c r="B10734" s="13" t="s">
        <v>10535</v>
      </c>
      <c r="C10734" s="18" t="s">
        <v>10762</v>
      </c>
      <c r="D10734" s="1"/>
      <c r="E10734" s="1"/>
      <c r="F10734" s="1" t="str">
        <f>IFERROR(__xludf.DUMMYFUNCTION("GOOGLETRANSLATE(B10734, ""en"", ""fa"")
"),"کپی رایتینگ II")</f>
        <v>کپی رایتینگ II</v>
      </c>
      <c r="G10734" s="1" t="str">
        <f>IFERROR(__xludf.DUMMYFUNCTION("GOOGLETRANSLATE(C10734, ""en"", ""fa"")
"),"در مورد نقش احساسات در فیلمنامه ها و پادکست ها و چگونگی برانگیختن پاسخ احساسی مورد نظر بحث کنید.")</f>
        <v>در مورد نقش احساسات در فیلمنامه ها و پادکست ها و چگونگی برانگیختن پاسخ احساسی مورد نظر بحث کنید.</v>
      </c>
      <c r="H10734" s="1"/>
      <c r="I10734" s="1"/>
      <c r="J10734" s="1"/>
      <c r="K10734" s="1"/>
      <c r="L10734" s="1"/>
      <c r="M10734" s="1"/>
      <c r="N10734" s="1"/>
      <c r="O10734" s="1"/>
      <c r="P10734" s="1"/>
      <c r="Q10734" s="1"/>
      <c r="R10734" s="1"/>
      <c r="S10734" s="1"/>
      <c r="T10734" s="1"/>
      <c r="U10734" s="1"/>
      <c r="V10734" s="1"/>
      <c r="W10734" s="1"/>
      <c r="X10734" s="1"/>
      <c r="Y10734" s="1"/>
      <c r="Z10734" s="1"/>
      <c r="AA10734" s="1"/>
      <c r="AB10734" s="1"/>
    </row>
    <row r="10735" ht="50.25" customHeight="1">
      <c r="A10735" s="12">
        <v>10731.0</v>
      </c>
      <c r="B10735" s="13" t="s">
        <v>10535</v>
      </c>
      <c r="C10735" s="18" t="s">
        <v>10763</v>
      </c>
      <c r="D10735" s="1"/>
      <c r="E10735" s="1"/>
      <c r="F10735" s="1" t="str">
        <f>IFERROR(__xludf.DUMMYFUNCTION("GOOGLETRANSLATE(B10735, ""en"", ""fa"")
"),"کپی رایتینگ II")</f>
        <v>کپی رایتینگ II</v>
      </c>
      <c r="G10735" s="1" t="str">
        <f>IFERROR(__xludf.DUMMYFUNCTION("GOOGLETRANSLATE(C10735, ""en"", ""fa"")
"),"بهترین روش‌ها برای ترکیب جلوه‌های بصری یا صوتی برای افزایش تأثیر ویدیو یا پادکست چیست؟")</f>
        <v>بهترین روش‌ها برای ترکیب جلوه‌های بصری یا صوتی برای افزایش تأثیر ویدیو یا پادکست چیست؟</v>
      </c>
      <c r="H10735" s="1"/>
      <c r="I10735" s="1"/>
      <c r="J10735" s="1"/>
      <c r="K10735" s="1"/>
      <c r="L10735" s="1"/>
      <c r="M10735" s="1"/>
      <c r="N10735" s="1"/>
      <c r="O10735" s="1"/>
      <c r="P10735" s="1"/>
      <c r="Q10735" s="1"/>
      <c r="R10735" s="1"/>
      <c r="S10735" s="1"/>
      <c r="T10735" s="1"/>
      <c r="U10735" s="1"/>
      <c r="V10735" s="1"/>
      <c r="W10735" s="1"/>
      <c r="X10735" s="1"/>
      <c r="Y10735" s="1"/>
      <c r="Z10735" s="1"/>
      <c r="AA10735" s="1"/>
      <c r="AB10735" s="1"/>
    </row>
    <row r="10736" ht="50.25" customHeight="1">
      <c r="A10736" s="12">
        <v>10732.0</v>
      </c>
      <c r="B10736" s="13" t="s">
        <v>10535</v>
      </c>
      <c r="C10736" s="18" t="s">
        <v>10764</v>
      </c>
      <c r="D10736" s="1"/>
      <c r="E10736" s="1"/>
      <c r="F10736" s="1" t="str">
        <f>IFERROR(__xludf.DUMMYFUNCTION("GOOGLETRANSLATE(B10736, ""en"", ""fa"")
"),"کپی رایتینگ II")</f>
        <v>کپی رایتینگ II</v>
      </c>
      <c r="G10736" s="1" t="str">
        <f>IFERROR(__xludf.DUMMYFUNCTION("GOOGLETRANSLATE(C10736, ""en"", ""fa"")
"),"چگونه اسکریپت ویدیویی یا قسمت پادکست خود را ساختار دهید تا جریان روانی داشته باشید و توجه مخاطبان خود را حفظ کنید؟")</f>
        <v>چگونه اسکریپت ویدیویی یا قسمت پادکست خود را ساختار دهید تا جریان روانی داشته باشید و توجه مخاطبان خود را حفظ کنید؟</v>
      </c>
      <c r="H10736" s="1"/>
      <c r="I10736" s="1"/>
      <c r="J10736" s="1"/>
      <c r="K10736" s="1"/>
      <c r="L10736" s="1"/>
      <c r="M10736" s="1"/>
      <c r="N10736" s="1"/>
      <c r="O10736" s="1"/>
      <c r="P10736" s="1"/>
      <c r="Q10736" s="1"/>
      <c r="R10736" s="1"/>
      <c r="S10736" s="1"/>
      <c r="T10736" s="1"/>
      <c r="U10736" s="1"/>
      <c r="V10736" s="1"/>
      <c r="W10736" s="1"/>
      <c r="X10736" s="1"/>
      <c r="Y10736" s="1"/>
      <c r="Z10736" s="1"/>
      <c r="AA10736" s="1"/>
      <c r="AB10736" s="1"/>
    </row>
    <row r="10737" ht="50.25" customHeight="1">
      <c r="A10737" s="12">
        <v>10733.0</v>
      </c>
      <c r="B10737" s="13" t="s">
        <v>10535</v>
      </c>
      <c r="C10737" s="18" t="s">
        <v>10765</v>
      </c>
      <c r="D10737" s="1"/>
      <c r="E10737" s="1"/>
      <c r="F10737" s="1" t="str">
        <f>IFERROR(__xludf.DUMMYFUNCTION("GOOGLETRANSLATE(B10737, ""en"", ""fa"")
"),"کپی رایتینگ II")</f>
        <v>کپی رایتینگ II</v>
      </c>
      <c r="G10737" s="1" t="str">
        <f>IFERROR(__xludf.DUMMYFUNCTION("GOOGLETRANSLATE(C10737, ""en"", ""fa"")
"),"استراتژی های مختلف برای ایجاد تعلیق و انتظار در اسکریپت های ویدیویی یا پادکست های خود را کاوش کنید.")</f>
        <v>استراتژی های مختلف برای ایجاد تعلیق و انتظار در اسکریپت های ویدیویی یا پادکست های خود را کاوش کنید.</v>
      </c>
      <c r="H10737" s="1"/>
      <c r="I10737" s="1"/>
      <c r="J10737" s="1"/>
      <c r="K10737" s="1"/>
      <c r="L10737" s="1"/>
      <c r="M10737" s="1"/>
      <c r="N10737" s="1"/>
      <c r="O10737" s="1"/>
      <c r="P10737" s="1"/>
      <c r="Q10737" s="1"/>
      <c r="R10737" s="1"/>
      <c r="S10737" s="1"/>
      <c r="T10737" s="1"/>
      <c r="U10737" s="1"/>
      <c r="V10737" s="1"/>
      <c r="W10737" s="1"/>
      <c r="X10737" s="1"/>
      <c r="Y10737" s="1"/>
      <c r="Z10737" s="1"/>
      <c r="AA10737" s="1"/>
      <c r="AB10737" s="1"/>
    </row>
    <row r="10738" ht="50.25" customHeight="1">
      <c r="A10738" s="12">
        <v>10734.0</v>
      </c>
      <c r="B10738" s="13" t="s">
        <v>10535</v>
      </c>
      <c r="C10738" s="18" t="s">
        <v>10766</v>
      </c>
      <c r="D10738" s="1"/>
      <c r="E10738" s="1"/>
      <c r="F10738" s="1" t="str">
        <f>IFERROR(__xludf.DUMMYFUNCTION("GOOGLETRANSLATE(B10738, ""en"", ""fa"")
"),"کپی رایتینگ II")</f>
        <v>کپی رایتینگ II</v>
      </c>
      <c r="G10738" s="1" t="str">
        <f>IFERROR(__xludf.DUMMYFUNCTION("GOOGLETRANSLATE(C10738, ""en"", ""fa"")
"),"در مورد هنر ایجاد سرفصل ها یا عناوین قانع کننده ای که بینندگان یا شنوندگان را ترغیب می کنند تا کلیک کنند و درگیر شوند، بحث کنید.")</f>
        <v>در مورد هنر ایجاد سرفصل ها یا عناوین قانع کننده ای که بینندگان یا شنوندگان را ترغیب می کنند تا کلیک کنند و درگیر شوند، بحث کنید.</v>
      </c>
      <c r="H10738" s="1"/>
      <c r="I10738" s="1"/>
      <c r="J10738" s="1"/>
      <c r="K10738" s="1"/>
      <c r="L10738" s="1"/>
      <c r="M10738" s="1"/>
      <c r="N10738" s="1"/>
      <c r="O10738" s="1"/>
      <c r="P10738" s="1"/>
      <c r="Q10738" s="1"/>
      <c r="R10738" s="1"/>
      <c r="S10738" s="1"/>
      <c r="T10738" s="1"/>
      <c r="U10738" s="1"/>
      <c r="V10738" s="1"/>
      <c r="W10738" s="1"/>
      <c r="X10738" s="1"/>
      <c r="Y10738" s="1"/>
      <c r="Z10738" s="1"/>
      <c r="AA10738" s="1"/>
      <c r="AB10738" s="1"/>
    </row>
    <row r="10739" ht="50.25" customHeight="1">
      <c r="A10739" s="12">
        <v>10735.0</v>
      </c>
      <c r="B10739" s="13" t="s">
        <v>10535</v>
      </c>
      <c r="C10739" s="18" t="s">
        <v>10767</v>
      </c>
      <c r="D10739" s="1"/>
      <c r="E10739" s="1"/>
      <c r="F10739" s="1" t="str">
        <f>IFERROR(__xludf.DUMMYFUNCTION("GOOGLETRANSLATE(B10739, ""en"", ""fa"")
"),"کپی رایتینگ II")</f>
        <v>کپی رایتینگ II</v>
      </c>
      <c r="G10739" s="1" t="str">
        <f>IFERROR(__xludf.DUMMYFUNCTION("GOOGLETRANSLATE(C10739, ""en"", ""fa"")
"),"چگونه می توان به طور موثر اطلاعات یا مفاهیم پیچیده را به روشی واضح و قابل درک در ویدیوها یا پادکست های خود منتقل کرد؟")</f>
        <v>چگونه می توان به طور موثر اطلاعات یا مفاهیم پیچیده را به روشی واضح و قابل درک در ویدیوها یا پادکست های خود منتقل کرد؟</v>
      </c>
      <c r="H10739" s="1"/>
      <c r="I10739" s="1"/>
      <c r="J10739" s="1"/>
      <c r="K10739" s="1"/>
      <c r="L10739" s="1"/>
      <c r="M10739" s="1"/>
      <c r="N10739" s="1"/>
      <c r="O10739" s="1"/>
      <c r="P10739" s="1"/>
      <c r="Q10739" s="1"/>
      <c r="R10739" s="1"/>
      <c r="S10739" s="1"/>
      <c r="T10739" s="1"/>
      <c r="U10739" s="1"/>
      <c r="V10739" s="1"/>
      <c r="W10739" s="1"/>
      <c r="X10739" s="1"/>
      <c r="Y10739" s="1"/>
      <c r="Z10739" s="1"/>
      <c r="AA10739" s="1"/>
      <c r="AB10739" s="1"/>
    </row>
    <row r="10740" ht="50.25" customHeight="1">
      <c r="A10740" s="12">
        <v>10736.0</v>
      </c>
      <c r="B10740" s="13" t="s">
        <v>10535</v>
      </c>
      <c r="C10740" s="18" t="s">
        <v>10768</v>
      </c>
      <c r="D10740" s="1"/>
      <c r="E10740" s="1"/>
      <c r="F10740" s="1" t="str">
        <f>IFERROR(__xludf.DUMMYFUNCTION("GOOGLETRANSLATE(B10740, ""en"", ""fa"")
"),"کپی رایتینگ II")</f>
        <v>کپی رایتینگ II</v>
      </c>
      <c r="G10740" s="1" t="str">
        <f>IFERROR(__xludf.DUMMYFUNCTION("GOOGLETRANSLATE(C10740, ""en"", ""fa"")
"),"عناصر اساسی یک فیلمنامه متقاعد کننده که بینندگان یا شنوندگان را تحت تأثیر قرار می دهد تا اقدام کنند چیست؟")</f>
        <v>عناصر اساسی یک فیلمنامه متقاعد کننده که بینندگان یا شنوندگان را تحت تأثیر قرار می دهد تا اقدام کنند چیست؟</v>
      </c>
      <c r="H10740" s="1"/>
      <c r="I10740" s="1"/>
      <c r="J10740" s="1"/>
      <c r="K10740" s="1"/>
      <c r="L10740" s="1"/>
      <c r="M10740" s="1"/>
      <c r="N10740" s="1"/>
      <c r="O10740" s="1"/>
      <c r="P10740" s="1"/>
      <c r="Q10740" s="1"/>
      <c r="R10740" s="1"/>
      <c r="S10740" s="1"/>
      <c r="T10740" s="1"/>
      <c r="U10740" s="1"/>
      <c r="V10740" s="1"/>
      <c r="W10740" s="1"/>
      <c r="X10740" s="1"/>
      <c r="Y10740" s="1"/>
      <c r="Z10740" s="1"/>
      <c r="AA10740" s="1"/>
      <c r="AB10740" s="1"/>
    </row>
    <row r="10741" ht="50.25" customHeight="1">
      <c r="A10741" s="12">
        <v>10737.0</v>
      </c>
      <c r="B10741" s="13" t="s">
        <v>10535</v>
      </c>
      <c r="C10741" s="18" t="s">
        <v>10769</v>
      </c>
      <c r="D10741" s="1"/>
      <c r="E10741" s="1"/>
      <c r="F10741" s="1" t="str">
        <f>IFERROR(__xludf.DUMMYFUNCTION("GOOGLETRANSLATE(B10741, ""en"", ""fa"")
"),"کپی رایتینگ II")</f>
        <v>کپی رایتینگ II</v>
      </c>
      <c r="G10741" s="1" t="str">
        <f>IFERROR(__xludf.DUMMYFUNCTION("GOOGLETRANSLATE(C10741, ""en"", ""fa"")
"),"در مورد تکنیک های مختلف برای انجام تحقیقات کامل برای اطمینان از صحت و اعتبار در محتوای ویدیو یا پادکست خود بحث کنید.")</f>
        <v>در مورد تکنیک های مختلف برای انجام تحقیقات کامل برای اطمینان از صحت و اعتبار در محتوای ویدیو یا پادکست خود بحث کنید.</v>
      </c>
      <c r="H10741" s="1"/>
      <c r="I10741" s="1"/>
      <c r="J10741" s="1"/>
      <c r="K10741" s="1"/>
      <c r="L10741" s="1"/>
      <c r="M10741" s="1"/>
      <c r="N10741" s="1"/>
      <c r="O10741" s="1"/>
      <c r="P10741" s="1"/>
      <c r="Q10741" s="1"/>
      <c r="R10741" s="1"/>
      <c r="S10741" s="1"/>
      <c r="T10741" s="1"/>
      <c r="U10741" s="1"/>
      <c r="V10741" s="1"/>
      <c r="W10741" s="1"/>
      <c r="X10741" s="1"/>
      <c r="Y10741" s="1"/>
      <c r="Z10741" s="1"/>
      <c r="AA10741" s="1"/>
      <c r="AB10741" s="1"/>
    </row>
    <row r="10742" ht="50.25" customHeight="1">
      <c r="A10742" s="12">
        <v>10738.0</v>
      </c>
      <c r="B10742" s="13" t="s">
        <v>10535</v>
      </c>
      <c r="C10742" s="18" t="s">
        <v>10770</v>
      </c>
      <c r="D10742" s="1"/>
      <c r="E10742" s="1"/>
      <c r="F10742" s="1" t="str">
        <f>IFERROR(__xludf.DUMMYFUNCTION("GOOGLETRANSLATE(B10742, ""en"", ""fa"")
"),"کپی رایتینگ II")</f>
        <v>کپی رایتینگ II</v>
      </c>
      <c r="G10742" s="1" t="str">
        <f>IFERROR(__xludf.DUMMYFUNCTION("GOOGLETRANSLATE(C10742, ""en"", ""fa"")
"),"چگونه از تکنیک های داستان گویی برای ایجاد لحظات به یاد ماندنی و تاثیرگذار در ویدیوها یا پادکست های خود استفاده کنید؟")</f>
        <v>چگونه از تکنیک های داستان گویی برای ایجاد لحظات به یاد ماندنی و تاثیرگذار در ویدیوها یا پادکست های خود استفاده کنید؟</v>
      </c>
      <c r="H10742" s="1"/>
      <c r="I10742" s="1"/>
      <c r="J10742" s="1"/>
      <c r="K10742" s="1"/>
      <c r="L10742" s="1"/>
      <c r="M10742" s="1"/>
      <c r="N10742" s="1"/>
      <c r="O10742" s="1"/>
      <c r="P10742" s="1"/>
      <c r="Q10742" s="1"/>
      <c r="R10742" s="1"/>
      <c r="S10742" s="1"/>
      <c r="T10742" s="1"/>
      <c r="U10742" s="1"/>
      <c r="V10742" s="1"/>
      <c r="W10742" s="1"/>
      <c r="X10742" s="1"/>
      <c r="Y10742" s="1"/>
      <c r="Z10742" s="1"/>
      <c r="AA10742" s="1"/>
      <c r="AB10742" s="1"/>
    </row>
    <row r="10743" ht="50.25" customHeight="1">
      <c r="A10743" s="12">
        <v>10739.0</v>
      </c>
      <c r="B10743" s="13" t="s">
        <v>10535</v>
      </c>
      <c r="C10743" s="18" t="s">
        <v>10771</v>
      </c>
      <c r="D10743" s="1"/>
      <c r="E10743" s="1"/>
      <c r="F10743" s="1" t="str">
        <f>IFERROR(__xludf.DUMMYFUNCTION("GOOGLETRANSLATE(B10743, ""en"", ""fa"")
"),"کپی رایتینگ II")</f>
        <v>کپی رایتینگ II</v>
      </c>
      <c r="G10743" s="1" t="str">
        <f>IFERROR(__xludf.DUMMYFUNCTION("GOOGLETRANSLATE(C10743, ""en"", ""fa"")
"),"هنر اجرای مونولوگ‌های جذاب را در ویدیوها یا پادکست‌هایی که توجه مخاطبان را به خود جلب می‌کند، کشف کنید.")</f>
        <v>هنر اجرای مونولوگ‌های جذاب را در ویدیوها یا پادکست‌هایی که توجه مخاطبان را به خود جلب می‌کند، کشف کنید.</v>
      </c>
      <c r="H10743" s="1"/>
      <c r="I10743" s="1"/>
      <c r="J10743" s="1"/>
      <c r="K10743" s="1"/>
      <c r="L10743" s="1"/>
      <c r="M10743" s="1"/>
      <c r="N10743" s="1"/>
      <c r="O10743" s="1"/>
      <c r="P10743" s="1"/>
      <c r="Q10743" s="1"/>
      <c r="R10743" s="1"/>
      <c r="S10743" s="1"/>
      <c r="T10743" s="1"/>
      <c r="U10743" s="1"/>
      <c r="V10743" s="1"/>
      <c r="W10743" s="1"/>
      <c r="X10743" s="1"/>
      <c r="Y10743" s="1"/>
      <c r="Z10743" s="1"/>
      <c r="AA10743" s="1"/>
      <c r="AB10743" s="1"/>
    </row>
    <row r="10744" ht="50.25" customHeight="1">
      <c r="A10744" s="12">
        <v>10740.0</v>
      </c>
      <c r="B10744" s="13" t="s">
        <v>10535</v>
      </c>
      <c r="C10744" s="18" t="s">
        <v>10772</v>
      </c>
      <c r="D10744" s="1"/>
      <c r="E10744" s="1"/>
      <c r="F10744" s="1" t="str">
        <f>IFERROR(__xludf.DUMMYFUNCTION("GOOGLETRANSLATE(B10744, ""en"", ""fa"")
"),"کپی رایتینگ II")</f>
        <v>کپی رایتینگ II</v>
      </c>
      <c r="G10744" s="1" t="str">
        <f>IFERROR(__xludf.DUMMYFUNCTION("GOOGLETRANSLATE(C10744, ""en"", ""fa"")
"),"بهترین روش ها برای ساختار و سازماندهی قسمت های پادکست برای ارائه حداکثر ارزش به شنوندگان چیست؟")</f>
        <v>بهترین روش ها برای ساختار و سازماندهی قسمت های پادکست برای ارائه حداکثر ارزش به شنوندگان چیست؟</v>
      </c>
      <c r="H10744" s="1"/>
      <c r="I10744" s="1"/>
      <c r="J10744" s="1"/>
      <c r="K10744" s="1"/>
      <c r="L10744" s="1"/>
      <c r="M10744" s="1"/>
      <c r="N10744" s="1"/>
      <c r="O10744" s="1"/>
      <c r="P10744" s="1"/>
      <c r="Q10744" s="1"/>
      <c r="R10744" s="1"/>
      <c r="S10744" s="1"/>
      <c r="T10744" s="1"/>
      <c r="U10744" s="1"/>
      <c r="V10744" s="1"/>
      <c r="W10744" s="1"/>
      <c r="X10744" s="1"/>
      <c r="Y10744" s="1"/>
      <c r="Z10744" s="1"/>
      <c r="AA10744" s="1"/>
      <c r="AB10744" s="1"/>
    </row>
    <row r="10745" ht="50.25" customHeight="1">
      <c r="A10745" s="12">
        <v>10741.0</v>
      </c>
      <c r="B10745" s="13" t="s">
        <v>10535</v>
      </c>
      <c r="C10745" s="18" t="s">
        <v>10773</v>
      </c>
      <c r="D10745" s="1"/>
      <c r="E10745" s="1"/>
      <c r="F10745" s="1" t="str">
        <f>IFERROR(__xludf.DUMMYFUNCTION("GOOGLETRANSLATE(B10745, ""en"", ""fa"")
"),"کپی رایتینگ II")</f>
        <v>کپی رایتینگ II</v>
      </c>
      <c r="G10745" s="1" t="str">
        <f>IFERROR(__xludf.DUMMYFUNCTION("GOOGLETRANSLATE(C10745, ""en"", ""fa"")
"),"چگونه از وسایل کمک بصری، مانند نمودارها یا نمودارها، به طور موثر در اسکریپت های ویدیویی یا پادکست خود استفاده کنید؟")</f>
        <v>چگونه از وسایل کمک بصری، مانند نمودارها یا نمودارها، به طور موثر در اسکریپت های ویدیویی یا پادکست خود استفاده کنید؟</v>
      </c>
      <c r="H10745" s="1"/>
      <c r="I10745" s="1"/>
      <c r="J10745" s="1"/>
      <c r="K10745" s="1"/>
      <c r="L10745" s="1"/>
      <c r="M10745" s="1"/>
      <c r="N10745" s="1"/>
      <c r="O10745" s="1"/>
      <c r="P10745" s="1"/>
      <c r="Q10745" s="1"/>
      <c r="R10745" s="1"/>
      <c r="S10745" s="1"/>
      <c r="T10745" s="1"/>
      <c r="U10745" s="1"/>
      <c r="V10745" s="1"/>
      <c r="W10745" s="1"/>
      <c r="X10745" s="1"/>
      <c r="Y10745" s="1"/>
      <c r="Z10745" s="1"/>
      <c r="AA10745" s="1"/>
      <c r="AB10745" s="1"/>
    </row>
    <row r="10746" ht="50.25" customHeight="1">
      <c r="A10746" s="12">
        <v>10742.0</v>
      </c>
      <c r="B10746" s="13" t="s">
        <v>10535</v>
      </c>
      <c r="C10746" s="18" t="s">
        <v>10774</v>
      </c>
      <c r="D10746" s="1"/>
      <c r="E10746" s="1"/>
      <c r="F10746" s="1" t="str">
        <f>IFERROR(__xludf.DUMMYFUNCTION("GOOGLETRANSLATE(B10746, ""en"", ""fa"")
"),"کپی رایتینگ II")</f>
        <v>کپی رایتینگ II</v>
      </c>
      <c r="G10746" s="1" t="str">
        <f>IFERROR(__xludf.DUMMYFUNCTION("GOOGLETRANSLATE(C10746, ""en"", ""fa"")
"),"درباره اهمیت گنجاندن حکایات یا تجربیات شخصی برای ایجاد ارتباط واقعی با مخاطبان خود بحث کنید.")</f>
        <v>درباره اهمیت گنجاندن حکایات یا تجربیات شخصی برای ایجاد ارتباط واقعی با مخاطبان خود بحث کنید.</v>
      </c>
      <c r="H10746" s="1"/>
      <c r="I10746" s="1"/>
      <c r="J10746" s="1"/>
      <c r="K10746" s="1"/>
      <c r="L10746" s="1"/>
      <c r="M10746" s="1"/>
      <c r="N10746" s="1"/>
      <c r="O10746" s="1"/>
      <c r="P10746" s="1"/>
      <c r="Q10746" s="1"/>
      <c r="R10746" s="1"/>
      <c r="S10746" s="1"/>
      <c r="T10746" s="1"/>
      <c r="U10746" s="1"/>
      <c r="V10746" s="1"/>
      <c r="W10746" s="1"/>
      <c r="X10746" s="1"/>
      <c r="Y10746" s="1"/>
      <c r="Z10746" s="1"/>
      <c r="AA10746" s="1"/>
      <c r="AB10746" s="1"/>
    </row>
    <row r="10747" ht="50.25" customHeight="1">
      <c r="A10747" s="12">
        <v>10743.0</v>
      </c>
      <c r="B10747" s="13" t="s">
        <v>10535</v>
      </c>
      <c r="C10747" s="18" t="s">
        <v>10775</v>
      </c>
      <c r="D10747" s="1"/>
      <c r="E10747" s="1"/>
      <c r="F10747" s="1" t="str">
        <f>IFERROR(__xludf.DUMMYFUNCTION("GOOGLETRANSLATE(B10747, ""en"", ""fa"")
"),"کپی رایتینگ II")</f>
        <v>کپی رایتینگ II</v>
      </c>
      <c r="G10747" s="1" t="str">
        <f>IFERROR(__xludf.DUMMYFUNCTION("GOOGLETRANSLATE(C10747, ""en"", ""fa"")
"),"چگونه یک بیانیه پایانی یا نتیجه گیری قدرتمند ایجاد کنید که تأثیر ماندگاری بر بینندگان یا شنوندگان شما بگذارد؟")</f>
        <v>چگونه یک بیانیه پایانی یا نتیجه گیری قدرتمند ایجاد کنید که تأثیر ماندگاری بر بینندگان یا شنوندگان شما بگذارد؟</v>
      </c>
      <c r="H10747" s="1"/>
      <c r="I10747" s="1"/>
      <c r="J10747" s="1"/>
      <c r="K10747" s="1"/>
      <c r="L10747" s="1"/>
      <c r="M10747" s="1"/>
      <c r="N10747" s="1"/>
      <c r="O10747" s="1"/>
      <c r="P10747" s="1"/>
      <c r="Q10747" s="1"/>
      <c r="R10747" s="1"/>
      <c r="S10747" s="1"/>
      <c r="T10747" s="1"/>
      <c r="U10747" s="1"/>
      <c r="V10747" s="1"/>
      <c r="W10747" s="1"/>
      <c r="X10747" s="1"/>
      <c r="Y10747" s="1"/>
      <c r="Z10747" s="1"/>
      <c r="AA10747" s="1"/>
      <c r="AB10747" s="1"/>
    </row>
    <row r="10748" ht="50.25" customHeight="1">
      <c r="A10748" s="12">
        <v>10744.0</v>
      </c>
      <c r="B10748" s="13" t="s">
        <v>10535</v>
      </c>
      <c r="C10748" s="18" t="s">
        <v>10776</v>
      </c>
      <c r="D10748" s="1"/>
      <c r="E10748" s="1"/>
      <c r="F10748" s="1" t="str">
        <f>IFERROR(__xludf.DUMMYFUNCTION("GOOGLETRANSLATE(B10748, ""en"", ""fa"")
"),"کپی رایتینگ II")</f>
        <v>کپی رایتینگ II</v>
      </c>
      <c r="G10748" s="1" t="str">
        <f>IFERROR(__xludf.DUMMYFUNCTION("GOOGLETRANSLATE(C10748, ""en"", ""fa"")
"),"استراتژی های مختلف برای انجام مصاحبه های جذاب را در اسکریپت های ویدیویی یا پادکست ها بررسی کنید.")</f>
        <v>استراتژی های مختلف برای انجام مصاحبه های جذاب را در اسکریپت های ویدیویی یا پادکست ها بررسی کنید.</v>
      </c>
      <c r="H10748" s="1"/>
      <c r="I10748" s="1"/>
      <c r="J10748" s="1"/>
      <c r="K10748" s="1"/>
      <c r="L10748" s="1"/>
      <c r="M10748" s="1"/>
      <c r="N10748" s="1"/>
      <c r="O10748" s="1"/>
      <c r="P10748" s="1"/>
      <c r="Q10748" s="1"/>
      <c r="R10748" s="1"/>
      <c r="S10748" s="1"/>
      <c r="T10748" s="1"/>
      <c r="U10748" s="1"/>
      <c r="V10748" s="1"/>
      <c r="W10748" s="1"/>
      <c r="X10748" s="1"/>
      <c r="Y10748" s="1"/>
      <c r="Z10748" s="1"/>
      <c r="AA10748" s="1"/>
      <c r="AB10748" s="1"/>
    </row>
    <row r="10749" ht="50.25" customHeight="1">
      <c r="A10749" s="12">
        <v>10745.0</v>
      </c>
      <c r="B10749" s="13" t="s">
        <v>10535</v>
      </c>
      <c r="C10749" s="18" t="s">
        <v>10777</v>
      </c>
      <c r="D10749" s="1"/>
      <c r="E10749" s="1"/>
      <c r="F10749" s="1" t="str">
        <f>IFERROR(__xludf.DUMMYFUNCTION("GOOGLETRANSLATE(B10749, ""en"", ""fa"")
"),"کپی رایتینگ II")</f>
        <v>کپی رایتینگ II</v>
      </c>
      <c r="G10749" s="1" t="str">
        <f>IFERROR(__xludf.DUMMYFUNCTION("GOOGLETRANSLATE(C10749, ""en"", ""fa"")
"),"برای حفظ تعامل و جلوگیری از یکنواختی، چه تکنیک هایی برای سرعت بخشیدن به ویدیو یا پادکست شما وجود دارد؟")</f>
        <v>برای حفظ تعامل و جلوگیری از یکنواختی، چه تکنیک هایی برای سرعت بخشیدن به ویدیو یا پادکست شما وجود دارد؟</v>
      </c>
      <c r="H10749" s="1"/>
      <c r="I10749" s="1"/>
      <c r="J10749" s="1"/>
      <c r="K10749" s="1"/>
      <c r="L10749" s="1"/>
      <c r="M10749" s="1"/>
      <c r="N10749" s="1"/>
      <c r="O10749" s="1"/>
      <c r="P10749" s="1"/>
      <c r="Q10749" s="1"/>
      <c r="R10749" s="1"/>
      <c r="S10749" s="1"/>
      <c r="T10749" s="1"/>
      <c r="U10749" s="1"/>
      <c r="V10749" s="1"/>
      <c r="W10749" s="1"/>
      <c r="X10749" s="1"/>
      <c r="Y10749" s="1"/>
      <c r="Z10749" s="1"/>
      <c r="AA10749" s="1"/>
      <c r="AB10749" s="1"/>
    </row>
    <row r="10750" ht="50.25" customHeight="1">
      <c r="A10750" s="12">
        <v>10746.0</v>
      </c>
      <c r="B10750" s="13" t="s">
        <v>10535</v>
      </c>
      <c r="C10750" s="18" t="s">
        <v>10778</v>
      </c>
      <c r="D10750" s="1"/>
      <c r="E10750" s="1"/>
      <c r="F10750" s="1" t="str">
        <f>IFERROR(__xludf.DUMMYFUNCTION("GOOGLETRANSLATE(B10750, ""en"", ""fa"")
"),"کپی رایتینگ II")</f>
        <v>کپی رایتینگ II</v>
      </c>
      <c r="G10750" s="1" t="str">
        <f>IFERROR(__xludf.DUMMYFUNCTION("GOOGLETRANSLATE(C10750, ""en"", ""fa"")
"),"در مورد تأثیر موسیقی و موسیقی متن در تنظیم حال و هوا و بهبود تجربه کلی ویدیوها یا پادکست های خود بحث کنید.")</f>
        <v>در مورد تأثیر موسیقی و موسیقی متن در تنظیم حال و هوا و بهبود تجربه کلی ویدیوها یا پادکست های خود بحث کنید.</v>
      </c>
      <c r="H10750" s="1"/>
      <c r="I10750" s="1"/>
      <c r="J10750" s="1"/>
      <c r="K10750" s="1"/>
      <c r="L10750" s="1"/>
      <c r="M10750" s="1"/>
      <c r="N10750" s="1"/>
      <c r="O10750" s="1"/>
      <c r="P10750" s="1"/>
      <c r="Q10750" s="1"/>
      <c r="R10750" s="1"/>
      <c r="S10750" s="1"/>
      <c r="T10750" s="1"/>
      <c r="U10750" s="1"/>
      <c r="V10750" s="1"/>
      <c r="W10750" s="1"/>
      <c r="X10750" s="1"/>
      <c r="Y10750" s="1"/>
      <c r="Z10750" s="1"/>
      <c r="AA10750" s="1"/>
      <c r="AB10750" s="1"/>
    </row>
    <row r="10751" ht="50.25" customHeight="1">
      <c r="A10751" s="12">
        <v>10747.0</v>
      </c>
      <c r="B10751" s="13" t="s">
        <v>10535</v>
      </c>
      <c r="C10751" s="18" t="s">
        <v>10779</v>
      </c>
      <c r="D10751" s="1"/>
      <c r="E10751" s="1"/>
      <c r="F10751" s="1" t="str">
        <f>IFERROR(__xludf.DUMMYFUNCTION("GOOGLETRANSLATE(B10751, ""en"", ""fa"")
"),"کپی رایتینگ II")</f>
        <v>کپی رایتینگ II</v>
      </c>
      <c r="G10751" s="1" t="str">
        <f>IFERROR(__xludf.DUMMYFUNCTION("GOOGLETRANSLATE(C10751, ""en"", ""fa"")
"),"چگونه اسکریپت یا محتوای خود را با فرمت های مختلف ویدیو یا پادکست، مانند آموزش، مصاحبه، یا داستان گویی تطبیق دهید؟")</f>
        <v>چگونه اسکریپت یا محتوای خود را با فرمت های مختلف ویدیو یا پادکست، مانند آموزش، مصاحبه، یا داستان گویی تطبیق دهید؟</v>
      </c>
      <c r="H10751" s="1"/>
      <c r="I10751" s="1"/>
      <c r="J10751" s="1"/>
      <c r="K10751" s="1"/>
      <c r="L10751" s="1"/>
      <c r="M10751" s="1"/>
      <c r="N10751" s="1"/>
      <c r="O10751" s="1"/>
      <c r="P10751" s="1"/>
      <c r="Q10751" s="1"/>
      <c r="R10751" s="1"/>
      <c r="S10751" s="1"/>
      <c r="T10751" s="1"/>
      <c r="U10751" s="1"/>
      <c r="V10751" s="1"/>
      <c r="W10751" s="1"/>
      <c r="X10751" s="1"/>
      <c r="Y10751" s="1"/>
      <c r="Z10751" s="1"/>
      <c r="AA10751" s="1"/>
      <c r="AB10751" s="1"/>
    </row>
    <row r="10752" ht="50.25" customHeight="1">
      <c r="A10752" s="12">
        <v>10748.0</v>
      </c>
      <c r="B10752" s="13" t="s">
        <v>10535</v>
      </c>
      <c r="C10752" s="18" t="s">
        <v>10780</v>
      </c>
      <c r="D10752" s="1"/>
      <c r="E10752" s="1"/>
      <c r="F10752" s="1" t="str">
        <f>IFERROR(__xludf.DUMMYFUNCTION("GOOGLETRANSLATE(B10752, ""en"", ""fa"")
"),"کپی رایتینگ II")</f>
        <v>کپی رایتینگ II</v>
      </c>
      <c r="G10752" s="1" t="str">
        <f>IFERROR(__xludf.DUMMYFUNCTION("GOOGLETRANSLATE(C10752, ""en"", ""fa"")
"),"مشکلات رایجی که در اسکریپت های ویدیویی یا پادکست ها باید از آنها اجتناب کرد چیست و چگونه می توان بر آنها غلبه کرد؟")</f>
        <v>مشکلات رایجی که در اسکریپت های ویدیویی یا پادکست ها باید از آنها اجتناب کرد چیست و چگونه می توان بر آنها غلبه کرد؟</v>
      </c>
      <c r="H10752" s="1"/>
      <c r="I10752" s="1"/>
      <c r="J10752" s="1"/>
      <c r="K10752" s="1"/>
      <c r="L10752" s="1"/>
      <c r="M10752" s="1"/>
      <c r="N10752" s="1"/>
      <c r="O10752" s="1"/>
      <c r="P10752" s="1"/>
      <c r="Q10752" s="1"/>
      <c r="R10752" s="1"/>
      <c r="S10752" s="1"/>
      <c r="T10752" s="1"/>
      <c r="U10752" s="1"/>
      <c r="V10752" s="1"/>
      <c r="W10752" s="1"/>
      <c r="X10752" s="1"/>
      <c r="Y10752" s="1"/>
      <c r="Z10752" s="1"/>
      <c r="AA10752" s="1"/>
      <c r="AB10752" s="1"/>
    </row>
    <row r="10753" ht="50.25" customHeight="1">
      <c r="A10753" s="12">
        <v>10749.0</v>
      </c>
      <c r="B10753" s="13" t="s">
        <v>10535</v>
      </c>
      <c r="C10753" s="18" t="s">
        <v>10781</v>
      </c>
      <c r="D10753" s="1"/>
      <c r="E10753" s="1"/>
      <c r="F10753" s="1" t="str">
        <f>IFERROR(__xludf.DUMMYFUNCTION("GOOGLETRANSLATE(B10753, ""en"", ""fa"")
"),"کپی رایتینگ II")</f>
        <v>کپی رایتینگ II</v>
      </c>
      <c r="G10753" s="1" t="str">
        <f>IFERROR(__xludf.DUMMYFUNCTION("GOOGLETRANSLATE(C10753, ""en"", ""fa"")
"),"راه های مختلف برای تزریق شخصیت و سبک منحصر به فرد خود را به اسکریپت های ویدیویی یا پادکست های خود کاوش کنید.")</f>
        <v>راه های مختلف برای تزریق شخصیت و سبک منحصر به فرد خود را به اسکریپت های ویدیویی یا پادکست های خود کاوش کنید.</v>
      </c>
      <c r="H10753" s="1"/>
      <c r="I10753" s="1"/>
      <c r="J10753" s="1"/>
      <c r="K10753" s="1"/>
      <c r="L10753" s="1"/>
      <c r="M10753" s="1"/>
      <c r="N10753" s="1"/>
      <c r="O10753" s="1"/>
      <c r="P10753" s="1"/>
      <c r="Q10753" s="1"/>
      <c r="R10753" s="1"/>
      <c r="S10753" s="1"/>
      <c r="T10753" s="1"/>
      <c r="U10753" s="1"/>
      <c r="V10753" s="1"/>
      <c r="W10753" s="1"/>
      <c r="X10753" s="1"/>
      <c r="Y10753" s="1"/>
      <c r="Z10753" s="1"/>
      <c r="AA10753" s="1"/>
      <c r="AB10753" s="1"/>
    </row>
    <row r="10754" ht="50.25" customHeight="1">
      <c r="A10754" s="12">
        <v>10750.0</v>
      </c>
      <c r="B10754" s="13" t="s">
        <v>10535</v>
      </c>
      <c r="C10754" s="18" t="s">
        <v>10782</v>
      </c>
      <c r="D10754" s="1"/>
      <c r="E10754" s="1"/>
      <c r="F10754" s="1" t="str">
        <f>IFERROR(__xludf.DUMMYFUNCTION("GOOGLETRANSLATE(B10754, ""en"", ""fa"")
"),"کپی رایتینگ II")</f>
        <v>کپی رایتینگ II</v>
      </c>
      <c r="G10754" s="1" t="str">
        <f>IFERROR(__xludf.DUMMYFUNCTION("GOOGLETRANSLATE(C10754, ""en"", ""fa"")
"),"چگونه می توان انتظار ایجاد کرد و حس تعلیق را در قسمت ویدیو یا پادکست خود ایجاد کرد؟")</f>
        <v>چگونه می توان انتظار ایجاد کرد و حس تعلیق را در قسمت ویدیو یا پادکست خود ایجاد کرد؟</v>
      </c>
      <c r="H10754" s="1"/>
      <c r="I10754" s="1"/>
      <c r="J10754" s="1"/>
      <c r="K10754" s="1"/>
      <c r="L10754" s="1"/>
      <c r="M10754" s="1"/>
      <c r="N10754" s="1"/>
      <c r="O10754" s="1"/>
      <c r="P10754" s="1"/>
      <c r="Q10754" s="1"/>
      <c r="R10754" s="1"/>
      <c r="S10754" s="1"/>
      <c r="T10754" s="1"/>
      <c r="U10754" s="1"/>
      <c r="V10754" s="1"/>
      <c r="W10754" s="1"/>
      <c r="X10754" s="1"/>
      <c r="Y10754" s="1"/>
      <c r="Z10754" s="1"/>
      <c r="AA10754" s="1"/>
      <c r="AB10754" s="1"/>
    </row>
    <row r="10755" ht="50.25" customHeight="1">
      <c r="A10755" s="12">
        <v>10751.0</v>
      </c>
      <c r="B10755" s="13" t="s">
        <v>10535</v>
      </c>
      <c r="C10755" s="18" t="s">
        <v>10783</v>
      </c>
      <c r="D10755" s="1"/>
      <c r="E10755" s="1"/>
      <c r="F10755" s="1" t="str">
        <f>IFERROR(__xludf.DUMMYFUNCTION("GOOGLETRANSLATE(B10755, ""en"", ""fa"")
"),"کپی رایتینگ II")</f>
        <v>کپی رایتینگ II</v>
      </c>
      <c r="G10755" s="1" t="str">
        <f>IFERROR(__xludf.DUMMYFUNCTION("GOOGLETRANSLATE(C10755, ""en"", ""fa"")
"),"در مورد هنر ایجاد تک لاینرهای قدرتمند و به یاد ماندنی که با مخاطبان شما طنین انداز می شود بحث کنید.")</f>
        <v>در مورد هنر ایجاد تک لاینرهای قدرتمند و به یاد ماندنی که با مخاطبان شما طنین انداز می شود بحث کنید.</v>
      </c>
      <c r="H10755" s="1"/>
      <c r="I10755" s="1"/>
      <c r="J10755" s="1"/>
      <c r="K10755" s="1"/>
      <c r="L10755" s="1"/>
      <c r="M10755" s="1"/>
      <c r="N10755" s="1"/>
      <c r="O10755" s="1"/>
      <c r="P10755" s="1"/>
      <c r="Q10755" s="1"/>
      <c r="R10755" s="1"/>
      <c r="S10755" s="1"/>
      <c r="T10755" s="1"/>
      <c r="U10755" s="1"/>
      <c r="V10755" s="1"/>
      <c r="W10755" s="1"/>
      <c r="X10755" s="1"/>
      <c r="Y10755" s="1"/>
      <c r="Z10755" s="1"/>
      <c r="AA10755" s="1"/>
      <c r="AB10755" s="1"/>
    </row>
    <row r="10756" ht="50.25" customHeight="1">
      <c r="A10756" s="12">
        <v>10752.0</v>
      </c>
      <c r="B10756" s="13" t="s">
        <v>10535</v>
      </c>
      <c r="C10756" s="18" t="s">
        <v>10784</v>
      </c>
      <c r="D10756" s="1"/>
      <c r="E10756" s="1"/>
      <c r="F10756" s="1" t="str">
        <f>IFERROR(__xludf.DUMMYFUNCTION("GOOGLETRANSLATE(B10756, ""en"", ""fa"")
"),"کپی رایتینگ II")</f>
        <v>کپی رایتینگ II</v>
      </c>
      <c r="G10756" s="1" t="str">
        <f>IFERROR(__xludf.DUMMYFUNCTION("GOOGLETRANSLATE(C10756, ""en"", ""fa"")
"),"تکنیک‌هایی برای انتقال مؤثر بین بخش‌ها یا موضوعات مختلف در ویدیو یا پادکست شما چیست؟")</f>
        <v>تکنیک‌هایی برای انتقال مؤثر بین بخش‌ها یا موضوعات مختلف در ویدیو یا پادکست شما چیست؟</v>
      </c>
      <c r="H10756" s="1"/>
      <c r="I10756" s="1"/>
      <c r="J10756" s="1"/>
      <c r="K10756" s="1"/>
      <c r="L10756" s="1"/>
      <c r="M10756" s="1"/>
      <c r="N10756" s="1"/>
      <c r="O10756" s="1"/>
      <c r="P10756" s="1"/>
      <c r="Q10756" s="1"/>
      <c r="R10756" s="1"/>
      <c r="S10756" s="1"/>
      <c r="T10756" s="1"/>
      <c r="U10756" s="1"/>
      <c r="V10756" s="1"/>
      <c r="W10756" s="1"/>
      <c r="X10756" s="1"/>
      <c r="Y10756" s="1"/>
      <c r="Z10756" s="1"/>
      <c r="AA10756" s="1"/>
      <c r="AB10756" s="1"/>
    </row>
    <row r="10757" ht="50.25" customHeight="1">
      <c r="A10757" s="12">
        <v>10753.0</v>
      </c>
      <c r="B10757" s="13" t="s">
        <v>10535</v>
      </c>
      <c r="C10757" s="18" t="s">
        <v>10785</v>
      </c>
      <c r="D10757" s="1"/>
      <c r="E10757" s="1"/>
      <c r="F10757" s="1" t="str">
        <f>IFERROR(__xludf.DUMMYFUNCTION("GOOGLETRANSLATE(B10757, ""en"", ""fa"")
"),"کپی رایتینگ II")</f>
        <v>کپی رایتینگ II</v>
      </c>
      <c r="G10757" s="1" t="str">
        <f>IFERROR(__xludf.DUMMYFUNCTION("GOOGLETRANSLATE(C10757, ""en"", ""fa"")
"),"چگونه عناصر داستان سرایی را در اسکریپت های ویدیویی یا پادکست های خود بگنجانید تا ارتباط عاطفی عمیقی با مخاطبان خود ایجاد کنید؟")</f>
        <v>چگونه عناصر داستان سرایی را در اسکریپت های ویدیویی یا پادکست های خود بگنجانید تا ارتباط عاطفی عمیقی با مخاطبان خود ایجاد کنید؟</v>
      </c>
      <c r="H10757" s="1"/>
      <c r="I10757" s="1"/>
      <c r="J10757" s="1"/>
      <c r="K10757" s="1"/>
      <c r="L10757" s="1"/>
      <c r="M10757" s="1"/>
      <c r="N10757" s="1"/>
      <c r="O10757" s="1"/>
      <c r="P10757" s="1"/>
      <c r="Q10757" s="1"/>
      <c r="R10757" s="1"/>
      <c r="S10757" s="1"/>
      <c r="T10757" s="1"/>
      <c r="U10757" s="1"/>
      <c r="V10757" s="1"/>
      <c r="W10757" s="1"/>
      <c r="X10757" s="1"/>
      <c r="Y10757" s="1"/>
      <c r="Z10757" s="1"/>
      <c r="AA10757" s="1"/>
      <c r="AB10757" s="1"/>
    </row>
    <row r="10758" ht="50.25" customHeight="1">
      <c r="A10758" s="12">
        <v>10754.0</v>
      </c>
      <c r="B10758" s="13" t="s">
        <v>10535</v>
      </c>
      <c r="C10758" s="18" t="s">
        <v>10786</v>
      </c>
      <c r="D10758" s="1"/>
      <c r="E10758" s="1"/>
      <c r="F10758" s="1" t="str">
        <f>IFERROR(__xludf.DUMMYFUNCTION("GOOGLETRANSLATE(B10758, ""en"", ""fa"")
"),"کپی رایتینگ II")</f>
        <v>کپی رایتینگ II</v>
      </c>
      <c r="G10758" s="1" t="str">
        <f>IFERROR(__xludf.DUMMYFUNCTION("GOOGLETRANSLATE(C10758, ""en"", ""fa"")
"),"استراتژی های مختلف را برای ترکیب تعامل یا مشارکت مخاطب در محتوای ویدیو یا پادکست خود کاوش کنید.")</f>
        <v>استراتژی های مختلف را برای ترکیب تعامل یا مشارکت مخاطب در محتوای ویدیو یا پادکست خود کاوش کنید.</v>
      </c>
      <c r="H10758" s="1"/>
      <c r="I10758" s="1"/>
      <c r="J10758" s="1"/>
      <c r="K10758" s="1"/>
      <c r="L10758" s="1"/>
      <c r="M10758" s="1"/>
      <c r="N10758" s="1"/>
      <c r="O10758" s="1"/>
      <c r="P10758" s="1"/>
      <c r="Q10758" s="1"/>
      <c r="R10758" s="1"/>
      <c r="S10758" s="1"/>
      <c r="T10758" s="1"/>
      <c r="U10758" s="1"/>
      <c r="V10758" s="1"/>
      <c r="W10758" s="1"/>
      <c r="X10758" s="1"/>
      <c r="Y10758" s="1"/>
      <c r="Z10758" s="1"/>
      <c r="AA10758" s="1"/>
      <c r="AB10758" s="1"/>
    </row>
    <row r="10759" ht="50.25" customHeight="1">
      <c r="A10759" s="12">
        <v>10755.0</v>
      </c>
      <c r="B10759" s="13" t="s">
        <v>10535</v>
      </c>
      <c r="C10759" s="18" t="s">
        <v>10787</v>
      </c>
      <c r="D10759" s="1"/>
      <c r="E10759" s="1"/>
      <c r="F10759" s="1" t="str">
        <f>IFERROR(__xludf.DUMMYFUNCTION("GOOGLETRANSLATE(B10759, ""en"", ""fa"")
"),"کپی رایتینگ II")</f>
        <v>کپی رایتینگ II</v>
      </c>
      <c r="G10759" s="1" t="str">
        <f>IFERROR(__xludf.DUMMYFUNCTION("GOOGLETRANSLATE(C10759, ""en"", ""fa"")
"),"بهترین شیوه ها برای اجرای بحث های پنل جذاب و روشنگر در پادکست ها چیست؟")</f>
        <v>بهترین شیوه ها برای اجرای بحث های پنل جذاب و روشنگر در پادکست ها چیست؟</v>
      </c>
      <c r="H10759" s="1"/>
      <c r="I10759" s="1"/>
      <c r="J10759" s="1"/>
      <c r="K10759" s="1"/>
      <c r="L10759" s="1"/>
      <c r="M10759" s="1"/>
      <c r="N10759" s="1"/>
      <c r="O10759" s="1"/>
      <c r="P10759" s="1"/>
      <c r="Q10759" s="1"/>
      <c r="R10759" s="1"/>
      <c r="S10759" s="1"/>
      <c r="T10759" s="1"/>
      <c r="U10759" s="1"/>
      <c r="V10759" s="1"/>
      <c r="W10759" s="1"/>
      <c r="X10759" s="1"/>
      <c r="Y10759" s="1"/>
      <c r="Z10759" s="1"/>
      <c r="AA10759" s="1"/>
      <c r="AB10759" s="1"/>
    </row>
    <row r="10760" ht="50.25" customHeight="1">
      <c r="A10760" s="12">
        <v>10756.0</v>
      </c>
      <c r="B10760" s="13" t="s">
        <v>10535</v>
      </c>
      <c r="C10760" s="18" t="s">
        <v>10788</v>
      </c>
      <c r="D10760" s="1"/>
      <c r="E10760" s="1"/>
      <c r="F10760" s="1" t="str">
        <f>IFERROR(__xludf.DUMMYFUNCTION("GOOGLETRANSLATE(B10760, ""en"", ""fa"")
"),"کپی رایتینگ II")</f>
        <v>کپی رایتینگ II</v>
      </c>
      <c r="G10760" s="1" t="str">
        <f>IFERROR(__xludf.DUMMYFUNCTION("GOOGLETRANSLATE(C10760, ""en"", ""fa"")
"),"چگونه می توان از قدرت داستان سرایی تصویری در اسکریپت های ویدیویی یا پادکست های خود برای انتقال ایده ها یا پیام های پیچیده استفاده کرد؟")</f>
        <v>چگونه می توان از قدرت داستان سرایی تصویری در اسکریپت های ویدیویی یا پادکست های خود برای انتقال ایده ها یا پیام های پیچیده استفاده کرد؟</v>
      </c>
      <c r="H10760" s="1"/>
      <c r="I10760" s="1"/>
      <c r="J10760" s="1"/>
      <c r="K10760" s="1"/>
      <c r="L10760" s="1"/>
      <c r="M10760" s="1"/>
      <c r="N10760" s="1"/>
      <c r="O10760" s="1"/>
      <c r="P10760" s="1"/>
      <c r="Q10760" s="1"/>
      <c r="R10760" s="1"/>
      <c r="S10760" s="1"/>
      <c r="T10760" s="1"/>
      <c r="U10760" s="1"/>
      <c r="V10760" s="1"/>
      <c r="W10760" s="1"/>
      <c r="X10760" s="1"/>
      <c r="Y10760" s="1"/>
      <c r="Z10760" s="1"/>
      <c r="AA10760" s="1"/>
      <c r="AB10760" s="1"/>
    </row>
    <row r="10761" ht="50.25" customHeight="1">
      <c r="A10761" s="12">
        <v>10757.0</v>
      </c>
      <c r="B10761" s="13" t="s">
        <v>10535</v>
      </c>
      <c r="C10761" s="18" t="s">
        <v>10789</v>
      </c>
      <c r="D10761" s="1"/>
      <c r="E10761" s="1"/>
      <c r="F10761" s="1" t="str">
        <f>IFERROR(__xludf.DUMMYFUNCTION("GOOGLETRANSLATE(B10761, ""en"", ""fa"")
"),"کپی رایتینگ II")</f>
        <v>کپی رایتینگ II</v>
      </c>
      <c r="G10761" s="1" t="str">
        <f>IFERROR(__xludf.DUMMYFUNCTION("GOOGLETRANSLATE(C10761, ""en"", ""fa"")
"),"در مورد هنر انجام مصاحبه که بینش ها و دیدگاه های منحصر به فردی را در محتوای ویدیویی یا پادکست شما آشکار می کند، بحث کنید.")</f>
        <v>در مورد هنر انجام مصاحبه که بینش ها و دیدگاه های منحصر به فردی را در محتوای ویدیویی یا پادکست شما آشکار می کند، بحث کنید.</v>
      </c>
      <c r="H10761" s="1"/>
      <c r="I10761" s="1"/>
      <c r="J10761" s="1"/>
      <c r="K10761" s="1"/>
      <c r="L10761" s="1"/>
      <c r="M10761" s="1"/>
      <c r="N10761" s="1"/>
      <c r="O10761" s="1"/>
      <c r="P10761" s="1"/>
      <c r="Q10761" s="1"/>
      <c r="R10761" s="1"/>
      <c r="S10761" s="1"/>
      <c r="T10761" s="1"/>
      <c r="U10761" s="1"/>
      <c r="V10761" s="1"/>
      <c r="W10761" s="1"/>
      <c r="X10761" s="1"/>
      <c r="Y10761" s="1"/>
      <c r="Z10761" s="1"/>
      <c r="AA10761" s="1"/>
      <c r="AB10761" s="1"/>
    </row>
    <row r="10762" ht="50.25" customHeight="1">
      <c r="A10762" s="12">
        <v>10758.0</v>
      </c>
      <c r="B10762" s="13" t="s">
        <v>10535</v>
      </c>
      <c r="C10762" s="18" t="s">
        <v>10790</v>
      </c>
      <c r="D10762" s="1"/>
      <c r="E10762" s="1"/>
      <c r="F10762" s="1" t="str">
        <f>IFERROR(__xludf.DUMMYFUNCTION("GOOGLETRANSLATE(B10762, ""en"", ""fa"")
"),"کپی رایتینگ II")</f>
        <v>کپی رایتینگ II</v>
      </c>
      <c r="G10762" s="1" t="str">
        <f>IFERROR(__xludf.DUMMYFUNCTION("GOOGLETRANSLATE(C10762, ""en"", ""fa"")
"),"چگونه می توان به طور موثر از مکث و سکوت برای ایجاد تأثیر چشمگیر در پخش ویدیو یا پادکست خود استفاده کرد؟")</f>
        <v>چگونه می توان به طور موثر از مکث و سکوت برای ایجاد تأثیر چشمگیر در پخش ویدیو یا پادکست خود استفاده کرد؟</v>
      </c>
      <c r="H10762" s="1"/>
      <c r="I10762" s="1"/>
      <c r="J10762" s="1"/>
      <c r="K10762" s="1"/>
      <c r="L10762" s="1"/>
      <c r="M10762" s="1"/>
      <c r="N10762" s="1"/>
      <c r="O10762" s="1"/>
      <c r="P10762" s="1"/>
      <c r="Q10762" s="1"/>
      <c r="R10762" s="1"/>
      <c r="S10762" s="1"/>
      <c r="T10762" s="1"/>
      <c r="U10762" s="1"/>
      <c r="V10762" s="1"/>
      <c r="W10762" s="1"/>
      <c r="X10762" s="1"/>
      <c r="Y10762" s="1"/>
      <c r="Z10762" s="1"/>
      <c r="AA10762" s="1"/>
      <c r="AB10762" s="1"/>
    </row>
    <row r="10763" ht="50.25" customHeight="1">
      <c r="A10763" s="12">
        <v>10759.0</v>
      </c>
      <c r="B10763" s="13" t="s">
        <v>10535</v>
      </c>
      <c r="C10763" s="18" t="s">
        <v>10791</v>
      </c>
      <c r="D10763" s="1"/>
      <c r="E10763" s="1"/>
      <c r="F10763" s="1" t="str">
        <f>IFERROR(__xludf.DUMMYFUNCTION("GOOGLETRANSLATE(B10763, ""en"", ""fa"")
"),"کپی رایتینگ II")</f>
        <v>کپی رایتینگ II</v>
      </c>
      <c r="G10763" s="1" t="str">
        <f>IFERROR(__xludf.DUMMYFUNCTION("GOOGLETRANSLATE(C10763, ""en"", ""fa"")
"),"تکنیک های ایجاد صدای برند قوی و ثابت در اسکریپت های ویدیویی یا پادکست های شما چیست؟")</f>
        <v>تکنیک های ایجاد صدای برند قوی و ثابت در اسکریپت های ویدیویی یا پادکست های شما چیست؟</v>
      </c>
      <c r="H10763" s="1"/>
      <c r="I10763" s="1"/>
      <c r="J10763" s="1"/>
      <c r="K10763" s="1"/>
      <c r="L10763" s="1"/>
      <c r="M10763" s="1"/>
      <c r="N10763" s="1"/>
      <c r="O10763" s="1"/>
      <c r="P10763" s="1"/>
      <c r="Q10763" s="1"/>
      <c r="R10763" s="1"/>
      <c r="S10763" s="1"/>
      <c r="T10763" s="1"/>
      <c r="U10763" s="1"/>
      <c r="V10763" s="1"/>
      <c r="W10763" s="1"/>
      <c r="X10763" s="1"/>
      <c r="Y10763" s="1"/>
      <c r="Z10763" s="1"/>
      <c r="AA10763" s="1"/>
      <c r="AB10763" s="1"/>
    </row>
    <row r="10764" ht="50.25" customHeight="1">
      <c r="A10764" s="12">
        <v>10760.0</v>
      </c>
      <c r="B10764" s="13" t="s">
        <v>10535</v>
      </c>
      <c r="C10764" s="18" t="s">
        <v>10792</v>
      </c>
      <c r="D10764" s="1"/>
      <c r="E10764" s="1"/>
      <c r="F10764" s="1" t="str">
        <f>IFERROR(__xludf.DUMMYFUNCTION("GOOGLETRANSLATE(B10764, ""en"", ""fa"")
"),"کپی رایتینگ II")</f>
        <v>کپی رایتینگ II</v>
      </c>
      <c r="G10764" s="1" t="str">
        <f>IFERROR(__xludf.DUMMYFUNCTION("GOOGLETRANSLATE(C10764, ""en"", ""fa"")
"),"روش های مختلف برای گنجاندن طنز در محتوای ویدیویی یا پادکست خود را برای سرگرم کردن و جذب مخاطبان خود کاوش کنید.")</f>
        <v>روش های مختلف برای گنجاندن طنز در محتوای ویدیویی یا پادکست خود را برای سرگرم کردن و جذب مخاطبان خود کاوش کنید.</v>
      </c>
      <c r="H10764" s="1"/>
      <c r="I10764" s="1"/>
      <c r="J10764" s="1"/>
      <c r="K10764" s="1"/>
      <c r="L10764" s="1"/>
      <c r="M10764" s="1"/>
      <c r="N10764" s="1"/>
      <c r="O10764" s="1"/>
      <c r="P10764" s="1"/>
      <c r="Q10764" s="1"/>
      <c r="R10764" s="1"/>
      <c r="S10764" s="1"/>
      <c r="T10764" s="1"/>
      <c r="U10764" s="1"/>
      <c r="V10764" s="1"/>
      <c r="W10764" s="1"/>
      <c r="X10764" s="1"/>
      <c r="Y10764" s="1"/>
      <c r="Z10764" s="1"/>
      <c r="AA10764" s="1"/>
      <c r="AB10764" s="1"/>
    </row>
    <row r="10765" ht="50.25" customHeight="1">
      <c r="A10765" s="12">
        <v>10761.0</v>
      </c>
      <c r="B10765" s="13" t="s">
        <v>10535</v>
      </c>
      <c r="C10765" s="18" t="s">
        <v>10793</v>
      </c>
      <c r="D10765" s="1"/>
      <c r="E10765" s="1"/>
      <c r="F10765" s="1" t="str">
        <f>IFERROR(__xludf.DUMMYFUNCTION("GOOGLETRANSLATE(B10765, ""en"", ""fa"")
"),"کپی رایتینگ II")</f>
        <v>کپی رایتینگ II</v>
      </c>
      <c r="G10765" s="1" t="str">
        <f>IFERROR(__xludf.DUMMYFUNCTION("GOOGLETRANSLATE(C10765, ""en"", ""fa"")
"),"چگونه یک قوس روایی جذاب و قانع کننده برای اسکریپت های ویدیویی یا پادکست خود بسازید؟")</f>
        <v>چگونه یک قوس روایی جذاب و قانع کننده برای اسکریپت های ویدیویی یا پادکست خود بسازید؟</v>
      </c>
      <c r="H10765" s="1"/>
      <c r="I10765" s="1"/>
      <c r="J10765" s="1"/>
      <c r="K10765" s="1"/>
      <c r="L10765" s="1"/>
      <c r="M10765" s="1"/>
      <c r="N10765" s="1"/>
      <c r="O10765" s="1"/>
      <c r="P10765" s="1"/>
      <c r="Q10765" s="1"/>
      <c r="R10765" s="1"/>
      <c r="S10765" s="1"/>
      <c r="T10765" s="1"/>
      <c r="U10765" s="1"/>
      <c r="V10765" s="1"/>
      <c r="W10765" s="1"/>
      <c r="X10765" s="1"/>
      <c r="Y10765" s="1"/>
      <c r="Z10765" s="1"/>
      <c r="AA10765" s="1"/>
      <c r="AB10765" s="1"/>
    </row>
    <row r="10766" ht="50.25" customHeight="1">
      <c r="A10766" s="12">
        <v>10762.0</v>
      </c>
      <c r="B10766" s="13" t="s">
        <v>10535</v>
      </c>
      <c r="C10766" s="18" t="s">
        <v>10794</v>
      </c>
      <c r="D10766" s="1"/>
      <c r="E10766" s="1"/>
      <c r="F10766" s="1" t="str">
        <f>IFERROR(__xludf.DUMMYFUNCTION("GOOGLETRANSLATE(B10766, ""en"", ""fa"")
"),"کپی رایتینگ II")</f>
        <v>کپی رایتینگ II</v>
      </c>
      <c r="G10766" s="1" t="str">
        <f>IFERROR(__xludf.DUMMYFUNCTION("GOOGLETRANSLATE(C10766, ""en"", ""fa"")
"),"در مورد اهمیت اجرای برنامه ریزی کامل پیش تولید برای پروژه های ویدئویی یا پادکست خود بحث کنید.")</f>
        <v>در مورد اهمیت اجرای برنامه ریزی کامل پیش تولید برای پروژه های ویدئویی یا پادکست خود بحث کنید.</v>
      </c>
      <c r="H10766" s="1"/>
      <c r="I10766" s="1"/>
      <c r="J10766" s="1"/>
      <c r="K10766" s="1"/>
      <c r="L10766" s="1"/>
      <c r="M10766" s="1"/>
      <c r="N10766" s="1"/>
      <c r="O10766" s="1"/>
      <c r="P10766" s="1"/>
      <c r="Q10766" s="1"/>
      <c r="R10766" s="1"/>
      <c r="S10766" s="1"/>
      <c r="T10766" s="1"/>
      <c r="U10766" s="1"/>
      <c r="V10766" s="1"/>
      <c r="W10766" s="1"/>
      <c r="X10766" s="1"/>
      <c r="Y10766" s="1"/>
      <c r="Z10766" s="1"/>
      <c r="AA10766" s="1"/>
      <c r="AB10766" s="1"/>
    </row>
    <row r="10767" ht="50.25" customHeight="1">
      <c r="A10767" s="12">
        <v>10763.0</v>
      </c>
      <c r="B10767" s="13" t="s">
        <v>10535</v>
      </c>
      <c r="C10767" s="18" t="s">
        <v>10795</v>
      </c>
      <c r="D10767" s="1"/>
      <c r="E10767" s="1"/>
      <c r="F10767" s="1" t="str">
        <f>IFERROR(__xludf.DUMMYFUNCTION("GOOGLETRANSLATE(B10767, ""en"", ""fa"")
"),"کپی رایتینگ II")</f>
        <v>کپی رایتینگ II</v>
      </c>
      <c r="G10767" s="1" t="str">
        <f>IFERROR(__xludf.DUMMYFUNCTION("GOOGLETRANSLATE(C10767, ""en"", ""fa"")
"),"تکنیک های حفظ لحن گفتگو و برقراری ارتباط با مخاطبان در اسکریپت های ویدئویی یا پادکست ها چیست؟")</f>
        <v>تکنیک های حفظ لحن گفتگو و برقراری ارتباط با مخاطبان در اسکریپت های ویدئویی یا پادکست ها چیست؟</v>
      </c>
      <c r="H10767" s="1"/>
      <c r="I10767" s="1"/>
      <c r="J10767" s="1"/>
      <c r="K10767" s="1"/>
      <c r="L10767" s="1"/>
      <c r="M10767" s="1"/>
      <c r="N10767" s="1"/>
      <c r="O10767" s="1"/>
      <c r="P10767" s="1"/>
      <c r="Q10767" s="1"/>
      <c r="R10767" s="1"/>
      <c r="S10767" s="1"/>
      <c r="T10767" s="1"/>
      <c r="U10767" s="1"/>
      <c r="V10767" s="1"/>
      <c r="W10767" s="1"/>
      <c r="X10767" s="1"/>
      <c r="Y10767" s="1"/>
      <c r="Z10767" s="1"/>
      <c r="AA10767" s="1"/>
      <c r="AB10767" s="1"/>
    </row>
    <row r="10768" ht="50.25" customHeight="1">
      <c r="A10768" s="12">
        <v>10764.0</v>
      </c>
      <c r="B10768" s="13" t="s">
        <v>10535</v>
      </c>
      <c r="C10768" s="18" t="s">
        <v>10796</v>
      </c>
      <c r="D10768" s="1"/>
      <c r="E10768" s="1"/>
      <c r="F10768" s="1" t="str">
        <f>IFERROR(__xludf.DUMMYFUNCTION("GOOGLETRANSLATE(B10768, ""en"", ""fa"")
"),"کپی رایتینگ II")</f>
        <v>کپی رایتینگ II</v>
      </c>
      <c r="G10768" s="1" t="str">
        <f>IFERROR(__xludf.DUMMYFUNCTION("GOOGLETRANSLATE(C10768, ""en"", ""fa"")
"),"چگونه می توان به طور موثر از تصاویر یا انیمیشن ها برای بهبود تجربه داستان گویی در ویدیوها یا پادکست های خود استفاده کرد؟")</f>
        <v>چگونه می توان به طور موثر از تصاویر یا انیمیشن ها برای بهبود تجربه داستان گویی در ویدیوها یا پادکست های خود استفاده کرد؟</v>
      </c>
      <c r="H10768" s="1"/>
      <c r="I10768" s="1"/>
      <c r="J10768" s="1"/>
      <c r="K10768" s="1"/>
      <c r="L10768" s="1"/>
      <c r="M10768" s="1"/>
      <c r="N10768" s="1"/>
      <c r="O10768" s="1"/>
      <c r="P10768" s="1"/>
      <c r="Q10768" s="1"/>
      <c r="R10768" s="1"/>
      <c r="S10768" s="1"/>
      <c r="T10768" s="1"/>
      <c r="U10768" s="1"/>
      <c r="V10768" s="1"/>
      <c r="W10768" s="1"/>
      <c r="X10768" s="1"/>
      <c r="Y10768" s="1"/>
      <c r="Z10768" s="1"/>
      <c r="AA10768" s="1"/>
      <c r="AB10768" s="1"/>
    </row>
    <row r="10769" ht="50.25" customHeight="1">
      <c r="A10769" s="12">
        <v>10765.0</v>
      </c>
      <c r="B10769" s="13" t="s">
        <v>10535</v>
      </c>
      <c r="C10769" s="18" t="s">
        <v>10797</v>
      </c>
      <c r="D10769" s="1"/>
      <c r="E10769" s="1"/>
      <c r="F10769" s="1" t="str">
        <f>IFERROR(__xludf.DUMMYFUNCTION("GOOGLETRANSLATE(B10769, ""en"", ""fa"")
"),"کپی رایتینگ II")</f>
        <v>کپی رایتینگ II</v>
      </c>
      <c r="G10769" s="1" t="str">
        <f>IFERROR(__xludf.DUMMYFUNCTION("GOOGLETRANSLATE(C10769, ""en"", ""fa"")
"),"استراتژی های مختلف برای اجرای اپیزودهای انفرادی فکر برانگیز و روشنگر در پادکست ها را بررسی کنید.")</f>
        <v>استراتژی های مختلف برای اجرای اپیزودهای انفرادی فکر برانگیز و روشنگر در پادکست ها را بررسی کنید.</v>
      </c>
      <c r="H10769" s="1"/>
      <c r="I10769" s="1"/>
      <c r="J10769" s="1"/>
      <c r="K10769" s="1"/>
      <c r="L10769" s="1"/>
      <c r="M10769" s="1"/>
      <c r="N10769" s="1"/>
      <c r="O10769" s="1"/>
      <c r="P10769" s="1"/>
      <c r="Q10769" s="1"/>
      <c r="R10769" s="1"/>
      <c r="S10769" s="1"/>
      <c r="T10769" s="1"/>
      <c r="U10769" s="1"/>
      <c r="V10769" s="1"/>
      <c r="W10769" s="1"/>
      <c r="X10769" s="1"/>
      <c r="Y10769" s="1"/>
      <c r="Z10769" s="1"/>
      <c r="AA10769" s="1"/>
      <c r="AB10769" s="1"/>
    </row>
    <row r="10770" ht="50.25" customHeight="1">
      <c r="A10770" s="12">
        <v>10766.0</v>
      </c>
      <c r="B10770" s="13" t="s">
        <v>10535</v>
      </c>
      <c r="C10770" s="18" t="s">
        <v>10798</v>
      </c>
      <c r="D10770" s="1"/>
      <c r="E10770" s="1"/>
      <c r="F10770" s="1" t="str">
        <f>IFERROR(__xludf.DUMMYFUNCTION("GOOGLETRANSLATE(B10770, ""en"", ""fa"")
"),"کپی رایتینگ II")</f>
        <v>کپی رایتینگ II</v>
      </c>
      <c r="G10770" s="1" t="str">
        <f>IFERROR(__xludf.DUMMYFUNCTION("GOOGLETRANSLATE(C10770, ""en"", ""fa"")
"),"بهترین روش ها برای انتخاب و ترکیب جلوه های صوتی مرتبط و با کیفیت در ویدیوها یا پادکست های شما چیست؟")</f>
        <v>بهترین روش ها برای انتخاب و ترکیب جلوه های صوتی مرتبط و با کیفیت در ویدیوها یا پادکست های شما چیست؟</v>
      </c>
      <c r="H10770" s="1"/>
      <c r="I10770" s="1"/>
      <c r="J10770" s="1"/>
      <c r="K10770" s="1"/>
      <c r="L10770" s="1"/>
      <c r="M10770" s="1"/>
      <c r="N10770" s="1"/>
      <c r="O10770" s="1"/>
      <c r="P10770" s="1"/>
      <c r="Q10770" s="1"/>
      <c r="R10770" s="1"/>
      <c r="S10770" s="1"/>
      <c r="T10770" s="1"/>
      <c r="U10770" s="1"/>
      <c r="V10770" s="1"/>
      <c r="W10770" s="1"/>
      <c r="X10770" s="1"/>
      <c r="Y10770" s="1"/>
      <c r="Z10770" s="1"/>
      <c r="AA10770" s="1"/>
      <c r="AB10770" s="1"/>
    </row>
    <row r="10771" ht="50.25" customHeight="1">
      <c r="A10771" s="12">
        <v>10767.0</v>
      </c>
      <c r="B10771" s="13" t="s">
        <v>10535</v>
      </c>
      <c r="C10771" s="18" t="s">
        <v>10799</v>
      </c>
      <c r="D10771" s="1"/>
      <c r="E10771" s="1"/>
      <c r="F10771" s="1" t="str">
        <f>IFERROR(__xludf.DUMMYFUNCTION("GOOGLETRANSLATE(B10771, ""en"", ""fa"")
"),"کپی رایتینگ II")</f>
        <v>کپی رایتینگ II</v>
      </c>
      <c r="G10771" s="1" t="str">
        <f>IFERROR(__xludf.DUMMYFUNCTION("GOOGLETRANSLATE(C10771, ""en"", ""fa"")
"),"چگونه از تکنیک های داستان گویی برای ایجاد یک ارتباط عاطفی قوی با مخاطبان خود در فیلمنامه های ویدیویی یا پادکست خود استفاده کنید؟")</f>
        <v>چگونه از تکنیک های داستان گویی برای ایجاد یک ارتباط عاطفی قوی با مخاطبان خود در فیلمنامه های ویدیویی یا پادکست خود استفاده کنید؟</v>
      </c>
      <c r="H10771" s="1"/>
      <c r="I10771" s="1"/>
      <c r="J10771" s="1"/>
      <c r="K10771" s="1"/>
      <c r="L10771" s="1"/>
      <c r="M10771" s="1"/>
      <c r="N10771" s="1"/>
      <c r="O10771" s="1"/>
      <c r="P10771" s="1"/>
      <c r="Q10771" s="1"/>
      <c r="R10771" s="1"/>
      <c r="S10771" s="1"/>
      <c r="T10771" s="1"/>
      <c r="U10771" s="1"/>
      <c r="V10771" s="1"/>
      <c r="W10771" s="1"/>
      <c r="X10771" s="1"/>
      <c r="Y10771" s="1"/>
      <c r="Z10771" s="1"/>
      <c r="AA10771" s="1"/>
      <c r="AB10771" s="1"/>
    </row>
    <row r="10772" ht="50.25" customHeight="1">
      <c r="A10772" s="12">
        <v>10768.0</v>
      </c>
      <c r="B10772" s="13" t="s">
        <v>10535</v>
      </c>
      <c r="C10772" s="18" t="s">
        <v>10800</v>
      </c>
      <c r="D10772" s="1"/>
      <c r="E10772" s="1"/>
      <c r="F10772" s="1" t="str">
        <f>IFERROR(__xludf.DUMMYFUNCTION("GOOGLETRANSLATE(B10772, ""en"", ""fa"")
"),"کپی رایتینگ II")</f>
        <v>کپی رایتینگ II</v>
      </c>
      <c r="G10772" s="1" t="str">
        <f>IFERROR(__xludf.DUMMYFUNCTION("GOOGLETRANSLATE(C10772, ""en"", ""fa"")
"),"در مورد هنر گنجاندن زبان متقاعد کننده و ابزارهای بلاغی در محتوای ویدیویی یا پادکست خود بحث کنید.")</f>
        <v>در مورد هنر گنجاندن زبان متقاعد کننده و ابزارهای بلاغی در محتوای ویدیویی یا پادکست خود بحث کنید.</v>
      </c>
      <c r="H10772" s="1"/>
      <c r="I10772" s="1"/>
      <c r="J10772" s="1"/>
      <c r="K10772" s="1"/>
      <c r="L10772" s="1"/>
      <c r="M10772" s="1"/>
      <c r="N10772" s="1"/>
      <c r="O10772" s="1"/>
      <c r="P10772" s="1"/>
      <c r="Q10772" s="1"/>
      <c r="R10772" s="1"/>
      <c r="S10772" s="1"/>
      <c r="T10772" s="1"/>
      <c r="U10772" s="1"/>
      <c r="V10772" s="1"/>
      <c r="W10772" s="1"/>
      <c r="X10772" s="1"/>
      <c r="Y10772" s="1"/>
      <c r="Z10772" s="1"/>
      <c r="AA10772" s="1"/>
      <c r="AB10772" s="1"/>
    </row>
    <row r="10773" ht="50.25" customHeight="1">
      <c r="A10773" s="12">
        <v>10769.0</v>
      </c>
      <c r="B10773" s="13" t="s">
        <v>10535</v>
      </c>
      <c r="C10773" s="18" t="s">
        <v>10801</v>
      </c>
      <c r="D10773" s="1"/>
      <c r="E10773" s="1"/>
      <c r="F10773" s="1" t="str">
        <f>IFERROR(__xludf.DUMMYFUNCTION("GOOGLETRANSLATE(B10773, ""en"", ""fa"")
"),"کپی رایتینگ II")</f>
        <v>کپی رایتینگ II</v>
      </c>
      <c r="G10773" s="1" t="str">
        <f>IFERROR(__xludf.DUMMYFUNCTION("GOOGLETRANSLATE(C10773, ""en"", ""fa"")
"),"چگونه قسمت های پادکست خود را به طور موثر ساختار و سازماندهی کنید تا یک تجربه شنیداری منسجم و جذاب ارائه دهید؟")</f>
        <v>چگونه قسمت های پادکست خود را به طور موثر ساختار و سازماندهی کنید تا یک تجربه شنیداری منسجم و جذاب ارائه دهید؟</v>
      </c>
      <c r="H10773" s="1"/>
      <c r="I10773" s="1"/>
      <c r="J10773" s="1"/>
      <c r="K10773" s="1"/>
      <c r="L10773" s="1"/>
      <c r="M10773" s="1"/>
      <c r="N10773" s="1"/>
      <c r="O10773" s="1"/>
      <c r="P10773" s="1"/>
      <c r="Q10773" s="1"/>
      <c r="R10773" s="1"/>
      <c r="S10773" s="1"/>
      <c r="T10773" s="1"/>
      <c r="U10773" s="1"/>
      <c r="V10773" s="1"/>
      <c r="W10773" s="1"/>
      <c r="X10773" s="1"/>
      <c r="Y10773" s="1"/>
      <c r="Z10773" s="1"/>
      <c r="AA10773" s="1"/>
      <c r="AB10773" s="1"/>
    </row>
    <row r="10774" ht="50.25" customHeight="1">
      <c r="A10774" s="12">
        <v>10770.0</v>
      </c>
      <c r="B10774" s="13" t="s">
        <v>10535</v>
      </c>
      <c r="C10774" s="18" t="s">
        <v>10802</v>
      </c>
      <c r="D10774" s="1"/>
      <c r="E10774" s="1"/>
      <c r="F10774" s="1" t="str">
        <f>IFERROR(__xludf.DUMMYFUNCTION("GOOGLETRANSLATE(B10774, ""en"", ""fa"")
"),"کپی رایتینگ II")</f>
        <v>کپی رایتینگ II</v>
      </c>
      <c r="G10774" s="1" t="str">
        <f>IFERROR(__xludf.DUMMYFUNCTION("GOOGLETRANSLATE(C10774, ""en"", ""fa"")
"),"چه تکنیک هایی برای استفاده از تعلیق و cliffhangers وجود دارد تا مخاطبان شما مشتاقانه قسمت بعدی پادکست شما را پیش بینی کنند؟")</f>
        <v>چه تکنیک هایی برای استفاده از تعلیق و cliffhangers وجود دارد تا مخاطبان شما مشتاقانه قسمت بعدی پادکست شما را پیش بینی کنند؟</v>
      </c>
      <c r="H10774" s="1"/>
      <c r="I10774" s="1"/>
      <c r="J10774" s="1"/>
      <c r="K10774" s="1"/>
      <c r="L10774" s="1"/>
      <c r="M10774" s="1"/>
      <c r="N10774" s="1"/>
      <c r="O10774" s="1"/>
      <c r="P10774" s="1"/>
      <c r="Q10774" s="1"/>
      <c r="R10774" s="1"/>
      <c r="S10774" s="1"/>
      <c r="T10774" s="1"/>
      <c r="U10774" s="1"/>
      <c r="V10774" s="1"/>
      <c r="W10774" s="1"/>
      <c r="X10774" s="1"/>
      <c r="Y10774" s="1"/>
      <c r="Z10774" s="1"/>
      <c r="AA10774" s="1"/>
      <c r="AB10774" s="1"/>
    </row>
    <row r="10775" ht="50.25" customHeight="1">
      <c r="A10775" s="12">
        <v>10771.0</v>
      </c>
      <c r="B10775" s="13" t="s">
        <v>10535</v>
      </c>
      <c r="C10775" s="18" t="s">
        <v>10803</v>
      </c>
      <c r="D10775" s="1"/>
      <c r="E10775" s="1"/>
      <c r="F10775" s="1" t="str">
        <f>IFERROR(__xludf.DUMMYFUNCTION("GOOGLETRANSLATE(B10775, ""en"", ""fa"")
"),"کپی رایتینگ II")</f>
        <v>کپی رایتینگ II</v>
      </c>
      <c r="G10775" s="1" t="str">
        <f>IFERROR(__xludf.DUMMYFUNCTION("GOOGLETRANSLATE(C10775, ""en"", ""fa"")
"),"روش های مختلف برای انجام تحقیقات عمیق برای پشتیبانی از محتوای ویدیویی یا پادکست خود را کاوش کنید.")</f>
        <v>روش های مختلف برای انجام تحقیقات عمیق برای پشتیبانی از محتوای ویدیویی یا پادکست خود را کاوش کنید.</v>
      </c>
      <c r="H10775" s="1"/>
      <c r="I10775" s="1"/>
      <c r="J10775" s="1"/>
      <c r="K10775" s="1"/>
      <c r="L10775" s="1"/>
      <c r="M10775" s="1"/>
      <c r="N10775" s="1"/>
      <c r="O10775" s="1"/>
      <c r="P10775" s="1"/>
      <c r="Q10775" s="1"/>
      <c r="R10775" s="1"/>
      <c r="S10775" s="1"/>
      <c r="T10775" s="1"/>
      <c r="U10775" s="1"/>
      <c r="V10775" s="1"/>
      <c r="W10775" s="1"/>
      <c r="X10775" s="1"/>
      <c r="Y10775" s="1"/>
      <c r="Z10775" s="1"/>
      <c r="AA10775" s="1"/>
      <c r="AB10775" s="1"/>
    </row>
    <row r="10776" ht="50.25" customHeight="1">
      <c r="A10776" s="12">
        <v>10772.0</v>
      </c>
      <c r="B10776" s="13" t="s">
        <v>10535</v>
      </c>
      <c r="C10776" s="18" t="s">
        <v>10804</v>
      </c>
      <c r="D10776" s="1"/>
      <c r="E10776" s="1"/>
      <c r="F10776" s="1" t="str">
        <f>IFERROR(__xludf.DUMMYFUNCTION("GOOGLETRANSLATE(B10776, ""en"", ""fa"")
"),"کپی رایتینگ II")</f>
        <v>کپی رایتینگ II</v>
      </c>
      <c r="G10776" s="1" t="str">
        <f>IFERROR(__xludf.DUMMYFUNCTION("GOOGLETRANSLATE(C10776, ""en"", ""fa"")
"),"چگونه می توان اسکریپت های ویدیویی یا پادکست های جذاب و بصری را برای پلتفرم های رسانه های اجتماعی ایجاد کرد؟")</f>
        <v>چگونه می توان اسکریپت های ویدیویی یا پادکست های جذاب و بصری را برای پلتفرم های رسانه های اجتماعی ایجاد کرد؟</v>
      </c>
      <c r="H10776" s="1"/>
      <c r="I10776" s="1"/>
      <c r="J10776" s="1"/>
      <c r="K10776" s="1"/>
      <c r="L10776" s="1"/>
      <c r="M10776" s="1"/>
      <c r="N10776" s="1"/>
      <c r="O10776" s="1"/>
      <c r="P10776" s="1"/>
      <c r="Q10776" s="1"/>
      <c r="R10776" s="1"/>
      <c r="S10776" s="1"/>
      <c r="T10776" s="1"/>
      <c r="U10776" s="1"/>
      <c r="V10776" s="1"/>
      <c r="W10776" s="1"/>
      <c r="X10776" s="1"/>
      <c r="Y10776" s="1"/>
      <c r="Z10776" s="1"/>
      <c r="AA10776" s="1"/>
      <c r="AB10776" s="1"/>
    </row>
    <row r="10777" ht="50.25" customHeight="1">
      <c r="A10777" s="12">
        <v>10773.0</v>
      </c>
      <c r="B10777" s="13" t="s">
        <v>10535</v>
      </c>
      <c r="C10777" s="18" t="s">
        <v>10805</v>
      </c>
      <c r="D10777" s="1"/>
      <c r="E10777" s="1"/>
      <c r="F10777" s="1" t="str">
        <f>IFERROR(__xludf.DUMMYFUNCTION("GOOGLETRANSLATE(B10777, ""en"", ""fa"")
"),"کپی رایتینگ II")</f>
        <v>کپی رایتینگ II</v>
      </c>
      <c r="G10777" s="1" t="str">
        <f>IFERROR(__xludf.DUMMYFUNCTION("GOOGLETRANSLATE(C10777, ""en"", ""fa"")
"),"در مورد اهمیت اصالت و شفافیت در ایجاد اعتماد با مخاطبان خود در اسکریپت های ویدیویی یا پادکست ها بحث کنید.")</f>
        <v>در مورد اهمیت اصالت و شفافیت در ایجاد اعتماد با مخاطبان خود در اسکریپت های ویدیویی یا پادکست ها بحث کنید.</v>
      </c>
      <c r="H10777" s="1"/>
      <c r="I10777" s="1"/>
      <c r="J10777" s="1"/>
      <c r="K10777" s="1"/>
      <c r="L10777" s="1"/>
      <c r="M10777" s="1"/>
      <c r="N10777" s="1"/>
      <c r="O10777" s="1"/>
      <c r="P10777" s="1"/>
      <c r="Q10777" s="1"/>
      <c r="R10777" s="1"/>
      <c r="S10777" s="1"/>
      <c r="T10777" s="1"/>
      <c r="U10777" s="1"/>
      <c r="V10777" s="1"/>
      <c r="W10777" s="1"/>
      <c r="X10777" s="1"/>
      <c r="Y10777" s="1"/>
      <c r="Z10777" s="1"/>
      <c r="AA10777" s="1"/>
      <c r="AB10777" s="1"/>
    </row>
    <row r="10778" ht="50.25" customHeight="1">
      <c r="A10778" s="12">
        <v>10774.0</v>
      </c>
      <c r="B10778" s="13" t="s">
        <v>10535</v>
      </c>
      <c r="C10778" s="18" t="s">
        <v>10806</v>
      </c>
      <c r="D10778" s="1"/>
      <c r="E10778" s="1"/>
      <c r="F10778" s="1" t="str">
        <f>IFERROR(__xludf.DUMMYFUNCTION("GOOGLETRANSLATE(B10778, ""en"", ""fa"")
"),"کپی رایتینگ II")</f>
        <v>کپی رایتینگ II</v>
      </c>
      <c r="G10778" s="1" t="str">
        <f>IFERROR(__xludf.DUMMYFUNCTION("GOOGLETRANSLATE(C10778, ""en"", ""fa"")
"),"چگونه از استعاره ها یا تشبیه ها برای ساده سازی مفاهیم پیچیده و ایجاد ارتباط بیشتر محتوای ویدیویی یا پادکست خود استفاده کنیم؟")</f>
        <v>چگونه از استعاره ها یا تشبیه ها برای ساده سازی مفاهیم پیچیده و ایجاد ارتباط بیشتر محتوای ویدیویی یا پادکست خود استفاده کنیم؟</v>
      </c>
      <c r="H10778" s="1"/>
      <c r="I10778" s="1"/>
      <c r="J10778" s="1"/>
      <c r="K10778" s="1"/>
      <c r="L10778" s="1"/>
      <c r="M10778" s="1"/>
      <c r="N10778" s="1"/>
      <c r="O10778" s="1"/>
      <c r="P10778" s="1"/>
      <c r="Q10778" s="1"/>
      <c r="R10778" s="1"/>
      <c r="S10778" s="1"/>
      <c r="T10778" s="1"/>
      <c r="U10778" s="1"/>
      <c r="V10778" s="1"/>
      <c r="W10778" s="1"/>
      <c r="X10778" s="1"/>
      <c r="Y10778" s="1"/>
      <c r="Z10778" s="1"/>
      <c r="AA10778" s="1"/>
      <c r="AB10778" s="1"/>
    </row>
    <row r="10779" ht="50.25" customHeight="1">
      <c r="A10779" s="12">
        <v>10775.0</v>
      </c>
      <c r="B10779" s="13" t="s">
        <v>10535</v>
      </c>
      <c r="C10779" s="18" t="s">
        <v>10807</v>
      </c>
      <c r="D10779" s="1"/>
      <c r="E10779" s="1"/>
      <c r="F10779" s="1" t="str">
        <f>IFERROR(__xludf.DUMMYFUNCTION("GOOGLETRANSLATE(B10779, ""en"", ""fa"")
"),"کپی رایتینگ II")</f>
        <v>کپی رایتینگ II</v>
      </c>
      <c r="G10779" s="1" t="str">
        <f>IFERROR(__xludf.DUMMYFUNCTION("GOOGLETRANSLATE(C10779, ""en"", ""fa"")
"),"تکنیک های انجام مطالعات موردی قانع کننده و آموزنده در پادکست ها چیست؟")</f>
        <v>تکنیک های انجام مطالعات موردی قانع کننده و آموزنده در پادکست ها چیست؟</v>
      </c>
      <c r="H10779" s="1"/>
      <c r="I10779" s="1"/>
      <c r="J10779" s="1"/>
      <c r="K10779" s="1"/>
      <c r="L10779" s="1"/>
      <c r="M10779" s="1"/>
      <c r="N10779" s="1"/>
      <c r="O10779" s="1"/>
      <c r="P10779" s="1"/>
      <c r="Q10779" s="1"/>
      <c r="R10779" s="1"/>
      <c r="S10779" s="1"/>
      <c r="T10779" s="1"/>
      <c r="U10779" s="1"/>
      <c r="V10779" s="1"/>
      <c r="W10779" s="1"/>
      <c r="X10779" s="1"/>
      <c r="Y10779" s="1"/>
      <c r="Z10779" s="1"/>
      <c r="AA10779" s="1"/>
      <c r="AB10779" s="1"/>
    </row>
    <row r="10780" ht="50.25" customHeight="1">
      <c r="A10780" s="12">
        <v>10776.0</v>
      </c>
      <c r="B10780" s="13" t="s">
        <v>10535</v>
      </c>
      <c r="C10780" s="18" t="s">
        <v>10808</v>
      </c>
      <c r="D10780" s="1"/>
      <c r="E10780" s="1"/>
      <c r="F10780" s="1" t="str">
        <f>IFERROR(__xludf.DUMMYFUNCTION("GOOGLETRANSLATE(B10780, ""en"", ""fa"")
"),"کپی رایتینگ II")</f>
        <v>کپی رایتینگ II</v>
      </c>
      <c r="G10780" s="1" t="str">
        <f>IFERROR(__xludf.DUMMYFUNCTION("GOOGLETRANSLATE(C10780, ""en"", ""fa"")
"),"استراتژی های مختلف برای ترکیب عناصر داستان سرایی در فیلمنامه های آموزشی یا آموزشی یا پادکست ها را بررسی کنید.")</f>
        <v>استراتژی های مختلف برای ترکیب عناصر داستان سرایی در فیلمنامه های آموزشی یا آموزشی یا پادکست ها را بررسی کنید.</v>
      </c>
      <c r="H10780" s="1"/>
      <c r="I10780" s="1"/>
      <c r="J10780" s="1"/>
      <c r="K10780" s="1"/>
      <c r="L10780" s="1"/>
      <c r="M10780" s="1"/>
      <c r="N10780" s="1"/>
      <c r="O10780" s="1"/>
      <c r="P10780" s="1"/>
      <c r="Q10780" s="1"/>
      <c r="R10780" s="1"/>
      <c r="S10780" s="1"/>
      <c r="T10780" s="1"/>
      <c r="U10780" s="1"/>
      <c r="V10780" s="1"/>
      <c r="W10780" s="1"/>
      <c r="X10780" s="1"/>
      <c r="Y10780" s="1"/>
      <c r="Z10780" s="1"/>
      <c r="AA10780" s="1"/>
      <c r="AB10780" s="1"/>
    </row>
    <row r="10781" ht="50.25" customHeight="1">
      <c r="A10781" s="12">
        <v>10777.0</v>
      </c>
      <c r="B10781" s="13" t="s">
        <v>10535</v>
      </c>
      <c r="C10781" s="18" t="s">
        <v>10809</v>
      </c>
      <c r="D10781" s="1"/>
      <c r="E10781" s="1"/>
      <c r="F10781" s="1" t="str">
        <f>IFERROR(__xludf.DUMMYFUNCTION("GOOGLETRANSLATE(B10781, ""en"", ""fa"")
"),"کپی رایتینگ II")</f>
        <v>کپی رایتینگ II</v>
      </c>
      <c r="G10781" s="1" t="str">
        <f>IFERROR(__xludf.DUMMYFUNCTION("GOOGLETRANSLATE(C10781, ""en"", ""fa"")
"),"چگونه عناوین یا تصاویر کوچک جذاب و قابل کلیک برای ویدیوها یا پادکست های خود بسازید؟")</f>
        <v>چگونه عناوین یا تصاویر کوچک جذاب و قابل کلیک برای ویدیوها یا پادکست های خود بسازید؟</v>
      </c>
      <c r="H10781" s="1"/>
      <c r="I10781" s="1"/>
      <c r="J10781" s="1"/>
      <c r="K10781" s="1"/>
      <c r="L10781" s="1"/>
      <c r="M10781" s="1"/>
      <c r="N10781" s="1"/>
      <c r="O10781" s="1"/>
      <c r="P10781" s="1"/>
      <c r="Q10781" s="1"/>
      <c r="R10781" s="1"/>
      <c r="S10781" s="1"/>
      <c r="T10781" s="1"/>
      <c r="U10781" s="1"/>
      <c r="V10781" s="1"/>
      <c r="W10781" s="1"/>
      <c r="X10781" s="1"/>
      <c r="Y10781" s="1"/>
      <c r="Z10781" s="1"/>
      <c r="AA10781" s="1"/>
      <c r="AB10781" s="1"/>
    </row>
    <row r="10782" ht="50.25" customHeight="1">
      <c r="A10782" s="12">
        <v>10778.0</v>
      </c>
      <c r="B10782" s="13" t="s">
        <v>10535</v>
      </c>
      <c r="C10782" s="18" t="s">
        <v>10810</v>
      </c>
      <c r="D10782" s="1"/>
      <c r="E10782" s="1"/>
      <c r="F10782" s="1" t="str">
        <f>IFERROR(__xludf.DUMMYFUNCTION("GOOGLETRANSLATE(B10782, ""en"", ""fa"")
"),"کپی رایتینگ II")</f>
        <v>کپی رایتینگ II</v>
      </c>
      <c r="G10782" s="1" t="str">
        <f>IFERROR(__xludf.DUMMYFUNCTION("GOOGLETRANSLATE(C10782, ""en"", ""fa"")
"),"در مورد تأثیر کیفیت صدا و تولید صدا در ایجاد یک تجربه ویدیویی یا پادکست حرفه ای و لذت بخش بحث کنید.")</f>
        <v>در مورد تأثیر کیفیت صدا و تولید صدا در ایجاد یک تجربه ویدیویی یا پادکست حرفه ای و لذت بخش بحث کنید.</v>
      </c>
      <c r="H10782" s="1"/>
      <c r="I10782" s="1"/>
      <c r="J10782" s="1"/>
      <c r="K10782" s="1"/>
      <c r="L10782" s="1"/>
      <c r="M10782" s="1"/>
      <c r="N10782" s="1"/>
      <c r="O10782" s="1"/>
      <c r="P10782" s="1"/>
      <c r="Q10782" s="1"/>
      <c r="R10782" s="1"/>
      <c r="S10782" s="1"/>
      <c r="T10782" s="1"/>
      <c r="U10782" s="1"/>
      <c r="V10782" s="1"/>
      <c r="W10782" s="1"/>
      <c r="X10782" s="1"/>
      <c r="Y10782" s="1"/>
      <c r="Z10782" s="1"/>
      <c r="AA10782" s="1"/>
      <c r="AB10782" s="1"/>
    </row>
    <row r="10783" ht="50.25" customHeight="1">
      <c r="A10783" s="12">
        <v>10779.0</v>
      </c>
      <c r="B10783" s="13" t="s">
        <v>10535</v>
      </c>
      <c r="C10783" s="18" t="s">
        <v>10811</v>
      </c>
      <c r="D10783" s="1"/>
      <c r="E10783" s="1"/>
      <c r="F10783" s="1" t="str">
        <f>IFERROR(__xludf.DUMMYFUNCTION("GOOGLETRANSLATE(B10783, ""en"", ""fa"")
"),"کپی رایتینگ II")</f>
        <v>کپی رایتینگ II</v>
      </c>
      <c r="G10783" s="1" t="str">
        <f>IFERROR(__xludf.DUMMYFUNCTION("GOOGLETRANSLATE(C10783, ""en"", ""fa"")
"),"بهترین روش‌ها برای ترکیب سخنرانان مهمان یا متخصصان در اسکریپت‌های ویدیویی یا پادکست‌ها چیست؟")</f>
        <v>بهترین روش‌ها برای ترکیب سخنرانان مهمان یا متخصصان در اسکریپت‌های ویدیویی یا پادکست‌ها چیست؟</v>
      </c>
      <c r="H10783" s="1"/>
      <c r="I10783" s="1"/>
      <c r="J10783" s="1"/>
      <c r="K10783" s="1"/>
      <c r="L10783" s="1"/>
      <c r="M10783" s="1"/>
      <c r="N10783" s="1"/>
      <c r="O10783" s="1"/>
      <c r="P10783" s="1"/>
      <c r="Q10783" s="1"/>
      <c r="R10783" s="1"/>
      <c r="S10783" s="1"/>
      <c r="T10783" s="1"/>
      <c r="U10783" s="1"/>
      <c r="V10783" s="1"/>
      <c r="W10783" s="1"/>
      <c r="X10783" s="1"/>
      <c r="Y10783" s="1"/>
      <c r="Z10783" s="1"/>
      <c r="AA10783" s="1"/>
      <c r="AB10783" s="1"/>
    </row>
    <row r="10784" ht="50.25" customHeight="1">
      <c r="A10784" s="12">
        <v>10780.0</v>
      </c>
      <c r="B10784" s="13" t="s">
        <v>10535</v>
      </c>
      <c r="C10784" s="18" t="s">
        <v>10812</v>
      </c>
      <c r="D10784" s="1"/>
      <c r="E10784" s="1"/>
      <c r="F10784" s="1" t="str">
        <f>IFERROR(__xludf.DUMMYFUNCTION("GOOGLETRANSLATE(B10784, ""en"", ""fa"")
"),"کپی رایتینگ II")</f>
        <v>کپی رایتینگ II</v>
      </c>
      <c r="G10784" s="1" t="str">
        <f>IFERROR(__xludf.DUMMYFUNCTION("GOOGLETRANSLATE(C10784, ""en"", ""fa"")
"),"چگونه از تکنیک های داستان گویی بصری مانند استوری برد یا ترکیب شات برای افزایش جذابیت بصری ویدیوهای خود استفاده کنید؟")</f>
        <v>چگونه از تکنیک های داستان گویی بصری مانند استوری برد یا ترکیب شات برای افزایش جذابیت بصری ویدیوهای خود استفاده کنید؟</v>
      </c>
      <c r="H10784" s="1"/>
      <c r="I10784" s="1"/>
      <c r="J10784" s="1"/>
      <c r="K10784" s="1"/>
      <c r="L10784" s="1"/>
      <c r="M10784" s="1"/>
      <c r="N10784" s="1"/>
      <c r="O10784" s="1"/>
      <c r="P10784" s="1"/>
      <c r="Q10784" s="1"/>
      <c r="R10784" s="1"/>
      <c r="S10784" s="1"/>
      <c r="T10784" s="1"/>
      <c r="U10784" s="1"/>
      <c r="V10784" s="1"/>
      <c r="W10784" s="1"/>
      <c r="X10784" s="1"/>
      <c r="Y10784" s="1"/>
      <c r="Z10784" s="1"/>
      <c r="AA10784" s="1"/>
      <c r="AB10784" s="1"/>
    </row>
    <row r="10785" ht="50.25" customHeight="1">
      <c r="A10785" s="12">
        <v>10781.0</v>
      </c>
      <c r="B10785" s="13" t="s">
        <v>10535</v>
      </c>
      <c r="C10785" s="18" t="s">
        <v>10813</v>
      </c>
      <c r="D10785" s="1"/>
      <c r="E10785" s="1"/>
      <c r="F10785" s="1" t="str">
        <f>IFERROR(__xludf.DUMMYFUNCTION("GOOGLETRANSLATE(B10785, ""en"", ""fa"")
"),"کپی رایتینگ II")</f>
        <v>کپی رایتینگ II</v>
      </c>
      <c r="G10785" s="1" t="str">
        <f>IFERROR(__xludf.DUMMYFUNCTION("GOOGLETRANSLATE(C10785, ""en"", ""fa"")
"),"روش های مختلف برای گنجاندن حکایات یا داستان های شخصی در محتوای ویدیویی یا پادکست خود را کاوش کنید.")</f>
        <v>روش های مختلف برای گنجاندن حکایات یا داستان های شخصی در محتوای ویدیویی یا پادکست خود را کاوش کنید.</v>
      </c>
      <c r="H10785" s="1"/>
      <c r="I10785" s="1"/>
      <c r="J10785" s="1"/>
      <c r="K10785" s="1"/>
      <c r="L10785" s="1"/>
      <c r="M10785" s="1"/>
      <c r="N10785" s="1"/>
      <c r="O10785" s="1"/>
      <c r="P10785" s="1"/>
      <c r="Q10785" s="1"/>
      <c r="R10785" s="1"/>
      <c r="S10785" s="1"/>
      <c r="T10785" s="1"/>
      <c r="U10785" s="1"/>
      <c r="V10785" s="1"/>
      <c r="W10785" s="1"/>
      <c r="X10785" s="1"/>
      <c r="Y10785" s="1"/>
      <c r="Z10785" s="1"/>
      <c r="AA10785" s="1"/>
      <c r="AB10785" s="1"/>
    </row>
    <row r="10786" ht="50.25" customHeight="1">
      <c r="A10786" s="12">
        <v>10782.0</v>
      </c>
      <c r="B10786" s="13" t="s">
        <v>10535</v>
      </c>
      <c r="C10786" s="18" t="s">
        <v>10814</v>
      </c>
      <c r="D10786" s="1"/>
      <c r="E10786" s="1"/>
      <c r="F10786" s="1" t="str">
        <f>IFERROR(__xludf.DUMMYFUNCTION("GOOGLETRANSLATE(B10786, ""en"", ""fa"")
"),"کپی رایتینگ II")</f>
        <v>کپی رایتینگ II</v>
      </c>
      <c r="G10786" s="1" t="str">
        <f>IFERROR(__xludf.DUMMYFUNCTION("GOOGLETRANSLATE(C10786, ""en"", ""fa"")
"),"تکنیک های استفاده از سؤالات بلاغی برای درگیر کردن و به چالش کشیدن مخاطبان در فیلمنامه های ویدیویی یا پادکست ها چیست؟")</f>
        <v>تکنیک های استفاده از سؤالات بلاغی برای درگیر کردن و به چالش کشیدن مخاطبان در فیلمنامه های ویدیویی یا پادکست ها چیست؟</v>
      </c>
      <c r="H10786" s="1"/>
      <c r="I10786" s="1"/>
      <c r="J10786" s="1"/>
      <c r="K10786" s="1"/>
      <c r="L10786" s="1"/>
      <c r="M10786" s="1"/>
      <c r="N10786" s="1"/>
      <c r="O10786" s="1"/>
      <c r="P10786" s="1"/>
      <c r="Q10786" s="1"/>
      <c r="R10786" s="1"/>
      <c r="S10786" s="1"/>
      <c r="T10786" s="1"/>
      <c r="U10786" s="1"/>
      <c r="V10786" s="1"/>
      <c r="W10786" s="1"/>
      <c r="X10786" s="1"/>
      <c r="Y10786" s="1"/>
      <c r="Z10786" s="1"/>
      <c r="AA10786" s="1"/>
      <c r="AB10786" s="1"/>
    </row>
    <row r="10787" ht="50.25" customHeight="1">
      <c r="A10787" s="12">
        <v>10783.0</v>
      </c>
      <c r="B10787" s="13" t="s">
        <v>10535</v>
      </c>
      <c r="C10787" s="18" t="s">
        <v>10815</v>
      </c>
      <c r="D10787" s="1"/>
      <c r="E10787" s="1"/>
      <c r="F10787" s="1" t="str">
        <f>IFERROR(__xludf.DUMMYFUNCTION("GOOGLETRANSLATE(B10787, ""en"", ""fa"")
"),"کپی رایتینگ II")</f>
        <v>کپی رایتینگ II</v>
      </c>
      <c r="G10787" s="1" t="str">
        <f>IFERROR(__xludf.DUMMYFUNCTION("GOOGLETRANSLATE(C10787, ""en"", ""fa"")
"),"چگونه می توان به طور مؤثر از طنز به عنوان راهی برای ارتباط با مخاطبان خود و ایجاد فضایی آرام در ویدیوها یا پادکست های خود استفاده کرد؟")</f>
        <v>چگونه می توان به طور مؤثر از طنز به عنوان راهی برای ارتباط با مخاطبان خود و ایجاد فضایی آرام در ویدیوها یا پادکست های خود استفاده کرد؟</v>
      </c>
      <c r="H10787" s="1"/>
      <c r="I10787" s="1"/>
      <c r="J10787" s="1"/>
      <c r="K10787" s="1"/>
      <c r="L10787" s="1"/>
      <c r="M10787" s="1"/>
      <c r="N10787" s="1"/>
      <c r="O10787" s="1"/>
      <c r="P10787" s="1"/>
      <c r="Q10787" s="1"/>
      <c r="R10787" s="1"/>
      <c r="S10787" s="1"/>
      <c r="T10787" s="1"/>
      <c r="U10787" s="1"/>
      <c r="V10787" s="1"/>
      <c r="W10787" s="1"/>
      <c r="X10787" s="1"/>
      <c r="Y10787" s="1"/>
      <c r="Z10787" s="1"/>
      <c r="AA10787" s="1"/>
      <c r="AB10787" s="1"/>
    </row>
    <row r="10788" ht="50.25" customHeight="1">
      <c r="A10788" s="12">
        <v>10784.0</v>
      </c>
      <c r="B10788" s="13" t="s">
        <v>10535</v>
      </c>
      <c r="C10788" s="18" t="s">
        <v>10816</v>
      </c>
      <c r="D10788" s="1"/>
      <c r="E10788" s="1"/>
      <c r="F10788" s="1" t="str">
        <f>IFERROR(__xludf.DUMMYFUNCTION("GOOGLETRANSLATE(B10788, ""en"", ""fa"")
"),"کپی رایتینگ II")</f>
        <v>کپی رایتینگ II</v>
      </c>
      <c r="G10788" s="1" t="str">
        <f>IFERROR(__xludf.DUMMYFUNCTION("GOOGLETRANSLATE(C10788, ""en"", ""fa"")
"),"در مورد هنر ساخت مونولوگ های تاثیرگذار و قابل تامل برای اسکریپت های ویدیویی یا پادکست خود بحث کنید.")</f>
        <v>در مورد هنر ساخت مونولوگ های تاثیرگذار و قابل تامل برای اسکریپت های ویدیویی یا پادکست خود بحث کنید.</v>
      </c>
      <c r="H10788" s="1"/>
      <c r="I10788" s="1"/>
      <c r="J10788" s="1"/>
      <c r="K10788" s="1"/>
      <c r="L10788" s="1"/>
      <c r="M10788" s="1"/>
      <c r="N10788" s="1"/>
      <c r="O10788" s="1"/>
      <c r="P10788" s="1"/>
      <c r="Q10788" s="1"/>
      <c r="R10788" s="1"/>
      <c r="S10788" s="1"/>
      <c r="T10788" s="1"/>
      <c r="U10788" s="1"/>
      <c r="V10788" s="1"/>
      <c r="W10788" s="1"/>
      <c r="X10788" s="1"/>
      <c r="Y10788" s="1"/>
      <c r="Z10788" s="1"/>
      <c r="AA10788" s="1"/>
      <c r="AB10788" s="1"/>
    </row>
    <row r="10789" ht="50.25" customHeight="1">
      <c r="A10789" s="12">
        <v>10785.0</v>
      </c>
      <c r="B10789" s="13" t="s">
        <v>10535</v>
      </c>
      <c r="C10789" s="18" t="s">
        <v>10817</v>
      </c>
      <c r="D10789" s="1"/>
      <c r="E10789" s="1"/>
      <c r="F10789" s="1" t="str">
        <f>IFERROR(__xludf.DUMMYFUNCTION("GOOGLETRANSLATE(B10789, ""en"", ""fa"")
"),"کپی رایتینگ II")</f>
        <v>کپی رایتینگ II</v>
      </c>
      <c r="G10789" s="1" t="str">
        <f>IFERROR(__xludf.DUMMYFUNCTION("GOOGLETRANSLATE(C10789, ""en"", ""fa"")
"),"چگونه برای ویدیو یا پادکست خود یک بازه جذاب و جلب توجه ایجاد کنیم؟")</f>
        <v>چگونه برای ویدیو یا پادکست خود یک بازه جذاب و جلب توجه ایجاد کنیم؟</v>
      </c>
      <c r="H10789" s="1"/>
      <c r="I10789" s="1"/>
      <c r="J10789" s="1"/>
      <c r="K10789" s="1"/>
      <c r="L10789" s="1"/>
      <c r="M10789" s="1"/>
      <c r="N10789" s="1"/>
      <c r="O10789" s="1"/>
      <c r="P10789" s="1"/>
      <c r="Q10789" s="1"/>
      <c r="R10789" s="1"/>
      <c r="S10789" s="1"/>
      <c r="T10789" s="1"/>
      <c r="U10789" s="1"/>
      <c r="V10789" s="1"/>
      <c r="W10789" s="1"/>
      <c r="X10789" s="1"/>
      <c r="Y10789" s="1"/>
      <c r="Z10789" s="1"/>
      <c r="AA10789" s="1"/>
      <c r="AB10789" s="1"/>
    </row>
    <row r="10790" ht="50.25" customHeight="1">
      <c r="A10790" s="12">
        <v>10786.0</v>
      </c>
      <c r="B10790" s="13" t="s">
        <v>10535</v>
      </c>
      <c r="C10790" s="18" t="s">
        <v>10818</v>
      </c>
      <c r="D10790" s="1"/>
      <c r="E10790" s="1"/>
      <c r="F10790" s="1" t="str">
        <f>IFERROR(__xludf.DUMMYFUNCTION("GOOGLETRANSLATE(B10790, ""en"", ""fa"")
"),"کپی رایتینگ II")</f>
        <v>کپی رایتینگ II</v>
      </c>
      <c r="G10790" s="1" t="str">
        <f>IFERROR(__xludf.DUMMYFUNCTION("GOOGLETRANSLATE(C10790, ""en"", ""fa"")
"),"تکنیک‌هایی برای ادغام مؤثر حمایت‌ها یا تبلیغات در قسمت‌های پادکست شما چیست؟")</f>
        <v>تکنیک‌هایی برای ادغام مؤثر حمایت‌ها یا تبلیغات در قسمت‌های پادکست شما چیست؟</v>
      </c>
      <c r="H10790" s="1"/>
      <c r="I10790" s="1"/>
      <c r="J10790" s="1"/>
      <c r="K10790" s="1"/>
      <c r="L10790" s="1"/>
      <c r="M10790" s="1"/>
      <c r="N10790" s="1"/>
      <c r="O10790" s="1"/>
      <c r="P10790" s="1"/>
      <c r="Q10790" s="1"/>
      <c r="R10790" s="1"/>
      <c r="S10790" s="1"/>
      <c r="T10790" s="1"/>
      <c r="U10790" s="1"/>
      <c r="V10790" s="1"/>
      <c r="W10790" s="1"/>
      <c r="X10790" s="1"/>
      <c r="Y10790" s="1"/>
      <c r="Z10790" s="1"/>
      <c r="AA10790" s="1"/>
      <c r="AB10790" s="1"/>
    </row>
    <row r="10791" ht="50.25" customHeight="1">
      <c r="A10791" s="12">
        <v>10787.0</v>
      </c>
      <c r="B10791" s="13" t="s">
        <v>10535</v>
      </c>
      <c r="C10791" s="18" t="s">
        <v>10819</v>
      </c>
      <c r="D10791" s="1"/>
      <c r="E10791" s="1"/>
      <c r="F10791" s="1" t="str">
        <f>IFERROR(__xludf.DUMMYFUNCTION("GOOGLETRANSLATE(B10791, ""en"", ""fa"")
"),"کپی رایتینگ II")</f>
        <v>کپی رایتینگ II</v>
      </c>
      <c r="G10791" s="1" t="str">
        <f>IFERROR(__xludf.DUMMYFUNCTION("GOOGLETRANSLATE(C10791, ""en"", ""fa"")
"),"استراتژی‌های مختلف را برای گنجاندن بازخوردها و سؤالات شنونده یا بیننده در اسکریپت‌های ویدیویی یا پادکست‌های خود کاوش کنید.")</f>
        <v>استراتژی‌های مختلف را برای گنجاندن بازخوردها و سؤالات شنونده یا بیننده در اسکریپت‌های ویدیویی یا پادکست‌های خود کاوش کنید.</v>
      </c>
      <c r="H10791" s="1"/>
      <c r="I10791" s="1"/>
      <c r="J10791" s="1"/>
      <c r="K10791" s="1"/>
      <c r="L10791" s="1"/>
      <c r="M10791" s="1"/>
      <c r="N10791" s="1"/>
      <c r="O10791" s="1"/>
      <c r="P10791" s="1"/>
      <c r="Q10791" s="1"/>
      <c r="R10791" s="1"/>
      <c r="S10791" s="1"/>
      <c r="T10791" s="1"/>
      <c r="U10791" s="1"/>
      <c r="V10791" s="1"/>
      <c r="W10791" s="1"/>
      <c r="X10791" s="1"/>
      <c r="Y10791" s="1"/>
      <c r="Z10791" s="1"/>
      <c r="AA10791" s="1"/>
      <c r="AB10791" s="1"/>
    </row>
    <row r="10792" ht="50.25" customHeight="1">
      <c r="A10792" s="12">
        <v>10788.0</v>
      </c>
      <c r="B10792" s="13" t="s">
        <v>10535</v>
      </c>
      <c r="C10792" s="18" t="s">
        <v>10820</v>
      </c>
      <c r="D10792" s="1"/>
      <c r="E10792" s="1"/>
      <c r="F10792" s="1" t="str">
        <f>IFERROR(__xludf.DUMMYFUNCTION("GOOGLETRANSLATE(B10792, ""en"", ""fa"")
"),"کپی رایتینگ II")</f>
        <v>کپی رایتینگ II</v>
      </c>
      <c r="G10792" s="1" t="str">
        <f>IFERROR(__xludf.DUMMYFUNCTION("GOOGLETRANSLATE(C10792, ""en"", ""fa"")
"),"چگونه از تکنیک های داستان سرایی بصری، مانند استعاره های بصری یا نمادگرایی، برای انتقال معنای عمیق تر در ویدیوهای خود استفاده کنید؟")</f>
        <v>چگونه از تکنیک های داستان سرایی بصری، مانند استعاره های بصری یا نمادگرایی، برای انتقال معنای عمیق تر در ویدیوهای خود استفاده کنید؟</v>
      </c>
      <c r="H10792" s="1"/>
      <c r="I10792" s="1"/>
      <c r="J10792" s="1"/>
      <c r="K10792" s="1"/>
      <c r="L10792" s="1"/>
      <c r="M10792" s="1"/>
      <c r="N10792" s="1"/>
      <c r="O10792" s="1"/>
      <c r="P10792" s="1"/>
      <c r="Q10792" s="1"/>
      <c r="R10792" s="1"/>
      <c r="S10792" s="1"/>
      <c r="T10792" s="1"/>
      <c r="U10792" s="1"/>
      <c r="V10792" s="1"/>
      <c r="W10792" s="1"/>
      <c r="X10792" s="1"/>
      <c r="Y10792" s="1"/>
      <c r="Z10792" s="1"/>
      <c r="AA10792" s="1"/>
      <c r="AB10792" s="1"/>
    </row>
    <row r="10793" ht="50.25" customHeight="1">
      <c r="A10793" s="12">
        <v>10789.0</v>
      </c>
      <c r="B10793" s="13" t="s">
        <v>10535</v>
      </c>
      <c r="C10793" s="18" t="s">
        <v>10821</v>
      </c>
      <c r="D10793" s="1"/>
      <c r="E10793" s="1"/>
      <c r="F10793" s="1" t="str">
        <f>IFERROR(__xludf.DUMMYFUNCTION("GOOGLETRANSLATE(B10793, ""en"", ""fa"")
"),"کپی رایتینگ II")</f>
        <v>کپی رایتینگ II</v>
      </c>
      <c r="G10793" s="1" t="str">
        <f>IFERROR(__xludf.DUMMYFUNCTION("GOOGLETRANSLATE(C10793, ""en"", ""fa"")
"),"در مورد اهمیت سرعت و زمان بندی در ارائه موثر پیام خود در اسکریپت های ویدیویی یا پادکست ها بحث کنید.")</f>
        <v>در مورد اهمیت سرعت و زمان بندی در ارائه موثر پیام خود در اسکریپت های ویدیویی یا پادکست ها بحث کنید.</v>
      </c>
      <c r="H10793" s="1"/>
      <c r="I10793" s="1"/>
      <c r="J10793" s="1"/>
      <c r="K10793" s="1"/>
      <c r="L10793" s="1"/>
      <c r="M10793" s="1"/>
      <c r="N10793" s="1"/>
      <c r="O10793" s="1"/>
      <c r="P10793" s="1"/>
      <c r="Q10793" s="1"/>
      <c r="R10793" s="1"/>
      <c r="S10793" s="1"/>
      <c r="T10793" s="1"/>
      <c r="U10793" s="1"/>
      <c r="V10793" s="1"/>
      <c r="W10793" s="1"/>
      <c r="X10793" s="1"/>
      <c r="Y10793" s="1"/>
      <c r="Z10793" s="1"/>
      <c r="AA10793" s="1"/>
      <c r="AB10793" s="1"/>
    </row>
    <row r="10794" ht="50.25" customHeight="1">
      <c r="A10794" s="12">
        <v>10790.0</v>
      </c>
      <c r="B10794" s="13" t="s">
        <v>10535</v>
      </c>
      <c r="C10794" s="18" t="s">
        <v>10822</v>
      </c>
      <c r="D10794" s="1"/>
      <c r="E10794" s="1"/>
      <c r="F10794" s="1" t="str">
        <f>IFERROR(__xludf.DUMMYFUNCTION("GOOGLETRANSLATE(B10794, ""en"", ""fa"")
"),"کپی رایتینگ II")</f>
        <v>کپی رایتینگ II</v>
      </c>
      <c r="G10794" s="1" t="str">
        <f>IFERROR(__xludf.DUMMYFUNCTION("GOOGLETRANSLATE(C10794, ""en"", ""fa"")
"),"تکنیک های برگزاری جلسات زنده تعاملی و جذاب یا قسمت های پرسش و پاسخ در پادکست ها چیست؟")</f>
        <v>تکنیک های برگزاری جلسات زنده تعاملی و جذاب یا قسمت های پرسش و پاسخ در پادکست ها چیست؟</v>
      </c>
      <c r="H10794" s="1"/>
      <c r="I10794" s="1"/>
      <c r="J10794" s="1"/>
      <c r="K10794" s="1"/>
      <c r="L10794" s="1"/>
      <c r="M10794" s="1"/>
      <c r="N10794" s="1"/>
      <c r="O10794" s="1"/>
      <c r="P10794" s="1"/>
      <c r="Q10794" s="1"/>
      <c r="R10794" s="1"/>
      <c r="S10794" s="1"/>
      <c r="T10794" s="1"/>
      <c r="U10794" s="1"/>
      <c r="V10794" s="1"/>
      <c r="W10794" s="1"/>
      <c r="X10794" s="1"/>
      <c r="Y10794" s="1"/>
      <c r="Z10794" s="1"/>
      <c r="AA10794" s="1"/>
      <c r="AB10794" s="1"/>
    </row>
    <row r="10795" ht="50.25" customHeight="1">
      <c r="A10795" s="12">
        <v>10791.0</v>
      </c>
      <c r="B10795" s="13" t="s">
        <v>10535</v>
      </c>
      <c r="C10795" s="18" t="s">
        <v>10823</v>
      </c>
      <c r="D10795" s="1"/>
      <c r="E10795" s="1"/>
      <c r="F10795" s="1" t="str">
        <f>IFERROR(__xludf.DUMMYFUNCTION("GOOGLETRANSLATE(B10795, ""en"", ""fa"")
"),"کپی رایتینگ II")</f>
        <v>کپی رایتینگ II</v>
      </c>
      <c r="G10795" s="1" t="str">
        <f>IFERROR(__xludf.DUMMYFUNCTION("GOOGLETRANSLATE(C10795, ""en"", ""fa"")
"),"چگونه از قدرت داستان سرایی شخصی در اسکریپت های ویدیویی یا پادکست خود برای ایجاد ارتباط عاطفی با مخاطبان خود استفاده کنید؟")</f>
        <v>چگونه از قدرت داستان سرایی شخصی در اسکریپت های ویدیویی یا پادکست خود برای ایجاد ارتباط عاطفی با مخاطبان خود استفاده کنید؟</v>
      </c>
      <c r="H10795" s="1"/>
      <c r="I10795" s="1"/>
      <c r="J10795" s="1"/>
      <c r="K10795" s="1"/>
      <c r="L10795" s="1"/>
      <c r="M10795" s="1"/>
      <c r="N10795" s="1"/>
      <c r="O10795" s="1"/>
      <c r="P10795" s="1"/>
      <c r="Q10795" s="1"/>
      <c r="R10795" s="1"/>
      <c r="S10795" s="1"/>
      <c r="T10795" s="1"/>
      <c r="U10795" s="1"/>
      <c r="V10795" s="1"/>
      <c r="W10795" s="1"/>
      <c r="X10795" s="1"/>
      <c r="Y10795" s="1"/>
      <c r="Z10795" s="1"/>
      <c r="AA10795" s="1"/>
      <c r="AB10795" s="1"/>
    </row>
    <row r="10796" ht="50.25" customHeight="1">
      <c r="A10796" s="12">
        <v>10792.0</v>
      </c>
      <c r="B10796" s="13" t="s">
        <v>10535</v>
      </c>
      <c r="C10796" s="18" t="s">
        <v>10824</v>
      </c>
      <c r="D10796" s="1"/>
      <c r="E10796" s="1"/>
      <c r="F10796" s="1" t="str">
        <f>IFERROR(__xludf.DUMMYFUNCTION("GOOGLETRANSLATE(B10796, ""en"", ""fa"")
"),"کپی رایتینگ II")</f>
        <v>کپی رایتینگ II</v>
      </c>
      <c r="G10796" s="1" t="str">
        <f>IFERROR(__xludf.DUMMYFUNCTION("GOOGLETRANSLATE(C10796, ""en"", ""fa"")
"),"روش های مختلف برای ایجاد گرافیک یا انیمیشن های جذاب و بصری جذاب برای اسکریپت های ویدیویی یا پادکست های خود کاوش کنید.")</f>
        <v>روش های مختلف برای ایجاد گرافیک یا انیمیشن های جذاب و بصری جذاب برای اسکریپت های ویدیویی یا پادکست های خود کاوش کنید.</v>
      </c>
      <c r="H10796" s="1"/>
      <c r="I10796" s="1"/>
      <c r="J10796" s="1"/>
      <c r="K10796" s="1"/>
      <c r="L10796" s="1"/>
      <c r="M10796" s="1"/>
      <c r="N10796" s="1"/>
      <c r="O10796" s="1"/>
      <c r="P10796" s="1"/>
      <c r="Q10796" s="1"/>
      <c r="R10796" s="1"/>
      <c r="S10796" s="1"/>
      <c r="T10796" s="1"/>
      <c r="U10796" s="1"/>
      <c r="V10796" s="1"/>
      <c r="W10796" s="1"/>
      <c r="X10796" s="1"/>
      <c r="Y10796" s="1"/>
      <c r="Z10796" s="1"/>
      <c r="AA10796" s="1"/>
      <c r="AB10796" s="1"/>
    </row>
    <row r="10797" ht="50.25" customHeight="1">
      <c r="A10797" s="12">
        <v>10793.0</v>
      </c>
      <c r="B10797" s="13" t="s">
        <v>10535</v>
      </c>
      <c r="C10797" s="18" t="s">
        <v>10825</v>
      </c>
      <c r="D10797" s="1"/>
      <c r="E10797" s="1"/>
      <c r="F10797" s="1" t="str">
        <f>IFERROR(__xludf.DUMMYFUNCTION("GOOGLETRANSLATE(B10797, ""en"", ""fa"")
"),"کپی رایتینگ II")</f>
        <v>کپی رایتینگ II</v>
      </c>
      <c r="G10797" s="1" t="str">
        <f>IFERROR(__xludf.DUMMYFUNCTION("GOOGLETRANSLATE(C10797, ""en"", ""fa"")
"),"بهترین روش‌ها برای ترکیب مناظر صوتی یا صداهای محیطی برای بهبود تجربه همه‌جانبه ویدیوها یا پادکست‌های شما چیست؟")</f>
        <v>بهترین روش‌ها برای ترکیب مناظر صوتی یا صداهای محیطی برای بهبود تجربه همه‌جانبه ویدیوها یا پادکست‌های شما چیست؟</v>
      </c>
      <c r="H10797" s="1"/>
      <c r="I10797" s="1"/>
      <c r="J10797" s="1"/>
      <c r="K10797" s="1"/>
      <c r="L10797" s="1"/>
      <c r="M10797" s="1"/>
      <c r="N10797" s="1"/>
      <c r="O10797" s="1"/>
      <c r="P10797" s="1"/>
      <c r="Q10797" s="1"/>
      <c r="R10797" s="1"/>
      <c r="S10797" s="1"/>
      <c r="T10797" s="1"/>
      <c r="U10797" s="1"/>
      <c r="V10797" s="1"/>
      <c r="W10797" s="1"/>
      <c r="X10797" s="1"/>
      <c r="Y10797" s="1"/>
      <c r="Z10797" s="1"/>
      <c r="AA10797" s="1"/>
      <c r="AB10797" s="1"/>
    </row>
    <row r="10798" ht="50.25" customHeight="1">
      <c r="A10798" s="12">
        <v>10794.0</v>
      </c>
      <c r="B10798" s="13" t="s">
        <v>10535</v>
      </c>
      <c r="C10798" s="18" t="s">
        <v>10826</v>
      </c>
      <c r="D10798" s="1"/>
      <c r="E10798" s="1"/>
      <c r="F10798" s="1" t="str">
        <f>IFERROR(__xludf.DUMMYFUNCTION("GOOGLETRANSLATE(B10798, ""en"", ""fa"")
"),"کپی رایتینگ II")</f>
        <v>کپی رایتینگ II</v>
      </c>
      <c r="G10798" s="1" t="str">
        <f>IFERROR(__xludf.DUMMYFUNCTION("GOOGLETRANSLATE(C10798, ""en"", ""fa"")
"),"چگونه می توان از نشانه ها یا حرکات بصری برای تأکید بر نکات کلیدی در پخش ویدیو یا پادکست استفاده کرد؟")</f>
        <v>چگونه می توان از نشانه ها یا حرکات بصری برای تأکید بر نکات کلیدی در پخش ویدیو یا پادکست استفاده کرد؟</v>
      </c>
      <c r="H10798" s="1"/>
      <c r="I10798" s="1"/>
      <c r="J10798" s="1"/>
      <c r="K10798" s="1"/>
      <c r="L10798" s="1"/>
      <c r="M10798" s="1"/>
      <c r="N10798" s="1"/>
      <c r="O10798" s="1"/>
      <c r="P10798" s="1"/>
      <c r="Q10798" s="1"/>
      <c r="R10798" s="1"/>
      <c r="S10798" s="1"/>
      <c r="T10798" s="1"/>
      <c r="U10798" s="1"/>
      <c r="V10798" s="1"/>
      <c r="W10798" s="1"/>
      <c r="X10798" s="1"/>
      <c r="Y10798" s="1"/>
      <c r="Z10798" s="1"/>
      <c r="AA10798" s="1"/>
      <c r="AB10798" s="1"/>
    </row>
    <row r="10799" ht="50.25" customHeight="1">
      <c r="A10799" s="12">
        <v>10795.0</v>
      </c>
      <c r="B10799" s="13" t="s">
        <v>10535</v>
      </c>
      <c r="C10799" s="18" t="s">
        <v>10827</v>
      </c>
      <c r="D10799" s="1"/>
      <c r="E10799" s="1"/>
      <c r="F10799" s="1" t="str">
        <f>IFERROR(__xludf.DUMMYFUNCTION("GOOGLETRANSLATE(B10799, ""en"", ""fa"")
"),"کپی رایتینگ II")</f>
        <v>کپی رایتینگ II</v>
      </c>
      <c r="G10799" s="1" t="str">
        <f>IFERROR(__xludf.DUMMYFUNCTION("GOOGLETRANSLATE(C10799, ""en"", ""fa"")
"),"در مورد هنر نتیجه گیری قدرتمند و تأثیرگذار که تأثیر ماندگاری بر مخاطبان شما می گذارد، بحث کنید.")</f>
        <v>در مورد هنر نتیجه گیری قدرتمند و تأثیرگذار که تأثیر ماندگاری بر مخاطبان شما می گذارد، بحث کنید.</v>
      </c>
      <c r="H10799" s="1"/>
      <c r="I10799" s="1"/>
      <c r="J10799" s="1"/>
      <c r="K10799" s="1"/>
      <c r="L10799" s="1"/>
      <c r="M10799" s="1"/>
      <c r="N10799" s="1"/>
      <c r="O10799" s="1"/>
      <c r="P10799" s="1"/>
      <c r="Q10799" s="1"/>
      <c r="R10799" s="1"/>
      <c r="S10799" s="1"/>
      <c r="T10799" s="1"/>
      <c r="U10799" s="1"/>
      <c r="V10799" s="1"/>
      <c r="W10799" s="1"/>
      <c r="X10799" s="1"/>
      <c r="Y10799" s="1"/>
      <c r="Z10799" s="1"/>
      <c r="AA10799" s="1"/>
      <c r="AB10799" s="1"/>
    </row>
    <row r="10800" ht="50.25" customHeight="1">
      <c r="A10800" s="12">
        <v>10796.0</v>
      </c>
      <c r="B10800" s="13" t="s">
        <v>10535</v>
      </c>
      <c r="C10800" s="18" t="s">
        <v>10828</v>
      </c>
      <c r="D10800" s="1"/>
      <c r="E10800" s="1"/>
      <c r="F10800" s="1" t="str">
        <f>IFERROR(__xludf.DUMMYFUNCTION("GOOGLETRANSLATE(B10800, ""en"", ""fa"")
"),"کپی رایتینگ II")</f>
        <v>کپی رایتینگ II</v>
      </c>
      <c r="G10800" s="1" t="str">
        <f>IFERROR(__xludf.DUMMYFUNCTION("GOOGLETRANSLATE(C10800, ""en"", ""fa"")
"),"چگونه در اسکریپت‌های ویدیویی یا پادکست‌های خود حس اصالت و آسیب‌پذیری ایجاد کنیم تا با مخاطبان خود اعتماد ایجاد کنیم؟")</f>
        <v>چگونه در اسکریپت‌های ویدیویی یا پادکست‌های خود حس اصالت و آسیب‌پذیری ایجاد کنیم تا با مخاطبان خود اعتماد ایجاد کنیم؟</v>
      </c>
      <c r="H10800" s="1"/>
      <c r="I10800" s="1"/>
      <c r="J10800" s="1"/>
      <c r="K10800" s="1"/>
      <c r="L10800" s="1"/>
      <c r="M10800" s="1"/>
      <c r="N10800" s="1"/>
      <c r="O10800" s="1"/>
      <c r="P10800" s="1"/>
      <c r="Q10800" s="1"/>
      <c r="R10800" s="1"/>
      <c r="S10800" s="1"/>
      <c r="T10800" s="1"/>
      <c r="U10800" s="1"/>
      <c r="V10800" s="1"/>
      <c r="W10800" s="1"/>
      <c r="X10800" s="1"/>
      <c r="Y10800" s="1"/>
      <c r="Z10800" s="1"/>
      <c r="AA10800" s="1"/>
      <c r="AB10800" s="1"/>
    </row>
    <row r="10801" ht="50.25" customHeight="1">
      <c r="A10801" s="12">
        <v>10797.0</v>
      </c>
      <c r="B10801" s="13" t="s">
        <v>10535</v>
      </c>
      <c r="C10801" s="18" t="s">
        <v>10829</v>
      </c>
      <c r="D10801" s="1"/>
      <c r="E10801" s="1"/>
      <c r="F10801" s="1" t="str">
        <f>IFERROR(__xludf.DUMMYFUNCTION("GOOGLETRANSLATE(B10801, ""en"", ""fa"")
"),"کپی رایتینگ II")</f>
        <v>کپی رایتینگ II</v>
      </c>
      <c r="G10801" s="1" t="str">
        <f>IFERROR(__xludf.DUMMYFUNCTION("GOOGLETRANSLATE(C10801, ""en"", ""fa"")
"),"چه تکنیک هایی برای ارائه اطلاعات یا توضیحات پیچیده به شیوه ای مختصر و قابل فهم در ویدیوها یا پادکست های شما وجود دارد؟")</f>
        <v>چه تکنیک هایی برای ارائه اطلاعات یا توضیحات پیچیده به شیوه ای مختصر و قابل فهم در ویدیوها یا پادکست های شما وجود دارد؟</v>
      </c>
      <c r="H10801" s="1"/>
      <c r="I10801" s="1"/>
      <c r="J10801" s="1"/>
      <c r="K10801" s="1"/>
      <c r="L10801" s="1"/>
      <c r="M10801" s="1"/>
      <c r="N10801" s="1"/>
      <c r="O10801" s="1"/>
      <c r="P10801" s="1"/>
      <c r="Q10801" s="1"/>
      <c r="R10801" s="1"/>
      <c r="S10801" s="1"/>
      <c r="T10801" s="1"/>
      <c r="U10801" s="1"/>
      <c r="V10801" s="1"/>
      <c r="W10801" s="1"/>
      <c r="X10801" s="1"/>
      <c r="Y10801" s="1"/>
      <c r="Z10801" s="1"/>
      <c r="AA10801" s="1"/>
      <c r="AB10801" s="1"/>
    </row>
    <row r="10802" ht="50.25" customHeight="1">
      <c r="A10802" s="12">
        <v>10798.0</v>
      </c>
      <c r="B10802" s="13" t="s">
        <v>10535</v>
      </c>
      <c r="C10802" s="18" t="s">
        <v>10830</v>
      </c>
      <c r="D10802" s="1"/>
      <c r="E10802" s="1"/>
      <c r="F10802" s="1" t="str">
        <f>IFERROR(__xludf.DUMMYFUNCTION("GOOGLETRANSLATE(B10802, ""en"", ""fa"")
"),"کپی رایتینگ II")</f>
        <v>کپی رایتینگ II</v>
      </c>
      <c r="G10802" s="1" t="str">
        <f>IFERROR(__xludf.DUMMYFUNCTION("GOOGLETRANSLATE(C10802, ""en"", ""fa"")
"),"استراتژی‌های مختلف را برای ترکیب فراخوان‌هایی که باعث تعامل و اقدام مخاطبان شما در اسکریپت‌های ویدیویی یا پادکست می‌شوند، کاوش کنید.")</f>
        <v>استراتژی‌های مختلف را برای ترکیب فراخوان‌هایی که باعث تعامل و اقدام مخاطبان شما در اسکریپت‌های ویدیویی یا پادکست می‌شوند، کاوش کنید.</v>
      </c>
      <c r="H10802" s="1"/>
      <c r="I10802" s="1"/>
      <c r="J10802" s="1"/>
      <c r="K10802" s="1"/>
      <c r="L10802" s="1"/>
      <c r="M10802" s="1"/>
      <c r="N10802" s="1"/>
      <c r="O10802" s="1"/>
      <c r="P10802" s="1"/>
      <c r="Q10802" s="1"/>
      <c r="R10802" s="1"/>
      <c r="S10802" s="1"/>
      <c r="T10802" s="1"/>
      <c r="U10802" s="1"/>
      <c r="V10802" s="1"/>
      <c r="W10802" s="1"/>
      <c r="X10802" s="1"/>
      <c r="Y10802" s="1"/>
      <c r="Z10802" s="1"/>
      <c r="AA10802" s="1"/>
      <c r="AB10802" s="1"/>
    </row>
    <row r="10803" ht="50.25" customHeight="1">
      <c r="A10803" s="12">
        <v>10799.0</v>
      </c>
      <c r="B10803" s="13" t="s">
        <v>10535</v>
      </c>
      <c r="C10803" s="18" t="s">
        <v>10831</v>
      </c>
      <c r="D10803" s="1"/>
      <c r="E10803" s="1"/>
      <c r="F10803" s="1" t="str">
        <f>IFERROR(__xludf.DUMMYFUNCTION("GOOGLETRANSLATE(B10803, ""en"", ""fa"")
"),"کپی رایتینگ II")</f>
        <v>کپی رایتینگ II</v>
      </c>
      <c r="G10803" s="1" t="str">
        <f>IFERROR(__xludf.DUMMYFUNCTION("GOOGLETRANSLATE(C10803, ""en"", ""fa"")
"),"چگونه از تکنیک های داستان گویی برای انسانی کردن محتوای خود و ایجاد ارتباط قابل اعتماد با مخاطبان خود در اسکریپت های ویدیویی یا پادکست ها استفاده کنید؟")</f>
        <v>چگونه از تکنیک های داستان گویی برای انسانی کردن محتوای خود و ایجاد ارتباط قابل اعتماد با مخاطبان خود در اسکریپت های ویدیویی یا پادکست ها استفاده کنید؟</v>
      </c>
      <c r="H10803" s="1"/>
      <c r="I10803" s="1"/>
      <c r="J10803" s="1"/>
      <c r="K10803" s="1"/>
      <c r="L10803" s="1"/>
      <c r="M10803" s="1"/>
      <c r="N10803" s="1"/>
      <c r="O10803" s="1"/>
      <c r="P10803" s="1"/>
      <c r="Q10803" s="1"/>
      <c r="R10803" s="1"/>
      <c r="S10803" s="1"/>
      <c r="T10803" s="1"/>
      <c r="U10803" s="1"/>
      <c r="V10803" s="1"/>
      <c r="W10803" s="1"/>
      <c r="X10803" s="1"/>
      <c r="Y10803" s="1"/>
      <c r="Z10803" s="1"/>
      <c r="AA10803" s="1"/>
      <c r="AB10803" s="1"/>
    </row>
    <row r="10804" ht="50.25" customHeight="1">
      <c r="A10804" s="12">
        <v>10800.0</v>
      </c>
      <c r="B10804" s="13" t="s">
        <v>10535</v>
      </c>
      <c r="C10804" s="18" t="s">
        <v>10832</v>
      </c>
      <c r="D10804" s="1"/>
      <c r="E10804" s="1"/>
      <c r="F10804" s="1" t="str">
        <f>IFERROR(__xludf.DUMMYFUNCTION("GOOGLETRANSLATE(B10804, ""en"", ""fa"")
"),"کپی رایتینگ II")</f>
        <v>کپی رایتینگ II</v>
      </c>
      <c r="G10804" s="1" t="str">
        <f>IFERROR(__xludf.DUMMYFUNCTION("GOOGLETRANSLATE(C10804, ""en"", ""fa"")
"),"در مورد تأثیر استفاده از تصاویر یا تصاویر گرافیکی برای پشتیبانی از روایت خود و تقویت درک در ویدیوها یا پادکست های خود بحث کنید.")</f>
        <v>در مورد تأثیر استفاده از تصاویر یا تصاویر گرافیکی برای پشتیبانی از روایت خود و تقویت درک در ویدیوها یا پادکست های خود بحث کنید.</v>
      </c>
      <c r="H10804" s="1"/>
      <c r="I10804" s="1"/>
      <c r="J10804" s="1"/>
      <c r="K10804" s="1"/>
      <c r="L10804" s="1"/>
      <c r="M10804" s="1"/>
      <c r="N10804" s="1"/>
      <c r="O10804" s="1"/>
      <c r="P10804" s="1"/>
      <c r="Q10804" s="1"/>
      <c r="R10804" s="1"/>
      <c r="S10804" s="1"/>
      <c r="T10804" s="1"/>
      <c r="U10804" s="1"/>
      <c r="V10804" s="1"/>
      <c r="W10804" s="1"/>
      <c r="X10804" s="1"/>
      <c r="Y10804" s="1"/>
      <c r="Z10804" s="1"/>
      <c r="AA10804" s="1"/>
      <c r="AB10804" s="1"/>
    </row>
    <row r="10805" ht="50.25" customHeight="1">
      <c r="A10805" s="12">
        <v>10801.0</v>
      </c>
      <c r="B10805" s="13" t="s">
        <v>10535</v>
      </c>
      <c r="C10805" s="18" t="s">
        <v>10833</v>
      </c>
      <c r="D10805" s="1"/>
      <c r="E10805" s="1"/>
      <c r="F10805" s="1" t="str">
        <f>IFERROR(__xludf.DUMMYFUNCTION("GOOGLETRANSLATE(B10805, ""en"", ""fa"")
"),"کپی رایتینگ II")</f>
        <v>کپی رایتینگ II</v>
      </c>
      <c r="G10805" s="1" t="str">
        <f>IFERROR(__xludf.DUMMYFUNCTION("GOOGLETRANSLATE(C10805, ""en"", ""fa"")
"),"تکنیک‌های انجام بحث‌ها یا مناظره‌های میزگرد جذاب و روشنگر در پادکست چیست؟")</f>
        <v>تکنیک‌های انجام بحث‌ها یا مناظره‌های میزگرد جذاب و روشنگر در پادکست چیست؟</v>
      </c>
      <c r="H10805" s="1"/>
      <c r="I10805" s="1"/>
      <c r="J10805" s="1"/>
      <c r="K10805" s="1"/>
      <c r="L10805" s="1"/>
      <c r="M10805" s="1"/>
      <c r="N10805" s="1"/>
      <c r="O10805" s="1"/>
      <c r="P10805" s="1"/>
      <c r="Q10805" s="1"/>
      <c r="R10805" s="1"/>
      <c r="S10805" s="1"/>
      <c r="T10805" s="1"/>
      <c r="U10805" s="1"/>
      <c r="V10805" s="1"/>
      <c r="W10805" s="1"/>
      <c r="X10805" s="1"/>
      <c r="Y10805" s="1"/>
      <c r="Z10805" s="1"/>
      <c r="AA10805" s="1"/>
      <c r="AB10805" s="1"/>
    </row>
    <row r="10806" ht="50.25" customHeight="1">
      <c r="A10806" s="12">
        <v>10802.0</v>
      </c>
      <c r="B10806" s="13" t="s">
        <v>10535</v>
      </c>
      <c r="C10806" s="18" t="s">
        <v>10834</v>
      </c>
      <c r="D10806" s="1"/>
      <c r="E10806" s="1"/>
      <c r="F10806" s="1" t="str">
        <f>IFERROR(__xludf.DUMMYFUNCTION("GOOGLETRANSLATE(B10806, ""en"", ""fa"")
"),"کپی رایتینگ II")</f>
        <v>کپی رایتینگ II</v>
      </c>
      <c r="G10806" s="1" t="str">
        <f>IFERROR(__xludf.DUMMYFUNCTION("GOOGLETRANSLATE(C10806, ""en"", ""fa"")
"),"چگونه برای اسکریپت های ویدیویی یا پادکست های خود یک هویت برندینگ ثابت و قابل تشخیص ایجاد کنیم؟")</f>
        <v>چگونه برای اسکریپت های ویدیویی یا پادکست های خود یک هویت برندینگ ثابت و قابل تشخیص ایجاد کنیم؟</v>
      </c>
      <c r="H10806" s="1"/>
      <c r="I10806" s="1"/>
      <c r="J10806" s="1"/>
      <c r="K10806" s="1"/>
      <c r="L10806" s="1"/>
      <c r="M10806" s="1"/>
      <c r="N10806" s="1"/>
      <c r="O10806" s="1"/>
      <c r="P10806" s="1"/>
      <c r="Q10806" s="1"/>
      <c r="R10806" s="1"/>
      <c r="S10806" s="1"/>
      <c r="T10806" s="1"/>
      <c r="U10806" s="1"/>
      <c r="V10806" s="1"/>
      <c r="W10806" s="1"/>
      <c r="X10806" s="1"/>
      <c r="Y10806" s="1"/>
      <c r="Z10806" s="1"/>
      <c r="AA10806" s="1"/>
      <c r="AB10806" s="1"/>
    </row>
    <row r="10807" ht="50.25" customHeight="1">
      <c r="A10807" s="12">
        <v>10803.0</v>
      </c>
      <c r="B10807" s="13" t="s">
        <v>10535</v>
      </c>
      <c r="C10807" s="18" t="s">
        <v>10835</v>
      </c>
      <c r="D10807" s="1"/>
      <c r="E10807" s="1"/>
      <c r="F10807" s="1" t="str">
        <f>IFERROR(__xludf.DUMMYFUNCTION("GOOGLETRANSLATE(B10807, ""en"", ""fa"")
"),"کپی رایتینگ II")</f>
        <v>کپی رایتینگ II</v>
      </c>
      <c r="G10807" s="1" t="str">
        <f>IFERROR(__xludf.DUMMYFUNCTION("GOOGLETRANSLATE(C10807, ""en"", ""fa"")
"),"روش‌های مختلف برای گنجاندن مصاحبه‌ها یا توصیفات شخصی در محتوای ویدیویی یا پادکست خود را کاوش کنید.")</f>
        <v>روش‌های مختلف برای گنجاندن مصاحبه‌ها یا توصیفات شخصی در محتوای ویدیویی یا پادکست خود را کاوش کنید.</v>
      </c>
      <c r="H10807" s="1"/>
      <c r="I10807" s="1"/>
      <c r="J10807" s="1"/>
      <c r="K10807" s="1"/>
      <c r="L10807" s="1"/>
      <c r="M10807" s="1"/>
      <c r="N10807" s="1"/>
      <c r="O10807" s="1"/>
      <c r="P10807" s="1"/>
      <c r="Q10807" s="1"/>
      <c r="R10807" s="1"/>
      <c r="S10807" s="1"/>
      <c r="T10807" s="1"/>
      <c r="U10807" s="1"/>
      <c r="V10807" s="1"/>
      <c r="W10807" s="1"/>
      <c r="X10807" s="1"/>
      <c r="Y10807" s="1"/>
      <c r="Z10807" s="1"/>
      <c r="AA10807" s="1"/>
      <c r="AB10807" s="1"/>
    </row>
    <row r="10808" ht="50.25" customHeight="1">
      <c r="A10808" s="12">
        <v>10804.0</v>
      </c>
      <c r="B10808" s="13" t="s">
        <v>10535</v>
      </c>
      <c r="C10808" s="18" t="s">
        <v>10836</v>
      </c>
      <c r="D10808" s="1"/>
      <c r="E10808" s="1"/>
      <c r="F10808" s="1" t="str">
        <f>IFERROR(__xludf.DUMMYFUNCTION("GOOGLETRANSLATE(B10808, ""en"", ""fa"")
"),"کپی رایتینگ II")</f>
        <v>کپی رایتینگ II</v>
      </c>
      <c r="G10808" s="1" t="str">
        <f>IFERROR(__xludf.DUMMYFUNCTION("GOOGLETRANSLATE(C10808, ""en"", ""fa"")
"),"بهترین شیوه‌ها برای ترکیب داده‌ها یا آمارهای مرتبط برای حمایت از ادعاهای شما و افزایش اعتبار محتوای ویدیو یا پادکست شما چیست؟")</f>
        <v>بهترین شیوه‌ها برای ترکیب داده‌ها یا آمارهای مرتبط برای حمایت از ادعاهای شما و افزایش اعتبار محتوای ویدیو یا پادکست شما چیست؟</v>
      </c>
      <c r="H10808" s="1"/>
      <c r="I10808" s="1"/>
      <c r="J10808" s="1"/>
      <c r="K10808" s="1"/>
      <c r="L10808" s="1"/>
      <c r="M10808" s="1"/>
      <c r="N10808" s="1"/>
      <c r="O10808" s="1"/>
      <c r="P10808" s="1"/>
      <c r="Q10808" s="1"/>
      <c r="R10808" s="1"/>
      <c r="S10808" s="1"/>
      <c r="T10808" s="1"/>
      <c r="U10808" s="1"/>
      <c r="V10808" s="1"/>
      <c r="W10808" s="1"/>
      <c r="X10808" s="1"/>
      <c r="Y10808" s="1"/>
      <c r="Z10808" s="1"/>
      <c r="AA10808" s="1"/>
      <c r="AB10808" s="1"/>
    </row>
    <row r="10809" ht="50.25" customHeight="1">
      <c r="A10809" s="12">
        <v>10805.0</v>
      </c>
      <c r="B10809" s="13" t="s">
        <v>10535</v>
      </c>
      <c r="C10809" s="18" t="s">
        <v>10837</v>
      </c>
      <c r="D10809" s="1"/>
      <c r="E10809" s="1"/>
      <c r="F10809" s="1" t="str">
        <f>IFERROR(__xludf.DUMMYFUNCTION("GOOGLETRANSLATE(B10809, ""en"", ""fa"")
"),"کپی رایتینگ II")</f>
        <v>کپی رایتینگ II</v>
      </c>
      <c r="G10809" s="1" t="str">
        <f>IFERROR(__xludf.DUMMYFUNCTION("GOOGLETRANSLATE(C10809, ""en"", ""fa"")
"),"چگونه می توان به طور موثر از ریتم و ریتم برای ایجاد یک تجربه پویا و جذاب در اسکریپت های ویدیویی یا پادکست های خود استفاده کرد؟")</f>
        <v>چگونه می توان به طور موثر از ریتم و ریتم برای ایجاد یک تجربه پویا و جذاب در اسکریپت های ویدیویی یا پادکست های خود استفاده کرد؟</v>
      </c>
      <c r="H10809" s="1"/>
      <c r="I10809" s="1"/>
      <c r="J10809" s="1"/>
      <c r="K10809" s="1"/>
      <c r="L10809" s="1"/>
      <c r="M10809" s="1"/>
      <c r="N10809" s="1"/>
      <c r="O10809" s="1"/>
      <c r="P10809" s="1"/>
      <c r="Q10809" s="1"/>
      <c r="R10809" s="1"/>
      <c r="S10809" s="1"/>
      <c r="T10809" s="1"/>
      <c r="U10809" s="1"/>
      <c r="V10809" s="1"/>
      <c r="W10809" s="1"/>
      <c r="X10809" s="1"/>
      <c r="Y10809" s="1"/>
      <c r="Z10809" s="1"/>
      <c r="AA10809" s="1"/>
      <c r="AB10809" s="1"/>
    </row>
    <row r="10810" ht="50.25" customHeight="1">
      <c r="A10810" s="12">
        <v>10806.0</v>
      </c>
      <c r="B10810" s="13" t="s">
        <v>10535</v>
      </c>
      <c r="C10810" s="18" t="s">
        <v>10838</v>
      </c>
      <c r="D10810" s="1"/>
      <c r="E10810" s="1"/>
      <c r="F10810" s="1" t="str">
        <f>IFERROR(__xludf.DUMMYFUNCTION("GOOGLETRANSLATE(B10810, ""en"", ""fa"")
"),"کپی رایتینگ II")</f>
        <v>کپی رایتینگ II</v>
      </c>
      <c r="G10810" s="1" t="str">
        <f>IFERROR(__xludf.DUMMYFUNCTION("GOOGLETRANSLATE(C10810, ""en"", ""fa"")
"),"در مورد هنر ساخت اسکریپت های ویدئویی یا پادکست های جذاب و آموزنده برای اهداف آموزشی یا آموزش الکترونیکی بحث کنید.")</f>
        <v>در مورد هنر ساخت اسکریپت های ویدئویی یا پادکست های جذاب و آموزنده برای اهداف آموزشی یا آموزش الکترونیکی بحث کنید.</v>
      </c>
      <c r="H10810" s="1"/>
      <c r="I10810" s="1"/>
      <c r="J10810" s="1"/>
      <c r="K10810" s="1"/>
      <c r="L10810" s="1"/>
      <c r="M10810" s="1"/>
      <c r="N10810" s="1"/>
      <c r="O10810" s="1"/>
      <c r="P10810" s="1"/>
      <c r="Q10810" s="1"/>
      <c r="R10810" s="1"/>
      <c r="S10810" s="1"/>
      <c r="T10810" s="1"/>
      <c r="U10810" s="1"/>
      <c r="V10810" s="1"/>
      <c r="W10810" s="1"/>
      <c r="X10810" s="1"/>
      <c r="Y10810" s="1"/>
      <c r="Z10810" s="1"/>
      <c r="AA10810" s="1"/>
      <c r="AB10810" s="1"/>
    </row>
    <row r="10811" ht="50.25" customHeight="1">
      <c r="A10811" s="12">
        <v>10807.0</v>
      </c>
      <c r="B10811" s="13" t="s">
        <v>10535</v>
      </c>
      <c r="C10811" s="18" t="s">
        <v>10839</v>
      </c>
      <c r="D10811" s="1"/>
      <c r="E10811" s="1"/>
      <c r="F10811" s="1" t="str">
        <f>IFERROR(__xludf.DUMMYFUNCTION("GOOGLETRANSLATE(B10811, ""en"", ""fa"")
"),"کپی رایتینگ II")</f>
        <v>کپی رایتینگ II</v>
      </c>
      <c r="G10811" s="1" t="str">
        <f>IFERROR(__xludf.DUMMYFUNCTION("GOOGLETRANSLATE(C10811, ""en"", ""fa"")
"),"چگونه از طریق داستان سرایی خود در فیلمنامه های ویدیویی یا پادکست ها حس تعلیق و فتنه ایجاد کنید؟")</f>
        <v>چگونه از طریق داستان سرایی خود در فیلمنامه های ویدیویی یا پادکست ها حس تعلیق و فتنه ایجاد کنید؟</v>
      </c>
      <c r="H10811" s="1"/>
      <c r="I10811" s="1"/>
      <c r="J10811" s="1"/>
      <c r="K10811" s="1"/>
      <c r="L10811" s="1"/>
      <c r="M10811" s="1"/>
      <c r="N10811" s="1"/>
      <c r="O10811" s="1"/>
      <c r="P10811" s="1"/>
      <c r="Q10811" s="1"/>
      <c r="R10811" s="1"/>
      <c r="S10811" s="1"/>
      <c r="T10811" s="1"/>
      <c r="U10811" s="1"/>
      <c r="V10811" s="1"/>
      <c r="W10811" s="1"/>
      <c r="X10811" s="1"/>
      <c r="Y10811" s="1"/>
      <c r="Z10811" s="1"/>
      <c r="AA10811" s="1"/>
      <c r="AB10811" s="1"/>
    </row>
    <row r="10812" ht="50.25" customHeight="1">
      <c r="A10812" s="12">
        <v>10808.0</v>
      </c>
      <c r="B10812" s="13" t="s">
        <v>10535</v>
      </c>
      <c r="C10812" s="18" t="s">
        <v>10840</v>
      </c>
      <c r="D10812" s="1"/>
      <c r="E10812" s="1"/>
      <c r="F10812" s="1" t="str">
        <f>IFERROR(__xludf.DUMMYFUNCTION("GOOGLETRANSLATE(B10812, ""en"", ""fa"")
"),"کپی رایتینگ II")</f>
        <v>کپی رایتینگ II</v>
      </c>
      <c r="G10812" s="1" t="str">
        <f>IFERROR(__xludf.DUMMYFUNCTION("GOOGLETRANSLATE(C10812, ""en"", ""fa"")
"),"تکنیک های ایجاد قلاب های دیداری یا شنیداری تاثیرگذار و به یاد ماندنی برای جلب توجه مخاطبان در ویدیوها یا پادکست های شما چیست؟")</f>
        <v>تکنیک های ایجاد قلاب های دیداری یا شنیداری تاثیرگذار و به یاد ماندنی برای جلب توجه مخاطبان در ویدیوها یا پادکست های شما چیست؟</v>
      </c>
      <c r="H10812" s="1"/>
      <c r="I10812" s="1"/>
      <c r="J10812" s="1"/>
      <c r="K10812" s="1"/>
      <c r="L10812" s="1"/>
      <c r="M10812" s="1"/>
      <c r="N10812" s="1"/>
      <c r="O10812" s="1"/>
      <c r="P10812" s="1"/>
      <c r="Q10812" s="1"/>
      <c r="R10812" s="1"/>
      <c r="S10812" s="1"/>
      <c r="T10812" s="1"/>
      <c r="U10812" s="1"/>
      <c r="V10812" s="1"/>
      <c r="W10812" s="1"/>
      <c r="X10812" s="1"/>
      <c r="Y10812" s="1"/>
      <c r="Z10812" s="1"/>
      <c r="AA10812" s="1"/>
      <c r="AB10812" s="1"/>
    </row>
    <row r="10813" ht="50.25" customHeight="1">
      <c r="A10813" s="12">
        <v>10809.0</v>
      </c>
      <c r="B10813" s="13" t="s">
        <v>10535</v>
      </c>
      <c r="C10813" s="18" t="s">
        <v>10841</v>
      </c>
      <c r="D10813" s="1"/>
      <c r="E10813" s="1"/>
      <c r="F10813" s="1" t="str">
        <f>IFERROR(__xludf.DUMMYFUNCTION("GOOGLETRANSLATE(B10813, ""en"", ""fa"")
"),"کپی رایتینگ II")</f>
        <v>کپی رایتینگ II</v>
      </c>
      <c r="G10813" s="1" t="str">
        <f>IFERROR(__xludf.DUMMYFUNCTION("GOOGLETRANSLATE(C10813, ""en"", ""fa"")
"),"استراتژی های مختلف برای اجرای داستان سرایی عمیق یا تحقیقی در پادکست ها را بررسی کنید.")</f>
        <v>استراتژی های مختلف برای اجرای داستان سرایی عمیق یا تحقیقی در پادکست ها را بررسی کنید.</v>
      </c>
      <c r="H10813" s="1"/>
      <c r="I10813" s="1"/>
      <c r="J10813" s="1"/>
      <c r="K10813" s="1"/>
      <c r="L10813" s="1"/>
      <c r="M10813" s="1"/>
      <c r="N10813" s="1"/>
      <c r="O10813" s="1"/>
      <c r="P10813" s="1"/>
      <c r="Q10813" s="1"/>
      <c r="R10813" s="1"/>
      <c r="S10813" s="1"/>
      <c r="T10813" s="1"/>
      <c r="U10813" s="1"/>
      <c r="V10813" s="1"/>
      <c r="W10813" s="1"/>
      <c r="X10813" s="1"/>
      <c r="Y10813" s="1"/>
      <c r="Z10813" s="1"/>
      <c r="AA10813" s="1"/>
      <c r="AB10813" s="1"/>
    </row>
    <row r="10814" ht="50.25" customHeight="1">
      <c r="A10814" s="12">
        <v>10810.0</v>
      </c>
      <c r="B10814" s="13" t="s">
        <v>10535</v>
      </c>
      <c r="C10814" s="18" t="s">
        <v>10842</v>
      </c>
      <c r="D10814" s="1"/>
      <c r="E10814" s="1"/>
      <c r="F10814" s="1" t="str">
        <f>IFERROR(__xludf.DUMMYFUNCTION("GOOGLETRANSLATE(B10814, ""en"", ""fa"")
"),"کپی رایتینگ II")</f>
        <v>کپی رایتینگ II</v>
      </c>
      <c r="G10814" s="1" t="str">
        <f>IFERROR(__xludf.DUMMYFUNCTION("GOOGLETRANSLATE(C10814, ""en"", ""fa"")
"),"چگونه می توان از تکنیک های داستان سرایی برای برانگیختن احساسات و ایجاد همدلی در فیلمنامه ها یا پادکست های ویدیویی خود استفاده کرد؟")</f>
        <v>چگونه می توان از تکنیک های داستان سرایی برای برانگیختن احساسات و ایجاد همدلی در فیلمنامه ها یا پادکست های ویدیویی خود استفاده کرد؟</v>
      </c>
      <c r="H10814" s="1"/>
      <c r="I10814" s="1"/>
      <c r="J10814" s="1"/>
      <c r="K10814" s="1"/>
      <c r="L10814" s="1"/>
      <c r="M10814" s="1"/>
      <c r="N10814" s="1"/>
      <c r="O10814" s="1"/>
      <c r="P10814" s="1"/>
      <c r="Q10814" s="1"/>
      <c r="R10814" s="1"/>
      <c r="S10814" s="1"/>
      <c r="T10814" s="1"/>
      <c r="U10814" s="1"/>
      <c r="V10814" s="1"/>
      <c r="W10814" s="1"/>
      <c r="X10814" s="1"/>
      <c r="Y10814" s="1"/>
      <c r="Z10814" s="1"/>
      <c r="AA10814" s="1"/>
      <c r="AB10814" s="1"/>
    </row>
    <row r="10815" ht="50.25" customHeight="1">
      <c r="A10815" s="12">
        <v>10811.0</v>
      </c>
      <c r="B10815" s="13" t="s">
        <v>10535</v>
      </c>
      <c r="C10815" s="18" t="s">
        <v>10843</v>
      </c>
      <c r="D10815" s="1"/>
      <c r="E10815" s="1"/>
      <c r="F10815" s="1" t="str">
        <f>IFERROR(__xludf.DUMMYFUNCTION("GOOGLETRANSLATE(B10815, ""en"", ""fa"")
"),"کپی رایتینگ II")</f>
        <v>کپی رایتینگ II</v>
      </c>
      <c r="G10815" s="1" t="str">
        <f>IFERROR(__xludf.DUMMYFUNCTION("GOOGLETRANSLATE(C10815, ""en"", ""fa"")
"),"درباره اهمیت تعامل و بازخورد مخاطب در شکل‌دهی محتوای ویدیویی یا پادکست خود بحث کنید.")</f>
        <v>درباره اهمیت تعامل و بازخورد مخاطب در شکل‌دهی محتوای ویدیویی یا پادکست خود بحث کنید.</v>
      </c>
      <c r="H10815" s="1"/>
      <c r="I10815" s="1"/>
      <c r="J10815" s="1"/>
      <c r="K10815" s="1"/>
      <c r="L10815" s="1"/>
      <c r="M10815" s="1"/>
      <c r="N10815" s="1"/>
      <c r="O10815" s="1"/>
      <c r="P10815" s="1"/>
      <c r="Q10815" s="1"/>
      <c r="R10815" s="1"/>
      <c r="S10815" s="1"/>
      <c r="T10815" s="1"/>
      <c r="U10815" s="1"/>
      <c r="V10815" s="1"/>
      <c r="W10815" s="1"/>
      <c r="X10815" s="1"/>
      <c r="Y10815" s="1"/>
      <c r="Z10815" s="1"/>
      <c r="AA10815" s="1"/>
      <c r="AB10815" s="1"/>
    </row>
    <row r="10816" ht="50.25" customHeight="1">
      <c r="A10816" s="12">
        <v>10812.0</v>
      </c>
      <c r="B10816" s="13" t="s">
        <v>10535</v>
      </c>
      <c r="C10816" s="18" t="s">
        <v>10844</v>
      </c>
      <c r="D10816" s="1"/>
      <c r="E10816" s="1"/>
      <c r="F10816" s="1" t="str">
        <f>IFERROR(__xludf.DUMMYFUNCTION("GOOGLETRANSLATE(B10816, ""en"", ""fa"")
"),"کپی رایتینگ II")</f>
        <v>کپی رایتینگ II</v>
      </c>
      <c r="G10816" s="1" t="str">
        <f>IFERROR(__xludf.DUMMYFUNCTION("GOOGLETRANSLATE(C10816, ""en"", ""fa"")
"),"تکنیک‌هایی برای گنجاندن نقل قول‌ها یا توصیه‌های مرتبط و قانع‌کننده در اسکریپت‌های ویدیویی یا پادکست‌های شما چیست؟")</f>
        <v>تکنیک‌هایی برای گنجاندن نقل قول‌ها یا توصیه‌های مرتبط و قانع‌کننده در اسکریپت‌های ویدیویی یا پادکست‌های شما چیست؟</v>
      </c>
      <c r="H10816" s="1"/>
      <c r="I10816" s="1"/>
      <c r="J10816" s="1"/>
      <c r="K10816" s="1"/>
      <c r="L10816" s="1"/>
      <c r="M10816" s="1"/>
      <c r="N10816" s="1"/>
      <c r="O10816" s="1"/>
      <c r="P10816" s="1"/>
      <c r="Q10816" s="1"/>
      <c r="R10816" s="1"/>
      <c r="S10816" s="1"/>
      <c r="T10816" s="1"/>
      <c r="U10816" s="1"/>
      <c r="V10816" s="1"/>
      <c r="W10816" s="1"/>
      <c r="X10816" s="1"/>
      <c r="Y10816" s="1"/>
      <c r="Z10816" s="1"/>
      <c r="AA10816" s="1"/>
      <c r="AB10816" s="1"/>
    </row>
    <row r="10817" ht="50.25" customHeight="1">
      <c r="A10817" s="12">
        <v>10813.0</v>
      </c>
      <c r="B10817" s="13" t="s">
        <v>10535</v>
      </c>
      <c r="C10817" s="18" t="s">
        <v>10845</v>
      </c>
      <c r="D10817" s="1"/>
      <c r="E10817" s="1"/>
      <c r="F10817" s="1" t="str">
        <f>IFERROR(__xludf.DUMMYFUNCTION("GOOGLETRANSLATE(B10817, ""en"", ""fa"")
"),"کپی رایتینگ II")</f>
        <v>کپی رایتینگ II</v>
      </c>
      <c r="G10817" s="1" t="str">
        <f>IFERROR(__xludf.DUMMYFUNCTION("GOOGLETRANSLATE(C10817, ""en"", ""fa"")
"),"چگونه از عناصر داستان سرایی برای معرفی و توضیح مؤثر مفاهیم پیچیده یا فنی در ویدیوها یا پادکست های خود استفاده کنید؟")</f>
        <v>چگونه از عناصر داستان سرایی برای معرفی و توضیح مؤثر مفاهیم پیچیده یا فنی در ویدیوها یا پادکست های خود استفاده کنید؟</v>
      </c>
      <c r="H10817" s="1"/>
      <c r="I10817" s="1"/>
      <c r="J10817" s="1"/>
      <c r="K10817" s="1"/>
      <c r="L10817" s="1"/>
      <c r="M10817" s="1"/>
      <c r="N10817" s="1"/>
      <c r="O10817" s="1"/>
      <c r="P10817" s="1"/>
      <c r="Q10817" s="1"/>
      <c r="R10817" s="1"/>
      <c r="S10817" s="1"/>
      <c r="T10817" s="1"/>
      <c r="U10817" s="1"/>
      <c r="V10817" s="1"/>
      <c r="W10817" s="1"/>
      <c r="X10817" s="1"/>
      <c r="Y10817" s="1"/>
      <c r="Z10817" s="1"/>
      <c r="AA10817" s="1"/>
      <c r="AB10817" s="1"/>
    </row>
    <row r="10818" ht="50.25" customHeight="1">
      <c r="A10818" s="12">
        <v>10814.0</v>
      </c>
      <c r="B10818" s="13" t="s">
        <v>10535</v>
      </c>
      <c r="C10818" s="18" t="s">
        <v>10846</v>
      </c>
      <c r="D10818" s="1"/>
      <c r="E10818" s="1"/>
      <c r="F10818" s="1" t="str">
        <f>IFERROR(__xludf.DUMMYFUNCTION("GOOGLETRANSLATE(B10818, ""en"", ""fa"")
"),"کپی رایتینگ II")</f>
        <v>کپی رایتینگ II</v>
      </c>
      <c r="G10818" s="1" t="str">
        <f>IFERROR(__xludf.DUMMYFUNCTION("GOOGLETRANSLATE(C10818, ""en"", ""fa"")
"),"روش‌های مختلف برای ایجاد ویدیو یا پادکست جذاب و خیره‌کننده را کاوش کنید.")</f>
        <v>روش‌های مختلف برای ایجاد ویدیو یا پادکست جذاب و خیره‌کننده را کاوش کنید.</v>
      </c>
      <c r="H10818" s="1"/>
      <c r="I10818" s="1"/>
      <c r="J10818" s="1"/>
      <c r="K10818" s="1"/>
      <c r="L10818" s="1"/>
      <c r="M10818" s="1"/>
      <c r="N10818" s="1"/>
      <c r="O10818" s="1"/>
      <c r="P10818" s="1"/>
      <c r="Q10818" s="1"/>
      <c r="R10818" s="1"/>
      <c r="S10818" s="1"/>
      <c r="T10818" s="1"/>
      <c r="U10818" s="1"/>
      <c r="V10818" s="1"/>
      <c r="W10818" s="1"/>
      <c r="X10818" s="1"/>
      <c r="Y10818" s="1"/>
      <c r="Z10818" s="1"/>
      <c r="AA10818" s="1"/>
      <c r="AB10818" s="1"/>
    </row>
    <row r="10819" ht="50.25" customHeight="1">
      <c r="A10819" s="12">
        <v>10815.0</v>
      </c>
      <c r="B10819" s="13" t="s">
        <v>10535</v>
      </c>
      <c r="C10819" s="18" t="s">
        <v>10847</v>
      </c>
      <c r="D10819" s="1"/>
      <c r="E10819" s="1"/>
      <c r="F10819" s="1" t="str">
        <f>IFERROR(__xludf.DUMMYFUNCTION("GOOGLETRANSLATE(B10819, ""en"", ""fa"")
"),"کپی رایتینگ II")</f>
        <v>کپی رایتینگ II</v>
      </c>
      <c r="G10819" s="1" t="str">
        <f>IFERROR(__xludf.DUMMYFUNCTION("GOOGLETRANSLATE(C10819, ""en"", ""fa"")
"),"بهترین شیوه ها برای ساختاردهی و سازماندهی مصاحبه ها برای استخراج بینش ها و داستان های ارزشمند در پادکست ها چیست؟")</f>
        <v>بهترین شیوه ها برای ساختاردهی و سازماندهی مصاحبه ها برای استخراج بینش ها و داستان های ارزشمند در پادکست ها چیست؟</v>
      </c>
      <c r="H10819" s="1"/>
      <c r="I10819" s="1"/>
      <c r="J10819" s="1"/>
      <c r="K10819" s="1"/>
      <c r="L10819" s="1"/>
      <c r="M10819" s="1"/>
      <c r="N10819" s="1"/>
      <c r="O10819" s="1"/>
      <c r="P10819" s="1"/>
      <c r="Q10819" s="1"/>
      <c r="R10819" s="1"/>
      <c r="S10819" s="1"/>
      <c r="T10819" s="1"/>
      <c r="U10819" s="1"/>
      <c r="V10819" s="1"/>
      <c r="W10819" s="1"/>
      <c r="X10819" s="1"/>
      <c r="Y10819" s="1"/>
      <c r="Z10819" s="1"/>
      <c r="AA10819" s="1"/>
      <c r="AB10819" s="1"/>
    </row>
    <row r="10820" ht="50.25" customHeight="1">
      <c r="A10820" s="12">
        <v>10816.0</v>
      </c>
      <c r="B10820" s="13" t="s">
        <v>10535</v>
      </c>
      <c r="C10820" s="18" t="s">
        <v>10848</v>
      </c>
      <c r="D10820" s="1"/>
      <c r="E10820" s="1"/>
      <c r="F10820" s="1" t="str">
        <f>IFERROR(__xludf.DUMMYFUNCTION("GOOGLETRANSLATE(B10820, ""en"", ""fa"")
"),"کپی رایتینگ II")</f>
        <v>کپی رایتینگ II</v>
      </c>
      <c r="G10820" s="1" t="str">
        <f>IFERROR(__xludf.DUMMYFUNCTION("GOOGLETRANSLATE(C10820, ""en"", ""fa"")
"),"چگونه می توان به طور موثر از انتقال های بصری یا انیمیشن ها برای ایجاد یک تجربه یکپارچه و از نظر بصری دلپذیر در ویدیوهای خود استفاده کرد؟")</f>
        <v>چگونه می توان به طور موثر از انتقال های بصری یا انیمیشن ها برای ایجاد یک تجربه یکپارچه و از نظر بصری دلپذیر در ویدیوهای خود استفاده کرد؟</v>
      </c>
      <c r="H10820" s="1"/>
      <c r="I10820" s="1"/>
      <c r="J10820" s="1"/>
      <c r="K10820" s="1"/>
      <c r="L10820" s="1"/>
      <c r="M10820" s="1"/>
      <c r="N10820" s="1"/>
      <c r="O10820" s="1"/>
      <c r="P10820" s="1"/>
      <c r="Q10820" s="1"/>
      <c r="R10820" s="1"/>
      <c r="S10820" s="1"/>
      <c r="T10820" s="1"/>
      <c r="U10820" s="1"/>
      <c r="V10820" s="1"/>
      <c r="W10820" s="1"/>
      <c r="X10820" s="1"/>
      <c r="Y10820" s="1"/>
      <c r="Z10820" s="1"/>
      <c r="AA10820" s="1"/>
      <c r="AB10820" s="1"/>
    </row>
    <row r="10821" ht="50.25" customHeight="1">
      <c r="A10821" s="12">
        <v>10817.0</v>
      </c>
      <c r="B10821" s="13" t="s">
        <v>10535</v>
      </c>
      <c r="C10821" s="18" t="s">
        <v>10849</v>
      </c>
      <c r="D10821" s="1"/>
      <c r="E10821" s="1"/>
      <c r="F10821" s="1" t="str">
        <f>IFERROR(__xludf.DUMMYFUNCTION("GOOGLETRANSLATE(B10821, ""en"", ""fa"")
"),"کپی رایتینگ II")</f>
        <v>کپی رایتینگ II</v>
      </c>
      <c r="G10821" s="1" t="str">
        <f>IFERROR(__xludf.DUMMYFUNCTION("GOOGLETRANSLATE(C10821, ""en"", ""fa"")
"),"در مورد هنر ساخت قلاب های قدرتمند و تاثیرگذار که توجه مخاطبان را در چند ثانیه اول ویدیو یا پادکست خود جلب می کند، بحث کنید.")</f>
        <v>در مورد هنر ساخت قلاب های قدرتمند و تاثیرگذار که توجه مخاطبان را در چند ثانیه اول ویدیو یا پادکست خود جلب می کند، بحث کنید.</v>
      </c>
      <c r="H10821" s="1"/>
      <c r="I10821" s="1"/>
      <c r="J10821" s="1"/>
      <c r="K10821" s="1"/>
      <c r="L10821" s="1"/>
      <c r="M10821" s="1"/>
      <c r="N10821" s="1"/>
      <c r="O10821" s="1"/>
      <c r="P10821" s="1"/>
      <c r="Q10821" s="1"/>
      <c r="R10821" s="1"/>
      <c r="S10821" s="1"/>
      <c r="T10821" s="1"/>
      <c r="U10821" s="1"/>
      <c r="V10821" s="1"/>
      <c r="W10821" s="1"/>
      <c r="X10821" s="1"/>
      <c r="Y10821" s="1"/>
      <c r="Z10821" s="1"/>
      <c r="AA10821" s="1"/>
      <c r="AB10821" s="1"/>
    </row>
    <row r="10822" ht="50.25" customHeight="1">
      <c r="A10822" s="12">
        <v>10818.0</v>
      </c>
      <c r="B10822" s="13" t="s">
        <v>10535</v>
      </c>
      <c r="C10822" s="18" t="s">
        <v>10850</v>
      </c>
      <c r="D10822" s="1"/>
      <c r="E10822" s="1"/>
      <c r="F10822" s="1" t="str">
        <f>IFERROR(__xludf.DUMMYFUNCTION("GOOGLETRANSLATE(B10822, ""en"", ""fa"")
"),"کپی رایتینگ II")</f>
        <v>کپی رایتینگ II</v>
      </c>
      <c r="G10822" s="1" t="str">
        <f>IFERROR(__xludf.DUMMYFUNCTION("GOOGLETRANSLATE(C10822, ""en"", ""fa"")
"),"چگونه یک تجربه داستان سرایی همهجانبه و جذاب در اسکریپت های ویدیویی یا پادکست خود ایجاد کنید؟")</f>
        <v>چگونه یک تجربه داستان سرایی همهجانبه و جذاب در اسکریپت های ویدیویی یا پادکست خود ایجاد کنید؟</v>
      </c>
      <c r="H10822" s="1"/>
      <c r="I10822" s="1"/>
      <c r="J10822" s="1"/>
      <c r="K10822" s="1"/>
      <c r="L10822" s="1"/>
      <c r="M10822" s="1"/>
      <c r="N10822" s="1"/>
      <c r="O10822" s="1"/>
      <c r="P10822" s="1"/>
      <c r="Q10822" s="1"/>
      <c r="R10822" s="1"/>
      <c r="S10822" s="1"/>
      <c r="T10822" s="1"/>
      <c r="U10822" s="1"/>
      <c r="V10822" s="1"/>
      <c r="W10822" s="1"/>
      <c r="X10822" s="1"/>
      <c r="Y10822" s="1"/>
      <c r="Z10822" s="1"/>
      <c r="AA10822" s="1"/>
      <c r="AB10822" s="1"/>
    </row>
    <row r="10823" ht="50.25" customHeight="1">
      <c r="A10823" s="12">
        <v>10819.0</v>
      </c>
      <c r="B10823" s="13" t="s">
        <v>10535</v>
      </c>
      <c r="C10823" s="18" t="s">
        <v>10851</v>
      </c>
      <c r="D10823" s="1"/>
      <c r="E10823" s="1"/>
      <c r="F10823" s="1" t="str">
        <f>IFERROR(__xludf.DUMMYFUNCTION("GOOGLETRANSLATE(B10823, ""en"", ""fa"")
"),"کپی رایتینگ II")</f>
        <v>کپی رایتینگ II</v>
      </c>
      <c r="G10823" s="1" t="str">
        <f>IFERROR(__xludf.DUMMYFUNCTION("GOOGLETRANSLATE(C10823, ""en"", ""fa"")
"),"تکنیک‌ها برای گنجاندن اخبار یا گرایش‌های مرتبط و به‌روز صنعت در محتوای ویدیویی یا پادکست شما چیست؟")</f>
        <v>تکنیک‌ها برای گنجاندن اخبار یا گرایش‌های مرتبط و به‌روز صنعت در محتوای ویدیویی یا پادکست شما چیست؟</v>
      </c>
      <c r="H10823" s="1"/>
      <c r="I10823" s="1"/>
      <c r="J10823" s="1"/>
      <c r="K10823" s="1"/>
      <c r="L10823" s="1"/>
      <c r="M10823" s="1"/>
      <c r="N10823" s="1"/>
      <c r="O10823" s="1"/>
      <c r="P10823" s="1"/>
      <c r="Q10823" s="1"/>
      <c r="R10823" s="1"/>
      <c r="S10823" s="1"/>
      <c r="T10823" s="1"/>
      <c r="U10823" s="1"/>
      <c r="V10823" s="1"/>
      <c r="W10823" s="1"/>
      <c r="X10823" s="1"/>
      <c r="Y10823" s="1"/>
      <c r="Z10823" s="1"/>
      <c r="AA10823" s="1"/>
      <c r="AB10823" s="1"/>
    </row>
    <row r="10824" ht="50.25" customHeight="1">
      <c r="A10824" s="12">
        <v>10820.0</v>
      </c>
      <c r="B10824" s="13" t="s">
        <v>10535</v>
      </c>
      <c r="C10824" s="18" t="s">
        <v>10852</v>
      </c>
      <c r="D10824" s="1"/>
      <c r="E10824" s="1"/>
      <c r="F10824" s="1" t="str">
        <f>IFERROR(__xludf.DUMMYFUNCTION("GOOGLETRANSLATE(B10824, ""en"", ""fa"")
"),"کپی رایتینگ II")</f>
        <v>کپی رایتینگ II</v>
      </c>
      <c r="G10824" s="1" t="str">
        <f>IFERROR(__xludf.DUMMYFUNCTION("GOOGLETRANSLATE(C10824, ""en"", ""fa"")
"),"استراتژی های مختلف برای ایجاد تعلیق و پیش بینی در قسمت های پادکست فردی را کاوش کنید.")</f>
        <v>استراتژی های مختلف برای ایجاد تعلیق و پیش بینی در قسمت های پادکست فردی را کاوش کنید.</v>
      </c>
      <c r="H10824" s="1"/>
      <c r="I10824" s="1"/>
      <c r="J10824" s="1"/>
      <c r="K10824" s="1"/>
      <c r="L10824" s="1"/>
      <c r="M10824" s="1"/>
      <c r="N10824" s="1"/>
      <c r="O10824" s="1"/>
      <c r="P10824" s="1"/>
      <c r="Q10824" s="1"/>
      <c r="R10824" s="1"/>
      <c r="S10824" s="1"/>
      <c r="T10824" s="1"/>
      <c r="U10824" s="1"/>
      <c r="V10824" s="1"/>
      <c r="W10824" s="1"/>
      <c r="X10824" s="1"/>
      <c r="Y10824" s="1"/>
      <c r="Z10824" s="1"/>
      <c r="AA10824" s="1"/>
      <c r="AB10824" s="1"/>
    </row>
    <row r="10825" ht="50.25" customHeight="1">
      <c r="A10825" s="12">
        <v>10821.0</v>
      </c>
      <c r="B10825" s="13" t="s">
        <v>10535</v>
      </c>
      <c r="C10825" s="18" t="s">
        <v>10853</v>
      </c>
      <c r="D10825" s="1"/>
      <c r="E10825" s="1"/>
      <c r="F10825" s="1" t="str">
        <f>IFERROR(__xludf.DUMMYFUNCTION("GOOGLETRANSLATE(B10825, ""en"", ""fa"")
"),"کپی رایتینگ II")</f>
        <v>کپی رایتینگ II</v>
      </c>
      <c r="G10825" s="1" t="str">
        <f>IFERROR(__xludf.DUMMYFUNCTION("GOOGLETRANSLATE(C10825, ""en"", ""fa"")
"),"چگونه از تکنیک های داستان سرایی تصویری برای ایجاد یک روایت تصویری قوی در ویدیوها یا پادکست های خود استفاده کنید؟")</f>
        <v>چگونه از تکنیک های داستان سرایی تصویری برای ایجاد یک روایت تصویری قوی در ویدیوها یا پادکست های خود استفاده کنید؟</v>
      </c>
      <c r="H10825" s="1"/>
      <c r="I10825" s="1"/>
      <c r="J10825" s="1"/>
      <c r="K10825" s="1"/>
      <c r="L10825" s="1"/>
      <c r="M10825" s="1"/>
      <c r="N10825" s="1"/>
      <c r="O10825" s="1"/>
      <c r="P10825" s="1"/>
      <c r="Q10825" s="1"/>
      <c r="R10825" s="1"/>
      <c r="S10825" s="1"/>
      <c r="T10825" s="1"/>
      <c r="U10825" s="1"/>
      <c r="V10825" s="1"/>
      <c r="W10825" s="1"/>
      <c r="X10825" s="1"/>
      <c r="Y10825" s="1"/>
      <c r="Z10825" s="1"/>
      <c r="AA10825" s="1"/>
      <c r="AB10825" s="1"/>
    </row>
    <row r="10826" ht="50.25" customHeight="1">
      <c r="A10826" s="12">
        <v>10822.0</v>
      </c>
      <c r="B10826" s="13" t="s">
        <v>10535</v>
      </c>
      <c r="C10826" s="18" t="s">
        <v>10854</v>
      </c>
      <c r="D10826" s="1"/>
      <c r="E10826" s="1"/>
      <c r="F10826" s="1" t="str">
        <f>IFERROR(__xludf.DUMMYFUNCTION("GOOGLETRANSLATE(B10826, ""en"", ""fa"")
"),"کپی رایتینگ II")</f>
        <v>کپی رایتینگ II</v>
      </c>
      <c r="G10826" s="1" t="str">
        <f>IFERROR(__xludf.DUMMYFUNCTION("GOOGLETRANSLATE(C10826, ""en"", ""fa"")
"),"در مورد اهمیت سرعت و ویرایش در ایجاد یک ویدیو یا تجربه پادکست منسجم و جذاب بحث کنید.")</f>
        <v>در مورد اهمیت سرعت و ویرایش در ایجاد یک ویدیو یا تجربه پادکست منسجم و جذاب بحث کنید.</v>
      </c>
      <c r="H10826" s="1"/>
      <c r="I10826" s="1"/>
      <c r="J10826" s="1"/>
      <c r="K10826" s="1"/>
      <c r="L10826" s="1"/>
      <c r="M10826" s="1"/>
      <c r="N10826" s="1"/>
      <c r="O10826" s="1"/>
      <c r="P10826" s="1"/>
      <c r="Q10826" s="1"/>
      <c r="R10826" s="1"/>
      <c r="S10826" s="1"/>
      <c r="T10826" s="1"/>
      <c r="U10826" s="1"/>
      <c r="V10826" s="1"/>
      <c r="W10826" s="1"/>
      <c r="X10826" s="1"/>
      <c r="Y10826" s="1"/>
      <c r="Z10826" s="1"/>
      <c r="AA10826" s="1"/>
      <c r="AB10826" s="1"/>
    </row>
    <row r="10827" ht="50.25" customHeight="1">
      <c r="A10827" s="12">
        <v>10823.0</v>
      </c>
      <c r="B10827" s="13" t="s">
        <v>10535</v>
      </c>
      <c r="C10827" s="18" t="s">
        <v>10855</v>
      </c>
      <c r="D10827" s="1"/>
      <c r="E10827" s="1"/>
      <c r="F10827" s="1" t="str">
        <f>IFERROR(__xludf.DUMMYFUNCTION("GOOGLETRANSLATE(B10827, ""en"", ""fa"")
"),"کپی رایتینگ II")</f>
        <v>کپی رایتینگ II</v>
      </c>
      <c r="G10827" s="1" t="str">
        <f>IFERROR(__xludf.DUMMYFUNCTION("GOOGLETRANSLATE(C10827, ""en"", ""fa"")
"),"تکنیک‌های گنجاندن زبان طبیعی و محاوره‌ای در اسکریپت‌های ویدیویی یا پادکست‌ها برای ارتباط با مخاطبان چیست؟")</f>
        <v>تکنیک‌های گنجاندن زبان طبیعی و محاوره‌ای در اسکریپت‌های ویدیویی یا پادکست‌ها برای ارتباط با مخاطبان چیست؟</v>
      </c>
      <c r="H10827" s="1"/>
      <c r="I10827" s="1"/>
      <c r="J10827" s="1"/>
      <c r="K10827" s="1"/>
      <c r="L10827" s="1"/>
      <c r="M10827" s="1"/>
      <c r="N10827" s="1"/>
      <c r="O10827" s="1"/>
      <c r="P10827" s="1"/>
      <c r="Q10827" s="1"/>
      <c r="R10827" s="1"/>
      <c r="S10827" s="1"/>
      <c r="T10827" s="1"/>
      <c r="U10827" s="1"/>
      <c r="V10827" s="1"/>
      <c r="W10827" s="1"/>
      <c r="X10827" s="1"/>
      <c r="Y10827" s="1"/>
      <c r="Z10827" s="1"/>
      <c r="AA10827" s="1"/>
      <c r="AB10827" s="1"/>
    </row>
    <row r="10828" ht="50.25" customHeight="1">
      <c r="A10828" s="12">
        <v>10824.0</v>
      </c>
      <c r="B10828" s="13" t="s">
        <v>10535</v>
      </c>
      <c r="C10828" s="18" t="s">
        <v>10856</v>
      </c>
      <c r="D10828" s="1"/>
      <c r="E10828" s="1"/>
      <c r="F10828" s="1" t="str">
        <f>IFERROR(__xludf.DUMMYFUNCTION("GOOGLETRANSLATE(B10828, ""en"", ""fa"")
"),"کپی رایتینگ II")</f>
        <v>کپی رایتینگ II</v>
      </c>
      <c r="G10828" s="1" t="str">
        <f>IFERROR(__xludf.DUMMYFUNCTION("GOOGLETRANSLATE(C10828, ""en"", ""fa"")
"),"چگونه می توان یک عنوان جذاب ایجاد کرد که خوانندگان را وادار به اقدام فوری کند؟")</f>
        <v>چگونه می توان یک عنوان جذاب ایجاد کرد که خوانندگان را وادار به اقدام فوری کند؟</v>
      </c>
      <c r="H10828" s="1"/>
      <c r="I10828" s="1"/>
      <c r="J10828" s="1"/>
      <c r="K10828" s="1"/>
      <c r="L10828" s="1"/>
      <c r="M10828" s="1"/>
      <c r="N10828" s="1"/>
      <c r="O10828" s="1"/>
      <c r="P10828" s="1"/>
      <c r="Q10828" s="1"/>
      <c r="R10828" s="1"/>
      <c r="S10828" s="1"/>
      <c r="T10828" s="1"/>
      <c r="U10828" s="1"/>
      <c r="V10828" s="1"/>
      <c r="W10828" s="1"/>
      <c r="X10828" s="1"/>
      <c r="Y10828" s="1"/>
      <c r="Z10828" s="1"/>
      <c r="AA10828" s="1"/>
      <c r="AB10828" s="1"/>
    </row>
    <row r="10829" ht="50.25" customHeight="1">
      <c r="A10829" s="12">
        <v>10825.0</v>
      </c>
      <c r="B10829" s="13" t="s">
        <v>10535</v>
      </c>
      <c r="C10829" s="18" t="s">
        <v>10857</v>
      </c>
      <c r="D10829" s="1"/>
      <c r="E10829" s="1"/>
      <c r="F10829" s="1" t="str">
        <f>IFERROR(__xludf.DUMMYFUNCTION("GOOGLETRANSLATE(B10829, ""en"", ""fa"")
"),"کپی رایتینگ II")</f>
        <v>کپی رایتینگ II</v>
      </c>
      <c r="G10829" s="1" t="str">
        <f>IFERROR(__xludf.DUMMYFUNCTION("GOOGLETRANSLATE(C10829, ""en"", ""fa"")
"),"عناصر کلیدی یک فراخوان برای اقدام موثر که باعث ایجاد تبدیل در کپی پاسخ مستقیم می شود چیست؟")</f>
        <v>عناصر کلیدی یک فراخوان برای اقدام موثر که باعث ایجاد تبدیل در کپی پاسخ مستقیم می شود چیست؟</v>
      </c>
      <c r="H10829" s="1"/>
      <c r="I10829" s="1"/>
      <c r="J10829" s="1"/>
      <c r="K10829" s="1"/>
      <c r="L10829" s="1"/>
      <c r="M10829" s="1"/>
      <c r="N10829" s="1"/>
      <c r="O10829" s="1"/>
      <c r="P10829" s="1"/>
      <c r="Q10829" s="1"/>
      <c r="R10829" s="1"/>
      <c r="S10829" s="1"/>
      <c r="T10829" s="1"/>
      <c r="U10829" s="1"/>
      <c r="V10829" s="1"/>
      <c r="W10829" s="1"/>
      <c r="X10829" s="1"/>
      <c r="Y10829" s="1"/>
      <c r="Z10829" s="1"/>
      <c r="AA10829" s="1"/>
      <c r="AB10829" s="1"/>
    </row>
    <row r="10830" ht="50.25" customHeight="1">
      <c r="A10830" s="12">
        <v>10826.0</v>
      </c>
      <c r="B10830" s="13" t="s">
        <v>10535</v>
      </c>
      <c r="C10830" s="18" t="s">
        <v>10858</v>
      </c>
      <c r="D10830" s="1"/>
      <c r="E10830" s="1"/>
      <c r="F10830" s="1" t="str">
        <f>IFERROR(__xludf.DUMMYFUNCTION("GOOGLETRANSLATE(B10830, ""en"", ""fa"")
"),"کپی رایتینگ II")</f>
        <v>کپی رایتینگ II</v>
      </c>
      <c r="G10830" s="1" t="str">
        <f>IFERROR(__xludf.DUMMYFUNCTION("GOOGLETRANSLATE(C10830, ""en"", ""fa"")
"),"در مورد اهمیت درک نکات دردناک مخاطب هدف و نحوه پرداختن به آنها در نسخه خود بحث کنید.")</f>
        <v>در مورد اهمیت درک نکات دردناک مخاطب هدف و نحوه پرداختن به آنها در نسخه خود بحث کنید.</v>
      </c>
      <c r="H10830" s="1"/>
      <c r="I10830" s="1"/>
      <c r="J10830" s="1"/>
      <c r="K10830" s="1"/>
      <c r="L10830" s="1"/>
      <c r="M10830" s="1"/>
      <c r="N10830" s="1"/>
      <c r="O10830" s="1"/>
      <c r="P10830" s="1"/>
      <c r="Q10830" s="1"/>
      <c r="R10830" s="1"/>
      <c r="S10830" s="1"/>
      <c r="T10830" s="1"/>
      <c r="U10830" s="1"/>
      <c r="V10830" s="1"/>
      <c r="W10830" s="1"/>
      <c r="X10830" s="1"/>
      <c r="Y10830" s="1"/>
      <c r="Z10830" s="1"/>
      <c r="AA10830" s="1"/>
      <c r="AB10830" s="1"/>
    </row>
    <row r="10831" ht="50.25" customHeight="1">
      <c r="A10831" s="12">
        <v>10827.0</v>
      </c>
      <c r="B10831" s="13" t="s">
        <v>10535</v>
      </c>
      <c r="C10831" s="18" t="s">
        <v>10859</v>
      </c>
      <c r="D10831" s="1"/>
      <c r="E10831" s="1"/>
      <c r="F10831" s="1" t="str">
        <f>IFERROR(__xludf.DUMMYFUNCTION("GOOGLETRANSLATE(B10831, ""en"", ""fa"")
"),"کپی رایتینگ II")</f>
        <v>کپی رایتینگ II</v>
      </c>
      <c r="G10831" s="1" t="str">
        <f>IFERROR(__xludf.DUMMYFUNCTION("GOOGLETRANSLATE(C10831, ""en"", ""fa"")
"),"چگونه می توان در نسخه پاسخ مستقیم خود احساس فوریت ایجاد کرد تا پاسخ فوری مشتریان بالقوه خود را تشویق کند؟")</f>
        <v>چگونه می توان در نسخه پاسخ مستقیم خود احساس فوریت ایجاد کرد تا پاسخ فوری مشتریان بالقوه خود را تشویق کند؟</v>
      </c>
      <c r="H10831" s="1"/>
      <c r="I10831" s="1"/>
      <c r="J10831" s="1"/>
      <c r="K10831" s="1"/>
      <c r="L10831" s="1"/>
      <c r="M10831" s="1"/>
      <c r="N10831" s="1"/>
      <c r="O10831" s="1"/>
      <c r="P10831" s="1"/>
      <c r="Q10831" s="1"/>
      <c r="R10831" s="1"/>
      <c r="S10831" s="1"/>
      <c r="T10831" s="1"/>
      <c r="U10831" s="1"/>
      <c r="V10831" s="1"/>
      <c r="W10831" s="1"/>
      <c r="X10831" s="1"/>
      <c r="Y10831" s="1"/>
      <c r="Z10831" s="1"/>
      <c r="AA10831" s="1"/>
      <c r="AB10831" s="1"/>
    </row>
    <row r="10832" ht="50.25" customHeight="1">
      <c r="A10832" s="12">
        <v>10828.0</v>
      </c>
      <c r="B10832" s="13" t="s">
        <v>10535</v>
      </c>
      <c r="C10832" s="18" t="s">
        <v>10860</v>
      </c>
      <c r="D10832" s="1"/>
      <c r="E10832" s="1"/>
      <c r="F10832" s="1" t="str">
        <f>IFERROR(__xludf.DUMMYFUNCTION("GOOGLETRANSLATE(B10832, ""en"", ""fa"")
"),"کپی رایتینگ II")</f>
        <v>کپی رایتینگ II</v>
      </c>
      <c r="G10832" s="1" t="str">
        <f>IFERROR(__xludf.DUMMYFUNCTION("GOOGLETRANSLATE(C10832, ""en"", ""fa"")
"),"استراتژی های مختلف برای ایجاد اعتماد و اعتبار را از طریق نسخه پاسخ مستقیم خود کاوش کنید.")</f>
        <v>استراتژی های مختلف برای ایجاد اعتماد و اعتبار را از طریق نسخه پاسخ مستقیم خود کاوش کنید.</v>
      </c>
      <c r="H10832" s="1"/>
      <c r="I10832" s="1"/>
      <c r="J10832" s="1"/>
      <c r="K10832" s="1"/>
      <c r="L10832" s="1"/>
      <c r="M10832" s="1"/>
      <c r="N10832" s="1"/>
      <c r="O10832" s="1"/>
      <c r="P10832" s="1"/>
      <c r="Q10832" s="1"/>
      <c r="R10832" s="1"/>
      <c r="S10832" s="1"/>
      <c r="T10832" s="1"/>
      <c r="U10832" s="1"/>
      <c r="V10832" s="1"/>
      <c r="W10832" s="1"/>
      <c r="X10832" s="1"/>
      <c r="Y10832" s="1"/>
      <c r="Z10832" s="1"/>
      <c r="AA10832" s="1"/>
      <c r="AB10832" s="1"/>
    </row>
    <row r="10833" ht="50.25" customHeight="1">
      <c r="A10833" s="12">
        <v>10829.0</v>
      </c>
      <c r="B10833" s="13" t="s">
        <v>10535</v>
      </c>
      <c r="C10833" s="18" t="s">
        <v>10861</v>
      </c>
      <c r="D10833" s="1"/>
      <c r="E10833" s="1"/>
      <c r="F10833" s="1" t="str">
        <f>IFERROR(__xludf.DUMMYFUNCTION("GOOGLETRANSLATE(B10833, ""en"", ""fa"")
"),"کپی رایتینگ II")</f>
        <v>کپی رایتینگ II</v>
      </c>
      <c r="G10833" s="1" t="str">
        <f>IFERROR(__xludf.DUMMYFUNCTION("GOOGLETRANSLATE(C10833, ""en"", ""fa"")
"),"تکنیک های استفاده از داستان سرایی برای تعامل و ارتباط با مخاطبان در کپی رایتینگ پاسخ مستقیم چیست؟")</f>
        <v>تکنیک های استفاده از داستان سرایی برای تعامل و ارتباط با مخاطبان در کپی رایتینگ پاسخ مستقیم چیست؟</v>
      </c>
      <c r="H10833" s="1"/>
      <c r="I10833" s="1"/>
      <c r="J10833" s="1"/>
      <c r="K10833" s="1"/>
      <c r="L10833" s="1"/>
      <c r="M10833" s="1"/>
      <c r="N10833" s="1"/>
      <c r="O10833" s="1"/>
      <c r="P10833" s="1"/>
      <c r="Q10833" s="1"/>
      <c r="R10833" s="1"/>
      <c r="S10833" s="1"/>
      <c r="T10833" s="1"/>
      <c r="U10833" s="1"/>
      <c r="V10833" s="1"/>
      <c r="W10833" s="1"/>
      <c r="X10833" s="1"/>
      <c r="Y10833" s="1"/>
      <c r="Z10833" s="1"/>
      <c r="AA10833" s="1"/>
      <c r="AB10833" s="1"/>
    </row>
    <row r="10834" ht="50.25" customHeight="1">
      <c r="A10834" s="12">
        <v>10830.0</v>
      </c>
      <c r="B10834" s="13" t="s">
        <v>10535</v>
      </c>
      <c r="C10834" s="18" t="s">
        <v>10862</v>
      </c>
      <c r="D10834" s="1"/>
      <c r="E10834" s="1"/>
      <c r="F10834" s="1" t="str">
        <f>IFERROR(__xludf.DUMMYFUNCTION("GOOGLETRANSLATE(B10834, ""en"", ""fa"")
"),"کپی رایتینگ II")</f>
        <v>کپی رایتینگ II</v>
      </c>
      <c r="G10834" s="1" t="str">
        <f>IFERROR(__xludf.DUMMYFUNCTION("GOOGLETRANSLATE(C10834, ""en"", ""fa"")
"),"چگونه به طور موثر پیشنهادهای فروش منحصر به فرد محصول یا خدمات خود را در نسخه پاسخ مستقیم خود برجسته کنید؟")</f>
        <v>چگونه به طور موثر پیشنهادهای فروش منحصر به فرد محصول یا خدمات خود را در نسخه پاسخ مستقیم خود برجسته کنید؟</v>
      </c>
      <c r="H10834" s="1"/>
      <c r="I10834" s="1"/>
      <c r="J10834" s="1"/>
      <c r="K10834" s="1"/>
      <c r="L10834" s="1"/>
      <c r="M10834" s="1"/>
      <c r="N10834" s="1"/>
      <c r="O10834" s="1"/>
      <c r="P10834" s="1"/>
      <c r="Q10834" s="1"/>
      <c r="R10834" s="1"/>
      <c r="S10834" s="1"/>
      <c r="T10834" s="1"/>
      <c r="U10834" s="1"/>
      <c r="V10834" s="1"/>
      <c r="W10834" s="1"/>
      <c r="X10834" s="1"/>
      <c r="Y10834" s="1"/>
      <c r="Z10834" s="1"/>
      <c r="AA10834" s="1"/>
      <c r="AB10834" s="1"/>
    </row>
    <row r="10835" ht="50.25" customHeight="1">
      <c r="A10835" s="12">
        <v>10831.0</v>
      </c>
      <c r="B10835" s="13" t="s">
        <v>10535</v>
      </c>
      <c r="C10835" s="18" t="s">
        <v>10863</v>
      </c>
      <c r="D10835" s="1"/>
      <c r="E10835" s="1"/>
      <c r="F10835" s="1" t="str">
        <f>IFERROR(__xludf.DUMMYFUNCTION("GOOGLETRANSLATE(B10835, ""en"", ""fa"")
"),"کپی رایتینگ II")</f>
        <v>کپی رایتینگ II</v>
      </c>
      <c r="G10835" s="1" t="str">
        <f>IFERROR(__xludf.DUMMYFUNCTION("GOOGLETRANSLATE(C10835, ""en"", ""fa"")
"),"در مورد نقش محرک‌های عاطفی در برانگیختن خوانندگان برای اقدام در کپی پاسخ مستقیم بحث کنید.")</f>
        <v>در مورد نقش محرک‌های عاطفی در برانگیختن خوانندگان برای اقدام در کپی پاسخ مستقیم بحث کنید.</v>
      </c>
      <c r="H10835" s="1"/>
      <c r="I10835" s="1"/>
      <c r="J10835" s="1"/>
      <c r="K10835" s="1"/>
      <c r="L10835" s="1"/>
      <c r="M10835" s="1"/>
      <c r="N10835" s="1"/>
      <c r="O10835" s="1"/>
      <c r="P10835" s="1"/>
      <c r="Q10835" s="1"/>
      <c r="R10835" s="1"/>
      <c r="S10835" s="1"/>
      <c r="T10835" s="1"/>
      <c r="U10835" s="1"/>
      <c r="V10835" s="1"/>
      <c r="W10835" s="1"/>
      <c r="X10835" s="1"/>
      <c r="Y10835" s="1"/>
      <c r="Z10835" s="1"/>
      <c r="AA10835" s="1"/>
      <c r="AB10835" s="1"/>
    </row>
    <row r="10836" ht="50.25" customHeight="1">
      <c r="A10836" s="12">
        <v>10832.0</v>
      </c>
      <c r="B10836" s="13" t="s">
        <v>10535</v>
      </c>
      <c r="C10836" s="18" t="s">
        <v>10864</v>
      </c>
      <c r="D10836" s="1"/>
      <c r="E10836" s="1"/>
      <c r="F10836" s="1" t="str">
        <f>IFERROR(__xludf.DUMMYFUNCTION("GOOGLETRANSLATE(B10836, ""en"", ""fa"")
"),"کپی رایتینگ II")</f>
        <v>کپی رایتینگ II</v>
      </c>
      <c r="G10836" s="1" t="str">
        <f>IFERROR(__xludf.DUMMYFUNCTION("GOOGLETRANSLATE(C10836, ""en"", ""fa"")
"),"چگونه از زبان متقاعد کننده و ابزارهای بلاغی برای جذب و متقاعد کردن مخاطبان خود در کپی رایتینگ پاسخ مستقیم استفاده کنید؟")</f>
        <v>چگونه از زبان متقاعد کننده و ابزارهای بلاغی برای جذب و متقاعد کردن مخاطبان خود در کپی رایتینگ پاسخ مستقیم استفاده کنید؟</v>
      </c>
      <c r="H10836" s="1"/>
      <c r="I10836" s="1"/>
      <c r="J10836" s="1"/>
      <c r="K10836" s="1"/>
      <c r="L10836" s="1"/>
      <c r="M10836" s="1"/>
      <c r="N10836" s="1"/>
      <c r="O10836" s="1"/>
      <c r="P10836" s="1"/>
      <c r="Q10836" s="1"/>
      <c r="R10836" s="1"/>
      <c r="S10836" s="1"/>
      <c r="T10836" s="1"/>
      <c r="U10836" s="1"/>
      <c r="V10836" s="1"/>
      <c r="W10836" s="1"/>
      <c r="X10836" s="1"/>
      <c r="Y10836" s="1"/>
      <c r="Z10836" s="1"/>
      <c r="AA10836" s="1"/>
      <c r="AB10836" s="1"/>
    </row>
    <row r="10837" ht="50.25" customHeight="1">
      <c r="A10837" s="12">
        <v>10833.0</v>
      </c>
      <c r="B10837" s="13" t="s">
        <v>10535</v>
      </c>
      <c r="C10837" s="18" t="s">
        <v>10865</v>
      </c>
      <c r="D10837" s="1"/>
      <c r="E10837" s="1"/>
      <c r="F10837" s="1" t="str">
        <f>IFERROR(__xludf.DUMMYFUNCTION("GOOGLETRANSLATE(B10837, ""en"", ""fa"")
"),"کپی رایتینگ II")</f>
        <v>کپی رایتینگ II</v>
      </c>
      <c r="G10837" s="1" t="str">
        <f>IFERROR(__xludf.DUMMYFUNCTION("GOOGLETRANSLATE(C10837, ""en"", ""fa"")
"),"روش های مختلف را برای ساختار دادن نسخه پاسخ مستقیم خود کاوش کنید تا خوانندگان را از طریق استدلال منطقی و قانع کننده راهنمایی کنید.")</f>
        <v>روش های مختلف را برای ساختار دادن نسخه پاسخ مستقیم خود کاوش کنید تا خوانندگان را از طریق استدلال منطقی و قانع کننده راهنمایی کنید.</v>
      </c>
      <c r="H10837" s="1"/>
      <c r="I10837" s="1"/>
      <c r="J10837" s="1"/>
      <c r="K10837" s="1"/>
      <c r="L10837" s="1"/>
      <c r="M10837" s="1"/>
      <c r="N10837" s="1"/>
      <c r="O10837" s="1"/>
      <c r="P10837" s="1"/>
      <c r="Q10837" s="1"/>
      <c r="R10837" s="1"/>
      <c r="S10837" s="1"/>
      <c r="T10837" s="1"/>
      <c r="U10837" s="1"/>
      <c r="V10837" s="1"/>
      <c r="W10837" s="1"/>
      <c r="X10837" s="1"/>
      <c r="Y10837" s="1"/>
      <c r="Z10837" s="1"/>
      <c r="AA10837" s="1"/>
      <c r="AB10837" s="1"/>
    </row>
    <row r="10838" ht="50.25" customHeight="1">
      <c r="A10838" s="12">
        <v>10834.0</v>
      </c>
      <c r="B10838" s="13" t="s">
        <v>10535</v>
      </c>
      <c r="C10838" s="18" t="s">
        <v>10866</v>
      </c>
      <c r="D10838" s="1"/>
      <c r="E10838" s="1"/>
      <c r="F10838" s="1" t="str">
        <f>IFERROR(__xludf.DUMMYFUNCTION("GOOGLETRANSLATE(B10838, ""en"", ""fa"")
"),"کپی رایتینگ II")</f>
        <v>کپی رایتینگ II</v>
      </c>
      <c r="G10838" s="1" t="str">
        <f>IFERROR(__xludf.DUMMYFUNCTION("GOOGLETRANSLATE(C10838, ""en"", ""fa"")
"),"بهترین شیوه ها برای گنجاندن شواهد اجتماعی، مانند توصیفات یا مطالعات موردی، در نسخه پاسخ مستقیم شما چیست؟")</f>
        <v>بهترین شیوه ها برای گنجاندن شواهد اجتماعی، مانند توصیفات یا مطالعات موردی، در نسخه پاسخ مستقیم شما چیست؟</v>
      </c>
      <c r="H10838" s="1"/>
      <c r="I10838" s="1"/>
      <c r="J10838" s="1"/>
      <c r="K10838" s="1"/>
      <c r="L10838" s="1"/>
      <c r="M10838" s="1"/>
      <c r="N10838" s="1"/>
      <c r="O10838" s="1"/>
      <c r="P10838" s="1"/>
      <c r="Q10838" s="1"/>
      <c r="R10838" s="1"/>
      <c r="S10838" s="1"/>
      <c r="T10838" s="1"/>
      <c r="U10838" s="1"/>
      <c r="V10838" s="1"/>
      <c r="W10838" s="1"/>
      <c r="X10838" s="1"/>
      <c r="Y10838" s="1"/>
      <c r="Z10838" s="1"/>
      <c r="AA10838" s="1"/>
      <c r="AB10838" s="1"/>
    </row>
    <row r="10839" ht="50.25" customHeight="1">
      <c r="A10839" s="12">
        <v>10835.0</v>
      </c>
      <c r="B10839" s="13" t="s">
        <v>10535</v>
      </c>
      <c r="C10839" s="18" t="s">
        <v>10867</v>
      </c>
      <c r="D10839" s="1"/>
      <c r="E10839" s="1"/>
      <c r="F10839" s="1" t="str">
        <f>IFERROR(__xludf.DUMMYFUNCTION("GOOGLETRANSLATE(B10839, ""en"", ""fa"")
"),"کپی رایتینگ II")</f>
        <v>کپی رایتینگ II</v>
      </c>
      <c r="G10839" s="1" t="str">
        <f>IFERROR(__xludf.DUMMYFUNCTION("GOOGLETRANSLATE(C10839, ""en"", ""fa"")
"),"چگونه می توان بر مخالفت ها غلبه کرد و نگرانی های احتمالی را در نسخه پاسخ مستقیم خود برای افزایش تبدیل ها برطرف کرد؟")</f>
        <v>چگونه می توان بر مخالفت ها غلبه کرد و نگرانی های احتمالی را در نسخه پاسخ مستقیم خود برای افزایش تبدیل ها برطرف کرد؟</v>
      </c>
      <c r="H10839" s="1"/>
      <c r="I10839" s="1"/>
      <c r="J10839" s="1"/>
      <c r="K10839" s="1"/>
      <c r="L10839" s="1"/>
      <c r="M10839" s="1"/>
      <c r="N10839" s="1"/>
      <c r="O10839" s="1"/>
      <c r="P10839" s="1"/>
      <c r="Q10839" s="1"/>
      <c r="R10839" s="1"/>
      <c r="S10839" s="1"/>
      <c r="T10839" s="1"/>
      <c r="U10839" s="1"/>
      <c r="V10839" s="1"/>
      <c r="W10839" s="1"/>
      <c r="X10839" s="1"/>
      <c r="Y10839" s="1"/>
      <c r="Z10839" s="1"/>
      <c r="AA10839" s="1"/>
      <c r="AB10839" s="1"/>
    </row>
    <row r="10840" ht="50.25" customHeight="1">
      <c r="A10840" s="12">
        <v>10836.0</v>
      </c>
      <c r="B10840" s="13" t="s">
        <v>10535</v>
      </c>
      <c r="C10840" s="18" t="s">
        <v>10868</v>
      </c>
      <c r="D10840" s="1"/>
      <c r="E10840" s="1"/>
      <c r="F10840" s="1" t="str">
        <f>IFERROR(__xludf.DUMMYFUNCTION("GOOGLETRANSLATE(B10840, ""en"", ""fa"")
"),"کپی رایتینگ II")</f>
        <v>کپی رایتینگ II</v>
      </c>
      <c r="G10840" s="1" t="str">
        <f>IFERROR(__xludf.DUMMYFUNCTION("GOOGLETRANSLATE(C10840, ""en"", ""fa"")
"),"در مورد اهمیت ایجاد حس انحصار یا دسترسی محدود در نسخه پاسخ مستقیم خود بحث کنید.")</f>
        <v>در مورد اهمیت ایجاد حس انحصار یا دسترسی محدود در نسخه پاسخ مستقیم خود بحث کنید.</v>
      </c>
      <c r="H10840" s="1"/>
      <c r="I10840" s="1"/>
      <c r="J10840" s="1"/>
      <c r="K10840" s="1"/>
      <c r="L10840" s="1"/>
      <c r="M10840" s="1"/>
      <c r="N10840" s="1"/>
      <c r="O10840" s="1"/>
      <c r="P10840" s="1"/>
      <c r="Q10840" s="1"/>
      <c r="R10840" s="1"/>
      <c r="S10840" s="1"/>
      <c r="T10840" s="1"/>
      <c r="U10840" s="1"/>
      <c r="V10840" s="1"/>
      <c r="W10840" s="1"/>
      <c r="X10840" s="1"/>
      <c r="Y10840" s="1"/>
      <c r="Z10840" s="1"/>
      <c r="AA10840" s="1"/>
      <c r="AB10840" s="1"/>
    </row>
    <row r="10841" ht="50.25" customHeight="1">
      <c r="A10841" s="12">
        <v>10837.0</v>
      </c>
      <c r="B10841" s="13" t="s">
        <v>10535</v>
      </c>
      <c r="C10841" s="18" t="s">
        <v>10869</v>
      </c>
      <c r="D10841" s="1"/>
      <c r="E10841" s="1"/>
      <c r="F10841" s="1" t="str">
        <f>IFERROR(__xludf.DUMMYFUNCTION("GOOGLETRANSLATE(B10841, ""en"", ""fa"")
"),"کپی رایتینگ II")</f>
        <v>کپی رایتینگ II</v>
      </c>
      <c r="G10841" s="1" t="str">
        <f>IFERROR(__xludf.DUMMYFUNCTION("GOOGLETRANSLATE(C10841, ""en"", ""fa"")
"),"چگونه از کلمات قدرتمند و زبان قانع کننده برای ایجاد حس هیجان و میل در نسخه پاسخ مستقیم خود استفاده کنید؟")</f>
        <v>چگونه از کلمات قدرتمند و زبان قانع کننده برای ایجاد حس هیجان و میل در نسخه پاسخ مستقیم خود استفاده کنید؟</v>
      </c>
      <c r="H10841" s="1"/>
      <c r="I10841" s="1"/>
      <c r="J10841" s="1"/>
      <c r="K10841" s="1"/>
      <c r="L10841" s="1"/>
      <c r="M10841" s="1"/>
      <c r="N10841" s="1"/>
      <c r="O10841" s="1"/>
      <c r="P10841" s="1"/>
      <c r="Q10841" s="1"/>
      <c r="R10841" s="1"/>
      <c r="S10841" s="1"/>
      <c r="T10841" s="1"/>
      <c r="U10841" s="1"/>
      <c r="V10841" s="1"/>
      <c r="W10841" s="1"/>
      <c r="X10841" s="1"/>
      <c r="Y10841" s="1"/>
      <c r="Z10841" s="1"/>
      <c r="AA10841" s="1"/>
      <c r="AB10841" s="1"/>
    </row>
    <row r="10842" ht="50.25" customHeight="1">
      <c r="A10842" s="12">
        <v>10838.0</v>
      </c>
      <c r="B10842" s="13" t="s">
        <v>10535</v>
      </c>
      <c r="C10842" s="18" t="s">
        <v>10870</v>
      </c>
      <c r="D10842" s="1"/>
      <c r="E10842" s="1"/>
      <c r="F10842" s="1" t="str">
        <f>IFERROR(__xludf.DUMMYFUNCTION("GOOGLETRANSLATE(B10842, ""en"", ""fa"")
"),"کپی رایتینگ II")</f>
        <v>کپی رایتینگ II</v>
      </c>
      <c r="G10842" s="1" t="str">
        <f>IFERROR(__xludf.DUMMYFUNCTION("GOOGLETRANSLATE(C10842, ""en"", ""fa"")
"),"استراتژی های مختلف را برای برجسته کردن مؤثر مزایا و مزایای محصول یا خدمات خود در کپی پاسخ مستقیم کاوش کنید.")</f>
        <v>استراتژی های مختلف را برای برجسته کردن مؤثر مزایا و مزایای محصول یا خدمات خود در کپی پاسخ مستقیم کاوش کنید.</v>
      </c>
      <c r="H10842" s="1"/>
      <c r="I10842" s="1"/>
      <c r="J10842" s="1"/>
      <c r="K10842" s="1"/>
      <c r="L10842" s="1"/>
      <c r="M10842" s="1"/>
      <c r="N10842" s="1"/>
      <c r="O10842" s="1"/>
      <c r="P10842" s="1"/>
      <c r="Q10842" s="1"/>
      <c r="R10842" s="1"/>
      <c r="S10842" s="1"/>
      <c r="T10842" s="1"/>
      <c r="U10842" s="1"/>
      <c r="V10842" s="1"/>
      <c r="W10842" s="1"/>
      <c r="X10842" s="1"/>
      <c r="Y10842" s="1"/>
      <c r="Z10842" s="1"/>
      <c r="AA10842" s="1"/>
      <c r="AB10842" s="1"/>
    </row>
    <row r="10843" ht="50.25" customHeight="1">
      <c r="A10843" s="12">
        <v>10839.0</v>
      </c>
      <c r="B10843" s="13" t="s">
        <v>10535</v>
      </c>
      <c r="C10843" s="18" t="s">
        <v>10871</v>
      </c>
      <c r="D10843" s="1"/>
      <c r="E10843" s="1"/>
      <c r="F10843" s="1" t="str">
        <f>IFERROR(__xludf.DUMMYFUNCTION("GOOGLETRANSLATE(B10843, ""en"", ""fa"")
"),"کپی رایتینگ II")</f>
        <v>کپی رایتینگ II</v>
      </c>
      <c r="G10843" s="1" t="str">
        <f>IFERROR(__xludf.DUMMYFUNCTION("GOOGLETRANSLATE(C10843, ""en"", ""fa"")
"),"تکنیک های استفاده از داده ها و آمار برای پشتیبانی از ادعاهای خود و تقویت نسخه پاسخ مستقیم شما چیست؟")</f>
        <v>تکنیک های استفاده از داده ها و آمار برای پشتیبانی از ادعاهای خود و تقویت نسخه پاسخ مستقیم شما چیست؟</v>
      </c>
      <c r="H10843" s="1"/>
      <c r="I10843" s="1"/>
      <c r="J10843" s="1"/>
      <c r="K10843" s="1"/>
      <c r="L10843" s="1"/>
      <c r="M10843" s="1"/>
      <c r="N10843" s="1"/>
      <c r="O10843" s="1"/>
      <c r="P10843" s="1"/>
      <c r="Q10843" s="1"/>
      <c r="R10843" s="1"/>
      <c r="S10843" s="1"/>
      <c r="T10843" s="1"/>
      <c r="U10843" s="1"/>
      <c r="V10843" s="1"/>
      <c r="W10843" s="1"/>
      <c r="X10843" s="1"/>
      <c r="Y10843" s="1"/>
      <c r="Z10843" s="1"/>
      <c r="AA10843" s="1"/>
      <c r="AB10843" s="1"/>
    </row>
    <row r="10844" ht="50.25" customHeight="1">
      <c r="A10844" s="12">
        <v>10840.0</v>
      </c>
      <c r="B10844" s="13" t="s">
        <v>10535</v>
      </c>
      <c r="C10844" s="18" t="s">
        <v>10872</v>
      </c>
      <c r="D10844" s="1"/>
      <c r="E10844" s="1"/>
      <c r="F10844" s="1" t="str">
        <f>IFERROR(__xludf.DUMMYFUNCTION("GOOGLETRANSLATE(B10844, ""en"", ""fa"")
"),"کپی رایتینگ II")</f>
        <v>کپی رایتینگ II</v>
      </c>
      <c r="G10844" s="1" t="str">
        <f>IFERROR(__xludf.DUMMYFUNCTION("GOOGLETRANSLATE(C10844, ""en"", ""fa"")
"),"چگونه یک لید مبتنی بر داستان قانع کننده ایجاد کنیم که خوانندگان را به نسخه پاسخ مستقیم شما بکشاند؟")</f>
        <v>چگونه یک لید مبتنی بر داستان قانع کننده ایجاد کنیم که خوانندگان را به نسخه پاسخ مستقیم شما بکشاند؟</v>
      </c>
      <c r="H10844" s="1"/>
      <c r="I10844" s="1"/>
      <c r="J10844" s="1"/>
      <c r="K10844" s="1"/>
      <c r="L10844" s="1"/>
      <c r="M10844" s="1"/>
      <c r="N10844" s="1"/>
      <c r="O10844" s="1"/>
      <c r="P10844" s="1"/>
      <c r="Q10844" s="1"/>
      <c r="R10844" s="1"/>
      <c r="S10844" s="1"/>
      <c r="T10844" s="1"/>
      <c r="U10844" s="1"/>
      <c r="V10844" s="1"/>
      <c r="W10844" s="1"/>
      <c r="X10844" s="1"/>
      <c r="Y10844" s="1"/>
      <c r="Z10844" s="1"/>
      <c r="AA10844" s="1"/>
      <c r="AB10844" s="1"/>
    </row>
    <row r="10845" ht="50.25" customHeight="1">
      <c r="A10845" s="12">
        <v>10841.0</v>
      </c>
      <c r="B10845" s="13" t="s">
        <v>10535</v>
      </c>
      <c r="C10845" s="18" t="s">
        <v>10873</v>
      </c>
      <c r="D10845" s="1"/>
      <c r="E10845" s="1"/>
      <c r="F10845" s="1" t="str">
        <f>IFERROR(__xludf.DUMMYFUNCTION("GOOGLETRANSLATE(B10845, ""en"", ""fa"")
"),"کپی رایتینگ II")</f>
        <v>کپی رایتینگ II</v>
      </c>
      <c r="G10845" s="1" t="str">
        <f>IFERROR(__xludf.DUMMYFUNCTION("GOOGLETRANSLATE(C10845, ""en"", ""fa"")
"),"در مورد هنر ایجاد یک پیشنهاد متقاعد کننده که برای مخاطب هدف شما مقاومت ناپذیر است در کپی رایتینگ پاسخ مستقیم بحث کنید.")</f>
        <v>در مورد هنر ایجاد یک پیشنهاد متقاعد کننده که برای مخاطب هدف شما مقاومت ناپذیر است در کپی رایتینگ پاسخ مستقیم بحث کنید.</v>
      </c>
      <c r="H10845" s="1"/>
      <c r="I10845" s="1"/>
      <c r="J10845" s="1"/>
      <c r="K10845" s="1"/>
      <c r="L10845" s="1"/>
      <c r="M10845" s="1"/>
      <c r="N10845" s="1"/>
      <c r="O10845" s="1"/>
      <c r="P10845" s="1"/>
      <c r="Q10845" s="1"/>
      <c r="R10845" s="1"/>
      <c r="S10845" s="1"/>
      <c r="T10845" s="1"/>
      <c r="U10845" s="1"/>
      <c r="V10845" s="1"/>
      <c r="W10845" s="1"/>
      <c r="X10845" s="1"/>
      <c r="Y10845" s="1"/>
      <c r="Z10845" s="1"/>
      <c r="AA10845" s="1"/>
      <c r="AB10845" s="1"/>
    </row>
    <row r="10846" ht="50.25" customHeight="1">
      <c r="A10846" s="12">
        <v>10842.0</v>
      </c>
      <c r="B10846" s="13" t="s">
        <v>10535</v>
      </c>
      <c r="C10846" s="18" t="s">
        <v>10874</v>
      </c>
      <c r="D10846" s="1"/>
      <c r="E10846" s="1"/>
      <c r="F10846" s="1" t="str">
        <f>IFERROR(__xludf.DUMMYFUNCTION("GOOGLETRANSLATE(B10846, ""en"", ""fa"")
"),"کپی رایتینگ II")</f>
        <v>کپی رایتینگ II</v>
      </c>
      <c r="G10846" s="1" t="str">
        <f>IFERROR(__xludf.DUMMYFUNCTION("GOOGLETRANSLATE(C10846, ""en"", ""fa"")
"),"چگونه می توان به طور موثر از توصیفات و داستان های موفقیت برای نشان دادن ارزش و اثربخشی محصول یا خدمات خود در نسخه پاسخ مستقیم خود استفاده کرد؟")</f>
        <v>چگونه می توان به طور موثر از توصیفات و داستان های موفقیت برای نشان دادن ارزش و اثربخشی محصول یا خدمات خود در نسخه پاسخ مستقیم خود استفاده کرد؟</v>
      </c>
      <c r="H10846" s="1"/>
      <c r="I10846" s="1"/>
      <c r="J10846" s="1"/>
      <c r="K10846" s="1"/>
      <c r="L10846" s="1"/>
      <c r="M10846" s="1"/>
      <c r="N10846" s="1"/>
      <c r="O10846" s="1"/>
      <c r="P10846" s="1"/>
      <c r="Q10846" s="1"/>
      <c r="R10846" s="1"/>
      <c r="S10846" s="1"/>
      <c r="T10846" s="1"/>
      <c r="U10846" s="1"/>
      <c r="V10846" s="1"/>
      <c r="W10846" s="1"/>
      <c r="X10846" s="1"/>
      <c r="Y10846" s="1"/>
      <c r="Z10846" s="1"/>
      <c r="AA10846" s="1"/>
      <c r="AB10846" s="1"/>
    </row>
    <row r="10847" ht="50.25" customHeight="1">
      <c r="A10847" s="12">
        <v>10843.0</v>
      </c>
      <c r="B10847" s="13" t="s">
        <v>10535</v>
      </c>
      <c r="C10847" s="18" t="s">
        <v>10875</v>
      </c>
      <c r="D10847" s="1"/>
      <c r="E10847" s="1"/>
      <c r="F10847" s="1" t="str">
        <f>IFERROR(__xludf.DUMMYFUNCTION("GOOGLETRANSLATE(B10847, ""en"", ""fa"")
"),"کپی رایتینگ II")</f>
        <v>کپی رایتینگ II</v>
      </c>
      <c r="G10847" s="1" t="str">
        <f>IFERROR(__xludf.DUMMYFUNCTION("GOOGLETRANSLATE(C10847, ""en"", ""fa"")
"),"بهترین روش‌ها برای ایجاد حس فوریت و کمبود از طریق پیشنهادات با زمان محدود یا معاملات انحصاری در نسخه پاسخ مستقیم شما چیست؟")</f>
        <v>بهترین روش‌ها برای ایجاد حس فوریت و کمبود از طریق پیشنهادات با زمان محدود یا معاملات انحصاری در نسخه پاسخ مستقیم شما چیست؟</v>
      </c>
      <c r="H10847" s="1"/>
      <c r="I10847" s="1"/>
      <c r="J10847" s="1"/>
      <c r="K10847" s="1"/>
      <c r="L10847" s="1"/>
      <c r="M10847" s="1"/>
      <c r="N10847" s="1"/>
      <c r="O10847" s="1"/>
      <c r="P10847" s="1"/>
      <c r="Q10847" s="1"/>
      <c r="R10847" s="1"/>
      <c r="S10847" s="1"/>
      <c r="T10847" s="1"/>
      <c r="U10847" s="1"/>
      <c r="V10847" s="1"/>
      <c r="W10847" s="1"/>
      <c r="X10847" s="1"/>
      <c r="Y10847" s="1"/>
      <c r="Z10847" s="1"/>
      <c r="AA10847" s="1"/>
      <c r="AB10847" s="1"/>
    </row>
    <row r="10848" ht="50.25" customHeight="1">
      <c r="A10848" s="12">
        <v>10844.0</v>
      </c>
      <c r="B10848" s="13" t="s">
        <v>10535</v>
      </c>
      <c r="C10848" s="18" t="s">
        <v>10876</v>
      </c>
      <c r="D10848" s="1"/>
      <c r="E10848" s="1"/>
      <c r="F10848" s="1" t="str">
        <f>IFERROR(__xludf.DUMMYFUNCTION("GOOGLETRANSLATE(B10848, ""en"", ""fa"")
"),"کپی رایتینگ II")</f>
        <v>کپی رایتینگ II</v>
      </c>
      <c r="G10848" s="1" t="str">
        <f>IFERROR(__xludf.DUMMYFUNCTION("GOOGLETRANSLATE(C10848, ""en"", ""fa"")
"),"روش‌های مختلف برای رسیدگی به اعتراض‌ها و نگرانی‌ها را از طریق زبان متقاعدکننده و همدلانه در نسخه پاسخ مستقیم خود بررسی کنید.")</f>
        <v>روش‌های مختلف برای رسیدگی به اعتراض‌ها و نگرانی‌ها را از طریق زبان متقاعدکننده و همدلانه در نسخه پاسخ مستقیم خود بررسی کنید.</v>
      </c>
      <c r="H10848" s="1"/>
      <c r="I10848" s="1"/>
      <c r="J10848" s="1"/>
      <c r="K10848" s="1"/>
      <c r="L10848" s="1"/>
      <c r="M10848" s="1"/>
      <c r="N10848" s="1"/>
      <c r="O10848" s="1"/>
      <c r="P10848" s="1"/>
      <c r="Q10848" s="1"/>
      <c r="R10848" s="1"/>
      <c r="S10848" s="1"/>
      <c r="T10848" s="1"/>
      <c r="U10848" s="1"/>
      <c r="V10848" s="1"/>
      <c r="W10848" s="1"/>
      <c r="X10848" s="1"/>
      <c r="Y10848" s="1"/>
      <c r="Z10848" s="1"/>
      <c r="AA10848" s="1"/>
      <c r="AB10848" s="1"/>
    </row>
    <row r="10849" ht="50.25" customHeight="1">
      <c r="A10849" s="12">
        <v>10845.0</v>
      </c>
      <c r="B10849" s="13" t="s">
        <v>10535</v>
      </c>
      <c r="C10849" s="18" t="s">
        <v>10877</v>
      </c>
      <c r="D10849" s="1"/>
      <c r="E10849" s="1"/>
      <c r="F10849" s="1" t="str">
        <f>IFERROR(__xludf.DUMMYFUNCTION("GOOGLETRANSLATE(B10849, ""en"", ""fa"")
"),"کپی رایتینگ II")</f>
        <v>کپی رایتینگ II</v>
      </c>
      <c r="G10849" s="1" t="str">
        <f>IFERROR(__xludf.DUMMYFUNCTION("GOOGLETRANSLATE(C10849, ""en"", ""fa"")
"),"چگونه از زبان واضح و مختصر برای ارتباط با مزایا و ویژگی های کلیدی محصول یا خدمات خود در نسخه پاسخ مستقیم خود استفاده کنید؟")</f>
        <v>چگونه از زبان واضح و مختصر برای ارتباط با مزایا و ویژگی های کلیدی محصول یا خدمات خود در نسخه پاسخ مستقیم خود استفاده کنید؟</v>
      </c>
      <c r="H10849" s="1"/>
      <c r="I10849" s="1"/>
      <c r="J10849" s="1"/>
      <c r="K10849" s="1"/>
      <c r="L10849" s="1"/>
      <c r="M10849" s="1"/>
      <c r="N10849" s="1"/>
      <c r="O10849" s="1"/>
      <c r="P10849" s="1"/>
      <c r="Q10849" s="1"/>
      <c r="R10849" s="1"/>
      <c r="S10849" s="1"/>
      <c r="T10849" s="1"/>
      <c r="U10849" s="1"/>
      <c r="V10849" s="1"/>
      <c r="W10849" s="1"/>
      <c r="X10849" s="1"/>
      <c r="Y10849" s="1"/>
      <c r="Z10849" s="1"/>
      <c r="AA10849" s="1"/>
      <c r="AB10849" s="1"/>
    </row>
    <row r="10850" ht="50.25" customHeight="1">
      <c r="A10850" s="12">
        <v>10846.0</v>
      </c>
      <c r="B10850" s="13" t="s">
        <v>10535</v>
      </c>
      <c r="C10850" s="18" t="s">
        <v>10878</v>
      </c>
      <c r="D10850" s="1"/>
      <c r="E10850" s="1"/>
      <c r="F10850" s="1" t="str">
        <f>IFERROR(__xludf.DUMMYFUNCTION("GOOGLETRANSLATE(B10850, ""en"", ""fa"")
"),"کپی رایتینگ II")</f>
        <v>کپی رایتینگ II</v>
      </c>
      <c r="G10850" s="1" t="str">
        <f>IFERROR(__xludf.DUMMYFUNCTION("GOOGLETRANSLATE(C10850, ""en"", ""fa"")
"),"در مورد اهمیت یک تضمین قوی و قانع کننده در افزایش اعتماد به نفس و کاهش ریسک در کپی رایتینگ پاسخ مستقیم بحث کنید.")</f>
        <v>در مورد اهمیت یک تضمین قوی و قانع کننده در افزایش اعتماد به نفس و کاهش ریسک در کپی رایتینگ پاسخ مستقیم بحث کنید.</v>
      </c>
      <c r="H10850" s="1"/>
      <c r="I10850" s="1"/>
      <c r="J10850" s="1"/>
      <c r="K10850" s="1"/>
      <c r="L10850" s="1"/>
      <c r="M10850" s="1"/>
      <c r="N10850" s="1"/>
      <c r="O10850" s="1"/>
      <c r="P10850" s="1"/>
      <c r="Q10850" s="1"/>
      <c r="R10850" s="1"/>
      <c r="S10850" s="1"/>
      <c r="T10850" s="1"/>
      <c r="U10850" s="1"/>
      <c r="V10850" s="1"/>
      <c r="W10850" s="1"/>
      <c r="X10850" s="1"/>
      <c r="Y10850" s="1"/>
      <c r="Z10850" s="1"/>
      <c r="AA10850" s="1"/>
      <c r="AB10850" s="1"/>
    </row>
    <row r="10851" ht="50.25" customHeight="1">
      <c r="A10851" s="12">
        <v>10847.0</v>
      </c>
      <c r="B10851" s="13" t="s">
        <v>10535</v>
      </c>
      <c r="C10851" s="18" t="s">
        <v>10879</v>
      </c>
      <c r="D10851" s="1"/>
      <c r="E10851" s="1"/>
      <c r="F10851" s="1" t="str">
        <f>IFERROR(__xludf.DUMMYFUNCTION("GOOGLETRANSLATE(B10851, ""en"", ""fa"")
"),"کپی رایتینگ II")</f>
        <v>کپی رایتینگ II</v>
      </c>
      <c r="G10851" s="1" t="str">
        <f>IFERROR(__xludf.DUMMYFUNCTION("GOOGLETRANSLATE(C10851, ""en"", ""fa"")
"),"چگونه از طریق تکنیک های داستان سرایی متقاعد کننده در نسخه پاسخ مستقیم خود حس انتظار و هیجان ایجاد کنید؟")</f>
        <v>چگونه از طریق تکنیک های داستان سرایی متقاعد کننده در نسخه پاسخ مستقیم خود حس انتظار و هیجان ایجاد کنید؟</v>
      </c>
      <c r="H10851" s="1"/>
      <c r="I10851" s="1"/>
      <c r="J10851" s="1"/>
      <c r="K10851" s="1"/>
      <c r="L10851" s="1"/>
      <c r="M10851" s="1"/>
      <c r="N10851" s="1"/>
      <c r="O10851" s="1"/>
      <c r="P10851" s="1"/>
      <c r="Q10851" s="1"/>
      <c r="R10851" s="1"/>
      <c r="S10851" s="1"/>
      <c r="T10851" s="1"/>
      <c r="U10851" s="1"/>
      <c r="V10851" s="1"/>
      <c r="W10851" s="1"/>
      <c r="X10851" s="1"/>
      <c r="Y10851" s="1"/>
      <c r="Z10851" s="1"/>
      <c r="AA10851" s="1"/>
      <c r="AB10851" s="1"/>
    </row>
    <row r="10852" ht="50.25" customHeight="1">
      <c r="A10852" s="12">
        <v>10848.0</v>
      </c>
      <c r="B10852" s="13" t="s">
        <v>10535</v>
      </c>
      <c r="C10852" s="18" t="s">
        <v>10880</v>
      </c>
      <c r="D10852" s="1"/>
      <c r="E10852" s="1"/>
      <c r="F10852" s="1" t="str">
        <f>IFERROR(__xludf.DUMMYFUNCTION("GOOGLETRANSLATE(B10852, ""en"", ""fa"")
"),"کپی رایتینگ II")</f>
        <v>کپی رایتینگ II</v>
      </c>
      <c r="G10852" s="1" t="str">
        <f>IFERROR(__xludf.DUMMYFUNCTION("GOOGLETRANSLATE(C10852, ""en"", ""fa"")
"),"تکنیک‌های استفاده از زبان حسی و توصیف‌های واضح برای ایجاد ارتباط عاطفی قوی با خوانندگان در کپی پاسخ مستقیم چیست؟")</f>
        <v>تکنیک‌های استفاده از زبان حسی و توصیف‌های واضح برای ایجاد ارتباط عاطفی قوی با خوانندگان در کپی پاسخ مستقیم چیست؟</v>
      </c>
      <c r="H10852" s="1"/>
      <c r="I10852" s="1"/>
      <c r="J10852" s="1"/>
      <c r="K10852" s="1"/>
      <c r="L10852" s="1"/>
      <c r="M10852" s="1"/>
      <c r="N10852" s="1"/>
      <c r="O10852" s="1"/>
      <c r="P10852" s="1"/>
      <c r="Q10852" s="1"/>
      <c r="R10852" s="1"/>
      <c r="S10852" s="1"/>
      <c r="T10852" s="1"/>
      <c r="U10852" s="1"/>
      <c r="V10852" s="1"/>
      <c r="W10852" s="1"/>
      <c r="X10852" s="1"/>
      <c r="Y10852" s="1"/>
      <c r="Z10852" s="1"/>
      <c r="AA10852" s="1"/>
      <c r="AB10852" s="1"/>
    </row>
    <row r="10853" ht="50.25" customHeight="1">
      <c r="A10853" s="12">
        <v>10849.0</v>
      </c>
      <c r="B10853" s="13" t="s">
        <v>10535</v>
      </c>
      <c r="C10853" s="18" t="s">
        <v>10881</v>
      </c>
      <c r="D10853" s="1"/>
      <c r="E10853" s="1"/>
      <c r="F10853" s="1" t="str">
        <f>IFERROR(__xludf.DUMMYFUNCTION("GOOGLETRANSLATE(B10853, ""en"", ""fa"")
"),"کپی رایتینگ II")</f>
        <v>کپی رایتینگ II</v>
      </c>
      <c r="G10853" s="1" t="str">
        <f>IFERROR(__xludf.DUMMYFUNCTION("GOOGLETRANSLATE(C10853, ""en"", ""fa"")
"),"چگونه عناصر داستان سرایی موثر، مانند تضاد و حل، را در نسخه پاسخ مستقیم خود بگنجانید تا مخاطبان خود را جذب و مجذوب خود کنید؟")</f>
        <v>چگونه عناصر داستان سرایی موثر، مانند تضاد و حل، را در نسخه پاسخ مستقیم خود بگنجانید تا مخاطبان خود را جذب و مجذوب خود کنید؟</v>
      </c>
      <c r="H10853" s="1"/>
      <c r="I10853" s="1"/>
      <c r="J10853" s="1"/>
      <c r="K10853" s="1"/>
      <c r="L10853" s="1"/>
      <c r="M10853" s="1"/>
      <c r="N10853" s="1"/>
      <c r="O10853" s="1"/>
      <c r="P10853" s="1"/>
      <c r="Q10853" s="1"/>
      <c r="R10853" s="1"/>
      <c r="S10853" s="1"/>
      <c r="T10853" s="1"/>
      <c r="U10853" s="1"/>
      <c r="V10853" s="1"/>
      <c r="W10853" s="1"/>
      <c r="X10853" s="1"/>
      <c r="Y10853" s="1"/>
      <c r="Z10853" s="1"/>
      <c r="AA10853" s="1"/>
      <c r="AB10853" s="1"/>
    </row>
    <row r="10854" ht="50.25" customHeight="1">
      <c r="A10854" s="12">
        <v>10850.0</v>
      </c>
      <c r="B10854" s="13" t="s">
        <v>10535</v>
      </c>
      <c r="C10854" s="18" t="s">
        <v>10882</v>
      </c>
      <c r="D10854" s="1"/>
      <c r="E10854" s="1"/>
      <c r="F10854" s="1" t="str">
        <f>IFERROR(__xludf.DUMMYFUNCTION("GOOGLETRANSLATE(B10854, ""en"", ""fa"")
"),"کپی رایتینگ II")</f>
        <v>کپی رایتینگ II</v>
      </c>
      <c r="G10854" s="1" t="str">
        <f>IFERROR(__xludf.DUMMYFUNCTION("GOOGLETRANSLATE(C10854, ""en"", ""fa"")
"),"استراتژی‌های مختلف برای استفاده از زبان مبتنی بر فوریت و انگیزه‌های محدود زمانی را برای انجام اقدامات فوری در نسخه پاسخ مستقیم خود کاوش کنید.")</f>
        <v>استراتژی‌های مختلف برای استفاده از زبان مبتنی بر فوریت و انگیزه‌های محدود زمانی را برای انجام اقدامات فوری در نسخه پاسخ مستقیم خود کاوش کنید.</v>
      </c>
      <c r="H10854" s="1"/>
      <c r="I10854" s="1"/>
      <c r="J10854" s="1"/>
      <c r="K10854" s="1"/>
      <c r="L10854" s="1"/>
      <c r="M10854" s="1"/>
      <c r="N10854" s="1"/>
      <c r="O10854" s="1"/>
      <c r="P10854" s="1"/>
      <c r="Q10854" s="1"/>
      <c r="R10854" s="1"/>
      <c r="S10854" s="1"/>
      <c r="T10854" s="1"/>
      <c r="U10854" s="1"/>
      <c r="V10854" s="1"/>
      <c r="W10854" s="1"/>
      <c r="X10854" s="1"/>
      <c r="Y10854" s="1"/>
      <c r="Z10854" s="1"/>
      <c r="AA10854" s="1"/>
      <c r="AB10854" s="1"/>
    </row>
    <row r="10855" ht="50.25" customHeight="1">
      <c r="A10855" s="12">
        <v>10851.0</v>
      </c>
      <c r="B10855" s="13" t="s">
        <v>10535</v>
      </c>
      <c r="C10855" s="18" t="s">
        <v>10883</v>
      </c>
      <c r="D10855" s="1"/>
      <c r="E10855" s="1"/>
      <c r="F10855" s="1" t="str">
        <f>IFERROR(__xludf.DUMMYFUNCTION("GOOGLETRANSLATE(B10855, ""en"", ""fa"")
"),"کپی رایتینگ II")</f>
        <v>کپی رایتینگ II</v>
      </c>
      <c r="G10855" s="1" t="str">
        <f>IFERROR(__xludf.DUMMYFUNCTION("GOOGLETRANSLATE(C10855, ""en"", ""fa"")
"),"بهترین روش‌ها برای ایجاد حس شخصی‌سازی و ارسال پیام‌های متناسب در نسخه پاسخ مستقیم شما چیست؟")</f>
        <v>بهترین روش‌ها برای ایجاد حس شخصی‌سازی و ارسال پیام‌های متناسب در نسخه پاسخ مستقیم شما چیست؟</v>
      </c>
      <c r="H10855" s="1"/>
      <c r="I10855" s="1"/>
      <c r="J10855" s="1"/>
      <c r="K10855" s="1"/>
      <c r="L10855" s="1"/>
      <c r="M10855" s="1"/>
      <c r="N10855" s="1"/>
      <c r="O10855" s="1"/>
      <c r="P10855" s="1"/>
      <c r="Q10855" s="1"/>
      <c r="R10855" s="1"/>
      <c r="S10855" s="1"/>
      <c r="T10855" s="1"/>
      <c r="U10855" s="1"/>
      <c r="V10855" s="1"/>
      <c r="W10855" s="1"/>
      <c r="X10855" s="1"/>
      <c r="Y10855" s="1"/>
      <c r="Z10855" s="1"/>
      <c r="AA10855" s="1"/>
      <c r="AB10855" s="1"/>
    </row>
    <row r="10856" ht="50.25" customHeight="1">
      <c r="A10856" s="12">
        <v>10852.0</v>
      </c>
      <c r="B10856" s="13" t="s">
        <v>10535</v>
      </c>
      <c r="C10856" s="18" t="s">
        <v>10884</v>
      </c>
      <c r="D10856" s="1"/>
      <c r="E10856" s="1"/>
      <c r="F10856" s="1" t="str">
        <f>IFERROR(__xludf.DUMMYFUNCTION("GOOGLETRANSLATE(B10856, ""en"", ""fa"")
"),"کپی رایتینگ II")</f>
        <v>کپی رایتینگ II</v>
      </c>
      <c r="G10856" s="1" t="str">
        <f>IFERROR(__xludf.DUMMYFUNCTION("GOOGLETRANSLATE(C10856, ""en"", ""fa"")
"),"چگونه می توان به طور مؤثر از رسانه های اجتماعی و پلت فرم های آنلاین برای تقویت دسترسی و تأثیر نسخه پاسخ مستقیم خود استفاده کرد؟")</f>
        <v>چگونه می توان به طور مؤثر از رسانه های اجتماعی و پلت فرم های آنلاین برای تقویت دسترسی و تأثیر نسخه پاسخ مستقیم خود استفاده کرد؟</v>
      </c>
      <c r="H10856" s="1"/>
      <c r="I10856" s="1"/>
      <c r="J10856" s="1"/>
      <c r="K10856" s="1"/>
      <c r="L10856" s="1"/>
      <c r="M10856" s="1"/>
      <c r="N10856" s="1"/>
      <c r="O10856" s="1"/>
      <c r="P10856" s="1"/>
      <c r="Q10856" s="1"/>
      <c r="R10856" s="1"/>
      <c r="S10856" s="1"/>
      <c r="T10856" s="1"/>
      <c r="U10856" s="1"/>
      <c r="V10856" s="1"/>
      <c r="W10856" s="1"/>
      <c r="X10856" s="1"/>
      <c r="Y10856" s="1"/>
      <c r="Z10856" s="1"/>
      <c r="AA10856" s="1"/>
      <c r="AB10856" s="1"/>
    </row>
    <row r="10857" ht="50.25" customHeight="1">
      <c r="A10857" s="12">
        <v>10853.0</v>
      </c>
      <c r="B10857" s="13" t="s">
        <v>10535</v>
      </c>
      <c r="C10857" s="18" t="s">
        <v>10885</v>
      </c>
      <c r="D10857" s="1"/>
      <c r="E10857" s="1"/>
      <c r="F10857" s="1" t="str">
        <f>IFERROR(__xludf.DUMMYFUNCTION("GOOGLETRANSLATE(B10857, ""en"", ""fa"")
"),"کپی رایتینگ II")</f>
        <v>کپی رایتینگ II</v>
      </c>
      <c r="G10857" s="1" t="str">
        <f>IFERROR(__xludf.DUMMYFUNCTION("GOOGLETRANSLATE(C10857, ""en"", ""fa"")
"),"در مورد هنر ایجاد سرفصل ها و زیرعنوان های متقاعد کننده که کنجکاوی را برمی انگیزد و خوانندگان را به ادامه خواندن نسخه پاسخ مستقیم شما سوق می دهد، بحث کنید.")</f>
        <v>در مورد هنر ایجاد سرفصل ها و زیرعنوان های متقاعد کننده که کنجکاوی را برمی انگیزد و خوانندگان را به ادامه خواندن نسخه پاسخ مستقیم شما سوق می دهد، بحث کنید.</v>
      </c>
      <c r="H10857" s="1"/>
      <c r="I10857" s="1"/>
      <c r="J10857" s="1"/>
      <c r="K10857" s="1"/>
      <c r="L10857" s="1"/>
      <c r="M10857" s="1"/>
      <c r="N10857" s="1"/>
      <c r="O10857" s="1"/>
      <c r="P10857" s="1"/>
      <c r="Q10857" s="1"/>
      <c r="R10857" s="1"/>
      <c r="S10857" s="1"/>
      <c r="T10857" s="1"/>
      <c r="U10857" s="1"/>
      <c r="V10857" s="1"/>
      <c r="W10857" s="1"/>
      <c r="X10857" s="1"/>
      <c r="Y10857" s="1"/>
      <c r="Z10857" s="1"/>
      <c r="AA10857" s="1"/>
      <c r="AB10857" s="1"/>
    </row>
    <row r="10858" ht="50.25" customHeight="1">
      <c r="A10858" s="12">
        <v>10854.0</v>
      </c>
      <c r="B10858" s="13" t="s">
        <v>10535</v>
      </c>
      <c r="C10858" s="18" t="s">
        <v>10886</v>
      </c>
      <c r="D10858" s="1"/>
      <c r="E10858" s="1"/>
      <c r="F10858" s="1" t="str">
        <f>IFERROR(__xludf.DUMMYFUNCTION("GOOGLETRANSLATE(B10858, ""en"", ""fa"")
"),"کپی رایتینگ II")</f>
        <v>کپی رایتینگ II</v>
      </c>
      <c r="G10858" s="1" t="str">
        <f>IFERROR(__xludf.DUMMYFUNCTION("GOOGLETRANSLATE(C10858, ""en"", ""fa"")
"),"چگونه می توان از تکنیک های داستان سرایی متقاعد کننده، مانند سفر قهرمان، استفاده کرد تا محصول یا خدمات خود را به عنوان راه حلی برای مشکلات مخاطبان در کپی رایتینگ پاسخ مستقیم قرار دهید؟")</f>
        <v>چگونه می توان از تکنیک های داستان سرایی متقاعد کننده، مانند سفر قهرمان، استفاده کرد تا محصول یا خدمات خود را به عنوان راه حلی برای مشکلات مخاطبان در کپی رایتینگ پاسخ مستقیم قرار دهید؟</v>
      </c>
      <c r="H10858" s="1"/>
      <c r="I10858" s="1"/>
      <c r="J10858" s="1"/>
      <c r="K10858" s="1"/>
      <c r="L10858" s="1"/>
      <c r="M10858" s="1"/>
      <c r="N10858" s="1"/>
      <c r="O10858" s="1"/>
      <c r="P10858" s="1"/>
      <c r="Q10858" s="1"/>
      <c r="R10858" s="1"/>
      <c r="S10858" s="1"/>
      <c r="T10858" s="1"/>
      <c r="U10858" s="1"/>
      <c r="V10858" s="1"/>
      <c r="W10858" s="1"/>
      <c r="X10858" s="1"/>
      <c r="Y10858" s="1"/>
      <c r="Z10858" s="1"/>
      <c r="AA10858" s="1"/>
      <c r="AB10858" s="1"/>
    </row>
    <row r="10859" ht="50.25" customHeight="1">
      <c r="A10859" s="12">
        <v>10855.0</v>
      </c>
      <c r="B10859" s="13" t="s">
        <v>10535</v>
      </c>
      <c r="C10859" s="18" t="s">
        <v>10887</v>
      </c>
      <c r="D10859" s="1"/>
      <c r="E10859" s="1"/>
      <c r="F10859" s="1" t="str">
        <f>IFERROR(__xludf.DUMMYFUNCTION("GOOGLETRANSLATE(B10859, ""en"", ""fa"")
"),"کپی رایتینگ II")</f>
        <v>کپی رایتینگ II</v>
      </c>
      <c r="G10859" s="1" t="str">
        <f>IFERROR(__xludf.DUMMYFUNCTION("GOOGLETRANSLATE(C10859, ""en"", ""fa"")
"),"نحوه بهینه سازی کپی رایتینگ خود برای رویدادها و تبلیغات محلی برای جذب مشتریان نزدیک و هدایت ترافیک به سمت کسب و کارتان.")</f>
        <v>نحوه بهینه سازی کپی رایتینگ خود برای رویدادها و تبلیغات محلی برای جذب مشتریان نزدیک و هدایت ترافیک به سمت کسب و کارتان.</v>
      </c>
      <c r="H10859" s="1"/>
      <c r="I10859" s="1"/>
      <c r="J10859" s="1"/>
      <c r="K10859" s="1"/>
      <c r="L10859" s="1"/>
      <c r="M10859" s="1"/>
      <c r="N10859" s="1"/>
      <c r="O10859" s="1"/>
      <c r="P10859" s="1"/>
      <c r="Q10859" s="1"/>
      <c r="R10859" s="1"/>
      <c r="S10859" s="1"/>
      <c r="T10859" s="1"/>
      <c r="U10859" s="1"/>
      <c r="V10859" s="1"/>
      <c r="W10859" s="1"/>
      <c r="X10859" s="1"/>
      <c r="Y10859" s="1"/>
      <c r="Z10859" s="1"/>
      <c r="AA10859" s="1"/>
      <c r="AB10859" s="1"/>
    </row>
    <row r="10860" ht="50.25" customHeight="1">
      <c r="A10860" s="12">
        <v>10856.0</v>
      </c>
      <c r="B10860" s="13" t="s">
        <v>10535</v>
      </c>
      <c r="C10860" s="18" t="s">
        <v>10888</v>
      </c>
      <c r="D10860" s="1"/>
      <c r="E10860" s="1"/>
      <c r="F10860" s="1" t="str">
        <f>IFERROR(__xludf.DUMMYFUNCTION("GOOGLETRANSLATE(B10860, ""en"", ""fa"")
"),"کپی رایتینگ II")</f>
        <v>کپی رایتینگ II</v>
      </c>
      <c r="G10860" s="1" t="str">
        <f>IFERROR(__xludf.DUMMYFUNCTION("GOOGLETRANSLATE(C10860, ""en"", ""fa"")
"),"روش‌های مختلف را برای بهینه‌سازی کپی‌رایتینگ برای چندین زبان و سئوی بین‌المللی بررسی کنید تا دسترسی جهانی خود را گسترش دهید.")</f>
        <v>روش‌های مختلف را برای بهینه‌سازی کپی‌رایتینگ برای چندین زبان و سئوی بین‌المللی بررسی کنید تا دسترسی جهانی خود را گسترش دهید.</v>
      </c>
      <c r="H10860" s="1"/>
      <c r="I10860" s="1"/>
      <c r="J10860" s="1"/>
      <c r="K10860" s="1"/>
      <c r="L10860" s="1"/>
      <c r="M10860" s="1"/>
      <c r="N10860" s="1"/>
      <c r="O10860" s="1"/>
      <c r="P10860" s="1"/>
      <c r="Q10860" s="1"/>
      <c r="R10860" s="1"/>
      <c r="S10860" s="1"/>
      <c r="T10860" s="1"/>
      <c r="U10860" s="1"/>
      <c r="V10860" s="1"/>
      <c r="W10860" s="1"/>
      <c r="X10860" s="1"/>
      <c r="Y10860" s="1"/>
      <c r="Z10860" s="1"/>
      <c r="AA10860" s="1"/>
      <c r="AB10860" s="1"/>
    </row>
    <row r="10861" ht="50.25" customHeight="1">
      <c r="A10861" s="12">
        <v>10857.0</v>
      </c>
      <c r="B10861" s="13" t="s">
        <v>10535</v>
      </c>
      <c r="C10861" s="18" t="s">
        <v>10889</v>
      </c>
      <c r="D10861" s="1"/>
      <c r="E10861" s="1"/>
      <c r="F10861" s="1" t="str">
        <f>IFERROR(__xludf.DUMMYFUNCTION("GOOGLETRANSLATE(B10861, ""en"", ""fa"")
"),"کپی رایتینگ II")</f>
        <v>کپی رایتینگ II</v>
      </c>
      <c r="G10861" s="1" t="str">
        <f>IFERROR(__xludf.DUMMYFUNCTION("GOOGLETRANSLATE(C10861, ""en"", ""fa"")
"),"بهترین روش‌ها برای بهینه‌سازی کپی‌نویسی برای ورودی‌های نمودار دانش و قطعه‌های برجسته برای ایجاد قدرت و دیده شدن چیست؟")</f>
        <v>بهترین روش‌ها برای بهینه‌سازی کپی‌نویسی برای ورودی‌های نمودار دانش و قطعه‌های برجسته برای ایجاد قدرت و دیده شدن چیست؟</v>
      </c>
      <c r="H10861" s="1"/>
      <c r="I10861" s="1"/>
      <c r="J10861" s="1"/>
      <c r="K10861" s="1"/>
      <c r="L10861" s="1"/>
      <c r="M10861" s="1"/>
      <c r="N10861" s="1"/>
      <c r="O10861" s="1"/>
      <c r="P10861" s="1"/>
      <c r="Q10861" s="1"/>
      <c r="R10861" s="1"/>
      <c r="S10861" s="1"/>
      <c r="T10861" s="1"/>
      <c r="U10861" s="1"/>
      <c r="V10861" s="1"/>
      <c r="W10861" s="1"/>
      <c r="X10861" s="1"/>
      <c r="Y10861" s="1"/>
      <c r="Z10861" s="1"/>
      <c r="AA10861" s="1"/>
      <c r="AB10861" s="1"/>
    </row>
    <row r="10862" ht="50.25" customHeight="1">
      <c r="A10862" s="12">
        <v>10858.0</v>
      </c>
      <c r="B10862" s="13" t="s">
        <v>10535</v>
      </c>
      <c r="C10862" s="18" t="s">
        <v>10890</v>
      </c>
      <c r="D10862" s="1"/>
      <c r="E10862" s="1"/>
      <c r="F10862" s="1" t="str">
        <f>IFERROR(__xludf.DUMMYFUNCTION("GOOGLETRANSLATE(B10862, ""en"", ""fa"")
"),"کپی رایتینگ II")</f>
        <v>کپی رایتینگ II</v>
      </c>
      <c r="G10862" s="1" t="str">
        <f>IFERROR(__xludf.DUMMYFUNCTION("GOOGLETRANSLATE(C10862, ""en"", ""fa"")
"),"چگونه از محتوای تولید شده توسط کاربر، مانند توصیفات و نظرات، در کپی رایتینگ خود برای ایجاد اعتماد و افزایش رتبه سئو استفاده کنید؟")</f>
        <v>چگونه از محتوای تولید شده توسط کاربر، مانند توصیفات و نظرات، در کپی رایتینگ خود برای ایجاد اعتماد و افزایش رتبه سئو استفاده کنید؟</v>
      </c>
      <c r="H10862" s="1"/>
      <c r="I10862" s="1"/>
      <c r="J10862" s="1"/>
      <c r="K10862" s="1"/>
      <c r="L10862" s="1"/>
      <c r="M10862" s="1"/>
      <c r="N10862" s="1"/>
      <c r="O10862" s="1"/>
      <c r="P10862" s="1"/>
      <c r="Q10862" s="1"/>
      <c r="R10862" s="1"/>
      <c r="S10862" s="1"/>
      <c r="T10862" s="1"/>
      <c r="U10862" s="1"/>
      <c r="V10862" s="1"/>
      <c r="W10862" s="1"/>
      <c r="X10862" s="1"/>
      <c r="Y10862" s="1"/>
      <c r="Z10862" s="1"/>
      <c r="AA10862" s="1"/>
      <c r="AB10862" s="1"/>
    </row>
    <row r="10863" ht="50.25" customHeight="1">
      <c r="A10863" s="12">
        <v>10859.0</v>
      </c>
      <c r="B10863" s="13" t="s">
        <v>10535</v>
      </c>
      <c r="C10863" s="18" t="s">
        <v>10891</v>
      </c>
      <c r="D10863" s="1"/>
      <c r="E10863" s="1"/>
      <c r="F10863" s="1" t="str">
        <f>IFERROR(__xludf.DUMMYFUNCTION("GOOGLETRANSLATE(B10863, ""en"", ""fa"")
"),"کپی رایتینگ II")</f>
        <v>کپی رایتینگ II</v>
      </c>
      <c r="G10863" s="1" t="str">
        <f>IFERROR(__xludf.DUMMYFUNCTION("GOOGLETRANSLATE(C10863, ""en"", ""fa"")
"),"در مورد نقش نشانه گذاری داده های ساخت یافته، مانند schema.org، در ارائه زمینه اضافی برای موتورهای جستجو و بهبود دید سئو بحث کنید.")</f>
        <v>در مورد نقش نشانه گذاری داده های ساخت یافته، مانند schema.org، در ارائه زمینه اضافی برای موتورهای جستجو و بهبود دید سئو بحث کنید.</v>
      </c>
      <c r="H10863" s="1"/>
      <c r="I10863" s="1"/>
      <c r="J10863" s="1"/>
      <c r="K10863" s="1"/>
      <c r="L10863" s="1"/>
      <c r="M10863" s="1"/>
      <c r="N10863" s="1"/>
      <c r="O10863" s="1"/>
      <c r="P10863" s="1"/>
      <c r="Q10863" s="1"/>
      <c r="R10863" s="1"/>
      <c r="S10863" s="1"/>
      <c r="T10863" s="1"/>
      <c r="U10863" s="1"/>
      <c r="V10863" s="1"/>
      <c r="W10863" s="1"/>
      <c r="X10863" s="1"/>
      <c r="Y10863" s="1"/>
      <c r="Z10863" s="1"/>
      <c r="AA10863" s="1"/>
      <c r="AB10863" s="1"/>
    </row>
    <row r="10864" ht="50.25" customHeight="1">
      <c r="A10864" s="12">
        <v>10860.0</v>
      </c>
      <c r="B10864" s="13" t="s">
        <v>10535</v>
      </c>
      <c r="C10864" s="18" t="s">
        <v>10892</v>
      </c>
      <c r="D10864" s="1"/>
      <c r="E10864" s="1"/>
      <c r="F10864" s="1" t="str">
        <f>IFERROR(__xludf.DUMMYFUNCTION("GOOGLETRANSLATE(B10864, ""en"", ""fa"")
"),"کپی رایتینگ II")</f>
        <v>کپی رایتینگ II</v>
      </c>
      <c r="G10864" s="1" t="str">
        <f>IFERROR(__xludf.DUMMYFUNCTION("GOOGLETRANSLATE(C10864, ""en"", ""fa"")
"),"چگونه می توان کپی رایتینگ خود را برای کلمات کلیدی طولانی و عبارات جستجوی خاص بهینه کرد تا مخاطبان خاص را هدف قرار داده و ترافیک واجد شرایط را هدایت کند؟")</f>
        <v>چگونه می توان کپی رایتینگ خود را برای کلمات کلیدی طولانی و عبارات جستجوی خاص بهینه کرد تا مخاطبان خاص را هدف قرار داده و ترافیک واجد شرایط را هدایت کند؟</v>
      </c>
      <c r="H10864" s="1"/>
      <c r="I10864" s="1"/>
      <c r="J10864" s="1"/>
      <c r="K10864" s="1"/>
      <c r="L10864" s="1"/>
      <c r="M10864" s="1"/>
      <c r="N10864" s="1"/>
      <c r="O10864" s="1"/>
      <c r="P10864" s="1"/>
      <c r="Q10864" s="1"/>
      <c r="R10864" s="1"/>
      <c r="S10864" s="1"/>
      <c r="T10864" s="1"/>
      <c r="U10864" s="1"/>
      <c r="V10864" s="1"/>
      <c r="W10864" s="1"/>
      <c r="X10864" s="1"/>
      <c r="Y10864" s="1"/>
      <c r="Z10864" s="1"/>
      <c r="AA10864" s="1"/>
      <c r="AB10864" s="1"/>
    </row>
    <row r="10865" ht="50.25" customHeight="1">
      <c r="A10865" s="12">
        <v>10861.0</v>
      </c>
      <c r="B10865" s="13" t="s">
        <v>10535</v>
      </c>
      <c r="C10865" s="18" t="s">
        <v>10893</v>
      </c>
      <c r="D10865" s="1"/>
      <c r="E10865" s="1"/>
      <c r="F10865" s="1" t="str">
        <f>IFERROR(__xludf.DUMMYFUNCTION("GOOGLETRANSLATE(B10865, ""en"", ""fa"")
"),"کپی رایتینگ II")</f>
        <v>کپی رایتینگ II</v>
      </c>
      <c r="G10865" s="1" t="str">
        <f>IFERROR(__xludf.DUMMYFUNCTION("GOOGLETRANSLATE(C10865, ""en"", ""fa"")
"),"استراتژی‌های مختلف را برای بهینه‌سازی کپی‌نویسی خود برای دستیارهای جستجوی صوتی، مانند سیری یا کورتانا، کاوش کنید تا پرس و جوهای فعال‌شده صوتی را ثبت کنید.")</f>
        <v>استراتژی‌های مختلف را برای بهینه‌سازی کپی‌نویسی خود برای دستیارهای جستجوی صوتی، مانند سیری یا کورتانا، کاوش کنید تا پرس و جوهای فعال‌شده صوتی را ثبت کنید.</v>
      </c>
      <c r="H10865" s="1"/>
      <c r="I10865" s="1"/>
      <c r="J10865" s="1"/>
      <c r="K10865" s="1"/>
      <c r="L10865" s="1"/>
      <c r="M10865" s="1"/>
      <c r="N10865" s="1"/>
      <c r="O10865" s="1"/>
      <c r="P10865" s="1"/>
      <c r="Q10865" s="1"/>
      <c r="R10865" s="1"/>
      <c r="S10865" s="1"/>
      <c r="T10865" s="1"/>
      <c r="U10865" s="1"/>
      <c r="V10865" s="1"/>
      <c r="W10865" s="1"/>
      <c r="X10865" s="1"/>
      <c r="Y10865" s="1"/>
      <c r="Z10865" s="1"/>
      <c r="AA10865" s="1"/>
      <c r="AB10865" s="1"/>
    </row>
    <row r="10866" ht="50.25" customHeight="1">
      <c r="A10866" s="12">
        <v>10862.0</v>
      </c>
      <c r="B10866" s="13" t="s">
        <v>10535</v>
      </c>
      <c r="C10866" s="18" t="s">
        <v>10894</v>
      </c>
      <c r="D10866" s="1"/>
      <c r="E10866" s="1"/>
      <c r="F10866" s="1" t="str">
        <f>IFERROR(__xludf.DUMMYFUNCTION("GOOGLETRANSLATE(B10866, ""en"", ""fa"")
"),"کپی رایتینگ II")</f>
        <v>کپی رایتینگ II</v>
      </c>
      <c r="G10866" s="1" t="str">
        <f>IFERROR(__xludf.DUMMYFUNCTION("GOOGLETRANSLATE(C10866, ""en"", ""fa"")
"),"تکنیک های بهینه سازی کپی رایتینگ برای جستجوی رسانه های اجتماعی برای افزایش دیده شدن برند و جذب ترافیک اجتماعی چیست؟")</f>
        <v>تکنیک های بهینه سازی کپی رایتینگ برای جستجوی رسانه های اجتماعی برای افزایش دیده شدن برند و جذب ترافیک اجتماعی چیست؟</v>
      </c>
      <c r="H10866" s="1"/>
      <c r="I10866" s="1"/>
      <c r="J10866" s="1"/>
      <c r="K10866" s="1"/>
      <c r="L10866" s="1"/>
      <c r="M10866" s="1"/>
      <c r="N10866" s="1"/>
      <c r="O10866" s="1"/>
      <c r="P10866" s="1"/>
      <c r="Q10866" s="1"/>
      <c r="R10866" s="1"/>
      <c r="S10866" s="1"/>
      <c r="T10866" s="1"/>
      <c r="U10866" s="1"/>
      <c r="V10866" s="1"/>
      <c r="W10866" s="1"/>
      <c r="X10866" s="1"/>
      <c r="Y10866" s="1"/>
      <c r="Z10866" s="1"/>
      <c r="AA10866" s="1"/>
      <c r="AB10866" s="1"/>
    </row>
    <row r="10867" ht="50.25" customHeight="1">
      <c r="A10867" s="12">
        <v>10863.0</v>
      </c>
      <c r="B10867" s="13" t="s">
        <v>10535</v>
      </c>
      <c r="C10867" s="18" t="s">
        <v>10895</v>
      </c>
      <c r="D10867" s="1"/>
      <c r="E10867" s="1"/>
      <c r="F10867" s="1" t="str">
        <f>IFERROR(__xludf.DUMMYFUNCTION("GOOGLETRANSLATE(B10867, ""en"", ""fa"")
"),"کپی رایتینگ II")</f>
        <v>کپی رایتینگ II</v>
      </c>
      <c r="G10867" s="1" t="str">
        <f>IFERROR(__xludf.DUMMYFUNCTION("GOOGLETRANSLATE(C10867, ""en"", ""fa"")
"),"چگونه می توان دسته های موضوعی و صفحات ستون را در استراتژی کپی رایتینگ خود برای بهبود رتبه بندی سئو و سازماندهی محتوا گنجاند؟")</f>
        <v>چگونه می توان دسته های موضوعی و صفحات ستون را در استراتژی کپی رایتینگ خود برای بهبود رتبه بندی سئو و سازماندهی محتوا گنجاند؟</v>
      </c>
      <c r="H10867" s="1"/>
      <c r="I10867" s="1"/>
      <c r="J10867" s="1"/>
      <c r="K10867" s="1"/>
      <c r="L10867" s="1"/>
      <c r="M10867" s="1"/>
      <c r="N10867" s="1"/>
      <c r="O10867" s="1"/>
      <c r="P10867" s="1"/>
      <c r="Q10867" s="1"/>
      <c r="R10867" s="1"/>
      <c r="S10867" s="1"/>
      <c r="T10867" s="1"/>
      <c r="U10867" s="1"/>
      <c r="V10867" s="1"/>
      <c r="W10867" s="1"/>
      <c r="X10867" s="1"/>
      <c r="Y10867" s="1"/>
      <c r="Z10867" s="1"/>
      <c r="AA10867" s="1"/>
      <c r="AB10867" s="1"/>
    </row>
    <row r="10868" ht="50.25" customHeight="1">
      <c r="A10868" s="12">
        <v>10864.0</v>
      </c>
      <c r="B10868" s="13" t="s">
        <v>10535</v>
      </c>
      <c r="C10868" s="18" t="s">
        <v>10896</v>
      </c>
      <c r="D10868" s="1"/>
      <c r="E10868" s="1"/>
      <c r="F10868" s="1" t="str">
        <f>IFERROR(__xludf.DUMMYFUNCTION("GOOGLETRANSLATE(B10868, ""en"", ""fa"")
"),"کپی رایتینگ II")</f>
        <v>کپی رایتینگ II</v>
      </c>
      <c r="G10868" s="1" t="str">
        <f>IFERROR(__xludf.DUMMYFUNCTION("GOOGLETRANSLATE(C10868, ""en"", ""fa"")
"),"در مورد اهمیت انجام ممیزی منظم سئو و انجام بهینه سازی روی صفحه برای کپی رایتینگ موجود خود برای حفظ دیده شدن جستجو بحث کنید.")</f>
        <v>در مورد اهمیت انجام ممیزی منظم سئو و انجام بهینه سازی روی صفحه برای کپی رایتینگ موجود خود برای حفظ دیده شدن جستجو بحث کنید.</v>
      </c>
      <c r="H10868" s="1"/>
      <c r="I10868" s="1"/>
      <c r="J10868" s="1"/>
      <c r="K10868" s="1"/>
      <c r="L10868" s="1"/>
      <c r="M10868" s="1"/>
      <c r="N10868" s="1"/>
      <c r="O10868" s="1"/>
      <c r="P10868" s="1"/>
      <c r="Q10868" s="1"/>
      <c r="R10868" s="1"/>
      <c r="S10868" s="1"/>
      <c r="T10868" s="1"/>
      <c r="U10868" s="1"/>
      <c r="V10868" s="1"/>
      <c r="W10868" s="1"/>
      <c r="X10868" s="1"/>
      <c r="Y10868" s="1"/>
      <c r="Z10868" s="1"/>
      <c r="AA10868" s="1"/>
      <c r="AB10868" s="1"/>
    </row>
    <row r="10869" ht="50.25" customHeight="1">
      <c r="A10869" s="12">
        <v>10865.0</v>
      </c>
      <c r="B10869" s="13" t="s">
        <v>10535</v>
      </c>
      <c r="C10869" s="18" t="s">
        <v>10897</v>
      </c>
      <c r="D10869" s="1"/>
      <c r="E10869" s="1"/>
      <c r="F10869" s="1" t="str">
        <f>IFERROR(__xludf.DUMMYFUNCTION("GOOGLETRANSLATE(B10869, ""en"", ""fa"")
"),"کپی رایتینگ II")</f>
        <v>کپی رایتینگ II</v>
      </c>
      <c r="G10869" s="1" t="str">
        <f>IFERROR(__xludf.DUMMYFUNCTION("GOOGLETRANSLATE(C10869, ""en"", ""fa"")
"),"چگونه می توان کپی رایتینگ خود را برای وب سایت های تجارت الکترونیک، از جمله عنوان محصول، توضیحات و صفحات دسته بندی، بهینه کرد تا ترافیک و تبدیل های ارگانیک را افزایش دهد؟")</f>
        <v>چگونه می توان کپی رایتینگ خود را برای وب سایت های تجارت الکترونیک، از جمله عنوان محصول، توضیحات و صفحات دسته بندی، بهینه کرد تا ترافیک و تبدیل های ارگانیک را افزایش دهد؟</v>
      </c>
      <c r="H10869" s="1"/>
      <c r="I10869" s="1"/>
      <c r="J10869" s="1"/>
      <c r="K10869" s="1"/>
      <c r="L10869" s="1"/>
      <c r="M10869" s="1"/>
      <c r="N10869" s="1"/>
      <c r="O10869" s="1"/>
      <c r="P10869" s="1"/>
      <c r="Q10869" s="1"/>
      <c r="R10869" s="1"/>
      <c r="S10869" s="1"/>
      <c r="T10869" s="1"/>
      <c r="U10869" s="1"/>
      <c r="V10869" s="1"/>
      <c r="W10869" s="1"/>
      <c r="X10869" s="1"/>
      <c r="Y10869" s="1"/>
      <c r="Z10869" s="1"/>
      <c r="AA10869" s="1"/>
      <c r="AB10869" s="1"/>
    </row>
    <row r="10870" ht="50.25" customHeight="1">
      <c r="A10870" s="12">
        <v>10866.0</v>
      </c>
      <c r="B10870" s="13" t="s">
        <v>10535</v>
      </c>
      <c r="C10870" s="18" t="s">
        <v>10898</v>
      </c>
      <c r="D10870" s="1"/>
      <c r="E10870" s="1"/>
      <c r="F10870" s="1" t="str">
        <f>IFERROR(__xludf.DUMMYFUNCTION("GOOGLETRANSLATE(B10870, ""en"", ""fa"")
"),"کپی رایتینگ II")</f>
        <v>کپی رایتینگ II</v>
      </c>
      <c r="G10870" s="1" t="str">
        <f>IFERROR(__xludf.DUMMYFUNCTION("GOOGLETRANSLATE(C10870, ""en"", ""fa"")
"),"روش‌های مختلف را برای بهینه‌سازی کپی‌نویسی خود برای محتوای طولانی، مانند کتاب‌های الکترونیکی یا کاغذهای سفید، برای ایجاد سرنخ و ایجاد تخصص کاوش کنید.")</f>
        <v>روش‌های مختلف را برای بهینه‌سازی کپی‌نویسی خود برای محتوای طولانی، مانند کتاب‌های الکترونیکی یا کاغذهای سفید، برای ایجاد سرنخ و ایجاد تخصص کاوش کنید.</v>
      </c>
      <c r="H10870" s="1"/>
      <c r="I10870" s="1"/>
      <c r="J10870" s="1"/>
      <c r="K10870" s="1"/>
      <c r="L10870" s="1"/>
      <c r="M10870" s="1"/>
      <c r="N10870" s="1"/>
      <c r="O10870" s="1"/>
      <c r="P10870" s="1"/>
      <c r="Q10870" s="1"/>
      <c r="R10870" s="1"/>
      <c r="S10870" s="1"/>
      <c r="T10870" s="1"/>
      <c r="U10870" s="1"/>
      <c r="V10870" s="1"/>
      <c r="W10870" s="1"/>
      <c r="X10870" s="1"/>
      <c r="Y10870" s="1"/>
      <c r="Z10870" s="1"/>
      <c r="AA10870" s="1"/>
      <c r="AB10870" s="1"/>
    </row>
    <row r="10871" ht="50.25" customHeight="1">
      <c r="A10871" s="12">
        <v>10867.0</v>
      </c>
      <c r="B10871" s="13" t="s">
        <v>10535</v>
      </c>
      <c r="C10871" s="18" t="s">
        <v>10899</v>
      </c>
      <c r="D10871" s="1"/>
      <c r="E10871" s="1"/>
      <c r="F10871" s="1" t="str">
        <f>IFERROR(__xludf.DUMMYFUNCTION("GOOGLETRANSLATE(B10871, ""en"", ""fa"")
"),"کپی رایتینگ II")</f>
        <v>کپی رایتینگ II</v>
      </c>
      <c r="G10871" s="1" t="str">
        <f>IFERROR(__xludf.DUMMYFUNCTION("GOOGLETRANSLATE(C10871, ""en"", ""fa"")
"),"بهترین روش‌ها برای بهینه‌سازی کپی‌رایتینگ برای فهرست‌های سئوی محلی، مانند Yelp یا Yellow Pages، برای افزایش دید جستجوی محلی چیست؟")</f>
        <v>بهترین روش‌ها برای بهینه‌سازی کپی‌رایتینگ برای فهرست‌های سئوی محلی، مانند Yelp یا Yellow Pages، برای افزایش دید جستجوی محلی چیست؟</v>
      </c>
      <c r="H10871" s="1"/>
      <c r="I10871" s="1"/>
      <c r="J10871" s="1"/>
      <c r="K10871" s="1"/>
      <c r="L10871" s="1"/>
      <c r="M10871" s="1"/>
      <c r="N10871" s="1"/>
      <c r="O10871" s="1"/>
      <c r="P10871" s="1"/>
      <c r="Q10871" s="1"/>
      <c r="R10871" s="1"/>
      <c r="S10871" s="1"/>
      <c r="T10871" s="1"/>
      <c r="U10871" s="1"/>
      <c r="V10871" s="1"/>
      <c r="W10871" s="1"/>
      <c r="X10871" s="1"/>
      <c r="Y10871" s="1"/>
      <c r="Z10871" s="1"/>
      <c r="AA10871" s="1"/>
      <c r="AB10871" s="1"/>
    </row>
    <row r="10872" ht="50.25" customHeight="1">
      <c r="A10872" s="12">
        <v>10868.0</v>
      </c>
      <c r="B10872" s="13" t="s">
        <v>10535</v>
      </c>
      <c r="C10872" s="18" t="s">
        <v>10900</v>
      </c>
      <c r="D10872" s="1"/>
      <c r="E10872" s="1"/>
      <c r="F10872" s="1" t="str">
        <f>IFERROR(__xludf.DUMMYFUNCTION("GOOGLETRANSLATE(B10872, ""en"", ""fa"")
"),"کپی رایتینگ II")</f>
        <v>کپی رایتینگ II</v>
      </c>
      <c r="G10872" s="1" t="str">
        <f>IFERROR(__xludf.DUMMYFUNCTION("GOOGLETRANSLATE(C10872, ""en"", ""fa"")
"),"چگونه می توان نگاشت کلید واژه و بهینه سازی درون صفحه را برای وب سایت های بزرگ با چندین صفحه و بخش انجام داد؟")</f>
        <v>چگونه می توان نگاشت کلید واژه و بهینه سازی درون صفحه را برای وب سایت های بزرگ با چندین صفحه و بخش انجام داد؟</v>
      </c>
      <c r="H10872" s="1"/>
      <c r="I10872" s="1"/>
      <c r="J10872" s="1"/>
      <c r="K10872" s="1"/>
      <c r="L10872" s="1"/>
      <c r="M10872" s="1"/>
      <c r="N10872" s="1"/>
      <c r="O10872" s="1"/>
      <c r="P10872" s="1"/>
      <c r="Q10872" s="1"/>
      <c r="R10872" s="1"/>
      <c r="S10872" s="1"/>
      <c r="T10872" s="1"/>
      <c r="U10872" s="1"/>
      <c r="V10872" s="1"/>
      <c r="W10872" s="1"/>
      <c r="X10872" s="1"/>
      <c r="Y10872" s="1"/>
      <c r="Z10872" s="1"/>
      <c r="AA10872" s="1"/>
      <c r="AB10872" s="1"/>
    </row>
    <row r="10873" ht="50.25" customHeight="1">
      <c r="A10873" s="12">
        <v>10869.0</v>
      </c>
      <c r="B10873" s="13" t="s">
        <v>10535</v>
      </c>
      <c r="C10873" s="18" t="s">
        <v>10901</v>
      </c>
      <c r="D10873" s="1"/>
      <c r="E10873" s="1"/>
      <c r="F10873" s="1" t="str">
        <f>IFERROR(__xludf.DUMMYFUNCTION("GOOGLETRANSLATE(B10873, ""en"", ""fa"")
"),"کپی رایتینگ II")</f>
        <v>کپی رایتینگ II</v>
      </c>
      <c r="G10873" s="1" t="str">
        <f>IFERROR(__xludf.DUMMYFUNCTION("GOOGLETRANSLATE(C10873, ""en"", ""fa"")
"),"در مورد نقش تجربه کاربر (UX) و عملکرد وب سایت در کپی رایتینگ SEO و استراتژی هایی برای بهینه سازی زمان بارگذاری و ناوبری بحث کنید.")</f>
        <v>در مورد نقش تجربه کاربر (UX) و عملکرد وب سایت در کپی رایتینگ SEO و استراتژی هایی برای بهینه سازی زمان بارگذاری و ناوبری بحث کنید.</v>
      </c>
      <c r="H10873" s="1"/>
      <c r="I10873" s="1"/>
      <c r="J10873" s="1"/>
      <c r="K10873" s="1"/>
      <c r="L10873" s="1"/>
      <c r="M10873" s="1"/>
      <c r="N10873" s="1"/>
      <c r="O10873" s="1"/>
      <c r="P10873" s="1"/>
      <c r="Q10873" s="1"/>
      <c r="R10873" s="1"/>
      <c r="S10873" s="1"/>
      <c r="T10873" s="1"/>
      <c r="U10873" s="1"/>
      <c r="V10873" s="1"/>
      <c r="W10873" s="1"/>
      <c r="X10873" s="1"/>
      <c r="Y10873" s="1"/>
      <c r="Z10873" s="1"/>
      <c r="AA10873" s="1"/>
      <c r="AB10873" s="1"/>
    </row>
    <row r="10874" ht="50.25" customHeight="1">
      <c r="A10874" s="12">
        <v>10870.0</v>
      </c>
      <c r="B10874" s="13" t="s">
        <v>10535</v>
      </c>
      <c r="C10874" s="18" t="s">
        <v>10902</v>
      </c>
      <c r="D10874" s="1"/>
      <c r="E10874" s="1"/>
      <c r="F10874" s="1" t="str">
        <f>IFERROR(__xludf.DUMMYFUNCTION("GOOGLETRANSLATE(B10874, ""en"", ""fa"")
"),"کپی رایتینگ II")</f>
        <v>کپی رایتینگ II</v>
      </c>
      <c r="G10874" s="1" t="str">
        <f>IFERROR(__xludf.DUMMYFUNCTION("GOOGLETRANSLATE(C10874, ""en"", ""fa"")
"),"چگونه می توان کپی رایتینگ خود را برای هدف جستجوی موبایل بهینه کرد و اطلاعات مختصر و مرتبط را در صفحه نمایش های کوچکتر به کاربران ارائه کرد؟")</f>
        <v>چگونه می توان کپی رایتینگ خود را برای هدف جستجوی موبایل بهینه کرد و اطلاعات مختصر و مرتبط را در صفحه نمایش های کوچکتر به کاربران ارائه کرد؟</v>
      </c>
      <c r="H10874" s="1"/>
      <c r="I10874" s="1"/>
      <c r="J10874" s="1"/>
      <c r="K10874" s="1"/>
      <c r="L10874" s="1"/>
      <c r="M10874" s="1"/>
      <c r="N10874" s="1"/>
      <c r="O10874" s="1"/>
      <c r="P10874" s="1"/>
      <c r="Q10874" s="1"/>
      <c r="R10874" s="1"/>
      <c r="S10874" s="1"/>
      <c r="T10874" s="1"/>
      <c r="U10874" s="1"/>
      <c r="V10874" s="1"/>
      <c r="W10874" s="1"/>
      <c r="X10874" s="1"/>
      <c r="Y10874" s="1"/>
      <c r="Z10874" s="1"/>
      <c r="AA10874" s="1"/>
      <c r="AB10874" s="1"/>
    </row>
    <row r="10875" ht="50.25" customHeight="1">
      <c r="A10875" s="12">
        <v>10871.0</v>
      </c>
      <c r="B10875" s="13" t="s">
        <v>10535</v>
      </c>
      <c r="C10875" s="18" t="s">
        <v>10903</v>
      </c>
      <c r="D10875" s="1"/>
      <c r="E10875" s="1"/>
      <c r="F10875" s="1" t="str">
        <f>IFERROR(__xludf.DUMMYFUNCTION("GOOGLETRANSLATE(B10875, ""en"", ""fa"")
"),"کپی رایتینگ II")</f>
        <v>کپی رایتینگ II</v>
      </c>
      <c r="G10875" s="1" t="str">
        <f>IFERROR(__xludf.DUMMYFUNCTION("GOOGLETRANSLATE(C10875, ""en"", ""fa"")
"),"استراتژی‌های مختلف را برای بهینه‌سازی کپی‌نویسی خود برای تکه‌های جستجوی صوتی و ارائه پاسخ‌های مختصر به جستارهای فعال‌شده صوتی بررسی کنید.")</f>
        <v>استراتژی‌های مختلف را برای بهینه‌سازی کپی‌نویسی خود برای تکه‌های جستجوی صوتی و ارائه پاسخ‌های مختصر به جستارهای فعال‌شده صوتی بررسی کنید.</v>
      </c>
      <c r="H10875" s="1"/>
      <c r="I10875" s="1"/>
      <c r="J10875" s="1"/>
      <c r="K10875" s="1"/>
      <c r="L10875" s="1"/>
      <c r="M10875" s="1"/>
      <c r="N10875" s="1"/>
      <c r="O10875" s="1"/>
      <c r="P10875" s="1"/>
      <c r="Q10875" s="1"/>
      <c r="R10875" s="1"/>
      <c r="S10875" s="1"/>
      <c r="T10875" s="1"/>
      <c r="U10875" s="1"/>
      <c r="V10875" s="1"/>
      <c r="W10875" s="1"/>
      <c r="X10875" s="1"/>
      <c r="Y10875" s="1"/>
      <c r="Z10875" s="1"/>
      <c r="AA10875" s="1"/>
      <c r="AB10875" s="1"/>
    </row>
    <row r="10876" ht="50.25" customHeight="1">
      <c r="A10876" s="12">
        <v>10872.0</v>
      </c>
      <c r="B10876" s="13" t="s">
        <v>10535</v>
      </c>
      <c r="C10876" s="18" t="s">
        <v>10904</v>
      </c>
      <c r="D10876" s="1"/>
      <c r="E10876" s="1"/>
      <c r="F10876" s="1" t="str">
        <f>IFERROR(__xludf.DUMMYFUNCTION("GOOGLETRANSLATE(B10876, ""en"", ""fa"")
"),"کپی رایتینگ II")</f>
        <v>کپی رایتینگ II</v>
      </c>
      <c r="G10876" s="1" t="str">
        <f>IFERROR(__xludf.DUMMYFUNCTION("GOOGLETRANSLATE(C10876, ""en"", ""fa"")
"),"تکنیک های بهینه سازی کپی رایتینگ برای وب سایت های خبری و استفاده از محتوای به موقع برای جذب ترافیک ارگانیک چیست؟")</f>
        <v>تکنیک های بهینه سازی کپی رایتینگ برای وب سایت های خبری و استفاده از محتوای به موقع برای جذب ترافیک ارگانیک چیست؟</v>
      </c>
      <c r="H10876" s="1"/>
      <c r="I10876" s="1"/>
      <c r="J10876" s="1"/>
      <c r="K10876" s="1"/>
      <c r="L10876" s="1"/>
      <c r="M10876" s="1"/>
      <c r="N10876" s="1"/>
      <c r="O10876" s="1"/>
      <c r="P10876" s="1"/>
      <c r="Q10876" s="1"/>
      <c r="R10876" s="1"/>
      <c r="S10876" s="1"/>
      <c r="T10876" s="1"/>
      <c r="U10876" s="1"/>
      <c r="V10876" s="1"/>
      <c r="W10876" s="1"/>
      <c r="X10876" s="1"/>
      <c r="Y10876" s="1"/>
      <c r="Z10876" s="1"/>
      <c r="AA10876" s="1"/>
      <c r="AB10876" s="1"/>
    </row>
    <row r="10877" ht="50.25" customHeight="1">
      <c r="A10877" s="12">
        <v>10873.0</v>
      </c>
      <c r="B10877" s="13" t="s">
        <v>10535</v>
      </c>
      <c r="C10877" s="18" t="s">
        <v>10905</v>
      </c>
      <c r="D10877" s="1"/>
      <c r="E10877" s="1"/>
      <c r="F10877" s="1" t="str">
        <f>IFERROR(__xludf.DUMMYFUNCTION("GOOGLETRANSLATE(B10877, ""en"", ""fa"")
"),"کپی رایتینگ II")</f>
        <v>کپی رایتینگ II</v>
      </c>
      <c r="G10877" s="1" t="str">
        <f>IFERROR(__xludf.DUMMYFUNCTION("GOOGLETRANSLATE(C10877, ""en"", ""fa"")
"),"چگونه می توان توصیفات و نظرات محلی را در کپی رایتینگ خود برای افزایش دید سئوی محلی و ایجاد اثبات اجتماعی در نظر گرفت؟")</f>
        <v>چگونه می توان توصیفات و نظرات محلی را در کپی رایتینگ خود برای افزایش دید سئوی محلی و ایجاد اثبات اجتماعی در نظر گرفت؟</v>
      </c>
      <c r="H10877" s="1"/>
      <c r="I10877" s="1"/>
      <c r="J10877" s="1"/>
      <c r="K10877" s="1"/>
      <c r="L10877" s="1"/>
      <c r="M10877" s="1"/>
      <c r="N10877" s="1"/>
      <c r="O10877" s="1"/>
      <c r="P10877" s="1"/>
      <c r="Q10877" s="1"/>
      <c r="R10877" s="1"/>
      <c r="S10877" s="1"/>
      <c r="T10877" s="1"/>
      <c r="U10877" s="1"/>
      <c r="V10877" s="1"/>
      <c r="W10877" s="1"/>
      <c r="X10877" s="1"/>
      <c r="Y10877" s="1"/>
      <c r="Z10877" s="1"/>
      <c r="AA10877" s="1"/>
      <c r="AB10877" s="1"/>
    </row>
    <row r="10878" ht="50.25" customHeight="1">
      <c r="A10878" s="12">
        <v>10874.0</v>
      </c>
      <c r="B10878" s="13" t="s">
        <v>10535</v>
      </c>
      <c r="C10878" s="18" t="s">
        <v>10906</v>
      </c>
      <c r="D10878" s="1"/>
      <c r="E10878" s="1"/>
      <c r="F10878" s="1" t="str">
        <f>IFERROR(__xludf.DUMMYFUNCTION("GOOGLETRANSLATE(B10878, ""en"", ""fa"")
"),"کپی رایتینگ II")</f>
        <v>کپی رایتینگ II</v>
      </c>
      <c r="G10878" s="1" t="str">
        <f>IFERROR(__xludf.DUMMYFUNCTION("GOOGLETRANSLATE(C10878, ""en"", ""fa"")
"),"در مورد اهمیت ایجاد URL های سئو پسند که شامل کلمات کلیدی مرتبط هستند و سلسله مراتب واضحی از ساختار وب سایت شما ارائه می دهند، بحث کنید.")</f>
        <v>در مورد اهمیت ایجاد URL های سئو پسند که شامل کلمات کلیدی مرتبط هستند و سلسله مراتب واضحی از ساختار وب سایت شما ارائه می دهند، بحث کنید.</v>
      </c>
      <c r="H10878" s="1"/>
      <c r="I10878" s="1"/>
      <c r="J10878" s="1"/>
      <c r="K10878" s="1"/>
      <c r="L10878" s="1"/>
      <c r="M10878" s="1"/>
      <c r="N10878" s="1"/>
      <c r="O10878" s="1"/>
      <c r="P10878" s="1"/>
      <c r="Q10878" s="1"/>
      <c r="R10878" s="1"/>
      <c r="S10878" s="1"/>
      <c r="T10878" s="1"/>
      <c r="U10878" s="1"/>
      <c r="V10878" s="1"/>
      <c r="W10878" s="1"/>
      <c r="X10878" s="1"/>
      <c r="Y10878" s="1"/>
      <c r="Z10878" s="1"/>
      <c r="AA10878" s="1"/>
      <c r="AB10878" s="1"/>
    </row>
    <row r="10879" ht="50.25" customHeight="1">
      <c r="A10879" s="12">
        <v>10875.0</v>
      </c>
      <c r="B10879" s="13" t="s">
        <v>10535</v>
      </c>
      <c r="C10879" s="18" t="s">
        <v>10907</v>
      </c>
      <c r="D10879" s="1"/>
      <c r="E10879" s="1"/>
      <c r="F10879" s="1" t="str">
        <f>IFERROR(__xludf.DUMMYFUNCTION("GOOGLETRANSLATE(B10879, ""en"", ""fa"")
"),"کپی رایتینگ II")</f>
        <v>کپی رایتینگ II</v>
      </c>
      <c r="G10879" s="1" t="str">
        <f>IFERROR(__xludf.DUMMYFUNCTION("GOOGLETRANSLATE(C10879, ""en"", ""fa"")
"),"چگونه می توان کپی رایتینگ خود را برای فهرست های آنلاین و فهرست های تجاری بهینه کرد تا رتبه بندی جستجوی محلی و شهرت آنلاین را بهبود بخشد؟")</f>
        <v>چگونه می توان کپی رایتینگ خود را برای فهرست های آنلاین و فهرست های تجاری بهینه کرد تا رتبه بندی جستجوی محلی و شهرت آنلاین را بهبود بخشد؟</v>
      </c>
      <c r="H10879" s="1"/>
      <c r="I10879" s="1"/>
      <c r="J10879" s="1"/>
      <c r="K10879" s="1"/>
      <c r="L10879" s="1"/>
      <c r="M10879" s="1"/>
      <c r="N10879" s="1"/>
      <c r="O10879" s="1"/>
      <c r="P10879" s="1"/>
      <c r="Q10879" s="1"/>
      <c r="R10879" s="1"/>
      <c r="S10879" s="1"/>
      <c r="T10879" s="1"/>
      <c r="U10879" s="1"/>
      <c r="V10879" s="1"/>
      <c r="W10879" s="1"/>
      <c r="X10879" s="1"/>
      <c r="Y10879" s="1"/>
      <c r="Z10879" s="1"/>
      <c r="AA10879" s="1"/>
      <c r="AB10879" s="1"/>
    </row>
    <row r="10880" ht="50.25" customHeight="1">
      <c r="A10880" s="12">
        <v>10876.0</v>
      </c>
      <c r="B10880" s="13" t="s">
        <v>10535</v>
      </c>
      <c r="C10880" s="18" t="s">
        <v>10908</v>
      </c>
      <c r="D10880" s="1"/>
      <c r="E10880" s="1"/>
      <c r="F10880" s="1" t="str">
        <f>IFERROR(__xludf.DUMMYFUNCTION("GOOGLETRANSLATE(B10880, ""en"", ""fa"")
"),"کپی رایتینگ II")</f>
        <v>کپی رایتینگ II</v>
      </c>
      <c r="G10880" s="1" t="str">
        <f>IFERROR(__xludf.DUMMYFUNCTION("GOOGLETRANSLATE(C10880, ""en"", ""fa"")
"),"روش‌های مختلف را برای بهینه‌سازی کپی‌نویسی خود برای تبلیغات جستجوی موبایل و جذب کاربران تلفن همراه با کپی تبلیغات هدفمند بررسی کنید.")</f>
        <v>روش‌های مختلف را برای بهینه‌سازی کپی‌نویسی خود برای تبلیغات جستجوی موبایل و جذب کاربران تلفن همراه با کپی تبلیغات هدفمند بررسی کنید.</v>
      </c>
      <c r="H10880" s="1"/>
      <c r="I10880" s="1"/>
      <c r="J10880" s="1"/>
      <c r="K10880" s="1"/>
      <c r="L10880" s="1"/>
      <c r="M10880" s="1"/>
      <c r="N10880" s="1"/>
      <c r="O10880" s="1"/>
      <c r="P10880" s="1"/>
      <c r="Q10880" s="1"/>
      <c r="R10880" s="1"/>
      <c r="S10880" s="1"/>
      <c r="T10880" s="1"/>
      <c r="U10880" s="1"/>
      <c r="V10880" s="1"/>
      <c r="W10880" s="1"/>
      <c r="X10880" s="1"/>
      <c r="Y10880" s="1"/>
      <c r="Z10880" s="1"/>
      <c r="AA10880" s="1"/>
      <c r="AB10880" s="1"/>
    </row>
    <row r="10881" ht="50.25" customHeight="1">
      <c r="A10881" s="12">
        <v>10877.0</v>
      </c>
      <c r="B10881" s="13" t="s">
        <v>10535</v>
      </c>
      <c r="C10881" s="18" t="s">
        <v>10909</v>
      </c>
      <c r="D10881" s="1"/>
      <c r="E10881" s="1"/>
      <c r="F10881" s="1" t="str">
        <f>IFERROR(__xludf.DUMMYFUNCTION("GOOGLETRANSLATE(B10881, ""en"", ""fa"")
"),"کپی رایتینگ II")</f>
        <v>کپی رایتینگ II</v>
      </c>
      <c r="G10881" s="1" t="str">
        <f>IFERROR(__xludf.DUMMYFUNCTION("GOOGLETRANSLATE(C10881, ""en"", ""fa"")
"),"بهترین شیوه ها برای بهینه سازی کپی رایتینگ برای صفحات محصولات تجارت الکترونیک، از جمله توضیحات منحصر به فرد و محتوای غنی از کلمات کلیدی، چیست؟")</f>
        <v>بهترین شیوه ها برای بهینه سازی کپی رایتینگ برای صفحات محصولات تجارت الکترونیک، از جمله توضیحات منحصر به فرد و محتوای غنی از کلمات کلیدی، چیست؟</v>
      </c>
      <c r="H10881" s="1"/>
      <c r="I10881" s="1"/>
      <c r="J10881" s="1"/>
      <c r="K10881" s="1"/>
      <c r="L10881" s="1"/>
      <c r="M10881" s="1"/>
      <c r="N10881" s="1"/>
      <c r="O10881" s="1"/>
      <c r="P10881" s="1"/>
      <c r="Q10881" s="1"/>
      <c r="R10881" s="1"/>
      <c r="S10881" s="1"/>
      <c r="T10881" s="1"/>
      <c r="U10881" s="1"/>
      <c r="V10881" s="1"/>
      <c r="W10881" s="1"/>
      <c r="X10881" s="1"/>
      <c r="Y10881" s="1"/>
      <c r="Z10881" s="1"/>
      <c r="AA10881" s="1"/>
      <c r="AB10881" s="1"/>
    </row>
    <row r="10882" ht="50.25" customHeight="1">
      <c r="A10882" s="12">
        <v>10878.0</v>
      </c>
      <c r="B10882" s="13" t="s">
        <v>10535</v>
      </c>
      <c r="C10882" s="18" t="s">
        <v>10910</v>
      </c>
      <c r="D10882" s="1"/>
      <c r="E10882" s="1"/>
      <c r="F10882" s="1" t="str">
        <f>IFERROR(__xludf.DUMMYFUNCTION("GOOGLETRANSLATE(B10882, ""en"", ""fa"")
"),"کپی رایتینگ II")</f>
        <v>کپی رایتینگ II</v>
      </c>
      <c r="G10882" s="1" t="str">
        <f>IFERROR(__xludf.DUMMYFUNCTION("GOOGLETRANSLATE(C10882, ""en"", ""fa"")
"),"چگونه می توان تحقیقات موثر کلمات کلیدی را انجام داد و کلمات کلیدی طولانی را برای هدف قرار دادن جایگاه های خاص و بهبود عملکرد کپی رایتینگ SEO شناسایی کرد؟")</f>
        <v>چگونه می توان تحقیقات موثر کلمات کلیدی را انجام داد و کلمات کلیدی طولانی را برای هدف قرار دادن جایگاه های خاص و بهبود عملکرد کپی رایتینگ SEO شناسایی کرد؟</v>
      </c>
      <c r="H10882" s="1"/>
      <c r="I10882" s="1"/>
      <c r="J10882" s="1"/>
      <c r="K10882" s="1"/>
      <c r="L10882" s="1"/>
      <c r="M10882" s="1"/>
      <c r="N10882" s="1"/>
      <c r="O10882" s="1"/>
      <c r="P10882" s="1"/>
      <c r="Q10882" s="1"/>
      <c r="R10882" s="1"/>
      <c r="S10882" s="1"/>
      <c r="T10882" s="1"/>
      <c r="U10882" s="1"/>
      <c r="V10882" s="1"/>
      <c r="W10882" s="1"/>
      <c r="X10882" s="1"/>
      <c r="Y10882" s="1"/>
      <c r="Z10882" s="1"/>
      <c r="AA10882" s="1"/>
      <c r="AB10882" s="1"/>
    </row>
    <row r="10883" ht="50.25" customHeight="1">
      <c r="A10883" s="12">
        <v>10879.0</v>
      </c>
      <c r="B10883" s="13" t="s">
        <v>10535</v>
      </c>
      <c r="C10883" s="18" t="s">
        <v>10911</v>
      </c>
      <c r="D10883" s="1"/>
      <c r="E10883" s="1"/>
      <c r="F10883" s="1" t="str">
        <f>IFERROR(__xludf.DUMMYFUNCTION("GOOGLETRANSLATE(B10883, ""en"", ""fa"")
"),"کپی رایتینگ II")</f>
        <v>کپی رایتینگ II</v>
      </c>
      <c r="G10883" s="1" t="str">
        <f>IFERROR(__xludf.DUMMYFUNCTION("GOOGLETRANSLATE(C10883, ""en"", ""fa"")
"),"در مورد نقش یکپارچه سازی رسانه های اجتماعی و دکمه های اشتراک گذاری در تقویت نفوذ و تاثیر سئوی کپی رایتینگ خود بحث کنید.")</f>
        <v>در مورد نقش یکپارچه سازی رسانه های اجتماعی و دکمه های اشتراک گذاری در تقویت نفوذ و تاثیر سئوی کپی رایتینگ خود بحث کنید.</v>
      </c>
      <c r="H10883" s="1"/>
      <c r="I10883" s="1"/>
      <c r="J10883" s="1"/>
      <c r="K10883" s="1"/>
      <c r="L10883" s="1"/>
      <c r="M10883" s="1"/>
      <c r="N10883" s="1"/>
      <c r="O10883" s="1"/>
      <c r="P10883" s="1"/>
      <c r="Q10883" s="1"/>
      <c r="R10883" s="1"/>
      <c r="S10883" s="1"/>
      <c r="T10883" s="1"/>
      <c r="U10883" s="1"/>
      <c r="V10883" s="1"/>
      <c r="W10883" s="1"/>
      <c r="X10883" s="1"/>
      <c r="Y10883" s="1"/>
      <c r="Z10883" s="1"/>
      <c r="AA10883" s="1"/>
      <c r="AB10883" s="1"/>
    </row>
    <row r="10884" ht="50.25" customHeight="1">
      <c r="A10884" s="12">
        <v>10880.0</v>
      </c>
      <c r="B10884" s="13" t="s">
        <v>10535</v>
      </c>
      <c r="C10884" s="18" t="s">
        <v>10912</v>
      </c>
      <c r="D10884" s="1"/>
      <c r="E10884" s="1"/>
      <c r="F10884" s="1" t="str">
        <f>IFERROR(__xludf.DUMMYFUNCTION("GOOGLETRANSLATE(B10884, ""en"", ""fa"")
"),"کپی رایتینگ II")</f>
        <v>کپی رایتینگ II</v>
      </c>
      <c r="G10884" s="1" t="str">
        <f>IFERROR(__xludf.DUMMYFUNCTION("GOOGLETRANSLATE(C10884, ""en"", ""fa"")
"),"چگونه می توان کپی رایتینگ خود را برای دستگاه های هوشمند فعال با صدا، مانند Amazon Echo یا Google Home، بهینه کرد تا درخواست های جستجوی صوتی را ضبط کند؟")</f>
        <v>چگونه می توان کپی رایتینگ خود را برای دستگاه های هوشمند فعال با صدا، مانند Amazon Echo یا Google Home، بهینه کرد تا درخواست های جستجوی صوتی را ضبط کند؟</v>
      </c>
      <c r="H10884" s="1"/>
      <c r="I10884" s="1"/>
      <c r="J10884" s="1"/>
      <c r="K10884" s="1"/>
      <c r="L10884" s="1"/>
      <c r="M10884" s="1"/>
      <c r="N10884" s="1"/>
      <c r="O10884" s="1"/>
      <c r="P10884" s="1"/>
      <c r="Q10884" s="1"/>
      <c r="R10884" s="1"/>
      <c r="S10884" s="1"/>
      <c r="T10884" s="1"/>
      <c r="U10884" s="1"/>
      <c r="V10884" s="1"/>
      <c r="W10884" s="1"/>
      <c r="X10884" s="1"/>
      <c r="Y10884" s="1"/>
      <c r="Z10884" s="1"/>
      <c r="AA10884" s="1"/>
      <c r="AB10884" s="1"/>
    </row>
    <row r="10885" ht="50.25" customHeight="1">
      <c r="A10885" s="12">
        <v>10881.0</v>
      </c>
      <c r="B10885" s="13" t="s">
        <v>10535</v>
      </c>
      <c r="C10885" s="18" t="s">
        <v>10913</v>
      </c>
      <c r="D10885" s="1"/>
      <c r="E10885" s="1"/>
      <c r="F10885" s="1" t="str">
        <f>IFERROR(__xludf.DUMMYFUNCTION("GOOGLETRANSLATE(B10885, ""en"", ""fa"")
"),"کپی رایتینگ II")</f>
        <v>کپی رایتینگ II</v>
      </c>
      <c r="G10885" s="1" t="str">
        <f>IFERROR(__xludf.DUMMYFUNCTION("GOOGLETRANSLATE(C10885, ""en"", ""fa"")
"),"استراتژی‌های مختلف را برای بهینه‌سازی کپی‌نویسی برای فهرست‌های «Google برای کسب‌وکار من» و جذب مشتریان محلی از طریق جستجوی محلی بررسی کنید.")</f>
        <v>استراتژی‌های مختلف را برای بهینه‌سازی کپی‌نویسی برای فهرست‌های «Google برای کسب‌وکار من» و جذب مشتریان محلی از طریق جستجوی محلی بررسی کنید.</v>
      </c>
      <c r="H10885" s="1"/>
      <c r="I10885" s="1"/>
      <c r="J10885" s="1"/>
      <c r="K10885" s="1"/>
      <c r="L10885" s="1"/>
      <c r="M10885" s="1"/>
      <c r="N10885" s="1"/>
      <c r="O10885" s="1"/>
      <c r="P10885" s="1"/>
      <c r="Q10885" s="1"/>
      <c r="R10885" s="1"/>
      <c r="S10885" s="1"/>
      <c r="T10885" s="1"/>
      <c r="U10885" s="1"/>
      <c r="V10885" s="1"/>
      <c r="W10885" s="1"/>
      <c r="X10885" s="1"/>
      <c r="Y10885" s="1"/>
      <c r="Z10885" s="1"/>
      <c r="AA10885" s="1"/>
      <c r="AB10885" s="1"/>
    </row>
    <row r="10886" ht="50.25" customHeight="1">
      <c r="A10886" s="12">
        <v>10882.0</v>
      </c>
      <c r="B10886" s="13" t="s">
        <v>10535</v>
      </c>
      <c r="C10886" s="18" t="s">
        <v>10914</v>
      </c>
      <c r="D10886" s="1"/>
      <c r="E10886" s="1"/>
      <c r="F10886" s="1" t="str">
        <f>IFERROR(__xludf.DUMMYFUNCTION("GOOGLETRANSLATE(B10886, ""en"", ""fa"")
"),"کپی رایتینگ II")</f>
        <v>کپی رایتینگ II</v>
      </c>
      <c r="G10886" s="1" t="str">
        <f>IFERROR(__xludf.DUMMYFUNCTION("GOOGLETRANSLATE(C10886, ""en"", ""fa"")
"),"تکنیک‌های بهینه‌سازی کپی‌نویسی برای متن و زیرنویس‌های جایگزین برای بهبود دید و دسترسی جستجوی تصویر چیست؟")</f>
        <v>تکنیک‌های بهینه‌سازی کپی‌نویسی برای متن و زیرنویس‌های جایگزین برای بهبود دید و دسترسی جستجوی تصویر چیست؟</v>
      </c>
      <c r="H10886" s="1"/>
      <c r="I10886" s="1"/>
      <c r="J10886" s="1"/>
      <c r="K10886" s="1"/>
      <c r="L10886" s="1"/>
      <c r="M10886" s="1"/>
      <c r="N10886" s="1"/>
      <c r="O10886" s="1"/>
      <c r="P10886" s="1"/>
      <c r="Q10886" s="1"/>
      <c r="R10886" s="1"/>
      <c r="S10886" s="1"/>
      <c r="T10886" s="1"/>
      <c r="U10886" s="1"/>
      <c r="V10886" s="1"/>
      <c r="W10886" s="1"/>
      <c r="X10886" s="1"/>
      <c r="Y10886" s="1"/>
      <c r="Z10886" s="1"/>
      <c r="AA10886" s="1"/>
      <c r="AB10886" s="1"/>
    </row>
    <row r="10887" ht="50.25" customHeight="1">
      <c r="A10887" s="12">
        <v>10883.0</v>
      </c>
      <c r="B10887" s="13" t="s">
        <v>10535</v>
      </c>
      <c r="C10887" s="18" t="s">
        <v>10915</v>
      </c>
      <c r="D10887" s="1"/>
      <c r="E10887" s="1"/>
      <c r="F10887" s="1" t="str">
        <f>IFERROR(__xludf.DUMMYFUNCTION("GOOGLETRANSLATE(B10887, ""en"", ""fa"")
"),"کپی رایتینگ II")</f>
        <v>کپی رایتینگ II</v>
      </c>
      <c r="G10887" s="1" t="str">
        <f>IFERROR(__xludf.DUMMYFUNCTION("GOOGLETRANSLATE(C10887, ""en"", ""fa"")
"),"چگونه کلمات کلیدی محلی و اطلاعات مربوط به مکان را در کپی رایتینگ خود بگنجانیم تا در نتایج جستجوی محلی رتبه بالاتری کسب کنیم؟")</f>
        <v>چگونه کلمات کلیدی محلی و اطلاعات مربوط به مکان را در کپی رایتینگ خود بگنجانیم تا در نتایج جستجوی محلی رتبه بالاتری کسب کنیم؟</v>
      </c>
      <c r="H10887" s="1"/>
      <c r="I10887" s="1"/>
      <c r="J10887" s="1"/>
      <c r="K10887" s="1"/>
      <c r="L10887" s="1"/>
      <c r="M10887" s="1"/>
      <c r="N10887" s="1"/>
      <c r="O10887" s="1"/>
      <c r="P10887" s="1"/>
      <c r="Q10887" s="1"/>
      <c r="R10887" s="1"/>
      <c r="S10887" s="1"/>
      <c r="T10887" s="1"/>
      <c r="U10887" s="1"/>
      <c r="V10887" s="1"/>
      <c r="W10887" s="1"/>
      <c r="X10887" s="1"/>
      <c r="Y10887" s="1"/>
      <c r="Z10887" s="1"/>
      <c r="AA10887" s="1"/>
      <c r="AB10887" s="1"/>
    </row>
    <row r="10888" ht="50.25" customHeight="1">
      <c r="A10888" s="12">
        <v>10884.0</v>
      </c>
      <c r="B10888" s="13" t="s">
        <v>10535</v>
      </c>
      <c r="C10888" s="18" t="s">
        <v>10916</v>
      </c>
      <c r="D10888" s="1"/>
      <c r="E10888" s="1"/>
      <c r="F10888" s="1" t="str">
        <f>IFERROR(__xludf.DUMMYFUNCTION("GOOGLETRANSLATE(B10888, ""en"", ""fa"")
"),"کپی رایتینگ II")</f>
        <v>کپی رایتینگ II</v>
      </c>
      <c r="G10888" s="1" t="str">
        <f>IFERROR(__xludf.DUMMYFUNCTION("GOOGLETRANSLATE(C10888, ""en"", ""fa"")
"),"در مورد اهمیت نظارت و تجزیه و تحلیل معیارهای SEO، مانند ترافیک ارگانیک و رتبه بندی کلمات کلیدی، برای ردیابی عملکرد کپی رایتینگ خود بحث کنید.")</f>
        <v>در مورد اهمیت نظارت و تجزیه و تحلیل معیارهای SEO، مانند ترافیک ارگانیک و رتبه بندی کلمات کلیدی، برای ردیابی عملکرد کپی رایتینگ خود بحث کنید.</v>
      </c>
      <c r="H10888" s="1"/>
      <c r="I10888" s="1"/>
      <c r="J10888" s="1"/>
      <c r="K10888" s="1"/>
      <c r="L10888" s="1"/>
      <c r="M10888" s="1"/>
      <c r="N10888" s="1"/>
      <c r="O10888" s="1"/>
      <c r="P10888" s="1"/>
      <c r="Q10888" s="1"/>
      <c r="R10888" s="1"/>
      <c r="S10888" s="1"/>
      <c r="T10888" s="1"/>
      <c r="U10888" s="1"/>
      <c r="V10888" s="1"/>
      <c r="W10888" s="1"/>
      <c r="X10888" s="1"/>
      <c r="Y10888" s="1"/>
      <c r="Z10888" s="1"/>
      <c r="AA10888" s="1"/>
      <c r="AB10888" s="1"/>
    </row>
    <row r="10889" ht="50.25" customHeight="1">
      <c r="A10889" s="12">
        <v>10885.0</v>
      </c>
      <c r="B10889" s="13" t="s">
        <v>10535</v>
      </c>
      <c r="C10889" s="18" t="s">
        <v>10917</v>
      </c>
      <c r="D10889" s="1"/>
      <c r="E10889" s="1"/>
      <c r="F10889" s="1" t="str">
        <f>IFERROR(__xludf.DUMMYFUNCTION("GOOGLETRANSLATE(B10889, ""en"", ""fa"")
"),"کپی رایتینگ II")</f>
        <v>کپی رایتینگ II</v>
      </c>
      <c r="G10889" s="1" t="str">
        <f>IFERROR(__xludf.DUMMYFUNCTION("GOOGLETRANSLATE(C10889, ""en"", ""fa"")
"),"چگونه می توان کپی رایتینگ خود را برای بررسی و رتبه بندی آنلاین بهینه کرد تا دید موتورهای جستجو را افزایش داده و بر درک کاربر تأثیر بگذارد؟")</f>
        <v>چگونه می توان کپی رایتینگ خود را برای بررسی و رتبه بندی آنلاین بهینه کرد تا دید موتورهای جستجو را افزایش داده و بر درک کاربر تأثیر بگذارد؟</v>
      </c>
      <c r="H10889" s="1"/>
      <c r="I10889" s="1"/>
      <c r="J10889" s="1"/>
      <c r="K10889" s="1"/>
      <c r="L10889" s="1"/>
      <c r="M10889" s="1"/>
      <c r="N10889" s="1"/>
      <c r="O10889" s="1"/>
      <c r="P10889" s="1"/>
      <c r="Q10889" s="1"/>
      <c r="R10889" s="1"/>
      <c r="S10889" s="1"/>
      <c r="T10889" s="1"/>
      <c r="U10889" s="1"/>
      <c r="V10889" s="1"/>
      <c r="W10889" s="1"/>
      <c r="X10889" s="1"/>
      <c r="Y10889" s="1"/>
      <c r="Z10889" s="1"/>
      <c r="AA10889" s="1"/>
      <c r="AB10889" s="1"/>
    </row>
    <row r="10890" ht="50.25" customHeight="1">
      <c r="A10890" s="12">
        <v>10886.0</v>
      </c>
      <c r="B10890" s="13" t="s">
        <v>10535</v>
      </c>
      <c r="C10890" s="18" t="s">
        <v>10918</v>
      </c>
      <c r="D10890" s="1"/>
      <c r="E10890" s="1"/>
      <c r="F10890" s="1" t="str">
        <f>IFERROR(__xludf.DUMMYFUNCTION("GOOGLETRANSLATE(B10890, ""en"", ""fa"")
"),"کپی رایتینگ II")</f>
        <v>کپی رایتینگ II</v>
      </c>
      <c r="G10890" s="1" t="str">
        <f>IFERROR(__xludf.DUMMYFUNCTION("GOOGLETRANSLATE(C10890, ""en"", ""fa"")
"),"روش های مختلف را برای بهینه سازی کپی رایتینگ خود برای سئو مبتنی بر رویداد برای جذب بازدیدکنندگان و تبلیغ پیشنهادات یا تبلیغات حساس به زمان کاوش کنید.")</f>
        <v>روش های مختلف را برای بهینه سازی کپی رایتینگ خود برای سئو مبتنی بر رویداد برای جذب بازدیدکنندگان و تبلیغ پیشنهادات یا تبلیغات حساس به زمان کاوش کنید.</v>
      </c>
      <c r="H10890" s="1"/>
      <c r="I10890" s="1"/>
      <c r="J10890" s="1"/>
      <c r="K10890" s="1"/>
      <c r="L10890" s="1"/>
      <c r="M10890" s="1"/>
      <c r="N10890" s="1"/>
      <c r="O10890" s="1"/>
      <c r="P10890" s="1"/>
      <c r="Q10890" s="1"/>
      <c r="R10890" s="1"/>
      <c r="S10890" s="1"/>
      <c r="T10890" s="1"/>
      <c r="U10890" s="1"/>
      <c r="V10890" s="1"/>
      <c r="W10890" s="1"/>
      <c r="X10890" s="1"/>
      <c r="Y10890" s="1"/>
      <c r="Z10890" s="1"/>
      <c r="AA10890" s="1"/>
      <c r="AB10890" s="1"/>
    </row>
    <row r="10891" ht="50.25" customHeight="1">
      <c r="A10891" s="12">
        <v>10887.0</v>
      </c>
      <c r="B10891" s="13" t="s">
        <v>10535</v>
      </c>
      <c r="C10891" s="18" t="s">
        <v>10919</v>
      </c>
      <c r="D10891" s="1"/>
      <c r="E10891" s="1"/>
      <c r="F10891" s="1" t="str">
        <f>IFERROR(__xludf.DUMMYFUNCTION("GOOGLETRANSLATE(B10891, ""en"", ""fa"")
"),"کپی رایتینگ II")</f>
        <v>کپی رایتینگ II</v>
      </c>
      <c r="G10891" s="1" t="str">
        <f>IFERROR(__xludf.DUMMYFUNCTION("GOOGLETRANSLATE(C10891, ""en"", ""fa"")
"),"بهترین شیوه ها برای بهینه سازی کپی رایتینگ برای صفحات نتیجه موتور جستجوی موبایل (SERP) و جذب ترافیک موبایل چیست؟")</f>
        <v>بهترین شیوه ها برای بهینه سازی کپی رایتینگ برای صفحات نتیجه موتور جستجوی موبایل (SERP) و جذب ترافیک موبایل چیست؟</v>
      </c>
      <c r="H10891" s="1"/>
      <c r="I10891" s="1"/>
      <c r="J10891" s="1"/>
      <c r="K10891" s="1"/>
      <c r="L10891" s="1"/>
      <c r="M10891" s="1"/>
      <c r="N10891" s="1"/>
      <c r="O10891" s="1"/>
      <c r="P10891" s="1"/>
      <c r="Q10891" s="1"/>
      <c r="R10891" s="1"/>
      <c r="S10891" s="1"/>
      <c r="T10891" s="1"/>
      <c r="U10891" s="1"/>
      <c r="V10891" s="1"/>
      <c r="W10891" s="1"/>
      <c r="X10891" s="1"/>
      <c r="Y10891" s="1"/>
      <c r="Z10891" s="1"/>
      <c r="AA10891" s="1"/>
      <c r="AB10891" s="1"/>
    </row>
    <row r="10892" ht="50.25" customHeight="1">
      <c r="A10892" s="12">
        <v>10888.0</v>
      </c>
      <c r="B10892" s="13" t="s">
        <v>10535</v>
      </c>
      <c r="C10892" s="18" t="s">
        <v>10920</v>
      </c>
      <c r="D10892" s="1"/>
      <c r="E10892" s="1"/>
      <c r="F10892" s="1" t="str">
        <f>IFERROR(__xludf.DUMMYFUNCTION("GOOGLETRANSLATE(B10892, ""en"", ""fa"")
"),"کپی رایتینگ II")</f>
        <v>کپی رایتینگ II</v>
      </c>
      <c r="G10892" s="1" t="str">
        <f>IFERROR(__xludf.DUMMYFUNCTION("GOOGLETRANSLATE(C10892, ""en"", ""fa"")
"),"چگونه می توان تجزیه و تحلیل موثر رقبا را انجام داد و فرصت هایی را برای بهینه سازی کپی رایتینگ خود برای پیشی گرفتن از رقبا در نتایج جستجو شناسایی کرد؟")</f>
        <v>چگونه می توان تجزیه و تحلیل موثر رقبا را انجام داد و فرصت هایی را برای بهینه سازی کپی رایتینگ خود برای پیشی گرفتن از رقبا در نتایج جستجو شناسایی کرد؟</v>
      </c>
      <c r="H10892" s="1"/>
      <c r="I10892" s="1"/>
      <c r="J10892" s="1"/>
      <c r="K10892" s="1"/>
      <c r="L10892" s="1"/>
      <c r="M10892" s="1"/>
      <c r="N10892" s="1"/>
      <c r="O10892" s="1"/>
      <c r="P10892" s="1"/>
      <c r="Q10892" s="1"/>
      <c r="R10892" s="1"/>
      <c r="S10892" s="1"/>
      <c r="T10892" s="1"/>
      <c r="U10892" s="1"/>
      <c r="V10892" s="1"/>
      <c r="W10892" s="1"/>
      <c r="X10892" s="1"/>
      <c r="Y10892" s="1"/>
      <c r="Z10892" s="1"/>
      <c r="AA10892" s="1"/>
      <c r="AB10892" s="1"/>
    </row>
    <row r="10893" ht="50.25" customHeight="1">
      <c r="A10893" s="12">
        <v>10889.0</v>
      </c>
      <c r="B10893" s="13" t="s">
        <v>10535</v>
      </c>
      <c r="C10893" s="18" t="s">
        <v>10921</v>
      </c>
      <c r="D10893" s="1"/>
      <c r="E10893" s="1"/>
      <c r="F10893" s="1" t="str">
        <f>IFERROR(__xludf.DUMMYFUNCTION("GOOGLETRANSLATE(B10893, ""en"", ""fa"")
"),"کپی رایتینگ II")</f>
        <v>کپی رایتینگ II</v>
      </c>
      <c r="G10893" s="1" t="str">
        <f>IFERROR(__xludf.DUMMYFUNCTION("GOOGLETRANSLATE(C10893, ""en"", ""fa"")
"),"در مورد نقش لینک سازی محلی و دریافت بک لینک از منابع مرتبط محلی برای افزایش رتبه بندی سئوی محلی بحث کنید.")</f>
        <v>در مورد نقش لینک سازی محلی و دریافت بک لینک از منابع مرتبط محلی برای افزایش رتبه بندی سئوی محلی بحث کنید.</v>
      </c>
      <c r="H10893" s="1"/>
      <c r="I10893" s="1"/>
      <c r="J10893" s="1"/>
      <c r="K10893" s="1"/>
      <c r="L10893" s="1"/>
      <c r="M10893" s="1"/>
      <c r="N10893" s="1"/>
      <c r="O10893" s="1"/>
      <c r="P10893" s="1"/>
      <c r="Q10893" s="1"/>
      <c r="R10893" s="1"/>
      <c r="S10893" s="1"/>
      <c r="T10893" s="1"/>
      <c r="U10893" s="1"/>
      <c r="V10893" s="1"/>
      <c r="W10893" s="1"/>
      <c r="X10893" s="1"/>
      <c r="Y10893" s="1"/>
      <c r="Z10893" s="1"/>
      <c r="AA10893" s="1"/>
      <c r="AB10893" s="1"/>
    </row>
    <row r="10894" ht="50.25" customHeight="1">
      <c r="A10894" s="12">
        <v>10890.0</v>
      </c>
      <c r="B10894" s="13" t="s">
        <v>10535</v>
      </c>
      <c r="C10894" s="18" t="s">
        <v>10922</v>
      </c>
      <c r="D10894" s="1"/>
      <c r="E10894" s="1"/>
      <c r="F10894" s="1" t="str">
        <f>IFERROR(__xludf.DUMMYFUNCTION("GOOGLETRANSLATE(B10894, ""en"", ""fa"")
"),"کپی رایتینگ II")</f>
        <v>کپی رایتینگ II</v>
      </c>
      <c r="G10894" s="1" t="str">
        <f>IFERROR(__xludf.DUMMYFUNCTION("GOOGLETRANSLATE(C10894, ""en"", ""fa"")
"),"چگونه می توان کپی رایتینگ خود را برای دستگاه های جستجوی فعال صوتی و دستیارهای صوتی بهینه کرد تا با روند رو به رشد جستجوی صوتی هماهنگ شود؟")</f>
        <v>چگونه می توان کپی رایتینگ خود را برای دستگاه های جستجوی فعال صوتی و دستیارهای صوتی بهینه کرد تا با روند رو به رشد جستجوی صوتی هماهنگ شود؟</v>
      </c>
      <c r="H10894" s="1"/>
      <c r="I10894" s="1"/>
      <c r="J10894" s="1"/>
      <c r="K10894" s="1"/>
      <c r="L10894" s="1"/>
      <c r="M10894" s="1"/>
      <c r="N10894" s="1"/>
      <c r="O10894" s="1"/>
      <c r="P10894" s="1"/>
      <c r="Q10894" s="1"/>
      <c r="R10894" s="1"/>
      <c r="S10894" s="1"/>
      <c r="T10894" s="1"/>
      <c r="U10894" s="1"/>
      <c r="V10894" s="1"/>
      <c r="W10894" s="1"/>
      <c r="X10894" s="1"/>
      <c r="Y10894" s="1"/>
      <c r="Z10894" s="1"/>
      <c r="AA10894" s="1"/>
      <c r="AB10894" s="1"/>
    </row>
    <row r="10895" ht="50.25" customHeight="1">
      <c r="A10895" s="12">
        <v>10891.0</v>
      </c>
      <c r="B10895" s="13" t="s">
        <v>10535</v>
      </c>
      <c r="C10895" s="18" t="s">
        <v>10923</v>
      </c>
      <c r="D10895" s="1"/>
      <c r="E10895" s="1"/>
      <c r="F10895" s="1" t="str">
        <f>IFERROR(__xludf.DUMMYFUNCTION("GOOGLETRANSLATE(B10895, ""en"", ""fa"")
"),"کپی رایتینگ II")</f>
        <v>کپی رایتینگ II</v>
      </c>
      <c r="G10895" s="1" t="str">
        <f>IFERROR(__xludf.DUMMYFUNCTION("GOOGLETRANSLATE(C10895, ""en"", ""fa"")
"),"استراتژی های مختلف برای بهینه سازی کپی رایتینگ خود برای پست های وبلاگ دوستدار SEO و جذب ترافیک ارگانیک از طریق محتوای آموزنده را بررسی کنید.")</f>
        <v>استراتژی های مختلف برای بهینه سازی کپی رایتینگ خود برای پست های وبلاگ دوستدار SEO و جذب ترافیک ارگانیک از طریق محتوای آموزنده را بررسی کنید.</v>
      </c>
      <c r="H10895" s="1"/>
      <c r="I10895" s="1"/>
      <c r="J10895" s="1"/>
      <c r="K10895" s="1"/>
      <c r="L10895" s="1"/>
      <c r="M10895" s="1"/>
      <c r="N10895" s="1"/>
      <c r="O10895" s="1"/>
      <c r="P10895" s="1"/>
      <c r="Q10895" s="1"/>
      <c r="R10895" s="1"/>
      <c r="S10895" s="1"/>
      <c r="T10895" s="1"/>
      <c r="U10895" s="1"/>
      <c r="V10895" s="1"/>
      <c r="W10895" s="1"/>
      <c r="X10895" s="1"/>
      <c r="Y10895" s="1"/>
      <c r="Z10895" s="1"/>
      <c r="AA10895" s="1"/>
      <c r="AB10895" s="1"/>
    </row>
    <row r="10896" ht="50.25" customHeight="1">
      <c r="A10896" s="12">
        <v>10892.0</v>
      </c>
      <c r="B10896" s="13" t="s">
        <v>10535</v>
      </c>
      <c r="C10896" s="18" t="s">
        <v>10924</v>
      </c>
      <c r="D10896" s="1"/>
      <c r="E10896" s="1"/>
      <c r="F10896" s="1" t="str">
        <f>IFERROR(__xludf.DUMMYFUNCTION("GOOGLETRANSLATE(B10896, ""en"", ""fa"")
"),"کپی رایتینگ II")</f>
        <v>کپی رایتینگ II</v>
      </c>
      <c r="G10896" s="1" t="str">
        <f>IFERROR(__xludf.DUMMYFUNCTION("GOOGLETRANSLATE(C10896, ""en"", ""fa"")
"),"تکنیک‌هایی برای بهینه‌سازی کپی‌نویسی برای صفحات فرود محلی برای پاسخگویی به عبارت‌های جستجوی خاص مکان و بهبود دید جستجوی محلی چیست؟")</f>
        <v>تکنیک‌هایی برای بهینه‌سازی کپی‌نویسی برای صفحات فرود محلی برای پاسخگویی به عبارت‌های جستجوی خاص مکان و بهبود دید جستجوی محلی چیست؟</v>
      </c>
      <c r="H10896" s="1"/>
      <c r="I10896" s="1"/>
      <c r="J10896" s="1"/>
      <c r="K10896" s="1"/>
      <c r="L10896" s="1"/>
      <c r="M10896" s="1"/>
      <c r="N10896" s="1"/>
      <c r="O10896" s="1"/>
      <c r="P10896" s="1"/>
      <c r="Q10896" s="1"/>
      <c r="R10896" s="1"/>
      <c r="S10896" s="1"/>
      <c r="T10896" s="1"/>
      <c r="U10896" s="1"/>
      <c r="V10896" s="1"/>
      <c r="W10896" s="1"/>
      <c r="X10896" s="1"/>
      <c r="Y10896" s="1"/>
      <c r="Z10896" s="1"/>
      <c r="AA10896" s="1"/>
      <c r="AB10896" s="1"/>
    </row>
    <row r="10897" ht="50.25" customHeight="1">
      <c r="A10897" s="12">
        <v>10893.0</v>
      </c>
      <c r="B10897" s="13" t="s">
        <v>10535</v>
      </c>
      <c r="C10897" s="18" t="s">
        <v>10925</v>
      </c>
      <c r="D10897" s="1"/>
      <c r="E10897" s="1"/>
      <c r="F10897" s="1" t="str">
        <f>IFERROR(__xludf.DUMMYFUNCTION("GOOGLETRANSLATE(B10897, ""en"", ""fa"")
"),"کپی رایتینگ II")</f>
        <v>کپی رایتینگ II</v>
      </c>
      <c r="G10897" s="1" t="str">
        <f>IFERROR(__xludf.DUMMYFUNCTION("GOOGLETRANSLATE(C10897, ""en"", ""fa"")
"),"چگونه داستان منحصر به فرد برند خود را که با مخاطبان هدف شما طنین انداز می شود، کشف و بیان کنید؟")</f>
        <v>چگونه داستان منحصر به فرد برند خود را که با مخاطبان هدف شما طنین انداز می شود، کشف و بیان کنید؟</v>
      </c>
      <c r="H10897" s="1"/>
      <c r="I10897" s="1"/>
      <c r="J10897" s="1"/>
      <c r="K10897" s="1"/>
      <c r="L10897" s="1"/>
      <c r="M10897" s="1"/>
      <c r="N10897" s="1"/>
      <c r="O10897" s="1"/>
      <c r="P10897" s="1"/>
      <c r="Q10897" s="1"/>
      <c r="R10897" s="1"/>
      <c r="S10897" s="1"/>
      <c r="T10897" s="1"/>
      <c r="U10897" s="1"/>
      <c r="V10897" s="1"/>
      <c r="W10897" s="1"/>
      <c r="X10897" s="1"/>
      <c r="Y10897" s="1"/>
      <c r="Z10897" s="1"/>
      <c r="AA10897" s="1"/>
      <c r="AB10897" s="1"/>
    </row>
    <row r="10898" ht="50.25" customHeight="1">
      <c r="A10898" s="12">
        <v>10894.0</v>
      </c>
      <c r="B10898" s="13" t="s">
        <v>10535</v>
      </c>
      <c r="C10898" s="18" t="s">
        <v>10926</v>
      </c>
      <c r="D10898" s="1"/>
      <c r="E10898" s="1"/>
      <c r="F10898" s="1" t="str">
        <f>IFERROR(__xludf.DUMMYFUNCTION("GOOGLETRANSLATE(B10898, ""en"", ""fa"")
"),"کپی رایتینگ II")</f>
        <v>کپی رایتینگ II</v>
      </c>
      <c r="G10898" s="1" t="str">
        <f>IFERROR(__xludf.DUMMYFUNCTION("GOOGLETRANSLATE(C10898, ""en"", ""fa"")
"),"تکنیک‌های مختلف داستان‌گویی، مانند قوس‌های روایی و توسعه شخصیت‌ها را کاوش کنید تا روایت‌های جذاب برند ایجاد کنید.")</f>
        <v>تکنیک‌های مختلف داستان‌گویی، مانند قوس‌های روایی و توسعه شخصیت‌ها را کاوش کنید تا روایت‌های جذاب برند ایجاد کنید.</v>
      </c>
      <c r="H10898" s="1"/>
      <c r="I10898" s="1"/>
      <c r="J10898" s="1"/>
      <c r="K10898" s="1"/>
      <c r="L10898" s="1"/>
      <c r="M10898" s="1"/>
      <c r="N10898" s="1"/>
      <c r="O10898" s="1"/>
      <c r="P10898" s="1"/>
      <c r="Q10898" s="1"/>
      <c r="R10898" s="1"/>
      <c r="S10898" s="1"/>
      <c r="T10898" s="1"/>
      <c r="U10898" s="1"/>
      <c r="V10898" s="1"/>
      <c r="W10898" s="1"/>
      <c r="X10898" s="1"/>
      <c r="Y10898" s="1"/>
      <c r="Z10898" s="1"/>
      <c r="AA10898" s="1"/>
      <c r="AB10898" s="1"/>
    </row>
    <row r="10899" ht="50.25" customHeight="1">
      <c r="A10899" s="12">
        <v>10895.0</v>
      </c>
      <c r="B10899" s="13" t="s">
        <v>10535</v>
      </c>
      <c r="C10899" s="18" t="s">
        <v>10927</v>
      </c>
      <c r="D10899" s="1"/>
      <c r="E10899" s="1"/>
      <c r="F10899" s="1" t="str">
        <f>IFERROR(__xludf.DUMMYFUNCTION("GOOGLETRANSLATE(B10899, ""en"", ""fa"")
"),"کپی رایتینگ II")</f>
        <v>کپی رایتینگ II</v>
      </c>
      <c r="G10899" s="1" t="str">
        <f>IFERROR(__xludf.DUMMYFUNCTION("GOOGLETRANSLATE(C10899, ""en"", ""fa"")
"),"عناصر اساسی یک داستان برند، از جمله قهرمان داستان، تضاد و راه حل، که مشتریان را مجذوب و جذب می کند، چیست؟")</f>
        <v>عناصر اساسی یک داستان برند، از جمله قهرمان داستان، تضاد و راه حل، که مشتریان را مجذوب و جذب می کند، چیست؟</v>
      </c>
      <c r="H10899" s="1"/>
      <c r="I10899" s="1"/>
      <c r="J10899" s="1"/>
      <c r="K10899" s="1"/>
      <c r="L10899" s="1"/>
      <c r="M10899" s="1"/>
      <c r="N10899" s="1"/>
      <c r="O10899" s="1"/>
      <c r="P10899" s="1"/>
      <c r="Q10899" s="1"/>
      <c r="R10899" s="1"/>
      <c r="S10899" s="1"/>
      <c r="T10899" s="1"/>
      <c r="U10899" s="1"/>
      <c r="V10899" s="1"/>
      <c r="W10899" s="1"/>
      <c r="X10899" s="1"/>
      <c r="Y10899" s="1"/>
      <c r="Z10899" s="1"/>
      <c r="AA10899" s="1"/>
      <c r="AB10899" s="1"/>
    </row>
    <row r="10900" ht="50.25" customHeight="1">
      <c r="A10900" s="12">
        <v>10896.0</v>
      </c>
      <c r="B10900" s="13" t="s">
        <v>10535</v>
      </c>
      <c r="C10900" s="18" t="s">
        <v>10928</v>
      </c>
      <c r="D10900" s="1"/>
      <c r="E10900" s="1"/>
      <c r="F10900" s="1" t="str">
        <f>IFERROR(__xludf.DUMMYFUNCTION("GOOGLETRANSLATE(B10900, ""en"", ""fa"")
"),"کپی رایتینگ II")</f>
        <v>کپی رایتینگ II</v>
      </c>
      <c r="G10900" s="1" t="str">
        <f>IFERROR(__xludf.DUMMYFUNCTION("GOOGLETRANSLATE(C10900, ""en"", ""fa"")
"),"درباره اهمیت اصالت و شفافیت در داستان سرایی برند برای ایجاد اعتماد و ایجاد ارتباطات عاطفی بحث کنید.")</f>
        <v>درباره اهمیت اصالت و شفافیت در داستان سرایی برند برای ایجاد اعتماد و ایجاد ارتباطات عاطفی بحث کنید.</v>
      </c>
      <c r="H10900" s="1"/>
      <c r="I10900" s="1"/>
      <c r="J10900" s="1"/>
      <c r="K10900" s="1"/>
      <c r="L10900" s="1"/>
      <c r="M10900" s="1"/>
      <c r="N10900" s="1"/>
      <c r="O10900" s="1"/>
      <c r="P10900" s="1"/>
      <c r="Q10900" s="1"/>
      <c r="R10900" s="1"/>
      <c r="S10900" s="1"/>
      <c r="T10900" s="1"/>
      <c r="U10900" s="1"/>
      <c r="V10900" s="1"/>
      <c r="W10900" s="1"/>
      <c r="X10900" s="1"/>
      <c r="Y10900" s="1"/>
      <c r="Z10900" s="1"/>
      <c r="AA10900" s="1"/>
      <c r="AB10900" s="1"/>
    </row>
    <row r="10901" ht="50.25" customHeight="1">
      <c r="A10901" s="12">
        <v>10897.0</v>
      </c>
      <c r="B10901" s="13" t="s">
        <v>10535</v>
      </c>
      <c r="C10901" s="18" t="s">
        <v>10929</v>
      </c>
      <c r="D10901" s="1"/>
      <c r="E10901" s="1"/>
      <c r="F10901" s="1" t="str">
        <f>IFERROR(__xludf.DUMMYFUNCTION("GOOGLETRANSLATE(B10901, ""en"", ""fa"")
"),"کپی رایتینگ II")</f>
        <v>کپی رایتینگ II</v>
      </c>
      <c r="G10901" s="1" t="str">
        <f>IFERROR(__xludf.DUMMYFUNCTION("GOOGLETRANSLATE(C10901, ""en"", ""fa"")
"),"چگونه داستان برند خود را با ارزش‌ها، آرمان‌ها و خواسته‌های مخاطب هدف خود هماهنگ کنید تا یک ارتباط معنادار ایجاد کنید؟")</f>
        <v>چگونه داستان برند خود را با ارزش‌ها، آرمان‌ها و خواسته‌های مخاطب هدف خود هماهنگ کنید تا یک ارتباط معنادار ایجاد کنید؟</v>
      </c>
      <c r="H10901" s="1"/>
      <c r="I10901" s="1"/>
      <c r="J10901" s="1"/>
      <c r="K10901" s="1"/>
      <c r="L10901" s="1"/>
      <c r="M10901" s="1"/>
      <c r="N10901" s="1"/>
      <c r="O10901" s="1"/>
      <c r="P10901" s="1"/>
      <c r="Q10901" s="1"/>
      <c r="R10901" s="1"/>
      <c r="S10901" s="1"/>
      <c r="T10901" s="1"/>
      <c r="U10901" s="1"/>
      <c r="V10901" s="1"/>
      <c r="W10901" s="1"/>
      <c r="X10901" s="1"/>
      <c r="Y10901" s="1"/>
      <c r="Z10901" s="1"/>
      <c r="AA10901" s="1"/>
      <c r="AB10901" s="1"/>
    </row>
    <row r="10902" ht="50.25" customHeight="1">
      <c r="A10902" s="12">
        <v>10898.0</v>
      </c>
      <c r="B10902" s="13" t="s">
        <v>10535</v>
      </c>
      <c r="C10902" s="18" t="s">
        <v>10930</v>
      </c>
      <c r="D10902" s="1"/>
      <c r="E10902" s="1"/>
      <c r="F10902" s="1" t="str">
        <f>IFERROR(__xludf.DUMMYFUNCTION("GOOGLETRANSLATE(B10902, ""en"", ""fa"")
"),"کپی رایتینگ II")</f>
        <v>کپی رایتینگ II</v>
      </c>
      <c r="G10902" s="1" t="str">
        <f>IFERROR(__xludf.DUMMYFUNCTION("GOOGLETRANSLATE(C10902, ""en"", ""fa"")
"),"روش‌های مختلف را برای گنجاندن توصیفات مشتری و داستان‌های موفقیت در روایت برند خود کاوش کنید تا تجربیات زندگی واقعی را به نمایش بگذارید.")</f>
        <v>روش‌های مختلف را برای گنجاندن توصیفات مشتری و داستان‌های موفقیت در روایت برند خود کاوش کنید تا تجربیات زندگی واقعی را به نمایش بگذارید.</v>
      </c>
      <c r="H10902" s="1"/>
      <c r="I10902" s="1"/>
      <c r="J10902" s="1"/>
      <c r="K10902" s="1"/>
      <c r="L10902" s="1"/>
      <c r="M10902" s="1"/>
      <c r="N10902" s="1"/>
      <c r="O10902" s="1"/>
      <c r="P10902" s="1"/>
      <c r="Q10902" s="1"/>
      <c r="R10902" s="1"/>
      <c r="S10902" s="1"/>
      <c r="T10902" s="1"/>
      <c r="U10902" s="1"/>
      <c r="V10902" s="1"/>
      <c r="W10902" s="1"/>
      <c r="X10902" s="1"/>
      <c r="Y10902" s="1"/>
      <c r="Z10902" s="1"/>
      <c r="AA10902" s="1"/>
      <c r="AB10902" s="1"/>
    </row>
    <row r="10903" ht="50.25" customHeight="1">
      <c r="A10903" s="12">
        <v>10899.0</v>
      </c>
      <c r="B10903" s="13" t="s">
        <v>10535</v>
      </c>
      <c r="C10903" s="18" t="s">
        <v>10931</v>
      </c>
      <c r="D10903" s="1"/>
      <c r="E10903" s="1"/>
      <c r="F10903" s="1" t="str">
        <f>IFERROR(__xludf.DUMMYFUNCTION("GOOGLETRANSLATE(B10903, ""en"", ""fa"")
"),"کپی رایتینگ II")</f>
        <v>کپی رایتینگ II</v>
      </c>
      <c r="G10903" s="1" t="str">
        <f>IFERROR(__xludf.DUMMYFUNCTION("GOOGLETRANSLATE(C10903, ""en"", ""fa"")
"),"تکنیک های استفاده از تصاویر بصری، مانند تصاویر و ویدئوها، برای تقویت داستان سرایی برند و برانگیختن احساسات چیست؟")</f>
        <v>تکنیک های استفاده از تصاویر بصری، مانند تصاویر و ویدئوها، برای تقویت داستان سرایی برند و برانگیختن احساسات چیست؟</v>
      </c>
      <c r="H10903" s="1"/>
      <c r="I10903" s="1"/>
      <c r="J10903" s="1"/>
      <c r="K10903" s="1"/>
      <c r="L10903" s="1"/>
      <c r="M10903" s="1"/>
      <c r="N10903" s="1"/>
      <c r="O10903" s="1"/>
      <c r="P10903" s="1"/>
      <c r="Q10903" s="1"/>
      <c r="R10903" s="1"/>
      <c r="S10903" s="1"/>
      <c r="T10903" s="1"/>
      <c r="U10903" s="1"/>
      <c r="V10903" s="1"/>
      <c r="W10903" s="1"/>
      <c r="X10903" s="1"/>
      <c r="Y10903" s="1"/>
      <c r="Z10903" s="1"/>
      <c r="AA10903" s="1"/>
      <c r="AB10903" s="1"/>
    </row>
    <row r="10904" ht="50.25" customHeight="1">
      <c r="A10904" s="12">
        <v>10900.0</v>
      </c>
      <c r="B10904" s="13" t="s">
        <v>10535</v>
      </c>
      <c r="C10904" s="18" t="s">
        <v>10932</v>
      </c>
      <c r="D10904" s="1"/>
      <c r="E10904" s="1"/>
      <c r="F10904" s="1" t="str">
        <f>IFERROR(__xludf.DUMMYFUNCTION("GOOGLETRANSLATE(B10904, ""en"", ""fa"")
"),"کپی رایتینگ II")</f>
        <v>کپی رایتینگ II</v>
      </c>
      <c r="G10904" s="1" t="str">
        <f>IFERROR(__xludf.DUMMYFUNCTION("GOOGLETRANSLATE(C10904, ""en"", ""fa"")
"),"چگونه عناصر داستان سرایی را در وب سایت برند خود، از جمله صفحه درباره ما، القا کنیم تا تأثیری ماندگار بر بازدیدکنندگان بگذاریم؟")</f>
        <v>چگونه عناصر داستان سرایی را در وب سایت برند خود، از جمله صفحه درباره ما، القا کنیم تا تأثیری ماندگار بر بازدیدکنندگان بگذاریم؟</v>
      </c>
      <c r="H10904" s="1"/>
      <c r="I10904" s="1"/>
      <c r="J10904" s="1"/>
      <c r="K10904" s="1"/>
      <c r="L10904" s="1"/>
      <c r="M10904" s="1"/>
      <c r="N10904" s="1"/>
      <c r="O10904" s="1"/>
      <c r="P10904" s="1"/>
      <c r="Q10904" s="1"/>
      <c r="R10904" s="1"/>
      <c r="S10904" s="1"/>
      <c r="T10904" s="1"/>
      <c r="U10904" s="1"/>
      <c r="V10904" s="1"/>
      <c r="W10904" s="1"/>
      <c r="X10904" s="1"/>
      <c r="Y10904" s="1"/>
      <c r="Z10904" s="1"/>
      <c r="AA10904" s="1"/>
      <c r="AB10904" s="1"/>
    </row>
    <row r="10905" ht="50.25" customHeight="1">
      <c r="A10905" s="12">
        <v>10901.0</v>
      </c>
      <c r="B10905" s="13" t="s">
        <v>10535</v>
      </c>
      <c r="C10905" s="18" t="s">
        <v>10933</v>
      </c>
      <c r="D10905" s="1"/>
      <c r="E10905" s="1"/>
      <c r="F10905" s="1" t="str">
        <f>IFERROR(__xludf.DUMMYFUNCTION("GOOGLETRANSLATE(B10905, ""en"", ""fa"")
"),"کپی رایتینگ II")</f>
        <v>کپی رایتینگ II</v>
      </c>
      <c r="G10905" s="1" t="str">
        <f>IFERROR(__xludf.DUMMYFUNCTION("GOOGLETRANSLATE(C10905, ""en"", ""fa"")
"),"در مورد نقش کهن الگوهای برند و تاثیر آنها بر داستان سرایی برند برای ایجاد یک هویت برند ثابت و قابل تشخیص بحث کنید.")</f>
        <v>در مورد نقش کهن الگوهای برند و تاثیر آنها بر داستان سرایی برند برای ایجاد یک هویت برند ثابت و قابل تشخیص بحث کنید.</v>
      </c>
      <c r="H10905" s="1"/>
      <c r="I10905" s="1"/>
      <c r="J10905" s="1"/>
      <c r="K10905" s="1"/>
      <c r="L10905" s="1"/>
      <c r="M10905" s="1"/>
      <c r="N10905" s="1"/>
      <c r="O10905" s="1"/>
      <c r="P10905" s="1"/>
      <c r="Q10905" s="1"/>
      <c r="R10905" s="1"/>
      <c r="S10905" s="1"/>
      <c r="T10905" s="1"/>
      <c r="U10905" s="1"/>
      <c r="V10905" s="1"/>
      <c r="W10905" s="1"/>
      <c r="X10905" s="1"/>
      <c r="Y10905" s="1"/>
      <c r="Z10905" s="1"/>
      <c r="AA10905" s="1"/>
      <c r="AB10905" s="1"/>
    </row>
    <row r="10906" ht="50.25" customHeight="1">
      <c r="A10906" s="12">
        <v>10902.0</v>
      </c>
      <c r="B10906" s="13" t="s">
        <v>10535</v>
      </c>
      <c r="C10906" s="18" t="s">
        <v>10934</v>
      </c>
      <c r="D10906" s="1"/>
      <c r="E10906" s="1"/>
      <c r="F10906" s="1" t="str">
        <f>IFERROR(__xludf.DUMMYFUNCTION("GOOGLETRANSLATE(B10906, ""en"", ""fa"")
"),"کپی رایتینگ II")</f>
        <v>کپی رایتینگ II</v>
      </c>
      <c r="G10906" s="1" t="str">
        <f>IFERROR(__xludf.DUMMYFUNCTION("GOOGLETRANSLATE(C10906, ""en"", ""fa"")
"),"چگونه یک شعار یا شعار برند قدرتمند بسازیم که ماهیت داستان برند شما را به شیوه ای مختصر و به یاد ماندنی به تصویر بکشد؟")</f>
        <v>چگونه یک شعار یا شعار برند قدرتمند بسازیم که ماهیت داستان برند شما را به شیوه ای مختصر و به یاد ماندنی به تصویر بکشد؟</v>
      </c>
      <c r="H10906" s="1"/>
      <c r="I10906" s="1"/>
      <c r="J10906" s="1"/>
      <c r="K10906" s="1"/>
      <c r="L10906" s="1"/>
      <c r="M10906" s="1"/>
      <c r="N10906" s="1"/>
      <c r="O10906" s="1"/>
      <c r="P10906" s="1"/>
      <c r="Q10906" s="1"/>
      <c r="R10906" s="1"/>
      <c r="S10906" s="1"/>
      <c r="T10906" s="1"/>
      <c r="U10906" s="1"/>
      <c r="V10906" s="1"/>
      <c r="W10906" s="1"/>
      <c r="X10906" s="1"/>
      <c r="Y10906" s="1"/>
      <c r="Z10906" s="1"/>
      <c r="AA10906" s="1"/>
      <c r="AB10906" s="1"/>
    </row>
    <row r="10907" ht="50.25" customHeight="1">
      <c r="A10907" s="12">
        <v>10903.0</v>
      </c>
      <c r="B10907" s="13" t="s">
        <v>10535</v>
      </c>
      <c r="C10907" s="18" t="s">
        <v>10935</v>
      </c>
      <c r="D10907" s="1"/>
      <c r="E10907" s="1"/>
      <c r="F10907" s="1" t="str">
        <f>IFERROR(__xludf.DUMMYFUNCTION("GOOGLETRANSLATE(B10907, ""en"", ""fa"")
"),"کپی رایتینگ II")</f>
        <v>کپی رایتینگ II</v>
      </c>
      <c r="G10907" s="1" t="str">
        <f>IFERROR(__xludf.DUMMYFUNCTION("GOOGLETRANSLATE(C10907, ""en"", ""fa"")
"),"استراتژی‌های مختلف برای استفاده از داستان‌سرایی در پست‌ها و کمپین‌های رسانه‌های اجتماعی برای انسانی کردن برند خود و جذب مخاطبان خود را بررسی کنید.")</f>
        <v>استراتژی‌های مختلف برای استفاده از داستان‌سرایی در پست‌ها و کمپین‌های رسانه‌های اجتماعی برای انسانی کردن برند خود و جذب مخاطبان خود را بررسی کنید.</v>
      </c>
      <c r="H10907" s="1"/>
      <c r="I10907" s="1"/>
      <c r="J10907" s="1"/>
      <c r="K10907" s="1"/>
      <c r="L10907" s="1"/>
      <c r="M10907" s="1"/>
      <c r="N10907" s="1"/>
      <c r="O10907" s="1"/>
      <c r="P10907" s="1"/>
      <c r="Q10907" s="1"/>
      <c r="R10907" s="1"/>
      <c r="S10907" s="1"/>
      <c r="T10907" s="1"/>
      <c r="U10907" s="1"/>
      <c r="V10907" s="1"/>
      <c r="W10907" s="1"/>
      <c r="X10907" s="1"/>
      <c r="Y10907" s="1"/>
      <c r="Z10907" s="1"/>
      <c r="AA10907" s="1"/>
      <c r="AB10907" s="1"/>
    </row>
    <row r="10908" ht="50.25" customHeight="1">
      <c r="A10908" s="12">
        <v>10904.0</v>
      </c>
      <c r="B10908" s="13" t="s">
        <v>10535</v>
      </c>
      <c r="C10908" s="18" t="s">
        <v>10936</v>
      </c>
      <c r="D10908" s="1"/>
      <c r="E10908" s="1"/>
      <c r="F10908" s="1" t="str">
        <f>IFERROR(__xludf.DUMMYFUNCTION("GOOGLETRANSLATE(B10908, ""en"", ""fa"")
"),"کپی رایتینگ II")</f>
        <v>کپی رایتینگ II</v>
      </c>
      <c r="G10908" s="1" t="str">
        <f>IFERROR(__xludf.DUMMYFUNCTION("GOOGLETRANSLATE(C10908, ""en"", ""fa"")
"),"بهترین شیوه ها برای ادغام داستان سرایی در توضیحات و بسته بندی محصول شما برای ایجاد یک تجربه برند منسجم چیست؟")</f>
        <v>بهترین شیوه ها برای ادغام داستان سرایی در توضیحات و بسته بندی محصول شما برای ایجاد یک تجربه برند منسجم چیست؟</v>
      </c>
      <c r="H10908" s="1"/>
      <c r="I10908" s="1"/>
      <c r="J10908" s="1"/>
      <c r="K10908" s="1"/>
      <c r="L10908" s="1"/>
      <c r="M10908" s="1"/>
      <c r="N10908" s="1"/>
      <c r="O10908" s="1"/>
      <c r="P10908" s="1"/>
      <c r="Q10908" s="1"/>
      <c r="R10908" s="1"/>
      <c r="S10908" s="1"/>
      <c r="T10908" s="1"/>
      <c r="U10908" s="1"/>
      <c r="V10908" s="1"/>
      <c r="W10908" s="1"/>
      <c r="X10908" s="1"/>
      <c r="Y10908" s="1"/>
      <c r="Z10908" s="1"/>
      <c r="AA10908" s="1"/>
      <c r="AB10908" s="1"/>
    </row>
    <row r="10909" ht="50.25" customHeight="1">
      <c r="A10909" s="12">
        <v>10905.0</v>
      </c>
      <c r="B10909" s="13" t="s">
        <v>10535</v>
      </c>
      <c r="C10909" s="18" t="s">
        <v>10937</v>
      </c>
      <c r="D10909" s="1"/>
      <c r="E10909" s="1"/>
      <c r="F10909" s="1" t="str">
        <f>IFERROR(__xludf.DUMMYFUNCTION("GOOGLETRANSLATE(B10909, ""en"", ""fa"")
"),"کپی رایتینگ II")</f>
        <v>کپی رایتینگ II</v>
      </c>
      <c r="G10909" s="1" t="str">
        <f>IFERROR(__xludf.DUMMYFUNCTION("GOOGLETRANSLATE(C10909, ""en"", ""fa"")
"),"چگونه از قدرت احساسات، مانند شادی، دلتنگی، یا همدلی، در داستان سرایی برند خود استفاده کنید تا تأثیری ماندگار ایجاد کنید؟")</f>
        <v>چگونه از قدرت احساسات، مانند شادی، دلتنگی، یا همدلی، در داستان سرایی برند خود استفاده کنید تا تأثیری ماندگار ایجاد کنید؟</v>
      </c>
      <c r="H10909" s="1"/>
      <c r="I10909" s="1"/>
      <c r="J10909" s="1"/>
      <c r="K10909" s="1"/>
      <c r="L10909" s="1"/>
      <c r="M10909" s="1"/>
      <c r="N10909" s="1"/>
      <c r="O10909" s="1"/>
      <c r="P10909" s="1"/>
      <c r="Q10909" s="1"/>
      <c r="R10909" s="1"/>
      <c r="S10909" s="1"/>
      <c r="T10909" s="1"/>
      <c r="U10909" s="1"/>
      <c r="V10909" s="1"/>
      <c r="W10909" s="1"/>
      <c r="X10909" s="1"/>
      <c r="Y10909" s="1"/>
      <c r="Z10909" s="1"/>
      <c r="AA10909" s="1"/>
      <c r="AB10909" s="1"/>
    </row>
    <row r="10910" ht="50.25" customHeight="1">
      <c r="A10910" s="12">
        <v>10906.0</v>
      </c>
      <c r="B10910" s="13" t="s">
        <v>10535</v>
      </c>
      <c r="C10910" s="18" t="s">
        <v>10938</v>
      </c>
      <c r="D10910" s="1"/>
      <c r="E10910" s="1"/>
      <c r="F10910" s="1" t="str">
        <f>IFERROR(__xludf.DUMMYFUNCTION("GOOGLETRANSLATE(B10910, ""en"", ""fa"")
"),"کپی رایتینگ II")</f>
        <v>کپی رایتینگ II</v>
      </c>
      <c r="G10910" s="1" t="str">
        <f>IFERROR(__xludf.DUMMYFUNCTION("GOOGLETRANSLATE(C10910, ""en"", ""fa"")
"),"در مورد اهمیت گنجاندن یک ماموریت یا هدف برند در داستان سرایی خود برای الهام بخشیدن و جمع کردن مخاطبان خود در پشت یک هدف بحث کنید.")</f>
        <v>در مورد اهمیت گنجاندن یک ماموریت یا هدف برند در داستان سرایی خود برای الهام بخشیدن و جمع کردن مخاطبان خود در پشت یک هدف بحث کنید.</v>
      </c>
      <c r="H10910" s="1"/>
      <c r="I10910" s="1"/>
      <c r="J10910" s="1"/>
      <c r="K10910" s="1"/>
      <c r="L10910" s="1"/>
      <c r="M10910" s="1"/>
      <c r="N10910" s="1"/>
      <c r="O10910" s="1"/>
      <c r="P10910" s="1"/>
      <c r="Q10910" s="1"/>
      <c r="R10910" s="1"/>
      <c r="S10910" s="1"/>
      <c r="T10910" s="1"/>
      <c r="U10910" s="1"/>
      <c r="V10910" s="1"/>
      <c r="W10910" s="1"/>
      <c r="X10910" s="1"/>
      <c r="Y10910" s="1"/>
      <c r="Z10910" s="1"/>
      <c r="AA10910" s="1"/>
      <c r="AB10910" s="1"/>
    </row>
    <row r="10911" ht="50.25" customHeight="1">
      <c r="A10911" s="12">
        <v>10907.0</v>
      </c>
      <c r="B10911" s="13" t="s">
        <v>10535</v>
      </c>
      <c r="C10911" s="18" t="s">
        <v>10939</v>
      </c>
      <c r="D10911" s="1"/>
      <c r="E10911" s="1"/>
      <c r="F10911" s="1" t="str">
        <f>IFERROR(__xludf.DUMMYFUNCTION("GOOGLETRANSLATE(B10911, ""en"", ""fa"")
"),"کپی رایتینگ II")</f>
        <v>کپی رایتینگ II</v>
      </c>
      <c r="G10911" s="1" t="str">
        <f>IFERROR(__xludf.DUMMYFUNCTION("GOOGLETRANSLATE(C10911, ""en"", ""fa"")
"),"چگونه یک صدا و لحن ثابت برند ایجاد کنیم که با داستان برند شما همسو باشد و با مخاطبان هدف شما طنین انداز شود؟")</f>
        <v>چگونه یک صدا و لحن ثابت برند ایجاد کنیم که با داستان برند شما همسو باشد و با مخاطبان هدف شما طنین انداز شود؟</v>
      </c>
      <c r="H10911" s="1"/>
      <c r="I10911" s="1"/>
      <c r="J10911" s="1"/>
      <c r="K10911" s="1"/>
      <c r="L10911" s="1"/>
      <c r="M10911" s="1"/>
      <c r="N10911" s="1"/>
      <c r="O10911" s="1"/>
      <c r="P10911" s="1"/>
      <c r="Q10911" s="1"/>
      <c r="R10911" s="1"/>
      <c r="S10911" s="1"/>
      <c r="T10911" s="1"/>
      <c r="U10911" s="1"/>
      <c r="V10911" s="1"/>
      <c r="W10911" s="1"/>
      <c r="X10911" s="1"/>
      <c r="Y10911" s="1"/>
      <c r="Z10911" s="1"/>
      <c r="AA10911" s="1"/>
      <c r="AB10911" s="1"/>
    </row>
    <row r="10912" ht="50.25" customHeight="1">
      <c r="A10912" s="12">
        <v>10908.0</v>
      </c>
      <c r="B10912" s="13" t="s">
        <v>10535</v>
      </c>
      <c r="C10912" s="18" t="s">
        <v>10940</v>
      </c>
      <c r="D10912" s="1"/>
      <c r="E10912" s="1"/>
      <c r="F10912" s="1" t="str">
        <f>IFERROR(__xludf.DUMMYFUNCTION("GOOGLETRANSLATE(B10912, ""en"", ""fa"")
"),"کپی رایتینگ II")</f>
        <v>کپی رایتینگ II</v>
      </c>
      <c r="G10912" s="1" t="str">
        <f>IFERROR(__xludf.DUMMYFUNCTION("GOOGLETRANSLATE(C10912, ""en"", ""fa"")
"),"روش های مختلف داستان گویی را از طریق سفرهای مشتری و نشان دادن اینکه چگونه برند شما زندگی یا تجربیات آنها را متحول کرده است، کاوش کنید.")</f>
        <v>روش های مختلف داستان گویی را از طریق سفرهای مشتری و نشان دادن اینکه چگونه برند شما زندگی یا تجربیات آنها را متحول کرده است، کاوش کنید.</v>
      </c>
      <c r="H10912" s="1"/>
      <c r="I10912" s="1"/>
      <c r="J10912" s="1"/>
      <c r="K10912" s="1"/>
      <c r="L10912" s="1"/>
      <c r="M10912" s="1"/>
      <c r="N10912" s="1"/>
      <c r="O10912" s="1"/>
      <c r="P10912" s="1"/>
      <c r="Q10912" s="1"/>
      <c r="R10912" s="1"/>
      <c r="S10912" s="1"/>
      <c r="T10912" s="1"/>
      <c r="U10912" s="1"/>
      <c r="V10912" s="1"/>
      <c r="W10912" s="1"/>
      <c r="X10912" s="1"/>
      <c r="Y10912" s="1"/>
      <c r="Z10912" s="1"/>
      <c r="AA10912" s="1"/>
      <c r="AB10912" s="1"/>
    </row>
    <row r="10913" ht="50.25" customHeight="1">
      <c r="A10913" s="12">
        <v>10909.0</v>
      </c>
      <c r="B10913" s="13" t="s">
        <v>10535</v>
      </c>
      <c r="C10913" s="18" t="s">
        <v>10941</v>
      </c>
      <c r="D10913" s="1"/>
      <c r="E10913" s="1"/>
      <c r="F10913" s="1" t="str">
        <f>IFERROR(__xludf.DUMMYFUNCTION("GOOGLETRANSLATE(B10913, ""en"", ""fa"")
"),"کپی رایتینگ II")</f>
        <v>کپی رایتینگ II</v>
      </c>
      <c r="G10913" s="1" t="str">
        <f>IFERROR(__xludf.DUMMYFUNCTION("GOOGLETRANSLATE(C10913, ""en"", ""fa"")
"),"چه تکنیک هایی برای استفاده از طنز و داستان سرایی سبک وجود دارد تا برند شما را قابل ارتباط تر و خاطره انگیزتر کند؟")</f>
        <v>چه تکنیک هایی برای استفاده از طنز و داستان سرایی سبک وجود دارد تا برند شما را قابل ارتباط تر و خاطره انگیزتر کند؟</v>
      </c>
      <c r="H10913" s="1"/>
      <c r="I10913" s="1"/>
      <c r="J10913" s="1"/>
      <c r="K10913" s="1"/>
      <c r="L10913" s="1"/>
      <c r="M10913" s="1"/>
      <c r="N10913" s="1"/>
      <c r="O10913" s="1"/>
      <c r="P10913" s="1"/>
      <c r="Q10913" s="1"/>
      <c r="R10913" s="1"/>
      <c r="S10913" s="1"/>
      <c r="T10913" s="1"/>
      <c r="U10913" s="1"/>
      <c r="V10913" s="1"/>
      <c r="W10913" s="1"/>
      <c r="X10913" s="1"/>
      <c r="Y10913" s="1"/>
      <c r="Z10913" s="1"/>
      <c r="AA10913" s="1"/>
      <c r="AB10913" s="1"/>
    </row>
    <row r="10914" ht="50.25" customHeight="1">
      <c r="A10914" s="12">
        <v>10910.0</v>
      </c>
      <c r="B10914" s="13" t="s">
        <v>10535</v>
      </c>
      <c r="C10914" s="18" t="s">
        <v>10942</v>
      </c>
      <c r="D10914" s="1"/>
      <c r="E10914" s="1"/>
      <c r="F10914" s="1" t="str">
        <f>IFERROR(__xludf.DUMMYFUNCTION("GOOGLETRANSLATE(B10914, ""en"", ""fa"")
"),"کپی رایتینگ II")</f>
        <v>کپی رایتینگ II</v>
      </c>
      <c r="G10914" s="1" t="str">
        <f>IFERROR(__xludf.DUMMYFUNCTION("GOOGLETRANSLATE(C10914, ""en"", ""fa"")
"),"چگونه داستان منشأ نام تجاری خود را در روایت برند خود بگنجانید تا عمق بیشتری ایجاد کنید و حس میراث را ایجاد کنید؟")</f>
        <v>چگونه داستان منشأ نام تجاری خود را در روایت برند خود بگنجانید تا عمق بیشتری ایجاد کنید و حس میراث را ایجاد کنید؟</v>
      </c>
      <c r="H10914" s="1"/>
      <c r="I10914" s="1"/>
      <c r="J10914" s="1"/>
      <c r="K10914" s="1"/>
      <c r="L10914" s="1"/>
      <c r="M10914" s="1"/>
      <c r="N10914" s="1"/>
      <c r="O10914" s="1"/>
      <c r="P10914" s="1"/>
      <c r="Q10914" s="1"/>
      <c r="R10914" s="1"/>
      <c r="S10914" s="1"/>
      <c r="T10914" s="1"/>
      <c r="U10914" s="1"/>
      <c r="V10914" s="1"/>
      <c r="W10914" s="1"/>
      <c r="X10914" s="1"/>
      <c r="Y10914" s="1"/>
      <c r="Z10914" s="1"/>
      <c r="AA10914" s="1"/>
      <c r="AB10914" s="1"/>
    </row>
    <row r="10915" ht="50.25" customHeight="1">
      <c r="A10915" s="12">
        <v>10911.0</v>
      </c>
      <c r="B10915" s="13" t="s">
        <v>10535</v>
      </c>
      <c r="C10915" s="18" t="s">
        <v>10943</v>
      </c>
      <c r="D10915" s="1"/>
      <c r="E10915" s="1"/>
      <c r="F10915" s="1" t="str">
        <f>IFERROR(__xludf.DUMMYFUNCTION("GOOGLETRANSLATE(B10915, ""en"", ""fa"")
"),"کپی رایتینگ II")</f>
        <v>کپی رایتینگ II</v>
      </c>
      <c r="G10915" s="1" t="str">
        <f>IFERROR(__xludf.DUMMYFUNCTION("GOOGLETRANSLATE(C10915, ""en"", ""fa"")
"),"در مورد نقش تضاد و چالش ها در داستان سرایی برند برای ایجاد تنش و ایجاد تعامل عاطفی با مخاطبان خود بحث کنید.")</f>
        <v>در مورد نقش تضاد و چالش ها در داستان سرایی برند برای ایجاد تنش و ایجاد تعامل عاطفی با مخاطبان خود بحث کنید.</v>
      </c>
      <c r="H10915" s="1"/>
      <c r="I10915" s="1"/>
      <c r="J10915" s="1"/>
      <c r="K10915" s="1"/>
      <c r="L10915" s="1"/>
      <c r="M10915" s="1"/>
      <c r="N10915" s="1"/>
      <c r="O10915" s="1"/>
      <c r="P10915" s="1"/>
      <c r="Q10915" s="1"/>
      <c r="R10915" s="1"/>
      <c r="S10915" s="1"/>
      <c r="T10915" s="1"/>
      <c r="U10915" s="1"/>
      <c r="V10915" s="1"/>
      <c r="W10915" s="1"/>
      <c r="X10915" s="1"/>
      <c r="Y10915" s="1"/>
      <c r="Z10915" s="1"/>
      <c r="AA10915" s="1"/>
      <c r="AB10915" s="1"/>
    </row>
    <row r="10916" ht="50.25" customHeight="1">
      <c r="A10916" s="12">
        <v>10912.0</v>
      </c>
      <c r="B10916" s="13" t="s">
        <v>10535</v>
      </c>
      <c r="C10916" s="18" t="s">
        <v>10944</v>
      </c>
      <c r="D10916" s="1"/>
      <c r="E10916" s="1"/>
      <c r="F10916" s="1" t="str">
        <f>IFERROR(__xludf.DUMMYFUNCTION("GOOGLETRANSLATE(B10916, ""en"", ""fa"")
"),"کپی رایتینگ II")</f>
        <v>کپی رایتینگ II</v>
      </c>
      <c r="G10916" s="1" t="str">
        <f>IFERROR(__xludf.DUMMYFUNCTION("GOOGLETRANSLATE(C10916, ""en"", ""fa"")
"),"چگونه یک داستان برند قانع‌کننده ایجاد کنیم که محصولات یا خدمات شما را به‌عنوان راه‌حلی برای مشکلات مشتریانتان یکپارچه ادغام کند؟")</f>
        <v>چگونه یک داستان برند قانع‌کننده ایجاد کنیم که محصولات یا خدمات شما را به‌عنوان راه‌حلی برای مشکلات مشتریانتان یکپارچه ادغام کند؟</v>
      </c>
      <c r="H10916" s="1"/>
      <c r="I10916" s="1"/>
      <c r="J10916" s="1"/>
      <c r="K10916" s="1"/>
      <c r="L10916" s="1"/>
      <c r="M10916" s="1"/>
      <c r="N10916" s="1"/>
      <c r="O10916" s="1"/>
      <c r="P10916" s="1"/>
      <c r="Q10916" s="1"/>
      <c r="R10916" s="1"/>
      <c r="S10916" s="1"/>
      <c r="T10916" s="1"/>
      <c r="U10916" s="1"/>
      <c r="V10916" s="1"/>
      <c r="W10916" s="1"/>
      <c r="X10916" s="1"/>
      <c r="Y10916" s="1"/>
      <c r="Z10916" s="1"/>
      <c r="AA10916" s="1"/>
      <c r="AB10916" s="1"/>
    </row>
    <row r="10917" ht="50.25" customHeight="1">
      <c r="A10917" s="12">
        <v>10913.0</v>
      </c>
      <c r="B10917" s="13" t="s">
        <v>10535</v>
      </c>
      <c r="C10917" s="18" t="s">
        <v>10945</v>
      </c>
      <c r="D10917" s="1"/>
      <c r="E10917" s="1"/>
      <c r="F10917" s="1" t="str">
        <f>IFERROR(__xludf.DUMMYFUNCTION("GOOGLETRANSLATE(B10917, ""en"", ""fa"")
"),"کپی رایتینگ II")</f>
        <v>کپی رایتینگ II</v>
      </c>
      <c r="G10917" s="1" t="str">
        <f>IFERROR(__xludf.DUMMYFUNCTION("GOOGLETRANSLATE(C10917, ""en"", ""fa"")
"),"استراتژی های مختلف برای داستان سرایی را از طریق محتوای تولید شده توسط کاربر، مانند نظرات مشتریان یا توصیفات رسانه های اجتماعی، بررسی کنید.")</f>
        <v>استراتژی های مختلف برای داستان سرایی را از طریق محتوای تولید شده توسط کاربر، مانند نظرات مشتریان یا توصیفات رسانه های اجتماعی، بررسی کنید.</v>
      </c>
      <c r="H10917" s="1"/>
      <c r="I10917" s="1"/>
      <c r="J10917" s="1"/>
      <c r="K10917" s="1"/>
      <c r="L10917" s="1"/>
      <c r="M10917" s="1"/>
      <c r="N10917" s="1"/>
      <c r="O10917" s="1"/>
      <c r="P10917" s="1"/>
      <c r="Q10917" s="1"/>
      <c r="R10917" s="1"/>
      <c r="S10917" s="1"/>
      <c r="T10917" s="1"/>
      <c r="U10917" s="1"/>
      <c r="V10917" s="1"/>
      <c r="W10917" s="1"/>
      <c r="X10917" s="1"/>
      <c r="Y10917" s="1"/>
      <c r="Z10917" s="1"/>
      <c r="AA10917" s="1"/>
      <c r="AB10917" s="1"/>
    </row>
    <row r="10918" ht="50.25" customHeight="1">
      <c r="A10918" s="12">
        <v>10914.0</v>
      </c>
      <c r="B10918" s="13" t="s">
        <v>10535</v>
      </c>
      <c r="C10918" s="18" t="s">
        <v>10946</v>
      </c>
      <c r="D10918" s="1"/>
      <c r="E10918" s="1"/>
      <c r="F10918" s="1" t="str">
        <f>IFERROR(__xludf.DUMMYFUNCTION("GOOGLETRANSLATE(B10918, ""en"", ""fa"")
"),"کپی رایتینگ II")</f>
        <v>کپی رایتینگ II</v>
      </c>
      <c r="G10918" s="1" t="str">
        <f>IFERROR(__xludf.DUMMYFUNCTION("GOOGLETRANSLATE(C10918, ""en"", ""fa"")
"),"بهترین شیوه ها برای استفاده از داستان سرایی در ویدیوهای برند، تبلیغات یا انیمیشن ها برای انتقال موثر پیام برند شما چیست؟")</f>
        <v>بهترین شیوه ها برای استفاده از داستان سرایی در ویدیوهای برند، تبلیغات یا انیمیشن ها برای انتقال موثر پیام برند شما چیست؟</v>
      </c>
      <c r="H10918" s="1"/>
      <c r="I10918" s="1"/>
      <c r="J10918" s="1"/>
      <c r="K10918" s="1"/>
      <c r="L10918" s="1"/>
      <c r="M10918" s="1"/>
      <c r="N10918" s="1"/>
      <c r="O10918" s="1"/>
      <c r="P10918" s="1"/>
      <c r="Q10918" s="1"/>
      <c r="R10918" s="1"/>
      <c r="S10918" s="1"/>
      <c r="T10918" s="1"/>
      <c r="U10918" s="1"/>
      <c r="V10918" s="1"/>
      <c r="W10918" s="1"/>
      <c r="X10918" s="1"/>
      <c r="Y10918" s="1"/>
      <c r="Z10918" s="1"/>
      <c r="AA10918" s="1"/>
      <c r="AB10918" s="1"/>
    </row>
    <row r="10919" ht="50.25" customHeight="1">
      <c r="A10919" s="12">
        <v>10915.0</v>
      </c>
      <c r="B10919" s="13" t="s">
        <v>10535</v>
      </c>
      <c r="C10919" s="18" t="s">
        <v>10947</v>
      </c>
      <c r="D10919" s="1"/>
      <c r="E10919" s="1"/>
      <c r="F10919" s="1" t="str">
        <f>IFERROR(__xludf.DUMMYFUNCTION("GOOGLETRANSLATE(B10919, ""en"", ""fa"")
"),"کپی رایتینگ II")</f>
        <v>کپی رایتینگ II</v>
      </c>
      <c r="G10919" s="1" t="str">
        <f>IFERROR(__xludf.DUMMYFUNCTION("GOOGLETRANSLATE(C10919, ""en"", ""fa"")
"),"چگونه می توان یک روایت برند ثابت در کانال های مختلف بازاریابی، از جمله وب سایت، رسانه های اجتماعی و کمپین های تبلیغاتی ایجاد کرد؟")</f>
        <v>چگونه می توان یک روایت برند ثابت در کانال های مختلف بازاریابی، از جمله وب سایت، رسانه های اجتماعی و کمپین های تبلیغاتی ایجاد کرد؟</v>
      </c>
      <c r="H10919" s="1"/>
      <c r="I10919" s="1"/>
      <c r="J10919" s="1"/>
      <c r="K10919" s="1"/>
      <c r="L10919" s="1"/>
      <c r="M10919" s="1"/>
      <c r="N10919" s="1"/>
      <c r="O10919" s="1"/>
      <c r="P10919" s="1"/>
      <c r="Q10919" s="1"/>
      <c r="R10919" s="1"/>
      <c r="S10919" s="1"/>
      <c r="T10919" s="1"/>
      <c r="U10919" s="1"/>
      <c r="V10919" s="1"/>
      <c r="W10919" s="1"/>
      <c r="X10919" s="1"/>
      <c r="Y10919" s="1"/>
      <c r="Z10919" s="1"/>
      <c r="AA10919" s="1"/>
      <c r="AB10919" s="1"/>
    </row>
    <row r="10920" ht="50.25" customHeight="1">
      <c r="A10920" s="12">
        <v>10916.0</v>
      </c>
      <c r="B10920" s="13" t="s">
        <v>10535</v>
      </c>
      <c r="C10920" s="18" t="s">
        <v>10948</v>
      </c>
      <c r="D10920" s="1"/>
      <c r="E10920" s="1"/>
      <c r="F10920" s="1" t="str">
        <f>IFERROR(__xludf.DUMMYFUNCTION("GOOGLETRANSLATE(B10920, ""en"", ""fa"")
"),"کپی رایتینگ II")</f>
        <v>کپی رایتینگ II</v>
      </c>
      <c r="G10920" s="1" t="str">
        <f>IFERROR(__xludf.DUMMYFUNCTION("GOOGLETRANSLATE(C10920, ""en"", ""fa"")
"),"در مورد اهمیت تحقیق مخاطب و درک آرمان ها و ارزش های بازار هدف خود برای داستان سرایی تاثیرگذار برند بحث کنید.")</f>
        <v>در مورد اهمیت تحقیق مخاطب و درک آرمان ها و ارزش های بازار هدف خود برای داستان سرایی تاثیرگذار برند بحث کنید.</v>
      </c>
      <c r="H10920" s="1"/>
      <c r="I10920" s="1"/>
      <c r="J10920" s="1"/>
      <c r="K10920" s="1"/>
      <c r="L10920" s="1"/>
      <c r="M10920" s="1"/>
      <c r="N10920" s="1"/>
      <c r="O10920" s="1"/>
      <c r="P10920" s="1"/>
      <c r="Q10920" s="1"/>
      <c r="R10920" s="1"/>
      <c r="S10920" s="1"/>
      <c r="T10920" s="1"/>
      <c r="U10920" s="1"/>
      <c r="V10920" s="1"/>
      <c r="W10920" s="1"/>
      <c r="X10920" s="1"/>
      <c r="Y10920" s="1"/>
      <c r="Z10920" s="1"/>
      <c r="AA10920" s="1"/>
      <c r="AB10920" s="1"/>
    </row>
    <row r="10921" ht="50.25" customHeight="1">
      <c r="A10921" s="12">
        <v>10917.0</v>
      </c>
      <c r="B10921" s="13" t="s">
        <v>10535</v>
      </c>
      <c r="C10921" s="18" t="s">
        <v>10949</v>
      </c>
      <c r="D10921" s="1"/>
      <c r="E10921" s="1"/>
      <c r="F10921" s="1" t="str">
        <f>IFERROR(__xludf.DUMMYFUNCTION("GOOGLETRANSLATE(B10921, ""en"", ""fa"")
"),"کپی رایتینگ II")</f>
        <v>کپی رایتینگ II</v>
      </c>
      <c r="G10921" s="1" t="str">
        <f>IFERROR(__xludf.DUMMYFUNCTION("GOOGLETRANSLATE(C10921, ""en"", ""fa"")
"),"چگونه یک شخصیت یا طلسم برند به یاد ماندنی ایجاد کنیم که به یک شخصیت اصلی در تلاش های داستان سرایی برند شما تبدیل شود؟")</f>
        <v>چگونه یک شخصیت یا طلسم برند به یاد ماندنی ایجاد کنیم که به یک شخصیت اصلی در تلاش های داستان سرایی برند شما تبدیل شود؟</v>
      </c>
      <c r="H10921" s="1"/>
      <c r="I10921" s="1"/>
      <c r="J10921" s="1"/>
      <c r="K10921" s="1"/>
      <c r="L10921" s="1"/>
      <c r="M10921" s="1"/>
      <c r="N10921" s="1"/>
      <c r="O10921" s="1"/>
      <c r="P10921" s="1"/>
      <c r="Q10921" s="1"/>
      <c r="R10921" s="1"/>
      <c r="S10921" s="1"/>
      <c r="T10921" s="1"/>
      <c r="U10921" s="1"/>
      <c r="V10921" s="1"/>
      <c r="W10921" s="1"/>
      <c r="X10921" s="1"/>
      <c r="Y10921" s="1"/>
      <c r="Z10921" s="1"/>
      <c r="AA10921" s="1"/>
      <c r="AB10921" s="1"/>
    </row>
    <row r="10922" ht="50.25" customHeight="1">
      <c r="A10922" s="12">
        <v>10918.0</v>
      </c>
      <c r="B10922" s="13" t="s">
        <v>10535</v>
      </c>
      <c r="C10922" s="18" t="s">
        <v>10950</v>
      </c>
      <c r="D10922" s="1"/>
      <c r="E10922" s="1"/>
      <c r="F10922" s="1" t="str">
        <f>IFERROR(__xludf.DUMMYFUNCTION("GOOGLETRANSLATE(B10922, ""en"", ""fa"")
"),"کپی رایتینگ II")</f>
        <v>کپی رایتینگ II</v>
      </c>
      <c r="G10922" s="1" t="str">
        <f>IFERROR(__xludf.DUMMYFUNCTION("GOOGLETRANSLATE(C10922, ""en"", ""fa"")
"),"روش های مختلف برای گنجاندن داستان سرایی در کمپین های بازاریابی ایمیلی خود را برای جذب و پرورش مشترکین خود کاوش کنید.")</f>
        <v>روش های مختلف برای گنجاندن داستان سرایی در کمپین های بازاریابی ایمیلی خود را برای جذب و پرورش مشترکین خود کاوش کنید.</v>
      </c>
      <c r="H10922" s="1"/>
      <c r="I10922" s="1"/>
      <c r="J10922" s="1"/>
      <c r="K10922" s="1"/>
      <c r="L10922" s="1"/>
      <c r="M10922" s="1"/>
      <c r="N10922" s="1"/>
      <c r="O10922" s="1"/>
      <c r="P10922" s="1"/>
      <c r="Q10922" s="1"/>
      <c r="R10922" s="1"/>
      <c r="S10922" s="1"/>
      <c r="T10922" s="1"/>
      <c r="U10922" s="1"/>
      <c r="V10922" s="1"/>
      <c r="W10922" s="1"/>
      <c r="X10922" s="1"/>
      <c r="Y10922" s="1"/>
      <c r="Z10922" s="1"/>
      <c r="AA10922" s="1"/>
      <c r="AB10922" s="1"/>
    </row>
    <row r="10923" ht="50.25" customHeight="1">
      <c r="A10923" s="12">
        <v>10919.0</v>
      </c>
      <c r="B10923" s="13" t="s">
        <v>10535</v>
      </c>
      <c r="C10923" s="18" t="s">
        <v>10951</v>
      </c>
      <c r="D10923" s="1"/>
      <c r="E10923" s="1"/>
      <c r="F10923" s="1" t="str">
        <f>IFERROR(__xludf.DUMMYFUNCTION("GOOGLETRANSLATE(B10923, ""en"", ""fa"")
"),"کپی رایتینگ II")</f>
        <v>کپی رایتینگ II</v>
      </c>
      <c r="G10923" s="1" t="str">
        <f>IFERROR(__xludf.DUMMYFUNCTION("GOOGLETRANSLATE(C10923, ""en"", ""fa"")
"),"تکنیک‌هایی برای ساخت داستان‌های جذاب برند که کنجکاوی را برمی‌انگیزد و مخاطبان شما را وادار به یادگیری بیشتر می‌کند چیست؟")</f>
        <v>تکنیک‌هایی برای ساخت داستان‌های جذاب برند که کنجکاوی را برمی‌انگیزد و مخاطبان شما را وادار به یادگیری بیشتر می‌کند چیست؟</v>
      </c>
      <c r="H10923" s="1"/>
      <c r="I10923" s="1"/>
      <c r="J10923" s="1"/>
      <c r="K10923" s="1"/>
      <c r="L10923" s="1"/>
      <c r="M10923" s="1"/>
      <c r="N10923" s="1"/>
      <c r="O10923" s="1"/>
      <c r="P10923" s="1"/>
      <c r="Q10923" s="1"/>
      <c r="R10923" s="1"/>
      <c r="S10923" s="1"/>
      <c r="T10923" s="1"/>
      <c r="U10923" s="1"/>
      <c r="V10923" s="1"/>
      <c r="W10923" s="1"/>
      <c r="X10923" s="1"/>
      <c r="Y10923" s="1"/>
      <c r="Z10923" s="1"/>
      <c r="AA10923" s="1"/>
      <c r="AB10923" s="1"/>
    </row>
    <row r="10924" ht="50.25" customHeight="1">
      <c r="A10924" s="12">
        <v>10920.0</v>
      </c>
      <c r="B10924" s="13" t="s">
        <v>10535</v>
      </c>
      <c r="C10924" s="18" t="s">
        <v>10952</v>
      </c>
      <c r="D10924" s="1"/>
      <c r="E10924" s="1"/>
      <c r="F10924" s="1" t="str">
        <f>IFERROR(__xludf.DUMMYFUNCTION("GOOGLETRANSLATE(B10924, ""en"", ""fa"")
"),"کپی رایتینگ II")</f>
        <v>کپی رایتینگ II</v>
      </c>
      <c r="G10924" s="1" t="str">
        <f>IFERROR(__xludf.DUMMYFUNCTION("GOOGLETRANSLATE(C10924, ""en"", ""fa"")
"),"چگونه می توان از داستان سرایی در مشارکت ها و همکاری های برند برای ایجاد یک روایت یکپارچه استفاده کرد که داستان هر دو برند را تقویت کند؟")</f>
        <v>چگونه می توان از داستان سرایی در مشارکت ها و همکاری های برند برای ایجاد یک روایت یکپارچه استفاده کرد که داستان هر دو برند را تقویت کند؟</v>
      </c>
      <c r="H10924" s="1"/>
      <c r="I10924" s="1"/>
      <c r="J10924" s="1"/>
      <c r="K10924" s="1"/>
      <c r="L10924" s="1"/>
      <c r="M10924" s="1"/>
      <c r="N10924" s="1"/>
      <c r="O10924" s="1"/>
      <c r="P10924" s="1"/>
      <c r="Q10924" s="1"/>
      <c r="R10924" s="1"/>
      <c r="S10924" s="1"/>
      <c r="T10924" s="1"/>
      <c r="U10924" s="1"/>
      <c r="V10924" s="1"/>
      <c r="W10924" s="1"/>
      <c r="X10924" s="1"/>
      <c r="Y10924" s="1"/>
      <c r="Z10924" s="1"/>
      <c r="AA10924" s="1"/>
      <c r="AB10924" s="1"/>
    </row>
    <row r="10925" ht="50.25" customHeight="1">
      <c r="A10925" s="12">
        <v>10921.0</v>
      </c>
      <c r="B10925" s="13" t="s">
        <v>10535</v>
      </c>
      <c r="C10925" s="18" t="s">
        <v>10953</v>
      </c>
      <c r="D10925" s="1"/>
      <c r="E10925" s="1"/>
      <c r="F10925" s="1" t="str">
        <f>IFERROR(__xludf.DUMMYFUNCTION("GOOGLETRANSLATE(B10925, ""en"", ""fa"")
"),"کپی رایتینگ II")</f>
        <v>کپی رایتینگ II</v>
      </c>
      <c r="G10925" s="1" t="str">
        <f>IFERROR(__xludf.DUMMYFUNCTION("GOOGLETRANSLATE(C10925, ""en"", ""fa"")
"),"درباره نقش همدلی در داستان سرایی برند و اینکه درک نیازها و مبارزات مشتریان شما می تواند ارتباط آنها با برند شما را عمیق تر کند، بحث کنید.")</f>
        <v>درباره نقش همدلی در داستان سرایی برند و اینکه درک نیازها و مبارزات مشتریان شما می تواند ارتباط آنها با برند شما را عمیق تر کند، بحث کنید.</v>
      </c>
      <c r="H10925" s="1"/>
      <c r="I10925" s="1"/>
      <c r="J10925" s="1"/>
      <c r="K10925" s="1"/>
      <c r="L10925" s="1"/>
      <c r="M10925" s="1"/>
      <c r="N10925" s="1"/>
      <c r="O10925" s="1"/>
      <c r="P10925" s="1"/>
      <c r="Q10925" s="1"/>
      <c r="R10925" s="1"/>
      <c r="S10925" s="1"/>
      <c r="T10925" s="1"/>
      <c r="U10925" s="1"/>
      <c r="V10925" s="1"/>
      <c r="W10925" s="1"/>
      <c r="X10925" s="1"/>
      <c r="Y10925" s="1"/>
      <c r="Z10925" s="1"/>
      <c r="AA10925" s="1"/>
      <c r="AB10925" s="1"/>
    </row>
    <row r="10926" ht="50.25" customHeight="1">
      <c r="A10926" s="12">
        <v>10922.0</v>
      </c>
      <c r="B10926" s="13" t="s">
        <v>10535</v>
      </c>
      <c r="C10926" s="18" t="s">
        <v>10954</v>
      </c>
      <c r="D10926" s="1"/>
      <c r="E10926" s="1"/>
      <c r="F10926" s="1" t="str">
        <f>IFERROR(__xludf.DUMMYFUNCTION("GOOGLETRANSLATE(B10926, ""en"", ""fa"")
"),"کپی رایتینگ II")</f>
        <v>کپی رایتینگ II</v>
      </c>
      <c r="G10926" s="1" t="str">
        <f>IFERROR(__xludf.DUMMYFUNCTION("GOOGLETRANSLATE(C10926, ""en"", ""fa"")
"),"چگونه از داستان سرایی برای نشان دادن تعهد برند خود به پایداری و مسئولیت اجتماعی، همسو با ارزش های مخاطبان خود استفاده کنید.")</f>
        <v>چگونه از داستان سرایی برای نشان دادن تعهد برند خود به پایداری و مسئولیت اجتماعی، همسو با ارزش های مخاطبان خود استفاده کنید.</v>
      </c>
      <c r="H10926" s="1"/>
      <c r="I10926" s="1"/>
      <c r="J10926" s="1"/>
      <c r="K10926" s="1"/>
      <c r="L10926" s="1"/>
      <c r="M10926" s="1"/>
      <c r="N10926" s="1"/>
      <c r="O10926" s="1"/>
      <c r="P10926" s="1"/>
      <c r="Q10926" s="1"/>
      <c r="R10926" s="1"/>
      <c r="S10926" s="1"/>
      <c r="T10926" s="1"/>
      <c r="U10926" s="1"/>
      <c r="V10926" s="1"/>
      <c r="W10926" s="1"/>
      <c r="X10926" s="1"/>
      <c r="Y10926" s="1"/>
      <c r="Z10926" s="1"/>
      <c r="AA10926" s="1"/>
      <c r="AB10926" s="1"/>
    </row>
    <row r="10927" ht="50.25" customHeight="1">
      <c r="A10927" s="12">
        <v>10923.0</v>
      </c>
      <c r="B10927" s="13" t="s">
        <v>10535</v>
      </c>
      <c r="C10927" s="18" t="s">
        <v>10955</v>
      </c>
      <c r="D10927" s="1"/>
      <c r="E10927" s="1"/>
      <c r="F10927" s="1" t="str">
        <f>IFERROR(__xludf.DUMMYFUNCTION("GOOGLETRANSLATE(B10927, ""en"", ""fa"")
"),"کپی رایتینگ II")</f>
        <v>کپی رایتینگ II</v>
      </c>
      <c r="G10927" s="1" t="str">
        <f>IFERROR(__xludf.DUMMYFUNCTION("GOOGLETRANSLATE(C10927, ""en"", ""fa"")
"),"بهترین روش برای استفاده از داستان سرایی در پست ها و مقالات وبلاگ برند شما برای آموزش و سرگرمی مخاطبان چیست؟")</f>
        <v>بهترین روش برای استفاده از داستان سرایی در پست ها و مقالات وبلاگ برند شما برای آموزش و سرگرمی مخاطبان چیست؟</v>
      </c>
      <c r="H10927" s="1"/>
      <c r="I10927" s="1"/>
      <c r="J10927" s="1"/>
      <c r="K10927" s="1"/>
      <c r="L10927" s="1"/>
      <c r="M10927" s="1"/>
      <c r="N10927" s="1"/>
      <c r="O10927" s="1"/>
      <c r="P10927" s="1"/>
      <c r="Q10927" s="1"/>
      <c r="R10927" s="1"/>
      <c r="S10927" s="1"/>
      <c r="T10927" s="1"/>
      <c r="U10927" s="1"/>
      <c r="V10927" s="1"/>
      <c r="W10927" s="1"/>
      <c r="X10927" s="1"/>
      <c r="Y10927" s="1"/>
      <c r="Z10927" s="1"/>
      <c r="AA10927" s="1"/>
      <c r="AB10927" s="1"/>
    </row>
    <row r="10928" ht="50.25" customHeight="1">
      <c r="A10928" s="12">
        <v>10924.0</v>
      </c>
      <c r="B10928" s="13" t="s">
        <v>10535</v>
      </c>
      <c r="C10928" s="18" t="s">
        <v>10956</v>
      </c>
      <c r="D10928" s="1"/>
      <c r="E10928" s="1"/>
      <c r="F10928" s="1" t="str">
        <f>IFERROR(__xludf.DUMMYFUNCTION("GOOGLETRANSLATE(B10928, ""en"", ""fa"")
"),"کپی رایتینگ II")</f>
        <v>کپی رایتینگ II</v>
      </c>
      <c r="G10928" s="1" t="str">
        <f>IFERROR(__xludf.DUMMYFUNCTION("GOOGLETRANSLATE(C10928, ""en"", ""fa"")
"),"چگونه می توان یک روایت ثابت در هویت بصری برند خود، از جمله لوگو، رنگ و تایپوگرافی ایجاد کرد تا از داستان برند خود حمایت کند؟")</f>
        <v>چگونه می توان یک روایت ثابت در هویت بصری برند خود، از جمله لوگو، رنگ و تایپوگرافی ایجاد کرد تا از داستان برند خود حمایت کند؟</v>
      </c>
      <c r="H10928" s="1"/>
      <c r="I10928" s="1"/>
      <c r="J10928" s="1"/>
      <c r="K10928" s="1"/>
      <c r="L10928" s="1"/>
      <c r="M10928" s="1"/>
      <c r="N10928" s="1"/>
      <c r="O10928" s="1"/>
      <c r="P10928" s="1"/>
      <c r="Q10928" s="1"/>
      <c r="R10928" s="1"/>
      <c r="S10928" s="1"/>
      <c r="T10928" s="1"/>
      <c r="U10928" s="1"/>
      <c r="V10928" s="1"/>
      <c r="W10928" s="1"/>
      <c r="X10928" s="1"/>
      <c r="Y10928" s="1"/>
      <c r="Z10928" s="1"/>
      <c r="AA10928" s="1"/>
      <c r="AB10928" s="1"/>
    </row>
    <row r="10929" ht="50.25" customHeight="1">
      <c r="A10929" s="12">
        <v>10925.0</v>
      </c>
      <c r="B10929" s="13" t="s">
        <v>10535</v>
      </c>
      <c r="C10929" s="18" t="s">
        <v>10957</v>
      </c>
      <c r="D10929" s="1"/>
      <c r="E10929" s="1"/>
      <c r="F10929" s="1" t="str">
        <f>IFERROR(__xludf.DUMMYFUNCTION("GOOGLETRANSLATE(B10929, ""en"", ""fa"")
"),"کپی رایتینگ II")</f>
        <v>کپی رایتینگ II</v>
      </c>
      <c r="G10929" s="1" t="str">
        <f>IFERROR(__xludf.DUMMYFUNCTION("GOOGLETRANSLATE(C10929, ""en"", ""fa"")
"),"روش های مختلف را برای گنجاندن داستان سرایی در طراحی بسته بندی برند خود کاوش کنید تا تجربه کلی برند خود را ارتقا دهید.")</f>
        <v>روش های مختلف را برای گنجاندن داستان سرایی در طراحی بسته بندی برند خود کاوش کنید تا تجربه کلی برند خود را ارتقا دهید.</v>
      </c>
      <c r="H10929" s="1"/>
      <c r="I10929" s="1"/>
      <c r="J10929" s="1"/>
      <c r="K10929" s="1"/>
      <c r="L10929" s="1"/>
      <c r="M10929" s="1"/>
      <c r="N10929" s="1"/>
      <c r="O10929" s="1"/>
      <c r="P10929" s="1"/>
      <c r="Q10929" s="1"/>
      <c r="R10929" s="1"/>
      <c r="S10929" s="1"/>
      <c r="T10929" s="1"/>
      <c r="U10929" s="1"/>
      <c r="V10929" s="1"/>
      <c r="W10929" s="1"/>
      <c r="X10929" s="1"/>
      <c r="Y10929" s="1"/>
      <c r="Z10929" s="1"/>
      <c r="AA10929" s="1"/>
      <c r="AB10929" s="1"/>
    </row>
    <row r="10930" ht="50.25" customHeight="1">
      <c r="A10930" s="12">
        <v>10926.0</v>
      </c>
      <c r="B10930" s="13" t="s">
        <v>10535</v>
      </c>
      <c r="C10930" s="18" t="s">
        <v>10958</v>
      </c>
      <c r="D10930" s="1"/>
      <c r="E10930" s="1"/>
      <c r="F10930" s="1" t="str">
        <f>IFERROR(__xludf.DUMMYFUNCTION("GOOGLETRANSLATE(B10930, ""en"", ""fa"")
"),"کپی رایتینگ II")</f>
        <v>کپی رایتینگ II</v>
      </c>
      <c r="G10930" s="1" t="str">
        <f>IFERROR(__xludf.DUMMYFUNCTION("GOOGLETRANSLATE(C10930, ""en"", ""fa"")
"),"تکنیک های استفاده از داستان سرایی در بیو و نمایه های رسانه های اجتماعی برند شما برای برقراری ارتباط با ارزش ها و شخصیت برند شما چیست؟")</f>
        <v>تکنیک های استفاده از داستان سرایی در بیو و نمایه های رسانه های اجتماعی برند شما برای برقراری ارتباط با ارزش ها و شخصیت برند شما چیست؟</v>
      </c>
      <c r="H10930" s="1"/>
      <c r="I10930" s="1"/>
      <c r="J10930" s="1"/>
      <c r="K10930" s="1"/>
      <c r="L10930" s="1"/>
      <c r="M10930" s="1"/>
      <c r="N10930" s="1"/>
      <c r="O10930" s="1"/>
      <c r="P10930" s="1"/>
      <c r="Q10930" s="1"/>
      <c r="R10930" s="1"/>
      <c r="S10930" s="1"/>
      <c r="T10930" s="1"/>
      <c r="U10930" s="1"/>
      <c r="V10930" s="1"/>
      <c r="W10930" s="1"/>
      <c r="X10930" s="1"/>
      <c r="Y10930" s="1"/>
      <c r="Z10930" s="1"/>
      <c r="AA10930" s="1"/>
      <c r="AB10930" s="1"/>
    </row>
    <row r="10931" ht="50.25" customHeight="1">
      <c r="A10931" s="12">
        <v>10927.0</v>
      </c>
      <c r="B10931" s="13" t="s">
        <v>10535</v>
      </c>
      <c r="C10931" s="18" t="s">
        <v>10959</v>
      </c>
      <c r="D10931" s="1"/>
      <c r="E10931" s="1"/>
      <c r="F10931" s="1" t="str">
        <f>IFERROR(__xludf.DUMMYFUNCTION("GOOGLETRANSLATE(B10931, ""en"", ""fa"")
"),"کپی رایتینگ II")</f>
        <v>کپی رایتینگ II</v>
      </c>
      <c r="G10931" s="1" t="str">
        <f>IFERROR(__xludf.DUMMYFUNCTION("GOOGLETRANSLATE(C10931, ""en"", ""fa"")
"),"چگونه از داستان سرایی برای برقراری ارتباط با تکامل و رشد نام تجاری خود در طول زمان، ایجاد حس پیشرفت و حرکت استفاده کنید؟")</f>
        <v>چگونه از داستان سرایی برای برقراری ارتباط با تکامل و رشد نام تجاری خود در طول زمان، ایجاد حس پیشرفت و حرکت استفاده کنید؟</v>
      </c>
      <c r="H10931" s="1"/>
      <c r="I10931" s="1"/>
      <c r="J10931" s="1"/>
      <c r="K10931" s="1"/>
      <c r="L10931" s="1"/>
      <c r="M10931" s="1"/>
      <c r="N10931" s="1"/>
      <c r="O10931" s="1"/>
      <c r="P10931" s="1"/>
      <c r="Q10931" s="1"/>
      <c r="R10931" s="1"/>
      <c r="S10931" s="1"/>
      <c r="T10931" s="1"/>
      <c r="U10931" s="1"/>
      <c r="V10931" s="1"/>
      <c r="W10931" s="1"/>
      <c r="X10931" s="1"/>
      <c r="Y10931" s="1"/>
      <c r="Z10931" s="1"/>
      <c r="AA10931" s="1"/>
      <c r="AB10931" s="1"/>
    </row>
    <row r="10932" ht="50.25" customHeight="1">
      <c r="A10932" s="12">
        <v>10928.0</v>
      </c>
      <c r="B10932" s="13" t="s">
        <v>10535</v>
      </c>
      <c r="C10932" s="18" t="s">
        <v>10960</v>
      </c>
      <c r="D10932" s="1"/>
      <c r="E10932" s="1"/>
      <c r="F10932" s="1" t="str">
        <f>IFERROR(__xludf.DUMMYFUNCTION("GOOGLETRANSLATE(B10932, ""en"", ""fa"")
"),"کپی رایتینگ II")</f>
        <v>کپی رایتینگ II</v>
      </c>
      <c r="G10932" s="1" t="str">
        <f>IFERROR(__xludf.DUMMYFUNCTION("GOOGLETRANSLATE(C10932, ""en"", ""fa"")
"),"درباره اهمیت داستان سرایی در مدیریت بحران و اینکه چگونه یک روایت خوب می تواند به بازسازی اعتماد و شهرت کمک کند، بحث کنید.")</f>
        <v>درباره اهمیت داستان سرایی در مدیریت بحران و اینکه چگونه یک روایت خوب می تواند به بازسازی اعتماد و شهرت کمک کند، بحث کنید.</v>
      </c>
      <c r="H10932" s="1"/>
      <c r="I10932" s="1"/>
      <c r="J10932" s="1"/>
      <c r="K10932" s="1"/>
      <c r="L10932" s="1"/>
      <c r="M10932" s="1"/>
      <c r="N10932" s="1"/>
      <c r="O10932" s="1"/>
      <c r="P10932" s="1"/>
      <c r="Q10932" s="1"/>
      <c r="R10932" s="1"/>
      <c r="S10932" s="1"/>
      <c r="T10932" s="1"/>
      <c r="U10932" s="1"/>
      <c r="V10932" s="1"/>
      <c r="W10932" s="1"/>
      <c r="X10932" s="1"/>
      <c r="Y10932" s="1"/>
      <c r="Z10932" s="1"/>
      <c r="AA10932" s="1"/>
      <c r="AB10932" s="1"/>
    </row>
    <row r="10933" ht="50.25" customHeight="1">
      <c r="A10933" s="12">
        <v>10929.0</v>
      </c>
      <c r="B10933" s="13" t="s">
        <v>10535</v>
      </c>
      <c r="C10933" s="18" t="s">
        <v>10961</v>
      </c>
      <c r="D10933" s="1"/>
      <c r="E10933" s="1"/>
      <c r="F10933" s="1" t="str">
        <f>IFERROR(__xludf.DUMMYFUNCTION("GOOGLETRANSLATE(B10933, ""en"", ""fa"")
"),"کپی رایتینگ II")</f>
        <v>کپی رایتینگ II</v>
      </c>
      <c r="G10933" s="1" t="str">
        <f>IFERROR(__xludf.DUMMYFUNCTION("GOOGLETRANSLATE(C10933, ""en"", ""fa"")
"),"چگونه داستان سرایی را در تعاملات خدمات مشتری برند خود بگنجانید تا تجربیات به یاد ماندنی ایجاد کنید و وفاداری را تقویت کنید؟")</f>
        <v>چگونه داستان سرایی را در تعاملات خدمات مشتری برند خود بگنجانید تا تجربیات به یاد ماندنی ایجاد کنید و وفاداری را تقویت کنید؟</v>
      </c>
      <c r="H10933" s="1"/>
      <c r="I10933" s="1"/>
      <c r="J10933" s="1"/>
      <c r="K10933" s="1"/>
      <c r="L10933" s="1"/>
      <c r="M10933" s="1"/>
      <c r="N10933" s="1"/>
      <c r="O10933" s="1"/>
      <c r="P10933" s="1"/>
      <c r="Q10933" s="1"/>
      <c r="R10933" s="1"/>
      <c r="S10933" s="1"/>
      <c r="T10933" s="1"/>
      <c r="U10933" s="1"/>
      <c r="V10933" s="1"/>
      <c r="W10933" s="1"/>
      <c r="X10933" s="1"/>
      <c r="Y10933" s="1"/>
      <c r="Z10933" s="1"/>
      <c r="AA10933" s="1"/>
      <c r="AB10933" s="1"/>
    </row>
    <row r="10934" ht="50.25" customHeight="1">
      <c r="A10934" s="12">
        <v>10930.0</v>
      </c>
      <c r="B10934" s="13" t="s">
        <v>10535</v>
      </c>
      <c r="C10934" s="18" t="s">
        <v>10962</v>
      </c>
      <c r="D10934" s="1"/>
      <c r="E10934" s="1"/>
      <c r="F10934" s="1" t="str">
        <f>IFERROR(__xludf.DUMMYFUNCTION("GOOGLETRANSLATE(B10934, ""en"", ""fa"")
"),"کپی رایتینگ II")</f>
        <v>کپی رایتینگ II</v>
      </c>
      <c r="G10934" s="1" t="str">
        <f>IFERROR(__xludf.DUMMYFUNCTION("GOOGLETRANSLATE(C10934, ""en"", ""fa"")
"),"استراتژی های مختلف برای داستان سرایی را از طریق همکاری اینفلوئنسرها بررسی کنید و از داستان های شخصی آنها برای تقویت پیام برند خود استفاده کنید.")</f>
        <v>استراتژی های مختلف برای داستان سرایی را از طریق همکاری اینفلوئنسرها بررسی کنید و از داستان های شخصی آنها برای تقویت پیام برند خود استفاده کنید.</v>
      </c>
      <c r="H10934" s="1"/>
      <c r="I10934" s="1"/>
      <c r="J10934" s="1"/>
      <c r="K10934" s="1"/>
      <c r="L10934" s="1"/>
      <c r="M10934" s="1"/>
      <c r="N10934" s="1"/>
      <c r="O10934" s="1"/>
      <c r="P10934" s="1"/>
      <c r="Q10934" s="1"/>
      <c r="R10934" s="1"/>
      <c r="S10934" s="1"/>
      <c r="T10934" s="1"/>
      <c r="U10934" s="1"/>
      <c r="V10934" s="1"/>
      <c r="W10934" s="1"/>
      <c r="X10934" s="1"/>
      <c r="Y10934" s="1"/>
      <c r="Z10934" s="1"/>
      <c r="AA10934" s="1"/>
      <c r="AB10934" s="1"/>
    </row>
    <row r="10935" ht="50.25" customHeight="1">
      <c r="A10935" s="12">
        <v>10931.0</v>
      </c>
      <c r="B10935" s="13" t="s">
        <v>10535</v>
      </c>
      <c r="C10935" s="18" t="s">
        <v>10963</v>
      </c>
      <c r="D10935" s="1"/>
      <c r="E10935" s="1"/>
      <c r="F10935" s="1" t="str">
        <f>IFERROR(__xludf.DUMMYFUNCTION("GOOGLETRANSLATE(B10935, ""en"", ""fa"")
"),"کپی رایتینگ II")</f>
        <v>کپی رایتینگ II</v>
      </c>
      <c r="G10935" s="1" t="str">
        <f>IFERROR(__xludf.DUMMYFUNCTION("GOOGLETRANSLATE(C10935, ""en"", ""fa"")
"),"بهترین شیوه ها برای گنجاندن داستان سرایی در فرآیند حضور مشتری در برند شما برای ایجاد حس تعلق چیست؟")</f>
        <v>بهترین شیوه ها برای گنجاندن داستان سرایی در فرآیند حضور مشتری در برند شما برای ایجاد حس تعلق چیست؟</v>
      </c>
      <c r="H10935" s="1"/>
      <c r="I10935" s="1"/>
      <c r="J10935" s="1"/>
      <c r="K10935" s="1"/>
      <c r="L10935" s="1"/>
      <c r="M10935" s="1"/>
      <c r="N10935" s="1"/>
      <c r="O10935" s="1"/>
      <c r="P10935" s="1"/>
      <c r="Q10935" s="1"/>
      <c r="R10935" s="1"/>
      <c r="S10935" s="1"/>
      <c r="T10935" s="1"/>
      <c r="U10935" s="1"/>
      <c r="V10935" s="1"/>
      <c r="W10935" s="1"/>
      <c r="X10935" s="1"/>
      <c r="Y10935" s="1"/>
      <c r="Z10935" s="1"/>
      <c r="AA10935" s="1"/>
      <c r="AB10935" s="1"/>
    </row>
    <row r="10936" ht="50.25" customHeight="1">
      <c r="A10936" s="12">
        <v>10932.0</v>
      </c>
      <c r="B10936" s="13" t="s">
        <v>10535</v>
      </c>
      <c r="C10936" s="18" t="s">
        <v>10964</v>
      </c>
      <c r="D10936" s="1"/>
      <c r="E10936" s="1"/>
      <c r="F10936" s="1" t="str">
        <f>IFERROR(__xludf.DUMMYFUNCTION("GOOGLETRANSLATE(B10936, ""en"", ""fa"")
"),"کپی رایتینگ II")</f>
        <v>کپی رایتینگ II</v>
      </c>
      <c r="G10936" s="1" t="str">
        <f>IFERROR(__xludf.DUMMYFUNCTION("GOOGLETRANSLATE(C10936, ""en"", ""fa"")
"),"چگونه یک مانیفست نام تجاری یا بیانیه ماموریت ایجاد کنیم که ارزش ها، هدف و داستان برند شما را در بر بگیرد؟")</f>
        <v>چگونه یک مانیفست نام تجاری یا بیانیه ماموریت ایجاد کنیم که ارزش ها، هدف و داستان برند شما را در بر بگیرد؟</v>
      </c>
      <c r="H10936" s="1"/>
      <c r="I10936" s="1"/>
      <c r="J10936" s="1"/>
      <c r="K10936" s="1"/>
      <c r="L10936" s="1"/>
      <c r="M10936" s="1"/>
      <c r="N10936" s="1"/>
      <c r="O10936" s="1"/>
      <c r="P10936" s="1"/>
      <c r="Q10936" s="1"/>
      <c r="R10936" s="1"/>
      <c r="S10936" s="1"/>
      <c r="T10936" s="1"/>
      <c r="U10936" s="1"/>
      <c r="V10936" s="1"/>
      <c r="W10936" s="1"/>
      <c r="X10936" s="1"/>
      <c r="Y10936" s="1"/>
      <c r="Z10936" s="1"/>
      <c r="AA10936" s="1"/>
      <c r="AB10936" s="1"/>
    </row>
    <row r="10937" ht="50.25" customHeight="1">
      <c r="A10937" s="12">
        <v>10933.0</v>
      </c>
      <c r="B10937" s="13" t="s">
        <v>10535</v>
      </c>
      <c r="C10937" s="18" t="s">
        <v>10965</v>
      </c>
      <c r="D10937" s="1"/>
      <c r="E10937" s="1"/>
      <c r="F10937" s="1" t="str">
        <f>IFERROR(__xludf.DUMMYFUNCTION("GOOGLETRANSLATE(B10937, ""en"", ""fa"")
"),"کپی رایتینگ II")</f>
        <v>کپی رایتینگ II</v>
      </c>
      <c r="G10937" s="1" t="str">
        <f>IFERROR(__xludf.DUMMYFUNCTION("GOOGLETRANSLATE(C10937, ""en"", ""fa"")
"),"نقش تعلیق و دسیسه را در داستان سرایی برند مورد بحث قرار دهید تا مخاطبان خود را درگیر و مشتاق کسب اطلاعات بیشتر نگه دارید.")</f>
        <v>نقش تعلیق و دسیسه را در داستان سرایی برند مورد بحث قرار دهید تا مخاطبان خود را درگیر و مشتاق کسب اطلاعات بیشتر نگه دارید.</v>
      </c>
      <c r="H10937" s="1"/>
      <c r="I10937" s="1"/>
      <c r="J10937" s="1"/>
      <c r="K10937" s="1"/>
      <c r="L10937" s="1"/>
      <c r="M10937" s="1"/>
      <c r="N10937" s="1"/>
      <c r="O10937" s="1"/>
      <c r="P10937" s="1"/>
      <c r="Q10937" s="1"/>
      <c r="R10937" s="1"/>
      <c r="S10937" s="1"/>
      <c r="T10937" s="1"/>
      <c r="U10937" s="1"/>
      <c r="V10937" s="1"/>
      <c r="W10937" s="1"/>
      <c r="X10937" s="1"/>
      <c r="Y10937" s="1"/>
      <c r="Z10937" s="1"/>
      <c r="AA10937" s="1"/>
      <c r="AB10937" s="1"/>
    </row>
    <row r="10938" ht="50.25" customHeight="1">
      <c r="A10938" s="12">
        <v>10934.0</v>
      </c>
      <c r="B10938" s="13" t="s">
        <v>10535</v>
      </c>
      <c r="C10938" s="18" t="s">
        <v>10966</v>
      </c>
      <c r="D10938" s="1"/>
      <c r="E10938" s="1"/>
      <c r="F10938" s="1" t="str">
        <f>IFERROR(__xludf.DUMMYFUNCTION("GOOGLETRANSLATE(B10938, ""en"", ""fa"")
"),"کپی رایتینگ II")</f>
        <v>کپی رایتینگ II</v>
      </c>
      <c r="G10938" s="1" t="str">
        <f>IFERROR(__xludf.DUMMYFUNCTION("GOOGLETRANSLATE(C10938, ""en"", ""fa"")
"),"چگونه از داستان سرایی در زیرنویس ها و پست های رسانه های اجتماعی برند خود برای ایجاد جرقه در گفتگوها و تشویق تعامل کاربران استفاده کنید.")</f>
        <v>چگونه از داستان سرایی در زیرنویس ها و پست های رسانه های اجتماعی برند خود برای ایجاد جرقه در گفتگوها و تشویق تعامل کاربران استفاده کنید.</v>
      </c>
      <c r="H10938" s="1"/>
      <c r="I10938" s="1"/>
      <c r="J10938" s="1"/>
      <c r="K10938" s="1"/>
      <c r="L10938" s="1"/>
      <c r="M10938" s="1"/>
      <c r="N10938" s="1"/>
      <c r="O10938" s="1"/>
      <c r="P10938" s="1"/>
      <c r="Q10938" s="1"/>
      <c r="R10938" s="1"/>
      <c r="S10938" s="1"/>
      <c r="T10938" s="1"/>
      <c r="U10938" s="1"/>
      <c r="V10938" s="1"/>
      <c r="W10938" s="1"/>
      <c r="X10938" s="1"/>
      <c r="Y10938" s="1"/>
      <c r="Z10938" s="1"/>
      <c r="AA10938" s="1"/>
      <c r="AB10938" s="1"/>
    </row>
    <row r="10939" ht="50.25" customHeight="1">
      <c r="A10939" s="12">
        <v>10935.0</v>
      </c>
      <c r="B10939" s="13" t="s">
        <v>10535</v>
      </c>
      <c r="C10939" s="18" t="s">
        <v>10967</v>
      </c>
      <c r="D10939" s="1"/>
      <c r="E10939" s="1"/>
      <c r="F10939" s="1" t="str">
        <f>IFERROR(__xludf.DUMMYFUNCTION("GOOGLETRANSLATE(B10939, ""en"", ""fa"")
"),"کپی رایتینگ II")</f>
        <v>کپی رایتینگ II</v>
      </c>
      <c r="G10939" s="1" t="str">
        <f>IFERROR(__xludf.DUMMYFUNCTION("GOOGLETRANSLATE(C10939, ""en"", ""fa"")
"),"روش‌های مختلف داستان‌گویی را از طریق محتوای تعاملی، مانند آزمون‌ها، نظرسنجی‌ها، یا ویدیوهای تعاملی برای افزایش تعامل کاوش کنید.")</f>
        <v>روش‌های مختلف داستان‌گویی را از طریق محتوای تعاملی، مانند آزمون‌ها، نظرسنجی‌ها، یا ویدیوهای تعاملی برای افزایش تعامل کاوش کنید.</v>
      </c>
      <c r="H10939" s="1"/>
      <c r="I10939" s="1"/>
      <c r="J10939" s="1"/>
      <c r="K10939" s="1"/>
      <c r="L10939" s="1"/>
      <c r="M10939" s="1"/>
      <c r="N10939" s="1"/>
      <c r="O10939" s="1"/>
      <c r="P10939" s="1"/>
      <c r="Q10939" s="1"/>
      <c r="R10939" s="1"/>
      <c r="S10939" s="1"/>
      <c r="T10939" s="1"/>
      <c r="U10939" s="1"/>
      <c r="V10939" s="1"/>
      <c r="W10939" s="1"/>
      <c r="X10939" s="1"/>
      <c r="Y10939" s="1"/>
      <c r="Z10939" s="1"/>
      <c r="AA10939" s="1"/>
      <c r="AB10939" s="1"/>
    </row>
    <row r="10940" ht="50.25" customHeight="1">
      <c r="A10940" s="12">
        <v>10936.0</v>
      </c>
      <c r="B10940" s="13" t="s">
        <v>10535</v>
      </c>
      <c r="C10940" s="18" t="s">
        <v>10968</v>
      </c>
      <c r="D10940" s="1"/>
      <c r="E10940" s="1"/>
      <c r="F10940" s="1" t="str">
        <f>IFERROR(__xludf.DUMMYFUNCTION("GOOGLETRANSLATE(B10940, ""en"", ""fa"")
"),"کپی رایتینگ II")</f>
        <v>کپی رایتینگ II</v>
      </c>
      <c r="G10940" s="1" t="str">
        <f>IFERROR(__xludf.DUMMYFUNCTION("GOOGLETRANSLATE(C10940, ""en"", ""fa"")
"),"چه تکنیک هایی برای گنجاندن داستان سرایی در ارائه ها و طرح های برند شما وجود دارد تا مخاطبان خود را مجذوب و متقاعد کنید؟")</f>
        <v>چه تکنیک هایی برای گنجاندن داستان سرایی در ارائه ها و طرح های برند شما وجود دارد تا مخاطبان خود را مجذوب و متقاعد کنید؟</v>
      </c>
      <c r="H10940" s="1"/>
      <c r="I10940" s="1"/>
      <c r="J10940" s="1"/>
      <c r="K10940" s="1"/>
      <c r="L10940" s="1"/>
      <c r="M10940" s="1"/>
      <c r="N10940" s="1"/>
      <c r="O10940" s="1"/>
      <c r="P10940" s="1"/>
      <c r="Q10940" s="1"/>
      <c r="R10940" s="1"/>
      <c r="S10940" s="1"/>
      <c r="T10940" s="1"/>
      <c r="U10940" s="1"/>
      <c r="V10940" s="1"/>
      <c r="W10940" s="1"/>
      <c r="X10940" s="1"/>
      <c r="Y10940" s="1"/>
      <c r="Z10940" s="1"/>
      <c r="AA10940" s="1"/>
      <c r="AB10940" s="1"/>
    </row>
    <row r="10941" ht="50.25" customHeight="1">
      <c r="A10941" s="12">
        <v>10937.0</v>
      </c>
      <c r="B10941" s="13" t="s">
        <v>10535</v>
      </c>
      <c r="C10941" s="18" t="s">
        <v>10969</v>
      </c>
      <c r="D10941" s="1"/>
      <c r="E10941" s="1"/>
      <c r="F10941" s="1" t="str">
        <f>IFERROR(__xludf.DUMMYFUNCTION("GOOGLETRANSLATE(B10941, ""en"", ""fa"")
"),"کپی رایتینگ II")</f>
        <v>کپی رایتینگ II</v>
      </c>
      <c r="G10941" s="1" t="str">
        <f>IFERROR(__xludf.DUMMYFUNCTION("GOOGLETRANSLATE(C10941, ""en"", ""fa"")
"),"چگونه از داستان سرایی برای برجسته کردن ویژگی ها و مزایای منحصر به فرد محصولات یا خدمات خود استفاده کنید و یک ارزش پیشنهادی قانع کننده ایجاد کنید؟")</f>
        <v>چگونه از داستان سرایی برای برجسته کردن ویژگی ها و مزایای منحصر به فرد محصولات یا خدمات خود استفاده کنید و یک ارزش پیشنهادی قانع کننده ایجاد کنید؟</v>
      </c>
      <c r="H10941" s="1"/>
      <c r="I10941" s="1"/>
      <c r="J10941" s="1"/>
      <c r="K10941" s="1"/>
      <c r="L10941" s="1"/>
      <c r="M10941" s="1"/>
      <c r="N10941" s="1"/>
      <c r="O10941" s="1"/>
      <c r="P10941" s="1"/>
      <c r="Q10941" s="1"/>
      <c r="R10941" s="1"/>
      <c r="S10941" s="1"/>
      <c r="T10941" s="1"/>
      <c r="U10941" s="1"/>
      <c r="V10941" s="1"/>
      <c r="W10941" s="1"/>
      <c r="X10941" s="1"/>
      <c r="Y10941" s="1"/>
      <c r="Z10941" s="1"/>
      <c r="AA10941" s="1"/>
      <c r="AB10941" s="1"/>
    </row>
    <row r="10942" ht="50.25" customHeight="1">
      <c r="A10942" s="12">
        <v>10938.0</v>
      </c>
      <c r="B10942" s="13" t="s">
        <v>10535</v>
      </c>
      <c r="C10942" s="18" t="s">
        <v>10970</v>
      </c>
      <c r="D10942" s="1"/>
      <c r="E10942" s="1"/>
      <c r="F10942" s="1" t="str">
        <f>IFERROR(__xludf.DUMMYFUNCTION("GOOGLETRANSLATE(B10942, ""en"", ""fa"")
"),"کپی رایتینگ II")</f>
        <v>کپی رایتینگ II</v>
      </c>
      <c r="G10942" s="1" t="str">
        <f>IFERROR(__xludf.DUMMYFUNCTION("GOOGLETRANSLATE(C10942, ""en"", ""fa"")
"),"در مورد اهمیت داستان سرایی در برندسازی کارفرما، جذب استعدادهای برتر با نشان دادن فرهنگ و ارزش های برند خود بحث کنید.")</f>
        <v>در مورد اهمیت داستان سرایی در برندسازی کارفرما، جذب استعدادهای برتر با نشان دادن فرهنگ و ارزش های برند خود بحث کنید.</v>
      </c>
      <c r="H10942" s="1"/>
      <c r="I10942" s="1"/>
      <c r="J10942" s="1"/>
      <c r="K10942" s="1"/>
      <c r="L10942" s="1"/>
      <c r="M10942" s="1"/>
      <c r="N10942" s="1"/>
      <c r="O10942" s="1"/>
      <c r="P10942" s="1"/>
      <c r="Q10942" s="1"/>
      <c r="R10942" s="1"/>
      <c r="S10942" s="1"/>
      <c r="T10942" s="1"/>
      <c r="U10942" s="1"/>
      <c r="V10942" s="1"/>
      <c r="W10942" s="1"/>
      <c r="X10942" s="1"/>
      <c r="Y10942" s="1"/>
      <c r="Z10942" s="1"/>
      <c r="AA10942" s="1"/>
      <c r="AB10942" s="1"/>
    </row>
    <row r="10943" ht="50.25" customHeight="1">
      <c r="A10943" s="12">
        <v>10939.0</v>
      </c>
      <c r="B10943" s="13" t="s">
        <v>10535</v>
      </c>
      <c r="C10943" s="18" t="s">
        <v>10971</v>
      </c>
      <c r="D10943" s="1"/>
      <c r="E10943" s="1"/>
      <c r="F10943" s="1" t="str">
        <f>IFERROR(__xludf.DUMMYFUNCTION("GOOGLETRANSLATE(B10943, ""en"", ""fa"")
"),"کپی رایتینگ II")</f>
        <v>کپی رایتینگ II</v>
      </c>
      <c r="G10943" s="1" t="str">
        <f>IFERROR(__xludf.DUMMYFUNCTION("GOOGLETRANSLATE(C10943, ""en"", ""fa"")
"),"چگونه یک روایت برند ایجاد کنید که با مخاطبان شما در زمینه‌های فرهنگی مختلف و جمعیت‌شناسی متنوع ارتباط برقرار کند.")</f>
        <v>چگونه یک روایت برند ایجاد کنید که با مخاطبان شما در زمینه‌های فرهنگی مختلف و جمعیت‌شناسی متنوع ارتباط برقرار کند.</v>
      </c>
      <c r="H10943" s="1"/>
      <c r="I10943" s="1"/>
      <c r="J10943" s="1"/>
      <c r="K10943" s="1"/>
      <c r="L10943" s="1"/>
      <c r="M10943" s="1"/>
      <c r="N10943" s="1"/>
      <c r="O10943" s="1"/>
      <c r="P10943" s="1"/>
      <c r="Q10943" s="1"/>
      <c r="R10943" s="1"/>
      <c r="S10943" s="1"/>
      <c r="T10943" s="1"/>
      <c r="U10943" s="1"/>
      <c r="V10943" s="1"/>
      <c r="W10943" s="1"/>
      <c r="X10943" s="1"/>
      <c r="Y10943" s="1"/>
      <c r="Z10943" s="1"/>
      <c r="AA10943" s="1"/>
      <c r="AB10943" s="1"/>
    </row>
    <row r="10944" ht="50.25" customHeight="1">
      <c r="A10944" s="12">
        <v>10940.0</v>
      </c>
      <c r="B10944" s="13" t="s">
        <v>10535</v>
      </c>
      <c r="C10944" s="18" t="s">
        <v>10972</v>
      </c>
      <c r="D10944" s="1"/>
      <c r="E10944" s="1"/>
      <c r="F10944" s="1" t="str">
        <f>IFERROR(__xludf.DUMMYFUNCTION("GOOGLETRANSLATE(B10944, ""en"", ""fa"")
"),"کپی رایتینگ II")</f>
        <v>کپی رایتینگ II</v>
      </c>
      <c r="G10944" s="1" t="str">
        <f>IFERROR(__xludf.DUMMYFUNCTION("GOOGLETRANSLATE(C10944, ""en"", ""fa"")
"),"استراتژی‌های مختلف برای داستان‌گویی در مشارکت‌های برند را بررسی کنید، از ارزش‌ها و روایت‌های مشترک برای ایجاد یک همکاری سودمند متقابل استفاده کنید.")</f>
        <v>استراتژی‌های مختلف برای داستان‌گویی در مشارکت‌های برند را بررسی کنید، از ارزش‌ها و روایت‌های مشترک برای ایجاد یک همکاری سودمند متقابل استفاده کنید.</v>
      </c>
      <c r="H10944" s="1"/>
      <c r="I10944" s="1"/>
      <c r="J10944" s="1"/>
      <c r="K10944" s="1"/>
      <c r="L10944" s="1"/>
      <c r="M10944" s="1"/>
      <c r="N10944" s="1"/>
      <c r="O10944" s="1"/>
      <c r="P10944" s="1"/>
      <c r="Q10944" s="1"/>
      <c r="R10944" s="1"/>
      <c r="S10944" s="1"/>
      <c r="T10944" s="1"/>
      <c r="U10944" s="1"/>
      <c r="V10944" s="1"/>
      <c r="W10944" s="1"/>
      <c r="X10944" s="1"/>
      <c r="Y10944" s="1"/>
      <c r="Z10944" s="1"/>
      <c r="AA10944" s="1"/>
      <c r="AB10944" s="1"/>
    </row>
    <row r="10945" ht="50.25" customHeight="1">
      <c r="A10945" s="12">
        <v>10941.0</v>
      </c>
      <c r="B10945" s="13" t="s">
        <v>10535</v>
      </c>
      <c r="C10945" s="18" t="s">
        <v>10973</v>
      </c>
      <c r="D10945" s="1"/>
      <c r="E10945" s="1"/>
      <c r="F10945" s="1" t="str">
        <f>IFERROR(__xludf.DUMMYFUNCTION("GOOGLETRANSLATE(B10945, ""en"", ""fa"")
"),"کپی رایتینگ II")</f>
        <v>کپی رایتینگ II</v>
      </c>
      <c r="G10945" s="1" t="str">
        <f>IFERROR(__xludf.DUMMYFUNCTION("GOOGLETRANSLATE(C10945, ""en"", ""fa"")
"),"بهترین شیوه ها برای استفاده از داستان سرایی در توصیفات مشتری و مطالعات موردی برند شما برای نمایش داستان های موفقیت در زندگی واقعی چیست؟")</f>
        <v>بهترین شیوه ها برای استفاده از داستان سرایی در توصیفات مشتری و مطالعات موردی برند شما برای نمایش داستان های موفقیت در زندگی واقعی چیست؟</v>
      </c>
      <c r="H10945" s="1"/>
      <c r="I10945" s="1"/>
      <c r="J10945" s="1"/>
      <c r="K10945" s="1"/>
      <c r="L10945" s="1"/>
      <c r="M10945" s="1"/>
      <c r="N10945" s="1"/>
      <c r="O10945" s="1"/>
      <c r="P10945" s="1"/>
      <c r="Q10945" s="1"/>
      <c r="R10945" s="1"/>
      <c r="S10945" s="1"/>
      <c r="T10945" s="1"/>
      <c r="U10945" s="1"/>
      <c r="V10945" s="1"/>
      <c r="W10945" s="1"/>
      <c r="X10945" s="1"/>
      <c r="Y10945" s="1"/>
      <c r="Z10945" s="1"/>
      <c r="AA10945" s="1"/>
      <c r="AB10945" s="1"/>
    </row>
    <row r="10946" ht="50.25" customHeight="1">
      <c r="A10946" s="12">
        <v>10942.0</v>
      </c>
      <c r="B10946" s="13" t="s">
        <v>10535</v>
      </c>
      <c r="C10946" s="18" t="s">
        <v>10974</v>
      </c>
      <c r="D10946" s="1"/>
      <c r="E10946" s="1"/>
      <c r="F10946" s="1" t="str">
        <f>IFERROR(__xludf.DUMMYFUNCTION("GOOGLETRANSLATE(B10946, ""en"", ""fa"")
"),"کپی رایتینگ II")</f>
        <v>کپی رایتینگ II</v>
      </c>
      <c r="G10946" s="1" t="str">
        <f>IFERROR(__xludf.DUMMYFUNCTION("GOOGLETRANSLATE(C10946, ""en"", ""fa"")
"),"چگونه می توان از داستان سرایی در تلاش های روابط عمومی برند خود استفاده کرد، روایت هایی ایجاد کرد که با رسانه ها طنین انداز می شود و پوشش مثبت ایجاد می کند.")</f>
        <v>چگونه می توان از داستان سرایی در تلاش های روابط عمومی برند خود استفاده کرد، روایت هایی ایجاد کرد که با رسانه ها طنین انداز می شود و پوشش مثبت ایجاد می کند.</v>
      </c>
      <c r="H10946" s="1"/>
      <c r="I10946" s="1"/>
      <c r="J10946" s="1"/>
      <c r="K10946" s="1"/>
      <c r="L10946" s="1"/>
      <c r="M10946" s="1"/>
      <c r="N10946" s="1"/>
      <c r="O10946" s="1"/>
      <c r="P10946" s="1"/>
      <c r="Q10946" s="1"/>
      <c r="R10946" s="1"/>
      <c r="S10946" s="1"/>
      <c r="T10946" s="1"/>
      <c r="U10946" s="1"/>
      <c r="V10946" s="1"/>
      <c r="W10946" s="1"/>
      <c r="X10946" s="1"/>
      <c r="Y10946" s="1"/>
      <c r="Z10946" s="1"/>
      <c r="AA10946" s="1"/>
      <c r="AB10946" s="1"/>
    </row>
    <row r="10947" ht="50.25" customHeight="1">
      <c r="A10947" s="12">
        <v>10943.0</v>
      </c>
      <c r="B10947" s="13" t="s">
        <v>10535</v>
      </c>
      <c r="C10947" s="18" t="s">
        <v>10975</v>
      </c>
      <c r="D10947" s="1"/>
      <c r="E10947" s="1"/>
      <c r="F10947" s="1" t="str">
        <f>IFERROR(__xludf.DUMMYFUNCTION("GOOGLETRANSLATE(B10947, ""en"", ""fa"")
"),"کپی رایتینگ II")</f>
        <v>کپی رایتینگ II</v>
      </c>
      <c r="G10947" s="1" t="str">
        <f>IFERROR(__xludf.DUMMYFUNCTION("GOOGLETRANSLATE(C10947, ""en"", ""fa"")
"),"در مورد نقش داستان سرایی بصری از طریق اینفوگرافیک، تصویرسازی یا عکاسی در تقویت روایت برند خود بحث کنید.")</f>
        <v>در مورد نقش داستان سرایی بصری از طریق اینفوگرافیک، تصویرسازی یا عکاسی در تقویت روایت برند خود بحث کنید.</v>
      </c>
      <c r="H10947" s="1"/>
      <c r="I10947" s="1"/>
      <c r="J10947" s="1"/>
      <c r="K10947" s="1"/>
      <c r="L10947" s="1"/>
      <c r="M10947" s="1"/>
      <c r="N10947" s="1"/>
      <c r="O10947" s="1"/>
      <c r="P10947" s="1"/>
      <c r="Q10947" s="1"/>
      <c r="R10947" s="1"/>
      <c r="S10947" s="1"/>
      <c r="T10947" s="1"/>
      <c r="U10947" s="1"/>
      <c r="V10947" s="1"/>
      <c r="W10947" s="1"/>
      <c r="X10947" s="1"/>
      <c r="Y10947" s="1"/>
      <c r="Z10947" s="1"/>
      <c r="AA10947" s="1"/>
      <c r="AB10947" s="1"/>
    </row>
    <row r="10948" ht="50.25" customHeight="1">
      <c r="A10948" s="12">
        <v>10944.0</v>
      </c>
      <c r="B10948" s="13" t="s">
        <v>10535</v>
      </c>
      <c r="C10948" s="18" t="s">
        <v>10976</v>
      </c>
      <c r="D10948" s="1"/>
      <c r="E10948" s="1"/>
      <c r="F10948" s="1" t="str">
        <f>IFERROR(__xludf.DUMMYFUNCTION("GOOGLETRANSLATE(B10948, ""en"", ""fa"")
"),"کپی رایتینگ II")</f>
        <v>کپی رایتینگ II</v>
      </c>
      <c r="G10948" s="1" t="str">
        <f>IFERROR(__xludf.DUMMYFUNCTION("GOOGLETRANSLATE(C10948, ""en"", ""fa"")
"),"چگونه از داستان سرایی در بازخوردها و نظرات مشتریان برند خود برای نشان دادن تعهد برند خود به رضایت مشتری استفاده کنید.")</f>
        <v>چگونه از داستان سرایی در بازخوردها و نظرات مشتریان برند خود برای نشان دادن تعهد برند خود به رضایت مشتری استفاده کنید.</v>
      </c>
      <c r="H10948" s="1"/>
      <c r="I10948" s="1"/>
      <c r="J10948" s="1"/>
      <c r="K10948" s="1"/>
      <c r="L10948" s="1"/>
      <c r="M10948" s="1"/>
      <c r="N10948" s="1"/>
      <c r="O10948" s="1"/>
      <c r="P10948" s="1"/>
      <c r="Q10948" s="1"/>
      <c r="R10948" s="1"/>
      <c r="S10948" s="1"/>
      <c r="T10948" s="1"/>
      <c r="U10948" s="1"/>
      <c r="V10948" s="1"/>
      <c r="W10948" s="1"/>
      <c r="X10948" s="1"/>
      <c r="Y10948" s="1"/>
      <c r="Z10948" s="1"/>
      <c r="AA10948" s="1"/>
      <c r="AB10948" s="1"/>
    </row>
    <row r="10949" ht="50.25" customHeight="1">
      <c r="A10949" s="12">
        <v>10945.0</v>
      </c>
      <c r="B10949" s="13" t="s">
        <v>10535</v>
      </c>
      <c r="C10949" s="18" t="s">
        <v>10977</v>
      </c>
      <c r="D10949" s="1"/>
      <c r="E10949" s="1"/>
      <c r="F10949" s="1" t="str">
        <f>IFERROR(__xludf.DUMMYFUNCTION("GOOGLETRANSLATE(B10949, ""en"", ""fa"")
"),"کپی رایتینگ II")</f>
        <v>کپی رایتینگ II</v>
      </c>
      <c r="G10949" s="1" t="str">
        <f>IFERROR(__xludf.DUMMYFUNCTION("GOOGLETRANSLATE(C10949, ""en"", ""fa"")
"),"روش‌های مختلف داستان‌گویی را در تجربه‌های رویداد برند خود کاوش کنید، و روایت‌های همه‌جانبه‌ای ایجاد کنید که تأثیری ماندگار بر جای می‌گذارند.")</f>
        <v>روش‌های مختلف داستان‌گویی را در تجربه‌های رویداد برند خود کاوش کنید، و روایت‌های همه‌جانبه‌ای ایجاد کنید که تأثیری ماندگار بر جای می‌گذارند.</v>
      </c>
      <c r="H10949" s="1"/>
      <c r="I10949" s="1"/>
      <c r="J10949" s="1"/>
      <c r="K10949" s="1"/>
      <c r="L10949" s="1"/>
      <c r="M10949" s="1"/>
      <c r="N10949" s="1"/>
      <c r="O10949" s="1"/>
      <c r="P10949" s="1"/>
      <c r="Q10949" s="1"/>
      <c r="R10949" s="1"/>
      <c r="S10949" s="1"/>
      <c r="T10949" s="1"/>
      <c r="U10949" s="1"/>
      <c r="V10949" s="1"/>
      <c r="W10949" s="1"/>
      <c r="X10949" s="1"/>
      <c r="Y10949" s="1"/>
      <c r="Z10949" s="1"/>
      <c r="AA10949" s="1"/>
      <c r="AB10949" s="1"/>
    </row>
    <row r="10950" ht="50.25" customHeight="1">
      <c r="A10950" s="12">
        <v>10946.0</v>
      </c>
      <c r="B10950" s="13" t="s">
        <v>10535</v>
      </c>
      <c r="C10950" s="18" t="s">
        <v>10978</v>
      </c>
      <c r="D10950" s="1"/>
      <c r="E10950" s="1"/>
      <c r="F10950" s="1" t="str">
        <f>IFERROR(__xludf.DUMMYFUNCTION("GOOGLETRANSLATE(B10950, ""en"", ""fa"")
"),"کپی رایتینگ II")</f>
        <v>کپی رایتینگ II</v>
      </c>
      <c r="G10950" s="1" t="str">
        <f>IFERROR(__xludf.DUMMYFUNCTION("GOOGLETRANSLATE(C10950, ""en"", ""fa"")
"),"تکنیک هایی برای گنجاندن داستان سرایی در ابتکارات مسئولیت اجتماعی برند شما، که الهام بخش تغییرات مثبت در جهان است، چیست؟")</f>
        <v>تکنیک هایی برای گنجاندن داستان سرایی در ابتکارات مسئولیت اجتماعی برند شما، که الهام بخش تغییرات مثبت در جهان است، چیست؟</v>
      </c>
      <c r="H10950" s="1"/>
      <c r="I10950" s="1"/>
      <c r="J10950" s="1"/>
      <c r="K10950" s="1"/>
      <c r="L10950" s="1"/>
      <c r="M10950" s="1"/>
      <c r="N10950" s="1"/>
      <c r="O10950" s="1"/>
      <c r="P10950" s="1"/>
      <c r="Q10950" s="1"/>
      <c r="R10950" s="1"/>
      <c r="S10950" s="1"/>
      <c r="T10950" s="1"/>
      <c r="U10950" s="1"/>
      <c r="V10950" s="1"/>
      <c r="W10950" s="1"/>
      <c r="X10950" s="1"/>
      <c r="Y10950" s="1"/>
      <c r="Z10950" s="1"/>
      <c r="AA10950" s="1"/>
      <c r="AB10950" s="1"/>
    </row>
    <row r="10951" ht="50.25" customHeight="1">
      <c r="A10951" s="12">
        <v>10947.0</v>
      </c>
      <c r="B10951" s="13" t="s">
        <v>10535</v>
      </c>
      <c r="C10951" s="18" t="s">
        <v>10979</v>
      </c>
      <c r="D10951" s="1"/>
      <c r="E10951" s="1"/>
      <c r="F10951" s="1" t="str">
        <f>IFERROR(__xludf.DUMMYFUNCTION("GOOGLETRANSLATE(B10951, ""en"", ""fa"")
"),"کپی رایتینگ II")</f>
        <v>کپی رایتینگ II</v>
      </c>
      <c r="G10951" s="1" t="str">
        <f>IFERROR(__xludf.DUMMYFUNCTION("GOOGLETRANSLATE(C10951, ""en"", ""fa"")
"),"چگونه یک داستان برند بسازیم که به طور موثر USP (پیشنهاد فروش منحصر به فرد) برند شما را به اشتراک بگذارد و شما را از رقبا متمایز کند؟")</f>
        <v>چگونه یک داستان برند بسازیم که به طور موثر USP (پیشنهاد فروش منحصر به فرد) برند شما را به اشتراک بگذارد و شما را از رقبا متمایز کند؟</v>
      </c>
      <c r="H10951" s="1"/>
      <c r="I10951" s="1"/>
      <c r="J10951" s="1"/>
      <c r="K10951" s="1"/>
      <c r="L10951" s="1"/>
      <c r="M10951" s="1"/>
      <c r="N10951" s="1"/>
      <c r="O10951" s="1"/>
      <c r="P10951" s="1"/>
      <c r="Q10951" s="1"/>
      <c r="R10951" s="1"/>
      <c r="S10951" s="1"/>
      <c r="T10951" s="1"/>
      <c r="U10951" s="1"/>
      <c r="V10951" s="1"/>
      <c r="W10951" s="1"/>
      <c r="X10951" s="1"/>
      <c r="Y10951" s="1"/>
      <c r="Z10951" s="1"/>
      <c r="AA10951" s="1"/>
      <c r="AB10951" s="1"/>
    </row>
    <row r="10952" ht="50.25" customHeight="1">
      <c r="A10952" s="12">
        <v>10948.0</v>
      </c>
      <c r="B10952" s="13" t="s">
        <v>10535</v>
      </c>
      <c r="C10952" s="18" t="s">
        <v>10980</v>
      </c>
      <c r="D10952" s="1"/>
      <c r="E10952" s="1"/>
      <c r="F10952" s="1" t="str">
        <f>IFERROR(__xludf.DUMMYFUNCTION("GOOGLETRANSLATE(B10952, ""en"", ""fa"")
"),"کپی رایتینگ II")</f>
        <v>کپی رایتینگ II</v>
      </c>
      <c r="G10952" s="1" t="str">
        <f>IFERROR(__xludf.DUMMYFUNCTION("GOOGLETRANSLATE(C10952, ""en"", ""fa"")
"),"در مورد اهمیت ثبات و انسجام در داستان سرایی برند بحث کنید و اطمینان حاصل کنید که تمام نقاط تماس با روایت برند شما همسو هستند.")</f>
        <v>در مورد اهمیت ثبات و انسجام در داستان سرایی برند بحث کنید و اطمینان حاصل کنید که تمام نقاط تماس با روایت برند شما همسو هستند.</v>
      </c>
      <c r="H10952" s="1"/>
      <c r="I10952" s="1"/>
      <c r="J10952" s="1"/>
      <c r="K10952" s="1"/>
      <c r="L10952" s="1"/>
      <c r="M10952" s="1"/>
      <c r="N10952" s="1"/>
      <c r="O10952" s="1"/>
      <c r="P10952" s="1"/>
      <c r="Q10952" s="1"/>
      <c r="R10952" s="1"/>
      <c r="S10952" s="1"/>
      <c r="T10952" s="1"/>
      <c r="U10952" s="1"/>
      <c r="V10952" s="1"/>
      <c r="W10952" s="1"/>
      <c r="X10952" s="1"/>
      <c r="Y10952" s="1"/>
      <c r="Z10952" s="1"/>
      <c r="AA10952" s="1"/>
      <c r="AB10952" s="1"/>
    </row>
    <row r="10953" ht="50.25" customHeight="1">
      <c r="A10953" s="12">
        <v>10949.0</v>
      </c>
      <c r="B10953" s="13" t="s">
        <v>10535</v>
      </c>
      <c r="C10953" s="18" t="s">
        <v>10981</v>
      </c>
      <c r="D10953" s="1"/>
      <c r="E10953" s="1"/>
      <c r="F10953" s="1" t="str">
        <f>IFERROR(__xludf.DUMMYFUNCTION("GOOGLETRANSLATE(B10953, ""en"", ""fa"")
"),"کپی رایتینگ II")</f>
        <v>کپی رایتینگ II</v>
      </c>
      <c r="G10953" s="1" t="str">
        <f>IFERROR(__xludf.DUMMYFUNCTION("GOOGLETRANSLATE(C10953, ""en"", ""fa"")
"),"چگونه از داستان سرایی در برنامه های وفاداری مشتری برند خود استفاده کنید و ارتباط عاطفی بین برند شما و مشتریان را تقویت کنید.")</f>
        <v>چگونه از داستان سرایی در برنامه های وفاداری مشتری برند خود استفاده کنید و ارتباط عاطفی بین برند شما و مشتریان را تقویت کنید.</v>
      </c>
      <c r="H10953" s="1"/>
      <c r="I10953" s="1"/>
      <c r="J10953" s="1"/>
      <c r="K10953" s="1"/>
      <c r="L10953" s="1"/>
      <c r="M10953" s="1"/>
      <c r="N10953" s="1"/>
      <c r="O10953" s="1"/>
      <c r="P10953" s="1"/>
      <c r="Q10953" s="1"/>
      <c r="R10953" s="1"/>
      <c r="S10953" s="1"/>
      <c r="T10953" s="1"/>
      <c r="U10953" s="1"/>
      <c r="V10953" s="1"/>
      <c r="W10953" s="1"/>
      <c r="X10953" s="1"/>
      <c r="Y10953" s="1"/>
      <c r="Z10953" s="1"/>
      <c r="AA10953" s="1"/>
      <c r="AB10953" s="1"/>
    </row>
    <row r="10954" ht="50.25" customHeight="1">
      <c r="A10954" s="12">
        <v>10950.0</v>
      </c>
      <c r="B10954" s="13" t="s">
        <v>10535</v>
      </c>
      <c r="C10954" s="18" t="s">
        <v>10982</v>
      </c>
      <c r="D10954" s="1"/>
      <c r="E10954" s="1"/>
      <c r="F10954" s="1" t="str">
        <f>IFERROR(__xludf.DUMMYFUNCTION("GOOGLETRANSLATE(B10954, ""en"", ""fa"")
"),"کپی رایتینگ II")</f>
        <v>کپی رایتینگ II</v>
      </c>
      <c r="G10954" s="1" t="str">
        <f>IFERROR(__xludf.DUMMYFUNCTION("GOOGLETRANSLATE(C10954, ""en"", ""fa"")
"),"استراتژی های مختلف برای داستان سرایی را از طریق کمپین های محتوای تولید شده توسط کاربر بررسی کنید و از داستان های مخاطبان خود برای تبلیغ برند خود استفاده کنید.")</f>
        <v>استراتژی های مختلف برای داستان سرایی را از طریق کمپین های محتوای تولید شده توسط کاربر بررسی کنید و از داستان های مخاطبان خود برای تبلیغ برند خود استفاده کنید.</v>
      </c>
      <c r="H10954" s="1"/>
      <c r="I10954" s="1"/>
      <c r="J10954" s="1"/>
      <c r="K10954" s="1"/>
      <c r="L10954" s="1"/>
      <c r="M10954" s="1"/>
      <c r="N10954" s="1"/>
      <c r="O10954" s="1"/>
      <c r="P10954" s="1"/>
      <c r="Q10954" s="1"/>
      <c r="R10954" s="1"/>
      <c r="S10954" s="1"/>
      <c r="T10954" s="1"/>
      <c r="U10954" s="1"/>
      <c r="V10954" s="1"/>
      <c r="W10954" s="1"/>
      <c r="X10954" s="1"/>
      <c r="Y10954" s="1"/>
      <c r="Z10954" s="1"/>
      <c r="AA10954" s="1"/>
      <c r="AB10954" s="1"/>
    </row>
    <row r="10955" ht="50.25" customHeight="1">
      <c r="A10955" s="12">
        <v>10951.0</v>
      </c>
      <c r="B10955" s="13" t="s">
        <v>10535</v>
      </c>
      <c r="C10955" s="18" t="s">
        <v>10983</v>
      </c>
      <c r="D10955" s="1"/>
      <c r="E10955" s="1"/>
      <c r="F10955" s="1" t="str">
        <f>IFERROR(__xludf.DUMMYFUNCTION("GOOGLETRANSLATE(B10955, ""en"", ""fa"")
"),"کپی رایتینگ II")</f>
        <v>کپی رایتینگ II</v>
      </c>
      <c r="G10955" s="1" t="str">
        <f>IFERROR(__xludf.DUMMYFUNCTION("GOOGLETRANSLATE(C10955, ""en"", ""fa"")
"),"بهترین شیوه ها برای استفاده از داستان سرایی در گزارش های سالانه برند شما و ارتباطات شرکتی برای تعامل با سهامداران چیست؟")</f>
        <v>بهترین شیوه ها برای استفاده از داستان سرایی در گزارش های سالانه برند شما و ارتباطات شرکتی برای تعامل با سهامداران چیست؟</v>
      </c>
      <c r="H10955" s="1"/>
      <c r="I10955" s="1"/>
      <c r="J10955" s="1"/>
      <c r="K10955" s="1"/>
      <c r="L10955" s="1"/>
      <c r="M10955" s="1"/>
      <c r="N10955" s="1"/>
      <c r="O10955" s="1"/>
      <c r="P10955" s="1"/>
      <c r="Q10955" s="1"/>
      <c r="R10955" s="1"/>
      <c r="S10955" s="1"/>
      <c r="T10955" s="1"/>
      <c r="U10955" s="1"/>
      <c r="V10955" s="1"/>
      <c r="W10955" s="1"/>
      <c r="X10955" s="1"/>
      <c r="Y10955" s="1"/>
      <c r="Z10955" s="1"/>
      <c r="AA10955" s="1"/>
      <c r="AB10955" s="1"/>
    </row>
    <row r="10956" ht="50.25" customHeight="1">
      <c r="A10956" s="12">
        <v>10952.0</v>
      </c>
      <c r="B10956" s="13" t="s">
        <v>10535</v>
      </c>
      <c r="C10956" s="18" t="s">
        <v>10984</v>
      </c>
      <c r="D10956" s="1"/>
      <c r="E10956" s="1"/>
      <c r="F10956" s="1" t="str">
        <f>IFERROR(__xludf.DUMMYFUNCTION("GOOGLETRANSLATE(B10956, ""en"", ""fa"")
"),"کپی رایتینگ II")</f>
        <v>کپی رایتینگ II</v>
      </c>
      <c r="G10956" s="1" t="str">
        <f>IFERROR(__xludf.DUMMYFUNCTION("GOOGLETRANSLATE(C10956, ""en"", ""fa"")
"),"چگونه عناصر داستان سرایی را در کپی بسته بندی برند خود بگنجانید و روایتی را ایجاد کنید که تجربه جعبه گشایی را افزایش می دهد.")</f>
        <v>چگونه عناصر داستان سرایی را در کپی بسته بندی برند خود بگنجانید و روایتی را ایجاد کنید که تجربه جعبه گشایی را افزایش می دهد.</v>
      </c>
      <c r="H10956" s="1"/>
      <c r="I10956" s="1"/>
      <c r="J10956" s="1"/>
      <c r="K10956" s="1"/>
      <c r="L10956" s="1"/>
      <c r="M10956" s="1"/>
      <c r="N10956" s="1"/>
      <c r="O10956" s="1"/>
      <c r="P10956" s="1"/>
      <c r="Q10956" s="1"/>
      <c r="R10956" s="1"/>
      <c r="S10956" s="1"/>
      <c r="T10956" s="1"/>
      <c r="U10956" s="1"/>
      <c r="V10956" s="1"/>
      <c r="W10956" s="1"/>
      <c r="X10956" s="1"/>
      <c r="Y10956" s="1"/>
      <c r="Z10956" s="1"/>
      <c r="AA10956" s="1"/>
      <c r="AB10956" s="1"/>
    </row>
    <row r="10957" ht="50.25" customHeight="1">
      <c r="A10957" s="12">
        <v>10953.0</v>
      </c>
      <c r="B10957" s="13" t="s">
        <v>10535</v>
      </c>
      <c r="C10957" s="18" t="s">
        <v>10985</v>
      </c>
      <c r="D10957" s="1"/>
      <c r="E10957" s="1"/>
      <c r="F10957" s="1" t="str">
        <f>IFERROR(__xludf.DUMMYFUNCTION("GOOGLETRANSLATE(B10957, ""en"", ""fa"")
"),"کپی رایتینگ II")</f>
        <v>کپی رایتینگ II</v>
      </c>
      <c r="G10957" s="1" t="str">
        <f>IFERROR(__xludf.DUMMYFUNCTION("GOOGLETRANSLATE(C10957, ""en"", ""fa"")
"),"درباره نقش داستان سرایی برند در عرضه محصول، ایجاد انتظار و هیجان در مورد پیشنهادات جدید خود بحث کنید.")</f>
        <v>درباره نقش داستان سرایی برند در عرضه محصول، ایجاد انتظار و هیجان در مورد پیشنهادات جدید خود بحث کنید.</v>
      </c>
      <c r="H10957" s="1"/>
      <c r="I10957" s="1"/>
      <c r="J10957" s="1"/>
      <c r="K10957" s="1"/>
      <c r="L10957" s="1"/>
      <c r="M10957" s="1"/>
      <c r="N10957" s="1"/>
      <c r="O10957" s="1"/>
      <c r="P10957" s="1"/>
      <c r="Q10957" s="1"/>
      <c r="R10957" s="1"/>
      <c r="S10957" s="1"/>
      <c r="T10957" s="1"/>
      <c r="U10957" s="1"/>
      <c r="V10957" s="1"/>
      <c r="W10957" s="1"/>
      <c r="X10957" s="1"/>
      <c r="Y10957" s="1"/>
      <c r="Z10957" s="1"/>
      <c r="AA10957" s="1"/>
      <c r="AB10957" s="1"/>
    </row>
    <row r="10958" ht="50.25" customHeight="1">
      <c r="A10958" s="12">
        <v>10954.0</v>
      </c>
      <c r="B10958" s="13" t="s">
        <v>10535</v>
      </c>
      <c r="C10958" s="18" t="s">
        <v>10986</v>
      </c>
      <c r="D10958" s="1"/>
      <c r="E10958" s="1"/>
      <c r="F10958" s="1" t="str">
        <f>IFERROR(__xludf.DUMMYFUNCTION("GOOGLETRANSLATE(B10958, ""en"", ""fa"")
"),"کپی رایتینگ II")</f>
        <v>کپی رایتینگ II</v>
      </c>
      <c r="G10958" s="1" t="str">
        <f>IFERROR(__xludf.DUMMYFUNCTION("GOOGLETRANSLATE(C10958, ""en"", ""fa"")
"),"چگونه می توان از داستان سرایی برای انتقال ارزش ها و تعهد برند خود به تنوع، ارزش ویژه و ابتکارات (DEI) استفاده کرد.")</f>
        <v>چگونه می توان از داستان سرایی برای انتقال ارزش ها و تعهد برند خود به تنوع، ارزش ویژه و ابتکارات (DEI) استفاده کرد.</v>
      </c>
      <c r="H10958" s="1"/>
      <c r="I10958" s="1"/>
      <c r="J10958" s="1"/>
      <c r="K10958" s="1"/>
      <c r="L10958" s="1"/>
      <c r="M10958" s="1"/>
      <c r="N10958" s="1"/>
      <c r="O10958" s="1"/>
      <c r="P10958" s="1"/>
      <c r="Q10958" s="1"/>
      <c r="R10958" s="1"/>
      <c r="S10958" s="1"/>
      <c r="T10958" s="1"/>
      <c r="U10958" s="1"/>
      <c r="V10958" s="1"/>
      <c r="W10958" s="1"/>
      <c r="X10958" s="1"/>
      <c r="Y10958" s="1"/>
      <c r="Z10958" s="1"/>
      <c r="AA10958" s="1"/>
      <c r="AB10958" s="1"/>
    </row>
    <row r="10959" ht="50.25" customHeight="1">
      <c r="A10959" s="12">
        <v>10955.0</v>
      </c>
      <c r="B10959" s="13" t="s">
        <v>10535</v>
      </c>
      <c r="C10959" s="18" t="s">
        <v>10987</v>
      </c>
      <c r="D10959" s="1"/>
      <c r="E10959" s="1"/>
      <c r="F10959" s="1" t="str">
        <f>IFERROR(__xludf.DUMMYFUNCTION("GOOGLETRANSLATE(B10959, ""en"", ""fa"")
"),"کپی رایتینگ II")</f>
        <v>کپی رایتینگ II</v>
      </c>
      <c r="G10959" s="1" t="str">
        <f>IFERROR(__xludf.DUMMYFUNCTION("GOOGLETRANSLATE(C10959, ""en"", ""fa"")
"),"روش های مختلف برای گنجاندن داستان سرایی در برنامه های ارجاع مشتری برند خود را بررسی کنید و مشتریان را به حامیان برند تبدیل کنید.")</f>
        <v>روش های مختلف برای گنجاندن داستان سرایی در برنامه های ارجاع مشتری برند خود را بررسی کنید و مشتریان را به حامیان برند تبدیل کنید.</v>
      </c>
      <c r="H10959" s="1"/>
      <c r="I10959" s="1"/>
      <c r="J10959" s="1"/>
      <c r="K10959" s="1"/>
      <c r="L10959" s="1"/>
      <c r="M10959" s="1"/>
      <c r="N10959" s="1"/>
      <c r="O10959" s="1"/>
      <c r="P10959" s="1"/>
      <c r="Q10959" s="1"/>
      <c r="R10959" s="1"/>
      <c r="S10959" s="1"/>
      <c r="T10959" s="1"/>
      <c r="U10959" s="1"/>
      <c r="V10959" s="1"/>
      <c r="W10959" s="1"/>
      <c r="X10959" s="1"/>
      <c r="Y10959" s="1"/>
      <c r="Z10959" s="1"/>
      <c r="AA10959" s="1"/>
      <c r="AB10959" s="1"/>
    </row>
    <row r="10960" ht="50.25" customHeight="1">
      <c r="A10960" s="12">
        <v>10956.0</v>
      </c>
      <c r="B10960" s="13" t="s">
        <v>10535</v>
      </c>
      <c r="C10960" s="18" t="s">
        <v>10988</v>
      </c>
      <c r="D10960" s="1"/>
      <c r="E10960" s="1"/>
      <c r="F10960" s="1" t="str">
        <f>IFERROR(__xludf.DUMMYFUNCTION("GOOGLETRANSLATE(B10960, ""en"", ""fa"")
"),"کپی رایتینگ II")</f>
        <v>کپی رایتینگ II</v>
      </c>
      <c r="G10960" s="1" t="str">
        <f>IFERROR(__xludf.DUMMYFUNCTION("GOOGLETRANSLATE(C10960, ""en"", ""fa"")
"),"تکنیک های استفاده از داستان سرایی در ارتباطات بحران برند شما برای عبور از موقعیت های چالش برانگیز با شفافیت و همدلی چیست؟")</f>
        <v>تکنیک های استفاده از داستان سرایی در ارتباطات بحران برند شما برای عبور از موقعیت های چالش برانگیز با شفافیت و همدلی چیست؟</v>
      </c>
      <c r="H10960" s="1"/>
      <c r="I10960" s="1"/>
      <c r="J10960" s="1"/>
      <c r="K10960" s="1"/>
      <c r="L10960" s="1"/>
      <c r="M10960" s="1"/>
      <c r="N10960" s="1"/>
      <c r="O10960" s="1"/>
      <c r="P10960" s="1"/>
      <c r="Q10960" s="1"/>
      <c r="R10960" s="1"/>
      <c r="S10960" s="1"/>
      <c r="T10960" s="1"/>
      <c r="U10960" s="1"/>
      <c r="V10960" s="1"/>
      <c r="W10960" s="1"/>
      <c r="X10960" s="1"/>
      <c r="Y10960" s="1"/>
      <c r="Z10960" s="1"/>
      <c r="AA10960" s="1"/>
      <c r="AB10960" s="1"/>
    </row>
    <row r="10961" ht="50.25" customHeight="1">
      <c r="A10961" s="12">
        <v>10957.0</v>
      </c>
      <c r="B10961" s="13" t="s">
        <v>10535</v>
      </c>
      <c r="C10961" s="18" t="s">
        <v>10989</v>
      </c>
      <c r="D10961" s="1"/>
      <c r="E10961" s="1"/>
      <c r="F10961" s="1" t="str">
        <f>IFERROR(__xludf.DUMMYFUNCTION("GOOGLETRANSLATE(B10961, ""en"", ""fa"")
"),"کپی رایتینگ II")</f>
        <v>کپی رایتینگ II</v>
      </c>
      <c r="G10961" s="1" t="str">
        <f>IFERROR(__xludf.DUMMYFUNCTION("GOOGLETRANSLATE(C10961, ""en"", ""fa"")
"),"چگونه یک داستان برند بسازیم که تکامل یافته و با روندهای تغییر بازار و ترجیحات مشتری سازگار شود.")</f>
        <v>چگونه یک داستان برند بسازیم که تکامل یافته و با روندهای تغییر بازار و ترجیحات مشتری سازگار شود.</v>
      </c>
      <c r="H10961" s="1"/>
      <c r="I10961" s="1"/>
      <c r="J10961" s="1"/>
      <c r="K10961" s="1"/>
      <c r="L10961" s="1"/>
      <c r="M10961" s="1"/>
      <c r="N10961" s="1"/>
      <c r="O10961" s="1"/>
      <c r="P10961" s="1"/>
      <c r="Q10961" s="1"/>
      <c r="R10961" s="1"/>
      <c r="S10961" s="1"/>
      <c r="T10961" s="1"/>
      <c r="U10961" s="1"/>
      <c r="V10961" s="1"/>
      <c r="W10961" s="1"/>
      <c r="X10961" s="1"/>
      <c r="Y10961" s="1"/>
      <c r="Z10961" s="1"/>
      <c r="AA10961" s="1"/>
      <c r="AB10961" s="1"/>
    </row>
    <row r="10962" ht="50.25" customHeight="1">
      <c r="A10962" s="12">
        <v>10958.0</v>
      </c>
      <c r="B10962" s="13" t="s">
        <v>10535</v>
      </c>
      <c r="C10962" s="18" t="s">
        <v>10990</v>
      </c>
      <c r="D10962" s="1"/>
      <c r="E10962" s="1"/>
      <c r="F10962" s="1" t="str">
        <f>IFERROR(__xludf.DUMMYFUNCTION("GOOGLETRANSLATE(B10962, ""en"", ""fa"")
"),"کپی رایتینگ II")</f>
        <v>کپی رایتینگ II</v>
      </c>
      <c r="G10962" s="1" t="str">
        <f>IFERROR(__xludf.DUMMYFUNCTION("GOOGLETRANSLATE(C10962, ""en"", ""fa"")
"),"در مورد اهمیت داستان سرایی در استراتژی بازاریابی محتوای برند خود بحث کنید، و روایت هایی ایجاد کنید که آموزش، الهام بخشیدن و سرگرم کننده باشد.")</f>
        <v>در مورد اهمیت داستان سرایی در استراتژی بازاریابی محتوای برند خود بحث کنید، و روایت هایی ایجاد کنید که آموزش، الهام بخشیدن و سرگرم کننده باشد.</v>
      </c>
      <c r="H10962" s="1"/>
      <c r="I10962" s="1"/>
      <c r="J10962" s="1"/>
      <c r="K10962" s="1"/>
      <c r="L10962" s="1"/>
      <c r="M10962" s="1"/>
      <c r="N10962" s="1"/>
      <c r="O10962" s="1"/>
      <c r="P10962" s="1"/>
      <c r="Q10962" s="1"/>
      <c r="R10962" s="1"/>
      <c r="S10962" s="1"/>
      <c r="T10962" s="1"/>
      <c r="U10962" s="1"/>
      <c r="V10962" s="1"/>
      <c r="W10962" s="1"/>
      <c r="X10962" s="1"/>
      <c r="Y10962" s="1"/>
      <c r="Z10962" s="1"/>
      <c r="AA10962" s="1"/>
      <c r="AB10962" s="1"/>
    </row>
    <row r="10963" ht="50.25" customHeight="1">
      <c r="A10963" s="12">
        <v>10959.0</v>
      </c>
      <c r="B10963" s="13" t="s">
        <v>10535</v>
      </c>
      <c r="C10963" s="18" t="s">
        <v>10991</v>
      </c>
      <c r="D10963" s="1"/>
      <c r="E10963" s="1"/>
      <c r="F10963" s="1" t="str">
        <f>IFERROR(__xludf.DUMMYFUNCTION("GOOGLETRANSLATE(B10963, ""en"", ""fa"")
"),"کپی رایتینگ II")</f>
        <v>کپی رایتینگ II</v>
      </c>
      <c r="G10963" s="1" t="str">
        <f>IFERROR(__xludf.DUMMYFUNCTION("GOOGLETRANSLATE(C10963, ""en"", ""fa"")
"),"چگونه از داستان سرایی در ارائه ها و طرح های فروش برند خود برای ارتباط عاطفی با مشتریان و مشتریان بالقوه استفاده کنید.")</f>
        <v>چگونه از داستان سرایی در ارائه ها و طرح های فروش برند خود برای ارتباط عاطفی با مشتریان و مشتریان بالقوه استفاده کنید.</v>
      </c>
      <c r="H10963" s="1"/>
      <c r="I10963" s="1"/>
      <c r="J10963" s="1"/>
      <c r="K10963" s="1"/>
      <c r="L10963" s="1"/>
      <c r="M10963" s="1"/>
      <c r="N10963" s="1"/>
      <c r="O10963" s="1"/>
      <c r="P10963" s="1"/>
      <c r="Q10963" s="1"/>
      <c r="R10963" s="1"/>
      <c r="S10963" s="1"/>
      <c r="T10963" s="1"/>
      <c r="U10963" s="1"/>
      <c r="V10963" s="1"/>
      <c r="W10963" s="1"/>
      <c r="X10963" s="1"/>
      <c r="Y10963" s="1"/>
      <c r="Z10963" s="1"/>
      <c r="AA10963" s="1"/>
      <c r="AB10963" s="1"/>
    </row>
    <row r="10964" ht="50.25" customHeight="1">
      <c r="A10964" s="12">
        <v>10960.0</v>
      </c>
      <c r="B10964" s="13" t="s">
        <v>10535</v>
      </c>
      <c r="C10964" s="18" t="s">
        <v>10992</v>
      </c>
      <c r="D10964" s="1"/>
      <c r="E10964" s="1"/>
      <c r="F10964" s="1" t="str">
        <f>IFERROR(__xludf.DUMMYFUNCTION("GOOGLETRANSLATE(B10964, ""en"", ""fa"")
"),"کپی رایتینگ II")</f>
        <v>کپی رایتینگ II</v>
      </c>
      <c r="G10964" s="1" t="str">
        <f>IFERROR(__xludf.DUMMYFUNCTION("GOOGLETRANSLATE(C10964, ""en"", ""fa"")
"),"استراتژی‌های مختلف برای داستان‌گویی را از طریق همکاری‌های برند، استفاده از روایت‌های مکمل برای گسترش دامنه برند خود کاوش کنید.")</f>
        <v>استراتژی‌های مختلف برای داستان‌گویی را از طریق همکاری‌های برند، استفاده از روایت‌های مکمل برای گسترش دامنه برند خود کاوش کنید.</v>
      </c>
      <c r="H10964" s="1"/>
      <c r="I10964" s="1"/>
      <c r="J10964" s="1"/>
      <c r="K10964" s="1"/>
      <c r="L10964" s="1"/>
      <c r="M10964" s="1"/>
      <c r="N10964" s="1"/>
      <c r="O10964" s="1"/>
      <c r="P10964" s="1"/>
      <c r="Q10964" s="1"/>
      <c r="R10964" s="1"/>
      <c r="S10964" s="1"/>
      <c r="T10964" s="1"/>
      <c r="U10964" s="1"/>
      <c r="V10964" s="1"/>
      <c r="W10964" s="1"/>
      <c r="X10964" s="1"/>
      <c r="Y10964" s="1"/>
      <c r="Z10964" s="1"/>
      <c r="AA10964" s="1"/>
      <c r="AB10964" s="1"/>
    </row>
    <row r="10965" ht="50.25" customHeight="1">
      <c r="A10965" s="12">
        <v>10961.0</v>
      </c>
      <c r="B10965" s="13" t="s">
        <v>10535</v>
      </c>
      <c r="C10965" s="18" t="s">
        <v>10993</v>
      </c>
      <c r="D10965" s="1"/>
      <c r="E10965" s="1"/>
      <c r="F10965" s="1" t="str">
        <f>IFERROR(__xludf.DUMMYFUNCTION("GOOGLETRANSLATE(B10965, ""en"", ""fa"")
"),"کپی رایتینگ II")</f>
        <v>کپی رایتینگ II</v>
      </c>
      <c r="G10965" s="1" t="str">
        <f>IFERROR(__xludf.DUMMYFUNCTION("GOOGLETRANSLATE(C10965, ""en"", ""fa"")
"),"بهترین شیوه ها برای استفاده از داستان سرایی در تلاش های حفظ مشتری برند شما و تقویت روابط بلندمدت با مخاطبان چیست؟")</f>
        <v>بهترین شیوه ها برای استفاده از داستان سرایی در تلاش های حفظ مشتری برند شما و تقویت روابط بلندمدت با مخاطبان چیست؟</v>
      </c>
      <c r="H10965" s="1"/>
      <c r="I10965" s="1"/>
      <c r="J10965" s="1"/>
      <c r="K10965" s="1"/>
      <c r="L10965" s="1"/>
      <c r="M10965" s="1"/>
      <c r="N10965" s="1"/>
      <c r="O10965" s="1"/>
      <c r="P10965" s="1"/>
      <c r="Q10965" s="1"/>
      <c r="R10965" s="1"/>
      <c r="S10965" s="1"/>
      <c r="T10965" s="1"/>
      <c r="U10965" s="1"/>
      <c r="V10965" s="1"/>
      <c r="W10965" s="1"/>
      <c r="X10965" s="1"/>
      <c r="Y10965" s="1"/>
      <c r="Z10965" s="1"/>
      <c r="AA10965" s="1"/>
      <c r="AB10965" s="1"/>
    </row>
    <row r="10966" ht="50.25" customHeight="1">
      <c r="A10966" s="12">
        <v>10962.0</v>
      </c>
      <c r="B10966" s="13" t="s">
        <v>10535</v>
      </c>
      <c r="C10966" s="18" t="s">
        <v>10994</v>
      </c>
      <c r="D10966" s="1"/>
      <c r="E10966" s="1"/>
      <c r="F10966" s="1" t="str">
        <f>IFERROR(__xludf.DUMMYFUNCTION("GOOGLETRANSLATE(B10966, ""en"", ""fa"")
"),"کپی رایتینگ II")</f>
        <v>کپی رایتینگ II</v>
      </c>
      <c r="G10966" s="1" t="str">
        <f>IFERROR(__xludf.DUMMYFUNCTION("GOOGLETRANSLATE(C10966, ""en"", ""fa"")
"),"چگونه عناصر داستان سرایی را در طراحی بسته بندی برند خود بگنجانید و روایتی بصری ایجاد کنید که در قفسه ها برجسته شود.")</f>
        <v>چگونه عناصر داستان سرایی را در طراحی بسته بندی برند خود بگنجانید و روایتی بصری ایجاد کنید که در قفسه ها برجسته شود.</v>
      </c>
      <c r="H10966" s="1"/>
      <c r="I10966" s="1"/>
      <c r="J10966" s="1"/>
      <c r="K10966" s="1"/>
      <c r="L10966" s="1"/>
      <c r="M10966" s="1"/>
      <c r="N10966" s="1"/>
      <c r="O10966" s="1"/>
      <c r="P10966" s="1"/>
      <c r="Q10966" s="1"/>
      <c r="R10966" s="1"/>
      <c r="S10966" s="1"/>
      <c r="T10966" s="1"/>
      <c r="U10966" s="1"/>
      <c r="V10966" s="1"/>
      <c r="W10966" s="1"/>
      <c r="X10966" s="1"/>
      <c r="Y10966" s="1"/>
      <c r="Z10966" s="1"/>
      <c r="AA10966" s="1"/>
      <c r="AB10966" s="1"/>
    </row>
    <row r="10967" ht="50.25" customHeight="1">
      <c r="A10967" s="12">
        <v>10963.0</v>
      </c>
      <c r="B10967" s="13" t="s">
        <v>10535</v>
      </c>
      <c r="C10967" s="18" t="s">
        <v>10995</v>
      </c>
      <c r="D10967" s="1"/>
      <c r="E10967" s="1"/>
      <c r="F10967" s="1" t="str">
        <f>IFERROR(__xludf.DUMMYFUNCTION("GOOGLETRANSLATE(B10967, ""en"", ""fa"")
"),"کپی رایتینگ II")</f>
        <v>کپی رایتینگ II</v>
      </c>
      <c r="G10967" s="1" t="str">
        <f>IFERROR(__xludf.DUMMYFUNCTION("GOOGLETRANSLATE(C10967, ""en"", ""fa"")
"),"در مورد نقش داستان سرایی شخصی در ایجاد یک برند شخصی و ایجاد رهبری فکری در صنعت خود بحث کنید.")</f>
        <v>در مورد نقش داستان سرایی شخصی در ایجاد یک برند شخصی و ایجاد رهبری فکری در صنعت خود بحث کنید.</v>
      </c>
      <c r="H10967" s="1"/>
      <c r="I10967" s="1"/>
      <c r="J10967" s="1"/>
      <c r="K10967" s="1"/>
      <c r="L10967" s="1"/>
      <c r="M10967" s="1"/>
      <c r="N10967" s="1"/>
      <c r="O10967" s="1"/>
      <c r="P10967" s="1"/>
      <c r="Q10967" s="1"/>
      <c r="R10967" s="1"/>
      <c r="S10967" s="1"/>
      <c r="T10967" s="1"/>
      <c r="U10967" s="1"/>
      <c r="V10967" s="1"/>
      <c r="W10967" s="1"/>
      <c r="X10967" s="1"/>
      <c r="Y10967" s="1"/>
      <c r="Z10967" s="1"/>
      <c r="AA10967" s="1"/>
      <c r="AB10967" s="1"/>
    </row>
    <row r="10968" ht="50.25" customHeight="1">
      <c r="A10968" s="12">
        <v>10964.0</v>
      </c>
      <c r="B10968" s="13" t="s">
        <v>10535</v>
      </c>
      <c r="C10968" s="18" t="s">
        <v>10996</v>
      </c>
      <c r="D10968" s="1"/>
      <c r="E10968" s="1"/>
      <c r="F10968" s="1" t="str">
        <f>IFERROR(__xludf.DUMMYFUNCTION("GOOGLETRANSLATE(B10968, ""en"", ""fa"")
"),"کپی رایتینگ II")</f>
        <v>کپی رایتینگ II</v>
      </c>
      <c r="G10968" s="1" t="str">
        <f>IFERROR(__xludf.DUMMYFUNCTION("GOOGLETRANSLATE(C10968, ""en"", ""fa"")
"),"چگونه از داستان سرایی در نظرسنجی ها و مجموعه بازخوردهای مشتریان برند خود برای جمع آوری بینش و تقویت روابط با مشتری استفاده کنید.")</f>
        <v>چگونه از داستان سرایی در نظرسنجی ها و مجموعه بازخوردهای مشتریان برند خود برای جمع آوری بینش و تقویت روابط با مشتری استفاده کنید.</v>
      </c>
      <c r="H10968" s="1"/>
      <c r="I10968" s="1"/>
      <c r="J10968" s="1"/>
      <c r="K10968" s="1"/>
      <c r="L10968" s="1"/>
      <c r="M10968" s="1"/>
      <c r="N10968" s="1"/>
      <c r="O10968" s="1"/>
      <c r="P10968" s="1"/>
      <c r="Q10968" s="1"/>
      <c r="R10968" s="1"/>
      <c r="S10968" s="1"/>
      <c r="T10968" s="1"/>
      <c r="U10968" s="1"/>
      <c r="V10968" s="1"/>
      <c r="W10968" s="1"/>
      <c r="X10968" s="1"/>
      <c r="Y10968" s="1"/>
      <c r="Z10968" s="1"/>
      <c r="AA10968" s="1"/>
      <c r="AB10968" s="1"/>
    </row>
    <row r="10969" ht="50.25" customHeight="1">
      <c r="A10969" s="12">
        <v>10965.0</v>
      </c>
      <c r="B10969" s="13" t="s">
        <v>10535</v>
      </c>
      <c r="C10969" s="18" t="s">
        <v>10997</v>
      </c>
      <c r="D10969" s="1"/>
      <c r="E10969" s="1"/>
      <c r="F10969" s="1" t="str">
        <f>IFERROR(__xludf.DUMMYFUNCTION("GOOGLETRANSLATE(B10969, ""en"", ""fa"")
"),"کپی رایتینگ II")</f>
        <v>کپی رایتینگ II</v>
      </c>
      <c r="G10969" s="1" t="str">
        <f>IFERROR(__xludf.DUMMYFUNCTION("GOOGLETRANSLATE(C10969, ""en"", ""fa"")
"),"روش‌های مختلف داستان‌گویی را از طریق مستندهای برند یا مینی‌مستند کاوش کنید و سفر و تأثیر برند خود را به اشتراک بگذارید.")</f>
        <v>روش‌های مختلف داستان‌گویی را از طریق مستندهای برند یا مینی‌مستند کاوش کنید و سفر و تأثیر برند خود را به اشتراک بگذارید.</v>
      </c>
      <c r="H10969" s="1"/>
      <c r="I10969" s="1"/>
      <c r="J10969" s="1"/>
      <c r="K10969" s="1"/>
      <c r="L10969" s="1"/>
      <c r="M10969" s="1"/>
      <c r="N10969" s="1"/>
      <c r="O10969" s="1"/>
      <c r="P10969" s="1"/>
      <c r="Q10969" s="1"/>
      <c r="R10969" s="1"/>
      <c r="S10969" s="1"/>
      <c r="T10969" s="1"/>
      <c r="U10969" s="1"/>
      <c r="V10969" s="1"/>
      <c r="W10969" s="1"/>
      <c r="X10969" s="1"/>
      <c r="Y10969" s="1"/>
      <c r="Z10969" s="1"/>
      <c r="AA10969" s="1"/>
      <c r="AB10969" s="1"/>
    </row>
    <row r="10970" ht="50.25" customHeight="1">
      <c r="A10970" s="12">
        <v>10966.0</v>
      </c>
      <c r="B10970" s="13" t="s">
        <v>10535</v>
      </c>
      <c r="C10970" s="18" t="s">
        <v>10998</v>
      </c>
      <c r="D10970" s="1"/>
      <c r="E10970" s="1"/>
      <c r="F10970" s="1" t="str">
        <f>IFERROR(__xludf.DUMMYFUNCTION("GOOGLETRANSLATE(B10970, ""en"", ""fa"")
"),"کپی رایتینگ II")</f>
        <v>کپی رایتینگ II</v>
      </c>
      <c r="G10970" s="1" t="str">
        <f>IFERROR(__xludf.DUMMYFUNCTION("GOOGLETRANSLATE(C10970, ""en"", ""fa"")
"),"تکنیک‌هایی برای گنجاندن داستان سرایی در تعاملات پشتیبانی مشتری برند شما، تبدیل چالش‌ها به تجربیات مثبت چیست؟")</f>
        <v>تکنیک‌هایی برای گنجاندن داستان سرایی در تعاملات پشتیبانی مشتری برند شما، تبدیل چالش‌ها به تجربیات مثبت چیست؟</v>
      </c>
      <c r="H10970" s="1"/>
      <c r="I10970" s="1"/>
      <c r="J10970" s="1"/>
      <c r="K10970" s="1"/>
      <c r="L10970" s="1"/>
      <c r="M10970" s="1"/>
      <c r="N10970" s="1"/>
      <c r="O10970" s="1"/>
      <c r="P10970" s="1"/>
      <c r="Q10970" s="1"/>
      <c r="R10970" s="1"/>
      <c r="S10970" s="1"/>
      <c r="T10970" s="1"/>
      <c r="U10970" s="1"/>
      <c r="V10970" s="1"/>
      <c r="W10970" s="1"/>
      <c r="X10970" s="1"/>
      <c r="Y10970" s="1"/>
      <c r="Z10970" s="1"/>
      <c r="AA10970" s="1"/>
      <c r="AB10970" s="1"/>
    </row>
    <row r="10971" ht="50.25" customHeight="1">
      <c r="A10971" s="12">
        <v>10967.0</v>
      </c>
      <c r="B10971" s="13" t="s">
        <v>10535</v>
      </c>
      <c r="C10971" s="18" t="s">
        <v>10999</v>
      </c>
      <c r="D10971" s="1"/>
      <c r="E10971" s="1"/>
      <c r="F10971" s="1" t="str">
        <f>IFERROR(__xludf.DUMMYFUNCTION("GOOGLETRANSLATE(B10971, ""en"", ""fa"")
"),"کپی رایتینگ II")</f>
        <v>کپی رایتینگ II</v>
      </c>
      <c r="G10971" s="1" t="str">
        <f>IFERROR(__xludf.DUMMYFUNCTION("GOOGLETRANSLATE(C10971, ""en"", ""fa"")
"),"چگونه یک داستان برند ایجاد کنیم که با نسل های مختلف طنین انداز شود و توجه و وفاداری گروه های سنی مختلف را به خود جلب کند.")</f>
        <v>چگونه یک داستان برند ایجاد کنیم که با نسل های مختلف طنین انداز شود و توجه و وفاداری گروه های سنی مختلف را به خود جلب کند.</v>
      </c>
      <c r="H10971" s="1"/>
      <c r="I10971" s="1"/>
      <c r="J10971" s="1"/>
      <c r="K10971" s="1"/>
      <c r="L10971" s="1"/>
      <c r="M10971" s="1"/>
      <c r="N10971" s="1"/>
      <c r="O10971" s="1"/>
      <c r="P10971" s="1"/>
      <c r="Q10971" s="1"/>
      <c r="R10971" s="1"/>
      <c r="S10971" s="1"/>
      <c r="T10971" s="1"/>
      <c r="U10971" s="1"/>
      <c r="V10971" s="1"/>
      <c r="W10971" s="1"/>
      <c r="X10971" s="1"/>
      <c r="Y10971" s="1"/>
      <c r="Z10971" s="1"/>
      <c r="AA10971" s="1"/>
      <c r="AB10971" s="1"/>
    </row>
    <row r="10972" ht="50.25" customHeight="1">
      <c r="A10972" s="12">
        <v>10968.0</v>
      </c>
      <c r="B10972" s="13" t="s">
        <v>10535</v>
      </c>
      <c r="C10972" s="18" t="s">
        <v>11000</v>
      </c>
      <c r="D10972" s="1"/>
      <c r="E10972" s="1"/>
      <c r="F10972" s="1" t="str">
        <f>IFERROR(__xludf.DUMMYFUNCTION("GOOGLETRANSLATE(B10972, ""en"", ""fa"")
"),"کپی رایتینگ II")</f>
        <v>کپی رایتینگ II</v>
      </c>
      <c r="G10972" s="1" t="str">
        <f>IFERROR(__xludf.DUMMYFUNCTION("GOOGLETRANSLATE(C10972, ""en"", ""fa"")
"),"در مورد اهمیت داستان سرایی در تلاش‌های تغییر نام تجاری، انتقال دلایل تغییر نام تجاری و دعوت مخاطبان به سفر بحث کنید.")</f>
        <v>در مورد اهمیت داستان سرایی در تلاش‌های تغییر نام تجاری، انتقال دلایل تغییر نام تجاری و دعوت مخاطبان به سفر بحث کنید.</v>
      </c>
      <c r="H10972" s="1"/>
      <c r="I10972" s="1"/>
      <c r="J10972" s="1"/>
      <c r="K10972" s="1"/>
      <c r="L10972" s="1"/>
      <c r="M10972" s="1"/>
      <c r="N10972" s="1"/>
      <c r="O10972" s="1"/>
      <c r="P10972" s="1"/>
      <c r="Q10972" s="1"/>
      <c r="R10972" s="1"/>
      <c r="S10972" s="1"/>
      <c r="T10972" s="1"/>
      <c r="U10972" s="1"/>
      <c r="V10972" s="1"/>
      <c r="W10972" s="1"/>
      <c r="X10972" s="1"/>
      <c r="Y10972" s="1"/>
      <c r="Z10972" s="1"/>
      <c r="AA10972" s="1"/>
      <c r="AB10972" s="1"/>
    </row>
    <row r="10973" ht="50.25" customHeight="1">
      <c r="A10973" s="12">
        <v>10969.0</v>
      </c>
      <c r="B10973" s="13" t="s">
        <v>10535</v>
      </c>
      <c r="C10973" s="18" t="s">
        <v>11001</v>
      </c>
      <c r="D10973" s="1"/>
      <c r="E10973" s="1"/>
      <c r="F10973" s="1" t="str">
        <f>IFERROR(__xludf.DUMMYFUNCTION("GOOGLETRANSLATE(B10973, ""en"", ""fa"")
"),"کپی رایتینگ II")</f>
        <v>کپی رایتینگ II</v>
      </c>
      <c r="G10973" s="1" t="str">
        <f>IFERROR(__xludf.DUMMYFUNCTION("GOOGLETRANSLATE(C10973, ""en"", ""fa"")
"),"چگونه از داستان سرایی در کمپین های بازاریابی تأثیرگذار برند خود استفاده کنید، با اینفلوئنسرهایی که با روایت برند شما همسو هستند همکاری کنید.")</f>
        <v>چگونه از داستان سرایی در کمپین های بازاریابی تأثیرگذار برند خود استفاده کنید، با اینفلوئنسرهایی که با روایت برند شما همسو هستند همکاری کنید.</v>
      </c>
      <c r="H10973" s="1"/>
      <c r="I10973" s="1"/>
      <c r="J10973" s="1"/>
      <c r="K10973" s="1"/>
      <c r="L10973" s="1"/>
      <c r="M10973" s="1"/>
      <c r="N10973" s="1"/>
      <c r="O10973" s="1"/>
      <c r="P10973" s="1"/>
      <c r="Q10973" s="1"/>
      <c r="R10973" s="1"/>
      <c r="S10973" s="1"/>
      <c r="T10973" s="1"/>
      <c r="U10973" s="1"/>
      <c r="V10973" s="1"/>
      <c r="W10973" s="1"/>
      <c r="X10973" s="1"/>
      <c r="Y10973" s="1"/>
      <c r="Z10973" s="1"/>
      <c r="AA10973" s="1"/>
      <c r="AB10973" s="1"/>
    </row>
    <row r="10974" ht="50.25" customHeight="1">
      <c r="A10974" s="12">
        <v>10970.0</v>
      </c>
      <c r="B10974" s="13" t="s">
        <v>10535</v>
      </c>
      <c r="C10974" s="18" t="s">
        <v>11002</v>
      </c>
      <c r="D10974" s="1"/>
      <c r="E10974" s="1"/>
      <c r="F10974" s="1" t="str">
        <f>IFERROR(__xludf.DUMMYFUNCTION("GOOGLETRANSLATE(B10974, ""en"", ""fa"")
"),"کپی رایتینگ II")</f>
        <v>کپی رایتینگ II</v>
      </c>
      <c r="G10974" s="1" t="str">
        <f>IFERROR(__xludf.DUMMYFUNCTION("GOOGLETRANSLATE(C10974, ""en"", ""fa"")
"),"استراتژی های مختلف برای داستان سرایی را از طریق محتوای ویدیویی تولید شده توسط کاربر بررسی کنید و نشان دهید که چگونه برند شما بر زندگی آنها تأثیر گذاشته است.")</f>
        <v>استراتژی های مختلف برای داستان سرایی را از طریق محتوای ویدیویی تولید شده توسط کاربر بررسی کنید و نشان دهید که چگونه برند شما بر زندگی آنها تأثیر گذاشته است.</v>
      </c>
      <c r="H10974" s="1"/>
      <c r="I10974" s="1"/>
      <c r="J10974" s="1"/>
      <c r="K10974" s="1"/>
      <c r="L10974" s="1"/>
      <c r="M10974" s="1"/>
      <c r="N10974" s="1"/>
      <c r="O10974" s="1"/>
      <c r="P10974" s="1"/>
      <c r="Q10974" s="1"/>
      <c r="R10974" s="1"/>
      <c r="S10974" s="1"/>
      <c r="T10974" s="1"/>
      <c r="U10974" s="1"/>
      <c r="V10974" s="1"/>
      <c r="W10974" s="1"/>
      <c r="X10974" s="1"/>
      <c r="Y10974" s="1"/>
      <c r="Z10974" s="1"/>
      <c r="AA10974" s="1"/>
      <c r="AB10974" s="1"/>
    </row>
    <row r="10975" ht="50.25" customHeight="1">
      <c r="A10975" s="12">
        <v>10971.0</v>
      </c>
      <c r="B10975" s="13" t="s">
        <v>10535</v>
      </c>
      <c r="C10975" s="18" t="s">
        <v>11003</v>
      </c>
      <c r="D10975" s="1"/>
      <c r="E10975" s="1"/>
      <c r="F10975" s="1" t="str">
        <f>IFERROR(__xludf.DUMMYFUNCTION("GOOGLETRANSLATE(B10975, ""en"", ""fa"")
"),"کپی رایتینگ II")</f>
        <v>کپی رایتینگ II</v>
      </c>
      <c r="G10975" s="1" t="str">
        <f>IFERROR(__xludf.DUMMYFUNCTION("GOOGLETRANSLATE(C10975, ""en"", ""fa"")
"),"بهترین شیوه ها برای استفاده از داستان سرایی در ابتکارات رهبری فکری برند شما، قرار دادن برند شما به عنوان یک مرجع صنعت چیست؟")</f>
        <v>بهترین شیوه ها برای استفاده از داستان سرایی در ابتکارات رهبری فکری برند شما، قرار دادن برند شما به عنوان یک مرجع صنعت چیست؟</v>
      </c>
      <c r="H10975" s="1"/>
      <c r="I10975" s="1"/>
      <c r="J10975" s="1"/>
      <c r="K10975" s="1"/>
      <c r="L10975" s="1"/>
      <c r="M10975" s="1"/>
      <c r="N10975" s="1"/>
      <c r="O10975" s="1"/>
      <c r="P10975" s="1"/>
      <c r="Q10975" s="1"/>
      <c r="R10975" s="1"/>
      <c r="S10975" s="1"/>
      <c r="T10975" s="1"/>
      <c r="U10975" s="1"/>
      <c r="V10975" s="1"/>
      <c r="W10975" s="1"/>
      <c r="X10975" s="1"/>
      <c r="Y10975" s="1"/>
      <c r="Z10975" s="1"/>
      <c r="AA10975" s="1"/>
      <c r="AB10975" s="1"/>
    </row>
    <row r="10976" ht="50.25" customHeight="1">
      <c r="A10976" s="12">
        <v>10972.0</v>
      </c>
      <c r="B10976" s="13" t="s">
        <v>10535</v>
      </c>
      <c r="C10976" s="18" t="s">
        <v>11004</v>
      </c>
      <c r="D10976" s="1"/>
      <c r="E10976" s="1"/>
      <c r="F10976" s="1" t="str">
        <f>IFERROR(__xludf.DUMMYFUNCTION("GOOGLETRANSLATE(B10976, ""en"", ""fa"")
"),"کپی رایتینگ II")</f>
        <v>کپی رایتینگ II</v>
      </c>
      <c r="G10976" s="1" t="str">
        <f>IFERROR(__xludf.DUMMYFUNCTION("GOOGLETRANSLATE(C10976, ""en"", ""fa"")
"),"چگونه عناصر داستان سرایی را در مواد بسته بندی برند خود بگنجانید و یک تجربه جعبه گشایی همهجانبه و به یاد ماندنی ایجاد کنید.")</f>
        <v>چگونه عناصر داستان سرایی را در مواد بسته بندی برند خود بگنجانید و یک تجربه جعبه گشایی همهجانبه و به یاد ماندنی ایجاد کنید.</v>
      </c>
      <c r="H10976" s="1"/>
      <c r="I10976" s="1"/>
      <c r="J10976" s="1"/>
      <c r="K10976" s="1"/>
      <c r="L10976" s="1"/>
      <c r="M10976" s="1"/>
      <c r="N10976" s="1"/>
      <c r="O10976" s="1"/>
      <c r="P10976" s="1"/>
      <c r="Q10976" s="1"/>
      <c r="R10976" s="1"/>
      <c r="S10976" s="1"/>
      <c r="T10976" s="1"/>
      <c r="U10976" s="1"/>
      <c r="V10976" s="1"/>
      <c r="W10976" s="1"/>
      <c r="X10976" s="1"/>
      <c r="Y10976" s="1"/>
      <c r="Z10976" s="1"/>
      <c r="AA10976" s="1"/>
      <c r="AB10976" s="1"/>
    </row>
    <row r="10977" ht="50.25" customHeight="1">
      <c r="A10977" s="12">
        <v>10973.0</v>
      </c>
      <c r="B10977" s="13" t="s">
        <v>10535</v>
      </c>
      <c r="C10977" s="18" t="s">
        <v>11005</v>
      </c>
      <c r="D10977" s="1"/>
      <c r="E10977" s="1"/>
      <c r="F10977" s="1" t="str">
        <f>IFERROR(__xludf.DUMMYFUNCTION("GOOGLETRANSLATE(B10977, ""en"", ""fa"")
"),"کپی رایتینگ II")</f>
        <v>کپی رایتینگ II</v>
      </c>
      <c r="G10977" s="1" t="str">
        <f>IFERROR(__xludf.DUMMYFUNCTION("GOOGLETRANSLATE(C10977, ""en"", ""fa"")
"),"در مورد نقش داستان سرایی در تلاش‌های جامعه‌سازی برندتان بحث کنید و حس تعلق و وفاداری را در بین مشتریانتان تقویت کنید.")</f>
        <v>در مورد نقش داستان سرایی در تلاش‌های جامعه‌سازی برندتان بحث کنید و حس تعلق و وفاداری را در بین مشتریانتان تقویت کنید.</v>
      </c>
      <c r="H10977" s="1"/>
      <c r="I10977" s="1"/>
      <c r="J10977" s="1"/>
      <c r="K10977" s="1"/>
      <c r="L10977" s="1"/>
      <c r="M10977" s="1"/>
      <c r="N10977" s="1"/>
      <c r="O10977" s="1"/>
      <c r="P10977" s="1"/>
      <c r="Q10977" s="1"/>
      <c r="R10977" s="1"/>
      <c r="S10977" s="1"/>
      <c r="T10977" s="1"/>
      <c r="U10977" s="1"/>
      <c r="V10977" s="1"/>
      <c r="W10977" s="1"/>
      <c r="X10977" s="1"/>
      <c r="Y10977" s="1"/>
      <c r="Z10977" s="1"/>
      <c r="AA10977" s="1"/>
      <c r="AB10977" s="1"/>
    </row>
    <row r="10978" ht="50.25" customHeight="1">
      <c r="A10978" s="12">
        <v>10974.0</v>
      </c>
      <c r="B10978" s="13" t="s">
        <v>10535</v>
      </c>
      <c r="C10978" s="18" t="s">
        <v>11006</v>
      </c>
      <c r="D10978" s="1"/>
      <c r="E10978" s="1"/>
      <c r="F10978" s="1" t="str">
        <f>IFERROR(__xludf.DUMMYFUNCTION("GOOGLETRANSLATE(B10978, ""en"", ""fa"")
"),"کپی رایتینگ II")</f>
        <v>کپی رایتینگ II</v>
      </c>
      <c r="G10978" s="1" t="str">
        <f>IFERROR(__xludf.DUMMYFUNCTION("GOOGLETRANSLATE(C10978, ""en"", ""fa"")
"),"چگونه از داستان سرایی در نمایش محصولات و آموزش های برند خود استفاده کنید و به مشتریان کمک کنید ارزش و مزایای پیشنهادات شما را درک کنند.")</f>
        <v>چگونه از داستان سرایی در نمایش محصولات و آموزش های برند خود استفاده کنید و به مشتریان کمک کنید ارزش و مزایای پیشنهادات شما را درک کنند.</v>
      </c>
      <c r="H10978" s="1"/>
      <c r="I10978" s="1"/>
      <c r="J10978" s="1"/>
      <c r="K10978" s="1"/>
      <c r="L10978" s="1"/>
      <c r="M10978" s="1"/>
      <c r="N10978" s="1"/>
      <c r="O10978" s="1"/>
      <c r="P10978" s="1"/>
      <c r="Q10978" s="1"/>
      <c r="R10978" s="1"/>
      <c r="S10978" s="1"/>
      <c r="T10978" s="1"/>
      <c r="U10978" s="1"/>
      <c r="V10978" s="1"/>
      <c r="W10978" s="1"/>
      <c r="X10978" s="1"/>
      <c r="Y10978" s="1"/>
      <c r="Z10978" s="1"/>
      <c r="AA10978" s="1"/>
      <c r="AB10978" s="1"/>
    </row>
    <row r="10979" ht="50.25" customHeight="1">
      <c r="A10979" s="12">
        <v>10975.0</v>
      </c>
      <c r="B10979" s="13" t="s">
        <v>10535</v>
      </c>
      <c r="C10979" s="18" t="s">
        <v>11007</v>
      </c>
      <c r="D10979" s="1"/>
      <c r="E10979" s="1"/>
      <c r="F10979" s="1" t="str">
        <f>IFERROR(__xludf.DUMMYFUNCTION("GOOGLETRANSLATE(B10979, ""en"", ""fa"")
"),"کپی رایتینگ II")</f>
        <v>کپی رایتینگ II</v>
      </c>
      <c r="G10979" s="1" t="str">
        <f>IFERROR(__xludf.DUMMYFUNCTION("GOOGLETRANSLATE(C10979, ""en"", ""fa"")
"),"روش‌های مختلف داستان‌گویی را از طریق فعال‌سازی برند و بازاریابی تجربی، ایجاد روایت‌های فراگیر که تأثیری ماندگار بر جای می‌گذارند، کاوش کنید.")</f>
        <v>روش‌های مختلف داستان‌گویی را از طریق فعال‌سازی برند و بازاریابی تجربی، ایجاد روایت‌های فراگیر که تأثیری ماندگار بر جای می‌گذارند، کاوش کنید.</v>
      </c>
      <c r="H10979" s="1"/>
      <c r="I10979" s="1"/>
      <c r="J10979" s="1"/>
      <c r="K10979" s="1"/>
      <c r="L10979" s="1"/>
      <c r="M10979" s="1"/>
      <c r="N10979" s="1"/>
      <c r="O10979" s="1"/>
      <c r="P10979" s="1"/>
      <c r="Q10979" s="1"/>
      <c r="R10979" s="1"/>
      <c r="S10979" s="1"/>
      <c r="T10979" s="1"/>
      <c r="U10979" s="1"/>
      <c r="V10979" s="1"/>
      <c r="W10979" s="1"/>
      <c r="X10979" s="1"/>
      <c r="Y10979" s="1"/>
      <c r="Z10979" s="1"/>
      <c r="AA10979" s="1"/>
      <c r="AB10979" s="1"/>
    </row>
    <row r="10980" ht="50.25" customHeight="1">
      <c r="A10980" s="12">
        <v>10976.0</v>
      </c>
      <c r="B10980" s="13" t="s">
        <v>10535</v>
      </c>
      <c r="C10980" s="18" t="s">
        <v>11008</v>
      </c>
      <c r="D10980" s="1"/>
      <c r="E10980" s="1"/>
      <c r="F10980" s="1" t="str">
        <f>IFERROR(__xludf.DUMMYFUNCTION("GOOGLETRANSLATE(B10980, ""en"", ""fa"")
"),"کپی رایتینگ II")</f>
        <v>کپی رایتینگ II</v>
      </c>
      <c r="G10980" s="1" t="str">
        <f>IFERROR(__xludf.DUMMYFUNCTION("GOOGLETRANSLATE(C10980, ""en"", ""fa"")
"),"تکنیک های گنجاندن داستان سرایی در ارتباطات کارکنان برند شما و تلاش های فرهنگ سازی داخلی چیست؟")</f>
        <v>تکنیک های گنجاندن داستان سرایی در ارتباطات کارکنان برند شما و تلاش های فرهنگ سازی داخلی چیست؟</v>
      </c>
      <c r="H10980" s="1"/>
      <c r="I10980" s="1"/>
      <c r="J10980" s="1"/>
      <c r="K10980" s="1"/>
      <c r="L10980" s="1"/>
      <c r="M10980" s="1"/>
      <c r="N10980" s="1"/>
      <c r="O10980" s="1"/>
      <c r="P10980" s="1"/>
      <c r="Q10980" s="1"/>
      <c r="R10980" s="1"/>
      <c r="S10980" s="1"/>
      <c r="T10980" s="1"/>
      <c r="U10980" s="1"/>
      <c r="V10980" s="1"/>
      <c r="W10980" s="1"/>
      <c r="X10980" s="1"/>
      <c r="Y10980" s="1"/>
      <c r="Z10980" s="1"/>
      <c r="AA10980" s="1"/>
      <c r="AB10980" s="1"/>
    </row>
    <row r="10981" ht="50.25" customHeight="1">
      <c r="A10981" s="12">
        <v>10977.0</v>
      </c>
      <c r="B10981" s="13" t="s">
        <v>10535</v>
      </c>
      <c r="C10981" s="18" t="s">
        <v>11009</v>
      </c>
      <c r="D10981" s="1"/>
      <c r="E10981" s="1"/>
      <c r="F10981" s="1" t="str">
        <f>IFERROR(__xludf.DUMMYFUNCTION("GOOGLETRANSLATE(B10981, ""en"", ""fa"")
"),"کپی رایتینگ II")</f>
        <v>کپی رایتینگ II</v>
      </c>
      <c r="G10981" s="1" t="str">
        <f>IFERROR(__xludf.DUMMYFUNCTION("GOOGLETRANSLATE(C10981, ""en"", ""fa"")
"),"چگونه یک داستان برند بسازیم که حس نوستالژی را برانگیزد و از احساسات و خاطرات مخاطب هدف خود استفاده کرد.")</f>
        <v>چگونه یک داستان برند بسازیم که حس نوستالژی را برانگیزد و از احساسات و خاطرات مخاطب هدف خود استفاده کرد.</v>
      </c>
      <c r="H10981" s="1"/>
      <c r="I10981" s="1"/>
      <c r="J10981" s="1"/>
      <c r="K10981" s="1"/>
      <c r="L10981" s="1"/>
      <c r="M10981" s="1"/>
      <c r="N10981" s="1"/>
      <c r="O10981" s="1"/>
      <c r="P10981" s="1"/>
      <c r="Q10981" s="1"/>
      <c r="R10981" s="1"/>
      <c r="S10981" s="1"/>
      <c r="T10981" s="1"/>
      <c r="U10981" s="1"/>
      <c r="V10981" s="1"/>
      <c r="W10981" s="1"/>
      <c r="X10981" s="1"/>
      <c r="Y10981" s="1"/>
      <c r="Z10981" s="1"/>
      <c r="AA10981" s="1"/>
      <c r="AB10981" s="1"/>
    </row>
    <row r="10982" ht="50.25" customHeight="1">
      <c r="A10982" s="12">
        <v>10978.0</v>
      </c>
      <c r="B10982" s="13" t="s">
        <v>10535</v>
      </c>
      <c r="C10982" s="18" t="s">
        <v>11010</v>
      </c>
      <c r="D10982" s="1"/>
      <c r="E10982" s="1"/>
      <c r="F10982" s="1" t="str">
        <f>IFERROR(__xludf.DUMMYFUNCTION("GOOGLETRANSLATE(B10982, ""en"", ""fa"")
"),"کپی رایتینگ II")</f>
        <v>کپی رایتینگ II</v>
      </c>
      <c r="G10982" s="1" t="str">
        <f>IFERROR(__xludf.DUMMYFUNCTION("GOOGLETRANSLATE(C10982, ""en"", ""fa"")
"),"در مورد اهمیت داستان سرایی در ابتکارات آموزش مشتری برند خود بحث کنید و مفاهیم پیچیده را از طریق روایت های مرتبط ساده کنید.")</f>
        <v>در مورد اهمیت داستان سرایی در ابتکارات آموزش مشتری برند خود بحث کنید و مفاهیم پیچیده را از طریق روایت های مرتبط ساده کنید.</v>
      </c>
      <c r="H10982" s="1"/>
      <c r="I10982" s="1"/>
      <c r="J10982" s="1"/>
      <c r="K10982" s="1"/>
      <c r="L10982" s="1"/>
      <c r="M10982" s="1"/>
      <c r="N10982" s="1"/>
      <c r="O10982" s="1"/>
      <c r="P10982" s="1"/>
      <c r="Q10982" s="1"/>
      <c r="R10982" s="1"/>
      <c r="S10982" s="1"/>
      <c r="T10982" s="1"/>
      <c r="U10982" s="1"/>
      <c r="V10982" s="1"/>
      <c r="W10982" s="1"/>
      <c r="X10982" s="1"/>
      <c r="Y10982" s="1"/>
      <c r="Z10982" s="1"/>
      <c r="AA10982" s="1"/>
      <c r="AB10982" s="1"/>
    </row>
    <row r="10983" ht="50.25" customHeight="1">
      <c r="A10983" s="12">
        <v>10979.0</v>
      </c>
      <c r="B10983" s="13" t="s">
        <v>10535</v>
      </c>
      <c r="C10983" s="18" t="s">
        <v>11011</v>
      </c>
      <c r="D10983" s="1"/>
      <c r="E10983" s="1"/>
      <c r="F10983" s="1" t="str">
        <f>IFERROR(__xludf.DUMMYFUNCTION("GOOGLETRANSLATE(B10983, ""en"", ""fa"")
"),"کپی رایتینگ II")</f>
        <v>کپی رایتینگ II</v>
      </c>
      <c r="G10983" s="1" t="str">
        <f>IFERROR(__xludf.DUMMYFUNCTION("GOOGLETRANSLATE(C10983, ""en"", ""fa"")
"),"چگونه می توان از داستان سرایی در تجارب ورود کاربران برند خود استفاده کرد و با روایتی قانع کننده، کاربران را از طریق محصول یا خدمات راهنمایی کرد.")</f>
        <v>چگونه می توان از داستان سرایی در تجارب ورود کاربران برند خود استفاده کرد و با روایتی قانع کننده، کاربران را از طریق محصول یا خدمات راهنمایی کرد.</v>
      </c>
      <c r="H10983" s="1"/>
      <c r="I10983" s="1"/>
      <c r="J10983" s="1"/>
      <c r="K10983" s="1"/>
      <c r="L10983" s="1"/>
      <c r="M10983" s="1"/>
      <c r="N10983" s="1"/>
      <c r="O10983" s="1"/>
      <c r="P10983" s="1"/>
      <c r="Q10983" s="1"/>
      <c r="R10983" s="1"/>
      <c r="S10983" s="1"/>
      <c r="T10983" s="1"/>
      <c r="U10983" s="1"/>
      <c r="V10983" s="1"/>
      <c r="W10983" s="1"/>
      <c r="X10983" s="1"/>
      <c r="Y10983" s="1"/>
      <c r="Z10983" s="1"/>
      <c r="AA10983" s="1"/>
      <c r="AB10983" s="1"/>
    </row>
    <row r="10984" ht="50.25" customHeight="1">
      <c r="A10984" s="12">
        <v>10980.0</v>
      </c>
      <c r="B10984" s="13" t="s">
        <v>10535</v>
      </c>
      <c r="C10984" s="18" t="s">
        <v>11012</v>
      </c>
      <c r="D10984" s="1"/>
      <c r="E10984" s="1"/>
      <c r="F10984" s="1" t="str">
        <f>IFERROR(__xludf.DUMMYFUNCTION("GOOGLETRANSLATE(B10984, ""en"", ""fa"")
"),"کپی رایتینگ II")</f>
        <v>کپی رایتینگ II</v>
      </c>
      <c r="G10984" s="1" t="str">
        <f>IFERROR(__xludf.DUMMYFUNCTION("GOOGLETRANSLATE(C10984, ""en"", ""fa"")
"),"استراتژی های مختلف برای داستان سرایی را از طریق تجربیات واقعیت افزوده (AR) یا واقعیت مجازی (VR) کاوش کنید و مشتریان را در روایت برند خود غرق کنید.")</f>
        <v>استراتژی های مختلف برای داستان سرایی را از طریق تجربیات واقعیت افزوده (AR) یا واقعیت مجازی (VR) کاوش کنید و مشتریان را در روایت برند خود غرق کنید.</v>
      </c>
      <c r="H10984" s="1"/>
      <c r="I10984" s="1"/>
      <c r="J10984" s="1"/>
      <c r="K10984" s="1"/>
      <c r="L10984" s="1"/>
      <c r="M10984" s="1"/>
      <c r="N10984" s="1"/>
      <c r="O10984" s="1"/>
      <c r="P10984" s="1"/>
      <c r="Q10984" s="1"/>
      <c r="R10984" s="1"/>
      <c r="S10984" s="1"/>
      <c r="T10984" s="1"/>
      <c r="U10984" s="1"/>
      <c r="V10984" s="1"/>
      <c r="W10984" s="1"/>
      <c r="X10984" s="1"/>
      <c r="Y10984" s="1"/>
      <c r="Z10984" s="1"/>
      <c r="AA10984" s="1"/>
      <c r="AB10984" s="1"/>
    </row>
    <row r="10985" ht="50.25" customHeight="1">
      <c r="A10985" s="12">
        <v>10981.0</v>
      </c>
      <c r="B10985" s="13" t="s">
        <v>10535</v>
      </c>
      <c r="C10985" s="18" t="s">
        <v>11013</v>
      </c>
      <c r="D10985" s="1"/>
      <c r="E10985" s="1"/>
      <c r="F10985" s="1" t="str">
        <f>IFERROR(__xludf.DUMMYFUNCTION("GOOGLETRANSLATE(B10985, ""en"", ""fa"")
"),"کپی رایتینگ II")</f>
        <v>کپی رایتینگ II</v>
      </c>
      <c r="G10985" s="1" t="str">
        <f>IFERROR(__xludf.DUMMYFUNCTION("GOOGLETRANSLATE(C10985, ""en"", ""fa"")
"),"بهترین شیوه ها برای استفاده از داستان سرایی در مواد بسته بندی برند شما، ایجاد یک تجربه برند منسجم و جذاب چیست؟")</f>
        <v>بهترین شیوه ها برای استفاده از داستان سرایی در مواد بسته بندی برند شما، ایجاد یک تجربه برند منسجم و جذاب چیست؟</v>
      </c>
      <c r="H10985" s="1"/>
      <c r="I10985" s="1"/>
      <c r="J10985" s="1"/>
      <c r="K10985" s="1"/>
      <c r="L10985" s="1"/>
      <c r="M10985" s="1"/>
      <c r="N10985" s="1"/>
      <c r="O10985" s="1"/>
      <c r="P10985" s="1"/>
      <c r="Q10985" s="1"/>
      <c r="R10985" s="1"/>
      <c r="S10985" s="1"/>
      <c r="T10985" s="1"/>
      <c r="U10985" s="1"/>
      <c r="V10985" s="1"/>
      <c r="W10985" s="1"/>
      <c r="X10985" s="1"/>
      <c r="Y10985" s="1"/>
      <c r="Z10985" s="1"/>
      <c r="AA10985" s="1"/>
      <c r="AB10985" s="1"/>
    </row>
    <row r="10986" ht="50.25" customHeight="1">
      <c r="A10986" s="12">
        <v>10982.0</v>
      </c>
      <c r="B10986" s="13" t="s">
        <v>10535</v>
      </c>
      <c r="C10986" s="18" t="s">
        <v>11014</v>
      </c>
      <c r="D10986" s="1"/>
      <c r="E10986" s="1"/>
      <c r="F10986" s="1" t="str">
        <f>IFERROR(__xludf.DUMMYFUNCTION("GOOGLETRANSLATE(B10986, ""en"", ""fa"")
"),"کپی رایتینگ II")</f>
        <v>کپی رایتینگ II</v>
      </c>
      <c r="G10986" s="1" t="str">
        <f>IFERROR(__xludf.DUMMYFUNCTION("GOOGLETRANSLATE(C10986, ""en"", ""fa"")
"),"چگونه عناصر داستان سرایی را در برنامه های قدردانی از مشتری برند خود بگنجانید، قدردانی و ارتباط عاطفی را تقویت کنید.")</f>
        <v>چگونه عناصر داستان سرایی را در برنامه های قدردانی از مشتری برند خود بگنجانید، قدردانی و ارتباط عاطفی را تقویت کنید.</v>
      </c>
      <c r="H10986" s="1"/>
      <c r="I10986" s="1"/>
      <c r="J10986" s="1"/>
      <c r="K10986" s="1"/>
      <c r="L10986" s="1"/>
      <c r="M10986" s="1"/>
      <c r="N10986" s="1"/>
      <c r="O10986" s="1"/>
      <c r="P10986" s="1"/>
      <c r="Q10986" s="1"/>
      <c r="R10986" s="1"/>
      <c r="S10986" s="1"/>
      <c r="T10986" s="1"/>
      <c r="U10986" s="1"/>
      <c r="V10986" s="1"/>
      <c r="W10986" s="1"/>
      <c r="X10986" s="1"/>
      <c r="Y10986" s="1"/>
      <c r="Z10986" s="1"/>
      <c r="AA10986" s="1"/>
      <c r="AB10986" s="1"/>
    </row>
    <row r="10987" ht="50.25" customHeight="1">
      <c r="A10987" s="12">
        <v>10983.0</v>
      </c>
      <c r="B10987" s="13" t="s">
        <v>10535</v>
      </c>
      <c r="C10987" s="18" t="s">
        <v>11015</v>
      </c>
      <c r="D10987" s="1"/>
      <c r="E10987" s="1"/>
      <c r="F10987" s="1" t="str">
        <f>IFERROR(__xludf.DUMMYFUNCTION("GOOGLETRANSLATE(B10987, ""en"", ""fa"")
"),"کپی رایتینگ II")</f>
        <v>کپی رایتینگ II</v>
      </c>
      <c r="G10987" s="1" t="str">
        <f>IFERROR(__xludf.DUMMYFUNCTION("GOOGLETRANSLATE(C10987, ""en"", ""fa"")
"),"در مورد نقش داستان سرایی در تلاش‌های تغییر موقعیت برند خود، ارتباط با جهت و ارزش پیشنهادی جدید برند خود بحث کنید.")</f>
        <v>در مورد نقش داستان سرایی در تلاش‌های تغییر موقعیت برند خود، ارتباط با جهت و ارزش پیشنهادی جدید برند خود بحث کنید.</v>
      </c>
      <c r="H10987" s="1"/>
      <c r="I10987" s="1"/>
      <c r="J10987" s="1"/>
      <c r="K10987" s="1"/>
      <c r="L10987" s="1"/>
      <c r="M10987" s="1"/>
      <c r="N10987" s="1"/>
      <c r="O10987" s="1"/>
      <c r="P10987" s="1"/>
      <c r="Q10987" s="1"/>
      <c r="R10987" s="1"/>
      <c r="S10987" s="1"/>
      <c r="T10987" s="1"/>
      <c r="U10987" s="1"/>
      <c r="V10987" s="1"/>
      <c r="W10987" s="1"/>
      <c r="X10987" s="1"/>
      <c r="Y10987" s="1"/>
      <c r="Z10987" s="1"/>
      <c r="AA10987" s="1"/>
      <c r="AB10987" s="1"/>
    </row>
    <row r="10988" ht="50.25" customHeight="1">
      <c r="A10988" s="12">
        <v>10984.0</v>
      </c>
      <c r="B10988" s="13" t="s">
        <v>10535</v>
      </c>
      <c r="C10988" s="18" t="s">
        <v>11016</v>
      </c>
      <c r="D10988" s="1"/>
      <c r="E10988" s="1"/>
      <c r="F10988" s="1" t="str">
        <f>IFERROR(__xludf.DUMMYFUNCTION("GOOGLETRANSLATE(B10988, ""en"", ""fa"")
"),"کپی رایتینگ II")</f>
        <v>کپی رایتینگ II</v>
      </c>
      <c r="G10988" s="1" t="str">
        <f>IFERROR(__xludf.DUMMYFUNCTION("GOOGLETRANSLATE(C10988, ""en"", ""fa"")
"),"چگونه از داستان سرایی در برنامه های حمایت از مشتری برند خود استفاده کنید و به مشتریان قدرت دهید تا داستان های خود را به اشتراک بگذارند و سفیران برند شوند.")</f>
        <v>چگونه از داستان سرایی در برنامه های حمایت از مشتری برند خود استفاده کنید و به مشتریان قدرت دهید تا داستان های خود را به اشتراک بگذارند و سفیران برند شوند.</v>
      </c>
      <c r="H10988" s="1"/>
      <c r="I10988" s="1"/>
      <c r="J10988" s="1"/>
      <c r="K10988" s="1"/>
      <c r="L10988" s="1"/>
      <c r="M10988" s="1"/>
      <c r="N10988" s="1"/>
      <c r="O10988" s="1"/>
      <c r="P10988" s="1"/>
      <c r="Q10988" s="1"/>
      <c r="R10988" s="1"/>
      <c r="S10988" s="1"/>
      <c r="T10988" s="1"/>
      <c r="U10988" s="1"/>
      <c r="V10988" s="1"/>
      <c r="W10988" s="1"/>
      <c r="X10988" s="1"/>
      <c r="Y10988" s="1"/>
      <c r="Z10988" s="1"/>
      <c r="AA10988" s="1"/>
      <c r="AB10988" s="1"/>
    </row>
    <row r="10989" ht="50.25" customHeight="1">
      <c r="A10989" s="12">
        <v>10985.0</v>
      </c>
      <c r="B10989" s="13" t="s">
        <v>10535</v>
      </c>
      <c r="C10989" s="18" t="s">
        <v>11017</v>
      </c>
      <c r="D10989" s="1"/>
      <c r="E10989" s="1"/>
      <c r="F10989" s="1" t="str">
        <f>IFERROR(__xludf.DUMMYFUNCTION("GOOGLETRANSLATE(B10989, ""en"", ""fa"")
"),"کپی رایتینگ II")</f>
        <v>کپی رایتینگ II</v>
      </c>
      <c r="G10989" s="1" t="str">
        <f>IFERROR(__xludf.DUMMYFUNCTION("GOOGLETRANSLATE(C10989, ""en"", ""fa"")
"),"روش‌های مختلف داستان‌گویی را از طریق رویدادها یا تجربیات حمایت‌شده توسط برند، کاوش کنید، و لحظات به یاد ماندنی ایجاد کنید که روایت برند شما را تقویت می‌کند.")</f>
        <v>روش‌های مختلف داستان‌گویی را از طریق رویدادها یا تجربیات حمایت‌شده توسط برند، کاوش کنید، و لحظات به یاد ماندنی ایجاد کنید که روایت برند شما را تقویت می‌کند.</v>
      </c>
      <c r="H10989" s="1"/>
      <c r="I10989" s="1"/>
      <c r="J10989" s="1"/>
      <c r="K10989" s="1"/>
      <c r="L10989" s="1"/>
      <c r="M10989" s="1"/>
      <c r="N10989" s="1"/>
      <c r="O10989" s="1"/>
      <c r="P10989" s="1"/>
      <c r="Q10989" s="1"/>
      <c r="R10989" s="1"/>
      <c r="S10989" s="1"/>
      <c r="T10989" s="1"/>
      <c r="U10989" s="1"/>
      <c r="V10989" s="1"/>
      <c r="W10989" s="1"/>
      <c r="X10989" s="1"/>
      <c r="Y10989" s="1"/>
      <c r="Z10989" s="1"/>
      <c r="AA10989" s="1"/>
      <c r="AB10989" s="1"/>
    </row>
    <row r="10990" ht="50.25" customHeight="1">
      <c r="A10990" s="12">
        <v>10986.0</v>
      </c>
      <c r="B10990" s="13" t="s">
        <v>10535</v>
      </c>
      <c r="C10990" s="18" t="s">
        <v>11018</v>
      </c>
      <c r="D10990" s="1"/>
      <c r="E10990" s="1"/>
      <c r="F10990" s="1" t="str">
        <f>IFERROR(__xludf.DUMMYFUNCTION("GOOGLETRANSLATE(B10990, ""en"", ""fa"")
"),"کپی رایتینگ II")</f>
        <v>کپی رایتینگ II</v>
      </c>
      <c r="G10990" s="1" t="str">
        <f>IFERROR(__xludf.DUMMYFUNCTION("GOOGLETRANSLATE(C10990, ""en"", ""fa"")
"),"تکنیک‌هایی برای گنجاندن داستان سرایی در ابتکارات بازاریابی مشارکتی برند شما، ایجاد روایت‌هایی که داستان هر دو برند را تقویت می‌کند، چیست.")</f>
        <v>تکنیک‌هایی برای گنجاندن داستان سرایی در ابتکارات بازاریابی مشارکتی برند شما، ایجاد روایت‌هایی که داستان هر دو برند را تقویت می‌کند، چیست.</v>
      </c>
      <c r="H10990" s="1"/>
      <c r="I10990" s="1"/>
      <c r="J10990" s="1"/>
      <c r="K10990" s="1"/>
      <c r="L10990" s="1"/>
      <c r="M10990" s="1"/>
      <c r="N10990" s="1"/>
      <c r="O10990" s="1"/>
      <c r="P10990" s="1"/>
      <c r="Q10990" s="1"/>
      <c r="R10990" s="1"/>
      <c r="S10990" s="1"/>
      <c r="T10990" s="1"/>
      <c r="U10990" s="1"/>
      <c r="V10990" s="1"/>
      <c r="W10990" s="1"/>
      <c r="X10990" s="1"/>
      <c r="Y10990" s="1"/>
      <c r="Z10990" s="1"/>
      <c r="AA10990" s="1"/>
      <c r="AB10990" s="1"/>
    </row>
    <row r="10991" ht="50.25" customHeight="1">
      <c r="A10991" s="12">
        <v>10987.0</v>
      </c>
      <c r="B10991" s="13" t="s">
        <v>10535</v>
      </c>
      <c r="C10991" s="18" t="s">
        <v>11019</v>
      </c>
      <c r="D10991" s="1"/>
      <c r="E10991" s="1"/>
      <c r="F10991" s="1" t="str">
        <f>IFERROR(__xludf.DUMMYFUNCTION("GOOGLETRANSLATE(B10991, ""en"", ""fa"")
"),"کپی رایتینگ II")</f>
        <v>کپی رایتینگ II</v>
      </c>
      <c r="G10991" s="1" t="str">
        <f>IFERROR(__xludf.DUMMYFUNCTION("GOOGLETRANSLATE(C10991, ""en"", ""fa"")
"),"چگونه یک داستان برند ایجاد کنیم که با پس زمینه های فرهنگی مختلف و بازارهای بین المللی طنین انداز شود و روایت شما را برای مخاطبان جهانی تطبیق دهد.")</f>
        <v>چگونه یک داستان برند ایجاد کنیم که با پس زمینه های فرهنگی مختلف و بازارهای بین المللی طنین انداز شود و روایت شما را برای مخاطبان جهانی تطبیق دهد.</v>
      </c>
      <c r="H10991" s="1"/>
      <c r="I10991" s="1"/>
      <c r="J10991" s="1"/>
      <c r="K10991" s="1"/>
      <c r="L10991" s="1"/>
      <c r="M10991" s="1"/>
      <c r="N10991" s="1"/>
      <c r="O10991" s="1"/>
      <c r="P10991" s="1"/>
      <c r="Q10991" s="1"/>
      <c r="R10991" s="1"/>
      <c r="S10991" s="1"/>
      <c r="T10991" s="1"/>
      <c r="U10991" s="1"/>
      <c r="V10991" s="1"/>
      <c r="W10991" s="1"/>
      <c r="X10991" s="1"/>
      <c r="Y10991" s="1"/>
      <c r="Z10991" s="1"/>
      <c r="AA10991" s="1"/>
      <c r="AB10991" s="1"/>
    </row>
    <row r="10992" ht="50.25" customHeight="1">
      <c r="A10992" s="12">
        <v>10988.0</v>
      </c>
      <c r="B10992" s="13" t="s">
        <v>10535</v>
      </c>
      <c r="C10992" s="18" t="s">
        <v>11020</v>
      </c>
      <c r="D10992" s="1"/>
      <c r="E10992" s="1"/>
      <c r="F10992" s="1" t="str">
        <f>IFERROR(__xludf.DUMMYFUNCTION("GOOGLETRANSLATE(B10992, ""en"", ""fa"")
"),"کپی رایتینگ II")</f>
        <v>کپی رایتینگ II</v>
      </c>
      <c r="G10992" s="1" t="str">
        <f>IFERROR(__xludf.DUMMYFUNCTION("GOOGLETRANSLATE(C10992, ""en"", ""fa"")
"),"در مورد اهمیت داستان سرایی در ارتباطات داخلی برند خود، تقویت همسویی و تعامل بین کارمندان بحث کنید.")</f>
        <v>در مورد اهمیت داستان سرایی در ارتباطات داخلی برند خود، تقویت همسویی و تعامل بین کارمندان بحث کنید.</v>
      </c>
      <c r="H10992" s="1"/>
      <c r="I10992" s="1"/>
      <c r="J10992" s="1"/>
      <c r="K10992" s="1"/>
      <c r="L10992" s="1"/>
      <c r="M10992" s="1"/>
      <c r="N10992" s="1"/>
      <c r="O10992" s="1"/>
      <c r="P10992" s="1"/>
      <c r="Q10992" s="1"/>
      <c r="R10992" s="1"/>
      <c r="S10992" s="1"/>
      <c r="T10992" s="1"/>
      <c r="U10992" s="1"/>
      <c r="V10992" s="1"/>
      <c r="W10992" s="1"/>
      <c r="X10992" s="1"/>
      <c r="Y10992" s="1"/>
      <c r="Z10992" s="1"/>
      <c r="AA10992" s="1"/>
      <c r="AB10992" s="1"/>
    </row>
    <row r="10993" ht="50.25" customHeight="1">
      <c r="A10993" s="12">
        <v>10989.0</v>
      </c>
      <c r="B10993" s="13" t="s">
        <v>10535</v>
      </c>
      <c r="C10993" s="18" t="s">
        <v>11021</v>
      </c>
      <c r="D10993" s="1"/>
      <c r="E10993" s="1"/>
      <c r="F10993" s="1" t="str">
        <f>IFERROR(__xludf.DUMMYFUNCTION("GOOGLETRANSLATE(B10993, ""en"", ""fa"")
"),"کپی رایتینگ II")</f>
        <v>کپی رایتینگ II</v>
      </c>
      <c r="G10993" s="1" t="str">
        <f>IFERROR(__xludf.DUMMYFUNCTION("GOOGLETRANSLATE(C10993, ""en"", ""fa"")
"),"چگونه از داستان سرایی در همکاری‌های تأثیرگذار برند خود استفاده کنید، و روایت‌هایی را ایجاد کنید که به طور واقعی با مخاطبان شما ارتباط برقرار کند.")</f>
        <v>چگونه از داستان سرایی در همکاری‌های تأثیرگذار برند خود استفاده کنید، و روایت‌هایی را ایجاد کنید که به طور واقعی با مخاطبان شما ارتباط برقرار کند.</v>
      </c>
      <c r="H10993" s="1"/>
      <c r="I10993" s="1"/>
      <c r="J10993" s="1"/>
      <c r="K10993" s="1"/>
      <c r="L10993" s="1"/>
      <c r="M10993" s="1"/>
      <c r="N10993" s="1"/>
      <c r="O10993" s="1"/>
      <c r="P10993" s="1"/>
      <c r="Q10993" s="1"/>
      <c r="R10993" s="1"/>
      <c r="S10993" s="1"/>
      <c r="T10993" s="1"/>
      <c r="U10993" s="1"/>
      <c r="V10993" s="1"/>
      <c r="W10993" s="1"/>
      <c r="X10993" s="1"/>
      <c r="Y10993" s="1"/>
      <c r="Z10993" s="1"/>
      <c r="AA10993" s="1"/>
      <c r="AB10993" s="1"/>
    </row>
    <row r="10994" ht="50.25" customHeight="1">
      <c r="A10994" s="12">
        <v>10990.0</v>
      </c>
      <c r="B10994" s="13" t="s">
        <v>10535</v>
      </c>
      <c r="C10994" s="18" t="s">
        <v>11022</v>
      </c>
      <c r="D10994" s="1"/>
      <c r="E10994" s="1"/>
      <c r="F10994" s="1" t="str">
        <f>IFERROR(__xludf.DUMMYFUNCTION("GOOGLETRANSLATE(B10994, ""en"", ""fa"")
"),"کپی رایتینگ II")</f>
        <v>کپی رایتینگ II</v>
      </c>
      <c r="G10994" s="1" t="str">
        <f>IFERROR(__xludf.DUMMYFUNCTION("GOOGLETRANSLATE(C10994, ""en"", ""fa"")
"),"استراتژی‌های مختلف داستان‌گویی را از طریق رقابت‌ها یا چالش‌های برند کاوش کنید و از مخاطبان خود دعوت کنید تا داستان‌ها و تجربیات خود را به اشتراک بگذارند.")</f>
        <v>استراتژی‌های مختلف داستان‌گویی را از طریق رقابت‌ها یا چالش‌های برند کاوش کنید و از مخاطبان خود دعوت کنید تا داستان‌ها و تجربیات خود را به اشتراک بگذارند.</v>
      </c>
      <c r="H10994" s="1"/>
      <c r="I10994" s="1"/>
      <c r="J10994" s="1"/>
      <c r="K10994" s="1"/>
      <c r="L10994" s="1"/>
      <c r="M10994" s="1"/>
      <c r="N10994" s="1"/>
      <c r="O10994" s="1"/>
      <c r="P10994" s="1"/>
      <c r="Q10994" s="1"/>
      <c r="R10994" s="1"/>
      <c r="S10994" s="1"/>
      <c r="T10994" s="1"/>
      <c r="U10994" s="1"/>
      <c r="V10994" s="1"/>
      <c r="W10994" s="1"/>
      <c r="X10994" s="1"/>
      <c r="Y10994" s="1"/>
      <c r="Z10994" s="1"/>
      <c r="AA10994" s="1"/>
      <c r="AB10994" s="1"/>
    </row>
    <row r="10995" ht="50.25" customHeight="1">
      <c r="A10995" s="12">
        <v>10991.0</v>
      </c>
      <c r="B10995" s="13" t="s">
        <v>10535</v>
      </c>
      <c r="C10995" s="18" t="s">
        <v>11023</v>
      </c>
      <c r="D10995" s="1"/>
      <c r="E10995" s="1"/>
      <c r="F10995" s="1" t="str">
        <f>IFERROR(__xludf.DUMMYFUNCTION("GOOGLETRANSLATE(B10995, ""en"", ""fa"")
"),"کپی رایتینگ II")</f>
        <v>کپی رایتینگ II</v>
      </c>
      <c r="G10995" s="1" t="str">
        <f>IFERROR(__xludf.DUMMYFUNCTION("GOOGLETRANSLATE(C10995, ""en"", ""fa"")
"),"بهترین شیوه ها برای استفاده از داستان سرایی در تعاملات و سخنرانی های عمومی برند شما، مجذوب کردن و الهام بخشیدن به مخاطبان شما چیست.")</f>
        <v>بهترین شیوه ها برای استفاده از داستان سرایی در تعاملات و سخنرانی های عمومی برند شما، مجذوب کردن و الهام بخشیدن به مخاطبان شما چیست.</v>
      </c>
      <c r="H10995" s="1"/>
      <c r="I10995" s="1"/>
      <c r="J10995" s="1"/>
      <c r="K10995" s="1"/>
      <c r="L10995" s="1"/>
      <c r="M10995" s="1"/>
      <c r="N10995" s="1"/>
      <c r="O10995" s="1"/>
      <c r="P10995" s="1"/>
      <c r="Q10995" s="1"/>
      <c r="R10995" s="1"/>
      <c r="S10995" s="1"/>
      <c r="T10995" s="1"/>
      <c r="U10995" s="1"/>
      <c r="V10995" s="1"/>
      <c r="W10995" s="1"/>
      <c r="X10995" s="1"/>
      <c r="Y10995" s="1"/>
      <c r="Z10995" s="1"/>
      <c r="AA10995" s="1"/>
      <c r="AB10995" s="1"/>
    </row>
    <row r="10996" ht="50.25" customHeight="1">
      <c r="A10996" s="12">
        <v>10992.0</v>
      </c>
      <c r="B10996" s="13" t="s">
        <v>10535</v>
      </c>
      <c r="C10996" s="18" t="s">
        <v>11024</v>
      </c>
      <c r="D10996" s="1"/>
      <c r="E10996" s="1"/>
      <c r="F10996" s="1" t="str">
        <f>IFERROR(__xludf.DUMMYFUNCTION("GOOGLETRANSLATE(B10996, ""en"", ""fa"")
"),"کپی رایتینگ II")</f>
        <v>کپی رایتینگ II</v>
      </c>
      <c r="G10996" s="1" t="str">
        <f>IFERROR(__xludf.DUMMYFUNCTION("GOOGLETRANSLATE(C10996, ""en"", ""fa"")
"),"چگونه عناصر داستان سرایی را در طراحی بسته بندی برند خود بگنجانیم و روایتی بصری ایجاد کنیم که ماهیت برند شما را منعکس کند.")</f>
        <v>چگونه عناصر داستان سرایی را در طراحی بسته بندی برند خود بگنجانیم و روایتی بصری ایجاد کنیم که ماهیت برند شما را منعکس کند.</v>
      </c>
      <c r="H10996" s="1"/>
      <c r="I10996" s="1"/>
      <c r="J10996" s="1"/>
      <c r="K10996" s="1"/>
      <c r="L10996" s="1"/>
      <c r="M10996" s="1"/>
      <c r="N10996" s="1"/>
      <c r="O10996" s="1"/>
      <c r="P10996" s="1"/>
      <c r="Q10996" s="1"/>
      <c r="R10996" s="1"/>
      <c r="S10996" s="1"/>
      <c r="T10996" s="1"/>
      <c r="U10996" s="1"/>
      <c r="V10996" s="1"/>
      <c r="W10996" s="1"/>
      <c r="X10996" s="1"/>
      <c r="Y10996" s="1"/>
      <c r="Z10996" s="1"/>
      <c r="AA10996" s="1"/>
      <c r="AB10996" s="1"/>
    </row>
    <row r="10997" ht="50.25" customHeight="1">
      <c r="A10997" s="12">
        <v>10993.0</v>
      </c>
      <c r="B10997" s="13" t="s">
        <v>10535</v>
      </c>
      <c r="C10997" s="18" t="s">
        <v>11025</v>
      </c>
      <c r="D10997" s="1"/>
      <c r="E10997" s="1"/>
      <c r="F10997" s="1" t="str">
        <f>IFERROR(__xludf.DUMMYFUNCTION("GOOGLETRANSLATE(B10997, ""en"", ""fa"")
"),"کپی رایتینگ II")</f>
        <v>کپی رایتینگ II</v>
      </c>
      <c r="G10997" s="1" t="str">
        <f>IFERROR(__xludf.DUMMYFUNCTION("GOOGLETRANSLATE(C10997, ""en"", ""fa"")
"),"چگونه توضیحات محصول را بنویسیم که ویژگی ها و مزایای منحصر به فرد محصولات شما را برجسته کند؟")</f>
        <v>چگونه توضیحات محصول را بنویسیم که ویژگی ها و مزایای منحصر به فرد محصولات شما را برجسته کند؟</v>
      </c>
      <c r="H10997" s="1"/>
      <c r="I10997" s="1"/>
      <c r="J10997" s="1"/>
      <c r="K10997" s="1"/>
      <c r="L10997" s="1"/>
      <c r="M10997" s="1"/>
      <c r="N10997" s="1"/>
      <c r="O10997" s="1"/>
      <c r="P10997" s="1"/>
      <c r="Q10997" s="1"/>
      <c r="R10997" s="1"/>
      <c r="S10997" s="1"/>
      <c r="T10997" s="1"/>
      <c r="U10997" s="1"/>
      <c r="V10997" s="1"/>
      <c r="W10997" s="1"/>
      <c r="X10997" s="1"/>
      <c r="Y10997" s="1"/>
      <c r="Z10997" s="1"/>
      <c r="AA10997" s="1"/>
      <c r="AB10997" s="1"/>
    </row>
    <row r="10998" ht="50.25" customHeight="1">
      <c r="A10998" s="12">
        <v>10994.0</v>
      </c>
      <c r="B10998" s="13" t="s">
        <v>10535</v>
      </c>
      <c r="C10998" s="18" t="s">
        <v>11026</v>
      </c>
      <c r="D10998" s="1"/>
      <c r="E10998" s="1"/>
      <c r="F10998" s="1" t="str">
        <f>IFERROR(__xludf.DUMMYFUNCTION("GOOGLETRANSLATE(B10998, ""en"", ""fa"")
"),"کپی رایتینگ II")</f>
        <v>کپی رایتینگ II</v>
      </c>
      <c r="G10998" s="1" t="str">
        <f>IFERROR(__xludf.DUMMYFUNCTION("GOOGLETRANSLATE(C10998, ""en"", ""fa"")
"),"عناصر ضروری برای گنجاندن در توضیحات محصول قانع کننده، مانند مشخصات محصول، موارد استفاده و مزایای مشتری چیست؟")</f>
        <v>عناصر ضروری برای گنجاندن در توضیحات محصول قانع کننده، مانند مشخصات محصول، موارد استفاده و مزایای مشتری چیست؟</v>
      </c>
      <c r="H10998" s="1"/>
      <c r="I10998" s="1"/>
      <c r="J10998" s="1"/>
      <c r="K10998" s="1"/>
      <c r="L10998" s="1"/>
      <c r="M10998" s="1"/>
      <c r="N10998" s="1"/>
      <c r="O10998" s="1"/>
      <c r="P10998" s="1"/>
      <c r="Q10998" s="1"/>
      <c r="R10998" s="1"/>
      <c r="S10998" s="1"/>
      <c r="T10998" s="1"/>
      <c r="U10998" s="1"/>
      <c r="V10998" s="1"/>
      <c r="W10998" s="1"/>
      <c r="X10998" s="1"/>
      <c r="Y10998" s="1"/>
      <c r="Z10998" s="1"/>
      <c r="AA10998" s="1"/>
      <c r="AB10998" s="1"/>
    </row>
    <row r="10999" ht="50.25" customHeight="1">
      <c r="A10999" s="12">
        <v>10995.0</v>
      </c>
      <c r="B10999" s="13" t="s">
        <v>10535</v>
      </c>
      <c r="C10999" s="18" t="s">
        <v>11027</v>
      </c>
      <c r="D10999" s="1"/>
      <c r="E10999" s="1"/>
      <c r="F10999" s="1" t="str">
        <f>IFERROR(__xludf.DUMMYFUNCTION("GOOGLETRANSLATE(B10999, ""en"", ""fa"")
"),"کپی رایتینگ II")</f>
        <v>کپی رایتینگ II</v>
      </c>
      <c r="G10999" s="1" t="str">
        <f>IFERROR(__xludf.DUMMYFUNCTION("GOOGLETRANSLATE(C10999, ""en"", ""fa"")
"),"سبک های نوشتاری مختلف را برای توضیحات محصول، از مختصر و آموزنده گرفته تا رویکردهای خلاقانه و داستان محور، کاوش کنید.")</f>
        <v>سبک های نوشتاری مختلف را برای توضیحات محصول، از مختصر و آموزنده گرفته تا رویکردهای خلاقانه و داستان محور، کاوش کنید.</v>
      </c>
      <c r="H10999" s="1"/>
      <c r="I10999" s="1"/>
      <c r="J10999" s="1"/>
      <c r="K10999" s="1"/>
      <c r="L10999" s="1"/>
      <c r="M10999" s="1"/>
      <c r="N10999" s="1"/>
      <c r="O10999" s="1"/>
      <c r="P10999" s="1"/>
      <c r="Q10999" s="1"/>
      <c r="R10999" s="1"/>
      <c r="S10999" s="1"/>
      <c r="T10999" s="1"/>
      <c r="U10999" s="1"/>
      <c r="V10999" s="1"/>
      <c r="W10999" s="1"/>
      <c r="X10999" s="1"/>
      <c r="Y10999" s="1"/>
      <c r="Z10999" s="1"/>
      <c r="AA10999" s="1"/>
      <c r="AB10999" s="1"/>
    </row>
    <row r="11000" ht="50.25" customHeight="1">
      <c r="A11000" s="12">
        <v>10996.0</v>
      </c>
      <c r="B11000" s="13" t="s">
        <v>10535</v>
      </c>
      <c r="C11000" s="18" t="s">
        <v>11028</v>
      </c>
      <c r="D11000" s="1"/>
      <c r="E11000" s="1"/>
      <c r="F11000" s="1" t="str">
        <f>IFERROR(__xludf.DUMMYFUNCTION("GOOGLETRANSLATE(B11000, ""en"", ""fa"")
"),"کپی رایتینگ II")</f>
        <v>کپی رایتینگ II</v>
      </c>
      <c r="G11000" s="1" t="str">
        <f>IFERROR(__xludf.DUMMYFUNCTION("GOOGLETRANSLATE(C11000, ""en"", ""fa"")
"),"چگونه می توان توضیحات محصول را با توجه به نیازها، ترجیحات و نقاط دردسر مخاطبان مختلف، متناسب کرد؟")</f>
        <v>چگونه می توان توضیحات محصول را با توجه به نیازها، ترجیحات و نقاط دردسر مخاطبان مختلف، متناسب کرد؟</v>
      </c>
      <c r="H11000" s="1"/>
      <c r="I11000" s="1"/>
      <c r="J11000" s="1"/>
      <c r="K11000" s="1"/>
      <c r="L11000" s="1"/>
      <c r="M11000" s="1"/>
      <c r="N11000" s="1"/>
      <c r="O11000" s="1"/>
      <c r="P11000" s="1"/>
      <c r="Q11000" s="1"/>
      <c r="R11000" s="1"/>
      <c r="S11000" s="1"/>
      <c r="T11000" s="1"/>
      <c r="U11000" s="1"/>
      <c r="V11000" s="1"/>
      <c r="W11000" s="1"/>
      <c r="X11000" s="1"/>
      <c r="Y11000" s="1"/>
      <c r="Z11000" s="1"/>
      <c r="AA11000" s="1"/>
      <c r="AB11000" s="1"/>
    </row>
    <row r="11001" ht="50.25" customHeight="1">
      <c r="A11001" s="12">
        <v>10997.0</v>
      </c>
      <c r="B11001" s="13" t="s">
        <v>10535</v>
      </c>
      <c r="C11001" s="18" t="s">
        <v>11029</v>
      </c>
      <c r="D11001" s="1"/>
      <c r="E11001" s="1"/>
      <c r="F11001" s="1" t="str">
        <f>IFERROR(__xludf.DUMMYFUNCTION("GOOGLETRANSLATE(B11001, ""en"", ""fa"")
"),"کپی رایتینگ II")</f>
        <v>کپی رایتینگ II</v>
      </c>
      <c r="G11001" s="1" t="str">
        <f>IFERROR(__xludf.DUMMYFUNCTION("GOOGLETRANSLATE(C11001, ""en"", ""fa"")
"),"در مورد اهمیت استفاده از زبان متقاعدکننده و تکنیک‌های داستان سرایی برای جلب مشتری و جذب مشتری بحث کنید.")</f>
        <v>در مورد اهمیت استفاده از زبان متقاعدکننده و تکنیک‌های داستان سرایی برای جلب مشتری و جذب مشتری بحث کنید.</v>
      </c>
      <c r="H11001" s="1"/>
      <c r="I11001" s="1"/>
      <c r="J11001" s="1"/>
      <c r="K11001" s="1"/>
      <c r="L11001" s="1"/>
      <c r="M11001" s="1"/>
      <c r="N11001" s="1"/>
      <c r="O11001" s="1"/>
      <c r="P11001" s="1"/>
      <c r="Q11001" s="1"/>
      <c r="R11001" s="1"/>
      <c r="S11001" s="1"/>
      <c r="T11001" s="1"/>
      <c r="U11001" s="1"/>
      <c r="V11001" s="1"/>
      <c r="W11001" s="1"/>
      <c r="X11001" s="1"/>
      <c r="Y11001" s="1"/>
      <c r="Z11001" s="1"/>
      <c r="AA11001" s="1"/>
      <c r="AB11001" s="1"/>
    </row>
    <row r="11002" ht="50.25" customHeight="1">
      <c r="A11002" s="12">
        <v>10998.0</v>
      </c>
      <c r="B11002" s="13" t="s">
        <v>10535</v>
      </c>
      <c r="C11002" s="18" t="s">
        <v>11030</v>
      </c>
      <c r="D11002" s="1"/>
      <c r="E11002" s="1"/>
      <c r="F11002" s="1" t="str">
        <f>IFERROR(__xludf.DUMMYFUNCTION("GOOGLETRANSLATE(B11002, ""en"", ""fa"")
"),"کپی رایتینگ II")</f>
        <v>کپی رایتینگ II</v>
      </c>
      <c r="G11002" s="1" t="str">
        <f>IFERROR(__xludf.DUMMYFUNCTION("GOOGLETRANSLATE(C11002, ""en"", ""fa"")
"),"بهترین روش ها برای گنجاندن کلمات کلیدی و استراتژی های SEO در توضیحات محصول شما برای افزایش دید و رتبه بندی جستجو چیست؟")</f>
        <v>بهترین روش ها برای گنجاندن کلمات کلیدی و استراتژی های SEO در توضیحات محصول شما برای افزایش دید و رتبه بندی جستجو چیست؟</v>
      </c>
      <c r="H11002" s="1"/>
      <c r="I11002" s="1"/>
      <c r="J11002" s="1"/>
      <c r="K11002" s="1"/>
      <c r="L11002" s="1"/>
      <c r="M11002" s="1"/>
      <c r="N11002" s="1"/>
      <c r="O11002" s="1"/>
      <c r="P11002" s="1"/>
      <c r="Q11002" s="1"/>
      <c r="R11002" s="1"/>
      <c r="S11002" s="1"/>
      <c r="T11002" s="1"/>
      <c r="U11002" s="1"/>
      <c r="V11002" s="1"/>
      <c r="W11002" s="1"/>
      <c r="X11002" s="1"/>
      <c r="Y11002" s="1"/>
      <c r="Z11002" s="1"/>
      <c r="AA11002" s="1"/>
      <c r="AB11002" s="1"/>
    </row>
    <row r="11003" ht="50.25" customHeight="1">
      <c r="A11003" s="12">
        <v>10999.0</v>
      </c>
      <c r="B11003" s="13" t="s">
        <v>10535</v>
      </c>
      <c r="C11003" s="18" t="s">
        <v>11031</v>
      </c>
      <c r="D11003" s="1"/>
      <c r="E11003" s="1"/>
      <c r="F11003" s="1" t="str">
        <f>IFERROR(__xludf.DUMMYFUNCTION("GOOGLETRANSLATE(B11003, ""en"", ""fa"")
"),"کپی رایتینگ II")</f>
        <v>کپی رایتینگ II</v>
      </c>
      <c r="G11003" s="1" t="str">
        <f>IFERROR(__xludf.DUMMYFUNCTION("GOOGLETRANSLATE(C11003, ""en"", ""fa"")
"),"چگونه می توان در توضیحات محصول خود احساس فوریت و انحصار را برای تشویق اقدام فوری مشتریان ایجاد کرد؟")</f>
        <v>چگونه می توان در توضیحات محصول خود احساس فوریت و انحصار را برای تشویق اقدام فوری مشتریان ایجاد کرد؟</v>
      </c>
      <c r="H11003" s="1"/>
      <c r="I11003" s="1"/>
      <c r="J11003" s="1"/>
      <c r="K11003" s="1"/>
      <c r="L11003" s="1"/>
      <c r="M11003" s="1"/>
      <c r="N11003" s="1"/>
      <c r="O11003" s="1"/>
      <c r="P11003" s="1"/>
      <c r="Q11003" s="1"/>
      <c r="R11003" s="1"/>
      <c r="S11003" s="1"/>
      <c r="T11003" s="1"/>
      <c r="U11003" s="1"/>
      <c r="V11003" s="1"/>
      <c r="W11003" s="1"/>
      <c r="X11003" s="1"/>
      <c r="Y11003" s="1"/>
      <c r="Z11003" s="1"/>
      <c r="AA11003" s="1"/>
      <c r="AB11003" s="1"/>
    </row>
    <row r="11004" ht="50.25" customHeight="1">
      <c r="A11004" s="12">
        <v>11000.0</v>
      </c>
      <c r="B11004" s="13" t="s">
        <v>10535</v>
      </c>
      <c r="C11004" s="18" t="s">
        <v>11032</v>
      </c>
      <c r="D11004" s="1"/>
      <c r="E11004" s="1"/>
      <c r="F11004" s="1" t="str">
        <f>IFERROR(__xludf.DUMMYFUNCTION("GOOGLETRANSLATE(B11004, ""en"", ""fa"")
"),"کپی رایتینگ II")</f>
        <v>کپی رایتینگ II</v>
      </c>
      <c r="G11004" s="1" t="str">
        <f>IFERROR(__xludf.DUMMYFUNCTION("GOOGLETRANSLATE(C11004, ""en"", ""fa"")
"),"راه های مختلف برای افزایش جذابیت بصری توضیحات محصول خود را از طریق تصاویر، ویدیوها یا عناصر تعاملی با کیفیت بالا کاوش کنید.")</f>
        <v>راه های مختلف برای افزایش جذابیت بصری توضیحات محصول خود را از طریق تصاویر، ویدیوها یا عناصر تعاملی با کیفیت بالا کاوش کنید.</v>
      </c>
      <c r="H11004" s="1"/>
      <c r="I11004" s="1"/>
      <c r="J11004" s="1"/>
      <c r="K11004" s="1"/>
      <c r="L11004" s="1"/>
      <c r="M11004" s="1"/>
      <c r="N11004" s="1"/>
      <c r="O11004" s="1"/>
      <c r="P11004" s="1"/>
      <c r="Q11004" s="1"/>
      <c r="R11004" s="1"/>
      <c r="S11004" s="1"/>
      <c r="T11004" s="1"/>
      <c r="U11004" s="1"/>
      <c r="V11004" s="1"/>
      <c r="W11004" s="1"/>
      <c r="X11004" s="1"/>
      <c r="Y11004" s="1"/>
      <c r="Z11004" s="1"/>
      <c r="AA11004" s="1"/>
      <c r="AB11004" s="1"/>
    </row>
    <row r="11005" ht="50.25" customHeight="1">
      <c r="A11005" s="12">
        <v>11001.0</v>
      </c>
      <c r="B11005" s="13" t="s">
        <v>10535</v>
      </c>
      <c r="C11005" s="18" t="s">
        <v>11033</v>
      </c>
      <c r="D11005" s="1"/>
      <c r="E11005" s="1"/>
      <c r="F11005" s="1" t="str">
        <f>IFERROR(__xludf.DUMMYFUNCTION("GOOGLETRANSLATE(B11005, ""en"", ""fa"")
"),"کپی رایتینگ II")</f>
        <v>کپی رایتینگ II</v>
      </c>
      <c r="G11005" s="1" t="str">
        <f>IFERROR(__xludf.DUMMYFUNCTION("GOOGLETRANSLATE(C11005, ""en"", ""fa"")
"),"نحوه رسیدگی به اعتراضات و نگرانی های رایج مشتریان در توضیحات محصول، ایجاد اعتماد و اعتبار.")</f>
        <v>نحوه رسیدگی به اعتراضات و نگرانی های رایج مشتریان در توضیحات محصول، ایجاد اعتماد و اعتبار.</v>
      </c>
      <c r="H11005" s="1"/>
      <c r="I11005" s="1"/>
      <c r="J11005" s="1"/>
      <c r="K11005" s="1"/>
      <c r="L11005" s="1"/>
      <c r="M11005" s="1"/>
      <c r="N11005" s="1"/>
      <c r="O11005" s="1"/>
      <c r="P11005" s="1"/>
      <c r="Q11005" s="1"/>
      <c r="R11005" s="1"/>
      <c r="S11005" s="1"/>
      <c r="T11005" s="1"/>
      <c r="U11005" s="1"/>
      <c r="V11005" s="1"/>
      <c r="W11005" s="1"/>
      <c r="X11005" s="1"/>
      <c r="Y11005" s="1"/>
      <c r="Z11005" s="1"/>
      <c r="AA11005" s="1"/>
      <c r="AB11005" s="1"/>
    </row>
    <row r="11006" ht="50.25" customHeight="1">
      <c r="A11006" s="12">
        <v>11002.0</v>
      </c>
      <c r="B11006" s="13" t="s">
        <v>10535</v>
      </c>
      <c r="C11006" s="18" t="s">
        <v>11034</v>
      </c>
      <c r="D11006" s="1"/>
      <c r="E11006" s="1"/>
      <c r="F11006" s="1" t="str">
        <f>IFERROR(__xludf.DUMMYFUNCTION("GOOGLETRANSLATE(B11006, ""en"", ""fa"")
"),"کپی رایتینگ II")</f>
        <v>کپی رایتینگ II</v>
      </c>
      <c r="G11006" s="1" t="str">
        <f>IFERROR(__xludf.DUMMYFUNCTION("GOOGLETRANSLATE(C11006, ""en"", ""fa"")
"),"در مورد نقش اثبات اجتماعی، مانند نظرات یا نظرات مشتریان، در تقویت ارزش و کیفیت محصولات خود بحث کنید.")</f>
        <v>در مورد نقش اثبات اجتماعی، مانند نظرات یا نظرات مشتریان، در تقویت ارزش و کیفیت محصولات خود بحث کنید.</v>
      </c>
      <c r="H11006" s="1"/>
      <c r="I11006" s="1"/>
      <c r="J11006" s="1"/>
      <c r="K11006" s="1"/>
      <c r="L11006" s="1"/>
      <c r="M11006" s="1"/>
      <c r="N11006" s="1"/>
      <c r="O11006" s="1"/>
      <c r="P11006" s="1"/>
      <c r="Q11006" s="1"/>
      <c r="R11006" s="1"/>
      <c r="S11006" s="1"/>
      <c r="T11006" s="1"/>
      <c r="U11006" s="1"/>
      <c r="V11006" s="1"/>
      <c r="W11006" s="1"/>
      <c r="X11006" s="1"/>
      <c r="Y11006" s="1"/>
      <c r="Z11006" s="1"/>
      <c r="AA11006" s="1"/>
      <c r="AB11006" s="1"/>
    </row>
    <row r="11007" ht="50.25" customHeight="1">
      <c r="A11007" s="12">
        <v>11003.0</v>
      </c>
      <c r="B11007" s="13" t="s">
        <v>10535</v>
      </c>
      <c r="C11007" s="18" t="s">
        <v>11035</v>
      </c>
      <c r="D11007" s="1"/>
      <c r="E11007" s="1"/>
      <c r="F11007" s="1" t="str">
        <f>IFERROR(__xludf.DUMMYFUNCTION("GOOGLETRANSLATE(B11007, ""en"", ""fa"")
"),"کپی رایتینگ II")</f>
        <v>کپی رایتینگ II</v>
      </c>
      <c r="G11007" s="1" t="str">
        <f>IFERROR(__xludf.DUMMYFUNCTION("GOOGLETRANSLATE(C11007, ""en"", ""fa"")
"),"چگونه نقاط کلیدی فروش و پیشنهاد فروش منحصر به فرد (USP) محصولات خود را در توضیحات مختصر و تاثیرگذار محصول برجسته کنیم؟")</f>
        <v>چگونه نقاط کلیدی فروش و پیشنهاد فروش منحصر به فرد (USP) محصولات خود را در توضیحات مختصر و تاثیرگذار محصول برجسته کنیم؟</v>
      </c>
      <c r="H11007" s="1"/>
      <c r="I11007" s="1"/>
      <c r="J11007" s="1"/>
      <c r="K11007" s="1"/>
      <c r="L11007" s="1"/>
      <c r="M11007" s="1"/>
      <c r="N11007" s="1"/>
      <c r="O11007" s="1"/>
      <c r="P11007" s="1"/>
      <c r="Q11007" s="1"/>
      <c r="R11007" s="1"/>
      <c r="S11007" s="1"/>
      <c r="T11007" s="1"/>
      <c r="U11007" s="1"/>
      <c r="V11007" s="1"/>
      <c r="W11007" s="1"/>
      <c r="X11007" s="1"/>
      <c r="Y11007" s="1"/>
      <c r="Z11007" s="1"/>
      <c r="AA11007" s="1"/>
      <c r="AB11007" s="1"/>
    </row>
    <row r="11008" ht="50.25" customHeight="1">
      <c r="A11008" s="12">
        <v>11004.0</v>
      </c>
      <c r="B11008" s="13" t="s">
        <v>10535</v>
      </c>
      <c r="C11008" s="18" t="s">
        <v>11036</v>
      </c>
      <c r="D11008" s="1"/>
      <c r="E11008" s="1"/>
      <c r="F11008" s="1" t="str">
        <f>IFERROR(__xludf.DUMMYFUNCTION("GOOGLETRANSLATE(B11008, ""en"", ""fa"")
"),"کپی رایتینگ II")</f>
        <v>کپی رایتینگ II</v>
      </c>
      <c r="G11008" s="1" t="str">
        <f>IFERROR(__xludf.DUMMYFUNCTION("GOOGLETRANSLATE(C11008, ""en"", ""fa"")
"),"تکنیک های مختلف برای ایجاد ارتباطات عاطفی با مشتریان را از طریق توضیحات محصول خود، به کارگیری خواسته ها و آرزوهای آنها کاوش کنید.")</f>
        <v>تکنیک های مختلف برای ایجاد ارتباطات عاطفی با مشتریان را از طریق توضیحات محصول خود، به کارگیری خواسته ها و آرزوهای آنها کاوش کنید.</v>
      </c>
      <c r="H11008" s="1"/>
      <c r="I11008" s="1"/>
      <c r="J11008" s="1"/>
      <c r="K11008" s="1"/>
      <c r="L11008" s="1"/>
      <c r="M11008" s="1"/>
      <c r="N11008" s="1"/>
      <c r="O11008" s="1"/>
      <c r="P11008" s="1"/>
      <c r="Q11008" s="1"/>
      <c r="R11008" s="1"/>
      <c r="S11008" s="1"/>
      <c r="T11008" s="1"/>
      <c r="U11008" s="1"/>
      <c r="V11008" s="1"/>
      <c r="W11008" s="1"/>
      <c r="X11008" s="1"/>
      <c r="Y11008" s="1"/>
      <c r="Z11008" s="1"/>
      <c r="AA11008" s="1"/>
      <c r="AB11008" s="1"/>
    </row>
    <row r="11009" ht="50.25" customHeight="1">
      <c r="A11009" s="12">
        <v>11005.0</v>
      </c>
      <c r="B11009" s="13" t="s">
        <v>10535</v>
      </c>
      <c r="C11009" s="18" t="s">
        <v>11037</v>
      </c>
      <c r="D11009" s="1"/>
      <c r="E11009" s="1"/>
      <c r="F11009" s="1" t="str">
        <f>IFERROR(__xludf.DUMMYFUNCTION("GOOGLETRANSLATE(B11009, ""en"", ""fa"")
"),"کپی رایتینگ II")</f>
        <v>کپی رایتینگ II</v>
      </c>
      <c r="G11009" s="1" t="str">
        <f>IFERROR(__xludf.DUMMYFUNCTION("GOOGLETRANSLATE(C11009, ""en"", ""fa"")
"),"بهترین روش‌ها برای ساختاربندی توضیحات محصول، از جمله سرفصل‌های واضح، نقاط گلوله و قالب‌بندی قابل اسکن چیست؟")</f>
        <v>بهترین روش‌ها برای ساختاربندی توضیحات محصول، از جمله سرفصل‌های واضح، نقاط گلوله و قالب‌بندی قابل اسکن چیست؟</v>
      </c>
      <c r="H11009" s="1"/>
      <c r="I11009" s="1"/>
      <c r="J11009" s="1"/>
      <c r="K11009" s="1"/>
      <c r="L11009" s="1"/>
      <c r="M11009" s="1"/>
      <c r="N11009" s="1"/>
      <c r="O11009" s="1"/>
      <c r="P11009" s="1"/>
      <c r="Q11009" s="1"/>
      <c r="R11009" s="1"/>
      <c r="S11009" s="1"/>
      <c r="T11009" s="1"/>
      <c r="U11009" s="1"/>
      <c r="V11009" s="1"/>
      <c r="W11009" s="1"/>
      <c r="X11009" s="1"/>
      <c r="Y11009" s="1"/>
      <c r="Z11009" s="1"/>
      <c r="AA11009" s="1"/>
      <c r="AB11009" s="1"/>
    </row>
    <row r="11010" ht="50.25" customHeight="1">
      <c r="A11010" s="12">
        <v>11006.0</v>
      </c>
      <c r="B11010" s="13" t="s">
        <v>10535</v>
      </c>
      <c r="C11010" s="18" t="s">
        <v>11038</v>
      </c>
      <c r="D11010" s="1"/>
      <c r="E11010" s="1"/>
      <c r="F11010" s="1" t="str">
        <f>IFERROR(__xludf.DUMMYFUNCTION("GOOGLETRANSLATE(B11010, ""en"", ""fa"")
"),"کپی رایتینگ II")</f>
        <v>کپی رایتینگ II</v>
      </c>
      <c r="G11010" s="1" t="str">
        <f>IFERROR(__xludf.DUMMYFUNCTION("GOOGLETRANSLATE(C11010, ""en"", ""fa"")
"),"چگونه می توان حس لوکس بودن، انحصارطلبی یا کیفیت برتر را از طریق توضیحات محصول خود برای جذب مشتریان فهیم منتقل کرد؟")</f>
        <v>چگونه می توان حس لوکس بودن، انحصارطلبی یا کیفیت برتر را از طریق توضیحات محصول خود برای جذب مشتریان فهیم منتقل کرد؟</v>
      </c>
      <c r="H11010" s="1"/>
      <c r="I11010" s="1"/>
      <c r="J11010" s="1"/>
      <c r="K11010" s="1"/>
      <c r="L11010" s="1"/>
      <c r="M11010" s="1"/>
      <c r="N11010" s="1"/>
      <c r="O11010" s="1"/>
      <c r="P11010" s="1"/>
      <c r="Q11010" s="1"/>
      <c r="R11010" s="1"/>
      <c r="S11010" s="1"/>
      <c r="T11010" s="1"/>
      <c r="U11010" s="1"/>
      <c r="V11010" s="1"/>
      <c r="W11010" s="1"/>
      <c r="X11010" s="1"/>
      <c r="Y11010" s="1"/>
      <c r="Z11010" s="1"/>
      <c r="AA11010" s="1"/>
      <c r="AB11010" s="1"/>
    </row>
    <row r="11011" ht="50.25" customHeight="1">
      <c r="A11011" s="12">
        <v>11007.0</v>
      </c>
      <c r="B11011" s="13" t="s">
        <v>10535</v>
      </c>
      <c r="C11011" s="18" t="s">
        <v>11039</v>
      </c>
      <c r="D11011" s="1"/>
      <c r="E11011" s="1"/>
      <c r="F11011" s="1" t="str">
        <f>IFERROR(__xludf.DUMMYFUNCTION("GOOGLETRANSLATE(B11011, ""en"", ""fa"")
"),"کپی رایتینگ II")</f>
        <v>کپی رایتینگ II</v>
      </c>
      <c r="G11011" s="1" t="str">
        <f>IFERROR(__xludf.DUMMYFUNCTION("GOOGLETRANSLATE(C11011, ""en"", ""fa"")
"),"اهمیت پرداختن به نقاط درد خاص و نیازهای مخاطب هدف خود را در توضیحات محصول خود مورد بحث قرار دهید.")</f>
        <v>اهمیت پرداختن به نقاط درد خاص و نیازهای مخاطب هدف خود را در توضیحات محصول خود مورد بحث قرار دهید.</v>
      </c>
      <c r="H11011" s="1"/>
      <c r="I11011" s="1"/>
      <c r="J11011" s="1"/>
      <c r="K11011" s="1"/>
      <c r="L11011" s="1"/>
      <c r="M11011" s="1"/>
      <c r="N11011" s="1"/>
      <c r="O11011" s="1"/>
      <c r="P11011" s="1"/>
      <c r="Q11011" s="1"/>
      <c r="R11011" s="1"/>
      <c r="S11011" s="1"/>
      <c r="T11011" s="1"/>
      <c r="U11011" s="1"/>
      <c r="V11011" s="1"/>
      <c r="W11011" s="1"/>
      <c r="X11011" s="1"/>
      <c r="Y11011" s="1"/>
      <c r="Z11011" s="1"/>
      <c r="AA11011" s="1"/>
      <c r="AB11011" s="1"/>
    </row>
    <row r="11012" ht="50.25" customHeight="1">
      <c r="A11012" s="12">
        <v>11008.0</v>
      </c>
      <c r="B11012" s="13" t="s">
        <v>10535</v>
      </c>
      <c r="C11012" s="18" t="s">
        <v>11040</v>
      </c>
      <c r="D11012" s="1"/>
      <c r="E11012" s="1"/>
      <c r="F11012" s="1" t="str">
        <f>IFERROR(__xludf.DUMMYFUNCTION("GOOGLETRANSLATE(B11012, ""en"", ""fa"")
"),"کپی رایتینگ II")</f>
        <v>کپی رایتینگ II</v>
      </c>
      <c r="G11012" s="1" t="str">
        <f>IFERROR(__xludf.DUMMYFUNCTION("GOOGLETRANSLATE(C11012, ""en"", ""fa"")
"),"چگونه یک لحن صدای ثابت در توضیحات محصول خود ایجاد کنید که با هویت برند شما همسو باشد و با مشتریان طنین انداز شود.")</f>
        <v>چگونه یک لحن صدای ثابت در توضیحات محصول خود ایجاد کنید که با هویت برند شما همسو باشد و با مشتریان طنین انداز شود.</v>
      </c>
      <c r="H11012" s="1"/>
      <c r="I11012" s="1"/>
      <c r="J11012" s="1"/>
      <c r="K11012" s="1"/>
      <c r="L11012" s="1"/>
      <c r="M11012" s="1"/>
      <c r="N11012" s="1"/>
      <c r="O11012" s="1"/>
      <c r="P11012" s="1"/>
      <c r="Q11012" s="1"/>
      <c r="R11012" s="1"/>
      <c r="S11012" s="1"/>
      <c r="T11012" s="1"/>
      <c r="U11012" s="1"/>
      <c r="V11012" s="1"/>
      <c r="W11012" s="1"/>
      <c r="X11012" s="1"/>
      <c r="Y11012" s="1"/>
      <c r="Z11012" s="1"/>
      <c r="AA11012" s="1"/>
      <c r="AB11012" s="1"/>
    </row>
    <row r="11013" ht="50.25" customHeight="1">
      <c r="A11013" s="12">
        <v>11009.0</v>
      </c>
      <c r="B11013" s="13" t="s">
        <v>10535</v>
      </c>
      <c r="C11013" s="18" t="s">
        <v>11041</v>
      </c>
      <c r="D11013" s="1"/>
      <c r="E11013" s="1"/>
      <c r="F11013" s="1" t="str">
        <f>IFERROR(__xludf.DUMMYFUNCTION("GOOGLETRANSLATE(B11013, ""en"", ""fa"")
"),"کپی رایتینگ II")</f>
        <v>کپی رایتینگ II</v>
      </c>
      <c r="G11013" s="1" t="str">
        <f>IFERROR(__xludf.DUMMYFUNCTION("GOOGLETRANSLATE(C11013, ""en"", ""fa"")
"),"استراتژی‌های مختلف برای فروش متقابل یا افزایش فروش محصولات مرتبط را در توضیحات محصول خود بررسی کنید و میانگین ارزش سفارش را افزایش دهید.")</f>
        <v>استراتژی‌های مختلف برای فروش متقابل یا افزایش فروش محصولات مرتبط را در توضیحات محصول خود بررسی کنید و میانگین ارزش سفارش را افزایش دهید.</v>
      </c>
      <c r="H11013" s="1"/>
      <c r="I11013" s="1"/>
      <c r="J11013" s="1"/>
      <c r="K11013" s="1"/>
      <c r="L11013" s="1"/>
      <c r="M11013" s="1"/>
      <c r="N11013" s="1"/>
      <c r="O11013" s="1"/>
      <c r="P11013" s="1"/>
      <c r="Q11013" s="1"/>
      <c r="R11013" s="1"/>
      <c r="S11013" s="1"/>
      <c r="T11013" s="1"/>
      <c r="U11013" s="1"/>
      <c r="V11013" s="1"/>
      <c r="W11013" s="1"/>
      <c r="X11013" s="1"/>
      <c r="Y11013" s="1"/>
      <c r="Z11013" s="1"/>
      <c r="AA11013" s="1"/>
      <c r="AB11013" s="1"/>
    </row>
    <row r="11014" ht="50.25" customHeight="1">
      <c r="A11014" s="12">
        <v>11010.0</v>
      </c>
      <c r="B11014" s="13" t="s">
        <v>10535</v>
      </c>
      <c r="C11014" s="18" t="s">
        <v>11042</v>
      </c>
      <c r="D11014" s="1"/>
      <c r="E11014" s="1"/>
      <c r="F11014" s="1" t="str">
        <f>IFERROR(__xludf.DUMMYFUNCTION("GOOGLETRANSLATE(B11014, ""en"", ""fa"")
"),"کپی رایتینگ II")</f>
        <v>کپی رایتینگ II</v>
      </c>
      <c r="G11014" s="1" t="str">
        <f>IFERROR(__xludf.DUMMYFUNCTION("GOOGLETRANSLATE(C11014, ""en"", ""fa"")
"),"تکنیک های استفاده از زبان حسی و تصاویر واضح در توضیحات محصول شما برای برانگیختن احساسات و ایجاد تجربیات به یاد ماندنی چیست؟")</f>
        <v>تکنیک های استفاده از زبان حسی و تصاویر واضح در توضیحات محصول شما برای برانگیختن احساسات و ایجاد تجربیات به یاد ماندنی چیست؟</v>
      </c>
      <c r="H11014" s="1"/>
      <c r="I11014" s="1"/>
      <c r="J11014" s="1"/>
      <c r="K11014" s="1"/>
      <c r="L11014" s="1"/>
      <c r="M11014" s="1"/>
      <c r="N11014" s="1"/>
      <c r="O11014" s="1"/>
      <c r="P11014" s="1"/>
      <c r="Q11014" s="1"/>
      <c r="R11014" s="1"/>
      <c r="S11014" s="1"/>
      <c r="T11014" s="1"/>
      <c r="U11014" s="1"/>
      <c r="V11014" s="1"/>
      <c r="W11014" s="1"/>
      <c r="X11014" s="1"/>
      <c r="Y11014" s="1"/>
      <c r="Z11014" s="1"/>
      <c r="AA11014" s="1"/>
      <c r="AB11014" s="1"/>
    </row>
    <row r="11015" ht="50.25" customHeight="1">
      <c r="A11015" s="12">
        <v>11011.0</v>
      </c>
      <c r="B11015" s="13" t="s">
        <v>10535</v>
      </c>
      <c r="C11015" s="18" t="s">
        <v>11043</v>
      </c>
      <c r="D11015" s="1"/>
      <c r="E11015" s="1"/>
      <c r="F11015" s="1" t="str">
        <f>IFERROR(__xludf.DUMMYFUNCTION("GOOGLETRANSLATE(B11015, ""en"", ""fa"")
"),"کپی رایتینگ II")</f>
        <v>کپی رایتینگ II</v>
      </c>
      <c r="G11015" s="1" t="str">
        <f>IFERROR(__xludf.DUMMYFUNCTION("GOOGLETRANSLATE(C11015, ""en"", ""fa"")
"),"چگونه از عناصر داستان سرایی در توضیحات محصول خود برای جذب مشتریان و انتقال ارزش محصول در زمینه استفاده کنید.")</f>
        <v>چگونه از عناصر داستان سرایی در توضیحات محصول خود برای جذب مشتریان و انتقال ارزش محصول در زمینه استفاده کنید.</v>
      </c>
      <c r="H11015" s="1"/>
      <c r="I11015" s="1"/>
      <c r="J11015" s="1"/>
      <c r="K11015" s="1"/>
      <c r="L11015" s="1"/>
      <c r="M11015" s="1"/>
      <c r="N11015" s="1"/>
      <c r="O11015" s="1"/>
      <c r="P11015" s="1"/>
      <c r="Q11015" s="1"/>
      <c r="R11015" s="1"/>
      <c r="S11015" s="1"/>
      <c r="T11015" s="1"/>
      <c r="U11015" s="1"/>
      <c r="V11015" s="1"/>
      <c r="W11015" s="1"/>
      <c r="X11015" s="1"/>
      <c r="Y11015" s="1"/>
      <c r="Z11015" s="1"/>
      <c r="AA11015" s="1"/>
      <c r="AB11015" s="1"/>
    </row>
    <row r="11016" ht="50.25" customHeight="1">
      <c r="A11016" s="12">
        <v>11012.0</v>
      </c>
      <c r="B11016" s="13" t="s">
        <v>10535</v>
      </c>
      <c r="C11016" s="18" t="s">
        <v>11044</v>
      </c>
      <c r="D11016" s="1"/>
      <c r="E11016" s="1"/>
      <c r="F11016" s="1" t="str">
        <f>IFERROR(__xludf.DUMMYFUNCTION("GOOGLETRANSLATE(B11016, ""en"", ""fa"")
"),"کپی رایتینگ II")</f>
        <v>کپی رایتینگ II</v>
      </c>
      <c r="G11016" s="1" t="str">
        <f>IFERROR(__xludf.DUMMYFUNCTION("GOOGLETRANSLATE(C11016, ""en"", ""fa"")
"),"در مورد نقش مقایسه و تضاد محصول در توضیحات محصول خود بحث کنید و به مشتریان در تصمیم گیری آگاهانه برای خرید کمک کنید.")</f>
        <v>در مورد نقش مقایسه و تضاد محصول در توضیحات محصول خود بحث کنید و به مشتریان در تصمیم گیری آگاهانه برای خرید کمک کنید.</v>
      </c>
      <c r="H11016" s="1"/>
      <c r="I11016" s="1"/>
      <c r="J11016" s="1"/>
      <c r="K11016" s="1"/>
      <c r="L11016" s="1"/>
      <c r="M11016" s="1"/>
      <c r="N11016" s="1"/>
      <c r="O11016" s="1"/>
      <c r="P11016" s="1"/>
      <c r="Q11016" s="1"/>
      <c r="R11016" s="1"/>
      <c r="S11016" s="1"/>
      <c r="T11016" s="1"/>
      <c r="U11016" s="1"/>
      <c r="V11016" s="1"/>
      <c r="W11016" s="1"/>
      <c r="X11016" s="1"/>
      <c r="Y11016" s="1"/>
      <c r="Z11016" s="1"/>
      <c r="AA11016" s="1"/>
      <c r="AB11016" s="1"/>
    </row>
    <row r="11017" ht="50.25" customHeight="1">
      <c r="A11017" s="12">
        <v>11013.0</v>
      </c>
      <c r="B11017" s="13" t="s">
        <v>10535</v>
      </c>
      <c r="C11017" s="18" t="s">
        <v>11045</v>
      </c>
      <c r="D11017" s="1"/>
      <c r="E11017" s="1"/>
      <c r="F11017" s="1" t="str">
        <f>IFERROR(__xludf.DUMMYFUNCTION("GOOGLETRANSLATE(B11017, ""en"", ""fa"")
"),"کپی رایتینگ II")</f>
        <v>کپی رایتینگ II</v>
      </c>
      <c r="G11017" s="1" t="str">
        <f>IFERROR(__xludf.DUMMYFUNCTION("GOOGLETRANSLATE(C11017, ""en"", ""fa"")
"),"چگونه می توان توضیحات محصولی را ایجاد کرد که به طور موثری مزایا و ارزش محصولات شما را فراتر از ویژگی ها و مشخصات صرف کند؟")</f>
        <v>چگونه می توان توضیحات محصولی را ایجاد کرد که به طور موثری مزایا و ارزش محصولات شما را فراتر از ویژگی ها و مشخصات صرف کند؟</v>
      </c>
      <c r="H11017" s="1"/>
      <c r="I11017" s="1"/>
      <c r="J11017" s="1"/>
      <c r="K11017" s="1"/>
      <c r="L11017" s="1"/>
      <c r="M11017" s="1"/>
      <c r="N11017" s="1"/>
      <c r="O11017" s="1"/>
      <c r="P11017" s="1"/>
      <c r="Q11017" s="1"/>
      <c r="R11017" s="1"/>
      <c r="S11017" s="1"/>
      <c r="T11017" s="1"/>
      <c r="U11017" s="1"/>
      <c r="V11017" s="1"/>
      <c r="W11017" s="1"/>
      <c r="X11017" s="1"/>
      <c r="Y11017" s="1"/>
      <c r="Z11017" s="1"/>
      <c r="AA11017" s="1"/>
      <c r="AB11017" s="1"/>
    </row>
    <row r="11018" ht="50.25" customHeight="1">
      <c r="A11018" s="12">
        <v>11014.0</v>
      </c>
      <c r="B11018" s="13" t="s">
        <v>10535</v>
      </c>
      <c r="C11018" s="18" t="s">
        <v>11046</v>
      </c>
      <c r="D11018" s="1"/>
      <c r="E11018" s="1"/>
      <c r="F11018" s="1" t="str">
        <f>IFERROR(__xludf.DUMMYFUNCTION("GOOGLETRANSLATE(B11018, ""en"", ""fa"")
"),"کپی رایتینگ II")</f>
        <v>کپی رایتینگ II</v>
      </c>
      <c r="G11018" s="1" t="str">
        <f>IFERROR(__xludf.DUMMYFUNCTION("GOOGLETRANSLATE(C11018, ""en"", ""fa"")
"),"روش‌های مختلف برای تنظیم توضیحات محصول برای کانال‌های فروش مختلف، مانند پلتفرم‌های تجارت الکترونیک، رسانه‌های اجتماعی، یا کاتالوگ‌های چاپی را بررسی کنید.")</f>
        <v>روش‌های مختلف برای تنظیم توضیحات محصول برای کانال‌های فروش مختلف، مانند پلتفرم‌های تجارت الکترونیک، رسانه‌های اجتماعی، یا کاتالوگ‌های چاپی را بررسی کنید.</v>
      </c>
      <c r="H11018" s="1"/>
      <c r="I11018" s="1"/>
      <c r="J11018" s="1"/>
      <c r="K11018" s="1"/>
      <c r="L11018" s="1"/>
      <c r="M11018" s="1"/>
      <c r="N11018" s="1"/>
      <c r="O11018" s="1"/>
      <c r="P11018" s="1"/>
      <c r="Q11018" s="1"/>
      <c r="R11018" s="1"/>
      <c r="S11018" s="1"/>
      <c r="T11018" s="1"/>
      <c r="U11018" s="1"/>
      <c r="V11018" s="1"/>
      <c r="W11018" s="1"/>
      <c r="X11018" s="1"/>
      <c r="Y11018" s="1"/>
      <c r="Z11018" s="1"/>
      <c r="AA11018" s="1"/>
      <c r="AB11018" s="1"/>
    </row>
    <row r="11019" ht="50.25" customHeight="1">
      <c r="A11019" s="12">
        <v>11015.0</v>
      </c>
      <c r="B11019" s="13" t="s">
        <v>10535</v>
      </c>
      <c r="C11019" s="18" t="s">
        <v>11047</v>
      </c>
      <c r="D11019" s="1"/>
      <c r="E11019" s="1"/>
      <c r="F11019" s="1" t="str">
        <f>IFERROR(__xludf.DUMMYFUNCTION("GOOGLETRANSLATE(B11019, ""en"", ""fa"")
"),"کپی رایتینگ II")</f>
        <v>کپی رایتینگ II</v>
      </c>
      <c r="G11019" s="1" t="str">
        <f>IFERROR(__xludf.DUMMYFUNCTION("GOOGLETRANSLATE(C11019, ""en"", ""fa"")
"),"بهترین روش ها برای گنجاندن بیانیه های دعوت به اقدام متقاعد کننده در توضیحات محصول شما برای اقدام سریع مشتری چیست؟")</f>
        <v>بهترین روش ها برای گنجاندن بیانیه های دعوت به اقدام متقاعد کننده در توضیحات محصول شما برای اقدام سریع مشتری چیست؟</v>
      </c>
      <c r="H11019" s="1"/>
      <c r="I11019" s="1"/>
      <c r="J11019" s="1"/>
      <c r="K11019" s="1"/>
      <c r="L11019" s="1"/>
      <c r="M11019" s="1"/>
      <c r="N11019" s="1"/>
      <c r="O11019" s="1"/>
      <c r="P11019" s="1"/>
      <c r="Q11019" s="1"/>
      <c r="R11019" s="1"/>
      <c r="S11019" s="1"/>
      <c r="T11019" s="1"/>
      <c r="U11019" s="1"/>
      <c r="V11019" s="1"/>
      <c r="W11019" s="1"/>
      <c r="X11019" s="1"/>
      <c r="Y11019" s="1"/>
      <c r="Z11019" s="1"/>
      <c r="AA11019" s="1"/>
      <c r="AB11019" s="1"/>
    </row>
    <row r="11020" ht="50.25" customHeight="1">
      <c r="A11020" s="12">
        <v>11016.0</v>
      </c>
      <c r="B11020" s="13" t="s">
        <v>10535</v>
      </c>
      <c r="C11020" s="18" t="s">
        <v>11048</v>
      </c>
      <c r="D11020" s="1"/>
      <c r="E11020" s="1"/>
      <c r="F11020" s="1" t="str">
        <f>IFERROR(__xludf.DUMMYFUNCTION("GOOGLETRANSLATE(B11020, ""en"", ""fa"")
"),"کپی رایتینگ II")</f>
        <v>کپی رایتینگ II</v>
      </c>
      <c r="G11020" s="1" t="str">
        <f>IFERROR(__xludf.DUMMYFUNCTION("GOOGLETRANSLATE(C11020, ""en"", ""fa"")
"),"چگونه از زبان مشتری محور و پیام های فراگیر در توضیحات محصول خود برای جذب مخاطبان گسترده تر استفاده کنید.")</f>
        <v>چگونه از زبان مشتری محور و پیام های فراگیر در توضیحات محصول خود برای جذب مخاطبان گسترده تر استفاده کنید.</v>
      </c>
      <c r="H11020" s="1"/>
      <c r="I11020" s="1"/>
      <c r="J11020" s="1"/>
      <c r="K11020" s="1"/>
      <c r="L11020" s="1"/>
      <c r="M11020" s="1"/>
      <c r="N11020" s="1"/>
      <c r="O11020" s="1"/>
      <c r="P11020" s="1"/>
      <c r="Q11020" s="1"/>
      <c r="R11020" s="1"/>
      <c r="S11020" s="1"/>
      <c r="T11020" s="1"/>
      <c r="U11020" s="1"/>
      <c r="V11020" s="1"/>
      <c r="W11020" s="1"/>
      <c r="X11020" s="1"/>
      <c r="Y11020" s="1"/>
      <c r="Z11020" s="1"/>
      <c r="AA11020" s="1"/>
      <c r="AB11020" s="1"/>
    </row>
    <row r="11021" ht="50.25" customHeight="1">
      <c r="A11021" s="12">
        <v>11017.0</v>
      </c>
      <c r="B11021" s="13" t="s">
        <v>10535</v>
      </c>
      <c r="C11021" s="18" t="s">
        <v>11049</v>
      </c>
      <c r="D11021" s="1"/>
      <c r="E11021" s="1"/>
      <c r="F11021" s="1" t="str">
        <f>IFERROR(__xludf.DUMMYFUNCTION("GOOGLETRANSLATE(B11021, ""en"", ""fa"")
"),"کپی رایتینگ II")</f>
        <v>کپی رایتینگ II</v>
      </c>
      <c r="G11021" s="1" t="str">
        <f>IFERROR(__xludf.DUMMYFUNCTION("GOOGLETRANSLATE(C11021, ""en"", ""fa"")
"),"درباره اهمیت مختصر و متمرکز نگه داشتن توضیحات محصول خود، ارائه اطلاعات کلیدی بدون نیاز به مشتریان بحث کنید.")</f>
        <v>درباره اهمیت مختصر و متمرکز نگه داشتن توضیحات محصول خود، ارائه اطلاعات کلیدی بدون نیاز به مشتریان بحث کنید.</v>
      </c>
      <c r="H11021" s="1"/>
      <c r="I11021" s="1"/>
      <c r="J11021" s="1"/>
      <c r="K11021" s="1"/>
      <c r="L11021" s="1"/>
      <c r="M11021" s="1"/>
      <c r="N11021" s="1"/>
      <c r="O11021" s="1"/>
      <c r="P11021" s="1"/>
      <c r="Q11021" s="1"/>
      <c r="R11021" s="1"/>
      <c r="S11021" s="1"/>
      <c r="T11021" s="1"/>
      <c r="U11021" s="1"/>
      <c r="V11021" s="1"/>
      <c r="W11021" s="1"/>
      <c r="X11021" s="1"/>
      <c r="Y11021" s="1"/>
      <c r="Z11021" s="1"/>
      <c r="AA11021" s="1"/>
      <c r="AB11021" s="1"/>
    </row>
    <row r="11022" ht="50.25" customHeight="1">
      <c r="A11022" s="12">
        <v>11018.0</v>
      </c>
      <c r="B11022" s="13" t="s">
        <v>10535</v>
      </c>
      <c r="C11022" s="18" t="s">
        <v>11050</v>
      </c>
      <c r="D11022" s="1"/>
      <c r="E11022" s="1"/>
      <c r="F11022" s="1" t="str">
        <f>IFERROR(__xludf.DUMMYFUNCTION("GOOGLETRANSLATE(B11022, ""en"", ""fa"")
"),"کپی رایتینگ II")</f>
        <v>کپی رایتینگ II</v>
      </c>
      <c r="G11022" s="1" t="str">
        <f>IFERROR(__xludf.DUMMYFUNCTION("GOOGLETRANSLATE(C11022, ""en"", ""fa"")
"),"چگونه به سوالات متداول مشتریان پاسخ دهید و در توضیحات محصول خود پاسخ های دقیقی ارائه دهید و اصطکاک در فرآیند خرید را کاهش دهید.")</f>
        <v>چگونه به سوالات متداول مشتریان پاسخ دهید و در توضیحات محصول خود پاسخ های دقیقی ارائه دهید و اصطکاک در فرآیند خرید را کاهش دهید.</v>
      </c>
      <c r="H11022" s="1"/>
      <c r="I11022" s="1"/>
      <c r="J11022" s="1"/>
      <c r="K11022" s="1"/>
      <c r="L11022" s="1"/>
      <c r="M11022" s="1"/>
      <c r="N11022" s="1"/>
      <c r="O11022" s="1"/>
      <c r="P11022" s="1"/>
      <c r="Q11022" s="1"/>
      <c r="R11022" s="1"/>
      <c r="S11022" s="1"/>
      <c r="T11022" s="1"/>
      <c r="U11022" s="1"/>
      <c r="V11022" s="1"/>
      <c r="W11022" s="1"/>
      <c r="X11022" s="1"/>
      <c r="Y11022" s="1"/>
      <c r="Z11022" s="1"/>
      <c r="AA11022" s="1"/>
      <c r="AB11022" s="1"/>
    </row>
    <row r="11023" ht="50.25" customHeight="1">
      <c r="A11023" s="12">
        <v>11019.0</v>
      </c>
      <c r="B11023" s="13" t="s">
        <v>10535</v>
      </c>
      <c r="C11023" s="18" t="s">
        <v>11051</v>
      </c>
      <c r="D11023" s="1"/>
      <c r="E11023" s="1"/>
      <c r="F11023" s="1" t="str">
        <f>IFERROR(__xludf.DUMMYFUNCTION("GOOGLETRANSLATE(B11023, ""en"", ""fa"")
"),"کپی رایتینگ II")</f>
        <v>کپی رایتینگ II</v>
      </c>
      <c r="G11023" s="1" t="str">
        <f>IFERROR(__xludf.DUMMYFUNCTION("GOOGLETRANSLATE(C11023, ""en"", ""fa"")
"),"تکنیک های مختلف را برای ایجاد حس انتظار و هیجان در توضیحات محصول خود کاوش کنید و مشتریان را مشتاق تجربه محصول کنید.")</f>
        <v>تکنیک های مختلف را برای ایجاد حس انتظار و هیجان در توضیحات محصول خود کاوش کنید و مشتریان را مشتاق تجربه محصول کنید.</v>
      </c>
      <c r="H11023" s="1"/>
      <c r="I11023" s="1"/>
      <c r="J11023" s="1"/>
      <c r="K11023" s="1"/>
      <c r="L11023" s="1"/>
      <c r="M11023" s="1"/>
      <c r="N11023" s="1"/>
      <c r="O11023" s="1"/>
      <c r="P11023" s="1"/>
      <c r="Q11023" s="1"/>
      <c r="R11023" s="1"/>
      <c r="S11023" s="1"/>
      <c r="T11023" s="1"/>
      <c r="U11023" s="1"/>
      <c r="V11023" s="1"/>
      <c r="W11023" s="1"/>
      <c r="X11023" s="1"/>
      <c r="Y11023" s="1"/>
      <c r="Z11023" s="1"/>
      <c r="AA11023" s="1"/>
      <c r="AB11023" s="1"/>
    </row>
    <row r="11024" ht="50.25" customHeight="1">
      <c r="A11024" s="12">
        <v>11020.0</v>
      </c>
      <c r="B11024" s="13" t="s">
        <v>10535</v>
      </c>
      <c r="C11024" s="18" t="s">
        <v>11052</v>
      </c>
      <c r="D11024" s="1"/>
      <c r="E11024" s="1"/>
      <c r="F11024" s="1" t="str">
        <f>IFERROR(__xludf.DUMMYFUNCTION("GOOGLETRANSLATE(B11024, ""en"", ""fa"")
"),"کپی رایتینگ II")</f>
        <v>کپی رایتینگ II</v>
      </c>
      <c r="G11024" s="1" t="str">
        <f>IFERROR(__xludf.DUMMYFUNCTION("GOOGLETRANSLATE(C11024, ""en"", ""fa"")
"),"راهبردهای استفاده از داستان سرایی برای برجسته کردن منشاء یا مهارت محصولات شما در توضیحات شما چیست؟")</f>
        <v>راهبردهای استفاده از داستان سرایی برای برجسته کردن منشاء یا مهارت محصولات شما در توضیحات شما چیست؟</v>
      </c>
      <c r="H11024" s="1"/>
      <c r="I11024" s="1"/>
      <c r="J11024" s="1"/>
      <c r="K11024" s="1"/>
      <c r="L11024" s="1"/>
      <c r="M11024" s="1"/>
      <c r="N11024" s="1"/>
      <c r="O11024" s="1"/>
      <c r="P11024" s="1"/>
      <c r="Q11024" s="1"/>
      <c r="R11024" s="1"/>
      <c r="S11024" s="1"/>
      <c r="T11024" s="1"/>
      <c r="U11024" s="1"/>
      <c r="V11024" s="1"/>
      <c r="W11024" s="1"/>
      <c r="X11024" s="1"/>
      <c r="Y11024" s="1"/>
      <c r="Z11024" s="1"/>
      <c r="AA11024" s="1"/>
      <c r="AB11024" s="1"/>
    </row>
    <row r="11025" ht="50.25" customHeight="1">
      <c r="A11025" s="12">
        <v>11021.0</v>
      </c>
      <c r="B11025" s="13" t="s">
        <v>10535</v>
      </c>
      <c r="C11025" s="18" t="s">
        <v>11053</v>
      </c>
      <c r="D11025" s="1"/>
      <c r="E11025" s="1"/>
      <c r="F11025" s="1" t="str">
        <f>IFERROR(__xludf.DUMMYFUNCTION("GOOGLETRANSLATE(B11025, ""en"", ""fa"")
"),"کپی رایتینگ II")</f>
        <v>کپی رایتینگ II</v>
      </c>
      <c r="G11025" s="1" t="str">
        <f>IFERROR(__xludf.DUMMYFUNCTION("GOOGLETRANSLATE(C11025, ""en"", ""fa"")
"),"چگونه می توان حس ارزش و مقرون به صرفه بودن را در توضیحات محصول خود بدون به خطر انداختن کیفیت یا ارزش درک شده منتقل کرد؟")</f>
        <v>چگونه می توان حس ارزش و مقرون به صرفه بودن را در توضیحات محصول خود بدون به خطر انداختن کیفیت یا ارزش درک شده منتقل کرد؟</v>
      </c>
      <c r="H11025" s="1"/>
      <c r="I11025" s="1"/>
      <c r="J11025" s="1"/>
      <c r="K11025" s="1"/>
      <c r="L11025" s="1"/>
      <c r="M11025" s="1"/>
      <c r="N11025" s="1"/>
      <c r="O11025" s="1"/>
      <c r="P11025" s="1"/>
      <c r="Q11025" s="1"/>
      <c r="R11025" s="1"/>
      <c r="S11025" s="1"/>
      <c r="T11025" s="1"/>
      <c r="U11025" s="1"/>
      <c r="V11025" s="1"/>
      <c r="W11025" s="1"/>
      <c r="X11025" s="1"/>
      <c r="Y11025" s="1"/>
      <c r="Z11025" s="1"/>
      <c r="AA11025" s="1"/>
      <c r="AB11025" s="1"/>
    </row>
    <row r="11026" ht="50.25" customHeight="1">
      <c r="A11026" s="12">
        <v>11022.0</v>
      </c>
      <c r="B11026" s="13" t="s">
        <v>10535</v>
      </c>
      <c r="C11026" s="18" t="s">
        <v>11054</v>
      </c>
      <c r="D11026" s="1"/>
      <c r="E11026" s="1"/>
      <c r="F11026" s="1" t="str">
        <f>IFERROR(__xludf.DUMMYFUNCTION("GOOGLETRANSLATE(B11026, ""en"", ""fa"")
"),"کپی رایتینگ II")</f>
        <v>کپی رایتینگ II</v>
      </c>
      <c r="G11026" s="1" t="str">
        <f>IFERROR(__xludf.DUMMYFUNCTION("GOOGLETRANSLATE(C11026, ""en"", ""fa"")
"),"در مورد نقش یکپارچه سازی رسانه های اجتماعی در توضیحات محصول خود بحث کنید و مشتریان را تشویق کنید تا تجربیات خرید و نظرات خود را به اشتراک بگذارند.")</f>
        <v>در مورد نقش یکپارچه سازی رسانه های اجتماعی در توضیحات محصول خود بحث کنید و مشتریان را تشویق کنید تا تجربیات خرید و نظرات خود را به اشتراک بگذارند.</v>
      </c>
      <c r="H11026" s="1"/>
      <c r="I11026" s="1"/>
      <c r="J11026" s="1"/>
      <c r="K11026" s="1"/>
      <c r="L11026" s="1"/>
      <c r="M11026" s="1"/>
      <c r="N11026" s="1"/>
      <c r="O11026" s="1"/>
      <c r="P11026" s="1"/>
      <c r="Q11026" s="1"/>
      <c r="R11026" s="1"/>
      <c r="S11026" s="1"/>
      <c r="T11026" s="1"/>
      <c r="U11026" s="1"/>
      <c r="V11026" s="1"/>
      <c r="W11026" s="1"/>
      <c r="X11026" s="1"/>
      <c r="Y11026" s="1"/>
      <c r="Z11026" s="1"/>
      <c r="AA11026" s="1"/>
      <c r="AB11026" s="1"/>
    </row>
    <row r="11027" ht="50.25" customHeight="1">
      <c r="A11027" s="12">
        <v>11023.0</v>
      </c>
      <c r="B11027" s="13" t="s">
        <v>10535</v>
      </c>
      <c r="C11027" s="18" t="s">
        <v>11055</v>
      </c>
      <c r="D11027" s="1"/>
      <c r="E11027" s="1"/>
      <c r="F11027" s="1" t="str">
        <f>IFERROR(__xludf.DUMMYFUNCTION("GOOGLETRANSLATE(B11027, ""en"", ""fa"")
"),"کپی رایتینگ II")</f>
        <v>کپی رایتینگ II</v>
      </c>
      <c r="G11027" s="1" t="str">
        <f>IFERROR(__xludf.DUMMYFUNCTION("GOOGLETRANSLATE(C11027, ""en"", ""fa"")
"),"چگونه توصیفات محصول خود را برای دستگاه های تلفن همراه بهینه کنید و از تجربه ای یکپارچه و جذاب برای خریداران موبایل اطمینان حاصل کنید.")</f>
        <v>چگونه توصیفات محصول خود را برای دستگاه های تلفن همراه بهینه کنید و از تجربه ای یکپارچه و جذاب برای خریداران موبایل اطمینان حاصل کنید.</v>
      </c>
      <c r="H11027" s="1"/>
      <c r="I11027" s="1"/>
      <c r="J11027" s="1"/>
      <c r="K11027" s="1"/>
      <c r="L11027" s="1"/>
      <c r="M11027" s="1"/>
      <c r="N11027" s="1"/>
      <c r="O11027" s="1"/>
      <c r="P11027" s="1"/>
      <c r="Q11027" s="1"/>
      <c r="R11027" s="1"/>
      <c r="S11027" s="1"/>
      <c r="T11027" s="1"/>
      <c r="U11027" s="1"/>
      <c r="V11027" s="1"/>
      <c r="W11027" s="1"/>
      <c r="X11027" s="1"/>
      <c r="Y11027" s="1"/>
      <c r="Z11027" s="1"/>
      <c r="AA11027" s="1"/>
      <c r="AB11027" s="1"/>
    </row>
    <row r="11028" ht="50.25" customHeight="1">
      <c r="A11028" s="12">
        <v>11024.0</v>
      </c>
      <c r="B11028" s="13" t="s">
        <v>10535</v>
      </c>
      <c r="C11028" s="18" t="s">
        <v>11056</v>
      </c>
      <c r="D11028" s="1"/>
      <c r="E11028" s="1"/>
      <c r="F11028" s="1" t="str">
        <f>IFERROR(__xludf.DUMMYFUNCTION("GOOGLETRANSLATE(B11028, ""en"", ""fa"")
"),"کپی رایتینگ II")</f>
        <v>کپی رایتینگ II</v>
      </c>
      <c r="G11028" s="1" t="str">
        <f>IFERROR(__xludf.DUMMYFUNCTION("GOOGLETRANSLATE(C11028, ""en"", ""fa"")
"),"روش‌های مختلف برای گنجاندن محتوای تولید شده توسط مشتری، مانند عکس‌ها یا ویدیوهای کاربر، در توضیحات محصول خود برای اثبات اجتماعی کاوش کنید.")</f>
        <v>روش‌های مختلف برای گنجاندن محتوای تولید شده توسط مشتری، مانند عکس‌ها یا ویدیوهای کاربر، در توضیحات محصول خود برای اثبات اجتماعی کاوش کنید.</v>
      </c>
      <c r="H11028" s="1"/>
      <c r="I11028" s="1"/>
      <c r="J11028" s="1"/>
      <c r="K11028" s="1"/>
      <c r="L11028" s="1"/>
      <c r="M11028" s="1"/>
      <c r="N11028" s="1"/>
      <c r="O11028" s="1"/>
      <c r="P11028" s="1"/>
      <c r="Q11028" s="1"/>
      <c r="R11028" s="1"/>
      <c r="S11028" s="1"/>
      <c r="T11028" s="1"/>
      <c r="U11028" s="1"/>
      <c r="V11028" s="1"/>
      <c r="W11028" s="1"/>
      <c r="X11028" s="1"/>
      <c r="Y11028" s="1"/>
      <c r="Z11028" s="1"/>
      <c r="AA11028" s="1"/>
      <c r="AB11028" s="1"/>
    </row>
    <row r="11029" ht="50.25" customHeight="1">
      <c r="A11029" s="12">
        <v>11025.0</v>
      </c>
      <c r="B11029" s="13" t="s">
        <v>10535</v>
      </c>
      <c r="C11029" s="18" t="s">
        <v>11057</v>
      </c>
      <c r="D11029" s="1"/>
      <c r="E11029" s="1"/>
      <c r="F11029" s="1" t="str">
        <f>IFERROR(__xludf.DUMMYFUNCTION("GOOGLETRANSLATE(B11029, ""en"", ""fa"")
"),"کپی رایتینگ II")</f>
        <v>کپی رایتینگ II</v>
      </c>
      <c r="G11029" s="1" t="str">
        <f>IFERROR(__xludf.DUMMYFUNCTION("GOOGLETRANSLATE(C11029, ""en"", ""fa"")
"),"بهترین روش‌ها برای استفاده از تکنیک‌های کپی‌رایتینگ متقاعدکننده، مانند کمبود، انحصار، یا ترس از دست دادن، در توضیحات محصول شما چیست؟")</f>
        <v>بهترین روش‌ها برای استفاده از تکنیک‌های کپی‌رایتینگ متقاعدکننده، مانند کمبود، انحصار، یا ترس از دست دادن، در توضیحات محصول شما چیست؟</v>
      </c>
      <c r="H11029" s="1"/>
      <c r="I11029" s="1"/>
      <c r="J11029" s="1"/>
      <c r="K11029" s="1"/>
      <c r="L11029" s="1"/>
      <c r="M11029" s="1"/>
      <c r="N11029" s="1"/>
      <c r="O11029" s="1"/>
      <c r="P11029" s="1"/>
      <c r="Q11029" s="1"/>
      <c r="R11029" s="1"/>
      <c r="S11029" s="1"/>
      <c r="T11029" s="1"/>
      <c r="U11029" s="1"/>
      <c r="V11029" s="1"/>
      <c r="W11029" s="1"/>
      <c r="X11029" s="1"/>
      <c r="Y11029" s="1"/>
      <c r="Z11029" s="1"/>
      <c r="AA11029" s="1"/>
      <c r="AB11029" s="1"/>
    </row>
    <row r="11030" ht="50.25" customHeight="1">
      <c r="A11030" s="12">
        <v>11026.0</v>
      </c>
      <c r="B11030" s="13" t="s">
        <v>10535</v>
      </c>
      <c r="C11030" s="18" t="s">
        <v>11058</v>
      </c>
      <c r="D11030" s="1"/>
      <c r="E11030" s="1"/>
      <c r="F11030" s="1" t="str">
        <f>IFERROR(__xludf.DUMMYFUNCTION("GOOGLETRANSLATE(B11030, ""en"", ""fa"")
"),"کپی رایتینگ II")</f>
        <v>کپی رایتینگ II</v>
      </c>
      <c r="G11030" s="1" t="str">
        <f>IFERROR(__xludf.DUMMYFUNCTION("GOOGLETRANSLATE(C11030, ""en"", ""fa"")
"),"نحوه ایجاد توضیحات محصول که به مراحل مختلف سفر خریدار پاسخ می‌دهد و نیازهای آگاهی، توجه و تصمیم‌گیری را مورد توجه قرار می‌دهد.")</f>
        <v>نحوه ایجاد توضیحات محصول که به مراحل مختلف سفر خریدار پاسخ می‌دهد و نیازهای آگاهی، توجه و تصمیم‌گیری را مورد توجه قرار می‌دهد.</v>
      </c>
      <c r="H11030" s="1"/>
      <c r="I11030" s="1"/>
      <c r="J11030" s="1"/>
      <c r="K11030" s="1"/>
      <c r="L11030" s="1"/>
      <c r="M11030" s="1"/>
      <c r="N11030" s="1"/>
      <c r="O11030" s="1"/>
      <c r="P11030" s="1"/>
      <c r="Q11030" s="1"/>
      <c r="R11030" s="1"/>
      <c r="S11030" s="1"/>
      <c r="T11030" s="1"/>
      <c r="U11030" s="1"/>
      <c r="V11030" s="1"/>
      <c r="W11030" s="1"/>
      <c r="X11030" s="1"/>
      <c r="Y11030" s="1"/>
      <c r="Z11030" s="1"/>
      <c r="AA11030" s="1"/>
      <c r="AB11030" s="1"/>
    </row>
    <row r="11031" ht="50.25" customHeight="1">
      <c r="A11031" s="12">
        <v>11027.0</v>
      </c>
      <c r="B11031" s="13" t="s">
        <v>10535</v>
      </c>
      <c r="C11031" s="18" t="s">
        <v>11059</v>
      </c>
      <c r="D11031" s="1"/>
      <c r="E11031" s="1"/>
      <c r="F11031" s="1" t="str">
        <f>IFERROR(__xludf.DUMMYFUNCTION("GOOGLETRANSLATE(B11031, ""en"", ""fa"")
"),"کپی رایتینگ II")</f>
        <v>کپی رایتینگ II</v>
      </c>
      <c r="G11031" s="1" t="str">
        <f>IFERROR(__xludf.DUMMYFUNCTION("GOOGLETRANSLATE(C11031, ""en"", ""fa"")
"),"در مورد اهمیت استفاده از زبان واضح و مختصر در توضیحات محصول خود برای از بین بردن سردرگمی و افزایش خوانایی صحبت کنید.")</f>
        <v>در مورد اهمیت استفاده از زبان واضح و مختصر در توضیحات محصول خود برای از بین بردن سردرگمی و افزایش خوانایی صحبت کنید.</v>
      </c>
      <c r="H11031" s="1"/>
      <c r="I11031" s="1"/>
      <c r="J11031" s="1"/>
      <c r="K11031" s="1"/>
      <c r="L11031" s="1"/>
      <c r="M11031" s="1"/>
      <c r="N11031" s="1"/>
      <c r="O11031" s="1"/>
      <c r="P11031" s="1"/>
      <c r="Q11031" s="1"/>
      <c r="R11031" s="1"/>
      <c r="S11031" s="1"/>
      <c r="T11031" s="1"/>
      <c r="U11031" s="1"/>
      <c r="V11031" s="1"/>
      <c r="W11031" s="1"/>
      <c r="X11031" s="1"/>
      <c r="Y11031" s="1"/>
      <c r="Z11031" s="1"/>
      <c r="AA11031" s="1"/>
      <c r="AB11031" s="1"/>
    </row>
    <row r="11032" ht="50.25" customHeight="1">
      <c r="A11032" s="12">
        <v>11028.0</v>
      </c>
      <c r="B11032" s="13" t="s">
        <v>10535</v>
      </c>
      <c r="C11032" s="18" t="s">
        <v>11060</v>
      </c>
      <c r="D11032" s="1"/>
      <c r="E11032" s="1"/>
      <c r="F11032" s="1" t="str">
        <f>IFERROR(__xludf.DUMMYFUNCTION("GOOGLETRANSLATE(B11032, ""en"", ""fa"")
"),"کپی رایتینگ II")</f>
        <v>کپی رایتینگ II</v>
      </c>
      <c r="G11032" s="1" t="str">
        <f>IFERROR(__xludf.DUMMYFUNCTION("GOOGLETRANSLATE(C11032, ""en"", ""fa"")
"),"چگونه پایداری زیست محیطی، منبع اخلاقی یا تأثیر اجتماعی محصول را در توضیحات خود برجسته کنید تا برای مصرف کنندگان آگاه جذاب باشد.")</f>
        <v>چگونه پایداری زیست محیطی، منبع اخلاقی یا تأثیر اجتماعی محصول را در توضیحات خود برجسته کنید تا برای مصرف کنندگان آگاه جذاب باشد.</v>
      </c>
      <c r="H11032" s="1"/>
      <c r="I11032" s="1"/>
      <c r="J11032" s="1"/>
      <c r="K11032" s="1"/>
      <c r="L11032" s="1"/>
      <c r="M11032" s="1"/>
      <c r="N11032" s="1"/>
      <c r="O11032" s="1"/>
      <c r="P11032" s="1"/>
      <c r="Q11032" s="1"/>
      <c r="R11032" s="1"/>
      <c r="S11032" s="1"/>
      <c r="T11032" s="1"/>
      <c r="U11032" s="1"/>
      <c r="V11032" s="1"/>
      <c r="W11032" s="1"/>
      <c r="X11032" s="1"/>
      <c r="Y11032" s="1"/>
      <c r="Z11032" s="1"/>
      <c r="AA11032" s="1"/>
      <c r="AB11032" s="1"/>
    </row>
    <row r="11033" ht="50.25" customHeight="1">
      <c r="A11033" s="12">
        <v>11029.0</v>
      </c>
      <c r="B11033" s="13" t="s">
        <v>10535</v>
      </c>
      <c r="C11033" s="18" t="s">
        <v>11061</v>
      </c>
      <c r="D11033" s="1"/>
      <c r="E11033" s="1"/>
      <c r="F11033" s="1" t="str">
        <f>IFERROR(__xludf.DUMMYFUNCTION("GOOGLETRANSLATE(B11033, ""en"", ""fa"")
"),"کپی رایتینگ II")</f>
        <v>کپی رایتینگ II</v>
      </c>
      <c r="G11033" s="1" t="str">
        <f>IFERROR(__xludf.DUMMYFUNCTION("GOOGLETRANSLATE(C11033, ""en"", ""fa"")
"),"استراتژی های مختلف برای استفاده از داستان سرایی برای ترسیم تصویری از استفاده و مزایای محصول در سناریوهای واقعی را بررسی کنید.")</f>
        <v>استراتژی های مختلف برای استفاده از داستان سرایی برای ترسیم تصویری از استفاده و مزایای محصول در سناریوهای واقعی را بررسی کنید.</v>
      </c>
      <c r="H11033" s="1"/>
      <c r="I11033" s="1"/>
      <c r="J11033" s="1"/>
      <c r="K11033" s="1"/>
      <c r="L11033" s="1"/>
      <c r="M11033" s="1"/>
      <c r="N11033" s="1"/>
      <c r="O11033" s="1"/>
      <c r="P11033" s="1"/>
      <c r="Q11033" s="1"/>
      <c r="R11033" s="1"/>
      <c r="S11033" s="1"/>
      <c r="T11033" s="1"/>
      <c r="U11033" s="1"/>
      <c r="V11033" s="1"/>
      <c r="W11033" s="1"/>
      <c r="X11033" s="1"/>
      <c r="Y11033" s="1"/>
      <c r="Z11033" s="1"/>
      <c r="AA11033" s="1"/>
      <c r="AB11033" s="1"/>
    </row>
    <row r="11034" ht="50.25" customHeight="1">
      <c r="A11034" s="12">
        <v>11030.0</v>
      </c>
      <c r="B11034" s="13" t="s">
        <v>10535</v>
      </c>
      <c r="C11034" s="18" t="s">
        <v>11062</v>
      </c>
      <c r="D11034" s="1"/>
      <c r="E11034" s="1"/>
      <c r="F11034" s="1" t="str">
        <f>IFERROR(__xludf.DUMMYFUNCTION("GOOGLETRANSLATE(B11034, ""en"", ""fa"")
"),"کپی رایتینگ II")</f>
        <v>کپی رایتینگ II</v>
      </c>
      <c r="G11034" s="1" t="str">
        <f>IFERROR(__xludf.DUMMYFUNCTION("GOOGLETRANSLATE(C11034, ""en"", ""fa"")
"),"تکنیک های استفاده از زبان حسی برای توصیف ویژگی های لمسی، بصری یا شنیداری محصولات شما در توضیحات شما چیست؟")</f>
        <v>تکنیک های استفاده از زبان حسی برای توصیف ویژگی های لمسی، بصری یا شنیداری محصولات شما در توضیحات شما چیست؟</v>
      </c>
      <c r="H11034" s="1"/>
      <c r="I11034" s="1"/>
      <c r="J11034" s="1"/>
      <c r="K11034" s="1"/>
      <c r="L11034" s="1"/>
      <c r="M11034" s="1"/>
      <c r="N11034" s="1"/>
      <c r="O11034" s="1"/>
      <c r="P11034" s="1"/>
      <c r="Q11034" s="1"/>
      <c r="R11034" s="1"/>
      <c r="S11034" s="1"/>
      <c r="T11034" s="1"/>
      <c r="U11034" s="1"/>
      <c r="V11034" s="1"/>
      <c r="W11034" s="1"/>
      <c r="X11034" s="1"/>
      <c r="Y11034" s="1"/>
      <c r="Z11034" s="1"/>
      <c r="AA11034" s="1"/>
      <c r="AB11034" s="1"/>
    </row>
    <row r="11035" ht="50.25" customHeight="1">
      <c r="A11035" s="12">
        <v>11031.0</v>
      </c>
      <c r="B11035" s="13" t="s">
        <v>10535</v>
      </c>
      <c r="C11035" s="18" t="s">
        <v>11063</v>
      </c>
      <c r="D11035" s="1"/>
      <c r="E11035" s="1"/>
      <c r="F11035" s="1" t="str">
        <f>IFERROR(__xludf.DUMMYFUNCTION("GOOGLETRANSLATE(B11035, ""en"", ""fa"")
"),"کپی رایتینگ II")</f>
        <v>کپی رایتینگ II</v>
      </c>
      <c r="G11035" s="1" t="str">
        <f>IFERROR(__xludf.DUMMYFUNCTION("GOOGLETRANSLATE(C11035, ""en"", ""fa"")
"),"چگونه می توان توصیفات محصول را ایجاد کرد که با شخصیت های خاص مشتری یا بازارهای هدف طنین انداز شود و مستقیماً با آرزوها و ارزش های آنها صحبت کند.")</f>
        <v>چگونه می توان توصیفات محصول را ایجاد کرد که با شخصیت های خاص مشتری یا بازارهای هدف طنین انداز شود و مستقیماً با آرزوها و ارزش های آنها صحبت کند.</v>
      </c>
      <c r="H11035" s="1"/>
      <c r="I11035" s="1"/>
      <c r="J11035" s="1"/>
      <c r="K11035" s="1"/>
      <c r="L11035" s="1"/>
      <c r="M11035" s="1"/>
      <c r="N11035" s="1"/>
      <c r="O11035" s="1"/>
      <c r="P11035" s="1"/>
      <c r="Q11035" s="1"/>
      <c r="R11035" s="1"/>
      <c r="S11035" s="1"/>
      <c r="T11035" s="1"/>
      <c r="U11035" s="1"/>
      <c r="V11035" s="1"/>
      <c r="W11035" s="1"/>
      <c r="X11035" s="1"/>
      <c r="Y11035" s="1"/>
      <c r="Z11035" s="1"/>
      <c r="AA11035" s="1"/>
      <c r="AB11035" s="1"/>
    </row>
    <row r="11036" ht="50.25" customHeight="1">
      <c r="A11036" s="12">
        <v>11032.0</v>
      </c>
      <c r="B11036" s="13" t="s">
        <v>10535</v>
      </c>
      <c r="C11036" s="18" t="s">
        <v>11064</v>
      </c>
      <c r="D11036" s="1"/>
      <c r="E11036" s="1"/>
      <c r="F11036" s="1" t="str">
        <f>IFERROR(__xludf.DUMMYFUNCTION("GOOGLETRANSLATE(B11036, ""en"", ""fa"")
"),"کپی رایتینگ II")</f>
        <v>کپی رایتینگ II</v>
      </c>
      <c r="G11036" s="1" t="str">
        <f>IFERROR(__xludf.DUMMYFUNCTION("GOOGLETRANSLATE(C11036, ""en"", ""fa"")
"),"در مورد نقش نمایش محصول یا آموزش در توضیحات محصول خود بحث کنید و به مشتریان کمک کنید تا نحوه عملکرد یا استفاده از محصول را تجسم کنند.")</f>
        <v>در مورد نقش نمایش محصول یا آموزش در توضیحات محصول خود بحث کنید و به مشتریان کمک کنید تا نحوه عملکرد یا استفاده از محصول را تجسم کنند.</v>
      </c>
      <c r="H11036" s="1"/>
      <c r="I11036" s="1"/>
      <c r="J11036" s="1"/>
      <c r="K11036" s="1"/>
      <c r="L11036" s="1"/>
      <c r="M11036" s="1"/>
      <c r="N11036" s="1"/>
      <c r="O11036" s="1"/>
      <c r="P11036" s="1"/>
      <c r="Q11036" s="1"/>
      <c r="R11036" s="1"/>
      <c r="S11036" s="1"/>
      <c r="T11036" s="1"/>
      <c r="U11036" s="1"/>
      <c r="V11036" s="1"/>
      <c r="W11036" s="1"/>
      <c r="X11036" s="1"/>
      <c r="Y11036" s="1"/>
      <c r="Z11036" s="1"/>
      <c r="AA11036" s="1"/>
      <c r="AB11036" s="1"/>
    </row>
    <row r="11037" ht="50.25" customHeight="1">
      <c r="A11037" s="12">
        <v>11033.0</v>
      </c>
      <c r="B11037" s="13" t="s">
        <v>10535</v>
      </c>
      <c r="C11037" s="18" t="s">
        <v>11065</v>
      </c>
      <c r="D11037" s="1"/>
      <c r="E11037" s="1"/>
      <c r="F11037" s="1" t="str">
        <f>IFERROR(__xludf.DUMMYFUNCTION("GOOGLETRANSLATE(B11037, ""en"", ""fa"")
"),"کپی رایتینگ II")</f>
        <v>کپی رایتینگ II</v>
      </c>
      <c r="G11037" s="1" t="str">
        <f>IFERROR(__xludf.DUMMYFUNCTION("GOOGLETRANSLATE(C11037, ""en"", ""fa"")
"),"نحوه ایجاد توضیحات محصول که اعتبار و تخصص برند شما را در این صنعت ایجاد می کند و محصولات شما را به عنوان گزینه های با کیفیت برتر قرار می دهد.")</f>
        <v>نحوه ایجاد توضیحات محصول که اعتبار و تخصص برند شما را در این صنعت ایجاد می کند و محصولات شما را به عنوان گزینه های با کیفیت برتر قرار می دهد.</v>
      </c>
      <c r="H11037" s="1"/>
      <c r="I11037" s="1"/>
      <c r="J11037" s="1"/>
      <c r="K11037" s="1"/>
      <c r="L11037" s="1"/>
      <c r="M11037" s="1"/>
      <c r="N11037" s="1"/>
      <c r="O11037" s="1"/>
      <c r="P11037" s="1"/>
      <c r="Q11037" s="1"/>
      <c r="R11037" s="1"/>
      <c r="S11037" s="1"/>
      <c r="T11037" s="1"/>
      <c r="U11037" s="1"/>
      <c r="V11037" s="1"/>
      <c r="W11037" s="1"/>
      <c r="X11037" s="1"/>
      <c r="Y11037" s="1"/>
      <c r="Z11037" s="1"/>
      <c r="AA11037" s="1"/>
      <c r="AB11037" s="1"/>
    </row>
    <row r="11038" ht="50.25" customHeight="1">
      <c r="A11038" s="12">
        <v>11034.0</v>
      </c>
      <c r="B11038" s="13" t="s">
        <v>10535</v>
      </c>
      <c r="C11038" s="18" t="s">
        <v>11066</v>
      </c>
      <c r="D11038" s="1"/>
      <c r="E11038" s="1"/>
      <c r="F11038" s="1" t="str">
        <f>IFERROR(__xludf.DUMMYFUNCTION("GOOGLETRANSLATE(B11038, ""en"", ""fa"")
"),"کپی رایتینگ II")</f>
        <v>کپی رایتینگ II</v>
      </c>
      <c r="G11038" s="1" t="str">
        <f>IFERROR(__xludf.DUMMYFUNCTION("GOOGLETRANSLATE(C11038, ""en"", ""fa"")
"),"روش های مختلف برای گنجاندن توصیفات مشتری یا داستان های موفقیت در توضیحات محصول خود برای اثبات اجتماعی کاوش کنید.")</f>
        <v>روش های مختلف برای گنجاندن توصیفات مشتری یا داستان های موفقیت در توضیحات محصول خود برای اثبات اجتماعی کاوش کنید.</v>
      </c>
      <c r="H11038" s="1"/>
      <c r="I11038" s="1"/>
      <c r="J11038" s="1"/>
      <c r="K11038" s="1"/>
      <c r="L11038" s="1"/>
      <c r="M11038" s="1"/>
      <c r="N11038" s="1"/>
      <c r="O11038" s="1"/>
      <c r="P11038" s="1"/>
      <c r="Q11038" s="1"/>
      <c r="R11038" s="1"/>
      <c r="S11038" s="1"/>
      <c r="T11038" s="1"/>
      <c r="U11038" s="1"/>
      <c r="V11038" s="1"/>
      <c r="W11038" s="1"/>
      <c r="X11038" s="1"/>
      <c r="Y11038" s="1"/>
      <c r="Z11038" s="1"/>
      <c r="AA11038" s="1"/>
      <c r="AB11038" s="1"/>
    </row>
    <row r="11039" ht="50.25" customHeight="1">
      <c r="A11039" s="12">
        <v>11035.0</v>
      </c>
      <c r="B11039" s="13" t="s">
        <v>10535</v>
      </c>
      <c r="C11039" s="18" t="s">
        <v>11067</v>
      </c>
      <c r="D11039" s="1"/>
      <c r="E11039" s="1"/>
      <c r="F11039" s="1" t="str">
        <f>IFERROR(__xludf.DUMMYFUNCTION("GOOGLETRANSLATE(B11039, ""en"", ""fa"")
"),"کپی رایتینگ II")</f>
        <v>کپی رایتینگ II</v>
      </c>
      <c r="G11039" s="1" t="str">
        <f>IFERROR(__xludf.DUMMYFUNCTION("GOOGLETRANSLATE(C11039, ""en"", ""fa"")
"),"بهترین روش ها برای استفاده از کلمات قدرتمند و صفت های قانع کننده در توضیحات محصول شما برای ایجاد تأثیر و متقاعد کردن چیست؟")</f>
        <v>بهترین روش ها برای استفاده از کلمات قدرتمند و صفت های قانع کننده در توضیحات محصول شما برای ایجاد تأثیر و متقاعد کردن چیست؟</v>
      </c>
      <c r="H11039" s="1"/>
      <c r="I11039" s="1"/>
      <c r="J11039" s="1"/>
      <c r="K11039" s="1"/>
      <c r="L11039" s="1"/>
      <c r="M11039" s="1"/>
      <c r="N11039" s="1"/>
      <c r="O11039" s="1"/>
      <c r="P11039" s="1"/>
      <c r="Q11039" s="1"/>
      <c r="R11039" s="1"/>
      <c r="S11039" s="1"/>
      <c r="T11039" s="1"/>
      <c r="U11039" s="1"/>
      <c r="V11039" s="1"/>
      <c r="W11039" s="1"/>
      <c r="X11039" s="1"/>
      <c r="Y11039" s="1"/>
      <c r="Z11039" s="1"/>
      <c r="AA11039" s="1"/>
      <c r="AB11039" s="1"/>
    </row>
    <row r="11040" ht="50.25" customHeight="1">
      <c r="A11040" s="12">
        <v>11036.0</v>
      </c>
      <c r="B11040" s="13" t="s">
        <v>10535</v>
      </c>
      <c r="C11040" s="18" t="s">
        <v>11068</v>
      </c>
      <c r="D11040" s="1"/>
      <c r="E11040" s="1"/>
      <c r="F11040" s="1" t="str">
        <f>IFERROR(__xludf.DUMMYFUNCTION("GOOGLETRANSLATE(B11040, ""en"", ""fa"")
"),"کپی رایتینگ II")</f>
        <v>کپی رایتینگ II</v>
      </c>
      <c r="G11040" s="1" t="str">
        <f>IFERROR(__xludf.DUMMYFUNCTION("GOOGLETRANSLATE(C11040, ""en"", ""fa"")
"),"نحوه بهینه سازی توضیحات محصول برای جستجوی صوتی و دستگاه های دستیار مجازی، با در نظر گرفتن زبان مکالمه و کلمات کلیدی دم بلند.")</f>
        <v>نحوه بهینه سازی توضیحات محصول برای جستجوی صوتی و دستگاه های دستیار مجازی، با در نظر گرفتن زبان مکالمه و کلمات کلیدی دم بلند.</v>
      </c>
      <c r="H11040" s="1"/>
      <c r="I11040" s="1"/>
      <c r="J11040" s="1"/>
      <c r="K11040" s="1"/>
      <c r="L11040" s="1"/>
      <c r="M11040" s="1"/>
      <c r="N11040" s="1"/>
      <c r="O11040" s="1"/>
      <c r="P11040" s="1"/>
      <c r="Q11040" s="1"/>
      <c r="R11040" s="1"/>
      <c r="S11040" s="1"/>
      <c r="T11040" s="1"/>
      <c r="U11040" s="1"/>
      <c r="V11040" s="1"/>
      <c r="W11040" s="1"/>
      <c r="X11040" s="1"/>
      <c r="Y11040" s="1"/>
      <c r="Z11040" s="1"/>
      <c r="AA11040" s="1"/>
      <c r="AB11040" s="1"/>
    </row>
    <row r="11041" ht="50.25" customHeight="1">
      <c r="A11041" s="12">
        <v>11037.0</v>
      </c>
      <c r="B11041" s="13" t="s">
        <v>10535</v>
      </c>
      <c r="C11041" s="18" t="s">
        <v>11069</v>
      </c>
      <c r="D11041" s="1"/>
      <c r="E11041" s="1"/>
      <c r="F11041" s="1" t="str">
        <f>IFERROR(__xludf.DUMMYFUNCTION("GOOGLETRANSLATE(B11041, ""en"", ""fa"")
"),"کپی رایتینگ II")</f>
        <v>کپی رایتینگ II</v>
      </c>
      <c r="G11041" s="1" t="str">
        <f>IFERROR(__xludf.DUMMYFUNCTION("GOOGLETRANSLATE(C11041, ""en"", ""fa"")
"),"در مورد اهمیت تصحیح و ویرایش توضیحات محصول خود برای اطمینان از صحت، وضوح و صحت دستوری صحبت کنید.")</f>
        <v>در مورد اهمیت تصحیح و ویرایش توضیحات محصول خود برای اطمینان از صحت، وضوح و صحت دستوری صحبت کنید.</v>
      </c>
      <c r="H11041" s="1"/>
      <c r="I11041" s="1"/>
      <c r="J11041" s="1"/>
      <c r="K11041" s="1"/>
      <c r="L11041" s="1"/>
      <c r="M11041" s="1"/>
      <c r="N11041" s="1"/>
      <c r="O11041" s="1"/>
      <c r="P11041" s="1"/>
      <c r="Q11041" s="1"/>
      <c r="R11041" s="1"/>
      <c r="S11041" s="1"/>
      <c r="T11041" s="1"/>
      <c r="U11041" s="1"/>
      <c r="V11041" s="1"/>
      <c r="W11041" s="1"/>
      <c r="X11041" s="1"/>
      <c r="Y11041" s="1"/>
      <c r="Z11041" s="1"/>
      <c r="AA11041" s="1"/>
      <c r="AB11041" s="1"/>
    </row>
    <row r="11042" ht="50.25" customHeight="1">
      <c r="A11042" s="12">
        <v>11038.0</v>
      </c>
      <c r="B11042" s="13" t="s">
        <v>10535</v>
      </c>
      <c r="C11042" s="18" t="s">
        <v>11070</v>
      </c>
      <c r="D11042" s="1"/>
      <c r="E11042" s="1"/>
      <c r="F11042" s="1" t="str">
        <f>IFERROR(__xludf.DUMMYFUNCTION("GOOGLETRANSLATE(B11042, ""en"", ""fa"")
"),"کپی رایتینگ II")</f>
        <v>کپی رایتینگ II</v>
      </c>
      <c r="G11042" s="1" t="str">
        <f>IFERROR(__xludf.DUMMYFUNCTION("GOOGLETRANSLATE(C11042, ""en"", ""fa"")
"),"چگونه به اعتراضات یا نگرانی های مربوط به قیمت، ارزش یا کیفیت در توضیحات محصول خود رسیدگی کنید و تردید مشتری را کاهش دهید.")</f>
        <v>چگونه به اعتراضات یا نگرانی های مربوط به قیمت، ارزش یا کیفیت در توضیحات محصول خود رسیدگی کنید و تردید مشتری را کاهش دهید.</v>
      </c>
      <c r="H11042" s="1"/>
      <c r="I11042" s="1"/>
      <c r="J11042" s="1"/>
      <c r="K11042" s="1"/>
      <c r="L11042" s="1"/>
      <c r="M11042" s="1"/>
      <c r="N11042" s="1"/>
      <c r="O11042" s="1"/>
      <c r="P11042" s="1"/>
      <c r="Q11042" s="1"/>
      <c r="R11042" s="1"/>
      <c r="S11042" s="1"/>
      <c r="T11042" s="1"/>
      <c r="U11042" s="1"/>
      <c r="V11042" s="1"/>
      <c r="W11042" s="1"/>
      <c r="X11042" s="1"/>
      <c r="Y11042" s="1"/>
      <c r="Z11042" s="1"/>
      <c r="AA11042" s="1"/>
      <c r="AB11042" s="1"/>
    </row>
    <row r="11043" ht="50.25" customHeight="1">
      <c r="A11043" s="12">
        <v>11039.0</v>
      </c>
      <c r="B11043" s="13" t="s">
        <v>10535</v>
      </c>
      <c r="C11043" s="18" t="s">
        <v>11071</v>
      </c>
      <c r="D11043" s="1"/>
      <c r="E11043" s="1"/>
      <c r="F11043" s="1" t="str">
        <f>IFERROR(__xludf.DUMMYFUNCTION("GOOGLETRANSLATE(B11043, ""en"", ""fa"")
"),"کپی رایتینگ II")</f>
        <v>کپی رایتینگ II</v>
      </c>
      <c r="G11043" s="1" t="str">
        <f>IFERROR(__xludf.DUMMYFUNCTION("GOOGLETRANSLATE(C11043, ""en"", ""fa"")
"),"استراتژی‌های مختلف برای شخصی‌سازی توضیحات محصول بر اساس داده‌های مشتری، مانند مکان، رفتار مرور، یا سابقه خرید را بررسی کنید.")</f>
        <v>استراتژی‌های مختلف برای شخصی‌سازی توضیحات محصول بر اساس داده‌های مشتری، مانند مکان، رفتار مرور، یا سابقه خرید را بررسی کنید.</v>
      </c>
      <c r="H11043" s="1"/>
      <c r="I11043" s="1"/>
      <c r="J11043" s="1"/>
      <c r="K11043" s="1"/>
      <c r="L11043" s="1"/>
      <c r="M11043" s="1"/>
      <c r="N11043" s="1"/>
      <c r="O11043" s="1"/>
      <c r="P11043" s="1"/>
      <c r="Q11043" s="1"/>
      <c r="R11043" s="1"/>
      <c r="S11043" s="1"/>
      <c r="T11043" s="1"/>
      <c r="U11043" s="1"/>
      <c r="V11043" s="1"/>
      <c r="W11043" s="1"/>
      <c r="X11043" s="1"/>
      <c r="Y11043" s="1"/>
      <c r="Z11043" s="1"/>
      <c r="AA11043" s="1"/>
      <c r="AB11043" s="1"/>
    </row>
    <row r="11044" ht="50.25" customHeight="1">
      <c r="A11044" s="12">
        <v>11040.0</v>
      </c>
      <c r="B11044" s="13" t="s">
        <v>10535</v>
      </c>
      <c r="C11044" s="18" t="s">
        <v>11072</v>
      </c>
      <c r="D11044" s="1"/>
      <c r="E11044" s="1"/>
      <c r="F11044" s="1" t="str">
        <f>IFERROR(__xludf.DUMMYFUNCTION("GOOGLETRANSLATE(B11044, ""en"", ""fa"")
"),"کپی رایتینگ II")</f>
        <v>کپی رایتینگ II</v>
      </c>
      <c r="G11044" s="1" t="str">
        <f>IFERROR(__xludf.DUMMYFUNCTION("GOOGLETRANSLATE(C11044, ""en"", ""fa"")
"),"تکنیک‌هایی برای ایجاد توضیحات محصول قابل اسکن و از نظر بصری جذاب، با استفاده مؤثر از سرفصل‌ها، زیرعنوان‌ها و نقاط گلوله چیست؟")</f>
        <v>تکنیک‌هایی برای ایجاد توضیحات محصول قابل اسکن و از نظر بصری جذاب، با استفاده مؤثر از سرفصل‌ها، زیرعنوان‌ها و نقاط گلوله چیست؟</v>
      </c>
      <c r="H11044" s="1"/>
      <c r="I11044" s="1"/>
      <c r="J11044" s="1"/>
      <c r="K11044" s="1"/>
      <c r="L11044" s="1"/>
      <c r="M11044" s="1"/>
      <c r="N11044" s="1"/>
      <c r="O11044" s="1"/>
      <c r="P11044" s="1"/>
      <c r="Q11044" s="1"/>
      <c r="R11044" s="1"/>
      <c r="S11044" s="1"/>
      <c r="T11044" s="1"/>
      <c r="U11044" s="1"/>
      <c r="V11044" s="1"/>
      <c r="W11044" s="1"/>
      <c r="X11044" s="1"/>
      <c r="Y11044" s="1"/>
      <c r="Z11044" s="1"/>
      <c r="AA11044" s="1"/>
      <c r="AB11044" s="1"/>
    </row>
    <row r="11045" ht="50.25" customHeight="1">
      <c r="A11045" s="12">
        <v>11041.0</v>
      </c>
      <c r="B11045" s="13" t="s">
        <v>10535</v>
      </c>
      <c r="C11045" s="18" t="s">
        <v>11073</v>
      </c>
      <c r="D11045" s="1"/>
      <c r="E11045" s="1"/>
      <c r="F11045" s="1" t="str">
        <f>IFERROR(__xludf.DUMMYFUNCTION("GOOGLETRANSLATE(B11045, ""en"", ""fa"")
"),"کپی رایتینگ II")</f>
        <v>کپی رایتینگ II</v>
      </c>
      <c r="G11045" s="1" t="str">
        <f>IFERROR(__xludf.DUMMYFUNCTION("GOOGLETRANSLATE(C11045, ""en"", ""fa"")
"),"چگونه عناصر داستان سرایی را در توضیحات محصول خود بگنجانید تا حس پیش بینی ایجاد کنید و ارتباط عاطفی با مشتریان ایجاد کنید.")</f>
        <v>چگونه عناصر داستان سرایی را در توضیحات محصول خود بگنجانید تا حس پیش بینی ایجاد کنید و ارتباط عاطفی با مشتریان ایجاد کنید.</v>
      </c>
      <c r="H11045" s="1"/>
      <c r="I11045" s="1"/>
      <c r="J11045" s="1"/>
      <c r="K11045" s="1"/>
      <c r="L11045" s="1"/>
      <c r="M11045" s="1"/>
      <c r="N11045" s="1"/>
      <c r="O11045" s="1"/>
      <c r="P11045" s="1"/>
      <c r="Q11045" s="1"/>
      <c r="R11045" s="1"/>
      <c r="S11045" s="1"/>
      <c r="T11045" s="1"/>
      <c r="U11045" s="1"/>
      <c r="V11045" s="1"/>
      <c r="W11045" s="1"/>
      <c r="X11045" s="1"/>
      <c r="Y11045" s="1"/>
      <c r="Z11045" s="1"/>
      <c r="AA11045" s="1"/>
      <c r="AB11045" s="1"/>
    </row>
    <row r="11046" ht="50.25" customHeight="1">
      <c r="A11046" s="12">
        <v>11042.0</v>
      </c>
      <c r="B11046" s="13" t="s">
        <v>10535</v>
      </c>
      <c r="C11046" s="18" t="s">
        <v>11074</v>
      </c>
      <c r="D11046" s="1"/>
      <c r="E11046" s="1"/>
      <c r="F11046" s="1" t="str">
        <f>IFERROR(__xludf.DUMMYFUNCTION("GOOGLETRANSLATE(B11046, ""en"", ""fa"")
"),"کپی رایتینگ II")</f>
        <v>کپی رایتینگ II</v>
      </c>
      <c r="G11046" s="1" t="str">
        <f>IFERROR(__xludf.DUMMYFUNCTION("GOOGLETRANSLATE(C11046, ""en"", ""fa"")
"),"درباره نقش محتوای تولید شده توسط کاربر، مانند عکس‌ها یا ویدیوهای مشتری، در توضیحات محصول خود بحث کنید تا تجربیات واقعی محصول را به نمایش بگذارید.")</f>
        <v>درباره نقش محتوای تولید شده توسط کاربر، مانند عکس‌ها یا ویدیوهای مشتری، در توضیحات محصول خود بحث کنید تا تجربیات واقعی محصول را به نمایش بگذارید.</v>
      </c>
      <c r="H11046" s="1"/>
      <c r="I11046" s="1"/>
      <c r="J11046" s="1"/>
      <c r="K11046" s="1"/>
      <c r="L11046" s="1"/>
      <c r="M11046" s="1"/>
      <c r="N11046" s="1"/>
      <c r="O11046" s="1"/>
      <c r="P11046" s="1"/>
      <c r="Q11046" s="1"/>
      <c r="R11046" s="1"/>
      <c r="S11046" s="1"/>
      <c r="T11046" s="1"/>
      <c r="U11046" s="1"/>
      <c r="V11046" s="1"/>
      <c r="W11046" s="1"/>
      <c r="X11046" s="1"/>
      <c r="Y11046" s="1"/>
      <c r="Z11046" s="1"/>
      <c r="AA11046" s="1"/>
      <c r="AB11046" s="1"/>
    </row>
    <row r="11047" ht="50.25" customHeight="1">
      <c r="A11047" s="12">
        <v>11043.0</v>
      </c>
      <c r="B11047" s="13" t="s">
        <v>10535</v>
      </c>
      <c r="C11047" s="18" t="s">
        <v>11075</v>
      </c>
      <c r="D11047" s="1"/>
      <c r="E11047" s="1"/>
      <c r="F11047" s="1" t="str">
        <f>IFERROR(__xludf.DUMMYFUNCTION("GOOGLETRANSLATE(B11047, ""en"", ""fa"")
"),"کپی رایتینگ II")</f>
        <v>کپی رایتینگ II</v>
      </c>
      <c r="G11047" s="1" t="str">
        <f>IFERROR(__xludf.DUMMYFUNCTION("GOOGLETRANSLATE(C11047, ""en"", ""fa"")
"),"چگونه با در نظر گرفتن کلمات کلیدی و اصطلاحات خاص مکان، توضیحات محصول خود را برای جستجوی محلی و هدف گذاری جغرافیایی بهینه کنید.")</f>
        <v>چگونه با در نظر گرفتن کلمات کلیدی و اصطلاحات خاص مکان، توضیحات محصول خود را برای جستجوی محلی و هدف گذاری جغرافیایی بهینه کنید.</v>
      </c>
      <c r="H11047" s="1"/>
      <c r="I11047" s="1"/>
      <c r="J11047" s="1"/>
      <c r="K11047" s="1"/>
      <c r="L11047" s="1"/>
      <c r="M11047" s="1"/>
      <c r="N11047" s="1"/>
      <c r="O11047" s="1"/>
      <c r="P11047" s="1"/>
      <c r="Q11047" s="1"/>
      <c r="R11047" s="1"/>
      <c r="S11047" s="1"/>
      <c r="T11047" s="1"/>
      <c r="U11047" s="1"/>
      <c r="V11047" s="1"/>
      <c r="W11047" s="1"/>
      <c r="X11047" s="1"/>
      <c r="Y11047" s="1"/>
      <c r="Z11047" s="1"/>
      <c r="AA11047" s="1"/>
      <c r="AB11047" s="1"/>
    </row>
    <row r="11048" ht="50.25" customHeight="1">
      <c r="A11048" s="12">
        <v>11044.0</v>
      </c>
      <c r="B11048" s="13" t="s">
        <v>10535</v>
      </c>
      <c r="C11048" s="18" t="s">
        <v>11076</v>
      </c>
      <c r="D11048" s="1"/>
      <c r="E11048" s="1"/>
      <c r="F11048" s="1" t="str">
        <f>IFERROR(__xludf.DUMMYFUNCTION("GOOGLETRANSLATE(B11048, ""en"", ""fa"")
"),"کپی رایتینگ II")</f>
        <v>کپی رایتینگ II</v>
      </c>
      <c r="G11048" s="1" t="str">
        <f>IFERROR(__xludf.DUMMYFUNCTION("GOOGLETRANSLATE(C11048, ""en"", ""fa"")
"),"روش های مختلف را برای برجسته کردن دوام، کیفیت یا مزایای طولانی مدت محصول در توضیحات خود کاوش کنید.")</f>
        <v>روش های مختلف را برای برجسته کردن دوام، کیفیت یا مزایای طولانی مدت محصول در توضیحات خود کاوش کنید.</v>
      </c>
      <c r="H11048" s="1"/>
      <c r="I11048" s="1"/>
      <c r="J11048" s="1"/>
      <c r="K11048" s="1"/>
      <c r="L11048" s="1"/>
      <c r="M11048" s="1"/>
      <c r="N11048" s="1"/>
      <c r="O11048" s="1"/>
      <c r="P11048" s="1"/>
      <c r="Q11048" s="1"/>
      <c r="R11048" s="1"/>
      <c r="S11048" s="1"/>
      <c r="T11048" s="1"/>
      <c r="U11048" s="1"/>
      <c r="V11048" s="1"/>
      <c r="W11048" s="1"/>
      <c r="X11048" s="1"/>
      <c r="Y11048" s="1"/>
      <c r="Z11048" s="1"/>
      <c r="AA11048" s="1"/>
      <c r="AB11048" s="1"/>
    </row>
    <row r="11049" ht="50.25" customHeight="1">
      <c r="A11049" s="12">
        <v>11045.0</v>
      </c>
      <c r="B11049" s="13" t="s">
        <v>10535</v>
      </c>
      <c r="C11049" s="18" t="s">
        <v>11077</v>
      </c>
      <c r="D11049" s="1"/>
      <c r="E11049" s="1"/>
      <c r="F11049" s="1" t="str">
        <f>IFERROR(__xludf.DUMMYFUNCTION("GOOGLETRANSLATE(B11049, ""en"", ""fa"")
"),"کپی رایتینگ II")</f>
        <v>کپی رایتینگ II</v>
      </c>
      <c r="G11049" s="1" t="str">
        <f>IFERROR(__xludf.DUMMYFUNCTION("GOOGLETRANSLATE(C11049, ""en"", ""fa"")
"),"بهترین روش‌ها برای ساختاردهی توضیحات محصول برای خوانایی و درک چیست، که اطمینان حاصل شود مشتریان می‌توانند به راحتی اطلاعات کلیدی را جذب کنند.")</f>
        <v>بهترین روش‌ها برای ساختاردهی توضیحات محصول برای خوانایی و درک چیست، که اطمینان حاصل شود مشتریان می‌توانند به راحتی اطلاعات کلیدی را جذب کنند.</v>
      </c>
      <c r="H11049" s="1"/>
      <c r="I11049" s="1"/>
      <c r="J11049" s="1"/>
      <c r="K11049" s="1"/>
      <c r="L11049" s="1"/>
      <c r="M11049" s="1"/>
      <c r="N11049" s="1"/>
      <c r="O11049" s="1"/>
      <c r="P11049" s="1"/>
      <c r="Q11049" s="1"/>
      <c r="R11049" s="1"/>
      <c r="S11049" s="1"/>
      <c r="T11049" s="1"/>
      <c r="U11049" s="1"/>
      <c r="V11049" s="1"/>
      <c r="W11049" s="1"/>
      <c r="X11049" s="1"/>
      <c r="Y11049" s="1"/>
      <c r="Z11049" s="1"/>
      <c r="AA11049" s="1"/>
      <c r="AB11049" s="1"/>
    </row>
    <row r="11050" ht="50.25" customHeight="1">
      <c r="A11050" s="12">
        <v>11046.0</v>
      </c>
      <c r="B11050" s="13" t="s">
        <v>10535</v>
      </c>
      <c r="C11050" s="18" t="s">
        <v>11078</v>
      </c>
      <c r="D11050" s="1"/>
      <c r="E11050" s="1"/>
      <c r="F11050" s="1" t="str">
        <f>IFERROR(__xludf.DUMMYFUNCTION("GOOGLETRANSLATE(B11050, ""en"", ""fa"")
"),"کپی رایتینگ II")</f>
        <v>کپی رایتینگ II</v>
      </c>
      <c r="G11050" s="1" t="str">
        <f>IFERROR(__xludf.DUMMYFUNCTION("GOOGLETRANSLATE(C11050, ""en"", ""fa"")
"),"نحوه ایجاد توضیحات محصول که حس اعتماد و اعتبار را از طریق اطلاعات شفاف و ارائه دقیق محصول ایجاد می کند.")</f>
        <v>نحوه ایجاد توضیحات محصول که حس اعتماد و اعتبار را از طریق اطلاعات شفاف و ارائه دقیق محصول ایجاد می کند.</v>
      </c>
      <c r="H11050" s="1"/>
      <c r="I11050" s="1"/>
      <c r="J11050" s="1"/>
      <c r="K11050" s="1"/>
      <c r="L11050" s="1"/>
      <c r="M11050" s="1"/>
      <c r="N11050" s="1"/>
      <c r="O11050" s="1"/>
      <c r="P11050" s="1"/>
      <c r="Q11050" s="1"/>
      <c r="R11050" s="1"/>
      <c r="S11050" s="1"/>
      <c r="T11050" s="1"/>
      <c r="U11050" s="1"/>
      <c r="V11050" s="1"/>
      <c r="W11050" s="1"/>
      <c r="X11050" s="1"/>
      <c r="Y11050" s="1"/>
      <c r="Z11050" s="1"/>
      <c r="AA11050" s="1"/>
      <c r="AB11050" s="1"/>
    </row>
    <row r="11051" ht="50.25" customHeight="1">
      <c r="A11051" s="12">
        <v>11047.0</v>
      </c>
      <c r="B11051" s="13" t="s">
        <v>10535</v>
      </c>
      <c r="C11051" s="18" t="s">
        <v>11079</v>
      </c>
      <c r="D11051" s="1"/>
      <c r="E11051" s="1"/>
      <c r="F11051" s="1" t="str">
        <f>IFERROR(__xludf.DUMMYFUNCTION("GOOGLETRANSLATE(B11051, ""en"", ""fa"")
"),"کپی رایتینگ II")</f>
        <v>کپی رایتینگ II</v>
      </c>
      <c r="G11051" s="1" t="str">
        <f>IFERROR(__xludf.DUMMYFUNCTION("GOOGLETRANSLATE(C11051, ""en"", ""fa"")
"),"در مورد اهمیت استفاده از داستان سرایی برای انتقال ماموریت، ارزش ها یا تعهد برند به پایداری در توضیحات محصول خود بحث کنید.")</f>
        <v>در مورد اهمیت استفاده از داستان سرایی برای انتقال ماموریت، ارزش ها یا تعهد برند به پایداری در توضیحات محصول خود بحث کنید.</v>
      </c>
      <c r="H11051" s="1"/>
      <c r="I11051" s="1"/>
      <c r="J11051" s="1"/>
      <c r="K11051" s="1"/>
      <c r="L11051" s="1"/>
      <c r="M11051" s="1"/>
      <c r="N11051" s="1"/>
      <c r="O11051" s="1"/>
      <c r="P11051" s="1"/>
      <c r="Q11051" s="1"/>
      <c r="R11051" s="1"/>
      <c r="S11051" s="1"/>
      <c r="T11051" s="1"/>
      <c r="U11051" s="1"/>
      <c r="V11051" s="1"/>
      <c r="W11051" s="1"/>
      <c r="X11051" s="1"/>
      <c r="Y11051" s="1"/>
      <c r="Z11051" s="1"/>
      <c r="AA11051" s="1"/>
      <c r="AB11051" s="1"/>
    </row>
    <row r="11052" ht="50.25" customHeight="1">
      <c r="A11052" s="12">
        <v>11048.0</v>
      </c>
      <c r="B11052" s="13" t="s">
        <v>10535</v>
      </c>
      <c r="C11052" s="18" t="s">
        <v>11080</v>
      </c>
      <c r="D11052" s="1"/>
      <c r="E11052" s="1"/>
      <c r="F11052" s="1" t="str">
        <f>IFERROR(__xludf.DUMMYFUNCTION("GOOGLETRANSLATE(B11052, ""en"", ""fa"")
"),"کپی رایتینگ II")</f>
        <v>کپی رایتینگ II</v>
      </c>
      <c r="G11052" s="1" t="str">
        <f>IFERROR(__xludf.DUMMYFUNCTION("GOOGLETRANSLATE(C11052, ""en"", ""fa"")
"),"چگونه می توان توضیحات محصول را برای مراحل مختلف سفر خریدار تنظیم کرد و به نیازها و انگیزه های منحصر به فرد مشتریان بالقوه پرداخت.")</f>
        <v>چگونه می توان توضیحات محصول را برای مراحل مختلف سفر خریدار تنظیم کرد و به نیازها و انگیزه های منحصر به فرد مشتریان بالقوه پرداخت.</v>
      </c>
      <c r="H11052" s="1"/>
      <c r="I11052" s="1"/>
      <c r="J11052" s="1"/>
      <c r="K11052" s="1"/>
      <c r="L11052" s="1"/>
      <c r="M11052" s="1"/>
      <c r="N11052" s="1"/>
      <c r="O11052" s="1"/>
      <c r="P11052" s="1"/>
      <c r="Q11052" s="1"/>
      <c r="R11052" s="1"/>
      <c r="S11052" s="1"/>
      <c r="T11052" s="1"/>
      <c r="U11052" s="1"/>
      <c r="V11052" s="1"/>
      <c r="W11052" s="1"/>
      <c r="X11052" s="1"/>
      <c r="Y11052" s="1"/>
      <c r="Z11052" s="1"/>
      <c r="AA11052" s="1"/>
      <c r="AB11052" s="1"/>
    </row>
    <row r="11053" ht="50.25" customHeight="1">
      <c r="A11053" s="12">
        <v>11049.0</v>
      </c>
      <c r="B11053" s="13" t="s">
        <v>10535</v>
      </c>
      <c r="C11053" s="18" t="s">
        <v>11081</v>
      </c>
      <c r="D11053" s="1"/>
      <c r="E11053" s="1"/>
      <c r="F11053" s="1" t="str">
        <f>IFERROR(__xludf.DUMMYFUNCTION("GOOGLETRANSLATE(B11053, ""en"", ""fa"")
"),"کپی رایتینگ II")</f>
        <v>کپی رایتینگ II</v>
      </c>
      <c r="G11053" s="1" t="str">
        <f>IFERROR(__xludf.DUMMYFUNCTION("GOOGLETRANSLATE(C11053, ""en"", ""fa"")
"),"برای جلب توجه به ویژگی‌ها یا مزایای کلیدی محصول، تکنیک‌های مختلف استفاده از قالب‌بندی، مانند پررنگ، مورب، یا برجسته‌های رنگی را بررسی کنید.")</f>
        <v>برای جلب توجه به ویژگی‌ها یا مزایای کلیدی محصول، تکنیک‌های مختلف استفاده از قالب‌بندی، مانند پررنگ، مورب، یا برجسته‌های رنگی را بررسی کنید.</v>
      </c>
      <c r="H11053" s="1"/>
      <c r="I11053" s="1"/>
      <c r="J11053" s="1"/>
      <c r="K11053" s="1"/>
      <c r="L11053" s="1"/>
      <c r="M11053" s="1"/>
      <c r="N11053" s="1"/>
      <c r="O11053" s="1"/>
      <c r="P11053" s="1"/>
      <c r="Q11053" s="1"/>
      <c r="R11053" s="1"/>
      <c r="S11053" s="1"/>
      <c r="T11053" s="1"/>
      <c r="U11053" s="1"/>
      <c r="V11053" s="1"/>
      <c r="W11053" s="1"/>
      <c r="X11053" s="1"/>
      <c r="Y11053" s="1"/>
      <c r="Z11053" s="1"/>
      <c r="AA11053" s="1"/>
      <c r="AB11053" s="1"/>
    </row>
    <row r="11054" ht="50.25" customHeight="1">
      <c r="A11054" s="12">
        <v>11050.0</v>
      </c>
      <c r="B11054" s="13" t="s">
        <v>10535</v>
      </c>
      <c r="C11054" s="18" t="s">
        <v>11082</v>
      </c>
      <c r="D11054" s="1"/>
      <c r="E11054" s="1"/>
      <c r="F11054" s="1" t="str">
        <f>IFERROR(__xludf.DUMMYFUNCTION("GOOGLETRANSLATE(B11054, ""en"", ""fa"")
"),"کپی رایتینگ II")</f>
        <v>کپی رایتینگ II</v>
      </c>
      <c r="G11054" s="1" t="str">
        <f>IFERROR(__xludf.DUMMYFUNCTION("GOOGLETRANSLATE(C11054, ""en"", ""fa"")
"),"چه استراتژی هایی برای گنجاندن بازخورد یا رتبه بندی مشتری در توضیحات محصول شما، ارائه اثبات اجتماعی و افزایش اعتماد وجود دارد.")</f>
        <v>چه استراتژی هایی برای گنجاندن بازخورد یا رتبه بندی مشتری در توضیحات محصول شما، ارائه اثبات اجتماعی و افزایش اعتماد وجود دارد.</v>
      </c>
      <c r="H11054" s="1"/>
      <c r="I11054" s="1"/>
      <c r="J11054" s="1"/>
      <c r="K11054" s="1"/>
      <c r="L11054" s="1"/>
      <c r="M11054" s="1"/>
      <c r="N11054" s="1"/>
      <c r="O11054" s="1"/>
      <c r="P11054" s="1"/>
      <c r="Q11054" s="1"/>
      <c r="R11054" s="1"/>
      <c r="S11054" s="1"/>
      <c r="T11054" s="1"/>
      <c r="U11054" s="1"/>
      <c r="V11054" s="1"/>
      <c r="W11054" s="1"/>
      <c r="X11054" s="1"/>
      <c r="Y11054" s="1"/>
      <c r="Z11054" s="1"/>
      <c r="AA11054" s="1"/>
      <c r="AB11054" s="1"/>
    </row>
    <row r="11055" ht="50.25" customHeight="1">
      <c r="A11055" s="12">
        <v>11051.0</v>
      </c>
      <c r="B11055" s="13" t="s">
        <v>10535</v>
      </c>
      <c r="C11055" s="18" t="s">
        <v>11083</v>
      </c>
      <c r="D11055" s="1"/>
      <c r="E11055" s="1"/>
      <c r="F11055" s="1" t="str">
        <f>IFERROR(__xludf.DUMMYFUNCTION("GOOGLETRANSLATE(B11055, ""en"", ""fa"")
"),"کپی رایتینگ II")</f>
        <v>کپی رایتینگ II</v>
      </c>
      <c r="G11055" s="1" t="str">
        <f>IFERROR(__xludf.DUMMYFUNCTION("GOOGLETRANSLATE(C11055, ""en"", ""fa"")
"),"نحوه ایجاد توضیحات محصول که سازگاری یا ادغام محصول با سایر محصولات یا سیستم های مرتبط را برجسته می کند.")</f>
        <v>نحوه ایجاد توضیحات محصول که سازگاری یا ادغام محصول با سایر محصولات یا سیستم های مرتبط را برجسته می کند.</v>
      </c>
      <c r="H11055" s="1"/>
      <c r="I11055" s="1"/>
      <c r="J11055" s="1"/>
      <c r="K11055" s="1"/>
      <c r="L11055" s="1"/>
      <c r="M11055" s="1"/>
      <c r="N11055" s="1"/>
      <c r="O11055" s="1"/>
      <c r="P11055" s="1"/>
      <c r="Q11055" s="1"/>
      <c r="R11055" s="1"/>
      <c r="S11055" s="1"/>
      <c r="T11055" s="1"/>
      <c r="U11055" s="1"/>
      <c r="V11055" s="1"/>
      <c r="W11055" s="1"/>
      <c r="X11055" s="1"/>
      <c r="Y11055" s="1"/>
      <c r="Z11055" s="1"/>
      <c r="AA11055" s="1"/>
      <c r="AB11055" s="1"/>
    </row>
    <row r="11056" ht="50.25" customHeight="1">
      <c r="A11056" s="12">
        <v>11052.0</v>
      </c>
      <c r="B11056" s="13" t="s">
        <v>10535</v>
      </c>
      <c r="C11056" s="18" t="s">
        <v>11084</v>
      </c>
      <c r="D11056" s="1"/>
      <c r="E11056" s="1"/>
      <c r="F11056" s="1" t="str">
        <f>IFERROR(__xludf.DUMMYFUNCTION("GOOGLETRANSLATE(B11056, ""en"", ""fa"")
"),"کپی رایتینگ II")</f>
        <v>کپی رایتینگ II</v>
      </c>
      <c r="G11056" s="1" t="str">
        <f>IFERROR(__xludf.DUMMYFUNCTION("GOOGLETRANSLATE(C11056, ""en"", ""fa"")
"),"نقش محرک های عاطفی مانند نوستالژی، میل یا ترس از دست دادن را در توضیحات محصول خود برای جذب مشتریان مورد بحث قرار دهید.")</f>
        <v>نقش محرک های عاطفی مانند نوستالژی، میل یا ترس از دست دادن را در توضیحات محصول خود برای جذب مشتریان مورد بحث قرار دهید.</v>
      </c>
      <c r="H11056" s="1"/>
      <c r="I11056" s="1"/>
      <c r="J11056" s="1"/>
      <c r="K11056" s="1"/>
      <c r="L11056" s="1"/>
      <c r="M11056" s="1"/>
      <c r="N11056" s="1"/>
      <c r="O11056" s="1"/>
      <c r="P11056" s="1"/>
      <c r="Q11056" s="1"/>
      <c r="R11056" s="1"/>
      <c r="S11056" s="1"/>
      <c r="T11056" s="1"/>
      <c r="U11056" s="1"/>
      <c r="V11056" s="1"/>
      <c r="W11056" s="1"/>
      <c r="X11056" s="1"/>
      <c r="Y11056" s="1"/>
      <c r="Z11056" s="1"/>
      <c r="AA11056" s="1"/>
      <c r="AB11056" s="1"/>
    </row>
    <row r="11057" ht="50.25" customHeight="1">
      <c r="A11057" s="12">
        <v>11053.0</v>
      </c>
      <c r="B11057" s="13" t="s">
        <v>10535</v>
      </c>
      <c r="C11057" s="18" t="s">
        <v>11085</v>
      </c>
      <c r="D11057" s="1"/>
      <c r="E11057" s="1"/>
      <c r="F11057" s="1" t="str">
        <f>IFERROR(__xludf.DUMMYFUNCTION("GOOGLETRANSLATE(B11057, ""en"", ""fa"")
"),"کپی رایتینگ II")</f>
        <v>کپی رایتینگ II</v>
      </c>
      <c r="G11057" s="1" t="str">
        <f>IFERROR(__xludf.DUMMYFUNCTION("GOOGLETRANSLATE(C11057, ""en"", ""fa"")
"),"چگونه با در نظر گرفتن تفاوت های فرهنگی و ترجیحات زبانی، توضیحات محصول خود را برای بازارهای بین المللی و مخاطبان چند زبانه بهینه کنید.")</f>
        <v>چگونه با در نظر گرفتن تفاوت های فرهنگی و ترجیحات زبانی، توضیحات محصول خود را برای بازارهای بین المللی و مخاطبان چند زبانه بهینه کنید.</v>
      </c>
      <c r="H11057" s="1"/>
      <c r="I11057" s="1"/>
      <c r="J11057" s="1"/>
      <c r="K11057" s="1"/>
      <c r="L11057" s="1"/>
      <c r="M11057" s="1"/>
      <c r="N11057" s="1"/>
      <c r="O11057" s="1"/>
      <c r="P11057" s="1"/>
      <c r="Q11057" s="1"/>
      <c r="R11057" s="1"/>
      <c r="S11057" s="1"/>
      <c r="T11057" s="1"/>
      <c r="U11057" s="1"/>
      <c r="V11057" s="1"/>
      <c r="W11057" s="1"/>
      <c r="X11057" s="1"/>
      <c r="Y11057" s="1"/>
      <c r="Z11057" s="1"/>
      <c r="AA11057" s="1"/>
      <c r="AB11057" s="1"/>
    </row>
    <row r="11058" ht="50.25" customHeight="1">
      <c r="A11058" s="12">
        <v>11054.0</v>
      </c>
      <c r="B11058" s="13" t="s">
        <v>10535</v>
      </c>
      <c r="C11058" s="18" t="s">
        <v>11086</v>
      </c>
      <c r="D11058" s="1"/>
      <c r="E11058" s="1"/>
      <c r="F11058" s="1" t="str">
        <f>IFERROR(__xludf.DUMMYFUNCTION("GOOGLETRANSLATE(B11058, ""en"", ""fa"")
"),"کپی رایتینگ II")</f>
        <v>کپی رایتینگ II</v>
      </c>
      <c r="G11058" s="1" t="str">
        <f>IFERROR(__xludf.DUMMYFUNCTION("GOOGLETRANSLATE(C11058, ""en"", ""fa"")
"),"روش‌های مختلف برای استفاده از داستان‌سرایی برای توصیف فرآیند توسعه محصول، مهارت‌ها یا توجه به جزئیات را بررسی کنید.")</f>
        <v>روش‌های مختلف برای استفاده از داستان‌سرایی برای توصیف فرآیند توسعه محصول، مهارت‌ها یا توجه به جزئیات را بررسی کنید.</v>
      </c>
      <c r="H11058" s="1"/>
      <c r="I11058" s="1"/>
      <c r="J11058" s="1"/>
      <c r="K11058" s="1"/>
      <c r="L11058" s="1"/>
      <c r="M11058" s="1"/>
      <c r="N11058" s="1"/>
      <c r="O11058" s="1"/>
      <c r="P11058" s="1"/>
      <c r="Q11058" s="1"/>
      <c r="R11058" s="1"/>
      <c r="S11058" s="1"/>
      <c r="T11058" s="1"/>
      <c r="U11058" s="1"/>
      <c r="V11058" s="1"/>
      <c r="W11058" s="1"/>
      <c r="X11058" s="1"/>
      <c r="Y11058" s="1"/>
      <c r="Z11058" s="1"/>
      <c r="AA11058" s="1"/>
      <c r="AB11058" s="1"/>
    </row>
    <row r="11059" ht="50.25" customHeight="1">
      <c r="A11059" s="12">
        <v>11055.0</v>
      </c>
      <c r="B11059" s="13" t="s">
        <v>10535</v>
      </c>
      <c r="C11059" s="18" t="s">
        <v>11087</v>
      </c>
      <c r="D11059" s="1"/>
      <c r="E11059" s="1"/>
      <c r="F11059" s="1" t="str">
        <f>IFERROR(__xludf.DUMMYFUNCTION("GOOGLETRANSLATE(B11059, ""en"", ""fa"")
"),"کپی رایتینگ II")</f>
        <v>کپی رایتینگ II</v>
      </c>
      <c r="G11059" s="1" t="str">
        <f>IFERROR(__xludf.DUMMYFUNCTION("GOOGLETRANSLATE(C11059, ""en"", ""fa"")
"),"بهترین شیوه ها برای استفاده از تکنیک های داستان سرایی متقاعدکننده، مانند روایت های حل مسئله یا داستان های موفقیت، در توضیحات محصول شما چیست؟")</f>
        <v>بهترین شیوه ها برای استفاده از تکنیک های داستان سرایی متقاعدکننده، مانند روایت های حل مسئله یا داستان های موفقیت، در توضیحات محصول شما چیست؟</v>
      </c>
      <c r="H11059" s="1"/>
      <c r="I11059" s="1"/>
      <c r="J11059" s="1"/>
      <c r="K11059" s="1"/>
      <c r="L11059" s="1"/>
      <c r="M11059" s="1"/>
      <c r="N11059" s="1"/>
      <c r="O11059" s="1"/>
      <c r="P11059" s="1"/>
      <c r="Q11059" s="1"/>
      <c r="R11059" s="1"/>
      <c r="S11059" s="1"/>
      <c r="T11059" s="1"/>
      <c r="U11059" s="1"/>
      <c r="V11059" s="1"/>
      <c r="W11059" s="1"/>
      <c r="X11059" s="1"/>
      <c r="Y11059" s="1"/>
      <c r="Z11059" s="1"/>
      <c r="AA11059" s="1"/>
      <c r="AB11059" s="1"/>
    </row>
    <row r="11060" ht="50.25" customHeight="1">
      <c r="A11060" s="12">
        <v>11056.0</v>
      </c>
      <c r="B11060" s="13" t="s">
        <v>10535</v>
      </c>
      <c r="C11060" s="18" t="s">
        <v>11088</v>
      </c>
      <c r="D11060" s="1"/>
      <c r="E11060" s="1"/>
      <c r="F11060" s="1" t="str">
        <f>IFERROR(__xludf.DUMMYFUNCTION("GOOGLETRANSLATE(B11060, ""en"", ""fa"")
"),"کپی رایتینگ II")</f>
        <v>کپی رایتینگ II</v>
      </c>
      <c r="G11060" s="1" t="str">
        <f>IFERROR(__xludf.DUMMYFUNCTION("GOOGLETRANSLATE(C11060, ""en"", ""fa"")
"),"چگونه می‌توان توضیحات محصول را برای جمعیت‌شناسی، گروه‌های سنی یا بخش‌های مختلف مشتری تنظیم کرد، زبان و پیام‌ها را بر این اساس تطبیق داد.")</f>
        <v>چگونه می‌توان توضیحات محصول را برای جمعیت‌شناسی، گروه‌های سنی یا بخش‌های مختلف مشتری تنظیم کرد، زبان و پیام‌ها را بر این اساس تطبیق داد.</v>
      </c>
      <c r="H11060" s="1"/>
      <c r="I11060" s="1"/>
      <c r="J11060" s="1"/>
      <c r="K11060" s="1"/>
      <c r="L11060" s="1"/>
      <c r="M11060" s="1"/>
      <c r="N11060" s="1"/>
      <c r="O11060" s="1"/>
      <c r="P11060" s="1"/>
      <c r="Q11060" s="1"/>
      <c r="R11060" s="1"/>
      <c r="S11060" s="1"/>
      <c r="T11060" s="1"/>
      <c r="U11060" s="1"/>
      <c r="V11060" s="1"/>
      <c r="W11060" s="1"/>
      <c r="X11060" s="1"/>
      <c r="Y11060" s="1"/>
      <c r="Z11060" s="1"/>
      <c r="AA11060" s="1"/>
      <c r="AB11060" s="1"/>
    </row>
    <row r="11061" ht="50.25" customHeight="1">
      <c r="A11061" s="12">
        <v>11057.0</v>
      </c>
      <c r="B11061" s="13" t="s">
        <v>10535</v>
      </c>
      <c r="C11061" s="18" t="s">
        <v>11089</v>
      </c>
      <c r="D11061" s="1"/>
      <c r="E11061" s="1"/>
      <c r="F11061" s="1" t="str">
        <f>IFERROR(__xludf.DUMMYFUNCTION("GOOGLETRANSLATE(B11061, ""en"", ""fa"")
"),"کپی رایتینگ II")</f>
        <v>کپی رایتینگ II</v>
      </c>
      <c r="G11061" s="1" t="str">
        <f>IFERROR(__xludf.DUMMYFUNCTION("GOOGLETRANSLATE(C11061, ""en"", ""fa"")
"),"اهمیت تاکید بر راحتی محصول، سهولت استفاده یا مزایای صرفه جویی در زمان را در توضیحات خود مطرح کنید.")</f>
        <v>اهمیت تاکید بر راحتی محصول، سهولت استفاده یا مزایای صرفه جویی در زمان را در توضیحات خود مطرح کنید.</v>
      </c>
      <c r="H11061" s="1"/>
      <c r="I11061" s="1"/>
      <c r="J11061" s="1"/>
      <c r="K11061" s="1"/>
      <c r="L11061" s="1"/>
      <c r="M11061" s="1"/>
      <c r="N11061" s="1"/>
      <c r="O11061" s="1"/>
      <c r="P11061" s="1"/>
      <c r="Q11061" s="1"/>
      <c r="R11061" s="1"/>
      <c r="S11061" s="1"/>
      <c r="T11061" s="1"/>
      <c r="U11061" s="1"/>
      <c r="V11061" s="1"/>
      <c r="W11061" s="1"/>
      <c r="X11061" s="1"/>
      <c r="Y11061" s="1"/>
      <c r="Z11061" s="1"/>
      <c r="AA11061" s="1"/>
      <c r="AB11061" s="1"/>
    </row>
    <row r="11062" ht="50.25" customHeight="1">
      <c r="A11062" s="12">
        <v>11058.0</v>
      </c>
      <c r="B11062" s="13" t="s">
        <v>10535</v>
      </c>
      <c r="C11062" s="18" t="s">
        <v>11090</v>
      </c>
      <c r="D11062" s="1"/>
      <c r="E11062" s="1"/>
      <c r="F11062" s="1" t="str">
        <f>IFERROR(__xludf.DUMMYFUNCTION("GOOGLETRANSLATE(B11062, ""en"", ""fa"")
"),"کپی رایتینگ II")</f>
        <v>کپی رایتینگ II</v>
      </c>
      <c r="G11062" s="1" t="str">
        <f>IFERROR(__xludf.DUMMYFUNCTION("GOOGLETRANSLATE(C11062, ""en"", ""fa"")
"),"چگونه می توان توضیحات محصول را ایجاد کرد که حس ارتباط و هویت شخصی را تقویت می کند و در سطح احساسی با مشتریان طنین انداز می کند.")</f>
        <v>چگونه می توان توضیحات محصول را ایجاد کرد که حس ارتباط و هویت شخصی را تقویت می کند و در سطح احساسی با مشتریان طنین انداز می کند.</v>
      </c>
      <c r="H11062" s="1"/>
      <c r="I11062" s="1"/>
      <c r="J11062" s="1"/>
      <c r="K11062" s="1"/>
      <c r="L11062" s="1"/>
      <c r="M11062" s="1"/>
      <c r="N11062" s="1"/>
      <c r="O11062" s="1"/>
      <c r="P11062" s="1"/>
      <c r="Q11062" s="1"/>
      <c r="R11062" s="1"/>
      <c r="S11062" s="1"/>
      <c r="T11062" s="1"/>
      <c r="U11062" s="1"/>
      <c r="V11062" s="1"/>
      <c r="W11062" s="1"/>
      <c r="X11062" s="1"/>
      <c r="Y11062" s="1"/>
      <c r="Z11062" s="1"/>
      <c r="AA11062" s="1"/>
      <c r="AB11062" s="1"/>
    </row>
    <row r="11063" ht="50.25" customHeight="1">
      <c r="A11063" s="12">
        <v>11059.0</v>
      </c>
      <c r="B11063" s="13" t="s">
        <v>10535</v>
      </c>
      <c r="C11063" s="18" t="s">
        <v>11091</v>
      </c>
      <c r="D11063" s="1"/>
      <c r="E11063" s="1"/>
      <c r="F11063" s="1" t="str">
        <f>IFERROR(__xludf.DUMMYFUNCTION("GOOGLETRANSLATE(B11063, ""en"", ""fa"")
"),"کپی رایتینگ II")</f>
        <v>کپی رایتینگ II</v>
      </c>
      <c r="G11063" s="1" t="str">
        <f>IFERROR(__xludf.DUMMYFUNCTION("GOOGLETRANSLATE(C11063, ""en"", ""fa"")
"),"استراتژی‌های مختلف برای استفاده از نشانه‌های بصری، مانند نمادها یا نمادها، برای نمایش ویژگی‌ها یا مزایای کلیدی محصول در توضیحات خود کاوش کنید.")</f>
        <v>استراتژی‌های مختلف برای استفاده از نشانه‌های بصری، مانند نمادها یا نمادها، برای نمایش ویژگی‌ها یا مزایای کلیدی محصول در توضیحات خود کاوش کنید.</v>
      </c>
      <c r="H11063" s="1"/>
      <c r="I11063" s="1"/>
      <c r="J11063" s="1"/>
      <c r="K11063" s="1"/>
      <c r="L11063" s="1"/>
      <c r="M11063" s="1"/>
      <c r="N11063" s="1"/>
      <c r="O11063" s="1"/>
      <c r="P11063" s="1"/>
      <c r="Q11063" s="1"/>
      <c r="R11063" s="1"/>
      <c r="S11063" s="1"/>
      <c r="T11063" s="1"/>
      <c r="U11063" s="1"/>
      <c r="V11063" s="1"/>
      <c r="W11063" s="1"/>
      <c r="X11063" s="1"/>
      <c r="Y11063" s="1"/>
      <c r="Z11063" s="1"/>
      <c r="AA11063" s="1"/>
      <c r="AB11063" s="1"/>
    </row>
    <row r="11064" ht="50.25" customHeight="1">
      <c r="A11064" s="12">
        <v>11060.0</v>
      </c>
      <c r="B11064" s="13" t="s">
        <v>10535</v>
      </c>
      <c r="C11064" s="18" t="s">
        <v>11092</v>
      </c>
      <c r="D11064" s="1"/>
      <c r="E11064" s="1"/>
      <c r="F11064" s="1" t="str">
        <f>IFERROR(__xludf.DUMMYFUNCTION("GOOGLETRANSLATE(B11064, ""en"", ""fa"")
"),"کپی رایتینگ II")</f>
        <v>کپی رایتینگ II</v>
      </c>
      <c r="G11064" s="1" t="str">
        <f>IFERROR(__xludf.DUMMYFUNCTION("GOOGLETRANSLATE(C11064, ""en"", ""fa"")
"),"چه تکنیک هایی برای استفاده از یکپارچه سازی رسانه های اجتماعی در توضیحات محصول شما وجود دارد که به مشتریان امکان می دهد مستقیماً از پلتفرم های اجتماعی به اشتراک بگذارند یا خرید کنند.")</f>
        <v>چه تکنیک هایی برای استفاده از یکپارچه سازی رسانه های اجتماعی در توضیحات محصول شما وجود دارد که به مشتریان امکان می دهد مستقیماً از پلتفرم های اجتماعی به اشتراک بگذارند یا خرید کنند.</v>
      </c>
      <c r="H11064" s="1"/>
      <c r="I11064" s="1"/>
      <c r="J11064" s="1"/>
      <c r="K11064" s="1"/>
      <c r="L11064" s="1"/>
      <c r="M11064" s="1"/>
      <c r="N11064" s="1"/>
      <c r="O11064" s="1"/>
      <c r="P11064" s="1"/>
      <c r="Q11064" s="1"/>
      <c r="R11064" s="1"/>
      <c r="S11064" s="1"/>
      <c r="T11064" s="1"/>
      <c r="U11064" s="1"/>
      <c r="V11064" s="1"/>
      <c r="W11064" s="1"/>
      <c r="X11064" s="1"/>
      <c r="Y11064" s="1"/>
      <c r="Z11064" s="1"/>
      <c r="AA11064" s="1"/>
      <c r="AB11064" s="1"/>
    </row>
    <row r="11065" ht="50.25" customHeight="1">
      <c r="A11065" s="12">
        <v>11061.0</v>
      </c>
      <c r="B11065" s="13" t="s">
        <v>10535</v>
      </c>
      <c r="C11065" s="18" t="s">
        <v>11093</v>
      </c>
      <c r="D11065" s="1"/>
      <c r="E11065" s="1"/>
      <c r="F11065" s="1" t="str">
        <f>IFERROR(__xludf.DUMMYFUNCTION("GOOGLETRANSLATE(B11065, ""en"", ""fa"")
"),"کپی رایتینگ II")</f>
        <v>کپی رایتینگ II</v>
      </c>
      <c r="G11065" s="1" t="str">
        <f>IFERROR(__xludf.DUMMYFUNCTION("GOOGLETRANSLATE(C11065, ""en"", ""fa"")
"),"نحوه بهینه سازی توضیحات محصول برای جستجوی صوتی، با در نظر گرفتن زبان طبیعی و عبارات محاوره ای که با جستارهای صوتی همسو هستند.")</f>
        <v>نحوه بهینه سازی توضیحات محصول برای جستجوی صوتی، با در نظر گرفتن زبان طبیعی و عبارات محاوره ای که با جستارهای صوتی همسو هستند.</v>
      </c>
      <c r="H11065" s="1"/>
      <c r="I11065" s="1"/>
      <c r="J11065" s="1"/>
      <c r="K11065" s="1"/>
      <c r="L11065" s="1"/>
      <c r="M11065" s="1"/>
      <c r="N11065" s="1"/>
      <c r="O11065" s="1"/>
      <c r="P11065" s="1"/>
      <c r="Q11065" s="1"/>
      <c r="R11065" s="1"/>
      <c r="S11065" s="1"/>
      <c r="T11065" s="1"/>
      <c r="U11065" s="1"/>
      <c r="V11065" s="1"/>
      <c r="W11065" s="1"/>
      <c r="X11065" s="1"/>
      <c r="Y11065" s="1"/>
      <c r="Z11065" s="1"/>
      <c r="AA11065" s="1"/>
      <c r="AB11065" s="1"/>
    </row>
    <row r="11066" ht="50.25" customHeight="1">
      <c r="A11066" s="12">
        <v>11062.0</v>
      </c>
      <c r="B11066" s="13" t="s">
        <v>10535</v>
      </c>
      <c r="C11066" s="18" t="s">
        <v>11094</v>
      </c>
      <c r="D11066" s="1"/>
      <c r="E11066" s="1"/>
      <c r="F11066" s="1" t="str">
        <f>IFERROR(__xludf.DUMMYFUNCTION("GOOGLETRANSLATE(B11066, ""en"", ""fa"")
"),"کپی رایتینگ II")</f>
        <v>کپی رایتینگ II</v>
      </c>
      <c r="G11066" s="1" t="str">
        <f>IFERROR(__xludf.DUMMYFUNCTION("GOOGLETRANSLATE(C11066, ""en"", ""fa"")
"),"در مورد نقش داستان سرایی در نمایش تطبیق پذیری یا کاربردهای متعدد محصول بحث کنید و ارزش آن را در زمینه های مختلف نشان دهید.")</f>
        <v>در مورد نقش داستان سرایی در نمایش تطبیق پذیری یا کاربردهای متعدد محصول بحث کنید و ارزش آن را در زمینه های مختلف نشان دهید.</v>
      </c>
      <c r="H11066" s="1"/>
      <c r="I11066" s="1"/>
      <c r="J11066" s="1"/>
      <c r="K11066" s="1"/>
      <c r="L11066" s="1"/>
      <c r="M11066" s="1"/>
      <c r="N11066" s="1"/>
      <c r="O11066" s="1"/>
      <c r="P11066" s="1"/>
      <c r="Q11066" s="1"/>
      <c r="R11066" s="1"/>
      <c r="S11066" s="1"/>
      <c r="T11066" s="1"/>
      <c r="U11066" s="1"/>
      <c r="V11066" s="1"/>
      <c r="W11066" s="1"/>
      <c r="X11066" s="1"/>
      <c r="Y11066" s="1"/>
      <c r="Z11066" s="1"/>
      <c r="AA11066" s="1"/>
      <c r="AB11066" s="1"/>
    </row>
    <row r="11067" ht="50.25" customHeight="1">
      <c r="A11067" s="12">
        <v>11063.0</v>
      </c>
      <c r="B11067" s="13" t="s">
        <v>10535</v>
      </c>
      <c r="C11067" s="18" t="s">
        <v>11095</v>
      </c>
      <c r="D11067" s="1"/>
      <c r="E11067" s="1"/>
      <c r="F11067" s="1" t="str">
        <f>IFERROR(__xludf.DUMMYFUNCTION("GOOGLETRANSLATE(B11067, ""en"", ""fa"")
"),"کپی رایتینگ II")</f>
        <v>کپی رایتینگ II</v>
      </c>
      <c r="G11067" s="1" t="str">
        <f>IFERROR(__xludf.DUMMYFUNCTION("GOOGLETRANSLATE(C11067, ""en"", ""fa"")
"),"نحوه ایجاد توضیحات محصول که به طول عمر محصول، گارانتی یا پشتیبانی پس از فروش می پردازد و باعث ایجاد اطمینان در مشتریان می شود.")</f>
        <v>نحوه ایجاد توضیحات محصول که به طول عمر محصول، گارانتی یا پشتیبانی پس از فروش می پردازد و باعث ایجاد اطمینان در مشتریان می شود.</v>
      </c>
      <c r="H11067" s="1"/>
      <c r="I11067" s="1"/>
      <c r="J11067" s="1"/>
      <c r="K11067" s="1"/>
      <c r="L11067" s="1"/>
      <c r="M11067" s="1"/>
      <c r="N11067" s="1"/>
      <c r="O11067" s="1"/>
      <c r="P11067" s="1"/>
      <c r="Q11067" s="1"/>
      <c r="R11067" s="1"/>
      <c r="S11067" s="1"/>
      <c r="T11067" s="1"/>
      <c r="U11067" s="1"/>
      <c r="V11067" s="1"/>
      <c r="W11067" s="1"/>
      <c r="X11067" s="1"/>
      <c r="Y11067" s="1"/>
      <c r="Z11067" s="1"/>
      <c r="AA11067" s="1"/>
      <c r="AB11067" s="1"/>
    </row>
    <row r="11068" ht="50.25" customHeight="1">
      <c r="A11068" s="12">
        <v>11064.0</v>
      </c>
      <c r="B11068" s="13" t="s">
        <v>10535</v>
      </c>
      <c r="C11068" s="18" t="s">
        <v>11096</v>
      </c>
      <c r="D11068" s="1"/>
      <c r="E11068" s="1"/>
      <c r="F11068" s="1" t="str">
        <f>IFERROR(__xludf.DUMMYFUNCTION("GOOGLETRANSLATE(B11068, ""en"", ""fa"")
"),"کپی رایتینگ II")</f>
        <v>کپی رایتینگ II</v>
      </c>
      <c r="G11068" s="1" t="str">
        <f>IFERROR(__xludf.DUMMYFUNCTION("GOOGLETRANSLATE(C11068, ""en"", ""fa"")
"),"روش‌های مختلف برای استفاده از تکنیک‌های داستان سرایی متقاعدکننده برای غلبه بر مخالفت‌ها یا رزروهای رایجی که مشتریان ممکن است داشته باشند را بررسی کنید.")</f>
        <v>روش‌های مختلف برای استفاده از تکنیک‌های داستان سرایی متقاعدکننده برای غلبه بر مخالفت‌ها یا رزروهای رایجی که مشتریان ممکن است داشته باشند را بررسی کنید.</v>
      </c>
      <c r="H11068" s="1"/>
      <c r="I11068" s="1"/>
      <c r="J11068" s="1"/>
      <c r="K11068" s="1"/>
      <c r="L11068" s="1"/>
      <c r="M11068" s="1"/>
      <c r="N11068" s="1"/>
      <c r="O11068" s="1"/>
      <c r="P11068" s="1"/>
      <c r="Q11068" s="1"/>
      <c r="R11068" s="1"/>
      <c r="S11068" s="1"/>
      <c r="T11068" s="1"/>
      <c r="U11068" s="1"/>
      <c r="V11068" s="1"/>
      <c r="W11068" s="1"/>
      <c r="X11068" s="1"/>
      <c r="Y11068" s="1"/>
      <c r="Z11068" s="1"/>
      <c r="AA11068" s="1"/>
      <c r="AB11068" s="1"/>
    </row>
    <row r="11069" ht="50.25" customHeight="1">
      <c r="A11069" s="12">
        <v>11065.0</v>
      </c>
      <c r="B11069" s="13" t="s">
        <v>10535</v>
      </c>
      <c r="C11069" s="18" t="s">
        <v>11097</v>
      </c>
      <c r="D11069" s="1"/>
      <c r="E11069" s="1"/>
      <c r="F11069" s="1" t="str">
        <f>IFERROR(__xludf.DUMMYFUNCTION("GOOGLETRANSLATE(B11069, ""en"", ""fa"")
"),"کپی رایتینگ II")</f>
        <v>کپی رایتینگ II</v>
      </c>
      <c r="G11069" s="1" t="str">
        <f>IFERROR(__xludf.DUMMYFUNCTION("GOOGLETRANSLATE(C11069, ""en"", ""fa"")
"),"بهترین شیوه ها برای گنجاندن شوخ طبعی، شوخ طبعی یا شخصیت در توضیحات محصول شما چیست و آنها را به یاد ماندنی و جذاب می کند.")</f>
        <v>بهترین شیوه ها برای گنجاندن شوخ طبعی، شوخ طبعی یا شخصیت در توضیحات محصول شما چیست و آنها را به یاد ماندنی و جذاب می کند.</v>
      </c>
      <c r="H11069" s="1"/>
      <c r="I11069" s="1"/>
      <c r="J11069" s="1"/>
      <c r="K11069" s="1"/>
      <c r="L11069" s="1"/>
      <c r="M11069" s="1"/>
      <c r="N11069" s="1"/>
      <c r="O11069" s="1"/>
      <c r="P11069" s="1"/>
      <c r="Q11069" s="1"/>
      <c r="R11069" s="1"/>
      <c r="S11069" s="1"/>
      <c r="T11069" s="1"/>
      <c r="U11069" s="1"/>
      <c r="V11069" s="1"/>
      <c r="W11069" s="1"/>
      <c r="X11069" s="1"/>
      <c r="Y11069" s="1"/>
      <c r="Z11069" s="1"/>
      <c r="AA11069" s="1"/>
      <c r="AB11069" s="1"/>
    </row>
    <row r="11070" ht="50.25" customHeight="1">
      <c r="A11070" s="12">
        <v>11066.0</v>
      </c>
      <c r="B11070" s="13" t="s">
        <v>10535</v>
      </c>
      <c r="C11070" s="18" t="s">
        <v>11098</v>
      </c>
      <c r="D11070" s="1"/>
      <c r="E11070" s="1"/>
      <c r="F11070" s="1" t="str">
        <f>IFERROR(__xludf.DUMMYFUNCTION("GOOGLETRANSLATE(B11070, ""en"", ""fa"")
"),"کپی رایتینگ II")</f>
        <v>کپی رایتینگ II</v>
      </c>
      <c r="G11070" s="1" t="str">
        <f>IFERROR(__xludf.DUMMYFUNCTION("GOOGLETRANSLATE(C11070, ""en"", ""fa"")
"),"نحوه تنظیم توضیحات محصول برای پلتفرم‌ها یا بازارهای آنلاین مختلف، با در نظر گرفتن محدودیت‌های کاراکتر، گزینه‌های قالب‌بندی و رفتار مخاطب.")</f>
        <v>نحوه تنظیم توضیحات محصول برای پلتفرم‌ها یا بازارهای آنلاین مختلف، با در نظر گرفتن محدودیت‌های کاراکتر، گزینه‌های قالب‌بندی و رفتار مخاطب.</v>
      </c>
      <c r="H11070" s="1"/>
      <c r="I11070" s="1"/>
      <c r="J11070" s="1"/>
      <c r="K11070" s="1"/>
      <c r="L11070" s="1"/>
      <c r="M11070" s="1"/>
      <c r="N11070" s="1"/>
      <c r="O11070" s="1"/>
      <c r="P11070" s="1"/>
      <c r="Q11070" s="1"/>
      <c r="R11070" s="1"/>
      <c r="S11070" s="1"/>
      <c r="T11070" s="1"/>
      <c r="U11070" s="1"/>
      <c r="V11070" s="1"/>
      <c r="W11070" s="1"/>
      <c r="X11070" s="1"/>
      <c r="Y11070" s="1"/>
      <c r="Z11070" s="1"/>
      <c r="AA11070" s="1"/>
      <c r="AB11070" s="1"/>
    </row>
    <row r="11071" ht="50.25" customHeight="1">
      <c r="A11071" s="12">
        <v>11067.0</v>
      </c>
      <c r="B11071" s="13" t="s">
        <v>10535</v>
      </c>
      <c r="C11071" s="18" t="s">
        <v>11099</v>
      </c>
      <c r="D11071" s="1"/>
      <c r="E11071" s="1"/>
      <c r="F11071" s="1" t="str">
        <f>IFERROR(__xludf.DUMMYFUNCTION("GOOGLETRANSLATE(B11071, ""en"", ""fa"")
"),"کپی رایتینگ II")</f>
        <v>کپی رایتینگ II</v>
      </c>
      <c r="G11071" s="1" t="str">
        <f>IFERROR(__xludf.DUMMYFUNCTION("GOOGLETRANSLATE(C11071, ""en"", ""fa"")
"),"در مورد اهمیت استفاده از عناوین و زیرنویس های واضح و مختصر محصول برای جلب توجه و ارائه اطلاعات فوری بحث کنید.")</f>
        <v>در مورد اهمیت استفاده از عناوین و زیرنویس های واضح و مختصر محصول برای جلب توجه و ارائه اطلاعات فوری بحث کنید.</v>
      </c>
      <c r="H11071" s="1"/>
      <c r="I11071" s="1"/>
      <c r="J11071" s="1"/>
      <c r="K11071" s="1"/>
      <c r="L11071" s="1"/>
      <c r="M11071" s="1"/>
      <c r="N11071" s="1"/>
      <c r="O11071" s="1"/>
      <c r="P11071" s="1"/>
      <c r="Q11071" s="1"/>
      <c r="R11071" s="1"/>
      <c r="S11071" s="1"/>
      <c r="T11071" s="1"/>
      <c r="U11071" s="1"/>
      <c r="V11071" s="1"/>
      <c r="W11071" s="1"/>
      <c r="X11071" s="1"/>
      <c r="Y11071" s="1"/>
      <c r="Z11071" s="1"/>
      <c r="AA11071" s="1"/>
      <c r="AB11071" s="1"/>
    </row>
    <row r="11072" ht="50.25" customHeight="1">
      <c r="A11072" s="12">
        <v>11068.0</v>
      </c>
      <c r="B11072" s="13" t="s">
        <v>10535</v>
      </c>
      <c r="C11072" s="18" t="s">
        <v>11100</v>
      </c>
      <c r="D11072" s="1"/>
      <c r="E11072" s="1"/>
      <c r="F11072" s="1" t="str">
        <f>IFERROR(__xludf.DUMMYFUNCTION("GOOGLETRANSLATE(B11072, ""en"", ""fa"")
"),"کپی رایتینگ II")</f>
        <v>کپی رایتینگ II</v>
      </c>
      <c r="G11072" s="1" t="str">
        <f>IFERROR(__xludf.DUMMYFUNCTION("GOOGLETRANSLATE(C11072, ""en"", ""fa"")
"),"نحوه ایجاد توضیحات محصول که تأثیر محصول بر سلامت، رفاه یا بهبود شخصی را برجسته می کند.")</f>
        <v>نحوه ایجاد توضیحات محصول که تأثیر محصول بر سلامت، رفاه یا بهبود شخصی را برجسته می کند.</v>
      </c>
      <c r="H11072" s="1"/>
      <c r="I11072" s="1"/>
      <c r="J11072" s="1"/>
      <c r="K11072" s="1"/>
      <c r="L11072" s="1"/>
      <c r="M11072" s="1"/>
      <c r="N11072" s="1"/>
      <c r="O11072" s="1"/>
      <c r="P11072" s="1"/>
      <c r="Q11072" s="1"/>
      <c r="R11072" s="1"/>
      <c r="S11072" s="1"/>
      <c r="T11072" s="1"/>
      <c r="U11072" s="1"/>
      <c r="V11072" s="1"/>
      <c r="W11072" s="1"/>
      <c r="X11072" s="1"/>
      <c r="Y11072" s="1"/>
      <c r="Z11072" s="1"/>
      <c r="AA11072" s="1"/>
      <c r="AB11072" s="1"/>
    </row>
    <row r="11073" ht="50.25" customHeight="1">
      <c r="A11073" s="12">
        <v>11069.0</v>
      </c>
      <c r="B11073" s="13" t="s">
        <v>10535</v>
      </c>
      <c r="C11073" s="18" t="s">
        <v>11101</v>
      </c>
      <c r="D11073" s="1"/>
      <c r="E11073" s="1"/>
      <c r="F11073" s="1" t="str">
        <f>IFERROR(__xludf.DUMMYFUNCTION("GOOGLETRANSLATE(B11073, ""en"", ""fa"")
"),"کپی رایتینگ II")</f>
        <v>کپی رایتینگ II</v>
      </c>
      <c r="G11073" s="1" t="str">
        <f>IFERROR(__xludf.DUMMYFUNCTION("GOOGLETRANSLATE(C11073, ""en"", ""fa"")
"),"استراتژی‌های مختلف برای استفاده از داستان‌سرایی برای توصیف سفر توسعه محصول، برجسته کردن چالش‌ها و پیروزی‌ها در طول مسیر را بررسی کنید.")</f>
        <v>استراتژی‌های مختلف برای استفاده از داستان‌سرایی برای توصیف سفر توسعه محصول، برجسته کردن چالش‌ها و پیروزی‌ها در طول مسیر را بررسی کنید.</v>
      </c>
      <c r="H11073" s="1"/>
      <c r="I11073" s="1"/>
      <c r="J11073" s="1"/>
      <c r="K11073" s="1"/>
      <c r="L11073" s="1"/>
      <c r="M11073" s="1"/>
      <c r="N11073" s="1"/>
      <c r="O11073" s="1"/>
      <c r="P11073" s="1"/>
      <c r="Q11073" s="1"/>
      <c r="R11073" s="1"/>
      <c r="S11073" s="1"/>
      <c r="T11073" s="1"/>
      <c r="U11073" s="1"/>
      <c r="V11073" s="1"/>
      <c r="W11073" s="1"/>
      <c r="X11073" s="1"/>
      <c r="Y11073" s="1"/>
      <c r="Z11073" s="1"/>
      <c r="AA11073" s="1"/>
      <c r="AB11073" s="1"/>
    </row>
    <row r="11074" ht="50.25" customHeight="1">
      <c r="A11074" s="12">
        <v>11070.0</v>
      </c>
      <c r="B11074" s="13" t="s">
        <v>10535</v>
      </c>
      <c r="C11074" s="18" t="s">
        <v>11102</v>
      </c>
      <c r="D11074" s="1"/>
      <c r="E11074" s="1"/>
      <c r="F11074" s="1" t="str">
        <f>IFERROR(__xludf.DUMMYFUNCTION("GOOGLETRANSLATE(B11074, ""en"", ""fa"")
"),"کپی رایتینگ II")</f>
        <v>کپی رایتینگ II</v>
      </c>
      <c r="G11074" s="1" t="str">
        <f>IFERROR(__xludf.DUMMYFUNCTION("GOOGLETRANSLATE(C11074, ""en"", ""fa"")
"),"تکنیک های استفاده از زبان توصیفی و تصاویر واضح برای ترسیم تصویری بصری از محصول در توضیحات شما چیست؟")</f>
        <v>تکنیک های استفاده از زبان توصیفی و تصاویر واضح برای ترسیم تصویری بصری از محصول در توضیحات شما چیست؟</v>
      </c>
      <c r="H11074" s="1"/>
      <c r="I11074" s="1"/>
      <c r="J11074" s="1"/>
      <c r="K11074" s="1"/>
      <c r="L11074" s="1"/>
      <c r="M11074" s="1"/>
      <c r="N11074" s="1"/>
      <c r="O11074" s="1"/>
      <c r="P11074" s="1"/>
      <c r="Q11074" s="1"/>
      <c r="R11074" s="1"/>
      <c r="S11074" s="1"/>
      <c r="T11074" s="1"/>
      <c r="U11074" s="1"/>
      <c r="V11074" s="1"/>
      <c r="W11074" s="1"/>
      <c r="X11074" s="1"/>
      <c r="Y11074" s="1"/>
      <c r="Z11074" s="1"/>
      <c r="AA11074" s="1"/>
      <c r="AB11074" s="1"/>
    </row>
    <row r="11075" ht="50.25" customHeight="1">
      <c r="A11075" s="12">
        <v>11071.0</v>
      </c>
      <c r="B11075" s="13" t="s">
        <v>10535</v>
      </c>
      <c r="C11075" s="18" t="s">
        <v>11103</v>
      </c>
      <c r="D11075" s="1"/>
      <c r="E11075" s="1"/>
      <c r="F11075" s="1" t="str">
        <f>IFERROR(__xludf.DUMMYFUNCTION("GOOGLETRANSLATE(B11075, ""en"", ""fa"")
"),"کپی رایتینگ II")</f>
        <v>کپی رایتینگ II</v>
      </c>
      <c r="G11075" s="1" t="str">
        <f>IFERROR(__xludf.DUMMYFUNCTION("GOOGLETRANSLATE(C11075, ""en"", ""fa"")
"),"چگونه توصیفات محصول خود را برای مرور تلفن همراه بهینه کنید و از تجربه ای یکپارچه و جذاب در صفحه نمایش های کوچک اطمینان حاصل کنید.")</f>
        <v>چگونه توصیفات محصول خود را برای مرور تلفن همراه بهینه کنید و از تجربه ای یکپارچه و جذاب در صفحه نمایش های کوچک اطمینان حاصل کنید.</v>
      </c>
      <c r="H11075" s="1"/>
      <c r="I11075" s="1"/>
      <c r="J11075" s="1"/>
      <c r="K11075" s="1"/>
      <c r="L11075" s="1"/>
      <c r="M11075" s="1"/>
      <c r="N11075" s="1"/>
      <c r="O11075" s="1"/>
      <c r="P11075" s="1"/>
      <c r="Q11075" s="1"/>
      <c r="R11075" s="1"/>
      <c r="S11075" s="1"/>
      <c r="T11075" s="1"/>
      <c r="U11075" s="1"/>
      <c r="V11075" s="1"/>
      <c r="W11075" s="1"/>
      <c r="X11075" s="1"/>
      <c r="Y11075" s="1"/>
      <c r="Z11075" s="1"/>
      <c r="AA11075" s="1"/>
      <c r="AB11075" s="1"/>
    </row>
    <row r="11076" ht="50.25" customHeight="1">
      <c r="A11076" s="12">
        <v>11072.0</v>
      </c>
      <c r="B11076" s="13" t="s">
        <v>10535</v>
      </c>
      <c r="C11076" s="18" t="s">
        <v>11104</v>
      </c>
      <c r="D11076" s="1"/>
      <c r="E11076" s="1"/>
      <c r="F11076" s="1" t="str">
        <f>IFERROR(__xludf.DUMMYFUNCTION("GOOGLETRANSLATE(B11076, ""en"", ""fa"")
"),"کپی رایتینگ II")</f>
        <v>کپی رایتینگ II</v>
      </c>
      <c r="G11076" s="1" t="str">
        <f>IFERROR(__xludf.DUMMYFUNCTION("GOOGLETRANSLATE(C11076, ""en"", ""fa"")
"),"در مورد نقش تأثیرگذاران رسانه های اجتماعی یا سفیران برند در تأیید محصولات خود در توضیحات محصول بحث کنید.")</f>
        <v>در مورد نقش تأثیرگذاران رسانه های اجتماعی یا سفیران برند در تأیید محصولات خود در توضیحات محصول بحث کنید.</v>
      </c>
      <c r="H11076" s="1"/>
      <c r="I11076" s="1"/>
      <c r="J11076" s="1"/>
      <c r="K11076" s="1"/>
      <c r="L11076" s="1"/>
      <c r="M11076" s="1"/>
      <c r="N11076" s="1"/>
      <c r="O11076" s="1"/>
      <c r="P11076" s="1"/>
      <c r="Q11076" s="1"/>
      <c r="R11076" s="1"/>
      <c r="S11076" s="1"/>
      <c r="T11076" s="1"/>
      <c r="U11076" s="1"/>
      <c r="V11076" s="1"/>
      <c r="W11076" s="1"/>
      <c r="X11076" s="1"/>
      <c r="Y11076" s="1"/>
      <c r="Z11076" s="1"/>
      <c r="AA11076" s="1"/>
      <c r="AB11076" s="1"/>
    </row>
    <row r="11077" ht="50.25" customHeight="1">
      <c r="A11077" s="12">
        <v>11073.0</v>
      </c>
      <c r="B11077" s="13" t="s">
        <v>10535</v>
      </c>
      <c r="C11077" s="18" t="s">
        <v>11105</v>
      </c>
      <c r="D11077" s="1"/>
      <c r="E11077" s="1"/>
      <c r="F11077" s="1" t="str">
        <f>IFERROR(__xludf.DUMMYFUNCTION("GOOGLETRANSLATE(B11077, ""en"", ""fa"")
"),"کپی رایتینگ II")</f>
        <v>کپی رایتینگ II</v>
      </c>
      <c r="G11077" s="1" t="str">
        <f>IFERROR(__xludf.DUMMYFUNCTION("GOOGLETRANSLATE(C11077, ""en"", ""fa"")
"),"چگونه می توان توضیحات محصولی را ایجاد کرد که حس انحصار یا کمبود را برانگیزد و باعث شود مشتریان در مالکیت محصول احساس امتیاز کنند.")</f>
        <v>چگونه می توان توضیحات محصولی را ایجاد کرد که حس انحصار یا کمبود را برانگیزد و باعث شود مشتریان در مالکیت محصول احساس امتیاز کنند.</v>
      </c>
      <c r="H11077" s="1"/>
      <c r="I11077" s="1"/>
      <c r="J11077" s="1"/>
      <c r="K11077" s="1"/>
      <c r="L11077" s="1"/>
      <c r="M11077" s="1"/>
      <c r="N11077" s="1"/>
      <c r="O11077" s="1"/>
      <c r="P11077" s="1"/>
      <c r="Q11077" s="1"/>
      <c r="R11077" s="1"/>
      <c r="S11077" s="1"/>
      <c r="T11077" s="1"/>
      <c r="U11077" s="1"/>
      <c r="V11077" s="1"/>
      <c r="W11077" s="1"/>
      <c r="X11077" s="1"/>
      <c r="Y11077" s="1"/>
      <c r="Z11077" s="1"/>
      <c r="AA11077" s="1"/>
      <c r="AB11077" s="1"/>
    </row>
    <row r="11078" ht="50.25" customHeight="1">
      <c r="A11078" s="12">
        <v>11074.0</v>
      </c>
      <c r="B11078" s="13" t="s">
        <v>10535</v>
      </c>
      <c r="C11078" s="18" t="s">
        <v>11106</v>
      </c>
      <c r="D11078" s="1"/>
      <c r="E11078" s="1"/>
      <c r="F11078" s="1" t="str">
        <f>IFERROR(__xludf.DUMMYFUNCTION("GOOGLETRANSLATE(B11078, ""en"", ""fa"")
"),"کپی رایتینگ II")</f>
        <v>کپی رایتینگ II</v>
      </c>
      <c r="G11078" s="1" t="str">
        <f>IFERROR(__xludf.DUMMYFUNCTION("GOOGLETRANSLATE(C11078, ""en"", ""fa"")
"),"روش های مختلف برای استفاده از داستان سرایی برای توصیف تأثیر محصول بر محیط زیست یا کمک به پایداری را بررسی کنید.")</f>
        <v>روش های مختلف برای استفاده از داستان سرایی برای توصیف تأثیر محصول بر محیط زیست یا کمک به پایداری را بررسی کنید.</v>
      </c>
      <c r="H11078" s="1"/>
      <c r="I11078" s="1"/>
      <c r="J11078" s="1"/>
      <c r="K11078" s="1"/>
      <c r="L11078" s="1"/>
      <c r="M11078" s="1"/>
      <c r="N11078" s="1"/>
      <c r="O11078" s="1"/>
      <c r="P11078" s="1"/>
      <c r="Q11078" s="1"/>
      <c r="R11078" s="1"/>
      <c r="S11078" s="1"/>
      <c r="T11078" s="1"/>
      <c r="U11078" s="1"/>
      <c r="V11078" s="1"/>
      <c r="W11078" s="1"/>
      <c r="X11078" s="1"/>
      <c r="Y11078" s="1"/>
      <c r="Z11078" s="1"/>
      <c r="AA11078" s="1"/>
      <c r="AB11078" s="1"/>
    </row>
    <row r="11079" ht="50.25" customHeight="1">
      <c r="A11079" s="12">
        <v>11075.0</v>
      </c>
      <c r="B11079" s="13" t="s">
        <v>10535</v>
      </c>
      <c r="C11079" s="18" t="s">
        <v>11107</v>
      </c>
      <c r="D11079" s="1"/>
      <c r="E11079" s="1"/>
      <c r="F11079" s="1" t="str">
        <f>IFERROR(__xludf.DUMMYFUNCTION("GOOGLETRANSLATE(B11079, ""en"", ""fa"")
"),"کپی رایتینگ II")</f>
        <v>کپی رایتینگ II</v>
      </c>
      <c r="G11079" s="1" t="str">
        <f>IFERROR(__xludf.DUMMYFUNCTION("GOOGLETRANSLATE(C11079, ""en"", ""fa"")
"),"بهترین شیوه ها برای گنجاندن توصیفات یا مطالعات موردی در توضیحات محصول شما برای نشان دادن نتایج واقعی چیست.")</f>
        <v>بهترین شیوه ها برای گنجاندن توصیفات یا مطالعات موردی در توضیحات محصول شما برای نشان دادن نتایج واقعی چیست.</v>
      </c>
      <c r="H11079" s="1"/>
      <c r="I11079" s="1"/>
      <c r="J11079" s="1"/>
      <c r="K11079" s="1"/>
      <c r="L11079" s="1"/>
      <c r="M11079" s="1"/>
      <c r="N11079" s="1"/>
      <c r="O11079" s="1"/>
      <c r="P11079" s="1"/>
      <c r="Q11079" s="1"/>
      <c r="R11079" s="1"/>
      <c r="S11079" s="1"/>
      <c r="T11079" s="1"/>
      <c r="U11079" s="1"/>
      <c r="V11079" s="1"/>
      <c r="W11079" s="1"/>
      <c r="X11079" s="1"/>
      <c r="Y11079" s="1"/>
      <c r="Z11079" s="1"/>
      <c r="AA11079" s="1"/>
      <c r="AB11079" s="1"/>
    </row>
    <row r="11080" ht="50.25" customHeight="1">
      <c r="A11080" s="12">
        <v>11076.0</v>
      </c>
      <c r="B11080" s="13" t="s">
        <v>10535</v>
      </c>
      <c r="C11080" s="18" t="s">
        <v>11108</v>
      </c>
      <c r="D11080" s="1"/>
      <c r="E11080" s="1"/>
      <c r="F11080" s="1" t="str">
        <f>IFERROR(__xludf.DUMMYFUNCTION("GOOGLETRANSLATE(B11080, ""en"", ""fa"")
"),"کپی رایتینگ II")</f>
        <v>کپی رایتینگ II</v>
      </c>
      <c r="G11080" s="1" t="str">
        <f>IFERROR(__xludf.DUMMYFUNCTION("GOOGLETRANSLATE(C11080, ""en"", ""fa"")
"),"چگونه می توان توضیحات محصول را برای انواع مختلف محصول یا گزینه ها تنظیم کرد و ویژگی ها یا مشخصات منحصر به فرد هر گونه را برجسته کرد.")</f>
        <v>چگونه می توان توضیحات محصول را برای انواع مختلف محصول یا گزینه ها تنظیم کرد و ویژگی ها یا مشخصات منحصر به فرد هر گونه را برجسته کرد.</v>
      </c>
      <c r="H11080" s="1"/>
      <c r="I11080" s="1"/>
      <c r="J11080" s="1"/>
      <c r="K11080" s="1"/>
      <c r="L11080" s="1"/>
      <c r="M11080" s="1"/>
      <c r="N11080" s="1"/>
      <c r="O11080" s="1"/>
      <c r="P11080" s="1"/>
      <c r="Q11080" s="1"/>
      <c r="R11080" s="1"/>
      <c r="S11080" s="1"/>
      <c r="T11080" s="1"/>
      <c r="U11080" s="1"/>
      <c r="V11080" s="1"/>
      <c r="W11080" s="1"/>
      <c r="X11080" s="1"/>
      <c r="Y11080" s="1"/>
      <c r="Z11080" s="1"/>
      <c r="AA11080" s="1"/>
      <c r="AB11080" s="1"/>
    </row>
    <row r="11081" ht="50.25" customHeight="1">
      <c r="A11081" s="12">
        <v>11077.0</v>
      </c>
      <c r="B11081" s="13" t="s">
        <v>10535</v>
      </c>
      <c r="C11081" s="18" t="s">
        <v>11109</v>
      </c>
      <c r="D11081" s="1"/>
      <c r="E11081" s="1"/>
      <c r="F11081" s="1" t="str">
        <f>IFERROR(__xludf.DUMMYFUNCTION("GOOGLETRANSLATE(B11081, ""en"", ""fa"")
"),"کپی رایتینگ II")</f>
        <v>کپی رایتینگ II</v>
      </c>
      <c r="G11081" s="1" t="str">
        <f>IFERROR(__xludf.DUMMYFUNCTION("GOOGLETRANSLATE(C11081, ""en"", ""fa"")
"),"در مورد اهمیت استفاده از زبان مختصر و متقاعدکننده برای انتقال ارزش و مزایای محصولات خود در یک فضای محدود بحث کنید.")</f>
        <v>در مورد اهمیت استفاده از زبان مختصر و متقاعدکننده برای انتقال ارزش و مزایای محصولات خود در یک فضای محدود بحث کنید.</v>
      </c>
      <c r="H11081" s="1"/>
      <c r="I11081" s="1"/>
      <c r="J11081" s="1"/>
      <c r="K11081" s="1"/>
      <c r="L11081" s="1"/>
      <c r="M11081" s="1"/>
      <c r="N11081" s="1"/>
      <c r="O11081" s="1"/>
      <c r="P11081" s="1"/>
      <c r="Q11081" s="1"/>
      <c r="R11081" s="1"/>
      <c r="S11081" s="1"/>
      <c r="T11081" s="1"/>
      <c r="U11081" s="1"/>
      <c r="V11081" s="1"/>
      <c r="W11081" s="1"/>
      <c r="X11081" s="1"/>
      <c r="Y11081" s="1"/>
      <c r="Z11081" s="1"/>
      <c r="AA11081" s="1"/>
      <c r="AB11081" s="1"/>
    </row>
    <row r="11082" ht="50.25" customHeight="1">
      <c r="A11082" s="12">
        <v>11078.0</v>
      </c>
      <c r="B11082" s="13" t="s">
        <v>10535</v>
      </c>
      <c r="C11082" s="18" t="s">
        <v>11110</v>
      </c>
      <c r="D11082" s="1"/>
      <c r="E11082" s="1"/>
      <c r="F11082" s="1" t="str">
        <f>IFERROR(__xludf.DUMMYFUNCTION("GOOGLETRANSLATE(B11082, ""en"", ""fa"")
"),"کپی رایتینگ II")</f>
        <v>کپی رایتینگ II</v>
      </c>
      <c r="G11082" s="1" t="str">
        <f>IFERROR(__xludf.DUMMYFUNCTION("GOOGLETRANSLATE(C11082, ""en"", ""fa"")
"),"نحوه ایجاد توضیحات محصول که به سازگاری محصول با سیستم‌ها، دستگاه‌ها یا نرم‌افزارهای موجود می‌پردازد.")</f>
        <v>نحوه ایجاد توضیحات محصول که به سازگاری محصول با سیستم‌ها، دستگاه‌ها یا نرم‌افزارهای موجود می‌پردازد.</v>
      </c>
      <c r="H11082" s="1"/>
      <c r="I11082" s="1"/>
      <c r="J11082" s="1"/>
      <c r="K11082" s="1"/>
      <c r="L11082" s="1"/>
      <c r="M11082" s="1"/>
      <c r="N11082" s="1"/>
      <c r="O11082" s="1"/>
      <c r="P11082" s="1"/>
      <c r="Q11082" s="1"/>
      <c r="R11082" s="1"/>
      <c r="S11082" s="1"/>
      <c r="T11082" s="1"/>
      <c r="U11082" s="1"/>
      <c r="V11082" s="1"/>
      <c r="W11082" s="1"/>
      <c r="X11082" s="1"/>
      <c r="Y11082" s="1"/>
      <c r="Z11082" s="1"/>
      <c r="AA11082" s="1"/>
      <c r="AB11082" s="1"/>
    </row>
    <row r="11083" ht="50.25" customHeight="1">
      <c r="A11083" s="12">
        <v>11079.0</v>
      </c>
      <c r="B11083" s="13" t="s">
        <v>10535</v>
      </c>
      <c r="C11083" s="18" t="s">
        <v>11111</v>
      </c>
      <c r="D11083" s="1"/>
      <c r="E11083" s="1"/>
      <c r="F11083" s="1" t="str">
        <f>IFERROR(__xludf.DUMMYFUNCTION("GOOGLETRANSLATE(B11083, ""en"", ""fa"")
"),"کپی رایتینگ II")</f>
        <v>کپی رایتینگ II</v>
      </c>
      <c r="G11083" s="1" t="str">
        <f>IFERROR(__xludf.DUMMYFUNCTION("GOOGLETRANSLATE(C11083, ""en"", ""fa"")
"),"استراتژی های مختلف برای استفاده از داستان سرایی برای توصیف تکامل یا نوآوری محصول، جلب کنجکاوی و علاقه مشتریان را بررسی کنید.")</f>
        <v>استراتژی های مختلف برای استفاده از داستان سرایی برای توصیف تکامل یا نوآوری محصول، جلب کنجکاوی و علاقه مشتریان را بررسی کنید.</v>
      </c>
      <c r="H11083" s="1"/>
      <c r="I11083" s="1"/>
      <c r="J11083" s="1"/>
      <c r="K11083" s="1"/>
      <c r="L11083" s="1"/>
      <c r="M11083" s="1"/>
      <c r="N11083" s="1"/>
      <c r="O11083" s="1"/>
      <c r="P11083" s="1"/>
      <c r="Q11083" s="1"/>
      <c r="R11083" s="1"/>
      <c r="S11083" s="1"/>
      <c r="T11083" s="1"/>
      <c r="U11083" s="1"/>
      <c r="V11083" s="1"/>
      <c r="W11083" s="1"/>
      <c r="X11083" s="1"/>
      <c r="Y11083" s="1"/>
      <c r="Z11083" s="1"/>
      <c r="AA11083" s="1"/>
      <c r="AB11083" s="1"/>
    </row>
    <row r="11084" ht="50.25" customHeight="1">
      <c r="A11084" s="12">
        <v>11080.0</v>
      </c>
      <c r="B11084" s="13" t="s">
        <v>10535</v>
      </c>
      <c r="C11084" s="18" t="s">
        <v>11112</v>
      </c>
      <c r="D11084" s="1"/>
      <c r="E11084" s="1"/>
      <c r="F11084" s="1" t="str">
        <f>IFERROR(__xludf.DUMMYFUNCTION("GOOGLETRANSLATE(B11084, ""en"", ""fa"")
"),"کپی رایتینگ II")</f>
        <v>کپی رایتینگ II</v>
      </c>
      <c r="G11084" s="1" t="str">
        <f>IFERROR(__xludf.DUMMYFUNCTION("GOOGLETRANSLATE(C11084, ""en"", ""fa"")
"),"چه تکنیک هایی برای گنجاندن عناصر داستان سرایی در توضیحات محصول شما برای ایجاد ارتباط عاطفی با مشتریان وجود دارد.")</f>
        <v>چه تکنیک هایی برای گنجاندن عناصر داستان سرایی در توضیحات محصول شما برای ایجاد ارتباط عاطفی با مشتریان وجود دارد.</v>
      </c>
      <c r="H11084" s="1"/>
      <c r="I11084" s="1"/>
      <c r="J11084" s="1"/>
      <c r="K11084" s="1"/>
      <c r="L11084" s="1"/>
      <c r="M11084" s="1"/>
      <c r="N11084" s="1"/>
      <c r="O11084" s="1"/>
      <c r="P11084" s="1"/>
      <c r="Q11084" s="1"/>
      <c r="R11084" s="1"/>
      <c r="S11084" s="1"/>
      <c r="T11084" s="1"/>
      <c r="U11084" s="1"/>
      <c r="V11084" s="1"/>
      <c r="W11084" s="1"/>
      <c r="X11084" s="1"/>
      <c r="Y11084" s="1"/>
      <c r="Z11084" s="1"/>
      <c r="AA11084" s="1"/>
      <c r="AB11084" s="1"/>
    </row>
    <row r="11085" ht="50.25" customHeight="1">
      <c r="A11085" s="12">
        <v>11081.0</v>
      </c>
      <c r="B11085" s="13" t="s">
        <v>10535</v>
      </c>
      <c r="C11085" s="18" t="s">
        <v>11113</v>
      </c>
      <c r="D11085" s="1"/>
      <c r="E11085" s="1"/>
      <c r="F11085" s="1" t="str">
        <f>IFERROR(__xludf.DUMMYFUNCTION("GOOGLETRANSLATE(B11085, ""en"", ""fa"")
"),"کپی رایتینگ II")</f>
        <v>کپی رایتینگ II</v>
      </c>
      <c r="G11085" s="1" t="str">
        <f>IFERROR(__xludf.DUMMYFUNCTION("GOOGLETRANSLATE(C11085, ""en"", ""fa"")
"),"نحوه بهینه سازی توضیحات محصول برای خوانایی، با استفاده از پاراگراف های کوتاه، عنوان های فرعی و نقاط گلوله برای اسکن آسان.")</f>
        <v>نحوه بهینه سازی توضیحات محصول برای خوانایی، با استفاده از پاراگراف های کوتاه، عنوان های فرعی و نقاط گلوله برای اسکن آسان.</v>
      </c>
      <c r="H11085" s="1"/>
      <c r="I11085" s="1"/>
      <c r="J11085" s="1"/>
      <c r="K11085" s="1"/>
      <c r="L11085" s="1"/>
      <c r="M11085" s="1"/>
      <c r="N11085" s="1"/>
      <c r="O11085" s="1"/>
      <c r="P11085" s="1"/>
      <c r="Q11085" s="1"/>
      <c r="R11085" s="1"/>
      <c r="S11085" s="1"/>
      <c r="T11085" s="1"/>
      <c r="U11085" s="1"/>
      <c r="V11085" s="1"/>
      <c r="W11085" s="1"/>
      <c r="X11085" s="1"/>
      <c r="Y11085" s="1"/>
      <c r="Z11085" s="1"/>
      <c r="AA11085" s="1"/>
      <c r="AB11085" s="1"/>
    </row>
    <row r="11086" ht="50.25" customHeight="1">
      <c r="A11086" s="12">
        <v>11082.0</v>
      </c>
      <c r="B11086" s="13" t="s">
        <v>10535</v>
      </c>
      <c r="C11086" s="18" t="s">
        <v>11114</v>
      </c>
      <c r="D11086" s="1"/>
      <c r="E11086" s="1"/>
      <c r="F11086" s="1" t="str">
        <f>IFERROR(__xludf.DUMMYFUNCTION("GOOGLETRANSLATE(B11086, ""en"", ""fa"")
"),"کپی رایتینگ II")</f>
        <v>کپی رایتینگ II</v>
      </c>
      <c r="G11086" s="1" t="str">
        <f>IFERROR(__xludf.DUMMYFUNCTION("GOOGLETRANSLATE(C11086, ""en"", ""fa"")
"),"در مورد نقش نمایش محصول یا محتوای ویدیویی در بهبود توضیحات محصول خود و نمایش محصول در عمل بحث کنید.")</f>
        <v>در مورد نقش نمایش محصول یا محتوای ویدیویی در بهبود توضیحات محصول خود و نمایش محصول در عمل بحث کنید.</v>
      </c>
      <c r="H11086" s="1"/>
      <c r="I11086" s="1"/>
      <c r="J11086" s="1"/>
      <c r="K11086" s="1"/>
      <c r="L11086" s="1"/>
      <c r="M11086" s="1"/>
      <c r="N11086" s="1"/>
      <c r="O11086" s="1"/>
      <c r="P11086" s="1"/>
      <c r="Q11086" s="1"/>
      <c r="R11086" s="1"/>
      <c r="S11086" s="1"/>
      <c r="T11086" s="1"/>
      <c r="U11086" s="1"/>
      <c r="V11086" s="1"/>
      <c r="W11086" s="1"/>
      <c r="X11086" s="1"/>
      <c r="Y11086" s="1"/>
      <c r="Z11086" s="1"/>
      <c r="AA11086" s="1"/>
      <c r="AB11086" s="1"/>
    </row>
    <row r="11087" ht="50.25" customHeight="1">
      <c r="A11087" s="12">
        <v>11083.0</v>
      </c>
      <c r="B11087" s="13" t="s">
        <v>10535</v>
      </c>
      <c r="C11087" s="18" t="s">
        <v>11115</v>
      </c>
      <c r="D11087" s="1"/>
      <c r="E11087" s="1"/>
      <c r="F11087" s="1" t="str">
        <f>IFERROR(__xludf.DUMMYFUNCTION("GOOGLETRANSLATE(B11087, ""en"", ""fa"")
"),"کپی رایتینگ II")</f>
        <v>کپی رایتینگ II</v>
      </c>
      <c r="G11087" s="1" t="str">
        <f>IFERROR(__xludf.DUMMYFUNCTION("GOOGLETRANSLATE(C11087, ""en"", ""fa"")
"),"نحوه ایجاد توضیحات محصول که مزایای صرفه جویی در زمان، کارایی یا بهبود بهره وری محصول را برجسته می کند.")</f>
        <v>نحوه ایجاد توضیحات محصول که مزایای صرفه جویی در زمان، کارایی یا بهبود بهره وری محصول را برجسته می کند.</v>
      </c>
      <c r="H11087" s="1"/>
      <c r="I11087" s="1"/>
      <c r="J11087" s="1"/>
      <c r="K11087" s="1"/>
      <c r="L11087" s="1"/>
      <c r="M11087" s="1"/>
      <c r="N11087" s="1"/>
      <c r="O11087" s="1"/>
      <c r="P11087" s="1"/>
      <c r="Q11087" s="1"/>
      <c r="R11087" s="1"/>
      <c r="S11087" s="1"/>
      <c r="T11087" s="1"/>
      <c r="U11087" s="1"/>
      <c r="V11087" s="1"/>
      <c r="W11087" s="1"/>
      <c r="X11087" s="1"/>
      <c r="Y11087" s="1"/>
      <c r="Z11087" s="1"/>
      <c r="AA11087" s="1"/>
      <c r="AB11087" s="1"/>
    </row>
    <row r="11088" ht="50.25" customHeight="1">
      <c r="A11088" s="12">
        <v>11084.0</v>
      </c>
      <c r="B11088" s="13" t="s">
        <v>10535</v>
      </c>
      <c r="C11088" s="18" t="s">
        <v>11116</v>
      </c>
      <c r="D11088" s="1"/>
      <c r="E11088" s="1"/>
      <c r="F11088" s="1" t="str">
        <f>IFERROR(__xludf.DUMMYFUNCTION("GOOGLETRANSLATE(B11088, ""en"", ""fa"")
"),"کپی رایتینگ II")</f>
        <v>کپی رایتینگ II</v>
      </c>
      <c r="G11088" s="1" t="str">
        <f>IFERROR(__xludf.DUMMYFUNCTION("GOOGLETRANSLATE(C11088, ""en"", ""fa"")
"),"روش های مختلف برای استفاده از داستان سرایی برای توصیف تجربه کاربری محصول یا سفر مشتری را بررسی کنید و تخیل مشتریان را جذب کنید.")</f>
        <v>روش های مختلف برای استفاده از داستان سرایی برای توصیف تجربه کاربری محصول یا سفر مشتری را بررسی کنید و تخیل مشتریان را جذب کنید.</v>
      </c>
      <c r="H11088" s="1"/>
      <c r="I11088" s="1"/>
      <c r="J11088" s="1"/>
      <c r="K11088" s="1"/>
      <c r="L11088" s="1"/>
      <c r="M11088" s="1"/>
      <c r="N11088" s="1"/>
      <c r="O11088" s="1"/>
      <c r="P11088" s="1"/>
      <c r="Q11088" s="1"/>
      <c r="R11088" s="1"/>
      <c r="S11088" s="1"/>
      <c r="T11088" s="1"/>
      <c r="U11088" s="1"/>
      <c r="V11088" s="1"/>
      <c r="W11088" s="1"/>
      <c r="X11088" s="1"/>
      <c r="Y11088" s="1"/>
      <c r="Z11088" s="1"/>
      <c r="AA11088" s="1"/>
      <c r="AB11088" s="1"/>
    </row>
    <row r="11089" ht="50.25" customHeight="1">
      <c r="A11089" s="12">
        <v>11085.0</v>
      </c>
      <c r="B11089" s="13" t="s">
        <v>10535</v>
      </c>
      <c r="C11089" s="18" t="s">
        <v>11117</v>
      </c>
      <c r="D11089" s="1"/>
      <c r="E11089" s="1"/>
      <c r="F11089" s="1" t="str">
        <f>IFERROR(__xludf.DUMMYFUNCTION("GOOGLETRANSLATE(B11089, ""en"", ""fa"")
"),"کپی رایتینگ II")</f>
        <v>کپی رایتینگ II</v>
      </c>
      <c r="G11089" s="1" t="str">
        <f>IFERROR(__xludf.DUMMYFUNCTION("GOOGLETRANSLATE(C11089, ""en"", ""fa"")
"),"بهترین شیوه ها برای استفاده از زبان متقاعدکننده و محرک های احساسی در توضیحات محصول شما برای برانگیختن میل و فوریت چیست؟")</f>
        <v>بهترین شیوه ها برای استفاده از زبان متقاعدکننده و محرک های احساسی در توضیحات محصول شما برای برانگیختن میل و فوریت چیست؟</v>
      </c>
      <c r="H11089" s="1"/>
      <c r="I11089" s="1"/>
      <c r="J11089" s="1"/>
      <c r="K11089" s="1"/>
      <c r="L11089" s="1"/>
      <c r="M11089" s="1"/>
      <c r="N11089" s="1"/>
      <c r="O11089" s="1"/>
      <c r="P11089" s="1"/>
      <c r="Q11089" s="1"/>
      <c r="R11089" s="1"/>
      <c r="S11089" s="1"/>
      <c r="T11089" s="1"/>
      <c r="U11089" s="1"/>
      <c r="V11089" s="1"/>
      <c r="W11089" s="1"/>
      <c r="X11089" s="1"/>
      <c r="Y11089" s="1"/>
      <c r="Z11089" s="1"/>
      <c r="AA11089" s="1"/>
      <c r="AB11089" s="1"/>
    </row>
    <row r="11090" ht="50.25" customHeight="1">
      <c r="A11090" s="12">
        <v>11086.0</v>
      </c>
      <c r="B11090" s="13" t="s">
        <v>10535</v>
      </c>
      <c r="C11090" s="18" t="s">
        <v>11118</v>
      </c>
      <c r="D11090" s="1"/>
      <c r="E11090" s="1"/>
      <c r="F11090" s="1" t="str">
        <f>IFERROR(__xludf.DUMMYFUNCTION("GOOGLETRANSLATE(B11090, ""en"", ""fa"")
"),"کپی رایتینگ II")</f>
        <v>کپی رایتینگ II</v>
      </c>
      <c r="G11090" s="1" t="str">
        <f>IFERROR(__xludf.DUMMYFUNCTION("GOOGLETRANSLATE(C11090, ""en"", ""fa"")
"),"چگونه می توان توضیحات محصول را برای نقاط مختلف قیمت یا ردیف های محصول، با تاکید بر ارزش و مزایای هر گزینه تنظیم کرد.")</f>
        <v>چگونه می توان توضیحات محصول را برای نقاط مختلف قیمت یا ردیف های محصول، با تاکید بر ارزش و مزایای هر گزینه تنظیم کرد.</v>
      </c>
      <c r="H11090" s="1"/>
      <c r="I11090" s="1"/>
      <c r="J11090" s="1"/>
      <c r="K11090" s="1"/>
      <c r="L11090" s="1"/>
      <c r="M11090" s="1"/>
      <c r="N11090" s="1"/>
      <c r="O11090" s="1"/>
      <c r="P11090" s="1"/>
      <c r="Q11090" s="1"/>
      <c r="R11090" s="1"/>
      <c r="S11090" s="1"/>
      <c r="T11090" s="1"/>
      <c r="U11090" s="1"/>
      <c r="V11090" s="1"/>
      <c r="W11090" s="1"/>
      <c r="X11090" s="1"/>
      <c r="Y11090" s="1"/>
      <c r="Z11090" s="1"/>
      <c r="AA11090" s="1"/>
      <c r="AB11090" s="1"/>
    </row>
    <row r="11091" ht="50.25" customHeight="1">
      <c r="A11091" s="12">
        <v>11087.0</v>
      </c>
      <c r="B11091" s="13" t="s">
        <v>10535</v>
      </c>
      <c r="C11091" s="18" t="s">
        <v>11119</v>
      </c>
      <c r="D11091" s="1"/>
      <c r="E11091" s="1"/>
      <c r="F11091" s="1" t="str">
        <f>IFERROR(__xludf.DUMMYFUNCTION("GOOGLETRANSLATE(B11091, ""en"", ""fa"")
"),"کپی رایتینگ II")</f>
        <v>کپی رایتینگ II</v>
      </c>
      <c r="G11091" s="1" t="str">
        <f>IFERROR(__xludf.DUMMYFUNCTION("GOOGLETRANSLATE(C11091, ""en"", ""fa"")
"),"در مورد اهمیت استفاده از زبان مشتری محور در توضیحات محصول خود بحث کنید و بر این موضوع تمرکز کنید که چگونه محصول مشکلات آنها را حل می کند یا نیازهای آنها را برآورده می کند.")</f>
        <v>در مورد اهمیت استفاده از زبان مشتری محور در توضیحات محصول خود بحث کنید و بر این موضوع تمرکز کنید که چگونه محصول مشکلات آنها را حل می کند یا نیازهای آنها را برآورده می کند.</v>
      </c>
      <c r="H11091" s="1"/>
      <c r="I11091" s="1"/>
      <c r="J11091" s="1"/>
      <c r="K11091" s="1"/>
      <c r="L11091" s="1"/>
      <c r="M11091" s="1"/>
      <c r="N11091" s="1"/>
      <c r="O11091" s="1"/>
      <c r="P11091" s="1"/>
      <c r="Q11091" s="1"/>
      <c r="R11091" s="1"/>
      <c r="S11091" s="1"/>
      <c r="T11091" s="1"/>
      <c r="U11091" s="1"/>
      <c r="V11091" s="1"/>
      <c r="W11091" s="1"/>
      <c r="X11091" s="1"/>
      <c r="Y11091" s="1"/>
      <c r="Z11091" s="1"/>
      <c r="AA11091" s="1"/>
      <c r="AB11091" s="1"/>
    </row>
    <row r="11092" ht="50.25" customHeight="1">
      <c r="A11092" s="12">
        <v>11088.0</v>
      </c>
      <c r="B11092" s="13" t="s">
        <v>10535</v>
      </c>
      <c r="C11092" s="18" t="s">
        <v>11120</v>
      </c>
      <c r="D11092" s="1"/>
      <c r="E11092" s="1"/>
      <c r="F11092" s="1" t="str">
        <f>IFERROR(__xludf.DUMMYFUNCTION("GOOGLETRANSLATE(B11092, ""en"", ""fa"")
"),"کپی رایتینگ II")</f>
        <v>کپی رایتینگ II</v>
      </c>
      <c r="G11092" s="1" t="str">
        <f>IFERROR(__xludf.DUMMYFUNCTION("GOOGLETRANSLATE(C11092, ""en"", ""fa"")
"),"نحوه ایجاد توضیحات محصول که متناسب با موقعیت‌های جغرافیایی یا ترجیحات فرهنگی مختلف باشد، زبان و مراجع را بر این اساس تنظیم کنید.")</f>
        <v>نحوه ایجاد توضیحات محصول که متناسب با موقعیت‌های جغرافیایی یا ترجیحات فرهنگی مختلف باشد، زبان و مراجع را بر این اساس تنظیم کنید.</v>
      </c>
      <c r="H11092" s="1"/>
      <c r="I11092" s="1"/>
      <c r="J11092" s="1"/>
      <c r="K11092" s="1"/>
      <c r="L11092" s="1"/>
      <c r="M11092" s="1"/>
      <c r="N11092" s="1"/>
      <c r="O11092" s="1"/>
      <c r="P11092" s="1"/>
      <c r="Q11092" s="1"/>
      <c r="R11092" s="1"/>
      <c r="S11092" s="1"/>
      <c r="T11092" s="1"/>
      <c r="U11092" s="1"/>
      <c r="V11092" s="1"/>
      <c r="W11092" s="1"/>
      <c r="X11092" s="1"/>
      <c r="Y11092" s="1"/>
      <c r="Z11092" s="1"/>
      <c r="AA11092" s="1"/>
      <c r="AB11092" s="1"/>
    </row>
    <row r="11093" ht="50.25" customHeight="1">
      <c r="A11093" s="12">
        <v>11089.0</v>
      </c>
      <c r="B11093" s="13" t="s">
        <v>10535</v>
      </c>
      <c r="C11093" s="18" t="s">
        <v>11121</v>
      </c>
      <c r="D11093" s="1"/>
      <c r="E11093" s="1"/>
      <c r="F11093" s="1" t="str">
        <f>IFERROR(__xludf.DUMMYFUNCTION("GOOGLETRANSLATE(B11093, ""en"", ""fa"")
"),"کپی رایتینگ II")</f>
        <v>کپی رایتینگ II</v>
      </c>
      <c r="G11093" s="1" t="str">
        <f>IFERROR(__xludf.DUMMYFUNCTION("GOOGLETRANSLATE(C11093, ""en"", ""fa"")
"),"استراتژی های مختلف برای استفاده از زبان حسی برای توصیف بافت، رایحه، طعم یا صدای محصول در توضیحات خود کاوش کنید.")</f>
        <v>استراتژی های مختلف برای استفاده از زبان حسی برای توصیف بافت، رایحه، طعم یا صدای محصول در توضیحات خود کاوش کنید.</v>
      </c>
      <c r="H11093" s="1"/>
      <c r="I11093" s="1"/>
      <c r="J11093" s="1"/>
      <c r="K11093" s="1"/>
      <c r="L11093" s="1"/>
      <c r="M11093" s="1"/>
      <c r="N11093" s="1"/>
      <c r="O11093" s="1"/>
      <c r="P11093" s="1"/>
      <c r="Q11093" s="1"/>
      <c r="R11093" s="1"/>
      <c r="S11093" s="1"/>
      <c r="T11093" s="1"/>
      <c r="U11093" s="1"/>
      <c r="V11093" s="1"/>
      <c r="W11093" s="1"/>
      <c r="X11093" s="1"/>
      <c r="Y11093" s="1"/>
      <c r="Z11093" s="1"/>
      <c r="AA11093" s="1"/>
      <c r="AB11093" s="1"/>
    </row>
    <row r="11094" ht="50.25" customHeight="1">
      <c r="A11094" s="12">
        <v>11090.0</v>
      </c>
      <c r="B11094" s="13" t="s">
        <v>10535</v>
      </c>
      <c r="C11094" s="18" t="s">
        <v>11122</v>
      </c>
      <c r="D11094" s="1"/>
      <c r="E11094" s="1"/>
      <c r="F11094" s="1" t="str">
        <f>IFERROR(__xludf.DUMMYFUNCTION("GOOGLETRANSLATE(B11094, ""en"", ""fa"")
"),"کپی رایتینگ II")</f>
        <v>کپی رایتینگ II</v>
      </c>
      <c r="G11094" s="1" t="str">
        <f>IFERROR(__xludf.DUMMYFUNCTION("GOOGLETRANSLATE(C11094, ""en"", ""fa"")
"),"تکنیک‌های استفاده از اثبات اجتماعی، مانند نظرات مشتریان، رتبه‌بندی یا تأییدیه‌ها، برای افزایش اعتماد و اعتبار در توضیحات محصول شما چیست.")</f>
        <v>تکنیک‌های استفاده از اثبات اجتماعی، مانند نظرات مشتریان، رتبه‌بندی یا تأییدیه‌ها، برای افزایش اعتماد و اعتبار در توضیحات محصول شما چیست.</v>
      </c>
      <c r="H11094" s="1"/>
      <c r="I11094" s="1"/>
      <c r="J11094" s="1"/>
      <c r="K11094" s="1"/>
      <c r="L11094" s="1"/>
      <c r="M11094" s="1"/>
      <c r="N11094" s="1"/>
      <c r="O11094" s="1"/>
      <c r="P11094" s="1"/>
      <c r="Q11094" s="1"/>
      <c r="R11094" s="1"/>
      <c r="S11094" s="1"/>
      <c r="T11094" s="1"/>
      <c r="U11094" s="1"/>
      <c r="V11094" s="1"/>
      <c r="W11094" s="1"/>
      <c r="X11094" s="1"/>
      <c r="Y11094" s="1"/>
      <c r="Z11094" s="1"/>
      <c r="AA11094" s="1"/>
      <c r="AB11094" s="1"/>
    </row>
    <row r="11095" ht="50.25" customHeight="1">
      <c r="A11095" s="12">
        <v>11091.0</v>
      </c>
      <c r="B11095" s="13" t="s">
        <v>10535</v>
      </c>
      <c r="C11095" s="18" t="s">
        <v>11123</v>
      </c>
      <c r="D11095" s="1"/>
      <c r="E11095" s="1"/>
      <c r="F11095" s="1" t="str">
        <f>IFERROR(__xludf.DUMMYFUNCTION("GOOGLETRANSLATE(B11095, ""en"", ""fa"")
"),"کپی رایتینگ II")</f>
        <v>کپی رایتینگ II</v>
      </c>
      <c r="G11095" s="1" t="str">
        <f>IFERROR(__xludf.DUMMYFUNCTION("GOOGLETRANSLATE(C11095, ""en"", ""fa"")
"),"نحوه بهینه سازی توضیحات محصول برای خوانایی، با استفاده از سرفصل ها، زیرعنوان ها و عناصر قالب بندی برای بهبود قابلیت پویش.")</f>
        <v>نحوه بهینه سازی توضیحات محصول برای خوانایی، با استفاده از سرفصل ها، زیرعنوان ها و عناصر قالب بندی برای بهبود قابلیت پویش.</v>
      </c>
      <c r="H11095" s="1"/>
      <c r="I11095" s="1"/>
      <c r="J11095" s="1"/>
      <c r="K11095" s="1"/>
      <c r="L11095" s="1"/>
      <c r="M11095" s="1"/>
      <c r="N11095" s="1"/>
      <c r="O11095" s="1"/>
      <c r="P11095" s="1"/>
      <c r="Q11095" s="1"/>
      <c r="R11095" s="1"/>
      <c r="S11095" s="1"/>
      <c r="T11095" s="1"/>
      <c r="U11095" s="1"/>
      <c r="V11095" s="1"/>
      <c r="W11095" s="1"/>
      <c r="X11095" s="1"/>
      <c r="Y11095" s="1"/>
      <c r="Z11095" s="1"/>
      <c r="AA11095" s="1"/>
      <c r="AB11095" s="1"/>
    </row>
    <row r="11096" ht="50.25" customHeight="1">
      <c r="A11096" s="12">
        <v>11092.0</v>
      </c>
      <c r="B11096" s="13" t="s">
        <v>10535</v>
      </c>
      <c r="C11096" s="18" t="s">
        <v>11124</v>
      </c>
      <c r="D11096" s="1"/>
      <c r="E11096" s="1"/>
      <c r="F11096" s="1" t="str">
        <f>IFERROR(__xludf.DUMMYFUNCTION("GOOGLETRANSLATE(B11096, ""en"", ""fa"")
"),"کپی رایتینگ II")</f>
        <v>کپی رایتینگ II</v>
      </c>
      <c r="G11096" s="1" t="str">
        <f>IFERROR(__xludf.DUMMYFUNCTION("GOOGLETRANSLATE(C11096, ""en"", ""fa"")
"),"در مورد نقش داستان سرایی در ایجاد توضیحات محصول به یاد ماندنی که مشتریان را مجذوب خود می کند و تأثیری ماندگار بر جای می گذارد، بحث کنید.")</f>
        <v>در مورد نقش داستان سرایی در ایجاد توضیحات محصول به یاد ماندنی که مشتریان را مجذوب خود می کند و تأثیری ماندگار بر جای می گذارد، بحث کنید.</v>
      </c>
      <c r="H11096" s="1"/>
      <c r="I11096" s="1"/>
      <c r="J11096" s="1"/>
      <c r="K11096" s="1"/>
      <c r="L11096" s="1"/>
      <c r="M11096" s="1"/>
      <c r="N11096" s="1"/>
      <c r="O11096" s="1"/>
      <c r="P11096" s="1"/>
      <c r="Q11096" s="1"/>
      <c r="R11096" s="1"/>
      <c r="S11096" s="1"/>
      <c r="T11096" s="1"/>
      <c r="U11096" s="1"/>
      <c r="V11096" s="1"/>
      <c r="W11096" s="1"/>
      <c r="X11096" s="1"/>
      <c r="Y11096" s="1"/>
      <c r="Z11096" s="1"/>
      <c r="AA11096" s="1"/>
      <c r="AB11096" s="1"/>
    </row>
    <row r="11097" ht="50.25" customHeight="1">
      <c r="A11097" s="12">
        <v>11093.0</v>
      </c>
      <c r="B11097" s="13" t="s">
        <v>10535</v>
      </c>
      <c r="C11097" s="18" t="s">
        <v>11125</v>
      </c>
      <c r="D11097" s="1"/>
      <c r="E11097" s="1"/>
      <c r="F11097" s="1" t="str">
        <f>IFERROR(__xludf.DUMMYFUNCTION("GOOGLETRANSLATE(B11097, ""en"", ""fa"")
"),"کپی رایتینگ II")</f>
        <v>کپی رایتینگ II</v>
      </c>
      <c r="G11097" s="1" t="str">
        <f>IFERROR(__xludf.DUMMYFUNCTION("GOOGLETRANSLATE(C11097, ""en"", ""fa"")
"),"چگونه دکمه های فراخوان (CTA) قانع کننده ای ایجاد کنیم که نرخ کلیک و تبدیل را افزایش می دهد؟")</f>
        <v>چگونه دکمه های فراخوان (CTA) قانع کننده ای ایجاد کنیم که نرخ کلیک و تبدیل را افزایش می دهد؟</v>
      </c>
      <c r="H11097" s="1"/>
      <c r="I11097" s="1"/>
      <c r="J11097" s="1"/>
      <c r="K11097" s="1"/>
      <c r="L11097" s="1"/>
      <c r="M11097" s="1"/>
      <c r="N11097" s="1"/>
      <c r="O11097" s="1"/>
      <c r="P11097" s="1"/>
      <c r="Q11097" s="1"/>
      <c r="R11097" s="1"/>
      <c r="S11097" s="1"/>
      <c r="T11097" s="1"/>
      <c r="U11097" s="1"/>
      <c r="V11097" s="1"/>
      <c r="W11097" s="1"/>
      <c r="X11097" s="1"/>
      <c r="Y11097" s="1"/>
      <c r="Z11097" s="1"/>
      <c r="AA11097" s="1"/>
      <c r="AB11097" s="1"/>
    </row>
    <row r="11098" ht="50.25" customHeight="1">
      <c r="A11098" s="12">
        <v>11094.0</v>
      </c>
      <c r="B11098" s="13" t="s">
        <v>10535</v>
      </c>
      <c r="C11098" s="18" t="s">
        <v>11126</v>
      </c>
      <c r="D11098" s="1"/>
      <c r="E11098" s="1"/>
      <c r="F11098" s="1" t="str">
        <f>IFERROR(__xludf.DUMMYFUNCTION("GOOGLETRANSLATE(B11098, ""en"", ""fa"")
"),"کپی رایتینگ II")</f>
        <v>کپی رایتینگ II</v>
      </c>
      <c r="G11098" s="1" t="str">
        <f>IFERROR(__xludf.DUMMYFUNCTION("GOOGLETRANSLATE(C11098, ""en"", ""fa"")
"),"رنگ‌ها، شکل‌ها و اندازه‌های مختلف را برای CTA‌های خود و تأثیر آن‌ها بر تعامل کاربر و نرخ پاسخ کاوش کنید.")</f>
        <v>رنگ‌ها، شکل‌ها و اندازه‌های مختلف را برای CTA‌های خود و تأثیر آن‌ها بر تعامل کاربر و نرخ پاسخ کاوش کنید.</v>
      </c>
      <c r="H11098" s="1"/>
      <c r="I11098" s="1"/>
      <c r="J11098" s="1"/>
      <c r="K11098" s="1"/>
      <c r="L11098" s="1"/>
      <c r="M11098" s="1"/>
      <c r="N11098" s="1"/>
      <c r="O11098" s="1"/>
      <c r="P11098" s="1"/>
      <c r="Q11098" s="1"/>
      <c r="R11098" s="1"/>
      <c r="S11098" s="1"/>
      <c r="T11098" s="1"/>
      <c r="U11098" s="1"/>
      <c r="V11098" s="1"/>
      <c r="W11098" s="1"/>
      <c r="X11098" s="1"/>
      <c r="Y11098" s="1"/>
      <c r="Z11098" s="1"/>
      <c r="AA11098" s="1"/>
      <c r="AB11098" s="1"/>
    </row>
    <row r="11099" ht="50.25" customHeight="1">
      <c r="A11099" s="12">
        <v>11095.0</v>
      </c>
      <c r="B11099" s="13" t="s">
        <v>10535</v>
      </c>
      <c r="C11099" s="18" t="s">
        <v>11127</v>
      </c>
      <c r="D11099" s="1"/>
      <c r="E11099" s="1"/>
      <c r="F11099" s="1" t="str">
        <f>IFERROR(__xludf.DUMMYFUNCTION("GOOGLETRANSLATE(B11099, ""en"", ""fa"")
"),"کپی رایتینگ II")</f>
        <v>کپی رایتینگ II</v>
      </c>
      <c r="G11099" s="1" t="str">
        <f>IFERROR(__xludf.DUMMYFUNCTION("GOOGLETRANSLATE(C11099, ""en"", ""fa"")
"),"بهترین شیوه ها برای قرار دادن CTA به صورت استراتژیک در صفحات وب یا مواد بازاریابی شما برای به حداکثر رساندن دید و اثربخشی چیست؟")</f>
        <v>بهترین شیوه ها برای قرار دادن CTA به صورت استراتژیک در صفحات وب یا مواد بازاریابی شما برای به حداکثر رساندن دید و اثربخشی چیست؟</v>
      </c>
      <c r="H11099" s="1"/>
      <c r="I11099" s="1"/>
      <c r="J11099" s="1"/>
      <c r="K11099" s="1"/>
      <c r="L11099" s="1"/>
      <c r="M11099" s="1"/>
      <c r="N11099" s="1"/>
      <c r="O11099" s="1"/>
      <c r="P11099" s="1"/>
      <c r="Q11099" s="1"/>
      <c r="R11099" s="1"/>
      <c r="S11099" s="1"/>
      <c r="T11099" s="1"/>
      <c r="U11099" s="1"/>
      <c r="V11099" s="1"/>
      <c r="W11099" s="1"/>
      <c r="X11099" s="1"/>
      <c r="Y11099" s="1"/>
      <c r="Z11099" s="1"/>
      <c r="AA11099" s="1"/>
      <c r="AB11099" s="1"/>
    </row>
    <row r="11100" ht="50.25" customHeight="1">
      <c r="A11100" s="12">
        <v>11096.0</v>
      </c>
      <c r="B11100" s="13" t="s">
        <v>10535</v>
      </c>
      <c r="C11100" s="18" t="s">
        <v>11128</v>
      </c>
      <c r="D11100" s="1"/>
      <c r="E11100" s="1"/>
      <c r="F11100" s="1" t="str">
        <f>IFERROR(__xludf.DUMMYFUNCTION("GOOGLETRANSLATE(B11100, ""en"", ""fa"")
"),"کپی رایتینگ II")</f>
        <v>کپی رایتینگ II</v>
      </c>
      <c r="G11100" s="1" t="str">
        <f>IFERROR(__xludf.DUMMYFUNCTION("GOOGLETRANSLATE(C11100, ""en"", ""fa"")
"),"چگونه می توان کپی CTA های خود را برای ایجاد حس فوریت و تشویق اقدام فوری مخاطبان خود بهینه کرد؟")</f>
        <v>چگونه می توان کپی CTA های خود را برای ایجاد حس فوریت و تشویق اقدام فوری مخاطبان خود بهینه کرد؟</v>
      </c>
      <c r="H11100" s="1"/>
      <c r="I11100" s="1"/>
      <c r="J11100" s="1"/>
      <c r="K11100" s="1"/>
      <c r="L11100" s="1"/>
      <c r="M11100" s="1"/>
      <c r="N11100" s="1"/>
      <c r="O11100" s="1"/>
      <c r="P11100" s="1"/>
      <c r="Q11100" s="1"/>
      <c r="R11100" s="1"/>
      <c r="S11100" s="1"/>
      <c r="T11100" s="1"/>
      <c r="U11100" s="1"/>
      <c r="V11100" s="1"/>
      <c r="W11100" s="1"/>
      <c r="X11100" s="1"/>
      <c r="Y11100" s="1"/>
      <c r="Z11100" s="1"/>
      <c r="AA11100" s="1"/>
      <c r="AB11100" s="1"/>
    </row>
    <row r="11101" ht="50.25" customHeight="1">
      <c r="A11101" s="12">
        <v>11097.0</v>
      </c>
      <c r="B11101" s="13" t="s">
        <v>10535</v>
      </c>
      <c r="C11101" s="18" t="s">
        <v>11129</v>
      </c>
      <c r="D11101" s="1"/>
      <c r="E11101" s="1"/>
      <c r="F11101" s="1" t="str">
        <f>IFERROR(__xludf.DUMMYFUNCTION("GOOGLETRANSLATE(B11101, ""en"", ""fa"")
"),"کپی رایتینگ II")</f>
        <v>کپی رایتینگ II</v>
      </c>
      <c r="G11101" s="1" t="str">
        <f>IFERROR(__xludf.DUMMYFUNCTION("GOOGLETRANSLATE(C11101, ""en"", ""fa"")
"),"در مورد اهمیت استفاده از افعال عمل و زبان متقاعد کننده در CTA خود برای الهام بخشیدن به کاربران برای انجام عمل مورد نظر بحث کنید.")</f>
        <v>در مورد اهمیت استفاده از افعال عمل و زبان متقاعد کننده در CTA خود برای الهام بخشیدن به کاربران برای انجام عمل مورد نظر بحث کنید.</v>
      </c>
      <c r="H11101" s="1"/>
      <c r="I11101" s="1"/>
      <c r="J11101" s="1"/>
      <c r="K11101" s="1"/>
      <c r="L11101" s="1"/>
      <c r="M11101" s="1"/>
      <c r="N11101" s="1"/>
      <c r="O11101" s="1"/>
      <c r="P11101" s="1"/>
      <c r="Q11101" s="1"/>
      <c r="R11101" s="1"/>
      <c r="S11101" s="1"/>
      <c r="T11101" s="1"/>
      <c r="U11101" s="1"/>
      <c r="V11101" s="1"/>
      <c r="W11101" s="1"/>
      <c r="X11101" s="1"/>
      <c r="Y11101" s="1"/>
      <c r="Z11101" s="1"/>
      <c r="AA11101" s="1"/>
      <c r="AB11101" s="1"/>
    </row>
    <row r="11102" ht="50.25" customHeight="1">
      <c r="A11102" s="12">
        <v>11098.0</v>
      </c>
      <c r="B11102" s="13" t="s">
        <v>10535</v>
      </c>
      <c r="C11102" s="18" t="s">
        <v>11130</v>
      </c>
      <c r="D11102" s="1"/>
      <c r="E11102" s="1"/>
      <c r="F11102" s="1" t="str">
        <f>IFERROR(__xludf.DUMMYFUNCTION("GOOGLETRANSLATE(B11102, ""en"", ""fa"")
"),"کپی رایتینگ II")</f>
        <v>کپی رایتینگ II</v>
      </c>
      <c r="G11102" s="1" t="str">
        <f>IFERROR(__xludf.DUMMYFUNCTION("GOOGLETRANSLATE(C11102, ""en"", ""fa"")
"),"تکنیک‌های مختلف برای استفاده از شخصی‌سازی و تقسیم‌بندی در CTAهای خود را برای افزایش ارتباط و نرخ پاسخ کاوش کنید.")</f>
        <v>تکنیک‌های مختلف برای استفاده از شخصی‌سازی و تقسیم‌بندی در CTAهای خود را برای افزایش ارتباط و نرخ پاسخ کاوش کنید.</v>
      </c>
      <c r="H11102" s="1"/>
      <c r="I11102" s="1"/>
      <c r="J11102" s="1"/>
      <c r="K11102" s="1"/>
      <c r="L11102" s="1"/>
      <c r="M11102" s="1"/>
      <c r="N11102" s="1"/>
      <c r="O11102" s="1"/>
      <c r="P11102" s="1"/>
      <c r="Q11102" s="1"/>
      <c r="R11102" s="1"/>
      <c r="S11102" s="1"/>
      <c r="T11102" s="1"/>
      <c r="U11102" s="1"/>
      <c r="V11102" s="1"/>
      <c r="W11102" s="1"/>
      <c r="X11102" s="1"/>
      <c r="Y11102" s="1"/>
      <c r="Z11102" s="1"/>
      <c r="AA11102" s="1"/>
      <c r="AB11102" s="1"/>
    </row>
    <row r="11103" ht="50.25" customHeight="1">
      <c r="A11103" s="12">
        <v>11099.0</v>
      </c>
      <c r="B11103" s="13" t="s">
        <v>10535</v>
      </c>
      <c r="C11103" s="18" t="s">
        <v>11131</v>
      </c>
      <c r="D11103" s="1"/>
      <c r="E11103" s="1"/>
      <c r="F11103" s="1" t="str">
        <f>IFERROR(__xludf.DUMMYFUNCTION("GOOGLETRANSLATE(B11103, ""en"", ""fa"")
"),"کپی رایتینگ II")</f>
        <v>کپی رایتینگ II</v>
      </c>
      <c r="G11103" s="1" t="str">
        <f>IFERROR(__xludf.DUMMYFUNCTION("GOOGLETRANSLATE(C11103, ""en"", ""fa"")
"),"چه استراتژی هایی برای ایجاد CTA های سازگار با موبایل وجود دارد که به راحتی می توان با آنها در تلفن های هوشمند و تبلت ها ضربه زد و با آنها تعامل داشت؟")</f>
        <v>چه استراتژی هایی برای ایجاد CTA های سازگار با موبایل وجود دارد که به راحتی می توان با آنها در تلفن های هوشمند و تبلت ها ضربه زد و با آنها تعامل داشت؟</v>
      </c>
      <c r="H11103" s="1"/>
      <c r="I11103" s="1"/>
      <c r="J11103" s="1"/>
      <c r="K11103" s="1"/>
      <c r="L11103" s="1"/>
      <c r="M11103" s="1"/>
      <c r="N11103" s="1"/>
      <c r="O11103" s="1"/>
      <c r="P11103" s="1"/>
      <c r="Q11103" s="1"/>
      <c r="R11103" s="1"/>
      <c r="S11103" s="1"/>
      <c r="T11103" s="1"/>
      <c r="U11103" s="1"/>
      <c r="V11103" s="1"/>
      <c r="W11103" s="1"/>
      <c r="X11103" s="1"/>
      <c r="Y11103" s="1"/>
      <c r="Z11103" s="1"/>
      <c r="AA11103" s="1"/>
      <c r="AB11103" s="1"/>
    </row>
    <row r="11104" ht="50.25" customHeight="1">
      <c r="A11104" s="12">
        <v>11100.0</v>
      </c>
      <c r="B11104" s="13" t="s">
        <v>10535</v>
      </c>
      <c r="C11104" s="18" t="s">
        <v>11132</v>
      </c>
      <c r="D11104" s="1"/>
      <c r="E11104" s="1"/>
      <c r="F11104" s="1" t="str">
        <f>IFERROR(__xludf.DUMMYFUNCTION("GOOGLETRANSLATE(B11104, ""en"", ""fa"")
"),"کپی رایتینگ II")</f>
        <v>کپی رایتینگ II</v>
      </c>
      <c r="G11104" s="1" t="str">
        <f>IFERROR(__xludf.DUMMYFUNCTION("GOOGLETRANSLATE(C11104, ""en"", ""fa"")
"),"چگونه برای ایجاد اعتماد و اعتبار در بین مخاطبان خود، اثبات اجتماعی یا گواهینامه ها را در CTA خود بگنجانید؟")</f>
        <v>چگونه برای ایجاد اعتماد و اعتبار در بین مخاطبان خود، اثبات اجتماعی یا گواهینامه ها را در CTA خود بگنجانید؟</v>
      </c>
      <c r="H11104" s="1"/>
      <c r="I11104" s="1"/>
      <c r="J11104" s="1"/>
      <c r="K11104" s="1"/>
      <c r="L11104" s="1"/>
      <c r="M11104" s="1"/>
      <c r="N11104" s="1"/>
      <c r="O11104" s="1"/>
      <c r="P11104" s="1"/>
      <c r="Q11104" s="1"/>
      <c r="R11104" s="1"/>
      <c r="S11104" s="1"/>
      <c r="T11104" s="1"/>
      <c r="U11104" s="1"/>
      <c r="V11104" s="1"/>
      <c r="W11104" s="1"/>
      <c r="X11104" s="1"/>
      <c r="Y11104" s="1"/>
      <c r="Z11104" s="1"/>
      <c r="AA11104" s="1"/>
      <c r="AB11104" s="1"/>
    </row>
    <row r="11105" ht="50.25" customHeight="1">
      <c r="A11105" s="12">
        <v>11101.0</v>
      </c>
      <c r="B11105" s="13" t="s">
        <v>10535</v>
      </c>
      <c r="C11105" s="18" t="s">
        <v>11133</v>
      </c>
      <c r="D11105" s="1"/>
      <c r="E11105" s="1"/>
      <c r="F11105" s="1" t="str">
        <f>IFERROR(__xludf.DUMMYFUNCTION("GOOGLETRANSLATE(B11105, ""en"", ""fa"")
"),"کپی رایتینگ II")</f>
        <v>کپی رایتینگ II</v>
      </c>
      <c r="G11105" s="1" t="str">
        <f>IFERROR(__xludf.DUMMYFUNCTION("GOOGLETRANSLATE(C11105, ""en"", ""fa"")
"),"در مورد نقش تست A/B در بهینه سازی CTA خود، از جمله انواع مختلف عبارت، طراحی، محل قرارگیری و رنگ ها بحث کنید.")</f>
        <v>در مورد نقش تست A/B در بهینه سازی CTA خود، از جمله انواع مختلف عبارت، طراحی، محل قرارگیری و رنگ ها بحث کنید.</v>
      </c>
      <c r="H11105" s="1"/>
      <c r="I11105" s="1"/>
      <c r="J11105" s="1"/>
      <c r="K11105" s="1"/>
      <c r="L11105" s="1"/>
      <c r="M11105" s="1"/>
      <c r="N11105" s="1"/>
      <c r="O11105" s="1"/>
      <c r="P11105" s="1"/>
      <c r="Q11105" s="1"/>
      <c r="R11105" s="1"/>
      <c r="S11105" s="1"/>
      <c r="T11105" s="1"/>
      <c r="U11105" s="1"/>
      <c r="V11105" s="1"/>
      <c r="W11105" s="1"/>
      <c r="X11105" s="1"/>
      <c r="Y11105" s="1"/>
      <c r="Z11105" s="1"/>
      <c r="AA11105" s="1"/>
      <c r="AB11105" s="1"/>
    </row>
    <row r="11106" ht="50.25" customHeight="1">
      <c r="A11106" s="12">
        <v>11102.0</v>
      </c>
      <c r="B11106" s="13" t="s">
        <v>10535</v>
      </c>
      <c r="C11106" s="18" t="s">
        <v>11134</v>
      </c>
      <c r="D11106" s="1"/>
      <c r="E11106" s="1"/>
      <c r="F11106" s="1" t="str">
        <f>IFERROR(__xludf.DUMMYFUNCTION("GOOGLETRANSLATE(B11106, ""en"", ""fa"")
"),"کپی رایتینگ II")</f>
        <v>کپی رایتینگ II</v>
      </c>
      <c r="G11106" s="1" t="str">
        <f>IFERROR(__xludf.DUMMYFUNCTION("GOOGLETRANSLATE(C11106, ""en"", ""fa"")
"),"چگونه می توان یک میکروکپی متقاعد کننده در اطراف CTA های خود ایجاد کرد که به اعتراضات یا نگرانی های احتمالی رسیدگی می کند و نرخ تبدیل را افزایش می دهد؟")</f>
        <v>چگونه می توان یک میکروکپی متقاعد کننده در اطراف CTA های خود ایجاد کرد که به اعتراضات یا نگرانی های احتمالی رسیدگی می کند و نرخ تبدیل را افزایش می دهد؟</v>
      </c>
      <c r="H11106" s="1"/>
      <c r="I11106" s="1"/>
      <c r="J11106" s="1"/>
      <c r="K11106" s="1"/>
      <c r="L11106" s="1"/>
      <c r="M11106" s="1"/>
      <c r="N11106" s="1"/>
      <c r="O11106" s="1"/>
      <c r="P11106" s="1"/>
      <c r="Q11106" s="1"/>
      <c r="R11106" s="1"/>
      <c r="S11106" s="1"/>
      <c r="T11106" s="1"/>
      <c r="U11106" s="1"/>
      <c r="V11106" s="1"/>
      <c r="W11106" s="1"/>
      <c r="X11106" s="1"/>
      <c r="Y11106" s="1"/>
      <c r="Z11106" s="1"/>
      <c r="AA11106" s="1"/>
      <c r="AB11106" s="1"/>
    </row>
    <row r="11107" ht="50.25" customHeight="1">
      <c r="A11107" s="12">
        <v>11103.0</v>
      </c>
      <c r="B11107" s="13" t="s">
        <v>10535</v>
      </c>
      <c r="C11107" s="18" t="s">
        <v>11135</v>
      </c>
      <c r="D11107" s="1"/>
      <c r="E11107" s="1"/>
      <c r="F11107" s="1" t="str">
        <f>IFERROR(__xludf.DUMMYFUNCTION("GOOGLETRANSLATE(B11107, ""en"", ""fa"")
"),"کپی رایتینگ II")</f>
        <v>کپی رایتینگ II</v>
      </c>
      <c r="G11107" s="1" t="str">
        <f>IFERROR(__xludf.DUMMYFUNCTION("GOOGLETRANSLATE(C11107, ""en"", ""fa"")
"),"راه های مختلف برای افزایش دید CTA های خود را کاوش کنید، مانند استفاده از انیمیشن ها، فلش ها یا رنگ های متضاد، برای جلب توجه.")</f>
        <v>راه های مختلف برای افزایش دید CTA های خود را کاوش کنید، مانند استفاده از انیمیشن ها، فلش ها یا رنگ های متضاد، برای جلب توجه.</v>
      </c>
      <c r="H11107" s="1"/>
      <c r="I11107" s="1"/>
      <c r="J11107" s="1"/>
      <c r="K11107" s="1"/>
      <c r="L11107" s="1"/>
      <c r="M11107" s="1"/>
      <c r="N11107" s="1"/>
      <c r="O11107" s="1"/>
      <c r="P11107" s="1"/>
      <c r="Q11107" s="1"/>
      <c r="R11107" s="1"/>
      <c r="S11107" s="1"/>
      <c r="T11107" s="1"/>
      <c r="U11107" s="1"/>
      <c r="V11107" s="1"/>
      <c r="W11107" s="1"/>
      <c r="X11107" s="1"/>
      <c r="Y11107" s="1"/>
      <c r="Z11107" s="1"/>
      <c r="AA11107" s="1"/>
      <c r="AB11107" s="1"/>
    </row>
    <row r="11108" ht="50.25" customHeight="1">
      <c r="A11108" s="12">
        <v>11104.0</v>
      </c>
      <c r="B11108" s="13" t="s">
        <v>10535</v>
      </c>
      <c r="C11108" s="18" t="s">
        <v>11136</v>
      </c>
      <c r="D11108" s="1"/>
      <c r="E11108" s="1"/>
      <c r="F11108" s="1" t="str">
        <f>IFERROR(__xludf.DUMMYFUNCTION("GOOGLETRANSLATE(B11108, ""en"", ""fa"")
"),"کپی رایتینگ II")</f>
        <v>کپی رایتینگ II</v>
      </c>
      <c r="G11108" s="1" t="str">
        <f>IFERROR(__xludf.DUMMYFUNCTION("GOOGLETRANSLATE(C11108, ""en"", ""fa"")
"),"بهترین روش ها برای همسو کردن CTA های خود با اهداف و اهداف خاص کمپین های بازاریابی یا صفحات فرود چیست؟")</f>
        <v>بهترین روش ها برای همسو کردن CTA های خود با اهداف و اهداف خاص کمپین های بازاریابی یا صفحات فرود چیست؟</v>
      </c>
      <c r="H11108" s="1"/>
      <c r="I11108" s="1"/>
      <c r="J11108" s="1"/>
      <c r="K11108" s="1"/>
      <c r="L11108" s="1"/>
      <c r="M11108" s="1"/>
      <c r="N11108" s="1"/>
      <c r="O11108" s="1"/>
      <c r="P11108" s="1"/>
      <c r="Q11108" s="1"/>
      <c r="R11108" s="1"/>
      <c r="S11108" s="1"/>
      <c r="T11108" s="1"/>
      <c r="U11108" s="1"/>
      <c r="V11108" s="1"/>
      <c r="W11108" s="1"/>
      <c r="X11108" s="1"/>
      <c r="Y11108" s="1"/>
      <c r="Z11108" s="1"/>
      <c r="AA11108" s="1"/>
      <c r="AB11108" s="1"/>
    </row>
    <row r="11109" ht="50.25" customHeight="1">
      <c r="A11109" s="12">
        <v>11105.0</v>
      </c>
      <c r="B11109" s="13" t="s">
        <v>10535</v>
      </c>
      <c r="C11109" s="18" t="s">
        <v>11137</v>
      </c>
      <c r="D11109" s="1"/>
      <c r="E11109" s="1"/>
      <c r="F11109" s="1" t="str">
        <f>IFERROR(__xludf.DUMMYFUNCTION("GOOGLETRANSLATE(B11109, ""en"", ""fa"")
"),"کپی رایتینگ II")</f>
        <v>کپی رایتینگ II</v>
      </c>
      <c r="G11109" s="1" t="str">
        <f>IFERROR(__xludf.DUMMYFUNCTION("GOOGLETRANSLATE(C11109, ""en"", ""fa"")
"),"چگونه سرعت بارگذاری صفحات وب خود را برای اطمینان از بارگیری سریع CTA و بهبود تجربه کلی کاربر بهینه کنیم؟")</f>
        <v>چگونه سرعت بارگذاری صفحات وب خود را برای اطمینان از بارگیری سریع CTA و بهبود تجربه کلی کاربر بهینه کنیم؟</v>
      </c>
      <c r="H11109" s="1"/>
      <c r="I11109" s="1"/>
      <c r="J11109" s="1"/>
      <c r="K11109" s="1"/>
      <c r="L11109" s="1"/>
      <c r="M11109" s="1"/>
      <c r="N11109" s="1"/>
      <c r="O11109" s="1"/>
      <c r="P11109" s="1"/>
      <c r="Q11109" s="1"/>
      <c r="R11109" s="1"/>
      <c r="S11109" s="1"/>
      <c r="T11109" s="1"/>
      <c r="U11109" s="1"/>
      <c r="V11109" s="1"/>
      <c r="W11109" s="1"/>
      <c r="X11109" s="1"/>
      <c r="Y11109" s="1"/>
      <c r="Z11109" s="1"/>
      <c r="AA11109" s="1"/>
      <c r="AB11109" s="1"/>
    </row>
    <row r="11110" ht="50.25" customHeight="1">
      <c r="A11110" s="12">
        <v>11106.0</v>
      </c>
      <c r="B11110" s="13" t="s">
        <v>10535</v>
      </c>
      <c r="C11110" s="18" t="s">
        <v>11138</v>
      </c>
      <c r="D11110" s="1"/>
      <c r="E11110" s="1"/>
      <c r="F11110" s="1" t="str">
        <f>IFERROR(__xludf.DUMMYFUNCTION("GOOGLETRANSLATE(B11110, ""en"", ""fa"")
"),"کپی رایتینگ II")</f>
        <v>کپی رایتینگ II</v>
      </c>
      <c r="G11110" s="1" t="str">
        <f>IFERROR(__xludf.DUMMYFUNCTION("GOOGLETRANSLATE(C11110, ""en"", ""fa"")
"),"در مورد اهمیت آزمایش موقعیت های مختلف CTA، مانند بالای صفحه، درون محتوا، یا در انتهای صفحه، برای یافتن موثرترین مکان بحث کنید.")</f>
        <v>در مورد اهمیت آزمایش موقعیت های مختلف CTA، مانند بالای صفحه، درون محتوا، یا در انتهای صفحه، برای یافتن موثرترین مکان بحث کنید.</v>
      </c>
      <c r="H11110" s="1"/>
      <c r="I11110" s="1"/>
      <c r="J11110" s="1"/>
      <c r="K11110" s="1"/>
      <c r="L11110" s="1"/>
      <c r="M11110" s="1"/>
      <c r="N11110" s="1"/>
      <c r="O11110" s="1"/>
      <c r="P11110" s="1"/>
      <c r="Q11110" s="1"/>
      <c r="R11110" s="1"/>
      <c r="S11110" s="1"/>
      <c r="T11110" s="1"/>
      <c r="U11110" s="1"/>
      <c r="V11110" s="1"/>
      <c r="W11110" s="1"/>
      <c r="X11110" s="1"/>
      <c r="Y11110" s="1"/>
      <c r="Z11110" s="1"/>
      <c r="AA11110" s="1"/>
      <c r="AB11110" s="1"/>
    </row>
    <row r="11111" ht="50.25" customHeight="1">
      <c r="A11111" s="12">
        <v>11107.0</v>
      </c>
      <c r="B11111" s="13" t="s">
        <v>10535</v>
      </c>
      <c r="C11111" s="18" t="s">
        <v>11139</v>
      </c>
      <c r="D11111" s="1"/>
      <c r="E11111" s="1"/>
      <c r="F11111" s="1" t="str">
        <f>IFERROR(__xludf.DUMMYFUNCTION("GOOGLETRANSLATE(B11111, ""en"", ""fa"")
"),"کپی رایتینگ II")</f>
        <v>کپی رایتینگ II</v>
      </c>
      <c r="G11111" s="1" t="str">
        <f>IFERROR(__xludf.DUMMYFUNCTION("GOOGLETRANSLATE(C11111, ""en"", ""fa"")
"),"چگونه می توان یک کپی CTA قانع کننده ایجاد کرد که ارزش و مزایای انجام اقدام مورد نظر را به وضوح بیان می کند؟")</f>
        <v>چگونه می توان یک کپی CTA قانع کننده ایجاد کرد که ارزش و مزایای انجام اقدام مورد نظر را به وضوح بیان می کند؟</v>
      </c>
      <c r="H11111" s="1"/>
      <c r="I11111" s="1"/>
      <c r="J11111" s="1"/>
      <c r="K11111" s="1"/>
      <c r="L11111" s="1"/>
      <c r="M11111" s="1"/>
      <c r="N11111" s="1"/>
      <c r="O11111" s="1"/>
      <c r="P11111" s="1"/>
      <c r="Q11111" s="1"/>
      <c r="R11111" s="1"/>
      <c r="S11111" s="1"/>
      <c r="T11111" s="1"/>
      <c r="U11111" s="1"/>
      <c r="V11111" s="1"/>
      <c r="W11111" s="1"/>
      <c r="X11111" s="1"/>
      <c r="Y11111" s="1"/>
      <c r="Z11111" s="1"/>
      <c r="AA11111" s="1"/>
      <c r="AB11111" s="1"/>
    </row>
    <row r="11112" ht="50.25" customHeight="1">
      <c r="A11112" s="12">
        <v>11108.0</v>
      </c>
      <c r="B11112" s="13" t="s">
        <v>10535</v>
      </c>
      <c r="C11112" s="18" t="s">
        <v>11140</v>
      </c>
      <c r="D11112" s="1"/>
      <c r="E11112" s="1"/>
      <c r="F11112" s="1" t="str">
        <f>IFERROR(__xludf.DUMMYFUNCTION("GOOGLETRANSLATE(B11112, ""en"", ""fa"")
"),"کپی رایتینگ II")</f>
        <v>کپی رایتینگ II</v>
      </c>
      <c r="G11112" s="1" t="str">
        <f>IFERROR(__xludf.DUMMYFUNCTION("GOOGLETRANSLATE(C11112, ""en"", ""fa"")
"),"راه‌های مختلفی را برای ایجاد حس کمبود یا انحصار در CTA‌های خود کاوش کنید و کاربران را تشویق کنید که به سرعت عمل کنند تا از دست ندهند.")</f>
        <v>راه‌های مختلفی را برای ایجاد حس کمبود یا انحصار در CTA‌های خود کاوش کنید و کاربران را تشویق کنید که به سرعت عمل کنند تا از دست ندهند.</v>
      </c>
      <c r="H11112" s="1"/>
      <c r="I11112" s="1"/>
      <c r="J11112" s="1"/>
      <c r="K11112" s="1"/>
      <c r="L11112" s="1"/>
      <c r="M11112" s="1"/>
      <c r="N11112" s="1"/>
      <c r="O11112" s="1"/>
      <c r="P11112" s="1"/>
      <c r="Q11112" s="1"/>
      <c r="R11112" s="1"/>
      <c r="S11112" s="1"/>
      <c r="T11112" s="1"/>
      <c r="U11112" s="1"/>
      <c r="V11112" s="1"/>
      <c r="W11112" s="1"/>
      <c r="X11112" s="1"/>
      <c r="Y11112" s="1"/>
      <c r="Z11112" s="1"/>
      <c r="AA11112" s="1"/>
      <c r="AB11112" s="1"/>
    </row>
    <row r="11113" ht="50.25" customHeight="1">
      <c r="A11113" s="12">
        <v>11109.0</v>
      </c>
      <c r="B11113" s="13" t="s">
        <v>10535</v>
      </c>
      <c r="C11113" s="18" t="s">
        <v>11141</v>
      </c>
      <c r="D11113" s="1"/>
      <c r="E11113" s="1"/>
      <c r="F11113" s="1" t="str">
        <f>IFERROR(__xludf.DUMMYFUNCTION("GOOGLETRANSLATE(B11113, ""en"", ""fa"")
"),"کپی رایتینگ II")</f>
        <v>کپی رایتینگ II</v>
      </c>
      <c r="G11113" s="1" t="str">
        <f>IFERROR(__xludf.DUMMYFUNCTION("GOOGLETRANSLATE(C11113, ""en"", ""fa"")
"),"چه تکنیک هایی برای استفاده از رنگ های متضاد و عناصر طراحی در CTA وجود دارد تا آنها را برجسته و جلب توجه کند؟")</f>
        <v>چه تکنیک هایی برای استفاده از رنگ های متضاد و عناصر طراحی در CTA وجود دارد تا آنها را برجسته و جلب توجه کند؟</v>
      </c>
      <c r="H11113" s="1"/>
      <c r="I11113" s="1"/>
      <c r="J11113" s="1"/>
      <c r="K11113" s="1"/>
      <c r="L11113" s="1"/>
      <c r="M11113" s="1"/>
      <c r="N11113" s="1"/>
      <c r="O11113" s="1"/>
      <c r="P11113" s="1"/>
      <c r="Q11113" s="1"/>
      <c r="R11113" s="1"/>
      <c r="S11113" s="1"/>
      <c r="T11113" s="1"/>
      <c r="U11113" s="1"/>
      <c r="V11113" s="1"/>
      <c r="W11113" s="1"/>
      <c r="X11113" s="1"/>
      <c r="Y11113" s="1"/>
      <c r="Z11113" s="1"/>
      <c r="AA11113" s="1"/>
      <c r="AB11113" s="1"/>
    </row>
    <row r="11114" ht="50.25" customHeight="1">
      <c r="A11114" s="12">
        <v>11110.0</v>
      </c>
      <c r="B11114" s="13" t="s">
        <v>10535</v>
      </c>
      <c r="C11114" s="18" t="s">
        <v>11142</v>
      </c>
      <c r="D11114" s="1"/>
      <c r="E11114" s="1"/>
      <c r="F11114" s="1" t="str">
        <f>IFERROR(__xludf.DUMMYFUNCTION("GOOGLETRANSLATE(B11114, ""en"", ""fa"")
"),"کپی رایتینگ II")</f>
        <v>کپی رایتینگ II</v>
      </c>
      <c r="G11114" s="1" t="str">
        <f>IFERROR(__xludf.DUMMYFUNCTION("GOOGLETRANSLATE(C11114, ""en"", ""fa"")
"),"نحوه بهینه سازی CTA های خود برای جستجوی صوتی و دستگاه های دارای قابلیت صوتی، با در نظر گرفتن زبان مکالمه و الگوهای گفتار طبیعی.")</f>
        <v>نحوه بهینه سازی CTA های خود برای جستجوی صوتی و دستگاه های دارای قابلیت صوتی، با در نظر گرفتن زبان مکالمه و الگوهای گفتار طبیعی.</v>
      </c>
      <c r="H11114" s="1"/>
      <c r="I11114" s="1"/>
      <c r="J11114" s="1"/>
      <c r="K11114" s="1"/>
      <c r="L11114" s="1"/>
      <c r="M11114" s="1"/>
      <c r="N11114" s="1"/>
      <c r="O11114" s="1"/>
      <c r="P11114" s="1"/>
      <c r="Q11114" s="1"/>
      <c r="R11114" s="1"/>
      <c r="S11114" s="1"/>
      <c r="T11114" s="1"/>
      <c r="U11114" s="1"/>
      <c r="V11114" s="1"/>
      <c r="W11114" s="1"/>
      <c r="X11114" s="1"/>
      <c r="Y11114" s="1"/>
      <c r="Z11114" s="1"/>
      <c r="AA11114" s="1"/>
      <c r="AB11114" s="1"/>
    </row>
    <row r="11115" ht="50.25" customHeight="1">
      <c r="A11115" s="12">
        <v>11111.0</v>
      </c>
      <c r="B11115" s="13" t="s">
        <v>10535</v>
      </c>
      <c r="C11115" s="18" t="s">
        <v>11143</v>
      </c>
      <c r="D11115" s="1"/>
      <c r="E11115" s="1"/>
      <c r="F11115" s="1" t="str">
        <f>IFERROR(__xludf.DUMMYFUNCTION("GOOGLETRANSLATE(B11115, ""en"", ""fa"")
"),"کپی رایتینگ II")</f>
        <v>کپی رایتینگ II</v>
      </c>
      <c r="G11115" s="1" t="str">
        <f>IFERROR(__xludf.DUMMYFUNCTION("GOOGLETRANSLATE(C11115, ""en"", ""fa"")
"),"در مورد اهمیت استفاده از پیام های مختصر و واضح در CTA های خود برای جلوگیری از سردرگمی و تشویق اقدام کاربر بحث کنید.")</f>
        <v>در مورد اهمیت استفاده از پیام های مختصر و واضح در CTA های خود برای جلوگیری از سردرگمی و تشویق اقدام کاربر بحث کنید.</v>
      </c>
      <c r="H11115" s="1"/>
      <c r="I11115" s="1"/>
      <c r="J11115" s="1"/>
      <c r="K11115" s="1"/>
      <c r="L11115" s="1"/>
      <c r="M11115" s="1"/>
      <c r="N11115" s="1"/>
      <c r="O11115" s="1"/>
      <c r="P11115" s="1"/>
      <c r="Q11115" s="1"/>
      <c r="R11115" s="1"/>
      <c r="S11115" s="1"/>
      <c r="T11115" s="1"/>
      <c r="U11115" s="1"/>
      <c r="V11115" s="1"/>
      <c r="W11115" s="1"/>
      <c r="X11115" s="1"/>
      <c r="Y11115" s="1"/>
      <c r="Z11115" s="1"/>
      <c r="AA11115" s="1"/>
      <c r="AB11115" s="1"/>
    </row>
    <row r="11116" ht="50.25" customHeight="1">
      <c r="A11116" s="12">
        <v>11112.0</v>
      </c>
      <c r="B11116" s="13" t="s">
        <v>10535</v>
      </c>
      <c r="C11116" s="18" t="s">
        <v>11144</v>
      </c>
      <c r="D11116" s="1"/>
      <c r="E11116" s="1"/>
      <c r="F11116" s="1" t="str">
        <f>IFERROR(__xludf.DUMMYFUNCTION("GOOGLETRANSLATE(B11116, ""en"", ""fa"")
"),"کپی رایتینگ II")</f>
        <v>کپی رایتینگ II</v>
      </c>
      <c r="G11116" s="1" t="str">
        <f>IFERROR(__xludf.DUMMYFUNCTION("GOOGLETRANSLATE(C11116, ""en"", ""fa"")
"),"چگونه از پلتفرم های رسانه های اجتماعی و کانال های تبلیغاتی برای ایجاد CTAهای بسیار هدفمند و بهینه شده برای بخش های خاص مخاطب استفاده کنیم.")</f>
        <v>چگونه از پلتفرم های رسانه های اجتماعی و کانال های تبلیغاتی برای ایجاد CTAهای بسیار هدفمند و بهینه شده برای بخش های خاص مخاطب استفاده کنیم.</v>
      </c>
      <c r="H11116" s="1"/>
      <c r="I11116" s="1"/>
      <c r="J11116" s="1"/>
      <c r="K11116" s="1"/>
      <c r="L11116" s="1"/>
      <c r="M11116" s="1"/>
      <c r="N11116" s="1"/>
      <c r="O11116" s="1"/>
      <c r="P11116" s="1"/>
      <c r="Q11116" s="1"/>
      <c r="R11116" s="1"/>
      <c r="S11116" s="1"/>
      <c r="T11116" s="1"/>
      <c r="U11116" s="1"/>
      <c r="V11116" s="1"/>
      <c r="W11116" s="1"/>
      <c r="X11116" s="1"/>
      <c r="Y11116" s="1"/>
      <c r="Z11116" s="1"/>
      <c r="AA11116" s="1"/>
      <c r="AB11116" s="1"/>
    </row>
    <row r="11117" ht="50.25" customHeight="1">
      <c r="A11117" s="12">
        <v>11113.0</v>
      </c>
      <c r="B11117" s="13" t="s">
        <v>10535</v>
      </c>
      <c r="C11117" s="18" t="s">
        <v>11145</v>
      </c>
      <c r="D11117" s="1"/>
      <c r="E11117" s="1"/>
      <c r="F11117" s="1" t="str">
        <f>IFERROR(__xludf.DUMMYFUNCTION("GOOGLETRANSLATE(B11117, ""en"", ""fa"")
"),"کپی رایتینگ II")</f>
        <v>کپی رایتینگ II</v>
      </c>
      <c r="G11117" s="1" t="str">
        <f>IFERROR(__xludf.DUMMYFUNCTION("GOOGLETRANSLATE(C11117, ""en"", ""fa"")
"),"روش‌های مختلف برای استفاده از محرک‌های عاطفی و اصول روان‌شناختی، مانند ترس از دست دادن یا تمایل به پذیرش اجتماعی، را در CTA خود کاوش کنید.")</f>
        <v>روش‌های مختلف برای استفاده از محرک‌های عاطفی و اصول روان‌شناختی، مانند ترس از دست دادن یا تمایل به پذیرش اجتماعی، را در CTA خود کاوش کنید.</v>
      </c>
      <c r="H11117" s="1"/>
      <c r="I11117" s="1"/>
      <c r="J11117" s="1"/>
      <c r="K11117" s="1"/>
      <c r="L11117" s="1"/>
      <c r="M11117" s="1"/>
      <c r="N11117" s="1"/>
      <c r="O11117" s="1"/>
      <c r="P11117" s="1"/>
      <c r="Q11117" s="1"/>
      <c r="R11117" s="1"/>
      <c r="S11117" s="1"/>
      <c r="T11117" s="1"/>
      <c r="U11117" s="1"/>
      <c r="V11117" s="1"/>
      <c r="W11117" s="1"/>
      <c r="X11117" s="1"/>
      <c r="Y11117" s="1"/>
      <c r="Z11117" s="1"/>
      <c r="AA11117" s="1"/>
      <c r="AB11117" s="1"/>
    </row>
    <row r="11118" ht="50.25" customHeight="1">
      <c r="A11118" s="12">
        <v>11114.0</v>
      </c>
      <c r="B11118" s="13" t="s">
        <v>10535</v>
      </c>
      <c r="C11118" s="18" t="s">
        <v>11146</v>
      </c>
      <c r="D11118" s="1"/>
      <c r="E11118" s="1"/>
      <c r="F11118" s="1" t="str">
        <f>IFERROR(__xludf.DUMMYFUNCTION("GOOGLETRANSLATE(B11118, ""en"", ""fa"")
"),"کپی رایتینگ II")</f>
        <v>کپی رایتینگ II</v>
      </c>
      <c r="G11118" s="1" t="str">
        <f>IFERROR(__xludf.DUMMYFUNCTION("GOOGLETRANSLATE(C11118, ""en"", ""fa"")
"),"استراتژی‌هایی برای ایجاد CTAهای تعاملی که کاربران را درگیر می‌کند و تجربه‌ای تعاملی و همه‌جانبه ارائه می‌کند چیست؟")</f>
        <v>استراتژی‌هایی برای ایجاد CTAهای تعاملی که کاربران را درگیر می‌کند و تجربه‌ای تعاملی و همه‌جانبه ارائه می‌کند چیست؟</v>
      </c>
      <c r="H11118" s="1"/>
      <c r="I11118" s="1"/>
      <c r="J11118" s="1"/>
      <c r="K11118" s="1"/>
      <c r="L11118" s="1"/>
      <c r="M11118" s="1"/>
      <c r="N11118" s="1"/>
      <c r="O11118" s="1"/>
      <c r="P11118" s="1"/>
      <c r="Q11118" s="1"/>
      <c r="R11118" s="1"/>
      <c r="S11118" s="1"/>
      <c r="T11118" s="1"/>
      <c r="U11118" s="1"/>
      <c r="V11118" s="1"/>
      <c r="W11118" s="1"/>
      <c r="X11118" s="1"/>
      <c r="Y11118" s="1"/>
      <c r="Z11118" s="1"/>
      <c r="AA11118" s="1"/>
      <c r="AB11118" s="1"/>
    </row>
    <row r="11119" ht="50.25" customHeight="1">
      <c r="A11119" s="12">
        <v>11115.0</v>
      </c>
      <c r="B11119" s="13" t="s">
        <v>10535</v>
      </c>
      <c r="C11119" s="18" t="s">
        <v>11147</v>
      </c>
      <c r="D11119" s="1"/>
      <c r="E11119" s="1"/>
      <c r="F11119" s="1" t="str">
        <f>IFERROR(__xludf.DUMMYFUNCTION("GOOGLETRANSLATE(B11119, ""en"", ""fa"")
"),"کپی رایتینگ II")</f>
        <v>کپی رایتینگ II</v>
      </c>
      <c r="G11119" s="1" t="str">
        <f>IFERROR(__xludf.DUMMYFUNCTION("GOOGLETRANSLATE(C11119, ""en"", ""fa"")
"),"نحوه استفاده از داده ها و تجزیه و تحلیل ها برای ردیابی و اندازه گیری عملکرد CTA های خود و بهینه سازی های مبتنی بر داده.")</f>
        <v>نحوه استفاده از داده ها و تجزیه و تحلیل ها برای ردیابی و اندازه گیری عملکرد CTA های خود و بهینه سازی های مبتنی بر داده.</v>
      </c>
      <c r="H11119" s="1"/>
      <c r="I11119" s="1"/>
      <c r="J11119" s="1"/>
      <c r="K11119" s="1"/>
      <c r="L11119" s="1"/>
      <c r="M11119" s="1"/>
      <c r="N11119" s="1"/>
      <c r="O11119" s="1"/>
      <c r="P11119" s="1"/>
      <c r="Q11119" s="1"/>
      <c r="R11119" s="1"/>
      <c r="S11119" s="1"/>
      <c r="T11119" s="1"/>
      <c r="U11119" s="1"/>
      <c r="V11119" s="1"/>
      <c r="W11119" s="1"/>
      <c r="X11119" s="1"/>
      <c r="Y11119" s="1"/>
      <c r="Z11119" s="1"/>
      <c r="AA11119" s="1"/>
      <c r="AB11119" s="1"/>
    </row>
    <row r="11120" ht="50.25" customHeight="1">
      <c r="A11120" s="12">
        <v>11116.0</v>
      </c>
      <c r="B11120" s="13" t="s">
        <v>10535</v>
      </c>
      <c r="C11120" s="18" t="s">
        <v>11148</v>
      </c>
      <c r="D11120" s="1"/>
      <c r="E11120" s="1"/>
      <c r="F11120" s="1" t="str">
        <f>IFERROR(__xludf.DUMMYFUNCTION("GOOGLETRANSLATE(B11120, ""en"", ""fa"")
"),"کپی رایتینگ II")</f>
        <v>کپی رایتینگ II</v>
      </c>
      <c r="G11120" s="1" t="str">
        <f>IFERROR(__xludf.DUMMYFUNCTION("GOOGLETRANSLATE(C11120, ""en"", ""fa"")
"),"در مورد نقش قرار دادن و طراحی CTA در دستگاه های مختلف مانند دسکتاپ، موبایل یا تبلت و نحوه بهینه سازی برای هر پلتفرم بحث کنید.")</f>
        <v>در مورد نقش قرار دادن و طراحی CTA در دستگاه های مختلف مانند دسکتاپ، موبایل یا تبلت و نحوه بهینه سازی برای هر پلتفرم بحث کنید.</v>
      </c>
      <c r="H11120" s="1"/>
      <c r="I11120" s="1"/>
      <c r="J11120" s="1"/>
      <c r="K11120" s="1"/>
      <c r="L11120" s="1"/>
      <c r="M11120" s="1"/>
      <c r="N11120" s="1"/>
      <c r="O11120" s="1"/>
      <c r="P11120" s="1"/>
      <c r="Q11120" s="1"/>
      <c r="R11120" s="1"/>
      <c r="S11120" s="1"/>
      <c r="T11120" s="1"/>
      <c r="U11120" s="1"/>
      <c r="V11120" s="1"/>
      <c r="W11120" s="1"/>
      <c r="X11120" s="1"/>
      <c r="Y11120" s="1"/>
      <c r="Z11120" s="1"/>
      <c r="AA11120" s="1"/>
      <c r="AB11120" s="1"/>
    </row>
    <row r="11121" ht="50.25" customHeight="1">
      <c r="A11121" s="12">
        <v>11117.0</v>
      </c>
      <c r="B11121" s="13" t="s">
        <v>10535</v>
      </c>
      <c r="C11121" s="18" t="s">
        <v>11149</v>
      </c>
      <c r="D11121" s="1"/>
      <c r="E11121" s="1"/>
      <c r="F11121" s="1" t="str">
        <f>IFERROR(__xludf.DUMMYFUNCTION("GOOGLETRANSLATE(B11121, ""en"", ""fa"")
"),"کپی رایتینگ II")</f>
        <v>کپی رایتینگ II</v>
      </c>
      <c r="G11121" s="1" t="str">
        <f>IFERROR(__xludf.DUMMYFUNCTION("GOOGLETRANSLATE(C11121, ""en"", ""fa"")
"),"چگونه می توان یک کپی CTA متقاعد کننده ایجاد کرد که به نقاط درد خاص و انگیزه های مخاطبان هدف شما می پردازد.")</f>
        <v>چگونه می توان یک کپی CTA متقاعد کننده ایجاد کرد که به نقاط درد خاص و انگیزه های مخاطبان هدف شما می پردازد.</v>
      </c>
      <c r="H11121" s="1"/>
      <c r="I11121" s="1"/>
      <c r="J11121" s="1"/>
      <c r="K11121" s="1"/>
      <c r="L11121" s="1"/>
      <c r="M11121" s="1"/>
      <c r="N11121" s="1"/>
      <c r="O11121" s="1"/>
      <c r="P11121" s="1"/>
      <c r="Q11121" s="1"/>
      <c r="R11121" s="1"/>
      <c r="S11121" s="1"/>
      <c r="T11121" s="1"/>
      <c r="U11121" s="1"/>
      <c r="V11121" s="1"/>
      <c r="W11121" s="1"/>
      <c r="X11121" s="1"/>
      <c r="Y11121" s="1"/>
      <c r="Z11121" s="1"/>
      <c r="AA11121" s="1"/>
      <c r="AB11121" s="1"/>
    </row>
    <row r="11122" ht="50.25" customHeight="1">
      <c r="A11122" s="12">
        <v>11118.0</v>
      </c>
      <c r="B11122" s="13" t="s">
        <v>10535</v>
      </c>
      <c r="C11122" s="18" t="s">
        <v>11150</v>
      </c>
      <c r="D11122" s="1"/>
      <c r="E11122" s="1"/>
      <c r="F11122" s="1" t="str">
        <f>IFERROR(__xludf.DUMMYFUNCTION("GOOGLETRANSLATE(B11122, ""en"", ""fa"")
"),"کپی رایتینگ II")</f>
        <v>کپی رایتینگ II</v>
      </c>
      <c r="G11122" s="1" t="str">
        <f>IFERROR(__xludf.DUMMYFUNCTION("GOOGLETRANSLATE(C11122, ""en"", ""fa"")
"),"راه‌های مختلف استفاده از تصاویر، مانند فلش‌ها یا نمادها را برای جلب توجه به سمت CTA و افزایش نرخ کلیک کاوش کنید.")</f>
        <v>راه‌های مختلف استفاده از تصاویر، مانند فلش‌ها یا نمادها را برای جلب توجه به سمت CTA و افزایش نرخ کلیک کاوش کنید.</v>
      </c>
      <c r="H11122" s="1"/>
      <c r="I11122" s="1"/>
      <c r="J11122" s="1"/>
      <c r="K11122" s="1"/>
      <c r="L11122" s="1"/>
      <c r="M11122" s="1"/>
      <c r="N11122" s="1"/>
      <c r="O11122" s="1"/>
      <c r="P11122" s="1"/>
      <c r="Q11122" s="1"/>
      <c r="R11122" s="1"/>
      <c r="S11122" s="1"/>
      <c r="T11122" s="1"/>
      <c r="U11122" s="1"/>
      <c r="V11122" s="1"/>
      <c r="W11122" s="1"/>
      <c r="X11122" s="1"/>
      <c r="Y11122" s="1"/>
      <c r="Z11122" s="1"/>
      <c r="AA11122" s="1"/>
      <c r="AB11122" s="1"/>
    </row>
    <row r="11123" ht="50.25" customHeight="1">
      <c r="A11123" s="12">
        <v>11119.0</v>
      </c>
      <c r="B11123" s="13" t="s">
        <v>10535</v>
      </c>
      <c r="C11123" s="18" t="s">
        <v>11151</v>
      </c>
      <c r="D11123" s="1"/>
      <c r="E11123" s="1"/>
      <c r="F11123" s="1" t="str">
        <f>IFERROR(__xludf.DUMMYFUNCTION("GOOGLETRANSLATE(B11123, ""en"", ""fa"")
"),"کپی رایتینگ II")</f>
        <v>کپی رایتینگ II</v>
      </c>
      <c r="G11123" s="1" t="str">
        <f>IFERROR(__xludf.DUMMYFUNCTION("GOOGLETRANSLATE(C11123, ""en"", ""fa"")
"),"بهترین روش برای استفاده از زبان CTA که واضح، مختصر و همسو با هدف یا نتیجه دلخواه کاربر باشد چیست؟")</f>
        <v>بهترین روش برای استفاده از زبان CTA که واضح، مختصر و همسو با هدف یا نتیجه دلخواه کاربر باشد چیست؟</v>
      </c>
      <c r="H11123" s="1"/>
      <c r="I11123" s="1"/>
      <c r="J11123" s="1"/>
      <c r="K11123" s="1"/>
      <c r="L11123" s="1"/>
      <c r="M11123" s="1"/>
      <c r="N11123" s="1"/>
      <c r="O11123" s="1"/>
      <c r="P11123" s="1"/>
      <c r="Q11123" s="1"/>
      <c r="R11123" s="1"/>
      <c r="S11123" s="1"/>
      <c r="T11123" s="1"/>
      <c r="U11123" s="1"/>
      <c r="V11123" s="1"/>
      <c r="W11123" s="1"/>
      <c r="X11123" s="1"/>
      <c r="Y11123" s="1"/>
      <c r="Z11123" s="1"/>
      <c r="AA11123" s="1"/>
      <c r="AB11123" s="1"/>
    </row>
    <row r="11124" ht="50.25" customHeight="1">
      <c r="A11124" s="12">
        <v>11120.0</v>
      </c>
      <c r="B11124" s="13" t="s">
        <v>10535</v>
      </c>
      <c r="C11124" s="18" t="s">
        <v>11152</v>
      </c>
      <c r="D11124" s="1"/>
      <c r="E11124" s="1"/>
      <c r="F11124" s="1" t="str">
        <f>IFERROR(__xludf.DUMMYFUNCTION("GOOGLETRANSLATE(B11124, ""en"", ""fa"")
"),"کپی رایتینگ II")</f>
        <v>کپی رایتینگ II</v>
      </c>
      <c r="G11124" s="1" t="str">
        <f>IFERROR(__xludf.DUMMYFUNCTION("GOOGLETRANSLATE(C11124, ""en"", ""fa"")
"),"نحوه بهینه سازی زمان بارگذاری CTA ها برای اطمینان از تجربه کاربری یکپارچه و پاسخگو در دستگاه های مختلف و اتصالات اینترنتی.")</f>
        <v>نحوه بهینه سازی زمان بارگذاری CTA ها برای اطمینان از تجربه کاربری یکپارچه و پاسخگو در دستگاه های مختلف و اتصالات اینترنتی.</v>
      </c>
      <c r="H11124" s="1"/>
      <c r="I11124" s="1"/>
      <c r="J11124" s="1"/>
      <c r="K11124" s="1"/>
      <c r="L11124" s="1"/>
      <c r="M11124" s="1"/>
      <c r="N11124" s="1"/>
      <c r="O11124" s="1"/>
      <c r="P11124" s="1"/>
      <c r="Q11124" s="1"/>
      <c r="R11124" s="1"/>
      <c r="S11124" s="1"/>
      <c r="T11124" s="1"/>
      <c r="U11124" s="1"/>
      <c r="V11124" s="1"/>
      <c r="W11124" s="1"/>
      <c r="X11124" s="1"/>
      <c r="Y11124" s="1"/>
      <c r="Z11124" s="1"/>
      <c r="AA11124" s="1"/>
      <c r="AB11124" s="1"/>
    </row>
    <row r="11125" ht="50.25" customHeight="1">
      <c r="A11125" s="12">
        <v>11121.0</v>
      </c>
      <c r="B11125" s="13" t="s">
        <v>10535</v>
      </c>
      <c r="C11125" s="18" t="s">
        <v>11153</v>
      </c>
      <c r="D11125" s="1"/>
      <c r="E11125" s="1"/>
      <c r="F11125" s="1" t="str">
        <f>IFERROR(__xludf.DUMMYFUNCTION("GOOGLETRANSLATE(B11125, ""en"", ""fa"")
"),"کپی رایتینگ II")</f>
        <v>کپی رایتینگ II</v>
      </c>
      <c r="G11125" s="1" t="str">
        <f>IFERROR(__xludf.DUMMYFUNCTION("GOOGLETRANSLATE(C11125, ""en"", ""fa"")
"),"درباره اهمیت استفاده از دکمه‌های اشتراک‌گذاری رسانه‌های اجتماعی یا مشوق‌های ارجاع در CTA خود برای تشویق کاربران به انتشار این خبر بحث کنید.")</f>
        <v>درباره اهمیت استفاده از دکمه‌های اشتراک‌گذاری رسانه‌های اجتماعی یا مشوق‌های ارجاع در CTA خود برای تشویق کاربران به انتشار این خبر بحث کنید.</v>
      </c>
      <c r="H11125" s="1"/>
      <c r="I11125" s="1"/>
      <c r="J11125" s="1"/>
      <c r="K11125" s="1"/>
      <c r="L11125" s="1"/>
      <c r="M11125" s="1"/>
      <c r="N11125" s="1"/>
      <c r="O11125" s="1"/>
      <c r="P11125" s="1"/>
      <c r="Q11125" s="1"/>
      <c r="R11125" s="1"/>
      <c r="S11125" s="1"/>
      <c r="T11125" s="1"/>
      <c r="U11125" s="1"/>
      <c r="V11125" s="1"/>
      <c r="W11125" s="1"/>
      <c r="X11125" s="1"/>
      <c r="Y11125" s="1"/>
      <c r="Z11125" s="1"/>
      <c r="AA11125" s="1"/>
      <c r="AB11125" s="1"/>
    </row>
    <row r="11126" ht="50.25" customHeight="1">
      <c r="A11126" s="12">
        <v>11122.0</v>
      </c>
      <c r="B11126" s="13" t="s">
        <v>10535</v>
      </c>
      <c r="C11126" s="18" t="s">
        <v>11154</v>
      </c>
      <c r="D11126" s="1"/>
      <c r="E11126" s="1"/>
      <c r="F11126" s="1" t="str">
        <f>IFERROR(__xludf.DUMMYFUNCTION("GOOGLETRANSLATE(B11126, ""en"", ""fa"")
"),"کپی رایتینگ II")</f>
        <v>کپی رایتینگ II</v>
      </c>
      <c r="G11126" s="1" t="str">
        <f>IFERROR(__xludf.DUMMYFUNCTION("GOOGLETRANSLATE(C11126, ""en"", ""fa"")
"),"چگونه از قدرت کمبود و پیشنهادات زمان محدود در CTA خود برای ایجاد احساس فوریت و ایجاد اقدام فوری استفاده کنید.")</f>
        <v>چگونه از قدرت کمبود و پیشنهادات زمان محدود در CTA خود برای ایجاد احساس فوریت و ایجاد اقدام فوری استفاده کنید.</v>
      </c>
      <c r="H11126" s="1"/>
      <c r="I11126" s="1"/>
      <c r="J11126" s="1"/>
      <c r="K11126" s="1"/>
      <c r="L11126" s="1"/>
      <c r="M11126" s="1"/>
      <c r="N11126" s="1"/>
      <c r="O11126" s="1"/>
      <c r="P11126" s="1"/>
      <c r="Q11126" s="1"/>
      <c r="R11126" s="1"/>
      <c r="S11126" s="1"/>
      <c r="T11126" s="1"/>
      <c r="U11126" s="1"/>
      <c r="V11126" s="1"/>
      <c r="W11126" s="1"/>
      <c r="X11126" s="1"/>
      <c r="Y11126" s="1"/>
      <c r="Z11126" s="1"/>
      <c r="AA11126" s="1"/>
      <c r="AB11126" s="1"/>
    </row>
    <row r="11127" ht="50.25" customHeight="1">
      <c r="A11127" s="12">
        <v>11123.0</v>
      </c>
      <c r="B11127" s="13" t="s">
        <v>10535</v>
      </c>
      <c r="C11127" s="18" t="s">
        <v>11155</v>
      </c>
      <c r="D11127" s="1"/>
      <c r="E11127" s="1"/>
      <c r="F11127" s="1" t="str">
        <f>IFERROR(__xludf.DUMMYFUNCTION("GOOGLETRANSLATE(B11127, ""en"", ""fa"")
"),"کپی رایتینگ II")</f>
        <v>کپی رایتینگ II</v>
      </c>
      <c r="G11127" s="1" t="str">
        <f>IFERROR(__xludf.DUMMYFUNCTION("GOOGLETRANSLATE(C11127, ""en"", ""fa"")
"),"روش‌های مختلف برای استفاده از قرار دادن CTA در ویدیوها یا محتوای چندرسانه‌ای را برای ترغیب کاربران به انجام عمل مورد نظر کاوش کنید.")</f>
        <v>روش‌های مختلف برای استفاده از قرار دادن CTA در ویدیوها یا محتوای چندرسانه‌ای را برای ترغیب کاربران به انجام عمل مورد نظر کاوش کنید.</v>
      </c>
      <c r="H11127" s="1"/>
      <c r="I11127" s="1"/>
      <c r="J11127" s="1"/>
      <c r="K11127" s="1"/>
      <c r="L11127" s="1"/>
      <c r="M11127" s="1"/>
      <c r="N11127" s="1"/>
      <c r="O11127" s="1"/>
      <c r="P11127" s="1"/>
      <c r="Q11127" s="1"/>
      <c r="R11127" s="1"/>
      <c r="S11127" s="1"/>
      <c r="T11127" s="1"/>
      <c r="U11127" s="1"/>
      <c r="V11127" s="1"/>
      <c r="W11127" s="1"/>
      <c r="X11127" s="1"/>
      <c r="Y11127" s="1"/>
      <c r="Z11127" s="1"/>
      <c r="AA11127" s="1"/>
      <c r="AB11127" s="1"/>
    </row>
    <row r="11128" ht="50.25" customHeight="1">
      <c r="A11128" s="12">
        <v>11124.0</v>
      </c>
      <c r="B11128" s="13" t="s">
        <v>10535</v>
      </c>
      <c r="C11128" s="18" t="s">
        <v>11156</v>
      </c>
      <c r="D11128" s="1"/>
      <c r="E11128" s="1"/>
      <c r="F11128" s="1" t="str">
        <f>IFERROR(__xludf.DUMMYFUNCTION("GOOGLETRANSLATE(B11128, ""en"", ""fa"")
"),"کپی رایتینگ II")</f>
        <v>کپی رایتینگ II</v>
      </c>
      <c r="G11128" s="1" t="str">
        <f>IFERROR(__xludf.DUMMYFUNCTION("GOOGLETRANSLATE(C11128, ""en"", ""fa"")
"),"چه استراتژی هایی برای ایجاد کپی CTA وجود دارد که اعتماد و اعتبار را به برند شما القا می کند و کاربران را تشویق به برداشتن گام بعدی می کند؟")</f>
        <v>چه استراتژی هایی برای ایجاد کپی CTA وجود دارد که اعتماد و اعتبار را به برند شما القا می کند و کاربران را تشویق به برداشتن گام بعدی می کند؟</v>
      </c>
      <c r="H11128" s="1"/>
      <c r="I11128" s="1"/>
      <c r="J11128" s="1"/>
      <c r="K11128" s="1"/>
      <c r="L11128" s="1"/>
      <c r="M11128" s="1"/>
      <c r="N11128" s="1"/>
      <c r="O11128" s="1"/>
      <c r="P11128" s="1"/>
      <c r="Q11128" s="1"/>
      <c r="R11128" s="1"/>
      <c r="S11128" s="1"/>
      <c r="T11128" s="1"/>
      <c r="U11128" s="1"/>
      <c r="V11128" s="1"/>
      <c r="W11128" s="1"/>
      <c r="X11128" s="1"/>
      <c r="Y11128" s="1"/>
      <c r="Z11128" s="1"/>
      <c r="AA11128" s="1"/>
      <c r="AB11128" s="1"/>
    </row>
    <row r="11129" ht="50.25" customHeight="1">
      <c r="A11129" s="12">
        <v>11125.0</v>
      </c>
      <c r="B11129" s="13" t="s">
        <v>10535</v>
      </c>
      <c r="C11129" s="18" t="s">
        <v>11157</v>
      </c>
      <c r="D11129" s="1"/>
      <c r="E11129" s="1"/>
      <c r="F11129" s="1" t="str">
        <f>IFERROR(__xludf.DUMMYFUNCTION("GOOGLETRANSLATE(B11129, ""en"", ""fa"")
"),"کپی رایتینگ II")</f>
        <v>کپی رایتینگ II</v>
      </c>
      <c r="G11129" s="1" t="str">
        <f>IFERROR(__xludf.DUMMYFUNCTION("GOOGLETRANSLATE(C11129, ""en"", ""fa"")
"),"چگونه CTA های خود را برای دسترسی بهینه کنیم، و اطمینان حاصل کنیم که آنها به راحتی برای کاربران دارای معلولیت قابل درک و قابل اجرا هستند.")</f>
        <v>چگونه CTA های خود را برای دسترسی بهینه کنیم، و اطمینان حاصل کنیم که آنها به راحتی برای کاربران دارای معلولیت قابل درک و قابل اجرا هستند.</v>
      </c>
      <c r="H11129" s="1"/>
      <c r="I11129" s="1"/>
      <c r="J11129" s="1"/>
      <c r="K11129" s="1"/>
      <c r="L11129" s="1"/>
      <c r="M11129" s="1"/>
      <c r="N11129" s="1"/>
      <c r="O11129" s="1"/>
      <c r="P11129" s="1"/>
      <c r="Q11129" s="1"/>
      <c r="R11129" s="1"/>
      <c r="S11129" s="1"/>
      <c r="T11129" s="1"/>
      <c r="U11129" s="1"/>
      <c r="V11129" s="1"/>
      <c r="W11129" s="1"/>
      <c r="X11129" s="1"/>
      <c r="Y11129" s="1"/>
      <c r="Z11129" s="1"/>
      <c r="AA11129" s="1"/>
      <c r="AB11129" s="1"/>
    </row>
    <row r="11130" ht="50.25" customHeight="1">
      <c r="A11130" s="12">
        <v>11126.0</v>
      </c>
      <c r="B11130" s="13" t="s">
        <v>10535</v>
      </c>
      <c r="C11130" s="18" t="s">
        <v>11158</v>
      </c>
      <c r="D11130" s="1"/>
      <c r="E11130" s="1"/>
      <c r="F11130" s="1" t="str">
        <f>IFERROR(__xludf.DUMMYFUNCTION("GOOGLETRANSLATE(B11130, ""en"", ""fa"")
"),"کپی رایتینگ II")</f>
        <v>کپی رایتینگ II</v>
      </c>
      <c r="G11130" s="1" t="str">
        <f>IFERROR(__xludf.DUMMYFUNCTION("GOOGLETRANSLATE(C11130, ""en"", ""fa"")
"),"درباره نقش اثبات اجتماعی، مانند نظرات یا رتبه‌بندی‌های کاربران، در افزایش اثربخشی CTA و ایجاد اعتماد با مخاطبان خود بحث کنید.")</f>
        <v>درباره نقش اثبات اجتماعی، مانند نظرات یا رتبه‌بندی‌های کاربران، در افزایش اثربخشی CTA و ایجاد اعتماد با مخاطبان خود بحث کنید.</v>
      </c>
      <c r="H11130" s="1"/>
      <c r="I11130" s="1"/>
      <c r="J11130" s="1"/>
      <c r="K11130" s="1"/>
      <c r="L11130" s="1"/>
      <c r="M11130" s="1"/>
      <c r="N11130" s="1"/>
      <c r="O11130" s="1"/>
      <c r="P11130" s="1"/>
      <c r="Q11130" s="1"/>
      <c r="R11130" s="1"/>
      <c r="S11130" s="1"/>
      <c r="T11130" s="1"/>
      <c r="U11130" s="1"/>
      <c r="V11130" s="1"/>
      <c r="W11130" s="1"/>
      <c r="X11130" s="1"/>
      <c r="Y11130" s="1"/>
      <c r="Z11130" s="1"/>
      <c r="AA11130" s="1"/>
      <c r="AB11130" s="1"/>
    </row>
    <row r="11131" ht="50.25" customHeight="1">
      <c r="A11131" s="12">
        <v>11127.0</v>
      </c>
      <c r="B11131" s="13" t="s">
        <v>10535</v>
      </c>
      <c r="C11131" s="18" t="s">
        <v>11159</v>
      </c>
      <c r="D11131" s="1"/>
      <c r="E11131" s="1"/>
      <c r="F11131" s="1" t="str">
        <f>IFERROR(__xludf.DUMMYFUNCTION("GOOGLETRANSLATE(B11131, ""en"", ""fa"")
"),"کپی رایتینگ II")</f>
        <v>کپی رایتینگ II</v>
      </c>
      <c r="G11131" s="1" t="str">
        <f>IFERROR(__xludf.DUMMYFUNCTION("GOOGLETRANSLATE(C11131, ""en"", ""fa"")
"),"چگونه می توان یک کپی CTA ایجاد کرد که با سفر مشتری مطابقت دارد، با در نظر گرفتن مراحل مختلف آگاهی، توجه و تصمیم گیری.")</f>
        <v>چگونه می توان یک کپی CTA ایجاد کرد که با سفر مشتری مطابقت دارد، با در نظر گرفتن مراحل مختلف آگاهی، توجه و تصمیم گیری.</v>
      </c>
      <c r="H11131" s="1"/>
      <c r="I11131" s="1"/>
      <c r="J11131" s="1"/>
      <c r="K11131" s="1"/>
      <c r="L11131" s="1"/>
      <c r="M11131" s="1"/>
      <c r="N11131" s="1"/>
      <c r="O11131" s="1"/>
      <c r="P11131" s="1"/>
      <c r="Q11131" s="1"/>
      <c r="R11131" s="1"/>
      <c r="S11131" s="1"/>
      <c r="T11131" s="1"/>
      <c r="U11131" s="1"/>
      <c r="V11131" s="1"/>
      <c r="W11131" s="1"/>
      <c r="X11131" s="1"/>
      <c r="Y11131" s="1"/>
      <c r="Z11131" s="1"/>
      <c r="AA11131" s="1"/>
      <c r="AB11131" s="1"/>
    </row>
    <row r="11132" ht="50.25" customHeight="1">
      <c r="A11132" s="12">
        <v>11128.0</v>
      </c>
      <c r="B11132" s="13" t="s">
        <v>10535</v>
      </c>
      <c r="C11132" s="18" t="s">
        <v>11160</v>
      </c>
      <c r="D11132" s="1"/>
      <c r="E11132" s="1"/>
      <c r="F11132" s="1" t="str">
        <f>IFERROR(__xludf.DUMMYFUNCTION("GOOGLETRANSLATE(B11132, ""en"", ""fa"")
"),"کپی رایتینگ II")</f>
        <v>کپی رایتینگ II</v>
      </c>
      <c r="G11132" s="1" t="str">
        <f>IFERROR(__xludf.DUMMYFUNCTION("GOOGLETRANSLATE(C11132, ""en"", ""fa"")
"),"راه های مختلف برای ایجاد حس انتظار و هیجان در CTA های خود را کاوش کنید و کاربران را به کلیک کردن و کاوش بیشتر ترغیب کنید.")</f>
        <v>راه های مختلف برای ایجاد حس انتظار و هیجان در CTA های خود را کاوش کنید و کاربران را به کلیک کردن و کاوش بیشتر ترغیب کنید.</v>
      </c>
      <c r="H11132" s="1"/>
      <c r="I11132" s="1"/>
      <c r="J11132" s="1"/>
      <c r="K11132" s="1"/>
      <c r="L11132" s="1"/>
      <c r="M11132" s="1"/>
      <c r="N11132" s="1"/>
      <c r="O11132" s="1"/>
      <c r="P11132" s="1"/>
      <c r="Q11132" s="1"/>
      <c r="R11132" s="1"/>
      <c r="S11132" s="1"/>
      <c r="T11132" s="1"/>
      <c r="U11132" s="1"/>
      <c r="V11132" s="1"/>
      <c r="W11132" s="1"/>
      <c r="X11132" s="1"/>
      <c r="Y11132" s="1"/>
      <c r="Z11132" s="1"/>
      <c r="AA11132" s="1"/>
      <c r="AB11132" s="1"/>
    </row>
    <row r="11133" ht="50.25" customHeight="1">
      <c r="A11133" s="12">
        <v>11129.0</v>
      </c>
      <c r="B11133" s="13" t="s">
        <v>10535</v>
      </c>
      <c r="C11133" s="18" t="s">
        <v>11161</v>
      </c>
      <c r="D11133" s="1"/>
      <c r="E11133" s="1"/>
      <c r="F11133" s="1" t="str">
        <f>IFERROR(__xludf.DUMMYFUNCTION("GOOGLETRANSLATE(B11133, ""en"", ""fa"")
"),"کپی رایتینگ II")</f>
        <v>کپی رایتینگ II</v>
      </c>
      <c r="G11133" s="1" t="str">
        <f>IFERROR(__xludf.DUMMYFUNCTION("GOOGLETRANSLATE(C11133, ""en"", ""fa"")
"),"بهترین روش ها برای استفاده از کلمات و عبارات اضطراری در CTAهای خود برای هدایت اقدام فوری از سوی مخاطبان چیست؟")</f>
        <v>بهترین روش ها برای استفاده از کلمات و عبارات اضطراری در CTAهای خود برای هدایت اقدام فوری از سوی مخاطبان چیست؟</v>
      </c>
      <c r="H11133" s="1"/>
      <c r="I11133" s="1"/>
      <c r="J11133" s="1"/>
      <c r="K11133" s="1"/>
      <c r="L11133" s="1"/>
      <c r="M11133" s="1"/>
      <c r="N11133" s="1"/>
      <c r="O11133" s="1"/>
      <c r="P11133" s="1"/>
      <c r="Q11133" s="1"/>
      <c r="R11133" s="1"/>
      <c r="S11133" s="1"/>
      <c r="T11133" s="1"/>
      <c r="U11133" s="1"/>
      <c r="V11133" s="1"/>
      <c r="W11133" s="1"/>
      <c r="X11133" s="1"/>
      <c r="Y11133" s="1"/>
      <c r="Z11133" s="1"/>
      <c r="AA11133" s="1"/>
      <c r="AB11133" s="1"/>
    </row>
    <row r="11134" ht="50.25" customHeight="1">
      <c r="A11134" s="12">
        <v>11130.0</v>
      </c>
      <c r="B11134" s="13" t="s">
        <v>10535</v>
      </c>
      <c r="C11134" s="18" t="s">
        <v>11162</v>
      </c>
      <c r="D11134" s="1"/>
      <c r="E11134" s="1"/>
      <c r="F11134" s="1" t="str">
        <f>IFERROR(__xludf.DUMMYFUNCTION("GOOGLETRANSLATE(B11134, ""en"", ""fa"")
"),"کپی رایتینگ II")</f>
        <v>کپی رایتینگ II</v>
      </c>
      <c r="G11134" s="1" t="str">
        <f>IFERROR(__xludf.DUMMYFUNCTION("GOOGLETRANSLATE(C11134, ""en"", ""fa"")
"),"چگونه از قدرت داستان سرایی در CTAهای خود استفاده کنید تا کاربران را از نظر احساسی درگیر کرده و آنها را وادار به انجام اقدام مورد نظر کنید.")</f>
        <v>چگونه از قدرت داستان سرایی در CTAهای خود استفاده کنید تا کاربران را از نظر احساسی درگیر کرده و آنها را وادار به انجام اقدام مورد نظر کنید.</v>
      </c>
      <c r="H11134" s="1"/>
      <c r="I11134" s="1"/>
      <c r="J11134" s="1"/>
      <c r="K11134" s="1"/>
      <c r="L11134" s="1"/>
      <c r="M11134" s="1"/>
      <c r="N11134" s="1"/>
      <c r="O11134" s="1"/>
      <c r="P11134" s="1"/>
      <c r="Q11134" s="1"/>
      <c r="R11134" s="1"/>
      <c r="S11134" s="1"/>
      <c r="T11134" s="1"/>
      <c r="U11134" s="1"/>
      <c r="V11134" s="1"/>
      <c r="W11134" s="1"/>
      <c r="X11134" s="1"/>
      <c r="Y11134" s="1"/>
      <c r="Z11134" s="1"/>
      <c r="AA11134" s="1"/>
      <c r="AB11134" s="1"/>
    </row>
    <row r="11135" ht="50.25" customHeight="1">
      <c r="A11135" s="12">
        <v>11131.0</v>
      </c>
      <c r="B11135" s="13" t="s">
        <v>10535</v>
      </c>
      <c r="C11135" s="18" t="s">
        <v>11163</v>
      </c>
      <c r="D11135" s="1"/>
      <c r="E11135" s="1"/>
      <c r="F11135" s="1" t="str">
        <f>IFERROR(__xludf.DUMMYFUNCTION("GOOGLETRANSLATE(B11135, ""en"", ""fa"")
"),"کپی رایتینگ II")</f>
        <v>کپی رایتینگ II</v>
      </c>
      <c r="G11135" s="1" t="str">
        <f>IFERROR(__xludf.DUMMYFUNCTION("GOOGLETRANSLATE(C11135, ""en"", ""fa"")
"),"در مورد اهمیت استفاده از دستورالعمل های واضح و مختصر در CTA خود بحث کنید، و کاربران را در مورد آنچه که باید در آینده انجام دهند راهنمایی کنید.")</f>
        <v>در مورد اهمیت استفاده از دستورالعمل های واضح و مختصر در CTA خود بحث کنید، و کاربران را در مورد آنچه که باید در آینده انجام دهند راهنمایی کنید.</v>
      </c>
      <c r="H11135" s="1"/>
      <c r="I11135" s="1"/>
      <c r="J11135" s="1"/>
      <c r="K11135" s="1"/>
      <c r="L11135" s="1"/>
      <c r="M11135" s="1"/>
      <c r="N11135" s="1"/>
      <c r="O11135" s="1"/>
      <c r="P11135" s="1"/>
      <c r="Q11135" s="1"/>
      <c r="R11135" s="1"/>
      <c r="S11135" s="1"/>
      <c r="T11135" s="1"/>
      <c r="U11135" s="1"/>
      <c r="V11135" s="1"/>
      <c r="W11135" s="1"/>
      <c r="X11135" s="1"/>
      <c r="Y11135" s="1"/>
      <c r="Z11135" s="1"/>
      <c r="AA11135" s="1"/>
      <c r="AB11135" s="1"/>
    </row>
    <row r="11136" ht="50.25" customHeight="1">
      <c r="A11136" s="12">
        <v>11132.0</v>
      </c>
      <c r="B11136" s="13" t="s">
        <v>10535</v>
      </c>
      <c r="C11136" s="18" t="s">
        <v>11164</v>
      </c>
      <c r="D11136" s="1"/>
      <c r="E11136" s="1"/>
      <c r="F11136" s="1" t="str">
        <f>IFERROR(__xludf.DUMMYFUNCTION("GOOGLETRANSLATE(B11136, ""en"", ""fa"")
"),"کپی رایتینگ II")</f>
        <v>کپی رایتینگ II</v>
      </c>
      <c r="G11136" s="1" t="str">
        <f>IFERROR(__xludf.DUMMYFUNCTION("GOOGLETRANSLATE(C11136, ""en"", ""fa"")
"),"چگونه CTA های خود را برای پلتفرم ها و دستگاه های مختلف بهینه کنید و از عملکرد و طراحی ثابت در همه کانال ها اطمینان حاصل کنید.")</f>
        <v>چگونه CTA های خود را برای پلتفرم ها و دستگاه های مختلف بهینه کنید و از عملکرد و طراحی ثابت در همه کانال ها اطمینان حاصل کنید.</v>
      </c>
      <c r="H11136" s="1"/>
      <c r="I11136" s="1"/>
      <c r="J11136" s="1"/>
      <c r="K11136" s="1"/>
      <c r="L11136" s="1"/>
      <c r="M11136" s="1"/>
      <c r="N11136" s="1"/>
      <c r="O11136" s="1"/>
      <c r="P11136" s="1"/>
      <c r="Q11136" s="1"/>
      <c r="R11136" s="1"/>
      <c r="S11136" s="1"/>
      <c r="T11136" s="1"/>
      <c r="U11136" s="1"/>
      <c r="V11136" s="1"/>
      <c r="W11136" s="1"/>
      <c r="X11136" s="1"/>
      <c r="Y11136" s="1"/>
      <c r="Z11136" s="1"/>
      <c r="AA11136" s="1"/>
      <c r="AB11136" s="1"/>
    </row>
    <row r="11137" ht="50.25" customHeight="1">
      <c r="A11137" s="12">
        <v>11133.0</v>
      </c>
      <c r="B11137" s="13" t="s">
        <v>10535</v>
      </c>
      <c r="C11137" s="18" t="s">
        <v>11165</v>
      </c>
      <c r="D11137" s="1"/>
      <c r="E11137" s="1"/>
      <c r="F11137" s="1" t="str">
        <f>IFERROR(__xludf.DUMMYFUNCTION("GOOGLETRANSLATE(B11137, ""en"", ""fa"")
"),"کپی رایتینگ II")</f>
        <v>کپی رایتینگ II</v>
      </c>
      <c r="G11137" s="1" t="str">
        <f>IFERROR(__xludf.DUMMYFUNCTION("GOOGLETRANSLATE(C11137, ""en"", ""fa"")
"),"روش‌های مختلف برای استفاده از کپی CTA را بررسی کنید که به اعتراضات یا نگرانی‌هایی که ممکن است کاربران داشته باشند، اطمینان می‌دهد و بر موانع عمل غلبه می‌کند.")</f>
        <v>روش‌های مختلف برای استفاده از کپی CTA را بررسی کنید که به اعتراضات یا نگرانی‌هایی که ممکن است کاربران داشته باشند، اطمینان می‌دهد و بر موانع عمل غلبه می‌کند.</v>
      </c>
      <c r="H11137" s="1"/>
      <c r="I11137" s="1"/>
      <c r="J11137" s="1"/>
      <c r="K11137" s="1"/>
      <c r="L11137" s="1"/>
      <c r="M11137" s="1"/>
      <c r="N11137" s="1"/>
      <c r="O11137" s="1"/>
      <c r="P11137" s="1"/>
      <c r="Q11137" s="1"/>
      <c r="R11137" s="1"/>
      <c r="S11137" s="1"/>
      <c r="T11137" s="1"/>
      <c r="U11137" s="1"/>
      <c r="V11137" s="1"/>
      <c r="W11137" s="1"/>
      <c r="X11137" s="1"/>
      <c r="Y11137" s="1"/>
      <c r="Z11137" s="1"/>
      <c r="AA11137" s="1"/>
      <c r="AB11137" s="1"/>
    </row>
    <row r="11138" ht="50.25" customHeight="1">
      <c r="A11138" s="12">
        <v>11134.0</v>
      </c>
      <c r="B11138" s="13" t="s">
        <v>10535</v>
      </c>
      <c r="C11138" s="18" t="s">
        <v>11166</v>
      </c>
      <c r="D11138" s="1"/>
      <c r="E11138" s="1"/>
      <c r="F11138" s="1" t="str">
        <f>IFERROR(__xludf.DUMMYFUNCTION("GOOGLETRANSLATE(B11138, ""en"", ""fa"")
"),"کپی رایتینگ II")</f>
        <v>کپی رایتینگ II</v>
      </c>
      <c r="G11138" s="1" t="str">
        <f>IFERROR(__xludf.DUMMYFUNCTION("GOOGLETRANSLATE(C11138, ""en"", ""fa"")
"),"استراتژی‌هایی برای ایجاد CTAهای پویا و تعاملی که با رفتار کاربر سازگار شده و تجربه کاربر را شخصی‌سازی می‌کنند چیست؟")</f>
        <v>استراتژی‌هایی برای ایجاد CTAهای پویا و تعاملی که با رفتار کاربر سازگار شده و تجربه کاربر را شخصی‌سازی می‌کنند چیست؟</v>
      </c>
      <c r="H11138" s="1"/>
      <c r="I11138" s="1"/>
      <c r="J11138" s="1"/>
      <c r="K11138" s="1"/>
      <c r="L11138" s="1"/>
      <c r="M11138" s="1"/>
      <c r="N11138" s="1"/>
      <c r="O11138" s="1"/>
      <c r="P11138" s="1"/>
      <c r="Q11138" s="1"/>
      <c r="R11138" s="1"/>
      <c r="S11138" s="1"/>
      <c r="T11138" s="1"/>
      <c r="U11138" s="1"/>
      <c r="V11138" s="1"/>
      <c r="W11138" s="1"/>
      <c r="X11138" s="1"/>
      <c r="Y11138" s="1"/>
      <c r="Z11138" s="1"/>
      <c r="AA11138" s="1"/>
      <c r="AB11138" s="1"/>
    </row>
    <row r="11139" ht="50.25" customHeight="1">
      <c r="A11139" s="12">
        <v>11135.0</v>
      </c>
      <c r="B11139" s="13" t="s">
        <v>10535</v>
      </c>
      <c r="C11139" s="18" t="s">
        <v>11167</v>
      </c>
      <c r="D11139" s="1"/>
      <c r="E11139" s="1"/>
      <c r="F11139" s="1" t="str">
        <f>IFERROR(__xludf.DUMMYFUNCTION("GOOGLETRANSLATE(B11139, ""en"", ""fa"")
"),"کپی رایتینگ II")</f>
        <v>کپی رایتینگ II</v>
      </c>
      <c r="G11139" s="1" t="str">
        <f>IFERROR(__xludf.DUMMYFUNCTION("GOOGLETRANSLATE(C11139, ""en"", ""fa"")
"),"نحوه ایجاد CTAهایی که از ادغام رسانه های اجتماعی استفاده می کنند و به کاربران اجازه می دهند محتوای شما را مستقیماً از CTA به اشتراک بگذارند یا با آن درگیر شوند.")</f>
        <v>نحوه ایجاد CTAهایی که از ادغام رسانه های اجتماعی استفاده می کنند و به کاربران اجازه می دهند محتوای شما را مستقیماً از CTA به اشتراک بگذارند یا با آن درگیر شوند.</v>
      </c>
      <c r="H11139" s="1"/>
      <c r="I11139" s="1"/>
      <c r="J11139" s="1"/>
      <c r="K11139" s="1"/>
      <c r="L11139" s="1"/>
      <c r="M11139" s="1"/>
      <c r="N11139" s="1"/>
      <c r="O11139" s="1"/>
      <c r="P11139" s="1"/>
      <c r="Q11139" s="1"/>
      <c r="R11139" s="1"/>
      <c r="S11139" s="1"/>
      <c r="T11139" s="1"/>
      <c r="U11139" s="1"/>
      <c r="V11139" s="1"/>
      <c r="W11139" s="1"/>
      <c r="X11139" s="1"/>
      <c r="Y11139" s="1"/>
      <c r="Z11139" s="1"/>
      <c r="AA11139" s="1"/>
      <c r="AB11139" s="1"/>
    </row>
    <row r="11140" ht="50.25" customHeight="1">
      <c r="A11140" s="12">
        <v>11136.0</v>
      </c>
      <c r="B11140" s="13" t="s">
        <v>10535</v>
      </c>
      <c r="C11140" s="18" t="s">
        <v>11168</v>
      </c>
      <c r="D11140" s="1"/>
      <c r="E11140" s="1"/>
      <c r="F11140" s="1" t="str">
        <f>IFERROR(__xludf.DUMMYFUNCTION("GOOGLETRANSLATE(B11140, ""en"", ""fa"")
"),"کپی رایتینگ II")</f>
        <v>کپی رایتینگ II</v>
      </c>
      <c r="G11140" s="1" t="str">
        <f>IFERROR(__xludf.DUMMYFUNCTION("GOOGLETRANSLATE(C11140, ""en"", ""fa"")
"),"در مورد نقش ارتباط متنی در CTA خود بحث کنید، پیام و پیشنهاد را با محتوا یا زمینه ای که CTA در آن ارائه می شود، هماهنگ کنید.")</f>
        <v>در مورد نقش ارتباط متنی در CTA خود بحث کنید، پیام و پیشنهاد را با محتوا یا زمینه ای که CTA در آن ارائه می شود، هماهنگ کنید.</v>
      </c>
      <c r="H11140" s="1"/>
      <c r="I11140" s="1"/>
      <c r="J11140" s="1"/>
      <c r="K11140" s="1"/>
      <c r="L11140" s="1"/>
      <c r="M11140" s="1"/>
      <c r="N11140" s="1"/>
      <c r="O11140" s="1"/>
      <c r="P11140" s="1"/>
      <c r="Q11140" s="1"/>
      <c r="R11140" s="1"/>
      <c r="S11140" s="1"/>
      <c r="T11140" s="1"/>
      <c r="U11140" s="1"/>
      <c r="V11140" s="1"/>
      <c r="W11140" s="1"/>
      <c r="X11140" s="1"/>
      <c r="Y11140" s="1"/>
      <c r="Z11140" s="1"/>
      <c r="AA11140" s="1"/>
      <c r="AB11140" s="1"/>
    </row>
    <row r="11141" ht="50.25" customHeight="1">
      <c r="A11141" s="12">
        <v>11137.0</v>
      </c>
      <c r="B11141" s="13" t="s">
        <v>10535</v>
      </c>
      <c r="C11141" s="18" t="s">
        <v>11169</v>
      </c>
      <c r="D11141" s="1"/>
      <c r="E11141" s="1"/>
      <c r="F11141" s="1" t="str">
        <f>IFERROR(__xludf.DUMMYFUNCTION("GOOGLETRANSLATE(B11141, ""en"", ""fa"")
"),"کپی رایتینگ II")</f>
        <v>کپی رایتینگ II</v>
      </c>
      <c r="G11141" s="1" t="str">
        <f>IFERROR(__xludf.DUMMYFUNCTION("GOOGLETRANSLATE(C11141, ""en"", ""fa"")
"),"چگونه از تکنیک‌های متقاعدکننده کپی‌نویسی، مانند کلمات قدرتمند یا محرک‌های احساسی، در CTA خود برای افزایش نرخ کلیک استفاده کنید.")</f>
        <v>چگونه از تکنیک‌های متقاعدکننده کپی‌نویسی، مانند کلمات قدرتمند یا محرک‌های احساسی، در CTA خود برای افزایش نرخ کلیک استفاده کنید.</v>
      </c>
      <c r="H11141" s="1"/>
      <c r="I11141" s="1"/>
      <c r="J11141" s="1"/>
      <c r="K11141" s="1"/>
      <c r="L11141" s="1"/>
      <c r="M11141" s="1"/>
      <c r="N11141" s="1"/>
      <c r="O11141" s="1"/>
      <c r="P11141" s="1"/>
      <c r="Q11141" s="1"/>
      <c r="R11141" s="1"/>
      <c r="S11141" s="1"/>
      <c r="T11141" s="1"/>
      <c r="U11141" s="1"/>
      <c r="V11141" s="1"/>
      <c r="W11141" s="1"/>
      <c r="X11141" s="1"/>
      <c r="Y11141" s="1"/>
      <c r="Z11141" s="1"/>
      <c r="AA11141" s="1"/>
      <c r="AB11141" s="1"/>
    </row>
    <row r="11142" ht="50.25" customHeight="1">
      <c r="A11142" s="12">
        <v>11138.0</v>
      </c>
      <c r="B11142" s="13" t="s">
        <v>10535</v>
      </c>
      <c r="C11142" s="18" t="s">
        <v>11170</v>
      </c>
      <c r="D11142" s="1"/>
      <c r="E11142" s="1"/>
      <c r="F11142" s="1" t="str">
        <f>IFERROR(__xludf.DUMMYFUNCTION("GOOGLETRANSLATE(B11142, ""en"", ""fa"")
"),"کپی رایتینگ II")</f>
        <v>کپی رایتینگ II</v>
      </c>
      <c r="G11142" s="1" t="str">
        <f>IFERROR(__xludf.DUMMYFUNCTION("GOOGLETRANSLATE(C11142, ""en"", ""fa"")
"),"راه های مختلف برای ایجاد حس پاداش یا سود در CTA های خود را بررسی کنید و ارزشی را که کاربران با انجام اقدام مورد نظر دریافت می کنند برجسته کنید.")</f>
        <v>راه های مختلف برای ایجاد حس پاداش یا سود در CTA های خود را بررسی کنید و ارزشی را که کاربران با انجام اقدام مورد نظر دریافت می کنند برجسته کنید.</v>
      </c>
      <c r="H11142" s="1"/>
      <c r="I11142" s="1"/>
      <c r="J11142" s="1"/>
      <c r="K11142" s="1"/>
      <c r="L11142" s="1"/>
      <c r="M11142" s="1"/>
      <c r="N11142" s="1"/>
      <c r="O11142" s="1"/>
      <c r="P11142" s="1"/>
      <c r="Q11142" s="1"/>
      <c r="R11142" s="1"/>
      <c r="S11142" s="1"/>
      <c r="T11142" s="1"/>
      <c r="U11142" s="1"/>
      <c r="V11142" s="1"/>
      <c r="W11142" s="1"/>
      <c r="X11142" s="1"/>
      <c r="Y11142" s="1"/>
      <c r="Z11142" s="1"/>
      <c r="AA11142" s="1"/>
      <c r="AB11142" s="1"/>
    </row>
    <row r="11143" ht="50.25" customHeight="1">
      <c r="A11143" s="12">
        <v>11139.0</v>
      </c>
      <c r="B11143" s="13" t="s">
        <v>10535</v>
      </c>
      <c r="C11143" s="18" t="s">
        <v>11171</v>
      </c>
      <c r="D11143" s="1"/>
      <c r="E11143" s="1"/>
      <c r="F11143" s="1" t="str">
        <f>IFERROR(__xludf.DUMMYFUNCTION("GOOGLETRANSLATE(B11143, ""en"", ""fa"")
"),"کپی رایتینگ II")</f>
        <v>کپی رایتینگ II</v>
      </c>
      <c r="G11143" s="1" t="str">
        <f>IFERROR(__xludf.DUMMYFUNCTION("GOOGLETRANSLATE(C11143, ""en"", ""fa"")
"),"بهترین روش ها برای استفاده از دکمه های CTA که از نظر بصری جذاب هستند، با متن و عناصر طراحی واضح و خوانا چیست؟")</f>
        <v>بهترین روش ها برای استفاده از دکمه های CTA که از نظر بصری جذاب هستند، با متن و عناصر طراحی واضح و خوانا چیست؟</v>
      </c>
      <c r="H11143" s="1"/>
      <c r="I11143" s="1"/>
      <c r="J11143" s="1"/>
      <c r="K11143" s="1"/>
      <c r="L11143" s="1"/>
      <c r="M11143" s="1"/>
      <c r="N11143" s="1"/>
      <c r="O11143" s="1"/>
      <c r="P11143" s="1"/>
      <c r="Q11143" s="1"/>
      <c r="R11143" s="1"/>
      <c r="S11143" s="1"/>
      <c r="T11143" s="1"/>
      <c r="U11143" s="1"/>
      <c r="V11143" s="1"/>
      <c r="W11143" s="1"/>
      <c r="X11143" s="1"/>
      <c r="Y11143" s="1"/>
      <c r="Z11143" s="1"/>
      <c r="AA11143" s="1"/>
      <c r="AB11143" s="1"/>
    </row>
    <row r="11144" ht="50.25" customHeight="1">
      <c r="A11144" s="12">
        <v>11140.0</v>
      </c>
      <c r="B11144" s="13" t="s">
        <v>10535</v>
      </c>
      <c r="C11144" s="18" t="s">
        <v>11172</v>
      </c>
      <c r="D11144" s="1"/>
      <c r="E11144" s="1"/>
      <c r="F11144" s="1" t="str">
        <f>IFERROR(__xludf.DUMMYFUNCTION("GOOGLETRANSLATE(B11144, ""en"", ""fa"")
"),"کپی رایتینگ II")</f>
        <v>کپی رایتینگ II</v>
      </c>
      <c r="G11144" s="1" t="str">
        <f>IFERROR(__xludf.DUMMYFUNCTION("GOOGLETRANSLATE(C11144, ""en"", ""fa"")
"),"چگونه CTAهای خود را برای بخش‌های مختلف کاربر یا شخصیت‌های مختلف بهینه کنید، پیام‌ها را سفارشی کنید و با نیازها و ترجیحات خاص آنها مطابقت دهید.")</f>
        <v>چگونه CTAهای خود را برای بخش‌های مختلف کاربر یا شخصیت‌های مختلف بهینه کنید، پیام‌ها را سفارشی کنید و با نیازها و ترجیحات خاص آنها مطابقت دهید.</v>
      </c>
      <c r="H11144" s="1"/>
      <c r="I11144" s="1"/>
      <c r="J11144" s="1"/>
      <c r="K11144" s="1"/>
      <c r="L11144" s="1"/>
      <c r="M11144" s="1"/>
      <c r="N11144" s="1"/>
      <c r="O11144" s="1"/>
      <c r="P11144" s="1"/>
      <c r="Q11144" s="1"/>
      <c r="R11144" s="1"/>
      <c r="S11144" s="1"/>
      <c r="T11144" s="1"/>
      <c r="U11144" s="1"/>
      <c r="V11144" s="1"/>
      <c r="W11144" s="1"/>
      <c r="X11144" s="1"/>
      <c r="Y11144" s="1"/>
      <c r="Z11144" s="1"/>
      <c r="AA11144" s="1"/>
      <c r="AB11144" s="1"/>
    </row>
    <row r="11145" ht="50.25" customHeight="1">
      <c r="A11145" s="12">
        <v>11141.0</v>
      </c>
      <c r="B11145" s="13" t="s">
        <v>10535</v>
      </c>
      <c r="C11145" s="18" t="s">
        <v>11173</v>
      </c>
      <c r="D11145" s="1"/>
      <c r="E11145" s="1"/>
      <c r="F11145" s="1" t="str">
        <f>IFERROR(__xludf.DUMMYFUNCTION("GOOGLETRANSLATE(B11145, ""en"", ""fa"")
"),"کپی رایتینگ II")</f>
        <v>کپی رایتینگ II</v>
      </c>
      <c r="G11145" s="1" t="str">
        <f>IFERROR(__xludf.DUMMYFUNCTION("GOOGLETRANSLATE(C11145, ""en"", ""fa"")
"),"اهمیت استفاده از زبان فعال در CTA های خود را مورد بحث قرار دهید و کاربران را تشویق کنید تا به جای مرور غیرفعال، اقدام فوری انجام دهند.")</f>
        <v>اهمیت استفاده از زبان فعال در CTA های خود را مورد بحث قرار دهید و کاربران را تشویق کنید تا به جای مرور غیرفعال، اقدام فوری انجام دهند.</v>
      </c>
      <c r="H11145" s="1"/>
      <c r="I11145" s="1"/>
      <c r="J11145" s="1"/>
      <c r="K11145" s="1"/>
      <c r="L11145" s="1"/>
      <c r="M11145" s="1"/>
      <c r="N11145" s="1"/>
      <c r="O11145" s="1"/>
      <c r="P11145" s="1"/>
      <c r="Q11145" s="1"/>
      <c r="R11145" s="1"/>
      <c r="S11145" s="1"/>
      <c r="T11145" s="1"/>
      <c r="U11145" s="1"/>
      <c r="V11145" s="1"/>
      <c r="W11145" s="1"/>
      <c r="X11145" s="1"/>
      <c r="Y11145" s="1"/>
      <c r="Z11145" s="1"/>
      <c r="AA11145" s="1"/>
      <c r="AB11145" s="1"/>
    </row>
    <row r="11146" ht="50.25" customHeight="1">
      <c r="A11146" s="12">
        <v>11142.0</v>
      </c>
      <c r="B11146" s="13" t="s">
        <v>10535</v>
      </c>
      <c r="C11146" s="18" t="s">
        <v>11174</v>
      </c>
      <c r="D11146" s="1"/>
      <c r="E11146" s="1"/>
      <c r="F11146" s="1" t="str">
        <f>IFERROR(__xludf.DUMMYFUNCTION("GOOGLETRANSLATE(B11146, ""en"", ""fa"")
"),"کپی رایتینگ II")</f>
        <v>کپی رایتینگ II</v>
      </c>
      <c r="G11146" s="1" t="str">
        <f>IFERROR(__xludf.DUMMYFUNCTION("GOOGLETRANSLATE(C11146, ""en"", ""fa"")
"),"چگونه می توان CTAهایی ایجاد کرد که از شواهد و گواهی های اجتماعی استفاده می کند و بازخوردهای مثبت یا تأییدات مشتریان راضی را نشان می دهد.")</f>
        <v>چگونه می توان CTAهایی ایجاد کرد که از شواهد و گواهی های اجتماعی استفاده می کند و بازخوردهای مثبت یا تأییدات مشتریان راضی را نشان می دهد.</v>
      </c>
      <c r="H11146" s="1"/>
      <c r="I11146" s="1"/>
      <c r="J11146" s="1"/>
      <c r="K11146" s="1"/>
      <c r="L11146" s="1"/>
      <c r="M11146" s="1"/>
      <c r="N11146" s="1"/>
      <c r="O11146" s="1"/>
      <c r="P11146" s="1"/>
      <c r="Q11146" s="1"/>
      <c r="R11146" s="1"/>
      <c r="S11146" s="1"/>
      <c r="T11146" s="1"/>
      <c r="U11146" s="1"/>
      <c r="V11146" s="1"/>
      <c r="W11146" s="1"/>
      <c r="X11146" s="1"/>
      <c r="Y11146" s="1"/>
      <c r="Z11146" s="1"/>
      <c r="AA11146" s="1"/>
      <c r="AB11146" s="1"/>
    </row>
    <row r="11147" ht="50.25" customHeight="1">
      <c r="A11147" s="12">
        <v>11143.0</v>
      </c>
      <c r="B11147" s="13" t="s">
        <v>10535</v>
      </c>
      <c r="C11147" s="18" t="s">
        <v>11175</v>
      </c>
      <c r="D11147" s="1"/>
      <c r="E11147" s="1"/>
      <c r="F11147" s="1" t="str">
        <f>IFERROR(__xludf.DUMMYFUNCTION("GOOGLETRANSLATE(B11147, ""en"", ""fa"")
"),"کپی رایتینگ II")</f>
        <v>کپی رایتینگ II</v>
      </c>
      <c r="G11147" s="1" t="str">
        <f>IFERROR(__xludf.DUMMYFUNCTION("GOOGLETRANSLATE(C11147, ""en"", ""fa"")
"),"روش های مختلف برای استفاده از شخصی سازی و محتوای پویا در CTA های خود را بررسی کنید تا یک تجربه سفارشی برای هر کاربر ایجاد کنید.")</f>
        <v>روش های مختلف برای استفاده از شخصی سازی و محتوای پویا در CTA های خود را بررسی کنید تا یک تجربه سفارشی برای هر کاربر ایجاد کنید.</v>
      </c>
      <c r="H11147" s="1"/>
      <c r="I11147" s="1"/>
      <c r="J11147" s="1"/>
      <c r="K11147" s="1"/>
      <c r="L11147" s="1"/>
      <c r="M11147" s="1"/>
      <c r="N11147" s="1"/>
      <c r="O11147" s="1"/>
      <c r="P11147" s="1"/>
      <c r="Q11147" s="1"/>
      <c r="R11147" s="1"/>
      <c r="S11147" s="1"/>
      <c r="T11147" s="1"/>
      <c r="U11147" s="1"/>
      <c r="V11147" s="1"/>
      <c r="W11147" s="1"/>
      <c r="X11147" s="1"/>
      <c r="Y11147" s="1"/>
      <c r="Z11147" s="1"/>
      <c r="AA11147" s="1"/>
      <c r="AB11147" s="1"/>
    </row>
    <row r="11148" ht="50.25" customHeight="1">
      <c r="A11148" s="12">
        <v>11144.0</v>
      </c>
      <c r="B11148" s="13" t="s">
        <v>10535</v>
      </c>
      <c r="C11148" s="18" t="s">
        <v>11176</v>
      </c>
      <c r="D11148" s="1"/>
      <c r="E11148" s="1"/>
      <c r="F11148" s="1" t="str">
        <f>IFERROR(__xludf.DUMMYFUNCTION("GOOGLETRANSLATE(B11148, ""en"", ""fa"")
"),"کپی رایتینگ II")</f>
        <v>کپی رایتینگ II</v>
      </c>
      <c r="G11148" s="1" t="str">
        <f>IFERROR(__xludf.DUMMYFUNCTION("GOOGLETRANSLATE(C11148, ""en"", ""fa"")
"),"راهبردهایی برای ایجاد CTAهایی که با طرز فکر و هدف کاربر همسو هستند و توجه آنها را در لحظه مناسب جلب می کنند چیست؟")</f>
        <v>راهبردهایی برای ایجاد CTAهایی که با طرز فکر و هدف کاربر همسو هستند و توجه آنها را در لحظه مناسب جلب می کنند چیست؟</v>
      </c>
      <c r="H11148" s="1"/>
      <c r="I11148" s="1"/>
      <c r="J11148" s="1"/>
      <c r="K11148" s="1"/>
      <c r="L11148" s="1"/>
      <c r="M11148" s="1"/>
      <c r="N11148" s="1"/>
      <c r="O11148" s="1"/>
      <c r="P11148" s="1"/>
      <c r="Q11148" s="1"/>
      <c r="R11148" s="1"/>
      <c r="S11148" s="1"/>
      <c r="T11148" s="1"/>
      <c r="U11148" s="1"/>
      <c r="V11148" s="1"/>
      <c r="W11148" s="1"/>
      <c r="X11148" s="1"/>
      <c r="Y11148" s="1"/>
      <c r="Z11148" s="1"/>
      <c r="AA11148" s="1"/>
      <c r="AB11148" s="1"/>
    </row>
    <row r="11149" ht="50.25" customHeight="1">
      <c r="A11149" s="12">
        <v>11145.0</v>
      </c>
      <c r="B11149" s="13" t="s">
        <v>10535</v>
      </c>
      <c r="C11149" s="18" t="s">
        <v>11177</v>
      </c>
      <c r="D11149" s="1"/>
      <c r="E11149" s="1"/>
      <c r="F11149" s="1" t="str">
        <f>IFERROR(__xludf.DUMMYFUNCTION("GOOGLETRANSLATE(B11149, ""en"", ""fa"")
"),"کپی رایتینگ II")</f>
        <v>کپی رایتینگ II</v>
      </c>
      <c r="G11149" s="1" t="str">
        <f>IFERROR(__xludf.DUMMYFUNCTION("GOOGLETRANSLATE(C11149, ""en"", ""fa"")
"),"نحوه بهینه سازی قرارگیری و دید CTA های خود در دستگاه های تلفن همراه، با توجه به اندازه صفحه نمایش کوچکتر و الگوهای تعامل کاربر.")</f>
        <v>نحوه بهینه سازی قرارگیری و دید CTA های خود در دستگاه های تلفن همراه، با توجه به اندازه صفحه نمایش کوچکتر و الگوهای تعامل کاربر.</v>
      </c>
      <c r="H11149" s="1"/>
      <c r="I11149" s="1"/>
      <c r="J11149" s="1"/>
      <c r="K11149" s="1"/>
      <c r="L11149" s="1"/>
      <c r="M11149" s="1"/>
      <c r="N11149" s="1"/>
      <c r="O11149" s="1"/>
      <c r="P11149" s="1"/>
      <c r="Q11149" s="1"/>
      <c r="R11149" s="1"/>
      <c r="S11149" s="1"/>
      <c r="T11149" s="1"/>
      <c r="U11149" s="1"/>
      <c r="V11149" s="1"/>
      <c r="W11149" s="1"/>
      <c r="X11149" s="1"/>
      <c r="Y11149" s="1"/>
      <c r="Z11149" s="1"/>
      <c r="AA11149" s="1"/>
      <c r="AB11149" s="1"/>
    </row>
    <row r="11150" ht="50.25" customHeight="1">
      <c r="A11150" s="12">
        <v>11146.0</v>
      </c>
      <c r="B11150" s="13" t="s">
        <v>10535</v>
      </c>
      <c r="C11150" s="18" t="s">
        <v>11178</v>
      </c>
      <c r="D11150" s="1"/>
      <c r="E11150" s="1"/>
      <c r="F11150" s="1" t="str">
        <f>IFERROR(__xludf.DUMMYFUNCTION("GOOGLETRANSLATE(B11150, ""en"", ""fa"")
"),"کپی رایتینگ II")</f>
        <v>کپی رایتینگ II</v>
      </c>
      <c r="G11150" s="1" t="str">
        <f>IFERROR(__xludf.DUMMYFUNCTION("GOOGLETRANSLATE(C11150, ""en"", ""fa"")
"),"در مورد نقش طول و خوانایی کپی CTA بحث کنید، تعادل بین ارائه اطلاعات کافی و جلوگیری از غلبه بر کاربر را بیابید.")</f>
        <v>در مورد نقش طول و خوانایی کپی CTA بحث کنید، تعادل بین ارائه اطلاعات کافی و جلوگیری از غلبه بر کاربر را بیابید.</v>
      </c>
      <c r="H11150" s="1"/>
      <c r="I11150" s="1"/>
      <c r="J11150" s="1"/>
      <c r="K11150" s="1"/>
      <c r="L11150" s="1"/>
      <c r="M11150" s="1"/>
      <c r="N11150" s="1"/>
      <c r="O11150" s="1"/>
      <c r="P11150" s="1"/>
      <c r="Q11150" s="1"/>
      <c r="R11150" s="1"/>
      <c r="S11150" s="1"/>
      <c r="T11150" s="1"/>
      <c r="U11150" s="1"/>
      <c r="V11150" s="1"/>
      <c r="W11150" s="1"/>
      <c r="X11150" s="1"/>
      <c r="Y11150" s="1"/>
      <c r="Z11150" s="1"/>
      <c r="AA11150" s="1"/>
      <c r="AB11150" s="1"/>
    </row>
    <row r="11151" ht="50.25" customHeight="1">
      <c r="A11151" s="12">
        <v>11147.0</v>
      </c>
      <c r="B11151" s="13" t="s">
        <v>10535</v>
      </c>
      <c r="C11151" s="18" t="s">
        <v>11179</v>
      </c>
      <c r="D11151" s="1"/>
      <c r="E11151" s="1"/>
      <c r="F11151" s="1" t="str">
        <f>IFERROR(__xludf.DUMMYFUNCTION("GOOGLETRANSLATE(B11151, ""en"", ""fa"")
"),"کپی رایتینگ II")</f>
        <v>کپی رایتینگ II</v>
      </c>
      <c r="G11151" s="1" t="str">
        <f>IFERROR(__xludf.DUMMYFUNCTION("GOOGLETRANSLATE(C11151, ""en"", ""fa"")
"),"نحوه ایجاد CTAهایی که حس ارزش و سود را منتقل می کند و آنچه را که کاربران با انجام اقدامات مورد نظر به دست می آورند برجسته می کند.")</f>
        <v>نحوه ایجاد CTAهایی که حس ارزش و سود را منتقل می کند و آنچه را که کاربران با انجام اقدامات مورد نظر به دست می آورند برجسته می کند.</v>
      </c>
      <c r="H11151" s="1"/>
      <c r="I11151" s="1"/>
      <c r="J11151" s="1"/>
      <c r="K11151" s="1"/>
      <c r="L11151" s="1"/>
      <c r="M11151" s="1"/>
      <c r="N11151" s="1"/>
      <c r="O11151" s="1"/>
      <c r="P11151" s="1"/>
      <c r="Q11151" s="1"/>
      <c r="R11151" s="1"/>
      <c r="S11151" s="1"/>
      <c r="T11151" s="1"/>
      <c r="U11151" s="1"/>
      <c r="V11151" s="1"/>
      <c r="W11151" s="1"/>
      <c r="X11151" s="1"/>
      <c r="Y11151" s="1"/>
      <c r="Z11151" s="1"/>
      <c r="AA11151" s="1"/>
      <c r="AB11151" s="1"/>
    </row>
    <row r="11152" ht="50.25" customHeight="1">
      <c r="A11152" s="12">
        <v>11148.0</v>
      </c>
      <c r="B11152" s="13" t="s">
        <v>10535</v>
      </c>
      <c r="C11152" s="18" t="s">
        <v>11180</v>
      </c>
      <c r="D11152" s="1"/>
      <c r="E11152" s="1"/>
      <c r="F11152" s="1" t="str">
        <f>IFERROR(__xludf.DUMMYFUNCTION("GOOGLETRANSLATE(B11152, ""en"", ""fa"")
"),"کپی رایتینگ II")</f>
        <v>کپی رایتینگ II</v>
      </c>
      <c r="G11152" s="1" t="str">
        <f>IFERROR(__xludf.DUMMYFUNCTION("GOOGLETRANSLATE(C11152, ""en"", ""fa"")
"),"راه‌های مختلف استفاده از تعامل و تعامل رسانه‌های اجتماعی را در CTA خود کاوش کنید، که باعث می‌شود کاربران محتوای شما را لایک کنند، به اشتراک بگذارند یا درباره آن نظر بگذارند.")</f>
        <v>راه‌های مختلف استفاده از تعامل و تعامل رسانه‌های اجتماعی را در CTA خود کاوش کنید، که باعث می‌شود کاربران محتوای شما را لایک کنند، به اشتراک بگذارند یا درباره آن نظر بگذارند.</v>
      </c>
      <c r="H11152" s="1"/>
      <c r="I11152" s="1"/>
      <c r="J11152" s="1"/>
      <c r="K11152" s="1"/>
      <c r="L11152" s="1"/>
      <c r="M11152" s="1"/>
      <c r="N11152" s="1"/>
      <c r="O11152" s="1"/>
      <c r="P11152" s="1"/>
      <c r="Q11152" s="1"/>
      <c r="R11152" s="1"/>
      <c r="S11152" s="1"/>
      <c r="T11152" s="1"/>
      <c r="U11152" s="1"/>
      <c r="V11152" s="1"/>
      <c r="W11152" s="1"/>
      <c r="X11152" s="1"/>
      <c r="Y11152" s="1"/>
      <c r="Z11152" s="1"/>
      <c r="AA11152" s="1"/>
      <c r="AB11152" s="1"/>
    </row>
    <row r="11153" ht="50.25" customHeight="1">
      <c r="A11153" s="12">
        <v>11149.0</v>
      </c>
      <c r="B11153" s="13" t="s">
        <v>10535</v>
      </c>
      <c r="C11153" s="18" t="s">
        <v>11181</v>
      </c>
      <c r="D11153" s="1"/>
      <c r="E11153" s="1"/>
      <c r="F11153" s="1" t="str">
        <f>IFERROR(__xludf.DUMMYFUNCTION("GOOGLETRANSLATE(B11153, ""en"", ""fa"")
"),"کپی رایتینگ II")</f>
        <v>کپی رایتینگ II</v>
      </c>
      <c r="G11153" s="1" t="str">
        <f>IFERROR(__xludf.DUMMYFUNCTION("GOOGLETRANSLATE(C11153, ""en"", ""fa"")
"),"بهترین روش‌ها برای استفاده از دکمه‌های CTA که به راحتی قابل کلیک و لمس در دستگاه‌های تلفن همراه هستند، اصطکاک و ناامیدی کاربر را کاهش می‌دهند.")</f>
        <v>بهترین روش‌ها برای استفاده از دکمه‌های CTA که به راحتی قابل کلیک و لمس در دستگاه‌های تلفن همراه هستند، اصطکاک و ناامیدی کاربر را کاهش می‌دهند.</v>
      </c>
      <c r="H11153" s="1"/>
      <c r="I11153" s="1"/>
      <c r="J11153" s="1"/>
      <c r="K11153" s="1"/>
      <c r="L11153" s="1"/>
      <c r="M11153" s="1"/>
      <c r="N11153" s="1"/>
      <c r="O11153" s="1"/>
      <c r="P11153" s="1"/>
      <c r="Q11153" s="1"/>
      <c r="R11153" s="1"/>
      <c r="S11153" s="1"/>
      <c r="T11153" s="1"/>
      <c r="U11153" s="1"/>
      <c r="V11153" s="1"/>
      <c r="W11153" s="1"/>
      <c r="X11153" s="1"/>
      <c r="Y11153" s="1"/>
      <c r="Z11153" s="1"/>
      <c r="AA11153" s="1"/>
      <c r="AB11153" s="1"/>
    </row>
    <row r="11154" ht="50.25" customHeight="1">
      <c r="A11154" s="12">
        <v>11150.0</v>
      </c>
      <c r="B11154" s="13" t="s">
        <v>10535</v>
      </c>
      <c r="C11154" s="18" t="s">
        <v>11182</v>
      </c>
      <c r="D11154" s="1"/>
      <c r="E11154" s="1"/>
      <c r="F11154" s="1" t="str">
        <f>IFERROR(__xludf.DUMMYFUNCTION("GOOGLETRANSLATE(B11154, ""en"", ""fa"")
"),"کپی رایتینگ II")</f>
        <v>کپی رایتینگ II</v>
      </c>
      <c r="G11154" s="1" t="str">
        <f>IFERROR(__xludf.DUMMYFUNCTION("GOOGLETRANSLATE(C11154, ""en"", ""fa"")
"),"چگونه CTA های خود را برای مراحل مختلف قیف فروش بهینه کنید، پیام ها را تنظیم کنید و پیشنهاد دهید تا با سطح تعامل کاربر هماهنگ شود.")</f>
        <v>چگونه CTA های خود را برای مراحل مختلف قیف فروش بهینه کنید، پیام ها را تنظیم کنید و پیشنهاد دهید تا با سطح تعامل کاربر هماهنگ شود.</v>
      </c>
      <c r="H11154" s="1"/>
      <c r="I11154" s="1"/>
      <c r="J11154" s="1"/>
      <c r="K11154" s="1"/>
      <c r="L11154" s="1"/>
      <c r="M11154" s="1"/>
      <c r="N11154" s="1"/>
      <c r="O11154" s="1"/>
      <c r="P11154" s="1"/>
      <c r="Q11154" s="1"/>
      <c r="R11154" s="1"/>
      <c r="S11154" s="1"/>
      <c r="T11154" s="1"/>
      <c r="U11154" s="1"/>
      <c r="V11154" s="1"/>
      <c r="W11154" s="1"/>
      <c r="X11154" s="1"/>
      <c r="Y11154" s="1"/>
      <c r="Z11154" s="1"/>
      <c r="AA11154" s="1"/>
      <c r="AB11154" s="1"/>
    </row>
    <row r="11155" ht="50.25" customHeight="1">
      <c r="A11155" s="12">
        <v>11151.0</v>
      </c>
      <c r="B11155" s="13" t="s">
        <v>10535</v>
      </c>
      <c r="C11155" s="18" t="s">
        <v>11183</v>
      </c>
      <c r="D11155" s="1"/>
      <c r="E11155" s="1"/>
      <c r="F11155" s="1" t="str">
        <f>IFERROR(__xludf.DUMMYFUNCTION("GOOGLETRANSLATE(B11155, ""en"", ""fa"")
"),"کپی رایتینگ II")</f>
        <v>کپی رایتینگ II</v>
      </c>
      <c r="G11155" s="1" t="str">
        <f>IFERROR(__xludf.DUMMYFUNCTION("GOOGLETRANSLATE(C11155, ""en"", ""fa"")
"),"در مورد اهمیت قرار دادن CTA در رابطه با محتوای اطراف یا تصاویر بصری بحث کنید و از تجربه کاربری یکپارچه و بصری اطمینان حاصل کنید.")</f>
        <v>در مورد اهمیت قرار دادن CTA در رابطه با محتوای اطراف یا تصاویر بصری بحث کنید و از تجربه کاربری یکپارچه و بصری اطمینان حاصل کنید.</v>
      </c>
      <c r="H11155" s="1"/>
      <c r="I11155" s="1"/>
      <c r="J11155" s="1"/>
      <c r="K11155" s="1"/>
      <c r="L11155" s="1"/>
      <c r="M11155" s="1"/>
      <c r="N11155" s="1"/>
      <c r="O11155" s="1"/>
      <c r="P11155" s="1"/>
      <c r="Q11155" s="1"/>
      <c r="R11155" s="1"/>
      <c r="S11155" s="1"/>
      <c r="T11155" s="1"/>
      <c r="U11155" s="1"/>
      <c r="V11155" s="1"/>
      <c r="W11155" s="1"/>
      <c r="X11155" s="1"/>
      <c r="Y11155" s="1"/>
      <c r="Z11155" s="1"/>
      <c r="AA11155" s="1"/>
      <c r="AB11155" s="1"/>
    </row>
    <row r="11156" ht="50.25" customHeight="1">
      <c r="A11156" s="12">
        <v>11152.0</v>
      </c>
      <c r="B11156" s="13" t="s">
        <v>10535</v>
      </c>
      <c r="C11156" s="18" t="s">
        <v>11184</v>
      </c>
      <c r="D11156" s="1"/>
      <c r="E11156" s="1"/>
      <c r="F11156" s="1" t="str">
        <f>IFERROR(__xludf.DUMMYFUNCTION("GOOGLETRANSLATE(B11156, ""en"", ""fa"")
"),"کپی رایتینگ II")</f>
        <v>کپی رایتینگ II</v>
      </c>
      <c r="G11156" s="1" t="str">
        <f>IFERROR(__xludf.DUMMYFUNCTION("GOOGLETRANSLATE(C11156, ""en"", ""fa"")
"),"نحوه ایجاد CTAهایی که حس انحصار یا دسترسی VIP را منتقل می کند و باعث می شود کاربران احساس امتیاز و انگیزه برای اقدام کنند.")</f>
        <v>نحوه ایجاد CTAهایی که حس انحصار یا دسترسی VIP را منتقل می کند و باعث می شود کاربران احساس امتیاز و انگیزه برای اقدام کنند.</v>
      </c>
      <c r="H11156" s="1"/>
      <c r="I11156" s="1"/>
      <c r="J11156" s="1"/>
      <c r="K11156" s="1"/>
      <c r="L11156" s="1"/>
      <c r="M11156" s="1"/>
      <c r="N11156" s="1"/>
      <c r="O11156" s="1"/>
      <c r="P11156" s="1"/>
      <c r="Q11156" s="1"/>
      <c r="R11156" s="1"/>
      <c r="S11156" s="1"/>
      <c r="T11156" s="1"/>
      <c r="U11156" s="1"/>
      <c r="V11156" s="1"/>
      <c r="W11156" s="1"/>
      <c r="X11156" s="1"/>
      <c r="Y11156" s="1"/>
      <c r="Z11156" s="1"/>
      <c r="AA11156" s="1"/>
      <c r="AB11156" s="1"/>
    </row>
    <row r="11157" ht="50.25" customHeight="1">
      <c r="A11157" s="12">
        <v>11153.0</v>
      </c>
      <c r="B11157" s="13" t="s">
        <v>10535</v>
      </c>
      <c r="C11157" s="18" t="s">
        <v>11185</v>
      </c>
      <c r="D11157" s="1"/>
      <c r="E11157" s="1"/>
      <c r="F11157" s="1" t="str">
        <f>IFERROR(__xludf.DUMMYFUNCTION("GOOGLETRANSLATE(B11157, ""en"", ""fa"")
"),"کپی رایتینگ II")</f>
        <v>کپی رایتینگ II</v>
      </c>
      <c r="G11157" s="1" t="str">
        <f>IFERROR(__xludf.DUMMYFUNCTION("GOOGLETRANSLATE(C11157, ""en"", ""fa"")
"),"چگونه یک استراتژی بازاریابی محتوا ایجاد کنیم که با اهداف کسب و کار و مخاطبان هدف شما همسو باشد.")</f>
        <v>چگونه یک استراتژی بازاریابی محتوا ایجاد کنیم که با اهداف کسب و کار و مخاطبان هدف شما همسو باشد.</v>
      </c>
      <c r="H11157" s="1"/>
      <c r="I11157" s="1"/>
      <c r="J11157" s="1"/>
      <c r="K11157" s="1"/>
      <c r="L11157" s="1"/>
      <c r="M11157" s="1"/>
      <c r="N11157" s="1"/>
      <c r="O11157" s="1"/>
      <c r="P11157" s="1"/>
      <c r="Q11157" s="1"/>
      <c r="R11157" s="1"/>
      <c r="S11157" s="1"/>
      <c r="T11157" s="1"/>
      <c r="U11157" s="1"/>
      <c r="V11157" s="1"/>
      <c r="W11157" s="1"/>
      <c r="X11157" s="1"/>
      <c r="Y11157" s="1"/>
      <c r="Z11157" s="1"/>
      <c r="AA11157" s="1"/>
      <c r="AB11157" s="1"/>
    </row>
    <row r="11158" ht="50.25" customHeight="1">
      <c r="A11158" s="12">
        <v>11154.0</v>
      </c>
      <c r="B11158" s="13" t="s">
        <v>10535</v>
      </c>
      <c r="C11158" s="18" t="s">
        <v>11186</v>
      </c>
      <c r="D11158" s="1"/>
      <c r="E11158" s="1"/>
      <c r="F11158" s="1" t="str">
        <f>IFERROR(__xludf.DUMMYFUNCTION("GOOGLETRANSLATE(B11158, ""en"", ""fa"")
"),"کپی رایتینگ II")</f>
        <v>کپی رایتینگ II</v>
      </c>
      <c r="G11158" s="1" t="str">
        <f>IFERROR(__xludf.DUMMYFUNCTION("GOOGLETRANSLATE(C11158, ""en"", ""fa"")
"),"انواع مختلف قالب‌های محتوا، مانند پست‌های وبلاگ، اینفوگرافیک، ویدیو یا پادکست و اثربخشی آنها در جذب مخاطب را بررسی کنید.")</f>
        <v>انواع مختلف قالب‌های محتوا، مانند پست‌های وبلاگ، اینفوگرافیک، ویدیو یا پادکست و اثربخشی آنها در جذب مخاطب را بررسی کنید.</v>
      </c>
      <c r="H11158" s="1"/>
      <c r="I11158" s="1"/>
      <c r="J11158" s="1"/>
      <c r="K11158" s="1"/>
      <c r="L11158" s="1"/>
      <c r="M11158" s="1"/>
      <c r="N11158" s="1"/>
      <c r="O11158" s="1"/>
      <c r="P11158" s="1"/>
      <c r="Q11158" s="1"/>
      <c r="R11158" s="1"/>
      <c r="S11158" s="1"/>
      <c r="T11158" s="1"/>
      <c r="U11158" s="1"/>
      <c r="V11158" s="1"/>
      <c r="W11158" s="1"/>
      <c r="X11158" s="1"/>
      <c r="Y11158" s="1"/>
      <c r="Z11158" s="1"/>
      <c r="AA11158" s="1"/>
      <c r="AB11158" s="1"/>
    </row>
    <row r="11159" ht="50.25" customHeight="1">
      <c r="A11159" s="12">
        <v>11155.0</v>
      </c>
      <c r="B11159" s="13" t="s">
        <v>10535</v>
      </c>
      <c r="C11159" s="18" t="s">
        <v>11187</v>
      </c>
      <c r="D11159" s="1"/>
      <c r="E11159" s="1"/>
      <c r="F11159" s="1" t="str">
        <f>IFERROR(__xludf.DUMMYFUNCTION("GOOGLETRANSLATE(B11159, ""en"", ""fa"")
"),"کپی رایتینگ II")</f>
        <v>کپی رایتینگ II</v>
      </c>
      <c r="G11159" s="1" t="str">
        <f>IFERROR(__xludf.DUMMYFUNCTION("GOOGLETRANSLATE(C11159, ""en"", ""fa"")
"),"عناصر کلیدی یک عنوان محتوای قانع کننده که توجه را جلب می کند و خوانندگان را تشویق به کلیک کردن می کند چیست؟")</f>
        <v>عناصر کلیدی یک عنوان محتوای قانع کننده که توجه را جلب می کند و خوانندگان را تشویق به کلیک کردن می کند چیست؟</v>
      </c>
      <c r="H11159" s="1"/>
      <c r="I11159" s="1"/>
      <c r="J11159" s="1"/>
      <c r="K11159" s="1"/>
      <c r="L11159" s="1"/>
      <c r="M11159" s="1"/>
      <c r="N11159" s="1"/>
      <c r="O11159" s="1"/>
      <c r="P11159" s="1"/>
      <c r="Q11159" s="1"/>
      <c r="R11159" s="1"/>
      <c r="S11159" s="1"/>
      <c r="T11159" s="1"/>
      <c r="U11159" s="1"/>
      <c r="V11159" s="1"/>
      <c r="W11159" s="1"/>
      <c r="X11159" s="1"/>
      <c r="Y11159" s="1"/>
      <c r="Z11159" s="1"/>
      <c r="AA11159" s="1"/>
      <c r="AB11159" s="1"/>
    </row>
    <row r="11160" ht="50.25" customHeight="1">
      <c r="A11160" s="12">
        <v>11156.0</v>
      </c>
      <c r="B11160" s="13" t="s">
        <v>10535</v>
      </c>
      <c r="C11160" s="18" t="s">
        <v>11188</v>
      </c>
      <c r="D11160" s="1"/>
      <c r="E11160" s="1"/>
      <c r="F11160" s="1" t="str">
        <f>IFERROR(__xludf.DUMMYFUNCTION("GOOGLETRANSLATE(B11160, ""en"", ""fa"")
"),"کپی رایتینگ II")</f>
        <v>کپی رایتینگ II</v>
      </c>
      <c r="G11160" s="1" t="str">
        <f>IFERROR(__xludf.DUMMYFUNCTION("GOOGLETRANSLATE(C11160, ""en"", ""fa"")
"),"چگونه برای درک علایق، نقاط دردناک و ترجیحات بازار هدف خود برای ایجاد محتوای بسیار مرتبط، تحقیق بر روی مخاطب انجام دهید.")</f>
        <v>چگونه برای درک علایق، نقاط دردناک و ترجیحات بازار هدف خود برای ایجاد محتوای بسیار مرتبط، تحقیق بر روی مخاطب انجام دهید.</v>
      </c>
      <c r="H11160" s="1"/>
      <c r="I11160" s="1"/>
      <c r="J11160" s="1"/>
      <c r="K11160" s="1"/>
      <c r="L11160" s="1"/>
      <c r="M11160" s="1"/>
      <c r="N11160" s="1"/>
      <c r="O11160" s="1"/>
      <c r="P11160" s="1"/>
      <c r="Q11160" s="1"/>
      <c r="R11160" s="1"/>
      <c r="S11160" s="1"/>
      <c r="T11160" s="1"/>
      <c r="U11160" s="1"/>
      <c r="V11160" s="1"/>
      <c r="W11160" s="1"/>
      <c r="X11160" s="1"/>
      <c r="Y11160" s="1"/>
      <c r="Z11160" s="1"/>
      <c r="AA11160" s="1"/>
      <c r="AB11160" s="1"/>
    </row>
    <row r="11161" ht="50.25" customHeight="1">
      <c r="A11161" s="12">
        <v>11157.0</v>
      </c>
      <c r="B11161" s="13" t="s">
        <v>10535</v>
      </c>
      <c r="C11161" s="18" t="s">
        <v>11189</v>
      </c>
      <c r="D11161" s="1"/>
      <c r="E11161" s="1"/>
      <c r="F11161" s="1" t="str">
        <f>IFERROR(__xludf.DUMMYFUNCTION("GOOGLETRANSLATE(B11161, ""en"", ""fa"")
"),"کپی رایتینگ II")</f>
        <v>کپی رایتینگ II</v>
      </c>
      <c r="G11161" s="1" t="str">
        <f>IFERROR(__xludf.DUMMYFUNCTION("GOOGLETRANSLATE(C11161, ""en"", ""fa"")
"),"درباره اهمیت داستان سرایی در بازاریابی محتوا و نحوه ترکیب روایت ها برای جذب و ارتباط با مخاطبان خود بحث کنید.")</f>
        <v>درباره اهمیت داستان سرایی در بازاریابی محتوا و نحوه ترکیب روایت ها برای جذب و ارتباط با مخاطبان خود بحث کنید.</v>
      </c>
      <c r="H11161" s="1"/>
      <c r="I11161" s="1"/>
      <c r="J11161" s="1"/>
      <c r="K11161" s="1"/>
      <c r="L11161" s="1"/>
      <c r="M11161" s="1"/>
      <c r="N11161" s="1"/>
      <c r="O11161" s="1"/>
      <c r="P11161" s="1"/>
      <c r="Q11161" s="1"/>
      <c r="R11161" s="1"/>
      <c r="S11161" s="1"/>
      <c r="T11161" s="1"/>
      <c r="U11161" s="1"/>
      <c r="V11161" s="1"/>
      <c r="W11161" s="1"/>
      <c r="X11161" s="1"/>
      <c r="Y11161" s="1"/>
      <c r="Z11161" s="1"/>
      <c r="AA11161" s="1"/>
      <c r="AB11161" s="1"/>
    </row>
    <row r="11162" ht="50.25" customHeight="1">
      <c r="A11162" s="12">
        <v>11158.0</v>
      </c>
      <c r="B11162" s="13" t="s">
        <v>10535</v>
      </c>
      <c r="C11162" s="18" t="s">
        <v>11190</v>
      </c>
      <c r="D11162" s="1"/>
      <c r="E11162" s="1"/>
      <c r="F11162" s="1" t="str">
        <f>IFERROR(__xludf.DUMMYFUNCTION("GOOGLETRANSLATE(B11162, ""en"", ""fa"")
"),"کپی رایتینگ II")</f>
        <v>کپی رایتینگ II</v>
      </c>
      <c r="G11162" s="1" t="str">
        <f>IFERROR(__xludf.DUMMYFUNCTION("GOOGLETRANSLATE(C11162, ""en"", ""fa"")
"),"کانال‌های توزیع محتوا، از جمله رسانه‌های اجتماعی، خبرنامه‌های ایمیل، وبلاگ‌نویسی مهمان، یا همکاری‌های تأثیرگذار را کاوش کنید.")</f>
        <v>کانال‌های توزیع محتوا، از جمله رسانه‌های اجتماعی، خبرنامه‌های ایمیل، وبلاگ‌نویسی مهمان، یا همکاری‌های تأثیرگذار را کاوش کنید.</v>
      </c>
      <c r="H11162" s="1"/>
      <c r="I11162" s="1"/>
      <c r="J11162" s="1"/>
      <c r="K11162" s="1"/>
      <c r="L11162" s="1"/>
      <c r="M11162" s="1"/>
      <c r="N11162" s="1"/>
      <c r="O11162" s="1"/>
      <c r="P11162" s="1"/>
      <c r="Q11162" s="1"/>
      <c r="R11162" s="1"/>
      <c r="S11162" s="1"/>
      <c r="T11162" s="1"/>
      <c r="U11162" s="1"/>
      <c r="V11162" s="1"/>
      <c r="W11162" s="1"/>
      <c r="X11162" s="1"/>
      <c r="Y11162" s="1"/>
      <c r="Z11162" s="1"/>
      <c r="AA11162" s="1"/>
      <c r="AB11162" s="1"/>
    </row>
    <row r="11163" ht="50.25" customHeight="1">
      <c r="A11163" s="12">
        <v>11159.0</v>
      </c>
      <c r="B11163" s="13" t="s">
        <v>10535</v>
      </c>
      <c r="C11163" s="18" t="s">
        <v>11191</v>
      </c>
      <c r="D11163" s="1"/>
      <c r="E11163" s="1"/>
      <c r="F11163" s="1" t="str">
        <f>IFERROR(__xludf.DUMMYFUNCTION("GOOGLETRANSLATE(B11163, ""en"", ""fa"")
"),"کپی رایتینگ II")</f>
        <v>کپی رایتینگ II</v>
      </c>
      <c r="G11163" s="1" t="str">
        <f>IFERROR(__xludf.DUMMYFUNCTION("GOOGLETRANSLATE(C11163, ""en"", ""fa"")
"),"چه استراتژی هایی برای ایجاد محتوای همیشه سبز وجود دارد که در مدت طولانی برای مخاطبان شما ارزشمند و مرتبط باقی بماند؟")</f>
        <v>چه استراتژی هایی برای ایجاد محتوای همیشه سبز وجود دارد که در مدت طولانی برای مخاطبان شما ارزشمند و مرتبط باقی بماند؟</v>
      </c>
      <c r="H11163" s="1"/>
      <c r="I11163" s="1"/>
      <c r="J11163" s="1"/>
      <c r="K11163" s="1"/>
      <c r="L11163" s="1"/>
      <c r="M11163" s="1"/>
      <c r="N11163" s="1"/>
      <c r="O11163" s="1"/>
      <c r="P11163" s="1"/>
      <c r="Q11163" s="1"/>
      <c r="R11163" s="1"/>
      <c r="S11163" s="1"/>
      <c r="T11163" s="1"/>
      <c r="U11163" s="1"/>
      <c r="V11163" s="1"/>
      <c r="W11163" s="1"/>
      <c r="X11163" s="1"/>
      <c r="Y11163" s="1"/>
      <c r="Z11163" s="1"/>
      <c r="AA11163" s="1"/>
      <c r="AB11163" s="1"/>
    </row>
    <row r="11164" ht="50.25" customHeight="1">
      <c r="A11164" s="12">
        <v>11160.0</v>
      </c>
      <c r="B11164" s="13" t="s">
        <v>10535</v>
      </c>
      <c r="C11164" s="18" t="s">
        <v>11192</v>
      </c>
      <c r="D11164" s="1"/>
      <c r="E11164" s="1"/>
      <c r="F11164" s="1" t="str">
        <f>IFERROR(__xludf.DUMMYFUNCTION("GOOGLETRANSLATE(B11164, ""en"", ""fa"")
"),"کپی رایتینگ II")</f>
        <v>کپی رایتینگ II</v>
      </c>
      <c r="G11164" s="1" t="str">
        <f>IFERROR(__xludf.DUMMYFUNCTION("GOOGLETRANSLATE(C11164, ""en"", ""fa"")
"),"چگونه محتوای خود را برای موتورهای جستجو بهینه کنیم، از جمله تحقیق کلمات کلیدی، سئوی درون صفحه و تکنیک های ساخت لینک.")</f>
        <v>چگونه محتوای خود را برای موتورهای جستجو بهینه کنیم، از جمله تحقیق کلمات کلیدی، سئوی درون صفحه و تکنیک های ساخت لینک.</v>
      </c>
      <c r="H11164" s="1"/>
      <c r="I11164" s="1"/>
      <c r="J11164" s="1"/>
      <c r="K11164" s="1"/>
      <c r="L11164" s="1"/>
      <c r="M11164" s="1"/>
      <c r="N11164" s="1"/>
      <c r="O11164" s="1"/>
      <c r="P11164" s="1"/>
      <c r="Q11164" s="1"/>
      <c r="R11164" s="1"/>
      <c r="S11164" s="1"/>
      <c r="T11164" s="1"/>
      <c r="U11164" s="1"/>
      <c r="V11164" s="1"/>
      <c r="W11164" s="1"/>
      <c r="X11164" s="1"/>
      <c r="Y11164" s="1"/>
      <c r="Z11164" s="1"/>
      <c r="AA11164" s="1"/>
      <c r="AB11164" s="1"/>
    </row>
    <row r="11165" ht="50.25" customHeight="1">
      <c r="A11165" s="12">
        <v>11161.0</v>
      </c>
      <c r="B11165" s="13" t="s">
        <v>10535</v>
      </c>
      <c r="C11165" s="18" t="s">
        <v>11193</v>
      </c>
      <c r="D11165" s="1"/>
      <c r="E11165" s="1"/>
      <c r="F11165" s="1" t="str">
        <f>IFERROR(__xludf.DUMMYFUNCTION("GOOGLETRANSLATE(B11165, ""en"", ""fa"")
"),"کپی رایتینگ II")</f>
        <v>کپی رایتینگ II</v>
      </c>
      <c r="G11165" s="1" t="str">
        <f>IFERROR(__xludf.DUMMYFUNCTION("GOOGLETRANSLATE(C11165, ""en"", ""fa"")
"),"درباره نقش محتوای تولید شده توسط کاربر در بازاریابی محتوا، استفاده از توصیفات مشتری، بررسی ها یا داستان های ارسال شده توسط کاربر بحث کنید.")</f>
        <v>درباره نقش محتوای تولید شده توسط کاربر در بازاریابی محتوا، استفاده از توصیفات مشتری، بررسی ها یا داستان های ارسال شده توسط کاربر بحث کنید.</v>
      </c>
      <c r="H11165" s="1"/>
      <c r="I11165" s="1"/>
      <c r="J11165" s="1"/>
      <c r="K11165" s="1"/>
      <c r="L11165" s="1"/>
      <c r="M11165" s="1"/>
      <c r="N11165" s="1"/>
      <c r="O11165" s="1"/>
      <c r="P11165" s="1"/>
      <c r="Q11165" s="1"/>
      <c r="R11165" s="1"/>
      <c r="S11165" s="1"/>
      <c r="T11165" s="1"/>
      <c r="U11165" s="1"/>
      <c r="V11165" s="1"/>
      <c r="W11165" s="1"/>
      <c r="X11165" s="1"/>
      <c r="Y11165" s="1"/>
      <c r="Z11165" s="1"/>
      <c r="AA11165" s="1"/>
      <c r="AB11165" s="1"/>
    </row>
    <row r="11166" ht="50.25" customHeight="1">
      <c r="A11166" s="12">
        <v>11162.0</v>
      </c>
      <c r="B11166" s="13" t="s">
        <v>10535</v>
      </c>
      <c r="C11166" s="18" t="s">
        <v>11194</v>
      </c>
      <c r="D11166" s="1"/>
      <c r="E11166" s="1"/>
      <c r="F11166" s="1" t="str">
        <f>IFERROR(__xludf.DUMMYFUNCTION("GOOGLETRANSLATE(B11166, ""en"", ""fa"")
"),"کپی رایتینگ II")</f>
        <v>کپی رایتینگ II</v>
      </c>
      <c r="G11166" s="1" t="str">
        <f>IFERROR(__xludf.DUMMYFUNCTION("GOOGLETRANSLATE(C11166, ""en"", ""fa"")
"),"چگونه یک تقویم محتوا و برنامه تحریریه ایجاد کنیم تا از تحویل مداوم و به موقع محتوا به مخاطبان خود اطمینان حاصل کنیم.")</f>
        <v>چگونه یک تقویم محتوا و برنامه تحریریه ایجاد کنیم تا از تحویل مداوم و به موقع محتوا به مخاطبان خود اطمینان حاصل کنیم.</v>
      </c>
      <c r="H11166" s="1"/>
      <c r="I11166" s="1"/>
      <c r="J11166" s="1"/>
      <c r="K11166" s="1"/>
      <c r="L11166" s="1"/>
      <c r="M11166" s="1"/>
      <c r="N11166" s="1"/>
      <c r="O11166" s="1"/>
      <c r="P11166" s="1"/>
      <c r="Q11166" s="1"/>
      <c r="R11166" s="1"/>
      <c r="S11166" s="1"/>
      <c r="T11166" s="1"/>
      <c r="U11166" s="1"/>
      <c r="V11166" s="1"/>
      <c r="W11166" s="1"/>
      <c r="X11166" s="1"/>
      <c r="Y11166" s="1"/>
      <c r="Z11166" s="1"/>
      <c r="AA11166" s="1"/>
      <c r="AB11166" s="1"/>
    </row>
    <row r="11167" ht="50.25" customHeight="1">
      <c r="A11167" s="12">
        <v>11163.0</v>
      </c>
      <c r="B11167" s="13" t="s">
        <v>10535</v>
      </c>
      <c r="C11167" s="18" t="s">
        <v>11195</v>
      </c>
      <c r="D11167" s="1"/>
      <c r="E11167" s="1"/>
      <c r="F11167" s="1" t="str">
        <f>IFERROR(__xludf.DUMMYFUNCTION("GOOGLETRANSLATE(B11167, ""en"", ""fa"")
"),"کپی رایتینگ II")</f>
        <v>کپی رایتینگ II</v>
      </c>
      <c r="G11167" s="1" t="str">
        <f>IFERROR(__xludf.DUMMYFUNCTION("GOOGLETRANSLATE(C11167, ""en"", ""fa"")
"),"راه‌های مختلف را برای استفاده مجدد از محتوای موجود خود در قالب‌ها و پلتفرم‌های مختلف بررسی کنید تا دسترسی و تأثیر آن را به حداکثر برسانید.")</f>
        <v>راه‌های مختلف را برای استفاده مجدد از محتوای موجود خود در قالب‌ها و پلتفرم‌های مختلف بررسی کنید تا دسترسی و تأثیر آن را به حداکثر برسانید.</v>
      </c>
      <c r="H11167" s="1"/>
      <c r="I11167" s="1"/>
      <c r="J11167" s="1"/>
      <c r="K11167" s="1"/>
      <c r="L11167" s="1"/>
      <c r="M11167" s="1"/>
      <c r="N11167" s="1"/>
      <c r="O11167" s="1"/>
      <c r="P11167" s="1"/>
      <c r="Q11167" s="1"/>
      <c r="R11167" s="1"/>
      <c r="S11167" s="1"/>
      <c r="T11167" s="1"/>
      <c r="U11167" s="1"/>
      <c r="V11167" s="1"/>
      <c r="W11167" s="1"/>
      <c r="X11167" s="1"/>
      <c r="Y11167" s="1"/>
      <c r="Z11167" s="1"/>
      <c r="AA11167" s="1"/>
      <c r="AB11167" s="1"/>
    </row>
    <row r="11168" ht="50.25" customHeight="1">
      <c r="A11168" s="12">
        <v>11164.0</v>
      </c>
      <c r="B11168" s="13" t="s">
        <v>10535</v>
      </c>
      <c r="C11168" s="18" t="s">
        <v>11196</v>
      </c>
      <c r="D11168" s="1"/>
      <c r="E11168" s="1"/>
      <c r="F11168" s="1" t="str">
        <f>IFERROR(__xludf.DUMMYFUNCTION("GOOGLETRANSLATE(B11168, ""en"", ""fa"")
"),"کپی رایتینگ II")</f>
        <v>کپی رایتینگ II</v>
      </c>
      <c r="G11168" s="1" t="str">
        <f>IFERROR(__xludf.DUMMYFUNCTION("GOOGLETRANSLATE(C11168, ""en"", ""fa"")
"),"بهترین روش ها برای ایجاد تصاویری جذاب، مانند تصاویر، گرافیک یا ویدیوها، برای افزایش جذابیت و اشتراک گذاری محتوای شما چیست؟")</f>
        <v>بهترین روش ها برای ایجاد تصاویری جذاب، مانند تصاویر، گرافیک یا ویدیوها، برای افزایش جذابیت و اشتراک گذاری محتوای شما چیست؟</v>
      </c>
      <c r="H11168" s="1"/>
      <c r="I11168" s="1"/>
      <c r="J11168" s="1"/>
      <c r="K11168" s="1"/>
      <c r="L11168" s="1"/>
      <c r="M11168" s="1"/>
      <c r="N11168" s="1"/>
      <c r="O11168" s="1"/>
      <c r="P11168" s="1"/>
      <c r="Q11168" s="1"/>
      <c r="R11168" s="1"/>
      <c r="S11168" s="1"/>
      <c r="T11168" s="1"/>
      <c r="U11168" s="1"/>
      <c r="V11168" s="1"/>
      <c r="W11168" s="1"/>
      <c r="X11168" s="1"/>
      <c r="Y11168" s="1"/>
      <c r="Z11168" s="1"/>
      <c r="AA11168" s="1"/>
      <c r="AB11168" s="1"/>
    </row>
    <row r="11169" ht="50.25" customHeight="1">
      <c r="A11169" s="12">
        <v>11165.0</v>
      </c>
      <c r="B11169" s="13" t="s">
        <v>10535</v>
      </c>
      <c r="C11169" s="18" t="s">
        <v>11197</v>
      </c>
      <c r="D11169" s="1"/>
      <c r="E11169" s="1"/>
      <c r="F11169" s="1" t="str">
        <f>IFERROR(__xludf.DUMMYFUNCTION("GOOGLETRANSLATE(B11169, ""en"", ""fa"")
"),"کپی رایتینگ II")</f>
        <v>کپی رایتینگ II</v>
      </c>
      <c r="G11169" s="1" t="str">
        <f>IFERROR(__xludf.DUMMYFUNCTION("GOOGLETRANSLATE(C11169, ""en"", ""fa"")
"),"نحوه استفاده از داده ها و تجزیه و تحلیل ها برای اندازه گیری عملکرد محتوای خود و تصمیم گیری های مبتنی بر داده برای بهینه سازی.")</f>
        <v>نحوه استفاده از داده ها و تجزیه و تحلیل ها برای اندازه گیری عملکرد محتوای خود و تصمیم گیری های مبتنی بر داده برای بهینه سازی.</v>
      </c>
      <c r="H11169" s="1"/>
      <c r="I11169" s="1"/>
      <c r="J11169" s="1"/>
      <c r="K11169" s="1"/>
      <c r="L11169" s="1"/>
      <c r="M11169" s="1"/>
      <c r="N11169" s="1"/>
      <c r="O11169" s="1"/>
      <c r="P11169" s="1"/>
      <c r="Q11169" s="1"/>
      <c r="R11169" s="1"/>
      <c r="S11169" s="1"/>
      <c r="T11169" s="1"/>
      <c r="U11169" s="1"/>
      <c r="V11169" s="1"/>
      <c r="W11169" s="1"/>
      <c r="X11169" s="1"/>
      <c r="Y11169" s="1"/>
      <c r="Z11169" s="1"/>
      <c r="AA11169" s="1"/>
      <c r="AB11169" s="1"/>
    </row>
    <row r="11170" ht="50.25" customHeight="1">
      <c r="A11170" s="12">
        <v>11166.0</v>
      </c>
      <c r="B11170" s="13" t="s">
        <v>10535</v>
      </c>
      <c r="C11170" s="18" t="s">
        <v>11198</v>
      </c>
      <c r="D11170" s="1"/>
      <c r="E11170" s="1"/>
      <c r="F11170" s="1" t="str">
        <f>IFERROR(__xludf.DUMMYFUNCTION("GOOGLETRANSLATE(B11170, ""en"", ""fa"")
"),"کپی رایتینگ II")</f>
        <v>کپی رایتینگ II</v>
      </c>
      <c r="G11170" s="1" t="str">
        <f>IFERROR(__xludf.DUMMYFUNCTION("GOOGLETRANSLATE(C11170, ""en"", ""fa"")
"),"در مورد اهمیت ایجاد محتوایی که به درد مخاطبان شما می پردازد و راه حل ها یا بینش های ارزشمندی ارائه می دهد، بحث کنید.")</f>
        <v>در مورد اهمیت ایجاد محتوایی که به درد مخاطبان شما می پردازد و راه حل ها یا بینش های ارزشمندی ارائه می دهد، بحث کنید.</v>
      </c>
      <c r="H11170" s="1"/>
      <c r="I11170" s="1"/>
      <c r="J11170" s="1"/>
      <c r="K11170" s="1"/>
      <c r="L11170" s="1"/>
      <c r="M11170" s="1"/>
      <c r="N11170" s="1"/>
      <c r="O11170" s="1"/>
      <c r="P11170" s="1"/>
      <c r="Q11170" s="1"/>
      <c r="R11170" s="1"/>
      <c r="S11170" s="1"/>
      <c r="T11170" s="1"/>
      <c r="U11170" s="1"/>
      <c r="V11170" s="1"/>
      <c r="W11170" s="1"/>
      <c r="X11170" s="1"/>
      <c r="Y11170" s="1"/>
      <c r="Z11170" s="1"/>
      <c r="AA11170" s="1"/>
      <c r="AB11170" s="1"/>
    </row>
    <row r="11171" ht="50.25" customHeight="1">
      <c r="A11171" s="12">
        <v>11167.0</v>
      </c>
      <c r="B11171" s="13" t="s">
        <v>10535</v>
      </c>
      <c r="C11171" s="18" t="s">
        <v>11199</v>
      </c>
      <c r="D11171" s="1"/>
      <c r="E11171" s="1"/>
      <c r="F11171" s="1" t="str">
        <f>IFERROR(__xludf.DUMMYFUNCTION("GOOGLETRANSLATE(B11171, ""en"", ""fa"")
"),"کپی رایتینگ II")</f>
        <v>کپی رایتینگ II</v>
      </c>
      <c r="G11171" s="1" t="str">
        <f>IFERROR(__xludf.DUMMYFUNCTION("GOOGLETRANSLATE(C11171, ""en"", ""fa"")
"),"چگونه از پلتفرم‌های رسانه‌های اجتماعی برای تبلیغ و توزیع مؤثر محتوای خود، تعامل با مخاطبان و ایجاد یک دنبال‌کننده وفادار استفاده کنید.")</f>
        <v>چگونه از پلتفرم‌های رسانه‌های اجتماعی برای تبلیغ و توزیع مؤثر محتوای خود، تعامل با مخاطبان و ایجاد یک دنبال‌کننده وفادار استفاده کنید.</v>
      </c>
      <c r="H11171" s="1"/>
      <c r="I11171" s="1"/>
      <c r="J11171" s="1"/>
      <c r="K11171" s="1"/>
      <c r="L11171" s="1"/>
      <c r="M11171" s="1"/>
      <c r="N11171" s="1"/>
      <c r="O11171" s="1"/>
      <c r="P11171" s="1"/>
      <c r="Q11171" s="1"/>
      <c r="R11171" s="1"/>
      <c r="S11171" s="1"/>
      <c r="T11171" s="1"/>
      <c r="U11171" s="1"/>
      <c r="V11171" s="1"/>
      <c r="W11171" s="1"/>
      <c r="X11171" s="1"/>
      <c r="Y11171" s="1"/>
      <c r="Z11171" s="1"/>
      <c r="AA11171" s="1"/>
      <c r="AB11171" s="1"/>
    </row>
    <row r="11172" ht="50.25" customHeight="1">
      <c r="A11172" s="12">
        <v>11168.0</v>
      </c>
      <c r="B11172" s="13" t="s">
        <v>10535</v>
      </c>
      <c r="C11172" s="18" t="s">
        <v>11200</v>
      </c>
      <c r="D11172" s="1"/>
      <c r="E11172" s="1"/>
      <c r="F11172" s="1" t="str">
        <f>IFERROR(__xludf.DUMMYFUNCTION("GOOGLETRANSLATE(B11172, ""en"", ""fa"")
"),"کپی رایتینگ II")</f>
        <v>کپی رایتینگ II</v>
      </c>
      <c r="G11172" s="1" t="str">
        <f>IFERROR(__xludf.DUMMYFUNCTION("GOOGLETRANSLATE(C11172, ""en"", ""fa"")
"),"استراتژی‌های مختلف برای ایجاد ارتقاء محتوا، مانند راهنماهای قابل دانلود، قالب‌ها، یا چک لیست‌ها را برای جذب سرنخ‌ها و رشد فهرست ایمیل خود کاوش کنید.")</f>
        <v>استراتژی‌های مختلف برای ایجاد ارتقاء محتوا، مانند راهنماهای قابل دانلود، قالب‌ها، یا چک لیست‌ها را برای جذب سرنخ‌ها و رشد فهرست ایمیل خود کاوش کنید.</v>
      </c>
      <c r="H11172" s="1"/>
      <c r="I11172" s="1"/>
      <c r="J11172" s="1"/>
      <c r="K11172" s="1"/>
      <c r="L11172" s="1"/>
      <c r="M11172" s="1"/>
      <c r="N11172" s="1"/>
      <c r="O11172" s="1"/>
      <c r="P11172" s="1"/>
      <c r="Q11172" s="1"/>
      <c r="R11172" s="1"/>
      <c r="S11172" s="1"/>
      <c r="T11172" s="1"/>
      <c r="U11172" s="1"/>
      <c r="V11172" s="1"/>
      <c r="W11172" s="1"/>
      <c r="X11172" s="1"/>
      <c r="Y11172" s="1"/>
      <c r="Z11172" s="1"/>
      <c r="AA11172" s="1"/>
      <c r="AB11172" s="1"/>
    </row>
    <row r="11173" ht="50.25" customHeight="1">
      <c r="A11173" s="12">
        <v>11169.0</v>
      </c>
      <c r="B11173" s="13" t="s">
        <v>10535</v>
      </c>
      <c r="C11173" s="18" t="s">
        <v>11201</v>
      </c>
      <c r="D11173" s="1"/>
      <c r="E11173" s="1"/>
      <c r="F11173" s="1" t="str">
        <f>IFERROR(__xludf.DUMMYFUNCTION("GOOGLETRANSLATE(B11173, ""en"", ""fa"")
"),"کپی رایتینگ II")</f>
        <v>کپی رایتینگ II</v>
      </c>
      <c r="G11173" s="1" t="str">
        <f>IFERROR(__xludf.DUMMYFUNCTION("GOOGLETRANSLATE(C11173, ""en"", ""fa"")
"),"تکنیک های انجام تحلیل رقبا در بازاریابی محتوا برای شناسایی فرصت ها و متمایز کردن برند شما چیست؟")</f>
        <v>تکنیک های انجام تحلیل رقبا در بازاریابی محتوا برای شناسایی فرصت ها و متمایز کردن برند شما چیست؟</v>
      </c>
      <c r="H11173" s="1"/>
      <c r="I11173" s="1"/>
      <c r="J11173" s="1"/>
      <c r="K11173" s="1"/>
      <c r="L11173" s="1"/>
      <c r="M11173" s="1"/>
      <c r="N11173" s="1"/>
      <c r="O11173" s="1"/>
      <c r="P11173" s="1"/>
      <c r="Q11173" s="1"/>
      <c r="R11173" s="1"/>
      <c r="S11173" s="1"/>
      <c r="T11173" s="1"/>
      <c r="U11173" s="1"/>
      <c r="V11173" s="1"/>
      <c r="W11173" s="1"/>
      <c r="X11173" s="1"/>
      <c r="Y11173" s="1"/>
      <c r="Z11173" s="1"/>
      <c r="AA11173" s="1"/>
      <c r="AB11173" s="1"/>
    </row>
    <row r="11174" ht="50.25" customHeight="1">
      <c r="A11174" s="12">
        <v>11170.0</v>
      </c>
      <c r="B11174" s="13" t="s">
        <v>10535</v>
      </c>
      <c r="C11174" s="18" t="s">
        <v>11202</v>
      </c>
      <c r="D11174" s="1"/>
      <c r="E11174" s="1"/>
      <c r="F11174" s="1" t="str">
        <f>IFERROR(__xludf.DUMMYFUNCTION("GOOGLETRANSLATE(B11174, ""en"", ""fa"")
"),"کپی رایتینگ II")</f>
        <v>کپی رایتینگ II</v>
      </c>
      <c r="G11174" s="1" t="str">
        <f>IFERROR(__xludf.DUMMYFUNCTION("GOOGLETRANSLATE(C11174, ""en"", ""fa"")
"),"چگونه می‌توان مقدمه‌ها و قلاب‌هایی قانع‌کننده ایجاد کرد که توجه خوانندگان را به خود جلب کرده و آن‌ها را برای ادامه خواندن محتوای شما ترغیب کرد.")</f>
        <v>چگونه می‌توان مقدمه‌ها و قلاب‌هایی قانع‌کننده ایجاد کرد که توجه خوانندگان را به خود جلب کرده و آن‌ها را برای ادامه خواندن محتوای شما ترغیب کرد.</v>
      </c>
      <c r="H11174" s="1"/>
      <c r="I11174" s="1"/>
      <c r="J11174" s="1"/>
      <c r="K11174" s="1"/>
      <c r="L11174" s="1"/>
      <c r="M11174" s="1"/>
      <c r="N11174" s="1"/>
      <c r="O11174" s="1"/>
      <c r="P11174" s="1"/>
      <c r="Q11174" s="1"/>
      <c r="R11174" s="1"/>
      <c r="S11174" s="1"/>
      <c r="T11174" s="1"/>
      <c r="U11174" s="1"/>
      <c r="V11174" s="1"/>
      <c r="W11174" s="1"/>
      <c r="X11174" s="1"/>
      <c r="Y11174" s="1"/>
      <c r="Z11174" s="1"/>
      <c r="AA11174" s="1"/>
      <c r="AB11174" s="1"/>
    </row>
    <row r="11175" ht="50.25" customHeight="1">
      <c r="A11175" s="12">
        <v>11171.0</v>
      </c>
      <c r="B11175" s="13" t="s">
        <v>10535</v>
      </c>
      <c r="C11175" s="18" t="s">
        <v>11203</v>
      </c>
      <c r="D11175" s="1"/>
      <c r="E11175" s="1"/>
      <c r="F11175" s="1" t="str">
        <f>IFERROR(__xludf.DUMMYFUNCTION("GOOGLETRANSLATE(B11175, ""en"", ""fa"")
"),"کپی رایتینگ II")</f>
        <v>کپی رایتینگ II</v>
      </c>
      <c r="G11175" s="1" t="str">
        <f>IFERROR(__xludf.DUMMYFUNCTION("GOOGLETRANSLATE(C11175, ""en"", ""fa"")
"),"در مورد نقش اینفلوئنسر مارکتینگ در ارتقای محتوا، همکاری با کارشناسان صنعت یا رهبران فکری برای تقویت دسترسی خود بحث کنید.")</f>
        <v>در مورد نقش اینفلوئنسر مارکتینگ در ارتقای محتوا، همکاری با کارشناسان صنعت یا رهبران فکری برای تقویت دسترسی خود بحث کنید.</v>
      </c>
      <c r="H11175" s="1"/>
      <c r="I11175" s="1"/>
      <c r="J11175" s="1"/>
      <c r="K11175" s="1"/>
      <c r="L11175" s="1"/>
      <c r="M11175" s="1"/>
      <c r="N11175" s="1"/>
      <c r="O11175" s="1"/>
      <c r="P11175" s="1"/>
      <c r="Q11175" s="1"/>
      <c r="R11175" s="1"/>
      <c r="S11175" s="1"/>
      <c r="T11175" s="1"/>
      <c r="U11175" s="1"/>
      <c r="V11175" s="1"/>
      <c r="W11175" s="1"/>
      <c r="X11175" s="1"/>
      <c r="Y11175" s="1"/>
      <c r="Z11175" s="1"/>
      <c r="AA11175" s="1"/>
      <c r="AB11175" s="1"/>
    </row>
    <row r="11176" ht="50.25" customHeight="1">
      <c r="A11176" s="12">
        <v>11172.0</v>
      </c>
      <c r="B11176" s="13" t="s">
        <v>10535</v>
      </c>
      <c r="C11176" s="18" t="s">
        <v>11204</v>
      </c>
      <c r="D11176" s="1"/>
      <c r="E11176" s="1"/>
      <c r="F11176" s="1" t="str">
        <f>IFERROR(__xludf.DUMMYFUNCTION("GOOGLETRANSLATE(B11176, ""en"", ""fa"")
"),"کپی رایتینگ II")</f>
        <v>کپی رایتینگ II</v>
      </c>
      <c r="G11176" s="1" t="str">
        <f>IFERROR(__xludf.DUMMYFUNCTION("GOOGLETRANSLATE(C11176, ""en"", ""fa"")
"),"چگونه از تکنیک‌های داستان‌گویی، مانند توسعه شخصیت یا قوس‌های روایی برای درگیر شدن و طنین‌اندازی با مخاطبان خود استفاده کنید.")</f>
        <v>چگونه از تکنیک‌های داستان‌گویی، مانند توسعه شخصیت یا قوس‌های روایی برای درگیر شدن و طنین‌اندازی با مخاطبان خود استفاده کنید.</v>
      </c>
      <c r="H11176" s="1"/>
      <c r="I11176" s="1"/>
      <c r="J11176" s="1"/>
      <c r="K11176" s="1"/>
      <c r="L11176" s="1"/>
      <c r="M11176" s="1"/>
      <c r="N11176" s="1"/>
      <c r="O11176" s="1"/>
      <c r="P11176" s="1"/>
      <c r="Q11176" s="1"/>
      <c r="R11176" s="1"/>
      <c r="S11176" s="1"/>
      <c r="T11176" s="1"/>
      <c r="U11176" s="1"/>
      <c r="V11176" s="1"/>
      <c r="W11176" s="1"/>
      <c r="X11176" s="1"/>
      <c r="Y11176" s="1"/>
      <c r="Z11176" s="1"/>
      <c r="AA11176" s="1"/>
      <c r="AB11176" s="1"/>
    </row>
    <row r="11177" ht="50.25" customHeight="1">
      <c r="A11177" s="12">
        <v>11173.0</v>
      </c>
      <c r="B11177" s="13" t="s">
        <v>10535</v>
      </c>
      <c r="C11177" s="18" t="s">
        <v>11205</v>
      </c>
      <c r="D11177" s="1"/>
      <c r="E11177" s="1"/>
      <c r="F11177" s="1" t="str">
        <f>IFERROR(__xludf.DUMMYFUNCTION("GOOGLETRANSLATE(B11177, ""en"", ""fa"")
"),"کپی رایتینگ II")</f>
        <v>کپی رایتینگ II</v>
      </c>
      <c r="G11177" s="1" t="str">
        <f>IFERROR(__xludf.DUMMYFUNCTION("GOOGLETRANSLATE(C11177, ""en"", ""fa"")
"),"راه‌های مختلف برای گنجاندن عناصر چندرسانه‌ای، مانند صدا یا ویدیو، در محتوای خود را بررسی کنید تا تعامل و تعامل آن را افزایش دهید.")</f>
        <v>راه‌های مختلف برای گنجاندن عناصر چندرسانه‌ای، مانند صدا یا ویدیو، در محتوای خود را بررسی کنید تا تعامل و تعامل آن را افزایش دهید.</v>
      </c>
      <c r="H11177" s="1"/>
      <c r="I11177" s="1"/>
      <c r="J11177" s="1"/>
      <c r="K11177" s="1"/>
      <c r="L11177" s="1"/>
      <c r="M11177" s="1"/>
      <c r="N11177" s="1"/>
      <c r="O11177" s="1"/>
      <c r="P11177" s="1"/>
      <c r="Q11177" s="1"/>
      <c r="R11177" s="1"/>
      <c r="S11177" s="1"/>
      <c r="T11177" s="1"/>
      <c r="U11177" s="1"/>
      <c r="V11177" s="1"/>
      <c r="W11177" s="1"/>
      <c r="X11177" s="1"/>
      <c r="Y11177" s="1"/>
      <c r="Z11177" s="1"/>
      <c r="AA11177" s="1"/>
      <c r="AB11177" s="1"/>
    </row>
    <row r="11178" ht="50.25" customHeight="1">
      <c r="A11178" s="12">
        <v>11174.0</v>
      </c>
      <c r="B11178" s="13" t="s">
        <v>10535</v>
      </c>
      <c r="C11178" s="18" t="s">
        <v>11206</v>
      </c>
      <c r="D11178" s="1"/>
      <c r="E11178" s="1"/>
      <c r="F11178" s="1" t="str">
        <f>IFERROR(__xludf.DUMMYFUNCTION("GOOGLETRANSLATE(B11178, ""en"", ""fa"")
"),"کپی رایتینگ II")</f>
        <v>کپی رایتینگ II</v>
      </c>
      <c r="G11178" s="1" t="str">
        <f>IFERROR(__xludf.DUMMYFUNCTION("GOOGLETRANSLATE(C11178, ""en"", ""fa"")
"),"با توجه به طراحی واکنش‌گرا، قالب‌بندی سازگار با موبایل و سرعت بارگذاری، چه استراتژی‌هایی برای بهینه‌سازی محتوای شما برای دستگاه‌های تلفن همراه وجود دارد؟")</f>
        <v>با توجه به طراحی واکنش‌گرا، قالب‌بندی سازگار با موبایل و سرعت بارگذاری، چه استراتژی‌هایی برای بهینه‌سازی محتوای شما برای دستگاه‌های تلفن همراه وجود دارد؟</v>
      </c>
      <c r="H11178" s="1"/>
      <c r="I11178" s="1"/>
      <c r="J11178" s="1"/>
      <c r="K11178" s="1"/>
      <c r="L11178" s="1"/>
      <c r="M11178" s="1"/>
      <c r="N11178" s="1"/>
      <c r="O11178" s="1"/>
      <c r="P11178" s="1"/>
      <c r="Q11178" s="1"/>
      <c r="R11178" s="1"/>
      <c r="S11178" s="1"/>
      <c r="T11178" s="1"/>
      <c r="U11178" s="1"/>
      <c r="V11178" s="1"/>
      <c r="W11178" s="1"/>
      <c r="X11178" s="1"/>
      <c r="Y11178" s="1"/>
      <c r="Z11178" s="1"/>
      <c r="AA11178" s="1"/>
      <c r="AB11178" s="1"/>
    </row>
    <row r="11179" ht="50.25" customHeight="1">
      <c r="A11179" s="12">
        <v>11175.0</v>
      </c>
      <c r="B11179" s="13" t="s">
        <v>10535</v>
      </c>
      <c r="C11179" s="18" t="s">
        <v>11207</v>
      </c>
      <c r="D11179" s="1"/>
      <c r="E11179" s="1"/>
      <c r="F11179" s="1" t="str">
        <f>IFERROR(__xludf.DUMMYFUNCTION("GOOGLETRANSLATE(B11179, ""en"", ""fa"")
"),"کپی رایتینگ II")</f>
        <v>کپی رایتینگ II</v>
      </c>
      <c r="G11179" s="1" t="str">
        <f>IFERROR(__xludf.DUMMYFUNCTION("GOOGLETRANSLATE(C11179, ""en"", ""fa"")
"),"چگونه می‌توان محتوای قابل اشتراک‌گذاری ایجاد کرد که خوانندگان را تشویق می‌کند تا از طریق اشتراک‌گذاری اجتماعی یا ارجاع‌های دهان به دهان، اخبار را منتشر کنند.")</f>
        <v>چگونه می‌توان محتوای قابل اشتراک‌گذاری ایجاد کرد که خوانندگان را تشویق می‌کند تا از طریق اشتراک‌گذاری اجتماعی یا ارجاع‌های دهان به دهان، اخبار را منتشر کنند.</v>
      </c>
      <c r="H11179" s="1"/>
      <c r="I11179" s="1"/>
      <c r="J11179" s="1"/>
      <c r="K11179" s="1"/>
      <c r="L11179" s="1"/>
      <c r="M11179" s="1"/>
      <c r="N11179" s="1"/>
      <c r="O11179" s="1"/>
      <c r="P11179" s="1"/>
      <c r="Q11179" s="1"/>
      <c r="R11179" s="1"/>
      <c r="S11179" s="1"/>
      <c r="T11179" s="1"/>
      <c r="U11179" s="1"/>
      <c r="V11179" s="1"/>
      <c r="W11179" s="1"/>
      <c r="X11179" s="1"/>
      <c r="Y11179" s="1"/>
      <c r="Z11179" s="1"/>
      <c r="AA11179" s="1"/>
      <c r="AB11179" s="1"/>
    </row>
    <row r="11180" ht="50.25" customHeight="1">
      <c r="A11180" s="12">
        <v>11176.0</v>
      </c>
      <c r="B11180" s="13" t="s">
        <v>10535</v>
      </c>
      <c r="C11180" s="18" t="s">
        <v>11208</v>
      </c>
      <c r="D11180" s="1"/>
      <c r="E11180" s="1"/>
      <c r="F11180" s="1" t="str">
        <f>IFERROR(__xludf.DUMMYFUNCTION("GOOGLETRANSLATE(B11180, ""en"", ""fa"")
"),"کپی رایتینگ II")</f>
        <v>کپی رایتینگ II</v>
      </c>
      <c r="G11180" s="1" t="str">
        <f>IFERROR(__xludf.DUMMYFUNCTION("GOOGLETRANSLATE(C11180, ""en"", ""fa"")
"),"در مورد اهمیت ایجاد یک لیست ایمیل و استفاده از بازاریابی ایمیلی برای تقویت روابط و هدایت ترافیک به محتوای خود بحث کنید.")</f>
        <v>در مورد اهمیت ایجاد یک لیست ایمیل و استفاده از بازاریابی ایمیلی برای تقویت روابط و هدایت ترافیک به محتوای خود بحث کنید.</v>
      </c>
      <c r="H11180" s="1"/>
      <c r="I11180" s="1"/>
      <c r="J11180" s="1"/>
      <c r="K11180" s="1"/>
      <c r="L11180" s="1"/>
      <c r="M11180" s="1"/>
      <c r="N11180" s="1"/>
      <c r="O11180" s="1"/>
      <c r="P11180" s="1"/>
      <c r="Q11180" s="1"/>
      <c r="R11180" s="1"/>
      <c r="S11180" s="1"/>
      <c r="T11180" s="1"/>
      <c r="U11180" s="1"/>
      <c r="V11180" s="1"/>
      <c r="W11180" s="1"/>
      <c r="X11180" s="1"/>
      <c r="Y11180" s="1"/>
      <c r="Z11180" s="1"/>
      <c r="AA11180" s="1"/>
      <c r="AB11180" s="1"/>
    </row>
    <row r="11181" ht="50.25" customHeight="1">
      <c r="A11181" s="12">
        <v>11177.0</v>
      </c>
      <c r="B11181" s="13" t="s">
        <v>10535</v>
      </c>
      <c r="C11181" s="18" t="s">
        <v>11209</v>
      </c>
      <c r="D11181" s="1"/>
      <c r="E11181" s="1"/>
      <c r="F11181" s="1" t="str">
        <f>IFERROR(__xludf.DUMMYFUNCTION("GOOGLETRANSLATE(B11181, ""en"", ""fa"")
"),"کپی رایتینگ II")</f>
        <v>کپی رایتینگ II</v>
      </c>
      <c r="G11181" s="1" t="str">
        <f>IFERROR(__xludf.DUMMYFUNCTION("GOOGLETRANSLATE(C11181, ""en"", ""fa"")
"),"چگونه از بازخورد و نظرات کاربران برای بهبود محتوای خود و رفع نیازها و علایق مخاطبان خود استفاده کنید.")</f>
        <v>چگونه از بازخورد و نظرات کاربران برای بهبود محتوای خود و رفع نیازها و علایق مخاطبان خود استفاده کنید.</v>
      </c>
      <c r="H11181" s="1"/>
      <c r="I11181" s="1"/>
      <c r="J11181" s="1"/>
      <c r="K11181" s="1"/>
      <c r="L11181" s="1"/>
      <c r="M11181" s="1"/>
      <c r="N11181" s="1"/>
      <c r="O11181" s="1"/>
      <c r="P11181" s="1"/>
      <c r="Q11181" s="1"/>
      <c r="R11181" s="1"/>
      <c r="S11181" s="1"/>
      <c r="T11181" s="1"/>
      <c r="U11181" s="1"/>
      <c r="V11181" s="1"/>
      <c r="W11181" s="1"/>
      <c r="X11181" s="1"/>
      <c r="Y11181" s="1"/>
      <c r="Z11181" s="1"/>
      <c r="AA11181" s="1"/>
      <c r="AB11181" s="1"/>
    </row>
    <row r="11182" ht="50.25" customHeight="1">
      <c r="A11182" s="12">
        <v>11178.0</v>
      </c>
      <c r="B11182" s="13" t="s">
        <v>10535</v>
      </c>
      <c r="C11182" s="18" t="s">
        <v>11210</v>
      </c>
      <c r="D11182" s="1"/>
      <c r="E11182" s="1"/>
      <c r="F11182" s="1" t="str">
        <f>IFERROR(__xludf.DUMMYFUNCTION("GOOGLETRANSLATE(B11182, ""en"", ""fa"")
"),"کپی رایتینگ II")</f>
        <v>کپی رایتینگ II</v>
      </c>
      <c r="G11182" s="1" t="str">
        <f>IFERROR(__xludf.DUMMYFUNCTION("GOOGLETRANSLATE(C11182, ""en"", ""fa"")
"),"روش‌های مختلف را برای ایجاد سرفصل‌ها، زیرعنوان‌ها و نقاط گلوله جذابی که خوانایی و پویش‌پذیری محتوای شما را افزایش می‌دهند، بررسی کنید.")</f>
        <v>روش‌های مختلف را برای ایجاد سرفصل‌ها، زیرعنوان‌ها و نقاط گلوله جذابی که خوانایی و پویش‌پذیری محتوای شما را افزایش می‌دهند، بررسی کنید.</v>
      </c>
      <c r="H11182" s="1"/>
      <c r="I11182" s="1"/>
      <c r="J11182" s="1"/>
      <c r="K11182" s="1"/>
      <c r="L11182" s="1"/>
      <c r="M11182" s="1"/>
      <c r="N11182" s="1"/>
      <c r="O11182" s="1"/>
      <c r="P11182" s="1"/>
      <c r="Q11182" s="1"/>
      <c r="R11182" s="1"/>
      <c r="S11182" s="1"/>
      <c r="T11182" s="1"/>
      <c r="U11182" s="1"/>
      <c r="V11182" s="1"/>
      <c r="W11182" s="1"/>
      <c r="X11182" s="1"/>
      <c r="Y11182" s="1"/>
      <c r="Z11182" s="1"/>
      <c r="AA11182" s="1"/>
      <c r="AB11182" s="1"/>
    </row>
    <row r="11183" ht="50.25" customHeight="1">
      <c r="A11183" s="12">
        <v>11179.0</v>
      </c>
      <c r="B11183" s="13" t="s">
        <v>10535</v>
      </c>
      <c r="C11183" s="18" t="s">
        <v>11211</v>
      </c>
      <c r="D11183" s="1"/>
      <c r="E11183" s="1"/>
      <c r="F11183" s="1" t="str">
        <f>IFERROR(__xludf.DUMMYFUNCTION("GOOGLETRANSLATE(B11183, ""en"", ""fa"")
"),"کپی رایتینگ II")</f>
        <v>کپی رایتینگ II</v>
      </c>
      <c r="G11183" s="1" t="str">
        <f>IFERROR(__xludf.DUMMYFUNCTION("GOOGLETRANSLATE(C11183, ""en"", ""fa"")
"),"بهترین روش ها برای انجام تحقیقات کلمات کلیدی و گنجاندن کلمات کلیدی مرتبط در محتوای خود برای بهبود دید موتورهای جستجو چیست؟")</f>
        <v>بهترین روش ها برای انجام تحقیقات کلمات کلیدی و گنجاندن کلمات کلیدی مرتبط در محتوای خود برای بهبود دید موتورهای جستجو چیست؟</v>
      </c>
      <c r="H11183" s="1"/>
      <c r="I11183" s="1"/>
      <c r="J11183" s="1"/>
      <c r="K11183" s="1"/>
      <c r="L11183" s="1"/>
      <c r="M11183" s="1"/>
      <c r="N11183" s="1"/>
      <c r="O11183" s="1"/>
      <c r="P11183" s="1"/>
      <c r="Q11183" s="1"/>
      <c r="R11183" s="1"/>
      <c r="S11183" s="1"/>
      <c r="T11183" s="1"/>
      <c r="U11183" s="1"/>
      <c r="V11183" s="1"/>
      <c r="W11183" s="1"/>
      <c r="X11183" s="1"/>
      <c r="Y11183" s="1"/>
      <c r="Z11183" s="1"/>
      <c r="AA11183" s="1"/>
      <c r="AB11183" s="1"/>
    </row>
    <row r="11184" ht="50.25" customHeight="1">
      <c r="A11184" s="12">
        <v>11180.0</v>
      </c>
      <c r="B11184" s="13" t="s">
        <v>10535</v>
      </c>
      <c r="C11184" s="18" t="s">
        <v>11212</v>
      </c>
      <c r="D11184" s="1"/>
      <c r="E11184" s="1"/>
      <c r="F11184" s="1" t="str">
        <f>IFERROR(__xludf.DUMMYFUNCTION("GOOGLETRANSLATE(B11184, ""en"", ""fa"")
"),"کپی رایتینگ II")</f>
        <v>کپی رایتینگ II</v>
      </c>
      <c r="G11184" s="1" t="str">
        <f>IFERROR(__xludf.DUMMYFUNCTION("GOOGLETRANSLATE(C11184, ""en"", ""fa"")
"),"چگونه می توان عناصر سئو دوستانه مانند متا تگ ها، تگ های alt یا لینک های داخلی را برای بهینه سازی محتوای خود برای موتورهای جستجو ترکیب کرد.")</f>
        <v>چگونه می توان عناصر سئو دوستانه مانند متا تگ ها، تگ های alt یا لینک های داخلی را برای بهینه سازی محتوای خود برای موتورهای جستجو ترکیب کرد.</v>
      </c>
      <c r="H11184" s="1"/>
      <c r="I11184" s="1"/>
      <c r="J11184" s="1"/>
      <c r="K11184" s="1"/>
      <c r="L11184" s="1"/>
      <c r="M11184" s="1"/>
      <c r="N11184" s="1"/>
      <c r="O11184" s="1"/>
      <c r="P11184" s="1"/>
      <c r="Q11184" s="1"/>
      <c r="R11184" s="1"/>
      <c r="S11184" s="1"/>
      <c r="T11184" s="1"/>
      <c r="U11184" s="1"/>
      <c r="V11184" s="1"/>
      <c r="W11184" s="1"/>
      <c r="X11184" s="1"/>
      <c r="Y11184" s="1"/>
      <c r="Z11184" s="1"/>
      <c r="AA11184" s="1"/>
      <c r="AB11184" s="1"/>
    </row>
    <row r="11185" ht="50.25" customHeight="1">
      <c r="A11185" s="12">
        <v>11181.0</v>
      </c>
      <c r="B11185" s="13" t="s">
        <v>10535</v>
      </c>
      <c r="C11185" s="18" t="s">
        <v>11213</v>
      </c>
      <c r="D11185" s="1"/>
      <c r="E11185" s="1"/>
      <c r="F11185" s="1" t="str">
        <f>IFERROR(__xludf.DUMMYFUNCTION("GOOGLETRANSLATE(B11185, ""en"", ""fa"")
"),"کپی رایتینگ II")</f>
        <v>کپی رایتینگ II</v>
      </c>
      <c r="G11185" s="1" t="str">
        <f>IFERROR(__xludf.DUMMYFUNCTION("GOOGLETRANSLATE(C11185, ""en"", ""fa"")
"),"در مورد نقش مدیریت محتوا در استراتژی خود، منبع یابی و به اشتراک گذاری محتوای مرتبط از سایر کارشناسان صنعت برای ارائه ارزش به مخاطبان خود بحث کنید.")</f>
        <v>در مورد نقش مدیریت محتوا در استراتژی خود، منبع یابی و به اشتراک گذاری محتوای مرتبط از سایر کارشناسان صنعت برای ارائه ارزش به مخاطبان خود بحث کنید.</v>
      </c>
      <c r="H11185" s="1"/>
      <c r="I11185" s="1"/>
      <c r="J11185" s="1"/>
      <c r="K11185" s="1"/>
      <c r="L11185" s="1"/>
      <c r="M11185" s="1"/>
      <c r="N11185" s="1"/>
      <c r="O11185" s="1"/>
      <c r="P11185" s="1"/>
      <c r="Q11185" s="1"/>
      <c r="R11185" s="1"/>
      <c r="S11185" s="1"/>
      <c r="T11185" s="1"/>
      <c r="U11185" s="1"/>
      <c r="V11185" s="1"/>
      <c r="W11185" s="1"/>
      <c r="X11185" s="1"/>
      <c r="Y11185" s="1"/>
      <c r="Z11185" s="1"/>
      <c r="AA11185" s="1"/>
      <c r="AB11185" s="1"/>
    </row>
    <row r="11186" ht="50.25" customHeight="1">
      <c r="A11186" s="12">
        <v>11182.0</v>
      </c>
      <c r="B11186" s="13" t="s">
        <v>10535</v>
      </c>
      <c r="C11186" s="18" t="s">
        <v>11214</v>
      </c>
      <c r="D11186" s="1"/>
      <c r="E11186" s="1"/>
      <c r="F11186" s="1" t="str">
        <f>IFERROR(__xludf.DUMMYFUNCTION("GOOGLETRANSLATE(B11186, ""en"", ""fa"")
"),"کپی رایتینگ II")</f>
        <v>کپی رایتینگ II</v>
      </c>
      <c r="G11186" s="1" t="str">
        <f>IFERROR(__xludf.DUMMYFUNCTION("GOOGLETRANSLATE(C11186, ""en"", ""fa"")
"),"نحوه ایجاد خوشه های محتوا یا صفحات ستونی که پوشش جامعی از یک موضوع خاص ارائه می دهند و اعتبار سئو را افزایش می دهند.")</f>
        <v>نحوه ایجاد خوشه های محتوا یا صفحات ستونی که پوشش جامعی از یک موضوع خاص ارائه می دهند و اعتبار سئو را افزایش می دهند.</v>
      </c>
      <c r="H11186" s="1"/>
      <c r="I11186" s="1"/>
      <c r="J11186" s="1"/>
      <c r="K11186" s="1"/>
      <c r="L11186" s="1"/>
      <c r="M11186" s="1"/>
      <c r="N11186" s="1"/>
      <c r="O11186" s="1"/>
      <c r="P11186" s="1"/>
      <c r="Q11186" s="1"/>
      <c r="R11186" s="1"/>
      <c r="S11186" s="1"/>
      <c r="T11186" s="1"/>
      <c r="U11186" s="1"/>
      <c r="V11186" s="1"/>
      <c r="W11186" s="1"/>
      <c r="X11186" s="1"/>
      <c r="Y11186" s="1"/>
      <c r="Z11186" s="1"/>
      <c r="AA11186" s="1"/>
      <c r="AB11186" s="1"/>
    </row>
    <row r="11187" ht="50.25" customHeight="1">
      <c r="A11187" s="12">
        <v>11183.0</v>
      </c>
      <c r="B11187" s="13" t="s">
        <v>10535</v>
      </c>
      <c r="C11187" s="18" t="s">
        <v>11215</v>
      </c>
      <c r="D11187" s="1"/>
      <c r="E11187" s="1"/>
      <c r="F11187" s="1" t="str">
        <f>IFERROR(__xludf.DUMMYFUNCTION("GOOGLETRANSLATE(B11187, ""en"", ""fa"")
"),"کپی رایتینگ II")</f>
        <v>کپی رایتینگ II</v>
      </c>
      <c r="G11187" s="1" t="str">
        <f>IFERROR(__xludf.DUMMYFUNCTION("GOOGLETRANSLATE(C11187, ""en"", ""fa"")
"),"استراتژی‌های مختلف برای تولید ایده‌های محتوا، از جمله طوفان فکری، تحلیل روند صنعت، یا بازخورد بازخورد مشتری را بررسی کنید.")</f>
        <v>استراتژی‌های مختلف برای تولید ایده‌های محتوا، از جمله طوفان فکری، تحلیل روند صنعت، یا بازخورد بازخورد مشتری را بررسی کنید.</v>
      </c>
      <c r="H11187" s="1"/>
      <c r="I11187" s="1"/>
      <c r="J11187" s="1"/>
      <c r="K11187" s="1"/>
      <c r="L11187" s="1"/>
      <c r="M11187" s="1"/>
      <c r="N11187" s="1"/>
      <c r="O11187" s="1"/>
      <c r="P11187" s="1"/>
      <c r="Q11187" s="1"/>
      <c r="R11187" s="1"/>
      <c r="S11187" s="1"/>
      <c r="T11187" s="1"/>
      <c r="U11187" s="1"/>
      <c r="V11187" s="1"/>
      <c r="W11187" s="1"/>
      <c r="X11187" s="1"/>
      <c r="Y11187" s="1"/>
      <c r="Z11187" s="1"/>
      <c r="AA11187" s="1"/>
      <c r="AB11187" s="1"/>
    </row>
    <row r="11188" ht="50.25" customHeight="1">
      <c r="A11188" s="12">
        <v>11184.0</v>
      </c>
      <c r="B11188" s="13" t="s">
        <v>10535</v>
      </c>
      <c r="C11188" s="18" t="s">
        <v>11216</v>
      </c>
      <c r="D11188" s="1"/>
      <c r="E11188" s="1"/>
      <c r="F11188" s="1" t="str">
        <f>IFERROR(__xludf.DUMMYFUNCTION("GOOGLETRANSLATE(B11188, ""en"", ""fa"")
"),"کپی رایتینگ II")</f>
        <v>کپی رایتینگ II</v>
      </c>
      <c r="G11188" s="1" t="str">
        <f>IFERROR(__xludf.DUMMYFUNCTION("GOOGLETRANSLATE(C11188, ""en"", ""fa"")
"),"تکنیک‌هایی برای ایجاد فراخوان‌های اقدام قانع‌کننده (CTA) در محتوای شما برای ایجاد کنش‌ها یا تبدیل‌های مورد نظر کاربر چیست؟")</f>
        <v>تکنیک‌هایی برای ایجاد فراخوان‌های اقدام قانع‌کننده (CTA) در محتوای شما برای ایجاد کنش‌ها یا تبدیل‌های مورد نظر کاربر چیست؟</v>
      </c>
      <c r="H11188" s="1"/>
      <c r="I11188" s="1"/>
      <c r="J11188" s="1"/>
      <c r="K11188" s="1"/>
      <c r="L11188" s="1"/>
      <c r="M11188" s="1"/>
      <c r="N11188" s="1"/>
      <c r="O11188" s="1"/>
      <c r="P11188" s="1"/>
      <c r="Q11188" s="1"/>
      <c r="R11188" s="1"/>
      <c r="S11188" s="1"/>
      <c r="T11188" s="1"/>
      <c r="U11188" s="1"/>
      <c r="V11188" s="1"/>
      <c r="W11188" s="1"/>
      <c r="X11188" s="1"/>
      <c r="Y11188" s="1"/>
      <c r="Z11188" s="1"/>
      <c r="AA11188" s="1"/>
      <c r="AB11188" s="1"/>
    </row>
    <row r="11189" ht="50.25" customHeight="1">
      <c r="A11189" s="12">
        <v>11185.0</v>
      </c>
      <c r="B11189" s="13" t="s">
        <v>10535</v>
      </c>
      <c r="C11189" s="18" t="s">
        <v>11217</v>
      </c>
      <c r="D11189" s="1"/>
      <c r="E11189" s="1"/>
      <c r="F11189" s="1" t="str">
        <f>IFERROR(__xludf.DUMMYFUNCTION("GOOGLETRANSLATE(B11189, ""en"", ""fa"")
"),"کپی رایتینگ II")</f>
        <v>کپی رایتینگ II</v>
      </c>
      <c r="G11189" s="1" t="str">
        <f>IFERROR(__xludf.DUMMYFUNCTION("GOOGLETRANSLATE(C11189, ""en"", ""fa"")
"),"چگونه محتوایی ایجاد کنیم که با شخصیت های مختلف خریداران طنین انداز شود و به نقاط درد و انگیزه های منحصر به فرد آنها بپردازد.")</f>
        <v>چگونه محتوایی ایجاد کنیم که با شخصیت های مختلف خریداران طنین انداز شود و به نقاط درد و انگیزه های منحصر به فرد آنها بپردازد.</v>
      </c>
      <c r="H11189" s="1"/>
      <c r="I11189" s="1"/>
      <c r="J11189" s="1"/>
      <c r="K11189" s="1"/>
      <c r="L11189" s="1"/>
      <c r="M11189" s="1"/>
      <c r="N11189" s="1"/>
      <c r="O11189" s="1"/>
      <c r="P11189" s="1"/>
      <c r="Q11189" s="1"/>
      <c r="R11189" s="1"/>
      <c r="S11189" s="1"/>
      <c r="T11189" s="1"/>
      <c r="U11189" s="1"/>
      <c r="V11189" s="1"/>
      <c r="W11189" s="1"/>
      <c r="X11189" s="1"/>
      <c r="Y11189" s="1"/>
      <c r="Z11189" s="1"/>
      <c r="AA11189" s="1"/>
      <c r="AB11189" s="1"/>
    </row>
    <row r="11190" ht="50.25" customHeight="1">
      <c r="A11190" s="12">
        <v>11186.0</v>
      </c>
      <c r="B11190" s="13" t="s">
        <v>10535</v>
      </c>
      <c r="C11190" s="18" t="s">
        <v>11218</v>
      </c>
      <c r="D11190" s="1"/>
      <c r="E11190" s="1"/>
      <c r="F11190" s="1" t="str">
        <f>IFERROR(__xludf.DUMMYFUNCTION("GOOGLETRANSLATE(B11190, ""en"", ""fa"")
"),"کپی رایتینگ II")</f>
        <v>کپی رایتینگ II</v>
      </c>
      <c r="G11190" s="1" t="str">
        <f>IFERROR(__xludf.DUMMYFUNCTION("GOOGLETRANSLATE(C11190, ""en"", ""fa"")
"),"در مورد اهمیت انجام ممیزی محتوا برای ارزیابی عملکرد و ارتباط محتوای موجود خود و اتخاذ تصمیمات آگاهانه برای بهبود بحث کنید.")</f>
        <v>در مورد اهمیت انجام ممیزی محتوا برای ارزیابی عملکرد و ارتباط محتوای موجود خود و اتخاذ تصمیمات آگاهانه برای بهبود بحث کنید.</v>
      </c>
      <c r="H11190" s="1"/>
      <c r="I11190" s="1"/>
      <c r="J11190" s="1"/>
      <c r="K11190" s="1"/>
      <c r="L11190" s="1"/>
      <c r="M11190" s="1"/>
      <c r="N11190" s="1"/>
      <c r="O11190" s="1"/>
      <c r="P11190" s="1"/>
      <c r="Q11190" s="1"/>
      <c r="R11190" s="1"/>
      <c r="S11190" s="1"/>
      <c r="T11190" s="1"/>
      <c r="U11190" s="1"/>
      <c r="V11190" s="1"/>
      <c r="W11190" s="1"/>
      <c r="X11190" s="1"/>
      <c r="Y11190" s="1"/>
      <c r="Z11190" s="1"/>
      <c r="AA11190" s="1"/>
      <c r="AB11190" s="1"/>
    </row>
    <row r="11191" ht="50.25" customHeight="1">
      <c r="A11191" s="12">
        <v>11187.0</v>
      </c>
      <c r="B11191" s="13" t="s">
        <v>10535</v>
      </c>
      <c r="C11191" s="18" t="s">
        <v>11219</v>
      </c>
      <c r="D11191" s="1"/>
      <c r="E11191" s="1"/>
      <c r="F11191" s="1" t="str">
        <f>IFERROR(__xludf.DUMMYFUNCTION("GOOGLETRANSLATE(B11191, ""en"", ""fa"")
"),"کپی رایتینگ II")</f>
        <v>کپی رایتینگ II</v>
      </c>
      <c r="G11191" s="1" t="str">
        <f>IFERROR(__xludf.DUMMYFUNCTION("GOOGLETRANSLATE(C11191, ""en"", ""fa"")
"),"چگونه از شواهد اجتماعی و توصیفات در محتوای خود برای ایجاد اعتماد و اعتبار در بین مخاطبان خود استفاده کنید.")</f>
        <v>چگونه از شواهد اجتماعی و توصیفات در محتوای خود برای ایجاد اعتماد و اعتبار در بین مخاطبان خود استفاده کنید.</v>
      </c>
      <c r="H11191" s="1"/>
      <c r="I11191" s="1"/>
      <c r="J11191" s="1"/>
      <c r="K11191" s="1"/>
      <c r="L11191" s="1"/>
      <c r="M11191" s="1"/>
      <c r="N11191" s="1"/>
      <c r="O11191" s="1"/>
      <c r="P11191" s="1"/>
      <c r="Q11191" s="1"/>
      <c r="R11191" s="1"/>
      <c r="S11191" s="1"/>
      <c r="T11191" s="1"/>
      <c r="U11191" s="1"/>
      <c r="V11191" s="1"/>
      <c r="W11191" s="1"/>
      <c r="X11191" s="1"/>
      <c r="Y11191" s="1"/>
      <c r="Z11191" s="1"/>
      <c r="AA11191" s="1"/>
      <c r="AB11191" s="1"/>
    </row>
    <row r="11192" ht="50.25" customHeight="1">
      <c r="A11192" s="12">
        <v>11188.0</v>
      </c>
      <c r="B11192" s="13" t="s">
        <v>10535</v>
      </c>
      <c r="C11192" s="18" t="s">
        <v>11220</v>
      </c>
      <c r="D11192" s="1"/>
      <c r="E11192" s="1"/>
      <c r="F11192" s="1" t="str">
        <f>IFERROR(__xludf.DUMMYFUNCTION("GOOGLETRANSLATE(B11192, ""en"", ""fa"")
"),"کپی رایتینگ II")</f>
        <v>کپی رایتینگ II</v>
      </c>
      <c r="G11192" s="1" t="str">
        <f>IFERROR(__xludf.DUMMYFUNCTION("GOOGLETRANSLATE(C11192, ""en"", ""fa"")
"),"راه های مختلف برای گنجاندن داستان سرایی بصری در محتوای خود، با استفاده از تصاویر، تصاویر، یا ویدیوها برای تقویت روایت کاوش کنید.")</f>
        <v>راه های مختلف برای گنجاندن داستان سرایی بصری در محتوای خود، با استفاده از تصاویر، تصاویر، یا ویدیوها برای تقویت روایت کاوش کنید.</v>
      </c>
      <c r="H11192" s="1"/>
      <c r="I11192" s="1"/>
      <c r="J11192" s="1"/>
      <c r="K11192" s="1"/>
      <c r="L11192" s="1"/>
      <c r="M11192" s="1"/>
      <c r="N11192" s="1"/>
      <c r="O11192" s="1"/>
      <c r="P11192" s="1"/>
      <c r="Q11192" s="1"/>
      <c r="R11192" s="1"/>
      <c r="S11192" s="1"/>
      <c r="T11192" s="1"/>
      <c r="U11192" s="1"/>
      <c r="V11192" s="1"/>
      <c r="W11192" s="1"/>
      <c r="X11192" s="1"/>
      <c r="Y11192" s="1"/>
      <c r="Z11192" s="1"/>
      <c r="AA11192" s="1"/>
      <c r="AB11192" s="1"/>
    </row>
    <row r="11193" ht="50.25" customHeight="1">
      <c r="A11193" s="12">
        <v>11189.0</v>
      </c>
      <c r="B11193" s="13" t="s">
        <v>10535</v>
      </c>
      <c r="C11193" s="18" t="s">
        <v>11221</v>
      </c>
      <c r="D11193" s="1"/>
      <c r="E11193" s="1"/>
      <c r="F11193" s="1" t="str">
        <f>IFERROR(__xludf.DUMMYFUNCTION("GOOGLETRANSLATE(B11193, ""en"", ""fa"")
"),"کپی رایتینگ II")</f>
        <v>کپی رایتینگ II</v>
      </c>
      <c r="G11193" s="1" t="str">
        <f>IFERROR(__xludf.DUMMYFUNCTION("GOOGLETRANSLATE(C11193, ""en"", ""fa"")
"),"چه استراتژی هایی برای ایجاد محتوایی وجود دارد که به مخاطبان شما آموزش می دهد و ارزش ارائه می کند و برند شما را به عنوان یک مرجع معتبر در صنعت قرار می دهد؟")</f>
        <v>چه استراتژی هایی برای ایجاد محتوایی وجود دارد که به مخاطبان شما آموزش می دهد و ارزش ارائه می کند و برند شما را به عنوان یک مرجع معتبر در صنعت قرار می دهد؟</v>
      </c>
      <c r="H11193" s="1"/>
      <c r="I11193" s="1"/>
      <c r="J11193" s="1"/>
      <c r="K11193" s="1"/>
      <c r="L11193" s="1"/>
      <c r="M11193" s="1"/>
      <c r="N11193" s="1"/>
      <c r="O11193" s="1"/>
      <c r="P11193" s="1"/>
      <c r="Q11193" s="1"/>
      <c r="R11193" s="1"/>
      <c r="S11193" s="1"/>
      <c r="T11193" s="1"/>
      <c r="U11193" s="1"/>
      <c r="V11193" s="1"/>
      <c r="W11193" s="1"/>
      <c r="X11193" s="1"/>
      <c r="Y11193" s="1"/>
      <c r="Z11193" s="1"/>
      <c r="AA11193" s="1"/>
      <c r="AB11193" s="1"/>
    </row>
    <row r="11194" ht="50.25" customHeight="1">
      <c r="A11194" s="12">
        <v>11190.0</v>
      </c>
      <c r="B11194" s="13" t="s">
        <v>10535</v>
      </c>
      <c r="C11194" s="18" t="s">
        <v>11222</v>
      </c>
      <c r="D11194" s="1"/>
      <c r="E11194" s="1"/>
      <c r="F11194" s="1" t="str">
        <f>IFERROR(__xludf.DUMMYFUNCTION("GOOGLETRANSLATE(B11194, ""en"", ""fa"")
"),"کپی رایتینگ II")</f>
        <v>کپی رایتینگ II</v>
      </c>
      <c r="G11194" s="1" t="str">
        <f>IFERROR(__xludf.DUMMYFUNCTION("GOOGLETRANSLATE(C11194, ""en"", ""fa"")
"),"نحوه بهینه سازی محتوای خود برای جستجوی صوتی، با در نظر گرفتن جستارهای زبان طبیعی و الگوهای جستجوی مکالمه.")</f>
        <v>نحوه بهینه سازی محتوای خود برای جستجوی صوتی، با در نظر گرفتن جستارهای زبان طبیعی و الگوهای جستجوی مکالمه.</v>
      </c>
      <c r="H11194" s="1"/>
      <c r="I11194" s="1"/>
      <c r="J11194" s="1"/>
      <c r="K11194" s="1"/>
      <c r="L11194" s="1"/>
      <c r="M11194" s="1"/>
      <c r="N11194" s="1"/>
      <c r="O11194" s="1"/>
      <c r="P11194" s="1"/>
      <c r="Q11194" s="1"/>
      <c r="R11194" s="1"/>
      <c r="S11194" s="1"/>
      <c r="T11194" s="1"/>
      <c r="U11194" s="1"/>
      <c r="V11194" s="1"/>
      <c r="W11194" s="1"/>
      <c r="X11194" s="1"/>
      <c r="Y11194" s="1"/>
      <c r="Z11194" s="1"/>
      <c r="AA11194" s="1"/>
      <c r="AB11194" s="1"/>
    </row>
    <row r="11195" ht="50.25" customHeight="1">
      <c r="A11195" s="12">
        <v>11191.0</v>
      </c>
      <c r="B11195" s="13" t="s">
        <v>10535</v>
      </c>
      <c r="C11195" s="18" t="s">
        <v>11223</v>
      </c>
      <c r="D11195" s="1"/>
      <c r="E11195" s="1"/>
      <c r="F11195" s="1" t="str">
        <f>IFERROR(__xludf.DUMMYFUNCTION("GOOGLETRANSLATE(B11195, ""en"", ""fa"")
"),"کپی رایتینگ II")</f>
        <v>کپی رایتینگ II</v>
      </c>
      <c r="G11195" s="1" t="str">
        <f>IFERROR(__xludf.DUMMYFUNCTION("GOOGLETRANSLATE(C11195, ""en"", ""fa"")
"),"درباره نقش شخصی‌سازی محتوا و تقسیم‌بندی در مناسب‌سازی پیام‌های خود برای بخش‌های خاص مخاطب و بهبود تعامل بحث کنید.")</f>
        <v>درباره نقش شخصی‌سازی محتوا و تقسیم‌بندی در مناسب‌سازی پیام‌های خود برای بخش‌های خاص مخاطب و بهبود تعامل بحث کنید.</v>
      </c>
      <c r="H11195" s="1"/>
      <c r="I11195" s="1"/>
      <c r="J11195" s="1"/>
      <c r="K11195" s="1"/>
      <c r="L11195" s="1"/>
      <c r="M11195" s="1"/>
      <c r="N11195" s="1"/>
      <c r="O11195" s="1"/>
      <c r="P11195" s="1"/>
      <c r="Q11195" s="1"/>
      <c r="R11195" s="1"/>
      <c r="S11195" s="1"/>
      <c r="T11195" s="1"/>
      <c r="U11195" s="1"/>
      <c r="V11195" s="1"/>
      <c r="W11195" s="1"/>
      <c r="X11195" s="1"/>
      <c r="Y11195" s="1"/>
      <c r="Z11195" s="1"/>
      <c r="AA11195" s="1"/>
      <c r="AB11195" s="1"/>
    </row>
    <row r="11196" ht="50.25" customHeight="1">
      <c r="A11196" s="12">
        <v>11192.0</v>
      </c>
      <c r="B11196" s="13" t="s">
        <v>10535</v>
      </c>
      <c r="C11196" s="18" t="s">
        <v>11224</v>
      </c>
      <c r="D11196" s="1"/>
      <c r="E11196" s="1"/>
      <c r="F11196" s="1" t="str">
        <f>IFERROR(__xludf.DUMMYFUNCTION("GOOGLETRANSLATE(B11196, ""en"", ""fa"")
"),"کپی رایتینگ II")</f>
        <v>کپی رایتینگ II</v>
      </c>
      <c r="G11196" s="1" t="str">
        <f>IFERROR(__xludf.DUMMYFUNCTION("GOOGLETRANSLATE(C11196, ""en"", ""fa"")
"),"چگونه محتوایی ایجاد کنیم که تعامل مخاطب را تقویت کند و خوانندگان را تشویق کند نظرات خود را بگذارند، نظرات خود را به اشتراک بگذارند یا در بحث ها شرکت کنند.")</f>
        <v>چگونه محتوایی ایجاد کنیم که تعامل مخاطب را تقویت کند و خوانندگان را تشویق کند نظرات خود را بگذارند، نظرات خود را به اشتراک بگذارند یا در بحث ها شرکت کنند.</v>
      </c>
      <c r="H11196" s="1"/>
      <c r="I11196" s="1"/>
      <c r="J11196" s="1"/>
      <c r="K11196" s="1"/>
      <c r="L11196" s="1"/>
      <c r="M11196" s="1"/>
      <c r="N11196" s="1"/>
      <c r="O11196" s="1"/>
      <c r="P11196" s="1"/>
      <c r="Q11196" s="1"/>
      <c r="R11196" s="1"/>
      <c r="S11196" s="1"/>
      <c r="T11196" s="1"/>
      <c r="U11196" s="1"/>
      <c r="V11196" s="1"/>
      <c r="W11196" s="1"/>
      <c r="X11196" s="1"/>
      <c r="Y11196" s="1"/>
      <c r="Z11196" s="1"/>
      <c r="AA11196" s="1"/>
      <c r="AB11196" s="1"/>
    </row>
    <row r="11197" ht="50.25" customHeight="1">
      <c r="A11197" s="12">
        <v>11193.0</v>
      </c>
      <c r="B11197" s="13" t="s">
        <v>10535</v>
      </c>
      <c r="C11197" s="18" t="s">
        <v>11225</v>
      </c>
      <c r="D11197" s="1"/>
      <c r="E11197" s="1"/>
      <c r="F11197" s="1" t="str">
        <f>IFERROR(__xludf.DUMMYFUNCTION("GOOGLETRANSLATE(B11197, ""en"", ""fa"")
"),"کپی رایتینگ II")</f>
        <v>کپی رایتینگ II</v>
      </c>
      <c r="G11197" s="1" t="str">
        <f>IFERROR(__xludf.DUMMYFUNCTION("GOOGLETRANSLATE(C11197, ""en"", ""fa"")
"),"روش‌های مختلف برای بهینه‌سازی محتوای خود برای اشتراک‌گذاری اجتماعی، از جمله استفاده از دکمه‌های اشتراک‌گذاری اجتماعی، تصاویر جذاب بصری، یا زیرنویس‌های جذاب را بررسی کنید.")</f>
        <v>روش‌های مختلف برای بهینه‌سازی محتوای خود برای اشتراک‌گذاری اجتماعی، از جمله استفاده از دکمه‌های اشتراک‌گذاری اجتماعی، تصاویر جذاب بصری، یا زیرنویس‌های جذاب را بررسی کنید.</v>
      </c>
      <c r="H11197" s="1"/>
      <c r="I11197" s="1"/>
      <c r="J11197" s="1"/>
      <c r="K11197" s="1"/>
      <c r="L11197" s="1"/>
      <c r="M11197" s="1"/>
      <c r="N11197" s="1"/>
      <c r="O11197" s="1"/>
      <c r="P11197" s="1"/>
      <c r="Q11197" s="1"/>
      <c r="R11197" s="1"/>
      <c r="S11197" s="1"/>
      <c r="T11197" s="1"/>
      <c r="U11197" s="1"/>
      <c r="V11197" s="1"/>
      <c r="W11197" s="1"/>
      <c r="X11197" s="1"/>
      <c r="Y11197" s="1"/>
      <c r="Z11197" s="1"/>
      <c r="AA11197" s="1"/>
      <c r="AB11197" s="1"/>
    </row>
    <row r="11198" ht="50.25" customHeight="1">
      <c r="A11198" s="12">
        <v>11194.0</v>
      </c>
      <c r="B11198" s="13" t="s">
        <v>10535</v>
      </c>
      <c r="C11198" s="18" t="s">
        <v>11226</v>
      </c>
      <c r="D11198" s="1"/>
      <c r="E11198" s="1"/>
      <c r="F11198" s="1" t="str">
        <f>IFERROR(__xludf.DUMMYFUNCTION("GOOGLETRANSLATE(B11198, ""en"", ""fa"")
"),"کپی رایتینگ II")</f>
        <v>کپی رایتینگ II</v>
      </c>
      <c r="G11198" s="1" t="str">
        <f>IFERROR(__xludf.DUMMYFUNCTION("GOOGLETRANSLATE(C11198, ""en"", ""fa"")
"),"بهترین شیوه ها برای ایجاد محتوایی که با مراحل مختلف سفر خریدار، از آگاهی گرفته تا توجه و تصمیم گیری همسو باشد، چیست؟")</f>
        <v>بهترین شیوه ها برای ایجاد محتوایی که با مراحل مختلف سفر خریدار، از آگاهی گرفته تا توجه و تصمیم گیری همسو باشد، چیست؟</v>
      </c>
      <c r="H11198" s="1"/>
      <c r="I11198" s="1"/>
      <c r="J11198" s="1"/>
      <c r="K11198" s="1"/>
      <c r="L11198" s="1"/>
      <c r="M11198" s="1"/>
      <c r="N11198" s="1"/>
      <c r="O11198" s="1"/>
      <c r="P11198" s="1"/>
      <c r="Q11198" s="1"/>
      <c r="R11198" s="1"/>
      <c r="S11198" s="1"/>
      <c r="T11198" s="1"/>
      <c r="U11198" s="1"/>
      <c r="V11198" s="1"/>
      <c r="W11198" s="1"/>
      <c r="X11198" s="1"/>
      <c r="Y11198" s="1"/>
      <c r="Z11198" s="1"/>
      <c r="AA11198" s="1"/>
      <c r="AB11198" s="1"/>
    </row>
    <row r="11199" ht="50.25" customHeight="1">
      <c r="A11199" s="12">
        <v>11195.0</v>
      </c>
      <c r="B11199" s="13" t="s">
        <v>10535</v>
      </c>
      <c r="C11199" s="18" t="s">
        <v>11227</v>
      </c>
      <c r="D11199" s="1"/>
      <c r="E11199" s="1"/>
      <c r="F11199" s="1" t="str">
        <f>IFERROR(__xludf.DUMMYFUNCTION("GOOGLETRANSLATE(B11199, ""en"", ""fa"")
"),"کپی رایتینگ II")</f>
        <v>کپی رایتینگ II</v>
      </c>
      <c r="G11199" s="1" t="str">
        <f>IFERROR(__xludf.DUMMYFUNCTION("GOOGLETRANSLATE(C11199, ""en"", ""fa"")
"),"نحوه استفاده از بینش ها و تحلیل های مبتنی بر داده برای شناسایی محتوای با عملکرد بالا و تکرار موفقیت آن در کمپین های آینده.")</f>
        <v>نحوه استفاده از بینش ها و تحلیل های مبتنی بر داده برای شناسایی محتوای با عملکرد بالا و تکرار موفقیت آن در کمپین های آینده.</v>
      </c>
      <c r="H11199" s="1"/>
      <c r="I11199" s="1"/>
      <c r="J11199" s="1"/>
      <c r="K11199" s="1"/>
      <c r="L11199" s="1"/>
      <c r="M11199" s="1"/>
      <c r="N11199" s="1"/>
      <c r="O11199" s="1"/>
      <c r="P11199" s="1"/>
      <c r="Q11199" s="1"/>
      <c r="R11199" s="1"/>
      <c r="S11199" s="1"/>
      <c r="T11199" s="1"/>
      <c r="U11199" s="1"/>
      <c r="V11199" s="1"/>
      <c r="W11199" s="1"/>
      <c r="X11199" s="1"/>
      <c r="Y11199" s="1"/>
      <c r="Z11199" s="1"/>
      <c r="AA11199" s="1"/>
      <c r="AB11199" s="1"/>
    </row>
    <row r="11200" ht="50.25" customHeight="1">
      <c r="A11200" s="12">
        <v>11196.0</v>
      </c>
      <c r="B11200" s="13" t="s">
        <v>10535</v>
      </c>
      <c r="C11200" s="18" t="s">
        <v>11228</v>
      </c>
      <c r="D11200" s="1"/>
      <c r="E11200" s="1"/>
      <c r="F11200" s="1" t="str">
        <f>IFERROR(__xludf.DUMMYFUNCTION("GOOGLETRANSLATE(B11200, ""en"", ""fa"")
"),"کپی رایتینگ II")</f>
        <v>کپی رایتینگ II</v>
      </c>
      <c r="G11200" s="1" t="str">
        <f>IFERROR(__xludf.DUMMYFUNCTION("GOOGLETRANSLATE(C11200, ""en"", ""fa"")
"),"در مورد اهمیت ایجاد محتوای معتبر، شفاف و همسو با ارزش ها و مأموریت برند خود بحث کنید.")</f>
        <v>در مورد اهمیت ایجاد محتوای معتبر، شفاف و همسو با ارزش ها و مأموریت برند خود بحث کنید.</v>
      </c>
      <c r="H11200" s="1"/>
      <c r="I11200" s="1"/>
      <c r="J11200" s="1"/>
      <c r="K11200" s="1"/>
      <c r="L11200" s="1"/>
      <c r="M11200" s="1"/>
      <c r="N11200" s="1"/>
      <c r="O11200" s="1"/>
      <c r="P11200" s="1"/>
      <c r="Q11200" s="1"/>
      <c r="R11200" s="1"/>
      <c r="S11200" s="1"/>
      <c r="T11200" s="1"/>
      <c r="U11200" s="1"/>
      <c r="V11200" s="1"/>
      <c r="W11200" s="1"/>
      <c r="X11200" s="1"/>
      <c r="Y11200" s="1"/>
      <c r="Z11200" s="1"/>
      <c r="AA11200" s="1"/>
      <c r="AB11200" s="1"/>
    </row>
    <row r="11201" ht="50.25" customHeight="1">
      <c r="A11201" s="12">
        <v>11197.0</v>
      </c>
      <c r="B11201" s="13" t="s">
        <v>10535</v>
      </c>
      <c r="C11201" s="18" t="s">
        <v>11229</v>
      </c>
      <c r="D11201" s="1"/>
      <c r="E11201" s="1"/>
      <c r="F11201" s="1" t="str">
        <f>IFERROR(__xludf.DUMMYFUNCTION("GOOGLETRANSLATE(B11201, ""en"", ""fa"")
"),"کپی رایتینگ II")</f>
        <v>کپی رایتینگ II</v>
      </c>
      <c r="G11201" s="1" t="str">
        <f>IFERROR(__xludf.DUMMYFUNCTION("GOOGLETRANSLATE(C11201, ""en"", ""fa"")
"),"چگونه از تکنیک های داستان سرایی برای انسانی کردن برند خود و ارتباط با مخاطبان خود در سطح احساسی استفاده کنید.")</f>
        <v>چگونه از تکنیک های داستان سرایی برای انسانی کردن برند خود و ارتباط با مخاطبان خود در سطح احساسی استفاده کنید.</v>
      </c>
      <c r="H11201" s="1"/>
      <c r="I11201" s="1"/>
      <c r="J11201" s="1"/>
      <c r="K11201" s="1"/>
      <c r="L11201" s="1"/>
      <c r="M11201" s="1"/>
      <c r="N11201" s="1"/>
      <c r="O11201" s="1"/>
      <c r="P11201" s="1"/>
      <c r="Q11201" s="1"/>
      <c r="R11201" s="1"/>
      <c r="S11201" s="1"/>
      <c r="T11201" s="1"/>
      <c r="U11201" s="1"/>
      <c r="V11201" s="1"/>
      <c r="W11201" s="1"/>
      <c r="X11201" s="1"/>
      <c r="Y11201" s="1"/>
      <c r="Z11201" s="1"/>
      <c r="AA11201" s="1"/>
      <c r="AB11201" s="1"/>
    </row>
    <row r="11202" ht="50.25" customHeight="1">
      <c r="A11202" s="12">
        <v>11198.0</v>
      </c>
      <c r="B11202" s="13" t="s">
        <v>10535</v>
      </c>
      <c r="C11202" s="18" t="s">
        <v>11230</v>
      </c>
      <c r="D11202" s="1"/>
      <c r="E11202" s="1"/>
      <c r="F11202" s="1" t="str">
        <f>IFERROR(__xludf.DUMMYFUNCTION("GOOGLETRANSLATE(B11202, ""en"", ""fa"")
"),"کپی رایتینگ II")</f>
        <v>کپی رایتینگ II</v>
      </c>
      <c r="G11202" s="1" t="str">
        <f>IFERROR(__xludf.DUMMYFUNCTION("GOOGLETRANSLATE(C11202, ""en"", ""fa"")
"),"راه‌های مختلفی را برای استفاده از محتوای تولید شده توسط کاربر، مانند توصیفات، نظرات یا داستان‌های کاربر، برای افزایش اعتبار و اعتبار برند خود کاوش کنید.")</f>
        <v>راه‌های مختلفی را برای استفاده از محتوای تولید شده توسط کاربر، مانند توصیفات، نظرات یا داستان‌های کاربر، برای افزایش اعتبار و اعتبار برند خود کاوش کنید.</v>
      </c>
      <c r="H11202" s="1"/>
      <c r="I11202" s="1"/>
      <c r="J11202" s="1"/>
      <c r="K11202" s="1"/>
      <c r="L11202" s="1"/>
      <c r="M11202" s="1"/>
      <c r="N11202" s="1"/>
      <c r="O11202" s="1"/>
      <c r="P11202" s="1"/>
      <c r="Q11202" s="1"/>
      <c r="R11202" s="1"/>
      <c r="S11202" s="1"/>
      <c r="T11202" s="1"/>
      <c r="U11202" s="1"/>
      <c r="V11202" s="1"/>
      <c r="W11202" s="1"/>
      <c r="X11202" s="1"/>
      <c r="Y11202" s="1"/>
      <c r="Z11202" s="1"/>
      <c r="AA11202" s="1"/>
      <c r="AB11202" s="1"/>
    </row>
    <row r="11203" ht="50.25" customHeight="1">
      <c r="A11203" s="12">
        <v>11199.0</v>
      </c>
      <c r="B11203" s="13" t="s">
        <v>10535</v>
      </c>
      <c r="C11203" s="18" t="s">
        <v>11231</v>
      </c>
      <c r="D11203" s="1"/>
      <c r="E11203" s="1"/>
      <c r="F11203" s="1" t="str">
        <f>IFERROR(__xludf.DUMMYFUNCTION("GOOGLETRANSLATE(B11203, ""en"", ""fa"")
"),"کپی رایتینگ II")</f>
        <v>کپی رایتینگ II</v>
      </c>
      <c r="G11203" s="1" t="str">
        <f>IFERROR(__xludf.DUMMYFUNCTION("GOOGLETRANSLATE(C11203, ""en"", ""fa"")
"),"استراتژی های بهینه سازی محتوای شما برای سئوی محلی، هدف قرار دادن مناطق جغرافیایی خاص و جذب ترافیک جستجوی محلی چیست؟")</f>
        <v>استراتژی های بهینه سازی محتوای شما برای سئوی محلی، هدف قرار دادن مناطق جغرافیایی خاص و جذب ترافیک جستجوی محلی چیست؟</v>
      </c>
      <c r="H11203" s="1"/>
      <c r="I11203" s="1"/>
      <c r="J11203" s="1"/>
      <c r="K11203" s="1"/>
      <c r="L11203" s="1"/>
      <c r="M11203" s="1"/>
      <c r="N11203" s="1"/>
      <c r="O11203" s="1"/>
      <c r="P11203" s="1"/>
      <c r="Q11203" s="1"/>
      <c r="R11203" s="1"/>
      <c r="S11203" s="1"/>
      <c r="T11203" s="1"/>
      <c r="U11203" s="1"/>
      <c r="V11203" s="1"/>
      <c r="W11203" s="1"/>
      <c r="X11203" s="1"/>
      <c r="Y11203" s="1"/>
      <c r="Z11203" s="1"/>
      <c r="AA11203" s="1"/>
      <c r="AB11203" s="1"/>
    </row>
    <row r="11204" ht="50.25" customHeight="1">
      <c r="A11204" s="12">
        <v>11200.0</v>
      </c>
      <c r="B11204" s="13" t="s">
        <v>10535</v>
      </c>
      <c r="C11204" s="18" t="s">
        <v>11232</v>
      </c>
      <c r="D11204" s="1"/>
      <c r="E11204" s="1"/>
      <c r="F11204" s="1" t="str">
        <f>IFERROR(__xludf.DUMMYFUNCTION("GOOGLETRANSLATE(B11204, ""en"", ""fa"")
"),"کپی رایتینگ II")</f>
        <v>کپی رایتینگ II</v>
      </c>
      <c r="G11204" s="1" t="str">
        <f>IFERROR(__xludf.DUMMYFUNCTION("GOOGLETRANSLATE(C11204, ""en"", ""fa"")
"),"چگونه تکنیک‌های کپی‌نویسی متقاعدکننده، مانند داستان‌گویی، اثبات اجتماعی یا کمبود را در محتوای خود بگنجانید تا تبدیل‌ها را افزایش دهید.")</f>
        <v>چگونه تکنیک‌های کپی‌نویسی متقاعدکننده، مانند داستان‌گویی، اثبات اجتماعی یا کمبود را در محتوای خود بگنجانید تا تبدیل‌ها را افزایش دهید.</v>
      </c>
      <c r="H11204" s="1"/>
      <c r="I11204" s="1"/>
      <c r="J11204" s="1"/>
      <c r="K11204" s="1"/>
      <c r="L11204" s="1"/>
      <c r="M11204" s="1"/>
      <c r="N11204" s="1"/>
      <c r="O11204" s="1"/>
      <c r="P11204" s="1"/>
      <c r="Q11204" s="1"/>
      <c r="R11204" s="1"/>
      <c r="S11204" s="1"/>
      <c r="T11204" s="1"/>
      <c r="U11204" s="1"/>
      <c r="V11204" s="1"/>
      <c r="W11204" s="1"/>
      <c r="X11204" s="1"/>
      <c r="Y11204" s="1"/>
      <c r="Z11204" s="1"/>
      <c r="AA11204" s="1"/>
      <c r="AB11204" s="1"/>
    </row>
    <row r="11205" ht="50.25" customHeight="1">
      <c r="A11205" s="12">
        <v>11201.0</v>
      </c>
      <c r="B11205" s="13" t="s">
        <v>10535</v>
      </c>
      <c r="C11205" s="18" t="s">
        <v>11233</v>
      </c>
      <c r="D11205" s="1"/>
      <c r="E11205" s="1"/>
      <c r="F11205" s="1" t="str">
        <f>IFERROR(__xludf.DUMMYFUNCTION("GOOGLETRANSLATE(B11205, ""en"", ""fa"")
"),"کپی رایتینگ II")</f>
        <v>کپی رایتینگ II</v>
      </c>
      <c r="G11205" s="1" t="str">
        <f>IFERROR(__xludf.DUMMYFUNCTION("GOOGLETRANSLATE(C11205, ""en"", ""fa"")
"),"در مورد نقش مشارکت و همکاری محتوا در گسترش دسترسی خود و بهره برداری از بخش های جدید مخاطب بحث کنید.")</f>
        <v>در مورد نقش مشارکت و همکاری محتوا در گسترش دسترسی خود و بهره برداری از بخش های جدید مخاطب بحث کنید.</v>
      </c>
      <c r="H11205" s="1"/>
      <c r="I11205" s="1"/>
      <c r="J11205" s="1"/>
      <c r="K11205" s="1"/>
      <c r="L11205" s="1"/>
      <c r="M11205" s="1"/>
      <c r="N11205" s="1"/>
      <c r="O11205" s="1"/>
      <c r="P11205" s="1"/>
      <c r="Q11205" s="1"/>
      <c r="R11205" s="1"/>
      <c r="S11205" s="1"/>
      <c r="T11205" s="1"/>
      <c r="U11205" s="1"/>
      <c r="V11205" s="1"/>
      <c r="W11205" s="1"/>
      <c r="X11205" s="1"/>
      <c r="Y11205" s="1"/>
      <c r="Z11205" s="1"/>
      <c r="AA11205" s="1"/>
      <c r="AB11205" s="1"/>
    </row>
    <row r="11206" ht="50.25" customHeight="1">
      <c r="A11206" s="12">
        <v>11202.0</v>
      </c>
      <c r="B11206" s="13" t="s">
        <v>10535</v>
      </c>
      <c r="C11206" s="18" t="s">
        <v>11234</v>
      </c>
      <c r="D11206" s="1"/>
      <c r="E11206" s="1"/>
      <c r="F11206" s="1" t="str">
        <f>IFERROR(__xludf.DUMMYFUNCTION("GOOGLETRANSLATE(B11206, ""en"", ""fa"")
"),"کپی رایتینگ II")</f>
        <v>کپی رایتینگ II</v>
      </c>
      <c r="G11206" s="1" t="str">
        <f>IFERROR(__xludf.DUMMYFUNCTION("GOOGLETRANSLATE(C11206, ""en"", ""fa"")
"),"چگونه محتوایی ایجاد کنید که به سوالات متداول یا چالش های رایجی که مخاطبان هدف شما با آن مواجه هستند پاسخ دهد.")</f>
        <v>چگونه محتوایی ایجاد کنید که به سوالات متداول یا چالش های رایجی که مخاطبان هدف شما با آن مواجه هستند پاسخ دهد.</v>
      </c>
      <c r="H11206" s="1"/>
      <c r="I11206" s="1"/>
      <c r="J11206" s="1"/>
      <c r="K11206" s="1"/>
      <c r="L11206" s="1"/>
      <c r="M11206" s="1"/>
      <c r="N11206" s="1"/>
      <c r="O11206" s="1"/>
      <c r="P11206" s="1"/>
      <c r="Q11206" s="1"/>
      <c r="R11206" s="1"/>
      <c r="S11206" s="1"/>
      <c r="T11206" s="1"/>
      <c r="U11206" s="1"/>
      <c r="V11206" s="1"/>
      <c r="W11206" s="1"/>
      <c r="X11206" s="1"/>
      <c r="Y11206" s="1"/>
      <c r="Z11206" s="1"/>
      <c r="AA11206" s="1"/>
      <c r="AB11206" s="1"/>
    </row>
    <row r="11207" ht="50.25" customHeight="1">
      <c r="A11207" s="12">
        <v>11203.0</v>
      </c>
      <c r="B11207" s="13" t="s">
        <v>10535</v>
      </c>
      <c r="C11207" s="18" t="s">
        <v>11235</v>
      </c>
      <c r="D11207" s="1"/>
      <c r="E11207" s="1"/>
      <c r="F11207" s="1" t="str">
        <f>IFERROR(__xludf.DUMMYFUNCTION("GOOGLETRANSLATE(B11207, ""en"", ""fa"")
"),"کپی رایتینگ II")</f>
        <v>کپی رایتینگ II</v>
      </c>
      <c r="G11207" s="1" t="str">
        <f>IFERROR(__xludf.DUMMYFUNCTION("GOOGLETRANSLATE(C11207, ""en"", ""fa"")
"),"روش های مختلف برای انجام تجزیه و تحلیل شکاف محتوا را بررسی کنید تا مناطقی را که محتوای شما در آن ها کمبود دارد و فرصت هایی برای ایجاد محتوای جدید شناسایی کنید.")</f>
        <v>روش های مختلف برای انجام تجزیه و تحلیل شکاف محتوا را بررسی کنید تا مناطقی را که محتوای شما در آن ها کمبود دارد و فرصت هایی برای ایجاد محتوای جدید شناسایی کنید.</v>
      </c>
      <c r="H11207" s="1"/>
      <c r="I11207" s="1"/>
      <c r="J11207" s="1"/>
      <c r="K11207" s="1"/>
      <c r="L11207" s="1"/>
      <c r="M11207" s="1"/>
      <c r="N11207" s="1"/>
      <c r="O11207" s="1"/>
      <c r="P11207" s="1"/>
      <c r="Q11207" s="1"/>
      <c r="R11207" s="1"/>
      <c r="S11207" s="1"/>
      <c r="T11207" s="1"/>
      <c r="U11207" s="1"/>
      <c r="V11207" s="1"/>
      <c r="W11207" s="1"/>
      <c r="X11207" s="1"/>
      <c r="Y11207" s="1"/>
      <c r="Z11207" s="1"/>
      <c r="AA11207" s="1"/>
      <c r="AB11207" s="1"/>
    </row>
    <row r="11208" ht="50.25" customHeight="1">
      <c r="A11208" s="12">
        <v>11204.0</v>
      </c>
      <c r="B11208" s="13" t="s">
        <v>10535</v>
      </c>
      <c r="C11208" s="18" t="s">
        <v>11236</v>
      </c>
      <c r="D11208" s="1"/>
      <c r="E11208" s="1"/>
      <c r="F11208" s="1" t="str">
        <f>IFERROR(__xludf.DUMMYFUNCTION("GOOGLETRANSLATE(B11208, ""en"", ""fa"")
"),"کپی رایتینگ II")</f>
        <v>کپی رایتینگ II</v>
      </c>
      <c r="G11208" s="1" t="str">
        <f>IFERROR(__xludf.DUMMYFUNCTION("GOOGLETRANSLATE(C11208, ""en"", ""fa"")
"),"بهترین شیوه برای ساختاردهی و سازماندهی محتوای خود، از جمله سرفصل‌ها، زیرعنوان‌ها، نقاط گلوله یا فهرست‌های شماره‌دار برای خوانایی بهتر چیست؟")</f>
        <v>بهترین شیوه برای ساختاردهی و سازماندهی محتوای خود، از جمله سرفصل‌ها، زیرعنوان‌ها، نقاط گلوله یا فهرست‌های شماره‌دار برای خوانایی بهتر چیست؟</v>
      </c>
      <c r="H11208" s="1"/>
      <c r="I11208" s="1"/>
      <c r="J11208" s="1"/>
      <c r="K11208" s="1"/>
      <c r="L11208" s="1"/>
      <c r="M11208" s="1"/>
      <c r="N11208" s="1"/>
      <c r="O11208" s="1"/>
      <c r="P11208" s="1"/>
      <c r="Q11208" s="1"/>
      <c r="R11208" s="1"/>
      <c r="S11208" s="1"/>
      <c r="T11208" s="1"/>
      <c r="U11208" s="1"/>
      <c r="V11208" s="1"/>
      <c r="W11208" s="1"/>
      <c r="X11208" s="1"/>
      <c r="Y11208" s="1"/>
      <c r="Z11208" s="1"/>
      <c r="AA11208" s="1"/>
      <c r="AB11208" s="1"/>
    </row>
    <row r="11209" ht="50.25" customHeight="1">
      <c r="A11209" s="12">
        <v>11205.0</v>
      </c>
      <c r="B11209" s="13" t="s">
        <v>10535</v>
      </c>
      <c r="C11209" s="18" t="s">
        <v>11237</v>
      </c>
      <c r="D11209" s="1"/>
      <c r="E11209" s="1"/>
      <c r="F11209" s="1" t="str">
        <f>IFERROR(__xludf.DUMMYFUNCTION("GOOGLETRANSLATE(B11209, ""en"", ""fa"")
"),"کپی رایتینگ II")</f>
        <v>کپی رایتینگ II</v>
      </c>
      <c r="G11209" s="1" t="str">
        <f>IFERROR(__xludf.DUMMYFUNCTION("GOOGLETRANSLATE(C11209, ""en"", ""fa"")
"),"چگونه از قدرت اینفلوئنسر مارکتینگ در ارتقای محتوا، همکاری با اینفلوئنسرها برای افزایش دسترسی و جذب مخاطبان جدید استفاده کنید.")</f>
        <v>چگونه از قدرت اینفلوئنسر مارکتینگ در ارتقای محتوا، همکاری با اینفلوئنسرها برای افزایش دسترسی و جذب مخاطبان جدید استفاده کنید.</v>
      </c>
      <c r="H11209" s="1"/>
      <c r="I11209" s="1"/>
      <c r="J11209" s="1"/>
      <c r="K11209" s="1"/>
      <c r="L11209" s="1"/>
      <c r="M11209" s="1"/>
      <c r="N11209" s="1"/>
      <c r="O11209" s="1"/>
      <c r="P11209" s="1"/>
      <c r="Q11209" s="1"/>
      <c r="R11209" s="1"/>
      <c r="S11209" s="1"/>
      <c r="T11209" s="1"/>
      <c r="U11209" s="1"/>
      <c r="V11209" s="1"/>
      <c r="W11209" s="1"/>
      <c r="X11209" s="1"/>
      <c r="Y11209" s="1"/>
      <c r="Z11209" s="1"/>
      <c r="AA11209" s="1"/>
      <c r="AB11209" s="1"/>
    </row>
    <row r="11210" ht="50.25" customHeight="1">
      <c r="A11210" s="12">
        <v>11206.0</v>
      </c>
      <c r="B11210" s="13" t="s">
        <v>10535</v>
      </c>
      <c r="C11210" s="18" t="s">
        <v>11238</v>
      </c>
      <c r="D11210" s="1"/>
      <c r="E11210" s="1"/>
      <c r="F11210" s="1" t="str">
        <f>IFERROR(__xludf.DUMMYFUNCTION("GOOGLETRANSLATE(B11210, ""en"", ""fa"")
"),"کپی رایتینگ II")</f>
        <v>کپی رایتینگ II</v>
      </c>
      <c r="G11210" s="1" t="str">
        <f>IFERROR(__xludf.DUMMYFUNCTION("GOOGLETRANSLATE(C11210, ""en"", ""fa"")
"),"در مورد اهمیت استفاده مجدد و بازیافت محتوا، دمیدن زندگی جدید به محتوای موجود و دستیابی به مخاطبان جدید در کانال های مختلف بحث کنید.")</f>
        <v>در مورد اهمیت استفاده مجدد و بازیافت محتوا، دمیدن زندگی جدید به محتوای موجود و دستیابی به مخاطبان جدید در کانال های مختلف بحث کنید.</v>
      </c>
      <c r="H11210" s="1"/>
      <c r="I11210" s="1"/>
      <c r="J11210" s="1"/>
      <c r="K11210" s="1"/>
      <c r="L11210" s="1"/>
      <c r="M11210" s="1"/>
      <c r="N11210" s="1"/>
      <c r="O11210" s="1"/>
      <c r="P11210" s="1"/>
      <c r="Q11210" s="1"/>
      <c r="R11210" s="1"/>
      <c r="S11210" s="1"/>
      <c r="T11210" s="1"/>
      <c r="U11210" s="1"/>
      <c r="V11210" s="1"/>
      <c r="W11210" s="1"/>
      <c r="X11210" s="1"/>
      <c r="Y11210" s="1"/>
      <c r="Z11210" s="1"/>
      <c r="AA11210" s="1"/>
      <c r="AB11210" s="1"/>
    </row>
    <row r="11211" ht="50.25" customHeight="1">
      <c r="A11211" s="12">
        <v>11207.0</v>
      </c>
      <c r="B11211" s="13" t="s">
        <v>10535</v>
      </c>
      <c r="C11211" s="18" t="s">
        <v>11239</v>
      </c>
      <c r="D11211" s="1"/>
      <c r="E11211" s="1"/>
      <c r="F11211" s="1" t="str">
        <f>IFERROR(__xludf.DUMMYFUNCTION("GOOGLETRANSLATE(B11211, ""en"", ""fa"")
"),"کپی رایتینگ II")</f>
        <v>کپی رایتینگ II</v>
      </c>
      <c r="G11211" s="1" t="str">
        <f>IFERROR(__xludf.DUMMYFUNCTION("GOOGLETRANSLATE(C11211, ""en"", ""fa"")
"),"چگونه محتوایی ایجاد کنیم که به اشتراک گذاری اجتماعی و ویروسی بودن را تشویق کند، از محرک های احساسی، طنز یا موضوعات بحث برانگیز استفاده کند.")</f>
        <v>چگونه محتوایی ایجاد کنیم که به اشتراک گذاری اجتماعی و ویروسی بودن را تشویق کند، از محرک های احساسی، طنز یا موضوعات بحث برانگیز استفاده کند.</v>
      </c>
      <c r="H11211" s="1"/>
      <c r="I11211" s="1"/>
      <c r="J11211" s="1"/>
      <c r="K11211" s="1"/>
      <c r="L11211" s="1"/>
      <c r="M11211" s="1"/>
      <c r="N11211" s="1"/>
      <c r="O11211" s="1"/>
      <c r="P11211" s="1"/>
      <c r="Q11211" s="1"/>
      <c r="R11211" s="1"/>
      <c r="S11211" s="1"/>
      <c r="T11211" s="1"/>
      <c r="U11211" s="1"/>
      <c r="V11211" s="1"/>
      <c r="W11211" s="1"/>
      <c r="X11211" s="1"/>
      <c r="Y11211" s="1"/>
      <c r="Z11211" s="1"/>
      <c r="AA11211" s="1"/>
      <c r="AB11211" s="1"/>
    </row>
    <row r="11212" ht="50.25" customHeight="1">
      <c r="A11212" s="12">
        <v>11208.0</v>
      </c>
      <c r="B11212" s="13" t="s">
        <v>10535</v>
      </c>
      <c r="C11212" s="18" t="s">
        <v>11240</v>
      </c>
      <c r="D11212" s="1"/>
      <c r="E11212" s="1"/>
      <c r="F11212" s="1" t="str">
        <f>IFERROR(__xludf.DUMMYFUNCTION("GOOGLETRANSLATE(B11212, ""en"", ""fa"")
"),"کپی رایتینگ II")</f>
        <v>کپی رایتینگ II</v>
      </c>
      <c r="G11212" s="1" t="str">
        <f>IFERROR(__xludf.DUMMYFUNCTION("GOOGLETRANSLATE(C11212, ""en"", ""fa"")
"),"روش‌های مختلف برای بهینه‌سازی محتوای خود برای قطعه‌های برجسته و موقعیت صفر در نتایج موتورهای جستجو را بررسی کنید و دید بیشتر و ترافیک ارگانیک را جذب کنید.")</f>
        <v>روش‌های مختلف برای بهینه‌سازی محتوای خود برای قطعه‌های برجسته و موقعیت صفر در نتایج موتورهای جستجو را بررسی کنید و دید بیشتر و ترافیک ارگانیک را جذب کنید.</v>
      </c>
      <c r="H11212" s="1"/>
      <c r="I11212" s="1"/>
      <c r="J11212" s="1"/>
      <c r="K11212" s="1"/>
      <c r="L11212" s="1"/>
      <c r="M11212" s="1"/>
      <c r="N11212" s="1"/>
      <c r="O11212" s="1"/>
      <c r="P11212" s="1"/>
      <c r="Q11212" s="1"/>
      <c r="R11212" s="1"/>
      <c r="S11212" s="1"/>
      <c r="T11212" s="1"/>
      <c r="U11212" s="1"/>
      <c r="V11212" s="1"/>
      <c r="W11212" s="1"/>
      <c r="X11212" s="1"/>
      <c r="Y11212" s="1"/>
      <c r="Z11212" s="1"/>
      <c r="AA11212" s="1"/>
      <c r="AB11212" s="1"/>
    </row>
    <row r="11213" ht="50.25" customHeight="1">
      <c r="A11213" s="12">
        <v>11209.0</v>
      </c>
      <c r="B11213" s="13" t="s">
        <v>10535</v>
      </c>
      <c r="C11213" s="18" t="s">
        <v>11241</v>
      </c>
      <c r="D11213" s="1"/>
      <c r="E11213" s="1"/>
      <c r="F11213" s="1" t="str">
        <f>IFERROR(__xludf.DUMMYFUNCTION("GOOGLETRANSLATE(B11213, ""en"", ""fa"")
"),"کپی رایتینگ II")</f>
        <v>کپی رایتینگ II</v>
      </c>
      <c r="G11213" s="1" t="str">
        <f>IFERROR(__xludf.DUMMYFUNCTION("GOOGLETRANSLATE(C11213, ""en"", ""fa"")
"),"چه استراتژی هایی برای ایجاد محتوایی وجود دارد که وفاداری و حمایت از برند را تقویت می کند و مشتریان را به سفیران برند تبدیل می کند؟")</f>
        <v>چه استراتژی هایی برای ایجاد محتوایی وجود دارد که وفاداری و حمایت از برند را تقویت می کند و مشتریان را به سفیران برند تبدیل می کند؟</v>
      </c>
      <c r="H11213" s="1"/>
      <c r="I11213" s="1"/>
      <c r="J11213" s="1"/>
      <c r="K11213" s="1"/>
      <c r="L11213" s="1"/>
      <c r="M11213" s="1"/>
      <c r="N11213" s="1"/>
      <c r="O11213" s="1"/>
      <c r="P11213" s="1"/>
      <c r="Q11213" s="1"/>
      <c r="R11213" s="1"/>
      <c r="S11213" s="1"/>
      <c r="T11213" s="1"/>
      <c r="U11213" s="1"/>
      <c r="V11213" s="1"/>
      <c r="W11213" s="1"/>
      <c r="X11213" s="1"/>
      <c r="Y11213" s="1"/>
      <c r="Z11213" s="1"/>
      <c r="AA11213" s="1"/>
      <c r="AB11213" s="1"/>
    </row>
    <row r="11214" ht="50.25" customHeight="1">
      <c r="A11214" s="12">
        <v>11210.0</v>
      </c>
      <c r="B11214" s="13" t="s">
        <v>10535</v>
      </c>
      <c r="C11214" s="18" t="s">
        <v>11242</v>
      </c>
      <c r="D11214" s="1"/>
      <c r="E11214" s="1"/>
      <c r="F11214" s="1" t="str">
        <f>IFERROR(__xludf.DUMMYFUNCTION("GOOGLETRANSLATE(B11214, ""en"", ""fa"")
"),"کپی رایتینگ II")</f>
        <v>کپی رایتینگ II</v>
      </c>
      <c r="G11214" s="1" t="str">
        <f>IFERROR(__xludf.DUMMYFUNCTION("GOOGLETRANSLATE(C11214, ""en"", ""fa"")
"),"نحوه استفاده از عناصر داستان سرایی، مانند توسعه شخصیت یا حل تعارض، برای ایجاد تجربیات محتوایی جذاب و به یاد ماندنی.")</f>
        <v>نحوه استفاده از عناصر داستان سرایی، مانند توسعه شخصیت یا حل تعارض، برای ایجاد تجربیات محتوایی جذاب و به یاد ماندنی.</v>
      </c>
      <c r="H11214" s="1"/>
      <c r="I11214" s="1"/>
      <c r="J11214" s="1"/>
      <c r="K11214" s="1"/>
      <c r="L11214" s="1"/>
      <c r="M11214" s="1"/>
      <c r="N11214" s="1"/>
      <c r="O11214" s="1"/>
      <c r="P11214" s="1"/>
      <c r="Q11214" s="1"/>
      <c r="R11214" s="1"/>
      <c r="S11214" s="1"/>
      <c r="T11214" s="1"/>
      <c r="U11214" s="1"/>
      <c r="V11214" s="1"/>
      <c r="W11214" s="1"/>
      <c r="X11214" s="1"/>
      <c r="Y11214" s="1"/>
      <c r="Z11214" s="1"/>
      <c r="AA11214" s="1"/>
      <c r="AB11214" s="1"/>
    </row>
    <row r="11215" ht="50.25" customHeight="1">
      <c r="A11215" s="12">
        <v>11211.0</v>
      </c>
      <c r="B11215" s="13" t="s">
        <v>10535</v>
      </c>
      <c r="C11215" s="18" t="s">
        <v>11243</v>
      </c>
      <c r="D11215" s="1"/>
      <c r="E11215" s="1"/>
      <c r="F11215" s="1" t="str">
        <f>IFERROR(__xludf.DUMMYFUNCTION("GOOGLETRANSLATE(B11215, ""en"", ""fa"")
"),"کپی رایتینگ II")</f>
        <v>کپی رایتینگ II</v>
      </c>
      <c r="G11215" s="1" t="str">
        <f>IFERROR(__xludf.DUMMYFUNCTION("GOOGLETRANSLATE(C11215, ""en"", ""fa"")
"),"در مورد نقش بومی‌سازی محتوا در گسترش دسترسی جهانی خود و طنین‌اندازی با مخاطبان فرهنگی مختلف بحث کنید.")</f>
        <v>در مورد نقش بومی‌سازی محتوا در گسترش دسترسی جهانی خود و طنین‌اندازی با مخاطبان فرهنگی مختلف بحث کنید.</v>
      </c>
      <c r="H11215" s="1"/>
      <c r="I11215" s="1"/>
      <c r="J11215" s="1"/>
      <c r="K11215" s="1"/>
      <c r="L11215" s="1"/>
      <c r="M11215" s="1"/>
      <c r="N11215" s="1"/>
      <c r="O11215" s="1"/>
      <c r="P11215" s="1"/>
      <c r="Q11215" s="1"/>
      <c r="R11215" s="1"/>
      <c r="S11215" s="1"/>
      <c r="T11215" s="1"/>
      <c r="U11215" s="1"/>
      <c r="V11215" s="1"/>
      <c r="W11215" s="1"/>
      <c r="X11215" s="1"/>
      <c r="Y11215" s="1"/>
      <c r="Z11215" s="1"/>
      <c r="AA11215" s="1"/>
      <c r="AB11215" s="1"/>
    </row>
    <row r="11216" ht="50.25" customHeight="1">
      <c r="A11216" s="12">
        <v>11212.0</v>
      </c>
      <c r="B11216" s="13" t="s">
        <v>10535</v>
      </c>
      <c r="C11216" s="18" t="s">
        <v>11244</v>
      </c>
      <c r="D11216" s="1"/>
      <c r="E11216" s="1"/>
      <c r="F11216" s="1" t="str">
        <f>IFERROR(__xludf.DUMMYFUNCTION("GOOGLETRANSLATE(B11216, ""en"", ""fa"")
"),"کپی رایتینگ II")</f>
        <v>کپی رایتینگ II</v>
      </c>
      <c r="G11216" s="1" t="str">
        <f>IFERROR(__xludf.DUMMYFUNCTION("GOOGLETRANSLATE(C11216, ""en"", ""fa"")
"),"نحوه بهینه سازی محتوای خود برای مصرف موبایل، از جمله طراحی واکنشگرا، قالب بندی مناسب برای موبایل و زمان بارگذاری سریع.")</f>
        <v>نحوه بهینه سازی محتوای خود برای مصرف موبایل، از جمله طراحی واکنشگرا، قالب بندی مناسب برای موبایل و زمان بارگذاری سریع.</v>
      </c>
      <c r="H11216" s="1"/>
      <c r="I11216" s="1"/>
      <c r="J11216" s="1"/>
      <c r="K11216" s="1"/>
      <c r="L11216" s="1"/>
      <c r="M11216" s="1"/>
      <c r="N11216" s="1"/>
      <c r="O11216" s="1"/>
      <c r="P11216" s="1"/>
      <c r="Q11216" s="1"/>
      <c r="R11216" s="1"/>
      <c r="S11216" s="1"/>
      <c r="T11216" s="1"/>
      <c r="U11216" s="1"/>
      <c r="V11216" s="1"/>
      <c r="W11216" s="1"/>
      <c r="X11216" s="1"/>
      <c r="Y11216" s="1"/>
      <c r="Z11216" s="1"/>
      <c r="AA11216" s="1"/>
      <c r="AB11216" s="1"/>
    </row>
    <row r="11217" ht="50.25" customHeight="1">
      <c r="A11217" s="12">
        <v>11213.0</v>
      </c>
      <c r="B11217" s="13" t="s">
        <v>10535</v>
      </c>
      <c r="C11217" s="18" t="s">
        <v>11245</v>
      </c>
      <c r="D11217" s="1"/>
      <c r="E11217" s="1"/>
      <c r="F11217" s="1" t="str">
        <f>IFERROR(__xludf.DUMMYFUNCTION("GOOGLETRANSLATE(B11217, ""en"", ""fa"")
"),"کپی رایتینگ II")</f>
        <v>کپی رایتینگ II</v>
      </c>
      <c r="G11217" s="1" t="str">
        <f>IFERROR(__xludf.DUMMYFUNCTION("GOOGLETRANSLATE(C11217, ""en"", ""fa"")
"),"روش های مختلف برای انجام تجزیه و تحلیل رقبا در بازاریابی محتوا را بررسی کنید تا شکاف های محتوا را شناسایی کنید، زوایای منحصر به فرد را کشف کنید و برند خود را متمایز کنید.")</f>
        <v>روش های مختلف برای انجام تجزیه و تحلیل رقبا در بازاریابی محتوا را بررسی کنید تا شکاف های محتوا را شناسایی کنید، زوایای منحصر به فرد را کشف کنید و برند خود را متمایز کنید.</v>
      </c>
      <c r="H11217" s="1"/>
      <c r="I11217" s="1"/>
      <c r="J11217" s="1"/>
      <c r="K11217" s="1"/>
      <c r="L11217" s="1"/>
      <c r="M11217" s="1"/>
      <c r="N11217" s="1"/>
      <c r="O11217" s="1"/>
      <c r="P11217" s="1"/>
      <c r="Q11217" s="1"/>
      <c r="R11217" s="1"/>
      <c r="S11217" s="1"/>
      <c r="T11217" s="1"/>
      <c r="U11217" s="1"/>
      <c r="V11217" s="1"/>
      <c r="W11217" s="1"/>
      <c r="X11217" s="1"/>
      <c r="Y11217" s="1"/>
      <c r="Z11217" s="1"/>
      <c r="AA11217" s="1"/>
      <c r="AB11217" s="1"/>
    </row>
    <row r="11218" ht="50.25" customHeight="1">
      <c r="A11218" s="12">
        <v>11214.0</v>
      </c>
      <c r="B11218" s="13" t="s">
        <v>10535</v>
      </c>
      <c r="C11218" s="18" t="s">
        <v>11246</v>
      </c>
      <c r="D11218" s="1"/>
      <c r="E11218" s="1"/>
      <c r="F11218" s="1" t="str">
        <f>IFERROR(__xludf.DUMMYFUNCTION("GOOGLETRANSLATE(B11218, ""en"", ""fa"")
"),"کپی رایتینگ II")</f>
        <v>کپی رایتینگ II</v>
      </c>
      <c r="G11218" s="1" t="str">
        <f>IFERROR(__xludf.DUMMYFUNCTION("GOOGLETRANSLATE(C11218, ""en"", ""fa"")
"),"چه تکنیک هایی برای ایجاد محتوایی وجود دارد که اعتراضات را برطرف می کند و بر موانع خرید غلبه می کند و اعتماد به محصولات یا خدمات شما را القا می کند؟")</f>
        <v>چه تکنیک هایی برای ایجاد محتوایی وجود دارد که اعتراضات را برطرف می کند و بر موانع خرید غلبه می کند و اعتماد به محصولات یا خدمات شما را القا می کند؟</v>
      </c>
      <c r="H11218" s="1"/>
      <c r="I11218" s="1"/>
      <c r="J11218" s="1"/>
      <c r="K11218" s="1"/>
      <c r="L11218" s="1"/>
      <c r="M11218" s="1"/>
      <c r="N11218" s="1"/>
      <c r="O11218" s="1"/>
      <c r="P11218" s="1"/>
      <c r="Q11218" s="1"/>
      <c r="R11218" s="1"/>
      <c r="S11218" s="1"/>
      <c r="T11218" s="1"/>
      <c r="U11218" s="1"/>
      <c r="V11218" s="1"/>
      <c r="W11218" s="1"/>
      <c r="X11218" s="1"/>
      <c r="Y11218" s="1"/>
      <c r="Z11218" s="1"/>
      <c r="AA11218" s="1"/>
      <c r="AB11218" s="1"/>
    </row>
    <row r="11219" ht="50.25" customHeight="1">
      <c r="A11219" s="12">
        <v>11215.0</v>
      </c>
      <c r="B11219" s="13" t="s">
        <v>10535</v>
      </c>
      <c r="C11219" s="18" t="s">
        <v>11247</v>
      </c>
      <c r="D11219" s="1"/>
      <c r="E11219" s="1"/>
      <c r="F11219" s="1" t="str">
        <f>IFERROR(__xludf.DUMMYFUNCTION("GOOGLETRANSLATE(B11219, ""en"", ""fa"")
"),"کپی رایتینگ II")</f>
        <v>کپی رایتینگ II</v>
      </c>
      <c r="G11219" s="1" t="str">
        <f>IFERROR(__xludf.DUMMYFUNCTION("GOOGLETRANSLATE(C11219, ""en"", ""fa"")
"),"چگونه می توان از ارتقاء محتوا و آهنرباها برای جذب سرنخ های ایمیل و ایجاد لیست مشترکین خود استفاده کرد.")</f>
        <v>چگونه می توان از ارتقاء محتوا و آهنرباها برای جذب سرنخ های ایمیل و ایجاد لیست مشترکین خود استفاده کرد.</v>
      </c>
      <c r="H11219" s="1"/>
      <c r="I11219" s="1"/>
      <c r="J11219" s="1"/>
      <c r="K11219" s="1"/>
      <c r="L11219" s="1"/>
      <c r="M11219" s="1"/>
      <c r="N11219" s="1"/>
      <c r="O11219" s="1"/>
      <c r="P11219" s="1"/>
      <c r="Q11219" s="1"/>
      <c r="R11219" s="1"/>
      <c r="S11219" s="1"/>
      <c r="T11219" s="1"/>
      <c r="U11219" s="1"/>
      <c r="V11219" s="1"/>
      <c r="W11219" s="1"/>
      <c r="X11219" s="1"/>
      <c r="Y11219" s="1"/>
      <c r="Z11219" s="1"/>
      <c r="AA11219" s="1"/>
      <c r="AB11219" s="1"/>
    </row>
    <row r="11220" ht="50.25" customHeight="1">
      <c r="A11220" s="12">
        <v>11216.0</v>
      </c>
      <c r="B11220" s="13" t="s">
        <v>10535</v>
      </c>
      <c r="C11220" s="18" t="s">
        <v>11248</v>
      </c>
      <c r="D11220" s="1"/>
      <c r="E11220" s="1"/>
      <c r="F11220" s="1" t="str">
        <f>IFERROR(__xludf.DUMMYFUNCTION("GOOGLETRANSLATE(B11220, ""en"", ""fa"")
"),"کپی رایتینگ II")</f>
        <v>کپی رایتینگ II</v>
      </c>
      <c r="G11220" s="1" t="str">
        <f>IFERROR(__xludf.DUMMYFUNCTION("GOOGLETRANSLATE(C11220, ""en"", ""fa"")
"),"درباره اهمیت داستان سرایی داده در بازاریابی محتوا، استفاده از تجسم داده ها و بینش برای ایجاد روایت های قانع کننده بحث کنید.")</f>
        <v>درباره اهمیت داستان سرایی داده در بازاریابی محتوا، استفاده از تجسم داده ها و بینش برای ایجاد روایت های قانع کننده بحث کنید.</v>
      </c>
      <c r="H11220" s="1"/>
      <c r="I11220" s="1"/>
      <c r="J11220" s="1"/>
      <c r="K11220" s="1"/>
      <c r="L11220" s="1"/>
      <c r="M11220" s="1"/>
      <c r="N11220" s="1"/>
      <c r="O11220" s="1"/>
      <c r="P11220" s="1"/>
      <c r="Q11220" s="1"/>
      <c r="R11220" s="1"/>
      <c r="S11220" s="1"/>
      <c r="T11220" s="1"/>
      <c r="U11220" s="1"/>
      <c r="V11220" s="1"/>
      <c r="W11220" s="1"/>
      <c r="X11220" s="1"/>
      <c r="Y11220" s="1"/>
      <c r="Z11220" s="1"/>
      <c r="AA11220" s="1"/>
      <c r="AB11220" s="1"/>
    </row>
    <row r="11221" ht="50.25" customHeight="1">
      <c r="A11221" s="12">
        <v>11217.0</v>
      </c>
      <c r="B11221" s="13" t="s">
        <v>10535</v>
      </c>
      <c r="C11221" s="18" t="s">
        <v>11249</v>
      </c>
      <c r="D11221" s="1"/>
      <c r="E11221" s="1"/>
      <c r="F11221" s="1" t="str">
        <f>IFERROR(__xludf.DUMMYFUNCTION("GOOGLETRANSLATE(B11221, ""en"", ""fa"")
"),"کپی رایتینگ II")</f>
        <v>کپی رایتینگ II</v>
      </c>
      <c r="G11221" s="1" t="str">
        <f>IFERROR(__xludf.DUMMYFUNCTION("GOOGLETRANSLATE(C11221, ""en"", ""fa"")
"),"چگونه محتوایی ایجاد کنیم که به رویدادهای جاری، روندهای صنعت یا موضوعات فصلی ضربه بزند تا مرتبط بماند و مخاطبان شما را درگیر کند.")</f>
        <v>چگونه محتوایی ایجاد کنیم که به رویدادهای جاری، روندهای صنعت یا موضوعات فصلی ضربه بزند تا مرتبط بماند و مخاطبان شما را درگیر کند.</v>
      </c>
      <c r="H11221" s="1"/>
      <c r="I11221" s="1"/>
      <c r="J11221" s="1"/>
      <c r="K11221" s="1"/>
      <c r="L11221" s="1"/>
      <c r="M11221" s="1"/>
      <c r="N11221" s="1"/>
      <c r="O11221" s="1"/>
      <c r="P11221" s="1"/>
      <c r="Q11221" s="1"/>
      <c r="R11221" s="1"/>
      <c r="S11221" s="1"/>
      <c r="T11221" s="1"/>
      <c r="U11221" s="1"/>
      <c r="V11221" s="1"/>
      <c r="W11221" s="1"/>
      <c r="X11221" s="1"/>
      <c r="Y11221" s="1"/>
      <c r="Z11221" s="1"/>
      <c r="AA11221" s="1"/>
      <c r="AB11221" s="1"/>
    </row>
    <row r="11222" ht="50.25" customHeight="1">
      <c r="A11222" s="12">
        <v>11218.0</v>
      </c>
      <c r="B11222" s="13" t="s">
        <v>10535</v>
      </c>
      <c r="C11222" s="18" t="s">
        <v>11250</v>
      </c>
      <c r="D11222" s="1"/>
      <c r="E11222" s="1"/>
      <c r="F11222" s="1" t="str">
        <f>IFERROR(__xludf.DUMMYFUNCTION("GOOGLETRANSLATE(B11222, ""en"", ""fa"")
"),"کپی رایتینگ II")</f>
        <v>کپی رایتینگ II</v>
      </c>
      <c r="G11222" s="1" t="str">
        <f>IFERROR(__xludf.DUMMYFUNCTION("GOOGLETRANSLATE(C11222, ""en"", ""fa"")
"),"راه‌های مختلف برای گنجاندن عناصر تعاملی در محتوای خود، مانند آزمون‌ها، نظرسنجی‌ها یا اینفوگرافیک‌های تعاملی را برای افزایش تعامل و تعامل کاوش کنید.")</f>
        <v>راه‌های مختلف برای گنجاندن عناصر تعاملی در محتوای خود، مانند آزمون‌ها، نظرسنجی‌ها یا اینفوگرافیک‌های تعاملی را برای افزایش تعامل و تعامل کاوش کنید.</v>
      </c>
      <c r="H11222" s="1"/>
      <c r="I11222" s="1"/>
      <c r="J11222" s="1"/>
      <c r="K11222" s="1"/>
      <c r="L11222" s="1"/>
      <c r="M11222" s="1"/>
      <c r="N11222" s="1"/>
      <c r="O11222" s="1"/>
      <c r="P11222" s="1"/>
      <c r="Q11222" s="1"/>
      <c r="R11222" s="1"/>
      <c r="S11222" s="1"/>
      <c r="T11222" s="1"/>
      <c r="U11222" s="1"/>
      <c r="V11222" s="1"/>
      <c r="W11222" s="1"/>
      <c r="X11222" s="1"/>
      <c r="Y11222" s="1"/>
      <c r="Z11222" s="1"/>
      <c r="AA11222" s="1"/>
      <c r="AB11222" s="1"/>
    </row>
    <row r="11223" ht="50.25" customHeight="1">
      <c r="A11223" s="12">
        <v>11219.0</v>
      </c>
      <c r="B11223" s="13" t="s">
        <v>10535</v>
      </c>
      <c r="C11223" s="18" t="s">
        <v>11251</v>
      </c>
      <c r="D11223" s="1"/>
      <c r="E11223" s="1"/>
      <c r="F11223" s="1" t="str">
        <f>IFERROR(__xludf.DUMMYFUNCTION("GOOGLETRANSLATE(B11223, ""en"", ""fa"")
"),"کپی رایتینگ II")</f>
        <v>کپی رایتینگ II</v>
      </c>
      <c r="G11223" s="1" t="str">
        <f>IFERROR(__xludf.DUMMYFUNCTION("GOOGLETRANSLATE(C11223, ""en"", ""fa"")
"),"استراتژی‌های ایجاد محتوایی که با مراحل مختلف قیف بازاریابی، از آگاهی از بالای قیف گرفته تا تبدیل‌های پایین قیف، همسو باشد، چیست؟")</f>
        <v>استراتژی‌های ایجاد محتوایی که با مراحل مختلف قیف بازاریابی، از آگاهی از بالای قیف گرفته تا تبدیل‌های پایین قیف، همسو باشد، چیست؟</v>
      </c>
      <c r="H11223" s="1"/>
      <c r="I11223" s="1"/>
      <c r="J11223" s="1"/>
      <c r="K11223" s="1"/>
      <c r="L11223" s="1"/>
      <c r="M11223" s="1"/>
      <c r="N11223" s="1"/>
      <c r="O11223" s="1"/>
      <c r="P11223" s="1"/>
      <c r="Q11223" s="1"/>
      <c r="R11223" s="1"/>
      <c r="S11223" s="1"/>
      <c r="T11223" s="1"/>
      <c r="U11223" s="1"/>
      <c r="V11223" s="1"/>
      <c r="W11223" s="1"/>
      <c r="X11223" s="1"/>
      <c r="Y11223" s="1"/>
      <c r="Z11223" s="1"/>
      <c r="AA11223" s="1"/>
      <c r="AB11223" s="1"/>
    </row>
    <row r="11224" ht="50.25" customHeight="1">
      <c r="A11224" s="12">
        <v>11220.0</v>
      </c>
      <c r="B11224" s="13" t="s">
        <v>10535</v>
      </c>
      <c r="C11224" s="18" t="s">
        <v>11252</v>
      </c>
      <c r="D11224" s="1"/>
      <c r="E11224" s="1"/>
      <c r="F11224" s="1" t="str">
        <f>IFERROR(__xludf.DUMMYFUNCTION("GOOGLETRANSLATE(B11224, ""en"", ""fa"")
"),"کپی رایتینگ II")</f>
        <v>کپی رایتینگ II</v>
      </c>
      <c r="G11224" s="1" t="str">
        <f>IFERROR(__xludf.DUMMYFUNCTION("GOOGLETRANSLATE(C11224, ""en"", ""fa"")
"),"چگونه می توان محتوای خود را برای خوانایی و پویش بهینه کرد، با استفاده از سرفصل های واضح، پاراگراف های مختصر و نشانه های بصری برای هدایت توجه خواننده.")</f>
        <v>چگونه می توان محتوای خود را برای خوانایی و پویش بهینه کرد، با استفاده از سرفصل های واضح، پاراگراف های مختصر و نشانه های بصری برای هدایت توجه خواننده.</v>
      </c>
      <c r="H11224" s="1"/>
      <c r="I11224" s="1"/>
      <c r="J11224" s="1"/>
      <c r="K11224" s="1"/>
      <c r="L11224" s="1"/>
      <c r="M11224" s="1"/>
      <c r="N11224" s="1"/>
      <c r="O11224" s="1"/>
      <c r="P11224" s="1"/>
      <c r="Q11224" s="1"/>
      <c r="R11224" s="1"/>
      <c r="S11224" s="1"/>
      <c r="T11224" s="1"/>
      <c r="U11224" s="1"/>
      <c r="V11224" s="1"/>
      <c r="W11224" s="1"/>
      <c r="X11224" s="1"/>
      <c r="Y11224" s="1"/>
      <c r="Z11224" s="1"/>
      <c r="AA11224" s="1"/>
      <c r="AB11224" s="1"/>
    </row>
    <row r="11225" ht="50.25" customHeight="1">
      <c r="A11225" s="12">
        <v>11221.0</v>
      </c>
      <c r="B11225" s="13" t="s">
        <v>10535</v>
      </c>
      <c r="C11225" s="18" t="s">
        <v>11253</v>
      </c>
      <c r="D11225" s="1"/>
      <c r="E11225" s="1"/>
      <c r="F11225" s="1" t="str">
        <f>IFERROR(__xludf.DUMMYFUNCTION("GOOGLETRANSLATE(B11225, ""en"", ""fa"")
"),"کپی رایتینگ II")</f>
        <v>کپی رایتینگ II</v>
      </c>
      <c r="G11225" s="1" t="str">
        <f>IFERROR(__xludf.DUMMYFUNCTION("GOOGLETRANSLATE(C11225, ""en"", ""fa"")
"),"درباره نقش محتوای تولید شده توسط اینفلوئنسرها در بازاریابی محتوا، همکاری با اینفلوئنسرها برای ایجاد و ترویج محتوا از طرف شما بحث کنید.")</f>
        <v>درباره نقش محتوای تولید شده توسط اینفلوئنسرها در بازاریابی محتوا، همکاری با اینفلوئنسرها برای ایجاد و ترویج محتوا از طرف شما بحث کنید.</v>
      </c>
      <c r="H11225" s="1"/>
      <c r="I11225" s="1"/>
      <c r="J11225" s="1"/>
      <c r="K11225" s="1"/>
      <c r="L11225" s="1"/>
      <c r="M11225" s="1"/>
      <c r="N11225" s="1"/>
      <c r="O11225" s="1"/>
      <c r="P11225" s="1"/>
      <c r="Q11225" s="1"/>
      <c r="R11225" s="1"/>
      <c r="S11225" s="1"/>
      <c r="T11225" s="1"/>
      <c r="U11225" s="1"/>
      <c r="V11225" s="1"/>
      <c r="W11225" s="1"/>
      <c r="X11225" s="1"/>
      <c r="Y11225" s="1"/>
      <c r="Z11225" s="1"/>
      <c r="AA11225" s="1"/>
      <c r="AB11225" s="1"/>
    </row>
    <row r="11226" ht="50.25" customHeight="1">
      <c r="A11226" s="12">
        <v>11222.0</v>
      </c>
      <c r="B11226" s="13" t="s">
        <v>10535</v>
      </c>
      <c r="C11226" s="18" t="s">
        <v>11254</v>
      </c>
      <c r="D11226" s="1"/>
      <c r="E11226" s="1"/>
      <c r="F11226" s="1" t="str">
        <f>IFERROR(__xludf.DUMMYFUNCTION("GOOGLETRANSLATE(B11226, ""en"", ""fa"")
"),"کپی رایتینگ II")</f>
        <v>کپی رایتینگ II</v>
      </c>
      <c r="G11226" s="1" t="str">
        <f>IFERROR(__xludf.DUMMYFUNCTION("GOOGLETRANSLATE(C11226, ""en"", ""fa"")
"),"چگونه می توان محتوایی ایجاد کرد که به نقاط درد یا چالش های خاصی که مخاطبان هدف شما با آن مواجه هستند پاسخ می دهد، با ارائه راه حل های عملی یا مشاوره تخصصی.")</f>
        <v>چگونه می توان محتوایی ایجاد کرد که به نقاط درد یا چالش های خاصی که مخاطبان هدف شما با آن مواجه هستند پاسخ می دهد، با ارائه راه حل های عملی یا مشاوره تخصصی.</v>
      </c>
      <c r="H11226" s="1"/>
      <c r="I11226" s="1"/>
      <c r="J11226" s="1"/>
      <c r="K11226" s="1"/>
      <c r="L11226" s="1"/>
      <c r="M11226" s="1"/>
      <c r="N11226" s="1"/>
      <c r="O11226" s="1"/>
      <c r="P11226" s="1"/>
      <c r="Q11226" s="1"/>
      <c r="R11226" s="1"/>
      <c r="S11226" s="1"/>
      <c r="T11226" s="1"/>
      <c r="U11226" s="1"/>
      <c r="V11226" s="1"/>
      <c r="W11226" s="1"/>
      <c r="X11226" s="1"/>
      <c r="Y11226" s="1"/>
      <c r="Z11226" s="1"/>
      <c r="AA11226" s="1"/>
      <c r="AB11226" s="1"/>
    </row>
    <row r="11227" ht="50.25" customHeight="1">
      <c r="A11227" s="12">
        <v>11223.0</v>
      </c>
      <c r="B11227" s="13" t="s">
        <v>10535</v>
      </c>
      <c r="C11227" s="18" t="s">
        <v>11255</v>
      </c>
      <c r="D11227" s="1"/>
      <c r="E11227" s="1"/>
      <c r="F11227" s="1" t="str">
        <f>IFERROR(__xludf.DUMMYFUNCTION("GOOGLETRANSLATE(B11227, ""en"", ""fa"")
"),"کپی رایتینگ II")</f>
        <v>کپی رایتینگ II</v>
      </c>
      <c r="G11227" s="1" t="str">
        <f>IFERROR(__xludf.DUMMYFUNCTION("GOOGLETRANSLATE(C11227, ""en"", ""fa"")
"),"روش های مختلف برای انجام نظرسنجی یا مصاحبه با مخاطبان خود را برای جمع آوری بینش و الهام برای تولید محتوا کاوش کنید.")</f>
        <v>روش های مختلف برای انجام نظرسنجی یا مصاحبه با مخاطبان خود را برای جمع آوری بینش و الهام برای تولید محتوا کاوش کنید.</v>
      </c>
      <c r="H11227" s="1"/>
      <c r="I11227" s="1"/>
      <c r="J11227" s="1"/>
      <c r="K11227" s="1"/>
      <c r="L11227" s="1"/>
      <c r="M11227" s="1"/>
      <c r="N11227" s="1"/>
      <c r="O11227" s="1"/>
      <c r="P11227" s="1"/>
      <c r="Q11227" s="1"/>
      <c r="R11227" s="1"/>
      <c r="S11227" s="1"/>
      <c r="T11227" s="1"/>
      <c r="U11227" s="1"/>
      <c r="V11227" s="1"/>
      <c r="W11227" s="1"/>
      <c r="X11227" s="1"/>
      <c r="Y11227" s="1"/>
      <c r="Z11227" s="1"/>
      <c r="AA11227" s="1"/>
      <c r="AB11227" s="1"/>
    </row>
    <row r="11228" ht="50.25" customHeight="1">
      <c r="A11228" s="12">
        <v>11224.0</v>
      </c>
      <c r="B11228" s="13" t="s">
        <v>10535</v>
      </c>
      <c r="C11228" s="18" t="s">
        <v>11256</v>
      </c>
      <c r="D11228" s="1"/>
      <c r="E11228" s="1"/>
      <c r="F11228" s="1" t="str">
        <f>IFERROR(__xludf.DUMMYFUNCTION("GOOGLETRANSLATE(B11228, ""en"", ""fa"")
"),"کپی رایتینگ II")</f>
        <v>کپی رایتینگ II</v>
      </c>
      <c r="G11228" s="1" t="str">
        <f>IFERROR(__xludf.DUMMYFUNCTION("GOOGLETRANSLATE(C11228, ""en"", ""fa"")
"),"بهترین روش‌ها برای ایجاد محتوایی که انتظار و هیجان ایجاد می‌کند، مانند کمپین‌های تبلیغاتی یا شمارش معکوس برای عرضه محصول چیست؟")</f>
        <v>بهترین روش‌ها برای ایجاد محتوایی که انتظار و هیجان ایجاد می‌کند، مانند کمپین‌های تبلیغاتی یا شمارش معکوس برای عرضه محصول چیست؟</v>
      </c>
      <c r="H11228" s="1"/>
      <c r="I11228" s="1"/>
      <c r="J11228" s="1"/>
      <c r="K11228" s="1"/>
      <c r="L11228" s="1"/>
      <c r="M11228" s="1"/>
      <c r="N11228" s="1"/>
      <c r="O11228" s="1"/>
      <c r="P11228" s="1"/>
      <c r="Q11228" s="1"/>
      <c r="R11228" s="1"/>
      <c r="S11228" s="1"/>
      <c r="T11228" s="1"/>
      <c r="U11228" s="1"/>
      <c r="V11228" s="1"/>
      <c r="W11228" s="1"/>
      <c r="X11228" s="1"/>
      <c r="Y11228" s="1"/>
      <c r="Z11228" s="1"/>
      <c r="AA11228" s="1"/>
      <c r="AB11228" s="1"/>
    </row>
    <row r="11229" ht="50.25" customHeight="1">
      <c r="A11229" s="12">
        <v>11225.0</v>
      </c>
      <c r="B11229" s="13" t="s">
        <v>10535</v>
      </c>
      <c r="C11229" s="18" t="s">
        <v>11257</v>
      </c>
      <c r="D11229" s="1"/>
      <c r="E11229" s="1"/>
      <c r="F11229" s="1" t="str">
        <f>IFERROR(__xludf.DUMMYFUNCTION("GOOGLETRANSLATE(B11229, ""en"", ""fa"")
"),"کپی رایتینگ II")</f>
        <v>کپی رایتینگ II</v>
      </c>
      <c r="G11229" s="1" t="str">
        <f>IFERROR(__xludf.DUMMYFUNCTION("GOOGLETRANSLATE(C11229, ""en"", ""fa"")
"),"چگونه می توان از رقابت ها یا چالش های محتوای تولید شده توسط کاربر برای تشویق مشارکت مخاطبان و ایجاد حس اجتماعی استفاده کرد.")</f>
        <v>چگونه می توان از رقابت ها یا چالش های محتوای تولید شده توسط کاربر برای تشویق مشارکت مخاطبان و ایجاد حس اجتماعی استفاده کرد.</v>
      </c>
      <c r="H11229" s="1"/>
      <c r="I11229" s="1"/>
      <c r="J11229" s="1"/>
      <c r="K11229" s="1"/>
      <c r="L11229" s="1"/>
      <c r="M11229" s="1"/>
      <c r="N11229" s="1"/>
      <c r="O11229" s="1"/>
      <c r="P11229" s="1"/>
      <c r="Q11229" s="1"/>
      <c r="R11229" s="1"/>
      <c r="S11229" s="1"/>
      <c r="T11229" s="1"/>
      <c r="U11229" s="1"/>
      <c r="V11229" s="1"/>
      <c r="W11229" s="1"/>
      <c r="X11229" s="1"/>
      <c r="Y11229" s="1"/>
      <c r="Z11229" s="1"/>
      <c r="AA11229" s="1"/>
      <c r="AB11229" s="1"/>
    </row>
    <row r="11230" ht="50.25" customHeight="1">
      <c r="A11230" s="12">
        <v>11226.0</v>
      </c>
      <c r="B11230" s="13" t="s">
        <v>10535</v>
      </c>
      <c r="C11230" s="18" t="s">
        <v>11258</v>
      </c>
      <c r="D11230" s="1"/>
      <c r="E11230" s="1"/>
      <c r="F11230" s="1" t="str">
        <f>IFERROR(__xludf.DUMMYFUNCTION("GOOGLETRANSLATE(B11230, ""en"", ""fa"")
"),"کپی رایتینگ II")</f>
        <v>کپی رایتینگ II</v>
      </c>
      <c r="G11230" s="1" t="str">
        <f>IFERROR(__xludf.DUMMYFUNCTION("GOOGLETRANSLATE(C11230, ""en"", ""fa"")
"),"در مورد اهمیت داستان سرایی احساسی در بازاریابی محتوا، استفاده از احساسات انسانی برای ایجاد ارتباط عمیق با مخاطبان خود بحث کنید.")</f>
        <v>در مورد اهمیت داستان سرایی احساسی در بازاریابی محتوا، استفاده از احساسات انسانی برای ایجاد ارتباط عمیق با مخاطبان خود بحث کنید.</v>
      </c>
      <c r="H11230" s="1"/>
      <c r="I11230" s="1"/>
      <c r="J11230" s="1"/>
      <c r="K11230" s="1"/>
      <c r="L11230" s="1"/>
      <c r="M11230" s="1"/>
      <c r="N11230" s="1"/>
      <c r="O11230" s="1"/>
      <c r="P11230" s="1"/>
      <c r="Q11230" s="1"/>
      <c r="R11230" s="1"/>
      <c r="S11230" s="1"/>
      <c r="T11230" s="1"/>
      <c r="U11230" s="1"/>
      <c r="V11230" s="1"/>
      <c r="W11230" s="1"/>
      <c r="X11230" s="1"/>
      <c r="Y11230" s="1"/>
      <c r="Z11230" s="1"/>
      <c r="AA11230" s="1"/>
      <c r="AB11230" s="1"/>
    </row>
    <row r="11231" ht="50.25" customHeight="1">
      <c r="A11231" s="12">
        <v>11227.0</v>
      </c>
      <c r="B11231" s="13" t="s">
        <v>10535</v>
      </c>
      <c r="C11231" s="18" t="s">
        <v>11259</v>
      </c>
      <c r="D11231" s="1"/>
      <c r="E11231" s="1"/>
      <c r="F11231" s="1" t="str">
        <f>IFERROR(__xludf.DUMMYFUNCTION("GOOGLETRANSLATE(B11231, ""en"", ""fa"")
"),"کپی رایتینگ II")</f>
        <v>کپی رایتینگ II</v>
      </c>
      <c r="G11231" s="1" t="str">
        <f>IFERROR(__xludf.DUMMYFUNCTION("GOOGLETRANSLATE(C11231, ""en"", ""fa"")
"),"چگونه محتوایی ایجاد کنید که نکات کاربردی، راهنماهای گام به گام یا آموزش هایی را برای کمک به مخاطبان خود در دستیابی به اهداف خود یا حل مشکلات ارائه می دهد.")</f>
        <v>چگونه محتوایی ایجاد کنید که نکات کاربردی، راهنماهای گام به گام یا آموزش هایی را برای کمک به مخاطبان خود در دستیابی به اهداف خود یا حل مشکلات ارائه می دهد.</v>
      </c>
      <c r="H11231" s="1"/>
      <c r="I11231" s="1"/>
      <c r="J11231" s="1"/>
      <c r="K11231" s="1"/>
      <c r="L11231" s="1"/>
      <c r="M11231" s="1"/>
      <c r="N11231" s="1"/>
      <c r="O11231" s="1"/>
      <c r="P11231" s="1"/>
      <c r="Q11231" s="1"/>
      <c r="R11231" s="1"/>
      <c r="S11231" s="1"/>
      <c r="T11231" s="1"/>
      <c r="U11231" s="1"/>
      <c r="V11231" s="1"/>
      <c r="W11231" s="1"/>
      <c r="X11231" s="1"/>
      <c r="Y11231" s="1"/>
      <c r="Z11231" s="1"/>
      <c r="AA11231" s="1"/>
      <c r="AB11231" s="1"/>
    </row>
    <row r="11232" ht="50.25" customHeight="1">
      <c r="A11232" s="12">
        <v>11228.0</v>
      </c>
      <c r="B11232" s="13" t="s">
        <v>10535</v>
      </c>
      <c r="C11232" s="18" t="s">
        <v>11260</v>
      </c>
      <c r="D11232" s="1"/>
      <c r="E11232" s="1"/>
      <c r="F11232" s="1" t="str">
        <f>IFERROR(__xludf.DUMMYFUNCTION("GOOGLETRANSLATE(B11232, ""en"", ""fa"")
"),"کپی رایتینگ II")</f>
        <v>کپی رایتینگ II</v>
      </c>
      <c r="G11232" s="1" t="str">
        <f>IFERROR(__xludf.DUMMYFUNCTION("GOOGLETRANSLATE(C11232, ""en"", ""fa"")
"),"راه‌های مختلف برای گنجاندن توصیه‌ها یا تاییدیه‌های اینفلوئنسرها در محتوای خود را بررسی کنید و از اعتبار و تخصص آنها استفاده کنید.")</f>
        <v>راه‌های مختلف برای گنجاندن توصیه‌ها یا تاییدیه‌های اینفلوئنسرها در محتوای خود را بررسی کنید و از اعتبار و تخصص آنها استفاده کنید.</v>
      </c>
      <c r="H11232" s="1"/>
      <c r="I11232" s="1"/>
      <c r="J11232" s="1"/>
      <c r="K11232" s="1"/>
      <c r="L11232" s="1"/>
      <c r="M11232" s="1"/>
      <c r="N11232" s="1"/>
      <c r="O11232" s="1"/>
      <c r="P11232" s="1"/>
      <c r="Q11232" s="1"/>
      <c r="R11232" s="1"/>
      <c r="S11232" s="1"/>
      <c r="T11232" s="1"/>
      <c r="U11232" s="1"/>
      <c r="V11232" s="1"/>
      <c r="W11232" s="1"/>
      <c r="X11232" s="1"/>
      <c r="Y11232" s="1"/>
      <c r="Z11232" s="1"/>
      <c r="AA11232" s="1"/>
      <c r="AB11232" s="1"/>
    </row>
    <row r="11233" ht="50.25" customHeight="1">
      <c r="A11233" s="12">
        <v>11229.0</v>
      </c>
      <c r="B11233" s="13" t="s">
        <v>10535</v>
      </c>
      <c r="C11233" s="18" t="s">
        <v>11261</v>
      </c>
      <c r="D11233" s="1"/>
      <c r="E11233" s="1"/>
      <c r="F11233" s="1" t="str">
        <f>IFERROR(__xludf.DUMMYFUNCTION("GOOGLETRANSLATE(B11233, ""en"", ""fa"")
"),"کپی رایتینگ II")</f>
        <v>کپی رایتینگ II</v>
      </c>
      <c r="G11233" s="1" t="str">
        <f>IFERROR(__xludf.DUMMYFUNCTION("GOOGLETRANSLATE(C11233, ""en"", ""fa"")
"),"چه استراتژی هایی برای ایجاد محتوایی وجود دارد که با شخصیت های مختلف مشتریان مطابقت داشته باشد، نیازها، اولویت ها و نقاط دردناک منحصر به فرد آنها را برطرف کند؟")</f>
        <v>چه استراتژی هایی برای ایجاد محتوایی وجود دارد که با شخصیت های مختلف مشتریان مطابقت داشته باشد، نیازها، اولویت ها و نقاط دردناک منحصر به فرد آنها را برطرف کند؟</v>
      </c>
      <c r="H11233" s="1"/>
      <c r="I11233" s="1"/>
      <c r="J11233" s="1"/>
      <c r="K11233" s="1"/>
      <c r="L11233" s="1"/>
      <c r="M11233" s="1"/>
      <c r="N11233" s="1"/>
      <c r="O11233" s="1"/>
      <c r="P11233" s="1"/>
      <c r="Q11233" s="1"/>
      <c r="R11233" s="1"/>
      <c r="S11233" s="1"/>
      <c r="T11233" s="1"/>
      <c r="U11233" s="1"/>
      <c r="V11233" s="1"/>
      <c r="W11233" s="1"/>
      <c r="X11233" s="1"/>
      <c r="Y11233" s="1"/>
      <c r="Z11233" s="1"/>
      <c r="AA11233" s="1"/>
      <c r="AB11233" s="1"/>
    </row>
    <row r="11234" ht="50.25" customHeight="1">
      <c r="A11234" s="12">
        <v>11230.0</v>
      </c>
      <c r="B11234" s="13" t="s">
        <v>10535</v>
      </c>
      <c r="C11234" s="18" t="s">
        <v>11262</v>
      </c>
      <c r="D11234" s="1"/>
      <c r="E11234" s="1"/>
      <c r="F11234" s="1" t="str">
        <f>IFERROR(__xludf.DUMMYFUNCTION("GOOGLETRANSLATE(B11234, ""en"", ""fa"")
"),"کپی رایتینگ II")</f>
        <v>کپی رایتینگ II</v>
      </c>
      <c r="G11234" s="1" t="str">
        <f>IFERROR(__xludf.DUMMYFUNCTION("GOOGLETRANSLATE(C11234, ""en"", ""fa"")
"),"نحوه بهینه سازی محتوای خود برای کلمات کلیدی طولانی و موضوعات خاص، هدف قرار دادن بخش های خاص مخاطب و جذب ترافیک بسیار واجد شرایط.")</f>
        <v>نحوه بهینه سازی محتوای خود برای کلمات کلیدی طولانی و موضوعات خاص، هدف قرار دادن بخش های خاص مخاطب و جذب ترافیک بسیار واجد شرایط.</v>
      </c>
      <c r="H11234" s="1"/>
      <c r="I11234" s="1"/>
      <c r="J11234" s="1"/>
      <c r="K11234" s="1"/>
      <c r="L11234" s="1"/>
      <c r="M11234" s="1"/>
      <c r="N11234" s="1"/>
      <c r="O11234" s="1"/>
      <c r="P11234" s="1"/>
      <c r="Q11234" s="1"/>
      <c r="R11234" s="1"/>
      <c r="S11234" s="1"/>
      <c r="T11234" s="1"/>
      <c r="U11234" s="1"/>
      <c r="V11234" s="1"/>
      <c r="W11234" s="1"/>
      <c r="X11234" s="1"/>
      <c r="Y11234" s="1"/>
      <c r="Z11234" s="1"/>
      <c r="AA11234" s="1"/>
      <c r="AB11234" s="1"/>
    </row>
    <row r="11235" ht="50.25" customHeight="1">
      <c r="A11235" s="12">
        <v>11231.0</v>
      </c>
      <c r="B11235" s="13" t="s">
        <v>10535</v>
      </c>
      <c r="C11235" s="18" t="s">
        <v>11263</v>
      </c>
      <c r="D11235" s="1"/>
      <c r="E11235" s="1"/>
      <c r="F11235" s="1" t="str">
        <f>IFERROR(__xludf.DUMMYFUNCTION("GOOGLETRANSLATE(B11235, ""en"", ""fa"")
"),"کپی رایتینگ II")</f>
        <v>کپی رایتینگ II</v>
      </c>
      <c r="G11235" s="1" t="str">
        <f>IFERROR(__xludf.DUMMYFUNCTION("GOOGLETRANSLATE(C11235, ""en"", ""fa"")
"),"در مورد نقش اشتراک محتوا و وبلاگ نویسی مهمان در گسترش دامنه دسترسی خود و جذب مخاطبان جدید بحث کنید.")</f>
        <v>در مورد نقش اشتراک محتوا و وبلاگ نویسی مهمان در گسترش دامنه دسترسی خود و جذب مخاطبان جدید بحث کنید.</v>
      </c>
      <c r="H11235" s="1"/>
      <c r="I11235" s="1"/>
      <c r="J11235" s="1"/>
      <c r="K11235" s="1"/>
      <c r="L11235" s="1"/>
      <c r="M11235" s="1"/>
      <c r="N11235" s="1"/>
      <c r="O11235" s="1"/>
      <c r="P11235" s="1"/>
      <c r="Q11235" s="1"/>
      <c r="R11235" s="1"/>
      <c r="S11235" s="1"/>
      <c r="T11235" s="1"/>
      <c r="U11235" s="1"/>
      <c r="V11235" s="1"/>
      <c r="W11235" s="1"/>
      <c r="X11235" s="1"/>
      <c r="Y11235" s="1"/>
      <c r="Z11235" s="1"/>
      <c r="AA11235" s="1"/>
      <c r="AB11235" s="1"/>
    </row>
    <row r="11236" ht="50.25" customHeight="1">
      <c r="A11236" s="12">
        <v>11232.0</v>
      </c>
      <c r="B11236" s="13" t="s">
        <v>10535</v>
      </c>
      <c r="C11236" s="18" t="s">
        <v>11264</v>
      </c>
      <c r="D11236" s="1"/>
      <c r="E11236" s="1"/>
      <c r="F11236" s="1" t="str">
        <f>IFERROR(__xludf.DUMMYFUNCTION("GOOGLETRANSLATE(B11236, ""en"", ""fa"")
"),"کپی رایتینگ II")</f>
        <v>کپی رایتینگ II</v>
      </c>
      <c r="G11236" s="1" t="str">
        <f>IFERROR(__xludf.DUMMYFUNCTION("GOOGLETRANSLATE(C11236, ""en"", ""fa"")
"),"چگونه محتوایی ایجاد کنید که تخصص و رهبری فکری شما را به نمایش بگذارد و برند شما را به عنوان یک منبع صنعت قابل اعتماد معرفی کند.")</f>
        <v>چگونه محتوایی ایجاد کنید که تخصص و رهبری فکری شما را به نمایش بگذارد و برند شما را به عنوان یک منبع صنعت قابل اعتماد معرفی کند.</v>
      </c>
      <c r="H11236" s="1"/>
      <c r="I11236" s="1"/>
      <c r="J11236" s="1"/>
      <c r="K11236" s="1"/>
      <c r="L11236" s="1"/>
      <c r="M11236" s="1"/>
      <c r="N11236" s="1"/>
      <c r="O11236" s="1"/>
      <c r="P11236" s="1"/>
      <c r="Q11236" s="1"/>
      <c r="R11236" s="1"/>
      <c r="S11236" s="1"/>
      <c r="T11236" s="1"/>
      <c r="U11236" s="1"/>
      <c r="V11236" s="1"/>
      <c r="W11236" s="1"/>
      <c r="X11236" s="1"/>
      <c r="Y11236" s="1"/>
      <c r="Z11236" s="1"/>
      <c r="AA11236" s="1"/>
      <c r="AB11236" s="1"/>
    </row>
    <row r="11237" ht="50.25" customHeight="1">
      <c r="A11237" s="12">
        <v>11233.0</v>
      </c>
      <c r="B11237" s="13" t="s">
        <v>10535</v>
      </c>
      <c r="C11237" s="18" t="s">
        <v>11265</v>
      </c>
      <c r="D11237" s="1"/>
      <c r="E11237" s="1"/>
      <c r="F11237" s="1" t="str">
        <f>IFERROR(__xludf.DUMMYFUNCTION("GOOGLETRANSLATE(B11237, ""en"", ""fa"")
"),"کپی رایتینگ II")</f>
        <v>کپی رایتینگ II</v>
      </c>
      <c r="G11237" s="1" t="str">
        <f>IFERROR(__xludf.DUMMYFUNCTION("GOOGLETRANSLATE(C11237, ""en"", ""fa"")
"),"روش‌های مختلف برای ایجاد ارتقاء محتوا، مانند کتاب‌های الکترونیکی، کاغذهای سفید یا قالب‌ها را کاوش کنید تا ارزش بیشتری برای مخاطبان خود ایجاد کنید.")</f>
        <v>روش‌های مختلف برای ایجاد ارتقاء محتوا، مانند کتاب‌های الکترونیکی، کاغذهای سفید یا قالب‌ها را کاوش کنید تا ارزش بیشتری برای مخاطبان خود ایجاد کنید.</v>
      </c>
      <c r="H11237" s="1"/>
      <c r="I11237" s="1"/>
      <c r="J11237" s="1"/>
      <c r="K11237" s="1"/>
      <c r="L11237" s="1"/>
      <c r="M11237" s="1"/>
      <c r="N11237" s="1"/>
      <c r="O11237" s="1"/>
      <c r="P11237" s="1"/>
      <c r="Q11237" s="1"/>
      <c r="R11237" s="1"/>
      <c r="S11237" s="1"/>
      <c r="T11237" s="1"/>
      <c r="U11237" s="1"/>
      <c r="V11237" s="1"/>
      <c r="W11237" s="1"/>
      <c r="X11237" s="1"/>
      <c r="Y11237" s="1"/>
      <c r="Z11237" s="1"/>
      <c r="AA11237" s="1"/>
      <c r="AB11237" s="1"/>
    </row>
    <row r="11238" ht="50.25" customHeight="1">
      <c r="A11238" s="12">
        <v>11234.0</v>
      </c>
      <c r="B11238" s="13" t="s">
        <v>10535</v>
      </c>
      <c r="C11238" s="18" t="s">
        <v>11266</v>
      </c>
      <c r="D11238" s="1"/>
      <c r="E11238" s="1"/>
      <c r="F11238" s="1" t="str">
        <f>IFERROR(__xludf.DUMMYFUNCTION("GOOGLETRANSLATE(B11238, ""en"", ""fa"")
"),"کپی رایتینگ II")</f>
        <v>کپی رایتینگ II</v>
      </c>
      <c r="G11238" s="1" t="str">
        <f>IFERROR(__xludf.DUMMYFUNCTION("GOOGLETRANSLATE(C11238, ""en"", ""fa"")
"),"بهترین روش‌ها برای انجام تست A/B بر روی محتوای شما، آزمایش با سرفصل‌ها، قالب‌ها یا فراخوان‌های مختلف برای بهینه‌سازی عملکرد چیست.")</f>
        <v>بهترین روش‌ها برای انجام تست A/B بر روی محتوای شما، آزمایش با سرفصل‌ها، قالب‌ها یا فراخوان‌های مختلف برای بهینه‌سازی عملکرد چیست.</v>
      </c>
      <c r="H11238" s="1"/>
      <c r="I11238" s="1"/>
      <c r="J11238" s="1"/>
      <c r="K11238" s="1"/>
      <c r="L11238" s="1"/>
      <c r="M11238" s="1"/>
      <c r="N11238" s="1"/>
      <c r="O11238" s="1"/>
      <c r="P11238" s="1"/>
      <c r="Q11238" s="1"/>
      <c r="R11238" s="1"/>
      <c r="S11238" s="1"/>
      <c r="T11238" s="1"/>
      <c r="U11238" s="1"/>
      <c r="V11238" s="1"/>
      <c r="W11238" s="1"/>
      <c r="X11238" s="1"/>
      <c r="Y11238" s="1"/>
      <c r="Z11238" s="1"/>
      <c r="AA11238" s="1"/>
      <c r="AB11238" s="1"/>
    </row>
    <row r="11239" ht="50.25" customHeight="1">
      <c r="A11239" s="12">
        <v>11235.0</v>
      </c>
      <c r="B11239" s="13" t="s">
        <v>10535</v>
      </c>
      <c r="C11239" s="18" t="s">
        <v>11267</v>
      </c>
      <c r="D11239" s="1"/>
      <c r="E11239" s="1"/>
      <c r="F11239" s="1" t="str">
        <f>IFERROR(__xludf.DUMMYFUNCTION("GOOGLETRANSLATE(B11239, ""en"", ""fa"")
"),"کپی رایتینگ II")</f>
        <v>کپی رایتینگ II</v>
      </c>
      <c r="G11239" s="1" t="str">
        <f>IFERROR(__xludf.DUMMYFUNCTION("GOOGLETRANSLATE(C11239, ""en"", ""fa"")
"),"چگونه از تکنیک های بازاریابی مجدد محتوا و هدف گذاری مجدد برای ارتباط مجدد با بازدیدکنندگان قبلی و پرورش آنها به سمت تبدیل استفاده کنیم.")</f>
        <v>چگونه از تکنیک های بازاریابی مجدد محتوا و هدف گذاری مجدد برای ارتباط مجدد با بازدیدکنندگان قبلی و پرورش آنها به سمت تبدیل استفاده کنیم.</v>
      </c>
      <c r="H11239" s="1"/>
      <c r="I11239" s="1"/>
      <c r="J11239" s="1"/>
      <c r="K11239" s="1"/>
      <c r="L11239" s="1"/>
      <c r="M11239" s="1"/>
      <c r="N11239" s="1"/>
      <c r="O11239" s="1"/>
      <c r="P11239" s="1"/>
      <c r="Q11239" s="1"/>
      <c r="R11239" s="1"/>
      <c r="S11239" s="1"/>
      <c r="T11239" s="1"/>
      <c r="U11239" s="1"/>
      <c r="V11239" s="1"/>
      <c r="W11239" s="1"/>
      <c r="X11239" s="1"/>
      <c r="Y11239" s="1"/>
      <c r="Z11239" s="1"/>
      <c r="AA11239" s="1"/>
      <c r="AB11239" s="1"/>
    </row>
    <row r="11240" ht="50.25" customHeight="1">
      <c r="A11240" s="12">
        <v>11236.0</v>
      </c>
      <c r="B11240" s="13" t="s">
        <v>10535</v>
      </c>
      <c r="C11240" s="18" t="s">
        <v>11268</v>
      </c>
      <c r="D11240" s="1"/>
      <c r="E11240" s="1"/>
      <c r="F11240" s="1" t="str">
        <f>IFERROR(__xludf.DUMMYFUNCTION("GOOGLETRANSLATE(B11240, ""en"", ""fa"")
"),"کپی رایتینگ II")</f>
        <v>کپی رایتینگ II</v>
      </c>
      <c r="G11240" s="1" t="str">
        <f>IFERROR(__xludf.DUMMYFUNCTION("GOOGLETRANSLATE(C11240, ""en"", ""fa"")
"),"در مورد اهمیت کیفیت محتوا و ثبات در ایجاد اعتماد و وفاداری با مخاطبان خود بحث کنید.")</f>
        <v>در مورد اهمیت کیفیت محتوا و ثبات در ایجاد اعتماد و وفاداری با مخاطبان خود بحث کنید.</v>
      </c>
      <c r="H11240" s="1"/>
      <c r="I11240" s="1"/>
      <c r="J11240" s="1"/>
      <c r="K11240" s="1"/>
      <c r="L11240" s="1"/>
      <c r="M11240" s="1"/>
      <c r="N11240" s="1"/>
      <c r="O11240" s="1"/>
      <c r="P11240" s="1"/>
      <c r="Q11240" s="1"/>
      <c r="R11240" s="1"/>
      <c r="S11240" s="1"/>
      <c r="T11240" s="1"/>
      <c r="U11240" s="1"/>
      <c r="V11240" s="1"/>
      <c r="W11240" s="1"/>
      <c r="X11240" s="1"/>
      <c r="Y11240" s="1"/>
      <c r="Z11240" s="1"/>
      <c r="AA11240" s="1"/>
      <c r="AB11240" s="1"/>
    </row>
    <row r="11241" ht="50.25" customHeight="1">
      <c r="A11241" s="12">
        <v>11237.0</v>
      </c>
      <c r="B11241" s="13" t="s">
        <v>10535</v>
      </c>
      <c r="C11241" s="18" t="s">
        <v>11269</v>
      </c>
      <c r="D11241" s="1"/>
      <c r="E11241" s="1"/>
      <c r="F11241" s="1" t="str">
        <f>IFERROR(__xludf.DUMMYFUNCTION("GOOGLETRANSLATE(B11241, ""en"", ""fa"")
"),"کپی رایتینگ II")</f>
        <v>کپی رایتینگ II</v>
      </c>
      <c r="G11241" s="1" t="str">
        <f>IFERROR(__xludf.DUMMYFUNCTION("GOOGLETRANSLATE(C11241, ""en"", ""fa"")
"),"چگونه می توان محتوایی ایجاد کرد که به اعتراضات و شک و تردیدها رسیدگی کند، با ارائه شواهد، مطالعات موردی، یا گواهی برای کاهش شک و تردید.")</f>
        <v>چگونه می توان محتوایی ایجاد کرد که به اعتراضات و شک و تردیدها رسیدگی کند، با ارائه شواهد، مطالعات موردی، یا گواهی برای کاهش شک و تردید.</v>
      </c>
      <c r="H11241" s="1"/>
      <c r="I11241" s="1"/>
      <c r="J11241" s="1"/>
      <c r="K11241" s="1"/>
      <c r="L11241" s="1"/>
      <c r="M11241" s="1"/>
      <c r="N11241" s="1"/>
      <c r="O11241" s="1"/>
      <c r="P11241" s="1"/>
      <c r="Q11241" s="1"/>
      <c r="R11241" s="1"/>
      <c r="S11241" s="1"/>
      <c r="T11241" s="1"/>
      <c r="U11241" s="1"/>
      <c r="V11241" s="1"/>
      <c r="W11241" s="1"/>
      <c r="X11241" s="1"/>
      <c r="Y11241" s="1"/>
      <c r="Z11241" s="1"/>
      <c r="AA11241" s="1"/>
      <c r="AB11241" s="1"/>
    </row>
    <row r="11242" ht="50.25" customHeight="1">
      <c r="A11242" s="12">
        <v>11238.0</v>
      </c>
      <c r="B11242" s="13" t="s">
        <v>10535</v>
      </c>
      <c r="C11242" s="18" t="s">
        <v>11270</v>
      </c>
      <c r="D11242" s="1"/>
      <c r="E11242" s="1"/>
      <c r="F11242" s="1" t="str">
        <f>IFERROR(__xludf.DUMMYFUNCTION("GOOGLETRANSLATE(B11242, ""en"", ""fa"")
"),"کپی رایتینگ II")</f>
        <v>کپی رایتینگ II</v>
      </c>
      <c r="G11242" s="1" t="str">
        <f>IFERROR(__xludf.DUMMYFUNCTION("GOOGLETRANSLATE(C11242, ""en"", ""fa"")
"),"راه‌های مختلف برای بهینه‌سازی محتوای خود برای اشتراک‌گذاری رسانه‌های اجتماعی، از جمله استفاده از تصاویر جذاب، تیترهای جذاب، یا دکمه‌های اشتراک‌گذاری را بررسی کنید.")</f>
        <v>راه‌های مختلف برای بهینه‌سازی محتوای خود برای اشتراک‌گذاری رسانه‌های اجتماعی، از جمله استفاده از تصاویر جذاب، تیترهای جذاب، یا دکمه‌های اشتراک‌گذاری را بررسی کنید.</v>
      </c>
      <c r="H11242" s="1"/>
      <c r="I11242" s="1"/>
      <c r="J11242" s="1"/>
      <c r="K11242" s="1"/>
      <c r="L11242" s="1"/>
      <c r="M11242" s="1"/>
      <c r="N11242" s="1"/>
      <c r="O11242" s="1"/>
      <c r="P11242" s="1"/>
      <c r="Q11242" s="1"/>
      <c r="R11242" s="1"/>
      <c r="S11242" s="1"/>
      <c r="T11242" s="1"/>
      <c r="U11242" s="1"/>
      <c r="V11242" s="1"/>
      <c r="W11242" s="1"/>
      <c r="X11242" s="1"/>
      <c r="Y11242" s="1"/>
      <c r="Z11242" s="1"/>
      <c r="AA11242" s="1"/>
      <c r="AB11242" s="1"/>
    </row>
    <row r="11243" ht="50.25" customHeight="1">
      <c r="A11243" s="12">
        <v>11239.0</v>
      </c>
      <c r="B11243" s="13" t="s">
        <v>10535</v>
      </c>
      <c r="C11243" s="18" t="s">
        <v>11271</v>
      </c>
      <c r="D11243" s="1"/>
      <c r="E11243" s="1"/>
      <c r="F11243" s="1" t="str">
        <f>IFERROR(__xludf.DUMMYFUNCTION("GOOGLETRANSLATE(B11243, ""en"", ""fa"")
"),"کپی رایتینگ II")</f>
        <v>کپی رایتینگ II</v>
      </c>
      <c r="G11243" s="1" t="str">
        <f>IFERROR(__xludf.DUMMYFUNCTION("GOOGLETRANSLATE(C11243, ""en"", ""fa"")
"),"چه استراتژی هایی برای ایجاد محتوایی وجود دارد که الهام بخش و برانگیخته مخاطبان شما باشد و از آرزوها و اهداف آنها استفاده کند.")</f>
        <v>چه استراتژی هایی برای ایجاد محتوایی وجود دارد که الهام بخش و برانگیخته مخاطبان شما باشد و از آرزوها و اهداف آنها استفاده کند.</v>
      </c>
      <c r="H11243" s="1"/>
      <c r="I11243" s="1"/>
      <c r="J11243" s="1"/>
      <c r="K11243" s="1"/>
      <c r="L11243" s="1"/>
      <c r="M11243" s="1"/>
      <c r="N11243" s="1"/>
      <c r="O11243" s="1"/>
      <c r="P11243" s="1"/>
      <c r="Q11243" s="1"/>
      <c r="R11243" s="1"/>
      <c r="S11243" s="1"/>
      <c r="T11243" s="1"/>
      <c r="U11243" s="1"/>
      <c r="V11243" s="1"/>
      <c r="W11243" s="1"/>
      <c r="X11243" s="1"/>
      <c r="Y11243" s="1"/>
      <c r="Z11243" s="1"/>
      <c r="AA11243" s="1"/>
      <c r="AB11243" s="1"/>
    </row>
    <row r="11244" ht="50.25" customHeight="1">
      <c r="A11244" s="12">
        <v>11240.0</v>
      </c>
      <c r="B11244" s="13" t="s">
        <v>10535</v>
      </c>
      <c r="C11244" s="18" t="s">
        <v>11272</v>
      </c>
      <c r="D11244" s="1"/>
      <c r="E11244" s="1"/>
      <c r="F11244" s="1" t="str">
        <f>IFERROR(__xludf.DUMMYFUNCTION("GOOGLETRANSLATE(B11244, ""en"", ""fa"")
"),"کپی رایتینگ II")</f>
        <v>کپی رایتینگ II</v>
      </c>
      <c r="G11244" s="1" t="str">
        <f>IFERROR(__xludf.DUMMYFUNCTION("GOOGLETRANSLATE(C11244, ""en"", ""fa"")
"),"چگونه از محتوای تولید شده توسط کاربر، مانند نظرات مشتریان یا ذکر رسانه های اجتماعی، برای تقویت محتوا و اثبات اجتماعی خود استفاده کنید.")</f>
        <v>چگونه از محتوای تولید شده توسط کاربر، مانند نظرات مشتریان یا ذکر رسانه های اجتماعی، برای تقویت محتوا و اثبات اجتماعی خود استفاده کنید.</v>
      </c>
      <c r="H11244" s="1"/>
      <c r="I11244" s="1"/>
      <c r="J11244" s="1"/>
      <c r="K11244" s="1"/>
      <c r="L11244" s="1"/>
      <c r="M11244" s="1"/>
      <c r="N11244" s="1"/>
      <c r="O11244" s="1"/>
      <c r="P11244" s="1"/>
      <c r="Q11244" s="1"/>
      <c r="R11244" s="1"/>
      <c r="S11244" s="1"/>
      <c r="T11244" s="1"/>
      <c r="U11244" s="1"/>
      <c r="V11244" s="1"/>
      <c r="W11244" s="1"/>
      <c r="X11244" s="1"/>
      <c r="Y11244" s="1"/>
      <c r="Z11244" s="1"/>
      <c r="AA11244" s="1"/>
      <c r="AB11244" s="1"/>
    </row>
    <row r="11245" ht="50.25" customHeight="1">
      <c r="A11245" s="12">
        <v>11241.0</v>
      </c>
      <c r="B11245" s="13" t="s">
        <v>10535</v>
      </c>
      <c r="C11245" s="18" t="s">
        <v>11273</v>
      </c>
      <c r="D11245" s="1"/>
      <c r="E11245" s="1"/>
      <c r="F11245" s="1" t="str">
        <f>IFERROR(__xludf.DUMMYFUNCTION("GOOGLETRANSLATE(B11245, ""en"", ""fa"")
"),"کپی رایتینگ II")</f>
        <v>کپی رایتینگ II</v>
      </c>
      <c r="G11245" s="1" t="str">
        <f>IFERROR(__xludf.DUMMYFUNCTION("GOOGLETRANSLATE(C11245, ""en"", ""fa"")
"),"چگونه محتوایی ایجاد کنید که به مخاطبان شما آموزش داده و توانمند می‌کند و بینش‌های ارزشمند و نکات مهمی را ارائه می‌دهد.")</f>
        <v>چگونه محتوایی ایجاد کنید که به مخاطبان شما آموزش داده و توانمند می‌کند و بینش‌های ارزشمند و نکات مهمی را ارائه می‌دهد.</v>
      </c>
      <c r="H11245" s="1"/>
      <c r="I11245" s="1"/>
      <c r="J11245" s="1"/>
      <c r="K11245" s="1"/>
      <c r="L11245" s="1"/>
      <c r="M11245" s="1"/>
      <c r="N11245" s="1"/>
      <c r="O11245" s="1"/>
      <c r="P11245" s="1"/>
      <c r="Q11245" s="1"/>
      <c r="R11245" s="1"/>
      <c r="S11245" s="1"/>
      <c r="T11245" s="1"/>
      <c r="U11245" s="1"/>
      <c r="V11245" s="1"/>
      <c r="W11245" s="1"/>
      <c r="X11245" s="1"/>
      <c r="Y11245" s="1"/>
      <c r="Z11245" s="1"/>
      <c r="AA11245" s="1"/>
      <c r="AB11245" s="1"/>
    </row>
    <row r="11246" ht="50.25" customHeight="1">
      <c r="A11246" s="12">
        <v>11242.0</v>
      </c>
      <c r="B11246" s="13" t="s">
        <v>10535</v>
      </c>
      <c r="C11246" s="18" t="s">
        <v>11274</v>
      </c>
      <c r="D11246" s="1"/>
      <c r="E11246" s="1"/>
      <c r="F11246" s="1" t="str">
        <f>IFERROR(__xludf.DUMMYFUNCTION("GOOGLETRANSLATE(B11246, ""en"", ""fa"")
"),"کپی رایتینگ II")</f>
        <v>کپی رایتینگ II</v>
      </c>
      <c r="G11246" s="1" t="str">
        <f>IFERROR(__xludf.DUMMYFUNCTION("GOOGLETRANSLATE(C11246, ""en"", ""fa"")
"),"روش های مختلف را برای بهینه سازی محتوای خود برای جستجوی صوتی، با در نظر گرفتن پرس و جوهای زبان طبیعی و الگوهای جستجوی مکالمه، کاوش کنید.")</f>
        <v>روش های مختلف را برای بهینه سازی محتوای خود برای جستجوی صوتی، با در نظر گرفتن پرس و جوهای زبان طبیعی و الگوهای جستجوی مکالمه، کاوش کنید.</v>
      </c>
      <c r="H11246" s="1"/>
      <c r="I11246" s="1"/>
      <c r="J11246" s="1"/>
      <c r="K11246" s="1"/>
      <c r="L11246" s="1"/>
      <c r="M11246" s="1"/>
      <c r="N11246" s="1"/>
      <c r="O11246" s="1"/>
      <c r="P11246" s="1"/>
      <c r="Q11246" s="1"/>
      <c r="R11246" s="1"/>
      <c r="S11246" s="1"/>
      <c r="T11246" s="1"/>
      <c r="U11246" s="1"/>
      <c r="V11246" s="1"/>
      <c r="W11246" s="1"/>
      <c r="X11246" s="1"/>
      <c r="Y11246" s="1"/>
      <c r="Z11246" s="1"/>
      <c r="AA11246" s="1"/>
      <c r="AB11246" s="1"/>
    </row>
    <row r="11247" ht="50.25" customHeight="1">
      <c r="A11247" s="12">
        <v>11243.0</v>
      </c>
      <c r="B11247" s="13" t="s">
        <v>10535</v>
      </c>
      <c r="C11247" s="18" t="s">
        <v>11275</v>
      </c>
      <c r="D11247" s="1"/>
      <c r="E11247" s="1"/>
      <c r="F11247" s="1" t="str">
        <f>IFERROR(__xludf.DUMMYFUNCTION("GOOGLETRANSLATE(B11247, ""en"", ""fa"")
"),"کپی رایتینگ II")</f>
        <v>کپی رایتینگ II</v>
      </c>
      <c r="G11247" s="1" t="str">
        <f>IFERROR(__xludf.DUMMYFUNCTION("GOOGLETRANSLATE(C11247, ""en"", ""fa"")
"),"بهترین شیوه ها برای ایجاد محتوایی که با مراحل مختلف سفر مشتری، از آگاهی گرفته تا وفاداری و حمایت، همسو باشد، چیست؟")</f>
        <v>بهترین شیوه ها برای ایجاد محتوایی که با مراحل مختلف سفر مشتری، از آگاهی گرفته تا وفاداری و حمایت، همسو باشد، چیست؟</v>
      </c>
      <c r="H11247" s="1"/>
      <c r="I11247" s="1"/>
      <c r="J11247" s="1"/>
      <c r="K11247" s="1"/>
      <c r="L11247" s="1"/>
      <c r="M11247" s="1"/>
      <c r="N11247" s="1"/>
      <c r="O11247" s="1"/>
      <c r="P11247" s="1"/>
      <c r="Q11247" s="1"/>
      <c r="R11247" s="1"/>
      <c r="S11247" s="1"/>
      <c r="T11247" s="1"/>
      <c r="U11247" s="1"/>
      <c r="V11247" s="1"/>
      <c r="W11247" s="1"/>
      <c r="X11247" s="1"/>
      <c r="Y11247" s="1"/>
      <c r="Z11247" s="1"/>
      <c r="AA11247" s="1"/>
      <c r="AB11247" s="1"/>
    </row>
    <row r="11248" ht="50.25" customHeight="1">
      <c r="A11248" s="12">
        <v>11244.0</v>
      </c>
      <c r="B11248" s="13" t="s">
        <v>10535</v>
      </c>
      <c r="C11248" s="18" t="s">
        <v>11276</v>
      </c>
      <c r="D11248" s="1"/>
      <c r="E11248" s="1"/>
      <c r="F11248" s="1" t="str">
        <f>IFERROR(__xludf.DUMMYFUNCTION("GOOGLETRANSLATE(B11248, ""en"", ""fa"")
"),"کپی رایتینگ II")</f>
        <v>کپی رایتینگ II</v>
      </c>
      <c r="G11248" s="1" t="str">
        <f>IFERROR(__xludf.DUMMYFUNCTION("GOOGLETRANSLATE(C11248, ""en"", ""fa"")
"),"چگونه از بینش‌ها و تحلیل‌های مبتنی بر داده برای اندازه‌گیری عملکرد محتوای خود و تصمیم‌گیری مبتنی بر داده برای بهینه‌سازی استفاده کنید.")</f>
        <v>چگونه از بینش‌ها و تحلیل‌های مبتنی بر داده برای اندازه‌گیری عملکرد محتوای خود و تصمیم‌گیری مبتنی بر داده برای بهینه‌سازی استفاده کنید.</v>
      </c>
      <c r="H11248" s="1"/>
      <c r="I11248" s="1"/>
      <c r="J11248" s="1"/>
      <c r="K11248" s="1"/>
      <c r="L11248" s="1"/>
      <c r="M11248" s="1"/>
      <c r="N11248" s="1"/>
      <c r="O11248" s="1"/>
      <c r="P11248" s="1"/>
      <c r="Q11248" s="1"/>
      <c r="R11248" s="1"/>
      <c r="S11248" s="1"/>
      <c r="T11248" s="1"/>
      <c r="U11248" s="1"/>
      <c r="V11248" s="1"/>
      <c r="W11248" s="1"/>
      <c r="X11248" s="1"/>
      <c r="Y11248" s="1"/>
      <c r="Z11248" s="1"/>
      <c r="AA11248" s="1"/>
      <c r="AB11248" s="1"/>
    </row>
    <row r="11249" ht="50.25" customHeight="1">
      <c r="A11249" s="12">
        <v>11245.0</v>
      </c>
      <c r="B11249" s="13" t="s">
        <v>10535</v>
      </c>
      <c r="C11249" s="18" t="s">
        <v>11277</v>
      </c>
      <c r="D11249" s="1"/>
      <c r="E11249" s="1"/>
      <c r="F11249" s="1" t="str">
        <f>IFERROR(__xludf.DUMMYFUNCTION("GOOGLETRANSLATE(B11249, ""en"", ""fa"")
"),"کپی رایتینگ II")</f>
        <v>کپی رایتینگ II</v>
      </c>
      <c r="G11249" s="1" t="str">
        <f>IFERROR(__xludf.DUMMYFUNCTION("GOOGLETRANSLATE(C11249, ""en"", ""fa"")
"),"در مورد اهمیت ایجاد محتوایی که از نظر بصری جذاب باشد، با استفاده از تصاویر، اینفوگرافیک ها یا ویدیوهای با کیفیت بالا برای افزایش تعامل صحبت کنید.")</f>
        <v>در مورد اهمیت ایجاد محتوایی که از نظر بصری جذاب باشد، با استفاده از تصاویر، اینفوگرافیک ها یا ویدیوهای با کیفیت بالا برای افزایش تعامل صحبت کنید.</v>
      </c>
      <c r="H11249" s="1"/>
      <c r="I11249" s="1"/>
      <c r="J11249" s="1"/>
      <c r="K11249" s="1"/>
      <c r="L11249" s="1"/>
      <c r="M11249" s="1"/>
      <c r="N11249" s="1"/>
      <c r="O11249" s="1"/>
      <c r="P11249" s="1"/>
      <c r="Q11249" s="1"/>
      <c r="R11249" s="1"/>
      <c r="S11249" s="1"/>
      <c r="T11249" s="1"/>
      <c r="U11249" s="1"/>
      <c r="V11249" s="1"/>
      <c r="W11249" s="1"/>
      <c r="X11249" s="1"/>
      <c r="Y11249" s="1"/>
      <c r="Z11249" s="1"/>
      <c r="AA11249" s="1"/>
      <c r="AB11249" s="1"/>
    </row>
    <row r="11250" ht="50.25" customHeight="1">
      <c r="A11250" s="12">
        <v>11246.0</v>
      </c>
      <c r="B11250" s="13" t="s">
        <v>10535</v>
      </c>
      <c r="C11250" s="18" t="s">
        <v>11278</v>
      </c>
      <c r="D11250" s="1"/>
      <c r="E11250" s="1"/>
      <c r="F11250" s="1" t="str">
        <f>IFERROR(__xludf.DUMMYFUNCTION("GOOGLETRANSLATE(B11250, ""en"", ""fa"")
"),"کپی رایتینگ II")</f>
        <v>کپی رایتینگ II</v>
      </c>
      <c r="G11250" s="1" t="str">
        <f>IFERROR(__xludf.DUMMYFUNCTION("GOOGLETRANSLATE(C11250, ""en"", ""fa"")
"),"چگونه عناصر داستان سرایی، مانند روایت‌های قانع‌کننده یا توسعه شخصیت‌ها را در محتوای خود بگنجانید تا مخاطبان خود را مجذوب و طنین‌انداز کنید.")</f>
        <v>چگونه عناصر داستان سرایی، مانند روایت‌های قانع‌کننده یا توسعه شخصیت‌ها را در محتوای خود بگنجانید تا مخاطبان خود را مجذوب و طنین‌انداز کنید.</v>
      </c>
      <c r="H11250" s="1"/>
      <c r="I11250" s="1"/>
      <c r="J11250" s="1"/>
      <c r="K11250" s="1"/>
      <c r="L11250" s="1"/>
      <c r="M11250" s="1"/>
      <c r="N11250" s="1"/>
      <c r="O11250" s="1"/>
      <c r="P11250" s="1"/>
      <c r="Q11250" s="1"/>
      <c r="R11250" s="1"/>
      <c r="S11250" s="1"/>
      <c r="T11250" s="1"/>
      <c r="U11250" s="1"/>
      <c r="V11250" s="1"/>
      <c r="W11250" s="1"/>
      <c r="X11250" s="1"/>
      <c r="Y11250" s="1"/>
      <c r="Z11250" s="1"/>
      <c r="AA11250" s="1"/>
      <c r="AB11250" s="1"/>
    </row>
    <row r="11251" ht="50.25" customHeight="1">
      <c r="A11251" s="12">
        <v>11247.0</v>
      </c>
      <c r="B11251" s="13" t="s">
        <v>10535</v>
      </c>
      <c r="C11251" s="18" t="s">
        <v>11279</v>
      </c>
      <c r="D11251" s="1"/>
      <c r="E11251" s="1"/>
      <c r="F11251" s="1" t="str">
        <f>IFERROR(__xludf.DUMMYFUNCTION("GOOGLETRANSLATE(B11251, ""en"", ""fa"")
"),"کپی رایتینگ II")</f>
        <v>کپی رایتینگ II</v>
      </c>
      <c r="G11251" s="1" t="str">
        <f>IFERROR(__xludf.DUMMYFUNCTION("GOOGLETRANSLATE(C11251, ""en"", ""fa"")
"),"راه‌های مختلفی را برای تغییر هدف محتوای موجود خود در قالب‌های مختلف، مانند ویدیو، پادکست، یا اسلاید دک، برای دستیابی به مخاطبان جدید کاوش کنید.")</f>
        <v>راه‌های مختلفی را برای تغییر هدف محتوای موجود خود در قالب‌های مختلف، مانند ویدیو، پادکست، یا اسلاید دک، برای دستیابی به مخاطبان جدید کاوش کنید.</v>
      </c>
      <c r="H11251" s="1"/>
      <c r="I11251" s="1"/>
      <c r="J11251" s="1"/>
      <c r="K11251" s="1"/>
      <c r="L11251" s="1"/>
      <c r="M11251" s="1"/>
      <c r="N11251" s="1"/>
      <c r="O11251" s="1"/>
      <c r="P11251" s="1"/>
      <c r="Q11251" s="1"/>
      <c r="R11251" s="1"/>
      <c r="S11251" s="1"/>
      <c r="T11251" s="1"/>
      <c r="U11251" s="1"/>
      <c r="V11251" s="1"/>
      <c r="W11251" s="1"/>
      <c r="X11251" s="1"/>
      <c r="Y11251" s="1"/>
      <c r="Z11251" s="1"/>
      <c r="AA11251" s="1"/>
      <c r="AB11251" s="1"/>
    </row>
    <row r="11252" ht="50.25" customHeight="1">
      <c r="A11252" s="12">
        <v>11248.0</v>
      </c>
      <c r="B11252" s="13" t="s">
        <v>10535</v>
      </c>
      <c r="C11252" s="18" t="s">
        <v>11280</v>
      </c>
      <c r="D11252" s="1"/>
      <c r="E11252" s="1"/>
      <c r="F11252" s="1" t="str">
        <f>IFERROR(__xludf.DUMMYFUNCTION("GOOGLETRANSLATE(B11252, ""en"", ""fa"")
"),"کپی رایتینگ II")</f>
        <v>کپی رایتینگ II</v>
      </c>
      <c r="G11252" s="1" t="str">
        <f>IFERROR(__xludf.DUMMYFUNCTION("GOOGLETRANSLATE(C11252, ""en"", ""fa"")
"),"چه استراتژی هایی برای ایجاد محتوایی وجود دارد که جرقه مکالمات را برانگیزد و مشارکت مخاطب را تشویق کند، مانند پرسیدن سؤالات فکری یا درخواست بازخورد.")</f>
        <v>چه استراتژی هایی برای ایجاد محتوایی وجود دارد که جرقه مکالمات را برانگیزد و مشارکت مخاطب را تشویق کند، مانند پرسیدن سؤالات فکری یا درخواست بازخورد.</v>
      </c>
      <c r="H11252" s="1"/>
      <c r="I11252" s="1"/>
      <c r="J11252" s="1"/>
      <c r="K11252" s="1"/>
      <c r="L11252" s="1"/>
      <c r="M11252" s="1"/>
      <c r="N11252" s="1"/>
      <c r="O11252" s="1"/>
      <c r="P11252" s="1"/>
      <c r="Q11252" s="1"/>
      <c r="R11252" s="1"/>
      <c r="S11252" s="1"/>
      <c r="T11252" s="1"/>
      <c r="U11252" s="1"/>
      <c r="V11252" s="1"/>
      <c r="W11252" s="1"/>
      <c r="X11252" s="1"/>
      <c r="Y11252" s="1"/>
      <c r="Z11252" s="1"/>
      <c r="AA11252" s="1"/>
      <c r="AB11252" s="1"/>
    </row>
    <row r="11253" ht="50.25" customHeight="1">
      <c r="A11253" s="12">
        <v>11249.0</v>
      </c>
      <c r="B11253" s="13" t="s">
        <v>10535</v>
      </c>
      <c r="C11253" s="18" t="s">
        <v>11281</v>
      </c>
      <c r="D11253" s="1"/>
      <c r="E11253" s="1"/>
      <c r="F11253" s="1" t="str">
        <f>IFERROR(__xludf.DUMMYFUNCTION("GOOGLETRANSLATE(B11253, ""en"", ""fa"")
"),"کپی رایتینگ II")</f>
        <v>کپی رایتینگ II</v>
      </c>
      <c r="G11253" s="1" t="str">
        <f>IFERROR(__xludf.DUMMYFUNCTION("GOOGLETRANSLATE(C11253, ""en"", ""fa"")
"),"چگونه محتوای خود را برای موتورهای جستجو بهینه کنید، از جمله تحقیق کلمات کلیدی، بهینه سازی در صفحه و تکنیک های لینک سازی.")</f>
        <v>چگونه محتوای خود را برای موتورهای جستجو بهینه کنید، از جمله تحقیق کلمات کلیدی، بهینه سازی در صفحه و تکنیک های لینک سازی.</v>
      </c>
      <c r="H11253" s="1"/>
      <c r="I11253" s="1"/>
      <c r="J11253" s="1"/>
      <c r="K11253" s="1"/>
      <c r="L11253" s="1"/>
      <c r="M11253" s="1"/>
      <c r="N11253" s="1"/>
      <c r="O11253" s="1"/>
      <c r="P11253" s="1"/>
      <c r="Q11253" s="1"/>
      <c r="R11253" s="1"/>
      <c r="S11253" s="1"/>
      <c r="T11253" s="1"/>
      <c r="U11253" s="1"/>
      <c r="V11253" s="1"/>
      <c r="W11253" s="1"/>
      <c r="X11253" s="1"/>
      <c r="Y11253" s="1"/>
      <c r="Z11253" s="1"/>
      <c r="AA11253" s="1"/>
      <c r="AB11253" s="1"/>
    </row>
    <row r="11254" ht="50.25" customHeight="1">
      <c r="A11254" s="12">
        <v>11250.0</v>
      </c>
      <c r="B11254" s="13" t="s">
        <v>10535</v>
      </c>
      <c r="C11254" s="18" t="s">
        <v>11282</v>
      </c>
      <c r="D11254" s="1"/>
      <c r="E11254" s="1"/>
      <c r="F11254" s="1" t="str">
        <f>IFERROR(__xludf.DUMMYFUNCTION("GOOGLETRANSLATE(B11254, ""en"", ""fa"")
"),"کپی رایتینگ II")</f>
        <v>کپی رایتینگ II</v>
      </c>
      <c r="G11254" s="1" t="str">
        <f>IFERROR(__xludf.DUMMYFUNCTION("GOOGLETRANSLATE(C11254, ""en"", ""fa"")
"),"در مورد نقش ترویج و توزیع محتوا در دستیابی به مخاطبان گسترده‌تر، استفاده از رسانه‌های اجتماعی، بازاریابی ایمیلی یا مشارکت‌های تأثیرگذار بحث کنید.")</f>
        <v>در مورد نقش ترویج و توزیع محتوا در دستیابی به مخاطبان گسترده‌تر، استفاده از رسانه‌های اجتماعی، بازاریابی ایمیلی یا مشارکت‌های تأثیرگذار بحث کنید.</v>
      </c>
      <c r="H11254" s="1"/>
      <c r="I11254" s="1"/>
      <c r="J11254" s="1"/>
      <c r="K11254" s="1"/>
      <c r="L11254" s="1"/>
      <c r="M11254" s="1"/>
      <c r="N11254" s="1"/>
      <c r="O11254" s="1"/>
      <c r="P11254" s="1"/>
      <c r="Q11254" s="1"/>
      <c r="R11254" s="1"/>
      <c r="S11254" s="1"/>
      <c r="T11254" s="1"/>
      <c r="U11254" s="1"/>
      <c r="V11254" s="1"/>
      <c r="W11254" s="1"/>
      <c r="X11254" s="1"/>
      <c r="Y11254" s="1"/>
      <c r="Z11254" s="1"/>
      <c r="AA11254" s="1"/>
      <c r="AB11254" s="1"/>
    </row>
    <row r="11255" ht="50.25" customHeight="1">
      <c r="A11255" s="12">
        <v>11251.0</v>
      </c>
      <c r="B11255" s="13" t="s">
        <v>10535</v>
      </c>
      <c r="C11255" s="18" t="s">
        <v>11283</v>
      </c>
      <c r="D11255" s="1"/>
      <c r="E11255" s="1"/>
      <c r="F11255" s="1" t="str">
        <f>IFERROR(__xludf.DUMMYFUNCTION("GOOGLETRANSLATE(B11255, ""en"", ""fa"")
"),"کپی رایتینگ II")</f>
        <v>کپی رایتینگ II</v>
      </c>
      <c r="G11255" s="1" t="str">
        <f>IFERROR(__xludf.DUMMYFUNCTION("GOOGLETRANSLATE(C11255, ""en"", ""fa"")
"),"چگونه محتوایی ایجاد کنیم که منعکس کننده صدا و شخصیت منحصر به فرد برند شما باشد و لحن ثابت و قابل تشخیصی را در تمام محتوای شما ایجاد کند.")</f>
        <v>چگونه محتوایی ایجاد کنیم که منعکس کننده صدا و شخصیت منحصر به فرد برند شما باشد و لحن ثابت و قابل تشخیصی را در تمام محتوای شما ایجاد کند.</v>
      </c>
      <c r="H11255" s="1"/>
      <c r="I11255" s="1"/>
      <c r="J11255" s="1"/>
      <c r="K11255" s="1"/>
      <c r="L11255" s="1"/>
      <c r="M11255" s="1"/>
      <c r="N11255" s="1"/>
      <c r="O11255" s="1"/>
      <c r="P11255" s="1"/>
      <c r="Q11255" s="1"/>
      <c r="R11255" s="1"/>
      <c r="S11255" s="1"/>
      <c r="T11255" s="1"/>
      <c r="U11255" s="1"/>
      <c r="V11255" s="1"/>
      <c r="W11255" s="1"/>
      <c r="X11255" s="1"/>
      <c r="Y11255" s="1"/>
      <c r="Z11255" s="1"/>
      <c r="AA11255" s="1"/>
      <c r="AB11255" s="1"/>
    </row>
    <row r="11256" ht="50.25" customHeight="1">
      <c r="A11256" s="12">
        <v>11252.0</v>
      </c>
      <c r="B11256" s="13" t="s">
        <v>10535</v>
      </c>
      <c r="C11256" s="18" t="s">
        <v>11284</v>
      </c>
      <c r="D11256" s="1"/>
      <c r="E11256" s="1"/>
      <c r="F11256" s="1" t="str">
        <f>IFERROR(__xludf.DUMMYFUNCTION("GOOGLETRANSLATE(B11256, ""en"", ""fa"")
"),"کپی رایتینگ II")</f>
        <v>کپی رایتینگ II</v>
      </c>
      <c r="G11256" s="1" t="str">
        <f>IFERROR(__xludf.DUMMYFUNCTION("GOOGLETRANSLATE(C11256, ""en"", ""fa"")
"),"نحوه جمع‌آوری و تنظیم نظرات مشتریان که موفقیت و رضایت مشتریان شما را نشان می‌دهد.")</f>
        <v>نحوه جمع‌آوری و تنظیم نظرات مشتریان که موفقیت و رضایت مشتریان شما را نشان می‌دهد.</v>
      </c>
      <c r="H11256" s="1"/>
      <c r="I11256" s="1"/>
      <c r="J11256" s="1"/>
      <c r="K11256" s="1"/>
      <c r="L11256" s="1"/>
      <c r="M11256" s="1"/>
      <c r="N11256" s="1"/>
      <c r="O11256" s="1"/>
      <c r="P11256" s="1"/>
      <c r="Q11256" s="1"/>
      <c r="R11256" s="1"/>
      <c r="S11256" s="1"/>
      <c r="T11256" s="1"/>
      <c r="U11256" s="1"/>
      <c r="V11256" s="1"/>
      <c r="W11256" s="1"/>
      <c r="X11256" s="1"/>
      <c r="Y11256" s="1"/>
      <c r="Z11256" s="1"/>
      <c r="AA11256" s="1"/>
      <c r="AB11256" s="1"/>
    </row>
    <row r="11257" ht="50.25" customHeight="1">
      <c r="A11257" s="12">
        <v>11253.0</v>
      </c>
      <c r="B11257" s="13" t="s">
        <v>10535</v>
      </c>
      <c r="C11257" s="18" t="s">
        <v>11285</v>
      </c>
      <c r="D11257" s="1"/>
      <c r="E11257" s="1"/>
      <c r="F11257" s="1" t="str">
        <f>IFERROR(__xludf.DUMMYFUNCTION("GOOGLETRANSLATE(B11257, ""en"", ""fa"")
"),"کپی رایتینگ II")</f>
        <v>کپی رایتینگ II</v>
      </c>
      <c r="G11257" s="1" t="str">
        <f>IFERROR(__xludf.DUMMYFUNCTION("GOOGLETRANSLATE(C11257, ""en"", ""fa"")
"),"راه های مختلف برای نمایش اثبات اجتماعی در وب سایت خود را بررسی کنید، مانند از طریق توصیفات، مطالعات موردی یا آرم های مشتری.")</f>
        <v>راه های مختلف برای نمایش اثبات اجتماعی در وب سایت خود را بررسی کنید، مانند از طریق توصیفات، مطالعات موردی یا آرم های مشتری.</v>
      </c>
      <c r="H11257" s="1"/>
      <c r="I11257" s="1"/>
      <c r="J11257" s="1"/>
      <c r="K11257" s="1"/>
      <c r="L11257" s="1"/>
      <c r="M11257" s="1"/>
      <c r="N11257" s="1"/>
      <c r="O11257" s="1"/>
      <c r="P11257" s="1"/>
      <c r="Q11257" s="1"/>
      <c r="R11257" s="1"/>
      <c r="S11257" s="1"/>
      <c r="T11257" s="1"/>
      <c r="U11257" s="1"/>
      <c r="V11257" s="1"/>
      <c r="W11257" s="1"/>
      <c r="X11257" s="1"/>
      <c r="Y11257" s="1"/>
      <c r="Z11257" s="1"/>
      <c r="AA11257" s="1"/>
      <c r="AB11257" s="1"/>
    </row>
    <row r="11258" ht="50.25" customHeight="1">
      <c r="A11258" s="12">
        <v>11254.0</v>
      </c>
      <c r="B11258" s="13" t="s">
        <v>10535</v>
      </c>
      <c r="C11258" s="18" t="s">
        <v>11286</v>
      </c>
      <c r="D11258" s="1"/>
      <c r="E11258" s="1"/>
      <c r="F11258" s="1" t="str">
        <f>IFERROR(__xludf.DUMMYFUNCTION("GOOGLETRANSLATE(B11258, ""en"", ""fa"")
"),"کپی رایتینگ II")</f>
        <v>کپی رایتینگ II</v>
      </c>
      <c r="G11258" s="1" t="str">
        <f>IFERROR(__xludf.DUMMYFUNCTION("GOOGLETRANSLATE(C11258, ""en"", ""fa"")
"),"استراتژی‌هایی برای استفاده از توصیفات ویدیویی برای ارائه اثبات اجتماعی معتبر و قانع‌کننده چیست؟")</f>
        <v>استراتژی‌هایی برای استفاده از توصیفات ویدیویی برای ارائه اثبات اجتماعی معتبر و قانع‌کننده چیست؟</v>
      </c>
      <c r="H11258" s="1"/>
      <c r="I11258" s="1"/>
      <c r="J11258" s="1"/>
      <c r="K11258" s="1"/>
      <c r="L11258" s="1"/>
      <c r="M11258" s="1"/>
      <c r="N11258" s="1"/>
      <c r="O11258" s="1"/>
      <c r="P11258" s="1"/>
      <c r="Q11258" s="1"/>
      <c r="R11258" s="1"/>
      <c r="S11258" s="1"/>
      <c r="T11258" s="1"/>
      <c r="U11258" s="1"/>
      <c r="V11258" s="1"/>
      <c r="W11258" s="1"/>
      <c r="X11258" s="1"/>
      <c r="Y11258" s="1"/>
      <c r="Z11258" s="1"/>
      <c r="AA11258" s="1"/>
      <c r="AB11258" s="1"/>
    </row>
    <row r="11259" ht="50.25" customHeight="1">
      <c r="A11259" s="12">
        <v>11255.0</v>
      </c>
      <c r="B11259" s="13" t="s">
        <v>10535</v>
      </c>
      <c r="C11259" s="18" t="s">
        <v>11287</v>
      </c>
      <c r="D11259" s="1"/>
      <c r="E11259" s="1"/>
      <c r="F11259" s="1" t="str">
        <f>IFERROR(__xludf.DUMMYFUNCTION("GOOGLETRANSLATE(B11259, ""en"", ""fa"")
"),"کپی رایتینگ II")</f>
        <v>کپی رایتینگ II</v>
      </c>
      <c r="G11259" s="1" t="str">
        <f>IFERROR(__xludf.DUMMYFUNCTION("GOOGLETRANSLATE(C11259, ""en"", ""fa"")
"),"چگونه مشتریان راضی را تشویق کنیم تا نظرات و رتبه بندی های آنلاین را برای ایجاد اعتبار و اعتماد ارائه دهند.")</f>
        <v>چگونه مشتریان راضی را تشویق کنیم تا نظرات و رتبه بندی های آنلاین را برای ایجاد اعتبار و اعتماد ارائه دهند.</v>
      </c>
      <c r="H11259" s="1"/>
      <c r="I11259" s="1"/>
      <c r="J11259" s="1"/>
      <c r="K11259" s="1"/>
      <c r="L11259" s="1"/>
      <c r="M11259" s="1"/>
      <c r="N11259" s="1"/>
      <c r="O11259" s="1"/>
      <c r="P11259" s="1"/>
      <c r="Q11259" s="1"/>
      <c r="R11259" s="1"/>
      <c r="S11259" s="1"/>
      <c r="T11259" s="1"/>
      <c r="U11259" s="1"/>
      <c r="V11259" s="1"/>
      <c r="W11259" s="1"/>
      <c r="X11259" s="1"/>
      <c r="Y11259" s="1"/>
      <c r="Z11259" s="1"/>
      <c r="AA11259" s="1"/>
      <c r="AB11259" s="1"/>
    </row>
    <row r="11260" ht="50.25" customHeight="1">
      <c r="A11260" s="12">
        <v>11256.0</v>
      </c>
      <c r="B11260" s="13" t="s">
        <v>10535</v>
      </c>
      <c r="C11260" s="18" t="s">
        <v>11288</v>
      </c>
      <c r="D11260" s="1"/>
      <c r="E11260" s="1"/>
      <c r="F11260" s="1" t="str">
        <f>IFERROR(__xludf.DUMMYFUNCTION("GOOGLETRANSLATE(B11260, ""en"", ""fa"")
"),"کپی رایتینگ II")</f>
        <v>کپی رایتینگ II</v>
      </c>
      <c r="G11260" s="1" t="str">
        <f>IFERROR(__xludf.DUMMYFUNCTION("GOOGLETRANSLATE(C11260, ""en"", ""fa"")
"),"در مورد نقش تاییدیه های اینفلوئنسر در ارائه اثبات اجتماعی برای محصولات یا خدمات خود بحث کنید.")</f>
        <v>در مورد نقش تاییدیه های اینفلوئنسر در ارائه اثبات اجتماعی برای محصولات یا خدمات خود بحث کنید.</v>
      </c>
      <c r="H11260" s="1"/>
      <c r="I11260" s="1"/>
      <c r="J11260" s="1"/>
      <c r="K11260" s="1"/>
      <c r="L11260" s="1"/>
      <c r="M11260" s="1"/>
      <c r="N11260" s="1"/>
      <c r="O11260" s="1"/>
      <c r="P11260" s="1"/>
      <c r="Q11260" s="1"/>
      <c r="R11260" s="1"/>
      <c r="S11260" s="1"/>
      <c r="T11260" s="1"/>
      <c r="U11260" s="1"/>
      <c r="V11260" s="1"/>
      <c r="W11260" s="1"/>
      <c r="X11260" s="1"/>
      <c r="Y11260" s="1"/>
      <c r="Z11260" s="1"/>
      <c r="AA11260" s="1"/>
      <c r="AB11260" s="1"/>
    </row>
    <row r="11261" ht="50.25" customHeight="1">
      <c r="A11261" s="12">
        <v>11257.0</v>
      </c>
      <c r="B11261" s="13" t="s">
        <v>10535</v>
      </c>
      <c r="C11261" s="18" t="s">
        <v>11289</v>
      </c>
      <c r="D11261" s="1"/>
      <c r="E11261" s="1"/>
      <c r="F11261" s="1" t="str">
        <f>IFERROR(__xludf.DUMMYFUNCTION("GOOGLETRANSLATE(B11261, ""en"", ""fa"")
"),"کپی رایتینگ II")</f>
        <v>کپی رایتینگ II</v>
      </c>
      <c r="G11261" s="1" t="str">
        <f>IFERROR(__xludf.DUMMYFUNCTION("GOOGLETRANSLATE(C11261, ""en"", ""fa"")
"),"روش‌های مختلف را برای نمایش اثبات اجتماعی در پلتفرم‌های رسانه‌های اجتماعی، مانند ارائه نظرات مشتریان در پست‌ها یا داستان‌ها، کاوش کنید.")</f>
        <v>روش‌های مختلف را برای نمایش اثبات اجتماعی در پلتفرم‌های رسانه‌های اجتماعی، مانند ارائه نظرات مشتریان در پست‌ها یا داستان‌ها، کاوش کنید.</v>
      </c>
      <c r="H11261" s="1"/>
      <c r="I11261" s="1"/>
      <c r="J11261" s="1"/>
      <c r="K11261" s="1"/>
      <c r="L11261" s="1"/>
      <c r="M11261" s="1"/>
      <c r="N11261" s="1"/>
      <c r="O11261" s="1"/>
      <c r="P11261" s="1"/>
      <c r="Q11261" s="1"/>
      <c r="R11261" s="1"/>
      <c r="S11261" s="1"/>
      <c r="T11261" s="1"/>
      <c r="U11261" s="1"/>
      <c r="V11261" s="1"/>
      <c r="W11261" s="1"/>
      <c r="X11261" s="1"/>
      <c r="Y11261" s="1"/>
      <c r="Z11261" s="1"/>
      <c r="AA11261" s="1"/>
      <c r="AB11261" s="1"/>
    </row>
    <row r="11262" ht="50.25" customHeight="1">
      <c r="A11262" s="12">
        <v>11258.0</v>
      </c>
      <c r="B11262" s="13" t="s">
        <v>10535</v>
      </c>
      <c r="C11262" s="18" t="s">
        <v>11290</v>
      </c>
      <c r="D11262" s="1"/>
      <c r="E11262" s="1"/>
      <c r="F11262" s="1" t="str">
        <f>IFERROR(__xludf.DUMMYFUNCTION("GOOGLETRANSLATE(B11262, ""en"", ""fa"")
"),"کپی رایتینگ II")</f>
        <v>کپی رایتینگ II</v>
      </c>
      <c r="G11262" s="1" t="str">
        <f>IFERROR(__xludf.DUMMYFUNCTION("GOOGLETRANSLATE(C11262, ""en"", ""fa"")
"),"بهترین روش‌ها برای استفاده از مطالعات موردی قبل و بعد برای نشان دادن قدرت تغییردهنده پیشنهادات شما چیست؟")</f>
        <v>بهترین روش‌ها برای استفاده از مطالعات موردی قبل و بعد برای نشان دادن قدرت تغییردهنده پیشنهادات شما چیست؟</v>
      </c>
      <c r="H11262" s="1"/>
      <c r="I11262" s="1"/>
      <c r="J11262" s="1"/>
      <c r="K11262" s="1"/>
      <c r="L11262" s="1"/>
      <c r="M11262" s="1"/>
      <c r="N11262" s="1"/>
      <c r="O11262" s="1"/>
      <c r="P11262" s="1"/>
      <c r="Q11262" s="1"/>
      <c r="R11262" s="1"/>
      <c r="S11262" s="1"/>
      <c r="T11262" s="1"/>
      <c r="U11262" s="1"/>
      <c r="V11262" s="1"/>
      <c r="W11262" s="1"/>
      <c r="X11262" s="1"/>
      <c r="Y11262" s="1"/>
      <c r="Z11262" s="1"/>
      <c r="AA11262" s="1"/>
      <c r="AB11262" s="1"/>
    </row>
    <row r="11263" ht="50.25" customHeight="1">
      <c r="A11263" s="12">
        <v>11259.0</v>
      </c>
      <c r="B11263" s="13" t="s">
        <v>10535</v>
      </c>
      <c r="C11263" s="18" t="s">
        <v>11291</v>
      </c>
      <c r="D11263" s="1"/>
      <c r="E11263" s="1"/>
      <c r="F11263" s="1" t="str">
        <f>IFERROR(__xludf.DUMMYFUNCTION("GOOGLETRANSLATE(B11263, ""en"", ""fa"")
"),"کپی رایتینگ II")</f>
        <v>کپی رایتینگ II</v>
      </c>
      <c r="G11263" s="1" t="str">
        <f>IFERROR(__xludf.DUMMYFUNCTION("GOOGLETRANSLATE(C11263, ""en"", ""fa"")
"),"چگونه از داستان های موفقیت مشتری و توصیفات در کمپین های بازاریابی ایمیلی خود برای جذب تعامل و تبدیل استفاده کنید.")</f>
        <v>چگونه از داستان های موفقیت مشتری و توصیفات در کمپین های بازاریابی ایمیلی خود برای جذب تعامل و تبدیل استفاده کنید.</v>
      </c>
      <c r="H11263" s="1"/>
      <c r="I11263" s="1"/>
      <c r="J11263" s="1"/>
      <c r="K11263" s="1"/>
      <c r="L11263" s="1"/>
      <c r="M11263" s="1"/>
      <c r="N11263" s="1"/>
      <c r="O11263" s="1"/>
      <c r="P11263" s="1"/>
      <c r="Q11263" s="1"/>
      <c r="R11263" s="1"/>
      <c r="S11263" s="1"/>
      <c r="T11263" s="1"/>
      <c r="U11263" s="1"/>
      <c r="V11263" s="1"/>
      <c r="W11263" s="1"/>
      <c r="X11263" s="1"/>
      <c r="Y11263" s="1"/>
      <c r="Z11263" s="1"/>
      <c r="AA11263" s="1"/>
      <c r="AB11263" s="1"/>
    </row>
    <row r="11264" ht="50.25" customHeight="1">
      <c r="A11264" s="12">
        <v>11260.0</v>
      </c>
      <c r="B11264" s="13" t="s">
        <v>10535</v>
      </c>
      <c r="C11264" s="18" t="s">
        <v>11292</v>
      </c>
      <c r="D11264" s="1"/>
      <c r="E11264" s="1"/>
      <c r="F11264" s="1" t="str">
        <f>IFERROR(__xludf.DUMMYFUNCTION("GOOGLETRANSLATE(B11264, ""en"", ""fa"")
"),"کپی رایتینگ II")</f>
        <v>کپی رایتینگ II</v>
      </c>
      <c r="G11264" s="1" t="str">
        <f>IFERROR(__xludf.DUMMYFUNCTION("GOOGLETRANSLATE(C11264, ""en"", ""fa"")
"),"در مورد اهمیت ارائه گواهی از کارشناسان صنعت یا رهبران فکری برای تقویت اعتبار برند خود بحث کنید.")</f>
        <v>در مورد اهمیت ارائه گواهی از کارشناسان صنعت یا رهبران فکری برای تقویت اعتبار برند خود بحث کنید.</v>
      </c>
      <c r="H11264" s="1"/>
      <c r="I11264" s="1"/>
      <c r="J11264" s="1"/>
      <c r="K11264" s="1"/>
      <c r="L11264" s="1"/>
      <c r="M11264" s="1"/>
      <c r="N11264" s="1"/>
      <c r="O11264" s="1"/>
      <c r="P11264" s="1"/>
      <c r="Q11264" s="1"/>
      <c r="R11264" s="1"/>
      <c r="S11264" s="1"/>
      <c r="T11264" s="1"/>
      <c r="U11264" s="1"/>
      <c r="V11264" s="1"/>
      <c r="W11264" s="1"/>
      <c r="X11264" s="1"/>
      <c r="Y11264" s="1"/>
      <c r="Z11264" s="1"/>
      <c r="AA11264" s="1"/>
      <c r="AB11264" s="1"/>
    </row>
    <row r="11265" ht="50.25" customHeight="1">
      <c r="A11265" s="12">
        <v>11261.0</v>
      </c>
      <c r="B11265" s="13" t="s">
        <v>10535</v>
      </c>
      <c r="C11265" s="18" t="s">
        <v>11293</v>
      </c>
      <c r="D11265" s="1"/>
      <c r="E11265" s="1"/>
      <c r="F11265" s="1" t="str">
        <f>IFERROR(__xludf.DUMMYFUNCTION("GOOGLETRANSLATE(B11265, ""en"", ""fa"")
"),"کپی رایتینگ II")</f>
        <v>کپی رایتینگ II</v>
      </c>
      <c r="G11265" s="1" t="str">
        <f>IFERROR(__xludf.DUMMYFUNCTION("GOOGLETRANSLATE(C11265, ""en"", ""fa"")
"),"راه‌های مختلف را برای ادغام اثبات اجتماعی در صفحات فروش یا صفحات فرود خود، مانند از طریق توصیفات یا نظرات مشتریان، کاوش کنید.")</f>
        <v>راه‌های مختلف را برای ادغام اثبات اجتماعی در صفحات فروش یا صفحات فرود خود، مانند از طریق توصیفات یا نظرات مشتریان، کاوش کنید.</v>
      </c>
      <c r="H11265" s="1"/>
      <c r="I11265" s="1"/>
      <c r="J11265" s="1"/>
      <c r="K11265" s="1"/>
      <c r="L11265" s="1"/>
      <c r="M11265" s="1"/>
      <c r="N11265" s="1"/>
      <c r="O11265" s="1"/>
      <c r="P11265" s="1"/>
      <c r="Q11265" s="1"/>
      <c r="R11265" s="1"/>
      <c r="S11265" s="1"/>
      <c r="T11265" s="1"/>
      <c r="U11265" s="1"/>
      <c r="V11265" s="1"/>
      <c r="W11265" s="1"/>
      <c r="X11265" s="1"/>
      <c r="Y11265" s="1"/>
      <c r="Z11265" s="1"/>
      <c r="AA11265" s="1"/>
      <c r="AB11265" s="1"/>
    </row>
    <row r="11266" ht="50.25" customHeight="1">
      <c r="A11266" s="12">
        <v>11262.0</v>
      </c>
      <c r="B11266" s="13" t="s">
        <v>10535</v>
      </c>
      <c r="C11266" s="18" t="s">
        <v>11294</v>
      </c>
      <c r="D11266" s="1"/>
      <c r="E11266" s="1"/>
      <c r="F11266" s="1" t="str">
        <f>IFERROR(__xludf.DUMMYFUNCTION("GOOGLETRANSLATE(B11266, ""en"", ""fa"")
"),"کپی رایتینگ II")</f>
        <v>کپی رایتینگ II</v>
      </c>
      <c r="G11266" s="1" t="str">
        <f>IFERROR(__xludf.DUMMYFUNCTION("GOOGLETRANSLATE(C11266, ""en"", ""fa"")
"),"استراتژی‌های استفاده از تأثیرگذاران رسانه‌های اجتماعی برای ارائه توصیه‌ها و توصیه‌ها برای برند شما چیست.")</f>
        <v>استراتژی‌های استفاده از تأثیرگذاران رسانه‌های اجتماعی برای ارائه توصیه‌ها و توصیه‌ها برای برند شما چیست.</v>
      </c>
      <c r="H11266" s="1"/>
      <c r="I11266" s="1"/>
      <c r="J11266" s="1"/>
      <c r="K11266" s="1"/>
      <c r="L11266" s="1"/>
      <c r="M11266" s="1"/>
      <c r="N11266" s="1"/>
      <c r="O11266" s="1"/>
      <c r="P11266" s="1"/>
      <c r="Q11266" s="1"/>
      <c r="R11266" s="1"/>
      <c r="S11266" s="1"/>
      <c r="T11266" s="1"/>
      <c r="U11266" s="1"/>
      <c r="V11266" s="1"/>
      <c r="W11266" s="1"/>
      <c r="X11266" s="1"/>
      <c r="Y11266" s="1"/>
      <c r="Z11266" s="1"/>
      <c r="AA11266" s="1"/>
      <c r="AB11266" s="1"/>
    </row>
    <row r="11267" ht="50.25" customHeight="1">
      <c r="A11267" s="12">
        <v>11263.0</v>
      </c>
      <c r="B11267" s="13" t="s">
        <v>10535</v>
      </c>
      <c r="C11267" s="18" t="s">
        <v>11295</v>
      </c>
      <c r="D11267" s="1"/>
      <c r="E11267" s="1"/>
      <c r="F11267" s="1" t="str">
        <f>IFERROR(__xludf.DUMMYFUNCTION("GOOGLETRANSLATE(B11267, ""en"", ""fa"")
"),"کپی رایتینگ II")</f>
        <v>کپی رایتینگ II</v>
      </c>
      <c r="G11267" s="1" t="str">
        <f>IFERROR(__xludf.DUMMYFUNCTION("GOOGLETRANSLATE(C11267, ""en"", ""fa"")
"),"چگونه از اثبات اجتماعی در کمپین های تبلیغاتی خود استفاده کنید، از نظرات مشتریان یا نظرات مثبت برای افزایش نرخ کلیک استفاده کنید.")</f>
        <v>چگونه از اثبات اجتماعی در کمپین های تبلیغاتی خود استفاده کنید، از نظرات مشتریان یا نظرات مثبت برای افزایش نرخ کلیک استفاده کنید.</v>
      </c>
      <c r="H11267" s="1"/>
      <c r="I11267" s="1"/>
      <c r="J11267" s="1"/>
      <c r="K11267" s="1"/>
      <c r="L11267" s="1"/>
      <c r="M11267" s="1"/>
      <c r="N11267" s="1"/>
      <c r="O11267" s="1"/>
      <c r="P11267" s="1"/>
      <c r="Q11267" s="1"/>
      <c r="R11267" s="1"/>
      <c r="S11267" s="1"/>
      <c r="T11267" s="1"/>
      <c r="U11267" s="1"/>
      <c r="V11267" s="1"/>
      <c r="W11267" s="1"/>
      <c r="X11267" s="1"/>
      <c r="Y11267" s="1"/>
      <c r="Z11267" s="1"/>
      <c r="AA11267" s="1"/>
      <c r="AB11267" s="1"/>
    </row>
    <row r="11268" ht="50.25" customHeight="1">
      <c r="A11268" s="12">
        <v>11264.0</v>
      </c>
      <c r="B11268" s="13" t="s">
        <v>10535</v>
      </c>
      <c r="C11268" s="14" t="s">
        <v>11296</v>
      </c>
      <c r="D11268" s="1"/>
      <c r="E11268" s="1"/>
      <c r="F11268" s="1" t="str">
        <f>IFERROR(__xludf.DUMMYFUNCTION("GOOGLETRANSLATE(B11268, ""en"", ""fa"")
"),"کپی رایتینگ II")</f>
        <v>کپی رایتینگ II</v>
      </c>
      <c r="G11268" s="1" t="str">
        <f>IFERROR(__xludf.DUMMYFUNCTION("GOOGLETRANSLATE(C11268, ""en"", ""fa"")
"),"نحوه ایجاد یک نسخه تبلیغاتی متقاعد کننده برای کمپین های سرگرمی و رسانه ای، ایجاد انتظار و هیجان.")</f>
        <v>نحوه ایجاد یک نسخه تبلیغاتی متقاعد کننده برای کمپین های سرگرمی و رسانه ای، ایجاد انتظار و هیجان.</v>
      </c>
      <c r="H11268" s="1"/>
      <c r="I11268" s="1"/>
      <c r="J11268" s="1"/>
      <c r="K11268" s="1"/>
      <c r="L11268" s="1"/>
      <c r="M11268" s="1"/>
      <c r="N11268" s="1"/>
      <c r="O11268" s="1"/>
      <c r="P11268" s="1"/>
      <c r="Q11268" s="1"/>
      <c r="R11268" s="1"/>
      <c r="S11268" s="1"/>
      <c r="T11268" s="1"/>
      <c r="U11268" s="1"/>
      <c r="V11268" s="1"/>
      <c r="W11268" s="1"/>
      <c r="X11268" s="1"/>
      <c r="Y11268" s="1"/>
      <c r="Z11268" s="1"/>
      <c r="AA11268" s="1"/>
      <c r="AB11268" s="1"/>
    </row>
    <row r="11269" ht="50.25" customHeight="1">
      <c r="A11269" s="12">
        <v>11265.0</v>
      </c>
      <c r="B11269" s="13" t="s">
        <v>10535</v>
      </c>
      <c r="C11269" s="14" t="s">
        <v>11297</v>
      </c>
      <c r="D11269" s="1"/>
      <c r="E11269" s="1"/>
      <c r="F11269" s="1" t="str">
        <f>IFERROR(__xludf.DUMMYFUNCTION("GOOGLETRANSLATE(B11269, ""en"", ""fa"")
"),"کپی رایتینگ II")</f>
        <v>کپی رایتینگ II</v>
      </c>
      <c r="G11269" s="1" t="str">
        <f>IFERROR(__xludf.DUMMYFUNCTION("GOOGLETRANSLATE(C11269, ""en"", ""fa"")
"),"در مورد بهترین شیوه ها برای نوشتن نسخه تبلیغاتی برای سازمان های غیرانتفاعی یا کمپین های خیریه، با استناد به همدلی و تشویق حمایت، بحث کنید.")</f>
        <v>در مورد بهترین شیوه ها برای نوشتن نسخه تبلیغاتی برای سازمان های غیرانتفاعی یا کمپین های خیریه، با استناد به همدلی و تشویق حمایت، بحث کنید.</v>
      </c>
      <c r="H11269" s="1"/>
      <c r="I11269" s="1"/>
      <c r="J11269" s="1"/>
      <c r="K11269" s="1"/>
      <c r="L11269" s="1"/>
      <c r="M11269" s="1"/>
      <c r="N11269" s="1"/>
      <c r="O11269" s="1"/>
      <c r="P11269" s="1"/>
      <c r="Q11269" s="1"/>
      <c r="R11269" s="1"/>
      <c r="S11269" s="1"/>
      <c r="T11269" s="1"/>
      <c r="U11269" s="1"/>
      <c r="V11269" s="1"/>
      <c r="W11269" s="1"/>
      <c r="X11269" s="1"/>
      <c r="Y11269" s="1"/>
      <c r="Z11269" s="1"/>
      <c r="AA11269" s="1"/>
      <c r="AB11269" s="1"/>
    </row>
    <row r="11270" ht="50.25" customHeight="1">
      <c r="A11270" s="12">
        <v>11266.0</v>
      </c>
      <c r="B11270" s="13" t="s">
        <v>10535</v>
      </c>
      <c r="C11270" s="14" t="s">
        <v>11298</v>
      </c>
      <c r="D11270" s="1"/>
      <c r="E11270" s="1"/>
      <c r="F11270" s="1" t="str">
        <f>IFERROR(__xludf.DUMMYFUNCTION("GOOGLETRANSLATE(B11270, ""en"", ""fa"")
"),"کپی رایتینگ II")</f>
        <v>کپی رایتینگ II</v>
      </c>
      <c r="G11270" s="1" t="str">
        <f>IFERROR(__xludf.DUMMYFUNCTION("GOOGLETRANSLATE(C11270, ""en"", ""fa"")
"),"استراتژی های مناسب سازی نسخه تبلیغاتی برای خدمات بیمه و برنامه ریزی مالی، رسیدگی به امنیت و آرامش خاطر را بررسی کنید.")</f>
        <v>استراتژی های مناسب سازی نسخه تبلیغاتی برای خدمات بیمه و برنامه ریزی مالی، رسیدگی به امنیت و آرامش خاطر را بررسی کنید.</v>
      </c>
      <c r="H11270" s="1"/>
      <c r="I11270" s="1"/>
      <c r="J11270" s="1"/>
      <c r="K11270" s="1"/>
      <c r="L11270" s="1"/>
      <c r="M11270" s="1"/>
      <c r="N11270" s="1"/>
      <c r="O11270" s="1"/>
      <c r="P11270" s="1"/>
      <c r="Q11270" s="1"/>
      <c r="R11270" s="1"/>
      <c r="S11270" s="1"/>
      <c r="T11270" s="1"/>
      <c r="U11270" s="1"/>
      <c r="V11270" s="1"/>
      <c r="W11270" s="1"/>
      <c r="X11270" s="1"/>
      <c r="Y11270" s="1"/>
      <c r="Z11270" s="1"/>
      <c r="AA11270" s="1"/>
      <c r="AB11270" s="1"/>
    </row>
    <row r="11271" ht="50.25" customHeight="1">
      <c r="A11271" s="12">
        <v>11267.0</v>
      </c>
      <c r="B11271" s="13" t="s">
        <v>10535</v>
      </c>
      <c r="C11271" s="14" t="s">
        <v>11299</v>
      </c>
      <c r="D11271" s="1"/>
      <c r="E11271" s="1"/>
      <c r="F11271" s="1" t="str">
        <f>IFERROR(__xludf.DUMMYFUNCTION("GOOGLETRANSLATE(B11271, ""en"", ""fa"")
"),"کپی رایتینگ II")</f>
        <v>کپی رایتینگ II</v>
      </c>
      <c r="G11271" s="1" t="str">
        <f>IFERROR(__xludf.DUMMYFUNCTION("GOOGLETRANSLATE(C11271, ""en"", ""fa"")
"),"هنگام نوشتن نسخه تبلیغاتی برای خدمات حرفه ای، نشان دادن تخصص و ارائه ارزش، چه عناصر کلیدی باید در نظر گرفته شود.")</f>
        <v>هنگام نوشتن نسخه تبلیغاتی برای خدمات حرفه ای، نشان دادن تخصص و ارائه ارزش، چه عناصر کلیدی باید در نظر گرفته شود.</v>
      </c>
      <c r="H11271" s="1"/>
      <c r="I11271" s="1"/>
      <c r="J11271" s="1"/>
      <c r="K11271" s="1"/>
      <c r="L11271" s="1"/>
      <c r="M11271" s="1"/>
      <c r="N11271" s="1"/>
      <c r="O11271" s="1"/>
      <c r="P11271" s="1"/>
      <c r="Q11271" s="1"/>
      <c r="R11271" s="1"/>
      <c r="S11271" s="1"/>
      <c r="T11271" s="1"/>
      <c r="U11271" s="1"/>
      <c r="V11271" s="1"/>
      <c r="W11271" s="1"/>
      <c r="X11271" s="1"/>
      <c r="Y11271" s="1"/>
      <c r="Z11271" s="1"/>
      <c r="AA11271" s="1"/>
      <c r="AB11271" s="1"/>
    </row>
    <row r="11272" ht="50.25" customHeight="1">
      <c r="A11272" s="12">
        <v>11268.0</v>
      </c>
      <c r="B11272" s="13" t="s">
        <v>10535</v>
      </c>
      <c r="C11272" s="14" t="s">
        <v>11300</v>
      </c>
      <c r="D11272" s="1"/>
      <c r="E11272" s="1"/>
      <c r="F11272" s="1" t="str">
        <f>IFERROR(__xludf.DUMMYFUNCTION("GOOGLETRANSLATE(B11272, ""en"", ""fa"")
"),"کپی رایتینگ II")</f>
        <v>کپی رایتینگ II</v>
      </c>
      <c r="G11272" s="1" t="str">
        <f>IFERROR(__xludf.DUMMYFUNCTION("GOOGLETRANSLATE(C11272, ""en"", ""fa"")
"),"نحوه بهینه سازی نسخه تبلیغاتی خود برای کمپین های B2B (کسب و کار به کسب و کار)، با تمرکز بر ROI، کارایی و رشد کسب و کار.")</f>
        <v>نحوه بهینه سازی نسخه تبلیغاتی خود برای کمپین های B2B (کسب و کار به کسب و کار)، با تمرکز بر ROI، کارایی و رشد کسب و کار.</v>
      </c>
      <c r="H11272" s="1"/>
      <c r="I11272" s="1"/>
      <c r="J11272" s="1"/>
      <c r="K11272" s="1"/>
      <c r="L11272" s="1"/>
      <c r="M11272" s="1"/>
      <c r="N11272" s="1"/>
      <c r="O11272" s="1"/>
      <c r="P11272" s="1"/>
      <c r="Q11272" s="1"/>
      <c r="R11272" s="1"/>
      <c r="S11272" s="1"/>
      <c r="T11272" s="1"/>
      <c r="U11272" s="1"/>
      <c r="V11272" s="1"/>
      <c r="W11272" s="1"/>
      <c r="X11272" s="1"/>
      <c r="Y11272" s="1"/>
      <c r="Z11272" s="1"/>
      <c r="AA11272" s="1"/>
      <c r="AB11272" s="1"/>
    </row>
    <row r="11273" ht="50.25" customHeight="1">
      <c r="A11273" s="12">
        <v>11269.0</v>
      </c>
      <c r="B11273" s="13" t="s">
        <v>10535</v>
      </c>
      <c r="C11273" s="14" t="s">
        <v>11301</v>
      </c>
      <c r="D11273" s="1"/>
      <c r="E11273" s="1"/>
      <c r="F11273" s="1" t="str">
        <f>IFERROR(__xludf.DUMMYFUNCTION("GOOGLETRANSLATE(B11273, ""en"", ""fa"")
"),"کپی رایتینگ II")</f>
        <v>کپی رایتینگ II</v>
      </c>
      <c r="G11273" s="1" t="str">
        <f>IFERROR(__xludf.DUMMYFUNCTION("GOOGLETRANSLATE(C11273, ""en"", ""fa"")
"),"در مورد تکنیک‌های نوشتن یک نسخه تبلیغاتی مؤثر برای کمپین‌های B2C (کسب و کار به مصرف‌کننده)، با جذابیت احساسات و خواسته‌های مصرف‌کننده بحث کنید.")</f>
        <v>در مورد تکنیک‌های نوشتن یک نسخه تبلیغاتی مؤثر برای کمپین‌های B2C (کسب و کار به مصرف‌کننده)، با جذابیت احساسات و خواسته‌های مصرف‌کننده بحث کنید.</v>
      </c>
      <c r="H11273" s="1"/>
      <c r="I11273" s="1"/>
      <c r="J11273" s="1"/>
      <c r="K11273" s="1"/>
      <c r="L11273" s="1"/>
      <c r="M11273" s="1"/>
      <c r="N11273" s="1"/>
      <c r="O11273" s="1"/>
      <c r="P11273" s="1"/>
      <c r="Q11273" s="1"/>
      <c r="R11273" s="1"/>
      <c r="S11273" s="1"/>
      <c r="T11273" s="1"/>
      <c r="U11273" s="1"/>
      <c r="V11273" s="1"/>
      <c r="W11273" s="1"/>
      <c r="X11273" s="1"/>
      <c r="Y11273" s="1"/>
      <c r="Z11273" s="1"/>
      <c r="AA11273" s="1"/>
      <c r="AB11273" s="1"/>
    </row>
    <row r="11274" ht="50.25" customHeight="1">
      <c r="A11274" s="12">
        <v>11270.0</v>
      </c>
      <c r="B11274" s="13" t="s">
        <v>10535</v>
      </c>
      <c r="C11274" s="14" t="s">
        <v>11302</v>
      </c>
      <c r="D11274" s="1"/>
      <c r="E11274" s="1"/>
      <c r="F11274" s="1" t="str">
        <f>IFERROR(__xludf.DUMMYFUNCTION("GOOGLETRANSLATE(B11274, ""en"", ""fa"")
"),"کپی رایتینگ II")</f>
        <v>کپی رایتینگ II</v>
      </c>
      <c r="G11274" s="1" t="str">
        <f>IFERROR(__xludf.DUMMYFUNCTION("GOOGLETRANSLATE(C11274, ""en"", ""fa"")
"),"با تأکید بر انحصار و کیفیت استثنایی، استراتژی‌های ایجاد نسخه تبلیغاتی جذاب برای محصولات لوکس یا سطح بالا را بررسی کنید.")</f>
        <v>با تأکید بر انحصار و کیفیت استثنایی، استراتژی‌های ایجاد نسخه تبلیغاتی جذاب برای محصولات لوکس یا سطح بالا را بررسی کنید.</v>
      </c>
      <c r="H11274" s="1"/>
      <c r="I11274" s="1"/>
      <c r="J11274" s="1"/>
      <c r="K11274" s="1"/>
      <c r="L11274" s="1"/>
      <c r="M11274" s="1"/>
      <c r="N11274" s="1"/>
      <c r="O11274" s="1"/>
      <c r="P11274" s="1"/>
      <c r="Q11274" s="1"/>
      <c r="R11274" s="1"/>
      <c r="S11274" s="1"/>
      <c r="T11274" s="1"/>
      <c r="U11274" s="1"/>
      <c r="V11274" s="1"/>
      <c r="W11274" s="1"/>
      <c r="X11274" s="1"/>
      <c r="Y11274" s="1"/>
      <c r="Z11274" s="1"/>
      <c r="AA11274" s="1"/>
      <c r="AB11274" s="1"/>
    </row>
    <row r="11275" ht="50.25" customHeight="1">
      <c r="A11275" s="12">
        <v>11271.0</v>
      </c>
      <c r="B11275" s="13" t="s">
        <v>10535</v>
      </c>
      <c r="C11275" s="14" t="s">
        <v>11303</v>
      </c>
      <c r="D11275" s="1"/>
      <c r="E11275" s="1"/>
      <c r="F11275" s="1" t="str">
        <f>IFERROR(__xludf.DUMMYFUNCTION("GOOGLETRANSLATE(B11275, ""en"", ""fa"")
"),"کپی رایتینگ II")</f>
        <v>کپی رایتینگ II</v>
      </c>
      <c r="G11275" s="1" t="str">
        <f>IFERROR(__xludf.DUMMYFUNCTION("GOOGLETRANSLATE(C11275, ""en"", ""fa"")
"),"بهترین روش‌ها برای نوشتن نسخه تبلیغاتی برای تحویل غذا یا پلتفرم‌های رستوران و جذب مشتریان با پیشنهادات خوشمزه چیست.")</f>
        <v>بهترین روش‌ها برای نوشتن نسخه تبلیغاتی برای تحویل غذا یا پلتفرم‌های رستوران و جذب مشتریان با پیشنهادات خوشمزه چیست.</v>
      </c>
      <c r="H11275" s="1"/>
      <c r="I11275" s="1"/>
      <c r="J11275" s="1"/>
      <c r="K11275" s="1"/>
      <c r="L11275" s="1"/>
      <c r="M11275" s="1"/>
      <c r="N11275" s="1"/>
      <c r="O11275" s="1"/>
      <c r="P11275" s="1"/>
      <c r="Q11275" s="1"/>
      <c r="R11275" s="1"/>
      <c r="S11275" s="1"/>
      <c r="T11275" s="1"/>
      <c r="U11275" s="1"/>
      <c r="V11275" s="1"/>
      <c r="W11275" s="1"/>
      <c r="X11275" s="1"/>
      <c r="Y11275" s="1"/>
      <c r="Z11275" s="1"/>
      <c r="AA11275" s="1"/>
      <c r="AB11275" s="1"/>
    </row>
    <row r="11276" ht="50.25" customHeight="1">
      <c r="A11276" s="12">
        <v>11272.0</v>
      </c>
      <c r="B11276" s="13" t="s">
        <v>10535</v>
      </c>
      <c r="C11276" s="14" t="s">
        <v>11304</v>
      </c>
      <c r="D11276" s="1"/>
      <c r="E11276" s="1"/>
      <c r="F11276" s="1" t="str">
        <f>IFERROR(__xludf.DUMMYFUNCTION("GOOGLETRANSLATE(B11276, ""en"", ""fa"")
"),"کپی رایتینگ II")</f>
        <v>کپی رایتینگ II</v>
      </c>
      <c r="G11276" s="1" t="str">
        <f>IFERROR(__xludf.DUMMYFUNCTION("GOOGLETRANSLATE(C11276, ""en"", ""fa"")
"),"چگونه نسخه تبلیغاتی خود را برای پلتفرم‌های رزرو سفر، الهام‌بخش هوس سرگردانی و ارائه تجربه‌های رزرو بدون دردسر تنظیم کنید.")</f>
        <v>چگونه نسخه تبلیغاتی خود را برای پلتفرم‌های رزرو سفر، الهام‌بخش هوس سرگردانی و ارائه تجربه‌های رزرو بدون دردسر تنظیم کنید.</v>
      </c>
      <c r="H11276" s="1"/>
      <c r="I11276" s="1"/>
      <c r="J11276" s="1"/>
      <c r="K11276" s="1"/>
      <c r="L11276" s="1"/>
      <c r="M11276" s="1"/>
      <c r="N11276" s="1"/>
      <c r="O11276" s="1"/>
      <c r="P11276" s="1"/>
      <c r="Q11276" s="1"/>
      <c r="R11276" s="1"/>
      <c r="S11276" s="1"/>
      <c r="T11276" s="1"/>
      <c r="U11276" s="1"/>
      <c r="V11276" s="1"/>
      <c r="W11276" s="1"/>
      <c r="X11276" s="1"/>
      <c r="Y11276" s="1"/>
      <c r="Z11276" s="1"/>
      <c r="AA11276" s="1"/>
      <c r="AB11276" s="1"/>
    </row>
    <row r="11277" ht="50.25" customHeight="1">
      <c r="A11277" s="12">
        <v>11273.0</v>
      </c>
      <c r="B11277" s="13" t="s">
        <v>10535</v>
      </c>
      <c r="C11277" s="14" t="s">
        <v>11305</v>
      </c>
      <c r="D11277" s="1"/>
      <c r="E11277" s="1"/>
      <c r="F11277" s="1" t="str">
        <f>IFERROR(__xludf.DUMMYFUNCTION("GOOGLETRANSLATE(B11277, ""en"", ""fa"")
"),"کپی رایتینگ II")</f>
        <v>کپی رایتینگ II</v>
      </c>
      <c r="G11277" s="1" t="str">
        <f>IFERROR(__xludf.DUMMYFUNCTION("GOOGLETRANSLATE(C11277, ""en"", ""fa"")
"),"در مورد عناصر کلیدی کپی آگهی موثر برای خدمات سلامت و تندرستی، ارتقای مراقبت از خود و رفاه کلی بحث کنید.")</f>
        <v>در مورد عناصر کلیدی کپی آگهی موثر برای خدمات سلامت و تندرستی، ارتقای مراقبت از خود و رفاه کلی بحث کنید.</v>
      </c>
      <c r="H11277" s="1"/>
      <c r="I11277" s="1"/>
      <c r="J11277" s="1"/>
      <c r="K11277" s="1"/>
      <c r="L11277" s="1"/>
      <c r="M11277" s="1"/>
      <c r="N11277" s="1"/>
      <c r="O11277" s="1"/>
      <c r="P11277" s="1"/>
      <c r="Q11277" s="1"/>
      <c r="R11277" s="1"/>
      <c r="S11277" s="1"/>
      <c r="T11277" s="1"/>
      <c r="U11277" s="1"/>
      <c r="V11277" s="1"/>
      <c r="W11277" s="1"/>
      <c r="X11277" s="1"/>
      <c r="Y11277" s="1"/>
      <c r="Z11277" s="1"/>
      <c r="AA11277" s="1"/>
      <c r="AB11277" s="1"/>
    </row>
    <row r="11278" ht="50.25" customHeight="1">
      <c r="A11278" s="12">
        <v>11274.0</v>
      </c>
      <c r="B11278" s="13" t="s">
        <v>10535</v>
      </c>
      <c r="C11278" s="14" t="s">
        <v>11306</v>
      </c>
      <c r="D11278" s="1"/>
      <c r="E11278" s="1"/>
      <c r="F11278" s="1" t="str">
        <f>IFERROR(__xludf.DUMMYFUNCTION("GOOGLETRANSLATE(B11278, ""en"", ""fa"")
"),"کپی رایتینگ II")</f>
        <v>کپی رایتینگ II</v>
      </c>
      <c r="G11278" s="1" t="str">
        <f>IFERROR(__xludf.DUMMYFUNCTION("GOOGLETRANSLATE(C11278, ""en"", ""fa"")
"),"استراتژی‌های نوشتن نسخه آگهی برای خدمات خانگی، رسیدگی به چالش‌های رایج خانگی و ارائه راه‌حل‌های راحت را بررسی کنید.")</f>
        <v>استراتژی‌های نوشتن نسخه آگهی برای خدمات خانگی، رسیدگی به چالش‌های رایج خانگی و ارائه راه‌حل‌های راحت را بررسی کنید.</v>
      </c>
      <c r="H11278" s="1"/>
      <c r="I11278" s="1"/>
      <c r="J11278" s="1"/>
      <c r="K11278" s="1"/>
      <c r="L11278" s="1"/>
      <c r="M11278" s="1"/>
      <c r="N11278" s="1"/>
      <c r="O11278" s="1"/>
      <c r="P11278" s="1"/>
      <c r="Q11278" s="1"/>
      <c r="R11278" s="1"/>
      <c r="S11278" s="1"/>
      <c r="T11278" s="1"/>
      <c r="U11278" s="1"/>
      <c r="V11278" s="1"/>
      <c r="W11278" s="1"/>
      <c r="X11278" s="1"/>
      <c r="Y11278" s="1"/>
      <c r="Z11278" s="1"/>
      <c r="AA11278" s="1"/>
      <c r="AB11278" s="1"/>
    </row>
    <row r="11279" ht="50.25" customHeight="1">
      <c r="A11279" s="12">
        <v>11275.0</v>
      </c>
      <c r="B11279" s="13" t="s">
        <v>10535</v>
      </c>
      <c r="C11279" s="14" t="s">
        <v>11307</v>
      </c>
      <c r="D11279" s="1"/>
      <c r="E11279" s="1"/>
      <c r="F11279" s="1" t="str">
        <f>IFERROR(__xludf.DUMMYFUNCTION("GOOGLETRANSLATE(B11279, ""en"", ""fa"")
"),"کپی رایتینگ II")</f>
        <v>کپی رایتینگ II</v>
      </c>
      <c r="G11279" s="1" t="str">
        <f>IFERROR(__xludf.DUMMYFUNCTION("GOOGLETRANSLATE(C11279, ""en"", ""fa"")
"),"تکنیک‌هایی برای ایجاد یک نسخه تبلیغاتی جذاب برای برنامه‌ریزی رویداد یا خدمات پذیرایی، تضمین تجربه‌های به یاد ماندنی چیست.")</f>
        <v>تکنیک‌هایی برای ایجاد یک نسخه تبلیغاتی جذاب برای برنامه‌ریزی رویداد یا خدمات پذیرایی، تضمین تجربه‌های به یاد ماندنی چیست.</v>
      </c>
      <c r="H11279" s="1"/>
      <c r="I11279" s="1"/>
      <c r="J11279" s="1"/>
      <c r="K11279" s="1"/>
      <c r="L11279" s="1"/>
      <c r="M11279" s="1"/>
      <c r="N11279" s="1"/>
      <c r="O11279" s="1"/>
      <c r="P11279" s="1"/>
      <c r="Q11279" s="1"/>
      <c r="R11279" s="1"/>
      <c r="S11279" s="1"/>
      <c r="T11279" s="1"/>
      <c r="U11279" s="1"/>
      <c r="V11279" s="1"/>
      <c r="W11279" s="1"/>
      <c r="X11279" s="1"/>
      <c r="Y11279" s="1"/>
      <c r="Z11279" s="1"/>
      <c r="AA11279" s="1"/>
      <c r="AB11279" s="1"/>
    </row>
    <row r="11280" ht="50.25" customHeight="1">
      <c r="A11280" s="12">
        <v>11276.0</v>
      </c>
      <c r="B11280" s="13" t="s">
        <v>10535</v>
      </c>
      <c r="C11280" s="14" t="s">
        <v>11308</v>
      </c>
      <c r="D11280" s="1"/>
      <c r="E11280" s="1"/>
      <c r="F11280" s="1" t="str">
        <f>IFERROR(__xludf.DUMMYFUNCTION("GOOGLETRANSLATE(B11280, ""en"", ""fa"")
"),"کپی رایتینگ II")</f>
        <v>کپی رایتینگ II</v>
      </c>
      <c r="G11280" s="1" t="str">
        <f>IFERROR(__xludf.DUMMYFUNCTION("GOOGLETRANSLATE(C11280, ""en"", ""fa"")
"),"نحوه ایجاد نسخه تبلیغاتی متقاعدکننده برای خدمات خودرو، انتقال تخصص، قابلیت اطمینان و خدمات استثنایی به مشتریان.")</f>
        <v>نحوه ایجاد نسخه تبلیغاتی متقاعدکننده برای خدمات خودرو، انتقال تخصص، قابلیت اطمینان و خدمات استثنایی به مشتریان.</v>
      </c>
      <c r="H11280" s="1"/>
      <c r="I11280" s="1"/>
      <c r="J11280" s="1"/>
      <c r="K11280" s="1"/>
      <c r="L11280" s="1"/>
      <c r="M11280" s="1"/>
      <c r="N11280" s="1"/>
      <c r="O11280" s="1"/>
      <c r="P11280" s="1"/>
      <c r="Q11280" s="1"/>
      <c r="R11280" s="1"/>
      <c r="S11280" s="1"/>
      <c r="T11280" s="1"/>
      <c r="U11280" s="1"/>
      <c r="V11280" s="1"/>
      <c r="W11280" s="1"/>
      <c r="X11280" s="1"/>
      <c r="Y11280" s="1"/>
      <c r="Z11280" s="1"/>
      <c r="AA11280" s="1"/>
      <c r="AB11280" s="1"/>
    </row>
    <row r="11281" ht="50.25" customHeight="1">
      <c r="A11281" s="12">
        <v>11277.0</v>
      </c>
      <c r="B11281" s="13" t="s">
        <v>10535</v>
      </c>
      <c r="C11281" s="14" t="s">
        <v>11309</v>
      </c>
      <c r="D11281" s="1"/>
      <c r="E11281" s="1"/>
      <c r="F11281" s="1" t="str">
        <f>IFERROR(__xludf.DUMMYFUNCTION("GOOGLETRANSLATE(B11281, ""en"", ""fa"")
"),"کپی رایتینگ II")</f>
        <v>کپی رایتینگ II</v>
      </c>
      <c r="G11281" s="1" t="str">
        <f>IFERROR(__xludf.DUMMYFUNCTION("GOOGLETRANSLATE(C11281, ""en"", ""fa"")
"),"در مورد بهترین شیوه ها برای نوشتن نسخه تبلیغاتی برای بازارهای تجارت الکترونیک، با برجسته کردن طیف متنوعی از محصولات و تجارب خرید یکپارچه بحث کنید.")</f>
        <v>در مورد بهترین شیوه ها برای نوشتن نسخه تبلیغاتی برای بازارهای تجارت الکترونیک، با برجسته کردن طیف متنوعی از محصولات و تجارب خرید یکپارچه بحث کنید.</v>
      </c>
      <c r="H11281" s="1"/>
      <c r="I11281" s="1"/>
      <c r="J11281" s="1"/>
      <c r="K11281" s="1"/>
      <c r="L11281" s="1"/>
      <c r="M11281" s="1"/>
      <c r="N11281" s="1"/>
      <c r="O11281" s="1"/>
      <c r="P11281" s="1"/>
      <c r="Q11281" s="1"/>
      <c r="R11281" s="1"/>
      <c r="S11281" s="1"/>
      <c r="T11281" s="1"/>
      <c r="U11281" s="1"/>
      <c r="V11281" s="1"/>
      <c r="W11281" s="1"/>
      <c r="X11281" s="1"/>
      <c r="Y11281" s="1"/>
      <c r="Z11281" s="1"/>
      <c r="AA11281" s="1"/>
      <c r="AB11281" s="1"/>
    </row>
    <row r="11282" ht="50.25" customHeight="1">
      <c r="A11282" s="12">
        <v>11278.0</v>
      </c>
      <c r="B11282" s="13" t="s">
        <v>10535</v>
      </c>
      <c r="C11282" s="14" t="s">
        <v>11310</v>
      </c>
      <c r="D11282" s="1"/>
      <c r="E11282" s="1"/>
      <c r="F11282" s="1" t="str">
        <f>IFERROR(__xludf.DUMMYFUNCTION("GOOGLETRANSLATE(B11282, ""en"", ""fa"")
"),"کپی رایتینگ II")</f>
        <v>کپی رایتینگ II</v>
      </c>
      <c r="G11282" s="1" t="str">
        <f>IFERROR(__xludf.DUMMYFUNCTION("GOOGLETRANSLATE(C11282, ""en"", ""fa"")
"),"استراتژی‌های مناسب‌سازی نسخه تبلیغاتی را برای راه‌حل‌های نرم‌افزاری و فناوری که برای کسب‌وکارها هدف‌گذاری شده‌اند، پرداختن به نقاط دردناک و ارائه کارآمدی را بررسی کنید.")</f>
        <v>استراتژی‌های مناسب‌سازی نسخه تبلیغاتی را برای راه‌حل‌های نرم‌افزاری و فناوری که برای کسب‌وکارها هدف‌گذاری شده‌اند، پرداختن به نقاط دردناک و ارائه کارآمدی را بررسی کنید.</v>
      </c>
      <c r="H11282" s="1"/>
      <c r="I11282" s="1"/>
      <c r="J11282" s="1"/>
      <c r="K11282" s="1"/>
      <c r="L11282" s="1"/>
      <c r="M11282" s="1"/>
      <c r="N11282" s="1"/>
      <c r="O11282" s="1"/>
      <c r="P11282" s="1"/>
      <c r="Q11282" s="1"/>
      <c r="R11282" s="1"/>
      <c r="S11282" s="1"/>
      <c r="T11282" s="1"/>
      <c r="U11282" s="1"/>
      <c r="V11282" s="1"/>
      <c r="W11282" s="1"/>
      <c r="X11282" s="1"/>
      <c r="Y11282" s="1"/>
      <c r="Z11282" s="1"/>
      <c r="AA11282" s="1"/>
      <c r="AB11282" s="1"/>
    </row>
    <row r="11283" ht="50.25" customHeight="1">
      <c r="A11283" s="12">
        <v>11279.0</v>
      </c>
      <c r="B11283" s="13" t="s">
        <v>10535</v>
      </c>
      <c r="C11283" s="14" t="s">
        <v>11311</v>
      </c>
      <c r="D11283" s="1"/>
      <c r="E11283" s="1"/>
      <c r="F11283" s="1" t="str">
        <f>IFERROR(__xludf.DUMMYFUNCTION("GOOGLETRANSLATE(B11283, ""en"", ""fa"")
"),"کپی رایتینگ II")</f>
        <v>کپی رایتینگ II</v>
      </c>
      <c r="G11283" s="1" t="str">
        <f>IFERROR(__xludf.DUMMYFUNCTION("GOOGLETRANSLATE(C11283, ""en"", ""fa"")
"),"هنگام نوشتن نسخه تبلیغاتی برای خدمات مربیگری یا مشاوره آنلاین، با تأکید بر تخصص و نتایج متحول کننده، چه عناصر کلیدی باید در نظر گرفته شود.")</f>
        <v>هنگام نوشتن نسخه تبلیغاتی برای خدمات مربیگری یا مشاوره آنلاین، با تأکید بر تخصص و نتایج متحول کننده، چه عناصر کلیدی باید در نظر گرفته شود.</v>
      </c>
      <c r="H11283" s="1"/>
      <c r="I11283" s="1"/>
      <c r="J11283" s="1"/>
      <c r="K11283" s="1"/>
      <c r="L11283" s="1"/>
      <c r="M11283" s="1"/>
      <c r="N11283" s="1"/>
      <c r="O11283" s="1"/>
      <c r="P11283" s="1"/>
      <c r="Q11283" s="1"/>
      <c r="R11283" s="1"/>
      <c r="S11283" s="1"/>
      <c r="T11283" s="1"/>
      <c r="U11283" s="1"/>
      <c r="V11283" s="1"/>
      <c r="W11283" s="1"/>
      <c r="X11283" s="1"/>
      <c r="Y11283" s="1"/>
      <c r="Z11283" s="1"/>
      <c r="AA11283" s="1"/>
      <c r="AB11283" s="1"/>
    </row>
    <row r="11284" ht="50.25" customHeight="1">
      <c r="A11284" s="12">
        <v>11280.0</v>
      </c>
      <c r="B11284" s="13" t="s">
        <v>10535</v>
      </c>
      <c r="C11284" s="14" t="s">
        <v>11312</v>
      </c>
      <c r="D11284" s="1"/>
      <c r="E11284" s="1"/>
      <c r="F11284" s="1" t="str">
        <f>IFERROR(__xludf.DUMMYFUNCTION("GOOGLETRANSLATE(B11284, ""en"", ""fa"")
"),"کپی رایتینگ II")</f>
        <v>کپی رایتینگ II</v>
      </c>
      <c r="G11284" s="1" t="str">
        <f>IFERROR(__xludf.DUMMYFUNCTION("GOOGLETRANSLATE(C11284, ""en"", ""fa"")
"),"نحوه بهینه سازی نسخه تبلیغاتی خود برای پلتفرم های تجارت الکترونیک مد، سبک گرفتن، گرایش ها و بیان فردی.")</f>
        <v>نحوه بهینه سازی نسخه تبلیغاتی خود برای پلتفرم های تجارت الکترونیک مد، سبک گرفتن، گرایش ها و بیان فردی.</v>
      </c>
      <c r="H11284" s="1"/>
      <c r="I11284" s="1"/>
      <c r="J11284" s="1"/>
      <c r="K11284" s="1"/>
      <c r="L11284" s="1"/>
      <c r="M11284" s="1"/>
      <c r="N11284" s="1"/>
      <c r="O11284" s="1"/>
      <c r="P11284" s="1"/>
      <c r="Q11284" s="1"/>
      <c r="R11284" s="1"/>
      <c r="S11284" s="1"/>
      <c r="T11284" s="1"/>
      <c r="U11284" s="1"/>
      <c r="V11284" s="1"/>
      <c r="W11284" s="1"/>
      <c r="X11284" s="1"/>
      <c r="Y11284" s="1"/>
      <c r="Z11284" s="1"/>
      <c r="AA11284" s="1"/>
      <c r="AB11284" s="1"/>
    </row>
    <row r="11285" ht="50.25" customHeight="1">
      <c r="A11285" s="12">
        <v>11281.0</v>
      </c>
      <c r="B11285" s="13" t="s">
        <v>10535</v>
      </c>
      <c r="C11285" s="14" t="s">
        <v>11313</v>
      </c>
      <c r="D11285" s="1"/>
      <c r="E11285" s="1"/>
      <c r="F11285" s="1" t="str">
        <f>IFERROR(__xludf.DUMMYFUNCTION("GOOGLETRANSLATE(B11285, ""en"", ""fa"")
"),"کپی رایتینگ II")</f>
        <v>کپی رایتینگ II</v>
      </c>
      <c r="G11285" s="1" t="str">
        <f>IFERROR(__xludf.DUMMYFUNCTION("GOOGLETRANSLATE(C11285, ""en"", ""fa"")
"),"در مورد تکنیک‌های نوشتن نسخه تبلیغاتی مؤثر برای جعبه‌های اشتراک یا خدمات مبتنی بر عضویت بحث کنید و شگفتی و ارزش تحویل‌های مکرر را برجسته کنید.")</f>
        <v>در مورد تکنیک‌های نوشتن نسخه تبلیغاتی مؤثر برای جعبه‌های اشتراک یا خدمات مبتنی بر عضویت بحث کنید و شگفتی و ارزش تحویل‌های مکرر را برجسته کنید.</v>
      </c>
      <c r="H11285" s="1"/>
      <c r="I11285" s="1"/>
      <c r="J11285" s="1"/>
      <c r="K11285" s="1"/>
      <c r="L11285" s="1"/>
      <c r="M11285" s="1"/>
      <c r="N11285" s="1"/>
      <c r="O11285" s="1"/>
      <c r="P11285" s="1"/>
      <c r="Q11285" s="1"/>
      <c r="R11285" s="1"/>
      <c r="S11285" s="1"/>
      <c r="T11285" s="1"/>
      <c r="U11285" s="1"/>
      <c r="V11285" s="1"/>
      <c r="W11285" s="1"/>
      <c r="X11285" s="1"/>
      <c r="Y11285" s="1"/>
      <c r="Z11285" s="1"/>
      <c r="AA11285" s="1"/>
      <c r="AB11285" s="1"/>
    </row>
    <row r="11286" ht="50.25" customHeight="1">
      <c r="A11286" s="12">
        <v>11282.0</v>
      </c>
      <c r="B11286" s="13" t="s">
        <v>10535</v>
      </c>
      <c r="C11286" s="14" t="s">
        <v>11314</v>
      </c>
      <c r="D11286" s="1"/>
      <c r="E11286" s="1"/>
      <c r="F11286" s="1" t="str">
        <f>IFERROR(__xludf.DUMMYFUNCTION("GOOGLETRANSLATE(B11286, ""en"", ""fa"")
"),"کپی رایتینگ II")</f>
        <v>کپی رایتینگ II</v>
      </c>
      <c r="G11286" s="1" t="str">
        <f>IFERROR(__xludf.DUMMYFUNCTION("GOOGLETRANSLATE(C11286, ""en"", ""fa"")
"),"استراتژی‌های ایجاد نسخه تبلیغاتی جذاب برای محصولات زیبایی و مراقبت از پوست، با تمرکز بر مراقبت از خود و افزایش زیبایی طبیعی را بررسی کنید.")</f>
        <v>استراتژی‌های ایجاد نسخه تبلیغاتی جذاب برای محصولات زیبایی و مراقبت از پوست، با تمرکز بر مراقبت از خود و افزایش زیبایی طبیعی را بررسی کنید.</v>
      </c>
      <c r="H11286" s="1"/>
      <c r="I11286" s="1"/>
      <c r="J11286" s="1"/>
      <c r="K11286" s="1"/>
      <c r="L11286" s="1"/>
      <c r="M11286" s="1"/>
      <c r="N11286" s="1"/>
      <c r="O11286" s="1"/>
      <c r="P11286" s="1"/>
      <c r="Q11286" s="1"/>
      <c r="R11286" s="1"/>
      <c r="S11286" s="1"/>
      <c r="T11286" s="1"/>
      <c r="U11286" s="1"/>
      <c r="V11286" s="1"/>
      <c r="W11286" s="1"/>
      <c r="X11286" s="1"/>
      <c r="Y11286" s="1"/>
      <c r="Z11286" s="1"/>
      <c r="AA11286" s="1"/>
      <c r="AB11286" s="1"/>
    </row>
    <row r="11287" ht="50.25" customHeight="1">
      <c r="A11287" s="12">
        <v>11283.0</v>
      </c>
      <c r="B11287" s="13" t="s">
        <v>10535</v>
      </c>
      <c r="C11287" s="14" t="s">
        <v>11315</v>
      </c>
      <c r="D11287" s="1"/>
      <c r="E11287" s="1"/>
      <c r="F11287" s="1" t="str">
        <f>IFERROR(__xludf.DUMMYFUNCTION("GOOGLETRANSLATE(B11287, ""en"", ""fa"")
"),"کپی رایتینگ II")</f>
        <v>کپی رایتینگ II</v>
      </c>
      <c r="G11287" s="1" t="str">
        <f>IFERROR(__xludf.DUMMYFUNCTION("GOOGLETRANSLATE(C11287, ""en"", ""fa"")
"),"بهترین روش‌ها برای نوشتن نسخه تبلیغاتی برای دکوراسیون منزل و تجارت الکترونیک مبلمان، ایجاد فضاهای دعوت‌کننده و زیبایی‌شناسی شخصی‌شده چیست؟")</f>
        <v>بهترین روش‌ها برای نوشتن نسخه تبلیغاتی برای دکوراسیون منزل و تجارت الکترونیک مبلمان، ایجاد فضاهای دعوت‌کننده و زیبایی‌شناسی شخصی‌شده چیست؟</v>
      </c>
      <c r="H11287" s="1"/>
      <c r="I11287" s="1"/>
      <c r="J11287" s="1"/>
      <c r="K11287" s="1"/>
      <c r="L11287" s="1"/>
      <c r="M11287" s="1"/>
      <c r="N11287" s="1"/>
      <c r="O11287" s="1"/>
      <c r="P11287" s="1"/>
      <c r="Q11287" s="1"/>
      <c r="R11287" s="1"/>
      <c r="S11287" s="1"/>
      <c r="T11287" s="1"/>
      <c r="U11287" s="1"/>
      <c r="V11287" s="1"/>
      <c r="W11287" s="1"/>
      <c r="X11287" s="1"/>
      <c r="Y11287" s="1"/>
      <c r="Z11287" s="1"/>
      <c r="AA11287" s="1"/>
      <c r="AB11287" s="1"/>
    </row>
    <row r="11288" ht="50.25" customHeight="1">
      <c r="A11288" s="12">
        <v>11284.0</v>
      </c>
      <c r="B11288" s="13" t="s">
        <v>10535</v>
      </c>
      <c r="C11288" s="14" t="s">
        <v>11316</v>
      </c>
      <c r="D11288" s="1"/>
      <c r="E11288" s="1"/>
      <c r="F11288" s="1" t="str">
        <f>IFERROR(__xludf.DUMMYFUNCTION("GOOGLETRANSLATE(B11288, ""en"", ""fa"")
"),"کپی رایتینگ II")</f>
        <v>کپی رایتینگ II</v>
      </c>
      <c r="G11288" s="1" t="str">
        <f>IFERROR(__xludf.DUMMYFUNCTION("GOOGLETRANSLATE(C11288, ""en"", ""fa"")
"),"چگونه نسخه تبلیغاتی خود را برای مقاصد سفر و گردشگری تنظیم کنید، تجربیات پر جنب و جوش را ترسیم کنید و بازدیدکنندگان را برای کاوش وسوسه کنید.")</f>
        <v>چگونه نسخه تبلیغاتی خود را برای مقاصد سفر و گردشگری تنظیم کنید، تجربیات پر جنب و جوش را ترسیم کنید و بازدیدکنندگان را برای کاوش وسوسه کنید.</v>
      </c>
      <c r="H11288" s="1"/>
      <c r="I11288" s="1"/>
      <c r="J11288" s="1"/>
      <c r="K11288" s="1"/>
      <c r="L11288" s="1"/>
      <c r="M11288" s="1"/>
      <c r="N11288" s="1"/>
      <c r="O11288" s="1"/>
      <c r="P11288" s="1"/>
      <c r="Q11288" s="1"/>
      <c r="R11288" s="1"/>
      <c r="S11288" s="1"/>
      <c r="T11288" s="1"/>
      <c r="U11288" s="1"/>
      <c r="V11288" s="1"/>
      <c r="W11288" s="1"/>
      <c r="X11288" s="1"/>
      <c r="Y11288" s="1"/>
      <c r="Z11288" s="1"/>
      <c r="AA11288" s="1"/>
      <c r="AB11288" s="1"/>
    </row>
    <row r="11289" ht="50.25" customHeight="1">
      <c r="A11289" s="12">
        <v>11285.0</v>
      </c>
      <c r="B11289" s="13" t="s">
        <v>10535</v>
      </c>
      <c r="C11289" s="14" t="s">
        <v>11317</v>
      </c>
      <c r="D11289" s="1"/>
      <c r="E11289" s="1"/>
      <c r="F11289" s="1" t="str">
        <f>IFERROR(__xludf.DUMMYFUNCTION("GOOGLETRANSLATE(B11289, ""en"", ""fa"")
"),"کپی رایتینگ II")</f>
        <v>کپی رایتینگ II</v>
      </c>
      <c r="G11289" s="1" t="str">
        <f>IFERROR(__xludf.DUMMYFUNCTION("GOOGLETRANSLATE(C11289, ""en"", ""fa"")
"),"در مورد عناصر کلیدی کپی آگهی موثر برای خدمات سرمایه گذاری مالی، نمایش بازده بالقوه و راهنمایی شخصی بحث کنید.")</f>
        <v>در مورد عناصر کلیدی کپی آگهی موثر برای خدمات سرمایه گذاری مالی، نمایش بازده بالقوه و راهنمایی شخصی بحث کنید.</v>
      </c>
      <c r="H11289" s="1"/>
      <c r="I11289" s="1"/>
      <c r="J11289" s="1"/>
      <c r="K11289" s="1"/>
      <c r="L11289" s="1"/>
      <c r="M11289" s="1"/>
      <c r="N11289" s="1"/>
      <c r="O11289" s="1"/>
      <c r="P11289" s="1"/>
      <c r="Q11289" s="1"/>
      <c r="R11289" s="1"/>
      <c r="S11289" s="1"/>
      <c r="T11289" s="1"/>
      <c r="U11289" s="1"/>
      <c r="V11289" s="1"/>
      <c r="W11289" s="1"/>
      <c r="X11289" s="1"/>
      <c r="Y11289" s="1"/>
      <c r="Z11289" s="1"/>
      <c r="AA11289" s="1"/>
      <c r="AB11289" s="1"/>
    </row>
    <row r="11290" ht="50.25" customHeight="1">
      <c r="A11290" s="12">
        <v>11286.0</v>
      </c>
      <c r="B11290" s="13" t="s">
        <v>10535</v>
      </c>
      <c r="C11290" s="14" t="s">
        <v>11318</v>
      </c>
      <c r="D11290" s="1"/>
      <c r="E11290" s="1"/>
      <c r="F11290" s="1" t="str">
        <f>IFERROR(__xludf.DUMMYFUNCTION("GOOGLETRANSLATE(B11290, ""en"", ""fa"")
"),"کپی رایتینگ II")</f>
        <v>کپی رایتینگ II</v>
      </c>
      <c r="G11290" s="1" t="str">
        <f>IFERROR(__xludf.DUMMYFUNCTION("GOOGLETRANSLATE(C11290, ""en"", ""fa"")
"),"استراتژی‌های نوشتن نسخه تبلیغاتی برای مؤسسات آموزشی یا دوره‌های آنلاین، با تأکید بر رشد، دانش و پیشرفت شغلی را بررسی کنید.")</f>
        <v>استراتژی‌های نوشتن نسخه تبلیغاتی برای مؤسسات آموزشی یا دوره‌های آنلاین، با تأکید بر رشد، دانش و پیشرفت شغلی را بررسی کنید.</v>
      </c>
      <c r="H11290" s="1"/>
      <c r="I11290" s="1"/>
      <c r="J11290" s="1"/>
      <c r="K11290" s="1"/>
      <c r="L11290" s="1"/>
      <c r="M11290" s="1"/>
      <c r="N11290" s="1"/>
      <c r="O11290" s="1"/>
      <c r="P11290" s="1"/>
      <c r="Q11290" s="1"/>
      <c r="R11290" s="1"/>
      <c r="S11290" s="1"/>
      <c r="T11290" s="1"/>
      <c r="U11290" s="1"/>
      <c r="V11290" s="1"/>
      <c r="W11290" s="1"/>
      <c r="X11290" s="1"/>
      <c r="Y11290" s="1"/>
      <c r="Z11290" s="1"/>
      <c r="AA11290" s="1"/>
      <c r="AB11290" s="1"/>
    </row>
    <row r="11291" ht="50.25" customHeight="1">
      <c r="A11291" s="12">
        <v>11287.0</v>
      </c>
      <c r="B11291" s="13" t="s">
        <v>10535</v>
      </c>
      <c r="C11291" s="14" t="s">
        <v>11319</v>
      </c>
      <c r="D11291" s="1"/>
      <c r="E11291" s="1"/>
      <c r="F11291" s="1" t="str">
        <f>IFERROR(__xludf.DUMMYFUNCTION("GOOGLETRANSLATE(B11291, ""en"", ""fa"")
"),"کپی رایتینگ II")</f>
        <v>کپی رایتینگ II</v>
      </c>
      <c r="G11291" s="1" t="str">
        <f>IFERROR(__xludf.DUMMYFUNCTION("GOOGLETRANSLATE(C11291, ""en"", ""fa"")
"),"چه تکنیک هایی برای ایجاد نسخه تبلیغاتی جذاب برای لوازم یا خدمات حیوانات خانگی، رسیدگی به نیازهای صاحبان حیوانات خانگی و ایجاد پیوندهای پایدار وجود دارد.")</f>
        <v>چه تکنیک هایی برای ایجاد نسخه تبلیغاتی جذاب برای لوازم یا خدمات حیوانات خانگی، رسیدگی به نیازهای صاحبان حیوانات خانگی و ایجاد پیوندهای پایدار وجود دارد.</v>
      </c>
      <c r="H11291" s="1"/>
      <c r="I11291" s="1"/>
      <c r="J11291" s="1"/>
      <c r="K11291" s="1"/>
      <c r="L11291" s="1"/>
      <c r="M11291" s="1"/>
      <c r="N11291" s="1"/>
      <c r="O11291" s="1"/>
      <c r="P11291" s="1"/>
      <c r="Q11291" s="1"/>
      <c r="R11291" s="1"/>
      <c r="S11291" s="1"/>
      <c r="T11291" s="1"/>
      <c r="U11291" s="1"/>
      <c r="V11291" s="1"/>
      <c r="W11291" s="1"/>
      <c r="X11291" s="1"/>
      <c r="Y11291" s="1"/>
      <c r="Z11291" s="1"/>
      <c r="AA11291" s="1"/>
      <c r="AB11291" s="1"/>
    </row>
    <row r="11292" ht="50.25" customHeight="1">
      <c r="A11292" s="12">
        <v>11288.0</v>
      </c>
      <c r="B11292" s="13" t="s">
        <v>10535</v>
      </c>
      <c r="C11292" s="14" t="s">
        <v>11320</v>
      </c>
      <c r="D11292" s="1"/>
      <c r="E11292" s="1"/>
      <c r="F11292" s="1" t="str">
        <f>IFERROR(__xludf.DUMMYFUNCTION("GOOGLETRANSLATE(B11292, ""en"", ""fa"")
"),"کپی رایتینگ II")</f>
        <v>کپی رایتینگ II</v>
      </c>
      <c r="G11292" s="1" t="str">
        <f>IFERROR(__xludf.DUMMYFUNCTION("GOOGLETRANSLATE(C11292, ""en"", ""fa"")
"),"چگونه می توان یک نسخه تبلیغاتی متقاعدکننده برای تجهیزات تناسب اندام یا برنامه های تمرینی ایجاد کرد و افراد را برای دستیابی به اهداف سلامت خود برانگیخت.")</f>
        <v>چگونه می توان یک نسخه تبلیغاتی متقاعدکننده برای تجهیزات تناسب اندام یا برنامه های تمرینی ایجاد کرد و افراد را برای دستیابی به اهداف سلامت خود برانگیخت.</v>
      </c>
      <c r="H11292" s="1"/>
      <c r="I11292" s="1"/>
      <c r="J11292" s="1"/>
      <c r="K11292" s="1"/>
      <c r="L11292" s="1"/>
      <c r="M11292" s="1"/>
      <c r="N11292" s="1"/>
      <c r="O11292" s="1"/>
      <c r="P11292" s="1"/>
      <c r="Q11292" s="1"/>
      <c r="R11292" s="1"/>
      <c r="S11292" s="1"/>
      <c r="T11292" s="1"/>
      <c r="U11292" s="1"/>
      <c r="V11292" s="1"/>
      <c r="W11292" s="1"/>
      <c r="X11292" s="1"/>
      <c r="Y11292" s="1"/>
      <c r="Z11292" s="1"/>
      <c r="AA11292" s="1"/>
      <c r="AB11292" s="1"/>
    </row>
    <row r="11293" ht="50.25" customHeight="1">
      <c r="A11293" s="12">
        <v>11289.0</v>
      </c>
      <c r="B11293" s="13" t="s">
        <v>10535</v>
      </c>
      <c r="C11293" s="14" t="s">
        <v>11321</v>
      </c>
      <c r="D11293" s="1"/>
      <c r="E11293" s="1"/>
      <c r="F11293" s="1" t="str">
        <f>IFERROR(__xludf.DUMMYFUNCTION("GOOGLETRANSLATE(B11293, ""en"", ""fa"")
"),"کپی رایتینگ II")</f>
        <v>کپی رایتینگ II</v>
      </c>
      <c r="G11293" s="1" t="str">
        <f>IFERROR(__xludf.DUMMYFUNCTION("GOOGLETRANSLATE(C11293, ""en"", ""fa"")
"),"در مورد بهترین شیوه ها برای نوشتن نسخه تبلیغاتی برای رویدادها یا اجراهای سرگرمی، ایجاد پیش بینی و پرورش تجربیات به یاد ماندنی بحث کنید.")</f>
        <v>در مورد بهترین شیوه ها برای نوشتن نسخه تبلیغاتی برای رویدادها یا اجراهای سرگرمی، ایجاد پیش بینی و پرورش تجربیات به یاد ماندنی بحث کنید.</v>
      </c>
      <c r="H11293" s="1"/>
      <c r="I11293" s="1"/>
      <c r="J11293" s="1"/>
      <c r="K11293" s="1"/>
      <c r="L11293" s="1"/>
      <c r="M11293" s="1"/>
      <c r="N11293" s="1"/>
      <c r="O11293" s="1"/>
      <c r="P11293" s="1"/>
      <c r="Q11293" s="1"/>
      <c r="R11293" s="1"/>
      <c r="S11293" s="1"/>
      <c r="T11293" s="1"/>
      <c r="U11293" s="1"/>
      <c r="V11293" s="1"/>
      <c r="W11293" s="1"/>
      <c r="X11293" s="1"/>
      <c r="Y11293" s="1"/>
      <c r="Z11293" s="1"/>
      <c r="AA11293" s="1"/>
      <c r="AB11293" s="1"/>
    </row>
    <row r="11294" ht="50.25" customHeight="1">
      <c r="A11294" s="12">
        <v>11290.0</v>
      </c>
      <c r="B11294" s="13" t="s">
        <v>10535</v>
      </c>
      <c r="C11294" s="14" t="s">
        <v>11322</v>
      </c>
      <c r="D11294" s="1"/>
      <c r="E11294" s="1"/>
      <c r="F11294" s="1" t="str">
        <f>IFERROR(__xludf.DUMMYFUNCTION("GOOGLETRANSLATE(B11294, ""en"", ""fa"")
"),"کپی رایتینگ II")</f>
        <v>کپی رایتینگ II</v>
      </c>
      <c r="G11294" s="1" t="str">
        <f>IFERROR(__xludf.DUMMYFUNCTION("GOOGLETRANSLATE(C11294, ""en"", ""fa"")
"),"استراتژی‌های مناسب‌سازی نسخه تبلیغاتی برای کمپین‌های جمع‌آوری سرمایه غیرانتفاعی، انتقال تأثیر و سخاوت الهام‌بخش را بررسی کنید.")</f>
        <v>استراتژی‌های مناسب‌سازی نسخه تبلیغاتی برای کمپین‌های جمع‌آوری سرمایه غیرانتفاعی، انتقال تأثیر و سخاوت الهام‌بخش را بررسی کنید.</v>
      </c>
      <c r="H11294" s="1"/>
      <c r="I11294" s="1"/>
      <c r="J11294" s="1"/>
      <c r="K11294" s="1"/>
      <c r="L11294" s="1"/>
      <c r="M11294" s="1"/>
      <c r="N11294" s="1"/>
      <c r="O11294" s="1"/>
      <c r="P11294" s="1"/>
      <c r="Q11294" s="1"/>
      <c r="R11294" s="1"/>
      <c r="S11294" s="1"/>
      <c r="T11294" s="1"/>
      <c r="U11294" s="1"/>
      <c r="V11294" s="1"/>
      <c r="W11294" s="1"/>
      <c r="X11294" s="1"/>
      <c r="Y11294" s="1"/>
      <c r="Z11294" s="1"/>
      <c r="AA11294" s="1"/>
      <c r="AB11294" s="1"/>
    </row>
    <row r="11295" ht="50.25" customHeight="1">
      <c r="A11295" s="12">
        <v>11291.0</v>
      </c>
      <c r="B11295" s="13" t="s">
        <v>10535</v>
      </c>
      <c r="C11295" s="14" t="s">
        <v>11323</v>
      </c>
      <c r="D11295" s="1"/>
      <c r="E11295" s="1"/>
      <c r="F11295" s="1" t="str">
        <f>IFERROR(__xludf.DUMMYFUNCTION("GOOGLETRANSLATE(B11295, ""en"", ""fa"")
"),"کپی رایتینگ II")</f>
        <v>کپی رایتینگ II</v>
      </c>
      <c r="G11295" s="1" t="str">
        <f>IFERROR(__xludf.DUMMYFUNCTION("GOOGLETRANSLATE(C11295, ""en"", ""fa"")
"),"چه عناصر کلیدی را باید در هنگام نوشتن نسخه تبلیغاتی برای آژانس های املاک یا لیست املاک در نظر بگیرید تا رویای یافتن خانه عالی را به تصویر بکشید.")</f>
        <v>چه عناصر کلیدی را باید در هنگام نوشتن نسخه تبلیغاتی برای آژانس های املاک یا لیست املاک در نظر بگیرید تا رویای یافتن خانه عالی را به تصویر بکشید.</v>
      </c>
      <c r="H11295" s="1"/>
      <c r="I11295" s="1"/>
      <c r="J11295" s="1"/>
      <c r="K11295" s="1"/>
      <c r="L11295" s="1"/>
      <c r="M11295" s="1"/>
      <c r="N11295" s="1"/>
      <c r="O11295" s="1"/>
      <c r="P11295" s="1"/>
      <c r="Q11295" s="1"/>
      <c r="R11295" s="1"/>
      <c r="S11295" s="1"/>
      <c r="T11295" s="1"/>
      <c r="U11295" s="1"/>
      <c r="V11295" s="1"/>
      <c r="W11295" s="1"/>
      <c r="X11295" s="1"/>
      <c r="Y11295" s="1"/>
      <c r="Z11295" s="1"/>
      <c r="AA11295" s="1"/>
      <c r="AB11295" s="1"/>
    </row>
    <row r="11296" ht="50.25" customHeight="1">
      <c r="A11296" s="12">
        <v>11292.0</v>
      </c>
      <c r="B11296" s="13" t="s">
        <v>10535</v>
      </c>
      <c r="C11296" s="14" t="s">
        <v>11324</v>
      </c>
      <c r="D11296" s="1"/>
      <c r="E11296" s="1"/>
      <c r="F11296" s="1" t="str">
        <f>IFERROR(__xludf.DUMMYFUNCTION("GOOGLETRANSLATE(B11296, ""en"", ""fa"")
"),"کپی رایتینگ II")</f>
        <v>کپی رایتینگ II</v>
      </c>
      <c r="G11296" s="1" t="str">
        <f>IFERROR(__xludf.DUMMYFUNCTION("GOOGLETRANSLATE(C11296, ""en"", ""fa"")
"),"نحوه بهینه سازی نسخه تبلیغاتی خود برای خدمات بیمه، القای آرامش و محافظت از آنچه که بیشترین اهمیت را دارد.")</f>
        <v>نحوه بهینه سازی نسخه تبلیغاتی خود برای خدمات بیمه، القای آرامش و محافظت از آنچه که بیشترین اهمیت را دارد.</v>
      </c>
      <c r="H11296" s="1"/>
      <c r="I11296" s="1"/>
      <c r="J11296" s="1"/>
      <c r="K11296" s="1"/>
      <c r="L11296" s="1"/>
      <c r="M11296" s="1"/>
      <c r="N11296" s="1"/>
      <c r="O11296" s="1"/>
      <c r="P11296" s="1"/>
      <c r="Q11296" s="1"/>
      <c r="R11296" s="1"/>
      <c r="S11296" s="1"/>
      <c r="T11296" s="1"/>
      <c r="U11296" s="1"/>
      <c r="V11296" s="1"/>
      <c r="W11296" s="1"/>
      <c r="X11296" s="1"/>
      <c r="Y11296" s="1"/>
      <c r="Z11296" s="1"/>
      <c r="AA11296" s="1"/>
      <c r="AB11296" s="1"/>
    </row>
    <row r="11297" ht="50.25" customHeight="1">
      <c r="A11297" s="12">
        <v>11293.0</v>
      </c>
      <c r="B11297" s="13" t="s">
        <v>10535</v>
      </c>
      <c r="C11297" s="14" t="s">
        <v>11325</v>
      </c>
      <c r="D11297" s="1"/>
      <c r="E11297" s="1"/>
      <c r="F11297" s="1" t="str">
        <f>IFERROR(__xludf.DUMMYFUNCTION("GOOGLETRANSLATE(B11297, ""en"", ""fa"")
"),"کپی رایتینگ II")</f>
        <v>کپی رایتینگ II</v>
      </c>
      <c r="G11297" s="1" t="str">
        <f>IFERROR(__xludf.DUMMYFUNCTION("GOOGLETRANSLATE(C11297, ""en"", ""fa"")
"),"درباره تکنیک‌های نوشتن نسخه تبلیغاتی مؤثر برای نمایندگی‌های خودرو یا خدمات لیزینگ خودرو، نمایش سبک، عملکرد و راحتی صحبت کنید.")</f>
        <v>درباره تکنیک‌های نوشتن نسخه تبلیغاتی مؤثر برای نمایندگی‌های خودرو یا خدمات لیزینگ خودرو، نمایش سبک، عملکرد و راحتی صحبت کنید.</v>
      </c>
      <c r="H11297" s="1"/>
      <c r="I11297" s="1"/>
      <c r="J11297" s="1"/>
      <c r="K11297" s="1"/>
      <c r="L11297" s="1"/>
      <c r="M11297" s="1"/>
      <c r="N11297" s="1"/>
      <c r="O11297" s="1"/>
      <c r="P11297" s="1"/>
      <c r="Q11297" s="1"/>
      <c r="R11297" s="1"/>
      <c r="S11297" s="1"/>
      <c r="T11297" s="1"/>
      <c r="U11297" s="1"/>
      <c r="V11297" s="1"/>
      <c r="W11297" s="1"/>
      <c r="X11297" s="1"/>
      <c r="Y11297" s="1"/>
      <c r="Z11297" s="1"/>
      <c r="AA11297" s="1"/>
      <c r="AB11297" s="1"/>
    </row>
    <row r="11298" ht="50.25" customHeight="1">
      <c r="A11298" s="12">
        <v>11294.0</v>
      </c>
      <c r="B11298" s="13" t="s">
        <v>10535</v>
      </c>
      <c r="C11298" s="14" t="s">
        <v>11326</v>
      </c>
      <c r="D11298" s="1"/>
      <c r="E11298" s="1"/>
      <c r="F11298" s="1" t="str">
        <f>IFERROR(__xludf.DUMMYFUNCTION("GOOGLETRANSLATE(B11298, ""en"", ""fa"")
"),"کپی رایتینگ II")</f>
        <v>کپی رایتینگ II</v>
      </c>
      <c r="G11298" s="1" t="str">
        <f>IFERROR(__xludf.DUMMYFUNCTION("GOOGLETRANSLATE(C11298, ""en"", ""fa"")
"),"استراتژی‌های ایجاد نسخه تبلیغاتی جذاب برای مارک‌های غذا و نوشیدنی، وسوسه‌انگیز کردن جوانه‌های چشایی و ایجاد هوس را کاوش کنید.")</f>
        <v>استراتژی‌های ایجاد نسخه تبلیغاتی جذاب برای مارک‌های غذا و نوشیدنی، وسوسه‌انگیز کردن جوانه‌های چشایی و ایجاد هوس را کاوش کنید.</v>
      </c>
      <c r="H11298" s="1"/>
      <c r="I11298" s="1"/>
      <c r="J11298" s="1"/>
      <c r="K11298" s="1"/>
      <c r="L11298" s="1"/>
      <c r="M11298" s="1"/>
      <c r="N11298" s="1"/>
      <c r="O11298" s="1"/>
      <c r="P11298" s="1"/>
      <c r="Q11298" s="1"/>
      <c r="R11298" s="1"/>
      <c r="S11298" s="1"/>
      <c r="T11298" s="1"/>
      <c r="U11298" s="1"/>
      <c r="V11298" s="1"/>
      <c r="W11298" s="1"/>
      <c r="X11298" s="1"/>
      <c r="Y11298" s="1"/>
      <c r="Z11298" s="1"/>
      <c r="AA11298" s="1"/>
      <c r="AB11298" s="1"/>
    </row>
    <row r="11299" ht="50.25" customHeight="1">
      <c r="A11299" s="12">
        <v>11295.0</v>
      </c>
      <c r="B11299" s="13" t="s">
        <v>10535</v>
      </c>
      <c r="C11299" s="14" t="s">
        <v>11327</v>
      </c>
      <c r="D11299" s="1"/>
      <c r="E11299" s="1"/>
      <c r="F11299" s="1" t="str">
        <f>IFERROR(__xludf.DUMMYFUNCTION("GOOGLETRANSLATE(B11299, ""en"", ""fa"")
"),"کپی رایتینگ II")</f>
        <v>کپی رایتینگ II</v>
      </c>
      <c r="G11299" s="1" t="str">
        <f>IFERROR(__xludf.DUMMYFUNCTION("GOOGLETRANSLATE(C11299, ""en"", ""fa"")
"),"بهترین شیوه ها برای نوشتن نسخه تبلیغاتی برای استودیوهای تناسب اندام یا مراکز سلامتی، ترویج سبک زندگی سالم و تجربیات متحول کننده چیست؟")</f>
        <v>بهترین شیوه ها برای نوشتن نسخه تبلیغاتی برای استودیوهای تناسب اندام یا مراکز سلامتی، ترویج سبک زندگی سالم و تجربیات متحول کننده چیست؟</v>
      </c>
      <c r="H11299" s="1"/>
      <c r="I11299" s="1"/>
      <c r="J11299" s="1"/>
      <c r="K11299" s="1"/>
      <c r="L11299" s="1"/>
      <c r="M11299" s="1"/>
      <c r="N11299" s="1"/>
      <c r="O11299" s="1"/>
      <c r="P11299" s="1"/>
      <c r="Q11299" s="1"/>
      <c r="R11299" s="1"/>
      <c r="S11299" s="1"/>
      <c r="T11299" s="1"/>
      <c r="U11299" s="1"/>
      <c r="V11299" s="1"/>
      <c r="W11299" s="1"/>
      <c r="X11299" s="1"/>
      <c r="Y11299" s="1"/>
      <c r="Z11299" s="1"/>
      <c r="AA11299" s="1"/>
      <c r="AB11299" s="1"/>
    </row>
    <row r="11300" ht="50.25" customHeight="1">
      <c r="A11300" s="12">
        <v>11296.0</v>
      </c>
      <c r="B11300" s="13" t="s">
        <v>10535</v>
      </c>
      <c r="C11300" s="14" t="s">
        <v>11328</v>
      </c>
      <c r="D11300" s="1"/>
      <c r="E11300" s="1"/>
      <c r="F11300" s="1" t="str">
        <f>IFERROR(__xludf.DUMMYFUNCTION("GOOGLETRANSLATE(B11300, ""en"", ""fa"")
"),"کپی رایتینگ II")</f>
        <v>کپی رایتینگ II</v>
      </c>
      <c r="G11300" s="1" t="str">
        <f>IFERROR(__xludf.DUMMYFUNCTION("GOOGLETRANSLATE(C11300, ""en"", ""fa"")
"),"چگونه نسخه تبلیغاتی خود را برای مکان‌های رویداد یا امکانات کنفرانس تنظیم کنید و پس‌زمینه‌ای ایده‌آل برای گردهمایی‌های به یاد ماندنی فراهم کنید.")</f>
        <v>چگونه نسخه تبلیغاتی خود را برای مکان‌های رویداد یا امکانات کنفرانس تنظیم کنید و پس‌زمینه‌ای ایده‌آل برای گردهمایی‌های به یاد ماندنی فراهم کنید.</v>
      </c>
      <c r="H11300" s="1"/>
      <c r="I11300" s="1"/>
      <c r="J11300" s="1"/>
      <c r="K11300" s="1"/>
      <c r="L11300" s="1"/>
      <c r="M11300" s="1"/>
      <c r="N11300" s="1"/>
      <c r="O11300" s="1"/>
      <c r="P11300" s="1"/>
      <c r="Q11300" s="1"/>
      <c r="R11300" s="1"/>
      <c r="S11300" s="1"/>
      <c r="T11300" s="1"/>
      <c r="U11300" s="1"/>
      <c r="V11300" s="1"/>
      <c r="W11300" s="1"/>
      <c r="X11300" s="1"/>
      <c r="Y11300" s="1"/>
      <c r="Z11300" s="1"/>
      <c r="AA11300" s="1"/>
      <c r="AB11300" s="1"/>
    </row>
    <row r="11301" ht="50.25" customHeight="1">
      <c r="A11301" s="12">
        <v>11297.0</v>
      </c>
      <c r="B11301" s="13" t="s">
        <v>10535</v>
      </c>
      <c r="C11301" s="14" t="s">
        <v>11329</v>
      </c>
      <c r="D11301" s="1"/>
      <c r="E11301" s="1"/>
      <c r="F11301" s="1" t="str">
        <f>IFERROR(__xludf.DUMMYFUNCTION("GOOGLETRANSLATE(B11301, ""en"", ""fa"")
"),"کپی رایتینگ II")</f>
        <v>کپی رایتینگ II</v>
      </c>
      <c r="G11301" s="1" t="str">
        <f>IFERROR(__xludf.DUMMYFUNCTION("GOOGLETRANSLATE(C11301, ""en"", ""fa"")
"),"در مورد عناصر کلیدی کپی تبلیغات موثر برای راه حل های نرم افزار B2B با تاکید بر کارایی، بهره وری و رشد بحث کنید.")</f>
        <v>در مورد عناصر کلیدی کپی تبلیغات موثر برای راه حل های نرم افزار B2B با تاکید بر کارایی، بهره وری و رشد بحث کنید.</v>
      </c>
      <c r="H11301" s="1"/>
      <c r="I11301" s="1"/>
      <c r="J11301" s="1"/>
      <c r="K11301" s="1"/>
      <c r="L11301" s="1"/>
      <c r="M11301" s="1"/>
      <c r="N11301" s="1"/>
      <c r="O11301" s="1"/>
      <c r="P11301" s="1"/>
      <c r="Q11301" s="1"/>
      <c r="R11301" s="1"/>
      <c r="S11301" s="1"/>
      <c r="T11301" s="1"/>
      <c r="U11301" s="1"/>
      <c r="V11301" s="1"/>
      <c r="W11301" s="1"/>
      <c r="X11301" s="1"/>
      <c r="Y11301" s="1"/>
      <c r="Z11301" s="1"/>
      <c r="AA11301" s="1"/>
      <c r="AB11301" s="1"/>
    </row>
    <row r="11302" ht="50.25" customHeight="1">
      <c r="A11302" s="12">
        <v>11298.0</v>
      </c>
      <c r="B11302" s="13" t="s">
        <v>10535</v>
      </c>
      <c r="C11302" s="14" t="s">
        <v>11330</v>
      </c>
      <c r="D11302" s="1"/>
      <c r="E11302" s="1"/>
      <c r="F11302" s="1" t="str">
        <f>IFERROR(__xludf.DUMMYFUNCTION("GOOGLETRANSLATE(B11302, ""en"", ""fa"")
"),"کپی رایتینگ II")</f>
        <v>کپی رایتینگ II</v>
      </c>
      <c r="G11302" s="1" t="str">
        <f>IFERROR(__xludf.DUMMYFUNCTION("GOOGLETRANSLATE(C11302, ""en"", ""fa"")
"),"استراتژی‌های نوشتن نسخه تبلیغاتی را برای بازارهای آنلاین که از محصولات دست ساز یا صنایع دستی پذیرایی می‌کنند و هنر و داستان‌های منحصربه‌فرد را به نمایش می‌گذارند، کاوش کنید.")</f>
        <v>استراتژی‌های نوشتن نسخه تبلیغاتی را برای بازارهای آنلاین که از محصولات دست ساز یا صنایع دستی پذیرایی می‌کنند و هنر و داستان‌های منحصربه‌فرد را به نمایش می‌گذارند، کاوش کنید.</v>
      </c>
      <c r="H11302" s="1"/>
      <c r="I11302" s="1"/>
      <c r="J11302" s="1"/>
      <c r="K11302" s="1"/>
      <c r="L11302" s="1"/>
      <c r="M11302" s="1"/>
      <c r="N11302" s="1"/>
      <c r="O11302" s="1"/>
      <c r="P11302" s="1"/>
      <c r="Q11302" s="1"/>
      <c r="R11302" s="1"/>
      <c r="S11302" s="1"/>
      <c r="T11302" s="1"/>
      <c r="U11302" s="1"/>
      <c r="V11302" s="1"/>
      <c r="W11302" s="1"/>
      <c r="X11302" s="1"/>
      <c r="Y11302" s="1"/>
      <c r="Z11302" s="1"/>
      <c r="AA11302" s="1"/>
      <c r="AB11302" s="1"/>
    </row>
    <row r="11303" ht="50.25" customHeight="1">
      <c r="A11303" s="12">
        <v>11299.0</v>
      </c>
      <c r="B11303" s="13" t="s">
        <v>10535</v>
      </c>
      <c r="C11303" s="14" t="s">
        <v>11331</v>
      </c>
      <c r="D11303" s="1"/>
      <c r="E11303" s="1"/>
      <c r="F11303" s="1" t="str">
        <f>IFERROR(__xludf.DUMMYFUNCTION("GOOGLETRANSLATE(B11303, ""en"", ""fa"")
"),"کپی رایتینگ II")</f>
        <v>کپی رایتینگ II</v>
      </c>
      <c r="G11303" s="1" t="str">
        <f>IFERROR(__xludf.DUMMYFUNCTION("GOOGLETRANSLATE(C11303, ""en"", ""fa"")
"),"تکنیک‌هایی برای ایجاد یک نسخه تبلیغاتی جذاب برای سازمان‌های حمایت از حیوانات خانگی یا نجات حیوانات، جلب توجه و تشویق به پذیرش چیست؟")</f>
        <v>تکنیک‌هایی برای ایجاد یک نسخه تبلیغاتی جذاب برای سازمان‌های حمایت از حیوانات خانگی یا نجات حیوانات، جلب توجه و تشویق به پذیرش چیست؟</v>
      </c>
      <c r="H11303" s="1"/>
      <c r="I11303" s="1"/>
      <c r="J11303" s="1"/>
      <c r="K11303" s="1"/>
      <c r="L11303" s="1"/>
      <c r="M11303" s="1"/>
      <c r="N11303" s="1"/>
      <c r="O11303" s="1"/>
      <c r="P11303" s="1"/>
      <c r="Q11303" s="1"/>
      <c r="R11303" s="1"/>
      <c r="S11303" s="1"/>
      <c r="T11303" s="1"/>
      <c r="U11303" s="1"/>
      <c r="V11303" s="1"/>
      <c r="W11303" s="1"/>
      <c r="X11303" s="1"/>
      <c r="Y11303" s="1"/>
      <c r="Z11303" s="1"/>
      <c r="AA11303" s="1"/>
      <c r="AB11303" s="1"/>
    </row>
    <row r="11304" ht="50.25" customHeight="1">
      <c r="A11304" s="12">
        <v>11300.0</v>
      </c>
      <c r="B11304" s="13" t="s">
        <v>10535</v>
      </c>
      <c r="C11304" s="14" t="s">
        <v>11332</v>
      </c>
      <c r="D11304" s="1"/>
      <c r="E11304" s="1"/>
      <c r="F11304" s="1" t="str">
        <f>IFERROR(__xludf.DUMMYFUNCTION("GOOGLETRANSLATE(B11304, ""en"", ""fa"")
"),"کپی رایتینگ II")</f>
        <v>کپی رایتینگ II</v>
      </c>
      <c r="G11304" s="1" t="str">
        <f>IFERROR(__xludf.DUMMYFUNCTION("GOOGLETRANSLATE(C11304, ""en"", ""fa"")
"),"نحوه ایجاد یک نسخه تبلیغاتی متقاعدکننده برای ماجراجویی در فضای باز یا وسایل سفر، کاوش الهام بخش و تجربیات در فضای باز.")</f>
        <v>نحوه ایجاد یک نسخه تبلیغاتی متقاعدکننده برای ماجراجویی در فضای باز یا وسایل سفر، کاوش الهام بخش و تجربیات در فضای باز.</v>
      </c>
      <c r="H11304" s="1"/>
      <c r="I11304" s="1"/>
      <c r="J11304" s="1"/>
      <c r="K11304" s="1"/>
      <c r="L11304" s="1"/>
      <c r="M11304" s="1"/>
      <c r="N11304" s="1"/>
      <c r="O11304" s="1"/>
      <c r="P11304" s="1"/>
      <c r="Q11304" s="1"/>
      <c r="R11304" s="1"/>
      <c r="S11304" s="1"/>
      <c r="T11304" s="1"/>
      <c r="U11304" s="1"/>
      <c r="V11304" s="1"/>
      <c r="W11304" s="1"/>
      <c r="X11304" s="1"/>
      <c r="Y11304" s="1"/>
      <c r="Z11304" s="1"/>
      <c r="AA11304" s="1"/>
      <c r="AB11304" s="1"/>
    </row>
    <row r="11305" ht="50.25" customHeight="1">
      <c r="A11305" s="12">
        <v>11301.0</v>
      </c>
      <c r="B11305" s="13" t="s">
        <v>10535</v>
      </c>
      <c r="C11305" s="14" t="s">
        <v>11333</v>
      </c>
      <c r="D11305" s="1"/>
      <c r="E11305" s="1"/>
      <c r="F11305" s="1" t="str">
        <f>IFERROR(__xludf.DUMMYFUNCTION("GOOGLETRANSLATE(B11305, ""en"", ""fa"")
"),"کپی رایتینگ II")</f>
        <v>کپی رایتینگ II</v>
      </c>
      <c r="G11305" s="1" t="str">
        <f>IFERROR(__xludf.DUMMYFUNCTION("GOOGLETRANSLATE(C11305, ""en"", ""fa"")
"),"در مورد بهترین شیوه ها برای نوشتن نسخه تبلیغاتی برای خدمات برنامه ریزی مالی، ارائه استراتژی های شخصی برای مدیریت ثروت و امنیت مالی بحث کنید.")</f>
        <v>در مورد بهترین شیوه ها برای نوشتن نسخه تبلیغاتی برای خدمات برنامه ریزی مالی، ارائه استراتژی های شخصی برای مدیریت ثروت و امنیت مالی بحث کنید.</v>
      </c>
      <c r="H11305" s="1"/>
      <c r="I11305" s="1"/>
      <c r="J11305" s="1"/>
      <c r="K11305" s="1"/>
      <c r="L11305" s="1"/>
      <c r="M11305" s="1"/>
      <c r="N11305" s="1"/>
      <c r="O11305" s="1"/>
      <c r="P11305" s="1"/>
      <c r="Q11305" s="1"/>
      <c r="R11305" s="1"/>
      <c r="S11305" s="1"/>
      <c r="T11305" s="1"/>
      <c r="U11305" s="1"/>
      <c r="V11305" s="1"/>
      <c r="W11305" s="1"/>
      <c r="X11305" s="1"/>
      <c r="Y11305" s="1"/>
      <c r="Z11305" s="1"/>
      <c r="AA11305" s="1"/>
      <c r="AB11305" s="1"/>
    </row>
    <row r="11306" ht="50.25" customHeight="1">
      <c r="A11306" s="12">
        <v>11302.0</v>
      </c>
      <c r="B11306" s="13" t="s">
        <v>10535</v>
      </c>
      <c r="C11306" s="14" t="s">
        <v>11334</v>
      </c>
      <c r="D11306" s="1"/>
      <c r="E11306" s="1"/>
      <c r="F11306" s="1" t="str">
        <f>IFERROR(__xludf.DUMMYFUNCTION("GOOGLETRANSLATE(B11306, ""en"", ""fa"")
"),"کپی رایتینگ II")</f>
        <v>کپی رایتینگ II</v>
      </c>
      <c r="G11306" s="1" t="str">
        <f>IFERROR(__xludf.DUMMYFUNCTION("GOOGLETRANSLATE(C11306, ""en"", ""fa"")
"),"استراتژی‌های طراحی نسخه تبلیغاتی برای اسباب‌بازی‌های آموزشی یا مواد آموزشی، درگیر کردن ذهن‌های جوان و پرورش کنجکاوی را بررسی کنید.")</f>
        <v>استراتژی‌های طراحی نسخه تبلیغاتی برای اسباب‌بازی‌های آموزشی یا مواد آموزشی، درگیر کردن ذهن‌های جوان و پرورش کنجکاوی را بررسی کنید.</v>
      </c>
      <c r="H11306" s="1"/>
      <c r="I11306" s="1"/>
      <c r="J11306" s="1"/>
      <c r="K11306" s="1"/>
      <c r="L11306" s="1"/>
      <c r="M11306" s="1"/>
      <c r="N11306" s="1"/>
      <c r="O11306" s="1"/>
      <c r="P11306" s="1"/>
      <c r="Q11306" s="1"/>
      <c r="R11306" s="1"/>
      <c r="S11306" s="1"/>
      <c r="T11306" s="1"/>
      <c r="U11306" s="1"/>
      <c r="V11306" s="1"/>
      <c r="W11306" s="1"/>
      <c r="X11306" s="1"/>
      <c r="Y11306" s="1"/>
      <c r="Z11306" s="1"/>
      <c r="AA11306" s="1"/>
      <c r="AB11306" s="1"/>
    </row>
    <row r="11307" ht="50.25" customHeight="1">
      <c r="A11307" s="12">
        <v>11303.0</v>
      </c>
      <c r="B11307" s="13" t="s">
        <v>10535</v>
      </c>
      <c r="C11307" s="14" t="s">
        <v>11335</v>
      </c>
      <c r="D11307" s="1"/>
      <c r="E11307" s="1"/>
      <c r="F11307" s="1" t="str">
        <f>IFERROR(__xludf.DUMMYFUNCTION("GOOGLETRANSLATE(B11307, ""en"", ""fa"")
"),"کپی رایتینگ II")</f>
        <v>کپی رایتینگ II</v>
      </c>
      <c r="G11307" s="1" t="str">
        <f>IFERROR(__xludf.DUMMYFUNCTION("GOOGLETRANSLATE(C11307, ""en"", ""fa"")
"),"عناصر کلیدی که باید هنگام نوشتن نسخه تبلیغاتی برای استراحتگاه های سلامت و تندرستی، ترویج آرامش، جوان سازی و مراقبت از خود در نظر بگیرید.")</f>
        <v>عناصر کلیدی که باید هنگام نوشتن نسخه تبلیغاتی برای استراحتگاه های سلامت و تندرستی، ترویج آرامش، جوان سازی و مراقبت از خود در نظر بگیرید.</v>
      </c>
      <c r="H11307" s="1"/>
      <c r="I11307" s="1"/>
      <c r="J11307" s="1"/>
      <c r="K11307" s="1"/>
      <c r="L11307" s="1"/>
      <c r="M11307" s="1"/>
      <c r="N11307" s="1"/>
      <c r="O11307" s="1"/>
      <c r="P11307" s="1"/>
      <c r="Q11307" s="1"/>
      <c r="R11307" s="1"/>
      <c r="S11307" s="1"/>
      <c r="T11307" s="1"/>
      <c r="U11307" s="1"/>
      <c r="V11307" s="1"/>
      <c r="W11307" s="1"/>
      <c r="X11307" s="1"/>
      <c r="Y11307" s="1"/>
      <c r="Z11307" s="1"/>
      <c r="AA11307" s="1"/>
      <c r="AB11307" s="1"/>
    </row>
    <row r="11308" ht="50.25" customHeight="1">
      <c r="A11308" s="12">
        <v>11304.0</v>
      </c>
      <c r="B11308" s="13" t="s">
        <v>10535</v>
      </c>
      <c r="C11308" s="14" t="s">
        <v>11336</v>
      </c>
      <c r="D11308" s="1"/>
      <c r="E11308" s="1"/>
      <c r="F11308" s="1" t="str">
        <f>IFERROR(__xludf.DUMMYFUNCTION("GOOGLETRANSLATE(B11308, ""en"", ""fa"")
"),"کپی رایتینگ II")</f>
        <v>کپی رایتینگ II</v>
      </c>
      <c r="G11308" s="1" t="str">
        <f>IFERROR(__xludf.DUMMYFUNCTION("GOOGLETRANSLATE(C11308, ""en"", ""fa"")
"),"چگونه می توان نسخه تبلیغاتی خود را برای مارک های سازگار با محیط زیست یا محصولات پایدار بهینه کرد، که برای مصرف کنندگان آگاه از محیط زیست جذاب است.")</f>
        <v>چگونه می توان نسخه تبلیغاتی خود را برای مارک های سازگار با محیط زیست یا محصولات پایدار بهینه کرد، که برای مصرف کنندگان آگاه از محیط زیست جذاب است.</v>
      </c>
      <c r="H11308" s="1"/>
      <c r="I11308" s="1"/>
      <c r="J11308" s="1"/>
      <c r="K11308" s="1"/>
      <c r="L11308" s="1"/>
      <c r="M11308" s="1"/>
      <c r="N11308" s="1"/>
      <c r="O11308" s="1"/>
      <c r="P11308" s="1"/>
      <c r="Q11308" s="1"/>
      <c r="R11308" s="1"/>
      <c r="S11308" s="1"/>
      <c r="T11308" s="1"/>
      <c r="U11308" s="1"/>
      <c r="V11308" s="1"/>
      <c r="W11308" s="1"/>
      <c r="X11308" s="1"/>
      <c r="Y11308" s="1"/>
      <c r="Z11308" s="1"/>
      <c r="AA11308" s="1"/>
      <c r="AB11308" s="1"/>
    </row>
    <row r="11309" ht="50.25" customHeight="1">
      <c r="A11309" s="12">
        <v>11305.0</v>
      </c>
      <c r="B11309" s="13" t="s">
        <v>10535</v>
      </c>
      <c r="C11309" s="14" t="s">
        <v>11337</v>
      </c>
      <c r="D11309" s="1"/>
      <c r="E11309" s="1"/>
      <c r="F11309" s="1" t="str">
        <f>IFERROR(__xludf.DUMMYFUNCTION("GOOGLETRANSLATE(B11309, ""en"", ""fa"")
"),"کپی رایتینگ II")</f>
        <v>کپی رایتینگ II</v>
      </c>
      <c r="G11309" s="1" t="str">
        <f>IFERROR(__xludf.DUMMYFUNCTION("GOOGLETRANSLATE(C11309, ""en"", ""fa"")
"),"در مورد تکنیک‌های نوشتن یک نسخه تبلیغاتی مؤثر برای تجربه‌های سفر لوکس یا استراحتگاه‌های انحصاری بحث کنید، که حس انحصار و نوازش را ایجاد می‌کند.")</f>
        <v>در مورد تکنیک‌های نوشتن یک نسخه تبلیغاتی مؤثر برای تجربه‌های سفر لوکس یا استراحتگاه‌های انحصاری بحث کنید، که حس انحصار و نوازش را ایجاد می‌کند.</v>
      </c>
      <c r="H11309" s="1"/>
      <c r="I11309" s="1"/>
      <c r="J11309" s="1"/>
      <c r="K11309" s="1"/>
      <c r="L11309" s="1"/>
      <c r="M11309" s="1"/>
      <c r="N11309" s="1"/>
      <c r="O11309" s="1"/>
      <c r="P11309" s="1"/>
      <c r="Q11309" s="1"/>
      <c r="R11309" s="1"/>
      <c r="S11309" s="1"/>
      <c r="T11309" s="1"/>
      <c r="U11309" s="1"/>
      <c r="V11309" s="1"/>
      <c r="W11309" s="1"/>
      <c r="X11309" s="1"/>
      <c r="Y11309" s="1"/>
      <c r="Z11309" s="1"/>
      <c r="AA11309" s="1"/>
      <c r="AB11309" s="1"/>
    </row>
    <row r="11310" ht="50.25" customHeight="1">
      <c r="A11310" s="12">
        <v>11306.0</v>
      </c>
      <c r="B11310" s="13" t="s">
        <v>10535</v>
      </c>
      <c r="C11310" s="14" t="s">
        <v>11338</v>
      </c>
      <c r="D11310" s="1"/>
      <c r="E11310" s="1"/>
      <c r="F11310" s="1" t="str">
        <f>IFERROR(__xludf.DUMMYFUNCTION("GOOGLETRANSLATE(B11310, ""en"", ""fa"")
"),"کپی رایتینگ II")</f>
        <v>کپی رایتینگ II</v>
      </c>
      <c r="G11310" s="1" t="str">
        <f>IFERROR(__xludf.DUMMYFUNCTION("GOOGLETRANSLATE(C11310, ""en"", ""fa"")
"),"استراتژی‌های ایجاد نسخه تبلیغاتی جذاب برای برنامه‌های مربیگری یا مربیگری کسب‌وکار، ارائه راهنمایی برای موفقیت کارآفرینی را بررسی کنید.")</f>
        <v>استراتژی‌های ایجاد نسخه تبلیغاتی جذاب برای برنامه‌های مربیگری یا مربیگری کسب‌وکار، ارائه راهنمایی برای موفقیت کارآفرینی را بررسی کنید.</v>
      </c>
      <c r="H11310" s="1"/>
      <c r="I11310" s="1"/>
      <c r="J11310" s="1"/>
      <c r="K11310" s="1"/>
      <c r="L11310" s="1"/>
      <c r="M11310" s="1"/>
      <c r="N11310" s="1"/>
      <c r="O11310" s="1"/>
      <c r="P11310" s="1"/>
      <c r="Q11310" s="1"/>
      <c r="R11310" s="1"/>
      <c r="S11310" s="1"/>
      <c r="T11310" s="1"/>
      <c r="U11310" s="1"/>
      <c r="V11310" s="1"/>
      <c r="W11310" s="1"/>
      <c r="X11310" s="1"/>
      <c r="Y11310" s="1"/>
      <c r="Z11310" s="1"/>
      <c r="AA11310" s="1"/>
      <c r="AB11310" s="1"/>
    </row>
    <row r="11311" ht="50.25" customHeight="1">
      <c r="A11311" s="12">
        <v>11307.0</v>
      </c>
      <c r="B11311" s="13" t="s">
        <v>10535</v>
      </c>
      <c r="C11311" s="14" t="s">
        <v>11339</v>
      </c>
      <c r="D11311" s="1"/>
      <c r="E11311" s="1"/>
      <c r="F11311" s="1" t="str">
        <f>IFERROR(__xludf.DUMMYFUNCTION("GOOGLETRANSLATE(B11311, ""en"", ""fa"")
"),"کپی رایتینگ II")</f>
        <v>کپی رایتینگ II</v>
      </c>
      <c r="G11311" s="1" t="str">
        <f>IFERROR(__xludf.DUMMYFUNCTION("GOOGLETRANSLATE(C11311, ""en"", ""fa"")
"),"بهترین شیوه ها برای نوشتن نسخه تبلیغاتی برای ابزارهای فناوری یا ابزارهای نوآورانه، برجسته کردن ویژگی های پیشرفته و راحتی چیست.")</f>
        <v>بهترین شیوه ها برای نوشتن نسخه تبلیغاتی برای ابزارهای فناوری یا ابزارهای نوآورانه، برجسته کردن ویژگی های پیشرفته و راحتی چیست.</v>
      </c>
      <c r="H11311" s="1"/>
      <c r="I11311" s="1"/>
      <c r="J11311" s="1"/>
      <c r="K11311" s="1"/>
      <c r="L11311" s="1"/>
      <c r="M11311" s="1"/>
      <c r="N11311" s="1"/>
      <c r="O11311" s="1"/>
      <c r="P11311" s="1"/>
      <c r="Q11311" s="1"/>
      <c r="R11311" s="1"/>
      <c r="S11311" s="1"/>
      <c r="T11311" s="1"/>
      <c r="U11311" s="1"/>
      <c r="V11311" s="1"/>
      <c r="W11311" s="1"/>
      <c r="X11311" s="1"/>
      <c r="Y11311" s="1"/>
      <c r="Z11311" s="1"/>
      <c r="AA11311" s="1"/>
      <c r="AB11311" s="1"/>
    </row>
    <row r="11312" ht="50.25" customHeight="1">
      <c r="A11312" s="12">
        <v>11308.0</v>
      </c>
      <c r="B11312" s="13" t="s">
        <v>10535</v>
      </c>
      <c r="C11312" s="14" t="s">
        <v>11340</v>
      </c>
      <c r="D11312" s="1"/>
      <c r="E11312" s="1"/>
      <c r="F11312" s="1" t="str">
        <f>IFERROR(__xludf.DUMMYFUNCTION("GOOGLETRANSLATE(B11312, ""en"", ""fa"")
"),"کپی رایتینگ II")</f>
        <v>کپی رایتینگ II</v>
      </c>
      <c r="G11312" s="1" t="str">
        <f>IFERROR(__xludf.DUMMYFUNCTION("GOOGLETRANSLATE(C11312, ""en"", ""fa"")
"),"چگونه می توانید نسخه تبلیغاتی خود را برای محصولات غذایی حرفه ای یا لذیذ تنظیم کنید، کیفیت، مهارت و لذت آشپزی را منتقل کنید.")</f>
        <v>چگونه می توانید نسخه تبلیغاتی خود را برای محصولات غذایی حرفه ای یا لذیذ تنظیم کنید، کیفیت، مهارت و لذت آشپزی را منتقل کنید.</v>
      </c>
      <c r="H11312" s="1"/>
      <c r="I11312" s="1"/>
      <c r="J11312" s="1"/>
      <c r="K11312" s="1"/>
      <c r="L11312" s="1"/>
      <c r="M11312" s="1"/>
      <c r="N11312" s="1"/>
      <c r="O11312" s="1"/>
      <c r="P11312" s="1"/>
      <c r="Q11312" s="1"/>
      <c r="R11312" s="1"/>
      <c r="S11312" s="1"/>
      <c r="T11312" s="1"/>
      <c r="U11312" s="1"/>
      <c r="V11312" s="1"/>
      <c r="W11312" s="1"/>
      <c r="X11312" s="1"/>
      <c r="Y11312" s="1"/>
      <c r="Z11312" s="1"/>
      <c r="AA11312" s="1"/>
      <c r="AB11312" s="1"/>
    </row>
    <row r="11313" ht="50.25" customHeight="1">
      <c r="A11313" s="12">
        <v>11309.0</v>
      </c>
      <c r="B11313" s="13" t="s">
        <v>10535</v>
      </c>
      <c r="C11313" s="14" t="s">
        <v>11341</v>
      </c>
      <c r="D11313" s="1"/>
      <c r="E11313" s="1"/>
      <c r="F11313" s="1" t="str">
        <f>IFERROR(__xludf.DUMMYFUNCTION("GOOGLETRANSLATE(B11313, ""en"", ""fa"")
"),"کپی رایتینگ II")</f>
        <v>کپی رایتینگ II</v>
      </c>
      <c r="G11313" s="1" t="str">
        <f>IFERROR(__xludf.DUMMYFUNCTION("GOOGLETRANSLATE(C11313, ""en"", ""fa"")
"),"چگونه توضیحات محصول قانع کننده ای بنویسید که ویژگی ها و مزایای منحصر به فرد محصولات تجارت الکترونیک شما را برجسته کند.")</f>
        <v>چگونه توضیحات محصول قانع کننده ای بنویسید که ویژگی ها و مزایای منحصر به فرد محصولات تجارت الکترونیک شما را برجسته کند.</v>
      </c>
      <c r="H11313" s="1"/>
      <c r="I11313" s="1"/>
      <c r="J11313" s="1"/>
      <c r="K11313" s="1"/>
      <c r="L11313" s="1"/>
      <c r="M11313" s="1"/>
      <c r="N11313" s="1"/>
      <c r="O11313" s="1"/>
      <c r="P11313" s="1"/>
      <c r="Q11313" s="1"/>
      <c r="R11313" s="1"/>
      <c r="S11313" s="1"/>
      <c r="T11313" s="1"/>
      <c r="U11313" s="1"/>
      <c r="V11313" s="1"/>
      <c r="W11313" s="1"/>
      <c r="X11313" s="1"/>
      <c r="Y11313" s="1"/>
      <c r="Z11313" s="1"/>
      <c r="AA11313" s="1"/>
      <c r="AB11313" s="1"/>
    </row>
    <row r="11314" ht="50.25" customHeight="1">
      <c r="A11314" s="12">
        <v>11310.0</v>
      </c>
      <c r="B11314" s="13" t="s">
        <v>10535</v>
      </c>
      <c r="C11314" s="14" t="s">
        <v>11342</v>
      </c>
      <c r="D11314" s="1"/>
      <c r="E11314" s="1"/>
      <c r="F11314" s="1" t="str">
        <f>IFERROR(__xludf.DUMMYFUNCTION("GOOGLETRANSLATE(B11314, ""en"", ""fa"")
"),"کپی رایتینگ II")</f>
        <v>کپی رایتینگ II</v>
      </c>
      <c r="G11314" s="1" t="str">
        <f>IFERROR(__xludf.DUMMYFUNCTION("GOOGLETRANSLATE(C11314, ""en"", ""fa"")
"),"استراتژی‌های ایجاد کپی صفحه فرود متقاعدکننده را که باعث ایجاد تبدیل و افزایش فروش برای فروشگاه آنلاین شما می‌شود، بررسی کنید.")</f>
        <v>استراتژی‌های ایجاد کپی صفحه فرود متقاعدکننده را که باعث ایجاد تبدیل و افزایش فروش برای فروشگاه آنلاین شما می‌شود، بررسی کنید.</v>
      </c>
      <c r="H11314" s="1"/>
      <c r="I11314" s="1"/>
      <c r="J11314" s="1"/>
      <c r="K11314" s="1"/>
      <c r="L11314" s="1"/>
      <c r="M11314" s="1"/>
      <c r="N11314" s="1"/>
      <c r="O11314" s="1"/>
      <c r="P11314" s="1"/>
      <c r="Q11314" s="1"/>
      <c r="R11314" s="1"/>
      <c r="S11314" s="1"/>
      <c r="T11314" s="1"/>
      <c r="U11314" s="1"/>
      <c r="V11314" s="1"/>
      <c r="W11314" s="1"/>
      <c r="X11314" s="1"/>
      <c r="Y11314" s="1"/>
      <c r="Z11314" s="1"/>
      <c r="AA11314" s="1"/>
      <c r="AB11314" s="1"/>
    </row>
    <row r="11315" ht="50.25" customHeight="1">
      <c r="A11315" s="12">
        <v>11311.0</v>
      </c>
      <c r="B11315" s="13" t="s">
        <v>10535</v>
      </c>
      <c r="C11315" s="14" t="s">
        <v>11343</v>
      </c>
      <c r="D11315" s="1"/>
      <c r="E11315" s="1"/>
      <c r="F11315" s="1" t="str">
        <f>IFERROR(__xludf.DUMMYFUNCTION("GOOGLETRANSLATE(B11315, ""en"", ""fa"")
"),"کپی رایتینگ II")</f>
        <v>کپی رایتینگ II</v>
      </c>
      <c r="G11315" s="1" t="str">
        <f>IFERROR(__xludf.DUMMYFUNCTION("GOOGLETRANSLATE(C11315, ""en"", ""fa"")
"),"بهترین روش ها برای نوشتن سرفصل های جذاب برای وب سایت تجارت الکترونیکی شما که توجه را به خود جلب می کند و بازدیدکنندگان را جذب می کند چیست.")</f>
        <v>بهترین روش ها برای نوشتن سرفصل های جذاب برای وب سایت تجارت الکترونیکی شما که توجه را به خود جلب می کند و بازدیدکنندگان را جذب می کند چیست.</v>
      </c>
      <c r="H11315" s="1"/>
      <c r="I11315" s="1"/>
      <c r="J11315" s="1"/>
      <c r="K11315" s="1"/>
      <c r="L11315" s="1"/>
      <c r="M11315" s="1"/>
      <c r="N11315" s="1"/>
      <c r="O11315" s="1"/>
      <c r="P11315" s="1"/>
      <c r="Q11315" s="1"/>
      <c r="R11315" s="1"/>
      <c r="S11315" s="1"/>
      <c r="T11315" s="1"/>
      <c r="U11315" s="1"/>
      <c r="V11315" s="1"/>
      <c r="W11315" s="1"/>
      <c r="X11315" s="1"/>
      <c r="Y11315" s="1"/>
      <c r="Z11315" s="1"/>
      <c r="AA11315" s="1"/>
      <c r="AB11315" s="1"/>
    </row>
    <row r="11316" ht="50.25" customHeight="1">
      <c r="A11316" s="12">
        <v>11312.0</v>
      </c>
      <c r="B11316" s="13" t="s">
        <v>10535</v>
      </c>
      <c r="C11316" s="14" t="s">
        <v>11344</v>
      </c>
      <c r="D11316" s="1"/>
      <c r="E11316" s="1"/>
      <c r="F11316" s="1" t="str">
        <f>IFERROR(__xludf.DUMMYFUNCTION("GOOGLETRANSLATE(B11316, ""en"", ""fa"")
"),"کپی رایتینگ II")</f>
        <v>کپی رایتینگ II</v>
      </c>
      <c r="G11316" s="1" t="str">
        <f>IFERROR(__xludf.DUMMYFUNCTION("GOOGLETRANSLATE(C11316, ""en"", ""fa"")
"),"نحوه ایجاد یک کپی فراخوان موثر (CTA) که بازدیدکنندگان را تشویق می کند تا اقدام مورد نظر خود را انجام دهند، مانند خرید یا ثبت نام در خبرنامه.")</f>
        <v>نحوه ایجاد یک کپی فراخوان موثر (CTA) که بازدیدکنندگان را تشویق می کند تا اقدام مورد نظر خود را انجام دهند، مانند خرید یا ثبت نام در خبرنامه.</v>
      </c>
      <c r="H11316" s="1"/>
      <c r="I11316" s="1"/>
      <c r="J11316" s="1"/>
      <c r="K11316" s="1"/>
      <c r="L11316" s="1"/>
      <c r="M11316" s="1"/>
      <c r="N11316" s="1"/>
      <c r="O11316" s="1"/>
      <c r="P11316" s="1"/>
      <c r="Q11316" s="1"/>
      <c r="R11316" s="1"/>
      <c r="S11316" s="1"/>
      <c r="T11316" s="1"/>
      <c r="U11316" s="1"/>
      <c r="V11316" s="1"/>
      <c r="W11316" s="1"/>
      <c r="X11316" s="1"/>
      <c r="Y11316" s="1"/>
      <c r="Z11316" s="1"/>
      <c r="AA11316" s="1"/>
      <c r="AB11316" s="1"/>
    </row>
    <row r="11317" ht="50.25" customHeight="1">
      <c r="A11317" s="12">
        <v>11313.0</v>
      </c>
      <c r="B11317" s="13" t="s">
        <v>10535</v>
      </c>
      <c r="C11317" s="14" t="s">
        <v>11345</v>
      </c>
      <c r="D11317" s="1"/>
      <c r="E11317" s="1"/>
      <c r="F11317" s="1" t="str">
        <f>IFERROR(__xludf.DUMMYFUNCTION("GOOGLETRANSLATE(B11317, ""en"", ""fa"")
"),"کپی رایتینگ II")</f>
        <v>کپی رایتینگ II</v>
      </c>
      <c r="G11317" s="1" t="str">
        <f>IFERROR(__xludf.DUMMYFUNCTION("GOOGLETRANSLATE(C11317, ""en"", ""fa"")
"),"در مورد عناصر کلیدی کپی متقاعدکننده برای صفحات دسته بندی محصولات که مشتریان را از طریق فروشگاه تجارت الکترونیکی شما راهنمایی می کند و مرور و فروش را افزایش می دهد، بحث کنید.")</f>
        <v>در مورد عناصر کلیدی کپی متقاعدکننده برای صفحات دسته بندی محصولات که مشتریان را از طریق فروشگاه تجارت الکترونیکی شما راهنمایی می کند و مرور و فروش را افزایش می دهد، بحث کنید.</v>
      </c>
      <c r="H11317" s="1"/>
      <c r="I11317" s="1"/>
      <c r="J11317" s="1"/>
      <c r="K11317" s="1"/>
      <c r="L11317" s="1"/>
      <c r="M11317" s="1"/>
      <c r="N11317" s="1"/>
      <c r="O11317" s="1"/>
      <c r="P11317" s="1"/>
      <c r="Q11317" s="1"/>
      <c r="R11317" s="1"/>
      <c r="S11317" s="1"/>
      <c r="T11317" s="1"/>
      <c r="U11317" s="1"/>
      <c r="V11317" s="1"/>
      <c r="W11317" s="1"/>
      <c r="X11317" s="1"/>
      <c r="Y11317" s="1"/>
      <c r="Z11317" s="1"/>
      <c r="AA11317" s="1"/>
      <c r="AB11317" s="1"/>
    </row>
    <row r="11318" ht="50.25" customHeight="1">
      <c r="A11318" s="12">
        <v>11314.0</v>
      </c>
      <c r="B11318" s="13" t="s">
        <v>10535</v>
      </c>
      <c r="C11318" s="14" t="s">
        <v>11346</v>
      </c>
      <c r="D11318" s="1"/>
      <c r="E11318" s="1"/>
      <c r="F11318" s="1" t="str">
        <f>IFERROR(__xludf.DUMMYFUNCTION("GOOGLETRANSLATE(B11318, ""en"", ""fa"")
"),"کپی رایتینگ II")</f>
        <v>کپی رایتینگ II</v>
      </c>
      <c r="G11318" s="1" t="str">
        <f>IFERROR(__xludf.DUMMYFUNCTION("GOOGLETRANSLATE(C11318, ""en"", ""fa"")
"),"استراتژی‌هایی را برای نوشتن نسخه بازاریابی ایمیلی قانع‌کننده که باعث تعامل مشتری و افزایش فروش برای تجارت الکترونیک شما می‌شود، کاوش کنید.")</f>
        <v>استراتژی‌هایی را برای نوشتن نسخه بازاریابی ایمیلی قانع‌کننده که باعث تعامل مشتری و افزایش فروش برای تجارت الکترونیک شما می‌شود، کاوش کنید.</v>
      </c>
      <c r="H11318" s="1"/>
      <c r="I11318" s="1"/>
      <c r="J11318" s="1"/>
      <c r="K11318" s="1"/>
      <c r="L11318" s="1"/>
      <c r="M11318" s="1"/>
      <c r="N11318" s="1"/>
      <c r="O11318" s="1"/>
      <c r="P11318" s="1"/>
      <c r="Q11318" s="1"/>
      <c r="R11318" s="1"/>
      <c r="S11318" s="1"/>
      <c r="T11318" s="1"/>
      <c r="U11318" s="1"/>
      <c r="V11318" s="1"/>
      <c r="W11318" s="1"/>
      <c r="X11318" s="1"/>
      <c r="Y11318" s="1"/>
      <c r="Z11318" s="1"/>
      <c r="AA11318" s="1"/>
      <c r="AB11318" s="1"/>
    </row>
    <row r="11319" ht="50.25" customHeight="1">
      <c r="A11319" s="12">
        <v>11315.0</v>
      </c>
      <c r="B11319" s="13" t="s">
        <v>10535</v>
      </c>
      <c r="C11319" s="14" t="s">
        <v>11347</v>
      </c>
      <c r="D11319" s="1"/>
      <c r="E11319" s="1"/>
      <c r="F11319" s="1" t="str">
        <f>IFERROR(__xludf.DUMMYFUNCTION("GOOGLETRANSLATE(B11319, ""en"", ""fa"")
"),"کپی رایتینگ II")</f>
        <v>کپی رایتینگ II</v>
      </c>
      <c r="G11319" s="1" t="str">
        <f>IFERROR(__xludf.DUMMYFUNCTION("GOOGLETRANSLATE(C11319, ""en"", ""fa"")
"),"چه تکنیک هایی برای ایجاد عناوین محصولات متقاعد کننده وجود دارد که برای لیست های تجارت الکترونیک شما آموزنده و فریبنده باشد.")</f>
        <v>چه تکنیک هایی برای ایجاد عناوین محصولات متقاعد کننده وجود دارد که برای لیست های تجارت الکترونیک شما آموزنده و فریبنده باشد.</v>
      </c>
      <c r="H11319" s="1"/>
      <c r="I11319" s="1"/>
      <c r="J11319" s="1"/>
      <c r="K11319" s="1"/>
      <c r="L11319" s="1"/>
      <c r="M11319" s="1"/>
      <c r="N11319" s="1"/>
      <c r="O11319" s="1"/>
      <c r="P11319" s="1"/>
      <c r="Q11319" s="1"/>
      <c r="R11319" s="1"/>
      <c r="S11319" s="1"/>
      <c r="T11319" s="1"/>
      <c r="U11319" s="1"/>
      <c r="V11319" s="1"/>
      <c r="W11319" s="1"/>
      <c r="X11319" s="1"/>
      <c r="Y11319" s="1"/>
      <c r="Z11319" s="1"/>
      <c r="AA11319" s="1"/>
      <c r="AB11319" s="1"/>
    </row>
    <row r="11320" ht="50.25" customHeight="1">
      <c r="A11320" s="12">
        <v>11316.0</v>
      </c>
      <c r="B11320" s="13" t="s">
        <v>10535</v>
      </c>
      <c r="C11320" s="14" t="s">
        <v>11348</v>
      </c>
      <c r="D11320" s="1"/>
      <c r="E11320" s="1"/>
      <c r="F11320" s="1" t="str">
        <f>IFERROR(__xludf.DUMMYFUNCTION("GOOGLETRANSLATE(B11320, ""en"", ""fa"")
"),"کپی رایتینگ II")</f>
        <v>کپی رایتینگ II</v>
      </c>
      <c r="G11320" s="1" t="str">
        <f>IFERROR(__xludf.DUMMYFUNCTION("GOOGLETRANSLATE(C11320, ""en"", ""fa"")
"),"نحوه بهینه سازی کپی تجارت الکترونیکی خود برای موتورهای جستجو برای بهبود دید وب سایت و جذب ترافیک ارگانیک.")</f>
        <v>نحوه بهینه سازی کپی تجارت الکترونیکی خود برای موتورهای جستجو برای بهبود دید وب سایت و جذب ترافیک ارگانیک.</v>
      </c>
      <c r="H11320" s="1"/>
      <c r="I11320" s="1"/>
      <c r="J11320" s="1"/>
      <c r="K11320" s="1"/>
      <c r="L11320" s="1"/>
      <c r="M11320" s="1"/>
      <c r="N11320" s="1"/>
      <c r="O11320" s="1"/>
      <c r="P11320" s="1"/>
      <c r="Q11320" s="1"/>
      <c r="R11320" s="1"/>
      <c r="S11320" s="1"/>
      <c r="T11320" s="1"/>
      <c r="U11320" s="1"/>
      <c r="V11320" s="1"/>
      <c r="W11320" s="1"/>
      <c r="X11320" s="1"/>
      <c r="Y11320" s="1"/>
      <c r="Z11320" s="1"/>
      <c r="AA11320" s="1"/>
      <c r="AB11320" s="1"/>
    </row>
    <row r="11321" ht="50.25" customHeight="1">
      <c r="A11321" s="12">
        <v>11317.0</v>
      </c>
      <c r="B11321" s="13" t="s">
        <v>10535</v>
      </c>
      <c r="C11321" s="14" t="s">
        <v>11349</v>
      </c>
      <c r="D11321" s="1"/>
      <c r="E11321" s="1"/>
      <c r="F11321" s="1" t="str">
        <f>IFERROR(__xludf.DUMMYFUNCTION("GOOGLETRANSLATE(B11321, ""en"", ""fa"")
"),"کپی رایتینگ II")</f>
        <v>کپی رایتینگ II</v>
      </c>
      <c r="G11321" s="1" t="str">
        <f>IFERROR(__xludf.DUMMYFUNCTION("GOOGLETRANSLATE(C11321, ""en"", ""fa"")
"),"در مورد بهترین شیوه‌ها برای نوشتن بررسی‌های متقاعدکننده محصول و توصیفات که اعتماد ایجاد می‌کند و بر تصمیم‌گیری‌های خرید تأثیر می‌گذارد، بحث کنید.")</f>
        <v>در مورد بهترین شیوه‌ها برای نوشتن بررسی‌های متقاعدکننده محصول و توصیفات که اعتماد ایجاد می‌کند و بر تصمیم‌گیری‌های خرید تأثیر می‌گذارد، بحث کنید.</v>
      </c>
      <c r="H11321" s="1"/>
      <c r="I11321" s="1"/>
      <c r="J11321" s="1"/>
      <c r="K11321" s="1"/>
      <c r="L11321" s="1"/>
      <c r="M11321" s="1"/>
      <c r="N11321" s="1"/>
      <c r="O11321" s="1"/>
      <c r="P11321" s="1"/>
      <c r="Q11321" s="1"/>
      <c r="R11321" s="1"/>
      <c r="S11321" s="1"/>
      <c r="T11321" s="1"/>
      <c r="U11321" s="1"/>
      <c r="V11321" s="1"/>
      <c r="W11321" s="1"/>
      <c r="X11321" s="1"/>
      <c r="Y11321" s="1"/>
      <c r="Z11321" s="1"/>
      <c r="AA11321" s="1"/>
      <c r="AB11321" s="1"/>
    </row>
    <row r="11322" ht="50.25" customHeight="1">
      <c r="A11322" s="12">
        <v>11318.0</v>
      </c>
      <c r="B11322" s="13" t="s">
        <v>10535</v>
      </c>
      <c r="C11322" s="14" t="s">
        <v>11350</v>
      </c>
      <c r="D11322" s="1"/>
      <c r="E11322" s="1"/>
      <c r="F11322" s="1" t="str">
        <f>IFERROR(__xludf.DUMMYFUNCTION("GOOGLETRANSLATE(B11322, ""en"", ""fa"")
"),"کپی رایتینگ II")</f>
        <v>کپی رایتینگ II</v>
      </c>
      <c r="G11322" s="1" t="str">
        <f>IFERROR(__xludf.DUMMYFUNCTION("GOOGLETRANSLATE(C11322, ""en"", ""fa"")
"),"برای افزایش میانگین ارزش سفارش و به حداکثر رساندن درآمد، استراتژی‌های ایجاد نسخه‌های متقاعدکننده برای افزایش فروش و فروش متقابل محصول را بررسی کنید.")</f>
        <v>برای افزایش میانگین ارزش سفارش و به حداکثر رساندن درآمد، استراتژی‌های ایجاد نسخه‌های متقاعدکننده برای افزایش فروش و فروش متقابل محصول را بررسی کنید.</v>
      </c>
      <c r="H11322" s="1"/>
      <c r="I11322" s="1"/>
      <c r="J11322" s="1"/>
      <c r="K11322" s="1"/>
      <c r="L11322" s="1"/>
      <c r="M11322" s="1"/>
      <c r="N11322" s="1"/>
      <c r="O11322" s="1"/>
      <c r="P11322" s="1"/>
      <c r="Q11322" s="1"/>
      <c r="R11322" s="1"/>
      <c r="S11322" s="1"/>
      <c r="T11322" s="1"/>
      <c r="U11322" s="1"/>
      <c r="V11322" s="1"/>
      <c r="W11322" s="1"/>
      <c r="X11322" s="1"/>
      <c r="Y11322" s="1"/>
      <c r="Z11322" s="1"/>
      <c r="AA11322" s="1"/>
      <c r="AB11322" s="1"/>
    </row>
    <row r="11323" ht="50.25" customHeight="1">
      <c r="A11323" s="12">
        <v>11319.0</v>
      </c>
      <c r="B11323" s="13" t="s">
        <v>10535</v>
      </c>
      <c r="C11323" s="14" t="s">
        <v>11351</v>
      </c>
      <c r="D11323" s="1"/>
      <c r="E11323" s="1"/>
      <c r="F11323" s="1" t="str">
        <f>IFERROR(__xludf.DUMMYFUNCTION("GOOGLETRANSLATE(B11323, ""en"", ""fa"")
"),"کپی رایتینگ II")</f>
        <v>کپی رایتینگ II</v>
      </c>
      <c r="G11323" s="1" t="str">
        <f>IFERROR(__xludf.DUMMYFUNCTION("GOOGLETRANSLATE(C11323, ""en"", ""fa"")
"),"هنگام نوشتن یک نسخه متقاعدکننده برای بسته بندی محصول که ارزش ارتباط برقرار می کند و تجربه کلی برند را افزایش می دهد، چه عناصر کلیدی باید در نظر گرفته شود.")</f>
        <v>هنگام نوشتن یک نسخه متقاعدکننده برای بسته بندی محصول که ارزش ارتباط برقرار می کند و تجربه کلی برند را افزایش می دهد، چه عناصر کلیدی باید در نظر گرفته شود.</v>
      </c>
      <c r="H11323" s="1"/>
      <c r="I11323" s="1"/>
      <c r="J11323" s="1"/>
      <c r="K11323" s="1"/>
      <c r="L11323" s="1"/>
      <c r="M11323" s="1"/>
      <c r="N11323" s="1"/>
      <c r="O11323" s="1"/>
      <c r="P11323" s="1"/>
      <c r="Q11323" s="1"/>
      <c r="R11323" s="1"/>
      <c r="S11323" s="1"/>
      <c r="T11323" s="1"/>
      <c r="U11323" s="1"/>
      <c r="V11323" s="1"/>
      <c r="W11323" s="1"/>
      <c r="X11323" s="1"/>
      <c r="Y11323" s="1"/>
      <c r="Z11323" s="1"/>
      <c r="AA11323" s="1"/>
      <c r="AB11323" s="1"/>
    </row>
    <row r="11324" ht="50.25" customHeight="1">
      <c r="A11324" s="12">
        <v>11320.0</v>
      </c>
      <c r="B11324" s="13" t="s">
        <v>10535</v>
      </c>
      <c r="C11324" s="14" t="s">
        <v>11352</v>
      </c>
      <c r="D11324" s="1"/>
      <c r="E11324" s="1"/>
      <c r="F11324" s="1" t="str">
        <f>IFERROR(__xludf.DUMMYFUNCTION("GOOGLETRANSLATE(B11324, ""en"", ""fa"")
"),"کپی رایتینگ II")</f>
        <v>کپی رایتینگ II</v>
      </c>
      <c r="G11324" s="1" t="str">
        <f>IFERROR(__xludf.DUMMYFUNCTION("GOOGLETRANSLATE(C11324, ""en"", ""fa"")
"),"چگونه برای صفحه اصلی تجارت الکترونیک خود یک نسخه قانع کننده ایجاد کنید که فوراً توجه بازدیدکنندگان را به خود جلب کند و پیشنهاد فروش منحصر به فرد برند شما را به اشتراک بگذارد.")</f>
        <v>چگونه برای صفحه اصلی تجارت الکترونیک خود یک نسخه قانع کننده ایجاد کنید که فوراً توجه بازدیدکنندگان را به خود جلب کند و پیشنهاد فروش منحصر به فرد برند شما را به اشتراک بگذارد.</v>
      </c>
      <c r="H11324" s="1"/>
      <c r="I11324" s="1"/>
      <c r="J11324" s="1"/>
      <c r="K11324" s="1"/>
      <c r="L11324" s="1"/>
      <c r="M11324" s="1"/>
      <c r="N11324" s="1"/>
      <c r="O11324" s="1"/>
      <c r="P11324" s="1"/>
      <c r="Q11324" s="1"/>
      <c r="R11324" s="1"/>
      <c r="S11324" s="1"/>
      <c r="T11324" s="1"/>
      <c r="U11324" s="1"/>
      <c r="V11324" s="1"/>
      <c r="W11324" s="1"/>
      <c r="X11324" s="1"/>
      <c r="Y11324" s="1"/>
      <c r="Z11324" s="1"/>
      <c r="AA11324" s="1"/>
      <c r="AB11324" s="1"/>
    </row>
    <row r="11325" ht="50.25" customHeight="1">
      <c r="A11325" s="12">
        <v>11321.0</v>
      </c>
      <c r="B11325" s="13" t="s">
        <v>10535</v>
      </c>
      <c r="C11325" s="14" t="s">
        <v>11353</v>
      </c>
      <c r="D11325" s="1"/>
      <c r="E11325" s="1"/>
      <c r="F11325" s="1" t="str">
        <f>IFERROR(__xludf.DUMMYFUNCTION("GOOGLETRANSLATE(B11325, ""en"", ""fa"")
"),"کپی رایتینگ II")</f>
        <v>کپی رایتینگ II</v>
      </c>
      <c r="G11325" s="1" t="str">
        <f>IFERROR(__xludf.DUMMYFUNCTION("GOOGLETRANSLATE(C11325, ""en"", ""fa"")
"),"در مورد تکنیک‌های نوشتن کپی متقاعدکننده برای پیشنهادات با زمان محدود و فروش فلش برای ایجاد احساس فوریت و اقدام فوری بحث کنید.")</f>
        <v>در مورد تکنیک‌های نوشتن کپی متقاعدکننده برای پیشنهادات با زمان محدود و فروش فلش برای ایجاد احساس فوریت و اقدام فوری بحث کنید.</v>
      </c>
      <c r="H11325" s="1"/>
      <c r="I11325" s="1"/>
      <c r="J11325" s="1"/>
      <c r="K11325" s="1"/>
      <c r="L11325" s="1"/>
      <c r="M11325" s="1"/>
      <c r="N11325" s="1"/>
      <c r="O11325" s="1"/>
      <c r="P11325" s="1"/>
      <c r="Q11325" s="1"/>
      <c r="R11325" s="1"/>
      <c r="S11325" s="1"/>
      <c r="T11325" s="1"/>
      <c r="U11325" s="1"/>
      <c r="V11325" s="1"/>
      <c r="W11325" s="1"/>
      <c r="X11325" s="1"/>
      <c r="Y11325" s="1"/>
      <c r="Z11325" s="1"/>
      <c r="AA11325" s="1"/>
      <c r="AB11325" s="1"/>
    </row>
    <row r="11326" ht="50.25" customHeight="1">
      <c r="A11326" s="12">
        <v>11322.0</v>
      </c>
      <c r="B11326" s="13" t="s">
        <v>10535</v>
      </c>
      <c r="C11326" s="14" t="s">
        <v>11354</v>
      </c>
      <c r="D11326" s="1"/>
      <c r="E11326" s="1"/>
      <c r="F11326" s="1" t="str">
        <f>IFERROR(__xludf.DUMMYFUNCTION("GOOGLETRANSLATE(B11326, ""en"", ""fa"")
"),"کپی رایتینگ II")</f>
        <v>کپی رایتینگ II</v>
      </c>
      <c r="G11326" s="1" t="str">
        <f>IFERROR(__xludf.DUMMYFUNCTION("GOOGLETRANSLATE(C11326, ""en"", ""fa"")
"),"استراتژی‌های ایجاد نسخه متقاعدکننده برای بسته‌های محصول و مجموعه‌های هدیه را بررسی کنید تا مشتریان را به خرید چندین مورد تشویق کنید.")</f>
        <v>استراتژی‌های ایجاد نسخه متقاعدکننده برای بسته‌های محصول و مجموعه‌های هدیه را بررسی کنید تا مشتریان را به خرید چندین مورد تشویق کنید.</v>
      </c>
      <c r="H11326" s="1"/>
      <c r="I11326" s="1"/>
      <c r="J11326" s="1"/>
      <c r="K11326" s="1"/>
      <c r="L11326" s="1"/>
      <c r="M11326" s="1"/>
      <c r="N11326" s="1"/>
      <c r="O11326" s="1"/>
      <c r="P11326" s="1"/>
      <c r="Q11326" s="1"/>
      <c r="R11326" s="1"/>
      <c r="S11326" s="1"/>
      <c r="T11326" s="1"/>
      <c r="U11326" s="1"/>
      <c r="V11326" s="1"/>
      <c r="W11326" s="1"/>
      <c r="X11326" s="1"/>
      <c r="Y11326" s="1"/>
      <c r="Z11326" s="1"/>
      <c r="AA11326" s="1"/>
      <c r="AB11326" s="1"/>
    </row>
    <row r="11327" ht="50.25" customHeight="1">
      <c r="A11327" s="12">
        <v>11323.0</v>
      </c>
      <c r="B11327" s="13" t="s">
        <v>10535</v>
      </c>
      <c r="C11327" s="14" t="s">
        <v>11355</v>
      </c>
      <c r="D11327" s="1"/>
      <c r="E11327" s="1"/>
      <c r="F11327" s="1" t="str">
        <f>IFERROR(__xludf.DUMMYFUNCTION("GOOGLETRANSLATE(B11327, ""en"", ""fa"")
"),"کپی رایتینگ II")</f>
        <v>کپی رایتینگ II</v>
      </c>
      <c r="G11327" s="1" t="str">
        <f>IFERROR(__xludf.DUMMYFUNCTION("GOOGLETRANSLATE(C11327, ""en"", ""fa"")
"),"بهترین روش‌ها برای نوشتن کپی متقاعدکننده برای ویدیوهای محصول تجارت الکترونیک که مشتریان بالقوه را درگیر می‌کند و به آنها اطلاع می‌دهد، چیست؟")</f>
        <v>بهترین روش‌ها برای نوشتن کپی متقاعدکننده برای ویدیوهای محصول تجارت الکترونیک که مشتریان بالقوه را درگیر می‌کند و به آنها اطلاع می‌دهد، چیست؟</v>
      </c>
      <c r="H11327" s="1"/>
      <c r="I11327" s="1"/>
      <c r="J11327" s="1"/>
      <c r="K11327" s="1"/>
      <c r="L11327" s="1"/>
      <c r="M11327" s="1"/>
      <c r="N11327" s="1"/>
      <c r="O11327" s="1"/>
      <c r="P11327" s="1"/>
      <c r="Q11327" s="1"/>
      <c r="R11327" s="1"/>
      <c r="S11327" s="1"/>
      <c r="T11327" s="1"/>
      <c r="U11327" s="1"/>
      <c r="V11327" s="1"/>
      <c r="W11327" s="1"/>
      <c r="X11327" s="1"/>
      <c r="Y11327" s="1"/>
      <c r="Z11327" s="1"/>
      <c r="AA11327" s="1"/>
      <c r="AB11327" s="1"/>
    </row>
    <row r="11328" ht="50.25" customHeight="1">
      <c r="A11328" s="12">
        <v>11324.0</v>
      </c>
      <c r="B11328" s="13" t="s">
        <v>10535</v>
      </c>
      <c r="C11328" s="14" t="s">
        <v>11356</v>
      </c>
      <c r="D11328" s="1"/>
      <c r="E11328" s="1"/>
      <c r="F11328" s="1" t="str">
        <f>IFERROR(__xludf.DUMMYFUNCTION("GOOGLETRANSLATE(B11328, ""en"", ""fa"")
"),"کپی رایتینگ II")</f>
        <v>کپی رایتینگ II</v>
      </c>
      <c r="G11328" s="1" t="str">
        <f>IFERROR(__xludf.DUMMYFUNCTION("GOOGLETRANSLATE(C11328, ""en"", ""fa"")
"),"چگونه کپی تجارت الکترونیکی خود را برای دستگاه های تلفن همراه بهینه کنیم تا یک تجربه خرید یکپارچه و جذاب را برای کاربران تلفن همراه فراهم کنیم.")</f>
        <v>چگونه کپی تجارت الکترونیکی خود را برای دستگاه های تلفن همراه بهینه کنیم تا یک تجربه خرید یکپارچه و جذاب را برای کاربران تلفن همراه فراهم کنیم.</v>
      </c>
      <c r="H11328" s="1"/>
      <c r="I11328" s="1"/>
      <c r="J11328" s="1"/>
      <c r="K11328" s="1"/>
      <c r="L11328" s="1"/>
      <c r="M11328" s="1"/>
      <c r="N11328" s="1"/>
      <c r="O11328" s="1"/>
      <c r="P11328" s="1"/>
      <c r="Q11328" s="1"/>
      <c r="R11328" s="1"/>
      <c r="S11328" s="1"/>
      <c r="T11328" s="1"/>
      <c r="U11328" s="1"/>
      <c r="V11328" s="1"/>
      <c r="W11328" s="1"/>
      <c r="X11328" s="1"/>
      <c r="Y11328" s="1"/>
      <c r="Z11328" s="1"/>
      <c r="AA11328" s="1"/>
      <c r="AB11328" s="1"/>
    </row>
    <row r="11329" ht="50.25" customHeight="1">
      <c r="A11329" s="12">
        <v>11325.0</v>
      </c>
      <c r="B11329" s="13" t="s">
        <v>10535</v>
      </c>
      <c r="C11329" s="14" t="s">
        <v>11357</v>
      </c>
      <c r="D11329" s="1"/>
      <c r="E11329" s="1"/>
      <c r="F11329" s="1" t="str">
        <f>IFERROR(__xludf.DUMMYFUNCTION("GOOGLETRANSLATE(B11329, ""en"", ""fa"")
"),"کپی رایتینگ II")</f>
        <v>کپی رایتینگ II</v>
      </c>
      <c r="G11329" s="1" t="str">
        <f>IFERROR(__xludf.DUMMYFUNCTION("GOOGLETRANSLATE(C11329, ""en"", ""fa"")
"),"در مورد عناصر کلیدی کپی متقاعد کننده برای تصاویر و تصاویر محصول تجارت الکترونیک که جذابیت محصول را افزایش می دهد و ویژگی های آن را به نمایش می گذارد، بحث کنید.")</f>
        <v>در مورد عناصر کلیدی کپی متقاعد کننده برای تصاویر و تصاویر محصول تجارت الکترونیک که جذابیت محصول را افزایش می دهد و ویژگی های آن را به نمایش می گذارد، بحث کنید.</v>
      </c>
      <c r="H11329" s="1"/>
      <c r="I11329" s="1"/>
      <c r="J11329" s="1"/>
      <c r="K11329" s="1"/>
      <c r="L11329" s="1"/>
      <c r="M11329" s="1"/>
      <c r="N11329" s="1"/>
      <c r="O11329" s="1"/>
      <c r="P11329" s="1"/>
      <c r="Q11329" s="1"/>
      <c r="R11329" s="1"/>
      <c r="S11329" s="1"/>
      <c r="T11329" s="1"/>
      <c r="U11329" s="1"/>
      <c r="V11329" s="1"/>
      <c r="W11329" s="1"/>
      <c r="X11329" s="1"/>
      <c r="Y11329" s="1"/>
      <c r="Z11329" s="1"/>
      <c r="AA11329" s="1"/>
      <c r="AB11329" s="1"/>
    </row>
    <row r="11330" ht="50.25" customHeight="1">
      <c r="A11330" s="12">
        <v>11326.0</v>
      </c>
      <c r="B11330" s="13" t="s">
        <v>10535</v>
      </c>
      <c r="C11330" s="14" t="s">
        <v>11358</v>
      </c>
      <c r="D11330" s="1"/>
      <c r="E11330" s="1"/>
      <c r="F11330" s="1" t="str">
        <f>IFERROR(__xludf.DUMMYFUNCTION("GOOGLETRANSLATE(B11330, ""en"", ""fa"")
"),"کپی رایتینگ II")</f>
        <v>کپی رایتینگ II</v>
      </c>
      <c r="G11330" s="1" t="str">
        <f>IFERROR(__xludf.DUMMYFUNCTION("GOOGLETRANSLATE(C11330, ""en"", ""fa"")
"),"استراتژی‌های نوشتن نسخه متقاعدکننده برای ضمانت‌نامه‌ها و ضمانت‌های محصول را برای القای اطمینان در تصمیمات خرید مشتریان خود بررسی کنید.")</f>
        <v>استراتژی‌های نوشتن نسخه متقاعدکننده برای ضمانت‌نامه‌ها و ضمانت‌های محصول را برای القای اطمینان در تصمیمات خرید مشتریان خود بررسی کنید.</v>
      </c>
      <c r="H11330" s="1"/>
      <c r="I11330" s="1"/>
      <c r="J11330" s="1"/>
      <c r="K11330" s="1"/>
      <c r="L11330" s="1"/>
      <c r="M11330" s="1"/>
      <c r="N11330" s="1"/>
      <c r="O11330" s="1"/>
      <c r="P11330" s="1"/>
      <c r="Q11330" s="1"/>
      <c r="R11330" s="1"/>
      <c r="S11330" s="1"/>
      <c r="T11330" s="1"/>
      <c r="U11330" s="1"/>
      <c r="V11330" s="1"/>
      <c r="W11330" s="1"/>
      <c r="X11330" s="1"/>
      <c r="Y11330" s="1"/>
      <c r="Z11330" s="1"/>
      <c r="AA11330" s="1"/>
      <c r="AB11330" s="1"/>
    </row>
    <row r="11331" ht="50.25" customHeight="1">
      <c r="A11331" s="12">
        <v>11327.0</v>
      </c>
      <c r="B11331" s="13" t="s">
        <v>10535</v>
      </c>
      <c r="C11331" s="14" t="s">
        <v>11359</v>
      </c>
      <c r="D11331" s="1"/>
      <c r="E11331" s="1"/>
      <c r="F11331" s="1" t="str">
        <f>IFERROR(__xludf.DUMMYFUNCTION("GOOGLETRANSLATE(B11331, ""en"", ""fa"")
"),"کپی رایتینگ II")</f>
        <v>کپی رایتینگ II</v>
      </c>
      <c r="G11331" s="1" t="str">
        <f>IFERROR(__xludf.DUMMYFUNCTION("GOOGLETRANSLATE(C11331, ""en"", ""fa"")
"),"چه تکنیک هایی برای ایجاد نسخه متقاعدکننده برای صفحات پرداخت تجارت الکترونیکی وجود دارد که رها شدن سبد خرید را به حداقل می رساند و فرآیند خرید را ساده می کند.")</f>
        <v>چه تکنیک هایی برای ایجاد نسخه متقاعدکننده برای صفحات پرداخت تجارت الکترونیکی وجود دارد که رها شدن سبد خرید را به حداقل می رساند و فرآیند خرید را ساده می کند.</v>
      </c>
      <c r="H11331" s="1"/>
      <c r="I11331" s="1"/>
      <c r="J11331" s="1"/>
      <c r="K11331" s="1"/>
      <c r="L11331" s="1"/>
      <c r="M11331" s="1"/>
      <c r="N11331" s="1"/>
      <c r="O11331" s="1"/>
      <c r="P11331" s="1"/>
      <c r="Q11331" s="1"/>
      <c r="R11331" s="1"/>
      <c r="S11331" s="1"/>
      <c r="T11331" s="1"/>
      <c r="U11331" s="1"/>
      <c r="V11331" s="1"/>
      <c r="W11331" s="1"/>
      <c r="X11331" s="1"/>
      <c r="Y11331" s="1"/>
      <c r="Z11331" s="1"/>
      <c r="AA11331" s="1"/>
      <c r="AB11331" s="1"/>
    </row>
    <row r="11332" ht="50.25" customHeight="1">
      <c r="A11332" s="12">
        <v>11328.0</v>
      </c>
      <c r="B11332" s="13" t="s">
        <v>10535</v>
      </c>
      <c r="C11332" s="14" t="s">
        <v>11360</v>
      </c>
      <c r="D11332" s="1"/>
      <c r="E11332" s="1"/>
      <c r="F11332" s="1" t="str">
        <f>IFERROR(__xludf.DUMMYFUNCTION("GOOGLETRANSLATE(B11332, ""en"", ""fa"")
"),"کپی رایتینگ II")</f>
        <v>کپی رایتینگ II</v>
      </c>
      <c r="G11332" s="1" t="str">
        <f>IFERROR(__xludf.DUMMYFUNCTION("GOOGLETRANSLATE(C11332, ""en"", ""fa"")
"),"چگونه می توان یک نسخه موثر برای توصیفات مشتری و عناصر اثبات اجتماعی ایجاد کرد که اعتبار و قابل اعتماد بودن نام تجاری تجارت الکترونیک شما را تقویت می کند.")</f>
        <v>چگونه می توان یک نسخه موثر برای توصیفات مشتری و عناصر اثبات اجتماعی ایجاد کرد که اعتبار و قابل اعتماد بودن نام تجاری تجارت الکترونیک شما را تقویت می کند.</v>
      </c>
      <c r="H11332" s="1"/>
      <c r="I11332" s="1"/>
      <c r="J11332" s="1"/>
      <c r="K11332" s="1"/>
      <c r="L11332" s="1"/>
      <c r="M11332" s="1"/>
      <c r="N11332" s="1"/>
      <c r="O11332" s="1"/>
      <c r="P11332" s="1"/>
      <c r="Q11332" s="1"/>
      <c r="R11332" s="1"/>
      <c r="S11332" s="1"/>
      <c r="T11332" s="1"/>
      <c r="U11332" s="1"/>
      <c r="V11332" s="1"/>
      <c r="W11332" s="1"/>
      <c r="X11332" s="1"/>
      <c r="Y11332" s="1"/>
      <c r="Z11332" s="1"/>
      <c r="AA11332" s="1"/>
      <c r="AB11332" s="1"/>
    </row>
    <row r="11333" ht="50.25" customHeight="1">
      <c r="A11333" s="12">
        <v>11329.0</v>
      </c>
      <c r="B11333" s="13" t="s">
        <v>10535</v>
      </c>
      <c r="C11333" s="14" t="s">
        <v>11361</v>
      </c>
      <c r="D11333" s="1"/>
      <c r="E11333" s="1"/>
      <c r="F11333" s="1" t="str">
        <f>IFERROR(__xludf.DUMMYFUNCTION("GOOGLETRANSLATE(B11333, ""en"", ""fa"")
"),"کپی رایتینگ II")</f>
        <v>کپی رایتینگ II</v>
      </c>
      <c r="G11333" s="1" t="str">
        <f>IFERROR(__xludf.DUMMYFUNCTION("GOOGLETRANSLATE(C11333, ""en"", ""fa"")
"),"در مورد بهترین شیوه ها برای نوشتن نسخه متقاعدکننده برای تبلیغات و تخفیفات محصول تجارت الکترونیک برای ایجاد انگیزه برای خرید و افزایش فروش بحث کنید.")</f>
        <v>در مورد بهترین شیوه ها برای نوشتن نسخه متقاعدکننده برای تبلیغات و تخفیفات محصول تجارت الکترونیک برای ایجاد انگیزه برای خرید و افزایش فروش بحث کنید.</v>
      </c>
      <c r="H11333" s="1"/>
      <c r="I11333" s="1"/>
      <c r="J11333" s="1"/>
      <c r="K11333" s="1"/>
      <c r="L11333" s="1"/>
      <c r="M11333" s="1"/>
      <c r="N11333" s="1"/>
      <c r="O11333" s="1"/>
      <c r="P11333" s="1"/>
      <c r="Q11333" s="1"/>
      <c r="R11333" s="1"/>
      <c r="S11333" s="1"/>
      <c r="T11333" s="1"/>
      <c r="U11333" s="1"/>
      <c r="V11333" s="1"/>
      <c r="W11333" s="1"/>
      <c r="X11333" s="1"/>
      <c r="Y11333" s="1"/>
      <c r="Z11333" s="1"/>
      <c r="AA11333" s="1"/>
      <c r="AB11333" s="1"/>
    </row>
    <row r="11334" ht="50.25" customHeight="1">
      <c r="A11334" s="12">
        <v>11330.0</v>
      </c>
      <c r="B11334" s="13" t="s">
        <v>10535</v>
      </c>
      <c r="C11334" s="14" t="s">
        <v>11362</v>
      </c>
      <c r="D11334" s="1"/>
      <c r="E11334" s="1"/>
      <c r="F11334" s="1" t="str">
        <f>IFERROR(__xludf.DUMMYFUNCTION("GOOGLETRANSLATE(B11334, ""en"", ""fa"")
"),"کپی رایتینگ II")</f>
        <v>کپی رایتینگ II</v>
      </c>
      <c r="G11334" s="1" t="str">
        <f>IFERROR(__xludf.DUMMYFUNCTION("GOOGLETRANSLATE(C11334, ""en"", ""fa"")
"),"استراتژی‌های ایجاد نسخه‌های متقاعدکننده برای انواع و گزینه‌های محصول تجارت الکترونیک را برای کمک به مشتریان در انتخاب آگاهانه بررسی کنید.")</f>
        <v>استراتژی‌های ایجاد نسخه‌های متقاعدکننده برای انواع و گزینه‌های محصول تجارت الکترونیک را برای کمک به مشتریان در انتخاب آگاهانه بررسی کنید.</v>
      </c>
      <c r="H11334" s="1"/>
      <c r="I11334" s="1"/>
      <c r="J11334" s="1"/>
      <c r="K11334" s="1"/>
      <c r="L11334" s="1"/>
      <c r="M11334" s="1"/>
      <c r="N11334" s="1"/>
      <c r="O11334" s="1"/>
      <c r="P11334" s="1"/>
      <c r="Q11334" s="1"/>
      <c r="R11334" s="1"/>
      <c r="S11334" s="1"/>
      <c r="T11334" s="1"/>
      <c r="U11334" s="1"/>
      <c r="V11334" s="1"/>
      <c r="W11334" s="1"/>
      <c r="X11334" s="1"/>
      <c r="Y11334" s="1"/>
      <c r="Z11334" s="1"/>
      <c r="AA11334" s="1"/>
      <c r="AB11334" s="1"/>
    </row>
    <row r="11335" ht="50.25" customHeight="1">
      <c r="A11335" s="12">
        <v>11331.0</v>
      </c>
      <c r="B11335" s="13" t="s">
        <v>10535</v>
      </c>
      <c r="C11335" s="14" t="s">
        <v>11363</v>
      </c>
      <c r="D11335" s="1"/>
      <c r="E11335" s="1"/>
      <c r="F11335" s="1" t="str">
        <f>IFERROR(__xludf.DUMMYFUNCTION("GOOGLETRANSLATE(B11335, ""en"", ""fa"")
"),"کپی رایتینگ II")</f>
        <v>کپی رایتینگ II</v>
      </c>
      <c r="G11335" s="1" t="str">
        <f>IFERROR(__xludf.DUMMYFUNCTION("GOOGLETRANSLATE(C11335, ""en"", ""fa"")
"),"هنگام نوشتن کپی متقاعدکننده برای صفحات پشتیبانی مشتری و سوالات متداول در تجارت الکترونیکی برای رسیدگی به نگرانی ها و سوالات احتمالی، چه عناصر کلیدی باید در نظر گرفته شود.")</f>
        <v>هنگام نوشتن کپی متقاعدکننده برای صفحات پشتیبانی مشتری و سوالات متداول در تجارت الکترونیکی برای رسیدگی به نگرانی ها و سوالات احتمالی، چه عناصر کلیدی باید در نظر گرفته شود.</v>
      </c>
      <c r="H11335" s="1"/>
      <c r="I11335" s="1"/>
      <c r="J11335" s="1"/>
      <c r="K11335" s="1"/>
      <c r="L11335" s="1"/>
      <c r="M11335" s="1"/>
      <c r="N11335" s="1"/>
      <c r="O11335" s="1"/>
      <c r="P11335" s="1"/>
      <c r="Q11335" s="1"/>
      <c r="R11335" s="1"/>
      <c r="S11335" s="1"/>
      <c r="T11335" s="1"/>
      <c r="U11335" s="1"/>
      <c r="V11335" s="1"/>
      <c r="W11335" s="1"/>
      <c r="X11335" s="1"/>
      <c r="Y11335" s="1"/>
      <c r="Z11335" s="1"/>
      <c r="AA11335" s="1"/>
      <c r="AB11335" s="1"/>
    </row>
    <row r="11336" ht="50.25" customHeight="1">
      <c r="A11336" s="12">
        <v>11332.0</v>
      </c>
      <c r="B11336" s="13" t="s">
        <v>10535</v>
      </c>
      <c r="C11336" s="14" t="s">
        <v>11364</v>
      </c>
      <c r="D11336" s="1"/>
      <c r="E11336" s="1"/>
      <c r="F11336" s="1" t="str">
        <f>IFERROR(__xludf.DUMMYFUNCTION("GOOGLETRANSLATE(B11336, ""en"", ""fa"")
"),"کپی رایتینگ II")</f>
        <v>کپی رایتینگ II</v>
      </c>
      <c r="G11336" s="1" t="str">
        <f>IFERROR(__xludf.DUMMYFUNCTION("GOOGLETRANSLATE(C11336, ""en"", ""fa"")
"),"چگونه می توان یک نسخه قانع کننده برای سیاست بازگشت تجارت الکترونیک خود ایجاد کرد و تضمین هایی برای ایجاد اعتماد مشتری و کاهش اضطراب خرید دارد.")</f>
        <v>چگونه می توان یک نسخه قانع کننده برای سیاست بازگشت تجارت الکترونیک خود ایجاد کرد و تضمین هایی برای ایجاد اعتماد مشتری و کاهش اضطراب خرید دارد.</v>
      </c>
      <c r="H11336" s="1"/>
      <c r="I11336" s="1"/>
      <c r="J11336" s="1"/>
      <c r="K11336" s="1"/>
      <c r="L11336" s="1"/>
      <c r="M11336" s="1"/>
      <c r="N11336" s="1"/>
      <c r="O11336" s="1"/>
      <c r="P11336" s="1"/>
      <c r="Q11336" s="1"/>
      <c r="R11336" s="1"/>
      <c r="S11336" s="1"/>
      <c r="T11336" s="1"/>
      <c r="U11336" s="1"/>
      <c r="V11336" s="1"/>
      <c r="W11336" s="1"/>
      <c r="X11336" s="1"/>
      <c r="Y11336" s="1"/>
      <c r="Z11336" s="1"/>
      <c r="AA11336" s="1"/>
      <c r="AB11336" s="1"/>
    </row>
    <row r="11337" ht="50.25" customHeight="1">
      <c r="A11337" s="12">
        <v>11333.0</v>
      </c>
      <c r="B11337" s="13" t="s">
        <v>10535</v>
      </c>
      <c r="C11337" s="14" t="s">
        <v>11365</v>
      </c>
      <c r="D11337" s="1"/>
      <c r="E11337" s="1"/>
      <c r="F11337" s="1" t="str">
        <f>IFERROR(__xludf.DUMMYFUNCTION("GOOGLETRANSLATE(B11337, ""en"", ""fa"")
"),"کپی رایتینگ II")</f>
        <v>کپی رایتینگ II</v>
      </c>
      <c r="G11337" s="1" t="str">
        <f>IFERROR(__xludf.DUMMYFUNCTION("GOOGLETRANSLATE(C11337, ""en"", ""fa"")
"),"در مورد تکنیک‌های نوشتن نسخه متقاعدکننده برای راه‌اندازی محصولات تجارت الکترونیک و پیش‌سفارش‌ها برای ایجاد هیجان و انتظار بحث کنید.")</f>
        <v>در مورد تکنیک‌های نوشتن نسخه متقاعدکننده برای راه‌اندازی محصولات تجارت الکترونیک و پیش‌سفارش‌ها برای ایجاد هیجان و انتظار بحث کنید.</v>
      </c>
      <c r="H11337" s="1"/>
      <c r="I11337" s="1"/>
      <c r="J11337" s="1"/>
      <c r="K11337" s="1"/>
      <c r="L11337" s="1"/>
      <c r="M11337" s="1"/>
      <c r="N11337" s="1"/>
      <c r="O11337" s="1"/>
      <c r="P11337" s="1"/>
      <c r="Q11337" s="1"/>
      <c r="R11337" s="1"/>
      <c r="S11337" s="1"/>
      <c r="T11337" s="1"/>
      <c r="U11337" s="1"/>
      <c r="V11337" s="1"/>
      <c r="W11337" s="1"/>
      <c r="X11337" s="1"/>
      <c r="Y11337" s="1"/>
      <c r="Z11337" s="1"/>
      <c r="AA11337" s="1"/>
      <c r="AB11337" s="1"/>
    </row>
    <row r="11338" ht="50.25" customHeight="1">
      <c r="A11338" s="12">
        <v>11334.0</v>
      </c>
      <c r="B11338" s="13" t="s">
        <v>10535</v>
      </c>
      <c r="C11338" s="14" t="s">
        <v>11366</v>
      </c>
      <c r="D11338" s="1"/>
      <c r="E11338" s="1"/>
      <c r="F11338" s="1" t="str">
        <f>IFERROR(__xludf.DUMMYFUNCTION("GOOGLETRANSLATE(B11338, ""en"", ""fa"")
"),"کپی رایتینگ II")</f>
        <v>کپی رایتینگ II</v>
      </c>
      <c r="G11338" s="1" t="str">
        <f>IFERROR(__xludf.DUMMYFUNCTION("GOOGLETRANSLATE(C11338, ""en"", ""fa"")
"),"استراتژی‌های بهینه‌سازی کپی تجارت الکترونیکی خود را برای جستجوی صوتی بررسی کنید تا روند رو به رشد خریدهای فعال‌شده صوتی را برآورده کنید.")</f>
        <v>استراتژی‌های بهینه‌سازی کپی تجارت الکترونیکی خود را برای جستجوی صوتی بررسی کنید تا روند رو به رشد خریدهای فعال‌شده صوتی را برآورده کنید.</v>
      </c>
      <c r="H11338" s="1"/>
      <c r="I11338" s="1"/>
      <c r="J11338" s="1"/>
      <c r="K11338" s="1"/>
      <c r="L11338" s="1"/>
      <c r="M11338" s="1"/>
      <c r="N11338" s="1"/>
      <c r="O11338" s="1"/>
      <c r="P11338" s="1"/>
      <c r="Q11338" s="1"/>
      <c r="R11338" s="1"/>
      <c r="S11338" s="1"/>
      <c r="T11338" s="1"/>
      <c r="U11338" s="1"/>
      <c r="V11338" s="1"/>
      <c r="W11338" s="1"/>
      <c r="X11338" s="1"/>
      <c r="Y11338" s="1"/>
      <c r="Z11338" s="1"/>
      <c r="AA11338" s="1"/>
      <c r="AB11338" s="1"/>
    </row>
    <row r="11339" ht="50.25" customHeight="1">
      <c r="A11339" s="12">
        <v>11335.0</v>
      </c>
      <c r="B11339" s="13" t="s">
        <v>10535</v>
      </c>
      <c r="C11339" s="14" t="s">
        <v>11367</v>
      </c>
      <c r="D11339" s="1"/>
      <c r="E11339" s="1"/>
      <c r="F11339" s="1" t="str">
        <f>IFERROR(__xludf.DUMMYFUNCTION("GOOGLETRANSLATE(B11339, ""en"", ""fa"")
"),"کپی رایتینگ II")</f>
        <v>کپی رایتینگ II</v>
      </c>
      <c r="G11339" s="1" t="str">
        <f>IFERROR(__xludf.DUMMYFUNCTION("GOOGLETRANSLATE(C11339, ""en"", ""fa"")
"),"بهترین روش ها برای نوشتن نسخه متقاعدکننده برای چت زنده تجارت الکترونیک و تعاملات چت بات برای ارائه کمک و پشتیبانی در زمان واقعی چیست.")</f>
        <v>بهترین روش ها برای نوشتن نسخه متقاعدکننده برای چت زنده تجارت الکترونیک و تعاملات چت بات برای ارائه کمک و پشتیبانی در زمان واقعی چیست.</v>
      </c>
      <c r="H11339" s="1"/>
      <c r="I11339" s="1"/>
      <c r="J11339" s="1"/>
      <c r="K11339" s="1"/>
      <c r="L11339" s="1"/>
      <c r="M11339" s="1"/>
      <c r="N11339" s="1"/>
      <c r="O11339" s="1"/>
      <c r="P11339" s="1"/>
      <c r="Q11339" s="1"/>
      <c r="R11339" s="1"/>
      <c r="S11339" s="1"/>
      <c r="T11339" s="1"/>
      <c r="U11339" s="1"/>
      <c r="V11339" s="1"/>
      <c r="W11339" s="1"/>
      <c r="X11339" s="1"/>
      <c r="Y11339" s="1"/>
      <c r="Z11339" s="1"/>
      <c r="AA11339" s="1"/>
      <c r="AB11339" s="1"/>
    </row>
    <row r="11340" ht="50.25" customHeight="1">
      <c r="A11340" s="12">
        <v>11336.0</v>
      </c>
      <c r="B11340" s="13" t="s">
        <v>10535</v>
      </c>
      <c r="C11340" s="14" t="s">
        <v>11368</v>
      </c>
      <c r="D11340" s="1"/>
      <c r="E11340" s="1"/>
      <c r="F11340" s="1" t="str">
        <f>IFERROR(__xludf.DUMMYFUNCTION("GOOGLETRANSLATE(B11340, ""en"", ""fa"")
"),"کپی رایتینگ II")</f>
        <v>کپی رایتینگ II</v>
      </c>
      <c r="G11340" s="1" t="str">
        <f>IFERROR(__xludf.DUMMYFUNCTION("GOOGLETRANSLATE(C11340, ""en"", ""fa"")
"),"چگونه کپی تجارت الکترونیک خود را برای شخصیت ها و بخش های مختلف مشتری تنظیم کنید تا پیام های شخصی و مرتبط را ارائه دهید.")</f>
        <v>چگونه کپی تجارت الکترونیک خود را برای شخصیت ها و بخش های مختلف مشتری تنظیم کنید تا پیام های شخصی و مرتبط را ارائه دهید.</v>
      </c>
      <c r="H11340" s="1"/>
      <c r="I11340" s="1"/>
      <c r="J11340" s="1"/>
      <c r="K11340" s="1"/>
      <c r="L11340" s="1"/>
      <c r="M11340" s="1"/>
      <c r="N11340" s="1"/>
      <c r="O11340" s="1"/>
      <c r="P11340" s="1"/>
      <c r="Q11340" s="1"/>
      <c r="R11340" s="1"/>
      <c r="S11340" s="1"/>
      <c r="T11340" s="1"/>
      <c r="U11340" s="1"/>
      <c r="V11340" s="1"/>
      <c r="W11340" s="1"/>
      <c r="X11340" s="1"/>
      <c r="Y11340" s="1"/>
      <c r="Z11340" s="1"/>
      <c r="AA11340" s="1"/>
      <c r="AB11340" s="1"/>
    </row>
    <row r="11341" ht="50.25" customHeight="1">
      <c r="A11341" s="12">
        <v>11337.0</v>
      </c>
      <c r="B11341" s="13" t="s">
        <v>10535</v>
      </c>
      <c r="C11341" s="14" t="s">
        <v>11369</v>
      </c>
      <c r="D11341" s="1"/>
      <c r="E11341" s="1"/>
      <c r="F11341" s="1" t="str">
        <f>IFERROR(__xludf.DUMMYFUNCTION("GOOGLETRANSLATE(B11341, ""en"", ""fa"")
"),"کپی رایتینگ II")</f>
        <v>کپی رایتینگ II</v>
      </c>
      <c r="G11341" s="1" t="str">
        <f>IFERROR(__xludf.DUMMYFUNCTION("GOOGLETRANSLATE(C11341, ""en"", ""fa"")
"),"در مورد عناصر کلیدی کپی متقاعد کننده برای توصیفات مشتریان تجارت الکترونیک و داستان های موفقیت بحث کنید تا ارزش و رضایت محصولات خود را به نمایش بگذارید.")</f>
        <v>در مورد عناصر کلیدی کپی متقاعد کننده برای توصیفات مشتریان تجارت الکترونیک و داستان های موفقیت بحث کنید تا ارزش و رضایت محصولات خود را به نمایش بگذارید.</v>
      </c>
      <c r="H11341" s="1"/>
      <c r="I11341" s="1"/>
      <c r="J11341" s="1"/>
      <c r="K11341" s="1"/>
      <c r="L11341" s="1"/>
      <c r="M11341" s="1"/>
      <c r="N11341" s="1"/>
      <c r="O11341" s="1"/>
      <c r="P11341" s="1"/>
      <c r="Q11341" s="1"/>
      <c r="R11341" s="1"/>
      <c r="S11341" s="1"/>
      <c r="T11341" s="1"/>
      <c r="U11341" s="1"/>
      <c r="V11341" s="1"/>
      <c r="W11341" s="1"/>
      <c r="X11341" s="1"/>
      <c r="Y11341" s="1"/>
      <c r="Z11341" s="1"/>
      <c r="AA11341" s="1"/>
      <c r="AB11341" s="1"/>
    </row>
    <row r="11342" ht="50.25" customHeight="1">
      <c r="A11342" s="12">
        <v>11338.0</v>
      </c>
      <c r="B11342" s="13" t="s">
        <v>10535</v>
      </c>
      <c r="C11342" s="14" t="s">
        <v>11370</v>
      </c>
      <c r="D11342" s="1"/>
      <c r="E11342" s="1"/>
      <c r="F11342" s="1" t="str">
        <f>IFERROR(__xludf.DUMMYFUNCTION("GOOGLETRANSLATE(B11342, ""en"", ""fa"")
"),"کپی رایتینگ II")</f>
        <v>کپی رایتینگ II</v>
      </c>
      <c r="G11342" s="1" t="str">
        <f>IFERROR(__xludf.DUMMYFUNCTION("GOOGLETRANSLATE(C11342, ""en"", ""fa"")
"),"استراتژی‌های نوشتن نسخه متقاعدکننده برای صفحات مقایسه محصولات تجارت الکترونیک را بررسی کنید تا به مشتریان در تصمیم‌گیری آگاهانه برای خرید کمک کنید.")</f>
        <v>استراتژی‌های نوشتن نسخه متقاعدکننده برای صفحات مقایسه محصولات تجارت الکترونیک را بررسی کنید تا به مشتریان در تصمیم‌گیری آگاهانه برای خرید کمک کنید.</v>
      </c>
      <c r="H11342" s="1"/>
      <c r="I11342" s="1"/>
      <c r="J11342" s="1"/>
      <c r="K11342" s="1"/>
      <c r="L11342" s="1"/>
      <c r="M11342" s="1"/>
      <c r="N11342" s="1"/>
      <c r="O11342" s="1"/>
      <c r="P11342" s="1"/>
      <c r="Q11342" s="1"/>
      <c r="R11342" s="1"/>
      <c r="S11342" s="1"/>
      <c r="T11342" s="1"/>
      <c r="U11342" s="1"/>
      <c r="V11342" s="1"/>
      <c r="W11342" s="1"/>
      <c r="X11342" s="1"/>
      <c r="Y11342" s="1"/>
      <c r="Z11342" s="1"/>
      <c r="AA11342" s="1"/>
      <c r="AB11342" s="1"/>
    </row>
    <row r="11343" ht="50.25" customHeight="1">
      <c r="A11343" s="12">
        <v>11339.0</v>
      </c>
      <c r="B11343" s="13" t="s">
        <v>10535</v>
      </c>
      <c r="C11343" s="14" t="s">
        <v>11371</v>
      </c>
      <c r="D11343" s="1"/>
      <c r="E11343" s="1"/>
      <c r="F11343" s="1" t="str">
        <f>IFERROR(__xludf.DUMMYFUNCTION("GOOGLETRANSLATE(B11343, ""en"", ""fa"")
"),"کپی رایتینگ II")</f>
        <v>کپی رایتینگ II</v>
      </c>
      <c r="G11343" s="1" t="str">
        <f>IFERROR(__xludf.DUMMYFUNCTION("GOOGLETRANSLATE(C11343, ""en"", ""fa"")
"),"تکنیک‌های ایجاد کپی متقاعدکننده برای صفحات تشکر و ایمیل‌های تأیید سفارش برای تقویت رضایت مشتری چیست؟")</f>
        <v>تکنیک‌های ایجاد کپی متقاعدکننده برای صفحات تشکر و ایمیل‌های تأیید سفارش برای تقویت رضایت مشتری چیست؟</v>
      </c>
      <c r="H11343" s="1"/>
      <c r="I11343" s="1"/>
      <c r="J11343" s="1"/>
      <c r="K11343" s="1"/>
      <c r="L11343" s="1"/>
      <c r="M11343" s="1"/>
      <c r="N11343" s="1"/>
      <c r="O11343" s="1"/>
      <c r="P11343" s="1"/>
      <c r="Q11343" s="1"/>
      <c r="R11343" s="1"/>
      <c r="S11343" s="1"/>
      <c r="T11343" s="1"/>
      <c r="U11343" s="1"/>
      <c r="V11343" s="1"/>
      <c r="W11343" s="1"/>
      <c r="X11343" s="1"/>
      <c r="Y11343" s="1"/>
      <c r="Z11343" s="1"/>
      <c r="AA11343" s="1"/>
      <c r="AB11343" s="1"/>
    </row>
    <row r="11344" ht="50.25" customHeight="1">
      <c r="A11344" s="12">
        <v>11340.0</v>
      </c>
      <c r="B11344" s="13" t="s">
        <v>10535</v>
      </c>
      <c r="C11344" s="14" t="s">
        <v>11372</v>
      </c>
      <c r="D11344" s="1"/>
      <c r="E11344" s="1"/>
      <c r="F11344" s="1" t="str">
        <f>IFERROR(__xludf.DUMMYFUNCTION("GOOGLETRANSLATE(B11344, ""en"", ""fa"")
"),"کپی رایتینگ II")</f>
        <v>کپی رایتینگ II</v>
      </c>
      <c r="G11344" s="1" t="str">
        <f>IFERROR(__xludf.DUMMYFUNCTION("GOOGLETRANSLATE(C11344, ""en"", ""fa"")
"),"چگونه کپی تجارت الکترونیک خود را برای پلتفرم های رسانه های اجتماعی بهینه سازی کنید تا ترافیک، تعامل و تبدیل ها را افزایش دهید.")</f>
        <v>چگونه کپی تجارت الکترونیک خود را برای پلتفرم های رسانه های اجتماعی بهینه سازی کنید تا ترافیک، تعامل و تبدیل ها را افزایش دهید.</v>
      </c>
      <c r="H11344" s="1"/>
      <c r="I11344" s="1"/>
      <c r="J11344" s="1"/>
      <c r="K11344" s="1"/>
      <c r="L11344" s="1"/>
      <c r="M11344" s="1"/>
      <c r="N11344" s="1"/>
      <c r="O11344" s="1"/>
      <c r="P11344" s="1"/>
      <c r="Q11344" s="1"/>
      <c r="R11344" s="1"/>
      <c r="S11344" s="1"/>
      <c r="T11344" s="1"/>
      <c r="U11344" s="1"/>
      <c r="V11344" s="1"/>
      <c r="W11344" s="1"/>
      <c r="X11344" s="1"/>
      <c r="Y11344" s="1"/>
      <c r="Z11344" s="1"/>
      <c r="AA11344" s="1"/>
      <c r="AB11344" s="1"/>
    </row>
    <row r="11345" ht="50.25" customHeight="1">
      <c r="A11345" s="12">
        <v>11341.0</v>
      </c>
      <c r="B11345" s="13" t="s">
        <v>10535</v>
      </c>
      <c r="C11345" s="14" t="s">
        <v>11373</v>
      </c>
      <c r="D11345" s="1"/>
      <c r="E11345" s="1"/>
      <c r="F11345" s="1" t="str">
        <f>IFERROR(__xludf.DUMMYFUNCTION("GOOGLETRANSLATE(B11345, ""en"", ""fa"")
"),"کپی رایتینگ II")</f>
        <v>کپی رایتینگ II</v>
      </c>
      <c r="G11345" s="1" t="str">
        <f>IFERROR(__xludf.DUMMYFUNCTION("GOOGLETRANSLATE(C11345, ""en"", ""fa"")
"),"در مورد بهترین روش‌ها برای نوشتن کپی متقاعدکننده برای ایمیل‌های بازیابی سبد خرید رها شده در تجارت الکترونیک برای ترغیب مشتریان برای تکمیل خریدشان بحث کنید.")</f>
        <v>در مورد بهترین روش‌ها برای نوشتن کپی متقاعدکننده برای ایمیل‌های بازیابی سبد خرید رها شده در تجارت الکترونیک برای ترغیب مشتریان برای تکمیل خریدشان بحث کنید.</v>
      </c>
      <c r="H11345" s="1"/>
      <c r="I11345" s="1"/>
      <c r="J11345" s="1"/>
      <c r="K11345" s="1"/>
      <c r="L11345" s="1"/>
      <c r="M11345" s="1"/>
      <c r="N11345" s="1"/>
      <c r="O11345" s="1"/>
      <c r="P11345" s="1"/>
      <c r="Q11345" s="1"/>
      <c r="R11345" s="1"/>
      <c r="S11345" s="1"/>
      <c r="T11345" s="1"/>
      <c r="U11345" s="1"/>
      <c r="V11345" s="1"/>
      <c r="W11345" s="1"/>
      <c r="X11345" s="1"/>
      <c r="Y11345" s="1"/>
      <c r="Z11345" s="1"/>
      <c r="AA11345" s="1"/>
      <c r="AB11345" s="1"/>
    </row>
    <row r="11346" ht="50.25" customHeight="1">
      <c r="A11346" s="12">
        <v>11342.0</v>
      </c>
      <c r="B11346" s="13" t="s">
        <v>10535</v>
      </c>
      <c r="C11346" s="14" t="s">
        <v>11374</v>
      </c>
      <c r="D11346" s="1"/>
      <c r="E11346" s="1"/>
      <c r="F11346" s="1" t="str">
        <f>IFERROR(__xludf.DUMMYFUNCTION("GOOGLETRANSLATE(B11346, ""en"", ""fa"")
"),"کپی رایتینگ II")</f>
        <v>کپی رایتینگ II</v>
      </c>
      <c r="G11346" s="1" t="str">
        <f>IFERROR(__xludf.DUMMYFUNCTION("GOOGLETRANSLATE(C11346, ""en"", ""fa"")
"),"استراتژی‌های ایجاد نسخه متقاعدکننده برای توصیه‌های محصول تجارت الکترونیک و پیشنهادات شخصی‌شده محصول را برای بهبود تجربه خرید کاوش کنید.")</f>
        <v>استراتژی‌های ایجاد نسخه متقاعدکننده برای توصیه‌های محصول تجارت الکترونیک و پیشنهادات شخصی‌شده محصول را برای بهبود تجربه خرید کاوش کنید.</v>
      </c>
      <c r="H11346" s="1"/>
      <c r="I11346" s="1"/>
      <c r="J11346" s="1"/>
      <c r="K11346" s="1"/>
      <c r="L11346" s="1"/>
      <c r="M11346" s="1"/>
      <c r="N11346" s="1"/>
      <c r="O11346" s="1"/>
      <c r="P11346" s="1"/>
      <c r="Q11346" s="1"/>
      <c r="R11346" s="1"/>
      <c r="S11346" s="1"/>
      <c r="T11346" s="1"/>
      <c r="U11346" s="1"/>
      <c r="V11346" s="1"/>
      <c r="W11346" s="1"/>
      <c r="X11346" s="1"/>
      <c r="Y11346" s="1"/>
      <c r="Z11346" s="1"/>
      <c r="AA11346" s="1"/>
      <c r="AB11346" s="1"/>
    </row>
    <row r="11347" ht="50.25" customHeight="1">
      <c r="A11347" s="12">
        <v>11343.0</v>
      </c>
      <c r="B11347" s="13" t="s">
        <v>10535</v>
      </c>
      <c r="C11347" s="14" t="s">
        <v>11375</v>
      </c>
      <c r="D11347" s="1"/>
      <c r="E11347" s="1"/>
      <c r="F11347" s="1" t="str">
        <f>IFERROR(__xludf.DUMMYFUNCTION("GOOGLETRANSLATE(B11347, ""en"", ""fa"")
"),"کپی رایتینگ II")</f>
        <v>کپی رایتینگ II</v>
      </c>
      <c r="G11347" s="1" t="str">
        <f>IFERROR(__xludf.DUMMYFUNCTION("GOOGLETRANSLATE(C11347, ""en"", ""fa"")
"),"هنگام نوشتن نسخه متقاعدکننده برای برنامه های وفاداری تجارت الکترونیک و پاداش های مشتری برای تقویت وفاداری مشتری و تکرار خرید، چه عناصر کلیدی باید در نظر گرفته شود.")</f>
        <v>هنگام نوشتن نسخه متقاعدکننده برای برنامه های وفاداری تجارت الکترونیک و پاداش های مشتری برای تقویت وفاداری مشتری و تکرار خرید، چه عناصر کلیدی باید در نظر گرفته شود.</v>
      </c>
      <c r="H11347" s="1"/>
      <c r="I11347" s="1"/>
      <c r="J11347" s="1"/>
      <c r="K11347" s="1"/>
      <c r="L11347" s="1"/>
      <c r="M11347" s="1"/>
      <c r="N11347" s="1"/>
      <c r="O11347" s="1"/>
      <c r="P11347" s="1"/>
      <c r="Q11347" s="1"/>
      <c r="R11347" s="1"/>
      <c r="S11347" s="1"/>
      <c r="T11347" s="1"/>
      <c r="U11347" s="1"/>
      <c r="V11347" s="1"/>
      <c r="W11347" s="1"/>
      <c r="X11347" s="1"/>
      <c r="Y11347" s="1"/>
      <c r="Z11347" s="1"/>
      <c r="AA11347" s="1"/>
      <c r="AB11347" s="1"/>
    </row>
    <row r="11348" ht="50.25" customHeight="1">
      <c r="A11348" s="12">
        <v>11344.0</v>
      </c>
      <c r="B11348" s="13" t="s">
        <v>10535</v>
      </c>
      <c r="C11348" s="14" t="s">
        <v>11376</v>
      </c>
      <c r="D11348" s="1"/>
      <c r="E11348" s="1"/>
      <c r="F11348" s="1" t="str">
        <f>IFERROR(__xludf.DUMMYFUNCTION("GOOGLETRANSLATE(B11348, ""en"", ""fa"")
"),"کپی رایتینگ II")</f>
        <v>کپی رایتینگ II</v>
      </c>
      <c r="G11348" s="1" t="str">
        <f>IFERROR(__xludf.DUMMYFUNCTION("GOOGLETRANSLATE(C11348, ""en"", ""fa"")
"),"چگونه می توان یک نسخه قانع کننده برای فرآیند پذیرش مشتری در تجارت الکترونیک خود ایجاد کرد تا مشتریان جدید را در مورد برند و محصولات خود راهنمایی و آموزش دهد.")</f>
        <v>چگونه می توان یک نسخه قانع کننده برای فرآیند پذیرش مشتری در تجارت الکترونیک خود ایجاد کرد تا مشتریان جدید را در مورد برند و محصولات خود راهنمایی و آموزش دهد.</v>
      </c>
      <c r="H11348" s="1"/>
      <c r="I11348" s="1"/>
      <c r="J11348" s="1"/>
      <c r="K11348" s="1"/>
      <c r="L11348" s="1"/>
      <c r="M11348" s="1"/>
      <c r="N11348" s="1"/>
      <c r="O11348" s="1"/>
      <c r="P11348" s="1"/>
      <c r="Q11348" s="1"/>
      <c r="R11348" s="1"/>
      <c r="S11348" s="1"/>
      <c r="T11348" s="1"/>
      <c r="U11348" s="1"/>
      <c r="V11348" s="1"/>
      <c r="W11348" s="1"/>
      <c r="X11348" s="1"/>
      <c r="Y11348" s="1"/>
      <c r="Z11348" s="1"/>
      <c r="AA11348" s="1"/>
      <c r="AB11348" s="1"/>
    </row>
    <row r="11349" ht="50.25" customHeight="1">
      <c r="A11349" s="12">
        <v>11345.0</v>
      </c>
      <c r="B11349" s="13" t="s">
        <v>10535</v>
      </c>
      <c r="C11349" s="14" t="s">
        <v>11377</v>
      </c>
      <c r="D11349" s="1"/>
      <c r="E11349" s="1"/>
      <c r="F11349" s="1" t="str">
        <f>IFERROR(__xludf.DUMMYFUNCTION("GOOGLETRANSLATE(B11349, ""en"", ""fa"")
"),"کپی رایتینگ II")</f>
        <v>کپی رایتینگ II</v>
      </c>
      <c r="G11349" s="1" t="str">
        <f>IFERROR(__xludf.DUMMYFUNCTION("GOOGLETRANSLATE(C11349, ""en"", ""fa"")
"),"در مورد تکنیک‌های نوشتن نسخه متقاعدکننده برای کمبود محصول تجارت الکترونیک و هشدارهای محدود سهام بحث کنید تا احساس فوریت ایجاد کنید و فروش را افزایش دهید.")</f>
        <v>در مورد تکنیک‌های نوشتن نسخه متقاعدکننده برای کمبود محصول تجارت الکترونیک و هشدارهای محدود سهام بحث کنید تا احساس فوریت ایجاد کنید و فروش را افزایش دهید.</v>
      </c>
      <c r="H11349" s="1"/>
      <c r="I11349" s="1"/>
      <c r="J11349" s="1"/>
      <c r="K11349" s="1"/>
      <c r="L11349" s="1"/>
      <c r="M11349" s="1"/>
      <c r="N11349" s="1"/>
      <c r="O11349" s="1"/>
      <c r="P11349" s="1"/>
      <c r="Q11349" s="1"/>
      <c r="R11349" s="1"/>
      <c r="S11349" s="1"/>
      <c r="T11349" s="1"/>
      <c r="U11349" s="1"/>
      <c r="V11349" s="1"/>
      <c r="W11349" s="1"/>
      <c r="X11349" s="1"/>
      <c r="Y11349" s="1"/>
      <c r="Z11349" s="1"/>
      <c r="AA11349" s="1"/>
      <c r="AB11349" s="1"/>
    </row>
    <row r="11350" ht="50.25" customHeight="1">
      <c r="A11350" s="12">
        <v>11346.0</v>
      </c>
      <c r="B11350" s="13" t="s">
        <v>10535</v>
      </c>
      <c r="C11350" s="14" t="s">
        <v>11378</v>
      </c>
      <c r="D11350" s="1"/>
      <c r="E11350" s="1"/>
      <c r="F11350" s="1" t="str">
        <f>IFERROR(__xludf.DUMMYFUNCTION("GOOGLETRANSLATE(B11350, ""en"", ""fa"")
"),"کپی رایتینگ II")</f>
        <v>کپی رایتینگ II</v>
      </c>
      <c r="G11350" s="1" t="str">
        <f>IFERROR(__xludf.DUMMYFUNCTION("GOOGLETRANSLATE(C11350, ""en"", ""fa"")
"),"استراتژی‌های بهینه‌سازی نسخه تجارت الکترونیکی خود را برای بازارهای بین‌المللی و مخاطبان چند زبانه بررسی کنید تا دسترسی جهانی خود را گسترش دهید.")</f>
        <v>استراتژی‌های بهینه‌سازی نسخه تجارت الکترونیکی خود را برای بازارهای بین‌المللی و مخاطبان چند زبانه بررسی کنید تا دسترسی جهانی خود را گسترش دهید.</v>
      </c>
      <c r="H11350" s="1"/>
      <c r="I11350" s="1"/>
      <c r="J11350" s="1"/>
      <c r="K11350" s="1"/>
      <c r="L11350" s="1"/>
      <c r="M11350" s="1"/>
      <c r="N11350" s="1"/>
      <c r="O11350" s="1"/>
      <c r="P11350" s="1"/>
      <c r="Q11350" s="1"/>
      <c r="R11350" s="1"/>
      <c r="S11350" s="1"/>
      <c r="T11350" s="1"/>
      <c r="U11350" s="1"/>
      <c r="V11350" s="1"/>
      <c r="W11350" s="1"/>
      <c r="X11350" s="1"/>
      <c r="Y11350" s="1"/>
      <c r="Z11350" s="1"/>
      <c r="AA11350" s="1"/>
      <c r="AB11350" s="1"/>
    </row>
    <row r="11351" ht="50.25" customHeight="1">
      <c r="A11351" s="12">
        <v>11347.0</v>
      </c>
      <c r="B11351" s="13" t="s">
        <v>10535</v>
      </c>
      <c r="C11351" s="14" t="s">
        <v>11379</v>
      </c>
      <c r="D11351" s="1"/>
      <c r="E11351" s="1"/>
      <c r="F11351" s="1" t="str">
        <f>IFERROR(__xludf.DUMMYFUNCTION("GOOGLETRANSLATE(B11351, ""en"", ""fa"")
"),"کپی رایتینگ II")</f>
        <v>کپی رایتینگ II</v>
      </c>
      <c r="G11351" s="1" t="str">
        <f>IFERROR(__xludf.DUMMYFUNCTION("GOOGLETRANSLATE(C11351, ""en"", ""fa"")
"),"بهترین روش‌ها برای نوشتن نسخه متقاعدکننده برای لوازم جانبی و افزونه‌های محصول تجارت الکترونیک برای افزایش میانگین ارزش سفارش و فرصت‌های فروش بیشتر چیست؟")</f>
        <v>بهترین روش‌ها برای نوشتن نسخه متقاعدکننده برای لوازم جانبی و افزونه‌های محصول تجارت الکترونیک برای افزایش میانگین ارزش سفارش و فرصت‌های فروش بیشتر چیست؟</v>
      </c>
      <c r="H11351" s="1"/>
      <c r="I11351" s="1"/>
      <c r="J11351" s="1"/>
      <c r="K11351" s="1"/>
      <c r="L11351" s="1"/>
      <c r="M11351" s="1"/>
      <c r="N11351" s="1"/>
      <c r="O11351" s="1"/>
      <c r="P11351" s="1"/>
      <c r="Q11351" s="1"/>
      <c r="R11351" s="1"/>
      <c r="S11351" s="1"/>
      <c r="T11351" s="1"/>
      <c r="U11351" s="1"/>
      <c r="V11351" s="1"/>
      <c r="W11351" s="1"/>
      <c r="X11351" s="1"/>
      <c r="Y11351" s="1"/>
      <c r="Z11351" s="1"/>
      <c r="AA11351" s="1"/>
      <c r="AB11351" s="1"/>
    </row>
    <row r="11352" ht="50.25" customHeight="1">
      <c r="A11352" s="12">
        <v>11348.0</v>
      </c>
      <c r="B11352" s="13" t="s">
        <v>10535</v>
      </c>
      <c r="C11352" s="14" t="s">
        <v>11380</v>
      </c>
      <c r="D11352" s="1"/>
      <c r="E11352" s="1"/>
      <c r="F11352" s="1" t="str">
        <f>IFERROR(__xludf.DUMMYFUNCTION("GOOGLETRANSLATE(B11352, ""en"", ""fa"")
"),"کپی رایتینگ II")</f>
        <v>کپی رایتینگ II</v>
      </c>
      <c r="G11352" s="1" t="str">
        <f>IFERROR(__xludf.DUMMYFUNCTION("GOOGLETRANSLATE(C11352, ""en"", ""fa"")
"),"چگونه نسخه تجارت الکترونیک خود را برای تبلیغات فصلی و کمپین های تعطیلات تنظیم کنید تا از دوره های اوج خرید سرمایه گذاری کنید.")</f>
        <v>چگونه نسخه تجارت الکترونیک خود را برای تبلیغات فصلی و کمپین های تعطیلات تنظیم کنید تا از دوره های اوج خرید سرمایه گذاری کنید.</v>
      </c>
      <c r="H11352" s="1"/>
      <c r="I11352" s="1"/>
      <c r="J11352" s="1"/>
      <c r="K11352" s="1"/>
      <c r="L11352" s="1"/>
      <c r="M11352" s="1"/>
      <c r="N11352" s="1"/>
      <c r="O11352" s="1"/>
      <c r="P11352" s="1"/>
      <c r="Q11352" s="1"/>
      <c r="R11352" s="1"/>
      <c r="S11352" s="1"/>
      <c r="T11352" s="1"/>
      <c r="U11352" s="1"/>
      <c r="V11352" s="1"/>
      <c r="W11352" s="1"/>
      <c r="X11352" s="1"/>
      <c r="Y11352" s="1"/>
      <c r="Z11352" s="1"/>
      <c r="AA11352" s="1"/>
      <c r="AB11352" s="1"/>
    </row>
    <row r="11353" ht="50.25" customHeight="1">
      <c r="A11353" s="12">
        <v>11349.0</v>
      </c>
      <c r="B11353" s="13" t="s">
        <v>10535</v>
      </c>
      <c r="C11353" s="14" t="s">
        <v>11381</v>
      </c>
      <c r="D11353" s="1"/>
      <c r="E11353" s="1"/>
      <c r="F11353" s="1" t="str">
        <f>IFERROR(__xludf.DUMMYFUNCTION("GOOGLETRANSLATE(B11353, ""en"", ""fa"")
"),"کپی رایتینگ II")</f>
        <v>کپی رایتینگ II</v>
      </c>
      <c r="G11353" s="1" t="str">
        <f>IFERROR(__xludf.DUMMYFUNCTION("GOOGLETRANSLATE(C11353, ""en"", ""fa"")
"),"در مورد عناصر کلیدی کپی متقاعدکننده برای ضمانت‌نامه‌های محصول تجارت الکترونیک و طرح‌های حفاظتی گسترده بحث کنید تا آرامش خاطر را برای مشتریان فراهم کنید.")</f>
        <v>در مورد عناصر کلیدی کپی متقاعدکننده برای ضمانت‌نامه‌های محصول تجارت الکترونیک و طرح‌های حفاظتی گسترده بحث کنید تا آرامش خاطر را برای مشتریان فراهم کنید.</v>
      </c>
      <c r="H11353" s="1"/>
      <c r="I11353" s="1"/>
      <c r="J11353" s="1"/>
      <c r="K11353" s="1"/>
      <c r="L11353" s="1"/>
      <c r="M11353" s="1"/>
      <c r="N11353" s="1"/>
      <c r="O11353" s="1"/>
      <c r="P11353" s="1"/>
      <c r="Q11353" s="1"/>
      <c r="R11353" s="1"/>
      <c r="S11353" s="1"/>
      <c r="T11353" s="1"/>
      <c r="U11353" s="1"/>
      <c r="V11353" s="1"/>
      <c r="W11353" s="1"/>
      <c r="X11353" s="1"/>
      <c r="Y11353" s="1"/>
      <c r="Z11353" s="1"/>
      <c r="AA11353" s="1"/>
      <c r="AB11353" s="1"/>
    </row>
    <row r="11354" ht="50.25" customHeight="1">
      <c r="A11354" s="12">
        <v>11350.0</v>
      </c>
      <c r="B11354" s="13" t="s">
        <v>10535</v>
      </c>
      <c r="C11354" s="14" t="s">
        <v>11382</v>
      </c>
      <c r="D11354" s="1"/>
      <c r="E11354" s="1"/>
      <c r="F11354" s="1" t="str">
        <f>IFERROR(__xludf.DUMMYFUNCTION("GOOGLETRANSLATE(B11354, ""en"", ""fa"")
"),"کپی رایتینگ II")</f>
        <v>کپی رایتینگ II</v>
      </c>
      <c r="G11354" s="1" t="str">
        <f>IFERROR(__xludf.DUMMYFUNCTION("GOOGLETRANSLATE(C11354, ""en"", ""fa"")
"),"استراتژی‌های نوشتن نسخه متقاعدکننده برای خدمات اشتراک تجارت الکترونیک و سفارش‌های مکرر برای تشویق وفاداری طولانی‌مدت مشتری را بررسی کنید.")</f>
        <v>استراتژی‌های نوشتن نسخه متقاعدکننده برای خدمات اشتراک تجارت الکترونیک و سفارش‌های مکرر برای تشویق وفاداری طولانی‌مدت مشتری را بررسی کنید.</v>
      </c>
      <c r="H11354" s="1"/>
      <c r="I11354" s="1"/>
      <c r="J11354" s="1"/>
      <c r="K11354" s="1"/>
      <c r="L11354" s="1"/>
      <c r="M11354" s="1"/>
      <c r="N11354" s="1"/>
      <c r="O11354" s="1"/>
      <c r="P11354" s="1"/>
      <c r="Q11354" s="1"/>
      <c r="R11354" s="1"/>
      <c r="S11354" s="1"/>
      <c r="T11354" s="1"/>
      <c r="U11354" s="1"/>
      <c r="V11354" s="1"/>
      <c r="W11354" s="1"/>
      <c r="X11354" s="1"/>
      <c r="Y11354" s="1"/>
      <c r="Z11354" s="1"/>
      <c r="AA11354" s="1"/>
      <c r="AB11354" s="1"/>
    </row>
    <row r="11355" ht="50.25" customHeight="1">
      <c r="A11355" s="12">
        <v>11351.0</v>
      </c>
      <c r="B11355" s="13" t="s">
        <v>10535</v>
      </c>
      <c r="C11355" s="14" t="s">
        <v>11383</v>
      </c>
      <c r="D11355" s="1"/>
      <c r="E11355" s="1"/>
      <c r="F11355" s="1" t="str">
        <f>IFERROR(__xludf.DUMMYFUNCTION("GOOGLETRANSLATE(B11355, ""en"", ""fa"")
"),"کپی رایتینگ II")</f>
        <v>کپی رایتینگ II</v>
      </c>
      <c r="G11355" s="1" t="str">
        <f>IFERROR(__xludf.DUMMYFUNCTION("GOOGLETRANSLATE(C11355, ""en"", ""fa"")
"),"تکنیک‌های ایجاد کپی متقاعدکننده برای پاپ‌آپ‌ها و همپوشانی‌ها با هدف خروج از تجارت الکترونیکی برای حفظ مشتریان و به حداقل رساندن نرخ پرش چیست؟")</f>
        <v>تکنیک‌های ایجاد کپی متقاعدکننده برای پاپ‌آپ‌ها و همپوشانی‌ها با هدف خروج از تجارت الکترونیکی برای حفظ مشتریان و به حداقل رساندن نرخ پرش چیست؟</v>
      </c>
      <c r="H11355" s="1"/>
      <c r="I11355" s="1"/>
      <c r="J11355" s="1"/>
      <c r="K11355" s="1"/>
      <c r="L11355" s="1"/>
      <c r="M11355" s="1"/>
      <c r="N11355" s="1"/>
      <c r="O11355" s="1"/>
      <c r="P11355" s="1"/>
      <c r="Q11355" s="1"/>
      <c r="R11355" s="1"/>
      <c r="S11355" s="1"/>
      <c r="T11355" s="1"/>
      <c r="U11355" s="1"/>
      <c r="V11355" s="1"/>
      <c r="W11355" s="1"/>
      <c r="X11355" s="1"/>
      <c r="Y11355" s="1"/>
      <c r="Z11355" s="1"/>
      <c r="AA11355" s="1"/>
      <c r="AB11355" s="1"/>
    </row>
    <row r="11356" ht="50.25" customHeight="1">
      <c r="A11356" s="12">
        <v>11352.0</v>
      </c>
      <c r="B11356" s="13" t="s">
        <v>10535</v>
      </c>
      <c r="C11356" s="14" t="s">
        <v>11384</v>
      </c>
      <c r="D11356" s="1"/>
      <c r="E11356" s="1"/>
      <c r="F11356" s="1" t="str">
        <f>IFERROR(__xludf.DUMMYFUNCTION("GOOGLETRANSLATE(B11356, ""en"", ""fa"")
"),"کپی رایتینگ II")</f>
        <v>کپی رایتینگ II</v>
      </c>
      <c r="G11356" s="1" t="str">
        <f>IFERROR(__xludf.DUMMYFUNCTION("GOOGLETRANSLATE(C11356, ""en"", ""fa"")
"),"چگونه کپی تجارت الکترونیک خود را برای عناصر اثبات اجتماعی، مانند محتوای تولید شده توسط کاربر و نظرات مشتریان، بهینه سازی کنید تا اعتماد و اعتبار ایجاد کنید.")</f>
        <v>چگونه کپی تجارت الکترونیک خود را برای عناصر اثبات اجتماعی، مانند محتوای تولید شده توسط کاربر و نظرات مشتریان، بهینه سازی کنید تا اعتماد و اعتبار ایجاد کنید.</v>
      </c>
      <c r="H11356" s="1"/>
      <c r="I11356" s="1"/>
      <c r="J11356" s="1"/>
      <c r="K11356" s="1"/>
      <c r="L11356" s="1"/>
      <c r="M11356" s="1"/>
      <c r="N11356" s="1"/>
      <c r="O11356" s="1"/>
      <c r="P11356" s="1"/>
      <c r="Q11356" s="1"/>
      <c r="R11356" s="1"/>
      <c r="S11356" s="1"/>
      <c r="T11356" s="1"/>
      <c r="U11356" s="1"/>
      <c r="V11356" s="1"/>
      <c r="W11356" s="1"/>
      <c r="X11356" s="1"/>
      <c r="Y11356" s="1"/>
      <c r="Z11356" s="1"/>
      <c r="AA11356" s="1"/>
      <c r="AB11356" s="1"/>
    </row>
    <row r="11357" ht="50.25" customHeight="1">
      <c r="A11357" s="12">
        <v>11353.0</v>
      </c>
      <c r="B11357" s="13" t="s">
        <v>10535</v>
      </c>
      <c r="C11357" s="14" t="s">
        <v>11385</v>
      </c>
      <c r="D11357" s="1"/>
      <c r="E11357" s="1"/>
      <c r="F11357" s="1" t="str">
        <f>IFERROR(__xludf.DUMMYFUNCTION("GOOGLETRANSLATE(B11357, ""en"", ""fa"")
"),"کپی رایتینگ II")</f>
        <v>کپی رایتینگ II</v>
      </c>
      <c r="G11357" s="1" t="str">
        <f>IFERROR(__xludf.DUMMYFUNCTION("GOOGLETRANSLATE(C11357, ""en"", ""fa"")
"),"در مورد بهترین شیوه ها برای نوشتن نسخه متقاعد کننده برای نمایش و آموزش های محصول تجارت الکترونیک برای نمایش ویژگی ها و عملکرد محصول بحث کنید.")</f>
        <v>در مورد بهترین شیوه ها برای نوشتن نسخه متقاعد کننده برای نمایش و آموزش های محصول تجارت الکترونیک برای نمایش ویژگی ها و عملکرد محصول بحث کنید.</v>
      </c>
      <c r="H11357" s="1"/>
      <c r="I11357" s="1"/>
      <c r="J11357" s="1"/>
      <c r="K11357" s="1"/>
      <c r="L11357" s="1"/>
      <c r="M11357" s="1"/>
      <c r="N11357" s="1"/>
      <c r="O11357" s="1"/>
      <c r="P11357" s="1"/>
      <c r="Q11357" s="1"/>
      <c r="R11357" s="1"/>
      <c r="S11357" s="1"/>
      <c r="T11357" s="1"/>
      <c r="U11357" s="1"/>
      <c r="V11357" s="1"/>
      <c r="W11357" s="1"/>
      <c r="X11357" s="1"/>
      <c r="Y11357" s="1"/>
      <c r="Z11357" s="1"/>
      <c r="AA11357" s="1"/>
      <c r="AB11357" s="1"/>
    </row>
    <row r="11358" ht="50.25" customHeight="1">
      <c r="A11358" s="12">
        <v>11354.0</v>
      </c>
      <c r="B11358" s="13" t="s">
        <v>10535</v>
      </c>
      <c r="C11358" s="14" t="s">
        <v>11386</v>
      </c>
      <c r="D11358" s="1"/>
      <c r="E11358" s="1"/>
      <c r="F11358" s="1" t="str">
        <f>IFERROR(__xludf.DUMMYFUNCTION("GOOGLETRANSLATE(B11358, ""en"", ""fa"")
"),"کپی رایتینگ II")</f>
        <v>کپی رایتینگ II</v>
      </c>
      <c r="G11358" s="1" t="str">
        <f>IFERROR(__xludf.DUMMYFUNCTION("GOOGLETRANSLATE(C11358, ""en"", ""fa"")
"),"برای افزایش ارزش سفارش و تشویق خریدهای بیشتر، استراتژی‌های ایجاد کپی متقاعدکننده برای پاپ‌آپ‌ها و بنرهای فروش و فروش متقابل تجارت الکترونیک را بررسی کنید.")</f>
        <v>برای افزایش ارزش سفارش و تشویق خریدهای بیشتر، استراتژی‌های ایجاد کپی متقاعدکننده برای پاپ‌آپ‌ها و بنرهای فروش و فروش متقابل تجارت الکترونیک را بررسی کنید.</v>
      </c>
      <c r="H11358" s="1"/>
      <c r="I11358" s="1"/>
      <c r="J11358" s="1"/>
      <c r="K11358" s="1"/>
      <c r="L11358" s="1"/>
      <c r="M11358" s="1"/>
      <c r="N11358" s="1"/>
      <c r="O11358" s="1"/>
      <c r="P11358" s="1"/>
      <c r="Q11358" s="1"/>
      <c r="R11358" s="1"/>
      <c r="S11358" s="1"/>
      <c r="T11358" s="1"/>
      <c r="U11358" s="1"/>
      <c r="V11358" s="1"/>
      <c r="W11358" s="1"/>
      <c r="X11358" s="1"/>
      <c r="Y11358" s="1"/>
      <c r="Z11358" s="1"/>
      <c r="AA11358" s="1"/>
      <c r="AB11358" s="1"/>
    </row>
    <row r="11359" ht="50.25" customHeight="1">
      <c r="A11359" s="12">
        <v>11355.0</v>
      </c>
      <c r="B11359" s="13" t="s">
        <v>10535</v>
      </c>
      <c r="C11359" s="14" t="s">
        <v>11387</v>
      </c>
      <c r="D11359" s="1"/>
      <c r="E11359" s="1"/>
      <c r="F11359" s="1" t="str">
        <f>IFERROR(__xludf.DUMMYFUNCTION("GOOGLETRANSLATE(B11359, ""en"", ""fa"")
"),"کپی رایتینگ II")</f>
        <v>کپی رایتینگ II</v>
      </c>
      <c r="G11359" s="1" t="str">
        <f>IFERROR(__xludf.DUMMYFUNCTION("GOOGLETRANSLATE(C11359, ""en"", ""fa"")
"),"هنگام نوشتن کپی متقاعدکننده برای شمارش معکوس و تیزرهای عرضه محصولات تجارت الکترونیکی برای ایجاد پیش بینی و سروصدا، چه عناصر کلیدی باید در نظر گرفته شود.")</f>
        <v>هنگام نوشتن کپی متقاعدکننده برای شمارش معکوس و تیزرهای عرضه محصولات تجارت الکترونیکی برای ایجاد پیش بینی و سروصدا، چه عناصر کلیدی باید در نظر گرفته شود.</v>
      </c>
      <c r="H11359" s="1"/>
      <c r="I11359" s="1"/>
      <c r="J11359" s="1"/>
      <c r="K11359" s="1"/>
      <c r="L11359" s="1"/>
      <c r="M11359" s="1"/>
      <c r="N11359" s="1"/>
      <c r="O11359" s="1"/>
      <c r="P11359" s="1"/>
      <c r="Q11359" s="1"/>
      <c r="R11359" s="1"/>
      <c r="S11359" s="1"/>
      <c r="T11359" s="1"/>
      <c r="U11359" s="1"/>
      <c r="V11359" s="1"/>
      <c r="W11359" s="1"/>
      <c r="X11359" s="1"/>
      <c r="Y11359" s="1"/>
      <c r="Z11359" s="1"/>
      <c r="AA11359" s="1"/>
      <c r="AB11359" s="1"/>
    </row>
    <row r="11360" ht="50.25" customHeight="1">
      <c r="A11360" s="12">
        <v>11356.0</v>
      </c>
      <c r="B11360" s="13" t="s">
        <v>10535</v>
      </c>
      <c r="C11360" s="14" t="s">
        <v>11388</v>
      </c>
      <c r="D11360" s="1"/>
      <c r="E11360" s="1"/>
      <c r="F11360" s="1" t="str">
        <f>IFERROR(__xludf.DUMMYFUNCTION("GOOGLETRANSLATE(B11360, ""en"", ""fa"")
"),"کپی رایتینگ II")</f>
        <v>کپی رایتینگ II</v>
      </c>
      <c r="G11360" s="1" t="str">
        <f>IFERROR(__xludf.DUMMYFUNCTION("GOOGLETRANSLATE(C11360, ""en"", ""fa"")
"),"چگونه برای ایجاد یک احساس فوریت و کمبود برای وضعیت موجودی کالا و اعلان‌های در دسترس بودن کالای تجارت الکترونیک خود یک نسخه قانع‌کننده ایجاد کنید.")</f>
        <v>چگونه برای ایجاد یک احساس فوریت و کمبود برای وضعیت موجودی کالا و اعلان‌های در دسترس بودن کالای تجارت الکترونیک خود یک نسخه قانع‌کننده ایجاد کنید.</v>
      </c>
      <c r="H11360" s="1"/>
      <c r="I11360" s="1"/>
      <c r="J11360" s="1"/>
      <c r="K11360" s="1"/>
      <c r="L11360" s="1"/>
      <c r="M11360" s="1"/>
      <c r="N11360" s="1"/>
      <c r="O11360" s="1"/>
      <c r="P11360" s="1"/>
      <c r="Q11360" s="1"/>
      <c r="R11360" s="1"/>
      <c r="S11360" s="1"/>
      <c r="T11360" s="1"/>
      <c r="U11360" s="1"/>
      <c r="V11360" s="1"/>
      <c r="W11360" s="1"/>
      <c r="X11360" s="1"/>
      <c r="Y11360" s="1"/>
      <c r="Z11360" s="1"/>
      <c r="AA11360" s="1"/>
      <c r="AB11360" s="1"/>
    </row>
    <row r="11361" ht="50.25" customHeight="1">
      <c r="A11361" s="12">
        <v>11357.0</v>
      </c>
      <c r="B11361" s="13" t="s">
        <v>10535</v>
      </c>
      <c r="C11361" s="14" t="s">
        <v>11389</v>
      </c>
      <c r="D11361" s="1"/>
      <c r="E11361" s="1"/>
      <c r="F11361" s="1" t="str">
        <f>IFERROR(__xludf.DUMMYFUNCTION("GOOGLETRANSLATE(B11361, ""en"", ""fa"")
"),"کپی رایتینگ II")</f>
        <v>کپی رایتینگ II</v>
      </c>
      <c r="G11361" s="1" t="str">
        <f>IFERROR(__xludf.DUMMYFUNCTION("GOOGLETRANSLATE(C11361, ""en"", ""fa"")
"),"در مورد تکنیک‌های نوشتن نسخه متقاعدکننده برای برنامه‌های وفاداری مشتری در تجارت الکترونیک و مشوق‌های ارجاع برای تشویق تکرار تجارت و بازاریابی دهان به دهان بحث کنید.")</f>
        <v>در مورد تکنیک‌های نوشتن نسخه متقاعدکننده برای برنامه‌های وفاداری مشتری در تجارت الکترونیک و مشوق‌های ارجاع برای تشویق تکرار تجارت و بازاریابی دهان به دهان بحث کنید.</v>
      </c>
      <c r="H11361" s="1"/>
      <c r="I11361" s="1"/>
      <c r="J11361" s="1"/>
      <c r="K11361" s="1"/>
      <c r="L11361" s="1"/>
      <c r="M11361" s="1"/>
      <c r="N11361" s="1"/>
      <c r="O11361" s="1"/>
      <c r="P11361" s="1"/>
      <c r="Q11361" s="1"/>
      <c r="R11361" s="1"/>
      <c r="S11361" s="1"/>
      <c r="T11361" s="1"/>
      <c r="U11361" s="1"/>
      <c r="V11361" s="1"/>
      <c r="W11361" s="1"/>
      <c r="X11361" s="1"/>
      <c r="Y11361" s="1"/>
      <c r="Z11361" s="1"/>
      <c r="AA11361" s="1"/>
      <c r="AB11361" s="1"/>
    </row>
    <row r="11362" ht="50.25" customHeight="1">
      <c r="A11362" s="12">
        <v>11358.0</v>
      </c>
      <c r="B11362" s="13" t="s">
        <v>10535</v>
      </c>
      <c r="C11362" s="14" t="s">
        <v>11390</v>
      </c>
      <c r="D11362" s="1"/>
      <c r="E11362" s="1"/>
      <c r="F11362" s="1" t="str">
        <f>IFERROR(__xludf.DUMMYFUNCTION("GOOGLETRANSLATE(B11362, ""en"", ""fa"")
"),"کپی رایتینگ II")</f>
        <v>کپی رایتینگ II</v>
      </c>
      <c r="G11362" s="1" t="str">
        <f>IFERROR(__xludf.DUMMYFUNCTION("GOOGLETRANSLATE(C11362, ""en"", ""fa"")
"),"استراتژی‌های بهینه‌سازی کپی تجارت الکترونیکی خود را برای قطعه‌های برجسته و قطعه‌های غنی در نتایج موتورهای جستجو برای افزایش دید و نرخ کلیک بررسی کنید.")</f>
        <v>استراتژی‌های بهینه‌سازی کپی تجارت الکترونیکی خود را برای قطعه‌های برجسته و قطعه‌های غنی در نتایج موتورهای جستجو برای افزایش دید و نرخ کلیک بررسی کنید.</v>
      </c>
      <c r="H11362" s="1"/>
      <c r="I11362" s="1"/>
      <c r="J11362" s="1"/>
      <c r="K11362" s="1"/>
      <c r="L11362" s="1"/>
      <c r="M11362" s="1"/>
      <c r="N11362" s="1"/>
      <c r="O11362" s="1"/>
      <c r="P11362" s="1"/>
      <c r="Q11362" s="1"/>
      <c r="R11362" s="1"/>
      <c r="S11362" s="1"/>
      <c r="T11362" s="1"/>
      <c r="U11362" s="1"/>
      <c r="V11362" s="1"/>
      <c r="W11362" s="1"/>
      <c r="X11362" s="1"/>
      <c r="Y11362" s="1"/>
      <c r="Z11362" s="1"/>
      <c r="AA11362" s="1"/>
      <c r="AB11362" s="1"/>
    </row>
    <row r="11363" ht="50.25" customHeight="1">
      <c r="A11363" s="12">
        <v>11359.0</v>
      </c>
      <c r="B11363" s="13" t="s">
        <v>10535</v>
      </c>
      <c r="C11363" s="14" t="s">
        <v>11391</v>
      </c>
      <c r="D11363" s="1"/>
      <c r="E11363" s="1"/>
      <c r="F11363" s="1" t="str">
        <f>IFERROR(__xludf.DUMMYFUNCTION("GOOGLETRANSLATE(B11363, ""en"", ""fa"")
"),"کپی رایتینگ II")</f>
        <v>کپی رایتینگ II</v>
      </c>
      <c r="G11363" s="1" t="str">
        <f>IFERROR(__xludf.DUMMYFUNCTION("GOOGLETRANSLATE(C11363, ""en"", ""fa"")
"),"بهترین روش‌ها برای نوشتن کپی متقاعدکننده برای تبلیغات هدف‌گیری مجدد تجارت الکترونیک و توصیه‌های شخصی‌سازی شده بر اساس تاریخچه مرور مشتری و خرید چیست؟")</f>
        <v>بهترین روش‌ها برای نوشتن کپی متقاعدکننده برای تبلیغات هدف‌گیری مجدد تجارت الکترونیک و توصیه‌های شخصی‌سازی شده بر اساس تاریخچه مرور مشتری و خرید چیست؟</v>
      </c>
      <c r="H11363" s="1"/>
      <c r="I11363" s="1"/>
      <c r="J11363" s="1"/>
      <c r="K11363" s="1"/>
      <c r="L11363" s="1"/>
      <c r="M11363" s="1"/>
      <c r="N11363" s="1"/>
      <c r="O11363" s="1"/>
      <c r="P11363" s="1"/>
      <c r="Q11363" s="1"/>
      <c r="R11363" s="1"/>
      <c r="S11363" s="1"/>
      <c r="T11363" s="1"/>
      <c r="U11363" s="1"/>
      <c r="V11363" s="1"/>
      <c r="W11363" s="1"/>
      <c r="X11363" s="1"/>
      <c r="Y11363" s="1"/>
      <c r="Z11363" s="1"/>
      <c r="AA11363" s="1"/>
      <c r="AB11363" s="1"/>
    </row>
    <row r="11364" ht="50.25" customHeight="1">
      <c r="A11364" s="12">
        <v>11360.0</v>
      </c>
      <c r="B11364" s="13" t="s">
        <v>10535</v>
      </c>
      <c r="C11364" s="14" t="s">
        <v>11392</v>
      </c>
      <c r="D11364" s="1"/>
      <c r="E11364" s="1"/>
      <c r="F11364" s="1" t="str">
        <f>IFERROR(__xludf.DUMMYFUNCTION("GOOGLETRANSLATE(B11364, ""en"", ""fa"")
"),"کپی رایتینگ II")</f>
        <v>کپی رایتینگ II</v>
      </c>
      <c r="G11364" s="1" t="str">
        <f>IFERROR(__xludf.DUMMYFUNCTION("GOOGLETRANSLATE(C11364, ""en"", ""fa"")
"),"چگونه کپی تجارت الکترونیک خود را برای مراحل مختلف سفر مشتری، از آگاهی و توجه گرفته تا تبدیل و وفاداری، تنظیم کنید.")</f>
        <v>چگونه کپی تجارت الکترونیک خود را برای مراحل مختلف سفر مشتری، از آگاهی و توجه گرفته تا تبدیل و وفاداری، تنظیم کنید.</v>
      </c>
      <c r="H11364" s="1"/>
      <c r="I11364" s="1"/>
      <c r="J11364" s="1"/>
      <c r="K11364" s="1"/>
      <c r="L11364" s="1"/>
      <c r="M11364" s="1"/>
      <c r="N11364" s="1"/>
      <c r="O11364" s="1"/>
      <c r="P11364" s="1"/>
      <c r="Q11364" s="1"/>
      <c r="R11364" s="1"/>
      <c r="S11364" s="1"/>
      <c r="T11364" s="1"/>
      <c r="U11364" s="1"/>
      <c r="V11364" s="1"/>
      <c r="W11364" s="1"/>
      <c r="X11364" s="1"/>
      <c r="Y11364" s="1"/>
      <c r="Z11364" s="1"/>
      <c r="AA11364" s="1"/>
      <c r="AB11364" s="1"/>
    </row>
    <row r="11365" ht="50.25" customHeight="1">
      <c r="A11365" s="12">
        <v>11361.0</v>
      </c>
      <c r="B11365" s="13" t="s">
        <v>10535</v>
      </c>
      <c r="C11365" s="14" t="s">
        <v>11393</v>
      </c>
      <c r="D11365" s="1"/>
      <c r="E11365" s="1"/>
      <c r="F11365" s="1" t="str">
        <f>IFERROR(__xludf.DUMMYFUNCTION("GOOGLETRANSLATE(B11365, ""en"", ""fa"")
"),"کپی رایتینگ II")</f>
        <v>کپی رایتینگ II</v>
      </c>
      <c r="G11365" s="1" t="str">
        <f>IFERROR(__xludf.DUMMYFUNCTION("GOOGLETRANSLATE(C11365, ""en"", ""fa"")
"),"در مورد عناصر کلیدی کپی متقاعدکننده برای بسته‌های محصول تجارت الکترونیک و راهنمای هدیه برای ساده‌سازی فرآیند خرید و افزایش میانگین ارزش سفارش بحث کنید.")</f>
        <v>در مورد عناصر کلیدی کپی متقاعدکننده برای بسته‌های محصول تجارت الکترونیک و راهنمای هدیه برای ساده‌سازی فرآیند خرید و افزایش میانگین ارزش سفارش بحث کنید.</v>
      </c>
      <c r="H11365" s="1"/>
      <c r="I11365" s="1"/>
      <c r="J11365" s="1"/>
      <c r="K11365" s="1"/>
      <c r="L11365" s="1"/>
      <c r="M11365" s="1"/>
      <c r="N11365" s="1"/>
      <c r="O11365" s="1"/>
      <c r="P11365" s="1"/>
      <c r="Q11365" s="1"/>
      <c r="R11365" s="1"/>
      <c r="S11365" s="1"/>
      <c r="T11365" s="1"/>
      <c r="U11365" s="1"/>
      <c r="V11365" s="1"/>
      <c r="W11365" s="1"/>
      <c r="X11365" s="1"/>
      <c r="Y11365" s="1"/>
      <c r="Z11365" s="1"/>
      <c r="AA11365" s="1"/>
      <c r="AB11365" s="1"/>
    </row>
    <row r="11366" ht="50.25" customHeight="1">
      <c r="A11366" s="12">
        <v>11362.0</v>
      </c>
      <c r="B11366" s="13" t="s">
        <v>10535</v>
      </c>
      <c r="C11366" s="14" t="s">
        <v>11394</v>
      </c>
      <c r="D11366" s="1"/>
      <c r="E11366" s="1"/>
      <c r="F11366" s="1" t="str">
        <f>IFERROR(__xludf.DUMMYFUNCTION("GOOGLETRANSLATE(B11366, ""en"", ""fa"")
"),"کپی رایتینگ II")</f>
        <v>کپی رایتینگ II</v>
      </c>
      <c r="G11366" s="1" t="str">
        <f>IFERROR(__xludf.DUMMYFUNCTION("GOOGLETRANSLATE(C11366, ""en"", ""fa"")
"),"استراتژی‌های نوشتن نسخه متقاعدکننده برای فروش فلش تجارت الکترونیک و تبلیغات با زمان محدود را بررسی کنید تا احساس فوریت ایجاد کنید و خریدهای فوری را به دنبال داشته باشید.")</f>
        <v>استراتژی‌های نوشتن نسخه متقاعدکننده برای فروش فلش تجارت الکترونیک و تبلیغات با زمان محدود را بررسی کنید تا احساس فوریت ایجاد کنید و خریدهای فوری را به دنبال داشته باشید.</v>
      </c>
      <c r="H11366" s="1"/>
      <c r="I11366" s="1"/>
      <c r="J11366" s="1"/>
      <c r="K11366" s="1"/>
      <c r="L11366" s="1"/>
      <c r="M11366" s="1"/>
      <c r="N11366" s="1"/>
      <c r="O11366" s="1"/>
      <c r="P11366" s="1"/>
      <c r="Q11366" s="1"/>
      <c r="R11366" s="1"/>
      <c r="S11366" s="1"/>
      <c r="T11366" s="1"/>
      <c r="U11366" s="1"/>
      <c r="V11366" s="1"/>
      <c r="W11366" s="1"/>
      <c r="X11366" s="1"/>
      <c r="Y11366" s="1"/>
      <c r="Z11366" s="1"/>
      <c r="AA11366" s="1"/>
      <c r="AB11366" s="1"/>
    </row>
    <row r="11367" ht="50.25" customHeight="1">
      <c r="A11367" s="12">
        <v>11363.0</v>
      </c>
      <c r="B11367" s="13" t="s">
        <v>10535</v>
      </c>
      <c r="C11367" s="14" t="s">
        <v>11395</v>
      </c>
      <c r="D11367" s="1"/>
      <c r="E11367" s="1"/>
      <c r="F11367" s="1" t="str">
        <f>IFERROR(__xludf.DUMMYFUNCTION("GOOGLETRANSLATE(B11367, ""en"", ""fa"")
"),"کپی رایتینگ II")</f>
        <v>کپی رایتینگ II</v>
      </c>
      <c r="G11367" s="1" t="str">
        <f>IFERROR(__xludf.DUMMYFUNCTION("GOOGLETRANSLATE(C11367, ""en"", ""fa"")
"),"چه تکنیک هایی برای ایجاد نسخه متقاعد کننده برای نمودارها و جداول مقایسه محصولات تجارت الکترونیک برای کمک به مشتریان در تصمیم گیری آگاهانه وجود دارد.")</f>
        <v>چه تکنیک هایی برای ایجاد نسخه متقاعد کننده برای نمودارها و جداول مقایسه محصولات تجارت الکترونیک برای کمک به مشتریان در تصمیم گیری آگاهانه وجود دارد.</v>
      </c>
      <c r="H11367" s="1"/>
      <c r="I11367" s="1"/>
      <c r="J11367" s="1"/>
      <c r="K11367" s="1"/>
      <c r="L11367" s="1"/>
      <c r="M11367" s="1"/>
      <c r="N11367" s="1"/>
      <c r="O11367" s="1"/>
      <c r="P11367" s="1"/>
      <c r="Q11367" s="1"/>
      <c r="R11367" s="1"/>
      <c r="S11367" s="1"/>
      <c r="T11367" s="1"/>
      <c r="U11367" s="1"/>
      <c r="V11367" s="1"/>
      <c r="W11367" s="1"/>
      <c r="X11367" s="1"/>
      <c r="Y11367" s="1"/>
      <c r="Z11367" s="1"/>
      <c r="AA11367" s="1"/>
      <c r="AB11367" s="1"/>
    </row>
    <row r="11368" ht="50.25" customHeight="1">
      <c r="A11368" s="12">
        <v>11364.0</v>
      </c>
      <c r="B11368" s="13" t="s">
        <v>10535</v>
      </c>
      <c r="C11368" s="14" t="s">
        <v>11396</v>
      </c>
      <c r="D11368" s="1"/>
      <c r="E11368" s="1"/>
      <c r="F11368" s="1" t="str">
        <f>IFERROR(__xludf.DUMMYFUNCTION("GOOGLETRANSLATE(B11368, ""en"", ""fa"")
"),"کپی رایتینگ II")</f>
        <v>کپی رایتینگ II</v>
      </c>
      <c r="G11368" s="1" t="str">
        <f>IFERROR(__xludf.DUMMYFUNCTION("GOOGLETRANSLATE(C11368, ""en"", ""fa"")
"),"چگونه کپی تجارت الکترونیک خود را برای دستیارهای صوتی و دستگاه های هوشمند بهینه کنید تا روند رو به رشد خریدهای فعال سازی صوتی را برآورده کند.")</f>
        <v>چگونه کپی تجارت الکترونیک خود را برای دستیارهای صوتی و دستگاه های هوشمند بهینه کنید تا روند رو به رشد خریدهای فعال سازی صوتی را برآورده کند.</v>
      </c>
      <c r="H11368" s="1"/>
      <c r="I11368" s="1"/>
      <c r="J11368" s="1"/>
      <c r="K11368" s="1"/>
      <c r="L11368" s="1"/>
      <c r="M11368" s="1"/>
      <c r="N11368" s="1"/>
      <c r="O11368" s="1"/>
      <c r="P11368" s="1"/>
      <c r="Q11368" s="1"/>
      <c r="R11368" s="1"/>
      <c r="S11368" s="1"/>
      <c r="T11368" s="1"/>
      <c r="U11368" s="1"/>
      <c r="V11368" s="1"/>
      <c r="W11368" s="1"/>
      <c r="X11368" s="1"/>
      <c r="Y11368" s="1"/>
      <c r="Z11368" s="1"/>
      <c r="AA11368" s="1"/>
      <c r="AB11368" s="1"/>
    </row>
    <row r="11369" ht="50.25" customHeight="1">
      <c r="A11369" s="12">
        <v>11365.0</v>
      </c>
      <c r="B11369" s="13" t="s">
        <v>10535</v>
      </c>
      <c r="C11369" s="14" t="s">
        <v>11397</v>
      </c>
      <c r="D11369" s="1"/>
      <c r="E11369" s="1"/>
      <c r="F11369" s="1" t="str">
        <f>IFERROR(__xludf.DUMMYFUNCTION("GOOGLETRANSLATE(B11369, ""en"", ""fa"")
"),"کپی رایتینگ II")</f>
        <v>کپی رایتینگ II</v>
      </c>
      <c r="G11369" s="1" t="str">
        <f>IFERROR(__xludf.DUMMYFUNCTION("GOOGLETRANSLATE(C11369, ""en"", ""fa"")
"),"در مورد بهترین شیوه ها برای نوشتن نسخه متقاعد کننده برای توصیفات مشتری تجارت الکترونیک و داستان های موفقیت برای ایجاد اعتماد و اثبات اجتماعی بحث کنید.")</f>
        <v>در مورد بهترین شیوه ها برای نوشتن نسخه متقاعد کننده برای توصیفات مشتری تجارت الکترونیک و داستان های موفقیت برای ایجاد اعتماد و اثبات اجتماعی بحث کنید.</v>
      </c>
      <c r="H11369" s="1"/>
      <c r="I11369" s="1"/>
      <c r="J11369" s="1"/>
      <c r="K11369" s="1"/>
      <c r="L11369" s="1"/>
      <c r="M11369" s="1"/>
      <c r="N11369" s="1"/>
      <c r="O11369" s="1"/>
      <c r="P11369" s="1"/>
      <c r="Q11369" s="1"/>
      <c r="R11369" s="1"/>
      <c r="S11369" s="1"/>
      <c r="T11369" s="1"/>
      <c r="U11369" s="1"/>
      <c r="V11369" s="1"/>
      <c r="W11369" s="1"/>
      <c r="X11369" s="1"/>
      <c r="Y11369" s="1"/>
      <c r="Z11369" s="1"/>
      <c r="AA11369" s="1"/>
      <c r="AB11369" s="1"/>
    </row>
    <row r="11370" ht="50.25" customHeight="1">
      <c r="A11370" s="12">
        <v>11366.0</v>
      </c>
      <c r="B11370" s="13" t="s">
        <v>10535</v>
      </c>
      <c r="C11370" s="14" t="s">
        <v>11398</v>
      </c>
      <c r="D11370" s="1"/>
      <c r="E11370" s="1"/>
      <c r="F11370" s="1" t="str">
        <f>IFERROR(__xludf.DUMMYFUNCTION("GOOGLETRANSLATE(B11370, ""en"", ""fa"")
"),"کپی رایتینگ II")</f>
        <v>کپی رایتینگ II</v>
      </c>
      <c r="G11370" s="1" t="str">
        <f>IFERROR(__xludf.DUMMYFUNCTION("GOOGLETRANSLATE(C11370, ""en"", ""fa"")
"),"برای نمایش ویژگی‌های محصول و سناریوهای استفاده، استراتژی‌های ایجاد کپی متقاعدکننده برای ویدیوها و دموهای محصولات تجارت الکترونیک را بررسی کنید.")</f>
        <v>برای نمایش ویژگی‌های محصول و سناریوهای استفاده، استراتژی‌های ایجاد کپی متقاعدکننده برای ویدیوها و دموهای محصولات تجارت الکترونیک را بررسی کنید.</v>
      </c>
      <c r="H11370" s="1"/>
      <c r="I11370" s="1"/>
      <c r="J11370" s="1"/>
      <c r="K11370" s="1"/>
      <c r="L11370" s="1"/>
      <c r="M11370" s="1"/>
      <c r="N11370" s="1"/>
      <c r="O11370" s="1"/>
      <c r="P11370" s="1"/>
      <c r="Q11370" s="1"/>
      <c r="R11370" s="1"/>
      <c r="S11370" s="1"/>
      <c r="T11370" s="1"/>
      <c r="U11370" s="1"/>
      <c r="V11370" s="1"/>
      <c r="W11370" s="1"/>
      <c r="X11370" s="1"/>
      <c r="Y11370" s="1"/>
      <c r="Z11370" s="1"/>
      <c r="AA11370" s="1"/>
      <c r="AB11370" s="1"/>
    </row>
    <row r="11371" ht="50.25" customHeight="1">
      <c r="A11371" s="12">
        <v>11367.0</v>
      </c>
      <c r="B11371" s="13" t="s">
        <v>10535</v>
      </c>
      <c r="C11371" s="14" t="s">
        <v>11399</v>
      </c>
      <c r="D11371" s="1"/>
      <c r="E11371" s="1"/>
      <c r="F11371" s="1" t="str">
        <f>IFERROR(__xludf.DUMMYFUNCTION("GOOGLETRANSLATE(B11371, ""en"", ""fa"")
"),"کپی رایتینگ II")</f>
        <v>کپی رایتینگ II</v>
      </c>
      <c r="G11371" s="1" t="str">
        <f>IFERROR(__xludf.DUMMYFUNCTION("GOOGLETRANSLATE(C11371, ""en"", ""fa"")
"),"هنگام نوشتن نسخه متقاعد کننده برای چت ربات های پشتیبانی مشتری و دستیاران مجازی برای ارائه کمک فوری و حل و فصل سوالات، چه عناصر کلیدی را باید در نظر بگیرید.")</f>
        <v>هنگام نوشتن نسخه متقاعد کننده برای چت ربات های پشتیبانی مشتری و دستیاران مجازی برای ارائه کمک فوری و حل و فصل سوالات، چه عناصر کلیدی را باید در نظر بگیرید.</v>
      </c>
      <c r="H11371" s="1"/>
      <c r="I11371" s="1"/>
      <c r="J11371" s="1"/>
      <c r="K11371" s="1"/>
      <c r="L11371" s="1"/>
      <c r="M11371" s="1"/>
      <c r="N11371" s="1"/>
      <c r="O11371" s="1"/>
      <c r="P11371" s="1"/>
      <c r="Q11371" s="1"/>
      <c r="R11371" s="1"/>
      <c r="S11371" s="1"/>
      <c r="T11371" s="1"/>
      <c r="U11371" s="1"/>
      <c r="V11371" s="1"/>
      <c r="W11371" s="1"/>
      <c r="X11371" s="1"/>
      <c r="Y11371" s="1"/>
      <c r="Z11371" s="1"/>
      <c r="AA11371" s="1"/>
      <c r="AB11371" s="1"/>
    </row>
    <row r="11372" ht="50.25" customHeight="1">
      <c r="A11372" s="12">
        <v>11368.0</v>
      </c>
      <c r="B11372" s="13" t="s">
        <v>10535</v>
      </c>
      <c r="C11372" s="14" t="s">
        <v>11400</v>
      </c>
      <c r="D11372" s="1"/>
      <c r="E11372" s="1"/>
      <c r="F11372" s="1" t="str">
        <f>IFERROR(__xludf.DUMMYFUNCTION("GOOGLETRANSLATE(B11372, ""en"", ""fa"")
"),"کپی رایتینگ II")</f>
        <v>کپی رایتینگ II</v>
      </c>
      <c r="G11372" s="1" t="str">
        <f>IFERROR(__xludf.DUMMYFUNCTION("GOOGLETRANSLATE(C11372, ""en"", ""fa"")
"),"چگونه برای تشویق مشارکت و مشارکت مشتری، یک نسخه قانع کننده برای صفحه ثبت نام برنامه وفاداری تجارت الکترونیک خود ایجاد کنید.")</f>
        <v>چگونه برای تشویق مشارکت و مشارکت مشتری، یک نسخه قانع کننده برای صفحه ثبت نام برنامه وفاداری تجارت الکترونیک خود ایجاد کنید.</v>
      </c>
      <c r="H11372" s="1"/>
      <c r="I11372" s="1"/>
      <c r="J11372" s="1"/>
      <c r="K11372" s="1"/>
      <c r="L11372" s="1"/>
      <c r="M11372" s="1"/>
      <c r="N11372" s="1"/>
      <c r="O11372" s="1"/>
      <c r="P11372" s="1"/>
      <c r="Q11372" s="1"/>
      <c r="R11372" s="1"/>
      <c r="S11372" s="1"/>
      <c r="T11372" s="1"/>
      <c r="U11372" s="1"/>
      <c r="V11372" s="1"/>
      <c r="W11372" s="1"/>
      <c r="X11372" s="1"/>
      <c r="Y11372" s="1"/>
      <c r="Z11372" s="1"/>
      <c r="AA11372" s="1"/>
      <c r="AB11372" s="1"/>
    </row>
    <row r="11373" ht="50.25" customHeight="1">
      <c r="A11373" s="12">
        <v>11369.0</v>
      </c>
      <c r="B11373" s="13" t="s">
        <v>10535</v>
      </c>
      <c r="C11373" s="14" t="s">
        <v>11401</v>
      </c>
      <c r="D11373" s="1"/>
      <c r="E11373" s="1"/>
      <c r="F11373" s="1" t="str">
        <f>IFERROR(__xludf.DUMMYFUNCTION("GOOGLETRANSLATE(B11373, ""en"", ""fa"")
"),"کپی رایتینگ II")</f>
        <v>کپی رایتینگ II</v>
      </c>
      <c r="G11373" s="1" t="str">
        <f>IFERROR(__xludf.DUMMYFUNCTION("GOOGLETRANSLATE(C11373, ""en"", ""fa"")
"),"در مورد تکنیک‌های نوشتن کپی متقاعدکننده برای درج‌های بسته‌بندی محصول تجارت الکترونیک و کارت‌های تشکر برای افزایش تجربه جعبه‌گشایی و تقویت وفاداری مشتری بحث کنید.")</f>
        <v>در مورد تکنیک‌های نوشتن کپی متقاعدکننده برای درج‌های بسته‌بندی محصول تجارت الکترونیک و کارت‌های تشکر برای افزایش تجربه جعبه‌گشایی و تقویت وفاداری مشتری بحث کنید.</v>
      </c>
      <c r="H11373" s="1"/>
      <c r="I11373" s="1"/>
      <c r="J11373" s="1"/>
      <c r="K11373" s="1"/>
      <c r="L11373" s="1"/>
      <c r="M11373" s="1"/>
      <c r="N11373" s="1"/>
      <c r="O11373" s="1"/>
      <c r="P11373" s="1"/>
      <c r="Q11373" s="1"/>
      <c r="R11373" s="1"/>
      <c r="S11373" s="1"/>
      <c r="T11373" s="1"/>
      <c r="U11373" s="1"/>
      <c r="V11373" s="1"/>
      <c r="W11373" s="1"/>
      <c r="X11373" s="1"/>
      <c r="Y11373" s="1"/>
      <c r="Z11373" s="1"/>
      <c r="AA11373" s="1"/>
      <c r="AB11373" s="1"/>
    </row>
    <row r="11374" ht="50.25" customHeight="1">
      <c r="A11374" s="12">
        <v>11370.0</v>
      </c>
      <c r="B11374" s="13" t="s">
        <v>10535</v>
      </c>
      <c r="C11374" s="14" t="s">
        <v>11402</v>
      </c>
      <c r="D11374" s="1"/>
      <c r="E11374" s="1"/>
      <c r="F11374" s="1" t="str">
        <f>IFERROR(__xludf.DUMMYFUNCTION("GOOGLETRANSLATE(B11374, ""en"", ""fa"")
"),"کپی رایتینگ II")</f>
        <v>کپی رایتینگ II</v>
      </c>
      <c r="G11374" s="1" t="str">
        <f>IFERROR(__xludf.DUMMYFUNCTION("GOOGLETRANSLATE(C11374, ""en"", ""fa"")
"),"استراتژی‌های بهینه‌سازی نسخه تجارت الکترونیک خود را برای جستجوی محلی برای جذب مشتریان از مناطق جغرافیایی خاص و هدایت ترافیک به فروشگاه‌های فیزیکی بررسی کنید.")</f>
        <v>استراتژی‌های بهینه‌سازی نسخه تجارت الکترونیک خود را برای جستجوی محلی برای جذب مشتریان از مناطق جغرافیایی خاص و هدایت ترافیک به فروشگاه‌های فیزیکی بررسی کنید.</v>
      </c>
      <c r="H11374" s="1"/>
      <c r="I11374" s="1"/>
      <c r="J11374" s="1"/>
      <c r="K11374" s="1"/>
      <c r="L11374" s="1"/>
      <c r="M11374" s="1"/>
      <c r="N11374" s="1"/>
      <c r="O11374" s="1"/>
      <c r="P11374" s="1"/>
      <c r="Q11374" s="1"/>
      <c r="R11374" s="1"/>
      <c r="S11374" s="1"/>
      <c r="T11374" s="1"/>
      <c r="U11374" s="1"/>
      <c r="V11374" s="1"/>
      <c r="W11374" s="1"/>
      <c r="X11374" s="1"/>
      <c r="Y11374" s="1"/>
      <c r="Z11374" s="1"/>
      <c r="AA11374" s="1"/>
      <c r="AB11374" s="1"/>
    </row>
    <row r="11375" ht="50.25" customHeight="1">
      <c r="A11375" s="12">
        <v>11371.0</v>
      </c>
      <c r="B11375" s="13" t="s">
        <v>10535</v>
      </c>
      <c r="C11375" s="14" t="s">
        <v>11403</v>
      </c>
      <c r="D11375" s="1"/>
      <c r="E11375" s="1"/>
      <c r="F11375" s="1" t="str">
        <f>IFERROR(__xludf.DUMMYFUNCTION("GOOGLETRANSLATE(B11375, ""en"", ""fa"")
"),"کپی رایتینگ II")</f>
        <v>کپی رایتینگ II</v>
      </c>
      <c r="G11375" s="1" t="str">
        <f>IFERROR(__xludf.DUMMYFUNCTION("GOOGLETRANSLATE(C11375, ""en"", ""fa"")
"),"بهترین روش‌ها برای نوشتن نسخه متقاعدکننده برای کمپین‌های محتوای تولید شده توسط کاربر (UGC) تجارت الکترونیک و توصیفات مشتری برای تعامل و تأثیرگذاری بر مشتریان بالقوه چیست؟")</f>
        <v>بهترین روش‌ها برای نوشتن نسخه متقاعدکننده برای کمپین‌های محتوای تولید شده توسط کاربر (UGC) تجارت الکترونیک و توصیفات مشتری برای تعامل و تأثیرگذاری بر مشتریان بالقوه چیست؟</v>
      </c>
      <c r="H11375" s="1"/>
      <c r="I11375" s="1"/>
      <c r="J11375" s="1"/>
      <c r="K11375" s="1"/>
      <c r="L11375" s="1"/>
      <c r="M11375" s="1"/>
      <c r="N11375" s="1"/>
      <c r="O11375" s="1"/>
      <c r="P11375" s="1"/>
      <c r="Q11375" s="1"/>
      <c r="R11375" s="1"/>
      <c r="S11375" s="1"/>
      <c r="T11375" s="1"/>
      <c r="U11375" s="1"/>
      <c r="V11375" s="1"/>
      <c r="W11375" s="1"/>
      <c r="X11375" s="1"/>
      <c r="Y11375" s="1"/>
      <c r="Z11375" s="1"/>
      <c r="AA11375" s="1"/>
      <c r="AB11375" s="1"/>
    </row>
    <row r="11376" ht="50.25" customHeight="1">
      <c r="A11376" s="12">
        <v>11372.0</v>
      </c>
      <c r="B11376" s="13" t="s">
        <v>10535</v>
      </c>
      <c r="C11376" s="14" t="s">
        <v>11404</v>
      </c>
      <c r="D11376" s="1"/>
      <c r="E11376" s="1"/>
      <c r="F11376" s="1" t="str">
        <f>IFERROR(__xludf.DUMMYFUNCTION("GOOGLETRANSLATE(B11376, ""en"", ""fa"")
"),"کپی رایتینگ II")</f>
        <v>کپی رایتینگ II</v>
      </c>
      <c r="G11376" s="1" t="str">
        <f>IFERROR(__xludf.DUMMYFUNCTION("GOOGLETRANSLATE(C11376, ""en"", ""fa"")
"),"چگونه کپی تجارت الکترونیک خود را برای انواع دستگاه‌های مختلف مانند گوشی‌های هوشمند، تبلت‌ها و رایانه‌های رومیزی تنظیم کنید تا یک تجربه خرید یکپارچه و بهینه ارائه کنید.")</f>
        <v>چگونه کپی تجارت الکترونیک خود را برای انواع دستگاه‌های مختلف مانند گوشی‌های هوشمند، تبلت‌ها و رایانه‌های رومیزی تنظیم کنید تا یک تجربه خرید یکپارچه و بهینه ارائه کنید.</v>
      </c>
      <c r="H11376" s="1"/>
      <c r="I11376" s="1"/>
      <c r="J11376" s="1"/>
      <c r="K11376" s="1"/>
      <c r="L11376" s="1"/>
      <c r="M11376" s="1"/>
      <c r="N11376" s="1"/>
      <c r="O11376" s="1"/>
      <c r="P11376" s="1"/>
      <c r="Q11376" s="1"/>
      <c r="R11376" s="1"/>
      <c r="S11376" s="1"/>
      <c r="T11376" s="1"/>
      <c r="U11376" s="1"/>
      <c r="V11376" s="1"/>
      <c r="W11376" s="1"/>
      <c r="X11376" s="1"/>
      <c r="Y11376" s="1"/>
      <c r="Z11376" s="1"/>
      <c r="AA11376" s="1"/>
      <c r="AB11376" s="1"/>
    </row>
    <row r="11377" ht="50.25" customHeight="1">
      <c r="A11377" s="12">
        <v>11373.0</v>
      </c>
      <c r="B11377" s="13" t="s">
        <v>10535</v>
      </c>
      <c r="C11377" s="14" t="s">
        <v>11405</v>
      </c>
      <c r="D11377" s="1"/>
      <c r="E11377" s="1"/>
      <c r="F11377" s="1" t="str">
        <f>IFERROR(__xludf.DUMMYFUNCTION("GOOGLETRANSLATE(B11377, ""en"", ""fa"")
"),"کپی رایتینگ II")</f>
        <v>کپی رایتینگ II</v>
      </c>
      <c r="G11377" s="1" t="str">
        <f>IFERROR(__xludf.DUMMYFUNCTION("GOOGLETRANSLATE(C11377, ""en"", ""fa"")
"),"در مورد عناصر کلیدی کپی متقاعد کننده برای رتبه بندی محصولات تجارت الکترونیک و سیستم های بررسی برای تشویق بازخورد مشتری و افزایش اعتبار محصول بحث کنید.")</f>
        <v>در مورد عناصر کلیدی کپی متقاعد کننده برای رتبه بندی محصولات تجارت الکترونیک و سیستم های بررسی برای تشویق بازخورد مشتری و افزایش اعتبار محصول بحث کنید.</v>
      </c>
      <c r="H11377" s="1"/>
      <c r="I11377" s="1"/>
      <c r="J11377" s="1"/>
      <c r="K11377" s="1"/>
      <c r="L11377" s="1"/>
      <c r="M11377" s="1"/>
      <c r="N11377" s="1"/>
      <c r="O11377" s="1"/>
      <c r="P11377" s="1"/>
      <c r="Q11377" s="1"/>
      <c r="R11377" s="1"/>
      <c r="S11377" s="1"/>
      <c r="T11377" s="1"/>
      <c r="U11377" s="1"/>
      <c r="V11377" s="1"/>
      <c r="W11377" s="1"/>
      <c r="X11377" s="1"/>
      <c r="Y11377" s="1"/>
      <c r="Z11377" s="1"/>
      <c r="AA11377" s="1"/>
      <c r="AB11377" s="1"/>
    </row>
    <row r="11378" ht="50.25" customHeight="1">
      <c r="A11378" s="12">
        <v>11374.0</v>
      </c>
      <c r="B11378" s="13" t="s">
        <v>10535</v>
      </c>
      <c r="C11378" s="14" t="s">
        <v>11406</v>
      </c>
      <c r="D11378" s="1"/>
      <c r="E11378" s="1"/>
      <c r="F11378" s="1" t="str">
        <f>IFERROR(__xludf.DUMMYFUNCTION("GOOGLETRANSLATE(B11378, ""en"", ""fa"")
"),"کپی رایتینگ II")</f>
        <v>کپی رایتینگ II</v>
      </c>
      <c r="G11378" s="1" t="str">
        <f>IFERROR(__xludf.DUMMYFUNCTION("GOOGLETRANSLATE(C11378, ""en"", ""fa"")
"),"استراتژی‌های نوشتن نسخه متقاعدکننده برای خدمات جعبه اشتراک تجارت الکترونیک را کاوش کنید و ارزش و شگفتی محصولات انتخاب شده را برجسته کنید.")</f>
        <v>استراتژی‌های نوشتن نسخه متقاعدکننده برای خدمات جعبه اشتراک تجارت الکترونیک را کاوش کنید و ارزش و شگفتی محصولات انتخاب شده را برجسته کنید.</v>
      </c>
      <c r="H11378" s="1"/>
      <c r="I11378" s="1"/>
      <c r="J11378" s="1"/>
      <c r="K11378" s="1"/>
      <c r="L11378" s="1"/>
      <c r="M11378" s="1"/>
      <c r="N11378" s="1"/>
      <c r="O11378" s="1"/>
      <c r="P11378" s="1"/>
      <c r="Q11378" s="1"/>
      <c r="R11378" s="1"/>
      <c r="S11378" s="1"/>
      <c r="T11378" s="1"/>
      <c r="U11378" s="1"/>
      <c r="V11378" s="1"/>
      <c r="W11378" s="1"/>
      <c r="X11378" s="1"/>
      <c r="Y11378" s="1"/>
      <c r="Z11378" s="1"/>
      <c r="AA11378" s="1"/>
      <c r="AB11378" s="1"/>
    </row>
    <row r="11379" ht="50.25" customHeight="1">
      <c r="A11379" s="12">
        <v>11375.0</v>
      </c>
      <c r="B11379" s="13" t="s">
        <v>10535</v>
      </c>
      <c r="C11379" s="14" t="s">
        <v>11407</v>
      </c>
      <c r="D11379" s="1"/>
      <c r="E11379" s="1"/>
      <c r="F11379" s="1" t="str">
        <f>IFERROR(__xludf.DUMMYFUNCTION("GOOGLETRANSLATE(B11379, ""en"", ""fa"")
"),"کپی رایتینگ II")</f>
        <v>کپی رایتینگ II</v>
      </c>
      <c r="G11379" s="1" t="str">
        <f>IFERROR(__xludf.DUMMYFUNCTION("GOOGLETRANSLATE(C11379, ""en"", ""fa"")
"),"تکنیک‌های ایجاد نسخه متقاعدکننده برای پشتیبانی چت زنده تجارت الکترونیک، رسیدگی به سؤالات مشتری و ارائه کمک در زمان واقعی چیست؟")</f>
        <v>تکنیک‌های ایجاد نسخه متقاعدکننده برای پشتیبانی چت زنده تجارت الکترونیک، رسیدگی به سؤالات مشتری و ارائه کمک در زمان واقعی چیست؟</v>
      </c>
      <c r="H11379" s="1"/>
      <c r="I11379" s="1"/>
      <c r="J11379" s="1"/>
      <c r="K11379" s="1"/>
      <c r="L11379" s="1"/>
      <c r="M11379" s="1"/>
      <c r="N11379" s="1"/>
      <c r="O11379" s="1"/>
      <c r="P11379" s="1"/>
      <c r="Q11379" s="1"/>
      <c r="R11379" s="1"/>
      <c r="S11379" s="1"/>
      <c r="T11379" s="1"/>
      <c r="U11379" s="1"/>
      <c r="V11379" s="1"/>
      <c r="W11379" s="1"/>
      <c r="X11379" s="1"/>
      <c r="Y11379" s="1"/>
      <c r="Z11379" s="1"/>
      <c r="AA11379" s="1"/>
      <c r="AB11379" s="1"/>
    </row>
    <row r="11380" ht="50.25" customHeight="1">
      <c r="A11380" s="12">
        <v>11376.0</v>
      </c>
      <c r="B11380" s="13" t="s">
        <v>10535</v>
      </c>
      <c r="C11380" s="14" t="s">
        <v>11408</v>
      </c>
      <c r="D11380" s="1"/>
      <c r="E11380" s="1"/>
      <c r="F11380" s="1" t="str">
        <f>IFERROR(__xludf.DUMMYFUNCTION("GOOGLETRANSLATE(B11380, ""en"", ""fa"")
"),"کپی رایتینگ II")</f>
        <v>کپی رایتینگ II</v>
      </c>
      <c r="G11380" s="1" t="str">
        <f>IFERROR(__xludf.DUMMYFUNCTION("GOOGLETRANSLATE(C11380, ""en"", ""fa"")
"),"چگونه کپی تجارت الکترونیک خود را برای به اشتراک گذاری رسانه های اجتماعی و ویروسی شدن بهینه کنید، مشتریان را تشویق کنید تا خریدها و تجربیات مثبت خود را به اشتراک بگذارند.")</f>
        <v>چگونه کپی تجارت الکترونیک خود را برای به اشتراک گذاری رسانه های اجتماعی و ویروسی شدن بهینه کنید، مشتریان را تشویق کنید تا خریدها و تجربیات مثبت خود را به اشتراک بگذارند.</v>
      </c>
      <c r="H11380" s="1"/>
      <c r="I11380" s="1"/>
      <c r="J11380" s="1"/>
      <c r="K11380" s="1"/>
      <c r="L11380" s="1"/>
      <c r="M11380" s="1"/>
      <c r="N11380" s="1"/>
      <c r="O11380" s="1"/>
      <c r="P11380" s="1"/>
      <c r="Q11380" s="1"/>
      <c r="R11380" s="1"/>
      <c r="S11380" s="1"/>
      <c r="T11380" s="1"/>
      <c r="U11380" s="1"/>
      <c r="V11380" s="1"/>
      <c r="W11380" s="1"/>
      <c r="X11380" s="1"/>
      <c r="Y11380" s="1"/>
      <c r="Z11380" s="1"/>
      <c r="AA11380" s="1"/>
      <c r="AB11380" s="1"/>
    </row>
    <row r="11381" ht="50.25" customHeight="1">
      <c r="A11381" s="12">
        <v>11377.0</v>
      </c>
      <c r="B11381" s="13" t="s">
        <v>10535</v>
      </c>
      <c r="C11381" s="14" t="s">
        <v>11409</v>
      </c>
      <c r="D11381" s="1"/>
      <c r="E11381" s="1"/>
      <c r="F11381" s="1" t="str">
        <f>IFERROR(__xludf.DUMMYFUNCTION("GOOGLETRANSLATE(B11381, ""en"", ""fa"")
"),"کپی رایتینگ II")</f>
        <v>کپی رایتینگ II</v>
      </c>
      <c r="G11381" s="1" t="str">
        <f>IFERROR(__xludf.DUMMYFUNCTION("GOOGLETRANSLATE(C11381, ""en"", ""fa"")
"),"در مورد بهترین شیوه ها برای نوشتن نسخه متقاعدکننده برای توصیه های محصول شخصی سازی شده تجارت الکترونیک بر اساس مرور مشتری و سابقه خرید بحث کنید.")</f>
        <v>در مورد بهترین شیوه ها برای نوشتن نسخه متقاعدکننده برای توصیه های محصول شخصی سازی شده تجارت الکترونیک بر اساس مرور مشتری و سابقه خرید بحث کنید.</v>
      </c>
      <c r="H11381" s="1"/>
      <c r="I11381" s="1"/>
      <c r="J11381" s="1"/>
      <c r="K11381" s="1"/>
      <c r="L11381" s="1"/>
      <c r="M11381" s="1"/>
      <c r="N11381" s="1"/>
      <c r="O11381" s="1"/>
      <c r="P11381" s="1"/>
      <c r="Q11381" s="1"/>
      <c r="R11381" s="1"/>
      <c r="S11381" s="1"/>
      <c r="T11381" s="1"/>
      <c r="U11381" s="1"/>
      <c r="V11381" s="1"/>
      <c r="W11381" s="1"/>
      <c r="X11381" s="1"/>
      <c r="Y11381" s="1"/>
      <c r="Z11381" s="1"/>
      <c r="AA11381" s="1"/>
      <c r="AB11381" s="1"/>
    </row>
    <row r="11382" ht="50.25" customHeight="1">
      <c r="A11382" s="12">
        <v>11378.0</v>
      </c>
      <c r="B11382" s="13" t="s">
        <v>10535</v>
      </c>
      <c r="C11382" s="14" t="s">
        <v>11410</v>
      </c>
      <c r="D11382" s="1"/>
      <c r="E11382" s="1"/>
      <c r="F11382" s="1" t="str">
        <f>IFERROR(__xludf.DUMMYFUNCTION("GOOGLETRANSLATE(B11382, ""en"", ""fa"")
"),"کپی رایتینگ II")</f>
        <v>کپی رایتینگ II</v>
      </c>
      <c r="G11382" s="1" t="str">
        <f>IFERROR(__xludf.DUMMYFUNCTION("GOOGLETRANSLATE(C11382, ""en"", ""fa"")
"),"استراتژی‌های ایجاد نسخه متقاعدکننده برای سیاست‌های ضمانت و بازگشت محصول تجارت الکترونیک، القای اطمینان و تسهیل تصمیم‌گیری‌های خرید را بررسی کنید.")</f>
        <v>استراتژی‌های ایجاد نسخه متقاعدکننده برای سیاست‌های ضمانت و بازگشت محصول تجارت الکترونیک، القای اطمینان و تسهیل تصمیم‌گیری‌های خرید را بررسی کنید.</v>
      </c>
      <c r="H11382" s="1"/>
      <c r="I11382" s="1"/>
      <c r="J11382" s="1"/>
      <c r="K11382" s="1"/>
      <c r="L11382" s="1"/>
      <c r="M11382" s="1"/>
      <c r="N11382" s="1"/>
      <c r="O11382" s="1"/>
      <c r="P11382" s="1"/>
      <c r="Q11382" s="1"/>
      <c r="R11382" s="1"/>
      <c r="S11382" s="1"/>
      <c r="T11382" s="1"/>
      <c r="U11382" s="1"/>
      <c r="V11382" s="1"/>
      <c r="W11382" s="1"/>
      <c r="X11382" s="1"/>
      <c r="Y11382" s="1"/>
      <c r="Z11382" s="1"/>
      <c r="AA11382" s="1"/>
      <c r="AB11382" s="1"/>
    </row>
    <row r="11383" ht="50.25" customHeight="1">
      <c r="A11383" s="12">
        <v>11379.0</v>
      </c>
      <c r="B11383" s="13" t="s">
        <v>10535</v>
      </c>
      <c r="C11383" s="14" t="s">
        <v>11411</v>
      </c>
      <c r="D11383" s="1"/>
      <c r="E11383" s="1"/>
      <c r="F11383" s="1" t="str">
        <f>IFERROR(__xludf.DUMMYFUNCTION("GOOGLETRANSLATE(B11383, ""en"", ""fa"")
"),"کپی رایتینگ II")</f>
        <v>کپی رایتینگ II</v>
      </c>
      <c r="G11383" s="1" t="str">
        <f>IFERROR(__xludf.DUMMYFUNCTION("GOOGLETRANSLATE(C11383, ""en"", ""fa"")
"),"هنگام نوشتن کپی متقاعدکننده برای ایمیل‌های سبد خرید رها شده در تجارت الکترونیک، ارائه مشوق‌ها و یادآوری‌ها برای تکمیل خرید، چه عناصر کلیدی باید در نظر گرفته شود.")</f>
        <v>هنگام نوشتن کپی متقاعدکننده برای ایمیل‌های سبد خرید رها شده در تجارت الکترونیک، ارائه مشوق‌ها و یادآوری‌ها برای تکمیل خرید، چه عناصر کلیدی باید در نظر گرفته شود.</v>
      </c>
      <c r="H11383" s="1"/>
      <c r="I11383" s="1"/>
      <c r="J11383" s="1"/>
      <c r="K11383" s="1"/>
      <c r="L11383" s="1"/>
      <c r="M11383" s="1"/>
      <c r="N11383" s="1"/>
      <c r="O11383" s="1"/>
      <c r="P11383" s="1"/>
      <c r="Q11383" s="1"/>
      <c r="R11383" s="1"/>
      <c r="S11383" s="1"/>
      <c r="T11383" s="1"/>
      <c r="U11383" s="1"/>
      <c r="V11383" s="1"/>
      <c r="W11383" s="1"/>
      <c r="X11383" s="1"/>
      <c r="Y11383" s="1"/>
      <c r="Z11383" s="1"/>
      <c r="AA11383" s="1"/>
      <c r="AB11383" s="1"/>
    </row>
    <row r="11384" ht="50.25" customHeight="1">
      <c r="A11384" s="12">
        <v>11380.0</v>
      </c>
      <c r="B11384" s="13" t="s">
        <v>10535</v>
      </c>
      <c r="C11384" s="14" t="s">
        <v>11412</v>
      </c>
      <c r="D11384" s="1"/>
      <c r="E11384" s="1"/>
      <c r="F11384" s="1" t="str">
        <f>IFERROR(__xludf.DUMMYFUNCTION("GOOGLETRANSLATE(B11384, ""en"", ""fa"")
"),"کپی رایتینگ II")</f>
        <v>کپی رایتینگ II</v>
      </c>
      <c r="G11384" s="1" t="str">
        <f>IFERROR(__xludf.DUMMYFUNCTION("GOOGLETRANSLATE(C11384, ""en"", ""fa"")
"),"نحوه ایجاد یک کپی قانع کننده برای صفحات ""به زودی"" محصول تجارت الکترونیک خود، ایجاد پیش بینی و جمع آوری اطلاعات مشتری برای نسخه های بعدی.")</f>
        <v>نحوه ایجاد یک کپی قانع کننده برای صفحات "به زودی" محصول تجارت الکترونیک خود، ایجاد پیش بینی و جمع آوری اطلاعات مشتری برای نسخه های بعدی.</v>
      </c>
      <c r="H11384" s="1"/>
      <c r="I11384" s="1"/>
      <c r="J11384" s="1"/>
      <c r="K11384" s="1"/>
      <c r="L11384" s="1"/>
      <c r="M11384" s="1"/>
      <c r="N11384" s="1"/>
      <c r="O11384" s="1"/>
      <c r="P11384" s="1"/>
      <c r="Q11384" s="1"/>
      <c r="R11384" s="1"/>
      <c r="S11384" s="1"/>
      <c r="T11384" s="1"/>
      <c r="U11384" s="1"/>
      <c r="V11384" s="1"/>
      <c r="W11384" s="1"/>
      <c r="X11384" s="1"/>
      <c r="Y11384" s="1"/>
      <c r="Z11384" s="1"/>
      <c r="AA11384" s="1"/>
      <c r="AB11384" s="1"/>
    </row>
    <row r="11385" ht="50.25" customHeight="1">
      <c r="A11385" s="12">
        <v>11381.0</v>
      </c>
      <c r="B11385" s="13" t="s">
        <v>10535</v>
      </c>
      <c r="C11385" s="14" t="s">
        <v>11413</v>
      </c>
      <c r="D11385" s="1"/>
      <c r="E11385" s="1"/>
      <c r="F11385" s="1" t="str">
        <f>IFERROR(__xludf.DUMMYFUNCTION("GOOGLETRANSLATE(B11385, ""en"", ""fa"")
"),"کپی رایتینگ II")</f>
        <v>کپی رایتینگ II</v>
      </c>
      <c r="G11385" s="1" t="str">
        <f>IFERROR(__xludf.DUMMYFUNCTION("GOOGLETRANSLATE(C11385, ""en"", ""fa"")
"),"در مورد تکنیک‌های نوشتن کپی متقاعدکننده برای گزینه‌های شخصی‌سازی و سفارشی‌سازی محصول تجارت الکترونیک بحث کنید، که به مشتریان اجازه می‌دهد محصولات منحصربه‌فرد و متناسب ایجاد کنند.")</f>
        <v>در مورد تکنیک‌های نوشتن کپی متقاعدکننده برای گزینه‌های شخصی‌سازی و سفارشی‌سازی محصول تجارت الکترونیک بحث کنید، که به مشتریان اجازه می‌دهد محصولات منحصربه‌فرد و متناسب ایجاد کنند.</v>
      </c>
      <c r="H11385" s="1"/>
      <c r="I11385" s="1"/>
      <c r="J11385" s="1"/>
      <c r="K11385" s="1"/>
      <c r="L11385" s="1"/>
      <c r="M11385" s="1"/>
      <c r="N11385" s="1"/>
      <c r="O11385" s="1"/>
      <c r="P11385" s="1"/>
      <c r="Q11385" s="1"/>
      <c r="R11385" s="1"/>
      <c r="S11385" s="1"/>
      <c r="T11385" s="1"/>
      <c r="U11385" s="1"/>
      <c r="V11385" s="1"/>
      <c r="W11385" s="1"/>
      <c r="X11385" s="1"/>
      <c r="Y11385" s="1"/>
      <c r="Z11385" s="1"/>
      <c r="AA11385" s="1"/>
      <c r="AB11385" s="1"/>
    </row>
    <row r="11386" ht="50.25" customHeight="1">
      <c r="A11386" s="12">
        <v>11382.0</v>
      </c>
      <c r="B11386" s="13" t="s">
        <v>10535</v>
      </c>
      <c r="C11386" s="14" t="s">
        <v>11414</v>
      </c>
      <c r="D11386" s="1"/>
      <c r="E11386" s="1"/>
      <c r="F11386" s="1" t="str">
        <f>IFERROR(__xludf.DUMMYFUNCTION("GOOGLETRANSLATE(B11386, ""en"", ""fa"")
"),"کپی رایتینگ II")</f>
        <v>کپی رایتینگ II</v>
      </c>
      <c r="G11386" s="1" t="str">
        <f>IFERROR(__xludf.DUMMYFUNCTION("GOOGLETRANSLATE(C11386, ""en"", ""fa"")
"),"استراتژی‌های بهینه‌سازی کپی تجارت الکترونیکی خود را برای فروشگاه‌های اپلیکیشن موبایل و توضیحات برنامه‌ها برای جذب دانلود و افزایش تعامل برنامه بررسی کنید.")</f>
        <v>استراتژی‌های بهینه‌سازی کپی تجارت الکترونیکی خود را برای فروشگاه‌های اپلیکیشن موبایل و توضیحات برنامه‌ها برای جذب دانلود و افزایش تعامل برنامه بررسی کنید.</v>
      </c>
      <c r="H11386" s="1"/>
      <c r="I11386" s="1"/>
      <c r="J11386" s="1"/>
      <c r="K11386" s="1"/>
      <c r="L11386" s="1"/>
      <c r="M11386" s="1"/>
      <c r="N11386" s="1"/>
      <c r="O11386" s="1"/>
      <c r="P11386" s="1"/>
      <c r="Q11386" s="1"/>
      <c r="R11386" s="1"/>
      <c r="S11386" s="1"/>
      <c r="T11386" s="1"/>
      <c r="U11386" s="1"/>
      <c r="V11386" s="1"/>
      <c r="W11386" s="1"/>
      <c r="X11386" s="1"/>
      <c r="Y11386" s="1"/>
      <c r="Z11386" s="1"/>
      <c r="AA11386" s="1"/>
      <c r="AB11386" s="1"/>
    </row>
    <row r="11387" ht="50.25" customHeight="1">
      <c r="A11387" s="12">
        <v>11383.0</v>
      </c>
      <c r="B11387" s="13" t="s">
        <v>10535</v>
      </c>
      <c r="C11387" s="14" t="s">
        <v>11415</v>
      </c>
      <c r="D11387" s="1"/>
      <c r="E11387" s="1"/>
      <c r="F11387" s="1" t="str">
        <f>IFERROR(__xludf.DUMMYFUNCTION("GOOGLETRANSLATE(B11387, ""en"", ""fa"")
"),"کپی رایتینگ II")</f>
        <v>کپی رایتینگ II</v>
      </c>
      <c r="G11387" s="1" t="str">
        <f>IFERROR(__xludf.DUMMYFUNCTION("GOOGLETRANSLATE(C11387, ""en"", ""fa"")
"),"بهترین روش‌ها برای نوشتن نسخه متقاعدکننده برای کمپین‌های پیش‌سفارش تجارت الکترونیک، ایجاد پیش‌بینی و تضمین فروش اولیه چیست؟")</f>
        <v>بهترین روش‌ها برای نوشتن نسخه متقاعدکننده برای کمپین‌های پیش‌سفارش تجارت الکترونیک، ایجاد پیش‌بینی و تضمین فروش اولیه چیست؟</v>
      </c>
      <c r="H11387" s="1"/>
      <c r="I11387" s="1"/>
      <c r="J11387" s="1"/>
      <c r="K11387" s="1"/>
      <c r="L11387" s="1"/>
      <c r="M11387" s="1"/>
      <c r="N11387" s="1"/>
      <c r="O11387" s="1"/>
      <c r="P11387" s="1"/>
      <c r="Q11387" s="1"/>
      <c r="R11387" s="1"/>
      <c r="S11387" s="1"/>
      <c r="T11387" s="1"/>
      <c r="U11387" s="1"/>
      <c r="V11387" s="1"/>
      <c r="W11387" s="1"/>
      <c r="X11387" s="1"/>
      <c r="Y11387" s="1"/>
      <c r="Z11387" s="1"/>
      <c r="AA11387" s="1"/>
      <c r="AB11387" s="1"/>
    </row>
    <row r="11388" ht="50.25" customHeight="1">
      <c r="A11388" s="12">
        <v>11384.0</v>
      </c>
      <c r="B11388" s="13" t="s">
        <v>10535</v>
      </c>
      <c r="C11388" s="14" t="s">
        <v>11416</v>
      </c>
      <c r="D11388" s="1"/>
      <c r="E11388" s="1"/>
      <c r="F11388" s="1" t="str">
        <f>IFERROR(__xludf.DUMMYFUNCTION("GOOGLETRANSLATE(B11388, ""en"", ""fa"")
"),"کپی رایتینگ II")</f>
        <v>کپی رایتینگ II</v>
      </c>
      <c r="G11388" s="1" t="str">
        <f>IFERROR(__xludf.DUMMYFUNCTION("GOOGLETRANSLATE(C11388, ""en"", ""fa"")
"),"چگونه کپی تجارت الکترونیک خود را برای بخش‌های مختلف مشتریان، مانند مشتریان جدید، مشتریان وفادار، و مشتریان VIP تنظیم کنید تا پیام‌های هدفمند را ارائه دهید.")</f>
        <v>چگونه کپی تجارت الکترونیک خود را برای بخش‌های مختلف مشتریان، مانند مشتریان جدید، مشتریان وفادار، و مشتریان VIP تنظیم کنید تا پیام‌های هدفمند را ارائه دهید.</v>
      </c>
      <c r="H11388" s="1"/>
      <c r="I11388" s="1"/>
      <c r="J11388" s="1"/>
      <c r="K11388" s="1"/>
      <c r="L11388" s="1"/>
      <c r="M11388" s="1"/>
      <c r="N11388" s="1"/>
      <c r="O11388" s="1"/>
      <c r="P11388" s="1"/>
      <c r="Q11388" s="1"/>
      <c r="R11388" s="1"/>
      <c r="S11388" s="1"/>
      <c r="T11388" s="1"/>
      <c r="U11388" s="1"/>
      <c r="V11388" s="1"/>
      <c r="W11388" s="1"/>
      <c r="X11388" s="1"/>
      <c r="Y11388" s="1"/>
      <c r="Z11388" s="1"/>
      <c r="AA11388" s="1"/>
      <c r="AB11388" s="1"/>
    </row>
    <row r="11389" ht="50.25" customHeight="1">
      <c r="A11389" s="12">
        <v>11385.0</v>
      </c>
      <c r="B11389" s="13" t="s">
        <v>10535</v>
      </c>
      <c r="C11389" s="14" t="s">
        <v>11417</v>
      </c>
      <c r="D11389" s="1"/>
      <c r="E11389" s="1"/>
      <c r="F11389" s="1" t="str">
        <f>IFERROR(__xludf.DUMMYFUNCTION("GOOGLETRANSLATE(B11389, ""en"", ""fa"")
"),"کپی رایتینگ II")</f>
        <v>کپی رایتینگ II</v>
      </c>
      <c r="G11389" s="1" t="str">
        <f>IFERROR(__xludf.DUMMYFUNCTION("GOOGLETRANSLATE(C11389, ""en"", ""fa"")
"),"در مورد عناصر کلیدی کپی متقاعدکننده برای صفحات پرسش‌های متداول محصول تجارت الکترونیک، پرداختن به سوالات و نگرانی‌های رایج برای تسهیل تصمیم‌گیری‌های خرید بحث کنید.")</f>
        <v>در مورد عناصر کلیدی کپی متقاعدکننده برای صفحات پرسش‌های متداول محصول تجارت الکترونیک، پرداختن به سوالات و نگرانی‌های رایج برای تسهیل تصمیم‌گیری‌های خرید بحث کنید.</v>
      </c>
      <c r="H11389" s="1"/>
      <c r="I11389" s="1"/>
      <c r="J11389" s="1"/>
      <c r="K11389" s="1"/>
      <c r="L11389" s="1"/>
      <c r="M11389" s="1"/>
      <c r="N11389" s="1"/>
      <c r="O11389" s="1"/>
      <c r="P11389" s="1"/>
      <c r="Q11389" s="1"/>
      <c r="R11389" s="1"/>
      <c r="S11389" s="1"/>
      <c r="T11389" s="1"/>
      <c r="U11389" s="1"/>
      <c r="V11389" s="1"/>
      <c r="W11389" s="1"/>
      <c r="X11389" s="1"/>
      <c r="Y11389" s="1"/>
      <c r="Z11389" s="1"/>
      <c r="AA11389" s="1"/>
      <c r="AB11389" s="1"/>
    </row>
    <row r="11390" ht="50.25" customHeight="1">
      <c r="A11390" s="12">
        <v>11386.0</v>
      </c>
      <c r="B11390" s="13" t="s">
        <v>10535</v>
      </c>
      <c r="C11390" s="14" t="s">
        <v>11418</v>
      </c>
      <c r="D11390" s="1"/>
      <c r="E11390" s="1"/>
      <c r="F11390" s="1" t="str">
        <f>IFERROR(__xludf.DUMMYFUNCTION("GOOGLETRANSLATE(B11390, ""en"", ""fa"")
"),"کپی رایتینگ II")</f>
        <v>کپی رایتینگ II</v>
      </c>
      <c r="G11390" s="1" t="str">
        <f>IFERROR(__xludf.DUMMYFUNCTION("GOOGLETRANSLATE(C11390, ""en"", ""fa"")
"),"استراتژی‌های نوشتن نسخه متقاعدکننده برای برنامه‌های ارجاع مشتری تجارت الکترونیک، تشویق مشتریان برای معرفی دوستان و خانواده را بررسی کنید.")</f>
        <v>استراتژی‌های نوشتن نسخه متقاعدکننده برای برنامه‌های ارجاع مشتری تجارت الکترونیک، تشویق مشتریان برای معرفی دوستان و خانواده را بررسی کنید.</v>
      </c>
      <c r="H11390" s="1"/>
      <c r="I11390" s="1"/>
      <c r="J11390" s="1"/>
      <c r="K11390" s="1"/>
      <c r="L11390" s="1"/>
      <c r="M11390" s="1"/>
      <c r="N11390" s="1"/>
      <c r="O11390" s="1"/>
      <c r="P11390" s="1"/>
      <c r="Q11390" s="1"/>
      <c r="R11390" s="1"/>
      <c r="S11390" s="1"/>
      <c r="T11390" s="1"/>
      <c r="U11390" s="1"/>
      <c r="V11390" s="1"/>
      <c r="W11390" s="1"/>
      <c r="X11390" s="1"/>
      <c r="Y11390" s="1"/>
      <c r="Z11390" s="1"/>
      <c r="AA11390" s="1"/>
      <c r="AB11390" s="1"/>
    </row>
    <row r="11391" ht="50.25" customHeight="1">
      <c r="A11391" s="12">
        <v>11387.0</v>
      </c>
      <c r="B11391" s="13" t="s">
        <v>10535</v>
      </c>
      <c r="C11391" s="14" t="s">
        <v>11419</v>
      </c>
      <c r="D11391" s="1"/>
      <c r="E11391" s="1"/>
      <c r="F11391" s="1" t="str">
        <f>IFERROR(__xludf.DUMMYFUNCTION("GOOGLETRANSLATE(B11391, ""en"", ""fa"")
"),"کپی رایتینگ II")</f>
        <v>کپی رایتینگ II</v>
      </c>
      <c r="G11391" s="1" t="str">
        <f>IFERROR(__xludf.DUMMYFUNCTION("GOOGLETRANSLATE(C11391, ""en"", ""fa"")
"),"چه تکنیک هایی برای ایجاد نسخه متقاعد کننده برای تجارت الکترونیکی نسخه محدود یا محصولات انحصاری وجود دارد که نادر بودن و مطلوبیت آنها را برجسته می کند.")</f>
        <v>چه تکنیک هایی برای ایجاد نسخه متقاعد کننده برای تجارت الکترونیکی نسخه محدود یا محصولات انحصاری وجود دارد که نادر بودن و مطلوبیت آنها را برجسته می کند.</v>
      </c>
      <c r="H11391" s="1"/>
      <c r="I11391" s="1"/>
      <c r="J11391" s="1"/>
      <c r="K11391" s="1"/>
      <c r="L11391" s="1"/>
      <c r="M11391" s="1"/>
      <c r="N11391" s="1"/>
      <c r="O11391" s="1"/>
      <c r="P11391" s="1"/>
      <c r="Q11391" s="1"/>
      <c r="R11391" s="1"/>
      <c r="S11391" s="1"/>
      <c r="T11391" s="1"/>
      <c r="U11391" s="1"/>
      <c r="V11391" s="1"/>
      <c r="W11391" s="1"/>
      <c r="X11391" s="1"/>
      <c r="Y11391" s="1"/>
      <c r="Z11391" s="1"/>
      <c r="AA11391" s="1"/>
      <c r="AB11391" s="1"/>
    </row>
    <row r="11392" ht="50.25" customHeight="1">
      <c r="A11392" s="12">
        <v>11388.0</v>
      </c>
      <c r="B11392" s="13" t="s">
        <v>10535</v>
      </c>
      <c r="C11392" s="14" t="s">
        <v>11420</v>
      </c>
      <c r="D11392" s="1"/>
      <c r="E11392" s="1"/>
      <c r="F11392" s="1" t="str">
        <f>IFERROR(__xludf.DUMMYFUNCTION("GOOGLETRANSLATE(B11392, ""en"", ""fa"")
"),"کپی رایتینگ II")</f>
        <v>کپی رایتینگ II</v>
      </c>
      <c r="G11392" s="1" t="str">
        <f>IFERROR(__xludf.DUMMYFUNCTION("GOOGLETRANSLATE(C11392, ""en"", ""fa"")
"),"نحوه بهینه سازی کپی تجارت الکترونیکی خود برای جستجوی صوتی و جستارهای زبان طبیعی، همسو با تغییر رفتار جستجوی مصرف کنندگان.")</f>
        <v>نحوه بهینه سازی کپی تجارت الکترونیکی خود برای جستجوی صوتی و جستارهای زبان طبیعی، همسو با تغییر رفتار جستجوی مصرف کنندگان.</v>
      </c>
      <c r="H11392" s="1"/>
      <c r="I11392" s="1"/>
      <c r="J11392" s="1"/>
      <c r="K11392" s="1"/>
      <c r="L11392" s="1"/>
      <c r="M11392" s="1"/>
      <c r="N11392" s="1"/>
      <c r="O11392" s="1"/>
      <c r="P11392" s="1"/>
      <c r="Q11392" s="1"/>
      <c r="R11392" s="1"/>
      <c r="S11392" s="1"/>
      <c r="T11392" s="1"/>
      <c r="U11392" s="1"/>
      <c r="V11392" s="1"/>
      <c r="W11392" s="1"/>
      <c r="X11392" s="1"/>
      <c r="Y11392" s="1"/>
      <c r="Z11392" s="1"/>
      <c r="AA11392" s="1"/>
      <c r="AB11392" s="1"/>
    </row>
    <row r="11393" ht="50.25" customHeight="1">
      <c r="A11393" s="12">
        <v>11389.0</v>
      </c>
      <c r="B11393" s="13" t="s">
        <v>10535</v>
      </c>
      <c r="C11393" s="14" t="s">
        <v>11421</v>
      </c>
      <c r="D11393" s="1"/>
      <c r="E11393" s="1"/>
      <c r="F11393" s="1" t="str">
        <f>IFERROR(__xludf.DUMMYFUNCTION("GOOGLETRANSLATE(B11393, ""en"", ""fa"")
"),"کپی رایتینگ II")</f>
        <v>کپی رایتینگ II</v>
      </c>
      <c r="G11393" s="1" t="str">
        <f>IFERROR(__xludf.DUMMYFUNCTION("GOOGLETRANSLATE(C11393, ""en"", ""fa"")
"),"در مورد بهترین شیوه ها برای نوشتن نسخه متقاعد کننده برای تایمرهای شمارش معکوس فروش فلش تجارت الکترونیک و عناصر القا کننده فوریت برای اقدام فوری بحث کنید.")</f>
        <v>در مورد بهترین شیوه ها برای نوشتن نسخه متقاعد کننده برای تایمرهای شمارش معکوس فروش فلش تجارت الکترونیک و عناصر القا کننده فوریت برای اقدام فوری بحث کنید.</v>
      </c>
      <c r="H11393" s="1"/>
      <c r="I11393" s="1"/>
      <c r="J11393" s="1"/>
      <c r="K11393" s="1"/>
      <c r="L11393" s="1"/>
      <c r="M11393" s="1"/>
      <c r="N11393" s="1"/>
      <c r="O11393" s="1"/>
      <c r="P11393" s="1"/>
      <c r="Q11393" s="1"/>
      <c r="R11393" s="1"/>
      <c r="S11393" s="1"/>
      <c r="T11393" s="1"/>
      <c r="U11393" s="1"/>
      <c r="V11393" s="1"/>
      <c r="W11393" s="1"/>
      <c r="X11393" s="1"/>
      <c r="Y11393" s="1"/>
      <c r="Z11393" s="1"/>
      <c r="AA11393" s="1"/>
      <c r="AB11393" s="1"/>
    </row>
    <row r="11394" ht="50.25" customHeight="1">
      <c r="A11394" s="12">
        <v>11390.0</v>
      </c>
      <c r="B11394" s="13" t="s">
        <v>10535</v>
      </c>
      <c r="C11394" s="14" t="s">
        <v>11422</v>
      </c>
      <c r="D11394" s="1"/>
      <c r="E11394" s="1"/>
      <c r="F11394" s="1" t="str">
        <f>IFERROR(__xludf.DUMMYFUNCTION("GOOGLETRANSLATE(B11394, ""en"", ""fa"")
"),"کپی رایتینگ II")</f>
        <v>کپی رایتینگ II</v>
      </c>
      <c r="G11394" s="1" t="str">
        <f>IFERROR(__xludf.DUMMYFUNCTION("GOOGLETRANSLATE(C11394, ""en"", ""fa"")
"),"استراتژی‌های ایجاد نسخه متقاعدکننده برای بسته‌های محصول تجارت الکترونیک و پیشنهادات فروش بر اساس ترجیحات مشتری و سابقه خرید را بررسی کنید.")</f>
        <v>استراتژی‌های ایجاد نسخه متقاعدکننده برای بسته‌های محصول تجارت الکترونیک و پیشنهادات فروش بر اساس ترجیحات مشتری و سابقه خرید را بررسی کنید.</v>
      </c>
      <c r="H11394" s="1"/>
      <c r="I11394" s="1"/>
      <c r="J11394" s="1"/>
      <c r="K11394" s="1"/>
      <c r="L11394" s="1"/>
      <c r="M11394" s="1"/>
      <c r="N11394" s="1"/>
      <c r="O11394" s="1"/>
      <c r="P11394" s="1"/>
      <c r="Q11394" s="1"/>
      <c r="R11394" s="1"/>
      <c r="S11394" s="1"/>
      <c r="T11394" s="1"/>
      <c r="U11394" s="1"/>
      <c r="V11394" s="1"/>
      <c r="W11394" s="1"/>
      <c r="X11394" s="1"/>
      <c r="Y11394" s="1"/>
      <c r="Z11394" s="1"/>
      <c r="AA11394" s="1"/>
      <c r="AB11394" s="1"/>
    </row>
    <row r="11395" ht="50.25" customHeight="1">
      <c r="A11395" s="12">
        <v>11391.0</v>
      </c>
      <c r="B11395" s="13" t="s">
        <v>10535</v>
      </c>
      <c r="C11395" s="14" t="s">
        <v>11423</v>
      </c>
      <c r="D11395" s="1"/>
      <c r="E11395" s="1"/>
      <c r="F11395" s="1" t="str">
        <f>IFERROR(__xludf.DUMMYFUNCTION("GOOGLETRANSLATE(B11395, ""en"", ""fa"")
"),"کپی رایتینگ II")</f>
        <v>کپی رایتینگ II</v>
      </c>
      <c r="G11395" s="1" t="str">
        <f>IFERROR(__xludf.DUMMYFUNCTION("GOOGLETRANSLATE(C11395, ""en"", ""fa"")
"),"هنگام نوشتن کپی متقاعدکننده برای هشدارهای موجودی محصولات تجارت الکترونیک و اعلان‌های موجودی مجدد برای مطلع نگه داشتن مشتریان، چه عناصر کلیدی باید در نظر گرفته شود.")</f>
        <v>هنگام نوشتن کپی متقاعدکننده برای هشدارهای موجودی محصولات تجارت الکترونیک و اعلان‌های موجودی مجدد برای مطلع نگه داشتن مشتریان، چه عناصر کلیدی باید در نظر گرفته شود.</v>
      </c>
      <c r="H11395" s="1"/>
      <c r="I11395" s="1"/>
      <c r="J11395" s="1"/>
      <c r="K11395" s="1"/>
      <c r="L11395" s="1"/>
      <c r="M11395" s="1"/>
      <c r="N11395" s="1"/>
      <c r="O11395" s="1"/>
      <c r="P11395" s="1"/>
      <c r="Q11395" s="1"/>
      <c r="R11395" s="1"/>
      <c r="S11395" s="1"/>
      <c r="T11395" s="1"/>
      <c r="U11395" s="1"/>
      <c r="V11395" s="1"/>
      <c r="W11395" s="1"/>
      <c r="X11395" s="1"/>
      <c r="Y11395" s="1"/>
      <c r="Z11395" s="1"/>
      <c r="AA11395" s="1"/>
      <c r="AB11395" s="1"/>
    </row>
    <row r="11396" ht="50.25" customHeight="1">
      <c r="A11396" s="12">
        <v>11392.0</v>
      </c>
      <c r="B11396" s="13" t="s">
        <v>10535</v>
      </c>
      <c r="C11396" s="14" t="s">
        <v>11424</v>
      </c>
      <c r="D11396" s="1"/>
      <c r="E11396" s="1"/>
      <c r="F11396" s="1" t="str">
        <f>IFERROR(__xludf.DUMMYFUNCTION("GOOGLETRANSLATE(B11396, ""en"", ""fa"")
"),"کپی رایتینگ II")</f>
        <v>کپی رایتینگ II</v>
      </c>
      <c r="G11396" s="1" t="str">
        <f>IFERROR(__xludf.DUMMYFUNCTION("GOOGLETRANSLATE(C11396, ""en"", ""fa"")
"),"چگونه برای کمپین‌های ایمیلی راه‌اندازی محصول تجارت الکترونیک خود یک نسخه قانع‌کننده ایجاد کنید، پیش‌بینی ایجاد کنید و ترافیک را به صفحات محصول جدید خود هدایت کنید.")</f>
        <v>چگونه برای کمپین‌های ایمیلی راه‌اندازی محصول تجارت الکترونیک خود یک نسخه قانع‌کننده ایجاد کنید، پیش‌بینی ایجاد کنید و ترافیک را به صفحات محصول جدید خود هدایت کنید.</v>
      </c>
      <c r="H11396" s="1"/>
      <c r="I11396" s="1"/>
      <c r="J11396" s="1"/>
      <c r="K11396" s="1"/>
      <c r="L11396" s="1"/>
      <c r="M11396" s="1"/>
      <c r="N11396" s="1"/>
      <c r="O11396" s="1"/>
      <c r="P11396" s="1"/>
      <c r="Q11396" s="1"/>
      <c r="R11396" s="1"/>
      <c r="S11396" s="1"/>
      <c r="T11396" s="1"/>
      <c r="U11396" s="1"/>
      <c r="V11396" s="1"/>
      <c r="W11396" s="1"/>
      <c r="X11396" s="1"/>
      <c r="Y11396" s="1"/>
      <c r="Z11396" s="1"/>
      <c r="AA11396" s="1"/>
      <c r="AB11396" s="1"/>
    </row>
    <row r="11397" ht="50.25" customHeight="1">
      <c r="A11397" s="12">
        <v>11393.0</v>
      </c>
      <c r="B11397" s="13" t="s">
        <v>10535</v>
      </c>
      <c r="C11397" s="14" t="s">
        <v>11425</v>
      </c>
      <c r="D11397" s="1"/>
      <c r="E11397" s="1"/>
      <c r="F11397" s="1" t="str">
        <f>IFERROR(__xludf.DUMMYFUNCTION("GOOGLETRANSLATE(B11397, ""en"", ""fa"")
"),"کپی رایتینگ II")</f>
        <v>کپی رایتینگ II</v>
      </c>
      <c r="G11397" s="1" t="str">
        <f>IFERROR(__xludf.DUMMYFUNCTION("GOOGLETRANSLATE(C11397, ""en"", ""fa"")
"),"در مورد تکنیک‌های نوشتن کپی متقاعدکننده برای ایمیل‌های بازگشت مشتری تجارت الکترونیک، جذب مجدد مشتریان غیرفعال یا از کار افتاده و ترغیب آنها به بازگشت بحث کنید.")</f>
        <v>در مورد تکنیک‌های نوشتن کپی متقاعدکننده برای ایمیل‌های بازگشت مشتری تجارت الکترونیک، جذب مجدد مشتریان غیرفعال یا از کار افتاده و ترغیب آنها به بازگشت بحث کنید.</v>
      </c>
      <c r="H11397" s="1"/>
      <c r="I11397" s="1"/>
      <c r="J11397" s="1"/>
      <c r="K11397" s="1"/>
      <c r="L11397" s="1"/>
      <c r="M11397" s="1"/>
      <c r="N11397" s="1"/>
      <c r="O11397" s="1"/>
      <c r="P11397" s="1"/>
      <c r="Q11397" s="1"/>
      <c r="R11397" s="1"/>
      <c r="S11397" s="1"/>
      <c r="T11397" s="1"/>
      <c r="U11397" s="1"/>
      <c r="V11397" s="1"/>
      <c r="W11397" s="1"/>
      <c r="X11397" s="1"/>
      <c r="Y11397" s="1"/>
      <c r="Z11397" s="1"/>
      <c r="AA11397" s="1"/>
      <c r="AB11397" s="1"/>
    </row>
    <row r="11398" ht="50.25" customHeight="1">
      <c r="A11398" s="12">
        <v>11394.0</v>
      </c>
      <c r="B11398" s="13" t="s">
        <v>10535</v>
      </c>
      <c r="C11398" s="14" t="s">
        <v>11426</v>
      </c>
      <c r="D11398" s="1"/>
      <c r="E11398" s="1"/>
      <c r="F11398" s="1" t="str">
        <f>IFERROR(__xludf.DUMMYFUNCTION("GOOGLETRANSLATE(B11398, ""en"", ""fa"")
"),"کپی رایتینگ II")</f>
        <v>کپی رایتینگ II</v>
      </c>
      <c r="G11398" s="1" t="str">
        <f>IFERROR(__xludf.DUMMYFUNCTION("GOOGLETRANSLATE(C11398, ""en"", ""fa"")
"),"استراتژی‌های بهینه‌سازی نسخه تجارت الکترونیک خود را برای تجارب تسویه‌حساب تلفن همراه، کاهش اصطکاک و افزایش نرخ تبدیل بررسی کنید.")</f>
        <v>استراتژی‌های بهینه‌سازی نسخه تجارت الکترونیک خود را برای تجارب تسویه‌حساب تلفن همراه، کاهش اصطکاک و افزایش نرخ تبدیل بررسی کنید.</v>
      </c>
      <c r="H11398" s="1"/>
      <c r="I11398" s="1"/>
      <c r="J11398" s="1"/>
      <c r="K11398" s="1"/>
      <c r="L11398" s="1"/>
      <c r="M11398" s="1"/>
      <c r="N11398" s="1"/>
      <c r="O11398" s="1"/>
      <c r="P11398" s="1"/>
      <c r="Q11398" s="1"/>
      <c r="R11398" s="1"/>
      <c r="S11398" s="1"/>
      <c r="T11398" s="1"/>
      <c r="U11398" s="1"/>
      <c r="V11398" s="1"/>
      <c r="W11398" s="1"/>
      <c r="X11398" s="1"/>
      <c r="Y11398" s="1"/>
      <c r="Z11398" s="1"/>
      <c r="AA11398" s="1"/>
      <c r="AB11398" s="1"/>
    </row>
    <row r="11399" ht="50.25" customHeight="1">
      <c r="A11399" s="12">
        <v>11395.0</v>
      </c>
      <c r="B11399" s="13" t="s">
        <v>10535</v>
      </c>
      <c r="C11399" s="14" t="s">
        <v>11427</v>
      </c>
      <c r="D11399" s="1"/>
      <c r="E11399" s="1"/>
      <c r="F11399" s="1" t="str">
        <f>IFERROR(__xludf.DUMMYFUNCTION("GOOGLETRANSLATE(B11399, ""en"", ""fa"")
"),"کپی رایتینگ II")</f>
        <v>کپی رایتینگ II</v>
      </c>
      <c r="G11399" s="1" t="str">
        <f>IFERROR(__xludf.DUMMYFUNCTION("GOOGLETRANSLATE(C11399, ""en"", ""fa"")
"),"بهترین روش‌ها برای نوشتن نسخه متقاعدکننده برای صفحات فرود مقایسه محصولات تجارت الکترونیک، کمک به مشتریان در ارزیابی گزینه‌های مختلف و انتخاب آگاهانه چیست.")</f>
        <v>بهترین روش‌ها برای نوشتن نسخه متقاعدکننده برای صفحات فرود مقایسه محصولات تجارت الکترونیک، کمک به مشتریان در ارزیابی گزینه‌های مختلف و انتخاب آگاهانه چیست.</v>
      </c>
      <c r="H11399" s="1"/>
      <c r="I11399" s="1"/>
      <c r="J11399" s="1"/>
      <c r="K11399" s="1"/>
      <c r="L11399" s="1"/>
      <c r="M11399" s="1"/>
      <c r="N11399" s="1"/>
      <c r="O11399" s="1"/>
      <c r="P11399" s="1"/>
      <c r="Q11399" s="1"/>
      <c r="R11399" s="1"/>
      <c r="S11399" s="1"/>
      <c r="T11399" s="1"/>
      <c r="U11399" s="1"/>
      <c r="V11399" s="1"/>
      <c r="W11399" s="1"/>
      <c r="X11399" s="1"/>
      <c r="Y11399" s="1"/>
      <c r="Z11399" s="1"/>
      <c r="AA11399" s="1"/>
      <c r="AB11399" s="1"/>
    </row>
    <row r="11400" ht="50.25" customHeight="1">
      <c r="A11400" s="12">
        <v>11396.0</v>
      </c>
      <c r="B11400" s="13" t="s">
        <v>10535</v>
      </c>
      <c r="C11400" s="14" t="s">
        <v>11428</v>
      </c>
      <c r="D11400" s="1"/>
      <c r="E11400" s="1"/>
      <c r="F11400" s="1" t="str">
        <f>IFERROR(__xludf.DUMMYFUNCTION("GOOGLETRANSLATE(B11400, ""en"", ""fa"")
"),"کپی رایتینگ II")</f>
        <v>کپی رایتینگ II</v>
      </c>
      <c r="G11400" s="1" t="str">
        <f>IFERROR(__xludf.DUMMYFUNCTION("GOOGLETRANSLATE(C11400, ""en"", ""fa"")
"),"چگونه کپی تجارت الکترونیک خود را برای تبلیغات رسانه های اجتماعی تنظیم کنید، پیام رسانی و قالب را برای هر پلتفرم بهینه سازی کنید تا تعامل و تبدیل ها را به حداکثر برسانید.")</f>
        <v>چگونه کپی تجارت الکترونیک خود را برای تبلیغات رسانه های اجتماعی تنظیم کنید، پیام رسانی و قالب را برای هر پلتفرم بهینه سازی کنید تا تعامل و تبدیل ها را به حداکثر برسانید.</v>
      </c>
      <c r="H11400" s="1"/>
      <c r="I11400" s="1"/>
      <c r="J11400" s="1"/>
      <c r="K11400" s="1"/>
      <c r="L11400" s="1"/>
      <c r="M11400" s="1"/>
      <c r="N11400" s="1"/>
      <c r="O11400" s="1"/>
      <c r="P11400" s="1"/>
      <c r="Q11400" s="1"/>
      <c r="R11400" s="1"/>
      <c r="S11400" s="1"/>
      <c r="T11400" s="1"/>
      <c r="U11400" s="1"/>
      <c r="V11400" s="1"/>
      <c r="W11400" s="1"/>
      <c r="X11400" s="1"/>
      <c r="Y11400" s="1"/>
      <c r="Z11400" s="1"/>
      <c r="AA11400" s="1"/>
      <c r="AB11400" s="1"/>
    </row>
    <row r="11401" ht="50.25" customHeight="1">
      <c r="A11401" s="12">
        <v>11397.0</v>
      </c>
      <c r="B11401" s="13" t="s">
        <v>10535</v>
      </c>
      <c r="C11401" s="14" t="s">
        <v>11429</v>
      </c>
      <c r="D11401" s="1"/>
      <c r="E11401" s="1"/>
      <c r="F11401" s="1" t="str">
        <f>IFERROR(__xludf.DUMMYFUNCTION("GOOGLETRANSLATE(B11401, ""en"", ""fa"")
"),"کپی رایتینگ II")</f>
        <v>کپی رایتینگ II</v>
      </c>
      <c r="G11401" s="1" t="str">
        <f>IFERROR(__xludf.DUMMYFUNCTION("GOOGLETRANSLATE(C11401, ""en"", ""fa"")
"),"در مورد عناصر کلیدی کپی متقاعد کننده برای توصیه های محصول تجارت الکترونیک بر اساس رفتار مرور مشتری و الگوریتم های شخصی شده بحث کنید.")</f>
        <v>در مورد عناصر کلیدی کپی متقاعد کننده برای توصیه های محصول تجارت الکترونیک بر اساس رفتار مرور مشتری و الگوریتم های شخصی شده بحث کنید.</v>
      </c>
      <c r="H11401" s="1"/>
      <c r="I11401" s="1"/>
      <c r="J11401" s="1"/>
      <c r="K11401" s="1"/>
      <c r="L11401" s="1"/>
      <c r="M11401" s="1"/>
      <c r="N11401" s="1"/>
      <c r="O11401" s="1"/>
      <c r="P11401" s="1"/>
      <c r="Q11401" s="1"/>
      <c r="R11401" s="1"/>
      <c r="S11401" s="1"/>
      <c r="T11401" s="1"/>
      <c r="U11401" s="1"/>
      <c r="V11401" s="1"/>
      <c r="W11401" s="1"/>
      <c r="X11401" s="1"/>
      <c r="Y11401" s="1"/>
      <c r="Z11401" s="1"/>
      <c r="AA11401" s="1"/>
      <c r="AB11401" s="1"/>
    </row>
    <row r="11402" ht="50.25" customHeight="1">
      <c r="A11402" s="12">
        <v>11398.0</v>
      </c>
      <c r="B11402" s="13" t="s">
        <v>10535</v>
      </c>
      <c r="C11402" s="14" t="s">
        <v>11430</v>
      </c>
      <c r="D11402" s="1"/>
      <c r="E11402" s="1"/>
      <c r="F11402" s="1" t="str">
        <f>IFERROR(__xludf.DUMMYFUNCTION("GOOGLETRANSLATE(B11402, ""en"", ""fa"")
"),"کپی رایتینگ II")</f>
        <v>کپی رایتینگ II</v>
      </c>
      <c r="G11402" s="1" t="str">
        <f>IFERROR(__xludf.DUMMYFUNCTION("GOOGLETRANSLATE(C11402, ""en"", ""fa"")
"),"استراتژی‌های نوشتن نسخه متقاعدکننده برای اطلاعات حمل و نقل و تحویل تجارت الکترونیک را بررسی کنید و به مشتریان در مورد سرعت و قابلیت اطمینان سفارش‌هایشان اطمینان دهید.")</f>
        <v>استراتژی‌های نوشتن نسخه متقاعدکننده برای اطلاعات حمل و نقل و تحویل تجارت الکترونیک را بررسی کنید و به مشتریان در مورد سرعت و قابلیت اطمینان سفارش‌هایشان اطمینان دهید.</v>
      </c>
      <c r="H11402" s="1"/>
      <c r="I11402" s="1"/>
      <c r="J11402" s="1"/>
      <c r="K11402" s="1"/>
      <c r="L11402" s="1"/>
      <c r="M11402" s="1"/>
      <c r="N11402" s="1"/>
      <c r="O11402" s="1"/>
      <c r="P11402" s="1"/>
      <c r="Q11402" s="1"/>
      <c r="R11402" s="1"/>
      <c r="S11402" s="1"/>
      <c r="T11402" s="1"/>
      <c r="U11402" s="1"/>
      <c r="V11402" s="1"/>
      <c r="W11402" s="1"/>
      <c r="X11402" s="1"/>
      <c r="Y11402" s="1"/>
      <c r="Z11402" s="1"/>
      <c r="AA11402" s="1"/>
      <c r="AB11402" s="1"/>
    </row>
    <row r="11403" ht="50.25" customHeight="1">
      <c r="A11403" s="12">
        <v>11399.0</v>
      </c>
      <c r="B11403" s="13" t="s">
        <v>10535</v>
      </c>
      <c r="C11403" s="14" t="s">
        <v>11431</v>
      </c>
      <c r="D11403" s="1"/>
      <c r="E11403" s="1"/>
      <c r="F11403" s="1" t="str">
        <f>IFERROR(__xludf.DUMMYFUNCTION("GOOGLETRANSLATE(B11403, ""en"", ""fa"")
"),"کپی رایتینگ II")</f>
        <v>کپی رایتینگ II</v>
      </c>
      <c r="G11403" s="1" t="str">
        <f>IFERROR(__xludf.DUMMYFUNCTION("GOOGLETRANSLATE(C11403, ""en"", ""fa"")
"),"تکنیک‌های ایجاد نسخه متقاعدکننده برای اعلان‌های کمبود محصول در تجارت الکترونیک، با تأکید بر موجودی محدود یا تقاضای بالا برای ایجاد فوریت چیست؟")</f>
        <v>تکنیک‌های ایجاد نسخه متقاعدکننده برای اعلان‌های کمبود محصول در تجارت الکترونیک، با تأکید بر موجودی محدود یا تقاضای بالا برای ایجاد فوریت چیست؟</v>
      </c>
      <c r="H11403" s="1"/>
      <c r="I11403" s="1"/>
      <c r="J11403" s="1"/>
      <c r="K11403" s="1"/>
      <c r="L11403" s="1"/>
      <c r="M11403" s="1"/>
      <c r="N11403" s="1"/>
      <c r="O11403" s="1"/>
      <c r="P11403" s="1"/>
      <c r="Q11403" s="1"/>
      <c r="R11403" s="1"/>
      <c r="S11403" s="1"/>
      <c r="T11403" s="1"/>
      <c r="U11403" s="1"/>
      <c r="V11403" s="1"/>
      <c r="W11403" s="1"/>
      <c r="X11403" s="1"/>
      <c r="Y11403" s="1"/>
      <c r="Z11403" s="1"/>
      <c r="AA11403" s="1"/>
      <c r="AB11403" s="1"/>
    </row>
    <row r="11404" ht="50.25" customHeight="1">
      <c r="A11404" s="12">
        <v>11400.0</v>
      </c>
      <c r="B11404" s="13" t="s">
        <v>10535</v>
      </c>
      <c r="C11404" s="14" t="s">
        <v>11432</v>
      </c>
      <c r="D11404" s="1"/>
      <c r="E11404" s="1"/>
      <c r="F11404" s="1" t="str">
        <f>IFERROR(__xludf.DUMMYFUNCTION("GOOGLETRANSLATE(B11404, ""en"", ""fa"")
"),"کپی رایتینگ II")</f>
        <v>کپی رایتینگ II</v>
      </c>
      <c r="G11404" s="1" t="str">
        <f>IFERROR(__xludf.DUMMYFUNCTION("GOOGLETRANSLATE(C11404, ""en"", ""fa"")
"),"چگونه کپی تجارت الکترونیک خود را برای کمپین های محتوای تولید شده توسط کاربر (UGC) بهینه کنید و مشتریان را تشویق کنید تا تجربیات و عکس های خود را با محصولات شما به اشتراک بگذارند.")</f>
        <v>چگونه کپی تجارت الکترونیک خود را برای کمپین های محتوای تولید شده توسط کاربر (UGC) بهینه کنید و مشتریان را تشویق کنید تا تجربیات و عکس های خود را با محصولات شما به اشتراک بگذارند.</v>
      </c>
      <c r="H11404" s="1"/>
      <c r="I11404" s="1"/>
      <c r="J11404" s="1"/>
      <c r="K11404" s="1"/>
      <c r="L11404" s="1"/>
      <c r="M11404" s="1"/>
      <c r="N11404" s="1"/>
      <c r="O11404" s="1"/>
      <c r="P11404" s="1"/>
      <c r="Q11404" s="1"/>
      <c r="R11404" s="1"/>
      <c r="S11404" s="1"/>
      <c r="T11404" s="1"/>
      <c r="U11404" s="1"/>
      <c r="V11404" s="1"/>
      <c r="W11404" s="1"/>
      <c r="X11404" s="1"/>
      <c r="Y11404" s="1"/>
      <c r="Z11404" s="1"/>
      <c r="AA11404" s="1"/>
      <c r="AB11404" s="1"/>
    </row>
    <row r="11405" ht="50.25" customHeight="1">
      <c r="A11405" s="12">
        <v>11401.0</v>
      </c>
      <c r="B11405" s="13" t="s">
        <v>10535</v>
      </c>
      <c r="C11405" s="14" t="s">
        <v>11433</v>
      </c>
      <c r="D11405" s="1"/>
      <c r="E11405" s="1"/>
      <c r="F11405" s="1" t="str">
        <f>IFERROR(__xludf.DUMMYFUNCTION("GOOGLETRANSLATE(B11405, ""en"", ""fa"")
"),"کپی رایتینگ II")</f>
        <v>کپی رایتینگ II</v>
      </c>
      <c r="G11405" s="1" t="str">
        <f>IFERROR(__xludf.DUMMYFUNCTION("GOOGLETRANSLATE(C11405, ""en"", ""fa"")
"),"در مورد بهترین شیوه‌ها برای نوشتن نسخه متقاعدکننده برای تخفیف‌ها و معاملات بسته‌های تجارت الکترونیکی بحث کنید، و مشتریان را تشویق کنید تا چندین مورد را با هم خریداری کنند.")</f>
        <v>در مورد بهترین شیوه‌ها برای نوشتن نسخه متقاعدکننده برای تخفیف‌ها و معاملات بسته‌های تجارت الکترونیکی بحث کنید، و مشتریان را تشویق کنید تا چندین مورد را با هم خریداری کنند.</v>
      </c>
      <c r="H11405" s="1"/>
      <c r="I11405" s="1"/>
      <c r="J11405" s="1"/>
      <c r="K11405" s="1"/>
      <c r="L11405" s="1"/>
      <c r="M11405" s="1"/>
      <c r="N11405" s="1"/>
      <c r="O11405" s="1"/>
      <c r="P11405" s="1"/>
      <c r="Q11405" s="1"/>
      <c r="R11405" s="1"/>
      <c r="S11405" s="1"/>
      <c r="T11405" s="1"/>
      <c r="U11405" s="1"/>
      <c r="V11405" s="1"/>
      <c r="W11405" s="1"/>
      <c r="X11405" s="1"/>
      <c r="Y11405" s="1"/>
      <c r="Z11405" s="1"/>
      <c r="AA11405" s="1"/>
      <c r="AB11405" s="1"/>
    </row>
    <row r="11406" ht="50.25" customHeight="1">
      <c r="A11406" s="12">
        <v>11402.0</v>
      </c>
      <c r="B11406" s="13" t="s">
        <v>10535</v>
      </c>
      <c r="C11406" s="14" t="s">
        <v>11434</v>
      </c>
      <c r="D11406" s="1"/>
      <c r="E11406" s="1"/>
      <c r="F11406" s="1" t="str">
        <f>IFERROR(__xludf.DUMMYFUNCTION("GOOGLETRANSLATE(B11406, ""en"", ""fa"")
"),"کپی رایتینگ II")</f>
        <v>کپی رایتینگ II</v>
      </c>
      <c r="G11406" s="1" t="str">
        <f>IFERROR(__xludf.DUMMYFUNCTION("GOOGLETRANSLATE(C11406, ""en"", ""fa"")
"),"استراتژی‌های ایجاد نسخه متقاعدکننده برای بررسی و رتبه‌بندی محصولات تجارت الکترونیک، استفاده از اثبات اجتماعی برای ایجاد اعتماد و تأثیرگذاری بر تصمیمات خرید را بررسی کنید.")</f>
        <v>استراتژی‌های ایجاد نسخه متقاعدکننده برای بررسی و رتبه‌بندی محصولات تجارت الکترونیک، استفاده از اثبات اجتماعی برای ایجاد اعتماد و تأثیرگذاری بر تصمیمات خرید را بررسی کنید.</v>
      </c>
      <c r="H11406" s="1"/>
      <c r="I11406" s="1"/>
      <c r="J11406" s="1"/>
      <c r="K11406" s="1"/>
      <c r="L11406" s="1"/>
      <c r="M11406" s="1"/>
      <c r="N11406" s="1"/>
      <c r="O11406" s="1"/>
      <c r="P11406" s="1"/>
      <c r="Q11406" s="1"/>
      <c r="R11406" s="1"/>
      <c r="S11406" s="1"/>
      <c r="T11406" s="1"/>
      <c r="U11406" s="1"/>
      <c r="V11406" s="1"/>
      <c r="W11406" s="1"/>
      <c r="X11406" s="1"/>
      <c r="Y11406" s="1"/>
      <c r="Z11406" s="1"/>
      <c r="AA11406" s="1"/>
      <c r="AB11406" s="1"/>
    </row>
    <row r="11407" ht="50.25" customHeight="1">
      <c r="A11407" s="12">
        <v>11403.0</v>
      </c>
      <c r="B11407" s="13" t="s">
        <v>10535</v>
      </c>
      <c r="C11407" s="14" t="s">
        <v>11435</v>
      </c>
      <c r="D11407" s="1"/>
      <c r="E11407" s="1"/>
      <c r="F11407" s="1" t="str">
        <f>IFERROR(__xludf.DUMMYFUNCTION("GOOGLETRANSLATE(B11407, ""en"", ""fa"")
"),"کپی رایتینگ II")</f>
        <v>کپی رایتینگ II</v>
      </c>
      <c r="G11407" s="1" t="str">
        <f>IFERROR(__xludf.DUMMYFUNCTION("GOOGLETRANSLATE(C11407, ""en"", ""fa"")
"),"هنگام نوشتن کپی متقاعدکننده برای بنرها و پاپ آپ های فروش فلش تجارت الکترونیکی، جلب توجه و انجام اقدامات فوری، چه عناصر کلیدی باید در نظر گرفته شود.")</f>
        <v>هنگام نوشتن کپی متقاعدکننده برای بنرها و پاپ آپ های فروش فلش تجارت الکترونیکی، جلب توجه و انجام اقدامات فوری، چه عناصر کلیدی باید در نظر گرفته شود.</v>
      </c>
      <c r="H11407" s="1"/>
      <c r="I11407" s="1"/>
      <c r="J11407" s="1"/>
      <c r="K11407" s="1"/>
      <c r="L11407" s="1"/>
      <c r="M11407" s="1"/>
      <c r="N11407" s="1"/>
      <c r="O11407" s="1"/>
      <c r="P11407" s="1"/>
      <c r="Q11407" s="1"/>
      <c r="R11407" s="1"/>
      <c r="S11407" s="1"/>
      <c r="T11407" s="1"/>
      <c r="U11407" s="1"/>
      <c r="V11407" s="1"/>
      <c r="W11407" s="1"/>
      <c r="X11407" s="1"/>
      <c r="Y11407" s="1"/>
      <c r="Z11407" s="1"/>
      <c r="AA11407" s="1"/>
      <c r="AB11407" s="1"/>
    </row>
    <row r="11408" ht="50.25" customHeight="1">
      <c r="A11408" s="12">
        <v>11404.0</v>
      </c>
      <c r="B11408" s="13" t="s">
        <v>10535</v>
      </c>
      <c r="C11408" s="14" t="s">
        <v>11436</v>
      </c>
      <c r="D11408" s="1"/>
      <c r="E11408" s="1"/>
      <c r="F11408" s="1" t="str">
        <f>IFERROR(__xludf.DUMMYFUNCTION("GOOGLETRANSLATE(B11408, ""en"", ""fa"")
"),"کپی رایتینگ II")</f>
        <v>کپی رایتینگ II</v>
      </c>
      <c r="G11408" s="1" t="str">
        <f>IFERROR(__xludf.DUMMYFUNCTION("GOOGLETRANSLATE(C11408, ""en"", ""fa"")
"),"چگونه می‌توانید یک کپی قانع‌کننده برای ایمیل‌های رها کردن سبد خرید الکترونیکی خود ایجاد کنید، با ارائه تخفیف‌ها یا مشوق‌هایی برای جذب مشتریان برای تکمیل خرید خود.")</f>
        <v>چگونه می‌توانید یک کپی قانع‌کننده برای ایمیل‌های رها کردن سبد خرید الکترونیکی خود ایجاد کنید، با ارائه تخفیف‌ها یا مشوق‌هایی برای جذب مشتریان برای تکمیل خرید خود.</v>
      </c>
      <c r="H11408" s="1"/>
      <c r="I11408" s="1"/>
      <c r="J11408" s="1"/>
      <c r="K11408" s="1"/>
      <c r="L11408" s="1"/>
      <c r="M11408" s="1"/>
      <c r="N11408" s="1"/>
      <c r="O11408" s="1"/>
      <c r="P11408" s="1"/>
      <c r="Q11408" s="1"/>
      <c r="R11408" s="1"/>
      <c r="S11408" s="1"/>
      <c r="T11408" s="1"/>
      <c r="U11408" s="1"/>
      <c r="V11408" s="1"/>
      <c r="W11408" s="1"/>
      <c r="X11408" s="1"/>
      <c r="Y11408" s="1"/>
      <c r="Z11408" s="1"/>
      <c r="AA11408" s="1"/>
      <c r="AB11408" s="1"/>
    </row>
    <row r="11409" ht="50.25" customHeight="1">
      <c r="A11409" s="12">
        <v>11405.0</v>
      </c>
      <c r="B11409" s="13" t="s">
        <v>10535</v>
      </c>
      <c r="C11409" s="14" t="s">
        <v>11437</v>
      </c>
      <c r="D11409" s="1"/>
      <c r="E11409" s="1"/>
      <c r="F11409" s="1" t="str">
        <f>IFERROR(__xludf.DUMMYFUNCTION("GOOGLETRANSLATE(B11409, ""en"", ""fa"")
"),"کپی رایتینگ II")</f>
        <v>کپی رایتینگ II</v>
      </c>
      <c r="G11409" s="1" t="str">
        <f>IFERROR(__xludf.DUMMYFUNCTION("GOOGLETRANSLATE(C11409, ""en"", ""fa"")
"),"درباره تکنیک‌های نوشتن نسخه متقاعدکننده برای شاخص‌های پیشرفت تسویه‌حساب تجارت الکترونیک، راهنمایی مشتریان در فرآیند پرداخت و کاهش رها شدن سبد خرید بحث کنید.")</f>
        <v>درباره تکنیک‌های نوشتن نسخه متقاعدکننده برای شاخص‌های پیشرفت تسویه‌حساب تجارت الکترونیک، راهنمایی مشتریان در فرآیند پرداخت و کاهش رها شدن سبد خرید بحث کنید.</v>
      </c>
      <c r="H11409" s="1"/>
      <c r="I11409" s="1"/>
      <c r="J11409" s="1"/>
      <c r="K11409" s="1"/>
      <c r="L11409" s="1"/>
      <c r="M11409" s="1"/>
      <c r="N11409" s="1"/>
      <c r="O11409" s="1"/>
      <c r="P11409" s="1"/>
      <c r="Q11409" s="1"/>
      <c r="R11409" s="1"/>
      <c r="S11409" s="1"/>
      <c r="T11409" s="1"/>
      <c r="U11409" s="1"/>
      <c r="V11409" s="1"/>
      <c r="W11409" s="1"/>
      <c r="X11409" s="1"/>
      <c r="Y11409" s="1"/>
      <c r="Z11409" s="1"/>
      <c r="AA11409" s="1"/>
      <c r="AB11409" s="1"/>
    </row>
    <row r="11410" ht="50.25" customHeight="1">
      <c r="A11410" s="12">
        <v>11406.0</v>
      </c>
      <c r="B11410" s="13" t="s">
        <v>10535</v>
      </c>
      <c r="C11410" s="14" t="s">
        <v>11438</v>
      </c>
      <c r="D11410" s="1"/>
      <c r="E11410" s="1"/>
      <c r="F11410" s="1" t="str">
        <f>IFERROR(__xludf.DUMMYFUNCTION("GOOGLETRANSLATE(B11410, ""en"", ""fa"")
"),"کپی رایتینگ II")</f>
        <v>کپی رایتینگ II</v>
      </c>
      <c r="G11410" s="1" t="str">
        <f>IFERROR(__xludf.DUMMYFUNCTION("GOOGLETRANSLATE(C11410, ""en"", ""fa"")
"),"استراتژی‌های بهینه‌سازی کپی تجارت الکترونیکی خود را برای دستیارهای صوتی و بلندگوهای هوشمند بررسی کنید و به مشتریان اجازه دهید از طریق دستورات صوتی خرید کنند.")</f>
        <v>استراتژی‌های بهینه‌سازی کپی تجارت الکترونیکی خود را برای دستیارهای صوتی و بلندگوهای هوشمند بررسی کنید و به مشتریان اجازه دهید از طریق دستورات صوتی خرید کنند.</v>
      </c>
      <c r="H11410" s="1"/>
      <c r="I11410" s="1"/>
      <c r="J11410" s="1"/>
      <c r="K11410" s="1"/>
      <c r="L11410" s="1"/>
      <c r="M11410" s="1"/>
      <c r="N11410" s="1"/>
      <c r="O11410" s="1"/>
      <c r="P11410" s="1"/>
      <c r="Q11410" s="1"/>
      <c r="R11410" s="1"/>
      <c r="S11410" s="1"/>
      <c r="T11410" s="1"/>
      <c r="U11410" s="1"/>
      <c r="V11410" s="1"/>
      <c r="W11410" s="1"/>
      <c r="X11410" s="1"/>
      <c r="Y11410" s="1"/>
      <c r="Z11410" s="1"/>
      <c r="AA11410" s="1"/>
      <c r="AB11410" s="1"/>
    </row>
    <row r="11411" ht="50.25" customHeight="1">
      <c r="A11411" s="12">
        <v>11407.0</v>
      </c>
      <c r="B11411" s="13" t="s">
        <v>10535</v>
      </c>
      <c r="C11411" s="14" t="s">
        <v>11439</v>
      </c>
      <c r="D11411" s="1"/>
      <c r="E11411" s="1"/>
      <c r="F11411" s="1" t="str">
        <f>IFERROR(__xludf.DUMMYFUNCTION("GOOGLETRANSLATE(B11411, ""en"", ""fa"")
"),"کپی رایتینگ II")</f>
        <v>کپی رایتینگ II</v>
      </c>
      <c r="G11411" s="1" t="str">
        <f>IFERROR(__xludf.DUMMYFUNCTION("GOOGLETRANSLATE(C11411, ""en"", ""fa"")
"),"بهترین روش ها برای نوشتن نسخه متقاعدکننده برای بازخورد مشتریان تجارت الکترونیک و درخواست های بررسی، تشویق مشتریان به ارائه بازخورد ارزشمند چیست.")</f>
        <v>بهترین روش ها برای نوشتن نسخه متقاعدکننده برای بازخورد مشتریان تجارت الکترونیک و درخواست های بررسی، تشویق مشتریان به ارائه بازخورد ارزشمند چیست.</v>
      </c>
      <c r="H11411" s="1"/>
      <c r="I11411" s="1"/>
      <c r="J11411" s="1"/>
      <c r="K11411" s="1"/>
      <c r="L11411" s="1"/>
      <c r="M11411" s="1"/>
      <c r="N11411" s="1"/>
      <c r="O11411" s="1"/>
      <c r="P11411" s="1"/>
      <c r="Q11411" s="1"/>
      <c r="R11411" s="1"/>
      <c r="S11411" s="1"/>
      <c r="T11411" s="1"/>
      <c r="U11411" s="1"/>
      <c r="V11411" s="1"/>
      <c r="W11411" s="1"/>
      <c r="X11411" s="1"/>
      <c r="Y11411" s="1"/>
      <c r="Z11411" s="1"/>
      <c r="AA11411" s="1"/>
      <c r="AB11411" s="1"/>
    </row>
    <row r="11412" ht="50.25" customHeight="1">
      <c r="A11412" s="12">
        <v>11408.0</v>
      </c>
      <c r="B11412" s="13" t="s">
        <v>10535</v>
      </c>
      <c r="C11412" s="14" t="s">
        <v>11440</v>
      </c>
      <c r="D11412" s="1"/>
      <c r="E11412" s="1"/>
      <c r="F11412" s="1" t="str">
        <f>IFERROR(__xludf.DUMMYFUNCTION("GOOGLETRANSLATE(B11412, ""en"", ""fa"")
"),"کپی رایتینگ II")</f>
        <v>کپی رایتینگ II</v>
      </c>
      <c r="G11412" s="1" t="str">
        <f>IFERROR(__xludf.DUMMYFUNCTION("GOOGLETRANSLATE(C11412, ""en"", ""fa"")
"),"چگونه کپی تجارت الکترونیک خود را برای مراحل مختلف قیف فروش، از آگاهی و توجه گرفته تا تبدیل و نگهداری، تنظیم کنید.")</f>
        <v>چگونه کپی تجارت الکترونیک خود را برای مراحل مختلف قیف فروش، از آگاهی و توجه گرفته تا تبدیل و نگهداری، تنظیم کنید.</v>
      </c>
      <c r="H11412" s="1"/>
      <c r="I11412" s="1"/>
      <c r="J11412" s="1"/>
      <c r="K11412" s="1"/>
      <c r="L11412" s="1"/>
      <c r="M11412" s="1"/>
      <c r="N11412" s="1"/>
      <c r="O11412" s="1"/>
      <c r="P11412" s="1"/>
      <c r="Q11412" s="1"/>
      <c r="R11412" s="1"/>
      <c r="S11412" s="1"/>
      <c r="T11412" s="1"/>
      <c r="U11412" s="1"/>
      <c r="V11412" s="1"/>
      <c r="W11412" s="1"/>
      <c r="X11412" s="1"/>
      <c r="Y11412" s="1"/>
      <c r="Z11412" s="1"/>
      <c r="AA11412" s="1"/>
      <c r="AB11412" s="1"/>
    </row>
    <row r="11413" ht="50.25" customHeight="1">
      <c r="A11413" s="12">
        <v>11409.0</v>
      </c>
      <c r="B11413" s="13" t="s">
        <v>10535</v>
      </c>
      <c r="C11413" s="14" t="s">
        <v>11441</v>
      </c>
      <c r="D11413" s="1"/>
      <c r="E11413" s="1"/>
      <c r="F11413" s="1" t="str">
        <f>IFERROR(__xludf.DUMMYFUNCTION("GOOGLETRANSLATE(B11413, ""en"", ""fa"")
"),"کپی رایتینگ II")</f>
        <v>کپی رایتینگ II</v>
      </c>
      <c r="G11413" s="1" t="str">
        <f>IFERROR(__xludf.DUMMYFUNCTION("GOOGLETRANSLATE(C11413, ""en"", ""fa"")
"),"تکنیک‌های تصحیح ضروری برای تشخیص اشتباهات املایی در نسخه شما چیست؟")</f>
        <v>تکنیک‌های تصحیح ضروری برای تشخیص اشتباهات املایی در نسخه شما چیست؟</v>
      </c>
      <c r="H11413" s="1"/>
      <c r="I11413" s="1"/>
      <c r="J11413" s="1"/>
      <c r="K11413" s="1"/>
      <c r="L11413" s="1"/>
      <c r="M11413" s="1"/>
      <c r="N11413" s="1"/>
      <c r="O11413" s="1"/>
      <c r="P11413" s="1"/>
      <c r="Q11413" s="1"/>
      <c r="R11413" s="1"/>
      <c r="S11413" s="1"/>
      <c r="T11413" s="1"/>
      <c r="U11413" s="1"/>
      <c r="V11413" s="1"/>
      <c r="W11413" s="1"/>
      <c r="X11413" s="1"/>
      <c r="Y11413" s="1"/>
      <c r="Z11413" s="1"/>
      <c r="AA11413" s="1"/>
      <c r="AB11413" s="1"/>
    </row>
    <row r="11414" ht="50.25" customHeight="1">
      <c r="A11414" s="12">
        <v>11410.0</v>
      </c>
      <c r="B11414" s="13" t="s">
        <v>10535</v>
      </c>
      <c r="C11414" s="14" t="s">
        <v>11442</v>
      </c>
      <c r="D11414" s="1"/>
      <c r="E11414" s="1"/>
      <c r="F11414" s="1" t="str">
        <f>IFERROR(__xludf.DUMMYFUNCTION("GOOGLETRANSLATE(B11414, ""en"", ""fa"")
"),"کپی رایتینگ II")</f>
        <v>کپی رایتینگ II</v>
      </c>
      <c r="G11414" s="1" t="str">
        <f>IFERROR(__xludf.DUMMYFUNCTION("GOOGLETRANSLATE(C11414, ""en"", ""fa"")
"),"چگونه می توانید اشتباهات گرامری در نوشته خود را در طول فرآیند ویرایش به طور موثر بررسی کنید؟")</f>
        <v>چگونه می توانید اشتباهات گرامری در نوشته خود را در طول فرآیند ویرایش به طور موثر بررسی کنید؟</v>
      </c>
      <c r="H11414" s="1"/>
      <c r="I11414" s="1"/>
      <c r="J11414" s="1"/>
      <c r="K11414" s="1"/>
      <c r="L11414" s="1"/>
      <c r="M11414" s="1"/>
      <c r="N11414" s="1"/>
      <c r="O11414" s="1"/>
      <c r="P11414" s="1"/>
      <c r="Q11414" s="1"/>
      <c r="R11414" s="1"/>
      <c r="S11414" s="1"/>
      <c r="T11414" s="1"/>
      <c r="U11414" s="1"/>
      <c r="V11414" s="1"/>
      <c r="W11414" s="1"/>
      <c r="X11414" s="1"/>
      <c r="Y11414" s="1"/>
      <c r="Z11414" s="1"/>
      <c r="AA11414" s="1"/>
      <c r="AB11414" s="1"/>
    </row>
    <row r="11415" ht="50.25" customHeight="1">
      <c r="A11415" s="12">
        <v>11411.0</v>
      </c>
      <c r="B11415" s="13" t="s">
        <v>10535</v>
      </c>
      <c r="C11415" s="14" t="s">
        <v>11443</v>
      </c>
      <c r="D11415" s="1"/>
      <c r="E11415" s="1"/>
      <c r="F11415" s="1" t="str">
        <f>IFERROR(__xludf.DUMMYFUNCTION("GOOGLETRANSLATE(B11415, ""en"", ""fa"")
"),"کپی رایتینگ II")</f>
        <v>کپی رایتینگ II</v>
      </c>
      <c r="G11415" s="1" t="str">
        <f>IFERROR(__xludf.DUMMYFUNCTION("GOOGLETRANSLATE(C11415, ""en"", ""fa"")
"),"در مورد اهمیت ثبات در قالب بندی و سبک هنگام ویرایش کپی بحث کنید.")</f>
        <v>در مورد اهمیت ثبات در قالب بندی و سبک هنگام ویرایش کپی بحث کنید.</v>
      </c>
      <c r="H11415" s="1"/>
      <c r="I11415" s="1"/>
      <c r="J11415" s="1"/>
      <c r="K11415" s="1"/>
      <c r="L11415" s="1"/>
      <c r="M11415" s="1"/>
      <c r="N11415" s="1"/>
      <c r="O11415" s="1"/>
      <c r="P11415" s="1"/>
      <c r="Q11415" s="1"/>
      <c r="R11415" s="1"/>
      <c r="S11415" s="1"/>
      <c r="T11415" s="1"/>
      <c r="U11415" s="1"/>
      <c r="V11415" s="1"/>
      <c r="W11415" s="1"/>
      <c r="X11415" s="1"/>
      <c r="Y11415" s="1"/>
      <c r="Z11415" s="1"/>
      <c r="AA11415" s="1"/>
      <c r="AB11415" s="1"/>
    </row>
    <row r="11416" ht="50.25" customHeight="1">
      <c r="A11416" s="12">
        <v>11412.0</v>
      </c>
      <c r="B11416" s="13" t="s">
        <v>10535</v>
      </c>
      <c r="C11416" s="14" t="s">
        <v>11444</v>
      </c>
      <c r="D11416" s="1"/>
      <c r="E11416" s="1"/>
      <c r="F11416" s="1" t="str">
        <f>IFERROR(__xludf.DUMMYFUNCTION("GOOGLETRANSLATE(B11416, ""en"", ""fa"")
"),"کپی رایتینگ II")</f>
        <v>کپی رایتینگ II</v>
      </c>
      <c r="G11416" s="1" t="str">
        <f>IFERROR(__xludf.DUMMYFUNCTION("GOOGLETRANSLATE(C11416, ""en"", ""fa"")
"),"هنگام تصحیح نسخه خود باید به چه خطاهای رایج نقطه گذاری توجه کنید؟")</f>
        <v>هنگام تصحیح نسخه خود باید به چه خطاهای رایج نقطه گذاری توجه کنید؟</v>
      </c>
      <c r="H11416" s="1"/>
      <c r="I11416" s="1"/>
      <c r="J11416" s="1"/>
      <c r="K11416" s="1"/>
      <c r="L11416" s="1"/>
      <c r="M11416" s="1"/>
      <c r="N11416" s="1"/>
      <c r="O11416" s="1"/>
      <c r="P11416" s="1"/>
      <c r="Q11416" s="1"/>
      <c r="R11416" s="1"/>
      <c r="S11416" s="1"/>
      <c r="T11416" s="1"/>
      <c r="U11416" s="1"/>
      <c r="V11416" s="1"/>
      <c r="W11416" s="1"/>
      <c r="X11416" s="1"/>
      <c r="Y11416" s="1"/>
      <c r="Z11416" s="1"/>
      <c r="AA11416" s="1"/>
      <c r="AB11416" s="1"/>
    </row>
    <row r="11417" ht="50.25" customHeight="1">
      <c r="A11417" s="12">
        <v>11413.0</v>
      </c>
      <c r="B11417" s="13" t="s">
        <v>10535</v>
      </c>
      <c r="C11417" s="14" t="s">
        <v>11445</v>
      </c>
      <c r="D11417" s="1"/>
      <c r="E11417" s="1"/>
      <c r="F11417" s="1" t="str">
        <f>IFERROR(__xludf.DUMMYFUNCTION("GOOGLETRANSLATE(B11417, ""en"", ""fa"")
"),"کپی رایتینگ II")</f>
        <v>کپی رایتینگ II</v>
      </c>
      <c r="G11417" s="1" t="str">
        <f>IFERROR(__xludf.DUMMYFUNCTION("GOOGLETRANSLATE(C11417, ""en"", ""fa"")
"),"چگونه می توانید اطمینان حاصل کنید که نسخه شما عاری از اشتباهات تایپی و تایپی است؟")</f>
        <v>چگونه می توانید اطمینان حاصل کنید که نسخه شما عاری از اشتباهات تایپی و تایپی است؟</v>
      </c>
      <c r="H11417" s="1"/>
      <c r="I11417" s="1"/>
      <c r="J11417" s="1"/>
      <c r="K11417" s="1"/>
      <c r="L11417" s="1"/>
      <c r="M11417" s="1"/>
      <c r="N11417" s="1"/>
      <c r="O11417" s="1"/>
      <c r="P11417" s="1"/>
      <c r="Q11417" s="1"/>
      <c r="R11417" s="1"/>
      <c r="S11417" s="1"/>
      <c r="T11417" s="1"/>
      <c r="U11417" s="1"/>
      <c r="V11417" s="1"/>
      <c r="W11417" s="1"/>
      <c r="X11417" s="1"/>
      <c r="Y11417" s="1"/>
      <c r="Z11417" s="1"/>
      <c r="AA11417" s="1"/>
      <c r="AB11417" s="1"/>
    </row>
    <row r="11418" ht="50.25" customHeight="1">
      <c r="A11418" s="12">
        <v>11414.0</v>
      </c>
      <c r="B11418" s="13" t="s">
        <v>10535</v>
      </c>
      <c r="C11418" s="14" t="s">
        <v>11446</v>
      </c>
      <c r="D11418" s="1"/>
      <c r="E11418" s="1"/>
      <c r="F11418" s="1" t="str">
        <f>IFERROR(__xludf.DUMMYFUNCTION("GOOGLETRANSLATE(B11418, ""en"", ""fa"")
"),"کپی رایتینگ II")</f>
        <v>کپی رایتینگ II</v>
      </c>
      <c r="G11418" s="1" t="str">
        <f>IFERROR(__xludf.DUMMYFUNCTION("GOOGLETRANSLATE(C11418, ""en"", ""fa"")
"),"در مورد نقش تصحیح در حفظ وضوح و انسجام در نسخه خود بحث کنید.")</f>
        <v>در مورد نقش تصحیح در حفظ وضوح و انسجام در نسخه خود بحث کنید.</v>
      </c>
      <c r="H11418" s="1"/>
      <c r="I11418" s="1"/>
      <c r="J11418" s="1"/>
      <c r="K11418" s="1"/>
      <c r="L11418" s="1"/>
      <c r="M11418" s="1"/>
      <c r="N11418" s="1"/>
      <c r="O11418" s="1"/>
      <c r="P11418" s="1"/>
      <c r="Q11418" s="1"/>
      <c r="R11418" s="1"/>
      <c r="S11418" s="1"/>
      <c r="T11418" s="1"/>
      <c r="U11418" s="1"/>
      <c r="V11418" s="1"/>
      <c r="W11418" s="1"/>
      <c r="X11418" s="1"/>
      <c r="Y11418" s="1"/>
      <c r="Z11418" s="1"/>
      <c r="AA11418" s="1"/>
      <c r="AB11418" s="1"/>
    </row>
    <row r="11419" ht="50.25" customHeight="1">
      <c r="A11419" s="12">
        <v>11415.0</v>
      </c>
      <c r="B11419" s="13" t="s">
        <v>10535</v>
      </c>
      <c r="C11419" s="14" t="s">
        <v>11447</v>
      </c>
      <c r="D11419" s="1"/>
      <c r="E11419" s="1"/>
      <c r="F11419" s="1" t="str">
        <f>IFERROR(__xludf.DUMMYFUNCTION("GOOGLETRANSLATE(B11419, ""en"", ""fa"")
"),"کپی رایتینگ II")</f>
        <v>کپی رایتینگ II</v>
      </c>
      <c r="G11419" s="1" t="str">
        <f>IFERROR(__xludf.DUMMYFUNCTION("GOOGLETRANSLATE(C11419, ""en"", ""fa"")
"),"بهترین روش ها برای بررسی ساختار و نحو مناسب جمله در نوشته شما چیست؟")</f>
        <v>بهترین روش ها برای بررسی ساختار و نحو مناسب جمله در نوشته شما چیست؟</v>
      </c>
      <c r="H11419" s="1"/>
      <c r="I11419" s="1"/>
      <c r="J11419" s="1"/>
      <c r="K11419" s="1"/>
      <c r="L11419" s="1"/>
      <c r="M11419" s="1"/>
      <c r="N11419" s="1"/>
      <c r="O11419" s="1"/>
      <c r="P11419" s="1"/>
      <c r="Q11419" s="1"/>
      <c r="R11419" s="1"/>
      <c r="S11419" s="1"/>
      <c r="T11419" s="1"/>
      <c r="U11419" s="1"/>
      <c r="V11419" s="1"/>
      <c r="W11419" s="1"/>
      <c r="X11419" s="1"/>
      <c r="Y11419" s="1"/>
      <c r="Z11419" s="1"/>
      <c r="AA11419" s="1"/>
      <c r="AB11419" s="1"/>
    </row>
    <row r="11420" ht="50.25" customHeight="1">
      <c r="A11420" s="12">
        <v>11416.0</v>
      </c>
      <c r="B11420" s="13" t="s">
        <v>10535</v>
      </c>
      <c r="C11420" s="14" t="s">
        <v>11448</v>
      </c>
      <c r="D11420" s="1"/>
      <c r="E11420" s="1"/>
      <c r="F11420" s="1" t="str">
        <f>IFERROR(__xludf.DUMMYFUNCTION("GOOGLETRANSLATE(B11420, ""en"", ""fa"")
"),"کپی رایتینگ II")</f>
        <v>کپی رایتینگ II</v>
      </c>
      <c r="G11420" s="1" t="str">
        <f>IFERROR(__xludf.DUMMYFUNCTION("GOOGLETRANSLATE(C11420, ""en"", ""fa"")
"),"چگونه می توانید عبارت های نامناسب یا زبان مبهم را در نسخه خود شناسایی و تصحیح کنید؟")</f>
        <v>چگونه می توانید عبارت های نامناسب یا زبان مبهم را در نسخه خود شناسایی و تصحیح کنید؟</v>
      </c>
      <c r="H11420" s="1"/>
      <c r="I11420" s="1"/>
      <c r="J11420" s="1"/>
      <c r="K11420" s="1"/>
      <c r="L11420" s="1"/>
      <c r="M11420" s="1"/>
      <c r="N11420" s="1"/>
      <c r="O11420" s="1"/>
      <c r="P11420" s="1"/>
      <c r="Q11420" s="1"/>
      <c r="R11420" s="1"/>
      <c r="S11420" s="1"/>
      <c r="T11420" s="1"/>
      <c r="U11420" s="1"/>
      <c r="V11420" s="1"/>
      <c r="W11420" s="1"/>
      <c r="X11420" s="1"/>
      <c r="Y11420" s="1"/>
      <c r="Z11420" s="1"/>
      <c r="AA11420" s="1"/>
      <c r="AB11420" s="1"/>
    </row>
    <row r="11421" ht="50.25" customHeight="1">
      <c r="A11421" s="12">
        <v>11417.0</v>
      </c>
      <c r="B11421" s="13" t="s">
        <v>10535</v>
      </c>
      <c r="C11421" s="14" t="s">
        <v>11449</v>
      </c>
      <c r="D11421" s="1"/>
      <c r="E11421" s="1"/>
      <c r="F11421" s="1" t="str">
        <f>IFERROR(__xludf.DUMMYFUNCTION("GOOGLETRANSLATE(B11421, ""en"", ""fa"")
"),"کپی رایتینگ II")</f>
        <v>کپی رایتینگ II</v>
      </c>
      <c r="G11421" s="1" t="str">
        <f>IFERROR(__xludf.DUMMYFUNCTION("GOOGLETRANSLATE(C11421, ""en"", ""fa"")
"),"در مورد اهمیت تصحیح برای حذف کلمات زائد یا غیر ضروری در نوشته خود بحث کنید.")</f>
        <v>در مورد اهمیت تصحیح برای حذف کلمات زائد یا غیر ضروری در نوشته خود بحث کنید.</v>
      </c>
      <c r="H11421" s="1"/>
      <c r="I11421" s="1"/>
      <c r="J11421" s="1"/>
      <c r="K11421" s="1"/>
      <c r="L11421" s="1"/>
      <c r="M11421" s="1"/>
      <c r="N11421" s="1"/>
      <c r="O11421" s="1"/>
      <c r="P11421" s="1"/>
      <c r="Q11421" s="1"/>
      <c r="R11421" s="1"/>
      <c r="S11421" s="1"/>
      <c r="T11421" s="1"/>
      <c r="U11421" s="1"/>
      <c r="V11421" s="1"/>
      <c r="W11421" s="1"/>
      <c r="X11421" s="1"/>
      <c r="Y11421" s="1"/>
      <c r="Z11421" s="1"/>
      <c r="AA11421" s="1"/>
      <c r="AB11421" s="1"/>
    </row>
    <row r="11422" ht="50.25" customHeight="1">
      <c r="A11422" s="12">
        <v>11418.0</v>
      </c>
      <c r="B11422" s="13" t="s">
        <v>10535</v>
      </c>
      <c r="C11422" s="14" t="s">
        <v>11450</v>
      </c>
      <c r="D11422" s="1"/>
      <c r="E11422" s="1"/>
      <c r="F11422" s="1" t="str">
        <f>IFERROR(__xludf.DUMMYFUNCTION("GOOGLETRANSLATE(B11422, ""en"", ""fa"")
"),"کپی رایتینگ II")</f>
        <v>کپی رایتینگ II</v>
      </c>
      <c r="G11422" s="1" t="str">
        <f>IFERROR(__xludf.DUMMYFUNCTION("GOOGLETRANSLATE(C11422, ""en"", ""fa"")
"),"چه استراتژی هایی را می توانید برای شناسایی و رفع خطاها در حروف بزرگ و استفاده از اسم های مناسب به کار ببرید؟")</f>
        <v>چه استراتژی هایی را می توانید برای شناسایی و رفع خطاها در حروف بزرگ و استفاده از اسم های مناسب به کار ببرید؟</v>
      </c>
      <c r="H11422" s="1"/>
      <c r="I11422" s="1"/>
      <c r="J11422" s="1"/>
      <c r="K11422" s="1"/>
      <c r="L11422" s="1"/>
      <c r="M11422" s="1"/>
      <c r="N11422" s="1"/>
      <c r="O11422" s="1"/>
      <c r="P11422" s="1"/>
      <c r="Q11422" s="1"/>
      <c r="R11422" s="1"/>
      <c r="S11422" s="1"/>
      <c r="T11422" s="1"/>
      <c r="U11422" s="1"/>
      <c r="V11422" s="1"/>
      <c r="W11422" s="1"/>
      <c r="X11422" s="1"/>
      <c r="Y11422" s="1"/>
      <c r="Z11422" s="1"/>
      <c r="AA11422" s="1"/>
      <c r="AB11422" s="1"/>
    </row>
    <row r="11423" ht="50.25" customHeight="1">
      <c r="A11423" s="12">
        <v>11419.0</v>
      </c>
      <c r="B11423" s="13" t="s">
        <v>10535</v>
      </c>
      <c r="C11423" s="14" t="s">
        <v>11451</v>
      </c>
      <c r="D11423" s="1"/>
      <c r="E11423" s="1"/>
      <c r="F11423" s="1" t="str">
        <f>IFERROR(__xludf.DUMMYFUNCTION("GOOGLETRANSLATE(B11423, ""en"", ""fa"")
"),"کپی رایتینگ II")</f>
        <v>کپی رایتینگ II</v>
      </c>
      <c r="G11423" s="1" t="str">
        <f>IFERROR(__xludf.DUMMYFUNCTION("GOOGLETRANSLATE(C11423, ""en"", ""fa"")
"),"چگونه می توانید اطمینان حاصل کنید که نسخه شما به استفاده از زمان فعل سازگار و مناسب پایبند است؟")</f>
        <v>چگونه می توانید اطمینان حاصل کنید که نسخه شما به استفاده از زمان فعل سازگار و مناسب پایبند است؟</v>
      </c>
      <c r="H11423" s="1"/>
      <c r="I11423" s="1"/>
      <c r="J11423" s="1"/>
      <c r="K11423" s="1"/>
      <c r="L11423" s="1"/>
      <c r="M11423" s="1"/>
      <c r="N11423" s="1"/>
      <c r="O11423" s="1"/>
      <c r="P11423" s="1"/>
      <c r="Q11423" s="1"/>
      <c r="R11423" s="1"/>
      <c r="S11423" s="1"/>
      <c r="T11423" s="1"/>
      <c r="U11423" s="1"/>
      <c r="V11423" s="1"/>
      <c r="W11423" s="1"/>
      <c r="X11423" s="1"/>
      <c r="Y11423" s="1"/>
      <c r="Z11423" s="1"/>
      <c r="AA11423" s="1"/>
      <c r="AB11423" s="1"/>
    </row>
    <row r="11424" ht="50.25" customHeight="1">
      <c r="A11424" s="12">
        <v>11420.0</v>
      </c>
      <c r="B11424" s="13" t="s">
        <v>10535</v>
      </c>
      <c r="C11424" s="14" t="s">
        <v>11452</v>
      </c>
      <c r="D11424" s="1"/>
      <c r="E11424" s="1"/>
      <c r="F11424" s="1" t="str">
        <f>IFERROR(__xludf.DUMMYFUNCTION("GOOGLETRANSLATE(B11424, ""en"", ""fa"")
"),"کپی رایتینگ II")</f>
        <v>کپی رایتینگ II</v>
      </c>
      <c r="G11424" s="1" t="str">
        <f>IFERROR(__xludf.DUMMYFUNCTION("GOOGLETRANSLATE(C11424, ""en"", ""fa"")
"),"در مورد نقش تصحیح در تأیید صحت حقایق، ارقام و آمار در نسخه خود بحث کنید.")</f>
        <v>در مورد نقش تصحیح در تأیید صحت حقایق، ارقام و آمار در نسخه خود بحث کنید.</v>
      </c>
      <c r="H11424" s="1"/>
      <c r="I11424" s="1"/>
      <c r="J11424" s="1"/>
      <c r="K11424" s="1"/>
      <c r="L11424" s="1"/>
      <c r="M11424" s="1"/>
      <c r="N11424" s="1"/>
      <c r="O11424" s="1"/>
      <c r="P11424" s="1"/>
      <c r="Q11424" s="1"/>
      <c r="R11424" s="1"/>
      <c r="S11424" s="1"/>
      <c r="T11424" s="1"/>
      <c r="U11424" s="1"/>
      <c r="V11424" s="1"/>
      <c r="W11424" s="1"/>
      <c r="X11424" s="1"/>
      <c r="Y11424" s="1"/>
      <c r="Z11424" s="1"/>
      <c r="AA11424" s="1"/>
      <c r="AB11424" s="1"/>
    </row>
    <row r="11425" ht="50.25" customHeight="1">
      <c r="A11425" s="12">
        <v>11421.0</v>
      </c>
      <c r="B11425" s="13" t="s">
        <v>10535</v>
      </c>
      <c r="C11425" s="14" t="s">
        <v>11453</v>
      </c>
      <c r="D11425" s="1"/>
      <c r="E11425" s="1"/>
      <c r="F11425" s="1" t="str">
        <f>IFERROR(__xludf.DUMMYFUNCTION("GOOGLETRANSLATE(B11425, ""en"", ""fa"")
"),"کپی رایتینگ II")</f>
        <v>کپی رایتینگ II</v>
      </c>
      <c r="G11425" s="1" t="str">
        <f>IFERROR(__xludf.DUMMYFUNCTION("GOOGLETRANSLATE(C11425, ""en"", ""fa"")
"),"تکنیک های بررسی و تصحیح خطاهای توافق فاعل و فعل در نوشته شما چیست؟")</f>
        <v>تکنیک های بررسی و تصحیح خطاهای توافق فاعل و فعل در نوشته شما چیست؟</v>
      </c>
      <c r="H11425" s="1"/>
      <c r="I11425" s="1"/>
      <c r="J11425" s="1"/>
      <c r="K11425" s="1"/>
      <c r="L11425" s="1"/>
      <c r="M11425" s="1"/>
      <c r="N11425" s="1"/>
      <c r="O11425" s="1"/>
      <c r="P11425" s="1"/>
      <c r="Q11425" s="1"/>
      <c r="R11425" s="1"/>
      <c r="S11425" s="1"/>
      <c r="T11425" s="1"/>
      <c r="U11425" s="1"/>
      <c r="V11425" s="1"/>
      <c r="W11425" s="1"/>
      <c r="X11425" s="1"/>
      <c r="Y11425" s="1"/>
      <c r="Z11425" s="1"/>
      <c r="AA11425" s="1"/>
      <c r="AB11425" s="1"/>
    </row>
    <row r="11426" ht="50.25" customHeight="1">
      <c r="A11426" s="12">
        <v>11422.0</v>
      </c>
      <c r="B11426" s="13" t="s">
        <v>10535</v>
      </c>
      <c r="C11426" s="14" t="s">
        <v>11454</v>
      </c>
      <c r="D11426" s="1"/>
      <c r="E11426" s="1"/>
      <c r="F11426" s="1" t="str">
        <f>IFERROR(__xludf.DUMMYFUNCTION("GOOGLETRANSLATE(B11426, ""en"", ""fa"")
"),"کپی رایتینگ II")</f>
        <v>کپی رایتینگ II</v>
      </c>
      <c r="G11426" s="1" t="str">
        <f>IFERROR(__xludf.DUMMYFUNCTION("GOOGLETRANSLATE(C11426, ""en"", ""fa"")
"),"چگونه می توانید به طور مؤثر نسخه خود را برای وضوح تصحیح و ویرایش کنید و اطمینان حاصل کنید که پیام شما به راحتی برای خوانندگان قابل درک است؟")</f>
        <v>چگونه می توانید به طور مؤثر نسخه خود را برای وضوح تصحیح و ویرایش کنید و اطمینان حاصل کنید که پیام شما به راحتی برای خوانندگان قابل درک است؟</v>
      </c>
      <c r="H11426" s="1"/>
      <c r="I11426" s="1"/>
      <c r="J11426" s="1"/>
      <c r="K11426" s="1"/>
      <c r="L11426" s="1"/>
      <c r="M11426" s="1"/>
      <c r="N11426" s="1"/>
      <c r="O11426" s="1"/>
      <c r="P11426" s="1"/>
      <c r="Q11426" s="1"/>
      <c r="R11426" s="1"/>
      <c r="S11426" s="1"/>
      <c r="T11426" s="1"/>
      <c r="U11426" s="1"/>
      <c r="V11426" s="1"/>
      <c r="W11426" s="1"/>
      <c r="X11426" s="1"/>
      <c r="Y11426" s="1"/>
      <c r="Z11426" s="1"/>
      <c r="AA11426" s="1"/>
      <c r="AB11426" s="1"/>
    </row>
    <row r="11427" ht="50.25" customHeight="1">
      <c r="A11427" s="12">
        <v>11423.0</v>
      </c>
      <c r="B11427" s="13" t="s">
        <v>10535</v>
      </c>
      <c r="C11427" s="14" t="s">
        <v>11455</v>
      </c>
      <c r="D11427" s="1"/>
      <c r="E11427" s="1"/>
      <c r="F11427" s="1" t="str">
        <f>IFERROR(__xludf.DUMMYFUNCTION("GOOGLETRANSLATE(B11427, ""en"", ""fa"")
"),"کپی رایتینگ II")</f>
        <v>کپی رایتینگ II</v>
      </c>
      <c r="G11427" s="1" t="str">
        <f>IFERROR(__xludf.DUMMYFUNCTION("GOOGLETRANSLATE(C11427, ""en"", ""fa"")
"),"در مورد اهمیت بازبینی و بازنگری قطعات جمله و جملات اجرا شده در نسخه خود بحث کنید.")</f>
        <v>در مورد اهمیت بازبینی و بازنگری قطعات جمله و جملات اجرا شده در نسخه خود بحث کنید.</v>
      </c>
      <c r="H11427" s="1"/>
      <c r="I11427" s="1"/>
      <c r="J11427" s="1"/>
      <c r="K11427" s="1"/>
      <c r="L11427" s="1"/>
      <c r="M11427" s="1"/>
      <c r="N11427" s="1"/>
      <c r="O11427" s="1"/>
      <c r="P11427" s="1"/>
      <c r="Q11427" s="1"/>
      <c r="R11427" s="1"/>
      <c r="S11427" s="1"/>
      <c r="T11427" s="1"/>
      <c r="U11427" s="1"/>
      <c r="V11427" s="1"/>
      <c r="W11427" s="1"/>
      <c r="X11427" s="1"/>
      <c r="Y11427" s="1"/>
      <c r="Z11427" s="1"/>
      <c r="AA11427" s="1"/>
      <c r="AB11427" s="1"/>
    </row>
    <row r="11428" ht="50.25" customHeight="1">
      <c r="A11428" s="12">
        <v>11424.0</v>
      </c>
      <c r="B11428" s="13" t="s">
        <v>10535</v>
      </c>
      <c r="C11428" s="14" t="s">
        <v>11456</v>
      </c>
      <c r="D11428" s="1"/>
      <c r="E11428" s="1"/>
      <c r="F11428" s="1" t="str">
        <f>IFERROR(__xludf.DUMMYFUNCTION("GOOGLETRANSLATE(B11428, ""en"", ""fa"")
"),"کپی رایتینگ II")</f>
        <v>کپی رایتینگ II</v>
      </c>
      <c r="G11428" s="1" t="str">
        <f>IFERROR(__xludf.DUMMYFUNCTION("GOOGLETRANSLATE(C11428, ""en"", ""fa"")
"),"بهترین روش برای بررسی و تصحیح خطاها در ساختار موازی و موازی جمله چیست؟")</f>
        <v>بهترین روش برای بررسی و تصحیح خطاها در ساختار موازی و موازی جمله چیست؟</v>
      </c>
      <c r="H11428" s="1"/>
      <c r="I11428" s="1"/>
      <c r="J11428" s="1"/>
      <c r="K11428" s="1"/>
      <c r="L11428" s="1"/>
      <c r="M11428" s="1"/>
      <c r="N11428" s="1"/>
      <c r="O11428" s="1"/>
      <c r="P11428" s="1"/>
      <c r="Q11428" s="1"/>
      <c r="R11428" s="1"/>
      <c r="S11428" s="1"/>
      <c r="T11428" s="1"/>
      <c r="U11428" s="1"/>
      <c r="V11428" s="1"/>
      <c r="W11428" s="1"/>
      <c r="X11428" s="1"/>
      <c r="Y11428" s="1"/>
      <c r="Z11428" s="1"/>
      <c r="AA11428" s="1"/>
      <c r="AB11428" s="1"/>
    </row>
    <row r="11429" ht="50.25" customHeight="1">
      <c r="A11429" s="12">
        <v>11425.0</v>
      </c>
      <c r="B11429" s="13" t="s">
        <v>10535</v>
      </c>
      <c r="C11429" s="14" t="s">
        <v>11457</v>
      </c>
      <c r="D11429" s="1"/>
      <c r="E11429" s="1"/>
      <c r="F11429" s="1" t="str">
        <f>IFERROR(__xludf.DUMMYFUNCTION("GOOGLETRANSLATE(B11429, ""en"", ""fa"")
"),"کپی رایتینگ II")</f>
        <v>کپی رایتینگ II</v>
      </c>
      <c r="G11429" s="1" t="str">
        <f>IFERROR(__xludf.DUMMYFUNCTION("GOOGLETRANSLATE(C11429, ""en"", ""fa"")
"),"چگونه می توانید ناهماهنگی های لحن و صدا را در سراسر نسخه خود شناسایی و اصلاح کنید؟")</f>
        <v>چگونه می توانید ناهماهنگی های لحن و صدا را در سراسر نسخه خود شناسایی و اصلاح کنید؟</v>
      </c>
      <c r="H11429" s="1"/>
      <c r="I11429" s="1"/>
      <c r="J11429" s="1"/>
      <c r="K11429" s="1"/>
      <c r="L11429" s="1"/>
      <c r="M11429" s="1"/>
      <c r="N11429" s="1"/>
      <c r="O11429" s="1"/>
      <c r="P11429" s="1"/>
      <c r="Q11429" s="1"/>
      <c r="R11429" s="1"/>
      <c r="S11429" s="1"/>
      <c r="T11429" s="1"/>
      <c r="U11429" s="1"/>
      <c r="V11429" s="1"/>
      <c r="W11429" s="1"/>
      <c r="X11429" s="1"/>
      <c r="Y11429" s="1"/>
      <c r="Z11429" s="1"/>
      <c r="AA11429" s="1"/>
      <c r="AB11429" s="1"/>
    </row>
    <row r="11430" ht="50.25" customHeight="1">
      <c r="A11430" s="12">
        <v>11426.0</v>
      </c>
      <c r="B11430" s="13" t="s">
        <v>10535</v>
      </c>
      <c r="C11430" s="14" t="s">
        <v>11458</v>
      </c>
      <c r="D11430" s="1"/>
      <c r="E11430" s="1"/>
      <c r="F11430" s="1" t="str">
        <f>IFERROR(__xludf.DUMMYFUNCTION("GOOGLETRANSLATE(B11430, ""en"", ""fa"")
"),"کپی رایتینگ II")</f>
        <v>کپی رایتینگ II</v>
      </c>
      <c r="G11430" s="1" t="str">
        <f>IFERROR(__xludf.DUMMYFUNCTION("GOOGLETRANSLATE(C11430, ""en"", ""fa"")
"),"در مورد نقش تصحیح در حفظ قالب بندی و فاصله گذاری مناسب در نوشته خود بحث کنید.")</f>
        <v>در مورد نقش تصحیح در حفظ قالب بندی و فاصله گذاری مناسب در نوشته خود بحث کنید.</v>
      </c>
      <c r="H11430" s="1"/>
      <c r="I11430" s="1"/>
      <c r="J11430" s="1"/>
      <c r="K11430" s="1"/>
      <c r="L11430" s="1"/>
      <c r="M11430" s="1"/>
      <c r="N11430" s="1"/>
      <c r="O11430" s="1"/>
      <c r="P11430" s="1"/>
      <c r="Q11430" s="1"/>
      <c r="R11430" s="1"/>
      <c r="S11430" s="1"/>
      <c r="T11430" s="1"/>
      <c r="U11430" s="1"/>
      <c r="V11430" s="1"/>
      <c r="W11430" s="1"/>
      <c r="X11430" s="1"/>
      <c r="Y11430" s="1"/>
      <c r="Z11430" s="1"/>
      <c r="AA11430" s="1"/>
      <c r="AB11430" s="1"/>
    </row>
    <row r="11431" ht="50.25" customHeight="1">
      <c r="A11431" s="12">
        <v>11427.0</v>
      </c>
      <c r="B11431" s="13" t="s">
        <v>10535</v>
      </c>
      <c r="C11431" s="14" t="s">
        <v>11459</v>
      </c>
      <c r="D11431" s="1"/>
      <c r="E11431" s="1"/>
      <c r="F11431" s="1" t="str">
        <f>IFERROR(__xludf.DUMMYFUNCTION("GOOGLETRANSLATE(B11431, ""en"", ""fa"")
"),"کپی رایتینگ II")</f>
        <v>کپی رایتینگ II</v>
      </c>
      <c r="G11431" s="1" t="str">
        <f>IFERROR(__xludf.DUMMYFUNCTION("GOOGLETRANSLATE(C11431, ""en"", ""fa"")
"),"چه استراتژی هایی را می توانید برای شناسایی و رفع خطاهای استفاده از فعل و توافق فعل در نسخه خود به کار ببرید؟")</f>
        <v>چه استراتژی هایی را می توانید برای شناسایی و رفع خطاهای استفاده از فعل و توافق فعل در نسخه خود به کار ببرید؟</v>
      </c>
      <c r="H11431" s="1"/>
      <c r="I11431" s="1"/>
      <c r="J11431" s="1"/>
      <c r="K11431" s="1"/>
      <c r="L11431" s="1"/>
      <c r="M11431" s="1"/>
      <c r="N11431" s="1"/>
      <c r="O11431" s="1"/>
      <c r="P11431" s="1"/>
      <c r="Q11431" s="1"/>
      <c r="R11431" s="1"/>
      <c r="S11431" s="1"/>
      <c r="T11431" s="1"/>
      <c r="U11431" s="1"/>
      <c r="V11431" s="1"/>
      <c r="W11431" s="1"/>
      <c r="X11431" s="1"/>
      <c r="Y11431" s="1"/>
      <c r="Z11431" s="1"/>
      <c r="AA11431" s="1"/>
      <c r="AB11431" s="1"/>
    </row>
    <row r="11432" ht="50.25" customHeight="1">
      <c r="A11432" s="12">
        <v>11428.0</v>
      </c>
      <c r="B11432" s="13" t="s">
        <v>10535</v>
      </c>
      <c r="C11432" s="14" t="s">
        <v>11460</v>
      </c>
      <c r="D11432" s="1"/>
      <c r="E11432" s="1"/>
      <c r="F11432" s="1" t="str">
        <f>IFERROR(__xludf.DUMMYFUNCTION("GOOGLETRANSLATE(B11432, ""en"", ""fa"")
"),"کپی رایتینگ II")</f>
        <v>کپی رایتینگ II</v>
      </c>
      <c r="G11432" s="1" t="str">
        <f>IFERROR(__xludf.DUMMYFUNCTION("GOOGLETRANSLATE(C11432, ""en"", ""fa"")
"),"چگونه می توانید اطمینان حاصل کنید که نسخه شما از قوانین نقطه گذاری مناسب، از جمله کاما، نقطه، و علامت نقل قول پیروی می کند؟")</f>
        <v>چگونه می توانید اطمینان حاصل کنید که نسخه شما از قوانین نقطه گذاری مناسب، از جمله کاما، نقطه، و علامت نقل قول پیروی می کند؟</v>
      </c>
      <c r="H11432" s="1"/>
      <c r="I11432" s="1"/>
      <c r="J11432" s="1"/>
      <c r="K11432" s="1"/>
      <c r="L11432" s="1"/>
      <c r="M11432" s="1"/>
      <c r="N11432" s="1"/>
      <c r="O11432" s="1"/>
      <c r="P11432" s="1"/>
      <c r="Q11432" s="1"/>
      <c r="R11432" s="1"/>
      <c r="S11432" s="1"/>
      <c r="T11432" s="1"/>
      <c r="U11432" s="1"/>
      <c r="V11432" s="1"/>
      <c r="W11432" s="1"/>
      <c r="X11432" s="1"/>
      <c r="Y11432" s="1"/>
      <c r="Z11432" s="1"/>
      <c r="AA11432" s="1"/>
      <c r="AB11432" s="1"/>
    </row>
    <row r="11433" ht="50.25" customHeight="1">
      <c r="A11433" s="12">
        <v>11429.0</v>
      </c>
      <c r="B11433" s="13" t="s">
        <v>10535</v>
      </c>
      <c r="C11433" s="14" t="s">
        <v>11461</v>
      </c>
      <c r="D11433" s="1"/>
      <c r="E11433" s="1"/>
      <c r="F11433" s="1" t="str">
        <f>IFERROR(__xludf.DUMMYFUNCTION("GOOGLETRANSLATE(B11433, ""en"", ""fa"")
"),"کپی رایتینگ II")</f>
        <v>کپی رایتینگ II</v>
      </c>
      <c r="G11433" s="1" t="str">
        <f>IFERROR(__xludf.DUMMYFUNCTION("GOOGLETRANSLATE(C11433, ""en"", ""fa"")
"),"در مورد اهمیت تصحیح برای بررسی صحت پیوندها و مراجع در کپی خود بحث کنید.")</f>
        <v>در مورد اهمیت تصحیح برای بررسی صحت پیوندها و مراجع در کپی خود بحث کنید.</v>
      </c>
      <c r="H11433" s="1"/>
      <c r="I11433" s="1"/>
      <c r="J11433" s="1"/>
      <c r="K11433" s="1"/>
      <c r="L11433" s="1"/>
      <c r="M11433" s="1"/>
      <c r="N11433" s="1"/>
      <c r="O11433" s="1"/>
      <c r="P11433" s="1"/>
      <c r="Q11433" s="1"/>
      <c r="R11433" s="1"/>
      <c r="S11433" s="1"/>
      <c r="T11433" s="1"/>
      <c r="U11433" s="1"/>
      <c r="V11433" s="1"/>
      <c r="W11433" s="1"/>
      <c r="X11433" s="1"/>
      <c r="Y11433" s="1"/>
      <c r="Z11433" s="1"/>
      <c r="AA11433" s="1"/>
      <c r="AB11433" s="1"/>
    </row>
    <row r="11434" ht="50.25" customHeight="1">
      <c r="A11434" s="12">
        <v>11430.0</v>
      </c>
      <c r="B11434" s="13" t="s">
        <v>10535</v>
      </c>
      <c r="C11434" s="14" t="s">
        <v>11462</v>
      </c>
      <c r="D11434" s="1"/>
      <c r="E11434" s="1"/>
      <c r="F11434" s="1" t="str">
        <f>IFERROR(__xludf.DUMMYFUNCTION("GOOGLETRANSLATE(B11434, ""en"", ""fa"")
"),"کپی رایتینگ II")</f>
        <v>کپی رایتینگ II</v>
      </c>
      <c r="G11434" s="1" t="str">
        <f>IFERROR(__xludf.DUMMYFUNCTION("GOOGLETRANSLATE(C11434, ""en"", ""fa"")
"),"تکنیک های بررسی و تصحیح اشتباهات در استفاده از ضمایر و توافق ضمیر- مقدم در نوشته شما چیست؟")</f>
        <v>تکنیک های بررسی و تصحیح اشتباهات در استفاده از ضمایر و توافق ضمیر- مقدم در نوشته شما چیست؟</v>
      </c>
      <c r="H11434" s="1"/>
      <c r="I11434" s="1"/>
      <c r="J11434" s="1"/>
      <c r="K11434" s="1"/>
      <c r="L11434" s="1"/>
      <c r="M11434" s="1"/>
      <c r="N11434" s="1"/>
      <c r="O11434" s="1"/>
      <c r="P11434" s="1"/>
      <c r="Q11434" s="1"/>
      <c r="R11434" s="1"/>
      <c r="S11434" s="1"/>
      <c r="T11434" s="1"/>
      <c r="U11434" s="1"/>
      <c r="V11434" s="1"/>
      <c r="W11434" s="1"/>
      <c r="X11434" s="1"/>
      <c r="Y11434" s="1"/>
      <c r="Z11434" s="1"/>
      <c r="AA11434" s="1"/>
      <c r="AB11434" s="1"/>
    </row>
    <row r="11435" ht="50.25" customHeight="1">
      <c r="A11435" s="12">
        <v>11431.0</v>
      </c>
      <c r="B11435" s="13" t="s">
        <v>10535</v>
      </c>
      <c r="C11435" s="14" t="s">
        <v>11463</v>
      </c>
      <c r="D11435" s="1"/>
      <c r="E11435" s="1"/>
      <c r="F11435" s="1" t="str">
        <f>IFERROR(__xludf.DUMMYFUNCTION("GOOGLETRANSLATE(B11435, ""en"", ""fa"")
"),"کپی رایتینگ II")</f>
        <v>کپی رایتینگ II</v>
      </c>
      <c r="G11435" s="1" t="str">
        <f>IFERROR(__xludf.DUMMYFUNCTION("GOOGLETRANSLATE(C11435, ""en"", ""fa"")
"),"چگونه می توانید به طور موثر نسخه خود را برای انسجام تصحیح و ویرایش کنید و اطمینان حاصل کنید که ایده های شما به طور منطقی از یکی به دیگری جریان می یابد؟")</f>
        <v>چگونه می توانید به طور موثر نسخه خود را برای انسجام تصحیح و ویرایش کنید و اطمینان حاصل کنید که ایده های شما به طور منطقی از یکی به دیگری جریان می یابد؟</v>
      </c>
      <c r="H11435" s="1"/>
      <c r="I11435" s="1"/>
      <c r="J11435" s="1"/>
      <c r="K11435" s="1"/>
      <c r="L11435" s="1"/>
      <c r="M11435" s="1"/>
      <c r="N11435" s="1"/>
      <c r="O11435" s="1"/>
      <c r="P11435" s="1"/>
      <c r="Q11435" s="1"/>
      <c r="R11435" s="1"/>
      <c r="S11435" s="1"/>
      <c r="T11435" s="1"/>
      <c r="U11435" s="1"/>
      <c r="V11435" s="1"/>
      <c r="W11435" s="1"/>
      <c r="X11435" s="1"/>
      <c r="Y11435" s="1"/>
      <c r="Z11435" s="1"/>
      <c r="AA11435" s="1"/>
      <c r="AB11435" s="1"/>
    </row>
    <row r="11436" ht="50.25" customHeight="1">
      <c r="A11436" s="12">
        <v>11432.0</v>
      </c>
      <c r="B11436" s="13" t="s">
        <v>10535</v>
      </c>
      <c r="C11436" s="14" t="s">
        <v>11464</v>
      </c>
      <c r="D11436" s="1"/>
      <c r="E11436" s="1"/>
      <c r="F11436" s="1" t="str">
        <f>IFERROR(__xludf.DUMMYFUNCTION("GOOGLETRANSLATE(B11436, ""en"", ""fa"")
"),"کپی رایتینگ II")</f>
        <v>کپی رایتینگ II</v>
      </c>
      <c r="G11436" s="1" t="str">
        <f>IFERROR(__xludf.DUMMYFUNCTION("GOOGLETRANSLATE(C11436, ""en"", ""fa"")
"),"در مورد بهترین شیوه ها برای بررسی و تصحیح خطاها در توافق فاعل-فعل-مفعول در نسخه خود بحث کنید.")</f>
        <v>در مورد بهترین شیوه ها برای بررسی و تصحیح خطاها در توافق فاعل-فعل-مفعول در نسخه خود بحث کنید.</v>
      </c>
      <c r="H11436" s="1"/>
      <c r="I11436" s="1"/>
      <c r="J11436" s="1"/>
      <c r="K11436" s="1"/>
      <c r="L11436" s="1"/>
      <c r="M11436" s="1"/>
      <c r="N11436" s="1"/>
      <c r="O11436" s="1"/>
      <c r="P11436" s="1"/>
      <c r="Q11436" s="1"/>
      <c r="R11436" s="1"/>
      <c r="S11436" s="1"/>
      <c r="T11436" s="1"/>
      <c r="U11436" s="1"/>
      <c r="V11436" s="1"/>
      <c r="W11436" s="1"/>
      <c r="X11436" s="1"/>
      <c r="Y11436" s="1"/>
      <c r="Z11436" s="1"/>
      <c r="AA11436" s="1"/>
      <c r="AB11436" s="1"/>
    </row>
    <row r="11437" ht="50.25" customHeight="1">
      <c r="A11437" s="12">
        <v>11433.0</v>
      </c>
      <c r="B11437" s="13" t="s">
        <v>10535</v>
      </c>
      <c r="C11437" s="14" t="s">
        <v>11465</v>
      </c>
      <c r="D11437" s="1"/>
      <c r="E11437" s="1"/>
      <c r="F11437" s="1" t="str">
        <f>IFERROR(__xludf.DUMMYFUNCTION("GOOGLETRANSLATE(B11437, ""en"", ""fa"")
"),"کپی رایتینگ II")</f>
        <v>کپی رایتینگ II</v>
      </c>
      <c r="G11437" s="1" t="str">
        <f>IFERROR(__xludf.DUMMYFUNCTION("GOOGLETRANSLATE(C11437, ""en"", ""fa"")
"),"چگونه می توانید ناسازگاری های زمان فعل و شکل فعل را در سراسر نسخه خود شناسایی و اصلاح کنید؟")</f>
        <v>چگونه می توانید ناسازگاری های زمان فعل و شکل فعل را در سراسر نسخه خود شناسایی و اصلاح کنید؟</v>
      </c>
      <c r="H11437" s="1"/>
      <c r="I11437" s="1"/>
      <c r="J11437" s="1"/>
      <c r="K11437" s="1"/>
      <c r="L11437" s="1"/>
      <c r="M11437" s="1"/>
      <c r="N11437" s="1"/>
      <c r="O11437" s="1"/>
      <c r="P11437" s="1"/>
      <c r="Q11437" s="1"/>
      <c r="R11437" s="1"/>
      <c r="S11437" s="1"/>
      <c r="T11437" s="1"/>
      <c r="U11437" s="1"/>
      <c r="V11437" s="1"/>
      <c r="W11437" s="1"/>
      <c r="X11437" s="1"/>
      <c r="Y11437" s="1"/>
      <c r="Z11437" s="1"/>
      <c r="AA11437" s="1"/>
      <c r="AB11437" s="1"/>
    </row>
    <row r="11438" ht="50.25" customHeight="1">
      <c r="A11438" s="12">
        <v>11434.0</v>
      </c>
      <c r="B11438" s="13" t="s">
        <v>10535</v>
      </c>
      <c r="C11438" s="14" t="s">
        <v>11466</v>
      </c>
      <c r="D11438" s="1"/>
      <c r="E11438" s="1"/>
      <c r="F11438" s="1" t="str">
        <f>IFERROR(__xludf.DUMMYFUNCTION("GOOGLETRANSLATE(B11438, ""en"", ""fa"")
"),"کپی رایتینگ II")</f>
        <v>کپی رایتینگ II</v>
      </c>
      <c r="G11438" s="1" t="str">
        <f>IFERROR(__xludf.DUMMYFUNCTION("GOOGLETRANSLATE(C11438, ""en"", ""fa"")
"),"چه استراتژی هایی را می توانید برای شناسایی و رفع خطاها در قرار دادن و استفاده از اصلاح کننده در نسخه خود به کار ببرید؟")</f>
        <v>چه استراتژی هایی را می توانید برای شناسایی و رفع خطاها در قرار دادن و استفاده از اصلاح کننده در نسخه خود به کار ببرید؟</v>
      </c>
      <c r="H11438" s="1"/>
      <c r="I11438" s="1"/>
      <c r="J11438" s="1"/>
      <c r="K11438" s="1"/>
      <c r="L11438" s="1"/>
      <c r="M11438" s="1"/>
      <c r="N11438" s="1"/>
      <c r="O11438" s="1"/>
      <c r="P11438" s="1"/>
      <c r="Q11438" s="1"/>
      <c r="R11438" s="1"/>
      <c r="S11438" s="1"/>
      <c r="T11438" s="1"/>
      <c r="U11438" s="1"/>
      <c r="V11438" s="1"/>
      <c r="W11438" s="1"/>
      <c r="X11438" s="1"/>
      <c r="Y11438" s="1"/>
      <c r="Z11438" s="1"/>
      <c r="AA11438" s="1"/>
      <c r="AB11438" s="1"/>
    </row>
    <row r="11439" ht="50.25" customHeight="1">
      <c r="A11439" s="12">
        <v>11435.0</v>
      </c>
      <c r="B11439" s="13" t="s">
        <v>10535</v>
      </c>
      <c r="C11439" s="14" t="s">
        <v>11467</v>
      </c>
      <c r="D11439" s="1"/>
      <c r="E11439" s="1"/>
      <c r="F11439" s="1" t="str">
        <f>IFERROR(__xludf.DUMMYFUNCTION("GOOGLETRANSLATE(B11439, ""en"", ""fa"")
"),"کپی رایتینگ II")</f>
        <v>کپی رایتینگ II</v>
      </c>
      <c r="G11439" s="1" t="str">
        <f>IFERROR(__xludf.DUMMYFUNCTION("GOOGLETRANSLATE(C11439, ""en"", ""fa"")
"),"چگونه می توانید اطمینان حاصل کنید که نسخه شما عاری از کلیشه ها، اصطلاحات و عبارات بیش از حد استفاده شده است؟")</f>
        <v>چگونه می توانید اطمینان حاصل کنید که نسخه شما عاری از کلیشه ها، اصطلاحات و عبارات بیش از حد استفاده شده است؟</v>
      </c>
      <c r="H11439" s="1"/>
      <c r="I11439" s="1"/>
      <c r="J11439" s="1"/>
      <c r="K11439" s="1"/>
      <c r="L11439" s="1"/>
      <c r="M11439" s="1"/>
      <c r="N11439" s="1"/>
      <c r="O11439" s="1"/>
      <c r="P11439" s="1"/>
      <c r="Q11439" s="1"/>
      <c r="R11439" s="1"/>
      <c r="S11439" s="1"/>
      <c r="T11439" s="1"/>
      <c r="U11439" s="1"/>
      <c r="V11439" s="1"/>
      <c r="W11439" s="1"/>
      <c r="X11439" s="1"/>
      <c r="Y11439" s="1"/>
      <c r="Z11439" s="1"/>
      <c r="AA11439" s="1"/>
      <c r="AB11439" s="1"/>
    </row>
    <row r="11440" ht="50.25" customHeight="1">
      <c r="A11440" s="12">
        <v>11436.0</v>
      </c>
      <c r="B11440" s="13" t="s">
        <v>10535</v>
      </c>
      <c r="C11440" s="14" t="s">
        <v>11468</v>
      </c>
      <c r="D11440" s="1"/>
      <c r="E11440" s="1"/>
      <c r="F11440" s="1" t="str">
        <f>IFERROR(__xludf.DUMMYFUNCTION("GOOGLETRANSLATE(B11440, ""en"", ""fa"")
"),"کپی رایتینگ II")</f>
        <v>کپی رایتینگ II</v>
      </c>
      <c r="G11440" s="1" t="str">
        <f>IFERROR(__xludf.DUMMYFUNCTION("GOOGLETRANSLATE(C11440, ""en"", ""fa"")
"),"در مورد نقش تصحیح در تأیید صحت نقل قول ها و اسناد موجود در نسخه خود بحث کنید.")</f>
        <v>در مورد نقش تصحیح در تأیید صحت نقل قول ها و اسناد موجود در نسخه خود بحث کنید.</v>
      </c>
      <c r="H11440" s="1"/>
      <c r="I11440" s="1"/>
      <c r="J11440" s="1"/>
      <c r="K11440" s="1"/>
      <c r="L11440" s="1"/>
      <c r="M11440" s="1"/>
      <c r="N11440" s="1"/>
      <c r="O11440" s="1"/>
      <c r="P11440" s="1"/>
      <c r="Q11440" s="1"/>
      <c r="R11440" s="1"/>
      <c r="S11440" s="1"/>
      <c r="T11440" s="1"/>
      <c r="U11440" s="1"/>
      <c r="V11440" s="1"/>
      <c r="W11440" s="1"/>
      <c r="X11440" s="1"/>
      <c r="Y11440" s="1"/>
      <c r="Z11440" s="1"/>
      <c r="AA11440" s="1"/>
      <c r="AB11440" s="1"/>
    </row>
    <row r="11441" ht="50.25" customHeight="1">
      <c r="A11441" s="12">
        <v>11437.0</v>
      </c>
      <c r="B11441" s="13" t="s">
        <v>10535</v>
      </c>
      <c r="C11441" s="14" t="s">
        <v>11469</v>
      </c>
      <c r="D11441" s="1"/>
      <c r="E11441" s="1"/>
      <c r="F11441" s="1" t="str">
        <f>IFERROR(__xludf.DUMMYFUNCTION("GOOGLETRANSLATE(B11441, ""en"", ""fa"")
"),"کپی رایتینگ II")</f>
        <v>کپی رایتینگ II</v>
      </c>
      <c r="G11441" s="1" t="str">
        <f>IFERROR(__xludf.DUMMYFUNCTION("GOOGLETRANSLATE(C11441, ""en"", ""fa"")
"),"تکنیک های بررسی و تصحیح اشتباهات در استفاده از صفت و قید در نوشته شما چیست؟")</f>
        <v>تکنیک های بررسی و تصحیح اشتباهات در استفاده از صفت و قید در نوشته شما چیست؟</v>
      </c>
      <c r="H11441" s="1"/>
      <c r="I11441" s="1"/>
      <c r="J11441" s="1"/>
      <c r="K11441" s="1"/>
      <c r="L11441" s="1"/>
      <c r="M11441" s="1"/>
      <c r="N11441" s="1"/>
      <c r="O11441" s="1"/>
      <c r="P11441" s="1"/>
      <c r="Q11441" s="1"/>
      <c r="R11441" s="1"/>
      <c r="S11441" s="1"/>
      <c r="T11441" s="1"/>
      <c r="U11441" s="1"/>
      <c r="V11441" s="1"/>
      <c r="W11441" s="1"/>
      <c r="X11441" s="1"/>
      <c r="Y11441" s="1"/>
      <c r="Z11441" s="1"/>
      <c r="AA11441" s="1"/>
      <c r="AB11441" s="1"/>
    </row>
    <row r="11442" ht="50.25" customHeight="1">
      <c r="A11442" s="12">
        <v>11438.0</v>
      </c>
      <c r="B11442" s="13" t="s">
        <v>10535</v>
      </c>
      <c r="C11442" s="14" t="s">
        <v>11470</v>
      </c>
      <c r="D11442" s="1"/>
      <c r="E11442" s="1"/>
      <c r="F11442" s="1" t="str">
        <f>IFERROR(__xludf.DUMMYFUNCTION("GOOGLETRANSLATE(B11442, ""en"", ""fa"")
"),"کپی رایتینگ II")</f>
        <v>کپی رایتینگ II</v>
      </c>
      <c r="G11442" s="1" t="str">
        <f>IFERROR(__xludf.DUMMYFUNCTION("GOOGLETRANSLATE(C11442, ""en"", ""fa"")
"),"چگونه می توانید نسخه خود را به طور مؤثر تصحیح و ویرایش کنید تا به طور مختصر پیام خود را منتقل کنید؟")</f>
        <v>چگونه می توانید نسخه خود را به طور مؤثر تصحیح و ویرایش کنید تا به طور مختصر پیام خود را منتقل کنید؟</v>
      </c>
      <c r="H11442" s="1"/>
      <c r="I11442" s="1"/>
      <c r="J11442" s="1"/>
      <c r="K11442" s="1"/>
      <c r="L11442" s="1"/>
      <c r="M11442" s="1"/>
      <c r="N11442" s="1"/>
      <c r="O11442" s="1"/>
      <c r="P11442" s="1"/>
      <c r="Q11442" s="1"/>
      <c r="R11442" s="1"/>
      <c r="S11442" s="1"/>
      <c r="T11442" s="1"/>
      <c r="U11442" s="1"/>
      <c r="V11442" s="1"/>
      <c r="W11442" s="1"/>
      <c r="X11442" s="1"/>
      <c r="Y11442" s="1"/>
      <c r="Z11442" s="1"/>
      <c r="AA11442" s="1"/>
      <c r="AB11442" s="1"/>
    </row>
    <row r="11443" ht="50.25" customHeight="1">
      <c r="A11443" s="12">
        <v>11439.0</v>
      </c>
      <c r="B11443" s="13" t="s">
        <v>10535</v>
      </c>
      <c r="C11443" s="14" t="s">
        <v>11471</v>
      </c>
      <c r="D11443" s="1"/>
      <c r="E11443" s="1"/>
      <c r="F11443" s="1" t="str">
        <f>IFERROR(__xludf.DUMMYFUNCTION("GOOGLETRANSLATE(B11443, ""en"", ""fa"")
"),"کپی رایتینگ II")</f>
        <v>کپی رایتینگ II</v>
      </c>
      <c r="G11443" s="1" t="str">
        <f>IFERROR(__xludf.DUMMYFUNCTION("GOOGLETRANSLATE(C11443, ""en"", ""fa"")
"),"در مورد اهمیت تصحیح برای بررسی سازگاری و دقت داده های عددی در نسخه خود بحث کنید.")</f>
        <v>در مورد اهمیت تصحیح برای بررسی سازگاری و دقت داده های عددی در نسخه خود بحث کنید.</v>
      </c>
      <c r="H11443" s="1"/>
      <c r="I11443" s="1"/>
      <c r="J11443" s="1"/>
      <c r="K11443" s="1"/>
      <c r="L11443" s="1"/>
      <c r="M11443" s="1"/>
      <c r="N11443" s="1"/>
      <c r="O11443" s="1"/>
      <c r="P11443" s="1"/>
      <c r="Q11443" s="1"/>
      <c r="R11443" s="1"/>
      <c r="S11443" s="1"/>
      <c r="T11443" s="1"/>
      <c r="U11443" s="1"/>
      <c r="V11443" s="1"/>
      <c r="W11443" s="1"/>
      <c r="X11443" s="1"/>
      <c r="Y11443" s="1"/>
      <c r="Z11443" s="1"/>
      <c r="AA11443" s="1"/>
      <c r="AB11443" s="1"/>
    </row>
    <row r="11444" ht="50.25" customHeight="1">
      <c r="A11444" s="12">
        <v>11440.0</v>
      </c>
      <c r="B11444" s="13" t="s">
        <v>10535</v>
      </c>
      <c r="C11444" s="14" t="s">
        <v>11472</v>
      </c>
      <c r="D11444" s="1"/>
      <c r="E11444" s="1"/>
      <c r="F11444" s="1" t="str">
        <f>IFERROR(__xludf.DUMMYFUNCTION("GOOGLETRANSLATE(B11444, ""en"", ""fa"")
"),"کپی رایتینگ II")</f>
        <v>کپی رایتینگ II</v>
      </c>
      <c r="G11444" s="1" t="str">
        <f>IFERROR(__xludf.DUMMYFUNCTION("GOOGLETRANSLATE(C11444, ""en"", ""fa"")
"),"بهترین روش ها برای بررسی و تصحیح اشتباهات در قطعات جمله و افکار ناقص در نسخه شما چیست؟")</f>
        <v>بهترین روش ها برای بررسی و تصحیح اشتباهات در قطعات جمله و افکار ناقص در نسخه شما چیست؟</v>
      </c>
      <c r="H11444" s="1"/>
      <c r="I11444" s="1"/>
      <c r="J11444" s="1"/>
      <c r="K11444" s="1"/>
      <c r="L11444" s="1"/>
      <c r="M11444" s="1"/>
      <c r="N11444" s="1"/>
      <c r="O11444" s="1"/>
      <c r="P11444" s="1"/>
      <c r="Q11444" s="1"/>
      <c r="R11444" s="1"/>
      <c r="S11444" s="1"/>
      <c r="T11444" s="1"/>
      <c r="U11444" s="1"/>
      <c r="V11444" s="1"/>
      <c r="W11444" s="1"/>
      <c r="X11444" s="1"/>
      <c r="Y11444" s="1"/>
      <c r="Z11444" s="1"/>
      <c r="AA11444" s="1"/>
      <c r="AB11444" s="1"/>
    </row>
    <row r="11445" ht="50.25" customHeight="1">
      <c r="A11445" s="12">
        <v>11441.0</v>
      </c>
      <c r="B11445" s="13" t="s">
        <v>10535</v>
      </c>
      <c r="C11445" s="14" t="s">
        <v>11473</v>
      </c>
      <c r="D11445" s="1"/>
      <c r="E11445" s="1"/>
      <c r="F11445" s="1" t="str">
        <f>IFERROR(__xludf.DUMMYFUNCTION("GOOGLETRANSLATE(B11445, ""en"", ""fa"")
"),"کپی رایتینگ II")</f>
        <v>کپی رایتینگ II</v>
      </c>
      <c r="G11445" s="1" t="str">
        <f>IFERROR(__xludf.DUMMYFUNCTION("GOOGLETRANSLATE(C11445, ""en"", ""fa"")
"),"چگونه می توانید تناقضات در دیدگاه و دیدگاه روایی را در سراسر نسخه خود شناسایی و اصلاح کنید؟")</f>
        <v>چگونه می توانید تناقضات در دیدگاه و دیدگاه روایی را در سراسر نسخه خود شناسایی و اصلاح کنید؟</v>
      </c>
      <c r="H11445" s="1"/>
      <c r="I11445" s="1"/>
      <c r="J11445" s="1"/>
      <c r="K11445" s="1"/>
      <c r="L11445" s="1"/>
      <c r="M11445" s="1"/>
      <c r="N11445" s="1"/>
      <c r="O11445" s="1"/>
      <c r="P11445" s="1"/>
      <c r="Q11445" s="1"/>
      <c r="R11445" s="1"/>
      <c r="S11445" s="1"/>
      <c r="T11445" s="1"/>
      <c r="U11445" s="1"/>
      <c r="V11445" s="1"/>
      <c r="W11445" s="1"/>
      <c r="X11445" s="1"/>
      <c r="Y11445" s="1"/>
      <c r="Z11445" s="1"/>
      <c r="AA11445" s="1"/>
      <c r="AB11445" s="1"/>
    </row>
    <row r="11446" ht="50.25" customHeight="1">
      <c r="A11446" s="12">
        <v>11442.0</v>
      </c>
      <c r="B11446" s="13" t="s">
        <v>10535</v>
      </c>
      <c r="C11446" s="14" t="s">
        <v>11474</v>
      </c>
      <c r="D11446" s="1"/>
      <c r="E11446" s="1"/>
      <c r="F11446" s="1" t="str">
        <f>IFERROR(__xludf.DUMMYFUNCTION("GOOGLETRANSLATE(B11446, ""en"", ""fa"")
"),"کپی رایتینگ II")</f>
        <v>کپی رایتینگ II</v>
      </c>
      <c r="G11446" s="1" t="str">
        <f>IFERROR(__xludf.DUMMYFUNCTION("GOOGLETRANSLATE(C11446, ""en"", ""fa"")
"),"چه استراتژی هایی را می توانید برای شناسایی و رفع خطاها در استفاده از حروف اضافه و قرار دادن عبارت اضافه در نسخه خود به کار ببرید؟")</f>
        <v>چه استراتژی هایی را می توانید برای شناسایی و رفع خطاها در استفاده از حروف اضافه و قرار دادن عبارت اضافه در نسخه خود به کار ببرید؟</v>
      </c>
      <c r="H11446" s="1"/>
      <c r="I11446" s="1"/>
      <c r="J11446" s="1"/>
      <c r="K11446" s="1"/>
      <c r="L11446" s="1"/>
      <c r="M11446" s="1"/>
      <c r="N11446" s="1"/>
      <c r="O11446" s="1"/>
      <c r="P11446" s="1"/>
      <c r="Q11446" s="1"/>
      <c r="R11446" s="1"/>
      <c r="S11446" s="1"/>
      <c r="T11446" s="1"/>
      <c r="U11446" s="1"/>
      <c r="V11446" s="1"/>
      <c r="W11446" s="1"/>
      <c r="X11446" s="1"/>
      <c r="Y11446" s="1"/>
      <c r="Z11446" s="1"/>
      <c r="AA11446" s="1"/>
      <c r="AB11446" s="1"/>
    </row>
    <row r="11447" ht="50.25" customHeight="1">
      <c r="A11447" s="12">
        <v>11443.0</v>
      </c>
      <c r="B11447" s="13" t="s">
        <v>10535</v>
      </c>
      <c r="C11447" s="14" t="s">
        <v>11475</v>
      </c>
      <c r="D11447" s="1"/>
      <c r="E11447" s="1"/>
      <c r="F11447" s="1" t="str">
        <f>IFERROR(__xludf.DUMMYFUNCTION("GOOGLETRANSLATE(B11447, ""en"", ""fa"")
"),"کپی رایتینگ II")</f>
        <v>کپی رایتینگ II</v>
      </c>
      <c r="G11447" s="1" t="str">
        <f>IFERROR(__xludf.DUMMYFUNCTION("GOOGLETRANSLATE(C11447, ""en"", ""fa"")
"),"در مورد نقش تصحیح در حفظ استناد و تخصیص صحیح منابع در نوشته خود بحث کنید.")</f>
        <v>در مورد نقش تصحیح در حفظ استناد و تخصیص صحیح منابع در نوشته خود بحث کنید.</v>
      </c>
      <c r="H11447" s="1"/>
      <c r="I11447" s="1"/>
      <c r="J11447" s="1"/>
      <c r="K11447" s="1"/>
      <c r="L11447" s="1"/>
      <c r="M11447" s="1"/>
      <c r="N11447" s="1"/>
      <c r="O11447" s="1"/>
      <c r="P11447" s="1"/>
      <c r="Q11447" s="1"/>
      <c r="R11447" s="1"/>
      <c r="S11447" s="1"/>
      <c r="T11447" s="1"/>
      <c r="U11447" s="1"/>
      <c r="V11447" s="1"/>
      <c r="W11447" s="1"/>
      <c r="X11447" s="1"/>
      <c r="Y11447" s="1"/>
      <c r="Z11447" s="1"/>
      <c r="AA11447" s="1"/>
      <c r="AB11447" s="1"/>
    </row>
    <row r="11448" ht="50.25" customHeight="1">
      <c r="A11448" s="12">
        <v>11444.0</v>
      </c>
      <c r="B11448" s="13" t="s">
        <v>10535</v>
      </c>
      <c r="C11448" s="14" t="s">
        <v>11476</v>
      </c>
      <c r="D11448" s="1"/>
      <c r="E11448" s="1"/>
      <c r="F11448" s="1" t="str">
        <f>IFERROR(__xludf.DUMMYFUNCTION("GOOGLETRANSLATE(B11448, ""en"", ""fa"")
"),"کپی رایتینگ II")</f>
        <v>کپی رایتینگ II</v>
      </c>
      <c r="G11448" s="1" t="str">
        <f>IFERROR(__xludf.DUMMYFUNCTION("GOOGLETRANSLATE(C11448, ""en"", ""fa"")
"),"چگونه می توانید اطمینان حاصل کنید که نسخه شما از قوانین خط فاصله و استفاده مناسب خط تیره پیروی می کند؟")</f>
        <v>چگونه می توانید اطمینان حاصل کنید که نسخه شما از قوانین خط فاصله و استفاده مناسب خط تیره پیروی می کند؟</v>
      </c>
      <c r="H11448" s="1"/>
      <c r="I11448" s="1"/>
      <c r="J11448" s="1"/>
      <c r="K11448" s="1"/>
      <c r="L11448" s="1"/>
      <c r="M11448" s="1"/>
      <c r="N11448" s="1"/>
      <c r="O11448" s="1"/>
      <c r="P11448" s="1"/>
      <c r="Q11448" s="1"/>
      <c r="R11448" s="1"/>
      <c r="S11448" s="1"/>
      <c r="T11448" s="1"/>
      <c r="U11448" s="1"/>
      <c r="V11448" s="1"/>
      <c r="W11448" s="1"/>
      <c r="X11448" s="1"/>
      <c r="Y11448" s="1"/>
      <c r="Z11448" s="1"/>
      <c r="AA11448" s="1"/>
      <c r="AB11448" s="1"/>
    </row>
    <row r="11449" ht="50.25" customHeight="1">
      <c r="A11449" s="12">
        <v>11445.0</v>
      </c>
      <c r="B11449" s="13" t="s">
        <v>10535</v>
      </c>
      <c r="C11449" s="14" t="s">
        <v>11477</v>
      </c>
      <c r="D11449" s="1"/>
      <c r="E11449" s="1"/>
      <c r="F11449" s="1" t="str">
        <f>IFERROR(__xludf.DUMMYFUNCTION("GOOGLETRANSLATE(B11449, ""en"", ""fa"")
"),"کپی رایتینگ II")</f>
        <v>کپی رایتینگ II</v>
      </c>
      <c r="G11449" s="1" t="str">
        <f>IFERROR(__xludf.DUMMYFUNCTION("GOOGLETRANSLATE(C11449, ""en"", ""fa"")
"),"از چه تکنیک هایی می توانید برای بررسی و تصحیح خطاهای حالت فعل و صدای فعل در نوشتار خود استفاده کنید؟")</f>
        <v>از چه تکنیک هایی می توانید برای بررسی و تصحیح خطاهای حالت فعل و صدای فعل در نوشتار خود استفاده کنید؟</v>
      </c>
      <c r="H11449" s="1"/>
      <c r="I11449" s="1"/>
      <c r="J11449" s="1"/>
      <c r="K11449" s="1"/>
      <c r="L11449" s="1"/>
      <c r="M11449" s="1"/>
      <c r="N11449" s="1"/>
      <c r="O11449" s="1"/>
      <c r="P11449" s="1"/>
      <c r="Q11449" s="1"/>
      <c r="R11449" s="1"/>
      <c r="S11449" s="1"/>
      <c r="T11449" s="1"/>
      <c r="U11449" s="1"/>
      <c r="V11449" s="1"/>
      <c r="W11449" s="1"/>
      <c r="X11449" s="1"/>
      <c r="Y11449" s="1"/>
      <c r="Z11449" s="1"/>
      <c r="AA11449" s="1"/>
      <c r="AB11449" s="1"/>
    </row>
    <row r="11450" ht="50.25" customHeight="1">
      <c r="A11450" s="12">
        <v>11446.0</v>
      </c>
      <c r="B11450" s="13" t="s">
        <v>10535</v>
      </c>
      <c r="C11450" s="14" t="s">
        <v>11478</v>
      </c>
      <c r="D11450" s="1"/>
      <c r="E11450" s="1"/>
      <c r="F11450" s="1" t="str">
        <f>IFERROR(__xludf.DUMMYFUNCTION("GOOGLETRANSLATE(B11450, ""en"", ""fa"")
"),"کپی رایتینگ II")</f>
        <v>کپی رایتینگ II</v>
      </c>
      <c r="G11450" s="1" t="str">
        <f>IFERROR(__xludf.DUMMYFUNCTION("GOOGLETRANSLATE(C11450, ""en"", ""fa"")
"),"چگونه می توانید به طور مؤثر نسخه خود را برای مناسب بودن تصحیح و ویرایش کنید و اطمینان حاصل کنید که با مخاطب مورد نظر هماهنگ است؟")</f>
        <v>چگونه می توانید به طور مؤثر نسخه خود را برای مناسب بودن تصحیح و ویرایش کنید و اطمینان حاصل کنید که با مخاطب مورد نظر هماهنگ است؟</v>
      </c>
      <c r="H11450" s="1"/>
      <c r="I11450" s="1"/>
      <c r="J11450" s="1"/>
      <c r="K11450" s="1"/>
      <c r="L11450" s="1"/>
      <c r="M11450" s="1"/>
      <c r="N11450" s="1"/>
      <c r="O11450" s="1"/>
      <c r="P11450" s="1"/>
      <c r="Q11450" s="1"/>
      <c r="R11450" s="1"/>
      <c r="S11450" s="1"/>
      <c r="T11450" s="1"/>
      <c r="U11450" s="1"/>
      <c r="V11450" s="1"/>
      <c r="W11450" s="1"/>
      <c r="X11450" s="1"/>
      <c r="Y11450" s="1"/>
      <c r="Z11450" s="1"/>
      <c r="AA11450" s="1"/>
      <c r="AB11450" s="1"/>
    </row>
    <row r="11451" ht="50.25" customHeight="1">
      <c r="A11451" s="12">
        <v>11447.0</v>
      </c>
      <c r="B11451" s="13" t="s">
        <v>10535</v>
      </c>
      <c r="C11451" s="14" t="s">
        <v>11479</v>
      </c>
      <c r="D11451" s="1"/>
      <c r="E11451" s="1"/>
      <c r="F11451" s="1" t="str">
        <f>IFERROR(__xludf.DUMMYFUNCTION("GOOGLETRANSLATE(B11451, ""en"", ""fa"")
"),"کپی رایتینگ II")</f>
        <v>کپی رایتینگ II</v>
      </c>
      <c r="G11451" s="1" t="str">
        <f>IFERROR(__xludf.DUMMYFUNCTION("GOOGLETRANSLATE(C11451, ""en"", ""fa"")
"),"در مورد اهمیت تصحیح برای بررسی صحت و سازگاری کلمات اختصاری و اختصاری ها در نسخه خود بحث کنید.")</f>
        <v>در مورد اهمیت تصحیح برای بررسی صحت و سازگاری کلمات اختصاری و اختصاری ها در نسخه خود بحث کنید.</v>
      </c>
      <c r="H11451" s="1"/>
      <c r="I11451" s="1"/>
      <c r="J11451" s="1"/>
      <c r="K11451" s="1"/>
      <c r="L11451" s="1"/>
      <c r="M11451" s="1"/>
      <c r="N11451" s="1"/>
      <c r="O11451" s="1"/>
      <c r="P11451" s="1"/>
      <c r="Q11451" s="1"/>
      <c r="R11451" s="1"/>
      <c r="S11451" s="1"/>
      <c r="T11451" s="1"/>
      <c r="U11451" s="1"/>
      <c r="V11451" s="1"/>
      <c r="W11451" s="1"/>
      <c r="X11451" s="1"/>
      <c r="Y11451" s="1"/>
      <c r="Z11451" s="1"/>
      <c r="AA11451" s="1"/>
      <c r="AB11451" s="1"/>
    </row>
    <row r="11452" ht="50.25" customHeight="1">
      <c r="A11452" s="12">
        <v>11448.0</v>
      </c>
      <c r="B11452" s="13" t="s">
        <v>10535</v>
      </c>
      <c r="C11452" s="14" t="s">
        <v>11480</v>
      </c>
      <c r="D11452" s="1"/>
      <c r="E11452" s="1"/>
      <c r="F11452" s="1" t="str">
        <f>IFERROR(__xludf.DUMMYFUNCTION("GOOGLETRANSLATE(B11452, ""en"", ""fa"")
"),"کپی رایتینگ II")</f>
        <v>کپی رایتینگ II</v>
      </c>
      <c r="G11452" s="1" t="str">
        <f>IFERROR(__xludf.DUMMYFUNCTION("GOOGLETRANSLATE(C11452, ""en"", ""fa"")
"),"بهترین روش ها برای بررسی و تصحیح خطاها در اشکال مقایسه ای و فوق العاده صفت ها و قیدها در نسخه شما چیست؟")</f>
        <v>بهترین روش ها برای بررسی و تصحیح خطاها در اشکال مقایسه ای و فوق العاده صفت ها و قیدها در نسخه شما چیست؟</v>
      </c>
      <c r="H11452" s="1"/>
      <c r="I11452" s="1"/>
      <c r="J11452" s="1"/>
      <c r="K11452" s="1"/>
      <c r="L11452" s="1"/>
      <c r="M11452" s="1"/>
      <c r="N11452" s="1"/>
      <c r="O11452" s="1"/>
      <c r="P11452" s="1"/>
      <c r="Q11452" s="1"/>
      <c r="R11452" s="1"/>
      <c r="S11452" s="1"/>
      <c r="T11452" s="1"/>
      <c r="U11452" s="1"/>
      <c r="V11452" s="1"/>
      <c r="W11452" s="1"/>
      <c r="X11452" s="1"/>
      <c r="Y11452" s="1"/>
      <c r="Z11452" s="1"/>
      <c r="AA11452" s="1"/>
      <c r="AB11452" s="1"/>
    </row>
    <row r="11453" ht="50.25" customHeight="1">
      <c r="A11453" s="12">
        <v>11449.0</v>
      </c>
      <c r="B11453" s="13" t="s">
        <v>10535</v>
      </c>
      <c r="C11453" s="14" t="s">
        <v>11481</v>
      </c>
      <c r="D11453" s="1"/>
      <c r="E11453" s="1"/>
      <c r="F11453" s="1" t="str">
        <f>IFERROR(__xludf.DUMMYFUNCTION("GOOGLETRANSLATE(B11453, ""en"", ""fa"")
"),"کپی رایتینگ II")</f>
        <v>کپی رایتینگ II</v>
      </c>
      <c r="G11453" s="1" t="str">
        <f>IFERROR(__xludf.DUMMYFUNCTION("GOOGLETRANSLATE(C11453, ""en"", ""fa"")
"),"چگونه می توانید ناسازگاری های صرف فعل و توافق فعل را در سراسر نسخه خود شناسایی و اصلاح کنید؟")</f>
        <v>چگونه می توانید ناسازگاری های صرف فعل و توافق فعل را در سراسر نسخه خود شناسایی و اصلاح کنید؟</v>
      </c>
      <c r="H11453" s="1"/>
      <c r="I11453" s="1"/>
      <c r="J11453" s="1"/>
      <c r="K11453" s="1"/>
      <c r="L11453" s="1"/>
      <c r="M11453" s="1"/>
      <c r="N11453" s="1"/>
      <c r="O11453" s="1"/>
      <c r="P11453" s="1"/>
      <c r="Q11453" s="1"/>
      <c r="R11453" s="1"/>
      <c r="S11453" s="1"/>
      <c r="T11453" s="1"/>
      <c r="U11453" s="1"/>
      <c r="V11453" s="1"/>
      <c r="W11453" s="1"/>
      <c r="X11453" s="1"/>
      <c r="Y11453" s="1"/>
      <c r="Z11453" s="1"/>
      <c r="AA11453" s="1"/>
      <c r="AB11453" s="1"/>
    </row>
    <row r="11454" ht="50.25" customHeight="1">
      <c r="A11454" s="12">
        <v>11450.0</v>
      </c>
      <c r="B11454" s="13" t="s">
        <v>10535</v>
      </c>
      <c r="C11454" s="14" t="s">
        <v>11482</v>
      </c>
      <c r="D11454" s="1"/>
      <c r="E11454" s="1"/>
      <c r="F11454" s="1" t="str">
        <f>IFERROR(__xludf.DUMMYFUNCTION("GOOGLETRANSLATE(B11454, ""en"", ""fa"")
"),"کپی رایتینگ II")</f>
        <v>کپی رایتینگ II</v>
      </c>
      <c r="G11454" s="1" t="str">
        <f>IFERROR(__xludf.DUMMYFUNCTION("GOOGLETRANSLATE(C11454, ""en"", ""fa"")
"),"چه راهکارهایی را می‌توانید برای شناسایی و رفع خطاهای ضمایر و مرجع ضمیر در نوشتار خود به کار ببرید؟")</f>
        <v>چه راهکارهایی را می‌توانید برای شناسایی و رفع خطاهای ضمایر و مرجع ضمیر در نوشتار خود به کار ببرید؟</v>
      </c>
      <c r="H11454" s="1"/>
      <c r="I11454" s="1"/>
      <c r="J11454" s="1"/>
      <c r="K11454" s="1"/>
      <c r="L11454" s="1"/>
      <c r="M11454" s="1"/>
      <c r="N11454" s="1"/>
      <c r="O11454" s="1"/>
      <c r="P11454" s="1"/>
      <c r="Q11454" s="1"/>
      <c r="R11454" s="1"/>
      <c r="S11454" s="1"/>
      <c r="T11454" s="1"/>
      <c r="U11454" s="1"/>
      <c r="V11454" s="1"/>
      <c r="W11454" s="1"/>
      <c r="X11454" s="1"/>
      <c r="Y11454" s="1"/>
      <c r="Z11454" s="1"/>
      <c r="AA11454" s="1"/>
      <c r="AB11454" s="1"/>
    </row>
    <row r="11455" ht="50.25" customHeight="1">
      <c r="A11455" s="12">
        <v>11451.0</v>
      </c>
      <c r="B11455" s="13" t="s">
        <v>10535</v>
      </c>
      <c r="C11455" s="14" t="s">
        <v>11483</v>
      </c>
      <c r="D11455" s="1"/>
      <c r="E11455" s="1"/>
      <c r="F11455" s="1" t="str">
        <f>IFERROR(__xludf.DUMMYFUNCTION("GOOGLETRANSLATE(B11455, ""en"", ""fa"")
"),"کپی رایتینگ II")</f>
        <v>کپی رایتینگ II</v>
      </c>
      <c r="G11455" s="1" t="str">
        <f>IFERROR(__xludf.DUMMYFUNCTION("GOOGLETRANSLATE(C11455, ""en"", ""fa"")
"),"چگونه می توانید اطمینان حاصل کنید که نسخه شما عاری از لفظ بیش از حد و عبارات اضافی است؟")</f>
        <v>چگونه می توانید اطمینان حاصل کنید که نسخه شما عاری از لفظ بیش از حد و عبارات اضافی است؟</v>
      </c>
      <c r="H11455" s="1"/>
      <c r="I11455" s="1"/>
      <c r="J11455" s="1"/>
      <c r="K11455" s="1"/>
      <c r="L11455" s="1"/>
      <c r="M11455" s="1"/>
      <c r="N11455" s="1"/>
      <c r="O11455" s="1"/>
      <c r="P11455" s="1"/>
      <c r="Q11455" s="1"/>
      <c r="R11455" s="1"/>
      <c r="S11455" s="1"/>
      <c r="T11455" s="1"/>
      <c r="U11455" s="1"/>
      <c r="V11455" s="1"/>
      <c r="W11455" s="1"/>
      <c r="X11455" s="1"/>
      <c r="Y11455" s="1"/>
      <c r="Z11455" s="1"/>
      <c r="AA11455" s="1"/>
      <c r="AB11455" s="1"/>
    </row>
    <row r="11456" ht="50.25" customHeight="1">
      <c r="A11456" s="12">
        <v>11452.0</v>
      </c>
      <c r="B11456" s="13" t="s">
        <v>10535</v>
      </c>
      <c r="C11456" s="14" t="s">
        <v>11484</v>
      </c>
      <c r="D11456" s="1"/>
      <c r="E11456" s="1"/>
      <c r="F11456" s="1" t="str">
        <f>IFERROR(__xludf.DUMMYFUNCTION("GOOGLETRANSLATE(B11456, ""en"", ""fa"")
"),"کپی رایتینگ II")</f>
        <v>کپی رایتینگ II</v>
      </c>
      <c r="G11456" s="1" t="str">
        <f>IFERROR(__xludf.DUMMYFUNCTION("GOOGLETRANSLATE(C11456, ""en"", ""fa"")
"),"در مورد نقش تصحیح در تأیید استفاده صحیح از هموفون ها و کلمات معمولاً اشتباه گرفته شده در نسخه خود بحث کنید.")</f>
        <v>در مورد نقش تصحیح در تأیید استفاده صحیح از هموفون ها و کلمات معمولاً اشتباه گرفته شده در نسخه خود بحث کنید.</v>
      </c>
      <c r="H11456" s="1"/>
      <c r="I11456" s="1"/>
      <c r="J11456" s="1"/>
      <c r="K11456" s="1"/>
      <c r="L11456" s="1"/>
      <c r="M11456" s="1"/>
      <c r="N11456" s="1"/>
      <c r="O11456" s="1"/>
      <c r="P11456" s="1"/>
      <c r="Q11456" s="1"/>
      <c r="R11456" s="1"/>
      <c r="S11456" s="1"/>
      <c r="T11456" s="1"/>
      <c r="U11456" s="1"/>
      <c r="V11456" s="1"/>
      <c r="W11456" s="1"/>
      <c r="X11456" s="1"/>
      <c r="Y11456" s="1"/>
      <c r="Z11456" s="1"/>
      <c r="AA11456" s="1"/>
      <c r="AB11456" s="1"/>
    </row>
    <row r="11457" ht="50.25" customHeight="1">
      <c r="A11457" s="12">
        <v>11453.0</v>
      </c>
      <c r="B11457" s="13" t="s">
        <v>10535</v>
      </c>
      <c r="C11457" s="14" t="s">
        <v>11485</v>
      </c>
      <c r="D11457" s="1"/>
      <c r="E11457" s="1"/>
      <c r="F11457" s="1" t="str">
        <f>IFERROR(__xludf.DUMMYFUNCTION("GOOGLETRANSLATE(B11457, ""en"", ""fa"")
"),"کپی رایتینگ II")</f>
        <v>کپی رایتینگ II</v>
      </c>
      <c r="G11457" s="1" t="str">
        <f>IFERROR(__xludf.DUMMYFUNCTION("GOOGLETRANSLATE(C11457, ""en"", ""fa"")
"),"از چه تکنیک هایی می توانید برای بررسی و تصحیح خطاها در استفاده از حروف ربط و رابط های جمله در نوشته خود استفاده کنید؟")</f>
        <v>از چه تکنیک هایی می توانید برای بررسی و تصحیح خطاها در استفاده از حروف ربط و رابط های جمله در نوشته خود استفاده کنید؟</v>
      </c>
      <c r="H11457" s="1"/>
      <c r="I11457" s="1"/>
      <c r="J11457" s="1"/>
      <c r="K11457" s="1"/>
      <c r="L11457" s="1"/>
      <c r="M11457" s="1"/>
      <c r="N11457" s="1"/>
      <c r="O11457" s="1"/>
      <c r="P11457" s="1"/>
      <c r="Q11457" s="1"/>
      <c r="R11457" s="1"/>
      <c r="S11457" s="1"/>
      <c r="T11457" s="1"/>
      <c r="U11457" s="1"/>
      <c r="V11457" s="1"/>
      <c r="W11457" s="1"/>
      <c r="X11457" s="1"/>
      <c r="Y11457" s="1"/>
      <c r="Z11457" s="1"/>
      <c r="AA11457" s="1"/>
      <c r="AB11457" s="1"/>
    </row>
    <row r="11458" ht="50.25" customHeight="1">
      <c r="A11458" s="12">
        <v>11454.0</v>
      </c>
      <c r="B11458" s="13" t="s">
        <v>10535</v>
      </c>
      <c r="C11458" s="14" t="s">
        <v>11486</v>
      </c>
      <c r="D11458" s="1"/>
      <c r="E11458" s="1"/>
      <c r="F11458" s="1" t="str">
        <f>IFERROR(__xludf.DUMMYFUNCTION("GOOGLETRANSLATE(B11458, ""en"", ""fa"")
"),"کپی رایتینگ II")</f>
        <v>کپی رایتینگ II</v>
      </c>
      <c r="G11458" s="1" t="str">
        <f>IFERROR(__xludf.DUMMYFUNCTION("GOOGLETRANSLATE(C11458, ""en"", ""fa"")
"),"چگونه می توانید به طور مؤثر نسخه خود را برای دقت تصحیح و ویرایش کنید و اطمینان حاصل کنید که کلمات شما معنای مورد نظر را به طور دقیق منتقل می کنند؟")</f>
        <v>چگونه می توانید به طور مؤثر نسخه خود را برای دقت تصحیح و ویرایش کنید و اطمینان حاصل کنید که کلمات شما معنای مورد نظر را به طور دقیق منتقل می کنند؟</v>
      </c>
      <c r="H11458" s="1"/>
      <c r="I11458" s="1"/>
      <c r="J11458" s="1"/>
      <c r="K11458" s="1"/>
      <c r="L11458" s="1"/>
      <c r="M11458" s="1"/>
      <c r="N11458" s="1"/>
      <c r="O11458" s="1"/>
      <c r="P11458" s="1"/>
      <c r="Q11458" s="1"/>
      <c r="R11458" s="1"/>
      <c r="S11458" s="1"/>
      <c r="T11458" s="1"/>
      <c r="U11458" s="1"/>
      <c r="V11458" s="1"/>
      <c r="W11458" s="1"/>
      <c r="X11458" s="1"/>
      <c r="Y11458" s="1"/>
      <c r="Z11458" s="1"/>
      <c r="AA11458" s="1"/>
      <c r="AB11458" s="1"/>
    </row>
    <row r="11459" ht="50.25" customHeight="1">
      <c r="A11459" s="12">
        <v>11455.0</v>
      </c>
      <c r="B11459" s="13" t="s">
        <v>10535</v>
      </c>
      <c r="C11459" s="14" t="s">
        <v>11487</v>
      </c>
      <c r="D11459" s="1"/>
      <c r="E11459" s="1"/>
      <c r="F11459" s="1" t="str">
        <f>IFERROR(__xludf.DUMMYFUNCTION("GOOGLETRANSLATE(B11459, ""en"", ""fa"")
"),"کپی رایتینگ II")</f>
        <v>کپی رایتینگ II</v>
      </c>
      <c r="G11459" s="1" t="str">
        <f>IFERROR(__xludf.DUMMYFUNCTION("GOOGLETRANSLATE(C11459, ""en"", ""fa"")
"),"در مورد اهمیت تصحیح برای بررسی سازگاری و وضوح کلمات اختصاری و حروف اولیه در نسخه خود بحث کنید.")</f>
        <v>در مورد اهمیت تصحیح برای بررسی سازگاری و وضوح کلمات اختصاری و حروف اولیه در نسخه خود بحث کنید.</v>
      </c>
      <c r="H11459" s="1"/>
      <c r="I11459" s="1"/>
      <c r="J11459" s="1"/>
      <c r="K11459" s="1"/>
      <c r="L11459" s="1"/>
      <c r="M11459" s="1"/>
      <c r="N11459" s="1"/>
      <c r="O11459" s="1"/>
      <c r="P11459" s="1"/>
      <c r="Q11459" s="1"/>
      <c r="R11459" s="1"/>
      <c r="S11459" s="1"/>
      <c r="T11459" s="1"/>
      <c r="U11459" s="1"/>
      <c r="V11459" s="1"/>
      <c r="W11459" s="1"/>
      <c r="X11459" s="1"/>
      <c r="Y11459" s="1"/>
      <c r="Z11459" s="1"/>
      <c r="AA11459" s="1"/>
      <c r="AB11459" s="1"/>
    </row>
    <row r="11460" ht="50.25" customHeight="1">
      <c r="A11460" s="12">
        <v>11456.0</v>
      </c>
      <c r="B11460" s="13" t="s">
        <v>10535</v>
      </c>
      <c r="C11460" s="14" t="s">
        <v>11488</v>
      </c>
      <c r="D11460" s="1"/>
      <c r="E11460" s="1"/>
      <c r="F11460" s="1" t="str">
        <f>IFERROR(__xludf.DUMMYFUNCTION("GOOGLETRANSLATE(B11460, ""en"", ""fa"")
"),"کپی رایتینگ II")</f>
        <v>کپی رایتینگ II</v>
      </c>
      <c r="G11460" s="1" t="str">
        <f>IFERROR(__xludf.DUMMYFUNCTION("GOOGLETRANSLATE(C11460, ""en"", ""fa"")
"),"بهترین روش‌ها برای بررسی و تصحیح خطاها در توافق فاعل-فعل با موضوعات مرکب در نسخه شما چیست؟")</f>
        <v>بهترین روش‌ها برای بررسی و تصحیح خطاها در توافق فاعل-فعل با موضوعات مرکب در نسخه شما چیست؟</v>
      </c>
      <c r="H11460" s="1"/>
      <c r="I11460" s="1"/>
      <c r="J11460" s="1"/>
      <c r="K11460" s="1"/>
      <c r="L11460" s="1"/>
      <c r="M11460" s="1"/>
      <c r="N11460" s="1"/>
      <c r="O11460" s="1"/>
      <c r="P11460" s="1"/>
      <c r="Q11460" s="1"/>
      <c r="R11460" s="1"/>
      <c r="S11460" s="1"/>
      <c r="T11460" s="1"/>
      <c r="U11460" s="1"/>
      <c r="V11460" s="1"/>
      <c r="W11460" s="1"/>
      <c r="X11460" s="1"/>
      <c r="Y11460" s="1"/>
      <c r="Z11460" s="1"/>
      <c r="AA11460" s="1"/>
      <c r="AB11460" s="1"/>
    </row>
    <row r="11461" ht="50.25" customHeight="1">
      <c r="A11461" s="12">
        <v>11457.0</v>
      </c>
      <c r="B11461" s="13" t="s">
        <v>10535</v>
      </c>
      <c r="C11461" s="14" t="s">
        <v>11489</v>
      </c>
      <c r="D11461" s="1"/>
      <c r="E11461" s="1"/>
      <c r="F11461" s="1" t="str">
        <f>IFERROR(__xludf.DUMMYFUNCTION("GOOGLETRANSLATE(B11461, ""en"", ""fa"")
"),"کپی رایتینگ II")</f>
        <v>کپی رایتینگ II</v>
      </c>
      <c r="G11461" s="1" t="str">
        <f>IFERROR(__xludf.DUMMYFUNCTION("GOOGLETRANSLATE(C11461, ""en"", ""fa"")
"),"چگونه می‌توانید ناسازگاری‌ها را در زمان فعل و تغییرات خلقی در سراسر نسخه خود شناسایی و اصلاح کنید؟")</f>
        <v>چگونه می‌توانید ناسازگاری‌ها را در زمان فعل و تغییرات خلقی در سراسر نسخه خود شناسایی و اصلاح کنید؟</v>
      </c>
      <c r="H11461" s="1"/>
      <c r="I11461" s="1"/>
      <c r="J11461" s="1"/>
      <c r="K11461" s="1"/>
      <c r="L11461" s="1"/>
      <c r="M11461" s="1"/>
      <c r="N11461" s="1"/>
      <c r="O11461" s="1"/>
      <c r="P11461" s="1"/>
      <c r="Q11461" s="1"/>
      <c r="R11461" s="1"/>
      <c r="S11461" s="1"/>
      <c r="T11461" s="1"/>
      <c r="U11461" s="1"/>
      <c r="V11461" s="1"/>
      <c r="W11461" s="1"/>
      <c r="X11461" s="1"/>
      <c r="Y11461" s="1"/>
      <c r="Z11461" s="1"/>
      <c r="AA11461" s="1"/>
      <c r="AB11461" s="1"/>
    </row>
    <row r="11462" ht="50.25" customHeight="1">
      <c r="A11462" s="12">
        <v>11458.0</v>
      </c>
      <c r="B11462" s="13" t="s">
        <v>10535</v>
      </c>
      <c r="C11462" s="14" t="s">
        <v>11490</v>
      </c>
      <c r="D11462" s="1"/>
      <c r="E11462" s="1"/>
      <c r="F11462" s="1" t="str">
        <f>IFERROR(__xludf.DUMMYFUNCTION("GOOGLETRANSLATE(B11462, ""en"", ""fa"")
"),"کپی رایتینگ II")</f>
        <v>کپی رایتینگ II</v>
      </c>
      <c r="G11462" s="1" t="str">
        <f>IFERROR(__xludf.DUMMYFUNCTION("GOOGLETRANSLATE(C11462, ""en"", ""fa"")
"),"چه راهکارهایی را می‌توانید برای تشخیص و رفع خطاهای توافق ضمایر پیشین با ضمایر نامشخص در نوشته خود به کار ببرید؟")</f>
        <v>چه راهکارهایی را می‌توانید برای تشخیص و رفع خطاهای توافق ضمایر پیشین با ضمایر نامشخص در نوشته خود به کار ببرید؟</v>
      </c>
      <c r="H11462" s="1"/>
      <c r="I11462" s="1"/>
      <c r="J11462" s="1"/>
      <c r="K11462" s="1"/>
      <c r="L11462" s="1"/>
      <c r="M11462" s="1"/>
      <c r="N11462" s="1"/>
      <c r="O11462" s="1"/>
      <c r="P11462" s="1"/>
      <c r="Q11462" s="1"/>
      <c r="R11462" s="1"/>
      <c r="S11462" s="1"/>
      <c r="T11462" s="1"/>
      <c r="U11462" s="1"/>
      <c r="V11462" s="1"/>
      <c r="W11462" s="1"/>
      <c r="X11462" s="1"/>
      <c r="Y11462" s="1"/>
      <c r="Z11462" s="1"/>
      <c r="AA11462" s="1"/>
      <c r="AB11462" s="1"/>
    </row>
    <row r="11463" ht="50.25" customHeight="1">
      <c r="A11463" s="12">
        <v>11459.0</v>
      </c>
      <c r="B11463" s="13" t="s">
        <v>10535</v>
      </c>
      <c r="C11463" s="14" t="s">
        <v>11491</v>
      </c>
      <c r="D11463" s="1"/>
      <c r="E11463" s="1"/>
      <c r="F11463" s="1" t="str">
        <f>IFERROR(__xludf.DUMMYFUNCTION("GOOGLETRANSLATE(B11463, ""en"", ""fa"")
"),"کپی رایتینگ II")</f>
        <v>کپی رایتینگ II</v>
      </c>
      <c r="G11463" s="1" t="str">
        <f>IFERROR(__xludf.DUMMYFUNCTION("GOOGLETRANSLATE(C11463, ""en"", ""fa"")
"),"چگونه می توانید اطمینان حاصل کنید که نسخه شما از قوانین استفاده صحیح از کاما، از جمله کاما و کاما اسپلایس آکسفورد پیروی می کند؟")</f>
        <v>چگونه می توانید اطمینان حاصل کنید که نسخه شما از قوانین استفاده صحیح از کاما، از جمله کاما و کاما اسپلایس آکسفورد پیروی می کند؟</v>
      </c>
      <c r="H11463" s="1"/>
      <c r="I11463" s="1"/>
      <c r="J11463" s="1"/>
      <c r="K11463" s="1"/>
      <c r="L11463" s="1"/>
      <c r="M11463" s="1"/>
      <c r="N11463" s="1"/>
      <c r="O11463" s="1"/>
      <c r="P11463" s="1"/>
      <c r="Q11463" s="1"/>
      <c r="R11463" s="1"/>
      <c r="S11463" s="1"/>
      <c r="T11463" s="1"/>
      <c r="U11463" s="1"/>
      <c r="V11463" s="1"/>
      <c r="W11463" s="1"/>
      <c r="X11463" s="1"/>
      <c r="Y11463" s="1"/>
      <c r="Z11463" s="1"/>
      <c r="AA11463" s="1"/>
      <c r="AB11463" s="1"/>
    </row>
    <row r="11464" ht="50.25" customHeight="1">
      <c r="A11464" s="12">
        <v>11460.0</v>
      </c>
      <c r="B11464" s="13" t="s">
        <v>10535</v>
      </c>
      <c r="C11464" s="14" t="s">
        <v>11492</v>
      </c>
      <c r="D11464" s="1"/>
      <c r="E11464" s="1"/>
      <c r="F11464" s="1" t="str">
        <f>IFERROR(__xludf.DUMMYFUNCTION("GOOGLETRANSLATE(B11464, ""en"", ""fa"")
"),"کپی رایتینگ II")</f>
        <v>کپی رایتینگ II</v>
      </c>
      <c r="G11464" s="1" t="str">
        <f>IFERROR(__xludf.DUMMYFUNCTION("GOOGLETRANSLATE(C11464, ""en"", ""fa"")
"),"در مورد نقش تصحیح در حفظ استناد مناسب و پایبندی به دستورالعمل های حق چاپ در نوشته خود بحث کنید.")</f>
        <v>در مورد نقش تصحیح در حفظ استناد مناسب و پایبندی به دستورالعمل های حق چاپ در نوشته خود بحث کنید.</v>
      </c>
      <c r="H11464" s="1"/>
      <c r="I11464" s="1"/>
      <c r="J11464" s="1"/>
      <c r="K11464" s="1"/>
      <c r="L11464" s="1"/>
      <c r="M11464" s="1"/>
      <c r="N11464" s="1"/>
      <c r="O11464" s="1"/>
      <c r="P11464" s="1"/>
      <c r="Q11464" s="1"/>
      <c r="R11464" s="1"/>
      <c r="S11464" s="1"/>
      <c r="T11464" s="1"/>
      <c r="U11464" s="1"/>
      <c r="V11464" s="1"/>
      <c r="W11464" s="1"/>
      <c r="X11464" s="1"/>
      <c r="Y11464" s="1"/>
      <c r="Z11464" s="1"/>
      <c r="AA11464" s="1"/>
      <c r="AB11464" s="1"/>
    </row>
    <row r="11465" ht="50.25" customHeight="1">
      <c r="A11465" s="12">
        <v>11461.0</v>
      </c>
      <c r="B11465" s="13" t="s">
        <v>10535</v>
      </c>
      <c r="C11465" s="14" t="s">
        <v>11493</v>
      </c>
      <c r="D11465" s="1"/>
      <c r="E11465" s="1"/>
      <c r="F11465" s="1" t="str">
        <f>IFERROR(__xludf.DUMMYFUNCTION("GOOGLETRANSLATE(B11465, ""en"", ""fa"")
"),"کپی رایتینگ II")</f>
        <v>کپی رایتینگ II</v>
      </c>
      <c r="G11465" s="1" t="str">
        <f>IFERROR(__xludf.DUMMYFUNCTION("GOOGLETRANSLATE(C11465, ""en"", ""fa"")
"),"از چه تکنیک هایی می توانید برای بررسی و تصحیح اشتباهات در قرار دادن و ترتیب صفت و قید در نسخه خود استفاده کنید؟")</f>
        <v>از چه تکنیک هایی می توانید برای بررسی و تصحیح اشتباهات در قرار دادن و ترتیب صفت و قید در نسخه خود استفاده کنید؟</v>
      </c>
      <c r="H11465" s="1"/>
      <c r="I11465" s="1"/>
      <c r="J11465" s="1"/>
      <c r="K11465" s="1"/>
      <c r="L11465" s="1"/>
      <c r="M11465" s="1"/>
      <c r="N11465" s="1"/>
      <c r="O11465" s="1"/>
      <c r="P11465" s="1"/>
      <c r="Q11465" s="1"/>
      <c r="R11465" s="1"/>
      <c r="S11465" s="1"/>
      <c r="T11465" s="1"/>
      <c r="U11465" s="1"/>
      <c r="V11465" s="1"/>
      <c r="W11465" s="1"/>
      <c r="X11465" s="1"/>
      <c r="Y11465" s="1"/>
      <c r="Z11465" s="1"/>
      <c r="AA11465" s="1"/>
      <c r="AB11465" s="1"/>
    </row>
    <row r="11466" ht="50.25" customHeight="1">
      <c r="A11466" s="12">
        <v>11462.0</v>
      </c>
      <c r="B11466" s="13" t="s">
        <v>10535</v>
      </c>
      <c r="C11466" s="14" t="s">
        <v>11494</v>
      </c>
      <c r="D11466" s="1"/>
      <c r="E11466" s="1"/>
      <c r="F11466" s="1" t="str">
        <f>IFERROR(__xludf.DUMMYFUNCTION("GOOGLETRANSLATE(B11466, ""en"", ""fa"")
"),"کپی رایتینگ II")</f>
        <v>کپی رایتینگ II</v>
      </c>
      <c r="G11466" s="1" t="str">
        <f>IFERROR(__xludf.DUMMYFUNCTION("GOOGLETRANSLATE(C11466, ""en"", ""fa"")
"),"چگونه می توانید به طور مؤثر نسخه خود را برای انسجام تصحیح و ویرایش کنید و اطمینان حاصل کنید که پاراگراف ها و جملات شما به خوبی به هم متصل می شوند؟")</f>
        <v>چگونه می توانید به طور مؤثر نسخه خود را برای انسجام تصحیح و ویرایش کنید و اطمینان حاصل کنید که پاراگراف ها و جملات شما به خوبی به هم متصل می شوند؟</v>
      </c>
      <c r="H11466" s="1"/>
      <c r="I11466" s="1"/>
      <c r="J11466" s="1"/>
      <c r="K11466" s="1"/>
      <c r="L11466" s="1"/>
      <c r="M11466" s="1"/>
      <c r="N11466" s="1"/>
      <c r="O11466" s="1"/>
      <c r="P11466" s="1"/>
      <c r="Q11466" s="1"/>
      <c r="R11466" s="1"/>
      <c r="S11466" s="1"/>
      <c r="T11466" s="1"/>
      <c r="U11466" s="1"/>
      <c r="V11466" s="1"/>
      <c r="W11466" s="1"/>
      <c r="X11466" s="1"/>
      <c r="Y11466" s="1"/>
      <c r="Z11466" s="1"/>
      <c r="AA11466" s="1"/>
      <c r="AB11466" s="1"/>
    </row>
    <row r="11467" ht="50.25" customHeight="1">
      <c r="A11467" s="12">
        <v>11463.0</v>
      </c>
      <c r="B11467" s="13" t="s">
        <v>10535</v>
      </c>
      <c r="C11467" s="14" t="s">
        <v>11495</v>
      </c>
      <c r="D11467" s="1"/>
      <c r="E11467" s="1"/>
      <c r="F11467" s="1" t="str">
        <f>IFERROR(__xludf.DUMMYFUNCTION("GOOGLETRANSLATE(B11467, ""en"", ""fa"")
"),"کپی رایتینگ II")</f>
        <v>کپی رایتینگ II</v>
      </c>
      <c r="G11467" s="1" t="str">
        <f>IFERROR(__xludf.DUMMYFUNCTION("GOOGLETRANSLATE(C11467, ""en"", ""fa"")
"),"در مورد اهمیت تصحیح برای بررسی دقت و سازگاری عبارات عددی و واحدهای اندازه گیری در نسخه خود بحث کنید.")</f>
        <v>در مورد اهمیت تصحیح برای بررسی دقت و سازگاری عبارات عددی و واحدهای اندازه گیری در نسخه خود بحث کنید.</v>
      </c>
      <c r="H11467" s="1"/>
      <c r="I11467" s="1"/>
      <c r="J11467" s="1"/>
      <c r="K11467" s="1"/>
      <c r="L11467" s="1"/>
      <c r="M11467" s="1"/>
      <c r="N11467" s="1"/>
      <c r="O11467" s="1"/>
      <c r="P11467" s="1"/>
      <c r="Q11467" s="1"/>
      <c r="R11467" s="1"/>
      <c r="S11467" s="1"/>
      <c r="T11467" s="1"/>
      <c r="U11467" s="1"/>
      <c r="V11467" s="1"/>
      <c r="W11467" s="1"/>
      <c r="X11467" s="1"/>
      <c r="Y11467" s="1"/>
      <c r="Z11467" s="1"/>
      <c r="AA11467" s="1"/>
      <c r="AB11467" s="1"/>
    </row>
    <row r="11468" ht="50.25" customHeight="1">
      <c r="A11468" s="12">
        <v>11464.0</v>
      </c>
      <c r="B11468" s="13" t="s">
        <v>10535</v>
      </c>
      <c r="C11468" s="14" t="s">
        <v>11496</v>
      </c>
      <c r="D11468" s="1"/>
      <c r="E11468" s="1"/>
      <c r="F11468" s="1" t="str">
        <f>IFERROR(__xludf.DUMMYFUNCTION("GOOGLETRANSLATE(B11468, ""en"", ""fa"")
"),"کپی رایتینگ II")</f>
        <v>کپی رایتینگ II</v>
      </c>
      <c r="G11468" s="1" t="str">
        <f>IFERROR(__xludf.DUMMYFUNCTION("GOOGLETRANSLATE(C11468, ""en"", ""fa"")
"),"بهترین روش‌ها برای بررسی و تصحیح اشتباهات در توافق فاعل-فعل با اسم‌های جمعی در نسخه شما چیست؟")</f>
        <v>بهترین روش‌ها برای بررسی و تصحیح اشتباهات در توافق فاعل-فعل با اسم‌های جمعی در نسخه شما چیست؟</v>
      </c>
      <c r="H11468" s="1"/>
      <c r="I11468" s="1"/>
      <c r="J11468" s="1"/>
      <c r="K11468" s="1"/>
      <c r="L11468" s="1"/>
      <c r="M11468" s="1"/>
      <c r="N11468" s="1"/>
      <c r="O11468" s="1"/>
      <c r="P11468" s="1"/>
      <c r="Q11468" s="1"/>
      <c r="R11468" s="1"/>
      <c r="S11468" s="1"/>
      <c r="T11468" s="1"/>
      <c r="U11468" s="1"/>
      <c r="V11468" s="1"/>
      <c r="W11468" s="1"/>
      <c r="X11468" s="1"/>
      <c r="Y11468" s="1"/>
      <c r="Z11468" s="1"/>
      <c r="AA11468" s="1"/>
      <c r="AB11468" s="1"/>
    </row>
    <row r="11469" ht="50.25" customHeight="1">
      <c r="A11469" s="12">
        <v>11465.0</v>
      </c>
      <c r="B11469" s="13" t="s">
        <v>10535</v>
      </c>
      <c r="C11469" s="14" t="s">
        <v>11497</v>
      </c>
      <c r="D11469" s="1"/>
      <c r="E11469" s="1"/>
      <c r="F11469" s="1" t="str">
        <f>IFERROR(__xludf.DUMMYFUNCTION("GOOGLETRANSLATE(B11469, ""en"", ""fa"")
"),"کپی رایتینگ II")</f>
        <v>کپی رایتینگ II</v>
      </c>
      <c r="G11469" s="1" t="str">
        <f>IFERROR(__xludf.DUMMYFUNCTION("GOOGLETRANSLATE(C11469, ""en"", ""fa"")
"),"چگونه می توانید ناسازگاری ها را در زمان و جنبه فعل در سراسر نسخه خود شناسایی و اصلاح کنید؟")</f>
        <v>چگونه می توانید ناسازگاری ها را در زمان و جنبه فعل در سراسر نسخه خود شناسایی و اصلاح کنید؟</v>
      </c>
      <c r="H11469" s="1"/>
      <c r="I11469" s="1"/>
      <c r="J11469" s="1"/>
      <c r="K11469" s="1"/>
      <c r="L11469" s="1"/>
      <c r="M11469" s="1"/>
      <c r="N11469" s="1"/>
      <c r="O11469" s="1"/>
      <c r="P11469" s="1"/>
      <c r="Q11469" s="1"/>
      <c r="R11469" s="1"/>
      <c r="S11469" s="1"/>
      <c r="T11469" s="1"/>
      <c r="U11469" s="1"/>
      <c r="V11469" s="1"/>
      <c r="W11469" s="1"/>
      <c r="X11469" s="1"/>
      <c r="Y11469" s="1"/>
      <c r="Z11469" s="1"/>
      <c r="AA11469" s="1"/>
      <c r="AB11469" s="1"/>
    </row>
    <row r="11470" ht="50.25" customHeight="1">
      <c r="A11470" s="12">
        <v>11466.0</v>
      </c>
      <c r="B11470" s="13" t="s">
        <v>10535</v>
      </c>
      <c r="C11470" s="14" t="s">
        <v>11498</v>
      </c>
      <c r="D11470" s="1"/>
      <c r="E11470" s="1"/>
      <c r="F11470" s="1" t="str">
        <f>IFERROR(__xludf.DUMMYFUNCTION("GOOGLETRANSLATE(B11470, ""en"", ""fa"")
"),"کپی رایتینگ II")</f>
        <v>کپی رایتینگ II</v>
      </c>
      <c r="G11470" s="1" t="str">
        <f>IFERROR(__xludf.DUMMYFUNCTION("GOOGLETRANSLATE(C11470, ""en"", ""fa"")
"),"چه راهکارهایی را می‌توانید برای شناسایی و رفع خطاهای توافق ضمایر پیشین با ضمایر نسبی در نوشته خود به کار ببرید؟")</f>
        <v>چه راهکارهایی را می‌توانید برای شناسایی و رفع خطاهای توافق ضمایر پیشین با ضمایر نسبی در نوشته خود به کار ببرید؟</v>
      </c>
      <c r="H11470" s="1"/>
      <c r="I11470" s="1"/>
      <c r="J11470" s="1"/>
      <c r="K11470" s="1"/>
      <c r="L11470" s="1"/>
      <c r="M11470" s="1"/>
      <c r="N11470" s="1"/>
      <c r="O11470" s="1"/>
      <c r="P11470" s="1"/>
      <c r="Q11470" s="1"/>
      <c r="R11470" s="1"/>
      <c r="S11470" s="1"/>
      <c r="T11470" s="1"/>
      <c r="U11470" s="1"/>
      <c r="V11470" s="1"/>
      <c r="W11470" s="1"/>
      <c r="X11470" s="1"/>
      <c r="Y11470" s="1"/>
      <c r="Z11470" s="1"/>
      <c r="AA11470" s="1"/>
      <c r="AB11470" s="1"/>
    </row>
    <row r="11471" ht="50.25" customHeight="1">
      <c r="A11471" s="12">
        <v>11467.0</v>
      </c>
      <c r="B11471" s="13" t="s">
        <v>10535</v>
      </c>
      <c r="C11471" s="14" t="s">
        <v>11499</v>
      </c>
      <c r="D11471" s="1"/>
      <c r="E11471" s="1"/>
      <c r="F11471" s="1" t="str">
        <f>IFERROR(__xludf.DUMMYFUNCTION("GOOGLETRANSLATE(B11471, ""en"", ""fa"")
"),"کپی رایتینگ II")</f>
        <v>کپی رایتینگ II</v>
      </c>
      <c r="G11471" s="1" t="str">
        <f>IFERROR(__xludf.DUMMYFUNCTION("GOOGLETRANSLATE(C11471, ""en"", ""fa"")
"),"چگونه می توانید اطمینان حاصل کنید که نسخه شما فاقد اصلاح کننده های اضافی و صفت های غیر ضروری است؟")</f>
        <v>چگونه می توانید اطمینان حاصل کنید که نسخه شما فاقد اصلاح کننده های اضافی و صفت های غیر ضروری است؟</v>
      </c>
      <c r="H11471" s="1"/>
      <c r="I11471" s="1"/>
      <c r="J11471" s="1"/>
      <c r="K11471" s="1"/>
      <c r="L11471" s="1"/>
      <c r="M11471" s="1"/>
      <c r="N11471" s="1"/>
      <c r="O11471" s="1"/>
      <c r="P11471" s="1"/>
      <c r="Q11471" s="1"/>
      <c r="R11471" s="1"/>
      <c r="S11471" s="1"/>
      <c r="T11471" s="1"/>
      <c r="U11471" s="1"/>
      <c r="V11471" s="1"/>
      <c r="W11471" s="1"/>
      <c r="X11471" s="1"/>
      <c r="Y11471" s="1"/>
      <c r="Z11471" s="1"/>
      <c r="AA11471" s="1"/>
      <c r="AB11471" s="1"/>
    </row>
    <row r="11472" ht="50.25" customHeight="1">
      <c r="A11472" s="12">
        <v>11468.0</v>
      </c>
      <c r="B11472" s="13" t="s">
        <v>10535</v>
      </c>
      <c r="C11472" s="14" t="s">
        <v>11500</v>
      </c>
      <c r="D11472" s="1"/>
      <c r="E11472" s="1"/>
      <c r="F11472" s="1" t="str">
        <f>IFERROR(__xludf.DUMMYFUNCTION("GOOGLETRANSLATE(B11472, ""en"", ""fa"")
"),"کپی رایتینگ II")</f>
        <v>کپی رایتینگ II</v>
      </c>
      <c r="G11472" s="1" t="str">
        <f>IFERROR(__xludf.DUMMYFUNCTION("GOOGLETRANSLATE(C11472, ""en"", ""fa"")
"),"در مورد نقش تصحیح در تأیید استفاده صحیح از کلمات و عبارات خارجی در نسخه خود بحث کنید.")</f>
        <v>در مورد نقش تصحیح در تأیید استفاده صحیح از کلمات و عبارات خارجی در نسخه خود بحث کنید.</v>
      </c>
      <c r="H11472" s="1"/>
      <c r="I11472" s="1"/>
      <c r="J11472" s="1"/>
      <c r="K11472" s="1"/>
      <c r="L11472" s="1"/>
      <c r="M11472" s="1"/>
      <c r="N11472" s="1"/>
      <c r="O11472" s="1"/>
      <c r="P11472" s="1"/>
      <c r="Q11472" s="1"/>
      <c r="R11472" s="1"/>
      <c r="S11472" s="1"/>
      <c r="T11472" s="1"/>
      <c r="U11472" s="1"/>
      <c r="V11472" s="1"/>
      <c r="W11472" s="1"/>
      <c r="X11472" s="1"/>
      <c r="Y11472" s="1"/>
      <c r="Z11472" s="1"/>
      <c r="AA11472" s="1"/>
      <c r="AB11472" s="1"/>
    </row>
    <row r="11473" ht="50.25" customHeight="1">
      <c r="A11473" s="12">
        <v>11469.0</v>
      </c>
      <c r="B11473" s="13" t="s">
        <v>10535</v>
      </c>
      <c r="C11473" s="14" t="s">
        <v>11501</v>
      </c>
      <c r="D11473" s="1"/>
      <c r="E11473" s="1"/>
      <c r="F11473" s="1" t="str">
        <f>IFERROR(__xludf.DUMMYFUNCTION("GOOGLETRANSLATE(B11473, ""en"", ""fa"")
"),"کپی رایتینگ II")</f>
        <v>کپی رایتینگ II</v>
      </c>
      <c r="G11473" s="1" t="str">
        <f>IFERROR(__xludf.DUMMYFUNCTION("GOOGLETRANSLATE(C11473, ""en"", ""fa"")
"),"از چه تکنیک هایی می توانید برای بررسی و تصحیح اشتباهات توافق اسم و ضمیر در نوشته خود استفاده کنید؟")</f>
        <v>از چه تکنیک هایی می توانید برای بررسی و تصحیح اشتباهات توافق اسم و ضمیر در نوشته خود استفاده کنید؟</v>
      </c>
      <c r="H11473" s="1"/>
      <c r="I11473" s="1"/>
      <c r="J11473" s="1"/>
      <c r="K11473" s="1"/>
      <c r="L11473" s="1"/>
      <c r="M11473" s="1"/>
      <c r="N11473" s="1"/>
      <c r="O11473" s="1"/>
      <c r="P11473" s="1"/>
      <c r="Q11473" s="1"/>
      <c r="R11473" s="1"/>
      <c r="S11473" s="1"/>
      <c r="T11473" s="1"/>
      <c r="U11473" s="1"/>
      <c r="V11473" s="1"/>
      <c r="W11473" s="1"/>
      <c r="X11473" s="1"/>
      <c r="Y11473" s="1"/>
      <c r="Z11473" s="1"/>
      <c r="AA11473" s="1"/>
      <c r="AB11473" s="1"/>
    </row>
    <row r="11474" ht="50.25" customHeight="1">
      <c r="A11474" s="12">
        <v>11470.0</v>
      </c>
      <c r="B11474" s="13" t="s">
        <v>10535</v>
      </c>
      <c r="C11474" s="14" t="s">
        <v>11502</v>
      </c>
      <c r="D11474" s="1"/>
      <c r="E11474" s="1"/>
      <c r="F11474" s="1" t="str">
        <f>IFERROR(__xludf.DUMMYFUNCTION("GOOGLETRANSLATE(B11474, ""en"", ""fa"")
"),"کپی رایتینگ II")</f>
        <v>کپی رایتینگ II</v>
      </c>
      <c r="G11474" s="1" t="str">
        <f>IFERROR(__xludf.DUMMYFUNCTION("GOOGLETRANSLATE(C11474, ""en"", ""fa"")
"),"چگونه می توانید به طور مؤثر نسخه خود را برای وضوح تصحیح و ویرایش کنید و اطمینان حاصل کنید که جملات شما به خوبی ساختار یافته و به راحتی قابل درک هستند؟")</f>
        <v>چگونه می توانید به طور مؤثر نسخه خود را برای وضوح تصحیح و ویرایش کنید و اطمینان حاصل کنید که جملات شما به خوبی ساختار یافته و به راحتی قابل درک هستند؟</v>
      </c>
      <c r="H11474" s="1"/>
      <c r="I11474" s="1"/>
      <c r="J11474" s="1"/>
      <c r="K11474" s="1"/>
      <c r="L11474" s="1"/>
      <c r="M11474" s="1"/>
      <c r="N11474" s="1"/>
      <c r="O11474" s="1"/>
      <c r="P11474" s="1"/>
      <c r="Q11474" s="1"/>
      <c r="R11474" s="1"/>
      <c r="S11474" s="1"/>
      <c r="T11474" s="1"/>
      <c r="U11474" s="1"/>
      <c r="V11474" s="1"/>
      <c r="W11474" s="1"/>
      <c r="X11474" s="1"/>
      <c r="Y11474" s="1"/>
      <c r="Z11474" s="1"/>
      <c r="AA11474" s="1"/>
      <c r="AB11474" s="1"/>
    </row>
    <row r="11475" ht="50.25" customHeight="1">
      <c r="A11475" s="12">
        <v>11471.0</v>
      </c>
      <c r="B11475" s="13" t="s">
        <v>10535</v>
      </c>
      <c r="C11475" s="14" t="s">
        <v>11503</v>
      </c>
      <c r="D11475" s="1"/>
      <c r="E11475" s="1"/>
      <c r="F11475" s="1" t="str">
        <f>IFERROR(__xludf.DUMMYFUNCTION("GOOGLETRANSLATE(B11475, ""en"", ""fa"")
"),"کپی رایتینگ II")</f>
        <v>کپی رایتینگ II</v>
      </c>
      <c r="G11475" s="1" t="str">
        <f>IFERROR(__xludf.DUMMYFUNCTION("GOOGLETRANSLATE(C11475, ""en"", ""fa"")
"),"در مورد اهمیت تصحیح برای بررسی سازگاری و دقت تاریخ ها، زمان ها و سایر مراجع موقت در نسخه خود بحث کنید.")</f>
        <v>در مورد اهمیت تصحیح برای بررسی سازگاری و دقت تاریخ ها، زمان ها و سایر مراجع موقت در نسخه خود بحث کنید.</v>
      </c>
      <c r="H11475" s="1"/>
      <c r="I11475" s="1"/>
      <c r="J11475" s="1"/>
      <c r="K11475" s="1"/>
      <c r="L11475" s="1"/>
      <c r="M11475" s="1"/>
      <c r="N11475" s="1"/>
      <c r="O11475" s="1"/>
      <c r="P11475" s="1"/>
      <c r="Q11475" s="1"/>
      <c r="R11475" s="1"/>
      <c r="S11475" s="1"/>
      <c r="T11475" s="1"/>
      <c r="U11475" s="1"/>
      <c r="V11475" s="1"/>
      <c r="W11475" s="1"/>
      <c r="X11475" s="1"/>
      <c r="Y11475" s="1"/>
      <c r="Z11475" s="1"/>
      <c r="AA11475" s="1"/>
      <c r="AB11475" s="1"/>
    </row>
    <row r="11476" ht="50.25" customHeight="1">
      <c r="A11476" s="12">
        <v>11472.0</v>
      </c>
      <c r="B11476" s="13" t="s">
        <v>10535</v>
      </c>
      <c r="C11476" s="14" t="s">
        <v>11504</v>
      </c>
      <c r="D11476" s="1"/>
      <c r="E11476" s="1"/>
      <c r="F11476" s="1" t="str">
        <f>IFERROR(__xludf.DUMMYFUNCTION("GOOGLETRANSLATE(B11476, ""en"", ""fa"")
"),"کپی رایتینگ II")</f>
        <v>کپی رایتینگ II</v>
      </c>
      <c r="G11476" s="1" t="str">
        <f>IFERROR(__xludf.DUMMYFUNCTION("GOOGLETRANSLATE(C11476, ""en"", ""fa"")
"),"بهترین روش ها برای بررسی و تصحیح اشتباهات در توافق فاعل-فعل با ضمایر نامعین در نسخه شما چیست؟")</f>
        <v>بهترین روش ها برای بررسی و تصحیح اشتباهات در توافق فاعل-فعل با ضمایر نامعین در نسخه شما چیست؟</v>
      </c>
      <c r="H11476" s="1"/>
      <c r="I11476" s="1"/>
      <c r="J11476" s="1"/>
      <c r="K11476" s="1"/>
      <c r="L11476" s="1"/>
      <c r="M11476" s="1"/>
      <c r="N11476" s="1"/>
      <c r="O11476" s="1"/>
      <c r="P11476" s="1"/>
      <c r="Q11476" s="1"/>
      <c r="R11476" s="1"/>
      <c r="S11476" s="1"/>
      <c r="T11476" s="1"/>
      <c r="U11476" s="1"/>
      <c r="V11476" s="1"/>
      <c r="W11476" s="1"/>
      <c r="X11476" s="1"/>
      <c r="Y11476" s="1"/>
      <c r="Z11476" s="1"/>
      <c r="AA11476" s="1"/>
      <c r="AB11476" s="1"/>
    </row>
    <row r="11477" ht="50.25" customHeight="1">
      <c r="A11477" s="12">
        <v>11473.0</v>
      </c>
      <c r="B11477" s="13" t="s">
        <v>10535</v>
      </c>
      <c r="C11477" s="14" t="s">
        <v>11505</v>
      </c>
      <c r="D11477" s="1"/>
      <c r="E11477" s="1"/>
      <c r="F11477" s="1" t="str">
        <f>IFERROR(__xludf.DUMMYFUNCTION("GOOGLETRANSLATE(B11477, ""en"", ""fa"")
"),"کپی رایتینگ II")</f>
        <v>کپی رایتینگ II</v>
      </c>
      <c r="G11477" s="1" t="str">
        <f>IFERROR(__xludf.DUMMYFUNCTION("GOOGLETRANSLATE(C11477, ""en"", ""fa"")
"),"چگونه می توانید ناسازگاری های زمان فعل و تغییرات صدا را در سراسر نسخه خود شناسایی و اصلاح کنید؟")</f>
        <v>چگونه می توانید ناسازگاری های زمان فعل و تغییرات صدا را در سراسر نسخه خود شناسایی و اصلاح کنید؟</v>
      </c>
      <c r="H11477" s="1"/>
      <c r="I11477" s="1"/>
      <c r="J11477" s="1"/>
      <c r="K11477" s="1"/>
      <c r="L11477" s="1"/>
      <c r="M11477" s="1"/>
      <c r="N11477" s="1"/>
      <c r="O11477" s="1"/>
      <c r="P11477" s="1"/>
      <c r="Q11477" s="1"/>
      <c r="R11477" s="1"/>
      <c r="S11477" s="1"/>
      <c r="T11477" s="1"/>
      <c r="U11477" s="1"/>
      <c r="V11477" s="1"/>
      <c r="W11477" s="1"/>
      <c r="X11477" s="1"/>
      <c r="Y11477" s="1"/>
      <c r="Z11477" s="1"/>
      <c r="AA11477" s="1"/>
      <c r="AB11477" s="1"/>
    </row>
    <row r="11478" ht="50.25" customHeight="1">
      <c r="A11478" s="12">
        <v>11474.0</v>
      </c>
      <c r="B11478" s="13" t="s">
        <v>10535</v>
      </c>
      <c r="C11478" s="14" t="s">
        <v>11506</v>
      </c>
      <c r="D11478" s="1"/>
      <c r="E11478" s="1"/>
      <c r="F11478" s="1" t="str">
        <f>IFERROR(__xludf.DUMMYFUNCTION("GOOGLETRANSLATE(B11478, ""en"", ""fa"")
"),"کپی رایتینگ II")</f>
        <v>کپی رایتینگ II</v>
      </c>
      <c r="G11478" s="1" t="str">
        <f>IFERROR(__xludf.DUMMYFUNCTION("GOOGLETRANSLATE(C11478, ""en"", ""fa"")
"),"چه راهکارهایی را می توانید برای شناسایی و رفع خطاهای ضمایر و قوام ضمایر در نوشتار خود به کار ببرید؟")</f>
        <v>چه راهکارهایی را می توانید برای شناسایی و رفع خطاهای ضمایر و قوام ضمایر در نوشتار خود به کار ببرید؟</v>
      </c>
      <c r="H11478" s="1"/>
      <c r="I11478" s="1"/>
      <c r="J11478" s="1"/>
      <c r="K11478" s="1"/>
      <c r="L11478" s="1"/>
      <c r="M11478" s="1"/>
      <c r="N11478" s="1"/>
      <c r="O11478" s="1"/>
      <c r="P11478" s="1"/>
      <c r="Q11478" s="1"/>
      <c r="R11478" s="1"/>
      <c r="S11478" s="1"/>
      <c r="T11478" s="1"/>
      <c r="U11478" s="1"/>
      <c r="V11478" s="1"/>
      <c r="W11478" s="1"/>
      <c r="X11478" s="1"/>
      <c r="Y11478" s="1"/>
      <c r="Z11478" s="1"/>
      <c r="AA11478" s="1"/>
      <c r="AB11478" s="1"/>
    </row>
    <row r="11479" ht="50.25" customHeight="1">
      <c r="A11479" s="12">
        <v>11475.0</v>
      </c>
      <c r="B11479" s="13" t="s">
        <v>10535</v>
      </c>
      <c r="C11479" s="14" t="s">
        <v>11507</v>
      </c>
      <c r="D11479" s="1"/>
      <c r="E11479" s="1"/>
      <c r="F11479" s="1" t="str">
        <f>IFERROR(__xludf.DUMMYFUNCTION("GOOGLETRANSLATE(B11479, ""en"", ""fa"")
"),"کپی رایتینگ II")</f>
        <v>کپی رایتینگ II</v>
      </c>
      <c r="G11479" s="1" t="str">
        <f>IFERROR(__xludf.DUMMYFUNCTION("GOOGLETRANSLATE(C11479, ""en"", ""fa"")
"),"چگونه می توانید اطمینان حاصل کنید که نسخه شما از قوانین استفاده صحیح از آپاستروف، از جمله مالکیت و انقباض پیروی می کند؟")</f>
        <v>چگونه می توانید اطمینان حاصل کنید که نسخه شما از قوانین استفاده صحیح از آپاستروف، از جمله مالکیت و انقباض پیروی می کند؟</v>
      </c>
      <c r="H11479" s="1"/>
      <c r="I11479" s="1"/>
      <c r="J11479" s="1"/>
      <c r="K11479" s="1"/>
      <c r="L11479" s="1"/>
      <c r="M11479" s="1"/>
      <c r="N11479" s="1"/>
      <c r="O11479" s="1"/>
      <c r="P11479" s="1"/>
      <c r="Q11479" s="1"/>
      <c r="R11479" s="1"/>
      <c r="S11479" s="1"/>
      <c r="T11479" s="1"/>
      <c r="U11479" s="1"/>
      <c r="V11479" s="1"/>
      <c r="W11479" s="1"/>
      <c r="X11479" s="1"/>
      <c r="Y11479" s="1"/>
      <c r="Z11479" s="1"/>
      <c r="AA11479" s="1"/>
      <c r="AB11479" s="1"/>
    </row>
    <row r="11480" ht="50.25" customHeight="1">
      <c r="A11480" s="12">
        <v>11476.0</v>
      </c>
      <c r="B11480" s="13" t="s">
        <v>10535</v>
      </c>
      <c r="C11480" s="14" t="s">
        <v>11508</v>
      </c>
      <c r="D11480" s="1"/>
      <c r="E11480" s="1"/>
      <c r="F11480" s="1" t="str">
        <f>IFERROR(__xludf.DUMMYFUNCTION("GOOGLETRANSLATE(B11480, ""en"", ""fa"")
"),"کپی رایتینگ II")</f>
        <v>کپی رایتینگ II</v>
      </c>
      <c r="G11480" s="1" t="str">
        <f>IFERROR(__xludf.DUMMYFUNCTION("GOOGLETRANSLATE(C11480, ""en"", ""fa"")
"),"در مورد نقش تصحیح در حفظ استناد و ارجاع مناسب به منابع در نوشته خود بحث کنید.")</f>
        <v>در مورد نقش تصحیح در حفظ استناد و ارجاع مناسب به منابع در نوشته خود بحث کنید.</v>
      </c>
      <c r="H11480" s="1"/>
      <c r="I11480" s="1"/>
      <c r="J11480" s="1"/>
      <c r="K11480" s="1"/>
      <c r="L11480" s="1"/>
      <c r="M11480" s="1"/>
      <c r="N11480" s="1"/>
      <c r="O11480" s="1"/>
      <c r="P11480" s="1"/>
      <c r="Q11480" s="1"/>
      <c r="R11480" s="1"/>
      <c r="S11480" s="1"/>
      <c r="T11480" s="1"/>
      <c r="U11480" s="1"/>
      <c r="V11480" s="1"/>
      <c r="W11480" s="1"/>
      <c r="X11480" s="1"/>
      <c r="Y11480" s="1"/>
      <c r="Z11480" s="1"/>
      <c r="AA11480" s="1"/>
      <c r="AB11480" s="1"/>
    </row>
    <row r="11481" ht="50.25" customHeight="1">
      <c r="A11481" s="12">
        <v>11477.0</v>
      </c>
      <c r="B11481" s="13" t="s">
        <v>10535</v>
      </c>
      <c r="C11481" s="14" t="s">
        <v>11509</v>
      </c>
      <c r="D11481" s="1"/>
      <c r="E11481" s="1"/>
      <c r="F11481" s="1" t="str">
        <f>IFERROR(__xludf.DUMMYFUNCTION("GOOGLETRANSLATE(B11481, ""en"", ""fa"")
"),"کپی رایتینگ II")</f>
        <v>کپی رایتینگ II</v>
      </c>
      <c r="G11481" s="1" t="str">
        <f>IFERROR(__xludf.DUMMYFUNCTION("GOOGLETRANSLATE(C11481, ""en"", ""fa"")
"),"از چه تکنیک هایی می توانید برای بررسی و تصحیح خطاهای انتخاب کلمه و واژگان در نسخه خود استفاده کنید؟")</f>
        <v>از چه تکنیک هایی می توانید برای بررسی و تصحیح خطاهای انتخاب کلمه و واژگان در نسخه خود استفاده کنید؟</v>
      </c>
      <c r="H11481" s="1"/>
      <c r="I11481" s="1"/>
      <c r="J11481" s="1"/>
      <c r="K11481" s="1"/>
      <c r="L11481" s="1"/>
      <c r="M11481" s="1"/>
      <c r="N11481" s="1"/>
      <c r="O11481" s="1"/>
      <c r="P11481" s="1"/>
      <c r="Q11481" s="1"/>
      <c r="R11481" s="1"/>
      <c r="S11481" s="1"/>
      <c r="T11481" s="1"/>
      <c r="U11481" s="1"/>
      <c r="V11481" s="1"/>
      <c r="W11481" s="1"/>
      <c r="X11481" s="1"/>
      <c r="Y11481" s="1"/>
      <c r="Z11481" s="1"/>
      <c r="AA11481" s="1"/>
      <c r="AB11481" s="1"/>
    </row>
    <row r="11482" ht="50.25" customHeight="1">
      <c r="A11482" s="12">
        <v>11478.0</v>
      </c>
      <c r="B11482" s="13" t="s">
        <v>10535</v>
      </c>
      <c r="C11482" s="14" t="s">
        <v>11510</v>
      </c>
      <c r="D11482" s="1"/>
      <c r="E11482" s="1"/>
      <c r="F11482" s="1" t="str">
        <f>IFERROR(__xludf.DUMMYFUNCTION("GOOGLETRANSLATE(B11482, ""en"", ""fa"")
"),"کپی رایتینگ II")</f>
        <v>کپی رایتینگ II</v>
      </c>
      <c r="G11482" s="1" t="str">
        <f>IFERROR(__xludf.DUMMYFUNCTION("GOOGLETRANSLATE(C11482, ""en"", ""fa"")
"),"چگونه می توانید به طور مؤثر نسخه خود را برای یکپارچگی تصحیح و ویرایش کنید و اطمینان حاصل کنید که پاراگراف ها و ایده های شما روان جریان دارند؟")</f>
        <v>چگونه می توانید به طور مؤثر نسخه خود را برای یکپارچگی تصحیح و ویرایش کنید و اطمینان حاصل کنید که پاراگراف ها و ایده های شما روان جریان دارند؟</v>
      </c>
      <c r="H11482" s="1"/>
      <c r="I11482" s="1"/>
      <c r="J11482" s="1"/>
      <c r="K11482" s="1"/>
      <c r="L11482" s="1"/>
      <c r="M11482" s="1"/>
      <c r="N11482" s="1"/>
      <c r="O11482" s="1"/>
      <c r="P11482" s="1"/>
      <c r="Q11482" s="1"/>
      <c r="R11482" s="1"/>
      <c r="S11482" s="1"/>
      <c r="T11482" s="1"/>
      <c r="U11482" s="1"/>
      <c r="V11482" s="1"/>
      <c r="W11482" s="1"/>
      <c r="X11482" s="1"/>
      <c r="Y11482" s="1"/>
      <c r="Z11482" s="1"/>
      <c r="AA11482" s="1"/>
      <c r="AB11482" s="1"/>
    </row>
    <row r="11483" ht="50.25" customHeight="1">
      <c r="A11483" s="12">
        <v>11479.0</v>
      </c>
      <c r="B11483" s="13" t="s">
        <v>10535</v>
      </c>
      <c r="C11483" s="14" t="s">
        <v>11511</v>
      </c>
      <c r="D11483" s="1"/>
      <c r="E11483" s="1"/>
      <c r="F11483" s="1" t="str">
        <f>IFERROR(__xludf.DUMMYFUNCTION("GOOGLETRANSLATE(B11483, ""en"", ""fa"")
"),"کپی رایتینگ II")</f>
        <v>کپی رایتینگ II</v>
      </c>
      <c r="G11483" s="1" t="str">
        <f>IFERROR(__xludf.DUMMYFUNCTION("GOOGLETRANSLATE(C11483, ""en"", ""fa"")
"),"در مورد اهمیت تصحیح برای بررسی دقت و سازگاری نام‌ها و مکان‌های جغرافیایی در نسخه خود بحث کنید.")</f>
        <v>در مورد اهمیت تصحیح برای بررسی دقت و سازگاری نام‌ها و مکان‌های جغرافیایی در نسخه خود بحث کنید.</v>
      </c>
      <c r="H11483" s="1"/>
      <c r="I11483" s="1"/>
      <c r="J11483" s="1"/>
      <c r="K11483" s="1"/>
      <c r="L11483" s="1"/>
      <c r="M11483" s="1"/>
      <c r="N11483" s="1"/>
      <c r="O11483" s="1"/>
      <c r="P11483" s="1"/>
      <c r="Q11483" s="1"/>
      <c r="R11483" s="1"/>
      <c r="S11483" s="1"/>
      <c r="T11483" s="1"/>
      <c r="U11483" s="1"/>
      <c r="V11483" s="1"/>
      <c r="W11483" s="1"/>
      <c r="X11483" s="1"/>
      <c r="Y11483" s="1"/>
      <c r="Z11483" s="1"/>
      <c r="AA11483" s="1"/>
      <c r="AB11483" s="1"/>
    </row>
    <row r="11484" ht="50.25" customHeight="1">
      <c r="A11484" s="12">
        <v>11480.0</v>
      </c>
      <c r="B11484" s="13" t="s">
        <v>10535</v>
      </c>
      <c r="C11484" s="14" t="s">
        <v>11512</v>
      </c>
      <c r="D11484" s="1"/>
      <c r="E11484" s="1"/>
      <c r="F11484" s="1" t="str">
        <f>IFERROR(__xludf.DUMMYFUNCTION("GOOGLETRANSLATE(B11484, ""en"", ""fa"")
"),"کپی رایتینگ II")</f>
        <v>کپی رایتینگ II</v>
      </c>
      <c r="G11484" s="1" t="str">
        <f>IFERROR(__xludf.DUMMYFUNCTION("GOOGLETRANSLATE(C11484, ""en"", ""fa"")
"),"بهترین روش‌ها برای بررسی و تصحیح خطاها در توافق فاعل-فعل با کلماتی که مقدار یا کمیت را در نسخه شما بیان می‌کنند، چیست؟")</f>
        <v>بهترین روش‌ها برای بررسی و تصحیح خطاها در توافق فاعل-فعل با کلماتی که مقدار یا کمیت را در نسخه شما بیان می‌کنند، چیست؟</v>
      </c>
      <c r="H11484" s="1"/>
      <c r="I11484" s="1"/>
      <c r="J11484" s="1"/>
      <c r="K11484" s="1"/>
      <c r="L11484" s="1"/>
      <c r="M11484" s="1"/>
      <c r="N11484" s="1"/>
      <c r="O11484" s="1"/>
      <c r="P11484" s="1"/>
      <c r="Q11484" s="1"/>
      <c r="R11484" s="1"/>
      <c r="S11484" s="1"/>
      <c r="T11484" s="1"/>
      <c r="U11484" s="1"/>
      <c r="V11484" s="1"/>
      <c r="W11484" s="1"/>
      <c r="X11484" s="1"/>
      <c r="Y11484" s="1"/>
      <c r="Z11484" s="1"/>
      <c r="AA11484" s="1"/>
      <c r="AB11484" s="1"/>
    </row>
    <row r="11485" ht="50.25" customHeight="1">
      <c r="A11485" s="12">
        <v>11481.0</v>
      </c>
      <c r="B11485" s="13" t="s">
        <v>10535</v>
      </c>
      <c r="C11485" s="14" t="s">
        <v>11513</v>
      </c>
      <c r="D11485" s="1"/>
      <c r="E11485" s="1"/>
      <c r="F11485" s="1" t="str">
        <f>IFERROR(__xludf.DUMMYFUNCTION("GOOGLETRANSLATE(B11485, ""en"", ""fa"")
"),"کپی رایتینگ II")</f>
        <v>کپی رایتینگ II</v>
      </c>
      <c r="G11485" s="1" t="str">
        <f>IFERROR(__xludf.DUMMYFUNCTION("GOOGLETRANSLATE(C11485, ""en"", ""fa"")
"),"چگونه می توانید ناسازگاری ها در زمان و حالت فعل را در ساختارهای پیچیده جمله در سراسر نسخه خود شناسایی و اصلاح کنید؟")</f>
        <v>چگونه می توانید ناسازگاری ها در زمان و حالت فعل را در ساختارهای پیچیده جمله در سراسر نسخه خود شناسایی و اصلاح کنید؟</v>
      </c>
      <c r="H11485" s="1"/>
      <c r="I11485" s="1"/>
      <c r="J11485" s="1"/>
      <c r="K11485" s="1"/>
      <c r="L11485" s="1"/>
      <c r="M11485" s="1"/>
      <c r="N11485" s="1"/>
      <c r="O11485" s="1"/>
      <c r="P11485" s="1"/>
      <c r="Q11485" s="1"/>
      <c r="R11485" s="1"/>
      <c r="S11485" s="1"/>
      <c r="T11485" s="1"/>
      <c r="U11485" s="1"/>
      <c r="V11485" s="1"/>
      <c r="W11485" s="1"/>
      <c r="X11485" s="1"/>
      <c r="Y11485" s="1"/>
      <c r="Z11485" s="1"/>
      <c r="AA11485" s="1"/>
      <c r="AB11485" s="1"/>
    </row>
    <row r="11486" ht="50.25" customHeight="1">
      <c r="A11486" s="12">
        <v>11482.0</v>
      </c>
      <c r="B11486" s="13" t="s">
        <v>10535</v>
      </c>
      <c r="C11486" s="14" t="s">
        <v>11514</v>
      </c>
      <c r="D11486" s="1"/>
      <c r="E11486" s="1"/>
      <c r="F11486" s="1" t="str">
        <f>IFERROR(__xludf.DUMMYFUNCTION("GOOGLETRANSLATE(B11486, ""en"", ""fa"")
"),"کپی رایتینگ II")</f>
        <v>کپی رایتینگ II</v>
      </c>
      <c r="G11486" s="1" t="str">
        <f>IFERROR(__xludf.DUMMYFUNCTION("GOOGLETRANSLATE(C11486, ""en"", ""fa"")
"),"چه راهکارهایی را می‌توانید برای تشخیص و رفع خطاهای توافق ضمیر- پیشین با مقدمات مرکب در نوشته خود به کار ببرید؟")</f>
        <v>چه راهکارهایی را می‌توانید برای تشخیص و رفع خطاهای توافق ضمیر- پیشین با مقدمات مرکب در نوشته خود به کار ببرید؟</v>
      </c>
      <c r="H11486" s="1"/>
      <c r="I11486" s="1"/>
      <c r="J11486" s="1"/>
      <c r="K11486" s="1"/>
      <c r="L11486" s="1"/>
      <c r="M11486" s="1"/>
      <c r="N11486" s="1"/>
      <c r="O11486" s="1"/>
      <c r="P11486" s="1"/>
      <c r="Q11486" s="1"/>
      <c r="R11486" s="1"/>
      <c r="S11486" s="1"/>
      <c r="T11486" s="1"/>
      <c r="U11486" s="1"/>
      <c r="V11486" s="1"/>
      <c r="W11486" s="1"/>
      <c r="X11486" s="1"/>
      <c r="Y11486" s="1"/>
      <c r="Z11486" s="1"/>
      <c r="AA11486" s="1"/>
      <c r="AB11486" s="1"/>
    </row>
    <row r="11487" ht="50.25" customHeight="1">
      <c r="A11487" s="12">
        <v>11483.0</v>
      </c>
      <c r="B11487" s="13" t="s">
        <v>10535</v>
      </c>
      <c r="C11487" s="14" t="s">
        <v>11515</v>
      </c>
      <c r="D11487" s="1"/>
      <c r="E11487" s="1"/>
      <c r="F11487" s="1" t="str">
        <f>IFERROR(__xludf.DUMMYFUNCTION("GOOGLETRANSLATE(B11487, ""en"", ""fa"")
"),"کپی رایتینگ II")</f>
        <v>کپی رایتینگ II</v>
      </c>
      <c r="G11487" s="1" t="str">
        <f>IFERROR(__xludf.DUMMYFUNCTION("GOOGLETRANSLATE(C11487, ""en"", ""fa"")
"),"چگونه می توانید اطمینان حاصل کنید که نسخه شما عاری از عبارات محاوره ای، عامیانه و زبان نامناسب است؟")</f>
        <v>چگونه می توانید اطمینان حاصل کنید که نسخه شما عاری از عبارات محاوره ای، عامیانه و زبان نامناسب است؟</v>
      </c>
      <c r="H11487" s="1"/>
      <c r="I11487" s="1"/>
      <c r="J11487" s="1"/>
      <c r="K11487" s="1"/>
      <c r="L11487" s="1"/>
      <c r="M11487" s="1"/>
      <c r="N11487" s="1"/>
      <c r="O11487" s="1"/>
      <c r="P11487" s="1"/>
      <c r="Q11487" s="1"/>
      <c r="R11487" s="1"/>
      <c r="S11487" s="1"/>
      <c r="T11487" s="1"/>
      <c r="U11487" s="1"/>
      <c r="V11487" s="1"/>
      <c r="W11487" s="1"/>
      <c r="X11487" s="1"/>
      <c r="Y11487" s="1"/>
      <c r="Z11487" s="1"/>
      <c r="AA11487" s="1"/>
      <c r="AB11487" s="1"/>
    </row>
    <row r="11488" ht="50.25" customHeight="1">
      <c r="A11488" s="12">
        <v>11484.0</v>
      </c>
      <c r="B11488" s="13" t="s">
        <v>10535</v>
      </c>
      <c r="C11488" s="14" t="s">
        <v>11516</v>
      </c>
      <c r="D11488" s="1"/>
      <c r="E11488" s="1"/>
      <c r="F11488" s="1" t="str">
        <f>IFERROR(__xludf.DUMMYFUNCTION("GOOGLETRANSLATE(B11488, ""en"", ""fa"")
"),"کپی رایتینگ II")</f>
        <v>کپی رایتینگ II</v>
      </c>
      <c r="G11488" s="1" t="str">
        <f>IFERROR(__xludf.DUMMYFUNCTION("GOOGLETRANSLATE(C11488, ""en"", ""fa"")
"),"در مورد نقش تصحیح در تأیید استفاده صحیح از اصطلاحات خاص صنعت یا دامنه در نسخه خود بحث کنید.")</f>
        <v>در مورد نقش تصحیح در تأیید استفاده صحیح از اصطلاحات خاص صنعت یا دامنه در نسخه خود بحث کنید.</v>
      </c>
      <c r="H11488" s="1"/>
      <c r="I11488" s="1"/>
      <c r="J11488" s="1"/>
      <c r="K11488" s="1"/>
      <c r="L11488" s="1"/>
      <c r="M11488" s="1"/>
      <c r="N11488" s="1"/>
      <c r="O11488" s="1"/>
      <c r="P11488" s="1"/>
      <c r="Q11488" s="1"/>
      <c r="R11488" s="1"/>
      <c r="S11488" s="1"/>
      <c r="T11488" s="1"/>
      <c r="U11488" s="1"/>
      <c r="V11488" s="1"/>
      <c r="W11488" s="1"/>
      <c r="X11488" s="1"/>
      <c r="Y11488" s="1"/>
      <c r="Z11488" s="1"/>
      <c r="AA11488" s="1"/>
      <c r="AB11488" s="1"/>
    </row>
    <row r="11489" ht="50.25" customHeight="1">
      <c r="A11489" s="12">
        <v>11485.0</v>
      </c>
      <c r="B11489" s="13" t="s">
        <v>10535</v>
      </c>
      <c r="C11489" s="14" t="s">
        <v>11517</v>
      </c>
      <c r="D11489" s="1"/>
      <c r="E11489" s="1"/>
      <c r="F11489" s="1" t="str">
        <f>IFERROR(__xludf.DUMMYFUNCTION("GOOGLETRANSLATE(B11489, ""en"", ""fa"")
"),"کپی رایتینگ II")</f>
        <v>کپی رایتینگ II</v>
      </c>
      <c r="G11489" s="1" t="str">
        <f>IFERROR(__xludf.DUMMYFUNCTION("GOOGLETRANSLATE(C11489, ""en"", ""fa"")
"),"از چه تکنیک هایی می توانید برای بررسی و تصحیح اشتباهات در ساختار جمله و قطعات جمله در نوشته خود استفاده کنید؟")</f>
        <v>از چه تکنیک هایی می توانید برای بررسی و تصحیح اشتباهات در ساختار جمله و قطعات جمله در نوشته خود استفاده کنید؟</v>
      </c>
      <c r="H11489" s="1"/>
      <c r="I11489" s="1"/>
      <c r="J11489" s="1"/>
      <c r="K11489" s="1"/>
      <c r="L11489" s="1"/>
      <c r="M11489" s="1"/>
      <c r="N11489" s="1"/>
      <c r="O11489" s="1"/>
      <c r="P11489" s="1"/>
      <c r="Q11489" s="1"/>
      <c r="R11489" s="1"/>
      <c r="S11489" s="1"/>
      <c r="T11489" s="1"/>
      <c r="U11489" s="1"/>
      <c r="V11489" s="1"/>
      <c r="W11489" s="1"/>
      <c r="X11489" s="1"/>
      <c r="Y11489" s="1"/>
      <c r="Z11489" s="1"/>
      <c r="AA11489" s="1"/>
      <c r="AB11489" s="1"/>
    </row>
    <row r="11490" ht="50.25" customHeight="1">
      <c r="A11490" s="12">
        <v>11486.0</v>
      </c>
      <c r="B11490" s="13" t="s">
        <v>10535</v>
      </c>
      <c r="C11490" s="14" t="s">
        <v>11518</v>
      </c>
      <c r="D11490" s="1"/>
      <c r="E11490" s="1"/>
      <c r="F11490" s="1" t="str">
        <f>IFERROR(__xludf.DUMMYFUNCTION("GOOGLETRANSLATE(B11490, ""en"", ""fa"")
"),"کپی رایتینگ II")</f>
        <v>کپی رایتینگ II</v>
      </c>
      <c r="G11490" s="1" t="str">
        <f>IFERROR(__xludf.DUMMYFUNCTION("GOOGLETRANSLATE(C11490, ""en"", ""fa"")
"),"چگونه می توانید به طور مؤثر نسخه خود را برای دقت تصحیح و ویرایش کنید و اطمینان حاصل کنید که اظهارات و ادعاهای شما با شواهد پشتیبانی می شود؟")</f>
        <v>چگونه می توانید به طور مؤثر نسخه خود را برای دقت تصحیح و ویرایش کنید و اطمینان حاصل کنید که اظهارات و ادعاهای شما با شواهد پشتیبانی می شود؟</v>
      </c>
      <c r="H11490" s="1"/>
      <c r="I11490" s="1"/>
      <c r="J11490" s="1"/>
      <c r="K11490" s="1"/>
      <c r="L11490" s="1"/>
      <c r="M11490" s="1"/>
      <c r="N11490" s="1"/>
      <c r="O11490" s="1"/>
      <c r="P11490" s="1"/>
      <c r="Q11490" s="1"/>
      <c r="R11490" s="1"/>
      <c r="S11490" s="1"/>
      <c r="T11490" s="1"/>
      <c r="U11490" s="1"/>
      <c r="V11490" s="1"/>
      <c r="W11490" s="1"/>
      <c r="X11490" s="1"/>
      <c r="Y11490" s="1"/>
      <c r="Z11490" s="1"/>
      <c r="AA11490" s="1"/>
      <c r="AB11490" s="1"/>
    </row>
    <row r="11491" ht="50.25" customHeight="1">
      <c r="A11491" s="12">
        <v>11487.0</v>
      </c>
      <c r="B11491" s="13" t="s">
        <v>10535</v>
      </c>
      <c r="C11491" s="14" t="s">
        <v>11519</v>
      </c>
      <c r="D11491" s="1"/>
      <c r="E11491" s="1"/>
      <c r="F11491" s="1" t="str">
        <f>IFERROR(__xludf.DUMMYFUNCTION("GOOGLETRANSLATE(B11491, ""en"", ""fa"")
"),"کپی رایتینگ II")</f>
        <v>کپی رایتینگ II</v>
      </c>
      <c r="G11491" s="1" t="str">
        <f>IFERROR(__xludf.DUMMYFUNCTION("GOOGLETRANSLATE(C11491, ""en"", ""fa"")
"),"در مورد اهمیت تصحیح برای بررسی سازگاری و انسجام نام محصول و برند در نسخه خود بحث کنید.")</f>
        <v>در مورد اهمیت تصحیح برای بررسی سازگاری و انسجام نام محصول و برند در نسخه خود بحث کنید.</v>
      </c>
      <c r="H11491" s="1"/>
      <c r="I11491" s="1"/>
      <c r="J11491" s="1"/>
      <c r="K11491" s="1"/>
      <c r="L11491" s="1"/>
      <c r="M11491" s="1"/>
      <c r="N11491" s="1"/>
      <c r="O11491" s="1"/>
      <c r="P11491" s="1"/>
      <c r="Q11491" s="1"/>
      <c r="R11491" s="1"/>
      <c r="S11491" s="1"/>
      <c r="T11491" s="1"/>
      <c r="U11491" s="1"/>
      <c r="V11491" s="1"/>
      <c r="W11491" s="1"/>
      <c r="X11491" s="1"/>
      <c r="Y11491" s="1"/>
      <c r="Z11491" s="1"/>
      <c r="AA11491" s="1"/>
      <c r="AB11491" s="1"/>
    </row>
    <row r="11492" ht="50.25" customHeight="1">
      <c r="A11492" s="12">
        <v>11488.0</v>
      </c>
      <c r="B11492" s="13" t="s">
        <v>10535</v>
      </c>
      <c r="C11492" s="14" t="s">
        <v>11520</v>
      </c>
      <c r="D11492" s="1"/>
      <c r="E11492" s="1"/>
      <c r="F11492" s="1" t="str">
        <f>IFERROR(__xludf.DUMMYFUNCTION("GOOGLETRANSLATE(B11492, ""en"", ""fa"")
"),"کپی رایتینگ II")</f>
        <v>کپی رایتینگ II</v>
      </c>
      <c r="G11492" s="1" t="str">
        <f>IFERROR(__xludf.DUMMYFUNCTION("GOOGLETRANSLATE(C11492, ""en"", ""fa"")
"),"بهترین روش‌ها برای بررسی و تصحیح خطاها در توافق فاعل-فعل با کلماتی که زمان، مسافت یا مقدار را در نسخه شما بیان می‌کنند، چیست؟")</f>
        <v>بهترین روش‌ها برای بررسی و تصحیح خطاها در توافق فاعل-فعل با کلماتی که زمان، مسافت یا مقدار را در نسخه شما بیان می‌کنند، چیست؟</v>
      </c>
      <c r="H11492" s="1"/>
      <c r="I11492" s="1"/>
      <c r="J11492" s="1"/>
      <c r="K11492" s="1"/>
      <c r="L11492" s="1"/>
      <c r="M11492" s="1"/>
      <c r="N11492" s="1"/>
      <c r="O11492" s="1"/>
      <c r="P11492" s="1"/>
      <c r="Q11492" s="1"/>
      <c r="R11492" s="1"/>
      <c r="S11492" s="1"/>
      <c r="T11492" s="1"/>
      <c r="U11492" s="1"/>
      <c r="V11492" s="1"/>
      <c r="W11492" s="1"/>
      <c r="X11492" s="1"/>
      <c r="Y11492" s="1"/>
      <c r="Z11492" s="1"/>
      <c r="AA11492" s="1"/>
      <c r="AB11492" s="1"/>
    </row>
    <row r="11493" ht="50.25" customHeight="1">
      <c r="A11493" s="12">
        <v>11489.0</v>
      </c>
      <c r="B11493" s="13" t="s">
        <v>10535</v>
      </c>
      <c r="C11493" s="14" t="s">
        <v>11521</v>
      </c>
      <c r="D11493" s="1"/>
      <c r="E11493" s="1"/>
      <c r="F11493" s="1" t="str">
        <f>IFERROR(__xludf.DUMMYFUNCTION("GOOGLETRANSLATE(B11493, ""en"", ""fa"")
"),"کپی رایتینگ II")</f>
        <v>کپی رایتینگ II</v>
      </c>
      <c r="G11493" s="1" t="str">
        <f>IFERROR(__xludf.DUMMYFUNCTION("GOOGLETRANSLATE(C11493, ""en"", ""fa"")
"),"چگونه می توانید ناسازگاری ها را در زمان و حالت فعل بین بندهای وابسته و مستقل در سراسر نسخه خود شناسایی و اصلاح کنید؟")</f>
        <v>چگونه می توانید ناسازگاری ها را در زمان و حالت فعل بین بندهای وابسته و مستقل در سراسر نسخه خود شناسایی و اصلاح کنید؟</v>
      </c>
      <c r="H11493" s="1"/>
      <c r="I11493" s="1"/>
      <c r="J11493" s="1"/>
      <c r="K11493" s="1"/>
      <c r="L11493" s="1"/>
      <c r="M11493" s="1"/>
      <c r="N11493" s="1"/>
      <c r="O11493" s="1"/>
      <c r="P11493" s="1"/>
      <c r="Q11493" s="1"/>
      <c r="R11493" s="1"/>
      <c r="S11493" s="1"/>
      <c r="T11493" s="1"/>
      <c r="U11493" s="1"/>
      <c r="V11493" s="1"/>
      <c r="W11493" s="1"/>
      <c r="X11493" s="1"/>
      <c r="Y11493" s="1"/>
      <c r="Z11493" s="1"/>
      <c r="AA11493" s="1"/>
      <c r="AB11493" s="1"/>
    </row>
    <row r="11494" ht="50.25" customHeight="1">
      <c r="A11494" s="12">
        <v>11490.0</v>
      </c>
      <c r="B11494" s="13" t="s">
        <v>10535</v>
      </c>
      <c r="C11494" s="14" t="s">
        <v>11522</v>
      </c>
      <c r="D11494" s="1"/>
      <c r="E11494" s="1"/>
      <c r="F11494" s="1" t="str">
        <f>IFERROR(__xludf.DUMMYFUNCTION("GOOGLETRANSLATE(B11494, ""en"", ""fa"")
"),"کپی رایتینگ II")</f>
        <v>کپی رایتینگ II</v>
      </c>
      <c r="G11494" s="1" t="str">
        <f>IFERROR(__xludf.DUMMYFUNCTION("GOOGLETRANSLATE(C11494, ""en"", ""fa"")
"),"چه راهکارهایی را می‌توانید برای شناسایی و رفع خطاها در توافق ضمیر- پیشین با عبارات اسمی پیچیده در نوشته خود به کار بگیرید؟")</f>
        <v>چه راهکارهایی را می‌توانید برای شناسایی و رفع خطاها در توافق ضمیر- پیشین با عبارات اسمی پیچیده در نوشته خود به کار بگیرید؟</v>
      </c>
      <c r="H11494" s="1"/>
      <c r="I11494" s="1"/>
      <c r="J11494" s="1"/>
      <c r="K11494" s="1"/>
      <c r="L11494" s="1"/>
      <c r="M11494" s="1"/>
      <c r="N11494" s="1"/>
      <c r="O11494" s="1"/>
      <c r="P11494" s="1"/>
      <c r="Q11494" s="1"/>
      <c r="R11494" s="1"/>
      <c r="S11494" s="1"/>
      <c r="T11494" s="1"/>
      <c r="U11494" s="1"/>
      <c r="V11494" s="1"/>
      <c r="W11494" s="1"/>
      <c r="X11494" s="1"/>
      <c r="Y11494" s="1"/>
      <c r="Z11494" s="1"/>
      <c r="AA11494" s="1"/>
      <c r="AB11494" s="1"/>
    </row>
    <row r="11495" ht="50.25" customHeight="1">
      <c r="A11495" s="12">
        <v>11491.0</v>
      </c>
      <c r="B11495" s="13" t="s">
        <v>10535</v>
      </c>
      <c r="C11495" s="14" t="s">
        <v>11523</v>
      </c>
      <c r="D11495" s="1"/>
      <c r="E11495" s="1"/>
      <c r="F11495" s="1" t="str">
        <f>IFERROR(__xludf.DUMMYFUNCTION("GOOGLETRANSLATE(B11495, ""en"", ""fa"")
"),"کپی رایتینگ II")</f>
        <v>کپی رایتینگ II</v>
      </c>
      <c r="G11495" s="1" t="str">
        <f>IFERROR(__xludf.DUMMYFUNCTION("GOOGLETRANSLATE(C11495, ""en"", ""fa"")
"),"چگونه می توانید اطمینان حاصل کنید که نسخه شما از قوانین استفاده مناسب از علامت نقل قول، از جمله گفتگو و نقل قول های تودرتو پیروی می کند؟")</f>
        <v>چگونه می توانید اطمینان حاصل کنید که نسخه شما از قوانین استفاده مناسب از علامت نقل قول، از جمله گفتگو و نقل قول های تودرتو پیروی می کند؟</v>
      </c>
      <c r="H11495" s="1"/>
      <c r="I11495" s="1"/>
      <c r="J11495" s="1"/>
      <c r="K11495" s="1"/>
      <c r="L11495" s="1"/>
      <c r="M11495" s="1"/>
      <c r="N11495" s="1"/>
      <c r="O11495" s="1"/>
      <c r="P11495" s="1"/>
      <c r="Q11495" s="1"/>
      <c r="R11495" s="1"/>
      <c r="S11495" s="1"/>
      <c r="T11495" s="1"/>
      <c r="U11495" s="1"/>
      <c r="V11495" s="1"/>
      <c r="W11495" s="1"/>
      <c r="X11495" s="1"/>
      <c r="Y11495" s="1"/>
      <c r="Z11495" s="1"/>
      <c r="AA11495" s="1"/>
      <c r="AB11495" s="1"/>
    </row>
    <row r="11496" ht="50.25" customHeight="1">
      <c r="A11496" s="12">
        <v>11492.0</v>
      </c>
      <c r="B11496" s="13" t="s">
        <v>10535</v>
      </c>
      <c r="C11496" s="14" t="s">
        <v>11524</v>
      </c>
      <c r="D11496" s="1"/>
      <c r="E11496" s="1"/>
      <c r="F11496" s="1" t="str">
        <f>IFERROR(__xludf.DUMMYFUNCTION("GOOGLETRANSLATE(B11496, ""en"", ""fa"")
"),"کپی رایتینگ II")</f>
        <v>کپی رایتینگ II</v>
      </c>
      <c r="G11496" s="1" t="str">
        <f>IFERROR(__xludf.DUMMYFUNCTION("GOOGLETRANSLATE(C11496, ""en"", ""fa"")
"),"در مورد نقش تصحیح در حفظ استناد و تصدیق صحیح عناصر بصری، مانند تصاویر یا نمودارها، در نوشته خود بحث کنید.")</f>
        <v>در مورد نقش تصحیح در حفظ استناد و تصدیق صحیح عناصر بصری، مانند تصاویر یا نمودارها، در نوشته خود بحث کنید.</v>
      </c>
      <c r="H11496" s="1"/>
      <c r="I11496" s="1"/>
      <c r="J11496" s="1"/>
      <c r="K11496" s="1"/>
      <c r="L11496" s="1"/>
      <c r="M11496" s="1"/>
      <c r="N11496" s="1"/>
      <c r="O11496" s="1"/>
      <c r="P11496" s="1"/>
      <c r="Q11496" s="1"/>
      <c r="R11496" s="1"/>
      <c r="S11496" s="1"/>
      <c r="T11496" s="1"/>
      <c r="U11496" s="1"/>
      <c r="V11496" s="1"/>
      <c r="W11496" s="1"/>
      <c r="X11496" s="1"/>
      <c r="Y11496" s="1"/>
      <c r="Z11496" s="1"/>
      <c r="AA11496" s="1"/>
      <c r="AB11496" s="1"/>
    </row>
    <row r="11497" ht="50.25" customHeight="1">
      <c r="A11497" s="12">
        <v>11493.0</v>
      </c>
      <c r="B11497" s="13" t="s">
        <v>10535</v>
      </c>
      <c r="C11497" s="14" t="s">
        <v>11525</v>
      </c>
      <c r="D11497" s="1"/>
      <c r="E11497" s="1"/>
      <c r="F11497" s="1" t="str">
        <f>IFERROR(__xludf.DUMMYFUNCTION("GOOGLETRANSLATE(B11497, ""en"", ""fa"")
"),"کپی رایتینگ II")</f>
        <v>کپی رایتینگ II</v>
      </c>
      <c r="G11497" s="1" t="str">
        <f>IFERROR(__xludf.DUMMYFUNCTION("GOOGLETRANSLATE(C11497, ""en"", ""fa"")
"),"از چه تکنیک هایی می توانید برای بررسی و تصحیح خطاهای ریتم جمله و تنوع طول جمله در نسخه خود استفاده کنید؟")</f>
        <v>از چه تکنیک هایی می توانید برای بررسی و تصحیح خطاهای ریتم جمله و تنوع طول جمله در نسخه خود استفاده کنید؟</v>
      </c>
      <c r="H11497" s="1"/>
      <c r="I11497" s="1"/>
      <c r="J11497" s="1"/>
      <c r="K11497" s="1"/>
      <c r="L11497" s="1"/>
      <c r="M11497" s="1"/>
      <c r="N11497" s="1"/>
      <c r="O11497" s="1"/>
      <c r="P11497" s="1"/>
      <c r="Q11497" s="1"/>
      <c r="R11497" s="1"/>
      <c r="S11497" s="1"/>
      <c r="T11497" s="1"/>
      <c r="U11497" s="1"/>
      <c r="V11497" s="1"/>
      <c r="W11497" s="1"/>
      <c r="X11497" s="1"/>
      <c r="Y11497" s="1"/>
      <c r="Z11497" s="1"/>
      <c r="AA11497" s="1"/>
      <c r="AB11497" s="1"/>
    </row>
    <row r="11498" ht="50.25" customHeight="1">
      <c r="A11498" s="12">
        <v>11494.0</v>
      </c>
      <c r="B11498" s="13" t="s">
        <v>10535</v>
      </c>
      <c r="C11498" s="14" t="s">
        <v>11526</v>
      </c>
      <c r="D11498" s="1"/>
      <c r="E11498" s="1"/>
      <c r="F11498" s="1" t="str">
        <f>IFERROR(__xludf.DUMMYFUNCTION("GOOGLETRANSLATE(B11498, ""en"", ""fa"")
"),"کپی رایتینگ II")</f>
        <v>کپی رایتینگ II</v>
      </c>
      <c r="G11498" s="1" t="str">
        <f>IFERROR(__xludf.DUMMYFUNCTION("GOOGLETRANSLATE(C11498, ""en"", ""fa"")
"),"چگونه می توانید به طور مؤثر نسخه خود را تصحیح و ویرایش کنید تا تسلط داشته باشید و اطمینان حاصل کنید که جملات شما به طور طبیعی جریان می یابند و به راحتی خوانده می شوند؟")</f>
        <v>چگونه می توانید به طور مؤثر نسخه خود را تصحیح و ویرایش کنید تا تسلط داشته باشید و اطمینان حاصل کنید که جملات شما به طور طبیعی جریان می یابند و به راحتی خوانده می شوند؟</v>
      </c>
      <c r="H11498" s="1"/>
      <c r="I11498" s="1"/>
      <c r="J11498" s="1"/>
      <c r="K11498" s="1"/>
      <c r="L11498" s="1"/>
      <c r="M11498" s="1"/>
      <c r="N11498" s="1"/>
      <c r="O11498" s="1"/>
      <c r="P11498" s="1"/>
      <c r="Q11498" s="1"/>
      <c r="R11498" s="1"/>
      <c r="S11498" s="1"/>
      <c r="T11498" s="1"/>
      <c r="U11498" s="1"/>
      <c r="V11498" s="1"/>
      <c r="W11498" s="1"/>
      <c r="X11498" s="1"/>
      <c r="Y11498" s="1"/>
      <c r="Z11498" s="1"/>
      <c r="AA11498" s="1"/>
      <c r="AB11498" s="1"/>
    </row>
    <row r="11499" ht="50.25" customHeight="1">
      <c r="A11499" s="12">
        <v>11495.0</v>
      </c>
      <c r="B11499" s="13" t="s">
        <v>10535</v>
      </c>
      <c r="C11499" s="14" t="s">
        <v>11527</v>
      </c>
      <c r="D11499" s="1"/>
      <c r="E11499" s="1"/>
      <c r="F11499" s="1" t="str">
        <f>IFERROR(__xludf.DUMMYFUNCTION("GOOGLETRANSLATE(B11499, ""en"", ""fa"")
"),"کپی رایتینگ II")</f>
        <v>کپی رایتینگ II</v>
      </c>
      <c r="G11499" s="1" t="str">
        <f>IFERROR(__xludf.DUMMYFUNCTION("GOOGLETRANSLATE(C11499, ""en"", ""fa"")
"),"در مورد اهمیت تصحیح برای بررسی صحت و سازگاری مشخصات و جزئیات محصول در نسخه خود بحث کنید.")</f>
        <v>در مورد اهمیت تصحیح برای بررسی صحت و سازگاری مشخصات و جزئیات محصول در نسخه خود بحث کنید.</v>
      </c>
      <c r="H11499" s="1"/>
      <c r="I11499" s="1"/>
      <c r="J11499" s="1"/>
      <c r="K11499" s="1"/>
      <c r="L11499" s="1"/>
      <c r="M11499" s="1"/>
      <c r="N11499" s="1"/>
      <c r="O11499" s="1"/>
      <c r="P11499" s="1"/>
      <c r="Q11499" s="1"/>
      <c r="R11499" s="1"/>
      <c r="S11499" s="1"/>
      <c r="T11499" s="1"/>
      <c r="U11499" s="1"/>
      <c r="V11499" s="1"/>
      <c r="W11499" s="1"/>
      <c r="X11499" s="1"/>
      <c r="Y11499" s="1"/>
      <c r="Z11499" s="1"/>
      <c r="AA11499" s="1"/>
      <c r="AB11499" s="1"/>
    </row>
    <row r="11500" ht="50.25" customHeight="1">
      <c r="A11500" s="12">
        <v>11496.0</v>
      </c>
      <c r="B11500" s="13" t="s">
        <v>10535</v>
      </c>
      <c r="C11500" s="14" t="s">
        <v>11528</v>
      </c>
      <c r="D11500" s="1"/>
      <c r="E11500" s="1"/>
      <c r="F11500" s="1" t="str">
        <f>IFERROR(__xludf.DUMMYFUNCTION("GOOGLETRANSLATE(B11500, ""en"", ""fa"")
"),"کپی رایتینگ II")</f>
        <v>کپی رایتینگ II</v>
      </c>
      <c r="G11500" s="1" t="str">
        <f>IFERROR(__xludf.DUMMYFUNCTION("GOOGLETRANSLATE(C11500, ""en"", ""fa"")
"),"بهترین روش‌ها برای بررسی و تصحیح خطاها در توافق فاعل-فعل با کلماتی که قیمت یا ارزش نسخه شما را بیان می‌کنند، چیست؟")</f>
        <v>بهترین روش‌ها برای بررسی و تصحیح خطاها در توافق فاعل-فعل با کلماتی که قیمت یا ارزش نسخه شما را بیان می‌کنند، چیست؟</v>
      </c>
      <c r="H11500" s="1"/>
      <c r="I11500" s="1"/>
      <c r="J11500" s="1"/>
      <c r="K11500" s="1"/>
      <c r="L11500" s="1"/>
      <c r="M11500" s="1"/>
      <c r="N11500" s="1"/>
      <c r="O11500" s="1"/>
      <c r="P11500" s="1"/>
      <c r="Q11500" s="1"/>
      <c r="R11500" s="1"/>
      <c r="S11500" s="1"/>
      <c r="T11500" s="1"/>
      <c r="U11500" s="1"/>
      <c r="V11500" s="1"/>
      <c r="W11500" s="1"/>
      <c r="X11500" s="1"/>
      <c r="Y11500" s="1"/>
      <c r="Z11500" s="1"/>
      <c r="AA11500" s="1"/>
      <c r="AB11500" s="1"/>
    </row>
    <row r="11501" ht="50.25" customHeight="1">
      <c r="A11501" s="12">
        <v>11497.0</v>
      </c>
      <c r="B11501" s="13" t="s">
        <v>10535</v>
      </c>
      <c r="C11501" s="14" t="s">
        <v>11529</v>
      </c>
      <c r="D11501" s="1"/>
      <c r="E11501" s="1"/>
      <c r="F11501" s="1" t="str">
        <f>IFERROR(__xludf.DUMMYFUNCTION("GOOGLETRANSLATE(B11501, ""en"", ""fa"")
"),"کپی رایتینگ II")</f>
        <v>کپی رایتینگ II</v>
      </c>
      <c r="G11501" s="1" t="str">
        <f>IFERROR(__xludf.DUMMYFUNCTION("GOOGLETRANSLATE(C11501, ""en"", ""fa"")
"),"چگونه می توانید ناسازگاری ها را در زمان و حالت فعل در ساختار جمله شرطی در سراسر نسخه خود شناسایی و اصلاح کنید؟")</f>
        <v>چگونه می توانید ناسازگاری ها را در زمان و حالت فعل در ساختار جمله شرطی در سراسر نسخه خود شناسایی و اصلاح کنید؟</v>
      </c>
      <c r="H11501" s="1"/>
      <c r="I11501" s="1"/>
      <c r="J11501" s="1"/>
      <c r="K11501" s="1"/>
      <c r="L11501" s="1"/>
      <c r="M11501" s="1"/>
      <c r="N11501" s="1"/>
      <c r="O11501" s="1"/>
      <c r="P11501" s="1"/>
      <c r="Q11501" s="1"/>
      <c r="R11501" s="1"/>
      <c r="S11501" s="1"/>
      <c r="T11501" s="1"/>
      <c r="U11501" s="1"/>
      <c r="V11501" s="1"/>
      <c r="W11501" s="1"/>
      <c r="X11501" s="1"/>
      <c r="Y11501" s="1"/>
      <c r="Z11501" s="1"/>
      <c r="AA11501" s="1"/>
      <c r="AB11501" s="1"/>
    </row>
    <row r="11502" ht="50.25" customHeight="1">
      <c r="A11502" s="12">
        <v>11498.0</v>
      </c>
      <c r="B11502" s="13" t="s">
        <v>10535</v>
      </c>
      <c r="C11502" s="14" t="s">
        <v>11530</v>
      </c>
      <c r="D11502" s="1"/>
      <c r="E11502" s="1"/>
      <c r="F11502" s="1" t="str">
        <f>IFERROR(__xludf.DUMMYFUNCTION("GOOGLETRANSLATE(B11502, ""en"", ""fa"")
"),"کپی رایتینگ II")</f>
        <v>کپی رایتینگ II</v>
      </c>
      <c r="G11502" s="1" t="str">
        <f>IFERROR(__xludf.DUMMYFUNCTION("GOOGLETRANSLATE(C11502, ""en"", ""fa"")
"),"چه راهکارهایی را می‌توانید برای شناسایی و رفع خطاهای توافق ضمایر پیشین با ضمایر غیر جنسیتی در نوشته خود به کار ببرید؟")</f>
        <v>چه راهکارهایی را می‌توانید برای شناسایی و رفع خطاهای توافق ضمایر پیشین با ضمایر غیر جنسیتی در نوشته خود به کار ببرید؟</v>
      </c>
      <c r="H11502" s="1"/>
      <c r="I11502" s="1"/>
      <c r="J11502" s="1"/>
      <c r="K11502" s="1"/>
      <c r="L11502" s="1"/>
      <c r="M11502" s="1"/>
      <c r="N11502" s="1"/>
      <c r="O11502" s="1"/>
      <c r="P11502" s="1"/>
      <c r="Q11502" s="1"/>
      <c r="R11502" s="1"/>
      <c r="S11502" s="1"/>
      <c r="T11502" s="1"/>
      <c r="U11502" s="1"/>
      <c r="V11502" s="1"/>
      <c r="W11502" s="1"/>
      <c r="X11502" s="1"/>
      <c r="Y11502" s="1"/>
      <c r="Z11502" s="1"/>
      <c r="AA11502" s="1"/>
      <c r="AB11502" s="1"/>
    </row>
    <row r="11503" ht="50.25" customHeight="1">
      <c r="A11503" s="12">
        <v>11499.0</v>
      </c>
      <c r="B11503" s="13" t="s">
        <v>11531</v>
      </c>
      <c r="C11503" s="14" t="s">
        <v>11532</v>
      </c>
      <c r="D11503" s="1"/>
      <c r="E11503" s="1"/>
      <c r="F11503" s="1" t="str">
        <f>IFERROR(__xludf.DUMMYFUNCTION("GOOGLETRANSLATE(B11503, ""en"", ""fa"")
"),"توسعه شخصی")</f>
        <v>توسعه شخصی</v>
      </c>
      <c r="G11503" s="1" t="str">
        <f>IFERROR(__xludf.DUMMYFUNCTION("GOOGLETRANSLATE(C11503, ""en"", ""fa"")
"),"به ارزش های اصلی خود و اینکه چگونه آنها با انتخاب ها و اهداف زندگی شما همسو می شوند فکر کنید.")</f>
        <v>به ارزش های اصلی خود و اینکه چگونه آنها با انتخاب ها و اهداف زندگی شما همسو می شوند فکر کنید.</v>
      </c>
      <c r="H11503" s="1"/>
      <c r="I11503" s="1"/>
      <c r="J11503" s="1"/>
      <c r="K11503" s="1"/>
      <c r="L11503" s="1"/>
      <c r="M11503" s="1"/>
      <c r="N11503" s="1"/>
      <c r="O11503" s="1"/>
      <c r="P11503" s="1"/>
      <c r="Q11503" s="1"/>
      <c r="R11503" s="1"/>
      <c r="S11503" s="1"/>
      <c r="T11503" s="1"/>
      <c r="U11503" s="1"/>
      <c r="V11503" s="1"/>
      <c r="W11503" s="1"/>
      <c r="X11503" s="1"/>
      <c r="Y11503" s="1"/>
      <c r="Z11503" s="1"/>
      <c r="AA11503" s="1"/>
      <c r="AB11503" s="1"/>
    </row>
    <row r="11504" ht="50.25" customHeight="1">
      <c r="A11504" s="12">
        <v>11500.0</v>
      </c>
      <c r="B11504" s="13" t="s">
        <v>11531</v>
      </c>
      <c r="C11504" s="14" t="s">
        <v>11533</v>
      </c>
      <c r="D11504" s="1"/>
      <c r="E11504" s="1"/>
      <c r="F11504" s="1" t="str">
        <f>IFERROR(__xludf.DUMMYFUNCTION("GOOGLETRANSLATE(B11504, ""en"", ""fa"")
"),"توسعه شخصی")</f>
        <v>توسعه شخصی</v>
      </c>
      <c r="G11504" s="1" t="str">
        <f>IFERROR(__xludf.DUMMYFUNCTION("GOOGLETRANSLATE(C11504, ""en"", ""fa"")
"),"اهداف کوتاه مدت و بلند مدت مشخص و قابل دستیابی را برای رشد شخصی تعیین کنید.")</f>
        <v>اهداف کوتاه مدت و بلند مدت مشخص و قابل دستیابی را برای رشد شخصی تعیین کنید.</v>
      </c>
      <c r="H11504" s="1"/>
      <c r="I11504" s="1"/>
      <c r="J11504" s="1"/>
      <c r="K11504" s="1"/>
      <c r="L11504" s="1"/>
      <c r="M11504" s="1"/>
      <c r="N11504" s="1"/>
      <c r="O11504" s="1"/>
      <c r="P11504" s="1"/>
      <c r="Q11504" s="1"/>
      <c r="R11504" s="1"/>
      <c r="S11504" s="1"/>
      <c r="T11504" s="1"/>
      <c r="U11504" s="1"/>
      <c r="V11504" s="1"/>
      <c r="W11504" s="1"/>
      <c r="X11504" s="1"/>
      <c r="Y11504" s="1"/>
      <c r="Z11504" s="1"/>
      <c r="AA11504" s="1"/>
      <c r="AB11504" s="1"/>
    </row>
    <row r="11505" ht="50.25" customHeight="1">
      <c r="A11505" s="12">
        <v>11501.0</v>
      </c>
      <c r="B11505" s="13" t="s">
        <v>11531</v>
      </c>
      <c r="C11505" s="14" t="s">
        <v>11534</v>
      </c>
      <c r="D11505" s="1"/>
      <c r="E11505" s="1"/>
      <c r="F11505" s="1" t="str">
        <f>IFERROR(__xludf.DUMMYFUNCTION("GOOGLETRANSLATE(B11505, ""en"", ""fa"")
"),"توسعه شخصی")</f>
        <v>توسعه شخصی</v>
      </c>
      <c r="G11505" s="1" t="str">
        <f>IFERROR(__xludf.DUMMYFUNCTION("GOOGLETRANSLATE(C11505, ""en"", ""fa"")
"),"نقاط قوت و زمینه های بهبود خود را شناسایی کنید و یک برنامه عمل برای بهبود خود ایجاد کنید.")</f>
        <v>نقاط قوت و زمینه های بهبود خود را شناسایی کنید و یک برنامه عمل برای بهبود خود ایجاد کنید.</v>
      </c>
      <c r="H11505" s="1"/>
      <c r="I11505" s="1"/>
      <c r="J11505" s="1"/>
      <c r="K11505" s="1"/>
      <c r="L11505" s="1"/>
      <c r="M11505" s="1"/>
      <c r="N11505" s="1"/>
      <c r="O11505" s="1"/>
      <c r="P11505" s="1"/>
      <c r="Q11505" s="1"/>
      <c r="R11505" s="1"/>
      <c r="S11505" s="1"/>
      <c r="T11505" s="1"/>
      <c r="U11505" s="1"/>
      <c r="V11505" s="1"/>
      <c r="W11505" s="1"/>
      <c r="X11505" s="1"/>
      <c r="Y11505" s="1"/>
      <c r="Z11505" s="1"/>
      <c r="AA11505" s="1"/>
      <c r="AB11505" s="1"/>
    </row>
    <row r="11506" ht="50.25" customHeight="1">
      <c r="A11506" s="12">
        <v>11502.0</v>
      </c>
      <c r="B11506" s="13" t="s">
        <v>11531</v>
      </c>
      <c r="C11506" s="14" t="s">
        <v>11535</v>
      </c>
      <c r="D11506" s="1"/>
      <c r="E11506" s="1"/>
      <c r="F11506" s="1" t="str">
        <f>IFERROR(__xludf.DUMMYFUNCTION("GOOGLETRANSLATE(B11506, ""en"", ""fa"")
"),"توسعه شخصی")</f>
        <v>توسعه شخصی</v>
      </c>
      <c r="G11506" s="1" t="str">
        <f>IFERROR(__xludf.DUMMYFUNCTION("GOOGLETRANSLATE(C11506, ""en"", ""fa"")
"),"برای کاهش استرس و افزایش تمرکز، تمرین‌های تمرکز حواس مانند مدیتیشن و تنفس عمیق را بررسی کنید.")</f>
        <v>برای کاهش استرس و افزایش تمرکز، تمرین‌های تمرکز حواس مانند مدیتیشن و تنفس عمیق را بررسی کنید.</v>
      </c>
      <c r="H11506" s="1"/>
      <c r="I11506" s="1"/>
      <c r="J11506" s="1"/>
      <c r="K11506" s="1"/>
      <c r="L11506" s="1"/>
      <c r="M11506" s="1"/>
      <c r="N11506" s="1"/>
      <c r="O11506" s="1"/>
      <c r="P11506" s="1"/>
      <c r="Q11506" s="1"/>
      <c r="R11506" s="1"/>
      <c r="S11506" s="1"/>
      <c r="T11506" s="1"/>
      <c r="U11506" s="1"/>
      <c r="V11506" s="1"/>
      <c r="W11506" s="1"/>
      <c r="X11506" s="1"/>
      <c r="Y11506" s="1"/>
      <c r="Z11506" s="1"/>
      <c r="AA11506" s="1"/>
      <c r="AB11506" s="1"/>
    </row>
    <row r="11507" ht="50.25" customHeight="1">
      <c r="A11507" s="12">
        <v>11503.0</v>
      </c>
      <c r="B11507" s="13" t="s">
        <v>11531</v>
      </c>
      <c r="C11507" s="14" t="s">
        <v>11536</v>
      </c>
      <c r="D11507" s="1"/>
      <c r="E11507" s="1"/>
      <c r="F11507" s="1" t="str">
        <f>IFERROR(__xludf.DUMMYFUNCTION("GOOGLETRANSLATE(B11507, ""en"", ""fa"")
"),"توسعه شخصی")</f>
        <v>توسعه شخصی</v>
      </c>
      <c r="G11507" s="1" t="str">
        <f>IFERROR(__xludf.DUMMYFUNCTION("GOOGLETRANSLATE(C11507, ""en"", ""fa"")
"),"در مورد چالش های گذشته و اینکه چگونه آنها به انعطاف پذیری و قدرت شخصی شما کمک کرده اند فکر کنید.")</f>
        <v>در مورد چالش های گذشته و اینکه چگونه آنها به انعطاف پذیری و قدرت شخصی شما کمک کرده اند فکر کنید.</v>
      </c>
      <c r="H11507" s="1"/>
      <c r="I11507" s="1"/>
      <c r="J11507" s="1"/>
      <c r="K11507" s="1"/>
      <c r="L11507" s="1"/>
      <c r="M11507" s="1"/>
      <c r="N11507" s="1"/>
      <c r="O11507" s="1"/>
      <c r="P11507" s="1"/>
      <c r="Q11507" s="1"/>
      <c r="R11507" s="1"/>
      <c r="S11507" s="1"/>
      <c r="T11507" s="1"/>
      <c r="U11507" s="1"/>
      <c r="V11507" s="1"/>
      <c r="W11507" s="1"/>
      <c r="X11507" s="1"/>
      <c r="Y11507" s="1"/>
      <c r="Z11507" s="1"/>
      <c r="AA11507" s="1"/>
      <c r="AB11507" s="1"/>
    </row>
    <row r="11508" ht="50.25" customHeight="1">
      <c r="A11508" s="12">
        <v>11504.0</v>
      </c>
      <c r="B11508" s="13" t="s">
        <v>11531</v>
      </c>
      <c r="C11508" s="14" t="s">
        <v>11537</v>
      </c>
      <c r="D11508" s="1"/>
      <c r="E11508" s="1"/>
      <c r="F11508" s="1" t="str">
        <f>IFERROR(__xludf.DUMMYFUNCTION("GOOGLETRANSLATE(B11508, ""en"", ""fa"")
"),"توسعه شخصی")</f>
        <v>توسعه شخصی</v>
      </c>
      <c r="G11508" s="1" t="str">
        <f>IFERROR(__xludf.DUMMYFUNCTION("GOOGLETRANSLATE(C11508, ""en"", ""fa"")
"),"برای قدردانی از جنبه های مثبت زندگی خود، تمرین قدردانی روزانه را توسعه دهید.")</f>
        <v>برای قدردانی از جنبه های مثبت زندگی خود، تمرین قدردانی روزانه را توسعه دهید.</v>
      </c>
      <c r="H11508" s="1"/>
      <c r="I11508" s="1"/>
      <c r="J11508" s="1"/>
      <c r="K11508" s="1"/>
      <c r="L11508" s="1"/>
      <c r="M11508" s="1"/>
      <c r="N11508" s="1"/>
      <c r="O11508" s="1"/>
      <c r="P11508" s="1"/>
      <c r="Q11508" s="1"/>
      <c r="R11508" s="1"/>
      <c r="S11508" s="1"/>
      <c r="T11508" s="1"/>
      <c r="U11508" s="1"/>
      <c r="V11508" s="1"/>
      <c r="W11508" s="1"/>
      <c r="X11508" s="1"/>
      <c r="Y11508" s="1"/>
      <c r="Z11508" s="1"/>
      <c r="AA11508" s="1"/>
      <c r="AB11508" s="1"/>
    </row>
    <row r="11509" ht="50.25" customHeight="1">
      <c r="A11509" s="12">
        <v>11505.0</v>
      </c>
      <c r="B11509" s="13" t="s">
        <v>11531</v>
      </c>
      <c r="C11509" s="14" t="s">
        <v>11538</v>
      </c>
      <c r="D11509" s="1"/>
      <c r="E11509" s="1"/>
      <c r="F11509" s="1" t="str">
        <f>IFERROR(__xludf.DUMMYFUNCTION("GOOGLETRANSLATE(B11509, ""en"", ""fa"")
"),"توسعه شخصی")</f>
        <v>توسعه شخصی</v>
      </c>
      <c r="G11509" s="1" t="str">
        <f>IFERROR(__xludf.DUMMYFUNCTION("GOOGLETRANSLATE(C11509, ""en"", ""fa"")
"),"تکنیک های مختلف مدیریت زمان را برای بهینه سازی بهره وری و دستیابی به تعادل بهتر بین کار و زندگی کاوش کنید.")</f>
        <v>تکنیک های مختلف مدیریت زمان را برای بهینه سازی بهره وری و دستیابی به تعادل بهتر بین کار و زندگی کاوش کنید.</v>
      </c>
      <c r="H11509" s="1"/>
      <c r="I11509" s="1"/>
      <c r="J11509" s="1"/>
      <c r="K11509" s="1"/>
      <c r="L11509" s="1"/>
      <c r="M11509" s="1"/>
      <c r="N11509" s="1"/>
      <c r="O11509" s="1"/>
      <c r="P11509" s="1"/>
      <c r="Q11509" s="1"/>
      <c r="R11509" s="1"/>
      <c r="S11509" s="1"/>
      <c r="T11509" s="1"/>
      <c r="U11509" s="1"/>
      <c r="V11509" s="1"/>
      <c r="W11509" s="1"/>
      <c r="X11509" s="1"/>
      <c r="Y11509" s="1"/>
      <c r="Z11509" s="1"/>
      <c r="AA11509" s="1"/>
      <c r="AB11509" s="1"/>
    </row>
    <row r="11510" ht="50.25" customHeight="1">
      <c r="A11510" s="12">
        <v>11506.0</v>
      </c>
      <c r="B11510" s="13" t="s">
        <v>11531</v>
      </c>
      <c r="C11510" s="14" t="s">
        <v>11539</v>
      </c>
      <c r="D11510" s="1"/>
      <c r="E11510" s="1"/>
      <c r="F11510" s="1" t="str">
        <f>IFERROR(__xludf.DUMMYFUNCTION("GOOGLETRANSLATE(B11510, ""en"", ""fa"")
"),"توسعه شخصی")</f>
        <v>توسعه شخصی</v>
      </c>
      <c r="G11510" s="1" t="str">
        <f>IFERROR(__xludf.DUMMYFUNCTION("GOOGLETRANSLATE(C11510, ""en"", ""fa"")
"),"خود را به چالش بکشید تا از منطقه راحتی خود خارج شوید و فرصت های جدیدی را برای رشد در آغوش بگیرید.")</f>
        <v>خود را به چالش بکشید تا از منطقه راحتی خود خارج شوید و فرصت های جدیدی را برای رشد در آغوش بگیرید.</v>
      </c>
      <c r="H11510" s="1"/>
      <c r="I11510" s="1"/>
      <c r="J11510" s="1"/>
      <c r="K11510" s="1"/>
      <c r="L11510" s="1"/>
      <c r="M11510" s="1"/>
      <c r="N11510" s="1"/>
      <c r="O11510" s="1"/>
      <c r="P11510" s="1"/>
      <c r="Q11510" s="1"/>
      <c r="R11510" s="1"/>
      <c r="S11510" s="1"/>
      <c r="T11510" s="1"/>
      <c r="U11510" s="1"/>
      <c r="V11510" s="1"/>
      <c r="W11510" s="1"/>
      <c r="X11510" s="1"/>
      <c r="Y11510" s="1"/>
      <c r="Z11510" s="1"/>
      <c r="AA11510" s="1"/>
      <c r="AB11510" s="1"/>
    </row>
    <row r="11511" ht="50.25" customHeight="1">
      <c r="A11511" s="12">
        <v>11507.0</v>
      </c>
      <c r="B11511" s="13" t="s">
        <v>11531</v>
      </c>
      <c r="C11511" s="14" t="s">
        <v>11540</v>
      </c>
      <c r="D11511" s="1"/>
      <c r="E11511" s="1"/>
      <c r="F11511" s="1" t="str">
        <f>IFERROR(__xludf.DUMMYFUNCTION("GOOGLETRANSLATE(B11511, ""en"", ""fa"")
"),"توسعه شخصی")</f>
        <v>توسعه شخصی</v>
      </c>
      <c r="G11511" s="1" t="str">
        <f>IFERROR(__xludf.DUMMYFUNCTION("GOOGLETRANSLATE(C11511, ""en"", ""fa"")
"),"الگوهای افکار منفی را شناسایی کنید و آنها را با جملات تاکیدی مثبت جایگزین کنید.")</f>
        <v>الگوهای افکار منفی را شناسایی کنید و آنها را با جملات تاکیدی مثبت جایگزین کنید.</v>
      </c>
      <c r="H11511" s="1"/>
      <c r="I11511" s="1"/>
      <c r="J11511" s="1"/>
      <c r="K11511" s="1"/>
      <c r="L11511" s="1"/>
      <c r="M11511" s="1"/>
      <c r="N11511" s="1"/>
      <c r="O11511" s="1"/>
      <c r="P11511" s="1"/>
      <c r="Q11511" s="1"/>
      <c r="R11511" s="1"/>
      <c r="S11511" s="1"/>
      <c r="T11511" s="1"/>
      <c r="U11511" s="1"/>
      <c r="V11511" s="1"/>
      <c r="W11511" s="1"/>
      <c r="X11511" s="1"/>
      <c r="Y11511" s="1"/>
      <c r="Z11511" s="1"/>
      <c r="AA11511" s="1"/>
      <c r="AB11511" s="1"/>
    </row>
    <row r="11512" ht="50.25" customHeight="1">
      <c r="A11512" s="12">
        <v>11508.0</v>
      </c>
      <c r="B11512" s="13" t="s">
        <v>11531</v>
      </c>
      <c r="C11512" s="14" t="s">
        <v>11541</v>
      </c>
      <c r="D11512" s="1"/>
      <c r="E11512" s="1"/>
      <c r="F11512" s="1" t="str">
        <f>IFERROR(__xludf.DUMMYFUNCTION("GOOGLETRANSLATE(B11512, ""en"", ""fa"")
"),"توسعه شخصی")</f>
        <v>توسعه شخصی</v>
      </c>
      <c r="G11512" s="1" t="str">
        <f>IFERROR(__xludf.DUMMYFUNCTION("GOOGLETRANSLATE(C11512, ""en"", ""fa"")
"),"برای بهبود مهارت های ارتباطی و ایجاد روابط معنادار، گوش دادن فعال را تمرین کنید.")</f>
        <v>برای بهبود مهارت های ارتباطی و ایجاد روابط معنادار، گوش دادن فعال را تمرین کنید.</v>
      </c>
      <c r="H11512" s="1"/>
      <c r="I11512" s="1"/>
      <c r="J11512" s="1"/>
      <c r="K11512" s="1"/>
      <c r="L11512" s="1"/>
      <c r="M11512" s="1"/>
      <c r="N11512" s="1"/>
      <c r="O11512" s="1"/>
      <c r="P11512" s="1"/>
      <c r="Q11512" s="1"/>
      <c r="R11512" s="1"/>
      <c r="S11512" s="1"/>
      <c r="T11512" s="1"/>
      <c r="U11512" s="1"/>
      <c r="V11512" s="1"/>
      <c r="W11512" s="1"/>
      <c r="X11512" s="1"/>
      <c r="Y11512" s="1"/>
      <c r="Z11512" s="1"/>
      <c r="AA11512" s="1"/>
      <c r="AB11512" s="1"/>
    </row>
    <row r="11513" ht="50.25" customHeight="1">
      <c r="A11513" s="12">
        <v>11509.0</v>
      </c>
      <c r="B11513" s="13" t="s">
        <v>11531</v>
      </c>
      <c r="C11513" s="14" t="s">
        <v>11542</v>
      </c>
      <c r="D11513" s="1"/>
      <c r="E11513" s="1"/>
      <c r="F11513" s="1" t="str">
        <f>IFERROR(__xludf.DUMMYFUNCTION("GOOGLETRANSLATE(B11513, ""en"", ""fa"")
"),"توسعه شخصی")</f>
        <v>توسعه شخصی</v>
      </c>
      <c r="G11513" s="1" t="str">
        <f>IFERROR(__xludf.DUMMYFUNCTION("GOOGLETRANSLATE(C11513, ""en"", ""fa"")
"),"برای محافظت از زمان و رفاه خود در زندگی شخصی و حرفه ای خود حد و مرزی تعیین کنید.")</f>
        <v>برای محافظت از زمان و رفاه خود در زندگی شخصی و حرفه ای خود حد و مرزی تعیین کنید.</v>
      </c>
      <c r="H11513" s="1"/>
      <c r="I11513" s="1"/>
      <c r="J11513" s="1"/>
      <c r="K11513" s="1"/>
      <c r="L11513" s="1"/>
      <c r="M11513" s="1"/>
      <c r="N11513" s="1"/>
      <c r="O11513" s="1"/>
      <c r="P11513" s="1"/>
      <c r="Q11513" s="1"/>
      <c r="R11513" s="1"/>
      <c r="S11513" s="1"/>
      <c r="T11513" s="1"/>
      <c r="U11513" s="1"/>
      <c r="V11513" s="1"/>
      <c r="W11513" s="1"/>
      <c r="X11513" s="1"/>
      <c r="Y11513" s="1"/>
      <c r="Z11513" s="1"/>
      <c r="AA11513" s="1"/>
      <c r="AB11513" s="1"/>
    </row>
    <row r="11514" ht="50.25" customHeight="1">
      <c r="A11514" s="12">
        <v>11510.0</v>
      </c>
      <c r="B11514" s="13" t="s">
        <v>11531</v>
      </c>
      <c r="C11514" s="14" t="s">
        <v>11543</v>
      </c>
      <c r="D11514" s="1"/>
      <c r="E11514" s="1"/>
      <c r="F11514" s="1" t="str">
        <f>IFERROR(__xludf.DUMMYFUNCTION("GOOGLETRANSLATE(B11514, ""en"", ""fa"")
"),"توسعه شخصی")</f>
        <v>توسعه شخصی</v>
      </c>
      <c r="G11514" s="1" t="str">
        <f>IFERROR(__xludf.DUMMYFUNCTION("GOOGLETRANSLATE(C11514, ""en"", ""fa"")
"),"مفهوم هوش هیجانی و تاثیر آن بر روابط شخصی و حرفه ای را بررسی کنید.")</f>
        <v>مفهوم هوش هیجانی و تاثیر آن بر روابط شخصی و حرفه ای را بررسی کنید.</v>
      </c>
      <c r="H11514" s="1"/>
      <c r="I11514" s="1"/>
      <c r="J11514" s="1"/>
      <c r="K11514" s="1"/>
      <c r="L11514" s="1"/>
      <c r="M11514" s="1"/>
      <c r="N11514" s="1"/>
      <c r="O11514" s="1"/>
      <c r="P11514" s="1"/>
      <c r="Q11514" s="1"/>
      <c r="R11514" s="1"/>
      <c r="S11514" s="1"/>
      <c r="T11514" s="1"/>
      <c r="U11514" s="1"/>
      <c r="V11514" s="1"/>
      <c r="W11514" s="1"/>
      <c r="X11514" s="1"/>
      <c r="Y11514" s="1"/>
      <c r="Z11514" s="1"/>
      <c r="AA11514" s="1"/>
      <c r="AB11514" s="1"/>
    </row>
    <row r="11515" ht="50.25" customHeight="1">
      <c r="A11515" s="12">
        <v>11511.0</v>
      </c>
      <c r="B11515" s="13" t="s">
        <v>11531</v>
      </c>
      <c r="C11515" s="14" t="s">
        <v>11544</v>
      </c>
      <c r="D11515" s="1"/>
      <c r="E11515" s="1"/>
      <c r="F11515" s="1" t="str">
        <f>IFERROR(__xludf.DUMMYFUNCTION("GOOGLETRANSLATE(B11515, ""en"", ""fa"")
"),"توسعه شخصی")</f>
        <v>توسعه شخصی</v>
      </c>
      <c r="G11515" s="1" t="str">
        <f>IFERROR(__xludf.DUMMYFUNCTION("GOOGLETRANSLATE(C11515, ""en"", ""fa"")
"),"در مورد علایق و سرگرمی های خود فکر کنید و راه هایی برای گنجاندن آنها در زندگی روزمره خود بیابید.")</f>
        <v>در مورد علایق و سرگرمی های خود فکر کنید و راه هایی برای گنجاندن آنها در زندگی روزمره خود بیابید.</v>
      </c>
      <c r="H11515" s="1"/>
      <c r="I11515" s="1"/>
      <c r="J11515" s="1"/>
      <c r="K11515" s="1"/>
      <c r="L11515" s="1"/>
      <c r="M11515" s="1"/>
      <c r="N11515" s="1"/>
      <c r="O11515" s="1"/>
      <c r="P11515" s="1"/>
      <c r="Q11515" s="1"/>
      <c r="R11515" s="1"/>
      <c r="S11515" s="1"/>
      <c r="T11515" s="1"/>
      <c r="U11515" s="1"/>
      <c r="V11515" s="1"/>
      <c r="W11515" s="1"/>
      <c r="X11515" s="1"/>
      <c r="Y11515" s="1"/>
      <c r="Z11515" s="1"/>
      <c r="AA11515" s="1"/>
      <c r="AB11515" s="1"/>
    </row>
    <row r="11516" ht="50.25" customHeight="1">
      <c r="A11516" s="12">
        <v>11512.0</v>
      </c>
      <c r="B11516" s="13" t="s">
        <v>11531</v>
      </c>
      <c r="C11516" s="14" t="s">
        <v>11545</v>
      </c>
      <c r="D11516" s="1"/>
      <c r="E11516" s="1"/>
      <c r="F11516" s="1" t="str">
        <f>IFERROR(__xludf.DUMMYFUNCTION("GOOGLETRANSLATE(B11516, ""en"", ""fa"")
"),"توسعه شخصی")</f>
        <v>توسعه شخصی</v>
      </c>
      <c r="G11516" s="1" t="str">
        <f>IFERROR(__xludf.DUMMYFUNCTION("GOOGLETRANSLATE(C11516, ""en"", ""fa"")
"),"یک مهارت جدید بیاموزید یا سرگرمی مورد علاقه خود را دنبال کنید، حتی اگر خارج از منطقه راحتی شما باشد.")</f>
        <v>یک مهارت جدید بیاموزید یا سرگرمی مورد علاقه خود را دنبال کنید، حتی اگر خارج از منطقه راحتی شما باشد.</v>
      </c>
      <c r="H11516" s="1"/>
      <c r="I11516" s="1"/>
      <c r="J11516" s="1"/>
      <c r="K11516" s="1"/>
      <c r="L11516" s="1"/>
      <c r="M11516" s="1"/>
      <c r="N11516" s="1"/>
      <c r="O11516" s="1"/>
      <c r="P11516" s="1"/>
      <c r="Q11516" s="1"/>
      <c r="R11516" s="1"/>
      <c r="S11516" s="1"/>
      <c r="T11516" s="1"/>
      <c r="U11516" s="1"/>
      <c r="V11516" s="1"/>
      <c r="W11516" s="1"/>
      <c r="X11516" s="1"/>
      <c r="Y11516" s="1"/>
      <c r="Z11516" s="1"/>
      <c r="AA11516" s="1"/>
      <c r="AB11516" s="1"/>
    </row>
    <row r="11517" ht="50.25" customHeight="1">
      <c r="A11517" s="12">
        <v>11513.0</v>
      </c>
      <c r="B11517" s="13" t="s">
        <v>11531</v>
      </c>
      <c r="C11517" s="14" t="s">
        <v>11546</v>
      </c>
      <c r="D11517" s="1"/>
      <c r="E11517" s="1"/>
      <c r="F11517" s="1" t="str">
        <f>IFERROR(__xludf.DUMMYFUNCTION("GOOGLETRANSLATE(B11517, ""en"", ""fa"")
"),"توسعه شخصی")</f>
        <v>توسعه شخصی</v>
      </c>
      <c r="G11517" s="1" t="str">
        <f>IFERROR(__xludf.DUMMYFUNCTION("GOOGLETRANSLATE(C11517, ""en"", ""fa"")
"),"باورهای محدود کننده ای را که ممکن است شما را عقب نگه دارند، شناسایی کنید و روی اصلاح آنها به صورت مثبت کار کنید.")</f>
        <v>باورهای محدود کننده ای را که ممکن است شما را عقب نگه دارند، شناسایی کنید و روی اصلاح آنها به صورت مثبت کار کنید.</v>
      </c>
      <c r="H11517" s="1"/>
      <c r="I11517" s="1"/>
      <c r="J11517" s="1"/>
      <c r="K11517" s="1"/>
      <c r="L11517" s="1"/>
      <c r="M11517" s="1"/>
      <c r="N11517" s="1"/>
      <c r="O11517" s="1"/>
      <c r="P11517" s="1"/>
      <c r="Q11517" s="1"/>
      <c r="R11517" s="1"/>
      <c r="S11517" s="1"/>
      <c r="T11517" s="1"/>
      <c r="U11517" s="1"/>
      <c r="V11517" s="1"/>
      <c r="W11517" s="1"/>
      <c r="X11517" s="1"/>
      <c r="Y11517" s="1"/>
      <c r="Z11517" s="1"/>
      <c r="AA11517" s="1"/>
      <c r="AB11517" s="1"/>
    </row>
    <row r="11518" ht="50.25" customHeight="1">
      <c r="A11518" s="12">
        <v>11514.0</v>
      </c>
      <c r="B11518" s="13" t="s">
        <v>11531</v>
      </c>
      <c r="C11518" s="14" t="s">
        <v>11547</v>
      </c>
      <c r="D11518" s="1"/>
      <c r="E11518" s="1"/>
      <c r="F11518" s="1" t="str">
        <f>IFERROR(__xludf.DUMMYFUNCTION("GOOGLETRANSLATE(B11518, ""en"", ""fa"")
"),"توسعه شخصی")</f>
        <v>توسعه شخصی</v>
      </c>
      <c r="G11518" s="1" t="str">
        <f>IFERROR(__xludf.DUMMYFUNCTION("GOOGLETRANSLATE(C11518, ""en"", ""fa"")
"),"برای اشتباهات یا کاستی های گذشته، شفقت و بخشش نسبت به خود را تمرین کنید.")</f>
        <v>برای اشتباهات یا کاستی های گذشته، شفقت و بخشش نسبت به خود را تمرین کنید.</v>
      </c>
      <c r="H11518" s="1"/>
      <c r="I11518" s="1"/>
      <c r="J11518" s="1"/>
      <c r="K11518" s="1"/>
      <c r="L11518" s="1"/>
      <c r="M11518" s="1"/>
      <c r="N11518" s="1"/>
      <c r="O11518" s="1"/>
      <c r="P11518" s="1"/>
      <c r="Q11518" s="1"/>
      <c r="R11518" s="1"/>
      <c r="S11518" s="1"/>
      <c r="T11518" s="1"/>
      <c r="U11518" s="1"/>
      <c r="V11518" s="1"/>
      <c r="W11518" s="1"/>
      <c r="X11518" s="1"/>
      <c r="Y11518" s="1"/>
      <c r="Z11518" s="1"/>
      <c r="AA11518" s="1"/>
      <c r="AB11518" s="1"/>
    </row>
    <row r="11519" ht="50.25" customHeight="1">
      <c r="A11519" s="12">
        <v>11515.0</v>
      </c>
      <c r="B11519" s="13" t="s">
        <v>11531</v>
      </c>
      <c r="C11519" s="14" t="s">
        <v>11548</v>
      </c>
      <c r="D11519" s="1"/>
      <c r="E11519" s="1"/>
      <c r="F11519" s="1" t="str">
        <f>IFERROR(__xludf.DUMMYFUNCTION("GOOGLETRANSLATE(B11519, ""en"", ""fa"")
"),"توسعه شخصی")</f>
        <v>توسعه شخصی</v>
      </c>
      <c r="G11519" s="1" t="str">
        <f>IFERROR(__xludf.DUMMYFUNCTION("GOOGLETRANSLATE(C11519, ""en"", ""fa"")
"),"تکنیک های مختلف برای مدیریت استرس و اضطراب، مانند یادداشت روزانه یا ورزش را بررسی کنید.")</f>
        <v>تکنیک های مختلف برای مدیریت استرس و اضطراب، مانند یادداشت روزانه یا ورزش را بررسی کنید.</v>
      </c>
      <c r="H11519" s="1"/>
      <c r="I11519" s="1"/>
      <c r="J11519" s="1"/>
      <c r="K11519" s="1"/>
      <c r="L11519" s="1"/>
      <c r="M11519" s="1"/>
      <c r="N11519" s="1"/>
      <c r="O11519" s="1"/>
      <c r="P11519" s="1"/>
      <c r="Q11519" s="1"/>
      <c r="R11519" s="1"/>
      <c r="S11519" s="1"/>
      <c r="T11519" s="1"/>
      <c r="U11519" s="1"/>
      <c r="V11519" s="1"/>
      <c r="W11519" s="1"/>
      <c r="X11519" s="1"/>
      <c r="Y11519" s="1"/>
      <c r="Z11519" s="1"/>
      <c r="AA11519" s="1"/>
      <c r="AB11519" s="1"/>
    </row>
    <row r="11520" ht="50.25" customHeight="1">
      <c r="A11520" s="12">
        <v>11516.0</v>
      </c>
      <c r="B11520" s="13" t="s">
        <v>11531</v>
      </c>
      <c r="C11520" s="14" t="s">
        <v>11549</v>
      </c>
      <c r="D11520" s="1"/>
      <c r="E11520" s="1"/>
      <c r="F11520" s="1" t="str">
        <f>IFERROR(__xludf.DUMMYFUNCTION("GOOGLETRANSLATE(B11520, ""en"", ""fa"")
"),"توسعه شخصی")</f>
        <v>توسعه شخصی</v>
      </c>
      <c r="G11520" s="1" t="str">
        <f>IFERROR(__xludf.DUMMYFUNCTION("GOOGLETRANSLATE(C11520, ""en"", ""fa"")
"),"یک ذهنیت رشد را پرورش دهید و به چالش ها به عنوان فرصت هایی برای یادگیری و توسعه نگاه کنید.")</f>
        <v>یک ذهنیت رشد را پرورش دهید و به چالش ها به عنوان فرصت هایی برای یادگیری و توسعه نگاه کنید.</v>
      </c>
      <c r="H11520" s="1"/>
      <c r="I11520" s="1"/>
      <c r="J11520" s="1"/>
      <c r="K11520" s="1"/>
      <c r="L11520" s="1"/>
      <c r="M11520" s="1"/>
      <c r="N11520" s="1"/>
      <c r="O11520" s="1"/>
      <c r="P11520" s="1"/>
      <c r="Q11520" s="1"/>
      <c r="R11520" s="1"/>
      <c r="S11520" s="1"/>
      <c r="T11520" s="1"/>
      <c r="U11520" s="1"/>
      <c r="V11520" s="1"/>
      <c r="W11520" s="1"/>
      <c r="X11520" s="1"/>
      <c r="Y11520" s="1"/>
      <c r="Z11520" s="1"/>
      <c r="AA11520" s="1"/>
      <c r="AB11520" s="1"/>
    </row>
    <row r="11521" ht="50.25" customHeight="1">
      <c r="A11521" s="12">
        <v>11517.0</v>
      </c>
      <c r="B11521" s="13" t="s">
        <v>11531</v>
      </c>
      <c r="C11521" s="14" t="s">
        <v>11550</v>
      </c>
      <c r="D11521" s="1"/>
      <c r="E11521" s="1"/>
      <c r="F11521" s="1" t="str">
        <f>IFERROR(__xludf.DUMMYFUNCTION("GOOGLETRANSLATE(B11521, ""en"", ""fa"")
"),"توسعه شخصی")</f>
        <v>توسعه شخصی</v>
      </c>
      <c r="G11521" s="1" t="str">
        <f>IFERROR(__xludf.DUMMYFUNCTION("GOOGLETRANSLATE(C11521, ""en"", ""fa"")
"),"به دستاوردهای گذشته خود فکر کنید و از آنها به عنوان انگیزه ای برای موفقیت در آینده استفاده کنید.")</f>
        <v>به دستاوردهای گذشته خود فکر کنید و از آنها به عنوان انگیزه ای برای موفقیت در آینده استفاده کنید.</v>
      </c>
      <c r="H11521" s="1"/>
      <c r="I11521" s="1"/>
      <c r="J11521" s="1"/>
      <c r="K11521" s="1"/>
      <c r="L11521" s="1"/>
      <c r="M11521" s="1"/>
      <c r="N11521" s="1"/>
      <c r="O11521" s="1"/>
      <c r="P11521" s="1"/>
      <c r="Q11521" s="1"/>
      <c r="R11521" s="1"/>
      <c r="S11521" s="1"/>
      <c r="T11521" s="1"/>
      <c r="U11521" s="1"/>
      <c r="V11521" s="1"/>
      <c r="W11521" s="1"/>
      <c r="X11521" s="1"/>
      <c r="Y11521" s="1"/>
      <c r="Z11521" s="1"/>
      <c r="AA11521" s="1"/>
      <c r="AB11521" s="1"/>
    </row>
    <row r="11522" ht="50.25" customHeight="1">
      <c r="A11522" s="12">
        <v>11518.0</v>
      </c>
      <c r="B11522" s="13" t="s">
        <v>11531</v>
      </c>
      <c r="C11522" s="14" t="s">
        <v>11551</v>
      </c>
      <c r="D11522" s="1"/>
      <c r="E11522" s="1"/>
      <c r="F11522" s="1" t="str">
        <f>IFERROR(__xludf.DUMMYFUNCTION("GOOGLETRANSLATE(B11522, ""en"", ""fa"")
"),"توسعه شخصی")</f>
        <v>توسعه شخصی</v>
      </c>
      <c r="G11522" s="1" t="str">
        <f>IFERROR(__xludf.DUMMYFUNCTION("GOOGLETRANSLATE(C11522, ""en"", ""fa"")
"),"منابع منفی در زندگی خود را شناسایی کنید و اقداماتی را برای حذف یا کاهش تأثیر آنها انجام دهید.")</f>
        <v>منابع منفی در زندگی خود را شناسایی کنید و اقداماتی را برای حذف یا کاهش تأثیر آنها انجام دهید.</v>
      </c>
      <c r="H11522" s="1"/>
      <c r="I11522" s="1"/>
      <c r="J11522" s="1"/>
      <c r="K11522" s="1"/>
      <c r="L11522" s="1"/>
      <c r="M11522" s="1"/>
      <c r="N11522" s="1"/>
      <c r="O11522" s="1"/>
      <c r="P11522" s="1"/>
      <c r="Q11522" s="1"/>
      <c r="R11522" s="1"/>
      <c r="S11522" s="1"/>
      <c r="T11522" s="1"/>
      <c r="U11522" s="1"/>
      <c r="V11522" s="1"/>
      <c r="W11522" s="1"/>
      <c r="X11522" s="1"/>
      <c r="Y11522" s="1"/>
      <c r="Z11522" s="1"/>
      <c r="AA11522" s="1"/>
      <c r="AB11522" s="1"/>
    </row>
    <row r="11523" ht="50.25" customHeight="1">
      <c r="A11523" s="12">
        <v>11519.0</v>
      </c>
      <c r="B11523" s="13" t="s">
        <v>11531</v>
      </c>
      <c r="C11523" s="14" t="s">
        <v>11552</v>
      </c>
      <c r="D11523" s="1"/>
      <c r="E11523" s="1"/>
      <c r="F11523" s="1" t="str">
        <f>IFERROR(__xludf.DUMMYFUNCTION("GOOGLETRANSLATE(B11523, ""en"", ""fa"")
"),"توسعه شخصی")</f>
        <v>توسعه شخصی</v>
      </c>
      <c r="G11523" s="1" t="str">
        <f>IFERROR(__xludf.DUMMYFUNCTION("GOOGLETRANSLATE(C11523, ""en"", ""fa"")
"),"برای بیان واضح نیازها و مرزهای خود، ارتباط مؤثر و قاطعیت را تمرین کنید.")</f>
        <v>برای بیان واضح نیازها و مرزهای خود، ارتباط مؤثر و قاطعیت را تمرین کنید.</v>
      </c>
      <c r="H11523" s="1"/>
      <c r="I11523" s="1"/>
      <c r="J11523" s="1"/>
      <c r="K11523" s="1"/>
      <c r="L11523" s="1"/>
      <c r="M11523" s="1"/>
      <c r="N11523" s="1"/>
      <c r="O11523" s="1"/>
      <c r="P11523" s="1"/>
      <c r="Q11523" s="1"/>
      <c r="R11523" s="1"/>
      <c r="S11523" s="1"/>
      <c r="T11523" s="1"/>
      <c r="U11523" s="1"/>
      <c r="V11523" s="1"/>
      <c r="W11523" s="1"/>
      <c r="X11523" s="1"/>
      <c r="Y11523" s="1"/>
      <c r="Z11523" s="1"/>
      <c r="AA11523" s="1"/>
      <c r="AB11523" s="1"/>
    </row>
    <row r="11524" ht="50.25" customHeight="1">
      <c r="A11524" s="12">
        <v>11520.0</v>
      </c>
      <c r="B11524" s="13" t="s">
        <v>11531</v>
      </c>
      <c r="C11524" s="14" t="s">
        <v>11553</v>
      </c>
      <c r="D11524" s="1"/>
      <c r="E11524" s="1"/>
      <c r="F11524" s="1" t="str">
        <f>IFERROR(__xludf.DUMMYFUNCTION("GOOGLETRANSLATE(B11524, ""en"", ""fa"")
"),"توسعه شخصی")</f>
        <v>توسعه شخصی</v>
      </c>
      <c r="G11524" s="1" t="str">
        <f>IFERROR(__xludf.DUMMYFUNCTION("GOOGLETRANSLATE(C11524, ""en"", ""fa"")
"),"یک روتین صبحگاهی ایجاد کنید که لحن مثبتی برای بقیه روز ایجاد کند.")</f>
        <v>یک روتین صبحگاهی ایجاد کنید که لحن مثبتی برای بقیه روز ایجاد کند.</v>
      </c>
      <c r="H11524" s="1"/>
      <c r="I11524" s="1"/>
      <c r="J11524" s="1"/>
      <c r="K11524" s="1"/>
      <c r="L11524" s="1"/>
      <c r="M11524" s="1"/>
      <c r="N11524" s="1"/>
      <c r="O11524" s="1"/>
      <c r="P11524" s="1"/>
      <c r="Q11524" s="1"/>
      <c r="R11524" s="1"/>
      <c r="S11524" s="1"/>
      <c r="T11524" s="1"/>
      <c r="U11524" s="1"/>
      <c r="V11524" s="1"/>
      <c r="W11524" s="1"/>
      <c r="X11524" s="1"/>
      <c r="Y11524" s="1"/>
      <c r="Z11524" s="1"/>
      <c r="AA11524" s="1"/>
      <c r="AB11524" s="1"/>
    </row>
    <row r="11525" ht="50.25" customHeight="1">
      <c r="A11525" s="12">
        <v>11521.0</v>
      </c>
      <c r="B11525" s="13" t="s">
        <v>11531</v>
      </c>
      <c r="C11525" s="14" t="s">
        <v>11554</v>
      </c>
      <c r="D11525" s="1"/>
      <c r="E11525" s="1"/>
      <c r="F11525" s="1" t="str">
        <f>IFERROR(__xludf.DUMMYFUNCTION("GOOGLETRANSLATE(B11525, ""en"", ""fa"")
"),"توسعه شخصی")</f>
        <v>توسعه شخصی</v>
      </c>
      <c r="G11525" s="1" t="str">
        <f>IFERROR(__xludf.DUMMYFUNCTION("GOOGLETRANSLATE(C11525, ""en"", ""fa"")
"),"علایق و علایق خود را شناسایی کنید و در نظر بگیرید که چگونه می توانید آنها را به یک شغل یا سرگرمی کامل تبدیل کنید.")</f>
        <v>علایق و علایق خود را شناسایی کنید و در نظر بگیرید که چگونه می توانید آنها را به یک شغل یا سرگرمی کامل تبدیل کنید.</v>
      </c>
      <c r="H11525" s="1"/>
      <c r="I11525" s="1"/>
      <c r="J11525" s="1"/>
      <c r="K11525" s="1"/>
      <c r="L11525" s="1"/>
      <c r="M11525" s="1"/>
      <c r="N11525" s="1"/>
      <c r="O11525" s="1"/>
      <c r="P11525" s="1"/>
      <c r="Q11525" s="1"/>
      <c r="R11525" s="1"/>
      <c r="S11525" s="1"/>
      <c r="T11525" s="1"/>
      <c r="U11525" s="1"/>
      <c r="V11525" s="1"/>
      <c r="W11525" s="1"/>
      <c r="X11525" s="1"/>
      <c r="Y11525" s="1"/>
      <c r="Z11525" s="1"/>
      <c r="AA11525" s="1"/>
      <c r="AB11525" s="1"/>
    </row>
    <row r="11526" ht="50.25" customHeight="1">
      <c r="A11526" s="12">
        <v>11522.0</v>
      </c>
      <c r="B11526" s="13" t="s">
        <v>11531</v>
      </c>
      <c r="C11526" s="14" t="s">
        <v>11555</v>
      </c>
      <c r="D11526" s="1"/>
      <c r="E11526" s="1"/>
      <c r="F11526" s="1" t="str">
        <f>IFERROR(__xludf.DUMMYFUNCTION("GOOGLETRANSLATE(B11526, ""en"", ""fa"")
"),"توسعه شخصی")</f>
        <v>توسعه شخصی</v>
      </c>
      <c r="G11526" s="1" t="str">
        <f>IFERROR(__xludf.DUMMYFUNCTION("GOOGLETRANSLATE(C11526, ""en"", ""fa"")
"),"روش های مختلف برای بهبود انضباط شخصی و تمرکز بر اهداف خود را بررسی کنید.")</f>
        <v>روش های مختلف برای بهبود انضباط شخصی و تمرکز بر اهداف خود را بررسی کنید.</v>
      </c>
      <c r="H11526" s="1"/>
      <c r="I11526" s="1"/>
      <c r="J11526" s="1"/>
      <c r="K11526" s="1"/>
      <c r="L11526" s="1"/>
      <c r="M11526" s="1"/>
      <c r="N11526" s="1"/>
      <c r="O11526" s="1"/>
      <c r="P11526" s="1"/>
      <c r="Q11526" s="1"/>
      <c r="R11526" s="1"/>
      <c r="S11526" s="1"/>
      <c r="T11526" s="1"/>
      <c r="U11526" s="1"/>
      <c r="V11526" s="1"/>
      <c r="W11526" s="1"/>
      <c r="X11526" s="1"/>
      <c r="Y11526" s="1"/>
      <c r="Z11526" s="1"/>
      <c r="AA11526" s="1"/>
      <c r="AB11526" s="1"/>
    </row>
    <row r="11527" ht="50.25" customHeight="1">
      <c r="A11527" s="12">
        <v>11523.0</v>
      </c>
      <c r="B11527" s="13" t="s">
        <v>11531</v>
      </c>
      <c r="C11527" s="14" t="s">
        <v>11556</v>
      </c>
      <c r="D11527" s="1"/>
      <c r="E11527" s="1"/>
      <c r="F11527" s="1" t="str">
        <f>IFERROR(__xludf.DUMMYFUNCTION("GOOGLETRANSLATE(B11527, ""en"", ""fa"")
"),"توسعه شخصی")</f>
        <v>توسعه شخصی</v>
      </c>
      <c r="G11527" s="1" t="str">
        <f>IFERROR(__xludf.DUMMYFUNCTION("GOOGLETRANSLATE(C11527, ""en"", ""fa"")
"),"در مورد هدف زندگی خود و اینکه چگونه می توانید اقدامات خود را با ارزش های عمیق تر خود هماهنگ کنید فکر کنید.")</f>
        <v>در مورد هدف زندگی خود و اینکه چگونه می توانید اقدامات خود را با ارزش های عمیق تر خود هماهنگ کنید فکر کنید.</v>
      </c>
      <c r="H11527" s="1"/>
      <c r="I11527" s="1"/>
      <c r="J11527" s="1"/>
      <c r="K11527" s="1"/>
      <c r="L11527" s="1"/>
      <c r="M11527" s="1"/>
      <c r="N11527" s="1"/>
      <c r="O11527" s="1"/>
      <c r="P11527" s="1"/>
      <c r="Q11527" s="1"/>
      <c r="R11527" s="1"/>
      <c r="S11527" s="1"/>
      <c r="T11527" s="1"/>
      <c r="U11527" s="1"/>
      <c r="V11527" s="1"/>
      <c r="W11527" s="1"/>
      <c r="X11527" s="1"/>
      <c r="Y11527" s="1"/>
      <c r="Z11527" s="1"/>
      <c r="AA11527" s="1"/>
      <c r="AB11527" s="1"/>
    </row>
    <row r="11528" ht="50.25" customHeight="1">
      <c r="A11528" s="12">
        <v>11524.0</v>
      </c>
      <c r="B11528" s="13" t="s">
        <v>11531</v>
      </c>
      <c r="C11528" s="14" t="s">
        <v>11557</v>
      </c>
      <c r="D11528" s="1"/>
      <c r="E11528" s="1"/>
      <c r="F11528" s="1" t="str">
        <f>IFERROR(__xludf.DUMMYFUNCTION("GOOGLETRANSLATE(B11528, ""en"", ""fa"")
"),"توسعه شخصی")</f>
        <v>توسعه شخصی</v>
      </c>
      <c r="G11528" s="1" t="str">
        <f>IFERROR(__xludf.DUMMYFUNCTION("GOOGLETRANSLATE(C11528, ""en"", ""fa"")
"),"تکنیک های تجسم را تمرین کنید تا اهداف و آرزوهای خود را نشان دهید.")</f>
        <v>تکنیک های تجسم را تمرین کنید تا اهداف و آرزوهای خود را نشان دهید.</v>
      </c>
      <c r="H11528" s="1"/>
      <c r="I11528" s="1"/>
      <c r="J11528" s="1"/>
      <c r="K11528" s="1"/>
      <c r="L11528" s="1"/>
      <c r="M11528" s="1"/>
      <c r="N11528" s="1"/>
      <c r="O11528" s="1"/>
      <c r="P11528" s="1"/>
      <c r="Q11528" s="1"/>
      <c r="R11528" s="1"/>
      <c r="S11528" s="1"/>
      <c r="T11528" s="1"/>
      <c r="U11528" s="1"/>
      <c r="V11528" s="1"/>
      <c r="W11528" s="1"/>
      <c r="X11528" s="1"/>
      <c r="Y11528" s="1"/>
      <c r="Z11528" s="1"/>
      <c r="AA11528" s="1"/>
      <c r="AB11528" s="1"/>
    </row>
    <row r="11529" ht="50.25" customHeight="1">
      <c r="A11529" s="12">
        <v>11525.0</v>
      </c>
      <c r="B11529" s="13" t="s">
        <v>11531</v>
      </c>
      <c r="C11529" s="14" t="s">
        <v>11558</v>
      </c>
      <c r="D11529" s="1"/>
      <c r="E11529" s="1"/>
      <c r="F11529" s="1" t="str">
        <f>IFERROR(__xludf.DUMMYFUNCTION("GOOGLETRANSLATE(B11529, ""en"", ""fa"")
"),"توسعه شخصی")</f>
        <v>توسعه شخصی</v>
      </c>
      <c r="G11529" s="1" t="str">
        <f>IFERROR(__xludf.DUMMYFUNCTION("GOOGLETRANSLATE(C11529, ""en"", ""fa"")
"),"یک روال مراقبت از خود ایجاد کنید که شامل فعالیت هایی است که ذهن، بدن و روح شما را تغذیه می کند.")</f>
        <v>یک روال مراقبت از خود ایجاد کنید که شامل فعالیت هایی است که ذهن، بدن و روح شما را تغذیه می کند.</v>
      </c>
      <c r="H11529" s="1"/>
      <c r="I11529" s="1"/>
      <c r="J11529" s="1"/>
      <c r="K11529" s="1"/>
      <c r="L11529" s="1"/>
      <c r="M11529" s="1"/>
      <c r="N11529" s="1"/>
      <c r="O11529" s="1"/>
      <c r="P11529" s="1"/>
      <c r="Q11529" s="1"/>
      <c r="R11529" s="1"/>
      <c r="S11529" s="1"/>
      <c r="T11529" s="1"/>
      <c r="U11529" s="1"/>
      <c r="V11529" s="1"/>
      <c r="W11529" s="1"/>
      <c r="X11529" s="1"/>
      <c r="Y11529" s="1"/>
      <c r="Z11529" s="1"/>
      <c r="AA11529" s="1"/>
      <c r="AB11529" s="1"/>
    </row>
    <row r="11530" ht="50.25" customHeight="1">
      <c r="A11530" s="12">
        <v>11526.0</v>
      </c>
      <c r="B11530" s="13" t="s">
        <v>11531</v>
      </c>
      <c r="C11530" s="14" t="s">
        <v>11559</v>
      </c>
      <c r="D11530" s="1"/>
      <c r="E11530" s="1"/>
      <c r="F11530" s="1" t="str">
        <f>IFERROR(__xludf.DUMMYFUNCTION("GOOGLETRANSLATE(B11530, ""en"", ""fa"")
"),"توسعه شخصی")</f>
        <v>توسعه شخصی</v>
      </c>
      <c r="G11530" s="1" t="str">
        <f>IFERROR(__xludf.DUMMYFUNCTION("GOOGLETRANSLATE(C11530, ""en"", ""fa"")
"),"مناطقی از زندگی خود را که می توانید وظایفی را محول کنید یا از دیگران حمایت کنید، شناسایی کنید.")</f>
        <v>مناطقی از زندگی خود را که می توانید وظایفی را محول کنید یا از دیگران حمایت کنید، شناسایی کنید.</v>
      </c>
      <c r="H11530" s="1"/>
      <c r="I11530" s="1"/>
      <c r="J11530" s="1"/>
      <c r="K11530" s="1"/>
      <c r="L11530" s="1"/>
      <c r="M11530" s="1"/>
      <c r="N11530" s="1"/>
      <c r="O11530" s="1"/>
      <c r="P11530" s="1"/>
      <c r="Q11530" s="1"/>
      <c r="R11530" s="1"/>
      <c r="S11530" s="1"/>
      <c r="T11530" s="1"/>
      <c r="U11530" s="1"/>
      <c r="V11530" s="1"/>
      <c r="W11530" s="1"/>
      <c r="X11530" s="1"/>
      <c r="Y11530" s="1"/>
      <c r="Z11530" s="1"/>
      <c r="AA11530" s="1"/>
      <c r="AB11530" s="1"/>
    </row>
    <row r="11531" ht="50.25" customHeight="1">
      <c r="A11531" s="12">
        <v>11527.0</v>
      </c>
      <c r="B11531" s="13" t="s">
        <v>11531</v>
      </c>
      <c r="C11531" s="14" t="s">
        <v>11560</v>
      </c>
      <c r="D11531" s="1"/>
      <c r="E11531" s="1"/>
      <c r="F11531" s="1" t="str">
        <f>IFERROR(__xludf.DUMMYFUNCTION("GOOGLETRANSLATE(B11531, ""en"", ""fa"")
"),"توسعه شخصی")</f>
        <v>توسعه شخصی</v>
      </c>
      <c r="G11531" s="1" t="str">
        <f>IFERROR(__xludf.DUMMYFUNCTION("GOOGLETRANSLATE(C11531, ""en"", ""fa"")
"),"قدرت تفکر مثبت و اینکه چگونه می تواند بر رفاه کلی شما تأثیر بگذارد را کشف کنید.")</f>
        <v>قدرت تفکر مثبت و اینکه چگونه می تواند بر رفاه کلی شما تأثیر بگذارد را کشف کنید.</v>
      </c>
      <c r="H11531" s="1"/>
      <c r="I11531" s="1"/>
      <c r="J11531" s="1"/>
      <c r="K11531" s="1"/>
      <c r="L11531" s="1"/>
      <c r="M11531" s="1"/>
      <c r="N11531" s="1"/>
      <c r="O11531" s="1"/>
      <c r="P11531" s="1"/>
      <c r="Q11531" s="1"/>
      <c r="R11531" s="1"/>
      <c r="S11531" s="1"/>
      <c r="T11531" s="1"/>
      <c r="U11531" s="1"/>
      <c r="V11531" s="1"/>
      <c r="W11531" s="1"/>
      <c r="X11531" s="1"/>
      <c r="Y11531" s="1"/>
      <c r="Z11531" s="1"/>
      <c r="AA11531" s="1"/>
      <c r="AB11531" s="1"/>
    </row>
    <row r="11532" ht="50.25" customHeight="1">
      <c r="A11532" s="12">
        <v>11528.0</v>
      </c>
      <c r="B11532" s="13" t="s">
        <v>11531</v>
      </c>
      <c r="C11532" s="14" t="s">
        <v>11561</v>
      </c>
      <c r="D11532" s="1"/>
      <c r="E11532" s="1"/>
      <c r="F11532" s="1" t="str">
        <f>IFERROR(__xludf.DUMMYFUNCTION("GOOGLETRANSLATE(B11532, ""en"", ""fa"")
"),"توسعه شخصی")</f>
        <v>توسعه شخصی</v>
      </c>
      <c r="G11532" s="1" t="str">
        <f>IFERROR(__xludf.DUMMYFUNCTION("GOOGLETRANSLATE(C11532, ""en"", ""fa"")
"),"یک تابلوی چشم انداز ایجاد کنید که نشان دهنده اهداف و آرزوهای شما برای آینده باشد.")</f>
        <v>یک تابلوی چشم انداز ایجاد کنید که نشان دهنده اهداف و آرزوهای شما برای آینده باشد.</v>
      </c>
      <c r="H11532" s="1"/>
      <c r="I11532" s="1"/>
      <c r="J11532" s="1"/>
      <c r="K11532" s="1"/>
      <c r="L11532" s="1"/>
      <c r="M11532" s="1"/>
      <c r="N11532" s="1"/>
      <c r="O11532" s="1"/>
      <c r="P11532" s="1"/>
      <c r="Q11532" s="1"/>
      <c r="R11532" s="1"/>
      <c r="S11532" s="1"/>
      <c r="T11532" s="1"/>
      <c r="U11532" s="1"/>
      <c r="V11532" s="1"/>
      <c r="W11532" s="1"/>
      <c r="X11532" s="1"/>
      <c r="Y11532" s="1"/>
      <c r="Z11532" s="1"/>
      <c r="AA11532" s="1"/>
      <c r="AB11532" s="1"/>
    </row>
    <row r="11533" ht="50.25" customHeight="1">
      <c r="A11533" s="12">
        <v>11529.0</v>
      </c>
      <c r="B11533" s="13" t="s">
        <v>11531</v>
      </c>
      <c r="C11533" s="14" t="s">
        <v>11562</v>
      </c>
      <c r="D11533" s="1"/>
      <c r="E11533" s="1"/>
      <c r="F11533" s="1" t="str">
        <f>IFERROR(__xludf.DUMMYFUNCTION("GOOGLETRANSLATE(B11533, ""en"", ""fa"")
"),"توسعه شخصی")</f>
        <v>توسعه شخصی</v>
      </c>
      <c r="G11533" s="1" t="str">
        <f>IFERROR(__xludf.DUMMYFUNCTION("GOOGLETRANSLATE(C11533, ""en"", ""fa"")
"),"در مورد چالش های گذشته و اینکه چگونه آنها به رشد شخصی و انعطاف پذیری شما کمک کرده اند فکر کنید.")</f>
        <v>در مورد چالش های گذشته و اینکه چگونه آنها به رشد شخصی و انعطاف پذیری شما کمک کرده اند فکر کنید.</v>
      </c>
      <c r="H11533" s="1"/>
      <c r="I11533" s="1"/>
      <c r="J11533" s="1"/>
      <c r="K11533" s="1"/>
      <c r="L11533" s="1"/>
      <c r="M11533" s="1"/>
      <c r="N11533" s="1"/>
      <c r="O11533" s="1"/>
      <c r="P11533" s="1"/>
      <c r="Q11533" s="1"/>
      <c r="R11533" s="1"/>
      <c r="S11533" s="1"/>
      <c r="T11533" s="1"/>
      <c r="U11533" s="1"/>
      <c r="V11533" s="1"/>
      <c r="W11533" s="1"/>
      <c r="X11533" s="1"/>
      <c r="Y11533" s="1"/>
      <c r="Z11533" s="1"/>
      <c r="AA11533" s="1"/>
      <c r="AB11533" s="1"/>
    </row>
    <row r="11534" ht="50.25" customHeight="1">
      <c r="A11534" s="12">
        <v>11530.0</v>
      </c>
      <c r="B11534" s="13" t="s">
        <v>11531</v>
      </c>
      <c r="C11534" s="14" t="s">
        <v>11563</v>
      </c>
      <c r="D11534" s="1"/>
      <c r="E11534" s="1"/>
      <c r="F11534" s="1" t="str">
        <f>IFERROR(__xludf.DUMMYFUNCTION("GOOGLETRANSLATE(B11534, ""en"", ""fa"")
"),"توسعه شخصی")</f>
        <v>توسعه شخصی</v>
      </c>
      <c r="G11534" s="1" t="str">
        <f>IFERROR(__xludf.DUMMYFUNCTION("GOOGLETRANSLATE(C11534, ""en"", ""fa"")
"),"برای به دست آوردن بینش در مورد احساسات و اعمال خود، به طور منظم خود اندیشی را تمرین کنید.")</f>
        <v>برای به دست آوردن بینش در مورد احساسات و اعمال خود، به طور منظم خود اندیشی را تمرین کنید.</v>
      </c>
      <c r="H11534" s="1"/>
      <c r="I11534" s="1"/>
      <c r="J11534" s="1"/>
      <c r="K11534" s="1"/>
      <c r="L11534" s="1"/>
      <c r="M11534" s="1"/>
      <c r="N11534" s="1"/>
      <c r="O11534" s="1"/>
      <c r="P11534" s="1"/>
      <c r="Q11534" s="1"/>
      <c r="R11534" s="1"/>
      <c r="S11534" s="1"/>
      <c r="T11534" s="1"/>
      <c r="U11534" s="1"/>
      <c r="V11534" s="1"/>
      <c r="W11534" s="1"/>
      <c r="X11534" s="1"/>
      <c r="Y11534" s="1"/>
      <c r="Z11534" s="1"/>
      <c r="AA11534" s="1"/>
      <c r="AB11534" s="1"/>
    </row>
    <row r="11535" ht="50.25" customHeight="1">
      <c r="A11535" s="12">
        <v>11531.0</v>
      </c>
      <c r="B11535" s="13" t="s">
        <v>11531</v>
      </c>
      <c r="C11535" s="14" t="s">
        <v>11564</v>
      </c>
      <c r="D11535" s="1"/>
      <c r="E11535" s="1"/>
      <c r="F11535" s="1" t="str">
        <f>IFERROR(__xludf.DUMMYFUNCTION("GOOGLETRANSLATE(B11535, ""en"", ""fa"")
"),"توسعه شخصی")</f>
        <v>توسعه شخصی</v>
      </c>
      <c r="G11535" s="1" t="str">
        <f>IFERROR(__xludf.DUMMYFUNCTION("GOOGLETRANSLATE(C11535, ""en"", ""fa"")
"),"روابط سمی را در زندگی خود شناسایی کنید و برای فاصله گرفتن از منفی گرایی قدم بردارید.")</f>
        <v>روابط سمی را در زندگی خود شناسایی کنید و برای فاصله گرفتن از منفی گرایی قدم بردارید.</v>
      </c>
      <c r="H11535" s="1"/>
      <c r="I11535" s="1"/>
      <c r="J11535" s="1"/>
      <c r="K11535" s="1"/>
      <c r="L11535" s="1"/>
      <c r="M11535" s="1"/>
      <c r="N11535" s="1"/>
      <c r="O11535" s="1"/>
      <c r="P11535" s="1"/>
      <c r="Q11535" s="1"/>
      <c r="R11535" s="1"/>
      <c r="S11535" s="1"/>
      <c r="T11535" s="1"/>
      <c r="U11535" s="1"/>
      <c r="V11535" s="1"/>
      <c r="W11535" s="1"/>
      <c r="X11535" s="1"/>
      <c r="Y11535" s="1"/>
      <c r="Z11535" s="1"/>
      <c r="AA11535" s="1"/>
      <c r="AB11535" s="1"/>
    </row>
    <row r="11536" ht="50.25" customHeight="1">
      <c r="A11536" s="12">
        <v>11532.0</v>
      </c>
      <c r="B11536" s="13" t="s">
        <v>11531</v>
      </c>
      <c r="C11536" s="14" t="s">
        <v>11565</v>
      </c>
      <c r="D11536" s="1"/>
      <c r="E11536" s="1"/>
      <c r="F11536" s="1" t="str">
        <f>IFERROR(__xludf.DUMMYFUNCTION("GOOGLETRANSLATE(B11536, ""en"", ""fa"")
"),"توسعه شخصی")</f>
        <v>توسعه شخصی</v>
      </c>
      <c r="G11536" s="1" t="str">
        <f>IFERROR(__xludf.DUMMYFUNCTION("GOOGLETRANSLATE(C11536, ""en"", ""fa"")
"),"برای ارتقای ذهن آگاهی و آگاهی از لحظه حال، با فناوری و رسانه های اجتماعی مرزهایی تعیین کنید.")</f>
        <v>برای ارتقای ذهن آگاهی و آگاهی از لحظه حال، با فناوری و رسانه های اجتماعی مرزهایی تعیین کنید.</v>
      </c>
      <c r="H11536" s="1"/>
      <c r="I11536" s="1"/>
      <c r="J11536" s="1"/>
      <c r="K11536" s="1"/>
      <c r="L11536" s="1"/>
      <c r="M11536" s="1"/>
      <c r="N11536" s="1"/>
      <c r="O11536" s="1"/>
      <c r="P11536" s="1"/>
      <c r="Q11536" s="1"/>
      <c r="R11536" s="1"/>
      <c r="S11536" s="1"/>
      <c r="T11536" s="1"/>
      <c r="U11536" s="1"/>
      <c r="V11536" s="1"/>
      <c r="W11536" s="1"/>
      <c r="X11536" s="1"/>
      <c r="Y11536" s="1"/>
      <c r="Z11536" s="1"/>
      <c r="AA11536" s="1"/>
      <c r="AB11536" s="1"/>
    </row>
    <row r="11537" ht="50.25" customHeight="1">
      <c r="A11537" s="12">
        <v>11533.0</v>
      </c>
      <c r="B11537" s="13" t="s">
        <v>11531</v>
      </c>
      <c r="C11537" s="14" t="s">
        <v>11566</v>
      </c>
      <c r="D11537" s="1"/>
      <c r="E11537" s="1"/>
      <c r="F11537" s="1" t="str">
        <f>IFERROR(__xludf.DUMMYFUNCTION("GOOGLETRANSLATE(B11537, ""en"", ""fa"")
"),"توسعه شخصی")</f>
        <v>توسعه شخصی</v>
      </c>
      <c r="G11537" s="1" t="str">
        <f>IFERROR(__xludf.DUMMYFUNCTION("GOOGLETRANSLATE(C11537, ""en"", ""fa"")
"),"روش های مختلف مدیریت و مقابله با استرس، مانند ورزش یا فعالیت های خلاقانه را بررسی کنید.")</f>
        <v>روش های مختلف مدیریت و مقابله با استرس، مانند ورزش یا فعالیت های خلاقانه را بررسی کنید.</v>
      </c>
      <c r="H11537" s="1"/>
      <c r="I11537" s="1"/>
      <c r="J11537" s="1"/>
      <c r="K11537" s="1"/>
      <c r="L11537" s="1"/>
      <c r="M11537" s="1"/>
      <c r="N11537" s="1"/>
      <c r="O11537" s="1"/>
      <c r="P11537" s="1"/>
      <c r="Q11537" s="1"/>
      <c r="R11537" s="1"/>
      <c r="S11537" s="1"/>
      <c r="T11537" s="1"/>
      <c r="U11537" s="1"/>
      <c r="V11537" s="1"/>
      <c r="W11537" s="1"/>
      <c r="X11537" s="1"/>
      <c r="Y11537" s="1"/>
      <c r="Z11537" s="1"/>
      <c r="AA11537" s="1"/>
      <c r="AB11537" s="1"/>
    </row>
    <row r="11538" ht="50.25" customHeight="1">
      <c r="A11538" s="12">
        <v>11534.0</v>
      </c>
      <c r="B11538" s="13" t="s">
        <v>11531</v>
      </c>
      <c r="C11538" s="14" t="s">
        <v>11567</v>
      </c>
      <c r="D11538" s="1"/>
      <c r="E11538" s="1"/>
      <c r="F11538" s="1" t="str">
        <f>IFERROR(__xludf.DUMMYFUNCTION("GOOGLETRANSLATE(B11538, ""en"", ""fa"")
"),"توسعه شخصی")</f>
        <v>توسعه شخصی</v>
      </c>
      <c r="G11538" s="1" t="str">
        <f>IFERROR(__xludf.DUMMYFUNCTION("GOOGLETRANSLATE(C11538, ""en"", ""fa"")
"),"با خواندن کتاب یا شرکت در دوره های آنلاین در مورد موضوعات مورد علاقه خود، عادت به یادگیری مداوم را در خود ایجاد کنید.")</f>
        <v>با خواندن کتاب یا شرکت در دوره های آنلاین در مورد موضوعات مورد علاقه خود، عادت به یادگیری مداوم را در خود ایجاد کنید.</v>
      </c>
      <c r="H11538" s="1"/>
      <c r="I11538" s="1"/>
      <c r="J11538" s="1"/>
      <c r="K11538" s="1"/>
      <c r="L11538" s="1"/>
      <c r="M11538" s="1"/>
      <c r="N11538" s="1"/>
      <c r="O11538" s="1"/>
      <c r="P11538" s="1"/>
      <c r="Q11538" s="1"/>
      <c r="R11538" s="1"/>
      <c r="S11538" s="1"/>
      <c r="T11538" s="1"/>
      <c r="U11538" s="1"/>
      <c r="V11538" s="1"/>
      <c r="W11538" s="1"/>
      <c r="X11538" s="1"/>
      <c r="Y11538" s="1"/>
      <c r="Z11538" s="1"/>
      <c r="AA11538" s="1"/>
      <c r="AB11538" s="1"/>
    </row>
    <row r="11539" ht="50.25" customHeight="1">
      <c r="A11539" s="12">
        <v>11535.0</v>
      </c>
      <c r="B11539" s="13" t="s">
        <v>11531</v>
      </c>
      <c r="C11539" s="14" t="s">
        <v>11568</v>
      </c>
      <c r="D11539" s="1"/>
      <c r="E11539" s="1"/>
      <c r="F11539" s="1" t="str">
        <f>IFERROR(__xludf.DUMMYFUNCTION("GOOGLETRANSLATE(B11539, ""en"", ""fa"")
"),"توسعه شخصی")</f>
        <v>توسعه شخصی</v>
      </c>
      <c r="G11539" s="1" t="str">
        <f>IFERROR(__xludf.DUMMYFUNCTION("GOOGLETRANSLATE(C11539, ""en"", ""fa"")
"),"در مورد نقش شفقت به خود در ایجاد انعطاف پذیری و غلبه بر موانع فکر کنید.")</f>
        <v>در مورد نقش شفقت به خود در ایجاد انعطاف پذیری و غلبه بر موانع فکر کنید.</v>
      </c>
      <c r="H11539" s="1"/>
      <c r="I11539" s="1"/>
      <c r="J11539" s="1"/>
      <c r="K11539" s="1"/>
      <c r="L11539" s="1"/>
      <c r="M11539" s="1"/>
      <c r="N11539" s="1"/>
      <c r="O11539" s="1"/>
      <c r="P11539" s="1"/>
      <c r="Q11539" s="1"/>
      <c r="R11539" s="1"/>
      <c r="S11539" s="1"/>
      <c r="T11539" s="1"/>
      <c r="U11539" s="1"/>
      <c r="V11539" s="1"/>
      <c r="W11539" s="1"/>
      <c r="X11539" s="1"/>
      <c r="Y11539" s="1"/>
      <c r="Z11539" s="1"/>
      <c r="AA11539" s="1"/>
      <c r="AB11539" s="1"/>
    </row>
    <row r="11540" ht="50.25" customHeight="1">
      <c r="A11540" s="12">
        <v>11536.0</v>
      </c>
      <c r="B11540" s="13" t="s">
        <v>11531</v>
      </c>
      <c r="C11540" s="14" t="s">
        <v>11569</v>
      </c>
      <c r="D11540" s="1"/>
      <c r="E11540" s="1"/>
      <c r="F11540" s="1" t="str">
        <f>IFERROR(__xludf.DUMMYFUNCTION("GOOGLETRANSLATE(B11540, ""en"", ""fa"")
"),"توسعه شخصی")</f>
        <v>توسعه شخصی</v>
      </c>
      <c r="G11540" s="1" t="str">
        <f>IFERROR(__xludf.DUMMYFUNCTION("GOOGLETRANSLATE(C11540, ""en"", ""fa"")
"),"نقاط قوت منحصر به فرد خود را شناسایی کنید و راه هایی برای استفاده از آنها در زندگی شخصی و حرفه ای خود بیابید.")</f>
        <v>نقاط قوت منحصر به فرد خود را شناسایی کنید و راه هایی برای استفاده از آنها در زندگی شخصی و حرفه ای خود بیابید.</v>
      </c>
      <c r="H11540" s="1"/>
      <c r="I11540" s="1"/>
      <c r="J11540" s="1"/>
      <c r="K11540" s="1"/>
      <c r="L11540" s="1"/>
      <c r="M11540" s="1"/>
      <c r="N11540" s="1"/>
      <c r="O11540" s="1"/>
      <c r="P11540" s="1"/>
      <c r="Q11540" s="1"/>
      <c r="R11540" s="1"/>
      <c r="S11540" s="1"/>
      <c r="T11540" s="1"/>
      <c r="U11540" s="1"/>
      <c r="V11540" s="1"/>
      <c r="W11540" s="1"/>
      <c r="X11540" s="1"/>
      <c r="Y11540" s="1"/>
      <c r="Z11540" s="1"/>
      <c r="AA11540" s="1"/>
      <c r="AB11540" s="1"/>
    </row>
    <row r="11541" ht="50.25" customHeight="1">
      <c r="A11541" s="12">
        <v>11537.0</v>
      </c>
      <c r="B11541" s="13" t="s">
        <v>11531</v>
      </c>
      <c r="C11541" s="14" t="s">
        <v>11570</v>
      </c>
      <c r="D11541" s="1"/>
      <c r="E11541" s="1"/>
      <c r="F11541" s="1" t="str">
        <f>IFERROR(__xludf.DUMMYFUNCTION("GOOGLETRANSLATE(B11541, ""en"", ""fa"")
"),"توسعه شخصی")</f>
        <v>توسعه شخصی</v>
      </c>
      <c r="G11541" s="1" t="str">
        <f>IFERROR(__xludf.DUMMYFUNCTION("GOOGLETRANSLATE(C11541, ""en"", ""fa"")
"),"برای تمرکز بر جنبه های مثبت زندگی خود، یادداشت قدردانی را تمرین کنید.")</f>
        <v>برای تمرکز بر جنبه های مثبت زندگی خود، یادداشت قدردانی را تمرین کنید.</v>
      </c>
      <c r="H11541" s="1"/>
      <c r="I11541" s="1"/>
      <c r="J11541" s="1"/>
      <c r="K11541" s="1"/>
      <c r="L11541" s="1"/>
      <c r="M11541" s="1"/>
      <c r="N11541" s="1"/>
      <c r="O11541" s="1"/>
      <c r="P11541" s="1"/>
      <c r="Q11541" s="1"/>
      <c r="R11541" s="1"/>
      <c r="S11541" s="1"/>
      <c r="T11541" s="1"/>
      <c r="U11541" s="1"/>
      <c r="V11541" s="1"/>
      <c r="W11541" s="1"/>
      <c r="X11541" s="1"/>
      <c r="Y11541" s="1"/>
      <c r="Z11541" s="1"/>
      <c r="AA11541" s="1"/>
      <c r="AB11541" s="1"/>
    </row>
    <row r="11542" ht="50.25" customHeight="1">
      <c r="A11542" s="12">
        <v>11538.0</v>
      </c>
      <c r="B11542" s="13" t="s">
        <v>11531</v>
      </c>
      <c r="C11542" s="14" t="s">
        <v>11571</v>
      </c>
      <c r="D11542" s="1"/>
      <c r="E11542" s="1"/>
      <c r="F11542" s="1" t="str">
        <f>IFERROR(__xludf.DUMMYFUNCTION("GOOGLETRANSLATE(B11542, ""en"", ""fa"")
"),"توسعه شخصی")</f>
        <v>توسعه شخصی</v>
      </c>
      <c r="G11542" s="1" t="str">
        <f>IFERROR(__xludf.DUMMYFUNCTION("GOOGLETRANSLATE(C11542, ""en"", ""fa"")
"),"تکنیک های مختلف آرام سازی، مانند آرام سازی پیشرونده عضلانی یا تصویرسازی هدایت شده را کاوش کنید.")</f>
        <v>تکنیک های مختلف آرام سازی، مانند آرام سازی پیشرونده عضلانی یا تصویرسازی هدایت شده را کاوش کنید.</v>
      </c>
      <c r="H11542" s="1"/>
      <c r="I11542" s="1"/>
      <c r="J11542" s="1"/>
      <c r="K11542" s="1"/>
      <c r="L11542" s="1"/>
      <c r="M11542" s="1"/>
      <c r="N11542" s="1"/>
      <c r="O11542" s="1"/>
      <c r="P11542" s="1"/>
      <c r="Q11542" s="1"/>
      <c r="R11542" s="1"/>
      <c r="S11542" s="1"/>
      <c r="T11542" s="1"/>
      <c r="U11542" s="1"/>
      <c r="V11542" s="1"/>
      <c r="W11542" s="1"/>
      <c r="X11542" s="1"/>
      <c r="Y11542" s="1"/>
      <c r="Z11542" s="1"/>
      <c r="AA11542" s="1"/>
      <c r="AB11542" s="1"/>
    </row>
    <row r="11543" ht="50.25" customHeight="1">
      <c r="A11543" s="12">
        <v>11539.0</v>
      </c>
      <c r="B11543" s="13" t="s">
        <v>11531</v>
      </c>
      <c r="C11543" s="14" t="s">
        <v>11572</v>
      </c>
      <c r="D11543" s="1"/>
      <c r="E11543" s="1"/>
      <c r="F11543" s="1" t="str">
        <f>IFERROR(__xludf.DUMMYFUNCTION("GOOGLETRANSLATE(B11543, ""en"", ""fa"")
"),"توسعه شخصی")</f>
        <v>توسعه شخصی</v>
      </c>
      <c r="G11543" s="1" t="str">
        <f>IFERROR(__xludf.DUMMYFUNCTION("GOOGLETRANSLATE(C11543, ""en"", ""fa"")
"),"اهداف واقع بینانه و قابل دستیابی را برای پیشرفت شخصی و حرفه ای تعیین کنید.")</f>
        <v>اهداف واقع بینانه و قابل دستیابی را برای پیشرفت شخصی و حرفه ای تعیین کنید.</v>
      </c>
      <c r="H11543" s="1"/>
      <c r="I11543" s="1"/>
      <c r="J11543" s="1"/>
      <c r="K11543" s="1"/>
      <c r="L11543" s="1"/>
      <c r="M11543" s="1"/>
      <c r="N11543" s="1"/>
      <c r="O11543" s="1"/>
      <c r="P11543" s="1"/>
      <c r="Q11543" s="1"/>
      <c r="R11543" s="1"/>
      <c r="S11543" s="1"/>
      <c r="T11543" s="1"/>
      <c r="U11543" s="1"/>
      <c r="V11543" s="1"/>
      <c r="W11543" s="1"/>
      <c r="X11543" s="1"/>
      <c r="Y11543" s="1"/>
      <c r="Z11543" s="1"/>
      <c r="AA11543" s="1"/>
      <c r="AB11543" s="1"/>
    </row>
    <row r="11544" ht="50.25" customHeight="1">
      <c r="A11544" s="12">
        <v>11540.0</v>
      </c>
      <c r="B11544" s="13" t="s">
        <v>11531</v>
      </c>
      <c r="C11544" s="14" t="s">
        <v>11573</v>
      </c>
      <c r="D11544" s="1"/>
      <c r="E11544" s="1"/>
      <c r="F11544" s="1" t="str">
        <f>IFERROR(__xludf.DUMMYFUNCTION("GOOGLETRANSLATE(B11544, ""en"", ""fa"")
"),"توسعه شخصی")</f>
        <v>توسعه شخصی</v>
      </c>
      <c r="G11544" s="1" t="str">
        <f>IFERROR(__xludf.DUMMYFUNCTION("GOOGLETRANSLATE(C11544, ""en"", ""fa"")
"),"منابع انگیزه و الهام را شناسایی کنید که انگیزه شما را برای رسیدن به رویاهایتان تقویت می کند.")</f>
        <v>منابع انگیزه و الهام را شناسایی کنید که انگیزه شما را برای رسیدن به رویاهایتان تقویت می کند.</v>
      </c>
      <c r="H11544" s="1"/>
      <c r="I11544" s="1"/>
      <c r="J11544" s="1"/>
      <c r="K11544" s="1"/>
      <c r="L11544" s="1"/>
      <c r="M11544" s="1"/>
      <c r="N11544" s="1"/>
      <c r="O11544" s="1"/>
      <c r="P11544" s="1"/>
      <c r="Q11544" s="1"/>
      <c r="R11544" s="1"/>
      <c r="S11544" s="1"/>
      <c r="T11544" s="1"/>
      <c r="U11544" s="1"/>
      <c r="V11544" s="1"/>
      <c r="W11544" s="1"/>
      <c r="X11544" s="1"/>
      <c r="Y11544" s="1"/>
      <c r="Z11544" s="1"/>
      <c r="AA11544" s="1"/>
      <c r="AB11544" s="1"/>
    </row>
    <row r="11545" ht="50.25" customHeight="1">
      <c r="A11545" s="12">
        <v>11541.0</v>
      </c>
      <c r="B11545" s="13" t="s">
        <v>11531</v>
      </c>
      <c r="C11545" s="14" t="s">
        <v>11574</v>
      </c>
      <c r="D11545" s="1"/>
      <c r="E11545" s="1"/>
      <c r="F11545" s="1" t="str">
        <f>IFERROR(__xludf.DUMMYFUNCTION("GOOGLETRANSLATE(B11545, ""en"", ""fa"")
"),"توسعه شخصی")</f>
        <v>توسعه شخصی</v>
      </c>
      <c r="G11545" s="1" t="str">
        <f>IFERROR(__xludf.DUMMYFUNCTION("GOOGLETRANSLATE(C11545, ""en"", ""fa"")
"),"به اشتباهات یا شکست های گذشته فکر کنید و از آنها به عنوان فرصت های یادگیری برای رشد استفاده کنید.")</f>
        <v>به اشتباهات یا شکست های گذشته فکر کنید و از آنها به عنوان فرصت های یادگیری برای رشد استفاده کنید.</v>
      </c>
      <c r="H11545" s="1"/>
      <c r="I11545" s="1"/>
      <c r="J11545" s="1"/>
      <c r="K11545" s="1"/>
      <c r="L11545" s="1"/>
      <c r="M11545" s="1"/>
      <c r="N11545" s="1"/>
      <c r="O11545" s="1"/>
      <c r="P11545" s="1"/>
      <c r="Q11545" s="1"/>
      <c r="R11545" s="1"/>
      <c r="S11545" s="1"/>
      <c r="T11545" s="1"/>
      <c r="U11545" s="1"/>
      <c r="V11545" s="1"/>
      <c r="W11545" s="1"/>
      <c r="X11545" s="1"/>
      <c r="Y11545" s="1"/>
      <c r="Z11545" s="1"/>
      <c r="AA11545" s="1"/>
      <c r="AB11545" s="1"/>
    </row>
    <row r="11546" ht="50.25" customHeight="1">
      <c r="A11546" s="12">
        <v>11542.0</v>
      </c>
      <c r="B11546" s="13" t="s">
        <v>11531</v>
      </c>
      <c r="C11546" s="14" t="s">
        <v>11575</v>
      </c>
      <c r="D11546" s="1"/>
      <c r="E11546" s="1"/>
      <c r="F11546" s="1" t="str">
        <f>IFERROR(__xludf.DUMMYFUNCTION("GOOGLETRANSLATE(B11546, ""en"", ""fa"")
"),"توسعه شخصی")</f>
        <v>توسعه شخصی</v>
      </c>
      <c r="G11546" s="1" t="str">
        <f>IFERROR(__xludf.DUMMYFUNCTION("GOOGLETRANSLATE(C11546, ""en"", ""fa"")
"),"برای شروع هر روز با یک یادداشت مثبت، یک جملات تاکیدی مثبت صبحگاهی ایجاد کنید.")</f>
        <v>برای شروع هر روز با یک یادداشت مثبت، یک جملات تاکیدی مثبت صبحگاهی ایجاد کنید.</v>
      </c>
      <c r="H11546" s="1"/>
      <c r="I11546" s="1"/>
      <c r="J11546" s="1"/>
      <c r="K11546" s="1"/>
      <c r="L11546" s="1"/>
      <c r="M11546" s="1"/>
      <c r="N11546" s="1"/>
      <c r="O11546" s="1"/>
      <c r="P11546" s="1"/>
      <c r="Q11546" s="1"/>
      <c r="R11546" s="1"/>
      <c r="S11546" s="1"/>
      <c r="T11546" s="1"/>
      <c r="U11546" s="1"/>
      <c r="V11546" s="1"/>
      <c r="W11546" s="1"/>
      <c r="X11546" s="1"/>
      <c r="Y11546" s="1"/>
      <c r="Z11546" s="1"/>
      <c r="AA11546" s="1"/>
      <c r="AB11546" s="1"/>
    </row>
    <row r="11547" ht="50.25" customHeight="1">
      <c r="A11547" s="12">
        <v>11543.0</v>
      </c>
      <c r="B11547" s="13" t="s">
        <v>11531</v>
      </c>
      <c r="C11547" s="14" t="s">
        <v>11576</v>
      </c>
      <c r="D11547" s="1"/>
      <c r="E11547" s="1"/>
      <c r="F11547" s="1" t="str">
        <f>IFERROR(__xludf.DUMMYFUNCTION("GOOGLETRANSLATE(B11547, ""en"", ""fa"")
"),"توسعه شخصی")</f>
        <v>توسعه شخصی</v>
      </c>
      <c r="G11547" s="1" t="str">
        <f>IFERROR(__xludf.DUMMYFUNCTION("GOOGLETRANSLATE(C11547, ""en"", ""fa"")
"),"هدف گذاری فعال را تمرین کنید و اهداف بزرگتر را به مراحل کوچکتر و قابل اجرا تقسیم کنید.")</f>
        <v>هدف گذاری فعال را تمرین کنید و اهداف بزرگتر را به مراحل کوچکتر و قابل اجرا تقسیم کنید.</v>
      </c>
      <c r="H11547" s="1"/>
      <c r="I11547" s="1"/>
      <c r="J11547" s="1"/>
      <c r="K11547" s="1"/>
      <c r="L11547" s="1"/>
      <c r="M11547" s="1"/>
      <c r="N11547" s="1"/>
      <c r="O11547" s="1"/>
      <c r="P11547" s="1"/>
      <c r="Q11547" s="1"/>
      <c r="R11547" s="1"/>
      <c r="S11547" s="1"/>
      <c r="T11547" s="1"/>
      <c r="U11547" s="1"/>
      <c r="V11547" s="1"/>
      <c r="W11547" s="1"/>
      <c r="X11547" s="1"/>
      <c r="Y11547" s="1"/>
      <c r="Z11547" s="1"/>
      <c r="AA11547" s="1"/>
      <c r="AB11547" s="1"/>
    </row>
    <row r="11548" ht="50.25" customHeight="1">
      <c r="A11548" s="12">
        <v>11544.0</v>
      </c>
      <c r="B11548" s="13" t="s">
        <v>11531</v>
      </c>
      <c r="C11548" s="14" t="s">
        <v>11577</v>
      </c>
      <c r="D11548" s="1"/>
      <c r="E11548" s="1"/>
      <c r="F11548" s="1" t="str">
        <f>IFERROR(__xludf.DUMMYFUNCTION("GOOGLETRANSLATE(B11548, ""en"", ""fa"")
"),"توسعه شخصی")</f>
        <v>توسعه شخصی</v>
      </c>
      <c r="G11548" s="1" t="str">
        <f>IFERROR(__xludf.DUMMYFUNCTION("GOOGLETRANSLATE(C11548, ""en"", ""fa"")
"),"مفهوم ادغام کار و زندگی را بررسی کنید و راه هایی برای ایجاد هماهنگی بین مسئولیت های شخصی و حرفه ای بیابید.")</f>
        <v>مفهوم ادغام کار و زندگی را بررسی کنید و راه هایی برای ایجاد هماهنگی بین مسئولیت های شخصی و حرفه ای بیابید.</v>
      </c>
      <c r="H11548" s="1"/>
      <c r="I11548" s="1"/>
      <c r="J11548" s="1"/>
      <c r="K11548" s="1"/>
      <c r="L11548" s="1"/>
      <c r="M11548" s="1"/>
      <c r="N11548" s="1"/>
      <c r="O11548" s="1"/>
      <c r="P11548" s="1"/>
      <c r="Q11548" s="1"/>
      <c r="R11548" s="1"/>
      <c r="S11548" s="1"/>
      <c r="T11548" s="1"/>
      <c r="U11548" s="1"/>
      <c r="V11548" s="1"/>
      <c r="W11548" s="1"/>
      <c r="X11548" s="1"/>
      <c r="Y11548" s="1"/>
      <c r="Z11548" s="1"/>
      <c r="AA11548" s="1"/>
      <c r="AB11548" s="1"/>
    </row>
    <row r="11549" ht="50.25" customHeight="1">
      <c r="A11549" s="12">
        <v>11545.0</v>
      </c>
      <c r="B11549" s="13" t="s">
        <v>11531</v>
      </c>
      <c r="C11549" s="14" t="s">
        <v>11578</v>
      </c>
      <c r="D11549" s="1"/>
      <c r="E11549" s="1"/>
      <c r="F11549" s="1" t="str">
        <f>IFERROR(__xludf.DUMMYFUNCTION("GOOGLETRANSLATE(B11549, ""en"", ""fa"")
"),"توسعه شخصی")</f>
        <v>توسعه شخصی</v>
      </c>
      <c r="G11549" s="1" t="str">
        <f>IFERROR(__xludf.DUMMYFUNCTION("GOOGLETRANSLATE(C11549, ""en"", ""fa"")
"),"به علایق و علایق خود فکر کنید و در نظر بگیرید که چگونه می توانید آنها را با مسیر شغلی خود هماهنگ کنید.")</f>
        <v>به علایق و علایق خود فکر کنید و در نظر بگیرید که چگونه می توانید آنها را با مسیر شغلی خود هماهنگ کنید.</v>
      </c>
      <c r="H11549" s="1"/>
      <c r="I11549" s="1"/>
      <c r="J11549" s="1"/>
      <c r="K11549" s="1"/>
      <c r="L11549" s="1"/>
      <c r="M11549" s="1"/>
      <c r="N11549" s="1"/>
      <c r="O11549" s="1"/>
      <c r="P11549" s="1"/>
      <c r="Q11549" s="1"/>
      <c r="R11549" s="1"/>
      <c r="S11549" s="1"/>
      <c r="T11549" s="1"/>
      <c r="U11549" s="1"/>
      <c r="V11549" s="1"/>
      <c r="W11549" s="1"/>
      <c r="X11549" s="1"/>
      <c r="Y11549" s="1"/>
      <c r="Z11549" s="1"/>
      <c r="AA11549" s="1"/>
      <c r="AB11549" s="1"/>
    </row>
    <row r="11550" ht="50.25" customHeight="1">
      <c r="A11550" s="12">
        <v>11546.0</v>
      </c>
      <c r="B11550" s="13" t="s">
        <v>11531</v>
      </c>
      <c r="C11550" s="14" t="s">
        <v>11579</v>
      </c>
      <c r="D11550" s="1"/>
      <c r="E11550" s="1"/>
      <c r="F11550" s="1" t="str">
        <f>IFERROR(__xludf.DUMMYFUNCTION("GOOGLETRANSLATE(B11550, ""en"", ""fa"")
"),"توسعه شخصی")</f>
        <v>توسعه شخصی</v>
      </c>
      <c r="G11550" s="1" t="str">
        <f>IFERROR(__xludf.DUMMYFUNCTION("GOOGLETRANSLATE(C11550, ""en"", ""fa"")
"),"باورهای خود محدود کننده ای که ممکن است مانع پیشرفت شما شوند را شناسایی و به چالش بکشید.")</f>
        <v>باورهای خود محدود کننده ای که ممکن است مانع پیشرفت شما شوند را شناسایی و به چالش بکشید.</v>
      </c>
      <c r="H11550" s="1"/>
      <c r="I11550" s="1"/>
      <c r="J11550" s="1"/>
      <c r="K11550" s="1"/>
      <c r="L11550" s="1"/>
      <c r="M11550" s="1"/>
      <c r="N11550" s="1"/>
      <c r="O11550" s="1"/>
      <c r="P11550" s="1"/>
      <c r="Q11550" s="1"/>
      <c r="R11550" s="1"/>
      <c r="S11550" s="1"/>
      <c r="T11550" s="1"/>
      <c r="U11550" s="1"/>
      <c r="V11550" s="1"/>
      <c r="W11550" s="1"/>
      <c r="X11550" s="1"/>
      <c r="Y11550" s="1"/>
      <c r="Z11550" s="1"/>
      <c r="AA11550" s="1"/>
      <c r="AB11550" s="1"/>
    </row>
    <row r="11551" ht="50.25" customHeight="1">
      <c r="A11551" s="12">
        <v>11547.0</v>
      </c>
      <c r="B11551" s="13" t="s">
        <v>11531</v>
      </c>
      <c r="C11551" s="14" t="s">
        <v>11580</v>
      </c>
      <c r="D11551" s="1"/>
      <c r="E11551" s="1"/>
      <c r="F11551" s="1" t="str">
        <f>IFERROR(__xludf.DUMMYFUNCTION("GOOGLETRANSLATE(B11551, ""en"", ""fa"")
"),"توسعه شخصی")</f>
        <v>توسعه شخصی</v>
      </c>
      <c r="G11551" s="1" t="str">
        <f>IFERROR(__xludf.DUMMYFUNCTION("GOOGLETRANSLATE(C11551, ""en"", ""fa"")
"),"تمرکز حواس را در طول فعالیت های روزانه مانند غذا خوردن، راه رفتن یا کار کردن تمرین کنید.")</f>
        <v>تمرکز حواس را در طول فعالیت های روزانه مانند غذا خوردن، راه رفتن یا کار کردن تمرین کنید.</v>
      </c>
      <c r="H11551" s="1"/>
      <c r="I11551" s="1"/>
      <c r="J11551" s="1"/>
      <c r="K11551" s="1"/>
      <c r="L11551" s="1"/>
      <c r="M11551" s="1"/>
      <c r="N11551" s="1"/>
      <c r="O11551" s="1"/>
      <c r="P11551" s="1"/>
      <c r="Q11551" s="1"/>
      <c r="R11551" s="1"/>
      <c r="S11551" s="1"/>
      <c r="T11551" s="1"/>
      <c r="U11551" s="1"/>
      <c r="V11551" s="1"/>
      <c r="W11551" s="1"/>
      <c r="X11551" s="1"/>
      <c r="Y11551" s="1"/>
      <c r="Z11551" s="1"/>
      <c r="AA11551" s="1"/>
      <c r="AB11551" s="1"/>
    </row>
    <row r="11552" ht="50.25" customHeight="1">
      <c r="A11552" s="12">
        <v>11548.0</v>
      </c>
      <c r="B11552" s="13" t="s">
        <v>11531</v>
      </c>
      <c r="C11552" s="14" t="s">
        <v>11581</v>
      </c>
      <c r="D11552" s="1"/>
      <c r="E11552" s="1"/>
      <c r="F11552" s="1" t="str">
        <f>IFERROR(__xludf.DUMMYFUNCTION("GOOGLETRANSLATE(B11552, ""en"", ""fa"")
"),"توسعه شخصی")</f>
        <v>توسعه شخصی</v>
      </c>
      <c r="G11552" s="1" t="str">
        <f>IFERROR(__xludf.DUMMYFUNCTION("GOOGLETRANSLATE(C11552, ""en"", ""fa"")
"),"برای جلوگیری از فرسودگی و اولویت دادن به مراقبت از خود، با زمان و انرژی خود حد و مرزی تعیین کنید.")</f>
        <v>برای جلوگیری از فرسودگی و اولویت دادن به مراقبت از خود، با زمان و انرژی خود حد و مرزی تعیین کنید.</v>
      </c>
      <c r="H11552" s="1"/>
      <c r="I11552" s="1"/>
      <c r="J11552" s="1"/>
      <c r="K11552" s="1"/>
      <c r="L11552" s="1"/>
      <c r="M11552" s="1"/>
      <c r="N11552" s="1"/>
      <c r="O11552" s="1"/>
      <c r="P11552" s="1"/>
      <c r="Q11552" s="1"/>
      <c r="R11552" s="1"/>
      <c r="S11552" s="1"/>
      <c r="T11552" s="1"/>
      <c r="U11552" s="1"/>
      <c r="V11552" s="1"/>
      <c r="W11552" s="1"/>
      <c r="X11552" s="1"/>
      <c r="Y11552" s="1"/>
      <c r="Z11552" s="1"/>
      <c r="AA11552" s="1"/>
      <c r="AB11552" s="1"/>
    </row>
    <row r="11553" ht="50.25" customHeight="1">
      <c r="A11553" s="12">
        <v>11549.0</v>
      </c>
      <c r="B11553" s="13" t="s">
        <v>11531</v>
      </c>
      <c r="C11553" s="14" t="s">
        <v>11582</v>
      </c>
      <c r="D11553" s="1"/>
      <c r="E11553" s="1"/>
      <c r="F11553" s="1" t="str">
        <f>IFERROR(__xludf.DUMMYFUNCTION("GOOGLETRANSLATE(B11553, ""en"", ""fa"")
"),"توسعه شخصی")</f>
        <v>توسعه شخصی</v>
      </c>
      <c r="G11553" s="1" t="str">
        <f>IFERROR(__xludf.DUMMYFUNCTION("GOOGLETRANSLATE(C11553, ""en"", ""fa"")
"),"مزایای یادداشت روزانه و بیان خود را به عنوان ابزاری برای پردازش احساسات و تجربیات بررسی کنید.")</f>
        <v>مزایای یادداشت روزانه و بیان خود را به عنوان ابزاری برای پردازش احساسات و تجربیات بررسی کنید.</v>
      </c>
      <c r="H11553" s="1"/>
      <c r="I11553" s="1"/>
      <c r="J11553" s="1"/>
      <c r="K11553" s="1"/>
      <c r="L11553" s="1"/>
      <c r="M11553" s="1"/>
      <c r="N11553" s="1"/>
      <c r="O11553" s="1"/>
      <c r="P11553" s="1"/>
      <c r="Q11553" s="1"/>
      <c r="R11553" s="1"/>
      <c r="S11553" s="1"/>
      <c r="T11553" s="1"/>
      <c r="U11553" s="1"/>
      <c r="V11553" s="1"/>
      <c r="W11553" s="1"/>
      <c r="X11553" s="1"/>
      <c r="Y11553" s="1"/>
      <c r="Z11553" s="1"/>
      <c r="AA11553" s="1"/>
      <c r="AB11553" s="1"/>
    </row>
    <row r="11554" ht="50.25" customHeight="1">
      <c r="A11554" s="12">
        <v>11550.0</v>
      </c>
      <c r="B11554" s="13" t="s">
        <v>11531</v>
      </c>
      <c r="C11554" s="14" t="s">
        <v>11583</v>
      </c>
      <c r="D11554" s="1"/>
      <c r="E11554" s="1"/>
      <c r="F11554" s="1" t="str">
        <f>IFERROR(__xludf.DUMMYFUNCTION("GOOGLETRANSLATE(B11554, ""en"", ""fa"")
"),"توسعه شخصی")</f>
        <v>توسعه شخصی</v>
      </c>
      <c r="G11554" s="1" t="str">
        <f>IFERROR(__xludf.DUMMYFUNCTION("GOOGLETRANSLATE(C11554, ""en"", ""fa"")
"),"به ارزش های اصلی خود و چگونگی شکل دادن آنها به فرآیند تصمیم گیری فکر کنید.")</f>
        <v>به ارزش های اصلی خود و چگونگی شکل دادن آنها به فرآیند تصمیم گیری فکر کنید.</v>
      </c>
      <c r="H11554" s="1"/>
      <c r="I11554" s="1"/>
      <c r="J11554" s="1"/>
      <c r="K11554" s="1"/>
      <c r="L11554" s="1"/>
      <c r="M11554" s="1"/>
      <c r="N11554" s="1"/>
      <c r="O11554" s="1"/>
      <c r="P11554" s="1"/>
      <c r="Q11554" s="1"/>
      <c r="R11554" s="1"/>
      <c r="S11554" s="1"/>
      <c r="T11554" s="1"/>
      <c r="U11554" s="1"/>
      <c r="V11554" s="1"/>
      <c r="W11554" s="1"/>
      <c r="X11554" s="1"/>
      <c r="Y11554" s="1"/>
      <c r="Z11554" s="1"/>
      <c r="AA11554" s="1"/>
      <c r="AB11554" s="1"/>
    </row>
    <row r="11555" ht="50.25" customHeight="1">
      <c r="A11555" s="12">
        <v>11551.0</v>
      </c>
      <c r="B11555" s="13" t="s">
        <v>11531</v>
      </c>
      <c r="C11555" s="14" t="s">
        <v>11584</v>
      </c>
      <c r="D11555" s="1"/>
      <c r="E11555" s="1"/>
      <c r="F11555" s="1" t="str">
        <f>IFERROR(__xludf.DUMMYFUNCTION("GOOGLETRANSLATE(B11555, ""en"", ""fa"")
"),"توسعه شخصی")</f>
        <v>توسعه شخصی</v>
      </c>
      <c r="G11555" s="1" t="str">
        <f>IFERROR(__xludf.DUMMYFUNCTION("GOOGLETRANSLATE(C11555, ""en"", ""fa"")
"),"تمرینات تجسم را تمرین کنید تا آینده دلخواه خود را تصور و آشکار کنید.")</f>
        <v>تمرینات تجسم را تمرین کنید تا آینده دلخواه خود را تصور و آشکار کنید.</v>
      </c>
      <c r="H11555" s="1"/>
      <c r="I11555" s="1"/>
      <c r="J11555" s="1"/>
      <c r="K11555" s="1"/>
      <c r="L11555" s="1"/>
      <c r="M11555" s="1"/>
      <c r="N11555" s="1"/>
      <c r="O11555" s="1"/>
      <c r="P11555" s="1"/>
      <c r="Q11555" s="1"/>
      <c r="R11555" s="1"/>
      <c r="S11555" s="1"/>
      <c r="T11555" s="1"/>
      <c r="U11555" s="1"/>
      <c r="V11555" s="1"/>
      <c r="W11555" s="1"/>
      <c r="X11555" s="1"/>
      <c r="Y11555" s="1"/>
      <c r="Z11555" s="1"/>
      <c r="AA11555" s="1"/>
      <c r="AB11555" s="1"/>
    </row>
    <row r="11556" ht="50.25" customHeight="1">
      <c r="A11556" s="12">
        <v>11552.0</v>
      </c>
      <c r="B11556" s="13" t="s">
        <v>11531</v>
      </c>
      <c r="C11556" s="14" t="s">
        <v>11585</v>
      </c>
      <c r="D11556" s="1"/>
      <c r="E11556" s="1"/>
      <c r="F11556" s="1" t="str">
        <f>IFERROR(__xludf.DUMMYFUNCTION("GOOGLETRANSLATE(B11556, ""en"", ""fa"")
"),"توسعه شخصی")</f>
        <v>توسعه شخصی</v>
      </c>
      <c r="G11556" s="1" t="str">
        <f>IFERROR(__xludf.DUMMYFUNCTION("GOOGLETRANSLATE(C11556, ""en"", ""fa"")
"),"نقاط قوت و ویژگی های منحصر به فرد خود را شناسایی کنید و راه هایی برای استفاده از آنها در زندگی شخصی و حرفه ای خود بیابید.")</f>
        <v>نقاط قوت و ویژگی های منحصر به فرد خود را شناسایی کنید و راه هایی برای استفاده از آنها در زندگی شخصی و حرفه ای خود بیابید.</v>
      </c>
      <c r="H11556" s="1"/>
      <c r="I11556" s="1"/>
      <c r="J11556" s="1"/>
      <c r="K11556" s="1"/>
      <c r="L11556" s="1"/>
      <c r="M11556" s="1"/>
      <c r="N11556" s="1"/>
      <c r="O11556" s="1"/>
      <c r="P11556" s="1"/>
      <c r="Q11556" s="1"/>
      <c r="R11556" s="1"/>
      <c r="S11556" s="1"/>
      <c r="T11556" s="1"/>
      <c r="U11556" s="1"/>
      <c r="V11556" s="1"/>
      <c r="W11556" s="1"/>
      <c r="X11556" s="1"/>
      <c r="Y11556" s="1"/>
      <c r="Z11556" s="1"/>
      <c r="AA11556" s="1"/>
      <c r="AB11556" s="1"/>
    </row>
    <row r="11557" ht="50.25" customHeight="1">
      <c r="A11557" s="12">
        <v>11553.0</v>
      </c>
      <c r="B11557" s="13" t="s">
        <v>11531</v>
      </c>
      <c r="C11557" s="14" t="s">
        <v>11586</v>
      </c>
      <c r="D11557" s="1"/>
      <c r="E11557" s="1"/>
      <c r="F11557" s="1" t="str">
        <f>IFERROR(__xludf.DUMMYFUNCTION("GOOGLETRANSLATE(B11557, ""en"", ""fa"")
"),"توسعه شخصی")</f>
        <v>توسعه شخصی</v>
      </c>
      <c r="G11557" s="1" t="str">
        <f>IFERROR(__xludf.DUMMYFUNCTION("GOOGLETRANSLATE(C11557, ""en"", ""fa"")
"),"روش های مختلف مراقبت از خود مانند مدیتیشن، ورزش یا گذراندن وقت در طبیعت را بررسی کنید.")</f>
        <v>روش های مختلف مراقبت از خود مانند مدیتیشن، ورزش یا گذراندن وقت در طبیعت را بررسی کنید.</v>
      </c>
      <c r="H11557" s="1"/>
      <c r="I11557" s="1"/>
      <c r="J11557" s="1"/>
      <c r="K11557" s="1"/>
      <c r="L11557" s="1"/>
      <c r="M11557" s="1"/>
      <c r="N11557" s="1"/>
      <c r="O11557" s="1"/>
      <c r="P11557" s="1"/>
      <c r="Q11557" s="1"/>
      <c r="R11557" s="1"/>
      <c r="S11557" s="1"/>
      <c r="T11557" s="1"/>
      <c r="U11557" s="1"/>
      <c r="V11557" s="1"/>
      <c r="W11557" s="1"/>
      <c r="X11557" s="1"/>
      <c r="Y11557" s="1"/>
      <c r="Z11557" s="1"/>
      <c r="AA11557" s="1"/>
      <c r="AB11557" s="1"/>
    </row>
    <row r="11558" ht="50.25" customHeight="1">
      <c r="A11558" s="12">
        <v>11554.0</v>
      </c>
      <c r="B11558" s="13" t="s">
        <v>11531</v>
      </c>
      <c r="C11558" s="14" t="s">
        <v>11587</v>
      </c>
      <c r="D11558" s="1"/>
      <c r="E11558" s="1"/>
      <c r="F11558" s="1" t="str">
        <f>IFERROR(__xludf.DUMMYFUNCTION("GOOGLETRANSLATE(B11558, ""en"", ""fa"")
"),"توسعه شخصی")</f>
        <v>توسعه شخصی</v>
      </c>
      <c r="G11558" s="1" t="str">
        <f>IFERROR(__xludf.DUMMYFUNCTION("GOOGLETRANSLATE(C11558, ""en"", ""fa"")
"),"به دستاوردهای خود فکر کنید و پیشرفت خود را هر چند کوچک جشن بگیرید.")</f>
        <v>به دستاوردهای خود فکر کنید و پیشرفت خود را هر چند کوچک جشن بگیرید.</v>
      </c>
      <c r="H11558" s="1"/>
      <c r="I11558" s="1"/>
      <c r="J11558" s="1"/>
      <c r="K11558" s="1"/>
      <c r="L11558" s="1"/>
      <c r="M11558" s="1"/>
      <c r="N11558" s="1"/>
      <c r="O11558" s="1"/>
      <c r="P11558" s="1"/>
      <c r="Q11558" s="1"/>
      <c r="R11558" s="1"/>
      <c r="S11558" s="1"/>
      <c r="T11558" s="1"/>
      <c r="U11558" s="1"/>
      <c r="V11558" s="1"/>
      <c r="W11558" s="1"/>
      <c r="X11558" s="1"/>
      <c r="Y11558" s="1"/>
      <c r="Z11558" s="1"/>
      <c r="AA11558" s="1"/>
      <c r="AB11558" s="1"/>
    </row>
    <row r="11559" ht="50.25" customHeight="1">
      <c r="A11559" s="12">
        <v>11555.0</v>
      </c>
      <c r="B11559" s="13" t="s">
        <v>11531</v>
      </c>
      <c r="C11559" s="14" t="s">
        <v>11588</v>
      </c>
      <c r="D11559" s="1"/>
      <c r="E11559" s="1"/>
      <c r="F11559" s="1" t="str">
        <f>IFERROR(__xludf.DUMMYFUNCTION("GOOGLETRANSLATE(B11559, ""en"", ""fa"")
"),"توسعه شخصی")</f>
        <v>توسعه شخصی</v>
      </c>
      <c r="G11559" s="1" t="str">
        <f>IFERROR(__xludf.DUMMYFUNCTION("GOOGLETRANSLATE(C11559, ""en"", ""fa"")
"),"یک ذهنیت رشد ایجاد کنید و چالش ها را به عنوان فرصت هایی برای یادگیری و رشد بپذیرید.")</f>
        <v>یک ذهنیت رشد ایجاد کنید و چالش ها را به عنوان فرصت هایی برای یادگیری و رشد بپذیرید.</v>
      </c>
      <c r="H11559" s="1"/>
      <c r="I11559" s="1"/>
      <c r="J11559" s="1"/>
      <c r="K11559" s="1"/>
      <c r="L11559" s="1"/>
      <c r="M11559" s="1"/>
      <c r="N11559" s="1"/>
      <c r="O11559" s="1"/>
      <c r="P11559" s="1"/>
      <c r="Q11559" s="1"/>
      <c r="R11559" s="1"/>
      <c r="S11559" s="1"/>
      <c r="T11559" s="1"/>
      <c r="U11559" s="1"/>
      <c r="V11559" s="1"/>
      <c r="W11559" s="1"/>
      <c r="X11559" s="1"/>
      <c r="Y11559" s="1"/>
      <c r="Z11559" s="1"/>
      <c r="AA11559" s="1"/>
      <c r="AB11559" s="1"/>
    </row>
    <row r="11560" ht="50.25" customHeight="1">
      <c r="A11560" s="12">
        <v>11556.0</v>
      </c>
      <c r="B11560" s="13" t="s">
        <v>11531</v>
      </c>
      <c r="C11560" s="14" t="s">
        <v>11589</v>
      </c>
      <c r="D11560" s="1"/>
      <c r="E11560" s="1"/>
      <c r="F11560" s="1" t="str">
        <f>IFERROR(__xludf.DUMMYFUNCTION("GOOGLETRANSLATE(B11560, ""en"", ""fa"")
"),"توسعه شخصی")</f>
        <v>توسعه شخصی</v>
      </c>
      <c r="G11560" s="1" t="str">
        <f>IFERROR(__xludf.DUMMYFUNCTION("GOOGLETRANSLATE(C11560, ""en"", ""fa"")
"),"برای محافظت از زمان و رفاه خود با دیگران مرزهای واقع بینانه تعیین کنید.")</f>
        <v>برای محافظت از زمان و رفاه خود با دیگران مرزهای واقع بینانه تعیین کنید.</v>
      </c>
      <c r="H11560" s="1"/>
      <c r="I11560" s="1"/>
      <c r="J11560" s="1"/>
      <c r="K11560" s="1"/>
      <c r="L11560" s="1"/>
      <c r="M11560" s="1"/>
      <c r="N11560" s="1"/>
      <c r="O11560" s="1"/>
      <c r="P11560" s="1"/>
      <c r="Q11560" s="1"/>
      <c r="R11560" s="1"/>
      <c r="S11560" s="1"/>
      <c r="T11560" s="1"/>
      <c r="U11560" s="1"/>
      <c r="V11560" s="1"/>
      <c r="W11560" s="1"/>
      <c r="X11560" s="1"/>
      <c r="Y11560" s="1"/>
      <c r="Z11560" s="1"/>
      <c r="AA11560" s="1"/>
      <c r="AB11560" s="1"/>
    </row>
    <row r="11561" ht="50.25" customHeight="1">
      <c r="A11561" s="12">
        <v>11557.0</v>
      </c>
      <c r="B11561" s="13" t="s">
        <v>11531</v>
      </c>
      <c r="C11561" s="14" t="s">
        <v>11590</v>
      </c>
      <c r="D11561" s="1"/>
      <c r="E11561" s="1"/>
      <c r="F11561" s="1" t="str">
        <f>IFERROR(__xludf.DUMMYFUNCTION("GOOGLETRANSLATE(B11561, ""en"", ""fa"")
"),"توسعه شخصی")</f>
        <v>توسعه شخصی</v>
      </c>
      <c r="G11561" s="1" t="str">
        <f>IFERROR(__xludf.DUMMYFUNCTION("GOOGLETRANSLATE(C11561, ""en"", ""fa"")
"),"قدردانی را با ابراز قدردانی از افراد و تجربیات زندگی خود تمرین کنید.")</f>
        <v>قدردانی را با ابراز قدردانی از افراد و تجربیات زندگی خود تمرین کنید.</v>
      </c>
      <c r="H11561" s="1"/>
      <c r="I11561" s="1"/>
      <c r="J11561" s="1"/>
      <c r="K11561" s="1"/>
      <c r="L11561" s="1"/>
      <c r="M11561" s="1"/>
      <c r="N11561" s="1"/>
      <c r="O11561" s="1"/>
      <c r="P11561" s="1"/>
      <c r="Q11561" s="1"/>
      <c r="R11561" s="1"/>
      <c r="S11561" s="1"/>
      <c r="T11561" s="1"/>
      <c r="U11561" s="1"/>
      <c r="V11561" s="1"/>
      <c r="W11561" s="1"/>
      <c r="X11561" s="1"/>
      <c r="Y11561" s="1"/>
      <c r="Z11561" s="1"/>
      <c r="AA11561" s="1"/>
      <c r="AB11561" s="1"/>
    </row>
    <row r="11562" ht="50.25" customHeight="1">
      <c r="A11562" s="12">
        <v>11558.0</v>
      </c>
      <c r="B11562" s="13" t="s">
        <v>11531</v>
      </c>
      <c r="C11562" s="14" t="s">
        <v>11591</v>
      </c>
      <c r="D11562" s="1"/>
      <c r="E11562" s="1"/>
      <c r="F11562" s="1" t="str">
        <f>IFERROR(__xludf.DUMMYFUNCTION("GOOGLETRANSLATE(B11562, ""en"", ""fa"")
"),"توسعه شخصی")</f>
        <v>توسعه شخصی</v>
      </c>
      <c r="G11562" s="1" t="str">
        <f>IFERROR(__xludf.DUMMYFUNCTION("GOOGLETRANSLATE(C11562, ""en"", ""fa"")
"),"منابع استرس را در زندگی خود شناسایی کنید و راه های مدیریت و کاهش آنها را بررسی کنید.")</f>
        <v>منابع استرس را در زندگی خود شناسایی کنید و راه های مدیریت و کاهش آنها را بررسی کنید.</v>
      </c>
      <c r="H11562" s="1"/>
      <c r="I11562" s="1"/>
      <c r="J11562" s="1"/>
      <c r="K11562" s="1"/>
      <c r="L11562" s="1"/>
      <c r="M11562" s="1"/>
      <c r="N11562" s="1"/>
      <c r="O11562" s="1"/>
      <c r="P11562" s="1"/>
      <c r="Q11562" s="1"/>
      <c r="R11562" s="1"/>
      <c r="S11562" s="1"/>
      <c r="T11562" s="1"/>
      <c r="U11562" s="1"/>
      <c r="V11562" s="1"/>
      <c r="W11562" s="1"/>
      <c r="X11562" s="1"/>
      <c r="Y11562" s="1"/>
      <c r="Z11562" s="1"/>
      <c r="AA11562" s="1"/>
      <c r="AB11562" s="1"/>
    </row>
    <row r="11563" ht="50.25" customHeight="1">
      <c r="A11563" s="12">
        <v>11559.0</v>
      </c>
      <c r="B11563" s="13" t="s">
        <v>11531</v>
      </c>
      <c r="C11563" s="14" t="s">
        <v>11592</v>
      </c>
      <c r="D11563" s="1"/>
      <c r="E11563" s="1"/>
      <c r="F11563" s="1" t="str">
        <f>IFERROR(__xludf.DUMMYFUNCTION("GOOGLETRANSLATE(B11563, ""en"", ""fa"")
"),"توسعه شخصی")</f>
        <v>توسعه شخصی</v>
      </c>
      <c r="G11563" s="1" t="str">
        <f>IFERROR(__xludf.DUMMYFUNCTION("GOOGLETRANSLATE(C11563, ""en"", ""fa"")
"),"مفهوم تعادل کار و زندگی را بررسی کنید و راه هایی برای ایجاد هماهنگی بین زندگی شخصی و حرفه ای بیابید.")</f>
        <v>مفهوم تعادل کار و زندگی را بررسی کنید و راه هایی برای ایجاد هماهنگی بین زندگی شخصی و حرفه ای بیابید.</v>
      </c>
      <c r="H11563" s="1"/>
      <c r="I11563" s="1"/>
      <c r="J11563" s="1"/>
      <c r="K11563" s="1"/>
      <c r="L11563" s="1"/>
      <c r="M11563" s="1"/>
      <c r="N11563" s="1"/>
      <c r="O11563" s="1"/>
      <c r="P11563" s="1"/>
      <c r="Q11563" s="1"/>
      <c r="R11563" s="1"/>
      <c r="S11563" s="1"/>
      <c r="T11563" s="1"/>
      <c r="U11563" s="1"/>
      <c r="V11563" s="1"/>
      <c r="W11563" s="1"/>
      <c r="X11563" s="1"/>
      <c r="Y11563" s="1"/>
      <c r="Z11563" s="1"/>
      <c r="AA11563" s="1"/>
      <c r="AB11563" s="1"/>
    </row>
    <row r="11564" ht="50.25" customHeight="1">
      <c r="A11564" s="12">
        <v>11560.0</v>
      </c>
      <c r="B11564" s="13" t="s">
        <v>11531</v>
      </c>
      <c r="C11564" s="14" t="s">
        <v>11593</v>
      </c>
      <c r="D11564" s="1"/>
      <c r="E11564" s="1"/>
      <c r="F11564" s="1" t="str">
        <f>IFERROR(__xludf.DUMMYFUNCTION("GOOGLETRANSLATE(B11564, ""en"", ""fa"")
"),"توسعه شخصی")</f>
        <v>توسعه شخصی</v>
      </c>
      <c r="G11564" s="1" t="str">
        <f>IFERROR(__xludf.DUMMYFUNCTION("GOOGLETRANSLATE(C11564, ""en"", ""fa"")
"),"به شکست ها یا شکست های گذشته فکر کنید و از آنها به عنوان تجربیات یادگیری برای بهبود و رشد استفاده کنید.")</f>
        <v>به شکست ها یا شکست های گذشته فکر کنید و از آنها به عنوان تجربیات یادگیری برای بهبود و رشد استفاده کنید.</v>
      </c>
      <c r="H11564" s="1"/>
      <c r="I11564" s="1"/>
      <c r="J11564" s="1"/>
      <c r="K11564" s="1"/>
      <c r="L11564" s="1"/>
      <c r="M11564" s="1"/>
      <c r="N11564" s="1"/>
      <c r="O11564" s="1"/>
      <c r="P11564" s="1"/>
      <c r="Q11564" s="1"/>
      <c r="R11564" s="1"/>
      <c r="S11564" s="1"/>
      <c r="T11564" s="1"/>
      <c r="U11564" s="1"/>
      <c r="V11564" s="1"/>
      <c r="W11564" s="1"/>
      <c r="X11564" s="1"/>
      <c r="Y11564" s="1"/>
      <c r="Z11564" s="1"/>
      <c r="AA11564" s="1"/>
      <c r="AB11564" s="1"/>
    </row>
    <row r="11565" ht="50.25" customHeight="1">
      <c r="A11565" s="12">
        <v>11561.0</v>
      </c>
      <c r="B11565" s="13" t="s">
        <v>11531</v>
      </c>
      <c r="C11565" s="14" t="s">
        <v>11594</v>
      </c>
      <c r="D11565" s="1"/>
      <c r="E11565" s="1"/>
      <c r="F11565" s="1" t="str">
        <f>IFERROR(__xludf.DUMMYFUNCTION("GOOGLETRANSLATE(B11565, ""en"", ""fa"")
"),"توسعه شخصی")</f>
        <v>توسعه شخصی</v>
      </c>
      <c r="G11565" s="1" t="str">
        <f>IFERROR(__xludf.DUMMYFUNCTION("GOOGLETRANSLATE(C11565, ""en"", ""fa"")
"),"تمرینات تنفس عمیق یا تمرکز حواس را برای مدیریت استرس و تقویت آرامش تمرین کنید.")</f>
        <v>تمرینات تنفس عمیق یا تمرکز حواس را برای مدیریت استرس و تقویت آرامش تمرین کنید.</v>
      </c>
      <c r="H11565" s="1"/>
      <c r="I11565" s="1"/>
      <c r="J11565" s="1"/>
      <c r="K11565" s="1"/>
      <c r="L11565" s="1"/>
      <c r="M11565" s="1"/>
      <c r="N11565" s="1"/>
      <c r="O11565" s="1"/>
      <c r="P11565" s="1"/>
      <c r="Q11565" s="1"/>
      <c r="R11565" s="1"/>
      <c r="S11565" s="1"/>
      <c r="T11565" s="1"/>
      <c r="U11565" s="1"/>
      <c r="V11565" s="1"/>
      <c r="W11565" s="1"/>
      <c r="X11565" s="1"/>
      <c r="Y11565" s="1"/>
      <c r="Z11565" s="1"/>
      <c r="AA11565" s="1"/>
      <c r="AB11565" s="1"/>
    </row>
    <row r="11566" ht="50.25" customHeight="1">
      <c r="A11566" s="12">
        <v>11562.0</v>
      </c>
      <c r="B11566" s="13" t="s">
        <v>11531</v>
      </c>
      <c r="C11566" s="14" t="s">
        <v>11595</v>
      </c>
      <c r="D11566" s="1"/>
      <c r="E11566" s="1"/>
      <c r="F11566" s="1" t="str">
        <f>IFERROR(__xludf.DUMMYFUNCTION("GOOGLETRANSLATE(B11566, ""en"", ""fa"")
"),"توسعه شخصی")</f>
        <v>توسعه شخصی</v>
      </c>
      <c r="G11566" s="1" t="str">
        <f>IFERROR(__xludf.DUMMYFUNCTION("GOOGLETRANSLATE(C11566, ""en"", ""fa"")
"),"اهداف مشخص و قابل اندازه گیری را برای پیشرفت شخصی تعیین کنید و یک جدول زمانی برای دستیابی به آنها ایجاد کنید.")</f>
        <v>اهداف مشخص و قابل اندازه گیری را برای پیشرفت شخصی تعیین کنید و یک جدول زمانی برای دستیابی به آنها ایجاد کنید.</v>
      </c>
      <c r="H11566" s="1"/>
      <c r="I11566" s="1"/>
      <c r="J11566" s="1"/>
      <c r="K11566" s="1"/>
      <c r="L11566" s="1"/>
      <c r="M11566" s="1"/>
      <c r="N11566" s="1"/>
      <c r="O11566" s="1"/>
      <c r="P11566" s="1"/>
      <c r="Q11566" s="1"/>
      <c r="R11566" s="1"/>
      <c r="S11566" s="1"/>
      <c r="T11566" s="1"/>
      <c r="U11566" s="1"/>
      <c r="V11566" s="1"/>
      <c r="W11566" s="1"/>
      <c r="X11566" s="1"/>
      <c r="Y11566" s="1"/>
      <c r="Z11566" s="1"/>
      <c r="AA11566" s="1"/>
      <c r="AB11566" s="1"/>
    </row>
    <row r="11567" ht="50.25" customHeight="1">
      <c r="A11567" s="12">
        <v>11563.0</v>
      </c>
      <c r="B11567" s="13" t="s">
        <v>11531</v>
      </c>
      <c r="C11567" s="14" t="s">
        <v>11596</v>
      </c>
      <c r="D11567" s="1"/>
      <c r="E11567" s="1"/>
      <c r="F11567" s="1" t="str">
        <f>IFERROR(__xludf.DUMMYFUNCTION("GOOGLETRANSLATE(B11567, ""en"", ""fa"")
"),"توسعه شخصی")</f>
        <v>توسعه شخصی</v>
      </c>
      <c r="G11567" s="1" t="str">
        <f>IFERROR(__xludf.DUMMYFUNCTION("GOOGLETRANSLATE(C11567, ""en"", ""fa"")
"),"الگوهای فکری منفی یا خودگویی را شناسایی کنید و روی بازنگری آنها در یک نور مثبت کار کنید.")</f>
        <v>الگوهای فکری منفی یا خودگویی را شناسایی کنید و روی بازنگری آنها در یک نور مثبت کار کنید.</v>
      </c>
      <c r="H11567" s="1"/>
      <c r="I11567" s="1"/>
      <c r="J11567" s="1"/>
      <c r="K11567" s="1"/>
      <c r="L11567" s="1"/>
      <c r="M11567" s="1"/>
      <c r="N11567" s="1"/>
      <c r="O11567" s="1"/>
      <c r="P11567" s="1"/>
      <c r="Q11567" s="1"/>
      <c r="R11567" s="1"/>
      <c r="S11567" s="1"/>
      <c r="T11567" s="1"/>
      <c r="U11567" s="1"/>
      <c r="V11567" s="1"/>
      <c r="W11567" s="1"/>
      <c r="X11567" s="1"/>
      <c r="Y11567" s="1"/>
      <c r="Z11567" s="1"/>
      <c r="AA11567" s="1"/>
      <c r="AB11567" s="1"/>
    </row>
    <row r="11568" ht="50.25" customHeight="1">
      <c r="A11568" s="12">
        <v>11564.0</v>
      </c>
      <c r="B11568" s="13" t="s">
        <v>11531</v>
      </c>
      <c r="C11568" s="14" t="s">
        <v>11597</v>
      </c>
      <c r="D11568" s="1"/>
      <c r="E11568" s="1"/>
      <c r="F11568" s="1" t="str">
        <f>IFERROR(__xludf.DUMMYFUNCTION("GOOGLETRANSLATE(B11568, ""en"", ""fa"")
"),"توسعه شخصی")</f>
        <v>توسعه شخصی</v>
      </c>
      <c r="G11568" s="1" t="str">
        <f>IFERROR(__xludf.DUMMYFUNCTION("GOOGLETRANSLATE(C11568, ""en"", ""fa"")
"),"تکنیک های مختلف برای بهبود تمرکز و تمرکز، مانند تمرکز حواس یا مدیریت زمان را بررسی کنید.")</f>
        <v>تکنیک های مختلف برای بهبود تمرکز و تمرکز، مانند تمرکز حواس یا مدیریت زمان را بررسی کنید.</v>
      </c>
      <c r="H11568" s="1"/>
      <c r="I11568" s="1"/>
      <c r="J11568" s="1"/>
      <c r="K11568" s="1"/>
      <c r="L11568" s="1"/>
      <c r="M11568" s="1"/>
      <c r="N11568" s="1"/>
      <c r="O11568" s="1"/>
      <c r="P11568" s="1"/>
      <c r="Q11568" s="1"/>
      <c r="R11568" s="1"/>
      <c r="S11568" s="1"/>
      <c r="T11568" s="1"/>
      <c r="U11568" s="1"/>
      <c r="V11568" s="1"/>
      <c r="W11568" s="1"/>
      <c r="X11568" s="1"/>
      <c r="Y11568" s="1"/>
      <c r="Z11568" s="1"/>
      <c r="AA11568" s="1"/>
      <c r="AB11568" s="1"/>
    </row>
    <row r="11569" ht="50.25" customHeight="1">
      <c r="A11569" s="12">
        <v>11565.0</v>
      </c>
      <c r="B11569" s="13" t="s">
        <v>11531</v>
      </c>
      <c r="C11569" s="14" t="s">
        <v>11598</v>
      </c>
      <c r="D11569" s="1"/>
      <c r="E11569" s="1"/>
      <c r="F11569" s="1" t="str">
        <f>IFERROR(__xludf.DUMMYFUNCTION("GOOGLETRANSLATE(B11569, ""en"", ""fa"")
"),"توسعه شخصی")</f>
        <v>توسعه شخصی</v>
      </c>
      <c r="G11569" s="1" t="str">
        <f>IFERROR(__xludf.DUMMYFUNCTION("GOOGLETRANSLATE(C11569, ""en"", ""fa"")
"),"به ارزش ها و اولویت های خود فکر کنید و اقدامات خود را با آنچه واقعاً برای شما مهم است هماهنگ کنید.")</f>
        <v>به ارزش ها و اولویت های خود فکر کنید و اقدامات خود را با آنچه واقعاً برای شما مهم است هماهنگ کنید.</v>
      </c>
      <c r="H11569" s="1"/>
      <c r="I11569" s="1"/>
      <c r="J11569" s="1"/>
      <c r="K11569" s="1"/>
      <c r="L11569" s="1"/>
      <c r="M11569" s="1"/>
      <c r="N11569" s="1"/>
      <c r="O11569" s="1"/>
      <c r="P11569" s="1"/>
      <c r="Q11569" s="1"/>
      <c r="R11569" s="1"/>
      <c r="S11569" s="1"/>
      <c r="T11569" s="1"/>
      <c r="U11569" s="1"/>
      <c r="V11569" s="1"/>
      <c r="W11569" s="1"/>
      <c r="X11569" s="1"/>
      <c r="Y11569" s="1"/>
      <c r="Z11569" s="1"/>
      <c r="AA11569" s="1"/>
      <c r="AB11569" s="1"/>
    </row>
    <row r="11570" ht="50.25" customHeight="1">
      <c r="A11570" s="12">
        <v>11566.0</v>
      </c>
      <c r="B11570" s="13" t="s">
        <v>11531</v>
      </c>
      <c r="C11570" s="14" t="s">
        <v>11599</v>
      </c>
      <c r="D11570" s="1"/>
      <c r="E11570" s="1"/>
      <c r="F11570" s="1" t="str">
        <f>IFERROR(__xludf.DUMMYFUNCTION("GOOGLETRANSLATE(B11570, ""en"", ""fa"")
"),"توسعه شخصی")</f>
        <v>توسعه شخصی</v>
      </c>
      <c r="G11570" s="1" t="str">
        <f>IFERROR(__xludf.DUMMYFUNCTION("GOOGLETRANSLATE(C11570, ""en"", ""fa"")
"),"قدردانی را با نگه داشتن یک دفتر روزانه یا هفتگی قدردانی تمرین کنید.")</f>
        <v>قدردانی را با نگه داشتن یک دفتر روزانه یا هفتگی قدردانی تمرین کنید.</v>
      </c>
      <c r="H11570" s="1"/>
      <c r="I11570" s="1"/>
      <c r="J11570" s="1"/>
      <c r="K11570" s="1"/>
      <c r="L11570" s="1"/>
      <c r="M11570" s="1"/>
      <c r="N11570" s="1"/>
      <c r="O11570" s="1"/>
      <c r="P11570" s="1"/>
      <c r="Q11570" s="1"/>
      <c r="R11570" s="1"/>
      <c r="S11570" s="1"/>
      <c r="T11570" s="1"/>
      <c r="U11570" s="1"/>
      <c r="V11570" s="1"/>
      <c r="W11570" s="1"/>
      <c r="X11570" s="1"/>
      <c r="Y11570" s="1"/>
      <c r="Z11570" s="1"/>
      <c r="AA11570" s="1"/>
      <c r="AB11570" s="1"/>
    </row>
    <row r="11571" ht="50.25" customHeight="1">
      <c r="A11571" s="12">
        <v>11567.0</v>
      </c>
      <c r="B11571" s="13" t="s">
        <v>11531</v>
      </c>
      <c r="C11571" s="14" t="s">
        <v>11600</v>
      </c>
      <c r="D11571" s="1"/>
      <c r="E11571" s="1"/>
      <c r="F11571" s="1" t="str">
        <f>IFERROR(__xludf.DUMMYFUNCTION("GOOGLETRANSLATE(B11571, ""en"", ""fa"")
"),"توسعه شخصی")</f>
        <v>توسعه شخصی</v>
      </c>
      <c r="G11571" s="1" t="str">
        <f>IFERROR(__xludf.DUMMYFUNCTION("GOOGLETRANSLATE(C11571, ""en"", ""fa"")
"),"برای محافظت از رفاه خود، با روابط یا محیط های سمی مرزبندی کنید.")</f>
        <v>برای محافظت از رفاه خود، با روابط یا محیط های سمی مرزبندی کنید.</v>
      </c>
      <c r="H11571" s="1"/>
      <c r="I11571" s="1"/>
      <c r="J11571" s="1"/>
      <c r="K11571" s="1"/>
      <c r="L11571" s="1"/>
      <c r="M11571" s="1"/>
      <c r="N11571" s="1"/>
      <c r="O11571" s="1"/>
      <c r="P11571" s="1"/>
      <c r="Q11571" s="1"/>
      <c r="R11571" s="1"/>
      <c r="S11571" s="1"/>
      <c r="T11571" s="1"/>
      <c r="U11571" s="1"/>
      <c r="V11571" s="1"/>
      <c r="W11571" s="1"/>
      <c r="X11571" s="1"/>
      <c r="Y11571" s="1"/>
      <c r="Z11571" s="1"/>
      <c r="AA11571" s="1"/>
      <c r="AB11571" s="1"/>
    </row>
    <row r="11572" ht="50.25" customHeight="1">
      <c r="A11572" s="12">
        <v>11568.0</v>
      </c>
      <c r="B11572" s="13" t="s">
        <v>11531</v>
      </c>
      <c r="C11572" s="14" t="s">
        <v>11601</v>
      </c>
      <c r="D11572" s="1"/>
      <c r="E11572" s="1"/>
      <c r="F11572" s="1" t="str">
        <f>IFERROR(__xludf.DUMMYFUNCTION("GOOGLETRANSLATE(B11572, ""en"", ""fa"")
"),"توسعه شخصی")</f>
        <v>توسعه شخصی</v>
      </c>
      <c r="G11572" s="1" t="str">
        <f>IFERROR(__xludf.DUMMYFUNCTION("GOOGLETRANSLATE(C11572, ""en"", ""fa"")
"),"عادات یا رفتارهایی را که ممکن است مانع رشد شما شوند را شناسایی کنید و روی تغییر آنها کار کنید.")</f>
        <v>عادات یا رفتارهایی را که ممکن است مانع رشد شما شوند را شناسایی کنید و روی تغییر آنها کار کنید.</v>
      </c>
      <c r="H11572" s="1"/>
      <c r="I11572" s="1"/>
      <c r="J11572" s="1"/>
      <c r="K11572" s="1"/>
      <c r="L11572" s="1"/>
      <c r="M11572" s="1"/>
      <c r="N11572" s="1"/>
      <c r="O11572" s="1"/>
      <c r="P11572" s="1"/>
      <c r="Q11572" s="1"/>
      <c r="R11572" s="1"/>
      <c r="S11572" s="1"/>
      <c r="T11572" s="1"/>
      <c r="U11572" s="1"/>
      <c r="V11572" s="1"/>
      <c r="W11572" s="1"/>
      <c r="X11572" s="1"/>
      <c r="Y11572" s="1"/>
      <c r="Z11572" s="1"/>
      <c r="AA11572" s="1"/>
      <c r="AB11572" s="1"/>
    </row>
    <row r="11573" ht="50.25" customHeight="1">
      <c r="A11573" s="12">
        <v>11569.0</v>
      </c>
      <c r="B11573" s="13" t="s">
        <v>11531</v>
      </c>
      <c r="C11573" s="14" t="s">
        <v>11602</v>
      </c>
      <c r="D11573" s="1"/>
      <c r="E11573" s="1"/>
      <c r="F11573" s="1" t="str">
        <f>IFERROR(__xludf.DUMMYFUNCTION("GOOGLETRANSLATE(B11573, ""en"", ""fa"")
"),"توسعه شخصی")</f>
        <v>توسعه شخصی</v>
      </c>
      <c r="G11573" s="1" t="str">
        <f>IFERROR(__xludf.DUMMYFUNCTION("GOOGLETRANSLATE(C11573, ""en"", ""fa"")
"),"مفهوم شفقت به خود را کاوش کنید و تمرین کنید که نسبت به خودتان مهربان و فهمیده باشید.")</f>
        <v>مفهوم شفقت به خود را کاوش کنید و تمرین کنید که نسبت به خودتان مهربان و فهمیده باشید.</v>
      </c>
      <c r="H11573" s="1"/>
      <c r="I11573" s="1"/>
      <c r="J11573" s="1"/>
      <c r="K11573" s="1"/>
      <c r="L11573" s="1"/>
      <c r="M11573" s="1"/>
      <c r="N11573" s="1"/>
      <c r="O11573" s="1"/>
      <c r="P11573" s="1"/>
      <c r="Q11573" s="1"/>
      <c r="R11573" s="1"/>
      <c r="S11573" s="1"/>
      <c r="T11573" s="1"/>
      <c r="U11573" s="1"/>
      <c r="V11573" s="1"/>
      <c r="W11573" s="1"/>
      <c r="X11573" s="1"/>
      <c r="Y11573" s="1"/>
      <c r="Z11573" s="1"/>
      <c r="AA11573" s="1"/>
      <c r="AB11573" s="1"/>
    </row>
    <row r="11574" ht="50.25" customHeight="1">
      <c r="A11574" s="12">
        <v>11570.0</v>
      </c>
      <c r="B11574" s="13" t="s">
        <v>11531</v>
      </c>
      <c r="C11574" s="14" t="s">
        <v>11603</v>
      </c>
      <c r="D11574" s="1"/>
      <c r="E11574" s="1"/>
      <c r="F11574" s="1" t="str">
        <f>IFERROR(__xludf.DUMMYFUNCTION("GOOGLETRANSLATE(B11574, ""en"", ""fa"")
"),"توسعه شخصی")</f>
        <v>توسعه شخصی</v>
      </c>
      <c r="G11574" s="1" t="str">
        <f>IFERROR(__xludf.DUMMYFUNCTION("GOOGLETRANSLATE(C11574, ""en"", ""fa"")
"),"به نقاط قوت شخصی خود فکر کنید و راه هایی برای استفاده از آنها در شغل یا زندگی روزمره خود بیابید.")</f>
        <v>به نقاط قوت شخصی خود فکر کنید و راه هایی برای استفاده از آنها در شغل یا زندگی روزمره خود بیابید.</v>
      </c>
      <c r="H11574" s="1"/>
      <c r="I11574" s="1"/>
      <c r="J11574" s="1"/>
      <c r="K11574" s="1"/>
      <c r="L11574" s="1"/>
      <c r="M11574" s="1"/>
      <c r="N11574" s="1"/>
      <c r="O11574" s="1"/>
      <c r="P11574" s="1"/>
      <c r="Q11574" s="1"/>
      <c r="R11574" s="1"/>
      <c r="S11574" s="1"/>
      <c r="T11574" s="1"/>
      <c r="U11574" s="1"/>
      <c r="V11574" s="1"/>
      <c r="W11574" s="1"/>
      <c r="X11574" s="1"/>
      <c r="Y11574" s="1"/>
      <c r="Z11574" s="1"/>
      <c r="AA11574" s="1"/>
      <c r="AB11574" s="1"/>
    </row>
    <row r="11575" ht="50.25" customHeight="1">
      <c r="A11575" s="12">
        <v>11571.0</v>
      </c>
      <c r="B11575" s="13" t="s">
        <v>11531</v>
      </c>
      <c r="C11575" s="14" t="s">
        <v>11604</v>
      </c>
      <c r="D11575" s="1"/>
      <c r="E11575" s="1"/>
      <c r="F11575" s="1" t="str">
        <f>IFERROR(__xludf.DUMMYFUNCTION("GOOGLETRANSLATE(B11575, ""en"", ""fa"")
"),"توسعه شخصی")</f>
        <v>توسعه شخصی</v>
      </c>
      <c r="G11575" s="1" t="str">
        <f>IFERROR(__xludf.DUMMYFUNCTION("GOOGLETRANSLATE(C11575, ""en"", ""fa"")
"),"تجسم سازی را تمرین کنید تا آینده ایده آل خود را تصور و آشکار کنید.")</f>
        <v>تجسم سازی را تمرین کنید تا آینده ایده آل خود را تصور و آشکار کنید.</v>
      </c>
      <c r="H11575" s="1"/>
      <c r="I11575" s="1"/>
      <c r="J11575" s="1"/>
      <c r="K11575" s="1"/>
      <c r="L11575" s="1"/>
      <c r="M11575" s="1"/>
      <c r="N11575" s="1"/>
      <c r="O11575" s="1"/>
      <c r="P11575" s="1"/>
      <c r="Q11575" s="1"/>
      <c r="R11575" s="1"/>
      <c r="S11575" s="1"/>
      <c r="T11575" s="1"/>
      <c r="U11575" s="1"/>
      <c r="V11575" s="1"/>
      <c r="W11575" s="1"/>
      <c r="X11575" s="1"/>
      <c r="Y11575" s="1"/>
      <c r="Z11575" s="1"/>
      <c r="AA11575" s="1"/>
      <c r="AB11575" s="1"/>
    </row>
    <row r="11576" ht="50.25" customHeight="1">
      <c r="A11576" s="12">
        <v>11572.0</v>
      </c>
      <c r="B11576" s="13" t="s">
        <v>11531</v>
      </c>
      <c r="C11576" s="14" t="s">
        <v>11605</v>
      </c>
      <c r="D11576" s="1"/>
      <c r="E11576" s="1"/>
      <c r="F11576" s="1" t="str">
        <f>IFERROR(__xludf.DUMMYFUNCTION("GOOGLETRANSLATE(B11576, ""en"", ""fa"")
"),"توسعه شخصی")</f>
        <v>توسعه شخصی</v>
      </c>
      <c r="G11576" s="1" t="str">
        <f>IFERROR(__xludf.DUMMYFUNCTION("GOOGLETRANSLATE(C11576, ""en"", ""fa"")
"),"اهداف واقع بینانه و قابل دستیابی را برای پیشرفت شخصی تعیین کنید و پیشرفت خود را به طور منظم پیگیری کنید.")</f>
        <v>اهداف واقع بینانه و قابل دستیابی را برای پیشرفت شخصی تعیین کنید و پیشرفت خود را به طور منظم پیگیری کنید.</v>
      </c>
      <c r="H11576" s="1"/>
      <c r="I11576" s="1"/>
      <c r="J11576" s="1"/>
      <c r="K11576" s="1"/>
      <c r="L11576" s="1"/>
      <c r="M11576" s="1"/>
      <c r="N11576" s="1"/>
      <c r="O11576" s="1"/>
      <c r="P11576" s="1"/>
      <c r="Q11576" s="1"/>
      <c r="R11576" s="1"/>
      <c r="S11576" s="1"/>
      <c r="T11576" s="1"/>
      <c r="U11576" s="1"/>
      <c r="V11576" s="1"/>
      <c r="W11576" s="1"/>
      <c r="X11576" s="1"/>
      <c r="Y11576" s="1"/>
      <c r="Z11576" s="1"/>
      <c r="AA11576" s="1"/>
      <c r="AB11576" s="1"/>
    </row>
    <row r="11577" ht="50.25" customHeight="1">
      <c r="A11577" s="12">
        <v>11573.0</v>
      </c>
      <c r="B11577" s="13" t="s">
        <v>11531</v>
      </c>
      <c r="C11577" s="14" t="s">
        <v>11606</v>
      </c>
      <c r="D11577" s="1"/>
      <c r="E11577" s="1"/>
      <c r="F11577" s="1" t="str">
        <f>IFERROR(__xludf.DUMMYFUNCTION("GOOGLETRANSLATE(B11577, ""en"", ""fa"")
"),"توسعه شخصی")</f>
        <v>توسعه شخصی</v>
      </c>
      <c r="G11577" s="1" t="str">
        <f>IFERROR(__xludf.DUMMYFUNCTION("GOOGLETRANSLATE(C11577, ""en"", ""fa"")
"),"منابع استرس را در زندگی خود شناسایی کنید و مکانیسم های مقابله ای سالم مانند ورزش یا فعالیت های خلاقانه را کشف کنید.")</f>
        <v>منابع استرس را در زندگی خود شناسایی کنید و مکانیسم های مقابله ای سالم مانند ورزش یا فعالیت های خلاقانه را کشف کنید.</v>
      </c>
      <c r="H11577" s="1"/>
      <c r="I11577" s="1"/>
      <c r="J11577" s="1"/>
      <c r="K11577" s="1"/>
      <c r="L11577" s="1"/>
      <c r="M11577" s="1"/>
      <c r="N11577" s="1"/>
      <c r="O11577" s="1"/>
      <c r="P11577" s="1"/>
      <c r="Q11577" s="1"/>
      <c r="R11577" s="1"/>
      <c r="S11577" s="1"/>
      <c r="T11577" s="1"/>
      <c r="U11577" s="1"/>
      <c r="V11577" s="1"/>
      <c r="W11577" s="1"/>
      <c r="X11577" s="1"/>
      <c r="Y11577" s="1"/>
      <c r="Z11577" s="1"/>
      <c r="AA11577" s="1"/>
      <c r="AB11577" s="1"/>
    </row>
    <row r="11578" ht="50.25" customHeight="1">
      <c r="A11578" s="12">
        <v>11574.0</v>
      </c>
      <c r="B11578" s="13" t="s">
        <v>11531</v>
      </c>
      <c r="C11578" s="14" t="s">
        <v>11607</v>
      </c>
      <c r="D11578" s="1"/>
      <c r="E11578" s="1"/>
      <c r="F11578" s="1" t="str">
        <f>IFERROR(__xludf.DUMMYFUNCTION("GOOGLETRANSLATE(B11578, ""en"", ""fa"")
"),"توسعه شخصی")</f>
        <v>توسعه شخصی</v>
      </c>
      <c r="G11578" s="1" t="str">
        <f>IFERROR(__xludf.DUMMYFUNCTION("GOOGLETRANSLATE(C11578, ""en"", ""fa"")
"),"مزایای مدیتیشن ذهن آگاهی و اینکه چگونه می تواند بهزیستی ذهنی شما را بهبود بخشد را بررسی کنید.")</f>
        <v>مزایای مدیتیشن ذهن آگاهی و اینکه چگونه می تواند بهزیستی ذهنی شما را بهبود بخشد را بررسی کنید.</v>
      </c>
      <c r="H11578" s="1"/>
      <c r="I11578" s="1"/>
      <c r="J11578" s="1"/>
      <c r="K11578" s="1"/>
      <c r="L11578" s="1"/>
      <c r="M11578" s="1"/>
      <c r="N11578" s="1"/>
      <c r="O11578" s="1"/>
      <c r="P11578" s="1"/>
      <c r="Q11578" s="1"/>
      <c r="R11578" s="1"/>
      <c r="S11578" s="1"/>
      <c r="T11578" s="1"/>
      <c r="U11578" s="1"/>
      <c r="V11578" s="1"/>
      <c r="W11578" s="1"/>
      <c r="X11578" s="1"/>
      <c r="Y11578" s="1"/>
      <c r="Z11578" s="1"/>
      <c r="AA11578" s="1"/>
      <c r="AB11578" s="1"/>
    </row>
    <row r="11579" ht="50.25" customHeight="1">
      <c r="A11579" s="12">
        <v>11575.0</v>
      </c>
      <c r="B11579" s="13" t="s">
        <v>11531</v>
      </c>
      <c r="C11579" s="14" t="s">
        <v>11608</v>
      </c>
      <c r="D11579" s="1"/>
      <c r="E11579" s="1"/>
      <c r="F11579" s="1" t="str">
        <f>IFERROR(__xludf.DUMMYFUNCTION("GOOGLETRANSLATE(B11579, ""en"", ""fa"")
"),"توسعه شخصی")</f>
        <v>توسعه شخصی</v>
      </c>
      <c r="G11579" s="1" t="str">
        <f>IFERROR(__xludf.DUMMYFUNCTION("GOOGLETRANSLATE(C11579, ""en"", ""fa"")
"),"به ارزش های اصلی خود و اینکه چگونه آنها تصمیمات و اقدامات شما را هدایت می کنند فکر کنید.")</f>
        <v>به ارزش های اصلی خود و اینکه چگونه آنها تصمیمات و اقدامات شما را هدایت می کنند فکر کنید.</v>
      </c>
      <c r="H11579" s="1"/>
      <c r="I11579" s="1"/>
      <c r="J11579" s="1"/>
      <c r="K11579" s="1"/>
      <c r="L11579" s="1"/>
      <c r="M11579" s="1"/>
      <c r="N11579" s="1"/>
      <c r="O11579" s="1"/>
      <c r="P11579" s="1"/>
      <c r="Q11579" s="1"/>
      <c r="R11579" s="1"/>
      <c r="S11579" s="1"/>
      <c r="T11579" s="1"/>
      <c r="U11579" s="1"/>
      <c r="V11579" s="1"/>
      <c r="W11579" s="1"/>
      <c r="X11579" s="1"/>
      <c r="Y11579" s="1"/>
      <c r="Z11579" s="1"/>
      <c r="AA11579" s="1"/>
      <c r="AB11579" s="1"/>
    </row>
    <row r="11580" ht="50.25" customHeight="1">
      <c r="A11580" s="12">
        <v>11576.0</v>
      </c>
      <c r="B11580" s="13" t="s">
        <v>11531</v>
      </c>
      <c r="C11580" s="14" t="s">
        <v>11590</v>
      </c>
      <c r="D11580" s="1"/>
      <c r="E11580" s="1"/>
      <c r="F11580" s="1" t="str">
        <f>IFERROR(__xludf.DUMMYFUNCTION("GOOGLETRANSLATE(B11580, ""en"", ""fa"")
"),"توسعه شخصی")</f>
        <v>توسعه شخصی</v>
      </c>
      <c r="G11580" s="1" t="str">
        <f>IFERROR(__xludf.DUMMYFUNCTION("GOOGLETRANSLATE(C11580, ""en"", ""fa"")
"),"قدردانی را با ابراز قدردانی از افراد و تجربیات زندگی خود تمرین کنید.")</f>
        <v>قدردانی را با ابراز قدردانی از افراد و تجربیات زندگی خود تمرین کنید.</v>
      </c>
      <c r="H11580" s="1"/>
      <c r="I11580" s="1"/>
      <c r="J11580" s="1"/>
      <c r="K11580" s="1"/>
      <c r="L11580" s="1"/>
      <c r="M11580" s="1"/>
      <c r="N11580" s="1"/>
      <c r="O11580" s="1"/>
      <c r="P11580" s="1"/>
      <c r="Q11580" s="1"/>
      <c r="R11580" s="1"/>
      <c r="S11580" s="1"/>
      <c r="T11580" s="1"/>
      <c r="U11580" s="1"/>
      <c r="V11580" s="1"/>
      <c r="W11580" s="1"/>
      <c r="X11580" s="1"/>
      <c r="Y11580" s="1"/>
      <c r="Z11580" s="1"/>
      <c r="AA11580" s="1"/>
      <c r="AB11580" s="1"/>
    </row>
    <row r="11581" ht="50.25" customHeight="1">
      <c r="A11581" s="12">
        <v>11577.0</v>
      </c>
      <c r="B11581" s="13" t="s">
        <v>11531</v>
      </c>
      <c r="C11581" s="14" t="s">
        <v>11533</v>
      </c>
      <c r="D11581" s="1"/>
      <c r="E11581" s="1"/>
      <c r="F11581" s="1" t="str">
        <f>IFERROR(__xludf.DUMMYFUNCTION("GOOGLETRANSLATE(B11581, ""en"", ""fa"")
"),"توسعه شخصی")</f>
        <v>توسعه شخصی</v>
      </c>
      <c r="G11581" s="1" t="str">
        <f>IFERROR(__xludf.DUMMYFUNCTION("GOOGLETRANSLATE(C11581, ""en"", ""fa"")
"),"اهداف کوتاه مدت و بلند مدت مشخص و قابل دستیابی را برای رشد شخصی تعیین کنید.")</f>
        <v>اهداف کوتاه مدت و بلند مدت مشخص و قابل دستیابی را برای رشد شخصی تعیین کنید.</v>
      </c>
      <c r="H11581" s="1"/>
      <c r="I11581" s="1"/>
      <c r="J11581" s="1"/>
      <c r="K11581" s="1"/>
      <c r="L11581" s="1"/>
      <c r="M11581" s="1"/>
      <c r="N11581" s="1"/>
      <c r="O11581" s="1"/>
      <c r="P11581" s="1"/>
      <c r="Q11581" s="1"/>
      <c r="R11581" s="1"/>
      <c r="S11581" s="1"/>
      <c r="T11581" s="1"/>
      <c r="U11581" s="1"/>
      <c r="V11581" s="1"/>
      <c r="W11581" s="1"/>
      <c r="X11581" s="1"/>
      <c r="Y11581" s="1"/>
      <c r="Z11581" s="1"/>
      <c r="AA11581" s="1"/>
      <c r="AB11581" s="1"/>
    </row>
    <row r="11582" ht="50.25" customHeight="1">
      <c r="A11582" s="12">
        <v>11578.0</v>
      </c>
      <c r="B11582" s="13" t="s">
        <v>11531</v>
      </c>
      <c r="C11582" s="14" t="s">
        <v>11534</v>
      </c>
      <c r="D11582" s="1"/>
      <c r="E11582" s="1"/>
      <c r="F11582" s="1" t="str">
        <f>IFERROR(__xludf.DUMMYFUNCTION("GOOGLETRANSLATE(B11582, ""en"", ""fa"")
"),"توسعه شخصی")</f>
        <v>توسعه شخصی</v>
      </c>
      <c r="G11582" s="1" t="str">
        <f>IFERROR(__xludf.DUMMYFUNCTION("GOOGLETRANSLATE(C11582, ""en"", ""fa"")
"),"نقاط قوت و زمینه های بهبود خود را شناسایی کنید و یک برنامه عمل برای بهبود خود ایجاد کنید.")</f>
        <v>نقاط قوت و زمینه های بهبود خود را شناسایی کنید و یک برنامه عمل برای بهبود خود ایجاد کنید.</v>
      </c>
      <c r="H11582" s="1"/>
      <c r="I11582" s="1"/>
      <c r="J11582" s="1"/>
      <c r="K11582" s="1"/>
      <c r="L11582" s="1"/>
      <c r="M11582" s="1"/>
      <c r="N11582" s="1"/>
      <c r="O11582" s="1"/>
      <c r="P11582" s="1"/>
      <c r="Q11582" s="1"/>
      <c r="R11582" s="1"/>
      <c r="S11582" s="1"/>
      <c r="T11582" s="1"/>
      <c r="U11582" s="1"/>
      <c r="V11582" s="1"/>
      <c r="W11582" s="1"/>
      <c r="X11582" s="1"/>
      <c r="Y11582" s="1"/>
      <c r="Z11582" s="1"/>
      <c r="AA11582" s="1"/>
      <c r="AB11582" s="1"/>
    </row>
    <row r="11583" ht="50.25" customHeight="1">
      <c r="A11583" s="12">
        <v>11579.0</v>
      </c>
      <c r="B11583" s="13" t="s">
        <v>11531</v>
      </c>
      <c r="C11583" s="14" t="s">
        <v>11535</v>
      </c>
      <c r="D11583" s="1"/>
      <c r="E11583" s="1"/>
      <c r="F11583" s="1" t="str">
        <f>IFERROR(__xludf.DUMMYFUNCTION("GOOGLETRANSLATE(B11583, ""en"", ""fa"")
"),"توسعه شخصی")</f>
        <v>توسعه شخصی</v>
      </c>
      <c r="G11583" s="1" t="str">
        <f>IFERROR(__xludf.DUMMYFUNCTION("GOOGLETRANSLATE(C11583, ""en"", ""fa"")
"),"برای کاهش استرس و افزایش تمرکز، تمرین‌های تمرکز حواس مانند مدیتیشن و تنفس عمیق را بررسی کنید.")</f>
        <v>برای کاهش استرس و افزایش تمرکز، تمرین‌های تمرکز حواس مانند مدیتیشن و تنفس عمیق را بررسی کنید.</v>
      </c>
      <c r="H11583" s="1"/>
      <c r="I11583" s="1"/>
      <c r="J11583" s="1"/>
      <c r="K11583" s="1"/>
      <c r="L11583" s="1"/>
      <c r="M11583" s="1"/>
      <c r="N11583" s="1"/>
      <c r="O11583" s="1"/>
      <c r="P11583" s="1"/>
      <c r="Q11583" s="1"/>
      <c r="R11583" s="1"/>
      <c r="S11583" s="1"/>
      <c r="T11583" s="1"/>
      <c r="U11583" s="1"/>
      <c r="V11583" s="1"/>
      <c r="W11583" s="1"/>
      <c r="X11583" s="1"/>
      <c r="Y11583" s="1"/>
      <c r="Z11583" s="1"/>
      <c r="AA11583" s="1"/>
      <c r="AB11583" s="1"/>
    </row>
    <row r="11584" ht="50.25" customHeight="1">
      <c r="A11584" s="12">
        <v>11580.0</v>
      </c>
      <c r="B11584" s="13" t="s">
        <v>11531</v>
      </c>
      <c r="C11584" s="14" t="s">
        <v>11536</v>
      </c>
      <c r="D11584" s="1"/>
      <c r="E11584" s="1"/>
      <c r="F11584" s="1" t="str">
        <f>IFERROR(__xludf.DUMMYFUNCTION("GOOGLETRANSLATE(B11584, ""en"", ""fa"")
"),"توسعه شخصی")</f>
        <v>توسعه شخصی</v>
      </c>
      <c r="G11584" s="1" t="str">
        <f>IFERROR(__xludf.DUMMYFUNCTION("GOOGLETRANSLATE(C11584, ""en"", ""fa"")
"),"در مورد چالش های گذشته و اینکه چگونه آنها به انعطاف پذیری و قدرت شخصی شما کمک کرده اند فکر کنید.")</f>
        <v>در مورد چالش های گذشته و اینکه چگونه آنها به انعطاف پذیری و قدرت شخصی شما کمک کرده اند فکر کنید.</v>
      </c>
      <c r="H11584" s="1"/>
      <c r="I11584" s="1"/>
      <c r="J11584" s="1"/>
      <c r="K11584" s="1"/>
      <c r="L11584" s="1"/>
      <c r="M11584" s="1"/>
      <c r="N11584" s="1"/>
      <c r="O11584" s="1"/>
      <c r="P11584" s="1"/>
      <c r="Q11584" s="1"/>
      <c r="R11584" s="1"/>
      <c r="S11584" s="1"/>
      <c r="T11584" s="1"/>
      <c r="U11584" s="1"/>
      <c r="V11584" s="1"/>
      <c r="W11584" s="1"/>
      <c r="X11584" s="1"/>
      <c r="Y11584" s="1"/>
      <c r="Z11584" s="1"/>
      <c r="AA11584" s="1"/>
      <c r="AB11584" s="1"/>
    </row>
    <row r="11585" ht="50.25" customHeight="1">
      <c r="A11585" s="12">
        <v>11581.0</v>
      </c>
      <c r="B11585" s="13" t="s">
        <v>11531</v>
      </c>
      <c r="C11585" s="14" t="s">
        <v>11537</v>
      </c>
      <c r="D11585" s="1"/>
      <c r="E11585" s="1"/>
      <c r="F11585" s="1" t="str">
        <f>IFERROR(__xludf.DUMMYFUNCTION("GOOGLETRANSLATE(B11585, ""en"", ""fa"")
"),"توسعه شخصی")</f>
        <v>توسعه شخصی</v>
      </c>
      <c r="G11585" s="1" t="str">
        <f>IFERROR(__xludf.DUMMYFUNCTION("GOOGLETRANSLATE(C11585, ""en"", ""fa"")
"),"برای قدردانی از جنبه های مثبت زندگی خود، تمرین قدردانی روزانه را توسعه دهید.")</f>
        <v>برای قدردانی از جنبه های مثبت زندگی خود، تمرین قدردانی روزانه را توسعه دهید.</v>
      </c>
      <c r="H11585" s="1"/>
      <c r="I11585" s="1"/>
      <c r="J11585" s="1"/>
      <c r="K11585" s="1"/>
      <c r="L11585" s="1"/>
      <c r="M11585" s="1"/>
      <c r="N11585" s="1"/>
      <c r="O11585" s="1"/>
      <c r="P11585" s="1"/>
      <c r="Q11585" s="1"/>
      <c r="R11585" s="1"/>
      <c r="S11585" s="1"/>
      <c r="T11585" s="1"/>
      <c r="U11585" s="1"/>
      <c r="V11585" s="1"/>
      <c r="W11585" s="1"/>
      <c r="X11585" s="1"/>
      <c r="Y11585" s="1"/>
      <c r="Z11585" s="1"/>
      <c r="AA11585" s="1"/>
      <c r="AB11585" s="1"/>
    </row>
    <row r="11586" ht="50.25" customHeight="1">
      <c r="A11586" s="12">
        <v>11582.0</v>
      </c>
      <c r="B11586" s="13" t="s">
        <v>11531</v>
      </c>
      <c r="C11586" s="14" t="s">
        <v>11538</v>
      </c>
      <c r="D11586" s="1"/>
      <c r="E11586" s="1"/>
      <c r="F11586" s="1" t="str">
        <f>IFERROR(__xludf.DUMMYFUNCTION("GOOGLETRANSLATE(B11586, ""en"", ""fa"")
"),"توسعه شخصی")</f>
        <v>توسعه شخصی</v>
      </c>
      <c r="G11586" s="1" t="str">
        <f>IFERROR(__xludf.DUMMYFUNCTION("GOOGLETRANSLATE(C11586, ""en"", ""fa"")
"),"تکنیک های مختلف مدیریت زمان را برای بهینه سازی بهره وری و دستیابی به تعادل بهتر بین کار و زندگی کاوش کنید.")</f>
        <v>تکنیک های مختلف مدیریت زمان را برای بهینه سازی بهره وری و دستیابی به تعادل بهتر بین کار و زندگی کاوش کنید.</v>
      </c>
      <c r="H11586" s="1"/>
      <c r="I11586" s="1"/>
      <c r="J11586" s="1"/>
      <c r="K11586" s="1"/>
      <c r="L11586" s="1"/>
      <c r="M11586" s="1"/>
      <c r="N11586" s="1"/>
      <c r="O11586" s="1"/>
      <c r="P11586" s="1"/>
      <c r="Q11586" s="1"/>
      <c r="R11586" s="1"/>
      <c r="S11586" s="1"/>
      <c r="T11586" s="1"/>
      <c r="U11586" s="1"/>
      <c r="V11586" s="1"/>
      <c r="W11586" s="1"/>
      <c r="X11586" s="1"/>
      <c r="Y11586" s="1"/>
      <c r="Z11586" s="1"/>
      <c r="AA11586" s="1"/>
      <c r="AB11586" s="1"/>
    </row>
    <row r="11587" ht="50.25" customHeight="1">
      <c r="A11587" s="12">
        <v>11583.0</v>
      </c>
      <c r="B11587" s="13" t="s">
        <v>11531</v>
      </c>
      <c r="C11587" s="14" t="s">
        <v>11539</v>
      </c>
      <c r="D11587" s="1"/>
      <c r="E11587" s="1"/>
      <c r="F11587" s="1" t="str">
        <f>IFERROR(__xludf.DUMMYFUNCTION("GOOGLETRANSLATE(B11587, ""en"", ""fa"")
"),"توسعه شخصی")</f>
        <v>توسعه شخصی</v>
      </c>
      <c r="G11587" s="1" t="str">
        <f>IFERROR(__xludf.DUMMYFUNCTION("GOOGLETRANSLATE(C11587, ""en"", ""fa"")
"),"خود را به چالش بکشید تا از منطقه راحتی خود خارج شوید و فرصت های جدیدی را برای رشد در آغوش بگیرید.")</f>
        <v>خود را به چالش بکشید تا از منطقه راحتی خود خارج شوید و فرصت های جدیدی را برای رشد در آغوش بگیرید.</v>
      </c>
      <c r="H11587" s="1"/>
      <c r="I11587" s="1"/>
      <c r="J11587" s="1"/>
      <c r="K11587" s="1"/>
      <c r="L11587" s="1"/>
      <c r="M11587" s="1"/>
      <c r="N11587" s="1"/>
      <c r="O11587" s="1"/>
      <c r="P11587" s="1"/>
      <c r="Q11587" s="1"/>
      <c r="R11587" s="1"/>
      <c r="S11587" s="1"/>
      <c r="T11587" s="1"/>
      <c r="U11587" s="1"/>
      <c r="V11587" s="1"/>
      <c r="W11587" s="1"/>
      <c r="X11587" s="1"/>
      <c r="Y11587" s="1"/>
      <c r="Z11587" s="1"/>
      <c r="AA11587" s="1"/>
      <c r="AB11587" s="1"/>
    </row>
    <row r="11588" ht="50.25" customHeight="1">
      <c r="A11588" s="12">
        <v>11584.0</v>
      </c>
      <c r="B11588" s="13" t="s">
        <v>11531</v>
      </c>
      <c r="C11588" s="14" t="s">
        <v>11540</v>
      </c>
      <c r="D11588" s="1"/>
      <c r="E11588" s="1"/>
      <c r="F11588" s="1" t="str">
        <f>IFERROR(__xludf.DUMMYFUNCTION("GOOGLETRANSLATE(B11588, ""en"", ""fa"")
"),"توسعه شخصی")</f>
        <v>توسعه شخصی</v>
      </c>
      <c r="G11588" s="1" t="str">
        <f>IFERROR(__xludf.DUMMYFUNCTION("GOOGLETRANSLATE(C11588, ""en"", ""fa"")
"),"الگوهای افکار منفی را شناسایی کنید و آنها را با جملات تاکیدی مثبت جایگزین کنید.")</f>
        <v>الگوهای افکار منفی را شناسایی کنید و آنها را با جملات تاکیدی مثبت جایگزین کنید.</v>
      </c>
      <c r="H11588" s="1"/>
      <c r="I11588" s="1"/>
      <c r="J11588" s="1"/>
      <c r="K11588" s="1"/>
      <c r="L11588" s="1"/>
      <c r="M11588" s="1"/>
      <c r="N11588" s="1"/>
      <c r="O11588" s="1"/>
      <c r="P11588" s="1"/>
      <c r="Q11588" s="1"/>
      <c r="R11588" s="1"/>
      <c r="S11588" s="1"/>
      <c r="T11588" s="1"/>
      <c r="U11588" s="1"/>
      <c r="V11588" s="1"/>
      <c r="W11588" s="1"/>
      <c r="X11588" s="1"/>
      <c r="Y11588" s="1"/>
      <c r="Z11588" s="1"/>
      <c r="AA11588" s="1"/>
      <c r="AB11588" s="1"/>
    </row>
    <row r="11589" ht="50.25" customHeight="1">
      <c r="A11589" s="12">
        <v>11585.0</v>
      </c>
      <c r="B11589" s="13" t="s">
        <v>11531</v>
      </c>
      <c r="C11589" s="14" t="s">
        <v>11541</v>
      </c>
      <c r="D11589" s="1"/>
      <c r="E11589" s="1"/>
      <c r="F11589" s="1" t="str">
        <f>IFERROR(__xludf.DUMMYFUNCTION("GOOGLETRANSLATE(B11589, ""en"", ""fa"")
"),"توسعه شخصی")</f>
        <v>توسعه شخصی</v>
      </c>
      <c r="G11589" s="1" t="str">
        <f>IFERROR(__xludf.DUMMYFUNCTION("GOOGLETRANSLATE(C11589, ""en"", ""fa"")
"),"برای بهبود مهارت های ارتباطی و ایجاد روابط معنادار، گوش دادن فعال را تمرین کنید.")</f>
        <v>برای بهبود مهارت های ارتباطی و ایجاد روابط معنادار، گوش دادن فعال را تمرین کنید.</v>
      </c>
      <c r="H11589" s="1"/>
      <c r="I11589" s="1"/>
      <c r="J11589" s="1"/>
      <c r="K11589" s="1"/>
      <c r="L11589" s="1"/>
      <c r="M11589" s="1"/>
      <c r="N11589" s="1"/>
      <c r="O11589" s="1"/>
      <c r="P11589" s="1"/>
      <c r="Q11589" s="1"/>
      <c r="R11589" s="1"/>
      <c r="S11589" s="1"/>
      <c r="T11589" s="1"/>
      <c r="U11589" s="1"/>
      <c r="V11589" s="1"/>
      <c r="W11589" s="1"/>
      <c r="X11589" s="1"/>
      <c r="Y11589" s="1"/>
      <c r="Z11589" s="1"/>
      <c r="AA11589" s="1"/>
      <c r="AB11589" s="1"/>
    </row>
    <row r="11590" ht="50.25" customHeight="1">
      <c r="A11590" s="12">
        <v>11586.0</v>
      </c>
      <c r="B11590" s="13" t="s">
        <v>11531</v>
      </c>
      <c r="C11590" s="14" t="s">
        <v>11542</v>
      </c>
      <c r="D11590" s="1"/>
      <c r="E11590" s="1"/>
      <c r="F11590" s="1" t="str">
        <f>IFERROR(__xludf.DUMMYFUNCTION("GOOGLETRANSLATE(B11590, ""en"", ""fa"")
"),"توسعه شخصی")</f>
        <v>توسعه شخصی</v>
      </c>
      <c r="G11590" s="1" t="str">
        <f>IFERROR(__xludf.DUMMYFUNCTION("GOOGLETRANSLATE(C11590, ""en"", ""fa"")
"),"برای محافظت از زمان و رفاه خود در زندگی شخصی و حرفه ای خود حد و مرزی تعیین کنید.")</f>
        <v>برای محافظت از زمان و رفاه خود در زندگی شخصی و حرفه ای خود حد و مرزی تعیین کنید.</v>
      </c>
      <c r="H11590" s="1"/>
      <c r="I11590" s="1"/>
      <c r="J11590" s="1"/>
      <c r="K11590" s="1"/>
      <c r="L11590" s="1"/>
      <c r="M11590" s="1"/>
      <c r="N11590" s="1"/>
      <c r="O11590" s="1"/>
      <c r="P11590" s="1"/>
      <c r="Q11590" s="1"/>
      <c r="R11590" s="1"/>
      <c r="S11590" s="1"/>
      <c r="T11590" s="1"/>
      <c r="U11590" s="1"/>
      <c r="V11590" s="1"/>
      <c r="W11590" s="1"/>
      <c r="X11590" s="1"/>
      <c r="Y11590" s="1"/>
      <c r="Z11590" s="1"/>
      <c r="AA11590" s="1"/>
      <c r="AB11590" s="1"/>
    </row>
    <row r="11591" ht="50.25" customHeight="1">
      <c r="A11591" s="12">
        <v>11587.0</v>
      </c>
      <c r="B11591" s="13" t="s">
        <v>11531</v>
      </c>
      <c r="C11591" s="14" t="s">
        <v>11543</v>
      </c>
      <c r="D11591" s="1"/>
      <c r="E11591" s="1"/>
      <c r="F11591" s="1" t="str">
        <f>IFERROR(__xludf.DUMMYFUNCTION("GOOGLETRANSLATE(B11591, ""en"", ""fa"")
"),"توسعه شخصی")</f>
        <v>توسعه شخصی</v>
      </c>
      <c r="G11591" s="1" t="str">
        <f>IFERROR(__xludf.DUMMYFUNCTION("GOOGLETRANSLATE(C11591, ""en"", ""fa"")
"),"مفهوم هوش هیجانی و تاثیر آن بر روابط شخصی و حرفه ای را بررسی کنید.")</f>
        <v>مفهوم هوش هیجانی و تاثیر آن بر روابط شخصی و حرفه ای را بررسی کنید.</v>
      </c>
      <c r="H11591" s="1"/>
      <c r="I11591" s="1"/>
      <c r="J11591" s="1"/>
      <c r="K11591" s="1"/>
      <c r="L11591" s="1"/>
      <c r="M11591" s="1"/>
      <c r="N11591" s="1"/>
      <c r="O11591" s="1"/>
      <c r="P11591" s="1"/>
      <c r="Q11591" s="1"/>
      <c r="R11591" s="1"/>
      <c r="S11591" s="1"/>
      <c r="T11591" s="1"/>
      <c r="U11591" s="1"/>
      <c r="V11591" s="1"/>
      <c r="W11591" s="1"/>
      <c r="X11591" s="1"/>
      <c r="Y11591" s="1"/>
      <c r="Z11591" s="1"/>
      <c r="AA11591" s="1"/>
      <c r="AB11591" s="1"/>
    </row>
    <row r="11592" ht="50.25" customHeight="1">
      <c r="A11592" s="12">
        <v>11588.0</v>
      </c>
      <c r="B11592" s="13" t="s">
        <v>11531</v>
      </c>
      <c r="C11592" s="14" t="s">
        <v>11544</v>
      </c>
      <c r="D11592" s="1"/>
      <c r="E11592" s="1"/>
      <c r="F11592" s="1" t="str">
        <f>IFERROR(__xludf.DUMMYFUNCTION("GOOGLETRANSLATE(B11592, ""en"", ""fa"")
"),"توسعه شخصی")</f>
        <v>توسعه شخصی</v>
      </c>
      <c r="G11592" s="1" t="str">
        <f>IFERROR(__xludf.DUMMYFUNCTION("GOOGLETRANSLATE(C11592, ""en"", ""fa"")
"),"در مورد علایق و سرگرمی های خود فکر کنید و راه هایی برای گنجاندن آنها در زندگی روزمره خود بیابید.")</f>
        <v>در مورد علایق و سرگرمی های خود فکر کنید و راه هایی برای گنجاندن آنها در زندگی روزمره خود بیابید.</v>
      </c>
      <c r="H11592" s="1"/>
      <c r="I11592" s="1"/>
      <c r="J11592" s="1"/>
      <c r="K11592" s="1"/>
      <c r="L11592" s="1"/>
      <c r="M11592" s="1"/>
      <c r="N11592" s="1"/>
      <c r="O11592" s="1"/>
      <c r="P11592" s="1"/>
      <c r="Q11592" s="1"/>
      <c r="R11592" s="1"/>
      <c r="S11592" s="1"/>
      <c r="T11592" s="1"/>
      <c r="U11592" s="1"/>
      <c r="V11592" s="1"/>
      <c r="W11592" s="1"/>
      <c r="X11592" s="1"/>
      <c r="Y11592" s="1"/>
      <c r="Z11592" s="1"/>
      <c r="AA11592" s="1"/>
      <c r="AB11592" s="1"/>
    </row>
    <row r="11593" ht="50.25" customHeight="1">
      <c r="A11593" s="12">
        <v>11589.0</v>
      </c>
      <c r="B11593" s="13" t="s">
        <v>11531</v>
      </c>
      <c r="C11593" s="14" t="s">
        <v>11545</v>
      </c>
      <c r="D11593" s="1"/>
      <c r="E11593" s="1"/>
      <c r="F11593" s="1" t="str">
        <f>IFERROR(__xludf.DUMMYFUNCTION("GOOGLETRANSLATE(B11593, ""en"", ""fa"")
"),"توسعه شخصی")</f>
        <v>توسعه شخصی</v>
      </c>
      <c r="G11593" s="1" t="str">
        <f>IFERROR(__xludf.DUMMYFUNCTION("GOOGLETRANSLATE(C11593, ""en"", ""fa"")
"),"یک مهارت جدید بیاموزید یا سرگرمی مورد علاقه خود را دنبال کنید، حتی اگر خارج از منطقه راحتی شما باشد.")</f>
        <v>یک مهارت جدید بیاموزید یا سرگرمی مورد علاقه خود را دنبال کنید، حتی اگر خارج از منطقه راحتی شما باشد.</v>
      </c>
      <c r="H11593" s="1"/>
      <c r="I11593" s="1"/>
      <c r="J11593" s="1"/>
      <c r="K11593" s="1"/>
      <c r="L11593" s="1"/>
      <c r="M11593" s="1"/>
      <c r="N11593" s="1"/>
      <c r="O11593" s="1"/>
      <c r="P11593" s="1"/>
      <c r="Q11593" s="1"/>
      <c r="R11593" s="1"/>
      <c r="S11593" s="1"/>
      <c r="T11593" s="1"/>
      <c r="U11593" s="1"/>
      <c r="V11593" s="1"/>
      <c r="W11593" s="1"/>
      <c r="X11593" s="1"/>
      <c r="Y11593" s="1"/>
      <c r="Z11593" s="1"/>
      <c r="AA11593" s="1"/>
      <c r="AB11593" s="1"/>
    </row>
    <row r="11594" ht="50.25" customHeight="1">
      <c r="A11594" s="12">
        <v>11590.0</v>
      </c>
      <c r="B11594" s="13" t="s">
        <v>11531</v>
      </c>
      <c r="C11594" s="14" t="s">
        <v>11546</v>
      </c>
      <c r="D11594" s="1"/>
      <c r="E11594" s="1"/>
      <c r="F11594" s="1" t="str">
        <f>IFERROR(__xludf.DUMMYFUNCTION("GOOGLETRANSLATE(B11594, ""en"", ""fa"")
"),"توسعه شخصی")</f>
        <v>توسعه شخصی</v>
      </c>
      <c r="G11594" s="1" t="str">
        <f>IFERROR(__xludf.DUMMYFUNCTION("GOOGLETRANSLATE(C11594, ""en"", ""fa"")
"),"باورهای محدود کننده ای را که ممکن است شما را عقب نگه دارند، شناسایی کنید و روی اصلاح آنها به صورت مثبت کار کنید.")</f>
        <v>باورهای محدود کننده ای را که ممکن است شما را عقب نگه دارند، شناسایی کنید و روی اصلاح آنها به صورت مثبت کار کنید.</v>
      </c>
      <c r="H11594" s="1"/>
      <c r="I11594" s="1"/>
      <c r="J11594" s="1"/>
      <c r="K11594" s="1"/>
      <c r="L11594" s="1"/>
      <c r="M11594" s="1"/>
      <c r="N11594" s="1"/>
      <c r="O11594" s="1"/>
      <c r="P11594" s="1"/>
      <c r="Q11594" s="1"/>
      <c r="R11594" s="1"/>
      <c r="S11594" s="1"/>
      <c r="T11594" s="1"/>
      <c r="U11594" s="1"/>
      <c r="V11594" s="1"/>
      <c r="W11594" s="1"/>
      <c r="X11594" s="1"/>
      <c r="Y11594" s="1"/>
      <c r="Z11594" s="1"/>
      <c r="AA11594" s="1"/>
      <c r="AB11594" s="1"/>
    </row>
    <row r="11595" ht="50.25" customHeight="1">
      <c r="A11595" s="12">
        <v>11591.0</v>
      </c>
      <c r="B11595" s="13" t="s">
        <v>11531</v>
      </c>
      <c r="C11595" s="14" t="s">
        <v>11547</v>
      </c>
      <c r="D11595" s="1"/>
      <c r="E11595" s="1"/>
      <c r="F11595" s="1" t="str">
        <f>IFERROR(__xludf.DUMMYFUNCTION("GOOGLETRANSLATE(B11595, ""en"", ""fa"")
"),"توسعه شخصی")</f>
        <v>توسعه شخصی</v>
      </c>
      <c r="G11595" s="1" t="str">
        <f>IFERROR(__xludf.DUMMYFUNCTION("GOOGLETRANSLATE(C11595, ""en"", ""fa"")
"),"برای اشتباهات یا کاستی های گذشته، شفقت و بخشش نسبت به خود را تمرین کنید.")</f>
        <v>برای اشتباهات یا کاستی های گذشته، شفقت و بخشش نسبت به خود را تمرین کنید.</v>
      </c>
      <c r="H11595" s="1"/>
      <c r="I11595" s="1"/>
      <c r="J11595" s="1"/>
      <c r="K11595" s="1"/>
      <c r="L11595" s="1"/>
      <c r="M11595" s="1"/>
      <c r="N11595" s="1"/>
      <c r="O11595" s="1"/>
      <c r="P11595" s="1"/>
      <c r="Q11595" s="1"/>
      <c r="R11595" s="1"/>
      <c r="S11595" s="1"/>
      <c r="T11595" s="1"/>
      <c r="U11595" s="1"/>
      <c r="V11595" s="1"/>
      <c r="W11595" s="1"/>
      <c r="X11595" s="1"/>
      <c r="Y11595" s="1"/>
      <c r="Z11595" s="1"/>
      <c r="AA11595" s="1"/>
      <c r="AB11595" s="1"/>
    </row>
    <row r="11596" ht="50.25" customHeight="1">
      <c r="A11596" s="12">
        <v>11592.0</v>
      </c>
      <c r="B11596" s="13" t="s">
        <v>11531</v>
      </c>
      <c r="C11596" s="14" t="s">
        <v>11548</v>
      </c>
      <c r="D11596" s="1"/>
      <c r="E11596" s="1"/>
      <c r="F11596" s="1" t="str">
        <f>IFERROR(__xludf.DUMMYFUNCTION("GOOGLETRANSLATE(B11596, ""en"", ""fa"")
"),"توسعه شخصی")</f>
        <v>توسعه شخصی</v>
      </c>
      <c r="G11596" s="1" t="str">
        <f>IFERROR(__xludf.DUMMYFUNCTION("GOOGLETRANSLATE(C11596, ""en"", ""fa"")
"),"تکنیک های مختلف برای مدیریت استرس و اضطراب، مانند یادداشت روزانه یا ورزش را بررسی کنید.")</f>
        <v>تکنیک های مختلف برای مدیریت استرس و اضطراب، مانند یادداشت روزانه یا ورزش را بررسی کنید.</v>
      </c>
      <c r="H11596" s="1"/>
      <c r="I11596" s="1"/>
      <c r="J11596" s="1"/>
      <c r="K11596" s="1"/>
      <c r="L11596" s="1"/>
      <c r="M11596" s="1"/>
      <c r="N11596" s="1"/>
      <c r="O11596" s="1"/>
      <c r="P11596" s="1"/>
      <c r="Q11596" s="1"/>
      <c r="R11596" s="1"/>
      <c r="S11596" s="1"/>
      <c r="T11596" s="1"/>
      <c r="U11596" s="1"/>
      <c r="V11596" s="1"/>
      <c r="W11596" s="1"/>
      <c r="X11596" s="1"/>
      <c r="Y11596" s="1"/>
      <c r="Z11596" s="1"/>
      <c r="AA11596" s="1"/>
      <c r="AB11596" s="1"/>
    </row>
    <row r="11597" ht="50.25" customHeight="1">
      <c r="A11597" s="12">
        <v>11593.0</v>
      </c>
      <c r="B11597" s="13" t="s">
        <v>11531</v>
      </c>
      <c r="C11597" s="14" t="s">
        <v>11549</v>
      </c>
      <c r="D11597" s="1"/>
      <c r="E11597" s="1"/>
      <c r="F11597" s="1" t="str">
        <f>IFERROR(__xludf.DUMMYFUNCTION("GOOGLETRANSLATE(B11597, ""en"", ""fa"")
"),"توسعه شخصی")</f>
        <v>توسعه شخصی</v>
      </c>
      <c r="G11597" s="1" t="str">
        <f>IFERROR(__xludf.DUMMYFUNCTION("GOOGLETRANSLATE(C11597, ""en"", ""fa"")
"),"یک ذهنیت رشد را پرورش دهید و به چالش ها به عنوان فرصت هایی برای یادگیری و توسعه نگاه کنید.")</f>
        <v>یک ذهنیت رشد را پرورش دهید و به چالش ها به عنوان فرصت هایی برای یادگیری و توسعه نگاه کنید.</v>
      </c>
      <c r="H11597" s="1"/>
      <c r="I11597" s="1"/>
      <c r="J11597" s="1"/>
      <c r="K11597" s="1"/>
      <c r="L11597" s="1"/>
      <c r="M11597" s="1"/>
      <c r="N11597" s="1"/>
      <c r="O11597" s="1"/>
      <c r="P11597" s="1"/>
      <c r="Q11597" s="1"/>
      <c r="R11597" s="1"/>
      <c r="S11597" s="1"/>
      <c r="T11597" s="1"/>
      <c r="U11597" s="1"/>
      <c r="V11597" s="1"/>
      <c r="W11597" s="1"/>
      <c r="X11597" s="1"/>
      <c r="Y11597" s="1"/>
      <c r="Z11597" s="1"/>
      <c r="AA11597" s="1"/>
      <c r="AB11597" s="1"/>
    </row>
    <row r="11598" ht="50.25" customHeight="1">
      <c r="A11598" s="12">
        <v>11594.0</v>
      </c>
      <c r="B11598" s="13" t="s">
        <v>11531</v>
      </c>
      <c r="C11598" s="14" t="s">
        <v>11550</v>
      </c>
      <c r="D11598" s="1"/>
      <c r="E11598" s="1"/>
      <c r="F11598" s="1" t="str">
        <f>IFERROR(__xludf.DUMMYFUNCTION("GOOGLETRANSLATE(B11598, ""en"", ""fa"")
"),"توسعه شخصی")</f>
        <v>توسعه شخصی</v>
      </c>
      <c r="G11598" s="1" t="str">
        <f>IFERROR(__xludf.DUMMYFUNCTION("GOOGLETRANSLATE(C11598, ""en"", ""fa"")
"),"به دستاوردهای گذشته خود فکر کنید و از آنها به عنوان انگیزه ای برای موفقیت در آینده استفاده کنید.")</f>
        <v>به دستاوردهای گذشته خود فکر کنید و از آنها به عنوان انگیزه ای برای موفقیت در آینده استفاده کنید.</v>
      </c>
      <c r="H11598" s="1"/>
      <c r="I11598" s="1"/>
      <c r="J11598" s="1"/>
      <c r="K11598" s="1"/>
      <c r="L11598" s="1"/>
      <c r="M11598" s="1"/>
      <c r="N11598" s="1"/>
      <c r="O11598" s="1"/>
      <c r="P11598" s="1"/>
      <c r="Q11598" s="1"/>
      <c r="R11598" s="1"/>
      <c r="S11598" s="1"/>
      <c r="T11598" s="1"/>
      <c r="U11598" s="1"/>
      <c r="V11598" s="1"/>
      <c r="W11598" s="1"/>
      <c r="X11598" s="1"/>
      <c r="Y11598" s="1"/>
      <c r="Z11598" s="1"/>
      <c r="AA11598" s="1"/>
      <c r="AB11598" s="1"/>
    </row>
    <row r="11599" ht="50.25" customHeight="1">
      <c r="A11599" s="12">
        <v>11595.0</v>
      </c>
      <c r="B11599" s="13" t="s">
        <v>11531</v>
      </c>
      <c r="C11599" s="14" t="s">
        <v>11551</v>
      </c>
      <c r="D11599" s="1"/>
      <c r="E11599" s="1"/>
      <c r="F11599" s="1" t="str">
        <f>IFERROR(__xludf.DUMMYFUNCTION("GOOGLETRANSLATE(B11599, ""en"", ""fa"")
"),"توسعه شخصی")</f>
        <v>توسعه شخصی</v>
      </c>
      <c r="G11599" s="1" t="str">
        <f>IFERROR(__xludf.DUMMYFUNCTION("GOOGLETRANSLATE(C11599, ""en"", ""fa"")
"),"منابع منفی در زندگی خود را شناسایی کنید و اقداماتی را برای حذف یا کاهش تأثیر آنها انجام دهید.")</f>
        <v>منابع منفی در زندگی خود را شناسایی کنید و اقداماتی را برای حذف یا کاهش تأثیر آنها انجام دهید.</v>
      </c>
      <c r="H11599" s="1"/>
      <c r="I11599" s="1"/>
      <c r="J11599" s="1"/>
      <c r="K11599" s="1"/>
      <c r="L11599" s="1"/>
      <c r="M11599" s="1"/>
      <c r="N11599" s="1"/>
      <c r="O11599" s="1"/>
      <c r="P11599" s="1"/>
      <c r="Q11599" s="1"/>
      <c r="R11599" s="1"/>
      <c r="S11599" s="1"/>
      <c r="T11599" s="1"/>
      <c r="U11599" s="1"/>
      <c r="V11599" s="1"/>
      <c r="W11599" s="1"/>
      <c r="X11599" s="1"/>
      <c r="Y11599" s="1"/>
      <c r="Z11599" s="1"/>
      <c r="AA11599" s="1"/>
      <c r="AB11599" s="1"/>
    </row>
    <row r="11600" ht="50.25" customHeight="1">
      <c r="A11600" s="12">
        <v>11596.0</v>
      </c>
      <c r="B11600" s="13" t="s">
        <v>11531</v>
      </c>
      <c r="C11600" s="14" t="s">
        <v>11552</v>
      </c>
      <c r="D11600" s="1"/>
      <c r="E11600" s="1"/>
      <c r="F11600" s="1" t="str">
        <f>IFERROR(__xludf.DUMMYFUNCTION("GOOGLETRANSLATE(B11600, ""en"", ""fa"")
"),"توسعه شخصی")</f>
        <v>توسعه شخصی</v>
      </c>
      <c r="G11600" s="1" t="str">
        <f>IFERROR(__xludf.DUMMYFUNCTION("GOOGLETRANSLATE(C11600, ""en"", ""fa"")
"),"برای بیان واضح نیازها و مرزهای خود، ارتباط مؤثر و قاطعیت را تمرین کنید.")</f>
        <v>برای بیان واضح نیازها و مرزهای خود، ارتباط مؤثر و قاطعیت را تمرین کنید.</v>
      </c>
      <c r="H11600" s="1"/>
      <c r="I11600" s="1"/>
      <c r="J11600" s="1"/>
      <c r="K11600" s="1"/>
      <c r="L11600" s="1"/>
      <c r="M11600" s="1"/>
      <c r="N11600" s="1"/>
      <c r="O11600" s="1"/>
      <c r="P11600" s="1"/>
      <c r="Q11600" s="1"/>
      <c r="R11600" s="1"/>
      <c r="S11600" s="1"/>
      <c r="T11600" s="1"/>
      <c r="U11600" s="1"/>
      <c r="V11600" s="1"/>
      <c r="W11600" s="1"/>
      <c r="X11600" s="1"/>
      <c r="Y11600" s="1"/>
      <c r="Z11600" s="1"/>
      <c r="AA11600" s="1"/>
      <c r="AB11600" s="1"/>
    </row>
    <row r="11601" ht="50.25" customHeight="1">
      <c r="A11601" s="12">
        <v>11597.0</v>
      </c>
      <c r="B11601" s="13" t="s">
        <v>11531</v>
      </c>
      <c r="C11601" s="14" t="s">
        <v>11553</v>
      </c>
      <c r="D11601" s="1"/>
      <c r="E11601" s="1"/>
      <c r="F11601" s="1" t="str">
        <f>IFERROR(__xludf.DUMMYFUNCTION("GOOGLETRANSLATE(B11601, ""en"", ""fa"")
"),"توسعه شخصی")</f>
        <v>توسعه شخصی</v>
      </c>
      <c r="G11601" s="1" t="str">
        <f>IFERROR(__xludf.DUMMYFUNCTION("GOOGLETRANSLATE(C11601, ""en"", ""fa"")
"),"یک روتین صبحگاهی ایجاد کنید که لحن مثبتی برای بقیه روز ایجاد کند.")</f>
        <v>یک روتین صبحگاهی ایجاد کنید که لحن مثبتی برای بقیه روز ایجاد کند.</v>
      </c>
      <c r="H11601" s="1"/>
      <c r="I11601" s="1"/>
      <c r="J11601" s="1"/>
      <c r="K11601" s="1"/>
      <c r="L11601" s="1"/>
      <c r="M11601" s="1"/>
      <c r="N11601" s="1"/>
      <c r="O11601" s="1"/>
      <c r="P11601" s="1"/>
      <c r="Q11601" s="1"/>
      <c r="R11601" s="1"/>
      <c r="S11601" s="1"/>
      <c r="T11601" s="1"/>
      <c r="U11601" s="1"/>
      <c r="V11601" s="1"/>
      <c r="W11601" s="1"/>
      <c r="X11601" s="1"/>
      <c r="Y11601" s="1"/>
      <c r="Z11601" s="1"/>
      <c r="AA11601" s="1"/>
      <c r="AB11601" s="1"/>
    </row>
    <row r="11602" ht="50.25" customHeight="1">
      <c r="A11602" s="12">
        <v>11598.0</v>
      </c>
      <c r="B11602" s="13" t="s">
        <v>11531</v>
      </c>
      <c r="C11602" s="14" t="s">
        <v>11554</v>
      </c>
      <c r="D11602" s="1"/>
      <c r="E11602" s="1"/>
      <c r="F11602" s="1" t="str">
        <f>IFERROR(__xludf.DUMMYFUNCTION("GOOGLETRANSLATE(B11602, ""en"", ""fa"")
"),"توسعه شخصی")</f>
        <v>توسعه شخصی</v>
      </c>
      <c r="G11602" s="1" t="str">
        <f>IFERROR(__xludf.DUMMYFUNCTION("GOOGLETRANSLATE(C11602, ""en"", ""fa"")
"),"علایق و علایق خود را شناسایی کنید و در نظر بگیرید که چگونه می توانید آنها را به یک شغل یا سرگرمی کامل تبدیل کنید.")</f>
        <v>علایق و علایق خود را شناسایی کنید و در نظر بگیرید که چگونه می توانید آنها را به یک شغل یا سرگرمی کامل تبدیل کنید.</v>
      </c>
      <c r="H11602" s="1"/>
      <c r="I11602" s="1"/>
      <c r="J11602" s="1"/>
      <c r="K11602" s="1"/>
      <c r="L11602" s="1"/>
      <c r="M11602" s="1"/>
      <c r="N11602" s="1"/>
      <c r="O11602" s="1"/>
      <c r="P11602" s="1"/>
      <c r="Q11602" s="1"/>
      <c r="R11602" s="1"/>
      <c r="S11602" s="1"/>
      <c r="T11602" s="1"/>
      <c r="U11602" s="1"/>
      <c r="V11602" s="1"/>
      <c r="W11602" s="1"/>
      <c r="X11602" s="1"/>
      <c r="Y11602" s="1"/>
      <c r="Z11602" s="1"/>
      <c r="AA11602" s="1"/>
      <c r="AB11602" s="1"/>
    </row>
    <row r="11603" ht="50.25" customHeight="1">
      <c r="A11603" s="12">
        <v>11599.0</v>
      </c>
      <c r="B11603" s="13" t="s">
        <v>11531</v>
      </c>
      <c r="C11603" s="14" t="s">
        <v>11609</v>
      </c>
      <c r="D11603" s="1"/>
      <c r="E11603" s="1"/>
      <c r="F11603" s="1" t="str">
        <f>IFERROR(__xludf.DUMMYFUNCTION("GOOGLETRANSLATE(B11603, ""en"", ""fa"")
"),"توسعه شخصی")</f>
        <v>توسعه شخصی</v>
      </c>
      <c r="G11603" s="1" t="str">
        <f>IFERROR(__xludf.DUMMYFUNCTION("GOOGLETRANSLATE(C11603, ""en"", ""fa"")
"),"به نقش خودآگاهی در درک احساسات، نقاط قوت و ضعف خود فکر کنید.")</f>
        <v>به نقش خودآگاهی در درک احساسات، نقاط قوت و ضعف خود فکر کنید.</v>
      </c>
      <c r="H11603" s="1"/>
      <c r="I11603" s="1"/>
      <c r="J11603" s="1"/>
      <c r="K11603" s="1"/>
      <c r="L11603" s="1"/>
      <c r="M11603" s="1"/>
      <c r="N11603" s="1"/>
      <c r="O11603" s="1"/>
      <c r="P11603" s="1"/>
      <c r="Q11603" s="1"/>
      <c r="R11603" s="1"/>
      <c r="S11603" s="1"/>
      <c r="T11603" s="1"/>
      <c r="U11603" s="1"/>
      <c r="V11603" s="1"/>
      <c r="W11603" s="1"/>
      <c r="X11603" s="1"/>
      <c r="Y11603" s="1"/>
      <c r="Z11603" s="1"/>
      <c r="AA11603" s="1"/>
      <c r="AB11603" s="1"/>
    </row>
    <row r="11604" ht="50.25" customHeight="1">
      <c r="A11604" s="12">
        <v>11600.0</v>
      </c>
      <c r="B11604" s="13" t="s">
        <v>11531</v>
      </c>
      <c r="C11604" s="14" t="s">
        <v>11610</v>
      </c>
      <c r="D11604" s="1"/>
      <c r="E11604" s="1"/>
      <c r="F11604" s="1" t="str">
        <f>IFERROR(__xludf.DUMMYFUNCTION("GOOGLETRANSLATE(B11604, ""en"", ""fa"")
"),"توسعه شخصی")</f>
        <v>توسعه شخصی</v>
      </c>
      <c r="G11604" s="1" t="str">
        <f>IFERROR(__xludf.DUMMYFUNCTION("GOOGLETRANSLATE(C11604, ""en"", ""fa"")
"),"برای محافظت از زمان، انرژی و رفاه خود با دیگران مرزهای واقع بینانه تعیین کنید.")</f>
        <v>برای محافظت از زمان، انرژی و رفاه خود با دیگران مرزهای واقع بینانه تعیین کنید.</v>
      </c>
      <c r="H11604" s="1"/>
      <c r="I11604" s="1"/>
      <c r="J11604" s="1"/>
      <c r="K11604" s="1"/>
      <c r="L11604" s="1"/>
      <c r="M11604" s="1"/>
      <c r="N11604" s="1"/>
      <c r="O11604" s="1"/>
      <c r="P11604" s="1"/>
      <c r="Q11604" s="1"/>
      <c r="R11604" s="1"/>
      <c r="S11604" s="1"/>
      <c r="T11604" s="1"/>
      <c r="U11604" s="1"/>
      <c r="V11604" s="1"/>
      <c r="W11604" s="1"/>
      <c r="X11604" s="1"/>
      <c r="Y11604" s="1"/>
      <c r="Z11604" s="1"/>
      <c r="AA11604" s="1"/>
      <c r="AB11604" s="1"/>
    </row>
    <row r="11605" ht="50.25" customHeight="1">
      <c r="A11605" s="12">
        <v>11601.0</v>
      </c>
      <c r="B11605" s="13" t="s">
        <v>11531</v>
      </c>
      <c r="C11605" s="14" t="s">
        <v>11611</v>
      </c>
      <c r="D11605" s="1"/>
      <c r="E11605" s="1"/>
      <c r="F11605" s="1" t="str">
        <f>IFERROR(__xludf.DUMMYFUNCTION("GOOGLETRANSLATE(B11605, ""en"", ""fa"")
"),"توسعه شخصی")</f>
        <v>توسعه شخصی</v>
      </c>
      <c r="G11605" s="1" t="str">
        <f>IFERROR(__xludf.DUMMYFUNCTION("GOOGLETRANSLATE(C11605, ""en"", ""fa"")
"),"مفهوم خودپذیری را بررسی کنید و در آغوش گرفتن خود واقعی خود تمرین کنید.")</f>
        <v>مفهوم خودپذیری را بررسی کنید و در آغوش گرفتن خود واقعی خود تمرین کنید.</v>
      </c>
      <c r="H11605" s="1"/>
      <c r="I11605" s="1"/>
      <c r="J11605" s="1"/>
      <c r="K11605" s="1"/>
      <c r="L11605" s="1"/>
      <c r="M11605" s="1"/>
      <c r="N11605" s="1"/>
      <c r="O11605" s="1"/>
      <c r="P11605" s="1"/>
      <c r="Q11605" s="1"/>
      <c r="R11605" s="1"/>
      <c r="S11605" s="1"/>
      <c r="T11605" s="1"/>
      <c r="U11605" s="1"/>
      <c r="V11605" s="1"/>
      <c r="W11605" s="1"/>
      <c r="X11605" s="1"/>
      <c r="Y11605" s="1"/>
      <c r="Z11605" s="1"/>
      <c r="AA11605" s="1"/>
      <c r="AB11605" s="1"/>
    </row>
    <row r="11606" ht="50.25" customHeight="1">
      <c r="A11606" s="12">
        <v>11602.0</v>
      </c>
      <c r="B11606" s="13" t="s">
        <v>11531</v>
      </c>
      <c r="C11606" s="14" t="s">
        <v>11612</v>
      </c>
      <c r="D11606" s="1"/>
      <c r="E11606" s="1"/>
      <c r="F11606" s="1" t="str">
        <f>IFERROR(__xludf.DUMMYFUNCTION("GOOGLETRANSLATE(B11606, ""en"", ""fa"")
"),"توسعه شخصی")</f>
        <v>توسعه شخصی</v>
      </c>
      <c r="G11606" s="1" t="str">
        <f>IFERROR(__xludf.DUMMYFUNCTION("GOOGLETRANSLATE(C11606, ""en"", ""fa"")
"),"مناطقی از زندگی خود را که می توانید کمال گرایی را کنار بگذارید و نقص ها را در آغوش بگیرید، شناسایی کنید.")</f>
        <v>مناطقی از زندگی خود را که می توانید کمال گرایی را کنار بگذارید و نقص ها را در آغوش بگیرید، شناسایی کنید.</v>
      </c>
      <c r="H11606" s="1"/>
      <c r="I11606" s="1"/>
      <c r="J11606" s="1"/>
      <c r="K11606" s="1"/>
      <c r="L11606" s="1"/>
      <c r="M11606" s="1"/>
      <c r="N11606" s="1"/>
      <c r="O11606" s="1"/>
      <c r="P11606" s="1"/>
      <c r="Q11606" s="1"/>
      <c r="R11606" s="1"/>
      <c r="S11606" s="1"/>
      <c r="T11606" s="1"/>
      <c r="U11606" s="1"/>
      <c r="V11606" s="1"/>
      <c r="W11606" s="1"/>
      <c r="X11606" s="1"/>
      <c r="Y11606" s="1"/>
      <c r="Z11606" s="1"/>
      <c r="AA11606" s="1"/>
      <c r="AB11606" s="1"/>
    </row>
    <row r="11607" ht="50.25" customHeight="1">
      <c r="A11607" s="12">
        <v>11603.0</v>
      </c>
      <c r="B11607" s="13" t="s">
        <v>11531</v>
      </c>
      <c r="C11607" s="14" t="s">
        <v>11613</v>
      </c>
      <c r="D11607" s="1"/>
      <c r="E11607" s="1"/>
      <c r="F11607" s="1" t="str">
        <f>IFERROR(__xludf.DUMMYFUNCTION("GOOGLETRANSLATE(B11607, ""en"", ""fa"")
"),"توسعه شخصی")</f>
        <v>توسعه شخصی</v>
      </c>
      <c r="G11607" s="1" t="str">
        <f>IFERROR(__xludf.DUMMYFUNCTION("GOOGLETRANSLATE(C11607, ""en"", ""fa"")
"),"بخشش را نسبت به خود و دیگران تمرین کنید تا بار عاطفی را رها کنید و بسته شوید.")</f>
        <v>بخشش را نسبت به خود و دیگران تمرین کنید تا بار عاطفی را رها کنید و بسته شوید.</v>
      </c>
      <c r="H11607" s="1"/>
      <c r="I11607" s="1"/>
      <c r="J11607" s="1"/>
      <c r="K11607" s="1"/>
      <c r="L11607" s="1"/>
      <c r="M11607" s="1"/>
      <c r="N11607" s="1"/>
      <c r="O11607" s="1"/>
      <c r="P11607" s="1"/>
      <c r="Q11607" s="1"/>
      <c r="R11607" s="1"/>
      <c r="S11607" s="1"/>
      <c r="T11607" s="1"/>
      <c r="U11607" s="1"/>
      <c r="V11607" s="1"/>
      <c r="W11607" s="1"/>
      <c r="X11607" s="1"/>
      <c r="Y11607" s="1"/>
      <c r="Z11607" s="1"/>
      <c r="AA11607" s="1"/>
      <c r="AB11607" s="1"/>
    </row>
    <row r="11608" ht="50.25" customHeight="1">
      <c r="A11608" s="12">
        <v>11604.0</v>
      </c>
      <c r="B11608" s="13" t="s">
        <v>11531</v>
      </c>
      <c r="C11608" s="14" t="s">
        <v>11614</v>
      </c>
      <c r="D11608" s="1"/>
      <c r="E11608" s="1"/>
      <c r="F11608" s="1" t="str">
        <f>IFERROR(__xludf.DUMMYFUNCTION("GOOGLETRANSLATE(B11608, ""en"", ""fa"")
"),"توسعه شخصی")</f>
        <v>توسعه شخصی</v>
      </c>
      <c r="G11608" s="1" t="str">
        <f>IFERROR(__xludf.DUMMYFUNCTION("GOOGLETRANSLATE(C11608, ""en"", ""fa"")
"),"یک بیانیه ماموریت شخصی تنظیم کنید که با ارزش ها و هدف شما در زندگی همسو باشد.")</f>
        <v>یک بیانیه ماموریت شخصی تنظیم کنید که با ارزش ها و هدف شما در زندگی همسو باشد.</v>
      </c>
      <c r="H11608" s="1"/>
      <c r="I11608" s="1"/>
      <c r="J11608" s="1"/>
      <c r="K11608" s="1"/>
      <c r="L11608" s="1"/>
      <c r="M11608" s="1"/>
      <c r="N11608" s="1"/>
      <c r="O11608" s="1"/>
      <c r="P11608" s="1"/>
      <c r="Q11608" s="1"/>
      <c r="R11608" s="1"/>
      <c r="S11608" s="1"/>
      <c r="T11608" s="1"/>
      <c r="U11608" s="1"/>
      <c r="V11608" s="1"/>
      <c r="W11608" s="1"/>
      <c r="X11608" s="1"/>
      <c r="Y11608" s="1"/>
      <c r="Z11608" s="1"/>
      <c r="AA11608" s="1"/>
      <c r="AB11608" s="1"/>
    </row>
    <row r="11609" ht="50.25" customHeight="1">
      <c r="A11609" s="12">
        <v>11605.0</v>
      </c>
      <c r="B11609" s="13" t="s">
        <v>11531</v>
      </c>
      <c r="C11609" s="14" t="s">
        <v>11615</v>
      </c>
      <c r="D11609" s="1"/>
      <c r="E11609" s="1"/>
      <c r="F11609" s="1" t="str">
        <f>IFERROR(__xludf.DUMMYFUNCTION("GOOGLETRANSLATE(B11609, ""en"", ""fa"")
"),"توسعه شخصی")</f>
        <v>توسعه شخصی</v>
      </c>
      <c r="G11609" s="1" t="str">
        <f>IFERROR(__xludf.DUMMYFUNCTION("GOOGLETRANSLATE(C11609, ""en"", ""fa"")
"),"روش های مختلف بیان خلاق، مانند نوشتن، نقاشی یا موسیقی را برای پرورش هنرمند درونی خود کاوش کنید.")</f>
        <v>روش های مختلف بیان خلاق، مانند نوشتن، نقاشی یا موسیقی را برای پرورش هنرمند درونی خود کاوش کنید.</v>
      </c>
      <c r="H11609" s="1"/>
      <c r="I11609" s="1"/>
      <c r="J11609" s="1"/>
      <c r="K11609" s="1"/>
      <c r="L11609" s="1"/>
      <c r="M11609" s="1"/>
      <c r="N11609" s="1"/>
      <c r="O11609" s="1"/>
      <c r="P11609" s="1"/>
      <c r="Q11609" s="1"/>
      <c r="R11609" s="1"/>
      <c r="S11609" s="1"/>
      <c r="T11609" s="1"/>
      <c r="U11609" s="1"/>
      <c r="V11609" s="1"/>
      <c r="W11609" s="1"/>
      <c r="X11609" s="1"/>
      <c r="Y11609" s="1"/>
      <c r="Z11609" s="1"/>
      <c r="AA11609" s="1"/>
      <c r="AB11609" s="1"/>
    </row>
    <row r="11610" ht="50.25" customHeight="1">
      <c r="A11610" s="12">
        <v>11606.0</v>
      </c>
      <c r="B11610" s="13" t="s">
        <v>11531</v>
      </c>
      <c r="C11610" s="14" t="s">
        <v>11616</v>
      </c>
      <c r="D11610" s="1"/>
      <c r="E11610" s="1"/>
      <c r="F11610" s="1" t="str">
        <f>IFERROR(__xludf.DUMMYFUNCTION("GOOGLETRANSLATE(B11610, ""en"", ""fa"")
"),"توسعه شخصی")</f>
        <v>توسعه شخصی</v>
      </c>
      <c r="G11610" s="1" t="str">
        <f>IFERROR(__xludf.DUMMYFUNCTION("GOOGLETRANSLATE(C11610, ""en"", ""fa"")
"),"به شبکه پشتیبانی خود فکر کنید و راه هایی را برای ایجاد ارتباطات مثبت و معنادار با دیگران بیابید.")</f>
        <v>به شبکه پشتیبانی خود فکر کنید و راه هایی را برای ایجاد ارتباطات مثبت و معنادار با دیگران بیابید.</v>
      </c>
      <c r="H11610" s="1"/>
      <c r="I11610" s="1"/>
      <c r="J11610" s="1"/>
      <c r="K11610" s="1"/>
      <c r="L11610" s="1"/>
      <c r="M11610" s="1"/>
      <c r="N11610" s="1"/>
      <c r="O11610" s="1"/>
      <c r="P11610" s="1"/>
      <c r="Q11610" s="1"/>
      <c r="R11610" s="1"/>
      <c r="S11610" s="1"/>
      <c r="T11610" s="1"/>
      <c r="U11610" s="1"/>
      <c r="V11610" s="1"/>
      <c r="W11610" s="1"/>
      <c r="X11610" s="1"/>
      <c r="Y11610" s="1"/>
      <c r="Z11610" s="1"/>
      <c r="AA11610" s="1"/>
      <c r="AB11610" s="1"/>
    </row>
    <row r="11611" ht="50.25" customHeight="1">
      <c r="A11611" s="12">
        <v>11607.0</v>
      </c>
      <c r="B11611" s="13" t="s">
        <v>11531</v>
      </c>
      <c r="C11611" s="14" t="s">
        <v>11617</v>
      </c>
      <c r="D11611" s="1"/>
      <c r="E11611" s="1"/>
      <c r="F11611" s="1" t="str">
        <f>IFERROR(__xludf.DUMMYFUNCTION("GOOGLETRANSLATE(B11611, ""en"", ""fa"")
"),"توسعه شخصی")</f>
        <v>توسعه شخصی</v>
      </c>
      <c r="G11611" s="1" t="str">
        <f>IFERROR(__xludf.DUMMYFUNCTION("GOOGLETRANSLATE(C11611, ""en"", ""fa"")
"),"برای ردیابی سفر رشد شخصی خود، زمانی را برای تفکر و ارزیابی منظم خود اختصاص دهید.")</f>
        <v>برای ردیابی سفر رشد شخصی خود، زمانی را برای تفکر و ارزیابی منظم خود اختصاص دهید.</v>
      </c>
      <c r="H11611" s="1"/>
      <c r="I11611" s="1"/>
      <c r="J11611" s="1"/>
      <c r="K11611" s="1"/>
      <c r="L11611" s="1"/>
      <c r="M11611" s="1"/>
      <c r="N11611" s="1"/>
      <c r="O11611" s="1"/>
      <c r="P11611" s="1"/>
      <c r="Q11611" s="1"/>
      <c r="R11611" s="1"/>
      <c r="S11611" s="1"/>
      <c r="T11611" s="1"/>
      <c r="U11611" s="1"/>
      <c r="V11611" s="1"/>
      <c r="W11611" s="1"/>
      <c r="X11611" s="1"/>
      <c r="Y11611" s="1"/>
      <c r="Z11611" s="1"/>
      <c r="AA11611" s="1"/>
      <c r="AB11611" s="1"/>
    </row>
    <row r="11612" ht="50.25" customHeight="1">
      <c r="A11612" s="12">
        <v>11608.0</v>
      </c>
      <c r="B11612" s="13" t="s">
        <v>11531</v>
      </c>
      <c r="C11612" s="14" t="s">
        <v>11618</v>
      </c>
      <c r="D11612" s="1"/>
      <c r="E11612" s="1"/>
      <c r="F11612" s="1" t="str">
        <f>IFERROR(__xludf.DUMMYFUNCTION("GOOGLETRANSLATE(B11612, ""en"", ""fa"")
"),"توسعه شخصی")</f>
        <v>توسعه شخصی</v>
      </c>
      <c r="G11612" s="1" t="str">
        <f>IFERROR(__xludf.DUMMYFUNCTION("GOOGLETRANSLATE(C11612, ""en"", ""fa"")
"),"عادات یا رفتارهایی را که انرژی شما را تخلیه می کند شناسایی کنید و برای جایگزینی آنها با عادات مثبت تلاش کنید.")</f>
        <v>عادات یا رفتارهایی را که انرژی شما را تخلیه می کند شناسایی کنید و برای جایگزینی آنها با عادات مثبت تلاش کنید.</v>
      </c>
      <c r="H11612" s="1"/>
      <c r="I11612" s="1"/>
      <c r="J11612" s="1"/>
      <c r="K11612" s="1"/>
      <c r="L11612" s="1"/>
      <c r="M11612" s="1"/>
      <c r="N11612" s="1"/>
      <c r="O11612" s="1"/>
      <c r="P11612" s="1"/>
      <c r="Q11612" s="1"/>
      <c r="R11612" s="1"/>
      <c r="S11612" s="1"/>
      <c r="T11612" s="1"/>
      <c r="U11612" s="1"/>
      <c r="V11612" s="1"/>
      <c r="W11612" s="1"/>
      <c r="X11612" s="1"/>
      <c r="Y11612" s="1"/>
      <c r="Z11612" s="1"/>
      <c r="AA11612" s="1"/>
      <c r="AB11612" s="1"/>
    </row>
    <row r="11613" ht="50.25" customHeight="1">
      <c r="A11613" s="12">
        <v>11609.0</v>
      </c>
      <c r="B11613" s="13" t="s">
        <v>11531</v>
      </c>
      <c r="C11613" s="14" t="s">
        <v>11619</v>
      </c>
      <c r="D11613" s="1"/>
      <c r="E11613" s="1"/>
      <c r="F11613" s="1" t="str">
        <f>IFERROR(__xludf.DUMMYFUNCTION("GOOGLETRANSLATE(B11613, ""en"", ""fa"")
"),"توسعه شخصی")</f>
        <v>توسعه شخصی</v>
      </c>
      <c r="G11613" s="1" t="str">
        <f>IFERROR(__xludf.DUMMYFUNCTION("GOOGLETRANSLATE(C11613, ""en"", ""fa"")
"),"هنر رها کردن چیزهایی را که دیگر در خدمت رشد و رفاه شما نیستند را تمرین کنید.")</f>
        <v>هنر رها کردن چیزهایی را که دیگر در خدمت رشد و رفاه شما نیستند را تمرین کنید.</v>
      </c>
      <c r="H11613" s="1"/>
      <c r="I11613" s="1"/>
      <c r="J11613" s="1"/>
      <c r="K11613" s="1"/>
      <c r="L11613" s="1"/>
      <c r="M11613" s="1"/>
      <c r="N11613" s="1"/>
      <c r="O11613" s="1"/>
      <c r="P11613" s="1"/>
      <c r="Q11613" s="1"/>
      <c r="R11613" s="1"/>
      <c r="S11613" s="1"/>
      <c r="T11613" s="1"/>
      <c r="U11613" s="1"/>
      <c r="V11613" s="1"/>
      <c r="W11613" s="1"/>
      <c r="X11613" s="1"/>
      <c r="Y11613" s="1"/>
      <c r="Z11613" s="1"/>
      <c r="AA11613" s="1"/>
      <c r="AB11613" s="1"/>
    </row>
    <row r="11614" ht="50.25" customHeight="1">
      <c r="A11614" s="12">
        <v>11610.0</v>
      </c>
      <c r="B11614" s="13" t="s">
        <v>11531</v>
      </c>
      <c r="C11614" s="14" t="s">
        <v>11620</v>
      </c>
      <c r="D11614" s="1"/>
      <c r="E11614" s="1"/>
      <c r="F11614" s="1" t="str">
        <f>IFERROR(__xludf.DUMMYFUNCTION("GOOGLETRANSLATE(B11614, ""en"", ""fa"")
"),"توسعه شخصی")</f>
        <v>توسعه شخصی</v>
      </c>
      <c r="G11614" s="1" t="str">
        <f>IFERROR(__xludf.DUMMYFUNCTION("GOOGLETRANSLATE(C11614, ""en"", ""fa"")
"),"برای مدیریت استرس و تقویت آرامش، تکنیک‌های مختلف آرامش، مانند یوگا یا تمرکز حواس را بررسی کنید.")</f>
        <v>برای مدیریت استرس و تقویت آرامش، تکنیک‌های مختلف آرامش، مانند یوگا یا تمرکز حواس را بررسی کنید.</v>
      </c>
      <c r="H11614" s="1"/>
      <c r="I11614" s="1"/>
      <c r="J11614" s="1"/>
      <c r="K11614" s="1"/>
      <c r="L11614" s="1"/>
      <c r="M11614" s="1"/>
      <c r="N11614" s="1"/>
      <c r="O11614" s="1"/>
      <c r="P11614" s="1"/>
      <c r="Q11614" s="1"/>
      <c r="R11614" s="1"/>
      <c r="S11614" s="1"/>
      <c r="T11614" s="1"/>
      <c r="U11614" s="1"/>
      <c r="V11614" s="1"/>
      <c r="W11614" s="1"/>
      <c r="X11614" s="1"/>
      <c r="Y11614" s="1"/>
      <c r="Z11614" s="1"/>
      <c r="AA11614" s="1"/>
      <c r="AB11614" s="1"/>
    </row>
    <row r="11615" ht="50.25" customHeight="1">
      <c r="A11615" s="12">
        <v>11611.0</v>
      </c>
      <c r="B11615" s="13" t="s">
        <v>11531</v>
      </c>
      <c r="C11615" s="14" t="s">
        <v>11621</v>
      </c>
      <c r="D11615" s="1"/>
      <c r="E11615" s="1"/>
      <c r="F11615" s="1" t="str">
        <f>IFERROR(__xludf.DUMMYFUNCTION("GOOGLETRANSLATE(B11615, ""en"", ""fa"")
"),"توسعه شخصی")</f>
        <v>توسعه شخصی</v>
      </c>
      <c r="G11615" s="1" t="str">
        <f>IFERROR(__xludf.DUMMYFUNCTION("GOOGLETRANSLATE(C11615, ""en"", ""fa"")
"),"در مورد نقش قدردانی در پرورش نگرش مثبت به زندگی و افزایش شادی فکر کنید.")</f>
        <v>در مورد نقش قدردانی در پرورش نگرش مثبت به زندگی و افزایش شادی فکر کنید.</v>
      </c>
      <c r="H11615" s="1"/>
      <c r="I11615" s="1"/>
      <c r="J11615" s="1"/>
      <c r="K11615" s="1"/>
      <c r="L11615" s="1"/>
      <c r="M11615" s="1"/>
      <c r="N11615" s="1"/>
      <c r="O11615" s="1"/>
      <c r="P11615" s="1"/>
      <c r="Q11615" s="1"/>
      <c r="R11615" s="1"/>
      <c r="S11615" s="1"/>
      <c r="T11615" s="1"/>
      <c r="U11615" s="1"/>
      <c r="V11615" s="1"/>
      <c r="W11615" s="1"/>
      <c r="X11615" s="1"/>
      <c r="Y11615" s="1"/>
      <c r="Z11615" s="1"/>
      <c r="AA11615" s="1"/>
      <c r="AB11615" s="1"/>
    </row>
    <row r="11616" ht="50.25" customHeight="1">
      <c r="A11616" s="12">
        <v>11612.0</v>
      </c>
      <c r="B11616" s="13" t="s">
        <v>11531</v>
      </c>
      <c r="C11616" s="14" t="s">
        <v>11622</v>
      </c>
      <c r="D11616" s="1"/>
      <c r="E11616" s="1"/>
      <c r="F11616" s="1" t="str">
        <f>IFERROR(__xludf.DUMMYFUNCTION("GOOGLETRANSLATE(B11616, ""en"", ""fa"")
"),"توسعه شخصی")</f>
        <v>توسعه شخصی</v>
      </c>
      <c r="G11616" s="1" t="str">
        <f>IFERROR(__xludf.DUMMYFUNCTION("GOOGLETRANSLATE(C11616, ""en"", ""fa"")
"),"اهداف مشخصی را برای سفر توسعه شخصی خود تعیین کنید و گام های عمدی را به سمت آنها بردارید.")</f>
        <v>اهداف مشخصی را برای سفر توسعه شخصی خود تعیین کنید و گام های عمدی را به سمت آنها بردارید.</v>
      </c>
      <c r="H11616" s="1"/>
      <c r="I11616" s="1"/>
      <c r="J11616" s="1"/>
      <c r="K11616" s="1"/>
      <c r="L11616" s="1"/>
      <c r="M11616" s="1"/>
      <c r="N11616" s="1"/>
      <c r="O11616" s="1"/>
      <c r="P11616" s="1"/>
      <c r="Q11616" s="1"/>
      <c r="R11616" s="1"/>
      <c r="S11616" s="1"/>
      <c r="T11616" s="1"/>
      <c r="U11616" s="1"/>
      <c r="V11616" s="1"/>
      <c r="W11616" s="1"/>
      <c r="X11616" s="1"/>
      <c r="Y11616" s="1"/>
      <c r="Z11616" s="1"/>
      <c r="AA11616" s="1"/>
      <c r="AB11616" s="1"/>
    </row>
    <row r="11617" ht="50.25" customHeight="1">
      <c r="A11617" s="12">
        <v>11613.0</v>
      </c>
      <c r="B11617" s="13" t="s">
        <v>11531</v>
      </c>
      <c r="C11617" s="14" t="s">
        <v>11623</v>
      </c>
      <c r="D11617" s="1"/>
      <c r="E11617" s="1"/>
      <c r="F11617" s="1" t="str">
        <f>IFERROR(__xludf.DUMMYFUNCTION("GOOGLETRANSLATE(B11617, ""en"", ""fa"")
"),"توسعه شخصی")</f>
        <v>توسعه شخصی</v>
      </c>
      <c r="G11617" s="1" t="str">
        <f>IFERROR(__xludf.DUMMYFUNCTION("GOOGLETRANSLATE(C11617, ""en"", ""fa"")
"),"نقاط قوت و استعدادهای منحصر به فرد خود را شناسایی کنید و راه هایی برای استفاده از آنها در زندگی روزمره خود بیابید.")</f>
        <v>نقاط قوت و استعدادهای منحصر به فرد خود را شناسایی کنید و راه هایی برای استفاده از آنها در زندگی روزمره خود بیابید.</v>
      </c>
      <c r="H11617" s="1"/>
      <c r="I11617" s="1"/>
      <c r="J11617" s="1"/>
      <c r="K11617" s="1"/>
      <c r="L11617" s="1"/>
      <c r="M11617" s="1"/>
      <c r="N11617" s="1"/>
      <c r="O11617" s="1"/>
      <c r="P11617" s="1"/>
      <c r="Q11617" s="1"/>
      <c r="R11617" s="1"/>
      <c r="S11617" s="1"/>
      <c r="T11617" s="1"/>
      <c r="U11617" s="1"/>
      <c r="V11617" s="1"/>
      <c r="W11617" s="1"/>
      <c r="X11617" s="1"/>
      <c r="Y11617" s="1"/>
      <c r="Z11617" s="1"/>
      <c r="AA11617" s="1"/>
      <c r="AB11617" s="1"/>
    </row>
    <row r="11618" ht="50.25" customHeight="1">
      <c r="A11618" s="12">
        <v>11614.0</v>
      </c>
      <c r="B11618" s="13" t="s">
        <v>11531</v>
      </c>
      <c r="C11618" s="14" t="s">
        <v>11624</v>
      </c>
      <c r="D11618" s="1"/>
      <c r="E11618" s="1"/>
      <c r="F11618" s="1" t="str">
        <f>IFERROR(__xludf.DUMMYFUNCTION("GOOGLETRANSLATE(B11618, ""en"", ""fa"")
"),"توسعه شخصی")</f>
        <v>توسعه شخصی</v>
      </c>
      <c r="G11618" s="1" t="str">
        <f>IFERROR(__xludf.DUMMYFUNCTION("GOOGLETRANSLATE(C11618, ""en"", ""fa"")
"),"همدلی و شفقت را نسبت به دیگران تمرین کنید و به دنبال درک دیدگاه ها و احساسات آنها باشید.")</f>
        <v>همدلی و شفقت را نسبت به دیگران تمرین کنید و به دنبال درک دیدگاه ها و احساسات آنها باشید.</v>
      </c>
      <c r="H11618" s="1"/>
      <c r="I11618" s="1"/>
      <c r="J11618" s="1"/>
      <c r="K11618" s="1"/>
      <c r="L11618" s="1"/>
      <c r="M11618" s="1"/>
      <c r="N11618" s="1"/>
      <c r="O11618" s="1"/>
      <c r="P11618" s="1"/>
      <c r="Q11618" s="1"/>
      <c r="R11618" s="1"/>
      <c r="S11618" s="1"/>
      <c r="T11618" s="1"/>
      <c r="U11618" s="1"/>
      <c r="V11618" s="1"/>
      <c r="W11618" s="1"/>
      <c r="X11618" s="1"/>
      <c r="Y11618" s="1"/>
      <c r="Z11618" s="1"/>
      <c r="AA11618" s="1"/>
      <c r="AB11618" s="1"/>
    </row>
    <row r="11619" ht="50.25" customHeight="1">
      <c r="A11619" s="12">
        <v>11615.0</v>
      </c>
      <c r="B11619" s="13" t="s">
        <v>11531</v>
      </c>
      <c r="C11619" s="14" t="s">
        <v>11625</v>
      </c>
      <c r="D11619" s="1"/>
      <c r="E11619" s="1"/>
      <c r="F11619" s="1" t="str">
        <f>IFERROR(__xludf.DUMMYFUNCTION("GOOGLETRANSLATE(B11619, ""en"", ""fa"")
"),"توسعه شخصی")</f>
        <v>توسعه شخصی</v>
      </c>
      <c r="G11619" s="1" t="str">
        <f>IFERROR(__xludf.DUMMYFUNCTION("GOOGLETRANSLATE(C11619, ""en"", ""fa"")
"),"برای پردازش احساسات و تجربیات، اشکال مختلف ابراز وجود، مانند روزنامه نگاری یا هنر را کاوش کنید.")</f>
        <v>برای پردازش احساسات و تجربیات، اشکال مختلف ابراز وجود، مانند روزنامه نگاری یا هنر را کاوش کنید.</v>
      </c>
      <c r="H11619" s="1"/>
      <c r="I11619" s="1"/>
      <c r="J11619" s="1"/>
      <c r="K11619" s="1"/>
      <c r="L11619" s="1"/>
      <c r="M11619" s="1"/>
      <c r="N11619" s="1"/>
      <c r="O11619" s="1"/>
      <c r="P11619" s="1"/>
      <c r="Q11619" s="1"/>
      <c r="R11619" s="1"/>
      <c r="S11619" s="1"/>
      <c r="T11619" s="1"/>
      <c r="U11619" s="1"/>
      <c r="V11619" s="1"/>
      <c r="W11619" s="1"/>
      <c r="X11619" s="1"/>
      <c r="Y11619" s="1"/>
      <c r="Z11619" s="1"/>
      <c r="AA11619" s="1"/>
      <c r="AB11619" s="1"/>
    </row>
    <row r="11620" ht="50.25" customHeight="1">
      <c r="A11620" s="12">
        <v>11616.0</v>
      </c>
      <c r="B11620" s="13" t="s">
        <v>11531</v>
      </c>
      <c r="C11620" s="14" t="s">
        <v>11626</v>
      </c>
      <c r="D11620" s="1"/>
      <c r="E11620" s="1"/>
      <c r="F11620" s="1" t="str">
        <f>IFERROR(__xludf.DUMMYFUNCTION("GOOGLETRANSLATE(B11620, ""en"", ""fa"")
"),"توسعه شخصی")</f>
        <v>توسعه شخصی</v>
      </c>
      <c r="G11620" s="1" t="str">
        <f>IFERROR(__xludf.DUMMYFUNCTION("GOOGLETRANSLATE(C11620, ""en"", ""fa"")
"),"به الگوهای خود و ویژگی هایی که در آنها تحسین می کنید فکر کنید و به دنبال تجسم آن ویژگی ها در خود باشید.")</f>
        <v>به الگوهای خود و ویژگی هایی که در آنها تحسین می کنید فکر کنید و به دنبال تجسم آن ویژگی ها در خود باشید.</v>
      </c>
      <c r="H11620" s="1"/>
      <c r="I11620" s="1"/>
      <c r="J11620" s="1"/>
      <c r="K11620" s="1"/>
      <c r="L11620" s="1"/>
      <c r="M11620" s="1"/>
      <c r="N11620" s="1"/>
      <c r="O11620" s="1"/>
      <c r="P11620" s="1"/>
      <c r="Q11620" s="1"/>
      <c r="R11620" s="1"/>
      <c r="S11620" s="1"/>
      <c r="T11620" s="1"/>
      <c r="U11620" s="1"/>
      <c r="V11620" s="1"/>
      <c r="W11620" s="1"/>
      <c r="X11620" s="1"/>
      <c r="Y11620" s="1"/>
      <c r="Z11620" s="1"/>
      <c r="AA11620" s="1"/>
      <c r="AB11620" s="1"/>
    </row>
    <row r="11621" ht="50.25" customHeight="1">
      <c r="A11621" s="12">
        <v>11617.0</v>
      </c>
      <c r="B11621" s="13" t="s">
        <v>11531</v>
      </c>
      <c r="C11621" s="14" t="s">
        <v>11627</v>
      </c>
      <c r="D11621" s="1"/>
      <c r="E11621" s="1"/>
      <c r="F11621" s="1" t="str">
        <f>IFERROR(__xludf.DUMMYFUNCTION("GOOGLETRANSLATE(B11621, ""en"", ""fa"")
"),"توسعه شخصی")</f>
        <v>توسعه شخصی</v>
      </c>
      <c r="G11621" s="1" t="str">
        <f>IFERROR(__xludf.DUMMYFUNCTION("GOOGLETRANSLATE(C11621, ""en"", ""fa"")
"),"برای اطمینان از تعادل سالم در زندگی خود، مرزهای واقع بینانه و قابل دستیابی را با فناوری تعیین کنید.")</f>
        <v>برای اطمینان از تعادل سالم در زندگی خود، مرزهای واقع بینانه و قابل دستیابی را با فناوری تعیین کنید.</v>
      </c>
      <c r="H11621" s="1"/>
      <c r="I11621" s="1"/>
      <c r="J11621" s="1"/>
      <c r="K11621" s="1"/>
      <c r="L11621" s="1"/>
      <c r="M11621" s="1"/>
      <c r="N11621" s="1"/>
      <c r="O11621" s="1"/>
      <c r="P11621" s="1"/>
      <c r="Q11621" s="1"/>
      <c r="R11621" s="1"/>
      <c r="S11621" s="1"/>
      <c r="T11621" s="1"/>
      <c r="U11621" s="1"/>
      <c r="V11621" s="1"/>
      <c r="W11621" s="1"/>
      <c r="X11621" s="1"/>
      <c r="Y11621" s="1"/>
      <c r="Z11621" s="1"/>
      <c r="AA11621" s="1"/>
      <c r="AB11621" s="1"/>
    </row>
    <row r="11622" ht="50.25" customHeight="1">
      <c r="A11622" s="12">
        <v>11618.0</v>
      </c>
      <c r="B11622" s="13" t="s">
        <v>11531</v>
      </c>
      <c r="C11622" s="14" t="s">
        <v>11628</v>
      </c>
      <c r="D11622" s="1"/>
      <c r="E11622" s="1"/>
      <c r="F11622" s="1" t="str">
        <f>IFERROR(__xludf.DUMMYFUNCTION("GOOGLETRANSLATE(B11622, ""en"", ""fa"")
"),"توسعه شخصی")</f>
        <v>توسعه شخصی</v>
      </c>
      <c r="G11622" s="1" t="str">
        <f>IFERROR(__xludf.DUMMYFUNCTION("GOOGLETRANSLATE(C11622, ""en"", ""fa"")
"),"فعالیت ها یا سرگرمی هایی را که به شما شادی می دهد شناسایی کنید و به طور منظم برای آنها وقت بگذارید.")</f>
        <v>فعالیت ها یا سرگرمی هایی را که به شما شادی می دهد شناسایی کنید و به طور منظم برای آنها وقت بگذارید.</v>
      </c>
      <c r="H11622" s="1"/>
      <c r="I11622" s="1"/>
      <c r="J11622" s="1"/>
      <c r="K11622" s="1"/>
      <c r="L11622" s="1"/>
      <c r="M11622" s="1"/>
      <c r="N11622" s="1"/>
      <c r="O11622" s="1"/>
      <c r="P11622" s="1"/>
      <c r="Q11622" s="1"/>
      <c r="R11622" s="1"/>
      <c r="S11622" s="1"/>
      <c r="T11622" s="1"/>
      <c r="U11622" s="1"/>
      <c r="V11622" s="1"/>
      <c r="W11622" s="1"/>
      <c r="X11622" s="1"/>
      <c r="Y11622" s="1"/>
      <c r="Z11622" s="1"/>
      <c r="AA11622" s="1"/>
      <c r="AB11622" s="1"/>
    </row>
    <row r="11623" ht="50.25" customHeight="1">
      <c r="A11623" s="12">
        <v>11619.0</v>
      </c>
      <c r="B11623" s="13" t="s">
        <v>11531</v>
      </c>
      <c r="C11623" s="14" t="s">
        <v>11629</v>
      </c>
      <c r="D11623" s="1"/>
      <c r="E11623" s="1"/>
      <c r="F11623" s="1" t="str">
        <f>IFERROR(__xludf.DUMMYFUNCTION("GOOGLETRANSLATE(B11623, ""en"", ""fa"")
"),"توسعه شخصی")</f>
        <v>توسعه شخصی</v>
      </c>
      <c r="G11623" s="1" t="str">
        <f>IFERROR(__xludf.DUMMYFUNCTION("GOOGLETRANSLATE(C11623, ""en"", ""fa"")
"),"در برقراری ارتباط با نیازها و نظرات خود بدون به خطر انداختن ارزش های خود، قاطعیت را تمرین کنید.")</f>
        <v>در برقراری ارتباط با نیازها و نظرات خود بدون به خطر انداختن ارزش های خود، قاطعیت را تمرین کنید.</v>
      </c>
      <c r="H11623" s="1"/>
      <c r="I11623" s="1"/>
      <c r="J11623" s="1"/>
      <c r="K11623" s="1"/>
      <c r="L11623" s="1"/>
      <c r="M11623" s="1"/>
      <c r="N11623" s="1"/>
      <c r="O11623" s="1"/>
      <c r="P11623" s="1"/>
      <c r="Q11623" s="1"/>
      <c r="R11623" s="1"/>
      <c r="S11623" s="1"/>
      <c r="T11623" s="1"/>
      <c r="U11623" s="1"/>
      <c r="V11623" s="1"/>
      <c r="W11623" s="1"/>
      <c r="X11623" s="1"/>
      <c r="Y11623" s="1"/>
      <c r="Z11623" s="1"/>
      <c r="AA11623" s="1"/>
      <c r="AB11623" s="1"/>
    </row>
    <row r="11624" ht="50.25" customHeight="1">
      <c r="A11624" s="12">
        <v>11620.0</v>
      </c>
      <c r="B11624" s="13" t="s">
        <v>11531</v>
      </c>
      <c r="C11624" s="14" t="s">
        <v>11630</v>
      </c>
      <c r="D11624" s="1"/>
      <c r="E11624" s="1"/>
      <c r="F11624" s="1" t="str">
        <f>IFERROR(__xludf.DUMMYFUNCTION("GOOGLETRANSLATE(B11624, ""en"", ""fa"")
"),"توسعه شخصی")</f>
        <v>توسعه شخصی</v>
      </c>
      <c r="G11624" s="1" t="str">
        <f>IFERROR(__xludf.DUMMYFUNCTION("GOOGLETRANSLATE(C11624, ""en"", ""fa"")
"),"تاثیر جملات تاکیدی مثبت در ایجاد اعتماد به نفس و تصویر مثبت از خود را بررسی کنید.")</f>
        <v>تاثیر جملات تاکیدی مثبت در ایجاد اعتماد به نفس و تصویر مثبت از خود را بررسی کنید.</v>
      </c>
      <c r="H11624" s="1"/>
      <c r="I11624" s="1"/>
      <c r="J11624" s="1"/>
      <c r="K11624" s="1"/>
      <c r="L11624" s="1"/>
      <c r="M11624" s="1"/>
      <c r="N11624" s="1"/>
      <c r="O11624" s="1"/>
      <c r="P11624" s="1"/>
      <c r="Q11624" s="1"/>
      <c r="R11624" s="1"/>
      <c r="S11624" s="1"/>
      <c r="T11624" s="1"/>
      <c r="U11624" s="1"/>
      <c r="V11624" s="1"/>
      <c r="W11624" s="1"/>
      <c r="X11624" s="1"/>
      <c r="Y11624" s="1"/>
      <c r="Z11624" s="1"/>
      <c r="AA11624" s="1"/>
      <c r="AB11624" s="1"/>
    </row>
    <row r="11625" ht="50.25" customHeight="1">
      <c r="A11625" s="12">
        <v>11621.0</v>
      </c>
      <c r="B11625" s="13" t="s">
        <v>11531</v>
      </c>
      <c r="C11625" s="14" t="s">
        <v>11631</v>
      </c>
      <c r="D11625" s="1"/>
      <c r="E11625" s="1"/>
      <c r="F11625" s="1" t="str">
        <f>IFERROR(__xludf.DUMMYFUNCTION("GOOGLETRANSLATE(B11625, ""en"", ""fa"")
"),"توسعه شخصی")</f>
        <v>توسعه شخصی</v>
      </c>
      <c r="G11625" s="1" t="str">
        <f>IFERROR(__xludf.DUMMYFUNCTION("GOOGLETRANSLATE(C11625, ""en"", ""fa"")
"),"در مورد هدف زندگی خود فکر کنید و راه هایی را برای هماهنگ کردن اعمال خود با ارزش های عمیق تر خود جستجو کنید.")</f>
        <v>در مورد هدف زندگی خود فکر کنید و راه هایی را برای هماهنگ کردن اعمال خود با ارزش های عمیق تر خود جستجو کنید.</v>
      </c>
      <c r="H11625" s="1"/>
      <c r="I11625" s="1"/>
      <c r="J11625" s="1"/>
      <c r="K11625" s="1"/>
      <c r="L11625" s="1"/>
      <c r="M11625" s="1"/>
      <c r="N11625" s="1"/>
      <c r="O11625" s="1"/>
      <c r="P11625" s="1"/>
      <c r="Q11625" s="1"/>
      <c r="R11625" s="1"/>
      <c r="S11625" s="1"/>
      <c r="T11625" s="1"/>
      <c r="U11625" s="1"/>
      <c r="V11625" s="1"/>
      <c r="W11625" s="1"/>
      <c r="X11625" s="1"/>
      <c r="Y11625" s="1"/>
      <c r="Z11625" s="1"/>
      <c r="AA11625" s="1"/>
      <c r="AB11625" s="1"/>
    </row>
    <row r="11626" ht="50.25" customHeight="1">
      <c r="A11626" s="12">
        <v>11622.0</v>
      </c>
      <c r="B11626" s="13" t="s">
        <v>11531</v>
      </c>
      <c r="C11626" s="14" t="s">
        <v>11632</v>
      </c>
      <c r="D11626" s="1"/>
      <c r="E11626" s="1"/>
      <c r="F11626" s="1" t="str">
        <f>IFERROR(__xludf.DUMMYFUNCTION("GOOGLETRANSLATE(B11626, ""en"", ""fa"")
"),"توسعه شخصی")</f>
        <v>توسعه شخصی</v>
      </c>
      <c r="G11626" s="1" t="str">
        <f>IFERROR(__xludf.DUMMYFUNCTION("GOOGLETRANSLATE(C11626, ""en"", ""fa"")
"),"یک تمرین انعکاس روزانه یا هفتگی برای ارزیابی پیشرفت و زمینه های بهبود خود تنظیم کنید.")</f>
        <v>یک تمرین انعکاس روزانه یا هفتگی برای ارزیابی پیشرفت و زمینه های بهبود خود تنظیم کنید.</v>
      </c>
      <c r="H11626" s="1"/>
      <c r="I11626" s="1"/>
      <c r="J11626" s="1"/>
      <c r="K11626" s="1"/>
      <c r="L11626" s="1"/>
      <c r="M11626" s="1"/>
      <c r="N11626" s="1"/>
      <c r="O11626" s="1"/>
      <c r="P11626" s="1"/>
      <c r="Q11626" s="1"/>
      <c r="R11626" s="1"/>
      <c r="S11626" s="1"/>
      <c r="T11626" s="1"/>
      <c r="U11626" s="1"/>
      <c r="V11626" s="1"/>
      <c r="W11626" s="1"/>
      <c r="X11626" s="1"/>
      <c r="Y11626" s="1"/>
      <c r="Z11626" s="1"/>
      <c r="AA11626" s="1"/>
      <c r="AB11626" s="1"/>
    </row>
    <row r="11627" ht="50.25" customHeight="1">
      <c r="A11627" s="12">
        <v>11623.0</v>
      </c>
      <c r="B11627" s="13" t="s">
        <v>11531</v>
      </c>
      <c r="C11627" s="14" t="s">
        <v>11633</v>
      </c>
      <c r="D11627" s="1"/>
      <c r="E11627" s="1"/>
      <c r="F11627" s="1" t="str">
        <f>IFERROR(__xludf.DUMMYFUNCTION("GOOGLETRANSLATE(B11627, ""en"", ""fa"")
"),"توسعه شخصی")</f>
        <v>توسعه شخصی</v>
      </c>
      <c r="G11627" s="1" t="str">
        <f>IFERROR(__xludf.DUMMYFUNCTION("GOOGLETRANSLATE(C11627, ""en"", ""fa"")
"),"باورهای محدود کننده خود را شناسایی کنید و برای حمایت از رشد شخصی خود بر روی آنها کار کنید.")</f>
        <v>باورهای محدود کننده خود را شناسایی کنید و برای حمایت از رشد شخصی خود بر روی آنها کار کنید.</v>
      </c>
      <c r="H11627" s="1"/>
      <c r="I11627" s="1"/>
      <c r="J11627" s="1"/>
      <c r="K11627" s="1"/>
      <c r="L11627" s="1"/>
      <c r="M11627" s="1"/>
      <c r="N11627" s="1"/>
      <c r="O11627" s="1"/>
      <c r="P11627" s="1"/>
      <c r="Q11627" s="1"/>
      <c r="R11627" s="1"/>
      <c r="S11627" s="1"/>
      <c r="T11627" s="1"/>
      <c r="U11627" s="1"/>
      <c r="V11627" s="1"/>
      <c r="W11627" s="1"/>
      <c r="X11627" s="1"/>
      <c r="Y11627" s="1"/>
      <c r="Z11627" s="1"/>
      <c r="AA11627" s="1"/>
      <c r="AB11627" s="1"/>
    </row>
    <row r="11628" ht="50.25" customHeight="1">
      <c r="A11628" s="12">
        <v>11624.0</v>
      </c>
      <c r="B11628" s="13" t="s">
        <v>11531</v>
      </c>
      <c r="C11628" s="14" t="s">
        <v>11634</v>
      </c>
      <c r="D11628" s="1"/>
      <c r="E11628" s="1"/>
      <c r="F11628" s="1" t="str">
        <f>IFERROR(__xludf.DUMMYFUNCTION("GOOGLETRANSLATE(B11628, ""en"", ""fa"")
"),"توسعه شخصی")</f>
        <v>توسعه شخصی</v>
      </c>
      <c r="G11628" s="1" t="str">
        <f>IFERROR(__xludf.DUMMYFUNCTION("GOOGLETRANSLATE(C11628, ""en"", ""fa"")
"),"تمرینات تنفس عمیق را برای تقویت آرامش و کاهش استرس انجام دهید.")</f>
        <v>تمرینات تنفس عمیق را برای تقویت آرامش و کاهش استرس انجام دهید.</v>
      </c>
      <c r="H11628" s="1"/>
      <c r="I11628" s="1"/>
      <c r="J11628" s="1"/>
      <c r="K11628" s="1"/>
      <c r="L11628" s="1"/>
      <c r="M11628" s="1"/>
      <c r="N11628" s="1"/>
      <c r="O11628" s="1"/>
      <c r="P11628" s="1"/>
      <c r="Q11628" s="1"/>
      <c r="R11628" s="1"/>
      <c r="S11628" s="1"/>
      <c r="T11628" s="1"/>
      <c r="U11628" s="1"/>
      <c r="V11628" s="1"/>
      <c r="W11628" s="1"/>
      <c r="X11628" s="1"/>
      <c r="Y11628" s="1"/>
      <c r="Z11628" s="1"/>
      <c r="AA11628" s="1"/>
      <c r="AB11628" s="1"/>
    </row>
    <row r="11629" ht="50.25" customHeight="1">
      <c r="A11629" s="12">
        <v>11625.0</v>
      </c>
      <c r="B11629" s="13" t="s">
        <v>11531</v>
      </c>
      <c r="C11629" s="14" t="s">
        <v>11635</v>
      </c>
      <c r="D11629" s="1"/>
      <c r="E11629" s="1"/>
      <c r="F11629" s="1" t="str">
        <f>IFERROR(__xludf.DUMMYFUNCTION("GOOGLETRANSLATE(B11629, ""en"", ""fa"")
"),"توسعه شخصی")</f>
        <v>توسعه شخصی</v>
      </c>
      <c r="G11629" s="1" t="str">
        <f>IFERROR(__xludf.DUMMYFUNCTION("GOOGLETRANSLATE(C11629, ""en"", ""fa"")
"),"اشکال مختلف حل خلاقانه مسئله را برای غلبه بر چالش ها و یافتن راه حل های نوآورانه کاوش کنید.")</f>
        <v>اشکال مختلف حل خلاقانه مسئله را برای غلبه بر چالش ها و یافتن راه حل های نوآورانه کاوش کنید.</v>
      </c>
      <c r="H11629" s="1"/>
      <c r="I11629" s="1"/>
      <c r="J11629" s="1"/>
      <c r="K11629" s="1"/>
      <c r="L11629" s="1"/>
      <c r="M11629" s="1"/>
      <c r="N11629" s="1"/>
      <c r="O11629" s="1"/>
      <c r="P11629" s="1"/>
      <c r="Q11629" s="1"/>
      <c r="R11629" s="1"/>
      <c r="S11629" s="1"/>
      <c r="T11629" s="1"/>
      <c r="U11629" s="1"/>
      <c r="V11629" s="1"/>
      <c r="W11629" s="1"/>
      <c r="X11629" s="1"/>
      <c r="Y11629" s="1"/>
      <c r="Z11629" s="1"/>
      <c r="AA11629" s="1"/>
      <c r="AB11629" s="1"/>
    </row>
    <row r="11630" ht="50.25" customHeight="1">
      <c r="A11630" s="12">
        <v>11626.0</v>
      </c>
      <c r="B11630" s="13" t="s">
        <v>11531</v>
      </c>
      <c r="C11630" s="14" t="s">
        <v>11636</v>
      </c>
      <c r="D11630" s="1"/>
      <c r="E11630" s="1"/>
      <c r="F11630" s="1" t="str">
        <f>IFERROR(__xludf.DUMMYFUNCTION("GOOGLETRANSLATE(B11630, ""en"", ""fa"")
"),"توسعه شخصی")</f>
        <v>توسعه شخصی</v>
      </c>
      <c r="G11630" s="1" t="str">
        <f>IFERROR(__xludf.DUMMYFUNCTION("GOOGLETRANSLATE(C11630, ""en"", ""fa"")
"),"در مورد علایق و علایق خود فکر کنید و در نظر بگیرید که چگونه می توانید آنها را در حرفه یا زندگی روزمره خود بگنجانید.")</f>
        <v>در مورد علایق و علایق خود فکر کنید و در نظر بگیرید که چگونه می توانید آنها را در حرفه یا زندگی روزمره خود بگنجانید.</v>
      </c>
      <c r="H11630" s="1"/>
      <c r="I11630" s="1"/>
      <c r="J11630" s="1"/>
      <c r="K11630" s="1"/>
      <c r="L11630" s="1"/>
      <c r="M11630" s="1"/>
      <c r="N11630" s="1"/>
      <c r="O11630" s="1"/>
      <c r="P11630" s="1"/>
      <c r="Q11630" s="1"/>
      <c r="R11630" s="1"/>
      <c r="S11630" s="1"/>
      <c r="T11630" s="1"/>
      <c r="U11630" s="1"/>
      <c r="V11630" s="1"/>
      <c r="W11630" s="1"/>
      <c r="X11630" s="1"/>
      <c r="Y11630" s="1"/>
      <c r="Z11630" s="1"/>
      <c r="AA11630" s="1"/>
      <c r="AB11630" s="1"/>
    </row>
    <row r="11631" ht="50.25" customHeight="1">
      <c r="A11631" s="12">
        <v>11627.0</v>
      </c>
      <c r="B11631" s="13" t="s">
        <v>11531</v>
      </c>
      <c r="C11631" s="14" t="s">
        <v>11637</v>
      </c>
      <c r="D11631" s="1"/>
      <c r="E11631" s="1"/>
      <c r="F11631" s="1" t="str">
        <f>IFERROR(__xludf.DUMMYFUNCTION("GOOGLETRANSLATE(B11631, ""en"", ""fa"")
"),"توسعه شخصی")</f>
        <v>توسعه شخصی</v>
      </c>
      <c r="G11631" s="1" t="str">
        <f>IFERROR(__xludf.DUMMYFUNCTION("GOOGLETRANSLATE(C11631, ""en"", ""fa"")
"),"برای محافظت از رفاه عاطفی خود، با روابط یا محیط های سمی مرزبندی کنید.")</f>
        <v>برای محافظت از رفاه عاطفی خود، با روابط یا محیط های سمی مرزبندی کنید.</v>
      </c>
      <c r="H11631" s="1"/>
      <c r="I11631" s="1"/>
      <c r="J11631" s="1"/>
      <c r="K11631" s="1"/>
      <c r="L11631" s="1"/>
      <c r="M11631" s="1"/>
      <c r="N11631" s="1"/>
      <c r="O11631" s="1"/>
      <c r="P11631" s="1"/>
      <c r="Q11631" s="1"/>
      <c r="R11631" s="1"/>
      <c r="S11631" s="1"/>
      <c r="T11631" s="1"/>
      <c r="U11631" s="1"/>
      <c r="V11631" s="1"/>
      <c r="W11631" s="1"/>
      <c r="X11631" s="1"/>
      <c r="Y11631" s="1"/>
      <c r="Z11631" s="1"/>
      <c r="AA11631" s="1"/>
      <c r="AB11631" s="1"/>
    </row>
    <row r="11632" ht="50.25" customHeight="1">
      <c r="A11632" s="12">
        <v>11628.0</v>
      </c>
      <c r="B11632" s="13" t="s">
        <v>11531</v>
      </c>
      <c r="C11632" s="14" t="s">
        <v>11638</v>
      </c>
      <c r="D11632" s="1"/>
      <c r="E11632" s="1"/>
      <c r="F11632" s="1" t="str">
        <f>IFERROR(__xludf.DUMMYFUNCTION("GOOGLETRANSLATE(B11632, ""en"", ""fa"")
"),"توسعه شخصی")</f>
        <v>توسعه شخصی</v>
      </c>
      <c r="G11632" s="1" t="str">
        <f>IFERROR(__xludf.DUMMYFUNCTION("GOOGLETRANSLATE(C11632, ""en"", ""fa"")
"),"ارزش ها و اصولی را که تصمیم گیری و اقدامات شما را در زندگی هدایت می کنند، شناسایی کنید.")</f>
        <v>ارزش ها و اصولی را که تصمیم گیری و اقدامات شما را در زندگی هدایت می کنند، شناسایی کنید.</v>
      </c>
      <c r="H11632" s="1"/>
      <c r="I11632" s="1"/>
      <c r="J11632" s="1"/>
      <c r="K11632" s="1"/>
      <c r="L11632" s="1"/>
      <c r="M11632" s="1"/>
      <c r="N11632" s="1"/>
      <c r="O11632" s="1"/>
      <c r="P11632" s="1"/>
      <c r="Q11632" s="1"/>
      <c r="R11632" s="1"/>
      <c r="S11632" s="1"/>
      <c r="T11632" s="1"/>
      <c r="U11632" s="1"/>
      <c r="V11632" s="1"/>
      <c r="W11632" s="1"/>
      <c r="X11632" s="1"/>
      <c r="Y11632" s="1"/>
      <c r="Z11632" s="1"/>
      <c r="AA11632" s="1"/>
      <c r="AB11632" s="1"/>
    </row>
    <row r="11633" ht="50.25" customHeight="1">
      <c r="A11633" s="12">
        <v>11629.0</v>
      </c>
      <c r="B11633" s="13" t="s">
        <v>11531</v>
      </c>
      <c r="C11633" s="14" t="s">
        <v>11639</v>
      </c>
      <c r="D11633" s="1"/>
      <c r="E11633" s="1"/>
      <c r="F11633" s="1" t="str">
        <f>IFERROR(__xludf.DUMMYFUNCTION("GOOGLETRANSLATE(B11633, ""en"", ""fa"")
"),"توسعه شخصی")</f>
        <v>توسعه شخصی</v>
      </c>
      <c r="G11633" s="1" t="str">
        <f>IFERROR(__xludf.DUMMYFUNCTION("GOOGLETRANSLATE(C11633, ""en"", ""fa"")
"),"در مدیریت زمان و منابع خود برای رسیدن به اهداف خود نظم و انضباط را تمرین کنید.")</f>
        <v>در مدیریت زمان و منابع خود برای رسیدن به اهداف خود نظم و انضباط را تمرین کنید.</v>
      </c>
      <c r="H11633" s="1"/>
      <c r="I11633" s="1"/>
      <c r="J11633" s="1"/>
      <c r="K11633" s="1"/>
      <c r="L11633" s="1"/>
      <c r="M11633" s="1"/>
      <c r="N11633" s="1"/>
      <c r="O11633" s="1"/>
      <c r="P11633" s="1"/>
      <c r="Q11633" s="1"/>
      <c r="R11633" s="1"/>
      <c r="S11633" s="1"/>
      <c r="T11633" s="1"/>
      <c r="U11633" s="1"/>
      <c r="V11633" s="1"/>
      <c r="W11633" s="1"/>
      <c r="X11633" s="1"/>
      <c r="Y11633" s="1"/>
      <c r="Z11633" s="1"/>
      <c r="AA11633" s="1"/>
      <c r="AB11633" s="1"/>
    </row>
    <row r="11634" ht="50.25" customHeight="1">
      <c r="A11634" s="12">
        <v>11630.0</v>
      </c>
      <c r="B11634" s="13" t="s">
        <v>11531</v>
      </c>
      <c r="C11634" s="14" t="s">
        <v>11640</v>
      </c>
      <c r="D11634" s="1"/>
      <c r="E11634" s="1"/>
      <c r="F11634" s="1" t="str">
        <f>IFERROR(__xludf.DUMMYFUNCTION("GOOGLETRANSLATE(B11634, ""en"", ""fa"")
"),"توسعه شخصی")</f>
        <v>توسعه شخصی</v>
      </c>
      <c r="G11634" s="1" t="str">
        <f>IFERROR(__xludf.DUMMYFUNCTION("GOOGLETRANSLATE(C11634, ""en"", ""fa"")
"),"تکنیک های مختلف برای افزایش تمرکز و تمرکز خود را در طول کارها و فعالیت ها کاوش کنید.")</f>
        <v>تکنیک های مختلف برای افزایش تمرکز و تمرکز خود را در طول کارها و فعالیت ها کاوش کنید.</v>
      </c>
      <c r="H11634" s="1"/>
      <c r="I11634" s="1"/>
      <c r="J11634" s="1"/>
      <c r="K11634" s="1"/>
      <c r="L11634" s="1"/>
      <c r="M11634" s="1"/>
      <c r="N11634" s="1"/>
      <c r="O11634" s="1"/>
      <c r="P11634" s="1"/>
      <c r="Q11634" s="1"/>
      <c r="R11634" s="1"/>
      <c r="S11634" s="1"/>
      <c r="T11634" s="1"/>
      <c r="U11634" s="1"/>
      <c r="V11634" s="1"/>
      <c r="W11634" s="1"/>
      <c r="X11634" s="1"/>
      <c r="Y11634" s="1"/>
      <c r="Z11634" s="1"/>
      <c r="AA11634" s="1"/>
      <c r="AB11634" s="1"/>
    </row>
    <row r="11635" ht="50.25" customHeight="1">
      <c r="A11635" s="12">
        <v>11631.0</v>
      </c>
      <c r="B11635" s="13" t="s">
        <v>11531</v>
      </c>
      <c r="C11635" s="14" t="s">
        <v>11641</v>
      </c>
      <c r="D11635" s="1"/>
      <c r="E11635" s="1"/>
      <c r="F11635" s="1" t="str">
        <f>IFERROR(__xludf.DUMMYFUNCTION("GOOGLETRANSLATE(B11635, ""en"", ""fa"")
"),"توسعه شخصی")</f>
        <v>توسعه شخصی</v>
      </c>
      <c r="G11635" s="1" t="str">
        <f>IFERROR(__xludf.DUMMYFUNCTION("GOOGLETRANSLATE(C11635, ""en"", ""fa"")
"),"در مورد تجربیات گذشته انعطاف پذیری و پشتکار فکر کنید و در زمان های سخت از آنها قدرت بگیرید.")</f>
        <v>در مورد تجربیات گذشته انعطاف پذیری و پشتکار فکر کنید و در زمان های سخت از آنها قدرت بگیرید.</v>
      </c>
      <c r="H11635" s="1"/>
      <c r="I11635" s="1"/>
      <c r="J11635" s="1"/>
      <c r="K11635" s="1"/>
      <c r="L11635" s="1"/>
      <c r="M11635" s="1"/>
      <c r="N11635" s="1"/>
      <c r="O11635" s="1"/>
      <c r="P11635" s="1"/>
      <c r="Q11635" s="1"/>
      <c r="R11635" s="1"/>
      <c r="S11635" s="1"/>
      <c r="T11635" s="1"/>
      <c r="U11635" s="1"/>
      <c r="V11635" s="1"/>
      <c r="W11635" s="1"/>
      <c r="X11635" s="1"/>
      <c r="Y11635" s="1"/>
      <c r="Z11635" s="1"/>
      <c r="AA11635" s="1"/>
      <c r="AB11635" s="1"/>
    </row>
    <row r="11636" ht="50.25" customHeight="1">
      <c r="A11636" s="12">
        <v>11632.0</v>
      </c>
      <c r="B11636" s="13" t="s">
        <v>11531</v>
      </c>
      <c r="C11636" s="14" t="s">
        <v>11642</v>
      </c>
      <c r="D11636" s="1"/>
      <c r="E11636" s="1"/>
      <c r="F11636" s="1" t="str">
        <f>IFERROR(__xludf.DUMMYFUNCTION("GOOGLETRANSLATE(B11636, ""en"", ""fa"")
"),"توسعه شخصی")</f>
        <v>توسعه شخصی</v>
      </c>
      <c r="G11636" s="1" t="str">
        <f>IFERROR(__xludf.DUMMYFUNCTION("GOOGLETRANSLATE(C11636, ""en"", ""fa"")
"),"برای حفظ تعادل بین کار و زندگی، در زمان شخصی مرزهای خاصی را با وظایف مربوط به کار تعیین کنید.")</f>
        <v>برای حفظ تعادل بین کار و زندگی، در زمان شخصی مرزهای خاصی را با وظایف مربوط به کار تعیین کنید.</v>
      </c>
      <c r="H11636" s="1"/>
      <c r="I11636" s="1"/>
      <c r="J11636" s="1"/>
      <c r="K11636" s="1"/>
      <c r="L11636" s="1"/>
      <c r="M11636" s="1"/>
      <c r="N11636" s="1"/>
      <c r="O11636" s="1"/>
      <c r="P11636" s="1"/>
      <c r="Q11636" s="1"/>
      <c r="R11636" s="1"/>
      <c r="S11636" s="1"/>
      <c r="T11636" s="1"/>
      <c r="U11636" s="1"/>
      <c r="V11636" s="1"/>
      <c r="W11636" s="1"/>
      <c r="X11636" s="1"/>
      <c r="Y11636" s="1"/>
      <c r="Z11636" s="1"/>
      <c r="AA11636" s="1"/>
      <c r="AB11636" s="1"/>
    </row>
    <row r="11637" ht="50.25" customHeight="1">
      <c r="A11637" s="12">
        <v>11633.0</v>
      </c>
      <c r="B11637" s="13" t="s">
        <v>11531</v>
      </c>
      <c r="C11637" s="14" t="s">
        <v>11601</v>
      </c>
      <c r="D11637" s="1"/>
      <c r="E11637" s="1"/>
      <c r="F11637" s="1" t="str">
        <f>IFERROR(__xludf.DUMMYFUNCTION("GOOGLETRANSLATE(B11637, ""en"", ""fa"")
"),"توسعه شخصی")</f>
        <v>توسعه شخصی</v>
      </c>
      <c r="G11637" s="1" t="str">
        <f>IFERROR(__xludf.DUMMYFUNCTION("GOOGLETRANSLATE(C11637, ""en"", ""fa"")
"),"عادات یا رفتارهایی را که ممکن است مانع رشد شما شوند را شناسایی کنید و روی تغییر آنها کار کنید.")</f>
        <v>عادات یا رفتارهایی را که ممکن است مانع رشد شما شوند را شناسایی کنید و روی تغییر آنها کار کنید.</v>
      </c>
      <c r="H11637" s="1"/>
      <c r="I11637" s="1"/>
      <c r="J11637" s="1"/>
      <c r="K11637" s="1"/>
      <c r="L11637" s="1"/>
      <c r="M11637" s="1"/>
      <c r="N11637" s="1"/>
      <c r="O11637" s="1"/>
      <c r="P11637" s="1"/>
      <c r="Q11637" s="1"/>
      <c r="R11637" s="1"/>
      <c r="S11637" s="1"/>
      <c r="T11637" s="1"/>
      <c r="U11637" s="1"/>
      <c r="V11637" s="1"/>
      <c r="W11637" s="1"/>
      <c r="X11637" s="1"/>
      <c r="Y11637" s="1"/>
      <c r="Z11637" s="1"/>
      <c r="AA11637" s="1"/>
      <c r="AB11637" s="1"/>
    </row>
    <row r="11638" ht="50.25" customHeight="1">
      <c r="A11638" s="12">
        <v>11634.0</v>
      </c>
      <c r="B11638" s="13" t="s">
        <v>11531</v>
      </c>
      <c r="C11638" s="14" t="s">
        <v>11643</v>
      </c>
      <c r="D11638" s="1"/>
      <c r="E11638" s="1"/>
      <c r="F11638" s="1" t="str">
        <f>IFERROR(__xludf.DUMMYFUNCTION("GOOGLETRANSLATE(B11638, ""en"", ""fa"")
"),"توسعه شخصی")</f>
        <v>توسعه شخصی</v>
      </c>
      <c r="G11638" s="1" t="str">
        <f>IFERROR(__xludf.DUMMYFUNCTION("GOOGLETRANSLATE(C11638, ""en"", ""fa"")
"),"تکنیک های تجسم را تمرین کنید تا آینده دلخواه خود را تصور و آشکار کنید.")</f>
        <v>تکنیک های تجسم را تمرین کنید تا آینده دلخواه خود را تصور و آشکار کنید.</v>
      </c>
      <c r="H11638" s="1"/>
      <c r="I11638" s="1"/>
      <c r="J11638" s="1"/>
      <c r="K11638" s="1"/>
      <c r="L11638" s="1"/>
      <c r="M11638" s="1"/>
      <c r="N11638" s="1"/>
      <c r="O11638" s="1"/>
      <c r="P11638" s="1"/>
      <c r="Q11638" s="1"/>
      <c r="R11638" s="1"/>
      <c r="S11638" s="1"/>
      <c r="T11638" s="1"/>
      <c r="U11638" s="1"/>
      <c r="V11638" s="1"/>
      <c r="W11638" s="1"/>
      <c r="X11638" s="1"/>
      <c r="Y11638" s="1"/>
      <c r="Z11638" s="1"/>
      <c r="AA11638" s="1"/>
      <c r="AB11638" s="1"/>
    </row>
    <row r="11639" ht="50.25" customHeight="1">
      <c r="A11639" s="12">
        <v>11635.0</v>
      </c>
      <c r="B11639" s="13" t="s">
        <v>11531</v>
      </c>
      <c r="C11639" s="14" t="s">
        <v>11602</v>
      </c>
      <c r="D11639" s="1"/>
      <c r="E11639" s="1"/>
      <c r="F11639" s="1" t="str">
        <f>IFERROR(__xludf.DUMMYFUNCTION("GOOGLETRANSLATE(B11639, ""en"", ""fa"")
"),"توسعه شخصی")</f>
        <v>توسعه شخصی</v>
      </c>
      <c r="G11639" s="1" t="str">
        <f>IFERROR(__xludf.DUMMYFUNCTION("GOOGLETRANSLATE(C11639, ""en"", ""fa"")
"),"مفهوم شفقت به خود را کاوش کنید و تمرین کنید که نسبت به خودتان مهربان و فهمیده باشید.")</f>
        <v>مفهوم شفقت به خود را کاوش کنید و تمرین کنید که نسبت به خودتان مهربان و فهمیده باشید.</v>
      </c>
      <c r="H11639" s="1"/>
      <c r="I11639" s="1"/>
      <c r="J11639" s="1"/>
      <c r="K11639" s="1"/>
      <c r="L11639" s="1"/>
      <c r="M11639" s="1"/>
      <c r="N11639" s="1"/>
      <c r="O11639" s="1"/>
      <c r="P11639" s="1"/>
      <c r="Q11639" s="1"/>
      <c r="R11639" s="1"/>
      <c r="S11639" s="1"/>
      <c r="T11639" s="1"/>
      <c r="U11639" s="1"/>
      <c r="V11639" s="1"/>
      <c r="W11639" s="1"/>
      <c r="X11639" s="1"/>
      <c r="Y11639" s="1"/>
      <c r="Z11639" s="1"/>
      <c r="AA11639" s="1"/>
      <c r="AB11639" s="1"/>
    </row>
    <row r="11640" ht="50.25" customHeight="1">
      <c r="A11640" s="12">
        <v>11636.0</v>
      </c>
      <c r="B11640" s="13" t="s">
        <v>11531</v>
      </c>
      <c r="C11640" s="14" t="s">
        <v>11603</v>
      </c>
      <c r="D11640" s="1"/>
      <c r="E11640" s="1"/>
      <c r="F11640" s="1" t="str">
        <f>IFERROR(__xludf.DUMMYFUNCTION("GOOGLETRANSLATE(B11640, ""en"", ""fa"")
"),"توسعه شخصی")</f>
        <v>توسعه شخصی</v>
      </c>
      <c r="G11640" s="1" t="str">
        <f>IFERROR(__xludf.DUMMYFUNCTION("GOOGLETRANSLATE(C11640, ""en"", ""fa"")
"),"به نقاط قوت شخصی خود فکر کنید و راه هایی برای استفاده از آنها در شغل یا زندگی روزمره خود بیابید.")</f>
        <v>به نقاط قوت شخصی خود فکر کنید و راه هایی برای استفاده از آنها در شغل یا زندگی روزمره خود بیابید.</v>
      </c>
      <c r="H11640" s="1"/>
      <c r="I11640" s="1"/>
      <c r="J11640" s="1"/>
      <c r="K11640" s="1"/>
      <c r="L11640" s="1"/>
      <c r="M11640" s="1"/>
      <c r="N11640" s="1"/>
      <c r="O11640" s="1"/>
      <c r="P11640" s="1"/>
      <c r="Q11640" s="1"/>
      <c r="R11640" s="1"/>
      <c r="S11640" s="1"/>
      <c r="T11640" s="1"/>
      <c r="U11640" s="1"/>
      <c r="V11640" s="1"/>
      <c r="W11640" s="1"/>
      <c r="X11640" s="1"/>
      <c r="Y11640" s="1"/>
      <c r="Z11640" s="1"/>
      <c r="AA11640" s="1"/>
      <c r="AB11640" s="1"/>
    </row>
    <row r="11641" ht="50.25" customHeight="1">
      <c r="A11641" s="12">
        <v>11637.0</v>
      </c>
      <c r="B11641" s="13" t="s">
        <v>11531</v>
      </c>
      <c r="C11641" s="14" t="s">
        <v>11605</v>
      </c>
      <c r="D11641" s="1"/>
      <c r="E11641" s="1"/>
      <c r="F11641" s="1" t="str">
        <f>IFERROR(__xludf.DUMMYFUNCTION("GOOGLETRANSLATE(B11641, ""en"", ""fa"")
"),"توسعه شخصی")</f>
        <v>توسعه شخصی</v>
      </c>
      <c r="G11641" s="1" t="str">
        <f>IFERROR(__xludf.DUMMYFUNCTION("GOOGLETRANSLATE(C11641, ""en"", ""fa"")
"),"اهداف واقع بینانه و قابل دستیابی را برای پیشرفت شخصی تعیین کنید و پیشرفت خود را به طور منظم پیگیری کنید.")</f>
        <v>اهداف واقع بینانه و قابل دستیابی را برای پیشرفت شخصی تعیین کنید و پیشرفت خود را به طور منظم پیگیری کنید.</v>
      </c>
      <c r="H11641" s="1"/>
      <c r="I11641" s="1"/>
      <c r="J11641" s="1"/>
      <c r="K11641" s="1"/>
      <c r="L11641" s="1"/>
      <c r="M11641" s="1"/>
      <c r="N11641" s="1"/>
      <c r="O11641" s="1"/>
      <c r="P11641" s="1"/>
      <c r="Q11641" s="1"/>
      <c r="R11641" s="1"/>
      <c r="S11641" s="1"/>
      <c r="T11641" s="1"/>
      <c r="U11641" s="1"/>
      <c r="V11641" s="1"/>
      <c r="W11641" s="1"/>
      <c r="X11641" s="1"/>
      <c r="Y11641" s="1"/>
      <c r="Z11641" s="1"/>
      <c r="AA11641" s="1"/>
      <c r="AB11641" s="1"/>
    </row>
    <row r="11642" ht="50.25" customHeight="1">
      <c r="A11642" s="12">
        <v>11638.0</v>
      </c>
      <c r="B11642" s="13" t="s">
        <v>11531</v>
      </c>
      <c r="C11642" s="14" t="s">
        <v>11606</v>
      </c>
      <c r="D11642" s="1"/>
      <c r="E11642" s="1"/>
      <c r="F11642" s="1" t="str">
        <f>IFERROR(__xludf.DUMMYFUNCTION("GOOGLETRANSLATE(B11642, ""en"", ""fa"")
"),"توسعه شخصی")</f>
        <v>توسعه شخصی</v>
      </c>
      <c r="G11642" s="1" t="str">
        <f>IFERROR(__xludf.DUMMYFUNCTION("GOOGLETRANSLATE(C11642, ""en"", ""fa"")
"),"منابع استرس را در زندگی خود شناسایی کنید و مکانیسم های مقابله ای سالم مانند ورزش یا فعالیت های خلاقانه را کشف کنید.")</f>
        <v>منابع استرس را در زندگی خود شناسایی کنید و مکانیسم های مقابله ای سالم مانند ورزش یا فعالیت های خلاقانه را کشف کنید.</v>
      </c>
      <c r="H11642" s="1"/>
      <c r="I11642" s="1"/>
      <c r="J11642" s="1"/>
      <c r="K11642" s="1"/>
      <c r="L11642" s="1"/>
      <c r="M11642" s="1"/>
      <c r="N11642" s="1"/>
      <c r="O11642" s="1"/>
      <c r="P11642" s="1"/>
      <c r="Q11642" s="1"/>
      <c r="R11642" s="1"/>
      <c r="S11642" s="1"/>
      <c r="T11642" s="1"/>
      <c r="U11642" s="1"/>
      <c r="V11642" s="1"/>
      <c r="W11642" s="1"/>
      <c r="X11642" s="1"/>
      <c r="Y11642" s="1"/>
      <c r="Z11642" s="1"/>
      <c r="AA11642" s="1"/>
      <c r="AB11642" s="1"/>
    </row>
    <row r="11643" ht="50.25" customHeight="1">
      <c r="A11643" s="12">
        <v>11639.0</v>
      </c>
      <c r="B11643" s="13" t="s">
        <v>11531</v>
      </c>
      <c r="C11643" s="14" t="s">
        <v>11607</v>
      </c>
      <c r="D11643" s="1"/>
      <c r="E11643" s="1"/>
      <c r="F11643" s="1" t="str">
        <f>IFERROR(__xludf.DUMMYFUNCTION("GOOGLETRANSLATE(B11643, ""en"", ""fa"")
"),"توسعه شخصی")</f>
        <v>توسعه شخصی</v>
      </c>
      <c r="G11643" s="1" t="str">
        <f>IFERROR(__xludf.DUMMYFUNCTION("GOOGLETRANSLATE(C11643, ""en"", ""fa"")
"),"مزایای مدیتیشن ذهن آگاهی و اینکه چگونه می تواند بهزیستی ذهنی شما را بهبود بخشد را بررسی کنید.")</f>
        <v>مزایای مدیتیشن ذهن آگاهی و اینکه چگونه می تواند بهزیستی ذهنی شما را بهبود بخشد را بررسی کنید.</v>
      </c>
      <c r="H11643" s="1"/>
      <c r="I11643" s="1"/>
      <c r="J11643" s="1"/>
      <c r="K11643" s="1"/>
      <c r="L11643" s="1"/>
      <c r="M11643" s="1"/>
      <c r="N11643" s="1"/>
      <c r="O11643" s="1"/>
      <c r="P11643" s="1"/>
      <c r="Q11643" s="1"/>
      <c r="R11643" s="1"/>
      <c r="S11643" s="1"/>
      <c r="T11643" s="1"/>
      <c r="U11643" s="1"/>
      <c r="V11643" s="1"/>
      <c r="W11643" s="1"/>
      <c r="X11643" s="1"/>
      <c r="Y11643" s="1"/>
      <c r="Z11643" s="1"/>
      <c r="AA11643" s="1"/>
      <c r="AB11643" s="1"/>
    </row>
    <row r="11644" ht="50.25" customHeight="1">
      <c r="A11644" s="12">
        <v>11640.0</v>
      </c>
      <c r="B11644" s="13" t="s">
        <v>11531</v>
      </c>
      <c r="C11644" s="14" t="s">
        <v>11608</v>
      </c>
      <c r="D11644" s="1"/>
      <c r="E11644" s="1"/>
      <c r="F11644" s="1" t="str">
        <f>IFERROR(__xludf.DUMMYFUNCTION("GOOGLETRANSLATE(B11644, ""en"", ""fa"")
"),"توسعه شخصی")</f>
        <v>توسعه شخصی</v>
      </c>
      <c r="G11644" s="1" t="str">
        <f>IFERROR(__xludf.DUMMYFUNCTION("GOOGLETRANSLATE(C11644, ""en"", ""fa"")
"),"به ارزش های اصلی خود و اینکه چگونه آنها تصمیمات و اقدامات شما را هدایت می کنند فکر کنید.")</f>
        <v>به ارزش های اصلی خود و اینکه چگونه آنها تصمیمات و اقدامات شما را هدایت می کنند فکر کنید.</v>
      </c>
      <c r="H11644" s="1"/>
      <c r="I11644" s="1"/>
      <c r="J11644" s="1"/>
      <c r="K11644" s="1"/>
      <c r="L11644" s="1"/>
      <c r="M11644" s="1"/>
      <c r="N11644" s="1"/>
      <c r="O11644" s="1"/>
      <c r="P11644" s="1"/>
      <c r="Q11644" s="1"/>
      <c r="R11644" s="1"/>
      <c r="S11644" s="1"/>
      <c r="T11644" s="1"/>
      <c r="U11644" s="1"/>
      <c r="V11644" s="1"/>
      <c r="W11644" s="1"/>
      <c r="X11644" s="1"/>
      <c r="Y11644" s="1"/>
      <c r="Z11644" s="1"/>
      <c r="AA11644" s="1"/>
      <c r="AB11644" s="1"/>
    </row>
    <row r="11645" ht="50.25" customHeight="1">
      <c r="A11645" s="12">
        <v>11641.0</v>
      </c>
      <c r="B11645" s="13" t="s">
        <v>11531</v>
      </c>
      <c r="C11645" s="14" t="s">
        <v>11590</v>
      </c>
      <c r="D11645" s="1"/>
      <c r="E11645" s="1"/>
      <c r="F11645" s="1" t="str">
        <f>IFERROR(__xludf.DUMMYFUNCTION("GOOGLETRANSLATE(B11645, ""en"", ""fa"")
"),"توسعه شخصی")</f>
        <v>توسعه شخصی</v>
      </c>
      <c r="G11645" s="1" t="str">
        <f>IFERROR(__xludf.DUMMYFUNCTION("GOOGLETRANSLATE(C11645, ""en"", ""fa"")
"),"قدردانی را با ابراز قدردانی از افراد و تجربیات زندگی خود تمرین کنید.")</f>
        <v>قدردانی را با ابراز قدردانی از افراد و تجربیات زندگی خود تمرین کنید.</v>
      </c>
      <c r="H11645" s="1"/>
      <c r="I11645" s="1"/>
      <c r="J11645" s="1"/>
      <c r="K11645" s="1"/>
      <c r="L11645" s="1"/>
      <c r="M11645" s="1"/>
      <c r="N11645" s="1"/>
      <c r="O11645" s="1"/>
      <c r="P11645" s="1"/>
      <c r="Q11645" s="1"/>
      <c r="R11645" s="1"/>
      <c r="S11645" s="1"/>
      <c r="T11645" s="1"/>
      <c r="U11645" s="1"/>
      <c r="V11645" s="1"/>
      <c r="W11645" s="1"/>
      <c r="X11645" s="1"/>
      <c r="Y11645" s="1"/>
      <c r="Z11645" s="1"/>
      <c r="AA11645" s="1"/>
      <c r="AB11645" s="1"/>
    </row>
    <row r="11646" ht="50.25" customHeight="1">
      <c r="A11646" s="12">
        <v>11642.0</v>
      </c>
      <c r="B11646" s="13" t="s">
        <v>11531</v>
      </c>
      <c r="C11646" s="14" t="s">
        <v>11533</v>
      </c>
      <c r="D11646" s="1"/>
      <c r="E11646" s="1"/>
      <c r="F11646" s="1" t="str">
        <f>IFERROR(__xludf.DUMMYFUNCTION("GOOGLETRANSLATE(B11646, ""en"", ""fa"")
"),"توسعه شخصی")</f>
        <v>توسعه شخصی</v>
      </c>
      <c r="G11646" s="1" t="str">
        <f>IFERROR(__xludf.DUMMYFUNCTION("GOOGLETRANSLATE(C11646, ""en"", ""fa"")
"),"اهداف کوتاه مدت و بلند مدت مشخص و قابل دستیابی را برای رشد شخصی تعیین کنید.")</f>
        <v>اهداف کوتاه مدت و بلند مدت مشخص و قابل دستیابی را برای رشد شخصی تعیین کنید.</v>
      </c>
      <c r="H11646" s="1"/>
      <c r="I11646" s="1"/>
      <c r="J11646" s="1"/>
      <c r="K11646" s="1"/>
      <c r="L11646" s="1"/>
      <c r="M11646" s="1"/>
      <c r="N11646" s="1"/>
      <c r="O11646" s="1"/>
      <c r="P11646" s="1"/>
      <c r="Q11646" s="1"/>
      <c r="R11646" s="1"/>
      <c r="S11646" s="1"/>
      <c r="T11646" s="1"/>
      <c r="U11646" s="1"/>
      <c r="V11646" s="1"/>
      <c r="W11646" s="1"/>
      <c r="X11646" s="1"/>
      <c r="Y11646" s="1"/>
      <c r="Z11646" s="1"/>
      <c r="AA11646" s="1"/>
      <c r="AB11646" s="1"/>
    </row>
    <row r="11647" ht="50.25" customHeight="1">
      <c r="A11647" s="12">
        <v>11643.0</v>
      </c>
      <c r="B11647" s="13" t="s">
        <v>11531</v>
      </c>
      <c r="C11647" s="14" t="s">
        <v>11534</v>
      </c>
      <c r="D11647" s="1"/>
      <c r="E11647" s="1"/>
      <c r="F11647" s="1" t="str">
        <f>IFERROR(__xludf.DUMMYFUNCTION("GOOGLETRANSLATE(B11647, ""en"", ""fa"")
"),"توسعه شخصی")</f>
        <v>توسعه شخصی</v>
      </c>
      <c r="G11647" s="1" t="str">
        <f>IFERROR(__xludf.DUMMYFUNCTION("GOOGLETRANSLATE(C11647, ""en"", ""fa"")
"),"نقاط قوت و زمینه های بهبود خود را شناسایی کنید و یک برنامه عمل برای بهبود خود ایجاد کنید.")</f>
        <v>نقاط قوت و زمینه های بهبود خود را شناسایی کنید و یک برنامه عمل برای بهبود خود ایجاد کنید.</v>
      </c>
      <c r="H11647" s="1"/>
      <c r="I11647" s="1"/>
      <c r="J11647" s="1"/>
      <c r="K11647" s="1"/>
      <c r="L11647" s="1"/>
      <c r="M11647" s="1"/>
      <c r="N11647" s="1"/>
      <c r="O11647" s="1"/>
      <c r="P11647" s="1"/>
      <c r="Q11647" s="1"/>
      <c r="R11647" s="1"/>
      <c r="S11647" s="1"/>
      <c r="T11647" s="1"/>
      <c r="U11647" s="1"/>
      <c r="V11647" s="1"/>
      <c r="W11647" s="1"/>
      <c r="X11647" s="1"/>
      <c r="Y11647" s="1"/>
      <c r="Z11647" s="1"/>
      <c r="AA11647" s="1"/>
      <c r="AB11647" s="1"/>
    </row>
    <row r="11648" ht="50.25" customHeight="1">
      <c r="A11648" s="12">
        <v>11644.0</v>
      </c>
      <c r="B11648" s="13" t="s">
        <v>11531</v>
      </c>
      <c r="C11648" s="14" t="s">
        <v>11535</v>
      </c>
      <c r="D11648" s="1"/>
      <c r="E11648" s="1"/>
      <c r="F11648" s="1" t="str">
        <f>IFERROR(__xludf.DUMMYFUNCTION("GOOGLETRANSLATE(B11648, ""en"", ""fa"")
"),"توسعه شخصی")</f>
        <v>توسعه شخصی</v>
      </c>
      <c r="G11648" s="1" t="str">
        <f>IFERROR(__xludf.DUMMYFUNCTION("GOOGLETRANSLATE(C11648, ""en"", ""fa"")
"),"برای کاهش استرس و افزایش تمرکز، تمرین‌های تمرکز حواس مانند مدیتیشن و تنفس عمیق را بررسی کنید.")</f>
        <v>برای کاهش استرس و افزایش تمرکز، تمرین‌های تمرکز حواس مانند مدیتیشن و تنفس عمیق را بررسی کنید.</v>
      </c>
      <c r="H11648" s="1"/>
      <c r="I11648" s="1"/>
      <c r="J11648" s="1"/>
      <c r="K11648" s="1"/>
      <c r="L11648" s="1"/>
      <c r="M11648" s="1"/>
      <c r="N11648" s="1"/>
      <c r="O11648" s="1"/>
      <c r="P11648" s="1"/>
      <c r="Q11648" s="1"/>
      <c r="R11648" s="1"/>
      <c r="S11648" s="1"/>
      <c r="T11648" s="1"/>
      <c r="U11648" s="1"/>
      <c r="V11648" s="1"/>
      <c r="W11648" s="1"/>
      <c r="X11648" s="1"/>
      <c r="Y11648" s="1"/>
      <c r="Z11648" s="1"/>
      <c r="AA11648" s="1"/>
      <c r="AB11648" s="1"/>
    </row>
    <row r="11649" ht="50.25" customHeight="1">
      <c r="A11649" s="12">
        <v>11645.0</v>
      </c>
      <c r="B11649" s="13" t="s">
        <v>11531</v>
      </c>
      <c r="C11649" s="14" t="s">
        <v>11536</v>
      </c>
      <c r="D11649" s="1"/>
      <c r="E11649" s="1"/>
      <c r="F11649" s="1" t="str">
        <f>IFERROR(__xludf.DUMMYFUNCTION("GOOGLETRANSLATE(B11649, ""en"", ""fa"")
"),"توسعه شخصی")</f>
        <v>توسعه شخصی</v>
      </c>
      <c r="G11649" s="1" t="str">
        <f>IFERROR(__xludf.DUMMYFUNCTION("GOOGLETRANSLATE(C11649, ""en"", ""fa"")
"),"در مورد چالش های گذشته و اینکه چگونه آنها به انعطاف پذیری و قدرت شخصی شما کمک کرده اند فکر کنید.")</f>
        <v>در مورد چالش های گذشته و اینکه چگونه آنها به انعطاف پذیری و قدرت شخصی شما کمک کرده اند فکر کنید.</v>
      </c>
      <c r="H11649" s="1"/>
      <c r="I11649" s="1"/>
      <c r="J11649" s="1"/>
      <c r="K11649" s="1"/>
      <c r="L11649" s="1"/>
      <c r="M11649" s="1"/>
      <c r="N11649" s="1"/>
      <c r="O11649" s="1"/>
      <c r="P11649" s="1"/>
      <c r="Q11649" s="1"/>
      <c r="R11649" s="1"/>
      <c r="S11649" s="1"/>
      <c r="T11649" s="1"/>
      <c r="U11649" s="1"/>
      <c r="V11649" s="1"/>
      <c r="W11649" s="1"/>
      <c r="X11649" s="1"/>
      <c r="Y11649" s="1"/>
      <c r="Z11649" s="1"/>
      <c r="AA11649" s="1"/>
      <c r="AB11649" s="1"/>
    </row>
    <row r="11650" ht="50.25" customHeight="1">
      <c r="A11650" s="12">
        <v>11646.0</v>
      </c>
      <c r="B11650" s="13" t="s">
        <v>11531</v>
      </c>
      <c r="C11650" s="14" t="s">
        <v>11537</v>
      </c>
      <c r="D11650" s="1"/>
      <c r="E11650" s="1"/>
      <c r="F11650" s="1" t="str">
        <f>IFERROR(__xludf.DUMMYFUNCTION("GOOGLETRANSLATE(B11650, ""en"", ""fa"")
"),"توسعه شخصی")</f>
        <v>توسعه شخصی</v>
      </c>
      <c r="G11650" s="1" t="str">
        <f>IFERROR(__xludf.DUMMYFUNCTION("GOOGLETRANSLATE(C11650, ""en"", ""fa"")
"),"برای قدردانی از جنبه های مثبت زندگی خود، تمرین قدردانی روزانه را توسعه دهید.")</f>
        <v>برای قدردانی از جنبه های مثبت زندگی خود، تمرین قدردانی روزانه را توسعه دهید.</v>
      </c>
      <c r="H11650" s="1"/>
      <c r="I11650" s="1"/>
      <c r="J11650" s="1"/>
      <c r="K11650" s="1"/>
      <c r="L11650" s="1"/>
      <c r="M11650" s="1"/>
      <c r="N11650" s="1"/>
      <c r="O11650" s="1"/>
      <c r="P11650" s="1"/>
      <c r="Q11650" s="1"/>
      <c r="R11650" s="1"/>
      <c r="S11650" s="1"/>
      <c r="T11650" s="1"/>
      <c r="U11650" s="1"/>
      <c r="V11650" s="1"/>
      <c r="W11650" s="1"/>
      <c r="X11650" s="1"/>
      <c r="Y11650" s="1"/>
      <c r="Z11650" s="1"/>
      <c r="AA11650" s="1"/>
      <c r="AB11650" s="1"/>
    </row>
    <row r="11651" ht="50.25" customHeight="1">
      <c r="A11651" s="12">
        <v>11647.0</v>
      </c>
      <c r="B11651" s="13" t="s">
        <v>11531</v>
      </c>
      <c r="C11651" s="14" t="s">
        <v>11538</v>
      </c>
      <c r="D11651" s="1"/>
      <c r="E11651" s="1"/>
      <c r="F11651" s="1" t="str">
        <f>IFERROR(__xludf.DUMMYFUNCTION("GOOGLETRANSLATE(B11651, ""en"", ""fa"")
"),"توسعه شخصی")</f>
        <v>توسعه شخصی</v>
      </c>
      <c r="G11651" s="1" t="str">
        <f>IFERROR(__xludf.DUMMYFUNCTION("GOOGLETRANSLATE(C11651, ""en"", ""fa"")
"),"تکنیک های مختلف مدیریت زمان را برای بهینه سازی بهره وری و دستیابی به تعادل بهتر بین کار و زندگی کاوش کنید.")</f>
        <v>تکنیک های مختلف مدیریت زمان را برای بهینه سازی بهره وری و دستیابی به تعادل بهتر بین کار و زندگی کاوش کنید.</v>
      </c>
      <c r="H11651" s="1"/>
      <c r="I11651" s="1"/>
      <c r="J11651" s="1"/>
      <c r="K11651" s="1"/>
      <c r="L11651" s="1"/>
      <c r="M11651" s="1"/>
      <c r="N11651" s="1"/>
      <c r="O11651" s="1"/>
      <c r="P11651" s="1"/>
      <c r="Q11651" s="1"/>
      <c r="R11651" s="1"/>
      <c r="S11651" s="1"/>
      <c r="T11651" s="1"/>
      <c r="U11651" s="1"/>
      <c r="V11651" s="1"/>
      <c r="W11651" s="1"/>
      <c r="X11651" s="1"/>
      <c r="Y11651" s="1"/>
      <c r="Z11651" s="1"/>
      <c r="AA11651" s="1"/>
      <c r="AB11651" s="1"/>
    </row>
    <row r="11652" ht="50.25" customHeight="1">
      <c r="A11652" s="12">
        <v>11648.0</v>
      </c>
      <c r="B11652" s="13" t="s">
        <v>11531</v>
      </c>
      <c r="C11652" s="14" t="s">
        <v>11539</v>
      </c>
      <c r="D11652" s="1"/>
      <c r="E11652" s="1"/>
      <c r="F11652" s="1" t="str">
        <f>IFERROR(__xludf.DUMMYFUNCTION("GOOGLETRANSLATE(B11652, ""en"", ""fa"")
"),"توسعه شخصی")</f>
        <v>توسعه شخصی</v>
      </c>
      <c r="G11652" s="1" t="str">
        <f>IFERROR(__xludf.DUMMYFUNCTION("GOOGLETRANSLATE(C11652, ""en"", ""fa"")
"),"خود را به چالش بکشید تا از منطقه راحتی خود خارج شوید و فرصت های جدیدی را برای رشد در آغوش بگیرید.")</f>
        <v>خود را به چالش بکشید تا از منطقه راحتی خود خارج شوید و فرصت های جدیدی را برای رشد در آغوش بگیرید.</v>
      </c>
      <c r="H11652" s="1"/>
      <c r="I11652" s="1"/>
      <c r="J11652" s="1"/>
      <c r="K11652" s="1"/>
      <c r="L11652" s="1"/>
      <c r="M11652" s="1"/>
      <c r="N11652" s="1"/>
      <c r="O11652" s="1"/>
      <c r="P11652" s="1"/>
      <c r="Q11652" s="1"/>
      <c r="R11652" s="1"/>
      <c r="S11652" s="1"/>
      <c r="T11652" s="1"/>
      <c r="U11652" s="1"/>
      <c r="V11652" s="1"/>
      <c r="W11652" s="1"/>
      <c r="X11652" s="1"/>
      <c r="Y11652" s="1"/>
      <c r="Z11652" s="1"/>
      <c r="AA11652" s="1"/>
      <c r="AB11652" s="1"/>
    </row>
    <row r="11653" ht="50.25" customHeight="1">
      <c r="A11653" s="12">
        <v>11649.0</v>
      </c>
      <c r="B11653" s="13" t="s">
        <v>11531</v>
      </c>
      <c r="C11653" s="14" t="s">
        <v>11540</v>
      </c>
      <c r="D11653" s="1"/>
      <c r="E11653" s="1"/>
      <c r="F11653" s="1" t="str">
        <f>IFERROR(__xludf.DUMMYFUNCTION("GOOGLETRANSLATE(B11653, ""en"", ""fa"")
"),"توسعه شخصی")</f>
        <v>توسعه شخصی</v>
      </c>
      <c r="G11653" s="1" t="str">
        <f>IFERROR(__xludf.DUMMYFUNCTION("GOOGLETRANSLATE(C11653, ""en"", ""fa"")
"),"الگوهای افکار منفی را شناسایی کنید و آنها را با جملات تاکیدی مثبت جایگزین کنید.")</f>
        <v>الگوهای افکار منفی را شناسایی کنید و آنها را با جملات تاکیدی مثبت جایگزین کنید.</v>
      </c>
      <c r="H11653" s="1"/>
      <c r="I11653" s="1"/>
      <c r="J11653" s="1"/>
      <c r="K11653" s="1"/>
      <c r="L11653" s="1"/>
      <c r="M11653" s="1"/>
      <c r="N11653" s="1"/>
      <c r="O11653" s="1"/>
      <c r="P11653" s="1"/>
      <c r="Q11653" s="1"/>
      <c r="R11653" s="1"/>
      <c r="S11653" s="1"/>
      <c r="T11653" s="1"/>
      <c r="U11653" s="1"/>
      <c r="V11653" s="1"/>
      <c r="W11653" s="1"/>
      <c r="X11653" s="1"/>
      <c r="Y11653" s="1"/>
      <c r="Z11653" s="1"/>
      <c r="AA11653" s="1"/>
      <c r="AB11653" s="1"/>
    </row>
    <row r="11654" ht="50.25" customHeight="1">
      <c r="A11654" s="12">
        <v>11650.0</v>
      </c>
      <c r="B11654" s="13" t="s">
        <v>11531</v>
      </c>
      <c r="C11654" s="14" t="s">
        <v>11541</v>
      </c>
      <c r="D11654" s="1"/>
      <c r="E11654" s="1"/>
      <c r="F11654" s="1" t="str">
        <f>IFERROR(__xludf.DUMMYFUNCTION("GOOGLETRANSLATE(B11654, ""en"", ""fa"")
"),"توسعه شخصی")</f>
        <v>توسعه شخصی</v>
      </c>
      <c r="G11654" s="1" t="str">
        <f>IFERROR(__xludf.DUMMYFUNCTION("GOOGLETRANSLATE(C11654, ""en"", ""fa"")
"),"برای بهبود مهارت های ارتباطی و ایجاد روابط معنادار، گوش دادن فعال را تمرین کنید.")</f>
        <v>برای بهبود مهارت های ارتباطی و ایجاد روابط معنادار، گوش دادن فعال را تمرین کنید.</v>
      </c>
      <c r="H11654" s="1"/>
      <c r="I11654" s="1"/>
      <c r="J11654" s="1"/>
      <c r="K11654" s="1"/>
      <c r="L11654" s="1"/>
      <c r="M11654" s="1"/>
      <c r="N11654" s="1"/>
      <c r="O11654" s="1"/>
      <c r="P11654" s="1"/>
      <c r="Q11654" s="1"/>
      <c r="R11654" s="1"/>
      <c r="S11654" s="1"/>
      <c r="T11654" s="1"/>
      <c r="U11654" s="1"/>
      <c r="V11654" s="1"/>
      <c r="W11654" s="1"/>
      <c r="X11654" s="1"/>
      <c r="Y11654" s="1"/>
      <c r="Z11654" s="1"/>
      <c r="AA11654" s="1"/>
      <c r="AB11654" s="1"/>
    </row>
    <row r="11655" ht="50.25" customHeight="1">
      <c r="A11655" s="12">
        <v>11651.0</v>
      </c>
      <c r="B11655" s="13" t="s">
        <v>11531</v>
      </c>
      <c r="C11655" s="14" t="s">
        <v>11542</v>
      </c>
      <c r="D11655" s="1"/>
      <c r="E11655" s="1"/>
      <c r="F11655" s="1" t="str">
        <f>IFERROR(__xludf.DUMMYFUNCTION("GOOGLETRANSLATE(B11655, ""en"", ""fa"")
"),"توسعه شخصی")</f>
        <v>توسعه شخصی</v>
      </c>
      <c r="G11655" s="1" t="str">
        <f>IFERROR(__xludf.DUMMYFUNCTION("GOOGLETRANSLATE(C11655, ""en"", ""fa"")
"),"برای محافظت از زمان و رفاه خود در زندگی شخصی و حرفه ای خود حد و مرزی تعیین کنید.")</f>
        <v>برای محافظت از زمان و رفاه خود در زندگی شخصی و حرفه ای خود حد و مرزی تعیین کنید.</v>
      </c>
      <c r="H11655" s="1"/>
      <c r="I11655" s="1"/>
      <c r="J11655" s="1"/>
      <c r="K11655" s="1"/>
      <c r="L11655" s="1"/>
      <c r="M11655" s="1"/>
      <c r="N11655" s="1"/>
      <c r="O11655" s="1"/>
      <c r="P11655" s="1"/>
      <c r="Q11655" s="1"/>
      <c r="R11655" s="1"/>
      <c r="S11655" s="1"/>
      <c r="T11655" s="1"/>
      <c r="U11655" s="1"/>
      <c r="V11655" s="1"/>
      <c r="W11655" s="1"/>
      <c r="X11655" s="1"/>
      <c r="Y11655" s="1"/>
      <c r="Z11655" s="1"/>
      <c r="AA11655" s="1"/>
      <c r="AB11655" s="1"/>
    </row>
    <row r="11656" ht="50.25" customHeight="1">
      <c r="A11656" s="12">
        <v>11652.0</v>
      </c>
      <c r="B11656" s="13" t="s">
        <v>11531</v>
      </c>
      <c r="C11656" s="14" t="s">
        <v>11543</v>
      </c>
      <c r="D11656" s="1"/>
      <c r="E11656" s="1"/>
      <c r="F11656" s="1" t="str">
        <f>IFERROR(__xludf.DUMMYFUNCTION("GOOGLETRANSLATE(B11656, ""en"", ""fa"")
"),"توسعه شخصی")</f>
        <v>توسعه شخصی</v>
      </c>
      <c r="G11656" s="1" t="str">
        <f>IFERROR(__xludf.DUMMYFUNCTION("GOOGLETRANSLATE(C11656, ""en"", ""fa"")
"),"مفهوم هوش هیجانی و تاثیر آن بر روابط شخصی و حرفه ای را بررسی کنید.")</f>
        <v>مفهوم هوش هیجانی و تاثیر آن بر روابط شخصی و حرفه ای را بررسی کنید.</v>
      </c>
      <c r="H11656" s="1"/>
      <c r="I11656" s="1"/>
      <c r="J11656" s="1"/>
      <c r="K11656" s="1"/>
      <c r="L11656" s="1"/>
      <c r="M11656" s="1"/>
      <c r="N11656" s="1"/>
      <c r="O11656" s="1"/>
      <c r="P11656" s="1"/>
      <c r="Q11656" s="1"/>
      <c r="R11656" s="1"/>
      <c r="S11656" s="1"/>
      <c r="T11656" s="1"/>
      <c r="U11656" s="1"/>
      <c r="V11656" s="1"/>
      <c r="W11656" s="1"/>
      <c r="X11656" s="1"/>
      <c r="Y11656" s="1"/>
      <c r="Z11656" s="1"/>
      <c r="AA11656" s="1"/>
      <c r="AB11656" s="1"/>
    </row>
    <row r="11657" ht="50.25" customHeight="1">
      <c r="A11657" s="12">
        <v>11653.0</v>
      </c>
      <c r="B11657" s="13" t="s">
        <v>11531</v>
      </c>
      <c r="C11657" s="14" t="s">
        <v>11544</v>
      </c>
      <c r="D11657" s="1"/>
      <c r="E11657" s="1"/>
      <c r="F11657" s="1" t="str">
        <f>IFERROR(__xludf.DUMMYFUNCTION("GOOGLETRANSLATE(B11657, ""en"", ""fa"")
"),"توسعه شخصی")</f>
        <v>توسعه شخصی</v>
      </c>
      <c r="G11657" s="1" t="str">
        <f>IFERROR(__xludf.DUMMYFUNCTION("GOOGLETRANSLATE(C11657, ""en"", ""fa"")
"),"در مورد علایق و سرگرمی های خود فکر کنید و راه هایی برای گنجاندن آنها در زندگی روزمره خود بیابید.")</f>
        <v>در مورد علایق و سرگرمی های خود فکر کنید و راه هایی برای گنجاندن آنها در زندگی روزمره خود بیابید.</v>
      </c>
      <c r="H11657" s="1"/>
      <c r="I11657" s="1"/>
      <c r="J11657" s="1"/>
      <c r="K11657" s="1"/>
      <c r="L11657" s="1"/>
      <c r="M11657" s="1"/>
      <c r="N11657" s="1"/>
      <c r="O11657" s="1"/>
      <c r="P11657" s="1"/>
      <c r="Q11657" s="1"/>
      <c r="R11657" s="1"/>
      <c r="S11657" s="1"/>
      <c r="T11657" s="1"/>
      <c r="U11657" s="1"/>
      <c r="V11657" s="1"/>
      <c r="W11657" s="1"/>
      <c r="X11657" s="1"/>
      <c r="Y11657" s="1"/>
      <c r="Z11657" s="1"/>
      <c r="AA11657" s="1"/>
      <c r="AB11657" s="1"/>
    </row>
    <row r="11658" ht="50.25" customHeight="1">
      <c r="A11658" s="12">
        <v>11654.0</v>
      </c>
      <c r="B11658" s="13" t="s">
        <v>11531</v>
      </c>
      <c r="C11658" s="14" t="s">
        <v>11545</v>
      </c>
      <c r="D11658" s="1"/>
      <c r="E11658" s="1"/>
      <c r="F11658" s="1" t="str">
        <f>IFERROR(__xludf.DUMMYFUNCTION("GOOGLETRANSLATE(B11658, ""en"", ""fa"")
"),"توسعه شخصی")</f>
        <v>توسعه شخصی</v>
      </c>
      <c r="G11658" s="1" t="str">
        <f>IFERROR(__xludf.DUMMYFUNCTION("GOOGLETRANSLATE(C11658, ""en"", ""fa"")
"),"یک مهارت جدید بیاموزید یا سرگرمی مورد علاقه خود را دنبال کنید، حتی اگر خارج از منطقه راحتی شما باشد.")</f>
        <v>یک مهارت جدید بیاموزید یا سرگرمی مورد علاقه خود را دنبال کنید، حتی اگر خارج از منطقه راحتی شما باشد.</v>
      </c>
      <c r="H11658" s="1"/>
      <c r="I11658" s="1"/>
      <c r="J11658" s="1"/>
      <c r="K11658" s="1"/>
      <c r="L11658" s="1"/>
      <c r="M11658" s="1"/>
      <c r="N11658" s="1"/>
      <c r="O11658" s="1"/>
      <c r="P11658" s="1"/>
      <c r="Q11658" s="1"/>
      <c r="R11658" s="1"/>
      <c r="S11658" s="1"/>
      <c r="T11658" s="1"/>
      <c r="U11658" s="1"/>
      <c r="V11658" s="1"/>
      <c r="W11658" s="1"/>
      <c r="X11658" s="1"/>
      <c r="Y11658" s="1"/>
      <c r="Z11658" s="1"/>
      <c r="AA11658" s="1"/>
      <c r="AB11658" s="1"/>
    </row>
    <row r="11659" ht="50.25" customHeight="1">
      <c r="A11659" s="12">
        <v>11655.0</v>
      </c>
      <c r="B11659" s="13" t="s">
        <v>11531</v>
      </c>
      <c r="C11659" s="14" t="s">
        <v>11546</v>
      </c>
      <c r="D11659" s="1"/>
      <c r="E11659" s="1"/>
      <c r="F11659" s="1" t="str">
        <f>IFERROR(__xludf.DUMMYFUNCTION("GOOGLETRANSLATE(B11659, ""en"", ""fa"")
"),"توسعه شخصی")</f>
        <v>توسعه شخصی</v>
      </c>
      <c r="G11659" s="1" t="str">
        <f>IFERROR(__xludf.DUMMYFUNCTION("GOOGLETRANSLATE(C11659, ""en"", ""fa"")
"),"باورهای محدود کننده ای را که ممکن است شما را عقب نگه دارند، شناسایی کنید و روی اصلاح آنها به صورت مثبت کار کنید.")</f>
        <v>باورهای محدود کننده ای را که ممکن است شما را عقب نگه دارند، شناسایی کنید و روی اصلاح آنها به صورت مثبت کار کنید.</v>
      </c>
      <c r="H11659" s="1"/>
      <c r="I11659" s="1"/>
      <c r="J11659" s="1"/>
      <c r="K11659" s="1"/>
      <c r="L11659" s="1"/>
      <c r="M11659" s="1"/>
      <c r="N11659" s="1"/>
      <c r="O11659" s="1"/>
      <c r="P11659" s="1"/>
      <c r="Q11659" s="1"/>
      <c r="R11659" s="1"/>
      <c r="S11659" s="1"/>
      <c r="T11659" s="1"/>
      <c r="U11659" s="1"/>
      <c r="V11659" s="1"/>
      <c r="W11659" s="1"/>
      <c r="X11659" s="1"/>
      <c r="Y11659" s="1"/>
      <c r="Z11659" s="1"/>
      <c r="AA11659" s="1"/>
      <c r="AB11659" s="1"/>
    </row>
    <row r="11660" ht="50.25" customHeight="1">
      <c r="A11660" s="12">
        <v>11656.0</v>
      </c>
      <c r="B11660" s="13" t="s">
        <v>11531</v>
      </c>
      <c r="C11660" s="14" t="s">
        <v>11547</v>
      </c>
      <c r="D11660" s="1"/>
      <c r="E11660" s="1"/>
      <c r="F11660" s="1" t="str">
        <f>IFERROR(__xludf.DUMMYFUNCTION("GOOGLETRANSLATE(B11660, ""en"", ""fa"")
"),"توسعه شخصی")</f>
        <v>توسعه شخصی</v>
      </c>
      <c r="G11660" s="1" t="str">
        <f>IFERROR(__xludf.DUMMYFUNCTION("GOOGLETRANSLATE(C11660, ""en"", ""fa"")
"),"برای اشتباهات یا کاستی های گذشته، شفقت و بخشش نسبت به خود را تمرین کنید.")</f>
        <v>برای اشتباهات یا کاستی های گذشته، شفقت و بخشش نسبت به خود را تمرین کنید.</v>
      </c>
      <c r="H11660" s="1"/>
      <c r="I11660" s="1"/>
      <c r="J11660" s="1"/>
      <c r="K11660" s="1"/>
      <c r="L11660" s="1"/>
      <c r="M11660" s="1"/>
      <c r="N11660" s="1"/>
      <c r="O11660" s="1"/>
      <c r="P11660" s="1"/>
      <c r="Q11660" s="1"/>
      <c r="R11660" s="1"/>
      <c r="S11660" s="1"/>
      <c r="T11660" s="1"/>
      <c r="U11660" s="1"/>
      <c r="V11660" s="1"/>
      <c r="W11660" s="1"/>
      <c r="X11660" s="1"/>
      <c r="Y11660" s="1"/>
      <c r="Z11660" s="1"/>
      <c r="AA11660" s="1"/>
      <c r="AB11660" s="1"/>
    </row>
    <row r="11661" ht="50.25" customHeight="1">
      <c r="A11661" s="12">
        <v>11657.0</v>
      </c>
      <c r="B11661" s="13" t="s">
        <v>11531</v>
      </c>
      <c r="C11661" s="14" t="s">
        <v>11548</v>
      </c>
      <c r="D11661" s="1"/>
      <c r="E11661" s="1"/>
      <c r="F11661" s="1" t="str">
        <f>IFERROR(__xludf.DUMMYFUNCTION("GOOGLETRANSLATE(B11661, ""en"", ""fa"")
"),"توسعه شخصی")</f>
        <v>توسعه شخصی</v>
      </c>
      <c r="G11661" s="1" t="str">
        <f>IFERROR(__xludf.DUMMYFUNCTION("GOOGLETRANSLATE(C11661, ""en"", ""fa"")
"),"تکنیک های مختلف برای مدیریت استرس و اضطراب، مانند یادداشت روزانه یا ورزش را بررسی کنید.")</f>
        <v>تکنیک های مختلف برای مدیریت استرس و اضطراب، مانند یادداشت روزانه یا ورزش را بررسی کنید.</v>
      </c>
      <c r="H11661" s="1"/>
      <c r="I11661" s="1"/>
      <c r="J11661" s="1"/>
      <c r="K11661" s="1"/>
      <c r="L11661" s="1"/>
      <c r="M11661" s="1"/>
      <c r="N11661" s="1"/>
      <c r="O11661" s="1"/>
      <c r="P11661" s="1"/>
      <c r="Q11661" s="1"/>
      <c r="R11661" s="1"/>
      <c r="S11661" s="1"/>
      <c r="T11661" s="1"/>
      <c r="U11661" s="1"/>
      <c r="V11661" s="1"/>
      <c r="W11661" s="1"/>
      <c r="X11661" s="1"/>
      <c r="Y11661" s="1"/>
      <c r="Z11661" s="1"/>
      <c r="AA11661" s="1"/>
      <c r="AB11661" s="1"/>
    </row>
    <row r="11662" ht="50.25" customHeight="1">
      <c r="A11662" s="12">
        <v>11658.0</v>
      </c>
      <c r="B11662" s="13" t="s">
        <v>11531</v>
      </c>
      <c r="C11662" s="14" t="s">
        <v>11549</v>
      </c>
      <c r="D11662" s="1"/>
      <c r="E11662" s="1"/>
      <c r="F11662" s="1" t="str">
        <f>IFERROR(__xludf.DUMMYFUNCTION("GOOGLETRANSLATE(B11662, ""en"", ""fa"")
"),"توسعه شخصی")</f>
        <v>توسعه شخصی</v>
      </c>
      <c r="G11662" s="1" t="str">
        <f>IFERROR(__xludf.DUMMYFUNCTION("GOOGLETRANSLATE(C11662, ""en"", ""fa"")
"),"یک ذهنیت رشد را پرورش دهید و به چالش ها به عنوان فرصت هایی برای یادگیری و توسعه نگاه کنید.")</f>
        <v>یک ذهنیت رشد را پرورش دهید و به چالش ها به عنوان فرصت هایی برای یادگیری و توسعه نگاه کنید.</v>
      </c>
      <c r="H11662" s="1"/>
      <c r="I11662" s="1"/>
      <c r="J11662" s="1"/>
      <c r="K11662" s="1"/>
      <c r="L11662" s="1"/>
      <c r="M11662" s="1"/>
      <c r="N11662" s="1"/>
      <c r="O11662" s="1"/>
      <c r="P11662" s="1"/>
      <c r="Q11662" s="1"/>
      <c r="R11662" s="1"/>
      <c r="S11662" s="1"/>
      <c r="T11662" s="1"/>
      <c r="U11662" s="1"/>
      <c r="V11662" s="1"/>
      <c r="W11662" s="1"/>
      <c r="X11662" s="1"/>
      <c r="Y11662" s="1"/>
      <c r="Z11662" s="1"/>
      <c r="AA11662" s="1"/>
      <c r="AB11662" s="1"/>
    </row>
    <row r="11663" ht="50.25" customHeight="1">
      <c r="A11663" s="12">
        <v>11659.0</v>
      </c>
      <c r="B11663" s="13" t="s">
        <v>11531</v>
      </c>
      <c r="C11663" s="14" t="s">
        <v>11550</v>
      </c>
      <c r="D11663" s="1"/>
      <c r="E11663" s="1"/>
      <c r="F11663" s="1" t="str">
        <f>IFERROR(__xludf.DUMMYFUNCTION("GOOGLETRANSLATE(B11663, ""en"", ""fa"")
"),"توسعه شخصی")</f>
        <v>توسعه شخصی</v>
      </c>
      <c r="G11663" s="1" t="str">
        <f>IFERROR(__xludf.DUMMYFUNCTION("GOOGLETRANSLATE(C11663, ""en"", ""fa"")
"),"به دستاوردهای گذشته خود فکر کنید و از آنها به عنوان انگیزه ای برای موفقیت در آینده استفاده کنید.")</f>
        <v>به دستاوردهای گذشته خود فکر کنید و از آنها به عنوان انگیزه ای برای موفقیت در آینده استفاده کنید.</v>
      </c>
      <c r="H11663" s="1"/>
      <c r="I11663" s="1"/>
      <c r="J11663" s="1"/>
      <c r="K11663" s="1"/>
      <c r="L11663" s="1"/>
      <c r="M11663" s="1"/>
      <c r="N11663" s="1"/>
      <c r="O11663" s="1"/>
      <c r="P11663" s="1"/>
      <c r="Q11663" s="1"/>
      <c r="R11663" s="1"/>
      <c r="S11663" s="1"/>
      <c r="T11663" s="1"/>
      <c r="U11663" s="1"/>
      <c r="V11663" s="1"/>
      <c r="W11663" s="1"/>
      <c r="X11663" s="1"/>
      <c r="Y11663" s="1"/>
      <c r="Z11663" s="1"/>
      <c r="AA11663" s="1"/>
      <c r="AB11663" s="1"/>
    </row>
    <row r="11664" ht="50.25" customHeight="1">
      <c r="A11664" s="12">
        <v>11660.0</v>
      </c>
      <c r="B11664" s="13" t="s">
        <v>11531</v>
      </c>
      <c r="C11664" s="14" t="s">
        <v>11551</v>
      </c>
      <c r="D11664" s="1"/>
      <c r="E11664" s="1"/>
      <c r="F11664" s="1" t="str">
        <f>IFERROR(__xludf.DUMMYFUNCTION("GOOGLETRANSLATE(B11664, ""en"", ""fa"")
"),"توسعه شخصی")</f>
        <v>توسعه شخصی</v>
      </c>
      <c r="G11664" s="1" t="str">
        <f>IFERROR(__xludf.DUMMYFUNCTION("GOOGLETRANSLATE(C11664, ""en"", ""fa"")
"),"منابع منفی در زندگی خود را شناسایی کنید و اقداماتی را برای حذف یا کاهش تأثیر آنها انجام دهید.")</f>
        <v>منابع منفی در زندگی خود را شناسایی کنید و اقداماتی را برای حذف یا کاهش تأثیر آنها انجام دهید.</v>
      </c>
      <c r="H11664" s="1"/>
      <c r="I11664" s="1"/>
      <c r="J11664" s="1"/>
      <c r="K11664" s="1"/>
      <c r="L11664" s="1"/>
      <c r="M11664" s="1"/>
      <c r="N11664" s="1"/>
      <c r="O11664" s="1"/>
      <c r="P11664" s="1"/>
      <c r="Q11664" s="1"/>
      <c r="R11664" s="1"/>
      <c r="S11664" s="1"/>
      <c r="T11664" s="1"/>
      <c r="U11664" s="1"/>
      <c r="V11664" s="1"/>
      <c r="W11664" s="1"/>
      <c r="X11664" s="1"/>
      <c r="Y11664" s="1"/>
      <c r="Z11664" s="1"/>
      <c r="AA11664" s="1"/>
      <c r="AB11664" s="1"/>
    </row>
    <row r="11665" ht="50.25" customHeight="1">
      <c r="A11665" s="12">
        <v>11661.0</v>
      </c>
      <c r="B11665" s="13" t="s">
        <v>11531</v>
      </c>
      <c r="C11665" s="14" t="s">
        <v>11552</v>
      </c>
      <c r="D11665" s="1"/>
      <c r="E11665" s="1"/>
      <c r="F11665" s="1" t="str">
        <f>IFERROR(__xludf.DUMMYFUNCTION("GOOGLETRANSLATE(B11665, ""en"", ""fa"")
"),"توسعه شخصی")</f>
        <v>توسعه شخصی</v>
      </c>
      <c r="G11665" s="1" t="str">
        <f>IFERROR(__xludf.DUMMYFUNCTION("GOOGLETRANSLATE(C11665, ""en"", ""fa"")
"),"برای بیان واضح نیازها و مرزهای خود، ارتباط مؤثر و قاطعیت را تمرین کنید.")</f>
        <v>برای بیان واضح نیازها و مرزهای خود، ارتباط مؤثر و قاطعیت را تمرین کنید.</v>
      </c>
      <c r="H11665" s="1"/>
      <c r="I11665" s="1"/>
      <c r="J11665" s="1"/>
      <c r="K11665" s="1"/>
      <c r="L11665" s="1"/>
      <c r="M11665" s="1"/>
      <c r="N11665" s="1"/>
      <c r="O11665" s="1"/>
      <c r="P11665" s="1"/>
      <c r="Q11665" s="1"/>
      <c r="R11665" s="1"/>
      <c r="S11665" s="1"/>
      <c r="T11665" s="1"/>
      <c r="U11665" s="1"/>
      <c r="V11665" s="1"/>
      <c r="W11665" s="1"/>
      <c r="X11665" s="1"/>
      <c r="Y11665" s="1"/>
      <c r="Z11665" s="1"/>
      <c r="AA11665" s="1"/>
      <c r="AB11665" s="1"/>
    </row>
    <row r="11666" ht="50.25" customHeight="1">
      <c r="A11666" s="12">
        <v>11662.0</v>
      </c>
      <c r="B11666" s="13" t="s">
        <v>11531</v>
      </c>
      <c r="C11666" s="14" t="s">
        <v>11553</v>
      </c>
      <c r="D11666" s="1"/>
      <c r="E11666" s="1"/>
      <c r="F11666" s="1" t="str">
        <f>IFERROR(__xludf.DUMMYFUNCTION("GOOGLETRANSLATE(B11666, ""en"", ""fa"")
"),"توسعه شخصی")</f>
        <v>توسعه شخصی</v>
      </c>
      <c r="G11666" s="1" t="str">
        <f>IFERROR(__xludf.DUMMYFUNCTION("GOOGLETRANSLATE(C11666, ""en"", ""fa"")
"),"یک روتین صبحگاهی ایجاد کنید که لحن مثبتی برای بقیه روز ایجاد کند.")</f>
        <v>یک روتین صبحگاهی ایجاد کنید که لحن مثبتی برای بقیه روز ایجاد کند.</v>
      </c>
      <c r="H11666" s="1"/>
      <c r="I11666" s="1"/>
      <c r="J11666" s="1"/>
      <c r="K11666" s="1"/>
      <c r="L11666" s="1"/>
      <c r="M11666" s="1"/>
      <c r="N11666" s="1"/>
      <c r="O11666" s="1"/>
      <c r="P11666" s="1"/>
      <c r="Q11666" s="1"/>
      <c r="R11666" s="1"/>
      <c r="S11666" s="1"/>
      <c r="T11666" s="1"/>
      <c r="U11666" s="1"/>
      <c r="V11666" s="1"/>
      <c r="W11666" s="1"/>
      <c r="X11666" s="1"/>
      <c r="Y11666" s="1"/>
      <c r="Z11666" s="1"/>
      <c r="AA11666" s="1"/>
      <c r="AB11666" s="1"/>
    </row>
    <row r="11667" ht="50.25" customHeight="1">
      <c r="A11667" s="12">
        <v>11663.0</v>
      </c>
      <c r="B11667" s="13" t="s">
        <v>11531</v>
      </c>
      <c r="C11667" s="14" t="s">
        <v>11554</v>
      </c>
      <c r="D11667" s="1"/>
      <c r="E11667" s="1"/>
      <c r="F11667" s="1" t="str">
        <f>IFERROR(__xludf.DUMMYFUNCTION("GOOGLETRANSLATE(B11667, ""en"", ""fa"")
"),"توسعه شخصی")</f>
        <v>توسعه شخصی</v>
      </c>
      <c r="G11667" s="1" t="str">
        <f>IFERROR(__xludf.DUMMYFUNCTION("GOOGLETRANSLATE(C11667, ""en"", ""fa"")
"),"علایق و علایق خود را شناسایی کنید و در نظر بگیرید که چگونه می توانید آنها را به یک شغل یا سرگرمی کامل تبدیل کنید.")</f>
        <v>علایق و علایق خود را شناسایی کنید و در نظر بگیرید که چگونه می توانید آنها را به یک شغل یا سرگرمی کامل تبدیل کنید.</v>
      </c>
      <c r="H11667" s="1"/>
      <c r="I11667" s="1"/>
      <c r="J11667" s="1"/>
      <c r="K11667" s="1"/>
      <c r="L11667" s="1"/>
      <c r="M11667" s="1"/>
      <c r="N11667" s="1"/>
      <c r="O11667" s="1"/>
      <c r="P11667" s="1"/>
      <c r="Q11667" s="1"/>
      <c r="R11667" s="1"/>
      <c r="S11667" s="1"/>
      <c r="T11667" s="1"/>
      <c r="U11667" s="1"/>
      <c r="V11667" s="1"/>
      <c r="W11667" s="1"/>
      <c r="X11667" s="1"/>
      <c r="Y11667" s="1"/>
      <c r="Z11667" s="1"/>
      <c r="AA11667" s="1"/>
      <c r="AB11667" s="1"/>
    </row>
    <row r="11668" ht="50.25" customHeight="1">
      <c r="A11668" s="12">
        <v>11664.0</v>
      </c>
      <c r="B11668" s="13" t="s">
        <v>11531</v>
      </c>
      <c r="C11668" s="14" t="s">
        <v>11582</v>
      </c>
      <c r="D11668" s="1"/>
      <c r="E11668" s="1"/>
      <c r="F11668" s="1" t="str">
        <f>IFERROR(__xludf.DUMMYFUNCTION("GOOGLETRANSLATE(B11668, ""en"", ""fa"")
"),"توسعه شخصی")</f>
        <v>توسعه شخصی</v>
      </c>
      <c r="G11668" s="1" t="str">
        <f>IFERROR(__xludf.DUMMYFUNCTION("GOOGLETRANSLATE(C11668, ""en"", ""fa"")
"),"مزایای یادداشت روزانه و بیان خود را به عنوان ابزاری برای پردازش احساسات و تجربیات بررسی کنید.")</f>
        <v>مزایای یادداشت روزانه و بیان خود را به عنوان ابزاری برای پردازش احساسات و تجربیات بررسی کنید.</v>
      </c>
      <c r="H11668" s="1"/>
      <c r="I11668" s="1"/>
      <c r="J11668" s="1"/>
      <c r="K11668" s="1"/>
      <c r="L11668" s="1"/>
      <c r="M11668" s="1"/>
      <c r="N11668" s="1"/>
      <c r="O11668" s="1"/>
      <c r="P11668" s="1"/>
      <c r="Q11668" s="1"/>
      <c r="R11668" s="1"/>
      <c r="S11668" s="1"/>
      <c r="T11668" s="1"/>
      <c r="U11668" s="1"/>
      <c r="V11668" s="1"/>
      <c r="W11668" s="1"/>
      <c r="X11668" s="1"/>
      <c r="Y11668" s="1"/>
      <c r="Z11668" s="1"/>
      <c r="AA11668" s="1"/>
      <c r="AB11668" s="1"/>
    </row>
    <row r="11669" ht="50.25" customHeight="1">
      <c r="A11669" s="12">
        <v>11665.0</v>
      </c>
      <c r="B11669" s="13" t="s">
        <v>11531</v>
      </c>
      <c r="C11669" s="14" t="s">
        <v>11609</v>
      </c>
      <c r="D11669" s="1"/>
      <c r="E11669" s="1"/>
      <c r="F11669" s="1" t="str">
        <f>IFERROR(__xludf.DUMMYFUNCTION("GOOGLETRANSLATE(B11669, ""en"", ""fa"")
"),"توسعه شخصی")</f>
        <v>توسعه شخصی</v>
      </c>
      <c r="G11669" s="1" t="str">
        <f>IFERROR(__xludf.DUMMYFUNCTION("GOOGLETRANSLATE(C11669, ""en"", ""fa"")
"),"به نقش خودآگاهی در درک احساسات، نقاط قوت و ضعف خود فکر کنید.")</f>
        <v>به نقش خودآگاهی در درک احساسات، نقاط قوت و ضعف خود فکر کنید.</v>
      </c>
      <c r="H11669" s="1"/>
      <c r="I11669" s="1"/>
      <c r="J11669" s="1"/>
      <c r="K11669" s="1"/>
      <c r="L11669" s="1"/>
      <c r="M11669" s="1"/>
      <c r="N11669" s="1"/>
      <c r="O11669" s="1"/>
      <c r="P11669" s="1"/>
      <c r="Q11669" s="1"/>
      <c r="R11669" s="1"/>
      <c r="S11669" s="1"/>
      <c r="T11669" s="1"/>
      <c r="U11669" s="1"/>
      <c r="V11669" s="1"/>
      <c r="W11669" s="1"/>
      <c r="X11669" s="1"/>
      <c r="Y11669" s="1"/>
      <c r="Z11669" s="1"/>
      <c r="AA11669" s="1"/>
      <c r="AB11669" s="1"/>
    </row>
    <row r="11670" ht="50.25" customHeight="1">
      <c r="A11670" s="12">
        <v>11666.0</v>
      </c>
      <c r="B11670" s="13" t="s">
        <v>11531</v>
      </c>
      <c r="C11670" s="14" t="s">
        <v>11610</v>
      </c>
      <c r="D11670" s="1"/>
      <c r="E11670" s="1"/>
      <c r="F11670" s="1" t="str">
        <f>IFERROR(__xludf.DUMMYFUNCTION("GOOGLETRANSLATE(B11670, ""en"", ""fa"")
"),"توسعه شخصی")</f>
        <v>توسعه شخصی</v>
      </c>
      <c r="G11670" s="1" t="str">
        <f>IFERROR(__xludf.DUMMYFUNCTION("GOOGLETRANSLATE(C11670, ""en"", ""fa"")
"),"برای محافظت از زمان، انرژی و رفاه خود با دیگران مرزهای واقع بینانه تعیین کنید.")</f>
        <v>برای محافظت از زمان، انرژی و رفاه خود با دیگران مرزهای واقع بینانه تعیین کنید.</v>
      </c>
      <c r="H11670" s="1"/>
      <c r="I11670" s="1"/>
      <c r="J11670" s="1"/>
      <c r="K11670" s="1"/>
      <c r="L11670" s="1"/>
      <c r="M11670" s="1"/>
      <c r="N11670" s="1"/>
      <c r="O11670" s="1"/>
      <c r="P11670" s="1"/>
      <c r="Q11670" s="1"/>
      <c r="R11670" s="1"/>
      <c r="S11670" s="1"/>
      <c r="T11670" s="1"/>
      <c r="U11670" s="1"/>
      <c r="V11670" s="1"/>
      <c r="W11670" s="1"/>
      <c r="X11670" s="1"/>
      <c r="Y11670" s="1"/>
      <c r="Z11670" s="1"/>
      <c r="AA11670" s="1"/>
      <c r="AB11670" s="1"/>
    </row>
    <row r="11671" ht="50.25" customHeight="1">
      <c r="A11671" s="12">
        <v>11667.0</v>
      </c>
      <c r="B11671" s="13" t="s">
        <v>11531</v>
      </c>
      <c r="C11671" s="14" t="s">
        <v>11611</v>
      </c>
      <c r="D11671" s="1"/>
      <c r="E11671" s="1"/>
      <c r="F11671" s="1" t="str">
        <f>IFERROR(__xludf.DUMMYFUNCTION("GOOGLETRANSLATE(B11671, ""en"", ""fa"")
"),"توسعه شخصی")</f>
        <v>توسعه شخصی</v>
      </c>
      <c r="G11671" s="1" t="str">
        <f>IFERROR(__xludf.DUMMYFUNCTION("GOOGLETRANSLATE(C11671, ""en"", ""fa"")
"),"مفهوم خودپذیری را بررسی کنید و در آغوش گرفتن خود واقعی خود تمرین کنید.")</f>
        <v>مفهوم خودپذیری را بررسی کنید و در آغوش گرفتن خود واقعی خود تمرین کنید.</v>
      </c>
      <c r="H11671" s="1"/>
      <c r="I11671" s="1"/>
      <c r="J11671" s="1"/>
      <c r="K11671" s="1"/>
      <c r="L11671" s="1"/>
      <c r="M11671" s="1"/>
      <c r="N11671" s="1"/>
      <c r="O11671" s="1"/>
      <c r="P11671" s="1"/>
      <c r="Q11671" s="1"/>
      <c r="R11671" s="1"/>
      <c r="S11671" s="1"/>
      <c r="T11671" s="1"/>
      <c r="U11671" s="1"/>
      <c r="V11671" s="1"/>
      <c r="W11671" s="1"/>
      <c r="X11671" s="1"/>
      <c r="Y11671" s="1"/>
      <c r="Z11671" s="1"/>
      <c r="AA11671" s="1"/>
      <c r="AB11671" s="1"/>
    </row>
    <row r="11672" ht="50.25" customHeight="1">
      <c r="A11672" s="12">
        <v>11668.0</v>
      </c>
      <c r="B11672" s="13" t="s">
        <v>11531</v>
      </c>
      <c r="C11672" s="14" t="s">
        <v>11612</v>
      </c>
      <c r="D11672" s="1"/>
      <c r="E11672" s="1"/>
      <c r="F11672" s="1" t="str">
        <f>IFERROR(__xludf.DUMMYFUNCTION("GOOGLETRANSLATE(B11672, ""en"", ""fa"")
"),"توسعه شخصی")</f>
        <v>توسعه شخصی</v>
      </c>
      <c r="G11672" s="1" t="str">
        <f>IFERROR(__xludf.DUMMYFUNCTION("GOOGLETRANSLATE(C11672, ""en"", ""fa"")
"),"مناطقی از زندگی خود را که می توانید کمال گرایی را کنار بگذارید و نقص ها را در آغوش بگیرید، شناسایی کنید.")</f>
        <v>مناطقی از زندگی خود را که می توانید کمال گرایی را کنار بگذارید و نقص ها را در آغوش بگیرید، شناسایی کنید.</v>
      </c>
      <c r="H11672" s="1"/>
      <c r="I11672" s="1"/>
      <c r="J11672" s="1"/>
      <c r="K11672" s="1"/>
      <c r="L11672" s="1"/>
      <c r="M11672" s="1"/>
      <c r="N11672" s="1"/>
      <c r="O11672" s="1"/>
      <c r="P11672" s="1"/>
      <c r="Q11672" s="1"/>
      <c r="R11672" s="1"/>
      <c r="S11672" s="1"/>
      <c r="T11672" s="1"/>
      <c r="U11672" s="1"/>
      <c r="V11672" s="1"/>
      <c r="W11672" s="1"/>
      <c r="X11672" s="1"/>
      <c r="Y11672" s="1"/>
      <c r="Z11672" s="1"/>
      <c r="AA11672" s="1"/>
      <c r="AB11672" s="1"/>
    </row>
    <row r="11673" ht="50.25" customHeight="1">
      <c r="A11673" s="12">
        <v>11669.0</v>
      </c>
      <c r="B11673" s="13" t="s">
        <v>11531</v>
      </c>
      <c r="C11673" s="14" t="s">
        <v>11613</v>
      </c>
      <c r="D11673" s="1"/>
      <c r="E11673" s="1"/>
      <c r="F11673" s="1" t="str">
        <f>IFERROR(__xludf.DUMMYFUNCTION("GOOGLETRANSLATE(B11673, ""en"", ""fa"")
"),"توسعه شخصی")</f>
        <v>توسعه شخصی</v>
      </c>
      <c r="G11673" s="1" t="str">
        <f>IFERROR(__xludf.DUMMYFUNCTION("GOOGLETRANSLATE(C11673, ""en"", ""fa"")
"),"بخشش را نسبت به خود و دیگران تمرین کنید تا بار عاطفی را رها کنید و بسته شوید.")</f>
        <v>بخشش را نسبت به خود و دیگران تمرین کنید تا بار عاطفی را رها کنید و بسته شوید.</v>
      </c>
      <c r="H11673" s="1"/>
      <c r="I11673" s="1"/>
      <c r="J11673" s="1"/>
      <c r="K11673" s="1"/>
      <c r="L11673" s="1"/>
      <c r="M11673" s="1"/>
      <c r="N11673" s="1"/>
      <c r="O11673" s="1"/>
      <c r="P11673" s="1"/>
      <c r="Q11673" s="1"/>
      <c r="R11673" s="1"/>
      <c r="S11673" s="1"/>
      <c r="T11673" s="1"/>
      <c r="U11673" s="1"/>
      <c r="V11673" s="1"/>
      <c r="W11673" s="1"/>
      <c r="X11673" s="1"/>
      <c r="Y11673" s="1"/>
      <c r="Z11673" s="1"/>
      <c r="AA11673" s="1"/>
      <c r="AB11673" s="1"/>
    </row>
    <row r="11674" ht="50.25" customHeight="1">
      <c r="A11674" s="12">
        <v>11670.0</v>
      </c>
      <c r="B11674" s="13" t="s">
        <v>11531</v>
      </c>
      <c r="C11674" s="14" t="s">
        <v>11614</v>
      </c>
      <c r="D11674" s="1"/>
      <c r="E11674" s="1"/>
      <c r="F11674" s="1" t="str">
        <f>IFERROR(__xludf.DUMMYFUNCTION("GOOGLETRANSLATE(B11674, ""en"", ""fa"")
"),"توسعه شخصی")</f>
        <v>توسعه شخصی</v>
      </c>
      <c r="G11674" s="1" t="str">
        <f>IFERROR(__xludf.DUMMYFUNCTION("GOOGLETRANSLATE(C11674, ""en"", ""fa"")
"),"یک بیانیه ماموریت شخصی تنظیم کنید که با ارزش ها و هدف شما در زندگی همسو باشد.")</f>
        <v>یک بیانیه ماموریت شخصی تنظیم کنید که با ارزش ها و هدف شما در زندگی همسو باشد.</v>
      </c>
      <c r="H11674" s="1"/>
      <c r="I11674" s="1"/>
      <c r="J11674" s="1"/>
      <c r="K11674" s="1"/>
      <c r="L11674" s="1"/>
      <c r="M11674" s="1"/>
      <c r="N11674" s="1"/>
      <c r="O11674" s="1"/>
      <c r="P11674" s="1"/>
      <c r="Q11674" s="1"/>
      <c r="R11674" s="1"/>
      <c r="S11674" s="1"/>
      <c r="T11674" s="1"/>
      <c r="U11674" s="1"/>
      <c r="V11674" s="1"/>
      <c r="W11674" s="1"/>
      <c r="X11674" s="1"/>
      <c r="Y11674" s="1"/>
      <c r="Z11674" s="1"/>
      <c r="AA11674" s="1"/>
      <c r="AB11674" s="1"/>
    </row>
    <row r="11675" ht="50.25" customHeight="1">
      <c r="A11675" s="12">
        <v>11671.0</v>
      </c>
      <c r="B11675" s="13" t="s">
        <v>11531</v>
      </c>
      <c r="C11675" s="14" t="s">
        <v>11615</v>
      </c>
      <c r="D11675" s="1"/>
      <c r="E11675" s="1"/>
      <c r="F11675" s="1" t="str">
        <f>IFERROR(__xludf.DUMMYFUNCTION("GOOGLETRANSLATE(B11675, ""en"", ""fa"")
"),"توسعه شخصی")</f>
        <v>توسعه شخصی</v>
      </c>
      <c r="G11675" s="1" t="str">
        <f>IFERROR(__xludf.DUMMYFUNCTION("GOOGLETRANSLATE(C11675, ""en"", ""fa"")
"),"روش های مختلف بیان خلاق، مانند نوشتن، نقاشی یا موسیقی را برای پرورش هنرمند درونی خود کاوش کنید.")</f>
        <v>روش های مختلف بیان خلاق، مانند نوشتن، نقاشی یا موسیقی را برای پرورش هنرمند درونی خود کاوش کنید.</v>
      </c>
      <c r="H11675" s="1"/>
      <c r="I11675" s="1"/>
      <c r="J11675" s="1"/>
      <c r="K11675" s="1"/>
      <c r="L11675" s="1"/>
      <c r="M11675" s="1"/>
      <c r="N11675" s="1"/>
      <c r="O11675" s="1"/>
      <c r="P11675" s="1"/>
      <c r="Q11675" s="1"/>
      <c r="R11675" s="1"/>
      <c r="S11675" s="1"/>
      <c r="T11675" s="1"/>
      <c r="U11675" s="1"/>
      <c r="V11675" s="1"/>
      <c r="W11675" s="1"/>
      <c r="X11675" s="1"/>
      <c r="Y11675" s="1"/>
      <c r="Z11675" s="1"/>
      <c r="AA11675" s="1"/>
      <c r="AB11675" s="1"/>
    </row>
    <row r="11676" ht="50.25" customHeight="1">
      <c r="A11676" s="12">
        <v>11672.0</v>
      </c>
      <c r="B11676" s="13" t="s">
        <v>11531</v>
      </c>
      <c r="C11676" s="14" t="s">
        <v>11616</v>
      </c>
      <c r="D11676" s="1"/>
      <c r="E11676" s="1"/>
      <c r="F11676" s="1" t="str">
        <f>IFERROR(__xludf.DUMMYFUNCTION("GOOGLETRANSLATE(B11676, ""en"", ""fa"")
"),"توسعه شخصی")</f>
        <v>توسعه شخصی</v>
      </c>
      <c r="G11676" s="1" t="str">
        <f>IFERROR(__xludf.DUMMYFUNCTION("GOOGLETRANSLATE(C11676, ""en"", ""fa"")
"),"به شبکه پشتیبانی خود فکر کنید و راه هایی را برای ایجاد ارتباطات مثبت و معنادار با دیگران بیابید.")</f>
        <v>به شبکه پشتیبانی خود فکر کنید و راه هایی را برای ایجاد ارتباطات مثبت و معنادار با دیگران بیابید.</v>
      </c>
      <c r="H11676" s="1"/>
      <c r="I11676" s="1"/>
      <c r="J11676" s="1"/>
      <c r="K11676" s="1"/>
      <c r="L11676" s="1"/>
      <c r="M11676" s="1"/>
      <c r="N11676" s="1"/>
      <c r="O11676" s="1"/>
      <c r="P11676" s="1"/>
      <c r="Q11676" s="1"/>
      <c r="R11676" s="1"/>
      <c r="S11676" s="1"/>
      <c r="T11676" s="1"/>
      <c r="U11676" s="1"/>
      <c r="V11676" s="1"/>
      <c r="W11676" s="1"/>
      <c r="X11676" s="1"/>
      <c r="Y11676" s="1"/>
      <c r="Z11676" s="1"/>
      <c r="AA11676" s="1"/>
      <c r="AB11676" s="1"/>
    </row>
    <row r="11677" ht="50.25" customHeight="1">
      <c r="A11677" s="12">
        <v>11673.0</v>
      </c>
      <c r="B11677" s="13" t="s">
        <v>11531</v>
      </c>
      <c r="C11677" s="14" t="s">
        <v>11617</v>
      </c>
      <c r="D11677" s="1"/>
      <c r="E11677" s="1"/>
      <c r="F11677" s="1" t="str">
        <f>IFERROR(__xludf.DUMMYFUNCTION("GOOGLETRANSLATE(B11677, ""en"", ""fa"")
"),"توسعه شخصی")</f>
        <v>توسعه شخصی</v>
      </c>
      <c r="G11677" s="1" t="str">
        <f>IFERROR(__xludf.DUMMYFUNCTION("GOOGLETRANSLATE(C11677, ""en"", ""fa"")
"),"برای ردیابی سفر رشد شخصی خود، زمانی را برای تفکر و ارزیابی منظم خود اختصاص دهید.")</f>
        <v>برای ردیابی سفر رشد شخصی خود، زمانی را برای تفکر و ارزیابی منظم خود اختصاص دهید.</v>
      </c>
      <c r="H11677" s="1"/>
      <c r="I11677" s="1"/>
      <c r="J11677" s="1"/>
      <c r="K11677" s="1"/>
      <c r="L11677" s="1"/>
      <c r="M11677" s="1"/>
      <c r="N11677" s="1"/>
      <c r="O11677" s="1"/>
      <c r="P11677" s="1"/>
      <c r="Q11677" s="1"/>
      <c r="R11677" s="1"/>
      <c r="S11677" s="1"/>
      <c r="T11677" s="1"/>
      <c r="U11677" s="1"/>
      <c r="V11677" s="1"/>
      <c r="W11677" s="1"/>
      <c r="X11677" s="1"/>
      <c r="Y11677" s="1"/>
      <c r="Z11677" s="1"/>
      <c r="AA11677" s="1"/>
      <c r="AB11677" s="1"/>
    </row>
    <row r="11678" ht="50.25" customHeight="1">
      <c r="A11678" s="12">
        <v>11674.0</v>
      </c>
      <c r="B11678" s="13" t="s">
        <v>11531</v>
      </c>
      <c r="C11678" s="14" t="s">
        <v>11618</v>
      </c>
      <c r="D11678" s="1"/>
      <c r="E11678" s="1"/>
      <c r="F11678" s="1" t="str">
        <f>IFERROR(__xludf.DUMMYFUNCTION("GOOGLETRANSLATE(B11678, ""en"", ""fa"")
"),"توسعه شخصی")</f>
        <v>توسعه شخصی</v>
      </c>
      <c r="G11678" s="1" t="str">
        <f>IFERROR(__xludf.DUMMYFUNCTION("GOOGLETRANSLATE(C11678, ""en"", ""fa"")
"),"عادات یا رفتارهایی را که انرژی شما را تخلیه می کند شناسایی کنید و برای جایگزینی آنها با عادات مثبت تلاش کنید.")</f>
        <v>عادات یا رفتارهایی را که انرژی شما را تخلیه می کند شناسایی کنید و برای جایگزینی آنها با عادات مثبت تلاش کنید.</v>
      </c>
      <c r="H11678" s="1"/>
      <c r="I11678" s="1"/>
      <c r="J11678" s="1"/>
      <c r="K11678" s="1"/>
      <c r="L11678" s="1"/>
      <c r="M11678" s="1"/>
      <c r="N11678" s="1"/>
      <c r="O11678" s="1"/>
      <c r="P11678" s="1"/>
      <c r="Q11678" s="1"/>
      <c r="R11678" s="1"/>
      <c r="S11678" s="1"/>
      <c r="T11678" s="1"/>
      <c r="U11678" s="1"/>
      <c r="V11678" s="1"/>
      <c r="W11678" s="1"/>
      <c r="X11678" s="1"/>
      <c r="Y11678" s="1"/>
      <c r="Z11678" s="1"/>
      <c r="AA11678" s="1"/>
      <c r="AB11678" s="1"/>
    </row>
    <row r="11679" ht="50.25" customHeight="1">
      <c r="A11679" s="12">
        <v>11675.0</v>
      </c>
      <c r="B11679" s="13" t="s">
        <v>11531</v>
      </c>
      <c r="C11679" s="14" t="s">
        <v>11619</v>
      </c>
      <c r="D11679" s="1"/>
      <c r="E11679" s="1"/>
      <c r="F11679" s="1" t="str">
        <f>IFERROR(__xludf.DUMMYFUNCTION("GOOGLETRANSLATE(B11679, ""en"", ""fa"")
"),"توسعه شخصی")</f>
        <v>توسعه شخصی</v>
      </c>
      <c r="G11679" s="1" t="str">
        <f>IFERROR(__xludf.DUMMYFUNCTION("GOOGLETRANSLATE(C11679, ""en"", ""fa"")
"),"هنر رها کردن چیزهایی را که دیگر در خدمت رشد و رفاه شما نیستند را تمرین کنید.")</f>
        <v>هنر رها کردن چیزهایی را که دیگر در خدمت رشد و رفاه شما نیستند را تمرین کنید.</v>
      </c>
      <c r="H11679" s="1"/>
      <c r="I11679" s="1"/>
      <c r="J11679" s="1"/>
      <c r="K11679" s="1"/>
      <c r="L11679" s="1"/>
      <c r="M11679" s="1"/>
      <c r="N11679" s="1"/>
      <c r="O11679" s="1"/>
      <c r="P11679" s="1"/>
      <c r="Q11679" s="1"/>
      <c r="R11679" s="1"/>
      <c r="S11679" s="1"/>
      <c r="T11679" s="1"/>
      <c r="U11679" s="1"/>
      <c r="V11679" s="1"/>
      <c r="W11679" s="1"/>
      <c r="X11679" s="1"/>
      <c r="Y11679" s="1"/>
      <c r="Z11679" s="1"/>
      <c r="AA11679" s="1"/>
      <c r="AB11679" s="1"/>
    </row>
    <row r="11680" ht="50.25" customHeight="1">
      <c r="A11680" s="12">
        <v>11676.0</v>
      </c>
      <c r="B11680" s="13" t="s">
        <v>11531</v>
      </c>
      <c r="C11680" s="14" t="s">
        <v>11620</v>
      </c>
      <c r="D11680" s="1"/>
      <c r="E11680" s="1"/>
      <c r="F11680" s="1" t="str">
        <f>IFERROR(__xludf.DUMMYFUNCTION("GOOGLETRANSLATE(B11680, ""en"", ""fa"")
"),"توسعه شخصی")</f>
        <v>توسعه شخصی</v>
      </c>
      <c r="G11680" s="1" t="str">
        <f>IFERROR(__xludf.DUMMYFUNCTION("GOOGLETRANSLATE(C11680, ""en"", ""fa"")
"),"برای مدیریت استرس و تقویت آرامش، تکنیک‌های مختلف آرامش، مانند یوگا یا تمرکز حواس را بررسی کنید.")</f>
        <v>برای مدیریت استرس و تقویت آرامش، تکنیک‌های مختلف آرامش، مانند یوگا یا تمرکز حواس را بررسی کنید.</v>
      </c>
      <c r="H11680" s="1"/>
      <c r="I11680" s="1"/>
      <c r="J11680" s="1"/>
      <c r="K11680" s="1"/>
      <c r="L11680" s="1"/>
      <c r="M11680" s="1"/>
      <c r="N11680" s="1"/>
      <c r="O11680" s="1"/>
      <c r="P11680" s="1"/>
      <c r="Q11680" s="1"/>
      <c r="R11680" s="1"/>
      <c r="S11680" s="1"/>
      <c r="T11680" s="1"/>
      <c r="U11680" s="1"/>
      <c r="V11680" s="1"/>
      <c r="W11680" s="1"/>
      <c r="X11680" s="1"/>
      <c r="Y11680" s="1"/>
      <c r="Z11680" s="1"/>
      <c r="AA11680" s="1"/>
      <c r="AB11680" s="1"/>
    </row>
    <row r="11681" ht="50.25" customHeight="1">
      <c r="A11681" s="12">
        <v>11677.0</v>
      </c>
      <c r="B11681" s="13" t="s">
        <v>11531</v>
      </c>
      <c r="C11681" s="14" t="s">
        <v>11621</v>
      </c>
      <c r="D11681" s="1"/>
      <c r="E11681" s="1"/>
      <c r="F11681" s="1" t="str">
        <f>IFERROR(__xludf.DUMMYFUNCTION("GOOGLETRANSLATE(B11681, ""en"", ""fa"")
"),"توسعه شخصی")</f>
        <v>توسعه شخصی</v>
      </c>
      <c r="G11681" s="1" t="str">
        <f>IFERROR(__xludf.DUMMYFUNCTION("GOOGLETRANSLATE(C11681, ""en"", ""fa"")
"),"در مورد نقش قدردانی در پرورش نگرش مثبت به زندگی و افزایش شادی فکر کنید.")</f>
        <v>در مورد نقش قدردانی در پرورش نگرش مثبت به زندگی و افزایش شادی فکر کنید.</v>
      </c>
      <c r="H11681" s="1"/>
      <c r="I11681" s="1"/>
      <c r="J11681" s="1"/>
      <c r="K11681" s="1"/>
      <c r="L11681" s="1"/>
      <c r="M11681" s="1"/>
      <c r="N11681" s="1"/>
      <c r="O11681" s="1"/>
      <c r="P11681" s="1"/>
      <c r="Q11681" s="1"/>
      <c r="R11681" s="1"/>
      <c r="S11681" s="1"/>
      <c r="T11681" s="1"/>
      <c r="U11681" s="1"/>
      <c r="V11681" s="1"/>
      <c r="W11681" s="1"/>
      <c r="X11681" s="1"/>
      <c r="Y11681" s="1"/>
      <c r="Z11681" s="1"/>
      <c r="AA11681" s="1"/>
      <c r="AB11681" s="1"/>
    </row>
    <row r="11682" ht="50.25" customHeight="1">
      <c r="A11682" s="12">
        <v>11678.0</v>
      </c>
      <c r="B11682" s="13" t="s">
        <v>11531</v>
      </c>
      <c r="C11682" s="14" t="s">
        <v>11622</v>
      </c>
      <c r="D11682" s="1"/>
      <c r="E11682" s="1"/>
      <c r="F11682" s="1" t="str">
        <f>IFERROR(__xludf.DUMMYFUNCTION("GOOGLETRANSLATE(B11682, ""en"", ""fa"")
"),"توسعه شخصی")</f>
        <v>توسعه شخصی</v>
      </c>
      <c r="G11682" s="1" t="str">
        <f>IFERROR(__xludf.DUMMYFUNCTION("GOOGLETRANSLATE(C11682, ""en"", ""fa"")
"),"اهداف مشخصی را برای سفر توسعه شخصی خود تعیین کنید و گام های عمدی را به سمت آنها بردارید.")</f>
        <v>اهداف مشخصی را برای سفر توسعه شخصی خود تعیین کنید و گام های عمدی را به سمت آنها بردارید.</v>
      </c>
      <c r="H11682" s="1"/>
      <c r="I11682" s="1"/>
      <c r="J11682" s="1"/>
      <c r="K11682" s="1"/>
      <c r="L11682" s="1"/>
      <c r="M11682" s="1"/>
      <c r="N11682" s="1"/>
      <c r="O11682" s="1"/>
      <c r="P11682" s="1"/>
      <c r="Q11682" s="1"/>
      <c r="R11682" s="1"/>
      <c r="S11682" s="1"/>
      <c r="T11682" s="1"/>
      <c r="U11682" s="1"/>
      <c r="V11682" s="1"/>
      <c r="W11682" s="1"/>
      <c r="X11682" s="1"/>
      <c r="Y11682" s="1"/>
      <c r="Z11682" s="1"/>
      <c r="AA11682" s="1"/>
      <c r="AB11682" s="1"/>
    </row>
    <row r="11683" ht="50.25" customHeight="1">
      <c r="A11683" s="12">
        <v>11679.0</v>
      </c>
      <c r="B11683" s="13" t="s">
        <v>11531</v>
      </c>
      <c r="C11683" s="14" t="s">
        <v>11623</v>
      </c>
      <c r="D11683" s="1"/>
      <c r="E11683" s="1"/>
      <c r="F11683" s="1" t="str">
        <f>IFERROR(__xludf.DUMMYFUNCTION("GOOGLETRANSLATE(B11683, ""en"", ""fa"")
"),"توسعه شخصی")</f>
        <v>توسعه شخصی</v>
      </c>
      <c r="G11683" s="1" t="str">
        <f>IFERROR(__xludf.DUMMYFUNCTION("GOOGLETRANSLATE(C11683, ""en"", ""fa"")
"),"نقاط قوت و استعدادهای منحصر به فرد خود را شناسایی کنید و راه هایی برای استفاده از آنها در زندگی روزمره خود بیابید.")</f>
        <v>نقاط قوت و استعدادهای منحصر به فرد خود را شناسایی کنید و راه هایی برای استفاده از آنها در زندگی روزمره خود بیابید.</v>
      </c>
      <c r="H11683" s="1"/>
      <c r="I11683" s="1"/>
      <c r="J11683" s="1"/>
      <c r="K11683" s="1"/>
      <c r="L11683" s="1"/>
      <c r="M11683" s="1"/>
      <c r="N11683" s="1"/>
      <c r="O11683" s="1"/>
      <c r="P11683" s="1"/>
      <c r="Q11683" s="1"/>
      <c r="R11683" s="1"/>
      <c r="S11683" s="1"/>
      <c r="T11683" s="1"/>
      <c r="U11683" s="1"/>
      <c r="V11683" s="1"/>
      <c r="W11683" s="1"/>
      <c r="X11683" s="1"/>
      <c r="Y11683" s="1"/>
      <c r="Z11683" s="1"/>
      <c r="AA11683" s="1"/>
      <c r="AB11683" s="1"/>
    </row>
    <row r="11684" ht="50.25" customHeight="1">
      <c r="A11684" s="12">
        <v>11680.0</v>
      </c>
      <c r="B11684" s="13" t="s">
        <v>11531</v>
      </c>
      <c r="C11684" s="14" t="s">
        <v>11624</v>
      </c>
      <c r="D11684" s="1"/>
      <c r="E11684" s="1"/>
      <c r="F11684" s="1" t="str">
        <f>IFERROR(__xludf.DUMMYFUNCTION("GOOGLETRANSLATE(B11684, ""en"", ""fa"")
"),"توسعه شخصی")</f>
        <v>توسعه شخصی</v>
      </c>
      <c r="G11684" s="1" t="str">
        <f>IFERROR(__xludf.DUMMYFUNCTION("GOOGLETRANSLATE(C11684, ""en"", ""fa"")
"),"همدلی و شفقت را نسبت به دیگران تمرین کنید و به دنبال درک دیدگاه ها و احساسات آنها باشید.")</f>
        <v>همدلی و شفقت را نسبت به دیگران تمرین کنید و به دنبال درک دیدگاه ها و احساسات آنها باشید.</v>
      </c>
      <c r="H11684" s="1"/>
      <c r="I11684" s="1"/>
      <c r="J11684" s="1"/>
      <c r="K11684" s="1"/>
      <c r="L11684" s="1"/>
      <c r="M11684" s="1"/>
      <c r="N11684" s="1"/>
      <c r="O11684" s="1"/>
      <c r="P11684" s="1"/>
      <c r="Q11684" s="1"/>
      <c r="R11684" s="1"/>
      <c r="S11684" s="1"/>
      <c r="T11684" s="1"/>
      <c r="U11684" s="1"/>
      <c r="V11684" s="1"/>
      <c r="W11684" s="1"/>
      <c r="X11684" s="1"/>
      <c r="Y11684" s="1"/>
      <c r="Z11684" s="1"/>
      <c r="AA11684" s="1"/>
      <c r="AB11684" s="1"/>
    </row>
    <row r="11685" ht="50.25" customHeight="1">
      <c r="A11685" s="12">
        <v>11681.0</v>
      </c>
      <c r="B11685" s="13" t="s">
        <v>11531</v>
      </c>
      <c r="C11685" s="14" t="s">
        <v>11625</v>
      </c>
      <c r="D11685" s="1"/>
      <c r="E11685" s="1"/>
      <c r="F11685" s="1" t="str">
        <f>IFERROR(__xludf.DUMMYFUNCTION("GOOGLETRANSLATE(B11685, ""en"", ""fa"")
"),"توسعه شخصی")</f>
        <v>توسعه شخصی</v>
      </c>
      <c r="G11685" s="1" t="str">
        <f>IFERROR(__xludf.DUMMYFUNCTION("GOOGLETRANSLATE(C11685, ""en"", ""fa"")
"),"برای پردازش احساسات و تجربیات، اشکال مختلف ابراز وجود، مانند روزنامه نگاری یا هنر را کاوش کنید.")</f>
        <v>برای پردازش احساسات و تجربیات، اشکال مختلف ابراز وجود، مانند روزنامه نگاری یا هنر را کاوش کنید.</v>
      </c>
      <c r="H11685" s="1"/>
      <c r="I11685" s="1"/>
      <c r="J11685" s="1"/>
      <c r="K11685" s="1"/>
      <c r="L11685" s="1"/>
      <c r="M11685" s="1"/>
      <c r="N11685" s="1"/>
      <c r="O11685" s="1"/>
      <c r="P11685" s="1"/>
      <c r="Q11685" s="1"/>
      <c r="R11685" s="1"/>
      <c r="S11685" s="1"/>
      <c r="T11685" s="1"/>
      <c r="U11685" s="1"/>
      <c r="V11685" s="1"/>
      <c r="W11685" s="1"/>
      <c r="X11685" s="1"/>
      <c r="Y11685" s="1"/>
      <c r="Z11685" s="1"/>
      <c r="AA11685" s="1"/>
      <c r="AB11685" s="1"/>
    </row>
    <row r="11686" ht="50.25" customHeight="1">
      <c r="A11686" s="12">
        <v>11682.0</v>
      </c>
      <c r="B11686" s="13" t="s">
        <v>11531</v>
      </c>
      <c r="C11686" s="14" t="s">
        <v>11626</v>
      </c>
      <c r="D11686" s="1"/>
      <c r="E11686" s="1"/>
      <c r="F11686" s="1" t="str">
        <f>IFERROR(__xludf.DUMMYFUNCTION("GOOGLETRANSLATE(B11686, ""en"", ""fa"")
"),"توسعه شخصی")</f>
        <v>توسعه شخصی</v>
      </c>
      <c r="G11686" s="1" t="str">
        <f>IFERROR(__xludf.DUMMYFUNCTION("GOOGLETRANSLATE(C11686, ""en"", ""fa"")
"),"به الگوهای خود و ویژگی هایی که در آنها تحسین می کنید فکر کنید و به دنبال تجسم آن ویژگی ها در خود باشید.")</f>
        <v>به الگوهای خود و ویژگی هایی که در آنها تحسین می کنید فکر کنید و به دنبال تجسم آن ویژگی ها در خود باشید.</v>
      </c>
      <c r="H11686" s="1"/>
      <c r="I11686" s="1"/>
      <c r="J11686" s="1"/>
      <c r="K11686" s="1"/>
      <c r="L11686" s="1"/>
      <c r="M11686" s="1"/>
      <c r="N11686" s="1"/>
      <c r="O11686" s="1"/>
      <c r="P11686" s="1"/>
      <c r="Q11686" s="1"/>
      <c r="R11686" s="1"/>
      <c r="S11686" s="1"/>
      <c r="T11686" s="1"/>
      <c r="U11686" s="1"/>
      <c r="V11686" s="1"/>
      <c r="W11686" s="1"/>
      <c r="X11686" s="1"/>
      <c r="Y11686" s="1"/>
      <c r="Z11686" s="1"/>
      <c r="AA11686" s="1"/>
      <c r="AB11686" s="1"/>
    </row>
    <row r="11687" ht="50.25" customHeight="1">
      <c r="A11687" s="12">
        <v>11683.0</v>
      </c>
      <c r="B11687" s="13" t="s">
        <v>11531</v>
      </c>
      <c r="C11687" s="14" t="s">
        <v>11627</v>
      </c>
      <c r="D11687" s="1"/>
      <c r="E11687" s="1"/>
      <c r="F11687" s="1" t="str">
        <f>IFERROR(__xludf.DUMMYFUNCTION("GOOGLETRANSLATE(B11687, ""en"", ""fa"")
"),"توسعه شخصی")</f>
        <v>توسعه شخصی</v>
      </c>
      <c r="G11687" s="1" t="str">
        <f>IFERROR(__xludf.DUMMYFUNCTION("GOOGLETRANSLATE(C11687, ""en"", ""fa"")
"),"برای اطمینان از تعادل سالم در زندگی خود، مرزهای واقع بینانه و قابل دستیابی را با فناوری تعیین کنید.")</f>
        <v>برای اطمینان از تعادل سالم در زندگی خود، مرزهای واقع بینانه و قابل دستیابی را با فناوری تعیین کنید.</v>
      </c>
      <c r="H11687" s="1"/>
      <c r="I11687" s="1"/>
      <c r="J11687" s="1"/>
      <c r="K11687" s="1"/>
      <c r="L11687" s="1"/>
      <c r="M11687" s="1"/>
      <c r="N11687" s="1"/>
      <c r="O11687" s="1"/>
      <c r="P11687" s="1"/>
      <c r="Q11687" s="1"/>
      <c r="R11687" s="1"/>
      <c r="S11687" s="1"/>
      <c r="T11687" s="1"/>
      <c r="U11687" s="1"/>
      <c r="V11687" s="1"/>
      <c r="W11687" s="1"/>
      <c r="X11687" s="1"/>
      <c r="Y11687" s="1"/>
      <c r="Z11687" s="1"/>
      <c r="AA11687" s="1"/>
      <c r="AB11687" s="1"/>
    </row>
    <row r="11688" ht="50.25" customHeight="1">
      <c r="A11688" s="12">
        <v>11684.0</v>
      </c>
      <c r="B11688" s="13" t="s">
        <v>11531</v>
      </c>
      <c r="C11688" s="14" t="s">
        <v>11628</v>
      </c>
      <c r="D11688" s="1"/>
      <c r="E11688" s="1"/>
      <c r="F11688" s="1" t="str">
        <f>IFERROR(__xludf.DUMMYFUNCTION("GOOGLETRANSLATE(B11688, ""en"", ""fa"")
"),"توسعه شخصی")</f>
        <v>توسعه شخصی</v>
      </c>
      <c r="G11688" s="1" t="str">
        <f>IFERROR(__xludf.DUMMYFUNCTION("GOOGLETRANSLATE(C11688, ""en"", ""fa"")
"),"فعالیت ها یا سرگرمی هایی را که به شما شادی می دهد شناسایی کنید و به طور منظم برای آنها وقت بگذارید.")</f>
        <v>فعالیت ها یا سرگرمی هایی را که به شما شادی می دهد شناسایی کنید و به طور منظم برای آنها وقت بگذارید.</v>
      </c>
      <c r="H11688" s="1"/>
      <c r="I11688" s="1"/>
      <c r="J11688" s="1"/>
      <c r="K11688" s="1"/>
      <c r="L11688" s="1"/>
      <c r="M11688" s="1"/>
      <c r="N11688" s="1"/>
      <c r="O11688" s="1"/>
      <c r="P11688" s="1"/>
      <c r="Q11688" s="1"/>
      <c r="R11688" s="1"/>
      <c r="S11688" s="1"/>
      <c r="T11688" s="1"/>
      <c r="U11688" s="1"/>
      <c r="V11688" s="1"/>
      <c r="W11688" s="1"/>
      <c r="X11688" s="1"/>
      <c r="Y11688" s="1"/>
      <c r="Z11688" s="1"/>
      <c r="AA11688" s="1"/>
      <c r="AB11688" s="1"/>
    </row>
    <row r="11689" ht="50.25" customHeight="1">
      <c r="A11689" s="12">
        <v>11685.0</v>
      </c>
      <c r="B11689" s="13" t="s">
        <v>11531</v>
      </c>
      <c r="C11689" s="14" t="s">
        <v>11629</v>
      </c>
      <c r="D11689" s="1"/>
      <c r="E11689" s="1"/>
      <c r="F11689" s="1" t="str">
        <f>IFERROR(__xludf.DUMMYFUNCTION("GOOGLETRANSLATE(B11689, ""en"", ""fa"")
"),"توسعه شخصی")</f>
        <v>توسعه شخصی</v>
      </c>
      <c r="G11689" s="1" t="str">
        <f>IFERROR(__xludf.DUMMYFUNCTION("GOOGLETRANSLATE(C11689, ""en"", ""fa"")
"),"در برقراری ارتباط با نیازها و نظرات خود بدون به خطر انداختن ارزش های خود، قاطعیت را تمرین کنید.")</f>
        <v>در برقراری ارتباط با نیازها و نظرات خود بدون به خطر انداختن ارزش های خود، قاطعیت را تمرین کنید.</v>
      </c>
      <c r="H11689" s="1"/>
      <c r="I11689" s="1"/>
      <c r="J11689" s="1"/>
      <c r="K11689" s="1"/>
      <c r="L11689" s="1"/>
      <c r="M11689" s="1"/>
      <c r="N11689" s="1"/>
      <c r="O11689" s="1"/>
      <c r="P11689" s="1"/>
      <c r="Q11689" s="1"/>
      <c r="R11689" s="1"/>
      <c r="S11689" s="1"/>
      <c r="T11689" s="1"/>
      <c r="U11689" s="1"/>
      <c r="V11689" s="1"/>
      <c r="W11689" s="1"/>
      <c r="X11689" s="1"/>
      <c r="Y11689" s="1"/>
      <c r="Z11689" s="1"/>
      <c r="AA11689" s="1"/>
      <c r="AB11689" s="1"/>
    </row>
    <row r="11690" ht="50.25" customHeight="1">
      <c r="A11690" s="12">
        <v>11686.0</v>
      </c>
      <c r="B11690" s="13" t="s">
        <v>11531</v>
      </c>
      <c r="C11690" s="14" t="s">
        <v>11630</v>
      </c>
      <c r="D11690" s="1"/>
      <c r="E11690" s="1"/>
      <c r="F11690" s="1" t="str">
        <f>IFERROR(__xludf.DUMMYFUNCTION("GOOGLETRANSLATE(B11690, ""en"", ""fa"")
"),"توسعه شخصی")</f>
        <v>توسعه شخصی</v>
      </c>
      <c r="G11690" s="1" t="str">
        <f>IFERROR(__xludf.DUMMYFUNCTION("GOOGLETRANSLATE(C11690, ""en"", ""fa"")
"),"تاثیر جملات تاکیدی مثبت در ایجاد اعتماد به نفس و تصویر مثبت از خود را بررسی کنید.")</f>
        <v>تاثیر جملات تاکیدی مثبت در ایجاد اعتماد به نفس و تصویر مثبت از خود را بررسی کنید.</v>
      </c>
      <c r="H11690" s="1"/>
      <c r="I11690" s="1"/>
      <c r="J11690" s="1"/>
      <c r="K11690" s="1"/>
      <c r="L11690" s="1"/>
      <c r="M11690" s="1"/>
      <c r="N11690" s="1"/>
      <c r="O11690" s="1"/>
      <c r="P11690" s="1"/>
      <c r="Q11690" s="1"/>
      <c r="R11690" s="1"/>
      <c r="S11690" s="1"/>
      <c r="T11690" s="1"/>
      <c r="U11690" s="1"/>
      <c r="V11690" s="1"/>
      <c r="W11690" s="1"/>
      <c r="X11690" s="1"/>
      <c r="Y11690" s="1"/>
      <c r="Z11690" s="1"/>
      <c r="AA11690" s="1"/>
      <c r="AB11690" s="1"/>
    </row>
    <row r="11691" ht="50.25" customHeight="1">
      <c r="A11691" s="12">
        <v>11687.0</v>
      </c>
      <c r="B11691" s="13" t="s">
        <v>11531</v>
      </c>
      <c r="C11691" s="14" t="s">
        <v>11631</v>
      </c>
      <c r="D11691" s="1"/>
      <c r="E11691" s="1"/>
      <c r="F11691" s="1" t="str">
        <f>IFERROR(__xludf.DUMMYFUNCTION("GOOGLETRANSLATE(B11691, ""en"", ""fa"")
"),"توسعه شخصی")</f>
        <v>توسعه شخصی</v>
      </c>
      <c r="G11691" s="1" t="str">
        <f>IFERROR(__xludf.DUMMYFUNCTION("GOOGLETRANSLATE(C11691, ""en"", ""fa"")
"),"در مورد هدف زندگی خود فکر کنید و راه هایی را برای هماهنگ کردن اعمال خود با ارزش های عمیق تر خود جستجو کنید.")</f>
        <v>در مورد هدف زندگی خود فکر کنید و راه هایی را برای هماهنگ کردن اعمال خود با ارزش های عمیق تر خود جستجو کنید.</v>
      </c>
      <c r="H11691" s="1"/>
      <c r="I11691" s="1"/>
      <c r="J11691" s="1"/>
      <c r="K11691" s="1"/>
      <c r="L11691" s="1"/>
      <c r="M11691" s="1"/>
      <c r="N11691" s="1"/>
      <c r="O11691" s="1"/>
      <c r="P11691" s="1"/>
      <c r="Q11691" s="1"/>
      <c r="R11691" s="1"/>
      <c r="S11691" s="1"/>
      <c r="T11691" s="1"/>
      <c r="U11691" s="1"/>
      <c r="V11691" s="1"/>
      <c r="W11691" s="1"/>
      <c r="X11691" s="1"/>
      <c r="Y11691" s="1"/>
      <c r="Z11691" s="1"/>
      <c r="AA11691" s="1"/>
      <c r="AB11691" s="1"/>
    </row>
    <row r="11692" ht="50.25" customHeight="1">
      <c r="A11692" s="12">
        <v>11688.0</v>
      </c>
      <c r="B11692" s="13" t="s">
        <v>11531</v>
      </c>
      <c r="C11692" s="14" t="s">
        <v>11632</v>
      </c>
      <c r="D11692" s="1"/>
      <c r="E11692" s="1"/>
      <c r="F11692" s="1" t="str">
        <f>IFERROR(__xludf.DUMMYFUNCTION("GOOGLETRANSLATE(B11692, ""en"", ""fa"")
"),"توسعه شخصی")</f>
        <v>توسعه شخصی</v>
      </c>
      <c r="G11692" s="1" t="str">
        <f>IFERROR(__xludf.DUMMYFUNCTION("GOOGLETRANSLATE(C11692, ""en"", ""fa"")
"),"یک تمرین انعکاس روزانه یا هفتگی برای ارزیابی پیشرفت و زمینه های بهبود خود تنظیم کنید.")</f>
        <v>یک تمرین انعکاس روزانه یا هفتگی برای ارزیابی پیشرفت و زمینه های بهبود خود تنظیم کنید.</v>
      </c>
      <c r="H11692" s="1"/>
      <c r="I11692" s="1"/>
      <c r="J11692" s="1"/>
      <c r="K11692" s="1"/>
      <c r="L11692" s="1"/>
      <c r="M11692" s="1"/>
      <c r="N11692" s="1"/>
      <c r="O11692" s="1"/>
      <c r="P11692" s="1"/>
      <c r="Q11692" s="1"/>
      <c r="R11692" s="1"/>
      <c r="S11692" s="1"/>
      <c r="T11692" s="1"/>
      <c r="U11692" s="1"/>
      <c r="V11692" s="1"/>
      <c r="W11692" s="1"/>
      <c r="X11692" s="1"/>
      <c r="Y11692" s="1"/>
      <c r="Z11692" s="1"/>
      <c r="AA11692" s="1"/>
      <c r="AB11692" s="1"/>
    </row>
    <row r="11693" ht="50.25" customHeight="1">
      <c r="A11693" s="12">
        <v>11689.0</v>
      </c>
      <c r="B11693" s="13" t="s">
        <v>11531</v>
      </c>
      <c r="C11693" s="14" t="s">
        <v>11633</v>
      </c>
      <c r="D11693" s="1"/>
      <c r="E11693" s="1"/>
      <c r="F11693" s="1" t="str">
        <f>IFERROR(__xludf.DUMMYFUNCTION("GOOGLETRANSLATE(B11693, ""en"", ""fa"")
"),"توسعه شخصی")</f>
        <v>توسعه شخصی</v>
      </c>
      <c r="G11693" s="1" t="str">
        <f>IFERROR(__xludf.DUMMYFUNCTION("GOOGLETRANSLATE(C11693, ""en"", ""fa"")
"),"باورهای محدود کننده خود را شناسایی کنید و برای حمایت از رشد شخصی خود بر روی آنها کار کنید.")</f>
        <v>باورهای محدود کننده خود را شناسایی کنید و برای حمایت از رشد شخصی خود بر روی آنها کار کنید.</v>
      </c>
      <c r="H11693" s="1"/>
      <c r="I11693" s="1"/>
      <c r="J11693" s="1"/>
      <c r="K11693" s="1"/>
      <c r="L11693" s="1"/>
      <c r="M11693" s="1"/>
      <c r="N11693" s="1"/>
      <c r="O11693" s="1"/>
      <c r="P11693" s="1"/>
      <c r="Q11693" s="1"/>
      <c r="R11693" s="1"/>
      <c r="S11693" s="1"/>
      <c r="T11693" s="1"/>
      <c r="U11693" s="1"/>
      <c r="V11693" s="1"/>
      <c r="W11693" s="1"/>
      <c r="X11693" s="1"/>
      <c r="Y11693" s="1"/>
      <c r="Z11693" s="1"/>
      <c r="AA11693" s="1"/>
      <c r="AB11693" s="1"/>
    </row>
    <row r="11694" ht="50.25" customHeight="1">
      <c r="A11694" s="12">
        <v>11690.0</v>
      </c>
      <c r="B11694" s="13" t="s">
        <v>11531</v>
      </c>
      <c r="C11694" s="14" t="s">
        <v>11634</v>
      </c>
      <c r="D11694" s="1"/>
      <c r="E11694" s="1"/>
      <c r="F11694" s="1" t="str">
        <f>IFERROR(__xludf.DUMMYFUNCTION("GOOGLETRANSLATE(B11694, ""en"", ""fa"")
"),"توسعه شخصی")</f>
        <v>توسعه شخصی</v>
      </c>
      <c r="G11694" s="1" t="str">
        <f>IFERROR(__xludf.DUMMYFUNCTION("GOOGLETRANSLATE(C11694, ""en"", ""fa"")
"),"تمرینات تنفس عمیق را برای تقویت آرامش و کاهش استرس انجام دهید.")</f>
        <v>تمرینات تنفس عمیق را برای تقویت آرامش و کاهش استرس انجام دهید.</v>
      </c>
      <c r="H11694" s="1"/>
      <c r="I11694" s="1"/>
      <c r="J11694" s="1"/>
      <c r="K11694" s="1"/>
      <c r="L11694" s="1"/>
      <c r="M11694" s="1"/>
      <c r="N11694" s="1"/>
      <c r="O11694" s="1"/>
      <c r="P11694" s="1"/>
      <c r="Q11694" s="1"/>
      <c r="R11694" s="1"/>
      <c r="S11694" s="1"/>
      <c r="T11694" s="1"/>
      <c r="U11694" s="1"/>
      <c r="V11694" s="1"/>
      <c r="W11694" s="1"/>
      <c r="X11694" s="1"/>
      <c r="Y11694" s="1"/>
      <c r="Z11694" s="1"/>
      <c r="AA11694" s="1"/>
      <c r="AB11694" s="1"/>
    </row>
    <row r="11695" ht="50.25" customHeight="1">
      <c r="A11695" s="12">
        <v>11691.0</v>
      </c>
      <c r="B11695" s="13" t="s">
        <v>11531</v>
      </c>
      <c r="C11695" s="14" t="s">
        <v>11635</v>
      </c>
      <c r="D11695" s="1"/>
      <c r="E11695" s="1"/>
      <c r="F11695" s="1" t="str">
        <f>IFERROR(__xludf.DUMMYFUNCTION("GOOGLETRANSLATE(B11695, ""en"", ""fa"")
"),"توسعه شخصی")</f>
        <v>توسعه شخصی</v>
      </c>
      <c r="G11695" s="1" t="str">
        <f>IFERROR(__xludf.DUMMYFUNCTION("GOOGLETRANSLATE(C11695, ""en"", ""fa"")
"),"اشکال مختلف حل خلاقانه مسئله را برای غلبه بر چالش ها و یافتن راه حل های نوآورانه کاوش کنید.")</f>
        <v>اشکال مختلف حل خلاقانه مسئله را برای غلبه بر چالش ها و یافتن راه حل های نوآورانه کاوش کنید.</v>
      </c>
      <c r="H11695" s="1"/>
      <c r="I11695" s="1"/>
      <c r="J11695" s="1"/>
      <c r="K11695" s="1"/>
      <c r="L11695" s="1"/>
      <c r="M11695" s="1"/>
      <c r="N11695" s="1"/>
      <c r="O11695" s="1"/>
      <c r="P11695" s="1"/>
      <c r="Q11695" s="1"/>
      <c r="R11695" s="1"/>
      <c r="S11695" s="1"/>
      <c r="T11695" s="1"/>
      <c r="U11695" s="1"/>
      <c r="V11695" s="1"/>
      <c r="W11695" s="1"/>
      <c r="X11695" s="1"/>
      <c r="Y11695" s="1"/>
      <c r="Z11695" s="1"/>
      <c r="AA11695" s="1"/>
      <c r="AB11695" s="1"/>
    </row>
    <row r="11696" ht="50.25" customHeight="1">
      <c r="A11696" s="12">
        <v>11692.0</v>
      </c>
      <c r="B11696" s="13" t="s">
        <v>11531</v>
      </c>
      <c r="C11696" s="14" t="s">
        <v>11641</v>
      </c>
      <c r="D11696" s="1"/>
      <c r="E11696" s="1"/>
      <c r="F11696" s="1" t="str">
        <f>IFERROR(__xludf.DUMMYFUNCTION("GOOGLETRANSLATE(B11696, ""en"", ""fa"")
"),"توسعه شخصی")</f>
        <v>توسعه شخصی</v>
      </c>
      <c r="G11696" s="1" t="str">
        <f>IFERROR(__xludf.DUMMYFUNCTION("GOOGLETRANSLATE(C11696, ""en"", ""fa"")
"),"در مورد تجربیات گذشته انعطاف پذیری و پشتکار فکر کنید و در زمان های سخت از آنها قدرت بگیرید.")</f>
        <v>در مورد تجربیات گذشته انعطاف پذیری و پشتکار فکر کنید و در زمان های سخت از آنها قدرت بگیرید.</v>
      </c>
      <c r="H11696" s="1"/>
      <c r="I11696" s="1"/>
      <c r="J11696" s="1"/>
      <c r="K11696" s="1"/>
      <c r="L11696" s="1"/>
      <c r="M11696" s="1"/>
      <c r="N11696" s="1"/>
      <c r="O11696" s="1"/>
      <c r="P11696" s="1"/>
      <c r="Q11696" s="1"/>
      <c r="R11696" s="1"/>
      <c r="S11696" s="1"/>
      <c r="T11696" s="1"/>
      <c r="U11696" s="1"/>
      <c r="V11696" s="1"/>
      <c r="W11696" s="1"/>
      <c r="X11696" s="1"/>
      <c r="Y11696" s="1"/>
      <c r="Z11696" s="1"/>
      <c r="AA11696" s="1"/>
      <c r="AB11696" s="1"/>
    </row>
    <row r="11697" ht="50.25" customHeight="1">
      <c r="A11697" s="12">
        <v>11693.0</v>
      </c>
      <c r="B11697" s="13" t="s">
        <v>11531</v>
      </c>
      <c r="C11697" s="14" t="s">
        <v>11642</v>
      </c>
      <c r="D11697" s="1"/>
      <c r="E11697" s="1"/>
      <c r="F11697" s="1" t="str">
        <f>IFERROR(__xludf.DUMMYFUNCTION("GOOGLETRANSLATE(B11697, ""en"", ""fa"")
"),"توسعه شخصی")</f>
        <v>توسعه شخصی</v>
      </c>
      <c r="G11697" s="1" t="str">
        <f>IFERROR(__xludf.DUMMYFUNCTION("GOOGLETRANSLATE(C11697, ""en"", ""fa"")
"),"برای حفظ تعادل بین کار و زندگی، در زمان شخصی مرزهای خاصی را با وظایف مربوط به کار تعیین کنید.")</f>
        <v>برای حفظ تعادل بین کار و زندگی، در زمان شخصی مرزهای خاصی را با وظایف مربوط به کار تعیین کنید.</v>
      </c>
      <c r="H11697" s="1"/>
      <c r="I11697" s="1"/>
      <c r="J11697" s="1"/>
      <c r="K11697" s="1"/>
      <c r="L11697" s="1"/>
      <c r="M11697" s="1"/>
      <c r="N11697" s="1"/>
      <c r="O11697" s="1"/>
      <c r="P11697" s="1"/>
      <c r="Q11697" s="1"/>
      <c r="R11697" s="1"/>
      <c r="S11697" s="1"/>
      <c r="T11697" s="1"/>
      <c r="U11697" s="1"/>
      <c r="V11697" s="1"/>
      <c r="W11697" s="1"/>
      <c r="X11697" s="1"/>
      <c r="Y11697" s="1"/>
      <c r="Z11697" s="1"/>
      <c r="AA11697" s="1"/>
      <c r="AB11697" s="1"/>
    </row>
    <row r="11698" ht="50.25" customHeight="1">
      <c r="A11698" s="12">
        <v>11694.0</v>
      </c>
      <c r="B11698" s="13" t="s">
        <v>11531</v>
      </c>
      <c r="C11698" s="14" t="s">
        <v>11601</v>
      </c>
      <c r="D11698" s="1"/>
      <c r="E11698" s="1"/>
      <c r="F11698" s="1" t="str">
        <f>IFERROR(__xludf.DUMMYFUNCTION("GOOGLETRANSLATE(B11698, ""en"", ""fa"")
"),"توسعه شخصی")</f>
        <v>توسعه شخصی</v>
      </c>
      <c r="G11698" s="1" t="str">
        <f>IFERROR(__xludf.DUMMYFUNCTION("GOOGLETRANSLATE(C11698, ""en"", ""fa"")
"),"عادات یا رفتارهایی را که ممکن است مانع رشد شما شوند را شناسایی کنید و روی تغییر آنها کار کنید.")</f>
        <v>عادات یا رفتارهایی را که ممکن است مانع رشد شما شوند را شناسایی کنید و روی تغییر آنها کار کنید.</v>
      </c>
      <c r="H11698" s="1"/>
      <c r="I11698" s="1"/>
      <c r="J11698" s="1"/>
      <c r="K11698" s="1"/>
      <c r="L11698" s="1"/>
      <c r="M11698" s="1"/>
      <c r="N11698" s="1"/>
      <c r="O11698" s="1"/>
      <c r="P11698" s="1"/>
      <c r="Q11698" s="1"/>
      <c r="R11698" s="1"/>
      <c r="S11698" s="1"/>
      <c r="T11698" s="1"/>
      <c r="U11698" s="1"/>
      <c r="V11698" s="1"/>
      <c r="W11698" s="1"/>
      <c r="X11698" s="1"/>
      <c r="Y11698" s="1"/>
      <c r="Z11698" s="1"/>
      <c r="AA11698" s="1"/>
      <c r="AB11698" s="1"/>
    </row>
    <row r="11699" ht="50.25" customHeight="1">
      <c r="A11699" s="12">
        <v>11695.0</v>
      </c>
      <c r="B11699" s="13" t="s">
        <v>11531</v>
      </c>
      <c r="C11699" s="14" t="s">
        <v>11643</v>
      </c>
      <c r="D11699" s="1"/>
      <c r="E11699" s="1"/>
      <c r="F11699" s="1" t="str">
        <f>IFERROR(__xludf.DUMMYFUNCTION("GOOGLETRANSLATE(B11699, ""en"", ""fa"")
"),"توسعه شخصی")</f>
        <v>توسعه شخصی</v>
      </c>
      <c r="G11699" s="1" t="str">
        <f>IFERROR(__xludf.DUMMYFUNCTION("GOOGLETRANSLATE(C11699, ""en"", ""fa"")
"),"تکنیک های تجسم را تمرین کنید تا آینده دلخواه خود را تصور و آشکار کنید.")</f>
        <v>تکنیک های تجسم را تمرین کنید تا آینده دلخواه خود را تصور و آشکار کنید.</v>
      </c>
      <c r="H11699" s="1"/>
      <c r="I11699" s="1"/>
      <c r="J11699" s="1"/>
      <c r="K11699" s="1"/>
      <c r="L11699" s="1"/>
      <c r="M11699" s="1"/>
      <c r="N11699" s="1"/>
      <c r="O11699" s="1"/>
      <c r="P11699" s="1"/>
      <c r="Q11699" s="1"/>
      <c r="R11699" s="1"/>
      <c r="S11699" s="1"/>
      <c r="T11699" s="1"/>
      <c r="U11699" s="1"/>
      <c r="V11699" s="1"/>
      <c r="W11699" s="1"/>
      <c r="X11699" s="1"/>
      <c r="Y11699" s="1"/>
      <c r="Z11699" s="1"/>
      <c r="AA11699" s="1"/>
      <c r="AB11699" s="1"/>
    </row>
    <row r="11700" ht="50.25" customHeight="1">
      <c r="A11700" s="12">
        <v>11696.0</v>
      </c>
      <c r="B11700" s="13" t="s">
        <v>11531</v>
      </c>
      <c r="C11700" s="14" t="s">
        <v>11602</v>
      </c>
      <c r="D11700" s="1"/>
      <c r="E11700" s="1"/>
      <c r="F11700" s="1" t="str">
        <f>IFERROR(__xludf.DUMMYFUNCTION("GOOGLETRANSLATE(B11700, ""en"", ""fa"")
"),"توسعه شخصی")</f>
        <v>توسعه شخصی</v>
      </c>
      <c r="G11700" s="1" t="str">
        <f>IFERROR(__xludf.DUMMYFUNCTION("GOOGLETRANSLATE(C11700, ""en"", ""fa"")
"),"مفهوم شفقت به خود را کاوش کنید و تمرین کنید که نسبت به خودتان مهربان و فهمیده باشید.")</f>
        <v>مفهوم شفقت به خود را کاوش کنید و تمرین کنید که نسبت به خودتان مهربان و فهمیده باشید.</v>
      </c>
      <c r="H11700" s="1"/>
      <c r="I11700" s="1"/>
      <c r="J11700" s="1"/>
      <c r="K11700" s="1"/>
      <c r="L11700" s="1"/>
      <c r="M11700" s="1"/>
      <c r="N11700" s="1"/>
      <c r="O11700" s="1"/>
      <c r="P11700" s="1"/>
      <c r="Q11700" s="1"/>
      <c r="R11700" s="1"/>
      <c r="S11700" s="1"/>
      <c r="T11700" s="1"/>
      <c r="U11700" s="1"/>
      <c r="V11700" s="1"/>
      <c r="W11700" s="1"/>
      <c r="X11700" s="1"/>
      <c r="Y11700" s="1"/>
      <c r="Z11700" s="1"/>
      <c r="AA11700" s="1"/>
      <c r="AB11700" s="1"/>
    </row>
    <row r="11701" ht="50.25" customHeight="1">
      <c r="A11701" s="12">
        <v>11697.0</v>
      </c>
      <c r="B11701" s="13" t="s">
        <v>11531</v>
      </c>
      <c r="C11701" s="14" t="s">
        <v>11603</v>
      </c>
      <c r="D11701" s="1"/>
      <c r="E11701" s="1"/>
      <c r="F11701" s="1" t="str">
        <f>IFERROR(__xludf.DUMMYFUNCTION("GOOGLETRANSLATE(B11701, ""en"", ""fa"")
"),"توسعه شخصی")</f>
        <v>توسعه شخصی</v>
      </c>
      <c r="G11701" s="1" t="str">
        <f>IFERROR(__xludf.DUMMYFUNCTION("GOOGLETRANSLATE(C11701, ""en"", ""fa"")
"),"به نقاط قوت شخصی خود فکر کنید و راه هایی برای استفاده از آنها در شغل یا زندگی روزمره خود بیابید.")</f>
        <v>به نقاط قوت شخصی خود فکر کنید و راه هایی برای استفاده از آنها در شغل یا زندگی روزمره خود بیابید.</v>
      </c>
      <c r="H11701" s="1"/>
      <c r="I11701" s="1"/>
      <c r="J11701" s="1"/>
      <c r="K11701" s="1"/>
      <c r="L11701" s="1"/>
      <c r="M11701" s="1"/>
      <c r="N11701" s="1"/>
      <c r="O11701" s="1"/>
      <c r="P11701" s="1"/>
      <c r="Q11701" s="1"/>
      <c r="R11701" s="1"/>
      <c r="S11701" s="1"/>
      <c r="T11701" s="1"/>
      <c r="U11701" s="1"/>
      <c r="V11701" s="1"/>
      <c r="W11701" s="1"/>
      <c r="X11701" s="1"/>
      <c r="Y11701" s="1"/>
      <c r="Z11701" s="1"/>
      <c r="AA11701" s="1"/>
      <c r="AB11701" s="1"/>
    </row>
    <row r="11702" ht="50.25" customHeight="1">
      <c r="A11702" s="12">
        <v>11698.0</v>
      </c>
      <c r="B11702" s="13" t="s">
        <v>11531</v>
      </c>
      <c r="C11702" s="14" t="s">
        <v>11605</v>
      </c>
      <c r="D11702" s="1"/>
      <c r="E11702" s="1"/>
      <c r="F11702" s="1" t="str">
        <f>IFERROR(__xludf.DUMMYFUNCTION("GOOGLETRANSLATE(B11702, ""en"", ""fa"")
"),"توسعه شخصی")</f>
        <v>توسعه شخصی</v>
      </c>
      <c r="G11702" s="1" t="str">
        <f>IFERROR(__xludf.DUMMYFUNCTION("GOOGLETRANSLATE(C11702, ""en"", ""fa"")
"),"اهداف واقع بینانه و قابل دستیابی را برای پیشرفت شخصی تعیین کنید و پیشرفت خود را به طور منظم پیگیری کنید.")</f>
        <v>اهداف واقع بینانه و قابل دستیابی را برای پیشرفت شخصی تعیین کنید و پیشرفت خود را به طور منظم پیگیری کنید.</v>
      </c>
      <c r="H11702" s="1"/>
      <c r="I11702" s="1"/>
      <c r="J11702" s="1"/>
      <c r="K11702" s="1"/>
      <c r="L11702" s="1"/>
      <c r="M11702" s="1"/>
      <c r="N11702" s="1"/>
      <c r="O11702" s="1"/>
      <c r="P11702" s="1"/>
      <c r="Q11702" s="1"/>
      <c r="R11702" s="1"/>
      <c r="S11702" s="1"/>
      <c r="T11702" s="1"/>
      <c r="U11702" s="1"/>
      <c r="V11702" s="1"/>
      <c r="W11702" s="1"/>
      <c r="X11702" s="1"/>
      <c r="Y11702" s="1"/>
      <c r="Z11702" s="1"/>
      <c r="AA11702" s="1"/>
      <c r="AB11702" s="1"/>
    </row>
    <row r="11703" ht="50.25" customHeight="1">
      <c r="A11703" s="12">
        <v>11699.0</v>
      </c>
      <c r="B11703" s="13" t="s">
        <v>11531</v>
      </c>
      <c r="C11703" s="14" t="s">
        <v>11606</v>
      </c>
      <c r="D11703" s="1"/>
      <c r="E11703" s="1"/>
      <c r="F11703" s="1" t="str">
        <f>IFERROR(__xludf.DUMMYFUNCTION("GOOGLETRANSLATE(B11703, ""en"", ""fa"")
"),"توسعه شخصی")</f>
        <v>توسعه شخصی</v>
      </c>
      <c r="G11703" s="1" t="str">
        <f>IFERROR(__xludf.DUMMYFUNCTION("GOOGLETRANSLATE(C11703, ""en"", ""fa"")
"),"منابع استرس را در زندگی خود شناسایی کنید و مکانیسم های مقابله ای سالم مانند ورزش یا فعالیت های خلاقانه را کشف کنید.")</f>
        <v>منابع استرس را در زندگی خود شناسایی کنید و مکانیسم های مقابله ای سالم مانند ورزش یا فعالیت های خلاقانه را کشف کنید.</v>
      </c>
      <c r="H11703" s="1"/>
      <c r="I11703" s="1"/>
      <c r="J11703" s="1"/>
      <c r="K11703" s="1"/>
      <c r="L11703" s="1"/>
      <c r="M11703" s="1"/>
      <c r="N11703" s="1"/>
      <c r="O11703" s="1"/>
      <c r="P11703" s="1"/>
      <c r="Q11703" s="1"/>
      <c r="R11703" s="1"/>
      <c r="S11703" s="1"/>
      <c r="T11703" s="1"/>
      <c r="U11703" s="1"/>
      <c r="V11703" s="1"/>
      <c r="W11703" s="1"/>
      <c r="X11703" s="1"/>
      <c r="Y11703" s="1"/>
      <c r="Z11703" s="1"/>
      <c r="AA11703" s="1"/>
      <c r="AB11703" s="1"/>
    </row>
    <row r="11704" ht="50.25" customHeight="1">
      <c r="A11704" s="12">
        <v>11700.0</v>
      </c>
      <c r="B11704" s="13" t="s">
        <v>11531</v>
      </c>
      <c r="C11704" s="14" t="s">
        <v>11607</v>
      </c>
      <c r="D11704" s="1"/>
      <c r="E11704" s="1"/>
      <c r="F11704" s="1" t="str">
        <f>IFERROR(__xludf.DUMMYFUNCTION("GOOGLETRANSLATE(B11704, ""en"", ""fa"")
"),"توسعه شخصی")</f>
        <v>توسعه شخصی</v>
      </c>
      <c r="G11704" s="1" t="str">
        <f>IFERROR(__xludf.DUMMYFUNCTION("GOOGLETRANSLATE(C11704, ""en"", ""fa"")
"),"مزایای مدیتیشن ذهن آگاهی و اینکه چگونه می تواند بهزیستی ذهنی شما را بهبود بخشد را بررسی کنید.")</f>
        <v>مزایای مدیتیشن ذهن آگاهی و اینکه چگونه می تواند بهزیستی ذهنی شما را بهبود بخشد را بررسی کنید.</v>
      </c>
      <c r="H11704" s="1"/>
      <c r="I11704" s="1"/>
      <c r="J11704" s="1"/>
      <c r="K11704" s="1"/>
      <c r="L11704" s="1"/>
      <c r="M11704" s="1"/>
      <c r="N11704" s="1"/>
      <c r="O11704" s="1"/>
      <c r="P11704" s="1"/>
      <c r="Q11704" s="1"/>
      <c r="R11704" s="1"/>
      <c r="S11704" s="1"/>
      <c r="T11704" s="1"/>
      <c r="U11704" s="1"/>
      <c r="V11704" s="1"/>
      <c r="W11704" s="1"/>
      <c r="X11704" s="1"/>
      <c r="Y11704" s="1"/>
      <c r="Z11704" s="1"/>
      <c r="AA11704" s="1"/>
      <c r="AB11704" s="1"/>
    </row>
    <row r="11705" ht="50.25" customHeight="1">
      <c r="A11705" s="12">
        <v>11701.0</v>
      </c>
      <c r="B11705" s="13" t="s">
        <v>11531</v>
      </c>
      <c r="C11705" s="14" t="s">
        <v>11608</v>
      </c>
      <c r="D11705" s="1"/>
      <c r="E11705" s="1"/>
      <c r="F11705" s="1" t="str">
        <f>IFERROR(__xludf.DUMMYFUNCTION("GOOGLETRANSLATE(B11705, ""en"", ""fa"")
"),"توسعه شخصی")</f>
        <v>توسعه شخصی</v>
      </c>
      <c r="G11705" s="1" t="str">
        <f>IFERROR(__xludf.DUMMYFUNCTION("GOOGLETRANSLATE(C11705, ""en"", ""fa"")
"),"به ارزش های اصلی خود و اینکه چگونه آنها تصمیمات و اقدامات شما را هدایت می کنند فکر کنید.")</f>
        <v>به ارزش های اصلی خود و اینکه چگونه آنها تصمیمات و اقدامات شما را هدایت می کنند فکر کنید.</v>
      </c>
      <c r="H11705" s="1"/>
      <c r="I11705" s="1"/>
      <c r="J11705" s="1"/>
      <c r="K11705" s="1"/>
      <c r="L11705" s="1"/>
      <c r="M11705" s="1"/>
      <c r="N11705" s="1"/>
      <c r="O11705" s="1"/>
      <c r="P11705" s="1"/>
      <c r="Q11705" s="1"/>
      <c r="R11705" s="1"/>
      <c r="S11705" s="1"/>
      <c r="T11705" s="1"/>
      <c r="U11705" s="1"/>
      <c r="V11705" s="1"/>
      <c r="W11705" s="1"/>
      <c r="X11705" s="1"/>
      <c r="Y11705" s="1"/>
      <c r="Z11705" s="1"/>
      <c r="AA11705" s="1"/>
      <c r="AB11705" s="1"/>
    </row>
    <row r="11706" ht="50.25" customHeight="1">
      <c r="A11706" s="12">
        <v>11702.0</v>
      </c>
      <c r="B11706" s="13" t="s">
        <v>11531</v>
      </c>
      <c r="C11706" s="14" t="s">
        <v>11590</v>
      </c>
      <c r="D11706" s="1"/>
      <c r="E11706" s="1"/>
      <c r="F11706" s="1" t="str">
        <f>IFERROR(__xludf.DUMMYFUNCTION("GOOGLETRANSLATE(B11706, ""en"", ""fa"")
"),"توسعه شخصی")</f>
        <v>توسعه شخصی</v>
      </c>
      <c r="G11706" s="1" t="str">
        <f>IFERROR(__xludf.DUMMYFUNCTION("GOOGLETRANSLATE(C11706, ""en"", ""fa"")
"),"قدردانی را با ابراز قدردانی از افراد و تجربیات زندگی خود تمرین کنید.")</f>
        <v>قدردانی را با ابراز قدردانی از افراد و تجربیات زندگی خود تمرین کنید.</v>
      </c>
      <c r="H11706" s="1"/>
      <c r="I11706" s="1"/>
      <c r="J11706" s="1"/>
      <c r="K11706" s="1"/>
      <c r="L11706" s="1"/>
      <c r="M11706" s="1"/>
      <c r="N11706" s="1"/>
      <c r="O11706" s="1"/>
      <c r="P11706" s="1"/>
      <c r="Q11706" s="1"/>
      <c r="R11706" s="1"/>
      <c r="S11706" s="1"/>
      <c r="T11706" s="1"/>
      <c r="U11706" s="1"/>
      <c r="V11706" s="1"/>
      <c r="W11706" s="1"/>
      <c r="X11706" s="1"/>
      <c r="Y11706" s="1"/>
      <c r="Z11706" s="1"/>
      <c r="AA11706" s="1"/>
      <c r="AB11706" s="1"/>
    </row>
    <row r="11707" ht="50.25" customHeight="1">
      <c r="A11707" s="12">
        <v>11703.0</v>
      </c>
      <c r="B11707" s="13" t="s">
        <v>11531</v>
      </c>
      <c r="C11707" s="14" t="s">
        <v>11533</v>
      </c>
      <c r="D11707" s="1"/>
      <c r="E11707" s="1"/>
      <c r="F11707" s="1" t="str">
        <f>IFERROR(__xludf.DUMMYFUNCTION("GOOGLETRANSLATE(B11707, ""en"", ""fa"")
"),"توسعه شخصی")</f>
        <v>توسعه شخصی</v>
      </c>
      <c r="G11707" s="1" t="str">
        <f>IFERROR(__xludf.DUMMYFUNCTION("GOOGLETRANSLATE(C11707, ""en"", ""fa"")
"),"اهداف کوتاه مدت و بلند مدت مشخص و قابل دستیابی را برای رشد شخصی تعیین کنید.")</f>
        <v>اهداف کوتاه مدت و بلند مدت مشخص و قابل دستیابی را برای رشد شخصی تعیین کنید.</v>
      </c>
      <c r="H11707" s="1"/>
      <c r="I11707" s="1"/>
      <c r="J11707" s="1"/>
      <c r="K11707" s="1"/>
      <c r="L11707" s="1"/>
      <c r="M11707" s="1"/>
      <c r="N11707" s="1"/>
      <c r="O11707" s="1"/>
      <c r="P11707" s="1"/>
      <c r="Q11707" s="1"/>
      <c r="R11707" s="1"/>
      <c r="S11707" s="1"/>
      <c r="T11707" s="1"/>
      <c r="U11707" s="1"/>
      <c r="V11707" s="1"/>
      <c r="W11707" s="1"/>
      <c r="X11707" s="1"/>
      <c r="Y11707" s="1"/>
      <c r="Z11707" s="1"/>
      <c r="AA11707" s="1"/>
      <c r="AB11707" s="1"/>
    </row>
    <row r="11708" ht="50.25" customHeight="1">
      <c r="A11708" s="12">
        <v>11704.0</v>
      </c>
      <c r="B11708" s="13" t="s">
        <v>11531</v>
      </c>
      <c r="C11708" s="14" t="s">
        <v>11534</v>
      </c>
      <c r="D11708" s="1"/>
      <c r="E11708" s="1"/>
      <c r="F11708" s="1" t="str">
        <f>IFERROR(__xludf.DUMMYFUNCTION("GOOGLETRANSLATE(B11708, ""en"", ""fa"")
"),"توسعه شخصی")</f>
        <v>توسعه شخصی</v>
      </c>
      <c r="G11708" s="1" t="str">
        <f>IFERROR(__xludf.DUMMYFUNCTION("GOOGLETRANSLATE(C11708, ""en"", ""fa"")
"),"نقاط قوت و زمینه های بهبود خود را شناسایی کنید و یک برنامه عمل برای بهبود خود ایجاد کنید.")</f>
        <v>نقاط قوت و زمینه های بهبود خود را شناسایی کنید و یک برنامه عمل برای بهبود خود ایجاد کنید.</v>
      </c>
      <c r="H11708" s="1"/>
      <c r="I11708" s="1"/>
      <c r="J11708" s="1"/>
      <c r="K11708" s="1"/>
      <c r="L11708" s="1"/>
      <c r="M11708" s="1"/>
      <c r="N11708" s="1"/>
      <c r="O11708" s="1"/>
      <c r="P11708" s="1"/>
      <c r="Q11708" s="1"/>
      <c r="R11708" s="1"/>
      <c r="S11708" s="1"/>
      <c r="T11708" s="1"/>
      <c r="U11708" s="1"/>
      <c r="V11708" s="1"/>
      <c r="W11708" s="1"/>
      <c r="X11708" s="1"/>
      <c r="Y11708" s="1"/>
      <c r="Z11708" s="1"/>
      <c r="AA11708" s="1"/>
      <c r="AB11708" s="1"/>
    </row>
    <row r="11709" ht="50.25" customHeight="1">
      <c r="A11709" s="12">
        <v>11705.0</v>
      </c>
      <c r="B11709" s="13" t="s">
        <v>11531</v>
      </c>
      <c r="C11709" s="14" t="s">
        <v>11535</v>
      </c>
      <c r="D11709" s="1"/>
      <c r="E11709" s="1"/>
      <c r="F11709" s="1" t="str">
        <f>IFERROR(__xludf.DUMMYFUNCTION("GOOGLETRANSLATE(B11709, ""en"", ""fa"")
"),"توسعه شخصی")</f>
        <v>توسعه شخصی</v>
      </c>
      <c r="G11709" s="1" t="str">
        <f>IFERROR(__xludf.DUMMYFUNCTION("GOOGLETRANSLATE(C11709, ""en"", ""fa"")
"),"برای کاهش استرس و افزایش تمرکز، تمرین‌های تمرکز حواس مانند مدیتیشن و تنفس عمیق را بررسی کنید.")</f>
        <v>برای کاهش استرس و افزایش تمرکز، تمرین‌های تمرکز حواس مانند مدیتیشن و تنفس عمیق را بررسی کنید.</v>
      </c>
      <c r="H11709" s="1"/>
      <c r="I11709" s="1"/>
      <c r="J11709" s="1"/>
      <c r="K11709" s="1"/>
      <c r="L11709" s="1"/>
      <c r="M11709" s="1"/>
      <c r="N11709" s="1"/>
      <c r="O11709" s="1"/>
      <c r="P11709" s="1"/>
      <c r="Q11709" s="1"/>
      <c r="R11709" s="1"/>
      <c r="S11709" s="1"/>
      <c r="T11709" s="1"/>
      <c r="U11709" s="1"/>
      <c r="V11709" s="1"/>
      <c r="W11709" s="1"/>
      <c r="X11709" s="1"/>
      <c r="Y11709" s="1"/>
      <c r="Z11709" s="1"/>
      <c r="AA11709" s="1"/>
      <c r="AB11709" s="1"/>
    </row>
    <row r="11710" ht="50.25" customHeight="1">
      <c r="A11710" s="12">
        <v>11706.0</v>
      </c>
      <c r="B11710" s="13" t="s">
        <v>11531</v>
      </c>
      <c r="C11710" s="14" t="s">
        <v>11536</v>
      </c>
      <c r="D11710" s="1"/>
      <c r="E11710" s="1"/>
      <c r="F11710" s="1" t="str">
        <f>IFERROR(__xludf.DUMMYFUNCTION("GOOGLETRANSLATE(B11710, ""en"", ""fa"")
"),"توسعه شخصی")</f>
        <v>توسعه شخصی</v>
      </c>
      <c r="G11710" s="1" t="str">
        <f>IFERROR(__xludf.DUMMYFUNCTION("GOOGLETRANSLATE(C11710, ""en"", ""fa"")
"),"در مورد چالش های گذشته و اینکه چگونه آنها به انعطاف پذیری و قدرت شخصی شما کمک کرده اند فکر کنید.")</f>
        <v>در مورد چالش های گذشته و اینکه چگونه آنها به انعطاف پذیری و قدرت شخصی شما کمک کرده اند فکر کنید.</v>
      </c>
      <c r="H11710" s="1"/>
      <c r="I11710" s="1"/>
      <c r="J11710" s="1"/>
      <c r="K11710" s="1"/>
      <c r="L11710" s="1"/>
      <c r="M11710" s="1"/>
      <c r="N11710" s="1"/>
      <c r="O11710" s="1"/>
      <c r="P11710" s="1"/>
      <c r="Q11710" s="1"/>
      <c r="R11710" s="1"/>
      <c r="S11710" s="1"/>
      <c r="T11710" s="1"/>
      <c r="U11710" s="1"/>
      <c r="V11710" s="1"/>
      <c r="W11710" s="1"/>
      <c r="X11710" s="1"/>
      <c r="Y11710" s="1"/>
      <c r="Z11710" s="1"/>
      <c r="AA11710" s="1"/>
      <c r="AB11710" s="1"/>
    </row>
    <row r="11711" ht="50.25" customHeight="1">
      <c r="A11711" s="12">
        <v>11707.0</v>
      </c>
      <c r="B11711" s="13" t="s">
        <v>11531</v>
      </c>
      <c r="C11711" s="14" t="s">
        <v>11537</v>
      </c>
      <c r="D11711" s="1"/>
      <c r="E11711" s="1"/>
      <c r="F11711" s="1" t="str">
        <f>IFERROR(__xludf.DUMMYFUNCTION("GOOGLETRANSLATE(B11711, ""en"", ""fa"")
"),"توسعه شخصی")</f>
        <v>توسعه شخصی</v>
      </c>
      <c r="G11711" s="1" t="str">
        <f>IFERROR(__xludf.DUMMYFUNCTION("GOOGLETRANSLATE(C11711, ""en"", ""fa"")
"),"برای قدردانی از جنبه های مثبت زندگی خود، تمرین قدردانی روزانه را توسعه دهید.")</f>
        <v>برای قدردانی از جنبه های مثبت زندگی خود، تمرین قدردانی روزانه را توسعه دهید.</v>
      </c>
      <c r="H11711" s="1"/>
      <c r="I11711" s="1"/>
      <c r="J11711" s="1"/>
      <c r="K11711" s="1"/>
      <c r="L11711" s="1"/>
      <c r="M11711" s="1"/>
      <c r="N11711" s="1"/>
      <c r="O11711" s="1"/>
      <c r="P11711" s="1"/>
      <c r="Q11711" s="1"/>
      <c r="R11711" s="1"/>
      <c r="S11711" s="1"/>
      <c r="T11711" s="1"/>
      <c r="U11711" s="1"/>
      <c r="V11711" s="1"/>
      <c r="W11711" s="1"/>
      <c r="X11711" s="1"/>
      <c r="Y11711" s="1"/>
      <c r="Z11711" s="1"/>
      <c r="AA11711" s="1"/>
      <c r="AB11711" s="1"/>
    </row>
    <row r="11712" ht="50.25" customHeight="1">
      <c r="A11712" s="12">
        <v>11708.0</v>
      </c>
      <c r="B11712" s="13" t="s">
        <v>11531</v>
      </c>
      <c r="C11712" s="14" t="s">
        <v>11538</v>
      </c>
      <c r="D11712" s="1"/>
      <c r="E11712" s="1"/>
      <c r="F11712" s="1" t="str">
        <f>IFERROR(__xludf.DUMMYFUNCTION("GOOGLETRANSLATE(B11712, ""en"", ""fa"")
"),"توسعه شخصی")</f>
        <v>توسعه شخصی</v>
      </c>
      <c r="G11712" s="1" t="str">
        <f>IFERROR(__xludf.DUMMYFUNCTION("GOOGLETRANSLATE(C11712, ""en"", ""fa"")
"),"تکنیک های مختلف مدیریت زمان را برای بهینه سازی بهره وری و دستیابی به تعادل بهتر بین کار و زندگی کاوش کنید.")</f>
        <v>تکنیک های مختلف مدیریت زمان را برای بهینه سازی بهره وری و دستیابی به تعادل بهتر بین کار و زندگی کاوش کنید.</v>
      </c>
      <c r="H11712" s="1"/>
      <c r="I11712" s="1"/>
      <c r="J11712" s="1"/>
      <c r="K11712" s="1"/>
      <c r="L11712" s="1"/>
      <c r="M11712" s="1"/>
      <c r="N11712" s="1"/>
      <c r="O11712" s="1"/>
      <c r="P11712" s="1"/>
      <c r="Q11712" s="1"/>
      <c r="R11712" s="1"/>
      <c r="S11712" s="1"/>
      <c r="T11712" s="1"/>
      <c r="U11712" s="1"/>
      <c r="V11712" s="1"/>
      <c r="W11712" s="1"/>
      <c r="X11712" s="1"/>
      <c r="Y11712" s="1"/>
      <c r="Z11712" s="1"/>
      <c r="AA11712" s="1"/>
      <c r="AB11712" s="1"/>
    </row>
    <row r="11713" ht="50.25" customHeight="1">
      <c r="A11713" s="12">
        <v>11709.0</v>
      </c>
      <c r="B11713" s="13" t="s">
        <v>11531</v>
      </c>
      <c r="C11713" s="14" t="s">
        <v>11539</v>
      </c>
      <c r="D11713" s="1"/>
      <c r="E11713" s="1"/>
      <c r="F11713" s="1" t="str">
        <f>IFERROR(__xludf.DUMMYFUNCTION("GOOGLETRANSLATE(B11713, ""en"", ""fa"")
"),"توسعه شخصی")</f>
        <v>توسعه شخصی</v>
      </c>
      <c r="G11713" s="1" t="str">
        <f>IFERROR(__xludf.DUMMYFUNCTION("GOOGLETRANSLATE(C11713, ""en"", ""fa"")
"),"خود را به چالش بکشید تا از منطقه راحتی خود خارج شوید و فرصت های جدیدی را برای رشد در آغوش بگیرید.")</f>
        <v>خود را به چالش بکشید تا از منطقه راحتی خود خارج شوید و فرصت های جدیدی را برای رشد در آغوش بگیرید.</v>
      </c>
      <c r="H11713" s="1"/>
      <c r="I11713" s="1"/>
      <c r="J11713" s="1"/>
      <c r="K11713" s="1"/>
      <c r="L11713" s="1"/>
      <c r="M11713" s="1"/>
      <c r="N11713" s="1"/>
      <c r="O11713" s="1"/>
      <c r="P11713" s="1"/>
      <c r="Q11713" s="1"/>
      <c r="R11713" s="1"/>
      <c r="S11713" s="1"/>
      <c r="T11713" s="1"/>
      <c r="U11713" s="1"/>
      <c r="V11713" s="1"/>
      <c r="W11713" s="1"/>
      <c r="X11713" s="1"/>
      <c r="Y11713" s="1"/>
      <c r="Z11713" s="1"/>
      <c r="AA11713" s="1"/>
      <c r="AB11713" s="1"/>
    </row>
    <row r="11714" ht="50.25" customHeight="1">
      <c r="A11714" s="12">
        <v>11710.0</v>
      </c>
      <c r="B11714" s="13" t="s">
        <v>11531</v>
      </c>
      <c r="C11714" s="14" t="s">
        <v>11540</v>
      </c>
      <c r="D11714" s="1"/>
      <c r="E11714" s="1"/>
      <c r="F11714" s="1" t="str">
        <f>IFERROR(__xludf.DUMMYFUNCTION("GOOGLETRANSLATE(B11714, ""en"", ""fa"")
"),"توسعه شخصی")</f>
        <v>توسعه شخصی</v>
      </c>
      <c r="G11714" s="1" t="str">
        <f>IFERROR(__xludf.DUMMYFUNCTION("GOOGLETRANSLATE(C11714, ""en"", ""fa"")
"),"الگوهای افکار منفی را شناسایی کنید و آنها را با جملات تاکیدی مثبت جایگزین کنید.")</f>
        <v>الگوهای افکار منفی را شناسایی کنید و آنها را با جملات تاکیدی مثبت جایگزین کنید.</v>
      </c>
      <c r="H11714" s="1"/>
      <c r="I11714" s="1"/>
      <c r="J11714" s="1"/>
      <c r="K11714" s="1"/>
      <c r="L11714" s="1"/>
      <c r="M11714" s="1"/>
      <c r="N11714" s="1"/>
      <c r="O11714" s="1"/>
      <c r="P11714" s="1"/>
      <c r="Q11714" s="1"/>
      <c r="R11714" s="1"/>
      <c r="S11714" s="1"/>
      <c r="T11714" s="1"/>
      <c r="U11714" s="1"/>
      <c r="V11714" s="1"/>
      <c r="W11714" s="1"/>
      <c r="X11714" s="1"/>
      <c r="Y11714" s="1"/>
      <c r="Z11714" s="1"/>
      <c r="AA11714" s="1"/>
      <c r="AB11714" s="1"/>
    </row>
    <row r="11715" ht="50.25" customHeight="1">
      <c r="A11715" s="12">
        <v>11711.0</v>
      </c>
      <c r="B11715" s="13" t="s">
        <v>11531</v>
      </c>
      <c r="C11715" s="14" t="s">
        <v>11541</v>
      </c>
      <c r="D11715" s="1"/>
      <c r="E11715" s="1"/>
      <c r="F11715" s="1" t="str">
        <f>IFERROR(__xludf.DUMMYFUNCTION("GOOGLETRANSLATE(B11715, ""en"", ""fa"")
"),"توسعه شخصی")</f>
        <v>توسعه شخصی</v>
      </c>
      <c r="G11715" s="1" t="str">
        <f>IFERROR(__xludf.DUMMYFUNCTION("GOOGLETRANSLATE(C11715, ""en"", ""fa"")
"),"برای بهبود مهارت های ارتباطی و ایجاد روابط معنادار، گوش دادن فعال را تمرین کنید.")</f>
        <v>برای بهبود مهارت های ارتباطی و ایجاد روابط معنادار، گوش دادن فعال را تمرین کنید.</v>
      </c>
      <c r="H11715" s="1"/>
      <c r="I11715" s="1"/>
      <c r="J11715" s="1"/>
      <c r="K11715" s="1"/>
      <c r="L11715" s="1"/>
      <c r="M11715" s="1"/>
      <c r="N11715" s="1"/>
      <c r="O11715" s="1"/>
      <c r="P11715" s="1"/>
      <c r="Q11715" s="1"/>
      <c r="R11715" s="1"/>
      <c r="S11715" s="1"/>
      <c r="T11715" s="1"/>
      <c r="U11715" s="1"/>
      <c r="V11715" s="1"/>
      <c r="W11715" s="1"/>
      <c r="X11715" s="1"/>
      <c r="Y11715" s="1"/>
      <c r="Z11715" s="1"/>
      <c r="AA11715" s="1"/>
      <c r="AB11715" s="1"/>
    </row>
    <row r="11716" ht="50.25" customHeight="1">
      <c r="A11716" s="12">
        <v>11712.0</v>
      </c>
      <c r="B11716" s="13" t="s">
        <v>11531</v>
      </c>
      <c r="C11716" s="14" t="s">
        <v>11542</v>
      </c>
      <c r="D11716" s="1"/>
      <c r="E11716" s="1"/>
      <c r="F11716" s="1" t="str">
        <f>IFERROR(__xludf.DUMMYFUNCTION("GOOGLETRANSLATE(B11716, ""en"", ""fa"")
"),"توسعه شخصی")</f>
        <v>توسعه شخصی</v>
      </c>
      <c r="G11716" s="1" t="str">
        <f>IFERROR(__xludf.DUMMYFUNCTION("GOOGLETRANSLATE(C11716, ""en"", ""fa"")
"),"برای محافظت از زمان و رفاه خود در زندگی شخصی و حرفه ای خود حد و مرزی تعیین کنید.")</f>
        <v>برای محافظت از زمان و رفاه خود در زندگی شخصی و حرفه ای خود حد و مرزی تعیین کنید.</v>
      </c>
      <c r="H11716" s="1"/>
      <c r="I11716" s="1"/>
      <c r="J11716" s="1"/>
      <c r="K11716" s="1"/>
      <c r="L11716" s="1"/>
      <c r="M11716" s="1"/>
      <c r="N11716" s="1"/>
      <c r="O11716" s="1"/>
      <c r="P11716" s="1"/>
      <c r="Q11716" s="1"/>
      <c r="R11716" s="1"/>
      <c r="S11716" s="1"/>
      <c r="T11716" s="1"/>
      <c r="U11716" s="1"/>
      <c r="V11716" s="1"/>
      <c r="W11716" s="1"/>
      <c r="X11716" s="1"/>
      <c r="Y11716" s="1"/>
      <c r="Z11716" s="1"/>
      <c r="AA11716" s="1"/>
      <c r="AB11716" s="1"/>
    </row>
    <row r="11717" ht="50.25" customHeight="1">
      <c r="A11717" s="12">
        <v>11713.0</v>
      </c>
      <c r="B11717" s="13" t="s">
        <v>11531</v>
      </c>
      <c r="C11717" s="14" t="s">
        <v>11543</v>
      </c>
      <c r="D11717" s="1"/>
      <c r="E11717" s="1"/>
      <c r="F11717" s="1" t="str">
        <f>IFERROR(__xludf.DUMMYFUNCTION("GOOGLETRANSLATE(B11717, ""en"", ""fa"")
"),"توسعه شخصی")</f>
        <v>توسعه شخصی</v>
      </c>
      <c r="G11717" s="1" t="str">
        <f>IFERROR(__xludf.DUMMYFUNCTION("GOOGLETRANSLATE(C11717, ""en"", ""fa"")
"),"مفهوم هوش هیجانی و تاثیر آن بر روابط شخصی و حرفه ای را بررسی کنید.")</f>
        <v>مفهوم هوش هیجانی و تاثیر آن بر روابط شخصی و حرفه ای را بررسی کنید.</v>
      </c>
      <c r="H11717" s="1"/>
      <c r="I11717" s="1"/>
      <c r="J11717" s="1"/>
      <c r="K11717" s="1"/>
      <c r="L11717" s="1"/>
      <c r="M11717" s="1"/>
      <c r="N11717" s="1"/>
      <c r="O11717" s="1"/>
      <c r="P11717" s="1"/>
      <c r="Q11717" s="1"/>
      <c r="R11717" s="1"/>
      <c r="S11717" s="1"/>
      <c r="T11717" s="1"/>
      <c r="U11717" s="1"/>
      <c r="V11717" s="1"/>
      <c r="W11717" s="1"/>
      <c r="X11717" s="1"/>
      <c r="Y11717" s="1"/>
      <c r="Z11717" s="1"/>
      <c r="AA11717" s="1"/>
      <c r="AB11717" s="1"/>
    </row>
    <row r="11718" ht="50.25" customHeight="1">
      <c r="A11718" s="12">
        <v>11714.0</v>
      </c>
      <c r="B11718" s="13" t="s">
        <v>11531</v>
      </c>
      <c r="C11718" s="14" t="s">
        <v>11544</v>
      </c>
      <c r="D11718" s="1"/>
      <c r="E11718" s="1"/>
      <c r="F11718" s="1" t="str">
        <f>IFERROR(__xludf.DUMMYFUNCTION("GOOGLETRANSLATE(B11718, ""en"", ""fa"")
"),"توسعه شخصی")</f>
        <v>توسعه شخصی</v>
      </c>
      <c r="G11718" s="1" t="str">
        <f>IFERROR(__xludf.DUMMYFUNCTION("GOOGLETRANSLATE(C11718, ""en"", ""fa"")
"),"در مورد علایق و سرگرمی های خود فکر کنید و راه هایی برای گنجاندن آنها در زندگی روزمره خود بیابید.")</f>
        <v>در مورد علایق و سرگرمی های خود فکر کنید و راه هایی برای گنجاندن آنها در زندگی روزمره خود بیابید.</v>
      </c>
      <c r="H11718" s="1"/>
      <c r="I11718" s="1"/>
      <c r="J11718" s="1"/>
      <c r="K11718" s="1"/>
      <c r="L11718" s="1"/>
      <c r="M11718" s="1"/>
      <c r="N11718" s="1"/>
      <c r="O11718" s="1"/>
      <c r="P11718" s="1"/>
      <c r="Q11718" s="1"/>
      <c r="R11718" s="1"/>
      <c r="S11718" s="1"/>
      <c r="T11718" s="1"/>
      <c r="U11718" s="1"/>
      <c r="V11718" s="1"/>
      <c r="W11718" s="1"/>
      <c r="X11718" s="1"/>
      <c r="Y11718" s="1"/>
      <c r="Z11718" s="1"/>
      <c r="AA11718" s="1"/>
      <c r="AB11718" s="1"/>
    </row>
    <row r="11719" ht="50.25" customHeight="1">
      <c r="A11719" s="12">
        <v>11715.0</v>
      </c>
      <c r="B11719" s="13" t="s">
        <v>11531</v>
      </c>
      <c r="C11719" s="14" t="s">
        <v>11545</v>
      </c>
      <c r="D11719" s="1"/>
      <c r="E11719" s="1"/>
      <c r="F11719" s="1" t="str">
        <f>IFERROR(__xludf.DUMMYFUNCTION("GOOGLETRANSLATE(B11719, ""en"", ""fa"")
"),"توسعه شخصی")</f>
        <v>توسعه شخصی</v>
      </c>
      <c r="G11719" s="1" t="str">
        <f>IFERROR(__xludf.DUMMYFUNCTION("GOOGLETRANSLATE(C11719, ""en"", ""fa"")
"),"یک مهارت جدید بیاموزید یا سرگرمی مورد علاقه خود را دنبال کنید، حتی اگر خارج از منطقه راحتی شما باشد.")</f>
        <v>یک مهارت جدید بیاموزید یا سرگرمی مورد علاقه خود را دنبال کنید، حتی اگر خارج از منطقه راحتی شما باشد.</v>
      </c>
      <c r="H11719" s="1"/>
      <c r="I11719" s="1"/>
      <c r="J11719" s="1"/>
      <c r="K11719" s="1"/>
      <c r="L11719" s="1"/>
      <c r="M11719" s="1"/>
      <c r="N11719" s="1"/>
      <c r="O11719" s="1"/>
      <c r="P11719" s="1"/>
      <c r="Q11719" s="1"/>
      <c r="R11719" s="1"/>
      <c r="S11719" s="1"/>
      <c r="T11719" s="1"/>
      <c r="U11719" s="1"/>
      <c r="V11719" s="1"/>
      <c r="W11719" s="1"/>
      <c r="X11719" s="1"/>
      <c r="Y11719" s="1"/>
      <c r="Z11719" s="1"/>
      <c r="AA11719" s="1"/>
      <c r="AB11719" s="1"/>
    </row>
    <row r="11720" ht="50.25" customHeight="1">
      <c r="A11720" s="12">
        <v>11716.0</v>
      </c>
      <c r="B11720" s="13" t="s">
        <v>11531</v>
      </c>
      <c r="C11720" s="14" t="s">
        <v>11546</v>
      </c>
      <c r="D11720" s="1"/>
      <c r="E11720" s="1"/>
      <c r="F11720" s="1" t="str">
        <f>IFERROR(__xludf.DUMMYFUNCTION("GOOGLETRANSLATE(B11720, ""en"", ""fa"")
"),"توسعه شخصی")</f>
        <v>توسعه شخصی</v>
      </c>
      <c r="G11720" s="1" t="str">
        <f>IFERROR(__xludf.DUMMYFUNCTION("GOOGLETRANSLATE(C11720, ""en"", ""fa"")
"),"باورهای محدود کننده ای را که ممکن است شما را عقب نگه دارند، شناسایی کنید و روی اصلاح آنها به صورت مثبت کار کنید.")</f>
        <v>باورهای محدود کننده ای را که ممکن است شما را عقب نگه دارند، شناسایی کنید و روی اصلاح آنها به صورت مثبت کار کنید.</v>
      </c>
      <c r="H11720" s="1"/>
      <c r="I11720" s="1"/>
      <c r="J11720" s="1"/>
      <c r="K11720" s="1"/>
      <c r="L11720" s="1"/>
      <c r="M11720" s="1"/>
      <c r="N11720" s="1"/>
      <c r="O11720" s="1"/>
      <c r="P11720" s="1"/>
      <c r="Q11720" s="1"/>
      <c r="R11720" s="1"/>
      <c r="S11720" s="1"/>
      <c r="T11720" s="1"/>
      <c r="U11720" s="1"/>
      <c r="V11720" s="1"/>
      <c r="W11720" s="1"/>
      <c r="X11720" s="1"/>
      <c r="Y11720" s="1"/>
      <c r="Z11720" s="1"/>
      <c r="AA11720" s="1"/>
      <c r="AB11720" s="1"/>
    </row>
    <row r="11721" ht="50.25" customHeight="1">
      <c r="A11721" s="12">
        <v>11717.0</v>
      </c>
      <c r="B11721" s="13" t="s">
        <v>11531</v>
      </c>
      <c r="C11721" s="14" t="s">
        <v>11547</v>
      </c>
      <c r="D11721" s="1"/>
      <c r="E11721" s="1"/>
      <c r="F11721" s="1" t="str">
        <f>IFERROR(__xludf.DUMMYFUNCTION("GOOGLETRANSLATE(B11721, ""en"", ""fa"")
"),"توسعه شخصی")</f>
        <v>توسعه شخصی</v>
      </c>
      <c r="G11721" s="1" t="str">
        <f>IFERROR(__xludf.DUMMYFUNCTION("GOOGLETRANSLATE(C11721, ""en"", ""fa"")
"),"برای اشتباهات یا کاستی های گذشته، شفقت و بخشش نسبت به خود را تمرین کنید.")</f>
        <v>برای اشتباهات یا کاستی های گذشته، شفقت و بخشش نسبت به خود را تمرین کنید.</v>
      </c>
      <c r="H11721" s="1"/>
      <c r="I11721" s="1"/>
      <c r="J11721" s="1"/>
      <c r="K11721" s="1"/>
      <c r="L11721" s="1"/>
      <c r="M11721" s="1"/>
      <c r="N11721" s="1"/>
      <c r="O11721" s="1"/>
      <c r="P11721" s="1"/>
      <c r="Q11721" s="1"/>
      <c r="R11721" s="1"/>
      <c r="S11721" s="1"/>
      <c r="T11721" s="1"/>
      <c r="U11721" s="1"/>
      <c r="V11721" s="1"/>
      <c r="W11721" s="1"/>
      <c r="X11721" s="1"/>
      <c r="Y11721" s="1"/>
      <c r="Z11721" s="1"/>
      <c r="AA11721" s="1"/>
      <c r="AB11721" s="1"/>
    </row>
    <row r="11722" ht="50.25" customHeight="1">
      <c r="A11722" s="12">
        <v>11718.0</v>
      </c>
      <c r="B11722" s="13" t="s">
        <v>11531</v>
      </c>
      <c r="C11722" s="14" t="s">
        <v>11548</v>
      </c>
      <c r="D11722" s="1"/>
      <c r="E11722" s="1"/>
      <c r="F11722" s="1" t="str">
        <f>IFERROR(__xludf.DUMMYFUNCTION("GOOGLETRANSLATE(B11722, ""en"", ""fa"")
"),"توسعه شخصی")</f>
        <v>توسعه شخصی</v>
      </c>
      <c r="G11722" s="1" t="str">
        <f>IFERROR(__xludf.DUMMYFUNCTION("GOOGLETRANSLATE(C11722, ""en"", ""fa"")
"),"تکنیک های مختلف برای مدیریت استرس و اضطراب، مانند یادداشت روزانه یا ورزش را بررسی کنید.")</f>
        <v>تکنیک های مختلف برای مدیریت استرس و اضطراب، مانند یادداشت روزانه یا ورزش را بررسی کنید.</v>
      </c>
      <c r="H11722" s="1"/>
      <c r="I11722" s="1"/>
      <c r="J11722" s="1"/>
      <c r="K11722" s="1"/>
      <c r="L11722" s="1"/>
      <c r="M11722" s="1"/>
      <c r="N11722" s="1"/>
      <c r="O11722" s="1"/>
      <c r="P11722" s="1"/>
      <c r="Q11722" s="1"/>
      <c r="R11722" s="1"/>
      <c r="S11722" s="1"/>
      <c r="T11722" s="1"/>
      <c r="U11722" s="1"/>
      <c r="V11722" s="1"/>
      <c r="W11722" s="1"/>
      <c r="X11722" s="1"/>
      <c r="Y11722" s="1"/>
      <c r="Z11722" s="1"/>
      <c r="AA11722" s="1"/>
      <c r="AB11722" s="1"/>
    </row>
    <row r="11723" ht="50.25" customHeight="1">
      <c r="A11723" s="12">
        <v>11719.0</v>
      </c>
      <c r="B11723" s="13" t="s">
        <v>11531</v>
      </c>
      <c r="C11723" s="14" t="s">
        <v>11549</v>
      </c>
      <c r="D11723" s="1"/>
      <c r="E11723" s="1"/>
      <c r="F11723" s="1" t="str">
        <f>IFERROR(__xludf.DUMMYFUNCTION("GOOGLETRANSLATE(B11723, ""en"", ""fa"")
"),"توسعه شخصی")</f>
        <v>توسعه شخصی</v>
      </c>
      <c r="G11723" s="1" t="str">
        <f>IFERROR(__xludf.DUMMYFUNCTION("GOOGLETRANSLATE(C11723, ""en"", ""fa"")
"),"یک ذهنیت رشد را پرورش دهید و به چالش ها به عنوان فرصت هایی برای یادگیری و توسعه نگاه کنید.")</f>
        <v>یک ذهنیت رشد را پرورش دهید و به چالش ها به عنوان فرصت هایی برای یادگیری و توسعه نگاه کنید.</v>
      </c>
      <c r="H11723" s="1"/>
      <c r="I11723" s="1"/>
      <c r="J11723" s="1"/>
      <c r="K11723" s="1"/>
      <c r="L11723" s="1"/>
      <c r="M11723" s="1"/>
      <c r="N11723" s="1"/>
      <c r="O11723" s="1"/>
      <c r="P11723" s="1"/>
      <c r="Q11723" s="1"/>
      <c r="R11723" s="1"/>
      <c r="S11723" s="1"/>
      <c r="T11723" s="1"/>
      <c r="U11723" s="1"/>
      <c r="V11723" s="1"/>
      <c r="W11723" s="1"/>
      <c r="X11723" s="1"/>
      <c r="Y11723" s="1"/>
      <c r="Z11723" s="1"/>
      <c r="AA11723" s="1"/>
      <c r="AB11723" s="1"/>
    </row>
    <row r="11724" ht="50.25" customHeight="1">
      <c r="A11724" s="12">
        <v>11720.0</v>
      </c>
      <c r="B11724" s="13" t="s">
        <v>11531</v>
      </c>
      <c r="C11724" s="14" t="s">
        <v>11550</v>
      </c>
      <c r="D11724" s="1"/>
      <c r="E11724" s="1"/>
      <c r="F11724" s="1" t="str">
        <f>IFERROR(__xludf.DUMMYFUNCTION("GOOGLETRANSLATE(B11724, ""en"", ""fa"")
"),"توسعه شخصی")</f>
        <v>توسعه شخصی</v>
      </c>
      <c r="G11724" s="1" t="str">
        <f>IFERROR(__xludf.DUMMYFUNCTION("GOOGLETRANSLATE(C11724, ""en"", ""fa"")
"),"به دستاوردهای گذشته خود فکر کنید و از آنها به عنوان انگیزه ای برای موفقیت در آینده استفاده کنید.")</f>
        <v>به دستاوردهای گذشته خود فکر کنید و از آنها به عنوان انگیزه ای برای موفقیت در آینده استفاده کنید.</v>
      </c>
      <c r="H11724" s="1"/>
      <c r="I11724" s="1"/>
      <c r="J11724" s="1"/>
      <c r="K11724" s="1"/>
      <c r="L11724" s="1"/>
      <c r="M11724" s="1"/>
      <c r="N11724" s="1"/>
      <c r="O11724" s="1"/>
      <c r="P11724" s="1"/>
      <c r="Q11724" s="1"/>
      <c r="R11724" s="1"/>
      <c r="S11724" s="1"/>
      <c r="T11724" s="1"/>
      <c r="U11724" s="1"/>
      <c r="V11724" s="1"/>
      <c r="W11724" s="1"/>
      <c r="X11724" s="1"/>
      <c r="Y11724" s="1"/>
      <c r="Z11724" s="1"/>
      <c r="AA11724" s="1"/>
      <c r="AB11724" s="1"/>
    </row>
    <row r="11725" ht="50.25" customHeight="1">
      <c r="A11725" s="12">
        <v>11721.0</v>
      </c>
      <c r="B11725" s="13" t="s">
        <v>11531</v>
      </c>
      <c r="C11725" s="14" t="s">
        <v>11551</v>
      </c>
      <c r="D11725" s="1"/>
      <c r="E11725" s="1"/>
      <c r="F11725" s="1" t="str">
        <f>IFERROR(__xludf.DUMMYFUNCTION("GOOGLETRANSLATE(B11725, ""en"", ""fa"")
"),"توسعه شخصی")</f>
        <v>توسعه شخصی</v>
      </c>
      <c r="G11725" s="1" t="str">
        <f>IFERROR(__xludf.DUMMYFUNCTION("GOOGLETRANSLATE(C11725, ""en"", ""fa"")
"),"منابع منفی در زندگی خود را شناسایی کنید و اقداماتی را برای حذف یا کاهش تأثیر آنها انجام دهید.")</f>
        <v>منابع منفی در زندگی خود را شناسایی کنید و اقداماتی را برای حذف یا کاهش تأثیر آنها انجام دهید.</v>
      </c>
      <c r="H11725" s="1"/>
      <c r="I11725" s="1"/>
      <c r="J11725" s="1"/>
      <c r="K11725" s="1"/>
      <c r="L11725" s="1"/>
      <c r="M11725" s="1"/>
      <c r="N11725" s="1"/>
      <c r="O11725" s="1"/>
      <c r="P11725" s="1"/>
      <c r="Q11725" s="1"/>
      <c r="R11725" s="1"/>
      <c r="S11725" s="1"/>
      <c r="T11725" s="1"/>
      <c r="U11725" s="1"/>
      <c r="V11725" s="1"/>
      <c r="W11725" s="1"/>
      <c r="X11725" s="1"/>
      <c r="Y11725" s="1"/>
      <c r="Z11725" s="1"/>
      <c r="AA11725" s="1"/>
      <c r="AB11725" s="1"/>
    </row>
    <row r="11726" ht="50.25" customHeight="1">
      <c r="A11726" s="12">
        <v>11722.0</v>
      </c>
      <c r="B11726" s="13" t="s">
        <v>11531</v>
      </c>
      <c r="C11726" s="14" t="s">
        <v>11552</v>
      </c>
      <c r="D11726" s="1"/>
      <c r="E11726" s="1"/>
      <c r="F11726" s="1" t="str">
        <f>IFERROR(__xludf.DUMMYFUNCTION("GOOGLETRANSLATE(B11726, ""en"", ""fa"")
"),"توسعه شخصی")</f>
        <v>توسعه شخصی</v>
      </c>
      <c r="G11726" s="1" t="str">
        <f>IFERROR(__xludf.DUMMYFUNCTION("GOOGLETRANSLATE(C11726, ""en"", ""fa"")
"),"برای بیان واضح نیازها و مرزهای خود، ارتباط مؤثر و قاطعیت را تمرین کنید.")</f>
        <v>برای بیان واضح نیازها و مرزهای خود، ارتباط مؤثر و قاطعیت را تمرین کنید.</v>
      </c>
      <c r="H11726" s="1"/>
      <c r="I11726" s="1"/>
      <c r="J11726" s="1"/>
      <c r="K11726" s="1"/>
      <c r="L11726" s="1"/>
      <c r="M11726" s="1"/>
      <c r="N11726" s="1"/>
      <c r="O11726" s="1"/>
      <c r="P11726" s="1"/>
      <c r="Q11726" s="1"/>
      <c r="R11726" s="1"/>
      <c r="S11726" s="1"/>
      <c r="T11726" s="1"/>
      <c r="U11726" s="1"/>
      <c r="V11726" s="1"/>
      <c r="W11726" s="1"/>
      <c r="X11726" s="1"/>
      <c r="Y11726" s="1"/>
      <c r="Z11726" s="1"/>
      <c r="AA11726" s="1"/>
      <c r="AB11726" s="1"/>
    </row>
    <row r="11727" ht="50.25" customHeight="1">
      <c r="A11727" s="12">
        <v>11723.0</v>
      </c>
      <c r="B11727" s="13" t="s">
        <v>11531</v>
      </c>
      <c r="C11727" s="14" t="s">
        <v>11553</v>
      </c>
      <c r="D11727" s="1"/>
      <c r="E11727" s="1"/>
      <c r="F11727" s="1" t="str">
        <f>IFERROR(__xludf.DUMMYFUNCTION("GOOGLETRANSLATE(B11727, ""en"", ""fa"")
"),"توسعه شخصی")</f>
        <v>توسعه شخصی</v>
      </c>
      <c r="G11727" s="1" t="str">
        <f>IFERROR(__xludf.DUMMYFUNCTION("GOOGLETRANSLATE(C11727, ""en"", ""fa"")
"),"یک روتین صبحگاهی ایجاد کنید که لحن مثبتی برای بقیه روز ایجاد کند.")</f>
        <v>یک روتین صبحگاهی ایجاد کنید که لحن مثبتی برای بقیه روز ایجاد کند.</v>
      </c>
      <c r="H11727" s="1"/>
      <c r="I11727" s="1"/>
      <c r="J11727" s="1"/>
      <c r="K11727" s="1"/>
      <c r="L11727" s="1"/>
      <c r="M11727" s="1"/>
      <c r="N11727" s="1"/>
      <c r="O11727" s="1"/>
      <c r="P11727" s="1"/>
      <c r="Q11727" s="1"/>
      <c r="R11727" s="1"/>
      <c r="S11727" s="1"/>
      <c r="T11727" s="1"/>
      <c r="U11727" s="1"/>
      <c r="V11727" s="1"/>
      <c r="W11727" s="1"/>
      <c r="X11727" s="1"/>
      <c r="Y11727" s="1"/>
      <c r="Z11727" s="1"/>
      <c r="AA11727" s="1"/>
      <c r="AB11727" s="1"/>
    </row>
    <row r="11728" ht="50.25" customHeight="1">
      <c r="A11728" s="12">
        <v>11724.0</v>
      </c>
      <c r="B11728" s="13" t="s">
        <v>11531</v>
      </c>
      <c r="C11728" s="14" t="s">
        <v>11554</v>
      </c>
      <c r="D11728" s="1"/>
      <c r="E11728" s="1"/>
      <c r="F11728" s="1" t="str">
        <f>IFERROR(__xludf.DUMMYFUNCTION("GOOGLETRANSLATE(B11728, ""en"", ""fa"")
"),"توسعه شخصی")</f>
        <v>توسعه شخصی</v>
      </c>
      <c r="G11728" s="1" t="str">
        <f>IFERROR(__xludf.DUMMYFUNCTION("GOOGLETRANSLATE(C11728, ""en"", ""fa"")
"),"علایق و علایق خود را شناسایی کنید و در نظر بگیرید که چگونه می توانید آنها را به یک شغل یا سرگرمی کامل تبدیل کنید.")</f>
        <v>علایق و علایق خود را شناسایی کنید و در نظر بگیرید که چگونه می توانید آنها را به یک شغل یا سرگرمی کامل تبدیل کنید.</v>
      </c>
      <c r="H11728" s="1"/>
      <c r="I11728" s="1"/>
      <c r="J11728" s="1"/>
      <c r="K11728" s="1"/>
      <c r="L11728" s="1"/>
      <c r="M11728" s="1"/>
      <c r="N11728" s="1"/>
      <c r="O11728" s="1"/>
      <c r="P11728" s="1"/>
      <c r="Q11728" s="1"/>
      <c r="R11728" s="1"/>
      <c r="S11728" s="1"/>
      <c r="T11728" s="1"/>
      <c r="U11728" s="1"/>
      <c r="V11728" s="1"/>
      <c r="W11728" s="1"/>
      <c r="X11728" s="1"/>
      <c r="Y11728" s="1"/>
      <c r="Z11728" s="1"/>
      <c r="AA11728" s="1"/>
      <c r="AB11728" s="1"/>
    </row>
    <row r="11729" ht="50.25" customHeight="1">
      <c r="A11729" s="12">
        <v>11725.0</v>
      </c>
      <c r="B11729" s="13" t="s">
        <v>11531</v>
      </c>
      <c r="C11729" s="14" t="s">
        <v>11582</v>
      </c>
      <c r="D11729" s="1"/>
      <c r="E11729" s="1"/>
      <c r="F11729" s="1" t="str">
        <f>IFERROR(__xludf.DUMMYFUNCTION("GOOGLETRANSLATE(B11729, ""en"", ""fa"")
"),"توسعه شخصی")</f>
        <v>توسعه شخصی</v>
      </c>
      <c r="G11729" s="1" t="str">
        <f>IFERROR(__xludf.DUMMYFUNCTION("GOOGLETRANSLATE(C11729, ""en"", ""fa"")
"),"مزایای یادداشت روزانه و بیان خود را به عنوان ابزاری برای پردازش احساسات و تجربیات بررسی کنید.")</f>
        <v>مزایای یادداشت روزانه و بیان خود را به عنوان ابزاری برای پردازش احساسات و تجربیات بررسی کنید.</v>
      </c>
      <c r="H11729" s="1"/>
      <c r="I11729" s="1"/>
      <c r="J11729" s="1"/>
      <c r="K11729" s="1"/>
      <c r="L11729" s="1"/>
      <c r="M11729" s="1"/>
      <c r="N11729" s="1"/>
      <c r="O11729" s="1"/>
      <c r="P11729" s="1"/>
      <c r="Q11729" s="1"/>
      <c r="R11729" s="1"/>
      <c r="S11729" s="1"/>
      <c r="T11729" s="1"/>
      <c r="U11729" s="1"/>
      <c r="V11729" s="1"/>
      <c r="W11729" s="1"/>
      <c r="X11729" s="1"/>
      <c r="Y11729" s="1"/>
      <c r="Z11729" s="1"/>
      <c r="AA11729" s="1"/>
      <c r="AB11729" s="1"/>
    </row>
    <row r="11730" ht="50.25" customHeight="1">
      <c r="A11730" s="12">
        <v>11726.0</v>
      </c>
      <c r="B11730" s="13" t="s">
        <v>11531</v>
      </c>
      <c r="C11730" s="14" t="s">
        <v>11609</v>
      </c>
      <c r="D11730" s="1"/>
      <c r="E11730" s="1"/>
      <c r="F11730" s="1" t="str">
        <f>IFERROR(__xludf.DUMMYFUNCTION("GOOGLETRANSLATE(B11730, ""en"", ""fa"")
"),"توسعه شخصی")</f>
        <v>توسعه شخصی</v>
      </c>
      <c r="G11730" s="1" t="str">
        <f>IFERROR(__xludf.DUMMYFUNCTION("GOOGLETRANSLATE(C11730, ""en"", ""fa"")
"),"به نقش خودآگاهی در درک احساسات، نقاط قوت و ضعف خود فکر کنید.")</f>
        <v>به نقش خودآگاهی در درک احساسات، نقاط قوت و ضعف خود فکر کنید.</v>
      </c>
      <c r="H11730" s="1"/>
      <c r="I11730" s="1"/>
      <c r="J11730" s="1"/>
      <c r="K11730" s="1"/>
      <c r="L11730" s="1"/>
      <c r="M11730" s="1"/>
      <c r="N11730" s="1"/>
      <c r="O11730" s="1"/>
      <c r="P11730" s="1"/>
      <c r="Q11730" s="1"/>
      <c r="R11730" s="1"/>
      <c r="S11730" s="1"/>
      <c r="T11730" s="1"/>
      <c r="U11730" s="1"/>
      <c r="V11730" s="1"/>
      <c r="W11730" s="1"/>
      <c r="X11730" s="1"/>
      <c r="Y11730" s="1"/>
      <c r="Z11730" s="1"/>
      <c r="AA11730" s="1"/>
      <c r="AB11730" s="1"/>
    </row>
    <row r="11731" ht="50.25" customHeight="1">
      <c r="A11731" s="12">
        <v>11727.0</v>
      </c>
      <c r="B11731" s="13" t="s">
        <v>11531</v>
      </c>
      <c r="C11731" s="14" t="s">
        <v>11610</v>
      </c>
      <c r="D11731" s="1"/>
      <c r="E11731" s="1"/>
      <c r="F11731" s="1" t="str">
        <f>IFERROR(__xludf.DUMMYFUNCTION("GOOGLETRANSLATE(B11731, ""en"", ""fa"")
"),"توسعه شخصی")</f>
        <v>توسعه شخصی</v>
      </c>
      <c r="G11731" s="1" t="str">
        <f>IFERROR(__xludf.DUMMYFUNCTION("GOOGLETRANSLATE(C11731, ""en"", ""fa"")
"),"برای محافظت از زمان، انرژی و رفاه خود با دیگران مرزهای واقع بینانه تعیین کنید.")</f>
        <v>برای محافظت از زمان، انرژی و رفاه خود با دیگران مرزهای واقع بینانه تعیین کنید.</v>
      </c>
      <c r="H11731" s="1"/>
      <c r="I11731" s="1"/>
      <c r="J11731" s="1"/>
      <c r="K11731" s="1"/>
      <c r="L11731" s="1"/>
      <c r="M11731" s="1"/>
      <c r="N11731" s="1"/>
      <c r="O11731" s="1"/>
      <c r="P11731" s="1"/>
      <c r="Q11731" s="1"/>
      <c r="R11731" s="1"/>
      <c r="S11731" s="1"/>
      <c r="T11731" s="1"/>
      <c r="U11731" s="1"/>
      <c r="V11731" s="1"/>
      <c r="W11731" s="1"/>
      <c r="X11731" s="1"/>
      <c r="Y11731" s="1"/>
      <c r="Z11731" s="1"/>
      <c r="AA11731" s="1"/>
      <c r="AB11731" s="1"/>
    </row>
    <row r="11732" ht="50.25" customHeight="1">
      <c r="A11732" s="12">
        <v>11728.0</v>
      </c>
      <c r="B11732" s="13" t="s">
        <v>11531</v>
      </c>
      <c r="C11732" s="14" t="s">
        <v>11611</v>
      </c>
      <c r="D11732" s="1"/>
      <c r="E11732" s="1"/>
      <c r="F11732" s="1" t="str">
        <f>IFERROR(__xludf.DUMMYFUNCTION("GOOGLETRANSLATE(B11732, ""en"", ""fa"")
"),"توسعه شخصی")</f>
        <v>توسعه شخصی</v>
      </c>
      <c r="G11732" s="1" t="str">
        <f>IFERROR(__xludf.DUMMYFUNCTION("GOOGLETRANSLATE(C11732, ""en"", ""fa"")
"),"مفهوم خودپذیری را بررسی کنید و در آغوش گرفتن خود واقعی خود تمرین کنید.")</f>
        <v>مفهوم خودپذیری را بررسی کنید و در آغوش گرفتن خود واقعی خود تمرین کنید.</v>
      </c>
      <c r="H11732" s="1"/>
      <c r="I11732" s="1"/>
      <c r="J11732" s="1"/>
      <c r="K11732" s="1"/>
      <c r="L11732" s="1"/>
      <c r="M11732" s="1"/>
      <c r="N11732" s="1"/>
      <c r="O11732" s="1"/>
      <c r="P11732" s="1"/>
      <c r="Q11732" s="1"/>
      <c r="R11732" s="1"/>
      <c r="S11732" s="1"/>
      <c r="T11732" s="1"/>
      <c r="U11732" s="1"/>
      <c r="V11732" s="1"/>
      <c r="W11732" s="1"/>
      <c r="X11732" s="1"/>
      <c r="Y11732" s="1"/>
      <c r="Z11732" s="1"/>
      <c r="AA11732" s="1"/>
      <c r="AB11732" s="1"/>
    </row>
    <row r="11733" ht="50.25" customHeight="1">
      <c r="A11733" s="12">
        <v>11729.0</v>
      </c>
      <c r="B11733" s="13" t="s">
        <v>11531</v>
      </c>
      <c r="C11733" s="14" t="s">
        <v>11612</v>
      </c>
      <c r="D11733" s="1"/>
      <c r="E11733" s="1"/>
      <c r="F11733" s="1" t="str">
        <f>IFERROR(__xludf.DUMMYFUNCTION("GOOGLETRANSLATE(B11733, ""en"", ""fa"")
"),"توسعه شخصی")</f>
        <v>توسعه شخصی</v>
      </c>
      <c r="G11733" s="1" t="str">
        <f>IFERROR(__xludf.DUMMYFUNCTION("GOOGLETRANSLATE(C11733, ""en"", ""fa"")
"),"مناطقی از زندگی خود را که می توانید کمال گرایی را کنار بگذارید و نقص ها را در آغوش بگیرید، شناسایی کنید.")</f>
        <v>مناطقی از زندگی خود را که می توانید کمال گرایی را کنار بگذارید و نقص ها را در آغوش بگیرید، شناسایی کنید.</v>
      </c>
      <c r="H11733" s="1"/>
      <c r="I11733" s="1"/>
      <c r="J11733" s="1"/>
      <c r="K11733" s="1"/>
      <c r="L11733" s="1"/>
      <c r="M11733" s="1"/>
      <c r="N11733" s="1"/>
      <c r="O11733" s="1"/>
      <c r="P11733" s="1"/>
      <c r="Q11733" s="1"/>
      <c r="R11733" s="1"/>
      <c r="S11733" s="1"/>
      <c r="T11733" s="1"/>
      <c r="U11733" s="1"/>
      <c r="V11733" s="1"/>
      <c r="W11733" s="1"/>
      <c r="X11733" s="1"/>
      <c r="Y11733" s="1"/>
      <c r="Z11733" s="1"/>
      <c r="AA11733" s="1"/>
      <c r="AB11733" s="1"/>
    </row>
    <row r="11734" ht="50.25" customHeight="1">
      <c r="A11734" s="12">
        <v>11730.0</v>
      </c>
      <c r="B11734" s="13" t="s">
        <v>11531</v>
      </c>
      <c r="C11734" s="14" t="s">
        <v>11613</v>
      </c>
      <c r="D11734" s="1"/>
      <c r="E11734" s="1"/>
      <c r="F11734" s="1" t="str">
        <f>IFERROR(__xludf.DUMMYFUNCTION("GOOGLETRANSLATE(B11734, ""en"", ""fa"")
"),"توسعه شخصی")</f>
        <v>توسعه شخصی</v>
      </c>
      <c r="G11734" s="1" t="str">
        <f>IFERROR(__xludf.DUMMYFUNCTION("GOOGLETRANSLATE(C11734, ""en"", ""fa"")
"),"بخشش را نسبت به خود و دیگران تمرین کنید تا بار عاطفی را رها کنید و بسته شوید.")</f>
        <v>بخشش را نسبت به خود و دیگران تمرین کنید تا بار عاطفی را رها کنید و بسته شوید.</v>
      </c>
      <c r="H11734" s="1"/>
      <c r="I11734" s="1"/>
      <c r="J11734" s="1"/>
      <c r="K11734" s="1"/>
      <c r="L11734" s="1"/>
      <c r="M11734" s="1"/>
      <c r="N11734" s="1"/>
      <c r="O11734" s="1"/>
      <c r="P11734" s="1"/>
      <c r="Q11734" s="1"/>
      <c r="R11734" s="1"/>
      <c r="S11734" s="1"/>
      <c r="T11734" s="1"/>
      <c r="U11734" s="1"/>
      <c r="V11734" s="1"/>
      <c r="W11734" s="1"/>
      <c r="X11734" s="1"/>
      <c r="Y11734" s="1"/>
      <c r="Z11734" s="1"/>
      <c r="AA11734" s="1"/>
      <c r="AB11734" s="1"/>
    </row>
    <row r="11735" ht="50.25" customHeight="1">
      <c r="A11735" s="12">
        <v>11731.0</v>
      </c>
      <c r="B11735" s="13" t="s">
        <v>11531</v>
      </c>
      <c r="C11735" s="14" t="s">
        <v>11614</v>
      </c>
      <c r="D11735" s="1"/>
      <c r="E11735" s="1"/>
      <c r="F11735" s="1" t="str">
        <f>IFERROR(__xludf.DUMMYFUNCTION("GOOGLETRANSLATE(B11735, ""en"", ""fa"")
"),"توسعه شخصی")</f>
        <v>توسعه شخصی</v>
      </c>
      <c r="G11735" s="1" t="str">
        <f>IFERROR(__xludf.DUMMYFUNCTION("GOOGLETRANSLATE(C11735, ""en"", ""fa"")
"),"یک بیانیه ماموریت شخصی تنظیم کنید که با ارزش ها و هدف شما در زندگی همسو باشد.")</f>
        <v>یک بیانیه ماموریت شخصی تنظیم کنید که با ارزش ها و هدف شما در زندگی همسو باشد.</v>
      </c>
      <c r="H11735" s="1"/>
      <c r="I11735" s="1"/>
      <c r="J11735" s="1"/>
      <c r="K11735" s="1"/>
      <c r="L11735" s="1"/>
      <c r="M11735" s="1"/>
      <c r="N11735" s="1"/>
      <c r="O11735" s="1"/>
      <c r="P11735" s="1"/>
      <c r="Q11735" s="1"/>
      <c r="R11735" s="1"/>
      <c r="S11735" s="1"/>
      <c r="T11735" s="1"/>
      <c r="U11735" s="1"/>
      <c r="V11735" s="1"/>
      <c r="W11735" s="1"/>
      <c r="X11735" s="1"/>
      <c r="Y11735" s="1"/>
      <c r="Z11735" s="1"/>
      <c r="AA11735" s="1"/>
      <c r="AB11735" s="1"/>
    </row>
    <row r="11736" ht="50.25" customHeight="1">
      <c r="A11736" s="12">
        <v>11732.0</v>
      </c>
      <c r="B11736" s="13" t="s">
        <v>11531</v>
      </c>
      <c r="C11736" s="14" t="s">
        <v>11615</v>
      </c>
      <c r="D11736" s="1"/>
      <c r="E11736" s="1"/>
      <c r="F11736" s="1" t="str">
        <f>IFERROR(__xludf.DUMMYFUNCTION("GOOGLETRANSLATE(B11736, ""en"", ""fa"")
"),"توسعه شخصی")</f>
        <v>توسعه شخصی</v>
      </c>
      <c r="G11736" s="1" t="str">
        <f>IFERROR(__xludf.DUMMYFUNCTION("GOOGLETRANSLATE(C11736, ""en"", ""fa"")
"),"روش های مختلف بیان خلاق، مانند نوشتن، نقاشی یا موسیقی را برای پرورش هنرمند درونی خود کاوش کنید.")</f>
        <v>روش های مختلف بیان خلاق، مانند نوشتن، نقاشی یا موسیقی را برای پرورش هنرمند درونی خود کاوش کنید.</v>
      </c>
      <c r="H11736" s="1"/>
      <c r="I11736" s="1"/>
      <c r="J11736" s="1"/>
      <c r="K11736" s="1"/>
      <c r="L11736" s="1"/>
      <c r="M11736" s="1"/>
      <c r="N11736" s="1"/>
      <c r="O11736" s="1"/>
      <c r="P11736" s="1"/>
      <c r="Q11736" s="1"/>
      <c r="R11736" s="1"/>
      <c r="S11736" s="1"/>
      <c r="T11736" s="1"/>
      <c r="U11736" s="1"/>
      <c r="V11736" s="1"/>
      <c r="W11736" s="1"/>
      <c r="X11736" s="1"/>
      <c r="Y11736" s="1"/>
      <c r="Z11736" s="1"/>
      <c r="AA11736" s="1"/>
      <c r="AB11736" s="1"/>
    </row>
    <row r="11737" ht="50.25" customHeight="1">
      <c r="A11737" s="12">
        <v>11733.0</v>
      </c>
      <c r="B11737" s="13" t="s">
        <v>11531</v>
      </c>
      <c r="C11737" s="14" t="s">
        <v>11616</v>
      </c>
      <c r="D11737" s="1"/>
      <c r="E11737" s="1"/>
      <c r="F11737" s="1" t="str">
        <f>IFERROR(__xludf.DUMMYFUNCTION("GOOGLETRANSLATE(B11737, ""en"", ""fa"")
"),"توسعه شخصی")</f>
        <v>توسعه شخصی</v>
      </c>
      <c r="G11737" s="1" t="str">
        <f>IFERROR(__xludf.DUMMYFUNCTION("GOOGLETRANSLATE(C11737, ""en"", ""fa"")
"),"به شبکه پشتیبانی خود فکر کنید و راه هایی را برای ایجاد ارتباطات مثبت و معنادار با دیگران بیابید.")</f>
        <v>به شبکه پشتیبانی خود فکر کنید و راه هایی را برای ایجاد ارتباطات مثبت و معنادار با دیگران بیابید.</v>
      </c>
      <c r="H11737" s="1"/>
      <c r="I11737" s="1"/>
      <c r="J11737" s="1"/>
      <c r="K11737" s="1"/>
      <c r="L11737" s="1"/>
      <c r="M11737" s="1"/>
      <c r="N11737" s="1"/>
      <c r="O11737" s="1"/>
      <c r="P11737" s="1"/>
      <c r="Q11737" s="1"/>
      <c r="R11737" s="1"/>
      <c r="S11737" s="1"/>
      <c r="T11737" s="1"/>
      <c r="U11737" s="1"/>
      <c r="V11737" s="1"/>
      <c r="W11737" s="1"/>
      <c r="X11737" s="1"/>
      <c r="Y11737" s="1"/>
      <c r="Z11737" s="1"/>
      <c r="AA11737" s="1"/>
      <c r="AB11737" s="1"/>
    </row>
    <row r="11738" ht="50.25" customHeight="1">
      <c r="A11738" s="12">
        <v>11734.0</v>
      </c>
      <c r="B11738" s="13" t="s">
        <v>11531</v>
      </c>
      <c r="C11738" s="14" t="s">
        <v>11617</v>
      </c>
      <c r="D11738" s="1"/>
      <c r="E11738" s="1"/>
      <c r="F11738" s="1" t="str">
        <f>IFERROR(__xludf.DUMMYFUNCTION("GOOGLETRANSLATE(B11738, ""en"", ""fa"")
"),"توسعه شخصی")</f>
        <v>توسعه شخصی</v>
      </c>
      <c r="G11738" s="1" t="str">
        <f>IFERROR(__xludf.DUMMYFUNCTION("GOOGLETRANSLATE(C11738, ""en"", ""fa"")
"),"برای ردیابی سفر رشد شخصی خود، زمانی را برای تفکر و ارزیابی منظم خود اختصاص دهید.")</f>
        <v>برای ردیابی سفر رشد شخصی خود، زمانی را برای تفکر و ارزیابی منظم خود اختصاص دهید.</v>
      </c>
      <c r="H11738" s="1"/>
      <c r="I11738" s="1"/>
      <c r="J11738" s="1"/>
      <c r="K11738" s="1"/>
      <c r="L11738" s="1"/>
      <c r="M11738" s="1"/>
      <c r="N11738" s="1"/>
      <c r="O11738" s="1"/>
      <c r="P11738" s="1"/>
      <c r="Q11738" s="1"/>
      <c r="R11738" s="1"/>
      <c r="S11738" s="1"/>
      <c r="T11738" s="1"/>
      <c r="U11738" s="1"/>
      <c r="V11738" s="1"/>
      <c r="W11738" s="1"/>
      <c r="X11738" s="1"/>
      <c r="Y11738" s="1"/>
      <c r="Z11738" s="1"/>
      <c r="AA11738" s="1"/>
      <c r="AB11738" s="1"/>
    </row>
    <row r="11739" ht="50.25" customHeight="1">
      <c r="A11739" s="12">
        <v>11735.0</v>
      </c>
      <c r="B11739" s="13" t="s">
        <v>11531</v>
      </c>
      <c r="C11739" s="14" t="s">
        <v>11618</v>
      </c>
      <c r="D11739" s="1"/>
      <c r="E11739" s="1"/>
      <c r="F11739" s="1" t="str">
        <f>IFERROR(__xludf.DUMMYFUNCTION("GOOGLETRANSLATE(B11739, ""en"", ""fa"")
"),"توسعه شخصی")</f>
        <v>توسعه شخصی</v>
      </c>
      <c r="G11739" s="1" t="str">
        <f>IFERROR(__xludf.DUMMYFUNCTION("GOOGLETRANSLATE(C11739, ""en"", ""fa"")
"),"عادات یا رفتارهایی را که انرژی شما را تخلیه می کند شناسایی کنید و برای جایگزینی آنها با عادات مثبت تلاش کنید.")</f>
        <v>عادات یا رفتارهایی را که انرژی شما را تخلیه می کند شناسایی کنید و برای جایگزینی آنها با عادات مثبت تلاش کنید.</v>
      </c>
      <c r="H11739" s="1"/>
      <c r="I11739" s="1"/>
      <c r="J11739" s="1"/>
      <c r="K11739" s="1"/>
      <c r="L11739" s="1"/>
      <c r="M11739" s="1"/>
      <c r="N11739" s="1"/>
      <c r="O11739" s="1"/>
      <c r="P11739" s="1"/>
      <c r="Q11739" s="1"/>
      <c r="R11739" s="1"/>
      <c r="S11739" s="1"/>
      <c r="T11739" s="1"/>
      <c r="U11739" s="1"/>
      <c r="V11739" s="1"/>
      <c r="W11739" s="1"/>
      <c r="X11739" s="1"/>
      <c r="Y11739" s="1"/>
      <c r="Z11739" s="1"/>
      <c r="AA11739" s="1"/>
      <c r="AB11739" s="1"/>
    </row>
    <row r="11740" ht="50.25" customHeight="1">
      <c r="A11740" s="12">
        <v>11736.0</v>
      </c>
      <c r="B11740" s="13" t="s">
        <v>11531</v>
      </c>
      <c r="C11740" s="14" t="s">
        <v>11619</v>
      </c>
      <c r="D11740" s="1"/>
      <c r="E11740" s="1"/>
      <c r="F11740" s="1" t="str">
        <f>IFERROR(__xludf.DUMMYFUNCTION("GOOGLETRANSLATE(B11740, ""en"", ""fa"")
"),"توسعه شخصی")</f>
        <v>توسعه شخصی</v>
      </c>
      <c r="G11740" s="1" t="str">
        <f>IFERROR(__xludf.DUMMYFUNCTION("GOOGLETRANSLATE(C11740, ""en"", ""fa"")
"),"هنر رها کردن چیزهایی را که دیگر در خدمت رشد و رفاه شما نیستند را تمرین کنید.")</f>
        <v>هنر رها کردن چیزهایی را که دیگر در خدمت رشد و رفاه شما نیستند را تمرین کنید.</v>
      </c>
      <c r="H11740" s="1"/>
      <c r="I11740" s="1"/>
      <c r="J11740" s="1"/>
      <c r="K11740" s="1"/>
      <c r="L11740" s="1"/>
      <c r="M11740" s="1"/>
      <c r="N11740" s="1"/>
      <c r="O11740" s="1"/>
      <c r="P11740" s="1"/>
      <c r="Q11740" s="1"/>
      <c r="R11740" s="1"/>
      <c r="S11740" s="1"/>
      <c r="T11740" s="1"/>
      <c r="U11740" s="1"/>
      <c r="V11740" s="1"/>
      <c r="W11740" s="1"/>
      <c r="X11740" s="1"/>
      <c r="Y11740" s="1"/>
      <c r="Z11740" s="1"/>
      <c r="AA11740" s="1"/>
      <c r="AB11740" s="1"/>
    </row>
    <row r="11741" ht="50.25" customHeight="1">
      <c r="A11741" s="12">
        <v>11737.0</v>
      </c>
      <c r="B11741" s="13" t="s">
        <v>11531</v>
      </c>
      <c r="C11741" s="14" t="s">
        <v>11620</v>
      </c>
      <c r="D11741" s="1"/>
      <c r="E11741" s="1"/>
      <c r="F11741" s="1" t="str">
        <f>IFERROR(__xludf.DUMMYFUNCTION("GOOGLETRANSLATE(B11741, ""en"", ""fa"")
"),"توسعه شخصی")</f>
        <v>توسعه شخصی</v>
      </c>
      <c r="G11741" s="1" t="str">
        <f>IFERROR(__xludf.DUMMYFUNCTION("GOOGLETRANSLATE(C11741, ""en"", ""fa"")
"),"برای مدیریت استرس و تقویت آرامش، تکنیک‌های مختلف آرامش، مانند یوگا یا تمرکز حواس را بررسی کنید.")</f>
        <v>برای مدیریت استرس و تقویت آرامش، تکنیک‌های مختلف آرامش، مانند یوگا یا تمرکز حواس را بررسی کنید.</v>
      </c>
      <c r="H11741" s="1"/>
      <c r="I11741" s="1"/>
      <c r="J11741" s="1"/>
      <c r="K11741" s="1"/>
      <c r="L11741" s="1"/>
      <c r="M11741" s="1"/>
      <c r="N11741" s="1"/>
      <c r="O11741" s="1"/>
      <c r="P11741" s="1"/>
      <c r="Q11741" s="1"/>
      <c r="R11741" s="1"/>
      <c r="S11741" s="1"/>
      <c r="T11741" s="1"/>
      <c r="U11741" s="1"/>
      <c r="V11741" s="1"/>
      <c r="W11741" s="1"/>
      <c r="X11741" s="1"/>
      <c r="Y11741" s="1"/>
      <c r="Z11741" s="1"/>
      <c r="AA11741" s="1"/>
      <c r="AB11741" s="1"/>
    </row>
    <row r="11742" ht="50.25" customHeight="1">
      <c r="A11742" s="12">
        <v>11738.0</v>
      </c>
      <c r="B11742" s="13" t="s">
        <v>11531</v>
      </c>
      <c r="C11742" s="14" t="s">
        <v>11621</v>
      </c>
      <c r="D11742" s="1"/>
      <c r="E11742" s="1"/>
      <c r="F11742" s="1" t="str">
        <f>IFERROR(__xludf.DUMMYFUNCTION("GOOGLETRANSLATE(B11742, ""en"", ""fa"")
"),"توسعه شخصی")</f>
        <v>توسعه شخصی</v>
      </c>
      <c r="G11742" s="1" t="str">
        <f>IFERROR(__xludf.DUMMYFUNCTION("GOOGLETRANSLATE(C11742, ""en"", ""fa"")
"),"در مورد نقش قدردانی در پرورش نگرش مثبت به زندگی و افزایش شادی فکر کنید.")</f>
        <v>در مورد نقش قدردانی در پرورش نگرش مثبت به زندگی و افزایش شادی فکر کنید.</v>
      </c>
      <c r="H11742" s="1"/>
      <c r="I11742" s="1"/>
      <c r="J11742" s="1"/>
      <c r="K11742" s="1"/>
      <c r="L11742" s="1"/>
      <c r="M11742" s="1"/>
      <c r="N11742" s="1"/>
      <c r="O11742" s="1"/>
      <c r="P11742" s="1"/>
      <c r="Q11742" s="1"/>
      <c r="R11742" s="1"/>
      <c r="S11742" s="1"/>
      <c r="T11742" s="1"/>
      <c r="U11742" s="1"/>
      <c r="V11742" s="1"/>
      <c r="W11742" s="1"/>
      <c r="X11742" s="1"/>
      <c r="Y11742" s="1"/>
      <c r="Z11742" s="1"/>
      <c r="AA11742" s="1"/>
      <c r="AB11742" s="1"/>
    </row>
    <row r="11743" ht="50.25" customHeight="1">
      <c r="A11743" s="12">
        <v>11739.0</v>
      </c>
      <c r="B11743" s="13" t="s">
        <v>11531</v>
      </c>
      <c r="C11743" s="14" t="s">
        <v>11622</v>
      </c>
      <c r="D11743" s="1"/>
      <c r="E11743" s="1"/>
      <c r="F11743" s="1" t="str">
        <f>IFERROR(__xludf.DUMMYFUNCTION("GOOGLETRANSLATE(B11743, ""en"", ""fa"")
"),"توسعه شخصی")</f>
        <v>توسعه شخصی</v>
      </c>
      <c r="G11743" s="1" t="str">
        <f>IFERROR(__xludf.DUMMYFUNCTION("GOOGLETRANSLATE(C11743, ""en"", ""fa"")
"),"اهداف مشخصی را برای سفر توسعه شخصی خود تعیین کنید و گام های عمدی را به سمت آنها بردارید.")</f>
        <v>اهداف مشخصی را برای سفر توسعه شخصی خود تعیین کنید و گام های عمدی را به سمت آنها بردارید.</v>
      </c>
      <c r="H11743" s="1"/>
      <c r="I11743" s="1"/>
      <c r="J11743" s="1"/>
      <c r="K11743" s="1"/>
      <c r="L11743" s="1"/>
      <c r="M11743" s="1"/>
      <c r="N11743" s="1"/>
      <c r="O11743" s="1"/>
      <c r="P11743" s="1"/>
      <c r="Q11743" s="1"/>
      <c r="R11743" s="1"/>
      <c r="S11743" s="1"/>
      <c r="T11743" s="1"/>
      <c r="U11743" s="1"/>
      <c r="V11743" s="1"/>
      <c r="W11743" s="1"/>
      <c r="X11743" s="1"/>
      <c r="Y11743" s="1"/>
      <c r="Z11743" s="1"/>
      <c r="AA11743" s="1"/>
      <c r="AB11743" s="1"/>
    </row>
    <row r="11744" ht="50.25" customHeight="1">
      <c r="A11744" s="12">
        <v>11740.0</v>
      </c>
      <c r="B11744" s="13" t="s">
        <v>11531</v>
      </c>
      <c r="C11744" s="14" t="s">
        <v>11623</v>
      </c>
      <c r="D11744" s="1"/>
      <c r="E11744" s="1"/>
      <c r="F11744" s="1" t="str">
        <f>IFERROR(__xludf.DUMMYFUNCTION("GOOGLETRANSLATE(B11744, ""en"", ""fa"")
"),"توسعه شخصی")</f>
        <v>توسعه شخصی</v>
      </c>
      <c r="G11744" s="1" t="str">
        <f>IFERROR(__xludf.DUMMYFUNCTION("GOOGLETRANSLATE(C11744, ""en"", ""fa"")
"),"نقاط قوت و استعدادهای منحصر به فرد خود را شناسایی کنید و راه هایی برای استفاده از آنها در زندگی روزمره خود بیابید.")</f>
        <v>نقاط قوت و استعدادهای منحصر به فرد خود را شناسایی کنید و راه هایی برای استفاده از آنها در زندگی روزمره خود بیابید.</v>
      </c>
      <c r="H11744" s="1"/>
      <c r="I11744" s="1"/>
      <c r="J11744" s="1"/>
      <c r="K11744" s="1"/>
      <c r="L11744" s="1"/>
      <c r="M11744" s="1"/>
      <c r="N11744" s="1"/>
      <c r="O11744" s="1"/>
      <c r="P11744" s="1"/>
      <c r="Q11744" s="1"/>
      <c r="R11744" s="1"/>
      <c r="S11744" s="1"/>
      <c r="T11744" s="1"/>
      <c r="U11744" s="1"/>
      <c r="V11744" s="1"/>
      <c r="W11744" s="1"/>
      <c r="X11744" s="1"/>
      <c r="Y11744" s="1"/>
      <c r="Z11744" s="1"/>
      <c r="AA11744" s="1"/>
      <c r="AB11744" s="1"/>
    </row>
    <row r="11745" ht="50.25" customHeight="1">
      <c r="A11745" s="12">
        <v>11741.0</v>
      </c>
      <c r="B11745" s="13" t="s">
        <v>11531</v>
      </c>
      <c r="C11745" s="14" t="s">
        <v>11624</v>
      </c>
      <c r="D11745" s="1"/>
      <c r="E11745" s="1"/>
      <c r="F11745" s="1" t="str">
        <f>IFERROR(__xludf.DUMMYFUNCTION("GOOGLETRANSLATE(B11745, ""en"", ""fa"")
"),"توسعه شخصی")</f>
        <v>توسعه شخصی</v>
      </c>
      <c r="G11745" s="1" t="str">
        <f>IFERROR(__xludf.DUMMYFUNCTION("GOOGLETRANSLATE(C11745, ""en"", ""fa"")
"),"همدلی و شفقت را نسبت به دیگران تمرین کنید و به دنبال درک دیدگاه ها و احساسات آنها باشید.")</f>
        <v>همدلی و شفقت را نسبت به دیگران تمرین کنید و به دنبال درک دیدگاه ها و احساسات آنها باشید.</v>
      </c>
      <c r="H11745" s="1"/>
      <c r="I11745" s="1"/>
      <c r="J11745" s="1"/>
      <c r="K11745" s="1"/>
      <c r="L11745" s="1"/>
      <c r="M11745" s="1"/>
      <c r="N11745" s="1"/>
      <c r="O11745" s="1"/>
      <c r="P11745" s="1"/>
      <c r="Q11745" s="1"/>
      <c r="R11745" s="1"/>
      <c r="S11745" s="1"/>
      <c r="T11745" s="1"/>
      <c r="U11745" s="1"/>
      <c r="V11745" s="1"/>
      <c r="W11745" s="1"/>
      <c r="X11745" s="1"/>
      <c r="Y11745" s="1"/>
      <c r="Z11745" s="1"/>
      <c r="AA11745" s="1"/>
      <c r="AB11745" s="1"/>
    </row>
    <row r="11746" ht="50.25" customHeight="1">
      <c r="A11746" s="12">
        <v>11742.0</v>
      </c>
      <c r="B11746" s="13" t="s">
        <v>11531</v>
      </c>
      <c r="C11746" s="14" t="s">
        <v>11625</v>
      </c>
      <c r="D11746" s="1"/>
      <c r="E11746" s="1"/>
      <c r="F11746" s="1" t="str">
        <f>IFERROR(__xludf.DUMMYFUNCTION("GOOGLETRANSLATE(B11746, ""en"", ""fa"")
"),"توسعه شخصی")</f>
        <v>توسعه شخصی</v>
      </c>
      <c r="G11746" s="1" t="str">
        <f>IFERROR(__xludf.DUMMYFUNCTION("GOOGLETRANSLATE(C11746, ""en"", ""fa"")
"),"برای پردازش احساسات و تجربیات، اشکال مختلف ابراز وجود، مانند روزنامه نگاری یا هنر را کاوش کنید.")</f>
        <v>برای پردازش احساسات و تجربیات، اشکال مختلف ابراز وجود، مانند روزنامه نگاری یا هنر را کاوش کنید.</v>
      </c>
      <c r="H11746" s="1"/>
      <c r="I11746" s="1"/>
      <c r="J11746" s="1"/>
      <c r="K11746" s="1"/>
      <c r="L11746" s="1"/>
      <c r="M11746" s="1"/>
      <c r="N11746" s="1"/>
      <c r="O11746" s="1"/>
      <c r="P11746" s="1"/>
      <c r="Q11746" s="1"/>
      <c r="R11746" s="1"/>
      <c r="S11746" s="1"/>
      <c r="T11746" s="1"/>
      <c r="U11746" s="1"/>
      <c r="V11746" s="1"/>
      <c r="W11746" s="1"/>
      <c r="X11746" s="1"/>
      <c r="Y11746" s="1"/>
      <c r="Z11746" s="1"/>
      <c r="AA11746" s="1"/>
      <c r="AB11746" s="1"/>
    </row>
    <row r="11747" ht="50.25" customHeight="1">
      <c r="A11747" s="12">
        <v>11743.0</v>
      </c>
      <c r="B11747" s="13" t="s">
        <v>11531</v>
      </c>
      <c r="C11747" s="14" t="s">
        <v>11626</v>
      </c>
      <c r="D11747" s="1"/>
      <c r="E11747" s="1"/>
      <c r="F11747" s="1" t="str">
        <f>IFERROR(__xludf.DUMMYFUNCTION("GOOGLETRANSLATE(B11747, ""en"", ""fa"")
"),"توسعه شخصی")</f>
        <v>توسعه شخصی</v>
      </c>
      <c r="G11747" s="1" t="str">
        <f>IFERROR(__xludf.DUMMYFUNCTION("GOOGLETRANSLATE(C11747, ""en"", ""fa"")
"),"به الگوهای خود و ویژگی هایی که در آنها تحسین می کنید فکر کنید و به دنبال تجسم آن ویژگی ها در خود باشید.")</f>
        <v>به الگوهای خود و ویژگی هایی که در آنها تحسین می کنید فکر کنید و به دنبال تجسم آن ویژگی ها در خود باشید.</v>
      </c>
      <c r="H11747" s="1"/>
      <c r="I11747" s="1"/>
      <c r="J11747" s="1"/>
      <c r="K11747" s="1"/>
      <c r="L11747" s="1"/>
      <c r="M11747" s="1"/>
      <c r="N11747" s="1"/>
      <c r="O11747" s="1"/>
      <c r="P11747" s="1"/>
      <c r="Q11747" s="1"/>
      <c r="R11747" s="1"/>
      <c r="S11747" s="1"/>
      <c r="T11747" s="1"/>
      <c r="U11747" s="1"/>
      <c r="V11747" s="1"/>
      <c r="W11747" s="1"/>
      <c r="X11747" s="1"/>
      <c r="Y11747" s="1"/>
      <c r="Z11747" s="1"/>
      <c r="AA11747" s="1"/>
      <c r="AB11747" s="1"/>
    </row>
    <row r="11748" ht="50.25" customHeight="1">
      <c r="A11748" s="12">
        <v>11744.0</v>
      </c>
      <c r="B11748" s="13" t="s">
        <v>11531</v>
      </c>
      <c r="C11748" s="14" t="s">
        <v>11627</v>
      </c>
      <c r="D11748" s="1"/>
      <c r="E11748" s="1"/>
      <c r="F11748" s="1" t="str">
        <f>IFERROR(__xludf.DUMMYFUNCTION("GOOGLETRANSLATE(B11748, ""en"", ""fa"")
"),"توسعه شخصی")</f>
        <v>توسعه شخصی</v>
      </c>
      <c r="G11748" s="1" t="str">
        <f>IFERROR(__xludf.DUMMYFUNCTION("GOOGLETRANSLATE(C11748, ""en"", ""fa"")
"),"برای اطمینان از تعادل سالم در زندگی خود، مرزهای واقع بینانه و قابل دستیابی را با فناوری تعیین کنید.")</f>
        <v>برای اطمینان از تعادل سالم در زندگی خود، مرزهای واقع بینانه و قابل دستیابی را با فناوری تعیین کنید.</v>
      </c>
      <c r="H11748" s="1"/>
      <c r="I11748" s="1"/>
      <c r="J11748" s="1"/>
      <c r="K11748" s="1"/>
      <c r="L11748" s="1"/>
      <c r="M11748" s="1"/>
      <c r="N11748" s="1"/>
      <c r="O11748" s="1"/>
      <c r="P11748" s="1"/>
      <c r="Q11748" s="1"/>
      <c r="R11748" s="1"/>
      <c r="S11748" s="1"/>
      <c r="T11748" s="1"/>
      <c r="U11748" s="1"/>
      <c r="V11748" s="1"/>
      <c r="W11748" s="1"/>
      <c r="X11748" s="1"/>
      <c r="Y11748" s="1"/>
      <c r="Z11748" s="1"/>
      <c r="AA11748" s="1"/>
      <c r="AB11748" s="1"/>
    </row>
    <row r="11749" ht="50.25" customHeight="1">
      <c r="A11749" s="12">
        <v>11745.0</v>
      </c>
      <c r="B11749" s="13" t="s">
        <v>11531</v>
      </c>
      <c r="C11749" s="14" t="s">
        <v>11628</v>
      </c>
      <c r="D11749" s="1"/>
      <c r="E11749" s="1"/>
      <c r="F11749" s="1" t="str">
        <f>IFERROR(__xludf.DUMMYFUNCTION("GOOGLETRANSLATE(B11749, ""en"", ""fa"")
"),"توسعه شخصی")</f>
        <v>توسعه شخصی</v>
      </c>
      <c r="G11749" s="1" t="str">
        <f>IFERROR(__xludf.DUMMYFUNCTION("GOOGLETRANSLATE(C11749, ""en"", ""fa"")
"),"فعالیت ها یا سرگرمی هایی را که به شما شادی می دهد شناسایی کنید و به طور منظم برای آنها وقت بگذارید.")</f>
        <v>فعالیت ها یا سرگرمی هایی را که به شما شادی می دهد شناسایی کنید و به طور منظم برای آنها وقت بگذارید.</v>
      </c>
      <c r="H11749" s="1"/>
      <c r="I11749" s="1"/>
      <c r="J11749" s="1"/>
      <c r="K11749" s="1"/>
      <c r="L11749" s="1"/>
      <c r="M11749" s="1"/>
      <c r="N11749" s="1"/>
      <c r="O11749" s="1"/>
      <c r="P11749" s="1"/>
      <c r="Q11749" s="1"/>
      <c r="R11749" s="1"/>
      <c r="S11749" s="1"/>
      <c r="T11749" s="1"/>
      <c r="U11749" s="1"/>
      <c r="V11749" s="1"/>
      <c r="W11749" s="1"/>
      <c r="X11749" s="1"/>
      <c r="Y11749" s="1"/>
      <c r="Z11749" s="1"/>
      <c r="AA11749" s="1"/>
      <c r="AB11749" s="1"/>
    </row>
    <row r="11750" ht="50.25" customHeight="1">
      <c r="A11750" s="12">
        <v>11746.0</v>
      </c>
      <c r="B11750" s="13" t="s">
        <v>11531</v>
      </c>
      <c r="C11750" s="14" t="s">
        <v>11629</v>
      </c>
      <c r="D11750" s="1"/>
      <c r="E11750" s="1"/>
      <c r="F11750" s="1" t="str">
        <f>IFERROR(__xludf.DUMMYFUNCTION("GOOGLETRANSLATE(B11750, ""en"", ""fa"")
"),"توسعه شخصی")</f>
        <v>توسعه شخصی</v>
      </c>
      <c r="G11750" s="1" t="str">
        <f>IFERROR(__xludf.DUMMYFUNCTION("GOOGLETRANSLATE(C11750, ""en"", ""fa"")
"),"در برقراری ارتباط با نیازها و نظرات خود بدون به خطر انداختن ارزش های خود، قاطعیت را تمرین کنید.")</f>
        <v>در برقراری ارتباط با نیازها و نظرات خود بدون به خطر انداختن ارزش های خود، قاطعیت را تمرین کنید.</v>
      </c>
      <c r="H11750" s="1"/>
      <c r="I11750" s="1"/>
      <c r="J11750" s="1"/>
      <c r="K11750" s="1"/>
      <c r="L11750" s="1"/>
      <c r="M11750" s="1"/>
      <c r="N11750" s="1"/>
      <c r="O11750" s="1"/>
      <c r="P11750" s="1"/>
      <c r="Q11750" s="1"/>
      <c r="R11750" s="1"/>
      <c r="S11750" s="1"/>
      <c r="T11750" s="1"/>
      <c r="U11750" s="1"/>
      <c r="V11750" s="1"/>
      <c r="W11750" s="1"/>
      <c r="X11750" s="1"/>
      <c r="Y11750" s="1"/>
      <c r="Z11750" s="1"/>
      <c r="AA11750" s="1"/>
      <c r="AB11750" s="1"/>
    </row>
    <row r="11751" ht="50.25" customHeight="1">
      <c r="A11751" s="12">
        <v>11747.0</v>
      </c>
      <c r="B11751" s="13" t="s">
        <v>11531</v>
      </c>
      <c r="C11751" s="14" t="s">
        <v>11630</v>
      </c>
      <c r="D11751" s="1"/>
      <c r="E11751" s="1"/>
      <c r="F11751" s="1" t="str">
        <f>IFERROR(__xludf.DUMMYFUNCTION("GOOGLETRANSLATE(B11751, ""en"", ""fa"")
"),"توسعه شخصی")</f>
        <v>توسعه شخصی</v>
      </c>
      <c r="G11751" s="1" t="str">
        <f>IFERROR(__xludf.DUMMYFUNCTION("GOOGLETRANSLATE(C11751, ""en"", ""fa"")
"),"تاثیر جملات تاکیدی مثبت در ایجاد اعتماد به نفس و تصویر مثبت از خود را بررسی کنید.")</f>
        <v>تاثیر جملات تاکیدی مثبت در ایجاد اعتماد به نفس و تصویر مثبت از خود را بررسی کنید.</v>
      </c>
      <c r="H11751" s="1"/>
      <c r="I11751" s="1"/>
      <c r="J11751" s="1"/>
      <c r="K11751" s="1"/>
      <c r="L11751" s="1"/>
      <c r="M11751" s="1"/>
      <c r="N11751" s="1"/>
      <c r="O11751" s="1"/>
      <c r="P11751" s="1"/>
      <c r="Q11751" s="1"/>
      <c r="R11751" s="1"/>
      <c r="S11751" s="1"/>
      <c r="T11751" s="1"/>
      <c r="U11751" s="1"/>
      <c r="V11751" s="1"/>
      <c r="W11751" s="1"/>
      <c r="X11751" s="1"/>
      <c r="Y11751" s="1"/>
      <c r="Z11751" s="1"/>
      <c r="AA11751" s="1"/>
      <c r="AB11751" s="1"/>
    </row>
    <row r="11752" ht="50.25" customHeight="1">
      <c r="A11752" s="12">
        <v>11748.0</v>
      </c>
      <c r="B11752" s="13" t="s">
        <v>11531</v>
      </c>
      <c r="C11752" s="14" t="s">
        <v>11631</v>
      </c>
      <c r="D11752" s="1"/>
      <c r="E11752" s="1"/>
      <c r="F11752" s="1" t="str">
        <f>IFERROR(__xludf.DUMMYFUNCTION("GOOGLETRANSLATE(B11752, ""en"", ""fa"")
"),"توسعه شخصی")</f>
        <v>توسعه شخصی</v>
      </c>
      <c r="G11752" s="1" t="str">
        <f>IFERROR(__xludf.DUMMYFUNCTION("GOOGLETRANSLATE(C11752, ""en"", ""fa"")
"),"در مورد هدف زندگی خود فکر کنید و راه هایی را برای هماهنگ کردن اعمال خود با ارزش های عمیق تر خود جستجو کنید.")</f>
        <v>در مورد هدف زندگی خود فکر کنید و راه هایی را برای هماهنگ کردن اعمال خود با ارزش های عمیق تر خود جستجو کنید.</v>
      </c>
      <c r="H11752" s="1"/>
      <c r="I11752" s="1"/>
      <c r="J11752" s="1"/>
      <c r="K11752" s="1"/>
      <c r="L11752" s="1"/>
      <c r="M11752" s="1"/>
      <c r="N11752" s="1"/>
      <c r="O11752" s="1"/>
      <c r="P11752" s="1"/>
      <c r="Q11752" s="1"/>
      <c r="R11752" s="1"/>
      <c r="S11752" s="1"/>
      <c r="T11752" s="1"/>
      <c r="U11752" s="1"/>
      <c r="V11752" s="1"/>
      <c r="W11752" s="1"/>
      <c r="X11752" s="1"/>
      <c r="Y11752" s="1"/>
      <c r="Z11752" s="1"/>
      <c r="AA11752" s="1"/>
      <c r="AB11752" s="1"/>
    </row>
    <row r="11753" ht="50.25" customHeight="1">
      <c r="A11753" s="12">
        <v>11749.0</v>
      </c>
      <c r="B11753" s="13" t="s">
        <v>11531</v>
      </c>
      <c r="C11753" s="14" t="s">
        <v>11632</v>
      </c>
      <c r="D11753" s="1"/>
      <c r="E11753" s="1"/>
      <c r="F11753" s="1" t="str">
        <f>IFERROR(__xludf.DUMMYFUNCTION("GOOGLETRANSLATE(B11753, ""en"", ""fa"")
"),"توسعه شخصی")</f>
        <v>توسعه شخصی</v>
      </c>
      <c r="G11753" s="1" t="str">
        <f>IFERROR(__xludf.DUMMYFUNCTION("GOOGLETRANSLATE(C11753, ""en"", ""fa"")
"),"یک تمرین انعکاس روزانه یا هفتگی برای ارزیابی پیشرفت و زمینه های بهبود خود تنظیم کنید.")</f>
        <v>یک تمرین انعکاس روزانه یا هفتگی برای ارزیابی پیشرفت و زمینه های بهبود خود تنظیم کنید.</v>
      </c>
      <c r="H11753" s="1"/>
      <c r="I11753" s="1"/>
      <c r="J11753" s="1"/>
      <c r="K11753" s="1"/>
      <c r="L11753" s="1"/>
      <c r="M11753" s="1"/>
      <c r="N11753" s="1"/>
      <c r="O11753" s="1"/>
      <c r="P11753" s="1"/>
      <c r="Q11753" s="1"/>
      <c r="R11753" s="1"/>
      <c r="S11753" s="1"/>
      <c r="T11753" s="1"/>
      <c r="U11753" s="1"/>
      <c r="V11753" s="1"/>
      <c r="W11753" s="1"/>
      <c r="X11753" s="1"/>
      <c r="Y11753" s="1"/>
      <c r="Z11753" s="1"/>
      <c r="AA11753" s="1"/>
      <c r="AB11753" s="1"/>
    </row>
    <row r="11754" ht="50.25" customHeight="1">
      <c r="A11754" s="12">
        <v>11750.0</v>
      </c>
      <c r="B11754" s="13" t="s">
        <v>11531</v>
      </c>
      <c r="C11754" s="14" t="s">
        <v>11633</v>
      </c>
      <c r="D11754" s="1"/>
      <c r="E11754" s="1"/>
      <c r="F11754" s="1" t="str">
        <f>IFERROR(__xludf.DUMMYFUNCTION("GOOGLETRANSLATE(B11754, ""en"", ""fa"")
"),"توسعه شخصی")</f>
        <v>توسعه شخصی</v>
      </c>
      <c r="G11754" s="1" t="str">
        <f>IFERROR(__xludf.DUMMYFUNCTION("GOOGLETRANSLATE(C11754, ""en"", ""fa"")
"),"باورهای محدود کننده خود را شناسایی کنید و برای حمایت از رشد شخصی خود بر روی آنها کار کنید.")</f>
        <v>باورهای محدود کننده خود را شناسایی کنید و برای حمایت از رشد شخصی خود بر روی آنها کار کنید.</v>
      </c>
      <c r="H11754" s="1"/>
      <c r="I11754" s="1"/>
      <c r="J11754" s="1"/>
      <c r="K11754" s="1"/>
      <c r="L11754" s="1"/>
      <c r="M11754" s="1"/>
      <c r="N11754" s="1"/>
      <c r="O11754" s="1"/>
      <c r="P11754" s="1"/>
      <c r="Q11754" s="1"/>
      <c r="R11754" s="1"/>
      <c r="S11754" s="1"/>
      <c r="T11754" s="1"/>
      <c r="U11754" s="1"/>
      <c r="V11754" s="1"/>
      <c r="W11754" s="1"/>
      <c r="X11754" s="1"/>
      <c r="Y11754" s="1"/>
      <c r="Z11754" s="1"/>
      <c r="AA11754" s="1"/>
      <c r="AB11754" s="1"/>
    </row>
    <row r="11755" ht="50.25" customHeight="1">
      <c r="A11755" s="12">
        <v>11751.0</v>
      </c>
      <c r="B11755" s="13" t="s">
        <v>11531</v>
      </c>
      <c r="C11755" s="14" t="s">
        <v>11634</v>
      </c>
      <c r="D11755" s="1"/>
      <c r="E11755" s="1"/>
      <c r="F11755" s="1" t="str">
        <f>IFERROR(__xludf.DUMMYFUNCTION("GOOGLETRANSLATE(B11755, ""en"", ""fa"")
"),"توسعه شخصی")</f>
        <v>توسعه شخصی</v>
      </c>
      <c r="G11755" s="1" t="str">
        <f>IFERROR(__xludf.DUMMYFUNCTION("GOOGLETRANSLATE(C11755, ""en"", ""fa"")
"),"تمرینات تنفس عمیق را برای تقویت آرامش و کاهش استرس انجام دهید.")</f>
        <v>تمرینات تنفس عمیق را برای تقویت آرامش و کاهش استرس انجام دهید.</v>
      </c>
      <c r="H11755" s="1"/>
      <c r="I11755" s="1"/>
      <c r="J11755" s="1"/>
      <c r="K11755" s="1"/>
      <c r="L11755" s="1"/>
      <c r="M11755" s="1"/>
      <c r="N11755" s="1"/>
      <c r="O11755" s="1"/>
      <c r="P11755" s="1"/>
      <c r="Q11755" s="1"/>
      <c r="R11755" s="1"/>
      <c r="S11755" s="1"/>
      <c r="T11755" s="1"/>
      <c r="U11755" s="1"/>
      <c r="V11755" s="1"/>
      <c r="W11755" s="1"/>
      <c r="X11755" s="1"/>
      <c r="Y11755" s="1"/>
      <c r="Z11755" s="1"/>
      <c r="AA11755" s="1"/>
      <c r="AB11755" s="1"/>
    </row>
    <row r="11756" ht="50.25" customHeight="1">
      <c r="A11756" s="12">
        <v>11752.0</v>
      </c>
      <c r="B11756" s="13" t="s">
        <v>11531</v>
      </c>
      <c r="C11756" s="14" t="s">
        <v>11635</v>
      </c>
      <c r="D11756" s="1"/>
      <c r="E11756" s="1"/>
      <c r="F11756" s="1" t="str">
        <f>IFERROR(__xludf.DUMMYFUNCTION("GOOGLETRANSLATE(B11756, ""en"", ""fa"")
"),"توسعه شخصی")</f>
        <v>توسعه شخصی</v>
      </c>
      <c r="G11756" s="1" t="str">
        <f>IFERROR(__xludf.DUMMYFUNCTION("GOOGLETRANSLATE(C11756, ""en"", ""fa"")
"),"اشکال مختلف حل خلاقانه مسئله را برای غلبه بر چالش ها و یافتن راه حل های نوآورانه کاوش کنید.")</f>
        <v>اشکال مختلف حل خلاقانه مسئله را برای غلبه بر چالش ها و یافتن راه حل های نوآورانه کاوش کنید.</v>
      </c>
      <c r="H11756" s="1"/>
      <c r="I11756" s="1"/>
      <c r="J11756" s="1"/>
      <c r="K11756" s="1"/>
      <c r="L11756" s="1"/>
      <c r="M11756" s="1"/>
      <c r="N11756" s="1"/>
      <c r="O11756" s="1"/>
      <c r="P11756" s="1"/>
      <c r="Q11756" s="1"/>
      <c r="R11756" s="1"/>
      <c r="S11756" s="1"/>
      <c r="T11756" s="1"/>
      <c r="U11756" s="1"/>
      <c r="V11756" s="1"/>
      <c r="W11756" s="1"/>
      <c r="X11756" s="1"/>
      <c r="Y11756" s="1"/>
      <c r="Z11756" s="1"/>
      <c r="AA11756" s="1"/>
      <c r="AB11756" s="1"/>
    </row>
    <row r="11757" ht="50.25" customHeight="1">
      <c r="A11757" s="12">
        <v>11753.0</v>
      </c>
      <c r="B11757" s="13" t="s">
        <v>11531</v>
      </c>
      <c r="C11757" s="14" t="s">
        <v>11641</v>
      </c>
      <c r="D11757" s="1"/>
      <c r="E11757" s="1"/>
      <c r="F11757" s="1" t="str">
        <f>IFERROR(__xludf.DUMMYFUNCTION("GOOGLETRANSLATE(B11757, ""en"", ""fa"")
"),"توسعه شخصی")</f>
        <v>توسعه شخصی</v>
      </c>
      <c r="G11757" s="1" t="str">
        <f>IFERROR(__xludf.DUMMYFUNCTION("GOOGLETRANSLATE(C11757, ""en"", ""fa"")
"),"در مورد تجربیات گذشته انعطاف پذیری و پشتکار فکر کنید و در زمان های سخت از آنها قدرت بگیرید.")</f>
        <v>در مورد تجربیات گذشته انعطاف پذیری و پشتکار فکر کنید و در زمان های سخت از آنها قدرت بگیرید.</v>
      </c>
      <c r="H11757" s="1"/>
      <c r="I11757" s="1"/>
      <c r="J11757" s="1"/>
      <c r="K11757" s="1"/>
      <c r="L11757" s="1"/>
      <c r="M11757" s="1"/>
      <c r="N11757" s="1"/>
      <c r="O11757" s="1"/>
      <c r="P11757" s="1"/>
      <c r="Q11757" s="1"/>
      <c r="R11757" s="1"/>
      <c r="S11757" s="1"/>
      <c r="T11757" s="1"/>
      <c r="U11757" s="1"/>
      <c r="V11757" s="1"/>
      <c r="W11757" s="1"/>
      <c r="X11757" s="1"/>
      <c r="Y11757" s="1"/>
      <c r="Z11757" s="1"/>
      <c r="AA11757" s="1"/>
      <c r="AB11757" s="1"/>
    </row>
    <row r="11758" ht="50.25" customHeight="1">
      <c r="A11758" s="12">
        <v>11754.0</v>
      </c>
      <c r="B11758" s="13" t="s">
        <v>11531</v>
      </c>
      <c r="C11758" s="14" t="s">
        <v>11642</v>
      </c>
      <c r="D11758" s="1"/>
      <c r="E11758" s="1"/>
      <c r="F11758" s="1" t="str">
        <f>IFERROR(__xludf.DUMMYFUNCTION("GOOGLETRANSLATE(B11758, ""en"", ""fa"")
"),"توسعه شخصی")</f>
        <v>توسعه شخصی</v>
      </c>
      <c r="G11758" s="1" t="str">
        <f>IFERROR(__xludf.DUMMYFUNCTION("GOOGLETRANSLATE(C11758, ""en"", ""fa"")
"),"برای حفظ تعادل بین کار و زندگی، در زمان شخصی مرزهای خاصی را با وظایف مربوط به کار تعیین کنید.")</f>
        <v>برای حفظ تعادل بین کار و زندگی، در زمان شخصی مرزهای خاصی را با وظایف مربوط به کار تعیین کنید.</v>
      </c>
      <c r="H11758" s="1"/>
      <c r="I11758" s="1"/>
      <c r="J11758" s="1"/>
      <c r="K11758" s="1"/>
      <c r="L11758" s="1"/>
      <c r="M11758" s="1"/>
      <c r="N11758" s="1"/>
      <c r="O11758" s="1"/>
      <c r="P11758" s="1"/>
      <c r="Q11758" s="1"/>
      <c r="R11758" s="1"/>
      <c r="S11758" s="1"/>
      <c r="T11758" s="1"/>
      <c r="U11758" s="1"/>
      <c r="V11758" s="1"/>
      <c r="W11758" s="1"/>
      <c r="X11758" s="1"/>
      <c r="Y11758" s="1"/>
      <c r="Z11758" s="1"/>
      <c r="AA11758" s="1"/>
      <c r="AB11758" s="1"/>
    </row>
    <row r="11759" ht="50.25" customHeight="1">
      <c r="A11759" s="12">
        <v>11755.0</v>
      </c>
      <c r="B11759" s="13" t="s">
        <v>11531</v>
      </c>
      <c r="C11759" s="14" t="s">
        <v>11601</v>
      </c>
      <c r="D11759" s="1"/>
      <c r="E11759" s="1"/>
      <c r="F11759" s="1" t="str">
        <f>IFERROR(__xludf.DUMMYFUNCTION("GOOGLETRANSLATE(B11759, ""en"", ""fa"")
"),"توسعه شخصی")</f>
        <v>توسعه شخصی</v>
      </c>
      <c r="G11759" s="1" t="str">
        <f>IFERROR(__xludf.DUMMYFUNCTION("GOOGLETRANSLATE(C11759, ""en"", ""fa"")
"),"عادات یا رفتارهایی را که ممکن است مانع رشد شما شوند را شناسایی کنید و روی تغییر آنها کار کنید.")</f>
        <v>عادات یا رفتارهایی را که ممکن است مانع رشد شما شوند را شناسایی کنید و روی تغییر آنها کار کنید.</v>
      </c>
      <c r="H11759" s="1"/>
      <c r="I11759" s="1"/>
      <c r="J11759" s="1"/>
      <c r="K11759" s="1"/>
      <c r="L11759" s="1"/>
      <c r="M11759" s="1"/>
      <c r="N11759" s="1"/>
      <c r="O11759" s="1"/>
      <c r="P11759" s="1"/>
      <c r="Q11759" s="1"/>
      <c r="R11759" s="1"/>
      <c r="S11759" s="1"/>
      <c r="T11759" s="1"/>
      <c r="U11759" s="1"/>
      <c r="V11759" s="1"/>
      <c r="W11759" s="1"/>
      <c r="X11759" s="1"/>
      <c r="Y11759" s="1"/>
      <c r="Z11759" s="1"/>
      <c r="AA11759" s="1"/>
      <c r="AB11759" s="1"/>
    </row>
    <row r="11760" ht="50.25" customHeight="1">
      <c r="A11760" s="12">
        <v>11756.0</v>
      </c>
      <c r="B11760" s="13" t="s">
        <v>11531</v>
      </c>
      <c r="C11760" s="14" t="s">
        <v>11643</v>
      </c>
      <c r="D11760" s="1"/>
      <c r="E11760" s="1"/>
      <c r="F11760" s="1" t="str">
        <f>IFERROR(__xludf.DUMMYFUNCTION("GOOGLETRANSLATE(B11760, ""en"", ""fa"")
"),"توسعه شخصی")</f>
        <v>توسعه شخصی</v>
      </c>
      <c r="G11760" s="1" t="str">
        <f>IFERROR(__xludf.DUMMYFUNCTION("GOOGLETRANSLATE(C11760, ""en"", ""fa"")
"),"تکنیک های تجسم را تمرین کنید تا آینده دلخواه خود را تصور و آشکار کنید.")</f>
        <v>تکنیک های تجسم را تمرین کنید تا آینده دلخواه خود را تصور و آشکار کنید.</v>
      </c>
      <c r="H11760" s="1"/>
      <c r="I11760" s="1"/>
      <c r="J11760" s="1"/>
      <c r="K11760" s="1"/>
      <c r="L11760" s="1"/>
      <c r="M11760" s="1"/>
      <c r="N11760" s="1"/>
      <c r="O11760" s="1"/>
      <c r="P11760" s="1"/>
      <c r="Q11760" s="1"/>
      <c r="R11760" s="1"/>
      <c r="S11760" s="1"/>
      <c r="T11760" s="1"/>
      <c r="U11760" s="1"/>
      <c r="V11760" s="1"/>
      <c r="W11760" s="1"/>
      <c r="X11760" s="1"/>
      <c r="Y11760" s="1"/>
      <c r="Z11760" s="1"/>
      <c r="AA11760" s="1"/>
      <c r="AB11760" s="1"/>
    </row>
    <row r="11761" ht="50.25" customHeight="1">
      <c r="A11761" s="12">
        <v>11757.0</v>
      </c>
      <c r="B11761" s="13" t="s">
        <v>11531</v>
      </c>
      <c r="C11761" s="14" t="s">
        <v>11602</v>
      </c>
      <c r="D11761" s="1"/>
      <c r="E11761" s="1"/>
      <c r="F11761" s="1" t="str">
        <f>IFERROR(__xludf.DUMMYFUNCTION("GOOGLETRANSLATE(B11761, ""en"", ""fa"")
"),"توسعه شخصی")</f>
        <v>توسعه شخصی</v>
      </c>
      <c r="G11761" s="1" t="str">
        <f>IFERROR(__xludf.DUMMYFUNCTION("GOOGLETRANSLATE(C11761, ""en"", ""fa"")
"),"مفهوم شفقت به خود را کاوش کنید و تمرین کنید که نسبت به خودتان مهربان و فهمیده باشید.")</f>
        <v>مفهوم شفقت به خود را کاوش کنید و تمرین کنید که نسبت به خودتان مهربان و فهمیده باشید.</v>
      </c>
      <c r="H11761" s="1"/>
      <c r="I11761" s="1"/>
      <c r="J11761" s="1"/>
      <c r="K11761" s="1"/>
      <c r="L11761" s="1"/>
      <c r="M11761" s="1"/>
      <c r="N11761" s="1"/>
      <c r="O11761" s="1"/>
      <c r="P11761" s="1"/>
      <c r="Q11761" s="1"/>
      <c r="R11761" s="1"/>
      <c r="S11761" s="1"/>
      <c r="T11761" s="1"/>
      <c r="U11761" s="1"/>
      <c r="V11761" s="1"/>
      <c r="W11761" s="1"/>
      <c r="X11761" s="1"/>
      <c r="Y11761" s="1"/>
      <c r="Z11761" s="1"/>
      <c r="AA11761" s="1"/>
      <c r="AB11761" s="1"/>
    </row>
    <row r="11762" ht="50.25" customHeight="1">
      <c r="A11762" s="12">
        <v>11758.0</v>
      </c>
      <c r="B11762" s="13" t="s">
        <v>11531</v>
      </c>
      <c r="C11762" s="14" t="s">
        <v>11603</v>
      </c>
      <c r="D11762" s="1"/>
      <c r="E11762" s="1"/>
      <c r="F11762" s="1" t="str">
        <f>IFERROR(__xludf.DUMMYFUNCTION("GOOGLETRANSLATE(B11762, ""en"", ""fa"")
"),"توسعه شخصی")</f>
        <v>توسعه شخصی</v>
      </c>
      <c r="G11762" s="1" t="str">
        <f>IFERROR(__xludf.DUMMYFUNCTION("GOOGLETRANSLATE(C11762, ""en"", ""fa"")
"),"به نقاط قوت شخصی خود فکر کنید و راه هایی برای استفاده از آنها در شغل یا زندگی روزمره خود بیابید.")</f>
        <v>به نقاط قوت شخصی خود فکر کنید و راه هایی برای استفاده از آنها در شغل یا زندگی روزمره خود بیابید.</v>
      </c>
      <c r="H11762" s="1"/>
      <c r="I11762" s="1"/>
      <c r="J11762" s="1"/>
      <c r="K11762" s="1"/>
      <c r="L11762" s="1"/>
      <c r="M11762" s="1"/>
      <c r="N11762" s="1"/>
      <c r="O11762" s="1"/>
      <c r="P11762" s="1"/>
      <c r="Q11762" s="1"/>
      <c r="R11762" s="1"/>
      <c r="S11762" s="1"/>
      <c r="T11762" s="1"/>
      <c r="U11762" s="1"/>
      <c r="V11762" s="1"/>
      <c r="W11762" s="1"/>
      <c r="X11762" s="1"/>
      <c r="Y11762" s="1"/>
      <c r="Z11762" s="1"/>
      <c r="AA11762" s="1"/>
      <c r="AB11762" s="1"/>
    </row>
    <row r="11763" ht="50.25" customHeight="1">
      <c r="A11763" s="12">
        <v>11759.0</v>
      </c>
      <c r="B11763" s="13" t="s">
        <v>11531</v>
      </c>
      <c r="C11763" s="14" t="s">
        <v>11605</v>
      </c>
      <c r="D11763" s="1"/>
      <c r="E11763" s="1"/>
      <c r="F11763" s="1" t="str">
        <f>IFERROR(__xludf.DUMMYFUNCTION("GOOGLETRANSLATE(B11763, ""en"", ""fa"")
"),"توسعه شخصی")</f>
        <v>توسعه شخصی</v>
      </c>
      <c r="G11763" s="1" t="str">
        <f>IFERROR(__xludf.DUMMYFUNCTION("GOOGLETRANSLATE(C11763, ""en"", ""fa"")
"),"اهداف واقع بینانه و قابل دستیابی را برای پیشرفت شخصی تعیین کنید و پیشرفت خود را به طور منظم پیگیری کنید.")</f>
        <v>اهداف واقع بینانه و قابل دستیابی را برای پیشرفت شخصی تعیین کنید و پیشرفت خود را به طور منظم پیگیری کنید.</v>
      </c>
      <c r="H11763" s="1"/>
      <c r="I11763" s="1"/>
      <c r="J11763" s="1"/>
      <c r="K11763" s="1"/>
      <c r="L11763" s="1"/>
      <c r="M11763" s="1"/>
      <c r="N11763" s="1"/>
      <c r="O11763" s="1"/>
      <c r="P11763" s="1"/>
      <c r="Q11763" s="1"/>
      <c r="R11763" s="1"/>
      <c r="S11763" s="1"/>
      <c r="T11763" s="1"/>
      <c r="U11763" s="1"/>
      <c r="V11763" s="1"/>
      <c r="W11763" s="1"/>
      <c r="X11763" s="1"/>
      <c r="Y11763" s="1"/>
      <c r="Z11763" s="1"/>
      <c r="AA11763" s="1"/>
      <c r="AB11763" s="1"/>
    </row>
    <row r="11764" ht="50.25" customHeight="1">
      <c r="A11764" s="12">
        <v>11760.0</v>
      </c>
      <c r="B11764" s="13" t="s">
        <v>11531</v>
      </c>
      <c r="C11764" s="14" t="s">
        <v>11606</v>
      </c>
      <c r="D11764" s="1"/>
      <c r="E11764" s="1"/>
      <c r="F11764" s="1" t="str">
        <f>IFERROR(__xludf.DUMMYFUNCTION("GOOGLETRANSLATE(B11764, ""en"", ""fa"")
"),"توسعه شخصی")</f>
        <v>توسعه شخصی</v>
      </c>
      <c r="G11764" s="1" t="str">
        <f>IFERROR(__xludf.DUMMYFUNCTION("GOOGLETRANSLATE(C11764, ""en"", ""fa"")
"),"منابع استرس را در زندگی خود شناسایی کنید و مکانیسم های مقابله ای سالم مانند ورزش یا فعالیت های خلاقانه را کشف کنید.")</f>
        <v>منابع استرس را در زندگی خود شناسایی کنید و مکانیسم های مقابله ای سالم مانند ورزش یا فعالیت های خلاقانه را کشف کنید.</v>
      </c>
      <c r="H11764" s="1"/>
      <c r="I11764" s="1"/>
      <c r="J11764" s="1"/>
      <c r="K11764" s="1"/>
      <c r="L11764" s="1"/>
      <c r="M11764" s="1"/>
      <c r="N11764" s="1"/>
      <c r="O11764" s="1"/>
      <c r="P11764" s="1"/>
      <c r="Q11764" s="1"/>
      <c r="R11764" s="1"/>
      <c r="S11764" s="1"/>
      <c r="T11764" s="1"/>
      <c r="U11764" s="1"/>
      <c r="V11764" s="1"/>
      <c r="W11764" s="1"/>
      <c r="X11764" s="1"/>
      <c r="Y11764" s="1"/>
      <c r="Z11764" s="1"/>
      <c r="AA11764" s="1"/>
      <c r="AB11764" s="1"/>
    </row>
    <row r="11765" ht="50.25" customHeight="1">
      <c r="A11765" s="12">
        <v>11761.0</v>
      </c>
      <c r="B11765" s="13" t="s">
        <v>11531</v>
      </c>
      <c r="C11765" s="14" t="s">
        <v>11607</v>
      </c>
      <c r="D11765" s="1"/>
      <c r="E11765" s="1"/>
      <c r="F11765" s="1" t="str">
        <f>IFERROR(__xludf.DUMMYFUNCTION("GOOGLETRANSLATE(B11765, ""en"", ""fa"")
"),"توسعه شخصی")</f>
        <v>توسعه شخصی</v>
      </c>
      <c r="G11765" s="1" t="str">
        <f>IFERROR(__xludf.DUMMYFUNCTION("GOOGLETRANSLATE(C11765, ""en"", ""fa"")
"),"مزایای مدیتیشن ذهن آگاهی و اینکه چگونه می تواند بهزیستی ذهنی شما را بهبود بخشد را بررسی کنید.")</f>
        <v>مزایای مدیتیشن ذهن آگاهی و اینکه چگونه می تواند بهزیستی ذهنی شما را بهبود بخشد را بررسی کنید.</v>
      </c>
      <c r="H11765" s="1"/>
      <c r="I11765" s="1"/>
      <c r="J11765" s="1"/>
      <c r="K11765" s="1"/>
      <c r="L11765" s="1"/>
      <c r="M11765" s="1"/>
      <c r="N11765" s="1"/>
      <c r="O11765" s="1"/>
      <c r="P11765" s="1"/>
      <c r="Q11765" s="1"/>
      <c r="R11765" s="1"/>
      <c r="S11765" s="1"/>
      <c r="T11765" s="1"/>
      <c r="U11765" s="1"/>
      <c r="V11765" s="1"/>
      <c r="W11765" s="1"/>
      <c r="X11765" s="1"/>
      <c r="Y11765" s="1"/>
      <c r="Z11765" s="1"/>
      <c r="AA11765" s="1"/>
      <c r="AB11765" s="1"/>
    </row>
    <row r="11766" ht="50.25" customHeight="1">
      <c r="A11766" s="12">
        <v>11762.0</v>
      </c>
      <c r="B11766" s="13" t="s">
        <v>11531</v>
      </c>
      <c r="C11766" s="14" t="s">
        <v>11608</v>
      </c>
      <c r="D11766" s="1"/>
      <c r="E11766" s="1"/>
      <c r="F11766" s="1" t="str">
        <f>IFERROR(__xludf.DUMMYFUNCTION("GOOGLETRANSLATE(B11766, ""en"", ""fa"")
"),"توسعه شخصی")</f>
        <v>توسعه شخصی</v>
      </c>
      <c r="G11766" s="1" t="str">
        <f>IFERROR(__xludf.DUMMYFUNCTION("GOOGLETRANSLATE(C11766, ""en"", ""fa"")
"),"به ارزش های اصلی خود و اینکه چگونه آنها تصمیمات و اقدامات شما را هدایت می کنند فکر کنید.")</f>
        <v>به ارزش های اصلی خود و اینکه چگونه آنها تصمیمات و اقدامات شما را هدایت می کنند فکر کنید.</v>
      </c>
      <c r="H11766" s="1"/>
      <c r="I11766" s="1"/>
      <c r="J11766" s="1"/>
      <c r="K11766" s="1"/>
      <c r="L11766" s="1"/>
      <c r="M11766" s="1"/>
      <c r="N11766" s="1"/>
      <c r="O11766" s="1"/>
      <c r="P11766" s="1"/>
      <c r="Q11766" s="1"/>
      <c r="R11766" s="1"/>
      <c r="S11766" s="1"/>
      <c r="T11766" s="1"/>
      <c r="U11766" s="1"/>
      <c r="V11766" s="1"/>
      <c r="W11766" s="1"/>
      <c r="X11766" s="1"/>
      <c r="Y11766" s="1"/>
      <c r="Z11766" s="1"/>
      <c r="AA11766" s="1"/>
      <c r="AB11766" s="1"/>
    </row>
    <row r="11767" ht="50.25" customHeight="1">
      <c r="A11767" s="12">
        <v>11763.0</v>
      </c>
      <c r="B11767" s="13" t="s">
        <v>11531</v>
      </c>
      <c r="C11767" s="14" t="s">
        <v>11590</v>
      </c>
      <c r="D11767" s="1"/>
      <c r="E11767" s="1"/>
      <c r="F11767" s="1" t="str">
        <f>IFERROR(__xludf.DUMMYFUNCTION("GOOGLETRANSLATE(B11767, ""en"", ""fa"")
"),"توسعه شخصی")</f>
        <v>توسعه شخصی</v>
      </c>
      <c r="G11767" s="1" t="str">
        <f>IFERROR(__xludf.DUMMYFUNCTION("GOOGLETRANSLATE(C11767, ""en"", ""fa"")
"),"قدردانی را با ابراز قدردانی از افراد و تجربیات زندگی خود تمرین کنید.")</f>
        <v>قدردانی را با ابراز قدردانی از افراد و تجربیات زندگی خود تمرین کنید.</v>
      </c>
      <c r="H11767" s="1"/>
      <c r="I11767" s="1"/>
      <c r="J11767" s="1"/>
      <c r="K11767" s="1"/>
      <c r="L11767" s="1"/>
      <c r="M11767" s="1"/>
      <c r="N11767" s="1"/>
      <c r="O11767" s="1"/>
      <c r="P11767" s="1"/>
      <c r="Q11767" s="1"/>
      <c r="R11767" s="1"/>
      <c r="S11767" s="1"/>
      <c r="T11767" s="1"/>
      <c r="U11767" s="1"/>
      <c r="V11767" s="1"/>
      <c r="W11767" s="1"/>
      <c r="X11767" s="1"/>
      <c r="Y11767" s="1"/>
      <c r="Z11767" s="1"/>
      <c r="AA11767" s="1"/>
      <c r="AB11767" s="1"/>
    </row>
    <row r="11768" ht="50.25" customHeight="1">
      <c r="A11768" s="12">
        <v>11764.0</v>
      </c>
      <c r="B11768" s="13" t="s">
        <v>11531</v>
      </c>
      <c r="C11768" s="14" t="s">
        <v>11533</v>
      </c>
      <c r="D11768" s="1"/>
      <c r="E11768" s="1"/>
      <c r="F11768" s="1" t="str">
        <f>IFERROR(__xludf.DUMMYFUNCTION("GOOGLETRANSLATE(B11768, ""en"", ""fa"")
"),"توسعه شخصی")</f>
        <v>توسعه شخصی</v>
      </c>
      <c r="G11768" s="1" t="str">
        <f>IFERROR(__xludf.DUMMYFUNCTION("GOOGLETRANSLATE(C11768, ""en"", ""fa"")
"),"اهداف کوتاه مدت و بلند مدت مشخص و قابل دستیابی را برای رشد شخصی تعیین کنید.")</f>
        <v>اهداف کوتاه مدت و بلند مدت مشخص و قابل دستیابی را برای رشد شخصی تعیین کنید.</v>
      </c>
      <c r="H11768" s="1"/>
      <c r="I11768" s="1"/>
      <c r="J11768" s="1"/>
      <c r="K11768" s="1"/>
      <c r="L11768" s="1"/>
      <c r="M11768" s="1"/>
      <c r="N11768" s="1"/>
      <c r="O11768" s="1"/>
      <c r="P11768" s="1"/>
      <c r="Q11768" s="1"/>
      <c r="R11768" s="1"/>
      <c r="S11768" s="1"/>
      <c r="T11768" s="1"/>
      <c r="U11768" s="1"/>
      <c r="V11768" s="1"/>
      <c r="W11768" s="1"/>
      <c r="X11768" s="1"/>
      <c r="Y11768" s="1"/>
      <c r="Z11768" s="1"/>
      <c r="AA11768" s="1"/>
      <c r="AB11768" s="1"/>
    </row>
    <row r="11769" ht="50.25" customHeight="1">
      <c r="A11769" s="12">
        <v>11765.0</v>
      </c>
      <c r="B11769" s="13" t="s">
        <v>11531</v>
      </c>
      <c r="C11769" s="14" t="s">
        <v>11534</v>
      </c>
      <c r="D11769" s="1"/>
      <c r="E11769" s="1"/>
      <c r="F11769" s="1" t="str">
        <f>IFERROR(__xludf.DUMMYFUNCTION("GOOGLETRANSLATE(B11769, ""en"", ""fa"")
"),"توسعه شخصی")</f>
        <v>توسعه شخصی</v>
      </c>
      <c r="G11769" s="1" t="str">
        <f>IFERROR(__xludf.DUMMYFUNCTION("GOOGLETRANSLATE(C11769, ""en"", ""fa"")
"),"نقاط قوت و زمینه های بهبود خود را شناسایی کنید و یک برنامه عمل برای بهبود خود ایجاد کنید.")</f>
        <v>نقاط قوت و زمینه های بهبود خود را شناسایی کنید و یک برنامه عمل برای بهبود خود ایجاد کنید.</v>
      </c>
      <c r="H11769" s="1"/>
      <c r="I11769" s="1"/>
      <c r="J11769" s="1"/>
      <c r="K11769" s="1"/>
      <c r="L11769" s="1"/>
      <c r="M11769" s="1"/>
      <c r="N11769" s="1"/>
      <c r="O11769" s="1"/>
      <c r="P11769" s="1"/>
      <c r="Q11769" s="1"/>
      <c r="R11769" s="1"/>
      <c r="S11769" s="1"/>
      <c r="T11769" s="1"/>
      <c r="U11769" s="1"/>
      <c r="V11769" s="1"/>
      <c r="W11769" s="1"/>
      <c r="X11769" s="1"/>
      <c r="Y11769" s="1"/>
      <c r="Z11769" s="1"/>
      <c r="AA11769" s="1"/>
      <c r="AB11769" s="1"/>
    </row>
    <row r="11770" ht="50.25" customHeight="1">
      <c r="A11770" s="12">
        <v>11766.0</v>
      </c>
      <c r="B11770" s="13" t="s">
        <v>11531</v>
      </c>
      <c r="C11770" s="14" t="s">
        <v>11535</v>
      </c>
      <c r="D11770" s="1"/>
      <c r="E11770" s="1"/>
      <c r="F11770" s="1" t="str">
        <f>IFERROR(__xludf.DUMMYFUNCTION("GOOGLETRANSLATE(B11770, ""en"", ""fa"")
"),"توسعه شخصی")</f>
        <v>توسعه شخصی</v>
      </c>
      <c r="G11770" s="1" t="str">
        <f>IFERROR(__xludf.DUMMYFUNCTION("GOOGLETRANSLATE(C11770, ""en"", ""fa"")
"),"برای کاهش استرس و افزایش تمرکز، تمرین‌های تمرکز حواس مانند مدیتیشن و تنفس عمیق را بررسی کنید.")</f>
        <v>برای کاهش استرس و افزایش تمرکز، تمرین‌های تمرکز حواس مانند مدیتیشن و تنفس عمیق را بررسی کنید.</v>
      </c>
      <c r="H11770" s="1"/>
      <c r="I11770" s="1"/>
      <c r="J11770" s="1"/>
      <c r="K11770" s="1"/>
      <c r="L11770" s="1"/>
      <c r="M11770" s="1"/>
      <c r="N11770" s="1"/>
      <c r="O11770" s="1"/>
      <c r="P11770" s="1"/>
      <c r="Q11770" s="1"/>
      <c r="R11770" s="1"/>
      <c r="S11770" s="1"/>
      <c r="T11770" s="1"/>
      <c r="U11770" s="1"/>
      <c r="V11770" s="1"/>
      <c r="W11770" s="1"/>
      <c r="X11770" s="1"/>
      <c r="Y11770" s="1"/>
      <c r="Z11770" s="1"/>
      <c r="AA11770" s="1"/>
      <c r="AB11770" s="1"/>
    </row>
    <row r="11771" ht="50.25" customHeight="1">
      <c r="A11771" s="12">
        <v>11767.0</v>
      </c>
      <c r="B11771" s="13" t="s">
        <v>11531</v>
      </c>
      <c r="C11771" s="14" t="s">
        <v>11536</v>
      </c>
      <c r="D11771" s="1"/>
      <c r="E11771" s="1"/>
      <c r="F11771" s="1" t="str">
        <f>IFERROR(__xludf.DUMMYFUNCTION("GOOGLETRANSLATE(B11771, ""en"", ""fa"")
"),"توسعه شخصی")</f>
        <v>توسعه شخصی</v>
      </c>
      <c r="G11771" s="1" t="str">
        <f>IFERROR(__xludf.DUMMYFUNCTION("GOOGLETRANSLATE(C11771, ""en"", ""fa"")
"),"در مورد چالش های گذشته و اینکه چگونه آنها به انعطاف پذیری و قدرت شخصی شما کمک کرده اند فکر کنید.")</f>
        <v>در مورد چالش های گذشته و اینکه چگونه آنها به انعطاف پذیری و قدرت شخصی شما کمک کرده اند فکر کنید.</v>
      </c>
      <c r="H11771" s="1"/>
      <c r="I11771" s="1"/>
      <c r="J11771" s="1"/>
      <c r="K11771" s="1"/>
      <c r="L11771" s="1"/>
      <c r="M11771" s="1"/>
      <c r="N11771" s="1"/>
      <c r="O11771" s="1"/>
      <c r="P11771" s="1"/>
      <c r="Q11771" s="1"/>
      <c r="R11771" s="1"/>
      <c r="S11771" s="1"/>
      <c r="T11771" s="1"/>
      <c r="U11771" s="1"/>
      <c r="V11771" s="1"/>
      <c r="W11771" s="1"/>
      <c r="X11771" s="1"/>
      <c r="Y11771" s="1"/>
      <c r="Z11771" s="1"/>
      <c r="AA11771" s="1"/>
      <c r="AB11771" s="1"/>
    </row>
    <row r="11772" ht="50.25" customHeight="1">
      <c r="A11772" s="12">
        <v>11768.0</v>
      </c>
      <c r="B11772" s="13" t="s">
        <v>11531</v>
      </c>
      <c r="C11772" s="14" t="s">
        <v>11537</v>
      </c>
      <c r="D11772" s="1"/>
      <c r="E11772" s="1"/>
      <c r="F11772" s="1" t="str">
        <f>IFERROR(__xludf.DUMMYFUNCTION("GOOGLETRANSLATE(B11772, ""en"", ""fa"")
"),"توسعه شخصی")</f>
        <v>توسعه شخصی</v>
      </c>
      <c r="G11772" s="1" t="str">
        <f>IFERROR(__xludf.DUMMYFUNCTION("GOOGLETRANSLATE(C11772, ""en"", ""fa"")
"),"برای قدردانی از جنبه های مثبت زندگی خود، تمرین قدردانی روزانه را توسعه دهید.")</f>
        <v>برای قدردانی از جنبه های مثبت زندگی خود، تمرین قدردانی روزانه را توسعه دهید.</v>
      </c>
      <c r="H11772" s="1"/>
      <c r="I11772" s="1"/>
      <c r="J11772" s="1"/>
      <c r="K11772" s="1"/>
      <c r="L11772" s="1"/>
      <c r="M11772" s="1"/>
      <c r="N11772" s="1"/>
      <c r="O11772" s="1"/>
      <c r="P11772" s="1"/>
      <c r="Q11772" s="1"/>
      <c r="R11772" s="1"/>
      <c r="S11772" s="1"/>
      <c r="T11772" s="1"/>
      <c r="U11772" s="1"/>
      <c r="V11772" s="1"/>
      <c r="W11772" s="1"/>
      <c r="X11772" s="1"/>
      <c r="Y11772" s="1"/>
      <c r="Z11772" s="1"/>
      <c r="AA11772" s="1"/>
      <c r="AB11772" s="1"/>
    </row>
    <row r="11773" ht="50.25" customHeight="1">
      <c r="A11773" s="12">
        <v>11769.0</v>
      </c>
      <c r="B11773" s="13" t="s">
        <v>11531</v>
      </c>
      <c r="C11773" s="14" t="s">
        <v>11538</v>
      </c>
      <c r="D11773" s="1"/>
      <c r="E11773" s="1"/>
      <c r="F11773" s="1" t="str">
        <f>IFERROR(__xludf.DUMMYFUNCTION("GOOGLETRANSLATE(B11773, ""en"", ""fa"")
"),"توسعه شخصی")</f>
        <v>توسعه شخصی</v>
      </c>
      <c r="G11773" s="1" t="str">
        <f>IFERROR(__xludf.DUMMYFUNCTION("GOOGLETRANSLATE(C11773, ""en"", ""fa"")
"),"تکنیک های مختلف مدیریت زمان را برای بهینه سازی بهره وری و دستیابی به تعادل بهتر بین کار و زندگی کاوش کنید.")</f>
        <v>تکنیک های مختلف مدیریت زمان را برای بهینه سازی بهره وری و دستیابی به تعادل بهتر بین کار و زندگی کاوش کنید.</v>
      </c>
      <c r="H11773" s="1"/>
      <c r="I11773" s="1"/>
      <c r="J11773" s="1"/>
      <c r="K11773" s="1"/>
      <c r="L11773" s="1"/>
      <c r="M11773" s="1"/>
      <c r="N11773" s="1"/>
      <c r="O11773" s="1"/>
      <c r="P11773" s="1"/>
      <c r="Q11773" s="1"/>
      <c r="R11773" s="1"/>
      <c r="S11773" s="1"/>
      <c r="T11773" s="1"/>
      <c r="U11773" s="1"/>
      <c r="V11773" s="1"/>
      <c r="W11773" s="1"/>
      <c r="X11773" s="1"/>
      <c r="Y11773" s="1"/>
      <c r="Z11773" s="1"/>
      <c r="AA11773" s="1"/>
      <c r="AB11773" s="1"/>
    </row>
    <row r="11774" ht="50.25" customHeight="1">
      <c r="A11774" s="12">
        <v>11770.0</v>
      </c>
      <c r="B11774" s="13" t="s">
        <v>11531</v>
      </c>
      <c r="C11774" s="14" t="s">
        <v>11539</v>
      </c>
      <c r="D11774" s="1"/>
      <c r="E11774" s="1"/>
      <c r="F11774" s="1" t="str">
        <f>IFERROR(__xludf.DUMMYFUNCTION("GOOGLETRANSLATE(B11774, ""en"", ""fa"")
"),"توسعه شخصی")</f>
        <v>توسعه شخصی</v>
      </c>
      <c r="G11774" s="1" t="str">
        <f>IFERROR(__xludf.DUMMYFUNCTION("GOOGLETRANSLATE(C11774, ""en"", ""fa"")
"),"خود را به چالش بکشید تا از منطقه راحتی خود خارج شوید و فرصت های جدیدی را برای رشد در آغوش بگیرید.")</f>
        <v>خود را به چالش بکشید تا از منطقه راحتی خود خارج شوید و فرصت های جدیدی را برای رشد در آغوش بگیرید.</v>
      </c>
      <c r="H11774" s="1"/>
      <c r="I11774" s="1"/>
      <c r="J11774" s="1"/>
      <c r="K11774" s="1"/>
      <c r="L11774" s="1"/>
      <c r="M11774" s="1"/>
      <c r="N11774" s="1"/>
      <c r="O11774" s="1"/>
      <c r="P11774" s="1"/>
      <c r="Q11774" s="1"/>
      <c r="R11774" s="1"/>
      <c r="S11774" s="1"/>
      <c r="T11774" s="1"/>
      <c r="U11774" s="1"/>
      <c r="V11774" s="1"/>
      <c r="W11774" s="1"/>
      <c r="X11774" s="1"/>
      <c r="Y11774" s="1"/>
      <c r="Z11774" s="1"/>
      <c r="AA11774" s="1"/>
      <c r="AB11774" s="1"/>
    </row>
    <row r="11775" ht="50.25" customHeight="1">
      <c r="A11775" s="12">
        <v>11771.0</v>
      </c>
      <c r="B11775" s="13" t="s">
        <v>11531</v>
      </c>
      <c r="C11775" s="14" t="s">
        <v>11540</v>
      </c>
      <c r="D11775" s="1"/>
      <c r="E11775" s="1"/>
      <c r="F11775" s="1" t="str">
        <f>IFERROR(__xludf.DUMMYFUNCTION("GOOGLETRANSLATE(B11775, ""en"", ""fa"")
"),"توسعه شخصی")</f>
        <v>توسعه شخصی</v>
      </c>
      <c r="G11775" s="1" t="str">
        <f>IFERROR(__xludf.DUMMYFUNCTION("GOOGLETRANSLATE(C11775, ""en"", ""fa"")
"),"الگوهای افکار منفی را شناسایی کنید و آنها را با جملات تاکیدی مثبت جایگزین کنید.")</f>
        <v>الگوهای افکار منفی را شناسایی کنید و آنها را با جملات تاکیدی مثبت جایگزین کنید.</v>
      </c>
      <c r="H11775" s="1"/>
      <c r="I11775" s="1"/>
      <c r="J11775" s="1"/>
      <c r="K11775" s="1"/>
      <c r="L11775" s="1"/>
      <c r="M11775" s="1"/>
      <c r="N11775" s="1"/>
      <c r="O11775" s="1"/>
      <c r="P11775" s="1"/>
      <c r="Q11775" s="1"/>
      <c r="R11775" s="1"/>
      <c r="S11775" s="1"/>
      <c r="T11775" s="1"/>
      <c r="U11775" s="1"/>
      <c r="V11775" s="1"/>
      <c r="W11775" s="1"/>
      <c r="X11775" s="1"/>
      <c r="Y11775" s="1"/>
      <c r="Z11775" s="1"/>
      <c r="AA11775" s="1"/>
      <c r="AB11775" s="1"/>
    </row>
    <row r="11776" ht="50.25" customHeight="1">
      <c r="A11776" s="12">
        <v>11772.0</v>
      </c>
      <c r="B11776" s="13" t="s">
        <v>11531</v>
      </c>
      <c r="C11776" s="14" t="s">
        <v>11541</v>
      </c>
      <c r="D11776" s="1"/>
      <c r="E11776" s="1"/>
      <c r="F11776" s="1" t="str">
        <f>IFERROR(__xludf.DUMMYFUNCTION("GOOGLETRANSLATE(B11776, ""en"", ""fa"")
"),"توسعه شخصی")</f>
        <v>توسعه شخصی</v>
      </c>
      <c r="G11776" s="1" t="str">
        <f>IFERROR(__xludf.DUMMYFUNCTION("GOOGLETRANSLATE(C11776, ""en"", ""fa"")
"),"برای بهبود مهارت های ارتباطی و ایجاد روابط معنادار، گوش دادن فعال را تمرین کنید.")</f>
        <v>برای بهبود مهارت های ارتباطی و ایجاد روابط معنادار، گوش دادن فعال را تمرین کنید.</v>
      </c>
      <c r="H11776" s="1"/>
      <c r="I11776" s="1"/>
      <c r="J11776" s="1"/>
      <c r="K11776" s="1"/>
      <c r="L11776" s="1"/>
      <c r="M11776" s="1"/>
      <c r="N11776" s="1"/>
      <c r="O11776" s="1"/>
      <c r="P11776" s="1"/>
      <c r="Q11776" s="1"/>
      <c r="R11776" s="1"/>
      <c r="S11776" s="1"/>
      <c r="T11776" s="1"/>
      <c r="U11776" s="1"/>
      <c r="V11776" s="1"/>
      <c r="W11776" s="1"/>
      <c r="X11776" s="1"/>
      <c r="Y11776" s="1"/>
      <c r="Z11776" s="1"/>
      <c r="AA11776" s="1"/>
      <c r="AB11776" s="1"/>
    </row>
    <row r="11777" ht="50.25" customHeight="1">
      <c r="A11777" s="12">
        <v>11773.0</v>
      </c>
      <c r="B11777" s="13" t="s">
        <v>11531</v>
      </c>
      <c r="C11777" s="14" t="s">
        <v>11542</v>
      </c>
      <c r="D11777" s="1"/>
      <c r="E11777" s="1"/>
      <c r="F11777" s="1" t="str">
        <f>IFERROR(__xludf.DUMMYFUNCTION("GOOGLETRANSLATE(B11777, ""en"", ""fa"")
"),"توسعه شخصی")</f>
        <v>توسعه شخصی</v>
      </c>
      <c r="G11777" s="1" t="str">
        <f>IFERROR(__xludf.DUMMYFUNCTION("GOOGLETRANSLATE(C11777, ""en"", ""fa"")
"),"برای محافظت از زمان و رفاه خود در زندگی شخصی و حرفه ای خود حد و مرزی تعیین کنید.")</f>
        <v>برای محافظت از زمان و رفاه خود در زندگی شخصی و حرفه ای خود حد و مرزی تعیین کنید.</v>
      </c>
      <c r="H11777" s="1"/>
      <c r="I11777" s="1"/>
      <c r="J11777" s="1"/>
      <c r="K11777" s="1"/>
      <c r="L11777" s="1"/>
      <c r="M11777" s="1"/>
      <c r="N11777" s="1"/>
      <c r="O11777" s="1"/>
      <c r="P11777" s="1"/>
      <c r="Q11777" s="1"/>
      <c r="R11777" s="1"/>
      <c r="S11777" s="1"/>
      <c r="T11777" s="1"/>
      <c r="U11777" s="1"/>
      <c r="V11777" s="1"/>
      <c r="W11777" s="1"/>
      <c r="X11777" s="1"/>
      <c r="Y11777" s="1"/>
      <c r="Z11777" s="1"/>
      <c r="AA11777" s="1"/>
      <c r="AB11777" s="1"/>
    </row>
    <row r="11778" ht="50.25" customHeight="1">
      <c r="A11778" s="12">
        <v>11774.0</v>
      </c>
      <c r="B11778" s="13" t="s">
        <v>11531</v>
      </c>
      <c r="C11778" s="14" t="s">
        <v>11543</v>
      </c>
      <c r="D11778" s="1"/>
      <c r="E11778" s="1"/>
      <c r="F11778" s="1" t="str">
        <f>IFERROR(__xludf.DUMMYFUNCTION("GOOGLETRANSLATE(B11778, ""en"", ""fa"")
"),"توسعه شخصی")</f>
        <v>توسعه شخصی</v>
      </c>
      <c r="G11778" s="1" t="str">
        <f>IFERROR(__xludf.DUMMYFUNCTION("GOOGLETRANSLATE(C11778, ""en"", ""fa"")
"),"مفهوم هوش هیجانی و تاثیر آن بر روابط شخصی و حرفه ای را بررسی کنید.")</f>
        <v>مفهوم هوش هیجانی و تاثیر آن بر روابط شخصی و حرفه ای را بررسی کنید.</v>
      </c>
      <c r="H11778" s="1"/>
      <c r="I11778" s="1"/>
      <c r="J11778" s="1"/>
      <c r="K11778" s="1"/>
      <c r="L11778" s="1"/>
      <c r="M11778" s="1"/>
      <c r="N11778" s="1"/>
      <c r="O11778" s="1"/>
      <c r="P11778" s="1"/>
      <c r="Q11778" s="1"/>
      <c r="R11778" s="1"/>
      <c r="S11778" s="1"/>
      <c r="T11778" s="1"/>
      <c r="U11778" s="1"/>
      <c r="V11778" s="1"/>
      <c r="W11778" s="1"/>
      <c r="X11778" s="1"/>
      <c r="Y11778" s="1"/>
      <c r="Z11778" s="1"/>
      <c r="AA11778" s="1"/>
      <c r="AB11778" s="1"/>
    </row>
    <row r="11779" ht="50.25" customHeight="1">
      <c r="A11779" s="12">
        <v>11775.0</v>
      </c>
      <c r="B11779" s="13" t="s">
        <v>11531</v>
      </c>
      <c r="C11779" s="14" t="s">
        <v>11544</v>
      </c>
      <c r="D11779" s="1"/>
      <c r="E11779" s="1"/>
      <c r="F11779" s="1" t="str">
        <f>IFERROR(__xludf.DUMMYFUNCTION("GOOGLETRANSLATE(B11779, ""en"", ""fa"")
"),"توسعه شخصی")</f>
        <v>توسعه شخصی</v>
      </c>
      <c r="G11779" s="1" t="str">
        <f>IFERROR(__xludf.DUMMYFUNCTION("GOOGLETRANSLATE(C11779, ""en"", ""fa"")
"),"در مورد علایق و سرگرمی های خود فکر کنید و راه هایی برای گنجاندن آنها در زندگی روزمره خود بیابید.")</f>
        <v>در مورد علایق و سرگرمی های خود فکر کنید و راه هایی برای گنجاندن آنها در زندگی روزمره خود بیابید.</v>
      </c>
      <c r="H11779" s="1"/>
      <c r="I11779" s="1"/>
      <c r="J11779" s="1"/>
      <c r="K11779" s="1"/>
      <c r="L11779" s="1"/>
      <c r="M11779" s="1"/>
      <c r="N11779" s="1"/>
      <c r="O11779" s="1"/>
      <c r="P11779" s="1"/>
      <c r="Q11779" s="1"/>
      <c r="R11779" s="1"/>
      <c r="S11779" s="1"/>
      <c r="T11779" s="1"/>
      <c r="U11779" s="1"/>
      <c r="V11779" s="1"/>
      <c r="W11779" s="1"/>
      <c r="X11779" s="1"/>
      <c r="Y11779" s="1"/>
      <c r="Z11779" s="1"/>
      <c r="AA11779" s="1"/>
      <c r="AB11779" s="1"/>
    </row>
    <row r="11780" ht="50.25" customHeight="1">
      <c r="A11780" s="12">
        <v>11776.0</v>
      </c>
      <c r="B11780" s="13" t="s">
        <v>11531</v>
      </c>
      <c r="C11780" s="14" t="s">
        <v>11545</v>
      </c>
      <c r="D11780" s="1"/>
      <c r="E11780" s="1"/>
      <c r="F11780" s="1" t="str">
        <f>IFERROR(__xludf.DUMMYFUNCTION("GOOGLETRANSLATE(B11780, ""en"", ""fa"")
"),"توسعه شخصی")</f>
        <v>توسعه شخصی</v>
      </c>
      <c r="G11780" s="1" t="str">
        <f>IFERROR(__xludf.DUMMYFUNCTION("GOOGLETRANSLATE(C11780, ""en"", ""fa"")
"),"یک مهارت جدید بیاموزید یا سرگرمی مورد علاقه خود را دنبال کنید، حتی اگر خارج از منطقه راحتی شما باشد.")</f>
        <v>یک مهارت جدید بیاموزید یا سرگرمی مورد علاقه خود را دنبال کنید، حتی اگر خارج از منطقه راحتی شما باشد.</v>
      </c>
      <c r="H11780" s="1"/>
      <c r="I11780" s="1"/>
      <c r="J11780" s="1"/>
      <c r="K11780" s="1"/>
      <c r="L11780" s="1"/>
      <c r="M11780" s="1"/>
      <c r="N11780" s="1"/>
      <c r="O11780" s="1"/>
      <c r="P11780" s="1"/>
      <c r="Q11780" s="1"/>
      <c r="R11780" s="1"/>
      <c r="S11780" s="1"/>
      <c r="T11780" s="1"/>
      <c r="U11780" s="1"/>
      <c r="V11780" s="1"/>
      <c r="W11780" s="1"/>
      <c r="X11780" s="1"/>
      <c r="Y11780" s="1"/>
      <c r="Z11780" s="1"/>
      <c r="AA11780" s="1"/>
      <c r="AB11780" s="1"/>
    </row>
    <row r="11781" ht="50.25" customHeight="1">
      <c r="A11781" s="12">
        <v>11777.0</v>
      </c>
      <c r="B11781" s="13" t="s">
        <v>11531</v>
      </c>
      <c r="C11781" s="14" t="s">
        <v>11546</v>
      </c>
      <c r="D11781" s="1"/>
      <c r="E11781" s="1"/>
      <c r="F11781" s="1" t="str">
        <f>IFERROR(__xludf.DUMMYFUNCTION("GOOGLETRANSLATE(B11781, ""en"", ""fa"")
"),"توسعه شخصی")</f>
        <v>توسعه شخصی</v>
      </c>
      <c r="G11781" s="1" t="str">
        <f>IFERROR(__xludf.DUMMYFUNCTION("GOOGLETRANSLATE(C11781, ""en"", ""fa"")
"),"باورهای محدود کننده ای را که ممکن است شما را عقب نگه دارند، شناسایی کنید و روی اصلاح آنها به صورت مثبت کار کنید.")</f>
        <v>باورهای محدود کننده ای را که ممکن است شما را عقب نگه دارند، شناسایی کنید و روی اصلاح آنها به صورت مثبت کار کنید.</v>
      </c>
      <c r="H11781" s="1"/>
      <c r="I11781" s="1"/>
      <c r="J11781" s="1"/>
      <c r="K11781" s="1"/>
      <c r="L11781" s="1"/>
      <c r="M11781" s="1"/>
      <c r="N11781" s="1"/>
      <c r="O11781" s="1"/>
      <c r="P11781" s="1"/>
      <c r="Q11781" s="1"/>
      <c r="R11781" s="1"/>
      <c r="S11781" s="1"/>
      <c r="T11781" s="1"/>
      <c r="U11781" s="1"/>
      <c r="V11781" s="1"/>
      <c r="W11781" s="1"/>
      <c r="X11781" s="1"/>
      <c r="Y11781" s="1"/>
      <c r="Z11781" s="1"/>
      <c r="AA11781" s="1"/>
      <c r="AB11781" s="1"/>
    </row>
    <row r="11782" ht="50.25" customHeight="1">
      <c r="A11782" s="12">
        <v>11778.0</v>
      </c>
      <c r="B11782" s="13" t="s">
        <v>11531</v>
      </c>
      <c r="C11782" s="14" t="s">
        <v>11547</v>
      </c>
      <c r="D11782" s="1"/>
      <c r="E11782" s="1"/>
      <c r="F11782" s="1" t="str">
        <f>IFERROR(__xludf.DUMMYFUNCTION("GOOGLETRANSLATE(B11782, ""en"", ""fa"")
"),"توسعه شخصی")</f>
        <v>توسعه شخصی</v>
      </c>
      <c r="G11782" s="1" t="str">
        <f>IFERROR(__xludf.DUMMYFUNCTION("GOOGLETRANSLATE(C11782, ""en"", ""fa"")
"),"برای اشتباهات یا کاستی های گذشته، شفقت و بخشش نسبت به خود را تمرین کنید.")</f>
        <v>برای اشتباهات یا کاستی های گذشته، شفقت و بخشش نسبت به خود را تمرین کنید.</v>
      </c>
      <c r="H11782" s="1"/>
      <c r="I11782" s="1"/>
      <c r="J11782" s="1"/>
      <c r="K11782" s="1"/>
      <c r="L11782" s="1"/>
      <c r="M11782" s="1"/>
      <c r="N11782" s="1"/>
      <c r="O11782" s="1"/>
      <c r="P11782" s="1"/>
      <c r="Q11782" s="1"/>
      <c r="R11782" s="1"/>
      <c r="S11782" s="1"/>
      <c r="T11782" s="1"/>
      <c r="U11782" s="1"/>
      <c r="V11782" s="1"/>
      <c r="W11782" s="1"/>
      <c r="X11782" s="1"/>
      <c r="Y11782" s="1"/>
      <c r="Z11782" s="1"/>
      <c r="AA11782" s="1"/>
      <c r="AB11782" s="1"/>
    </row>
    <row r="11783" ht="50.25" customHeight="1">
      <c r="A11783" s="12">
        <v>11779.0</v>
      </c>
      <c r="B11783" s="13" t="s">
        <v>11531</v>
      </c>
      <c r="C11783" s="14" t="s">
        <v>11548</v>
      </c>
      <c r="D11783" s="1"/>
      <c r="E11783" s="1"/>
      <c r="F11783" s="1" t="str">
        <f>IFERROR(__xludf.DUMMYFUNCTION("GOOGLETRANSLATE(B11783, ""en"", ""fa"")
"),"توسعه شخصی")</f>
        <v>توسعه شخصی</v>
      </c>
      <c r="G11783" s="1" t="str">
        <f>IFERROR(__xludf.DUMMYFUNCTION("GOOGLETRANSLATE(C11783, ""en"", ""fa"")
"),"تکنیک های مختلف برای مدیریت استرس و اضطراب، مانند یادداشت روزانه یا ورزش را بررسی کنید.")</f>
        <v>تکنیک های مختلف برای مدیریت استرس و اضطراب، مانند یادداشت روزانه یا ورزش را بررسی کنید.</v>
      </c>
      <c r="H11783" s="1"/>
      <c r="I11783" s="1"/>
      <c r="J11783" s="1"/>
      <c r="K11783" s="1"/>
      <c r="L11783" s="1"/>
      <c r="M11783" s="1"/>
      <c r="N11783" s="1"/>
      <c r="O11783" s="1"/>
      <c r="P11783" s="1"/>
      <c r="Q11783" s="1"/>
      <c r="R11783" s="1"/>
      <c r="S11783" s="1"/>
      <c r="T11783" s="1"/>
      <c r="U11783" s="1"/>
      <c r="V11783" s="1"/>
      <c r="W11783" s="1"/>
      <c r="X11783" s="1"/>
      <c r="Y11783" s="1"/>
      <c r="Z11783" s="1"/>
      <c r="AA11783" s="1"/>
      <c r="AB11783" s="1"/>
    </row>
    <row r="11784" ht="50.25" customHeight="1">
      <c r="A11784" s="12">
        <v>11780.0</v>
      </c>
      <c r="B11784" s="13" t="s">
        <v>11531</v>
      </c>
      <c r="C11784" s="14" t="s">
        <v>11549</v>
      </c>
      <c r="D11784" s="1"/>
      <c r="E11784" s="1"/>
      <c r="F11784" s="1" t="str">
        <f>IFERROR(__xludf.DUMMYFUNCTION("GOOGLETRANSLATE(B11784, ""en"", ""fa"")
"),"توسعه شخصی")</f>
        <v>توسعه شخصی</v>
      </c>
      <c r="G11784" s="1" t="str">
        <f>IFERROR(__xludf.DUMMYFUNCTION("GOOGLETRANSLATE(C11784, ""en"", ""fa"")
"),"یک ذهنیت رشد را پرورش دهید و به چالش ها به عنوان فرصت هایی برای یادگیری و توسعه نگاه کنید.")</f>
        <v>یک ذهنیت رشد را پرورش دهید و به چالش ها به عنوان فرصت هایی برای یادگیری و توسعه نگاه کنید.</v>
      </c>
      <c r="H11784" s="1"/>
      <c r="I11784" s="1"/>
      <c r="J11784" s="1"/>
      <c r="K11784" s="1"/>
      <c r="L11784" s="1"/>
      <c r="M11784" s="1"/>
      <c r="N11784" s="1"/>
      <c r="O11784" s="1"/>
      <c r="P11784" s="1"/>
      <c r="Q11784" s="1"/>
      <c r="R11784" s="1"/>
      <c r="S11784" s="1"/>
      <c r="T11784" s="1"/>
      <c r="U11784" s="1"/>
      <c r="V11784" s="1"/>
      <c r="W11784" s="1"/>
      <c r="X11784" s="1"/>
      <c r="Y11784" s="1"/>
      <c r="Z11784" s="1"/>
      <c r="AA11784" s="1"/>
      <c r="AB11784" s="1"/>
    </row>
    <row r="11785" ht="50.25" customHeight="1">
      <c r="A11785" s="12">
        <v>11781.0</v>
      </c>
      <c r="B11785" s="13" t="s">
        <v>11531</v>
      </c>
      <c r="C11785" s="14" t="s">
        <v>11550</v>
      </c>
      <c r="D11785" s="1"/>
      <c r="E11785" s="1"/>
      <c r="F11785" s="1" t="str">
        <f>IFERROR(__xludf.DUMMYFUNCTION("GOOGLETRANSLATE(B11785, ""en"", ""fa"")
"),"توسعه شخصی")</f>
        <v>توسعه شخصی</v>
      </c>
      <c r="G11785" s="1" t="str">
        <f>IFERROR(__xludf.DUMMYFUNCTION("GOOGLETRANSLATE(C11785, ""en"", ""fa"")
"),"به دستاوردهای گذشته خود فکر کنید و از آنها به عنوان انگیزه ای برای موفقیت در آینده استفاده کنید.")</f>
        <v>به دستاوردهای گذشته خود فکر کنید و از آنها به عنوان انگیزه ای برای موفقیت در آینده استفاده کنید.</v>
      </c>
      <c r="H11785" s="1"/>
      <c r="I11785" s="1"/>
      <c r="J11785" s="1"/>
      <c r="K11785" s="1"/>
      <c r="L11785" s="1"/>
      <c r="M11785" s="1"/>
      <c r="N11785" s="1"/>
      <c r="O11785" s="1"/>
      <c r="P11785" s="1"/>
      <c r="Q11785" s="1"/>
      <c r="R11785" s="1"/>
      <c r="S11785" s="1"/>
      <c r="T11785" s="1"/>
      <c r="U11785" s="1"/>
      <c r="V11785" s="1"/>
      <c r="W11785" s="1"/>
      <c r="X11785" s="1"/>
      <c r="Y11785" s="1"/>
      <c r="Z11785" s="1"/>
      <c r="AA11785" s="1"/>
      <c r="AB11785" s="1"/>
    </row>
    <row r="11786" ht="50.25" customHeight="1">
      <c r="A11786" s="12">
        <v>11782.0</v>
      </c>
      <c r="B11786" s="13" t="s">
        <v>11531</v>
      </c>
      <c r="C11786" s="14" t="s">
        <v>11551</v>
      </c>
      <c r="D11786" s="1"/>
      <c r="E11786" s="1"/>
      <c r="F11786" s="1" t="str">
        <f>IFERROR(__xludf.DUMMYFUNCTION("GOOGLETRANSLATE(B11786, ""en"", ""fa"")
"),"توسعه شخصی")</f>
        <v>توسعه شخصی</v>
      </c>
      <c r="G11786" s="1" t="str">
        <f>IFERROR(__xludf.DUMMYFUNCTION("GOOGLETRANSLATE(C11786, ""en"", ""fa"")
"),"منابع منفی در زندگی خود را شناسایی کنید و اقداماتی را برای حذف یا کاهش تأثیر آنها انجام دهید.")</f>
        <v>منابع منفی در زندگی خود را شناسایی کنید و اقداماتی را برای حذف یا کاهش تأثیر آنها انجام دهید.</v>
      </c>
      <c r="H11786" s="1"/>
      <c r="I11786" s="1"/>
      <c r="J11786" s="1"/>
      <c r="K11786" s="1"/>
      <c r="L11786" s="1"/>
      <c r="M11786" s="1"/>
      <c r="N11786" s="1"/>
      <c r="O11786" s="1"/>
      <c r="P11786" s="1"/>
      <c r="Q11786" s="1"/>
      <c r="R11786" s="1"/>
      <c r="S11786" s="1"/>
      <c r="T11786" s="1"/>
      <c r="U11786" s="1"/>
      <c r="V11786" s="1"/>
      <c r="W11786" s="1"/>
      <c r="X11786" s="1"/>
      <c r="Y11786" s="1"/>
      <c r="Z11786" s="1"/>
      <c r="AA11786" s="1"/>
      <c r="AB11786" s="1"/>
    </row>
    <row r="11787" ht="50.25" customHeight="1">
      <c r="A11787" s="12">
        <v>11783.0</v>
      </c>
      <c r="B11787" s="13" t="s">
        <v>11531</v>
      </c>
      <c r="C11787" s="14" t="s">
        <v>11552</v>
      </c>
      <c r="D11787" s="1"/>
      <c r="E11787" s="1"/>
      <c r="F11787" s="1" t="str">
        <f>IFERROR(__xludf.DUMMYFUNCTION("GOOGLETRANSLATE(B11787, ""en"", ""fa"")
"),"توسعه شخصی")</f>
        <v>توسعه شخصی</v>
      </c>
      <c r="G11787" s="1" t="str">
        <f>IFERROR(__xludf.DUMMYFUNCTION("GOOGLETRANSLATE(C11787, ""en"", ""fa"")
"),"برای بیان واضح نیازها و مرزهای خود، ارتباط مؤثر و قاطعیت را تمرین کنید.")</f>
        <v>برای بیان واضح نیازها و مرزهای خود، ارتباط مؤثر و قاطعیت را تمرین کنید.</v>
      </c>
      <c r="H11787" s="1"/>
      <c r="I11787" s="1"/>
      <c r="J11787" s="1"/>
      <c r="K11787" s="1"/>
      <c r="L11787" s="1"/>
      <c r="M11787" s="1"/>
      <c r="N11787" s="1"/>
      <c r="O11787" s="1"/>
      <c r="P11787" s="1"/>
      <c r="Q11787" s="1"/>
      <c r="R11787" s="1"/>
      <c r="S11787" s="1"/>
      <c r="T11787" s="1"/>
      <c r="U11787" s="1"/>
      <c r="V11787" s="1"/>
      <c r="W11787" s="1"/>
      <c r="X11787" s="1"/>
      <c r="Y11787" s="1"/>
      <c r="Z11787" s="1"/>
      <c r="AA11787" s="1"/>
      <c r="AB11787" s="1"/>
    </row>
    <row r="11788" ht="50.25" customHeight="1">
      <c r="A11788" s="12">
        <v>11784.0</v>
      </c>
      <c r="B11788" s="13" t="s">
        <v>11531</v>
      </c>
      <c r="C11788" s="14" t="s">
        <v>11553</v>
      </c>
      <c r="D11788" s="1"/>
      <c r="E11788" s="1"/>
      <c r="F11788" s="1" t="str">
        <f>IFERROR(__xludf.DUMMYFUNCTION("GOOGLETRANSLATE(B11788, ""en"", ""fa"")
"),"توسعه شخصی")</f>
        <v>توسعه شخصی</v>
      </c>
      <c r="G11788" s="1" t="str">
        <f>IFERROR(__xludf.DUMMYFUNCTION("GOOGLETRANSLATE(C11788, ""en"", ""fa"")
"),"یک روتین صبحگاهی ایجاد کنید که لحن مثبتی برای بقیه روز ایجاد کند.")</f>
        <v>یک روتین صبحگاهی ایجاد کنید که لحن مثبتی برای بقیه روز ایجاد کند.</v>
      </c>
      <c r="H11788" s="1"/>
      <c r="I11788" s="1"/>
      <c r="J11788" s="1"/>
      <c r="K11788" s="1"/>
      <c r="L11788" s="1"/>
      <c r="M11788" s="1"/>
      <c r="N11788" s="1"/>
      <c r="O11788" s="1"/>
      <c r="P11788" s="1"/>
      <c r="Q11788" s="1"/>
      <c r="R11788" s="1"/>
      <c r="S11788" s="1"/>
      <c r="T11788" s="1"/>
      <c r="U11788" s="1"/>
      <c r="V11788" s="1"/>
      <c r="W11788" s="1"/>
      <c r="X11788" s="1"/>
      <c r="Y11788" s="1"/>
      <c r="Z11788" s="1"/>
      <c r="AA11788" s="1"/>
      <c r="AB11788" s="1"/>
    </row>
    <row r="11789" ht="50.25" customHeight="1">
      <c r="A11789" s="12">
        <v>11785.0</v>
      </c>
      <c r="B11789" s="13" t="s">
        <v>11531</v>
      </c>
      <c r="C11789" s="14" t="s">
        <v>11554</v>
      </c>
      <c r="D11789" s="1"/>
      <c r="E11789" s="1"/>
      <c r="F11789" s="1" t="str">
        <f>IFERROR(__xludf.DUMMYFUNCTION("GOOGLETRANSLATE(B11789, ""en"", ""fa"")
"),"توسعه شخصی")</f>
        <v>توسعه شخصی</v>
      </c>
      <c r="G11789" s="1" t="str">
        <f>IFERROR(__xludf.DUMMYFUNCTION("GOOGLETRANSLATE(C11789, ""en"", ""fa"")
"),"علایق و علایق خود را شناسایی کنید و در نظر بگیرید که چگونه می توانید آنها را به یک شغل یا سرگرمی کامل تبدیل کنید.")</f>
        <v>علایق و علایق خود را شناسایی کنید و در نظر بگیرید که چگونه می توانید آنها را به یک شغل یا سرگرمی کامل تبدیل کنید.</v>
      </c>
      <c r="H11789" s="1"/>
      <c r="I11789" s="1"/>
      <c r="J11789" s="1"/>
      <c r="K11789" s="1"/>
      <c r="L11789" s="1"/>
      <c r="M11789" s="1"/>
      <c r="N11789" s="1"/>
      <c r="O11789" s="1"/>
      <c r="P11789" s="1"/>
      <c r="Q11789" s="1"/>
      <c r="R11789" s="1"/>
      <c r="S11789" s="1"/>
      <c r="T11789" s="1"/>
      <c r="U11789" s="1"/>
      <c r="V11789" s="1"/>
      <c r="W11789" s="1"/>
      <c r="X11789" s="1"/>
      <c r="Y11789" s="1"/>
      <c r="Z11789" s="1"/>
      <c r="AA11789" s="1"/>
      <c r="AB11789" s="1"/>
    </row>
    <row r="11790" ht="50.25" customHeight="1">
      <c r="A11790" s="12">
        <v>11786.0</v>
      </c>
      <c r="B11790" s="13" t="s">
        <v>11531</v>
      </c>
      <c r="C11790" s="14" t="s">
        <v>11582</v>
      </c>
      <c r="D11790" s="1"/>
      <c r="E11790" s="1"/>
      <c r="F11790" s="1" t="str">
        <f>IFERROR(__xludf.DUMMYFUNCTION("GOOGLETRANSLATE(B11790, ""en"", ""fa"")
"),"توسعه شخصی")</f>
        <v>توسعه شخصی</v>
      </c>
      <c r="G11790" s="1" t="str">
        <f>IFERROR(__xludf.DUMMYFUNCTION("GOOGLETRANSLATE(C11790, ""en"", ""fa"")
"),"مزایای یادداشت روزانه و بیان خود را به عنوان ابزاری برای پردازش احساسات و تجربیات بررسی کنید.")</f>
        <v>مزایای یادداشت روزانه و بیان خود را به عنوان ابزاری برای پردازش احساسات و تجربیات بررسی کنید.</v>
      </c>
      <c r="H11790" s="1"/>
      <c r="I11790" s="1"/>
      <c r="J11790" s="1"/>
      <c r="K11790" s="1"/>
      <c r="L11790" s="1"/>
      <c r="M11790" s="1"/>
      <c r="N11790" s="1"/>
      <c r="O11790" s="1"/>
      <c r="P11790" s="1"/>
      <c r="Q11790" s="1"/>
      <c r="R11790" s="1"/>
      <c r="S11790" s="1"/>
      <c r="T11790" s="1"/>
      <c r="U11790" s="1"/>
      <c r="V11790" s="1"/>
      <c r="W11790" s="1"/>
      <c r="X11790" s="1"/>
      <c r="Y11790" s="1"/>
      <c r="Z11790" s="1"/>
      <c r="AA11790" s="1"/>
      <c r="AB11790" s="1"/>
    </row>
    <row r="11791" ht="50.25" customHeight="1">
      <c r="A11791" s="12">
        <v>11787.0</v>
      </c>
      <c r="B11791" s="13" t="s">
        <v>11531</v>
      </c>
      <c r="C11791" s="14" t="s">
        <v>11609</v>
      </c>
      <c r="D11791" s="1"/>
      <c r="E11791" s="1"/>
      <c r="F11791" s="1" t="str">
        <f>IFERROR(__xludf.DUMMYFUNCTION("GOOGLETRANSLATE(B11791, ""en"", ""fa"")
"),"توسعه شخصی")</f>
        <v>توسعه شخصی</v>
      </c>
      <c r="G11791" s="1" t="str">
        <f>IFERROR(__xludf.DUMMYFUNCTION("GOOGLETRANSLATE(C11791, ""en"", ""fa"")
"),"به نقش خودآگاهی در درک احساسات، نقاط قوت و ضعف خود فکر کنید.")</f>
        <v>به نقش خودآگاهی در درک احساسات، نقاط قوت و ضعف خود فکر کنید.</v>
      </c>
      <c r="H11791" s="1"/>
      <c r="I11791" s="1"/>
      <c r="J11791" s="1"/>
      <c r="K11791" s="1"/>
      <c r="L11791" s="1"/>
      <c r="M11791" s="1"/>
      <c r="N11791" s="1"/>
      <c r="O11791" s="1"/>
      <c r="P11791" s="1"/>
      <c r="Q11791" s="1"/>
      <c r="R11791" s="1"/>
      <c r="S11791" s="1"/>
      <c r="T11791" s="1"/>
      <c r="U11791" s="1"/>
      <c r="V11791" s="1"/>
      <c r="W11791" s="1"/>
      <c r="X11791" s="1"/>
      <c r="Y11791" s="1"/>
      <c r="Z11791" s="1"/>
      <c r="AA11791" s="1"/>
      <c r="AB11791" s="1"/>
    </row>
    <row r="11792" ht="50.25" customHeight="1">
      <c r="A11792" s="12">
        <v>11788.0</v>
      </c>
      <c r="B11792" s="13" t="s">
        <v>11531</v>
      </c>
      <c r="C11792" s="14" t="s">
        <v>11610</v>
      </c>
      <c r="D11792" s="1"/>
      <c r="E11792" s="1"/>
      <c r="F11792" s="1" t="str">
        <f>IFERROR(__xludf.DUMMYFUNCTION("GOOGLETRANSLATE(B11792, ""en"", ""fa"")
"),"توسعه شخصی")</f>
        <v>توسعه شخصی</v>
      </c>
      <c r="G11792" s="1" t="str">
        <f>IFERROR(__xludf.DUMMYFUNCTION("GOOGLETRANSLATE(C11792, ""en"", ""fa"")
"),"برای محافظت از زمان، انرژی و رفاه خود با دیگران مرزهای واقع بینانه تعیین کنید.")</f>
        <v>برای محافظت از زمان، انرژی و رفاه خود با دیگران مرزهای واقع بینانه تعیین کنید.</v>
      </c>
      <c r="H11792" s="1"/>
      <c r="I11792" s="1"/>
      <c r="J11792" s="1"/>
      <c r="K11792" s="1"/>
      <c r="L11792" s="1"/>
      <c r="M11792" s="1"/>
      <c r="N11792" s="1"/>
      <c r="O11792" s="1"/>
      <c r="P11792" s="1"/>
      <c r="Q11792" s="1"/>
      <c r="R11792" s="1"/>
      <c r="S11792" s="1"/>
      <c r="T11792" s="1"/>
      <c r="U11792" s="1"/>
      <c r="V11792" s="1"/>
      <c r="W11792" s="1"/>
      <c r="X11792" s="1"/>
      <c r="Y11792" s="1"/>
      <c r="Z11792" s="1"/>
      <c r="AA11792" s="1"/>
      <c r="AB11792" s="1"/>
    </row>
    <row r="11793" ht="50.25" customHeight="1">
      <c r="A11793" s="12">
        <v>11789.0</v>
      </c>
      <c r="B11793" s="13" t="s">
        <v>11531</v>
      </c>
      <c r="C11793" s="14" t="s">
        <v>11611</v>
      </c>
      <c r="D11793" s="1"/>
      <c r="E11793" s="1"/>
      <c r="F11793" s="1" t="str">
        <f>IFERROR(__xludf.DUMMYFUNCTION("GOOGLETRANSLATE(B11793, ""en"", ""fa"")
"),"توسعه شخصی")</f>
        <v>توسعه شخصی</v>
      </c>
      <c r="G11793" s="1" t="str">
        <f>IFERROR(__xludf.DUMMYFUNCTION("GOOGLETRANSLATE(C11793, ""en"", ""fa"")
"),"مفهوم خودپذیری را بررسی کنید و در آغوش گرفتن خود واقعی خود تمرین کنید.")</f>
        <v>مفهوم خودپذیری را بررسی کنید و در آغوش گرفتن خود واقعی خود تمرین کنید.</v>
      </c>
      <c r="H11793" s="1"/>
      <c r="I11793" s="1"/>
      <c r="J11793" s="1"/>
      <c r="K11793" s="1"/>
      <c r="L11793" s="1"/>
      <c r="M11793" s="1"/>
      <c r="N11793" s="1"/>
      <c r="O11793" s="1"/>
      <c r="P11793" s="1"/>
      <c r="Q11793" s="1"/>
      <c r="R11793" s="1"/>
      <c r="S11793" s="1"/>
      <c r="T11793" s="1"/>
      <c r="U11793" s="1"/>
      <c r="V11793" s="1"/>
      <c r="W11793" s="1"/>
      <c r="X11793" s="1"/>
      <c r="Y11793" s="1"/>
      <c r="Z11793" s="1"/>
      <c r="AA11793" s="1"/>
      <c r="AB11793" s="1"/>
    </row>
    <row r="11794" ht="50.25" customHeight="1">
      <c r="A11794" s="12">
        <v>11790.0</v>
      </c>
      <c r="B11794" s="13" t="s">
        <v>11531</v>
      </c>
      <c r="C11794" s="14" t="s">
        <v>11612</v>
      </c>
      <c r="D11794" s="1"/>
      <c r="E11794" s="1"/>
      <c r="F11794" s="1" t="str">
        <f>IFERROR(__xludf.DUMMYFUNCTION("GOOGLETRANSLATE(B11794, ""en"", ""fa"")
"),"توسعه شخصی")</f>
        <v>توسعه شخصی</v>
      </c>
      <c r="G11794" s="1" t="str">
        <f>IFERROR(__xludf.DUMMYFUNCTION("GOOGLETRANSLATE(C11794, ""en"", ""fa"")
"),"مناطقی از زندگی خود را که می توانید کمال گرایی را کنار بگذارید و نقص ها را در آغوش بگیرید، شناسایی کنید.")</f>
        <v>مناطقی از زندگی خود را که می توانید کمال گرایی را کنار بگذارید و نقص ها را در آغوش بگیرید، شناسایی کنید.</v>
      </c>
      <c r="H11794" s="1"/>
      <c r="I11794" s="1"/>
      <c r="J11794" s="1"/>
      <c r="K11794" s="1"/>
      <c r="L11794" s="1"/>
      <c r="M11794" s="1"/>
      <c r="N11794" s="1"/>
      <c r="O11794" s="1"/>
      <c r="P11794" s="1"/>
      <c r="Q11794" s="1"/>
      <c r="R11794" s="1"/>
      <c r="S11794" s="1"/>
      <c r="T11794" s="1"/>
      <c r="U11794" s="1"/>
      <c r="V11794" s="1"/>
      <c r="W11794" s="1"/>
      <c r="X11794" s="1"/>
      <c r="Y11794" s="1"/>
      <c r="Z11794" s="1"/>
      <c r="AA11794" s="1"/>
      <c r="AB11794" s="1"/>
    </row>
    <row r="11795" ht="50.25" customHeight="1">
      <c r="A11795" s="12">
        <v>11791.0</v>
      </c>
      <c r="B11795" s="13" t="s">
        <v>11531</v>
      </c>
      <c r="C11795" s="14" t="s">
        <v>11613</v>
      </c>
      <c r="D11795" s="1"/>
      <c r="E11795" s="1"/>
      <c r="F11795" s="1" t="str">
        <f>IFERROR(__xludf.DUMMYFUNCTION("GOOGLETRANSLATE(B11795, ""en"", ""fa"")
"),"توسعه شخصی")</f>
        <v>توسعه شخصی</v>
      </c>
      <c r="G11795" s="1" t="str">
        <f>IFERROR(__xludf.DUMMYFUNCTION("GOOGLETRANSLATE(C11795, ""en"", ""fa"")
"),"بخشش را نسبت به خود و دیگران تمرین کنید تا بار عاطفی را رها کنید و بسته شوید.")</f>
        <v>بخشش را نسبت به خود و دیگران تمرین کنید تا بار عاطفی را رها کنید و بسته شوید.</v>
      </c>
      <c r="H11795" s="1"/>
      <c r="I11795" s="1"/>
      <c r="J11795" s="1"/>
      <c r="K11795" s="1"/>
      <c r="L11795" s="1"/>
      <c r="M11795" s="1"/>
      <c r="N11795" s="1"/>
      <c r="O11795" s="1"/>
      <c r="P11795" s="1"/>
      <c r="Q11795" s="1"/>
      <c r="R11795" s="1"/>
      <c r="S11795" s="1"/>
      <c r="T11795" s="1"/>
      <c r="U11795" s="1"/>
      <c r="V11795" s="1"/>
      <c r="W11795" s="1"/>
      <c r="X11795" s="1"/>
      <c r="Y11795" s="1"/>
      <c r="Z11795" s="1"/>
      <c r="AA11795" s="1"/>
      <c r="AB11795" s="1"/>
    </row>
    <row r="11796" ht="50.25" customHeight="1">
      <c r="A11796" s="12">
        <v>11792.0</v>
      </c>
      <c r="B11796" s="13" t="s">
        <v>11531</v>
      </c>
      <c r="C11796" s="14" t="s">
        <v>11614</v>
      </c>
      <c r="D11796" s="1"/>
      <c r="E11796" s="1"/>
      <c r="F11796" s="1" t="str">
        <f>IFERROR(__xludf.DUMMYFUNCTION("GOOGLETRANSLATE(B11796, ""en"", ""fa"")
"),"توسعه شخصی")</f>
        <v>توسعه شخصی</v>
      </c>
      <c r="G11796" s="1" t="str">
        <f>IFERROR(__xludf.DUMMYFUNCTION("GOOGLETRANSLATE(C11796, ""en"", ""fa"")
"),"یک بیانیه ماموریت شخصی تنظیم کنید که با ارزش ها و هدف شما در زندگی همسو باشد.")</f>
        <v>یک بیانیه ماموریت شخصی تنظیم کنید که با ارزش ها و هدف شما در زندگی همسو باشد.</v>
      </c>
      <c r="H11796" s="1"/>
      <c r="I11796" s="1"/>
      <c r="J11796" s="1"/>
      <c r="K11796" s="1"/>
      <c r="L11796" s="1"/>
      <c r="M11796" s="1"/>
      <c r="N11796" s="1"/>
      <c r="O11796" s="1"/>
      <c r="P11796" s="1"/>
      <c r="Q11796" s="1"/>
      <c r="R11796" s="1"/>
      <c r="S11796" s="1"/>
      <c r="T11796" s="1"/>
      <c r="U11796" s="1"/>
      <c r="V11796" s="1"/>
      <c r="W11796" s="1"/>
      <c r="X11796" s="1"/>
      <c r="Y11796" s="1"/>
      <c r="Z11796" s="1"/>
      <c r="AA11796" s="1"/>
      <c r="AB11796" s="1"/>
    </row>
    <row r="11797" ht="50.25" customHeight="1">
      <c r="A11797" s="12">
        <v>11793.0</v>
      </c>
      <c r="B11797" s="13" t="s">
        <v>11531</v>
      </c>
      <c r="C11797" s="14" t="s">
        <v>11615</v>
      </c>
      <c r="D11797" s="1"/>
      <c r="E11797" s="1"/>
      <c r="F11797" s="1" t="str">
        <f>IFERROR(__xludf.DUMMYFUNCTION("GOOGLETRANSLATE(B11797, ""en"", ""fa"")
"),"توسعه شخصی")</f>
        <v>توسعه شخصی</v>
      </c>
      <c r="G11797" s="1" t="str">
        <f>IFERROR(__xludf.DUMMYFUNCTION("GOOGLETRANSLATE(C11797, ""en"", ""fa"")
"),"روش های مختلف بیان خلاق، مانند نوشتن، نقاشی یا موسیقی را برای پرورش هنرمند درونی خود کاوش کنید.")</f>
        <v>روش های مختلف بیان خلاق، مانند نوشتن، نقاشی یا موسیقی را برای پرورش هنرمند درونی خود کاوش کنید.</v>
      </c>
      <c r="H11797" s="1"/>
      <c r="I11797" s="1"/>
      <c r="J11797" s="1"/>
      <c r="K11797" s="1"/>
      <c r="L11797" s="1"/>
      <c r="M11797" s="1"/>
      <c r="N11797" s="1"/>
      <c r="O11797" s="1"/>
      <c r="P11797" s="1"/>
      <c r="Q11797" s="1"/>
      <c r="R11797" s="1"/>
      <c r="S11797" s="1"/>
      <c r="T11797" s="1"/>
      <c r="U11797" s="1"/>
      <c r="V11797" s="1"/>
      <c r="W11797" s="1"/>
      <c r="X11797" s="1"/>
      <c r="Y11797" s="1"/>
      <c r="Z11797" s="1"/>
      <c r="AA11797" s="1"/>
      <c r="AB11797" s="1"/>
    </row>
    <row r="11798" ht="50.25" customHeight="1">
      <c r="A11798" s="12">
        <v>11794.0</v>
      </c>
      <c r="B11798" s="13" t="s">
        <v>11531</v>
      </c>
      <c r="C11798" s="14" t="s">
        <v>11616</v>
      </c>
      <c r="D11798" s="1"/>
      <c r="E11798" s="1"/>
      <c r="F11798" s="1" t="str">
        <f>IFERROR(__xludf.DUMMYFUNCTION("GOOGLETRANSLATE(B11798, ""en"", ""fa"")
"),"توسعه شخصی")</f>
        <v>توسعه شخصی</v>
      </c>
      <c r="G11798" s="1" t="str">
        <f>IFERROR(__xludf.DUMMYFUNCTION("GOOGLETRANSLATE(C11798, ""en"", ""fa"")
"),"به شبکه پشتیبانی خود فکر کنید و راه هایی را برای ایجاد ارتباطات مثبت و معنادار با دیگران بیابید.")</f>
        <v>به شبکه پشتیبانی خود فکر کنید و راه هایی را برای ایجاد ارتباطات مثبت و معنادار با دیگران بیابید.</v>
      </c>
      <c r="H11798" s="1"/>
      <c r="I11798" s="1"/>
      <c r="J11798" s="1"/>
      <c r="K11798" s="1"/>
      <c r="L11798" s="1"/>
      <c r="M11798" s="1"/>
      <c r="N11798" s="1"/>
      <c r="O11798" s="1"/>
      <c r="P11798" s="1"/>
      <c r="Q11798" s="1"/>
      <c r="R11798" s="1"/>
      <c r="S11798" s="1"/>
      <c r="T11798" s="1"/>
      <c r="U11798" s="1"/>
      <c r="V11798" s="1"/>
      <c r="W11798" s="1"/>
      <c r="X11798" s="1"/>
      <c r="Y11798" s="1"/>
      <c r="Z11798" s="1"/>
      <c r="AA11798" s="1"/>
      <c r="AB11798" s="1"/>
    </row>
    <row r="11799" ht="50.25" customHeight="1">
      <c r="A11799" s="12">
        <v>11795.0</v>
      </c>
      <c r="B11799" s="13" t="s">
        <v>11531</v>
      </c>
      <c r="C11799" s="14" t="s">
        <v>11617</v>
      </c>
      <c r="D11799" s="1"/>
      <c r="E11799" s="1"/>
      <c r="F11799" s="1" t="str">
        <f>IFERROR(__xludf.DUMMYFUNCTION("GOOGLETRANSLATE(B11799, ""en"", ""fa"")
"),"توسعه شخصی")</f>
        <v>توسعه شخصی</v>
      </c>
      <c r="G11799" s="1" t="str">
        <f>IFERROR(__xludf.DUMMYFUNCTION("GOOGLETRANSLATE(C11799, ""en"", ""fa"")
"),"برای ردیابی سفر رشد شخصی خود، زمانی را برای تفکر و ارزیابی منظم خود اختصاص دهید.")</f>
        <v>برای ردیابی سفر رشد شخصی خود، زمانی را برای تفکر و ارزیابی منظم خود اختصاص دهید.</v>
      </c>
      <c r="H11799" s="1"/>
      <c r="I11799" s="1"/>
      <c r="J11799" s="1"/>
      <c r="K11799" s="1"/>
      <c r="L11799" s="1"/>
      <c r="M11799" s="1"/>
      <c r="N11799" s="1"/>
      <c r="O11799" s="1"/>
      <c r="P11799" s="1"/>
      <c r="Q11799" s="1"/>
      <c r="R11799" s="1"/>
      <c r="S11799" s="1"/>
      <c r="T11799" s="1"/>
      <c r="U11799" s="1"/>
      <c r="V11799" s="1"/>
      <c r="W11799" s="1"/>
      <c r="X11799" s="1"/>
      <c r="Y11799" s="1"/>
      <c r="Z11799" s="1"/>
      <c r="AA11799" s="1"/>
      <c r="AB11799" s="1"/>
    </row>
    <row r="11800" ht="50.25" customHeight="1">
      <c r="A11800" s="12">
        <v>11796.0</v>
      </c>
      <c r="B11800" s="13" t="s">
        <v>11531</v>
      </c>
      <c r="C11800" s="14" t="s">
        <v>11618</v>
      </c>
      <c r="D11800" s="1"/>
      <c r="E11800" s="1"/>
      <c r="F11800" s="1" t="str">
        <f>IFERROR(__xludf.DUMMYFUNCTION("GOOGLETRANSLATE(B11800, ""en"", ""fa"")
"),"توسعه شخصی")</f>
        <v>توسعه شخصی</v>
      </c>
      <c r="G11800" s="1" t="str">
        <f>IFERROR(__xludf.DUMMYFUNCTION("GOOGLETRANSLATE(C11800, ""en"", ""fa"")
"),"عادات یا رفتارهایی را که انرژی شما را تخلیه می کند شناسایی کنید و برای جایگزینی آنها با عادات مثبت تلاش کنید.")</f>
        <v>عادات یا رفتارهایی را که انرژی شما را تخلیه می کند شناسایی کنید و برای جایگزینی آنها با عادات مثبت تلاش کنید.</v>
      </c>
      <c r="H11800" s="1"/>
      <c r="I11800" s="1"/>
      <c r="J11800" s="1"/>
      <c r="K11800" s="1"/>
      <c r="L11800" s="1"/>
      <c r="M11800" s="1"/>
      <c r="N11800" s="1"/>
      <c r="O11800" s="1"/>
      <c r="P11800" s="1"/>
      <c r="Q11800" s="1"/>
      <c r="R11800" s="1"/>
      <c r="S11800" s="1"/>
      <c r="T11800" s="1"/>
      <c r="U11800" s="1"/>
      <c r="V11800" s="1"/>
      <c r="W11800" s="1"/>
      <c r="X11800" s="1"/>
      <c r="Y11800" s="1"/>
      <c r="Z11800" s="1"/>
      <c r="AA11800" s="1"/>
      <c r="AB11800" s="1"/>
    </row>
    <row r="11801" ht="50.25" customHeight="1">
      <c r="A11801" s="12">
        <v>11797.0</v>
      </c>
      <c r="B11801" s="13" t="s">
        <v>11531</v>
      </c>
      <c r="C11801" s="14" t="s">
        <v>11619</v>
      </c>
      <c r="D11801" s="1"/>
      <c r="E11801" s="1"/>
      <c r="F11801" s="1" t="str">
        <f>IFERROR(__xludf.DUMMYFUNCTION("GOOGLETRANSLATE(B11801, ""en"", ""fa"")
"),"توسعه شخصی")</f>
        <v>توسعه شخصی</v>
      </c>
      <c r="G11801" s="1" t="str">
        <f>IFERROR(__xludf.DUMMYFUNCTION("GOOGLETRANSLATE(C11801, ""en"", ""fa"")
"),"هنر رها کردن چیزهایی را که دیگر در خدمت رشد و رفاه شما نیستند را تمرین کنید.")</f>
        <v>هنر رها کردن چیزهایی را که دیگر در خدمت رشد و رفاه شما نیستند را تمرین کنید.</v>
      </c>
      <c r="H11801" s="1"/>
      <c r="I11801" s="1"/>
      <c r="J11801" s="1"/>
      <c r="K11801" s="1"/>
      <c r="L11801" s="1"/>
      <c r="M11801" s="1"/>
      <c r="N11801" s="1"/>
      <c r="O11801" s="1"/>
      <c r="P11801" s="1"/>
      <c r="Q11801" s="1"/>
      <c r="R11801" s="1"/>
      <c r="S11801" s="1"/>
      <c r="T11801" s="1"/>
      <c r="U11801" s="1"/>
      <c r="V11801" s="1"/>
      <c r="W11801" s="1"/>
      <c r="X11801" s="1"/>
      <c r="Y11801" s="1"/>
      <c r="Z11801" s="1"/>
      <c r="AA11801" s="1"/>
      <c r="AB11801" s="1"/>
    </row>
    <row r="11802" ht="50.25" customHeight="1">
      <c r="A11802" s="12">
        <v>11798.0</v>
      </c>
      <c r="B11802" s="13" t="s">
        <v>11531</v>
      </c>
      <c r="C11802" s="14" t="s">
        <v>11620</v>
      </c>
      <c r="D11802" s="1"/>
      <c r="E11802" s="1"/>
      <c r="F11802" s="1" t="str">
        <f>IFERROR(__xludf.DUMMYFUNCTION("GOOGLETRANSLATE(B11802, ""en"", ""fa"")
"),"توسعه شخصی")</f>
        <v>توسعه شخصی</v>
      </c>
      <c r="G11802" s="1" t="str">
        <f>IFERROR(__xludf.DUMMYFUNCTION("GOOGLETRANSLATE(C11802, ""en"", ""fa"")
"),"برای مدیریت استرس و تقویت آرامش، تکنیک‌های مختلف آرامش، مانند یوگا یا تمرکز حواس را بررسی کنید.")</f>
        <v>برای مدیریت استرس و تقویت آرامش، تکنیک‌های مختلف آرامش، مانند یوگا یا تمرکز حواس را بررسی کنید.</v>
      </c>
      <c r="H11802" s="1"/>
      <c r="I11802" s="1"/>
      <c r="J11802" s="1"/>
      <c r="K11802" s="1"/>
      <c r="L11802" s="1"/>
      <c r="M11802" s="1"/>
      <c r="N11802" s="1"/>
      <c r="O11802" s="1"/>
      <c r="P11802" s="1"/>
      <c r="Q11802" s="1"/>
      <c r="R11802" s="1"/>
      <c r="S11802" s="1"/>
      <c r="T11802" s="1"/>
      <c r="U11802" s="1"/>
      <c r="V11802" s="1"/>
      <c r="W11802" s="1"/>
      <c r="X11802" s="1"/>
      <c r="Y11802" s="1"/>
      <c r="Z11802" s="1"/>
      <c r="AA11802" s="1"/>
      <c r="AB11802" s="1"/>
    </row>
    <row r="11803" ht="50.25" customHeight="1">
      <c r="A11803" s="12">
        <v>11799.0</v>
      </c>
      <c r="B11803" s="13" t="s">
        <v>11531</v>
      </c>
      <c r="C11803" s="14" t="s">
        <v>11644</v>
      </c>
      <c r="D11803" s="1"/>
      <c r="E11803" s="1"/>
      <c r="F11803" s="1" t="str">
        <f>IFERROR(__xludf.DUMMYFUNCTION("GOOGLETRANSLATE(B11803, ""en"", ""fa"")
"),"توسعه شخصی")</f>
        <v>توسعه شخصی</v>
      </c>
      <c r="G11803" s="1" t="str">
        <f>IFERROR(__xludf.DUMMYFUNCTION("GOOGLETRANSLATE(C11803, ""en"", ""fa"")
"),"به ارزش ها و باورهای خود در مورد پول فکر کنید و راه هایی را برای بهبود رفاه مالی خود جستجو کنید.")</f>
        <v>به ارزش ها و باورهای خود در مورد پول فکر کنید و راه هایی را برای بهبود رفاه مالی خود جستجو کنید.</v>
      </c>
      <c r="H11803" s="1"/>
      <c r="I11803" s="1"/>
      <c r="J11803" s="1"/>
      <c r="K11803" s="1"/>
      <c r="L11803" s="1"/>
      <c r="M11803" s="1"/>
      <c r="N11803" s="1"/>
      <c r="O11803" s="1"/>
      <c r="P11803" s="1"/>
      <c r="Q11803" s="1"/>
      <c r="R11803" s="1"/>
      <c r="S11803" s="1"/>
      <c r="T11803" s="1"/>
      <c r="U11803" s="1"/>
      <c r="V11803" s="1"/>
      <c r="W11803" s="1"/>
      <c r="X11803" s="1"/>
      <c r="Y11803" s="1"/>
      <c r="Z11803" s="1"/>
      <c r="AA11803" s="1"/>
      <c r="AB11803" s="1"/>
    </row>
    <row r="11804" ht="50.25" customHeight="1">
      <c r="A11804" s="12">
        <v>11800.0</v>
      </c>
      <c r="B11804" s="13" t="s">
        <v>11531</v>
      </c>
      <c r="C11804" s="14" t="s">
        <v>11645</v>
      </c>
      <c r="D11804" s="1"/>
      <c r="E11804" s="1"/>
      <c r="F11804" s="1" t="str">
        <f>IFERROR(__xludf.DUMMYFUNCTION("GOOGLETRANSLATE(B11804, ""en"", ""fa"")
"),"توسعه شخصی")</f>
        <v>توسعه شخصی</v>
      </c>
      <c r="G11804" s="1" t="str">
        <f>IFERROR(__xludf.DUMMYFUNCTION("GOOGLETRANSLATE(C11804, ""en"", ""fa"")
"),"مناطقی از زندگی خود را که در آن با نظم و انضباط دست و پنجه نرم می کنید شناسایی کنید و روی ایجاد عادات ثابت کار کنید.")</f>
        <v>مناطقی از زندگی خود را که در آن با نظم و انضباط دست و پنجه نرم می کنید شناسایی کنید و روی ایجاد عادات ثابت کار کنید.</v>
      </c>
      <c r="H11804" s="1"/>
      <c r="I11804" s="1"/>
      <c r="J11804" s="1"/>
      <c r="K11804" s="1"/>
      <c r="L11804" s="1"/>
      <c r="M11804" s="1"/>
      <c r="N11804" s="1"/>
      <c r="O11804" s="1"/>
      <c r="P11804" s="1"/>
      <c r="Q11804" s="1"/>
      <c r="R11804" s="1"/>
      <c r="S11804" s="1"/>
      <c r="T11804" s="1"/>
      <c r="U11804" s="1"/>
      <c r="V11804" s="1"/>
      <c r="W11804" s="1"/>
      <c r="X11804" s="1"/>
      <c r="Y11804" s="1"/>
      <c r="Z11804" s="1"/>
      <c r="AA11804" s="1"/>
      <c r="AB11804" s="1"/>
    </row>
    <row r="11805" ht="50.25" customHeight="1">
      <c r="A11805" s="12">
        <v>11801.0</v>
      </c>
      <c r="B11805" s="13" t="s">
        <v>11531</v>
      </c>
      <c r="C11805" s="14" t="s">
        <v>11646</v>
      </c>
      <c r="D11805" s="1"/>
      <c r="E11805" s="1"/>
      <c r="F11805" s="1" t="str">
        <f>IFERROR(__xludf.DUMMYFUNCTION("GOOGLETRANSLATE(B11805, ""en"", ""fa"")
"),"توسعه شخصی")</f>
        <v>توسعه شخصی</v>
      </c>
      <c r="G11805" s="1" t="str">
        <f>IFERROR(__xludf.DUMMYFUNCTION("GOOGLETRANSLATE(C11805, ""en"", ""fa"")
"),"تمرکز حواس را در طول فعالیت های روزمره تمرین کنید تا در لحظه حضور داشته باشید و کاملا درگیر باشید.")</f>
        <v>تمرکز حواس را در طول فعالیت های روزمره تمرین کنید تا در لحظه حضور داشته باشید و کاملا درگیر باشید.</v>
      </c>
      <c r="H11805" s="1"/>
      <c r="I11805" s="1"/>
      <c r="J11805" s="1"/>
      <c r="K11805" s="1"/>
      <c r="L11805" s="1"/>
      <c r="M11805" s="1"/>
      <c r="N11805" s="1"/>
      <c r="O11805" s="1"/>
      <c r="P11805" s="1"/>
      <c r="Q11805" s="1"/>
      <c r="R11805" s="1"/>
      <c r="S11805" s="1"/>
      <c r="T11805" s="1"/>
      <c r="U11805" s="1"/>
      <c r="V11805" s="1"/>
      <c r="W11805" s="1"/>
      <c r="X11805" s="1"/>
      <c r="Y11805" s="1"/>
      <c r="Z11805" s="1"/>
      <c r="AA11805" s="1"/>
      <c r="AB11805" s="1"/>
    </row>
    <row r="11806" ht="50.25" customHeight="1">
      <c r="A11806" s="12">
        <v>11802.0</v>
      </c>
      <c r="B11806" s="13" t="s">
        <v>11531</v>
      </c>
      <c r="C11806" s="14" t="s">
        <v>11647</v>
      </c>
      <c r="D11806" s="1"/>
      <c r="E11806" s="1"/>
      <c r="F11806" s="1" t="str">
        <f>IFERROR(__xludf.DUMMYFUNCTION("GOOGLETRANSLATE(B11806, ""en"", ""fa"")
"),"توسعه شخصی")</f>
        <v>توسعه شخصی</v>
      </c>
      <c r="G11806" s="1" t="str">
        <f>IFERROR(__xludf.DUMMYFUNCTION("GOOGLETRANSLATE(C11806, ""en"", ""fa"")
"),"در مورد تأثیر خودگویی منفی فکر کنید و روی ایجاد یک گفتگوی درونی مثبت تر کار کنید.")</f>
        <v>در مورد تأثیر خودگویی منفی فکر کنید و روی ایجاد یک گفتگوی درونی مثبت تر کار کنید.</v>
      </c>
      <c r="H11806" s="1"/>
      <c r="I11806" s="1"/>
      <c r="J11806" s="1"/>
      <c r="K11806" s="1"/>
      <c r="L11806" s="1"/>
      <c r="M11806" s="1"/>
      <c r="N11806" s="1"/>
      <c r="O11806" s="1"/>
      <c r="P11806" s="1"/>
      <c r="Q11806" s="1"/>
      <c r="R11806" s="1"/>
      <c r="S11806" s="1"/>
      <c r="T11806" s="1"/>
      <c r="U11806" s="1"/>
      <c r="V11806" s="1"/>
      <c r="W11806" s="1"/>
      <c r="X11806" s="1"/>
      <c r="Y11806" s="1"/>
      <c r="Z11806" s="1"/>
      <c r="AA11806" s="1"/>
      <c r="AB11806" s="1"/>
    </row>
    <row r="11807" ht="50.25" customHeight="1">
      <c r="A11807" s="12">
        <v>11803.0</v>
      </c>
      <c r="B11807" s="13" t="s">
        <v>11531</v>
      </c>
      <c r="C11807" s="14" t="s">
        <v>11648</v>
      </c>
      <c r="D11807" s="1"/>
      <c r="E11807" s="1"/>
      <c r="F11807" s="1" t="str">
        <f>IFERROR(__xludf.DUMMYFUNCTION("GOOGLETRANSLATE(B11807, ""en"", ""fa"")
"),"توسعه شخصی")</f>
        <v>توسعه شخصی</v>
      </c>
      <c r="G11807" s="1" t="str">
        <f>IFERROR(__xludf.DUMMYFUNCTION("GOOGLETRANSLATE(C11807, ""en"", ""fa"")
"),"با افرادی که انرژی شما را تخلیه می کنند حد و مرز تعیین کنید و برای کسانی که به شما الهام می بخشند فضا ایجاد کنید.")</f>
        <v>با افرادی که انرژی شما را تخلیه می کنند حد و مرز تعیین کنید و برای کسانی که به شما الهام می بخشند فضا ایجاد کنید.</v>
      </c>
      <c r="H11807" s="1"/>
      <c r="I11807" s="1"/>
      <c r="J11807" s="1"/>
      <c r="K11807" s="1"/>
      <c r="L11807" s="1"/>
      <c r="M11807" s="1"/>
      <c r="N11807" s="1"/>
      <c r="O11807" s="1"/>
      <c r="P11807" s="1"/>
      <c r="Q11807" s="1"/>
      <c r="R11807" s="1"/>
      <c r="S11807" s="1"/>
      <c r="T11807" s="1"/>
      <c r="U11807" s="1"/>
      <c r="V11807" s="1"/>
      <c r="W11807" s="1"/>
      <c r="X11807" s="1"/>
      <c r="Y11807" s="1"/>
      <c r="Z11807" s="1"/>
      <c r="AA11807" s="1"/>
      <c r="AB11807" s="1"/>
    </row>
    <row r="11808" ht="50.25" customHeight="1">
      <c r="A11808" s="12">
        <v>11804.0</v>
      </c>
      <c r="B11808" s="13" t="s">
        <v>11531</v>
      </c>
      <c r="C11808" s="14" t="s">
        <v>11649</v>
      </c>
      <c r="D11808" s="1"/>
      <c r="E11808" s="1"/>
      <c r="F11808" s="1" t="str">
        <f>IFERROR(__xludf.DUMMYFUNCTION("GOOGLETRANSLATE(B11808, ""en"", ""fa"")
"),"توسعه شخصی")</f>
        <v>توسعه شخصی</v>
      </c>
      <c r="G11808" s="1" t="str">
        <f>IFERROR(__xludf.DUMMYFUNCTION("GOOGLETRANSLATE(C11808, ""en"", ""fa"")
"),"اهمیت مراقبت از خود را کشف کنید و فعالیت هایی را که ذهن، بدن و روح شما را تغذیه می کنند، اولویت بندی کنید.")</f>
        <v>اهمیت مراقبت از خود را کشف کنید و فعالیت هایی را که ذهن، بدن و روح شما را تغذیه می کنند، اولویت بندی کنید.</v>
      </c>
      <c r="H11808" s="1"/>
      <c r="I11808" s="1"/>
      <c r="J11808" s="1"/>
      <c r="K11808" s="1"/>
      <c r="L11808" s="1"/>
      <c r="M11808" s="1"/>
      <c r="N11808" s="1"/>
      <c r="O11808" s="1"/>
      <c r="P11808" s="1"/>
      <c r="Q11808" s="1"/>
      <c r="R11808" s="1"/>
      <c r="S11808" s="1"/>
      <c r="T11808" s="1"/>
      <c r="U11808" s="1"/>
      <c r="V11808" s="1"/>
      <c r="W11808" s="1"/>
      <c r="X11808" s="1"/>
      <c r="Y11808" s="1"/>
      <c r="Z11808" s="1"/>
      <c r="AA11808" s="1"/>
      <c r="AB11808" s="1"/>
    </row>
    <row r="11809" ht="50.25" customHeight="1">
      <c r="A11809" s="12">
        <v>11805.0</v>
      </c>
      <c r="B11809" s="13" t="s">
        <v>11531</v>
      </c>
      <c r="C11809" s="14" t="s">
        <v>11650</v>
      </c>
      <c r="D11809" s="1"/>
      <c r="E11809" s="1"/>
      <c r="F11809" s="1" t="str">
        <f>IFERROR(__xludf.DUMMYFUNCTION("GOOGLETRANSLATE(B11809, ""en"", ""fa"")
"),"توسعه شخصی")</f>
        <v>توسعه شخصی</v>
      </c>
      <c r="G11809" s="1" t="str">
        <f>IFERROR(__xludf.DUMMYFUNCTION("GOOGLETRANSLATE(C11809, ""en"", ""fa"")
"),"هر گونه باور خود محدود کننده در مورد موفقیت و توانایی های خود را شناسایی و به چالش بکشید.")</f>
        <v>هر گونه باور خود محدود کننده در مورد موفقیت و توانایی های خود را شناسایی و به چالش بکشید.</v>
      </c>
      <c r="H11809" s="1"/>
      <c r="I11809" s="1"/>
      <c r="J11809" s="1"/>
      <c r="K11809" s="1"/>
      <c r="L11809" s="1"/>
      <c r="M11809" s="1"/>
      <c r="N11809" s="1"/>
      <c r="O11809" s="1"/>
      <c r="P11809" s="1"/>
      <c r="Q11809" s="1"/>
      <c r="R11809" s="1"/>
      <c r="S11809" s="1"/>
      <c r="T11809" s="1"/>
      <c r="U11809" s="1"/>
      <c r="V11809" s="1"/>
      <c r="W11809" s="1"/>
      <c r="X11809" s="1"/>
      <c r="Y11809" s="1"/>
      <c r="Z11809" s="1"/>
      <c r="AA11809" s="1"/>
      <c r="AB11809" s="1"/>
    </row>
    <row r="11810" ht="50.25" customHeight="1">
      <c r="A11810" s="12">
        <v>11806.0</v>
      </c>
      <c r="B11810" s="13" t="s">
        <v>11531</v>
      </c>
      <c r="C11810" s="14" t="s">
        <v>11651</v>
      </c>
      <c r="D11810" s="1"/>
      <c r="E11810" s="1"/>
      <c r="F11810" s="1" t="str">
        <f>IFERROR(__xludf.DUMMYFUNCTION("GOOGLETRANSLATE(B11810, ""en"", ""fa"")
"),"توسعه شخصی")</f>
        <v>توسعه شخصی</v>
      </c>
      <c r="G11810" s="1" t="str">
        <f>IFERROR(__xludf.DUMMYFUNCTION("GOOGLETRANSLATE(C11810, ""en"", ""fa"")
"),"قدردانی را با یادداشت روزانه چیزهایی که به خاطر آنها سپاسگزار هستید، تمرین کنید.")</f>
        <v>قدردانی را با یادداشت روزانه چیزهایی که به خاطر آنها سپاسگزار هستید، تمرین کنید.</v>
      </c>
      <c r="H11810" s="1"/>
      <c r="I11810" s="1"/>
      <c r="J11810" s="1"/>
      <c r="K11810" s="1"/>
      <c r="L11810" s="1"/>
      <c r="M11810" s="1"/>
      <c r="N11810" s="1"/>
      <c r="O11810" s="1"/>
      <c r="P11810" s="1"/>
      <c r="Q11810" s="1"/>
      <c r="R11810" s="1"/>
      <c r="S11810" s="1"/>
      <c r="T11810" s="1"/>
      <c r="U11810" s="1"/>
      <c r="V11810" s="1"/>
      <c r="W11810" s="1"/>
      <c r="X11810" s="1"/>
      <c r="Y11810" s="1"/>
      <c r="Z11810" s="1"/>
      <c r="AA11810" s="1"/>
      <c r="AB11810" s="1"/>
    </row>
    <row r="11811" ht="50.25" customHeight="1">
      <c r="A11811" s="12">
        <v>11807.0</v>
      </c>
      <c r="B11811" s="13" t="s">
        <v>11531</v>
      </c>
      <c r="C11811" s="14" t="s">
        <v>11652</v>
      </c>
      <c r="D11811" s="1"/>
      <c r="E11811" s="1"/>
      <c r="F11811" s="1" t="str">
        <f>IFERROR(__xludf.DUMMYFUNCTION("GOOGLETRANSLATE(B11811, ""en"", ""fa"")
"),"توسعه شخصی")</f>
        <v>توسعه شخصی</v>
      </c>
      <c r="G11811" s="1" t="str">
        <f>IFERROR(__xludf.DUMMYFUNCTION("GOOGLETRANSLATE(C11811, ""en"", ""fa"")
"),"به سبک ارتباطی خود فکر کنید و به دنبال بهبود مهارت های گوش دادن فعال و همدلی خود باشید.")</f>
        <v>به سبک ارتباطی خود فکر کنید و به دنبال بهبود مهارت های گوش دادن فعال و همدلی خود باشید.</v>
      </c>
      <c r="H11811" s="1"/>
      <c r="I11811" s="1"/>
      <c r="J11811" s="1"/>
      <c r="K11811" s="1"/>
      <c r="L11811" s="1"/>
      <c r="M11811" s="1"/>
      <c r="N11811" s="1"/>
      <c r="O11811" s="1"/>
      <c r="P11811" s="1"/>
      <c r="Q11811" s="1"/>
      <c r="R11811" s="1"/>
      <c r="S11811" s="1"/>
      <c r="T11811" s="1"/>
      <c r="U11811" s="1"/>
      <c r="V11811" s="1"/>
      <c r="W11811" s="1"/>
      <c r="X11811" s="1"/>
      <c r="Y11811" s="1"/>
      <c r="Z11811" s="1"/>
      <c r="AA11811" s="1"/>
      <c r="AB11811" s="1"/>
    </row>
    <row r="11812" ht="50.25" customHeight="1">
      <c r="A11812" s="12">
        <v>11808.0</v>
      </c>
      <c r="B11812" s="13" t="s">
        <v>11531</v>
      </c>
      <c r="C11812" s="14" t="s">
        <v>11653</v>
      </c>
      <c r="D11812" s="1"/>
      <c r="E11812" s="1"/>
      <c r="F11812" s="1" t="str">
        <f>IFERROR(__xludf.DUMMYFUNCTION("GOOGLETRANSLATE(B11812, ""en"", ""fa"")
"),"توسعه شخصی")</f>
        <v>توسعه شخصی</v>
      </c>
      <c r="G11812" s="1" t="str">
        <f>IFERROR(__xludf.DUMMYFUNCTION("GOOGLETRANSLATE(C11812, ""en"", ""fa"")
"),"اهداف مشخص و قابل دستیابی را برای بهبود سلامت جسمانی و رفاه خود تعیین کنید.")</f>
        <v>اهداف مشخص و قابل دستیابی را برای بهبود سلامت جسمانی و رفاه خود تعیین کنید.</v>
      </c>
      <c r="H11812" s="1"/>
      <c r="I11812" s="1"/>
      <c r="J11812" s="1"/>
      <c r="K11812" s="1"/>
      <c r="L11812" s="1"/>
      <c r="M11812" s="1"/>
      <c r="N11812" s="1"/>
      <c r="O11812" s="1"/>
      <c r="P11812" s="1"/>
      <c r="Q11812" s="1"/>
      <c r="R11812" s="1"/>
      <c r="S11812" s="1"/>
      <c r="T11812" s="1"/>
      <c r="U11812" s="1"/>
      <c r="V11812" s="1"/>
      <c r="W11812" s="1"/>
      <c r="X11812" s="1"/>
      <c r="Y11812" s="1"/>
      <c r="Z11812" s="1"/>
      <c r="AA11812" s="1"/>
      <c r="AB11812" s="1"/>
    </row>
    <row r="11813" ht="50.25" customHeight="1">
      <c r="A11813" s="12">
        <v>11809.0</v>
      </c>
      <c r="B11813" s="13" t="s">
        <v>11531</v>
      </c>
      <c r="C11813" s="14" t="s">
        <v>11654</v>
      </c>
      <c r="D11813" s="1"/>
      <c r="E11813" s="1"/>
      <c r="F11813" s="1" t="str">
        <f>IFERROR(__xludf.DUMMYFUNCTION("GOOGLETRANSLATE(B11813, ""en"", ""fa"")
"),"توسعه شخصی")</f>
        <v>توسعه شخصی</v>
      </c>
      <c r="G11813" s="1" t="str">
        <f>IFERROR(__xludf.DUMMYFUNCTION("GOOGLETRANSLATE(C11813, ""en"", ""fa"")
"),"تکنیک های مختلف مدیریت زمان را برای بهینه سازی بهره وری و کاهش اهمال کاری بررسی کنید.")</f>
        <v>تکنیک های مختلف مدیریت زمان را برای بهینه سازی بهره وری و کاهش اهمال کاری بررسی کنید.</v>
      </c>
      <c r="H11813" s="1"/>
      <c r="I11813" s="1"/>
      <c r="J11813" s="1"/>
      <c r="K11813" s="1"/>
      <c r="L11813" s="1"/>
      <c r="M11813" s="1"/>
      <c r="N11813" s="1"/>
      <c r="O11813" s="1"/>
      <c r="P11813" s="1"/>
      <c r="Q11813" s="1"/>
      <c r="R11813" s="1"/>
      <c r="S11813" s="1"/>
      <c r="T11813" s="1"/>
      <c r="U11813" s="1"/>
      <c r="V11813" s="1"/>
      <c r="W11813" s="1"/>
      <c r="X11813" s="1"/>
      <c r="Y11813" s="1"/>
      <c r="Z11813" s="1"/>
      <c r="AA11813" s="1"/>
      <c r="AB11813" s="1"/>
    </row>
    <row r="11814" ht="50.25" customHeight="1">
      <c r="A11814" s="12">
        <v>11810.0</v>
      </c>
      <c r="B11814" s="13" t="s">
        <v>11531</v>
      </c>
      <c r="C11814" s="14" t="s">
        <v>11655</v>
      </c>
      <c r="D11814" s="1"/>
      <c r="E11814" s="1"/>
      <c r="F11814" s="1" t="str">
        <f>IFERROR(__xludf.DUMMYFUNCTION("GOOGLETRANSLATE(B11814, ""en"", ""fa"")
"),"توسعه شخصی")</f>
        <v>توسعه شخصی</v>
      </c>
      <c r="G11814" s="1" t="str">
        <f>IFERROR(__xludf.DUMMYFUNCTION("GOOGLETRANSLATE(C11814, ""en"", ""fa"")
"),"نقش تاب آوری در رویارویی با چالش های زندگی و نجات از ناملایمات را در نظر بگیرید.")</f>
        <v>نقش تاب آوری در رویارویی با چالش های زندگی و نجات از ناملایمات را در نظر بگیرید.</v>
      </c>
      <c r="H11814" s="1"/>
      <c r="I11814" s="1"/>
      <c r="J11814" s="1"/>
      <c r="K11814" s="1"/>
      <c r="L11814" s="1"/>
      <c r="M11814" s="1"/>
      <c r="N11814" s="1"/>
      <c r="O11814" s="1"/>
      <c r="P11814" s="1"/>
      <c r="Q11814" s="1"/>
      <c r="R11814" s="1"/>
      <c r="S11814" s="1"/>
      <c r="T11814" s="1"/>
      <c r="U11814" s="1"/>
      <c r="V11814" s="1"/>
      <c r="W11814" s="1"/>
      <c r="X11814" s="1"/>
      <c r="Y11814" s="1"/>
      <c r="Z11814" s="1"/>
      <c r="AA11814" s="1"/>
      <c r="AB11814" s="1"/>
    </row>
    <row r="11815" ht="50.25" customHeight="1">
      <c r="A11815" s="12">
        <v>11811.0</v>
      </c>
      <c r="B11815" s="13" t="s">
        <v>11531</v>
      </c>
      <c r="C11815" s="14" t="s">
        <v>11656</v>
      </c>
      <c r="D11815" s="1"/>
      <c r="E11815" s="1"/>
      <c r="F11815" s="1" t="str">
        <f>IFERROR(__xludf.DUMMYFUNCTION("GOOGLETRANSLATE(B11815, ""en"", ""fa"")
"),"توسعه شخصی")</f>
        <v>توسعه شخصی</v>
      </c>
      <c r="G11815" s="1" t="str">
        <f>IFERROR(__xludf.DUMMYFUNCTION("GOOGLETRANSLATE(C11815, ""en"", ""fa"")
"),"زمینه هایی از رشد شخصی که شما را برانگیخته و برانگیخته می کند را شناسایی کنید و یک برنامه عملی برای پیگیری آنها ایجاد کنید.")</f>
        <v>زمینه هایی از رشد شخصی که شما را برانگیخته و برانگیخته می کند را شناسایی کنید و یک برنامه عملی برای پیگیری آنها ایجاد کنید.</v>
      </c>
      <c r="H11815" s="1"/>
      <c r="I11815" s="1"/>
      <c r="J11815" s="1"/>
      <c r="K11815" s="1"/>
      <c r="L11815" s="1"/>
      <c r="M11815" s="1"/>
      <c r="N11815" s="1"/>
      <c r="O11815" s="1"/>
      <c r="P11815" s="1"/>
      <c r="Q11815" s="1"/>
      <c r="R11815" s="1"/>
      <c r="S11815" s="1"/>
      <c r="T11815" s="1"/>
      <c r="U11815" s="1"/>
      <c r="V11815" s="1"/>
      <c r="W11815" s="1"/>
      <c r="X11815" s="1"/>
      <c r="Y11815" s="1"/>
      <c r="Z11815" s="1"/>
      <c r="AA11815" s="1"/>
      <c r="AB11815" s="1"/>
    </row>
    <row r="11816" ht="50.25" customHeight="1">
      <c r="A11816" s="12">
        <v>11812.0</v>
      </c>
      <c r="B11816" s="13" t="s">
        <v>11531</v>
      </c>
      <c r="C11816" s="14" t="s">
        <v>11657</v>
      </c>
      <c r="D11816" s="1"/>
      <c r="E11816" s="1"/>
      <c r="F11816" s="1" t="str">
        <f>IFERROR(__xludf.DUMMYFUNCTION("GOOGLETRANSLATE(B11816, ""en"", ""fa"")
"),"توسعه شخصی")</f>
        <v>توسعه شخصی</v>
      </c>
      <c r="G11816" s="1" t="str">
        <f>IFERROR(__xludf.DUMMYFUNCTION("GOOGLETRANSLATE(C11816, ""en"", ""fa"")
"),"خوردن ذهن آگاهی را تمرین کنید تا طعم ها را بچشید و نسبت به انتخاب های غذایی خود آگاه تر باشید.")</f>
        <v>خوردن ذهن آگاهی را تمرین کنید تا طعم ها را بچشید و نسبت به انتخاب های غذایی خود آگاه تر باشید.</v>
      </c>
      <c r="H11816" s="1"/>
      <c r="I11816" s="1"/>
      <c r="J11816" s="1"/>
      <c r="K11816" s="1"/>
      <c r="L11816" s="1"/>
      <c r="M11816" s="1"/>
      <c r="N11816" s="1"/>
      <c r="O11816" s="1"/>
      <c r="P11816" s="1"/>
      <c r="Q11816" s="1"/>
      <c r="R11816" s="1"/>
      <c r="S11816" s="1"/>
      <c r="T11816" s="1"/>
      <c r="U11816" s="1"/>
      <c r="V11816" s="1"/>
      <c r="W11816" s="1"/>
      <c r="X11816" s="1"/>
      <c r="Y11816" s="1"/>
      <c r="Z11816" s="1"/>
      <c r="AA11816" s="1"/>
      <c r="AB11816" s="1"/>
    </row>
    <row r="11817" ht="50.25" customHeight="1">
      <c r="A11817" s="12">
        <v>11813.0</v>
      </c>
      <c r="B11817" s="13" t="s">
        <v>11531</v>
      </c>
      <c r="C11817" s="14" t="s">
        <v>11658</v>
      </c>
      <c r="D11817" s="1"/>
      <c r="E11817" s="1"/>
      <c r="F11817" s="1" t="str">
        <f>IFERROR(__xludf.DUMMYFUNCTION("GOOGLETRANSLATE(B11817, ""en"", ""fa"")
"),"توسعه شخصی")</f>
        <v>توسعه شخصی</v>
      </c>
      <c r="G11817" s="1" t="str">
        <f>IFERROR(__xludf.DUMMYFUNCTION("GOOGLETRANSLATE(C11817, ""en"", ""fa"")
"),"به نقاط قوت و ضعف خود به عنوان یک رهبر فکر کنید و راه هایی را برای تقویت مهارت های رهبری خود جستجو کنید.")</f>
        <v>به نقاط قوت و ضعف خود به عنوان یک رهبر فکر کنید و راه هایی را برای تقویت مهارت های رهبری خود جستجو کنید.</v>
      </c>
      <c r="H11817" s="1"/>
      <c r="I11817" s="1"/>
      <c r="J11817" s="1"/>
      <c r="K11817" s="1"/>
      <c r="L11817" s="1"/>
      <c r="M11817" s="1"/>
      <c r="N11817" s="1"/>
      <c r="O11817" s="1"/>
      <c r="P11817" s="1"/>
      <c r="Q11817" s="1"/>
      <c r="R11817" s="1"/>
      <c r="S11817" s="1"/>
      <c r="T11817" s="1"/>
      <c r="U11817" s="1"/>
      <c r="V11817" s="1"/>
      <c r="W11817" s="1"/>
      <c r="X11817" s="1"/>
      <c r="Y11817" s="1"/>
      <c r="Z11817" s="1"/>
      <c r="AA11817" s="1"/>
      <c r="AB11817" s="1"/>
    </row>
    <row r="11818" ht="50.25" customHeight="1">
      <c r="A11818" s="12">
        <v>11814.0</v>
      </c>
      <c r="B11818" s="13" t="s">
        <v>11531</v>
      </c>
      <c r="C11818" s="14" t="s">
        <v>11659</v>
      </c>
      <c r="D11818" s="1"/>
      <c r="E11818" s="1"/>
      <c r="F11818" s="1" t="str">
        <f>IFERROR(__xludf.DUMMYFUNCTION("GOOGLETRANSLATE(B11818, ""en"", ""fa"")
"),"توسعه شخصی")</f>
        <v>توسعه شخصی</v>
      </c>
      <c r="G11818" s="1" t="str">
        <f>IFERROR(__xludf.DUMMYFUNCTION("GOOGLETRANSLATE(C11818, ""en"", ""fa"")
"),"زمانی را برای تأمل و مدیتیشن روزانه اختصاص دهید تا به وضوح و دیدگاهی در مسیر زندگی خود دست پیدا کنید.")</f>
        <v>زمانی را برای تأمل و مدیتیشن روزانه اختصاص دهید تا به وضوح و دیدگاهی در مسیر زندگی خود دست پیدا کنید.</v>
      </c>
      <c r="H11818" s="1"/>
      <c r="I11818" s="1"/>
      <c r="J11818" s="1"/>
      <c r="K11818" s="1"/>
      <c r="L11818" s="1"/>
      <c r="M11818" s="1"/>
      <c r="N11818" s="1"/>
      <c r="O11818" s="1"/>
      <c r="P11818" s="1"/>
      <c r="Q11818" s="1"/>
      <c r="R11818" s="1"/>
      <c r="S11818" s="1"/>
      <c r="T11818" s="1"/>
      <c r="U11818" s="1"/>
      <c r="V11818" s="1"/>
      <c r="W11818" s="1"/>
      <c r="X11818" s="1"/>
      <c r="Y11818" s="1"/>
      <c r="Z11818" s="1"/>
      <c r="AA11818" s="1"/>
      <c r="AB11818" s="1"/>
    </row>
    <row r="11819" ht="50.25" customHeight="1">
      <c r="A11819" s="12">
        <v>11815.0</v>
      </c>
      <c r="B11819" s="13" t="s">
        <v>11531</v>
      </c>
      <c r="C11819" s="14" t="s">
        <v>11660</v>
      </c>
      <c r="D11819" s="1"/>
      <c r="E11819" s="1"/>
      <c r="F11819" s="1" t="str">
        <f>IFERROR(__xludf.DUMMYFUNCTION("GOOGLETRANSLATE(B11819, ""en"", ""fa"")
"),"توسعه شخصی")</f>
        <v>توسعه شخصی</v>
      </c>
      <c r="G11819" s="1" t="str">
        <f>IFERROR(__xludf.DUMMYFUNCTION("GOOGLETRANSLATE(C11819, ""en"", ""fa"")
"),"استراتژی های مختلف برای مدیریت تعارض و بهبود مهارت های حل تعارض خود را بررسی کنید.")</f>
        <v>استراتژی های مختلف برای مدیریت تعارض و بهبود مهارت های حل تعارض خود را بررسی کنید.</v>
      </c>
      <c r="H11819" s="1"/>
      <c r="I11819" s="1"/>
      <c r="J11819" s="1"/>
      <c r="K11819" s="1"/>
      <c r="L11819" s="1"/>
      <c r="M11819" s="1"/>
      <c r="N11819" s="1"/>
      <c r="O11819" s="1"/>
      <c r="P11819" s="1"/>
      <c r="Q11819" s="1"/>
      <c r="R11819" s="1"/>
      <c r="S11819" s="1"/>
      <c r="T11819" s="1"/>
      <c r="U11819" s="1"/>
      <c r="V11819" s="1"/>
      <c r="W11819" s="1"/>
      <c r="X11819" s="1"/>
      <c r="Y11819" s="1"/>
      <c r="Z11819" s="1"/>
      <c r="AA11819" s="1"/>
      <c r="AB11819" s="1"/>
    </row>
    <row r="11820" ht="50.25" customHeight="1">
      <c r="A11820" s="12">
        <v>11816.0</v>
      </c>
      <c r="B11820" s="13" t="s">
        <v>11531</v>
      </c>
      <c r="C11820" s="14" t="s">
        <v>11661</v>
      </c>
      <c r="D11820" s="1"/>
      <c r="E11820" s="1"/>
      <c r="F11820" s="1" t="str">
        <f>IFERROR(__xludf.DUMMYFUNCTION("GOOGLETRANSLATE(B11820, ""en"", ""fa"")
"),"توسعه شخصی")</f>
        <v>توسعه شخصی</v>
      </c>
      <c r="G11820" s="1" t="str">
        <f>IFERROR(__xludf.DUMMYFUNCTION("GOOGLETRANSLATE(C11820, ""en"", ""fa"")
"),"در مورد اهمیت شفقت به خود فکر کنید و با همان مهربانی که به دیگران می کنید با خود رفتار کنید.")</f>
        <v>در مورد اهمیت شفقت به خود فکر کنید و با همان مهربانی که به دیگران می کنید با خود رفتار کنید.</v>
      </c>
      <c r="H11820" s="1"/>
      <c r="I11820" s="1"/>
      <c r="J11820" s="1"/>
      <c r="K11820" s="1"/>
      <c r="L11820" s="1"/>
      <c r="M11820" s="1"/>
      <c r="N11820" s="1"/>
      <c r="O11820" s="1"/>
      <c r="P11820" s="1"/>
      <c r="Q11820" s="1"/>
      <c r="R11820" s="1"/>
      <c r="S11820" s="1"/>
      <c r="T11820" s="1"/>
      <c r="U11820" s="1"/>
      <c r="V11820" s="1"/>
      <c r="W11820" s="1"/>
      <c r="X11820" s="1"/>
      <c r="Y11820" s="1"/>
      <c r="Z11820" s="1"/>
      <c r="AA11820" s="1"/>
      <c r="AB11820" s="1"/>
    </row>
    <row r="11821" ht="50.25" customHeight="1">
      <c r="A11821" s="12">
        <v>11817.0</v>
      </c>
      <c r="B11821" s="13" t="s">
        <v>11531</v>
      </c>
      <c r="C11821" s="14" t="s">
        <v>11662</v>
      </c>
      <c r="D11821" s="1"/>
      <c r="E11821" s="1"/>
      <c r="F11821" s="1" t="str">
        <f>IFERROR(__xludf.DUMMYFUNCTION("GOOGLETRANSLATE(B11821, ""en"", ""fa"")
"),"توسعه شخصی")</f>
        <v>توسعه شخصی</v>
      </c>
      <c r="G11821" s="1" t="str">
        <f>IFERROR(__xludf.DUMMYFUNCTION("GOOGLETRANSLATE(C11821, ""en"", ""fa"")
"),"برای ایجاد یک زندگی متعادل تر و متمرکز با فناوری و رسانه های اجتماعی حد و مرزی تعیین کنید.")</f>
        <v>برای ایجاد یک زندگی متعادل تر و متمرکز با فناوری و رسانه های اجتماعی حد و مرزی تعیین کنید.</v>
      </c>
      <c r="H11821" s="1"/>
      <c r="I11821" s="1"/>
      <c r="J11821" s="1"/>
      <c r="K11821" s="1"/>
      <c r="L11821" s="1"/>
      <c r="M11821" s="1"/>
      <c r="N11821" s="1"/>
      <c r="O11821" s="1"/>
      <c r="P11821" s="1"/>
      <c r="Q11821" s="1"/>
      <c r="R11821" s="1"/>
      <c r="S11821" s="1"/>
      <c r="T11821" s="1"/>
      <c r="U11821" s="1"/>
      <c r="V11821" s="1"/>
      <c r="W11821" s="1"/>
      <c r="X11821" s="1"/>
      <c r="Y11821" s="1"/>
      <c r="Z11821" s="1"/>
      <c r="AA11821" s="1"/>
      <c r="AB11821" s="1"/>
    </row>
    <row r="11822" ht="50.25" customHeight="1">
      <c r="A11822" s="12">
        <v>11818.0</v>
      </c>
      <c r="B11822" s="13" t="s">
        <v>11531</v>
      </c>
      <c r="C11822" s="14" t="s">
        <v>11663</v>
      </c>
      <c r="D11822" s="1"/>
      <c r="E11822" s="1"/>
      <c r="F11822" s="1" t="str">
        <f>IFERROR(__xludf.DUMMYFUNCTION("GOOGLETRANSLATE(B11822, ""en"", ""fa"")
"),"توسعه شخصی")</f>
        <v>توسعه شخصی</v>
      </c>
      <c r="G11822" s="1" t="str">
        <f>IFERROR(__xludf.DUMMYFUNCTION("GOOGLETRANSLATE(C11822, ""en"", ""fa"")
"),"هر گونه رفتار یا عادت خود خرابکارانه را شناسایی کنید و برای رهایی از آنها تلاش کنید.")</f>
        <v>هر گونه رفتار یا عادت خود خرابکارانه را شناسایی کنید و برای رهایی از آنها تلاش کنید.</v>
      </c>
      <c r="H11822" s="1"/>
      <c r="I11822" s="1"/>
      <c r="J11822" s="1"/>
      <c r="K11822" s="1"/>
      <c r="L11822" s="1"/>
      <c r="M11822" s="1"/>
      <c r="N11822" s="1"/>
      <c r="O11822" s="1"/>
      <c r="P11822" s="1"/>
      <c r="Q11822" s="1"/>
      <c r="R11822" s="1"/>
      <c r="S11822" s="1"/>
      <c r="T11822" s="1"/>
      <c r="U11822" s="1"/>
      <c r="V11822" s="1"/>
      <c r="W11822" s="1"/>
      <c r="X11822" s="1"/>
      <c r="Y11822" s="1"/>
      <c r="Z11822" s="1"/>
      <c r="AA11822" s="1"/>
      <c r="AB11822" s="1"/>
    </row>
    <row r="11823" ht="50.25" customHeight="1">
      <c r="A11823" s="12">
        <v>11819.0</v>
      </c>
      <c r="B11823" s="13" t="s">
        <v>11531</v>
      </c>
      <c r="C11823" s="14" t="s">
        <v>11664</v>
      </c>
      <c r="D11823" s="1"/>
      <c r="E11823" s="1"/>
      <c r="F11823" s="1" t="str">
        <f>IFERROR(__xludf.DUMMYFUNCTION("GOOGLETRANSLATE(B11823, ""en"", ""fa"")
"),"توسعه شخصی")</f>
        <v>توسعه شخصی</v>
      </c>
      <c r="G11823" s="1" t="str">
        <f>IFERROR(__xludf.DUMMYFUNCTION("GOOGLETRANSLATE(C11823, ""en"", ""fa"")
"),"تمرینات تنفس عمیق را برای کاهش استرس و پرورش حس آرامش و آرامش انجام دهید.")</f>
        <v>تمرینات تنفس عمیق را برای کاهش استرس و پرورش حس آرامش و آرامش انجام دهید.</v>
      </c>
      <c r="H11823" s="1"/>
      <c r="I11823" s="1"/>
      <c r="J11823" s="1"/>
      <c r="K11823" s="1"/>
      <c r="L11823" s="1"/>
      <c r="M11823" s="1"/>
      <c r="N11823" s="1"/>
      <c r="O11823" s="1"/>
      <c r="P11823" s="1"/>
      <c r="Q11823" s="1"/>
      <c r="R11823" s="1"/>
      <c r="S11823" s="1"/>
      <c r="T11823" s="1"/>
      <c r="U11823" s="1"/>
      <c r="V11823" s="1"/>
      <c r="W11823" s="1"/>
      <c r="X11823" s="1"/>
      <c r="Y11823" s="1"/>
      <c r="Z11823" s="1"/>
      <c r="AA11823" s="1"/>
      <c r="AB11823" s="1"/>
    </row>
    <row r="11824" ht="50.25" customHeight="1">
      <c r="A11824" s="12">
        <v>11820.0</v>
      </c>
      <c r="B11824" s="13" t="s">
        <v>11531</v>
      </c>
      <c r="C11824" s="14" t="s">
        <v>11665</v>
      </c>
      <c r="D11824" s="1"/>
      <c r="E11824" s="1"/>
      <c r="F11824" s="1" t="str">
        <f>IFERROR(__xludf.DUMMYFUNCTION("GOOGLETRANSLATE(B11824, ""en"", ""fa"")
"),"توسعه شخصی")</f>
        <v>توسعه شخصی</v>
      </c>
      <c r="G11824" s="1" t="str">
        <f>IFERROR(__xludf.DUMMYFUNCTION("GOOGLETRANSLATE(C11824, ""en"", ""fa"")
"),"به قدرت تفکر مثبت و تأثیر آن بر رفاه کلی خود فکر کنید.")</f>
        <v>به قدرت تفکر مثبت و تأثیر آن بر رفاه کلی خود فکر کنید.</v>
      </c>
      <c r="H11824" s="1"/>
      <c r="I11824" s="1"/>
      <c r="J11824" s="1"/>
      <c r="K11824" s="1"/>
      <c r="L11824" s="1"/>
      <c r="M11824" s="1"/>
      <c r="N11824" s="1"/>
      <c r="O11824" s="1"/>
      <c r="P11824" s="1"/>
      <c r="Q11824" s="1"/>
      <c r="R11824" s="1"/>
      <c r="S11824" s="1"/>
      <c r="T11824" s="1"/>
      <c r="U11824" s="1"/>
      <c r="V11824" s="1"/>
      <c r="W11824" s="1"/>
      <c r="X11824" s="1"/>
      <c r="Y11824" s="1"/>
      <c r="Z11824" s="1"/>
      <c r="AA11824" s="1"/>
      <c r="AB11824" s="1"/>
    </row>
    <row r="11825" ht="50.25" customHeight="1">
      <c r="A11825" s="12">
        <v>11821.0</v>
      </c>
      <c r="B11825" s="13" t="s">
        <v>11531</v>
      </c>
      <c r="C11825" s="14" t="s">
        <v>11666</v>
      </c>
      <c r="D11825" s="1"/>
      <c r="E11825" s="1"/>
      <c r="F11825" s="1" t="str">
        <f>IFERROR(__xludf.DUMMYFUNCTION("GOOGLETRANSLATE(B11825, ""en"", ""fa"")
"),"توسعه شخصی")</f>
        <v>توسعه شخصی</v>
      </c>
      <c r="G11825" s="1" t="str">
        <f>IFERROR(__xludf.DUMMYFUNCTION("GOOGLETRANSLATE(C11825, ""en"", ""fa"")
"),"برای حفظ هماهنگی بین کار و زندگی، در زمان شخصی مرزهای خاصی را با وظایف مربوط به کار تعیین کنید.")</f>
        <v>برای حفظ هماهنگی بین کار و زندگی، در زمان شخصی مرزهای خاصی را با وظایف مربوط به کار تعیین کنید.</v>
      </c>
      <c r="H11825" s="1"/>
      <c r="I11825" s="1"/>
      <c r="J11825" s="1"/>
      <c r="K11825" s="1"/>
      <c r="L11825" s="1"/>
      <c r="M11825" s="1"/>
      <c r="N11825" s="1"/>
      <c r="O11825" s="1"/>
      <c r="P11825" s="1"/>
      <c r="Q11825" s="1"/>
      <c r="R11825" s="1"/>
      <c r="S11825" s="1"/>
      <c r="T11825" s="1"/>
      <c r="U11825" s="1"/>
      <c r="V11825" s="1"/>
      <c r="W11825" s="1"/>
      <c r="X11825" s="1"/>
      <c r="Y11825" s="1"/>
      <c r="Z11825" s="1"/>
      <c r="AA11825" s="1"/>
      <c r="AB11825" s="1"/>
    </row>
    <row r="11826" ht="50.25" customHeight="1">
      <c r="A11826" s="12">
        <v>11822.0</v>
      </c>
      <c r="B11826" s="13" t="s">
        <v>11531</v>
      </c>
      <c r="C11826" s="14" t="s">
        <v>11667</v>
      </c>
      <c r="D11826" s="1"/>
      <c r="E11826" s="1"/>
      <c r="F11826" s="1" t="str">
        <f>IFERROR(__xludf.DUMMYFUNCTION("GOOGLETRANSLATE(B11826, ""en"", ""fa"")
"),"توسعه شخصی")</f>
        <v>توسعه شخصی</v>
      </c>
      <c r="G11826" s="1" t="str">
        <f>IFERROR(__xludf.DUMMYFUNCTION("GOOGLETRANSLATE(C11826, ""en"", ""fa"")
"),"روش های مختلف مدیتیشن را کاوش کنید و روشی را بیابید که بهترین طنین انداز را با شما دارد.")</f>
        <v>روش های مختلف مدیتیشن را کاوش کنید و روشی را بیابید که بهترین طنین انداز را با شما دارد.</v>
      </c>
      <c r="H11826" s="1"/>
      <c r="I11826" s="1"/>
      <c r="J11826" s="1"/>
      <c r="K11826" s="1"/>
      <c r="L11826" s="1"/>
      <c r="M11826" s="1"/>
      <c r="N11826" s="1"/>
      <c r="O11826" s="1"/>
      <c r="P11826" s="1"/>
      <c r="Q11826" s="1"/>
      <c r="R11826" s="1"/>
      <c r="S11826" s="1"/>
      <c r="T11826" s="1"/>
      <c r="U11826" s="1"/>
      <c r="V11826" s="1"/>
      <c r="W11826" s="1"/>
      <c r="X11826" s="1"/>
      <c r="Y11826" s="1"/>
      <c r="Z11826" s="1"/>
      <c r="AA11826" s="1"/>
      <c r="AB11826" s="1"/>
    </row>
    <row r="11827" ht="50.25" customHeight="1">
      <c r="A11827" s="12">
        <v>11823.0</v>
      </c>
      <c r="B11827" s="13" t="s">
        <v>11531</v>
      </c>
      <c r="C11827" s="14" t="s">
        <v>11668</v>
      </c>
      <c r="D11827" s="1"/>
      <c r="E11827" s="1"/>
      <c r="F11827" s="1" t="str">
        <f>IFERROR(__xludf.DUMMYFUNCTION("GOOGLETRANSLATE(B11827, ""en"", ""fa"")
"),"توسعه شخصی")</f>
        <v>توسعه شخصی</v>
      </c>
      <c r="G11827" s="1" t="str">
        <f>IFERROR(__xludf.DUMMYFUNCTION("GOOGLETRANSLATE(C11827, ""en"", ""fa"")
"),"به دستاوردها و چالش های گذشته خود فکر کنید و درس های ارزشمندی را که آموخته اید در نظر بگیرید.")</f>
        <v>به دستاوردها و چالش های گذشته خود فکر کنید و درس های ارزشمندی را که آموخته اید در نظر بگیرید.</v>
      </c>
      <c r="H11827" s="1"/>
      <c r="I11827" s="1"/>
      <c r="J11827" s="1"/>
      <c r="K11827" s="1"/>
      <c r="L11827" s="1"/>
      <c r="M11827" s="1"/>
      <c r="N11827" s="1"/>
      <c r="O11827" s="1"/>
      <c r="P11827" s="1"/>
      <c r="Q11827" s="1"/>
      <c r="R11827" s="1"/>
      <c r="S11827" s="1"/>
      <c r="T11827" s="1"/>
      <c r="U11827" s="1"/>
      <c r="V11827" s="1"/>
      <c r="W11827" s="1"/>
      <c r="X11827" s="1"/>
      <c r="Y11827" s="1"/>
      <c r="Z11827" s="1"/>
      <c r="AA11827" s="1"/>
      <c r="AB11827" s="1"/>
    </row>
    <row r="11828" ht="50.25" customHeight="1">
      <c r="A11828" s="12">
        <v>11824.0</v>
      </c>
      <c r="B11828" s="13" t="s">
        <v>11531</v>
      </c>
      <c r="C11828" s="14" t="s">
        <v>11669</v>
      </c>
      <c r="D11828" s="1"/>
      <c r="E11828" s="1"/>
      <c r="F11828" s="1" t="str">
        <f>IFERROR(__xludf.DUMMYFUNCTION("GOOGLETRANSLATE(B11828, ""en"", ""fa"")
"),"توسعه شخصی")</f>
        <v>توسعه شخصی</v>
      </c>
      <c r="G11828" s="1" t="str">
        <f>IFERROR(__xludf.DUMMYFUNCTION("GOOGLETRANSLATE(C11828, ""en"", ""fa"")
"),"ارزش های اصلی خود را شناسایی کنید و اقدامات و تصمیمات خود را برای تحقق بیشتر با آنها هماهنگ کنید.")</f>
        <v>ارزش های اصلی خود را شناسایی کنید و اقدامات و تصمیمات خود را برای تحقق بیشتر با آنها هماهنگ کنید.</v>
      </c>
      <c r="H11828" s="1"/>
      <c r="I11828" s="1"/>
      <c r="J11828" s="1"/>
      <c r="K11828" s="1"/>
      <c r="L11828" s="1"/>
      <c r="M11828" s="1"/>
      <c r="N11828" s="1"/>
      <c r="O11828" s="1"/>
      <c r="P11828" s="1"/>
      <c r="Q11828" s="1"/>
      <c r="R11828" s="1"/>
      <c r="S11828" s="1"/>
      <c r="T11828" s="1"/>
      <c r="U11828" s="1"/>
      <c r="V11828" s="1"/>
      <c r="W11828" s="1"/>
      <c r="X11828" s="1"/>
      <c r="Y11828" s="1"/>
      <c r="Z11828" s="1"/>
      <c r="AA11828" s="1"/>
      <c r="AB11828" s="1"/>
    </row>
    <row r="11829" ht="50.25" customHeight="1">
      <c r="A11829" s="12">
        <v>11825.0</v>
      </c>
      <c r="B11829" s="13" t="s">
        <v>11531</v>
      </c>
      <c r="C11829" s="14" t="s">
        <v>11670</v>
      </c>
      <c r="D11829" s="1"/>
      <c r="E11829" s="1"/>
      <c r="F11829" s="1" t="str">
        <f>IFERROR(__xludf.DUMMYFUNCTION("GOOGLETRANSLATE(B11829, ""en"", ""fa"")
"),"توسعه شخصی")</f>
        <v>توسعه شخصی</v>
      </c>
      <c r="G11829" s="1" t="str">
        <f>IFERROR(__xludf.DUMMYFUNCTION("GOOGLETRANSLATE(C11829, ""en"", ""fa"")
"),"قدردانی و قدردانی را برای چیزهای کوچکی که شادی و خوشبختی را به زندگی شما می آورد، تمرین کنید.")</f>
        <v>قدردانی و قدردانی را برای چیزهای کوچکی که شادی و خوشبختی را به زندگی شما می آورد، تمرین کنید.</v>
      </c>
      <c r="H11829" s="1"/>
      <c r="I11829" s="1"/>
      <c r="J11829" s="1"/>
      <c r="K11829" s="1"/>
      <c r="L11829" s="1"/>
      <c r="M11829" s="1"/>
      <c r="N11829" s="1"/>
      <c r="O11829" s="1"/>
      <c r="P11829" s="1"/>
      <c r="Q11829" s="1"/>
      <c r="R11829" s="1"/>
      <c r="S11829" s="1"/>
      <c r="T11829" s="1"/>
      <c r="U11829" s="1"/>
      <c r="V11829" s="1"/>
      <c r="W11829" s="1"/>
      <c r="X11829" s="1"/>
      <c r="Y11829" s="1"/>
      <c r="Z11829" s="1"/>
      <c r="AA11829" s="1"/>
      <c r="AB11829" s="1"/>
    </row>
    <row r="11830" ht="50.25" customHeight="1">
      <c r="A11830" s="12">
        <v>11826.0</v>
      </c>
      <c r="B11830" s="13" t="s">
        <v>11531</v>
      </c>
      <c r="C11830" s="14" t="s">
        <v>11671</v>
      </c>
      <c r="D11830" s="1"/>
      <c r="E11830" s="1"/>
      <c r="F11830" s="1" t="str">
        <f>IFERROR(__xludf.DUMMYFUNCTION("GOOGLETRANSLATE(B11830, ""en"", ""fa"")
"),"توسعه شخصی")</f>
        <v>توسعه شخصی</v>
      </c>
      <c r="G11830" s="1" t="str">
        <f>IFERROR(__xludf.DUMMYFUNCTION("GOOGLETRANSLATE(C11830, ""en"", ""fa"")
"),"برای خود و دیگران انتظارات واقع بینانه داشته باشید و به جای کمال، بر پیشرفت تمرکز کنید.")</f>
        <v>برای خود و دیگران انتظارات واقع بینانه داشته باشید و به جای کمال، بر پیشرفت تمرکز کنید.</v>
      </c>
      <c r="H11830" s="1"/>
      <c r="I11830" s="1"/>
      <c r="J11830" s="1"/>
      <c r="K11830" s="1"/>
      <c r="L11830" s="1"/>
      <c r="M11830" s="1"/>
      <c r="N11830" s="1"/>
      <c r="O11830" s="1"/>
      <c r="P11830" s="1"/>
      <c r="Q11830" s="1"/>
      <c r="R11830" s="1"/>
      <c r="S11830" s="1"/>
      <c r="T11830" s="1"/>
      <c r="U11830" s="1"/>
      <c r="V11830" s="1"/>
      <c r="W11830" s="1"/>
      <c r="X11830" s="1"/>
      <c r="Y11830" s="1"/>
      <c r="Z11830" s="1"/>
      <c r="AA11830" s="1"/>
      <c r="AB11830" s="1"/>
    </row>
    <row r="11831" ht="50.25" customHeight="1">
      <c r="A11831" s="12">
        <v>11827.0</v>
      </c>
      <c r="B11831" s="13" t="s">
        <v>11531</v>
      </c>
      <c r="C11831" s="14" t="s">
        <v>11672</v>
      </c>
      <c r="D11831" s="1"/>
      <c r="E11831" s="1"/>
      <c r="F11831" s="1" t="str">
        <f>IFERROR(__xludf.DUMMYFUNCTION("GOOGLETRANSLATE(B11831, ""en"", ""fa"")
"),"توسعه شخصی")</f>
        <v>توسعه شخصی</v>
      </c>
      <c r="G11831" s="1" t="str">
        <f>IFERROR(__xludf.DUMMYFUNCTION("GOOGLETRANSLATE(C11831, ""en"", ""fa"")
"),"راه های مختلف برای پرورش خلاقیت و نوآوری در زندگی شخصی و حرفه ای خود را بررسی کنید.")</f>
        <v>راه های مختلف برای پرورش خلاقیت و نوآوری در زندگی شخصی و حرفه ای خود را بررسی کنید.</v>
      </c>
      <c r="H11831" s="1"/>
      <c r="I11831" s="1"/>
      <c r="J11831" s="1"/>
      <c r="K11831" s="1"/>
      <c r="L11831" s="1"/>
      <c r="M11831" s="1"/>
      <c r="N11831" s="1"/>
      <c r="O11831" s="1"/>
      <c r="P11831" s="1"/>
      <c r="Q11831" s="1"/>
      <c r="R11831" s="1"/>
      <c r="S11831" s="1"/>
      <c r="T11831" s="1"/>
      <c r="U11831" s="1"/>
      <c r="V11831" s="1"/>
      <c r="W11831" s="1"/>
      <c r="X11831" s="1"/>
      <c r="Y11831" s="1"/>
      <c r="Z11831" s="1"/>
      <c r="AA11831" s="1"/>
      <c r="AB11831" s="1"/>
    </row>
    <row r="11832" ht="50.25" customHeight="1">
      <c r="A11832" s="12">
        <v>11828.0</v>
      </c>
      <c r="B11832" s="13" t="s">
        <v>11531</v>
      </c>
      <c r="C11832" s="14" t="s">
        <v>11673</v>
      </c>
      <c r="D11832" s="1"/>
      <c r="E11832" s="1"/>
      <c r="F11832" s="1" t="str">
        <f>IFERROR(__xludf.DUMMYFUNCTION("GOOGLETRANSLATE(B11832, ""en"", ""fa"")
"),"توسعه شخصی")</f>
        <v>توسعه شخصی</v>
      </c>
      <c r="G11832" s="1" t="str">
        <f>IFERROR(__xludf.DUMMYFUNCTION("GOOGLETRANSLATE(C11832, ""en"", ""fa"")
"),"به ترس ها و ناامنی های خود فکر کنید و روی ایجاد اعتماد به نفس و خودباوری کار کنید.")</f>
        <v>به ترس ها و ناامنی های خود فکر کنید و روی ایجاد اعتماد به نفس و خودباوری کار کنید.</v>
      </c>
      <c r="H11832" s="1"/>
      <c r="I11832" s="1"/>
      <c r="J11832" s="1"/>
      <c r="K11832" s="1"/>
      <c r="L11832" s="1"/>
      <c r="M11832" s="1"/>
      <c r="N11832" s="1"/>
      <c r="O11832" s="1"/>
      <c r="P11832" s="1"/>
      <c r="Q11832" s="1"/>
      <c r="R11832" s="1"/>
      <c r="S11832" s="1"/>
      <c r="T11832" s="1"/>
      <c r="U11832" s="1"/>
      <c r="V11832" s="1"/>
      <c r="W11832" s="1"/>
      <c r="X11832" s="1"/>
      <c r="Y11832" s="1"/>
      <c r="Z11832" s="1"/>
      <c r="AA11832" s="1"/>
      <c r="AB11832" s="1"/>
    </row>
    <row r="11833" ht="50.25" customHeight="1">
      <c r="A11833" s="12">
        <v>11829.0</v>
      </c>
      <c r="B11833" s="13" t="s">
        <v>11531</v>
      </c>
      <c r="C11833" s="14" t="s">
        <v>11674</v>
      </c>
      <c r="D11833" s="1"/>
      <c r="E11833" s="1"/>
      <c r="F11833" s="1" t="str">
        <f>IFERROR(__xludf.DUMMYFUNCTION("GOOGLETRANSLATE(B11833, ""en"", ""fa"")
"),"توسعه شخصی")</f>
        <v>توسعه شخصی</v>
      </c>
      <c r="G11833" s="1" t="str">
        <f>IFERROR(__xludf.DUMMYFUNCTION("GOOGLETRANSLATE(C11833, ""en"", ""fa"")
"),"مناطقی از زندگی خود را که در آن به دنبال تأیید خارجی هستید، شناسایی کنید و روی پرورش تأیید خود کار کنید.")</f>
        <v>مناطقی از زندگی خود را که در آن به دنبال تأیید خارجی هستید، شناسایی کنید و روی پرورش تأیید خود کار کنید.</v>
      </c>
      <c r="H11833" s="1"/>
      <c r="I11833" s="1"/>
      <c r="J11833" s="1"/>
      <c r="K11833" s="1"/>
      <c r="L11833" s="1"/>
      <c r="M11833" s="1"/>
      <c r="N11833" s="1"/>
      <c r="O11833" s="1"/>
      <c r="P11833" s="1"/>
      <c r="Q11833" s="1"/>
      <c r="R11833" s="1"/>
      <c r="S11833" s="1"/>
      <c r="T11833" s="1"/>
      <c r="U11833" s="1"/>
      <c r="V11833" s="1"/>
      <c r="W11833" s="1"/>
      <c r="X11833" s="1"/>
      <c r="Y11833" s="1"/>
      <c r="Z11833" s="1"/>
      <c r="AA11833" s="1"/>
      <c r="AB11833" s="1"/>
    </row>
    <row r="11834" ht="50.25" customHeight="1">
      <c r="A11834" s="12">
        <v>11830.0</v>
      </c>
      <c r="B11834" s="13" t="s">
        <v>11531</v>
      </c>
      <c r="C11834" s="14" t="s">
        <v>11675</v>
      </c>
      <c r="D11834" s="1"/>
      <c r="E11834" s="1"/>
      <c r="F11834" s="1" t="str">
        <f>IFERROR(__xludf.DUMMYFUNCTION("GOOGLETRANSLATE(B11834, ""en"", ""fa"")
"),"توسعه شخصی")</f>
        <v>توسعه شخصی</v>
      </c>
      <c r="G11834" s="1" t="str">
        <f>IFERROR(__xludf.DUMMYFUNCTION("GOOGLETRANSLATE(C11834, ""en"", ""fa"")
"),"تکنیک های تجسم را تمرین کنید تا اهداف و آرزوهای خود را به واقعیت تبدیل کنید.")</f>
        <v>تکنیک های تجسم را تمرین کنید تا اهداف و آرزوهای خود را به واقعیت تبدیل کنید.</v>
      </c>
      <c r="H11834" s="1"/>
      <c r="I11834" s="1"/>
      <c r="J11834" s="1"/>
      <c r="K11834" s="1"/>
      <c r="L11834" s="1"/>
      <c r="M11834" s="1"/>
      <c r="N11834" s="1"/>
      <c r="O11834" s="1"/>
      <c r="P11834" s="1"/>
      <c r="Q11834" s="1"/>
      <c r="R11834" s="1"/>
      <c r="S11834" s="1"/>
      <c r="T11834" s="1"/>
      <c r="U11834" s="1"/>
      <c r="V11834" s="1"/>
      <c r="W11834" s="1"/>
      <c r="X11834" s="1"/>
      <c r="Y11834" s="1"/>
      <c r="Z11834" s="1"/>
      <c r="AA11834" s="1"/>
      <c r="AB11834" s="1"/>
    </row>
    <row r="11835" ht="50.25" customHeight="1">
      <c r="A11835" s="12">
        <v>11831.0</v>
      </c>
      <c r="B11835" s="13" t="s">
        <v>11531</v>
      </c>
      <c r="C11835" s="14" t="s">
        <v>11676</v>
      </c>
      <c r="D11835" s="1"/>
      <c r="E11835" s="1"/>
      <c r="F11835" s="1" t="str">
        <f>IFERROR(__xludf.DUMMYFUNCTION("GOOGLETRANSLATE(B11835, ""en"", ""fa"")
"),"توسعه شخصی")</f>
        <v>توسعه شخصی</v>
      </c>
      <c r="G11835" s="1" t="str">
        <f>IFERROR(__xludf.DUMMYFUNCTION("GOOGLETRANSLATE(C11835, ""en"", ""fa"")
"),"راه های مختلف برای تمرین شفقت به خود را کاوش کنید و در مواقع سخت با خود مهربان تر باشید.")</f>
        <v>راه های مختلف برای تمرین شفقت به خود را کاوش کنید و در مواقع سخت با خود مهربان تر باشید.</v>
      </c>
      <c r="H11835" s="1"/>
      <c r="I11835" s="1"/>
      <c r="J11835" s="1"/>
      <c r="K11835" s="1"/>
      <c r="L11835" s="1"/>
      <c r="M11835" s="1"/>
      <c r="N11835" s="1"/>
      <c r="O11835" s="1"/>
      <c r="P11835" s="1"/>
      <c r="Q11835" s="1"/>
      <c r="R11835" s="1"/>
      <c r="S11835" s="1"/>
      <c r="T11835" s="1"/>
      <c r="U11835" s="1"/>
      <c r="V11835" s="1"/>
      <c r="W11835" s="1"/>
      <c r="X11835" s="1"/>
      <c r="Y11835" s="1"/>
      <c r="Z11835" s="1"/>
      <c r="AA11835" s="1"/>
      <c r="AB11835" s="1"/>
    </row>
    <row r="11836" ht="50.25" customHeight="1">
      <c r="A11836" s="12">
        <v>11832.0</v>
      </c>
      <c r="B11836" s="13" t="s">
        <v>11531</v>
      </c>
      <c r="C11836" s="14" t="s">
        <v>11677</v>
      </c>
      <c r="D11836" s="1"/>
      <c r="E11836" s="1"/>
      <c r="F11836" s="1" t="str">
        <f>IFERROR(__xludf.DUMMYFUNCTION("GOOGLETRANSLATE(B11836, ""en"", ""fa"")
"),"توسعه شخصی")</f>
        <v>توسعه شخصی</v>
      </c>
      <c r="G11836" s="1" t="str">
        <f>IFERROR(__xludf.DUMMYFUNCTION("GOOGLETRANSLATE(C11836, ""en"", ""fa"")
"),"در مورد قدرت خود انعکاس و نقش آن در رشد و توسعه شخصی فکر کنید.")</f>
        <v>در مورد قدرت خود انعکاس و نقش آن در رشد و توسعه شخصی فکر کنید.</v>
      </c>
      <c r="H11836" s="1"/>
      <c r="I11836" s="1"/>
      <c r="J11836" s="1"/>
      <c r="K11836" s="1"/>
      <c r="L11836" s="1"/>
      <c r="M11836" s="1"/>
      <c r="N11836" s="1"/>
      <c r="O11836" s="1"/>
      <c r="P11836" s="1"/>
      <c r="Q11836" s="1"/>
      <c r="R11836" s="1"/>
      <c r="S11836" s="1"/>
      <c r="T11836" s="1"/>
      <c r="U11836" s="1"/>
      <c r="V11836" s="1"/>
      <c r="W11836" s="1"/>
      <c r="X11836" s="1"/>
      <c r="Y11836" s="1"/>
      <c r="Z11836" s="1"/>
      <c r="AA11836" s="1"/>
      <c r="AB11836" s="1"/>
    </row>
    <row r="11837" ht="50.25" customHeight="1">
      <c r="A11837" s="12">
        <v>11833.0</v>
      </c>
      <c r="B11837" s="13" t="s">
        <v>11531</v>
      </c>
      <c r="C11837" s="14" t="s">
        <v>11678</v>
      </c>
      <c r="D11837" s="1"/>
      <c r="E11837" s="1"/>
      <c r="F11837" s="1" t="str">
        <f>IFERROR(__xludf.DUMMYFUNCTION("GOOGLETRANSLATE(B11837, ""en"", ""fa"")
"),"توسعه شخصی")</f>
        <v>توسعه شخصی</v>
      </c>
      <c r="G11837" s="1" t="str">
        <f>IFERROR(__xludf.DUMMYFUNCTION("GOOGLETRANSLATE(C11837, ""en"", ""fa"")
"),"برای اولویت دادن به زمان با کیفیت با عزیزان، مرزهای خاصی را با تعهدات اجتماعی تعیین کنید.")</f>
        <v>برای اولویت دادن به زمان با کیفیت با عزیزان، مرزهای خاصی را با تعهدات اجتماعی تعیین کنید.</v>
      </c>
      <c r="H11837" s="1"/>
      <c r="I11837" s="1"/>
      <c r="J11837" s="1"/>
      <c r="K11837" s="1"/>
      <c r="L11837" s="1"/>
      <c r="M11837" s="1"/>
      <c r="N11837" s="1"/>
      <c r="O11837" s="1"/>
      <c r="P11837" s="1"/>
      <c r="Q11837" s="1"/>
      <c r="R11837" s="1"/>
      <c r="S11837" s="1"/>
      <c r="T11837" s="1"/>
      <c r="U11837" s="1"/>
      <c r="V11837" s="1"/>
      <c r="W11837" s="1"/>
      <c r="X11837" s="1"/>
      <c r="Y11837" s="1"/>
      <c r="Z11837" s="1"/>
      <c r="AA11837" s="1"/>
      <c r="AB11837" s="1"/>
    </row>
    <row r="11838" ht="50.25" customHeight="1">
      <c r="A11838" s="12">
        <v>11834.0</v>
      </c>
      <c r="B11838" s="13" t="s">
        <v>11531</v>
      </c>
      <c r="C11838" s="14" t="s">
        <v>11679</v>
      </c>
      <c r="D11838" s="1"/>
      <c r="E11838" s="1"/>
      <c r="F11838" s="1" t="str">
        <f>IFERROR(__xludf.DUMMYFUNCTION("GOOGLETRANSLATE(B11838, ""en"", ""fa"")
"),"توسعه شخصی")</f>
        <v>توسعه شخصی</v>
      </c>
      <c r="G11838" s="1" t="str">
        <f>IFERROR(__xludf.DUMMYFUNCTION("GOOGLETRANSLATE(C11838, ""en"", ""fa"")
"),"هر گونه مسائل حل نشده یا آسیب های گذشته را که ممکن است مانع رشد شخصی شما شود، شناسایی کنید.")</f>
        <v>هر گونه مسائل حل نشده یا آسیب های گذشته را که ممکن است مانع رشد شخصی شما شود، شناسایی کنید.</v>
      </c>
      <c r="H11838" s="1"/>
      <c r="I11838" s="1"/>
      <c r="J11838" s="1"/>
      <c r="K11838" s="1"/>
      <c r="L11838" s="1"/>
      <c r="M11838" s="1"/>
      <c r="N11838" s="1"/>
      <c r="O11838" s="1"/>
      <c r="P11838" s="1"/>
      <c r="Q11838" s="1"/>
      <c r="R11838" s="1"/>
      <c r="S11838" s="1"/>
      <c r="T11838" s="1"/>
      <c r="U11838" s="1"/>
      <c r="V11838" s="1"/>
      <c r="W11838" s="1"/>
      <c r="X11838" s="1"/>
      <c r="Y11838" s="1"/>
      <c r="Z11838" s="1"/>
      <c r="AA11838" s="1"/>
      <c r="AB11838" s="1"/>
    </row>
    <row r="11839" ht="50.25" customHeight="1">
      <c r="A11839" s="12">
        <v>11835.0</v>
      </c>
      <c r="B11839" s="13" t="s">
        <v>11531</v>
      </c>
      <c r="C11839" s="14" t="s">
        <v>11680</v>
      </c>
      <c r="D11839" s="1"/>
      <c r="E11839" s="1"/>
      <c r="F11839" s="1" t="str">
        <f>IFERROR(__xludf.DUMMYFUNCTION("GOOGLETRANSLATE(B11839, ""en"", ""fa"")
"),"توسعه شخصی")</f>
        <v>توسعه شخصی</v>
      </c>
      <c r="G11839" s="1" t="str">
        <f>IFERROR(__xludf.DUMMYFUNCTION("GOOGLETRANSLATE(C11839, ""en"", ""fa"")
"),"قاطعیت را در تعیین مرزها و بیان نیازها و خواسته های خود تمرین کنید.")</f>
        <v>قاطعیت را در تعیین مرزها و بیان نیازها و خواسته های خود تمرین کنید.</v>
      </c>
      <c r="H11839" s="1"/>
      <c r="I11839" s="1"/>
      <c r="J11839" s="1"/>
      <c r="K11839" s="1"/>
      <c r="L11839" s="1"/>
      <c r="M11839" s="1"/>
      <c r="N11839" s="1"/>
      <c r="O11839" s="1"/>
      <c r="P11839" s="1"/>
      <c r="Q11839" s="1"/>
      <c r="R11839" s="1"/>
      <c r="S11839" s="1"/>
      <c r="T11839" s="1"/>
      <c r="U11839" s="1"/>
      <c r="V11839" s="1"/>
      <c r="W11839" s="1"/>
      <c r="X11839" s="1"/>
      <c r="Y11839" s="1"/>
      <c r="Z11839" s="1"/>
      <c r="AA11839" s="1"/>
      <c r="AB11839" s="1"/>
    </row>
    <row r="11840" ht="50.25" customHeight="1">
      <c r="A11840" s="12">
        <v>11836.0</v>
      </c>
      <c r="B11840" s="13" t="s">
        <v>11531</v>
      </c>
      <c r="C11840" s="14" t="s">
        <v>11681</v>
      </c>
      <c r="D11840" s="1"/>
      <c r="E11840" s="1"/>
      <c r="F11840" s="1" t="str">
        <f>IFERROR(__xludf.DUMMYFUNCTION("GOOGLETRANSLATE(B11840, ""en"", ""fa"")
"),"توسعه شخصی")</f>
        <v>توسعه شخصی</v>
      </c>
      <c r="G11840" s="1" t="str">
        <f>IFERROR(__xludf.DUMMYFUNCTION("GOOGLETRANSLATE(C11840, ""en"", ""fa"")
"),"استراتژی های مختلف برای مدیریت استرس و ارتقای رفاه عاطفی را بررسی کنید.")</f>
        <v>استراتژی های مختلف برای مدیریت استرس و ارتقای رفاه عاطفی را بررسی کنید.</v>
      </c>
      <c r="H11840" s="1"/>
      <c r="I11840" s="1"/>
      <c r="J11840" s="1"/>
      <c r="K11840" s="1"/>
      <c r="L11840" s="1"/>
      <c r="M11840" s="1"/>
      <c r="N11840" s="1"/>
      <c r="O11840" s="1"/>
      <c r="P11840" s="1"/>
      <c r="Q11840" s="1"/>
      <c r="R11840" s="1"/>
      <c r="S11840" s="1"/>
      <c r="T11840" s="1"/>
      <c r="U11840" s="1"/>
      <c r="V11840" s="1"/>
      <c r="W11840" s="1"/>
      <c r="X11840" s="1"/>
      <c r="Y11840" s="1"/>
      <c r="Z11840" s="1"/>
      <c r="AA11840" s="1"/>
      <c r="AB11840" s="1"/>
    </row>
    <row r="11841" ht="50.25" customHeight="1">
      <c r="A11841" s="12">
        <v>11837.0</v>
      </c>
      <c r="B11841" s="13" t="s">
        <v>11531</v>
      </c>
      <c r="C11841" s="14" t="s">
        <v>11682</v>
      </c>
      <c r="D11841" s="1"/>
      <c r="E11841" s="1"/>
      <c r="F11841" s="1" t="str">
        <f>IFERROR(__xludf.DUMMYFUNCTION("GOOGLETRANSLATE(B11841, ""en"", ""fa"")
"),"توسعه شخصی")</f>
        <v>توسعه شخصی</v>
      </c>
      <c r="G11841" s="1" t="str">
        <f>IFERROR(__xludf.DUMMYFUNCTION("GOOGLETRANSLATE(C11841, ""en"", ""fa"")
"),"به ارزش های شخصی خود و اینکه چگونه آنها تصمیمات و اقدامات شما را شکل می دهند فکر کنید.")</f>
        <v>به ارزش های شخصی خود و اینکه چگونه آنها تصمیمات و اقدامات شما را شکل می دهند فکر کنید.</v>
      </c>
      <c r="H11841" s="1"/>
      <c r="I11841" s="1"/>
      <c r="J11841" s="1"/>
      <c r="K11841" s="1"/>
      <c r="L11841" s="1"/>
      <c r="M11841" s="1"/>
      <c r="N11841" s="1"/>
      <c r="O11841" s="1"/>
      <c r="P11841" s="1"/>
      <c r="Q11841" s="1"/>
      <c r="R11841" s="1"/>
      <c r="S11841" s="1"/>
      <c r="T11841" s="1"/>
      <c r="U11841" s="1"/>
      <c r="V11841" s="1"/>
      <c r="W11841" s="1"/>
      <c r="X11841" s="1"/>
      <c r="Y11841" s="1"/>
      <c r="Z11841" s="1"/>
      <c r="AA11841" s="1"/>
      <c r="AB11841" s="1"/>
    </row>
    <row r="11842" ht="50.25" customHeight="1">
      <c r="A11842" s="12">
        <v>11838.0</v>
      </c>
      <c r="B11842" s="13" t="s">
        <v>11531</v>
      </c>
      <c r="C11842" s="14" t="s">
        <v>11683</v>
      </c>
      <c r="D11842" s="1"/>
      <c r="E11842" s="1"/>
      <c r="F11842" s="1" t="str">
        <f>IFERROR(__xludf.DUMMYFUNCTION("GOOGLETRANSLATE(B11842, ""en"", ""fa"")
"),"توسعه شخصی")</f>
        <v>توسعه شخصی</v>
      </c>
      <c r="G11842" s="1" t="str">
        <f>IFERROR(__xludf.DUMMYFUNCTION("GOOGLETRANSLATE(C11842, ""en"", ""fa"")
"),"زمانی را برای تمرینات خودمراقبتی منظم اختصاص دهید تا بهزیستی ذهنی، عاطفی و جسمی خود را تقویت کنید.")</f>
        <v>زمانی را برای تمرینات خودمراقبتی منظم اختصاص دهید تا بهزیستی ذهنی، عاطفی و جسمی خود را تقویت کنید.</v>
      </c>
      <c r="H11842" s="1"/>
      <c r="I11842" s="1"/>
      <c r="J11842" s="1"/>
      <c r="K11842" s="1"/>
      <c r="L11842" s="1"/>
      <c r="M11842" s="1"/>
      <c r="N11842" s="1"/>
      <c r="O11842" s="1"/>
      <c r="P11842" s="1"/>
      <c r="Q11842" s="1"/>
      <c r="R11842" s="1"/>
      <c r="S11842" s="1"/>
      <c r="T11842" s="1"/>
      <c r="U11842" s="1"/>
      <c r="V11842" s="1"/>
      <c r="W11842" s="1"/>
      <c r="X11842" s="1"/>
      <c r="Y11842" s="1"/>
      <c r="Z11842" s="1"/>
      <c r="AA11842" s="1"/>
      <c r="AB11842" s="1"/>
    </row>
    <row r="11843" ht="50.25" customHeight="1">
      <c r="A11843" s="12">
        <v>11839.0</v>
      </c>
      <c r="B11843" s="13" t="s">
        <v>11531</v>
      </c>
      <c r="C11843" s="14" t="s">
        <v>11684</v>
      </c>
      <c r="D11843" s="1"/>
      <c r="E11843" s="1"/>
      <c r="F11843" s="1" t="str">
        <f>IFERROR(__xludf.DUMMYFUNCTION("GOOGLETRANSLATE(B11843, ""en"", ""fa"")
"),"توسعه شخصی")</f>
        <v>توسعه شخصی</v>
      </c>
      <c r="G11843" s="1" t="str">
        <f>IFERROR(__xludf.DUMMYFUNCTION("GOOGLETRANSLATE(C11843, ""en"", ""fa"")
"),"هر گونه الگوی فکری منفی یا تحریف شناختی را شناسایی کنید و روی به چالش کشیدن آنها کار کنید.")</f>
        <v>هر گونه الگوی فکری منفی یا تحریف شناختی را شناسایی کنید و روی به چالش کشیدن آنها کار کنید.</v>
      </c>
      <c r="H11843" s="1"/>
      <c r="I11843" s="1"/>
      <c r="J11843" s="1"/>
      <c r="K11843" s="1"/>
      <c r="L11843" s="1"/>
      <c r="M11843" s="1"/>
      <c r="N11843" s="1"/>
      <c r="O11843" s="1"/>
      <c r="P11843" s="1"/>
      <c r="Q11843" s="1"/>
      <c r="R11843" s="1"/>
      <c r="S11843" s="1"/>
      <c r="T11843" s="1"/>
      <c r="U11843" s="1"/>
      <c r="V11843" s="1"/>
      <c r="W11843" s="1"/>
      <c r="X11843" s="1"/>
      <c r="Y11843" s="1"/>
      <c r="Z11843" s="1"/>
      <c r="AA11843" s="1"/>
      <c r="AB11843" s="1"/>
    </row>
    <row r="11844" ht="50.25" customHeight="1">
      <c r="A11844" s="12">
        <v>11840.0</v>
      </c>
      <c r="B11844" s="13" t="s">
        <v>11531</v>
      </c>
      <c r="C11844" s="14" t="s">
        <v>11685</v>
      </c>
      <c r="D11844" s="1"/>
      <c r="E11844" s="1"/>
      <c r="F11844" s="1" t="str">
        <f>IFERROR(__xludf.DUMMYFUNCTION("GOOGLETRANSLATE(B11844, ""en"", ""fa"")
"),"توسعه شخصی")</f>
        <v>توسعه شخصی</v>
      </c>
      <c r="G11844" s="1" t="str">
        <f>IFERROR(__xludf.DUMMYFUNCTION("GOOGLETRANSLATE(C11844, ""en"", ""fa"")
"),"تمرینات تنفس آگاهانه را تمرین کنید تا خود را در لحظه حال ثابت کنید و اضطراب را کاهش دهید.")</f>
        <v>تمرینات تنفس آگاهانه را تمرین کنید تا خود را در لحظه حال ثابت کنید و اضطراب را کاهش دهید.</v>
      </c>
      <c r="H11844" s="1"/>
      <c r="I11844" s="1"/>
      <c r="J11844" s="1"/>
      <c r="K11844" s="1"/>
      <c r="L11844" s="1"/>
      <c r="M11844" s="1"/>
      <c r="N11844" s="1"/>
      <c r="O11844" s="1"/>
      <c r="P11844" s="1"/>
      <c r="Q11844" s="1"/>
      <c r="R11844" s="1"/>
      <c r="S11844" s="1"/>
      <c r="T11844" s="1"/>
      <c r="U11844" s="1"/>
      <c r="V11844" s="1"/>
      <c r="W11844" s="1"/>
      <c r="X11844" s="1"/>
      <c r="Y11844" s="1"/>
      <c r="Z11844" s="1"/>
      <c r="AA11844" s="1"/>
      <c r="AB11844" s="1"/>
    </row>
    <row r="11845" ht="50.25" customHeight="1">
      <c r="A11845" s="12">
        <v>11841.0</v>
      </c>
      <c r="B11845" s="13" t="s">
        <v>11531</v>
      </c>
      <c r="C11845" s="14" t="s">
        <v>11686</v>
      </c>
      <c r="D11845" s="1"/>
      <c r="E11845" s="1"/>
      <c r="F11845" s="1" t="str">
        <f>IFERROR(__xludf.DUMMYFUNCTION("GOOGLETRANSLATE(B11845, ""en"", ""fa"")
"),"توسعه شخصی")</f>
        <v>توسعه شخصی</v>
      </c>
      <c r="G11845" s="1" t="str">
        <f>IFERROR(__xludf.DUMMYFUNCTION("GOOGLETRANSLATE(C11845, ""en"", ""fa"")
"),"به ارتباطات اجتماعی خود فکر کنید و به دنبال ایجاد روابط معنادار و حمایت کننده باشید.")</f>
        <v>به ارتباطات اجتماعی خود فکر کنید و به دنبال ایجاد روابط معنادار و حمایت کننده باشید.</v>
      </c>
      <c r="H11845" s="1"/>
      <c r="I11845" s="1"/>
      <c r="J11845" s="1"/>
      <c r="K11845" s="1"/>
      <c r="L11845" s="1"/>
      <c r="M11845" s="1"/>
      <c r="N11845" s="1"/>
      <c r="O11845" s="1"/>
      <c r="P11845" s="1"/>
      <c r="Q11845" s="1"/>
      <c r="R11845" s="1"/>
      <c r="S11845" s="1"/>
      <c r="T11845" s="1"/>
      <c r="U11845" s="1"/>
      <c r="V11845" s="1"/>
      <c r="W11845" s="1"/>
      <c r="X11845" s="1"/>
      <c r="Y11845" s="1"/>
      <c r="Z11845" s="1"/>
      <c r="AA11845" s="1"/>
      <c r="AB11845" s="1"/>
    </row>
    <row r="11846" ht="50.25" customHeight="1">
      <c r="A11846" s="12">
        <v>11842.0</v>
      </c>
      <c r="B11846" s="13" t="s">
        <v>11531</v>
      </c>
      <c r="C11846" s="14" t="s">
        <v>11687</v>
      </c>
      <c r="D11846" s="1"/>
      <c r="E11846" s="1"/>
      <c r="F11846" s="1" t="str">
        <f>IFERROR(__xludf.DUMMYFUNCTION("GOOGLETRANSLATE(B11846, ""en"", ""fa"")
"),"توسعه شخصی")</f>
        <v>توسعه شخصی</v>
      </c>
      <c r="G11846" s="1" t="str">
        <f>IFERROR(__xludf.DUMMYFUNCTION("GOOGLETRANSLATE(C11846, ""en"", ""fa"")
"),"اهداف خاصی را برای بهبود مهارت های ارتباطی و قاطعیت خود تعیین کنید.")</f>
        <v>اهداف خاصی را برای بهبود مهارت های ارتباطی و قاطعیت خود تعیین کنید.</v>
      </c>
      <c r="H11846" s="1"/>
      <c r="I11846" s="1"/>
      <c r="J11846" s="1"/>
      <c r="K11846" s="1"/>
      <c r="L11846" s="1"/>
      <c r="M11846" s="1"/>
      <c r="N11846" s="1"/>
      <c r="O11846" s="1"/>
      <c r="P11846" s="1"/>
      <c r="Q11846" s="1"/>
      <c r="R11846" s="1"/>
      <c r="S11846" s="1"/>
      <c r="T11846" s="1"/>
      <c r="U11846" s="1"/>
      <c r="V11846" s="1"/>
      <c r="W11846" s="1"/>
      <c r="X11846" s="1"/>
      <c r="Y11846" s="1"/>
      <c r="Z11846" s="1"/>
      <c r="AA11846" s="1"/>
      <c r="AB11846" s="1"/>
    </row>
    <row r="11847" ht="50.25" customHeight="1">
      <c r="A11847" s="12">
        <v>11843.0</v>
      </c>
      <c r="B11847" s="13" t="s">
        <v>11531</v>
      </c>
      <c r="C11847" s="14" t="s">
        <v>11688</v>
      </c>
      <c r="D11847" s="1"/>
      <c r="E11847" s="1"/>
      <c r="F11847" s="1" t="str">
        <f>IFERROR(__xludf.DUMMYFUNCTION("GOOGLETRANSLATE(B11847, ""en"", ""fa"")
"),"توسعه شخصی")</f>
        <v>توسعه شخصی</v>
      </c>
      <c r="G11847" s="1" t="str">
        <f>IFERROR(__xludf.DUMMYFUNCTION("GOOGLETRANSLATE(C11847, ""en"", ""fa"")
"),"روش های مختلف ابراز وجود، مانند نوشتن، هنر یا رقص را کاوش کنید تا از خلاقیت خود بهره ببرید.")</f>
        <v>روش های مختلف ابراز وجود، مانند نوشتن، هنر یا رقص را کاوش کنید تا از خلاقیت خود بهره ببرید.</v>
      </c>
      <c r="H11847" s="1"/>
      <c r="I11847" s="1"/>
      <c r="J11847" s="1"/>
      <c r="K11847" s="1"/>
      <c r="L11847" s="1"/>
      <c r="M11847" s="1"/>
      <c r="N11847" s="1"/>
      <c r="O11847" s="1"/>
      <c r="P11847" s="1"/>
      <c r="Q11847" s="1"/>
      <c r="R11847" s="1"/>
      <c r="S11847" s="1"/>
      <c r="T11847" s="1"/>
      <c r="U11847" s="1"/>
      <c r="V11847" s="1"/>
      <c r="W11847" s="1"/>
      <c r="X11847" s="1"/>
      <c r="Y11847" s="1"/>
      <c r="Z11847" s="1"/>
      <c r="AA11847" s="1"/>
      <c r="AB11847" s="1"/>
    </row>
    <row r="11848" ht="50.25" customHeight="1">
      <c r="A11848" s="12">
        <v>11844.0</v>
      </c>
      <c r="B11848" s="13" t="s">
        <v>11531</v>
      </c>
      <c r="C11848" s="14" t="s">
        <v>11689</v>
      </c>
      <c r="D11848" s="1"/>
      <c r="E11848" s="1"/>
      <c r="F11848" s="1" t="str">
        <f>IFERROR(__xludf.DUMMYFUNCTION("GOOGLETRANSLATE(B11848, ""en"", ""fa"")
"),"توسعه شخصی")</f>
        <v>توسعه شخصی</v>
      </c>
      <c r="G11848" s="1" t="str">
        <f>IFERROR(__xludf.DUMMYFUNCTION("GOOGLETRANSLATE(C11848, ""en"", ""fa"")
"),"به علایق و علایق خود فکر کنید و راه هایی برای ادغام آنها در حرفه یا سبک زندگی خود بیابید.")</f>
        <v>به علایق و علایق خود فکر کنید و راه هایی برای ادغام آنها در حرفه یا سبک زندگی خود بیابید.</v>
      </c>
      <c r="H11848" s="1"/>
      <c r="I11848" s="1"/>
      <c r="J11848" s="1"/>
      <c r="K11848" s="1"/>
      <c r="L11848" s="1"/>
      <c r="M11848" s="1"/>
      <c r="N11848" s="1"/>
      <c r="O11848" s="1"/>
      <c r="P11848" s="1"/>
      <c r="Q11848" s="1"/>
      <c r="R11848" s="1"/>
      <c r="S11848" s="1"/>
      <c r="T11848" s="1"/>
      <c r="U11848" s="1"/>
      <c r="V11848" s="1"/>
      <c r="W11848" s="1"/>
      <c r="X11848" s="1"/>
      <c r="Y11848" s="1"/>
      <c r="Z11848" s="1"/>
      <c r="AA11848" s="1"/>
      <c r="AB11848" s="1"/>
    </row>
    <row r="11849" ht="50.25" customHeight="1">
      <c r="A11849" s="12">
        <v>11845.0</v>
      </c>
      <c r="B11849" s="13" t="s">
        <v>11531</v>
      </c>
      <c r="C11849" s="14" t="s">
        <v>11690</v>
      </c>
      <c r="D11849" s="1"/>
      <c r="E11849" s="1"/>
      <c r="F11849" s="1" t="str">
        <f>IFERROR(__xludf.DUMMYFUNCTION("GOOGLETRANSLATE(B11849, ""en"", ""fa"")
"),"توسعه شخصی")</f>
        <v>توسعه شخصی</v>
      </c>
      <c r="G11849" s="1" t="str">
        <f>IFERROR(__xludf.DUMMYFUNCTION("GOOGLETRANSLATE(C11849, ""en"", ""fa"")
"),"قدردانی را برای رشد و پیشرفتی که در سفر توسعه شخصی خود داشته اید تمرین کنید.")</f>
        <v>قدردانی را برای رشد و پیشرفتی که در سفر توسعه شخصی خود داشته اید تمرین کنید.</v>
      </c>
      <c r="H11849" s="1"/>
      <c r="I11849" s="1"/>
      <c r="J11849" s="1"/>
      <c r="K11849" s="1"/>
      <c r="L11849" s="1"/>
      <c r="M11849" s="1"/>
      <c r="N11849" s="1"/>
      <c r="O11849" s="1"/>
      <c r="P11849" s="1"/>
      <c r="Q11849" s="1"/>
      <c r="R11849" s="1"/>
      <c r="S11849" s="1"/>
      <c r="T11849" s="1"/>
      <c r="U11849" s="1"/>
      <c r="V11849" s="1"/>
      <c r="W11849" s="1"/>
      <c r="X11849" s="1"/>
      <c r="Y11849" s="1"/>
      <c r="Z11849" s="1"/>
      <c r="AA11849" s="1"/>
      <c r="AB11849" s="1"/>
    </row>
    <row r="11850" ht="50.25" customHeight="1">
      <c r="A11850" s="12">
        <v>11846.0</v>
      </c>
      <c r="B11850" s="13" t="s">
        <v>11531</v>
      </c>
      <c r="C11850" s="14" t="s">
        <v>11691</v>
      </c>
      <c r="D11850" s="1"/>
      <c r="E11850" s="1"/>
      <c r="F11850" s="1" t="str">
        <f>IFERROR(__xludf.DUMMYFUNCTION("GOOGLETRANSLATE(B11850, ""en"", ""fa"")
"),"توسعه شخصی")</f>
        <v>توسعه شخصی</v>
      </c>
      <c r="G11850" s="1" t="str">
        <f>IFERROR(__xludf.DUMMYFUNCTION("GOOGLETRANSLATE(C11850, ""en"", ""fa"")
"),"برای حفظ یکپارچگی سالم کار و زندگی، مرزهای واقع بینانه را با تعهدات کاری تعیین کنید.")</f>
        <v>برای حفظ یکپارچگی سالم کار و زندگی، مرزهای واقع بینانه را با تعهدات کاری تعیین کنید.</v>
      </c>
      <c r="H11850" s="1"/>
      <c r="I11850" s="1"/>
      <c r="J11850" s="1"/>
      <c r="K11850" s="1"/>
      <c r="L11850" s="1"/>
      <c r="M11850" s="1"/>
      <c r="N11850" s="1"/>
      <c r="O11850" s="1"/>
      <c r="P11850" s="1"/>
      <c r="Q11850" s="1"/>
      <c r="R11850" s="1"/>
      <c r="S11850" s="1"/>
      <c r="T11850" s="1"/>
      <c r="U11850" s="1"/>
      <c r="V11850" s="1"/>
      <c r="W11850" s="1"/>
      <c r="X11850" s="1"/>
      <c r="Y11850" s="1"/>
      <c r="Z11850" s="1"/>
      <c r="AA11850" s="1"/>
      <c r="AB11850" s="1"/>
    </row>
    <row r="11851" ht="50.25" customHeight="1">
      <c r="A11851" s="12">
        <v>11847.0</v>
      </c>
      <c r="B11851" s="13" t="s">
        <v>11531</v>
      </c>
      <c r="C11851" s="14" t="s">
        <v>11692</v>
      </c>
      <c r="D11851" s="1"/>
      <c r="E11851" s="1"/>
      <c r="F11851" s="1" t="str">
        <f>IFERROR(__xludf.DUMMYFUNCTION("GOOGLETRANSLATE(B11851, ""en"", ""fa"")
"),"توسعه شخصی")</f>
        <v>توسعه شخصی</v>
      </c>
      <c r="G11851" s="1" t="str">
        <f>IFERROR(__xludf.DUMMYFUNCTION("GOOGLETRANSLATE(C11851, ""en"", ""fa"")
"),"هر گونه عادت یا اعتیاد منفی را شناسایی کنید و برای رهایی از آنها اقدامات لازم را انجام دهید.")</f>
        <v>هر گونه عادت یا اعتیاد منفی را شناسایی کنید و برای رهایی از آنها اقدامات لازم را انجام دهید.</v>
      </c>
      <c r="H11851" s="1"/>
      <c r="I11851" s="1"/>
      <c r="J11851" s="1"/>
      <c r="K11851" s="1"/>
      <c r="L11851" s="1"/>
      <c r="M11851" s="1"/>
      <c r="N11851" s="1"/>
      <c r="O11851" s="1"/>
      <c r="P11851" s="1"/>
      <c r="Q11851" s="1"/>
      <c r="R11851" s="1"/>
      <c r="S11851" s="1"/>
      <c r="T11851" s="1"/>
      <c r="U11851" s="1"/>
      <c r="V11851" s="1"/>
      <c r="W11851" s="1"/>
      <c r="X11851" s="1"/>
      <c r="Y11851" s="1"/>
      <c r="Z11851" s="1"/>
      <c r="AA11851" s="1"/>
      <c r="AB11851" s="1"/>
    </row>
    <row r="11852" ht="50.25" customHeight="1">
      <c r="A11852" s="12">
        <v>11848.0</v>
      </c>
      <c r="B11852" s="13" t="s">
        <v>11531</v>
      </c>
      <c r="C11852" s="14" t="s">
        <v>11693</v>
      </c>
      <c r="D11852" s="1"/>
      <c r="E11852" s="1"/>
      <c r="F11852" s="1" t="str">
        <f>IFERROR(__xludf.DUMMYFUNCTION("GOOGLETRANSLATE(B11852, ""en"", ""fa"")
"),"توسعه شخصی")</f>
        <v>توسعه شخصی</v>
      </c>
      <c r="G11852" s="1" t="str">
        <f>IFERROR(__xludf.DUMMYFUNCTION("GOOGLETRANSLATE(C11852, ""en"", ""fa"")
"),"اشکال مختلف مدیتیشن و تمرکز حواس را کشف کنید تا بهزیستی کلی خود را افزایش دهید.")</f>
        <v>اشکال مختلف مدیتیشن و تمرکز حواس را کشف کنید تا بهزیستی کلی خود را افزایش دهید.</v>
      </c>
      <c r="H11852" s="1"/>
      <c r="I11852" s="1"/>
      <c r="J11852" s="1"/>
      <c r="K11852" s="1"/>
      <c r="L11852" s="1"/>
      <c r="M11852" s="1"/>
      <c r="N11852" s="1"/>
      <c r="O11852" s="1"/>
      <c r="P11852" s="1"/>
      <c r="Q11852" s="1"/>
      <c r="R11852" s="1"/>
      <c r="S11852" s="1"/>
      <c r="T11852" s="1"/>
      <c r="U11852" s="1"/>
      <c r="V11852" s="1"/>
      <c r="W11852" s="1"/>
      <c r="X11852" s="1"/>
      <c r="Y11852" s="1"/>
      <c r="Z11852" s="1"/>
      <c r="AA11852" s="1"/>
      <c r="AB11852" s="1"/>
    </row>
    <row r="11853" ht="50.25" customHeight="1">
      <c r="A11853" s="12">
        <v>11849.0</v>
      </c>
      <c r="B11853" s="13" t="s">
        <v>11694</v>
      </c>
      <c r="C11853" s="14" t="s">
        <v>11695</v>
      </c>
      <c r="D11853" s="1"/>
      <c r="E11853" s="1"/>
      <c r="F11853" s="1" t="str">
        <f>IFERROR(__xludf.DUMMYFUNCTION("GOOGLETRANSLATE(B11853, ""en"", ""fa"")
"),"زندگی پایدار")</f>
        <v>زندگی پایدار</v>
      </c>
      <c r="G11853" s="1" t="str">
        <f>IFERROR(__xludf.DUMMYFUNCTION("GOOGLETRANSLATE(C11853, ""en"", ""fa"")
"),"مصرف انرژی فعلی خود را ارزیابی کنید و زمینه های بهبود را شناسایی کنید.")</f>
        <v>مصرف انرژی فعلی خود را ارزیابی کنید و زمینه های بهبود را شناسایی کنید.</v>
      </c>
      <c r="H11853" s="1"/>
      <c r="I11853" s="1"/>
      <c r="J11853" s="1"/>
      <c r="K11853" s="1"/>
      <c r="L11853" s="1"/>
      <c r="M11853" s="1"/>
      <c r="N11853" s="1"/>
      <c r="O11853" s="1"/>
      <c r="P11853" s="1"/>
      <c r="Q11853" s="1"/>
      <c r="R11853" s="1"/>
      <c r="S11853" s="1"/>
      <c r="T11853" s="1"/>
      <c r="U11853" s="1"/>
      <c r="V11853" s="1"/>
      <c r="W11853" s="1"/>
      <c r="X11853" s="1"/>
      <c r="Y11853" s="1"/>
      <c r="Z11853" s="1"/>
      <c r="AA11853" s="1"/>
      <c r="AB11853" s="1"/>
    </row>
    <row r="11854" ht="50.25" customHeight="1">
      <c r="A11854" s="12">
        <v>11850.0</v>
      </c>
      <c r="B11854" s="13" t="s">
        <v>11694</v>
      </c>
      <c r="C11854" s="14" t="s">
        <v>11696</v>
      </c>
      <c r="D11854" s="1"/>
      <c r="E11854" s="1"/>
      <c r="F11854" s="1" t="str">
        <f>IFERROR(__xludf.DUMMYFUNCTION("GOOGLETRANSLATE(B11854, ""en"", ""fa"")
"),"زندگی پایدار")</f>
        <v>زندگی پایدار</v>
      </c>
      <c r="G11854" s="1" t="str">
        <f>IFERROR(__xludf.DUMMYFUNCTION("GOOGLETRANSLATE(C11854, ""en"", ""fa"")
"),"وسایل کم مصرف را در خانه خود تحقیق و اجرا کنید.")</f>
        <v>وسایل کم مصرف را در خانه خود تحقیق و اجرا کنید.</v>
      </c>
      <c r="H11854" s="1"/>
      <c r="I11854" s="1"/>
      <c r="J11854" s="1"/>
      <c r="K11854" s="1"/>
      <c r="L11854" s="1"/>
      <c r="M11854" s="1"/>
      <c r="N11854" s="1"/>
      <c r="O11854" s="1"/>
      <c r="P11854" s="1"/>
      <c r="Q11854" s="1"/>
      <c r="R11854" s="1"/>
      <c r="S11854" s="1"/>
      <c r="T11854" s="1"/>
      <c r="U11854" s="1"/>
      <c r="V11854" s="1"/>
      <c r="W11854" s="1"/>
      <c r="X11854" s="1"/>
      <c r="Y11854" s="1"/>
      <c r="Z11854" s="1"/>
      <c r="AA11854" s="1"/>
      <c r="AB11854" s="1"/>
    </row>
    <row r="11855" ht="50.25" customHeight="1">
      <c r="A11855" s="12">
        <v>11851.0</v>
      </c>
      <c r="B11855" s="13" t="s">
        <v>11694</v>
      </c>
      <c r="C11855" s="14" t="s">
        <v>11697</v>
      </c>
      <c r="D11855" s="1"/>
      <c r="E11855" s="1"/>
      <c r="F11855" s="1" t="str">
        <f>IFERROR(__xludf.DUMMYFUNCTION("GOOGLETRANSLATE(B11855, ""en"", ""fa"")
"),"زندگی پایدار")</f>
        <v>زندگی پایدار</v>
      </c>
      <c r="G11855" s="1" t="str">
        <f>IFERROR(__xludf.DUMMYFUNCTION("GOOGLETRANSLATE(C11855, ""en"", ""fa"")
"),"نصب پنل خورشیدی و مزایای آن برای انرژی های تجدیدپذیر را بررسی کنید.")</f>
        <v>نصب پنل خورشیدی و مزایای آن برای انرژی های تجدیدپذیر را بررسی کنید.</v>
      </c>
      <c r="H11855" s="1"/>
      <c r="I11855" s="1"/>
      <c r="J11855" s="1"/>
      <c r="K11855" s="1"/>
      <c r="L11855" s="1"/>
      <c r="M11855" s="1"/>
      <c r="N11855" s="1"/>
      <c r="O11855" s="1"/>
      <c r="P11855" s="1"/>
      <c r="Q11855" s="1"/>
      <c r="R11855" s="1"/>
      <c r="S11855" s="1"/>
      <c r="T11855" s="1"/>
      <c r="U11855" s="1"/>
      <c r="V11855" s="1"/>
      <c r="W11855" s="1"/>
      <c r="X11855" s="1"/>
      <c r="Y11855" s="1"/>
      <c r="Z11855" s="1"/>
      <c r="AA11855" s="1"/>
      <c r="AB11855" s="1"/>
    </row>
    <row r="11856" ht="50.25" customHeight="1">
      <c r="A11856" s="12">
        <v>11852.0</v>
      </c>
      <c r="B11856" s="13" t="s">
        <v>11694</v>
      </c>
      <c r="C11856" s="14" t="s">
        <v>11698</v>
      </c>
      <c r="D11856" s="1"/>
      <c r="E11856" s="1"/>
      <c r="F11856" s="1" t="str">
        <f>IFERROR(__xludf.DUMMYFUNCTION("GOOGLETRANSLATE(B11856, ""en"", ""fa"")
"),"زندگی پایدار")</f>
        <v>زندگی پایدار</v>
      </c>
      <c r="G11856" s="1" t="str">
        <f>IFERROR(__xludf.DUMMYFUNCTION("GOOGLETRANSLATE(C11856, ""en"", ""fa"")
"),"کمپوست را برای کاهش ضایعات مواد غذایی و ایجاد خاک غنی از مواد مغذی شروع کنید.")</f>
        <v>کمپوست را برای کاهش ضایعات مواد غذایی و ایجاد خاک غنی از مواد مغذی شروع کنید.</v>
      </c>
      <c r="H11856" s="1"/>
      <c r="I11856" s="1"/>
      <c r="J11856" s="1"/>
      <c r="K11856" s="1"/>
      <c r="L11856" s="1"/>
      <c r="M11856" s="1"/>
      <c r="N11856" s="1"/>
      <c r="O11856" s="1"/>
      <c r="P11856" s="1"/>
      <c r="Q11856" s="1"/>
      <c r="R11856" s="1"/>
      <c r="S11856" s="1"/>
      <c r="T11856" s="1"/>
      <c r="U11856" s="1"/>
      <c r="V11856" s="1"/>
      <c r="W11856" s="1"/>
      <c r="X11856" s="1"/>
      <c r="Y11856" s="1"/>
      <c r="Z11856" s="1"/>
      <c r="AA11856" s="1"/>
      <c r="AB11856" s="1"/>
    </row>
    <row r="11857" ht="50.25" customHeight="1">
      <c r="A11857" s="12">
        <v>11853.0</v>
      </c>
      <c r="B11857" s="13" t="s">
        <v>11694</v>
      </c>
      <c r="C11857" s="14" t="s">
        <v>11699</v>
      </c>
      <c r="D11857" s="1"/>
      <c r="E11857" s="1"/>
      <c r="F11857" s="1" t="str">
        <f>IFERROR(__xludf.DUMMYFUNCTION("GOOGLETRANSLATE(B11857, ""en"", ""fa"")
"),"زندگی پایدار")</f>
        <v>زندگی پایدار</v>
      </c>
      <c r="G11857" s="1" t="str">
        <f>IFERROR(__xludf.DUMMYFUNCTION("GOOGLETRANSLATE(C11857, ""en"", ""fa"")
"),"در مصرف آب خود فکر کنید و راه هایی برای صرفه جویی در مصرف آب در فعالیت های روزانه بیابید.")</f>
        <v>در مصرف آب خود فکر کنید و راه هایی برای صرفه جویی در مصرف آب در فعالیت های روزانه بیابید.</v>
      </c>
      <c r="H11857" s="1"/>
      <c r="I11857" s="1"/>
      <c r="J11857" s="1"/>
      <c r="K11857" s="1"/>
      <c r="L11857" s="1"/>
      <c r="M11857" s="1"/>
      <c r="N11857" s="1"/>
      <c r="O11857" s="1"/>
      <c r="P11857" s="1"/>
      <c r="Q11857" s="1"/>
      <c r="R11857" s="1"/>
      <c r="S11857" s="1"/>
      <c r="T11857" s="1"/>
      <c r="U11857" s="1"/>
      <c r="V11857" s="1"/>
      <c r="W11857" s="1"/>
      <c r="X11857" s="1"/>
      <c r="Y11857" s="1"/>
      <c r="Z11857" s="1"/>
      <c r="AA11857" s="1"/>
      <c r="AB11857" s="1"/>
    </row>
    <row r="11858" ht="50.25" customHeight="1">
      <c r="A11858" s="12">
        <v>11854.0</v>
      </c>
      <c r="B11858" s="13" t="s">
        <v>11694</v>
      </c>
      <c r="C11858" s="14" t="s">
        <v>11700</v>
      </c>
      <c r="D11858" s="1"/>
      <c r="E11858" s="1"/>
      <c r="F11858" s="1" t="str">
        <f>IFERROR(__xludf.DUMMYFUNCTION("GOOGLETRANSLATE(B11858, ""en"", ""fa"")
"),"زندگی پایدار")</f>
        <v>زندگی پایدار</v>
      </c>
      <c r="G11858" s="1" t="str">
        <f>IFERROR(__xludf.DUMMYFUNCTION("GOOGLETRANSLATE(C11858, ""en"", ""fa"")
"),"برای کاهش مصرف آب، شیرهای آب و سر دوش کم جریان را نصب کنید.")</f>
        <v>برای کاهش مصرف آب، شیرهای آب و سر دوش کم جریان را نصب کنید.</v>
      </c>
      <c r="H11858" s="1"/>
      <c r="I11858" s="1"/>
      <c r="J11858" s="1"/>
      <c r="K11858" s="1"/>
      <c r="L11858" s="1"/>
      <c r="M11858" s="1"/>
      <c r="N11858" s="1"/>
      <c r="O11858" s="1"/>
      <c r="P11858" s="1"/>
      <c r="Q11858" s="1"/>
      <c r="R11858" s="1"/>
      <c r="S11858" s="1"/>
      <c r="T11858" s="1"/>
      <c r="U11858" s="1"/>
      <c r="V11858" s="1"/>
      <c r="W11858" s="1"/>
      <c r="X11858" s="1"/>
      <c r="Y11858" s="1"/>
      <c r="Z11858" s="1"/>
      <c r="AA11858" s="1"/>
      <c r="AB11858" s="1"/>
    </row>
    <row r="11859" ht="50.25" customHeight="1">
      <c r="A11859" s="12">
        <v>11855.0</v>
      </c>
      <c r="B11859" s="13" t="s">
        <v>11694</v>
      </c>
      <c r="C11859" s="14" t="s">
        <v>11701</v>
      </c>
      <c r="D11859" s="1"/>
      <c r="E11859" s="1"/>
      <c r="F11859" s="1" t="str">
        <f>IFERROR(__xludf.DUMMYFUNCTION("GOOGLETRANSLATE(B11859, ""en"", ""fa"")
"),"زندگی پایدار")</f>
        <v>زندگی پایدار</v>
      </c>
      <c r="G11859" s="1" t="str">
        <f>IFERROR(__xludf.DUMMYFUNCTION("GOOGLETRANSLATE(C11859, ""en"", ""fa"")
"),"غذاهای گیاهی بیشتری را در رژیم غذایی خود بگنجانید تا ردپای کربن خود را کاهش دهید.")</f>
        <v>غذاهای گیاهی بیشتری را در رژیم غذایی خود بگنجانید تا ردپای کربن خود را کاهش دهید.</v>
      </c>
      <c r="H11859" s="1"/>
      <c r="I11859" s="1"/>
      <c r="J11859" s="1"/>
      <c r="K11859" s="1"/>
      <c r="L11859" s="1"/>
      <c r="M11859" s="1"/>
      <c r="N11859" s="1"/>
      <c r="O11859" s="1"/>
      <c r="P11859" s="1"/>
      <c r="Q11859" s="1"/>
      <c r="R11859" s="1"/>
      <c r="S11859" s="1"/>
      <c r="T11859" s="1"/>
      <c r="U11859" s="1"/>
      <c r="V11859" s="1"/>
      <c r="W11859" s="1"/>
      <c r="X11859" s="1"/>
      <c r="Y11859" s="1"/>
      <c r="Z11859" s="1"/>
      <c r="AA11859" s="1"/>
      <c r="AB11859" s="1"/>
    </row>
    <row r="11860" ht="50.25" customHeight="1">
      <c r="A11860" s="12">
        <v>11856.0</v>
      </c>
      <c r="B11860" s="13" t="s">
        <v>11694</v>
      </c>
      <c r="C11860" s="14" t="s">
        <v>11702</v>
      </c>
      <c r="D11860" s="1"/>
      <c r="E11860" s="1"/>
      <c r="F11860" s="1" t="str">
        <f>IFERROR(__xludf.DUMMYFUNCTION("GOOGLETRANSLATE(B11860, ""en"", ""fa"")
"),"زندگی پایدار")</f>
        <v>زندگی پایدار</v>
      </c>
      <c r="G11860" s="1" t="str">
        <f>IFERROR(__xludf.DUMMYFUNCTION("GOOGLETRANSLATE(C11860, ""en"", ""fa"")
"),"حمایت از کشاورزان محلی و خرید محصولات محلی برای کاهش انتشار مواد غذایی از حمل و نقل.")</f>
        <v>حمایت از کشاورزان محلی و خرید محصولات محلی برای کاهش انتشار مواد غذایی از حمل و نقل.</v>
      </c>
      <c r="H11860" s="1"/>
      <c r="I11860" s="1"/>
      <c r="J11860" s="1"/>
      <c r="K11860" s="1"/>
      <c r="L11860" s="1"/>
      <c r="M11860" s="1"/>
      <c r="N11860" s="1"/>
      <c r="O11860" s="1"/>
      <c r="P11860" s="1"/>
      <c r="Q11860" s="1"/>
      <c r="R11860" s="1"/>
      <c r="S11860" s="1"/>
      <c r="T11860" s="1"/>
      <c r="U11860" s="1"/>
      <c r="V11860" s="1"/>
      <c r="W11860" s="1"/>
      <c r="X11860" s="1"/>
      <c r="Y11860" s="1"/>
      <c r="Z11860" s="1"/>
      <c r="AA11860" s="1"/>
      <c r="AB11860" s="1"/>
    </row>
    <row r="11861" ht="50.25" customHeight="1">
      <c r="A11861" s="12">
        <v>11857.0</v>
      </c>
      <c r="B11861" s="13" t="s">
        <v>11694</v>
      </c>
      <c r="C11861" s="14" t="s">
        <v>11703</v>
      </c>
      <c r="D11861" s="1"/>
      <c r="E11861" s="1"/>
      <c r="F11861" s="1" t="str">
        <f>IFERROR(__xludf.DUMMYFUNCTION("GOOGLETRANSLATE(B11861, ""en"", ""fa"")
"),"زندگی پایدار")</f>
        <v>زندگی پایدار</v>
      </c>
      <c r="G11861" s="1" t="str">
        <f>IFERROR(__xludf.DUMMYFUNCTION("GOOGLETRANSLATE(C11861, ""en"", ""fa"")
"),"خود را در مورد شیوه های ماهیگیری پایدار آموزش دهید و غذاهای دریایی با منابع پایدار را انتخاب کنید.")</f>
        <v>خود را در مورد شیوه های ماهیگیری پایدار آموزش دهید و غذاهای دریایی با منابع پایدار را انتخاب کنید.</v>
      </c>
      <c r="H11861" s="1"/>
      <c r="I11861" s="1"/>
      <c r="J11861" s="1"/>
      <c r="K11861" s="1"/>
      <c r="L11861" s="1"/>
      <c r="M11861" s="1"/>
      <c r="N11861" s="1"/>
      <c r="O11861" s="1"/>
      <c r="P11861" s="1"/>
      <c r="Q11861" s="1"/>
      <c r="R11861" s="1"/>
      <c r="S11861" s="1"/>
      <c r="T11861" s="1"/>
      <c r="U11861" s="1"/>
      <c r="V11861" s="1"/>
      <c r="W11861" s="1"/>
      <c r="X11861" s="1"/>
      <c r="Y11861" s="1"/>
      <c r="Z11861" s="1"/>
      <c r="AA11861" s="1"/>
      <c r="AB11861" s="1"/>
    </row>
    <row r="11862" ht="50.25" customHeight="1">
      <c r="A11862" s="12">
        <v>11858.0</v>
      </c>
      <c r="B11862" s="13" t="s">
        <v>11694</v>
      </c>
      <c r="C11862" s="14" t="s">
        <v>11704</v>
      </c>
      <c r="D11862" s="1"/>
      <c r="E11862" s="1"/>
      <c r="F11862" s="1" t="str">
        <f>IFERROR(__xludf.DUMMYFUNCTION("GOOGLETRANSLATE(B11862, ""en"", ""fa"")
"),"زندگی پایدار")</f>
        <v>زندگی پایدار</v>
      </c>
      <c r="G11862" s="1" t="str">
        <f>IFERROR(__xludf.DUMMYFUNCTION("GOOGLETRANSLATE(C11862, ""en"", ""fa"")
"),"با انتخاب کیسه ها، بطری ها و ظروف قابل استفاده مجدد، زباله های پلاستیکی یکبار مصرف را کاهش دهید.")</f>
        <v>با انتخاب کیسه ها، بطری ها و ظروف قابل استفاده مجدد، زباله های پلاستیکی یکبار مصرف را کاهش دهید.</v>
      </c>
      <c r="H11862" s="1"/>
      <c r="I11862" s="1"/>
      <c r="J11862" s="1"/>
      <c r="K11862" s="1"/>
      <c r="L11862" s="1"/>
      <c r="M11862" s="1"/>
      <c r="N11862" s="1"/>
      <c r="O11862" s="1"/>
      <c r="P11862" s="1"/>
      <c r="Q11862" s="1"/>
      <c r="R11862" s="1"/>
      <c r="S11862" s="1"/>
      <c r="T11862" s="1"/>
      <c r="U11862" s="1"/>
      <c r="V11862" s="1"/>
      <c r="W11862" s="1"/>
      <c r="X11862" s="1"/>
      <c r="Y11862" s="1"/>
      <c r="Z11862" s="1"/>
      <c r="AA11862" s="1"/>
      <c r="AB11862" s="1"/>
    </row>
    <row r="11863" ht="50.25" customHeight="1">
      <c r="A11863" s="12">
        <v>11859.0</v>
      </c>
      <c r="B11863" s="13" t="s">
        <v>11694</v>
      </c>
      <c r="C11863" s="14" t="s">
        <v>11705</v>
      </c>
      <c r="D11863" s="1"/>
      <c r="E11863" s="1"/>
      <c r="F11863" s="1" t="str">
        <f>IFERROR(__xludf.DUMMYFUNCTION("GOOGLETRANSLATE(B11863, ""en"", ""fa"")
"),"زندگی پایدار")</f>
        <v>زندگی پایدار</v>
      </c>
      <c r="G11863" s="1" t="str">
        <f>IFERROR(__xludf.DUMMYFUNCTION("GOOGLETRANSLATE(C11863, ""en"", ""fa"")
"),"یک باغ خانگی راه اندازی کنید تا میوه ها و سبزیجات ارگانیک خود را پرورش دهید.")</f>
        <v>یک باغ خانگی راه اندازی کنید تا میوه ها و سبزیجات ارگانیک خود را پرورش دهید.</v>
      </c>
      <c r="H11863" s="1"/>
      <c r="I11863" s="1"/>
      <c r="J11863" s="1"/>
      <c r="K11863" s="1"/>
      <c r="L11863" s="1"/>
      <c r="M11863" s="1"/>
      <c r="N11863" s="1"/>
      <c r="O11863" s="1"/>
      <c r="P11863" s="1"/>
      <c r="Q11863" s="1"/>
      <c r="R11863" s="1"/>
      <c r="S11863" s="1"/>
      <c r="T11863" s="1"/>
      <c r="U11863" s="1"/>
      <c r="V11863" s="1"/>
      <c r="W11863" s="1"/>
      <c r="X11863" s="1"/>
      <c r="Y11863" s="1"/>
      <c r="Z11863" s="1"/>
      <c r="AA11863" s="1"/>
      <c r="AB11863" s="1"/>
    </row>
    <row r="11864" ht="50.25" customHeight="1">
      <c r="A11864" s="12">
        <v>11860.0</v>
      </c>
      <c r="B11864" s="13" t="s">
        <v>11694</v>
      </c>
      <c r="C11864" s="14" t="s">
        <v>11706</v>
      </c>
      <c r="D11864" s="1"/>
      <c r="E11864" s="1"/>
      <c r="F11864" s="1" t="str">
        <f>IFERROR(__xludf.DUMMYFUNCTION("GOOGLETRANSLATE(B11864, ""en"", ""fa"")
"),"زندگی پایدار")</f>
        <v>زندگی پایدار</v>
      </c>
      <c r="G11864" s="1" t="str">
        <f>IFERROR(__xludf.DUMMYFUNCTION("GOOGLETRANSLATE(C11864, ""en"", ""fa"")
"),"درباره برندهای پوشاک پایدار تحقیق کنید و انتخاب‌های مد آگاهانه داشته باشید.")</f>
        <v>درباره برندهای پوشاک پایدار تحقیق کنید و انتخاب‌های مد آگاهانه داشته باشید.</v>
      </c>
      <c r="H11864" s="1"/>
      <c r="I11864" s="1"/>
      <c r="J11864" s="1"/>
      <c r="K11864" s="1"/>
      <c r="L11864" s="1"/>
      <c r="M11864" s="1"/>
      <c r="N11864" s="1"/>
      <c r="O11864" s="1"/>
      <c r="P11864" s="1"/>
      <c r="Q11864" s="1"/>
      <c r="R11864" s="1"/>
      <c r="S11864" s="1"/>
      <c r="T11864" s="1"/>
      <c r="U11864" s="1"/>
      <c r="V11864" s="1"/>
      <c r="W11864" s="1"/>
      <c r="X11864" s="1"/>
      <c r="Y11864" s="1"/>
      <c r="Z11864" s="1"/>
      <c r="AA11864" s="1"/>
      <c r="AB11864" s="1"/>
    </row>
    <row r="11865" ht="50.25" customHeight="1">
      <c r="A11865" s="12">
        <v>11861.0</v>
      </c>
      <c r="B11865" s="13" t="s">
        <v>11694</v>
      </c>
      <c r="C11865" s="14" t="s">
        <v>11707</v>
      </c>
      <c r="D11865" s="1"/>
      <c r="E11865" s="1"/>
      <c r="F11865" s="1" t="str">
        <f>IFERROR(__xludf.DUMMYFUNCTION("GOOGLETRANSLATE(B11865, ""en"", ""fa"")
"),"زندگی پایدار")</f>
        <v>زندگی پایدار</v>
      </c>
      <c r="G11865" s="1" t="str">
        <f>IFERROR(__xludf.DUMMYFUNCTION("GOOGLETRANSLATE(C11865, ""en"", ""fa"")
"),"""کاهش، استفاده مجدد، بازیافت"" را با استفاده مجدد از اقلام و اهدای وسایلی که به آرامی استفاده شده اند را تمرین کنید.")</f>
        <v>"کاهش، استفاده مجدد، بازیافت" را با استفاده مجدد از اقلام و اهدای وسایلی که به آرامی استفاده شده اند را تمرین کنید.</v>
      </c>
      <c r="H11865" s="1"/>
      <c r="I11865" s="1"/>
      <c r="J11865" s="1"/>
      <c r="K11865" s="1"/>
      <c r="L11865" s="1"/>
      <c r="M11865" s="1"/>
      <c r="N11865" s="1"/>
      <c r="O11865" s="1"/>
      <c r="P11865" s="1"/>
      <c r="Q11865" s="1"/>
      <c r="R11865" s="1"/>
      <c r="S11865" s="1"/>
      <c r="T11865" s="1"/>
      <c r="U11865" s="1"/>
      <c r="V11865" s="1"/>
      <c r="W11865" s="1"/>
      <c r="X11865" s="1"/>
      <c r="Y11865" s="1"/>
      <c r="Z11865" s="1"/>
      <c r="AA11865" s="1"/>
      <c r="AB11865" s="1"/>
    </row>
    <row r="11866" ht="50.25" customHeight="1">
      <c r="A11866" s="12">
        <v>11862.0</v>
      </c>
      <c r="B11866" s="13" t="s">
        <v>11694</v>
      </c>
      <c r="C11866" s="14" t="s">
        <v>11708</v>
      </c>
      <c r="D11866" s="1"/>
      <c r="E11866" s="1"/>
      <c r="F11866" s="1" t="str">
        <f>IFERROR(__xludf.DUMMYFUNCTION("GOOGLETRANSLATE(B11866, ""en"", ""fa"")
"),"زندگی پایدار")</f>
        <v>زندگی پایدار</v>
      </c>
      <c r="G11866" s="1" t="str">
        <f>IFERROR(__xludf.DUMMYFUNCTION("GOOGLETRANSLATE(C11866, ""en"", ""fa"")
"),"گزینه های حمل و نقل جایگزین، مانند دوچرخه سواری، پیاده روی، یا استفاده از حمل و نقل عمومی را کاوش کنید.")</f>
        <v>گزینه های حمل و نقل جایگزین، مانند دوچرخه سواری، پیاده روی، یا استفاده از حمل و نقل عمومی را کاوش کنید.</v>
      </c>
      <c r="H11866" s="1"/>
      <c r="I11866" s="1"/>
      <c r="J11866" s="1"/>
      <c r="K11866" s="1"/>
      <c r="L11866" s="1"/>
      <c r="M11866" s="1"/>
      <c r="N11866" s="1"/>
      <c r="O11866" s="1"/>
      <c r="P11866" s="1"/>
      <c r="Q11866" s="1"/>
      <c r="R11866" s="1"/>
      <c r="S11866" s="1"/>
      <c r="T11866" s="1"/>
      <c r="U11866" s="1"/>
      <c r="V11866" s="1"/>
      <c r="W11866" s="1"/>
      <c r="X11866" s="1"/>
      <c r="Y11866" s="1"/>
      <c r="Z11866" s="1"/>
      <c r="AA11866" s="1"/>
      <c r="AB11866" s="1"/>
    </row>
    <row r="11867" ht="50.25" customHeight="1">
      <c r="A11867" s="12">
        <v>11863.0</v>
      </c>
      <c r="B11867" s="13" t="s">
        <v>11694</v>
      </c>
      <c r="C11867" s="14" t="s">
        <v>11709</v>
      </c>
      <c r="D11867" s="1"/>
      <c r="E11867" s="1"/>
      <c r="F11867" s="1" t="str">
        <f>IFERROR(__xludf.DUMMYFUNCTION("GOOGLETRANSLATE(B11867, ""en"", ""fa"")
"),"زندگی پایدار")</f>
        <v>زندگی پایدار</v>
      </c>
      <c r="G11867" s="1" t="str">
        <f>IFERROR(__xludf.DUMMYFUNCTION("GOOGLETRANSLATE(C11867, ""en"", ""fa"")
"),"ردپای کربن خود را محاسبه کنید و اهدافی را برای کاهش آن در طول زمان تعیین کنید.")</f>
        <v>ردپای کربن خود را محاسبه کنید و اهدافی را برای کاهش آن در طول زمان تعیین کنید.</v>
      </c>
      <c r="H11867" s="1"/>
      <c r="I11867" s="1"/>
      <c r="J11867" s="1"/>
      <c r="K11867" s="1"/>
      <c r="L11867" s="1"/>
      <c r="M11867" s="1"/>
      <c r="N11867" s="1"/>
      <c r="O11867" s="1"/>
      <c r="P11867" s="1"/>
      <c r="Q11867" s="1"/>
      <c r="R11867" s="1"/>
      <c r="S11867" s="1"/>
      <c r="T11867" s="1"/>
      <c r="U11867" s="1"/>
      <c r="V11867" s="1"/>
      <c r="W11867" s="1"/>
      <c r="X11867" s="1"/>
      <c r="Y11867" s="1"/>
      <c r="Z11867" s="1"/>
      <c r="AA11867" s="1"/>
      <c r="AB11867" s="1"/>
    </row>
    <row r="11868" ht="50.25" customHeight="1">
      <c r="A11868" s="12">
        <v>11864.0</v>
      </c>
      <c r="B11868" s="13" t="s">
        <v>11694</v>
      </c>
      <c r="C11868" s="14" t="s">
        <v>11710</v>
      </c>
      <c r="D11868" s="1"/>
      <c r="E11868" s="1"/>
      <c r="F11868" s="1" t="str">
        <f>IFERROR(__xludf.DUMMYFUNCTION("GOOGLETRANSLATE(B11868, ""en"", ""fa"")
"),"زندگی پایدار")</f>
        <v>زندگی پایدار</v>
      </c>
      <c r="G11868" s="1" t="str">
        <f>IFERROR(__xludf.DUMMYFUNCTION("GOOGLETRANSLATE(C11868, ""en"", ""fa"")
"),"لامپ های سنتی را با لامپ های LED کم مصرف جایگزین کنید.")</f>
        <v>لامپ های سنتی را با لامپ های LED کم مصرف جایگزین کنید.</v>
      </c>
      <c r="H11868" s="1"/>
      <c r="I11868" s="1"/>
      <c r="J11868" s="1"/>
      <c r="K11868" s="1"/>
      <c r="L11868" s="1"/>
      <c r="M11868" s="1"/>
      <c r="N11868" s="1"/>
      <c r="O11868" s="1"/>
      <c r="P11868" s="1"/>
      <c r="Q11868" s="1"/>
      <c r="R11868" s="1"/>
      <c r="S11868" s="1"/>
      <c r="T11868" s="1"/>
      <c r="U11868" s="1"/>
      <c r="V11868" s="1"/>
      <c r="W11868" s="1"/>
      <c r="X11868" s="1"/>
      <c r="Y11868" s="1"/>
      <c r="Z11868" s="1"/>
      <c r="AA11868" s="1"/>
      <c r="AB11868" s="1"/>
    </row>
    <row r="11869" ht="50.25" customHeight="1">
      <c r="A11869" s="12">
        <v>11865.0</v>
      </c>
      <c r="B11869" s="13" t="s">
        <v>11694</v>
      </c>
      <c r="C11869" s="14" t="s">
        <v>11711</v>
      </c>
      <c r="D11869" s="1"/>
      <c r="E11869" s="1"/>
      <c r="F11869" s="1" t="str">
        <f>IFERROR(__xludf.DUMMYFUNCTION("GOOGLETRANSLATE(B11869, ""en"", ""fa"")
"),"زندگی پایدار")</f>
        <v>زندگی پایدار</v>
      </c>
      <c r="G11869" s="1" t="str">
        <f>IFERROR(__xludf.DUMMYFUNCTION("GOOGLETRANSLATE(C11869, ""en"", ""fa"")
"),"برای بهینه سازی مصرف انرژی در خانه خود، روی یک ترموستات قابل برنامه ریزی سرمایه گذاری کنید.")</f>
        <v>برای بهینه سازی مصرف انرژی در خانه خود، روی یک ترموستات قابل برنامه ریزی سرمایه گذاری کنید.</v>
      </c>
      <c r="H11869" s="1"/>
      <c r="I11869" s="1"/>
      <c r="J11869" s="1"/>
      <c r="K11869" s="1"/>
      <c r="L11869" s="1"/>
      <c r="M11869" s="1"/>
      <c r="N11869" s="1"/>
      <c r="O11869" s="1"/>
      <c r="P11869" s="1"/>
      <c r="Q11869" s="1"/>
      <c r="R11869" s="1"/>
      <c r="S11869" s="1"/>
      <c r="T11869" s="1"/>
      <c r="U11869" s="1"/>
      <c r="V11869" s="1"/>
      <c r="W11869" s="1"/>
      <c r="X11869" s="1"/>
      <c r="Y11869" s="1"/>
      <c r="Z11869" s="1"/>
      <c r="AA11869" s="1"/>
      <c r="AB11869" s="1"/>
    </row>
    <row r="11870" ht="50.25" customHeight="1">
      <c r="A11870" s="12">
        <v>11866.0</v>
      </c>
      <c r="B11870" s="13" t="s">
        <v>11694</v>
      </c>
      <c r="C11870" s="14" t="s">
        <v>11712</v>
      </c>
      <c r="D11870" s="1"/>
      <c r="E11870" s="1"/>
      <c r="F11870" s="1" t="str">
        <f>IFERROR(__xludf.DUMMYFUNCTION("GOOGLETRANSLATE(B11870, ""en"", ""fa"")
"),"زندگی پایدار")</f>
        <v>زندگی پایدار</v>
      </c>
      <c r="G11870" s="1" t="str">
        <f>IFERROR(__xludf.DUMMYFUNCTION("GOOGLETRANSLATE(C11870, ""en"", ""fa"")
"),"از شرکت ها با شیوه های بسته بندی پایدار و حداقل ضایعات حمایت کنید.")</f>
        <v>از شرکت ها با شیوه های بسته بندی پایدار و حداقل ضایعات حمایت کنید.</v>
      </c>
      <c r="H11870" s="1"/>
      <c r="I11870" s="1"/>
      <c r="J11870" s="1"/>
      <c r="K11870" s="1"/>
      <c r="L11870" s="1"/>
      <c r="M11870" s="1"/>
      <c r="N11870" s="1"/>
      <c r="O11870" s="1"/>
      <c r="P11870" s="1"/>
      <c r="Q11870" s="1"/>
      <c r="R11870" s="1"/>
      <c r="S11870" s="1"/>
      <c r="T11870" s="1"/>
      <c r="U11870" s="1"/>
      <c r="V11870" s="1"/>
      <c r="W11870" s="1"/>
      <c r="X11870" s="1"/>
      <c r="Y11870" s="1"/>
      <c r="Z11870" s="1"/>
      <c r="AA11870" s="1"/>
      <c r="AB11870" s="1"/>
    </row>
    <row r="11871" ht="50.25" customHeight="1">
      <c r="A11871" s="12">
        <v>11867.0</v>
      </c>
      <c r="B11871" s="13" t="s">
        <v>11694</v>
      </c>
      <c r="C11871" s="14" t="s">
        <v>11713</v>
      </c>
      <c r="D11871" s="1"/>
      <c r="E11871" s="1"/>
      <c r="F11871" s="1" t="str">
        <f>IFERROR(__xludf.DUMMYFUNCTION("GOOGLETRANSLATE(B11871, ""en"", ""fa"")
"),"زندگی پایدار")</f>
        <v>زندگی پایدار</v>
      </c>
      <c r="G11871" s="1" t="str">
        <f>IFERROR(__xludf.DUMMYFUNCTION("GOOGLETRANSLATE(C11871, ""en"", ""fa"")
"),"خود را در مورد محصولات پاک کننده سازگار با محیط زیست آموزش دهید و تغییر دهید.")</f>
        <v>خود را در مورد محصولات پاک کننده سازگار با محیط زیست آموزش دهید و تغییر دهید.</v>
      </c>
      <c r="H11871" s="1"/>
      <c r="I11871" s="1"/>
      <c r="J11871" s="1"/>
      <c r="K11871" s="1"/>
      <c r="L11871" s="1"/>
      <c r="M11871" s="1"/>
      <c r="N11871" s="1"/>
      <c r="O11871" s="1"/>
      <c r="P11871" s="1"/>
      <c r="Q11871" s="1"/>
      <c r="R11871" s="1"/>
      <c r="S11871" s="1"/>
      <c r="T11871" s="1"/>
      <c r="U11871" s="1"/>
      <c r="V11871" s="1"/>
      <c r="W11871" s="1"/>
      <c r="X11871" s="1"/>
      <c r="Y11871" s="1"/>
      <c r="Z11871" s="1"/>
      <c r="AA11871" s="1"/>
      <c r="AB11871" s="1"/>
    </row>
    <row r="11872" ht="50.25" customHeight="1">
      <c r="A11872" s="12">
        <v>11868.0</v>
      </c>
      <c r="B11872" s="13" t="s">
        <v>11694</v>
      </c>
      <c r="C11872" s="14" t="s">
        <v>11714</v>
      </c>
      <c r="D11872" s="1"/>
      <c r="E11872" s="1"/>
      <c r="F11872" s="1" t="str">
        <f>IFERROR(__xludf.DUMMYFUNCTION("GOOGLETRANSLATE(B11872, ""en"", ""fa"")
"),"زندگی پایدار")</f>
        <v>زندگی پایدار</v>
      </c>
      <c r="G11872" s="1" t="str">
        <f>IFERROR(__xludf.DUMMYFUNCTION("GOOGLETRANSLATE(C11872, ""en"", ""fa"")
"),"با استفاده از جایگزین های دیجیتالی برای یادداشت برداری و مستندسازی، مصرف کاغذ را کاهش دهید.")</f>
        <v>با استفاده از جایگزین های دیجیتالی برای یادداشت برداری و مستندسازی، مصرف کاغذ را کاهش دهید.</v>
      </c>
      <c r="H11872" s="1"/>
      <c r="I11872" s="1"/>
      <c r="J11872" s="1"/>
      <c r="K11872" s="1"/>
      <c r="L11872" s="1"/>
      <c r="M11872" s="1"/>
      <c r="N11872" s="1"/>
      <c r="O11872" s="1"/>
      <c r="P11872" s="1"/>
      <c r="Q11872" s="1"/>
      <c r="R11872" s="1"/>
      <c r="S11872" s="1"/>
      <c r="T11872" s="1"/>
      <c r="U11872" s="1"/>
      <c r="V11872" s="1"/>
      <c r="W11872" s="1"/>
      <c r="X11872" s="1"/>
      <c r="Y11872" s="1"/>
      <c r="Z11872" s="1"/>
      <c r="AA11872" s="1"/>
      <c r="AB11872" s="1"/>
    </row>
    <row r="11873" ht="50.25" customHeight="1">
      <c r="A11873" s="12">
        <v>11869.0</v>
      </c>
      <c r="B11873" s="13" t="s">
        <v>11694</v>
      </c>
      <c r="C11873" s="14" t="s">
        <v>11715</v>
      </c>
      <c r="D11873" s="1"/>
      <c r="E11873" s="1"/>
      <c r="F11873" s="1" t="str">
        <f>IFERROR(__xludf.DUMMYFUNCTION("GOOGLETRANSLATE(B11873, ""en"", ""fa"")
"),"زندگی پایدار")</f>
        <v>زندگی پایدار</v>
      </c>
      <c r="G11873" s="1" t="str">
        <f>IFERROR(__xludf.DUMMYFUNCTION("GOOGLETRANSLATE(C11873, ""en"", ""fa"")
"),"وسایل کم مصرف مانند ماشین لباسشویی و یخچال را انتخاب کنید.")</f>
        <v>وسایل کم مصرف مانند ماشین لباسشویی و یخچال را انتخاب کنید.</v>
      </c>
      <c r="H11873" s="1"/>
      <c r="I11873" s="1"/>
      <c r="J11873" s="1"/>
      <c r="K11873" s="1"/>
      <c r="L11873" s="1"/>
      <c r="M11873" s="1"/>
      <c r="N11873" s="1"/>
      <c r="O11873" s="1"/>
      <c r="P11873" s="1"/>
      <c r="Q11873" s="1"/>
      <c r="R11873" s="1"/>
      <c r="S11873" s="1"/>
      <c r="T11873" s="1"/>
      <c r="U11873" s="1"/>
      <c r="V11873" s="1"/>
      <c r="W11873" s="1"/>
      <c r="X11873" s="1"/>
      <c r="Y11873" s="1"/>
      <c r="Z11873" s="1"/>
      <c r="AA11873" s="1"/>
      <c r="AB11873" s="1"/>
    </row>
    <row r="11874" ht="50.25" customHeight="1">
      <c r="A11874" s="12">
        <v>11870.0</v>
      </c>
      <c r="B11874" s="13" t="s">
        <v>11694</v>
      </c>
      <c r="C11874" s="14" t="s">
        <v>11716</v>
      </c>
      <c r="D11874" s="1"/>
      <c r="E11874" s="1"/>
      <c r="F11874" s="1" t="str">
        <f>IFERROR(__xludf.DUMMYFUNCTION("GOOGLETRANSLATE(B11874, ""en"", ""fa"")
"),"زندگی پایدار")</f>
        <v>زندگی پایدار</v>
      </c>
      <c r="G11874" s="1" t="str">
        <f>IFERROR(__xludf.DUMMYFUNCTION("GOOGLETRANSLATE(C11874, ""en"", ""fa"")
"),"داوطلبانه برای سازمان های محیط زیست محلی برای حمایت از طرح های پایدار.")</f>
        <v>داوطلبانه برای سازمان های محیط زیست محلی برای حمایت از طرح های پایدار.</v>
      </c>
      <c r="H11874" s="1"/>
      <c r="I11874" s="1"/>
      <c r="J11874" s="1"/>
      <c r="K11874" s="1"/>
      <c r="L11874" s="1"/>
      <c r="M11874" s="1"/>
      <c r="N11874" s="1"/>
      <c r="O11874" s="1"/>
      <c r="P11874" s="1"/>
      <c r="Q11874" s="1"/>
      <c r="R11874" s="1"/>
      <c r="S11874" s="1"/>
      <c r="T11874" s="1"/>
      <c r="U11874" s="1"/>
      <c r="V11874" s="1"/>
      <c r="W11874" s="1"/>
      <c r="X11874" s="1"/>
      <c r="Y11874" s="1"/>
      <c r="Z11874" s="1"/>
      <c r="AA11874" s="1"/>
      <c r="AB11874" s="1"/>
    </row>
    <row r="11875" ht="50.25" customHeight="1">
      <c r="A11875" s="12">
        <v>11871.0</v>
      </c>
      <c r="B11875" s="13" t="s">
        <v>11694</v>
      </c>
      <c r="C11875" s="14" t="s">
        <v>11717</v>
      </c>
      <c r="D11875" s="1"/>
      <c r="E11875" s="1"/>
      <c r="F11875" s="1" t="str">
        <f>IFERROR(__xludf.DUMMYFUNCTION("GOOGLETRANSLATE(B11875, ""en"", ""fa"")
"),"زندگی پایدار")</f>
        <v>زندگی پایدار</v>
      </c>
      <c r="G11875" s="1" t="str">
        <f>IFERROR(__xludf.DUMMYFUNCTION("GOOGLETRANSLATE(C11875, ""en"", ""fa"")
"),"مفهوم مینیمالیسم را کاوش کنید و فضای زندگی خود را شلوغ کنید.")</f>
        <v>مفهوم مینیمالیسم را کاوش کنید و فضای زندگی خود را شلوغ کنید.</v>
      </c>
      <c r="H11875" s="1"/>
      <c r="I11875" s="1"/>
      <c r="J11875" s="1"/>
      <c r="K11875" s="1"/>
      <c r="L11875" s="1"/>
      <c r="M11875" s="1"/>
      <c r="N11875" s="1"/>
      <c r="O11875" s="1"/>
      <c r="P11875" s="1"/>
      <c r="Q11875" s="1"/>
      <c r="R11875" s="1"/>
      <c r="S11875" s="1"/>
      <c r="T11875" s="1"/>
      <c r="U11875" s="1"/>
      <c r="V11875" s="1"/>
      <c r="W11875" s="1"/>
      <c r="X11875" s="1"/>
      <c r="Y11875" s="1"/>
      <c r="Z11875" s="1"/>
      <c r="AA11875" s="1"/>
      <c r="AB11875" s="1"/>
    </row>
    <row r="11876" ht="50.25" customHeight="1">
      <c r="A11876" s="12">
        <v>11872.0</v>
      </c>
      <c r="B11876" s="13" t="s">
        <v>11694</v>
      </c>
      <c r="C11876" s="14" t="s">
        <v>11718</v>
      </c>
      <c r="D11876" s="1"/>
      <c r="E11876" s="1"/>
      <c r="F11876" s="1" t="str">
        <f>IFERROR(__xludf.DUMMYFUNCTION("GOOGLETRANSLATE(B11876, ""en"", ""fa"")
"),"زندگی پایدار")</f>
        <v>زندگی پایدار</v>
      </c>
      <c r="G11876" s="1" t="str">
        <f>IFERROR(__xludf.DUMMYFUNCTION("GOOGLETRANSLATE(C11876, ""en"", ""fa"")
"),"میزبانی تعویض لباس یا فروش گاراژ برای دادن زندگی جدید به اقلام استفاده نشده.")</f>
        <v>میزبانی تعویض لباس یا فروش گاراژ برای دادن زندگی جدید به اقلام استفاده نشده.</v>
      </c>
      <c r="H11876" s="1"/>
      <c r="I11876" s="1"/>
      <c r="J11876" s="1"/>
      <c r="K11876" s="1"/>
      <c r="L11876" s="1"/>
      <c r="M11876" s="1"/>
      <c r="N11876" s="1"/>
      <c r="O11876" s="1"/>
      <c r="P11876" s="1"/>
      <c r="Q11876" s="1"/>
      <c r="R11876" s="1"/>
      <c r="S11876" s="1"/>
      <c r="T11876" s="1"/>
      <c r="U11876" s="1"/>
      <c r="V11876" s="1"/>
      <c r="W11876" s="1"/>
      <c r="X11876" s="1"/>
      <c r="Y11876" s="1"/>
      <c r="Z11876" s="1"/>
      <c r="AA11876" s="1"/>
      <c r="AB11876" s="1"/>
    </row>
    <row r="11877" ht="50.25" customHeight="1">
      <c r="A11877" s="12">
        <v>11873.0</v>
      </c>
      <c r="B11877" s="13" t="s">
        <v>11694</v>
      </c>
      <c r="C11877" s="14" t="s">
        <v>11719</v>
      </c>
      <c r="D11877" s="1"/>
      <c r="E11877" s="1"/>
      <c r="F11877" s="1" t="str">
        <f>IFERROR(__xludf.DUMMYFUNCTION("GOOGLETRANSLATE(B11877, ""en"", ""fa"")
"),"زندگی پایدار")</f>
        <v>زندگی پایدار</v>
      </c>
      <c r="G11877" s="1" t="str">
        <f>IFERROR(__xludf.DUMMYFUNCTION("GOOGLETRANSLATE(C11877, ""en"", ""fa"")
"),"بشکه های باران را برای جمع آوری و استفاده از آب باران برای باغبانی و سایر مقاصد غیر شرب نصب کنید.")</f>
        <v>بشکه های باران را برای جمع آوری و استفاده از آب باران برای باغبانی و سایر مقاصد غیر شرب نصب کنید.</v>
      </c>
      <c r="H11877" s="1"/>
      <c r="I11877" s="1"/>
      <c r="J11877" s="1"/>
      <c r="K11877" s="1"/>
      <c r="L11877" s="1"/>
      <c r="M11877" s="1"/>
      <c r="N11877" s="1"/>
      <c r="O11877" s="1"/>
      <c r="P11877" s="1"/>
      <c r="Q11877" s="1"/>
      <c r="R11877" s="1"/>
      <c r="S11877" s="1"/>
      <c r="T11877" s="1"/>
      <c r="U11877" s="1"/>
      <c r="V11877" s="1"/>
      <c r="W11877" s="1"/>
      <c r="X11877" s="1"/>
      <c r="Y11877" s="1"/>
      <c r="Z11877" s="1"/>
      <c r="AA11877" s="1"/>
      <c r="AB11877" s="1"/>
    </row>
    <row r="11878" ht="50.25" customHeight="1">
      <c r="A11878" s="12">
        <v>11874.0</v>
      </c>
      <c r="B11878" s="13" t="s">
        <v>11694</v>
      </c>
      <c r="C11878" s="14" t="s">
        <v>11720</v>
      </c>
      <c r="D11878" s="1"/>
      <c r="E11878" s="1"/>
      <c r="F11878" s="1" t="str">
        <f>IFERROR(__xludf.DUMMYFUNCTION("GOOGLETRANSLATE(B11878, ""en"", ""fa"")
"),"زندگی پایدار")</f>
        <v>زندگی پایدار</v>
      </c>
      <c r="G11878" s="1" t="str">
        <f>IFERROR(__xludf.DUMMYFUNCTION("GOOGLETRANSLATE(C11878, ""en"", ""fa"")
"),"تکنیک های صرفه جویی در مصرف آب را در باغ خود اجرا کنید، مانند آبیاری قطره ای.")</f>
        <v>تکنیک های صرفه جویی در مصرف آب را در باغ خود اجرا کنید، مانند آبیاری قطره ای.</v>
      </c>
      <c r="H11878" s="1"/>
      <c r="I11878" s="1"/>
      <c r="J11878" s="1"/>
      <c r="K11878" s="1"/>
      <c r="L11878" s="1"/>
      <c r="M11878" s="1"/>
      <c r="N11878" s="1"/>
      <c r="O11878" s="1"/>
      <c r="P11878" s="1"/>
      <c r="Q11878" s="1"/>
      <c r="R11878" s="1"/>
      <c r="S11878" s="1"/>
      <c r="T11878" s="1"/>
      <c r="U11878" s="1"/>
      <c r="V11878" s="1"/>
      <c r="W11878" s="1"/>
      <c r="X11878" s="1"/>
      <c r="Y11878" s="1"/>
      <c r="Z11878" s="1"/>
      <c r="AA11878" s="1"/>
      <c r="AB11878" s="1"/>
    </row>
    <row r="11879" ht="50.25" customHeight="1">
      <c r="A11879" s="12">
        <v>11875.0</v>
      </c>
      <c r="B11879" s="13" t="s">
        <v>11694</v>
      </c>
      <c r="C11879" s="14" t="s">
        <v>11721</v>
      </c>
      <c r="D11879" s="1"/>
      <c r="E11879" s="1"/>
      <c r="F11879" s="1" t="str">
        <f>IFERROR(__xludf.DUMMYFUNCTION("GOOGLETRANSLATE(B11879, ""en"", ""fa"")
"),"زندگی پایدار")</f>
        <v>زندگی پایدار</v>
      </c>
      <c r="G11879" s="1" t="str">
        <f>IFERROR(__xludf.DUMMYFUNCTION("GOOGLETRANSLATE(C11879, ""en"", ""fa"")
"),"خود را در مورد مزایای دوچرخه‌سواری بالا بیاموزید و در پروژه‌های DIY تلاش کنید.")</f>
        <v>خود را در مورد مزایای دوچرخه‌سواری بالا بیاموزید و در پروژه‌های DIY تلاش کنید.</v>
      </c>
      <c r="H11879" s="1"/>
      <c r="I11879" s="1"/>
      <c r="J11879" s="1"/>
      <c r="K11879" s="1"/>
      <c r="L11879" s="1"/>
      <c r="M11879" s="1"/>
      <c r="N11879" s="1"/>
      <c r="O11879" s="1"/>
      <c r="P11879" s="1"/>
      <c r="Q11879" s="1"/>
      <c r="R11879" s="1"/>
      <c r="S11879" s="1"/>
      <c r="T11879" s="1"/>
      <c r="U11879" s="1"/>
      <c r="V11879" s="1"/>
      <c r="W11879" s="1"/>
      <c r="X11879" s="1"/>
      <c r="Y11879" s="1"/>
      <c r="Z11879" s="1"/>
      <c r="AA11879" s="1"/>
      <c r="AB11879" s="1"/>
    </row>
    <row r="11880" ht="50.25" customHeight="1">
      <c r="A11880" s="12">
        <v>11876.0</v>
      </c>
      <c r="B11880" s="13" t="s">
        <v>11694</v>
      </c>
      <c r="C11880" s="14" t="s">
        <v>11722</v>
      </c>
      <c r="D11880" s="1"/>
      <c r="E11880" s="1"/>
      <c r="F11880" s="1" t="str">
        <f>IFERROR(__xludf.DUMMYFUNCTION("GOOGLETRANSLATE(B11880, ""en"", ""fa"")
"),"زندگی پایدار")</f>
        <v>زندگی پایدار</v>
      </c>
      <c r="G11880" s="1" t="str">
        <f>IFERROR(__xludf.DUMMYFUNCTION("GOOGLETRANSLATE(C11880, ""en"", ""fa"")
"),"با انتخاب محصولاتی با چوب دارای گواهی FSC از جنگلداری پایدار حمایت کنید.")</f>
        <v>با انتخاب محصولاتی با چوب دارای گواهی FSC از جنگلداری پایدار حمایت کنید.</v>
      </c>
      <c r="H11880" s="1"/>
      <c r="I11880" s="1"/>
      <c r="J11880" s="1"/>
      <c r="K11880" s="1"/>
      <c r="L11880" s="1"/>
      <c r="M11880" s="1"/>
      <c r="N11880" s="1"/>
      <c r="O11880" s="1"/>
      <c r="P11880" s="1"/>
      <c r="Q11880" s="1"/>
      <c r="R11880" s="1"/>
      <c r="S11880" s="1"/>
      <c r="T11880" s="1"/>
      <c r="U11880" s="1"/>
      <c r="V11880" s="1"/>
      <c r="W11880" s="1"/>
      <c r="X11880" s="1"/>
      <c r="Y11880" s="1"/>
      <c r="Z11880" s="1"/>
      <c r="AA11880" s="1"/>
      <c r="AB11880" s="1"/>
    </row>
    <row r="11881" ht="50.25" customHeight="1">
      <c r="A11881" s="12">
        <v>11877.0</v>
      </c>
      <c r="B11881" s="13" t="s">
        <v>11694</v>
      </c>
      <c r="C11881" s="14" t="s">
        <v>11723</v>
      </c>
      <c r="D11881" s="1"/>
      <c r="E11881" s="1"/>
      <c r="F11881" s="1" t="str">
        <f>IFERROR(__xludf.DUMMYFUNCTION("GOOGLETRANSLATE(B11881, ""en"", ""fa"")
"),"زندگی پایدار")</f>
        <v>زندگی پایدار</v>
      </c>
      <c r="G11881" s="1" t="str">
        <f>IFERROR(__xludf.DUMMYFUNCTION("GOOGLETRANSLATE(C11881, ""en"", ""fa"")
"),"با برنامه‌ریزی وعده‌های غذایی، خرید عمدی و استفاده خلاقانه از باقی‌مانده مواد غذایی، ضایعات مواد غذایی را کاهش دهید.")</f>
        <v>با برنامه‌ریزی وعده‌های غذایی، خرید عمدی و استفاده خلاقانه از باقی‌مانده مواد غذایی، ضایعات مواد غذایی را کاهش دهید.</v>
      </c>
      <c r="H11881" s="1"/>
      <c r="I11881" s="1"/>
      <c r="J11881" s="1"/>
      <c r="K11881" s="1"/>
      <c r="L11881" s="1"/>
      <c r="M11881" s="1"/>
      <c r="N11881" s="1"/>
      <c r="O11881" s="1"/>
      <c r="P11881" s="1"/>
      <c r="Q11881" s="1"/>
      <c r="R11881" s="1"/>
      <c r="S11881" s="1"/>
      <c r="T11881" s="1"/>
      <c r="U11881" s="1"/>
      <c r="V11881" s="1"/>
      <c r="W11881" s="1"/>
      <c r="X11881" s="1"/>
      <c r="Y11881" s="1"/>
      <c r="Z11881" s="1"/>
      <c r="AA11881" s="1"/>
      <c r="AB11881" s="1"/>
    </row>
    <row r="11882" ht="50.25" customHeight="1">
      <c r="A11882" s="12">
        <v>11878.0</v>
      </c>
      <c r="B11882" s="13" t="s">
        <v>11694</v>
      </c>
      <c r="C11882" s="14" t="s">
        <v>11724</v>
      </c>
      <c r="D11882" s="1"/>
      <c r="E11882" s="1"/>
      <c r="F11882" s="1" t="str">
        <f>IFERROR(__xludf.DUMMYFUNCTION("GOOGLETRANSLATE(B11882, ""en"", ""fa"")
"),"زندگی پایدار")</f>
        <v>زندگی پایدار</v>
      </c>
      <c r="G11882" s="1" t="str">
        <f>IFERROR(__xludf.DUMMYFUNCTION("GOOGLETRANSLATE(C11882, ""en"", ""fa"")
"),"در مورد تأثیر مد سریع بیاموزید و لباس های پایدار و اخلاقی را انتخاب کنید.")</f>
        <v>در مورد تأثیر مد سریع بیاموزید و لباس های پایدار و اخلاقی را انتخاب کنید.</v>
      </c>
      <c r="H11882" s="1"/>
      <c r="I11882" s="1"/>
      <c r="J11882" s="1"/>
      <c r="K11882" s="1"/>
      <c r="L11882" s="1"/>
      <c r="M11882" s="1"/>
      <c r="N11882" s="1"/>
      <c r="O11882" s="1"/>
      <c r="P11882" s="1"/>
      <c r="Q11882" s="1"/>
      <c r="R11882" s="1"/>
      <c r="S11882" s="1"/>
      <c r="T11882" s="1"/>
      <c r="U11882" s="1"/>
      <c r="V11882" s="1"/>
      <c r="W11882" s="1"/>
      <c r="X11882" s="1"/>
      <c r="Y11882" s="1"/>
      <c r="Z11882" s="1"/>
      <c r="AA11882" s="1"/>
      <c r="AB11882" s="1"/>
    </row>
    <row r="11883" ht="50.25" customHeight="1">
      <c r="A11883" s="12">
        <v>11879.0</v>
      </c>
      <c r="B11883" s="13" t="s">
        <v>11694</v>
      </c>
      <c r="C11883" s="14" t="s">
        <v>11725</v>
      </c>
      <c r="D11883" s="1"/>
      <c r="E11883" s="1"/>
      <c r="F11883" s="1" t="str">
        <f>IFERROR(__xludf.DUMMYFUNCTION("GOOGLETRANSLATE(B11883, ""en"", ""fa"")
"),"زندگی پایدار")</f>
        <v>زندگی پایدار</v>
      </c>
      <c r="G11883" s="1" t="str">
        <f>IFERROR(__xludf.DUMMYFUNCTION("GOOGLETRANSLATE(C11883, ""en"", ""fa"")
"),"با زیر سوال بردن ضرورت خریدهای جدید، مصرف آگاهانه را تمرین کنید.")</f>
        <v>با زیر سوال بردن ضرورت خریدهای جدید، مصرف آگاهانه را تمرین کنید.</v>
      </c>
      <c r="H11883" s="1"/>
      <c r="I11883" s="1"/>
      <c r="J11883" s="1"/>
      <c r="K11883" s="1"/>
      <c r="L11883" s="1"/>
      <c r="M11883" s="1"/>
      <c r="N11883" s="1"/>
      <c r="O11883" s="1"/>
      <c r="P11883" s="1"/>
      <c r="Q11883" s="1"/>
      <c r="R11883" s="1"/>
      <c r="S11883" s="1"/>
      <c r="T11883" s="1"/>
      <c r="U11883" s="1"/>
      <c r="V11883" s="1"/>
      <c r="W11883" s="1"/>
      <c r="X11883" s="1"/>
      <c r="Y11883" s="1"/>
      <c r="Z11883" s="1"/>
      <c r="AA11883" s="1"/>
      <c r="AB11883" s="1"/>
    </row>
    <row r="11884" ht="50.25" customHeight="1">
      <c r="A11884" s="12">
        <v>11880.0</v>
      </c>
      <c r="B11884" s="13" t="s">
        <v>11694</v>
      </c>
      <c r="C11884" s="14" t="s">
        <v>11726</v>
      </c>
      <c r="D11884" s="1"/>
      <c r="E11884" s="1"/>
      <c r="F11884" s="1" t="str">
        <f>IFERROR(__xludf.DUMMYFUNCTION("GOOGLETRANSLATE(B11884, ""en"", ""fa"")
"),"زندگی پایدار")</f>
        <v>زندگی پایدار</v>
      </c>
      <c r="G11884" s="1" t="str">
        <f>IFERROR(__xludf.DUMMYFUNCTION("GOOGLETRANSLATE(C11884, ""en"", ""fa"")
"),"تحقیق در مورد مواد و روش های ساختمان سبز برای پروژه های خانه های آینده.")</f>
        <v>تحقیق در مورد مواد و روش های ساختمان سبز برای پروژه های خانه های آینده.</v>
      </c>
      <c r="H11884" s="1"/>
      <c r="I11884" s="1"/>
      <c r="J11884" s="1"/>
      <c r="K11884" s="1"/>
      <c r="L11884" s="1"/>
      <c r="M11884" s="1"/>
      <c r="N11884" s="1"/>
      <c r="O11884" s="1"/>
      <c r="P11884" s="1"/>
      <c r="Q11884" s="1"/>
      <c r="R11884" s="1"/>
      <c r="S11884" s="1"/>
      <c r="T11884" s="1"/>
      <c r="U11884" s="1"/>
      <c r="V11884" s="1"/>
      <c r="W11884" s="1"/>
      <c r="X11884" s="1"/>
      <c r="Y11884" s="1"/>
      <c r="Z11884" s="1"/>
      <c r="AA11884" s="1"/>
      <c r="AB11884" s="1"/>
    </row>
    <row r="11885" ht="50.25" customHeight="1">
      <c r="A11885" s="12">
        <v>11881.0</v>
      </c>
      <c r="B11885" s="13" t="s">
        <v>11694</v>
      </c>
      <c r="C11885" s="14" t="s">
        <v>11727</v>
      </c>
      <c r="D11885" s="1"/>
      <c r="E11885" s="1"/>
      <c r="F11885" s="1" t="str">
        <f>IFERROR(__xludf.DUMMYFUNCTION("GOOGLETRANSLATE(B11885, ""en"", ""fa"")
"),"زندگی پایدار")</f>
        <v>زندگی پایدار</v>
      </c>
      <c r="G11885" s="1" t="str">
        <f>IFERROR(__xludf.DUMMYFUNCTION("GOOGLETRANSLATE(C11885, ""en"", ""fa"")
"),"در ابتکارات محیطی محلی و رویدادهای پاکسازی جامعه شرکت کنید.")</f>
        <v>در ابتکارات محیطی محلی و رویدادهای پاکسازی جامعه شرکت کنید.</v>
      </c>
      <c r="H11885" s="1"/>
      <c r="I11885" s="1"/>
      <c r="J11885" s="1"/>
      <c r="K11885" s="1"/>
      <c r="L11885" s="1"/>
      <c r="M11885" s="1"/>
      <c r="N11885" s="1"/>
      <c r="O11885" s="1"/>
      <c r="P11885" s="1"/>
      <c r="Q11885" s="1"/>
      <c r="R11885" s="1"/>
      <c r="S11885" s="1"/>
      <c r="T11885" s="1"/>
      <c r="U11885" s="1"/>
      <c r="V11885" s="1"/>
      <c r="W11885" s="1"/>
      <c r="X11885" s="1"/>
      <c r="Y11885" s="1"/>
      <c r="Z11885" s="1"/>
      <c r="AA11885" s="1"/>
      <c r="AB11885" s="1"/>
    </row>
    <row r="11886" ht="50.25" customHeight="1">
      <c r="A11886" s="12">
        <v>11882.0</v>
      </c>
      <c r="B11886" s="13" t="s">
        <v>11694</v>
      </c>
      <c r="C11886" s="14" t="s">
        <v>11728</v>
      </c>
      <c r="D11886" s="1"/>
      <c r="E11886" s="1"/>
      <c r="F11886" s="1" t="str">
        <f>IFERROR(__xludf.DUMMYFUNCTION("GOOGLETRANSLATE(B11886, ""en"", ""fa"")
"),"زندگی پایدار")</f>
        <v>زندگی پایدار</v>
      </c>
      <c r="G11886" s="1" t="str">
        <f>IFERROR(__xludf.DUMMYFUNCTION("GOOGLETRANSLATE(C11886, ""en"", ""fa"")
"),"باتری های یکبار مصرف را با باتری های قابل شارژ جایگزین کنید تا ضایعات الکترونیکی را به حداقل برسانید.")</f>
        <v>باتری های یکبار مصرف را با باتری های قابل شارژ جایگزین کنید تا ضایعات الکترونیکی را به حداقل برسانید.</v>
      </c>
      <c r="H11886" s="1"/>
      <c r="I11886" s="1"/>
      <c r="J11886" s="1"/>
      <c r="K11886" s="1"/>
      <c r="L11886" s="1"/>
      <c r="M11886" s="1"/>
      <c r="N11886" s="1"/>
      <c r="O11886" s="1"/>
      <c r="P11886" s="1"/>
      <c r="Q11886" s="1"/>
      <c r="R11886" s="1"/>
      <c r="S11886" s="1"/>
      <c r="T11886" s="1"/>
      <c r="U11886" s="1"/>
      <c r="V11886" s="1"/>
      <c r="W11886" s="1"/>
      <c r="X11886" s="1"/>
      <c r="Y11886" s="1"/>
      <c r="Z11886" s="1"/>
      <c r="AA11886" s="1"/>
      <c r="AB11886" s="1"/>
    </row>
    <row r="11887" ht="50.25" customHeight="1">
      <c r="A11887" s="12">
        <v>11883.0</v>
      </c>
      <c r="B11887" s="13" t="s">
        <v>11694</v>
      </c>
      <c r="C11887" s="14" t="s">
        <v>11729</v>
      </c>
      <c r="D11887" s="1"/>
      <c r="E11887" s="1"/>
      <c r="F11887" s="1" t="str">
        <f>IFERROR(__xludf.DUMMYFUNCTION("GOOGLETRANSLATE(B11887, ""en"", ""fa"")
"),"زندگی پایدار")</f>
        <v>زندگی پایدار</v>
      </c>
      <c r="G11887" s="1" t="str">
        <f>IFERROR(__xludf.DUMMYFUNCTION("GOOGLETRANSLATE(C11887, ""en"", ""fa"")
"),"مزایای منابع انرژی تجدیدپذیر مانند نیروی باد یا زمین گرمایی را بررسی کنید.")</f>
        <v>مزایای منابع انرژی تجدیدپذیر مانند نیروی باد یا زمین گرمایی را بررسی کنید.</v>
      </c>
      <c r="H11887" s="1"/>
      <c r="I11887" s="1"/>
      <c r="J11887" s="1"/>
      <c r="K11887" s="1"/>
      <c r="L11887" s="1"/>
      <c r="M11887" s="1"/>
      <c r="N11887" s="1"/>
      <c r="O11887" s="1"/>
      <c r="P11887" s="1"/>
      <c r="Q11887" s="1"/>
      <c r="R11887" s="1"/>
      <c r="S11887" s="1"/>
      <c r="T11887" s="1"/>
      <c r="U11887" s="1"/>
      <c r="V11887" s="1"/>
      <c r="W11887" s="1"/>
      <c r="X11887" s="1"/>
      <c r="Y11887" s="1"/>
      <c r="Z11887" s="1"/>
      <c r="AA11887" s="1"/>
      <c r="AB11887" s="1"/>
    </row>
    <row r="11888" ht="50.25" customHeight="1">
      <c r="A11888" s="12">
        <v>11884.0</v>
      </c>
      <c r="B11888" s="13" t="s">
        <v>11694</v>
      </c>
      <c r="C11888" s="14" t="s">
        <v>11730</v>
      </c>
      <c r="D11888" s="1"/>
      <c r="E11888" s="1"/>
      <c r="F11888" s="1" t="str">
        <f>IFERROR(__xludf.DUMMYFUNCTION("GOOGLETRANSLATE(B11888, ""en"", ""fa"")
"),"زندگی پایدار")</f>
        <v>زندگی پایدار</v>
      </c>
      <c r="G11888" s="1" t="str">
        <f>IFERROR(__xludf.DUMMYFUNCTION("GOOGLETRANSLATE(C11888, ""en"", ""fa"")
"),"برای کاهش هزینه های گرمایش و سرمایش، روی پنجره ها و عایق های کم مصرف سرمایه گذاری کنید.")</f>
        <v>برای کاهش هزینه های گرمایش و سرمایش، روی پنجره ها و عایق های کم مصرف سرمایه گذاری کنید.</v>
      </c>
      <c r="H11888" s="1"/>
      <c r="I11888" s="1"/>
      <c r="J11888" s="1"/>
      <c r="K11888" s="1"/>
      <c r="L11888" s="1"/>
      <c r="M11888" s="1"/>
      <c r="N11888" s="1"/>
      <c r="O11888" s="1"/>
      <c r="P11888" s="1"/>
      <c r="Q11888" s="1"/>
      <c r="R11888" s="1"/>
      <c r="S11888" s="1"/>
      <c r="T11888" s="1"/>
      <c r="U11888" s="1"/>
      <c r="V11888" s="1"/>
      <c r="W11888" s="1"/>
      <c r="X11888" s="1"/>
      <c r="Y11888" s="1"/>
      <c r="Z11888" s="1"/>
      <c r="AA11888" s="1"/>
      <c r="AB11888" s="1"/>
    </row>
    <row r="11889" ht="50.25" customHeight="1">
      <c r="A11889" s="12">
        <v>11885.0</v>
      </c>
      <c r="B11889" s="13" t="s">
        <v>11694</v>
      </c>
      <c r="C11889" s="14" t="s">
        <v>11731</v>
      </c>
      <c r="D11889" s="1"/>
      <c r="E11889" s="1"/>
      <c r="F11889" s="1" t="str">
        <f>IFERROR(__xludf.DUMMYFUNCTION("GOOGLETRANSLATE(B11889, ""en"", ""fa"")
"),"زندگی پایدار")</f>
        <v>زندگی پایدار</v>
      </c>
      <c r="G11889" s="1" t="str">
        <f>IFERROR(__xludf.DUMMYFUNCTION("GOOGLETRANSLATE(C11889, ""en"", ""fa"")
"),"برای کاهش انتشار گازهای گلخانه ای ناشی از وسایل نقلیه شخصی، در همنشینی با اتومبیل یا اشتراک سواری شرکت کنید.")</f>
        <v>برای کاهش انتشار گازهای گلخانه ای ناشی از وسایل نقلیه شخصی، در همنشینی با اتومبیل یا اشتراک سواری شرکت کنید.</v>
      </c>
      <c r="H11889" s="1"/>
      <c r="I11889" s="1"/>
      <c r="J11889" s="1"/>
      <c r="K11889" s="1"/>
      <c r="L11889" s="1"/>
      <c r="M11889" s="1"/>
      <c r="N11889" s="1"/>
      <c r="O11889" s="1"/>
      <c r="P11889" s="1"/>
      <c r="Q11889" s="1"/>
      <c r="R11889" s="1"/>
      <c r="S11889" s="1"/>
      <c r="T11889" s="1"/>
      <c r="U11889" s="1"/>
      <c r="V11889" s="1"/>
      <c r="W11889" s="1"/>
      <c r="X11889" s="1"/>
      <c r="Y11889" s="1"/>
      <c r="Z11889" s="1"/>
      <c r="AA11889" s="1"/>
      <c r="AB11889" s="1"/>
    </row>
    <row r="11890" ht="50.25" customHeight="1">
      <c r="A11890" s="12">
        <v>11886.0</v>
      </c>
      <c r="B11890" s="13" t="s">
        <v>11694</v>
      </c>
      <c r="C11890" s="14" t="s">
        <v>11732</v>
      </c>
      <c r="D11890" s="1"/>
      <c r="E11890" s="1"/>
      <c r="F11890" s="1" t="str">
        <f>IFERROR(__xludf.DUMMYFUNCTION("GOOGLETRANSLATE(B11890, ""en"", ""fa"")
"),"زندگی پایدار")</f>
        <v>زندگی پایدار</v>
      </c>
      <c r="G11890" s="1" t="str">
        <f>IFERROR(__xludf.DUMMYFUNCTION("GOOGLETRANSLATE(C11890, ""en"", ""fa"")
"),"از شیوه های پایدار در محل کار و جامعه خود دفاع کنید.")</f>
        <v>از شیوه های پایدار در محل کار و جامعه خود دفاع کنید.</v>
      </c>
      <c r="H11890" s="1"/>
      <c r="I11890" s="1"/>
      <c r="J11890" s="1"/>
      <c r="K11890" s="1"/>
      <c r="L11890" s="1"/>
      <c r="M11890" s="1"/>
      <c r="N11890" s="1"/>
      <c r="O11890" s="1"/>
      <c r="P11890" s="1"/>
      <c r="Q11890" s="1"/>
      <c r="R11890" s="1"/>
      <c r="S11890" s="1"/>
      <c r="T11890" s="1"/>
      <c r="U11890" s="1"/>
      <c r="V11890" s="1"/>
      <c r="W11890" s="1"/>
      <c r="X11890" s="1"/>
      <c r="Y11890" s="1"/>
      <c r="Z11890" s="1"/>
      <c r="AA11890" s="1"/>
      <c r="AB11890" s="1"/>
    </row>
    <row r="11891" ht="50.25" customHeight="1">
      <c r="A11891" s="12">
        <v>11887.0</v>
      </c>
      <c r="B11891" s="13" t="s">
        <v>11694</v>
      </c>
      <c r="C11891" s="14" t="s">
        <v>11733</v>
      </c>
      <c r="D11891" s="1"/>
      <c r="E11891" s="1"/>
      <c r="F11891" s="1" t="str">
        <f>IFERROR(__xludf.DUMMYFUNCTION("GOOGLETRANSLATE(B11891, ""en"", ""fa"")
"),"زندگی پایدار")</f>
        <v>زندگی پایدار</v>
      </c>
      <c r="G11891" s="1" t="str">
        <f>IFERROR(__xludf.DUMMYFUNCTION("GOOGLETRANSLATE(C11891, ""en"", ""fa"")
"),"با شرکت در ""دوشنبه های بدون گوشت"" یا طرح های دیگر، مصرف گوشت خود را کاهش دهید.")</f>
        <v>با شرکت در "دوشنبه های بدون گوشت" یا طرح های دیگر، مصرف گوشت خود را کاهش دهید.</v>
      </c>
      <c r="H11891" s="1"/>
      <c r="I11891" s="1"/>
      <c r="J11891" s="1"/>
      <c r="K11891" s="1"/>
      <c r="L11891" s="1"/>
      <c r="M11891" s="1"/>
      <c r="N11891" s="1"/>
      <c r="O11891" s="1"/>
      <c r="P11891" s="1"/>
      <c r="Q11891" s="1"/>
      <c r="R11891" s="1"/>
      <c r="S11891" s="1"/>
      <c r="T11891" s="1"/>
      <c r="U11891" s="1"/>
      <c r="V11891" s="1"/>
      <c r="W11891" s="1"/>
      <c r="X11891" s="1"/>
      <c r="Y11891" s="1"/>
      <c r="Z11891" s="1"/>
      <c r="AA11891" s="1"/>
      <c r="AB11891" s="1"/>
    </row>
    <row r="11892" ht="50.25" customHeight="1">
      <c r="A11892" s="12">
        <v>11888.0</v>
      </c>
      <c r="B11892" s="13" t="s">
        <v>11694</v>
      </c>
      <c r="C11892" s="14" t="s">
        <v>11734</v>
      </c>
      <c r="D11892" s="1"/>
      <c r="E11892" s="1"/>
      <c r="F11892" s="1" t="str">
        <f>IFERROR(__xludf.DUMMYFUNCTION("GOOGLETRANSLATE(B11892, ""en"", ""fa"")
"),"زندگی پایدار")</f>
        <v>زندگی پایدار</v>
      </c>
      <c r="G11892" s="1" t="str">
        <f>IFERROR(__xludf.DUMMYFUNCTION("GOOGLETRANSLATE(C11892, ""en"", ""fa"")
"),"خود را در مورد تأثیر تولید روغن نخل آموزش دهید و از جایگزین های پایدار حمایت کنید.")</f>
        <v>خود را در مورد تأثیر تولید روغن نخل آموزش دهید و از جایگزین های پایدار حمایت کنید.</v>
      </c>
      <c r="H11892" s="1"/>
      <c r="I11892" s="1"/>
      <c r="J11892" s="1"/>
      <c r="K11892" s="1"/>
      <c r="L11892" s="1"/>
      <c r="M11892" s="1"/>
      <c r="N11892" s="1"/>
      <c r="O11892" s="1"/>
      <c r="P11892" s="1"/>
      <c r="Q11892" s="1"/>
      <c r="R11892" s="1"/>
      <c r="S11892" s="1"/>
      <c r="T11892" s="1"/>
      <c r="U11892" s="1"/>
      <c r="V11892" s="1"/>
      <c r="W11892" s="1"/>
      <c r="X11892" s="1"/>
      <c r="Y11892" s="1"/>
      <c r="Z11892" s="1"/>
      <c r="AA11892" s="1"/>
      <c r="AB11892" s="1"/>
    </row>
    <row r="11893" ht="50.25" customHeight="1">
      <c r="A11893" s="12">
        <v>11889.0</v>
      </c>
      <c r="B11893" s="13" t="s">
        <v>11694</v>
      </c>
      <c r="C11893" s="14" t="s">
        <v>11735</v>
      </c>
      <c r="D11893" s="1"/>
      <c r="E11893" s="1"/>
      <c r="F11893" s="1" t="str">
        <f>IFERROR(__xludf.DUMMYFUNCTION("GOOGLETRANSLATE(B11893, ""en"", ""fa"")
"),"زندگی پایدار")</f>
        <v>زندگی پایدار</v>
      </c>
      <c r="G11893" s="1" t="str">
        <f>IFERROR(__xludf.DUMMYFUNCTION("GOOGLETRANSLATE(C11893, ""en"", ""fa"")
"),"برای تلاش های حفاظتی، مانند پاکسازی ساحل یا پروژه های حفاظت از حیات وحش، داوطلب شوید.")</f>
        <v>برای تلاش های حفاظتی، مانند پاکسازی ساحل یا پروژه های حفاظت از حیات وحش، داوطلب شوید.</v>
      </c>
      <c r="H11893" s="1"/>
      <c r="I11893" s="1"/>
      <c r="J11893" s="1"/>
      <c r="K11893" s="1"/>
      <c r="L11893" s="1"/>
      <c r="M11893" s="1"/>
      <c r="N11893" s="1"/>
      <c r="O11893" s="1"/>
      <c r="P11893" s="1"/>
      <c r="Q11893" s="1"/>
      <c r="R11893" s="1"/>
      <c r="S11893" s="1"/>
      <c r="T11893" s="1"/>
      <c r="U11893" s="1"/>
      <c r="V11893" s="1"/>
      <c r="W11893" s="1"/>
      <c r="X11893" s="1"/>
      <c r="Y11893" s="1"/>
      <c r="Z11893" s="1"/>
      <c r="AA11893" s="1"/>
      <c r="AB11893" s="1"/>
    </row>
    <row r="11894" ht="50.25" customHeight="1">
      <c r="A11894" s="12">
        <v>11890.0</v>
      </c>
      <c r="B11894" s="13" t="s">
        <v>11694</v>
      </c>
      <c r="C11894" s="14" t="s">
        <v>11736</v>
      </c>
      <c r="D11894" s="1"/>
      <c r="E11894" s="1"/>
      <c r="F11894" s="1" t="str">
        <f>IFERROR(__xludf.DUMMYFUNCTION("GOOGLETRANSLATE(B11894, ""en"", ""fa"")
"),"زندگی پایدار")</f>
        <v>زندگی پایدار</v>
      </c>
      <c r="G11894" s="1" t="str">
        <f>IFERROR(__xludf.DUMMYFUNCTION("GOOGLETRANSLATE(C11894, ""en"", ""fa"")
"),"جایگزین های پایدار برای محصولات مراقبت شخصی و لوازم آرایشی را بررسی کنید.")</f>
        <v>جایگزین های پایدار برای محصولات مراقبت شخصی و لوازم آرایشی را بررسی کنید.</v>
      </c>
      <c r="H11894" s="1"/>
      <c r="I11894" s="1"/>
      <c r="J11894" s="1"/>
      <c r="K11894" s="1"/>
      <c r="L11894" s="1"/>
      <c r="M11894" s="1"/>
      <c r="N11894" s="1"/>
      <c r="O11894" s="1"/>
      <c r="P11894" s="1"/>
      <c r="Q11894" s="1"/>
      <c r="R11894" s="1"/>
      <c r="S11894" s="1"/>
      <c r="T11894" s="1"/>
      <c r="U11894" s="1"/>
      <c r="V11894" s="1"/>
      <c r="W11894" s="1"/>
      <c r="X11894" s="1"/>
      <c r="Y11894" s="1"/>
      <c r="Z11894" s="1"/>
      <c r="AA11894" s="1"/>
      <c r="AB11894" s="1"/>
    </row>
    <row r="11895" ht="50.25" customHeight="1">
      <c r="A11895" s="12">
        <v>11891.0</v>
      </c>
      <c r="B11895" s="13" t="s">
        <v>11694</v>
      </c>
      <c r="C11895" s="14" t="s">
        <v>11737</v>
      </c>
      <c r="D11895" s="1"/>
      <c r="E11895" s="1"/>
      <c r="F11895" s="1" t="str">
        <f>IFERROR(__xludf.DUMMYFUNCTION("GOOGLETRANSLATE(B11895, ""en"", ""fa"")
"),"زندگی پایدار")</f>
        <v>زندگی پایدار</v>
      </c>
      <c r="G11895" s="1" t="str">
        <f>IFERROR(__xludf.DUMMYFUNCTION("GOOGLETRANSLATE(C11895, ""en"", ""fa"")
"),"برای کاهش مصرف آب بطری، یک سیستم تصفیه آب نصب کنید.")</f>
        <v>برای کاهش مصرف آب بطری، یک سیستم تصفیه آب نصب کنید.</v>
      </c>
      <c r="H11895" s="1"/>
      <c r="I11895" s="1"/>
      <c r="J11895" s="1"/>
      <c r="K11895" s="1"/>
      <c r="L11895" s="1"/>
      <c r="M11895" s="1"/>
      <c r="N11895" s="1"/>
      <c r="O11895" s="1"/>
      <c r="P11895" s="1"/>
      <c r="Q11895" s="1"/>
      <c r="R11895" s="1"/>
      <c r="S11895" s="1"/>
      <c r="T11895" s="1"/>
      <c r="U11895" s="1"/>
      <c r="V11895" s="1"/>
      <c r="W11895" s="1"/>
      <c r="X11895" s="1"/>
      <c r="Y11895" s="1"/>
      <c r="Z11895" s="1"/>
      <c r="AA11895" s="1"/>
      <c r="AB11895" s="1"/>
    </row>
    <row r="11896" ht="50.25" customHeight="1">
      <c r="A11896" s="12">
        <v>11892.0</v>
      </c>
      <c r="B11896" s="13" t="s">
        <v>11694</v>
      </c>
      <c r="C11896" s="14" t="s">
        <v>11738</v>
      </c>
      <c r="D11896" s="1"/>
      <c r="E11896" s="1"/>
      <c r="F11896" s="1" t="str">
        <f>IFERROR(__xludf.DUMMYFUNCTION("GOOGLETRANSLATE(B11896, ""en"", ""fa"")
"),"زندگی پایدار")</f>
        <v>زندگی پایدار</v>
      </c>
      <c r="G11896" s="1" t="str">
        <f>IFERROR(__xludf.DUMMYFUNCTION("GOOGLETRANSLATE(C11896, ""en"", ""fa"")
"),"در برنامه های بازیافت محلی شرکت کنید و از تفکیک مناسب زباله ها اطمینان حاصل کنید.")</f>
        <v>در برنامه های بازیافت محلی شرکت کنید و از تفکیک مناسب زباله ها اطمینان حاصل کنید.</v>
      </c>
      <c r="H11896" s="1"/>
      <c r="I11896" s="1"/>
      <c r="J11896" s="1"/>
      <c r="K11896" s="1"/>
      <c r="L11896" s="1"/>
      <c r="M11896" s="1"/>
      <c r="N11896" s="1"/>
      <c r="O11896" s="1"/>
      <c r="P11896" s="1"/>
      <c r="Q11896" s="1"/>
      <c r="R11896" s="1"/>
      <c r="S11896" s="1"/>
      <c r="T11896" s="1"/>
      <c r="U11896" s="1"/>
      <c r="V11896" s="1"/>
      <c r="W11896" s="1"/>
      <c r="X11896" s="1"/>
      <c r="Y11896" s="1"/>
      <c r="Z11896" s="1"/>
      <c r="AA11896" s="1"/>
      <c r="AB11896" s="1"/>
    </row>
    <row r="11897" ht="50.25" customHeight="1">
      <c r="A11897" s="12">
        <v>11893.0</v>
      </c>
      <c r="B11897" s="13" t="s">
        <v>11694</v>
      </c>
      <c r="C11897" s="14" t="s">
        <v>11739</v>
      </c>
      <c r="D11897" s="1"/>
      <c r="E11897" s="1"/>
      <c r="F11897" s="1" t="str">
        <f>IFERROR(__xludf.DUMMYFUNCTION("GOOGLETRANSLATE(B11897, ""en"", ""fa"")
"),"زندگی پایدار")</f>
        <v>زندگی پایدار</v>
      </c>
      <c r="G11897" s="1" t="str">
        <f>IFERROR(__xludf.DUMMYFUNCTION("GOOGLETRANSLATE(C11897, ""en"", ""fa"")
"),"طرح های ساختمان خانه دوستدار محیط زیست، مانند خانه های غیرفعال یا کشتی های زمینی را کاوش کنید.")</f>
        <v>طرح های ساختمان خانه دوستدار محیط زیست، مانند خانه های غیرفعال یا کشتی های زمینی را کاوش کنید.</v>
      </c>
      <c r="H11897" s="1"/>
      <c r="I11897" s="1"/>
      <c r="J11897" s="1"/>
      <c r="K11897" s="1"/>
      <c r="L11897" s="1"/>
      <c r="M11897" s="1"/>
      <c r="N11897" s="1"/>
      <c r="O11897" s="1"/>
      <c r="P11897" s="1"/>
      <c r="Q11897" s="1"/>
      <c r="R11897" s="1"/>
      <c r="S11897" s="1"/>
      <c r="T11897" s="1"/>
      <c r="U11897" s="1"/>
      <c r="V11897" s="1"/>
      <c r="W11897" s="1"/>
      <c r="X11897" s="1"/>
      <c r="Y11897" s="1"/>
      <c r="Z11897" s="1"/>
      <c r="AA11897" s="1"/>
      <c r="AB11897" s="1"/>
    </row>
    <row r="11898" ht="50.25" customHeight="1">
      <c r="A11898" s="12">
        <v>11894.0</v>
      </c>
      <c r="B11898" s="13" t="s">
        <v>11694</v>
      </c>
      <c r="C11898" s="14" t="s">
        <v>11740</v>
      </c>
      <c r="D11898" s="1"/>
      <c r="E11898" s="1"/>
      <c r="F11898" s="1" t="str">
        <f>IFERROR(__xludf.DUMMYFUNCTION("GOOGLETRANSLATE(B11898, ""en"", ""fa"")
"),"زندگی پایدار")</f>
        <v>زندگی پایدار</v>
      </c>
      <c r="G11898" s="1" t="str">
        <f>IFERROR(__xludf.DUMMYFUNCTION("GOOGLETRANSLATE(C11898, ""en"", ""fa"")
"),"با خرید محصولات ساخته شده از مواد بازیافتی از طرح های اقتصاد دایره ای حمایت کنید.")</f>
        <v>با خرید محصولات ساخته شده از مواد بازیافتی از طرح های اقتصاد دایره ای حمایت کنید.</v>
      </c>
      <c r="H11898" s="1"/>
      <c r="I11898" s="1"/>
      <c r="J11898" s="1"/>
      <c r="K11898" s="1"/>
      <c r="L11898" s="1"/>
      <c r="M11898" s="1"/>
      <c r="N11898" s="1"/>
      <c r="O11898" s="1"/>
      <c r="P11898" s="1"/>
      <c r="Q11898" s="1"/>
      <c r="R11898" s="1"/>
      <c r="S11898" s="1"/>
      <c r="T11898" s="1"/>
      <c r="U11898" s="1"/>
      <c r="V11898" s="1"/>
      <c r="W11898" s="1"/>
      <c r="X11898" s="1"/>
      <c r="Y11898" s="1"/>
      <c r="Z11898" s="1"/>
      <c r="AA11898" s="1"/>
      <c r="AB11898" s="1"/>
    </row>
    <row r="11899" ht="50.25" customHeight="1">
      <c r="A11899" s="12">
        <v>11895.0</v>
      </c>
      <c r="B11899" s="13" t="s">
        <v>11694</v>
      </c>
      <c r="C11899" s="14" t="s">
        <v>11741</v>
      </c>
      <c r="D11899" s="1"/>
      <c r="E11899" s="1"/>
      <c r="F11899" s="1" t="str">
        <f>IFERROR(__xludf.DUMMYFUNCTION("GOOGLETRANSLATE(B11899, ""en"", ""fa"")
"),"زندگی پایدار")</f>
        <v>زندگی پایدار</v>
      </c>
      <c r="G11899" s="1" t="str">
        <f>IFERROR(__xludf.DUMMYFUNCTION("GOOGLETRANSLATE(C11899, ""en"", ""fa"")
"),"در پروژه های باغبانی اجتماعی برای ترویج تولید غذای محلی شرکت کنید.")</f>
        <v>در پروژه های باغبانی اجتماعی برای ترویج تولید غذای محلی شرکت کنید.</v>
      </c>
      <c r="H11899" s="1"/>
      <c r="I11899" s="1"/>
      <c r="J11899" s="1"/>
      <c r="K11899" s="1"/>
      <c r="L11899" s="1"/>
      <c r="M11899" s="1"/>
      <c r="N11899" s="1"/>
      <c r="O11899" s="1"/>
      <c r="P11899" s="1"/>
      <c r="Q11899" s="1"/>
      <c r="R11899" s="1"/>
      <c r="S11899" s="1"/>
      <c r="T11899" s="1"/>
      <c r="U11899" s="1"/>
      <c r="V11899" s="1"/>
      <c r="W11899" s="1"/>
      <c r="X11899" s="1"/>
      <c r="Y11899" s="1"/>
      <c r="Z11899" s="1"/>
      <c r="AA11899" s="1"/>
      <c r="AB11899" s="1"/>
    </row>
    <row r="11900" ht="50.25" customHeight="1">
      <c r="A11900" s="12">
        <v>11896.0</v>
      </c>
      <c r="B11900" s="13" t="s">
        <v>11694</v>
      </c>
      <c r="C11900" s="14" t="s">
        <v>11742</v>
      </c>
      <c r="D11900" s="1"/>
      <c r="E11900" s="1"/>
      <c r="F11900" s="1" t="str">
        <f>IFERROR(__xludf.DUMMYFUNCTION("GOOGLETRANSLATE(B11900, ""en"", ""fa"")
"),"زندگی پایدار")</f>
        <v>زندگی پایدار</v>
      </c>
      <c r="G11900" s="1" t="str">
        <f>IFERROR(__xludf.DUMMYFUNCTION("GOOGLETRANSLATE(C11900, ""en"", ""fa"")
"),"به عادت های سفر خود فکر کنید و به دنبال گزینه های تعطیلات سازگار با محیط زیست مانند اکوتوریسم باشید.")</f>
        <v>به عادت های سفر خود فکر کنید و به دنبال گزینه های تعطیلات سازگار با محیط زیست مانند اکوتوریسم باشید.</v>
      </c>
      <c r="H11900" s="1"/>
      <c r="I11900" s="1"/>
      <c r="J11900" s="1"/>
      <c r="K11900" s="1"/>
      <c r="L11900" s="1"/>
      <c r="M11900" s="1"/>
      <c r="N11900" s="1"/>
      <c r="O11900" s="1"/>
      <c r="P11900" s="1"/>
      <c r="Q11900" s="1"/>
      <c r="R11900" s="1"/>
      <c r="S11900" s="1"/>
      <c r="T11900" s="1"/>
      <c r="U11900" s="1"/>
      <c r="V11900" s="1"/>
      <c r="W11900" s="1"/>
      <c r="X11900" s="1"/>
      <c r="Y11900" s="1"/>
      <c r="Z11900" s="1"/>
      <c r="AA11900" s="1"/>
      <c r="AB11900" s="1"/>
    </row>
    <row r="11901" ht="50.25" customHeight="1">
      <c r="A11901" s="12">
        <v>11897.0</v>
      </c>
      <c r="B11901" s="13" t="s">
        <v>11694</v>
      </c>
      <c r="C11901" s="14" t="s">
        <v>11743</v>
      </c>
      <c r="D11901" s="1"/>
      <c r="E11901" s="1"/>
      <c r="F11901" s="1" t="str">
        <f>IFERROR(__xludf.DUMMYFUNCTION("GOOGLETRANSLATE(B11901, ""en"", ""fa"")
"),"زندگی پایدار")</f>
        <v>زندگی پایدار</v>
      </c>
      <c r="G11901" s="1" t="str">
        <f>IFERROR(__xludf.DUMMYFUNCTION("GOOGLETRANSLATE(C11901, ""en"", ""fa"")
"),"جایگزین های پایدار برای محصولات پاک کننده خانگی را تحقیق کنید.")</f>
        <v>جایگزین های پایدار برای محصولات پاک کننده خانگی را تحقیق کنید.</v>
      </c>
      <c r="H11901" s="1"/>
      <c r="I11901" s="1"/>
      <c r="J11901" s="1"/>
      <c r="K11901" s="1"/>
      <c r="L11901" s="1"/>
      <c r="M11901" s="1"/>
      <c r="N11901" s="1"/>
      <c r="O11901" s="1"/>
      <c r="P11901" s="1"/>
      <c r="Q11901" s="1"/>
      <c r="R11901" s="1"/>
      <c r="S11901" s="1"/>
      <c r="T11901" s="1"/>
      <c r="U11901" s="1"/>
      <c r="V11901" s="1"/>
      <c r="W11901" s="1"/>
      <c r="X11901" s="1"/>
      <c r="Y11901" s="1"/>
      <c r="Z11901" s="1"/>
      <c r="AA11901" s="1"/>
      <c r="AB11901" s="1"/>
    </row>
    <row r="11902" ht="50.25" customHeight="1">
      <c r="A11902" s="12">
        <v>11898.0</v>
      </c>
      <c r="B11902" s="13" t="s">
        <v>11694</v>
      </c>
      <c r="C11902" s="14" t="s">
        <v>11744</v>
      </c>
      <c r="D11902" s="1"/>
      <c r="E11902" s="1"/>
      <c r="F11902" s="1" t="str">
        <f>IFERROR(__xludf.DUMMYFUNCTION("GOOGLETRANSLATE(B11902, ""en"", ""fa"")
"),"زندگی پایدار")</f>
        <v>زندگی پایدار</v>
      </c>
      <c r="G11902" s="1" t="str">
        <f>IFERROR(__xludf.DUMMYFUNCTION("GOOGLETRANSLATE(C11902, ""en"", ""fa"")
"),"روی لوازم خانگی کم مصرف سرمایه گذاری کنید، مانند یخچال و ماشین لباسشویی.")</f>
        <v>روی لوازم خانگی کم مصرف سرمایه گذاری کنید، مانند یخچال و ماشین لباسشویی.</v>
      </c>
      <c r="H11902" s="1"/>
      <c r="I11902" s="1"/>
      <c r="J11902" s="1"/>
      <c r="K11902" s="1"/>
      <c r="L11902" s="1"/>
      <c r="M11902" s="1"/>
      <c r="N11902" s="1"/>
      <c r="O11902" s="1"/>
      <c r="P11902" s="1"/>
      <c r="Q11902" s="1"/>
      <c r="R11902" s="1"/>
      <c r="S11902" s="1"/>
      <c r="T11902" s="1"/>
      <c r="U11902" s="1"/>
      <c r="V11902" s="1"/>
      <c r="W11902" s="1"/>
      <c r="X11902" s="1"/>
      <c r="Y11902" s="1"/>
      <c r="Z11902" s="1"/>
      <c r="AA11902" s="1"/>
      <c r="AB11902" s="1"/>
    </row>
    <row r="11903" ht="50.25" customHeight="1">
      <c r="A11903" s="12">
        <v>11899.0</v>
      </c>
      <c r="B11903" s="13" t="s">
        <v>11694</v>
      </c>
      <c r="C11903" s="14" t="s">
        <v>11745</v>
      </c>
      <c r="D11903" s="1"/>
      <c r="E11903" s="1"/>
      <c r="F11903" s="1" t="str">
        <f>IFERROR(__xludf.DUMMYFUNCTION("GOOGLETRANSLATE(B11903, ""en"", ""fa"")
"),"زندگی پایدار")</f>
        <v>زندگی پایدار</v>
      </c>
      <c r="G11903" s="1" t="str">
        <f>IFERROR(__xludf.DUMMYFUNCTION("GOOGLETRANSLATE(C11903, ""en"", ""fa"")
"),"برای کاهش ضایعات آلی به یک برنامه کمپوست اجتماعی بپیوندید یا شروع کنید.")</f>
        <v>برای کاهش ضایعات آلی به یک برنامه کمپوست اجتماعی بپیوندید یا شروع کنید.</v>
      </c>
      <c r="H11903" s="1"/>
      <c r="I11903" s="1"/>
      <c r="J11903" s="1"/>
      <c r="K11903" s="1"/>
      <c r="L11903" s="1"/>
      <c r="M11903" s="1"/>
      <c r="N11903" s="1"/>
      <c r="O11903" s="1"/>
      <c r="P11903" s="1"/>
      <c r="Q11903" s="1"/>
      <c r="R11903" s="1"/>
      <c r="S11903" s="1"/>
      <c r="T11903" s="1"/>
      <c r="U11903" s="1"/>
      <c r="V11903" s="1"/>
      <c r="W11903" s="1"/>
      <c r="X11903" s="1"/>
      <c r="Y11903" s="1"/>
      <c r="Z11903" s="1"/>
      <c r="AA11903" s="1"/>
      <c r="AB11903" s="1"/>
    </row>
    <row r="11904" ht="50.25" customHeight="1">
      <c r="A11904" s="12">
        <v>11900.0</v>
      </c>
      <c r="B11904" s="13" t="s">
        <v>11694</v>
      </c>
      <c r="C11904" s="14" t="s">
        <v>11746</v>
      </c>
      <c r="D11904" s="1"/>
      <c r="E11904" s="1"/>
      <c r="F11904" s="1" t="str">
        <f>IFERROR(__xludf.DUMMYFUNCTION("GOOGLETRANSLATE(B11904, ""en"", ""fa"")
"),"زندگی پایدار")</f>
        <v>زندگی پایدار</v>
      </c>
      <c r="G11904" s="1" t="str">
        <f>IFERROR(__xludf.DUMMYFUNCTION("GOOGLETRANSLATE(C11904, ""en"", ""fa"")
"),"از کسب و کارهایی که پایداری و شیوه های سازگار با محیط زیست را در اولویت قرار می دهند حمایت کنید.")</f>
        <v>از کسب و کارهایی که پایداری و شیوه های سازگار با محیط زیست را در اولویت قرار می دهند حمایت کنید.</v>
      </c>
      <c r="H11904" s="1"/>
      <c r="I11904" s="1"/>
      <c r="J11904" s="1"/>
      <c r="K11904" s="1"/>
      <c r="L11904" s="1"/>
      <c r="M11904" s="1"/>
      <c r="N11904" s="1"/>
      <c r="O11904" s="1"/>
      <c r="P11904" s="1"/>
      <c r="Q11904" s="1"/>
      <c r="R11904" s="1"/>
      <c r="S11904" s="1"/>
      <c r="T11904" s="1"/>
      <c r="U11904" s="1"/>
      <c r="V11904" s="1"/>
      <c r="W11904" s="1"/>
      <c r="X11904" s="1"/>
      <c r="Y11904" s="1"/>
      <c r="Z11904" s="1"/>
      <c r="AA11904" s="1"/>
      <c r="AB11904" s="1"/>
    </row>
    <row r="11905" ht="50.25" customHeight="1">
      <c r="A11905" s="12">
        <v>11901.0</v>
      </c>
      <c r="B11905" s="13" t="s">
        <v>11694</v>
      </c>
      <c r="C11905" s="14" t="s">
        <v>11747</v>
      </c>
      <c r="D11905" s="1"/>
      <c r="E11905" s="1"/>
      <c r="F11905" s="1" t="str">
        <f>IFERROR(__xludf.DUMMYFUNCTION("GOOGLETRANSLATE(B11905, ""en"", ""fa"")
"),"زندگی پایدار")</f>
        <v>زندگی پایدار</v>
      </c>
      <c r="G11905" s="1" t="str">
        <f>IFERROR(__xludf.DUMMYFUNCTION("GOOGLETRANSLATE(C11905, ""en"", ""fa"")
"),"با رفع نشتی ها و استفاده از دستگاه های کم مصرف آب را کاهش دهید.")</f>
        <v>با رفع نشتی ها و استفاده از دستگاه های کم مصرف آب را کاهش دهید.</v>
      </c>
      <c r="H11905" s="1"/>
      <c r="I11905" s="1"/>
      <c r="J11905" s="1"/>
      <c r="K11905" s="1"/>
      <c r="L11905" s="1"/>
      <c r="M11905" s="1"/>
      <c r="N11905" s="1"/>
      <c r="O11905" s="1"/>
      <c r="P11905" s="1"/>
      <c r="Q11905" s="1"/>
      <c r="R11905" s="1"/>
      <c r="S11905" s="1"/>
      <c r="T11905" s="1"/>
      <c r="U11905" s="1"/>
      <c r="V11905" s="1"/>
      <c r="W11905" s="1"/>
      <c r="X11905" s="1"/>
      <c r="Y11905" s="1"/>
      <c r="Z11905" s="1"/>
      <c r="AA11905" s="1"/>
      <c r="AB11905" s="1"/>
    </row>
    <row r="11906" ht="50.25" customHeight="1">
      <c r="A11906" s="12">
        <v>11902.0</v>
      </c>
      <c r="B11906" s="13" t="s">
        <v>11694</v>
      </c>
      <c r="C11906" s="14" t="s">
        <v>11748</v>
      </c>
      <c r="D11906" s="1"/>
      <c r="E11906" s="1"/>
      <c r="F11906" s="1" t="str">
        <f>IFERROR(__xludf.DUMMYFUNCTION("GOOGLETRANSLATE(B11906, ""en"", ""fa"")
"),"زندگی پایدار")</f>
        <v>زندگی پایدار</v>
      </c>
      <c r="G11906" s="1" t="str">
        <f>IFERROR(__xludf.DUMMYFUNCTION("GOOGLETRANSLATE(C11906, ""en"", ""fa"")
"),"برای بهینه‌سازی راندمان سوخت در حین رانندگی، تکنیک‌های ""Eco-driving"" را تمرین کنید.")</f>
        <v>برای بهینه‌سازی راندمان سوخت در حین رانندگی، تکنیک‌های "Eco-driving" را تمرین کنید.</v>
      </c>
      <c r="H11906" s="1"/>
      <c r="I11906" s="1"/>
      <c r="J11906" s="1"/>
      <c r="K11906" s="1"/>
      <c r="L11906" s="1"/>
      <c r="M11906" s="1"/>
      <c r="N11906" s="1"/>
      <c r="O11906" s="1"/>
      <c r="P11906" s="1"/>
      <c r="Q11906" s="1"/>
      <c r="R11906" s="1"/>
      <c r="S11906" s="1"/>
      <c r="T11906" s="1"/>
      <c r="U11906" s="1"/>
      <c r="V11906" s="1"/>
      <c r="W11906" s="1"/>
      <c r="X11906" s="1"/>
      <c r="Y11906" s="1"/>
      <c r="Z11906" s="1"/>
      <c r="AA11906" s="1"/>
      <c r="AB11906" s="1"/>
    </row>
    <row r="11907" ht="50.25" customHeight="1">
      <c r="A11907" s="12">
        <v>11903.0</v>
      </c>
      <c r="B11907" s="13" t="s">
        <v>11694</v>
      </c>
      <c r="C11907" s="14" t="s">
        <v>11749</v>
      </c>
      <c r="D11907" s="1"/>
      <c r="E11907" s="1"/>
      <c r="F11907" s="1" t="str">
        <f>IFERROR(__xludf.DUMMYFUNCTION("GOOGLETRANSLATE(B11907, ""en"", ""fa"")
"),"زندگی پایدار")</f>
        <v>زندگی پایدار</v>
      </c>
      <c r="G11907" s="1" t="str">
        <f>IFERROR(__xludf.DUMMYFUNCTION("GOOGLETRANSLATE(C11907, ""en"", ""fa"")
"),"خود را در مورد تأثیرات زیست محیطی انتخاب مواد غذایی آموزش دهید و تصمیمات آگاهانه بگیرید.")</f>
        <v>خود را در مورد تأثیرات زیست محیطی انتخاب مواد غذایی آموزش دهید و تصمیمات آگاهانه بگیرید.</v>
      </c>
      <c r="H11907" s="1"/>
      <c r="I11907" s="1"/>
      <c r="J11907" s="1"/>
      <c r="K11907" s="1"/>
      <c r="L11907" s="1"/>
      <c r="M11907" s="1"/>
      <c r="N11907" s="1"/>
      <c r="O11907" s="1"/>
      <c r="P11907" s="1"/>
      <c r="Q11907" s="1"/>
      <c r="R11907" s="1"/>
      <c r="S11907" s="1"/>
      <c r="T11907" s="1"/>
      <c r="U11907" s="1"/>
      <c r="V11907" s="1"/>
      <c r="W11907" s="1"/>
      <c r="X11907" s="1"/>
      <c r="Y11907" s="1"/>
      <c r="Z11907" s="1"/>
      <c r="AA11907" s="1"/>
      <c r="AB11907" s="1"/>
    </row>
    <row r="11908" ht="50.25" customHeight="1">
      <c r="A11908" s="12">
        <v>11904.0</v>
      </c>
      <c r="B11908" s="13" t="s">
        <v>11694</v>
      </c>
      <c r="C11908" s="14" t="s">
        <v>11750</v>
      </c>
      <c r="D11908" s="1"/>
      <c r="E11908" s="1"/>
      <c r="F11908" s="1" t="str">
        <f>IFERROR(__xludf.DUMMYFUNCTION("GOOGLETRANSLATE(B11908, ""en"", ""fa"")
"),"زندگی پایدار")</f>
        <v>زندگی پایدار</v>
      </c>
      <c r="G11908" s="1" t="str">
        <f>IFERROR(__xludf.DUMMYFUNCTION("GOOGLETRANSLATE(C11908, ""en"", ""fa"")
"),"برای کاهش زباله های دفن زباله، پوشک های یکبار مصرف را با پوشک های پارچه ای جایگزین کنید.")</f>
        <v>برای کاهش زباله های دفن زباله، پوشک های یکبار مصرف را با پوشک های پارچه ای جایگزین کنید.</v>
      </c>
      <c r="H11908" s="1"/>
      <c r="I11908" s="1"/>
      <c r="J11908" s="1"/>
      <c r="K11908" s="1"/>
      <c r="L11908" s="1"/>
      <c r="M11908" s="1"/>
      <c r="N11908" s="1"/>
      <c r="O11908" s="1"/>
      <c r="P11908" s="1"/>
      <c r="Q11908" s="1"/>
      <c r="R11908" s="1"/>
      <c r="S11908" s="1"/>
      <c r="T11908" s="1"/>
      <c r="U11908" s="1"/>
      <c r="V11908" s="1"/>
      <c r="W11908" s="1"/>
      <c r="X11908" s="1"/>
      <c r="Y11908" s="1"/>
      <c r="Z11908" s="1"/>
      <c r="AA11908" s="1"/>
      <c r="AB11908" s="1"/>
    </row>
    <row r="11909" ht="50.25" customHeight="1">
      <c r="A11909" s="12">
        <v>11905.0</v>
      </c>
      <c r="B11909" s="13" t="s">
        <v>11694</v>
      </c>
      <c r="C11909" s="14" t="s">
        <v>11751</v>
      </c>
      <c r="D11909" s="1"/>
      <c r="E11909" s="1"/>
      <c r="F11909" s="1" t="str">
        <f>IFERROR(__xludf.DUMMYFUNCTION("GOOGLETRANSLATE(B11909, ""en"", ""fa"")
"),"زندگی پایدار")</f>
        <v>زندگی پایدار</v>
      </c>
      <c r="G11909" s="1" t="str">
        <f>IFERROR(__xludf.DUMMYFUNCTION("GOOGLETRANSLATE(C11909, ""en"", ""fa"")
"),"برای کاهش مصرف کاغذ، کتاب‌های الکترونیکی و کتاب‌های دیجیتالی را انتخاب کنید.")</f>
        <v>برای کاهش مصرف کاغذ، کتاب‌های الکترونیکی و کتاب‌های دیجیتالی را انتخاب کنید.</v>
      </c>
      <c r="H11909" s="1"/>
      <c r="I11909" s="1"/>
      <c r="J11909" s="1"/>
      <c r="K11909" s="1"/>
      <c r="L11909" s="1"/>
      <c r="M11909" s="1"/>
      <c r="N11909" s="1"/>
      <c r="O11909" s="1"/>
      <c r="P11909" s="1"/>
      <c r="Q11909" s="1"/>
      <c r="R11909" s="1"/>
      <c r="S11909" s="1"/>
      <c r="T11909" s="1"/>
      <c r="U11909" s="1"/>
      <c r="V11909" s="1"/>
      <c r="W11909" s="1"/>
      <c r="X11909" s="1"/>
      <c r="Y11909" s="1"/>
      <c r="Z11909" s="1"/>
      <c r="AA11909" s="1"/>
      <c r="AB11909" s="1"/>
    </row>
    <row r="11910" ht="50.25" customHeight="1">
      <c r="A11910" s="12">
        <v>11906.0</v>
      </c>
      <c r="B11910" s="13" t="s">
        <v>11694</v>
      </c>
      <c r="C11910" s="14" t="s">
        <v>11752</v>
      </c>
      <c r="D11910" s="1"/>
      <c r="E11910" s="1"/>
      <c r="F11910" s="1" t="str">
        <f>IFERROR(__xludf.DUMMYFUNCTION("GOOGLETRANSLATE(B11910, ""en"", ""fa"")
"),"زندگی پایدار")</f>
        <v>زندگی پایدار</v>
      </c>
      <c r="G11910" s="1" t="str">
        <f>IFERROR(__xludf.DUMMYFUNCTION("GOOGLETRANSLATE(C11910, ""en"", ""fa"")
"),"در مورد مزایای پرماکالچر بیاموزید و از تکنیک های باغبانی پایدار استفاده کنید.")</f>
        <v>در مورد مزایای پرماکالچر بیاموزید و از تکنیک های باغبانی پایدار استفاده کنید.</v>
      </c>
      <c r="H11910" s="1"/>
      <c r="I11910" s="1"/>
      <c r="J11910" s="1"/>
      <c r="K11910" s="1"/>
      <c r="L11910" s="1"/>
      <c r="M11910" s="1"/>
      <c r="N11910" s="1"/>
      <c r="O11910" s="1"/>
      <c r="P11910" s="1"/>
      <c r="Q11910" s="1"/>
      <c r="R11910" s="1"/>
      <c r="S11910" s="1"/>
      <c r="T11910" s="1"/>
      <c r="U11910" s="1"/>
      <c r="V11910" s="1"/>
      <c r="W11910" s="1"/>
      <c r="X11910" s="1"/>
      <c r="Y11910" s="1"/>
      <c r="Z11910" s="1"/>
      <c r="AA11910" s="1"/>
      <c r="AB11910" s="1"/>
    </row>
    <row r="11911" ht="50.25" customHeight="1">
      <c r="A11911" s="12">
        <v>11907.0</v>
      </c>
      <c r="B11911" s="13" t="s">
        <v>11694</v>
      </c>
      <c r="C11911" s="14" t="s">
        <v>11753</v>
      </c>
      <c r="D11911" s="1"/>
      <c r="E11911" s="1"/>
      <c r="F11911" s="1" t="str">
        <f>IFERROR(__xludf.DUMMYFUNCTION("GOOGLETRANSLATE(B11911, ""en"", ""fa"")
"),"زندگی پایدار")</f>
        <v>زندگی پایدار</v>
      </c>
      <c r="G11911" s="1" t="str">
        <f>IFERROR(__xludf.DUMMYFUNCTION("GOOGLETRANSLATE(C11911, ""en"", ""fa"")
"),"در مورد مصرف انرژی خود در ساعات اوج مصرف فکر کنید و فعالیت ها را بر اساس آن تنظیم کنید.")</f>
        <v>در مورد مصرف انرژی خود در ساعات اوج مصرف فکر کنید و فعالیت ها را بر اساس آن تنظیم کنید.</v>
      </c>
      <c r="H11911" s="1"/>
      <c r="I11911" s="1"/>
      <c r="J11911" s="1"/>
      <c r="K11911" s="1"/>
      <c r="L11911" s="1"/>
      <c r="M11911" s="1"/>
      <c r="N11911" s="1"/>
      <c r="O11911" s="1"/>
      <c r="P11911" s="1"/>
      <c r="Q11911" s="1"/>
      <c r="R11911" s="1"/>
      <c r="S11911" s="1"/>
      <c r="T11911" s="1"/>
      <c r="U11911" s="1"/>
      <c r="V11911" s="1"/>
      <c r="W11911" s="1"/>
      <c r="X11911" s="1"/>
      <c r="Y11911" s="1"/>
      <c r="Z11911" s="1"/>
      <c r="AA11911" s="1"/>
      <c r="AB11911" s="1"/>
    </row>
    <row r="11912" ht="50.25" customHeight="1">
      <c r="A11912" s="12">
        <v>11908.0</v>
      </c>
      <c r="B11912" s="13" t="s">
        <v>11694</v>
      </c>
      <c r="C11912" s="14" t="s">
        <v>11754</v>
      </c>
      <c r="D11912" s="1"/>
      <c r="E11912" s="1"/>
      <c r="F11912" s="1" t="str">
        <f>IFERROR(__xludf.DUMMYFUNCTION("GOOGLETRANSLATE(B11912, ""en"", ""fa"")
"),"زندگی پایدار")</f>
        <v>زندگی پایدار</v>
      </c>
      <c r="G11912" s="1" t="str">
        <f>IFERROR(__xludf.DUMMYFUNCTION("GOOGLETRANSLATE(C11912, ""en"", ""fa"")
"),"در طرح های درختکاری محلی برای مبارزه با جنگل زدایی شرکت کنید.")</f>
        <v>در طرح های درختکاری محلی برای مبارزه با جنگل زدایی شرکت کنید.</v>
      </c>
      <c r="H11912" s="1"/>
      <c r="I11912" s="1"/>
      <c r="J11912" s="1"/>
      <c r="K11912" s="1"/>
      <c r="L11912" s="1"/>
      <c r="M11912" s="1"/>
      <c r="N11912" s="1"/>
      <c r="O11912" s="1"/>
      <c r="P11912" s="1"/>
      <c r="Q11912" s="1"/>
      <c r="R11912" s="1"/>
      <c r="S11912" s="1"/>
      <c r="T11912" s="1"/>
      <c r="U11912" s="1"/>
      <c r="V11912" s="1"/>
      <c r="W11912" s="1"/>
      <c r="X11912" s="1"/>
      <c r="Y11912" s="1"/>
      <c r="Z11912" s="1"/>
      <c r="AA11912" s="1"/>
      <c r="AB11912" s="1"/>
    </row>
    <row r="11913" ht="50.25" customHeight="1">
      <c r="A11913" s="12">
        <v>11909.0</v>
      </c>
      <c r="B11913" s="13" t="s">
        <v>11694</v>
      </c>
      <c r="C11913" s="14" t="s">
        <v>11755</v>
      </c>
      <c r="D11913" s="1"/>
      <c r="E11913" s="1"/>
      <c r="F11913" s="1" t="str">
        <f>IFERROR(__xludf.DUMMYFUNCTION("GOOGLETRANSLATE(B11913, ""en"", ""fa"")
"),"زندگی پایدار")</f>
        <v>زندگی پایدار</v>
      </c>
      <c r="G11913" s="1" t="str">
        <f>IFERROR(__xludf.DUMMYFUNCTION("GOOGLETRANSLATE(C11913, ""en"", ""fa"")
"),"از مارک های مد دوستدار محیط زیست که رویه های اخلاقی و پایدار را در اولویت قرار می دهند، حمایت کنید.")</f>
        <v>از مارک های مد دوستدار محیط زیست که رویه های اخلاقی و پایدار را در اولویت قرار می دهند، حمایت کنید.</v>
      </c>
      <c r="H11913" s="1"/>
      <c r="I11913" s="1"/>
      <c r="J11913" s="1"/>
      <c r="K11913" s="1"/>
      <c r="L11913" s="1"/>
      <c r="M11913" s="1"/>
      <c r="N11913" s="1"/>
      <c r="O11913" s="1"/>
      <c r="P11913" s="1"/>
      <c r="Q11913" s="1"/>
      <c r="R11913" s="1"/>
      <c r="S11913" s="1"/>
      <c r="T11913" s="1"/>
      <c r="U11913" s="1"/>
      <c r="V11913" s="1"/>
      <c r="W11913" s="1"/>
      <c r="X11913" s="1"/>
      <c r="Y11913" s="1"/>
      <c r="Z11913" s="1"/>
      <c r="AA11913" s="1"/>
      <c r="AB11913" s="1"/>
    </row>
    <row r="11914" ht="50.25" customHeight="1">
      <c r="A11914" s="12">
        <v>11910.0</v>
      </c>
      <c r="B11914" s="13" t="s">
        <v>11694</v>
      </c>
      <c r="C11914" s="14" t="s">
        <v>11756</v>
      </c>
      <c r="D11914" s="1"/>
      <c r="E11914" s="1"/>
      <c r="F11914" s="1" t="str">
        <f>IFERROR(__xludf.DUMMYFUNCTION("GOOGLETRANSLATE(B11914, ""en"", ""fa"")
"),"زندگی پایدار")</f>
        <v>زندگی پایدار</v>
      </c>
      <c r="G11914" s="1" t="str">
        <f>IFERROR(__xludf.DUMMYFUNCTION("GOOGLETRANSLATE(C11914, ""en"", ""fa"")
"),"مزایای خرید محصولات به صورت عمده را برای کاهش ضایعات بسته بندی بررسی کنید.")</f>
        <v>مزایای خرید محصولات به صورت عمده را برای کاهش ضایعات بسته بندی بررسی کنید.</v>
      </c>
      <c r="H11914" s="1"/>
      <c r="I11914" s="1"/>
      <c r="J11914" s="1"/>
      <c r="K11914" s="1"/>
      <c r="L11914" s="1"/>
      <c r="M11914" s="1"/>
      <c r="N11914" s="1"/>
      <c r="O11914" s="1"/>
      <c r="P11914" s="1"/>
      <c r="Q11914" s="1"/>
      <c r="R11914" s="1"/>
      <c r="S11914" s="1"/>
      <c r="T11914" s="1"/>
      <c r="U11914" s="1"/>
      <c r="V11914" s="1"/>
      <c r="W11914" s="1"/>
      <c r="X11914" s="1"/>
      <c r="Y11914" s="1"/>
      <c r="Z11914" s="1"/>
      <c r="AA11914" s="1"/>
      <c r="AB11914" s="1"/>
    </row>
    <row r="11915" ht="50.25" customHeight="1">
      <c r="A11915" s="12">
        <v>11911.0</v>
      </c>
      <c r="B11915" s="13" t="s">
        <v>11694</v>
      </c>
      <c r="C11915" s="14" t="s">
        <v>11757</v>
      </c>
      <c r="D11915" s="1"/>
      <c r="E11915" s="1"/>
      <c r="F11915" s="1" t="str">
        <f>IFERROR(__xludf.DUMMYFUNCTION("GOOGLETRANSLATE(B11915, ""en"", ""fa"")
"),"زندگی پایدار")</f>
        <v>زندگی پایدار</v>
      </c>
      <c r="G11915" s="1" t="str">
        <f>IFERROR(__xludf.DUMMYFUNCTION("GOOGLETRANSLATE(C11915, ""en"", ""fa"")
"),"برای به حداقل رساندن قرار گرفتن در معرض مواد شیمیایی از محلول های پاک کننده طبیعی و غیر سمی استفاده کنید.")</f>
        <v>برای به حداقل رساندن قرار گرفتن در معرض مواد شیمیایی از محلول های پاک کننده طبیعی و غیر سمی استفاده کنید.</v>
      </c>
      <c r="H11915" s="1"/>
      <c r="I11915" s="1"/>
      <c r="J11915" s="1"/>
      <c r="K11915" s="1"/>
      <c r="L11915" s="1"/>
      <c r="M11915" s="1"/>
      <c r="N11915" s="1"/>
      <c r="O11915" s="1"/>
      <c r="P11915" s="1"/>
      <c r="Q11915" s="1"/>
      <c r="R11915" s="1"/>
      <c r="S11915" s="1"/>
      <c r="T11915" s="1"/>
      <c r="U11915" s="1"/>
      <c r="V11915" s="1"/>
      <c r="W11915" s="1"/>
      <c r="X11915" s="1"/>
      <c r="Y11915" s="1"/>
      <c r="Z11915" s="1"/>
      <c r="AA11915" s="1"/>
      <c r="AB11915" s="1"/>
    </row>
    <row r="11916" ht="50.25" customHeight="1">
      <c r="A11916" s="12">
        <v>11912.0</v>
      </c>
      <c r="B11916" s="13" t="s">
        <v>11694</v>
      </c>
      <c r="C11916" s="14" t="s">
        <v>11758</v>
      </c>
      <c r="D11916" s="1"/>
      <c r="E11916" s="1"/>
      <c r="F11916" s="1" t="str">
        <f>IFERROR(__xludf.DUMMYFUNCTION("GOOGLETRANSLATE(B11916, ""en"", ""fa"")
"),"زندگی پایدار")</f>
        <v>زندگی پایدار</v>
      </c>
      <c r="G11916" s="1" t="str">
        <f>IFERROR(__xludf.DUMMYFUNCTION("GOOGLETRANSLATE(C11916, ""en"", ""fa"")
"),"خود را در مورد شیوه های جنگلداری پایدار آموزش دهید و از محصولات چوبی پایدار تایید شده حمایت کنید.")</f>
        <v>خود را در مورد شیوه های جنگلداری پایدار آموزش دهید و از محصولات چوبی پایدار تایید شده حمایت کنید.</v>
      </c>
      <c r="H11916" s="1"/>
      <c r="I11916" s="1"/>
      <c r="J11916" s="1"/>
      <c r="K11916" s="1"/>
      <c r="L11916" s="1"/>
      <c r="M11916" s="1"/>
      <c r="N11916" s="1"/>
      <c r="O11916" s="1"/>
      <c r="P11916" s="1"/>
      <c r="Q11916" s="1"/>
      <c r="R11916" s="1"/>
      <c r="S11916" s="1"/>
      <c r="T11916" s="1"/>
      <c r="U11916" s="1"/>
      <c r="V11916" s="1"/>
      <c r="W11916" s="1"/>
      <c r="X11916" s="1"/>
      <c r="Y11916" s="1"/>
      <c r="Z11916" s="1"/>
      <c r="AA11916" s="1"/>
      <c r="AB11916" s="1"/>
    </row>
    <row r="11917" ht="50.25" customHeight="1">
      <c r="A11917" s="12">
        <v>11913.0</v>
      </c>
      <c r="B11917" s="13" t="s">
        <v>11694</v>
      </c>
      <c r="C11917" s="14" t="s">
        <v>11759</v>
      </c>
      <c r="D11917" s="1"/>
      <c r="E11917" s="1"/>
      <c r="F11917" s="1" t="str">
        <f>IFERROR(__xludf.DUMMYFUNCTION("GOOGLETRANSLATE(B11917, ""en"", ""fa"")
"),"زندگی پایدار")</f>
        <v>زندگی پایدار</v>
      </c>
      <c r="G11917" s="1" t="str">
        <f>IFERROR(__xludf.DUMMYFUNCTION("GOOGLETRANSLATE(C11917, ""en"", ""fa"")
"),"با فریز کردن باقیمانده غذا و برنامه ریزی وعده های غذایی از قبل، ضایعات مواد غذایی را کاهش دهید.")</f>
        <v>با فریز کردن باقیمانده غذا و برنامه ریزی وعده های غذایی از قبل، ضایعات مواد غذایی را کاهش دهید.</v>
      </c>
      <c r="H11917" s="1"/>
      <c r="I11917" s="1"/>
      <c r="J11917" s="1"/>
      <c r="K11917" s="1"/>
      <c r="L11917" s="1"/>
      <c r="M11917" s="1"/>
      <c r="N11917" s="1"/>
      <c r="O11917" s="1"/>
      <c r="P11917" s="1"/>
      <c r="Q11917" s="1"/>
      <c r="R11917" s="1"/>
      <c r="S11917" s="1"/>
      <c r="T11917" s="1"/>
      <c r="U11917" s="1"/>
      <c r="V11917" s="1"/>
      <c r="W11917" s="1"/>
      <c r="X11917" s="1"/>
      <c r="Y11917" s="1"/>
      <c r="Z11917" s="1"/>
      <c r="AA11917" s="1"/>
      <c r="AB11917" s="1"/>
    </row>
    <row r="11918" ht="50.25" customHeight="1">
      <c r="A11918" s="12">
        <v>11914.0</v>
      </c>
      <c r="B11918" s="13" t="s">
        <v>11694</v>
      </c>
      <c r="C11918" s="14" t="s">
        <v>11760</v>
      </c>
      <c r="D11918" s="1"/>
      <c r="E11918" s="1"/>
      <c r="F11918" s="1" t="str">
        <f>IFERROR(__xludf.DUMMYFUNCTION("GOOGLETRANSLATE(B11918, ""en"", ""fa"")
"),"زندگی پایدار")</f>
        <v>زندگی پایدار</v>
      </c>
      <c r="G11918" s="1" t="str">
        <f>IFERROR(__xludf.DUMMYFUNCTION("GOOGLETRANSLATE(C11918, ""en"", ""fa"")
"),"از کسب‌وکارهایی که برنامه‌های بازپس‌گیری محصول را برای بازیافت و استفاده مجدد ارائه می‌کنند، حمایت کنید.")</f>
        <v>از کسب‌وکارهایی که برنامه‌های بازپس‌گیری محصول را برای بازیافت و استفاده مجدد ارائه می‌کنند، حمایت کنید.</v>
      </c>
      <c r="H11918" s="1"/>
      <c r="I11918" s="1"/>
      <c r="J11918" s="1"/>
      <c r="K11918" s="1"/>
      <c r="L11918" s="1"/>
      <c r="M11918" s="1"/>
      <c r="N11918" s="1"/>
      <c r="O11918" s="1"/>
      <c r="P11918" s="1"/>
      <c r="Q11918" s="1"/>
      <c r="R11918" s="1"/>
      <c r="S11918" s="1"/>
      <c r="T11918" s="1"/>
      <c r="U11918" s="1"/>
      <c r="V11918" s="1"/>
      <c r="W11918" s="1"/>
      <c r="X11918" s="1"/>
      <c r="Y11918" s="1"/>
      <c r="Z11918" s="1"/>
      <c r="AA11918" s="1"/>
      <c r="AB11918" s="1"/>
    </row>
    <row r="11919" ht="50.25" customHeight="1">
      <c r="A11919" s="12">
        <v>11915.0</v>
      </c>
      <c r="B11919" s="13" t="s">
        <v>11694</v>
      </c>
      <c r="C11919" s="14" t="s">
        <v>11761</v>
      </c>
      <c r="D11919" s="1"/>
      <c r="E11919" s="1"/>
      <c r="F11919" s="1" t="str">
        <f>IFERROR(__xludf.DUMMYFUNCTION("GOOGLETRANSLATE(B11919, ""en"", ""fa"")
"),"زندگی پایدار")</f>
        <v>زندگی پایدار</v>
      </c>
      <c r="G11919" s="1" t="str">
        <f>IFERROR(__xludf.DUMMYFUNCTION("GOOGLETRANSLATE(C11919, ""en"", ""fa"")
"),"گزینه های انرژی تجدیدپذیر برای خانه خود را بررسی کنید، مانند انرژی خورشیدی یا باد.")</f>
        <v>گزینه های انرژی تجدیدپذیر برای خانه خود را بررسی کنید، مانند انرژی خورشیدی یا باد.</v>
      </c>
      <c r="H11919" s="1"/>
      <c r="I11919" s="1"/>
      <c r="J11919" s="1"/>
      <c r="K11919" s="1"/>
      <c r="L11919" s="1"/>
      <c r="M11919" s="1"/>
      <c r="N11919" s="1"/>
      <c r="O11919" s="1"/>
      <c r="P11919" s="1"/>
      <c r="Q11919" s="1"/>
      <c r="R11919" s="1"/>
      <c r="S11919" s="1"/>
      <c r="T11919" s="1"/>
      <c r="U11919" s="1"/>
      <c r="V11919" s="1"/>
      <c r="W11919" s="1"/>
      <c r="X11919" s="1"/>
      <c r="Y11919" s="1"/>
      <c r="Z11919" s="1"/>
      <c r="AA11919" s="1"/>
      <c r="AB11919" s="1"/>
    </row>
    <row r="11920" ht="50.25" customHeight="1">
      <c r="A11920" s="12">
        <v>11916.0</v>
      </c>
      <c r="B11920" s="13" t="s">
        <v>11694</v>
      </c>
      <c r="C11920" s="14" t="s">
        <v>11762</v>
      </c>
      <c r="D11920" s="1"/>
      <c r="E11920" s="1"/>
      <c r="F11920" s="1" t="str">
        <f>IFERROR(__xludf.DUMMYFUNCTION("GOOGLETRANSLATE(B11920, ""en"", ""fa"")
"),"زندگی پایدار")</f>
        <v>زندگی پایدار</v>
      </c>
      <c r="G11920" s="1" t="str">
        <f>IFERROR(__xludf.DUMMYFUNCTION("GOOGLETRANSLATE(C11920, ""en"", ""fa"")
"),"تأثیر سفرهای هوایی بر محیط زیست را بررسی کنید و حمل و نقل جایگزین را برای مسافت های کوتاه تر در نظر بگیرید.")</f>
        <v>تأثیر سفرهای هوایی بر محیط زیست را بررسی کنید و حمل و نقل جایگزین را برای مسافت های کوتاه تر در نظر بگیرید.</v>
      </c>
      <c r="H11920" s="1"/>
      <c r="I11920" s="1"/>
      <c r="J11920" s="1"/>
      <c r="K11920" s="1"/>
      <c r="L11920" s="1"/>
      <c r="M11920" s="1"/>
      <c r="N11920" s="1"/>
      <c r="O11920" s="1"/>
      <c r="P11920" s="1"/>
      <c r="Q11920" s="1"/>
      <c r="R11920" s="1"/>
      <c r="S11920" s="1"/>
      <c r="T11920" s="1"/>
      <c r="U11920" s="1"/>
      <c r="V11920" s="1"/>
      <c r="W11920" s="1"/>
      <c r="X11920" s="1"/>
      <c r="Y11920" s="1"/>
      <c r="Z11920" s="1"/>
      <c r="AA11920" s="1"/>
      <c r="AB11920" s="1"/>
    </row>
    <row r="11921" ht="50.25" customHeight="1">
      <c r="A11921" s="12">
        <v>11917.0</v>
      </c>
      <c r="B11921" s="13" t="s">
        <v>11694</v>
      </c>
      <c r="C11921" s="14" t="s">
        <v>11763</v>
      </c>
      <c r="D11921" s="1"/>
      <c r="E11921" s="1"/>
      <c r="F11921" s="1" t="str">
        <f>IFERROR(__xludf.DUMMYFUNCTION("GOOGLETRANSLATE(B11921, ""en"", ""fa"")
"),"زندگی پایدار")</f>
        <v>زندگی پایدار</v>
      </c>
      <c r="G11921" s="1" t="str">
        <f>IFERROR(__xludf.DUMMYFUNCTION("GOOGLETRANSLATE(C11921, ""en"", ""fa"")
"),"برای کاهش مصرف آب هنگام دوش گرفتن از سر دوش کم مصرف استفاده کنید.")</f>
        <v>برای کاهش مصرف آب هنگام دوش گرفتن از سر دوش کم مصرف استفاده کنید.</v>
      </c>
      <c r="H11921" s="1"/>
      <c r="I11921" s="1"/>
      <c r="J11921" s="1"/>
      <c r="K11921" s="1"/>
      <c r="L11921" s="1"/>
      <c r="M11921" s="1"/>
      <c r="N11921" s="1"/>
      <c r="O11921" s="1"/>
      <c r="P11921" s="1"/>
      <c r="Q11921" s="1"/>
      <c r="R11921" s="1"/>
      <c r="S11921" s="1"/>
      <c r="T11921" s="1"/>
      <c r="U11921" s="1"/>
      <c r="V11921" s="1"/>
      <c r="W11921" s="1"/>
      <c r="X11921" s="1"/>
      <c r="Y11921" s="1"/>
      <c r="Z11921" s="1"/>
      <c r="AA11921" s="1"/>
      <c r="AB11921" s="1"/>
    </row>
    <row r="11922" ht="50.25" customHeight="1">
      <c r="A11922" s="12">
        <v>11918.0</v>
      </c>
      <c r="B11922" s="13" t="s">
        <v>11694</v>
      </c>
      <c r="C11922" s="14" t="s">
        <v>11764</v>
      </c>
      <c r="D11922" s="1"/>
      <c r="E11922" s="1"/>
      <c r="F11922" s="1" t="str">
        <f>IFERROR(__xludf.DUMMYFUNCTION("GOOGLETRANSLATE(B11922, ""en"", ""fa"")
"),"زندگی پایدار")</f>
        <v>زندگی پایدار</v>
      </c>
      <c r="G11922" s="1" t="str">
        <f>IFERROR(__xludf.DUMMYFUNCTION("GOOGLETRANSLATE(C11922, ""en"", ""fa"")
"),"برای کاهش ضایعات کاغذ ناشی از تبلیغات ناخواسته، سیاست «بدون پست های ناخواسته» را اجرا کنید.")</f>
        <v>برای کاهش ضایعات کاغذ ناشی از تبلیغات ناخواسته، سیاست «بدون پست های ناخواسته» را اجرا کنید.</v>
      </c>
      <c r="H11922" s="1"/>
      <c r="I11922" s="1"/>
      <c r="J11922" s="1"/>
      <c r="K11922" s="1"/>
      <c r="L11922" s="1"/>
      <c r="M11922" s="1"/>
      <c r="N11922" s="1"/>
      <c r="O11922" s="1"/>
      <c r="P11922" s="1"/>
      <c r="Q11922" s="1"/>
      <c r="R11922" s="1"/>
      <c r="S11922" s="1"/>
      <c r="T11922" s="1"/>
      <c r="U11922" s="1"/>
      <c r="V11922" s="1"/>
      <c r="W11922" s="1"/>
      <c r="X11922" s="1"/>
      <c r="Y11922" s="1"/>
      <c r="Z11922" s="1"/>
      <c r="AA11922" s="1"/>
      <c r="AB11922" s="1"/>
    </row>
    <row r="11923" ht="50.25" customHeight="1">
      <c r="A11923" s="12">
        <v>11919.0</v>
      </c>
      <c r="B11923" s="13" t="s">
        <v>11694</v>
      </c>
      <c r="C11923" s="14" t="s">
        <v>11765</v>
      </c>
      <c r="D11923" s="1"/>
      <c r="E11923" s="1"/>
      <c r="F11923" s="1" t="str">
        <f>IFERROR(__xludf.DUMMYFUNCTION("GOOGLETRANSLATE(B11923, ""en"", ""fa"")
"),"زندگی پایدار")</f>
        <v>زندگی پایدار</v>
      </c>
      <c r="G11923" s="1" t="str">
        <f>IFERROR(__xludf.DUMMYFUNCTION("GOOGLETRANSLATE(C11923, ""en"", ""fa"")
"),"به تأثیرات محیطی محصولات مراقبت شخصی خود فکر کنید و جایگزین های سازگار با محیط زیست را انتخاب کنید.")</f>
        <v>به تأثیرات محیطی محصولات مراقبت شخصی خود فکر کنید و جایگزین های سازگار با محیط زیست را انتخاب کنید.</v>
      </c>
      <c r="H11923" s="1"/>
      <c r="I11923" s="1"/>
      <c r="J11923" s="1"/>
      <c r="K11923" s="1"/>
      <c r="L11923" s="1"/>
      <c r="M11923" s="1"/>
      <c r="N11923" s="1"/>
      <c r="O11923" s="1"/>
      <c r="P11923" s="1"/>
      <c r="Q11923" s="1"/>
      <c r="R11923" s="1"/>
      <c r="S11923" s="1"/>
      <c r="T11923" s="1"/>
      <c r="U11923" s="1"/>
      <c r="V11923" s="1"/>
      <c r="W11923" s="1"/>
      <c r="X11923" s="1"/>
      <c r="Y11923" s="1"/>
      <c r="Z11923" s="1"/>
      <c r="AA11923" s="1"/>
      <c r="AB11923" s="1"/>
    </row>
    <row r="11924" ht="50.25" customHeight="1">
      <c r="A11924" s="12">
        <v>11920.0</v>
      </c>
      <c r="B11924" s="13" t="s">
        <v>11694</v>
      </c>
      <c r="C11924" s="14" t="s">
        <v>11766</v>
      </c>
      <c r="D11924" s="1"/>
      <c r="E11924" s="1"/>
      <c r="F11924" s="1" t="str">
        <f>IFERROR(__xludf.DUMMYFUNCTION("GOOGLETRANSLATE(B11924, ""en"", ""fa"")
"),"زندگی پایدار")</f>
        <v>زندگی پایدار</v>
      </c>
      <c r="G11924" s="1" t="str">
        <f>IFERROR(__xludf.DUMMYFUNCTION("GOOGLETRANSLATE(C11924, ""en"", ""fa"")
"),"یک باغ اجتماعی راه اندازی کنید یا در طرح های کشاورزی شهری محلی شرکت کنید.")</f>
        <v>یک باغ اجتماعی راه اندازی کنید یا در طرح های کشاورزی شهری محلی شرکت کنید.</v>
      </c>
      <c r="H11924" s="1"/>
      <c r="I11924" s="1"/>
      <c r="J11924" s="1"/>
      <c r="K11924" s="1"/>
      <c r="L11924" s="1"/>
      <c r="M11924" s="1"/>
      <c r="N11924" s="1"/>
      <c r="O11924" s="1"/>
      <c r="P11924" s="1"/>
      <c r="Q11924" s="1"/>
      <c r="R11924" s="1"/>
      <c r="S11924" s="1"/>
      <c r="T11924" s="1"/>
      <c r="U11924" s="1"/>
      <c r="V11924" s="1"/>
      <c r="W11924" s="1"/>
      <c r="X11924" s="1"/>
      <c r="Y11924" s="1"/>
      <c r="Z11924" s="1"/>
      <c r="AA11924" s="1"/>
      <c r="AB11924" s="1"/>
    </row>
    <row r="11925" ht="50.25" customHeight="1">
      <c r="A11925" s="12">
        <v>11921.0</v>
      </c>
      <c r="B11925" s="13" t="s">
        <v>11694</v>
      </c>
      <c r="C11925" s="14" t="s">
        <v>11767</v>
      </c>
      <c r="D11925" s="1"/>
      <c r="E11925" s="1"/>
      <c r="F11925" s="1" t="str">
        <f>IFERROR(__xludf.DUMMYFUNCTION("GOOGLETRANSLATE(B11925, ""en"", ""fa"")
"),"زندگی پایدار")</f>
        <v>زندگی پایدار</v>
      </c>
      <c r="G11925" s="1" t="str">
        <f>IFERROR(__xludf.DUMMYFUNCTION("GOOGLETRANSLATE(C11925, ""en"", ""fa"")
"),"از شرکت های آگاه به محیط زیست که انتشار کربن خود را جبران می کنند، حمایت کنید.")</f>
        <v>از شرکت های آگاه به محیط زیست که انتشار کربن خود را جبران می کنند، حمایت کنید.</v>
      </c>
      <c r="H11925" s="1"/>
      <c r="I11925" s="1"/>
      <c r="J11925" s="1"/>
      <c r="K11925" s="1"/>
      <c r="L11925" s="1"/>
      <c r="M11925" s="1"/>
      <c r="N11925" s="1"/>
      <c r="O11925" s="1"/>
      <c r="P11925" s="1"/>
      <c r="Q11925" s="1"/>
      <c r="R11925" s="1"/>
      <c r="S11925" s="1"/>
      <c r="T11925" s="1"/>
      <c r="U11925" s="1"/>
      <c r="V11925" s="1"/>
      <c r="W11925" s="1"/>
      <c r="X11925" s="1"/>
      <c r="Y11925" s="1"/>
      <c r="Z11925" s="1"/>
      <c r="AA11925" s="1"/>
      <c r="AB11925" s="1"/>
    </row>
    <row r="11926" ht="50.25" customHeight="1">
      <c r="A11926" s="12">
        <v>11922.0</v>
      </c>
      <c r="B11926" s="13" t="s">
        <v>11694</v>
      </c>
      <c r="C11926" s="14" t="s">
        <v>11768</v>
      </c>
      <c r="D11926" s="1"/>
      <c r="E11926" s="1"/>
      <c r="F11926" s="1" t="str">
        <f>IFERROR(__xludf.DUMMYFUNCTION("GOOGLETRANSLATE(B11926, ""en"", ""fa"")
"),"زندگی پایدار")</f>
        <v>زندگی پایدار</v>
      </c>
      <c r="G11926" s="1" t="str">
        <f>IFERROR(__xludf.DUMMYFUNCTION("GOOGLETRANSLATE(C11926, ""en"", ""fa"")
"),"خود را در مورد شیوه های ماهیگیری پایدار آموزش دهید و غذاهای دریایی صید اخلاقی را انتخاب کنید.")</f>
        <v>خود را در مورد شیوه های ماهیگیری پایدار آموزش دهید و غذاهای دریایی صید اخلاقی را انتخاب کنید.</v>
      </c>
      <c r="H11926" s="1"/>
      <c r="I11926" s="1"/>
      <c r="J11926" s="1"/>
      <c r="K11926" s="1"/>
      <c r="L11926" s="1"/>
      <c r="M11926" s="1"/>
      <c r="N11926" s="1"/>
      <c r="O11926" s="1"/>
      <c r="P11926" s="1"/>
      <c r="Q11926" s="1"/>
      <c r="R11926" s="1"/>
      <c r="S11926" s="1"/>
      <c r="T11926" s="1"/>
      <c r="U11926" s="1"/>
      <c r="V11926" s="1"/>
      <c r="W11926" s="1"/>
      <c r="X11926" s="1"/>
      <c r="Y11926" s="1"/>
      <c r="Z11926" s="1"/>
      <c r="AA11926" s="1"/>
      <c r="AB11926" s="1"/>
    </row>
    <row r="11927" ht="50.25" customHeight="1">
      <c r="A11927" s="12">
        <v>11923.0</v>
      </c>
      <c r="B11927" s="13" t="s">
        <v>11694</v>
      </c>
      <c r="C11927" s="14" t="s">
        <v>11769</v>
      </c>
      <c r="D11927" s="1"/>
      <c r="E11927" s="1"/>
      <c r="F11927" s="1" t="str">
        <f>IFERROR(__xludf.DUMMYFUNCTION("GOOGLETRANSLATE(B11927, ""en"", ""fa"")
"),"زندگی پایدار")</f>
        <v>زندگی پایدار</v>
      </c>
      <c r="G11927" s="1" t="str">
        <f>IFERROR(__xludf.DUMMYFUNCTION("GOOGLETRANSLATE(C11927, ""en"", ""fa"")
"),"با استفاده از گیاهان بومی و حفظ آب، محوطه سازی پایدار را تمرین کنید.")</f>
        <v>با استفاده از گیاهان بومی و حفظ آب، محوطه سازی پایدار را تمرین کنید.</v>
      </c>
      <c r="H11927" s="1"/>
      <c r="I11927" s="1"/>
      <c r="J11927" s="1"/>
      <c r="K11927" s="1"/>
      <c r="L11927" s="1"/>
      <c r="M11927" s="1"/>
      <c r="N11927" s="1"/>
      <c r="O11927" s="1"/>
      <c r="P11927" s="1"/>
      <c r="Q11927" s="1"/>
      <c r="R11927" s="1"/>
      <c r="S11927" s="1"/>
      <c r="T11927" s="1"/>
      <c r="U11927" s="1"/>
      <c r="V11927" s="1"/>
      <c r="W11927" s="1"/>
      <c r="X11927" s="1"/>
      <c r="Y11927" s="1"/>
      <c r="Z11927" s="1"/>
      <c r="AA11927" s="1"/>
      <c r="AB11927" s="1"/>
    </row>
    <row r="11928" ht="50.25" customHeight="1">
      <c r="A11928" s="12">
        <v>11924.0</v>
      </c>
      <c r="B11928" s="13" t="s">
        <v>11694</v>
      </c>
      <c r="C11928" s="14" t="s">
        <v>11770</v>
      </c>
      <c r="D11928" s="1"/>
      <c r="E11928" s="1"/>
      <c r="F11928" s="1" t="str">
        <f>IFERROR(__xludf.DUMMYFUNCTION("GOOGLETRANSLATE(B11928, ""en"", ""fa"")
"),"زندگی پایدار")</f>
        <v>زندگی پایدار</v>
      </c>
      <c r="G11928" s="1" t="str">
        <f>IFERROR(__xludf.DUMMYFUNCTION("GOOGLETRANSLATE(C11928, ""en"", ""fa"")
"),"برای کاهش ضایعات محصولات یکبار مصرف، روی وسایل خانگی قابل استفاده مجدد و بادوام سرمایه گذاری کنید.")</f>
        <v>برای کاهش ضایعات محصولات یکبار مصرف، روی وسایل خانگی قابل استفاده مجدد و بادوام سرمایه گذاری کنید.</v>
      </c>
      <c r="H11928" s="1"/>
      <c r="I11928" s="1"/>
      <c r="J11928" s="1"/>
      <c r="K11928" s="1"/>
      <c r="L11928" s="1"/>
      <c r="M11928" s="1"/>
      <c r="N11928" s="1"/>
      <c r="O11928" s="1"/>
      <c r="P11928" s="1"/>
      <c r="Q11928" s="1"/>
      <c r="R11928" s="1"/>
      <c r="S11928" s="1"/>
      <c r="T11928" s="1"/>
      <c r="U11928" s="1"/>
      <c r="V11928" s="1"/>
      <c r="W11928" s="1"/>
      <c r="X11928" s="1"/>
      <c r="Y11928" s="1"/>
      <c r="Z11928" s="1"/>
      <c r="AA11928" s="1"/>
      <c r="AB11928" s="1"/>
    </row>
    <row r="11929" ht="50.25" customHeight="1">
      <c r="A11929" s="12">
        <v>11925.0</v>
      </c>
      <c r="B11929" s="13" t="s">
        <v>11694</v>
      </c>
      <c r="C11929" s="14" t="s">
        <v>11771</v>
      </c>
      <c r="D11929" s="1"/>
      <c r="E11929" s="1"/>
      <c r="F11929" s="1" t="str">
        <f>IFERROR(__xludf.DUMMYFUNCTION("GOOGLETRANSLATE(B11929, ""en"", ""fa"")
"),"زندگی پایدار")</f>
        <v>زندگی پایدار</v>
      </c>
      <c r="G11929" s="1" t="str">
        <f>IFERROR(__xludf.DUMMYFUNCTION("GOOGLETRANSLATE(C11929, ""en"", ""fa"")
"),"گزینه های انرژی تجدیدپذیر برای گرمایش و سرمایش خانه خود را بررسی کنید.")</f>
        <v>گزینه های انرژی تجدیدپذیر برای گرمایش و سرمایش خانه خود را بررسی کنید.</v>
      </c>
      <c r="H11929" s="1"/>
      <c r="I11929" s="1"/>
      <c r="J11929" s="1"/>
      <c r="K11929" s="1"/>
      <c r="L11929" s="1"/>
      <c r="M11929" s="1"/>
      <c r="N11929" s="1"/>
      <c r="O11929" s="1"/>
      <c r="P11929" s="1"/>
      <c r="Q11929" s="1"/>
      <c r="R11929" s="1"/>
      <c r="S11929" s="1"/>
      <c r="T11929" s="1"/>
      <c r="U11929" s="1"/>
      <c r="V11929" s="1"/>
      <c r="W11929" s="1"/>
      <c r="X11929" s="1"/>
      <c r="Y11929" s="1"/>
      <c r="Z11929" s="1"/>
      <c r="AA11929" s="1"/>
      <c r="AB11929" s="1"/>
    </row>
    <row r="11930" ht="50.25" customHeight="1">
      <c r="A11930" s="12">
        <v>11926.0</v>
      </c>
      <c r="B11930" s="13" t="s">
        <v>11694</v>
      </c>
      <c r="C11930" s="14" t="s">
        <v>11772</v>
      </c>
      <c r="D11930" s="1"/>
      <c r="E11930" s="1"/>
      <c r="F11930" s="1" t="str">
        <f>IFERROR(__xludf.DUMMYFUNCTION("GOOGLETRANSLATE(B11930, ""en"", ""fa"")
"),"زندگی پایدار")</f>
        <v>زندگی پایدار</v>
      </c>
      <c r="G11930" s="1" t="str">
        <f>IFERROR(__xludf.DUMMYFUNCTION("GOOGLETRANSLATE(C11930, ""en"", ""fa"")
"),"در رویدادهای پاکسازی جامعه شرکت کنید تا محله خود را بدون زباله نگه دارید.")</f>
        <v>در رویدادهای پاکسازی جامعه شرکت کنید تا محله خود را بدون زباله نگه دارید.</v>
      </c>
      <c r="H11930" s="1"/>
      <c r="I11930" s="1"/>
      <c r="J11930" s="1"/>
      <c r="K11930" s="1"/>
      <c r="L11930" s="1"/>
      <c r="M11930" s="1"/>
      <c r="N11930" s="1"/>
      <c r="O11930" s="1"/>
      <c r="P11930" s="1"/>
      <c r="Q11930" s="1"/>
      <c r="R11930" s="1"/>
      <c r="S11930" s="1"/>
      <c r="T11930" s="1"/>
      <c r="U11930" s="1"/>
      <c r="V11930" s="1"/>
      <c r="W11930" s="1"/>
      <c r="X11930" s="1"/>
      <c r="Y11930" s="1"/>
      <c r="Z11930" s="1"/>
      <c r="AA11930" s="1"/>
      <c r="AB11930" s="1"/>
    </row>
    <row r="11931" ht="50.25" customHeight="1">
      <c r="A11931" s="12">
        <v>11927.0</v>
      </c>
      <c r="B11931" s="13" t="s">
        <v>11694</v>
      </c>
      <c r="C11931" s="14" t="s">
        <v>11773</v>
      </c>
      <c r="D11931" s="1"/>
      <c r="E11931" s="1"/>
      <c r="F11931" s="1" t="str">
        <f>IFERROR(__xludf.DUMMYFUNCTION("GOOGLETRANSLATE(B11931, ""en"", ""fa"")
"),"زندگی پایدار")</f>
        <v>زندگی پایدار</v>
      </c>
      <c r="G11931" s="1" t="str">
        <f>IFERROR(__xludf.DUMMYFUNCTION("GOOGLETRANSLATE(C11931, ""en"", ""fa"")
"),"در طرح های درختکاری برای حمایت از تلاش های احیای جنگل شرکت کنید.")</f>
        <v>در طرح های درختکاری برای حمایت از تلاش های احیای جنگل شرکت کنید.</v>
      </c>
      <c r="H11931" s="1"/>
      <c r="I11931" s="1"/>
      <c r="J11931" s="1"/>
      <c r="K11931" s="1"/>
      <c r="L11931" s="1"/>
      <c r="M11931" s="1"/>
      <c r="N11931" s="1"/>
      <c r="O11931" s="1"/>
      <c r="P11931" s="1"/>
      <c r="Q11931" s="1"/>
      <c r="R11931" s="1"/>
      <c r="S11931" s="1"/>
      <c r="T11931" s="1"/>
      <c r="U11931" s="1"/>
      <c r="V11931" s="1"/>
      <c r="W11931" s="1"/>
      <c r="X11931" s="1"/>
      <c r="Y11931" s="1"/>
      <c r="Z11931" s="1"/>
      <c r="AA11931" s="1"/>
      <c r="AB11931" s="1"/>
    </row>
    <row r="11932" ht="50.25" customHeight="1">
      <c r="A11932" s="12">
        <v>11928.0</v>
      </c>
      <c r="B11932" s="13" t="s">
        <v>11694</v>
      </c>
      <c r="C11932" s="14" t="s">
        <v>11774</v>
      </c>
      <c r="D11932" s="1"/>
      <c r="E11932" s="1"/>
      <c r="F11932" s="1" t="str">
        <f>IFERROR(__xludf.DUMMYFUNCTION("GOOGLETRANSLATE(B11932, ""en"", ""fa"")
"),"زندگی پایدار")</f>
        <v>زندگی پایدار</v>
      </c>
      <c r="G11932" s="1" t="str">
        <f>IFERROR(__xludf.DUMMYFUNCTION("GOOGLETRANSLATE(C11932, ""en"", ""fa"")
"),"برای کاهش مصرف برق، لوازم برقی و لوازم الکترونیکی کم مصرف را انتخاب کنید.")</f>
        <v>برای کاهش مصرف برق، لوازم برقی و لوازم الکترونیکی کم مصرف را انتخاب کنید.</v>
      </c>
      <c r="H11932" s="1"/>
      <c r="I11932" s="1"/>
      <c r="J11932" s="1"/>
      <c r="K11932" s="1"/>
      <c r="L11932" s="1"/>
      <c r="M11932" s="1"/>
      <c r="N11932" s="1"/>
      <c r="O11932" s="1"/>
      <c r="P11932" s="1"/>
      <c r="Q11932" s="1"/>
      <c r="R11932" s="1"/>
      <c r="S11932" s="1"/>
      <c r="T11932" s="1"/>
      <c r="U11932" s="1"/>
      <c r="V11932" s="1"/>
      <c r="W11932" s="1"/>
      <c r="X11932" s="1"/>
      <c r="Y11932" s="1"/>
      <c r="Z11932" s="1"/>
      <c r="AA11932" s="1"/>
      <c r="AB11932" s="1"/>
    </row>
    <row r="11933" ht="50.25" customHeight="1">
      <c r="A11933" s="12">
        <v>11929.0</v>
      </c>
      <c r="B11933" s="13" t="s">
        <v>11694</v>
      </c>
      <c r="C11933" s="14" t="s">
        <v>11775</v>
      </c>
      <c r="D11933" s="1"/>
      <c r="E11933" s="1"/>
      <c r="F11933" s="1" t="str">
        <f>IFERROR(__xludf.DUMMYFUNCTION("GOOGLETRANSLATE(B11933, ""en"", ""fa"")
"),"زندگی پایدار")</f>
        <v>زندگی پایدار</v>
      </c>
      <c r="G11933" s="1" t="str">
        <f>IFERROR(__xludf.DUMMYFUNCTION("GOOGLETRANSLATE(C11933, ""en"", ""fa"")
"),"در مورد انتخاب های حمل و نقل خود فکر کنید و در صورت امکان پیاده روی یا دوچرخه سواری را انتخاب کنید.")</f>
        <v>در مورد انتخاب های حمل و نقل خود فکر کنید و در صورت امکان پیاده روی یا دوچرخه سواری را انتخاب کنید.</v>
      </c>
      <c r="H11933" s="1"/>
      <c r="I11933" s="1"/>
      <c r="J11933" s="1"/>
      <c r="K11933" s="1"/>
      <c r="L11933" s="1"/>
      <c r="M11933" s="1"/>
      <c r="N11933" s="1"/>
      <c r="O11933" s="1"/>
      <c r="P11933" s="1"/>
      <c r="Q11933" s="1"/>
      <c r="R11933" s="1"/>
      <c r="S11933" s="1"/>
      <c r="T11933" s="1"/>
      <c r="U11933" s="1"/>
      <c r="V11933" s="1"/>
      <c r="W11933" s="1"/>
      <c r="X11933" s="1"/>
      <c r="Y11933" s="1"/>
      <c r="Z11933" s="1"/>
      <c r="AA11933" s="1"/>
      <c r="AB11933" s="1"/>
    </row>
    <row r="11934" ht="50.25" customHeight="1">
      <c r="A11934" s="12">
        <v>11930.0</v>
      </c>
      <c r="B11934" s="13" t="s">
        <v>11694</v>
      </c>
      <c r="C11934" s="14" t="s">
        <v>11776</v>
      </c>
      <c r="D11934" s="1"/>
      <c r="E11934" s="1"/>
      <c r="F11934" s="1" t="str">
        <f>IFERROR(__xludf.DUMMYFUNCTION("GOOGLETRANSLATE(B11934, ""en"", ""fa"")
"),"زندگی پایدار")</f>
        <v>زندگی پایدار</v>
      </c>
      <c r="G11934" s="1" t="str">
        <f>IFERROR(__xludf.DUMMYFUNCTION("GOOGLETRANSLATE(C11934, ""en"", ""fa"")
"),"با انتخاب مقاصد و اقامتگاه هایی که پایداری را در اولویت قرار می دهند، از گردشگری دوستدار محیط زیست حمایت کنید.")</f>
        <v>با انتخاب مقاصد و اقامتگاه هایی که پایداری را در اولویت قرار می دهند، از گردشگری دوستدار محیط زیست حمایت کنید.</v>
      </c>
      <c r="H11934" s="1"/>
      <c r="I11934" s="1"/>
      <c r="J11934" s="1"/>
      <c r="K11934" s="1"/>
      <c r="L11934" s="1"/>
      <c r="M11934" s="1"/>
      <c r="N11934" s="1"/>
      <c r="O11934" s="1"/>
      <c r="P11934" s="1"/>
      <c r="Q11934" s="1"/>
      <c r="R11934" s="1"/>
      <c r="S11934" s="1"/>
      <c r="T11934" s="1"/>
      <c r="U11934" s="1"/>
      <c r="V11934" s="1"/>
      <c r="W11934" s="1"/>
      <c r="X11934" s="1"/>
      <c r="Y11934" s="1"/>
      <c r="Z11934" s="1"/>
      <c r="AA11934" s="1"/>
      <c r="AB11934" s="1"/>
    </row>
    <row r="11935" ht="50.25" customHeight="1">
      <c r="A11935" s="12">
        <v>11931.0</v>
      </c>
      <c r="B11935" s="13" t="s">
        <v>11694</v>
      </c>
      <c r="C11935" s="14" t="s">
        <v>11777</v>
      </c>
      <c r="D11935" s="1"/>
      <c r="E11935" s="1"/>
      <c r="F11935" s="1" t="str">
        <f>IFERROR(__xludf.DUMMYFUNCTION("GOOGLETRANSLATE(B11935, ""en"", ""fa"")
"),"زندگی پایدار")</f>
        <v>زندگی پایدار</v>
      </c>
      <c r="G11935" s="1" t="str">
        <f>IFERROR(__xludf.DUMMYFUNCTION("GOOGLETRANSLATE(C11935, ""en"", ""fa"")
"),"با خرید محصولات با بسته بندی حداقل یا زیست تخریب پذیر، ضایعات را کاهش دهید.")</f>
        <v>با خرید محصولات با بسته بندی حداقل یا زیست تخریب پذیر، ضایعات را کاهش دهید.</v>
      </c>
      <c r="H11935" s="1"/>
      <c r="I11935" s="1"/>
      <c r="J11935" s="1"/>
      <c r="K11935" s="1"/>
      <c r="L11935" s="1"/>
      <c r="M11935" s="1"/>
      <c r="N11935" s="1"/>
      <c r="O11935" s="1"/>
      <c r="P11935" s="1"/>
      <c r="Q11935" s="1"/>
      <c r="R11935" s="1"/>
      <c r="S11935" s="1"/>
      <c r="T11935" s="1"/>
      <c r="U11935" s="1"/>
      <c r="V11935" s="1"/>
      <c r="W11935" s="1"/>
      <c r="X11935" s="1"/>
      <c r="Y11935" s="1"/>
      <c r="Z11935" s="1"/>
      <c r="AA11935" s="1"/>
      <c r="AB11935" s="1"/>
    </row>
    <row r="11936" ht="50.25" customHeight="1">
      <c r="A11936" s="12">
        <v>11932.0</v>
      </c>
      <c r="B11936" s="13" t="s">
        <v>11694</v>
      </c>
      <c r="C11936" s="14" t="s">
        <v>11778</v>
      </c>
      <c r="D11936" s="1"/>
      <c r="E11936" s="1"/>
      <c r="F11936" s="1" t="str">
        <f>IFERROR(__xludf.DUMMYFUNCTION("GOOGLETRANSLATE(B11936, ""en"", ""fa"")
"),"زندگی پایدار")</f>
        <v>زندگی پایدار</v>
      </c>
      <c r="G11936" s="1" t="str">
        <f>IFERROR(__xludf.DUMMYFUNCTION("GOOGLETRANSLATE(C11936, ""en"", ""fa"")
"),"خود را در مورد اثرات زیست محیطی تولید روغن نخل آموزش دهید و از جایگزین های پایدار حمایت کنید.")</f>
        <v>خود را در مورد اثرات زیست محیطی تولید روغن نخل آموزش دهید و از جایگزین های پایدار حمایت کنید.</v>
      </c>
      <c r="H11936" s="1"/>
      <c r="I11936" s="1"/>
      <c r="J11936" s="1"/>
      <c r="K11936" s="1"/>
      <c r="L11936" s="1"/>
      <c r="M11936" s="1"/>
      <c r="N11936" s="1"/>
      <c r="O11936" s="1"/>
      <c r="P11936" s="1"/>
      <c r="Q11936" s="1"/>
      <c r="R11936" s="1"/>
      <c r="S11936" s="1"/>
      <c r="T11936" s="1"/>
      <c r="U11936" s="1"/>
      <c r="V11936" s="1"/>
      <c r="W11936" s="1"/>
      <c r="X11936" s="1"/>
      <c r="Y11936" s="1"/>
      <c r="Z11936" s="1"/>
      <c r="AA11936" s="1"/>
      <c r="AB11936" s="1"/>
    </row>
    <row r="11937" ht="50.25" customHeight="1">
      <c r="A11937" s="12">
        <v>11933.0</v>
      </c>
      <c r="B11937" s="13" t="s">
        <v>11694</v>
      </c>
      <c r="C11937" s="14" t="s">
        <v>11779</v>
      </c>
      <c r="D11937" s="1"/>
      <c r="E11937" s="1"/>
      <c r="F11937" s="1" t="str">
        <f>IFERROR(__xludf.DUMMYFUNCTION("GOOGLETRANSLATE(B11937, ""en"", ""fa"")
"),"زندگی پایدار")</f>
        <v>زندگی پایدار</v>
      </c>
      <c r="G11937" s="1" t="str">
        <f>IFERROR(__xludf.DUMMYFUNCTION("GOOGLETRANSLATE(C11937, ""en"", ""fa"")
"),"برای صرفه جویی در مصرف انرژی از مواد شوینده دوستدار محیط زیست استفاده کنید و لباس ها را در آب سرد بشویید.")</f>
        <v>برای صرفه جویی در مصرف انرژی از مواد شوینده دوستدار محیط زیست استفاده کنید و لباس ها را در آب سرد بشویید.</v>
      </c>
      <c r="H11937" s="1"/>
      <c r="I11937" s="1"/>
      <c r="J11937" s="1"/>
      <c r="K11937" s="1"/>
      <c r="L11937" s="1"/>
      <c r="M11937" s="1"/>
      <c r="N11937" s="1"/>
      <c r="O11937" s="1"/>
      <c r="P11937" s="1"/>
      <c r="Q11937" s="1"/>
      <c r="R11937" s="1"/>
      <c r="S11937" s="1"/>
      <c r="T11937" s="1"/>
      <c r="U11937" s="1"/>
      <c r="V11937" s="1"/>
      <c r="W11937" s="1"/>
      <c r="X11937" s="1"/>
      <c r="Y11937" s="1"/>
      <c r="Z11937" s="1"/>
      <c r="AA11937" s="1"/>
      <c r="AB11937" s="1"/>
    </row>
    <row r="11938" ht="50.25" customHeight="1">
      <c r="A11938" s="12">
        <v>11934.0</v>
      </c>
      <c r="B11938" s="13" t="s">
        <v>11694</v>
      </c>
      <c r="C11938" s="14" t="s">
        <v>11780</v>
      </c>
      <c r="D11938" s="1"/>
      <c r="E11938" s="1"/>
      <c r="F11938" s="1" t="str">
        <f>IFERROR(__xludf.DUMMYFUNCTION("GOOGLETRANSLATE(B11938, ""en"", ""fa"")
"),"زندگی پایدار")</f>
        <v>زندگی پایدار</v>
      </c>
      <c r="G11938" s="1" t="str">
        <f>IFERROR(__xludf.DUMMYFUNCTION("GOOGLETRANSLATE(C11938, ""en"", ""fa"")
"),"مد پایدار را با انتخاب قطعات با کیفیت و جاودانه نسبت به روندهای مد سریع تمرین کنید.")</f>
        <v>مد پایدار را با انتخاب قطعات با کیفیت و جاودانه نسبت به روندهای مد سریع تمرین کنید.</v>
      </c>
      <c r="H11938" s="1"/>
      <c r="I11938" s="1"/>
      <c r="J11938" s="1"/>
      <c r="K11938" s="1"/>
      <c r="L11938" s="1"/>
      <c r="M11938" s="1"/>
      <c r="N11938" s="1"/>
      <c r="O11938" s="1"/>
      <c r="P11938" s="1"/>
      <c r="Q11938" s="1"/>
      <c r="R11938" s="1"/>
      <c r="S11938" s="1"/>
      <c r="T11938" s="1"/>
      <c r="U11938" s="1"/>
      <c r="V11938" s="1"/>
      <c r="W11938" s="1"/>
      <c r="X11938" s="1"/>
      <c r="Y11938" s="1"/>
      <c r="Z11938" s="1"/>
      <c r="AA11938" s="1"/>
      <c r="AB11938" s="1"/>
    </row>
    <row r="11939" ht="50.25" customHeight="1">
      <c r="A11939" s="12">
        <v>11935.0</v>
      </c>
      <c r="B11939" s="13" t="s">
        <v>11694</v>
      </c>
      <c r="C11939" s="14" t="s">
        <v>11781</v>
      </c>
      <c r="D11939" s="1"/>
      <c r="E11939" s="1"/>
      <c r="F11939" s="1" t="str">
        <f>IFERROR(__xludf.DUMMYFUNCTION("GOOGLETRANSLATE(B11939, ""en"", ""fa"")
"),"زندگی پایدار")</f>
        <v>زندگی پایدار</v>
      </c>
      <c r="G11939" s="1" t="str">
        <f>IFERROR(__xludf.DUMMYFUNCTION("GOOGLETRANSLATE(C11939, ""en"", ""fa"")
"),"مزایای برداشت آب باران برای آبیاری و مصارف خانگی را بررسی کنید.")</f>
        <v>مزایای برداشت آب باران برای آبیاری و مصارف خانگی را بررسی کنید.</v>
      </c>
      <c r="H11939" s="1"/>
      <c r="I11939" s="1"/>
      <c r="J11939" s="1"/>
      <c r="K11939" s="1"/>
      <c r="L11939" s="1"/>
      <c r="M11939" s="1"/>
      <c r="N11939" s="1"/>
      <c r="O11939" s="1"/>
      <c r="P11939" s="1"/>
      <c r="Q11939" s="1"/>
      <c r="R11939" s="1"/>
      <c r="S11939" s="1"/>
      <c r="T11939" s="1"/>
      <c r="U11939" s="1"/>
      <c r="V11939" s="1"/>
      <c r="W11939" s="1"/>
      <c r="X11939" s="1"/>
      <c r="Y11939" s="1"/>
      <c r="Z11939" s="1"/>
      <c r="AA11939" s="1"/>
      <c r="AB11939" s="1"/>
    </row>
    <row r="11940" ht="50.25" customHeight="1">
      <c r="A11940" s="12">
        <v>11936.0</v>
      </c>
      <c r="B11940" s="13" t="s">
        <v>11694</v>
      </c>
      <c r="C11940" s="14" t="s">
        <v>11782</v>
      </c>
      <c r="D11940" s="1"/>
      <c r="E11940" s="1"/>
      <c r="F11940" s="1" t="str">
        <f>IFERROR(__xludf.DUMMYFUNCTION("GOOGLETRANSLATE(B11940, ""en"", ""fa"")
"),"زندگی پایدار")</f>
        <v>زندگی پایدار</v>
      </c>
      <c r="G11940" s="1" t="str">
        <f>IFERROR(__xludf.DUMMYFUNCTION("GOOGLETRANSLATE(C11940, ""en"", ""fa"")
"),"از بازارهای کشاورزان محلی حمایت کنید و محصولات تازه را با حداقل تاثیر حمل و نقل خریداری کنید.")</f>
        <v>از بازارهای کشاورزان محلی حمایت کنید و محصولات تازه را با حداقل تاثیر حمل و نقل خریداری کنید.</v>
      </c>
      <c r="H11940" s="1"/>
      <c r="I11940" s="1"/>
      <c r="J11940" s="1"/>
      <c r="K11940" s="1"/>
      <c r="L11940" s="1"/>
      <c r="M11940" s="1"/>
      <c r="N11940" s="1"/>
      <c r="O11940" s="1"/>
      <c r="P11940" s="1"/>
      <c r="Q11940" s="1"/>
      <c r="R11940" s="1"/>
      <c r="S11940" s="1"/>
      <c r="T11940" s="1"/>
      <c r="U11940" s="1"/>
      <c r="V11940" s="1"/>
      <c r="W11940" s="1"/>
      <c r="X11940" s="1"/>
      <c r="Y11940" s="1"/>
      <c r="Z11940" s="1"/>
      <c r="AA11940" s="1"/>
      <c r="AB11940" s="1"/>
    </row>
    <row r="11941" ht="50.25" customHeight="1">
      <c r="A11941" s="12">
        <v>11937.0</v>
      </c>
      <c r="B11941" s="13" t="s">
        <v>11694</v>
      </c>
      <c r="C11941" s="14" t="s">
        <v>11783</v>
      </c>
      <c r="D11941" s="1"/>
      <c r="E11941" s="1"/>
      <c r="F11941" s="1" t="str">
        <f>IFERROR(__xludf.DUMMYFUNCTION("GOOGLETRANSLATE(B11941, ""en"", ""fa"")
"),"زندگی پایدار")</f>
        <v>زندگی پایدار</v>
      </c>
      <c r="G11941" s="1" t="str">
        <f>IFERROR(__xludf.DUMMYFUNCTION("GOOGLETRANSLATE(C11941, ""en"", ""fa"")
"),"روی سیستم های گرمایشی و سرمایشی خانه خود سرمایه گذاری کنید.")</f>
        <v>روی سیستم های گرمایشی و سرمایشی خانه خود سرمایه گذاری کنید.</v>
      </c>
      <c r="H11941" s="1"/>
      <c r="I11941" s="1"/>
      <c r="J11941" s="1"/>
      <c r="K11941" s="1"/>
      <c r="L11941" s="1"/>
      <c r="M11941" s="1"/>
      <c r="N11941" s="1"/>
      <c r="O11941" s="1"/>
      <c r="P11941" s="1"/>
      <c r="Q11941" s="1"/>
      <c r="R11941" s="1"/>
      <c r="S11941" s="1"/>
      <c r="T11941" s="1"/>
      <c r="U11941" s="1"/>
      <c r="V11941" s="1"/>
      <c r="W11941" s="1"/>
      <c r="X11941" s="1"/>
      <c r="Y11941" s="1"/>
      <c r="Z11941" s="1"/>
      <c r="AA11941" s="1"/>
      <c r="AB11941" s="1"/>
    </row>
    <row r="11942" ht="50.25" customHeight="1">
      <c r="A11942" s="12">
        <v>11938.0</v>
      </c>
      <c r="B11942" s="13" t="s">
        <v>11694</v>
      </c>
      <c r="C11942" s="14" t="s">
        <v>11784</v>
      </c>
      <c r="D11942" s="1"/>
      <c r="E11942" s="1"/>
      <c r="F11942" s="1" t="str">
        <f>IFERROR(__xludf.DUMMYFUNCTION("GOOGLETRANSLATE(B11942, ""en"", ""fa"")
"),"زندگی پایدار")</f>
        <v>زندگی پایدار</v>
      </c>
      <c r="G11942" s="1" t="str">
        <f>IFERROR(__xludf.DUMMYFUNCTION("GOOGLETRANSLATE(C11942, ""en"", ""fa"")
"),"به فواید کاهش مصرف گوشت فکر کنید و سعی کنید از یک رژیم غذایی گیاهی استفاده کنید.")</f>
        <v>به فواید کاهش مصرف گوشت فکر کنید و سعی کنید از یک رژیم غذایی گیاهی استفاده کنید.</v>
      </c>
      <c r="H11942" s="1"/>
      <c r="I11942" s="1"/>
      <c r="J11942" s="1"/>
      <c r="K11942" s="1"/>
      <c r="L11942" s="1"/>
      <c r="M11942" s="1"/>
      <c r="N11942" s="1"/>
      <c r="O11942" s="1"/>
      <c r="P11942" s="1"/>
      <c r="Q11942" s="1"/>
      <c r="R11942" s="1"/>
      <c r="S11942" s="1"/>
      <c r="T11942" s="1"/>
      <c r="U11942" s="1"/>
      <c r="V11942" s="1"/>
      <c r="W11942" s="1"/>
      <c r="X11942" s="1"/>
      <c r="Y11942" s="1"/>
      <c r="Z11942" s="1"/>
      <c r="AA11942" s="1"/>
      <c r="AB11942" s="1"/>
    </row>
    <row r="11943" ht="50.25" customHeight="1">
      <c r="A11943" s="12">
        <v>11939.0</v>
      </c>
      <c r="B11943" s="13" t="s">
        <v>11694</v>
      </c>
      <c r="C11943" s="14" t="s">
        <v>11785</v>
      </c>
      <c r="D11943" s="1"/>
      <c r="E11943" s="1"/>
      <c r="F11943" s="1" t="str">
        <f>IFERROR(__xludf.DUMMYFUNCTION("GOOGLETRANSLATE(B11943, ""en"", ""fa"")
"),"زندگی پایدار")</f>
        <v>زندگی پایدار</v>
      </c>
      <c r="G11943" s="1" t="str">
        <f>IFERROR(__xludf.DUMMYFUNCTION("GOOGLETRANSLATE(C11943, ""en"", ""fa"")
"),"در «کافه های تعمیر» شرکت کنید یا مهارت های اولیه تعمیر را بیاموزید تا عمر وسایل خود را افزایش دهید.")</f>
        <v>در «کافه های تعمیر» شرکت کنید یا مهارت های اولیه تعمیر را بیاموزید تا عمر وسایل خود را افزایش دهید.</v>
      </c>
      <c r="H11943" s="1"/>
      <c r="I11943" s="1"/>
      <c r="J11943" s="1"/>
      <c r="K11943" s="1"/>
      <c r="L11943" s="1"/>
      <c r="M11943" s="1"/>
      <c r="N11943" s="1"/>
      <c r="O11943" s="1"/>
      <c r="P11943" s="1"/>
      <c r="Q11943" s="1"/>
      <c r="R11943" s="1"/>
      <c r="S11943" s="1"/>
      <c r="T11943" s="1"/>
      <c r="U11943" s="1"/>
      <c r="V11943" s="1"/>
      <c r="W11943" s="1"/>
      <c r="X11943" s="1"/>
      <c r="Y11943" s="1"/>
      <c r="Z11943" s="1"/>
      <c r="AA11943" s="1"/>
      <c r="AB11943" s="1"/>
    </row>
    <row r="11944" ht="50.25" customHeight="1">
      <c r="A11944" s="12">
        <v>11940.0</v>
      </c>
      <c r="B11944" s="13" t="s">
        <v>11694</v>
      </c>
      <c r="C11944" s="14" t="s">
        <v>11786</v>
      </c>
      <c r="D11944" s="1"/>
      <c r="E11944" s="1"/>
      <c r="F11944" s="1" t="str">
        <f>IFERROR(__xludf.DUMMYFUNCTION("GOOGLETRANSLATE(B11944, ""en"", ""fa"")
"),"زندگی پایدار")</f>
        <v>زندگی پایدار</v>
      </c>
      <c r="G11944" s="1" t="str">
        <f>IFERROR(__xludf.DUMMYFUNCTION("GOOGLETRANSLATE(C11944, ""en"", ""fa"")
"),"از مشاغل با بسته بندی و حمل و نقل سازگار با محیط زیست حمایت کنید.")</f>
        <v>از مشاغل با بسته بندی و حمل و نقل سازگار با محیط زیست حمایت کنید.</v>
      </c>
      <c r="H11944" s="1"/>
      <c r="I11944" s="1"/>
      <c r="J11944" s="1"/>
      <c r="K11944" s="1"/>
      <c r="L11944" s="1"/>
      <c r="M11944" s="1"/>
      <c r="N11944" s="1"/>
      <c r="O11944" s="1"/>
      <c r="P11944" s="1"/>
      <c r="Q11944" s="1"/>
      <c r="R11944" s="1"/>
      <c r="S11944" s="1"/>
      <c r="T11944" s="1"/>
      <c r="U11944" s="1"/>
      <c r="V11944" s="1"/>
      <c r="W11944" s="1"/>
      <c r="X11944" s="1"/>
      <c r="Y11944" s="1"/>
      <c r="Z11944" s="1"/>
      <c r="AA11944" s="1"/>
      <c r="AB11944" s="1"/>
    </row>
    <row r="11945" ht="50.25" customHeight="1">
      <c r="A11945" s="12">
        <v>11941.0</v>
      </c>
      <c r="B11945" s="13" t="s">
        <v>11694</v>
      </c>
      <c r="C11945" s="14" t="s">
        <v>11787</v>
      </c>
      <c r="D11945" s="1"/>
      <c r="E11945" s="1"/>
      <c r="F11945" s="1" t="str">
        <f>IFERROR(__xludf.DUMMYFUNCTION("GOOGLETRANSLATE(B11945, ""en"", ""fa"")
"),"زندگی پایدار")</f>
        <v>زندگی پایدار</v>
      </c>
      <c r="G11945" s="1" t="str">
        <f>IFERROR(__xludf.DUMMYFUNCTION("GOOGLETRANSLATE(C11945, ""en"", ""fa"")
"),"خود را در مورد تأثیر میکروپلاستیک ها آموزش دهید و از محصولاتی که دارای ریزدانه های پلاستیکی هستند اجتناب کنید.")</f>
        <v>خود را در مورد تأثیر میکروپلاستیک ها آموزش دهید و از محصولاتی که دارای ریزدانه های پلاستیکی هستند اجتناب کنید.</v>
      </c>
      <c r="H11945" s="1"/>
      <c r="I11945" s="1"/>
      <c r="J11945" s="1"/>
      <c r="K11945" s="1"/>
      <c r="L11945" s="1"/>
      <c r="M11945" s="1"/>
      <c r="N11945" s="1"/>
      <c r="O11945" s="1"/>
      <c r="P11945" s="1"/>
      <c r="Q11945" s="1"/>
      <c r="R11945" s="1"/>
      <c r="S11945" s="1"/>
      <c r="T11945" s="1"/>
      <c r="U11945" s="1"/>
      <c r="V11945" s="1"/>
      <c r="W11945" s="1"/>
      <c r="X11945" s="1"/>
      <c r="Y11945" s="1"/>
      <c r="Z11945" s="1"/>
      <c r="AA11945" s="1"/>
      <c r="AB11945" s="1"/>
    </row>
    <row r="11946" ht="50.25" customHeight="1">
      <c r="A11946" s="12">
        <v>11942.0</v>
      </c>
      <c r="B11946" s="13" t="s">
        <v>11694</v>
      </c>
      <c r="C11946" s="14" t="s">
        <v>11788</v>
      </c>
      <c r="D11946" s="1"/>
      <c r="E11946" s="1"/>
      <c r="F11946" s="1" t="str">
        <f>IFERROR(__xludf.DUMMYFUNCTION("GOOGLETRANSLATE(B11946, ""en"", ""fa"")
"),"زندگی پایدار")</f>
        <v>زندگی پایدار</v>
      </c>
      <c r="G11946" s="1" t="str">
        <f>IFERROR(__xludf.DUMMYFUNCTION("GOOGLETRANSLATE(C11946, ""en"", ""fa"")
"),"برای کاهش انتشار گازهای گلخانه ای ناشی از وسایل نقلیه شخصی از وسایل حمل و نقل عمومی یا اتومبیل استفاده کنید.")</f>
        <v>برای کاهش انتشار گازهای گلخانه ای ناشی از وسایل نقلیه شخصی از وسایل حمل و نقل عمومی یا اتومبیل استفاده کنید.</v>
      </c>
      <c r="H11946" s="1"/>
      <c r="I11946" s="1"/>
      <c r="J11946" s="1"/>
      <c r="K11946" s="1"/>
      <c r="L11946" s="1"/>
      <c r="M11946" s="1"/>
      <c r="N11946" s="1"/>
      <c r="O11946" s="1"/>
      <c r="P11946" s="1"/>
      <c r="Q11946" s="1"/>
      <c r="R11946" s="1"/>
      <c r="S11946" s="1"/>
      <c r="T11946" s="1"/>
      <c r="U11946" s="1"/>
      <c r="V11946" s="1"/>
      <c r="W11946" s="1"/>
      <c r="X11946" s="1"/>
      <c r="Y11946" s="1"/>
      <c r="Z11946" s="1"/>
      <c r="AA11946" s="1"/>
      <c r="AB11946" s="1"/>
    </row>
    <row r="11947" ht="50.25" customHeight="1">
      <c r="A11947" s="12">
        <v>11943.0</v>
      </c>
      <c r="B11947" s="13" t="s">
        <v>11694</v>
      </c>
      <c r="C11947" s="14" t="s">
        <v>11789</v>
      </c>
      <c r="D11947" s="1"/>
      <c r="E11947" s="1"/>
      <c r="F11947" s="1" t="str">
        <f>IFERROR(__xludf.DUMMYFUNCTION("GOOGLETRANSLATE(B11947, ""en"", ""fa"")
"),"زندگی پایدار")</f>
        <v>زندگی پایدار</v>
      </c>
      <c r="G11947" s="1" t="str">
        <f>IFERROR(__xludf.DUMMYFUNCTION("GOOGLETRANSLATE(C11947, ""en"", ""fa"")
"),"جایگزین های پایدار برای محصولات بهداشت شخصی، مانند محصولات قاعدگی قابل استفاده مجدد را بررسی کنید.")</f>
        <v>جایگزین های پایدار برای محصولات بهداشت شخصی، مانند محصولات قاعدگی قابل استفاده مجدد را بررسی کنید.</v>
      </c>
      <c r="H11947" s="1"/>
      <c r="I11947" s="1"/>
      <c r="J11947" s="1"/>
      <c r="K11947" s="1"/>
      <c r="L11947" s="1"/>
      <c r="M11947" s="1"/>
      <c r="N11947" s="1"/>
      <c r="O11947" s="1"/>
      <c r="P11947" s="1"/>
      <c r="Q11947" s="1"/>
      <c r="R11947" s="1"/>
      <c r="S11947" s="1"/>
      <c r="T11947" s="1"/>
      <c r="U11947" s="1"/>
      <c r="V11947" s="1"/>
      <c r="W11947" s="1"/>
      <c r="X11947" s="1"/>
      <c r="Y11947" s="1"/>
      <c r="Z11947" s="1"/>
      <c r="AA11947" s="1"/>
      <c r="AB11947" s="1"/>
    </row>
    <row r="11948" ht="50.25" customHeight="1">
      <c r="A11948" s="12">
        <v>11944.0</v>
      </c>
      <c r="B11948" s="13" t="s">
        <v>11694</v>
      </c>
      <c r="C11948" s="14" t="s">
        <v>11790</v>
      </c>
      <c r="D11948" s="1"/>
      <c r="E11948" s="1"/>
      <c r="F11948" s="1" t="str">
        <f>IFERROR(__xludf.DUMMYFUNCTION("GOOGLETRANSLATE(B11948, ""en"", ""fa"")
"),"زندگی پایدار")</f>
        <v>زندگی پایدار</v>
      </c>
      <c r="G11948" s="1" t="str">
        <f>IFERROR(__xludf.DUMMYFUNCTION("GOOGLETRANSLATE(C11948, ""en"", ""fa"")
"),"با طعم دادن به وعده های غذایی و اجتناب از هدر رفتن غذا، «غذا خوردن آگاهانه» را تمرین کنید.")</f>
        <v>با طعم دادن به وعده های غذایی و اجتناب از هدر رفتن غذا، «غذا خوردن آگاهانه» را تمرین کنید.</v>
      </c>
      <c r="H11948" s="1"/>
      <c r="I11948" s="1"/>
      <c r="J11948" s="1"/>
      <c r="K11948" s="1"/>
      <c r="L11948" s="1"/>
      <c r="M11948" s="1"/>
      <c r="N11948" s="1"/>
      <c r="O11948" s="1"/>
      <c r="P11948" s="1"/>
      <c r="Q11948" s="1"/>
      <c r="R11948" s="1"/>
      <c r="S11948" s="1"/>
      <c r="T11948" s="1"/>
      <c r="U11948" s="1"/>
      <c r="V11948" s="1"/>
      <c r="W11948" s="1"/>
      <c r="X11948" s="1"/>
      <c r="Y11948" s="1"/>
      <c r="Z11948" s="1"/>
      <c r="AA11948" s="1"/>
      <c r="AB11948" s="1"/>
    </row>
    <row r="11949" ht="50.25" customHeight="1">
      <c r="A11949" s="12">
        <v>11945.0</v>
      </c>
      <c r="B11949" s="13" t="s">
        <v>11694</v>
      </c>
      <c r="C11949" s="14" t="s">
        <v>11791</v>
      </c>
      <c r="D11949" s="1"/>
      <c r="E11949" s="1"/>
      <c r="F11949" s="1" t="str">
        <f>IFERROR(__xludf.DUMMYFUNCTION("GOOGLETRANSLATE(B11949, ""en"", ""fa"")
"),"زندگی پایدار")</f>
        <v>زندگی پایدار</v>
      </c>
      <c r="G11949" s="1" t="str">
        <f>IFERROR(__xludf.DUMMYFUNCTION("GOOGLETRANSLATE(C11949, ""en"", ""fa"")
"),"جایگزین های سازگار با محیط زیست برای محصولات پاک کننده خانگی را جستجو کنید.")</f>
        <v>جایگزین های سازگار با محیط زیست برای محصولات پاک کننده خانگی را جستجو کنید.</v>
      </c>
      <c r="H11949" s="1"/>
      <c r="I11949" s="1"/>
      <c r="J11949" s="1"/>
      <c r="K11949" s="1"/>
      <c r="L11949" s="1"/>
      <c r="M11949" s="1"/>
      <c r="N11949" s="1"/>
      <c r="O11949" s="1"/>
      <c r="P11949" s="1"/>
      <c r="Q11949" s="1"/>
      <c r="R11949" s="1"/>
      <c r="S11949" s="1"/>
      <c r="T11949" s="1"/>
      <c r="U11949" s="1"/>
      <c r="V11949" s="1"/>
      <c r="W11949" s="1"/>
      <c r="X11949" s="1"/>
      <c r="Y11949" s="1"/>
      <c r="Z11949" s="1"/>
      <c r="AA11949" s="1"/>
      <c r="AB11949" s="1"/>
    </row>
    <row r="11950" ht="50.25" customHeight="1">
      <c r="A11950" s="12">
        <v>11946.0</v>
      </c>
      <c r="B11950" s="13" t="s">
        <v>11694</v>
      </c>
      <c r="C11950" s="14" t="s">
        <v>11792</v>
      </c>
      <c r="D11950" s="1"/>
      <c r="E11950" s="1"/>
      <c r="F11950" s="1" t="str">
        <f>IFERROR(__xludf.DUMMYFUNCTION("GOOGLETRANSLATE(B11950, ""en"", ""fa"")
"),"زندگی پایدار")</f>
        <v>زندگی پایدار</v>
      </c>
      <c r="G11950" s="1" t="str">
        <f>IFERROR(__xludf.DUMMYFUNCTION("GOOGLETRANSLATE(C11950, ""en"", ""fa"")
"),"برای بهبود عایق کاری در خانه خود پنجره ها و درهای کم مصرف نصب کنید.")</f>
        <v>برای بهبود عایق کاری در خانه خود پنجره ها و درهای کم مصرف نصب کنید.</v>
      </c>
      <c r="H11950" s="1"/>
      <c r="I11950" s="1"/>
      <c r="J11950" s="1"/>
      <c r="K11950" s="1"/>
      <c r="L11950" s="1"/>
      <c r="M11950" s="1"/>
      <c r="N11950" s="1"/>
      <c r="O11950" s="1"/>
      <c r="P11950" s="1"/>
      <c r="Q11950" s="1"/>
      <c r="R11950" s="1"/>
      <c r="S11950" s="1"/>
      <c r="T11950" s="1"/>
      <c r="U11950" s="1"/>
      <c r="V11950" s="1"/>
      <c r="W11950" s="1"/>
      <c r="X11950" s="1"/>
      <c r="Y11950" s="1"/>
      <c r="Z11950" s="1"/>
      <c r="AA11950" s="1"/>
      <c r="AB11950" s="1"/>
    </row>
    <row r="11951" ht="50.25" customHeight="1">
      <c r="A11951" s="12">
        <v>11947.0</v>
      </c>
      <c r="B11951" s="13" t="s">
        <v>11694</v>
      </c>
      <c r="C11951" s="14" t="s">
        <v>11793</v>
      </c>
      <c r="D11951" s="1"/>
      <c r="E11951" s="1"/>
      <c r="F11951" s="1" t="str">
        <f>IFERROR(__xludf.DUMMYFUNCTION("GOOGLETRANSLATE(B11951, ""en"", ""fa"")
"),"زندگی پایدار")</f>
        <v>زندگی پایدار</v>
      </c>
      <c r="G11951" s="1" t="str">
        <f>IFERROR(__xludf.DUMMYFUNCTION("GOOGLETRANSLATE(C11951, ""en"", ""fa"")
"),"به تأثیر پلاستیک های یکبار مصرف بر محیط زیست فکر کنید و برای کاهش استفاده از آنها آگاهانه انتخاب کنید.")</f>
        <v>به تأثیر پلاستیک های یکبار مصرف بر محیط زیست فکر کنید و برای کاهش استفاده از آنها آگاهانه انتخاب کنید.</v>
      </c>
      <c r="H11951" s="1"/>
      <c r="I11951" s="1"/>
      <c r="J11951" s="1"/>
      <c r="K11951" s="1"/>
      <c r="L11951" s="1"/>
      <c r="M11951" s="1"/>
      <c r="N11951" s="1"/>
      <c r="O11951" s="1"/>
      <c r="P11951" s="1"/>
      <c r="Q11951" s="1"/>
      <c r="R11951" s="1"/>
      <c r="S11951" s="1"/>
      <c r="T11951" s="1"/>
      <c r="U11951" s="1"/>
      <c r="V11951" s="1"/>
      <c r="W11951" s="1"/>
      <c r="X11951" s="1"/>
      <c r="Y11951" s="1"/>
      <c r="Z11951" s="1"/>
      <c r="AA11951" s="1"/>
      <c r="AB11951" s="1"/>
    </row>
    <row r="11952" ht="50.25" customHeight="1">
      <c r="A11952" s="12">
        <v>11948.0</v>
      </c>
      <c r="B11952" s="13" t="s">
        <v>11694</v>
      </c>
      <c r="C11952" s="14" t="s">
        <v>11794</v>
      </c>
      <c r="D11952" s="1"/>
      <c r="E11952" s="1"/>
      <c r="F11952" s="1" t="str">
        <f>IFERROR(__xludf.DUMMYFUNCTION("GOOGLETRANSLATE(B11952, ""en"", ""fa"")
"),"زندگی پایدار")</f>
        <v>زندگی پایدار</v>
      </c>
      <c r="G11952" s="1" t="str">
        <f>IFERROR(__xludf.DUMMYFUNCTION("GOOGLETRANSLATE(C11952, ""en"", ""fa"")
"),"برای کمک به حفاظت از اکوسیستم های آبی در رویدادهای پاکسازی ساحل یا رودخانه شرکت کنید.")</f>
        <v>برای کمک به حفاظت از اکوسیستم های آبی در رویدادهای پاکسازی ساحل یا رودخانه شرکت کنید.</v>
      </c>
      <c r="H11952" s="1"/>
      <c r="I11952" s="1"/>
      <c r="J11952" s="1"/>
      <c r="K11952" s="1"/>
      <c r="L11952" s="1"/>
      <c r="M11952" s="1"/>
      <c r="N11952" s="1"/>
      <c r="O11952" s="1"/>
      <c r="P11952" s="1"/>
      <c r="Q11952" s="1"/>
      <c r="R11952" s="1"/>
      <c r="S11952" s="1"/>
      <c r="T11952" s="1"/>
      <c r="U11952" s="1"/>
      <c r="V11952" s="1"/>
      <c r="W11952" s="1"/>
      <c r="X11952" s="1"/>
      <c r="Y11952" s="1"/>
      <c r="Z11952" s="1"/>
      <c r="AA11952" s="1"/>
      <c r="AB11952" s="1"/>
    </row>
    <row r="11953" ht="50.25" customHeight="1">
      <c r="A11953" s="12">
        <v>11949.0</v>
      </c>
      <c r="B11953" s="13" t="s">
        <v>11694</v>
      </c>
      <c r="C11953" s="14" t="s">
        <v>11795</v>
      </c>
      <c r="D11953" s="1"/>
      <c r="E11953" s="1"/>
      <c r="F11953" s="1" t="str">
        <f>IFERROR(__xludf.DUMMYFUNCTION("GOOGLETRANSLATE(B11953, ""en"", ""fa"")
"),"زندگی پایدار")</f>
        <v>زندگی پایدار</v>
      </c>
      <c r="G11953" s="1" t="str">
        <f>IFERROR(__xludf.DUMMYFUNCTION("GOOGLETRANSLATE(C11953, ""en"", ""fa"")
"),"تأثیرات زیست‌محیطی انتخاب‌های حمل‌ونقل روزانه‌تان را در نظر بگیرید و بیشتر اوقات از حمل‌ونقل عمومی، دوچرخه‌سواری یا استفاده از وسایل حمل‌ونقل عمومی استفاده کنید.")</f>
        <v>تأثیرات زیست‌محیطی انتخاب‌های حمل‌ونقل روزانه‌تان را در نظر بگیرید و بیشتر اوقات از حمل‌ونقل عمومی، دوچرخه‌سواری یا استفاده از وسایل حمل‌ونقل عمومی استفاده کنید.</v>
      </c>
      <c r="H11953" s="1"/>
      <c r="I11953" s="1"/>
      <c r="J11953" s="1"/>
      <c r="K11953" s="1"/>
      <c r="L11953" s="1"/>
      <c r="M11953" s="1"/>
      <c r="N11953" s="1"/>
      <c r="O11953" s="1"/>
      <c r="P11953" s="1"/>
      <c r="Q11953" s="1"/>
      <c r="R11953" s="1"/>
      <c r="S11953" s="1"/>
      <c r="T11953" s="1"/>
      <c r="U11953" s="1"/>
      <c r="V11953" s="1"/>
      <c r="W11953" s="1"/>
      <c r="X11953" s="1"/>
      <c r="Y11953" s="1"/>
      <c r="Z11953" s="1"/>
      <c r="AA11953" s="1"/>
      <c r="AB11953" s="1"/>
    </row>
    <row r="11954" ht="50.25" customHeight="1">
      <c r="A11954" s="12">
        <v>11950.0</v>
      </c>
      <c r="B11954" s="13" t="s">
        <v>11694</v>
      </c>
      <c r="C11954" s="14" t="s">
        <v>11796</v>
      </c>
      <c r="D11954" s="1"/>
      <c r="E11954" s="1"/>
      <c r="F11954" s="1" t="str">
        <f>IFERROR(__xludf.DUMMYFUNCTION("GOOGLETRANSLATE(B11954, ""en"", ""fa"")
"),"زندگی پایدار")</f>
        <v>زندگی پایدار</v>
      </c>
      <c r="G11954" s="1" t="str">
        <f>IFERROR(__xludf.DUMMYFUNCTION("GOOGLETRANSLATE(C11954, ""en"", ""fa"")
"),"از شرکت هایی حمایت کنید که رویه های اخلاقی و پایدار را در زنجیره تامین خود در اولویت قرار می دهند.")</f>
        <v>از شرکت هایی حمایت کنید که رویه های اخلاقی و پایدار را در زنجیره تامین خود در اولویت قرار می دهند.</v>
      </c>
      <c r="H11954" s="1"/>
      <c r="I11954" s="1"/>
      <c r="J11954" s="1"/>
      <c r="K11954" s="1"/>
      <c r="L11954" s="1"/>
      <c r="M11954" s="1"/>
      <c r="N11954" s="1"/>
      <c r="O11954" s="1"/>
      <c r="P11954" s="1"/>
      <c r="Q11954" s="1"/>
      <c r="R11954" s="1"/>
      <c r="S11954" s="1"/>
      <c r="T11954" s="1"/>
      <c r="U11954" s="1"/>
      <c r="V11954" s="1"/>
      <c r="W11954" s="1"/>
      <c r="X11954" s="1"/>
      <c r="Y11954" s="1"/>
      <c r="Z11954" s="1"/>
      <c r="AA11954" s="1"/>
      <c r="AB11954" s="1"/>
    </row>
    <row r="11955" ht="50.25" customHeight="1">
      <c r="A11955" s="12">
        <v>11951.0</v>
      </c>
      <c r="B11955" s="13" t="s">
        <v>11694</v>
      </c>
      <c r="C11955" s="14" t="s">
        <v>11797</v>
      </c>
      <c r="D11955" s="1"/>
      <c r="E11955" s="1"/>
      <c r="F11955" s="1" t="str">
        <f>IFERROR(__xludf.DUMMYFUNCTION("GOOGLETRANSLATE(B11955, ""en"", ""fa"")
"),"زندگی پایدار")</f>
        <v>زندگی پایدار</v>
      </c>
      <c r="G11955" s="1" t="str">
        <f>IFERROR(__xludf.DUMMYFUNCTION("GOOGLETRANSLATE(C11955, ""en"", ""fa"")
"),"خود را در مورد مزایای منابع انرژی تجدیدپذیر مانند باد و انرژی زمین گرمایی آموزش دهید.")</f>
        <v>خود را در مورد مزایای منابع انرژی تجدیدپذیر مانند باد و انرژی زمین گرمایی آموزش دهید.</v>
      </c>
      <c r="H11955" s="1"/>
      <c r="I11955" s="1"/>
      <c r="J11955" s="1"/>
      <c r="K11955" s="1"/>
      <c r="L11955" s="1"/>
      <c r="M11955" s="1"/>
      <c r="N11955" s="1"/>
      <c r="O11955" s="1"/>
      <c r="P11955" s="1"/>
      <c r="Q11955" s="1"/>
      <c r="R11955" s="1"/>
      <c r="S11955" s="1"/>
      <c r="T11955" s="1"/>
      <c r="U11955" s="1"/>
      <c r="V11955" s="1"/>
      <c r="W11955" s="1"/>
      <c r="X11955" s="1"/>
      <c r="Y11955" s="1"/>
      <c r="Z11955" s="1"/>
      <c r="AA11955" s="1"/>
      <c r="AB11955" s="1"/>
    </row>
    <row r="11956" ht="50.25" customHeight="1">
      <c r="A11956" s="12">
        <v>11952.0</v>
      </c>
      <c r="B11956" s="13" t="s">
        <v>11694</v>
      </c>
      <c r="C11956" s="14" t="s">
        <v>11798</v>
      </c>
      <c r="D11956" s="1"/>
      <c r="E11956" s="1"/>
      <c r="F11956" s="1" t="str">
        <f>IFERROR(__xludf.DUMMYFUNCTION("GOOGLETRANSLATE(B11956, ""en"", ""fa"")
"),"زندگی پایدار")</f>
        <v>زندگی پایدار</v>
      </c>
      <c r="G11956" s="1" t="str">
        <f>IFERROR(__xludf.DUMMYFUNCTION("GOOGLETRANSLATE(C11956, ""en"", ""fa"")
"),"ضایعات مواد غذایی را با نگهداری و نگهداری مناسب اقلام فاسد شدنی کاهش دهید.")</f>
        <v>ضایعات مواد غذایی را با نگهداری و نگهداری مناسب اقلام فاسد شدنی کاهش دهید.</v>
      </c>
      <c r="H11956" s="1"/>
      <c r="I11956" s="1"/>
      <c r="J11956" s="1"/>
      <c r="K11956" s="1"/>
      <c r="L11956" s="1"/>
      <c r="M11956" s="1"/>
      <c r="N11956" s="1"/>
      <c r="O11956" s="1"/>
      <c r="P11956" s="1"/>
      <c r="Q11956" s="1"/>
      <c r="R11956" s="1"/>
      <c r="S11956" s="1"/>
      <c r="T11956" s="1"/>
      <c r="U11956" s="1"/>
      <c r="V11956" s="1"/>
      <c r="W11956" s="1"/>
      <c r="X11956" s="1"/>
      <c r="Y11956" s="1"/>
      <c r="Z11956" s="1"/>
      <c r="AA11956" s="1"/>
      <c r="AB11956" s="1"/>
    </row>
    <row r="11957" ht="50.25" customHeight="1">
      <c r="A11957" s="12">
        <v>11953.0</v>
      </c>
      <c r="B11957" s="13" t="s">
        <v>11694</v>
      </c>
      <c r="C11957" s="14" t="s">
        <v>11799</v>
      </c>
      <c r="D11957" s="1"/>
      <c r="E11957" s="1"/>
      <c r="F11957" s="1" t="str">
        <f>IFERROR(__xludf.DUMMYFUNCTION("GOOGLETRANSLATE(B11957, ""en"", ""fa"")
"),"زندگی پایدار")</f>
        <v>زندگی پایدار</v>
      </c>
      <c r="G11957" s="1" t="str">
        <f>IFERROR(__xludf.DUMMYFUNCTION("GOOGLETRANSLATE(C11957, ""en"", ""fa"")
"),"مفهوم زندگی ""بدون زباله"" را بررسی کنید و استراتژی های کاهش زباله را در برنامه روزانه خود پیاده کنید.")</f>
        <v>مفهوم زندگی "بدون زباله" را بررسی کنید و استراتژی های کاهش زباله را در برنامه روزانه خود پیاده کنید.</v>
      </c>
      <c r="H11957" s="1"/>
      <c r="I11957" s="1"/>
      <c r="J11957" s="1"/>
      <c r="K11957" s="1"/>
      <c r="L11957" s="1"/>
      <c r="M11957" s="1"/>
      <c r="N11957" s="1"/>
      <c r="O11957" s="1"/>
      <c r="P11957" s="1"/>
      <c r="Q11957" s="1"/>
      <c r="R11957" s="1"/>
      <c r="S11957" s="1"/>
      <c r="T11957" s="1"/>
      <c r="U11957" s="1"/>
      <c r="V11957" s="1"/>
      <c r="W11957" s="1"/>
      <c r="X11957" s="1"/>
      <c r="Y11957" s="1"/>
      <c r="Z11957" s="1"/>
      <c r="AA11957" s="1"/>
      <c r="AB11957" s="1"/>
    </row>
    <row r="11958" ht="50.25" customHeight="1">
      <c r="A11958" s="12">
        <v>11954.0</v>
      </c>
      <c r="B11958" s="13" t="s">
        <v>11694</v>
      </c>
      <c r="C11958" s="14" t="s">
        <v>11800</v>
      </c>
      <c r="D11958" s="1"/>
      <c r="E11958" s="1"/>
      <c r="F11958" s="1" t="str">
        <f>IFERROR(__xludf.DUMMYFUNCTION("GOOGLETRANSLATE(B11958, ""en"", ""fa"")
"),"زندگی پایدار")</f>
        <v>زندگی پایدار</v>
      </c>
      <c r="G11958" s="1" t="str">
        <f>IFERROR(__xludf.DUMMYFUNCTION("GOOGLETRANSLATE(C11958, ""en"", ""fa"")
"),"حمایت از طرح های محلی برای درختکاری و فضای سبز شهری.")</f>
        <v>حمایت از طرح های محلی برای درختکاری و فضای سبز شهری.</v>
      </c>
      <c r="H11958" s="1"/>
      <c r="I11958" s="1"/>
      <c r="J11958" s="1"/>
      <c r="K11958" s="1"/>
      <c r="L11958" s="1"/>
      <c r="M11958" s="1"/>
      <c r="N11958" s="1"/>
      <c r="O11958" s="1"/>
      <c r="P11958" s="1"/>
      <c r="Q11958" s="1"/>
      <c r="R11958" s="1"/>
      <c r="S11958" s="1"/>
      <c r="T11958" s="1"/>
      <c r="U11958" s="1"/>
      <c r="V11958" s="1"/>
      <c r="W11958" s="1"/>
      <c r="X11958" s="1"/>
      <c r="Y11958" s="1"/>
      <c r="Z11958" s="1"/>
      <c r="AA11958" s="1"/>
      <c r="AB11958" s="1"/>
    </row>
    <row r="11959" ht="50.25" customHeight="1">
      <c r="A11959" s="12">
        <v>11955.0</v>
      </c>
      <c r="B11959" s="13" t="s">
        <v>11694</v>
      </c>
      <c r="C11959" s="14" t="s">
        <v>11801</v>
      </c>
      <c r="D11959" s="1"/>
      <c r="E11959" s="1"/>
      <c r="F11959" s="1" t="str">
        <f>IFERROR(__xludf.DUMMYFUNCTION("GOOGLETRANSLATE(B11959, ""en"", ""fa"")
"),"زندگی پایدار")</f>
        <v>زندگی پایدار</v>
      </c>
      <c r="G11959" s="1" t="str">
        <f>IFERROR(__xludf.DUMMYFUNCTION("GOOGLETRANSLATE(C11959, ""en"", ""fa"")
"),"خود را در مورد تأثیر محیطی صنعت مد آموزش دهید و برندهای پوشاک پایدار و اخلاقی را انتخاب کنید.")</f>
        <v>خود را در مورد تأثیر محیطی صنعت مد آموزش دهید و برندهای پوشاک پایدار و اخلاقی را انتخاب کنید.</v>
      </c>
      <c r="H11959" s="1"/>
      <c r="I11959" s="1"/>
      <c r="J11959" s="1"/>
      <c r="K11959" s="1"/>
      <c r="L11959" s="1"/>
      <c r="M11959" s="1"/>
      <c r="N11959" s="1"/>
      <c r="O11959" s="1"/>
      <c r="P11959" s="1"/>
      <c r="Q11959" s="1"/>
      <c r="R11959" s="1"/>
      <c r="S11959" s="1"/>
      <c r="T11959" s="1"/>
      <c r="U11959" s="1"/>
      <c r="V11959" s="1"/>
      <c r="W11959" s="1"/>
      <c r="X11959" s="1"/>
      <c r="Y11959" s="1"/>
      <c r="Z11959" s="1"/>
      <c r="AA11959" s="1"/>
      <c r="AB11959" s="1"/>
    </row>
    <row r="11960" ht="50.25" customHeight="1">
      <c r="A11960" s="12">
        <v>11956.0</v>
      </c>
      <c r="B11960" s="13" t="s">
        <v>11694</v>
      </c>
      <c r="C11960" s="14" t="s">
        <v>11802</v>
      </c>
      <c r="D11960" s="1"/>
      <c r="E11960" s="1"/>
      <c r="F11960" s="1" t="str">
        <f>IFERROR(__xludf.DUMMYFUNCTION("GOOGLETRANSLATE(B11960, ""en"", ""fa"")
"),"زندگی پایدار")</f>
        <v>زندگی پایدار</v>
      </c>
      <c r="G11960" s="1" t="str">
        <f>IFERROR(__xludf.DUMMYFUNCTION("GOOGLETRANSLATE(C11960, ""en"", ""fa"")
"),"یک ترموستات قابل برنامه ریزی برای بهینه سازی مصرف انرژی و کاهش هزینه های گرمایش و سرمایش نصب کنید.")</f>
        <v>یک ترموستات قابل برنامه ریزی برای بهینه سازی مصرف انرژی و کاهش هزینه های گرمایش و سرمایش نصب کنید.</v>
      </c>
      <c r="H11960" s="1"/>
      <c r="I11960" s="1"/>
      <c r="J11960" s="1"/>
      <c r="K11960" s="1"/>
      <c r="L11960" s="1"/>
      <c r="M11960" s="1"/>
      <c r="N11960" s="1"/>
      <c r="O11960" s="1"/>
      <c r="P11960" s="1"/>
      <c r="Q11960" s="1"/>
      <c r="R11960" s="1"/>
      <c r="S11960" s="1"/>
      <c r="T11960" s="1"/>
      <c r="U11960" s="1"/>
      <c r="V11960" s="1"/>
      <c r="W11960" s="1"/>
      <c r="X11960" s="1"/>
      <c r="Y11960" s="1"/>
      <c r="Z11960" s="1"/>
      <c r="AA11960" s="1"/>
      <c r="AB11960" s="1"/>
    </row>
    <row r="11961" ht="50.25" customHeight="1">
      <c r="A11961" s="12">
        <v>11957.0</v>
      </c>
      <c r="B11961" s="13" t="s">
        <v>11694</v>
      </c>
      <c r="C11961" s="14" t="s">
        <v>11803</v>
      </c>
      <c r="D11961" s="1"/>
      <c r="E11961" s="1"/>
      <c r="F11961" s="1" t="str">
        <f>IFERROR(__xludf.DUMMYFUNCTION("GOOGLETRANSLATE(B11961, ""en"", ""fa"")
"),"زندگی پایدار")</f>
        <v>زندگی پایدار</v>
      </c>
      <c r="G11961" s="1" t="str">
        <f>IFERROR(__xludf.DUMMYFUNCTION("GOOGLETRANSLATE(C11961, ""en"", ""fa"")
"),"جایگزین های پایدار برای محصولات مراقبت شخصی، مانند میله های شامپو و ظروف قابل شارژ مجدد را جستجو کنید.")</f>
        <v>جایگزین های پایدار برای محصولات مراقبت شخصی، مانند میله های شامپو و ظروف قابل شارژ مجدد را جستجو کنید.</v>
      </c>
      <c r="H11961" s="1"/>
      <c r="I11961" s="1"/>
      <c r="J11961" s="1"/>
      <c r="K11961" s="1"/>
      <c r="L11961" s="1"/>
      <c r="M11961" s="1"/>
      <c r="N11961" s="1"/>
      <c r="O11961" s="1"/>
      <c r="P11961" s="1"/>
      <c r="Q11961" s="1"/>
      <c r="R11961" s="1"/>
      <c r="S11961" s="1"/>
      <c r="T11961" s="1"/>
      <c r="U11961" s="1"/>
      <c r="V11961" s="1"/>
      <c r="W11961" s="1"/>
      <c r="X11961" s="1"/>
      <c r="Y11961" s="1"/>
      <c r="Z11961" s="1"/>
      <c r="AA11961" s="1"/>
      <c r="AB11961" s="1"/>
    </row>
    <row r="11962" ht="50.25" customHeight="1">
      <c r="A11962" s="12">
        <v>11958.0</v>
      </c>
      <c r="B11962" s="13" t="s">
        <v>11694</v>
      </c>
      <c r="C11962" s="14" t="s">
        <v>11804</v>
      </c>
      <c r="D11962" s="1"/>
      <c r="E11962" s="1"/>
      <c r="F11962" s="1" t="str">
        <f>IFERROR(__xludf.DUMMYFUNCTION("GOOGLETRANSLATE(B11962, ""en"", ""fa"")
"),"زندگی پایدار")</f>
        <v>زندگی پایدار</v>
      </c>
      <c r="G11962" s="1" t="str">
        <f>IFERROR(__xludf.DUMMYFUNCTION("GOOGLETRANSLATE(C11962, ""en"", ""fa"")
"),"در رویدادهای پاکسازی جامعه شرکت کنید تا فضاهای عمومی را از زباله دور نگه دارید.")</f>
        <v>در رویدادهای پاکسازی جامعه شرکت کنید تا فضاهای عمومی را از زباله دور نگه دارید.</v>
      </c>
      <c r="H11962" s="1"/>
      <c r="I11962" s="1"/>
      <c r="J11962" s="1"/>
      <c r="K11962" s="1"/>
      <c r="L11962" s="1"/>
      <c r="M11962" s="1"/>
      <c r="N11962" s="1"/>
      <c r="O11962" s="1"/>
      <c r="P11962" s="1"/>
      <c r="Q11962" s="1"/>
      <c r="R11962" s="1"/>
      <c r="S11962" s="1"/>
      <c r="T11962" s="1"/>
      <c r="U11962" s="1"/>
      <c r="V11962" s="1"/>
      <c r="W11962" s="1"/>
      <c r="X11962" s="1"/>
      <c r="Y11962" s="1"/>
      <c r="Z11962" s="1"/>
      <c r="AA11962" s="1"/>
      <c r="AB11962" s="1"/>
    </row>
    <row r="11963" ht="50.25" customHeight="1">
      <c r="A11963" s="12">
        <v>11959.0</v>
      </c>
      <c r="B11963" s="13" t="s">
        <v>11694</v>
      </c>
      <c r="C11963" s="14" t="s">
        <v>11805</v>
      </c>
      <c r="D11963" s="1"/>
      <c r="E11963" s="1"/>
      <c r="F11963" s="1" t="str">
        <f>IFERROR(__xludf.DUMMYFUNCTION("GOOGLETRANSLATE(B11963, ""en"", ""fa"")
"),"زندگی پایدار")</f>
        <v>زندگی پایدار</v>
      </c>
      <c r="G11963" s="1" t="str">
        <f>IFERROR(__xludf.DUMMYFUNCTION("GOOGLETRANSLATE(C11963, ""en"", ""fa"")
"),"در مورد تأثیرات زیست محیطی غذای حیوان خانگی خود فکر کنید و گزینه های پایدارتری را در نظر بگیرید.")</f>
        <v>در مورد تأثیرات زیست محیطی غذای حیوان خانگی خود فکر کنید و گزینه های پایدارتری را در نظر بگیرید.</v>
      </c>
      <c r="H11963" s="1"/>
      <c r="I11963" s="1"/>
      <c r="J11963" s="1"/>
      <c r="K11963" s="1"/>
      <c r="L11963" s="1"/>
      <c r="M11963" s="1"/>
      <c r="N11963" s="1"/>
      <c r="O11963" s="1"/>
      <c r="P11963" s="1"/>
      <c r="Q11963" s="1"/>
      <c r="R11963" s="1"/>
      <c r="S11963" s="1"/>
      <c r="T11963" s="1"/>
      <c r="U11963" s="1"/>
      <c r="V11963" s="1"/>
      <c r="W11963" s="1"/>
      <c r="X11963" s="1"/>
      <c r="Y11963" s="1"/>
      <c r="Z11963" s="1"/>
      <c r="AA11963" s="1"/>
      <c r="AB11963" s="1"/>
    </row>
    <row r="11964" ht="50.25" customHeight="1">
      <c r="A11964" s="12">
        <v>11960.0</v>
      </c>
      <c r="B11964" s="13" t="s">
        <v>11694</v>
      </c>
      <c r="C11964" s="14" t="s">
        <v>11806</v>
      </c>
      <c r="D11964" s="1"/>
      <c r="E11964" s="1"/>
      <c r="F11964" s="1" t="str">
        <f>IFERROR(__xludf.DUMMYFUNCTION("GOOGLETRANSLATE(B11964, ""en"", ""fa"")
"),"زندگی پایدار")</f>
        <v>زندگی پایدار</v>
      </c>
      <c r="G11964" s="1" t="str">
        <f>IFERROR(__xludf.DUMMYFUNCTION("GOOGLETRANSLATE(C11964, ""en"", ""fa"")
"),"وسایل برقی و الکترونیکی را برای خانه خود انتخاب کنید.")</f>
        <v>وسایل برقی و الکترونیکی را برای خانه خود انتخاب کنید.</v>
      </c>
      <c r="H11964" s="1"/>
      <c r="I11964" s="1"/>
      <c r="J11964" s="1"/>
      <c r="K11964" s="1"/>
      <c r="L11964" s="1"/>
      <c r="M11964" s="1"/>
      <c r="N11964" s="1"/>
      <c r="O11964" s="1"/>
      <c r="P11964" s="1"/>
      <c r="Q11964" s="1"/>
      <c r="R11964" s="1"/>
      <c r="S11964" s="1"/>
      <c r="T11964" s="1"/>
      <c r="U11964" s="1"/>
      <c r="V11964" s="1"/>
      <c r="W11964" s="1"/>
      <c r="X11964" s="1"/>
      <c r="Y11964" s="1"/>
      <c r="Z11964" s="1"/>
      <c r="AA11964" s="1"/>
      <c r="AB11964" s="1"/>
    </row>
    <row r="11965" ht="50.25" customHeight="1">
      <c r="A11965" s="12">
        <v>11961.0</v>
      </c>
      <c r="B11965" s="13" t="s">
        <v>11694</v>
      </c>
      <c r="C11965" s="14" t="s">
        <v>11807</v>
      </c>
      <c r="D11965" s="1"/>
      <c r="E11965" s="1"/>
      <c r="F11965" s="1" t="str">
        <f>IFERROR(__xludf.DUMMYFUNCTION("GOOGLETRANSLATE(B11965, ""en"", ""fa"")
"),"زندگی پایدار")</f>
        <v>زندگی پایدار</v>
      </c>
      <c r="G11965" s="1" t="str">
        <f>IFERROR(__xludf.DUMMYFUNCTION("GOOGLETRANSLATE(C11965, ""en"", ""fa"")
"),"با خرید محصولات ارگانیک و بومی از شیوه های کشاورزی پایدار حمایت کنید.")</f>
        <v>با خرید محصولات ارگانیک و بومی از شیوه های کشاورزی پایدار حمایت کنید.</v>
      </c>
      <c r="H11965" s="1"/>
      <c r="I11965" s="1"/>
      <c r="J11965" s="1"/>
      <c r="K11965" s="1"/>
      <c r="L11965" s="1"/>
      <c r="M11965" s="1"/>
      <c r="N11965" s="1"/>
      <c r="O11965" s="1"/>
      <c r="P11965" s="1"/>
      <c r="Q11965" s="1"/>
      <c r="R11965" s="1"/>
      <c r="S11965" s="1"/>
      <c r="T11965" s="1"/>
      <c r="U11965" s="1"/>
      <c r="V11965" s="1"/>
      <c r="W11965" s="1"/>
      <c r="X11965" s="1"/>
      <c r="Y11965" s="1"/>
      <c r="Z11965" s="1"/>
      <c r="AA11965" s="1"/>
      <c r="AB11965" s="1"/>
    </row>
    <row r="11966" ht="50.25" customHeight="1">
      <c r="A11966" s="12">
        <v>11962.0</v>
      </c>
      <c r="B11966" s="13" t="s">
        <v>11694</v>
      </c>
      <c r="C11966" s="14" t="s">
        <v>11808</v>
      </c>
      <c r="D11966" s="1"/>
      <c r="E11966" s="1"/>
      <c r="F11966" s="1" t="str">
        <f>IFERROR(__xludf.DUMMYFUNCTION("GOOGLETRANSLATE(B11966, ""en"", ""fa"")
"),"زندگی پایدار")</f>
        <v>زندگی پایدار</v>
      </c>
      <c r="G11966" s="1" t="str">
        <f>IFERROR(__xludf.DUMMYFUNCTION("GOOGLETRANSLATE(C11966, ""en"", ""fa"")
"),"خود را در مورد مزایای سیستم های انرژی تجدیدپذیر برای مصارف مسکونی، مانند پنل های خورشیدی و توربین های بادی آموزش دهید.")</f>
        <v>خود را در مورد مزایای سیستم های انرژی تجدیدپذیر برای مصارف مسکونی، مانند پنل های خورشیدی و توربین های بادی آموزش دهید.</v>
      </c>
      <c r="H11966" s="1"/>
      <c r="I11966" s="1"/>
      <c r="J11966" s="1"/>
      <c r="K11966" s="1"/>
      <c r="L11966" s="1"/>
      <c r="M11966" s="1"/>
      <c r="N11966" s="1"/>
      <c r="O11966" s="1"/>
      <c r="P11966" s="1"/>
      <c r="Q11966" s="1"/>
      <c r="R11966" s="1"/>
      <c r="S11966" s="1"/>
      <c r="T11966" s="1"/>
      <c r="U11966" s="1"/>
      <c r="V11966" s="1"/>
      <c r="W11966" s="1"/>
      <c r="X11966" s="1"/>
      <c r="Y11966" s="1"/>
      <c r="Z11966" s="1"/>
      <c r="AA11966" s="1"/>
      <c r="AB11966" s="1"/>
    </row>
    <row r="11967" ht="50.25" customHeight="1">
      <c r="A11967" s="12">
        <v>11963.0</v>
      </c>
      <c r="B11967" s="13" t="s">
        <v>11694</v>
      </c>
      <c r="C11967" s="14" t="s">
        <v>11809</v>
      </c>
      <c r="D11967" s="1"/>
      <c r="E11967" s="1"/>
      <c r="F11967" s="1" t="str">
        <f>IFERROR(__xludf.DUMMYFUNCTION("GOOGLETRANSLATE(B11967, ""en"", ""fa"")
"),"زندگی پایدار")</f>
        <v>زندگی پایدار</v>
      </c>
      <c r="G11967" s="1" t="str">
        <f>IFERROR(__xludf.DUMMYFUNCTION("GOOGLETRANSLATE(C11967, ""en"", ""fa"")
"),"کاهش هدررفت آب با رفع نشتی ها و استفاده از وسایل کم مصرف مانند شیر آب و توالت های کم جریان.")</f>
        <v>کاهش هدررفت آب با رفع نشتی ها و استفاده از وسایل کم مصرف مانند شیر آب و توالت های کم جریان.</v>
      </c>
      <c r="H11967" s="1"/>
      <c r="I11967" s="1"/>
      <c r="J11967" s="1"/>
      <c r="K11967" s="1"/>
      <c r="L11967" s="1"/>
      <c r="M11967" s="1"/>
      <c r="N11967" s="1"/>
      <c r="O11967" s="1"/>
      <c r="P11967" s="1"/>
      <c r="Q11967" s="1"/>
      <c r="R11967" s="1"/>
      <c r="S11967" s="1"/>
      <c r="T11967" s="1"/>
      <c r="U11967" s="1"/>
      <c r="V11967" s="1"/>
      <c r="W11967" s="1"/>
      <c r="X11967" s="1"/>
      <c r="Y11967" s="1"/>
      <c r="Z11967" s="1"/>
      <c r="AA11967" s="1"/>
      <c r="AB11967" s="1"/>
    </row>
    <row r="11968" ht="50.25" customHeight="1">
      <c r="A11968" s="12">
        <v>11964.0</v>
      </c>
      <c r="B11968" s="13" t="s">
        <v>11694</v>
      </c>
      <c r="C11968" s="14" t="s">
        <v>11810</v>
      </c>
      <c r="D11968" s="1"/>
      <c r="E11968" s="1"/>
      <c r="F11968" s="1" t="str">
        <f>IFERROR(__xludf.DUMMYFUNCTION("GOOGLETRANSLATE(B11968, ""en"", ""fa"")
"),"زندگی پایدار")</f>
        <v>زندگی پایدار</v>
      </c>
      <c r="G11968" s="1" t="str">
        <f>IFERROR(__xludf.DUMMYFUNCTION("GOOGLETRANSLATE(C11968, ""en"", ""fa"")
"),"تأثیر مد سریع بر محیط زیست را بررسی کنید و رویکردی آگاهانه تر برای مصرف لباس اتخاذ کنید.")</f>
        <v>تأثیر مد سریع بر محیط زیست را بررسی کنید و رویکردی آگاهانه تر برای مصرف لباس اتخاذ کنید.</v>
      </c>
      <c r="H11968" s="1"/>
      <c r="I11968" s="1"/>
      <c r="J11968" s="1"/>
      <c r="K11968" s="1"/>
      <c r="L11968" s="1"/>
      <c r="M11968" s="1"/>
      <c r="N11968" s="1"/>
      <c r="O11968" s="1"/>
      <c r="P11968" s="1"/>
      <c r="Q11968" s="1"/>
      <c r="R11968" s="1"/>
      <c r="S11968" s="1"/>
      <c r="T11968" s="1"/>
      <c r="U11968" s="1"/>
      <c r="V11968" s="1"/>
      <c r="W11968" s="1"/>
      <c r="X11968" s="1"/>
      <c r="Y11968" s="1"/>
      <c r="Z11968" s="1"/>
      <c r="AA11968" s="1"/>
      <c r="AB11968" s="1"/>
    </row>
    <row r="11969" ht="50.25" customHeight="1">
      <c r="A11969" s="12">
        <v>11965.0</v>
      </c>
      <c r="B11969" s="13" t="s">
        <v>11694</v>
      </c>
      <c r="C11969" s="14" t="s">
        <v>11811</v>
      </c>
      <c r="D11969" s="1"/>
      <c r="E11969" s="1"/>
      <c r="F11969" s="1" t="str">
        <f>IFERROR(__xludf.DUMMYFUNCTION("GOOGLETRANSLATE(B11969, ""en"", ""fa"")
"),"زندگی پایدار")</f>
        <v>زندگی پایدار</v>
      </c>
      <c r="G11969" s="1" t="str">
        <f>IFERROR(__xludf.DUMMYFUNCTION("GOOGLETRANSLATE(C11969, ""en"", ""fa"")
"),"""باغبانی دوستدار محیط زیست"" را با استفاده از روش های کنترل آفات طبیعی و اجتناب از مواد شیمیایی مضر تمرین کنید.")</f>
        <v>"باغبانی دوستدار محیط زیست" را با استفاده از روش های کنترل آفات طبیعی و اجتناب از مواد شیمیایی مضر تمرین کنید.</v>
      </c>
      <c r="H11969" s="1"/>
      <c r="I11969" s="1"/>
      <c r="J11969" s="1"/>
      <c r="K11969" s="1"/>
      <c r="L11969" s="1"/>
      <c r="M11969" s="1"/>
      <c r="N11969" s="1"/>
      <c r="O11969" s="1"/>
      <c r="P11969" s="1"/>
      <c r="Q11969" s="1"/>
      <c r="R11969" s="1"/>
      <c r="S11969" s="1"/>
      <c r="T11969" s="1"/>
      <c r="U11969" s="1"/>
      <c r="V11969" s="1"/>
      <c r="W11969" s="1"/>
      <c r="X11969" s="1"/>
      <c r="Y11969" s="1"/>
      <c r="Z11969" s="1"/>
      <c r="AA11969" s="1"/>
      <c r="AB11969" s="1"/>
    </row>
    <row r="11970" ht="50.25" customHeight="1">
      <c r="A11970" s="12">
        <v>11966.0</v>
      </c>
      <c r="B11970" s="13" t="s">
        <v>11694</v>
      </c>
      <c r="C11970" s="14" t="s">
        <v>11812</v>
      </c>
      <c r="D11970" s="1"/>
      <c r="E11970" s="1"/>
      <c r="F11970" s="1" t="str">
        <f>IFERROR(__xludf.DUMMYFUNCTION("GOOGLETRANSLATE(B11970, ""en"", ""fa"")
"),"زندگی پایدار")</f>
        <v>زندگی پایدار</v>
      </c>
      <c r="G11970" s="1" t="str">
        <f>IFERROR(__xludf.DUMMYFUNCTION("GOOGLETRANSLATE(C11970, ""en"", ""fa"")
"),"از سازمان هایی حمایت کنید که شیوه های پایدار و حفاظت از محیط زیست را ترویج می کنند.")</f>
        <v>از سازمان هایی حمایت کنید که شیوه های پایدار و حفاظت از محیط زیست را ترویج می کنند.</v>
      </c>
      <c r="H11970" s="1"/>
      <c r="I11970" s="1"/>
      <c r="J11970" s="1"/>
      <c r="K11970" s="1"/>
      <c r="L11970" s="1"/>
      <c r="M11970" s="1"/>
      <c r="N11970" s="1"/>
      <c r="O11970" s="1"/>
      <c r="P11970" s="1"/>
      <c r="Q11970" s="1"/>
      <c r="R11970" s="1"/>
      <c r="S11970" s="1"/>
      <c r="T11970" s="1"/>
      <c r="U11970" s="1"/>
      <c r="V11970" s="1"/>
      <c r="W11970" s="1"/>
      <c r="X11970" s="1"/>
      <c r="Y11970" s="1"/>
      <c r="Z11970" s="1"/>
      <c r="AA11970" s="1"/>
      <c r="AB11970" s="1"/>
    </row>
    <row r="11971" ht="50.25" customHeight="1">
      <c r="A11971" s="12">
        <v>11967.0</v>
      </c>
      <c r="B11971" s="13" t="s">
        <v>11694</v>
      </c>
      <c r="C11971" s="14" t="s">
        <v>11813</v>
      </c>
      <c r="D11971" s="1"/>
      <c r="E11971" s="1"/>
      <c r="F11971" s="1" t="str">
        <f>IFERROR(__xludf.DUMMYFUNCTION("GOOGLETRANSLATE(B11971, ""en"", ""fa"")
"),"زندگی پایدار")</f>
        <v>زندگی پایدار</v>
      </c>
      <c r="G11971" s="1" t="str">
        <f>IFERROR(__xludf.DUMMYFUNCTION("GOOGLETRANSLATE(C11971, ""en"", ""fa"")
"),"خود را در مورد تأثیرات زیست محیطی انواع مختلف بسته بندی آموزش دهید و محصولاتی با بسته بندی حداقل یا سازگار با محیط زیست انتخاب کنید.")</f>
        <v>خود را در مورد تأثیرات زیست محیطی انواع مختلف بسته بندی آموزش دهید و محصولاتی با بسته بندی حداقل یا سازگار با محیط زیست انتخاب کنید.</v>
      </c>
      <c r="H11971" s="1"/>
      <c r="I11971" s="1"/>
      <c r="J11971" s="1"/>
      <c r="K11971" s="1"/>
      <c r="L11971" s="1"/>
      <c r="M11971" s="1"/>
      <c r="N11971" s="1"/>
      <c r="O11971" s="1"/>
      <c r="P11971" s="1"/>
      <c r="Q11971" s="1"/>
      <c r="R11971" s="1"/>
      <c r="S11971" s="1"/>
      <c r="T11971" s="1"/>
      <c r="U11971" s="1"/>
      <c r="V11971" s="1"/>
      <c r="W11971" s="1"/>
      <c r="X11971" s="1"/>
      <c r="Y11971" s="1"/>
      <c r="Z11971" s="1"/>
      <c r="AA11971" s="1"/>
      <c r="AB11971" s="1"/>
    </row>
    <row r="11972" ht="50.25" customHeight="1">
      <c r="A11972" s="12">
        <v>11968.0</v>
      </c>
      <c r="B11972" s="13" t="s">
        <v>11694</v>
      </c>
      <c r="C11972" s="14" t="s">
        <v>11814</v>
      </c>
      <c r="D11972" s="1"/>
      <c r="E11972" s="1"/>
      <c r="F11972" s="1" t="str">
        <f>IFERROR(__xludf.DUMMYFUNCTION("GOOGLETRANSLATE(B11972, ""en"", ""fa"")
"),"زندگی پایدار")</f>
        <v>زندگی پایدار</v>
      </c>
      <c r="G11972" s="1" t="str">
        <f>IFERROR(__xludf.DUMMYFUNCTION("GOOGLETRANSLATE(C11972, ""en"", ""fa"")
"),"ویژگی های صرفه جویی در مصرف آب مانند سیستم های جمع آوری آب باران و بازیافت آب خاکستری را در خانه خود نصب کنید.")</f>
        <v>ویژگی های صرفه جویی در مصرف آب مانند سیستم های جمع آوری آب باران و بازیافت آب خاکستری را در خانه خود نصب کنید.</v>
      </c>
      <c r="H11972" s="1"/>
      <c r="I11972" s="1"/>
      <c r="J11972" s="1"/>
      <c r="K11972" s="1"/>
      <c r="L11972" s="1"/>
      <c r="M11972" s="1"/>
      <c r="N11972" s="1"/>
      <c r="O11972" s="1"/>
      <c r="P11972" s="1"/>
      <c r="Q11972" s="1"/>
      <c r="R11972" s="1"/>
      <c r="S11972" s="1"/>
      <c r="T11972" s="1"/>
      <c r="U11972" s="1"/>
      <c r="V11972" s="1"/>
      <c r="W11972" s="1"/>
      <c r="X11972" s="1"/>
      <c r="Y11972" s="1"/>
      <c r="Z11972" s="1"/>
      <c r="AA11972" s="1"/>
      <c r="AB11972" s="1"/>
    </row>
    <row r="11973" ht="50.25" customHeight="1">
      <c r="A11973" s="12">
        <v>11969.0</v>
      </c>
      <c r="B11973" s="13" t="s">
        <v>11694</v>
      </c>
      <c r="C11973" s="14" t="s">
        <v>11815</v>
      </c>
      <c r="D11973" s="1"/>
      <c r="E11973" s="1"/>
      <c r="F11973" s="1" t="str">
        <f>IFERROR(__xludf.DUMMYFUNCTION("GOOGLETRANSLATE(B11973, ""en"", ""fa"")
"),"زندگی پایدار")</f>
        <v>زندگی پایدار</v>
      </c>
      <c r="G11973" s="1" t="str">
        <f>IFERROR(__xludf.DUMMYFUNCTION("GOOGLETRANSLATE(C11973, ""en"", ""fa"")
"),"در مصرف انرژی خانگی خود فکر کنید و به دنبال راه هایی برای کاهش مصرف انرژی باشید.")</f>
        <v>در مصرف انرژی خانگی خود فکر کنید و به دنبال راه هایی برای کاهش مصرف انرژی باشید.</v>
      </c>
      <c r="H11973" s="1"/>
      <c r="I11973" s="1"/>
      <c r="J11973" s="1"/>
      <c r="K11973" s="1"/>
      <c r="L11973" s="1"/>
      <c r="M11973" s="1"/>
      <c r="N11973" s="1"/>
      <c r="O11973" s="1"/>
      <c r="P11973" s="1"/>
      <c r="Q11973" s="1"/>
      <c r="R11973" s="1"/>
      <c r="S11973" s="1"/>
      <c r="T11973" s="1"/>
      <c r="U11973" s="1"/>
      <c r="V11973" s="1"/>
      <c r="W11973" s="1"/>
      <c r="X11973" s="1"/>
      <c r="Y11973" s="1"/>
      <c r="Z11973" s="1"/>
      <c r="AA11973" s="1"/>
      <c r="AB11973" s="1"/>
    </row>
    <row r="11974" ht="50.25" customHeight="1">
      <c r="A11974" s="12">
        <v>11970.0</v>
      </c>
      <c r="B11974" s="13" t="s">
        <v>11694</v>
      </c>
      <c r="C11974" s="14" t="s">
        <v>11816</v>
      </c>
      <c r="D11974" s="1"/>
      <c r="E11974" s="1"/>
      <c r="F11974" s="1" t="str">
        <f>IFERROR(__xludf.DUMMYFUNCTION("GOOGLETRANSLATE(B11974, ""en"", ""fa"")
"),"زندگی پایدار")</f>
        <v>زندگی پایدار</v>
      </c>
      <c r="G11974" s="1" t="str">
        <f>IFERROR(__xludf.DUMMYFUNCTION("GOOGLETRANSLATE(C11974, ""en"", ""fa"")
"),"جایگزین های سازگار با محیط زیست برای محصولات پاک کننده خانگی، مانند پاک کننده های طبیعی DIY، تحقیق کنید.")</f>
        <v>جایگزین های سازگار با محیط زیست برای محصولات پاک کننده خانگی، مانند پاک کننده های طبیعی DIY، تحقیق کنید.</v>
      </c>
      <c r="H11974" s="1"/>
      <c r="I11974" s="1"/>
      <c r="J11974" s="1"/>
      <c r="K11974" s="1"/>
      <c r="L11974" s="1"/>
      <c r="M11974" s="1"/>
      <c r="N11974" s="1"/>
      <c r="O11974" s="1"/>
      <c r="P11974" s="1"/>
      <c r="Q11974" s="1"/>
      <c r="R11974" s="1"/>
      <c r="S11974" s="1"/>
      <c r="T11974" s="1"/>
      <c r="U11974" s="1"/>
      <c r="V11974" s="1"/>
      <c r="W11974" s="1"/>
      <c r="X11974" s="1"/>
      <c r="Y11974" s="1"/>
      <c r="Z11974" s="1"/>
      <c r="AA11974" s="1"/>
      <c r="AB11974" s="1"/>
    </row>
    <row r="11975" ht="50.25" customHeight="1">
      <c r="A11975" s="12">
        <v>11971.0</v>
      </c>
      <c r="B11975" s="13" t="s">
        <v>11694</v>
      </c>
      <c r="C11975" s="14" t="s">
        <v>11817</v>
      </c>
      <c r="D11975" s="1"/>
      <c r="E11975" s="1"/>
      <c r="F11975" s="1" t="str">
        <f>IFERROR(__xludf.DUMMYFUNCTION("GOOGLETRANSLATE(B11975, ""en"", ""fa"")
"),"زندگی پایدار")</f>
        <v>زندگی پایدار</v>
      </c>
      <c r="G11975" s="1" t="str">
        <f>IFERROR(__xludf.DUMMYFUNCTION("GOOGLETRANSLATE(C11975, ""en"", ""fa"")
"),"در برنامه‌های کاهش زباله محلی، مانند کمپوست‌سازی یا بازیافت اجتماعی شرکت کنید.")</f>
        <v>در برنامه‌های کاهش زباله محلی، مانند کمپوست‌سازی یا بازیافت اجتماعی شرکت کنید.</v>
      </c>
      <c r="H11975" s="1"/>
      <c r="I11975" s="1"/>
      <c r="J11975" s="1"/>
      <c r="K11975" s="1"/>
      <c r="L11975" s="1"/>
      <c r="M11975" s="1"/>
      <c r="N11975" s="1"/>
      <c r="O11975" s="1"/>
      <c r="P11975" s="1"/>
      <c r="Q11975" s="1"/>
      <c r="R11975" s="1"/>
      <c r="S11975" s="1"/>
      <c r="T11975" s="1"/>
      <c r="U11975" s="1"/>
      <c r="V11975" s="1"/>
      <c r="W11975" s="1"/>
      <c r="X11975" s="1"/>
      <c r="Y11975" s="1"/>
      <c r="Z11975" s="1"/>
      <c r="AA11975" s="1"/>
      <c r="AB11975" s="1"/>
    </row>
    <row r="11976" ht="50.25" customHeight="1">
      <c r="A11976" s="12">
        <v>11972.0</v>
      </c>
      <c r="B11976" s="13" t="s">
        <v>11694</v>
      </c>
      <c r="C11976" s="14" t="s">
        <v>11818</v>
      </c>
      <c r="D11976" s="1"/>
      <c r="E11976" s="1"/>
      <c r="F11976" s="1" t="str">
        <f>IFERROR(__xludf.DUMMYFUNCTION("GOOGLETRANSLATE(B11976, ""en"", ""fa"")
"),"زندگی پایدار")</f>
        <v>زندگی پایدار</v>
      </c>
      <c r="G11976" s="1" t="str">
        <f>IFERROR(__xludf.DUMMYFUNCTION("GOOGLETRANSLATE(C11976, ""en"", ""fa"")
"),"حمایت از شرکت هایی که از مواد پایدار و مسئولانه در محصولات خود استفاده می کنند.")</f>
        <v>حمایت از شرکت هایی که از مواد پایدار و مسئولانه در محصولات خود استفاده می کنند.</v>
      </c>
      <c r="H11976" s="1"/>
      <c r="I11976" s="1"/>
      <c r="J11976" s="1"/>
      <c r="K11976" s="1"/>
      <c r="L11976" s="1"/>
      <c r="M11976" s="1"/>
      <c r="N11976" s="1"/>
      <c r="O11976" s="1"/>
      <c r="P11976" s="1"/>
      <c r="Q11976" s="1"/>
      <c r="R11976" s="1"/>
      <c r="S11976" s="1"/>
      <c r="T11976" s="1"/>
      <c r="U11976" s="1"/>
      <c r="V11976" s="1"/>
      <c r="W11976" s="1"/>
      <c r="X11976" s="1"/>
      <c r="Y11976" s="1"/>
      <c r="Z11976" s="1"/>
      <c r="AA11976" s="1"/>
      <c r="AB11976" s="1"/>
    </row>
    <row r="11977" ht="50.25" customHeight="1">
      <c r="A11977" s="12">
        <v>11973.0</v>
      </c>
      <c r="B11977" s="13" t="s">
        <v>11694</v>
      </c>
      <c r="C11977" s="14" t="s">
        <v>11819</v>
      </c>
      <c r="D11977" s="1"/>
      <c r="E11977" s="1"/>
      <c r="F11977" s="1" t="str">
        <f>IFERROR(__xludf.DUMMYFUNCTION("GOOGLETRANSLATE(B11977, ""en"", ""fa"")
"),"زندگی پایدار")</f>
        <v>زندگی پایدار</v>
      </c>
      <c r="G11977" s="1" t="str">
        <f>IFERROR(__xludf.DUMMYFUNCTION("GOOGLETRANSLATE(C11977, ""en"", ""fa"")
"),"خود را در مورد تأثیر پلاستیک های یکبار مصرف بر زندگی دریایی و اقیانوس ها آموزش دهید و اقداماتی را برای کاهش استفاده از پلاستیک انجام دهید.")</f>
        <v>خود را در مورد تأثیر پلاستیک های یکبار مصرف بر زندگی دریایی و اقیانوس ها آموزش دهید و اقداماتی را برای کاهش استفاده از پلاستیک انجام دهید.</v>
      </c>
      <c r="H11977" s="1"/>
      <c r="I11977" s="1"/>
      <c r="J11977" s="1"/>
      <c r="K11977" s="1"/>
      <c r="L11977" s="1"/>
      <c r="M11977" s="1"/>
      <c r="N11977" s="1"/>
      <c r="O11977" s="1"/>
      <c r="P11977" s="1"/>
      <c r="Q11977" s="1"/>
      <c r="R11977" s="1"/>
      <c r="S11977" s="1"/>
      <c r="T11977" s="1"/>
      <c r="U11977" s="1"/>
      <c r="V11977" s="1"/>
      <c r="W11977" s="1"/>
      <c r="X11977" s="1"/>
      <c r="Y11977" s="1"/>
      <c r="Z11977" s="1"/>
      <c r="AA11977" s="1"/>
      <c r="AB11977" s="1"/>
    </row>
    <row r="11978" ht="50.25" customHeight="1">
      <c r="A11978" s="12">
        <v>11974.0</v>
      </c>
      <c r="B11978" s="13" t="s">
        <v>11694</v>
      </c>
      <c r="C11978" s="14" t="s">
        <v>11820</v>
      </c>
      <c r="D11978" s="1"/>
      <c r="E11978" s="1"/>
      <c r="F11978" s="1" t="str">
        <f>IFERROR(__xludf.DUMMYFUNCTION("GOOGLETRANSLATE(B11978, ""en"", ""fa"")
"),"زندگی پایدار")</f>
        <v>زندگی پایدار</v>
      </c>
      <c r="G11978" s="1" t="str">
        <f>IFERROR(__xludf.DUMMYFUNCTION("GOOGLETRANSLATE(C11978, ""en"", ""fa"")
"),"برای بهبود صرفه جویی در مصرف انرژی، روی عایق های کم مصرف برای خانه خود سرمایه گذاری کنید.")</f>
        <v>برای بهبود صرفه جویی در مصرف انرژی، روی عایق های کم مصرف برای خانه خود سرمایه گذاری کنید.</v>
      </c>
      <c r="H11978" s="1"/>
      <c r="I11978" s="1"/>
      <c r="J11978" s="1"/>
      <c r="K11978" s="1"/>
      <c r="L11978" s="1"/>
      <c r="M11978" s="1"/>
      <c r="N11978" s="1"/>
      <c r="O11978" s="1"/>
      <c r="P11978" s="1"/>
      <c r="Q11978" s="1"/>
      <c r="R11978" s="1"/>
      <c r="S11978" s="1"/>
      <c r="T11978" s="1"/>
      <c r="U11978" s="1"/>
      <c r="V11978" s="1"/>
      <c r="W11978" s="1"/>
      <c r="X11978" s="1"/>
      <c r="Y11978" s="1"/>
      <c r="Z11978" s="1"/>
      <c r="AA11978" s="1"/>
      <c r="AB11978" s="1"/>
    </row>
    <row r="11979" ht="50.25" customHeight="1">
      <c r="A11979" s="12">
        <v>11975.0</v>
      </c>
      <c r="B11979" s="13" t="s">
        <v>11694</v>
      </c>
      <c r="C11979" s="14" t="s">
        <v>11821</v>
      </c>
      <c r="D11979" s="1"/>
      <c r="E11979" s="1"/>
      <c r="F11979" s="1" t="str">
        <f>IFERROR(__xludf.DUMMYFUNCTION("GOOGLETRANSLATE(B11979, ""en"", ""fa"")
"),"زندگی پایدار")</f>
        <v>زندگی پایدار</v>
      </c>
      <c r="G11979" s="1" t="str">
        <f>IFERROR(__xludf.DUMMYFUNCTION("GOOGLETRANSLATE(C11979, ""en"", ""fa"")
"),"گزینه های حمل و نقل پایدار، مانند وسایل نقلیه الکتریکی یا هیبریدی را کاوش کنید.")</f>
        <v>گزینه های حمل و نقل پایدار، مانند وسایل نقلیه الکتریکی یا هیبریدی را کاوش کنید.</v>
      </c>
      <c r="H11979" s="1"/>
      <c r="I11979" s="1"/>
      <c r="J11979" s="1"/>
      <c r="K11979" s="1"/>
      <c r="L11979" s="1"/>
      <c r="M11979" s="1"/>
      <c r="N11979" s="1"/>
      <c r="O11979" s="1"/>
      <c r="P11979" s="1"/>
      <c r="Q11979" s="1"/>
      <c r="R11979" s="1"/>
      <c r="S11979" s="1"/>
      <c r="T11979" s="1"/>
      <c r="U11979" s="1"/>
      <c r="V11979" s="1"/>
      <c r="W11979" s="1"/>
      <c r="X11979" s="1"/>
      <c r="Y11979" s="1"/>
      <c r="Z11979" s="1"/>
      <c r="AA11979" s="1"/>
      <c r="AB11979" s="1"/>
    </row>
    <row r="11980" ht="50.25" customHeight="1">
      <c r="A11980" s="12">
        <v>11976.0</v>
      </c>
      <c r="B11980" s="13" t="s">
        <v>11694</v>
      </c>
      <c r="C11980" s="14" t="s">
        <v>11822</v>
      </c>
      <c r="D11980" s="1"/>
      <c r="E11980" s="1"/>
      <c r="F11980" s="1" t="str">
        <f>IFERROR(__xludf.DUMMYFUNCTION("GOOGLETRANSLATE(B11980, ""en"", ""fa"")
"),"زندگی پایدار")</f>
        <v>زندگی پایدار</v>
      </c>
      <c r="G11980" s="1" t="str">
        <f>IFERROR(__xludf.DUMMYFUNCTION("GOOGLETRANSLATE(C11980, ""en"", ""fa"")
"),"به تأثیرات زیست محیطی عادت های دیجیتالی خود، مانند خرید آنلاین و پخش جریانی فکر کنید، و به دنبال راه هایی برای کاهش ضایعات دیجیتال باشید.")</f>
        <v>به تأثیرات زیست محیطی عادت های دیجیتالی خود، مانند خرید آنلاین و پخش جریانی فکر کنید، و به دنبال راه هایی برای کاهش ضایعات دیجیتال باشید.</v>
      </c>
      <c r="H11980" s="1"/>
      <c r="I11980" s="1"/>
      <c r="J11980" s="1"/>
      <c r="K11980" s="1"/>
      <c r="L11980" s="1"/>
      <c r="M11980" s="1"/>
      <c r="N11980" s="1"/>
      <c r="O11980" s="1"/>
      <c r="P11980" s="1"/>
      <c r="Q11980" s="1"/>
      <c r="R11980" s="1"/>
      <c r="S11980" s="1"/>
      <c r="T11980" s="1"/>
      <c r="U11980" s="1"/>
      <c r="V11980" s="1"/>
      <c r="W11980" s="1"/>
      <c r="X11980" s="1"/>
      <c r="Y11980" s="1"/>
      <c r="Z11980" s="1"/>
      <c r="AA11980" s="1"/>
      <c r="AB11980" s="1"/>
    </row>
    <row r="11981" ht="50.25" customHeight="1">
      <c r="A11981" s="12">
        <v>11977.0</v>
      </c>
      <c r="B11981" s="13" t="s">
        <v>11694</v>
      </c>
      <c r="C11981" s="14" t="s">
        <v>11823</v>
      </c>
      <c r="D11981" s="1"/>
      <c r="E11981" s="1"/>
      <c r="F11981" s="1" t="str">
        <f>IFERROR(__xludf.DUMMYFUNCTION("GOOGLETRANSLATE(B11981, ""en"", ""fa"")
"),"زندگی پایدار")</f>
        <v>زندگی پایدار</v>
      </c>
      <c r="G11981" s="1" t="str">
        <f>IFERROR(__xludf.DUMMYFUNCTION("GOOGLETRANSLATE(C11981, ""en"", ""fa"")
"),"با انتخاب اقامتگاه های بوم گردی و اپراتورهای مسافرتی مسئول از گردشگری دوستدار محیط زیست حمایت کنید.")</f>
        <v>با انتخاب اقامتگاه های بوم گردی و اپراتورهای مسافرتی مسئول از گردشگری دوستدار محیط زیست حمایت کنید.</v>
      </c>
      <c r="H11981" s="1"/>
      <c r="I11981" s="1"/>
      <c r="J11981" s="1"/>
      <c r="K11981" s="1"/>
      <c r="L11981" s="1"/>
      <c r="M11981" s="1"/>
      <c r="N11981" s="1"/>
      <c r="O11981" s="1"/>
      <c r="P11981" s="1"/>
      <c r="Q11981" s="1"/>
      <c r="R11981" s="1"/>
      <c r="S11981" s="1"/>
      <c r="T11981" s="1"/>
      <c r="U11981" s="1"/>
      <c r="V11981" s="1"/>
      <c r="W11981" s="1"/>
      <c r="X11981" s="1"/>
      <c r="Y11981" s="1"/>
      <c r="Z11981" s="1"/>
      <c r="AA11981" s="1"/>
      <c r="AB11981" s="1"/>
    </row>
    <row r="11982" ht="50.25" customHeight="1">
      <c r="A11982" s="12">
        <v>11978.0</v>
      </c>
      <c r="B11982" s="13" t="s">
        <v>11694</v>
      </c>
      <c r="C11982" s="14" t="s">
        <v>11824</v>
      </c>
      <c r="D11982" s="1"/>
      <c r="E11982" s="1"/>
      <c r="F11982" s="1" t="str">
        <f>IFERROR(__xludf.DUMMYFUNCTION("GOOGLETRANSLATE(B11982, ""en"", ""fa"")
"),"زندگی پایدار")</f>
        <v>زندگی پایدار</v>
      </c>
      <c r="G11982" s="1" t="str">
        <f>IFERROR(__xludf.DUMMYFUNCTION("GOOGLETRANSLATE(C11982, ""en"", ""fa"")
"),"خود را در مورد مفهوم ""اقتصاد دایره ای"" و نقش آن در زندگی پایدار آموزش دهید.")</f>
        <v>خود را در مورد مفهوم "اقتصاد دایره ای" و نقش آن در زندگی پایدار آموزش دهید.</v>
      </c>
      <c r="H11982" s="1"/>
      <c r="I11982" s="1"/>
      <c r="J11982" s="1"/>
      <c r="K11982" s="1"/>
      <c r="L11982" s="1"/>
      <c r="M11982" s="1"/>
      <c r="N11982" s="1"/>
      <c r="O11982" s="1"/>
      <c r="P11982" s="1"/>
      <c r="Q11982" s="1"/>
      <c r="R11982" s="1"/>
      <c r="S11982" s="1"/>
      <c r="T11982" s="1"/>
      <c r="U11982" s="1"/>
      <c r="V11982" s="1"/>
      <c r="W11982" s="1"/>
      <c r="X11982" s="1"/>
      <c r="Y11982" s="1"/>
      <c r="Z11982" s="1"/>
      <c r="AA11982" s="1"/>
      <c r="AB11982" s="1"/>
    </row>
    <row r="11983" ht="50.25" customHeight="1">
      <c r="A11983" s="12">
        <v>11979.0</v>
      </c>
      <c r="B11983" s="13" t="s">
        <v>11694</v>
      </c>
      <c r="C11983" s="14" t="s">
        <v>11825</v>
      </c>
      <c r="D11983" s="1"/>
      <c r="E11983" s="1"/>
      <c r="F11983" s="1" t="str">
        <f>IFERROR(__xludf.DUMMYFUNCTION("GOOGLETRANSLATE(B11983, ""en"", ""fa"")
"),"زندگی پایدار")</f>
        <v>زندگی پایدار</v>
      </c>
      <c r="G11983" s="1" t="str">
        <f>IFERROR(__xludf.DUMMYFUNCTION("GOOGLETRANSLATE(C11983, ""en"", ""fa"")
"),"برای کاهش مصرف آب بطری و به حداقل رساندن ضایعات پلاستیکی، فیلتر آب نصب کنید.")</f>
        <v>برای کاهش مصرف آب بطری و به حداقل رساندن ضایعات پلاستیکی، فیلتر آب نصب کنید.</v>
      </c>
      <c r="H11983" s="1"/>
      <c r="I11983" s="1"/>
      <c r="J11983" s="1"/>
      <c r="K11983" s="1"/>
      <c r="L11983" s="1"/>
      <c r="M11983" s="1"/>
      <c r="N11983" s="1"/>
      <c r="O11983" s="1"/>
      <c r="P11983" s="1"/>
      <c r="Q11983" s="1"/>
      <c r="R11983" s="1"/>
      <c r="S11983" s="1"/>
      <c r="T11983" s="1"/>
      <c r="U11983" s="1"/>
      <c r="V11983" s="1"/>
      <c r="W11983" s="1"/>
      <c r="X11983" s="1"/>
      <c r="Y11983" s="1"/>
      <c r="Z11983" s="1"/>
      <c r="AA11983" s="1"/>
      <c r="AB11983" s="1"/>
    </row>
    <row r="11984" ht="50.25" customHeight="1">
      <c r="A11984" s="12">
        <v>11980.0</v>
      </c>
      <c r="B11984" s="13" t="s">
        <v>11694</v>
      </c>
      <c r="C11984" s="14" t="s">
        <v>11826</v>
      </c>
      <c r="D11984" s="1"/>
      <c r="E11984" s="1"/>
      <c r="F11984" s="1" t="str">
        <f>IFERROR(__xludf.DUMMYFUNCTION("GOOGLETRANSLATE(B11984, ""en"", ""fa"")
"),"زندگی پایدار")</f>
        <v>زندگی پایدار</v>
      </c>
      <c r="G11984" s="1" t="str">
        <f>IFERROR(__xludf.DUMMYFUNCTION("GOOGLETRANSLATE(C11984, ""en"", ""fa"")
"),"در پروژه های باغبانی اجتماعی شرکت کنید یا یکی را در محله خود شروع کنید.")</f>
        <v>در پروژه های باغبانی اجتماعی شرکت کنید یا یکی را در محله خود شروع کنید.</v>
      </c>
      <c r="H11984" s="1"/>
      <c r="I11984" s="1"/>
      <c r="J11984" s="1"/>
      <c r="K11984" s="1"/>
      <c r="L11984" s="1"/>
      <c r="M11984" s="1"/>
      <c r="N11984" s="1"/>
      <c r="O11984" s="1"/>
      <c r="P11984" s="1"/>
      <c r="Q11984" s="1"/>
      <c r="R11984" s="1"/>
      <c r="S11984" s="1"/>
      <c r="T11984" s="1"/>
      <c r="U11984" s="1"/>
      <c r="V11984" s="1"/>
      <c r="W11984" s="1"/>
      <c r="X11984" s="1"/>
      <c r="Y11984" s="1"/>
      <c r="Z11984" s="1"/>
      <c r="AA11984" s="1"/>
      <c r="AB11984" s="1"/>
    </row>
    <row r="11985" ht="50.25" customHeight="1">
      <c r="A11985" s="12">
        <v>11981.0</v>
      </c>
      <c r="B11985" s="13" t="s">
        <v>11694</v>
      </c>
      <c r="C11985" s="14" t="s">
        <v>11827</v>
      </c>
      <c r="D11985" s="1"/>
      <c r="E11985" s="1"/>
      <c r="F11985" s="1" t="str">
        <f>IFERROR(__xludf.DUMMYFUNCTION("GOOGLETRANSLATE(B11985, ""en"", ""fa"")
"),"زندگی پایدار")</f>
        <v>زندگی پایدار</v>
      </c>
      <c r="G11985" s="1" t="str">
        <f>IFERROR(__xludf.DUMMYFUNCTION("GOOGLETRANSLATE(C11985, ""en"", ""fa"")
"),"جایگزین‌های پایدار برای محصولات خانگی، مانند کیسه‌های زباله زیست تخریب‌پذیر و بسته‌بندی‌های غذایی قابل استفاده مجدد را جستجو کنید.")</f>
        <v>جایگزین‌های پایدار برای محصولات خانگی، مانند کیسه‌های زباله زیست تخریب‌پذیر و بسته‌بندی‌های غذایی قابل استفاده مجدد را جستجو کنید.</v>
      </c>
      <c r="H11985" s="1"/>
      <c r="I11985" s="1"/>
      <c r="J11985" s="1"/>
      <c r="K11985" s="1"/>
      <c r="L11985" s="1"/>
      <c r="M11985" s="1"/>
      <c r="N11985" s="1"/>
      <c r="O11985" s="1"/>
      <c r="P11985" s="1"/>
      <c r="Q11985" s="1"/>
      <c r="R11985" s="1"/>
      <c r="S11985" s="1"/>
      <c r="T11985" s="1"/>
      <c r="U11985" s="1"/>
      <c r="V11985" s="1"/>
      <c r="W11985" s="1"/>
      <c r="X11985" s="1"/>
      <c r="Y11985" s="1"/>
      <c r="Z11985" s="1"/>
      <c r="AA11985" s="1"/>
      <c r="AB11985" s="1"/>
    </row>
    <row r="11986" ht="50.25" customHeight="1">
      <c r="A11986" s="12">
        <v>11982.0</v>
      </c>
      <c r="B11986" s="13" t="s">
        <v>11694</v>
      </c>
      <c r="C11986" s="14" t="s">
        <v>11828</v>
      </c>
      <c r="D11986" s="1"/>
      <c r="E11986" s="1"/>
      <c r="F11986" s="1" t="str">
        <f>IFERROR(__xludf.DUMMYFUNCTION("GOOGLETRANSLATE(B11986, ""en"", ""fa"")
"),"زندگی پایدار")</f>
        <v>زندگی پایدار</v>
      </c>
      <c r="G11986" s="1" t="str">
        <f>IFERROR(__xludf.DUMMYFUNCTION("GOOGLETRANSLATE(C11986, ""en"", ""fa"")
"),"تأثیرات زیست محیطی محصولاتی که استفاده می کنید را در نظر بگیرید و قبل از دور انداختن اقلام، آنها را تعمیر یا تغییر کاربری دهید.")</f>
        <v>تأثیرات زیست محیطی محصولاتی که استفاده می کنید را در نظر بگیرید و قبل از دور انداختن اقلام، آنها را تعمیر یا تغییر کاربری دهید.</v>
      </c>
      <c r="H11986" s="1"/>
      <c r="I11986" s="1"/>
      <c r="J11986" s="1"/>
      <c r="K11986" s="1"/>
      <c r="L11986" s="1"/>
      <c r="M11986" s="1"/>
      <c r="N11986" s="1"/>
      <c r="O11986" s="1"/>
      <c r="P11986" s="1"/>
      <c r="Q11986" s="1"/>
      <c r="R11986" s="1"/>
      <c r="S11986" s="1"/>
      <c r="T11986" s="1"/>
      <c r="U11986" s="1"/>
      <c r="V11986" s="1"/>
      <c r="W11986" s="1"/>
      <c r="X11986" s="1"/>
      <c r="Y11986" s="1"/>
      <c r="Z11986" s="1"/>
      <c r="AA11986" s="1"/>
      <c r="AB11986" s="1"/>
    </row>
    <row r="11987" ht="50.25" customHeight="1">
      <c r="A11987" s="12">
        <v>11983.0</v>
      </c>
      <c r="B11987" s="13" t="s">
        <v>11694</v>
      </c>
      <c r="C11987" s="14" t="s">
        <v>11829</v>
      </c>
      <c r="D11987" s="1"/>
      <c r="E11987" s="1"/>
      <c r="F11987" s="1" t="str">
        <f>IFERROR(__xludf.DUMMYFUNCTION("GOOGLETRANSLATE(B11987, ""en"", ""fa"")
"),"زندگی پایدار")</f>
        <v>زندگی پایدار</v>
      </c>
      <c r="G11987" s="1" t="str">
        <f>IFERROR(__xludf.DUMMYFUNCTION("GOOGLETRANSLATE(C11987, ""en"", ""fa"")
"),"حمایت از طرح‌های تحقیق و توسعه انرژی‌های تجدیدپذیر.")</f>
        <v>حمایت از طرح‌های تحقیق و توسعه انرژی‌های تجدیدپذیر.</v>
      </c>
      <c r="H11987" s="1"/>
      <c r="I11987" s="1"/>
      <c r="J11987" s="1"/>
      <c r="K11987" s="1"/>
      <c r="L11987" s="1"/>
      <c r="M11987" s="1"/>
      <c r="N11987" s="1"/>
      <c r="O11987" s="1"/>
      <c r="P11987" s="1"/>
      <c r="Q11987" s="1"/>
      <c r="R11987" s="1"/>
      <c r="S11987" s="1"/>
      <c r="T11987" s="1"/>
      <c r="U11987" s="1"/>
      <c r="V11987" s="1"/>
      <c r="W11987" s="1"/>
      <c r="X11987" s="1"/>
      <c r="Y11987" s="1"/>
      <c r="Z11987" s="1"/>
      <c r="AA11987" s="1"/>
      <c r="AB11987" s="1"/>
    </row>
    <row r="11988" ht="50.25" customHeight="1">
      <c r="A11988" s="12">
        <v>11984.0</v>
      </c>
      <c r="B11988" s="13" t="s">
        <v>11694</v>
      </c>
      <c r="C11988" s="14" t="s">
        <v>11830</v>
      </c>
      <c r="D11988" s="1"/>
      <c r="E11988" s="1"/>
      <c r="F11988" s="1" t="str">
        <f>IFERROR(__xludf.DUMMYFUNCTION("GOOGLETRANSLATE(B11988, ""en"", ""fa"")
"),"زندگی پایدار")</f>
        <v>زندگی پایدار</v>
      </c>
      <c r="G11988" s="1" t="str">
        <f>IFERROR(__xludf.DUMMYFUNCTION("GOOGLETRANSLATE(C11988, ""en"", ""fa"")
"),"خود را در مورد اهمیت تنوع زیستی و راه های حفاظت از اکوسیستم های محلی آموزش دهید.")</f>
        <v>خود را در مورد اهمیت تنوع زیستی و راه های حفاظت از اکوسیستم های محلی آموزش دهید.</v>
      </c>
      <c r="H11988" s="1"/>
      <c r="I11988" s="1"/>
      <c r="J11988" s="1"/>
      <c r="K11988" s="1"/>
      <c r="L11988" s="1"/>
      <c r="M11988" s="1"/>
      <c r="N11988" s="1"/>
      <c r="O11988" s="1"/>
      <c r="P11988" s="1"/>
      <c r="Q11988" s="1"/>
      <c r="R11988" s="1"/>
      <c r="S11988" s="1"/>
      <c r="T11988" s="1"/>
      <c r="U11988" s="1"/>
      <c r="V11988" s="1"/>
      <c r="W11988" s="1"/>
      <c r="X11988" s="1"/>
      <c r="Y11988" s="1"/>
      <c r="Z11988" s="1"/>
      <c r="AA11988" s="1"/>
      <c r="AB11988" s="1"/>
    </row>
    <row r="11989" ht="50.25" customHeight="1">
      <c r="A11989" s="12">
        <v>11985.0</v>
      </c>
      <c r="B11989" s="13" t="s">
        <v>11694</v>
      </c>
      <c r="C11989" s="14" t="s">
        <v>11831</v>
      </c>
      <c r="D11989" s="1"/>
      <c r="E11989" s="1"/>
      <c r="F11989" s="1" t="str">
        <f>IFERROR(__xludf.DUMMYFUNCTION("GOOGLETRANSLATE(B11989, ""en"", ""fa"")
"),"زندگی پایدار")</f>
        <v>زندگی پایدار</v>
      </c>
      <c r="G11989" s="1" t="str">
        <f>IFERROR(__xludf.DUMMYFUNCTION("GOOGLETRANSLATE(C11989, ""en"", ""fa"")
"),"مزایای وسایل برقی و نورپردازی کارآمد مانند لامپ های LED را بررسی کنید.")</f>
        <v>مزایای وسایل برقی و نورپردازی کارآمد مانند لامپ های LED را بررسی کنید.</v>
      </c>
      <c r="H11989" s="1"/>
      <c r="I11989" s="1"/>
      <c r="J11989" s="1"/>
      <c r="K11989" s="1"/>
      <c r="L11989" s="1"/>
      <c r="M11989" s="1"/>
      <c r="N11989" s="1"/>
      <c r="O11989" s="1"/>
      <c r="P11989" s="1"/>
      <c r="Q11989" s="1"/>
      <c r="R11989" s="1"/>
      <c r="S11989" s="1"/>
      <c r="T11989" s="1"/>
      <c r="U11989" s="1"/>
      <c r="V11989" s="1"/>
      <c r="W11989" s="1"/>
      <c r="X11989" s="1"/>
      <c r="Y11989" s="1"/>
      <c r="Z11989" s="1"/>
      <c r="AA11989" s="1"/>
      <c r="AB11989" s="1"/>
    </row>
    <row r="11990" ht="50.25" customHeight="1">
      <c r="A11990" s="12">
        <v>11986.0</v>
      </c>
      <c r="B11990" s="13" t="s">
        <v>11694</v>
      </c>
      <c r="C11990" s="14" t="s">
        <v>11832</v>
      </c>
      <c r="D11990" s="1"/>
      <c r="E11990" s="1"/>
      <c r="F11990" s="1" t="str">
        <f>IFERROR(__xludf.DUMMYFUNCTION("GOOGLETRANSLATE(B11990, ""en"", ""fa"")
"),"زندگی پایدار")</f>
        <v>زندگی پایدار</v>
      </c>
      <c r="G11990" s="1" t="str">
        <f>IFERROR(__xludf.DUMMYFUNCTION("GOOGLETRANSLATE(C11990, ""en"", ""fa"")
"),"یک سیستم جمع آوری آب باران برای جمع آوری آب برای استفاده در فضای باز نصب کنید.")</f>
        <v>یک سیستم جمع آوری آب باران برای جمع آوری آب برای استفاده در فضای باز نصب کنید.</v>
      </c>
      <c r="H11990" s="1"/>
      <c r="I11990" s="1"/>
      <c r="J11990" s="1"/>
      <c r="K11990" s="1"/>
      <c r="L11990" s="1"/>
      <c r="M11990" s="1"/>
      <c r="N11990" s="1"/>
      <c r="O11990" s="1"/>
      <c r="P11990" s="1"/>
      <c r="Q11990" s="1"/>
      <c r="R11990" s="1"/>
      <c r="S11990" s="1"/>
      <c r="T11990" s="1"/>
      <c r="U11990" s="1"/>
      <c r="V11990" s="1"/>
      <c r="W11990" s="1"/>
      <c r="X11990" s="1"/>
      <c r="Y11990" s="1"/>
      <c r="Z11990" s="1"/>
      <c r="AA11990" s="1"/>
      <c r="AB11990" s="1"/>
    </row>
    <row r="11991" ht="50.25" customHeight="1">
      <c r="A11991" s="12">
        <v>11987.0</v>
      </c>
      <c r="B11991" s="13" t="s">
        <v>11694</v>
      </c>
      <c r="C11991" s="14" t="s">
        <v>11833</v>
      </c>
      <c r="D11991" s="1"/>
      <c r="E11991" s="1"/>
      <c r="F11991" s="1" t="str">
        <f>IFERROR(__xludf.DUMMYFUNCTION("GOOGLETRANSLATE(B11991, ""en"", ""fa"")
"),"زندگی پایدار")</f>
        <v>زندگی پایدار</v>
      </c>
      <c r="G11991" s="1" t="str">
        <f>IFERROR(__xludf.DUMMYFUNCTION("GOOGLETRANSLATE(C11991, ""en"", ""fa"")
"),"در مورد تاثیرات زیست محیطی صنعت گوشت فکر کنید و جایگزین های پروتئین گیاهی را بررسی کنید.")</f>
        <v>در مورد تاثیرات زیست محیطی صنعت گوشت فکر کنید و جایگزین های پروتئین گیاهی را بررسی کنید.</v>
      </c>
      <c r="H11991" s="1"/>
      <c r="I11991" s="1"/>
      <c r="J11991" s="1"/>
      <c r="K11991" s="1"/>
      <c r="L11991" s="1"/>
      <c r="M11991" s="1"/>
      <c r="N11991" s="1"/>
      <c r="O11991" s="1"/>
      <c r="P11991" s="1"/>
      <c r="Q11991" s="1"/>
      <c r="R11991" s="1"/>
      <c r="S11991" s="1"/>
      <c r="T11991" s="1"/>
      <c r="U11991" s="1"/>
      <c r="V11991" s="1"/>
      <c r="W11991" s="1"/>
      <c r="X11991" s="1"/>
      <c r="Y11991" s="1"/>
      <c r="Z11991" s="1"/>
      <c r="AA11991" s="1"/>
      <c r="AB11991" s="1"/>
    </row>
    <row r="11992" ht="50.25" customHeight="1">
      <c r="A11992" s="12">
        <v>11988.0</v>
      </c>
      <c r="B11992" s="13" t="s">
        <v>11694</v>
      </c>
      <c r="C11992" s="14" t="s">
        <v>11834</v>
      </c>
      <c r="D11992" s="1"/>
      <c r="E11992" s="1"/>
      <c r="F11992" s="1" t="str">
        <f>IFERROR(__xludf.DUMMYFUNCTION("GOOGLETRANSLATE(B11992, ""en"", ""fa"")
"),"زندگی پایدار")</f>
        <v>زندگی پایدار</v>
      </c>
      <c r="G11992" s="1" t="str">
        <f>IFERROR(__xludf.DUMMYFUNCTION("GOOGLETRANSLATE(C11992, ""en"", ""fa"")
"),"از مشاغل و صنعتگران محلی پایدار در جامعه خود حمایت کنید.")</f>
        <v>از مشاغل و صنعتگران محلی پایدار در جامعه خود حمایت کنید.</v>
      </c>
      <c r="H11992" s="1"/>
      <c r="I11992" s="1"/>
      <c r="J11992" s="1"/>
      <c r="K11992" s="1"/>
      <c r="L11992" s="1"/>
      <c r="M11992" s="1"/>
      <c r="N11992" s="1"/>
      <c r="O11992" s="1"/>
      <c r="P11992" s="1"/>
      <c r="Q11992" s="1"/>
      <c r="R11992" s="1"/>
      <c r="S11992" s="1"/>
      <c r="T11992" s="1"/>
      <c r="U11992" s="1"/>
      <c r="V11992" s="1"/>
      <c r="W11992" s="1"/>
      <c r="X11992" s="1"/>
      <c r="Y11992" s="1"/>
      <c r="Z11992" s="1"/>
      <c r="AA11992" s="1"/>
      <c r="AB11992" s="1"/>
    </row>
    <row r="11993" ht="50.25" customHeight="1">
      <c r="A11993" s="12">
        <v>11989.0</v>
      </c>
      <c r="B11993" s="13" t="s">
        <v>11694</v>
      </c>
      <c r="C11993" s="14" t="s">
        <v>11835</v>
      </c>
      <c r="D11993" s="1"/>
      <c r="E11993" s="1"/>
      <c r="F11993" s="1" t="str">
        <f>IFERROR(__xludf.DUMMYFUNCTION("GOOGLETRANSLATE(B11993, ""en"", ""fa"")
"),"زندگی پایدار")</f>
        <v>زندگی پایدار</v>
      </c>
      <c r="G11993" s="1" t="str">
        <f>IFERROR(__xludf.DUMMYFUNCTION("GOOGLETRANSLATE(C11993, ""en"", ""fa"")
"),"خود را در مورد تأثیر مایل ها غذا آموزش دهید و در صورت امکان غذاهای تولید شده محلی را انتخاب کنید.")</f>
        <v>خود را در مورد تأثیر مایل ها غذا آموزش دهید و در صورت امکان غذاهای تولید شده محلی را انتخاب کنید.</v>
      </c>
      <c r="H11993" s="1"/>
      <c r="I11993" s="1"/>
      <c r="J11993" s="1"/>
      <c r="K11993" s="1"/>
      <c r="L11993" s="1"/>
      <c r="M11993" s="1"/>
      <c r="N11993" s="1"/>
      <c r="O11993" s="1"/>
      <c r="P11993" s="1"/>
      <c r="Q11993" s="1"/>
      <c r="R11993" s="1"/>
      <c r="S11993" s="1"/>
      <c r="T11993" s="1"/>
      <c r="U11993" s="1"/>
      <c r="V11993" s="1"/>
      <c r="W11993" s="1"/>
      <c r="X11993" s="1"/>
      <c r="Y11993" s="1"/>
      <c r="Z11993" s="1"/>
      <c r="AA11993" s="1"/>
      <c r="AB11993" s="1"/>
    </row>
    <row r="11994" ht="50.25" customHeight="1">
      <c r="A11994" s="12">
        <v>11990.0</v>
      </c>
      <c r="B11994" s="13" t="s">
        <v>11694</v>
      </c>
      <c r="C11994" s="14" t="s">
        <v>11836</v>
      </c>
      <c r="D11994" s="1"/>
      <c r="E11994" s="1"/>
      <c r="F11994" s="1" t="str">
        <f>IFERROR(__xludf.DUMMYFUNCTION("GOOGLETRANSLATE(B11994, ""en"", ""fa"")
"),"زندگی پایدار")</f>
        <v>زندگی پایدار</v>
      </c>
      <c r="G11994" s="1" t="str">
        <f>IFERROR(__xludf.DUMMYFUNCTION("GOOGLETRANSLATE(C11994, ""en"", ""fa"")
"),"مزایای معماری و طراحی پایدار برای ساختمان های مسکونی و تجاری را بررسی کنید.")</f>
        <v>مزایای معماری و طراحی پایدار برای ساختمان های مسکونی و تجاری را بررسی کنید.</v>
      </c>
      <c r="H11994" s="1"/>
      <c r="I11994" s="1"/>
      <c r="J11994" s="1"/>
      <c r="K11994" s="1"/>
      <c r="L11994" s="1"/>
      <c r="M11994" s="1"/>
      <c r="N11994" s="1"/>
      <c r="O11994" s="1"/>
      <c r="P11994" s="1"/>
      <c r="Q11994" s="1"/>
      <c r="R11994" s="1"/>
      <c r="S11994" s="1"/>
      <c r="T11994" s="1"/>
      <c r="U11994" s="1"/>
      <c r="V11994" s="1"/>
      <c r="W11994" s="1"/>
      <c r="X11994" s="1"/>
      <c r="Y11994" s="1"/>
      <c r="Z11994" s="1"/>
      <c r="AA11994" s="1"/>
      <c r="AB11994" s="1"/>
    </row>
    <row r="11995" ht="50.25" customHeight="1">
      <c r="A11995" s="12">
        <v>11991.0</v>
      </c>
      <c r="B11995" s="13" t="s">
        <v>11694</v>
      </c>
      <c r="C11995" s="14" t="s">
        <v>11837</v>
      </c>
      <c r="D11995" s="1"/>
      <c r="E11995" s="1"/>
      <c r="F11995" s="1" t="str">
        <f>IFERROR(__xludf.DUMMYFUNCTION("GOOGLETRANSLATE(B11995, ""en"", ""fa"")
"),"زندگی پایدار")</f>
        <v>زندگی پایدار</v>
      </c>
      <c r="G11995" s="1" t="str">
        <f>IFERROR(__xludf.DUMMYFUNCTION("GOOGLETRANSLATE(C11995, ""en"", ""fa"")
"),"یک ترموستات هوشمند قابل برنامه ریزی برای بهینه سازی مصرف انرژی در خانه خود نصب کنید.")</f>
        <v>یک ترموستات هوشمند قابل برنامه ریزی برای بهینه سازی مصرف انرژی در خانه خود نصب کنید.</v>
      </c>
      <c r="H11995" s="1"/>
      <c r="I11995" s="1"/>
      <c r="J11995" s="1"/>
      <c r="K11995" s="1"/>
      <c r="L11995" s="1"/>
      <c r="M11995" s="1"/>
      <c r="N11995" s="1"/>
      <c r="O11995" s="1"/>
      <c r="P11995" s="1"/>
      <c r="Q11995" s="1"/>
      <c r="R11995" s="1"/>
      <c r="S11995" s="1"/>
      <c r="T11995" s="1"/>
      <c r="U11995" s="1"/>
      <c r="V11995" s="1"/>
      <c r="W11995" s="1"/>
      <c r="X11995" s="1"/>
      <c r="Y11995" s="1"/>
      <c r="Z11995" s="1"/>
      <c r="AA11995" s="1"/>
      <c r="AB11995" s="1"/>
    </row>
    <row r="11996" ht="50.25" customHeight="1">
      <c r="A11996" s="12">
        <v>11992.0</v>
      </c>
      <c r="B11996" s="13" t="s">
        <v>11694</v>
      </c>
      <c r="C11996" s="14" t="s">
        <v>11838</v>
      </c>
      <c r="D11996" s="1"/>
      <c r="E11996" s="1"/>
      <c r="F11996" s="1" t="str">
        <f>IFERROR(__xludf.DUMMYFUNCTION("GOOGLETRANSLATE(B11996, ""en"", ""fa"")
"),"زندگی پایدار")</f>
        <v>زندگی پایدار</v>
      </c>
      <c r="G11996" s="1" t="str">
        <f>IFERROR(__xludf.DUMMYFUNCTION("GOOGLETRANSLATE(C11996, ""en"", ""fa"")
"),"در مورد اثرات زیست محیطی زباله های الکترونیکی فکر کنید و بازیافت وسایل الکترونیکی قدیمی را به درستی در نظر بگیرید.")</f>
        <v>در مورد اثرات زیست محیطی زباله های الکترونیکی فکر کنید و بازیافت وسایل الکترونیکی قدیمی را به درستی در نظر بگیرید.</v>
      </c>
      <c r="H11996" s="1"/>
      <c r="I11996" s="1"/>
      <c r="J11996" s="1"/>
      <c r="K11996" s="1"/>
      <c r="L11996" s="1"/>
      <c r="M11996" s="1"/>
      <c r="N11996" s="1"/>
      <c r="O11996" s="1"/>
      <c r="P11996" s="1"/>
      <c r="Q11996" s="1"/>
      <c r="R11996" s="1"/>
      <c r="S11996" s="1"/>
      <c r="T11996" s="1"/>
      <c r="U11996" s="1"/>
      <c r="V11996" s="1"/>
      <c r="W11996" s="1"/>
      <c r="X11996" s="1"/>
      <c r="Y11996" s="1"/>
      <c r="Z11996" s="1"/>
      <c r="AA11996" s="1"/>
      <c r="AB11996" s="1"/>
    </row>
    <row r="11997" ht="50.25" customHeight="1">
      <c r="A11997" s="12">
        <v>11993.0</v>
      </c>
      <c r="B11997" s="13" t="s">
        <v>11694</v>
      </c>
      <c r="C11997" s="14" t="s">
        <v>11839</v>
      </c>
      <c r="D11997" s="1"/>
      <c r="E11997" s="1"/>
      <c r="F11997" s="1" t="str">
        <f>IFERROR(__xludf.DUMMYFUNCTION("GOOGLETRANSLATE(B11997, ""en"", ""fa"")
"),"زندگی پایدار")</f>
        <v>زندگی پایدار</v>
      </c>
      <c r="G11997" s="1" t="str">
        <f>IFERROR(__xludf.DUMMYFUNCTION("GOOGLETRANSLATE(C11997, ""en"", ""fa"")
"),"حمایت از طرح‌های زیرساختی انرژی‌های تجدیدپذیر، مانند مزارع خورشیدی و بادی.")</f>
        <v>حمایت از طرح‌های زیرساختی انرژی‌های تجدیدپذیر، مانند مزارع خورشیدی و بادی.</v>
      </c>
      <c r="H11997" s="1"/>
      <c r="I11997" s="1"/>
      <c r="J11997" s="1"/>
      <c r="K11997" s="1"/>
      <c r="L11997" s="1"/>
      <c r="M11997" s="1"/>
      <c r="N11997" s="1"/>
      <c r="O11997" s="1"/>
      <c r="P11997" s="1"/>
      <c r="Q11997" s="1"/>
      <c r="R11997" s="1"/>
      <c r="S11997" s="1"/>
      <c r="T11997" s="1"/>
      <c r="U11997" s="1"/>
      <c r="V11997" s="1"/>
      <c r="W11997" s="1"/>
      <c r="X11997" s="1"/>
      <c r="Y11997" s="1"/>
      <c r="Z11997" s="1"/>
      <c r="AA11997" s="1"/>
      <c r="AB11997" s="1"/>
    </row>
    <row r="11998" ht="50.25" customHeight="1">
      <c r="A11998" s="12">
        <v>11994.0</v>
      </c>
      <c r="B11998" s="13" t="s">
        <v>11694</v>
      </c>
      <c r="C11998" s="14" t="s">
        <v>11840</v>
      </c>
      <c r="D11998" s="1"/>
      <c r="E11998" s="1"/>
      <c r="F11998" s="1" t="str">
        <f>IFERROR(__xludf.DUMMYFUNCTION("GOOGLETRANSLATE(B11998, ""en"", ""fa"")
"),"زندگی پایدار")</f>
        <v>زندگی پایدار</v>
      </c>
      <c r="G11998" s="1" t="str">
        <f>IFERROR(__xludf.DUMMYFUNCTION("GOOGLETRANSLATE(C11998, ""en"", ""fa"")
"),"خود را در مورد شیوه های جنگلداری پایدار آموزش دهید و از محصولاتی که از چوبی مسئولانه تهیه شده اند حمایت کنید.")</f>
        <v>خود را در مورد شیوه های جنگلداری پایدار آموزش دهید و از محصولاتی که از چوبی مسئولانه تهیه شده اند حمایت کنید.</v>
      </c>
      <c r="H11998" s="1"/>
      <c r="I11998" s="1"/>
      <c r="J11998" s="1"/>
      <c r="K11998" s="1"/>
      <c r="L11998" s="1"/>
      <c r="M11998" s="1"/>
      <c r="N11998" s="1"/>
      <c r="O11998" s="1"/>
      <c r="P11998" s="1"/>
      <c r="Q11998" s="1"/>
      <c r="R11998" s="1"/>
      <c r="S11998" s="1"/>
      <c r="T11998" s="1"/>
      <c r="U11998" s="1"/>
      <c r="V11998" s="1"/>
      <c r="W11998" s="1"/>
      <c r="X11998" s="1"/>
      <c r="Y11998" s="1"/>
      <c r="Z11998" s="1"/>
      <c r="AA11998" s="1"/>
      <c r="AB11998" s="1"/>
    </row>
    <row r="11999" ht="50.25" customHeight="1">
      <c r="A11999" s="12">
        <v>11995.0</v>
      </c>
      <c r="B11999" s="13" t="s">
        <v>11694</v>
      </c>
      <c r="C11999" s="14" t="s">
        <v>11774</v>
      </c>
      <c r="D11999" s="1"/>
      <c r="E11999" s="1"/>
      <c r="F11999" s="1" t="str">
        <f>IFERROR(__xludf.DUMMYFUNCTION("GOOGLETRANSLATE(B11999, ""en"", ""fa"")
"),"زندگی پایدار")</f>
        <v>زندگی پایدار</v>
      </c>
      <c r="G11999" s="1" t="str">
        <f>IFERROR(__xludf.DUMMYFUNCTION("GOOGLETRANSLATE(C11999, ""en"", ""fa"")
"),"برای کاهش مصرف برق، لوازم برقی و لوازم الکترونیکی کم مصرف را انتخاب کنید.")</f>
        <v>برای کاهش مصرف برق، لوازم برقی و لوازم الکترونیکی کم مصرف را انتخاب کنید.</v>
      </c>
      <c r="H11999" s="1"/>
      <c r="I11999" s="1"/>
      <c r="J11999" s="1"/>
      <c r="K11999" s="1"/>
      <c r="L11999" s="1"/>
      <c r="M11999" s="1"/>
      <c r="N11999" s="1"/>
      <c r="O11999" s="1"/>
      <c r="P11999" s="1"/>
      <c r="Q11999" s="1"/>
      <c r="R11999" s="1"/>
      <c r="S11999" s="1"/>
      <c r="T11999" s="1"/>
      <c r="U11999" s="1"/>
      <c r="V11999" s="1"/>
      <c r="W11999" s="1"/>
      <c r="X11999" s="1"/>
      <c r="Y11999" s="1"/>
      <c r="Z11999" s="1"/>
      <c r="AA11999" s="1"/>
      <c r="AB11999" s="1"/>
    </row>
    <row r="12000" ht="50.25" customHeight="1">
      <c r="A12000" s="12">
        <v>11996.0</v>
      </c>
      <c r="B12000" s="13" t="s">
        <v>11694</v>
      </c>
      <c r="C12000" s="14" t="s">
        <v>11841</v>
      </c>
      <c r="D12000" s="1"/>
      <c r="E12000" s="1"/>
      <c r="F12000" s="1" t="str">
        <f>IFERROR(__xludf.DUMMYFUNCTION("GOOGLETRANSLATE(B12000, ""en"", ""fa"")
"),"زندگی پایدار")</f>
        <v>زندگی پایدار</v>
      </c>
      <c r="G12000" s="1" t="str">
        <f>IFERROR(__xludf.DUMMYFUNCTION("GOOGLETRANSLATE(C12000, ""en"", ""fa"")
"),"به عادت های حمل و نقل خود فکر کنید و گزینه های اشتراک گذاری خودرو یا سواری را برای کاهش انتشار گازهای گلخانه ای بررسی کنید.")</f>
        <v>به عادت های حمل و نقل خود فکر کنید و گزینه های اشتراک گذاری خودرو یا سواری را برای کاهش انتشار گازهای گلخانه ای بررسی کنید.</v>
      </c>
      <c r="H12000" s="1"/>
      <c r="I12000" s="1"/>
      <c r="J12000" s="1"/>
      <c r="K12000" s="1"/>
      <c r="L12000" s="1"/>
      <c r="M12000" s="1"/>
      <c r="N12000" s="1"/>
      <c r="O12000" s="1"/>
      <c r="P12000" s="1"/>
      <c r="Q12000" s="1"/>
      <c r="R12000" s="1"/>
      <c r="S12000" s="1"/>
      <c r="T12000" s="1"/>
      <c r="U12000" s="1"/>
      <c r="V12000" s="1"/>
      <c r="W12000" s="1"/>
      <c r="X12000" s="1"/>
      <c r="Y12000" s="1"/>
      <c r="Z12000" s="1"/>
      <c r="AA12000" s="1"/>
      <c r="AB12000" s="1"/>
    </row>
    <row r="12001" ht="50.25" customHeight="1">
      <c r="A12001" s="12">
        <v>11997.0</v>
      </c>
      <c r="B12001" s="13" t="s">
        <v>11694</v>
      </c>
      <c r="C12001" s="14" t="s">
        <v>11842</v>
      </c>
      <c r="D12001" s="1"/>
      <c r="E12001" s="1"/>
      <c r="F12001" s="1" t="str">
        <f>IFERROR(__xludf.DUMMYFUNCTION("GOOGLETRANSLATE(B12001, ""en"", ""fa"")
"),"زندگی پایدار")</f>
        <v>زندگی پایدار</v>
      </c>
      <c r="G12001" s="1" t="str">
        <f>IFERROR(__xludf.DUMMYFUNCTION("GOOGLETRANSLATE(C12001, ""en"", ""fa"")
"),"از محصولات پاک کننده سازگار با محیط زیست که از مواد طبیعی و زیست تخریب پذیر استفاده می کنند حمایت کنید.")</f>
        <v>از محصولات پاک کننده سازگار با محیط زیست که از مواد طبیعی و زیست تخریب پذیر استفاده می کنند حمایت کنید.</v>
      </c>
      <c r="H12001" s="1"/>
      <c r="I12001" s="1"/>
      <c r="J12001" s="1"/>
      <c r="K12001" s="1"/>
      <c r="L12001" s="1"/>
      <c r="M12001" s="1"/>
      <c r="N12001" s="1"/>
      <c r="O12001" s="1"/>
      <c r="P12001" s="1"/>
      <c r="Q12001" s="1"/>
      <c r="R12001" s="1"/>
      <c r="S12001" s="1"/>
      <c r="T12001" s="1"/>
      <c r="U12001" s="1"/>
      <c r="V12001" s="1"/>
      <c r="W12001" s="1"/>
      <c r="X12001" s="1"/>
      <c r="Y12001" s="1"/>
      <c r="Z12001" s="1"/>
      <c r="AA12001" s="1"/>
      <c r="AB12001" s="1"/>
    </row>
    <row r="12002" ht="50.25" customHeight="1">
      <c r="A12002" s="12">
        <v>11998.0</v>
      </c>
      <c r="B12002" s="13" t="s">
        <v>11694</v>
      </c>
      <c r="C12002" s="14" t="s">
        <v>11819</v>
      </c>
      <c r="D12002" s="1"/>
      <c r="E12002" s="1"/>
      <c r="F12002" s="1" t="str">
        <f>IFERROR(__xludf.DUMMYFUNCTION("GOOGLETRANSLATE(B12002, ""en"", ""fa"")
"),"زندگی پایدار")</f>
        <v>زندگی پایدار</v>
      </c>
      <c r="G12002" s="1" t="str">
        <f>IFERROR(__xludf.DUMMYFUNCTION("GOOGLETRANSLATE(C12002, ""en"", ""fa"")
"),"خود را در مورد تأثیر پلاستیک های یکبار مصرف بر زندگی دریایی و اقیانوس ها آموزش دهید و اقداماتی را برای کاهش استفاده از پلاستیک انجام دهید.")</f>
        <v>خود را در مورد تأثیر پلاستیک های یکبار مصرف بر زندگی دریایی و اقیانوس ها آموزش دهید و اقداماتی را برای کاهش استفاده از پلاستیک انجام دهید.</v>
      </c>
      <c r="H12002" s="1"/>
      <c r="I12002" s="1"/>
      <c r="J12002" s="1"/>
      <c r="K12002" s="1"/>
      <c r="L12002" s="1"/>
      <c r="M12002" s="1"/>
      <c r="N12002" s="1"/>
      <c r="O12002" s="1"/>
      <c r="P12002" s="1"/>
      <c r="Q12002" s="1"/>
      <c r="R12002" s="1"/>
      <c r="S12002" s="1"/>
      <c r="T12002" s="1"/>
      <c r="U12002" s="1"/>
      <c r="V12002" s="1"/>
      <c r="W12002" s="1"/>
      <c r="X12002" s="1"/>
      <c r="Y12002" s="1"/>
      <c r="Z12002" s="1"/>
      <c r="AA12002" s="1"/>
      <c r="AB12002" s="1"/>
    </row>
    <row r="12003" ht="50.25" customHeight="1">
      <c r="A12003" s="12">
        <v>11999.0</v>
      </c>
      <c r="B12003" s="13" t="s">
        <v>11694</v>
      </c>
      <c r="C12003" s="14" t="s">
        <v>11825</v>
      </c>
      <c r="D12003" s="1"/>
      <c r="E12003" s="1"/>
      <c r="F12003" s="1" t="str">
        <f>IFERROR(__xludf.DUMMYFUNCTION("GOOGLETRANSLATE(B12003, ""en"", ""fa"")
"),"زندگی پایدار")</f>
        <v>زندگی پایدار</v>
      </c>
      <c r="G12003" s="1" t="str">
        <f>IFERROR(__xludf.DUMMYFUNCTION("GOOGLETRANSLATE(C12003, ""en"", ""fa"")
"),"برای کاهش مصرف آب بطری و به حداقل رساندن ضایعات پلاستیکی، فیلتر آب نصب کنید.")</f>
        <v>برای کاهش مصرف آب بطری و به حداقل رساندن ضایعات پلاستیکی، فیلتر آب نصب کنید.</v>
      </c>
      <c r="H12003" s="1"/>
      <c r="I12003" s="1"/>
      <c r="J12003" s="1"/>
      <c r="K12003" s="1"/>
      <c r="L12003" s="1"/>
      <c r="M12003" s="1"/>
      <c r="N12003" s="1"/>
      <c r="O12003" s="1"/>
      <c r="P12003" s="1"/>
      <c r="Q12003" s="1"/>
      <c r="R12003" s="1"/>
      <c r="S12003" s="1"/>
      <c r="T12003" s="1"/>
      <c r="U12003" s="1"/>
      <c r="V12003" s="1"/>
      <c r="W12003" s="1"/>
      <c r="X12003" s="1"/>
      <c r="Y12003" s="1"/>
      <c r="Z12003" s="1"/>
      <c r="AA12003" s="1"/>
      <c r="AB12003" s="1"/>
    </row>
    <row r="12004" ht="50.25" customHeight="1">
      <c r="A12004" s="12">
        <v>12000.0</v>
      </c>
      <c r="B12004" s="13" t="s">
        <v>11694</v>
      </c>
      <c r="C12004" s="14" t="s">
        <v>11826</v>
      </c>
      <c r="D12004" s="1"/>
      <c r="E12004" s="1"/>
      <c r="F12004" s="1" t="str">
        <f>IFERROR(__xludf.DUMMYFUNCTION("GOOGLETRANSLATE(B12004, ""en"", ""fa"")
"),"زندگی پایدار")</f>
        <v>زندگی پایدار</v>
      </c>
      <c r="G12004" s="1" t="str">
        <f>IFERROR(__xludf.DUMMYFUNCTION("GOOGLETRANSLATE(C12004, ""en"", ""fa"")
"),"در پروژه های باغبانی اجتماعی شرکت کنید یا یکی را در محله خود شروع کنید.")</f>
        <v>در پروژه های باغبانی اجتماعی شرکت کنید یا یکی را در محله خود شروع کنید.</v>
      </c>
      <c r="H12004" s="1"/>
      <c r="I12004" s="1"/>
      <c r="J12004" s="1"/>
      <c r="K12004" s="1"/>
      <c r="L12004" s="1"/>
      <c r="M12004" s="1"/>
      <c r="N12004" s="1"/>
      <c r="O12004" s="1"/>
      <c r="P12004" s="1"/>
      <c r="Q12004" s="1"/>
      <c r="R12004" s="1"/>
      <c r="S12004" s="1"/>
      <c r="T12004" s="1"/>
      <c r="U12004" s="1"/>
      <c r="V12004" s="1"/>
      <c r="W12004" s="1"/>
      <c r="X12004" s="1"/>
      <c r="Y12004" s="1"/>
      <c r="Z12004" s="1"/>
      <c r="AA12004" s="1"/>
      <c r="AB12004" s="1"/>
    </row>
    <row r="12005" ht="50.25" customHeight="1">
      <c r="A12005" s="12">
        <v>12001.0</v>
      </c>
      <c r="B12005" s="13" t="s">
        <v>11694</v>
      </c>
      <c r="C12005" s="14" t="s">
        <v>11827</v>
      </c>
      <c r="D12005" s="1"/>
      <c r="E12005" s="1"/>
      <c r="F12005" s="1" t="str">
        <f>IFERROR(__xludf.DUMMYFUNCTION("GOOGLETRANSLATE(B12005, ""en"", ""fa"")
"),"زندگی پایدار")</f>
        <v>زندگی پایدار</v>
      </c>
      <c r="G12005" s="1" t="str">
        <f>IFERROR(__xludf.DUMMYFUNCTION("GOOGLETRANSLATE(C12005, ""en"", ""fa"")
"),"جایگزین‌های پایدار برای محصولات خانگی، مانند کیسه‌های زباله زیست تخریب‌پذیر و بسته‌بندی‌های غذایی قابل استفاده مجدد را جستجو کنید.")</f>
        <v>جایگزین‌های پایدار برای محصولات خانگی، مانند کیسه‌های زباله زیست تخریب‌پذیر و بسته‌بندی‌های غذایی قابل استفاده مجدد را جستجو کنید.</v>
      </c>
      <c r="H12005" s="1"/>
      <c r="I12005" s="1"/>
      <c r="J12005" s="1"/>
      <c r="K12005" s="1"/>
      <c r="L12005" s="1"/>
      <c r="M12005" s="1"/>
      <c r="N12005" s="1"/>
      <c r="O12005" s="1"/>
      <c r="P12005" s="1"/>
      <c r="Q12005" s="1"/>
      <c r="R12005" s="1"/>
      <c r="S12005" s="1"/>
      <c r="T12005" s="1"/>
      <c r="U12005" s="1"/>
      <c r="V12005" s="1"/>
      <c r="W12005" s="1"/>
      <c r="X12005" s="1"/>
      <c r="Y12005" s="1"/>
      <c r="Z12005" s="1"/>
      <c r="AA12005" s="1"/>
      <c r="AB12005" s="1"/>
    </row>
    <row r="12006" ht="50.25" customHeight="1">
      <c r="A12006" s="12">
        <v>12002.0</v>
      </c>
      <c r="B12006" s="13" t="s">
        <v>11694</v>
      </c>
      <c r="C12006" s="14" t="s">
        <v>11828</v>
      </c>
      <c r="D12006" s="1"/>
      <c r="E12006" s="1"/>
      <c r="F12006" s="1" t="str">
        <f>IFERROR(__xludf.DUMMYFUNCTION("GOOGLETRANSLATE(B12006, ""en"", ""fa"")
"),"زندگی پایدار")</f>
        <v>زندگی پایدار</v>
      </c>
      <c r="G12006" s="1" t="str">
        <f>IFERROR(__xludf.DUMMYFUNCTION("GOOGLETRANSLATE(C12006, ""en"", ""fa"")
"),"تأثیرات زیست محیطی محصولاتی که استفاده می کنید را در نظر بگیرید و قبل از دور انداختن اقلام، آنها را تعمیر یا تغییر کاربری دهید.")</f>
        <v>تأثیرات زیست محیطی محصولاتی که استفاده می کنید را در نظر بگیرید و قبل از دور انداختن اقلام، آنها را تعمیر یا تغییر کاربری دهید.</v>
      </c>
      <c r="H12006" s="1"/>
      <c r="I12006" s="1"/>
      <c r="J12006" s="1"/>
      <c r="K12006" s="1"/>
      <c r="L12006" s="1"/>
      <c r="M12006" s="1"/>
      <c r="N12006" s="1"/>
      <c r="O12006" s="1"/>
      <c r="P12006" s="1"/>
      <c r="Q12006" s="1"/>
      <c r="R12006" s="1"/>
      <c r="S12006" s="1"/>
      <c r="T12006" s="1"/>
      <c r="U12006" s="1"/>
      <c r="V12006" s="1"/>
      <c r="W12006" s="1"/>
      <c r="X12006" s="1"/>
      <c r="Y12006" s="1"/>
      <c r="Z12006" s="1"/>
      <c r="AA12006" s="1"/>
      <c r="AB12006" s="1"/>
    </row>
    <row r="12007" ht="50.25" customHeight="1">
      <c r="A12007" s="12">
        <v>12003.0</v>
      </c>
      <c r="B12007" s="13" t="s">
        <v>11694</v>
      </c>
      <c r="C12007" s="14" t="s">
        <v>11829</v>
      </c>
      <c r="D12007" s="1"/>
      <c r="E12007" s="1"/>
      <c r="F12007" s="1" t="str">
        <f>IFERROR(__xludf.DUMMYFUNCTION("GOOGLETRANSLATE(B12007, ""en"", ""fa"")
"),"زندگی پایدار")</f>
        <v>زندگی پایدار</v>
      </c>
      <c r="G12007" s="1" t="str">
        <f>IFERROR(__xludf.DUMMYFUNCTION("GOOGLETRANSLATE(C12007, ""en"", ""fa"")
"),"حمایت از طرح‌های تحقیق و توسعه انرژی‌های تجدیدپذیر.")</f>
        <v>حمایت از طرح‌های تحقیق و توسعه انرژی‌های تجدیدپذیر.</v>
      </c>
      <c r="H12007" s="1"/>
      <c r="I12007" s="1"/>
      <c r="J12007" s="1"/>
      <c r="K12007" s="1"/>
      <c r="L12007" s="1"/>
      <c r="M12007" s="1"/>
      <c r="N12007" s="1"/>
      <c r="O12007" s="1"/>
      <c r="P12007" s="1"/>
      <c r="Q12007" s="1"/>
      <c r="R12007" s="1"/>
      <c r="S12007" s="1"/>
      <c r="T12007" s="1"/>
      <c r="U12007" s="1"/>
      <c r="V12007" s="1"/>
      <c r="W12007" s="1"/>
      <c r="X12007" s="1"/>
      <c r="Y12007" s="1"/>
      <c r="Z12007" s="1"/>
      <c r="AA12007" s="1"/>
      <c r="AB12007" s="1"/>
    </row>
    <row r="12008" ht="50.25" customHeight="1">
      <c r="A12008" s="12">
        <v>12004.0</v>
      </c>
      <c r="B12008" s="13" t="s">
        <v>11694</v>
      </c>
      <c r="C12008" s="14" t="s">
        <v>11830</v>
      </c>
      <c r="D12008" s="1"/>
      <c r="E12008" s="1"/>
      <c r="F12008" s="1" t="str">
        <f>IFERROR(__xludf.DUMMYFUNCTION("GOOGLETRANSLATE(B12008, ""en"", ""fa"")
"),"زندگی پایدار")</f>
        <v>زندگی پایدار</v>
      </c>
      <c r="G12008" s="1" t="str">
        <f>IFERROR(__xludf.DUMMYFUNCTION("GOOGLETRANSLATE(C12008, ""en"", ""fa"")
"),"خود را در مورد اهمیت تنوع زیستی و راه های حفاظت از اکوسیستم های محلی آموزش دهید.")</f>
        <v>خود را در مورد اهمیت تنوع زیستی و راه های حفاظت از اکوسیستم های محلی آموزش دهید.</v>
      </c>
      <c r="H12008" s="1"/>
      <c r="I12008" s="1"/>
      <c r="J12008" s="1"/>
      <c r="K12008" s="1"/>
      <c r="L12008" s="1"/>
      <c r="M12008" s="1"/>
      <c r="N12008" s="1"/>
      <c r="O12008" s="1"/>
      <c r="P12008" s="1"/>
      <c r="Q12008" s="1"/>
      <c r="R12008" s="1"/>
      <c r="S12008" s="1"/>
      <c r="T12008" s="1"/>
      <c r="U12008" s="1"/>
      <c r="V12008" s="1"/>
      <c r="W12008" s="1"/>
      <c r="X12008" s="1"/>
      <c r="Y12008" s="1"/>
      <c r="Z12008" s="1"/>
      <c r="AA12008" s="1"/>
      <c r="AB12008" s="1"/>
    </row>
    <row r="12009" ht="50.25" customHeight="1">
      <c r="A12009" s="12">
        <v>12005.0</v>
      </c>
      <c r="B12009" s="13" t="s">
        <v>11694</v>
      </c>
      <c r="C12009" s="14" t="s">
        <v>11831</v>
      </c>
      <c r="D12009" s="1"/>
      <c r="E12009" s="1"/>
      <c r="F12009" s="1" t="str">
        <f>IFERROR(__xludf.DUMMYFUNCTION("GOOGLETRANSLATE(B12009, ""en"", ""fa"")
"),"زندگی پایدار")</f>
        <v>زندگی پایدار</v>
      </c>
      <c r="G12009" s="1" t="str">
        <f>IFERROR(__xludf.DUMMYFUNCTION("GOOGLETRANSLATE(C12009, ""en"", ""fa"")
"),"مزایای وسایل برقی و نورپردازی کارآمد مانند لامپ های LED را بررسی کنید.")</f>
        <v>مزایای وسایل برقی و نورپردازی کارآمد مانند لامپ های LED را بررسی کنید.</v>
      </c>
      <c r="H12009" s="1"/>
      <c r="I12009" s="1"/>
      <c r="J12009" s="1"/>
      <c r="K12009" s="1"/>
      <c r="L12009" s="1"/>
      <c r="M12009" s="1"/>
      <c r="N12009" s="1"/>
      <c r="O12009" s="1"/>
      <c r="P12009" s="1"/>
      <c r="Q12009" s="1"/>
      <c r="R12009" s="1"/>
      <c r="S12009" s="1"/>
      <c r="T12009" s="1"/>
      <c r="U12009" s="1"/>
      <c r="V12009" s="1"/>
      <c r="W12009" s="1"/>
      <c r="X12009" s="1"/>
      <c r="Y12009" s="1"/>
      <c r="Z12009" s="1"/>
      <c r="AA12009" s="1"/>
      <c r="AB12009" s="1"/>
    </row>
    <row r="12010" ht="50.25" customHeight="1">
      <c r="A12010" s="12">
        <v>12006.0</v>
      </c>
      <c r="B12010" s="13" t="s">
        <v>11694</v>
      </c>
      <c r="C12010" s="14" t="s">
        <v>11832</v>
      </c>
      <c r="D12010" s="1"/>
      <c r="E12010" s="1"/>
      <c r="F12010" s="1" t="str">
        <f>IFERROR(__xludf.DUMMYFUNCTION("GOOGLETRANSLATE(B12010, ""en"", ""fa"")
"),"زندگی پایدار")</f>
        <v>زندگی پایدار</v>
      </c>
      <c r="G12010" s="1" t="str">
        <f>IFERROR(__xludf.DUMMYFUNCTION("GOOGLETRANSLATE(C12010, ""en"", ""fa"")
"),"یک سیستم جمع آوری آب باران برای جمع آوری آب برای استفاده در فضای باز نصب کنید.")</f>
        <v>یک سیستم جمع آوری آب باران برای جمع آوری آب برای استفاده در فضای باز نصب کنید.</v>
      </c>
      <c r="H12010" s="1"/>
      <c r="I12010" s="1"/>
      <c r="J12010" s="1"/>
      <c r="K12010" s="1"/>
      <c r="L12010" s="1"/>
      <c r="M12010" s="1"/>
      <c r="N12010" s="1"/>
      <c r="O12010" s="1"/>
      <c r="P12010" s="1"/>
      <c r="Q12010" s="1"/>
      <c r="R12010" s="1"/>
      <c r="S12010" s="1"/>
      <c r="T12010" s="1"/>
      <c r="U12010" s="1"/>
      <c r="V12010" s="1"/>
      <c r="W12010" s="1"/>
      <c r="X12010" s="1"/>
      <c r="Y12010" s="1"/>
      <c r="Z12010" s="1"/>
      <c r="AA12010" s="1"/>
      <c r="AB12010" s="1"/>
    </row>
    <row r="12011" ht="50.25" customHeight="1">
      <c r="A12011" s="12">
        <v>12007.0</v>
      </c>
      <c r="B12011" s="13" t="s">
        <v>11694</v>
      </c>
      <c r="C12011" s="14" t="s">
        <v>11833</v>
      </c>
      <c r="D12011" s="1"/>
      <c r="E12011" s="1"/>
      <c r="F12011" s="1" t="str">
        <f>IFERROR(__xludf.DUMMYFUNCTION("GOOGLETRANSLATE(B12011, ""en"", ""fa"")
"),"زندگی پایدار")</f>
        <v>زندگی پایدار</v>
      </c>
      <c r="G12011" s="1" t="str">
        <f>IFERROR(__xludf.DUMMYFUNCTION("GOOGLETRANSLATE(C12011, ""en"", ""fa"")
"),"در مورد تاثیرات زیست محیطی صنعت گوشت فکر کنید و جایگزین های پروتئین گیاهی را بررسی کنید.")</f>
        <v>در مورد تاثیرات زیست محیطی صنعت گوشت فکر کنید و جایگزین های پروتئین گیاهی را بررسی کنید.</v>
      </c>
      <c r="H12011" s="1"/>
      <c r="I12011" s="1"/>
      <c r="J12011" s="1"/>
      <c r="K12011" s="1"/>
      <c r="L12011" s="1"/>
      <c r="M12011" s="1"/>
      <c r="N12011" s="1"/>
      <c r="O12011" s="1"/>
      <c r="P12011" s="1"/>
      <c r="Q12011" s="1"/>
      <c r="R12011" s="1"/>
      <c r="S12011" s="1"/>
      <c r="T12011" s="1"/>
      <c r="U12011" s="1"/>
      <c r="V12011" s="1"/>
      <c r="W12011" s="1"/>
      <c r="X12011" s="1"/>
      <c r="Y12011" s="1"/>
      <c r="Z12011" s="1"/>
      <c r="AA12011" s="1"/>
      <c r="AB12011" s="1"/>
    </row>
    <row r="12012" ht="50.25" customHeight="1">
      <c r="A12012" s="12">
        <v>12008.0</v>
      </c>
      <c r="B12012" s="13" t="s">
        <v>11694</v>
      </c>
      <c r="C12012" s="14" t="s">
        <v>11834</v>
      </c>
      <c r="D12012" s="1"/>
      <c r="E12012" s="1"/>
      <c r="F12012" s="1" t="str">
        <f>IFERROR(__xludf.DUMMYFUNCTION("GOOGLETRANSLATE(B12012, ""en"", ""fa"")
"),"زندگی پایدار")</f>
        <v>زندگی پایدار</v>
      </c>
      <c r="G12012" s="1" t="str">
        <f>IFERROR(__xludf.DUMMYFUNCTION("GOOGLETRANSLATE(C12012, ""en"", ""fa"")
"),"از مشاغل و صنعتگران محلی پایدار در جامعه خود حمایت کنید.")</f>
        <v>از مشاغل و صنعتگران محلی پایدار در جامعه خود حمایت کنید.</v>
      </c>
      <c r="H12012" s="1"/>
      <c r="I12012" s="1"/>
      <c r="J12012" s="1"/>
      <c r="K12012" s="1"/>
      <c r="L12012" s="1"/>
      <c r="M12012" s="1"/>
      <c r="N12012" s="1"/>
      <c r="O12012" s="1"/>
      <c r="P12012" s="1"/>
      <c r="Q12012" s="1"/>
      <c r="R12012" s="1"/>
      <c r="S12012" s="1"/>
      <c r="T12012" s="1"/>
      <c r="U12012" s="1"/>
      <c r="V12012" s="1"/>
      <c r="W12012" s="1"/>
      <c r="X12012" s="1"/>
      <c r="Y12012" s="1"/>
      <c r="Z12012" s="1"/>
      <c r="AA12012" s="1"/>
      <c r="AB12012" s="1"/>
    </row>
    <row r="12013" ht="50.25" customHeight="1">
      <c r="A12013" s="12">
        <v>12009.0</v>
      </c>
      <c r="B12013" s="13" t="s">
        <v>11694</v>
      </c>
      <c r="C12013" s="14" t="s">
        <v>11835</v>
      </c>
      <c r="D12013" s="1"/>
      <c r="E12013" s="1"/>
      <c r="F12013" s="1" t="str">
        <f>IFERROR(__xludf.DUMMYFUNCTION("GOOGLETRANSLATE(B12013, ""en"", ""fa"")
"),"زندگی پایدار")</f>
        <v>زندگی پایدار</v>
      </c>
      <c r="G12013" s="1" t="str">
        <f>IFERROR(__xludf.DUMMYFUNCTION("GOOGLETRANSLATE(C12013, ""en"", ""fa"")
"),"خود را در مورد تأثیر مایل ها غذا آموزش دهید و در صورت امکان غذاهای تولید شده محلی را انتخاب کنید.")</f>
        <v>خود را در مورد تأثیر مایل ها غذا آموزش دهید و در صورت امکان غذاهای تولید شده محلی را انتخاب کنید.</v>
      </c>
      <c r="H12013" s="1"/>
      <c r="I12013" s="1"/>
      <c r="J12013" s="1"/>
      <c r="K12013" s="1"/>
      <c r="L12013" s="1"/>
      <c r="M12013" s="1"/>
      <c r="N12013" s="1"/>
      <c r="O12013" s="1"/>
      <c r="P12013" s="1"/>
      <c r="Q12013" s="1"/>
      <c r="R12013" s="1"/>
      <c r="S12013" s="1"/>
      <c r="T12013" s="1"/>
      <c r="U12013" s="1"/>
      <c r="V12013" s="1"/>
      <c r="W12013" s="1"/>
      <c r="X12013" s="1"/>
      <c r="Y12013" s="1"/>
      <c r="Z12013" s="1"/>
      <c r="AA12013" s="1"/>
      <c r="AB12013" s="1"/>
    </row>
    <row r="12014" ht="50.25" customHeight="1">
      <c r="A12014" s="12">
        <v>12010.0</v>
      </c>
      <c r="B12014" s="13" t="s">
        <v>11694</v>
      </c>
      <c r="C12014" s="14" t="s">
        <v>11836</v>
      </c>
      <c r="D12014" s="1"/>
      <c r="E12014" s="1"/>
      <c r="F12014" s="1" t="str">
        <f>IFERROR(__xludf.DUMMYFUNCTION("GOOGLETRANSLATE(B12014, ""en"", ""fa"")
"),"زندگی پایدار")</f>
        <v>زندگی پایدار</v>
      </c>
      <c r="G12014" s="1" t="str">
        <f>IFERROR(__xludf.DUMMYFUNCTION("GOOGLETRANSLATE(C12014, ""en"", ""fa"")
"),"مزایای معماری و طراحی پایدار برای ساختمان های مسکونی و تجاری را بررسی کنید.")</f>
        <v>مزایای معماری و طراحی پایدار برای ساختمان های مسکونی و تجاری را بررسی کنید.</v>
      </c>
      <c r="H12014" s="1"/>
      <c r="I12014" s="1"/>
      <c r="J12014" s="1"/>
      <c r="K12014" s="1"/>
      <c r="L12014" s="1"/>
      <c r="M12014" s="1"/>
      <c r="N12014" s="1"/>
      <c r="O12014" s="1"/>
      <c r="P12014" s="1"/>
      <c r="Q12014" s="1"/>
      <c r="R12014" s="1"/>
      <c r="S12014" s="1"/>
      <c r="T12014" s="1"/>
      <c r="U12014" s="1"/>
      <c r="V12014" s="1"/>
      <c r="W12014" s="1"/>
      <c r="X12014" s="1"/>
      <c r="Y12014" s="1"/>
      <c r="Z12014" s="1"/>
      <c r="AA12014" s="1"/>
      <c r="AB12014" s="1"/>
    </row>
    <row r="12015" ht="50.25" customHeight="1">
      <c r="A12015" s="12">
        <v>12011.0</v>
      </c>
      <c r="B12015" s="13" t="s">
        <v>11694</v>
      </c>
      <c r="C12015" s="14" t="s">
        <v>11837</v>
      </c>
      <c r="D12015" s="1"/>
      <c r="E12015" s="1"/>
      <c r="F12015" s="1" t="str">
        <f>IFERROR(__xludf.DUMMYFUNCTION("GOOGLETRANSLATE(B12015, ""en"", ""fa"")
"),"زندگی پایدار")</f>
        <v>زندگی پایدار</v>
      </c>
      <c r="G12015" s="1" t="str">
        <f>IFERROR(__xludf.DUMMYFUNCTION("GOOGLETRANSLATE(C12015, ""en"", ""fa"")
"),"یک ترموستات هوشمند قابل برنامه ریزی برای بهینه سازی مصرف انرژی در خانه خود نصب کنید.")</f>
        <v>یک ترموستات هوشمند قابل برنامه ریزی برای بهینه سازی مصرف انرژی در خانه خود نصب کنید.</v>
      </c>
      <c r="H12015" s="1"/>
      <c r="I12015" s="1"/>
      <c r="J12015" s="1"/>
      <c r="K12015" s="1"/>
      <c r="L12015" s="1"/>
      <c r="M12015" s="1"/>
      <c r="N12015" s="1"/>
      <c r="O12015" s="1"/>
      <c r="P12015" s="1"/>
      <c r="Q12015" s="1"/>
      <c r="R12015" s="1"/>
      <c r="S12015" s="1"/>
      <c r="T12015" s="1"/>
      <c r="U12015" s="1"/>
      <c r="V12015" s="1"/>
      <c r="W12015" s="1"/>
      <c r="X12015" s="1"/>
      <c r="Y12015" s="1"/>
      <c r="Z12015" s="1"/>
      <c r="AA12015" s="1"/>
      <c r="AB12015" s="1"/>
    </row>
    <row r="12016" ht="50.25" customHeight="1">
      <c r="A12016" s="12">
        <v>12012.0</v>
      </c>
      <c r="B12016" s="13" t="s">
        <v>11694</v>
      </c>
      <c r="C12016" s="14" t="s">
        <v>11838</v>
      </c>
      <c r="D12016" s="1"/>
      <c r="E12016" s="1"/>
      <c r="F12016" s="1" t="str">
        <f>IFERROR(__xludf.DUMMYFUNCTION("GOOGLETRANSLATE(B12016, ""en"", ""fa"")
"),"زندگی پایدار")</f>
        <v>زندگی پایدار</v>
      </c>
      <c r="G12016" s="1" t="str">
        <f>IFERROR(__xludf.DUMMYFUNCTION("GOOGLETRANSLATE(C12016, ""en"", ""fa"")
"),"در مورد اثرات زیست محیطی زباله های الکترونیکی فکر کنید و بازیافت وسایل الکترونیکی قدیمی را به درستی در نظر بگیرید.")</f>
        <v>در مورد اثرات زیست محیطی زباله های الکترونیکی فکر کنید و بازیافت وسایل الکترونیکی قدیمی را به درستی در نظر بگیرید.</v>
      </c>
      <c r="H12016" s="1"/>
      <c r="I12016" s="1"/>
      <c r="J12016" s="1"/>
      <c r="K12016" s="1"/>
      <c r="L12016" s="1"/>
      <c r="M12016" s="1"/>
      <c r="N12016" s="1"/>
      <c r="O12016" s="1"/>
      <c r="P12016" s="1"/>
      <c r="Q12016" s="1"/>
      <c r="R12016" s="1"/>
      <c r="S12016" s="1"/>
      <c r="T12016" s="1"/>
      <c r="U12016" s="1"/>
      <c r="V12016" s="1"/>
      <c r="W12016" s="1"/>
      <c r="X12016" s="1"/>
      <c r="Y12016" s="1"/>
      <c r="Z12016" s="1"/>
      <c r="AA12016" s="1"/>
      <c r="AB12016" s="1"/>
    </row>
    <row r="12017" ht="50.25" customHeight="1">
      <c r="A12017" s="12">
        <v>12013.0</v>
      </c>
      <c r="B12017" s="13" t="s">
        <v>11694</v>
      </c>
      <c r="C12017" s="14" t="s">
        <v>11839</v>
      </c>
      <c r="D12017" s="1"/>
      <c r="E12017" s="1"/>
      <c r="F12017" s="1" t="str">
        <f>IFERROR(__xludf.DUMMYFUNCTION("GOOGLETRANSLATE(B12017, ""en"", ""fa"")
"),"زندگی پایدار")</f>
        <v>زندگی پایدار</v>
      </c>
      <c r="G12017" s="1" t="str">
        <f>IFERROR(__xludf.DUMMYFUNCTION("GOOGLETRANSLATE(C12017, ""en"", ""fa"")
"),"حمایت از طرح‌های زیرساختی انرژی‌های تجدیدپذیر، مانند مزارع خورشیدی و بادی.")</f>
        <v>حمایت از طرح‌های زیرساختی انرژی‌های تجدیدپذیر، مانند مزارع خورشیدی و بادی.</v>
      </c>
      <c r="H12017" s="1"/>
      <c r="I12017" s="1"/>
      <c r="J12017" s="1"/>
      <c r="K12017" s="1"/>
      <c r="L12017" s="1"/>
      <c r="M12017" s="1"/>
      <c r="N12017" s="1"/>
      <c r="O12017" s="1"/>
      <c r="P12017" s="1"/>
      <c r="Q12017" s="1"/>
      <c r="R12017" s="1"/>
      <c r="S12017" s="1"/>
      <c r="T12017" s="1"/>
      <c r="U12017" s="1"/>
      <c r="V12017" s="1"/>
      <c r="W12017" s="1"/>
      <c r="X12017" s="1"/>
      <c r="Y12017" s="1"/>
      <c r="Z12017" s="1"/>
      <c r="AA12017" s="1"/>
      <c r="AB12017" s="1"/>
    </row>
    <row r="12018" ht="50.25" customHeight="1">
      <c r="A12018" s="12">
        <v>12014.0</v>
      </c>
      <c r="B12018" s="13" t="s">
        <v>11694</v>
      </c>
      <c r="C12018" s="14" t="s">
        <v>11840</v>
      </c>
      <c r="D12018" s="1"/>
      <c r="E12018" s="1"/>
      <c r="F12018" s="1" t="str">
        <f>IFERROR(__xludf.DUMMYFUNCTION("GOOGLETRANSLATE(B12018, ""en"", ""fa"")
"),"زندگی پایدار")</f>
        <v>زندگی پایدار</v>
      </c>
      <c r="G12018" s="1" t="str">
        <f>IFERROR(__xludf.DUMMYFUNCTION("GOOGLETRANSLATE(C12018, ""en"", ""fa"")
"),"خود را در مورد شیوه های جنگلداری پایدار آموزش دهید و از محصولاتی که از چوبی مسئولانه تهیه شده اند حمایت کنید.")</f>
        <v>خود را در مورد شیوه های جنگلداری پایدار آموزش دهید و از محصولاتی که از چوبی مسئولانه تهیه شده اند حمایت کنید.</v>
      </c>
      <c r="H12018" s="1"/>
      <c r="I12018" s="1"/>
      <c r="J12018" s="1"/>
      <c r="K12018" s="1"/>
      <c r="L12018" s="1"/>
      <c r="M12018" s="1"/>
      <c r="N12018" s="1"/>
      <c r="O12018" s="1"/>
      <c r="P12018" s="1"/>
      <c r="Q12018" s="1"/>
      <c r="R12018" s="1"/>
      <c r="S12018" s="1"/>
      <c r="T12018" s="1"/>
      <c r="U12018" s="1"/>
      <c r="V12018" s="1"/>
      <c r="W12018" s="1"/>
      <c r="X12018" s="1"/>
      <c r="Y12018" s="1"/>
      <c r="Z12018" s="1"/>
      <c r="AA12018" s="1"/>
      <c r="AB12018" s="1"/>
    </row>
    <row r="12019" ht="50.25" customHeight="1">
      <c r="A12019" s="12">
        <v>12015.0</v>
      </c>
      <c r="B12019" s="13" t="s">
        <v>11694</v>
      </c>
      <c r="C12019" s="14" t="s">
        <v>11774</v>
      </c>
      <c r="D12019" s="1"/>
      <c r="E12019" s="1"/>
      <c r="F12019" s="1" t="str">
        <f>IFERROR(__xludf.DUMMYFUNCTION("GOOGLETRANSLATE(B12019, ""en"", ""fa"")
"),"زندگی پایدار")</f>
        <v>زندگی پایدار</v>
      </c>
      <c r="G12019" s="1" t="str">
        <f>IFERROR(__xludf.DUMMYFUNCTION("GOOGLETRANSLATE(C12019, ""en"", ""fa"")
"),"برای کاهش مصرف برق، لوازم برقی و لوازم الکترونیکی کم مصرف را انتخاب کنید.")</f>
        <v>برای کاهش مصرف برق، لوازم برقی و لوازم الکترونیکی کم مصرف را انتخاب کنید.</v>
      </c>
      <c r="H12019" s="1"/>
      <c r="I12019" s="1"/>
      <c r="J12019" s="1"/>
      <c r="K12019" s="1"/>
      <c r="L12019" s="1"/>
      <c r="M12019" s="1"/>
      <c r="N12019" s="1"/>
      <c r="O12019" s="1"/>
      <c r="P12019" s="1"/>
      <c r="Q12019" s="1"/>
      <c r="R12019" s="1"/>
      <c r="S12019" s="1"/>
      <c r="T12019" s="1"/>
      <c r="U12019" s="1"/>
      <c r="V12019" s="1"/>
      <c r="W12019" s="1"/>
      <c r="X12019" s="1"/>
      <c r="Y12019" s="1"/>
      <c r="Z12019" s="1"/>
      <c r="AA12019" s="1"/>
      <c r="AB12019" s="1"/>
    </row>
    <row r="12020" ht="50.25" customHeight="1">
      <c r="A12020" s="12">
        <v>12016.0</v>
      </c>
      <c r="B12020" s="13" t="s">
        <v>11694</v>
      </c>
      <c r="C12020" s="14" t="s">
        <v>11841</v>
      </c>
      <c r="D12020" s="1"/>
      <c r="E12020" s="1"/>
      <c r="F12020" s="1" t="str">
        <f>IFERROR(__xludf.DUMMYFUNCTION("GOOGLETRANSLATE(B12020, ""en"", ""fa"")
"),"زندگی پایدار")</f>
        <v>زندگی پایدار</v>
      </c>
      <c r="G12020" s="1" t="str">
        <f>IFERROR(__xludf.DUMMYFUNCTION("GOOGLETRANSLATE(C12020, ""en"", ""fa"")
"),"به عادت های حمل و نقل خود فکر کنید و گزینه های اشتراک گذاری خودرو یا سواری را برای کاهش انتشار گازهای گلخانه ای بررسی کنید.")</f>
        <v>به عادت های حمل و نقل خود فکر کنید و گزینه های اشتراک گذاری خودرو یا سواری را برای کاهش انتشار گازهای گلخانه ای بررسی کنید.</v>
      </c>
      <c r="H12020" s="1"/>
      <c r="I12020" s="1"/>
      <c r="J12020" s="1"/>
      <c r="K12020" s="1"/>
      <c r="L12020" s="1"/>
      <c r="M12020" s="1"/>
      <c r="N12020" s="1"/>
      <c r="O12020" s="1"/>
      <c r="P12020" s="1"/>
      <c r="Q12020" s="1"/>
      <c r="R12020" s="1"/>
      <c r="S12020" s="1"/>
      <c r="T12020" s="1"/>
      <c r="U12020" s="1"/>
      <c r="V12020" s="1"/>
      <c r="W12020" s="1"/>
      <c r="X12020" s="1"/>
      <c r="Y12020" s="1"/>
      <c r="Z12020" s="1"/>
      <c r="AA12020" s="1"/>
      <c r="AB12020" s="1"/>
    </row>
    <row r="12021" ht="50.25" customHeight="1">
      <c r="A12021" s="12">
        <v>12017.0</v>
      </c>
      <c r="B12021" s="13" t="s">
        <v>11694</v>
      </c>
      <c r="C12021" s="14" t="s">
        <v>11842</v>
      </c>
      <c r="D12021" s="1"/>
      <c r="E12021" s="1"/>
      <c r="F12021" s="1" t="str">
        <f>IFERROR(__xludf.DUMMYFUNCTION("GOOGLETRANSLATE(B12021, ""en"", ""fa"")
"),"زندگی پایدار")</f>
        <v>زندگی پایدار</v>
      </c>
      <c r="G12021" s="1" t="str">
        <f>IFERROR(__xludf.DUMMYFUNCTION("GOOGLETRANSLATE(C12021, ""en"", ""fa"")
"),"از محصولات پاک کننده سازگار با محیط زیست که از مواد طبیعی و زیست تخریب پذیر استفاده می کنند حمایت کنید.")</f>
        <v>از محصولات پاک کننده سازگار با محیط زیست که از مواد طبیعی و زیست تخریب پذیر استفاده می کنند حمایت کنید.</v>
      </c>
      <c r="H12021" s="1"/>
      <c r="I12021" s="1"/>
      <c r="J12021" s="1"/>
      <c r="K12021" s="1"/>
      <c r="L12021" s="1"/>
      <c r="M12021" s="1"/>
      <c r="N12021" s="1"/>
      <c r="O12021" s="1"/>
      <c r="P12021" s="1"/>
      <c r="Q12021" s="1"/>
      <c r="R12021" s="1"/>
      <c r="S12021" s="1"/>
      <c r="T12021" s="1"/>
      <c r="U12021" s="1"/>
      <c r="V12021" s="1"/>
      <c r="W12021" s="1"/>
      <c r="X12021" s="1"/>
      <c r="Y12021" s="1"/>
      <c r="Z12021" s="1"/>
      <c r="AA12021" s="1"/>
      <c r="AB12021" s="1"/>
    </row>
    <row r="12022" ht="50.25" customHeight="1">
      <c r="A12022" s="12">
        <v>12018.0</v>
      </c>
      <c r="B12022" s="13" t="s">
        <v>11694</v>
      </c>
      <c r="C12022" s="14" t="s">
        <v>11843</v>
      </c>
      <c r="D12022" s="1"/>
      <c r="E12022" s="1"/>
      <c r="F12022" s="1" t="str">
        <f>IFERROR(__xludf.DUMMYFUNCTION("GOOGLETRANSLATE(B12022, ""en"", ""fa"")
"),"زندگی پایدار")</f>
        <v>زندگی پایدار</v>
      </c>
      <c r="G12022" s="1" t="str">
        <f>IFERROR(__xludf.DUMMYFUNCTION("GOOGLETRANSLATE(C12022, ""en"", ""fa"")
"),"خود را در مورد مزایای منابع انرژی تجدیدپذیر مانند انرژی خورشیدی، باد و زمین گرمایی آموزش دهید.")</f>
        <v>خود را در مورد مزایای منابع انرژی تجدیدپذیر مانند انرژی خورشیدی، باد و زمین گرمایی آموزش دهید.</v>
      </c>
      <c r="H12022" s="1"/>
      <c r="I12022" s="1"/>
      <c r="J12022" s="1"/>
      <c r="K12022" s="1"/>
      <c r="L12022" s="1"/>
      <c r="M12022" s="1"/>
      <c r="N12022" s="1"/>
      <c r="O12022" s="1"/>
      <c r="P12022" s="1"/>
      <c r="Q12022" s="1"/>
      <c r="R12022" s="1"/>
      <c r="S12022" s="1"/>
      <c r="T12022" s="1"/>
      <c r="U12022" s="1"/>
      <c r="V12022" s="1"/>
      <c r="W12022" s="1"/>
      <c r="X12022" s="1"/>
      <c r="Y12022" s="1"/>
      <c r="Z12022" s="1"/>
      <c r="AA12022" s="1"/>
      <c r="AB12022" s="1"/>
    </row>
    <row r="12023" ht="50.25" customHeight="1">
      <c r="A12023" s="12">
        <v>12019.0</v>
      </c>
      <c r="B12023" s="13" t="s">
        <v>11694</v>
      </c>
      <c r="C12023" s="14" t="s">
        <v>11844</v>
      </c>
      <c r="D12023" s="1"/>
      <c r="E12023" s="1"/>
      <c r="F12023" s="1" t="str">
        <f>IFERROR(__xludf.DUMMYFUNCTION("GOOGLETRANSLATE(B12023, ""en"", ""fa"")
"),"زندگی پایدار")</f>
        <v>زندگی پایدار</v>
      </c>
      <c r="G12023" s="1" t="str">
        <f>IFERROR(__xludf.DUMMYFUNCTION("GOOGLETRANSLATE(C12023, ""en"", ""fa"")
"),"با استفاده از جایگزین های قابل استفاده مجدد، مانند ظروف استیل ضد زنگ یا ظروف شیشه ای، اتکای خود را به پلاستیک های یکبار مصرف کاهش دهید.")</f>
        <v>با استفاده از جایگزین های قابل استفاده مجدد، مانند ظروف استیل ضد زنگ یا ظروف شیشه ای، اتکای خود را به پلاستیک های یکبار مصرف کاهش دهید.</v>
      </c>
      <c r="H12023" s="1"/>
      <c r="I12023" s="1"/>
      <c r="J12023" s="1"/>
      <c r="K12023" s="1"/>
      <c r="L12023" s="1"/>
      <c r="M12023" s="1"/>
      <c r="N12023" s="1"/>
      <c r="O12023" s="1"/>
      <c r="P12023" s="1"/>
      <c r="Q12023" s="1"/>
      <c r="R12023" s="1"/>
      <c r="S12023" s="1"/>
      <c r="T12023" s="1"/>
      <c r="U12023" s="1"/>
      <c r="V12023" s="1"/>
      <c r="W12023" s="1"/>
      <c r="X12023" s="1"/>
      <c r="Y12023" s="1"/>
      <c r="Z12023" s="1"/>
      <c r="AA12023" s="1"/>
      <c r="AB12023" s="1"/>
    </row>
    <row r="12024" ht="50.25" customHeight="1">
      <c r="A12024" s="12">
        <v>12020.0</v>
      </c>
      <c r="B12024" s="13" t="s">
        <v>11694</v>
      </c>
      <c r="C12024" s="14" t="s">
        <v>11845</v>
      </c>
      <c r="D12024" s="1"/>
      <c r="E12024" s="1"/>
      <c r="F12024" s="1" t="str">
        <f>IFERROR(__xludf.DUMMYFUNCTION("GOOGLETRANSLATE(B12024, ""en"", ""fa"")
"),"زندگی پایدار")</f>
        <v>زندگی پایدار</v>
      </c>
      <c r="G12024" s="1" t="str">
        <f>IFERROR(__xludf.DUMMYFUNCTION("GOOGLETRANSLATE(C12024, ""en"", ""fa"")
"),"با خرید از بازارهای کشاورزان یا شرکت در برنامه های کشاورزی تحت حمایت جامعه (CSA) از کشاورزی محلی و پایدار حمایت کنید.")</f>
        <v>با خرید از بازارهای کشاورزان یا شرکت در برنامه های کشاورزی تحت حمایت جامعه (CSA) از کشاورزی محلی و پایدار حمایت کنید.</v>
      </c>
      <c r="H12024" s="1"/>
      <c r="I12024" s="1"/>
      <c r="J12024" s="1"/>
      <c r="K12024" s="1"/>
      <c r="L12024" s="1"/>
      <c r="M12024" s="1"/>
      <c r="N12024" s="1"/>
      <c r="O12024" s="1"/>
      <c r="P12024" s="1"/>
      <c r="Q12024" s="1"/>
      <c r="R12024" s="1"/>
      <c r="S12024" s="1"/>
      <c r="T12024" s="1"/>
      <c r="U12024" s="1"/>
      <c r="V12024" s="1"/>
      <c r="W12024" s="1"/>
      <c r="X12024" s="1"/>
      <c r="Y12024" s="1"/>
      <c r="Z12024" s="1"/>
      <c r="AA12024" s="1"/>
      <c r="AB12024" s="1"/>
    </row>
    <row r="12025" ht="50.25" customHeight="1">
      <c r="A12025" s="12">
        <v>12021.0</v>
      </c>
      <c r="B12025" s="13" t="s">
        <v>11694</v>
      </c>
      <c r="C12025" s="14" t="s">
        <v>11846</v>
      </c>
      <c r="D12025" s="1"/>
      <c r="E12025" s="1"/>
      <c r="F12025" s="1" t="str">
        <f>IFERROR(__xludf.DUMMYFUNCTION("GOOGLETRANSLATE(B12025, ""en"", ""fa"")
"),"زندگی پایدار")</f>
        <v>زندگی پایدار</v>
      </c>
      <c r="G12025" s="1" t="str">
        <f>IFERROR(__xludf.DUMMYFUNCTION("GOOGLETRANSLATE(C12025, ""en"", ""fa"")
"),"خود را در مورد اثرات زیست محیطی روش های مختلف حمل و نقل آموزش دهید و هر زمان که ممکن است گزینه های سبزتر را انتخاب کنید.")</f>
        <v>خود را در مورد اثرات زیست محیطی روش های مختلف حمل و نقل آموزش دهید و هر زمان که ممکن است گزینه های سبزتر را انتخاب کنید.</v>
      </c>
      <c r="H12025" s="1"/>
      <c r="I12025" s="1"/>
      <c r="J12025" s="1"/>
      <c r="K12025" s="1"/>
      <c r="L12025" s="1"/>
      <c r="M12025" s="1"/>
      <c r="N12025" s="1"/>
      <c r="O12025" s="1"/>
      <c r="P12025" s="1"/>
      <c r="Q12025" s="1"/>
      <c r="R12025" s="1"/>
      <c r="S12025" s="1"/>
      <c r="T12025" s="1"/>
      <c r="U12025" s="1"/>
      <c r="V12025" s="1"/>
      <c r="W12025" s="1"/>
      <c r="X12025" s="1"/>
      <c r="Y12025" s="1"/>
      <c r="Z12025" s="1"/>
      <c r="AA12025" s="1"/>
      <c r="AB12025" s="1"/>
    </row>
    <row r="12026" ht="50.25" customHeight="1">
      <c r="A12026" s="12">
        <v>12022.0</v>
      </c>
      <c r="B12026" s="13" t="s">
        <v>11694</v>
      </c>
      <c r="C12026" s="14" t="s">
        <v>11847</v>
      </c>
      <c r="D12026" s="1"/>
      <c r="E12026" s="1"/>
      <c r="F12026" s="1" t="str">
        <f>IFERROR(__xludf.DUMMYFUNCTION("GOOGLETRANSLATE(B12026, ""en"", ""fa"")
"),"زندگی پایدار")</f>
        <v>زندگی پایدار</v>
      </c>
      <c r="G12026" s="1" t="str">
        <f>IFERROR(__xludf.DUMMYFUNCTION("GOOGLETRANSLATE(C12026, ""en"", ""fa"")
"),"روش های صرفه جویی در مصرف آب را در خانه خود اجرا کنید، مانند رفع نشتی و استفاده از بشکه باران برای جمع آوری آب برای باغبانی.")</f>
        <v>روش های صرفه جویی در مصرف آب را در خانه خود اجرا کنید، مانند رفع نشتی و استفاده از بشکه باران برای جمع آوری آب برای باغبانی.</v>
      </c>
      <c r="H12026" s="1"/>
      <c r="I12026" s="1"/>
      <c r="J12026" s="1"/>
      <c r="K12026" s="1"/>
      <c r="L12026" s="1"/>
      <c r="M12026" s="1"/>
      <c r="N12026" s="1"/>
      <c r="O12026" s="1"/>
      <c r="P12026" s="1"/>
      <c r="Q12026" s="1"/>
      <c r="R12026" s="1"/>
      <c r="S12026" s="1"/>
      <c r="T12026" s="1"/>
      <c r="U12026" s="1"/>
      <c r="V12026" s="1"/>
      <c r="W12026" s="1"/>
      <c r="X12026" s="1"/>
      <c r="Y12026" s="1"/>
      <c r="Z12026" s="1"/>
      <c r="AA12026" s="1"/>
      <c r="AB12026" s="1"/>
    </row>
    <row r="12027" ht="50.25" customHeight="1">
      <c r="A12027" s="12">
        <v>12023.0</v>
      </c>
      <c r="B12027" s="13" t="s">
        <v>11694</v>
      </c>
      <c r="C12027" s="14" t="s">
        <v>11848</v>
      </c>
      <c r="D12027" s="1"/>
      <c r="E12027" s="1"/>
      <c r="F12027" s="1" t="str">
        <f>IFERROR(__xludf.DUMMYFUNCTION("GOOGLETRANSLATE(B12027, ""en"", ""fa"")
"),"زندگی پایدار")</f>
        <v>زندگی پایدار</v>
      </c>
      <c r="G12027" s="1" t="str">
        <f>IFERROR(__xludf.DUMMYFUNCTION("GOOGLETRANSLATE(C12027, ""en"", ""fa"")
"),"حمایت از طرح‌هایی که جنگل‌کاری و حفاظت از زیستگاه‌های طبیعی را ترویج می‌کنند.")</f>
        <v>حمایت از طرح‌هایی که جنگل‌کاری و حفاظت از زیستگاه‌های طبیعی را ترویج می‌کنند.</v>
      </c>
      <c r="H12027" s="1"/>
      <c r="I12027" s="1"/>
      <c r="J12027" s="1"/>
      <c r="K12027" s="1"/>
      <c r="L12027" s="1"/>
      <c r="M12027" s="1"/>
      <c r="N12027" s="1"/>
      <c r="O12027" s="1"/>
      <c r="P12027" s="1"/>
      <c r="Q12027" s="1"/>
      <c r="R12027" s="1"/>
      <c r="S12027" s="1"/>
      <c r="T12027" s="1"/>
      <c r="U12027" s="1"/>
      <c r="V12027" s="1"/>
      <c r="W12027" s="1"/>
      <c r="X12027" s="1"/>
      <c r="Y12027" s="1"/>
      <c r="Z12027" s="1"/>
      <c r="AA12027" s="1"/>
      <c r="AB12027" s="1"/>
    </row>
    <row r="12028" ht="50.25" customHeight="1">
      <c r="A12028" s="12">
        <v>12024.0</v>
      </c>
      <c r="B12028" s="13" t="s">
        <v>11694</v>
      </c>
      <c r="C12028" s="14" t="s">
        <v>11849</v>
      </c>
      <c r="D12028" s="1"/>
      <c r="E12028" s="1"/>
      <c r="F12028" s="1" t="str">
        <f>IFERROR(__xludf.DUMMYFUNCTION("GOOGLETRANSLATE(B12028, ""en"", ""fa"")
"),"زندگی پایدار")</f>
        <v>زندگی پایدار</v>
      </c>
      <c r="G12028" s="1" t="str">
        <f>IFERROR(__xludf.DUMMYFUNCTION("GOOGLETRANSLATE(C12028, ""en"", ""fa"")
"),"خود را در مورد تأثیر محیطی صنعت مد آموزش دهید و برندهای پوشاک پایدار و اخلاقی را انتخاب کنید.")</f>
        <v>خود را در مورد تأثیر محیطی صنعت مد آموزش دهید و برندهای پوشاک پایدار و اخلاقی را انتخاب کنید.</v>
      </c>
      <c r="H12028" s="1"/>
      <c r="I12028" s="1"/>
      <c r="J12028" s="1"/>
      <c r="K12028" s="1"/>
      <c r="L12028" s="1"/>
      <c r="M12028" s="1"/>
      <c r="N12028" s="1"/>
      <c r="O12028" s="1"/>
      <c r="P12028" s="1"/>
      <c r="Q12028" s="1"/>
      <c r="R12028" s="1"/>
      <c r="S12028" s="1"/>
      <c r="T12028" s="1"/>
      <c r="U12028" s="1"/>
      <c r="V12028" s="1"/>
      <c r="W12028" s="1"/>
      <c r="X12028" s="1"/>
      <c r="Y12028" s="1"/>
      <c r="Z12028" s="1"/>
      <c r="AA12028" s="1"/>
      <c r="AB12028" s="1"/>
    </row>
    <row r="12029" ht="50.25" customHeight="1">
      <c r="A12029" s="12">
        <v>12025.0</v>
      </c>
      <c r="B12029" s="13" t="s">
        <v>11694</v>
      </c>
      <c r="C12029" s="14" t="s">
        <v>11850</v>
      </c>
      <c r="D12029" s="1"/>
      <c r="E12029" s="1"/>
      <c r="F12029" s="1" t="str">
        <f>IFERROR(__xludf.DUMMYFUNCTION("GOOGLETRANSLATE(B12029, ""en"", ""fa"")
"),"زندگی پایدار")</f>
        <v>زندگی پایدار</v>
      </c>
      <c r="G12029" s="1" t="str">
        <f>IFERROR(__xludf.DUMMYFUNCTION("GOOGLETRANSLATE(C12029, ""en"", ""fa"")
"),"با برنامه ریزی وعده های غذایی، کمپوست کردن ضایعات غذا و اهدای غذای اضافی به بانک ها یا پناهگاه های غذایی محلی، ضایعات مواد غذایی را کاهش دهید.")</f>
        <v>با برنامه ریزی وعده های غذایی، کمپوست کردن ضایعات غذا و اهدای غذای اضافی به بانک ها یا پناهگاه های غذایی محلی، ضایعات مواد غذایی را کاهش دهید.</v>
      </c>
      <c r="H12029" s="1"/>
      <c r="I12029" s="1"/>
      <c r="J12029" s="1"/>
      <c r="K12029" s="1"/>
      <c r="L12029" s="1"/>
      <c r="M12029" s="1"/>
      <c r="N12029" s="1"/>
      <c r="O12029" s="1"/>
      <c r="P12029" s="1"/>
      <c r="Q12029" s="1"/>
      <c r="R12029" s="1"/>
      <c r="S12029" s="1"/>
      <c r="T12029" s="1"/>
      <c r="U12029" s="1"/>
      <c r="V12029" s="1"/>
      <c r="W12029" s="1"/>
      <c r="X12029" s="1"/>
      <c r="Y12029" s="1"/>
      <c r="Z12029" s="1"/>
      <c r="AA12029" s="1"/>
      <c r="AB12029" s="1"/>
    </row>
    <row r="12030" ht="50.25" customHeight="1">
      <c r="A12030" s="12">
        <v>12026.0</v>
      </c>
      <c r="B12030" s="13" t="s">
        <v>11694</v>
      </c>
      <c r="C12030" s="14" t="s">
        <v>11851</v>
      </c>
      <c r="D12030" s="1"/>
      <c r="E12030" s="1"/>
      <c r="F12030" s="1" t="str">
        <f>IFERROR(__xludf.DUMMYFUNCTION("GOOGLETRANSLATE(B12030, ""en"", ""fa"")
"),"زندگی پایدار")</f>
        <v>زندگی پایدار</v>
      </c>
      <c r="G12030" s="1" t="str">
        <f>IFERROR(__xludf.DUMMYFUNCTION("GOOGLETRANSLATE(C12030, ""en"", ""fa"")
"),"از مشاغلی حمایت کنید که بسته بندی پایدار و برنامه های بازپس گیری را برای بازیافت و استفاده مجدد از مواد در اولویت قرار می دهند.")</f>
        <v>از مشاغلی حمایت کنید که بسته بندی پایدار و برنامه های بازپس گیری را برای بازیافت و استفاده مجدد از مواد در اولویت قرار می دهند.</v>
      </c>
      <c r="H12030" s="1"/>
      <c r="I12030" s="1"/>
      <c r="J12030" s="1"/>
      <c r="K12030" s="1"/>
      <c r="L12030" s="1"/>
      <c r="M12030" s="1"/>
      <c r="N12030" s="1"/>
      <c r="O12030" s="1"/>
      <c r="P12030" s="1"/>
      <c r="Q12030" s="1"/>
      <c r="R12030" s="1"/>
      <c r="S12030" s="1"/>
      <c r="T12030" s="1"/>
      <c r="U12030" s="1"/>
      <c r="V12030" s="1"/>
      <c r="W12030" s="1"/>
      <c r="X12030" s="1"/>
      <c r="Y12030" s="1"/>
      <c r="Z12030" s="1"/>
      <c r="AA12030" s="1"/>
      <c r="AB12030" s="1"/>
    </row>
    <row r="12031" ht="50.25" customHeight="1">
      <c r="A12031" s="12">
        <v>12027.0</v>
      </c>
      <c r="B12031" s="13" t="s">
        <v>11694</v>
      </c>
      <c r="C12031" s="14" t="s">
        <v>11852</v>
      </c>
      <c r="D12031" s="1"/>
      <c r="E12031" s="1"/>
      <c r="F12031" s="1" t="str">
        <f>IFERROR(__xludf.DUMMYFUNCTION("GOOGLETRANSLATE(B12031, ""en"", ""fa"")
"),"زندگی پایدار")</f>
        <v>زندگی پایدار</v>
      </c>
      <c r="G12031" s="1" t="str">
        <f>IFERROR(__xludf.DUMMYFUNCTION("GOOGLETRANSLATE(C12031, ""en"", ""fa"")
"),"خود را در مورد مزایای سیستم های انرژی تجدید پذیر، مانند پانل های خورشیدی و توربین های بادی، برای مصارف مسکونی آموزش دهید.")</f>
        <v>خود را در مورد مزایای سیستم های انرژی تجدید پذیر، مانند پانل های خورشیدی و توربین های بادی، برای مصارف مسکونی آموزش دهید.</v>
      </c>
      <c r="H12031" s="1"/>
      <c r="I12031" s="1"/>
      <c r="J12031" s="1"/>
      <c r="K12031" s="1"/>
      <c r="L12031" s="1"/>
      <c r="M12031" s="1"/>
      <c r="N12031" s="1"/>
      <c r="O12031" s="1"/>
      <c r="P12031" s="1"/>
      <c r="Q12031" s="1"/>
      <c r="R12031" s="1"/>
      <c r="S12031" s="1"/>
      <c r="T12031" s="1"/>
      <c r="U12031" s="1"/>
      <c r="V12031" s="1"/>
      <c r="W12031" s="1"/>
      <c r="X12031" s="1"/>
      <c r="Y12031" s="1"/>
      <c r="Z12031" s="1"/>
      <c r="AA12031" s="1"/>
      <c r="AB12031" s="1"/>
    </row>
    <row r="12032" ht="50.25" customHeight="1">
      <c r="A12032" s="12">
        <v>12028.0</v>
      </c>
      <c r="B12032" s="13" t="s">
        <v>11694</v>
      </c>
      <c r="C12032" s="14" t="s">
        <v>11853</v>
      </c>
      <c r="D12032" s="1"/>
      <c r="E12032" s="1"/>
      <c r="F12032" s="1" t="str">
        <f>IFERROR(__xludf.DUMMYFUNCTION("GOOGLETRANSLATE(B12032, ""en"", ""fa"")
"),"زندگی پایدار")</f>
        <v>زندگی پایدار</v>
      </c>
      <c r="G12032" s="1" t="str">
        <f>IFERROR(__xludf.DUMMYFUNCTION("GOOGLETRANSLATE(C12032, ""en"", ""fa"")
"),"به تأثیرات زیست محیطی مصرف انرژی خود فکر کنید و به دنبال راه هایی برای کاهش ردپای کربن خود باشید.")</f>
        <v>به تأثیرات زیست محیطی مصرف انرژی خود فکر کنید و به دنبال راه هایی برای کاهش ردپای کربن خود باشید.</v>
      </c>
      <c r="H12032" s="1"/>
      <c r="I12032" s="1"/>
      <c r="J12032" s="1"/>
      <c r="K12032" s="1"/>
      <c r="L12032" s="1"/>
      <c r="M12032" s="1"/>
      <c r="N12032" s="1"/>
      <c r="O12032" s="1"/>
      <c r="P12032" s="1"/>
      <c r="Q12032" s="1"/>
      <c r="R12032" s="1"/>
      <c r="S12032" s="1"/>
      <c r="T12032" s="1"/>
      <c r="U12032" s="1"/>
      <c r="V12032" s="1"/>
      <c r="W12032" s="1"/>
      <c r="X12032" s="1"/>
      <c r="Y12032" s="1"/>
      <c r="Z12032" s="1"/>
      <c r="AA12032" s="1"/>
      <c r="AB12032" s="1"/>
    </row>
    <row r="12033" ht="50.25" customHeight="1">
      <c r="A12033" s="12">
        <v>12029.0</v>
      </c>
      <c r="B12033" s="13" t="s">
        <v>11694</v>
      </c>
      <c r="C12033" s="14" t="s">
        <v>11854</v>
      </c>
      <c r="D12033" s="1"/>
      <c r="E12033" s="1"/>
      <c r="F12033" s="1" t="str">
        <f>IFERROR(__xludf.DUMMYFUNCTION("GOOGLETRANSLATE(B12033, ""en"", ""fa"")
"),"زندگی پایدار")</f>
        <v>زندگی پایدار</v>
      </c>
      <c r="G12033" s="1" t="str">
        <f>IFERROR(__xludf.DUMMYFUNCTION("GOOGLETRANSLATE(C12033, ""en"", ""fa"")
"),"برای صرفه جویی در مصرف برق، عادات صرفه جویی در مصرف انرژی، مانند خاموش کردن چراغ ها و وسایل برقی در صورت عدم استفاده را اجرا کنید.")</f>
        <v>برای صرفه جویی در مصرف برق، عادات صرفه جویی در مصرف انرژی، مانند خاموش کردن چراغ ها و وسایل برقی در صورت عدم استفاده را اجرا کنید.</v>
      </c>
      <c r="H12033" s="1"/>
      <c r="I12033" s="1"/>
      <c r="J12033" s="1"/>
      <c r="K12033" s="1"/>
      <c r="L12033" s="1"/>
      <c r="M12033" s="1"/>
      <c r="N12033" s="1"/>
      <c r="O12033" s="1"/>
      <c r="P12033" s="1"/>
      <c r="Q12033" s="1"/>
      <c r="R12033" s="1"/>
      <c r="S12033" s="1"/>
      <c r="T12033" s="1"/>
      <c r="U12033" s="1"/>
      <c r="V12033" s="1"/>
      <c r="W12033" s="1"/>
      <c r="X12033" s="1"/>
      <c r="Y12033" s="1"/>
      <c r="Z12033" s="1"/>
      <c r="AA12033" s="1"/>
      <c r="AB12033" s="1"/>
    </row>
    <row r="12034" ht="50.25" customHeight="1">
      <c r="A12034" s="12">
        <v>12030.0</v>
      </c>
      <c r="B12034" s="13" t="s">
        <v>11694</v>
      </c>
      <c r="C12034" s="14" t="s">
        <v>11855</v>
      </c>
      <c r="D12034" s="1"/>
      <c r="E12034" s="1"/>
      <c r="F12034" s="1" t="str">
        <f>IFERROR(__xludf.DUMMYFUNCTION("GOOGLETRANSLATE(B12034, ""en"", ""fa"")
"),"زندگی پایدار")</f>
        <v>زندگی پایدار</v>
      </c>
      <c r="G12034" s="1" t="str">
        <f>IFERROR(__xludf.DUMMYFUNCTION("GOOGLETRANSLATE(C12034, ""en"", ""fa"")
"),"حمایت از سازمان ها و ابتکاراتی که پایداری و حفاظت از محیط زیست را ترویج می کنند.")</f>
        <v>حمایت از سازمان ها و ابتکاراتی که پایداری و حفاظت از محیط زیست را ترویج می کنند.</v>
      </c>
      <c r="H12034" s="1"/>
      <c r="I12034" s="1"/>
      <c r="J12034" s="1"/>
      <c r="K12034" s="1"/>
      <c r="L12034" s="1"/>
      <c r="M12034" s="1"/>
      <c r="N12034" s="1"/>
      <c r="O12034" s="1"/>
      <c r="P12034" s="1"/>
      <c r="Q12034" s="1"/>
      <c r="R12034" s="1"/>
      <c r="S12034" s="1"/>
      <c r="T12034" s="1"/>
      <c r="U12034" s="1"/>
      <c r="V12034" s="1"/>
      <c r="W12034" s="1"/>
      <c r="X12034" s="1"/>
      <c r="Y12034" s="1"/>
      <c r="Z12034" s="1"/>
      <c r="AA12034" s="1"/>
      <c r="AB12034" s="1"/>
    </row>
    <row r="12035" ht="50.25" customHeight="1">
      <c r="A12035" s="12">
        <v>12031.0</v>
      </c>
      <c r="B12035" s="13" t="s">
        <v>11856</v>
      </c>
      <c r="C12035" s="14" t="s">
        <v>11857</v>
      </c>
      <c r="D12035" s="1"/>
      <c r="E12035" s="1"/>
      <c r="F12035" s="1" t="str">
        <f>IFERROR(__xludf.DUMMYFUNCTION("GOOGLETRANSLATE(B12035, ""en"", ""fa"")
"),"نوشتن خلاق")</f>
        <v>نوشتن خلاق</v>
      </c>
      <c r="G12035" s="1" t="str">
        <f>IFERROR(__xludf.DUMMYFUNCTION("GOOGLETRANSLATE(C12035, ""en"", ""fa"")
"),"داستانی در مورد شخصیتی بنویسید که یک دنیای جادویی پنهان را در یک وسیله معمولی خانگی کشف می کند.")</f>
        <v>داستانی در مورد شخصیتی بنویسید که یک دنیای جادویی پنهان را در یک وسیله معمولی خانگی کشف می کند.</v>
      </c>
      <c r="H12035" s="1"/>
      <c r="I12035" s="1"/>
      <c r="J12035" s="1"/>
      <c r="K12035" s="1"/>
      <c r="L12035" s="1"/>
      <c r="M12035" s="1"/>
      <c r="N12035" s="1"/>
      <c r="O12035" s="1"/>
      <c r="P12035" s="1"/>
      <c r="Q12035" s="1"/>
      <c r="R12035" s="1"/>
      <c r="S12035" s="1"/>
      <c r="T12035" s="1"/>
      <c r="U12035" s="1"/>
      <c r="V12035" s="1"/>
      <c r="W12035" s="1"/>
      <c r="X12035" s="1"/>
      <c r="Y12035" s="1"/>
      <c r="Z12035" s="1"/>
      <c r="AA12035" s="1"/>
      <c r="AB12035" s="1"/>
    </row>
    <row r="12036" ht="50.25" customHeight="1">
      <c r="A12036" s="12">
        <v>12032.0</v>
      </c>
      <c r="B12036" s="13" t="s">
        <v>11856</v>
      </c>
      <c r="C12036" s="14" t="s">
        <v>11858</v>
      </c>
      <c r="D12036" s="1"/>
      <c r="E12036" s="1"/>
      <c r="F12036" s="1" t="str">
        <f>IFERROR(__xludf.DUMMYFUNCTION("GOOGLETRANSLATE(B12036, ""en"", ""fa"")
"),"نوشتن خلاق")</f>
        <v>نوشتن خلاق</v>
      </c>
      <c r="G12036" s="1" t="str">
        <f>IFERROR(__xludf.DUMMYFUNCTION("GOOGLETRANSLATE(C12036, ""en"", ""fa"")
"),"بر اساس احساسات برانگیخته شده توسط یک قطعه هنری خاص یا عکس، شعری بسازید.")</f>
        <v>بر اساس احساسات برانگیخته شده توسط یک قطعه هنری خاص یا عکس، شعری بسازید.</v>
      </c>
      <c r="H12036" s="1"/>
      <c r="I12036" s="1"/>
      <c r="J12036" s="1"/>
      <c r="K12036" s="1"/>
      <c r="L12036" s="1"/>
      <c r="M12036" s="1"/>
      <c r="N12036" s="1"/>
      <c r="O12036" s="1"/>
      <c r="P12036" s="1"/>
      <c r="Q12036" s="1"/>
      <c r="R12036" s="1"/>
      <c r="S12036" s="1"/>
      <c r="T12036" s="1"/>
      <c r="U12036" s="1"/>
      <c r="V12036" s="1"/>
      <c r="W12036" s="1"/>
      <c r="X12036" s="1"/>
      <c r="Y12036" s="1"/>
      <c r="Z12036" s="1"/>
      <c r="AA12036" s="1"/>
      <c r="AB12036" s="1"/>
    </row>
    <row r="12037" ht="50.25" customHeight="1">
      <c r="A12037" s="12">
        <v>12033.0</v>
      </c>
      <c r="B12037" s="13" t="s">
        <v>11856</v>
      </c>
      <c r="C12037" s="14" t="s">
        <v>11859</v>
      </c>
      <c r="D12037" s="1"/>
      <c r="E12037" s="1"/>
      <c r="F12037" s="1" t="str">
        <f>IFERROR(__xludf.DUMMYFUNCTION("GOOGLETRANSLATE(B12037, ""en"", ""fa"")
"),"نوشتن خلاق")</f>
        <v>نوشتن خلاق</v>
      </c>
      <c r="G12037" s="1" t="str">
        <f>IFERROR(__xludf.DUMMYFUNCTION("GOOGLETRANSLATE(C12037, ""en"", ""fa"")
"),"یک داستان کوتاه پر از تعلیق در مورد یک کارآگاه بنویسید که سعی دارد یک ناپدید شدن مرموز را حل کند.")</f>
        <v>یک داستان کوتاه پر از تعلیق در مورد یک کارآگاه بنویسید که سعی دارد یک ناپدید شدن مرموز را حل کند.</v>
      </c>
      <c r="H12037" s="1"/>
      <c r="I12037" s="1"/>
      <c r="J12037" s="1"/>
      <c r="K12037" s="1"/>
      <c r="L12037" s="1"/>
      <c r="M12037" s="1"/>
      <c r="N12037" s="1"/>
      <c r="O12037" s="1"/>
      <c r="P12037" s="1"/>
      <c r="Q12037" s="1"/>
      <c r="R12037" s="1"/>
      <c r="S12037" s="1"/>
      <c r="T12037" s="1"/>
      <c r="U12037" s="1"/>
      <c r="V12037" s="1"/>
      <c r="W12037" s="1"/>
      <c r="X12037" s="1"/>
      <c r="Y12037" s="1"/>
      <c r="Z12037" s="1"/>
      <c r="AA12037" s="1"/>
      <c r="AB12037" s="1"/>
    </row>
    <row r="12038" ht="50.25" customHeight="1">
      <c r="A12038" s="12">
        <v>12034.0</v>
      </c>
      <c r="B12038" s="13" t="s">
        <v>11856</v>
      </c>
      <c r="C12038" s="14" t="s">
        <v>11860</v>
      </c>
      <c r="D12038" s="1"/>
      <c r="E12038" s="1"/>
      <c r="F12038" s="1" t="str">
        <f>IFERROR(__xludf.DUMMYFUNCTION("GOOGLETRANSLATE(B12038, ""en"", ""fa"")
"),"نوشتن خلاق")</f>
        <v>نوشتن خلاق</v>
      </c>
      <c r="G12038" s="1" t="str">
        <f>IFERROR(__xludf.DUMMYFUNCTION("GOOGLETRANSLATE(C12038, ""en"", ""fa"")
"),"یک داستان دیستوپیایی بسازید که در آینده ای اتفاق می افتد که در آن خلاقیت و تخیل غیرقانونی است.")</f>
        <v>یک داستان دیستوپیایی بسازید که در آینده ای اتفاق می افتد که در آن خلاقیت و تخیل غیرقانونی است.</v>
      </c>
      <c r="H12038" s="1"/>
      <c r="I12038" s="1"/>
      <c r="J12038" s="1"/>
      <c r="K12038" s="1"/>
      <c r="L12038" s="1"/>
      <c r="M12038" s="1"/>
      <c r="N12038" s="1"/>
      <c r="O12038" s="1"/>
      <c r="P12038" s="1"/>
      <c r="Q12038" s="1"/>
      <c r="R12038" s="1"/>
      <c r="S12038" s="1"/>
      <c r="T12038" s="1"/>
      <c r="U12038" s="1"/>
      <c r="V12038" s="1"/>
      <c r="W12038" s="1"/>
      <c r="X12038" s="1"/>
      <c r="Y12038" s="1"/>
      <c r="Z12038" s="1"/>
      <c r="AA12038" s="1"/>
      <c r="AB12038" s="1"/>
    </row>
    <row r="12039" ht="50.25" customHeight="1">
      <c r="A12039" s="12">
        <v>12035.0</v>
      </c>
      <c r="B12039" s="13" t="s">
        <v>11856</v>
      </c>
      <c r="C12039" s="14" t="s">
        <v>11861</v>
      </c>
      <c r="D12039" s="1"/>
      <c r="E12039" s="1"/>
      <c r="F12039" s="1" t="str">
        <f>IFERROR(__xludf.DUMMYFUNCTION("GOOGLETRANSLATE(B12039, ""en"", ""fa"")
"),"نوشتن خلاق")</f>
        <v>نوشتن خلاق</v>
      </c>
      <c r="G12039" s="1" t="str">
        <f>IFERROR(__xludf.DUMMYFUNCTION("GOOGLETRANSLATE(C12039, ""en"", ""fa"")
"),"یک رویای واضح را توصیف کنید و آن را به یک روایت سورئال و تخیلی تبدیل کنید.")</f>
        <v>یک رویای واضح را توصیف کنید و آن را به یک روایت سورئال و تخیلی تبدیل کنید.</v>
      </c>
      <c r="H12039" s="1"/>
      <c r="I12039" s="1"/>
      <c r="J12039" s="1"/>
      <c r="K12039" s="1"/>
      <c r="L12039" s="1"/>
      <c r="M12039" s="1"/>
      <c r="N12039" s="1"/>
      <c r="O12039" s="1"/>
      <c r="P12039" s="1"/>
      <c r="Q12039" s="1"/>
      <c r="R12039" s="1"/>
      <c r="S12039" s="1"/>
      <c r="T12039" s="1"/>
      <c r="U12039" s="1"/>
      <c r="V12039" s="1"/>
      <c r="W12039" s="1"/>
      <c r="X12039" s="1"/>
      <c r="Y12039" s="1"/>
      <c r="Z12039" s="1"/>
      <c r="AA12039" s="1"/>
      <c r="AB12039" s="1"/>
    </row>
    <row r="12040" ht="50.25" customHeight="1">
      <c r="A12040" s="12">
        <v>12036.0</v>
      </c>
      <c r="B12040" s="13" t="s">
        <v>11856</v>
      </c>
      <c r="C12040" s="14" t="s">
        <v>11862</v>
      </c>
      <c r="D12040" s="1"/>
      <c r="E12040" s="1"/>
      <c r="F12040" s="1" t="str">
        <f>IFERROR(__xludf.DUMMYFUNCTION("GOOGLETRANSLATE(B12040, ""en"", ""fa"")
"),"نوشتن خلاق")</f>
        <v>نوشتن خلاق</v>
      </c>
      <c r="G12040" s="1" t="str">
        <f>IFERROR(__xludf.DUMMYFUNCTION("GOOGLETRANSLATE(C12040, ""en"", ""fa"")
"),"دیالوگی بین دو شخصیتی بنویسید که نظرات مخالفی در مورد یک موضوع بحث برانگیز دارند.")</f>
        <v>دیالوگی بین دو شخصیتی بنویسید که نظرات مخالفی در مورد یک موضوع بحث برانگیز دارند.</v>
      </c>
      <c r="H12040" s="1"/>
      <c r="I12040" s="1"/>
      <c r="J12040" s="1"/>
      <c r="K12040" s="1"/>
      <c r="L12040" s="1"/>
      <c r="M12040" s="1"/>
      <c r="N12040" s="1"/>
      <c r="O12040" s="1"/>
      <c r="P12040" s="1"/>
      <c r="Q12040" s="1"/>
      <c r="R12040" s="1"/>
      <c r="S12040" s="1"/>
      <c r="T12040" s="1"/>
      <c r="U12040" s="1"/>
      <c r="V12040" s="1"/>
      <c r="W12040" s="1"/>
      <c r="X12040" s="1"/>
      <c r="Y12040" s="1"/>
      <c r="Z12040" s="1"/>
      <c r="AA12040" s="1"/>
      <c r="AB12040" s="1"/>
    </row>
    <row r="12041" ht="50.25" customHeight="1">
      <c r="A12041" s="12">
        <v>12037.0</v>
      </c>
      <c r="B12041" s="13" t="s">
        <v>11856</v>
      </c>
      <c r="C12041" s="14" t="s">
        <v>11863</v>
      </c>
      <c r="D12041" s="1"/>
      <c r="E12041" s="1"/>
      <c r="F12041" s="1" t="str">
        <f>IFERROR(__xludf.DUMMYFUNCTION("GOOGLETRANSLATE(B12041, ""en"", ""fa"")
"),"نوشتن خلاق")</f>
        <v>نوشتن خلاق</v>
      </c>
      <c r="G12041" s="1" t="str">
        <f>IFERROR(__xludf.DUMMYFUNCTION("GOOGLETRANSLATE(C12041, ""en"", ""fa"")
"),"افسانه یا افسانه ای در مورد منشا یک پدیده طبیعی یا جرم آسمانی بسازید.")</f>
        <v>افسانه یا افسانه ای در مورد منشا یک پدیده طبیعی یا جرم آسمانی بسازید.</v>
      </c>
      <c r="H12041" s="1"/>
      <c r="I12041" s="1"/>
      <c r="J12041" s="1"/>
      <c r="K12041" s="1"/>
      <c r="L12041" s="1"/>
      <c r="M12041" s="1"/>
      <c r="N12041" s="1"/>
      <c r="O12041" s="1"/>
      <c r="P12041" s="1"/>
      <c r="Q12041" s="1"/>
      <c r="R12041" s="1"/>
      <c r="S12041" s="1"/>
      <c r="T12041" s="1"/>
      <c r="U12041" s="1"/>
      <c r="V12041" s="1"/>
      <c r="W12041" s="1"/>
      <c r="X12041" s="1"/>
      <c r="Y12041" s="1"/>
      <c r="Z12041" s="1"/>
      <c r="AA12041" s="1"/>
      <c r="AB12041" s="1"/>
    </row>
    <row r="12042" ht="50.25" customHeight="1">
      <c r="A12042" s="12">
        <v>12038.0</v>
      </c>
      <c r="B12042" s="13" t="s">
        <v>11856</v>
      </c>
      <c r="C12042" s="14" t="s">
        <v>11864</v>
      </c>
      <c r="D12042" s="1"/>
      <c r="E12042" s="1"/>
      <c r="F12042" s="1" t="str">
        <f>IFERROR(__xludf.DUMMYFUNCTION("GOOGLETRANSLATE(B12042, ""en"", ""fa"")
"),"نوشتن خلاق")</f>
        <v>نوشتن خلاق</v>
      </c>
      <c r="G12042" s="1" t="str">
        <f>IFERROR(__xludf.DUMMYFUNCTION("GOOGLETRANSLATE(C12042, ""en"", ""fa"")
"),"شخصیتی را ایجاد کنید که دارای قدرت دستکاری زمان و کشف عواقب اعمال خود باشد.")</f>
        <v>شخصیتی را ایجاد کنید که دارای قدرت دستکاری زمان و کشف عواقب اعمال خود باشد.</v>
      </c>
      <c r="H12042" s="1"/>
      <c r="I12042" s="1"/>
      <c r="J12042" s="1"/>
      <c r="K12042" s="1"/>
      <c r="L12042" s="1"/>
      <c r="M12042" s="1"/>
      <c r="N12042" s="1"/>
      <c r="O12042" s="1"/>
      <c r="P12042" s="1"/>
      <c r="Q12042" s="1"/>
      <c r="R12042" s="1"/>
      <c r="S12042" s="1"/>
      <c r="T12042" s="1"/>
      <c r="U12042" s="1"/>
      <c r="V12042" s="1"/>
      <c r="W12042" s="1"/>
      <c r="X12042" s="1"/>
      <c r="Y12042" s="1"/>
      <c r="Z12042" s="1"/>
      <c r="AA12042" s="1"/>
      <c r="AB12042" s="1"/>
    </row>
    <row r="12043" ht="50.25" customHeight="1">
      <c r="A12043" s="12">
        <v>12039.0</v>
      </c>
      <c r="B12043" s="13" t="s">
        <v>11856</v>
      </c>
      <c r="C12043" s="14" t="s">
        <v>11865</v>
      </c>
      <c r="D12043" s="1"/>
      <c r="E12043" s="1"/>
      <c r="F12043" s="1" t="str">
        <f>IFERROR(__xludf.DUMMYFUNCTION("GOOGLETRANSLATE(B12043, ""en"", ""fa"")
"),"نوشتن خلاق")</f>
        <v>نوشتن خلاق</v>
      </c>
      <c r="G12043" s="1" t="str">
        <f>IFERROR(__xludf.DUMMYFUNCTION("GOOGLETRANSLATE(C12043, ""en"", ""fa"")
"),"نامه ای از یک شخصیت خیالی به آینده آنها بنویسید و در مورد سفر زندگی آنها فکر کنید.")</f>
        <v>نامه ای از یک شخصیت خیالی به آینده آنها بنویسید و در مورد سفر زندگی آنها فکر کنید.</v>
      </c>
      <c r="H12043" s="1"/>
      <c r="I12043" s="1"/>
      <c r="J12043" s="1"/>
      <c r="K12043" s="1"/>
      <c r="L12043" s="1"/>
      <c r="M12043" s="1"/>
      <c r="N12043" s="1"/>
      <c r="O12043" s="1"/>
      <c r="P12043" s="1"/>
      <c r="Q12043" s="1"/>
      <c r="R12043" s="1"/>
      <c r="S12043" s="1"/>
      <c r="T12043" s="1"/>
      <c r="U12043" s="1"/>
      <c r="V12043" s="1"/>
      <c r="W12043" s="1"/>
      <c r="X12043" s="1"/>
      <c r="Y12043" s="1"/>
      <c r="Z12043" s="1"/>
      <c r="AA12043" s="1"/>
      <c r="AB12043" s="1"/>
    </row>
    <row r="12044" ht="50.25" customHeight="1">
      <c r="A12044" s="12">
        <v>12040.0</v>
      </c>
      <c r="B12044" s="13" t="s">
        <v>11856</v>
      </c>
      <c r="C12044" s="14" t="s">
        <v>11866</v>
      </c>
      <c r="D12044" s="1"/>
      <c r="E12044" s="1"/>
      <c r="F12044" s="1" t="str">
        <f>IFERROR(__xludf.DUMMYFUNCTION("GOOGLETRANSLATE(B12044, ""en"", ""fa"")
"),"نوشتن خلاق")</f>
        <v>نوشتن خلاق</v>
      </c>
      <c r="G12044" s="1" t="str">
        <f>IFERROR(__xludf.DUMMYFUNCTION("GOOGLETRANSLATE(C12044, ""en"", ""fa"")
"),"یک افسانه با پیچ و تاب بسازید، نقش ها و انتظارات سنتی را زیر و رو کنید.")</f>
        <v>یک افسانه با پیچ و تاب بسازید، نقش ها و انتظارات سنتی را زیر و رو کنید.</v>
      </c>
      <c r="H12044" s="1"/>
      <c r="I12044" s="1"/>
      <c r="J12044" s="1"/>
      <c r="K12044" s="1"/>
      <c r="L12044" s="1"/>
      <c r="M12044" s="1"/>
      <c r="N12044" s="1"/>
      <c r="O12044" s="1"/>
      <c r="P12044" s="1"/>
      <c r="Q12044" s="1"/>
      <c r="R12044" s="1"/>
      <c r="S12044" s="1"/>
      <c r="T12044" s="1"/>
      <c r="U12044" s="1"/>
      <c r="V12044" s="1"/>
      <c r="W12044" s="1"/>
      <c r="X12044" s="1"/>
      <c r="Y12044" s="1"/>
      <c r="Z12044" s="1"/>
      <c r="AA12044" s="1"/>
      <c r="AB12044" s="1"/>
    </row>
    <row r="12045" ht="50.25" customHeight="1">
      <c r="A12045" s="12">
        <v>12041.0</v>
      </c>
      <c r="B12045" s="13" t="s">
        <v>11856</v>
      </c>
      <c r="C12045" s="14" t="s">
        <v>11867</v>
      </c>
      <c r="D12045" s="1"/>
      <c r="E12045" s="1"/>
      <c r="F12045" s="1" t="str">
        <f>IFERROR(__xludf.DUMMYFUNCTION("GOOGLETRANSLATE(B12045, ""en"", ""fa"")
"),"نوشتن خلاق")</f>
        <v>نوشتن خلاق</v>
      </c>
      <c r="G12045" s="1" t="str">
        <f>IFERROR(__xludf.DUMMYFUNCTION("GOOGLETRANSLATE(C12045, ""en"", ""fa"")
"),"یک منظره خیره کننده را توصیف کنید و از تصاویر زنده برای انتقال خوانندگان به صحنه استفاده کنید.")</f>
        <v>یک منظره خیره کننده را توصیف کنید و از تصاویر زنده برای انتقال خوانندگان به صحنه استفاده کنید.</v>
      </c>
      <c r="H12045" s="1"/>
      <c r="I12045" s="1"/>
      <c r="J12045" s="1"/>
      <c r="K12045" s="1"/>
      <c r="L12045" s="1"/>
      <c r="M12045" s="1"/>
      <c r="N12045" s="1"/>
      <c r="O12045" s="1"/>
      <c r="P12045" s="1"/>
      <c r="Q12045" s="1"/>
      <c r="R12045" s="1"/>
      <c r="S12045" s="1"/>
      <c r="T12045" s="1"/>
      <c r="U12045" s="1"/>
      <c r="V12045" s="1"/>
      <c r="W12045" s="1"/>
      <c r="X12045" s="1"/>
      <c r="Y12045" s="1"/>
      <c r="Z12045" s="1"/>
      <c r="AA12045" s="1"/>
      <c r="AB12045" s="1"/>
    </row>
    <row r="12046" ht="50.25" customHeight="1">
      <c r="A12046" s="12">
        <v>12042.0</v>
      </c>
      <c r="B12046" s="13" t="s">
        <v>11856</v>
      </c>
      <c r="C12046" s="14" t="s">
        <v>11868</v>
      </c>
      <c r="D12046" s="1"/>
      <c r="E12046" s="1"/>
      <c r="F12046" s="1" t="str">
        <f>IFERROR(__xludf.DUMMYFUNCTION("GOOGLETRANSLATE(B12046, ""en"", ""fa"")
"),"نوشتن خلاق")</f>
        <v>نوشتن خلاق</v>
      </c>
      <c r="G12046" s="1" t="str">
        <f>IFERROR(__xludf.DUMMYFUNCTION("GOOGLETRANSLATE(C12046, ""en"", ""fa"")
"),"یک قطعه تخیلی فلش بنویسید که به طور کامل در یک سواری با آسانسور اتفاق می افتد و تعاملات بین مسافران را بررسی می کند.")</f>
        <v>یک قطعه تخیلی فلش بنویسید که به طور کامل در یک سواری با آسانسور اتفاق می افتد و تعاملات بین مسافران را بررسی می کند.</v>
      </c>
      <c r="H12046" s="1"/>
      <c r="I12046" s="1"/>
      <c r="J12046" s="1"/>
      <c r="K12046" s="1"/>
      <c r="L12046" s="1"/>
      <c r="M12046" s="1"/>
      <c r="N12046" s="1"/>
      <c r="O12046" s="1"/>
      <c r="P12046" s="1"/>
      <c r="Q12046" s="1"/>
      <c r="R12046" s="1"/>
      <c r="S12046" s="1"/>
      <c r="T12046" s="1"/>
      <c r="U12046" s="1"/>
      <c r="V12046" s="1"/>
      <c r="W12046" s="1"/>
      <c r="X12046" s="1"/>
      <c r="Y12046" s="1"/>
      <c r="Z12046" s="1"/>
      <c r="AA12046" s="1"/>
      <c r="AB12046" s="1"/>
    </row>
    <row r="12047" ht="50.25" customHeight="1">
      <c r="A12047" s="12">
        <v>12043.0</v>
      </c>
      <c r="B12047" s="13" t="s">
        <v>11856</v>
      </c>
      <c r="C12047" s="14" t="s">
        <v>11869</v>
      </c>
      <c r="D12047" s="1"/>
      <c r="E12047" s="1"/>
      <c r="F12047" s="1" t="str">
        <f>IFERROR(__xludf.DUMMYFUNCTION("GOOGLETRANSLATE(B12047, ""en"", ""fa"")
"),"نوشتن خلاق")</f>
        <v>نوشتن خلاق</v>
      </c>
      <c r="G12047" s="1" t="str">
        <f>IFERROR(__xludf.DUMMYFUNCTION("GOOGLETRANSLATE(C12047, ""en"", ""fa"")
"),"داستانی بسازید که در آن قهرمان یک راز خانوادگی از دست رفته را با پیامدهای گسترده کشف کند.")</f>
        <v>داستانی بسازید که در آن قهرمان یک راز خانوادگی از دست رفته را با پیامدهای گسترده کشف کند.</v>
      </c>
      <c r="H12047" s="1"/>
      <c r="I12047" s="1"/>
      <c r="J12047" s="1"/>
      <c r="K12047" s="1"/>
      <c r="L12047" s="1"/>
      <c r="M12047" s="1"/>
      <c r="N12047" s="1"/>
      <c r="O12047" s="1"/>
      <c r="P12047" s="1"/>
      <c r="Q12047" s="1"/>
      <c r="R12047" s="1"/>
      <c r="S12047" s="1"/>
      <c r="T12047" s="1"/>
      <c r="U12047" s="1"/>
      <c r="V12047" s="1"/>
      <c r="W12047" s="1"/>
      <c r="X12047" s="1"/>
      <c r="Y12047" s="1"/>
      <c r="Z12047" s="1"/>
      <c r="AA12047" s="1"/>
      <c r="AB12047" s="1"/>
    </row>
    <row r="12048" ht="50.25" customHeight="1">
      <c r="A12048" s="12">
        <v>12044.0</v>
      </c>
      <c r="B12048" s="13" t="s">
        <v>11856</v>
      </c>
      <c r="C12048" s="14" t="s">
        <v>11870</v>
      </c>
      <c r="D12048" s="1"/>
      <c r="E12048" s="1"/>
      <c r="F12048" s="1" t="str">
        <f>IFERROR(__xludf.DUMMYFUNCTION("GOOGLETRANSLATE(B12048, ""en"", ""fa"")
"),"نوشتن خلاق")</f>
        <v>نوشتن خلاق</v>
      </c>
      <c r="G12048" s="1" t="str">
        <f>IFERROR(__xludf.DUMMYFUNCTION("GOOGLETRANSLATE(C12048, ""en"", ""fa"")
"),"شعر یا داستانی با الهام از تغییر فصول و زیبایی طبیعت بنویسید.")</f>
        <v>شعر یا داستانی با الهام از تغییر فصول و زیبایی طبیعت بنویسید.</v>
      </c>
      <c r="H12048" s="1"/>
      <c r="I12048" s="1"/>
      <c r="J12048" s="1"/>
      <c r="K12048" s="1"/>
      <c r="L12048" s="1"/>
      <c r="M12048" s="1"/>
      <c r="N12048" s="1"/>
      <c r="O12048" s="1"/>
      <c r="P12048" s="1"/>
      <c r="Q12048" s="1"/>
      <c r="R12048" s="1"/>
      <c r="S12048" s="1"/>
      <c r="T12048" s="1"/>
      <c r="U12048" s="1"/>
      <c r="V12048" s="1"/>
      <c r="W12048" s="1"/>
      <c r="X12048" s="1"/>
      <c r="Y12048" s="1"/>
      <c r="Z12048" s="1"/>
      <c r="AA12048" s="1"/>
      <c r="AB12048" s="1"/>
    </row>
    <row r="12049" ht="50.25" customHeight="1">
      <c r="A12049" s="12">
        <v>12045.0</v>
      </c>
      <c r="B12049" s="13" t="s">
        <v>11856</v>
      </c>
      <c r="C12049" s="14" t="s">
        <v>11871</v>
      </c>
      <c r="D12049" s="1"/>
      <c r="E12049" s="1"/>
      <c r="F12049" s="1" t="str">
        <f>IFERROR(__xludf.DUMMYFUNCTION("GOOGLETRANSLATE(B12049, ""en"", ""fa"")
"),"نوشتن خلاق")</f>
        <v>نوشتن خلاق</v>
      </c>
      <c r="G12049" s="1" t="str">
        <f>IFERROR(__xludf.DUMMYFUNCTION("GOOGLETRANSLATE(C12049, ""en"", ""fa"")
"),"یک صحنه دیالوگ محور بین دو شخصیتی که به تازگی برای اولین بار ملاقات کرده اند بسازید.")</f>
        <v>یک صحنه دیالوگ محور بین دو شخصیتی که به تازگی برای اولین بار ملاقات کرده اند بسازید.</v>
      </c>
      <c r="H12049" s="1"/>
      <c r="I12049" s="1"/>
      <c r="J12049" s="1"/>
      <c r="K12049" s="1"/>
      <c r="L12049" s="1"/>
      <c r="M12049" s="1"/>
      <c r="N12049" s="1"/>
      <c r="O12049" s="1"/>
      <c r="P12049" s="1"/>
      <c r="Q12049" s="1"/>
      <c r="R12049" s="1"/>
      <c r="S12049" s="1"/>
      <c r="T12049" s="1"/>
      <c r="U12049" s="1"/>
      <c r="V12049" s="1"/>
      <c r="W12049" s="1"/>
      <c r="X12049" s="1"/>
      <c r="Y12049" s="1"/>
      <c r="Z12049" s="1"/>
      <c r="AA12049" s="1"/>
      <c r="AB12049" s="1"/>
    </row>
    <row r="12050" ht="50.25" customHeight="1">
      <c r="A12050" s="12">
        <v>12046.0</v>
      </c>
      <c r="B12050" s="13" t="s">
        <v>11856</v>
      </c>
      <c r="C12050" s="14" t="s">
        <v>11872</v>
      </c>
      <c r="D12050" s="1"/>
      <c r="E12050" s="1"/>
      <c r="F12050" s="1" t="str">
        <f>IFERROR(__xludf.DUMMYFUNCTION("GOOGLETRANSLATE(B12050, ""en"", ""fa"")
"),"نوشتن خلاق")</f>
        <v>نوشتن خلاق</v>
      </c>
      <c r="G12050" s="1" t="str">
        <f>IFERROR(__xludf.DUMMYFUNCTION("GOOGLETRANSLATE(C12050, ""en"", ""fa"")
"),"یک داستان کوتاه در مورد شخصی که می تواند با حیوانات و ماجراهای آنها در قلمرو حیوانات ارتباط برقرار کند، بسازید.")</f>
        <v>یک داستان کوتاه در مورد شخصی که می تواند با حیوانات و ماجراهای آنها در قلمرو حیوانات ارتباط برقرار کند، بسازید.</v>
      </c>
      <c r="H12050" s="1"/>
      <c r="I12050" s="1"/>
      <c r="J12050" s="1"/>
      <c r="K12050" s="1"/>
      <c r="L12050" s="1"/>
      <c r="M12050" s="1"/>
      <c r="N12050" s="1"/>
      <c r="O12050" s="1"/>
      <c r="P12050" s="1"/>
      <c r="Q12050" s="1"/>
      <c r="R12050" s="1"/>
      <c r="S12050" s="1"/>
      <c r="T12050" s="1"/>
      <c r="U12050" s="1"/>
      <c r="V12050" s="1"/>
      <c r="W12050" s="1"/>
      <c r="X12050" s="1"/>
      <c r="Y12050" s="1"/>
      <c r="Z12050" s="1"/>
      <c r="AA12050" s="1"/>
      <c r="AB12050" s="1"/>
    </row>
    <row r="12051" ht="50.25" customHeight="1">
      <c r="A12051" s="12">
        <v>12047.0</v>
      </c>
      <c r="B12051" s="13" t="s">
        <v>11856</v>
      </c>
      <c r="C12051" s="14" t="s">
        <v>11873</v>
      </c>
      <c r="D12051" s="1"/>
      <c r="E12051" s="1"/>
      <c r="F12051" s="1" t="str">
        <f>IFERROR(__xludf.DUMMYFUNCTION("GOOGLETRANSLATE(B12051, ""en"", ""fa"")
"),"نوشتن خلاق")</f>
        <v>نوشتن خلاق</v>
      </c>
      <c r="G12051" s="1" t="str">
        <f>IFERROR(__xludf.DUMMYFUNCTION("GOOGLETRANSLATE(C12051, ""en"", ""fa"")
"),"یک داستان علمی تخیلی آینده نگرانه در مورد جامعه ای بنویسید که به شدت به فناوری و تأثیر آن بر ارتباطات انسانی وابسته است.")</f>
        <v>یک داستان علمی تخیلی آینده نگرانه در مورد جامعه ای بنویسید که به شدت به فناوری و تأثیر آن بر ارتباطات انسانی وابسته است.</v>
      </c>
      <c r="H12051" s="1"/>
      <c r="I12051" s="1"/>
      <c r="J12051" s="1"/>
      <c r="K12051" s="1"/>
      <c r="L12051" s="1"/>
      <c r="M12051" s="1"/>
      <c r="N12051" s="1"/>
      <c r="O12051" s="1"/>
      <c r="P12051" s="1"/>
      <c r="Q12051" s="1"/>
      <c r="R12051" s="1"/>
      <c r="S12051" s="1"/>
      <c r="T12051" s="1"/>
      <c r="U12051" s="1"/>
      <c r="V12051" s="1"/>
      <c r="W12051" s="1"/>
      <c r="X12051" s="1"/>
      <c r="Y12051" s="1"/>
      <c r="Z12051" s="1"/>
      <c r="AA12051" s="1"/>
      <c r="AB12051" s="1"/>
    </row>
    <row r="12052" ht="50.25" customHeight="1">
      <c r="A12052" s="12">
        <v>12048.0</v>
      </c>
      <c r="B12052" s="13" t="s">
        <v>11856</v>
      </c>
      <c r="C12052" s="14" t="s">
        <v>11874</v>
      </c>
      <c r="D12052" s="1"/>
      <c r="E12052" s="1"/>
      <c r="F12052" s="1" t="str">
        <f>IFERROR(__xludf.DUMMYFUNCTION("GOOGLETRANSLATE(B12052, ""en"", ""fa"")
"),"نوشتن خلاق")</f>
        <v>نوشتن خلاق</v>
      </c>
      <c r="G12052" s="1" t="str">
        <f>IFERROR(__xludf.DUMMYFUNCTION("GOOGLETRANSLATE(C12052, ""en"", ""fa"")
"),"یک داستان ترسناک با محوریت یک شی خالی از سکنه با گذشته ای تاریک و مرموز ایجاد کنید.")</f>
        <v>یک داستان ترسناک با محوریت یک شی خالی از سکنه با گذشته ای تاریک و مرموز ایجاد کنید.</v>
      </c>
      <c r="H12052" s="1"/>
      <c r="I12052" s="1"/>
      <c r="J12052" s="1"/>
      <c r="K12052" s="1"/>
      <c r="L12052" s="1"/>
      <c r="M12052" s="1"/>
      <c r="N12052" s="1"/>
      <c r="O12052" s="1"/>
      <c r="P12052" s="1"/>
      <c r="Q12052" s="1"/>
      <c r="R12052" s="1"/>
      <c r="S12052" s="1"/>
      <c r="T12052" s="1"/>
      <c r="U12052" s="1"/>
      <c r="V12052" s="1"/>
      <c r="W12052" s="1"/>
      <c r="X12052" s="1"/>
      <c r="Y12052" s="1"/>
      <c r="Z12052" s="1"/>
      <c r="AA12052" s="1"/>
      <c r="AB12052" s="1"/>
    </row>
    <row r="12053" ht="50.25" customHeight="1">
      <c r="A12053" s="12">
        <v>12049.0</v>
      </c>
      <c r="B12053" s="13" t="s">
        <v>11856</v>
      </c>
      <c r="C12053" s="14" t="s">
        <v>11875</v>
      </c>
      <c r="D12053" s="1"/>
      <c r="E12053" s="1"/>
      <c r="F12053" s="1" t="str">
        <f>IFERROR(__xludf.DUMMYFUNCTION("GOOGLETRANSLATE(B12053, ""en"", ""fa"")
"),"نوشتن خلاق")</f>
        <v>نوشتن خلاق</v>
      </c>
      <c r="G12053" s="1" t="str">
        <f>IFERROR(__xludf.DUMMYFUNCTION("GOOGLETRANSLATE(C12053, ""en"", ""fa"")
"),"نامه ای از یک شخصیت خیالی به یک شخصیت تاریخی بنویسید و در مورد علایق یا تجربیات مشترک آنها بحث کنید.")</f>
        <v>نامه ای از یک شخصیت خیالی به یک شخصیت تاریخی بنویسید و در مورد علایق یا تجربیات مشترک آنها بحث کنید.</v>
      </c>
      <c r="H12053" s="1"/>
      <c r="I12053" s="1"/>
      <c r="J12053" s="1"/>
      <c r="K12053" s="1"/>
      <c r="L12053" s="1"/>
      <c r="M12053" s="1"/>
      <c r="N12053" s="1"/>
      <c r="O12053" s="1"/>
      <c r="P12053" s="1"/>
      <c r="Q12053" s="1"/>
      <c r="R12053" s="1"/>
      <c r="S12053" s="1"/>
      <c r="T12053" s="1"/>
      <c r="U12053" s="1"/>
      <c r="V12053" s="1"/>
      <c r="W12053" s="1"/>
      <c r="X12053" s="1"/>
      <c r="Y12053" s="1"/>
      <c r="Z12053" s="1"/>
      <c r="AA12053" s="1"/>
      <c r="AB12053" s="1"/>
    </row>
    <row r="12054" ht="50.25" customHeight="1">
      <c r="A12054" s="12">
        <v>12050.0</v>
      </c>
      <c r="B12054" s="13" t="s">
        <v>11856</v>
      </c>
      <c r="C12054" s="14" t="s">
        <v>11876</v>
      </c>
      <c r="D12054" s="1"/>
      <c r="E12054" s="1"/>
      <c r="F12054" s="1" t="str">
        <f>IFERROR(__xludf.DUMMYFUNCTION("GOOGLETRANSLATE(B12054, ""en"", ""fa"")
"),"نوشتن خلاق")</f>
        <v>نوشتن خلاق</v>
      </c>
      <c r="G12054" s="1" t="str">
        <f>IFERROR(__xludf.DUMMYFUNCTION("GOOGLETRANSLATE(C12054, ""en"", ""fa"")
"),"داستانی در مورد سفر یک نوجوان برای خودیابی و رشد بسازید.")</f>
        <v>داستانی در مورد سفر یک نوجوان برای خودیابی و رشد بسازید.</v>
      </c>
      <c r="H12054" s="1"/>
      <c r="I12054" s="1"/>
      <c r="J12054" s="1"/>
      <c r="K12054" s="1"/>
      <c r="L12054" s="1"/>
      <c r="M12054" s="1"/>
      <c r="N12054" s="1"/>
      <c r="O12054" s="1"/>
      <c r="P12054" s="1"/>
      <c r="Q12054" s="1"/>
      <c r="R12054" s="1"/>
      <c r="S12054" s="1"/>
      <c r="T12054" s="1"/>
      <c r="U12054" s="1"/>
      <c r="V12054" s="1"/>
      <c r="W12054" s="1"/>
      <c r="X12054" s="1"/>
      <c r="Y12054" s="1"/>
      <c r="Z12054" s="1"/>
      <c r="AA12054" s="1"/>
      <c r="AB12054" s="1"/>
    </row>
    <row r="12055" ht="50.25" customHeight="1">
      <c r="A12055" s="12">
        <v>12051.0</v>
      </c>
      <c r="B12055" s="13" t="s">
        <v>11856</v>
      </c>
      <c r="C12055" s="14" t="s">
        <v>11877</v>
      </c>
      <c r="D12055" s="1"/>
      <c r="E12055" s="1"/>
      <c r="F12055" s="1" t="str">
        <f>IFERROR(__xludf.DUMMYFUNCTION("GOOGLETRANSLATE(B12055, ""en"", ""fa"")
"),"نوشتن خلاق")</f>
        <v>نوشتن خلاق</v>
      </c>
      <c r="G12055" s="1" t="str">
        <f>IFERROR(__xludf.DUMMYFUNCTION("GOOGLETRANSLATE(C12055, ""en"", ""fa"")
"),"شعری برای تجلیل از زیبایی زبان و قدرت داستان سرایی بنویسید.")</f>
        <v>شعری برای تجلیل از زیبایی زبان و قدرت داستان سرایی بنویسید.</v>
      </c>
      <c r="H12055" s="1"/>
      <c r="I12055" s="1"/>
      <c r="J12055" s="1"/>
      <c r="K12055" s="1"/>
      <c r="L12055" s="1"/>
      <c r="M12055" s="1"/>
      <c r="N12055" s="1"/>
      <c r="O12055" s="1"/>
      <c r="P12055" s="1"/>
      <c r="Q12055" s="1"/>
      <c r="R12055" s="1"/>
      <c r="S12055" s="1"/>
      <c r="T12055" s="1"/>
      <c r="U12055" s="1"/>
      <c r="V12055" s="1"/>
      <c r="W12055" s="1"/>
      <c r="X12055" s="1"/>
      <c r="Y12055" s="1"/>
      <c r="Z12055" s="1"/>
      <c r="AA12055" s="1"/>
      <c r="AB12055" s="1"/>
    </row>
    <row r="12056" ht="50.25" customHeight="1">
      <c r="A12056" s="12">
        <v>12052.0</v>
      </c>
      <c r="B12056" s="13" t="s">
        <v>11856</v>
      </c>
      <c r="C12056" s="14" t="s">
        <v>11878</v>
      </c>
      <c r="D12056" s="1"/>
      <c r="E12056" s="1"/>
      <c r="F12056" s="1" t="str">
        <f>IFERROR(__xludf.DUMMYFUNCTION("GOOGLETRANSLATE(B12056, ""en"", ""fa"")
"),"نوشتن خلاق")</f>
        <v>نوشتن خلاق</v>
      </c>
      <c r="G12056" s="1" t="str">
        <f>IFERROR(__xludf.DUMMYFUNCTION("GOOGLETRANSLATE(C12056, ""en"", ""fa"")
"),"یک داستان رمز و راز بسازید که در آن شخصیت اصلی یک کارآگاه آماتور است که یک جنایت گیج کننده را در همسایگی خود حل می کند.")</f>
        <v>یک داستان رمز و راز بسازید که در آن شخصیت اصلی یک کارآگاه آماتور است که یک جنایت گیج کننده را در همسایگی خود حل می کند.</v>
      </c>
      <c r="H12056" s="1"/>
      <c r="I12056" s="1"/>
      <c r="J12056" s="1"/>
      <c r="K12056" s="1"/>
      <c r="L12056" s="1"/>
      <c r="M12056" s="1"/>
      <c r="N12056" s="1"/>
      <c r="O12056" s="1"/>
      <c r="P12056" s="1"/>
      <c r="Q12056" s="1"/>
      <c r="R12056" s="1"/>
      <c r="S12056" s="1"/>
      <c r="T12056" s="1"/>
      <c r="U12056" s="1"/>
      <c r="V12056" s="1"/>
      <c r="W12056" s="1"/>
      <c r="X12056" s="1"/>
      <c r="Y12056" s="1"/>
      <c r="Z12056" s="1"/>
      <c r="AA12056" s="1"/>
      <c r="AB12056" s="1"/>
    </row>
    <row r="12057" ht="50.25" customHeight="1">
      <c r="A12057" s="12">
        <v>12053.0</v>
      </c>
      <c r="B12057" s="13" t="s">
        <v>11856</v>
      </c>
      <c r="C12057" s="14" t="s">
        <v>11879</v>
      </c>
      <c r="D12057" s="1"/>
      <c r="E12057" s="1"/>
      <c r="F12057" s="1" t="str">
        <f>IFERROR(__xludf.DUMMYFUNCTION("GOOGLETRANSLATE(B12057, ""en"", ""fa"")
"),"نوشتن خلاق")</f>
        <v>نوشتن خلاق</v>
      </c>
      <c r="G12057" s="1" t="str">
        <f>IFERROR(__xludf.DUMMYFUNCTION("GOOGLETRANSLATE(C12057, ""en"", ""fa"")
"),"یک دنیای فانتزی با موجودات، فرهنگ ها و عناصر جادویی منحصر به فرد خود را توسعه دهید.")</f>
        <v>یک دنیای فانتزی با موجودات، فرهنگ ها و عناصر جادویی منحصر به فرد خود را توسعه دهید.</v>
      </c>
      <c r="H12057" s="1"/>
      <c r="I12057" s="1"/>
      <c r="J12057" s="1"/>
      <c r="K12057" s="1"/>
      <c r="L12057" s="1"/>
      <c r="M12057" s="1"/>
      <c r="N12057" s="1"/>
      <c r="O12057" s="1"/>
      <c r="P12057" s="1"/>
      <c r="Q12057" s="1"/>
      <c r="R12057" s="1"/>
      <c r="S12057" s="1"/>
      <c r="T12057" s="1"/>
      <c r="U12057" s="1"/>
      <c r="V12057" s="1"/>
      <c r="W12057" s="1"/>
      <c r="X12057" s="1"/>
      <c r="Y12057" s="1"/>
      <c r="Z12057" s="1"/>
      <c r="AA12057" s="1"/>
      <c r="AB12057" s="1"/>
    </row>
    <row r="12058" ht="50.25" customHeight="1">
      <c r="A12058" s="12">
        <v>12054.0</v>
      </c>
      <c r="B12058" s="13" t="s">
        <v>11856</v>
      </c>
      <c r="C12058" s="14" t="s">
        <v>11880</v>
      </c>
      <c r="D12058" s="1"/>
      <c r="E12058" s="1"/>
      <c r="F12058" s="1" t="str">
        <f>IFERROR(__xludf.DUMMYFUNCTION("GOOGLETRANSLATE(B12058, ""en"", ""fa"")
"),"نوشتن خلاق")</f>
        <v>نوشتن خلاق</v>
      </c>
      <c r="G12058" s="1" t="str">
        <f>IFERROR(__xludf.DUMMYFUNCTION("GOOGLETRANSLATE(C12058, ""en"", ""fa"")
"),"یک دیالوگ بین دو شخصیت بنویسید که شخصیت های بسیار متفاوتی دارند و در طول مکالمه با هم درگیر می شوند.")</f>
        <v>یک دیالوگ بین دو شخصیت بنویسید که شخصیت های بسیار متفاوتی دارند و در طول مکالمه با هم درگیر می شوند.</v>
      </c>
      <c r="H12058" s="1"/>
      <c r="I12058" s="1"/>
      <c r="J12058" s="1"/>
      <c r="K12058" s="1"/>
      <c r="L12058" s="1"/>
      <c r="M12058" s="1"/>
      <c r="N12058" s="1"/>
      <c r="O12058" s="1"/>
      <c r="P12058" s="1"/>
      <c r="Q12058" s="1"/>
      <c r="R12058" s="1"/>
      <c r="S12058" s="1"/>
      <c r="T12058" s="1"/>
      <c r="U12058" s="1"/>
      <c r="V12058" s="1"/>
      <c r="W12058" s="1"/>
      <c r="X12058" s="1"/>
      <c r="Y12058" s="1"/>
      <c r="Z12058" s="1"/>
      <c r="AA12058" s="1"/>
      <c r="AB12058" s="1"/>
    </row>
    <row r="12059" ht="50.25" customHeight="1">
      <c r="A12059" s="12">
        <v>12055.0</v>
      </c>
      <c r="B12059" s="13" t="s">
        <v>11856</v>
      </c>
      <c r="C12059" s="14" t="s">
        <v>11881</v>
      </c>
      <c r="D12059" s="1"/>
      <c r="E12059" s="1"/>
      <c r="F12059" s="1" t="str">
        <f>IFERROR(__xludf.DUMMYFUNCTION("GOOGLETRANSLATE(B12059, ""en"", ""fa"")
"),"نوشتن خلاق")</f>
        <v>نوشتن خلاق</v>
      </c>
      <c r="G12059" s="1" t="str">
        <f>IFERROR(__xludf.DUMMYFUNCTION("GOOGLETRANSLATE(C12059, ""en"", ""fa"")
"),"داستانی در مورد شخصی بسازید که این توانایی را به دست می آورد که لحظاتی از گذشته خود را دوباره زنده کند و چگونه حالش را شکل می دهد.")</f>
        <v>داستانی در مورد شخصی بسازید که این توانایی را به دست می آورد که لحظاتی از گذشته خود را دوباره زنده کند و چگونه حالش را شکل می دهد.</v>
      </c>
      <c r="H12059" s="1"/>
      <c r="I12059" s="1"/>
      <c r="J12059" s="1"/>
      <c r="K12059" s="1"/>
      <c r="L12059" s="1"/>
      <c r="M12059" s="1"/>
      <c r="N12059" s="1"/>
      <c r="O12059" s="1"/>
      <c r="P12059" s="1"/>
      <c r="Q12059" s="1"/>
      <c r="R12059" s="1"/>
      <c r="S12059" s="1"/>
      <c r="T12059" s="1"/>
      <c r="U12059" s="1"/>
      <c r="V12059" s="1"/>
      <c r="W12059" s="1"/>
      <c r="X12059" s="1"/>
      <c r="Y12059" s="1"/>
      <c r="Z12059" s="1"/>
      <c r="AA12059" s="1"/>
      <c r="AB12059" s="1"/>
    </row>
    <row r="12060" ht="50.25" customHeight="1">
      <c r="A12060" s="12">
        <v>12056.0</v>
      </c>
      <c r="B12060" s="13" t="s">
        <v>11856</v>
      </c>
      <c r="C12060" s="14" t="s">
        <v>11882</v>
      </c>
      <c r="D12060" s="1"/>
      <c r="E12060" s="1"/>
      <c r="F12060" s="1" t="str">
        <f>IFERROR(__xludf.DUMMYFUNCTION("GOOGLETRANSLATE(B12060, ""en"", ""fa"")
"),"نوشتن خلاق")</f>
        <v>نوشتن خلاق</v>
      </c>
      <c r="G12060" s="1" t="str">
        <f>IFERROR(__xludf.DUMMYFUNCTION("GOOGLETRANSLATE(C12060, ""en"", ""fa"")
"),"شعر یا داستانی بسازید که مفهوم رویاها و مرز بین واقعیت و خیال را بررسی کند.")</f>
        <v>شعر یا داستانی بسازید که مفهوم رویاها و مرز بین واقعیت و خیال را بررسی کند.</v>
      </c>
      <c r="H12060" s="1"/>
      <c r="I12060" s="1"/>
      <c r="J12060" s="1"/>
      <c r="K12060" s="1"/>
      <c r="L12060" s="1"/>
      <c r="M12060" s="1"/>
      <c r="N12060" s="1"/>
      <c r="O12060" s="1"/>
      <c r="P12060" s="1"/>
      <c r="Q12060" s="1"/>
      <c r="R12060" s="1"/>
      <c r="S12060" s="1"/>
      <c r="T12060" s="1"/>
      <c r="U12060" s="1"/>
      <c r="V12060" s="1"/>
      <c r="W12060" s="1"/>
      <c r="X12060" s="1"/>
      <c r="Y12060" s="1"/>
      <c r="Z12060" s="1"/>
      <c r="AA12060" s="1"/>
      <c r="AB12060" s="1"/>
    </row>
    <row r="12061" ht="50.25" customHeight="1">
      <c r="A12061" s="12">
        <v>12057.0</v>
      </c>
      <c r="B12061" s="13" t="s">
        <v>11856</v>
      </c>
      <c r="C12061" s="14" t="s">
        <v>11883</v>
      </c>
      <c r="D12061" s="1"/>
      <c r="E12061" s="1"/>
      <c r="F12061" s="1" t="str">
        <f>IFERROR(__xludf.DUMMYFUNCTION("GOOGLETRANSLATE(B12061, ""en"", ""fa"")
"),"نوشتن خلاق")</f>
        <v>نوشتن خلاق</v>
      </c>
      <c r="G12061" s="1" t="str">
        <f>IFERROR(__xludf.DUMMYFUNCTION("GOOGLETRANSLATE(C12061, ""en"", ""fa"")
"),"یک داستان عاشقانه بنویسید که در یک مکان زیبا قرار دارد و بر احساسات و ارتباطات بین شخصیت ها تأکید کنید.")</f>
        <v>یک داستان عاشقانه بنویسید که در یک مکان زیبا قرار دارد و بر احساسات و ارتباطات بین شخصیت ها تأکید کنید.</v>
      </c>
      <c r="H12061" s="1"/>
      <c r="I12061" s="1"/>
      <c r="J12061" s="1"/>
      <c r="K12061" s="1"/>
      <c r="L12061" s="1"/>
      <c r="M12061" s="1"/>
      <c r="N12061" s="1"/>
      <c r="O12061" s="1"/>
      <c r="P12061" s="1"/>
      <c r="Q12061" s="1"/>
      <c r="R12061" s="1"/>
      <c r="S12061" s="1"/>
      <c r="T12061" s="1"/>
      <c r="U12061" s="1"/>
      <c r="V12061" s="1"/>
      <c r="W12061" s="1"/>
      <c r="X12061" s="1"/>
      <c r="Y12061" s="1"/>
      <c r="Z12061" s="1"/>
      <c r="AA12061" s="1"/>
      <c r="AB12061" s="1"/>
    </row>
    <row r="12062" ht="50.25" customHeight="1">
      <c r="A12062" s="12">
        <v>12058.0</v>
      </c>
      <c r="B12062" s="13" t="s">
        <v>11856</v>
      </c>
      <c r="C12062" s="14" t="s">
        <v>11884</v>
      </c>
      <c r="D12062" s="1"/>
      <c r="E12062" s="1"/>
      <c r="F12062" s="1" t="str">
        <f>IFERROR(__xludf.DUMMYFUNCTION("GOOGLETRANSLATE(B12062, ""en"", ""fa"")
"),"نوشتن خلاق")</f>
        <v>نوشتن خلاق</v>
      </c>
      <c r="G12062" s="1" t="str">
        <f>IFERROR(__xludf.DUMMYFUNCTION("GOOGLETRANSLATE(C12062, ""en"", ""fa"")
"),"یک داستان علمی تخیلی بسازید که در آن انسان ها سیارات دوردست را مستعمره کرده اند و قهرمان داستان با یک تمدن بیگانه روبرو می شود.")</f>
        <v>یک داستان علمی تخیلی بسازید که در آن انسان ها سیارات دوردست را مستعمره کرده اند و قهرمان داستان با یک تمدن بیگانه روبرو می شود.</v>
      </c>
      <c r="H12062" s="1"/>
      <c r="I12062" s="1"/>
      <c r="J12062" s="1"/>
      <c r="K12062" s="1"/>
      <c r="L12062" s="1"/>
      <c r="M12062" s="1"/>
      <c r="N12062" s="1"/>
      <c r="O12062" s="1"/>
      <c r="P12062" s="1"/>
      <c r="Q12062" s="1"/>
      <c r="R12062" s="1"/>
      <c r="S12062" s="1"/>
      <c r="T12062" s="1"/>
      <c r="U12062" s="1"/>
      <c r="V12062" s="1"/>
      <c r="W12062" s="1"/>
      <c r="X12062" s="1"/>
      <c r="Y12062" s="1"/>
      <c r="Z12062" s="1"/>
      <c r="AA12062" s="1"/>
      <c r="AB12062" s="1"/>
    </row>
    <row r="12063" ht="50.25" customHeight="1">
      <c r="A12063" s="12">
        <v>12059.0</v>
      </c>
      <c r="B12063" s="13" t="s">
        <v>11856</v>
      </c>
      <c r="C12063" s="14" t="s">
        <v>11885</v>
      </c>
      <c r="D12063" s="1"/>
      <c r="E12063" s="1"/>
      <c r="F12063" s="1" t="str">
        <f>IFERROR(__xludf.DUMMYFUNCTION("GOOGLETRANSLATE(B12063, ""en"", ""fa"")
"),"نوشتن خلاق")</f>
        <v>نوشتن خلاق</v>
      </c>
      <c r="G12063" s="1" t="str">
        <f>IFERROR(__xludf.DUMMYFUNCTION("GOOGLETRANSLATE(C12063, ""en"", ""fa"")
"),"یک داستان طنز درباره گروهی از شخصیت های عجیب و غریب که برای یک رویداد یا ماجراجویی غیرعادی گرد هم می آیند بسازید.")</f>
        <v>یک داستان طنز درباره گروهی از شخصیت های عجیب و غریب که برای یک رویداد یا ماجراجویی غیرعادی گرد هم می آیند بسازید.</v>
      </c>
      <c r="H12063" s="1"/>
      <c r="I12063" s="1"/>
      <c r="J12063" s="1"/>
      <c r="K12063" s="1"/>
      <c r="L12063" s="1"/>
      <c r="M12063" s="1"/>
      <c r="N12063" s="1"/>
      <c r="O12063" s="1"/>
      <c r="P12063" s="1"/>
      <c r="Q12063" s="1"/>
      <c r="R12063" s="1"/>
      <c r="S12063" s="1"/>
      <c r="T12063" s="1"/>
      <c r="U12063" s="1"/>
      <c r="V12063" s="1"/>
      <c r="W12063" s="1"/>
      <c r="X12063" s="1"/>
      <c r="Y12063" s="1"/>
      <c r="Z12063" s="1"/>
      <c r="AA12063" s="1"/>
      <c r="AB12063" s="1"/>
    </row>
    <row r="12064" ht="50.25" customHeight="1">
      <c r="A12064" s="12">
        <v>12060.0</v>
      </c>
      <c r="B12064" s="13" t="s">
        <v>11856</v>
      </c>
      <c r="C12064" s="14" t="s">
        <v>11886</v>
      </c>
      <c r="D12064" s="1"/>
      <c r="E12064" s="1"/>
      <c r="F12064" s="1" t="str">
        <f>IFERROR(__xludf.DUMMYFUNCTION("GOOGLETRANSLATE(B12064, ""en"", ""fa"")
"),"نوشتن خلاق")</f>
        <v>نوشتن خلاق</v>
      </c>
      <c r="G12064" s="1" t="str">
        <f>IFERROR(__xludf.DUMMYFUNCTION("GOOGLETRANSLATE(C12064, ""en"", ""fa"")
"),"شعر یا داستانی تأملی درباره گذر زمان و اجتناب ناپذیر بودن تغییر بنویسید.")</f>
        <v>شعر یا داستانی تأملی درباره گذر زمان و اجتناب ناپذیر بودن تغییر بنویسید.</v>
      </c>
      <c r="H12064" s="1"/>
      <c r="I12064" s="1"/>
      <c r="J12064" s="1"/>
      <c r="K12064" s="1"/>
      <c r="L12064" s="1"/>
      <c r="M12064" s="1"/>
      <c r="N12064" s="1"/>
      <c r="O12064" s="1"/>
      <c r="P12064" s="1"/>
      <c r="Q12064" s="1"/>
      <c r="R12064" s="1"/>
      <c r="S12064" s="1"/>
      <c r="T12064" s="1"/>
      <c r="U12064" s="1"/>
      <c r="V12064" s="1"/>
      <c r="W12064" s="1"/>
      <c r="X12064" s="1"/>
      <c r="Y12064" s="1"/>
      <c r="Z12064" s="1"/>
      <c r="AA12064" s="1"/>
      <c r="AB12064" s="1"/>
    </row>
    <row r="12065" ht="50.25" customHeight="1">
      <c r="A12065" s="12">
        <v>12061.0</v>
      </c>
      <c r="B12065" s="13" t="s">
        <v>11856</v>
      </c>
      <c r="C12065" s="14" t="s">
        <v>11887</v>
      </c>
      <c r="D12065" s="1"/>
      <c r="E12065" s="1"/>
      <c r="F12065" s="1" t="str">
        <f>IFERROR(__xludf.DUMMYFUNCTION("GOOGLETRANSLATE(B12065, ""en"", ""fa"")
"),"نوشتن خلاق")</f>
        <v>نوشتن خلاق</v>
      </c>
      <c r="G12065" s="1" t="str">
        <f>IFERROR(__xludf.DUMMYFUNCTION("GOOGLETRANSLATE(C12065, ""en"", ""fa"")
"),"داستانی بسازید که در آن شخصیت اصلی یک کتابفروشی قدیمی را به ارث می برد و کتاب های جادویی را در قفسه های آن کشف می کند.")</f>
        <v>داستانی بسازید که در آن شخصیت اصلی یک کتابفروشی قدیمی را به ارث می برد و کتاب های جادویی را در قفسه های آن کشف می کند.</v>
      </c>
      <c r="H12065" s="1"/>
      <c r="I12065" s="1"/>
      <c r="J12065" s="1"/>
      <c r="K12065" s="1"/>
      <c r="L12065" s="1"/>
      <c r="M12065" s="1"/>
      <c r="N12065" s="1"/>
      <c r="O12065" s="1"/>
      <c r="P12065" s="1"/>
      <c r="Q12065" s="1"/>
      <c r="R12065" s="1"/>
      <c r="S12065" s="1"/>
      <c r="T12065" s="1"/>
      <c r="U12065" s="1"/>
      <c r="V12065" s="1"/>
      <c r="W12065" s="1"/>
      <c r="X12065" s="1"/>
      <c r="Y12065" s="1"/>
      <c r="Z12065" s="1"/>
      <c r="AA12065" s="1"/>
      <c r="AB12065" s="1"/>
    </row>
    <row r="12066" ht="50.25" customHeight="1">
      <c r="A12066" s="12">
        <v>12062.0</v>
      </c>
      <c r="B12066" s="13" t="s">
        <v>11856</v>
      </c>
      <c r="C12066" s="14" t="s">
        <v>11888</v>
      </c>
      <c r="D12066" s="1"/>
      <c r="E12066" s="1"/>
      <c r="F12066" s="1" t="str">
        <f>IFERROR(__xludf.DUMMYFUNCTION("GOOGLETRANSLATE(B12066, ""en"", ""fa"")
"),"نوشتن خلاق")</f>
        <v>نوشتن خلاق</v>
      </c>
      <c r="G12066" s="1" t="str">
        <f>IFERROR(__xludf.DUMMYFUNCTION("GOOGLETRANSLATE(C12066, ""en"", ""fa"")
"),"یک صحنه دیالوگ محور بین والدین و فرزند ایجاد کنید و رابطه پیچیده آنها را بررسی کنید.")</f>
        <v>یک صحنه دیالوگ محور بین والدین و فرزند ایجاد کنید و رابطه پیچیده آنها را بررسی کنید.</v>
      </c>
      <c r="H12066" s="1"/>
      <c r="I12066" s="1"/>
      <c r="J12066" s="1"/>
      <c r="K12066" s="1"/>
      <c r="L12066" s="1"/>
      <c r="M12066" s="1"/>
      <c r="N12066" s="1"/>
      <c r="O12066" s="1"/>
      <c r="P12066" s="1"/>
      <c r="Q12066" s="1"/>
      <c r="R12066" s="1"/>
      <c r="S12066" s="1"/>
      <c r="T12066" s="1"/>
      <c r="U12066" s="1"/>
      <c r="V12066" s="1"/>
      <c r="W12066" s="1"/>
      <c r="X12066" s="1"/>
      <c r="Y12066" s="1"/>
      <c r="Z12066" s="1"/>
      <c r="AA12066" s="1"/>
      <c r="AB12066" s="1"/>
    </row>
    <row r="12067" ht="50.25" customHeight="1">
      <c r="A12067" s="12">
        <v>12063.0</v>
      </c>
      <c r="B12067" s="13" t="s">
        <v>11856</v>
      </c>
      <c r="C12067" s="14" t="s">
        <v>11889</v>
      </c>
      <c r="D12067" s="1"/>
      <c r="E12067" s="1"/>
      <c r="F12067" s="1" t="str">
        <f>IFERROR(__xludf.DUMMYFUNCTION("GOOGLETRANSLATE(B12067, ""en"", ""fa"")
"),"نوشتن خلاق")</f>
        <v>نوشتن خلاق</v>
      </c>
      <c r="G12067" s="1" t="str">
        <f>IFERROR(__xludf.DUMMYFUNCTION("GOOGLETRANSLATE(C12067, ""en"", ""fa"")
"),"یک داستان اسطوره ای بر اساس یک خدای کمتر شناخته شده یا موجود فراطبیعی از یک فرهنگ خاص بنویسید.")</f>
        <v>یک داستان اسطوره ای بر اساس یک خدای کمتر شناخته شده یا موجود فراطبیعی از یک فرهنگ خاص بنویسید.</v>
      </c>
      <c r="H12067" s="1"/>
      <c r="I12067" s="1"/>
      <c r="J12067" s="1"/>
      <c r="K12067" s="1"/>
      <c r="L12067" s="1"/>
      <c r="M12067" s="1"/>
      <c r="N12067" s="1"/>
      <c r="O12067" s="1"/>
      <c r="P12067" s="1"/>
      <c r="Q12067" s="1"/>
      <c r="R12067" s="1"/>
      <c r="S12067" s="1"/>
      <c r="T12067" s="1"/>
      <c r="U12067" s="1"/>
      <c r="V12067" s="1"/>
      <c r="W12067" s="1"/>
      <c r="X12067" s="1"/>
      <c r="Y12067" s="1"/>
      <c r="Z12067" s="1"/>
      <c r="AA12067" s="1"/>
      <c r="AB12067" s="1"/>
    </row>
    <row r="12068" ht="50.25" customHeight="1">
      <c r="A12068" s="12">
        <v>12064.0</v>
      </c>
      <c r="B12068" s="13" t="s">
        <v>11856</v>
      </c>
      <c r="C12068" s="14" t="s">
        <v>11890</v>
      </c>
      <c r="D12068" s="1"/>
      <c r="E12068" s="1"/>
      <c r="F12068" s="1" t="str">
        <f>IFERROR(__xludf.DUMMYFUNCTION("GOOGLETRANSLATE(B12068, ""en"", ""fa"")
"),"نوشتن خلاق")</f>
        <v>نوشتن خلاق</v>
      </c>
      <c r="G12068" s="1" t="str">
        <f>IFERROR(__xludf.DUMMYFUNCTION("GOOGLETRANSLATE(C12068, ""en"", ""fa"")
"),"یک تریلر روانشناختی درباره شخصیتی بسازید که با عمیق ترین ترس ها و خواسته های خود دست و پنجه نرم می کند.")</f>
        <v>یک تریلر روانشناختی درباره شخصیتی بسازید که با عمیق ترین ترس ها و خواسته های خود دست و پنجه نرم می کند.</v>
      </c>
      <c r="H12068" s="1"/>
      <c r="I12068" s="1"/>
      <c r="J12068" s="1"/>
      <c r="K12068" s="1"/>
      <c r="L12068" s="1"/>
      <c r="M12068" s="1"/>
      <c r="N12068" s="1"/>
      <c r="O12068" s="1"/>
      <c r="P12068" s="1"/>
      <c r="Q12068" s="1"/>
      <c r="R12068" s="1"/>
      <c r="S12068" s="1"/>
      <c r="T12068" s="1"/>
      <c r="U12068" s="1"/>
      <c r="V12068" s="1"/>
      <c r="W12068" s="1"/>
      <c r="X12068" s="1"/>
      <c r="Y12068" s="1"/>
      <c r="Z12068" s="1"/>
      <c r="AA12068" s="1"/>
      <c r="AB12068" s="1"/>
    </row>
    <row r="12069" ht="50.25" customHeight="1">
      <c r="A12069" s="12">
        <v>12065.0</v>
      </c>
      <c r="B12069" s="13" t="s">
        <v>11856</v>
      </c>
      <c r="C12069" s="14" t="s">
        <v>11891</v>
      </c>
      <c r="D12069" s="1"/>
      <c r="E12069" s="1"/>
      <c r="F12069" s="1" t="str">
        <f>IFERROR(__xludf.DUMMYFUNCTION("GOOGLETRANSLATE(B12069, ""en"", ""fa"")
"),"نوشتن خلاق")</f>
        <v>نوشتن خلاق</v>
      </c>
      <c r="G12069" s="1" t="str">
        <f>IFERROR(__xludf.DUMMYFUNCTION("GOOGLETRANSLATE(C12069, ""en"", ""fa"")
"),"شعری بسازید که از جزئیات حسی واضح برای توصیف خاطره مورد علاقه دوران کودکی استفاده کند.")</f>
        <v>شعری بسازید که از جزئیات حسی واضح برای توصیف خاطره مورد علاقه دوران کودکی استفاده کند.</v>
      </c>
      <c r="H12069" s="1"/>
      <c r="I12069" s="1"/>
      <c r="J12069" s="1"/>
      <c r="K12069" s="1"/>
      <c r="L12069" s="1"/>
      <c r="M12069" s="1"/>
      <c r="N12069" s="1"/>
      <c r="O12069" s="1"/>
      <c r="P12069" s="1"/>
      <c r="Q12069" s="1"/>
      <c r="R12069" s="1"/>
      <c r="S12069" s="1"/>
      <c r="T12069" s="1"/>
      <c r="U12069" s="1"/>
      <c r="V12069" s="1"/>
      <c r="W12069" s="1"/>
      <c r="X12069" s="1"/>
      <c r="Y12069" s="1"/>
      <c r="Z12069" s="1"/>
      <c r="AA12069" s="1"/>
      <c r="AB12069" s="1"/>
    </row>
    <row r="12070" ht="50.25" customHeight="1">
      <c r="A12070" s="12">
        <v>12066.0</v>
      </c>
      <c r="B12070" s="13" t="s">
        <v>11856</v>
      </c>
      <c r="C12070" s="14" t="s">
        <v>11892</v>
      </c>
      <c r="D12070" s="1"/>
      <c r="E12070" s="1"/>
      <c r="F12070" s="1" t="str">
        <f>IFERROR(__xludf.DUMMYFUNCTION("GOOGLETRANSLATE(B12070, ""en"", ""fa"")
"),"نوشتن خلاق")</f>
        <v>نوشتن خلاق</v>
      </c>
      <c r="G12070" s="1" t="str">
        <f>IFERROR(__xludf.DUMMYFUNCTION("GOOGLETRANSLATE(C12070, ""en"", ""fa"")
"),"داستانی در مورد گروهی از دوستان بنویسید که به طور تصادفی به یک پورتال مخفی منتهی به یک جهان موازی برخورد می کنند.")</f>
        <v>داستانی در مورد گروهی از دوستان بنویسید که به طور تصادفی به یک پورتال مخفی منتهی به یک جهان موازی برخورد می کنند.</v>
      </c>
      <c r="H12070" s="1"/>
      <c r="I12070" s="1"/>
      <c r="J12070" s="1"/>
      <c r="K12070" s="1"/>
      <c r="L12070" s="1"/>
      <c r="M12070" s="1"/>
      <c r="N12070" s="1"/>
      <c r="O12070" s="1"/>
      <c r="P12070" s="1"/>
      <c r="Q12070" s="1"/>
      <c r="R12070" s="1"/>
      <c r="S12070" s="1"/>
      <c r="T12070" s="1"/>
      <c r="U12070" s="1"/>
      <c r="V12070" s="1"/>
      <c r="W12070" s="1"/>
      <c r="X12070" s="1"/>
      <c r="Y12070" s="1"/>
      <c r="Z12070" s="1"/>
      <c r="AA12070" s="1"/>
      <c r="AB12070" s="1"/>
    </row>
    <row r="12071" ht="50.25" customHeight="1">
      <c r="A12071" s="12">
        <v>12067.0</v>
      </c>
      <c r="B12071" s="13" t="s">
        <v>11856</v>
      </c>
      <c r="C12071" s="14" t="s">
        <v>11893</v>
      </c>
      <c r="D12071" s="1"/>
      <c r="E12071" s="1"/>
      <c r="F12071" s="1" t="str">
        <f>IFERROR(__xludf.DUMMYFUNCTION("GOOGLETRANSLATE(B12071, ""en"", ""fa"")
"),"نوشتن خلاق")</f>
        <v>نوشتن خلاق</v>
      </c>
      <c r="G12071" s="1" t="str">
        <f>IFERROR(__xludf.DUMMYFUNCTION("GOOGLETRANSLATE(C12071, ""en"", ""fa"")
"),"یک قطعه داستانی تاریخی را در یک دوره خاص توسعه دهید، وقایع و شخصیت‌های واقعی را در روایت بگنجانید.")</f>
        <v>یک قطعه داستانی تاریخی را در یک دوره خاص توسعه دهید، وقایع و شخصیت‌های واقعی را در روایت بگنجانید.</v>
      </c>
      <c r="H12071" s="1"/>
      <c r="I12071" s="1"/>
      <c r="J12071" s="1"/>
      <c r="K12071" s="1"/>
      <c r="L12071" s="1"/>
      <c r="M12071" s="1"/>
      <c r="N12071" s="1"/>
      <c r="O12071" s="1"/>
      <c r="P12071" s="1"/>
      <c r="Q12071" s="1"/>
      <c r="R12071" s="1"/>
      <c r="S12071" s="1"/>
      <c r="T12071" s="1"/>
      <c r="U12071" s="1"/>
      <c r="V12071" s="1"/>
      <c r="W12071" s="1"/>
      <c r="X12071" s="1"/>
      <c r="Y12071" s="1"/>
      <c r="Z12071" s="1"/>
      <c r="AA12071" s="1"/>
      <c r="AB12071" s="1"/>
    </row>
    <row r="12072" ht="50.25" customHeight="1">
      <c r="A12072" s="12">
        <v>12068.0</v>
      </c>
      <c r="B12072" s="13" t="s">
        <v>11856</v>
      </c>
      <c r="C12072" s="14" t="s">
        <v>11894</v>
      </c>
      <c r="D12072" s="1"/>
      <c r="E12072" s="1"/>
      <c r="F12072" s="1" t="str">
        <f>IFERROR(__xludf.DUMMYFUNCTION("GOOGLETRANSLATE(B12072, ""en"", ""fa"")
"),"نوشتن خلاق")</f>
        <v>نوشتن خلاق</v>
      </c>
      <c r="G12072" s="1" t="str">
        <f>IFERROR(__xludf.DUMMYFUNCTION("GOOGLETRANSLATE(C12072, ""en"", ""fa"")
"),"داستانی در مورد شخصی بسازید که دارای قدرت جاودانگی و چالش هایی است که در طول قرن ها با آن روبرو هستند.")</f>
        <v>داستانی در مورد شخصی بسازید که دارای قدرت جاودانگی و چالش هایی است که در طول قرن ها با آن روبرو هستند.</v>
      </c>
      <c r="H12072" s="1"/>
      <c r="I12072" s="1"/>
      <c r="J12072" s="1"/>
      <c r="K12072" s="1"/>
      <c r="L12072" s="1"/>
      <c r="M12072" s="1"/>
      <c r="N12072" s="1"/>
      <c r="O12072" s="1"/>
      <c r="P12072" s="1"/>
      <c r="Q12072" s="1"/>
      <c r="R12072" s="1"/>
      <c r="S12072" s="1"/>
      <c r="T12072" s="1"/>
      <c r="U12072" s="1"/>
      <c r="V12072" s="1"/>
      <c r="W12072" s="1"/>
      <c r="X12072" s="1"/>
      <c r="Y12072" s="1"/>
      <c r="Z12072" s="1"/>
      <c r="AA12072" s="1"/>
      <c r="AB12072" s="1"/>
    </row>
    <row r="12073" ht="50.25" customHeight="1">
      <c r="A12073" s="12">
        <v>12069.0</v>
      </c>
      <c r="B12073" s="13" t="s">
        <v>11856</v>
      </c>
      <c r="C12073" s="14" t="s">
        <v>11895</v>
      </c>
      <c r="D12073" s="1"/>
      <c r="E12073" s="1"/>
      <c r="F12073" s="1" t="str">
        <f>IFERROR(__xludf.DUMMYFUNCTION("GOOGLETRANSLATE(B12073, ""en"", ""fa"")
"),"نوشتن خلاق")</f>
        <v>نوشتن خلاق</v>
      </c>
      <c r="G12073" s="1" t="str">
        <f>IFERROR(__xludf.DUMMYFUNCTION("GOOGLETRANSLATE(C12073, ""en"", ""fa"")
"),"دیالوگی بین دو شخصیتی بنویسید که در یک جزیره بیابانی گیر افتاده اند و استراتژی های بقا و درگیری های آنها را بررسی کنید.")</f>
        <v>دیالوگی بین دو شخصیتی بنویسید که در یک جزیره بیابانی گیر افتاده اند و استراتژی های بقا و درگیری های آنها را بررسی کنید.</v>
      </c>
      <c r="H12073" s="1"/>
      <c r="I12073" s="1"/>
      <c r="J12073" s="1"/>
      <c r="K12073" s="1"/>
      <c r="L12073" s="1"/>
      <c r="M12073" s="1"/>
      <c r="N12073" s="1"/>
      <c r="O12073" s="1"/>
      <c r="P12073" s="1"/>
      <c r="Q12073" s="1"/>
      <c r="R12073" s="1"/>
      <c r="S12073" s="1"/>
      <c r="T12073" s="1"/>
      <c r="U12073" s="1"/>
      <c r="V12073" s="1"/>
      <c r="W12073" s="1"/>
      <c r="X12073" s="1"/>
      <c r="Y12073" s="1"/>
      <c r="Z12073" s="1"/>
      <c r="AA12073" s="1"/>
      <c r="AB12073" s="1"/>
    </row>
    <row r="12074" ht="50.25" customHeight="1">
      <c r="A12074" s="12">
        <v>12070.0</v>
      </c>
      <c r="B12074" s="13" t="s">
        <v>11856</v>
      </c>
      <c r="C12074" s="14" t="s">
        <v>11896</v>
      </c>
      <c r="D12074" s="1"/>
      <c r="E12074" s="1"/>
      <c r="F12074" s="1" t="str">
        <f>IFERROR(__xludf.DUMMYFUNCTION("GOOGLETRANSLATE(B12074, ""en"", ""fa"")
"),"نوشتن خلاق")</f>
        <v>نوشتن خلاق</v>
      </c>
      <c r="G12074" s="1" t="str">
        <f>IFERROR(__xludf.DUMMYFUNCTION("GOOGLETRANSLATE(C12074, ""en"", ""fa"")
"),"یک شعر یا داستان در مورد شخصیتی بسازید که گنج گمشده و اهمیت آن را در زندگی خود کشف می کند.")</f>
        <v>یک شعر یا داستان در مورد شخصیتی بسازید که گنج گمشده و اهمیت آن را در زندگی خود کشف می کند.</v>
      </c>
      <c r="H12074" s="1"/>
      <c r="I12074" s="1"/>
      <c r="J12074" s="1"/>
      <c r="K12074" s="1"/>
      <c r="L12074" s="1"/>
      <c r="M12074" s="1"/>
      <c r="N12074" s="1"/>
      <c r="O12074" s="1"/>
      <c r="P12074" s="1"/>
      <c r="Q12074" s="1"/>
      <c r="R12074" s="1"/>
      <c r="S12074" s="1"/>
      <c r="T12074" s="1"/>
      <c r="U12074" s="1"/>
      <c r="V12074" s="1"/>
      <c r="W12074" s="1"/>
      <c r="X12074" s="1"/>
      <c r="Y12074" s="1"/>
      <c r="Z12074" s="1"/>
      <c r="AA12074" s="1"/>
      <c r="AB12074" s="1"/>
    </row>
    <row r="12075" ht="50.25" customHeight="1">
      <c r="A12075" s="12">
        <v>12071.0</v>
      </c>
      <c r="B12075" s="13" t="s">
        <v>11856</v>
      </c>
      <c r="C12075" s="14" t="s">
        <v>11897</v>
      </c>
      <c r="D12075" s="1"/>
      <c r="E12075" s="1"/>
      <c r="F12075" s="1" t="str">
        <f>IFERROR(__xludf.DUMMYFUNCTION("GOOGLETRANSLATE(B12075, ""en"", ""fa"")
"),"نوشتن خلاق")</f>
        <v>نوشتن خلاق</v>
      </c>
      <c r="G12075" s="1" t="str">
        <f>IFERROR(__xludf.DUMMYFUNCTION("GOOGLETRANSLATE(C12075, ""en"", ""fa"")
"),"یک مجله سفر خیالی تهیه کنید که جزئیات یک سفر پرماجرا در یک سرزمین خیالی را شرح دهد.")</f>
        <v>یک مجله سفر خیالی تهیه کنید که جزئیات یک سفر پرماجرا در یک سرزمین خیالی را شرح دهد.</v>
      </c>
      <c r="H12075" s="1"/>
      <c r="I12075" s="1"/>
      <c r="J12075" s="1"/>
      <c r="K12075" s="1"/>
      <c r="L12075" s="1"/>
      <c r="M12075" s="1"/>
      <c r="N12075" s="1"/>
      <c r="O12075" s="1"/>
      <c r="P12075" s="1"/>
      <c r="Q12075" s="1"/>
      <c r="R12075" s="1"/>
      <c r="S12075" s="1"/>
      <c r="T12075" s="1"/>
      <c r="U12075" s="1"/>
      <c r="V12075" s="1"/>
      <c r="W12075" s="1"/>
      <c r="X12075" s="1"/>
      <c r="Y12075" s="1"/>
      <c r="Z12075" s="1"/>
      <c r="AA12075" s="1"/>
      <c r="AB12075" s="1"/>
    </row>
    <row r="12076" ht="50.25" customHeight="1">
      <c r="A12076" s="12">
        <v>12072.0</v>
      </c>
      <c r="B12076" s="13" t="s">
        <v>11856</v>
      </c>
      <c r="C12076" s="14" t="s">
        <v>11898</v>
      </c>
      <c r="D12076" s="1"/>
      <c r="E12076" s="1"/>
      <c r="F12076" s="1" t="str">
        <f>IFERROR(__xludf.DUMMYFUNCTION("GOOGLETRANSLATE(B12076, ""en"", ""fa"")
"),"نوشتن خلاق")</f>
        <v>نوشتن خلاق</v>
      </c>
      <c r="G12076" s="1" t="str">
        <f>IFERROR(__xludf.DUMMYFUNCTION("GOOGLETRANSLATE(C12076, ""en"", ""fa"")
"),"داستانی بنویسید که در آن قهرمان داستان توانایی دیدن آینده را داشته باشد اما با بار این دانش مبارزه کند.")</f>
        <v>داستانی بنویسید که در آن قهرمان داستان توانایی دیدن آینده را داشته باشد اما با بار این دانش مبارزه کند.</v>
      </c>
      <c r="H12076" s="1"/>
      <c r="I12076" s="1"/>
      <c r="J12076" s="1"/>
      <c r="K12076" s="1"/>
      <c r="L12076" s="1"/>
      <c r="M12076" s="1"/>
      <c r="N12076" s="1"/>
      <c r="O12076" s="1"/>
      <c r="P12076" s="1"/>
      <c r="Q12076" s="1"/>
      <c r="R12076" s="1"/>
      <c r="S12076" s="1"/>
      <c r="T12076" s="1"/>
      <c r="U12076" s="1"/>
      <c r="V12076" s="1"/>
      <c r="W12076" s="1"/>
      <c r="X12076" s="1"/>
      <c r="Y12076" s="1"/>
      <c r="Z12076" s="1"/>
      <c r="AA12076" s="1"/>
      <c r="AB12076" s="1"/>
    </row>
    <row r="12077" ht="50.25" customHeight="1">
      <c r="A12077" s="12">
        <v>12073.0</v>
      </c>
      <c r="B12077" s="13" t="s">
        <v>11856</v>
      </c>
      <c r="C12077" s="14" t="s">
        <v>11899</v>
      </c>
      <c r="D12077" s="1"/>
      <c r="E12077" s="1"/>
      <c r="F12077" s="1" t="str">
        <f>IFERROR(__xludf.DUMMYFUNCTION("GOOGLETRANSLATE(B12077, ""en"", ""fa"")
"),"نوشتن خلاق")</f>
        <v>نوشتن خلاق</v>
      </c>
      <c r="G12077" s="1" t="str">
        <f>IFERROR(__xludf.DUMMYFUNCTION("GOOGLETRANSLATE(C12077, ""en"", ""fa"")
"),"یک صحنه دیالوگ محور بین دو دوست قدیمی که پس از سال ها دوری دوباره به هم می رسند بسازید.")</f>
        <v>یک صحنه دیالوگ محور بین دو دوست قدیمی که پس از سال ها دوری دوباره به هم می رسند بسازید.</v>
      </c>
      <c r="H12077" s="1"/>
      <c r="I12077" s="1"/>
      <c r="J12077" s="1"/>
      <c r="K12077" s="1"/>
      <c r="L12077" s="1"/>
      <c r="M12077" s="1"/>
      <c r="N12077" s="1"/>
      <c r="O12077" s="1"/>
      <c r="P12077" s="1"/>
      <c r="Q12077" s="1"/>
      <c r="R12077" s="1"/>
      <c r="S12077" s="1"/>
      <c r="T12077" s="1"/>
      <c r="U12077" s="1"/>
      <c r="V12077" s="1"/>
      <c r="W12077" s="1"/>
      <c r="X12077" s="1"/>
      <c r="Y12077" s="1"/>
      <c r="Z12077" s="1"/>
      <c r="AA12077" s="1"/>
      <c r="AB12077" s="1"/>
    </row>
    <row r="12078" ht="50.25" customHeight="1">
      <c r="A12078" s="12">
        <v>12074.0</v>
      </c>
      <c r="B12078" s="13" t="s">
        <v>11856</v>
      </c>
      <c r="C12078" s="14" t="s">
        <v>11900</v>
      </c>
      <c r="D12078" s="1"/>
      <c r="E12078" s="1"/>
      <c r="F12078" s="1" t="str">
        <f>IFERROR(__xludf.DUMMYFUNCTION("GOOGLETRANSLATE(B12078, ""en"", ""fa"")
"),"نوشتن خلاق")</f>
        <v>نوشتن خلاق</v>
      </c>
      <c r="G12078" s="1" t="str">
        <f>IFERROR(__xludf.DUMMYFUNCTION("GOOGLETRANSLATE(C12078, ""en"", ""fa"")
"),"یک داستان علمی تخیلی آینده نگرانه در مورد جامعه ای بسازید که در آن احساسات و عواقب شورش کنترل می شود.")</f>
        <v>یک داستان علمی تخیلی آینده نگرانه در مورد جامعه ای بسازید که در آن احساسات و عواقب شورش کنترل می شود.</v>
      </c>
      <c r="H12078" s="1"/>
      <c r="I12078" s="1"/>
      <c r="J12078" s="1"/>
      <c r="K12078" s="1"/>
      <c r="L12078" s="1"/>
      <c r="M12078" s="1"/>
      <c r="N12078" s="1"/>
      <c r="O12078" s="1"/>
      <c r="P12078" s="1"/>
      <c r="Q12078" s="1"/>
      <c r="R12078" s="1"/>
      <c r="S12078" s="1"/>
      <c r="T12078" s="1"/>
      <c r="U12078" s="1"/>
      <c r="V12078" s="1"/>
      <c r="W12078" s="1"/>
      <c r="X12078" s="1"/>
      <c r="Y12078" s="1"/>
      <c r="Z12078" s="1"/>
      <c r="AA12078" s="1"/>
      <c r="AB12078" s="1"/>
    </row>
    <row r="12079" ht="50.25" customHeight="1">
      <c r="A12079" s="12">
        <v>12075.0</v>
      </c>
      <c r="B12079" s="13" t="s">
        <v>11856</v>
      </c>
      <c r="C12079" s="14" t="s">
        <v>11901</v>
      </c>
      <c r="D12079" s="1"/>
      <c r="E12079" s="1"/>
      <c r="F12079" s="1" t="str">
        <f>IFERROR(__xludf.DUMMYFUNCTION("GOOGLETRANSLATE(B12079, ""en"", ""fa"")
"),"نوشتن خلاق")</f>
        <v>نوشتن خلاق</v>
      </c>
      <c r="G12079" s="1" t="str">
        <f>IFERROR(__xludf.DUMMYFUNCTION("GOOGLETRANSLATE(C12079, ""en"", ""fa"")
"),"شعر یا داستانی در مورد قدرت دگرگون کننده عشق و تاثیر آن بر زندگی شخصیت ها بنویسید.")</f>
        <v>شعر یا داستانی در مورد قدرت دگرگون کننده عشق و تاثیر آن بر زندگی شخصیت ها بنویسید.</v>
      </c>
      <c r="H12079" s="1"/>
      <c r="I12079" s="1"/>
      <c r="J12079" s="1"/>
      <c r="K12079" s="1"/>
      <c r="L12079" s="1"/>
      <c r="M12079" s="1"/>
      <c r="N12079" s="1"/>
      <c r="O12079" s="1"/>
      <c r="P12079" s="1"/>
      <c r="Q12079" s="1"/>
      <c r="R12079" s="1"/>
      <c r="S12079" s="1"/>
      <c r="T12079" s="1"/>
      <c r="U12079" s="1"/>
      <c r="V12079" s="1"/>
      <c r="W12079" s="1"/>
      <c r="X12079" s="1"/>
      <c r="Y12079" s="1"/>
      <c r="Z12079" s="1"/>
      <c r="AA12079" s="1"/>
      <c r="AB12079" s="1"/>
    </row>
    <row r="12080" ht="50.25" customHeight="1">
      <c r="A12080" s="12">
        <v>12076.0</v>
      </c>
      <c r="B12080" s="13" t="s">
        <v>11856</v>
      </c>
      <c r="C12080" s="14" t="s">
        <v>11902</v>
      </c>
      <c r="D12080" s="1"/>
      <c r="E12080" s="1"/>
      <c r="F12080" s="1" t="str">
        <f>IFERROR(__xludf.DUMMYFUNCTION("GOOGLETRANSLATE(B12080, ""en"", ""fa"")
"),"نوشتن خلاق")</f>
        <v>نوشتن خلاق</v>
      </c>
      <c r="G12080" s="1" t="str">
        <f>IFERROR(__xludf.DUMMYFUNCTION("GOOGLETRANSLATE(C12080, ""en"", ""fa"")
"),"یک داستان فانتزی بسازید که در آن موجودات جادویی با انسان ها همزیستی داشته باشند و درگیری بین دو جهان ایجاد شود.")</f>
        <v>یک داستان فانتزی بسازید که در آن موجودات جادویی با انسان ها همزیستی داشته باشند و درگیری بین دو جهان ایجاد شود.</v>
      </c>
      <c r="H12080" s="1"/>
      <c r="I12080" s="1"/>
      <c r="J12080" s="1"/>
      <c r="K12080" s="1"/>
      <c r="L12080" s="1"/>
      <c r="M12080" s="1"/>
      <c r="N12080" s="1"/>
      <c r="O12080" s="1"/>
      <c r="P12080" s="1"/>
      <c r="Q12080" s="1"/>
      <c r="R12080" s="1"/>
      <c r="S12080" s="1"/>
      <c r="T12080" s="1"/>
      <c r="U12080" s="1"/>
      <c r="V12080" s="1"/>
      <c r="W12080" s="1"/>
      <c r="X12080" s="1"/>
      <c r="Y12080" s="1"/>
      <c r="Z12080" s="1"/>
      <c r="AA12080" s="1"/>
      <c r="AB12080" s="1"/>
    </row>
    <row r="12081" ht="50.25" customHeight="1">
      <c r="A12081" s="12">
        <v>12077.0</v>
      </c>
      <c r="B12081" s="13" t="s">
        <v>11856</v>
      </c>
      <c r="C12081" s="14" t="s">
        <v>11903</v>
      </c>
      <c r="D12081" s="1"/>
      <c r="E12081" s="1"/>
      <c r="F12081" s="1" t="str">
        <f>IFERROR(__xludf.DUMMYFUNCTION("GOOGLETRANSLATE(B12081, ""en"", ""fa"")
"),"نوشتن خلاق")</f>
        <v>نوشتن خلاق</v>
      </c>
      <c r="G12081" s="1" t="str">
        <f>IFERROR(__xludf.DUMMYFUNCTION("GOOGLETRANSLATE(C12081, ""en"", ""fa"")
"),"یک داستان اسرارآمیز را در یک عمارت بزرگ بسازید، جایی که شخصیت اصلی باید اسرار پنهان را در میان ساکنان کشف کند.")</f>
        <v>یک داستان اسرارآمیز را در یک عمارت بزرگ بسازید، جایی که شخصیت اصلی باید اسرار پنهان را در میان ساکنان کشف کند.</v>
      </c>
      <c r="H12081" s="1"/>
      <c r="I12081" s="1"/>
      <c r="J12081" s="1"/>
      <c r="K12081" s="1"/>
      <c r="L12081" s="1"/>
      <c r="M12081" s="1"/>
      <c r="N12081" s="1"/>
      <c r="O12081" s="1"/>
      <c r="P12081" s="1"/>
      <c r="Q12081" s="1"/>
      <c r="R12081" s="1"/>
      <c r="S12081" s="1"/>
      <c r="T12081" s="1"/>
      <c r="U12081" s="1"/>
      <c r="V12081" s="1"/>
      <c r="W12081" s="1"/>
      <c r="X12081" s="1"/>
      <c r="Y12081" s="1"/>
      <c r="Z12081" s="1"/>
      <c r="AA12081" s="1"/>
      <c r="AB12081" s="1"/>
    </row>
    <row r="12082" ht="50.25" customHeight="1">
      <c r="A12082" s="12">
        <v>12078.0</v>
      </c>
      <c r="B12082" s="13" t="s">
        <v>11856</v>
      </c>
      <c r="C12082" s="14" t="s">
        <v>11904</v>
      </c>
      <c r="D12082" s="1"/>
      <c r="E12082" s="1"/>
      <c r="F12082" s="1" t="str">
        <f>IFERROR(__xludf.DUMMYFUNCTION("GOOGLETRANSLATE(B12082, ""en"", ""fa"")
"),"نوشتن خلاق")</f>
        <v>نوشتن خلاق</v>
      </c>
      <c r="G12082" s="1" t="str">
        <f>IFERROR(__xludf.DUMMYFUNCTION("GOOGLETRANSLATE(C12082, ""en"", ""fa"")
"),"شعر یا داستانی را با الهام از یک آهنگ یا قطعه موسیقی خاص بنویسید و جوهر و احساسات آن را به تصویر بکشید.")</f>
        <v>شعر یا داستانی را با الهام از یک آهنگ یا قطعه موسیقی خاص بنویسید و جوهر و احساسات آن را به تصویر بکشید.</v>
      </c>
      <c r="H12082" s="1"/>
      <c r="I12082" s="1"/>
      <c r="J12082" s="1"/>
      <c r="K12082" s="1"/>
      <c r="L12082" s="1"/>
      <c r="M12082" s="1"/>
      <c r="N12082" s="1"/>
      <c r="O12082" s="1"/>
      <c r="P12082" s="1"/>
      <c r="Q12082" s="1"/>
      <c r="R12082" s="1"/>
      <c r="S12082" s="1"/>
      <c r="T12082" s="1"/>
      <c r="U12082" s="1"/>
      <c r="V12082" s="1"/>
      <c r="W12082" s="1"/>
      <c r="X12082" s="1"/>
      <c r="Y12082" s="1"/>
      <c r="Z12082" s="1"/>
      <c r="AA12082" s="1"/>
      <c r="AB12082" s="1"/>
    </row>
    <row r="12083" ht="50.25" customHeight="1">
      <c r="A12083" s="12">
        <v>12079.0</v>
      </c>
      <c r="B12083" s="13" t="s">
        <v>11856</v>
      </c>
      <c r="C12083" s="14" t="s">
        <v>11905</v>
      </c>
      <c r="D12083" s="1"/>
      <c r="E12083" s="1"/>
      <c r="F12083" s="1" t="str">
        <f>IFERROR(__xludf.DUMMYFUNCTION("GOOGLETRANSLATE(B12083, ""en"", ""fa"")
"),"نوشتن خلاق")</f>
        <v>نوشتن خلاق</v>
      </c>
      <c r="G12083" s="1" t="str">
        <f>IFERROR(__xludf.DUMMYFUNCTION("GOOGLETRANSLATE(C12083, ""en"", ""fa"")
"),"یک فیلم هیجان انگیز در مورد شخصیتی بسازید که پیام های مرموز و تهدیدآمیزی دریافت می کند و آنها را به تعقیب و گریز برای کشف هویت فرستنده هدایت می کند.")</f>
        <v>یک فیلم هیجان انگیز در مورد شخصیتی بسازید که پیام های مرموز و تهدیدآمیزی دریافت می کند و آنها را به تعقیب و گریز برای کشف هویت فرستنده هدایت می کند.</v>
      </c>
      <c r="H12083" s="1"/>
      <c r="I12083" s="1"/>
      <c r="J12083" s="1"/>
      <c r="K12083" s="1"/>
      <c r="L12083" s="1"/>
      <c r="M12083" s="1"/>
      <c r="N12083" s="1"/>
      <c r="O12083" s="1"/>
      <c r="P12083" s="1"/>
      <c r="Q12083" s="1"/>
      <c r="R12083" s="1"/>
      <c r="S12083" s="1"/>
      <c r="T12083" s="1"/>
      <c r="U12083" s="1"/>
      <c r="V12083" s="1"/>
      <c r="W12083" s="1"/>
      <c r="X12083" s="1"/>
      <c r="Y12083" s="1"/>
      <c r="Z12083" s="1"/>
      <c r="AA12083" s="1"/>
      <c r="AB12083" s="1"/>
    </row>
    <row r="12084" ht="50.25" customHeight="1">
      <c r="A12084" s="12">
        <v>12080.0</v>
      </c>
      <c r="B12084" s="13" t="s">
        <v>11856</v>
      </c>
      <c r="C12084" s="14" t="s">
        <v>11906</v>
      </c>
      <c r="D12084" s="1"/>
      <c r="E12084" s="1"/>
      <c r="F12084" s="1" t="str">
        <f>IFERROR(__xludf.DUMMYFUNCTION("GOOGLETRANSLATE(B12084, ""en"", ""fa"")
"),"نوشتن خلاق")</f>
        <v>نوشتن خلاق</v>
      </c>
      <c r="G12084" s="1" t="str">
        <f>IFERROR(__xludf.DUMMYFUNCTION("GOOGLETRANSLATE(C12084, ""en"", ""fa"")
"),"داستانی تمثیلی بسازید که به مسائل اجتماعی یا سیاسی معاصر از طریق شخصیت ها و محیط های تخیلی بپردازد.")</f>
        <v>داستانی تمثیلی بسازید که به مسائل اجتماعی یا سیاسی معاصر از طریق شخصیت ها و محیط های تخیلی بپردازد.</v>
      </c>
      <c r="H12084" s="1"/>
      <c r="I12084" s="1"/>
      <c r="J12084" s="1"/>
      <c r="K12084" s="1"/>
      <c r="L12084" s="1"/>
      <c r="M12084" s="1"/>
      <c r="N12084" s="1"/>
      <c r="O12084" s="1"/>
      <c r="P12084" s="1"/>
      <c r="Q12084" s="1"/>
      <c r="R12084" s="1"/>
      <c r="S12084" s="1"/>
      <c r="T12084" s="1"/>
      <c r="U12084" s="1"/>
      <c r="V12084" s="1"/>
      <c r="W12084" s="1"/>
      <c r="X12084" s="1"/>
      <c r="Y12084" s="1"/>
      <c r="Z12084" s="1"/>
      <c r="AA12084" s="1"/>
      <c r="AB12084" s="1"/>
    </row>
    <row r="12085" ht="50.25" customHeight="1">
      <c r="A12085" s="12">
        <v>12081.0</v>
      </c>
      <c r="B12085" s="13" t="s">
        <v>11856</v>
      </c>
      <c r="C12085" s="14" t="s">
        <v>11907</v>
      </c>
      <c r="D12085" s="1"/>
      <c r="E12085" s="1"/>
      <c r="F12085" s="1" t="str">
        <f>IFERROR(__xludf.DUMMYFUNCTION("GOOGLETRANSLATE(B12085, ""en"", ""fa"")
"),"نوشتن خلاق")</f>
        <v>نوشتن خلاق</v>
      </c>
      <c r="G12085" s="1" t="str">
        <f>IFERROR(__xludf.DUMMYFUNCTION("GOOGLETRANSLATE(C12085, ""en"", ""fa"")
"),"داستانی در مورد شخصی بنویسید که یک روز با توانایی صحبت کردن و درک هر زبان دنیا از خواب بیدار می شود.")</f>
        <v>داستانی در مورد شخصی بنویسید که یک روز با توانایی صحبت کردن و درک هر زبان دنیا از خواب بیدار می شود.</v>
      </c>
      <c r="H12085" s="1"/>
      <c r="I12085" s="1"/>
      <c r="J12085" s="1"/>
      <c r="K12085" s="1"/>
      <c r="L12085" s="1"/>
      <c r="M12085" s="1"/>
      <c r="N12085" s="1"/>
      <c r="O12085" s="1"/>
      <c r="P12085" s="1"/>
      <c r="Q12085" s="1"/>
      <c r="R12085" s="1"/>
      <c r="S12085" s="1"/>
      <c r="T12085" s="1"/>
      <c r="U12085" s="1"/>
      <c r="V12085" s="1"/>
      <c r="W12085" s="1"/>
      <c r="X12085" s="1"/>
      <c r="Y12085" s="1"/>
      <c r="Z12085" s="1"/>
      <c r="AA12085" s="1"/>
      <c r="AB12085" s="1"/>
    </row>
    <row r="12086" ht="50.25" customHeight="1">
      <c r="A12086" s="12">
        <v>12082.0</v>
      </c>
      <c r="B12086" s="13" t="s">
        <v>11856</v>
      </c>
      <c r="C12086" s="14" t="s">
        <v>11908</v>
      </c>
      <c r="D12086" s="1"/>
      <c r="E12086" s="1"/>
      <c r="F12086" s="1" t="str">
        <f>IFERROR(__xludf.DUMMYFUNCTION("GOOGLETRANSLATE(B12086, ""en"", ""fa"")
"),"نوشتن خلاق")</f>
        <v>نوشتن خلاق</v>
      </c>
      <c r="G12086" s="1" t="str">
        <f>IFERROR(__xludf.DUMMYFUNCTION("GOOGLETRANSLATE(C12086, ""en"", ""fa"")
"),"یک شعر یا داستان با الهام از یک رویداد آسمانی، مانند بارش شهابی یا ماه گرفتگی بسازید.")</f>
        <v>یک شعر یا داستان با الهام از یک رویداد آسمانی، مانند بارش شهابی یا ماه گرفتگی بسازید.</v>
      </c>
      <c r="H12086" s="1"/>
      <c r="I12086" s="1"/>
      <c r="J12086" s="1"/>
      <c r="K12086" s="1"/>
      <c r="L12086" s="1"/>
      <c r="M12086" s="1"/>
      <c r="N12086" s="1"/>
      <c r="O12086" s="1"/>
      <c r="P12086" s="1"/>
      <c r="Q12086" s="1"/>
      <c r="R12086" s="1"/>
      <c r="S12086" s="1"/>
      <c r="T12086" s="1"/>
      <c r="U12086" s="1"/>
      <c r="V12086" s="1"/>
      <c r="W12086" s="1"/>
      <c r="X12086" s="1"/>
      <c r="Y12086" s="1"/>
      <c r="Z12086" s="1"/>
      <c r="AA12086" s="1"/>
      <c r="AB12086" s="1"/>
    </row>
    <row r="12087" ht="50.25" customHeight="1">
      <c r="A12087" s="12">
        <v>12083.0</v>
      </c>
      <c r="B12087" s="13" t="s">
        <v>11856</v>
      </c>
      <c r="C12087" s="14" t="s">
        <v>11909</v>
      </c>
      <c r="D12087" s="1"/>
      <c r="E12087" s="1"/>
      <c r="F12087" s="1" t="str">
        <f>IFERROR(__xludf.DUMMYFUNCTION("GOOGLETRANSLATE(B12087, ""en"", ""fa"")
"),"نوشتن خلاق")</f>
        <v>نوشتن خلاق</v>
      </c>
      <c r="G12087" s="1" t="str">
        <f>IFERROR(__xludf.DUMMYFUNCTION("GOOGLETRANSLATE(C12087, ""en"", ""fa"")
"),"یک فیلم هیجان انگیز در یک شهر کوچک و منزوی بسازید که ساکنان آن اسرار تاریک را در خود دارند.")</f>
        <v>یک فیلم هیجان انگیز در یک شهر کوچک و منزوی بسازید که ساکنان آن اسرار تاریک را در خود دارند.</v>
      </c>
      <c r="H12087" s="1"/>
      <c r="I12087" s="1"/>
      <c r="J12087" s="1"/>
      <c r="K12087" s="1"/>
      <c r="L12087" s="1"/>
      <c r="M12087" s="1"/>
      <c r="N12087" s="1"/>
      <c r="O12087" s="1"/>
      <c r="P12087" s="1"/>
      <c r="Q12087" s="1"/>
      <c r="R12087" s="1"/>
      <c r="S12087" s="1"/>
      <c r="T12087" s="1"/>
      <c r="U12087" s="1"/>
      <c r="V12087" s="1"/>
      <c r="W12087" s="1"/>
      <c r="X12087" s="1"/>
      <c r="Y12087" s="1"/>
      <c r="Z12087" s="1"/>
      <c r="AA12087" s="1"/>
      <c r="AB12087" s="1"/>
    </row>
    <row r="12088" ht="50.25" customHeight="1">
      <c r="A12088" s="12">
        <v>12084.0</v>
      </c>
      <c r="B12088" s="13" t="s">
        <v>11856</v>
      </c>
      <c r="C12088" s="14" t="s">
        <v>11910</v>
      </c>
      <c r="D12088" s="1"/>
      <c r="E12088" s="1"/>
      <c r="F12088" s="1" t="str">
        <f>IFERROR(__xludf.DUMMYFUNCTION("GOOGLETRANSLATE(B12088, ""en"", ""fa"")
"),"نوشتن خلاق")</f>
        <v>نوشتن خلاق</v>
      </c>
      <c r="G12088" s="1" t="str">
        <f>IFERROR(__xludf.DUMMYFUNCTION("GOOGLETRANSLATE(C12088, ""en"", ""fa"")
"),"یک داستان علمی تخیلی درباره یک کاوشگر در سفر در زمان بسازید که از لحظات مهم تاریخ بازدید می کند.")</f>
        <v>یک داستان علمی تخیلی درباره یک کاوشگر در سفر در زمان بسازید که از لحظات مهم تاریخ بازدید می کند.</v>
      </c>
      <c r="H12088" s="1"/>
      <c r="I12088" s="1"/>
      <c r="J12088" s="1"/>
      <c r="K12088" s="1"/>
      <c r="L12088" s="1"/>
      <c r="M12088" s="1"/>
      <c r="N12088" s="1"/>
      <c r="O12088" s="1"/>
      <c r="P12088" s="1"/>
      <c r="Q12088" s="1"/>
      <c r="R12088" s="1"/>
      <c r="S12088" s="1"/>
      <c r="T12088" s="1"/>
      <c r="U12088" s="1"/>
      <c r="V12088" s="1"/>
      <c r="W12088" s="1"/>
      <c r="X12088" s="1"/>
      <c r="Y12088" s="1"/>
      <c r="Z12088" s="1"/>
      <c r="AA12088" s="1"/>
      <c r="AB12088" s="1"/>
    </row>
    <row r="12089" ht="50.25" customHeight="1">
      <c r="A12089" s="12">
        <v>12085.0</v>
      </c>
      <c r="B12089" s="13" t="s">
        <v>11856</v>
      </c>
      <c r="C12089" s="14" t="s">
        <v>11911</v>
      </c>
      <c r="D12089" s="1"/>
      <c r="E12089" s="1"/>
      <c r="F12089" s="1" t="str">
        <f>IFERROR(__xludf.DUMMYFUNCTION("GOOGLETRANSLATE(B12089, ""en"", ""fa"")
"),"نوشتن خلاق")</f>
        <v>نوشتن خلاق</v>
      </c>
      <c r="G12089" s="1" t="str">
        <f>IFERROR(__xludf.DUMMYFUNCTION("GOOGLETRANSLATE(C12089, ""en"", ""fa"")
"),"یک درام شخصیت محور بنویسید که حول یک گردهمایی خانوادگی با تنش‌ها و درگیری‌های طولانی مدتی که دوباره ظاهر می‌شوند، متمرکز است.")</f>
        <v>یک درام شخصیت محور بنویسید که حول یک گردهمایی خانوادگی با تنش‌ها و درگیری‌های طولانی مدتی که دوباره ظاهر می‌شوند، متمرکز است.</v>
      </c>
      <c r="H12089" s="1"/>
      <c r="I12089" s="1"/>
      <c r="J12089" s="1"/>
      <c r="K12089" s="1"/>
      <c r="L12089" s="1"/>
      <c r="M12089" s="1"/>
      <c r="N12089" s="1"/>
      <c r="O12089" s="1"/>
      <c r="P12089" s="1"/>
      <c r="Q12089" s="1"/>
      <c r="R12089" s="1"/>
      <c r="S12089" s="1"/>
      <c r="T12089" s="1"/>
      <c r="U12089" s="1"/>
      <c r="V12089" s="1"/>
      <c r="W12089" s="1"/>
      <c r="X12089" s="1"/>
      <c r="Y12089" s="1"/>
      <c r="Z12089" s="1"/>
      <c r="AA12089" s="1"/>
      <c r="AB12089" s="1"/>
    </row>
    <row r="12090" ht="50.25" customHeight="1">
      <c r="A12090" s="12">
        <v>12086.0</v>
      </c>
      <c r="B12090" s="13" t="s">
        <v>11856</v>
      </c>
      <c r="C12090" s="14" t="s">
        <v>11912</v>
      </c>
      <c r="D12090" s="1"/>
      <c r="E12090" s="1"/>
      <c r="F12090" s="1" t="str">
        <f>IFERROR(__xludf.DUMMYFUNCTION("GOOGLETRANSLATE(B12090, ""en"", ""fa"")
"),"نوشتن خلاق")</f>
        <v>نوشتن خلاق</v>
      </c>
      <c r="G12090" s="1" t="str">
        <f>IFERROR(__xludf.DUMMYFUNCTION("GOOGLETRANSLATE(C12090, ""en"", ""fa"")
"),"یک داستان فانتزی درباره گروهی از قهرمانان بعید بسازید که در تلاش برای نجات دنیای خود از شر باستانی هستند.")</f>
        <v>یک داستان فانتزی درباره گروهی از قهرمانان بعید بسازید که در تلاش برای نجات دنیای خود از شر باستانی هستند.</v>
      </c>
      <c r="H12090" s="1"/>
      <c r="I12090" s="1"/>
      <c r="J12090" s="1"/>
      <c r="K12090" s="1"/>
      <c r="L12090" s="1"/>
      <c r="M12090" s="1"/>
      <c r="N12090" s="1"/>
      <c r="O12090" s="1"/>
      <c r="P12090" s="1"/>
      <c r="Q12090" s="1"/>
      <c r="R12090" s="1"/>
      <c r="S12090" s="1"/>
      <c r="T12090" s="1"/>
      <c r="U12090" s="1"/>
      <c r="V12090" s="1"/>
      <c r="W12090" s="1"/>
      <c r="X12090" s="1"/>
      <c r="Y12090" s="1"/>
      <c r="Z12090" s="1"/>
      <c r="AA12090" s="1"/>
      <c r="AB12090" s="1"/>
    </row>
    <row r="12091" ht="50.25" customHeight="1">
      <c r="A12091" s="12">
        <v>12087.0</v>
      </c>
      <c r="B12091" s="13" t="s">
        <v>11856</v>
      </c>
      <c r="C12091" s="14" t="s">
        <v>11913</v>
      </c>
      <c r="D12091" s="1"/>
      <c r="E12091" s="1"/>
      <c r="F12091" s="1" t="str">
        <f>IFERROR(__xludf.DUMMYFUNCTION("GOOGLETRANSLATE(B12091, ""en"", ""fa"")
"),"نوشتن خلاق")</f>
        <v>نوشتن خلاق</v>
      </c>
      <c r="G12091" s="1" t="str">
        <f>IFERROR(__xludf.DUMMYFUNCTION("GOOGLETRANSLATE(C12091, ""en"", ""fa"")
"),"شعری بسازید که پیچیدگی های احساسات انسانی را بررسی کند و از رنگ های مختلف الهام بگیرد.")</f>
        <v>شعری بسازید که پیچیدگی های احساسات انسانی را بررسی کند و از رنگ های مختلف الهام بگیرد.</v>
      </c>
      <c r="H12091" s="1"/>
      <c r="I12091" s="1"/>
      <c r="J12091" s="1"/>
      <c r="K12091" s="1"/>
      <c r="L12091" s="1"/>
      <c r="M12091" s="1"/>
      <c r="N12091" s="1"/>
      <c r="O12091" s="1"/>
      <c r="P12091" s="1"/>
      <c r="Q12091" s="1"/>
      <c r="R12091" s="1"/>
      <c r="S12091" s="1"/>
      <c r="T12091" s="1"/>
      <c r="U12091" s="1"/>
      <c r="V12091" s="1"/>
      <c r="W12091" s="1"/>
      <c r="X12091" s="1"/>
      <c r="Y12091" s="1"/>
      <c r="Z12091" s="1"/>
      <c r="AA12091" s="1"/>
      <c r="AB12091" s="1"/>
    </row>
    <row r="12092" ht="50.25" customHeight="1">
      <c r="A12092" s="12">
        <v>12088.0</v>
      </c>
      <c r="B12092" s="13" t="s">
        <v>11856</v>
      </c>
      <c r="C12092" s="14" t="s">
        <v>11914</v>
      </c>
      <c r="D12092" s="1"/>
      <c r="E12092" s="1"/>
      <c r="F12092" s="1" t="str">
        <f>IFERROR(__xludf.DUMMYFUNCTION("GOOGLETRANSLATE(B12092, ""en"", ""fa"")
"),"نوشتن خلاق")</f>
        <v>نوشتن خلاق</v>
      </c>
      <c r="G12092" s="1" t="str">
        <f>IFERROR(__xludf.DUMMYFUNCTION("GOOGLETRANSLATE(C12092, ""en"", ""fa"")
"),"داستانی در مورد شخصی بنویسید که متوجه می شود قدرت ورود و کشف رویاهای خود را دارد.")</f>
        <v>داستانی در مورد شخصی بنویسید که متوجه می شود قدرت ورود و کشف رویاهای خود را دارد.</v>
      </c>
      <c r="H12092" s="1"/>
      <c r="I12092" s="1"/>
      <c r="J12092" s="1"/>
      <c r="K12092" s="1"/>
      <c r="L12092" s="1"/>
      <c r="M12092" s="1"/>
      <c r="N12092" s="1"/>
      <c r="O12092" s="1"/>
      <c r="P12092" s="1"/>
      <c r="Q12092" s="1"/>
      <c r="R12092" s="1"/>
      <c r="S12092" s="1"/>
      <c r="T12092" s="1"/>
      <c r="U12092" s="1"/>
      <c r="V12092" s="1"/>
      <c r="W12092" s="1"/>
      <c r="X12092" s="1"/>
      <c r="Y12092" s="1"/>
      <c r="Z12092" s="1"/>
      <c r="AA12092" s="1"/>
      <c r="AB12092" s="1"/>
    </row>
    <row r="12093" ht="50.25" customHeight="1">
      <c r="A12093" s="12">
        <v>12089.0</v>
      </c>
      <c r="B12093" s="13" t="s">
        <v>11856</v>
      </c>
      <c r="C12093" s="14" t="s">
        <v>11915</v>
      </c>
      <c r="D12093" s="1"/>
      <c r="E12093" s="1"/>
      <c r="F12093" s="1" t="str">
        <f>IFERROR(__xludf.DUMMYFUNCTION("GOOGLETRANSLATE(B12093, ""en"", ""fa"")
"),"نوشتن خلاق")</f>
        <v>نوشتن خلاق</v>
      </c>
      <c r="G12093" s="1" t="str">
        <f>IFERROR(__xludf.DUMMYFUNCTION("GOOGLETRANSLATE(C12093, ""en"", ""fa"")
"),"جامعه ای دیستوپیایی ایجاد کنید که در آن کتاب و ادبیات ممنوع است و گروهی از شورشیان به دنبال حفظ دانش هستند.")</f>
        <v>جامعه ای دیستوپیایی ایجاد کنید که در آن کتاب و ادبیات ممنوع است و گروهی از شورشیان به دنبال حفظ دانش هستند.</v>
      </c>
      <c r="H12093" s="1"/>
      <c r="I12093" s="1"/>
      <c r="J12093" s="1"/>
      <c r="K12093" s="1"/>
      <c r="L12093" s="1"/>
      <c r="M12093" s="1"/>
      <c r="N12093" s="1"/>
      <c r="O12093" s="1"/>
      <c r="P12093" s="1"/>
      <c r="Q12093" s="1"/>
      <c r="R12093" s="1"/>
      <c r="S12093" s="1"/>
      <c r="T12093" s="1"/>
      <c r="U12093" s="1"/>
      <c r="V12093" s="1"/>
      <c r="W12093" s="1"/>
      <c r="X12093" s="1"/>
      <c r="Y12093" s="1"/>
      <c r="Z12093" s="1"/>
      <c r="AA12093" s="1"/>
      <c r="AB12093" s="1"/>
    </row>
    <row r="12094" ht="50.25" customHeight="1">
      <c r="A12094" s="12">
        <v>12090.0</v>
      </c>
      <c r="B12094" s="13" t="s">
        <v>11856</v>
      </c>
      <c r="C12094" s="14" t="s">
        <v>11916</v>
      </c>
      <c r="D12094" s="1"/>
      <c r="E12094" s="1"/>
      <c r="F12094" s="1" t="str">
        <f>IFERROR(__xludf.DUMMYFUNCTION("GOOGLETRANSLATE(B12094, ""en"", ""fa"")
"),"نوشتن خلاق")</f>
        <v>نوشتن خلاق</v>
      </c>
      <c r="G12094" s="1" t="str">
        <f>IFERROR(__xludf.DUMMYFUNCTION("GOOGLETRANSLATE(C12094, ""en"", ""fa"")
"),"یک صحنه دیالوگ محور بین دو دوست سابق بسازید که پس از درگیری سال ها پیش، دوباره به هم متصل می شوند.")</f>
        <v>یک صحنه دیالوگ محور بین دو دوست سابق بسازید که پس از درگیری سال ها پیش، دوباره به هم متصل می شوند.</v>
      </c>
      <c r="H12094" s="1"/>
      <c r="I12094" s="1"/>
      <c r="J12094" s="1"/>
      <c r="K12094" s="1"/>
      <c r="L12094" s="1"/>
      <c r="M12094" s="1"/>
      <c r="N12094" s="1"/>
      <c r="O12094" s="1"/>
      <c r="P12094" s="1"/>
      <c r="Q12094" s="1"/>
      <c r="R12094" s="1"/>
      <c r="S12094" s="1"/>
      <c r="T12094" s="1"/>
      <c r="U12094" s="1"/>
      <c r="V12094" s="1"/>
      <c r="W12094" s="1"/>
      <c r="X12094" s="1"/>
      <c r="Y12094" s="1"/>
      <c r="Z12094" s="1"/>
      <c r="AA12094" s="1"/>
      <c r="AB12094" s="1"/>
    </row>
    <row r="12095" ht="50.25" customHeight="1">
      <c r="A12095" s="12">
        <v>12091.0</v>
      </c>
      <c r="B12095" s="13" t="s">
        <v>11856</v>
      </c>
      <c r="C12095" s="14" t="s">
        <v>11917</v>
      </c>
      <c r="D12095" s="1"/>
      <c r="E12095" s="1"/>
      <c r="F12095" s="1" t="str">
        <f>IFERROR(__xludf.DUMMYFUNCTION("GOOGLETRANSLATE(B12095, ""en"", ""fa"")
"),"نوشتن خلاق")</f>
        <v>نوشتن خلاق</v>
      </c>
      <c r="G12095" s="1" t="str">
        <f>IFERROR(__xludf.DUMMYFUNCTION("GOOGLETRANSLATE(C12095, ""en"", ""fa"")
"),"داستانی بنویسید که در دنیایی آینده نگر اتفاق می افتد که در آن هوش مصنوعی و انسان در کنار هم زندگی می کنند و چالش ها و مزایای این رابطه را بررسی کنید.")</f>
        <v>داستانی بنویسید که در دنیایی آینده نگر اتفاق می افتد که در آن هوش مصنوعی و انسان در کنار هم زندگی می کنند و چالش ها و مزایای این رابطه را بررسی کنید.</v>
      </c>
      <c r="H12095" s="1"/>
      <c r="I12095" s="1"/>
      <c r="J12095" s="1"/>
      <c r="K12095" s="1"/>
      <c r="L12095" s="1"/>
      <c r="M12095" s="1"/>
      <c r="N12095" s="1"/>
      <c r="O12095" s="1"/>
      <c r="P12095" s="1"/>
      <c r="Q12095" s="1"/>
      <c r="R12095" s="1"/>
      <c r="S12095" s="1"/>
      <c r="T12095" s="1"/>
      <c r="U12095" s="1"/>
      <c r="V12095" s="1"/>
      <c r="W12095" s="1"/>
      <c r="X12095" s="1"/>
      <c r="Y12095" s="1"/>
      <c r="Z12095" s="1"/>
      <c r="AA12095" s="1"/>
      <c r="AB12095" s="1"/>
    </row>
    <row r="12096" ht="50.25" customHeight="1">
      <c r="A12096" s="12">
        <v>12092.0</v>
      </c>
      <c r="B12096" s="13" t="s">
        <v>11856</v>
      </c>
      <c r="C12096" s="14" t="s">
        <v>11918</v>
      </c>
      <c r="D12096" s="1"/>
      <c r="E12096" s="1"/>
      <c r="F12096" s="1" t="str">
        <f>IFERROR(__xludf.DUMMYFUNCTION("GOOGLETRANSLATE(B12096, ""en"", ""fa"")
"),"نوشتن خلاق")</f>
        <v>نوشتن خلاق</v>
      </c>
      <c r="G12096" s="1" t="str">
        <f>IFERROR(__xludf.DUMMYFUNCTION("GOOGLETRANSLATE(C12096, ""en"", ""fa"")
"),"شعر یا داستانی درباره یک رویداد یا شخصیت تاریخی فراموش شده بنویسید و اهمیت آنها را روشن کنید.")</f>
        <v>شعر یا داستانی درباره یک رویداد یا شخصیت تاریخی فراموش شده بنویسید و اهمیت آنها را روشن کنید.</v>
      </c>
      <c r="H12096" s="1"/>
      <c r="I12096" s="1"/>
      <c r="J12096" s="1"/>
      <c r="K12096" s="1"/>
      <c r="L12096" s="1"/>
      <c r="M12096" s="1"/>
      <c r="N12096" s="1"/>
      <c r="O12096" s="1"/>
      <c r="P12096" s="1"/>
      <c r="Q12096" s="1"/>
      <c r="R12096" s="1"/>
      <c r="S12096" s="1"/>
      <c r="T12096" s="1"/>
      <c r="U12096" s="1"/>
      <c r="V12096" s="1"/>
      <c r="W12096" s="1"/>
      <c r="X12096" s="1"/>
      <c r="Y12096" s="1"/>
      <c r="Z12096" s="1"/>
      <c r="AA12096" s="1"/>
      <c r="AB12096" s="1"/>
    </row>
    <row r="12097" ht="50.25" customHeight="1">
      <c r="A12097" s="12">
        <v>12093.0</v>
      </c>
      <c r="B12097" s="13" t="s">
        <v>11856</v>
      </c>
      <c r="C12097" s="14" t="s">
        <v>11919</v>
      </c>
      <c r="D12097" s="1"/>
      <c r="E12097" s="1"/>
      <c r="F12097" s="1" t="str">
        <f>IFERROR(__xludf.DUMMYFUNCTION("GOOGLETRANSLATE(B12097, ""en"", ""fa"")
"),"نوشتن خلاق")</f>
        <v>نوشتن خلاق</v>
      </c>
      <c r="G12097" s="1" t="str">
        <f>IFERROR(__xludf.DUMMYFUNCTION("GOOGLETRANSLATE(C12097, ""en"", ""fa"")
"),"یک داستان اسرارآمیز بسازید که حول یک اثر هنری دزدیده شده با پیچ و تاب های غیرمنتظره می چرخد.")</f>
        <v>یک داستان اسرارآمیز بسازید که حول یک اثر هنری دزدیده شده با پیچ و تاب های غیرمنتظره می چرخد.</v>
      </c>
      <c r="H12097" s="1"/>
      <c r="I12097" s="1"/>
      <c r="J12097" s="1"/>
      <c r="K12097" s="1"/>
      <c r="L12097" s="1"/>
      <c r="M12097" s="1"/>
      <c r="N12097" s="1"/>
      <c r="O12097" s="1"/>
      <c r="P12097" s="1"/>
      <c r="Q12097" s="1"/>
      <c r="R12097" s="1"/>
      <c r="S12097" s="1"/>
      <c r="T12097" s="1"/>
      <c r="U12097" s="1"/>
      <c r="V12097" s="1"/>
      <c r="W12097" s="1"/>
      <c r="X12097" s="1"/>
      <c r="Y12097" s="1"/>
      <c r="Z12097" s="1"/>
      <c r="AA12097" s="1"/>
      <c r="AB12097" s="1"/>
    </row>
    <row r="12098" ht="50.25" customHeight="1">
      <c r="A12098" s="12">
        <v>12094.0</v>
      </c>
      <c r="B12098" s="13" t="s">
        <v>11856</v>
      </c>
      <c r="C12098" s="14" t="s">
        <v>11920</v>
      </c>
      <c r="D12098" s="1"/>
      <c r="E12098" s="1"/>
      <c r="F12098" s="1" t="str">
        <f>IFERROR(__xludf.DUMMYFUNCTION("GOOGLETRANSLATE(B12098, ""en"", ""fa"")
"),"نوشتن خلاق")</f>
        <v>نوشتن خلاق</v>
      </c>
      <c r="G12098" s="1" t="str">
        <f>IFERROR(__xludf.DUMMYFUNCTION("GOOGLETRANSLATE(C12098, ""en"", ""fa"")
"),"داستانی در مورد شخصیتی بنویسید که می تواند عناصر (زمین، هوا، آب، آتش) و سفر خود را برای تسلط بر این توانایی ها دستکاری کند.")</f>
        <v>داستانی در مورد شخصیتی بنویسید که می تواند عناصر (زمین، هوا، آب، آتش) و سفر خود را برای تسلط بر این توانایی ها دستکاری کند.</v>
      </c>
      <c r="H12098" s="1"/>
      <c r="I12098" s="1"/>
      <c r="J12098" s="1"/>
      <c r="K12098" s="1"/>
      <c r="L12098" s="1"/>
      <c r="M12098" s="1"/>
      <c r="N12098" s="1"/>
      <c r="O12098" s="1"/>
      <c r="P12098" s="1"/>
      <c r="Q12098" s="1"/>
      <c r="R12098" s="1"/>
      <c r="S12098" s="1"/>
      <c r="T12098" s="1"/>
      <c r="U12098" s="1"/>
      <c r="V12098" s="1"/>
      <c r="W12098" s="1"/>
      <c r="X12098" s="1"/>
      <c r="Y12098" s="1"/>
      <c r="Z12098" s="1"/>
      <c r="AA12098" s="1"/>
      <c r="AB12098" s="1"/>
    </row>
    <row r="12099" ht="50.25" customHeight="1">
      <c r="A12099" s="12">
        <v>12095.0</v>
      </c>
      <c r="B12099" s="13" t="s">
        <v>11856</v>
      </c>
      <c r="C12099" s="14" t="s">
        <v>11921</v>
      </c>
      <c r="D12099" s="1"/>
      <c r="E12099" s="1"/>
      <c r="F12099" s="1" t="str">
        <f>IFERROR(__xludf.DUMMYFUNCTION("GOOGLETRANSLATE(B12099, ""en"", ""fa"")
"),"نوشتن خلاق")</f>
        <v>نوشتن خلاق</v>
      </c>
      <c r="G12099" s="1" t="str">
        <f>IFERROR(__xludf.DUMMYFUNCTION("GOOGLETRANSLATE(C12099, ""en"", ""fa"")
"),"یک داستان علمی تخیلی در مورد شخصی بسازید که در یک سفینه فضایی ناآشنا از خواب بیدار می شود و هیچ خاطره ای از نحوه رسیدن به آنجا ندارد.")</f>
        <v>یک داستان علمی تخیلی در مورد شخصی بسازید که در یک سفینه فضایی ناآشنا از خواب بیدار می شود و هیچ خاطره ای از نحوه رسیدن به آنجا ندارد.</v>
      </c>
      <c r="H12099" s="1"/>
      <c r="I12099" s="1"/>
      <c r="J12099" s="1"/>
      <c r="K12099" s="1"/>
      <c r="L12099" s="1"/>
      <c r="M12099" s="1"/>
      <c r="N12099" s="1"/>
      <c r="O12099" s="1"/>
      <c r="P12099" s="1"/>
      <c r="Q12099" s="1"/>
      <c r="R12099" s="1"/>
      <c r="S12099" s="1"/>
      <c r="T12099" s="1"/>
      <c r="U12099" s="1"/>
      <c r="V12099" s="1"/>
      <c r="W12099" s="1"/>
      <c r="X12099" s="1"/>
      <c r="Y12099" s="1"/>
      <c r="Z12099" s="1"/>
      <c r="AA12099" s="1"/>
      <c r="AB12099" s="1"/>
    </row>
    <row r="12100" ht="50.25" customHeight="1">
      <c r="A12100" s="12">
        <v>12096.0</v>
      </c>
      <c r="B12100" s="13" t="s">
        <v>11856</v>
      </c>
      <c r="C12100" s="14" t="s">
        <v>11922</v>
      </c>
      <c r="D12100" s="1"/>
      <c r="E12100" s="1"/>
      <c r="F12100" s="1" t="str">
        <f>IFERROR(__xludf.DUMMYFUNCTION("GOOGLETRANSLATE(B12100, ""en"", ""fa"")
"),"نوشتن خلاق")</f>
        <v>نوشتن خلاق</v>
      </c>
      <c r="G12100" s="1" t="str">
        <f>IFERROR(__xludf.DUMMYFUNCTION("GOOGLETRANSLATE(C12100, ""en"", ""fa"")
"),"یک شعر یا داستان با الهام از مفهوم ""زمان از دست رفته"" و اشتیاق برای بازیابی لحظات گذشته بسازید.")</f>
        <v>یک شعر یا داستان با الهام از مفهوم "زمان از دست رفته" و اشتیاق برای بازیابی لحظات گذشته بسازید.</v>
      </c>
      <c r="H12100" s="1"/>
      <c r="I12100" s="1"/>
      <c r="J12100" s="1"/>
      <c r="K12100" s="1"/>
      <c r="L12100" s="1"/>
      <c r="M12100" s="1"/>
      <c r="N12100" s="1"/>
      <c r="O12100" s="1"/>
      <c r="P12100" s="1"/>
      <c r="Q12100" s="1"/>
      <c r="R12100" s="1"/>
      <c r="S12100" s="1"/>
      <c r="T12100" s="1"/>
      <c r="U12100" s="1"/>
      <c r="V12100" s="1"/>
      <c r="W12100" s="1"/>
      <c r="X12100" s="1"/>
      <c r="Y12100" s="1"/>
      <c r="Z12100" s="1"/>
      <c r="AA12100" s="1"/>
      <c r="AB12100" s="1"/>
    </row>
    <row r="12101" ht="50.25" customHeight="1">
      <c r="A12101" s="12">
        <v>12097.0</v>
      </c>
      <c r="B12101" s="13" t="s">
        <v>11856</v>
      </c>
      <c r="C12101" s="14" t="s">
        <v>11923</v>
      </c>
      <c r="D12101" s="1"/>
      <c r="E12101" s="1"/>
      <c r="F12101" s="1" t="str">
        <f>IFERROR(__xludf.DUMMYFUNCTION("GOOGLETRANSLATE(B12101, ""en"", ""fa"")
"),"نوشتن خلاق")</f>
        <v>نوشتن خلاق</v>
      </c>
      <c r="G12101" s="1" t="str">
        <f>IFERROR(__xludf.DUMMYFUNCTION("GOOGLETRANSLATE(C12101, ""en"", ""fa"")
"),"یک قطعه رئالیسم جادویی بنویسید که در آن خطوط بین واقعیت و ماوراء طبیعی محو شود و منجر به عواقب غیرمنتظره شود.")</f>
        <v>یک قطعه رئالیسم جادویی بنویسید که در آن خطوط بین واقعیت و ماوراء طبیعی محو شود و منجر به عواقب غیرمنتظره شود.</v>
      </c>
      <c r="H12101" s="1"/>
      <c r="I12101" s="1"/>
      <c r="J12101" s="1"/>
      <c r="K12101" s="1"/>
      <c r="L12101" s="1"/>
      <c r="M12101" s="1"/>
      <c r="N12101" s="1"/>
      <c r="O12101" s="1"/>
      <c r="P12101" s="1"/>
      <c r="Q12101" s="1"/>
      <c r="R12101" s="1"/>
      <c r="S12101" s="1"/>
      <c r="T12101" s="1"/>
      <c r="U12101" s="1"/>
      <c r="V12101" s="1"/>
      <c r="W12101" s="1"/>
      <c r="X12101" s="1"/>
      <c r="Y12101" s="1"/>
      <c r="Z12101" s="1"/>
      <c r="AA12101" s="1"/>
      <c r="AB12101" s="1"/>
    </row>
    <row r="12102" ht="50.25" customHeight="1">
      <c r="A12102" s="12">
        <v>12098.0</v>
      </c>
      <c r="B12102" s="13" t="s">
        <v>11856</v>
      </c>
      <c r="C12102" s="14" t="s">
        <v>11924</v>
      </c>
      <c r="D12102" s="1"/>
      <c r="E12102" s="1"/>
      <c r="F12102" s="1" t="str">
        <f>IFERROR(__xludf.DUMMYFUNCTION("GOOGLETRANSLATE(B12102, ""en"", ""fa"")
"),"نوشتن خلاق")</f>
        <v>نوشتن خلاق</v>
      </c>
      <c r="G12102" s="1" t="str">
        <f>IFERROR(__xludf.DUMMYFUNCTION("GOOGLETRANSLATE(C12102, ""en"", ""fa"")
"),"یک فیلم هیجان انگیز را در یک کابین دور افتاده در جنگل بسازید، جایی که گروهی از دوستان با یک خطر ناشناخته روبرو می شوند.")</f>
        <v>یک فیلم هیجان انگیز را در یک کابین دور افتاده در جنگل بسازید، جایی که گروهی از دوستان با یک خطر ناشناخته روبرو می شوند.</v>
      </c>
      <c r="H12102" s="1"/>
      <c r="I12102" s="1"/>
      <c r="J12102" s="1"/>
      <c r="K12102" s="1"/>
      <c r="L12102" s="1"/>
      <c r="M12102" s="1"/>
      <c r="N12102" s="1"/>
      <c r="O12102" s="1"/>
      <c r="P12102" s="1"/>
      <c r="Q12102" s="1"/>
      <c r="R12102" s="1"/>
      <c r="S12102" s="1"/>
      <c r="T12102" s="1"/>
      <c r="U12102" s="1"/>
      <c r="V12102" s="1"/>
      <c r="W12102" s="1"/>
      <c r="X12102" s="1"/>
      <c r="Y12102" s="1"/>
      <c r="Z12102" s="1"/>
      <c r="AA12102" s="1"/>
      <c r="AB12102" s="1"/>
    </row>
    <row r="12103" ht="50.25" customHeight="1">
      <c r="A12103" s="12">
        <v>12099.0</v>
      </c>
      <c r="B12103" s="13" t="s">
        <v>11856</v>
      </c>
      <c r="C12103" s="14" t="s">
        <v>11925</v>
      </c>
      <c r="D12103" s="1"/>
      <c r="E12103" s="1"/>
      <c r="F12103" s="1" t="str">
        <f>IFERROR(__xludf.DUMMYFUNCTION("GOOGLETRANSLATE(B12103, ""en"", ""fa"")
"),"نوشتن خلاق")</f>
        <v>نوشتن خلاق</v>
      </c>
      <c r="G12103" s="1" t="str">
        <f>IFERROR(__xludf.DUMMYFUNCTION("GOOGLETRANSLATE(C12103, ""en"", ""fa"")
"),"یک صحنه دیالوگ محور بین دو غریبه بسازید که در یک سفر طولانی با قطار با هم آشنا می شوند و ارتباط نامحتملی ایجاد می کنند.")</f>
        <v>یک صحنه دیالوگ محور بین دو غریبه بسازید که در یک سفر طولانی با قطار با هم آشنا می شوند و ارتباط نامحتملی ایجاد می کنند.</v>
      </c>
      <c r="H12103" s="1"/>
      <c r="I12103" s="1"/>
      <c r="J12103" s="1"/>
      <c r="K12103" s="1"/>
      <c r="L12103" s="1"/>
      <c r="M12103" s="1"/>
      <c r="N12103" s="1"/>
      <c r="O12103" s="1"/>
      <c r="P12103" s="1"/>
      <c r="Q12103" s="1"/>
      <c r="R12103" s="1"/>
      <c r="S12103" s="1"/>
      <c r="T12103" s="1"/>
      <c r="U12103" s="1"/>
      <c r="V12103" s="1"/>
      <c r="W12103" s="1"/>
      <c r="X12103" s="1"/>
      <c r="Y12103" s="1"/>
      <c r="Z12103" s="1"/>
      <c r="AA12103" s="1"/>
      <c r="AB12103" s="1"/>
    </row>
    <row r="12104" ht="50.25" customHeight="1">
      <c r="A12104" s="12">
        <v>12100.0</v>
      </c>
      <c r="B12104" s="13" t="s">
        <v>11856</v>
      </c>
      <c r="C12104" s="14" t="s">
        <v>11926</v>
      </c>
      <c r="D12104" s="1"/>
      <c r="E12104" s="1"/>
      <c r="F12104" s="1" t="str">
        <f>IFERROR(__xludf.DUMMYFUNCTION("GOOGLETRANSLATE(B12104, ""en"", ""fa"")
"),"نوشتن خلاق")</f>
        <v>نوشتن خلاق</v>
      </c>
      <c r="G12104" s="1" t="str">
        <f>IFERROR(__xludf.DUMMYFUNCTION("GOOGLETRANSLATE(C12104, ""en"", ""fa"")
"),"داستانی درباره قهرمانی بنویسید که توانایی دیدن اجمالی از آینده را به دست می‌آورد اما تلاش می‌کند تا دیدگاه‌ها را دقیق تفسیر کند.")</f>
        <v>داستانی درباره قهرمانی بنویسید که توانایی دیدن اجمالی از آینده را به دست می‌آورد اما تلاش می‌کند تا دیدگاه‌ها را دقیق تفسیر کند.</v>
      </c>
      <c r="H12104" s="1"/>
      <c r="I12104" s="1"/>
      <c r="J12104" s="1"/>
      <c r="K12104" s="1"/>
      <c r="L12104" s="1"/>
      <c r="M12104" s="1"/>
      <c r="N12104" s="1"/>
      <c r="O12104" s="1"/>
      <c r="P12104" s="1"/>
      <c r="Q12104" s="1"/>
      <c r="R12104" s="1"/>
      <c r="S12104" s="1"/>
      <c r="T12104" s="1"/>
      <c r="U12104" s="1"/>
      <c r="V12104" s="1"/>
      <c r="W12104" s="1"/>
      <c r="X12104" s="1"/>
      <c r="Y12104" s="1"/>
      <c r="Z12104" s="1"/>
      <c r="AA12104" s="1"/>
      <c r="AB12104" s="1"/>
    </row>
    <row r="12105" ht="50.25" customHeight="1">
      <c r="A12105" s="12">
        <v>12101.0</v>
      </c>
      <c r="B12105" s="13" t="s">
        <v>11856</v>
      </c>
      <c r="C12105" s="14" t="s">
        <v>11927</v>
      </c>
      <c r="D12105" s="1"/>
      <c r="E12105" s="1"/>
      <c r="F12105" s="1" t="str">
        <f>IFERROR(__xludf.DUMMYFUNCTION("GOOGLETRANSLATE(B12105, ""en"", ""fa"")
"),"نوشتن خلاق")</f>
        <v>نوشتن خلاق</v>
      </c>
      <c r="G12105" s="1" t="str">
        <f>IFERROR(__xludf.DUMMYFUNCTION("GOOGLETRANSLATE(C12105, ""en"", ""fa"")
"),"شعر یا داستانی را بر اساس فولکلور یا اسطوره ای از فرهنگی غیر از فرهنگ خودتان بسازید.")</f>
        <v>شعر یا داستانی را بر اساس فولکلور یا اسطوره ای از فرهنگی غیر از فرهنگ خودتان بسازید.</v>
      </c>
      <c r="H12105" s="1"/>
      <c r="I12105" s="1"/>
      <c r="J12105" s="1"/>
      <c r="K12105" s="1"/>
      <c r="L12105" s="1"/>
      <c r="M12105" s="1"/>
      <c r="N12105" s="1"/>
      <c r="O12105" s="1"/>
      <c r="P12105" s="1"/>
      <c r="Q12105" s="1"/>
      <c r="R12105" s="1"/>
      <c r="S12105" s="1"/>
      <c r="T12105" s="1"/>
      <c r="U12105" s="1"/>
      <c r="V12105" s="1"/>
      <c r="W12105" s="1"/>
      <c r="X12105" s="1"/>
      <c r="Y12105" s="1"/>
      <c r="Z12105" s="1"/>
      <c r="AA12105" s="1"/>
      <c r="AB12105" s="1"/>
    </row>
    <row r="12106" ht="50.25" customHeight="1">
      <c r="A12106" s="12">
        <v>12102.0</v>
      </c>
      <c r="B12106" s="13" t="s">
        <v>11856</v>
      </c>
      <c r="C12106" s="14" t="s">
        <v>11928</v>
      </c>
      <c r="D12106" s="1"/>
      <c r="E12106" s="1"/>
      <c r="F12106" s="1" t="str">
        <f>IFERROR(__xludf.DUMMYFUNCTION("GOOGLETRANSLATE(B12106, ""en"", ""fa"")
"),"نوشتن خلاق")</f>
        <v>نوشتن خلاق</v>
      </c>
      <c r="G12106" s="1" t="str">
        <f>IFERROR(__xludf.DUMMYFUNCTION("GOOGLETRANSLATE(C12106, ""en"", ""fa"")
"),"یک ماجراجویی علمی-تخیلی درباره یک خدمه فضایی در حال کاوش در یک سیاره دور و مواجهه با حیات فرازمینی بسازید.")</f>
        <v>یک ماجراجویی علمی-تخیلی درباره یک خدمه فضایی در حال کاوش در یک سیاره دور و مواجهه با حیات فرازمینی بسازید.</v>
      </c>
      <c r="H12106" s="1"/>
      <c r="I12106" s="1"/>
      <c r="J12106" s="1"/>
      <c r="K12106" s="1"/>
      <c r="L12106" s="1"/>
      <c r="M12106" s="1"/>
      <c r="N12106" s="1"/>
      <c r="O12106" s="1"/>
      <c r="P12106" s="1"/>
      <c r="Q12106" s="1"/>
      <c r="R12106" s="1"/>
      <c r="S12106" s="1"/>
      <c r="T12106" s="1"/>
      <c r="U12106" s="1"/>
      <c r="V12106" s="1"/>
      <c r="W12106" s="1"/>
      <c r="X12106" s="1"/>
      <c r="Y12106" s="1"/>
      <c r="Z12106" s="1"/>
      <c r="AA12106" s="1"/>
      <c r="AB12106" s="1"/>
    </row>
    <row r="12107" ht="50.25" customHeight="1">
      <c r="A12107" s="12">
        <v>12103.0</v>
      </c>
      <c r="B12107" s="13" t="s">
        <v>11856</v>
      </c>
      <c r="C12107" s="14" t="s">
        <v>11929</v>
      </c>
      <c r="D12107" s="1"/>
      <c r="E12107" s="1"/>
      <c r="F12107" s="1" t="str">
        <f>IFERROR(__xludf.DUMMYFUNCTION("GOOGLETRANSLATE(B12107, ""en"", ""fa"")
"),"نوشتن خلاق")</f>
        <v>نوشتن خلاق</v>
      </c>
      <c r="G12107" s="1" t="str">
        <f>IFERROR(__xludf.DUMMYFUNCTION("GOOGLETRANSLATE(C12107, ""en"", ""fa"")
"),"یک درام شخصیت محور درباره پیچیدگی های روابط خانوادگی و تأثیر تصمیمات گذشته بر زمان حال بنویسید.")</f>
        <v>یک درام شخصیت محور درباره پیچیدگی های روابط خانوادگی و تأثیر تصمیمات گذشته بر زمان حال بنویسید.</v>
      </c>
      <c r="H12107" s="1"/>
      <c r="I12107" s="1"/>
      <c r="J12107" s="1"/>
      <c r="K12107" s="1"/>
      <c r="L12107" s="1"/>
      <c r="M12107" s="1"/>
      <c r="N12107" s="1"/>
      <c r="O12107" s="1"/>
      <c r="P12107" s="1"/>
      <c r="Q12107" s="1"/>
      <c r="R12107" s="1"/>
      <c r="S12107" s="1"/>
      <c r="T12107" s="1"/>
      <c r="U12107" s="1"/>
      <c r="V12107" s="1"/>
      <c r="W12107" s="1"/>
      <c r="X12107" s="1"/>
      <c r="Y12107" s="1"/>
      <c r="Z12107" s="1"/>
      <c r="AA12107" s="1"/>
      <c r="AB12107" s="1"/>
    </row>
    <row r="12108" ht="50.25" customHeight="1">
      <c r="A12108" s="12">
        <v>12104.0</v>
      </c>
      <c r="B12108" s="13" t="s">
        <v>11856</v>
      </c>
      <c r="C12108" s="14" t="s">
        <v>11930</v>
      </c>
      <c r="D12108" s="1"/>
      <c r="E12108" s="1"/>
      <c r="F12108" s="1" t="str">
        <f>IFERROR(__xludf.DUMMYFUNCTION("GOOGLETRANSLATE(B12108, ""en"", ""fa"")
"),"نوشتن خلاق")</f>
        <v>نوشتن خلاق</v>
      </c>
      <c r="G12108" s="1" t="str">
        <f>IFERROR(__xludf.DUMMYFUNCTION("GOOGLETRANSLATE(C12108, ""en"", ""fa"")
"),"داستانی رازآلود بسازید که در یک عمارت وسیع اتفاق می‌افتد، جایی که شخصیت اصلی باید مجموعه‌ای از پازل‌های باقی‌مانده از مالک مرموز را حل کند.")</f>
        <v>داستانی رازآلود بسازید که در یک عمارت وسیع اتفاق می‌افتد، جایی که شخصیت اصلی باید مجموعه‌ای از پازل‌های باقی‌مانده از مالک مرموز را حل کند.</v>
      </c>
      <c r="H12108" s="1"/>
      <c r="I12108" s="1"/>
      <c r="J12108" s="1"/>
      <c r="K12108" s="1"/>
      <c r="L12108" s="1"/>
      <c r="M12108" s="1"/>
      <c r="N12108" s="1"/>
      <c r="O12108" s="1"/>
      <c r="P12108" s="1"/>
      <c r="Q12108" s="1"/>
      <c r="R12108" s="1"/>
      <c r="S12108" s="1"/>
      <c r="T12108" s="1"/>
      <c r="U12108" s="1"/>
      <c r="V12108" s="1"/>
      <c r="W12108" s="1"/>
      <c r="X12108" s="1"/>
      <c r="Y12108" s="1"/>
      <c r="Z12108" s="1"/>
      <c r="AA12108" s="1"/>
      <c r="AB12108" s="1"/>
    </row>
    <row r="12109" ht="50.25" customHeight="1">
      <c r="A12109" s="12">
        <v>12105.0</v>
      </c>
      <c r="B12109" s="13" t="s">
        <v>11856</v>
      </c>
      <c r="C12109" s="14" t="s">
        <v>11931</v>
      </c>
      <c r="D12109" s="1"/>
      <c r="E12109" s="1"/>
      <c r="F12109" s="1" t="str">
        <f>IFERROR(__xludf.DUMMYFUNCTION("GOOGLETRANSLATE(B12109, ""en"", ""fa"")
"),"نوشتن خلاق")</f>
        <v>نوشتن خلاق</v>
      </c>
      <c r="G12109" s="1" t="str">
        <f>IFERROR(__xludf.DUMMYFUNCTION("GOOGLETRANSLATE(C12109, ""en"", ""fa"")
"),"یک شعر یا داستان در مورد شخصیتی بسازید که می تواند رویاها را دستکاری کند و از این قدرت برای کمک به دیگران استفاده کند.")</f>
        <v>یک شعر یا داستان در مورد شخصیتی بسازید که می تواند رویاها را دستکاری کند و از این قدرت برای کمک به دیگران استفاده کند.</v>
      </c>
      <c r="H12109" s="1"/>
      <c r="I12109" s="1"/>
      <c r="J12109" s="1"/>
      <c r="K12109" s="1"/>
      <c r="L12109" s="1"/>
      <c r="M12109" s="1"/>
      <c r="N12109" s="1"/>
      <c r="O12109" s="1"/>
      <c r="P12109" s="1"/>
      <c r="Q12109" s="1"/>
      <c r="R12109" s="1"/>
      <c r="S12109" s="1"/>
      <c r="T12109" s="1"/>
      <c r="U12109" s="1"/>
      <c r="V12109" s="1"/>
      <c r="W12109" s="1"/>
      <c r="X12109" s="1"/>
      <c r="Y12109" s="1"/>
      <c r="Z12109" s="1"/>
      <c r="AA12109" s="1"/>
      <c r="AB12109" s="1"/>
    </row>
    <row r="12110" ht="50.25" customHeight="1">
      <c r="A12110" s="12">
        <v>12106.0</v>
      </c>
      <c r="B12110" s="13" t="s">
        <v>11856</v>
      </c>
      <c r="C12110" s="14" t="s">
        <v>11932</v>
      </c>
      <c r="D12110" s="1"/>
      <c r="E12110" s="1"/>
      <c r="F12110" s="1" t="str">
        <f>IFERROR(__xludf.DUMMYFUNCTION("GOOGLETRANSLATE(B12110, ""en"", ""fa"")
"),"نوشتن خلاق")</f>
        <v>نوشتن خلاق</v>
      </c>
      <c r="G12110" s="1" t="str">
        <f>IFERROR(__xludf.DUMMYFUNCTION("GOOGLETRANSLATE(C12110, ""en"", ""fa"")
"),"داستانی در مورد یک جهان موازی بنویسید که در آن همه چیز برعکس است، و قهرمان داستان باید این واقعیت وارونه را طی کند.")</f>
        <v>داستانی در مورد یک جهان موازی بنویسید که در آن همه چیز برعکس است، و قهرمان داستان باید این واقعیت وارونه را طی کند.</v>
      </c>
      <c r="H12110" s="1"/>
      <c r="I12110" s="1"/>
      <c r="J12110" s="1"/>
      <c r="K12110" s="1"/>
      <c r="L12110" s="1"/>
      <c r="M12110" s="1"/>
      <c r="N12110" s="1"/>
      <c r="O12110" s="1"/>
      <c r="P12110" s="1"/>
      <c r="Q12110" s="1"/>
      <c r="R12110" s="1"/>
      <c r="S12110" s="1"/>
      <c r="T12110" s="1"/>
      <c r="U12110" s="1"/>
      <c r="V12110" s="1"/>
      <c r="W12110" s="1"/>
      <c r="X12110" s="1"/>
      <c r="Y12110" s="1"/>
      <c r="Z12110" s="1"/>
      <c r="AA12110" s="1"/>
      <c r="AB12110" s="1"/>
    </row>
    <row r="12111" ht="50.25" customHeight="1">
      <c r="A12111" s="12">
        <v>12107.0</v>
      </c>
      <c r="B12111" s="13" t="s">
        <v>11856</v>
      </c>
      <c r="C12111" s="14" t="s">
        <v>11933</v>
      </c>
      <c r="D12111" s="1"/>
      <c r="E12111" s="1"/>
      <c r="F12111" s="1" t="str">
        <f>IFERROR(__xludf.DUMMYFUNCTION("GOOGLETRANSLATE(B12111, ""en"", ""fa"")
"),"نوشتن خلاق")</f>
        <v>نوشتن خلاق</v>
      </c>
      <c r="G12111" s="1" t="str">
        <f>IFERROR(__xludf.DUMMYFUNCTION("GOOGLETRANSLATE(C12111, ""en"", ""fa"")
"),"یک تریلر علمی تخیلی را در یک کشتی نسلی که در فضا سفر می کند، بسازید، جایی که اسرار تاریک درباره این ماموریت آشکار می شود.")</f>
        <v>یک تریلر علمی تخیلی را در یک کشتی نسلی که در فضا سفر می کند، بسازید، جایی که اسرار تاریک درباره این ماموریت آشکار می شود.</v>
      </c>
      <c r="H12111" s="1"/>
      <c r="I12111" s="1"/>
      <c r="J12111" s="1"/>
      <c r="K12111" s="1"/>
      <c r="L12111" s="1"/>
      <c r="M12111" s="1"/>
      <c r="N12111" s="1"/>
      <c r="O12111" s="1"/>
      <c r="P12111" s="1"/>
      <c r="Q12111" s="1"/>
      <c r="R12111" s="1"/>
      <c r="S12111" s="1"/>
      <c r="T12111" s="1"/>
      <c r="U12111" s="1"/>
      <c r="V12111" s="1"/>
      <c r="W12111" s="1"/>
      <c r="X12111" s="1"/>
      <c r="Y12111" s="1"/>
      <c r="Z12111" s="1"/>
      <c r="AA12111" s="1"/>
      <c r="AB12111" s="1"/>
    </row>
    <row r="12112" ht="50.25" customHeight="1">
      <c r="A12112" s="12">
        <v>12108.0</v>
      </c>
      <c r="B12112" s="13" t="s">
        <v>11856</v>
      </c>
      <c r="C12112" s="14" t="s">
        <v>11934</v>
      </c>
      <c r="D12112" s="1"/>
      <c r="E12112" s="1"/>
      <c r="F12112" s="1" t="str">
        <f>IFERROR(__xludf.DUMMYFUNCTION("GOOGLETRANSLATE(B12112, ""en"", ""fa"")
"),"نوشتن خلاق")</f>
        <v>نوشتن خلاق</v>
      </c>
      <c r="G12112" s="1" t="str">
        <f>IFERROR(__xludf.DUMMYFUNCTION("GOOGLETRANSLATE(C12112, ""en"", ""fa"")
"),"یک صحنه دیالوگ محور بین دو شخصیتی بسازید که در یک مراسم بالماسکه با هم آشنا می شوند و از هویت یکدیگر بی خبرند.")</f>
        <v>یک صحنه دیالوگ محور بین دو شخصیتی بسازید که در یک مراسم بالماسکه با هم آشنا می شوند و از هویت یکدیگر بی خبرند.</v>
      </c>
      <c r="H12112" s="1"/>
      <c r="I12112" s="1"/>
      <c r="J12112" s="1"/>
      <c r="K12112" s="1"/>
      <c r="L12112" s="1"/>
      <c r="M12112" s="1"/>
      <c r="N12112" s="1"/>
      <c r="O12112" s="1"/>
      <c r="P12112" s="1"/>
      <c r="Q12112" s="1"/>
      <c r="R12112" s="1"/>
      <c r="S12112" s="1"/>
      <c r="T12112" s="1"/>
      <c r="U12112" s="1"/>
      <c r="V12112" s="1"/>
      <c r="W12112" s="1"/>
      <c r="X12112" s="1"/>
      <c r="Y12112" s="1"/>
      <c r="Z12112" s="1"/>
      <c r="AA12112" s="1"/>
      <c r="AB12112" s="1"/>
    </row>
    <row r="12113" ht="50.25" customHeight="1">
      <c r="A12113" s="12">
        <v>12109.0</v>
      </c>
      <c r="B12113" s="13" t="s">
        <v>11856</v>
      </c>
      <c r="C12113" s="14" t="s">
        <v>11935</v>
      </c>
      <c r="D12113" s="1"/>
      <c r="E12113" s="1"/>
      <c r="F12113" s="1" t="str">
        <f>IFERROR(__xludf.DUMMYFUNCTION("GOOGLETRANSLATE(B12113, ""en"", ""fa"")
"),"نوشتن خلاق")</f>
        <v>نوشتن خلاق</v>
      </c>
      <c r="G12113" s="1" t="str">
        <f>IFERROR(__xludf.DUMMYFUNCTION("GOOGLETRANSLATE(C12113, ""en"", ""fa"")
"),"داستانی در مورد شخصی بنویسید که با فراموشی از خواب بیدار می شود و باید هویت و گذشته خود را کنار هم بگذارد.")</f>
        <v>داستانی در مورد شخصی بنویسید که با فراموشی از خواب بیدار می شود و باید هویت و گذشته خود را کنار هم بگذارد.</v>
      </c>
      <c r="H12113" s="1"/>
      <c r="I12113" s="1"/>
      <c r="J12113" s="1"/>
      <c r="K12113" s="1"/>
      <c r="L12113" s="1"/>
      <c r="M12113" s="1"/>
      <c r="N12113" s="1"/>
      <c r="O12113" s="1"/>
      <c r="P12113" s="1"/>
      <c r="Q12113" s="1"/>
      <c r="R12113" s="1"/>
      <c r="S12113" s="1"/>
      <c r="T12113" s="1"/>
      <c r="U12113" s="1"/>
      <c r="V12113" s="1"/>
      <c r="W12113" s="1"/>
      <c r="X12113" s="1"/>
      <c r="Y12113" s="1"/>
      <c r="Z12113" s="1"/>
      <c r="AA12113" s="1"/>
      <c r="AB12113" s="1"/>
    </row>
    <row r="12114" ht="50.25" customHeight="1">
      <c r="A12114" s="12">
        <v>12110.0</v>
      </c>
      <c r="B12114" s="13" t="s">
        <v>11856</v>
      </c>
      <c r="C12114" s="14" t="s">
        <v>11936</v>
      </c>
      <c r="D12114" s="1"/>
      <c r="E12114" s="1"/>
      <c r="F12114" s="1" t="str">
        <f>IFERROR(__xludf.DUMMYFUNCTION("GOOGLETRANSLATE(B12114, ""en"", ""fa"")
"),"نوشتن خلاق")</f>
        <v>نوشتن خلاق</v>
      </c>
      <c r="G12114" s="1" t="str">
        <f>IFERROR(__xludf.DUMMYFUNCTION("GOOGLETRANSLATE(C12114, ""en"", ""fa"")
"),"شعر یا داستانی درباره گذر زمان و زودگذر بودن خاطرات بسازید.")</f>
        <v>شعر یا داستانی درباره گذر زمان و زودگذر بودن خاطرات بسازید.</v>
      </c>
      <c r="H12114" s="1"/>
      <c r="I12114" s="1"/>
      <c r="J12114" s="1"/>
      <c r="K12114" s="1"/>
      <c r="L12114" s="1"/>
      <c r="M12114" s="1"/>
      <c r="N12114" s="1"/>
      <c r="O12114" s="1"/>
      <c r="P12114" s="1"/>
      <c r="Q12114" s="1"/>
      <c r="R12114" s="1"/>
      <c r="S12114" s="1"/>
      <c r="T12114" s="1"/>
      <c r="U12114" s="1"/>
      <c r="V12114" s="1"/>
      <c r="W12114" s="1"/>
      <c r="X12114" s="1"/>
      <c r="Y12114" s="1"/>
      <c r="Z12114" s="1"/>
      <c r="AA12114" s="1"/>
      <c r="AB12114" s="1"/>
    </row>
    <row r="12115" ht="50.25" customHeight="1">
      <c r="A12115" s="12">
        <v>12111.0</v>
      </c>
      <c r="B12115" s="13" t="s">
        <v>11856</v>
      </c>
      <c r="C12115" s="14" t="s">
        <v>11937</v>
      </c>
      <c r="D12115" s="1"/>
      <c r="E12115" s="1"/>
      <c r="F12115" s="1" t="str">
        <f>IFERROR(__xludf.DUMMYFUNCTION("GOOGLETRANSLATE(B12115, ""en"", ""fa"")
"),"نوشتن خلاق")</f>
        <v>نوشتن خلاق</v>
      </c>
      <c r="G12115" s="1" t="str">
        <f>IFERROR(__xludf.DUMMYFUNCTION("GOOGLETRANSLATE(C12115, ""en"", ""fa"")
"),"یک تلاش فانتزی را توسعه دهید که در آن شخصیت اصلی باید یک مصنوع از دست رفته را بازیابی کند تا پادشاهی خود را نجات دهد.")</f>
        <v>یک تلاش فانتزی را توسعه دهید که در آن شخصیت اصلی باید یک مصنوع از دست رفته را بازیابی کند تا پادشاهی خود را نجات دهد.</v>
      </c>
      <c r="H12115" s="1"/>
      <c r="I12115" s="1"/>
      <c r="J12115" s="1"/>
      <c r="K12115" s="1"/>
      <c r="L12115" s="1"/>
      <c r="M12115" s="1"/>
      <c r="N12115" s="1"/>
      <c r="O12115" s="1"/>
      <c r="P12115" s="1"/>
      <c r="Q12115" s="1"/>
      <c r="R12115" s="1"/>
      <c r="S12115" s="1"/>
      <c r="T12115" s="1"/>
      <c r="U12115" s="1"/>
      <c r="V12115" s="1"/>
      <c r="W12115" s="1"/>
      <c r="X12115" s="1"/>
      <c r="Y12115" s="1"/>
      <c r="Z12115" s="1"/>
      <c r="AA12115" s="1"/>
      <c r="AB12115" s="1"/>
    </row>
    <row r="12116" ht="50.25" customHeight="1">
      <c r="A12116" s="12">
        <v>12112.0</v>
      </c>
      <c r="B12116" s="13" t="s">
        <v>11856</v>
      </c>
      <c r="C12116" s="14" t="s">
        <v>11938</v>
      </c>
      <c r="D12116" s="1"/>
      <c r="E12116" s="1"/>
      <c r="F12116" s="1" t="str">
        <f>IFERROR(__xludf.DUMMYFUNCTION("GOOGLETRANSLATE(B12116, ""en"", ""fa"")
"),"نوشتن خلاق")</f>
        <v>نوشتن خلاق</v>
      </c>
      <c r="G12116" s="1" t="str">
        <f>IFERROR(__xludf.DUMMYFUNCTION("GOOGLETRANSLATE(C12116, ""en"", ""fa"")
"),"یک قطعه داستانی تاریخی درباره یک رویداد کمتر شناخته شده بنویسید که تأثیر قابل توجهی بر روند تاریخ داشته است.")</f>
        <v>یک قطعه داستانی تاریخی درباره یک رویداد کمتر شناخته شده بنویسید که تأثیر قابل توجهی بر روند تاریخ داشته است.</v>
      </c>
      <c r="H12116" s="1"/>
      <c r="I12116" s="1"/>
      <c r="J12116" s="1"/>
      <c r="K12116" s="1"/>
      <c r="L12116" s="1"/>
      <c r="M12116" s="1"/>
      <c r="N12116" s="1"/>
      <c r="O12116" s="1"/>
      <c r="P12116" s="1"/>
      <c r="Q12116" s="1"/>
      <c r="R12116" s="1"/>
      <c r="S12116" s="1"/>
      <c r="T12116" s="1"/>
      <c r="U12116" s="1"/>
      <c r="V12116" s="1"/>
      <c r="W12116" s="1"/>
      <c r="X12116" s="1"/>
      <c r="Y12116" s="1"/>
      <c r="Z12116" s="1"/>
      <c r="AA12116" s="1"/>
      <c r="AB12116" s="1"/>
    </row>
    <row r="12117" ht="50.25" customHeight="1">
      <c r="A12117" s="12">
        <v>12113.0</v>
      </c>
      <c r="B12117" s="13" t="s">
        <v>11856</v>
      </c>
      <c r="C12117" s="14" t="s">
        <v>11939</v>
      </c>
      <c r="D12117" s="1"/>
      <c r="E12117" s="1"/>
      <c r="F12117" s="1" t="str">
        <f>IFERROR(__xludf.DUMMYFUNCTION("GOOGLETRANSLATE(B12117, ""en"", ""fa"")
"),"نوشتن خلاق")</f>
        <v>نوشتن خلاق</v>
      </c>
      <c r="G12117" s="1" t="str">
        <f>IFERROR(__xludf.DUMMYFUNCTION("GOOGLETRANSLATE(C12117, ""en"", ""fa"")
"),"یک صحنه دیالوگ محور بین دو رقیب بسازید که مجبورند برای رسیدن به یک هدف مشترک با هم کار کنند.")</f>
        <v>یک صحنه دیالوگ محور بین دو رقیب بسازید که مجبورند برای رسیدن به یک هدف مشترک با هم کار کنند.</v>
      </c>
      <c r="H12117" s="1"/>
      <c r="I12117" s="1"/>
      <c r="J12117" s="1"/>
      <c r="K12117" s="1"/>
      <c r="L12117" s="1"/>
      <c r="M12117" s="1"/>
      <c r="N12117" s="1"/>
      <c r="O12117" s="1"/>
      <c r="P12117" s="1"/>
      <c r="Q12117" s="1"/>
      <c r="R12117" s="1"/>
      <c r="S12117" s="1"/>
      <c r="T12117" s="1"/>
      <c r="U12117" s="1"/>
      <c r="V12117" s="1"/>
      <c r="W12117" s="1"/>
      <c r="X12117" s="1"/>
      <c r="Y12117" s="1"/>
      <c r="Z12117" s="1"/>
      <c r="AA12117" s="1"/>
      <c r="AB12117" s="1"/>
    </row>
    <row r="12118" ht="50.25" customHeight="1">
      <c r="A12118" s="12">
        <v>12114.0</v>
      </c>
      <c r="B12118" s="13" t="s">
        <v>11856</v>
      </c>
      <c r="C12118" s="14" t="s">
        <v>11940</v>
      </c>
      <c r="D12118" s="1"/>
      <c r="E12118" s="1"/>
      <c r="F12118" s="1" t="str">
        <f>IFERROR(__xludf.DUMMYFUNCTION("GOOGLETRANSLATE(B12118, ""en"", ""fa"")
"),"نوشتن خلاق")</f>
        <v>نوشتن خلاق</v>
      </c>
      <c r="G12118" s="1" t="str">
        <f>IFERROR(__xludf.DUMMYFUNCTION("GOOGLETRANSLATE(C12118, ""en"", ""fa"")
"),"یک داستان علمی تخیلی در مورد یک شهربازی آینده نگر با جاذبه های واقعیت مجازی که به واقعیت تبدیل می شوند، بسازید.")</f>
        <v>یک داستان علمی تخیلی در مورد یک شهربازی آینده نگر با جاذبه های واقعیت مجازی که به واقعیت تبدیل می شوند، بسازید.</v>
      </c>
      <c r="H12118" s="1"/>
      <c r="I12118" s="1"/>
      <c r="J12118" s="1"/>
      <c r="K12118" s="1"/>
      <c r="L12118" s="1"/>
      <c r="M12118" s="1"/>
      <c r="N12118" s="1"/>
      <c r="O12118" s="1"/>
      <c r="P12118" s="1"/>
      <c r="Q12118" s="1"/>
      <c r="R12118" s="1"/>
      <c r="S12118" s="1"/>
      <c r="T12118" s="1"/>
      <c r="U12118" s="1"/>
      <c r="V12118" s="1"/>
      <c r="W12118" s="1"/>
      <c r="X12118" s="1"/>
      <c r="Y12118" s="1"/>
      <c r="Z12118" s="1"/>
      <c r="AA12118" s="1"/>
      <c r="AB12118" s="1"/>
    </row>
    <row r="12119" ht="50.25" customHeight="1">
      <c r="A12119" s="12">
        <v>12115.0</v>
      </c>
      <c r="B12119" s="13" t="s">
        <v>11856</v>
      </c>
      <c r="C12119" s="14" t="s">
        <v>11941</v>
      </c>
      <c r="D12119" s="1"/>
      <c r="E12119" s="1"/>
      <c r="F12119" s="1" t="str">
        <f>IFERROR(__xludf.DUMMYFUNCTION("GOOGLETRANSLATE(B12119, ""en"", ""fa"")
"),"نوشتن خلاق")</f>
        <v>نوشتن خلاق</v>
      </c>
      <c r="G12119" s="1" t="str">
        <f>IFERROR(__xludf.DUMMYFUNCTION("GOOGLETRANSLATE(C12119, ""en"", ""fa"")
"),"داستانی در مورد شخصی بنویسید که می تواند با حیوانات ارتباط برقرار کند و واسطه بین انسان و حیات وحش شود.")</f>
        <v>داستانی در مورد شخصی بنویسید که می تواند با حیوانات ارتباط برقرار کند و واسطه بین انسان و حیات وحش شود.</v>
      </c>
      <c r="H12119" s="1"/>
      <c r="I12119" s="1"/>
      <c r="J12119" s="1"/>
      <c r="K12119" s="1"/>
      <c r="L12119" s="1"/>
      <c r="M12119" s="1"/>
      <c r="N12119" s="1"/>
      <c r="O12119" s="1"/>
      <c r="P12119" s="1"/>
      <c r="Q12119" s="1"/>
      <c r="R12119" s="1"/>
      <c r="S12119" s="1"/>
      <c r="T12119" s="1"/>
      <c r="U12119" s="1"/>
      <c r="V12119" s="1"/>
      <c r="W12119" s="1"/>
      <c r="X12119" s="1"/>
      <c r="Y12119" s="1"/>
      <c r="Z12119" s="1"/>
      <c r="AA12119" s="1"/>
      <c r="AB12119" s="1"/>
    </row>
    <row r="12120" ht="50.25" customHeight="1">
      <c r="A12120" s="12">
        <v>12116.0</v>
      </c>
      <c r="B12120" s="13" t="s">
        <v>11856</v>
      </c>
      <c r="C12120" s="14" t="s">
        <v>11942</v>
      </c>
      <c r="D12120" s="1"/>
      <c r="E12120" s="1"/>
      <c r="F12120" s="1" t="str">
        <f>IFERROR(__xludf.DUMMYFUNCTION("GOOGLETRANSLATE(B12120, ""en"", ""fa"")
"),"نوشتن خلاق")</f>
        <v>نوشتن خلاق</v>
      </c>
      <c r="G12120" s="1" t="str">
        <f>IFERROR(__xludf.DUMMYFUNCTION("GOOGLETRANSLATE(C12120, ""en"", ""fa"")
"),"یک راز را در یک دهکده دورافتاده بسازید، جایی که قهرمان داستان رازهای یک جامعه تنگاتنگ را آشکار می کند.")</f>
        <v>یک راز را در یک دهکده دورافتاده بسازید، جایی که قهرمان داستان رازهای یک جامعه تنگاتنگ را آشکار می کند.</v>
      </c>
      <c r="H12120" s="1"/>
      <c r="I12120" s="1"/>
      <c r="J12120" s="1"/>
      <c r="K12120" s="1"/>
      <c r="L12120" s="1"/>
      <c r="M12120" s="1"/>
      <c r="N12120" s="1"/>
      <c r="O12120" s="1"/>
      <c r="P12120" s="1"/>
      <c r="Q12120" s="1"/>
      <c r="R12120" s="1"/>
      <c r="S12120" s="1"/>
      <c r="T12120" s="1"/>
      <c r="U12120" s="1"/>
      <c r="V12120" s="1"/>
      <c r="W12120" s="1"/>
      <c r="X12120" s="1"/>
      <c r="Y12120" s="1"/>
      <c r="Z12120" s="1"/>
      <c r="AA12120" s="1"/>
      <c r="AB12120" s="1"/>
    </row>
    <row r="12121" ht="50.25" customHeight="1">
      <c r="A12121" s="12">
        <v>12117.0</v>
      </c>
      <c r="B12121" s="13" t="s">
        <v>11856</v>
      </c>
      <c r="C12121" s="14" t="s">
        <v>11943</v>
      </c>
      <c r="D12121" s="1"/>
      <c r="E12121" s="1"/>
      <c r="F12121" s="1" t="str">
        <f>IFERROR(__xludf.DUMMYFUNCTION("GOOGLETRANSLATE(B12121, ""en"", ""fa"")
"),"نوشتن خلاق")</f>
        <v>نوشتن خلاق</v>
      </c>
      <c r="G12121" s="1" t="str">
        <f>IFERROR(__xludf.DUMMYFUNCTION("GOOGLETRANSLATE(C12121, ""en"", ""fa"")
"),"شعر یا داستانی درباره شخصیتی بسازید که دارای قدرت شفابخشی و معضلات اخلاقی است.")</f>
        <v>شعر یا داستانی درباره شخصیتی بسازید که دارای قدرت شفابخشی و معضلات اخلاقی است.</v>
      </c>
      <c r="H12121" s="1"/>
      <c r="I12121" s="1"/>
      <c r="J12121" s="1"/>
      <c r="K12121" s="1"/>
      <c r="L12121" s="1"/>
      <c r="M12121" s="1"/>
      <c r="N12121" s="1"/>
      <c r="O12121" s="1"/>
      <c r="P12121" s="1"/>
      <c r="Q12121" s="1"/>
      <c r="R12121" s="1"/>
      <c r="S12121" s="1"/>
      <c r="T12121" s="1"/>
      <c r="U12121" s="1"/>
      <c r="V12121" s="1"/>
      <c r="W12121" s="1"/>
      <c r="X12121" s="1"/>
      <c r="Y12121" s="1"/>
      <c r="Z12121" s="1"/>
      <c r="AA12121" s="1"/>
      <c r="AB12121" s="1"/>
    </row>
    <row r="12122" ht="50.25" customHeight="1">
      <c r="A12122" s="12">
        <v>12118.0</v>
      </c>
      <c r="B12122" s="13" t="s">
        <v>11856</v>
      </c>
      <c r="C12122" s="14" t="s">
        <v>11944</v>
      </c>
      <c r="D12122" s="1"/>
      <c r="E12122" s="1"/>
      <c r="F12122" s="1" t="str">
        <f>IFERROR(__xludf.DUMMYFUNCTION("GOOGLETRANSLATE(B12122, ""en"", ""fa"")
"),"نوشتن خلاق")</f>
        <v>نوشتن خلاق</v>
      </c>
      <c r="G12122" s="1" t="str">
        <f>IFERROR(__xludf.DUMMYFUNCTION("GOOGLETRANSLATE(C12122, ""en"", ""fa"")
"),"داستانی در مورد شخصی بنویسید که می تواند احساسات را دستکاری کند و از این توانایی برای تأثیرگذاری بر دیگران استفاده کند.")</f>
        <v>داستانی در مورد شخصی بنویسید که می تواند احساسات را دستکاری کند و از این توانایی برای تأثیرگذاری بر دیگران استفاده کند.</v>
      </c>
      <c r="H12122" s="1"/>
      <c r="I12122" s="1"/>
      <c r="J12122" s="1"/>
      <c r="K12122" s="1"/>
      <c r="L12122" s="1"/>
      <c r="M12122" s="1"/>
      <c r="N12122" s="1"/>
      <c r="O12122" s="1"/>
      <c r="P12122" s="1"/>
      <c r="Q12122" s="1"/>
      <c r="R12122" s="1"/>
      <c r="S12122" s="1"/>
      <c r="T12122" s="1"/>
      <c r="U12122" s="1"/>
      <c r="V12122" s="1"/>
      <c r="W12122" s="1"/>
      <c r="X12122" s="1"/>
      <c r="Y12122" s="1"/>
      <c r="Z12122" s="1"/>
      <c r="AA12122" s="1"/>
      <c r="AB12122" s="1"/>
    </row>
    <row r="12123" ht="50.25" customHeight="1">
      <c r="A12123" s="12">
        <v>12119.0</v>
      </c>
      <c r="B12123" s="13" t="s">
        <v>11856</v>
      </c>
      <c r="C12123" s="14" t="s">
        <v>11945</v>
      </c>
      <c r="D12123" s="1"/>
      <c r="E12123" s="1"/>
      <c r="F12123" s="1" t="str">
        <f>IFERROR(__xludf.DUMMYFUNCTION("GOOGLETRANSLATE(B12123, ""en"", ""fa"")
"),"نوشتن خلاق")</f>
        <v>نوشتن خلاق</v>
      </c>
      <c r="G12123" s="1" t="str">
        <f>IFERROR(__xludf.DUMMYFUNCTION("GOOGLETRANSLATE(C12123, ""en"", ""fa"")
"),"یک دنیای فانتزی بسازید که در آن رویاها و کابوس ها ملموس باشند و بر واقعیت تأثیر بگذارند.")</f>
        <v>یک دنیای فانتزی بسازید که در آن رویاها و کابوس ها ملموس باشند و بر واقعیت تأثیر بگذارند.</v>
      </c>
      <c r="H12123" s="1"/>
      <c r="I12123" s="1"/>
      <c r="J12123" s="1"/>
      <c r="K12123" s="1"/>
      <c r="L12123" s="1"/>
      <c r="M12123" s="1"/>
      <c r="N12123" s="1"/>
      <c r="O12123" s="1"/>
      <c r="P12123" s="1"/>
      <c r="Q12123" s="1"/>
      <c r="R12123" s="1"/>
      <c r="S12123" s="1"/>
      <c r="T12123" s="1"/>
      <c r="U12123" s="1"/>
      <c r="V12123" s="1"/>
      <c r="W12123" s="1"/>
      <c r="X12123" s="1"/>
      <c r="Y12123" s="1"/>
      <c r="Z12123" s="1"/>
      <c r="AA12123" s="1"/>
      <c r="AB12123" s="1"/>
    </row>
    <row r="12124" ht="50.25" customHeight="1">
      <c r="A12124" s="12">
        <v>12120.0</v>
      </c>
      <c r="B12124" s="13" t="s">
        <v>11856</v>
      </c>
      <c r="C12124" s="14" t="s">
        <v>11946</v>
      </c>
      <c r="D12124" s="1"/>
      <c r="E12124" s="1"/>
      <c r="F12124" s="1" t="str">
        <f>IFERROR(__xludf.DUMMYFUNCTION("GOOGLETRANSLATE(B12124, ""en"", ""fa"")
"),"نوشتن خلاق")</f>
        <v>نوشتن خلاق</v>
      </c>
      <c r="G12124" s="1" t="str">
        <f>IFERROR(__xludf.DUMMYFUNCTION("GOOGLETRANSLATE(C12124, ""en"", ""fa"")
"),"یک داستان علمی تخیلی در مورد شخصیتی بسازید که در یک مرکز شبیه سازی از خواب بیدار می شود و باید هویت واقعی خود را کشف کند.")</f>
        <v>یک داستان علمی تخیلی در مورد شخصیتی بسازید که در یک مرکز شبیه سازی از خواب بیدار می شود و باید هویت واقعی خود را کشف کند.</v>
      </c>
      <c r="H12124" s="1"/>
      <c r="I12124" s="1"/>
      <c r="J12124" s="1"/>
      <c r="K12124" s="1"/>
      <c r="L12124" s="1"/>
      <c r="M12124" s="1"/>
      <c r="N12124" s="1"/>
      <c r="O12124" s="1"/>
      <c r="P12124" s="1"/>
      <c r="Q12124" s="1"/>
      <c r="R12124" s="1"/>
      <c r="S12124" s="1"/>
      <c r="T12124" s="1"/>
      <c r="U12124" s="1"/>
      <c r="V12124" s="1"/>
      <c r="W12124" s="1"/>
      <c r="X12124" s="1"/>
      <c r="Y12124" s="1"/>
      <c r="Z12124" s="1"/>
      <c r="AA12124" s="1"/>
      <c r="AB12124" s="1"/>
    </row>
    <row r="12125" ht="50.25" customHeight="1">
      <c r="A12125" s="12">
        <v>12121.0</v>
      </c>
      <c r="B12125" s="13" t="s">
        <v>11856</v>
      </c>
      <c r="C12125" s="14" t="s">
        <v>11947</v>
      </c>
      <c r="D12125" s="1"/>
      <c r="E12125" s="1"/>
      <c r="F12125" s="1" t="str">
        <f>IFERROR(__xludf.DUMMYFUNCTION("GOOGLETRANSLATE(B12125, ""en"", ""fa"")
"),"نوشتن خلاق")</f>
        <v>نوشتن خلاق</v>
      </c>
      <c r="G12125" s="1" t="str">
        <f>IFERROR(__xludf.DUMMYFUNCTION("GOOGLETRANSLATE(C12125, ""en"", ""fa"")
"),"داستانی در مورد شخصی بنویسید که دری مرموز را کشف می کند که به مکان ها و زمان های مختلف منتهی می شود.")</f>
        <v>داستانی در مورد شخصی بنویسید که دری مرموز را کشف می کند که به مکان ها و زمان های مختلف منتهی می شود.</v>
      </c>
      <c r="H12125" s="1"/>
      <c r="I12125" s="1"/>
      <c r="J12125" s="1"/>
      <c r="K12125" s="1"/>
      <c r="L12125" s="1"/>
      <c r="M12125" s="1"/>
      <c r="N12125" s="1"/>
      <c r="O12125" s="1"/>
      <c r="P12125" s="1"/>
      <c r="Q12125" s="1"/>
      <c r="R12125" s="1"/>
      <c r="S12125" s="1"/>
      <c r="T12125" s="1"/>
      <c r="U12125" s="1"/>
      <c r="V12125" s="1"/>
      <c r="W12125" s="1"/>
      <c r="X12125" s="1"/>
      <c r="Y12125" s="1"/>
      <c r="Z12125" s="1"/>
      <c r="AA12125" s="1"/>
      <c r="AB12125" s="1"/>
    </row>
    <row r="12126" ht="50.25" customHeight="1">
      <c r="A12126" s="12">
        <v>12122.0</v>
      </c>
      <c r="B12126" s="13" t="s">
        <v>11856</v>
      </c>
      <c r="C12126" s="14" t="s">
        <v>11948</v>
      </c>
      <c r="D12126" s="1"/>
      <c r="E12126" s="1"/>
      <c r="F12126" s="1" t="str">
        <f>IFERROR(__xludf.DUMMYFUNCTION("GOOGLETRANSLATE(B12126, ""en"", ""fa"")
"),"نوشتن خلاق")</f>
        <v>نوشتن خلاق</v>
      </c>
      <c r="G12126" s="1" t="str">
        <f>IFERROR(__xludf.DUMMYFUNCTION("GOOGLETRANSLATE(C12126, ""en"", ""fa"")
"),"یک صحنه دیالوگ محور بین یک مربی و یک مورد حمایت ایجاد کنید و دانش و درس های زندگی را منتقل کنید.")</f>
        <v>یک صحنه دیالوگ محور بین یک مربی و یک مورد حمایت ایجاد کنید و دانش و درس های زندگی را منتقل کنید.</v>
      </c>
      <c r="H12126" s="1"/>
      <c r="I12126" s="1"/>
      <c r="J12126" s="1"/>
      <c r="K12126" s="1"/>
      <c r="L12126" s="1"/>
      <c r="M12126" s="1"/>
      <c r="N12126" s="1"/>
      <c r="O12126" s="1"/>
      <c r="P12126" s="1"/>
      <c r="Q12126" s="1"/>
      <c r="R12126" s="1"/>
      <c r="S12126" s="1"/>
      <c r="T12126" s="1"/>
      <c r="U12126" s="1"/>
      <c r="V12126" s="1"/>
      <c r="W12126" s="1"/>
      <c r="X12126" s="1"/>
      <c r="Y12126" s="1"/>
      <c r="Z12126" s="1"/>
      <c r="AA12126" s="1"/>
      <c r="AB12126" s="1"/>
    </row>
    <row r="12127" ht="50.25" customHeight="1">
      <c r="A12127" s="12">
        <v>12123.0</v>
      </c>
      <c r="B12127" s="13" t="s">
        <v>11856</v>
      </c>
      <c r="C12127" s="14" t="s">
        <v>11949</v>
      </c>
      <c r="D12127" s="1"/>
      <c r="E12127" s="1"/>
      <c r="F12127" s="1" t="str">
        <f>IFERROR(__xludf.DUMMYFUNCTION("GOOGLETRANSLATE(B12127, ""en"", ""fa"")
"),"نوشتن خلاق")</f>
        <v>نوشتن خلاق</v>
      </c>
      <c r="G12127" s="1" t="str">
        <f>IFERROR(__xludf.DUMMYFUNCTION("GOOGLETRANSLATE(C12127, ""en"", ""fa"")
"),"یک شعر یا داستان با الهام از یک اثر هنری معروف خلق کنید و روایت و احساسات آن را دوباره تصور کنید.")</f>
        <v>یک شعر یا داستان با الهام از یک اثر هنری معروف خلق کنید و روایت و احساسات آن را دوباره تصور کنید.</v>
      </c>
      <c r="H12127" s="1"/>
      <c r="I12127" s="1"/>
      <c r="J12127" s="1"/>
      <c r="K12127" s="1"/>
      <c r="L12127" s="1"/>
      <c r="M12127" s="1"/>
      <c r="N12127" s="1"/>
      <c r="O12127" s="1"/>
      <c r="P12127" s="1"/>
      <c r="Q12127" s="1"/>
      <c r="R12127" s="1"/>
      <c r="S12127" s="1"/>
      <c r="T12127" s="1"/>
      <c r="U12127" s="1"/>
      <c r="V12127" s="1"/>
      <c r="W12127" s="1"/>
      <c r="X12127" s="1"/>
      <c r="Y12127" s="1"/>
      <c r="Z12127" s="1"/>
      <c r="AA12127" s="1"/>
      <c r="AB12127" s="1"/>
    </row>
    <row r="12128" ht="50.25" customHeight="1">
      <c r="A12128" s="12">
        <v>12124.0</v>
      </c>
      <c r="B12128" s="13" t="s">
        <v>11856</v>
      </c>
      <c r="C12128" s="14" t="s">
        <v>11950</v>
      </c>
      <c r="D12128" s="1"/>
      <c r="E12128" s="1"/>
      <c r="F12128" s="1" t="str">
        <f>IFERROR(__xludf.DUMMYFUNCTION("GOOGLETRANSLATE(B12128, ""en"", ""fa"")
"),"نوشتن خلاق")</f>
        <v>نوشتن خلاق</v>
      </c>
      <c r="G12128" s="1" t="str">
        <f>IFERROR(__xludf.DUMMYFUNCTION("GOOGLETRANSLATE(C12128, ""en"", ""fa"")
"),"یک دنیای پسا آخرالزمانی را توسعه دهید که در آن طبیعت منظر شهری را احیا کرده است و بازماندگان با واقعیت جدید سازگار می شوند.")</f>
        <v>یک دنیای پسا آخرالزمانی را توسعه دهید که در آن طبیعت منظر شهری را احیا کرده است و بازماندگان با واقعیت جدید سازگار می شوند.</v>
      </c>
      <c r="H12128" s="1"/>
      <c r="I12128" s="1"/>
      <c r="J12128" s="1"/>
      <c r="K12128" s="1"/>
      <c r="L12128" s="1"/>
      <c r="M12128" s="1"/>
      <c r="N12128" s="1"/>
      <c r="O12128" s="1"/>
      <c r="P12128" s="1"/>
      <c r="Q12128" s="1"/>
      <c r="R12128" s="1"/>
      <c r="S12128" s="1"/>
      <c r="T12128" s="1"/>
      <c r="U12128" s="1"/>
      <c r="V12128" s="1"/>
      <c r="W12128" s="1"/>
      <c r="X12128" s="1"/>
      <c r="Y12128" s="1"/>
      <c r="Z12128" s="1"/>
      <c r="AA12128" s="1"/>
      <c r="AB12128" s="1"/>
    </row>
    <row r="12129" ht="50.25" customHeight="1">
      <c r="A12129" s="12">
        <v>12125.0</v>
      </c>
      <c r="B12129" s="13" t="s">
        <v>11856</v>
      </c>
      <c r="C12129" s="14" t="s">
        <v>11951</v>
      </c>
      <c r="D12129" s="1"/>
      <c r="E12129" s="1"/>
      <c r="F12129" s="1" t="str">
        <f>IFERROR(__xludf.DUMMYFUNCTION("GOOGLETRANSLATE(B12129, ""en"", ""fa"")
"),"نوشتن خلاق")</f>
        <v>نوشتن خلاق</v>
      </c>
      <c r="G12129" s="1" t="str">
        <f>IFERROR(__xludf.DUMMYFUNCTION("GOOGLETRANSLATE(C12129, ""en"", ""fa"")
"),"داستانی در مورد فردی بنویسید که قدرت نامرئی را به دست می آورد و معضلات اخلاقی که در استفاده از این توانایی با آن مواجه می شود.")</f>
        <v>داستانی در مورد فردی بنویسید که قدرت نامرئی را به دست می آورد و معضلات اخلاقی که در استفاده از این توانایی با آن مواجه می شود.</v>
      </c>
      <c r="H12129" s="1"/>
      <c r="I12129" s="1"/>
      <c r="J12129" s="1"/>
      <c r="K12129" s="1"/>
      <c r="L12129" s="1"/>
      <c r="M12129" s="1"/>
      <c r="N12129" s="1"/>
      <c r="O12129" s="1"/>
      <c r="P12129" s="1"/>
      <c r="Q12129" s="1"/>
      <c r="R12129" s="1"/>
      <c r="S12129" s="1"/>
      <c r="T12129" s="1"/>
      <c r="U12129" s="1"/>
      <c r="V12129" s="1"/>
      <c r="W12129" s="1"/>
      <c r="X12129" s="1"/>
      <c r="Y12129" s="1"/>
      <c r="Z12129" s="1"/>
      <c r="AA12129" s="1"/>
      <c r="AB12129" s="1"/>
    </row>
    <row r="12130" ht="50.25" customHeight="1">
      <c r="A12130" s="12">
        <v>12126.0</v>
      </c>
      <c r="B12130" s="13" t="s">
        <v>11856</v>
      </c>
      <c r="C12130" s="14" t="s">
        <v>11952</v>
      </c>
      <c r="D12130" s="1"/>
      <c r="E12130" s="1"/>
      <c r="F12130" s="1" t="str">
        <f>IFERROR(__xludf.DUMMYFUNCTION("GOOGLETRANSLATE(B12130, ""en"", ""fa"")
"),"نوشتن خلاق")</f>
        <v>نوشتن خلاق</v>
      </c>
      <c r="G12130" s="1" t="str">
        <f>IFERROR(__xludf.DUMMYFUNCTION("GOOGLETRANSLATE(C12130, ""en"", ""fa"")
"),"داستانی رازآلود بسازید که در یک شهر شلوغ اتفاق می افتد، جایی که شخصیت اصلی در مورد یک سری دزدی تحقیق می کند.")</f>
        <v>داستانی رازآلود بسازید که در یک شهر شلوغ اتفاق می افتد، جایی که شخصیت اصلی در مورد یک سری دزدی تحقیق می کند.</v>
      </c>
      <c r="H12130" s="1"/>
      <c r="I12130" s="1"/>
      <c r="J12130" s="1"/>
      <c r="K12130" s="1"/>
      <c r="L12130" s="1"/>
      <c r="M12130" s="1"/>
      <c r="N12130" s="1"/>
      <c r="O12130" s="1"/>
      <c r="P12130" s="1"/>
      <c r="Q12130" s="1"/>
      <c r="R12130" s="1"/>
      <c r="S12130" s="1"/>
      <c r="T12130" s="1"/>
      <c r="U12130" s="1"/>
      <c r="V12130" s="1"/>
      <c r="W12130" s="1"/>
      <c r="X12130" s="1"/>
      <c r="Y12130" s="1"/>
      <c r="Z12130" s="1"/>
      <c r="AA12130" s="1"/>
      <c r="AB12130" s="1"/>
    </row>
    <row r="12131" ht="50.25" customHeight="1">
      <c r="A12131" s="12">
        <v>12127.0</v>
      </c>
      <c r="B12131" s="13" t="s">
        <v>11856</v>
      </c>
      <c r="C12131" s="14" t="s">
        <v>11953</v>
      </c>
      <c r="D12131" s="1"/>
      <c r="E12131" s="1"/>
      <c r="F12131" s="1" t="str">
        <f>IFERROR(__xludf.DUMMYFUNCTION("GOOGLETRANSLATE(B12131, ""en"", ""fa"")
"),"نوشتن خلاق")</f>
        <v>نوشتن خلاق</v>
      </c>
      <c r="G12131" s="1" t="str">
        <f>IFERROR(__xludf.DUMMYFUNCTION("GOOGLETRANSLATE(C12131, ""en"", ""fa"")
"),"یک شعر یا داستان در مورد شخصیتی بسازید که چرخه زمان را تجربه می کند و همان روز را به طور مکرر تجربه می کند.")</f>
        <v>یک شعر یا داستان در مورد شخصیتی بسازید که چرخه زمان را تجربه می کند و همان روز را به طور مکرر تجربه می کند.</v>
      </c>
      <c r="H12131" s="1"/>
      <c r="I12131" s="1"/>
      <c r="J12131" s="1"/>
      <c r="K12131" s="1"/>
      <c r="L12131" s="1"/>
      <c r="M12131" s="1"/>
      <c r="N12131" s="1"/>
      <c r="O12131" s="1"/>
      <c r="P12131" s="1"/>
      <c r="Q12131" s="1"/>
      <c r="R12131" s="1"/>
      <c r="S12131" s="1"/>
      <c r="T12131" s="1"/>
      <c r="U12131" s="1"/>
      <c r="V12131" s="1"/>
      <c r="W12131" s="1"/>
      <c r="X12131" s="1"/>
      <c r="Y12131" s="1"/>
      <c r="Z12131" s="1"/>
      <c r="AA12131" s="1"/>
      <c r="AB12131" s="1"/>
    </row>
    <row r="12132" ht="50.25" customHeight="1">
      <c r="A12132" s="12">
        <v>12128.0</v>
      </c>
      <c r="B12132" s="13" t="s">
        <v>11856</v>
      </c>
      <c r="C12132" s="14" t="s">
        <v>11954</v>
      </c>
      <c r="D12132" s="1"/>
      <c r="E12132" s="1"/>
      <c r="F12132" s="1" t="str">
        <f>IFERROR(__xludf.DUMMYFUNCTION("GOOGLETRANSLATE(B12132, ""en"", ""fa"")
"),"نوشتن خلاق")</f>
        <v>نوشتن خلاق</v>
      </c>
      <c r="G12132" s="1" t="str">
        <f>IFERROR(__xludf.DUMMYFUNCTION("GOOGLETRANSLATE(C12132, ""en"", ""fa"")
"),"داستانی در مورد شخصی بنویسید که می تواند از میان آینه ها سفر کند و بعد پنهانی فراتر از بازتاب را کشف کند.")</f>
        <v>داستانی در مورد شخصی بنویسید که می تواند از میان آینه ها سفر کند و بعد پنهانی فراتر از بازتاب را کشف کند.</v>
      </c>
      <c r="H12132" s="1"/>
      <c r="I12132" s="1"/>
      <c r="J12132" s="1"/>
      <c r="K12132" s="1"/>
      <c r="L12132" s="1"/>
      <c r="M12132" s="1"/>
      <c r="N12132" s="1"/>
      <c r="O12132" s="1"/>
      <c r="P12132" s="1"/>
      <c r="Q12132" s="1"/>
      <c r="R12132" s="1"/>
      <c r="S12132" s="1"/>
      <c r="T12132" s="1"/>
      <c r="U12132" s="1"/>
      <c r="V12132" s="1"/>
      <c r="W12132" s="1"/>
      <c r="X12132" s="1"/>
      <c r="Y12132" s="1"/>
      <c r="Z12132" s="1"/>
      <c r="AA12132" s="1"/>
      <c r="AB12132" s="1"/>
    </row>
    <row r="12133" ht="50.25" customHeight="1">
      <c r="A12133" s="12">
        <v>12129.0</v>
      </c>
      <c r="B12133" s="13" t="s">
        <v>11856</v>
      </c>
      <c r="C12133" s="14" t="s">
        <v>11955</v>
      </c>
      <c r="D12133" s="1"/>
      <c r="E12133" s="1"/>
      <c r="F12133" s="1" t="str">
        <f>IFERROR(__xludf.DUMMYFUNCTION("GOOGLETRANSLATE(B12133, ""en"", ""fa"")
"),"نوشتن خلاق")</f>
        <v>نوشتن خلاق</v>
      </c>
      <c r="G12133" s="1" t="str">
        <f>IFERROR(__xludf.DUMMYFUNCTION("GOOGLETRANSLATE(C12133, ""en"", ""fa"")
"),"یک ماجراجویی فانتزی درباره گروهی از ماجراجویان ایجاد کنید که به دنبال کشف اسرار یک مصنوع باستانی هستند.")</f>
        <v>یک ماجراجویی فانتزی درباره گروهی از ماجراجویان ایجاد کنید که به دنبال کشف اسرار یک مصنوع باستانی هستند.</v>
      </c>
      <c r="H12133" s="1"/>
      <c r="I12133" s="1"/>
      <c r="J12133" s="1"/>
      <c r="K12133" s="1"/>
      <c r="L12133" s="1"/>
      <c r="M12133" s="1"/>
      <c r="N12133" s="1"/>
      <c r="O12133" s="1"/>
      <c r="P12133" s="1"/>
      <c r="Q12133" s="1"/>
      <c r="R12133" s="1"/>
      <c r="S12133" s="1"/>
      <c r="T12133" s="1"/>
      <c r="U12133" s="1"/>
      <c r="V12133" s="1"/>
      <c r="W12133" s="1"/>
      <c r="X12133" s="1"/>
      <c r="Y12133" s="1"/>
      <c r="Z12133" s="1"/>
      <c r="AA12133" s="1"/>
      <c r="AB12133" s="1"/>
    </row>
    <row r="12134" ht="50.25" customHeight="1">
      <c r="A12134" s="12">
        <v>12130.0</v>
      </c>
      <c r="B12134" s="13" t="s">
        <v>11856</v>
      </c>
      <c r="C12134" s="14" t="s">
        <v>11956</v>
      </c>
      <c r="D12134" s="1"/>
      <c r="E12134" s="1"/>
      <c r="F12134" s="1" t="str">
        <f>IFERROR(__xludf.DUMMYFUNCTION("GOOGLETRANSLATE(B12134, ""en"", ""fa"")
"),"نوشتن خلاق")</f>
        <v>نوشتن خلاق</v>
      </c>
      <c r="G12134" s="1" t="str">
        <f>IFERROR(__xludf.DUMMYFUNCTION("GOOGLETRANSLATE(C12134, ""en"", ""fa"")
"),"یک صحنه دیالوگ محور بین دو دشمن قدیمی بسازید که باید اختلافات خود را کنار بگذارند تا با یک تهدید مشترک روبرو شوند.")</f>
        <v>یک صحنه دیالوگ محور بین دو دشمن قدیمی بسازید که باید اختلافات خود را کنار بگذارند تا با یک تهدید مشترک روبرو شوند.</v>
      </c>
      <c r="H12134" s="1"/>
      <c r="I12134" s="1"/>
      <c r="J12134" s="1"/>
      <c r="K12134" s="1"/>
      <c r="L12134" s="1"/>
      <c r="M12134" s="1"/>
      <c r="N12134" s="1"/>
      <c r="O12134" s="1"/>
      <c r="P12134" s="1"/>
      <c r="Q12134" s="1"/>
      <c r="R12134" s="1"/>
      <c r="S12134" s="1"/>
      <c r="T12134" s="1"/>
      <c r="U12134" s="1"/>
      <c r="V12134" s="1"/>
      <c r="W12134" s="1"/>
      <c r="X12134" s="1"/>
      <c r="Y12134" s="1"/>
      <c r="Z12134" s="1"/>
      <c r="AA12134" s="1"/>
      <c r="AB12134" s="1"/>
    </row>
    <row r="12135" ht="50.25" customHeight="1">
      <c r="A12135" s="12">
        <v>12131.0</v>
      </c>
      <c r="B12135" s="13" t="s">
        <v>11856</v>
      </c>
      <c r="C12135" s="14" t="s">
        <v>11957</v>
      </c>
      <c r="D12135" s="1"/>
      <c r="E12135" s="1"/>
      <c r="F12135" s="1" t="str">
        <f>IFERROR(__xludf.DUMMYFUNCTION("GOOGLETRANSLATE(B12135, ""en"", ""fa"")
"),"نوشتن خلاق")</f>
        <v>نوشتن خلاق</v>
      </c>
      <c r="G12135" s="1" t="str">
        <f>IFERROR(__xludf.DUMMYFUNCTION("GOOGLETRANSLATE(C12135, ""en"", ""fa"")
"),"داستانی درباره شخصیتی بنویسید که در دنیایی از خواب بیدار می شود که در آن نقش و هویت همه عوض شده است.")</f>
        <v>داستانی درباره شخصیتی بنویسید که در دنیایی از خواب بیدار می شود که در آن نقش و هویت همه عوض شده است.</v>
      </c>
      <c r="H12135" s="1"/>
      <c r="I12135" s="1"/>
      <c r="J12135" s="1"/>
      <c r="K12135" s="1"/>
      <c r="L12135" s="1"/>
      <c r="M12135" s="1"/>
      <c r="N12135" s="1"/>
      <c r="O12135" s="1"/>
      <c r="P12135" s="1"/>
      <c r="Q12135" s="1"/>
      <c r="R12135" s="1"/>
      <c r="S12135" s="1"/>
      <c r="T12135" s="1"/>
      <c r="U12135" s="1"/>
      <c r="V12135" s="1"/>
      <c r="W12135" s="1"/>
      <c r="X12135" s="1"/>
      <c r="Y12135" s="1"/>
      <c r="Z12135" s="1"/>
      <c r="AA12135" s="1"/>
      <c r="AB12135" s="1"/>
    </row>
    <row r="12136" ht="50.25" customHeight="1">
      <c r="A12136" s="12">
        <v>12132.0</v>
      </c>
      <c r="B12136" s="13" t="s">
        <v>11856</v>
      </c>
      <c r="C12136" s="14" t="s">
        <v>11958</v>
      </c>
      <c r="D12136" s="1"/>
      <c r="E12136" s="1"/>
      <c r="F12136" s="1" t="str">
        <f>IFERROR(__xludf.DUMMYFUNCTION("GOOGLETRANSLATE(B12136, ""en"", ""fa"")
"),"نوشتن خلاق")</f>
        <v>نوشتن خلاق</v>
      </c>
      <c r="G12136" s="1" t="str">
        <f>IFERROR(__xludf.DUMMYFUNCTION("GOOGLETRANSLATE(C12136, ""en"", ""fa"")
"),"شعر یا داستانی را با الهام از تغییر فصول و تأثیر آن بر احساسات و روابط انسانی بسازید.")</f>
        <v>شعر یا داستانی را با الهام از تغییر فصول و تأثیر آن بر احساسات و روابط انسانی بسازید.</v>
      </c>
      <c r="H12136" s="1"/>
      <c r="I12136" s="1"/>
      <c r="J12136" s="1"/>
      <c r="K12136" s="1"/>
      <c r="L12136" s="1"/>
      <c r="M12136" s="1"/>
      <c r="N12136" s="1"/>
      <c r="O12136" s="1"/>
      <c r="P12136" s="1"/>
      <c r="Q12136" s="1"/>
      <c r="R12136" s="1"/>
      <c r="S12136" s="1"/>
      <c r="T12136" s="1"/>
      <c r="U12136" s="1"/>
      <c r="V12136" s="1"/>
      <c r="W12136" s="1"/>
      <c r="X12136" s="1"/>
      <c r="Y12136" s="1"/>
      <c r="Z12136" s="1"/>
      <c r="AA12136" s="1"/>
      <c r="AB12136" s="1"/>
    </row>
    <row r="12137" ht="50.25" customHeight="1">
      <c r="A12137" s="12">
        <v>12133.0</v>
      </c>
      <c r="B12137" s="13" t="s">
        <v>11856</v>
      </c>
      <c r="C12137" s="14" t="s">
        <v>11959</v>
      </c>
      <c r="D12137" s="1"/>
      <c r="E12137" s="1"/>
      <c r="F12137" s="1" t="str">
        <f>IFERROR(__xludf.DUMMYFUNCTION("GOOGLETRANSLATE(B12137, ""en"", ""fa"")
"),"نوشتن خلاق")</f>
        <v>نوشتن خلاق</v>
      </c>
      <c r="G12137" s="1" t="str">
        <f>IFERROR(__xludf.DUMMYFUNCTION("GOOGLETRANSLATE(C12137, ""en"", ""fa"")
"),"یک داستان هیجان انگیز در یک روستای دورافتاده بسازید که ساکنان آن راز تاریک و ماوراء طبیعی را در خود دارند.")</f>
        <v>یک داستان هیجان انگیز در یک روستای دورافتاده بسازید که ساکنان آن راز تاریک و ماوراء طبیعی را در خود دارند.</v>
      </c>
      <c r="H12137" s="1"/>
      <c r="I12137" s="1"/>
      <c r="J12137" s="1"/>
      <c r="K12137" s="1"/>
      <c r="L12137" s="1"/>
      <c r="M12137" s="1"/>
      <c r="N12137" s="1"/>
      <c r="O12137" s="1"/>
      <c r="P12137" s="1"/>
      <c r="Q12137" s="1"/>
      <c r="R12137" s="1"/>
      <c r="S12137" s="1"/>
      <c r="T12137" s="1"/>
      <c r="U12137" s="1"/>
      <c r="V12137" s="1"/>
      <c r="W12137" s="1"/>
      <c r="X12137" s="1"/>
      <c r="Y12137" s="1"/>
      <c r="Z12137" s="1"/>
      <c r="AA12137" s="1"/>
      <c r="AB12137" s="1"/>
    </row>
    <row r="12138" ht="50.25" customHeight="1">
      <c r="A12138" s="12">
        <v>12134.0</v>
      </c>
      <c r="B12138" s="13" t="s">
        <v>11856</v>
      </c>
      <c r="C12138" s="14" t="s">
        <v>11960</v>
      </c>
      <c r="D12138" s="1"/>
      <c r="E12138" s="1"/>
      <c r="F12138" s="1" t="str">
        <f>IFERROR(__xludf.DUMMYFUNCTION("GOOGLETRANSLATE(B12138, ""en"", ""fa"")
"),"نوشتن خلاق")</f>
        <v>نوشتن خلاق</v>
      </c>
      <c r="G12138" s="1" t="str">
        <f>IFERROR(__xludf.DUMMYFUNCTION("GOOGLETRANSLATE(C12138, ""en"", ""fa"")
"),"یک داستان علمی تخیلی بسازید که در آن فناوری پیشرفته به افراد اجازه می دهد تا آگاهی خود را در دنیای مجازی آپلود کنند.")</f>
        <v>یک داستان علمی تخیلی بسازید که در آن فناوری پیشرفته به افراد اجازه می دهد تا آگاهی خود را در دنیای مجازی آپلود کنند.</v>
      </c>
      <c r="H12138" s="1"/>
      <c r="I12138" s="1"/>
      <c r="J12138" s="1"/>
      <c r="K12138" s="1"/>
      <c r="L12138" s="1"/>
      <c r="M12138" s="1"/>
      <c r="N12138" s="1"/>
      <c r="O12138" s="1"/>
      <c r="P12138" s="1"/>
      <c r="Q12138" s="1"/>
      <c r="R12138" s="1"/>
      <c r="S12138" s="1"/>
      <c r="T12138" s="1"/>
      <c r="U12138" s="1"/>
      <c r="V12138" s="1"/>
      <c r="W12138" s="1"/>
      <c r="X12138" s="1"/>
      <c r="Y12138" s="1"/>
      <c r="Z12138" s="1"/>
      <c r="AA12138" s="1"/>
      <c r="AB12138" s="1"/>
    </row>
    <row r="12139" ht="50.25" customHeight="1">
      <c r="A12139" s="12">
        <v>12135.0</v>
      </c>
      <c r="B12139" s="13" t="s">
        <v>11856</v>
      </c>
      <c r="C12139" s="14" t="s">
        <v>11961</v>
      </c>
      <c r="D12139" s="1"/>
      <c r="E12139" s="1"/>
      <c r="F12139" s="1" t="str">
        <f>IFERROR(__xludf.DUMMYFUNCTION("GOOGLETRANSLATE(B12139, ""en"", ""fa"")
"),"نوشتن خلاق")</f>
        <v>نوشتن خلاق</v>
      </c>
      <c r="G12139" s="1" t="str">
        <f>IFERROR(__xludf.DUMMYFUNCTION("GOOGLETRANSLATE(C12139, ""en"", ""fa"")
"),"یک درام شخصیت محور در مورد شخصی بنویسید که با از دست دادن حافظه کنار می آید و گذشته خود را دوباره کشف می کند.")</f>
        <v>یک درام شخصیت محور در مورد شخصی بنویسید که با از دست دادن حافظه کنار می آید و گذشته خود را دوباره کشف می کند.</v>
      </c>
      <c r="H12139" s="1"/>
      <c r="I12139" s="1"/>
      <c r="J12139" s="1"/>
      <c r="K12139" s="1"/>
      <c r="L12139" s="1"/>
      <c r="M12139" s="1"/>
      <c r="N12139" s="1"/>
      <c r="O12139" s="1"/>
      <c r="P12139" s="1"/>
      <c r="Q12139" s="1"/>
      <c r="R12139" s="1"/>
      <c r="S12139" s="1"/>
      <c r="T12139" s="1"/>
      <c r="U12139" s="1"/>
      <c r="V12139" s="1"/>
      <c r="W12139" s="1"/>
      <c r="X12139" s="1"/>
      <c r="Y12139" s="1"/>
      <c r="Z12139" s="1"/>
      <c r="AA12139" s="1"/>
      <c r="AB12139" s="1"/>
    </row>
    <row r="12140" ht="50.25" customHeight="1">
      <c r="A12140" s="12">
        <v>12136.0</v>
      </c>
      <c r="B12140" s="13" t="s">
        <v>11856</v>
      </c>
      <c r="C12140" s="14" t="s">
        <v>11962</v>
      </c>
      <c r="D12140" s="1"/>
      <c r="E12140" s="1"/>
      <c r="F12140" s="1" t="str">
        <f>IFERROR(__xludf.DUMMYFUNCTION("GOOGLETRANSLATE(B12140, ""en"", ""fa"")
"),"نوشتن خلاق")</f>
        <v>نوشتن خلاق</v>
      </c>
      <c r="G12140" s="1" t="str">
        <f>IFERROR(__xludf.DUMMYFUNCTION("GOOGLETRANSLATE(C12140, ""en"", ""fa"")
"),"یک داستان فانتزی در مورد شخصیتی بسازید که باید مجموعه ای از مصنوعات جادویی را جمع آوری کند تا از یک فاجعه قریب الوقوع جلوگیری کند.")</f>
        <v>یک داستان فانتزی در مورد شخصیتی بسازید که باید مجموعه ای از مصنوعات جادویی را جمع آوری کند تا از یک فاجعه قریب الوقوع جلوگیری کند.</v>
      </c>
      <c r="H12140" s="1"/>
      <c r="I12140" s="1"/>
      <c r="J12140" s="1"/>
      <c r="K12140" s="1"/>
      <c r="L12140" s="1"/>
      <c r="M12140" s="1"/>
      <c r="N12140" s="1"/>
      <c r="O12140" s="1"/>
      <c r="P12140" s="1"/>
      <c r="Q12140" s="1"/>
      <c r="R12140" s="1"/>
      <c r="S12140" s="1"/>
      <c r="T12140" s="1"/>
      <c r="U12140" s="1"/>
      <c r="V12140" s="1"/>
      <c r="W12140" s="1"/>
      <c r="X12140" s="1"/>
      <c r="Y12140" s="1"/>
      <c r="Z12140" s="1"/>
      <c r="AA12140" s="1"/>
      <c r="AB12140" s="1"/>
    </row>
    <row r="12141" ht="50.25" customHeight="1">
      <c r="A12141" s="12">
        <v>12137.0</v>
      </c>
      <c r="B12141" s="13" t="s">
        <v>11856</v>
      </c>
      <c r="C12141" s="14" t="s">
        <v>11963</v>
      </c>
      <c r="D12141" s="1"/>
      <c r="E12141" s="1"/>
      <c r="F12141" s="1" t="str">
        <f>IFERROR(__xludf.DUMMYFUNCTION("GOOGLETRANSLATE(B12141, ""en"", ""fa"")
"),"نوشتن خلاق")</f>
        <v>نوشتن خلاق</v>
      </c>
      <c r="G12141" s="1" t="str">
        <f>IFERROR(__xludf.DUMMYFUNCTION("GOOGLETRANSLATE(C12141, ""en"", ""fa"")
"),"یک شعر یا داستان در مورد گروهی از دوستان بسازید که با هم سفری جاده ای تغییردهنده زندگی را آغاز می کنند.")</f>
        <v>یک شعر یا داستان در مورد گروهی از دوستان بسازید که با هم سفری جاده ای تغییردهنده زندگی را آغاز می کنند.</v>
      </c>
      <c r="H12141" s="1"/>
      <c r="I12141" s="1"/>
      <c r="J12141" s="1"/>
      <c r="K12141" s="1"/>
      <c r="L12141" s="1"/>
      <c r="M12141" s="1"/>
      <c r="N12141" s="1"/>
      <c r="O12141" s="1"/>
      <c r="P12141" s="1"/>
      <c r="Q12141" s="1"/>
      <c r="R12141" s="1"/>
      <c r="S12141" s="1"/>
      <c r="T12141" s="1"/>
      <c r="U12141" s="1"/>
      <c r="V12141" s="1"/>
      <c r="W12141" s="1"/>
      <c r="X12141" s="1"/>
      <c r="Y12141" s="1"/>
      <c r="Z12141" s="1"/>
      <c r="AA12141" s="1"/>
      <c r="AB12141" s="1"/>
    </row>
    <row r="12142" ht="50.25" customHeight="1">
      <c r="A12142" s="12">
        <v>12138.0</v>
      </c>
      <c r="B12142" s="13" t="s">
        <v>11856</v>
      </c>
      <c r="C12142" s="14" t="s">
        <v>11964</v>
      </c>
      <c r="D12142" s="1"/>
      <c r="E12142" s="1"/>
      <c r="F12142" s="1" t="str">
        <f>IFERROR(__xludf.DUMMYFUNCTION("GOOGLETRANSLATE(B12142, ""en"", ""fa"")
"),"نوشتن خلاق")</f>
        <v>نوشتن خلاق</v>
      </c>
      <c r="G12142" s="1" t="str">
        <f>IFERROR(__xludf.DUMMYFUNCTION("GOOGLETRANSLATE(C12142, ""en"", ""fa"")
"),"داستانی رازآلود در یک کلانشهر شلوغ بسازید، جایی که شخصیت اصلی مجموعه‌ای از سرقت‌های هنری را کشف می‌کند.")</f>
        <v>داستانی رازآلود در یک کلانشهر شلوغ بسازید، جایی که شخصیت اصلی مجموعه‌ای از سرقت‌های هنری را کشف می‌کند.</v>
      </c>
      <c r="H12142" s="1"/>
      <c r="I12142" s="1"/>
      <c r="J12142" s="1"/>
      <c r="K12142" s="1"/>
      <c r="L12142" s="1"/>
      <c r="M12142" s="1"/>
      <c r="N12142" s="1"/>
      <c r="O12142" s="1"/>
      <c r="P12142" s="1"/>
      <c r="Q12142" s="1"/>
      <c r="R12142" s="1"/>
      <c r="S12142" s="1"/>
      <c r="T12142" s="1"/>
      <c r="U12142" s="1"/>
      <c r="V12142" s="1"/>
      <c r="W12142" s="1"/>
      <c r="X12142" s="1"/>
      <c r="Y12142" s="1"/>
      <c r="Z12142" s="1"/>
      <c r="AA12142" s="1"/>
      <c r="AB12142" s="1"/>
    </row>
    <row r="12143" ht="50.25" customHeight="1">
      <c r="A12143" s="12">
        <v>12139.0</v>
      </c>
      <c r="B12143" s="13" t="s">
        <v>11856</v>
      </c>
      <c r="C12143" s="14" t="s">
        <v>11965</v>
      </c>
      <c r="D12143" s="1"/>
      <c r="E12143" s="1"/>
      <c r="F12143" s="1" t="str">
        <f>IFERROR(__xludf.DUMMYFUNCTION("GOOGLETRANSLATE(B12143, ""en"", ""fa"")
"),"نوشتن خلاق")</f>
        <v>نوشتن خلاق</v>
      </c>
      <c r="G12143" s="1" t="str">
        <f>IFERROR(__xludf.DUMMYFUNCTION("GOOGLETRANSLATE(C12143, ""en"", ""fa"")
"),"داستانی درباره شخصی بنویسید که به طور تصادفی به یک کتابخانه مخفی حاوی کتاب هایی با داستان های ناگفته از ابعاد موازی برخورد می کند.")</f>
        <v>داستانی درباره شخصی بنویسید که به طور تصادفی به یک کتابخانه مخفی حاوی کتاب هایی با داستان های ناگفته از ابعاد موازی برخورد می کند.</v>
      </c>
      <c r="H12143" s="1"/>
      <c r="I12143" s="1"/>
      <c r="J12143" s="1"/>
      <c r="K12143" s="1"/>
      <c r="L12143" s="1"/>
      <c r="M12143" s="1"/>
      <c r="N12143" s="1"/>
      <c r="O12143" s="1"/>
      <c r="P12143" s="1"/>
      <c r="Q12143" s="1"/>
      <c r="R12143" s="1"/>
      <c r="S12143" s="1"/>
      <c r="T12143" s="1"/>
      <c r="U12143" s="1"/>
      <c r="V12143" s="1"/>
      <c r="W12143" s="1"/>
      <c r="X12143" s="1"/>
      <c r="Y12143" s="1"/>
      <c r="Z12143" s="1"/>
      <c r="AA12143" s="1"/>
      <c r="AB12143" s="1"/>
    </row>
    <row r="12144" ht="50.25" customHeight="1">
      <c r="A12144" s="12">
        <v>12140.0</v>
      </c>
      <c r="B12144" s="13" t="s">
        <v>11856</v>
      </c>
      <c r="C12144" s="14" t="s">
        <v>11966</v>
      </c>
      <c r="D12144" s="1"/>
      <c r="E12144" s="1"/>
      <c r="F12144" s="1" t="str">
        <f>IFERROR(__xludf.DUMMYFUNCTION("GOOGLETRANSLATE(B12144, ""en"", ""fa"")
"),"نوشتن خلاق")</f>
        <v>نوشتن خلاق</v>
      </c>
      <c r="G12144" s="1" t="str">
        <f>IFERROR(__xludf.DUMMYFUNCTION("GOOGLETRANSLATE(C12144, ""en"", ""fa"")
"),"یک صحنه دیالوگ محور بین دو شخصیت بسازید که در مکانی غیرمنتظره مانند یک شهربازی متروکه ملاقات می کنند.")</f>
        <v>یک صحنه دیالوگ محور بین دو شخصیت بسازید که در مکانی غیرمنتظره مانند یک شهربازی متروکه ملاقات می کنند.</v>
      </c>
      <c r="H12144" s="1"/>
      <c r="I12144" s="1"/>
      <c r="J12144" s="1"/>
      <c r="K12144" s="1"/>
      <c r="L12144" s="1"/>
      <c r="M12144" s="1"/>
      <c r="N12144" s="1"/>
      <c r="O12144" s="1"/>
      <c r="P12144" s="1"/>
      <c r="Q12144" s="1"/>
      <c r="R12144" s="1"/>
      <c r="S12144" s="1"/>
      <c r="T12144" s="1"/>
      <c r="U12144" s="1"/>
      <c r="V12144" s="1"/>
      <c r="W12144" s="1"/>
      <c r="X12144" s="1"/>
      <c r="Y12144" s="1"/>
      <c r="Z12144" s="1"/>
      <c r="AA12144" s="1"/>
      <c r="AB12144" s="1"/>
    </row>
    <row r="12145" ht="50.25" customHeight="1">
      <c r="A12145" s="12">
        <v>12141.0</v>
      </c>
      <c r="B12145" s="13" t="s">
        <v>11856</v>
      </c>
      <c r="C12145" s="14" t="s">
        <v>11967</v>
      </c>
      <c r="D12145" s="1"/>
      <c r="E12145" s="1"/>
      <c r="F12145" s="1" t="str">
        <f>IFERROR(__xludf.DUMMYFUNCTION("GOOGLETRANSLATE(B12145, ""en"", ""fa"")
"),"نوشتن خلاق")</f>
        <v>نوشتن خلاق</v>
      </c>
      <c r="G12145" s="1" t="str">
        <f>IFERROR(__xludf.DUMMYFUNCTION("GOOGLETRANSLATE(C12145, ""en"", ""fa"")
"),"یک قطعه داستانی تاریخی بسازید که در یک تمدن باستانی اتفاق می افتد و زندگی روزمره و آداب و رسوم ساکنان آن را بررسی می کند.")</f>
        <v>یک قطعه داستانی تاریخی بسازید که در یک تمدن باستانی اتفاق می افتد و زندگی روزمره و آداب و رسوم ساکنان آن را بررسی می کند.</v>
      </c>
      <c r="H12145" s="1"/>
      <c r="I12145" s="1"/>
      <c r="J12145" s="1"/>
      <c r="K12145" s="1"/>
      <c r="L12145" s="1"/>
      <c r="M12145" s="1"/>
      <c r="N12145" s="1"/>
      <c r="O12145" s="1"/>
      <c r="P12145" s="1"/>
      <c r="Q12145" s="1"/>
      <c r="R12145" s="1"/>
      <c r="S12145" s="1"/>
      <c r="T12145" s="1"/>
      <c r="U12145" s="1"/>
      <c r="V12145" s="1"/>
      <c r="W12145" s="1"/>
      <c r="X12145" s="1"/>
      <c r="Y12145" s="1"/>
      <c r="Z12145" s="1"/>
      <c r="AA12145" s="1"/>
      <c r="AB12145" s="1"/>
    </row>
    <row r="12146" ht="50.25" customHeight="1">
      <c r="A12146" s="12">
        <v>12142.0</v>
      </c>
      <c r="B12146" s="13" t="s">
        <v>11856</v>
      </c>
      <c r="C12146" s="14" t="s">
        <v>11968</v>
      </c>
      <c r="D12146" s="1"/>
      <c r="E12146" s="1"/>
      <c r="F12146" s="1" t="str">
        <f>IFERROR(__xludf.DUMMYFUNCTION("GOOGLETRANSLATE(B12146, ""en"", ""fa"")
"),"نوشتن خلاق")</f>
        <v>نوشتن خلاق</v>
      </c>
      <c r="G12146" s="1" t="str">
        <f>IFERROR(__xludf.DUMMYFUNCTION("GOOGLETRANSLATE(C12146, ""en"", ""fa"")
"),"داستانی درباره قهرمان داستان بنویسید که می تواند صدا را دستکاری کند و از آن برای برقراری ارتباط با حیوانات و کنترل عناصر استفاده کند.")</f>
        <v>داستانی درباره قهرمان داستان بنویسید که می تواند صدا را دستکاری کند و از آن برای برقراری ارتباط با حیوانات و کنترل عناصر استفاده کند.</v>
      </c>
      <c r="H12146" s="1"/>
      <c r="I12146" s="1"/>
      <c r="J12146" s="1"/>
      <c r="K12146" s="1"/>
      <c r="L12146" s="1"/>
      <c r="M12146" s="1"/>
      <c r="N12146" s="1"/>
      <c r="O12146" s="1"/>
      <c r="P12146" s="1"/>
      <c r="Q12146" s="1"/>
      <c r="R12146" s="1"/>
      <c r="S12146" s="1"/>
      <c r="T12146" s="1"/>
      <c r="U12146" s="1"/>
      <c r="V12146" s="1"/>
      <c r="W12146" s="1"/>
      <c r="X12146" s="1"/>
      <c r="Y12146" s="1"/>
      <c r="Z12146" s="1"/>
      <c r="AA12146" s="1"/>
      <c r="AB12146" s="1"/>
    </row>
    <row r="12147" ht="50.25" customHeight="1">
      <c r="A12147" s="12">
        <v>12143.0</v>
      </c>
      <c r="B12147" s="13" t="s">
        <v>11856</v>
      </c>
      <c r="C12147" s="14" t="s">
        <v>11969</v>
      </c>
      <c r="D12147" s="1"/>
      <c r="E12147" s="1"/>
      <c r="F12147" s="1" t="str">
        <f>IFERROR(__xludf.DUMMYFUNCTION("GOOGLETRANSLATE(B12147, ""en"", ""fa"")
"),"نوشتن خلاق")</f>
        <v>نوشتن خلاق</v>
      </c>
      <c r="G12147" s="1" t="str">
        <f>IFERROR(__xludf.DUMMYFUNCTION("GOOGLETRANSLATE(C12147, ""en"", ""fa"")
"),"یک ماجراجویی علمی تخیلی را توسعه دهید که در آن گروهی از فضانوردان یک فضاپیمای باستانی مرموز را در یک سیاره ناشناخته کشف می کنند.")</f>
        <v>یک ماجراجویی علمی تخیلی را توسعه دهید که در آن گروهی از فضانوردان یک فضاپیمای باستانی مرموز را در یک سیاره ناشناخته کشف می کنند.</v>
      </c>
      <c r="H12147" s="1"/>
      <c r="I12147" s="1"/>
      <c r="J12147" s="1"/>
      <c r="K12147" s="1"/>
      <c r="L12147" s="1"/>
      <c r="M12147" s="1"/>
      <c r="N12147" s="1"/>
      <c r="O12147" s="1"/>
      <c r="P12147" s="1"/>
      <c r="Q12147" s="1"/>
      <c r="R12147" s="1"/>
      <c r="S12147" s="1"/>
      <c r="T12147" s="1"/>
      <c r="U12147" s="1"/>
      <c r="V12147" s="1"/>
      <c r="W12147" s="1"/>
      <c r="X12147" s="1"/>
      <c r="Y12147" s="1"/>
      <c r="Z12147" s="1"/>
      <c r="AA12147" s="1"/>
      <c r="AB12147" s="1"/>
    </row>
    <row r="12148" ht="50.25" customHeight="1">
      <c r="A12148" s="12">
        <v>12144.0</v>
      </c>
      <c r="B12148" s="13" t="s">
        <v>11856</v>
      </c>
      <c r="C12148" s="14" t="s">
        <v>11970</v>
      </c>
      <c r="D12148" s="1"/>
      <c r="E12148" s="1"/>
      <c r="F12148" s="1" t="str">
        <f>IFERROR(__xludf.DUMMYFUNCTION("GOOGLETRANSLATE(B12148, ""en"", ""fa"")
"),"نوشتن خلاق")</f>
        <v>نوشتن خلاق</v>
      </c>
      <c r="G12148" s="1" t="str">
        <f>IFERROR(__xludf.DUMMYFUNCTION("GOOGLETRANSLATE(C12148, ""en"", ""fa"")
"),"یک شعر یا داستان درباره شخصیتی بسازید که رویاهای واضحی را تجربه می کند که مرز بین واقعیت و خیال را محو می کند.")</f>
        <v>یک شعر یا داستان درباره شخصیتی بسازید که رویاهای واضحی را تجربه می کند که مرز بین واقعیت و خیال را محو می کند.</v>
      </c>
      <c r="H12148" s="1"/>
      <c r="I12148" s="1"/>
      <c r="J12148" s="1"/>
      <c r="K12148" s="1"/>
      <c r="L12148" s="1"/>
      <c r="M12148" s="1"/>
      <c r="N12148" s="1"/>
      <c r="O12148" s="1"/>
      <c r="P12148" s="1"/>
      <c r="Q12148" s="1"/>
      <c r="R12148" s="1"/>
      <c r="S12148" s="1"/>
      <c r="T12148" s="1"/>
      <c r="U12148" s="1"/>
      <c r="V12148" s="1"/>
      <c r="W12148" s="1"/>
      <c r="X12148" s="1"/>
      <c r="Y12148" s="1"/>
      <c r="Z12148" s="1"/>
      <c r="AA12148" s="1"/>
      <c r="AB12148" s="1"/>
    </row>
    <row r="12149" ht="50.25" customHeight="1">
      <c r="A12149" s="12">
        <v>12145.0</v>
      </c>
      <c r="B12149" s="13" t="s">
        <v>11856</v>
      </c>
      <c r="C12149" s="14" t="s">
        <v>11971</v>
      </c>
      <c r="D12149" s="1"/>
      <c r="E12149" s="1"/>
      <c r="F12149" s="1" t="str">
        <f>IFERROR(__xludf.DUMMYFUNCTION("GOOGLETRANSLATE(B12149, ""en"", ""fa"")
"),"نوشتن خلاق")</f>
        <v>نوشتن خلاق</v>
      </c>
      <c r="G12149" s="1" t="str">
        <f>IFERROR(__xludf.DUMMYFUNCTION("GOOGLETRANSLATE(C12149, ""en"", ""fa"")
"),"داستانی در مورد شخصی بنویسید که می تواند هاله افراد را ببیند و از این توانایی برای درک احساسات و مقاصد آنها استفاده می کند.")</f>
        <v>داستانی در مورد شخصی بنویسید که می تواند هاله افراد را ببیند و از این توانایی برای درک احساسات و مقاصد آنها استفاده می کند.</v>
      </c>
      <c r="H12149" s="1"/>
      <c r="I12149" s="1"/>
      <c r="J12149" s="1"/>
      <c r="K12149" s="1"/>
      <c r="L12149" s="1"/>
      <c r="M12149" s="1"/>
      <c r="N12149" s="1"/>
      <c r="O12149" s="1"/>
      <c r="P12149" s="1"/>
      <c r="Q12149" s="1"/>
      <c r="R12149" s="1"/>
      <c r="S12149" s="1"/>
      <c r="T12149" s="1"/>
      <c r="U12149" s="1"/>
      <c r="V12149" s="1"/>
      <c r="W12149" s="1"/>
      <c r="X12149" s="1"/>
      <c r="Y12149" s="1"/>
      <c r="Z12149" s="1"/>
      <c r="AA12149" s="1"/>
      <c r="AB12149" s="1"/>
    </row>
    <row r="12150" ht="50.25" customHeight="1">
      <c r="A12150" s="12">
        <v>12146.0</v>
      </c>
      <c r="B12150" s="13" t="s">
        <v>11856</v>
      </c>
      <c r="C12150" s="14" t="s">
        <v>11972</v>
      </c>
      <c r="D12150" s="1"/>
      <c r="E12150" s="1"/>
      <c r="F12150" s="1" t="str">
        <f>IFERROR(__xludf.DUMMYFUNCTION("GOOGLETRANSLATE(B12150, ""en"", ""fa"")
"),"نوشتن خلاق")</f>
        <v>نوشتن خلاق</v>
      </c>
      <c r="G12150" s="1" t="str">
        <f>IFERROR(__xludf.DUMMYFUNCTION("GOOGLETRANSLATE(C12150, ""en"", ""fa"")
"),"یک دنیای فانتزی بسازید که در آن موسیقی دارای خواص جادویی است و باردها قدرتمندترین موجودات در قلمرو هستند.")</f>
        <v>یک دنیای فانتزی بسازید که در آن موسیقی دارای خواص جادویی است و باردها قدرتمندترین موجودات در قلمرو هستند.</v>
      </c>
      <c r="H12150" s="1"/>
      <c r="I12150" s="1"/>
      <c r="J12150" s="1"/>
      <c r="K12150" s="1"/>
      <c r="L12150" s="1"/>
      <c r="M12150" s="1"/>
      <c r="N12150" s="1"/>
      <c r="O12150" s="1"/>
      <c r="P12150" s="1"/>
      <c r="Q12150" s="1"/>
      <c r="R12150" s="1"/>
      <c r="S12150" s="1"/>
      <c r="T12150" s="1"/>
      <c r="U12150" s="1"/>
      <c r="V12150" s="1"/>
      <c r="W12150" s="1"/>
      <c r="X12150" s="1"/>
      <c r="Y12150" s="1"/>
      <c r="Z12150" s="1"/>
      <c r="AA12150" s="1"/>
      <c r="AB12150" s="1"/>
    </row>
    <row r="12151" ht="50.25" customHeight="1">
      <c r="A12151" s="12">
        <v>12147.0</v>
      </c>
      <c r="B12151" s="13" t="s">
        <v>11856</v>
      </c>
      <c r="C12151" s="14" t="s">
        <v>11973</v>
      </c>
      <c r="D12151" s="1"/>
      <c r="E12151" s="1"/>
      <c r="F12151" s="1" t="str">
        <f>IFERROR(__xludf.DUMMYFUNCTION("GOOGLETRANSLATE(B12151, ""en"", ""fa"")
"),"نوشتن خلاق")</f>
        <v>نوشتن خلاق</v>
      </c>
      <c r="G12151" s="1" t="str">
        <f>IFERROR(__xludf.DUMMYFUNCTION("GOOGLETRANSLATE(C12151, ""en"", ""fa"")
"),"یک فیلم هیجان انگیز درباره شخصی که نامه های ناشناس دریافت می کند که رویدادهای زندگی آنها را با دقت عجیبی پیش بینی می کند، تهیه کنید.")</f>
        <v>یک فیلم هیجان انگیز درباره شخصی که نامه های ناشناس دریافت می کند که رویدادهای زندگی آنها را با دقت عجیبی پیش بینی می کند، تهیه کنید.</v>
      </c>
      <c r="H12151" s="1"/>
      <c r="I12151" s="1"/>
      <c r="J12151" s="1"/>
      <c r="K12151" s="1"/>
      <c r="L12151" s="1"/>
      <c r="M12151" s="1"/>
      <c r="N12151" s="1"/>
      <c r="O12151" s="1"/>
      <c r="P12151" s="1"/>
      <c r="Q12151" s="1"/>
      <c r="R12151" s="1"/>
      <c r="S12151" s="1"/>
      <c r="T12151" s="1"/>
      <c r="U12151" s="1"/>
      <c r="V12151" s="1"/>
      <c r="W12151" s="1"/>
      <c r="X12151" s="1"/>
      <c r="Y12151" s="1"/>
      <c r="Z12151" s="1"/>
      <c r="AA12151" s="1"/>
      <c r="AB12151" s="1"/>
    </row>
    <row r="12152" ht="50.25" customHeight="1">
      <c r="A12152" s="12">
        <v>12148.0</v>
      </c>
      <c r="B12152" s="13" t="s">
        <v>11856</v>
      </c>
      <c r="C12152" s="14" t="s">
        <v>11974</v>
      </c>
      <c r="D12152" s="1"/>
      <c r="E12152" s="1"/>
      <c r="F12152" s="1" t="str">
        <f>IFERROR(__xludf.DUMMYFUNCTION("GOOGLETRANSLATE(B12152, ""en"", ""fa"")
"),"نوشتن خلاق")</f>
        <v>نوشتن خلاق</v>
      </c>
      <c r="G12152" s="1" t="str">
        <f>IFERROR(__xludf.DUMMYFUNCTION("GOOGLETRANSLATE(C12152, ""en"", ""fa"")
"),"یک صحنه دیالوگ محور بین دو موجود فراطبیعی از اسطوره های مختلف بسازید که در یک قلمرو بی طرف یکدیگر را ملاقات می کنند.")</f>
        <v>یک صحنه دیالوگ محور بین دو موجود فراطبیعی از اسطوره های مختلف بسازید که در یک قلمرو بی طرف یکدیگر را ملاقات می کنند.</v>
      </c>
      <c r="H12152" s="1"/>
      <c r="I12152" s="1"/>
      <c r="J12152" s="1"/>
      <c r="K12152" s="1"/>
      <c r="L12152" s="1"/>
      <c r="M12152" s="1"/>
      <c r="N12152" s="1"/>
      <c r="O12152" s="1"/>
      <c r="P12152" s="1"/>
      <c r="Q12152" s="1"/>
      <c r="R12152" s="1"/>
      <c r="S12152" s="1"/>
      <c r="T12152" s="1"/>
      <c r="U12152" s="1"/>
      <c r="V12152" s="1"/>
      <c r="W12152" s="1"/>
      <c r="X12152" s="1"/>
      <c r="Y12152" s="1"/>
      <c r="Z12152" s="1"/>
      <c r="AA12152" s="1"/>
      <c r="AB12152" s="1"/>
    </row>
    <row r="12153" ht="50.25" customHeight="1">
      <c r="A12153" s="12">
        <v>12149.0</v>
      </c>
      <c r="B12153" s="13" t="s">
        <v>11856</v>
      </c>
      <c r="C12153" s="14" t="s">
        <v>11975</v>
      </c>
      <c r="D12153" s="1"/>
      <c r="E12153" s="1"/>
      <c r="F12153" s="1" t="str">
        <f>IFERROR(__xludf.DUMMYFUNCTION("GOOGLETRANSLATE(B12153, ""en"", ""fa"")
"),"نوشتن خلاق")</f>
        <v>نوشتن خلاق</v>
      </c>
      <c r="G12153" s="1" t="str">
        <f>IFERROR(__xludf.DUMMYFUNCTION("GOOGLETRANSLATE(C12153, ""en"", ""fa"")
"),"داستانی در مورد شخصیتی بنویسید که یک جامعه پنهان زیرزمینی را کشف می کند که در زیر یک شهر شلوغ زندگی می کند.")</f>
        <v>داستانی در مورد شخصیتی بنویسید که یک جامعه پنهان زیرزمینی را کشف می کند که در زیر یک شهر شلوغ زندگی می کند.</v>
      </c>
      <c r="H12153" s="1"/>
      <c r="I12153" s="1"/>
      <c r="J12153" s="1"/>
      <c r="K12153" s="1"/>
      <c r="L12153" s="1"/>
      <c r="M12153" s="1"/>
      <c r="N12153" s="1"/>
      <c r="O12153" s="1"/>
      <c r="P12153" s="1"/>
      <c r="Q12153" s="1"/>
      <c r="R12153" s="1"/>
      <c r="S12153" s="1"/>
      <c r="T12153" s="1"/>
      <c r="U12153" s="1"/>
      <c r="V12153" s="1"/>
      <c r="W12153" s="1"/>
      <c r="X12153" s="1"/>
      <c r="Y12153" s="1"/>
      <c r="Z12153" s="1"/>
      <c r="AA12153" s="1"/>
      <c r="AB12153" s="1"/>
    </row>
    <row r="12154" ht="50.25" customHeight="1">
      <c r="A12154" s="12">
        <v>12150.0</v>
      </c>
      <c r="B12154" s="13" t="s">
        <v>11856</v>
      </c>
      <c r="C12154" s="14" t="s">
        <v>11976</v>
      </c>
      <c r="D12154" s="1"/>
      <c r="E12154" s="1"/>
      <c r="F12154" s="1" t="str">
        <f>IFERROR(__xludf.DUMMYFUNCTION("GOOGLETRANSLATE(B12154, ""en"", ""fa"")
"),"نوشتن خلاق")</f>
        <v>نوشتن خلاق</v>
      </c>
      <c r="G12154" s="1" t="str">
        <f>IFERROR(__xludf.DUMMYFUNCTION("GOOGLETRANSLATE(C12154, ""en"", ""fa"")
"),"یک شعر یا داستان در مورد زیبایی های مرموز و خطرات اعماق اقیانوس بسازید.")</f>
        <v>یک شعر یا داستان در مورد زیبایی های مرموز و خطرات اعماق اقیانوس بسازید.</v>
      </c>
      <c r="H12154" s="1"/>
      <c r="I12154" s="1"/>
      <c r="J12154" s="1"/>
      <c r="K12154" s="1"/>
      <c r="L12154" s="1"/>
      <c r="M12154" s="1"/>
      <c r="N12154" s="1"/>
      <c r="O12154" s="1"/>
      <c r="P12154" s="1"/>
      <c r="Q12154" s="1"/>
      <c r="R12154" s="1"/>
      <c r="S12154" s="1"/>
      <c r="T12154" s="1"/>
      <c r="U12154" s="1"/>
      <c r="V12154" s="1"/>
      <c r="W12154" s="1"/>
      <c r="X12154" s="1"/>
      <c r="Y12154" s="1"/>
      <c r="Z12154" s="1"/>
      <c r="AA12154" s="1"/>
      <c r="AB12154" s="1"/>
    </row>
    <row r="12155" ht="50.25" customHeight="1">
      <c r="A12155" s="12">
        <v>12151.0</v>
      </c>
      <c r="B12155" s="13" t="s">
        <v>11856</v>
      </c>
      <c r="C12155" s="14" t="s">
        <v>11977</v>
      </c>
      <c r="D12155" s="1"/>
      <c r="E12155" s="1"/>
      <c r="F12155" s="1" t="str">
        <f>IFERROR(__xludf.DUMMYFUNCTION("GOOGLETRANSLATE(B12155, ""en"", ""fa"")
"),"نوشتن خلاق")</f>
        <v>نوشتن خلاق</v>
      </c>
      <c r="G12155" s="1" t="str">
        <f>IFERROR(__xludf.DUMMYFUNCTION("GOOGLETRANSLATE(C12155, ""en"", ""fa"")
"),"یک داستان رازآلود بسازید که در آن شخصیت اصلی مجموعه ای از ناپدید شدن ها را در یک پناهگاه کوهستانی منزوی بررسی می کند.")</f>
        <v>یک داستان رازآلود بسازید که در آن شخصیت اصلی مجموعه ای از ناپدید شدن ها را در یک پناهگاه کوهستانی منزوی بررسی می کند.</v>
      </c>
      <c r="H12155" s="1"/>
      <c r="I12155" s="1"/>
      <c r="J12155" s="1"/>
      <c r="K12155" s="1"/>
      <c r="L12155" s="1"/>
      <c r="M12155" s="1"/>
      <c r="N12155" s="1"/>
      <c r="O12155" s="1"/>
      <c r="P12155" s="1"/>
      <c r="Q12155" s="1"/>
      <c r="R12155" s="1"/>
      <c r="S12155" s="1"/>
      <c r="T12155" s="1"/>
      <c r="U12155" s="1"/>
      <c r="V12155" s="1"/>
      <c r="W12155" s="1"/>
      <c r="X12155" s="1"/>
      <c r="Y12155" s="1"/>
      <c r="Z12155" s="1"/>
      <c r="AA12155" s="1"/>
      <c r="AB12155" s="1"/>
    </row>
    <row r="12156" ht="50.25" customHeight="1">
      <c r="A12156" s="12">
        <v>12152.0</v>
      </c>
      <c r="B12156" s="13" t="s">
        <v>11856</v>
      </c>
      <c r="C12156" s="14" t="s">
        <v>11978</v>
      </c>
      <c r="D12156" s="1"/>
      <c r="E12156" s="1"/>
      <c r="F12156" s="1" t="str">
        <f>IFERROR(__xludf.DUMMYFUNCTION("GOOGLETRANSLATE(B12156, ""en"", ""fa"")
"),"نوشتن خلاق")</f>
        <v>نوشتن خلاق</v>
      </c>
      <c r="G12156" s="1" t="str">
        <f>IFERROR(__xludf.DUMMYFUNCTION("GOOGLETRANSLATE(C12156, ""en"", ""fa"")
"),"داستانی در مورد شخصی بنویسید که قدرت دستکاری سایه ها را به دست می آورد و از آن برای محافظت از افراد بی گناه استفاده می کند.")</f>
        <v>داستانی در مورد شخصی بنویسید که قدرت دستکاری سایه ها را به دست می آورد و از آن برای محافظت از افراد بی گناه استفاده می کند.</v>
      </c>
      <c r="H12156" s="1"/>
      <c r="I12156" s="1"/>
      <c r="J12156" s="1"/>
      <c r="K12156" s="1"/>
      <c r="L12156" s="1"/>
      <c r="M12156" s="1"/>
      <c r="N12156" s="1"/>
      <c r="O12156" s="1"/>
      <c r="P12156" s="1"/>
      <c r="Q12156" s="1"/>
      <c r="R12156" s="1"/>
      <c r="S12156" s="1"/>
      <c r="T12156" s="1"/>
      <c r="U12156" s="1"/>
      <c r="V12156" s="1"/>
      <c r="W12156" s="1"/>
      <c r="X12156" s="1"/>
      <c r="Y12156" s="1"/>
      <c r="Z12156" s="1"/>
      <c r="AA12156" s="1"/>
      <c r="AB12156" s="1"/>
    </row>
    <row r="12157" ht="50.25" customHeight="1">
      <c r="A12157" s="12">
        <v>12153.0</v>
      </c>
      <c r="B12157" s="13" t="s">
        <v>11856</v>
      </c>
      <c r="C12157" s="14" t="s">
        <v>11979</v>
      </c>
      <c r="D12157" s="1"/>
      <c r="E12157" s="1"/>
      <c r="F12157" s="1" t="str">
        <f>IFERROR(__xludf.DUMMYFUNCTION("GOOGLETRANSLATE(B12157, ""en"", ""fa"")
"),"نوشتن خلاق")</f>
        <v>نوشتن خلاق</v>
      </c>
      <c r="G12157" s="1" t="str">
        <f>IFERROR(__xludf.DUMMYFUNCTION("GOOGLETRANSLATE(C12157, ""en"", ""fa"")
"),"یک قطعه رئالیسم جادویی بسازید که در آن یک شخصیت یک شی مرموز با ویژگی های دگرگون کننده را به ارث می برد.")</f>
        <v>یک قطعه رئالیسم جادویی بسازید که در آن یک شخصیت یک شی مرموز با ویژگی های دگرگون کننده را به ارث می برد.</v>
      </c>
      <c r="H12157" s="1"/>
      <c r="I12157" s="1"/>
      <c r="J12157" s="1"/>
      <c r="K12157" s="1"/>
      <c r="L12157" s="1"/>
      <c r="M12157" s="1"/>
      <c r="N12157" s="1"/>
      <c r="O12157" s="1"/>
      <c r="P12157" s="1"/>
      <c r="Q12157" s="1"/>
      <c r="R12157" s="1"/>
      <c r="S12157" s="1"/>
      <c r="T12157" s="1"/>
      <c r="U12157" s="1"/>
      <c r="V12157" s="1"/>
      <c r="W12157" s="1"/>
      <c r="X12157" s="1"/>
      <c r="Y12157" s="1"/>
      <c r="Z12157" s="1"/>
      <c r="AA12157" s="1"/>
      <c r="AB12157" s="1"/>
    </row>
    <row r="12158" ht="50.25" customHeight="1">
      <c r="A12158" s="12">
        <v>12154.0</v>
      </c>
      <c r="B12158" s="13" t="s">
        <v>11856</v>
      </c>
      <c r="C12158" s="14" t="s">
        <v>11980</v>
      </c>
      <c r="D12158" s="1"/>
      <c r="E12158" s="1"/>
      <c r="F12158" s="1" t="str">
        <f>IFERROR(__xludf.DUMMYFUNCTION("GOOGLETRANSLATE(B12158, ""en"", ""fa"")
"),"نوشتن خلاق")</f>
        <v>نوشتن خلاق</v>
      </c>
      <c r="G12158" s="1" t="str">
        <f>IFERROR(__xludf.DUMMYFUNCTION("GOOGLETRANSLATE(C12158, ""en"", ""fa"")
"),"یک ماجراجویی علمی تخیلی بسازید که در آن گروهی از کاوشگران با تمدن بیگانه باستانی در سیاره ای دور روبرو می شوند.")</f>
        <v>یک ماجراجویی علمی تخیلی بسازید که در آن گروهی از کاوشگران با تمدن بیگانه باستانی در سیاره ای دور روبرو می شوند.</v>
      </c>
      <c r="H12158" s="1"/>
      <c r="I12158" s="1"/>
      <c r="J12158" s="1"/>
      <c r="K12158" s="1"/>
      <c r="L12158" s="1"/>
      <c r="M12158" s="1"/>
      <c r="N12158" s="1"/>
      <c r="O12158" s="1"/>
      <c r="P12158" s="1"/>
      <c r="Q12158" s="1"/>
      <c r="R12158" s="1"/>
      <c r="S12158" s="1"/>
      <c r="T12158" s="1"/>
      <c r="U12158" s="1"/>
      <c r="V12158" s="1"/>
      <c r="W12158" s="1"/>
      <c r="X12158" s="1"/>
      <c r="Y12158" s="1"/>
      <c r="Z12158" s="1"/>
      <c r="AA12158" s="1"/>
      <c r="AB12158" s="1"/>
    </row>
    <row r="12159" ht="50.25" customHeight="1">
      <c r="A12159" s="12">
        <v>12155.0</v>
      </c>
      <c r="B12159" s="13" t="s">
        <v>11856</v>
      </c>
      <c r="C12159" s="14" t="s">
        <v>11981</v>
      </c>
      <c r="D12159" s="1"/>
      <c r="E12159" s="1"/>
      <c r="F12159" s="1" t="str">
        <f>IFERROR(__xludf.DUMMYFUNCTION("GOOGLETRANSLATE(B12159, ""en"", ""fa"")
"),"نوشتن خلاق")</f>
        <v>نوشتن خلاق</v>
      </c>
      <c r="G12159" s="1" t="str">
        <f>IFERROR(__xludf.DUMMYFUNCTION("GOOGLETRANSLATE(C12159, ""en"", ""fa"")
"),"یک صحنه دیالوگ محور بین دو شخصیت با فلسفه های متضاد در مورد ماهیت واقعیت و هستی بنویسید.")</f>
        <v>یک صحنه دیالوگ محور بین دو شخصیت با فلسفه های متضاد در مورد ماهیت واقعیت و هستی بنویسید.</v>
      </c>
      <c r="H12159" s="1"/>
      <c r="I12159" s="1"/>
      <c r="J12159" s="1"/>
      <c r="K12159" s="1"/>
      <c r="L12159" s="1"/>
      <c r="M12159" s="1"/>
      <c r="N12159" s="1"/>
      <c r="O12159" s="1"/>
      <c r="P12159" s="1"/>
      <c r="Q12159" s="1"/>
      <c r="R12159" s="1"/>
      <c r="S12159" s="1"/>
      <c r="T12159" s="1"/>
      <c r="U12159" s="1"/>
      <c r="V12159" s="1"/>
      <c r="W12159" s="1"/>
      <c r="X12159" s="1"/>
      <c r="Y12159" s="1"/>
      <c r="Z12159" s="1"/>
      <c r="AA12159" s="1"/>
      <c r="AB12159" s="1"/>
    </row>
    <row r="12160" ht="50.25" customHeight="1">
      <c r="A12160" s="12">
        <v>12156.0</v>
      </c>
      <c r="B12160" s="13" t="s">
        <v>11856</v>
      </c>
      <c r="C12160" s="14" t="s">
        <v>11982</v>
      </c>
      <c r="D12160" s="1"/>
      <c r="E12160" s="1"/>
      <c r="F12160" s="1" t="str">
        <f>IFERROR(__xludf.DUMMYFUNCTION("GOOGLETRANSLATE(B12160, ""en"", ""fa"")
"),"نوشتن خلاق")</f>
        <v>نوشتن خلاق</v>
      </c>
      <c r="G12160" s="1" t="str">
        <f>IFERROR(__xludf.DUMMYFUNCTION("GOOGLETRANSLATE(C12160, ""en"", ""fa"")
"),"یک قطعه داستانی تاریخی درباره یک معمای حل نشده یا توطئه از یک دوره خاص بسازید.")</f>
        <v>یک قطعه داستانی تاریخی درباره یک معمای حل نشده یا توطئه از یک دوره خاص بسازید.</v>
      </c>
      <c r="H12160" s="1"/>
      <c r="I12160" s="1"/>
      <c r="J12160" s="1"/>
      <c r="K12160" s="1"/>
      <c r="L12160" s="1"/>
      <c r="M12160" s="1"/>
      <c r="N12160" s="1"/>
      <c r="O12160" s="1"/>
      <c r="P12160" s="1"/>
      <c r="Q12160" s="1"/>
      <c r="R12160" s="1"/>
      <c r="S12160" s="1"/>
      <c r="T12160" s="1"/>
      <c r="U12160" s="1"/>
      <c r="V12160" s="1"/>
      <c r="W12160" s="1"/>
      <c r="X12160" s="1"/>
      <c r="Y12160" s="1"/>
      <c r="Z12160" s="1"/>
      <c r="AA12160" s="1"/>
      <c r="AB12160" s="1"/>
    </row>
    <row r="12161" ht="50.25" customHeight="1">
      <c r="A12161" s="12">
        <v>12157.0</v>
      </c>
      <c r="B12161" s="13" t="s">
        <v>11856</v>
      </c>
      <c r="C12161" s="14" t="s">
        <v>11983</v>
      </c>
      <c r="D12161" s="1"/>
      <c r="E12161" s="1"/>
      <c r="F12161" s="1" t="str">
        <f>IFERROR(__xludf.DUMMYFUNCTION("GOOGLETRANSLATE(B12161, ""en"", ""fa"")
"),"نوشتن خلاق")</f>
        <v>نوشتن خلاق</v>
      </c>
      <c r="G12161" s="1" t="str">
        <f>IFERROR(__xludf.DUMMYFUNCTION("GOOGLETRANSLATE(C12161, ""en"", ""fa"")
"),"شعر یا داستانی درباره زیبایی و شکنندگی زندگی در باغی فراموش شده بسازید.")</f>
        <v>شعر یا داستانی درباره زیبایی و شکنندگی زندگی در باغی فراموش شده بسازید.</v>
      </c>
      <c r="H12161" s="1"/>
      <c r="I12161" s="1"/>
      <c r="J12161" s="1"/>
      <c r="K12161" s="1"/>
      <c r="L12161" s="1"/>
      <c r="M12161" s="1"/>
      <c r="N12161" s="1"/>
      <c r="O12161" s="1"/>
      <c r="P12161" s="1"/>
      <c r="Q12161" s="1"/>
      <c r="R12161" s="1"/>
      <c r="S12161" s="1"/>
      <c r="T12161" s="1"/>
      <c r="U12161" s="1"/>
      <c r="V12161" s="1"/>
      <c r="W12161" s="1"/>
      <c r="X12161" s="1"/>
      <c r="Y12161" s="1"/>
      <c r="Z12161" s="1"/>
      <c r="AA12161" s="1"/>
      <c r="AB12161" s="1"/>
    </row>
    <row r="12162" ht="50.25" customHeight="1">
      <c r="A12162" s="12">
        <v>12158.0</v>
      </c>
      <c r="B12162" s="13" t="s">
        <v>11856</v>
      </c>
      <c r="C12162" s="14" t="s">
        <v>11984</v>
      </c>
      <c r="D12162" s="1"/>
      <c r="E12162" s="1"/>
      <c r="F12162" s="1" t="str">
        <f>IFERROR(__xludf.DUMMYFUNCTION("GOOGLETRANSLATE(B12162, ""en"", ""fa"")
"),"نوشتن خلاق")</f>
        <v>نوشتن خلاق</v>
      </c>
      <c r="G12162" s="1" t="str">
        <f>IFERROR(__xludf.DUMMYFUNCTION("GOOGLETRANSLATE(C12162, ""en"", ""fa"")
"),"داستانی درباره قهرمان داستان بنویسید که متوجه می شود می تواند با موجودات افسانه ای در طبیعت ارتباط برقرار کند.")</f>
        <v>داستانی درباره قهرمان داستان بنویسید که متوجه می شود می تواند با موجودات افسانه ای در طبیعت ارتباط برقرار کند.</v>
      </c>
      <c r="H12162" s="1"/>
      <c r="I12162" s="1"/>
      <c r="J12162" s="1"/>
      <c r="K12162" s="1"/>
      <c r="L12162" s="1"/>
      <c r="M12162" s="1"/>
      <c r="N12162" s="1"/>
      <c r="O12162" s="1"/>
      <c r="P12162" s="1"/>
      <c r="Q12162" s="1"/>
      <c r="R12162" s="1"/>
      <c r="S12162" s="1"/>
      <c r="T12162" s="1"/>
      <c r="U12162" s="1"/>
      <c r="V12162" s="1"/>
      <c r="W12162" s="1"/>
      <c r="X12162" s="1"/>
      <c r="Y12162" s="1"/>
      <c r="Z12162" s="1"/>
      <c r="AA12162" s="1"/>
      <c r="AB12162" s="1"/>
    </row>
    <row r="12163" ht="50.25" customHeight="1">
      <c r="A12163" s="12">
        <v>12159.0</v>
      </c>
      <c r="B12163" s="13" t="s">
        <v>11856</v>
      </c>
      <c r="C12163" s="14" t="s">
        <v>11985</v>
      </c>
      <c r="D12163" s="1"/>
      <c r="E12163" s="1"/>
      <c r="F12163" s="1" t="str">
        <f>IFERROR(__xludf.DUMMYFUNCTION("GOOGLETRANSLATE(B12163, ""en"", ""fa"")
"),"نوشتن خلاق")</f>
        <v>نوشتن خلاق</v>
      </c>
      <c r="G12163" s="1" t="str">
        <f>IFERROR(__xludf.DUMMYFUNCTION("GOOGLETRANSLATE(C12163, ""en"", ""fa"")
"),"یک دنیای دیستوپیایی ایجاد کنید که در آن کتاب و دانش غیرقانونی است و گروهی از شورشیان به دنبال حفظ تاریخ مکتوب هستند.")</f>
        <v>یک دنیای دیستوپیایی ایجاد کنید که در آن کتاب و دانش غیرقانونی است و گروهی از شورشیان به دنبال حفظ تاریخ مکتوب هستند.</v>
      </c>
      <c r="H12163" s="1"/>
      <c r="I12163" s="1"/>
      <c r="J12163" s="1"/>
      <c r="K12163" s="1"/>
      <c r="L12163" s="1"/>
      <c r="M12163" s="1"/>
      <c r="N12163" s="1"/>
      <c r="O12163" s="1"/>
      <c r="P12163" s="1"/>
      <c r="Q12163" s="1"/>
      <c r="R12163" s="1"/>
      <c r="S12163" s="1"/>
      <c r="T12163" s="1"/>
      <c r="U12163" s="1"/>
      <c r="V12163" s="1"/>
      <c r="W12163" s="1"/>
      <c r="X12163" s="1"/>
      <c r="Y12163" s="1"/>
      <c r="Z12163" s="1"/>
      <c r="AA12163" s="1"/>
      <c r="AB12163" s="1"/>
    </row>
    <row r="12164" ht="50.25" customHeight="1">
      <c r="A12164" s="12">
        <v>12160.0</v>
      </c>
      <c r="B12164" s="13" t="s">
        <v>11856</v>
      </c>
      <c r="C12164" s="14" t="s">
        <v>11986</v>
      </c>
      <c r="D12164" s="1"/>
      <c r="E12164" s="1"/>
      <c r="F12164" s="1" t="str">
        <f>IFERROR(__xludf.DUMMYFUNCTION("GOOGLETRANSLATE(B12164, ""en"", ""fa"")
"),"نوشتن خلاق")</f>
        <v>نوشتن خلاق</v>
      </c>
      <c r="G12164" s="1" t="str">
        <f>IFERROR(__xludf.DUMMYFUNCTION("GOOGLETRANSLATE(C12164, ""en"", ""fa"")
"),"یک مجموعه هیجان انگیز را در یک کشتی کروز توسعه دهید، جایی که شخصیت اصلی باید یک سری از حوادث مرموز را حل کند.")</f>
        <v>یک مجموعه هیجان انگیز را در یک کشتی کروز توسعه دهید، جایی که شخصیت اصلی باید یک سری از حوادث مرموز را حل کند.</v>
      </c>
      <c r="H12164" s="1"/>
      <c r="I12164" s="1"/>
      <c r="J12164" s="1"/>
      <c r="K12164" s="1"/>
      <c r="L12164" s="1"/>
      <c r="M12164" s="1"/>
      <c r="N12164" s="1"/>
      <c r="O12164" s="1"/>
      <c r="P12164" s="1"/>
      <c r="Q12164" s="1"/>
      <c r="R12164" s="1"/>
      <c r="S12164" s="1"/>
      <c r="T12164" s="1"/>
      <c r="U12164" s="1"/>
      <c r="V12164" s="1"/>
      <c r="W12164" s="1"/>
      <c r="X12164" s="1"/>
      <c r="Y12164" s="1"/>
      <c r="Z12164" s="1"/>
      <c r="AA12164" s="1"/>
      <c r="AB12164" s="1"/>
    </row>
    <row r="12165" ht="50.25" customHeight="1">
      <c r="A12165" s="12">
        <v>12161.0</v>
      </c>
      <c r="B12165" s="13" t="s">
        <v>11856</v>
      </c>
      <c r="C12165" s="14" t="s">
        <v>11987</v>
      </c>
      <c r="D12165" s="1"/>
      <c r="E12165" s="1"/>
      <c r="F12165" s="1" t="str">
        <f>IFERROR(__xludf.DUMMYFUNCTION("GOOGLETRANSLATE(B12165, ""en"", ""fa"")
"),"نوشتن خلاق")</f>
        <v>نوشتن خلاق</v>
      </c>
      <c r="G12165" s="1" t="str">
        <f>IFERROR(__xludf.DUMMYFUNCTION("GOOGLETRANSLATE(C12165, ""en"", ""fa"")
"),"یک صحنه دیالوگ محور بین دو دوست بسازید که پس از مدت ها دوری دوباره به هم می رسند و با مسائل حل نشده روبرو می شوند.")</f>
        <v>یک صحنه دیالوگ محور بین دو دوست بسازید که پس از مدت ها دوری دوباره به هم می رسند و با مسائل حل نشده روبرو می شوند.</v>
      </c>
      <c r="H12165" s="1"/>
      <c r="I12165" s="1"/>
      <c r="J12165" s="1"/>
      <c r="K12165" s="1"/>
      <c r="L12165" s="1"/>
      <c r="M12165" s="1"/>
      <c r="N12165" s="1"/>
      <c r="O12165" s="1"/>
      <c r="P12165" s="1"/>
      <c r="Q12165" s="1"/>
      <c r="R12165" s="1"/>
      <c r="S12165" s="1"/>
      <c r="T12165" s="1"/>
      <c r="U12165" s="1"/>
      <c r="V12165" s="1"/>
      <c r="W12165" s="1"/>
      <c r="X12165" s="1"/>
      <c r="Y12165" s="1"/>
      <c r="Z12165" s="1"/>
      <c r="AA12165" s="1"/>
      <c r="AB12165" s="1"/>
    </row>
    <row r="12166" ht="50.25" customHeight="1">
      <c r="A12166" s="12">
        <v>12162.0</v>
      </c>
      <c r="B12166" s="13" t="s">
        <v>11856</v>
      </c>
      <c r="C12166" s="14" t="s">
        <v>11988</v>
      </c>
      <c r="D12166" s="1"/>
      <c r="E12166" s="1"/>
      <c r="F12166" s="1" t="str">
        <f>IFERROR(__xludf.DUMMYFUNCTION("GOOGLETRANSLATE(B12166, ""en"", ""fa"")
"),"نوشتن خلاق")</f>
        <v>نوشتن خلاق</v>
      </c>
      <c r="G12166" s="1" t="str">
        <f>IFERROR(__xludf.DUMMYFUNCTION("GOOGLETRANSLATE(C12166, ""en"", ""fa"")
"),"داستانی در مورد شخصی بنویسید که توانایی سفر در زمان را از طریق کتاب ها و کشف دوران ها و جهان های مختلف به دست می آورد.")</f>
        <v>داستانی در مورد شخصی بنویسید که توانایی سفر در زمان را از طریق کتاب ها و کشف دوران ها و جهان های مختلف به دست می آورد.</v>
      </c>
      <c r="H12166" s="1"/>
      <c r="I12166" s="1"/>
      <c r="J12166" s="1"/>
      <c r="K12166" s="1"/>
      <c r="L12166" s="1"/>
      <c r="M12166" s="1"/>
      <c r="N12166" s="1"/>
      <c r="O12166" s="1"/>
      <c r="P12166" s="1"/>
      <c r="Q12166" s="1"/>
      <c r="R12166" s="1"/>
      <c r="S12166" s="1"/>
      <c r="T12166" s="1"/>
      <c r="U12166" s="1"/>
      <c r="V12166" s="1"/>
      <c r="W12166" s="1"/>
      <c r="X12166" s="1"/>
      <c r="Y12166" s="1"/>
      <c r="Z12166" s="1"/>
      <c r="AA12166" s="1"/>
      <c r="AB12166" s="1"/>
    </row>
    <row r="12167" ht="50.25" customHeight="1">
      <c r="A12167" s="12">
        <v>12163.0</v>
      </c>
      <c r="B12167" s="13" t="s">
        <v>11856</v>
      </c>
      <c r="C12167" s="14" t="s">
        <v>11989</v>
      </c>
      <c r="D12167" s="1"/>
      <c r="E12167" s="1"/>
      <c r="F12167" s="1" t="str">
        <f>IFERROR(__xludf.DUMMYFUNCTION("GOOGLETRANSLATE(B12167, ""en"", ""fa"")
"),"نوشتن خلاق")</f>
        <v>نوشتن خلاق</v>
      </c>
      <c r="G12167" s="1" t="str">
        <f>IFERROR(__xludf.DUMMYFUNCTION("GOOGLETRANSLATE(C12167, ""en"", ""fa"")
"),"یک شعر یا داستان در مورد شخصیتی بسازید که تصوراتی از آینده دارد اما برای جلوگیری از اتفاقات پیش بینی شده تلاش می کند.")</f>
        <v>یک شعر یا داستان در مورد شخصیتی بسازید که تصوراتی از آینده دارد اما برای جلوگیری از اتفاقات پیش بینی شده تلاش می کند.</v>
      </c>
      <c r="H12167" s="1"/>
      <c r="I12167" s="1"/>
      <c r="J12167" s="1"/>
      <c r="K12167" s="1"/>
      <c r="L12167" s="1"/>
      <c r="M12167" s="1"/>
      <c r="N12167" s="1"/>
      <c r="O12167" s="1"/>
      <c r="P12167" s="1"/>
      <c r="Q12167" s="1"/>
      <c r="R12167" s="1"/>
      <c r="S12167" s="1"/>
      <c r="T12167" s="1"/>
      <c r="U12167" s="1"/>
      <c r="V12167" s="1"/>
      <c r="W12167" s="1"/>
      <c r="X12167" s="1"/>
      <c r="Y12167" s="1"/>
      <c r="Z12167" s="1"/>
      <c r="AA12167" s="1"/>
      <c r="AB12167" s="1"/>
    </row>
    <row r="12168" ht="50.25" customHeight="1">
      <c r="A12168" s="12">
        <v>12164.0</v>
      </c>
      <c r="B12168" s="13" t="s">
        <v>11856</v>
      </c>
      <c r="C12168" s="14" t="s">
        <v>11990</v>
      </c>
      <c r="D12168" s="1"/>
      <c r="E12168" s="1"/>
      <c r="F12168" s="1" t="str">
        <f>IFERROR(__xludf.DUMMYFUNCTION("GOOGLETRANSLATE(B12168, ""en"", ""fa"")
"),"نوشتن خلاق")</f>
        <v>نوشتن خلاق</v>
      </c>
      <c r="G12168" s="1" t="str">
        <f>IFERROR(__xludf.DUMMYFUNCTION("GOOGLETRANSLATE(C12168, ""en"", ""fa"")
"),"یک تلاش فانتزی را توسعه دهید که در آن شخصیت اصلی باید مصنوع قدرتمندی را که توسط یک دزد حیله گر دزدیده شده است، بازیابی کند.")</f>
        <v>یک تلاش فانتزی را توسعه دهید که در آن شخصیت اصلی باید مصنوع قدرتمندی را که توسط یک دزد حیله گر دزدیده شده است، بازیابی کند.</v>
      </c>
      <c r="H12168" s="1"/>
      <c r="I12168" s="1"/>
      <c r="J12168" s="1"/>
      <c r="K12168" s="1"/>
      <c r="L12168" s="1"/>
      <c r="M12168" s="1"/>
      <c r="N12168" s="1"/>
      <c r="O12168" s="1"/>
      <c r="P12168" s="1"/>
      <c r="Q12168" s="1"/>
      <c r="R12168" s="1"/>
      <c r="S12168" s="1"/>
      <c r="T12168" s="1"/>
      <c r="U12168" s="1"/>
      <c r="V12168" s="1"/>
      <c r="W12168" s="1"/>
      <c r="X12168" s="1"/>
      <c r="Y12168" s="1"/>
      <c r="Z12168" s="1"/>
      <c r="AA12168" s="1"/>
      <c r="AB12168" s="1"/>
    </row>
    <row r="12169" ht="50.25" customHeight="1">
      <c r="A12169" s="12">
        <v>12165.0</v>
      </c>
      <c r="B12169" s="13" t="s">
        <v>11856</v>
      </c>
      <c r="C12169" s="14" t="s">
        <v>11991</v>
      </c>
      <c r="D12169" s="1"/>
      <c r="E12169" s="1"/>
      <c r="F12169" s="1" t="str">
        <f>IFERROR(__xludf.DUMMYFUNCTION("GOOGLETRANSLATE(B12169, ""en"", ""fa"")
"),"نوشتن خلاق")</f>
        <v>نوشتن خلاق</v>
      </c>
      <c r="G12169" s="1" t="str">
        <f>IFERROR(__xludf.DUMMYFUNCTION("GOOGLETRANSLATE(C12169, ""en"", ""fa"")
"),"داستانی رازآلود بسازید که در دهکده‌ای عجیب و غریب اتفاق می‌افتد، جایی که قهرمان داستان حقیقت را در پشت یک روح افسانه‌ای کشف می‌کند.")</f>
        <v>داستانی رازآلود بسازید که در دهکده‌ای عجیب و غریب اتفاق می‌افتد، جایی که قهرمان داستان حقیقت را در پشت یک روح افسانه‌ای کشف می‌کند.</v>
      </c>
      <c r="H12169" s="1"/>
      <c r="I12169" s="1"/>
      <c r="J12169" s="1"/>
      <c r="K12169" s="1"/>
      <c r="L12169" s="1"/>
      <c r="M12169" s="1"/>
      <c r="N12169" s="1"/>
      <c r="O12169" s="1"/>
      <c r="P12169" s="1"/>
      <c r="Q12169" s="1"/>
      <c r="R12169" s="1"/>
      <c r="S12169" s="1"/>
      <c r="T12169" s="1"/>
      <c r="U12169" s="1"/>
      <c r="V12169" s="1"/>
      <c r="W12169" s="1"/>
      <c r="X12169" s="1"/>
      <c r="Y12169" s="1"/>
      <c r="Z12169" s="1"/>
      <c r="AA12169" s="1"/>
      <c r="AB12169" s="1"/>
    </row>
    <row r="12170" ht="50.25" customHeight="1">
      <c r="A12170" s="12">
        <v>12166.0</v>
      </c>
      <c r="B12170" s="13" t="s">
        <v>11856</v>
      </c>
      <c r="C12170" s="14" t="s">
        <v>11992</v>
      </c>
      <c r="D12170" s="1"/>
      <c r="E12170" s="1"/>
      <c r="F12170" s="1" t="str">
        <f>IFERROR(__xludf.DUMMYFUNCTION("GOOGLETRANSLATE(B12170, ""en"", ""fa"")
"),"نوشتن خلاق")</f>
        <v>نوشتن خلاق</v>
      </c>
      <c r="G12170" s="1" t="str">
        <f>IFERROR(__xludf.DUMMYFUNCTION("GOOGLETRANSLATE(C12170, ""en"", ""fa"")
"),"داستانی در مورد شخصی بنویسید که می تواند با گیاهان ارتباط برقرار کند و از این موهبت برای شفا و محافظت از طبیعت استفاده کند.")</f>
        <v>داستانی در مورد شخصی بنویسید که می تواند با گیاهان ارتباط برقرار کند و از این موهبت برای شفا و محافظت از طبیعت استفاده کند.</v>
      </c>
      <c r="H12170" s="1"/>
      <c r="I12170" s="1"/>
      <c r="J12170" s="1"/>
      <c r="K12170" s="1"/>
      <c r="L12170" s="1"/>
      <c r="M12170" s="1"/>
      <c r="N12170" s="1"/>
      <c r="O12170" s="1"/>
      <c r="P12170" s="1"/>
      <c r="Q12170" s="1"/>
      <c r="R12170" s="1"/>
      <c r="S12170" s="1"/>
      <c r="T12170" s="1"/>
      <c r="U12170" s="1"/>
      <c r="V12170" s="1"/>
      <c r="W12170" s="1"/>
      <c r="X12170" s="1"/>
      <c r="Y12170" s="1"/>
      <c r="Z12170" s="1"/>
      <c r="AA12170" s="1"/>
      <c r="AB12170" s="1"/>
    </row>
    <row r="12171" ht="50.25" customHeight="1">
      <c r="A12171" s="12">
        <v>12167.0</v>
      </c>
      <c r="B12171" s="13" t="s">
        <v>11856</v>
      </c>
      <c r="C12171" s="14" t="s">
        <v>11993</v>
      </c>
      <c r="D12171" s="1"/>
      <c r="E12171" s="1"/>
      <c r="F12171" s="1" t="str">
        <f>IFERROR(__xludf.DUMMYFUNCTION("GOOGLETRANSLATE(B12171, ""en"", ""fa"")
"),"نوشتن خلاق")</f>
        <v>نوشتن خلاق</v>
      </c>
      <c r="G12171" s="1" t="str">
        <f>IFERROR(__xludf.DUMMYFUNCTION("GOOGLETRANSLATE(C12171, ""en"", ""fa"")
"),"یک ماجراجویی علمی تخیلی ایجاد کنید که در آن گروهی از کاوشگران فضایی با یک گونه بیگانه حساس با فرهنگ منحصر به فرد روبرو می شوند.")</f>
        <v>یک ماجراجویی علمی تخیلی ایجاد کنید که در آن گروهی از کاوشگران فضایی با یک گونه بیگانه حساس با فرهنگ منحصر به فرد روبرو می شوند.</v>
      </c>
      <c r="H12171" s="1"/>
      <c r="I12171" s="1"/>
      <c r="J12171" s="1"/>
      <c r="K12171" s="1"/>
      <c r="L12171" s="1"/>
      <c r="M12171" s="1"/>
      <c r="N12171" s="1"/>
      <c r="O12171" s="1"/>
      <c r="P12171" s="1"/>
      <c r="Q12171" s="1"/>
      <c r="R12171" s="1"/>
      <c r="S12171" s="1"/>
      <c r="T12171" s="1"/>
      <c r="U12171" s="1"/>
      <c r="V12171" s="1"/>
      <c r="W12171" s="1"/>
      <c r="X12171" s="1"/>
      <c r="Y12171" s="1"/>
      <c r="Z12171" s="1"/>
      <c r="AA12171" s="1"/>
      <c r="AB12171" s="1"/>
    </row>
    <row r="12172" ht="50.25" customHeight="1">
      <c r="A12172" s="12">
        <v>12168.0</v>
      </c>
      <c r="B12172" s="13" t="s">
        <v>11856</v>
      </c>
      <c r="C12172" s="14" t="s">
        <v>11994</v>
      </c>
      <c r="D12172" s="1"/>
      <c r="E12172" s="1"/>
      <c r="F12172" s="1" t="str">
        <f>IFERROR(__xludf.DUMMYFUNCTION("GOOGLETRANSLATE(B12172, ""en"", ""fa"")
"),"نوشتن خلاق")</f>
        <v>نوشتن خلاق</v>
      </c>
      <c r="G12172" s="1" t="str">
        <f>IFERROR(__xludf.DUMMYFUNCTION("GOOGLETRANSLATE(C12172, ""en"", ""fa"")
"),"یک فیلم هیجان انگیز درباره شخصی که بسته های ناشناس حاوی سرنخ های مرموز از رازی که مدت ها مدفون شده است دریافت می کند.")</f>
        <v>یک فیلم هیجان انگیز درباره شخصی که بسته های ناشناس حاوی سرنخ های مرموز از رازی که مدت ها مدفون شده است دریافت می کند.</v>
      </c>
      <c r="H12172" s="1"/>
      <c r="I12172" s="1"/>
      <c r="J12172" s="1"/>
      <c r="K12172" s="1"/>
      <c r="L12172" s="1"/>
      <c r="M12172" s="1"/>
      <c r="N12172" s="1"/>
      <c r="O12172" s="1"/>
      <c r="P12172" s="1"/>
      <c r="Q12172" s="1"/>
      <c r="R12172" s="1"/>
      <c r="S12172" s="1"/>
      <c r="T12172" s="1"/>
      <c r="U12172" s="1"/>
      <c r="V12172" s="1"/>
      <c r="W12172" s="1"/>
      <c r="X12172" s="1"/>
      <c r="Y12172" s="1"/>
      <c r="Z12172" s="1"/>
      <c r="AA12172" s="1"/>
      <c r="AB12172" s="1"/>
    </row>
    <row r="12173" ht="50.25" customHeight="1">
      <c r="A12173" s="12">
        <v>12169.0</v>
      </c>
      <c r="B12173" s="13" t="s">
        <v>11856</v>
      </c>
      <c r="C12173" s="14" t="s">
        <v>11995</v>
      </c>
      <c r="D12173" s="1"/>
      <c r="E12173" s="1"/>
      <c r="F12173" s="1" t="str">
        <f>IFERROR(__xludf.DUMMYFUNCTION("GOOGLETRANSLATE(B12173, ""en"", ""fa"")
"),"نوشتن خلاق")</f>
        <v>نوشتن خلاق</v>
      </c>
      <c r="G12173" s="1" t="str">
        <f>IFERROR(__xludf.DUMMYFUNCTION("GOOGLETRANSLATE(C12173, ""en"", ""fa"")
"),"شعر یا داستانی درباره شخصیتی بسازید که در شهری با جزایر شناور زندگی می کند و با استفاده از کشتی های هوایی بین آنها سفر می کند.")</f>
        <v>شعر یا داستانی درباره شخصیتی بسازید که در شهری با جزایر شناور زندگی می کند و با استفاده از کشتی های هوایی بین آنها سفر می کند.</v>
      </c>
      <c r="H12173" s="1"/>
      <c r="I12173" s="1"/>
      <c r="J12173" s="1"/>
      <c r="K12173" s="1"/>
      <c r="L12173" s="1"/>
      <c r="M12173" s="1"/>
      <c r="N12173" s="1"/>
      <c r="O12173" s="1"/>
      <c r="P12173" s="1"/>
      <c r="Q12173" s="1"/>
      <c r="R12173" s="1"/>
      <c r="S12173" s="1"/>
      <c r="T12173" s="1"/>
      <c r="U12173" s="1"/>
      <c r="V12173" s="1"/>
      <c r="W12173" s="1"/>
      <c r="X12173" s="1"/>
      <c r="Y12173" s="1"/>
      <c r="Z12173" s="1"/>
      <c r="AA12173" s="1"/>
      <c r="AB12173" s="1"/>
    </row>
    <row r="12174" ht="50.25" customHeight="1">
      <c r="A12174" s="12">
        <v>12170.0</v>
      </c>
      <c r="B12174" s="13" t="s">
        <v>11856</v>
      </c>
      <c r="C12174" s="14" t="s">
        <v>11996</v>
      </c>
      <c r="D12174" s="1"/>
      <c r="E12174" s="1"/>
      <c r="F12174" s="1" t="str">
        <f>IFERROR(__xludf.DUMMYFUNCTION("GOOGLETRANSLATE(B12174, ""en"", ""fa"")
"),"نوشتن خلاق")</f>
        <v>نوشتن خلاق</v>
      </c>
      <c r="G12174" s="1" t="str">
        <f>IFERROR(__xludf.DUMMYFUNCTION("GOOGLETRANSLATE(C12174, ""en"", ""fa"")
"),"داستانی در مورد فردی بنویسید که قدرت تله‌کینزی را به دست می‌آورد و باید یاد بگیرد که این توانایی تازه‌یافته را کنترل کند.")</f>
        <v>داستانی در مورد فردی بنویسید که قدرت تله‌کینزی را به دست می‌آورد و باید یاد بگیرد که این توانایی تازه‌یافته را کنترل کند.</v>
      </c>
      <c r="H12174" s="1"/>
      <c r="I12174" s="1"/>
      <c r="J12174" s="1"/>
      <c r="K12174" s="1"/>
      <c r="L12174" s="1"/>
      <c r="M12174" s="1"/>
      <c r="N12174" s="1"/>
      <c r="O12174" s="1"/>
      <c r="P12174" s="1"/>
      <c r="Q12174" s="1"/>
      <c r="R12174" s="1"/>
      <c r="S12174" s="1"/>
      <c r="T12174" s="1"/>
      <c r="U12174" s="1"/>
      <c r="V12174" s="1"/>
      <c r="W12174" s="1"/>
      <c r="X12174" s="1"/>
      <c r="Y12174" s="1"/>
      <c r="Z12174" s="1"/>
      <c r="AA12174" s="1"/>
      <c r="AB12174" s="1"/>
    </row>
    <row r="12175" ht="50.25" customHeight="1">
      <c r="A12175" s="12">
        <v>12171.0</v>
      </c>
      <c r="B12175" s="13" t="s">
        <v>11856</v>
      </c>
      <c r="C12175" s="14" t="s">
        <v>11997</v>
      </c>
      <c r="D12175" s="1"/>
      <c r="E12175" s="1"/>
      <c r="F12175" s="1" t="str">
        <f>IFERROR(__xludf.DUMMYFUNCTION("GOOGLETRANSLATE(B12175, ""en"", ""fa"")
"),"نوشتن خلاق")</f>
        <v>نوشتن خلاق</v>
      </c>
      <c r="G12175" s="1" t="str">
        <f>IFERROR(__xludf.DUMMYFUNCTION("GOOGLETRANSLATE(C12175, ""en"", ""fa"")
"),"یک قطعه رئالیسم جادویی ایجاد کنید که در آن یک شخصیت متوجه می شود که می تواند رویاهای واضح خود را زنده کند.")</f>
        <v>یک قطعه رئالیسم جادویی ایجاد کنید که در آن یک شخصیت متوجه می شود که می تواند رویاهای واضح خود را زنده کند.</v>
      </c>
      <c r="H12175" s="1"/>
      <c r="I12175" s="1"/>
      <c r="J12175" s="1"/>
      <c r="K12175" s="1"/>
      <c r="L12175" s="1"/>
      <c r="M12175" s="1"/>
      <c r="N12175" s="1"/>
      <c r="O12175" s="1"/>
      <c r="P12175" s="1"/>
      <c r="Q12175" s="1"/>
      <c r="R12175" s="1"/>
      <c r="S12175" s="1"/>
      <c r="T12175" s="1"/>
      <c r="U12175" s="1"/>
      <c r="V12175" s="1"/>
      <c r="W12175" s="1"/>
      <c r="X12175" s="1"/>
      <c r="Y12175" s="1"/>
      <c r="Z12175" s="1"/>
      <c r="AA12175" s="1"/>
      <c r="AB12175" s="1"/>
    </row>
    <row r="12176" ht="50.25" customHeight="1">
      <c r="A12176" s="12">
        <v>12172.0</v>
      </c>
      <c r="B12176" s="13" t="s">
        <v>11856</v>
      </c>
      <c r="C12176" s="14" t="s">
        <v>11998</v>
      </c>
      <c r="D12176" s="1"/>
      <c r="E12176" s="1"/>
      <c r="F12176" s="1" t="str">
        <f>IFERROR(__xludf.DUMMYFUNCTION("GOOGLETRANSLATE(B12176, ""en"", ""fa"")
"),"نوشتن خلاق")</f>
        <v>نوشتن خلاق</v>
      </c>
      <c r="G12176" s="1" t="str">
        <f>IFERROR(__xludf.DUMMYFUNCTION("GOOGLETRANSLATE(C12176, ""en"", ""fa"")
"),"یک داستان علمی تخیلی در مورد یک بازی واقعیت مجازی بسازید که مرز بین دنیای دیجیتال و واقعیت را محو می کند.")</f>
        <v>یک داستان علمی تخیلی در مورد یک بازی واقعیت مجازی بسازید که مرز بین دنیای دیجیتال و واقعیت را محو می کند.</v>
      </c>
      <c r="H12176" s="1"/>
      <c r="I12176" s="1"/>
      <c r="J12176" s="1"/>
      <c r="K12176" s="1"/>
      <c r="L12176" s="1"/>
      <c r="M12176" s="1"/>
      <c r="N12176" s="1"/>
      <c r="O12176" s="1"/>
      <c r="P12176" s="1"/>
      <c r="Q12176" s="1"/>
      <c r="R12176" s="1"/>
      <c r="S12176" s="1"/>
      <c r="T12176" s="1"/>
      <c r="U12176" s="1"/>
      <c r="V12176" s="1"/>
      <c r="W12176" s="1"/>
      <c r="X12176" s="1"/>
      <c r="Y12176" s="1"/>
      <c r="Z12176" s="1"/>
      <c r="AA12176" s="1"/>
      <c r="AB12176" s="1"/>
    </row>
    <row r="12177" ht="50.25" customHeight="1">
      <c r="A12177" s="12">
        <v>12173.0</v>
      </c>
      <c r="B12177" s="13" t="s">
        <v>11856</v>
      </c>
      <c r="C12177" s="14" t="s">
        <v>11999</v>
      </c>
      <c r="D12177" s="1"/>
      <c r="E12177" s="1"/>
      <c r="F12177" s="1" t="str">
        <f>IFERROR(__xludf.DUMMYFUNCTION("GOOGLETRANSLATE(B12177, ""en"", ""fa"")
"),"نوشتن خلاق")</f>
        <v>نوشتن خلاق</v>
      </c>
      <c r="G12177" s="1" t="str">
        <f>IFERROR(__xludf.DUMMYFUNCTION("GOOGLETRANSLATE(C12177, ""en"", ""fa"")
"),"یک صحنه دیالوگ محور بین دو شخصیت بسازید که در یک توپ بالماسکه ملاقات می کنند و یک ارتباط غیرمنتظره را ایجاد می کنند.")</f>
        <v>یک صحنه دیالوگ محور بین دو شخصیت بسازید که در یک توپ بالماسکه ملاقات می کنند و یک ارتباط غیرمنتظره را ایجاد می کنند.</v>
      </c>
      <c r="H12177" s="1"/>
      <c r="I12177" s="1"/>
      <c r="J12177" s="1"/>
      <c r="K12177" s="1"/>
      <c r="L12177" s="1"/>
      <c r="M12177" s="1"/>
      <c r="N12177" s="1"/>
      <c r="O12177" s="1"/>
      <c r="P12177" s="1"/>
      <c r="Q12177" s="1"/>
      <c r="R12177" s="1"/>
      <c r="S12177" s="1"/>
      <c r="T12177" s="1"/>
      <c r="U12177" s="1"/>
      <c r="V12177" s="1"/>
      <c r="W12177" s="1"/>
      <c r="X12177" s="1"/>
      <c r="Y12177" s="1"/>
      <c r="Z12177" s="1"/>
      <c r="AA12177" s="1"/>
      <c r="AB12177" s="1"/>
    </row>
    <row r="12178" ht="50.25" customHeight="1">
      <c r="A12178" s="12">
        <v>12174.0</v>
      </c>
      <c r="B12178" s="13" t="s">
        <v>11856</v>
      </c>
      <c r="C12178" s="14" t="s">
        <v>12000</v>
      </c>
      <c r="D12178" s="1"/>
      <c r="E12178" s="1"/>
      <c r="F12178" s="1" t="str">
        <f>IFERROR(__xludf.DUMMYFUNCTION("GOOGLETRANSLATE(B12178, ""en"", ""fa"")
"),"نوشتن خلاق")</f>
        <v>نوشتن خلاق</v>
      </c>
      <c r="G12178" s="1" t="str">
        <f>IFERROR(__xludf.DUMMYFUNCTION("GOOGLETRANSLATE(C12178, ""en"", ""fa"")
"),"داستانی در مورد شخصی بنویسید که وارث یک عمارت قدیمی با یک کتابخانه مخفی حاوی کتاب های مسحور شده است.")</f>
        <v>داستانی در مورد شخصی بنویسید که وارث یک عمارت قدیمی با یک کتابخانه مخفی حاوی کتاب های مسحور شده است.</v>
      </c>
      <c r="H12178" s="1"/>
      <c r="I12178" s="1"/>
      <c r="J12178" s="1"/>
      <c r="K12178" s="1"/>
      <c r="L12178" s="1"/>
      <c r="M12178" s="1"/>
      <c r="N12178" s="1"/>
      <c r="O12178" s="1"/>
      <c r="P12178" s="1"/>
      <c r="Q12178" s="1"/>
      <c r="R12178" s="1"/>
      <c r="S12178" s="1"/>
      <c r="T12178" s="1"/>
      <c r="U12178" s="1"/>
      <c r="V12178" s="1"/>
      <c r="W12178" s="1"/>
      <c r="X12178" s="1"/>
      <c r="Y12178" s="1"/>
      <c r="Z12178" s="1"/>
      <c r="AA12178" s="1"/>
      <c r="AB12178" s="1"/>
    </row>
    <row r="12179" ht="50.25" customHeight="1">
      <c r="A12179" s="12">
        <v>12175.0</v>
      </c>
      <c r="B12179" s="13" t="s">
        <v>11856</v>
      </c>
      <c r="C12179" s="14" t="s">
        <v>12001</v>
      </c>
      <c r="D12179" s="1"/>
      <c r="E12179" s="1"/>
      <c r="F12179" s="1" t="str">
        <f>IFERROR(__xludf.DUMMYFUNCTION("GOOGLETRANSLATE(B12179, ""en"", ""fa"")
"),"نوشتن خلاق")</f>
        <v>نوشتن خلاق</v>
      </c>
      <c r="G12179" s="1" t="str">
        <f>IFERROR(__xludf.DUMMYFUNCTION("GOOGLETRANSLATE(C12179, ""en"", ""fa"")
"),"شعر یا داستانی با الهام از فولکلور موجودات افسانه ای مانند اژدها یا ققنوس ایجاد کنید.")</f>
        <v>شعر یا داستانی با الهام از فولکلور موجودات افسانه ای مانند اژدها یا ققنوس ایجاد کنید.</v>
      </c>
      <c r="H12179" s="1"/>
      <c r="I12179" s="1"/>
      <c r="J12179" s="1"/>
      <c r="K12179" s="1"/>
      <c r="L12179" s="1"/>
      <c r="M12179" s="1"/>
      <c r="N12179" s="1"/>
      <c r="O12179" s="1"/>
      <c r="P12179" s="1"/>
      <c r="Q12179" s="1"/>
      <c r="R12179" s="1"/>
      <c r="S12179" s="1"/>
      <c r="T12179" s="1"/>
      <c r="U12179" s="1"/>
      <c r="V12179" s="1"/>
      <c r="W12179" s="1"/>
      <c r="X12179" s="1"/>
      <c r="Y12179" s="1"/>
      <c r="Z12179" s="1"/>
      <c r="AA12179" s="1"/>
      <c r="AB12179" s="1"/>
    </row>
    <row r="12180" ht="50.25" customHeight="1">
      <c r="A12180" s="12">
        <v>12176.0</v>
      </c>
      <c r="B12180" s="13" t="s">
        <v>11856</v>
      </c>
      <c r="C12180" s="14" t="s">
        <v>12002</v>
      </c>
      <c r="D12180" s="1"/>
      <c r="E12180" s="1"/>
      <c r="F12180" s="1" t="str">
        <f>IFERROR(__xludf.DUMMYFUNCTION("GOOGLETRANSLATE(B12180, ""en"", ""fa"")
"),"نوشتن خلاق")</f>
        <v>نوشتن خلاق</v>
      </c>
      <c r="G12180" s="1" t="str">
        <f>IFERROR(__xludf.DUMMYFUNCTION("GOOGLETRANSLATE(C12180, ""en"", ""fa"")
"),"یک راز را در یک شهر ساحلی خواب آلود بسازید، جایی که شخصیت اصلی مجموعه ای از ناپدید شدن ها را کشف می کند.")</f>
        <v>یک راز را در یک شهر ساحلی خواب آلود بسازید، جایی که شخصیت اصلی مجموعه ای از ناپدید شدن ها را کشف می کند.</v>
      </c>
      <c r="H12180" s="1"/>
      <c r="I12180" s="1"/>
      <c r="J12180" s="1"/>
      <c r="K12180" s="1"/>
      <c r="L12180" s="1"/>
      <c r="M12180" s="1"/>
      <c r="N12180" s="1"/>
      <c r="O12180" s="1"/>
      <c r="P12180" s="1"/>
      <c r="Q12180" s="1"/>
      <c r="R12180" s="1"/>
      <c r="S12180" s="1"/>
      <c r="T12180" s="1"/>
      <c r="U12180" s="1"/>
      <c r="V12180" s="1"/>
      <c r="W12180" s="1"/>
      <c r="X12180" s="1"/>
      <c r="Y12180" s="1"/>
      <c r="Z12180" s="1"/>
      <c r="AA12180" s="1"/>
      <c r="AB12180" s="1"/>
    </row>
    <row r="12181" ht="50.25" customHeight="1">
      <c r="A12181" s="12">
        <v>12177.0</v>
      </c>
      <c r="B12181" s="13" t="s">
        <v>11856</v>
      </c>
      <c r="C12181" s="14" t="s">
        <v>12003</v>
      </c>
      <c r="D12181" s="1"/>
      <c r="E12181" s="1"/>
      <c r="F12181" s="1" t="str">
        <f>IFERROR(__xludf.DUMMYFUNCTION("GOOGLETRANSLATE(B12181, ""en"", ""fa"")
"),"نوشتن خلاق")</f>
        <v>نوشتن خلاق</v>
      </c>
      <c r="G12181" s="1" t="str">
        <f>IFERROR(__xludf.DUMMYFUNCTION("GOOGLETRANSLATE(C12181, ""en"", ""fa"")
"),"داستانی در مورد شخصیتی بسازید که می تواند الگوهای آب و هوا را دستکاری کند و از این قدرت برای محافظت از جامعه خود استفاده کند.")</f>
        <v>داستانی در مورد شخصیتی بسازید که می تواند الگوهای آب و هوا را دستکاری کند و از این قدرت برای محافظت از جامعه خود استفاده کند.</v>
      </c>
      <c r="H12181" s="1"/>
      <c r="I12181" s="1"/>
      <c r="J12181" s="1"/>
      <c r="K12181" s="1"/>
      <c r="L12181" s="1"/>
      <c r="M12181" s="1"/>
      <c r="N12181" s="1"/>
      <c r="O12181" s="1"/>
      <c r="P12181" s="1"/>
      <c r="Q12181" s="1"/>
      <c r="R12181" s="1"/>
      <c r="S12181" s="1"/>
      <c r="T12181" s="1"/>
      <c r="U12181" s="1"/>
      <c r="V12181" s="1"/>
      <c r="W12181" s="1"/>
      <c r="X12181" s="1"/>
      <c r="Y12181" s="1"/>
      <c r="Z12181" s="1"/>
      <c r="AA12181" s="1"/>
      <c r="AB12181" s="1"/>
    </row>
    <row r="12182" ht="50.25" customHeight="1">
      <c r="A12182" s="12">
        <v>12178.0</v>
      </c>
      <c r="B12182" s="13" t="s">
        <v>11856</v>
      </c>
      <c r="C12182" s="14" t="s">
        <v>12004</v>
      </c>
      <c r="D12182" s="1"/>
      <c r="E12182" s="1"/>
      <c r="F12182" s="1" t="str">
        <f>IFERROR(__xludf.DUMMYFUNCTION("GOOGLETRANSLATE(B12182, ""en"", ""fa"")
"),"نوشتن خلاق")</f>
        <v>نوشتن خلاق</v>
      </c>
      <c r="G12182" s="1" t="str">
        <f>IFERROR(__xludf.DUMMYFUNCTION("GOOGLETRANSLATE(C12182, ""en"", ""fa"")
"),"داستانی درباره شخصی بنویسید که می تواند سرنوشت مردم را ببیند اما باید با پیامدهای اخلاقی دخالت دست و پنجه نرم کند.")</f>
        <v>داستانی درباره شخصی بنویسید که می تواند سرنوشت مردم را ببیند اما باید با پیامدهای اخلاقی دخالت دست و پنجه نرم کند.</v>
      </c>
      <c r="H12182" s="1"/>
      <c r="I12182" s="1"/>
      <c r="J12182" s="1"/>
      <c r="K12182" s="1"/>
      <c r="L12182" s="1"/>
      <c r="M12182" s="1"/>
      <c r="N12182" s="1"/>
      <c r="O12182" s="1"/>
      <c r="P12182" s="1"/>
      <c r="Q12182" s="1"/>
      <c r="R12182" s="1"/>
      <c r="S12182" s="1"/>
      <c r="T12182" s="1"/>
      <c r="U12182" s="1"/>
      <c r="V12182" s="1"/>
      <c r="W12182" s="1"/>
      <c r="X12182" s="1"/>
      <c r="Y12182" s="1"/>
      <c r="Z12182" s="1"/>
      <c r="AA12182" s="1"/>
      <c r="AB12182" s="1"/>
    </row>
    <row r="12183" ht="50.25" customHeight="1">
      <c r="A12183" s="12">
        <v>12179.0</v>
      </c>
      <c r="B12183" s="13" t="s">
        <v>11856</v>
      </c>
      <c r="C12183" s="14" t="s">
        <v>12005</v>
      </c>
      <c r="D12183" s="1"/>
      <c r="E12183" s="1"/>
      <c r="F12183" s="1" t="str">
        <f>IFERROR(__xludf.DUMMYFUNCTION("GOOGLETRANSLATE(B12183, ""en"", ""fa"")
"),"نوشتن خلاق")</f>
        <v>نوشتن خلاق</v>
      </c>
      <c r="G12183" s="1" t="str">
        <f>IFERROR(__xludf.DUMMYFUNCTION("GOOGLETRANSLATE(C12183, ""en"", ""fa"")
"),"یک ماجراجویی فانتزی ایجاد کنید که در آن گروهی از مسافران اعماق یک جنگل جادویی را با درختان حساس کاوش می کنند.")</f>
        <v>یک ماجراجویی فانتزی ایجاد کنید که در آن گروهی از مسافران اعماق یک جنگل جادویی را با درختان حساس کاوش می کنند.</v>
      </c>
      <c r="H12183" s="1"/>
      <c r="I12183" s="1"/>
      <c r="J12183" s="1"/>
      <c r="K12183" s="1"/>
      <c r="L12183" s="1"/>
      <c r="M12183" s="1"/>
      <c r="N12183" s="1"/>
      <c r="O12183" s="1"/>
      <c r="P12183" s="1"/>
      <c r="Q12183" s="1"/>
      <c r="R12183" s="1"/>
      <c r="S12183" s="1"/>
      <c r="T12183" s="1"/>
      <c r="U12183" s="1"/>
      <c r="V12183" s="1"/>
      <c r="W12183" s="1"/>
      <c r="X12183" s="1"/>
      <c r="Y12183" s="1"/>
      <c r="Z12183" s="1"/>
      <c r="AA12183" s="1"/>
      <c r="AB12183" s="1"/>
    </row>
    <row r="12184" ht="50.25" customHeight="1">
      <c r="A12184" s="12">
        <v>12180.0</v>
      </c>
      <c r="B12184" s="13" t="s">
        <v>11856</v>
      </c>
      <c r="C12184" s="14" t="s">
        <v>12006</v>
      </c>
      <c r="D12184" s="1"/>
      <c r="E12184" s="1"/>
      <c r="F12184" s="1" t="str">
        <f>IFERROR(__xludf.DUMMYFUNCTION("GOOGLETRANSLATE(B12184, ""en"", ""fa"")
"),"نوشتن خلاق")</f>
        <v>نوشتن خلاق</v>
      </c>
      <c r="G12184" s="1" t="str">
        <f>IFERROR(__xludf.DUMMYFUNCTION("GOOGLETRANSLATE(C12184, ""en"", ""fa"")
"),"یک فیلم هیجان‌انگیز علمی تخیلی بسازید که در آن قهرمان یک آزمایش دولتی مخفی شامل کنترل ذهن را کشف می‌کند.")</f>
        <v>یک فیلم هیجان‌انگیز علمی تخیلی بسازید که در آن قهرمان یک آزمایش دولتی مخفی شامل کنترل ذهن را کشف می‌کند.</v>
      </c>
      <c r="H12184" s="1"/>
      <c r="I12184" s="1"/>
      <c r="J12184" s="1"/>
      <c r="K12184" s="1"/>
      <c r="L12184" s="1"/>
      <c r="M12184" s="1"/>
      <c r="N12184" s="1"/>
      <c r="O12184" s="1"/>
      <c r="P12184" s="1"/>
      <c r="Q12184" s="1"/>
      <c r="R12184" s="1"/>
      <c r="S12184" s="1"/>
      <c r="T12184" s="1"/>
      <c r="U12184" s="1"/>
      <c r="V12184" s="1"/>
      <c r="W12184" s="1"/>
      <c r="X12184" s="1"/>
      <c r="Y12184" s="1"/>
      <c r="Z12184" s="1"/>
      <c r="AA12184" s="1"/>
      <c r="AB12184" s="1"/>
    </row>
    <row r="12185" ht="50.25" customHeight="1">
      <c r="A12185" s="12">
        <v>12181.0</v>
      </c>
      <c r="B12185" s="13" t="s">
        <v>11856</v>
      </c>
      <c r="C12185" s="14" t="s">
        <v>12007</v>
      </c>
      <c r="D12185" s="1"/>
      <c r="E12185" s="1"/>
      <c r="F12185" s="1" t="str">
        <f>IFERROR(__xludf.DUMMYFUNCTION("GOOGLETRANSLATE(B12185, ""en"", ""fa"")
"),"نوشتن خلاق")</f>
        <v>نوشتن خلاق</v>
      </c>
      <c r="G12185" s="1" t="str">
        <f>IFERROR(__xludf.DUMMYFUNCTION("GOOGLETRANSLATE(C12185, ""en"", ""fa"")
"),"یک صحنه دیالوگ محور بین دو رقیب بسازید که مجبور به همکاری برای غلبه بر یک دشمن متقابل هستند.")</f>
        <v>یک صحنه دیالوگ محور بین دو رقیب بسازید که مجبور به همکاری برای غلبه بر یک دشمن متقابل هستند.</v>
      </c>
      <c r="H12185" s="1"/>
      <c r="I12185" s="1"/>
      <c r="J12185" s="1"/>
      <c r="K12185" s="1"/>
      <c r="L12185" s="1"/>
      <c r="M12185" s="1"/>
      <c r="N12185" s="1"/>
      <c r="O12185" s="1"/>
      <c r="P12185" s="1"/>
      <c r="Q12185" s="1"/>
      <c r="R12185" s="1"/>
      <c r="S12185" s="1"/>
      <c r="T12185" s="1"/>
      <c r="U12185" s="1"/>
      <c r="V12185" s="1"/>
      <c r="W12185" s="1"/>
      <c r="X12185" s="1"/>
      <c r="Y12185" s="1"/>
      <c r="Z12185" s="1"/>
      <c r="AA12185" s="1"/>
      <c r="AB12185" s="1"/>
    </row>
    <row r="12186" ht="50.25" customHeight="1">
      <c r="A12186" s="12">
        <v>12182.0</v>
      </c>
      <c r="B12186" s="13" t="s">
        <v>11856</v>
      </c>
      <c r="C12186" s="14" t="s">
        <v>12008</v>
      </c>
      <c r="D12186" s="1"/>
      <c r="E12186" s="1"/>
      <c r="F12186" s="1" t="str">
        <f>IFERROR(__xludf.DUMMYFUNCTION("GOOGLETRANSLATE(B12186, ""en"", ""fa"")
"),"نوشتن خلاق")</f>
        <v>نوشتن خلاق</v>
      </c>
      <c r="G12186" s="1" t="str">
        <f>IFERROR(__xludf.DUMMYFUNCTION("GOOGLETRANSLATE(C12186, ""en"", ""fa"")
"),"یک درام شخصیت محور در مورد سفر یک فرد برای کشف خود پس از یک رویداد تغییر دهنده زندگی بنویسید.")</f>
        <v>یک درام شخصیت محور در مورد سفر یک فرد برای کشف خود پس از یک رویداد تغییر دهنده زندگی بنویسید.</v>
      </c>
      <c r="H12186" s="1"/>
      <c r="I12186" s="1"/>
      <c r="J12186" s="1"/>
      <c r="K12186" s="1"/>
      <c r="L12186" s="1"/>
      <c r="M12186" s="1"/>
      <c r="N12186" s="1"/>
      <c r="O12186" s="1"/>
      <c r="P12186" s="1"/>
      <c r="Q12186" s="1"/>
      <c r="R12186" s="1"/>
      <c r="S12186" s="1"/>
      <c r="T12186" s="1"/>
      <c r="U12186" s="1"/>
      <c r="V12186" s="1"/>
      <c r="W12186" s="1"/>
      <c r="X12186" s="1"/>
      <c r="Y12186" s="1"/>
      <c r="Z12186" s="1"/>
      <c r="AA12186" s="1"/>
      <c r="AB12186" s="1"/>
    </row>
    <row r="12187" ht="50.25" customHeight="1">
      <c r="A12187" s="12">
        <v>12183.0</v>
      </c>
      <c r="B12187" s="13" t="s">
        <v>11856</v>
      </c>
      <c r="C12187" s="14" t="s">
        <v>12009</v>
      </c>
      <c r="D12187" s="1"/>
      <c r="E12187" s="1"/>
      <c r="F12187" s="1" t="str">
        <f>IFERROR(__xludf.DUMMYFUNCTION("GOOGLETRANSLATE(B12187, ""en"", ""fa"")
"),"نوشتن خلاق")</f>
        <v>نوشتن خلاق</v>
      </c>
      <c r="G12187" s="1" t="str">
        <f>IFERROR(__xludf.DUMMYFUNCTION("GOOGLETRANSLATE(C12187, ""en"", ""fa"")
"),"شعر یا داستانی با الهام از زیبایی و آرامش آسمان پرستاره شب بسازید.")</f>
        <v>شعر یا داستانی با الهام از زیبایی و آرامش آسمان پرستاره شب بسازید.</v>
      </c>
      <c r="H12187" s="1"/>
      <c r="I12187" s="1"/>
      <c r="J12187" s="1"/>
      <c r="K12187" s="1"/>
      <c r="L12187" s="1"/>
      <c r="M12187" s="1"/>
      <c r="N12187" s="1"/>
      <c r="O12187" s="1"/>
      <c r="P12187" s="1"/>
      <c r="Q12187" s="1"/>
      <c r="R12187" s="1"/>
      <c r="S12187" s="1"/>
      <c r="T12187" s="1"/>
      <c r="U12187" s="1"/>
      <c r="V12187" s="1"/>
      <c r="W12187" s="1"/>
      <c r="X12187" s="1"/>
      <c r="Y12187" s="1"/>
      <c r="Z12187" s="1"/>
      <c r="AA12187" s="1"/>
      <c r="AB12187" s="1"/>
    </row>
    <row r="12188" ht="50.25" customHeight="1">
      <c r="A12188" s="12">
        <v>12184.0</v>
      </c>
      <c r="B12188" s="13" t="s">
        <v>11856</v>
      </c>
      <c r="C12188" s="14" t="s">
        <v>12010</v>
      </c>
      <c r="D12188" s="1"/>
      <c r="E12188" s="1"/>
      <c r="F12188" s="1" t="str">
        <f>IFERROR(__xludf.DUMMYFUNCTION("GOOGLETRANSLATE(B12188, ""en"", ""fa"")
"),"نوشتن خلاق")</f>
        <v>نوشتن خلاق</v>
      </c>
      <c r="G12188" s="1" t="str">
        <f>IFERROR(__xludf.DUMMYFUNCTION("GOOGLETRANSLATE(C12188, ""en"", ""fa"")
"),"یک داستان اسرارآمیز را در یک معبد باستانی بسازید، جایی که شخصیت اصلی سرنخ هایی را که از یک دستور مرموز به جا مانده است، کشف می کند.")</f>
        <v>یک داستان اسرارآمیز را در یک معبد باستانی بسازید، جایی که شخصیت اصلی سرنخ هایی را که از یک دستور مرموز به جا مانده است، کشف می کند.</v>
      </c>
      <c r="H12188" s="1"/>
      <c r="I12188" s="1"/>
      <c r="J12188" s="1"/>
      <c r="K12188" s="1"/>
      <c r="L12188" s="1"/>
      <c r="M12188" s="1"/>
      <c r="N12188" s="1"/>
      <c r="O12188" s="1"/>
      <c r="P12188" s="1"/>
      <c r="Q12188" s="1"/>
      <c r="R12188" s="1"/>
      <c r="S12188" s="1"/>
      <c r="T12188" s="1"/>
      <c r="U12188" s="1"/>
      <c r="V12188" s="1"/>
      <c r="W12188" s="1"/>
      <c r="X12188" s="1"/>
      <c r="Y12188" s="1"/>
      <c r="Z12188" s="1"/>
      <c r="AA12188" s="1"/>
      <c r="AB12188" s="1"/>
    </row>
    <row r="12189" ht="50.25" customHeight="1">
      <c r="A12189" s="12">
        <v>12185.0</v>
      </c>
      <c r="B12189" s="13" t="s">
        <v>11856</v>
      </c>
      <c r="C12189" s="14" t="s">
        <v>12011</v>
      </c>
      <c r="D12189" s="1"/>
      <c r="E12189" s="1"/>
      <c r="F12189" s="1" t="str">
        <f>IFERROR(__xludf.DUMMYFUNCTION("GOOGLETRANSLATE(B12189, ""en"", ""fa"")
"),"نوشتن خلاق")</f>
        <v>نوشتن خلاق</v>
      </c>
      <c r="G12189" s="1" t="str">
        <f>IFERROR(__xludf.DUMMYFUNCTION("GOOGLETRANSLATE(C12189, ""en"", ""fa"")
"),"یک داستان فانتزی در مورد شخصی بسازید که می تواند به حیوانات مختلف تبدیل شود و از این هدیه برای محافظت از بیابان استفاده می کند.")</f>
        <v>یک داستان فانتزی در مورد شخصی بسازید که می تواند به حیوانات مختلف تبدیل شود و از این هدیه برای محافظت از بیابان استفاده می کند.</v>
      </c>
      <c r="H12189" s="1"/>
      <c r="I12189" s="1"/>
      <c r="J12189" s="1"/>
      <c r="K12189" s="1"/>
      <c r="L12189" s="1"/>
      <c r="M12189" s="1"/>
      <c r="N12189" s="1"/>
      <c r="O12189" s="1"/>
      <c r="P12189" s="1"/>
      <c r="Q12189" s="1"/>
      <c r="R12189" s="1"/>
      <c r="S12189" s="1"/>
      <c r="T12189" s="1"/>
      <c r="U12189" s="1"/>
      <c r="V12189" s="1"/>
      <c r="W12189" s="1"/>
      <c r="X12189" s="1"/>
      <c r="Y12189" s="1"/>
      <c r="Z12189" s="1"/>
      <c r="AA12189" s="1"/>
      <c r="AB12189" s="1"/>
    </row>
    <row r="12190" ht="50.25" customHeight="1">
      <c r="A12190" s="12">
        <v>12186.0</v>
      </c>
      <c r="B12190" s="13" t="s">
        <v>11856</v>
      </c>
      <c r="C12190" s="14" t="s">
        <v>12012</v>
      </c>
      <c r="D12190" s="1"/>
      <c r="E12190" s="1"/>
      <c r="F12190" s="1" t="str">
        <f>IFERROR(__xludf.DUMMYFUNCTION("GOOGLETRANSLATE(B12190, ""en"", ""fa"")
"),"نوشتن خلاق")</f>
        <v>نوشتن خلاق</v>
      </c>
      <c r="G12190" s="1" t="str">
        <f>IFERROR(__xludf.DUMMYFUNCTION("GOOGLETRANSLATE(C12190, ""en"", ""fa"")
"),"داستانی درباره قهرمان داستان بنویسید که می تواند با ارواح ارتباط برقرار کند و به آنها کمک می کند تا کارهای ناتمام را حل کنند.")</f>
        <v>داستانی درباره قهرمان داستان بنویسید که می تواند با ارواح ارتباط برقرار کند و به آنها کمک می کند تا کارهای ناتمام را حل کنند.</v>
      </c>
      <c r="H12190" s="1"/>
      <c r="I12190" s="1"/>
      <c r="J12190" s="1"/>
      <c r="K12190" s="1"/>
      <c r="L12190" s="1"/>
      <c r="M12190" s="1"/>
      <c r="N12190" s="1"/>
      <c r="O12190" s="1"/>
      <c r="P12190" s="1"/>
      <c r="Q12190" s="1"/>
      <c r="R12190" s="1"/>
      <c r="S12190" s="1"/>
      <c r="T12190" s="1"/>
      <c r="U12190" s="1"/>
      <c r="V12190" s="1"/>
      <c r="W12190" s="1"/>
      <c r="X12190" s="1"/>
      <c r="Y12190" s="1"/>
      <c r="Z12190" s="1"/>
      <c r="AA12190" s="1"/>
      <c r="AB12190" s="1"/>
    </row>
    <row r="12191" ht="50.25" customHeight="1">
      <c r="A12191" s="12">
        <v>12187.0</v>
      </c>
      <c r="B12191" s="13" t="s">
        <v>11856</v>
      </c>
      <c r="C12191" s="14" t="s">
        <v>12013</v>
      </c>
      <c r="D12191" s="1"/>
      <c r="E12191" s="1"/>
      <c r="F12191" s="1" t="str">
        <f>IFERROR(__xludf.DUMMYFUNCTION("GOOGLETRANSLATE(B12191, ""en"", ""fa"")
"),"نوشتن خلاق")</f>
        <v>نوشتن خلاق</v>
      </c>
      <c r="G12191" s="1" t="str">
        <f>IFERROR(__xludf.DUMMYFUNCTION("GOOGLETRANSLATE(C12191, ""en"", ""fa"")
"),"یک قطعه رئالیسم جادویی ایجاد کنید که در آن یک شخصیت متوجه می شود که می تواند افکار اشیای بی جان را بشنود.")</f>
        <v>یک قطعه رئالیسم جادویی ایجاد کنید که در آن یک شخصیت متوجه می شود که می تواند افکار اشیای بی جان را بشنود.</v>
      </c>
      <c r="H12191" s="1"/>
      <c r="I12191" s="1"/>
      <c r="J12191" s="1"/>
      <c r="K12191" s="1"/>
      <c r="L12191" s="1"/>
      <c r="M12191" s="1"/>
      <c r="N12191" s="1"/>
      <c r="O12191" s="1"/>
      <c r="P12191" s="1"/>
      <c r="Q12191" s="1"/>
      <c r="R12191" s="1"/>
      <c r="S12191" s="1"/>
      <c r="T12191" s="1"/>
      <c r="U12191" s="1"/>
      <c r="V12191" s="1"/>
      <c r="W12191" s="1"/>
      <c r="X12191" s="1"/>
      <c r="Y12191" s="1"/>
      <c r="Z12191" s="1"/>
      <c r="AA12191" s="1"/>
      <c r="AB12191" s="1"/>
    </row>
    <row r="12192" ht="50.25" customHeight="1">
      <c r="A12192" s="12">
        <v>12188.0</v>
      </c>
      <c r="B12192" s="13" t="s">
        <v>11856</v>
      </c>
      <c r="C12192" s="14" t="s">
        <v>12014</v>
      </c>
      <c r="D12192" s="1"/>
      <c r="E12192" s="1"/>
      <c r="F12192" s="1" t="str">
        <f>IFERROR(__xludf.DUMMYFUNCTION("GOOGLETRANSLATE(B12192, ""en"", ""fa"")
"),"نوشتن خلاق")</f>
        <v>نوشتن خلاق</v>
      </c>
      <c r="G12192" s="1" t="str">
        <f>IFERROR(__xludf.DUMMYFUNCTION("GOOGLETRANSLATE(C12192, ""en"", ""fa"")
"),"در یک اقامتگاه کوهستانی دورافتاده، داستان هیجان انگیزی بسازید، جایی که شخصیت اصلی مجموعه ای از اتفاقات عجیب را بررسی می کند.")</f>
        <v>در یک اقامتگاه کوهستانی دورافتاده، داستان هیجان انگیزی بسازید، جایی که شخصیت اصلی مجموعه ای از اتفاقات عجیب را بررسی می کند.</v>
      </c>
      <c r="H12192" s="1"/>
      <c r="I12192" s="1"/>
      <c r="J12192" s="1"/>
      <c r="K12192" s="1"/>
      <c r="L12192" s="1"/>
      <c r="M12192" s="1"/>
      <c r="N12192" s="1"/>
      <c r="O12192" s="1"/>
      <c r="P12192" s="1"/>
      <c r="Q12192" s="1"/>
      <c r="R12192" s="1"/>
      <c r="S12192" s="1"/>
      <c r="T12192" s="1"/>
      <c r="U12192" s="1"/>
      <c r="V12192" s="1"/>
      <c r="W12192" s="1"/>
      <c r="X12192" s="1"/>
      <c r="Y12192" s="1"/>
      <c r="Z12192" s="1"/>
      <c r="AA12192" s="1"/>
      <c r="AB12192" s="1"/>
    </row>
    <row r="12193" ht="50.25" customHeight="1">
      <c r="A12193" s="12">
        <v>12189.0</v>
      </c>
      <c r="B12193" s="13" t="s">
        <v>11856</v>
      </c>
      <c r="C12193" s="14" t="s">
        <v>12015</v>
      </c>
      <c r="D12193" s="1"/>
      <c r="E12193" s="1"/>
      <c r="F12193" s="1" t="str">
        <f>IFERROR(__xludf.DUMMYFUNCTION("GOOGLETRANSLATE(B12193, ""en"", ""fa"")
"),"نوشتن خلاق")</f>
        <v>نوشتن خلاق</v>
      </c>
      <c r="G12193" s="1" t="str">
        <f>IFERROR(__xludf.DUMMYFUNCTION("GOOGLETRANSLATE(C12193, ""en"", ""fa"")
"),"یک شعر یا داستان در مورد شخصیتی بسازید که می تواند رویاها را دستکاری کند و برای مقابله با کابوس ها وارد دنیای رویا می شود.")</f>
        <v>یک شعر یا داستان در مورد شخصیتی بسازید که می تواند رویاها را دستکاری کند و برای مقابله با کابوس ها وارد دنیای رویا می شود.</v>
      </c>
      <c r="H12193" s="1"/>
      <c r="I12193" s="1"/>
      <c r="J12193" s="1"/>
      <c r="K12193" s="1"/>
      <c r="L12193" s="1"/>
      <c r="M12193" s="1"/>
      <c r="N12193" s="1"/>
      <c r="O12193" s="1"/>
      <c r="P12193" s="1"/>
      <c r="Q12193" s="1"/>
      <c r="R12193" s="1"/>
      <c r="S12193" s="1"/>
      <c r="T12193" s="1"/>
      <c r="U12193" s="1"/>
      <c r="V12193" s="1"/>
      <c r="W12193" s="1"/>
      <c r="X12193" s="1"/>
      <c r="Y12193" s="1"/>
      <c r="Z12193" s="1"/>
      <c r="AA12193" s="1"/>
      <c r="AB12193" s="1"/>
    </row>
    <row r="12194" ht="50.25" customHeight="1">
      <c r="A12194" s="12">
        <v>12190.0</v>
      </c>
      <c r="B12194" s="13" t="s">
        <v>11856</v>
      </c>
      <c r="C12194" s="14" t="s">
        <v>12016</v>
      </c>
      <c r="D12194" s="1"/>
      <c r="E12194" s="1"/>
      <c r="F12194" s="1" t="str">
        <f>IFERROR(__xludf.DUMMYFUNCTION("GOOGLETRANSLATE(B12194, ""en"", ""fa"")
"),"نوشتن خلاق")</f>
        <v>نوشتن خلاق</v>
      </c>
      <c r="G12194" s="1" t="str">
        <f>IFERROR(__xludf.DUMMYFUNCTION("GOOGLETRANSLATE(C12194, ""en"", ""fa"")
"),"داستانی در مورد شخصی بنویسید که توانایی کنترل آتش را به دست آورده و از آن برای دفاع از جامعه خود استفاده می کند.")</f>
        <v>داستانی در مورد شخصی بنویسید که توانایی کنترل آتش را به دست آورده و از آن برای دفاع از جامعه خود استفاده می کند.</v>
      </c>
      <c r="H12194" s="1"/>
      <c r="I12194" s="1"/>
      <c r="J12194" s="1"/>
      <c r="K12194" s="1"/>
      <c r="L12194" s="1"/>
      <c r="M12194" s="1"/>
      <c r="N12194" s="1"/>
      <c r="O12194" s="1"/>
      <c r="P12194" s="1"/>
      <c r="Q12194" s="1"/>
      <c r="R12194" s="1"/>
      <c r="S12194" s="1"/>
      <c r="T12194" s="1"/>
      <c r="U12194" s="1"/>
      <c r="V12194" s="1"/>
      <c r="W12194" s="1"/>
      <c r="X12194" s="1"/>
      <c r="Y12194" s="1"/>
      <c r="Z12194" s="1"/>
      <c r="AA12194" s="1"/>
      <c r="AB12194" s="1"/>
    </row>
    <row r="12195" ht="50.25" customHeight="1">
      <c r="A12195" s="12">
        <v>12191.0</v>
      </c>
      <c r="B12195" s="13" t="s">
        <v>11856</v>
      </c>
      <c r="C12195" s="14" t="s">
        <v>12017</v>
      </c>
      <c r="D12195" s="1"/>
      <c r="E12195" s="1"/>
      <c r="F12195" s="1" t="str">
        <f>IFERROR(__xludf.DUMMYFUNCTION("GOOGLETRANSLATE(B12195, ""en"", ""fa"")
"),"نوشتن خلاق")</f>
        <v>نوشتن خلاق</v>
      </c>
      <c r="G12195" s="1" t="str">
        <f>IFERROR(__xludf.DUMMYFUNCTION("GOOGLETRANSLATE(C12195, ""en"", ""fa"")
"),"یک ماجراجویی علمی تخیلی بسازید که در آن تیمی از کاوشگران در حال بررسی یک سفینه فضایی رها شده در فضا هستند.")</f>
        <v>یک ماجراجویی علمی تخیلی بسازید که در آن تیمی از کاوشگران در حال بررسی یک سفینه فضایی رها شده در فضا هستند.</v>
      </c>
      <c r="H12195" s="1"/>
      <c r="I12195" s="1"/>
      <c r="J12195" s="1"/>
      <c r="K12195" s="1"/>
      <c r="L12195" s="1"/>
      <c r="M12195" s="1"/>
      <c r="N12195" s="1"/>
      <c r="O12195" s="1"/>
      <c r="P12195" s="1"/>
      <c r="Q12195" s="1"/>
      <c r="R12195" s="1"/>
      <c r="S12195" s="1"/>
      <c r="T12195" s="1"/>
      <c r="U12195" s="1"/>
      <c r="V12195" s="1"/>
      <c r="W12195" s="1"/>
      <c r="X12195" s="1"/>
      <c r="Y12195" s="1"/>
      <c r="Z12195" s="1"/>
      <c r="AA12195" s="1"/>
      <c r="AB12195" s="1"/>
    </row>
    <row r="12196" ht="50.25" customHeight="1">
      <c r="A12196" s="12">
        <v>12192.0</v>
      </c>
      <c r="B12196" s="13" t="s">
        <v>11856</v>
      </c>
      <c r="C12196" s="14" t="s">
        <v>12018</v>
      </c>
      <c r="D12196" s="1"/>
      <c r="E12196" s="1"/>
      <c r="F12196" s="1" t="str">
        <f>IFERROR(__xludf.DUMMYFUNCTION("GOOGLETRANSLATE(B12196, ""en"", ""fa"")
"),"نوشتن خلاق")</f>
        <v>نوشتن خلاق</v>
      </c>
      <c r="G12196" s="1" t="str">
        <f>IFERROR(__xludf.DUMMYFUNCTION("GOOGLETRANSLATE(C12196, ""en"", ""fa"")
"),"یک داستان اسرارآمیز ایجاد کنید که در آن قهرمان داستان پیام‌های ناشناس دریافت می‌کند که آنها را به یک تلاش خطرناک هدایت می‌کند.")</f>
        <v>یک داستان اسرارآمیز ایجاد کنید که در آن قهرمان داستان پیام‌های ناشناس دریافت می‌کند که آنها را به یک تلاش خطرناک هدایت می‌کند.</v>
      </c>
      <c r="H12196" s="1"/>
      <c r="I12196" s="1"/>
      <c r="J12196" s="1"/>
      <c r="K12196" s="1"/>
      <c r="L12196" s="1"/>
      <c r="M12196" s="1"/>
      <c r="N12196" s="1"/>
      <c r="O12196" s="1"/>
      <c r="P12196" s="1"/>
      <c r="Q12196" s="1"/>
      <c r="R12196" s="1"/>
      <c r="S12196" s="1"/>
      <c r="T12196" s="1"/>
      <c r="U12196" s="1"/>
      <c r="V12196" s="1"/>
      <c r="W12196" s="1"/>
      <c r="X12196" s="1"/>
      <c r="Y12196" s="1"/>
      <c r="Z12196" s="1"/>
      <c r="AA12196" s="1"/>
      <c r="AB12196" s="1"/>
    </row>
    <row r="12197" ht="50.25" customHeight="1">
      <c r="A12197" s="12">
        <v>12193.0</v>
      </c>
      <c r="B12197" s="13" t="s">
        <v>11856</v>
      </c>
      <c r="C12197" s="14" t="s">
        <v>12019</v>
      </c>
      <c r="D12197" s="1"/>
      <c r="E12197" s="1"/>
      <c r="F12197" s="1" t="str">
        <f>IFERROR(__xludf.DUMMYFUNCTION("GOOGLETRANSLATE(B12197, ""en"", ""fa"")
"),"نوشتن خلاق")</f>
        <v>نوشتن خلاق</v>
      </c>
      <c r="G12197" s="1" t="str">
        <f>IFERROR(__xludf.DUMMYFUNCTION("GOOGLETRANSLATE(C12197, ""en"", ""fa"")
"),"یک صحنه دیالوگ محور بین دو شخصیت از جناح های رقیب بسازید که به دنبال زمینه مشترک برای صلح هستند.")</f>
        <v>یک صحنه دیالوگ محور بین دو شخصیت از جناح های رقیب بسازید که به دنبال زمینه مشترک برای صلح هستند.</v>
      </c>
      <c r="H12197" s="1"/>
      <c r="I12197" s="1"/>
      <c r="J12197" s="1"/>
      <c r="K12197" s="1"/>
      <c r="L12197" s="1"/>
      <c r="M12197" s="1"/>
      <c r="N12197" s="1"/>
      <c r="O12197" s="1"/>
      <c r="P12197" s="1"/>
      <c r="Q12197" s="1"/>
      <c r="R12197" s="1"/>
      <c r="S12197" s="1"/>
      <c r="T12197" s="1"/>
      <c r="U12197" s="1"/>
      <c r="V12197" s="1"/>
      <c r="W12197" s="1"/>
      <c r="X12197" s="1"/>
      <c r="Y12197" s="1"/>
      <c r="Z12197" s="1"/>
      <c r="AA12197" s="1"/>
      <c r="AB12197" s="1"/>
    </row>
    <row r="12198" ht="50.25" customHeight="1">
      <c r="A12198" s="12">
        <v>12194.0</v>
      </c>
      <c r="B12198" s="13" t="s">
        <v>11856</v>
      </c>
      <c r="C12198" s="14" t="s">
        <v>12020</v>
      </c>
      <c r="D12198" s="1"/>
      <c r="E12198" s="1"/>
      <c r="F12198" s="1" t="str">
        <f>IFERROR(__xludf.DUMMYFUNCTION("GOOGLETRANSLATE(B12198, ""en"", ""fa"")
"),"نوشتن خلاق")</f>
        <v>نوشتن خلاق</v>
      </c>
      <c r="G12198" s="1" t="str">
        <f>IFERROR(__xludf.DUMMYFUNCTION("GOOGLETRANSLATE(C12198, ""en"", ""fa"")
"),"داستانی در مورد شخصی بنویسید که می تواند وارد نقاشی ها شود و با دنیای تصویر شده ارتباط برقرار کند.")</f>
        <v>داستانی در مورد شخصی بنویسید که می تواند وارد نقاشی ها شود و با دنیای تصویر شده ارتباط برقرار کند.</v>
      </c>
      <c r="H12198" s="1"/>
      <c r="I12198" s="1"/>
      <c r="J12198" s="1"/>
      <c r="K12198" s="1"/>
      <c r="L12198" s="1"/>
      <c r="M12198" s="1"/>
      <c r="N12198" s="1"/>
      <c r="O12198" s="1"/>
      <c r="P12198" s="1"/>
      <c r="Q12198" s="1"/>
      <c r="R12198" s="1"/>
      <c r="S12198" s="1"/>
      <c r="T12198" s="1"/>
      <c r="U12198" s="1"/>
      <c r="V12198" s="1"/>
      <c r="W12198" s="1"/>
      <c r="X12198" s="1"/>
      <c r="Y12198" s="1"/>
      <c r="Z12198" s="1"/>
      <c r="AA12198" s="1"/>
      <c r="AB12198" s="1"/>
    </row>
    <row r="12199" ht="50.25" customHeight="1">
      <c r="A12199" s="12">
        <v>12195.0</v>
      </c>
      <c r="B12199" s="13" t="s">
        <v>11856</v>
      </c>
      <c r="C12199" s="14" t="s">
        <v>12021</v>
      </c>
      <c r="D12199" s="1"/>
      <c r="E12199" s="1"/>
      <c r="F12199" s="1" t="str">
        <f>IFERROR(__xludf.DUMMYFUNCTION("GOOGLETRANSLATE(B12199, ""en"", ""fa"")
"),"نوشتن خلاق")</f>
        <v>نوشتن خلاق</v>
      </c>
      <c r="G12199" s="1" t="str">
        <f>IFERROR(__xludf.DUMMYFUNCTION("GOOGLETRANSLATE(C12199, ""en"", ""fa"")
"),"شعر یا داستانی با الهام از عظمت و رمز و راز خرابه های باستانی بسازید.")</f>
        <v>شعر یا داستانی با الهام از عظمت و رمز و راز خرابه های باستانی بسازید.</v>
      </c>
      <c r="H12199" s="1"/>
      <c r="I12199" s="1"/>
      <c r="J12199" s="1"/>
      <c r="K12199" s="1"/>
      <c r="L12199" s="1"/>
      <c r="M12199" s="1"/>
      <c r="N12199" s="1"/>
      <c r="O12199" s="1"/>
      <c r="P12199" s="1"/>
      <c r="Q12199" s="1"/>
      <c r="R12199" s="1"/>
      <c r="S12199" s="1"/>
      <c r="T12199" s="1"/>
      <c r="U12199" s="1"/>
      <c r="V12199" s="1"/>
      <c r="W12199" s="1"/>
      <c r="X12199" s="1"/>
      <c r="Y12199" s="1"/>
      <c r="Z12199" s="1"/>
      <c r="AA12199" s="1"/>
      <c r="AB12199" s="1"/>
    </row>
    <row r="12200" ht="50.25" customHeight="1">
      <c r="A12200" s="12">
        <v>12196.0</v>
      </c>
      <c r="B12200" s="13" t="s">
        <v>11856</v>
      </c>
      <c r="C12200" s="14" t="s">
        <v>12022</v>
      </c>
      <c r="D12200" s="1"/>
      <c r="E12200" s="1"/>
      <c r="F12200" s="1" t="str">
        <f>IFERROR(__xludf.DUMMYFUNCTION("GOOGLETRANSLATE(B12200, ""en"", ""fa"")
"),"نوشتن خلاق")</f>
        <v>نوشتن خلاق</v>
      </c>
      <c r="G12200" s="1" t="str">
        <f>IFERROR(__xludf.DUMMYFUNCTION("GOOGLETRANSLATE(C12200, ""en"", ""fa"")
"),"یک تلاش فانتزی را توسعه دهید که در آن شخصیت اصلی باید آثار دزدیده شده را از قلمروهای مختلف اساطیری بازیابی کند.")</f>
        <v>یک تلاش فانتزی را توسعه دهید که در آن شخصیت اصلی باید آثار دزدیده شده را از قلمروهای مختلف اساطیری بازیابی کند.</v>
      </c>
      <c r="H12200" s="1"/>
      <c r="I12200" s="1"/>
      <c r="J12200" s="1"/>
      <c r="K12200" s="1"/>
      <c r="L12200" s="1"/>
      <c r="M12200" s="1"/>
      <c r="N12200" s="1"/>
      <c r="O12200" s="1"/>
      <c r="P12200" s="1"/>
      <c r="Q12200" s="1"/>
      <c r="R12200" s="1"/>
      <c r="S12200" s="1"/>
      <c r="T12200" s="1"/>
      <c r="U12200" s="1"/>
      <c r="V12200" s="1"/>
      <c r="W12200" s="1"/>
      <c r="X12200" s="1"/>
      <c r="Y12200" s="1"/>
      <c r="Z12200" s="1"/>
      <c r="AA12200" s="1"/>
      <c r="AB12200" s="1"/>
    </row>
    <row r="12201" ht="50.25" customHeight="1">
      <c r="A12201" s="12">
        <v>12197.0</v>
      </c>
      <c r="B12201" s="13" t="s">
        <v>11856</v>
      </c>
      <c r="C12201" s="14" t="s">
        <v>12023</v>
      </c>
      <c r="D12201" s="1"/>
      <c r="E12201" s="1"/>
      <c r="F12201" s="1" t="str">
        <f>IFERROR(__xludf.DUMMYFUNCTION("GOOGLETRANSLATE(B12201, ""en"", ""fa"")
"),"نوشتن خلاق")</f>
        <v>نوشتن خلاق</v>
      </c>
      <c r="G12201" s="1" t="str">
        <f>IFERROR(__xludf.DUMMYFUNCTION("GOOGLETRANSLATE(C12201, ""en"", ""fa"")
"),"یک فیلم هیجان انگیز در شهری آینده نگر بسازید، جایی که شخصیت اصلی یک توطئه دولتی را کشف می کند.")</f>
        <v>یک فیلم هیجان انگیز در شهری آینده نگر بسازید، جایی که شخصیت اصلی یک توطئه دولتی را کشف می کند.</v>
      </c>
      <c r="H12201" s="1"/>
      <c r="I12201" s="1"/>
      <c r="J12201" s="1"/>
      <c r="K12201" s="1"/>
      <c r="L12201" s="1"/>
      <c r="M12201" s="1"/>
      <c r="N12201" s="1"/>
      <c r="O12201" s="1"/>
      <c r="P12201" s="1"/>
      <c r="Q12201" s="1"/>
      <c r="R12201" s="1"/>
      <c r="S12201" s="1"/>
      <c r="T12201" s="1"/>
      <c r="U12201" s="1"/>
      <c r="V12201" s="1"/>
      <c r="W12201" s="1"/>
      <c r="X12201" s="1"/>
      <c r="Y12201" s="1"/>
      <c r="Z12201" s="1"/>
      <c r="AA12201" s="1"/>
      <c r="AB12201" s="1"/>
    </row>
    <row r="12202" ht="50.25" customHeight="1">
      <c r="A12202" s="12">
        <v>12198.0</v>
      </c>
      <c r="B12202" s="13" t="s">
        <v>11856</v>
      </c>
      <c r="C12202" s="14" t="s">
        <v>12024</v>
      </c>
      <c r="D12202" s="1"/>
      <c r="E12202" s="1"/>
      <c r="F12202" s="1" t="str">
        <f>IFERROR(__xludf.DUMMYFUNCTION("GOOGLETRANSLATE(B12202, ""en"", ""fa"")
"),"نوشتن خلاق")</f>
        <v>نوشتن خلاق</v>
      </c>
      <c r="G12202" s="1" t="str">
        <f>IFERROR(__xludf.DUMMYFUNCTION("GOOGLETRANSLATE(C12202, ""en"", ""fa"")
"),"داستانی در مورد شخصیتی بنویسید که توانایی تله‌پورت به هر مکانی را دارد که قبلاً دیده‌اند.")</f>
        <v>داستانی در مورد شخصیتی بنویسید که توانایی تله‌پورت به هر مکانی را دارد که قبلاً دیده‌اند.</v>
      </c>
      <c r="H12202" s="1"/>
      <c r="I12202" s="1"/>
      <c r="J12202" s="1"/>
      <c r="K12202" s="1"/>
      <c r="L12202" s="1"/>
      <c r="M12202" s="1"/>
      <c r="N12202" s="1"/>
      <c r="O12202" s="1"/>
      <c r="P12202" s="1"/>
      <c r="Q12202" s="1"/>
      <c r="R12202" s="1"/>
      <c r="S12202" s="1"/>
      <c r="T12202" s="1"/>
      <c r="U12202" s="1"/>
      <c r="V12202" s="1"/>
      <c r="W12202" s="1"/>
      <c r="X12202" s="1"/>
      <c r="Y12202" s="1"/>
      <c r="Z12202" s="1"/>
      <c r="AA12202" s="1"/>
      <c r="AB12202" s="1"/>
    </row>
    <row r="12203" ht="50.25" customHeight="1">
      <c r="A12203" s="12">
        <v>12199.0</v>
      </c>
      <c r="B12203" s="13" t="s">
        <v>11856</v>
      </c>
      <c r="C12203" s="14" t="s">
        <v>12025</v>
      </c>
      <c r="D12203" s="1"/>
      <c r="E12203" s="1"/>
      <c r="F12203" s="1" t="str">
        <f>IFERROR(__xludf.DUMMYFUNCTION("GOOGLETRANSLATE(B12203, ""en"", ""fa"")
"),"نوشتن خلاق")</f>
        <v>نوشتن خلاق</v>
      </c>
      <c r="G12203" s="1" t="str">
        <f>IFERROR(__xludf.DUMMYFUNCTION("GOOGLETRANSLATE(C12203, ""en"", ""fa"")
"),"یک قطعه رئالیسم جادویی ایجاد کنید که در آن یک شخصیت یک پورتال مخفی به قلمروی از خاطرات فراموش شده را کشف می کند.")</f>
        <v>یک قطعه رئالیسم جادویی ایجاد کنید که در آن یک شخصیت یک پورتال مخفی به قلمروی از خاطرات فراموش شده را کشف می کند.</v>
      </c>
      <c r="H12203" s="1"/>
      <c r="I12203" s="1"/>
      <c r="J12203" s="1"/>
      <c r="K12203" s="1"/>
      <c r="L12203" s="1"/>
      <c r="M12203" s="1"/>
      <c r="N12203" s="1"/>
      <c r="O12203" s="1"/>
      <c r="P12203" s="1"/>
      <c r="Q12203" s="1"/>
      <c r="R12203" s="1"/>
      <c r="S12203" s="1"/>
      <c r="T12203" s="1"/>
      <c r="U12203" s="1"/>
      <c r="V12203" s="1"/>
      <c r="W12203" s="1"/>
      <c r="X12203" s="1"/>
      <c r="Y12203" s="1"/>
      <c r="Z12203" s="1"/>
      <c r="AA12203" s="1"/>
      <c r="AB12203" s="1"/>
    </row>
    <row r="12204" ht="50.25" customHeight="1">
      <c r="A12204" s="12">
        <v>12200.0</v>
      </c>
      <c r="B12204" s="13" t="s">
        <v>11856</v>
      </c>
      <c r="C12204" s="14" t="s">
        <v>12026</v>
      </c>
      <c r="D12204" s="1"/>
      <c r="E12204" s="1"/>
      <c r="F12204" s="1" t="str">
        <f>IFERROR(__xludf.DUMMYFUNCTION("GOOGLETRANSLATE(B12204, ""en"", ""fa"")
"),"نوشتن خلاق")</f>
        <v>نوشتن خلاق</v>
      </c>
      <c r="G12204" s="1" t="str">
        <f>IFERROR(__xludf.DUMMYFUNCTION("GOOGLETRANSLATE(C12204, ""en"", ""fa"")
"),"یک داستان علمی تخیلی درباره شخصیتی بسازید که قدرت دستکاری گرانش و تاثیر آن بر جهان را به دست می آورد.")</f>
        <v>یک داستان علمی تخیلی درباره شخصیتی بسازید که قدرت دستکاری گرانش و تاثیر آن بر جهان را به دست می آورد.</v>
      </c>
      <c r="H12204" s="1"/>
      <c r="I12204" s="1"/>
      <c r="J12204" s="1"/>
      <c r="K12204" s="1"/>
      <c r="L12204" s="1"/>
      <c r="M12204" s="1"/>
      <c r="N12204" s="1"/>
      <c r="O12204" s="1"/>
      <c r="P12204" s="1"/>
      <c r="Q12204" s="1"/>
      <c r="R12204" s="1"/>
      <c r="S12204" s="1"/>
      <c r="T12204" s="1"/>
      <c r="U12204" s="1"/>
      <c r="V12204" s="1"/>
      <c r="W12204" s="1"/>
      <c r="X12204" s="1"/>
      <c r="Y12204" s="1"/>
      <c r="Z12204" s="1"/>
      <c r="AA12204" s="1"/>
      <c r="AB12204" s="1"/>
    </row>
    <row r="12205" ht="50.25" customHeight="1">
      <c r="A12205" s="12">
        <v>12201.0</v>
      </c>
      <c r="B12205" s="13" t="s">
        <v>11856</v>
      </c>
      <c r="C12205" s="14" t="s">
        <v>12027</v>
      </c>
      <c r="D12205" s="1"/>
      <c r="E12205" s="1"/>
      <c r="F12205" s="1" t="str">
        <f>IFERROR(__xludf.DUMMYFUNCTION("GOOGLETRANSLATE(B12205, ""en"", ""fa"")
"),"نوشتن خلاق")</f>
        <v>نوشتن خلاق</v>
      </c>
      <c r="G12205" s="1" t="str">
        <f>IFERROR(__xludf.DUMMYFUNCTION("GOOGLETRANSLATE(C12205, ""en"", ""fa"")
"),"داستانی رازآلود بسازید که در دهکده ای منزوی اتفاق می افتد، جایی که شخصیت اصلی به بررسی یک سری اتفاقات عجیب می پردازد.")</f>
        <v>داستانی رازآلود بسازید که در دهکده ای منزوی اتفاق می افتد، جایی که شخصیت اصلی به بررسی یک سری اتفاقات عجیب می پردازد.</v>
      </c>
      <c r="H12205" s="1"/>
      <c r="I12205" s="1"/>
      <c r="J12205" s="1"/>
      <c r="K12205" s="1"/>
      <c r="L12205" s="1"/>
      <c r="M12205" s="1"/>
      <c r="N12205" s="1"/>
      <c r="O12205" s="1"/>
      <c r="P12205" s="1"/>
      <c r="Q12205" s="1"/>
      <c r="R12205" s="1"/>
      <c r="S12205" s="1"/>
      <c r="T12205" s="1"/>
      <c r="U12205" s="1"/>
      <c r="V12205" s="1"/>
      <c r="W12205" s="1"/>
      <c r="X12205" s="1"/>
      <c r="Y12205" s="1"/>
      <c r="Z12205" s="1"/>
      <c r="AA12205" s="1"/>
      <c r="AB12205" s="1"/>
    </row>
    <row r="12206" ht="50.25" customHeight="1">
      <c r="A12206" s="12">
        <v>12202.0</v>
      </c>
      <c r="B12206" s="13" t="s">
        <v>11856</v>
      </c>
      <c r="C12206" s="14" t="s">
        <v>12028</v>
      </c>
      <c r="D12206" s="1"/>
      <c r="E12206" s="1"/>
      <c r="F12206" s="1" t="str">
        <f>IFERROR(__xludf.DUMMYFUNCTION("GOOGLETRANSLATE(B12206, ""en"", ""fa"")
"),"نوشتن خلاق")</f>
        <v>نوشتن خلاق</v>
      </c>
      <c r="G12206" s="1" t="str">
        <f>IFERROR(__xludf.DUMMYFUNCTION("GOOGLETRANSLATE(C12206, ""en"", ""fa"")
"),"داستانی در مورد شخصی بنویسید که می تواند از طریق یک شکل منحصر به فرد تله پاتی با حیوانات ارتباط برقرار کند.")</f>
        <v>داستانی در مورد شخصی بنویسید که می تواند از طریق یک شکل منحصر به فرد تله پاتی با حیوانات ارتباط برقرار کند.</v>
      </c>
      <c r="H12206" s="1"/>
      <c r="I12206" s="1"/>
      <c r="J12206" s="1"/>
      <c r="K12206" s="1"/>
      <c r="L12206" s="1"/>
      <c r="M12206" s="1"/>
      <c r="N12206" s="1"/>
      <c r="O12206" s="1"/>
      <c r="P12206" s="1"/>
      <c r="Q12206" s="1"/>
      <c r="R12206" s="1"/>
      <c r="S12206" s="1"/>
      <c r="T12206" s="1"/>
      <c r="U12206" s="1"/>
      <c r="V12206" s="1"/>
      <c r="W12206" s="1"/>
      <c r="X12206" s="1"/>
      <c r="Y12206" s="1"/>
      <c r="Z12206" s="1"/>
      <c r="AA12206" s="1"/>
      <c r="AB12206" s="1"/>
    </row>
    <row r="12207" ht="50.25" customHeight="1">
      <c r="A12207" s="12">
        <v>12203.0</v>
      </c>
      <c r="B12207" s="13" t="s">
        <v>11856</v>
      </c>
      <c r="C12207" s="14" t="s">
        <v>12029</v>
      </c>
      <c r="D12207" s="1"/>
      <c r="E12207" s="1"/>
      <c r="F12207" s="1" t="str">
        <f>IFERROR(__xludf.DUMMYFUNCTION("GOOGLETRANSLATE(B12207, ""en"", ""fa"")
"),"نوشتن خلاق")</f>
        <v>نوشتن خلاق</v>
      </c>
      <c r="G12207" s="1" t="str">
        <f>IFERROR(__xludf.DUMMYFUNCTION("GOOGLETRANSLATE(C12207, ""en"", ""fa"")
"),"شعر یا داستانی درباره شخصیتی بسازید که دارای موهبت جاودانگی و باری است که بر دوش دارد.")</f>
        <v>شعر یا داستانی درباره شخصیتی بسازید که دارای موهبت جاودانگی و باری است که بر دوش دارد.</v>
      </c>
      <c r="H12207" s="1"/>
      <c r="I12207" s="1"/>
      <c r="J12207" s="1"/>
      <c r="K12207" s="1"/>
      <c r="L12207" s="1"/>
      <c r="M12207" s="1"/>
      <c r="N12207" s="1"/>
      <c r="O12207" s="1"/>
      <c r="P12207" s="1"/>
      <c r="Q12207" s="1"/>
      <c r="R12207" s="1"/>
      <c r="S12207" s="1"/>
      <c r="T12207" s="1"/>
      <c r="U12207" s="1"/>
      <c r="V12207" s="1"/>
      <c r="W12207" s="1"/>
      <c r="X12207" s="1"/>
      <c r="Y12207" s="1"/>
      <c r="Z12207" s="1"/>
      <c r="AA12207" s="1"/>
      <c r="AB12207" s="1"/>
    </row>
    <row r="12208" ht="50.25" customHeight="1">
      <c r="A12208" s="12">
        <v>12204.0</v>
      </c>
      <c r="B12208" s="13" t="s">
        <v>11856</v>
      </c>
      <c r="C12208" s="14" t="s">
        <v>12030</v>
      </c>
      <c r="D12208" s="1"/>
      <c r="E12208" s="1"/>
      <c r="F12208" s="1" t="str">
        <f>IFERROR(__xludf.DUMMYFUNCTION("GOOGLETRANSLATE(B12208, ""en"", ""fa"")
"),"نوشتن خلاق")</f>
        <v>نوشتن خلاق</v>
      </c>
      <c r="G12208" s="1" t="str">
        <f>IFERROR(__xludf.DUMMYFUNCTION("GOOGLETRANSLATE(C12208, ""en"", ""fa"")
"),"یک ماجراجویی فانتزی را توسعه دهید که در آن گروهی از قهرمانان تلاشی را برای بازگرداندن تعادل جادویی در جهان آغاز می کنند.")</f>
        <v>یک ماجراجویی فانتزی را توسعه دهید که در آن گروهی از قهرمانان تلاشی را برای بازگرداندن تعادل جادویی در جهان آغاز می کنند.</v>
      </c>
      <c r="H12208" s="1"/>
      <c r="I12208" s="1"/>
      <c r="J12208" s="1"/>
      <c r="K12208" s="1"/>
      <c r="L12208" s="1"/>
      <c r="M12208" s="1"/>
      <c r="N12208" s="1"/>
      <c r="O12208" s="1"/>
      <c r="P12208" s="1"/>
      <c r="Q12208" s="1"/>
      <c r="R12208" s="1"/>
      <c r="S12208" s="1"/>
      <c r="T12208" s="1"/>
      <c r="U12208" s="1"/>
      <c r="V12208" s="1"/>
      <c r="W12208" s="1"/>
      <c r="X12208" s="1"/>
      <c r="Y12208" s="1"/>
      <c r="Z12208" s="1"/>
      <c r="AA12208" s="1"/>
      <c r="AB12208" s="1"/>
    </row>
    <row r="12209" ht="50.25" customHeight="1">
      <c r="A12209" s="12">
        <v>12205.0</v>
      </c>
      <c r="B12209" s="13" t="s">
        <v>11856</v>
      </c>
      <c r="C12209" s="14" t="s">
        <v>12031</v>
      </c>
      <c r="D12209" s="1"/>
      <c r="E12209" s="1"/>
      <c r="F12209" s="1" t="str">
        <f>IFERROR(__xludf.DUMMYFUNCTION("GOOGLETRANSLATE(B12209, ""en"", ""fa"")
"),"نوشتن خلاق")</f>
        <v>نوشتن خلاق</v>
      </c>
      <c r="G12209" s="1" t="str">
        <f>IFERROR(__xludf.DUMMYFUNCTION("GOOGLETRANSLATE(C12209, ""en"", ""fa"")
"),"یک صحنه دیالوگ محور بین دو مسافر زمان از دوره های مختلف که به طور تصادفی با هم ملاقات می کنند بسازید.")</f>
        <v>یک صحنه دیالوگ محور بین دو مسافر زمان از دوره های مختلف که به طور تصادفی با هم ملاقات می کنند بسازید.</v>
      </c>
      <c r="H12209" s="1"/>
      <c r="I12209" s="1"/>
      <c r="J12209" s="1"/>
      <c r="K12209" s="1"/>
      <c r="L12209" s="1"/>
      <c r="M12209" s="1"/>
      <c r="N12209" s="1"/>
      <c r="O12209" s="1"/>
      <c r="P12209" s="1"/>
      <c r="Q12209" s="1"/>
      <c r="R12209" s="1"/>
      <c r="S12209" s="1"/>
      <c r="T12209" s="1"/>
      <c r="U12209" s="1"/>
      <c r="V12209" s="1"/>
      <c r="W12209" s="1"/>
      <c r="X12209" s="1"/>
      <c r="Y12209" s="1"/>
      <c r="Z12209" s="1"/>
      <c r="AA12209" s="1"/>
      <c r="AB12209" s="1"/>
    </row>
    <row r="12210" ht="50.25" customHeight="1">
      <c r="A12210" s="12">
        <v>12206.0</v>
      </c>
      <c r="B12210" s="13" t="s">
        <v>11856</v>
      </c>
      <c r="C12210" s="14" t="s">
        <v>12032</v>
      </c>
      <c r="D12210" s="1"/>
      <c r="E12210" s="1"/>
      <c r="F12210" s="1" t="str">
        <f>IFERROR(__xludf.DUMMYFUNCTION("GOOGLETRANSLATE(B12210, ""en"", ""fa"")
"),"نوشتن خلاق")</f>
        <v>نوشتن خلاق</v>
      </c>
      <c r="G12210" s="1" t="str">
        <f>IFERROR(__xludf.DUMMYFUNCTION("GOOGLETRANSLATE(C12210, ""en"", ""fa"")
"),"یک درام شخصیت محور در مورد مبارزه یک فرد با هویت مخفی یا گذشته پنهان بنویسید.")</f>
        <v>یک درام شخصیت محور در مورد مبارزه یک فرد با هویت مخفی یا گذشته پنهان بنویسید.</v>
      </c>
      <c r="H12210" s="1"/>
      <c r="I12210" s="1"/>
      <c r="J12210" s="1"/>
      <c r="K12210" s="1"/>
      <c r="L12210" s="1"/>
      <c r="M12210" s="1"/>
      <c r="N12210" s="1"/>
      <c r="O12210" s="1"/>
      <c r="P12210" s="1"/>
      <c r="Q12210" s="1"/>
      <c r="R12210" s="1"/>
      <c r="S12210" s="1"/>
      <c r="T12210" s="1"/>
      <c r="U12210" s="1"/>
      <c r="V12210" s="1"/>
      <c r="W12210" s="1"/>
      <c r="X12210" s="1"/>
      <c r="Y12210" s="1"/>
      <c r="Z12210" s="1"/>
      <c r="AA12210" s="1"/>
      <c r="AB12210" s="1"/>
    </row>
    <row r="12211" ht="50.25" customHeight="1">
      <c r="A12211" s="12">
        <v>12207.0</v>
      </c>
      <c r="B12211" s="13" t="s">
        <v>11856</v>
      </c>
      <c r="C12211" s="14" t="s">
        <v>12033</v>
      </c>
      <c r="D12211" s="1"/>
      <c r="E12211" s="1"/>
      <c r="F12211" s="1" t="str">
        <f>IFERROR(__xludf.DUMMYFUNCTION("GOOGLETRANSLATE(B12211, ""en"", ""fa"")
"),"نوشتن خلاق")</f>
        <v>نوشتن خلاق</v>
      </c>
      <c r="G12211" s="1" t="str">
        <f>IFERROR(__xludf.DUMMYFUNCTION("GOOGLETRANSLATE(C12211, ""en"", ""fa"")
"),"یک داستان علمی تخیلی درباره یک جامعه آینده نگر بسازید که در آن خاطرات را می توان به اشتراک گذاشت و دستکاری کرد.")</f>
        <v>یک داستان علمی تخیلی درباره یک جامعه آینده نگر بسازید که در آن خاطرات را می توان به اشتراک گذاشت و دستکاری کرد.</v>
      </c>
      <c r="H12211" s="1"/>
      <c r="I12211" s="1"/>
      <c r="J12211" s="1"/>
      <c r="K12211" s="1"/>
      <c r="L12211" s="1"/>
      <c r="M12211" s="1"/>
      <c r="N12211" s="1"/>
      <c r="O12211" s="1"/>
      <c r="P12211" s="1"/>
      <c r="Q12211" s="1"/>
      <c r="R12211" s="1"/>
      <c r="S12211" s="1"/>
      <c r="T12211" s="1"/>
      <c r="U12211" s="1"/>
      <c r="V12211" s="1"/>
      <c r="W12211" s="1"/>
      <c r="X12211" s="1"/>
      <c r="Y12211" s="1"/>
      <c r="Z12211" s="1"/>
      <c r="AA12211" s="1"/>
      <c r="AB12211" s="1"/>
    </row>
    <row r="12212" ht="50.25" customHeight="1">
      <c r="A12212" s="12">
        <v>12208.0</v>
      </c>
      <c r="B12212" s="13" t="s">
        <v>11856</v>
      </c>
      <c r="C12212" s="14" t="s">
        <v>12034</v>
      </c>
      <c r="D12212" s="1"/>
      <c r="E12212" s="1"/>
      <c r="F12212" s="1" t="str">
        <f>IFERROR(__xludf.DUMMYFUNCTION("GOOGLETRANSLATE(B12212, ""en"", ""fa"")
"),"نوشتن خلاق")</f>
        <v>نوشتن خلاق</v>
      </c>
      <c r="G12212" s="1" t="str">
        <f>IFERROR(__xludf.DUMMYFUNCTION("GOOGLETRANSLATE(C12212, ""en"", ""fa"")
"),"یک داستان معمایی را در یک ملک بزرگ بسازید، جایی که شخصیت اصلی باید یک سری از سرقت ها را در طول یک جشن عجیب و غریب حل کند.")</f>
        <v>یک داستان معمایی را در یک ملک بزرگ بسازید، جایی که شخصیت اصلی باید یک سری از سرقت ها را در طول یک جشن عجیب و غریب حل کند.</v>
      </c>
      <c r="H12212" s="1"/>
      <c r="I12212" s="1"/>
      <c r="J12212" s="1"/>
      <c r="K12212" s="1"/>
      <c r="L12212" s="1"/>
      <c r="M12212" s="1"/>
      <c r="N12212" s="1"/>
      <c r="O12212" s="1"/>
      <c r="P12212" s="1"/>
      <c r="Q12212" s="1"/>
      <c r="R12212" s="1"/>
      <c r="S12212" s="1"/>
      <c r="T12212" s="1"/>
      <c r="U12212" s="1"/>
      <c r="V12212" s="1"/>
      <c r="W12212" s="1"/>
      <c r="X12212" s="1"/>
      <c r="Y12212" s="1"/>
      <c r="Z12212" s="1"/>
      <c r="AA12212" s="1"/>
      <c r="AB12212" s="1"/>
    </row>
    <row r="12213" ht="50.25" customHeight="1">
      <c r="A12213" s="12">
        <v>12209.0</v>
      </c>
      <c r="B12213" s="13" t="s">
        <v>11856</v>
      </c>
      <c r="C12213" s="14" t="s">
        <v>12035</v>
      </c>
      <c r="D12213" s="1"/>
      <c r="E12213" s="1"/>
      <c r="F12213" s="1" t="str">
        <f>IFERROR(__xludf.DUMMYFUNCTION("GOOGLETRANSLATE(B12213, ""en"", ""fa"")
"),"نوشتن خلاق")</f>
        <v>نوشتن خلاق</v>
      </c>
      <c r="G12213" s="1" t="str">
        <f>IFERROR(__xludf.DUMMYFUNCTION("GOOGLETRANSLATE(C12213, ""en"", ""fa"")
"),"شعر یا داستانی در مورد شخصیتی بسازید که استعداد پیشگویی را دارد اما فقط می تواند تکه هایی از آینده را ببیند.")</f>
        <v>شعر یا داستانی در مورد شخصیتی بسازید که استعداد پیشگویی را دارد اما فقط می تواند تکه هایی از آینده را ببیند.</v>
      </c>
      <c r="H12213" s="1"/>
      <c r="I12213" s="1"/>
      <c r="J12213" s="1"/>
      <c r="K12213" s="1"/>
      <c r="L12213" s="1"/>
      <c r="M12213" s="1"/>
      <c r="N12213" s="1"/>
      <c r="O12213" s="1"/>
      <c r="P12213" s="1"/>
      <c r="Q12213" s="1"/>
      <c r="R12213" s="1"/>
      <c r="S12213" s="1"/>
      <c r="T12213" s="1"/>
      <c r="U12213" s="1"/>
      <c r="V12213" s="1"/>
      <c r="W12213" s="1"/>
      <c r="X12213" s="1"/>
      <c r="Y12213" s="1"/>
      <c r="Z12213" s="1"/>
      <c r="AA12213" s="1"/>
      <c r="AB12213" s="1"/>
    </row>
    <row r="12214" ht="50.25" customHeight="1">
      <c r="A12214" s="12">
        <v>12210.0</v>
      </c>
      <c r="B12214" s="13" t="s">
        <v>11856</v>
      </c>
      <c r="C12214" s="14" t="s">
        <v>12036</v>
      </c>
      <c r="D12214" s="1"/>
      <c r="E12214" s="1"/>
      <c r="F12214" s="1" t="str">
        <f>IFERROR(__xludf.DUMMYFUNCTION("GOOGLETRANSLATE(B12214, ""en"", ""fa"")
"),"نوشتن خلاق")</f>
        <v>نوشتن خلاق</v>
      </c>
      <c r="G12214" s="1" t="str">
        <f>IFERROR(__xludf.DUMMYFUNCTION("GOOGLETRANSLATE(C12214, ""en"", ""fa"")
"),"داستانی درباره شخصی بنویسید که متوجه می شود قدرت کنترل و دستکاری زندگی گیاهان را دارد.")</f>
        <v>داستانی درباره شخصی بنویسید که متوجه می شود قدرت کنترل و دستکاری زندگی گیاهان را دارد.</v>
      </c>
      <c r="H12214" s="1"/>
      <c r="I12214" s="1"/>
      <c r="J12214" s="1"/>
      <c r="K12214" s="1"/>
      <c r="L12214" s="1"/>
      <c r="M12214" s="1"/>
      <c r="N12214" s="1"/>
      <c r="O12214" s="1"/>
      <c r="P12214" s="1"/>
      <c r="Q12214" s="1"/>
      <c r="R12214" s="1"/>
      <c r="S12214" s="1"/>
      <c r="T12214" s="1"/>
      <c r="U12214" s="1"/>
      <c r="V12214" s="1"/>
      <c r="W12214" s="1"/>
      <c r="X12214" s="1"/>
      <c r="Y12214" s="1"/>
      <c r="Z12214" s="1"/>
      <c r="AA12214" s="1"/>
      <c r="AB12214" s="1"/>
    </row>
    <row r="12215" ht="50.25" customHeight="1">
      <c r="A12215" s="12">
        <v>12211.0</v>
      </c>
      <c r="B12215" s="13" t="s">
        <v>11856</v>
      </c>
      <c r="C12215" s="14" t="s">
        <v>12037</v>
      </c>
      <c r="D12215" s="1"/>
      <c r="E12215" s="1"/>
      <c r="F12215" s="1" t="str">
        <f>IFERROR(__xludf.DUMMYFUNCTION("GOOGLETRANSLATE(B12215, ""en"", ""fa"")
"),"نوشتن خلاق")</f>
        <v>نوشتن خلاق</v>
      </c>
      <c r="G12215" s="1" t="str">
        <f>IFERROR(__xludf.DUMMYFUNCTION("GOOGLETRANSLATE(C12215, ""en"", ""fa"")
"),"یک قطعه رئالیسم جادویی ایجاد کنید که در آن شخصیت یک کتاب مسحور شده را پیدا کند که می تواند واقعیت را با نوشتن در آن تغییر دهد.")</f>
        <v>یک قطعه رئالیسم جادویی ایجاد کنید که در آن شخصیت یک کتاب مسحور شده را پیدا کند که می تواند واقعیت را با نوشتن در آن تغییر دهد.</v>
      </c>
      <c r="H12215" s="1"/>
      <c r="I12215" s="1"/>
      <c r="J12215" s="1"/>
      <c r="K12215" s="1"/>
      <c r="L12215" s="1"/>
      <c r="M12215" s="1"/>
      <c r="N12215" s="1"/>
      <c r="O12215" s="1"/>
      <c r="P12215" s="1"/>
      <c r="Q12215" s="1"/>
      <c r="R12215" s="1"/>
      <c r="S12215" s="1"/>
      <c r="T12215" s="1"/>
      <c r="U12215" s="1"/>
      <c r="V12215" s="1"/>
      <c r="W12215" s="1"/>
      <c r="X12215" s="1"/>
      <c r="Y12215" s="1"/>
      <c r="Z12215" s="1"/>
      <c r="AA12215" s="1"/>
      <c r="AB12215" s="1"/>
    </row>
    <row r="12216" ht="50.25" customHeight="1">
      <c r="A12216" s="12">
        <v>12212.0</v>
      </c>
      <c r="B12216" s="13" t="s">
        <v>11856</v>
      </c>
      <c r="C12216" s="14" t="s">
        <v>12038</v>
      </c>
      <c r="D12216" s="1"/>
      <c r="E12216" s="1"/>
      <c r="F12216" s="1" t="str">
        <f>IFERROR(__xludf.DUMMYFUNCTION("GOOGLETRANSLATE(B12216, ""en"", ""fa"")
"),"نوشتن خلاق")</f>
        <v>نوشتن خلاق</v>
      </c>
      <c r="G12216" s="1" t="str">
        <f>IFERROR(__xludf.DUMMYFUNCTION("GOOGLETRANSLATE(C12216, ""en"", ""fa"")
"),"یک فیلم هیجان انگیز در یک شهر زیرزمینی هزارتویی بسازید، جایی که شخصیت اصلی باید فرار کند و اسرار آن را کشف کند.")</f>
        <v>یک فیلم هیجان انگیز در یک شهر زیرزمینی هزارتویی بسازید، جایی که شخصیت اصلی باید فرار کند و اسرار آن را کشف کند.</v>
      </c>
      <c r="H12216" s="1"/>
      <c r="I12216" s="1"/>
      <c r="J12216" s="1"/>
      <c r="K12216" s="1"/>
      <c r="L12216" s="1"/>
      <c r="M12216" s="1"/>
      <c r="N12216" s="1"/>
      <c r="O12216" s="1"/>
      <c r="P12216" s="1"/>
      <c r="Q12216" s="1"/>
      <c r="R12216" s="1"/>
      <c r="S12216" s="1"/>
      <c r="T12216" s="1"/>
      <c r="U12216" s="1"/>
      <c r="V12216" s="1"/>
      <c r="W12216" s="1"/>
      <c r="X12216" s="1"/>
      <c r="Y12216" s="1"/>
      <c r="Z12216" s="1"/>
      <c r="AA12216" s="1"/>
      <c r="AB12216" s="1"/>
    </row>
    <row r="12217" ht="50.25" customHeight="1">
      <c r="A12217" s="12">
        <v>12213.0</v>
      </c>
      <c r="B12217" s="13" t="s">
        <v>11856</v>
      </c>
      <c r="C12217" s="14" t="s">
        <v>12039</v>
      </c>
      <c r="D12217" s="1"/>
      <c r="E12217" s="1"/>
      <c r="F12217" s="1" t="str">
        <f>IFERROR(__xludf.DUMMYFUNCTION("GOOGLETRANSLATE(B12217, ""en"", ""fa"")
"),"نوشتن خلاق")</f>
        <v>نوشتن خلاق</v>
      </c>
      <c r="G12217" s="1" t="str">
        <f>IFERROR(__xludf.DUMMYFUNCTION("GOOGLETRANSLATE(C12217, ""en"", ""fa"")
"),"یک صحنه دیالوگ محور بین دو شخصیت بسازید که در یک قلمرو رویایی ملاقات می کنند و در منظره سورئال آن حرکت می کنند.")</f>
        <v>یک صحنه دیالوگ محور بین دو شخصیت بسازید که در یک قلمرو رویایی ملاقات می کنند و در منظره سورئال آن حرکت می کنند.</v>
      </c>
      <c r="H12217" s="1"/>
      <c r="I12217" s="1"/>
      <c r="J12217" s="1"/>
      <c r="K12217" s="1"/>
      <c r="L12217" s="1"/>
      <c r="M12217" s="1"/>
      <c r="N12217" s="1"/>
      <c r="O12217" s="1"/>
      <c r="P12217" s="1"/>
      <c r="Q12217" s="1"/>
      <c r="R12217" s="1"/>
      <c r="S12217" s="1"/>
      <c r="T12217" s="1"/>
      <c r="U12217" s="1"/>
      <c r="V12217" s="1"/>
      <c r="W12217" s="1"/>
      <c r="X12217" s="1"/>
      <c r="Y12217" s="1"/>
      <c r="Z12217" s="1"/>
      <c r="AA12217" s="1"/>
      <c r="AB12217" s="1"/>
    </row>
    <row r="12218" ht="50.25" customHeight="1">
      <c r="A12218" s="12">
        <v>12214.0</v>
      </c>
      <c r="B12218" s="13" t="s">
        <v>11856</v>
      </c>
      <c r="C12218" s="14" t="s">
        <v>12040</v>
      </c>
      <c r="D12218" s="1"/>
      <c r="E12218" s="1"/>
      <c r="F12218" s="1" t="str">
        <f>IFERROR(__xludf.DUMMYFUNCTION("GOOGLETRANSLATE(B12218, ""en"", ""fa"")
"),"نوشتن خلاق")</f>
        <v>نوشتن خلاق</v>
      </c>
      <c r="G12218" s="1" t="str">
        <f>IFERROR(__xludf.DUMMYFUNCTION("GOOGLETRANSLATE(C12218, ""en"", ""fa"")
"),"داستانی درباره قهرمان داستان بنویسید که متوجه می شود توانایی شفا دادن دیگران را با یک لمس ساده دارد.")</f>
        <v>داستانی درباره قهرمان داستان بنویسید که متوجه می شود توانایی شفا دادن دیگران را با یک لمس ساده دارد.</v>
      </c>
      <c r="H12218" s="1"/>
      <c r="I12218" s="1"/>
      <c r="J12218" s="1"/>
      <c r="K12218" s="1"/>
      <c r="L12218" s="1"/>
      <c r="M12218" s="1"/>
      <c r="N12218" s="1"/>
      <c r="O12218" s="1"/>
      <c r="P12218" s="1"/>
      <c r="Q12218" s="1"/>
      <c r="R12218" s="1"/>
      <c r="S12218" s="1"/>
      <c r="T12218" s="1"/>
      <c r="U12218" s="1"/>
      <c r="V12218" s="1"/>
      <c r="W12218" s="1"/>
      <c r="X12218" s="1"/>
      <c r="Y12218" s="1"/>
      <c r="Z12218" s="1"/>
      <c r="AA12218" s="1"/>
      <c r="AB12218" s="1"/>
    </row>
    <row r="12219" ht="50.25" customHeight="1">
      <c r="A12219" s="12">
        <v>12215.0</v>
      </c>
      <c r="B12219" s="13" t="s">
        <v>11856</v>
      </c>
      <c r="C12219" s="14" t="s">
        <v>12041</v>
      </c>
      <c r="D12219" s="1"/>
      <c r="E12219" s="1"/>
      <c r="F12219" s="1" t="str">
        <f>IFERROR(__xludf.DUMMYFUNCTION("GOOGLETRANSLATE(B12219, ""en"", ""fa"")
"),"نوشتن خلاق")</f>
        <v>نوشتن خلاق</v>
      </c>
      <c r="G12219" s="1" t="str">
        <f>IFERROR(__xludf.DUMMYFUNCTION("GOOGLETRANSLATE(C12219, ""en"", ""fa"")
"),"یک دنیای فانتزی بسازید که در آن هر فرد با یک علامت منحصر به فرد متولد می شود که به او قدرت خاصی می دهد.")</f>
        <v>یک دنیای فانتزی بسازید که در آن هر فرد با یک علامت منحصر به فرد متولد می شود که به او قدرت خاصی می دهد.</v>
      </c>
      <c r="H12219" s="1"/>
      <c r="I12219" s="1"/>
      <c r="J12219" s="1"/>
      <c r="K12219" s="1"/>
      <c r="L12219" s="1"/>
      <c r="M12219" s="1"/>
      <c r="N12219" s="1"/>
      <c r="O12219" s="1"/>
      <c r="P12219" s="1"/>
      <c r="Q12219" s="1"/>
      <c r="R12219" s="1"/>
      <c r="S12219" s="1"/>
      <c r="T12219" s="1"/>
      <c r="U12219" s="1"/>
      <c r="V12219" s="1"/>
      <c r="W12219" s="1"/>
      <c r="X12219" s="1"/>
      <c r="Y12219" s="1"/>
      <c r="Z12219" s="1"/>
      <c r="AA12219" s="1"/>
      <c r="AB12219" s="1"/>
    </row>
    <row r="12220" ht="50.25" customHeight="1">
      <c r="A12220" s="12">
        <v>12216.0</v>
      </c>
      <c r="B12220" s="13" t="s">
        <v>11856</v>
      </c>
      <c r="C12220" s="14" t="s">
        <v>12042</v>
      </c>
      <c r="D12220" s="1"/>
      <c r="E12220" s="1"/>
      <c r="F12220" s="1" t="str">
        <f>IFERROR(__xludf.DUMMYFUNCTION("GOOGLETRANSLATE(B12220, ""en"", ""fa"")
"),"نوشتن خلاق")</f>
        <v>نوشتن خلاق</v>
      </c>
      <c r="G12220" s="1" t="str">
        <f>IFERROR(__xludf.DUMMYFUNCTION("GOOGLETRANSLATE(C12220, ""en"", ""fa"")
"),"یک ماجراجویی علمی تخیلی را توسعه دهید که در آن گروهی از کاشفان با هوش مصنوعی حساسی روبرو می شوند که به دنبال درک بشریت است.")</f>
        <v>یک ماجراجویی علمی تخیلی را توسعه دهید که در آن گروهی از کاشفان با هوش مصنوعی حساسی روبرو می شوند که به دنبال درک بشریت است.</v>
      </c>
      <c r="H12220" s="1"/>
      <c r="I12220" s="1"/>
      <c r="J12220" s="1"/>
      <c r="K12220" s="1"/>
      <c r="L12220" s="1"/>
      <c r="M12220" s="1"/>
      <c r="N12220" s="1"/>
      <c r="O12220" s="1"/>
      <c r="P12220" s="1"/>
      <c r="Q12220" s="1"/>
      <c r="R12220" s="1"/>
      <c r="S12220" s="1"/>
      <c r="T12220" s="1"/>
      <c r="U12220" s="1"/>
      <c r="V12220" s="1"/>
      <c r="W12220" s="1"/>
      <c r="X12220" s="1"/>
      <c r="Y12220" s="1"/>
      <c r="Z12220" s="1"/>
      <c r="AA12220" s="1"/>
      <c r="AB12220" s="1"/>
    </row>
    <row r="12221" ht="50.25" customHeight="1">
      <c r="A12221" s="12">
        <v>12217.0</v>
      </c>
      <c r="B12221" s="13" t="s">
        <v>11856</v>
      </c>
      <c r="C12221" s="14" t="s">
        <v>12043</v>
      </c>
      <c r="D12221" s="1"/>
      <c r="E12221" s="1"/>
      <c r="F12221" s="1" t="str">
        <f>IFERROR(__xludf.DUMMYFUNCTION("GOOGLETRANSLATE(B12221, ""en"", ""fa"")
"),"نوشتن خلاق")</f>
        <v>نوشتن خلاق</v>
      </c>
      <c r="G12221" s="1" t="str">
        <f>IFERROR(__xludf.DUMMYFUNCTION("GOOGLETRANSLATE(C12221, ""en"", ""fa"")
"),"داستانی رازآلود در مورد یک کارآگاه بسازید که در حال بررسی یک سری اتفاقات عجیب و غریب در یک دهکده عجیب و غریب است.")</f>
        <v>داستانی رازآلود در مورد یک کارآگاه بسازید که در حال بررسی یک سری اتفاقات عجیب و غریب در یک دهکده عجیب و غریب است.</v>
      </c>
      <c r="H12221" s="1"/>
      <c r="I12221" s="1"/>
      <c r="J12221" s="1"/>
      <c r="K12221" s="1"/>
      <c r="L12221" s="1"/>
      <c r="M12221" s="1"/>
      <c r="N12221" s="1"/>
      <c r="O12221" s="1"/>
      <c r="P12221" s="1"/>
      <c r="Q12221" s="1"/>
      <c r="R12221" s="1"/>
      <c r="S12221" s="1"/>
      <c r="T12221" s="1"/>
      <c r="U12221" s="1"/>
      <c r="V12221" s="1"/>
      <c r="W12221" s="1"/>
      <c r="X12221" s="1"/>
      <c r="Y12221" s="1"/>
      <c r="Z12221" s="1"/>
      <c r="AA12221" s="1"/>
      <c r="AB12221" s="1"/>
    </row>
    <row r="12222" ht="50.25" customHeight="1">
      <c r="A12222" s="12">
        <v>12218.0</v>
      </c>
      <c r="B12222" s="13" t="s">
        <v>11856</v>
      </c>
      <c r="C12222" s="14" t="s">
        <v>12044</v>
      </c>
      <c r="D12222" s="1"/>
      <c r="E12222" s="1"/>
      <c r="F12222" s="1" t="str">
        <f>IFERROR(__xludf.DUMMYFUNCTION("GOOGLETRANSLATE(B12222, ""en"", ""fa"")
"),"نوشتن خلاق")</f>
        <v>نوشتن خلاق</v>
      </c>
      <c r="G12222" s="1" t="str">
        <f>IFERROR(__xludf.DUMMYFUNCTION("GOOGLETRANSLATE(C12222, ""en"", ""fa"")
"),"داستانی در مورد شخصی بنویسید که می تواند جریان زمان را دستکاری کند و از این قدرت برای جلوگیری از بلایا استفاده کند.")</f>
        <v>داستانی در مورد شخصی بنویسید که می تواند جریان زمان را دستکاری کند و از این قدرت برای جلوگیری از بلایا استفاده کند.</v>
      </c>
      <c r="H12222" s="1"/>
      <c r="I12222" s="1"/>
      <c r="J12222" s="1"/>
      <c r="K12222" s="1"/>
      <c r="L12222" s="1"/>
      <c r="M12222" s="1"/>
      <c r="N12222" s="1"/>
      <c r="O12222" s="1"/>
      <c r="P12222" s="1"/>
      <c r="Q12222" s="1"/>
      <c r="R12222" s="1"/>
      <c r="S12222" s="1"/>
      <c r="T12222" s="1"/>
      <c r="U12222" s="1"/>
      <c r="V12222" s="1"/>
      <c r="W12222" s="1"/>
      <c r="X12222" s="1"/>
      <c r="Y12222" s="1"/>
      <c r="Z12222" s="1"/>
      <c r="AA12222" s="1"/>
      <c r="AB12222" s="1"/>
    </row>
    <row r="12223" ht="50.25" customHeight="1">
      <c r="A12223" s="12">
        <v>12219.0</v>
      </c>
      <c r="B12223" s="13" t="s">
        <v>11856</v>
      </c>
      <c r="C12223" s="14" t="s">
        <v>12045</v>
      </c>
      <c r="D12223" s="1"/>
      <c r="E12223" s="1"/>
      <c r="F12223" s="1" t="str">
        <f>IFERROR(__xludf.DUMMYFUNCTION("GOOGLETRANSLATE(B12223, ""en"", ""fa"")
"),"نوشتن خلاق")</f>
        <v>نوشتن خلاق</v>
      </c>
      <c r="G12223" s="1" t="str">
        <f>IFERROR(__xludf.DUMMYFUNCTION("GOOGLETRANSLATE(C12223, ""en"", ""fa"")
"),"شعر یا داستانی با الهام از زیبایی و شگفتی موجودات درخشان در اعماق اقیانوس بسازید.")</f>
        <v>شعر یا داستانی با الهام از زیبایی و شگفتی موجودات درخشان در اعماق اقیانوس بسازید.</v>
      </c>
      <c r="H12223" s="1"/>
      <c r="I12223" s="1"/>
      <c r="J12223" s="1"/>
      <c r="K12223" s="1"/>
      <c r="L12223" s="1"/>
      <c r="M12223" s="1"/>
      <c r="N12223" s="1"/>
      <c r="O12223" s="1"/>
      <c r="P12223" s="1"/>
      <c r="Q12223" s="1"/>
      <c r="R12223" s="1"/>
      <c r="S12223" s="1"/>
      <c r="T12223" s="1"/>
      <c r="U12223" s="1"/>
      <c r="V12223" s="1"/>
      <c r="W12223" s="1"/>
      <c r="X12223" s="1"/>
      <c r="Y12223" s="1"/>
      <c r="Z12223" s="1"/>
      <c r="AA12223" s="1"/>
      <c r="AB12223" s="1"/>
    </row>
    <row r="12224" ht="50.25" customHeight="1">
      <c r="A12224" s="12">
        <v>12220.0</v>
      </c>
      <c r="B12224" s="13" t="s">
        <v>11856</v>
      </c>
      <c r="C12224" s="14" t="s">
        <v>12046</v>
      </c>
      <c r="D12224" s="1"/>
      <c r="E12224" s="1"/>
      <c r="F12224" s="1" t="str">
        <f>IFERROR(__xludf.DUMMYFUNCTION("GOOGLETRANSLATE(B12224, ""en"", ""fa"")
"),"نوشتن خلاق")</f>
        <v>نوشتن خلاق</v>
      </c>
      <c r="G12224" s="1" t="str">
        <f>IFERROR(__xludf.DUMMYFUNCTION("GOOGLETRANSLATE(C12224, ""en"", ""fa"")
"),"یک فیلم هیجان انگیز در مورد شخصیتی بسازید که درگیر یک بازی خطرناک جاسوسی و اسرار می شود.")</f>
        <v>یک فیلم هیجان انگیز در مورد شخصیتی بسازید که درگیر یک بازی خطرناک جاسوسی و اسرار می شود.</v>
      </c>
      <c r="H12224" s="1"/>
      <c r="I12224" s="1"/>
      <c r="J12224" s="1"/>
      <c r="K12224" s="1"/>
      <c r="L12224" s="1"/>
      <c r="M12224" s="1"/>
      <c r="N12224" s="1"/>
      <c r="O12224" s="1"/>
      <c r="P12224" s="1"/>
      <c r="Q12224" s="1"/>
      <c r="R12224" s="1"/>
      <c r="S12224" s="1"/>
      <c r="T12224" s="1"/>
      <c r="U12224" s="1"/>
      <c r="V12224" s="1"/>
      <c r="W12224" s="1"/>
      <c r="X12224" s="1"/>
      <c r="Y12224" s="1"/>
      <c r="Z12224" s="1"/>
      <c r="AA12224" s="1"/>
      <c r="AB12224" s="1"/>
    </row>
    <row r="12225" ht="50.25" customHeight="1">
      <c r="A12225" s="12">
        <v>12221.0</v>
      </c>
      <c r="B12225" s="13" t="s">
        <v>11856</v>
      </c>
      <c r="C12225" s="14" t="s">
        <v>12047</v>
      </c>
      <c r="D12225" s="1"/>
      <c r="E12225" s="1"/>
      <c r="F12225" s="1" t="str">
        <f>IFERROR(__xludf.DUMMYFUNCTION("GOOGLETRANSLATE(B12225, ""en"", ""fa"")
"),"نوشتن خلاق")</f>
        <v>نوشتن خلاق</v>
      </c>
      <c r="G12225" s="1" t="str">
        <f>IFERROR(__xludf.DUMMYFUNCTION("GOOGLETRANSLATE(C12225, ""en"", ""fa"")
"),"یک صحنه دیالوگ محور بین دو شخصیت بسازید که در جزیره ای متروک با هم ملاقات می کنند و پیوندی غیرمنتظره ایجاد می کنند.")</f>
        <v>یک صحنه دیالوگ محور بین دو شخصیت بسازید که در جزیره ای متروک با هم ملاقات می کنند و پیوندی غیرمنتظره ایجاد می کنند.</v>
      </c>
      <c r="H12225" s="1"/>
      <c r="I12225" s="1"/>
      <c r="J12225" s="1"/>
      <c r="K12225" s="1"/>
      <c r="L12225" s="1"/>
      <c r="M12225" s="1"/>
      <c r="N12225" s="1"/>
      <c r="O12225" s="1"/>
      <c r="P12225" s="1"/>
      <c r="Q12225" s="1"/>
      <c r="R12225" s="1"/>
      <c r="S12225" s="1"/>
      <c r="T12225" s="1"/>
      <c r="U12225" s="1"/>
      <c r="V12225" s="1"/>
      <c r="W12225" s="1"/>
      <c r="X12225" s="1"/>
      <c r="Y12225" s="1"/>
      <c r="Z12225" s="1"/>
      <c r="AA12225" s="1"/>
      <c r="AB12225" s="1"/>
    </row>
    <row r="12226" ht="50.25" customHeight="1">
      <c r="A12226" s="12">
        <v>12222.0</v>
      </c>
      <c r="B12226" s="13" t="s">
        <v>11856</v>
      </c>
      <c r="C12226" s="14" t="s">
        <v>12048</v>
      </c>
      <c r="D12226" s="1"/>
      <c r="E12226" s="1"/>
      <c r="F12226" s="1" t="str">
        <f>IFERROR(__xludf.DUMMYFUNCTION("GOOGLETRANSLATE(B12226, ""en"", ""fa"")
"),"نوشتن خلاق")</f>
        <v>نوشتن خلاق</v>
      </c>
      <c r="G12226" s="1" t="str">
        <f>IFERROR(__xludf.DUMMYFUNCTION("GOOGLETRANSLATE(C12226, ""en"", ""fa"")
"),"یک درام شخصیت محور در مورد شخصی بنویسید که سفری را برای خودیابی در سرزمینی بیگانه آغاز می کند.")</f>
        <v>یک درام شخصیت محور در مورد شخصی بنویسید که سفری را برای خودیابی در سرزمینی بیگانه آغاز می کند.</v>
      </c>
      <c r="H12226" s="1"/>
      <c r="I12226" s="1"/>
      <c r="J12226" s="1"/>
      <c r="K12226" s="1"/>
      <c r="L12226" s="1"/>
      <c r="M12226" s="1"/>
      <c r="N12226" s="1"/>
      <c r="O12226" s="1"/>
      <c r="P12226" s="1"/>
      <c r="Q12226" s="1"/>
      <c r="R12226" s="1"/>
      <c r="S12226" s="1"/>
      <c r="T12226" s="1"/>
      <c r="U12226" s="1"/>
      <c r="V12226" s="1"/>
      <c r="W12226" s="1"/>
      <c r="X12226" s="1"/>
      <c r="Y12226" s="1"/>
      <c r="Z12226" s="1"/>
      <c r="AA12226" s="1"/>
      <c r="AB12226" s="1"/>
    </row>
    <row r="12227" ht="50.25" customHeight="1">
      <c r="A12227" s="12">
        <v>12223.0</v>
      </c>
      <c r="B12227" s="13" t="s">
        <v>11856</v>
      </c>
      <c r="C12227" s="14" t="s">
        <v>12049</v>
      </c>
      <c r="D12227" s="1"/>
      <c r="E12227" s="1"/>
      <c r="F12227" s="1" t="str">
        <f>IFERROR(__xludf.DUMMYFUNCTION("GOOGLETRANSLATE(B12227, ""en"", ""fa"")
"),"نوشتن خلاق")</f>
        <v>نوشتن خلاق</v>
      </c>
      <c r="G12227" s="1" t="str">
        <f>IFERROR(__xludf.DUMMYFUNCTION("GOOGLETRANSLATE(C12227, ""en"", ""fa"")
"),"یک داستان علمی تخیلی درباره یک خدمه فضایی در حال بررسی سیگنال مرموز از یک سیاره دور و ناشناخته بسازید.")</f>
        <v>یک داستان علمی تخیلی درباره یک خدمه فضایی در حال بررسی سیگنال مرموز از یک سیاره دور و ناشناخته بسازید.</v>
      </c>
      <c r="H12227" s="1"/>
      <c r="I12227" s="1"/>
      <c r="J12227" s="1"/>
      <c r="K12227" s="1"/>
      <c r="L12227" s="1"/>
      <c r="M12227" s="1"/>
      <c r="N12227" s="1"/>
      <c r="O12227" s="1"/>
      <c r="P12227" s="1"/>
      <c r="Q12227" s="1"/>
      <c r="R12227" s="1"/>
      <c r="S12227" s="1"/>
      <c r="T12227" s="1"/>
      <c r="U12227" s="1"/>
      <c r="V12227" s="1"/>
      <c r="W12227" s="1"/>
      <c r="X12227" s="1"/>
      <c r="Y12227" s="1"/>
      <c r="Z12227" s="1"/>
      <c r="AA12227" s="1"/>
      <c r="AB12227" s="1"/>
    </row>
    <row r="12228" ht="50.25" customHeight="1">
      <c r="A12228" s="12">
        <v>12224.0</v>
      </c>
      <c r="B12228" s="13" t="s">
        <v>11856</v>
      </c>
      <c r="C12228" s="14" t="s">
        <v>12050</v>
      </c>
      <c r="D12228" s="1"/>
      <c r="E12228" s="1"/>
      <c r="F12228" s="1" t="str">
        <f>IFERROR(__xludf.DUMMYFUNCTION("GOOGLETRANSLATE(B12228, ""en"", ""fa"")
"),"نوشتن خلاق")</f>
        <v>نوشتن خلاق</v>
      </c>
      <c r="G12228" s="1" t="str">
        <f>IFERROR(__xludf.DUMMYFUNCTION("GOOGLETRANSLATE(C12228, ""en"", ""fa"")
"),"یک مجموعه معمایی در یک شهر استیمپانک بسازید، جایی که شخصیت اصلی مجموعه ای از پازل های مکانیکی را باز می کند.")</f>
        <v>یک مجموعه معمایی در یک شهر استیمپانک بسازید، جایی که شخصیت اصلی مجموعه ای از پازل های مکانیکی را باز می کند.</v>
      </c>
      <c r="H12228" s="1"/>
      <c r="I12228" s="1"/>
      <c r="J12228" s="1"/>
      <c r="K12228" s="1"/>
      <c r="L12228" s="1"/>
      <c r="M12228" s="1"/>
      <c r="N12228" s="1"/>
      <c r="O12228" s="1"/>
      <c r="P12228" s="1"/>
      <c r="Q12228" s="1"/>
      <c r="R12228" s="1"/>
      <c r="S12228" s="1"/>
      <c r="T12228" s="1"/>
      <c r="U12228" s="1"/>
      <c r="V12228" s="1"/>
      <c r="W12228" s="1"/>
      <c r="X12228" s="1"/>
      <c r="Y12228" s="1"/>
      <c r="Z12228" s="1"/>
      <c r="AA12228" s="1"/>
      <c r="AB12228" s="1"/>
    </row>
    <row r="12229" ht="50.25" customHeight="1">
      <c r="A12229" s="12">
        <v>12225.0</v>
      </c>
      <c r="B12229" s="13" t="s">
        <v>11856</v>
      </c>
      <c r="C12229" s="14" t="s">
        <v>12051</v>
      </c>
      <c r="D12229" s="1"/>
      <c r="E12229" s="1"/>
      <c r="F12229" s="1" t="str">
        <f>IFERROR(__xludf.DUMMYFUNCTION("GOOGLETRANSLATE(B12229, ""en"", ""fa"")
"),"نوشتن خلاق")</f>
        <v>نوشتن خلاق</v>
      </c>
      <c r="G12229" s="1" t="str">
        <f>IFERROR(__xludf.DUMMYFUNCTION("GOOGLETRANSLATE(C12229, ""en"", ""fa"")
"),"یک شعر یا داستان در مورد شخصیتی بسازید که می تواند عناصر (زمین، هوا، آب، آتش) را دستکاری کند، اما با هزینه گزافی.")</f>
        <v>یک شعر یا داستان در مورد شخصیتی بسازید که می تواند عناصر (زمین، هوا، آب، آتش) را دستکاری کند، اما با هزینه گزافی.</v>
      </c>
      <c r="H12229" s="1"/>
      <c r="I12229" s="1"/>
      <c r="J12229" s="1"/>
      <c r="K12229" s="1"/>
      <c r="L12229" s="1"/>
      <c r="M12229" s="1"/>
      <c r="N12229" s="1"/>
      <c r="O12229" s="1"/>
      <c r="P12229" s="1"/>
      <c r="Q12229" s="1"/>
      <c r="R12229" s="1"/>
      <c r="S12229" s="1"/>
      <c r="T12229" s="1"/>
      <c r="U12229" s="1"/>
      <c r="V12229" s="1"/>
      <c r="W12229" s="1"/>
      <c r="X12229" s="1"/>
      <c r="Y12229" s="1"/>
      <c r="Z12229" s="1"/>
      <c r="AA12229" s="1"/>
      <c r="AB12229" s="1"/>
    </row>
    <row r="12230" ht="50.25" customHeight="1">
      <c r="A12230" s="12">
        <v>12226.0</v>
      </c>
      <c r="B12230" s="13" t="s">
        <v>11856</v>
      </c>
      <c r="C12230" s="14" t="s">
        <v>12052</v>
      </c>
      <c r="D12230" s="1"/>
      <c r="E12230" s="1"/>
      <c r="F12230" s="1" t="str">
        <f>IFERROR(__xludf.DUMMYFUNCTION("GOOGLETRANSLATE(B12230, ""en"", ""fa"")
"),"نوشتن خلاق")</f>
        <v>نوشتن خلاق</v>
      </c>
      <c r="G12230" s="1" t="str">
        <f>IFERROR(__xludf.DUMMYFUNCTION("GOOGLETRANSLATE(C12230, ""en"", ""fa"")
"),"داستانی در مورد شخصی بنویسید که می تواند با پرندگان ارتباط برقرار کند و از این موهبت برای درک پیام های طبیعت استفاده می کند.")</f>
        <v>داستانی در مورد شخصی بنویسید که می تواند با پرندگان ارتباط برقرار کند و از این موهبت برای درک پیام های طبیعت استفاده می کند.</v>
      </c>
      <c r="H12230" s="1"/>
      <c r="I12230" s="1"/>
      <c r="J12230" s="1"/>
      <c r="K12230" s="1"/>
      <c r="L12230" s="1"/>
      <c r="M12230" s="1"/>
      <c r="N12230" s="1"/>
      <c r="O12230" s="1"/>
      <c r="P12230" s="1"/>
      <c r="Q12230" s="1"/>
      <c r="R12230" s="1"/>
      <c r="S12230" s="1"/>
      <c r="T12230" s="1"/>
      <c r="U12230" s="1"/>
      <c r="V12230" s="1"/>
      <c r="W12230" s="1"/>
      <c r="X12230" s="1"/>
      <c r="Y12230" s="1"/>
      <c r="Z12230" s="1"/>
      <c r="AA12230" s="1"/>
      <c r="AB12230" s="1"/>
    </row>
    <row r="12231" ht="50.25" customHeight="1">
      <c r="A12231" s="12">
        <v>12227.0</v>
      </c>
      <c r="B12231" s="13" t="s">
        <v>11856</v>
      </c>
      <c r="C12231" s="14" t="s">
        <v>12053</v>
      </c>
      <c r="D12231" s="1"/>
      <c r="E12231" s="1"/>
      <c r="F12231" s="1" t="str">
        <f>IFERROR(__xludf.DUMMYFUNCTION("GOOGLETRANSLATE(B12231, ""en"", ""fa"")
"),"نوشتن خلاق")</f>
        <v>نوشتن خلاق</v>
      </c>
      <c r="G12231" s="1" t="str">
        <f>IFERROR(__xludf.DUMMYFUNCTION("GOOGLETRANSLATE(C12231, ""en"", ""fa"")
"),"یک قطعه رئالیسم جادویی ایجاد کنید که در آن یک شخصیت توانایی شنیدن افکار مردم را در عکس ها به دست می آورد.")</f>
        <v>یک قطعه رئالیسم جادویی ایجاد کنید که در آن یک شخصیت توانایی شنیدن افکار مردم را در عکس ها به دست می آورد.</v>
      </c>
      <c r="H12231" s="1"/>
      <c r="I12231" s="1"/>
      <c r="J12231" s="1"/>
      <c r="K12231" s="1"/>
      <c r="L12231" s="1"/>
      <c r="M12231" s="1"/>
      <c r="N12231" s="1"/>
      <c r="O12231" s="1"/>
      <c r="P12231" s="1"/>
      <c r="Q12231" s="1"/>
      <c r="R12231" s="1"/>
      <c r="S12231" s="1"/>
      <c r="T12231" s="1"/>
      <c r="U12231" s="1"/>
      <c r="V12231" s="1"/>
      <c r="W12231" s="1"/>
      <c r="X12231" s="1"/>
      <c r="Y12231" s="1"/>
      <c r="Z12231" s="1"/>
      <c r="AA12231" s="1"/>
      <c r="AB12231" s="1"/>
    </row>
    <row r="12232" ht="50.25" customHeight="1">
      <c r="A12232" s="12">
        <v>12228.0</v>
      </c>
      <c r="B12232" s="13" t="s">
        <v>11856</v>
      </c>
      <c r="C12232" s="14" t="s">
        <v>12054</v>
      </c>
      <c r="D12232" s="1"/>
      <c r="E12232" s="1"/>
      <c r="F12232" s="1" t="str">
        <f>IFERROR(__xludf.DUMMYFUNCTION("GOOGLETRANSLATE(B12232, ""en"", ""fa"")
"),"نوشتن خلاق")</f>
        <v>نوشتن خلاق</v>
      </c>
      <c r="G12232" s="1" t="str">
        <f>IFERROR(__xludf.DUMMYFUNCTION("GOOGLETRANSLATE(C12232, ""en"", ""fa"")
"),"یک فیلم هیجان انگیز در یک شهر سایبرپانک آینده نگر بسازید، جایی که شخصیت اصلی یک توطئه مربوط به واقعیت مجازی را کشف می کند.")</f>
        <v>یک فیلم هیجان انگیز در یک شهر سایبرپانک آینده نگر بسازید، جایی که شخصیت اصلی یک توطئه مربوط به واقعیت مجازی را کشف می کند.</v>
      </c>
      <c r="H12232" s="1"/>
      <c r="I12232" s="1"/>
      <c r="J12232" s="1"/>
      <c r="K12232" s="1"/>
      <c r="L12232" s="1"/>
      <c r="M12232" s="1"/>
      <c r="N12232" s="1"/>
      <c r="O12232" s="1"/>
      <c r="P12232" s="1"/>
      <c r="Q12232" s="1"/>
      <c r="R12232" s="1"/>
      <c r="S12232" s="1"/>
      <c r="T12232" s="1"/>
      <c r="U12232" s="1"/>
      <c r="V12232" s="1"/>
      <c r="W12232" s="1"/>
      <c r="X12232" s="1"/>
      <c r="Y12232" s="1"/>
      <c r="Z12232" s="1"/>
      <c r="AA12232" s="1"/>
      <c r="AB12232" s="1"/>
    </row>
    <row r="12233" ht="50.25" customHeight="1">
      <c r="A12233" s="12">
        <v>12229.0</v>
      </c>
      <c r="B12233" s="13" t="s">
        <v>11856</v>
      </c>
      <c r="C12233" s="14" t="s">
        <v>12055</v>
      </c>
      <c r="D12233" s="1"/>
      <c r="E12233" s="1"/>
      <c r="F12233" s="1" t="str">
        <f>IFERROR(__xludf.DUMMYFUNCTION("GOOGLETRANSLATE(B12233, ""en"", ""fa"")
"),"نوشتن خلاق")</f>
        <v>نوشتن خلاق</v>
      </c>
      <c r="G12233" s="1" t="str">
        <f>IFERROR(__xludf.DUMMYFUNCTION("GOOGLETRANSLATE(C12233, ""en"", ""fa"")
"),"یک ماجراجویی فانتزی در مورد گروهی از ماجراجویان بسازید که در حال کاوش در جنگلی مسحور آمیز ماز مانند هستند.")</f>
        <v>یک ماجراجویی فانتزی در مورد گروهی از ماجراجویان بسازید که در حال کاوش در جنگلی مسحور آمیز ماز مانند هستند.</v>
      </c>
      <c r="H12233" s="1"/>
      <c r="I12233" s="1"/>
      <c r="J12233" s="1"/>
      <c r="K12233" s="1"/>
      <c r="L12233" s="1"/>
      <c r="M12233" s="1"/>
      <c r="N12233" s="1"/>
      <c r="O12233" s="1"/>
      <c r="P12233" s="1"/>
      <c r="Q12233" s="1"/>
      <c r="R12233" s="1"/>
      <c r="S12233" s="1"/>
      <c r="T12233" s="1"/>
      <c r="U12233" s="1"/>
      <c r="V12233" s="1"/>
      <c r="W12233" s="1"/>
      <c r="X12233" s="1"/>
      <c r="Y12233" s="1"/>
      <c r="Z12233" s="1"/>
      <c r="AA12233" s="1"/>
      <c r="AB12233" s="1"/>
    </row>
    <row r="12234" ht="50.25" customHeight="1">
      <c r="A12234" s="12">
        <v>12230.0</v>
      </c>
      <c r="B12234" s="13" t="s">
        <v>11856</v>
      </c>
      <c r="C12234" s="14" t="s">
        <v>12056</v>
      </c>
      <c r="D12234" s="1"/>
      <c r="E12234" s="1"/>
      <c r="F12234" s="1" t="str">
        <f>IFERROR(__xludf.DUMMYFUNCTION("GOOGLETRANSLATE(B12234, ""en"", ""fa"")
"),"نوشتن خلاق")</f>
        <v>نوشتن خلاق</v>
      </c>
      <c r="G12234" s="1" t="str">
        <f>IFERROR(__xludf.DUMMYFUNCTION("GOOGLETRANSLATE(C12234, ""en"", ""fa"")
"),"داستانی درباره شخصیتی بنویسید که می تواند وارد رویاهای دیگران شود و بر ضمیر ناخودآگاه آنها تأثیر بگذارد.")</f>
        <v>داستانی درباره شخصیتی بنویسید که می تواند وارد رویاهای دیگران شود و بر ضمیر ناخودآگاه آنها تأثیر بگذارد.</v>
      </c>
      <c r="H12234" s="1"/>
      <c r="I12234" s="1"/>
      <c r="J12234" s="1"/>
      <c r="K12234" s="1"/>
      <c r="L12234" s="1"/>
      <c r="M12234" s="1"/>
      <c r="N12234" s="1"/>
      <c r="O12234" s="1"/>
      <c r="P12234" s="1"/>
      <c r="Q12234" s="1"/>
      <c r="R12234" s="1"/>
      <c r="S12234" s="1"/>
      <c r="T12234" s="1"/>
      <c r="U12234" s="1"/>
      <c r="V12234" s="1"/>
      <c r="W12234" s="1"/>
      <c r="X12234" s="1"/>
      <c r="Y12234" s="1"/>
      <c r="Z12234" s="1"/>
      <c r="AA12234" s="1"/>
      <c r="AB12234" s="1"/>
    </row>
    <row r="12235" ht="50.25" customHeight="1">
      <c r="A12235" s="12">
        <v>12231.0</v>
      </c>
      <c r="B12235" s="13" t="s">
        <v>12057</v>
      </c>
      <c r="C12235" s="13" t="s">
        <v>12058</v>
      </c>
      <c r="D12235" s="1"/>
      <c r="E12235" s="1"/>
      <c r="F12235" s="1" t="str">
        <f>IFERROR(__xludf.DUMMYFUNCTION("GOOGLETRANSLATE(B12235, ""en"", ""fa"")
"),"والدین آگاهانه")</f>
        <v>والدین آگاهانه</v>
      </c>
      <c r="G12235" s="1" t="str">
        <f>IFERROR(__xludf.DUMMYFUNCTION("GOOGLETRANSLATE(C12235, ""en"", ""fa"")
"),"لحظه ای را توصیف کنید که هنگام تعامل با فرزندتان تمرکز حواس را تمرین کرده اید.")</f>
        <v>لحظه ای را توصیف کنید که هنگام تعامل با فرزندتان تمرکز حواس را تمرین کرده اید.</v>
      </c>
      <c r="H12235" s="1"/>
      <c r="I12235" s="1"/>
      <c r="J12235" s="1"/>
      <c r="K12235" s="1"/>
      <c r="L12235" s="1"/>
      <c r="M12235" s="1"/>
      <c r="N12235" s="1"/>
      <c r="O12235" s="1"/>
      <c r="P12235" s="1"/>
      <c r="Q12235" s="1"/>
      <c r="R12235" s="1"/>
      <c r="S12235" s="1"/>
      <c r="T12235" s="1"/>
      <c r="U12235" s="1"/>
      <c r="V12235" s="1"/>
      <c r="W12235" s="1"/>
      <c r="X12235" s="1"/>
      <c r="Y12235" s="1"/>
      <c r="Z12235" s="1"/>
      <c r="AA12235" s="1"/>
      <c r="AB12235" s="1"/>
    </row>
    <row r="12236" ht="50.25" customHeight="1">
      <c r="A12236" s="12">
        <v>12232.0</v>
      </c>
      <c r="B12236" s="13" t="s">
        <v>12057</v>
      </c>
      <c r="C12236" s="14" t="s">
        <v>12059</v>
      </c>
      <c r="D12236" s="1"/>
      <c r="E12236" s="1"/>
      <c r="F12236" s="1" t="str">
        <f>IFERROR(__xludf.DUMMYFUNCTION("GOOGLETRANSLATE(B12236, ""en"", ""fa"")
"),"والدین آگاهانه")</f>
        <v>والدین آگاهانه</v>
      </c>
      <c r="G12236" s="1" t="str">
        <f>IFERROR(__xludf.DUMMYFUNCTION("GOOGLETRANSLATE(C12236, ""en"", ""fa"")
"),"به یک موقعیت چالش برانگیز والدین فکر کنید و اینکه چگونه نزدیک شدن آگاهانه به آن تفاوت ایجاد کرد.")</f>
        <v>به یک موقعیت چالش برانگیز والدین فکر کنید و اینکه چگونه نزدیک شدن آگاهانه به آن تفاوت ایجاد کرد.</v>
      </c>
      <c r="H12236" s="1"/>
      <c r="I12236" s="1"/>
      <c r="J12236" s="1"/>
      <c r="K12236" s="1"/>
      <c r="L12236" s="1"/>
      <c r="M12236" s="1"/>
      <c r="N12236" s="1"/>
      <c r="O12236" s="1"/>
      <c r="P12236" s="1"/>
      <c r="Q12236" s="1"/>
      <c r="R12236" s="1"/>
      <c r="S12236" s="1"/>
      <c r="T12236" s="1"/>
      <c r="U12236" s="1"/>
      <c r="V12236" s="1"/>
      <c r="W12236" s="1"/>
      <c r="X12236" s="1"/>
      <c r="Y12236" s="1"/>
      <c r="Z12236" s="1"/>
      <c r="AA12236" s="1"/>
      <c r="AB12236" s="1"/>
    </row>
    <row r="12237" ht="50.25" customHeight="1">
      <c r="A12237" s="12">
        <v>12233.0</v>
      </c>
      <c r="B12237" s="13" t="s">
        <v>12057</v>
      </c>
      <c r="C12237" s="14" t="s">
        <v>12060</v>
      </c>
      <c r="D12237" s="1"/>
      <c r="E12237" s="1"/>
      <c r="F12237" s="1" t="str">
        <f>IFERROR(__xludf.DUMMYFUNCTION("GOOGLETRANSLATE(B12237, ""en"", ""fa"")
"),"والدین آگاهانه")</f>
        <v>والدین آگاهانه</v>
      </c>
      <c r="G12237" s="1" t="str">
        <f>IFERROR(__xludf.DUMMYFUNCTION("GOOGLETRANSLATE(C12237, ""en"", ""fa"")
"),"در مورد یک فعالیت ذهن آگاهی بنویسید که شما و فرزندتان از انجام آن با هم لذت می برید.")</f>
        <v>در مورد یک فعالیت ذهن آگاهی بنویسید که شما و فرزندتان از انجام آن با هم لذت می برید.</v>
      </c>
      <c r="H12237" s="1"/>
      <c r="I12237" s="1"/>
      <c r="J12237" s="1"/>
      <c r="K12237" s="1"/>
      <c r="L12237" s="1"/>
      <c r="M12237" s="1"/>
      <c r="N12237" s="1"/>
      <c r="O12237" s="1"/>
      <c r="P12237" s="1"/>
      <c r="Q12237" s="1"/>
      <c r="R12237" s="1"/>
      <c r="S12237" s="1"/>
      <c r="T12237" s="1"/>
      <c r="U12237" s="1"/>
      <c r="V12237" s="1"/>
      <c r="W12237" s="1"/>
      <c r="X12237" s="1"/>
      <c r="Y12237" s="1"/>
      <c r="Z12237" s="1"/>
      <c r="AA12237" s="1"/>
      <c r="AB12237" s="1"/>
    </row>
    <row r="12238" ht="50.25" customHeight="1">
      <c r="A12238" s="12">
        <v>12234.0</v>
      </c>
      <c r="B12238" s="13" t="s">
        <v>12057</v>
      </c>
      <c r="C12238" s="14" t="s">
        <v>12061</v>
      </c>
      <c r="D12238" s="1"/>
      <c r="E12238" s="1"/>
      <c r="F12238" s="1" t="str">
        <f>IFERROR(__xludf.DUMMYFUNCTION("GOOGLETRANSLATE(B12238, ""en"", ""fa"")
"),"والدین آگاهانه")</f>
        <v>والدین آگاهانه</v>
      </c>
      <c r="G12238" s="1" t="str">
        <f>IFERROR(__xludf.DUMMYFUNCTION("GOOGLETRANSLATE(C12238, ""en"", ""fa"")
"),"چگونه ذهن آگاهی به شما کمک می کند تا در تربیت والدین صبر کنید؟")</f>
        <v>چگونه ذهن آگاهی به شما کمک می کند تا در تربیت والدین صبر کنید؟</v>
      </c>
      <c r="H12238" s="1"/>
      <c r="I12238" s="1"/>
      <c r="J12238" s="1"/>
      <c r="K12238" s="1"/>
      <c r="L12238" s="1"/>
      <c r="M12238" s="1"/>
      <c r="N12238" s="1"/>
      <c r="O12238" s="1"/>
      <c r="P12238" s="1"/>
      <c r="Q12238" s="1"/>
      <c r="R12238" s="1"/>
      <c r="S12238" s="1"/>
      <c r="T12238" s="1"/>
      <c r="U12238" s="1"/>
      <c r="V12238" s="1"/>
      <c r="W12238" s="1"/>
      <c r="X12238" s="1"/>
      <c r="Y12238" s="1"/>
      <c r="Z12238" s="1"/>
      <c r="AA12238" s="1"/>
      <c r="AB12238" s="1"/>
    </row>
    <row r="12239" ht="50.25" customHeight="1">
      <c r="A12239" s="12">
        <v>12235.0</v>
      </c>
      <c r="B12239" s="13" t="s">
        <v>12057</v>
      </c>
      <c r="C12239" s="14" t="s">
        <v>12062</v>
      </c>
      <c r="D12239" s="1"/>
      <c r="E12239" s="1"/>
      <c r="F12239" s="1" t="str">
        <f>IFERROR(__xludf.DUMMYFUNCTION("GOOGLETRANSLATE(B12239, ""en"", ""fa"")
"),"والدین آگاهانه")</f>
        <v>والدین آگاهانه</v>
      </c>
      <c r="G12239" s="1" t="str">
        <f>IFERROR(__xludf.DUMMYFUNCTION("GOOGLETRANSLATE(C12239, ""en"", ""fa"")
"),"بررسی کنید که چگونه حضور در لحظات روزمره با فرزندتان باعث افزایش پیوند شما می شود.")</f>
        <v>بررسی کنید که چگونه حضور در لحظات روزمره با فرزندتان باعث افزایش پیوند شما می شود.</v>
      </c>
      <c r="H12239" s="1"/>
      <c r="I12239" s="1"/>
      <c r="J12239" s="1"/>
      <c r="K12239" s="1"/>
      <c r="L12239" s="1"/>
      <c r="M12239" s="1"/>
      <c r="N12239" s="1"/>
      <c r="O12239" s="1"/>
      <c r="P12239" s="1"/>
      <c r="Q12239" s="1"/>
      <c r="R12239" s="1"/>
      <c r="S12239" s="1"/>
      <c r="T12239" s="1"/>
      <c r="U12239" s="1"/>
      <c r="V12239" s="1"/>
      <c r="W12239" s="1"/>
      <c r="X12239" s="1"/>
      <c r="Y12239" s="1"/>
      <c r="Z12239" s="1"/>
      <c r="AA12239" s="1"/>
      <c r="AB12239" s="1"/>
    </row>
    <row r="12240" ht="50.25" customHeight="1">
      <c r="A12240" s="12">
        <v>12236.0</v>
      </c>
      <c r="B12240" s="13" t="s">
        <v>12057</v>
      </c>
      <c r="C12240" s="14" t="s">
        <v>12063</v>
      </c>
      <c r="D12240" s="1"/>
      <c r="E12240" s="1"/>
      <c r="F12240" s="1" t="str">
        <f>IFERROR(__xludf.DUMMYFUNCTION("GOOGLETRANSLATE(B12240, ""en"", ""fa"")
"),"والدین آگاهانه")</f>
        <v>والدین آگاهانه</v>
      </c>
      <c r="G12240" s="1" t="str">
        <f>IFERROR(__xludf.DUMMYFUNCTION("GOOGLETRANSLATE(C12240, ""en"", ""fa"")
"),"در مورد زمانی بنویسید که از تنفس آگاهانه برای آرام کردن خود در طول چالش والدین استفاده کرده اید.")</f>
        <v>در مورد زمانی بنویسید که از تنفس آگاهانه برای آرام کردن خود در طول چالش والدین استفاده کرده اید.</v>
      </c>
      <c r="H12240" s="1"/>
      <c r="I12240" s="1"/>
      <c r="J12240" s="1"/>
      <c r="K12240" s="1"/>
      <c r="L12240" s="1"/>
      <c r="M12240" s="1"/>
      <c r="N12240" s="1"/>
      <c r="O12240" s="1"/>
      <c r="P12240" s="1"/>
      <c r="Q12240" s="1"/>
      <c r="R12240" s="1"/>
      <c r="S12240" s="1"/>
      <c r="T12240" s="1"/>
      <c r="U12240" s="1"/>
      <c r="V12240" s="1"/>
      <c r="W12240" s="1"/>
      <c r="X12240" s="1"/>
      <c r="Y12240" s="1"/>
      <c r="Z12240" s="1"/>
      <c r="AA12240" s="1"/>
      <c r="AB12240" s="1"/>
    </row>
    <row r="12241" ht="50.25" customHeight="1">
      <c r="A12241" s="12">
        <v>12237.0</v>
      </c>
      <c r="B12241" s="13" t="s">
        <v>12057</v>
      </c>
      <c r="C12241" s="14" t="s">
        <v>12064</v>
      </c>
      <c r="D12241" s="1"/>
      <c r="E12241" s="1"/>
      <c r="F12241" s="1" t="str">
        <f>IFERROR(__xludf.DUMMYFUNCTION("GOOGLETRANSLATE(B12241, ""en"", ""fa"")
"),"والدین آگاهانه")</f>
        <v>والدین آگاهانه</v>
      </c>
      <c r="G12241" s="1" t="str">
        <f>IFERROR(__xludf.DUMMYFUNCTION("GOOGLETRANSLATE(C12241, ""en"", ""fa"")
"),"چگونه ذهن آگاهی را در برنامه های روزمره خانواده خود وارد می کنید؟")</f>
        <v>چگونه ذهن آگاهی را در برنامه های روزمره خانواده خود وارد می کنید؟</v>
      </c>
      <c r="H12241" s="1"/>
      <c r="I12241" s="1"/>
      <c r="J12241" s="1"/>
      <c r="K12241" s="1"/>
      <c r="L12241" s="1"/>
      <c r="M12241" s="1"/>
      <c r="N12241" s="1"/>
      <c r="O12241" s="1"/>
      <c r="P12241" s="1"/>
      <c r="Q12241" s="1"/>
      <c r="R12241" s="1"/>
      <c r="S12241" s="1"/>
      <c r="T12241" s="1"/>
      <c r="U12241" s="1"/>
      <c r="V12241" s="1"/>
      <c r="W12241" s="1"/>
      <c r="X12241" s="1"/>
      <c r="Y12241" s="1"/>
      <c r="Z12241" s="1"/>
      <c r="AA12241" s="1"/>
      <c r="AB12241" s="1"/>
    </row>
    <row r="12242" ht="50.25" customHeight="1">
      <c r="A12242" s="12">
        <v>12238.0</v>
      </c>
      <c r="B12242" s="13" t="s">
        <v>12057</v>
      </c>
      <c r="C12242" s="14" t="s">
        <v>12065</v>
      </c>
      <c r="D12242" s="1"/>
      <c r="E12242" s="1"/>
      <c r="F12242" s="1" t="str">
        <f>IFERROR(__xludf.DUMMYFUNCTION("GOOGLETRANSLATE(B12242, ""en"", ""fa"")
"),"والدین آگاهانه")</f>
        <v>والدین آگاهانه</v>
      </c>
      <c r="G12242" s="1" t="str">
        <f>IFERROR(__xludf.DUMMYFUNCTION("GOOGLETRANSLATE(C12242, ""en"", ""fa"")
"),"تمرین گوش دادن آگاهانه را که با فرزندتان انجام داده اید تا ارتباط را بهبود بخشد، توصیف کنید.")</f>
        <v>تمرین گوش دادن آگاهانه را که با فرزندتان انجام داده اید تا ارتباط را بهبود بخشد، توصیف کنید.</v>
      </c>
      <c r="H12242" s="1"/>
      <c r="I12242" s="1"/>
      <c r="J12242" s="1"/>
      <c r="K12242" s="1"/>
      <c r="L12242" s="1"/>
      <c r="M12242" s="1"/>
      <c r="N12242" s="1"/>
      <c r="O12242" s="1"/>
      <c r="P12242" s="1"/>
      <c r="Q12242" s="1"/>
      <c r="R12242" s="1"/>
      <c r="S12242" s="1"/>
      <c r="T12242" s="1"/>
      <c r="U12242" s="1"/>
      <c r="V12242" s="1"/>
      <c r="W12242" s="1"/>
      <c r="X12242" s="1"/>
      <c r="Y12242" s="1"/>
      <c r="Z12242" s="1"/>
      <c r="AA12242" s="1"/>
      <c r="AB12242" s="1"/>
    </row>
    <row r="12243" ht="50.25" customHeight="1">
      <c r="A12243" s="12">
        <v>12239.0</v>
      </c>
      <c r="B12243" s="13" t="s">
        <v>12057</v>
      </c>
      <c r="C12243" s="14" t="s">
        <v>12066</v>
      </c>
      <c r="D12243" s="1"/>
      <c r="E12243" s="1"/>
      <c r="F12243" s="1" t="str">
        <f>IFERROR(__xludf.DUMMYFUNCTION("GOOGLETRANSLATE(B12243, ""en"", ""fa"")
"),"والدین آگاهانه")</f>
        <v>والدین آگاهانه</v>
      </c>
      <c r="G12243" s="1" t="str">
        <f>IFERROR(__xludf.DUMMYFUNCTION("GOOGLETRANSLATE(C12243, ""en"", ""fa"")
"),"به این فکر کنید که چگونه ذهن آگاهی به شما کمک کرده تا احساسات و نیازهای فرزندتان را بهتر درک کنید.")</f>
        <v>به این فکر کنید که چگونه ذهن آگاهی به شما کمک کرده تا احساسات و نیازهای فرزندتان را بهتر درک کنید.</v>
      </c>
      <c r="H12243" s="1"/>
      <c r="I12243" s="1"/>
      <c r="J12243" s="1"/>
      <c r="K12243" s="1"/>
      <c r="L12243" s="1"/>
      <c r="M12243" s="1"/>
      <c r="N12243" s="1"/>
      <c r="O12243" s="1"/>
      <c r="P12243" s="1"/>
      <c r="Q12243" s="1"/>
      <c r="R12243" s="1"/>
      <c r="S12243" s="1"/>
      <c r="T12243" s="1"/>
      <c r="U12243" s="1"/>
      <c r="V12243" s="1"/>
      <c r="W12243" s="1"/>
      <c r="X12243" s="1"/>
      <c r="Y12243" s="1"/>
      <c r="Z12243" s="1"/>
      <c r="AA12243" s="1"/>
      <c r="AB12243" s="1"/>
    </row>
    <row r="12244" ht="50.25" customHeight="1">
      <c r="A12244" s="12">
        <v>12240.0</v>
      </c>
      <c r="B12244" s="13" t="s">
        <v>12057</v>
      </c>
      <c r="C12244" s="14" t="s">
        <v>12067</v>
      </c>
      <c r="D12244" s="1"/>
      <c r="E12244" s="1"/>
      <c r="F12244" s="1" t="str">
        <f>IFERROR(__xludf.DUMMYFUNCTION("GOOGLETRANSLATE(B12244, ""en"", ""fa"")
"),"والدین آگاهانه")</f>
        <v>والدین آگاهانه</v>
      </c>
      <c r="G12244" s="1" t="str">
        <f>IFERROR(__xludf.DUMMYFUNCTION("GOOGLETRANSLATE(C12244, ""en"", ""fa"")
"),"در مورد یک تجربه غذایی آگاهانه با خانواده خود و تأثیر آن بر ارتباط بنویسید.")</f>
        <v>در مورد یک تجربه غذایی آگاهانه با خانواده خود و تأثیر آن بر ارتباط بنویسید.</v>
      </c>
      <c r="H12244" s="1"/>
      <c r="I12244" s="1"/>
      <c r="J12244" s="1"/>
      <c r="K12244" s="1"/>
      <c r="L12244" s="1"/>
      <c r="M12244" s="1"/>
      <c r="N12244" s="1"/>
      <c r="O12244" s="1"/>
      <c r="P12244" s="1"/>
      <c r="Q12244" s="1"/>
      <c r="R12244" s="1"/>
      <c r="S12244" s="1"/>
      <c r="T12244" s="1"/>
      <c r="U12244" s="1"/>
      <c r="V12244" s="1"/>
      <c r="W12244" s="1"/>
      <c r="X12244" s="1"/>
      <c r="Y12244" s="1"/>
      <c r="Z12244" s="1"/>
      <c r="AA12244" s="1"/>
      <c r="AB12244" s="1"/>
    </row>
    <row r="12245" ht="50.25" customHeight="1">
      <c r="A12245" s="12">
        <v>12241.0</v>
      </c>
      <c r="B12245" s="13" t="s">
        <v>12057</v>
      </c>
      <c r="C12245" s="14" t="s">
        <v>12068</v>
      </c>
      <c r="D12245" s="1"/>
      <c r="E12245" s="1"/>
      <c r="F12245" s="1" t="str">
        <f>IFERROR(__xludf.DUMMYFUNCTION("GOOGLETRANSLATE(B12245, ""en"", ""fa"")
"),"والدین آگاهانه")</f>
        <v>والدین آگاهانه</v>
      </c>
      <c r="G12245" s="1" t="str">
        <f>IFERROR(__xludf.DUMMYFUNCTION("GOOGLETRANSLATE(C12245, ""en"", ""fa"")
"),"مزایای زمان بازی ذهنی و چگونگی پرورش خلاقیت و تخیل را بررسی کنید.")</f>
        <v>مزایای زمان بازی ذهنی و چگونگی پرورش خلاقیت و تخیل را بررسی کنید.</v>
      </c>
      <c r="H12245" s="1"/>
      <c r="I12245" s="1"/>
      <c r="J12245" s="1"/>
      <c r="K12245" s="1"/>
      <c r="L12245" s="1"/>
      <c r="M12245" s="1"/>
      <c r="N12245" s="1"/>
      <c r="O12245" s="1"/>
      <c r="P12245" s="1"/>
      <c r="Q12245" s="1"/>
      <c r="R12245" s="1"/>
      <c r="S12245" s="1"/>
      <c r="T12245" s="1"/>
      <c r="U12245" s="1"/>
      <c r="V12245" s="1"/>
      <c r="W12245" s="1"/>
      <c r="X12245" s="1"/>
      <c r="Y12245" s="1"/>
      <c r="Z12245" s="1"/>
      <c r="AA12245" s="1"/>
      <c r="AB12245" s="1"/>
    </row>
    <row r="12246" ht="50.25" customHeight="1">
      <c r="A12246" s="12">
        <v>12242.0</v>
      </c>
      <c r="B12246" s="13" t="s">
        <v>12057</v>
      </c>
      <c r="C12246" s="14" t="s">
        <v>12069</v>
      </c>
      <c r="D12246" s="1"/>
      <c r="E12246" s="1"/>
      <c r="F12246" s="1" t="str">
        <f>IFERROR(__xludf.DUMMYFUNCTION("GOOGLETRANSLATE(B12246, ""en"", ""fa"")
"),"والدین آگاهانه")</f>
        <v>والدین آگاهانه</v>
      </c>
      <c r="G12246" s="1" t="str">
        <f>IFERROR(__xludf.DUMMYFUNCTION("GOOGLETRANSLATE(C12246, ""en"", ""fa"")
"),"یک فعالیت ذهن آگاهی مبتنی بر طبیعت را که با کودک خود انجام داده اید، توصیف کنید.")</f>
        <v>یک فعالیت ذهن آگاهی مبتنی بر طبیعت را که با کودک خود انجام داده اید، توصیف کنید.</v>
      </c>
      <c r="H12246" s="1"/>
      <c r="I12246" s="1"/>
      <c r="J12246" s="1"/>
      <c r="K12246" s="1"/>
      <c r="L12246" s="1"/>
      <c r="M12246" s="1"/>
      <c r="N12246" s="1"/>
      <c r="O12246" s="1"/>
      <c r="P12246" s="1"/>
      <c r="Q12246" s="1"/>
      <c r="R12246" s="1"/>
      <c r="S12246" s="1"/>
      <c r="T12246" s="1"/>
      <c r="U12246" s="1"/>
      <c r="V12246" s="1"/>
      <c r="W12246" s="1"/>
      <c r="X12246" s="1"/>
      <c r="Y12246" s="1"/>
      <c r="Z12246" s="1"/>
      <c r="AA12246" s="1"/>
      <c r="AB12246" s="1"/>
    </row>
    <row r="12247" ht="50.25" customHeight="1">
      <c r="A12247" s="12">
        <v>12243.0</v>
      </c>
      <c r="B12247" s="13" t="s">
        <v>12057</v>
      </c>
      <c r="C12247" s="14" t="s">
        <v>12070</v>
      </c>
      <c r="D12247" s="1"/>
      <c r="E12247" s="1"/>
      <c r="F12247" s="1" t="str">
        <f>IFERROR(__xludf.DUMMYFUNCTION("GOOGLETRANSLATE(B12247, ""en"", ""fa"")
"),"والدین آگاهانه")</f>
        <v>والدین آگاهانه</v>
      </c>
      <c r="G12247" s="1" t="str">
        <f>IFERROR(__xludf.DUMMYFUNCTION("GOOGLETRANSLATE(C12247, ""en"", ""fa"")
"),"در مورد نقش قدردانی در فرزندپروری آگاهانه و تأثیرات مثبت آن بر پویایی خانواده تأمل کنید.")</f>
        <v>در مورد نقش قدردانی در فرزندپروری آگاهانه و تأثیرات مثبت آن بر پویایی خانواده تأمل کنید.</v>
      </c>
      <c r="H12247" s="1"/>
      <c r="I12247" s="1"/>
      <c r="J12247" s="1"/>
      <c r="K12247" s="1"/>
      <c r="L12247" s="1"/>
      <c r="M12247" s="1"/>
      <c r="N12247" s="1"/>
      <c r="O12247" s="1"/>
      <c r="P12247" s="1"/>
      <c r="Q12247" s="1"/>
      <c r="R12247" s="1"/>
      <c r="S12247" s="1"/>
      <c r="T12247" s="1"/>
      <c r="U12247" s="1"/>
      <c r="V12247" s="1"/>
      <c r="W12247" s="1"/>
      <c r="X12247" s="1"/>
      <c r="Y12247" s="1"/>
      <c r="Z12247" s="1"/>
      <c r="AA12247" s="1"/>
      <c r="AB12247" s="1"/>
    </row>
    <row r="12248" ht="50.25" customHeight="1">
      <c r="A12248" s="12">
        <v>12244.0</v>
      </c>
      <c r="B12248" s="13" t="s">
        <v>12057</v>
      </c>
      <c r="C12248" s="14" t="s">
        <v>12071</v>
      </c>
      <c r="D12248" s="1"/>
      <c r="E12248" s="1"/>
      <c r="F12248" s="1" t="str">
        <f>IFERROR(__xludf.DUMMYFUNCTION("GOOGLETRANSLATE(B12248, ""en"", ""fa"")
"),"والدین آگاهانه")</f>
        <v>والدین آگاهانه</v>
      </c>
      <c r="G12248" s="1" t="str">
        <f>IFERROR(__xludf.DUMMYFUNCTION("GOOGLETRANSLATE(C12248, ""en"", ""fa"")
"),"در مورد اینکه چگونه به فرزندتان یاد می‌دهید که احساسات را از طریق تمرین‌های آگاهانه مدیریت کند، بنویسید.")</f>
        <v>در مورد اینکه چگونه به فرزندتان یاد می‌دهید که احساسات را از طریق تمرین‌های آگاهانه مدیریت کند، بنویسید.</v>
      </c>
      <c r="H12248" s="1"/>
      <c r="I12248" s="1"/>
      <c r="J12248" s="1"/>
      <c r="K12248" s="1"/>
      <c r="L12248" s="1"/>
      <c r="M12248" s="1"/>
      <c r="N12248" s="1"/>
      <c r="O12248" s="1"/>
      <c r="P12248" s="1"/>
      <c r="Q12248" s="1"/>
      <c r="R12248" s="1"/>
      <c r="S12248" s="1"/>
      <c r="T12248" s="1"/>
      <c r="U12248" s="1"/>
      <c r="V12248" s="1"/>
      <c r="W12248" s="1"/>
      <c r="X12248" s="1"/>
      <c r="Y12248" s="1"/>
      <c r="Z12248" s="1"/>
      <c r="AA12248" s="1"/>
      <c r="AB12248" s="1"/>
    </row>
    <row r="12249" ht="50.25" customHeight="1">
      <c r="A12249" s="12">
        <v>12245.0</v>
      </c>
      <c r="B12249" s="13" t="s">
        <v>12057</v>
      </c>
      <c r="C12249" s="14" t="s">
        <v>12072</v>
      </c>
      <c r="D12249" s="1"/>
      <c r="E12249" s="1"/>
      <c r="F12249" s="1" t="str">
        <f>IFERROR(__xludf.DUMMYFUNCTION("GOOGLETRANSLATE(B12249, ""en"", ""fa"")
"),"والدین آگاهانه")</f>
        <v>والدین آگاهانه</v>
      </c>
      <c r="G12249" s="1" t="str">
        <f>IFERROR(__xludf.DUMMYFUNCTION("GOOGLETRANSLATE(C12249, ""en"", ""fa"")
"),"مفهوم ""مکث ذهنی"" در مواجهه با چالش های والدین را بررسی کنید.")</f>
        <v>مفهوم "مکث ذهنی" در مواجهه با چالش های والدین را بررسی کنید.</v>
      </c>
      <c r="H12249" s="1"/>
      <c r="I12249" s="1"/>
      <c r="J12249" s="1"/>
      <c r="K12249" s="1"/>
      <c r="L12249" s="1"/>
      <c r="M12249" s="1"/>
      <c r="N12249" s="1"/>
      <c r="O12249" s="1"/>
      <c r="P12249" s="1"/>
      <c r="Q12249" s="1"/>
      <c r="R12249" s="1"/>
      <c r="S12249" s="1"/>
      <c r="T12249" s="1"/>
      <c r="U12249" s="1"/>
      <c r="V12249" s="1"/>
      <c r="W12249" s="1"/>
      <c r="X12249" s="1"/>
      <c r="Y12249" s="1"/>
      <c r="Z12249" s="1"/>
      <c r="AA12249" s="1"/>
      <c r="AB12249" s="1"/>
    </row>
    <row r="12250" ht="50.25" customHeight="1">
      <c r="A12250" s="12">
        <v>12246.0</v>
      </c>
      <c r="B12250" s="13" t="s">
        <v>12057</v>
      </c>
      <c r="C12250" s="14" t="s">
        <v>12073</v>
      </c>
      <c r="D12250" s="1"/>
      <c r="E12250" s="1"/>
      <c r="F12250" s="1" t="str">
        <f>IFERROR(__xludf.DUMMYFUNCTION("GOOGLETRANSLATE(B12250, ""en"", ""fa"")
"),"والدین آگاهانه")</f>
        <v>والدین آگاهانه</v>
      </c>
      <c r="G12250" s="1" t="str">
        <f>IFERROR(__xludf.DUMMYFUNCTION("GOOGLETRANSLATE(C12250, ""en"", ""fa"")
"),"یک روال تمرکز حواس قبل از خواب را که با کودک خود برای خواب بهتر اجرا کرده اید، توضیح دهید.")</f>
        <v>یک روال تمرکز حواس قبل از خواب را که با کودک خود برای خواب بهتر اجرا کرده اید، توضیح دهید.</v>
      </c>
      <c r="H12250" s="1"/>
      <c r="I12250" s="1"/>
      <c r="J12250" s="1"/>
      <c r="K12250" s="1"/>
      <c r="L12250" s="1"/>
      <c r="M12250" s="1"/>
      <c r="N12250" s="1"/>
      <c r="O12250" s="1"/>
      <c r="P12250" s="1"/>
      <c r="Q12250" s="1"/>
      <c r="R12250" s="1"/>
      <c r="S12250" s="1"/>
      <c r="T12250" s="1"/>
      <c r="U12250" s="1"/>
      <c r="V12250" s="1"/>
      <c r="W12250" s="1"/>
      <c r="X12250" s="1"/>
      <c r="Y12250" s="1"/>
      <c r="Z12250" s="1"/>
      <c r="AA12250" s="1"/>
      <c r="AB12250" s="1"/>
    </row>
    <row r="12251" ht="50.25" customHeight="1">
      <c r="A12251" s="12">
        <v>12247.0</v>
      </c>
      <c r="B12251" s="13" t="s">
        <v>12057</v>
      </c>
      <c r="C12251" s="14" t="s">
        <v>12074</v>
      </c>
      <c r="D12251" s="1"/>
      <c r="E12251" s="1"/>
      <c r="F12251" s="1" t="str">
        <f>IFERROR(__xludf.DUMMYFUNCTION("GOOGLETRANSLATE(B12251, ""en"", ""fa"")
"),"والدین آگاهانه")</f>
        <v>والدین آگاهانه</v>
      </c>
      <c r="G12251" s="1" t="str">
        <f>IFERROR(__xludf.DUMMYFUNCTION("GOOGLETRANSLATE(C12251, ""en"", ""fa"")
"),"به این فکر کنید که چگونه نظم و انضباط آگاهانه و تعیین مرزها می تواند در فرزندپروری موثرتر باشد.")</f>
        <v>به این فکر کنید که چگونه نظم و انضباط آگاهانه و تعیین مرزها می تواند در فرزندپروری موثرتر باشد.</v>
      </c>
      <c r="H12251" s="1"/>
      <c r="I12251" s="1"/>
      <c r="J12251" s="1"/>
      <c r="K12251" s="1"/>
      <c r="L12251" s="1"/>
      <c r="M12251" s="1"/>
      <c r="N12251" s="1"/>
      <c r="O12251" s="1"/>
      <c r="P12251" s="1"/>
      <c r="Q12251" s="1"/>
      <c r="R12251" s="1"/>
      <c r="S12251" s="1"/>
      <c r="T12251" s="1"/>
      <c r="U12251" s="1"/>
      <c r="V12251" s="1"/>
      <c r="W12251" s="1"/>
      <c r="X12251" s="1"/>
      <c r="Y12251" s="1"/>
      <c r="Z12251" s="1"/>
      <c r="AA12251" s="1"/>
      <c r="AB12251" s="1"/>
    </row>
    <row r="12252" ht="50.25" customHeight="1">
      <c r="A12252" s="12">
        <v>12248.0</v>
      </c>
      <c r="B12252" s="13" t="s">
        <v>12057</v>
      </c>
      <c r="C12252" s="14" t="s">
        <v>12075</v>
      </c>
      <c r="D12252" s="1"/>
      <c r="E12252" s="1"/>
      <c r="F12252" s="1" t="str">
        <f>IFERROR(__xludf.DUMMYFUNCTION("GOOGLETRANSLATE(B12252, ""en"", ""fa"")
"),"والدین آگاهانه")</f>
        <v>والدین آگاهانه</v>
      </c>
      <c r="G12252" s="1" t="str">
        <f>IFERROR(__xludf.DUMMYFUNCTION("GOOGLETRANSLATE(C12252, ""en"", ""fa"")
"),"در مورد اهمیت خودمراقبتی و توجه به حضور والدین برای فرزندان بنویسید.")</f>
        <v>در مورد اهمیت خودمراقبتی و توجه به حضور والدین برای فرزندان بنویسید.</v>
      </c>
      <c r="H12252" s="1"/>
      <c r="I12252" s="1"/>
      <c r="J12252" s="1"/>
      <c r="K12252" s="1"/>
      <c r="L12252" s="1"/>
      <c r="M12252" s="1"/>
      <c r="N12252" s="1"/>
      <c r="O12252" s="1"/>
      <c r="P12252" s="1"/>
      <c r="Q12252" s="1"/>
      <c r="R12252" s="1"/>
      <c r="S12252" s="1"/>
      <c r="T12252" s="1"/>
      <c r="U12252" s="1"/>
      <c r="V12252" s="1"/>
      <c r="W12252" s="1"/>
      <c r="X12252" s="1"/>
      <c r="Y12252" s="1"/>
      <c r="Z12252" s="1"/>
      <c r="AA12252" s="1"/>
      <c r="AB12252" s="1"/>
    </row>
    <row r="12253" ht="50.25" customHeight="1">
      <c r="A12253" s="12">
        <v>12249.0</v>
      </c>
      <c r="B12253" s="13" t="s">
        <v>12057</v>
      </c>
      <c r="C12253" s="14" t="s">
        <v>12076</v>
      </c>
      <c r="D12253" s="1"/>
      <c r="E12253" s="1"/>
      <c r="F12253" s="1" t="str">
        <f>IFERROR(__xludf.DUMMYFUNCTION("GOOGLETRANSLATE(B12253, ""en"", ""fa"")
"),"والدین آگاهانه")</f>
        <v>والدین آگاهانه</v>
      </c>
      <c r="G12253" s="1" t="str">
        <f>IFERROR(__xludf.DUMMYFUNCTION("GOOGLETRANSLATE(C12253, ""en"", ""fa"")
"),"بررسی کنید که چگونه تمرینات ذهن آگاهی به شما و فرزندتان کمک کرده است تا با استرس و اضطراب کنار بیایید.")</f>
        <v>بررسی کنید که چگونه تمرینات ذهن آگاهی به شما و فرزندتان کمک کرده است تا با استرس و اضطراب کنار بیایید.</v>
      </c>
      <c r="H12253" s="1"/>
      <c r="I12253" s="1"/>
      <c r="J12253" s="1"/>
      <c r="K12253" s="1"/>
      <c r="L12253" s="1"/>
      <c r="M12253" s="1"/>
      <c r="N12253" s="1"/>
      <c r="O12253" s="1"/>
      <c r="P12253" s="1"/>
      <c r="Q12253" s="1"/>
      <c r="R12253" s="1"/>
      <c r="S12253" s="1"/>
      <c r="T12253" s="1"/>
      <c r="U12253" s="1"/>
      <c r="V12253" s="1"/>
      <c r="W12253" s="1"/>
      <c r="X12253" s="1"/>
      <c r="Y12253" s="1"/>
      <c r="Z12253" s="1"/>
      <c r="AA12253" s="1"/>
      <c r="AB12253" s="1"/>
    </row>
    <row r="12254" ht="50.25" customHeight="1">
      <c r="A12254" s="12">
        <v>12250.0</v>
      </c>
      <c r="B12254" s="13" t="s">
        <v>12057</v>
      </c>
      <c r="C12254" s="14" t="s">
        <v>12077</v>
      </c>
      <c r="D12254" s="1"/>
      <c r="E12254" s="1"/>
      <c r="F12254" s="1" t="str">
        <f>IFERROR(__xludf.DUMMYFUNCTION("GOOGLETRANSLATE(B12254, ""en"", ""fa"")
"),"والدین آگاهانه")</f>
        <v>والدین آگاهانه</v>
      </c>
      <c r="G12254" s="1" t="str">
        <f>IFERROR(__xludf.DUMMYFUNCTION("GOOGLETRANSLATE(C12254, ""en"", ""fa"")
"),"یک تمرین تمرکز حواس خانوادگی را توصیف کنید که حس وحدت و هماهنگی را به همراه دارد.")</f>
        <v>یک تمرین تمرکز حواس خانوادگی را توصیف کنید که حس وحدت و هماهنگی را به همراه دارد.</v>
      </c>
      <c r="H12254" s="1"/>
      <c r="I12254" s="1"/>
      <c r="J12254" s="1"/>
      <c r="K12254" s="1"/>
      <c r="L12254" s="1"/>
      <c r="M12254" s="1"/>
      <c r="N12254" s="1"/>
      <c r="O12254" s="1"/>
      <c r="P12254" s="1"/>
      <c r="Q12254" s="1"/>
      <c r="R12254" s="1"/>
      <c r="S12254" s="1"/>
      <c r="T12254" s="1"/>
      <c r="U12254" s="1"/>
      <c r="V12254" s="1"/>
      <c r="W12254" s="1"/>
      <c r="X12254" s="1"/>
      <c r="Y12254" s="1"/>
      <c r="Z12254" s="1"/>
      <c r="AA12254" s="1"/>
      <c r="AB12254" s="1"/>
    </row>
    <row r="12255" ht="50.25" customHeight="1">
      <c r="A12255" s="12">
        <v>12251.0</v>
      </c>
      <c r="B12255" s="13" t="s">
        <v>12057</v>
      </c>
      <c r="C12255" s="14" t="s">
        <v>12078</v>
      </c>
      <c r="D12255" s="1"/>
      <c r="E12255" s="1"/>
      <c r="F12255" s="1" t="str">
        <f>IFERROR(__xludf.DUMMYFUNCTION("GOOGLETRANSLATE(B12255, ""en"", ""fa"")
"),"والدین آگاهانه")</f>
        <v>والدین آگاهانه</v>
      </c>
      <c r="G12255" s="1" t="str">
        <f>IFERROR(__xludf.DUMMYFUNCTION("GOOGLETRANSLATE(C12255, ""en"", ""fa"")
"),"به این فکر کنید که چگونه ذهن آگاهی را در فعالیت ها و انتخاب های روزانه فرزندتان تشویق می کنید.")</f>
        <v>به این فکر کنید که چگونه ذهن آگاهی را در فعالیت ها و انتخاب های روزانه فرزندتان تشویق می کنید.</v>
      </c>
      <c r="H12255" s="1"/>
      <c r="I12255" s="1"/>
      <c r="J12255" s="1"/>
      <c r="K12255" s="1"/>
      <c r="L12255" s="1"/>
      <c r="M12255" s="1"/>
      <c r="N12255" s="1"/>
      <c r="O12255" s="1"/>
      <c r="P12255" s="1"/>
      <c r="Q12255" s="1"/>
      <c r="R12255" s="1"/>
      <c r="S12255" s="1"/>
      <c r="T12255" s="1"/>
      <c r="U12255" s="1"/>
      <c r="V12255" s="1"/>
      <c r="W12255" s="1"/>
      <c r="X12255" s="1"/>
      <c r="Y12255" s="1"/>
      <c r="Z12255" s="1"/>
      <c r="AA12255" s="1"/>
      <c r="AB12255" s="1"/>
    </row>
    <row r="12256" ht="50.25" customHeight="1">
      <c r="A12256" s="12">
        <v>12252.0</v>
      </c>
      <c r="B12256" s="13" t="s">
        <v>12057</v>
      </c>
      <c r="C12256" s="14" t="s">
        <v>12079</v>
      </c>
      <c r="D12256" s="1"/>
      <c r="E12256" s="1"/>
      <c r="F12256" s="1" t="str">
        <f>IFERROR(__xludf.DUMMYFUNCTION("GOOGLETRANSLATE(B12256, ""en"", ""fa"")
"),"والدین آگاهانه")</f>
        <v>والدین آگاهانه</v>
      </c>
      <c r="G12256" s="1" t="str">
        <f>IFERROR(__xludf.DUMMYFUNCTION("GOOGLETRANSLATE(C12256, ""en"", ""fa"")
"),"در مورد یک تمرین پیاده روی آگاهانه که با هم انجام داده اید، بنویسید و قدر لحظه حال را بدانید.")</f>
        <v>در مورد یک تمرین پیاده روی آگاهانه که با هم انجام داده اید، بنویسید و قدر لحظه حال را بدانید.</v>
      </c>
      <c r="H12256" s="1"/>
      <c r="I12256" s="1"/>
      <c r="J12256" s="1"/>
      <c r="K12256" s="1"/>
      <c r="L12256" s="1"/>
      <c r="M12256" s="1"/>
      <c r="N12256" s="1"/>
      <c r="O12256" s="1"/>
      <c r="P12256" s="1"/>
      <c r="Q12256" s="1"/>
      <c r="R12256" s="1"/>
      <c r="S12256" s="1"/>
      <c r="T12256" s="1"/>
      <c r="U12256" s="1"/>
      <c r="V12256" s="1"/>
      <c r="W12256" s="1"/>
      <c r="X12256" s="1"/>
      <c r="Y12256" s="1"/>
      <c r="Z12256" s="1"/>
      <c r="AA12256" s="1"/>
      <c r="AB12256" s="1"/>
    </row>
    <row r="12257" ht="50.25" customHeight="1">
      <c r="A12257" s="12">
        <v>12253.0</v>
      </c>
      <c r="B12257" s="13" t="s">
        <v>12057</v>
      </c>
      <c r="C12257" s="14" t="s">
        <v>12080</v>
      </c>
      <c r="D12257" s="1"/>
      <c r="E12257" s="1"/>
      <c r="F12257" s="1" t="str">
        <f>IFERROR(__xludf.DUMMYFUNCTION("GOOGLETRANSLATE(B12257, ""en"", ""fa"")
"),"والدین آگاهانه")</f>
        <v>والدین آگاهانه</v>
      </c>
      <c r="G12257" s="1" t="str">
        <f>IFERROR(__xludf.DUMMYFUNCTION("GOOGLETRANSLATE(C12257, ""en"", ""fa"")
"),"مفهوم ""تغییرهای ذهنی"" و اینکه چگونه انتقال کودک شما را در طول روز آسان می کند را بررسی کنید.")</f>
        <v>مفهوم "تغییرهای ذهنی" و اینکه چگونه انتقال کودک شما را در طول روز آسان می کند را بررسی کنید.</v>
      </c>
      <c r="H12257" s="1"/>
      <c r="I12257" s="1"/>
      <c r="J12257" s="1"/>
      <c r="K12257" s="1"/>
      <c r="L12257" s="1"/>
      <c r="M12257" s="1"/>
      <c r="N12257" s="1"/>
      <c r="O12257" s="1"/>
      <c r="P12257" s="1"/>
      <c r="Q12257" s="1"/>
      <c r="R12257" s="1"/>
      <c r="S12257" s="1"/>
      <c r="T12257" s="1"/>
      <c r="U12257" s="1"/>
      <c r="V12257" s="1"/>
      <c r="W12257" s="1"/>
      <c r="X12257" s="1"/>
      <c r="Y12257" s="1"/>
      <c r="Z12257" s="1"/>
      <c r="AA12257" s="1"/>
      <c r="AB12257" s="1"/>
    </row>
    <row r="12258" ht="50.25" customHeight="1">
      <c r="A12258" s="12">
        <v>12254.0</v>
      </c>
      <c r="B12258" s="13" t="s">
        <v>12057</v>
      </c>
      <c r="C12258" s="14" t="s">
        <v>12081</v>
      </c>
      <c r="D12258" s="1"/>
      <c r="E12258" s="1"/>
      <c r="F12258" s="1" t="str">
        <f>IFERROR(__xludf.DUMMYFUNCTION("GOOGLETRANSLATE(B12258, ""en"", ""fa"")
"),"والدین آگاهانه")</f>
        <v>والدین آگاهانه</v>
      </c>
      <c r="G12258" s="1" t="str">
        <f>IFERROR(__xludf.DUMMYFUNCTION("GOOGLETRANSLATE(C12258, ""en"", ""fa"")
"),"یک فعالیت گوش دادن آگاهانه را توصیف کنید که در آن شما و فرزندتان از صداهای محیط خود قدردانی می کنید.")</f>
        <v>یک فعالیت گوش دادن آگاهانه را توصیف کنید که در آن شما و فرزندتان از صداهای محیط خود قدردانی می کنید.</v>
      </c>
      <c r="H12258" s="1"/>
      <c r="I12258" s="1"/>
      <c r="J12258" s="1"/>
      <c r="K12258" s="1"/>
      <c r="L12258" s="1"/>
      <c r="M12258" s="1"/>
      <c r="N12258" s="1"/>
      <c r="O12258" s="1"/>
      <c r="P12258" s="1"/>
      <c r="Q12258" s="1"/>
      <c r="R12258" s="1"/>
      <c r="S12258" s="1"/>
      <c r="T12258" s="1"/>
      <c r="U12258" s="1"/>
      <c r="V12258" s="1"/>
      <c r="W12258" s="1"/>
      <c r="X12258" s="1"/>
      <c r="Y12258" s="1"/>
      <c r="Z12258" s="1"/>
      <c r="AA12258" s="1"/>
      <c r="AB12258" s="1"/>
    </row>
    <row r="12259" ht="50.25" customHeight="1">
      <c r="A12259" s="12">
        <v>12255.0</v>
      </c>
      <c r="B12259" s="13" t="s">
        <v>12057</v>
      </c>
      <c r="C12259" s="14" t="s">
        <v>12082</v>
      </c>
      <c r="D12259" s="1"/>
      <c r="E12259" s="1"/>
      <c r="F12259" s="1" t="str">
        <f>IFERROR(__xludf.DUMMYFUNCTION("GOOGLETRANSLATE(B12259, ""en"", ""fa"")
"),"والدین آگاهانه")</f>
        <v>والدین آگاهانه</v>
      </c>
      <c r="G12259" s="1" t="str">
        <f>IFERROR(__xludf.DUMMYFUNCTION("GOOGLETRANSLATE(C12259, ""en"", ""fa"")
"),"قدرت الگوسازی ذهن آگاهی برای فرزندتان و تأثیر آن بر رشد او را در نظر بگیرید.")</f>
        <v>قدرت الگوسازی ذهن آگاهی برای فرزندتان و تأثیر آن بر رشد او را در نظر بگیرید.</v>
      </c>
      <c r="H12259" s="1"/>
      <c r="I12259" s="1"/>
      <c r="J12259" s="1"/>
      <c r="K12259" s="1"/>
      <c r="L12259" s="1"/>
      <c r="M12259" s="1"/>
      <c r="N12259" s="1"/>
      <c r="O12259" s="1"/>
      <c r="P12259" s="1"/>
      <c r="Q12259" s="1"/>
      <c r="R12259" s="1"/>
      <c r="S12259" s="1"/>
      <c r="T12259" s="1"/>
      <c r="U12259" s="1"/>
      <c r="V12259" s="1"/>
      <c r="W12259" s="1"/>
      <c r="X12259" s="1"/>
      <c r="Y12259" s="1"/>
      <c r="Z12259" s="1"/>
      <c r="AA12259" s="1"/>
      <c r="AB12259" s="1"/>
    </row>
    <row r="12260" ht="50.25" customHeight="1">
      <c r="A12260" s="12">
        <v>12256.0</v>
      </c>
      <c r="B12260" s="13" t="s">
        <v>12057</v>
      </c>
      <c r="C12260" s="14" t="s">
        <v>12083</v>
      </c>
      <c r="D12260" s="1"/>
      <c r="E12260" s="1"/>
      <c r="F12260" s="1" t="str">
        <f>IFERROR(__xludf.DUMMYFUNCTION("GOOGLETRANSLATE(B12260, ""en"", ""fa"")
"),"والدین آگاهانه")</f>
        <v>والدین آگاهانه</v>
      </c>
      <c r="G12260" s="1" t="str">
        <f>IFERROR(__xludf.DUMMYFUNCTION("GOOGLETRANSLATE(C12260, ""en"", ""fa"")
"),"در مورد گنجاندن تمرکز حواس در یادگیری و کارهای روزمره با فرزندتان بنویسید.")</f>
        <v>در مورد گنجاندن تمرکز حواس در یادگیری و کارهای روزمره با فرزندتان بنویسید.</v>
      </c>
      <c r="H12260" s="1"/>
      <c r="I12260" s="1"/>
      <c r="J12260" s="1"/>
      <c r="K12260" s="1"/>
      <c r="L12260" s="1"/>
      <c r="M12260" s="1"/>
      <c r="N12260" s="1"/>
      <c r="O12260" s="1"/>
      <c r="P12260" s="1"/>
      <c r="Q12260" s="1"/>
      <c r="R12260" s="1"/>
      <c r="S12260" s="1"/>
      <c r="T12260" s="1"/>
      <c r="U12260" s="1"/>
      <c r="V12260" s="1"/>
      <c r="W12260" s="1"/>
      <c r="X12260" s="1"/>
      <c r="Y12260" s="1"/>
      <c r="Z12260" s="1"/>
      <c r="AA12260" s="1"/>
      <c r="AB12260" s="1"/>
    </row>
    <row r="12261" ht="50.25" customHeight="1">
      <c r="A12261" s="12">
        <v>12257.0</v>
      </c>
      <c r="B12261" s="13" t="s">
        <v>12057</v>
      </c>
      <c r="C12261" s="14" t="s">
        <v>12084</v>
      </c>
      <c r="D12261" s="1"/>
      <c r="E12261" s="1"/>
      <c r="F12261" s="1" t="str">
        <f>IFERROR(__xludf.DUMMYFUNCTION("GOOGLETRANSLATE(B12261, ""en"", ""fa"")
"),"والدین آگاهانه")</f>
        <v>والدین آگاهانه</v>
      </c>
      <c r="G12261" s="1" t="str">
        <f>IFERROR(__xludf.DUMMYFUNCTION("GOOGLETRANSLATE(C12261, ""en"", ""fa"")
"),"کاوش کنید که چگونه ذهن آگاهی به شما در رسیدگی به تعارضات و ترویج راه حل های مسالمت آمیز کمک کرده است.")</f>
        <v>کاوش کنید که چگونه ذهن آگاهی به شما در رسیدگی به تعارضات و ترویج راه حل های مسالمت آمیز کمک کرده است.</v>
      </c>
      <c r="H12261" s="1"/>
      <c r="I12261" s="1"/>
      <c r="J12261" s="1"/>
      <c r="K12261" s="1"/>
      <c r="L12261" s="1"/>
      <c r="M12261" s="1"/>
      <c r="N12261" s="1"/>
      <c r="O12261" s="1"/>
      <c r="P12261" s="1"/>
      <c r="Q12261" s="1"/>
      <c r="R12261" s="1"/>
      <c r="S12261" s="1"/>
      <c r="T12261" s="1"/>
      <c r="U12261" s="1"/>
      <c r="V12261" s="1"/>
      <c r="W12261" s="1"/>
      <c r="X12261" s="1"/>
      <c r="Y12261" s="1"/>
      <c r="Z12261" s="1"/>
      <c r="AA12261" s="1"/>
      <c r="AB12261" s="1"/>
    </row>
    <row r="12262" ht="50.25" customHeight="1">
      <c r="A12262" s="12">
        <v>12258.0</v>
      </c>
      <c r="B12262" s="13" t="s">
        <v>12057</v>
      </c>
      <c r="C12262" s="14" t="s">
        <v>12085</v>
      </c>
      <c r="D12262" s="1"/>
      <c r="E12262" s="1"/>
      <c r="F12262" s="1" t="str">
        <f>IFERROR(__xludf.DUMMYFUNCTION("GOOGLETRANSLATE(B12262, ""en"", ""fa"")
"),"والدین آگاهانه")</f>
        <v>والدین آگاهانه</v>
      </c>
      <c r="G12262" s="1" t="str">
        <f>IFERROR(__xludf.DUMMYFUNCTION("GOOGLETRANSLATE(C12262, ""en"", ""fa"")
"),"یک تمرین سپاسگزاری مبتنی بر ذهن آگاهی را که به خانواده خود معرفی کرده اید، توضیح دهید.")</f>
        <v>یک تمرین سپاسگزاری مبتنی بر ذهن آگاهی را که به خانواده خود معرفی کرده اید، توضیح دهید.</v>
      </c>
      <c r="H12262" s="1"/>
      <c r="I12262" s="1"/>
      <c r="J12262" s="1"/>
      <c r="K12262" s="1"/>
      <c r="L12262" s="1"/>
      <c r="M12262" s="1"/>
      <c r="N12262" s="1"/>
      <c r="O12262" s="1"/>
      <c r="P12262" s="1"/>
      <c r="Q12262" s="1"/>
      <c r="R12262" s="1"/>
      <c r="S12262" s="1"/>
      <c r="T12262" s="1"/>
      <c r="U12262" s="1"/>
      <c r="V12262" s="1"/>
      <c r="W12262" s="1"/>
      <c r="X12262" s="1"/>
      <c r="Y12262" s="1"/>
      <c r="Z12262" s="1"/>
      <c r="AA12262" s="1"/>
      <c r="AB12262" s="1"/>
    </row>
    <row r="12263" ht="50.25" customHeight="1">
      <c r="A12263" s="12">
        <v>12259.0</v>
      </c>
      <c r="B12263" s="13" t="s">
        <v>12057</v>
      </c>
      <c r="C12263" s="14" t="s">
        <v>12086</v>
      </c>
      <c r="D12263" s="1"/>
      <c r="E12263" s="1"/>
      <c r="F12263" s="1" t="str">
        <f>IFERROR(__xludf.DUMMYFUNCTION("GOOGLETRANSLATE(B12263, ""en"", ""fa"")
"),"والدین آگاهانه")</f>
        <v>والدین آگاهانه</v>
      </c>
      <c r="G12263" s="1" t="str">
        <f>IFERROR(__xludf.DUMMYFUNCTION("GOOGLETRANSLATE(C12263, ""en"", ""fa"")
"),"در مورد نحوه استفاده از ذهن آگاهی برای تشویق ارتباط باز و صادقانه با فرزند خود فکر کنید.")</f>
        <v>در مورد نحوه استفاده از ذهن آگاهی برای تشویق ارتباط باز و صادقانه با فرزند خود فکر کنید.</v>
      </c>
      <c r="H12263" s="1"/>
      <c r="I12263" s="1"/>
      <c r="J12263" s="1"/>
      <c r="K12263" s="1"/>
      <c r="L12263" s="1"/>
      <c r="M12263" s="1"/>
      <c r="N12263" s="1"/>
      <c r="O12263" s="1"/>
      <c r="P12263" s="1"/>
      <c r="Q12263" s="1"/>
      <c r="R12263" s="1"/>
      <c r="S12263" s="1"/>
      <c r="T12263" s="1"/>
      <c r="U12263" s="1"/>
      <c r="V12263" s="1"/>
      <c r="W12263" s="1"/>
      <c r="X12263" s="1"/>
      <c r="Y12263" s="1"/>
      <c r="Z12263" s="1"/>
      <c r="AA12263" s="1"/>
      <c r="AB12263" s="1"/>
    </row>
    <row r="12264" ht="50.25" customHeight="1">
      <c r="A12264" s="12">
        <v>12260.0</v>
      </c>
      <c r="B12264" s="13" t="s">
        <v>12057</v>
      </c>
      <c r="C12264" s="14" t="s">
        <v>12087</v>
      </c>
      <c r="D12264" s="1"/>
      <c r="E12264" s="1"/>
      <c r="F12264" s="1" t="str">
        <f>IFERROR(__xludf.DUMMYFUNCTION("GOOGLETRANSLATE(B12264, ""en"", ""fa"")
"),"والدین آگاهانه")</f>
        <v>والدین آگاهانه</v>
      </c>
      <c r="G12264" s="1" t="str">
        <f>IFERROR(__xludf.DUMMYFUNCTION("GOOGLETRANSLATE(C12264, ""en"", ""fa"")
"),"در مورد یک تمرین تجسم آگاهانه بنویسید که با هم انجام داده اید تا اهداف مثبت را تقویت کنید.")</f>
        <v>در مورد یک تمرین تجسم آگاهانه بنویسید که با هم انجام داده اید تا اهداف مثبت را تقویت کنید.</v>
      </c>
      <c r="H12264" s="1"/>
      <c r="I12264" s="1"/>
      <c r="J12264" s="1"/>
      <c r="K12264" s="1"/>
      <c r="L12264" s="1"/>
      <c r="M12264" s="1"/>
      <c r="N12264" s="1"/>
      <c r="O12264" s="1"/>
      <c r="P12264" s="1"/>
      <c r="Q12264" s="1"/>
      <c r="R12264" s="1"/>
      <c r="S12264" s="1"/>
      <c r="T12264" s="1"/>
      <c r="U12264" s="1"/>
      <c r="V12264" s="1"/>
      <c r="W12264" s="1"/>
      <c r="X12264" s="1"/>
      <c r="Y12264" s="1"/>
      <c r="Z12264" s="1"/>
      <c r="AA12264" s="1"/>
      <c r="AB12264" s="1"/>
    </row>
    <row r="12265" ht="50.25" customHeight="1">
      <c r="A12265" s="12">
        <v>12261.0</v>
      </c>
      <c r="B12265" s="13" t="s">
        <v>12057</v>
      </c>
      <c r="C12265" s="14" t="s">
        <v>12088</v>
      </c>
      <c r="D12265" s="1"/>
      <c r="E12265" s="1"/>
      <c r="F12265" s="1" t="str">
        <f>IFERROR(__xludf.DUMMYFUNCTION("GOOGLETRANSLATE(B12265, ""en"", ""fa"")
"),"والدین آگاهانه")</f>
        <v>والدین آگاهانه</v>
      </c>
      <c r="G12265" s="1" t="str">
        <f>IFERROR(__xludf.DUMMYFUNCTION("GOOGLETRANSLATE(C12265, ""en"", ""fa"")
"),"در لحظه فرزندپروری آگاهانه ای فکر کنید که برای شما احساس شادی و ارتباط با فرزندتان به ارمغان آورد.")</f>
        <v>در لحظه فرزندپروری آگاهانه ای فکر کنید که برای شما احساس شادی و ارتباط با فرزندتان به ارمغان آورد.</v>
      </c>
      <c r="H12265" s="1"/>
      <c r="I12265" s="1"/>
      <c r="J12265" s="1"/>
      <c r="K12265" s="1"/>
      <c r="L12265" s="1"/>
      <c r="M12265" s="1"/>
      <c r="N12265" s="1"/>
      <c r="O12265" s="1"/>
      <c r="P12265" s="1"/>
      <c r="Q12265" s="1"/>
      <c r="R12265" s="1"/>
      <c r="S12265" s="1"/>
      <c r="T12265" s="1"/>
      <c r="U12265" s="1"/>
      <c r="V12265" s="1"/>
      <c r="W12265" s="1"/>
      <c r="X12265" s="1"/>
      <c r="Y12265" s="1"/>
      <c r="Z12265" s="1"/>
      <c r="AA12265" s="1"/>
      <c r="AB12265" s="1"/>
    </row>
    <row r="12266" ht="50.25" customHeight="1">
      <c r="A12266" s="12">
        <v>12262.0</v>
      </c>
      <c r="B12266" s="13" t="s">
        <v>12057</v>
      </c>
      <c r="C12266" s="14" t="s">
        <v>12089</v>
      </c>
      <c r="D12266" s="1"/>
      <c r="E12266" s="1"/>
      <c r="F12266" s="1" t="str">
        <f>IFERROR(__xludf.DUMMYFUNCTION("GOOGLETRANSLATE(B12266, ""en"", ""fa"")
"),"والدین آگاهانه")</f>
        <v>والدین آگاهانه</v>
      </c>
      <c r="G12266" s="1" t="str">
        <f>IFERROR(__xludf.DUMMYFUNCTION("GOOGLETRANSLATE(C12266, ""en"", ""fa"")
"),"یک فعالیت ذهن آگاهی را که با کودک خود انجام می دهید تا به او در مدیریت استرس و احساسات کمک کنید، توضیح دهید.")</f>
        <v>یک فعالیت ذهن آگاهی را که با کودک خود انجام می دهید تا به او در مدیریت استرس و احساسات کمک کنید، توضیح دهید.</v>
      </c>
      <c r="H12266" s="1"/>
      <c r="I12266" s="1"/>
      <c r="J12266" s="1"/>
      <c r="K12266" s="1"/>
      <c r="L12266" s="1"/>
      <c r="M12266" s="1"/>
      <c r="N12266" s="1"/>
      <c r="O12266" s="1"/>
      <c r="P12266" s="1"/>
      <c r="Q12266" s="1"/>
      <c r="R12266" s="1"/>
      <c r="S12266" s="1"/>
      <c r="T12266" s="1"/>
      <c r="U12266" s="1"/>
      <c r="V12266" s="1"/>
      <c r="W12266" s="1"/>
      <c r="X12266" s="1"/>
      <c r="Y12266" s="1"/>
      <c r="Z12266" s="1"/>
      <c r="AA12266" s="1"/>
      <c r="AB12266" s="1"/>
    </row>
    <row r="12267" ht="50.25" customHeight="1">
      <c r="A12267" s="12">
        <v>12263.0</v>
      </c>
      <c r="B12267" s="13" t="s">
        <v>12057</v>
      </c>
      <c r="C12267" s="14" t="s">
        <v>12090</v>
      </c>
      <c r="D12267" s="1"/>
      <c r="E12267" s="1"/>
      <c r="F12267" s="1" t="str">
        <f>IFERROR(__xludf.DUMMYFUNCTION("GOOGLETRANSLATE(B12267, ""en"", ""fa"")
"),"والدین آگاهانه")</f>
        <v>والدین آگاهانه</v>
      </c>
      <c r="G12267" s="1" t="str">
        <f>IFERROR(__xludf.DUMMYFUNCTION("GOOGLETRANSLATE(C12267, ""en"", ""fa"")
"),"بررسی کنید که چگونه تمرین ذهن آگاهی با هم باعث تقویت پیوند والدین و فرزند می شود.")</f>
        <v>بررسی کنید که چگونه تمرین ذهن آگاهی با هم باعث تقویت پیوند والدین و فرزند می شود.</v>
      </c>
      <c r="H12267" s="1"/>
      <c r="I12267" s="1"/>
      <c r="J12267" s="1"/>
      <c r="K12267" s="1"/>
      <c r="L12267" s="1"/>
      <c r="M12267" s="1"/>
      <c r="N12267" s="1"/>
      <c r="O12267" s="1"/>
      <c r="P12267" s="1"/>
      <c r="Q12267" s="1"/>
      <c r="R12267" s="1"/>
      <c r="S12267" s="1"/>
      <c r="T12267" s="1"/>
      <c r="U12267" s="1"/>
      <c r="V12267" s="1"/>
      <c r="W12267" s="1"/>
      <c r="X12267" s="1"/>
      <c r="Y12267" s="1"/>
      <c r="Z12267" s="1"/>
      <c r="AA12267" s="1"/>
      <c r="AB12267" s="1"/>
    </row>
    <row r="12268" ht="50.25" customHeight="1">
      <c r="A12268" s="12">
        <v>12264.0</v>
      </c>
      <c r="B12268" s="13" t="s">
        <v>12057</v>
      </c>
      <c r="C12268" s="14" t="s">
        <v>12091</v>
      </c>
      <c r="D12268" s="1"/>
      <c r="E12268" s="1"/>
      <c r="F12268" s="1" t="str">
        <f>IFERROR(__xludf.DUMMYFUNCTION("GOOGLETRANSLATE(B12268, ""en"", ""fa"")
"),"والدین آگاهانه")</f>
        <v>والدین آگاهانه</v>
      </c>
      <c r="G12268" s="1" t="str">
        <f>IFERROR(__xludf.DUMMYFUNCTION("GOOGLETRANSLATE(C12268, ""en"", ""fa"")
"),"در مورد نقش ذهن آگاهی در ترویج همدلی و تفاهم در خانواده خود بنویسید.")</f>
        <v>در مورد نقش ذهن آگاهی در ترویج همدلی و تفاهم در خانواده خود بنویسید.</v>
      </c>
      <c r="H12268" s="1"/>
      <c r="I12268" s="1"/>
      <c r="J12268" s="1"/>
      <c r="K12268" s="1"/>
      <c r="L12268" s="1"/>
      <c r="M12268" s="1"/>
      <c r="N12268" s="1"/>
      <c r="O12268" s="1"/>
      <c r="P12268" s="1"/>
      <c r="Q12268" s="1"/>
      <c r="R12268" s="1"/>
      <c r="S12268" s="1"/>
      <c r="T12268" s="1"/>
      <c r="U12268" s="1"/>
      <c r="V12268" s="1"/>
      <c r="W12268" s="1"/>
      <c r="X12268" s="1"/>
      <c r="Y12268" s="1"/>
      <c r="Z12268" s="1"/>
      <c r="AA12268" s="1"/>
      <c r="AB12268" s="1"/>
    </row>
    <row r="12269" ht="50.25" customHeight="1">
      <c r="A12269" s="12">
        <v>12265.0</v>
      </c>
      <c r="B12269" s="13" t="s">
        <v>12057</v>
      </c>
      <c r="C12269" s="14" t="s">
        <v>12092</v>
      </c>
      <c r="D12269" s="1"/>
      <c r="E12269" s="1"/>
      <c r="F12269" s="1" t="str">
        <f>IFERROR(__xludf.DUMMYFUNCTION("GOOGLETRANSLATE(B12269, ""en"", ""fa"")
"),"والدین آگاهانه")</f>
        <v>والدین آگاهانه</v>
      </c>
      <c r="G12269" s="1" t="str">
        <f>IFERROR(__xludf.DUMMYFUNCTION("GOOGLETRANSLATE(C12269, ""en"", ""fa"")
"),"در مورد مزایای تمرینات تنفس آگاهانه برای شما و فرزندتان فکر کنید.")</f>
        <v>در مورد مزایای تمرینات تنفس آگاهانه برای شما و فرزندتان فکر کنید.</v>
      </c>
      <c r="H12269" s="1"/>
      <c r="I12269" s="1"/>
      <c r="J12269" s="1"/>
      <c r="K12269" s="1"/>
      <c r="L12269" s="1"/>
      <c r="M12269" s="1"/>
      <c r="N12269" s="1"/>
      <c r="O12269" s="1"/>
      <c r="P12269" s="1"/>
      <c r="Q12269" s="1"/>
      <c r="R12269" s="1"/>
      <c r="S12269" s="1"/>
      <c r="T12269" s="1"/>
      <c r="U12269" s="1"/>
      <c r="V12269" s="1"/>
      <c r="W12269" s="1"/>
      <c r="X12269" s="1"/>
      <c r="Y12269" s="1"/>
      <c r="Z12269" s="1"/>
      <c r="AA12269" s="1"/>
      <c r="AB12269" s="1"/>
    </row>
    <row r="12270" ht="50.25" customHeight="1">
      <c r="A12270" s="12">
        <v>12266.0</v>
      </c>
      <c r="B12270" s="13" t="s">
        <v>12057</v>
      </c>
      <c r="C12270" s="14" t="s">
        <v>12093</v>
      </c>
      <c r="D12270" s="1"/>
      <c r="E12270" s="1"/>
      <c r="F12270" s="1" t="str">
        <f>IFERROR(__xludf.DUMMYFUNCTION("GOOGLETRANSLATE(B12270, ""en"", ""fa"")
"),"والدین آگاهانه")</f>
        <v>والدین آگاهانه</v>
      </c>
      <c r="G12270" s="1" t="str">
        <f>IFERROR(__xludf.DUMMYFUNCTION("GOOGLETRANSLATE(C12270, ""en"", ""fa"")
"),"یک فعالیت غذایی آگاهانه را که با فرزندتان انجام داده اید برای ایجاد عادات سالم توصیف کنید.")</f>
        <v>یک فعالیت غذایی آگاهانه را که با فرزندتان انجام داده اید برای ایجاد عادات سالم توصیف کنید.</v>
      </c>
      <c r="H12270" s="1"/>
      <c r="I12270" s="1"/>
      <c r="J12270" s="1"/>
      <c r="K12270" s="1"/>
      <c r="L12270" s="1"/>
      <c r="M12270" s="1"/>
      <c r="N12270" s="1"/>
      <c r="O12270" s="1"/>
      <c r="P12270" s="1"/>
      <c r="Q12270" s="1"/>
      <c r="R12270" s="1"/>
      <c r="S12270" s="1"/>
      <c r="T12270" s="1"/>
      <c r="U12270" s="1"/>
      <c r="V12270" s="1"/>
      <c r="W12270" s="1"/>
      <c r="X12270" s="1"/>
      <c r="Y12270" s="1"/>
      <c r="Z12270" s="1"/>
      <c r="AA12270" s="1"/>
      <c r="AB12270" s="1"/>
    </row>
    <row r="12271" ht="50.25" customHeight="1">
      <c r="A12271" s="12">
        <v>12267.0</v>
      </c>
      <c r="B12271" s="13" t="s">
        <v>12057</v>
      </c>
      <c r="C12271" s="14" t="s">
        <v>12094</v>
      </c>
      <c r="D12271" s="1"/>
      <c r="E12271" s="1"/>
      <c r="F12271" s="1" t="str">
        <f>IFERROR(__xludf.DUMMYFUNCTION("GOOGLETRANSLATE(B12271, ""en"", ""fa"")
"),"والدین آگاهانه")</f>
        <v>والدین آگاهانه</v>
      </c>
      <c r="G12271" s="1" t="str">
        <f>IFERROR(__xludf.DUMMYFUNCTION("GOOGLETRANSLATE(C12271, ""en"", ""fa"")
"),"در مورد اینکه چگونه تمرکز حواس به شما کمک کرده است که والدین صبورتر و حاضر باشید بنویسید.")</f>
        <v>در مورد اینکه چگونه تمرکز حواس به شما کمک کرده است که والدین صبورتر و حاضر باشید بنویسید.</v>
      </c>
      <c r="H12271" s="1"/>
      <c r="I12271" s="1"/>
      <c r="J12271" s="1"/>
      <c r="K12271" s="1"/>
      <c r="L12271" s="1"/>
      <c r="M12271" s="1"/>
      <c r="N12271" s="1"/>
      <c r="O12271" s="1"/>
      <c r="P12271" s="1"/>
      <c r="Q12271" s="1"/>
      <c r="R12271" s="1"/>
      <c r="S12271" s="1"/>
      <c r="T12271" s="1"/>
      <c r="U12271" s="1"/>
      <c r="V12271" s="1"/>
      <c r="W12271" s="1"/>
      <c r="X12271" s="1"/>
      <c r="Y12271" s="1"/>
      <c r="Z12271" s="1"/>
      <c r="AA12271" s="1"/>
      <c r="AB12271" s="1"/>
    </row>
    <row r="12272" ht="50.25" customHeight="1">
      <c r="A12272" s="12">
        <v>12268.0</v>
      </c>
      <c r="B12272" s="13" t="s">
        <v>12057</v>
      </c>
      <c r="C12272" s="14" t="s">
        <v>12095</v>
      </c>
      <c r="D12272" s="1"/>
      <c r="E12272" s="1"/>
      <c r="F12272" s="1" t="str">
        <f>IFERROR(__xludf.DUMMYFUNCTION("GOOGLETRANSLATE(B12272, ""en"", ""fa"")
"),"والدین آگاهانه")</f>
        <v>والدین آگاهانه</v>
      </c>
      <c r="G12272" s="1" t="str">
        <f>IFERROR(__xludf.DUMMYFUNCTION("GOOGLETRANSLATE(C12272, ""en"", ""fa"")
"),"بررسی کنید که چگونه ذهن آگاهی از هوش هیجانی و خودآگاهی کودک شما حمایت می کند.")</f>
        <v>بررسی کنید که چگونه ذهن آگاهی از هوش هیجانی و خودآگاهی کودک شما حمایت می کند.</v>
      </c>
      <c r="H12272" s="1"/>
      <c r="I12272" s="1"/>
      <c r="J12272" s="1"/>
      <c r="K12272" s="1"/>
      <c r="L12272" s="1"/>
      <c r="M12272" s="1"/>
      <c r="N12272" s="1"/>
      <c r="O12272" s="1"/>
      <c r="P12272" s="1"/>
      <c r="Q12272" s="1"/>
      <c r="R12272" s="1"/>
      <c r="S12272" s="1"/>
      <c r="T12272" s="1"/>
      <c r="U12272" s="1"/>
      <c r="V12272" s="1"/>
      <c r="W12272" s="1"/>
      <c r="X12272" s="1"/>
      <c r="Y12272" s="1"/>
      <c r="Z12272" s="1"/>
      <c r="AA12272" s="1"/>
      <c r="AB12272" s="1"/>
    </row>
    <row r="12273" ht="50.25" customHeight="1">
      <c r="A12273" s="12">
        <v>12269.0</v>
      </c>
      <c r="B12273" s="13" t="s">
        <v>12057</v>
      </c>
      <c r="C12273" s="14" t="s">
        <v>12096</v>
      </c>
      <c r="D12273" s="1"/>
      <c r="E12273" s="1"/>
      <c r="F12273" s="1" t="str">
        <f>IFERROR(__xludf.DUMMYFUNCTION("GOOGLETRANSLATE(B12273, ""en"", ""fa"")
"),"والدین آگاهانه")</f>
        <v>والدین آگاهانه</v>
      </c>
      <c r="G12273" s="1" t="str">
        <f>IFERROR(__xludf.DUMMYFUNCTION("GOOGLETRANSLATE(C12273, ""en"", ""fa"")
"),"تأثیر گوش دادن آگاهانه بر ارتباط خود با فرزندتان را در نظر بگیرید.")</f>
        <v>تأثیر گوش دادن آگاهانه بر ارتباط خود با فرزندتان را در نظر بگیرید.</v>
      </c>
      <c r="H12273" s="1"/>
      <c r="I12273" s="1"/>
      <c r="J12273" s="1"/>
      <c r="K12273" s="1"/>
      <c r="L12273" s="1"/>
      <c r="M12273" s="1"/>
      <c r="N12273" s="1"/>
      <c r="O12273" s="1"/>
      <c r="P12273" s="1"/>
      <c r="Q12273" s="1"/>
      <c r="R12273" s="1"/>
      <c r="S12273" s="1"/>
      <c r="T12273" s="1"/>
      <c r="U12273" s="1"/>
      <c r="V12273" s="1"/>
      <c r="W12273" s="1"/>
      <c r="X12273" s="1"/>
      <c r="Y12273" s="1"/>
      <c r="Z12273" s="1"/>
      <c r="AA12273" s="1"/>
      <c r="AB12273" s="1"/>
    </row>
    <row r="12274" ht="50.25" customHeight="1">
      <c r="A12274" s="12">
        <v>12270.0</v>
      </c>
      <c r="B12274" s="13" t="s">
        <v>12057</v>
      </c>
      <c r="C12274" s="14" t="s">
        <v>12097</v>
      </c>
      <c r="D12274" s="1"/>
      <c r="E12274" s="1"/>
      <c r="F12274" s="1" t="str">
        <f>IFERROR(__xludf.DUMMYFUNCTION("GOOGLETRANSLATE(B12274, ""en"", ""fa"")
"),"والدین آگاهانه")</f>
        <v>والدین آگاهانه</v>
      </c>
      <c r="G12274" s="1" t="str">
        <f>IFERROR(__xludf.DUMMYFUNCTION("GOOGLETRANSLATE(C12274, ""en"", ""fa"")
"),"یک پیاده روی آگاهانه در طبیعت را که با فرزندتان انجام داده اید، با توجه به زیبایی فضای باز توصیف کنید.")</f>
        <v>یک پیاده روی آگاهانه در طبیعت را که با فرزندتان انجام داده اید، با توجه به زیبایی فضای باز توصیف کنید.</v>
      </c>
      <c r="H12274" s="1"/>
      <c r="I12274" s="1"/>
      <c r="J12274" s="1"/>
      <c r="K12274" s="1"/>
      <c r="L12274" s="1"/>
      <c r="M12274" s="1"/>
      <c r="N12274" s="1"/>
      <c r="O12274" s="1"/>
      <c r="P12274" s="1"/>
      <c r="Q12274" s="1"/>
      <c r="R12274" s="1"/>
      <c r="S12274" s="1"/>
      <c r="T12274" s="1"/>
      <c r="U12274" s="1"/>
      <c r="V12274" s="1"/>
      <c r="W12274" s="1"/>
      <c r="X12274" s="1"/>
      <c r="Y12274" s="1"/>
      <c r="Z12274" s="1"/>
      <c r="AA12274" s="1"/>
      <c r="AB12274" s="1"/>
    </row>
    <row r="12275" ht="50.25" customHeight="1">
      <c r="A12275" s="12">
        <v>12271.0</v>
      </c>
      <c r="B12275" s="13" t="s">
        <v>12057</v>
      </c>
      <c r="C12275" s="14" t="s">
        <v>12098</v>
      </c>
      <c r="D12275" s="1"/>
      <c r="E12275" s="1"/>
      <c r="F12275" s="1" t="str">
        <f>IFERROR(__xludf.DUMMYFUNCTION("GOOGLETRANSLATE(B12275, ""en"", ""fa"")
"),"والدین آگاهانه")</f>
        <v>والدین آگاهانه</v>
      </c>
      <c r="G12275" s="1" t="str">
        <f>IFERROR(__xludf.DUMMYFUNCTION("GOOGLETRANSLATE(C12275, ""en"", ""fa"")
"),"در مورد نقش ذهن آگاهی در تعیین اهداف مثبت برای سفر والدین خود بنویسید.")</f>
        <v>در مورد نقش ذهن آگاهی در تعیین اهداف مثبت برای سفر والدین خود بنویسید.</v>
      </c>
      <c r="H12275" s="1"/>
      <c r="I12275" s="1"/>
      <c r="J12275" s="1"/>
      <c r="K12275" s="1"/>
      <c r="L12275" s="1"/>
      <c r="M12275" s="1"/>
      <c r="N12275" s="1"/>
      <c r="O12275" s="1"/>
      <c r="P12275" s="1"/>
      <c r="Q12275" s="1"/>
      <c r="R12275" s="1"/>
      <c r="S12275" s="1"/>
      <c r="T12275" s="1"/>
      <c r="U12275" s="1"/>
      <c r="V12275" s="1"/>
      <c r="W12275" s="1"/>
      <c r="X12275" s="1"/>
      <c r="Y12275" s="1"/>
      <c r="Z12275" s="1"/>
      <c r="AA12275" s="1"/>
      <c r="AB12275" s="1"/>
    </row>
    <row r="12276" ht="50.25" customHeight="1">
      <c r="A12276" s="12">
        <v>12272.0</v>
      </c>
      <c r="B12276" s="13" t="s">
        <v>12057</v>
      </c>
      <c r="C12276" s="14" t="s">
        <v>12099</v>
      </c>
      <c r="D12276" s="1"/>
      <c r="E12276" s="1"/>
      <c r="F12276" s="1" t="str">
        <f>IFERROR(__xludf.DUMMYFUNCTION("GOOGLETRANSLATE(B12276, ""en"", ""fa"")
"),"والدین آگاهانه")</f>
        <v>والدین آگاهانه</v>
      </c>
      <c r="G12276" s="1" t="str">
        <f>IFERROR(__xludf.DUMMYFUNCTION("GOOGLETRANSLATE(C12276, ""en"", ""fa"")
"),"مفهوم ""مکث های ذهنی"" و چگونگی کمک به شما در پاسخ به چالش های والدین را بررسی کنید.")</f>
        <v>مفهوم "مکث های ذهنی" و چگونگی کمک به شما در پاسخ به چالش های والدین را بررسی کنید.</v>
      </c>
      <c r="H12276" s="1"/>
      <c r="I12276" s="1"/>
      <c r="J12276" s="1"/>
      <c r="K12276" s="1"/>
      <c r="L12276" s="1"/>
      <c r="M12276" s="1"/>
      <c r="N12276" s="1"/>
      <c r="O12276" s="1"/>
      <c r="P12276" s="1"/>
      <c r="Q12276" s="1"/>
      <c r="R12276" s="1"/>
      <c r="S12276" s="1"/>
      <c r="T12276" s="1"/>
      <c r="U12276" s="1"/>
      <c r="V12276" s="1"/>
      <c r="W12276" s="1"/>
      <c r="X12276" s="1"/>
      <c r="Y12276" s="1"/>
      <c r="Z12276" s="1"/>
      <c r="AA12276" s="1"/>
      <c r="AB12276" s="1"/>
    </row>
    <row r="12277" ht="50.25" customHeight="1">
      <c r="A12277" s="12">
        <v>12273.0</v>
      </c>
      <c r="B12277" s="13" t="s">
        <v>12057</v>
      </c>
      <c r="C12277" s="14" t="s">
        <v>12100</v>
      </c>
      <c r="D12277" s="1"/>
      <c r="E12277" s="1"/>
      <c r="F12277" s="1" t="str">
        <f>IFERROR(__xludf.DUMMYFUNCTION("GOOGLETRANSLATE(B12277, ""en"", ""fa"")
"),"والدین آگاهانه")</f>
        <v>والدین آگاهانه</v>
      </c>
      <c r="G12277" s="1" t="str">
        <f>IFERROR(__xludf.DUMMYFUNCTION("GOOGLETRANSLATE(C12277, ""en"", ""fa"")
"),"به این فکر کنید که چگونه تمرکز حواس به شما کمک می کند تا لحظات کوچکی را که با فرزندتان دارید قدردانی کنید.")</f>
        <v>به این فکر کنید که چگونه تمرکز حواس به شما کمک می کند تا لحظات کوچکی را که با فرزندتان دارید قدردانی کنید.</v>
      </c>
      <c r="H12277" s="1"/>
      <c r="I12277" s="1"/>
      <c r="J12277" s="1"/>
      <c r="K12277" s="1"/>
      <c r="L12277" s="1"/>
      <c r="M12277" s="1"/>
      <c r="N12277" s="1"/>
      <c r="O12277" s="1"/>
      <c r="P12277" s="1"/>
      <c r="Q12277" s="1"/>
      <c r="R12277" s="1"/>
      <c r="S12277" s="1"/>
      <c r="T12277" s="1"/>
      <c r="U12277" s="1"/>
      <c r="V12277" s="1"/>
      <c r="W12277" s="1"/>
      <c r="X12277" s="1"/>
      <c r="Y12277" s="1"/>
      <c r="Z12277" s="1"/>
      <c r="AA12277" s="1"/>
      <c r="AB12277" s="1"/>
    </row>
    <row r="12278" ht="50.25" customHeight="1">
      <c r="A12278" s="12">
        <v>12274.0</v>
      </c>
      <c r="B12278" s="13" t="s">
        <v>12057</v>
      </c>
      <c r="C12278" s="14" t="s">
        <v>12101</v>
      </c>
      <c r="D12278" s="1"/>
      <c r="E12278" s="1"/>
      <c r="F12278" s="1" t="str">
        <f>IFERROR(__xludf.DUMMYFUNCTION("GOOGLETRANSLATE(B12278, ""en"", ""fa"")
"),"والدین آگاهانه")</f>
        <v>والدین آگاهانه</v>
      </c>
      <c r="G12278" s="1" t="str">
        <f>IFERROR(__xludf.DUMMYFUNCTION("GOOGLETRANSLATE(C12278, ""en"", ""fa"")
"),"یک روال قبل از خواب مبتنی بر ذهن آگاهی را توصیف کنید که باعث آرامش و خواب آرام می شود.")</f>
        <v>یک روال قبل از خواب مبتنی بر ذهن آگاهی را توصیف کنید که باعث آرامش و خواب آرام می شود.</v>
      </c>
      <c r="H12278" s="1"/>
      <c r="I12278" s="1"/>
      <c r="J12278" s="1"/>
      <c r="K12278" s="1"/>
      <c r="L12278" s="1"/>
      <c r="M12278" s="1"/>
      <c r="N12278" s="1"/>
      <c r="O12278" s="1"/>
      <c r="P12278" s="1"/>
      <c r="Q12278" s="1"/>
      <c r="R12278" s="1"/>
      <c r="S12278" s="1"/>
      <c r="T12278" s="1"/>
      <c r="U12278" s="1"/>
      <c r="V12278" s="1"/>
      <c r="W12278" s="1"/>
      <c r="X12278" s="1"/>
      <c r="Y12278" s="1"/>
      <c r="Z12278" s="1"/>
      <c r="AA12278" s="1"/>
      <c r="AB12278" s="1"/>
    </row>
    <row r="12279" ht="50.25" customHeight="1">
      <c r="A12279" s="12">
        <v>12275.0</v>
      </c>
      <c r="B12279" s="13" t="s">
        <v>12057</v>
      </c>
      <c r="C12279" s="14" t="s">
        <v>12102</v>
      </c>
      <c r="D12279" s="1"/>
      <c r="E12279" s="1"/>
      <c r="F12279" s="1" t="str">
        <f>IFERROR(__xludf.DUMMYFUNCTION("GOOGLETRANSLATE(B12279, ""en"", ""fa"")
"),"والدین آگاهانه")</f>
        <v>والدین آگاهانه</v>
      </c>
      <c r="G12279" s="1" t="str">
        <f>IFERROR(__xludf.DUMMYFUNCTION("GOOGLETRANSLATE(C12279, ""en"", ""fa"")
"),"در مورد مزایای زمان بازی ذهنی در پرورش خلاقیت و تخیل بنویسید.")</f>
        <v>در مورد مزایای زمان بازی ذهنی در پرورش خلاقیت و تخیل بنویسید.</v>
      </c>
      <c r="H12279" s="1"/>
      <c r="I12279" s="1"/>
      <c r="J12279" s="1"/>
      <c r="K12279" s="1"/>
      <c r="L12279" s="1"/>
      <c r="M12279" s="1"/>
      <c r="N12279" s="1"/>
      <c r="O12279" s="1"/>
      <c r="P12279" s="1"/>
      <c r="Q12279" s="1"/>
      <c r="R12279" s="1"/>
      <c r="S12279" s="1"/>
      <c r="T12279" s="1"/>
      <c r="U12279" s="1"/>
      <c r="V12279" s="1"/>
      <c r="W12279" s="1"/>
      <c r="X12279" s="1"/>
      <c r="Y12279" s="1"/>
      <c r="Z12279" s="1"/>
      <c r="AA12279" s="1"/>
      <c r="AB12279" s="1"/>
    </row>
    <row r="12280" ht="50.25" customHeight="1">
      <c r="A12280" s="12">
        <v>12276.0</v>
      </c>
      <c r="B12280" s="13" t="s">
        <v>12057</v>
      </c>
      <c r="C12280" s="14" t="s">
        <v>12103</v>
      </c>
      <c r="D12280" s="1"/>
      <c r="E12280" s="1"/>
      <c r="F12280" s="1" t="str">
        <f>IFERROR(__xludf.DUMMYFUNCTION("GOOGLETRANSLATE(B12280, ""en"", ""fa"")
"),"والدین آگاهانه")</f>
        <v>والدین آگاهانه</v>
      </c>
      <c r="G12280" s="1" t="str">
        <f>IFERROR(__xludf.DUMMYFUNCTION("GOOGLETRANSLATE(C12280, ""en"", ""fa"")
"),"بررسی کنید که چگونه ذهن آگاهی توانایی شما را برای حضور کامل در فعالیت های خانوادگی افزایش می دهد.")</f>
        <v>بررسی کنید که چگونه ذهن آگاهی توانایی شما را برای حضور کامل در فعالیت های خانوادگی افزایش می دهد.</v>
      </c>
      <c r="H12280" s="1"/>
      <c r="I12280" s="1"/>
      <c r="J12280" s="1"/>
      <c r="K12280" s="1"/>
      <c r="L12280" s="1"/>
      <c r="M12280" s="1"/>
      <c r="N12280" s="1"/>
      <c r="O12280" s="1"/>
      <c r="P12280" s="1"/>
      <c r="Q12280" s="1"/>
      <c r="R12280" s="1"/>
      <c r="S12280" s="1"/>
      <c r="T12280" s="1"/>
      <c r="U12280" s="1"/>
      <c r="V12280" s="1"/>
      <c r="W12280" s="1"/>
      <c r="X12280" s="1"/>
      <c r="Y12280" s="1"/>
      <c r="Z12280" s="1"/>
      <c r="AA12280" s="1"/>
      <c r="AB12280" s="1"/>
    </row>
    <row r="12281" ht="50.25" customHeight="1">
      <c r="A12281" s="12">
        <v>12277.0</v>
      </c>
      <c r="B12281" s="13" t="s">
        <v>12057</v>
      </c>
      <c r="C12281" s="14" t="s">
        <v>12104</v>
      </c>
      <c r="D12281" s="1"/>
      <c r="E12281" s="1"/>
      <c r="F12281" s="1" t="str">
        <f>IFERROR(__xludf.DUMMYFUNCTION("GOOGLETRANSLATE(B12281, ""en"", ""fa"")
"),"والدین آگاهانه")</f>
        <v>والدین آگاهانه</v>
      </c>
      <c r="G12281" s="1" t="str">
        <f>IFERROR(__xludf.DUMMYFUNCTION("GOOGLETRANSLATE(C12281, ""en"", ""fa"")
"),"در مورد نقش قدردانی در فرزندپروری آگاهانه و تأثیر آن بر پویایی خانواده تأمل کنید.")</f>
        <v>در مورد نقش قدردانی در فرزندپروری آگاهانه و تأثیر آن بر پویایی خانواده تأمل کنید.</v>
      </c>
      <c r="H12281" s="1"/>
      <c r="I12281" s="1"/>
      <c r="J12281" s="1"/>
      <c r="K12281" s="1"/>
      <c r="L12281" s="1"/>
      <c r="M12281" s="1"/>
      <c r="N12281" s="1"/>
      <c r="O12281" s="1"/>
      <c r="P12281" s="1"/>
      <c r="Q12281" s="1"/>
      <c r="R12281" s="1"/>
      <c r="S12281" s="1"/>
      <c r="T12281" s="1"/>
      <c r="U12281" s="1"/>
      <c r="V12281" s="1"/>
      <c r="W12281" s="1"/>
      <c r="X12281" s="1"/>
      <c r="Y12281" s="1"/>
      <c r="Z12281" s="1"/>
      <c r="AA12281" s="1"/>
      <c r="AB12281" s="1"/>
    </row>
    <row r="12282" ht="50.25" customHeight="1">
      <c r="A12282" s="12">
        <v>12278.0</v>
      </c>
      <c r="B12282" s="13" t="s">
        <v>12057</v>
      </c>
      <c r="C12282" s="14" t="s">
        <v>12105</v>
      </c>
      <c r="D12282" s="1"/>
      <c r="E12282" s="1"/>
      <c r="F12282" s="1" t="str">
        <f>IFERROR(__xludf.DUMMYFUNCTION("GOOGLETRANSLATE(B12282, ""en"", ""fa"")
"),"والدین آگاهانه")</f>
        <v>والدین آگاهانه</v>
      </c>
      <c r="G12282" s="1" t="str">
        <f>IFERROR(__xludf.DUMMYFUNCTION("GOOGLETRANSLATE(C12282, ""en"", ""fa"")
"),"یک تمرین یادداشت روزانه ذهنی را که شما و فرزندتان برای بیان احساسات انجام داده اید، شرح دهید.")</f>
        <v>یک تمرین یادداشت روزانه ذهنی را که شما و فرزندتان برای بیان احساسات انجام داده اید، شرح دهید.</v>
      </c>
      <c r="H12282" s="1"/>
      <c r="I12282" s="1"/>
      <c r="J12282" s="1"/>
      <c r="K12282" s="1"/>
      <c r="L12282" s="1"/>
      <c r="M12282" s="1"/>
      <c r="N12282" s="1"/>
      <c r="O12282" s="1"/>
      <c r="P12282" s="1"/>
      <c r="Q12282" s="1"/>
      <c r="R12282" s="1"/>
      <c r="S12282" s="1"/>
      <c r="T12282" s="1"/>
      <c r="U12282" s="1"/>
      <c r="V12282" s="1"/>
      <c r="W12282" s="1"/>
      <c r="X12282" s="1"/>
      <c r="Y12282" s="1"/>
      <c r="Z12282" s="1"/>
      <c r="AA12282" s="1"/>
      <c r="AB12282" s="1"/>
    </row>
    <row r="12283" ht="50.25" customHeight="1">
      <c r="A12283" s="12">
        <v>12279.0</v>
      </c>
      <c r="B12283" s="13" t="s">
        <v>12057</v>
      </c>
      <c r="C12283" s="14" t="s">
        <v>12106</v>
      </c>
      <c r="D12283" s="1"/>
      <c r="E12283" s="1"/>
      <c r="F12283" s="1" t="str">
        <f>IFERROR(__xludf.DUMMYFUNCTION("GOOGLETRANSLATE(B12283, ""en"", ""fa"")
"),"والدین آگاهانه")</f>
        <v>والدین آگاهانه</v>
      </c>
      <c r="G12283" s="1" t="str">
        <f>IFERROR(__xludf.DUMMYFUNCTION("GOOGLETRANSLATE(C12283, ""en"", ""fa"")
"),"در مورد تکنیک های ذهن آگاهی که برای مقابله با استرس والدین استفاده می کنید بنویسید.")</f>
        <v>در مورد تکنیک های ذهن آگاهی که برای مقابله با استرس والدین استفاده می کنید بنویسید.</v>
      </c>
      <c r="H12283" s="1"/>
      <c r="I12283" s="1"/>
      <c r="J12283" s="1"/>
      <c r="K12283" s="1"/>
      <c r="L12283" s="1"/>
      <c r="M12283" s="1"/>
      <c r="N12283" s="1"/>
      <c r="O12283" s="1"/>
      <c r="P12283" s="1"/>
      <c r="Q12283" s="1"/>
      <c r="R12283" s="1"/>
      <c r="S12283" s="1"/>
      <c r="T12283" s="1"/>
      <c r="U12283" s="1"/>
      <c r="V12283" s="1"/>
      <c r="W12283" s="1"/>
      <c r="X12283" s="1"/>
      <c r="Y12283" s="1"/>
      <c r="Z12283" s="1"/>
      <c r="AA12283" s="1"/>
      <c r="AB12283" s="1"/>
    </row>
    <row r="12284" ht="50.25" customHeight="1">
      <c r="A12284" s="12">
        <v>12280.0</v>
      </c>
      <c r="B12284" s="13" t="s">
        <v>12057</v>
      </c>
      <c r="C12284" s="14" t="s">
        <v>12107</v>
      </c>
      <c r="D12284" s="1"/>
      <c r="E12284" s="1"/>
      <c r="F12284" s="1" t="str">
        <f>IFERROR(__xludf.DUMMYFUNCTION("GOOGLETRANSLATE(B12284, ""en"", ""fa"")
"),"والدین آگاهانه")</f>
        <v>والدین آگاهانه</v>
      </c>
      <c r="G12284" s="1" t="str">
        <f>IFERROR(__xludf.DUMMYFUNCTION("GOOGLETRANSLATE(C12284, ""en"", ""fa"")
"),"مفهوم «زمان تماشای صفحه نمایش آگاهانه» و تأثیرات آن بر سلامت فرزندتان را بررسی کنید.")</f>
        <v>مفهوم «زمان تماشای صفحه نمایش آگاهانه» و تأثیرات آن بر سلامت فرزندتان را بررسی کنید.</v>
      </c>
      <c r="H12284" s="1"/>
      <c r="I12284" s="1"/>
      <c r="J12284" s="1"/>
      <c r="K12284" s="1"/>
      <c r="L12284" s="1"/>
      <c r="M12284" s="1"/>
      <c r="N12284" s="1"/>
      <c r="O12284" s="1"/>
      <c r="P12284" s="1"/>
      <c r="Q12284" s="1"/>
      <c r="R12284" s="1"/>
      <c r="S12284" s="1"/>
      <c r="T12284" s="1"/>
      <c r="U12284" s="1"/>
      <c r="V12284" s="1"/>
      <c r="W12284" s="1"/>
      <c r="X12284" s="1"/>
      <c r="Y12284" s="1"/>
      <c r="Z12284" s="1"/>
      <c r="AA12284" s="1"/>
      <c r="AB12284" s="1"/>
    </row>
    <row r="12285" ht="50.25" customHeight="1">
      <c r="A12285" s="12">
        <v>12281.0</v>
      </c>
      <c r="B12285" s="13" t="s">
        <v>12057</v>
      </c>
      <c r="C12285" s="14" t="s">
        <v>12108</v>
      </c>
      <c r="D12285" s="1"/>
      <c r="E12285" s="1"/>
      <c r="F12285" s="1" t="str">
        <f>IFERROR(__xludf.DUMMYFUNCTION("GOOGLETRANSLATE(B12285, ""en"", ""fa"")
"),"والدین آگاهانه")</f>
        <v>والدین آگاهانه</v>
      </c>
      <c r="G12285" s="1" t="str">
        <f>IFERROR(__xludf.DUMMYFUNCTION("GOOGLETRANSLATE(C12285, ""en"", ""fa"")
"),"به قدرت ذهن آگاهی در ایجاد انعطاف پذیری و سازگاری در کودک خود فکر کنید.")</f>
        <v>به قدرت ذهن آگاهی در ایجاد انعطاف پذیری و سازگاری در کودک خود فکر کنید.</v>
      </c>
      <c r="H12285" s="1"/>
      <c r="I12285" s="1"/>
      <c r="J12285" s="1"/>
      <c r="K12285" s="1"/>
      <c r="L12285" s="1"/>
      <c r="M12285" s="1"/>
      <c r="N12285" s="1"/>
      <c r="O12285" s="1"/>
      <c r="P12285" s="1"/>
      <c r="Q12285" s="1"/>
      <c r="R12285" s="1"/>
      <c r="S12285" s="1"/>
      <c r="T12285" s="1"/>
      <c r="U12285" s="1"/>
      <c r="V12285" s="1"/>
      <c r="W12285" s="1"/>
      <c r="X12285" s="1"/>
      <c r="Y12285" s="1"/>
      <c r="Z12285" s="1"/>
      <c r="AA12285" s="1"/>
      <c r="AB12285" s="1"/>
    </row>
    <row r="12286" ht="50.25" customHeight="1">
      <c r="A12286" s="12">
        <v>12282.0</v>
      </c>
      <c r="B12286" s="13" t="s">
        <v>12057</v>
      </c>
      <c r="C12286" s="14" t="s">
        <v>12109</v>
      </c>
      <c r="D12286" s="1"/>
      <c r="E12286" s="1"/>
      <c r="F12286" s="1" t="str">
        <f>IFERROR(__xludf.DUMMYFUNCTION("GOOGLETRANSLATE(B12286, ""en"", ""fa"")
"),"والدین آگاهانه")</f>
        <v>والدین آگاهانه</v>
      </c>
      <c r="G12286" s="1" t="str">
        <f>IFERROR(__xludf.DUMMYFUNCTION("GOOGLETRANSLATE(C12286, ""en"", ""fa"")
"),"با قدردانی از این فرآیند، یک فعالیت آماده سازی وعده غذایی آگاهانه را که با فرزندتان انجام داده اید، توصیف کنید.")</f>
        <v>با قدردانی از این فرآیند، یک فعالیت آماده سازی وعده غذایی آگاهانه را که با فرزندتان انجام داده اید، توصیف کنید.</v>
      </c>
      <c r="H12286" s="1"/>
      <c r="I12286" s="1"/>
      <c r="J12286" s="1"/>
      <c r="K12286" s="1"/>
      <c r="L12286" s="1"/>
      <c r="M12286" s="1"/>
      <c r="N12286" s="1"/>
      <c r="O12286" s="1"/>
      <c r="P12286" s="1"/>
      <c r="Q12286" s="1"/>
      <c r="R12286" s="1"/>
      <c r="S12286" s="1"/>
      <c r="T12286" s="1"/>
      <c r="U12286" s="1"/>
      <c r="V12286" s="1"/>
      <c r="W12286" s="1"/>
      <c r="X12286" s="1"/>
      <c r="Y12286" s="1"/>
      <c r="Z12286" s="1"/>
      <c r="AA12286" s="1"/>
      <c r="AB12286" s="1"/>
    </row>
    <row r="12287" ht="50.25" customHeight="1">
      <c r="A12287" s="12">
        <v>12283.0</v>
      </c>
      <c r="B12287" s="13" t="s">
        <v>12057</v>
      </c>
      <c r="C12287" s="14" t="s">
        <v>12110</v>
      </c>
      <c r="D12287" s="1"/>
      <c r="E12287" s="1"/>
      <c r="F12287" s="1" t="str">
        <f>IFERROR(__xludf.DUMMYFUNCTION("GOOGLETRANSLATE(B12287, ""en"", ""fa"")
"),"والدین آگاهانه")</f>
        <v>والدین آگاهانه</v>
      </c>
      <c r="G12287" s="1" t="str">
        <f>IFERROR(__xludf.DUMMYFUNCTION("GOOGLETRANSLATE(C12287, ""en"", ""fa"")
"),"در مورد اینکه چگونه تمرکز حواس به شما کمک می کند تا یک رویکرد والدینی مثبت و دلسوزانه را حفظ کنید بنویسید.")</f>
        <v>در مورد اینکه چگونه تمرکز حواس به شما کمک می کند تا یک رویکرد والدینی مثبت و دلسوزانه را حفظ کنید بنویسید.</v>
      </c>
      <c r="H12287" s="1"/>
      <c r="I12287" s="1"/>
      <c r="J12287" s="1"/>
      <c r="K12287" s="1"/>
      <c r="L12287" s="1"/>
      <c r="M12287" s="1"/>
      <c r="N12287" s="1"/>
      <c r="O12287" s="1"/>
      <c r="P12287" s="1"/>
      <c r="Q12287" s="1"/>
      <c r="R12287" s="1"/>
      <c r="S12287" s="1"/>
      <c r="T12287" s="1"/>
      <c r="U12287" s="1"/>
      <c r="V12287" s="1"/>
      <c r="W12287" s="1"/>
      <c r="X12287" s="1"/>
      <c r="Y12287" s="1"/>
      <c r="Z12287" s="1"/>
      <c r="AA12287" s="1"/>
      <c r="AB12287" s="1"/>
    </row>
    <row r="12288" ht="50.25" customHeight="1">
      <c r="A12288" s="12">
        <v>12284.0</v>
      </c>
      <c r="B12288" s="13" t="s">
        <v>12057</v>
      </c>
      <c r="C12288" s="14" t="s">
        <v>12111</v>
      </c>
      <c r="D12288" s="1"/>
      <c r="E12288" s="1"/>
      <c r="F12288" s="1" t="str">
        <f>IFERROR(__xludf.DUMMYFUNCTION("GOOGLETRANSLATE(B12288, ""en"", ""fa"")
"),"والدین آگاهانه")</f>
        <v>والدین آگاهانه</v>
      </c>
      <c r="G12288" s="1" t="str">
        <f>IFERROR(__xludf.DUMMYFUNCTION("GOOGLETRANSLATE(C12288, ""en"", ""fa"")
"),"بررسی کنید که چگونه ذهن آگاهی از تمرکز و توجه کودک شما در فعالیت های روزانه حمایت می کند.")</f>
        <v>بررسی کنید که چگونه ذهن آگاهی از تمرکز و توجه کودک شما در فعالیت های روزانه حمایت می کند.</v>
      </c>
      <c r="H12288" s="1"/>
      <c r="I12288" s="1"/>
      <c r="J12288" s="1"/>
      <c r="K12288" s="1"/>
      <c r="L12288" s="1"/>
      <c r="M12288" s="1"/>
      <c r="N12288" s="1"/>
      <c r="O12288" s="1"/>
      <c r="P12288" s="1"/>
      <c r="Q12288" s="1"/>
      <c r="R12288" s="1"/>
      <c r="S12288" s="1"/>
      <c r="T12288" s="1"/>
      <c r="U12288" s="1"/>
      <c r="V12288" s="1"/>
      <c r="W12288" s="1"/>
      <c r="X12288" s="1"/>
      <c r="Y12288" s="1"/>
      <c r="Z12288" s="1"/>
      <c r="AA12288" s="1"/>
      <c r="AB12288" s="1"/>
    </row>
    <row r="12289" ht="50.25" customHeight="1">
      <c r="A12289" s="12">
        <v>12285.0</v>
      </c>
      <c r="B12289" s="13" t="s">
        <v>12057</v>
      </c>
      <c r="C12289" s="14" t="s">
        <v>12112</v>
      </c>
      <c r="D12289" s="1"/>
      <c r="E12289" s="1"/>
      <c r="F12289" s="1" t="str">
        <f>IFERROR(__xludf.DUMMYFUNCTION("GOOGLETRANSLATE(B12289, ""en"", ""fa"")
"),"والدین آگاهانه")</f>
        <v>والدین آگاهانه</v>
      </c>
      <c r="G12289" s="1" t="str">
        <f>IFERROR(__xludf.DUMMYFUNCTION("GOOGLETRANSLATE(C12289, ""en"", ""fa"")
"),"در مورد فواید انتقال ذهنی برای انجام روتین های روزانه روان تر با فرزندتان فکر کنید.")</f>
        <v>در مورد فواید انتقال ذهنی برای انجام روتین های روزانه روان تر با فرزندتان فکر کنید.</v>
      </c>
      <c r="H12289" s="1"/>
      <c r="I12289" s="1"/>
      <c r="J12289" s="1"/>
      <c r="K12289" s="1"/>
      <c r="L12289" s="1"/>
      <c r="M12289" s="1"/>
      <c r="N12289" s="1"/>
      <c r="O12289" s="1"/>
      <c r="P12289" s="1"/>
      <c r="Q12289" s="1"/>
      <c r="R12289" s="1"/>
      <c r="S12289" s="1"/>
      <c r="T12289" s="1"/>
      <c r="U12289" s="1"/>
      <c r="V12289" s="1"/>
      <c r="W12289" s="1"/>
      <c r="X12289" s="1"/>
      <c r="Y12289" s="1"/>
      <c r="Z12289" s="1"/>
      <c r="AA12289" s="1"/>
      <c r="AB12289" s="1"/>
    </row>
    <row r="12290" ht="50.25" customHeight="1">
      <c r="A12290" s="12">
        <v>12286.0</v>
      </c>
      <c r="B12290" s="13" t="s">
        <v>12057</v>
      </c>
      <c r="C12290" s="14" t="s">
        <v>12113</v>
      </c>
      <c r="D12290" s="1"/>
      <c r="E12290" s="1"/>
      <c r="F12290" s="1" t="str">
        <f>IFERROR(__xludf.DUMMYFUNCTION("GOOGLETRANSLATE(B12290, ""en"", ""fa"")
"),"والدین آگاهانه")</f>
        <v>والدین آگاهانه</v>
      </c>
      <c r="G12290" s="1" t="str">
        <f>IFERROR(__xludf.DUMMYFUNCTION("GOOGLETRANSLATE(C12290, ""en"", ""fa"")
"),"یک فعالیت هنری مبتنی بر ذهن آگاهی را توصیف کنید که بیانگر خود را در کودک شما تشویق می کند.")</f>
        <v>یک فعالیت هنری مبتنی بر ذهن آگاهی را توصیف کنید که بیانگر خود را در کودک شما تشویق می کند.</v>
      </c>
      <c r="H12290" s="1"/>
      <c r="I12290" s="1"/>
      <c r="J12290" s="1"/>
      <c r="K12290" s="1"/>
      <c r="L12290" s="1"/>
      <c r="M12290" s="1"/>
      <c r="N12290" s="1"/>
      <c r="O12290" s="1"/>
      <c r="P12290" s="1"/>
      <c r="Q12290" s="1"/>
      <c r="R12290" s="1"/>
      <c r="S12290" s="1"/>
      <c r="T12290" s="1"/>
      <c r="U12290" s="1"/>
      <c r="V12290" s="1"/>
      <c r="W12290" s="1"/>
      <c r="X12290" s="1"/>
      <c r="Y12290" s="1"/>
      <c r="Z12290" s="1"/>
      <c r="AA12290" s="1"/>
      <c r="AB12290" s="1"/>
    </row>
    <row r="12291" ht="50.25" customHeight="1">
      <c r="A12291" s="12">
        <v>12287.0</v>
      </c>
      <c r="B12291" s="13" t="s">
        <v>12057</v>
      </c>
      <c r="C12291" s="14" t="s">
        <v>12114</v>
      </c>
      <c r="D12291" s="1"/>
      <c r="E12291" s="1"/>
      <c r="F12291" s="1" t="str">
        <f>IFERROR(__xludf.DUMMYFUNCTION("GOOGLETRANSLATE(B12291, ""en"", ""fa"")
"),"والدین آگاهانه")</f>
        <v>والدین آگاهانه</v>
      </c>
      <c r="G12291" s="1" t="str">
        <f>IFERROR(__xludf.DUMMYFUNCTION("GOOGLETRANSLATE(C12291, ""en"", ""fa"")
"),"در مورد اینکه چگونه گوش دادن آگاهانه ارتباط شما را با احساسات و افکار فرزندتان تقویت می کند، بنویسید.")</f>
        <v>در مورد اینکه چگونه گوش دادن آگاهانه ارتباط شما را با احساسات و افکار فرزندتان تقویت می کند، بنویسید.</v>
      </c>
      <c r="H12291" s="1"/>
      <c r="I12291" s="1"/>
      <c r="J12291" s="1"/>
      <c r="K12291" s="1"/>
      <c r="L12291" s="1"/>
      <c r="M12291" s="1"/>
      <c r="N12291" s="1"/>
      <c r="O12291" s="1"/>
      <c r="P12291" s="1"/>
      <c r="Q12291" s="1"/>
      <c r="R12291" s="1"/>
      <c r="S12291" s="1"/>
      <c r="T12291" s="1"/>
      <c r="U12291" s="1"/>
      <c r="V12291" s="1"/>
      <c r="W12291" s="1"/>
      <c r="X12291" s="1"/>
      <c r="Y12291" s="1"/>
      <c r="Z12291" s="1"/>
      <c r="AA12291" s="1"/>
      <c r="AB12291" s="1"/>
    </row>
    <row r="12292" ht="50.25" customHeight="1">
      <c r="A12292" s="12">
        <v>12288.0</v>
      </c>
      <c r="B12292" s="13" t="s">
        <v>12057</v>
      </c>
      <c r="C12292" s="14" t="s">
        <v>12115</v>
      </c>
      <c r="D12292" s="1"/>
      <c r="E12292" s="1"/>
      <c r="F12292" s="1" t="str">
        <f>IFERROR(__xludf.DUMMYFUNCTION("GOOGLETRANSLATE(B12292, ""en"", ""fa"")
"),"والدین آگاهانه")</f>
        <v>والدین آگاهانه</v>
      </c>
      <c r="G12292" s="1" t="str">
        <f>IFERROR(__xludf.DUMMYFUNCTION("GOOGLETRANSLATE(C12292, ""en"", ""fa"")
"),"نقش ذهن آگاهی را در تقویت نظم عاطفی در کودک خود بررسی کنید.")</f>
        <v>نقش ذهن آگاهی را در تقویت نظم عاطفی در کودک خود بررسی کنید.</v>
      </c>
      <c r="H12292" s="1"/>
      <c r="I12292" s="1"/>
      <c r="J12292" s="1"/>
      <c r="K12292" s="1"/>
      <c r="L12292" s="1"/>
      <c r="M12292" s="1"/>
      <c r="N12292" s="1"/>
      <c r="O12292" s="1"/>
      <c r="P12292" s="1"/>
      <c r="Q12292" s="1"/>
      <c r="R12292" s="1"/>
      <c r="S12292" s="1"/>
      <c r="T12292" s="1"/>
      <c r="U12292" s="1"/>
      <c r="V12292" s="1"/>
      <c r="W12292" s="1"/>
      <c r="X12292" s="1"/>
      <c r="Y12292" s="1"/>
      <c r="Z12292" s="1"/>
      <c r="AA12292" s="1"/>
      <c r="AB12292" s="1"/>
    </row>
    <row r="12293" ht="50.25" customHeight="1">
      <c r="A12293" s="12">
        <v>12289.0</v>
      </c>
      <c r="B12293" s="13" t="s">
        <v>12057</v>
      </c>
      <c r="C12293" s="14" t="s">
        <v>12116</v>
      </c>
      <c r="D12293" s="1"/>
      <c r="E12293" s="1"/>
      <c r="F12293" s="1" t="str">
        <f>IFERROR(__xludf.DUMMYFUNCTION("GOOGLETRANSLATE(B12293, ""en"", ""fa"")
"),"والدین آگاهانه")</f>
        <v>والدین آگاهانه</v>
      </c>
      <c r="G12293" s="1" t="str">
        <f>IFERROR(__xludf.DUMMYFUNCTION("GOOGLETRANSLATE(C12293, ""en"", ""fa"")
"),"در مورد تأثیرات مثبت ذهن آگاهی بر بهزیستی کلی فرزندتان فکر کنید.")</f>
        <v>در مورد تأثیرات مثبت ذهن آگاهی بر بهزیستی کلی فرزندتان فکر کنید.</v>
      </c>
      <c r="H12293" s="1"/>
      <c r="I12293" s="1"/>
      <c r="J12293" s="1"/>
      <c r="K12293" s="1"/>
      <c r="L12293" s="1"/>
      <c r="M12293" s="1"/>
      <c r="N12293" s="1"/>
      <c r="O12293" s="1"/>
      <c r="P12293" s="1"/>
      <c r="Q12293" s="1"/>
      <c r="R12293" s="1"/>
      <c r="S12293" s="1"/>
      <c r="T12293" s="1"/>
      <c r="U12293" s="1"/>
      <c r="V12293" s="1"/>
      <c r="W12293" s="1"/>
      <c r="X12293" s="1"/>
      <c r="Y12293" s="1"/>
      <c r="Z12293" s="1"/>
      <c r="AA12293" s="1"/>
      <c r="AB12293" s="1"/>
    </row>
    <row r="12294" ht="50.25" customHeight="1">
      <c r="A12294" s="12">
        <v>12290.0</v>
      </c>
      <c r="B12294" s="13" t="s">
        <v>12057</v>
      </c>
      <c r="C12294" s="14" t="s">
        <v>12117</v>
      </c>
      <c r="D12294" s="1"/>
      <c r="E12294" s="1"/>
      <c r="F12294" s="1" t="str">
        <f>IFERROR(__xludf.DUMMYFUNCTION("GOOGLETRANSLATE(B12294, ""en"", ""fa"")
"),"والدین آگاهانه")</f>
        <v>والدین آگاهانه</v>
      </c>
      <c r="G12294" s="1" t="str">
        <f>IFERROR(__xludf.DUMMYFUNCTION("GOOGLETRANSLATE(C12294, ""en"", ""fa"")
"),"یک ورزش آگاهانه یا تمرین یوگا را که شما و فرزندتان با هم از آن لذت می برید، توصیف کنید.")</f>
        <v>یک ورزش آگاهانه یا تمرین یوگا را که شما و فرزندتان با هم از آن لذت می برید، توصیف کنید.</v>
      </c>
      <c r="H12294" s="1"/>
      <c r="I12294" s="1"/>
      <c r="J12294" s="1"/>
      <c r="K12294" s="1"/>
      <c r="L12294" s="1"/>
      <c r="M12294" s="1"/>
      <c r="N12294" s="1"/>
      <c r="O12294" s="1"/>
      <c r="P12294" s="1"/>
      <c r="Q12294" s="1"/>
      <c r="R12294" s="1"/>
      <c r="S12294" s="1"/>
      <c r="T12294" s="1"/>
      <c r="U12294" s="1"/>
      <c r="V12294" s="1"/>
      <c r="W12294" s="1"/>
      <c r="X12294" s="1"/>
      <c r="Y12294" s="1"/>
      <c r="Z12294" s="1"/>
      <c r="AA12294" s="1"/>
      <c r="AB12294" s="1"/>
    </row>
    <row r="12295" ht="50.25" customHeight="1">
      <c r="A12295" s="12">
        <v>12291.0</v>
      </c>
      <c r="B12295" s="13" t="s">
        <v>12057</v>
      </c>
      <c r="C12295" s="14" t="s">
        <v>12118</v>
      </c>
      <c r="D12295" s="1"/>
      <c r="E12295" s="1"/>
      <c r="F12295" s="1" t="str">
        <f>IFERROR(__xludf.DUMMYFUNCTION("GOOGLETRANSLATE(B12295, ""en"", ""fa"")
"),"والدین آگاهانه")</f>
        <v>والدین آگاهانه</v>
      </c>
      <c r="G12295" s="1" t="str">
        <f>IFERROR(__xludf.DUMMYFUNCTION("GOOGLETRANSLATE(C12295, ""en"", ""fa"")
"),"در مورد اهمیت شفقت به خود در تربیت آگاهانه و الگوبرداری از آن برای فرزندتان بنویسید.")</f>
        <v>در مورد اهمیت شفقت به خود در تربیت آگاهانه و الگوبرداری از آن برای فرزندتان بنویسید.</v>
      </c>
      <c r="H12295" s="1"/>
      <c r="I12295" s="1"/>
      <c r="J12295" s="1"/>
      <c r="K12295" s="1"/>
      <c r="L12295" s="1"/>
      <c r="M12295" s="1"/>
      <c r="N12295" s="1"/>
      <c r="O12295" s="1"/>
      <c r="P12295" s="1"/>
      <c r="Q12295" s="1"/>
      <c r="R12295" s="1"/>
      <c r="S12295" s="1"/>
      <c r="T12295" s="1"/>
      <c r="U12295" s="1"/>
      <c r="V12295" s="1"/>
      <c r="W12295" s="1"/>
      <c r="X12295" s="1"/>
      <c r="Y12295" s="1"/>
      <c r="Z12295" s="1"/>
      <c r="AA12295" s="1"/>
      <c r="AB12295" s="1"/>
    </row>
    <row r="12296" ht="50.25" customHeight="1">
      <c r="A12296" s="12">
        <v>12292.0</v>
      </c>
      <c r="B12296" s="13" t="s">
        <v>12057</v>
      </c>
      <c r="C12296" s="14" t="s">
        <v>12119</v>
      </c>
      <c r="D12296" s="1"/>
      <c r="E12296" s="1"/>
      <c r="F12296" s="1" t="str">
        <f>IFERROR(__xludf.DUMMYFUNCTION("GOOGLETRANSLATE(B12296, ""en"", ""fa"")
"),"والدین آگاهانه")</f>
        <v>والدین آگاهانه</v>
      </c>
      <c r="G12296" s="1" t="str">
        <f>IFERROR(__xludf.DUMMYFUNCTION("GOOGLETRANSLATE(C12296, ""en"", ""fa"")
"),"بررسی کنید که چگونه ذهن آگاهی به شما کمک می کند در لحظات چالش برانگیز والدین حضور داشته باشید.")</f>
        <v>بررسی کنید که چگونه ذهن آگاهی به شما کمک می کند در لحظات چالش برانگیز والدین حضور داشته باشید.</v>
      </c>
      <c r="H12296" s="1"/>
      <c r="I12296" s="1"/>
      <c r="J12296" s="1"/>
      <c r="K12296" s="1"/>
      <c r="L12296" s="1"/>
      <c r="M12296" s="1"/>
      <c r="N12296" s="1"/>
      <c r="O12296" s="1"/>
      <c r="P12296" s="1"/>
      <c r="Q12296" s="1"/>
      <c r="R12296" s="1"/>
      <c r="S12296" s="1"/>
      <c r="T12296" s="1"/>
      <c r="U12296" s="1"/>
      <c r="V12296" s="1"/>
      <c r="W12296" s="1"/>
      <c r="X12296" s="1"/>
      <c r="Y12296" s="1"/>
      <c r="Z12296" s="1"/>
      <c r="AA12296" s="1"/>
      <c r="AB12296" s="1"/>
    </row>
    <row r="12297" ht="50.25" customHeight="1">
      <c r="A12297" s="12">
        <v>12293.0</v>
      </c>
      <c r="B12297" s="13" t="s">
        <v>12057</v>
      </c>
      <c r="C12297" s="14" t="s">
        <v>12120</v>
      </c>
      <c r="D12297" s="1"/>
      <c r="E12297" s="1"/>
      <c r="F12297" s="1" t="str">
        <f>IFERROR(__xludf.DUMMYFUNCTION("GOOGLETRANSLATE(B12297, ""en"", ""fa"")
"),"والدین آگاهانه")</f>
        <v>والدین آگاهانه</v>
      </c>
      <c r="G12297" s="1" t="str">
        <f>IFERROR(__xludf.DUMMYFUNCTION("GOOGLETRANSLATE(C12297, ""en"", ""fa"")
"),"در مورد تکنیک تنفس آگاهانه ای که به کودک خود یاد داده اید در هنگام احساس خستگی از آن استفاده کند فکر کنید.")</f>
        <v>در مورد تکنیک تنفس آگاهانه ای که به کودک خود یاد داده اید در هنگام احساس خستگی از آن استفاده کند فکر کنید.</v>
      </c>
      <c r="H12297" s="1"/>
      <c r="I12297" s="1"/>
      <c r="J12297" s="1"/>
      <c r="K12297" s="1"/>
      <c r="L12297" s="1"/>
      <c r="M12297" s="1"/>
      <c r="N12297" s="1"/>
      <c r="O12297" s="1"/>
      <c r="P12297" s="1"/>
      <c r="Q12297" s="1"/>
      <c r="R12297" s="1"/>
      <c r="S12297" s="1"/>
      <c r="T12297" s="1"/>
      <c r="U12297" s="1"/>
      <c r="V12297" s="1"/>
      <c r="W12297" s="1"/>
      <c r="X12297" s="1"/>
      <c r="Y12297" s="1"/>
      <c r="Z12297" s="1"/>
      <c r="AA12297" s="1"/>
      <c r="AB12297" s="1"/>
    </row>
    <row r="12298" ht="50.25" customHeight="1">
      <c r="A12298" s="12">
        <v>12294.0</v>
      </c>
      <c r="B12298" s="13" t="s">
        <v>12057</v>
      </c>
      <c r="C12298" s="14" t="s">
        <v>12121</v>
      </c>
      <c r="D12298" s="1"/>
      <c r="E12298" s="1"/>
      <c r="F12298" s="1" t="str">
        <f>IFERROR(__xludf.DUMMYFUNCTION("GOOGLETRANSLATE(B12298, ""en"", ""fa"")
"),"والدین آگاهانه")</f>
        <v>والدین آگاهانه</v>
      </c>
      <c r="G12298" s="1" t="str">
        <f>IFERROR(__xludf.DUMMYFUNCTION("GOOGLETRANSLATE(C12298, ""en"", ""fa"")
"),"یک فعالیت داستان سرایی آگاهانه را توصیف کنید که درس های ارزشمند زندگی را به فرزندتان می آموزد.")</f>
        <v>یک فعالیت داستان سرایی آگاهانه را توصیف کنید که درس های ارزشمند زندگی را به فرزندتان می آموزد.</v>
      </c>
      <c r="H12298" s="1"/>
      <c r="I12298" s="1"/>
      <c r="J12298" s="1"/>
      <c r="K12298" s="1"/>
      <c r="L12298" s="1"/>
      <c r="M12298" s="1"/>
      <c r="N12298" s="1"/>
      <c r="O12298" s="1"/>
      <c r="P12298" s="1"/>
      <c r="Q12298" s="1"/>
      <c r="R12298" s="1"/>
      <c r="S12298" s="1"/>
      <c r="T12298" s="1"/>
      <c r="U12298" s="1"/>
      <c r="V12298" s="1"/>
      <c r="W12298" s="1"/>
      <c r="X12298" s="1"/>
      <c r="Y12298" s="1"/>
      <c r="Z12298" s="1"/>
      <c r="AA12298" s="1"/>
      <c r="AB12298" s="1"/>
    </row>
    <row r="12299" ht="50.25" customHeight="1">
      <c r="A12299" s="12">
        <v>12295.0</v>
      </c>
      <c r="B12299" s="13" t="s">
        <v>12057</v>
      </c>
      <c r="C12299" s="14" t="s">
        <v>12122</v>
      </c>
      <c r="D12299" s="1"/>
      <c r="E12299" s="1"/>
      <c r="F12299" s="1" t="str">
        <f>IFERROR(__xludf.DUMMYFUNCTION("GOOGLETRANSLATE(B12299, ""en"", ""fa"")
"),"والدین آگاهانه")</f>
        <v>والدین آگاهانه</v>
      </c>
      <c r="G12299" s="1" t="str">
        <f>IFERROR(__xludf.DUMMYFUNCTION("GOOGLETRANSLATE(C12299, ""en"", ""fa"")
"),"در مورد مزایای تمرکز حواس در پرورش رابطه مثبت والدین و فرزند بنویسید.")</f>
        <v>در مورد مزایای تمرکز حواس در پرورش رابطه مثبت والدین و فرزند بنویسید.</v>
      </c>
      <c r="H12299" s="1"/>
      <c r="I12299" s="1"/>
      <c r="J12299" s="1"/>
      <c r="K12299" s="1"/>
      <c r="L12299" s="1"/>
      <c r="M12299" s="1"/>
      <c r="N12299" s="1"/>
      <c r="O12299" s="1"/>
      <c r="P12299" s="1"/>
      <c r="Q12299" s="1"/>
      <c r="R12299" s="1"/>
      <c r="S12299" s="1"/>
      <c r="T12299" s="1"/>
      <c r="U12299" s="1"/>
      <c r="V12299" s="1"/>
      <c r="W12299" s="1"/>
      <c r="X12299" s="1"/>
      <c r="Y12299" s="1"/>
      <c r="Z12299" s="1"/>
      <c r="AA12299" s="1"/>
      <c r="AB12299" s="1"/>
    </row>
    <row r="12300" ht="50.25" customHeight="1">
      <c r="A12300" s="12">
        <v>12296.0</v>
      </c>
      <c r="B12300" s="13" t="s">
        <v>12057</v>
      </c>
      <c r="C12300" s="14" t="s">
        <v>12123</v>
      </c>
      <c r="D12300" s="1"/>
      <c r="E12300" s="1"/>
      <c r="F12300" s="1" t="str">
        <f>IFERROR(__xludf.DUMMYFUNCTION("GOOGLETRANSLATE(B12300, ""en"", ""fa"")
"),"والدین آگاهانه")</f>
        <v>والدین آگاهانه</v>
      </c>
      <c r="G12300" s="1" t="str">
        <f>IFERROR(__xludf.DUMMYFUNCTION("GOOGLETRANSLATE(C12300, ""en"", ""fa"")
"),"بررسی کنید که چگونه ذهن آگاهی حس قدردانی و قدردانی فرزندتان را تقویت می کند.")</f>
        <v>بررسی کنید که چگونه ذهن آگاهی حس قدردانی و قدردانی فرزندتان را تقویت می کند.</v>
      </c>
      <c r="H12300" s="1"/>
      <c r="I12300" s="1"/>
      <c r="J12300" s="1"/>
      <c r="K12300" s="1"/>
      <c r="L12300" s="1"/>
      <c r="M12300" s="1"/>
      <c r="N12300" s="1"/>
      <c r="O12300" s="1"/>
      <c r="P12300" s="1"/>
      <c r="Q12300" s="1"/>
      <c r="R12300" s="1"/>
      <c r="S12300" s="1"/>
      <c r="T12300" s="1"/>
      <c r="U12300" s="1"/>
      <c r="V12300" s="1"/>
      <c r="W12300" s="1"/>
      <c r="X12300" s="1"/>
      <c r="Y12300" s="1"/>
      <c r="Z12300" s="1"/>
      <c r="AA12300" s="1"/>
      <c r="AB12300" s="1"/>
    </row>
    <row r="12301" ht="50.25" customHeight="1">
      <c r="A12301" s="12">
        <v>12297.0</v>
      </c>
      <c r="B12301" s="13" t="s">
        <v>12057</v>
      </c>
      <c r="C12301" s="14" t="s">
        <v>12124</v>
      </c>
      <c r="D12301" s="1"/>
      <c r="E12301" s="1"/>
      <c r="F12301" s="1" t="str">
        <f>IFERROR(__xludf.DUMMYFUNCTION("GOOGLETRANSLATE(B12301, ""en"", ""fa"")
"),"والدین آگاهانه")</f>
        <v>والدین آگاهانه</v>
      </c>
      <c r="G12301" s="1" t="str">
        <f>IFERROR(__xludf.DUMMYFUNCTION("GOOGLETRANSLATE(C12301, ""en"", ""fa"")
"),"به یک آیین خانوادگی مبتنی بر ذهن آگاهی فکر کنید که صلح و ارتباط را ترویج می کند.")</f>
        <v>به یک آیین خانوادگی مبتنی بر ذهن آگاهی فکر کنید که صلح و ارتباط را ترویج می کند.</v>
      </c>
      <c r="H12301" s="1"/>
      <c r="I12301" s="1"/>
      <c r="J12301" s="1"/>
      <c r="K12301" s="1"/>
      <c r="L12301" s="1"/>
      <c r="M12301" s="1"/>
      <c r="N12301" s="1"/>
      <c r="O12301" s="1"/>
      <c r="P12301" s="1"/>
      <c r="Q12301" s="1"/>
      <c r="R12301" s="1"/>
      <c r="S12301" s="1"/>
      <c r="T12301" s="1"/>
      <c r="U12301" s="1"/>
      <c r="V12301" s="1"/>
      <c r="W12301" s="1"/>
      <c r="X12301" s="1"/>
      <c r="Y12301" s="1"/>
      <c r="Z12301" s="1"/>
      <c r="AA12301" s="1"/>
      <c r="AB12301" s="1"/>
    </row>
    <row r="12302" ht="50.25" customHeight="1">
      <c r="A12302" s="12">
        <v>12298.0</v>
      </c>
      <c r="B12302" s="13" t="s">
        <v>12057</v>
      </c>
      <c r="C12302" s="14" t="s">
        <v>12125</v>
      </c>
      <c r="D12302" s="1"/>
      <c r="E12302" s="1"/>
      <c r="F12302" s="1" t="str">
        <f>IFERROR(__xludf.DUMMYFUNCTION("GOOGLETRANSLATE(B12302, ""en"", ""fa"")
"),"والدین آگاهانه")</f>
        <v>والدین آگاهانه</v>
      </c>
      <c r="G12302" s="1" t="str">
        <f>IFERROR(__xludf.DUMMYFUNCTION("GOOGLETRANSLATE(C12302, ""en"", ""fa"")
"),"یک تمرین مراقبه آگاهانه را که شما و فرزندتان در روز خود می گنجانید، توصیف کنید.")</f>
        <v>یک تمرین مراقبه آگاهانه را که شما و فرزندتان در روز خود می گنجانید، توصیف کنید.</v>
      </c>
      <c r="H12302" s="1"/>
      <c r="I12302" s="1"/>
      <c r="J12302" s="1"/>
      <c r="K12302" s="1"/>
      <c r="L12302" s="1"/>
      <c r="M12302" s="1"/>
      <c r="N12302" s="1"/>
      <c r="O12302" s="1"/>
      <c r="P12302" s="1"/>
      <c r="Q12302" s="1"/>
      <c r="R12302" s="1"/>
      <c r="S12302" s="1"/>
      <c r="T12302" s="1"/>
      <c r="U12302" s="1"/>
      <c r="V12302" s="1"/>
      <c r="W12302" s="1"/>
      <c r="X12302" s="1"/>
      <c r="Y12302" s="1"/>
      <c r="Z12302" s="1"/>
      <c r="AA12302" s="1"/>
      <c r="AB12302" s="1"/>
    </row>
    <row r="12303" ht="50.25" customHeight="1">
      <c r="A12303" s="12">
        <v>12299.0</v>
      </c>
      <c r="B12303" s="13" t="s">
        <v>12057</v>
      </c>
      <c r="C12303" s="14" t="s">
        <v>12126</v>
      </c>
      <c r="D12303" s="1"/>
      <c r="E12303" s="1"/>
      <c r="F12303" s="1" t="str">
        <f>IFERROR(__xludf.DUMMYFUNCTION("GOOGLETRANSLATE(B12303, ""en"", ""fa"")
"),"والدین آگاهانه")</f>
        <v>والدین آگاهانه</v>
      </c>
      <c r="G12303" s="1" t="str">
        <f>IFERROR(__xludf.DUMMYFUNCTION("GOOGLETRANSLATE(C12303, ""en"", ""fa"")
"),"در مورد نقش ذهن آگاهی در پرورش تاب آوری در زمان های سخت بنویسید.")</f>
        <v>در مورد نقش ذهن آگاهی در پرورش تاب آوری در زمان های سخت بنویسید.</v>
      </c>
      <c r="H12303" s="1"/>
      <c r="I12303" s="1"/>
      <c r="J12303" s="1"/>
      <c r="K12303" s="1"/>
      <c r="L12303" s="1"/>
      <c r="M12303" s="1"/>
      <c r="N12303" s="1"/>
      <c r="O12303" s="1"/>
      <c r="P12303" s="1"/>
      <c r="Q12303" s="1"/>
      <c r="R12303" s="1"/>
      <c r="S12303" s="1"/>
      <c r="T12303" s="1"/>
      <c r="U12303" s="1"/>
      <c r="V12303" s="1"/>
      <c r="W12303" s="1"/>
      <c r="X12303" s="1"/>
      <c r="Y12303" s="1"/>
      <c r="Z12303" s="1"/>
      <c r="AA12303" s="1"/>
      <c r="AB12303" s="1"/>
    </row>
    <row r="12304" ht="50.25" customHeight="1">
      <c r="A12304" s="12">
        <v>12300.0</v>
      </c>
      <c r="B12304" s="13" t="s">
        <v>12057</v>
      </c>
      <c r="C12304" s="14" t="s">
        <v>12127</v>
      </c>
      <c r="D12304" s="1"/>
      <c r="E12304" s="1"/>
      <c r="F12304" s="1" t="str">
        <f>IFERROR(__xludf.DUMMYFUNCTION("GOOGLETRANSLATE(B12304, ""en"", ""fa"")
"),"والدین آگاهانه")</f>
        <v>والدین آگاهانه</v>
      </c>
      <c r="G12304" s="1" t="str">
        <f>IFERROR(__xludf.DUMMYFUNCTION("GOOGLETRANSLATE(C12304, ""en"", ""fa"")
"),"بررسی کنید که چگونه ذهن آگاهی از اعتماد به نفس و عزت نفس کودک شما حمایت می کند.")</f>
        <v>بررسی کنید که چگونه ذهن آگاهی از اعتماد به نفس و عزت نفس کودک شما حمایت می کند.</v>
      </c>
      <c r="H12304" s="1"/>
      <c r="I12304" s="1"/>
      <c r="J12304" s="1"/>
      <c r="K12304" s="1"/>
      <c r="L12304" s="1"/>
      <c r="M12304" s="1"/>
      <c r="N12304" s="1"/>
      <c r="O12304" s="1"/>
      <c r="P12304" s="1"/>
      <c r="Q12304" s="1"/>
      <c r="R12304" s="1"/>
      <c r="S12304" s="1"/>
      <c r="T12304" s="1"/>
      <c r="U12304" s="1"/>
      <c r="V12304" s="1"/>
      <c r="W12304" s="1"/>
      <c r="X12304" s="1"/>
      <c r="Y12304" s="1"/>
      <c r="Z12304" s="1"/>
      <c r="AA12304" s="1"/>
      <c r="AB12304" s="1"/>
    </row>
    <row r="12305" ht="50.25" customHeight="1">
      <c r="A12305" s="12">
        <v>12301.0</v>
      </c>
      <c r="B12305" s="13" t="s">
        <v>12057</v>
      </c>
      <c r="C12305" s="14" t="s">
        <v>12128</v>
      </c>
      <c r="D12305" s="1"/>
      <c r="E12305" s="1"/>
      <c r="F12305" s="1" t="str">
        <f>IFERROR(__xludf.DUMMYFUNCTION("GOOGLETRANSLATE(B12305, ""en"", ""fa"")
"),"والدین آگاهانه")</f>
        <v>والدین آگاهانه</v>
      </c>
      <c r="G12305" s="1" t="str">
        <f>IFERROR(__xludf.DUMMYFUNCTION("GOOGLETRANSLATE(C12305, ""en"", ""fa"")
"),"به تأثیر مثبت بازی ذهنی بر تعاملات اجتماعی فرزندتان فکر کنید.")</f>
        <v>به تأثیر مثبت بازی ذهنی بر تعاملات اجتماعی فرزندتان فکر کنید.</v>
      </c>
      <c r="H12305" s="1"/>
      <c r="I12305" s="1"/>
      <c r="J12305" s="1"/>
      <c r="K12305" s="1"/>
      <c r="L12305" s="1"/>
      <c r="M12305" s="1"/>
      <c r="N12305" s="1"/>
      <c r="O12305" s="1"/>
      <c r="P12305" s="1"/>
      <c r="Q12305" s="1"/>
      <c r="R12305" s="1"/>
      <c r="S12305" s="1"/>
      <c r="T12305" s="1"/>
      <c r="U12305" s="1"/>
      <c r="V12305" s="1"/>
      <c r="W12305" s="1"/>
      <c r="X12305" s="1"/>
      <c r="Y12305" s="1"/>
      <c r="Z12305" s="1"/>
      <c r="AA12305" s="1"/>
      <c r="AB12305" s="1"/>
    </row>
    <row r="12306" ht="50.25" customHeight="1">
      <c r="A12306" s="12">
        <v>12302.0</v>
      </c>
      <c r="B12306" s="13" t="s">
        <v>12057</v>
      </c>
      <c r="C12306" s="14" t="s">
        <v>12129</v>
      </c>
      <c r="D12306" s="1"/>
      <c r="E12306" s="1"/>
      <c r="F12306" s="1" t="str">
        <f>IFERROR(__xludf.DUMMYFUNCTION("GOOGLETRANSLATE(B12306, ""en"", ""fa"")
"),"والدین آگاهانه")</f>
        <v>والدین آگاهانه</v>
      </c>
      <c r="G12306" s="1" t="str">
        <f>IFERROR(__xludf.DUMMYFUNCTION("GOOGLETRANSLATE(C12306, ""en"", ""fa"")
"),"یک تکنیک تنفس آگاهانه را توصیف کنید که به شما و فرزندتان کمک می کند تا آرام و آرام شوید.")</f>
        <v>یک تکنیک تنفس آگاهانه را توصیف کنید که به شما و فرزندتان کمک می کند تا آرام و آرام شوید.</v>
      </c>
      <c r="H12306" s="1"/>
      <c r="I12306" s="1"/>
      <c r="J12306" s="1"/>
      <c r="K12306" s="1"/>
      <c r="L12306" s="1"/>
      <c r="M12306" s="1"/>
      <c r="N12306" s="1"/>
      <c r="O12306" s="1"/>
      <c r="P12306" s="1"/>
      <c r="Q12306" s="1"/>
      <c r="R12306" s="1"/>
      <c r="S12306" s="1"/>
      <c r="T12306" s="1"/>
      <c r="U12306" s="1"/>
      <c r="V12306" s="1"/>
      <c r="W12306" s="1"/>
      <c r="X12306" s="1"/>
      <c r="Y12306" s="1"/>
      <c r="Z12306" s="1"/>
      <c r="AA12306" s="1"/>
      <c r="AB12306" s="1"/>
    </row>
    <row r="12307" ht="50.25" customHeight="1">
      <c r="A12307" s="12">
        <v>12303.0</v>
      </c>
      <c r="B12307" s="13" t="s">
        <v>12057</v>
      </c>
      <c r="C12307" s="14" t="s">
        <v>12130</v>
      </c>
      <c r="D12307" s="1"/>
      <c r="E12307" s="1"/>
      <c r="F12307" s="1" t="str">
        <f>IFERROR(__xludf.DUMMYFUNCTION("GOOGLETRANSLATE(B12307, ""en"", ""fa"")
"),"والدین آگاهانه")</f>
        <v>والدین آگاهانه</v>
      </c>
      <c r="G12307" s="1" t="str">
        <f>IFERROR(__xludf.DUMMYFUNCTION("GOOGLETRANSLATE(C12307, ""en"", ""fa"")
"),"در مورد اینکه چگونه ذهن آگاهی توانایی شما را برای داشتن والدینی دلسوز و فهمیده افزایش می دهد بنویسید.")</f>
        <v>در مورد اینکه چگونه ذهن آگاهی توانایی شما را برای داشتن والدینی دلسوز و فهمیده افزایش می دهد بنویسید.</v>
      </c>
      <c r="H12307" s="1"/>
      <c r="I12307" s="1"/>
      <c r="J12307" s="1"/>
      <c r="K12307" s="1"/>
      <c r="L12307" s="1"/>
      <c r="M12307" s="1"/>
      <c r="N12307" s="1"/>
      <c r="O12307" s="1"/>
      <c r="P12307" s="1"/>
      <c r="Q12307" s="1"/>
      <c r="R12307" s="1"/>
      <c r="S12307" s="1"/>
      <c r="T12307" s="1"/>
      <c r="U12307" s="1"/>
      <c r="V12307" s="1"/>
      <c r="W12307" s="1"/>
      <c r="X12307" s="1"/>
      <c r="Y12307" s="1"/>
      <c r="Z12307" s="1"/>
      <c r="AA12307" s="1"/>
      <c r="AB12307" s="1"/>
    </row>
    <row r="12308" ht="50.25" customHeight="1">
      <c r="A12308" s="12">
        <v>12304.0</v>
      </c>
      <c r="B12308" s="13" t="s">
        <v>12057</v>
      </c>
      <c r="C12308" s="14" t="s">
        <v>12131</v>
      </c>
      <c r="D12308" s="1"/>
      <c r="E12308" s="1"/>
      <c r="F12308" s="1" t="str">
        <f>IFERROR(__xludf.DUMMYFUNCTION("GOOGLETRANSLATE(B12308, ""en"", ""fa"")
"),"والدین آگاهانه")</f>
        <v>والدین آگاهانه</v>
      </c>
      <c r="G12308" s="1" t="str">
        <f>IFERROR(__xludf.DUMMYFUNCTION("GOOGLETRANSLATE(C12308, ""en"", ""fa"")
"),"مزایای گنجاندن ذهن آگاهی در فعالیت های آموزشی با فرزندتان را بررسی کنید.")</f>
        <v>مزایای گنجاندن ذهن آگاهی در فعالیت های آموزشی با فرزندتان را بررسی کنید.</v>
      </c>
      <c r="H12308" s="1"/>
      <c r="I12308" s="1"/>
      <c r="J12308" s="1"/>
      <c r="K12308" s="1"/>
      <c r="L12308" s="1"/>
      <c r="M12308" s="1"/>
      <c r="N12308" s="1"/>
      <c r="O12308" s="1"/>
      <c r="P12308" s="1"/>
      <c r="Q12308" s="1"/>
      <c r="R12308" s="1"/>
      <c r="S12308" s="1"/>
      <c r="T12308" s="1"/>
      <c r="U12308" s="1"/>
      <c r="V12308" s="1"/>
      <c r="W12308" s="1"/>
      <c r="X12308" s="1"/>
      <c r="Y12308" s="1"/>
      <c r="Z12308" s="1"/>
      <c r="AA12308" s="1"/>
      <c r="AB12308" s="1"/>
    </row>
    <row r="12309" ht="50.25" customHeight="1">
      <c r="A12309" s="12">
        <v>12305.0</v>
      </c>
      <c r="B12309" s="13" t="s">
        <v>12057</v>
      </c>
      <c r="C12309" s="14" t="s">
        <v>12132</v>
      </c>
      <c r="D12309" s="1"/>
      <c r="E12309" s="1"/>
      <c r="F12309" s="1" t="str">
        <f>IFERROR(__xludf.DUMMYFUNCTION("GOOGLETRANSLATE(B12309, ""en"", ""fa"")
"),"والدین آگاهانه")</f>
        <v>والدین آگاهانه</v>
      </c>
      <c r="G12309" s="1" t="str">
        <f>IFERROR(__xludf.DUMMYFUNCTION("GOOGLETRANSLATE(C12309, ""en"", ""fa"")
"),"در مورد نقش ذهن آگاهی در کمک به فرزندتان در مدیریت احساسات خود در دوران گذار فکر کنید.")</f>
        <v>در مورد نقش ذهن آگاهی در کمک به فرزندتان در مدیریت احساسات خود در دوران گذار فکر کنید.</v>
      </c>
      <c r="H12309" s="1"/>
      <c r="I12309" s="1"/>
      <c r="J12309" s="1"/>
      <c r="K12309" s="1"/>
      <c r="L12309" s="1"/>
      <c r="M12309" s="1"/>
      <c r="N12309" s="1"/>
      <c r="O12309" s="1"/>
      <c r="P12309" s="1"/>
      <c r="Q12309" s="1"/>
      <c r="R12309" s="1"/>
      <c r="S12309" s="1"/>
      <c r="T12309" s="1"/>
      <c r="U12309" s="1"/>
      <c r="V12309" s="1"/>
      <c r="W12309" s="1"/>
      <c r="X12309" s="1"/>
      <c r="Y12309" s="1"/>
      <c r="Z12309" s="1"/>
      <c r="AA12309" s="1"/>
      <c r="AB12309" s="1"/>
    </row>
    <row r="12310" ht="50.25" customHeight="1">
      <c r="A12310" s="12">
        <v>12306.0</v>
      </c>
      <c r="B12310" s="13" t="s">
        <v>12057</v>
      </c>
      <c r="C12310" s="14" t="s">
        <v>12133</v>
      </c>
      <c r="D12310" s="1"/>
      <c r="E12310" s="1"/>
      <c r="F12310" s="1" t="str">
        <f>IFERROR(__xludf.DUMMYFUNCTION("GOOGLETRANSLATE(B12310, ""en"", ""fa"")
"),"والدین آگاهانه")</f>
        <v>والدین آگاهانه</v>
      </c>
      <c r="G12310" s="1" t="str">
        <f>IFERROR(__xludf.DUMMYFUNCTION("GOOGLETRANSLATE(C12310, ""en"", ""fa"")
"),"یک تمرین مبتنی بر ذهن آگاهی را توصیف کنید که قدردانی و قدردانی را در خانواده شما تشویق می کند.")</f>
        <v>یک تمرین مبتنی بر ذهن آگاهی را توصیف کنید که قدردانی و قدردانی را در خانواده شما تشویق می کند.</v>
      </c>
      <c r="H12310" s="1"/>
      <c r="I12310" s="1"/>
      <c r="J12310" s="1"/>
      <c r="K12310" s="1"/>
      <c r="L12310" s="1"/>
      <c r="M12310" s="1"/>
      <c r="N12310" s="1"/>
      <c r="O12310" s="1"/>
      <c r="P12310" s="1"/>
      <c r="Q12310" s="1"/>
      <c r="R12310" s="1"/>
      <c r="S12310" s="1"/>
      <c r="T12310" s="1"/>
      <c r="U12310" s="1"/>
      <c r="V12310" s="1"/>
      <c r="W12310" s="1"/>
      <c r="X12310" s="1"/>
      <c r="Y12310" s="1"/>
      <c r="Z12310" s="1"/>
      <c r="AA12310" s="1"/>
      <c r="AB12310" s="1"/>
    </row>
    <row r="12311" ht="50.25" customHeight="1">
      <c r="A12311" s="12">
        <v>12307.0</v>
      </c>
      <c r="B12311" s="13" t="s">
        <v>12057</v>
      </c>
      <c r="C12311" s="14" t="s">
        <v>12134</v>
      </c>
      <c r="D12311" s="1"/>
      <c r="E12311" s="1"/>
      <c r="F12311" s="1" t="str">
        <f>IFERROR(__xludf.DUMMYFUNCTION("GOOGLETRANSLATE(B12311, ""en"", ""fa"")
"),"والدین آگاهانه")</f>
        <v>والدین آگاهانه</v>
      </c>
      <c r="G12311" s="1" t="str">
        <f>IFERROR(__xludf.DUMMYFUNCTION("GOOGLETRANSLATE(C12311, ""en"", ""fa"")
"),"در مورد قدرت ذهن آگاهی در ساختن یک محیط خانواده پرور و حمایت کننده بنویسید.")</f>
        <v>در مورد قدرت ذهن آگاهی در ساختن یک محیط خانواده پرور و حمایت کننده بنویسید.</v>
      </c>
      <c r="H12311" s="1"/>
      <c r="I12311" s="1"/>
      <c r="J12311" s="1"/>
      <c r="K12311" s="1"/>
      <c r="L12311" s="1"/>
      <c r="M12311" s="1"/>
      <c r="N12311" s="1"/>
      <c r="O12311" s="1"/>
      <c r="P12311" s="1"/>
      <c r="Q12311" s="1"/>
      <c r="R12311" s="1"/>
      <c r="S12311" s="1"/>
      <c r="T12311" s="1"/>
      <c r="U12311" s="1"/>
      <c r="V12311" s="1"/>
      <c r="W12311" s="1"/>
      <c r="X12311" s="1"/>
      <c r="Y12311" s="1"/>
      <c r="Z12311" s="1"/>
      <c r="AA12311" s="1"/>
      <c r="AB12311" s="1"/>
    </row>
    <row r="12312" ht="50.25" customHeight="1">
      <c r="A12312" s="12">
        <v>12308.0</v>
      </c>
      <c r="B12312" s="13" t="s">
        <v>12057</v>
      </c>
      <c r="C12312" s="14" t="s">
        <v>12135</v>
      </c>
      <c r="D12312" s="1"/>
      <c r="E12312" s="1"/>
      <c r="F12312" s="1" t="str">
        <f>IFERROR(__xludf.DUMMYFUNCTION("GOOGLETRANSLATE(B12312, ""en"", ""fa"")
"),"والدین آگاهانه")</f>
        <v>والدین آگاهانه</v>
      </c>
      <c r="G12312" s="1" t="str">
        <f>IFERROR(__xludf.DUMMYFUNCTION("GOOGLETRANSLATE(C12312, ""en"", ""fa"")
"),"بررسی کنید که چگونه تمرکز حواس به شما کمک می کند تا بیشتر با نیازها و احساسات کودک خود هماهنگ شوید.")</f>
        <v>بررسی کنید که چگونه تمرکز حواس به شما کمک می کند تا بیشتر با نیازها و احساسات کودک خود هماهنگ شوید.</v>
      </c>
      <c r="H12312" s="1"/>
      <c r="I12312" s="1"/>
      <c r="J12312" s="1"/>
      <c r="K12312" s="1"/>
      <c r="L12312" s="1"/>
      <c r="M12312" s="1"/>
      <c r="N12312" s="1"/>
      <c r="O12312" s="1"/>
      <c r="P12312" s="1"/>
      <c r="Q12312" s="1"/>
      <c r="R12312" s="1"/>
      <c r="S12312" s="1"/>
      <c r="T12312" s="1"/>
      <c r="U12312" s="1"/>
      <c r="V12312" s="1"/>
      <c r="W12312" s="1"/>
      <c r="X12312" s="1"/>
      <c r="Y12312" s="1"/>
      <c r="Z12312" s="1"/>
      <c r="AA12312" s="1"/>
      <c r="AB12312" s="1"/>
    </row>
    <row r="12313" ht="50.25" customHeight="1">
      <c r="A12313" s="12">
        <v>12309.0</v>
      </c>
      <c r="B12313" s="13" t="s">
        <v>12057</v>
      </c>
      <c r="C12313" s="14" t="s">
        <v>12136</v>
      </c>
      <c r="D12313" s="1"/>
      <c r="E12313" s="1"/>
      <c r="F12313" s="1" t="str">
        <f>IFERROR(__xludf.DUMMYFUNCTION("GOOGLETRANSLATE(B12313, ""en"", ""fa"")
"),"والدین آگاهانه")</f>
        <v>والدین آگاهانه</v>
      </c>
      <c r="G12313" s="1" t="str">
        <f>IFERROR(__xludf.DUMMYFUNCTION("GOOGLETRANSLATE(C12313, ""en"", ""fa"")
"),"در مورد تأثیرات مثبت ذهن آگاهی بر توانایی کودک خود برای تمرکز و تمرکز فکر کنید.")</f>
        <v>در مورد تأثیرات مثبت ذهن آگاهی بر توانایی کودک خود برای تمرکز و تمرکز فکر کنید.</v>
      </c>
      <c r="H12313" s="1"/>
      <c r="I12313" s="1"/>
      <c r="J12313" s="1"/>
      <c r="K12313" s="1"/>
      <c r="L12313" s="1"/>
      <c r="M12313" s="1"/>
      <c r="N12313" s="1"/>
      <c r="O12313" s="1"/>
      <c r="P12313" s="1"/>
      <c r="Q12313" s="1"/>
      <c r="R12313" s="1"/>
      <c r="S12313" s="1"/>
      <c r="T12313" s="1"/>
      <c r="U12313" s="1"/>
      <c r="V12313" s="1"/>
      <c r="W12313" s="1"/>
      <c r="X12313" s="1"/>
      <c r="Y12313" s="1"/>
      <c r="Z12313" s="1"/>
      <c r="AA12313" s="1"/>
      <c r="AB12313" s="1"/>
    </row>
    <row r="12314" ht="50.25" customHeight="1">
      <c r="A12314" s="12">
        <v>12310.0</v>
      </c>
      <c r="B12314" s="13" t="s">
        <v>12057</v>
      </c>
      <c r="C12314" s="14" t="s">
        <v>12137</v>
      </c>
      <c r="D12314" s="1"/>
      <c r="E12314" s="1"/>
      <c r="F12314" s="1" t="str">
        <f>IFERROR(__xludf.DUMMYFUNCTION("GOOGLETRANSLATE(B12314, ""en"", ""fa"")
"),"والدین آگاهانه")</f>
        <v>والدین آگاهانه</v>
      </c>
      <c r="G12314" s="1" t="str">
        <f>IFERROR(__xludf.DUMMYFUNCTION("GOOGLETRANSLATE(C12314, ""en"", ""fa"")
"),"یک فعالیت حرکتی آگاهانه را که با کودک خود انجام می دهید تا فعال و حاضر بمانید، توصیف کنید.")</f>
        <v>یک فعالیت حرکتی آگاهانه را که با کودک خود انجام می دهید تا فعال و حاضر بمانید، توصیف کنید.</v>
      </c>
      <c r="H12314" s="1"/>
      <c r="I12314" s="1"/>
      <c r="J12314" s="1"/>
      <c r="K12314" s="1"/>
      <c r="L12314" s="1"/>
      <c r="M12314" s="1"/>
      <c r="N12314" s="1"/>
      <c r="O12314" s="1"/>
      <c r="P12314" s="1"/>
      <c r="Q12314" s="1"/>
      <c r="R12314" s="1"/>
      <c r="S12314" s="1"/>
      <c r="T12314" s="1"/>
      <c r="U12314" s="1"/>
      <c r="V12314" s="1"/>
      <c r="W12314" s="1"/>
      <c r="X12314" s="1"/>
      <c r="Y12314" s="1"/>
      <c r="Z12314" s="1"/>
      <c r="AA12314" s="1"/>
      <c r="AB12314" s="1"/>
    </row>
    <row r="12315" ht="50.25" customHeight="1">
      <c r="A12315" s="12">
        <v>12311.0</v>
      </c>
      <c r="B12315" s="13" t="s">
        <v>12057</v>
      </c>
      <c r="C12315" s="14" t="s">
        <v>12138</v>
      </c>
      <c r="D12315" s="1"/>
      <c r="E12315" s="1"/>
      <c r="F12315" s="1" t="str">
        <f>IFERROR(__xludf.DUMMYFUNCTION("GOOGLETRANSLATE(B12315, ""en"", ""fa"")
"),"والدین آگاهانه")</f>
        <v>والدین آگاهانه</v>
      </c>
      <c r="G12315" s="1" t="str">
        <f>IFERROR(__xludf.DUMMYFUNCTION("GOOGLETRANSLATE(C12315, ""en"", ""fa"")
"),"در مورد مزایای تمرین ذهن آگاهی در طبیعت با کودک خود بنویسید.")</f>
        <v>در مورد مزایای تمرین ذهن آگاهی در طبیعت با کودک خود بنویسید.</v>
      </c>
      <c r="H12315" s="1"/>
      <c r="I12315" s="1"/>
      <c r="J12315" s="1"/>
      <c r="K12315" s="1"/>
      <c r="L12315" s="1"/>
      <c r="M12315" s="1"/>
      <c r="N12315" s="1"/>
      <c r="O12315" s="1"/>
      <c r="P12315" s="1"/>
      <c r="Q12315" s="1"/>
      <c r="R12315" s="1"/>
      <c r="S12315" s="1"/>
      <c r="T12315" s="1"/>
      <c r="U12315" s="1"/>
      <c r="V12315" s="1"/>
      <c r="W12315" s="1"/>
      <c r="X12315" s="1"/>
      <c r="Y12315" s="1"/>
      <c r="Z12315" s="1"/>
      <c r="AA12315" s="1"/>
      <c r="AB12315" s="1"/>
    </row>
    <row r="12316" ht="50.25" customHeight="1">
      <c r="A12316" s="12">
        <v>12312.0</v>
      </c>
      <c r="B12316" s="13" t="s">
        <v>12057</v>
      </c>
      <c r="C12316" s="14" t="s">
        <v>12139</v>
      </c>
      <c r="D12316" s="1"/>
      <c r="E12316" s="1"/>
      <c r="F12316" s="1" t="str">
        <f>IFERROR(__xludf.DUMMYFUNCTION("GOOGLETRANSLATE(B12316, ""en"", ""fa"")
"),"والدین آگاهانه")</f>
        <v>والدین آگاهانه</v>
      </c>
      <c r="G12316" s="1" t="str">
        <f>IFERROR(__xludf.DUMMYFUNCTION("GOOGLETRANSLATE(C12316, ""en"", ""fa"")
"),"بررسی کنید که چگونه ذهن آگاهی از همدلی و درک کودک شما از دیگران حمایت می کند.")</f>
        <v>بررسی کنید که چگونه ذهن آگاهی از همدلی و درک کودک شما از دیگران حمایت می کند.</v>
      </c>
      <c r="H12316" s="1"/>
      <c r="I12316" s="1"/>
      <c r="J12316" s="1"/>
      <c r="K12316" s="1"/>
      <c r="L12316" s="1"/>
      <c r="M12316" s="1"/>
      <c r="N12316" s="1"/>
      <c r="O12316" s="1"/>
      <c r="P12316" s="1"/>
      <c r="Q12316" s="1"/>
      <c r="R12316" s="1"/>
      <c r="S12316" s="1"/>
      <c r="T12316" s="1"/>
      <c r="U12316" s="1"/>
      <c r="V12316" s="1"/>
      <c r="W12316" s="1"/>
      <c r="X12316" s="1"/>
      <c r="Y12316" s="1"/>
      <c r="Z12316" s="1"/>
      <c r="AA12316" s="1"/>
      <c r="AB12316" s="1"/>
    </row>
    <row r="12317" ht="50.25" customHeight="1">
      <c r="A12317" s="12">
        <v>12313.0</v>
      </c>
      <c r="B12317" s="13" t="s">
        <v>12057</v>
      </c>
      <c r="C12317" s="14" t="s">
        <v>12140</v>
      </c>
      <c r="D12317" s="1"/>
      <c r="E12317" s="1"/>
      <c r="F12317" s="1" t="str">
        <f>IFERROR(__xludf.DUMMYFUNCTION("GOOGLETRANSLATE(B12317, ""en"", ""fa"")
"),"والدین آگاهانه")</f>
        <v>والدین آگاهانه</v>
      </c>
      <c r="G12317" s="1" t="str">
        <f>IFERROR(__xludf.DUMMYFUNCTION("GOOGLETRANSLATE(C12317, ""en"", ""fa"")
"),"در مورد یک تمرین غذایی آگاهانه فکر کنید که انتخاب های آگاهانه و قدردانی از غذا را تشویق می کند.")</f>
        <v>در مورد یک تمرین غذایی آگاهانه فکر کنید که انتخاب های آگاهانه و قدردانی از غذا را تشویق می کند.</v>
      </c>
      <c r="H12317" s="1"/>
      <c r="I12317" s="1"/>
      <c r="J12317" s="1"/>
      <c r="K12317" s="1"/>
      <c r="L12317" s="1"/>
      <c r="M12317" s="1"/>
      <c r="N12317" s="1"/>
      <c r="O12317" s="1"/>
      <c r="P12317" s="1"/>
      <c r="Q12317" s="1"/>
      <c r="R12317" s="1"/>
      <c r="S12317" s="1"/>
      <c r="T12317" s="1"/>
      <c r="U12317" s="1"/>
      <c r="V12317" s="1"/>
      <c r="W12317" s="1"/>
      <c r="X12317" s="1"/>
      <c r="Y12317" s="1"/>
      <c r="Z12317" s="1"/>
      <c r="AA12317" s="1"/>
      <c r="AB12317" s="1"/>
    </row>
    <row r="12318" ht="50.25" customHeight="1">
      <c r="A12318" s="12">
        <v>12314.0</v>
      </c>
      <c r="B12318" s="13" t="s">
        <v>12057</v>
      </c>
      <c r="C12318" s="14" t="s">
        <v>12141</v>
      </c>
      <c r="D12318" s="1"/>
      <c r="E12318" s="1"/>
      <c r="F12318" s="1" t="str">
        <f>IFERROR(__xludf.DUMMYFUNCTION("GOOGLETRANSLATE(B12318, ""en"", ""fa"")
"),"والدین آگاهانه")</f>
        <v>والدین آگاهانه</v>
      </c>
      <c r="G12318" s="1" t="str">
        <f>IFERROR(__xludf.DUMMYFUNCTION("GOOGLETRANSLATE(C12318, ""en"", ""fa"")
"),"یک فعالیت قدردانی آگاهانه را توصیف کنید که در آن خانواده شما از یکدیگر قدردانی می کنند.")</f>
        <v>یک فعالیت قدردانی آگاهانه را توصیف کنید که در آن خانواده شما از یکدیگر قدردانی می کنند.</v>
      </c>
      <c r="H12318" s="1"/>
      <c r="I12318" s="1"/>
      <c r="J12318" s="1"/>
      <c r="K12318" s="1"/>
      <c r="L12318" s="1"/>
      <c r="M12318" s="1"/>
      <c r="N12318" s="1"/>
      <c r="O12318" s="1"/>
      <c r="P12318" s="1"/>
      <c r="Q12318" s="1"/>
      <c r="R12318" s="1"/>
      <c r="S12318" s="1"/>
      <c r="T12318" s="1"/>
      <c r="U12318" s="1"/>
      <c r="V12318" s="1"/>
      <c r="W12318" s="1"/>
      <c r="X12318" s="1"/>
      <c r="Y12318" s="1"/>
      <c r="Z12318" s="1"/>
      <c r="AA12318" s="1"/>
      <c r="AB12318" s="1"/>
    </row>
    <row r="12319" ht="50.25" customHeight="1">
      <c r="A12319" s="12">
        <v>12315.0</v>
      </c>
      <c r="B12319" s="13" t="s">
        <v>12057</v>
      </c>
      <c r="C12319" s="14" t="s">
        <v>12142</v>
      </c>
      <c r="D12319" s="1"/>
      <c r="E12319" s="1"/>
      <c r="F12319" s="1" t="str">
        <f>IFERROR(__xludf.DUMMYFUNCTION("GOOGLETRANSLATE(B12319, ""en"", ""fa"")
"),"والدین آگاهانه")</f>
        <v>والدین آگاهانه</v>
      </c>
      <c r="G12319" s="1" t="str">
        <f>IFERROR(__xludf.DUMMYFUNCTION("GOOGLETRANSLATE(C12319, ""en"", ""fa"")
"),"در مورد نقش ذهن آگاهی در ترویج نظم مثبت و ارتباط موثر بنویسید.")</f>
        <v>در مورد نقش ذهن آگاهی در ترویج نظم مثبت و ارتباط موثر بنویسید.</v>
      </c>
      <c r="H12319" s="1"/>
      <c r="I12319" s="1"/>
      <c r="J12319" s="1"/>
      <c r="K12319" s="1"/>
      <c r="L12319" s="1"/>
      <c r="M12319" s="1"/>
      <c r="N12319" s="1"/>
      <c r="O12319" s="1"/>
      <c r="P12319" s="1"/>
      <c r="Q12319" s="1"/>
      <c r="R12319" s="1"/>
      <c r="S12319" s="1"/>
      <c r="T12319" s="1"/>
      <c r="U12319" s="1"/>
      <c r="V12319" s="1"/>
      <c r="W12319" s="1"/>
      <c r="X12319" s="1"/>
      <c r="Y12319" s="1"/>
      <c r="Z12319" s="1"/>
      <c r="AA12319" s="1"/>
      <c r="AB12319" s="1"/>
    </row>
    <row r="12320" ht="50.25" customHeight="1">
      <c r="A12320" s="12">
        <v>12316.0</v>
      </c>
      <c r="B12320" s="13" t="s">
        <v>12057</v>
      </c>
      <c r="C12320" s="14" t="s">
        <v>12143</v>
      </c>
      <c r="D12320" s="1"/>
      <c r="E12320" s="1"/>
      <c r="F12320" s="1" t="str">
        <f>IFERROR(__xludf.DUMMYFUNCTION("GOOGLETRANSLATE(B12320, ""en"", ""fa"")
"),"والدین آگاهانه")</f>
        <v>والدین آگاهانه</v>
      </c>
      <c r="G12320" s="1" t="str">
        <f>IFERROR(__xludf.DUMMYFUNCTION("GOOGLETRANSLATE(C12320, ""en"", ""fa"")
"),"بررسی کنید که چگونه ذهن آگاهی به شما و فرزندتان کمک می کند تا با احساسات و تعارضات چالش برانگیز کنار بیایید.")</f>
        <v>بررسی کنید که چگونه ذهن آگاهی به شما و فرزندتان کمک می کند تا با احساسات و تعارضات چالش برانگیز کنار بیایید.</v>
      </c>
      <c r="H12320" s="1"/>
      <c r="I12320" s="1"/>
      <c r="J12320" s="1"/>
      <c r="K12320" s="1"/>
      <c r="L12320" s="1"/>
      <c r="M12320" s="1"/>
      <c r="N12320" s="1"/>
      <c r="O12320" s="1"/>
      <c r="P12320" s="1"/>
      <c r="Q12320" s="1"/>
      <c r="R12320" s="1"/>
      <c r="S12320" s="1"/>
      <c r="T12320" s="1"/>
      <c r="U12320" s="1"/>
      <c r="V12320" s="1"/>
      <c r="W12320" s="1"/>
      <c r="X12320" s="1"/>
      <c r="Y12320" s="1"/>
      <c r="Z12320" s="1"/>
      <c r="AA12320" s="1"/>
      <c r="AB12320" s="1"/>
    </row>
    <row r="12321" ht="50.25" customHeight="1">
      <c r="A12321" s="12">
        <v>12317.0</v>
      </c>
      <c r="B12321" s="13" t="s">
        <v>12057</v>
      </c>
      <c r="C12321" s="14" t="s">
        <v>12144</v>
      </c>
      <c r="D12321" s="1"/>
      <c r="E12321" s="1"/>
      <c r="F12321" s="1" t="str">
        <f>IFERROR(__xludf.DUMMYFUNCTION("GOOGLETRANSLATE(B12321, ""en"", ""fa"")
"),"والدین آگاهانه")</f>
        <v>والدین آگاهانه</v>
      </c>
      <c r="G12321" s="1" t="str">
        <f>IFERROR(__xludf.DUMMYFUNCTION("GOOGLETRANSLATE(C12321, ""en"", ""fa"")
"),"به یک آیین داستانی آگاهانه قبل از خواب فکر کنید که باعث آرامش و خواب آرام می شود.")</f>
        <v>به یک آیین داستانی آگاهانه قبل از خواب فکر کنید که باعث آرامش و خواب آرام می شود.</v>
      </c>
      <c r="H12321" s="1"/>
      <c r="I12321" s="1"/>
      <c r="J12321" s="1"/>
      <c r="K12321" s="1"/>
      <c r="L12321" s="1"/>
      <c r="M12321" s="1"/>
      <c r="N12321" s="1"/>
      <c r="O12321" s="1"/>
      <c r="P12321" s="1"/>
      <c r="Q12321" s="1"/>
      <c r="R12321" s="1"/>
      <c r="S12321" s="1"/>
      <c r="T12321" s="1"/>
      <c r="U12321" s="1"/>
      <c r="V12321" s="1"/>
      <c r="W12321" s="1"/>
      <c r="X12321" s="1"/>
      <c r="Y12321" s="1"/>
      <c r="Z12321" s="1"/>
      <c r="AA12321" s="1"/>
      <c r="AB12321" s="1"/>
    </row>
    <row r="12322" ht="50.25" customHeight="1">
      <c r="A12322" s="12">
        <v>12318.0</v>
      </c>
      <c r="B12322" s="13" t="s">
        <v>12057</v>
      </c>
      <c r="C12322" s="14" t="s">
        <v>12145</v>
      </c>
      <c r="D12322" s="1"/>
      <c r="E12322" s="1"/>
      <c r="F12322" s="1" t="str">
        <f>IFERROR(__xludf.DUMMYFUNCTION("GOOGLETRANSLATE(B12322, ""en"", ""fa"")
"),"والدین آگاهانه")</f>
        <v>والدین آگاهانه</v>
      </c>
      <c r="G12322" s="1" t="str">
        <f>IFERROR(__xludf.DUMMYFUNCTION("GOOGLETRANSLATE(C12322, ""en"", ""fa"")
"),"یک تمرین هنردرمانی مبتنی بر ذهن آگاهی را که با فرزندتان انجام داده اید برای بیان احساسات توصیف کنید.")</f>
        <v>یک تمرین هنردرمانی مبتنی بر ذهن آگاهی را که با فرزندتان انجام داده اید برای بیان احساسات توصیف کنید.</v>
      </c>
      <c r="H12322" s="1"/>
      <c r="I12322" s="1"/>
      <c r="J12322" s="1"/>
      <c r="K12322" s="1"/>
      <c r="L12322" s="1"/>
      <c r="M12322" s="1"/>
      <c r="N12322" s="1"/>
      <c r="O12322" s="1"/>
      <c r="P12322" s="1"/>
      <c r="Q12322" s="1"/>
      <c r="R12322" s="1"/>
      <c r="S12322" s="1"/>
      <c r="T12322" s="1"/>
      <c r="U12322" s="1"/>
      <c r="V12322" s="1"/>
      <c r="W12322" s="1"/>
      <c r="X12322" s="1"/>
      <c r="Y12322" s="1"/>
      <c r="Z12322" s="1"/>
      <c r="AA12322" s="1"/>
      <c r="AB12322" s="1"/>
    </row>
    <row r="12323" ht="50.25" customHeight="1">
      <c r="A12323" s="12">
        <v>12319.0</v>
      </c>
      <c r="B12323" s="13" t="s">
        <v>12057</v>
      </c>
      <c r="C12323" s="14" t="s">
        <v>12146</v>
      </c>
      <c r="D12323" s="1"/>
      <c r="E12323" s="1"/>
      <c r="F12323" s="1" t="str">
        <f>IFERROR(__xludf.DUMMYFUNCTION("GOOGLETRANSLATE(B12323, ""en"", ""fa"")
"),"والدین آگاهانه")</f>
        <v>والدین آگاهانه</v>
      </c>
      <c r="G12323" s="1" t="str">
        <f>IFERROR(__xludf.DUMMYFUNCTION("GOOGLETRANSLATE(C12323, ""en"", ""fa"")
"),"در مورد تأثیرات مثبت ذهن آگاهی بر شادی و رفاه کلی فرزندتان بنویسید.")</f>
        <v>در مورد تأثیرات مثبت ذهن آگاهی بر شادی و رفاه کلی فرزندتان بنویسید.</v>
      </c>
      <c r="H12323" s="1"/>
      <c r="I12323" s="1"/>
      <c r="J12323" s="1"/>
      <c r="K12323" s="1"/>
      <c r="L12323" s="1"/>
      <c r="M12323" s="1"/>
      <c r="N12323" s="1"/>
      <c r="O12323" s="1"/>
      <c r="P12323" s="1"/>
      <c r="Q12323" s="1"/>
      <c r="R12323" s="1"/>
      <c r="S12323" s="1"/>
      <c r="T12323" s="1"/>
      <c r="U12323" s="1"/>
      <c r="V12323" s="1"/>
      <c r="W12323" s="1"/>
      <c r="X12323" s="1"/>
      <c r="Y12323" s="1"/>
      <c r="Z12323" s="1"/>
      <c r="AA12323" s="1"/>
      <c r="AB12323" s="1"/>
    </row>
    <row r="12324" ht="50.25" customHeight="1">
      <c r="A12324" s="12">
        <v>12320.0</v>
      </c>
      <c r="B12324" s="13" t="s">
        <v>12057</v>
      </c>
      <c r="C12324" s="14" t="s">
        <v>12147</v>
      </c>
      <c r="D12324" s="1"/>
      <c r="E12324" s="1"/>
      <c r="F12324" s="1" t="str">
        <f>IFERROR(__xludf.DUMMYFUNCTION("GOOGLETRANSLATE(B12324, ""en"", ""fa"")
"),"والدین آگاهانه")</f>
        <v>والدین آگاهانه</v>
      </c>
      <c r="G12324" s="1" t="str">
        <f>IFERROR(__xludf.DUMMYFUNCTION("GOOGLETRANSLATE(C12324, ""en"", ""fa"")
"),"بررسی کنید که چگونه ذهن آگاهی به شما و فرزندتان کمک می کند در لحظات شلوغ متمرکز و آرام باشید.")</f>
        <v>بررسی کنید که چگونه ذهن آگاهی به شما و فرزندتان کمک می کند در لحظات شلوغ متمرکز و آرام باشید.</v>
      </c>
      <c r="H12324" s="1"/>
      <c r="I12324" s="1"/>
      <c r="J12324" s="1"/>
      <c r="K12324" s="1"/>
      <c r="L12324" s="1"/>
      <c r="M12324" s="1"/>
      <c r="N12324" s="1"/>
      <c r="O12324" s="1"/>
      <c r="P12324" s="1"/>
      <c r="Q12324" s="1"/>
      <c r="R12324" s="1"/>
      <c r="S12324" s="1"/>
      <c r="T12324" s="1"/>
      <c r="U12324" s="1"/>
      <c r="V12324" s="1"/>
      <c r="W12324" s="1"/>
      <c r="X12324" s="1"/>
      <c r="Y12324" s="1"/>
      <c r="Z12324" s="1"/>
      <c r="AA12324" s="1"/>
      <c r="AB12324" s="1"/>
    </row>
    <row r="12325" ht="50.25" customHeight="1">
      <c r="A12325" s="12">
        <v>12321.0</v>
      </c>
      <c r="B12325" s="13" t="s">
        <v>12057</v>
      </c>
      <c r="C12325" s="14" t="s">
        <v>12148</v>
      </c>
      <c r="D12325" s="1"/>
      <c r="E12325" s="1"/>
      <c r="F12325" s="1" t="str">
        <f>IFERROR(__xludf.DUMMYFUNCTION("GOOGLETRANSLATE(B12325, ""en"", ""fa"")
"),"والدین آگاهانه")</f>
        <v>والدین آگاهانه</v>
      </c>
      <c r="G12325" s="1" t="str">
        <f>IFERROR(__xludf.DUMMYFUNCTION("GOOGLETRANSLATE(C12325, ""en"", ""fa"")
"),"در مورد نقش ذهن آگاهی در تشویق کنجکاوی و کاوش در کودک خود فکر کنید.")</f>
        <v>در مورد نقش ذهن آگاهی در تشویق کنجکاوی و کاوش در کودک خود فکر کنید.</v>
      </c>
      <c r="H12325" s="1"/>
      <c r="I12325" s="1"/>
      <c r="J12325" s="1"/>
      <c r="K12325" s="1"/>
      <c r="L12325" s="1"/>
      <c r="M12325" s="1"/>
      <c r="N12325" s="1"/>
      <c r="O12325" s="1"/>
      <c r="P12325" s="1"/>
      <c r="Q12325" s="1"/>
      <c r="R12325" s="1"/>
      <c r="S12325" s="1"/>
      <c r="T12325" s="1"/>
      <c r="U12325" s="1"/>
      <c r="V12325" s="1"/>
      <c r="W12325" s="1"/>
      <c r="X12325" s="1"/>
      <c r="Y12325" s="1"/>
      <c r="Z12325" s="1"/>
      <c r="AA12325" s="1"/>
      <c r="AB12325" s="1"/>
    </row>
    <row r="12326" ht="50.25" customHeight="1">
      <c r="A12326" s="12">
        <v>12322.0</v>
      </c>
      <c r="B12326" s="13" t="s">
        <v>12057</v>
      </c>
      <c r="C12326" s="14" t="s">
        <v>12149</v>
      </c>
      <c r="D12326" s="1"/>
      <c r="E12326" s="1"/>
      <c r="F12326" s="1" t="str">
        <f>IFERROR(__xludf.DUMMYFUNCTION("GOOGLETRANSLATE(B12326, ""en"", ""fa"")
"),"والدین آگاهانه")</f>
        <v>والدین آگاهانه</v>
      </c>
      <c r="G12326" s="1" t="str">
        <f>IFERROR(__xludf.DUMMYFUNCTION("GOOGLETRANSLATE(C12326, ""en"", ""fa"")
"),"یک تمرین مراقبه آگاهانه را توصیف کنید که توانایی کودک شما را برای تمرکز و تمرکز افزایش می دهد.")</f>
        <v>یک تمرین مراقبه آگاهانه را توصیف کنید که توانایی کودک شما را برای تمرکز و تمرکز افزایش می دهد.</v>
      </c>
      <c r="H12326" s="1"/>
      <c r="I12326" s="1"/>
      <c r="J12326" s="1"/>
      <c r="K12326" s="1"/>
      <c r="L12326" s="1"/>
      <c r="M12326" s="1"/>
      <c r="N12326" s="1"/>
      <c r="O12326" s="1"/>
      <c r="P12326" s="1"/>
      <c r="Q12326" s="1"/>
      <c r="R12326" s="1"/>
      <c r="S12326" s="1"/>
      <c r="T12326" s="1"/>
      <c r="U12326" s="1"/>
      <c r="V12326" s="1"/>
      <c r="W12326" s="1"/>
      <c r="X12326" s="1"/>
      <c r="Y12326" s="1"/>
      <c r="Z12326" s="1"/>
      <c r="AA12326" s="1"/>
      <c r="AB12326" s="1"/>
    </row>
    <row r="12327" ht="50.25" customHeight="1">
      <c r="A12327" s="12">
        <v>12323.0</v>
      </c>
      <c r="B12327" s="13" t="s">
        <v>12057</v>
      </c>
      <c r="C12327" s="14" t="s">
        <v>12150</v>
      </c>
      <c r="D12327" s="1"/>
      <c r="E12327" s="1"/>
      <c r="F12327" s="1" t="str">
        <f>IFERROR(__xludf.DUMMYFUNCTION("GOOGLETRANSLATE(B12327, ""en"", ""fa"")
"),"والدین آگاهانه")</f>
        <v>والدین آگاهانه</v>
      </c>
      <c r="G12327" s="1" t="str">
        <f>IFERROR(__xludf.DUMMYFUNCTION("GOOGLETRANSLATE(C12327, ""en"", ""fa"")
"),"در مورد قدرت ذهن آگاهی در پرورش تاب آوری و سازگاری در خانواده خود بنویسید.")</f>
        <v>در مورد قدرت ذهن آگاهی در پرورش تاب آوری و سازگاری در خانواده خود بنویسید.</v>
      </c>
      <c r="H12327" s="1"/>
      <c r="I12327" s="1"/>
      <c r="J12327" s="1"/>
      <c r="K12327" s="1"/>
      <c r="L12327" s="1"/>
      <c r="M12327" s="1"/>
      <c r="N12327" s="1"/>
      <c r="O12327" s="1"/>
      <c r="P12327" s="1"/>
      <c r="Q12327" s="1"/>
      <c r="R12327" s="1"/>
      <c r="S12327" s="1"/>
      <c r="T12327" s="1"/>
      <c r="U12327" s="1"/>
      <c r="V12327" s="1"/>
      <c r="W12327" s="1"/>
      <c r="X12327" s="1"/>
      <c r="Y12327" s="1"/>
      <c r="Z12327" s="1"/>
      <c r="AA12327" s="1"/>
      <c r="AB12327" s="1"/>
    </row>
    <row r="12328" ht="50.25" customHeight="1">
      <c r="A12328" s="12">
        <v>12324.0</v>
      </c>
      <c r="B12328" s="13" t="s">
        <v>12057</v>
      </c>
      <c r="C12328" s="14" t="s">
        <v>12151</v>
      </c>
      <c r="D12328" s="1"/>
      <c r="E12328" s="1"/>
      <c r="F12328" s="1" t="str">
        <f>IFERROR(__xludf.DUMMYFUNCTION("GOOGLETRANSLATE(B12328, ""en"", ""fa"")
"),"والدین آگاهانه")</f>
        <v>والدین آگاهانه</v>
      </c>
      <c r="G12328" s="1" t="str">
        <f>IFERROR(__xludf.DUMMYFUNCTION("GOOGLETRANSLATE(C12328, ""en"", ""fa"")
"),"بررسی کنید که چگونه ذهن آگاهی از رشد و روابط اجتماعی-عاطفی کودک شما حمایت می کند.")</f>
        <v>بررسی کنید که چگونه ذهن آگاهی از رشد و روابط اجتماعی-عاطفی کودک شما حمایت می کند.</v>
      </c>
      <c r="H12328" s="1"/>
      <c r="I12328" s="1"/>
      <c r="J12328" s="1"/>
      <c r="K12328" s="1"/>
      <c r="L12328" s="1"/>
      <c r="M12328" s="1"/>
      <c r="N12328" s="1"/>
      <c r="O12328" s="1"/>
      <c r="P12328" s="1"/>
      <c r="Q12328" s="1"/>
      <c r="R12328" s="1"/>
      <c r="S12328" s="1"/>
      <c r="T12328" s="1"/>
      <c r="U12328" s="1"/>
      <c r="V12328" s="1"/>
      <c r="W12328" s="1"/>
      <c r="X12328" s="1"/>
      <c r="Y12328" s="1"/>
      <c r="Z12328" s="1"/>
      <c r="AA12328" s="1"/>
      <c r="AB12328" s="1"/>
    </row>
    <row r="12329" ht="50.25" customHeight="1">
      <c r="A12329" s="12">
        <v>12325.0</v>
      </c>
      <c r="B12329" s="13" t="s">
        <v>12057</v>
      </c>
      <c r="C12329" s="14" t="s">
        <v>12152</v>
      </c>
      <c r="D12329" s="1"/>
      <c r="E12329" s="1"/>
      <c r="F12329" s="1" t="str">
        <f>IFERROR(__xludf.DUMMYFUNCTION("GOOGLETRANSLATE(B12329, ""en"", ""fa"")
"),"والدین آگاهانه")</f>
        <v>والدین آگاهانه</v>
      </c>
      <c r="G12329" s="1" t="str">
        <f>IFERROR(__xludf.DUMMYFUNCTION("GOOGLETRANSLATE(C12329, ""en"", ""fa"")
"),"در مورد یک تکنیک تنفس آگاهانه فکر کنید که به خانواده شما کمک می کند استرس و اضطراب را مدیریت کند.")</f>
        <v>در مورد یک تکنیک تنفس آگاهانه فکر کنید که به خانواده شما کمک می کند استرس و اضطراب را مدیریت کند.</v>
      </c>
      <c r="H12329" s="1"/>
      <c r="I12329" s="1"/>
      <c r="J12329" s="1"/>
      <c r="K12329" s="1"/>
      <c r="L12329" s="1"/>
      <c r="M12329" s="1"/>
      <c r="N12329" s="1"/>
      <c r="O12329" s="1"/>
      <c r="P12329" s="1"/>
      <c r="Q12329" s="1"/>
      <c r="R12329" s="1"/>
      <c r="S12329" s="1"/>
      <c r="T12329" s="1"/>
      <c r="U12329" s="1"/>
      <c r="V12329" s="1"/>
      <c r="W12329" s="1"/>
      <c r="X12329" s="1"/>
      <c r="Y12329" s="1"/>
      <c r="Z12329" s="1"/>
      <c r="AA12329" s="1"/>
      <c r="AB12329" s="1"/>
    </row>
    <row r="12330" ht="50.25" customHeight="1">
      <c r="A12330" s="12">
        <v>12326.0</v>
      </c>
      <c r="B12330" s="13" t="s">
        <v>12057</v>
      </c>
      <c r="C12330" s="14" t="s">
        <v>12153</v>
      </c>
      <c r="D12330" s="1"/>
      <c r="E12330" s="1"/>
      <c r="F12330" s="1" t="str">
        <f>IFERROR(__xludf.DUMMYFUNCTION("GOOGLETRANSLATE(B12330, ""en"", ""fa"")
"),"والدین آگاهانه")</f>
        <v>والدین آگاهانه</v>
      </c>
      <c r="G12330" s="1" t="str">
        <f>IFERROR(__xludf.DUMMYFUNCTION("GOOGLETRANSLATE(C12330, ""en"", ""fa"")
"),"یک فعالیت مبتنی بر ذهن آگاهی را توصیف کنید که اتحاد و همکاری خانواده را ترویج می کند.")</f>
        <v>یک فعالیت مبتنی بر ذهن آگاهی را توصیف کنید که اتحاد و همکاری خانواده را ترویج می کند.</v>
      </c>
      <c r="H12330" s="1"/>
      <c r="I12330" s="1"/>
      <c r="J12330" s="1"/>
      <c r="K12330" s="1"/>
      <c r="L12330" s="1"/>
      <c r="M12330" s="1"/>
      <c r="N12330" s="1"/>
      <c r="O12330" s="1"/>
      <c r="P12330" s="1"/>
      <c r="Q12330" s="1"/>
      <c r="R12330" s="1"/>
      <c r="S12330" s="1"/>
      <c r="T12330" s="1"/>
      <c r="U12330" s="1"/>
      <c r="V12330" s="1"/>
      <c r="W12330" s="1"/>
      <c r="X12330" s="1"/>
      <c r="Y12330" s="1"/>
      <c r="Z12330" s="1"/>
      <c r="AA12330" s="1"/>
      <c r="AB12330" s="1"/>
    </row>
    <row r="12331" ht="50.25" customHeight="1">
      <c r="A12331" s="12">
        <v>12327.0</v>
      </c>
      <c r="B12331" s="13" t="s">
        <v>12057</v>
      </c>
      <c r="C12331" s="14" t="s">
        <v>12154</v>
      </c>
      <c r="D12331" s="1"/>
      <c r="E12331" s="1"/>
      <c r="F12331" s="1" t="str">
        <f>IFERROR(__xludf.DUMMYFUNCTION("GOOGLETRANSLATE(B12331, ""en"", ""fa"")
"),"والدین آگاهانه")</f>
        <v>والدین آگاهانه</v>
      </c>
      <c r="G12331" s="1" t="str">
        <f>IFERROR(__xludf.DUMMYFUNCTION("GOOGLETRANSLATE(C12331, ""en"", ""fa"")
"),"در مورد مزایای گنجاندن ذهن آگاهی در کارهای روزمره و کارهای روزمره با فرزندتان بنویسید.")</f>
        <v>در مورد مزایای گنجاندن ذهن آگاهی در کارهای روزمره و کارهای روزمره با فرزندتان بنویسید.</v>
      </c>
      <c r="H12331" s="1"/>
      <c r="I12331" s="1"/>
      <c r="J12331" s="1"/>
      <c r="K12331" s="1"/>
      <c r="L12331" s="1"/>
      <c r="M12331" s="1"/>
      <c r="N12331" s="1"/>
      <c r="O12331" s="1"/>
      <c r="P12331" s="1"/>
      <c r="Q12331" s="1"/>
      <c r="R12331" s="1"/>
      <c r="S12331" s="1"/>
      <c r="T12331" s="1"/>
      <c r="U12331" s="1"/>
      <c r="V12331" s="1"/>
      <c r="W12331" s="1"/>
      <c r="X12331" s="1"/>
      <c r="Y12331" s="1"/>
      <c r="Z12331" s="1"/>
      <c r="AA12331" s="1"/>
      <c r="AB12331" s="1"/>
    </row>
    <row r="12332" ht="50.25" customHeight="1">
      <c r="A12332" s="12">
        <v>12328.0</v>
      </c>
      <c r="B12332" s="13" t="s">
        <v>12057</v>
      </c>
      <c r="C12332" s="14" t="s">
        <v>12155</v>
      </c>
      <c r="D12332" s="1"/>
      <c r="E12332" s="1"/>
      <c r="F12332" s="1" t="str">
        <f>IFERROR(__xludf.DUMMYFUNCTION("GOOGLETRANSLATE(B12332, ""en"", ""fa"")
"),"والدین آگاهانه")</f>
        <v>والدین آگاهانه</v>
      </c>
      <c r="G12332" s="1" t="str">
        <f>IFERROR(__xludf.DUMMYFUNCTION("GOOGLETRANSLATE(C12332, ""en"", ""fa"")
"),"بررسی کنید که چگونه ذهن آگاهی توانایی کودک شما را برای بیان و مدیریت احساسات خود افزایش می دهد.")</f>
        <v>بررسی کنید که چگونه ذهن آگاهی توانایی کودک شما را برای بیان و مدیریت احساسات خود افزایش می دهد.</v>
      </c>
      <c r="H12332" s="1"/>
      <c r="I12332" s="1"/>
      <c r="J12332" s="1"/>
      <c r="K12332" s="1"/>
      <c r="L12332" s="1"/>
      <c r="M12332" s="1"/>
      <c r="N12332" s="1"/>
      <c r="O12332" s="1"/>
      <c r="P12332" s="1"/>
      <c r="Q12332" s="1"/>
      <c r="R12332" s="1"/>
      <c r="S12332" s="1"/>
      <c r="T12332" s="1"/>
      <c r="U12332" s="1"/>
      <c r="V12332" s="1"/>
      <c r="W12332" s="1"/>
      <c r="X12332" s="1"/>
      <c r="Y12332" s="1"/>
      <c r="Z12332" s="1"/>
      <c r="AA12332" s="1"/>
      <c r="AB12332" s="1"/>
    </row>
    <row r="12333" ht="50.25" customHeight="1">
      <c r="A12333" s="12">
        <v>12329.0</v>
      </c>
      <c r="B12333" s="13" t="s">
        <v>12057</v>
      </c>
      <c r="C12333" s="14" t="s">
        <v>12156</v>
      </c>
      <c r="D12333" s="1"/>
      <c r="E12333" s="1"/>
      <c r="F12333" s="1" t="str">
        <f>IFERROR(__xludf.DUMMYFUNCTION("GOOGLETRANSLATE(B12333, ""en"", ""fa"")
"),"والدین آگاهانه")</f>
        <v>والدین آگاهانه</v>
      </c>
      <c r="G12333" s="1" t="str">
        <f>IFERROR(__xludf.DUMMYFUNCTION("GOOGLETRANSLATE(C12333, ""en"", ""fa"")
"),"تمرین یادداشت قدردانی آگاهانه را که شما و فرزندتان از انجام با هم لذت می برید فکر کنید.")</f>
        <v>تمرین یادداشت قدردانی آگاهانه را که شما و فرزندتان از انجام با هم لذت می برید فکر کنید.</v>
      </c>
      <c r="H12333" s="1"/>
      <c r="I12333" s="1"/>
      <c r="J12333" s="1"/>
      <c r="K12333" s="1"/>
      <c r="L12333" s="1"/>
      <c r="M12333" s="1"/>
      <c r="N12333" s="1"/>
      <c r="O12333" s="1"/>
      <c r="P12333" s="1"/>
      <c r="Q12333" s="1"/>
      <c r="R12333" s="1"/>
      <c r="S12333" s="1"/>
      <c r="T12333" s="1"/>
      <c r="U12333" s="1"/>
      <c r="V12333" s="1"/>
      <c r="W12333" s="1"/>
      <c r="X12333" s="1"/>
      <c r="Y12333" s="1"/>
      <c r="Z12333" s="1"/>
      <c r="AA12333" s="1"/>
      <c r="AB12333" s="1"/>
    </row>
    <row r="12334" ht="50.25" customHeight="1">
      <c r="A12334" s="12">
        <v>12330.0</v>
      </c>
      <c r="B12334" s="13" t="s">
        <v>12057</v>
      </c>
      <c r="C12334" s="14" t="s">
        <v>12157</v>
      </c>
      <c r="D12334" s="1"/>
      <c r="E12334" s="1"/>
      <c r="F12334" s="1" t="str">
        <f>IFERROR(__xludf.DUMMYFUNCTION("GOOGLETRANSLATE(B12334, ""en"", ""fa"")
"),"والدین آگاهانه")</f>
        <v>والدین آگاهانه</v>
      </c>
      <c r="G12334" s="1" t="str">
        <f>IFERROR(__xludf.DUMMYFUNCTION("GOOGLETRANSLATE(C12334, ""en"", ""fa"")
"),"یک فعالیت حرکتی آگاهانه را توصیف کنید که کودک شما را تشویق می کند تا با بدن و احساسات خود ارتباط برقرار کند.")</f>
        <v>یک فعالیت حرکتی آگاهانه را توصیف کنید که کودک شما را تشویق می کند تا با بدن و احساسات خود ارتباط برقرار کند.</v>
      </c>
      <c r="H12334" s="1"/>
      <c r="I12334" s="1"/>
      <c r="J12334" s="1"/>
      <c r="K12334" s="1"/>
      <c r="L12334" s="1"/>
      <c r="M12334" s="1"/>
      <c r="N12334" s="1"/>
      <c r="O12334" s="1"/>
      <c r="P12334" s="1"/>
      <c r="Q12334" s="1"/>
      <c r="R12334" s="1"/>
      <c r="S12334" s="1"/>
      <c r="T12334" s="1"/>
      <c r="U12334" s="1"/>
      <c r="V12334" s="1"/>
      <c r="W12334" s="1"/>
      <c r="X12334" s="1"/>
      <c r="Y12334" s="1"/>
      <c r="Z12334" s="1"/>
      <c r="AA12334" s="1"/>
      <c r="AB12334" s="1"/>
    </row>
    <row r="12335" ht="50.25" customHeight="1">
      <c r="A12335" s="12">
        <v>12331.0</v>
      </c>
      <c r="B12335" s="13" t="s">
        <v>12057</v>
      </c>
      <c r="C12335" s="14" t="s">
        <v>12158</v>
      </c>
      <c r="D12335" s="1"/>
      <c r="E12335" s="1"/>
      <c r="F12335" s="1" t="str">
        <f>IFERROR(__xludf.DUMMYFUNCTION("GOOGLETRANSLATE(B12335, ""en"", ""fa"")
"),"والدین آگاهانه")</f>
        <v>والدین آگاهانه</v>
      </c>
      <c r="G12335" s="1" t="str">
        <f>IFERROR(__xludf.DUMMYFUNCTION("GOOGLETRANSLATE(C12335, ""en"", ""fa"")
"),"در مورد اینکه چگونه ذهن آگاهی توانایی شما را برای حضور و توجه در طول مکالمات خانوادگی افزایش می دهد بنویسید.")</f>
        <v>در مورد اینکه چگونه ذهن آگاهی توانایی شما را برای حضور و توجه در طول مکالمات خانوادگی افزایش می دهد بنویسید.</v>
      </c>
      <c r="H12335" s="1"/>
      <c r="I12335" s="1"/>
      <c r="J12335" s="1"/>
      <c r="K12335" s="1"/>
      <c r="L12335" s="1"/>
      <c r="M12335" s="1"/>
      <c r="N12335" s="1"/>
      <c r="O12335" s="1"/>
      <c r="P12335" s="1"/>
      <c r="Q12335" s="1"/>
      <c r="R12335" s="1"/>
      <c r="S12335" s="1"/>
      <c r="T12335" s="1"/>
      <c r="U12335" s="1"/>
      <c r="V12335" s="1"/>
      <c r="W12335" s="1"/>
      <c r="X12335" s="1"/>
      <c r="Y12335" s="1"/>
      <c r="Z12335" s="1"/>
      <c r="AA12335" s="1"/>
      <c r="AB12335" s="1"/>
    </row>
    <row r="12336" ht="50.25" customHeight="1">
      <c r="A12336" s="12">
        <v>12332.0</v>
      </c>
      <c r="B12336" s="13" t="s">
        <v>12057</v>
      </c>
      <c r="C12336" s="14" t="s">
        <v>12159</v>
      </c>
      <c r="D12336" s="1"/>
      <c r="E12336" s="1"/>
      <c r="F12336" s="1" t="str">
        <f>IFERROR(__xludf.DUMMYFUNCTION("GOOGLETRANSLATE(B12336, ""en"", ""fa"")
"),"والدین آگاهانه")</f>
        <v>والدین آگاهانه</v>
      </c>
      <c r="G12336" s="1" t="str">
        <f>IFERROR(__xludf.DUMMYFUNCTION("GOOGLETRANSLATE(C12336, ""en"", ""fa"")
"),"اثرات مثبت ذهن آگاهی بر هوش هیجانی و همدلی فرزندتان را بررسی کنید.")</f>
        <v>اثرات مثبت ذهن آگاهی بر هوش هیجانی و همدلی فرزندتان را بررسی کنید.</v>
      </c>
      <c r="H12336" s="1"/>
      <c r="I12336" s="1"/>
      <c r="J12336" s="1"/>
      <c r="K12336" s="1"/>
      <c r="L12336" s="1"/>
      <c r="M12336" s="1"/>
      <c r="N12336" s="1"/>
      <c r="O12336" s="1"/>
      <c r="P12336" s="1"/>
      <c r="Q12336" s="1"/>
      <c r="R12336" s="1"/>
      <c r="S12336" s="1"/>
      <c r="T12336" s="1"/>
      <c r="U12336" s="1"/>
      <c r="V12336" s="1"/>
      <c r="W12336" s="1"/>
      <c r="X12336" s="1"/>
      <c r="Y12336" s="1"/>
      <c r="Z12336" s="1"/>
      <c r="AA12336" s="1"/>
      <c r="AB12336" s="1"/>
    </row>
    <row r="12337" ht="50.25" customHeight="1">
      <c r="A12337" s="12">
        <v>12333.0</v>
      </c>
      <c r="B12337" s="13" t="s">
        <v>12057</v>
      </c>
      <c r="C12337" s="14" t="s">
        <v>12160</v>
      </c>
      <c r="D12337" s="1"/>
      <c r="E12337" s="1"/>
      <c r="F12337" s="1" t="str">
        <f>IFERROR(__xludf.DUMMYFUNCTION("GOOGLETRANSLATE(B12337, ""en"", ""fa"")
"),"والدین آگاهانه")</f>
        <v>والدین آگاهانه</v>
      </c>
      <c r="G12337" s="1" t="str">
        <f>IFERROR(__xludf.DUMMYFUNCTION("GOOGLETRANSLATE(C12337, ""en"", ""fa"")
"),"به یک فعالیت ذهنی در زمان بازی فکر کنید که خلاقیت و حل مسئله را در کودک شما تشویق می کند.")</f>
        <v>به یک فعالیت ذهنی در زمان بازی فکر کنید که خلاقیت و حل مسئله را در کودک شما تشویق می کند.</v>
      </c>
      <c r="H12337" s="1"/>
      <c r="I12337" s="1"/>
      <c r="J12337" s="1"/>
      <c r="K12337" s="1"/>
      <c r="L12337" s="1"/>
      <c r="M12337" s="1"/>
      <c r="N12337" s="1"/>
      <c r="O12337" s="1"/>
      <c r="P12337" s="1"/>
      <c r="Q12337" s="1"/>
      <c r="R12337" s="1"/>
      <c r="S12337" s="1"/>
      <c r="T12337" s="1"/>
      <c r="U12337" s="1"/>
      <c r="V12337" s="1"/>
      <c r="W12337" s="1"/>
      <c r="X12337" s="1"/>
      <c r="Y12337" s="1"/>
      <c r="Z12337" s="1"/>
      <c r="AA12337" s="1"/>
      <c r="AB12337" s="1"/>
    </row>
    <row r="12338" ht="50.25" customHeight="1">
      <c r="A12338" s="12">
        <v>12334.0</v>
      </c>
      <c r="B12338" s="13" t="s">
        <v>12057</v>
      </c>
      <c r="C12338" s="14" t="s">
        <v>12161</v>
      </c>
      <c r="D12338" s="1"/>
      <c r="E12338" s="1"/>
      <c r="F12338" s="1" t="str">
        <f>IFERROR(__xludf.DUMMYFUNCTION("GOOGLETRANSLATE(B12338, ""en"", ""fa"")
"),"والدین آگاهانه")</f>
        <v>والدین آگاهانه</v>
      </c>
      <c r="G12338" s="1" t="str">
        <f>IFERROR(__xludf.DUMMYFUNCTION("GOOGLETRANSLATE(C12338, ""en"", ""fa"")
"),"یک تمرین شفقت به خود مبتنی بر ذهن آگاهی را توصیف کنید که از بهزیستی عاطفی کودک شما حمایت می کند.")</f>
        <v>یک تمرین شفقت به خود مبتنی بر ذهن آگاهی را توصیف کنید که از بهزیستی عاطفی کودک شما حمایت می کند.</v>
      </c>
      <c r="H12338" s="1"/>
      <c r="I12338" s="1"/>
      <c r="J12338" s="1"/>
      <c r="K12338" s="1"/>
      <c r="L12338" s="1"/>
      <c r="M12338" s="1"/>
      <c r="N12338" s="1"/>
      <c r="O12338" s="1"/>
      <c r="P12338" s="1"/>
      <c r="Q12338" s="1"/>
      <c r="R12338" s="1"/>
      <c r="S12338" s="1"/>
      <c r="T12338" s="1"/>
      <c r="U12338" s="1"/>
      <c r="V12338" s="1"/>
      <c r="W12338" s="1"/>
      <c r="X12338" s="1"/>
      <c r="Y12338" s="1"/>
      <c r="Z12338" s="1"/>
      <c r="AA12338" s="1"/>
      <c r="AB12338" s="1"/>
    </row>
    <row r="12339" ht="50.25" customHeight="1">
      <c r="A12339" s="12">
        <v>12335.0</v>
      </c>
      <c r="B12339" s="13" t="s">
        <v>12057</v>
      </c>
      <c r="C12339" s="14" t="s">
        <v>12162</v>
      </c>
      <c r="D12339" s="1"/>
      <c r="E12339" s="1"/>
      <c r="F12339" s="1" t="str">
        <f>IFERROR(__xludf.DUMMYFUNCTION("GOOGLETRANSLATE(B12339, ""en"", ""fa"")
"),"والدین آگاهانه")</f>
        <v>والدین آگاهانه</v>
      </c>
      <c r="G12339" s="1" t="str">
        <f>IFERROR(__xludf.DUMMYFUNCTION("GOOGLETRANSLATE(C12339, ""en"", ""fa"")
"),"در مورد نقش ذهن آگاهی در پرورش تصویر بدنی مثبت و عزت نفس در فرزندتان بنویسید.")</f>
        <v>در مورد نقش ذهن آگاهی در پرورش تصویر بدنی مثبت و عزت نفس در فرزندتان بنویسید.</v>
      </c>
      <c r="H12339" s="1"/>
      <c r="I12339" s="1"/>
      <c r="J12339" s="1"/>
      <c r="K12339" s="1"/>
      <c r="L12339" s="1"/>
      <c r="M12339" s="1"/>
      <c r="N12339" s="1"/>
      <c r="O12339" s="1"/>
      <c r="P12339" s="1"/>
      <c r="Q12339" s="1"/>
      <c r="R12339" s="1"/>
      <c r="S12339" s="1"/>
      <c r="T12339" s="1"/>
      <c r="U12339" s="1"/>
      <c r="V12339" s="1"/>
      <c r="W12339" s="1"/>
      <c r="X12339" s="1"/>
      <c r="Y12339" s="1"/>
      <c r="Z12339" s="1"/>
      <c r="AA12339" s="1"/>
      <c r="AB12339" s="1"/>
    </row>
    <row r="12340" ht="50.25" customHeight="1">
      <c r="A12340" s="12">
        <v>12336.0</v>
      </c>
      <c r="B12340" s="13" t="s">
        <v>12057</v>
      </c>
      <c r="C12340" s="14" t="s">
        <v>12163</v>
      </c>
      <c r="D12340" s="1"/>
      <c r="E12340" s="1"/>
      <c r="F12340" s="1" t="str">
        <f>IFERROR(__xludf.DUMMYFUNCTION("GOOGLETRANSLATE(B12340, ""en"", ""fa"")
"),"والدین آگاهانه")</f>
        <v>والدین آگاهانه</v>
      </c>
      <c r="G12340" s="1" t="str">
        <f>IFERROR(__xludf.DUMMYFUNCTION("GOOGLETRANSLATE(C12340, ""en"", ""fa"")
"),"بررسی کنید که چگونه ذهن آگاهی به کودک شما کمک می کند تا نظم عاطفی و مهارت های مقابله ای را توسعه دهد.")</f>
        <v>بررسی کنید که چگونه ذهن آگاهی به کودک شما کمک می کند تا نظم عاطفی و مهارت های مقابله ای را توسعه دهد.</v>
      </c>
      <c r="H12340" s="1"/>
      <c r="I12340" s="1"/>
      <c r="J12340" s="1"/>
      <c r="K12340" s="1"/>
      <c r="L12340" s="1"/>
      <c r="M12340" s="1"/>
      <c r="N12340" s="1"/>
      <c r="O12340" s="1"/>
      <c r="P12340" s="1"/>
      <c r="Q12340" s="1"/>
      <c r="R12340" s="1"/>
      <c r="S12340" s="1"/>
      <c r="T12340" s="1"/>
      <c r="U12340" s="1"/>
      <c r="V12340" s="1"/>
      <c r="W12340" s="1"/>
      <c r="X12340" s="1"/>
      <c r="Y12340" s="1"/>
      <c r="Z12340" s="1"/>
      <c r="AA12340" s="1"/>
      <c r="AB12340" s="1"/>
    </row>
    <row r="12341" ht="50.25" customHeight="1">
      <c r="A12341" s="12">
        <v>12337.0</v>
      </c>
      <c r="B12341" s="13" t="s">
        <v>12057</v>
      </c>
      <c r="C12341" s="14" t="s">
        <v>12164</v>
      </c>
      <c r="D12341" s="1"/>
      <c r="E12341" s="1"/>
      <c r="F12341" s="1" t="str">
        <f>IFERROR(__xludf.DUMMYFUNCTION("GOOGLETRANSLATE(B12341, ""en"", ""fa"")
"),"والدین آگاهانه")</f>
        <v>والدین آگاهانه</v>
      </c>
      <c r="G12341" s="1" t="str">
        <f>IFERROR(__xludf.DUMMYFUNCTION("GOOGLETRANSLATE(C12341, ""en"", ""fa"")
"),"در مورد یک تکنیک تنفس آگاهانه فکر کنید که به کودک شما کمک می کند تا اضطراب و نگرانی ها را مدیریت کند.")</f>
        <v>در مورد یک تکنیک تنفس آگاهانه فکر کنید که به کودک شما کمک می کند تا اضطراب و نگرانی ها را مدیریت کند.</v>
      </c>
      <c r="H12341" s="1"/>
      <c r="I12341" s="1"/>
      <c r="J12341" s="1"/>
      <c r="K12341" s="1"/>
      <c r="L12341" s="1"/>
      <c r="M12341" s="1"/>
      <c r="N12341" s="1"/>
      <c r="O12341" s="1"/>
      <c r="P12341" s="1"/>
      <c r="Q12341" s="1"/>
      <c r="R12341" s="1"/>
      <c r="S12341" s="1"/>
      <c r="T12341" s="1"/>
      <c r="U12341" s="1"/>
      <c r="V12341" s="1"/>
      <c r="W12341" s="1"/>
      <c r="X12341" s="1"/>
      <c r="Y12341" s="1"/>
      <c r="Z12341" s="1"/>
      <c r="AA12341" s="1"/>
      <c r="AB12341" s="1"/>
    </row>
    <row r="12342" ht="50.25" customHeight="1">
      <c r="A12342" s="12">
        <v>12338.0</v>
      </c>
      <c r="B12342" s="13" t="s">
        <v>12057</v>
      </c>
      <c r="C12342" s="14" t="s">
        <v>12165</v>
      </c>
      <c r="D12342" s="1"/>
      <c r="E12342" s="1"/>
      <c r="F12342" s="1" t="str">
        <f>IFERROR(__xludf.DUMMYFUNCTION("GOOGLETRANSLATE(B12342, ""en"", ""fa"")
"),"والدین آگاهانه")</f>
        <v>والدین آگاهانه</v>
      </c>
      <c r="G12342" s="1" t="str">
        <f>IFERROR(__xludf.DUMMYFUNCTION("GOOGLETRANSLATE(C12342, ""en"", ""fa"")
"),"یک فعالیت مبتنی بر ذهن آگاهی را توصیف کنید که مهربانی و شفقت را در خانواده شما ترویج می کند.")</f>
        <v>یک فعالیت مبتنی بر ذهن آگاهی را توصیف کنید که مهربانی و شفقت را در خانواده شما ترویج می کند.</v>
      </c>
      <c r="H12342" s="1"/>
      <c r="I12342" s="1"/>
      <c r="J12342" s="1"/>
      <c r="K12342" s="1"/>
      <c r="L12342" s="1"/>
      <c r="M12342" s="1"/>
      <c r="N12342" s="1"/>
      <c r="O12342" s="1"/>
      <c r="P12342" s="1"/>
      <c r="Q12342" s="1"/>
      <c r="R12342" s="1"/>
      <c r="S12342" s="1"/>
      <c r="T12342" s="1"/>
      <c r="U12342" s="1"/>
      <c r="V12342" s="1"/>
      <c r="W12342" s="1"/>
      <c r="X12342" s="1"/>
      <c r="Y12342" s="1"/>
      <c r="Z12342" s="1"/>
      <c r="AA12342" s="1"/>
      <c r="AB12342" s="1"/>
    </row>
    <row r="12343" ht="50.25" customHeight="1">
      <c r="A12343" s="12">
        <v>12339.0</v>
      </c>
      <c r="B12343" s="13" t="s">
        <v>12057</v>
      </c>
      <c r="C12343" s="14" t="s">
        <v>12166</v>
      </c>
      <c r="D12343" s="1"/>
      <c r="E12343" s="1"/>
      <c r="F12343" s="1" t="str">
        <f>IFERROR(__xludf.DUMMYFUNCTION("GOOGLETRANSLATE(B12343, ""en"", ""fa"")
"),"والدین آگاهانه")</f>
        <v>والدین آگاهانه</v>
      </c>
      <c r="G12343" s="1" t="str">
        <f>IFERROR(__xludf.DUMMYFUNCTION("GOOGLETRANSLATE(C12343, ""en"", ""fa"")
"),"در مورد مزایای تمرین ذهن آگاهی در طول وعده های غذایی خانوادگی و زمان میان وعده بنویسید.")</f>
        <v>در مورد مزایای تمرین ذهن آگاهی در طول وعده های غذایی خانوادگی و زمان میان وعده بنویسید.</v>
      </c>
      <c r="H12343" s="1"/>
      <c r="I12343" s="1"/>
      <c r="J12343" s="1"/>
      <c r="K12343" s="1"/>
      <c r="L12343" s="1"/>
      <c r="M12343" s="1"/>
      <c r="N12343" s="1"/>
      <c r="O12343" s="1"/>
      <c r="P12343" s="1"/>
      <c r="Q12343" s="1"/>
      <c r="R12343" s="1"/>
      <c r="S12343" s="1"/>
      <c r="T12343" s="1"/>
      <c r="U12343" s="1"/>
      <c r="V12343" s="1"/>
      <c r="W12343" s="1"/>
      <c r="X12343" s="1"/>
      <c r="Y12343" s="1"/>
      <c r="Z12343" s="1"/>
      <c r="AA12343" s="1"/>
      <c r="AB12343" s="1"/>
    </row>
    <row r="12344" ht="50.25" customHeight="1">
      <c r="A12344" s="12">
        <v>12340.0</v>
      </c>
      <c r="B12344" s="13" t="s">
        <v>12057</v>
      </c>
      <c r="C12344" s="14" t="s">
        <v>12167</v>
      </c>
      <c r="D12344" s="1"/>
      <c r="E12344" s="1"/>
      <c r="F12344" s="1" t="str">
        <f>IFERROR(__xludf.DUMMYFUNCTION("GOOGLETRANSLATE(B12344, ""en"", ""fa"")
"),"والدین آگاهانه")</f>
        <v>والدین آگاهانه</v>
      </c>
      <c r="G12344" s="1" t="str">
        <f>IFERROR(__xludf.DUMMYFUNCTION("GOOGLETRANSLATE(C12344, ""en"", ""fa"")
"),"بررسی کنید که چگونه ذهن آگاهی توانایی کودک شما را برای تمرکز و مشارکت در فعالیت های یادگیری افزایش می دهد.")</f>
        <v>بررسی کنید که چگونه ذهن آگاهی توانایی کودک شما را برای تمرکز و مشارکت در فعالیت های یادگیری افزایش می دهد.</v>
      </c>
      <c r="H12344" s="1"/>
      <c r="I12344" s="1"/>
      <c r="J12344" s="1"/>
      <c r="K12344" s="1"/>
      <c r="L12344" s="1"/>
      <c r="M12344" s="1"/>
      <c r="N12344" s="1"/>
      <c r="O12344" s="1"/>
      <c r="P12344" s="1"/>
      <c r="Q12344" s="1"/>
      <c r="R12344" s="1"/>
      <c r="S12344" s="1"/>
      <c r="T12344" s="1"/>
      <c r="U12344" s="1"/>
      <c r="V12344" s="1"/>
      <c r="W12344" s="1"/>
      <c r="X12344" s="1"/>
      <c r="Y12344" s="1"/>
      <c r="Z12344" s="1"/>
      <c r="AA12344" s="1"/>
      <c r="AB12344" s="1"/>
    </row>
    <row r="12345" ht="50.25" customHeight="1">
      <c r="A12345" s="12">
        <v>12341.0</v>
      </c>
      <c r="B12345" s="13" t="s">
        <v>12057</v>
      </c>
      <c r="C12345" s="14" t="s">
        <v>12168</v>
      </c>
      <c r="D12345" s="1"/>
      <c r="E12345" s="1"/>
      <c r="F12345" s="1" t="str">
        <f>IFERROR(__xludf.DUMMYFUNCTION("GOOGLETRANSLATE(B12345, ""en"", ""fa"")
"),"والدین آگاهانه")</f>
        <v>والدین آگاهانه</v>
      </c>
      <c r="G12345" s="1" t="str">
        <f>IFERROR(__xludf.DUMMYFUNCTION("GOOGLETRANSLATE(C12345, ""en"", ""fa"")
"),"به نقش ذهن آگاهی در ترویج حل و فصل مسالمت آمیز تعارض در خانواده خود فکر کنید.")</f>
        <v>به نقش ذهن آگاهی در ترویج حل و فصل مسالمت آمیز تعارض در خانواده خود فکر کنید.</v>
      </c>
      <c r="H12345" s="1"/>
      <c r="I12345" s="1"/>
      <c r="J12345" s="1"/>
      <c r="K12345" s="1"/>
      <c r="L12345" s="1"/>
      <c r="M12345" s="1"/>
      <c r="N12345" s="1"/>
      <c r="O12345" s="1"/>
      <c r="P12345" s="1"/>
      <c r="Q12345" s="1"/>
      <c r="R12345" s="1"/>
      <c r="S12345" s="1"/>
      <c r="T12345" s="1"/>
      <c r="U12345" s="1"/>
      <c r="V12345" s="1"/>
      <c r="W12345" s="1"/>
      <c r="X12345" s="1"/>
      <c r="Y12345" s="1"/>
      <c r="Z12345" s="1"/>
      <c r="AA12345" s="1"/>
      <c r="AB12345" s="1"/>
    </row>
    <row r="12346" ht="50.25" customHeight="1">
      <c r="A12346" s="12">
        <v>12342.0</v>
      </c>
      <c r="B12346" s="13" t="s">
        <v>12057</v>
      </c>
      <c r="C12346" s="14" t="s">
        <v>12169</v>
      </c>
      <c r="D12346" s="1"/>
      <c r="E12346" s="1"/>
      <c r="F12346" s="1" t="str">
        <f>IFERROR(__xludf.DUMMYFUNCTION("GOOGLETRANSLATE(B12346, ""en"", ""fa"")
"),"والدین آگاهانه")</f>
        <v>والدین آگاهانه</v>
      </c>
      <c r="G12346" s="1" t="str">
        <f>IFERROR(__xludf.DUMMYFUNCTION("GOOGLETRANSLATE(C12346, ""en"", ""fa"")
"),"یک تمرین تجسم آگاهانه را که با فرزندتان انجام داده اید برای الهام بخشیدن به اهداف مثبت توصیف کنید.")</f>
        <v>یک تمرین تجسم آگاهانه را که با فرزندتان انجام داده اید برای الهام بخشیدن به اهداف مثبت توصیف کنید.</v>
      </c>
      <c r="H12346" s="1"/>
      <c r="I12346" s="1"/>
      <c r="J12346" s="1"/>
      <c r="K12346" s="1"/>
      <c r="L12346" s="1"/>
      <c r="M12346" s="1"/>
      <c r="N12346" s="1"/>
      <c r="O12346" s="1"/>
      <c r="P12346" s="1"/>
      <c r="Q12346" s="1"/>
      <c r="R12346" s="1"/>
      <c r="S12346" s="1"/>
      <c r="T12346" s="1"/>
      <c r="U12346" s="1"/>
      <c r="V12346" s="1"/>
      <c r="W12346" s="1"/>
      <c r="X12346" s="1"/>
      <c r="Y12346" s="1"/>
      <c r="Z12346" s="1"/>
      <c r="AA12346" s="1"/>
      <c r="AB12346" s="1"/>
    </row>
    <row r="12347" ht="50.25" customHeight="1">
      <c r="A12347" s="12">
        <v>12343.0</v>
      </c>
      <c r="B12347" s="13" t="s">
        <v>12057</v>
      </c>
      <c r="C12347" s="14" t="s">
        <v>12170</v>
      </c>
      <c r="D12347" s="1"/>
      <c r="E12347" s="1"/>
      <c r="F12347" s="1" t="str">
        <f>IFERROR(__xludf.DUMMYFUNCTION("GOOGLETRANSLATE(B12347, ""en"", ""fa"")
"),"والدین آگاهانه")</f>
        <v>والدین آگاهانه</v>
      </c>
      <c r="G12347" s="1" t="str">
        <f>IFERROR(__xludf.DUMMYFUNCTION("GOOGLETRANSLATE(C12347, ""en"", ""fa"")
"),"در مورد قدرت ذهن آگاهی در ایجاد یک محیط خانه آرام و هماهنگ بنویسید.")</f>
        <v>در مورد قدرت ذهن آگاهی در ایجاد یک محیط خانه آرام و هماهنگ بنویسید.</v>
      </c>
      <c r="H12347" s="1"/>
      <c r="I12347" s="1"/>
      <c r="J12347" s="1"/>
      <c r="K12347" s="1"/>
      <c r="L12347" s="1"/>
      <c r="M12347" s="1"/>
      <c r="N12347" s="1"/>
      <c r="O12347" s="1"/>
      <c r="P12347" s="1"/>
      <c r="Q12347" s="1"/>
      <c r="R12347" s="1"/>
      <c r="S12347" s="1"/>
      <c r="T12347" s="1"/>
      <c r="U12347" s="1"/>
      <c r="V12347" s="1"/>
      <c r="W12347" s="1"/>
      <c r="X12347" s="1"/>
      <c r="Y12347" s="1"/>
      <c r="Z12347" s="1"/>
      <c r="AA12347" s="1"/>
      <c r="AB12347" s="1"/>
    </row>
    <row r="12348" ht="50.25" customHeight="1">
      <c r="A12348" s="12">
        <v>12344.0</v>
      </c>
      <c r="B12348" s="13" t="s">
        <v>12057</v>
      </c>
      <c r="C12348" s="14" t="s">
        <v>12171</v>
      </c>
      <c r="D12348" s="1"/>
      <c r="E12348" s="1"/>
      <c r="F12348" s="1" t="str">
        <f>IFERROR(__xludf.DUMMYFUNCTION("GOOGLETRANSLATE(B12348, ""en"", ""fa"")
"),"والدین آگاهانه")</f>
        <v>والدین آگاهانه</v>
      </c>
      <c r="G12348" s="1" t="str">
        <f>IFERROR(__xludf.DUMMYFUNCTION("GOOGLETRANSLATE(C12348, ""en"", ""fa"")
"),"بررسی کنید که چگونه ذهن آگاهی به کودک شما کمک می کند تا خودآگاهی و درک احساسات خود را افزایش دهد.")</f>
        <v>بررسی کنید که چگونه ذهن آگاهی به کودک شما کمک می کند تا خودآگاهی و درک احساسات خود را افزایش دهد.</v>
      </c>
      <c r="H12348" s="1"/>
      <c r="I12348" s="1"/>
      <c r="J12348" s="1"/>
      <c r="K12348" s="1"/>
      <c r="L12348" s="1"/>
      <c r="M12348" s="1"/>
      <c r="N12348" s="1"/>
      <c r="O12348" s="1"/>
      <c r="P12348" s="1"/>
      <c r="Q12348" s="1"/>
      <c r="R12348" s="1"/>
      <c r="S12348" s="1"/>
      <c r="T12348" s="1"/>
      <c r="U12348" s="1"/>
      <c r="V12348" s="1"/>
      <c r="W12348" s="1"/>
      <c r="X12348" s="1"/>
      <c r="Y12348" s="1"/>
      <c r="Z12348" s="1"/>
      <c r="AA12348" s="1"/>
      <c r="AB12348" s="1"/>
    </row>
    <row r="12349" ht="50.25" customHeight="1">
      <c r="A12349" s="12">
        <v>12345.0</v>
      </c>
      <c r="B12349" s="13" t="s">
        <v>12057</v>
      </c>
      <c r="C12349" s="14" t="s">
        <v>12172</v>
      </c>
      <c r="D12349" s="1"/>
      <c r="E12349" s="1"/>
      <c r="F12349" s="1" t="str">
        <f>IFERROR(__xludf.DUMMYFUNCTION("GOOGLETRANSLATE(B12349, ""en"", ""fa"")
"),"والدین آگاهانه")</f>
        <v>والدین آگاهانه</v>
      </c>
      <c r="G12349" s="1" t="str">
        <f>IFERROR(__xludf.DUMMYFUNCTION("GOOGLETRANSLATE(C12349, ""en"", ""fa"")
"),"به شکار رفتگر طبیعت مبتنی بر ذهن آگاهی فکر کنید که شما و فرزندتان با هم از آن لذت برده اید.")</f>
        <v>به شکار رفتگر طبیعت مبتنی بر ذهن آگاهی فکر کنید که شما و فرزندتان با هم از آن لذت برده اید.</v>
      </c>
      <c r="H12349" s="1"/>
      <c r="I12349" s="1"/>
      <c r="J12349" s="1"/>
      <c r="K12349" s="1"/>
      <c r="L12349" s="1"/>
      <c r="M12349" s="1"/>
      <c r="N12349" s="1"/>
      <c r="O12349" s="1"/>
      <c r="P12349" s="1"/>
      <c r="Q12349" s="1"/>
      <c r="R12349" s="1"/>
      <c r="S12349" s="1"/>
      <c r="T12349" s="1"/>
      <c r="U12349" s="1"/>
      <c r="V12349" s="1"/>
      <c r="W12349" s="1"/>
      <c r="X12349" s="1"/>
      <c r="Y12349" s="1"/>
      <c r="Z12349" s="1"/>
      <c r="AA12349" s="1"/>
      <c r="AB12349" s="1"/>
    </row>
    <row r="12350" ht="50.25" customHeight="1">
      <c r="A12350" s="12">
        <v>12346.0</v>
      </c>
      <c r="B12350" s="13" t="s">
        <v>12057</v>
      </c>
      <c r="C12350" s="14" t="s">
        <v>12173</v>
      </c>
      <c r="D12350" s="1"/>
      <c r="E12350" s="1"/>
      <c r="F12350" s="1" t="str">
        <f>IFERROR(__xludf.DUMMYFUNCTION("GOOGLETRANSLATE(B12350, ""en"", ""fa"")
"),"والدین آگاهانه")</f>
        <v>والدین آگاهانه</v>
      </c>
      <c r="G12350" s="1" t="str">
        <f>IFERROR(__xludf.DUMMYFUNCTION("GOOGLETRANSLATE(C12350, ""en"", ""fa"")
"),"یک فعالیت گوش دادن آگاهانه را توصیف کنید که ارتباط و ارتباط شما با فرزندتان را عمیق تر می کند.")</f>
        <v>یک فعالیت گوش دادن آگاهانه را توصیف کنید که ارتباط و ارتباط شما با فرزندتان را عمیق تر می کند.</v>
      </c>
      <c r="H12350" s="1"/>
      <c r="I12350" s="1"/>
      <c r="J12350" s="1"/>
      <c r="K12350" s="1"/>
      <c r="L12350" s="1"/>
      <c r="M12350" s="1"/>
      <c r="N12350" s="1"/>
      <c r="O12350" s="1"/>
      <c r="P12350" s="1"/>
      <c r="Q12350" s="1"/>
      <c r="R12350" s="1"/>
      <c r="S12350" s="1"/>
      <c r="T12350" s="1"/>
      <c r="U12350" s="1"/>
      <c r="V12350" s="1"/>
      <c r="W12350" s="1"/>
      <c r="X12350" s="1"/>
      <c r="Y12350" s="1"/>
      <c r="Z12350" s="1"/>
      <c r="AA12350" s="1"/>
      <c r="AB12350" s="1"/>
    </row>
    <row r="12351" ht="50.25" customHeight="1">
      <c r="A12351" s="12">
        <v>12347.0</v>
      </c>
      <c r="B12351" s="13" t="s">
        <v>12057</v>
      </c>
      <c r="C12351" s="14" t="s">
        <v>12174</v>
      </c>
      <c r="D12351" s="1"/>
      <c r="E12351" s="1"/>
      <c r="F12351" s="1" t="str">
        <f>IFERROR(__xludf.DUMMYFUNCTION("GOOGLETRANSLATE(B12351, ""en"", ""fa"")
"),"والدین آگاهانه")</f>
        <v>والدین آگاهانه</v>
      </c>
      <c r="G12351" s="1" t="str">
        <f>IFERROR(__xludf.DUMMYFUNCTION("GOOGLETRANSLATE(C12351, ""en"", ""fa"")
"),"در مورد مزایای گنجاندن ذهن آگاهی در برنامه خواب کودکتان برای خواب بهتر بنویسید.")</f>
        <v>در مورد مزایای گنجاندن ذهن آگاهی در برنامه خواب کودکتان برای خواب بهتر بنویسید.</v>
      </c>
      <c r="H12351" s="1"/>
      <c r="I12351" s="1"/>
      <c r="J12351" s="1"/>
      <c r="K12351" s="1"/>
      <c r="L12351" s="1"/>
      <c r="M12351" s="1"/>
      <c r="N12351" s="1"/>
      <c r="O12351" s="1"/>
      <c r="P12351" s="1"/>
      <c r="Q12351" s="1"/>
      <c r="R12351" s="1"/>
      <c r="S12351" s="1"/>
      <c r="T12351" s="1"/>
      <c r="U12351" s="1"/>
      <c r="V12351" s="1"/>
      <c r="W12351" s="1"/>
      <c r="X12351" s="1"/>
      <c r="Y12351" s="1"/>
      <c r="Z12351" s="1"/>
      <c r="AA12351" s="1"/>
      <c r="AB12351" s="1"/>
    </row>
    <row r="12352" ht="50.25" customHeight="1">
      <c r="A12352" s="12">
        <v>12348.0</v>
      </c>
      <c r="B12352" s="13" t="s">
        <v>12057</v>
      </c>
      <c r="C12352" s="14" t="s">
        <v>12175</v>
      </c>
      <c r="D12352" s="1"/>
      <c r="E12352" s="1"/>
      <c r="F12352" s="1" t="str">
        <f>IFERROR(__xludf.DUMMYFUNCTION("GOOGLETRANSLATE(B12352, ""en"", ""fa"")
"),"والدین آگاهانه")</f>
        <v>والدین آگاهانه</v>
      </c>
      <c r="G12352" s="1" t="str">
        <f>IFERROR(__xludf.DUMMYFUNCTION("GOOGLETRANSLATE(C12352, ""en"", ""fa"")
"),"کاوش کنید که چگونه ذهن آگاهی از توانایی فرزند شما برای کنترل آسان انتقال ها و تغییرات پشتیبانی می کند.")</f>
        <v>کاوش کنید که چگونه ذهن آگاهی از توانایی فرزند شما برای کنترل آسان انتقال ها و تغییرات پشتیبانی می کند.</v>
      </c>
      <c r="H12352" s="1"/>
      <c r="I12352" s="1"/>
      <c r="J12352" s="1"/>
      <c r="K12352" s="1"/>
      <c r="L12352" s="1"/>
      <c r="M12352" s="1"/>
      <c r="N12352" s="1"/>
      <c r="O12352" s="1"/>
      <c r="P12352" s="1"/>
      <c r="Q12352" s="1"/>
      <c r="R12352" s="1"/>
      <c r="S12352" s="1"/>
      <c r="T12352" s="1"/>
      <c r="U12352" s="1"/>
      <c r="V12352" s="1"/>
      <c r="W12352" s="1"/>
      <c r="X12352" s="1"/>
      <c r="Y12352" s="1"/>
      <c r="Z12352" s="1"/>
      <c r="AA12352" s="1"/>
      <c r="AB12352" s="1"/>
    </row>
    <row r="12353" ht="50.25" customHeight="1">
      <c r="A12353" s="12">
        <v>12349.0</v>
      </c>
      <c r="B12353" s="13" t="s">
        <v>12057</v>
      </c>
      <c r="C12353" s="14" t="s">
        <v>12176</v>
      </c>
      <c r="D12353" s="1"/>
      <c r="E12353" s="1"/>
      <c r="F12353" s="1" t="str">
        <f>IFERROR(__xludf.DUMMYFUNCTION("GOOGLETRANSLATE(B12353, ""en"", ""fa"")
"),"والدین آگاهانه")</f>
        <v>والدین آگاهانه</v>
      </c>
      <c r="G12353" s="1" t="str">
        <f>IFERROR(__xludf.DUMMYFUNCTION("GOOGLETRANSLATE(C12353, ""en"", ""fa"")
"),"به نقش ذهن آگاهی در پرورش حس قوی هویت و ارزش های خانوادگی فکر کنید.")</f>
        <v>به نقش ذهن آگاهی در پرورش حس قوی هویت و ارزش های خانوادگی فکر کنید.</v>
      </c>
      <c r="H12353" s="1"/>
      <c r="I12353" s="1"/>
      <c r="J12353" s="1"/>
      <c r="K12353" s="1"/>
      <c r="L12353" s="1"/>
      <c r="M12353" s="1"/>
      <c r="N12353" s="1"/>
      <c r="O12353" s="1"/>
      <c r="P12353" s="1"/>
      <c r="Q12353" s="1"/>
      <c r="R12353" s="1"/>
      <c r="S12353" s="1"/>
      <c r="T12353" s="1"/>
      <c r="U12353" s="1"/>
      <c r="V12353" s="1"/>
      <c r="W12353" s="1"/>
      <c r="X12353" s="1"/>
      <c r="Y12353" s="1"/>
      <c r="Z12353" s="1"/>
      <c r="AA12353" s="1"/>
      <c r="AB12353" s="1"/>
    </row>
    <row r="12354" ht="50.25" customHeight="1">
      <c r="A12354" s="12">
        <v>12350.0</v>
      </c>
      <c r="B12354" s="13" t="s">
        <v>12057</v>
      </c>
      <c r="C12354" s="14" t="s">
        <v>12177</v>
      </c>
      <c r="D12354" s="1"/>
      <c r="E12354" s="1"/>
      <c r="F12354" s="1" t="str">
        <f>IFERROR(__xludf.DUMMYFUNCTION("GOOGLETRANSLATE(B12354, ""en"", ""fa"")
"),"والدین آگاهانه")</f>
        <v>والدین آگاهانه</v>
      </c>
      <c r="G12354" s="1" t="str">
        <f>IFERROR(__xludf.DUMMYFUNCTION("GOOGLETRANSLATE(C12354, ""en"", ""fa"")
"),"یک فعالیت مبتنی بر ذهن آگاهی را توصیف کنید که خلاقیت و تخیل را در کودک شما تشویق می کند.")</f>
        <v>یک فعالیت مبتنی بر ذهن آگاهی را توصیف کنید که خلاقیت و تخیل را در کودک شما تشویق می کند.</v>
      </c>
      <c r="H12354" s="1"/>
      <c r="I12354" s="1"/>
      <c r="J12354" s="1"/>
      <c r="K12354" s="1"/>
      <c r="L12354" s="1"/>
      <c r="M12354" s="1"/>
      <c r="N12354" s="1"/>
      <c r="O12354" s="1"/>
      <c r="P12354" s="1"/>
      <c r="Q12354" s="1"/>
      <c r="R12354" s="1"/>
      <c r="S12354" s="1"/>
      <c r="T12354" s="1"/>
      <c r="U12354" s="1"/>
      <c r="V12354" s="1"/>
      <c r="W12354" s="1"/>
      <c r="X12354" s="1"/>
      <c r="Y12354" s="1"/>
      <c r="Z12354" s="1"/>
      <c r="AA12354" s="1"/>
      <c r="AB12354" s="1"/>
    </row>
    <row r="12355" ht="50.25" customHeight="1">
      <c r="A12355" s="12">
        <v>12351.0</v>
      </c>
      <c r="B12355" s="13" t="s">
        <v>12057</v>
      </c>
      <c r="C12355" s="14" t="s">
        <v>12178</v>
      </c>
      <c r="D12355" s="1"/>
      <c r="E12355" s="1"/>
      <c r="F12355" s="1" t="str">
        <f>IFERROR(__xludf.DUMMYFUNCTION("GOOGLETRANSLATE(B12355, ""en"", ""fa"")
"),"والدین آگاهانه")</f>
        <v>والدین آگاهانه</v>
      </c>
      <c r="G12355" s="1" t="str">
        <f>IFERROR(__xludf.DUMMYFUNCTION("GOOGLETRANSLATE(C12355, ""en"", ""fa"")
"),"در مورد اینکه چگونه ذهن آگاهی توانایی شما برای صبور بودن و درک را در زمان های چالش برانگیز افزایش می دهد، بنویسید.")</f>
        <v>در مورد اینکه چگونه ذهن آگاهی توانایی شما برای صبور بودن و درک را در زمان های چالش برانگیز افزایش می دهد، بنویسید.</v>
      </c>
      <c r="H12355" s="1"/>
      <c r="I12355" s="1"/>
      <c r="J12355" s="1"/>
      <c r="K12355" s="1"/>
      <c r="L12355" s="1"/>
      <c r="M12355" s="1"/>
      <c r="N12355" s="1"/>
      <c r="O12355" s="1"/>
      <c r="P12355" s="1"/>
      <c r="Q12355" s="1"/>
      <c r="R12355" s="1"/>
      <c r="S12355" s="1"/>
      <c r="T12355" s="1"/>
      <c r="U12355" s="1"/>
      <c r="V12355" s="1"/>
      <c r="W12355" s="1"/>
      <c r="X12355" s="1"/>
      <c r="Y12355" s="1"/>
      <c r="Z12355" s="1"/>
      <c r="AA12355" s="1"/>
      <c r="AB12355" s="1"/>
    </row>
    <row r="12356" ht="50.25" customHeight="1">
      <c r="A12356" s="12">
        <v>12352.0</v>
      </c>
      <c r="B12356" s="13" t="s">
        <v>12057</v>
      </c>
      <c r="C12356" s="14" t="s">
        <v>12179</v>
      </c>
      <c r="D12356" s="1"/>
      <c r="E12356" s="1"/>
      <c r="F12356" s="1" t="str">
        <f>IFERROR(__xludf.DUMMYFUNCTION("GOOGLETRANSLATE(B12356, ""en"", ""fa"")
"),"والدین آگاهانه")</f>
        <v>والدین آگاهانه</v>
      </c>
      <c r="G12356" s="1" t="str">
        <f>IFERROR(__xludf.DUMMYFUNCTION("GOOGLETRANSLATE(C12356, ""en"", ""fa"")
"),"اثرات مثبت ذهن آگاهی را بر توانایی فرزندتان برای کنار آمدن با تعاملات همسالان بررسی کنید.")</f>
        <v>اثرات مثبت ذهن آگاهی را بر توانایی فرزندتان برای کنار آمدن با تعاملات همسالان بررسی کنید.</v>
      </c>
      <c r="H12356" s="1"/>
      <c r="I12356" s="1"/>
      <c r="J12356" s="1"/>
      <c r="K12356" s="1"/>
      <c r="L12356" s="1"/>
      <c r="M12356" s="1"/>
      <c r="N12356" s="1"/>
      <c r="O12356" s="1"/>
      <c r="P12356" s="1"/>
      <c r="Q12356" s="1"/>
      <c r="R12356" s="1"/>
      <c r="S12356" s="1"/>
      <c r="T12356" s="1"/>
      <c r="U12356" s="1"/>
      <c r="V12356" s="1"/>
      <c r="W12356" s="1"/>
      <c r="X12356" s="1"/>
      <c r="Y12356" s="1"/>
      <c r="Z12356" s="1"/>
      <c r="AA12356" s="1"/>
      <c r="AB12356" s="1"/>
    </row>
    <row r="12357" ht="50.25" customHeight="1">
      <c r="A12357" s="12">
        <v>12353.0</v>
      </c>
      <c r="B12357" s="13" t="s">
        <v>12057</v>
      </c>
      <c r="C12357" s="14" t="s">
        <v>12180</v>
      </c>
      <c r="D12357" s="1"/>
      <c r="E12357" s="1"/>
      <c r="F12357" s="1" t="str">
        <f>IFERROR(__xludf.DUMMYFUNCTION("GOOGLETRANSLATE(B12357, ""en"", ""fa"")
"),"والدین آگاهانه")</f>
        <v>والدین آگاهانه</v>
      </c>
      <c r="G12357" s="1" t="str">
        <f>IFERROR(__xludf.DUMMYFUNCTION("GOOGLETRANSLATE(C12357, ""en"", ""fa"")
"),"در مورد یک تکنیک تنفس آگاهانه فکر کنید که به خانواده شما کمک می کند تا در کنار هم آرام و آرام شوند.")</f>
        <v>در مورد یک تکنیک تنفس آگاهانه فکر کنید که به خانواده شما کمک می کند تا در کنار هم آرام و آرام شوند.</v>
      </c>
      <c r="H12357" s="1"/>
      <c r="I12357" s="1"/>
      <c r="J12357" s="1"/>
      <c r="K12357" s="1"/>
      <c r="L12357" s="1"/>
      <c r="M12357" s="1"/>
      <c r="N12357" s="1"/>
      <c r="O12357" s="1"/>
      <c r="P12357" s="1"/>
      <c r="Q12357" s="1"/>
      <c r="R12357" s="1"/>
      <c r="S12357" s="1"/>
      <c r="T12357" s="1"/>
      <c r="U12357" s="1"/>
      <c r="V12357" s="1"/>
      <c r="W12357" s="1"/>
      <c r="X12357" s="1"/>
      <c r="Y12357" s="1"/>
      <c r="Z12357" s="1"/>
      <c r="AA12357" s="1"/>
      <c r="AB12357" s="1"/>
    </row>
    <row r="12358" ht="50.25" customHeight="1">
      <c r="A12358" s="12">
        <v>12354.0</v>
      </c>
      <c r="B12358" s="13" t="s">
        <v>12057</v>
      </c>
      <c r="C12358" s="14" t="s">
        <v>12181</v>
      </c>
      <c r="D12358" s="1"/>
      <c r="E12358" s="1"/>
      <c r="F12358" s="1" t="str">
        <f>IFERROR(__xludf.DUMMYFUNCTION("GOOGLETRANSLATE(B12358, ""en"", ""fa"")
"),"والدین آگاهانه")</f>
        <v>والدین آگاهانه</v>
      </c>
      <c r="G12358" s="1" t="str">
        <f>IFERROR(__xludf.DUMMYFUNCTION("GOOGLETRANSLATE(C12358, ""en"", ""fa"")
"),"یک حلقه قدردانی مبتنی بر ذهن آگاهی را که به عنوان یک خانواده انجام داده اید برای ابراز قدردانی توصیف کنید.")</f>
        <v>یک حلقه قدردانی مبتنی بر ذهن آگاهی را که به عنوان یک خانواده انجام داده اید برای ابراز قدردانی توصیف کنید.</v>
      </c>
      <c r="H12358" s="1"/>
      <c r="I12358" s="1"/>
      <c r="J12358" s="1"/>
      <c r="K12358" s="1"/>
      <c r="L12358" s="1"/>
      <c r="M12358" s="1"/>
      <c r="N12358" s="1"/>
      <c r="O12358" s="1"/>
      <c r="P12358" s="1"/>
      <c r="Q12358" s="1"/>
      <c r="R12358" s="1"/>
      <c r="S12358" s="1"/>
      <c r="T12358" s="1"/>
      <c r="U12358" s="1"/>
      <c r="V12358" s="1"/>
      <c r="W12358" s="1"/>
      <c r="X12358" s="1"/>
      <c r="Y12358" s="1"/>
      <c r="Z12358" s="1"/>
      <c r="AA12358" s="1"/>
      <c r="AB12358" s="1"/>
    </row>
    <row r="12359" ht="50.25" customHeight="1">
      <c r="A12359" s="12">
        <v>12355.0</v>
      </c>
      <c r="B12359" s="13" t="s">
        <v>12057</v>
      </c>
      <c r="C12359" s="14" t="s">
        <v>12182</v>
      </c>
      <c r="D12359" s="1"/>
      <c r="E12359" s="1"/>
      <c r="F12359" s="1" t="str">
        <f>IFERROR(__xludf.DUMMYFUNCTION("GOOGLETRANSLATE(B12359, ""en"", ""fa"")
"),"والدین آگاهانه")</f>
        <v>والدین آگاهانه</v>
      </c>
      <c r="G12359" s="1" t="str">
        <f>IFERROR(__xludf.DUMMYFUNCTION("GOOGLETRANSLATE(C12359, ""en"", ""fa"")
"),"در مورد نقش ذهن آگاهی در ترویج همدلی و شفقت نسبت به دیگران در فرزندتان بنویسید.")</f>
        <v>در مورد نقش ذهن آگاهی در ترویج همدلی و شفقت نسبت به دیگران در فرزندتان بنویسید.</v>
      </c>
      <c r="H12359" s="1"/>
      <c r="I12359" s="1"/>
      <c r="J12359" s="1"/>
      <c r="K12359" s="1"/>
      <c r="L12359" s="1"/>
      <c r="M12359" s="1"/>
      <c r="N12359" s="1"/>
      <c r="O12359" s="1"/>
      <c r="P12359" s="1"/>
      <c r="Q12359" s="1"/>
      <c r="R12359" s="1"/>
      <c r="S12359" s="1"/>
      <c r="T12359" s="1"/>
      <c r="U12359" s="1"/>
      <c r="V12359" s="1"/>
      <c r="W12359" s="1"/>
      <c r="X12359" s="1"/>
      <c r="Y12359" s="1"/>
      <c r="Z12359" s="1"/>
      <c r="AA12359" s="1"/>
      <c r="AB12359" s="1"/>
    </row>
    <row r="12360" ht="50.25" customHeight="1">
      <c r="A12360" s="12">
        <v>12356.0</v>
      </c>
      <c r="B12360" s="13" t="s">
        <v>12057</v>
      </c>
      <c r="C12360" s="14" t="s">
        <v>12183</v>
      </c>
      <c r="D12360" s="1"/>
      <c r="E12360" s="1"/>
      <c r="F12360" s="1" t="str">
        <f>IFERROR(__xludf.DUMMYFUNCTION("GOOGLETRANSLATE(B12360, ""en"", ""fa"")
"),"والدین آگاهانه")</f>
        <v>والدین آگاهانه</v>
      </c>
      <c r="G12360" s="1" t="str">
        <f>IFERROR(__xludf.DUMMYFUNCTION("GOOGLETRANSLATE(C12360, ""en"", ""fa"")
"),"بررسی کنید که چگونه ذهن آگاهی از مهارت های اجتماعی و انعطاف پذیری عاطفی کودک شما حمایت می کند.")</f>
        <v>بررسی کنید که چگونه ذهن آگاهی از مهارت های اجتماعی و انعطاف پذیری عاطفی کودک شما حمایت می کند.</v>
      </c>
      <c r="H12360" s="1"/>
      <c r="I12360" s="1"/>
      <c r="J12360" s="1"/>
      <c r="K12360" s="1"/>
      <c r="L12360" s="1"/>
      <c r="M12360" s="1"/>
      <c r="N12360" s="1"/>
      <c r="O12360" s="1"/>
      <c r="P12360" s="1"/>
      <c r="Q12360" s="1"/>
      <c r="R12360" s="1"/>
      <c r="S12360" s="1"/>
      <c r="T12360" s="1"/>
      <c r="U12360" s="1"/>
      <c r="V12360" s="1"/>
      <c r="W12360" s="1"/>
      <c r="X12360" s="1"/>
      <c r="Y12360" s="1"/>
      <c r="Z12360" s="1"/>
      <c r="AA12360" s="1"/>
      <c r="AB12360" s="1"/>
    </row>
    <row r="12361" ht="50.25" customHeight="1">
      <c r="A12361" s="12">
        <v>12357.0</v>
      </c>
      <c r="B12361" s="13" t="s">
        <v>12057</v>
      </c>
      <c r="C12361" s="14" t="s">
        <v>12184</v>
      </c>
      <c r="D12361" s="1"/>
      <c r="E12361" s="1"/>
      <c r="F12361" s="1" t="str">
        <f>IFERROR(__xludf.DUMMYFUNCTION("GOOGLETRANSLATE(B12361, ""en"", ""fa"")
"),"والدین آگاهانه")</f>
        <v>والدین آگاهانه</v>
      </c>
      <c r="G12361" s="1" t="str">
        <f>IFERROR(__xludf.DUMMYFUNCTION("GOOGLETRANSLATE(C12361, ""en"", ""fa"")
"),"در مورد یک تمرین غذایی آگاهانه فکر کنید که کودک شما را تشویق می کند تا هر لقمه را بچشد و با آگاهی غذا بخورد.")</f>
        <v>در مورد یک تمرین غذایی آگاهانه فکر کنید که کودک شما را تشویق می کند تا هر لقمه را بچشد و با آگاهی غذا بخورد.</v>
      </c>
      <c r="H12361" s="1"/>
      <c r="I12361" s="1"/>
      <c r="J12361" s="1"/>
      <c r="K12361" s="1"/>
      <c r="L12361" s="1"/>
      <c r="M12361" s="1"/>
      <c r="N12361" s="1"/>
      <c r="O12361" s="1"/>
      <c r="P12361" s="1"/>
      <c r="Q12361" s="1"/>
      <c r="R12361" s="1"/>
      <c r="S12361" s="1"/>
      <c r="T12361" s="1"/>
      <c r="U12361" s="1"/>
      <c r="V12361" s="1"/>
      <c r="W12361" s="1"/>
      <c r="X12361" s="1"/>
      <c r="Y12361" s="1"/>
      <c r="Z12361" s="1"/>
      <c r="AA12361" s="1"/>
      <c r="AB12361" s="1"/>
    </row>
    <row r="12362" ht="50.25" customHeight="1">
      <c r="A12362" s="12">
        <v>12358.0</v>
      </c>
      <c r="B12362" s="13" t="s">
        <v>12057</v>
      </c>
      <c r="C12362" s="14" t="s">
        <v>12185</v>
      </c>
      <c r="D12362" s="1"/>
      <c r="E12362" s="1"/>
      <c r="F12362" s="1" t="str">
        <f>IFERROR(__xludf.DUMMYFUNCTION("GOOGLETRANSLATE(B12362, ""en"", ""fa"")
"),"والدین آگاهانه")</f>
        <v>والدین آگاهانه</v>
      </c>
      <c r="G12362" s="1" t="str">
        <f>IFERROR(__xludf.DUMMYFUNCTION("GOOGLETRANSLATE(C12362, ""en"", ""fa"")
"),"یک فعالیت داستان سرایی مبتنی بر ذهن آگاهی را که شما و فرزندتان با هم از آن لذت برده اید، توضیح دهید.")</f>
        <v>یک فعالیت داستان سرایی مبتنی بر ذهن آگاهی را که شما و فرزندتان با هم از آن لذت برده اید، توضیح دهید.</v>
      </c>
      <c r="H12362" s="1"/>
      <c r="I12362" s="1"/>
      <c r="J12362" s="1"/>
      <c r="K12362" s="1"/>
      <c r="L12362" s="1"/>
      <c r="M12362" s="1"/>
      <c r="N12362" s="1"/>
      <c r="O12362" s="1"/>
      <c r="P12362" s="1"/>
      <c r="Q12362" s="1"/>
      <c r="R12362" s="1"/>
      <c r="S12362" s="1"/>
      <c r="T12362" s="1"/>
      <c r="U12362" s="1"/>
      <c r="V12362" s="1"/>
      <c r="W12362" s="1"/>
      <c r="X12362" s="1"/>
      <c r="Y12362" s="1"/>
      <c r="Z12362" s="1"/>
      <c r="AA12362" s="1"/>
      <c r="AB12362" s="1"/>
    </row>
    <row r="12363" ht="50.25" customHeight="1">
      <c r="A12363" s="12">
        <v>12359.0</v>
      </c>
      <c r="B12363" s="13" t="s">
        <v>12057</v>
      </c>
      <c r="C12363" s="14" t="s">
        <v>12186</v>
      </c>
      <c r="D12363" s="1"/>
      <c r="E12363" s="1"/>
      <c r="F12363" s="1" t="str">
        <f>IFERROR(__xludf.DUMMYFUNCTION("GOOGLETRANSLATE(B12363, ""en"", ""fa"")
"),"والدین آگاهانه")</f>
        <v>والدین آگاهانه</v>
      </c>
      <c r="G12363" s="1" t="str">
        <f>IFERROR(__xludf.DUMMYFUNCTION("GOOGLETRANSLATE(C12363, ""en"", ""fa"")
"),"در مورد اینکه چگونه ذهن آگاهی توانایی شما را برای نزدیک شدن به والدین با قلب و ذهن باز افزایش می دهد بنویسید.")</f>
        <v>در مورد اینکه چگونه ذهن آگاهی توانایی شما را برای نزدیک شدن به والدین با قلب و ذهن باز افزایش می دهد بنویسید.</v>
      </c>
      <c r="H12363" s="1"/>
      <c r="I12363" s="1"/>
      <c r="J12363" s="1"/>
      <c r="K12363" s="1"/>
      <c r="L12363" s="1"/>
      <c r="M12363" s="1"/>
      <c r="N12363" s="1"/>
      <c r="O12363" s="1"/>
      <c r="P12363" s="1"/>
      <c r="Q12363" s="1"/>
      <c r="R12363" s="1"/>
      <c r="S12363" s="1"/>
      <c r="T12363" s="1"/>
      <c r="U12363" s="1"/>
      <c r="V12363" s="1"/>
      <c r="W12363" s="1"/>
      <c r="X12363" s="1"/>
      <c r="Y12363" s="1"/>
      <c r="Z12363" s="1"/>
      <c r="AA12363" s="1"/>
      <c r="AB12363" s="1"/>
    </row>
    <row r="12364" ht="50.25" customHeight="1">
      <c r="A12364" s="12">
        <v>12360.0</v>
      </c>
      <c r="B12364" s="13" t="s">
        <v>12057</v>
      </c>
      <c r="C12364" s="14" t="s">
        <v>12187</v>
      </c>
      <c r="D12364" s="1"/>
      <c r="E12364" s="1"/>
      <c r="F12364" s="1" t="str">
        <f>IFERROR(__xludf.DUMMYFUNCTION("GOOGLETRANSLATE(B12364, ""en"", ""fa"")
"),"والدین آگاهانه")</f>
        <v>والدین آگاهانه</v>
      </c>
      <c r="G12364" s="1" t="str">
        <f>IFERROR(__xludf.DUMMYFUNCTION("GOOGLETRANSLATE(C12364, ""en"", ""fa"")
"),"مزایای گنجاندن ذهن آگاهی را در جشن های خانوادگی و لحظات خاص کاوش کنید.")</f>
        <v>مزایای گنجاندن ذهن آگاهی را در جشن های خانوادگی و لحظات خاص کاوش کنید.</v>
      </c>
      <c r="H12364" s="1"/>
      <c r="I12364" s="1"/>
      <c r="J12364" s="1"/>
      <c r="K12364" s="1"/>
      <c r="L12364" s="1"/>
      <c r="M12364" s="1"/>
      <c r="N12364" s="1"/>
      <c r="O12364" s="1"/>
      <c r="P12364" s="1"/>
      <c r="Q12364" s="1"/>
      <c r="R12364" s="1"/>
      <c r="S12364" s="1"/>
      <c r="T12364" s="1"/>
      <c r="U12364" s="1"/>
      <c r="V12364" s="1"/>
      <c r="W12364" s="1"/>
      <c r="X12364" s="1"/>
      <c r="Y12364" s="1"/>
      <c r="Z12364" s="1"/>
      <c r="AA12364" s="1"/>
      <c r="AB12364" s="1"/>
    </row>
    <row r="12365" ht="50.25" customHeight="1">
      <c r="A12365" s="12">
        <v>12361.0</v>
      </c>
      <c r="B12365" s="13" t="s">
        <v>12057</v>
      </c>
      <c r="C12365" s="14" t="s">
        <v>12188</v>
      </c>
      <c r="D12365" s="1"/>
      <c r="E12365" s="1"/>
      <c r="F12365" s="1" t="str">
        <f>IFERROR(__xludf.DUMMYFUNCTION("GOOGLETRANSLATE(B12365, ""en"", ""fa"")
"),"والدین آگاهانه")</f>
        <v>والدین آگاهانه</v>
      </c>
      <c r="G12365" s="1" t="str">
        <f>IFERROR(__xludf.DUMMYFUNCTION("GOOGLETRANSLATE(C12365, ""en"", ""fa"")
"),"در مورد یک تکنیک تنفس آگاهانه فکر کنید که به شما و فرزندتان در مدیریت استرس در زمان‌های چالش‌برانگیز کمک کرده است.")</f>
        <v>در مورد یک تکنیک تنفس آگاهانه فکر کنید که به شما و فرزندتان در مدیریت استرس در زمان‌های چالش‌برانگیز کمک کرده است.</v>
      </c>
      <c r="H12365" s="1"/>
      <c r="I12365" s="1"/>
      <c r="J12365" s="1"/>
      <c r="K12365" s="1"/>
      <c r="L12365" s="1"/>
      <c r="M12365" s="1"/>
      <c r="N12365" s="1"/>
      <c r="O12365" s="1"/>
      <c r="P12365" s="1"/>
      <c r="Q12365" s="1"/>
      <c r="R12365" s="1"/>
      <c r="S12365" s="1"/>
      <c r="T12365" s="1"/>
      <c r="U12365" s="1"/>
      <c r="V12365" s="1"/>
      <c r="W12365" s="1"/>
      <c r="X12365" s="1"/>
      <c r="Y12365" s="1"/>
      <c r="Z12365" s="1"/>
      <c r="AA12365" s="1"/>
      <c r="AB12365" s="1"/>
    </row>
    <row r="12366" ht="50.25" customHeight="1">
      <c r="A12366" s="12">
        <v>12362.0</v>
      </c>
      <c r="B12366" s="13" t="s">
        <v>12057</v>
      </c>
      <c r="C12366" s="14" t="s">
        <v>12189</v>
      </c>
      <c r="D12366" s="1"/>
      <c r="E12366" s="1"/>
      <c r="F12366" s="1" t="str">
        <f>IFERROR(__xludf.DUMMYFUNCTION("GOOGLETRANSLATE(B12366, ""en"", ""fa"")
"),"والدین آگاهانه")</f>
        <v>والدین آگاهانه</v>
      </c>
      <c r="G12366" s="1" t="str">
        <f>IFERROR(__xludf.DUMMYFUNCTION("GOOGLETRANSLATE(C12366, ""en"", ""fa"")
"),"یک فعالیت مبتنی بر ذهن آگاهی را توصیف کنید که کودک شما را تشویق می کند تا زیبایی طبیعت و محیط را درک کند.")</f>
        <v>یک فعالیت مبتنی بر ذهن آگاهی را توصیف کنید که کودک شما را تشویق می کند تا زیبایی طبیعت و محیط را درک کند.</v>
      </c>
      <c r="H12366" s="1"/>
      <c r="I12366" s="1"/>
      <c r="J12366" s="1"/>
      <c r="K12366" s="1"/>
      <c r="L12366" s="1"/>
      <c r="M12366" s="1"/>
      <c r="N12366" s="1"/>
      <c r="O12366" s="1"/>
      <c r="P12366" s="1"/>
      <c r="Q12366" s="1"/>
      <c r="R12366" s="1"/>
      <c r="S12366" s="1"/>
      <c r="T12366" s="1"/>
      <c r="U12366" s="1"/>
      <c r="V12366" s="1"/>
      <c r="W12366" s="1"/>
      <c r="X12366" s="1"/>
      <c r="Y12366" s="1"/>
      <c r="Z12366" s="1"/>
      <c r="AA12366" s="1"/>
      <c r="AB12366" s="1"/>
    </row>
    <row r="12367" ht="50.25" customHeight="1">
      <c r="A12367" s="12">
        <v>12363.0</v>
      </c>
      <c r="B12367" s="13" t="s">
        <v>12057</v>
      </c>
      <c r="C12367" s="14" t="s">
        <v>12190</v>
      </c>
      <c r="D12367" s="1"/>
      <c r="E12367" s="1"/>
      <c r="F12367" s="1" t="str">
        <f>IFERROR(__xludf.DUMMYFUNCTION("GOOGLETRANSLATE(B12367, ""en"", ""fa"")
"),"والدین آگاهانه")</f>
        <v>والدین آگاهانه</v>
      </c>
      <c r="G12367" s="1" t="str">
        <f>IFERROR(__xludf.DUMMYFUNCTION("GOOGLETRANSLATE(C12367, ""en"", ""fa"")
"),"در مورد مزایای گنجاندن ذهن آگاهی در برنامه روزانه مدرسه فرزندتان برای افزایش تمرکز و یادگیری بنویسید.")</f>
        <v>در مورد مزایای گنجاندن ذهن آگاهی در برنامه روزانه مدرسه فرزندتان برای افزایش تمرکز و یادگیری بنویسید.</v>
      </c>
      <c r="H12367" s="1"/>
      <c r="I12367" s="1"/>
      <c r="J12367" s="1"/>
      <c r="K12367" s="1"/>
      <c r="L12367" s="1"/>
      <c r="M12367" s="1"/>
      <c r="N12367" s="1"/>
      <c r="O12367" s="1"/>
      <c r="P12367" s="1"/>
      <c r="Q12367" s="1"/>
      <c r="R12367" s="1"/>
      <c r="S12367" s="1"/>
      <c r="T12367" s="1"/>
      <c r="U12367" s="1"/>
      <c r="V12367" s="1"/>
      <c r="W12367" s="1"/>
      <c r="X12367" s="1"/>
      <c r="Y12367" s="1"/>
      <c r="Z12367" s="1"/>
      <c r="AA12367" s="1"/>
      <c r="AB12367" s="1"/>
    </row>
    <row r="12368" ht="50.25" customHeight="1">
      <c r="A12368" s="12">
        <v>12364.0</v>
      </c>
      <c r="B12368" s="13" t="s">
        <v>12057</v>
      </c>
      <c r="C12368" s="14" t="s">
        <v>12191</v>
      </c>
      <c r="D12368" s="1"/>
      <c r="E12368" s="1"/>
      <c r="F12368" s="1" t="str">
        <f>IFERROR(__xludf.DUMMYFUNCTION("GOOGLETRANSLATE(B12368, ""en"", ""fa"")
"),"والدین آگاهانه")</f>
        <v>والدین آگاهانه</v>
      </c>
      <c r="G12368" s="1" t="str">
        <f>IFERROR(__xludf.DUMMYFUNCTION("GOOGLETRANSLATE(C12368, ""en"", ""fa"")
"),"بررسی کنید که چگونه ذهن آگاهی از انعطاف پذیری عاطفی و توانایی کودک شما برای مقابله با فشار همسالان حمایت می کند.")</f>
        <v>بررسی کنید که چگونه ذهن آگاهی از انعطاف پذیری عاطفی و توانایی کودک شما برای مقابله با فشار همسالان حمایت می کند.</v>
      </c>
      <c r="H12368" s="1"/>
      <c r="I12368" s="1"/>
      <c r="J12368" s="1"/>
      <c r="K12368" s="1"/>
      <c r="L12368" s="1"/>
      <c r="M12368" s="1"/>
      <c r="N12368" s="1"/>
      <c r="O12368" s="1"/>
      <c r="P12368" s="1"/>
      <c r="Q12368" s="1"/>
      <c r="R12368" s="1"/>
      <c r="S12368" s="1"/>
      <c r="T12368" s="1"/>
      <c r="U12368" s="1"/>
      <c r="V12368" s="1"/>
      <c r="W12368" s="1"/>
      <c r="X12368" s="1"/>
      <c r="Y12368" s="1"/>
      <c r="Z12368" s="1"/>
      <c r="AA12368" s="1"/>
      <c r="AB12368" s="1"/>
    </row>
    <row r="12369" ht="50.25" customHeight="1">
      <c r="A12369" s="12">
        <v>12365.0</v>
      </c>
      <c r="B12369" s="13" t="s">
        <v>12057</v>
      </c>
      <c r="C12369" s="14" t="s">
        <v>12192</v>
      </c>
      <c r="D12369" s="1"/>
      <c r="E12369" s="1"/>
      <c r="F12369" s="1" t="str">
        <f>IFERROR(__xludf.DUMMYFUNCTION("GOOGLETRANSLATE(B12369, ""en"", ""fa"")
"),"والدین آگاهانه")</f>
        <v>والدین آگاهانه</v>
      </c>
      <c r="G12369" s="1" t="str">
        <f>IFERROR(__xludf.DUMMYFUNCTION("GOOGLETRANSLATE(C12369, ""en"", ""fa"")
"),"در مورد یک فعالیت حرکتی آگاهانه فکر کنید که شما و فرزندتان با هم از آن لذت می برید تا فعال و مرتبط بمانید.")</f>
        <v>در مورد یک فعالیت حرکتی آگاهانه فکر کنید که شما و فرزندتان با هم از آن لذت می برید تا فعال و مرتبط بمانید.</v>
      </c>
      <c r="H12369" s="1"/>
      <c r="I12369" s="1"/>
      <c r="J12369" s="1"/>
      <c r="K12369" s="1"/>
      <c r="L12369" s="1"/>
      <c r="M12369" s="1"/>
      <c r="N12369" s="1"/>
      <c r="O12369" s="1"/>
      <c r="P12369" s="1"/>
      <c r="Q12369" s="1"/>
      <c r="R12369" s="1"/>
      <c r="S12369" s="1"/>
      <c r="T12369" s="1"/>
      <c r="U12369" s="1"/>
      <c r="V12369" s="1"/>
      <c r="W12369" s="1"/>
      <c r="X12369" s="1"/>
      <c r="Y12369" s="1"/>
      <c r="Z12369" s="1"/>
      <c r="AA12369" s="1"/>
      <c r="AB12369" s="1"/>
    </row>
    <row r="12370" ht="50.25" customHeight="1">
      <c r="A12370" s="12">
        <v>12366.0</v>
      </c>
      <c r="B12370" s="13" t="s">
        <v>12057</v>
      </c>
      <c r="C12370" s="14" t="s">
        <v>12193</v>
      </c>
      <c r="D12370" s="1"/>
      <c r="E12370" s="1"/>
      <c r="F12370" s="1" t="str">
        <f>IFERROR(__xludf.DUMMYFUNCTION("GOOGLETRANSLATE(B12370, ""en"", ""fa"")
"),"والدین آگاهانه")</f>
        <v>والدین آگاهانه</v>
      </c>
      <c r="G12370" s="1" t="str">
        <f>IFERROR(__xludf.DUMMYFUNCTION("GOOGLETRANSLATE(C12370, ""en"", ""fa"")
"),"یک تمرین هنر درمانی مبتنی بر ذهن آگاهی را توصیف کنید که به کودک شما امکان می دهد احساسات خود را بیان و پردازش کند.")</f>
        <v>یک تمرین هنر درمانی مبتنی بر ذهن آگاهی را توصیف کنید که به کودک شما امکان می دهد احساسات خود را بیان و پردازش کند.</v>
      </c>
      <c r="H12370" s="1"/>
      <c r="I12370" s="1"/>
      <c r="J12370" s="1"/>
      <c r="K12370" s="1"/>
      <c r="L12370" s="1"/>
      <c r="M12370" s="1"/>
      <c r="N12370" s="1"/>
      <c r="O12370" s="1"/>
      <c r="P12370" s="1"/>
      <c r="Q12370" s="1"/>
      <c r="R12370" s="1"/>
      <c r="S12370" s="1"/>
      <c r="T12370" s="1"/>
      <c r="U12370" s="1"/>
      <c r="V12370" s="1"/>
      <c r="W12370" s="1"/>
      <c r="X12370" s="1"/>
      <c r="Y12370" s="1"/>
      <c r="Z12370" s="1"/>
      <c r="AA12370" s="1"/>
      <c r="AB12370" s="1"/>
    </row>
    <row r="12371" ht="50.25" customHeight="1">
      <c r="A12371" s="12">
        <v>12367.0</v>
      </c>
      <c r="B12371" s="13" t="s">
        <v>12057</v>
      </c>
      <c r="C12371" s="14" t="s">
        <v>12194</v>
      </c>
      <c r="D12371" s="1"/>
      <c r="E12371" s="1"/>
      <c r="F12371" s="1" t="str">
        <f>IFERROR(__xludf.DUMMYFUNCTION("GOOGLETRANSLATE(B12371, ""en"", ""fa"")
"),"والدین آگاهانه")</f>
        <v>والدین آگاهانه</v>
      </c>
      <c r="G12371" s="1" t="str">
        <f>IFERROR(__xludf.DUMMYFUNCTION("GOOGLETRANSLATE(C12371, ""en"", ""fa"")
"),"در مورد نقش ذهن آگاهی در ترویج شفقت به خود و پذیرش خود در فرزندتان بنویسید.")</f>
        <v>در مورد نقش ذهن آگاهی در ترویج شفقت به خود و پذیرش خود در فرزندتان بنویسید.</v>
      </c>
      <c r="H12371" s="1"/>
      <c r="I12371" s="1"/>
      <c r="J12371" s="1"/>
      <c r="K12371" s="1"/>
      <c r="L12371" s="1"/>
      <c r="M12371" s="1"/>
      <c r="N12371" s="1"/>
      <c r="O12371" s="1"/>
      <c r="P12371" s="1"/>
      <c r="Q12371" s="1"/>
      <c r="R12371" s="1"/>
      <c r="S12371" s="1"/>
      <c r="T12371" s="1"/>
      <c r="U12371" s="1"/>
      <c r="V12371" s="1"/>
      <c r="W12371" s="1"/>
      <c r="X12371" s="1"/>
      <c r="Y12371" s="1"/>
      <c r="Z12371" s="1"/>
      <c r="AA12371" s="1"/>
      <c r="AB12371" s="1"/>
    </row>
    <row r="12372" ht="50.25" customHeight="1">
      <c r="A12372" s="12">
        <v>12368.0</v>
      </c>
      <c r="B12372" s="13" t="s">
        <v>12057</v>
      </c>
      <c r="C12372" s="14" t="s">
        <v>12195</v>
      </c>
      <c r="D12372" s="1"/>
      <c r="E12372" s="1"/>
      <c r="F12372" s="1" t="str">
        <f>IFERROR(__xludf.DUMMYFUNCTION("GOOGLETRANSLATE(B12372, ""en"", ""fa"")
"),"والدین آگاهانه")</f>
        <v>والدین آگاهانه</v>
      </c>
      <c r="G12372" s="1" t="str">
        <f>IFERROR(__xludf.DUMMYFUNCTION("GOOGLETRANSLATE(C12372, ""en"", ""fa"")
"),"بررسی کنید که چگونه ذهن آگاهی توانایی کودک شما را برای پاسخ دادن به احساسات دشوار با مهربانی و درک افزایش می دهد.")</f>
        <v>بررسی کنید که چگونه ذهن آگاهی توانایی کودک شما را برای پاسخ دادن به احساسات دشوار با مهربانی و درک افزایش می دهد.</v>
      </c>
      <c r="H12372" s="1"/>
      <c r="I12372" s="1"/>
      <c r="J12372" s="1"/>
      <c r="K12372" s="1"/>
      <c r="L12372" s="1"/>
      <c r="M12372" s="1"/>
      <c r="N12372" s="1"/>
      <c r="O12372" s="1"/>
      <c r="P12372" s="1"/>
      <c r="Q12372" s="1"/>
      <c r="R12372" s="1"/>
      <c r="S12372" s="1"/>
      <c r="T12372" s="1"/>
      <c r="U12372" s="1"/>
      <c r="V12372" s="1"/>
      <c r="W12372" s="1"/>
      <c r="X12372" s="1"/>
      <c r="Y12372" s="1"/>
      <c r="Z12372" s="1"/>
      <c r="AA12372" s="1"/>
      <c r="AB12372" s="1"/>
    </row>
    <row r="12373" ht="50.25" customHeight="1">
      <c r="A12373" s="12">
        <v>12369.0</v>
      </c>
      <c r="B12373" s="13" t="s">
        <v>12057</v>
      </c>
      <c r="C12373" s="14" t="s">
        <v>12196</v>
      </c>
      <c r="D12373" s="1"/>
      <c r="E12373" s="1"/>
      <c r="F12373" s="1" t="str">
        <f>IFERROR(__xludf.DUMMYFUNCTION("GOOGLETRANSLATE(B12373, ""en"", ""fa"")
"),"والدین آگاهانه")</f>
        <v>والدین آگاهانه</v>
      </c>
      <c r="G12373" s="1" t="str">
        <f>IFERROR(__xludf.DUMMYFUNCTION("GOOGLETRANSLATE(C12373, ""en"", ""fa"")
"),"به تمرین سپاسگزاری آگاهانه ای که در زندگی روزمره خانواده خود وارد کرده اید فکر کنید.")</f>
        <v>به تمرین سپاسگزاری آگاهانه ای که در زندگی روزمره خانواده خود وارد کرده اید فکر کنید.</v>
      </c>
      <c r="H12373" s="1"/>
      <c r="I12373" s="1"/>
      <c r="J12373" s="1"/>
      <c r="K12373" s="1"/>
      <c r="L12373" s="1"/>
      <c r="M12373" s="1"/>
      <c r="N12373" s="1"/>
      <c r="O12373" s="1"/>
      <c r="P12373" s="1"/>
      <c r="Q12373" s="1"/>
      <c r="R12373" s="1"/>
      <c r="S12373" s="1"/>
      <c r="T12373" s="1"/>
      <c r="U12373" s="1"/>
      <c r="V12373" s="1"/>
      <c r="W12373" s="1"/>
      <c r="X12373" s="1"/>
      <c r="Y12373" s="1"/>
      <c r="Z12373" s="1"/>
      <c r="AA12373" s="1"/>
      <c r="AB12373" s="1"/>
    </row>
    <row r="12374" ht="50.25" customHeight="1">
      <c r="A12374" s="12">
        <v>12370.0</v>
      </c>
      <c r="B12374" s="13" t="s">
        <v>12057</v>
      </c>
      <c r="C12374" s="14" t="s">
        <v>12197</v>
      </c>
      <c r="D12374" s="1"/>
      <c r="E12374" s="1"/>
      <c r="F12374" s="1" t="str">
        <f>IFERROR(__xludf.DUMMYFUNCTION("GOOGLETRANSLATE(B12374, ""en"", ""fa"")
"),"والدین آگاهانه")</f>
        <v>والدین آگاهانه</v>
      </c>
      <c r="G12374" s="1" t="str">
        <f>IFERROR(__xludf.DUMMYFUNCTION("GOOGLETRANSLATE(C12374, ""en"", ""fa"")
"),"یک فعالیت مبتنی بر ذهن آگاهی را توصیف کنید که فرزندتان را تشویق می کند تا مهربانی و همدلی با دیگران را پرورش دهد.")</f>
        <v>یک فعالیت مبتنی بر ذهن آگاهی را توصیف کنید که فرزندتان را تشویق می کند تا مهربانی و همدلی با دیگران را پرورش دهد.</v>
      </c>
      <c r="H12374" s="1"/>
      <c r="I12374" s="1"/>
      <c r="J12374" s="1"/>
      <c r="K12374" s="1"/>
      <c r="L12374" s="1"/>
      <c r="M12374" s="1"/>
      <c r="N12374" s="1"/>
      <c r="O12374" s="1"/>
      <c r="P12374" s="1"/>
      <c r="Q12374" s="1"/>
      <c r="R12374" s="1"/>
      <c r="S12374" s="1"/>
      <c r="T12374" s="1"/>
      <c r="U12374" s="1"/>
      <c r="V12374" s="1"/>
      <c r="W12374" s="1"/>
      <c r="X12374" s="1"/>
      <c r="Y12374" s="1"/>
      <c r="Z12374" s="1"/>
      <c r="AA12374" s="1"/>
      <c r="AB12374" s="1"/>
    </row>
    <row r="12375" ht="50.25" customHeight="1">
      <c r="A12375" s="12">
        <v>12371.0</v>
      </c>
      <c r="B12375" s="13" t="s">
        <v>12057</v>
      </c>
      <c r="C12375" s="14" t="s">
        <v>12198</v>
      </c>
      <c r="D12375" s="1"/>
      <c r="E12375" s="1"/>
      <c r="F12375" s="1" t="str">
        <f>IFERROR(__xludf.DUMMYFUNCTION("GOOGLETRANSLATE(B12375, ""en"", ""fa"")
"),"والدین آگاهانه")</f>
        <v>والدین آگاهانه</v>
      </c>
      <c r="G12375" s="1" t="str">
        <f>IFERROR(__xludf.DUMMYFUNCTION("GOOGLETRANSLATE(C12375, ""en"", ""fa"")
"),"در مورد قدرت ذهن آگاهی در پرورش تصویر بدنی مثبت و عزت نفس در فرزندتان بنویسید.")</f>
        <v>در مورد قدرت ذهن آگاهی در پرورش تصویر بدنی مثبت و عزت نفس در فرزندتان بنویسید.</v>
      </c>
      <c r="H12375" s="1"/>
      <c r="I12375" s="1"/>
      <c r="J12375" s="1"/>
      <c r="K12375" s="1"/>
      <c r="L12375" s="1"/>
      <c r="M12375" s="1"/>
      <c r="N12375" s="1"/>
      <c r="O12375" s="1"/>
      <c r="P12375" s="1"/>
      <c r="Q12375" s="1"/>
      <c r="R12375" s="1"/>
      <c r="S12375" s="1"/>
      <c r="T12375" s="1"/>
      <c r="U12375" s="1"/>
      <c r="V12375" s="1"/>
      <c r="W12375" s="1"/>
      <c r="X12375" s="1"/>
      <c r="Y12375" s="1"/>
      <c r="Z12375" s="1"/>
      <c r="AA12375" s="1"/>
      <c r="AB12375" s="1"/>
    </row>
    <row r="12376" ht="50.25" customHeight="1">
      <c r="A12376" s="12">
        <v>12372.0</v>
      </c>
      <c r="B12376" s="13" t="s">
        <v>12057</v>
      </c>
      <c r="C12376" s="14" t="s">
        <v>12199</v>
      </c>
      <c r="D12376" s="1"/>
      <c r="E12376" s="1"/>
      <c r="F12376" s="1" t="str">
        <f>IFERROR(__xludf.DUMMYFUNCTION("GOOGLETRANSLATE(B12376, ""en"", ""fa"")
"),"والدین آگاهانه")</f>
        <v>والدین آگاهانه</v>
      </c>
      <c r="G12376" s="1" t="str">
        <f>IFERROR(__xludf.DUMMYFUNCTION("GOOGLETRANSLATE(C12376, ""en"", ""fa"")
"),"بررسی کنید که چگونه ذهن آگاهی از توانایی کودک شما برای برقراری ارتباط موثر و بیان نیازهایش پشتیبانی می کند.")</f>
        <v>بررسی کنید که چگونه ذهن آگاهی از توانایی کودک شما برای برقراری ارتباط موثر و بیان نیازهایش پشتیبانی می کند.</v>
      </c>
      <c r="H12376" s="1"/>
      <c r="I12376" s="1"/>
      <c r="J12376" s="1"/>
      <c r="K12376" s="1"/>
      <c r="L12376" s="1"/>
      <c r="M12376" s="1"/>
      <c r="N12376" s="1"/>
      <c r="O12376" s="1"/>
      <c r="P12376" s="1"/>
      <c r="Q12376" s="1"/>
      <c r="R12376" s="1"/>
      <c r="S12376" s="1"/>
      <c r="T12376" s="1"/>
      <c r="U12376" s="1"/>
      <c r="V12376" s="1"/>
      <c r="W12376" s="1"/>
      <c r="X12376" s="1"/>
      <c r="Y12376" s="1"/>
      <c r="Z12376" s="1"/>
      <c r="AA12376" s="1"/>
      <c r="AB12376" s="1"/>
    </row>
    <row r="12377" ht="50.25" customHeight="1">
      <c r="A12377" s="12">
        <v>12373.0</v>
      </c>
      <c r="B12377" s="13" t="s">
        <v>12057</v>
      </c>
      <c r="C12377" s="14" t="s">
        <v>12200</v>
      </c>
      <c r="D12377" s="1"/>
      <c r="E12377" s="1"/>
      <c r="F12377" s="1" t="str">
        <f>IFERROR(__xludf.DUMMYFUNCTION("GOOGLETRANSLATE(B12377, ""en"", ""fa"")
"),"والدین آگاهانه")</f>
        <v>والدین آگاهانه</v>
      </c>
      <c r="G12377" s="1" t="str">
        <f>IFERROR(__xludf.DUMMYFUNCTION("GOOGLETRANSLATE(C12377, ""en"", ""fa"")
"),"در مورد یک تکنیک تنفس آگاهانه فکر کنید که به خانواده شما کمک می کند قبل از خواب آرام و آرام شوند.")</f>
        <v>در مورد یک تکنیک تنفس آگاهانه فکر کنید که به خانواده شما کمک می کند قبل از خواب آرام و آرام شوند.</v>
      </c>
      <c r="H12377" s="1"/>
      <c r="I12377" s="1"/>
      <c r="J12377" s="1"/>
      <c r="K12377" s="1"/>
      <c r="L12377" s="1"/>
      <c r="M12377" s="1"/>
      <c r="N12377" s="1"/>
      <c r="O12377" s="1"/>
      <c r="P12377" s="1"/>
      <c r="Q12377" s="1"/>
      <c r="R12377" s="1"/>
      <c r="S12377" s="1"/>
      <c r="T12377" s="1"/>
      <c r="U12377" s="1"/>
      <c r="V12377" s="1"/>
      <c r="W12377" s="1"/>
      <c r="X12377" s="1"/>
      <c r="Y12377" s="1"/>
      <c r="Z12377" s="1"/>
      <c r="AA12377" s="1"/>
      <c r="AB12377" s="1"/>
    </row>
    <row r="12378" ht="50.25" customHeight="1">
      <c r="A12378" s="12">
        <v>12374.0</v>
      </c>
      <c r="B12378" s="13" t="s">
        <v>12057</v>
      </c>
      <c r="C12378" s="14" t="s">
        <v>12201</v>
      </c>
      <c r="D12378" s="1"/>
      <c r="E12378" s="1"/>
      <c r="F12378" s="1" t="str">
        <f>IFERROR(__xludf.DUMMYFUNCTION("GOOGLETRANSLATE(B12378, ""en"", ""fa"")
"),"والدین آگاهانه")</f>
        <v>والدین آگاهانه</v>
      </c>
      <c r="G12378" s="1" t="str">
        <f>IFERROR(__xludf.DUMMYFUNCTION("GOOGLETRANSLATE(C12378, ""en"", ""fa"")
"),"یک تمرین مبتنی بر تمرکز حواس را توصیف کنید که توانایی کودک شما را برای تمرکز و تکمیل وظایف افزایش می دهد.")</f>
        <v>یک تمرین مبتنی بر تمرکز حواس را توصیف کنید که توانایی کودک شما را برای تمرکز و تکمیل وظایف افزایش می دهد.</v>
      </c>
      <c r="H12378" s="1"/>
      <c r="I12378" s="1"/>
      <c r="J12378" s="1"/>
      <c r="K12378" s="1"/>
      <c r="L12378" s="1"/>
      <c r="M12378" s="1"/>
      <c r="N12378" s="1"/>
      <c r="O12378" s="1"/>
      <c r="P12378" s="1"/>
      <c r="Q12378" s="1"/>
      <c r="R12378" s="1"/>
      <c r="S12378" s="1"/>
      <c r="T12378" s="1"/>
      <c r="U12378" s="1"/>
      <c r="V12378" s="1"/>
      <c r="W12378" s="1"/>
      <c r="X12378" s="1"/>
      <c r="Y12378" s="1"/>
      <c r="Z12378" s="1"/>
      <c r="AA12378" s="1"/>
      <c r="AB12378" s="1"/>
    </row>
    <row r="12379" ht="50.25" customHeight="1">
      <c r="A12379" s="12">
        <v>12375.0</v>
      </c>
      <c r="B12379" s="13" t="s">
        <v>12057</v>
      </c>
      <c r="C12379" s="14" t="s">
        <v>12202</v>
      </c>
      <c r="D12379" s="1"/>
      <c r="E12379" s="1"/>
      <c r="F12379" s="1" t="str">
        <f>IFERROR(__xludf.DUMMYFUNCTION("GOOGLETRANSLATE(B12379, ""en"", ""fa"")
"),"والدین آگاهانه")</f>
        <v>والدین آگاهانه</v>
      </c>
      <c r="G12379" s="1" t="str">
        <f>IFERROR(__xludf.DUMMYFUNCTION("GOOGLETRANSLATE(C12379, ""en"", ""fa"")
"),"در مورد اینکه چگونه ذهن آگاهی به شما و فرزندتان کمک می کند تا با تغییر و تحولات روزمره کنار بیایید، بنویسید.")</f>
        <v>در مورد اینکه چگونه ذهن آگاهی به شما و فرزندتان کمک می کند تا با تغییر و تحولات روزمره کنار بیایید، بنویسید.</v>
      </c>
      <c r="H12379" s="1"/>
      <c r="I12379" s="1"/>
      <c r="J12379" s="1"/>
      <c r="K12379" s="1"/>
      <c r="L12379" s="1"/>
      <c r="M12379" s="1"/>
      <c r="N12379" s="1"/>
      <c r="O12379" s="1"/>
      <c r="P12379" s="1"/>
      <c r="Q12379" s="1"/>
      <c r="R12379" s="1"/>
      <c r="S12379" s="1"/>
      <c r="T12379" s="1"/>
      <c r="U12379" s="1"/>
      <c r="V12379" s="1"/>
      <c r="W12379" s="1"/>
      <c r="X12379" s="1"/>
      <c r="Y12379" s="1"/>
      <c r="Z12379" s="1"/>
      <c r="AA12379" s="1"/>
      <c r="AB12379" s="1"/>
    </row>
    <row r="12380" ht="50.25" customHeight="1">
      <c r="A12380" s="12">
        <v>12376.0</v>
      </c>
      <c r="B12380" s="13" t="s">
        <v>12057</v>
      </c>
      <c r="C12380" s="14" t="s">
        <v>12203</v>
      </c>
      <c r="D12380" s="1"/>
      <c r="E12380" s="1"/>
      <c r="F12380" s="1" t="str">
        <f>IFERROR(__xludf.DUMMYFUNCTION("GOOGLETRANSLATE(B12380, ""en"", ""fa"")
"),"والدین آگاهانه")</f>
        <v>والدین آگاهانه</v>
      </c>
      <c r="G12380" s="1" t="str">
        <f>IFERROR(__xludf.DUMMYFUNCTION("GOOGLETRANSLATE(C12380, ""en"", ""fa"")
"),"اثرات مثبت ذهن آگاهی را بر توانایی فرزندتان برای رسیدگی به تعارضات و حل مسالمت آمیز مسائل بررسی کنید.")</f>
        <v>اثرات مثبت ذهن آگاهی را بر توانایی فرزندتان برای رسیدگی به تعارضات و حل مسالمت آمیز مسائل بررسی کنید.</v>
      </c>
      <c r="H12380" s="1"/>
      <c r="I12380" s="1"/>
      <c r="J12380" s="1"/>
      <c r="K12380" s="1"/>
      <c r="L12380" s="1"/>
      <c r="M12380" s="1"/>
      <c r="N12380" s="1"/>
      <c r="O12380" s="1"/>
      <c r="P12380" s="1"/>
      <c r="Q12380" s="1"/>
      <c r="R12380" s="1"/>
      <c r="S12380" s="1"/>
      <c r="T12380" s="1"/>
      <c r="U12380" s="1"/>
      <c r="V12380" s="1"/>
      <c r="W12380" s="1"/>
      <c r="X12380" s="1"/>
      <c r="Y12380" s="1"/>
      <c r="Z12380" s="1"/>
      <c r="AA12380" s="1"/>
      <c r="AB12380" s="1"/>
    </row>
    <row r="12381" ht="50.25" customHeight="1">
      <c r="A12381" s="12">
        <v>12377.0</v>
      </c>
      <c r="B12381" s="13" t="s">
        <v>12057</v>
      </c>
      <c r="C12381" s="14" t="s">
        <v>12204</v>
      </c>
      <c r="D12381" s="1"/>
      <c r="E12381" s="1"/>
      <c r="F12381" s="1" t="str">
        <f>IFERROR(__xludf.DUMMYFUNCTION("GOOGLETRANSLATE(B12381, ""en"", ""fa"")
"),"والدین آگاهانه")</f>
        <v>والدین آگاهانه</v>
      </c>
      <c r="G12381" s="1" t="str">
        <f>IFERROR(__xludf.DUMMYFUNCTION("GOOGLETRANSLATE(C12381, ""en"", ""fa"")
"),"در مورد یک فعالیت گوش دادن آگاهانه فکر کنید که مهارت های ارتباطی و گوش دادن فعال کودک شما را تقویت می کند.")</f>
        <v>در مورد یک فعالیت گوش دادن آگاهانه فکر کنید که مهارت های ارتباطی و گوش دادن فعال کودک شما را تقویت می کند.</v>
      </c>
      <c r="H12381" s="1"/>
      <c r="I12381" s="1"/>
      <c r="J12381" s="1"/>
      <c r="K12381" s="1"/>
      <c r="L12381" s="1"/>
      <c r="M12381" s="1"/>
      <c r="N12381" s="1"/>
      <c r="O12381" s="1"/>
      <c r="P12381" s="1"/>
      <c r="Q12381" s="1"/>
      <c r="R12381" s="1"/>
      <c r="S12381" s="1"/>
      <c r="T12381" s="1"/>
      <c r="U12381" s="1"/>
      <c r="V12381" s="1"/>
      <c r="W12381" s="1"/>
      <c r="X12381" s="1"/>
      <c r="Y12381" s="1"/>
      <c r="Z12381" s="1"/>
      <c r="AA12381" s="1"/>
      <c r="AB12381" s="1"/>
    </row>
    <row r="12382" ht="50.25" customHeight="1">
      <c r="A12382" s="12">
        <v>12378.0</v>
      </c>
      <c r="B12382" s="13" t="s">
        <v>12057</v>
      </c>
      <c r="C12382" s="14" t="s">
        <v>12205</v>
      </c>
      <c r="D12382" s="1"/>
      <c r="E12382" s="1"/>
      <c r="F12382" s="1" t="str">
        <f>IFERROR(__xludf.DUMMYFUNCTION("GOOGLETRANSLATE(B12382, ""en"", ""fa"")
"),"والدین آگاهانه")</f>
        <v>والدین آگاهانه</v>
      </c>
      <c r="G12382" s="1" t="str">
        <f>IFERROR(__xludf.DUMMYFUNCTION("GOOGLETRANSLATE(C12382, ""en"", ""fa"")
"),"یک تمرین تجسم مبتنی بر ذهن آگاهی را که با فرزندتان انجام داده اید برای تقویت تفکر مثبت توصیف کنید.")</f>
        <v>یک تمرین تجسم مبتنی بر ذهن آگاهی را که با فرزندتان انجام داده اید برای تقویت تفکر مثبت توصیف کنید.</v>
      </c>
      <c r="H12382" s="1"/>
      <c r="I12382" s="1"/>
      <c r="J12382" s="1"/>
      <c r="K12382" s="1"/>
      <c r="L12382" s="1"/>
      <c r="M12382" s="1"/>
      <c r="N12382" s="1"/>
      <c r="O12382" s="1"/>
      <c r="P12382" s="1"/>
      <c r="Q12382" s="1"/>
      <c r="R12382" s="1"/>
      <c r="S12382" s="1"/>
      <c r="T12382" s="1"/>
      <c r="U12382" s="1"/>
      <c r="V12382" s="1"/>
      <c r="W12382" s="1"/>
      <c r="X12382" s="1"/>
      <c r="Y12382" s="1"/>
      <c r="Z12382" s="1"/>
      <c r="AA12382" s="1"/>
      <c r="AB12382" s="1"/>
    </row>
    <row r="12383" ht="50.25" customHeight="1">
      <c r="A12383" s="12">
        <v>12379.0</v>
      </c>
      <c r="B12383" s="13" t="s">
        <v>12057</v>
      </c>
      <c r="C12383" s="14" t="s">
        <v>12206</v>
      </c>
      <c r="D12383" s="1"/>
      <c r="E12383" s="1"/>
      <c r="F12383" s="1" t="str">
        <f>IFERROR(__xludf.DUMMYFUNCTION("GOOGLETRANSLATE(B12383, ""en"", ""fa"")
"),"والدین آگاهانه")</f>
        <v>والدین آگاهانه</v>
      </c>
      <c r="G12383" s="1" t="str">
        <f>IFERROR(__xludf.DUMMYFUNCTION("GOOGLETRANSLATE(C12383, ""en"", ""fa"")
"),"در مورد نقش ذهن آگاهی در تقویت حس قوی اتحاد و همکاری خانواده بنویسید.")</f>
        <v>در مورد نقش ذهن آگاهی در تقویت حس قوی اتحاد و همکاری خانواده بنویسید.</v>
      </c>
      <c r="H12383" s="1"/>
      <c r="I12383" s="1"/>
      <c r="J12383" s="1"/>
      <c r="K12383" s="1"/>
      <c r="L12383" s="1"/>
      <c r="M12383" s="1"/>
      <c r="N12383" s="1"/>
      <c r="O12383" s="1"/>
      <c r="P12383" s="1"/>
      <c r="Q12383" s="1"/>
      <c r="R12383" s="1"/>
      <c r="S12383" s="1"/>
      <c r="T12383" s="1"/>
      <c r="U12383" s="1"/>
      <c r="V12383" s="1"/>
      <c r="W12383" s="1"/>
      <c r="X12383" s="1"/>
      <c r="Y12383" s="1"/>
      <c r="Z12383" s="1"/>
      <c r="AA12383" s="1"/>
      <c r="AB12383" s="1"/>
    </row>
    <row r="12384" ht="50.25" customHeight="1">
      <c r="A12384" s="12">
        <v>12380.0</v>
      </c>
      <c r="B12384" s="13" t="s">
        <v>12057</v>
      </c>
      <c r="C12384" s="14" t="s">
        <v>12207</v>
      </c>
      <c r="D12384" s="1"/>
      <c r="E12384" s="1"/>
      <c r="F12384" s="1" t="str">
        <f>IFERROR(__xludf.DUMMYFUNCTION("GOOGLETRANSLATE(B12384, ""en"", ""fa"")
"),"والدین آگاهانه")</f>
        <v>والدین آگاهانه</v>
      </c>
      <c r="G12384" s="1" t="str">
        <f>IFERROR(__xludf.DUMMYFUNCTION("GOOGLETRANSLATE(C12384, ""en"", ""fa"")
"),"بررسی کنید که چگونه ذهن آگاهی از توانایی کودک شما برای مدیریت اضطراب و ترس در موقعیت های مختلف پشتیبانی می کند.")</f>
        <v>بررسی کنید که چگونه ذهن آگاهی از توانایی کودک شما برای مدیریت اضطراب و ترس در موقعیت های مختلف پشتیبانی می کند.</v>
      </c>
      <c r="H12384" s="1"/>
      <c r="I12384" s="1"/>
      <c r="J12384" s="1"/>
      <c r="K12384" s="1"/>
      <c r="L12384" s="1"/>
      <c r="M12384" s="1"/>
      <c r="N12384" s="1"/>
      <c r="O12384" s="1"/>
      <c r="P12384" s="1"/>
      <c r="Q12384" s="1"/>
      <c r="R12384" s="1"/>
      <c r="S12384" s="1"/>
      <c r="T12384" s="1"/>
      <c r="U12384" s="1"/>
      <c r="V12384" s="1"/>
      <c r="W12384" s="1"/>
      <c r="X12384" s="1"/>
      <c r="Y12384" s="1"/>
      <c r="Z12384" s="1"/>
      <c r="AA12384" s="1"/>
      <c r="AB12384" s="1"/>
    </row>
    <row r="12385" ht="50.25" customHeight="1">
      <c r="A12385" s="12">
        <v>12381.0</v>
      </c>
      <c r="B12385" s="13" t="s">
        <v>12057</v>
      </c>
      <c r="C12385" s="14" t="s">
        <v>12208</v>
      </c>
      <c r="D12385" s="1"/>
      <c r="E12385" s="1"/>
      <c r="F12385" s="1" t="str">
        <f>IFERROR(__xludf.DUMMYFUNCTION("GOOGLETRANSLATE(B12385, ""en"", ""fa"")
"),"والدین آگاهانه")</f>
        <v>والدین آگاهانه</v>
      </c>
      <c r="G12385" s="1" t="str">
        <f>IFERROR(__xludf.DUMMYFUNCTION("GOOGLETRANSLATE(C12385, ""en"", ""fa"")
"),"در مورد یک تمرین غذایی آگاهانه فکر کنید که کودک شما را تشویق می کند تا طعم و بافت غذا را بچشد.")</f>
        <v>در مورد یک تمرین غذایی آگاهانه فکر کنید که کودک شما را تشویق می کند تا طعم و بافت غذا را بچشد.</v>
      </c>
      <c r="H12385" s="1"/>
      <c r="I12385" s="1"/>
      <c r="J12385" s="1"/>
      <c r="K12385" s="1"/>
      <c r="L12385" s="1"/>
      <c r="M12385" s="1"/>
      <c r="N12385" s="1"/>
      <c r="O12385" s="1"/>
      <c r="P12385" s="1"/>
      <c r="Q12385" s="1"/>
      <c r="R12385" s="1"/>
      <c r="S12385" s="1"/>
      <c r="T12385" s="1"/>
      <c r="U12385" s="1"/>
      <c r="V12385" s="1"/>
      <c r="W12385" s="1"/>
      <c r="X12385" s="1"/>
      <c r="Y12385" s="1"/>
      <c r="Z12385" s="1"/>
      <c r="AA12385" s="1"/>
      <c r="AB12385" s="1"/>
    </row>
    <row r="12386" ht="50.25" customHeight="1">
      <c r="A12386" s="12">
        <v>12382.0</v>
      </c>
      <c r="B12386" s="13" t="s">
        <v>12057</v>
      </c>
      <c r="C12386" s="14" t="s">
        <v>12209</v>
      </c>
      <c r="D12386" s="1"/>
      <c r="E12386" s="1"/>
      <c r="F12386" s="1" t="str">
        <f>IFERROR(__xludf.DUMMYFUNCTION("GOOGLETRANSLATE(B12386, ""en"", ""fa"")
"),"والدین آگاهانه")</f>
        <v>والدین آگاهانه</v>
      </c>
      <c r="G12386" s="1" t="str">
        <f>IFERROR(__xludf.DUMMYFUNCTION("GOOGLETRANSLATE(C12386, ""en"", ""fa"")
"),"یک فعالیت مبتنی بر تمرکز حواس را توصیف کنید که خلاقیت و تخیل را در زمان بازی کودکتان تقویت می کند.")</f>
        <v>یک فعالیت مبتنی بر تمرکز حواس را توصیف کنید که خلاقیت و تخیل را در زمان بازی کودکتان تقویت می کند.</v>
      </c>
      <c r="H12386" s="1"/>
      <c r="I12386" s="1"/>
      <c r="J12386" s="1"/>
      <c r="K12386" s="1"/>
      <c r="L12386" s="1"/>
      <c r="M12386" s="1"/>
      <c r="N12386" s="1"/>
      <c r="O12386" s="1"/>
      <c r="P12386" s="1"/>
      <c r="Q12386" s="1"/>
      <c r="R12386" s="1"/>
      <c r="S12386" s="1"/>
      <c r="T12386" s="1"/>
      <c r="U12386" s="1"/>
      <c r="V12386" s="1"/>
      <c r="W12386" s="1"/>
      <c r="X12386" s="1"/>
      <c r="Y12386" s="1"/>
      <c r="Z12386" s="1"/>
      <c r="AA12386" s="1"/>
      <c r="AB12386" s="1"/>
    </row>
    <row r="12387" ht="50.25" customHeight="1">
      <c r="A12387" s="12">
        <v>12383.0</v>
      </c>
      <c r="B12387" s="13" t="s">
        <v>12057</v>
      </c>
      <c r="C12387" s="14" t="s">
        <v>12210</v>
      </c>
      <c r="D12387" s="1"/>
      <c r="E12387" s="1"/>
      <c r="F12387" s="1" t="str">
        <f>IFERROR(__xludf.DUMMYFUNCTION("GOOGLETRANSLATE(B12387, ""en"", ""fa"")
"),"والدین آگاهانه")</f>
        <v>والدین آگاهانه</v>
      </c>
      <c r="G12387" s="1" t="str">
        <f>IFERROR(__xludf.DUMMYFUNCTION("GOOGLETRANSLATE(C12387, ""en"", ""fa"")
"),"در مورد اینکه چگونه ذهن آگاهی توانایی شما را برای حضور و درگیر ماندن در سفرهای خانوادگی و ماجراجویی افزایش می دهد، بنویسید.")</f>
        <v>در مورد اینکه چگونه ذهن آگاهی توانایی شما را برای حضور و درگیر ماندن در سفرهای خانوادگی و ماجراجویی افزایش می دهد، بنویسید.</v>
      </c>
      <c r="H12387" s="1"/>
      <c r="I12387" s="1"/>
      <c r="J12387" s="1"/>
      <c r="K12387" s="1"/>
      <c r="L12387" s="1"/>
      <c r="M12387" s="1"/>
      <c r="N12387" s="1"/>
      <c r="O12387" s="1"/>
      <c r="P12387" s="1"/>
      <c r="Q12387" s="1"/>
      <c r="R12387" s="1"/>
      <c r="S12387" s="1"/>
      <c r="T12387" s="1"/>
      <c r="U12387" s="1"/>
      <c r="V12387" s="1"/>
      <c r="W12387" s="1"/>
      <c r="X12387" s="1"/>
      <c r="Y12387" s="1"/>
      <c r="Z12387" s="1"/>
      <c r="AA12387" s="1"/>
      <c r="AB12387" s="1"/>
    </row>
    <row r="12388" ht="50.25" customHeight="1">
      <c r="A12388" s="12">
        <v>12384.0</v>
      </c>
      <c r="B12388" s="13" t="s">
        <v>12057</v>
      </c>
      <c r="C12388" s="14" t="s">
        <v>12211</v>
      </c>
      <c r="D12388" s="1"/>
      <c r="E12388" s="1"/>
      <c r="F12388" s="1" t="str">
        <f>IFERROR(__xludf.DUMMYFUNCTION("GOOGLETRANSLATE(B12388, ""en"", ""fa"")
"),"والدین آگاهانه")</f>
        <v>والدین آگاهانه</v>
      </c>
      <c r="G12388" s="1" t="str">
        <f>IFERROR(__xludf.DUMMYFUNCTION("GOOGLETRANSLATE(C12388, ""en"", ""fa"")
"),"مزایای تمرین تمرکز حواس در فعالیت ها و کارهای روزمره با فرزندتان را بررسی کنید.")</f>
        <v>مزایای تمرین تمرکز حواس در فعالیت ها و کارهای روزمره با فرزندتان را بررسی کنید.</v>
      </c>
      <c r="H12388" s="1"/>
      <c r="I12388" s="1"/>
      <c r="J12388" s="1"/>
      <c r="K12388" s="1"/>
      <c r="L12388" s="1"/>
      <c r="M12388" s="1"/>
      <c r="N12388" s="1"/>
      <c r="O12388" s="1"/>
      <c r="P12388" s="1"/>
      <c r="Q12388" s="1"/>
      <c r="R12388" s="1"/>
      <c r="S12388" s="1"/>
      <c r="T12388" s="1"/>
      <c r="U12388" s="1"/>
      <c r="V12388" s="1"/>
      <c r="W12388" s="1"/>
      <c r="X12388" s="1"/>
      <c r="Y12388" s="1"/>
      <c r="Z12388" s="1"/>
      <c r="AA12388" s="1"/>
      <c r="AB12388" s="1"/>
    </row>
    <row r="12389" ht="50.25" customHeight="1">
      <c r="A12389" s="12">
        <v>12385.0</v>
      </c>
      <c r="B12389" s="13" t="s">
        <v>12057</v>
      </c>
      <c r="C12389" s="14" t="s">
        <v>12212</v>
      </c>
      <c r="D12389" s="1"/>
      <c r="E12389" s="1"/>
      <c r="F12389" s="1" t="str">
        <f>IFERROR(__xludf.DUMMYFUNCTION("GOOGLETRANSLATE(B12389, ""en"", ""fa"")
"),"والدین آگاهانه")</f>
        <v>والدین آگاهانه</v>
      </c>
      <c r="G12389" s="1" t="str">
        <f>IFERROR(__xludf.DUMMYFUNCTION("GOOGLETRANSLATE(C12389, ""en"", ""fa"")
"),"در مورد نقش ذهن آگاهی در آموزش تنظیم هیجانی و تکنیک های خودآرام بخشی به فرزندتان فکر کنید.")</f>
        <v>در مورد نقش ذهن آگاهی در آموزش تنظیم هیجانی و تکنیک های خودآرام بخشی به فرزندتان فکر کنید.</v>
      </c>
      <c r="H12389" s="1"/>
      <c r="I12389" s="1"/>
      <c r="J12389" s="1"/>
      <c r="K12389" s="1"/>
      <c r="L12389" s="1"/>
      <c r="M12389" s="1"/>
      <c r="N12389" s="1"/>
      <c r="O12389" s="1"/>
      <c r="P12389" s="1"/>
      <c r="Q12389" s="1"/>
      <c r="R12389" s="1"/>
      <c r="S12389" s="1"/>
      <c r="T12389" s="1"/>
      <c r="U12389" s="1"/>
      <c r="V12389" s="1"/>
      <c r="W12389" s="1"/>
      <c r="X12389" s="1"/>
      <c r="Y12389" s="1"/>
      <c r="Z12389" s="1"/>
      <c r="AA12389" s="1"/>
      <c r="AB12389" s="1"/>
    </row>
    <row r="12390" ht="50.25" customHeight="1">
      <c r="A12390" s="12">
        <v>12386.0</v>
      </c>
      <c r="B12390" s="13" t="s">
        <v>12057</v>
      </c>
      <c r="C12390" s="14" t="s">
        <v>12213</v>
      </c>
      <c r="D12390" s="1"/>
      <c r="E12390" s="1"/>
      <c r="F12390" s="1" t="str">
        <f>IFERROR(__xludf.DUMMYFUNCTION("GOOGLETRANSLATE(B12390, ""en"", ""fa"")
"),"والدین آگاهانه")</f>
        <v>والدین آگاهانه</v>
      </c>
      <c r="G12390" s="1" t="str">
        <f>IFERROR(__xludf.DUMMYFUNCTION("GOOGLETRANSLATE(C12390, ""en"", ""fa"")
"),"یک فعالیت مبتنی بر تمرکز حواس را توصیف کنید که فرزندتان را تشویق می کند تا نسبت به خود قدردانی کند.")</f>
        <v>یک فعالیت مبتنی بر تمرکز حواس را توصیف کنید که فرزندتان را تشویق می کند تا نسبت به خود قدردانی کند.</v>
      </c>
      <c r="H12390" s="1"/>
      <c r="I12390" s="1"/>
      <c r="J12390" s="1"/>
      <c r="K12390" s="1"/>
      <c r="L12390" s="1"/>
      <c r="M12390" s="1"/>
      <c r="N12390" s="1"/>
      <c r="O12390" s="1"/>
      <c r="P12390" s="1"/>
      <c r="Q12390" s="1"/>
      <c r="R12390" s="1"/>
      <c r="S12390" s="1"/>
      <c r="T12390" s="1"/>
      <c r="U12390" s="1"/>
      <c r="V12390" s="1"/>
      <c r="W12390" s="1"/>
      <c r="X12390" s="1"/>
      <c r="Y12390" s="1"/>
      <c r="Z12390" s="1"/>
      <c r="AA12390" s="1"/>
      <c r="AB12390" s="1"/>
    </row>
    <row r="12391" ht="50.25" customHeight="1">
      <c r="A12391" s="12">
        <v>12387.0</v>
      </c>
      <c r="B12391" s="13" t="s">
        <v>12057</v>
      </c>
      <c r="C12391" s="14" t="s">
        <v>12214</v>
      </c>
      <c r="D12391" s="1"/>
      <c r="E12391" s="1"/>
      <c r="F12391" s="1" t="str">
        <f>IFERROR(__xludf.DUMMYFUNCTION("GOOGLETRANSLATE(B12391, ""en"", ""fa"")
"),"والدین آگاهانه")</f>
        <v>والدین آگاهانه</v>
      </c>
      <c r="G12391" s="1" t="str">
        <f>IFERROR(__xludf.DUMMYFUNCTION("GOOGLETRANSLATE(C12391, ""en"", ""fa"")
"),"در مورد اینکه چگونه تمرکز حواس به شما و فرزندتان کمک می‌کند در استفاده از فناوری و زمان استفاده از صفحه نمایش آگاهانه بنویسید.")</f>
        <v>در مورد اینکه چگونه تمرکز حواس به شما و فرزندتان کمک می‌کند در استفاده از فناوری و زمان استفاده از صفحه نمایش آگاهانه بنویسید.</v>
      </c>
      <c r="H12391" s="1"/>
      <c r="I12391" s="1"/>
      <c r="J12391" s="1"/>
      <c r="K12391" s="1"/>
      <c r="L12391" s="1"/>
      <c r="M12391" s="1"/>
      <c r="N12391" s="1"/>
      <c r="O12391" s="1"/>
      <c r="P12391" s="1"/>
      <c r="Q12391" s="1"/>
      <c r="R12391" s="1"/>
      <c r="S12391" s="1"/>
      <c r="T12391" s="1"/>
      <c r="U12391" s="1"/>
      <c r="V12391" s="1"/>
      <c r="W12391" s="1"/>
      <c r="X12391" s="1"/>
      <c r="Y12391" s="1"/>
      <c r="Z12391" s="1"/>
      <c r="AA12391" s="1"/>
      <c r="AB12391" s="1"/>
    </row>
    <row r="12392" ht="50.25" customHeight="1">
      <c r="A12392" s="12">
        <v>12388.0</v>
      </c>
      <c r="B12392" s="13" t="s">
        <v>12057</v>
      </c>
      <c r="C12392" s="14" t="s">
        <v>12215</v>
      </c>
      <c r="D12392" s="1"/>
      <c r="E12392" s="1"/>
      <c r="F12392" s="1" t="str">
        <f>IFERROR(__xludf.DUMMYFUNCTION("GOOGLETRANSLATE(B12392, ""en"", ""fa"")
"),"والدین آگاهانه")</f>
        <v>والدین آگاهانه</v>
      </c>
      <c r="G12392" s="1" t="str">
        <f>IFERROR(__xludf.DUMMYFUNCTION("GOOGLETRANSLATE(C12392, ""en"", ""fa"")
"),"بررسی کنید که چگونه ذهن آگاهی از توانایی کودک شما برای درک و مدیریت احساسات خود در محیط های اجتماعی پشتیبانی می کند.")</f>
        <v>بررسی کنید که چگونه ذهن آگاهی از توانایی کودک شما برای درک و مدیریت احساسات خود در محیط های اجتماعی پشتیبانی می کند.</v>
      </c>
      <c r="H12392" s="1"/>
      <c r="I12392" s="1"/>
      <c r="J12392" s="1"/>
      <c r="K12392" s="1"/>
      <c r="L12392" s="1"/>
      <c r="M12392" s="1"/>
      <c r="N12392" s="1"/>
      <c r="O12392" s="1"/>
      <c r="P12392" s="1"/>
      <c r="Q12392" s="1"/>
      <c r="R12392" s="1"/>
      <c r="S12392" s="1"/>
      <c r="T12392" s="1"/>
      <c r="U12392" s="1"/>
      <c r="V12392" s="1"/>
      <c r="W12392" s="1"/>
      <c r="X12392" s="1"/>
      <c r="Y12392" s="1"/>
      <c r="Z12392" s="1"/>
      <c r="AA12392" s="1"/>
      <c r="AB12392" s="1"/>
    </row>
    <row r="12393" ht="50.25" customHeight="1">
      <c r="A12393" s="12">
        <v>12389.0</v>
      </c>
      <c r="B12393" s="13" t="s">
        <v>12057</v>
      </c>
      <c r="C12393" s="14" t="s">
        <v>12216</v>
      </c>
      <c r="D12393" s="1"/>
      <c r="E12393" s="1"/>
      <c r="F12393" s="1" t="str">
        <f>IFERROR(__xludf.DUMMYFUNCTION("GOOGLETRANSLATE(B12393, ""en"", ""fa"")
"),"والدین آگاهانه")</f>
        <v>والدین آگاهانه</v>
      </c>
      <c r="G12393" s="1" t="str">
        <f>IFERROR(__xludf.DUMMYFUNCTION("GOOGLETRANSLATE(C12393, ""en"", ""fa"")
"),"در مورد یک تکنیک تنفس آگاهانه فکر کنید که به فرزند شما کمک می کند تا اضطراب امتحان یا استرس عملکرد را مدیریت کند.")</f>
        <v>در مورد یک تکنیک تنفس آگاهانه فکر کنید که به فرزند شما کمک می کند تا اضطراب امتحان یا استرس عملکرد را مدیریت کند.</v>
      </c>
      <c r="H12393" s="1"/>
      <c r="I12393" s="1"/>
      <c r="J12393" s="1"/>
      <c r="K12393" s="1"/>
      <c r="L12393" s="1"/>
      <c r="M12393" s="1"/>
      <c r="N12393" s="1"/>
      <c r="O12393" s="1"/>
      <c r="P12393" s="1"/>
      <c r="Q12393" s="1"/>
      <c r="R12393" s="1"/>
      <c r="S12393" s="1"/>
      <c r="T12393" s="1"/>
      <c r="U12393" s="1"/>
      <c r="V12393" s="1"/>
      <c r="W12393" s="1"/>
      <c r="X12393" s="1"/>
      <c r="Y12393" s="1"/>
      <c r="Z12393" s="1"/>
      <c r="AA12393" s="1"/>
      <c r="AB12393" s="1"/>
    </row>
    <row r="12394" ht="50.25" customHeight="1">
      <c r="A12394" s="12">
        <v>12390.0</v>
      </c>
      <c r="B12394" s="13" t="s">
        <v>12057</v>
      </c>
      <c r="C12394" s="14" t="s">
        <v>12217</v>
      </c>
      <c r="D12394" s="1"/>
      <c r="E12394" s="1"/>
      <c r="F12394" s="1" t="str">
        <f>IFERROR(__xludf.DUMMYFUNCTION("GOOGLETRANSLATE(B12394, ""en"", ""fa"")
"),"والدین آگاهانه")</f>
        <v>والدین آگاهانه</v>
      </c>
      <c r="G12394" s="1" t="str">
        <f>IFERROR(__xludf.DUMMYFUNCTION("GOOGLETRANSLATE(C12394, ""en"", ""fa"")
"),"یک فعالیت هنری مبتنی بر ذهن آگاهی را توصیف کنید که به کودک شما اجازه می دهد تا احساسات خود را از طریق رنگ ها و اشکال کشف کند.")</f>
        <v>یک فعالیت هنری مبتنی بر ذهن آگاهی را توصیف کنید که به کودک شما اجازه می دهد تا احساسات خود را از طریق رنگ ها و اشکال کشف کند.</v>
      </c>
      <c r="H12394" s="1"/>
      <c r="I12394" s="1"/>
      <c r="J12394" s="1"/>
      <c r="K12394" s="1"/>
      <c r="L12394" s="1"/>
      <c r="M12394" s="1"/>
      <c r="N12394" s="1"/>
      <c r="O12394" s="1"/>
      <c r="P12394" s="1"/>
      <c r="Q12394" s="1"/>
      <c r="R12394" s="1"/>
      <c r="S12394" s="1"/>
      <c r="T12394" s="1"/>
      <c r="U12394" s="1"/>
      <c r="V12394" s="1"/>
      <c r="W12394" s="1"/>
      <c r="X12394" s="1"/>
      <c r="Y12394" s="1"/>
      <c r="Z12394" s="1"/>
      <c r="AA12394" s="1"/>
      <c r="AB12394" s="1"/>
    </row>
    <row r="12395" ht="50.25" customHeight="1">
      <c r="A12395" s="12">
        <v>12391.0</v>
      </c>
      <c r="B12395" s="13" t="s">
        <v>12057</v>
      </c>
      <c r="C12395" s="14" t="s">
        <v>12218</v>
      </c>
      <c r="D12395" s="1"/>
      <c r="E12395" s="1"/>
      <c r="F12395" s="1" t="str">
        <f>IFERROR(__xludf.DUMMYFUNCTION("GOOGLETRANSLATE(B12395, ""en"", ""fa"")
"),"والدین آگاهانه")</f>
        <v>والدین آگاهانه</v>
      </c>
      <c r="G12395" s="1" t="str">
        <f>IFERROR(__xludf.DUMMYFUNCTION("GOOGLETRANSLATE(C12395, ""en"", ""fa"")
"),"در مورد نقش ذهن آگاهی در ترویج رابطه مثبت و محترمانه والد-کودک بنویسید.")</f>
        <v>در مورد نقش ذهن آگاهی در ترویج رابطه مثبت و محترمانه والد-کودک بنویسید.</v>
      </c>
      <c r="H12395" s="1"/>
      <c r="I12395" s="1"/>
      <c r="J12395" s="1"/>
      <c r="K12395" s="1"/>
      <c r="L12395" s="1"/>
      <c r="M12395" s="1"/>
      <c r="N12395" s="1"/>
      <c r="O12395" s="1"/>
      <c r="P12395" s="1"/>
      <c r="Q12395" s="1"/>
      <c r="R12395" s="1"/>
      <c r="S12395" s="1"/>
      <c r="T12395" s="1"/>
      <c r="U12395" s="1"/>
      <c r="V12395" s="1"/>
      <c r="W12395" s="1"/>
      <c r="X12395" s="1"/>
      <c r="Y12395" s="1"/>
      <c r="Z12395" s="1"/>
      <c r="AA12395" s="1"/>
      <c r="AB12395" s="1"/>
    </row>
    <row r="12396" ht="50.25" customHeight="1">
      <c r="A12396" s="12">
        <v>12392.0</v>
      </c>
      <c r="B12396" s="13" t="s">
        <v>12057</v>
      </c>
      <c r="C12396" s="14" t="s">
        <v>12219</v>
      </c>
      <c r="D12396" s="1"/>
      <c r="E12396" s="1"/>
      <c r="F12396" s="1" t="str">
        <f>IFERROR(__xludf.DUMMYFUNCTION("GOOGLETRANSLATE(B12396, ""en"", ""fa"")
"),"والدین آگاهانه")</f>
        <v>والدین آگاهانه</v>
      </c>
      <c r="G12396" s="1" t="str">
        <f>IFERROR(__xludf.DUMMYFUNCTION("GOOGLETRANSLATE(C12396, ""en"", ""fa"")
"),"بررسی کنید که چگونه ذهن آگاهی توانایی فرزند شما را برای مشارکت در گفتگوهای معنادار با دیگران افزایش می دهد.")</f>
        <v>بررسی کنید که چگونه ذهن آگاهی توانایی فرزند شما را برای مشارکت در گفتگوهای معنادار با دیگران افزایش می دهد.</v>
      </c>
      <c r="H12396" s="1"/>
      <c r="I12396" s="1"/>
      <c r="J12396" s="1"/>
      <c r="K12396" s="1"/>
      <c r="L12396" s="1"/>
      <c r="M12396" s="1"/>
      <c r="N12396" s="1"/>
      <c r="O12396" s="1"/>
      <c r="P12396" s="1"/>
      <c r="Q12396" s="1"/>
      <c r="R12396" s="1"/>
      <c r="S12396" s="1"/>
      <c r="T12396" s="1"/>
      <c r="U12396" s="1"/>
      <c r="V12396" s="1"/>
      <c r="W12396" s="1"/>
      <c r="X12396" s="1"/>
      <c r="Y12396" s="1"/>
      <c r="Z12396" s="1"/>
      <c r="AA12396" s="1"/>
      <c r="AB12396" s="1"/>
    </row>
    <row r="12397" ht="50.25" customHeight="1">
      <c r="A12397" s="12">
        <v>12393.0</v>
      </c>
      <c r="B12397" s="13" t="s">
        <v>12057</v>
      </c>
      <c r="C12397" s="14" t="s">
        <v>12220</v>
      </c>
      <c r="D12397" s="1"/>
      <c r="E12397" s="1"/>
      <c r="F12397" s="1" t="str">
        <f>IFERROR(__xludf.DUMMYFUNCTION("GOOGLETRANSLATE(B12397, ""en"", ""fa"")
"),"والدین آگاهانه")</f>
        <v>والدین آگاهانه</v>
      </c>
      <c r="G12397" s="1" t="str">
        <f>IFERROR(__xludf.DUMMYFUNCTION("GOOGLETRANSLATE(C12397, ""en"", ""fa"")
"),"به یک روال قبل از خواب توجه کنید که باعث آرامش و آرامش برای خواب بهتر می شود.")</f>
        <v>به یک روال قبل از خواب توجه کنید که باعث آرامش و آرامش برای خواب بهتر می شود.</v>
      </c>
      <c r="H12397" s="1"/>
      <c r="I12397" s="1"/>
      <c r="J12397" s="1"/>
      <c r="K12397" s="1"/>
      <c r="L12397" s="1"/>
      <c r="M12397" s="1"/>
      <c r="N12397" s="1"/>
      <c r="O12397" s="1"/>
      <c r="P12397" s="1"/>
      <c r="Q12397" s="1"/>
      <c r="R12397" s="1"/>
      <c r="S12397" s="1"/>
      <c r="T12397" s="1"/>
      <c r="U12397" s="1"/>
      <c r="V12397" s="1"/>
      <c r="W12397" s="1"/>
      <c r="X12397" s="1"/>
      <c r="Y12397" s="1"/>
      <c r="Z12397" s="1"/>
      <c r="AA12397" s="1"/>
      <c r="AB12397" s="1"/>
    </row>
    <row r="12398" ht="50.25" customHeight="1">
      <c r="A12398" s="12">
        <v>12394.0</v>
      </c>
      <c r="B12398" s="13" t="s">
        <v>12057</v>
      </c>
      <c r="C12398" s="14" t="s">
        <v>12221</v>
      </c>
      <c r="D12398" s="1"/>
      <c r="E12398" s="1"/>
      <c r="F12398" s="1" t="str">
        <f>IFERROR(__xludf.DUMMYFUNCTION("GOOGLETRANSLATE(B12398, ""en"", ""fa"")
"),"والدین آگاهانه")</f>
        <v>والدین آگاهانه</v>
      </c>
      <c r="G12398" s="1" t="str">
        <f>IFERROR(__xludf.DUMMYFUNCTION("GOOGLETRANSLATE(C12398, ""en"", ""fa"")
"),"یک فعالیت مبتنی بر ذهن آگاهی را توصیف کنید که فرزندتان را تشویق می کند تا صبر و استقامت را پرورش دهد.")</f>
        <v>یک فعالیت مبتنی بر ذهن آگاهی را توصیف کنید که فرزندتان را تشویق می کند تا صبر و استقامت را پرورش دهد.</v>
      </c>
      <c r="H12398" s="1"/>
      <c r="I12398" s="1"/>
      <c r="J12398" s="1"/>
      <c r="K12398" s="1"/>
      <c r="L12398" s="1"/>
      <c r="M12398" s="1"/>
      <c r="N12398" s="1"/>
      <c r="O12398" s="1"/>
      <c r="P12398" s="1"/>
      <c r="Q12398" s="1"/>
      <c r="R12398" s="1"/>
      <c r="S12398" s="1"/>
      <c r="T12398" s="1"/>
      <c r="U12398" s="1"/>
      <c r="V12398" s="1"/>
      <c r="W12398" s="1"/>
      <c r="X12398" s="1"/>
      <c r="Y12398" s="1"/>
      <c r="Z12398" s="1"/>
      <c r="AA12398" s="1"/>
      <c r="AB12398" s="1"/>
    </row>
    <row r="12399" ht="50.25" customHeight="1">
      <c r="A12399" s="12">
        <v>12395.0</v>
      </c>
      <c r="B12399" s="13" t="s">
        <v>12057</v>
      </c>
      <c r="C12399" s="14" t="s">
        <v>12222</v>
      </c>
      <c r="D12399" s="1"/>
      <c r="E12399" s="1"/>
      <c r="F12399" s="1" t="str">
        <f>IFERROR(__xludf.DUMMYFUNCTION("GOOGLETRANSLATE(B12399, ""en"", ""fa"")
"),"والدین آگاهانه")</f>
        <v>والدین آگاهانه</v>
      </c>
      <c r="G12399" s="1" t="str">
        <f>IFERROR(__xludf.DUMMYFUNCTION("GOOGLETRANSLATE(C12399, ""en"", ""fa"")
"),"در مورد اینکه چگونه ذهن آگاهی به شما و فرزندتان کمک می کند تا حس قدردانی عمیقی نسبت به موهبت های زندگی داشته باشید، بنویسید.")</f>
        <v>در مورد اینکه چگونه ذهن آگاهی به شما و فرزندتان کمک می کند تا حس قدردانی عمیقی نسبت به موهبت های زندگی داشته باشید، بنویسید.</v>
      </c>
      <c r="H12399" s="1"/>
      <c r="I12399" s="1"/>
      <c r="J12399" s="1"/>
      <c r="K12399" s="1"/>
      <c r="L12399" s="1"/>
      <c r="M12399" s="1"/>
      <c r="N12399" s="1"/>
      <c r="O12399" s="1"/>
      <c r="P12399" s="1"/>
      <c r="Q12399" s="1"/>
      <c r="R12399" s="1"/>
      <c r="S12399" s="1"/>
      <c r="T12399" s="1"/>
      <c r="U12399" s="1"/>
      <c r="V12399" s="1"/>
      <c r="W12399" s="1"/>
      <c r="X12399" s="1"/>
      <c r="Y12399" s="1"/>
      <c r="Z12399" s="1"/>
      <c r="AA12399" s="1"/>
      <c r="AB12399" s="1"/>
    </row>
    <row r="12400" ht="50.25" customHeight="1">
      <c r="A12400" s="12">
        <v>12396.0</v>
      </c>
      <c r="B12400" s="13" t="s">
        <v>12057</v>
      </c>
      <c r="C12400" s="14" t="s">
        <v>12223</v>
      </c>
      <c r="D12400" s="1"/>
      <c r="E12400" s="1"/>
      <c r="F12400" s="1" t="str">
        <f>IFERROR(__xludf.DUMMYFUNCTION("GOOGLETRANSLATE(B12400, ""en"", ""fa"")
"),"والدین آگاهانه")</f>
        <v>والدین آگاهانه</v>
      </c>
      <c r="G12400" s="1" t="str">
        <f>IFERROR(__xludf.DUMMYFUNCTION("GOOGLETRANSLATE(C12400, ""en"", ""fa"")
"),"اثرات مثبت ذهن آگاهی را بر توانایی فرزندتان برای نشان دادن مهربانی و همدلی با حیوانات و طبیعت بررسی کنید.")</f>
        <v>اثرات مثبت ذهن آگاهی را بر توانایی فرزندتان برای نشان دادن مهربانی و همدلی با حیوانات و طبیعت بررسی کنید.</v>
      </c>
      <c r="H12400" s="1"/>
      <c r="I12400" s="1"/>
      <c r="J12400" s="1"/>
      <c r="K12400" s="1"/>
      <c r="L12400" s="1"/>
      <c r="M12400" s="1"/>
      <c r="N12400" s="1"/>
      <c r="O12400" s="1"/>
      <c r="P12400" s="1"/>
      <c r="Q12400" s="1"/>
      <c r="R12400" s="1"/>
      <c r="S12400" s="1"/>
      <c r="T12400" s="1"/>
      <c r="U12400" s="1"/>
      <c r="V12400" s="1"/>
      <c r="W12400" s="1"/>
      <c r="X12400" s="1"/>
      <c r="Y12400" s="1"/>
      <c r="Z12400" s="1"/>
      <c r="AA12400" s="1"/>
      <c r="AB12400" s="1"/>
    </row>
    <row r="12401" ht="50.25" customHeight="1">
      <c r="A12401" s="12">
        <v>12397.0</v>
      </c>
      <c r="B12401" s="13" t="s">
        <v>12057</v>
      </c>
      <c r="C12401" s="14" t="s">
        <v>12224</v>
      </c>
      <c r="D12401" s="1"/>
      <c r="E12401" s="1"/>
      <c r="F12401" s="1" t="str">
        <f>IFERROR(__xludf.DUMMYFUNCTION("GOOGLETRANSLATE(B12401, ""en"", ""fa"")
"),"والدین آگاهانه")</f>
        <v>والدین آگاهانه</v>
      </c>
      <c r="G12401" s="1" t="str">
        <f>IFERROR(__xludf.DUMMYFUNCTION("GOOGLETRANSLATE(C12401, ""en"", ""fa"")
"),"در مورد یک تکنیک تنفس آگاهانه فکر کنید که به خانواده شما کمک می کند در روزهای پرمشغله دوباره تمرکز کنند.")</f>
        <v>در مورد یک تکنیک تنفس آگاهانه فکر کنید که به خانواده شما کمک می کند در روزهای پرمشغله دوباره تمرکز کنند.</v>
      </c>
      <c r="H12401" s="1"/>
      <c r="I12401" s="1"/>
      <c r="J12401" s="1"/>
      <c r="K12401" s="1"/>
      <c r="L12401" s="1"/>
      <c r="M12401" s="1"/>
      <c r="N12401" s="1"/>
      <c r="O12401" s="1"/>
      <c r="P12401" s="1"/>
      <c r="Q12401" s="1"/>
      <c r="R12401" s="1"/>
      <c r="S12401" s="1"/>
      <c r="T12401" s="1"/>
      <c r="U12401" s="1"/>
      <c r="V12401" s="1"/>
      <c r="W12401" s="1"/>
      <c r="X12401" s="1"/>
      <c r="Y12401" s="1"/>
      <c r="Z12401" s="1"/>
      <c r="AA12401" s="1"/>
      <c r="AB12401" s="1"/>
    </row>
    <row r="12402" ht="50.25" customHeight="1">
      <c r="A12402" s="12">
        <v>12398.0</v>
      </c>
      <c r="B12402" s="13" t="s">
        <v>12057</v>
      </c>
      <c r="C12402" s="14" t="s">
        <v>12225</v>
      </c>
      <c r="D12402" s="1"/>
      <c r="E12402" s="1"/>
      <c r="F12402" s="1" t="str">
        <f>IFERROR(__xludf.DUMMYFUNCTION("GOOGLETRANSLATE(B12402, ""en"", ""fa"")
"),"والدین آگاهانه")</f>
        <v>والدین آگاهانه</v>
      </c>
      <c r="G12402" s="1" t="str">
        <f>IFERROR(__xludf.DUMMYFUNCTION("GOOGLETRANSLATE(C12402, ""en"", ""fa"")
"),"یک تمرین مبتنی بر تمرکز حواس را توصیف کنید که به فرزندتان می آموزد با ذهنیت رشد به چالش ها پاسخ دهد.")</f>
        <v>یک تمرین مبتنی بر تمرکز حواس را توصیف کنید که به فرزندتان می آموزد با ذهنیت رشد به چالش ها پاسخ دهد.</v>
      </c>
      <c r="H12402" s="1"/>
      <c r="I12402" s="1"/>
      <c r="J12402" s="1"/>
      <c r="K12402" s="1"/>
      <c r="L12402" s="1"/>
      <c r="M12402" s="1"/>
      <c r="N12402" s="1"/>
      <c r="O12402" s="1"/>
      <c r="P12402" s="1"/>
      <c r="Q12402" s="1"/>
      <c r="R12402" s="1"/>
      <c r="S12402" s="1"/>
      <c r="T12402" s="1"/>
      <c r="U12402" s="1"/>
      <c r="V12402" s="1"/>
      <c r="W12402" s="1"/>
      <c r="X12402" s="1"/>
      <c r="Y12402" s="1"/>
      <c r="Z12402" s="1"/>
      <c r="AA12402" s="1"/>
      <c r="AB12402" s="1"/>
    </row>
    <row r="12403" ht="50.25" customHeight="1">
      <c r="A12403" s="12">
        <v>12399.0</v>
      </c>
      <c r="B12403" s="13" t="s">
        <v>12057</v>
      </c>
      <c r="C12403" s="14" t="s">
        <v>12226</v>
      </c>
      <c r="D12403" s="1"/>
      <c r="E12403" s="1"/>
      <c r="F12403" s="1" t="str">
        <f>IFERROR(__xludf.DUMMYFUNCTION("GOOGLETRANSLATE(B12403, ""en"", ""fa"")
"),"والدین آگاهانه")</f>
        <v>والدین آگاهانه</v>
      </c>
      <c r="G12403" s="1" t="str">
        <f>IFERROR(__xludf.DUMMYFUNCTION("GOOGLETRANSLATE(C12403, ""en"", ""fa"")
"),"در مورد نقش ذهن آگاهی در ترویج ارتباطات مثبت و حل تعارض در خانواده خود بنویسید.")</f>
        <v>در مورد نقش ذهن آگاهی در ترویج ارتباطات مثبت و حل تعارض در خانواده خود بنویسید.</v>
      </c>
      <c r="H12403" s="1"/>
      <c r="I12403" s="1"/>
      <c r="J12403" s="1"/>
      <c r="K12403" s="1"/>
      <c r="L12403" s="1"/>
      <c r="M12403" s="1"/>
      <c r="N12403" s="1"/>
      <c r="O12403" s="1"/>
      <c r="P12403" s="1"/>
      <c r="Q12403" s="1"/>
      <c r="R12403" s="1"/>
      <c r="S12403" s="1"/>
      <c r="T12403" s="1"/>
      <c r="U12403" s="1"/>
      <c r="V12403" s="1"/>
      <c r="W12403" s="1"/>
      <c r="X12403" s="1"/>
      <c r="Y12403" s="1"/>
      <c r="Z12403" s="1"/>
      <c r="AA12403" s="1"/>
      <c r="AB12403" s="1"/>
    </row>
    <row r="12404" ht="50.25" customHeight="1">
      <c r="A12404" s="12">
        <v>12400.0</v>
      </c>
      <c r="B12404" s="13" t="s">
        <v>12057</v>
      </c>
      <c r="C12404" s="14" t="s">
        <v>12227</v>
      </c>
      <c r="D12404" s="1"/>
      <c r="E12404" s="1"/>
      <c r="F12404" s="1" t="str">
        <f>IFERROR(__xludf.DUMMYFUNCTION("GOOGLETRANSLATE(B12404, ""en"", ""fa"")
"),"والدین آگاهانه")</f>
        <v>والدین آگاهانه</v>
      </c>
      <c r="G12404" s="1" t="str">
        <f>IFERROR(__xludf.DUMMYFUNCTION("GOOGLETRANSLATE(C12404, ""en"", ""fa"")
"),"بررسی کنید که چگونه ذهن آگاهی از توانایی کودک شما برای بیان خلاقانه خود از طریق نوشتن یا داستان گویی پشتیبانی می کند.")</f>
        <v>بررسی کنید که چگونه ذهن آگاهی از توانایی کودک شما برای بیان خلاقانه خود از طریق نوشتن یا داستان گویی پشتیبانی می کند.</v>
      </c>
      <c r="H12404" s="1"/>
      <c r="I12404" s="1"/>
      <c r="J12404" s="1"/>
      <c r="K12404" s="1"/>
      <c r="L12404" s="1"/>
      <c r="M12404" s="1"/>
      <c r="N12404" s="1"/>
      <c r="O12404" s="1"/>
      <c r="P12404" s="1"/>
      <c r="Q12404" s="1"/>
      <c r="R12404" s="1"/>
      <c r="S12404" s="1"/>
      <c r="T12404" s="1"/>
      <c r="U12404" s="1"/>
      <c r="V12404" s="1"/>
      <c r="W12404" s="1"/>
      <c r="X12404" s="1"/>
      <c r="Y12404" s="1"/>
      <c r="Z12404" s="1"/>
      <c r="AA12404" s="1"/>
      <c r="AB12404" s="1"/>
    </row>
    <row r="12405" ht="50.25" customHeight="1">
      <c r="A12405" s="12">
        <v>12401.0</v>
      </c>
      <c r="B12405" s="13" t="s">
        <v>12057</v>
      </c>
      <c r="C12405" s="14" t="s">
        <v>12228</v>
      </c>
      <c r="D12405" s="1"/>
      <c r="E12405" s="1"/>
      <c r="F12405" s="1" t="str">
        <f>IFERROR(__xludf.DUMMYFUNCTION("GOOGLETRANSLATE(B12405, ""en"", ""fa"")
"),"والدین آگاهانه")</f>
        <v>والدین آگاهانه</v>
      </c>
      <c r="G12405" s="1" t="str">
        <f>IFERROR(__xludf.DUMMYFUNCTION("GOOGLETRANSLATE(C12405, ""en"", ""fa"")
"),"در مورد یک فعالیت حرکتی آگاهانه فکر کنید که کودک شما را تشویق می کند تا با بدن و حرکت خود ارتباط برقرار کند.")</f>
        <v>در مورد یک فعالیت حرکتی آگاهانه فکر کنید که کودک شما را تشویق می کند تا با بدن و حرکت خود ارتباط برقرار کند.</v>
      </c>
      <c r="H12405" s="1"/>
      <c r="I12405" s="1"/>
      <c r="J12405" s="1"/>
      <c r="K12405" s="1"/>
      <c r="L12405" s="1"/>
      <c r="M12405" s="1"/>
      <c r="N12405" s="1"/>
      <c r="O12405" s="1"/>
      <c r="P12405" s="1"/>
      <c r="Q12405" s="1"/>
      <c r="R12405" s="1"/>
      <c r="S12405" s="1"/>
      <c r="T12405" s="1"/>
      <c r="U12405" s="1"/>
      <c r="V12405" s="1"/>
      <c r="W12405" s="1"/>
      <c r="X12405" s="1"/>
      <c r="Y12405" s="1"/>
      <c r="Z12405" s="1"/>
      <c r="AA12405" s="1"/>
      <c r="AB12405" s="1"/>
    </row>
    <row r="12406" ht="50.25" customHeight="1">
      <c r="A12406" s="12">
        <v>12402.0</v>
      </c>
      <c r="B12406" s="13" t="s">
        <v>12057</v>
      </c>
      <c r="C12406" s="14" t="s">
        <v>12229</v>
      </c>
      <c r="D12406" s="1"/>
      <c r="E12406" s="1"/>
      <c r="F12406" s="1" t="str">
        <f>IFERROR(__xludf.DUMMYFUNCTION("GOOGLETRANSLATE(B12406, ""en"", ""fa"")
"),"والدین آگاهانه")</f>
        <v>والدین آگاهانه</v>
      </c>
      <c r="G12406" s="1" t="str">
        <f>IFERROR(__xludf.DUMMYFUNCTION("GOOGLETRANSLATE(C12406, ""en"", ""fa"")
"),"یک فعالیت مبتنی بر تمرکز حواس را توصیف کنید که حس هیبت و شگفتی را در کودک شما نسبت به دنیا ایجاد می کند.")</f>
        <v>یک فعالیت مبتنی بر تمرکز حواس را توصیف کنید که حس هیبت و شگفتی را در کودک شما نسبت به دنیا ایجاد می کند.</v>
      </c>
      <c r="H12406" s="1"/>
      <c r="I12406" s="1"/>
      <c r="J12406" s="1"/>
      <c r="K12406" s="1"/>
      <c r="L12406" s="1"/>
      <c r="M12406" s="1"/>
      <c r="N12406" s="1"/>
      <c r="O12406" s="1"/>
      <c r="P12406" s="1"/>
      <c r="Q12406" s="1"/>
      <c r="R12406" s="1"/>
      <c r="S12406" s="1"/>
      <c r="T12406" s="1"/>
      <c r="U12406" s="1"/>
      <c r="V12406" s="1"/>
      <c r="W12406" s="1"/>
      <c r="X12406" s="1"/>
      <c r="Y12406" s="1"/>
      <c r="Z12406" s="1"/>
      <c r="AA12406" s="1"/>
      <c r="AB12406" s="1"/>
    </row>
    <row r="12407" ht="50.25" customHeight="1">
      <c r="A12407" s="12">
        <v>12403.0</v>
      </c>
      <c r="B12407" s="13" t="s">
        <v>12057</v>
      </c>
      <c r="C12407" s="14" t="s">
        <v>12230</v>
      </c>
      <c r="D12407" s="1"/>
      <c r="E12407" s="1"/>
      <c r="F12407" s="1" t="str">
        <f>IFERROR(__xludf.DUMMYFUNCTION("GOOGLETRANSLATE(B12407, ""en"", ""fa"")
"),"والدین آگاهانه")</f>
        <v>والدین آگاهانه</v>
      </c>
      <c r="G12407" s="1" t="str">
        <f>IFERROR(__xludf.DUMMYFUNCTION("GOOGLETRANSLATE(C12407, ""en"", ""fa"")
"),"در مورد اینکه چگونه ذهن آگاهی توانایی شما را برای حمایت و پرورش رفاه عاطفی فرزندتان افزایش می دهد بنویسید.")</f>
        <v>در مورد اینکه چگونه ذهن آگاهی توانایی شما را برای حمایت و پرورش رفاه عاطفی فرزندتان افزایش می دهد بنویسید.</v>
      </c>
      <c r="H12407" s="1"/>
      <c r="I12407" s="1"/>
      <c r="J12407" s="1"/>
      <c r="K12407" s="1"/>
      <c r="L12407" s="1"/>
      <c r="M12407" s="1"/>
      <c r="N12407" s="1"/>
      <c r="O12407" s="1"/>
      <c r="P12407" s="1"/>
      <c r="Q12407" s="1"/>
      <c r="R12407" s="1"/>
      <c r="S12407" s="1"/>
      <c r="T12407" s="1"/>
      <c r="U12407" s="1"/>
      <c r="V12407" s="1"/>
      <c r="W12407" s="1"/>
      <c r="X12407" s="1"/>
      <c r="Y12407" s="1"/>
      <c r="Z12407" s="1"/>
      <c r="AA12407" s="1"/>
      <c r="AB12407" s="1"/>
    </row>
    <row r="12408" ht="50.25" customHeight="1">
      <c r="A12408" s="12">
        <v>12404.0</v>
      </c>
      <c r="B12408" s="13" t="s">
        <v>12057</v>
      </c>
      <c r="C12408" s="14" t="s">
        <v>12231</v>
      </c>
      <c r="D12408" s="1"/>
      <c r="E12408" s="1"/>
      <c r="F12408" s="1" t="str">
        <f>IFERROR(__xludf.DUMMYFUNCTION("GOOGLETRANSLATE(B12408, ""en"", ""fa"")
"),"والدین آگاهانه")</f>
        <v>والدین آگاهانه</v>
      </c>
      <c r="G12408" s="1" t="str">
        <f>IFERROR(__xludf.DUMMYFUNCTION("GOOGLETRANSLATE(C12408, ""en"", ""fa"")
"),"مزایای گنجاندن ذهن آگاهی در سنت ها و آیین های خانوادگی را بررسی کنید.")</f>
        <v>مزایای گنجاندن ذهن آگاهی در سنت ها و آیین های خانوادگی را بررسی کنید.</v>
      </c>
      <c r="H12408" s="1"/>
      <c r="I12408" s="1"/>
      <c r="J12408" s="1"/>
      <c r="K12408" s="1"/>
      <c r="L12408" s="1"/>
      <c r="M12408" s="1"/>
      <c r="N12408" s="1"/>
      <c r="O12408" s="1"/>
      <c r="P12408" s="1"/>
      <c r="Q12408" s="1"/>
      <c r="R12408" s="1"/>
      <c r="S12408" s="1"/>
      <c r="T12408" s="1"/>
      <c r="U12408" s="1"/>
      <c r="V12408" s="1"/>
      <c r="W12408" s="1"/>
      <c r="X12408" s="1"/>
      <c r="Y12408" s="1"/>
      <c r="Z12408" s="1"/>
      <c r="AA12408" s="1"/>
      <c r="AB12408" s="1"/>
    </row>
    <row r="12409" ht="50.25" customHeight="1">
      <c r="A12409" s="12">
        <v>12405.0</v>
      </c>
      <c r="B12409" s="13" t="s">
        <v>12057</v>
      </c>
      <c r="C12409" s="14" t="s">
        <v>12232</v>
      </c>
      <c r="D12409" s="1"/>
      <c r="E12409" s="1"/>
      <c r="F12409" s="1" t="str">
        <f>IFERROR(__xludf.DUMMYFUNCTION("GOOGLETRANSLATE(B12409, ""en"", ""fa"")
"),"والدین آگاهانه")</f>
        <v>والدین آگاهانه</v>
      </c>
      <c r="G12409" s="1" t="str">
        <f>IFERROR(__xludf.DUMMYFUNCTION("GOOGLETRANSLATE(C12409, ""en"", ""fa"")
"),"در مورد نقش ذهن آگاهی در آموزش به کودک خود فکر کنید که ارزش سکوت و تنهایی را درک کند.")</f>
        <v>در مورد نقش ذهن آگاهی در آموزش به کودک خود فکر کنید که ارزش سکوت و تنهایی را درک کند.</v>
      </c>
      <c r="H12409" s="1"/>
      <c r="I12409" s="1"/>
      <c r="J12409" s="1"/>
      <c r="K12409" s="1"/>
      <c r="L12409" s="1"/>
      <c r="M12409" s="1"/>
      <c r="N12409" s="1"/>
      <c r="O12409" s="1"/>
      <c r="P12409" s="1"/>
      <c r="Q12409" s="1"/>
      <c r="R12409" s="1"/>
      <c r="S12409" s="1"/>
      <c r="T12409" s="1"/>
      <c r="U12409" s="1"/>
      <c r="V12409" s="1"/>
      <c r="W12409" s="1"/>
      <c r="X12409" s="1"/>
      <c r="Y12409" s="1"/>
      <c r="Z12409" s="1"/>
      <c r="AA12409" s="1"/>
      <c r="AB12409" s="1"/>
    </row>
    <row r="12410" ht="50.25" customHeight="1">
      <c r="A12410" s="12">
        <v>12406.0</v>
      </c>
      <c r="B12410" s="13" t="s">
        <v>12057</v>
      </c>
      <c r="C12410" s="14" t="s">
        <v>12233</v>
      </c>
      <c r="D12410" s="1"/>
      <c r="E12410" s="1"/>
      <c r="F12410" s="1" t="str">
        <f>IFERROR(__xludf.DUMMYFUNCTION("GOOGLETRANSLATE(B12410, ""en"", ""fa"")
"),"والدین آگاهانه")</f>
        <v>والدین آگاهانه</v>
      </c>
      <c r="G12410" s="1" t="str">
        <f>IFERROR(__xludf.DUMMYFUNCTION("GOOGLETRANSLATE(C12410, ""en"", ""fa"")
"),"یک فعالیت مبتنی بر تمرکز حواس را توصیف کنید که فرزندتان را تشویق می کند تا فصول در حال تغییر را مشاهده و قدردانی کند.")</f>
        <v>یک فعالیت مبتنی بر تمرکز حواس را توصیف کنید که فرزندتان را تشویق می کند تا فصول در حال تغییر را مشاهده و قدردانی کند.</v>
      </c>
      <c r="H12410" s="1"/>
      <c r="I12410" s="1"/>
      <c r="J12410" s="1"/>
      <c r="K12410" s="1"/>
      <c r="L12410" s="1"/>
      <c r="M12410" s="1"/>
      <c r="N12410" s="1"/>
      <c r="O12410" s="1"/>
      <c r="P12410" s="1"/>
      <c r="Q12410" s="1"/>
      <c r="R12410" s="1"/>
      <c r="S12410" s="1"/>
      <c r="T12410" s="1"/>
      <c r="U12410" s="1"/>
      <c r="V12410" s="1"/>
      <c r="W12410" s="1"/>
      <c r="X12410" s="1"/>
      <c r="Y12410" s="1"/>
      <c r="Z12410" s="1"/>
      <c r="AA12410" s="1"/>
      <c r="AB12410" s="1"/>
    </row>
    <row r="12411" ht="50.25" customHeight="1">
      <c r="A12411" s="12">
        <v>12407.0</v>
      </c>
      <c r="B12411" s="13" t="s">
        <v>12057</v>
      </c>
      <c r="C12411" s="14" t="s">
        <v>12234</v>
      </c>
      <c r="D12411" s="1"/>
      <c r="E12411" s="1"/>
      <c r="F12411" s="1" t="str">
        <f>IFERROR(__xludf.DUMMYFUNCTION("GOOGLETRANSLATE(B12411, ""en"", ""fa"")
"),"والدین آگاهانه")</f>
        <v>والدین آگاهانه</v>
      </c>
      <c r="G12411" s="1" t="str">
        <f>IFERROR(__xludf.DUMMYFUNCTION("GOOGLETRANSLATE(C12411, ""en"", ""fa"")
"),"در مورد اینکه چگونه ذهن آگاهی به شما و فرزندتان کمک می کند تا در تعاملات اجتماعی و ایجاد روابط معنادار کمک کند، بنویسید.")</f>
        <v>در مورد اینکه چگونه ذهن آگاهی به شما و فرزندتان کمک می کند تا در تعاملات اجتماعی و ایجاد روابط معنادار کمک کند، بنویسید.</v>
      </c>
      <c r="H12411" s="1"/>
      <c r="I12411" s="1"/>
      <c r="J12411" s="1"/>
      <c r="K12411" s="1"/>
      <c r="L12411" s="1"/>
      <c r="M12411" s="1"/>
      <c r="N12411" s="1"/>
      <c r="O12411" s="1"/>
      <c r="P12411" s="1"/>
      <c r="Q12411" s="1"/>
      <c r="R12411" s="1"/>
      <c r="S12411" s="1"/>
      <c r="T12411" s="1"/>
      <c r="U12411" s="1"/>
      <c r="V12411" s="1"/>
      <c r="W12411" s="1"/>
      <c r="X12411" s="1"/>
      <c r="Y12411" s="1"/>
      <c r="Z12411" s="1"/>
      <c r="AA12411" s="1"/>
      <c r="AB12411" s="1"/>
    </row>
    <row r="12412" ht="50.25" customHeight="1">
      <c r="A12412" s="12">
        <v>12408.0</v>
      </c>
      <c r="B12412" s="13" t="s">
        <v>12057</v>
      </c>
      <c r="C12412" s="14" t="s">
        <v>12235</v>
      </c>
      <c r="D12412" s="1"/>
      <c r="E12412" s="1"/>
      <c r="F12412" s="1" t="str">
        <f>IFERROR(__xludf.DUMMYFUNCTION("GOOGLETRANSLATE(B12412, ""en"", ""fa"")
"),"والدین آگاهانه")</f>
        <v>والدین آگاهانه</v>
      </c>
      <c r="G12412" s="1" t="str">
        <f>IFERROR(__xludf.DUMMYFUNCTION("GOOGLETRANSLATE(C12412, ""en"", ""fa"")
"),"بررسی کنید که چگونه ذهن آگاهی از توانایی فرزندتان برای توسعه همدلی و درک نسبت به فرهنگ های مختلف پشتیبانی می کند.")</f>
        <v>بررسی کنید که چگونه ذهن آگاهی از توانایی فرزندتان برای توسعه همدلی و درک نسبت به فرهنگ های مختلف پشتیبانی می کند.</v>
      </c>
      <c r="H12412" s="1"/>
      <c r="I12412" s="1"/>
      <c r="J12412" s="1"/>
      <c r="K12412" s="1"/>
      <c r="L12412" s="1"/>
      <c r="M12412" s="1"/>
      <c r="N12412" s="1"/>
      <c r="O12412" s="1"/>
      <c r="P12412" s="1"/>
      <c r="Q12412" s="1"/>
      <c r="R12412" s="1"/>
      <c r="S12412" s="1"/>
      <c r="T12412" s="1"/>
      <c r="U12412" s="1"/>
      <c r="V12412" s="1"/>
      <c r="W12412" s="1"/>
      <c r="X12412" s="1"/>
      <c r="Y12412" s="1"/>
      <c r="Z12412" s="1"/>
      <c r="AA12412" s="1"/>
      <c r="AB12412" s="1"/>
    </row>
    <row r="12413" ht="50.25" customHeight="1">
      <c r="A12413" s="12">
        <v>12409.0</v>
      </c>
      <c r="B12413" s="13" t="s">
        <v>12057</v>
      </c>
      <c r="C12413" s="14" t="s">
        <v>12236</v>
      </c>
      <c r="D12413" s="1"/>
      <c r="E12413" s="1"/>
      <c r="F12413" s="1" t="str">
        <f>IFERROR(__xludf.DUMMYFUNCTION("GOOGLETRANSLATE(B12413, ""en"", ""fa"")
"),"والدین آگاهانه")</f>
        <v>والدین آگاهانه</v>
      </c>
      <c r="G12413" s="1" t="str">
        <f>IFERROR(__xludf.DUMMYFUNCTION("GOOGLETRANSLATE(C12413, ""en"", ""fa"")
"),"در مورد یک تمرین سپاسگزاری آگاهانه فکر کنید که خانواده شما را تشویق می کند تا برای شادی های ساده در زندگی سپاسگزار باشند.")</f>
        <v>در مورد یک تمرین سپاسگزاری آگاهانه فکر کنید که خانواده شما را تشویق می کند تا برای شادی های ساده در زندگی سپاسگزار باشند.</v>
      </c>
      <c r="H12413" s="1"/>
      <c r="I12413" s="1"/>
      <c r="J12413" s="1"/>
      <c r="K12413" s="1"/>
      <c r="L12413" s="1"/>
      <c r="M12413" s="1"/>
      <c r="N12413" s="1"/>
      <c r="O12413" s="1"/>
      <c r="P12413" s="1"/>
      <c r="Q12413" s="1"/>
      <c r="R12413" s="1"/>
      <c r="S12413" s="1"/>
      <c r="T12413" s="1"/>
      <c r="U12413" s="1"/>
      <c r="V12413" s="1"/>
      <c r="W12413" s="1"/>
      <c r="X12413" s="1"/>
      <c r="Y12413" s="1"/>
      <c r="Z12413" s="1"/>
      <c r="AA12413" s="1"/>
      <c r="AB12413" s="1"/>
    </row>
    <row r="12414" ht="50.25" customHeight="1">
      <c r="A12414" s="12">
        <v>12410.0</v>
      </c>
      <c r="B12414" s="13" t="s">
        <v>12057</v>
      </c>
      <c r="C12414" s="14" t="s">
        <v>12237</v>
      </c>
      <c r="D12414" s="1"/>
      <c r="E12414" s="1"/>
      <c r="F12414" s="1" t="str">
        <f>IFERROR(__xludf.DUMMYFUNCTION("GOOGLETRANSLATE(B12414, ""en"", ""fa"")
"),"والدین آگاهانه")</f>
        <v>والدین آگاهانه</v>
      </c>
      <c r="G12414" s="1" t="str">
        <f>IFERROR(__xludf.DUMMYFUNCTION("GOOGLETRANSLATE(C12414, ""en"", ""fa"")
"),"یک تمرین مبتنی بر تمرکز حواس را توصیف کنید که باعث آرامش و کاهش استرس برای کودک شما می شود.")</f>
        <v>یک تمرین مبتنی بر تمرکز حواس را توصیف کنید که باعث آرامش و کاهش استرس برای کودک شما می شود.</v>
      </c>
      <c r="H12414" s="1"/>
      <c r="I12414" s="1"/>
      <c r="J12414" s="1"/>
      <c r="K12414" s="1"/>
      <c r="L12414" s="1"/>
      <c r="M12414" s="1"/>
      <c r="N12414" s="1"/>
      <c r="O12414" s="1"/>
      <c r="P12414" s="1"/>
      <c r="Q12414" s="1"/>
      <c r="R12414" s="1"/>
      <c r="S12414" s="1"/>
      <c r="T12414" s="1"/>
      <c r="U12414" s="1"/>
      <c r="V12414" s="1"/>
      <c r="W12414" s="1"/>
      <c r="X12414" s="1"/>
      <c r="Y12414" s="1"/>
      <c r="Z12414" s="1"/>
      <c r="AA12414" s="1"/>
      <c r="AB12414" s="1"/>
    </row>
    <row r="12415" ht="50.25" customHeight="1">
      <c r="A12415" s="12">
        <v>12411.0</v>
      </c>
      <c r="B12415" s="13" t="s">
        <v>12057</v>
      </c>
      <c r="C12415" s="14" t="s">
        <v>12238</v>
      </c>
      <c r="D12415" s="1"/>
      <c r="E12415" s="1"/>
      <c r="F12415" s="1" t="str">
        <f>IFERROR(__xludf.DUMMYFUNCTION("GOOGLETRANSLATE(B12415, ""en"", ""fa"")
"),"والدین آگاهانه")</f>
        <v>والدین آگاهانه</v>
      </c>
      <c r="G12415" s="1" t="str">
        <f>IFERROR(__xludf.DUMMYFUNCTION("GOOGLETRANSLATE(C12415, ""en"", ""fa"")
"),"در مورد نقش ذهن آگاهی در پرورش حس هدف و معنا در زندگی خانواده خود بنویسید.")</f>
        <v>در مورد نقش ذهن آگاهی در پرورش حس هدف و معنا در زندگی خانواده خود بنویسید.</v>
      </c>
      <c r="H12415" s="1"/>
      <c r="I12415" s="1"/>
      <c r="J12415" s="1"/>
      <c r="K12415" s="1"/>
      <c r="L12415" s="1"/>
      <c r="M12415" s="1"/>
      <c r="N12415" s="1"/>
      <c r="O12415" s="1"/>
      <c r="P12415" s="1"/>
      <c r="Q12415" s="1"/>
      <c r="R12415" s="1"/>
      <c r="S12415" s="1"/>
      <c r="T12415" s="1"/>
      <c r="U12415" s="1"/>
      <c r="V12415" s="1"/>
      <c r="W12415" s="1"/>
      <c r="X12415" s="1"/>
      <c r="Y12415" s="1"/>
      <c r="Z12415" s="1"/>
      <c r="AA12415" s="1"/>
      <c r="AB12415" s="1"/>
    </row>
    <row r="12416" ht="50.25" customHeight="1">
      <c r="A12416" s="12">
        <v>12412.0</v>
      </c>
      <c r="B12416" s="13" t="s">
        <v>12057</v>
      </c>
      <c r="C12416" s="14" t="s">
        <v>12239</v>
      </c>
      <c r="D12416" s="1"/>
      <c r="E12416" s="1"/>
      <c r="F12416" s="1" t="str">
        <f>IFERROR(__xludf.DUMMYFUNCTION("GOOGLETRANSLATE(B12416, ""en"", ""fa"")
"),"والدین آگاهانه")</f>
        <v>والدین آگاهانه</v>
      </c>
      <c r="G12416" s="1" t="str">
        <f>IFERROR(__xludf.DUMMYFUNCTION("GOOGLETRANSLATE(C12416, ""en"", ""fa"")
"),"بررسی کنید که چگونه ذهن آگاهی توانایی فرزندتان را برای تمرکز و تمرکز روی فعالیت های تحصیلی خود افزایش می دهد.")</f>
        <v>بررسی کنید که چگونه ذهن آگاهی توانایی فرزندتان را برای تمرکز و تمرکز روی فعالیت های تحصیلی خود افزایش می دهد.</v>
      </c>
      <c r="H12416" s="1"/>
      <c r="I12416" s="1"/>
      <c r="J12416" s="1"/>
      <c r="K12416" s="1"/>
      <c r="L12416" s="1"/>
      <c r="M12416" s="1"/>
      <c r="N12416" s="1"/>
      <c r="O12416" s="1"/>
      <c r="P12416" s="1"/>
      <c r="Q12416" s="1"/>
      <c r="R12416" s="1"/>
      <c r="S12416" s="1"/>
      <c r="T12416" s="1"/>
      <c r="U12416" s="1"/>
      <c r="V12416" s="1"/>
      <c r="W12416" s="1"/>
      <c r="X12416" s="1"/>
      <c r="Y12416" s="1"/>
      <c r="Z12416" s="1"/>
      <c r="AA12416" s="1"/>
      <c r="AB12416" s="1"/>
    </row>
    <row r="12417" ht="50.25" customHeight="1">
      <c r="A12417" s="12">
        <v>12413.0</v>
      </c>
      <c r="B12417" s="13" t="s">
        <v>12057</v>
      </c>
      <c r="C12417" s="14" t="s">
        <v>12240</v>
      </c>
      <c r="D12417" s="1"/>
      <c r="E12417" s="1"/>
      <c r="F12417" s="1" t="str">
        <f>IFERROR(__xludf.DUMMYFUNCTION("GOOGLETRANSLATE(B12417, ""en"", ""fa"")
"),"والدین آگاهانه")</f>
        <v>والدین آگاهانه</v>
      </c>
      <c r="G12417" s="1" t="str">
        <f>IFERROR(__xludf.DUMMYFUNCTION("GOOGLETRANSLATE(C12417, ""en"", ""fa"")
"),"در مورد یک تکنیک تنفس آگاهانه فکر کنید که به کودک شما کمک می کند تا احساسات و تکانه های قوی را مدیریت کند.")</f>
        <v>در مورد یک تکنیک تنفس آگاهانه فکر کنید که به کودک شما کمک می کند تا احساسات و تکانه های قوی را مدیریت کند.</v>
      </c>
      <c r="H12417" s="1"/>
      <c r="I12417" s="1"/>
      <c r="J12417" s="1"/>
      <c r="K12417" s="1"/>
      <c r="L12417" s="1"/>
      <c r="M12417" s="1"/>
      <c r="N12417" s="1"/>
      <c r="O12417" s="1"/>
      <c r="P12417" s="1"/>
      <c r="Q12417" s="1"/>
      <c r="R12417" s="1"/>
      <c r="S12417" s="1"/>
      <c r="T12417" s="1"/>
      <c r="U12417" s="1"/>
      <c r="V12417" s="1"/>
      <c r="W12417" s="1"/>
      <c r="X12417" s="1"/>
      <c r="Y12417" s="1"/>
      <c r="Z12417" s="1"/>
      <c r="AA12417" s="1"/>
      <c r="AB12417" s="1"/>
    </row>
    <row r="12418" ht="50.25" customHeight="1">
      <c r="A12418" s="12">
        <v>12414.0</v>
      </c>
      <c r="B12418" s="13" t="s">
        <v>12057</v>
      </c>
      <c r="C12418" s="14" t="s">
        <v>12241</v>
      </c>
      <c r="D12418" s="1"/>
      <c r="E12418" s="1"/>
      <c r="F12418" s="1" t="str">
        <f>IFERROR(__xludf.DUMMYFUNCTION("GOOGLETRANSLATE(B12418, ""en"", ""fa"")
"),"والدین آگاهانه")</f>
        <v>والدین آگاهانه</v>
      </c>
      <c r="G12418" s="1" t="str">
        <f>IFERROR(__xludf.DUMMYFUNCTION("GOOGLETRANSLATE(C12418, ""en"", ""fa"")
"),"یک فعالیت مبتنی بر ذهن آگاهی را توصیف کنید که فرزندتان را تشویق می کند تا نسبت به خود و دیگران شفقت و مهربانی ایجاد کند.")</f>
        <v>یک فعالیت مبتنی بر ذهن آگاهی را توصیف کنید که فرزندتان را تشویق می کند تا نسبت به خود و دیگران شفقت و مهربانی ایجاد کند.</v>
      </c>
      <c r="H12418" s="1"/>
      <c r="I12418" s="1"/>
      <c r="J12418" s="1"/>
      <c r="K12418" s="1"/>
      <c r="L12418" s="1"/>
      <c r="M12418" s="1"/>
      <c r="N12418" s="1"/>
      <c r="O12418" s="1"/>
      <c r="P12418" s="1"/>
      <c r="Q12418" s="1"/>
      <c r="R12418" s="1"/>
      <c r="S12418" s="1"/>
      <c r="T12418" s="1"/>
      <c r="U12418" s="1"/>
      <c r="V12418" s="1"/>
      <c r="W12418" s="1"/>
      <c r="X12418" s="1"/>
      <c r="Y12418" s="1"/>
      <c r="Z12418" s="1"/>
      <c r="AA12418" s="1"/>
      <c r="AB12418" s="1"/>
    </row>
    <row r="12419" ht="50.25" customHeight="1">
      <c r="A12419" s="12">
        <v>12415.0</v>
      </c>
      <c r="B12419" s="13" t="s">
        <v>12057</v>
      </c>
      <c r="C12419" s="14" t="s">
        <v>12242</v>
      </c>
      <c r="D12419" s="1"/>
      <c r="E12419" s="1"/>
      <c r="F12419" s="1" t="str">
        <f>IFERROR(__xludf.DUMMYFUNCTION("GOOGLETRANSLATE(B12419, ""en"", ""fa"")
"),"والدین آگاهانه")</f>
        <v>والدین آگاهانه</v>
      </c>
      <c r="G12419" s="1" t="str">
        <f>IFERROR(__xludf.DUMMYFUNCTION("GOOGLETRANSLATE(C12419, ""en"", ""fa"")
"),"در مورد اینکه چگونه ذهن آگاهی به شما و فرزندتان کمک می کند تا تعادل و هماهنگی را در زندگی روزمره خود پیدا کنید بنویسید.")</f>
        <v>در مورد اینکه چگونه ذهن آگاهی به شما و فرزندتان کمک می کند تا تعادل و هماهنگی را در زندگی روزمره خود پیدا کنید بنویسید.</v>
      </c>
      <c r="H12419" s="1"/>
      <c r="I12419" s="1"/>
      <c r="J12419" s="1"/>
      <c r="K12419" s="1"/>
      <c r="L12419" s="1"/>
      <c r="M12419" s="1"/>
      <c r="N12419" s="1"/>
      <c r="O12419" s="1"/>
      <c r="P12419" s="1"/>
      <c r="Q12419" s="1"/>
      <c r="R12419" s="1"/>
      <c r="S12419" s="1"/>
      <c r="T12419" s="1"/>
      <c r="U12419" s="1"/>
      <c r="V12419" s="1"/>
      <c r="W12419" s="1"/>
      <c r="X12419" s="1"/>
      <c r="Y12419" s="1"/>
      <c r="Z12419" s="1"/>
      <c r="AA12419" s="1"/>
      <c r="AB12419" s="1"/>
    </row>
    <row r="12420" ht="50.25" customHeight="1">
      <c r="A12420" s="12">
        <v>12416.0</v>
      </c>
      <c r="B12420" s="13" t="s">
        <v>12057</v>
      </c>
      <c r="C12420" s="14" t="s">
        <v>12243</v>
      </c>
      <c r="D12420" s="1"/>
      <c r="E12420" s="1"/>
      <c r="F12420" s="1" t="str">
        <f>IFERROR(__xludf.DUMMYFUNCTION("GOOGLETRANSLATE(B12420, ""en"", ""fa"")
"),"والدین آگاهانه")</f>
        <v>والدین آگاهانه</v>
      </c>
      <c r="G12420" s="1" t="str">
        <f>IFERROR(__xludf.DUMMYFUNCTION("GOOGLETRANSLATE(C12420, ""en"", ""fa"")
"),"اثرات مثبت ذهن آگاهی را بر توانایی فرزندتان در تمرین قدردانی و قدردانی از دیگران بررسی کنید.")</f>
        <v>اثرات مثبت ذهن آگاهی را بر توانایی فرزندتان در تمرین قدردانی و قدردانی از دیگران بررسی کنید.</v>
      </c>
      <c r="H12420" s="1"/>
      <c r="I12420" s="1"/>
      <c r="J12420" s="1"/>
      <c r="K12420" s="1"/>
      <c r="L12420" s="1"/>
      <c r="M12420" s="1"/>
      <c r="N12420" s="1"/>
      <c r="O12420" s="1"/>
      <c r="P12420" s="1"/>
      <c r="Q12420" s="1"/>
      <c r="R12420" s="1"/>
      <c r="S12420" s="1"/>
      <c r="T12420" s="1"/>
      <c r="U12420" s="1"/>
      <c r="V12420" s="1"/>
      <c r="W12420" s="1"/>
      <c r="X12420" s="1"/>
      <c r="Y12420" s="1"/>
      <c r="Z12420" s="1"/>
      <c r="AA12420" s="1"/>
      <c r="AB12420" s="1"/>
    </row>
    <row r="12421" ht="50.25" customHeight="1">
      <c r="A12421" s="12">
        <v>12417.0</v>
      </c>
      <c r="B12421" s="13" t="s">
        <v>12057</v>
      </c>
      <c r="C12421" s="14" t="s">
        <v>12244</v>
      </c>
      <c r="D12421" s="1"/>
      <c r="E12421" s="1"/>
      <c r="F12421" s="1" t="str">
        <f>IFERROR(__xludf.DUMMYFUNCTION("GOOGLETRANSLATE(B12421, ""en"", ""fa"")
"),"والدین آگاهانه")</f>
        <v>والدین آگاهانه</v>
      </c>
      <c r="G12421" s="1" t="str">
        <f>IFERROR(__xludf.DUMMYFUNCTION("GOOGLETRANSLATE(C12421, ""en"", ""fa"")
"),"در مورد یک تمرین غذا خوردن آگاهانه فکر کنید که کودک شما را تشویق می کند تا با هوشیاری غذا بخورد و هر لقمه را بچشد.")</f>
        <v>در مورد یک تمرین غذا خوردن آگاهانه فکر کنید که کودک شما را تشویق می کند تا با هوشیاری غذا بخورد و هر لقمه را بچشد.</v>
      </c>
      <c r="H12421" s="1"/>
      <c r="I12421" s="1"/>
      <c r="J12421" s="1"/>
      <c r="K12421" s="1"/>
      <c r="L12421" s="1"/>
      <c r="M12421" s="1"/>
      <c r="N12421" s="1"/>
      <c r="O12421" s="1"/>
      <c r="P12421" s="1"/>
      <c r="Q12421" s="1"/>
      <c r="R12421" s="1"/>
      <c r="S12421" s="1"/>
      <c r="T12421" s="1"/>
      <c r="U12421" s="1"/>
      <c r="V12421" s="1"/>
      <c r="W12421" s="1"/>
      <c r="X12421" s="1"/>
      <c r="Y12421" s="1"/>
      <c r="Z12421" s="1"/>
      <c r="AA12421" s="1"/>
      <c r="AB12421" s="1"/>
    </row>
    <row r="12422" ht="50.25" customHeight="1">
      <c r="A12422" s="12">
        <v>12418.0</v>
      </c>
      <c r="B12422" s="13" t="s">
        <v>12057</v>
      </c>
      <c r="C12422" s="14" t="s">
        <v>12245</v>
      </c>
      <c r="D12422" s="1"/>
      <c r="E12422" s="1"/>
      <c r="F12422" s="1" t="str">
        <f>IFERROR(__xludf.DUMMYFUNCTION("GOOGLETRANSLATE(B12422, ""en"", ""fa"")
"),"والدین آگاهانه")</f>
        <v>والدین آگاهانه</v>
      </c>
      <c r="G12422" s="1" t="str">
        <f>IFERROR(__xludf.DUMMYFUNCTION("GOOGLETRANSLATE(C12422, ""en"", ""fa"")
"),"یک فعالیت داستان سرایی مبتنی بر ذهن آگاهی را توصیف کنید که خلاقیت و تخیل را در بازی کودکتان تقویت می کند.")</f>
        <v>یک فعالیت داستان سرایی مبتنی بر ذهن آگاهی را توصیف کنید که خلاقیت و تخیل را در بازی کودکتان تقویت می کند.</v>
      </c>
      <c r="H12422" s="1"/>
      <c r="I12422" s="1"/>
      <c r="J12422" s="1"/>
      <c r="K12422" s="1"/>
      <c r="L12422" s="1"/>
      <c r="M12422" s="1"/>
      <c r="N12422" s="1"/>
      <c r="O12422" s="1"/>
      <c r="P12422" s="1"/>
      <c r="Q12422" s="1"/>
      <c r="R12422" s="1"/>
      <c r="S12422" s="1"/>
      <c r="T12422" s="1"/>
      <c r="U12422" s="1"/>
      <c r="V12422" s="1"/>
      <c r="W12422" s="1"/>
      <c r="X12422" s="1"/>
      <c r="Y12422" s="1"/>
      <c r="Z12422" s="1"/>
      <c r="AA12422" s="1"/>
      <c r="AB12422" s="1"/>
    </row>
    <row r="12423" ht="50.25" customHeight="1">
      <c r="A12423" s="12">
        <v>12419.0</v>
      </c>
      <c r="B12423" s="13" t="s">
        <v>12057</v>
      </c>
      <c r="C12423" s="14" t="s">
        <v>12246</v>
      </c>
      <c r="D12423" s="1"/>
      <c r="E12423" s="1"/>
      <c r="F12423" s="1" t="str">
        <f>IFERROR(__xludf.DUMMYFUNCTION("GOOGLETRANSLATE(B12423, ""en"", ""fa"")
"),"والدین آگاهانه")</f>
        <v>والدین آگاهانه</v>
      </c>
      <c r="G12423" s="1" t="str">
        <f>IFERROR(__xludf.DUMMYFUNCTION("GOOGLETRANSLATE(C12423, ""en"", ""fa"")
"),"در مورد نقش ذهن آگاهی در پرورش تاب آوری و سازگاری در کودک خود بنویسید.")</f>
        <v>در مورد نقش ذهن آگاهی در پرورش تاب آوری و سازگاری در کودک خود بنویسید.</v>
      </c>
      <c r="H12423" s="1"/>
      <c r="I12423" s="1"/>
      <c r="J12423" s="1"/>
      <c r="K12423" s="1"/>
      <c r="L12423" s="1"/>
      <c r="M12423" s="1"/>
      <c r="N12423" s="1"/>
      <c r="O12423" s="1"/>
      <c r="P12423" s="1"/>
      <c r="Q12423" s="1"/>
      <c r="R12423" s="1"/>
      <c r="S12423" s="1"/>
      <c r="T12423" s="1"/>
      <c r="U12423" s="1"/>
      <c r="V12423" s="1"/>
      <c r="W12423" s="1"/>
      <c r="X12423" s="1"/>
      <c r="Y12423" s="1"/>
      <c r="Z12423" s="1"/>
      <c r="AA12423" s="1"/>
      <c r="AB12423" s="1"/>
    </row>
    <row r="12424" ht="50.25" customHeight="1">
      <c r="A12424" s="12">
        <v>12420.0</v>
      </c>
      <c r="B12424" s="13" t="s">
        <v>12057</v>
      </c>
      <c r="C12424" s="14" t="s">
        <v>12247</v>
      </c>
      <c r="D12424" s="1"/>
      <c r="E12424" s="1"/>
      <c r="F12424" s="1" t="str">
        <f>IFERROR(__xludf.DUMMYFUNCTION("GOOGLETRANSLATE(B12424, ""en"", ""fa"")
"),"والدین آگاهانه")</f>
        <v>والدین آگاهانه</v>
      </c>
      <c r="G12424" s="1" t="str">
        <f>IFERROR(__xludf.DUMMYFUNCTION("GOOGLETRANSLATE(C12424, ""en"", ""fa"")
"),"بررسی کنید که چگونه ذهن آگاهی از توانایی فرزندتان برای تعیین و دستیابی به اهداف با تمرکز و اراده حمایت می کند.")</f>
        <v>بررسی کنید که چگونه ذهن آگاهی از توانایی فرزندتان برای تعیین و دستیابی به اهداف با تمرکز و اراده حمایت می کند.</v>
      </c>
      <c r="H12424" s="1"/>
      <c r="I12424" s="1"/>
      <c r="J12424" s="1"/>
      <c r="K12424" s="1"/>
      <c r="L12424" s="1"/>
      <c r="M12424" s="1"/>
      <c r="N12424" s="1"/>
      <c r="O12424" s="1"/>
      <c r="P12424" s="1"/>
      <c r="Q12424" s="1"/>
      <c r="R12424" s="1"/>
      <c r="S12424" s="1"/>
      <c r="T12424" s="1"/>
      <c r="U12424" s="1"/>
      <c r="V12424" s="1"/>
      <c r="W12424" s="1"/>
      <c r="X12424" s="1"/>
      <c r="Y12424" s="1"/>
      <c r="Z12424" s="1"/>
      <c r="AA12424" s="1"/>
      <c r="AB12424" s="1"/>
    </row>
    <row r="12425" ht="50.25" customHeight="1">
      <c r="A12425" s="12">
        <v>12421.0</v>
      </c>
      <c r="B12425" s="13" t="s">
        <v>12057</v>
      </c>
      <c r="C12425" s="14" t="s">
        <v>12248</v>
      </c>
      <c r="D12425" s="1"/>
      <c r="E12425" s="1"/>
      <c r="F12425" s="1" t="str">
        <f>IFERROR(__xludf.DUMMYFUNCTION("GOOGLETRANSLATE(B12425, ""en"", ""fa"")
"),"والدین آگاهانه")</f>
        <v>والدین آگاهانه</v>
      </c>
      <c r="G12425" s="1" t="str">
        <f>IFERROR(__xludf.DUMMYFUNCTION("GOOGLETRANSLATE(C12425, ""en"", ""fa"")
"),"به یک فعالیت گوش دادن آگاهانه فکر کنید که درک شما از افکار و احساسات فرزندتان را عمیق تر می کند.")</f>
        <v>به یک فعالیت گوش دادن آگاهانه فکر کنید که درک شما از افکار و احساسات فرزندتان را عمیق تر می کند.</v>
      </c>
      <c r="H12425" s="1"/>
      <c r="I12425" s="1"/>
      <c r="J12425" s="1"/>
      <c r="K12425" s="1"/>
      <c r="L12425" s="1"/>
      <c r="M12425" s="1"/>
      <c r="N12425" s="1"/>
      <c r="O12425" s="1"/>
      <c r="P12425" s="1"/>
      <c r="Q12425" s="1"/>
      <c r="R12425" s="1"/>
      <c r="S12425" s="1"/>
      <c r="T12425" s="1"/>
      <c r="U12425" s="1"/>
      <c r="V12425" s="1"/>
      <c r="W12425" s="1"/>
      <c r="X12425" s="1"/>
      <c r="Y12425" s="1"/>
      <c r="Z12425" s="1"/>
      <c r="AA12425" s="1"/>
      <c r="AB12425" s="1"/>
    </row>
    <row r="12426" ht="50.25" customHeight="1">
      <c r="A12426" s="12">
        <v>12422.0</v>
      </c>
      <c r="B12426" s="13" t="s">
        <v>12057</v>
      </c>
      <c r="C12426" s="14" t="s">
        <v>12249</v>
      </c>
      <c r="D12426" s="1"/>
      <c r="E12426" s="1"/>
      <c r="F12426" s="1" t="str">
        <f>IFERROR(__xludf.DUMMYFUNCTION("GOOGLETRANSLATE(B12426, ""en"", ""fa"")
"),"والدین آگاهانه")</f>
        <v>والدین آگاهانه</v>
      </c>
      <c r="G12426" s="1" t="str">
        <f>IFERROR(__xludf.DUMMYFUNCTION("GOOGLETRANSLATE(C12426, ""en"", ""fa"")
"),"یک تمرین تجسم مبتنی بر ذهن آگاهی را که با کودک خود انجام داده اید تا آرامش و آرامش را تقویت کنید، شرح دهید.")</f>
        <v>یک تمرین تجسم مبتنی بر ذهن آگاهی را که با کودک خود انجام داده اید تا آرامش و آرامش را تقویت کنید، شرح دهید.</v>
      </c>
      <c r="H12426" s="1"/>
      <c r="I12426" s="1"/>
      <c r="J12426" s="1"/>
      <c r="K12426" s="1"/>
      <c r="L12426" s="1"/>
      <c r="M12426" s="1"/>
      <c r="N12426" s="1"/>
      <c r="O12426" s="1"/>
      <c r="P12426" s="1"/>
      <c r="Q12426" s="1"/>
      <c r="R12426" s="1"/>
      <c r="S12426" s="1"/>
      <c r="T12426" s="1"/>
      <c r="U12426" s="1"/>
      <c r="V12426" s="1"/>
      <c r="W12426" s="1"/>
      <c r="X12426" s="1"/>
      <c r="Y12426" s="1"/>
      <c r="Z12426" s="1"/>
      <c r="AA12426" s="1"/>
      <c r="AB12426" s="1"/>
    </row>
    <row r="12427" ht="50.25" customHeight="1">
      <c r="A12427" s="12">
        <v>12423.0</v>
      </c>
      <c r="B12427" s="13" t="s">
        <v>12057</v>
      </c>
      <c r="C12427" s="14" t="s">
        <v>12250</v>
      </c>
      <c r="D12427" s="1"/>
      <c r="E12427" s="1"/>
      <c r="F12427" s="1" t="str">
        <f>IFERROR(__xludf.DUMMYFUNCTION("GOOGLETRANSLATE(B12427, ""en"", ""fa"")
"),"والدین آگاهانه")</f>
        <v>والدین آگاهانه</v>
      </c>
      <c r="G12427" s="1" t="str">
        <f>IFERROR(__xludf.DUMMYFUNCTION("GOOGLETRANSLATE(C12427, ""en"", ""fa"")
"),"در مورد اینکه چگونه ذهن آگاهی به شما و فرزندتان کمک می کند تا تغییرات و عدم اطمینان را با مهربانی در آغوش بگیرید بنویسید.")</f>
        <v>در مورد اینکه چگونه ذهن آگاهی به شما و فرزندتان کمک می کند تا تغییرات و عدم اطمینان را با مهربانی در آغوش بگیرید بنویسید.</v>
      </c>
      <c r="H12427" s="1"/>
      <c r="I12427" s="1"/>
      <c r="J12427" s="1"/>
      <c r="K12427" s="1"/>
      <c r="L12427" s="1"/>
      <c r="M12427" s="1"/>
      <c r="N12427" s="1"/>
      <c r="O12427" s="1"/>
      <c r="P12427" s="1"/>
      <c r="Q12427" s="1"/>
      <c r="R12427" s="1"/>
      <c r="S12427" s="1"/>
      <c r="T12427" s="1"/>
      <c r="U12427" s="1"/>
      <c r="V12427" s="1"/>
      <c r="W12427" s="1"/>
      <c r="X12427" s="1"/>
      <c r="Y12427" s="1"/>
      <c r="Z12427" s="1"/>
      <c r="AA12427" s="1"/>
      <c r="AB12427" s="1"/>
    </row>
    <row r="12428" ht="50.25" customHeight="1">
      <c r="A12428" s="12">
        <v>12424.0</v>
      </c>
      <c r="B12428" s="13" t="s">
        <v>12057</v>
      </c>
      <c r="C12428" s="14" t="s">
        <v>12251</v>
      </c>
      <c r="D12428" s="1"/>
      <c r="E12428" s="1"/>
      <c r="F12428" s="1" t="str">
        <f>IFERROR(__xludf.DUMMYFUNCTION("GOOGLETRANSLATE(B12428, ""en"", ""fa"")
"),"والدین آگاهانه")</f>
        <v>والدین آگاهانه</v>
      </c>
      <c r="G12428" s="1" t="str">
        <f>IFERROR(__xludf.DUMMYFUNCTION("GOOGLETRANSLATE(C12428, ""en"", ""fa"")
"),"مزایای تمرین تمرکز حواس در فعالیت‌ها و ماجراجویی‌های بیرون از خانه را با فرزندتان کشف کنید.")</f>
        <v>مزایای تمرین تمرکز حواس در فعالیت‌ها و ماجراجویی‌های بیرون از خانه را با فرزندتان کشف کنید.</v>
      </c>
      <c r="H12428" s="1"/>
      <c r="I12428" s="1"/>
      <c r="J12428" s="1"/>
      <c r="K12428" s="1"/>
      <c r="L12428" s="1"/>
      <c r="M12428" s="1"/>
      <c r="N12428" s="1"/>
      <c r="O12428" s="1"/>
      <c r="P12428" s="1"/>
      <c r="Q12428" s="1"/>
      <c r="R12428" s="1"/>
      <c r="S12428" s="1"/>
      <c r="T12428" s="1"/>
      <c r="U12428" s="1"/>
      <c r="V12428" s="1"/>
      <c r="W12428" s="1"/>
      <c r="X12428" s="1"/>
      <c r="Y12428" s="1"/>
      <c r="Z12428" s="1"/>
      <c r="AA12428" s="1"/>
      <c r="AB12428" s="1"/>
    </row>
    <row r="12429" ht="50.25" customHeight="1">
      <c r="A12429" s="12">
        <v>12425.0</v>
      </c>
      <c r="B12429" s="13" t="s">
        <v>12057</v>
      </c>
      <c r="C12429" s="14" t="s">
        <v>12252</v>
      </c>
      <c r="D12429" s="1"/>
      <c r="E12429" s="1"/>
      <c r="F12429" s="1" t="str">
        <f>IFERROR(__xludf.DUMMYFUNCTION("GOOGLETRANSLATE(B12429, ""en"", ""fa"")
"),"والدین آگاهانه")</f>
        <v>والدین آگاهانه</v>
      </c>
      <c r="G12429" s="1" t="str">
        <f>IFERROR(__xludf.DUMMYFUNCTION("GOOGLETRANSLATE(C12429, ""en"", ""fa"")
"),"به نقش ذهن آگاهی در پرورش شفقت به خود و مراقبت از خود در خانواده خود فکر کنید.")</f>
        <v>به نقش ذهن آگاهی در پرورش شفقت به خود و مراقبت از خود در خانواده خود فکر کنید.</v>
      </c>
      <c r="H12429" s="1"/>
      <c r="I12429" s="1"/>
      <c r="J12429" s="1"/>
      <c r="K12429" s="1"/>
      <c r="L12429" s="1"/>
      <c r="M12429" s="1"/>
      <c r="N12429" s="1"/>
      <c r="O12429" s="1"/>
      <c r="P12429" s="1"/>
      <c r="Q12429" s="1"/>
      <c r="R12429" s="1"/>
      <c r="S12429" s="1"/>
      <c r="T12429" s="1"/>
      <c r="U12429" s="1"/>
      <c r="V12429" s="1"/>
      <c r="W12429" s="1"/>
      <c r="X12429" s="1"/>
      <c r="Y12429" s="1"/>
      <c r="Z12429" s="1"/>
      <c r="AA12429" s="1"/>
      <c r="AB12429" s="1"/>
    </row>
    <row r="12430" ht="50.25" customHeight="1">
      <c r="A12430" s="12">
        <v>12426.0</v>
      </c>
      <c r="B12430" s="13" t="s">
        <v>12057</v>
      </c>
      <c r="C12430" s="14" t="s">
        <v>12253</v>
      </c>
      <c r="D12430" s="1"/>
      <c r="E12430" s="1"/>
      <c r="F12430" s="1" t="str">
        <f>IFERROR(__xludf.DUMMYFUNCTION("GOOGLETRANSLATE(B12430, ""en"", ""fa"")
"),"والدین آگاهانه")</f>
        <v>والدین آگاهانه</v>
      </c>
      <c r="G12430" s="1" t="str">
        <f>IFERROR(__xludf.DUMMYFUNCTION("GOOGLETRANSLATE(C12430, ""en"", ""fa"")
"),"یک فعالیت مبتنی بر ذهن آگاهی را توصیف کنید که فرزندتان را تشویق می کند تا قدردانی و قدردانی از طبیعت را پرورش دهد.")</f>
        <v>یک فعالیت مبتنی بر ذهن آگاهی را توصیف کنید که فرزندتان را تشویق می کند تا قدردانی و قدردانی از طبیعت را پرورش دهد.</v>
      </c>
      <c r="H12430" s="1"/>
      <c r="I12430" s="1"/>
      <c r="J12430" s="1"/>
      <c r="K12430" s="1"/>
      <c r="L12430" s="1"/>
      <c r="M12430" s="1"/>
      <c r="N12430" s="1"/>
      <c r="O12430" s="1"/>
      <c r="P12430" s="1"/>
      <c r="Q12430" s="1"/>
      <c r="R12430" s="1"/>
      <c r="S12430" s="1"/>
      <c r="T12430" s="1"/>
      <c r="U12430" s="1"/>
      <c r="V12430" s="1"/>
      <c r="W12430" s="1"/>
      <c r="X12430" s="1"/>
      <c r="Y12430" s="1"/>
      <c r="Z12430" s="1"/>
      <c r="AA12430" s="1"/>
      <c r="AB12430" s="1"/>
    </row>
    <row r="12431" ht="50.25" customHeight="1">
      <c r="A12431" s="12">
        <v>12427.0</v>
      </c>
      <c r="B12431" s="13" t="s">
        <v>12057</v>
      </c>
      <c r="C12431" s="14" t="s">
        <v>12254</v>
      </c>
      <c r="D12431" s="1"/>
      <c r="E12431" s="1"/>
      <c r="F12431" s="1" t="str">
        <f>IFERROR(__xludf.DUMMYFUNCTION("GOOGLETRANSLATE(B12431, ""en"", ""fa"")
"),"والدین آگاهانه")</f>
        <v>والدین آگاهانه</v>
      </c>
      <c r="G12431" s="1" t="str">
        <f>IFERROR(__xludf.DUMMYFUNCTION("GOOGLETRANSLATE(C12431, ""en"", ""fa"")
"),"در مورد اینکه چگونه ذهن آگاهی توانایی شما را برای ایجاد یک محیط خانه پرورشی و حمایتی افزایش می دهد بنویسید.")</f>
        <v>در مورد اینکه چگونه ذهن آگاهی توانایی شما را برای ایجاد یک محیط خانه پرورشی و حمایتی افزایش می دهد بنویسید.</v>
      </c>
      <c r="H12431" s="1"/>
      <c r="I12431" s="1"/>
      <c r="J12431" s="1"/>
      <c r="K12431" s="1"/>
      <c r="L12431" s="1"/>
      <c r="M12431" s="1"/>
      <c r="N12431" s="1"/>
      <c r="O12431" s="1"/>
      <c r="P12431" s="1"/>
      <c r="Q12431" s="1"/>
      <c r="R12431" s="1"/>
      <c r="S12431" s="1"/>
      <c r="T12431" s="1"/>
      <c r="U12431" s="1"/>
      <c r="V12431" s="1"/>
      <c r="W12431" s="1"/>
      <c r="X12431" s="1"/>
      <c r="Y12431" s="1"/>
      <c r="Z12431" s="1"/>
      <c r="AA12431" s="1"/>
      <c r="AB12431" s="1"/>
    </row>
    <row r="12432" ht="50.25" customHeight="1">
      <c r="A12432" s="12">
        <v>12428.0</v>
      </c>
      <c r="B12432" s="13" t="s">
        <v>12057</v>
      </c>
      <c r="C12432" s="14" t="s">
        <v>12255</v>
      </c>
      <c r="D12432" s="1"/>
      <c r="E12432" s="1"/>
      <c r="F12432" s="1" t="str">
        <f>IFERROR(__xludf.DUMMYFUNCTION("GOOGLETRANSLATE(B12432, ""en"", ""fa"")
"),"والدین آگاهانه")</f>
        <v>والدین آگاهانه</v>
      </c>
      <c r="G12432" s="1" t="str">
        <f>IFERROR(__xludf.DUMMYFUNCTION("GOOGLETRANSLATE(C12432, ""en"", ""fa"")
"),"بررسی کنید که چگونه ذهن آگاهی از توانایی کودک شما برای بیان خلاقانه خود از طریق هنر یا موسیقی پشتیبانی می کند.")</f>
        <v>بررسی کنید که چگونه ذهن آگاهی از توانایی کودک شما برای بیان خلاقانه خود از طریق هنر یا موسیقی پشتیبانی می کند.</v>
      </c>
      <c r="H12432" s="1"/>
      <c r="I12432" s="1"/>
      <c r="J12432" s="1"/>
      <c r="K12432" s="1"/>
      <c r="L12432" s="1"/>
      <c r="M12432" s="1"/>
      <c r="N12432" s="1"/>
      <c r="O12432" s="1"/>
      <c r="P12432" s="1"/>
      <c r="Q12432" s="1"/>
      <c r="R12432" s="1"/>
      <c r="S12432" s="1"/>
      <c r="T12432" s="1"/>
      <c r="U12432" s="1"/>
      <c r="V12432" s="1"/>
      <c r="W12432" s="1"/>
      <c r="X12432" s="1"/>
      <c r="Y12432" s="1"/>
      <c r="Z12432" s="1"/>
      <c r="AA12432" s="1"/>
      <c r="AB12432" s="1"/>
    </row>
    <row r="12433" ht="50.25" customHeight="1">
      <c r="A12433" s="12">
        <v>12429.0</v>
      </c>
      <c r="B12433" s="13" t="s">
        <v>12057</v>
      </c>
      <c r="C12433" s="14" t="s">
        <v>12256</v>
      </c>
      <c r="D12433" s="1"/>
      <c r="E12433" s="1"/>
      <c r="F12433" s="1" t="str">
        <f>IFERROR(__xludf.DUMMYFUNCTION("GOOGLETRANSLATE(B12433, ""en"", ""fa"")
"),"والدین آگاهانه")</f>
        <v>والدین آگاهانه</v>
      </c>
      <c r="G12433" s="1" t="str">
        <f>IFERROR(__xludf.DUMMYFUNCTION("GOOGLETRANSLATE(C12433, ""en"", ""fa"")
"),"در مورد یک تکنیک تنفس آگاهانه فکر کنید که به خانواده شما کمک می کند در لحظات سخت با یکدیگر ارتباط برقرار کنند.")</f>
        <v>در مورد یک تکنیک تنفس آگاهانه فکر کنید که به خانواده شما کمک می کند در لحظات سخت با یکدیگر ارتباط برقرار کنند.</v>
      </c>
      <c r="H12433" s="1"/>
      <c r="I12433" s="1"/>
      <c r="J12433" s="1"/>
      <c r="K12433" s="1"/>
      <c r="L12433" s="1"/>
      <c r="M12433" s="1"/>
      <c r="N12433" s="1"/>
      <c r="O12433" s="1"/>
      <c r="P12433" s="1"/>
      <c r="Q12433" s="1"/>
      <c r="R12433" s="1"/>
      <c r="S12433" s="1"/>
      <c r="T12433" s="1"/>
      <c r="U12433" s="1"/>
      <c r="V12433" s="1"/>
      <c r="W12433" s="1"/>
      <c r="X12433" s="1"/>
      <c r="Y12433" s="1"/>
      <c r="Z12433" s="1"/>
      <c r="AA12433" s="1"/>
      <c r="AB12433" s="1"/>
    </row>
    <row r="12434" ht="50.25" customHeight="1">
      <c r="A12434" s="12">
        <v>12430.0</v>
      </c>
      <c r="B12434" s="13" t="s">
        <v>12057</v>
      </c>
      <c r="C12434" s="14" t="s">
        <v>12257</v>
      </c>
      <c r="D12434" s="1"/>
      <c r="E12434" s="1"/>
      <c r="F12434" s="1" t="str">
        <f>IFERROR(__xludf.DUMMYFUNCTION("GOOGLETRANSLATE(B12434, ""en"", ""fa"")
"),"والدین آگاهانه")</f>
        <v>والدین آگاهانه</v>
      </c>
      <c r="G12434" s="1" t="str">
        <f>IFERROR(__xludf.DUMMYFUNCTION("GOOGLETRANSLATE(C12434, ""en"", ""fa"")
"),"یک تمرین مبتنی بر تمرکز حواس را توصیف کنید که کودکتان را تشویق می کند تا حواس خود را درگیر کند و در لحظه حضور داشته باشد.")</f>
        <v>یک تمرین مبتنی بر تمرکز حواس را توصیف کنید که کودکتان را تشویق می کند تا حواس خود را درگیر کند و در لحظه حضور داشته باشد.</v>
      </c>
      <c r="H12434" s="1"/>
      <c r="I12434" s="1"/>
      <c r="J12434" s="1"/>
      <c r="K12434" s="1"/>
      <c r="L12434" s="1"/>
      <c r="M12434" s="1"/>
      <c r="N12434" s="1"/>
      <c r="O12434" s="1"/>
      <c r="P12434" s="1"/>
      <c r="Q12434" s="1"/>
      <c r="R12434" s="1"/>
      <c r="S12434" s="1"/>
      <c r="T12434" s="1"/>
      <c r="U12434" s="1"/>
      <c r="V12434" s="1"/>
      <c r="W12434" s="1"/>
      <c r="X12434" s="1"/>
      <c r="Y12434" s="1"/>
      <c r="Z12434" s="1"/>
      <c r="AA12434" s="1"/>
      <c r="AB12434" s="1"/>
    </row>
    <row r="12435" ht="50.25" customHeight="1">
      <c r="A12435" s="12">
        <v>12431.0</v>
      </c>
      <c r="B12435" s="13" t="s">
        <v>12057</v>
      </c>
      <c r="C12435" s="14" t="s">
        <v>12258</v>
      </c>
      <c r="D12435" s="1"/>
      <c r="E12435" s="1"/>
      <c r="F12435" s="1" t="str">
        <f>IFERROR(__xludf.DUMMYFUNCTION("GOOGLETRANSLATE(B12435, ""en"", ""fa"")
"),"والدین آگاهانه")</f>
        <v>والدین آگاهانه</v>
      </c>
      <c r="G12435" s="1" t="str">
        <f>IFERROR(__xludf.DUMMYFUNCTION("GOOGLETRANSLATE(C12435, ""en"", ""fa"")
"),"در مورد نقش ذهن آگاهی در ارتقاء تصویر بدنی مثبت و عزت نفس در فرزندتان بنویسید.")</f>
        <v>در مورد نقش ذهن آگاهی در ارتقاء تصویر بدنی مثبت و عزت نفس در فرزندتان بنویسید.</v>
      </c>
      <c r="H12435" s="1"/>
      <c r="I12435" s="1"/>
      <c r="J12435" s="1"/>
      <c r="K12435" s="1"/>
      <c r="L12435" s="1"/>
      <c r="M12435" s="1"/>
      <c r="N12435" s="1"/>
      <c r="O12435" s="1"/>
      <c r="P12435" s="1"/>
      <c r="Q12435" s="1"/>
      <c r="R12435" s="1"/>
      <c r="S12435" s="1"/>
      <c r="T12435" s="1"/>
      <c r="U12435" s="1"/>
      <c r="V12435" s="1"/>
      <c r="W12435" s="1"/>
      <c r="X12435" s="1"/>
      <c r="Y12435" s="1"/>
      <c r="Z12435" s="1"/>
      <c r="AA12435" s="1"/>
      <c r="AB12435" s="1"/>
    </row>
    <row r="12436" ht="50.25" customHeight="1">
      <c r="A12436" s="12">
        <v>12432.0</v>
      </c>
      <c r="B12436" s="13" t="s">
        <v>12057</v>
      </c>
      <c r="C12436" s="14" t="s">
        <v>12259</v>
      </c>
      <c r="D12436" s="1"/>
      <c r="E12436" s="1"/>
      <c r="F12436" s="1" t="str">
        <f>IFERROR(__xludf.DUMMYFUNCTION("GOOGLETRANSLATE(B12436, ""en"", ""fa"")
"),"والدین آگاهانه")</f>
        <v>والدین آگاهانه</v>
      </c>
      <c r="G12436" s="1" t="str">
        <f>IFERROR(__xludf.DUMMYFUNCTION("GOOGLETRANSLATE(C12436, ""en"", ""fa"")
"),"کاوش کنید که چگونه ذهن آگاهی توانایی کودک شما را برای کنترل آسان انتقال ها و تغییرات افزایش می دهد.")</f>
        <v>کاوش کنید که چگونه ذهن آگاهی توانایی کودک شما را برای کنترل آسان انتقال ها و تغییرات افزایش می دهد.</v>
      </c>
      <c r="H12436" s="1"/>
      <c r="I12436" s="1"/>
      <c r="J12436" s="1"/>
      <c r="K12436" s="1"/>
      <c r="L12436" s="1"/>
      <c r="M12436" s="1"/>
      <c r="N12436" s="1"/>
      <c r="O12436" s="1"/>
      <c r="P12436" s="1"/>
      <c r="Q12436" s="1"/>
      <c r="R12436" s="1"/>
      <c r="S12436" s="1"/>
      <c r="T12436" s="1"/>
      <c r="U12436" s="1"/>
      <c r="V12436" s="1"/>
      <c r="W12436" s="1"/>
      <c r="X12436" s="1"/>
      <c r="Y12436" s="1"/>
      <c r="Z12436" s="1"/>
      <c r="AA12436" s="1"/>
      <c r="AB12436" s="1"/>
    </row>
    <row r="12437" ht="50.25" customHeight="1">
      <c r="A12437" s="12">
        <v>12433.0</v>
      </c>
      <c r="B12437" s="13" t="s">
        <v>12057</v>
      </c>
      <c r="C12437" s="14" t="s">
        <v>12260</v>
      </c>
      <c r="D12437" s="1"/>
      <c r="E12437" s="1"/>
      <c r="F12437" s="1" t="str">
        <f>IFERROR(__xludf.DUMMYFUNCTION("GOOGLETRANSLATE(B12437, ""en"", ""fa"")
"),"والدین آگاهانه")</f>
        <v>والدین آگاهانه</v>
      </c>
      <c r="G12437" s="1" t="str">
        <f>IFERROR(__xludf.DUMMYFUNCTION("GOOGLETRANSLATE(C12437, ""en"", ""fa"")
"),"در مورد یک تمرین سپاسگزاری آگاهانه فکر کنید که خانواده شما را تشویق می کند تا از شادی های کوچک زندگی قدردانی کنند.")</f>
        <v>در مورد یک تمرین سپاسگزاری آگاهانه فکر کنید که خانواده شما را تشویق می کند تا از شادی های کوچک زندگی قدردانی کنند.</v>
      </c>
      <c r="H12437" s="1"/>
      <c r="I12437" s="1"/>
      <c r="J12437" s="1"/>
      <c r="K12437" s="1"/>
      <c r="L12437" s="1"/>
      <c r="M12437" s="1"/>
      <c r="N12437" s="1"/>
      <c r="O12437" s="1"/>
      <c r="P12437" s="1"/>
      <c r="Q12437" s="1"/>
      <c r="R12437" s="1"/>
      <c r="S12437" s="1"/>
      <c r="T12437" s="1"/>
      <c r="U12437" s="1"/>
      <c r="V12437" s="1"/>
      <c r="W12437" s="1"/>
      <c r="X12437" s="1"/>
      <c r="Y12437" s="1"/>
      <c r="Z12437" s="1"/>
      <c r="AA12437" s="1"/>
      <c r="AB12437" s="1"/>
    </row>
    <row r="12438" ht="50.25" customHeight="1">
      <c r="A12438" s="12">
        <v>12434.0</v>
      </c>
      <c r="B12438" s="13" t="s">
        <v>12057</v>
      </c>
      <c r="C12438" s="14" t="s">
        <v>12261</v>
      </c>
      <c r="D12438" s="1"/>
      <c r="E12438" s="1"/>
      <c r="F12438" s="1" t="str">
        <f>IFERROR(__xludf.DUMMYFUNCTION("GOOGLETRANSLATE(B12438, ""en"", ""fa"")
"),"والدین آگاهانه")</f>
        <v>والدین آگاهانه</v>
      </c>
      <c r="G12438" s="1" t="str">
        <f>IFERROR(__xludf.DUMMYFUNCTION("GOOGLETRANSLATE(C12438, ""en"", ""fa"")
"),"یک فعالیت مبتنی بر ذهن آگاهی را توصیف کنید که مهربانی و شفقت نسبت به حیوانات و محیط را ترویج می کند.")</f>
        <v>یک فعالیت مبتنی بر ذهن آگاهی را توصیف کنید که مهربانی و شفقت نسبت به حیوانات و محیط را ترویج می کند.</v>
      </c>
      <c r="H12438" s="1"/>
      <c r="I12438" s="1"/>
      <c r="J12438" s="1"/>
      <c r="K12438" s="1"/>
      <c r="L12438" s="1"/>
      <c r="M12438" s="1"/>
      <c r="N12438" s="1"/>
      <c r="O12438" s="1"/>
      <c r="P12438" s="1"/>
      <c r="Q12438" s="1"/>
      <c r="R12438" s="1"/>
      <c r="S12438" s="1"/>
      <c r="T12438" s="1"/>
      <c r="U12438" s="1"/>
      <c r="V12438" s="1"/>
      <c r="W12438" s="1"/>
      <c r="X12438" s="1"/>
      <c r="Y12438" s="1"/>
      <c r="Z12438" s="1"/>
      <c r="AA12438" s="1"/>
      <c r="AB12438" s="1"/>
    </row>
    <row r="12439" ht="50.25" customHeight="1">
      <c r="A12439" s="12">
        <v>12435.0</v>
      </c>
      <c r="B12439" s="13" t="s">
        <v>12057</v>
      </c>
      <c r="C12439" s="14" t="s">
        <v>12262</v>
      </c>
      <c r="D12439" s="1"/>
      <c r="E12439" s="1"/>
      <c r="F12439" s="1" t="str">
        <f>IFERROR(__xludf.DUMMYFUNCTION("GOOGLETRANSLATE(B12439, ""en"", ""fa"")
"),"والدین آگاهانه")</f>
        <v>والدین آگاهانه</v>
      </c>
      <c r="G12439" s="1" t="str">
        <f>IFERROR(__xludf.DUMMYFUNCTION("GOOGLETRANSLATE(C12439, ""en"", ""fa"")
"),"در مورد اینکه چگونه ذهن آگاهی به شما و فرزندتان کمک می کند تا حس عمیق همدلی و درک دیگران را ایجاد کنید بنویسید.")</f>
        <v>در مورد اینکه چگونه ذهن آگاهی به شما و فرزندتان کمک می کند تا حس عمیق همدلی و درک دیگران را ایجاد کنید بنویسید.</v>
      </c>
      <c r="H12439" s="1"/>
      <c r="I12439" s="1"/>
      <c r="J12439" s="1"/>
      <c r="K12439" s="1"/>
      <c r="L12439" s="1"/>
      <c r="M12439" s="1"/>
      <c r="N12439" s="1"/>
      <c r="O12439" s="1"/>
      <c r="P12439" s="1"/>
      <c r="Q12439" s="1"/>
      <c r="R12439" s="1"/>
      <c r="S12439" s="1"/>
      <c r="T12439" s="1"/>
      <c r="U12439" s="1"/>
      <c r="V12439" s="1"/>
      <c r="W12439" s="1"/>
      <c r="X12439" s="1"/>
      <c r="Y12439" s="1"/>
      <c r="Z12439" s="1"/>
      <c r="AA12439" s="1"/>
      <c r="AB12439" s="1"/>
    </row>
    <row r="12440" ht="50.25" customHeight="1">
      <c r="A12440" s="12">
        <v>12436.0</v>
      </c>
      <c r="B12440" s="13" t="s">
        <v>12057</v>
      </c>
      <c r="C12440" s="14" t="s">
        <v>12263</v>
      </c>
      <c r="D12440" s="1"/>
      <c r="E12440" s="1"/>
      <c r="F12440" s="1" t="str">
        <f>IFERROR(__xludf.DUMMYFUNCTION("GOOGLETRANSLATE(B12440, ""en"", ""fa"")
"),"والدین آگاهانه")</f>
        <v>والدین آگاهانه</v>
      </c>
      <c r="G12440" s="1" t="str">
        <f>IFERROR(__xludf.DUMMYFUNCTION("GOOGLETRANSLATE(C12440, ""en"", ""fa"")
"),"اثرات مثبت ذهن آگاهی را بر توانایی فرزندتان برای مقابله با استرس و اضطراب بررسی کنید.")</f>
        <v>اثرات مثبت ذهن آگاهی را بر توانایی فرزندتان برای مقابله با استرس و اضطراب بررسی کنید.</v>
      </c>
      <c r="H12440" s="1"/>
      <c r="I12440" s="1"/>
      <c r="J12440" s="1"/>
      <c r="K12440" s="1"/>
      <c r="L12440" s="1"/>
      <c r="M12440" s="1"/>
      <c r="N12440" s="1"/>
      <c r="O12440" s="1"/>
      <c r="P12440" s="1"/>
      <c r="Q12440" s="1"/>
      <c r="R12440" s="1"/>
      <c r="S12440" s="1"/>
      <c r="T12440" s="1"/>
      <c r="U12440" s="1"/>
      <c r="V12440" s="1"/>
      <c r="W12440" s="1"/>
      <c r="X12440" s="1"/>
      <c r="Y12440" s="1"/>
      <c r="Z12440" s="1"/>
      <c r="AA12440" s="1"/>
      <c r="AB12440" s="1"/>
    </row>
    <row r="12441" ht="50.25" customHeight="1">
      <c r="A12441" s="12">
        <v>12437.0</v>
      </c>
      <c r="B12441" s="13" t="s">
        <v>12057</v>
      </c>
      <c r="C12441" s="14" t="s">
        <v>12184</v>
      </c>
      <c r="D12441" s="1"/>
      <c r="E12441" s="1"/>
      <c r="F12441" s="1" t="str">
        <f>IFERROR(__xludf.DUMMYFUNCTION("GOOGLETRANSLATE(B12441, ""en"", ""fa"")
"),"والدین آگاهانه")</f>
        <v>والدین آگاهانه</v>
      </c>
      <c r="G12441" s="1" t="str">
        <f>IFERROR(__xludf.DUMMYFUNCTION("GOOGLETRANSLATE(C12441, ""en"", ""fa"")
"),"در مورد یک تمرین غذایی آگاهانه فکر کنید که کودک شما را تشویق می کند تا هر لقمه را بچشد و با آگاهی غذا بخورد.")</f>
        <v>در مورد یک تمرین غذایی آگاهانه فکر کنید که کودک شما را تشویق می کند تا هر لقمه را بچشد و با آگاهی غذا بخورد.</v>
      </c>
      <c r="H12441" s="1"/>
      <c r="I12441" s="1"/>
      <c r="J12441" s="1"/>
      <c r="K12441" s="1"/>
      <c r="L12441" s="1"/>
      <c r="M12441" s="1"/>
      <c r="N12441" s="1"/>
      <c r="O12441" s="1"/>
      <c r="P12441" s="1"/>
      <c r="Q12441" s="1"/>
      <c r="R12441" s="1"/>
      <c r="S12441" s="1"/>
      <c r="T12441" s="1"/>
      <c r="U12441" s="1"/>
      <c r="V12441" s="1"/>
      <c r="W12441" s="1"/>
      <c r="X12441" s="1"/>
      <c r="Y12441" s="1"/>
      <c r="Z12441" s="1"/>
      <c r="AA12441" s="1"/>
      <c r="AB12441" s="1"/>
    </row>
    <row r="12442" ht="50.25" customHeight="1">
      <c r="A12442" s="12">
        <v>12438.0</v>
      </c>
      <c r="B12442" s="13" t="s">
        <v>12057</v>
      </c>
      <c r="C12442" s="14" t="s">
        <v>12264</v>
      </c>
      <c r="D12442" s="1"/>
      <c r="E12442" s="1"/>
      <c r="F12442" s="1" t="str">
        <f>IFERROR(__xludf.DUMMYFUNCTION("GOOGLETRANSLATE(B12442, ""en"", ""fa"")
"),"والدین آگاهانه")</f>
        <v>والدین آگاهانه</v>
      </c>
      <c r="G12442" s="1" t="str">
        <f>IFERROR(__xludf.DUMMYFUNCTION("GOOGLETRANSLATE(C12442, ""en"", ""fa"")
"),"یک فعالیت مبتنی بر تمرکز حواس را توصیف کنید که خلاقیت و تخیل را در زمان بازی کودک شما تقویت می کند.")</f>
        <v>یک فعالیت مبتنی بر تمرکز حواس را توصیف کنید که خلاقیت و تخیل را در زمان بازی کودک شما تقویت می کند.</v>
      </c>
      <c r="H12442" s="1"/>
      <c r="I12442" s="1"/>
      <c r="J12442" s="1"/>
      <c r="K12442" s="1"/>
      <c r="L12442" s="1"/>
      <c r="M12442" s="1"/>
      <c r="N12442" s="1"/>
      <c r="O12442" s="1"/>
      <c r="P12442" s="1"/>
      <c r="Q12442" s="1"/>
      <c r="R12442" s="1"/>
      <c r="S12442" s="1"/>
      <c r="T12442" s="1"/>
      <c r="U12442" s="1"/>
      <c r="V12442" s="1"/>
      <c r="W12442" s="1"/>
      <c r="X12442" s="1"/>
      <c r="Y12442" s="1"/>
      <c r="Z12442" s="1"/>
      <c r="AA12442" s="1"/>
      <c r="AB12442" s="1"/>
    </row>
    <row r="12443" ht="50.25" customHeight="1">
      <c r="A12443" s="12">
        <v>12439.0</v>
      </c>
      <c r="B12443" s="13" t="s">
        <v>12057</v>
      </c>
      <c r="C12443" s="14" t="s">
        <v>12210</v>
      </c>
      <c r="D12443" s="1"/>
      <c r="E12443" s="1"/>
      <c r="F12443" s="1" t="str">
        <f>IFERROR(__xludf.DUMMYFUNCTION("GOOGLETRANSLATE(B12443, ""en"", ""fa"")
"),"والدین آگاهانه")</f>
        <v>والدین آگاهانه</v>
      </c>
      <c r="G12443" s="1" t="str">
        <f>IFERROR(__xludf.DUMMYFUNCTION("GOOGLETRANSLATE(C12443, ""en"", ""fa"")
"),"در مورد اینکه چگونه ذهن آگاهی توانایی شما را برای حضور و درگیر ماندن در سفرهای خانوادگی و ماجراجویی افزایش می دهد، بنویسید.")</f>
        <v>در مورد اینکه چگونه ذهن آگاهی توانایی شما را برای حضور و درگیر ماندن در سفرهای خانوادگی و ماجراجویی افزایش می دهد، بنویسید.</v>
      </c>
      <c r="H12443" s="1"/>
      <c r="I12443" s="1"/>
      <c r="J12443" s="1"/>
      <c r="K12443" s="1"/>
      <c r="L12443" s="1"/>
      <c r="M12443" s="1"/>
      <c r="N12443" s="1"/>
      <c r="O12443" s="1"/>
      <c r="P12443" s="1"/>
      <c r="Q12443" s="1"/>
      <c r="R12443" s="1"/>
      <c r="S12443" s="1"/>
      <c r="T12443" s="1"/>
      <c r="U12443" s="1"/>
      <c r="V12443" s="1"/>
      <c r="W12443" s="1"/>
      <c r="X12443" s="1"/>
      <c r="Y12443" s="1"/>
      <c r="Z12443" s="1"/>
      <c r="AA12443" s="1"/>
      <c r="AB12443" s="1"/>
    </row>
    <row r="12444" ht="50.25" customHeight="1">
      <c r="A12444" s="12">
        <v>12440.0</v>
      </c>
      <c r="B12444" s="13" t="s">
        <v>12057</v>
      </c>
      <c r="C12444" s="14" t="s">
        <v>12211</v>
      </c>
      <c r="D12444" s="1"/>
      <c r="E12444" s="1"/>
      <c r="F12444" s="1" t="str">
        <f>IFERROR(__xludf.DUMMYFUNCTION("GOOGLETRANSLATE(B12444, ""en"", ""fa"")
"),"والدین آگاهانه")</f>
        <v>والدین آگاهانه</v>
      </c>
      <c r="G12444" s="1" t="str">
        <f>IFERROR(__xludf.DUMMYFUNCTION("GOOGLETRANSLATE(C12444, ""en"", ""fa"")
"),"مزایای تمرین تمرکز حواس در فعالیت ها و کارهای روزمره با فرزندتان را بررسی کنید.")</f>
        <v>مزایای تمرین تمرکز حواس در فعالیت ها و کارهای روزمره با فرزندتان را بررسی کنید.</v>
      </c>
      <c r="H12444" s="1"/>
      <c r="I12444" s="1"/>
      <c r="J12444" s="1"/>
      <c r="K12444" s="1"/>
      <c r="L12444" s="1"/>
      <c r="M12444" s="1"/>
      <c r="N12444" s="1"/>
      <c r="O12444" s="1"/>
      <c r="P12444" s="1"/>
      <c r="Q12444" s="1"/>
      <c r="R12444" s="1"/>
      <c r="S12444" s="1"/>
      <c r="T12444" s="1"/>
      <c r="U12444" s="1"/>
      <c r="V12444" s="1"/>
      <c r="W12444" s="1"/>
      <c r="X12444" s="1"/>
      <c r="Y12444" s="1"/>
      <c r="Z12444" s="1"/>
      <c r="AA12444" s="1"/>
      <c r="AB12444" s="1"/>
    </row>
    <row r="12445" ht="50.25" customHeight="1">
      <c r="A12445" s="12">
        <v>12441.0</v>
      </c>
      <c r="B12445" s="13" t="s">
        <v>12057</v>
      </c>
      <c r="C12445" s="14" t="s">
        <v>12212</v>
      </c>
      <c r="D12445" s="1"/>
      <c r="E12445" s="1"/>
      <c r="F12445" s="1" t="str">
        <f>IFERROR(__xludf.DUMMYFUNCTION("GOOGLETRANSLATE(B12445, ""en"", ""fa"")
"),"والدین آگاهانه")</f>
        <v>والدین آگاهانه</v>
      </c>
      <c r="G12445" s="1" t="str">
        <f>IFERROR(__xludf.DUMMYFUNCTION("GOOGLETRANSLATE(C12445, ""en"", ""fa"")
"),"در مورد نقش ذهن آگاهی در آموزش تنظیم هیجانی و تکنیک های خودآرام بخشی به فرزندتان فکر کنید.")</f>
        <v>در مورد نقش ذهن آگاهی در آموزش تنظیم هیجانی و تکنیک های خودآرام بخشی به فرزندتان فکر کنید.</v>
      </c>
      <c r="H12445" s="1"/>
      <c r="I12445" s="1"/>
      <c r="J12445" s="1"/>
      <c r="K12445" s="1"/>
      <c r="L12445" s="1"/>
      <c r="M12445" s="1"/>
      <c r="N12445" s="1"/>
      <c r="O12445" s="1"/>
      <c r="P12445" s="1"/>
      <c r="Q12445" s="1"/>
      <c r="R12445" s="1"/>
      <c r="S12445" s="1"/>
      <c r="T12445" s="1"/>
      <c r="U12445" s="1"/>
      <c r="V12445" s="1"/>
      <c r="W12445" s="1"/>
      <c r="X12445" s="1"/>
      <c r="Y12445" s="1"/>
      <c r="Z12445" s="1"/>
      <c r="AA12445" s="1"/>
      <c r="AB12445" s="1"/>
    </row>
    <row r="12446" ht="50.25" customHeight="1">
      <c r="A12446" s="12">
        <v>12442.0</v>
      </c>
      <c r="B12446" s="13" t="s">
        <v>12057</v>
      </c>
      <c r="C12446" s="14" t="s">
        <v>12213</v>
      </c>
      <c r="D12446" s="1"/>
      <c r="E12446" s="1"/>
      <c r="F12446" s="1" t="str">
        <f>IFERROR(__xludf.DUMMYFUNCTION("GOOGLETRANSLATE(B12446, ""en"", ""fa"")
"),"والدین آگاهانه")</f>
        <v>والدین آگاهانه</v>
      </c>
      <c r="G12446" s="1" t="str">
        <f>IFERROR(__xludf.DUMMYFUNCTION("GOOGLETRANSLATE(C12446, ""en"", ""fa"")
"),"یک فعالیت مبتنی بر تمرکز حواس را توصیف کنید که فرزندتان را تشویق می کند تا نسبت به خود قدردانی کند.")</f>
        <v>یک فعالیت مبتنی بر تمرکز حواس را توصیف کنید که فرزندتان را تشویق می کند تا نسبت به خود قدردانی کند.</v>
      </c>
      <c r="H12446" s="1"/>
      <c r="I12446" s="1"/>
      <c r="J12446" s="1"/>
      <c r="K12446" s="1"/>
      <c r="L12446" s="1"/>
      <c r="M12446" s="1"/>
      <c r="N12446" s="1"/>
      <c r="O12446" s="1"/>
      <c r="P12446" s="1"/>
      <c r="Q12446" s="1"/>
      <c r="R12446" s="1"/>
      <c r="S12446" s="1"/>
      <c r="T12446" s="1"/>
      <c r="U12446" s="1"/>
      <c r="V12446" s="1"/>
      <c r="W12446" s="1"/>
      <c r="X12446" s="1"/>
      <c r="Y12446" s="1"/>
      <c r="Z12446" s="1"/>
      <c r="AA12446" s="1"/>
      <c r="AB12446" s="1"/>
    </row>
    <row r="12447" ht="50.25" customHeight="1">
      <c r="A12447" s="12">
        <v>12443.0</v>
      </c>
      <c r="B12447" s="13" t="s">
        <v>12057</v>
      </c>
      <c r="C12447" s="14" t="s">
        <v>12214</v>
      </c>
      <c r="D12447" s="1"/>
      <c r="E12447" s="1"/>
      <c r="F12447" s="1" t="str">
        <f>IFERROR(__xludf.DUMMYFUNCTION("GOOGLETRANSLATE(B12447, ""en"", ""fa"")
"),"والدین آگاهانه")</f>
        <v>والدین آگاهانه</v>
      </c>
      <c r="G12447" s="1" t="str">
        <f>IFERROR(__xludf.DUMMYFUNCTION("GOOGLETRANSLATE(C12447, ""en"", ""fa"")
"),"در مورد اینکه چگونه تمرکز حواس به شما و فرزندتان کمک می‌کند در استفاده از فناوری و زمان استفاده از صفحه نمایش آگاهانه بنویسید.")</f>
        <v>در مورد اینکه چگونه تمرکز حواس به شما و فرزندتان کمک می‌کند در استفاده از فناوری و زمان استفاده از صفحه نمایش آگاهانه بنویسید.</v>
      </c>
      <c r="H12447" s="1"/>
      <c r="I12447" s="1"/>
      <c r="J12447" s="1"/>
      <c r="K12447" s="1"/>
      <c r="L12447" s="1"/>
      <c r="M12447" s="1"/>
      <c r="N12447" s="1"/>
      <c r="O12447" s="1"/>
      <c r="P12447" s="1"/>
      <c r="Q12447" s="1"/>
      <c r="R12447" s="1"/>
      <c r="S12447" s="1"/>
      <c r="T12447" s="1"/>
      <c r="U12447" s="1"/>
      <c r="V12447" s="1"/>
      <c r="W12447" s="1"/>
      <c r="X12447" s="1"/>
      <c r="Y12447" s="1"/>
      <c r="Z12447" s="1"/>
      <c r="AA12447" s="1"/>
      <c r="AB12447" s="1"/>
    </row>
    <row r="12448" ht="50.25" customHeight="1">
      <c r="A12448" s="12">
        <v>12444.0</v>
      </c>
      <c r="B12448" s="13" t="s">
        <v>12057</v>
      </c>
      <c r="C12448" s="14" t="s">
        <v>12215</v>
      </c>
      <c r="D12448" s="1"/>
      <c r="E12448" s="1"/>
      <c r="F12448" s="1" t="str">
        <f>IFERROR(__xludf.DUMMYFUNCTION("GOOGLETRANSLATE(B12448, ""en"", ""fa"")
"),"والدین آگاهانه")</f>
        <v>والدین آگاهانه</v>
      </c>
      <c r="G12448" s="1" t="str">
        <f>IFERROR(__xludf.DUMMYFUNCTION("GOOGLETRANSLATE(C12448, ""en"", ""fa"")
"),"بررسی کنید که چگونه ذهن آگاهی از توانایی کودک شما برای درک و مدیریت احساسات خود در محیط های اجتماعی پشتیبانی می کند.")</f>
        <v>بررسی کنید که چگونه ذهن آگاهی از توانایی کودک شما برای درک و مدیریت احساسات خود در محیط های اجتماعی پشتیبانی می کند.</v>
      </c>
      <c r="H12448" s="1"/>
      <c r="I12448" s="1"/>
      <c r="J12448" s="1"/>
      <c r="K12448" s="1"/>
      <c r="L12448" s="1"/>
      <c r="M12448" s="1"/>
      <c r="N12448" s="1"/>
      <c r="O12448" s="1"/>
      <c r="P12448" s="1"/>
      <c r="Q12448" s="1"/>
      <c r="R12448" s="1"/>
      <c r="S12448" s="1"/>
      <c r="T12448" s="1"/>
      <c r="U12448" s="1"/>
      <c r="V12448" s="1"/>
      <c r="W12448" s="1"/>
      <c r="X12448" s="1"/>
      <c r="Y12448" s="1"/>
      <c r="Z12448" s="1"/>
      <c r="AA12448" s="1"/>
      <c r="AB12448" s="1"/>
    </row>
    <row r="12449" ht="50.25" customHeight="1">
      <c r="A12449" s="12">
        <v>12445.0</v>
      </c>
      <c r="B12449" s="13" t="s">
        <v>12057</v>
      </c>
      <c r="C12449" s="14" t="s">
        <v>12216</v>
      </c>
      <c r="D12449" s="1"/>
      <c r="E12449" s="1"/>
      <c r="F12449" s="1" t="str">
        <f>IFERROR(__xludf.DUMMYFUNCTION("GOOGLETRANSLATE(B12449, ""en"", ""fa"")
"),"والدین آگاهانه")</f>
        <v>والدین آگاهانه</v>
      </c>
      <c r="G12449" s="1" t="str">
        <f>IFERROR(__xludf.DUMMYFUNCTION("GOOGLETRANSLATE(C12449, ""en"", ""fa"")
"),"در مورد یک تکنیک تنفس آگاهانه فکر کنید که به فرزند شما کمک می کند تا اضطراب امتحان یا استرس عملکرد را مدیریت کند.")</f>
        <v>در مورد یک تکنیک تنفس آگاهانه فکر کنید که به فرزند شما کمک می کند تا اضطراب امتحان یا استرس عملکرد را مدیریت کند.</v>
      </c>
      <c r="H12449" s="1"/>
      <c r="I12449" s="1"/>
      <c r="J12449" s="1"/>
      <c r="K12449" s="1"/>
      <c r="L12449" s="1"/>
      <c r="M12449" s="1"/>
      <c r="N12449" s="1"/>
      <c r="O12449" s="1"/>
      <c r="P12449" s="1"/>
      <c r="Q12449" s="1"/>
      <c r="R12449" s="1"/>
      <c r="S12449" s="1"/>
      <c r="T12449" s="1"/>
      <c r="U12449" s="1"/>
      <c r="V12449" s="1"/>
      <c r="W12449" s="1"/>
      <c r="X12449" s="1"/>
      <c r="Y12449" s="1"/>
      <c r="Z12449" s="1"/>
      <c r="AA12449" s="1"/>
      <c r="AB12449" s="1"/>
    </row>
    <row r="12450" ht="50.25" customHeight="1">
      <c r="A12450" s="12">
        <v>12446.0</v>
      </c>
      <c r="B12450" s="13" t="s">
        <v>12057</v>
      </c>
      <c r="C12450" s="14" t="s">
        <v>12217</v>
      </c>
      <c r="D12450" s="1"/>
      <c r="E12450" s="1"/>
      <c r="F12450" s="1" t="str">
        <f>IFERROR(__xludf.DUMMYFUNCTION("GOOGLETRANSLATE(B12450, ""en"", ""fa"")
"),"والدین آگاهانه")</f>
        <v>والدین آگاهانه</v>
      </c>
      <c r="G12450" s="1" t="str">
        <f>IFERROR(__xludf.DUMMYFUNCTION("GOOGLETRANSLATE(C12450, ""en"", ""fa"")
"),"یک فعالیت هنری مبتنی بر ذهن آگاهی را توصیف کنید که به کودک شما اجازه می دهد تا احساسات خود را از طریق رنگ ها و اشکال کشف کند.")</f>
        <v>یک فعالیت هنری مبتنی بر ذهن آگاهی را توصیف کنید که به کودک شما اجازه می دهد تا احساسات خود را از طریق رنگ ها و اشکال کشف کند.</v>
      </c>
      <c r="H12450" s="1"/>
      <c r="I12450" s="1"/>
      <c r="J12450" s="1"/>
      <c r="K12450" s="1"/>
      <c r="L12450" s="1"/>
      <c r="M12450" s="1"/>
      <c r="N12450" s="1"/>
      <c r="O12450" s="1"/>
      <c r="P12450" s="1"/>
      <c r="Q12450" s="1"/>
      <c r="R12450" s="1"/>
      <c r="S12450" s="1"/>
      <c r="T12450" s="1"/>
      <c r="U12450" s="1"/>
      <c r="V12450" s="1"/>
      <c r="W12450" s="1"/>
      <c r="X12450" s="1"/>
      <c r="Y12450" s="1"/>
      <c r="Z12450" s="1"/>
      <c r="AA12450" s="1"/>
      <c r="AB12450" s="1"/>
    </row>
    <row r="12451" ht="50.25" customHeight="1">
      <c r="A12451" s="12">
        <v>12447.0</v>
      </c>
      <c r="B12451" s="13" t="s">
        <v>12057</v>
      </c>
      <c r="C12451" s="14" t="s">
        <v>12206</v>
      </c>
      <c r="D12451" s="1"/>
      <c r="E12451" s="1"/>
      <c r="F12451" s="1" t="str">
        <f>IFERROR(__xludf.DUMMYFUNCTION("GOOGLETRANSLATE(B12451, ""en"", ""fa"")
"),"والدین آگاهانه")</f>
        <v>والدین آگاهانه</v>
      </c>
      <c r="G12451" s="1" t="str">
        <f>IFERROR(__xludf.DUMMYFUNCTION("GOOGLETRANSLATE(C12451, ""en"", ""fa"")
"),"در مورد نقش ذهن آگاهی در تقویت حس قوی اتحاد و همکاری خانواده بنویسید.")</f>
        <v>در مورد نقش ذهن آگاهی در تقویت حس قوی اتحاد و همکاری خانواده بنویسید.</v>
      </c>
      <c r="H12451" s="1"/>
      <c r="I12451" s="1"/>
      <c r="J12451" s="1"/>
      <c r="K12451" s="1"/>
      <c r="L12451" s="1"/>
      <c r="M12451" s="1"/>
      <c r="N12451" s="1"/>
      <c r="O12451" s="1"/>
      <c r="P12451" s="1"/>
      <c r="Q12451" s="1"/>
      <c r="R12451" s="1"/>
      <c r="S12451" s="1"/>
      <c r="T12451" s="1"/>
      <c r="U12451" s="1"/>
      <c r="V12451" s="1"/>
      <c r="W12451" s="1"/>
      <c r="X12451" s="1"/>
      <c r="Y12451" s="1"/>
      <c r="Z12451" s="1"/>
      <c r="AA12451" s="1"/>
      <c r="AB12451" s="1"/>
    </row>
    <row r="12452" ht="50.25" customHeight="1">
      <c r="A12452" s="12">
        <v>12448.0</v>
      </c>
      <c r="B12452" s="13" t="s">
        <v>12057</v>
      </c>
      <c r="C12452" s="14" t="s">
        <v>12265</v>
      </c>
      <c r="D12452" s="1"/>
      <c r="E12452" s="1"/>
      <c r="F12452" s="1" t="str">
        <f>IFERROR(__xludf.DUMMYFUNCTION("GOOGLETRANSLATE(B12452, ""en"", ""fa"")
"),"والدین آگاهانه")</f>
        <v>والدین آگاهانه</v>
      </c>
      <c r="G12452" s="1" t="str">
        <f>IFERROR(__xludf.DUMMYFUNCTION("GOOGLETRANSLATE(C12452, ""en"", ""fa"")
"),"بررسی کنید که چگونه ذهن آگاهی توانایی کودک شما را برای مدیریت اضطراب و ترس در موقعیت های مختلف افزایش می دهد.")</f>
        <v>بررسی کنید که چگونه ذهن آگاهی توانایی کودک شما را برای مدیریت اضطراب و ترس در موقعیت های مختلف افزایش می دهد.</v>
      </c>
      <c r="H12452" s="1"/>
      <c r="I12452" s="1"/>
      <c r="J12452" s="1"/>
      <c r="K12452" s="1"/>
      <c r="L12452" s="1"/>
      <c r="M12452" s="1"/>
      <c r="N12452" s="1"/>
      <c r="O12452" s="1"/>
      <c r="P12452" s="1"/>
      <c r="Q12452" s="1"/>
      <c r="R12452" s="1"/>
      <c r="S12452" s="1"/>
      <c r="T12452" s="1"/>
      <c r="U12452" s="1"/>
      <c r="V12452" s="1"/>
      <c r="W12452" s="1"/>
      <c r="X12452" s="1"/>
      <c r="Y12452" s="1"/>
      <c r="Z12452" s="1"/>
      <c r="AA12452" s="1"/>
      <c r="AB12452" s="1"/>
    </row>
    <row r="12453" ht="50.25" customHeight="1">
      <c r="A12453" s="12">
        <v>12449.0</v>
      </c>
      <c r="B12453" s="13" t="s">
        <v>12057</v>
      </c>
      <c r="C12453" s="14" t="s">
        <v>12208</v>
      </c>
      <c r="D12453" s="1"/>
      <c r="E12453" s="1"/>
      <c r="F12453" s="1" t="str">
        <f>IFERROR(__xludf.DUMMYFUNCTION("GOOGLETRANSLATE(B12453, ""en"", ""fa"")
"),"والدین آگاهانه")</f>
        <v>والدین آگاهانه</v>
      </c>
      <c r="G12453" s="1" t="str">
        <f>IFERROR(__xludf.DUMMYFUNCTION("GOOGLETRANSLATE(C12453, ""en"", ""fa"")
"),"در مورد یک تمرین غذایی آگاهانه فکر کنید که کودک شما را تشویق می کند تا طعم و بافت غذا را بچشد.")</f>
        <v>در مورد یک تمرین غذایی آگاهانه فکر کنید که کودک شما را تشویق می کند تا طعم و بافت غذا را بچشد.</v>
      </c>
      <c r="H12453" s="1"/>
      <c r="I12453" s="1"/>
      <c r="J12453" s="1"/>
      <c r="K12453" s="1"/>
      <c r="L12453" s="1"/>
      <c r="M12453" s="1"/>
      <c r="N12453" s="1"/>
      <c r="O12453" s="1"/>
      <c r="P12453" s="1"/>
      <c r="Q12453" s="1"/>
      <c r="R12453" s="1"/>
      <c r="S12453" s="1"/>
      <c r="T12453" s="1"/>
      <c r="U12453" s="1"/>
      <c r="V12453" s="1"/>
      <c r="W12453" s="1"/>
      <c r="X12453" s="1"/>
      <c r="Y12453" s="1"/>
      <c r="Z12453" s="1"/>
      <c r="AA12453" s="1"/>
      <c r="AB12453" s="1"/>
    </row>
    <row r="12454" ht="50.25" customHeight="1">
      <c r="A12454" s="12">
        <v>12450.0</v>
      </c>
      <c r="B12454" s="13" t="s">
        <v>12057</v>
      </c>
      <c r="C12454" s="14" t="s">
        <v>12209</v>
      </c>
      <c r="D12454" s="1"/>
      <c r="E12454" s="1"/>
      <c r="F12454" s="1" t="str">
        <f>IFERROR(__xludf.DUMMYFUNCTION("GOOGLETRANSLATE(B12454, ""en"", ""fa"")
"),"والدین آگاهانه")</f>
        <v>والدین آگاهانه</v>
      </c>
      <c r="G12454" s="1" t="str">
        <f>IFERROR(__xludf.DUMMYFUNCTION("GOOGLETRANSLATE(C12454, ""en"", ""fa"")
"),"یک فعالیت مبتنی بر تمرکز حواس را توصیف کنید که خلاقیت و تخیل را در زمان بازی کودکتان تقویت می کند.")</f>
        <v>یک فعالیت مبتنی بر تمرکز حواس را توصیف کنید که خلاقیت و تخیل را در زمان بازی کودکتان تقویت می کند.</v>
      </c>
      <c r="H12454" s="1"/>
      <c r="I12454" s="1"/>
      <c r="J12454" s="1"/>
      <c r="K12454" s="1"/>
      <c r="L12454" s="1"/>
      <c r="M12454" s="1"/>
      <c r="N12454" s="1"/>
      <c r="O12454" s="1"/>
      <c r="P12454" s="1"/>
      <c r="Q12454" s="1"/>
      <c r="R12454" s="1"/>
      <c r="S12454" s="1"/>
      <c r="T12454" s="1"/>
      <c r="U12454" s="1"/>
      <c r="V12454" s="1"/>
      <c r="W12454" s="1"/>
      <c r="X12454" s="1"/>
      <c r="Y12454" s="1"/>
      <c r="Z12454" s="1"/>
      <c r="AA12454" s="1"/>
      <c r="AB12454" s="1"/>
    </row>
    <row r="12455" ht="50.25" customHeight="1">
      <c r="A12455" s="12">
        <v>12451.0</v>
      </c>
      <c r="B12455" s="13" t="s">
        <v>12057</v>
      </c>
      <c r="C12455" s="14" t="s">
        <v>12214</v>
      </c>
      <c r="D12455" s="1"/>
      <c r="E12455" s="1"/>
      <c r="F12455" s="1" t="str">
        <f>IFERROR(__xludf.DUMMYFUNCTION("GOOGLETRANSLATE(B12455, ""en"", ""fa"")
"),"والدین آگاهانه")</f>
        <v>والدین آگاهانه</v>
      </c>
      <c r="G12455" s="1" t="str">
        <f>IFERROR(__xludf.DUMMYFUNCTION("GOOGLETRANSLATE(C12455, ""en"", ""fa"")
"),"در مورد اینکه چگونه تمرکز حواس به شما و فرزندتان کمک می‌کند در استفاده از فناوری و زمان استفاده از صفحه نمایش آگاهانه بنویسید.")</f>
        <v>در مورد اینکه چگونه تمرکز حواس به شما و فرزندتان کمک می‌کند در استفاده از فناوری و زمان استفاده از صفحه نمایش آگاهانه بنویسید.</v>
      </c>
      <c r="H12455" s="1"/>
      <c r="I12455" s="1"/>
      <c r="J12455" s="1"/>
      <c r="K12455" s="1"/>
      <c r="L12455" s="1"/>
      <c r="M12455" s="1"/>
      <c r="N12455" s="1"/>
      <c r="O12455" s="1"/>
      <c r="P12455" s="1"/>
      <c r="Q12455" s="1"/>
      <c r="R12455" s="1"/>
      <c r="S12455" s="1"/>
      <c r="T12455" s="1"/>
      <c r="U12455" s="1"/>
      <c r="V12455" s="1"/>
      <c r="W12455" s="1"/>
      <c r="X12455" s="1"/>
      <c r="Y12455" s="1"/>
      <c r="Z12455" s="1"/>
      <c r="AA12455" s="1"/>
      <c r="AB12455" s="1"/>
    </row>
    <row r="12456" ht="50.25" customHeight="1">
      <c r="A12456" s="12">
        <v>12452.0</v>
      </c>
      <c r="B12456" s="13" t="s">
        <v>12057</v>
      </c>
      <c r="C12456" s="14" t="s">
        <v>12215</v>
      </c>
      <c r="D12456" s="1"/>
      <c r="E12456" s="1"/>
      <c r="F12456" s="1" t="str">
        <f>IFERROR(__xludf.DUMMYFUNCTION("GOOGLETRANSLATE(B12456, ""en"", ""fa"")
"),"والدین آگاهانه")</f>
        <v>والدین آگاهانه</v>
      </c>
      <c r="G12456" s="1" t="str">
        <f>IFERROR(__xludf.DUMMYFUNCTION("GOOGLETRANSLATE(C12456, ""en"", ""fa"")
"),"بررسی کنید که چگونه ذهن آگاهی از توانایی کودک شما برای درک و مدیریت احساسات خود در محیط های اجتماعی پشتیبانی می کند.")</f>
        <v>بررسی کنید که چگونه ذهن آگاهی از توانایی کودک شما برای درک و مدیریت احساسات خود در محیط های اجتماعی پشتیبانی می کند.</v>
      </c>
      <c r="H12456" s="1"/>
      <c r="I12456" s="1"/>
      <c r="J12456" s="1"/>
      <c r="K12456" s="1"/>
      <c r="L12456" s="1"/>
      <c r="M12456" s="1"/>
      <c r="N12456" s="1"/>
      <c r="O12456" s="1"/>
      <c r="P12456" s="1"/>
      <c r="Q12456" s="1"/>
      <c r="R12456" s="1"/>
      <c r="S12456" s="1"/>
      <c r="T12456" s="1"/>
      <c r="U12456" s="1"/>
      <c r="V12456" s="1"/>
      <c r="W12456" s="1"/>
      <c r="X12456" s="1"/>
      <c r="Y12456" s="1"/>
      <c r="Z12456" s="1"/>
      <c r="AA12456" s="1"/>
      <c r="AB12456" s="1"/>
    </row>
    <row r="12457" ht="50.25" customHeight="1">
      <c r="A12457" s="12">
        <v>12453.0</v>
      </c>
      <c r="B12457" s="13" t="s">
        <v>12057</v>
      </c>
      <c r="C12457" s="14" t="s">
        <v>12216</v>
      </c>
      <c r="D12457" s="1"/>
      <c r="E12457" s="1"/>
      <c r="F12457" s="1" t="str">
        <f>IFERROR(__xludf.DUMMYFUNCTION("GOOGLETRANSLATE(B12457, ""en"", ""fa"")
"),"والدین آگاهانه")</f>
        <v>والدین آگاهانه</v>
      </c>
      <c r="G12457" s="1" t="str">
        <f>IFERROR(__xludf.DUMMYFUNCTION("GOOGLETRANSLATE(C12457, ""en"", ""fa"")
"),"در مورد یک تکنیک تنفس آگاهانه فکر کنید که به فرزند شما کمک می کند تا اضطراب امتحان یا استرس عملکرد را مدیریت کند.")</f>
        <v>در مورد یک تکنیک تنفس آگاهانه فکر کنید که به فرزند شما کمک می کند تا اضطراب امتحان یا استرس عملکرد را مدیریت کند.</v>
      </c>
      <c r="H12457" s="1"/>
      <c r="I12457" s="1"/>
      <c r="J12457" s="1"/>
      <c r="K12457" s="1"/>
      <c r="L12457" s="1"/>
      <c r="M12457" s="1"/>
      <c r="N12457" s="1"/>
      <c r="O12457" s="1"/>
      <c r="P12457" s="1"/>
      <c r="Q12457" s="1"/>
      <c r="R12457" s="1"/>
      <c r="S12457" s="1"/>
      <c r="T12457" s="1"/>
      <c r="U12457" s="1"/>
      <c r="V12457" s="1"/>
      <c r="W12457" s="1"/>
      <c r="X12457" s="1"/>
      <c r="Y12457" s="1"/>
      <c r="Z12457" s="1"/>
      <c r="AA12457" s="1"/>
      <c r="AB12457" s="1"/>
    </row>
    <row r="12458" ht="50.25" customHeight="1">
      <c r="A12458" s="12">
        <v>12454.0</v>
      </c>
      <c r="B12458" s="13" t="s">
        <v>12057</v>
      </c>
      <c r="C12458" s="14" t="s">
        <v>12217</v>
      </c>
      <c r="D12458" s="1"/>
      <c r="E12458" s="1"/>
      <c r="F12458" s="1" t="str">
        <f>IFERROR(__xludf.DUMMYFUNCTION("GOOGLETRANSLATE(B12458, ""en"", ""fa"")
"),"والدین آگاهانه")</f>
        <v>والدین آگاهانه</v>
      </c>
      <c r="G12458" s="1" t="str">
        <f>IFERROR(__xludf.DUMMYFUNCTION("GOOGLETRANSLATE(C12458, ""en"", ""fa"")
"),"یک فعالیت هنری مبتنی بر ذهن آگاهی را توصیف کنید که به کودک شما اجازه می دهد تا احساسات خود را از طریق رنگ ها و اشکال کشف کند.")</f>
        <v>یک فعالیت هنری مبتنی بر ذهن آگاهی را توصیف کنید که به کودک شما اجازه می دهد تا احساسات خود را از طریق رنگ ها و اشکال کشف کند.</v>
      </c>
      <c r="H12458" s="1"/>
      <c r="I12458" s="1"/>
      <c r="J12458" s="1"/>
      <c r="K12458" s="1"/>
      <c r="L12458" s="1"/>
      <c r="M12458" s="1"/>
      <c r="N12458" s="1"/>
      <c r="O12458" s="1"/>
      <c r="P12458" s="1"/>
      <c r="Q12458" s="1"/>
      <c r="R12458" s="1"/>
      <c r="S12458" s="1"/>
      <c r="T12458" s="1"/>
      <c r="U12458" s="1"/>
      <c r="V12458" s="1"/>
      <c r="W12458" s="1"/>
      <c r="X12458" s="1"/>
      <c r="Y12458" s="1"/>
      <c r="Z12458" s="1"/>
      <c r="AA12458" s="1"/>
      <c r="AB12458" s="1"/>
    </row>
    <row r="12459" ht="50.25" customHeight="1">
      <c r="A12459" s="12">
        <v>12455.0</v>
      </c>
      <c r="B12459" s="13" t="s">
        <v>12057</v>
      </c>
      <c r="C12459" s="14" t="s">
        <v>12206</v>
      </c>
      <c r="D12459" s="1"/>
      <c r="E12459" s="1"/>
      <c r="F12459" s="1" t="str">
        <f>IFERROR(__xludf.DUMMYFUNCTION("GOOGLETRANSLATE(B12459, ""en"", ""fa"")
"),"والدین آگاهانه")</f>
        <v>والدین آگاهانه</v>
      </c>
      <c r="G12459" s="1" t="str">
        <f>IFERROR(__xludf.DUMMYFUNCTION("GOOGLETRANSLATE(C12459, ""en"", ""fa"")
"),"در مورد نقش ذهن آگاهی در تقویت حس قوی اتحاد و همکاری خانواده بنویسید.")</f>
        <v>در مورد نقش ذهن آگاهی در تقویت حس قوی اتحاد و همکاری خانواده بنویسید.</v>
      </c>
      <c r="H12459" s="1"/>
      <c r="I12459" s="1"/>
      <c r="J12459" s="1"/>
      <c r="K12459" s="1"/>
      <c r="L12459" s="1"/>
      <c r="M12459" s="1"/>
      <c r="N12459" s="1"/>
      <c r="O12459" s="1"/>
      <c r="P12459" s="1"/>
      <c r="Q12459" s="1"/>
      <c r="R12459" s="1"/>
      <c r="S12459" s="1"/>
      <c r="T12459" s="1"/>
      <c r="U12459" s="1"/>
      <c r="V12459" s="1"/>
      <c r="W12459" s="1"/>
      <c r="X12459" s="1"/>
      <c r="Y12459" s="1"/>
      <c r="Z12459" s="1"/>
      <c r="AA12459" s="1"/>
      <c r="AB12459" s="1"/>
    </row>
    <row r="12460" ht="50.25" customHeight="1">
      <c r="A12460" s="12">
        <v>12456.0</v>
      </c>
      <c r="B12460" s="13" t="s">
        <v>12057</v>
      </c>
      <c r="C12460" s="14" t="s">
        <v>12265</v>
      </c>
      <c r="D12460" s="1"/>
      <c r="E12460" s="1"/>
      <c r="F12460" s="1" t="str">
        <f>IFERROR(__xludf.DUMMYFUNCTION("GOOGLETRANSLATE(B12460, ""en"", ""fa"")
"),"والدین آگاهانه")</f>
        <v>والدین آگاهانه</v>
      </c>
      <c r="G12460" s="1" t="str">
        <f>IFERROR(__xludf.DUMMYFUNCTION("GOOGLETRANSLATE(C12460, ""en"", ""fa"")
"),"بررسی کنید که چگونه ذهن آگاهی توانایی کودک شما را برای مدیریت اضطراب و ترس در موقعیت های مختلف افزایش می دهد.")</f>
        <v>بررسی کنید که چگونه ذهن آگاهی توانایی کودک شما را برای مدیریت اضطراب و ترس در موقعیت های مختلف افزایش می دهد.</v>
      </c>
      <c r="H12460" s="1"/>
      <c r="I12460" s="1"/>
      <c r="J12460" s="1"/>
      <c r="K12460" s="1"/>
      <c r="L12460" s="1"/>
      <c r="M12460" s="1"/>
      <c r="N12460" s="1"/>
      <c r="O12460" s="1"/>
      <c r="P12460" s="1"/>
      <c r="Q12460" s="1"/>
      <c r="R12460" s="1"/>
      <c r="S12460" s="1"/>
      <c r="T12460" s="1"/>
      <c r="U12460" s="1"/>
      <c r="V12460" s="1"/>
      <c r="W12460" s="1"/>
      <c r="X12460" s="1"/>
      <c r="Y12460" s="1"/>
      <c r="Z12460" s="1"/>
      <c r="AA12460" s="1"/>
      <c r="AB12460" s="1"/>
    </row>
    <row r="12461" ht="50.25" customHeight="1">
      <c r="A12461" s="12">
        <v>12457.0</v>
      </c>
      <c r="B12461" s="13" t="s">
        <v>12057</v>
      </c>
      <c r="C12461" s="14" t="s">
        <v>12208</v>
      </c>
      <c r="D12461" s="1"/>
      <c r="E12461" s="1"/>
      <c r="F12461" s="1" t="str">
        <f>IFERROR(__xludf.DUMMYFUNCTION("GOOGLETRANSLATE(B12461, ""en"", ""fa"")
"),"والدین آگاهانه")</f>
        <v>والدین آگاهانه</v>
      </c>
      <c r="G12461" s="1" t="str">
        <f>IFERROR(__xludf.DUMMYFUNCTION("GOOGLETRANSLATE(C12461, ""en"", ""fa"")
"),"در مورد یک تمرین غذایی آگاهانه فکر کنید که کودک شما را تشویق می کند تا طعم و بافت غذا را بچشد.")</f>
        <v>در مورد یک تمرین غذایی آگاهانه فکر کنید که کودک شما را تشویق می کند تا طعم و بافت غذا را بچشد.</v>
      </c>
      <c r="H12461" s="1"/>
      <c r="I12461" s="1"/>
      <c r="J12461" s="1"/>
      <c r="K12461" s="1"/>
      <c r="L12461" s="1"/>
      <c r="M12461" s="1"/>
      <c r="N12461" s="1"/>
      <c r="O12461" s="1"/>
      <c r="P12461" s="1"/>
      <c r="Q12461" s="1"/>
      <c r="R12461" s="1"/>
      <c r="S12461" s="1"/>
      <c r="T12461" s="1"/>
      <c r="U12461" s="1"/>
      <c r="V12461" s="1"/>
      <c r="W12461" s="1"/>
      <c r="X12461" s="1"/>
      <c r="Y12461" s="1"/>
      <c r="Z12461" s="1"/>
      <c r="AA12461" s="1"/>
      <c r="AB12461" s="1"/>
    </row>
    <row r="12462" ht="50.25" customHeight="1">
      <c r="A12462" s="12">
        <v>12458.0</v>
      </c>
      <c r="B12462" s="13" t="s">
        <v>12057</v>
      </c>
      <c r="C12462" s="14" t="s">
        <v>12209</v>
      </c>
      <c r="D12462" s="1"/>
      <c r="E12462" s="1"/>
      <c r="F12462" s="1" t="str">
        <f>IFERROR(__xludf.DUMMYFUNCTION("GOOGLETRANSLATE(B12462, ""en"", ""fa"")
"),"والدین آگاهانه")</f>
        <v>والدین آگاهانه</v>
      </c>
      <c r="G12462" s="1" t="str">
        <f>IFERROR(__xludf.DUMMYFUNCTION("GOOGLETRANSLATE(C12462, ""en"", ""fa"")
"),"یک فعالیت مبتنی بر تمرکز حواس را توصیف کنید که خلاقیت و تخیل را در زمان بازی کودکتان تقویت می کند.")</f>
        <v>یک فعالیت مبتنی بر تمرکز حواس را توصیف کنید که خلاقیت و تخیل را در زمان بازی کودکتان تقویت می کند.</v>
      </c>
      <c r="H12462" s="1"/>
      <c r="I12462" s="1"/>
      <c r="J12462" s="1"/>
      <c r="K12462" s="1"/>
      <c r="L12462" s="1"/>
      <c r="M12462" s="1"/>
      <c r="N12462" s="1"/>
      <c r="O12462" s="1"/>
      <c r="P12462" s="1"/>
      <c r="Q12462" s="1"/>
      <c r="R12462" s="1"/>
      <c r="S12462" s="1"/>
      <c r="T12462" s="1"/>
      <c r="U12462" s="1"/>
      <c r="V12462" s="1"/>
      <c r="W12462" s="1"/>
      <c r="X12462" s="1"/>
      <c r="Y12462" s="1"/>
      <c r="Z12462" s="1"/>
      <c r="AA12462" s="1"/>
      <c r="AB12462" s="1"/>
    </row>
    <row r="12463" ht="50.25" customHeight="1">
      <c r="A12463" s="12">
        <v>12459.0</v>
      </c>
      <c r="B12463" s="13" t="s">
        <v>12057</v>
      </c>
      <c r="C12463" s="14" t="s">
        <v>12214</v>
      </c>
      <c r="D12463" s="1"/>
      <c r="E12463" s="1"/>
      <c r="F12463" s="1" t="str">
        <f>IFERROR(__xludf.DUMMYFUNCTION("GOOGLETRANSLATE(B12463, ""en"", ""fa"")
"),"والدین آگاهانه")</f>
        <v>والدین آگاهانه</v>
      </c>
      <c r="G12463" s="1" t="str">
        <f>IFERROR(__xludf.DUMMYFUNCTION("GOOGLETRANSLATE(C12463, ""en"", ""fa"")
"),"در مورد اینکه چگونه تمرکز حواس به شما و فرزندتان کمک می‌کند در استفاده از فناوری و زمان استفاده از صفحه نمایش آگاهانه بنویسید.")</f>
        <v>در مورد اینکه چگونه تمرکز حواس به شما و فرزندتان کمک می‌کند در استفاده از فناوری و زمان استفاده از صفحه نمایش آگاهانه بنویسید.</v>
      </c>
      <c r="H12463" s="1"/>
      <c r="I12463" s="1"/>
      <c r="J12463" s="1"/>
      <c r="K12463" s="1"/>
      <c r="L12463" s="1"/>
      <c r="M12463" s="1"/>
      <c r="N12463" s="1"/>
      <c r="O12463" s="1"/>
      <c r="P12463" s="1"/>
      <c r="Q12463" s="1"/>
      <c r="R12463" s="1"/>
      <c r="S12463" s="1"/>
      <c r="T12463" s="1"/>
      <c r="U12463" s="1"/>
      <c r="V12463" s="1"/>
      <c r="W12463" s="1"/>
      <c r="X12463" s="1"/>
      <c r="Y12463" s="1"/>
      <c r="Z12463" s="1"/>
      <c r="AA12463" s="1"/>
      <c r="AB12463" s="1"/>
    </row>
    <row r="12464" ht="50.25" customHeight="1">
      <c r="A12464" s="12">
        <v>12460.0</v>
      </c>
      <c r="B12464" s="13" t="s">
        <v>12057</v>
      </c>
      <c r="C12464" s="14" t="s">
        <v>12215</v>
      </c>
      <c r="D12464" s="1"/>
      <c r="E12464" s="1"/>
      <c r="F12464" s="1" t="str">
        <f>IFERROR(__xludf.DUMMYFUNCTION("GOOGLETRANSLATE(B12464, ""en"", ""fa"")
"),"والدین آگاهانه")</f>
        <v>والدین آگاهانه</v>
      </c>
      <c r="G12464" s="1" t="str">
        <f>IFERROR(__xludf.DUMMYFUNCTION("GOOGLETRANSLATE(C12464, ""en"", ""fa"")
"),"بررسی کنید که چگونه ذهن آگاهی از توانایی کودک شما برای درک و مدیریت احساسات خود در محیط های اجتماعی پشتیبانی می کند.")</f>
        <v>بررسی کنید که چگونه ذهن آگاهی از توانایی کودک شما برای درک و مدیریت احساسات خود در محیط های اجتماعی پشتیبانی می کند.</v>
      </c>
      <c r="H12464" s="1"/>
      <c r="I12464" s="1"/>
      <c r="J12464" s="1"/>
      <c r="K12464" s="1"/>
      <c r="L12464" s="1"/>
      <c r="M12464" s="1"/>
      <c r="N12464" s="1"/>
      <c r="O12464" s="1"/>
      <c r="P12464" s="1"/>
      <c r="Q12464" s="1"/>
      <c r="R12464" s="1"/>
      <c r="S12464" s="1"/>
      <c r="T12464" s="1"/>
      <c r="U12464" s="1"/>
      <c r="V12464" s="1"/>
      <c r="W12464" s="1"/>
      <c r="X12464" s="1"/>
      <c r="Y12464" s="1"/>
      <c r="Z12464" s="1"/>
      <c r="AA12464" s="1"/>
      <c r="AB12464" s="1"/>
    </row>
    <row r="12465" ht="50.25" customHeight="1">
      <c r="A12465" s="12">
        <v>12461.0</v>
      </c>
      <c r="B12465" s="13" t="s">
        <v>12266</v>
      </c>
      <c r="C12465" s="14" t="s">
        <v>12267</v>
      </c>
      <c r="D12465" s="1"/>
      <c r="E12465" s="1"/>
      <c r="F12465" s="1" t="str">
        <f>IFERROR(__xludf.DUMMYFUNCTION("GOOGLETRANSLATE(B12465, ""en"", ""fa"")
"),"سبک زندگی عشایری دیجیتال")</f>
        <v>سبک زندگی عشایری دیجیتال</v>
      </c>
      <c r="G12465" s="1" t="str">
        <f>IFERROR(__xludf.DUMMYFUNCTION("GOOGLETRANSLATE(C12465, ""en"", ""fa"")
"),"چگونه می توانم فرصت های کار از راه دور را برای سبک زندگی کوچ دیجیتالی مناسب بیابم؟")</f>
        <v>چگونه می توانم فرصت های کار از راه دور را برای سبک زندگی کوچ دیجیتالی مناسب بیابم؟</v>
      </c>
      <c r="H12465" s="1"/>
      <c r="I12465" s="1"/>
      <c r="J12465" s="1"/>
      <c r="K12465" s="1"/>
      <c r="L12465" s="1"/>
      <c r="M12465" s="1"/>
      <c r="N12465" s="1"/>
      <c r="O12465" s="1"/>
      <c r="P12465" s="1"/>
      <c r="Q12465" s="1"/>
      <c r="R12465" s="1"/>
      <c r="S12465" s="1"/>
      <c r="T12465" s="1"/>
      <c r="U12465" s="1"/>
      <c r="V12465" s="1"/>
      <c r="W12465" s="1"/>
      <c r="X12465" s="1"/>
      <c r="Y12465" s="1"/>
      <c r="Z12465" s="1"/>
      <c r="AA12465" s="1"/>
      <c r="AB12465" s="1"/>
    </row>
    <row r="12466" ht="50.25" customHeight="1">
      <c r="A12466" s="12">
        <v>12462.0</v>
      </c>
      <c r="B12466" s="13" t="s">
        <v>12266</v>
      </c>
      <c r="C12466" s="14" t="s">
        <v>12268</v>
      </c>
      <c r="D12466" s="1"/>
      <c r="E12466" s="1"/>
      <c r="F12466" s="1" t="str">
        <f>IFERROR(__xludf.DUMMYFUNCTION("GOOGLETRANSLATE(B12466, ""en"", ""fa"")
"),"سبک زندگی عشایری دیجیتال")</f>
        <v>سبک زندگی عشایری دیجیتال</v>
      </c>
      <c r="G12466" s="1" t="str">
        <f>IFERROR(__xludf.DUMMYFUNCTION("GOOGLETRANSLATE(C12466, ""en"", ""fa"")
"),"بهترین فضاهای کار مشترک و مکان های دیجیتالی مناسب برای عشایر در [شهر/کشور خاص] کدامند؟")</f>
        <v>بهترین فضاهای کار مشترک و مکان های دیجیتالی مناسب برای عشایر در [شهر/کشور خاص] کدامند؟</v>
      </c>
      <c r="H12466" s="1"/>
      <c r="I12466" s="1"/>
      <c r="J12466" s="1"/>
      <c r="K12466" s="1"/>
      <c r="L12466" s="1"/>
      <c r="M12466" s="1"/>
      <c r="N12466" s="1"/>
      <c r="O12466" s="1"/>
      <c r="P12466" s="1"/>
      <c r="Q12466" s="1"/>
      <c r="R12466" s="1"/>
      <c r="S12466" s="1"/>
      <c r="T12466" s="1"/>
      <c r="U12466" s="1"/>
      <c r="V12466" s="1"/>
      <c r="W12466" s="1"/>
      <c r="X12466" s="1"/>
      <c r="Y12466" s="1"/>
      <c r="Z12466" s="1"/>
      <c r="AA12466" s="1"/>
      <c r="AB12466" s="1"/>
    </row>
    <row r="12467" ht="50.25" customHeight="1">
      <c r="A12467" s="12">
        <v>12463.0</v>
      </c>
      <c r="B12467" s="13" t="s">
        <v>12266</v>
      </c>
      <c r="C12467" s="14" t="s">
        <v>12269</v>
      </c>
      <c r="D12467" s="1"/>
      <c r="E12467" s="1"/>
      <c r="F12467" s="1" t="str">
        <f>IFERROR(__xludf.DUMMYFUNCTION("GOOGLETRANSLATE(B12467, ""en"", ""fa"")
"),"سبک زندگی عشایری دیجیتال")</f>
        <v>سبک زندگی عشایری دیجیتال</v>
      </c>
      <c r="G12467" s="1" t="str">
        <f>IFERROR(__xludf.DUMMYFUNCTION("GOOGLETRANSLATE(C12467, ""en"", ""fa"")
"),"آیا توصیه ای در مورد مدیریت امور مالی و بودجه در حین زندگی به عنوان یک عشایر دیجیتال دارید؟")</f>
        <v>آیا توصیه ای در مورد مدیریت امور مالی و بودجه در حین زندگی به عنوان یک عشایر دیجیتال دارید؟</v>
      </c>
      <c r="H12467" s="1"/>
      <c r="I12467" s="1"/>
      <c r="J12467" s="1"/>
      <c r="K12467" s="1"/>
      <c r="L12467" s="1"/>
      <c r="M12467" s="1"/>
      <c r="N12467" s="1"/>
      <c r="O12467" s="1"/>
      <c r="P12467" s="1"/>
      <c r="Q12467" s="1"/>
      <c r="R12467" s="1"/>
      <c r="S12467" s="1"/>
      <c r="T12467" s="1"/>
      <c r="U12467" s="1"/>
      <c r="V12467" s="1"/>
      <c r="W12467" s="1"/>
      <c r="X12467" s="1"/>
      <c r="Y12467" s="1"/>
      <c r="Z12467" s="1"/>
      <c r="AA12467" s="1"/>
      <c r="AB12467" s="1"/>
    </row>
    <row r="12468" ht="50.25" customHeight="1">
      <c r="A12468" s="12">
        <v>12464.0</v>
      </c>
      <c r="B12468" s="13" t="s">
        <v>12266</v>
      </c>
      <c r="C12468" s="14" t="s">
        <v>12270</v>
      </c>
      <c r="D12468" s="1"/>
      <c r="E12468" s="1"/>
      <c r="F12468" s="1" t="str">
        <f>IFERROR(__xludf.DUMMYFUNCTION("GOOGLETRANSLATE(B12468, ""en"", ""fa"")
"),"سبک زندگی عشایری دیجیتال")</f>
        <v>سبک زندگی عشایری دیجیتال</v>
      </c>
      <c r="G12468" s="1" t="str">
        <f>IFERROR(__xludf.DUMMYFUNCTION("GOOGLETRANSLATE(C12468, ""en"", ""fa"")
"),"آیا می توانید گزینه های بیمه مسافرتی را که برای عشایر دیجیتالی طراحی شده است توصیه کنید؟")</f>
        <v>آیا می توانید گزینه های بیمه مسافرتی را که برای عشایر دیجیتالی طراحی شده است توصیه کنید؟</v>
      </c>
      <c r="H12468" s="1"/>
      <c r="I12468" s="1"/>
      <c r="J12468" s="1"/>
      <c r="K12468" s="1"/>
      <c r="L12468" s="1"/>
      <c r="M12468" s="1"/>
      <c r="N12468" s="1"/>
      <c r="O12468" s="1"/>
      <c r="P12468" s="1"/>
      <c r="Q12468" s="1"/>
      <c r="R12468" s="1"/>
      <c r="S12468" s="1"/>
      <c r="T12468" s="1"/>
      <c r="U12468" s="1"/>
      <c r="V12468" s="1"/>
      <c r="W12468" s="1"/>
      <c r="X12468" s="1"/>
      <c r="Y12468" s="1"/>
      <c r="Z12468" s="1"/>
      <c r="AA12468" s="1"/>
      <c r="AB12468" s="1"/>
    </row>
    <row r="12469" ht="50.25" customHeight="1">
      <c r="A12469" s="12">
        <v>12465.0</v>
      </c>
      <c r="B12469" s="13" t="s">
        <v>12266</v>
      </c>
      <c r="C12469" s="14" t="s">
        <v>12271</v>
      </c>
      <c r="D12469" s="1"/>
      <c r="E12469" s="1"/>
      <c r="F12469" s="1" t="str">
        <f>IFERROR(__xludf.DUMMYFUNCTION("GOOGLETRANSLATE(B12469, ""en"", ""fa"")
"),"سبک زندگی عشایری دیجیتال")</f>
        <v>سبک زندگی عشایری دیجیتال</v>
      </c>
      <c r="G12469" s="1" t="str">
        <f>IFERROR(__xludf.DUMMYFUNCTION("GOOGLETRANSLATE(C12469, ""en"", ""fa"")
"),"ضروری ترین ابزارها و ابزارها برای بهره وری در هنگام سفر چیست؟")</f>
        <v>ضروری ترین ابزارها و ابزارها برای بهره وری در هنگام سفر چیست؟</v>
      </c>
      <c r="H12469" s="1"/>
      <c r="I12469" s="1"/>
      <c r="J12469" s="1"/>
      <c r="K12469" s="1"/>
      <c r="L12469" s="1"/>
      <c r="M12469" s="1"/>
      <c r="N12469" s="1"/>
      <c r="O12469" s="1"/>
      <c r="P12469" s="1"/>
      <c r="Q12469" s="1"/>
      <c r="R12469" s="1"/>
      <c r="S12469" s="1"/>
      <c r="T12469" s="1"/>
      <c r="U12469" s="1"/>
      <c r="V12469" s="1"/>
      <c r="W12469" s="1"/>
      <c r="X12469" s="1"/>
      <c r="Y12469" s="1"/>
      <c r="Z12469" s="1"/>
      <c r="AA12469" s="1"/>
      <c r="AB12469" s="1"/>
    </row>
    <row r="12470" ht="50.25" customHeight="1">
      <c r="A12470" s="12">
        <v>12466.0</v>
      </c>
      <c r="B12470" s="13" t="s">
        <v>12266</v>
      </c>
      <c r="C12470" s="14" t="s">
        <v>12272</v>
      </c>
      <c r="D12470" s="1"/>
      <c r="E12470" s="1"/>
      <c r="F12470" s="1" t="str">
        <f>IFERROR(__xludf.DUMMYFUNCTION("GOOGLETRANSLATE(B12470, ""en"", ""fa"")
"),"سبک زندگی عشایری دیجیتال")</f>
        <v>سبک زندگی عشایری دیجیتال</v>
      </c>
      <c r="G12470" s="1" t="str">
        <f>IFERROR(__xludf.DUMMYFUNCTION("GOOGLETRANSLATE(C12470, ""en"", ""fa"")
"),"چگونه می توانم تعادل کار و زندگی سالم را به عنوان یک عشایر دیجیتال حفظ کنم؟")</f>
        <v>چگونه می توانم تعادل کار و زندگی سالم را به عنوان یک عشایر دیجیتال حفظ کنم؟</v>
      </c>
      <c r="H12470" s="1"/>
      <c r="I12470" s="1"/>
      <c r="J12470" s="1"/>
      <c r="K12470" s="1"/>
      <c r="L12470" s="1"/>
      <c r="M12470" s="1"/>
      <c r="N12470" s="1"/>
      <c r="O12470" s="1"/>
      <c r="P12470" s="1"/>
      <c r="Q12470" s="1"/>
      <c r="R12470" s="1"/>
      <c r="S12470" s="1"/>
      <c r="T12470" s="1"/>
      <c r="U12470" s="1"/>
      <c r="V12470" s="1"/>
      <c r="W12470" s="1"/>
      <c r="X12470" s="1"/>
      <c r="Y12470" s="1"/>
      <c r="Z12470" s="1"/>
      <c r="AA12470" s="1"/>
      <c r="AB12470" s="1"/>
    </row>
    <row r="12471" ht="50.25" customHeight="1">
      <c r="A12471" s="12">
        <v>12467.0</v>
      </c>
      <c r="B12471" s="13" t="s">
        <v>12266</v>
      </c>
      <c r="C12471" s="14" t="s">
        <v>12273</v>
      </c>
      <c r="D12471" s="1"/>
      <c r="E12471" s="1"/>
      <c r="F12471" s="1" t="str">
        <f>IFERROR(__xludf.DUMMYFUNCTION("GOOGLETRANSLATE(B12471, ""en"", ""fa"")
"),"سبک زندگی عشایری دیجیتال")</f>
        <v>سبک زندگی عشایری دیجیتال</v>
      </c>
      <c r="G12471" s="1" t="str">
        <f>IFERROR(__xludf.DUMMYFUNCTION("GOOGLETRANSLATE(C12471, ""en"", ""fa"")
"),"نکاتی در مورد شبکه سازی و ایجاد ارتباطات حرفه ای در حین زندگی عشایری دارید؟")</f>
        <v>نکاتی در مورد شبکه سازی و ایجاد ارتباطات حرفه ای در حین زندگی عشایری دارید؟</v>
      </c>
      <c r="H12471" s="1"/>
      <c r="I12471" s="1"/>
      <c r="J12471" s="1"/>
      <c r="K12471" s="1"/>
      <c r="L12471" s="1"/>
      <c r="M12471" s="1"/>
      <c r="N12471" s="1"/>
      <c r="O12471" s="1"/>
      <c r="P12471" s="1"/>
      <c r="Q12471" s="1"/>
      <c r="R12471" s="1"/>
      <c r="S12471" s="1"/>
      <c r="T12471" s="1"/>
      <c r="U12471" s="1"/>
      <c r="V12471" s="1"/>
      <c r="W12471" s="1"/>
      <c r="X12471" s="1"/>
      <c r="Y12471" s="1"/>
      <c r="Z12471" s="1"/>
      <c r="AA12471" s="1"/>
      <c r="AB12471" s="1"/>
    </row>
    <row r="12472" ht="50.25" customHeight="1">
      <c r="A12472" s="12">
        <v>12468.0</v>
      </c>
      <c r="B12472" s="13" t="s">
        <v>12266</v>
      </c>
      <c r="C12472" s="14" t="s">
        <v>12274</v>
      </c>
      <c r="D12472" s="1"/>
      <c r="E12472" s="1"/>
      <c r="F12472" s="1" t="str">
        <f>IFERROR(__xludf.DUMMYFUNCTION("GOOGLETRANSLATE(B12472, ""en"", ""fa"")
"),"سبک زندگی عشایری دیجیتال")</f>
        <v>سبک زندگی عشایری دیجیتال</v>
      </c>
      <c r="G12472" s="1" t="str">
        <f>IFERROR(__xludf.DUMMYFUNCTION("GOOGLETRANSLATE(C12472, ""en"", ""fa"")
"),"شرایط ویزا و بهترین گزینه های ویزا برای عشایر دیجیتال در [مناطق خاص] چیست؟")</f>
        <v>شرایط ویزا و بهترین گزینه های ویزا برای عشایر دیجیتال در [مناطق خاص] چیست؟</v>
      </c>
      <c r="H12472" s="1"/>
      <c r="I12472" s="1"/>
      <c r="J12472" s="1"/>
      <c r="K12472" s="1"/>
      <c r="L12472" s="1"/>
      <c r="M12472" s="1"/>
      <c r="N12472" s="1"/>
      <c r="O12472" s="1"/>
      <c r="P12472" s="1"/>
      <c r="Q12472" s="1"/>
      <c r="R12472" s="1"/>
      <c r="S12472" s="1"/>
      <c r="T12472" s="1"/>
      <c r="U12472" s="1"/>
      <c r="V12472" s="1"/>
      <c r="W12472" s="1"/>
      <c r="X12472" s="1"/>
      <c r="Y12472" s="1"/>
      <c r="Z12472" s="1"/>
      <c r="AA12472" s="1"/>
      <c r="AB12472" s="1"/>
    </row>
    <row r="12473" ht="50.25" customHeight="1">
      <c r="A12473" s="12">
        <v>12469.0</v>
      </c>
      <c r="B12473" s="13" t="s">
        <v>12266</v>
      </c>
      <c r="C12473" s="14" t="s">
        <v>12275</v>
      </c>
      <c r="D12473" s="1"/>
      <c r="E12473" s="1"/>
      <c r="F12473" s="1" t="str">
        <f>IFERROR(__xludf.DUMMYFUNCTION("GOOGLETRANSLATE(B12473, ""en"", ""fa"")
"),"سبک زندگی عشایری دیجیتال")</f>
        <v>سبک زندگی عشایری دیجیتال</v>
      </c>
      <c r="G12473" s="1" t="str">
        <f>IFERROR(__xludf.DUMMYFUNCTION("GOOGLETRANSLATE(C12473, ""en"", ""fa"")
"),"چگونه می توانم در حین کار از راه دور در مکان های مختلف با انگیزه و متمرکز بمانم؟")</f>
        <v>چگونه می توانم در حین کار از راه دور در مکان های مختلف با انگیزه و متمرکز بمانم؟</v>
      </c>
      <c r="H12473" s="1"/>
      <c r="I12473" s="1"/>
      <c r="J12473" s="1"/>
      <c r="K12473" s="1"/>
      <c r="L12473" s="1"/>
      <c r="M12473" s="1"/>
      <c r="N12473" s="1"/>
      <c r="O12473" s="1"/>
      <c r="P12473" s="1"/>
      <c r="Q12473" s="1"/>
      <c r="R12473" s="1"/>
      <c r="S12473" s="1"/>
      <c r="T12473" s="1"/>
      <c r="U12473" s="1"/>
      <c r="V12473" s="1"/>
      <c r="W12473" s="1"/>
      <c r="X12473" s="1"/>
      <c r="Y12473" s="1"/>
      <c r="Z12473" s="1"/>
      <c r="AA12473" s="1"/>
      <c r="AB12473" s="1"/>
    </row>
    <row r="12474" ht="50.25" customHeight="1">
      <c r="A12474" s="12">
        <v>12470.0</v>
      </c>
      <c r="B12474" s="13" t="s">
        <v>12266</v>
      </c>
      <c r="C12474" s="14" t="s">
        <v>12276</v>
      </c>
      <c r="D12474" s="1"/>
      <c r="E12474" s="1"/>
      <c r="F12474" s="1" t="str">
        <f>IFERROR(__xludf.DUMMYFUNCTION("GOOGLETRANSLATE(B12474, ""en"", ""fa"")
"),"سبک زندگی عشایری دیجیتال")</f>
        <v>سبک زندگی عشایری دیجیتال</v>
      </c>
      <c r="G12474" s="1" t="str">
        <f>IFERROR(__xludf.DUMMYFUNCTION("GOOGLETRANSLATE(C12474, ""en"", ""fa"")
"),"آیا توصیه ای برای منابع و پلتفرم های آنلاین برای یادگیری مهارت های جدید در حین کوچ دیجیتال بودن دارید؟")</f>
        <v>آیا توصیه ای برای منابع و پلتفرم های آنلاین برای یادگیری مهارت های جدید در حین کوچ دیجیتال بودن دارید؟</v>
      </c>
      <c r="H12474" s="1"/>
      <c r="I12474" s="1"/>
      <c r="J12474" s="1"/>
      <c r="K12474" s="1"/>
      <c r="L12474" s="1"/>
      <c r="M12474" s="1"/>
      <c r="N12474" s="1"/>
      <c r="O12474" s="1"/>
      <c r="P12474" s="1"/>
      <c r="Q12474" s="1"/>
      <c r="R12474" s="1"/>
      <c r="S12474" s="1"/>
      <c r="T12474" s="1"/>
      <c r="U12474" s="1"/>
      <c r="V12474" s="1"/>
      <c r="W12474" s="1"/>
      <c r="X12474" s="1"/>
      <c r="Y12474" s="1"/>
      <c r="Z12474" s="1"/>
      <c r="AA12474" s="1"/>
      <c r="AB12474" s="1"/>
    </row>
    <row r="12475" ht="50.25" customHeight="1">
      <c r="A12475" s="12">
        <v>12471.0</v>
      </c>
      <c r="B12475" s="13" t="s">
        <v>12266</v>
      </c>
      <c r="C12475" s="14" t="s">
        <v>12277</v>
      </c>
      <c r="D12475" s="1"/>
      <c r="E12475" s="1"/>
      <c r="F12475" s="1" t="str">
        <f>IFERROR(__xludf.DUMMYFUNCTION("GOOGLETRANSLATE(B12475, ""en"", ""fa"")
"),"سبک زندگی عشایری دیجیتال")</f>
        <v>سبک زندگی عشایری دیجیتال</v>
      </c>
      <c r="G12475" s="1" t="str">
        <f>IFERROR(__xludf.DUMMYFUNCTION("GOOGLETRANSLATE(C12475, ""en"", ""fa"")
"),"بهترین نکات برای یافتن مسکن مقرون به صرفه به عنوان یک عشایر دیجیتال چیست؟")</f>
        <v>بهترین نکات برای یافتن مسکن مقرون به صرفه به عنوان یک عشایر دیجیتال چیست؟</v>
      </c>
      <c r="H12475" s="1"/>
      <c r="I12475" s="1"/>
      <c r="J12475" s="1"/>
      <c r="K12475" s="1"/>
      <c r="L12475" s="1"/>
      <c r="M12475" s="1"/>
      <c r="N12475" s="1"/>
      <c r="O12475" s="1"/>
      <c r="P12475" s="1"/>
      <c r="Q12475" s="1"/>
      <c r="R12475" s="1"/>
      <c r="S12475" s="1"/>
      <c r="T12475" s="1"/>
      <c r="U12475" s="1"/>
      <c r="V12475" s="1"/>
      <c r="W12475" s="1"/>
      <c r="X12475" s="1"/>
      <c r="Y12475" s="1"/>
      <c r="Z12475" s="1"/>
      <c r="AA12475" s="1"/>
      <c r="AB12475" s="1"/>
    </row>
    <row r="12476" ht="50.25" customHeight="1">
      <c r="A12476" s="12">
        <v>12472.0</v>
      </c>
      <c r="B12476" s="13" t="s">
        <v>12266</v>
      </c>
      <c r="C12476" s="14" t="s">
        <v>12278</v>
      </c>
      <c r="D12476" s="1"/>
      <c r="E12476" s="1"/>
      <c r="F12476" s="1" t="str">
        <f>IFERROR(__xludf.DUMMYFUNCTION("GOOGLETRANSLATE(B12476, ""en"", ""fa"")
"),"سبک زندگی عشایری دیجیتال")</f>
        <v>سبک زندگی عشایری دیجیتال</v>
      </c>
      <c r="G12476" s="1" t="str">
        <f>IFERROR(__xludf.DUMMYFUNCTION("GOOGLETRANSLATE(C12476, ""en"", ""fa"")
"),"آیا می‌توانید بهترین راه‌ها برای ارتباط ماندن و دسترسی به اینترنت قابل اعتماد در سفر را پیشنهاد کنید؟")</f>
        <v>آیا می‌توانید بهترین راه‌ها برای ارتباط ماندن و دسترسی به اینترنت قابل اعتماد در سفر را پیشنهاد کنید؟</v>
      </c>
      <c r="H12476" s="1"/>
      <c r="I12476" s="1"/>
      <c r="J12476" s="1"/>
      <c r="K12476" s="1"/>
      <c r="L12476" s="1"/>
      <c r="M12476" s="1"/>
      <c r="N12476" s="1"/>
      <c r="O12476" s="1"/>
      <c r="P12476" s="1"/>
      <c r="Q12476" s="1"/>
      <c r="R12476" s="1"/>
      <c r="S12476" s="1"/>
      <c r="T12476" s="1"/>
      <c r="U12476" s="1"/>
      <c r="V12476" s="1"/>
      <c r="W12476" s="1"/>
      <c r="X12476" s="1"/>
      <c r="Y12476" s="1"/>
      <c r="Z12476" s="1"/>
      <c r="AA12476" s="1"/>
      <c r="AB12476" s="1"/>
    </row>
    <row r="12477" ht="50.25" customHeight="1">
      <c r="A12477" s="12">
        <v>12473.0</v>
      </c>
      <c r="B12477" s="13" t="s">
        <v>12266</v>
      </c>
      <c r="C12477" s="14" t="s">
        <v>12279</v>
      </c>
      <c r="D12477" s="1"/>
      <c r="E12477" s="1"/>
      <c r="F12477" s="1" t="str">
        <f>IFERROR(__xludf.DUMMYFUNCTION("GOOGLETRANSLATE(B12477, ""en"", ""fa"")
"),"سبک زندگی عشایری دیجیتال")</f>
        <v>سبک زندگی عشایری دیجیتال</v>
      </c>
      <c r="G12477" s="1" t="str">
        <f>IFERROR(__xludf.DUMMYFUNCTION("GOOGLETRANSLATE(C12477, ""en"", ""fa"")
"),"چگونه مالیات ها و ملاحظات قانونی را به عنوان یک کوچ دیجیتال در [کشور خاص] اداره کنم؟")</f>
        <v>چگونه مالیات ها و ملاحظات قانونی را به عنوان یک کوچ دیجیتال در [کشور خاص] اداره کنم؟</v>
      </c>
      <c r="H12477" s="1"/>
      <c r="I12477" s="1"/>
      <c r="J12477" s="1"/>
      <c r="K12477" s="1"/>
      <c r="L12477" s="1"/>
      <c r="M12477" s="1"/>
      <c r="N12477" s="1"/>
      <c r="O12477" s="1"/>
      <c r="P12477" s="1"/>
      <c r="Q12477" s="1"/>
      <c r="R12477" s="1"/>
      <c r="S12477" s="1"/>
      <c r="T12477" s="1"/>
      <c r="U12477" s="1"/>
      <c r="V12477" s="1"/>
      <c r="W12477" s="1"/>
      <c r="X12477" s="1"/>
      <c r="Y12477" s="1"/>
      <c r="Z12477" s="1"/>
      <c r="AA12477" s="1"/>
      <c r="AB12477" s="1"/>
    </row>
    <row r="12478" ht="50.25" customHeight="1">
      <c r="A12478" s="12">
        <v>12474.0</v>
      </c>
      <c r="B12478" s="13" t="s">
        <v>12266</v>
      </c>
      <c r="C12478" s="14" t="s">
        <v>12280</v>
      </c>
      <c r="D12478" s="1"/>
      <c r="E12478" s="1"/>
      <c r="F12478" s="1" t="str">
        <f>IFERROR(__xludf.DUMMYFUNCTION("GOOGLETRANSLATE(B12478, ""en"", ""fa"")
"),"سبک زندگی عشایری دیجیتال")</f>
        <v>سبک زندگی عشایری دیجیتال</v>
      </c>
      <c r="G12478" s="1" t="str">
        <f>IFERROR(__xludf.DUMMYFUNCTION("GOOGLETRANSLATE(C12478, ""en"", ""fa"")
"),"انجمن‌ها یا انجمن‌های محبوب عشایر دیجیتالی برای پیوستن به پشتیبانی و شبکه کدامند؟")</f>
        <v>انجمن‌ها یا انجمن‌های محبوب عشایر دیجیتالی برای پیوستن به پشتیبانی و شبکه کدامند؟</v>
      </c>
      <c r="H12478" s="1"/>
      <c r="I12478" s="1"/>
      <c r="J12478" s="1"/>
      <c r="K12478" s="1"/>
      <c r="L12478" s="1"/>
      <c r="M12478" s="1"/>
      <c r="N12478" s="1"/>
      <c r="O12478" s="1"/>
      <c r="P12478" s="1"/>
      <c r="Q12478" s="1"/>
      <c r="R12478" s="1"/>
      <c r="S12478" s="1"/>
      <c r="T12478" s="1"/>
      <c r="U12478" s="1"/>
      <c r="V12478" s="1"/>
      <c r="W12478" s="1"/>
      <c r="X12478" s="1"/>
      <c r="Y12478" s="1"/>
      <c r="Z12478" s="1"/>
      <c r="AA12478" s="1"/>
      <c r="AB12478" s="1"/>
    </row>
    <row r="12479" ht="50.25" customHeight="1">
      <c r="A12479" s="12">
        <v>12475.0</v>
      </c>
      <c r="B12479" s="13" t="s">
        <v>12266</v>
      </c>
      <c r="C12479" s="14" t="s">
        <v>12281</v>
      </c>
      <c r="D12479" s="1"/>
      <c r="E12479" s="1"/>
      <c r="F12479" s="1" t="str">
        <f>IFERROR(__xludf.DUMMYFUNCTION("GOOGLETRANSLATE(B12479, ""en"", ""fa"")
"),"سبک زندگی عشایری دیجیتال")</f>
        <v>سبک زندگی عشایری دیجیتال</v>
      </c>
      <c r="G12479" s="1" t="str">
        <f>IFERROR(__xludf.DUMMYFUNCTION("GOOGLETRANSLATE(C12479, ""en"", ""fa"")
"),"توصیه ای در مورد بسته بندی کارآمد و سبک برای سبک زندگی عشایری دارید؟")</f>
        <v>توصیه ای در مورد بسته بندی کارآمد و سبک برای سبک زندگی عشایری دارید؟</v>
      </c>
      <c r="H12479" s="1"/>
      <c r="I12479" s="1"/>
      <c r="J12479" s="1"/>
      <c r="K12479" s="1"/>
      <c r="L12479" s="1"/>
      <c r="M12479" s="1"/>
      <c r="N12479" s="1"/>
      <c r="O12479" s="1"/>
      <c r="P12479" s="1"/>
      <c r="Q12479" s="1"/>
      <c r="R12479" s="1"/>
      <c r="S12479" s="1"/>
      <c r="T12479" s="1"/>
      <c r="U12479" s="1"/>
      <c r="V12479" s="1"/>
      <c r="W12479" s="1"/>
      <c r="X12479" s="1"/>
      <c r="Y12479" s="1"/>
      <c r="Z12479" s="1"/>
      <c r="AA12479" s="1"/>
      <c r="AB12479" s="1"/>
    </row>
    <row r="12480" ht="50.25" customHeight="1">
      <c r="A12480" s="12">
        <v>12476.0</v>
      </c>
      <c r="B12480" s="13" t="s">
        <v>12266</v>
      </c>
      <c r="C12480" s="14" t="s">
        <v>12282</v>
      </c>
      <c r="D12480" s="1"/>
      <c r="E12480" s="1"/>
      <c r="F12480" s="1" t="str">
        <f>IFERROR(__xludf.DUMMYFUNCTION("GOOGLETRANSLATE(B12480, ""en"", ""fa"")
"),"سبک زندگی عشایری دیجیتال")</f>
        <v>سبک زندگی عشایری دیجیتال</v>
      </c>
      <c r="G12480" s="1" t="str">
        <f>IFERROR(__xludf.DUMMYFUNCTION("GOOGLETRANSLATE(C12480, ""en"", ""fa"")
"),"چگونه می توانم تعهدات کاری را با کاوش و تجربه مکان های جدید متعادل کنم؟")</f>
        <v>چگونه می توانم تعهدات کاری را با کاوش و تجربه مکان های جدید متعادل کنم؟</v>
      </c>
      <c r="H12480" s="1"/>
      <c r="I12480" s="1"/>
      <c r="J12480" s="1"/>
      <c r="K12480" s="1"/>
      <c r="L12480" s="1"/>
      <c r="M12480" s="1"/>
      <c r="N12480" s="1"/>
      <c r="O12480" s="1"/>
      <c r="P12480" s="1"/>
      <c r="Q12480" s="1"/>
      <c r="R12480" s="1"/>
      <c r="S12480" s="1"/>
      <c r="T12480" s="1"/>
      <c r="U12480" s="1"/>
      <c r="V12480" s="1"/>
      <c r="W12480" s="1"/>
      <c r="X12480" s="1"/>
      <c r="Y12480" s="1"/>
      <c r="Z12480" s="1"/>
      <c r="AA12480" s="1"/>
      <c r="AB12480" s="1"/>
    </row>
    <row r="12481" ht="50.25" customHeight="1">
      <c r="A12481" s="12">
        <v>12477.0</v>
      </c>
      <c r="B12481" s="13" t="s">
        <v>12266</v>
      </c>
      <c r="C12481" s="14" t="s">
        <v>12283</v>
      </c>
      <c r="D12481" s="1"/>
      <c r="E12481" s="1"/>
      <c r="F12481" s="1" t="str">
        <f>IFERROR(__xludf.DUMMYFUNCTION("GOOGLETRANSLATE(B12481, ""en"", ""fa"")
"),"سبک زندگی عشایری دیجیتال")</f>
        <v>سبک زندگی عشایری دیجیتال</v>
      </c>
      <c r="G12481" s="1" t="str">
        <f>IFERROR(__xludf.DUMMYFUNCTION("GOOGLETRANSLATE(C12481, ""en"", ""fa"")
"),"بهترین استراتژی‌ها برای مقابله با تفاوت‌های منطقه زمانی در حین کار از راه دور چیست؟")</f>
        <v>بهترین استراتژی‌ها برای مقابله با تفاوت‌های منطقه زمانی در حین کار از راه دور چیست؟</v>
      </c>
      <c r="H12481" s="1"/>
      <c r="I12481" s="1"/>
      <c r="J12481" s="1"/>
      <c r="K12481" s="1"/>
      <c r="L12481" s="1"/>
      <c r="M12481" s="1"/>
      <c r="N12481" s="1"/>
      <c r="O12481" s="1"/>
      <c r="P12481" s="1"/>
      <c r="Q12481" s="1"/>
      <c r="R12481" s="1"/>
      <c r="S12481" s="1"/>
      <c r="T12481" s="1"/>
      <c r="U12481" s="1"/>
      <c r="V12481" s="1"/>
      <c r="W12481" s="1"/>
      <c r="X12481" s="1"/>
      <c r="Y12481" s="1"/>
      <c r="Z12481" s="1"/>
      <c r="AA12481" s="1"/>
      <c r="AB12481" s="1"/>
    </row>
    <row r="12482" ht="50.25" customHeight="1">
      <c r="A12482" s="12">
        <v>12478.0</v>
      </c>
      <c r="B12482" s="13" t="s">
        <v>12266</v>
      </c>
      <c r="C12482" s="14" t="s">
        <v>12284</v>
      </c>
      <c r="D12482" s="1"/>
      <c r="E12482" s="1"/>
      <c r="F12482" s="1" t="str">
        <f>IFERROR(__xludf.DUMMYFUNCTION("GOOGLETRANSLATE(B12482, ""en"", ""fa"")
"),"سبک زندگی عشایری دیجیتال")</f>
        <v>سبک زندگی عشایری دیجیتال</v>
      </c>
      <c r="G12482" s="1" t="str">
        <f>IFERROR(__xludf.DUMMYFUNCTION("GOOGLETRANSLATE(C12482, ""en"", ""fa"")
"),"آیا می‌توانید فضاهای زندگی مشترک یا اقامتگاه‌های دیجیتالی عشایری را که حس اجتماع را تقویت می‌کنند، توصیه کنید؟")</f>
        <v>آیا می‌توانید فضاهای زندگی مشترک یا اقامتگاه‌های دیجیتالی عشایری را که حس اجتماع را تقویت می‌کنند، توصیه کنید؟</v>
      </c>
      <c r="H12482" s="1"/>
      <c r="I12482" s="1"/>
      <c r="J12482" s="1"/>
      <c r="K12482" s="1"/>
      <c r="L12482" s="1"/>
      <c r="M12482" s="1"/>
      <c r="N12482" s="1"/>
      <c r="O12482" s="1"/>
      <c r="P12482" s="1"/>
      <c r="Q12482" s="1"/>
      <c r="R12482" s="1"/>
      <c r="S12482" s="1"/>
      <c r="T12482" s="1"/>
      <c r="U12482" s="1"/>
      <c r="V12482" s="1"/>
      <c r="W12482" s="1"/>
      <c r="X12482" s="1"/>
      <c r="Y12482" s="1"/>
      <c r="Z12482" s="1"/>
      <c r="AA12482" s="1"/>
      <c r="AB12482" s="1"/>
    </row>
    <row r="12483" ht="50.25" customHeight="1">
      <c r="A12483" s="12">
        <v>12479.0</v>
      </c>
      <c r="B12483" s="13" t="s">
        <v>12266</v>
      </c>
      <c r="C12483" s="14" t="s">
        <v>12285</v>
      </c>
      <c r="D12483" s="1"/>
      <c r="E12483" s="1"/>
      <c r="F12483" s="1" t="str">
        <f>IFERROR(__xludf.DUMMYFUNCTION("GOOGLETRANSLATE(B12483, ""en"", ""fa"")
"),"سبک زندگی عشایری دیجیتال")</f>
        <v>سبک زندگی عشایری دیجیتال</v>
      </c>
      <c r="G12483" s="1" t="str">
        <f>IFERROR(__xludf.DUMMYFUNCTION("GOOGLETRANSLATE(C12483, ""en"", ""fa"")
"),"اقدامات ضروری امنیت سایبری هنگام کار از راه دور و استفاده از Wi-Fi عمومی چیست؟")</f>
        <v>اقدامات ضروری امنیت سایبری هنگام کار از راه دور و استفاده از Wi-Fi عمومی چیست؟</v>
      </c>
      <c r="H12483" s="1"/>
      <c r="I12483" s="1"/>
      <c r="J12483" s="1"/>
      <c r="K12483" s="1"/>
      <c r="L12483" s="1"/>
      <c r="M12483" s="1"/>
      <c r="N12483" s="1"/>
      <c r="O12483" s="1"/>
      <c r="P12483" s="1"/>
      <c r="Q12483" s="1"/>
      <c r="R12483" s="1"/>
      <c r="S12483" s="1"/>
      <c r="T12483" s="1"/>
      <c r="U12483" s="1"/>
      <c r="V12483" s="1"/>
      <c r="W12483" s="1"/>
      <c r="X12483" s="1"/>
      <c r="Y12483" s="1"/>
      <c r="Z12483" s="1"/>
      <c r="AA12483" s="1"/>
      <c r="AB12483" s="1"/>
    </row>
    <row r="12484" ht="50.25" customHeight="1">
      <c r="A12484" s="12">
        <v>12480.0</v>
      </c>
      <c r="B12484" s="13" t="s">
        <v>12266</v>
      </c>
      <c r="C12484" s="14" t="s">
        <v>12286</v>
      </c>
      <c r="D12484" s="1"/>
      <c r="E12484" s="1"/>
      <c r="F12484" s="1" t="str">
        <f>IFERROR(__xludf.DUMMYFUNCTION("GOOGLETRANSLATE(B12484, ""en"", ""fa"")
"),"سبک زندگی عشایری دیجیتال")</f>
        <v>سبک زندگی عشایری دیجیتال</v>
      </c>
      <c r="G12484" s="1" t="str">
        <f>IFERROR(__xludf.DUMMYFUNCTION("GOOGLETRANSLATE(C12484, ""en"", ""fa"")
"),"آیا توصیه ای برای غلبه بر چالش ها و تنهایی که ممکن است هنگام زندگی در سبک زندگی عشایری دیجیتالی ایجاد شود؟")</f>
        <v>آیا توصیه ای برای غلبه بر چالش ها و تنهایی که ممکن است هنگام زندگی در سبک زندگی عشایری دیجیتالی ایجاد شود؟</v>
      </c>
      <c r="H12484" s="1"/>
      <c r="I12484" s="1"/>
      <c r="J12484" s="1"/>
      <c r="K12484" s="1"/>
      <c r="L12484" s="1"/>
      <c r="M12484" s="1"/>
      <c r="N12484" s="1"/>
      <c r="O12484" s="1"/>
      <c r="P12484" s="1"/>
      <c r="Q12484" s="1"/>
      <c r="R12484" s="1"/>
      <c r="S12484" s="1"/>
      <c r="T12484" s="1"/>
      <c r="U12484" s="1"/>
      <c r="V12484" s="1"/>
      <c r="W12484" s="1"/>
      <c r="X12484" s="1"/>
      <c r="Y12484" s="1"/>
      <c r="Z12484" s="1"/>
      <c r="AA12484" s="1"/>
      <c r="AB12484" s="1"/>
    </row>
    <row r="12485" ht="50.25" customHeight="1">
      <c r="A12485" s="12">
        <v>12481.0</v>
      </c>
      <c r="B12485" s="13" t="s">
        <v>12266</v>
      </c>
      <c r="C12485" s="14" t="s">
        <v>12287</v>
      </c>
      <c r="D12485" s="1"/>
      <c r="E12485" s="1"/>
      <c r="F12485" s="1" t="str">
        <f>IFERROR(__xludf.DUMMYFUNCTION("GOOGLETRANSLATE(B12485, ""en"", ""fa"")
"),"سبک زندگی عشایری دیجیتال")</f>
        <v>سبک زندگی عشایری دیجیتال</v>
      </c>
      <c r="G12485" s="1" t="str">
        <f>IFERROR(__xludf.DUMMYFUNCTION("GOOGLETRANSLATE(C12485, ""en"", ""fa"")
"),"چگونه می توانم تدارکات سفر را مدیریت کنم و برنامه سفر خود را به عنوان یک عشایر دیجیتال به طور موثر برنامه ریزی کنم؟")</f>
        <v>چگونه می توانم تدارکات سفر را مدیریت کنم و برنامه سفر خود را به عنوان یک عشایر دیجیتال به طور موثر برنامه ریزی کنم؟</v>
      </c>
      <c r="H12485" s="1"/>
      <c r="I12485" s="1"/>
      <c r="J12485" s="1"/>
      <c r="K12485" s="1"/>
      <c r="L12485" s="1"/>
      <c r="M12485" s="1"/>
      <c r="N12485" s="1"/>
      <c r="O12485" s="1"/>
      <c r="P12485" s="1"/>
      <c r="Q12485" s="1"/>
      <c r="R12485" s="1"/>
      <c r="S12485" s="1"/>
      <c r="T12485" s="1"/>
      <c r="U12485" s="1"/>
      <c r="V12485" s="1"/>
      <c r="W12485" s="1"/>
      <c r="X12485" s="1"/>
      <c r="Y12485" s="1"/>
      <c r="Z12485" s="1"/>
      <c r="AA12485" s="1"/>
      <c r="AB12485" s="1"/>
    </row>
    <row r="12486" ht="50.25" customHeight="1">
      <c r="A12486" s="12">
        <v>12482.0</v>
      </c>
      <c r="B12486" s="13" t="s">
        <v>12266</v>
      </c>
      <c r="C12486" s="14" t="s">
        <v>12288</v>
      </c>
      <c r="D12486" s="1"/>
      <c r="E12486" s="1"/>
      <c r="F12486" s="1" t="str">
        <f>IFERROR(__xludf.DUMMYFUNCTION("GOOGLETRANSLATE(B12486, ""en"", ""fa"")
"),"سبک زندگی عشایری دیجیتال")</f>
        <v>سبک زندگی عشایری دیجیتال</v>
      </c>
      <c r="G12486" s="1" t="str">
        <f>IFERROR(__xludf.DUMMYFUNCTION("GOOGLETRANSLATE(C12486, ""en"", ""fa"")
"),"بهترین وب سایت ها یا پلتفرم ها برای یافتن اجاره های کوتاه مدت در شهرهای مختلف کدامند؟")</f>
        <v>بهترین وب سایت ها یا پلتفرم ها برای یافتن اجاره های کوتاه مدت در شهرهای مختلف کدامند؟</v>
      </c>
      <c r="H12486" s="1"/>
      <c r="I12486" s="1"/>
      <c r="J12486" s="1"/>
      <c r="K12486" s="1"/>
      <c r="L12486" s="1"/>
      <c r="M12486" s="1"/>
      <c r="N12486" s="1"/>
      <c r="O12486" s="1"/>
      <c r="P12486" s="1"/>
      <c r="Q12486" s="1"/>
      <c r="R12486" s="1"/>
      <c r="S12486" s="1"/>
      <c r="T12486" s="1"/>
      <c r="U12486" s="1"/>
      <c r="V12486" s="1"/>
      <c r="W12486" s="1"/>
      <c r="X12486" s="1"/>
      <c r="Y12486" s="1"/>
      <c r="Z12486" s="1"/>
      <c r="AA12486" s="1"/>
      <c r="AB12486" s="1"/>
    </row>
    <row r="12487" ht="50.25" customHeight="1">
      <c r="A12487" s="12">
        <v>12483.0</v>
      </c>
      <c r="B12487" s="13" t="s">
        <v>12266</v>
      </c>
      <c r="C12487" s="14" t="s">
        <v>12289</v>
      </c>
      <c r="D12487" s="1"/>
      <c r="E12487" s="1"/>
      <c r="F12487" s="1" t="str">
        <f>IFERROR(__xludf.DUMMYFUNCTION("GOOGLETRANSLATE(B12487, ""en"", ""fa"")
"),"سبک زندگی عشایری دیجیتال")</f>
        <v>سبک زندگی عشایری دیجیتال</v>
      </c>
      <c r="G12487" s="1" t="str">
        <f>IFERROR(__xludf.DUMMYFUNCTION("GOOGLETRANSLATE(C12487, ""en"", ""fa"")
"),"آیا راهنمایی برای یافتن جلسات یا رویدادهای محلی برای ارتباط با دیگر عشایر دیجیتال در [مکان خاص]؟")</f>
        <v>آیا راهنمایی برای یافتن جلسات یا رویدادهای محلی برای ارتباط با دیگر عشایر دیجیتال در [مکان خاص]؟</v>
      </c>
      <c r="H12487" s="1"/>
      <c r="I12487" s="1"/>
      <c r="J12487" s="1"/>
      <c r="K12487" s="1"/>
      <c r="L12487" s="1"/>
      <c r="M12487" s="1"/>
      <c r="N12487" s="1"/>
      <c r="O12487" s="1"/>
      <c r="P12487" s="1"/>
      <c r="Q12487" s="1"/>
      <c r="R12487" s="1"/>
      <c r="S12487" s="1"/>
      <c r="T12487" s="1"/>
      <c r="U12487" s="1"/>
      <c r="V12487" s="1"/>
      <c r="W12487" s="1"/>
      <c r="X12487" s="1"/>
      <c r="Y12487" s="1"/>
      <c r="Z12487" s="1"/>
      <c r="AA12487" s="1"/>
      <c r="AB12487" s="1"/>
    </row>
    <row r="12488" ht="50.25" customHeight="1">
      <c r="A12488" s="12">
        <v>12484.0</v>
      </c>
      <c r="B12488" s="13" t="s">
        <v>12266</v>
      </c>
      <c r="C12488" s="14" t="s">
        <v>12290</v>
      </c>
      <c r="D12488" s="1"/>
      <c r="E12488" s="1"/>
      <c r="F12488" s="1" t="str">
        <f>IFERROR(__xludf.DUMMYFUNCTION("GOOGLETRANSLATE(B12488, ""en"", ""fa"")
"),"سبک زندگی عشایری دیجیتال")</f>
        <v>سبک زندگی عشایری دیجیتال</v>
      </c>
      <c r="G12488" s="1" t="str">
        <f>IFERROR(__xludf.DUMMYFUNCTION("GOOGLETRANSLATE(C12488, ""en"", ""fa"")
"),"چگونه می توانم در محیط های جدید و بالقوه حواس پرتی سازنده و متمرکز بمانم؟")</f>
        <v>چگونه می توانم در محیط های جدید و بالقوه حواس پرتی سازنده و متمرکز بمانم؟</v>
      </c>
      <c r="H12488" s="1"/>
      <c r="I12488" s="1"/>
      <c r="J12488" s="1"/>
      <c r="K12488" s="1"/>
      <c r="L12488" s="1"/>
      <c r="M12488" s="1"/>
      <c r="N12488" s="1"/>
      <c r="O12488" s="1"/>
      <c r="P12488" s="1"/>
      <c r="Q12488" s="1"/>
      <c r="R12488" s="1"/>
      <c r="S12488" s="1"/>
      <c r="T12488" s="1"/>
      <c r="U12488" s="1"/>
      <c r="V12488" s="1"/>
      <c r="W12488" s="1"/>
      <c r="X12488" s="1"/>
      <c r="Y12488" s="1"/>
      <c r="Z12488" s="1"/>
      <c r="AA12488" s="1"/>
      <c r="AB12488" s="1"/>
    </row>
    <row r="12489" ht="50.25" customHeight="1">
      <c r="A12489" s="12">
        <v>12485.0</v>
      </c>
      <c r="B12489" s="13" t="s">
        <v>12266</v>
      </c>
      <c r="C12489" s="14" t="s">
        <v>12291</v>
      </c>
      <c r="D12489" s="1"/>
      <c r="E12489" s="1"/>
      <c r="F12489" s="1" t="str">
        <f>IFERROR(__xludf.DUMMYFUNCTION("GOOGLETRANSLATE(B12489, ""en"", ""fa"")
"),"سبک زندگی عشایری دیجیتال")</f>
        <v>سبک زندگی عشایری دیجیتال</v>
      </c>
      <c r="G12489" s="1" t="str">
        <f>IFERROR(__xludf.DUMMYFUNCTION("GOOGLETRANSLATE(C12489, ""en"", ""fa"")
"),"مطمئن ترین ابزارهای آنلاین برای مدیریت امور مالی و ردیابی هزینه ها در عشایر چیست؟")</f>
        <v>مطمئن ترین ابزارهای آنلاین برای مدیریت امور مالی و ردیابی هزینه ها در عشایر چیست؟</v>
      </c>
      <c r="H12489" s="1"/>
      <c r="I12489" s="1"/>
      <c r="J12489" s="1"/>
      <c r="K12489" s="1"/>
      <c r="L12489" s="1"/>
      <c r="M12489" s="1"/>
      <c r="N12489" s="1"/>
      <c r="O12489" s="1"/>
      <c r="P12489" s="1"/>
      <c r="Q12489" s="1"/>
      <c r="R12489" s="1"/>
      <c r="S12489" s="1"/>
      <c r="T12489" s="1"/>
      <c r="U12489" s="1"/>
      <c r="V12489" s="1"/>
      <c r="W12489" s="1"/>
      <c r="X12489" s="1"/>
      <c r="Y12489" s="1"/>
      <c r="Z12489" s="1"/>
      <c r="AA12489" s="1"/>
      <c r="AB12489" s="1"/>
    </row>
    <row r="12490" ht="50.25" customHeight="1">
      <c r="A12490" s="12">
        <v>12486.0</v>
      </c>
      <c r="B12490" s="13" t="s">
        <v>12266</v>
      </c>
      <c r="C12490" s="14" t="s">
        <v>12292</v>
      </c>
      <c r="D12490" s="1"/>
      <c r="E12490" s="1"/>
      <c r="F12490" s="1" t="str">
        <f>IFERROR(__xludf.DUMMYFUNCTION("GOOGLETRANSLATE(B12490, ""en"", ""fa"")
"),"سبک زندگی عشایری دیجیتال")</f>
        <v>سبک زندگی عشایری دیجیتال</v>
      </c>
      <c r="G12490" s="1" t="str">
        <f>IFERROR(__xludf.DUMMYFUNCTION("GOOGLETRANSLATE(C12490, ""en"", ""fa"")
"),"آیا می توانید کوله پشتی یا چمدان مناسب برای عشایر دیجیتالی را توصیه کنید؟")</f>
        <v>آیا می توانید کوله پشتی یا چمدان مناسب برای عشایر دیجیتالی را توصیه کنید؟</v>
      </c>
      <c r="H12490" s="1"/>
      <c r="I12490" s="1"/>
      <c r="J12490" s="1"/>
      <c r="K12490" s="1"/>
      <c r="L12490" s="1"/>
      <c r="M12490" s="1"/>
      <c r="N12490" s="1"/>
      <c r="O12490" s="1"/>
      <c r="P12490" s="1"/>
      <c r="Q12490" s="1"/>
      <c r="R12490" s="1"/>
      <c r="S12490" s="1"/>
      <c r="T12490" s="1"/>
      <c r="U12490" s="1"/>
      <c r="V12490" s="1"/>
      <c r="W12490" s="1"/>
      <c r="X12490" s="1"/>
      <c r="Y12490" s="1"/>
      <c r="Z12490" s="1"/>
      <c r="AA12490" s="1"/>
      <c r="AB12490" s="1"/>
    </row>
    <row r="12491" ht="50.25" customHeight="1">
      <c r="A12491" s="12">
        <v>12487.0</v>
      </c>
      <c r="B12491" s="13" t="s">
        <v>12266</v>
      </c>
      <c r="C12491" s="14" t="s">
        <v>12293</v>
      </c>
      <c r="D12491" s="1"/>
      <c r="E12491" s="1"/>
      <c r="F12491" s="1" t="str">
        <f>IFERROR(__xludf.DUMMYFUNCTION("GOOGLETRANSLATE(B12491, ""en"", ""fa"")
"),"سبک زندگی عشایری دیجیتال")</f>
        <v>سبک زندگی عشایری دیجیتال</v>
      </c>
      <c r="G12491" s="1" t="str">
        <f>IFERROR(__xludf.DUMMYFUNCTION("GOOGLETRANSLATE(C12491, ""en"", ""fa"")
"),"برنامه های ضروری برای ترجمه و ارتباط زبان در کشورهای خارجی چیست؟")</f>
        <v>برنامه های ضروری برای ترجمه و ارتباط زبان در کشورهای خارجی چیست؟</v>
      </c>
      <c r="H12491" s="1"/>
      <c r="I12491" s="1"/>
      <c r="J12491" s="1"/>
      <c r="K12491" s="1"/>
      <c r="L12491" s="1"/>
      <c r="M12491" s="1"/>
      <c r="N12491" s="1"/>
      <c r="O12491" s="1"/>
      <c r="P12491" s="1"/>
      <c r="Q12491" s="1"/>
      <c r="R12491" s="1"/>
      <c r="S12491" s="1"/>
      <c r="T12491" s="1"/>
      <c r="U12491" s="1"/>
      <c r="V12491" s="1"/>
      <c r="W12491" s="1"/>
      <c r="X12491" s="1"/>
      <c r="Y12491" s="1"/>
      <c r="Z12491" s="1"/>
      <c r="AA12491" s="1"/>
      <c r="AB12491" s="1"/>
    </row>
    <row r="12492" ht="50.25" customHeight="1">
      <c r="A12492" s="12">
        <v>12488.0</v>
      </c>
      <c r="B12492" s="13" t="s">
        <v>12266</v>
      </c>
      <c r="C12492" s="14" t="s">
        <v>12294</v>
      </c>
      <c r="D12492" s="1"/>
      <c r="E12492" s="1"/>
      <c r="F12492" s="1" t="str">
        <f>IFERROR(__xludf.DUMMYFUNCTION("GOOGLETRANSLATE(B12492, ""en"", ""fa"")
"),"سبک زندگی عشایری دیجیتال")</f>
        <v>سبک زندگی عشایری دیجیتال</v>
      </c>
      <c r="G12492" s="1" t="str">
        <f>IFERROR(__xludf.DUMMYFUNCTION("GOOGLETRANSLATE(C12492, ""en"", ""fa"")
"),"چگونه می توانم یک فضای کاری قابل حمل و کارآمد برای سازگاری با مکان های مختلف بسازم؟")</f>
        <v>چگونه می توانم یک فضای کاری قابل حمل و کارآمد برای سازگاری با مکان های مختلف بسازم؟</v>
      </c>
      <c r="H12492" s="1"/>
      <c r="I12492" s="1"/>
      <c r="J12492" s="1"/>
      <c r="K12492" s="1"/>
      <c r="L12492" s="1"/>
      <c r="M12492" s="1"/>
      <c r="N12492" s="1"/>
      <c r="O12492" s="1"/>
      <c r="P12492" s="1"/>
      <c r="Q12492" s="1"/>
      <c r="R12492" s="1"/>
      <c r="S12492" s="1"/>
      <c r="T12492" s="1"/>
      <c r="U12492" s="1"/>
      <c r="V12492" s="1"/>
      <c r="W12492" s="1"/>
      <c r="X12492" s="1"/>
      <c r="Y12492" s="1"/>
      <c r="Z12492" s="1"/>
      <c r="AA12492" s="1"/>
      <c r="AB12492" s="1"/>
    </row>
    <row r="12493" ht="50.25" customHeight="1">
      <c r="A12493" s="12">
        <v>12489.0</v>
      </c>
      <c r="B12493" s="13" t="s">
        <v>12266</v>
      </c>
      <c r="C12493" s="14" t="s">
        <v>12295</v>
      </c>
      <c r="D12493" s="1"/>
      <c r="E12493" s="1"/>
      <c r="F12493" s="1" t="str">
        <f>IFERROR(__xludf.DUMMYFUNCTION("GOOGLETRANSLATE(B12493, ""en"", ""fa"")
"),"سبک زندگی عشایری دیجیتال")</f>
        <v>سبک زندگی عشایری دیجیتال</v>
      </c>
      <c r="G12493" s="1" t="str">
        <f>IFERROR(__xludf.DUMMYFUNCTION("GOOGLETRANSLATE(C12493, ""en"", ""fa"")
"),"توصیه ای در مورد برخورد با تفاوت های فرهنگی و رعایت آداب و رسوم محلی در سفر دارید؟")</f>
        <v>توصیه ای در مورد برخورد با تفاوت های فرهنگی و رعایت آداب و رسوم محلی در سفر دارید؟</v>
      </c>
      <c r="H12493" s="1"/>
      <c r="I12493" s="1"/>
      <c r="J12493" s="1"/>
      <c r="K12493" s="1"/>
      <c r="L12493" s="1"/>
      <c r="M12493" s="1"/>
      <c r="N12493" s="1"/>
      <c r="O12493" s="1"/>
      <c r="P12493" s="1"/>
      <c r="Q12493" s="1"/>
      <c r="R12493" s="1"/>
      <c r="S12493" s="1"/>
      <c r="T12493" s="1"/>
      <c r="U12493" s="1"/>
      <c r="V12493" s="1"/>
      <c r="W12493" s="1"/>
      <c r="X12493" s="1"/>
      <c r="Y12493" s="1"/>
      <c r="Z12493" s="1"/>
      <c r="AA12493" s="1"/>
      <c r="AB12493" s="1"/>
    </row>
    <row r="12494" ht="50.25" customHeight="1">
      <c r="A12494" s="12">
        <v>12490.0</v>
      </c>
      <c r="B12494" s="13" t="s">
        <v>12266</v>
      </c>
      <c r="C12494" s="14" t="s">
        <v>12296</v>
      </c>
      <c r="D12494" s="1"/>
      <c r="E12494" s="1"/>
      <c r="F12494" s="1" t="str">
        <f>IFERROR(__xludf.DUMMYFUNCTION("GOOGLETRANSLATE(B12494, ""en"", ""fa"")
"),"سبک زندگی عشایری دیجیتال")</f>
        <v>سبک زندگی عشایری دیجیتال</v>
      </c>
      <c r="G12494" s="1" t="str">
        <f>IFERROR(__xludf.DUMMYFUNCTION("GOOGLETRANSLATE(C12494, ""en"", ""fa"")
"),"بهترین شیوه ها برای رسیدگی به نیازهای بهداشتی و پزشکی به عنوان یک عشایر دیجیتال چیست؟")</f>
        <v>بهترین شیوه ها برای رسیدگی به نیازهای بهداشتی و پزشکی به عنوان یک عشایر دیجیتال چیست؟</v>
      </c>
      <c r="H12494" s="1"/>
      <c r="I12494" s="1"/>
      <c r="J12494" s="1"/>
      <c r="K12494" s="1"/>
      <c r="L12494" s="1"/>
      <c r="M12494" s="1"/>
      <c r="N12494" s="1"/>
      <c r="O12494" s="1"/>
      <c r="P12494" s="1"/>
      <c r="Q12494" s="1"/>
      <c r="R12494" s="1"/>
      <c r="S12494" s="1"/>
      <c r="T12494" s="1"/>
      <c r="U12494" s="1"/>
      <c r="V12494" s="1"/>
      <c r="W12494" s="1"/>
      <c r="X12494" s="1"/>
      <c r="Y12494" s="1"/>
      <c r="Z12494" s="1"/>
      <c r="AA12494" s="1"/>
      <c r="AB12494" s="1"/>
    </row>
    <row r="12495" ht="50.25" customHeight="1">
      <c r="A12495" s="12">
        <v>12491.0</v>
      </c>
      <c r="B12495" s="13" t="s">
        <v>12266</v>
      </c>
      <c r="C12495" s="14" t="s">
        <v>12297</v>
      </c>
      <c r="D12495" s="1"/>
      <c r="E12495" s="1"/>
      <c r="F12495" s="1" t="str">
        <f>IFERROR(__xludf.DUMMYFUNCTION("GOOGLETRANSLATE(B12495, ""en"", ""fa"")
"),"سبک زندگی عشایری دیجیتال")</f>
        <v>سبک زندگی عشایری دیجیتال</v>
      </c>
      <c r="G12495" s="1" t="str">
        <f>IFERROR(__xludf.DUMMYFUNCTION("GOOGLETRANSLATE(C12495, ""en"", ""fa"")
"),"چگونه می توانم در حین حرکت مداوم حس روتین و ساختار را حفظ کنم؟")</f>
        <v>چگونه می توانم در حین حرکت مداوم حس روتین و ساختار را حفظ کنم؟</v>
      </c>
      <c r="H12495" s="1"/>
      <c r="I12495" s="1"/>
      <c r="J12495" s="1"/>
      <c r="K12495" s="1"/>
      <c r="L12495" s="1"/>
      <c r="M12495" s="1"/>
      <c r="N12495" s="1"/>
      <c r="O12495" s="1"/>
      <c r="P12495" s="1"/>
      <c r="Q12495" s="1"/>
      <c r="R12495" s="1"/>
      <c r="S12495" s="1"/>
      <c r="T12495" s="1"/>
      <c r="U12495" s="1"/>
      <c r="V12495" s="1"/>
      <c r="W12495" s="1"/>
      <c r="X12495" s="1"/>
      <c r="Y12495" s="1"/>
      <c r="Z12495" s="1"/>
      <c r="AA12495" s="1"/>
      <c r="AB12495" s="1"/>
    </row>
    <row r="12496" ht="50.25" customHeight="1">
      <c r="A12496" s="12">
        <v>12492.0</v>
      </c>
      <c r="B12496" s="13" t="s">
        <v>12266</v>
      </c>
      <c r="C12496" s="14" t="s">
        <v>12298</v>
      </c>
      <c r="D12496" s="1"/>
      <c r="E12496" s="1"/>
      <c r="F12496" s="1" t="str">
        <f>IFERROR(__xludf.DUMMYFUNCTION("GOOGLETRANSLATE(B12496, ""en"", ""fa"")
"),"سبک زندگی عشایری دیجیتال")</f>
        <v>سبک زندگی عشایری دیجیتال</v>
      </c>
      <c r="G12496" s="1" t="str">
        <f>IFERROR(__xludf.DUMMYFUNCTION("GOOGLETRANSLATE(C12496,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496" s="1"/>
      <c r="I12496" s="1"/>
      <c r="J12496" s="1"/>
      <c r="K12496" s="1"/>
      <c r="L12496" s="1"/>
      <c r="M12496" s="1"/>
      <c r="N12496" s="1"/>
      <c r="O12496" s="1"/>
      <c r="P12496" s="1"/>
      <c r="Q12496" s="1"/>
      <c r="R12496" s="1"/>
      <c r="S12496" s="1"/>
      <c r="T12496" s="1"/>
      <c r="U12496" s="1"/>
      <c r="V12496" s="1"/>
      <c r="W12496" s="1"/>
      <c r="X12496" s="1"/>
      <c r="Y12496" s="1"/>
      <c r="Z12496" s="1"/>
      <c r="AA12496" s="1"/>
      <c r="AB12496" s="1"/>
    </row>
    <row r="12497" ht="50.25" customHeight="1">
      <c r="A12497" s="12">
        <v>12493.0</v>
      </c>
      <c r="B12497" s="13" t="s">
        <v>12266</v>
      </c>
      <c r="C12497" s="14" t="s">
        <v>12299</v>
      </c>
      <c r="D12497" s="1"/>
      <c r="E12497" s="1"/>
      <c r="F12497" s="1" t="str">
        <f>IFERROR(__xludf.DUMMYFUNCTION("GOOGLETRANSLATE(B12497, ""en"", ""fa"")
"),"سبک زندگی عشایری دیجیتال")</f>
        <v>سبک زندگی عشایری دیجیتال</v>
      </c>
      <c r="G12497" s="1" t="str">
        <f>IFERROR(__xludf.DUMMYFUNCTION("GOOGLETRANSLATE(C12497, ""en"", ""fa"")
"),"نقاط و مقاصد محبوب عشایر دیجیتال برای هر فصل کدامند؟")</f>
        <v>نقاط و مقاصد محبوب عشایر دیجیتال برای هر فصل کدامند؟</v>
      </c>
      <c r="H12497" s="1"/>
      <c r="I12497" s="1"/>
      <c r="J12497" s="1"/>
      <c r="K12497" s="1"/>
      <c r="L12497" s="1"/>
      <c r="M12497" s="1"/>
      <c r="N12497" s="1"/>
      <c r="O12497" s="1"/>
      <c r="P12497" s="1"/>
      <c r="Q12497" s="1"/>
      <c r="R12497" s="1"/>
      <c r="S12497" s="1"/>
      <c r="T12497" s="1"/>
      <c r="U12497" s="1"/>
      <c r="V12497" s="1"/>
      <c r="W12497" s="1"/>
      <c r="X12497" s="1"/>
      <c r="Y12497" s="1"/>
      <c r="Z12497" s="1"/>
      <c r="AA12497" s="1"/>
      <c r="AB12497" s="1"/>
    </row>
    <row r="12498" ht="50.25" customHeight="1">
      <c r="A12498" s="12">
        <v>12494.0</v>
      </c>
      <c r="B12498" s="13" t="s">
        <v>12266</v>
      </c>
      <c r="C12498" s="14" t="s">
        <v>12300</v>
      </c>
      <c r="D12498" s="1"/>
      <c r="E12498" s="1"/>
      <c r="F12498" s="1" t="str">
        <f>IFERROR(__xludf.DUMMYFUNCTION("GOOGLETRANSLATE(B12498, ""en"", ""fa"")
"),"سبک زندگی عشایری دیجیتال")</f>
        <v>سبک زندگی عشایری دیجیتال</v>
      </c>
      <c r="G12498" s="1" t="str">
        <f>IFERROR(__xludf.DUMMYFUNCTION("GOOGLETRANSLATE(C12498,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498" s="1"/>
      <c r="I12498" s="1"/>
      <c r="J12498" s="1"/>
      <c r="K12498" s="1"/>
      <c r="L12498" s="1"/>
      <c r="M12498" s="1"/>
      <c r="N12498" s="1"/>
      <c r="O12498" s="1"/>
      <c r="P12498" s="1"/>
      <c r="Q12498" s="1"/>
      <c r="R12498" s="1"/>
      <c r="S12498" s="1"/>
      <c r="T12498" s="1"/>
      <c r="U12498" s="1"/>
      <c r="V12498" s="1"/>
      <c r="W12498" s="1"/>
      <c r="X12498" s="1"/>
      <c r="Y12498" s="1"/>
      <c r="Z12498" s="1"/>
      <c r="AA12498" s="1"/>
      <c r="AB12498" s="1"/>
    </row>
    <row r="12499" ht="50.25" customHeight="1">
      <c r="A12499" s="12">
        <v>12495.0</v>
      </c>
      <c r="B12499" s="13" t="s">
        <v>12266</v>
      </c>
      <c r="C12499" s="14" t="s">
        <v>12301</v>
      </c>
      <c r="D12499" s="1"/>
      <c r="E12499" s="1"/>
      <c r="F12499" s="1" t="str">
        <f>IFERROR(__xludf.DUMMYFUNCTION("GOOGLETRANSLATE(B12499, ""en"", ""fa"")
"),"سبک زندگی عشایری دیجیتال")</f>
        <v>سبک زندگی عشایری دیجیتال</v>
      </c>
      <c r="G12499" s="1" t="str">
        <f>IFERROR(__xludf.DUMMYFUNCTION("GOOGLETRANSLATE(C12499,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499" s="1"/>
      <c r="I12499" s="1"/>
      <c r="J12499" s="1"/>
      <c r="K12499" s="1"/>
      <c r="L12499" s="1"/>
      <c r="M12499" s="1"/>
      <c r="N12499" s="1"/>
      <c r="O12499" s="1"/>
      <c r="P12499" s="1"/>
      <c r="Q12499" s="1"/>
      <c r="R12499" s="1"/>
      <c r="S12499" s="1"/>
      <c r="T12499" s="1"/>
      <c r="U12499" s="1"/>
      <c r="V12499" s="1"/>
      <c r="W12499" s="1"/>
      <c r="X12499" s="1"/>
      <c r="Y12499" s="1"/>
      <c r="Z12499" s="1"/>
      <c r="AA12499" s="1"/>
      <c r="AB12499" s="1"/>
    </row>
    <row r="12500" ht="50.25" customHeight="1">
      <c r="A12500" s="12">
        <v>12496.0</v>
      </c>
      <c r="B12500" s="13" t="s">
        <v>12266</v>
      </c>
      <c r="C12500" s="14" t="s">
        <v>12302</v>
      </c>
      <c r="D12500" s="1"/>
      <c r="E12500" s="1"/>
      <c r="F12500" s="1" t="str">
        <f>IFERROR(__xludf.DUMMYFUNCTION("GOOGLETRANSLATE(B12500, ""en"", ""fa"")
"),"سبک زندگی عشایری دیجیتال")</f>
        <v>سبک زندگی عشایری دیجیتال</v>
      </c>
      <c r="G12500" s="1" t="str">
        <f>IFERROR(__xludf.DUMMYFUNCTION("GOOGLETRANSLATE(C12500,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500" s="1"/>
      <c r="I12500" s="1"/>
      <c r="J12500" s="1"/>
      <c r="K12500" s="1"/>
      <c r="L12500" s="1"/>
      <c r="M12500" s="1"/>
      <c r="N12500" s="1"/>
      <c r="O12500" s="1"/>
      <c r="P12500" s="1"/>
      <c r="Q12500" s="1"/>
      <c r="R12500" s="1"/>
      <c r="S12500" s="1"/>
      <c r="T12500" s="1"/>
      <c r="U12500" s="1"/>
      <c r="V12500" s="1"/>
      <c r="W12500" s="1"/>
      <c r="X12500" s="1"/>
      <c r="Y12500" s="1"/>
      <c r="Z12500" s="1"/>
      <c r="AA12500" s="1"/>
      <c r="AB12500" s="1"/>
    </row>
    <row r="12501" ht="50.25" customHeight="1">
      <c r="A12501" s="12">
        <v>12497.0</v>
      </c>
      <c r="B12501" s="13" t="s">
        <v>12266</v>
      </c>
      <c r="C12501" s="14" t="s">
        <v>12303</v>
      </c>
      <c r="D12501" s="1"/>
      <c r="E12501" s="1"/>
      <c r="F12501" s="1" t="str">
        <f>IFERROR(__xludf.DUMMYFUNCTION("GOOGLETRANSLATE(B12501, ""en"", ""fa"")
"),"سبک زندگی عشایری دیجیتال")</f>
        <v>سبک زندگی عشایری دیجیتال</v>
      </c>
      <c r="G12501" s="1" t="str">
        <f>IFERROR(__xludf.DUMMYFUNCTION("GOOGLETRANSLATE(C12501,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501" s="1"/>
      <c r="I12501" s="1"/>
      <c r="J12501" s="1"/>
      <c r="K12501" s="1"/>
      <c r="L12501" s="1"/>
      <c r="M12501" s="1"/>
      <c r="N12501" s="1"/>
      <c r="O12501" s="1"/>
      <c r="P12501" s="1"/>
      <c r="Q12501" s="1"/>
      <c r="R12501" s="1"/>
      <c r="S12501" s="1"/>
      <c r="T12501" s="1"/>
      <c r="U12501" s="1"/>
      <c r="V12501" s="1"/>
      <c r="W12501" s="1"/>
      <c r="X12501" s="1"/>
      <c r="Y12501" s="1"/>
      <c r="Z12501" s="1"/>
      <c r="AA12501" s="1"/>
      <c r="AB12501" s="1"/>
    </row>
    <row r="12502" ht="50.25" customHeight="1">
      <c r="A12502" s="12">
        <v>12498.0</v>
      </c>
      <c r="B12502" s="13" t="s">
        <v>12266</v>
      </c>
      <c r="C12502" s="14" t="s">
        <v>12304</v>
      </c>
      <c r="D12502" s="1"/>
      <c r="E12502" s="1"/>
      <c r="F12502" s="1" t="str">
        <f>IFERROR(__xludf.DUMMYFUNCTION("GOOGLETRANSLATE(B12502, ""en"", ""fa"")
"),"سبک زندگی عشایری دیجیتال")</f>
        <v>سبک زندگی عشایری دیجیتال</v>
      </c>
      <c r="G12502" s="1" t="str">
        <f>IFERROR(__xludf.DUMMYFUNCTION("GOOGLETRANSLATE(C12502, ""en"", ""fa"")
"),"آیا می توانید راهبردهایی را برای ایجاد تعادل بین تعهدات کاری با اوقات فراغت و اکتشاف پیشنهاد کنید؟")</f>
        <v>آیا می توانید راهبردهایی را برای ایجاد تعادل بین تعهدات کاری با اوقات فراغت و اکتشاف پیشنهاد کنید؟</v>
      </c>
      <c r="H12502" s="1"/>
      <c r="I12502" s="1"/>
      <c r="J12502" s="1"/>
      <c r="K12502" s="1"/>
      <c r="L12502" s="1"/>
      <c r="M12502" s="1"/>
      <c r="N12502" s="1"/>
      <c r="O12502" s="1"/>
      <c r="P12502" s="1"/>
      <c r="Q12502" s="1"/>
      <c r="R12502" s="1"/>
      <c r="S12502" s="1"/>
      <c r="T12502" s="1"/>
      <c r="U12502" s="1"/>
      <c r="V12502" s="1"/>
      <c r="W12502" s="1"/>
      <c r="X12502" s="1"/>
      <c r="Y12502" s="1"/>
      <c r="Z12502" s="1"/>
      <c r="AA12502" s="1"/>
      <c r="AB12502" s="1"/>
    </row>
    <row r="12503" ht="50.25" customHeight="1">
      <c r="A12503" s="12">
        <v>12499.0</v>
      </c>
      <c r="B12503" s="13" t="s">
        <v>12266</v>
      </c>
      <c r="C12503" s="14" t="s">
        <v>12305</v>
      </c>
      <c r="D12503" s="1"/>
      <c r="E12503" s="1"/>
      <c r="F12503" s="1" t="str">
        <f>IFERROR(__xludf.DUMMYFUNCTION("GOOGLETRANSLATE(B12503, ""en"", ""fa"")
"),"سبک زندگی عشایری دیجیتال")</f>
        <v>سبک زندگی عشایری دیجیتال</v>
      </c>
      <c r="G12503" s="1" t="str">
        <f>IFERROR(__xludf.DUMMYFUNCTION("GOOGLETRANSLATE(C12503, ""en"", ""fa"")
"),"موثرترین تکنیک های مدیریت زمان برای عشایر با برنامه های انعطاف پذیر چیست؟")</f>
        <v>موثرترین تکنیک های مدیریت زمان برای عشایر با برنامه های انعطاف پذیر چیست؟</v>
      </c>
      <c r="H12503" s="1"/>
      <c r="I12503" s="1"/>
      <c r="J12503" s="1"/>
      <c r="K12503" s="1"/>
      <c r="L12503" s="1"/>
      <c r="M12503" s="1"/>
      <c r="N12503" s="1"/>
      <c r="O12503" s="1"/>
      <c r="P12503" s="1"/>
      <c r="Q12503" s="1"/>
      <c r="R12503" s="1"/>
      <c r="S12503" s="1"/>
      <c r="T12503" s="1"/>
      <c r="U12503" s="1"/>
      <c r="V12503" s="1"/>
      <c r="W12503" s="1"/>
      <c r="X12503" s="1"/>
      <c r="Y12503" s="1"/>
      <c r="Z12503" s="1"/>
      <c r="AA12503" s="1"/>
      <c r="AB12503" s="1"/>
    </row>
    <row r="12504" ht="50.25" customHeight="1">
      <c r="A12504" s="12">
        <v>12500.0</v>
      </c>
      <c r="B12504" s="13" t="s">
        <v>12266</v>
      </c>
      <c r="C12504" s="14" t="s">
        <v>12306</v>
      </c>
      <c r="D12504" s="1"/>
      <c r="E12504" s="1"/>
      <c r="F12504" s="1" t="str">
        <f>IFERROR(__xludf.DUMMYFUNCTION("GOOGLETRANSLATE(B12504, ""en"", ""fa"")
"),"سبک زندگی عشایری دیجیتال")</f>
        <v>سبک زندگی عشایری دیجیتال</v>
      </c>
      <c r="G12504" s="1" t="str">
        <f>IFERROR(__xludf.DUMMYFUNCTION("GOOGLETRANSLATE(C12504, ""en"", ""fa"")
"),"آیا توصیه ای در مورد رسیدگی به تمدید ویزا و مدارک مهاجرت در هنگام سفر به عنوان یک کوچ دیجیتالی دارید؟")</f>
        <v>آیا توصیه ای در مورد رسیدگی به تمدید ویزا و مدارک مهاجرت در هنگام سفر به عنوان یک کوچ دیجیتالی دارید؟</v>
      </c>
      <c r="H12504" s="1"/>
      <c r="I12504" s="1"/>
      <c r="J12504" s="1"/>
      <c r="K12504" s="1"/>
      <c r="L12504" s="1"/>
      <c r="M12504" s="1"/>
      <c r="N12504" s="1"/>
      <c r="O12504" s="1"/>
      <c r="P12504" s="1"/>
      <c r="Q12504" s="1"/>
      <c r="R12504" s="1"/>
      <c r="S12504" s="1"/>
      <c r="T12504" s="1"/>
      <c r="U12504" s="1"/>
      <c r="V12504" s="1"/>
      <c r="W12504" s="1"/>
      <c r="X12504" s="1"/>
      <c r="Y12504" s="1"/>
      <c r="Z12504" s="1"/>
      <c r="AA12504" s="1"/>
      <c r="AB12504" s="1"/>
    </row>
    <row r="12505" ht="50.25" customHeight="1">
      <c r="A12505" s="12">
        <v>12501.0</v>
      </c>
      <c r="B12505" s="13" t="s">
        <v>12266</v>
      </c>
      <c r="C12505" s="14" t="s">
        <v>12307</v>
      </c>
      <c r="D12505" s="1"/>
      <c r="E12505" s="1"/>
      <c r="F12505" s="1" t="str">
        <f>IFERROR(__xludf.DUMMYFUNCTION("GOOGLETRANSLATE(B12505, ""en"", ""fa"")
"),"سبک زندگی عشایری دیجیتال")</f>
        <v>سبک زندگی عشایری دیجیتال</v>
      </c>
      <c r="G12505" s="1" t="str">
        <f>IFERROR(__xludf.DUMMYFUNCTION("GOOGLETRANSLATE(C12505,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505" s="1"/>
      <c r="I12505" s="1"/>
      <c r="J12505" s="1"/>
      <c r="K12505" s="1"/>
      <c r="L12505" s="1"/>
      <c r="M12505" s="1"/>
      <c r="N12505" s="1"/>
      <c r="O12505" s="1"/>
      <c r="P12505" s="1"/>
      <c r="Q12505" s="1"/>
      <c r="R12505" s="1"/>
      <c r="S12505" s="1"/>
      <c r="T12505" s="1"/>
      <c r="U12505" s="1"/>
      <c r="V12505" s="1"/>
      <c r="W12505" s="1"/>
      <c r="X12505" s="1"/>
      <c r="Y12505" s="1"/>
      <c r="Z12505" s="1"/>
      <c r="AA12505" s="1"/>
      <c r="AB12505" s="1"/>
    </row>
    <row r="12506" ht="50.25" customHeight="1">
      <c r="A12506" s="12">
        <v>12502.0</v>
      </c>
      <c r="B12506" s="13" t="s">
        <v>12266</v>
      </c>
      <c r="C12506" s="14" t="s">
        <v>12308</v>
      </c>
      <c r="D12506" s="1"/>
      <c r="E12506" s="1"/>
      <c r="F12506" s="1" t="str">
        <f>IFERROR(__xludf.DUMMYFUNCTION("GOOGLETRANSLATE(B12506, ""en"", ""fa"")
"),"سبک زندگی عشایری دیجیتال")</f>
        <v>سبک زندگی عشایری دیجیتال</v>
      </c>
      <c r="G12506" s="1" t="str">
        <f>IFERROR(__xludf.DUMMYFUNCTION("GOOGLETRANSLATE(C12506,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506" s="1"/>
      <c r="I12506" s="1"/>
      <c r="J12506" s="1"/>
      <c r="K12506" s="1"/>
      <c r="L12506" s="1"/>
      <c r="M12506" s="1"/>
      <c r="N12506" s="1"/>
      <c r="O12506" s="1"/>
      <c r="P12506" s="1"/>
      <c r="Q12506" s="1"/>
      <c r="R12506" s="1"/>
      <c r="S12506" s="1"/>
      <c r="T12506" s="1"/>
      <c r="U12506" s="1"/>
      <c r="V12506" s="1"/>
      <c r="W12506" s="1"/>
      <c r="X12506" s="1"/>
      <c r="Y12506" s="1"/>
      <c r="Z12506" s="1"/>
      <c r="AA12506" s="1"/>
      <c r="AB12506" s="1"/>
    </row>
    <row r="12507" ht="50.25" customHeight="1">
      <c r="A12507" s="12">
        <v>12503.0</v>
      </c>
      <c r="B12507" s="13" t="s">
        <v>12266</v>
      </c>
      <c r="C12507" s="14" t="s">
        <v>12309</v>
      </c>
      <c r="D12507" s="1"/>
      <c r="E12507" s="1"/>
      <c r="F12507" s="1" t="str">
        <f>IFERROR(__xludf.DUMMYFUNCTION("GOOGLETRANSLATE(B12507, ""en"", ""fa"")
"),"سبک زندگی عشایری دیجیتال")</f>
        <v>سبک زندگی عشایری دیجیتال</v>
      </c>
      <c r="G12507" s="1" t="str">
        <f>IFERROR(__xludf.DUMMYFUNCTION("GOOGLETRANSLATE(C12507,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507" s="1"/>
      <c r="I12507" s="1"/>
      <c r="J12507" s="1"/>
      <c r="K12507" s="1"/>
      <c r="L12507" s="1"/>
      <c r="M12507" s="1"/>
      <c r="N12507" s="1"/>
      <c r="O12507" s="1"/>
      <c r="P12507" s="1"/>
      <c r="Q12507" s="1"/>
      <c r="R12507" s="1"/>
      <c r="S12507" s="1"/>
      <c r="T12507" s="1"/>
      <c r="U12507" s="1"/>
      <c r="V12507" s="1"/>
      <c r="W12507" s="1"/>
      <c r="X12507" s="1"/>
      <c r="Y12507" s="1"/>
      <c r="Z12507" s="1"/>
      <c r="AA12507" s="1"/>
      <c r="AB12507" s="1"/>
    </row>
    <row r="12508" ht="50.25" customHeight="1">
      <c r="A12508" s="12">
        <v>12504.0</v>
      </c>
      <c r="B12508" s="13" t="s">
        <v>12266</v>
      </c>
      <c r="C12508" s="14" t="s">
        <v>12310</v>
      </c>
      <c r="D12508" s="1"/>
      <c r="E12508" s="1"/>
      <c r="F12508" s="1" t="str">
        <f>IFERROR(__xludf.DUMMYFUNCTION("GOOGLETRANSLATE(B12508, ""en"", ""fa"")
"),"سبک زندگی عشایری دیجیتال")</f>
        <v>سبک زندگی عشایری دیجیتال</v>
      </c>
      <c r="G12508" s="1" t="str">
        <f>IFERROR(__xludf.DUMMYFUNCTION("GOOGLETRANSLATE(C12508,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508" s="1"/>
      <c r="I12508" s="1"/>
      <c r="J12508" s="1"/>
      <c r="K12508" s="1"/>
      <c r="L12508" s="1"/>
      <c r="M12508" s="1"/>
      <c r="N12508" s="1"/>
      <c r="O12508" s="1"/>
      <c r="P12508" s="1"/>
      <c r="Q12508" s="1"/>
      <c r="R12508" s="1"/>
      <c r="S12508" s="1"/>
      <c r="T12508" s="1"/>
      <c r="U12508" s="1"/>
      <c r="V12508" s="1"/>
      <c r="W12508" s="1"/>
      <c r="X12508" s="1"/>
      <c r="Y12508" s="1"/>
      <c r="Z12508" s="1"/>
      <c r="AA12508" s="1"/>
      <c r="AB12508" s="1"/>
    </row>
    <row r="12509" ht="50.25" customHeight="1">
      <c r="A12509" s="12">
        <v>12505.0</v>
      </c>
      <c r="B12509" s="13" t="s">
        <v>12266</v>
      </c>
      <c r="C12509" s="14" t="s">
        <v>12311</v>
      </c>
      <c r="D12509" s="1"/>
      <c r="E12509" s="1"/>
      <c r="F12509" s="1" t="str">
        <f>IFERROR(__xludf.DUMMYFUNCTION("GOOGLETRANSLATE(B12509, ""en"", ""fa"")
"),"سبک زندگی عشایری دیجیتال")</f>
        <v>سبک زندگی عشایری دیجیتال</v>
      </c>
      <c r="G12509" s="1" t="str">
        <f>IFERROR(__xludf.DUMMYFUNCTION("GOOGLETRANSLATE(C12509,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509" s="1"/>
      <c r="I12509" s="1"/>
      <c r="J12509" s="1"/>
      <c r="K12509" s="1"/>
      <c r="L12509" s="1"/>
      <c r="M12509" s="1"/>
      <c r="N12509" s="1"/>
      <c r="O12509" s="1"/>
      <c r="P12509" s="1"/>
      <c r="Q12509" s="1"/>
      <c r="R12509" s="1"/>
      <c r="S12509" s="1"/>
      <c r="T12509" s="1"/>
      <c r="U12509" s="1"/>
      <c r="V12509" s="1"/>
      <c r="W12509" s="1"/>
      <c r="X12509" s="1"/>
      <c r="Y12509" s="1"/>
      <c r="Z12509" s="1"/>
      <c r="AA12509" s="1"/>
      <c r="AB12509" s="1"/>
    </row>
    <row r="12510" ht="50.25" customHeight="1">
      <c r="A12510" s="12">
        <v>12506.0</v>
      </c>
      <c r="B12510" s="13" t="s">
        <v>12266</v>
      </c>
      <c r="C12510" s="14" t="s">
        <v>12312</v>
      </c>
      <c r="D12510" s="1"/>
      <c r="E12510" s="1"/>
      <c r="F12510" s="1" t="str">
        <f>IFERROR(__xludf.DUMMYFUNCTION("GOOGLETRANSLATE(B12510, ""en"", ""fa"")
"),"سبک زندگی عشایری دیجیتال")</f>
        <v>سبک زندگی عشایری دیجیتال</v>
      </c>
      <c r="G12510" s="1" t="str">
        <f>IFERROR(__xludf.DUMMYFUNCTION("GOOGLETRANSLATE(C12510,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510" s="1"/>
      <c r="I12510" s="1"/>
      <c r="J12510" s="1"/>
      <c r="K12510" s="1"/>
      <c r="L12510" s="1"/>
      <c r="M12510" s="1"/>
      <c r="N12510" s="1"/>
      <c r="O12510" s="1"/>
      <c r="P12510" s="1"/>
      <c r="Q12510" s="1"/>
      <c r="R12510" s="1"/>
      <c r="S12510" s="1"/>
      <c r="T12510" s="1"/>
      <c r="U12510" s="1"/>
      <c r="V12510" s="1"/>
      <c r="W12510" s="1"/>
      <c r="X12510" s="1"/>
      <c r="Y12510" s="1"/>
      <c r="Z12510" s="1"/>
      <c r="AA12510" s="1"/>
      <c r="AB12510" s="1"/>
    </row>
    <row r="12511" ht="50.25" customHeight="1">
      <c r="A12511" s="12">
        <v>12507.0</v>
      </c>
      <c r="B12511" s="13" t="s">
        <v>12266</v>
      </c>
      <c r="C12511" s="14" t="s">
        <v>12313</v>
      </c>
      <c r="D12511" s="1"/>
      <c r="E12511" s="1"/>
      <c r="F12511" s="1" t="str">
        <f>IFERROR(__xludf.DUMMYFUNCTION("GOOGLETRANSLATE(B12511, ""en"", ""fa"")
"),"سبک زندگی عشایری دیجیتال")</f>
        <v>سبک زندگی عشایری دیجیتال</v>
      </c>
      <c r="G12511" s="1" t="str">
        <f>IFERROR(__xludf.DUMMYFUNCTION("GOOGLETRANSLATE(C12511,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511" s="1"/>
      <c r="I12511" s="1"/>
      <c r="J12511" s="1"/>
      <c r="K12511" s="1"/>
      <c r="L12511" s="1"/>
      <c r="M12511" s="1"/>
      <c r="N12511" s="1"/>
      <c r="O12511" s="1"/>
      <c r="P12511" s="1"/>
      <c r="Q12511" s="1"/>
      <c r="R12511" s="1"/>
      <c r="S12511" s="1"/>
      <c r="T12511" s="1"/>
      <c r="U12511" s="1"/>
      <c r="V12511" s="1"/>
      <c r="W12511" s="1"/>
      <c r="X12511" s="1"/>
      <c r="Y12511" s="1"/>
      <c r="Z12511" s="1"/>
      <c r="AA12511" s="1"/>
      <c r="AB12511" s="1"/>
    </row>
    <row r="12512" ht="50.25" customHeight="1">
      <c r="A12512" s="12">
        <v>12508.0</v>
      </c>
      <c r="B12512" s="13" t="s">
        <v>12266</v>
      </c>
      <c r="C12512" s="14" t="s">
        <v>12314</v>
      </c>
      <c r="D12512" s="1"/>
      <c r="E12512" s="1"/>
      <c r="F12512" s="1" t="str">
        <f>IFERROR(__xludf.DUMMYFUNCTION("GOOGLETRANSLATE(B12512, ""en"", ""fa"")
"),"سبک زندگی عشایری دیجیتال")</f>
        <v>سبک زندگی عشایری دیجیتال</v>
      </c>
      <c r="G12512" s="1" t="str">
        <f>IFERROR(__xludf.DUMMYFUNCTION("GOOGLETRANSLATE(C12512, ""en"", ""fa"")
"),"بهترین استراتژی برای غلبه بر خستگی سفر و تاخیر جت در حین حرکت چیست؟")</f>
        <v>بهترین استراتژی برای غلبه بر خستگی سفر و تاخیر جت در حین حرکت چیست؟</v>
      </c>
      <c r="H12512" s="1"/>
      <c r="I12512" s="1"/>
      <c r="J12512" s="1"/>
      <c r="K12512" s="1"/>
      <c r="L12512" s="1"/>
      <c r="M12512" s="1"/>
      <c r="N12512" s="1"/>
      <c r="O12512" s="1"/>
      <c r="P12512" s="1"/>
      <c r="Q12512" s="1"/>
      <c r="R12512" s="1"/>
      <c r="S12512" s="1"/>
      <c r="T12512" s="1"/>
      <c r="U12512" s="1"/>
      <c r="V12512" s="1"/>
      <c r="W12512" s="1"/>
      <c r="X12512" s="1"/>
      <c r="Y12512" s="1"/>
      <c r="Z12512" s="1"/>
      <c r="AA12512" s="1"/>
      <c r="AB12512" s="1"/>
    </row>
    <row r="12513" ht="50.25" customHeight="1">
      <c r="A12513" s="12">
        <v>12509.0</v>
      </c>
      <c r="B12513" s="13" t="s">
        <v>12266</v>
      </c>
      <c r="C12513" s="14" t="s">
        <v>12315</v>
      </c>
      <c r="D12513" s="1"/>
      <c r="E12513" s="1"/>
      <c r="F12513" s="1" t="str">
        <f>IFERROR(__xludf.DUMMYFUNCTION("GOOGLETRANSLATE(B12513, ""en"", ""fa"")
"),"سبک زندگی عشایری دیجیتال")</f>
        <v>سبک زندگی عشایری دیجیتال</v>
      </c>
      <c r="G12513" s="1" t="str">
        <f>IFERROR(__xludf.DUMMYFUNCTION("GOOGLETRANSLATE(C12513,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513" s="1"/>
      <c r="I12513" s="1"/>
      <c r="J12513" s="1"/>
      <c r="K12513" s="1"/>
      <c r="L12513" s="1"/>
      <c r="M12513" s="1"/>
      <c r="N12513" s="1"/>
      <c r="O12513" s="1"/>
      <c r="P12513" s="1"/>
      <c r="Q12513" s="1"/>
      <c r="R12513" s="1"/>
      <c r="S12513" s="1"/>
      <c r="T12513" s="1"/>
      <c r="U12513" s="1"/>
      <c r="V12513" s="1"/>
      <c r="W12513" s="1"/>
      <c r="X12513" s="1"/>
      <c r="Y12513" s="1"/>
      <c r="Z12513" s="1"/>
      <c r="AA12513" s="1"/>
      <c r="AB12513" s="1"/>
    </row>
    <row r="12514" ht="50.25" customHeight="1">
      <c r="A12514" s="12">
        <v>12510.0</v>
      </c>
      <c r="B12514" s="13" t="s">
        <v>12266</v>
      </c>
      <c r="C12514" s="14" t="s">
        <v>12316</v>
      </c>
      <c r="D12514" s="1"/>
      <c r="E12514" s="1"/>
      <c r="F12514" s="1" t="str">
        <f>IFERROR(__xludf.DUMMYFUNCTION("GOOGLETRANSLATE(B12514, ""en"", ""fa"")
"),"سبک زندگی عشایری دیجیتال")</f>
        <v>سبک زندگی عشایری دیجیتال</v>
      </c>
      <c r="G12514" s="1" t="str">
        <f>IFERROR(__xludf.DUMMYFUNCTION("GOOGLETRANSLATE(C12514,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514" s="1"/>
      <c r="I12514" s="1"/>
      <c r="J12514" s="1"/>
      <c r="K12514" s="1"/>
      <c r="L12514" s="1"/>
      <c r="M12514" s="1"/>
      <c r="N12514" s="1"/>
      <c r="O12514" s="1"/>
      <c r="P12514" s="1"/>
      <c r="Q12514" s="1"/>
      <c r="R12514" s="1"/>
      <c r="S12514" s="1"/>
      <c r="T12514" s="1"/>
      <c r="U12514" s="1"/>
      <c r="V12514" s="1"/>
      <c r="W12514" s="1"/>
      <c r="X12514" s="1"/>
      <c r="Y12514" s="1"/>
      <c r="Z12514" s="1"/>
      <c r="AA12514" s="1"/>
      <c r="AB12514" s="1"/>
    </row>
    <row r="12515" ht="50.25" customHeight="1">
      <c r="A12515" s="12">
        <v>12511.0</v>
      </c>
      <c r="B12515" s="13" t="s">
        <v>12266</v>
      </c>
      <c r="C12515" s="14" t="s">
        <v>12317</v>
      </c>
      <c r="D12515" s="1"/>
      <c r="E12515" s="1"/>
      <c r="F12515" s="1" t="str">
        <f>IFERROR(__xludf.DUMMYFUNCTION("GOOGLETRANSLATE(B12515, ""en"", ""fa"")
"),"سبک زندگی عشایری دیجیتال")</f>
        <v>سبک زندگی عشایری دیجیتال</v>
      </c>
      <c r="G12515" s="1" t="str">
        <f>IFERROR(__xludf.DUMMYFUNCTION("GOOGLETRANSLATE(C12515, ""en"", ""fa"")
"),"اقلام ضروری برای حفظ یک رژیم غذایی سالم و متعادل در سفر چیست؟")</f>
        <v>اقلام ضروری برای حفظ یک رژیم غذایی سالم و متعادل در سفر چیست؟</v>
      </c>
      <c r="H12515" s="1"/>
      <c r="I12515" s="1"/>
      <c r="J12515" s="1"/>
      <c r="K12515" s="1"/>
      <c r="L12515" s="1"/>
      <c r="M12515" s="1"/>
      <c r="N12515" s="1"/>
      <c r="O12515" s="1"/>
      <c r="P12515" s="1"/>
      <c r="Q12515" s="1"/>
      <c r="R12515" s="1"/>
      <c r="S12515" s="1"/>
      <c r="T12515" s="1"/>
      <c r="U12515" s="1"/>
      <c r="V12515" s="1"/>
      <c r="W12515" s="1"/>
      <c r="X12515" s="1"/>
      <c r="Y12515" s="1"/>
      <c r="Z12515" s="1"/>
      <c r="AA12515" s="1"/>
      <c r="AB12515" s="1"/>
    </row>
    <row r="12516" ht="50.25" customHeight="1">
      <c r="A12516" s="12">
        <v>12512.0</v>
      </c>
      <c r="B12516" s="13" t="s">
        <v>12266</v>
      </c>
      <c r="C12516" s="14" t="s">
        <v>12318</v>
      </c>
      <c r="D12516" s="1"/>
      <c r="E12516" s="1"/>
      <c r="F12516" s="1" t="str">
        <f>IFERROR(__xludf.DUMMYFUNCTION("GOOGLETRANSLATE(B12516, ""en"", ""fa"")
"),"سبک زندگی عشایری دیجیتال")</f>
        <v>سبک زندگی عشایری دیجیتال</v>
      </c>
      <c r="G12516" s="1" t="str">
        <f>IFERROR(__xludf.DUMMYFUNCTION("GOOGLETRANSLATE(C12516,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516" s="1"/>
      <c r="I12516" s="1"/>
      <c r="J12516" s="1"/>
      <c r="K12516" s="1"/>
      <c r="L12516" s="1"/>
      <c r="M12516" s="1"/>
      <c r="N12516" s="1"/>
      <c r="O12516" s="1"/>
      <c r="P12516" s="1"/>
      <c r="Q12516" s="1"/>
      <c r="R12516" s="1"/>
      <c r="S12516" s="1"/>
      <c r="T12516" s="1"/>
      <c r="U12516" s="1"/>
      <c r="V12516" s="1"/>
      <c r="W12516" s="1"/>
      <c r="X12516" s="1"/>
      <c r="Y12516" s="1"/>
      <c r="Z12516" s="1"/>
      <c r="AA12516" s="1"/>
      <c r="AB12516" s="1"/>
    </row>
    <row r="12517" ht="50.25" customHeight="1">
      <c r="A12517" s="12">
        <v>12513.0</v>
      </c>
      <c r="B12517" s="13" t="s">
        <v>12266</v>
      </c>
      <c r="C12517" s="14" t="s">
        <v>12319</v>
      </c>
      <c r="D12517" s="1"/>
      <c r="E12517" s="1"/>
      <c r="F12517" s="1" t="str">
        <f>IFERROR(__xludf.DUMMYFUNCTION("GOOGLETRANSLATE(B12517, ""en"", ""fa"")
"),"سبک زندگی عشایری دیجیتال")</f>
        <v>سبک زندگی عشایری دیجیتال</v>
      </c>
      <c r="G12517" s="1" t="str">
        <f>IFERROR(__xludf.DUMMYFUNCTION("GOOGLETRANSLATE(C12517,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517" s="1"/>
      <c r="I12517" s="1"/>
      <c r="J12517" s="1"/>
      <c r="K12517" s="1"/>
      <c r="L12517" s="1"/>
      <c r="M12517" s="1"/>
      <c r="N12517" s="1"/>
      <c r="O12517" s="1"/>
      <c r="P12517" s="1"/>
      <c r="Q12517" s="1"/>
      <c r="R12517" s="1"/>
      <c r="S12517" s="1"/>
      <c r="T12517" s="1"/>
      <c r="U12517" s="1"/>
      <c r="V12517" s="1"/>
      <c r="W12517" s="1"/>
      <c r="X12517" s="1"/>
      <c r="Y12517" s="1"/>
      <c r="Z12517" s="1"/>
      <c r="AA12517" s="1"/>
      <c r="AB12517" s="1"/>
    </row>
    <row r="12518" ht="50.25" customHeight="1">
      <c r="A12518" s="12">
        <v>12514.0</v>
      </c>
      <c r="B12518" s="13" t="s">
        <v>12266</v>
      </c>
      <c r="C12518" s="14" t="s">
        <v>12320</v>
      </c>
      <c r="D12518" s="1"/>
      <c r="E12518" s="1"/>
      <c r="F12518" s="1" t="str">
        <f>IFERROR(__xludf.DUMMYFUNCTION("GOOGLETRANSLATE(B12518, ""en"", ""fa"")
"),"سبک زندگی عشایری دیجیتال")</f>
        <v>سبک زندگی عشایری دیجیتال</v>
      </c>
      <c r="G12518" s="1" t="str">
        <f>IFERROR(__xludf.DUMMYFUNCTION("GOOGLETRANSLATE(C12518, ""en"", ""fa"")
"),"بهترین منابع برای یادگیری زبان های جدید برای افزایش تجربه سفر من چیست؟")</f>
        <v>بهترین منابع برای یادگیری زبان های جدید برای افزایش تجربه سفر من چیست؟</v>
      </c>
      <c r="H12518" s="1"/>
      <c r="I12518" s="1"/>
      <c r="J12518" s="1"/>
      <c r="K12518" s="1"/>
      <c r="L12518" s="1"/>
      <c r="M12518" s="1"/>
      <c r="N12518" s="1"/>
      <c r="O12518" s="1"/>
      <c r="P12518" s="1"/>
      <c r="Q12518" s="1"/>
      <c r="R12518" s="1"/>
      <c r="S12518" s="1"/>
      <c r="T12518" s="1"/>
      <c r="U12518" s="1"/>
      <c r="V12518" s="1"/>
      <c r="W12518" s="1"/>
      <c r="X12518" s="1"/>
      <c r="Y12518" s="1"/>
      <c r="Z12518" s="1"/>
      <c r="AA12518" s="1"/>
      <c r="AB12518" s="1"/>
    </row>
    <row r="12519" ht="50.25" customHeight="1">
      <c r="A12519" s="12">
        <v>12515.0</v>
      </c>
      <c r="B12519" s="13" t="s">
        <v>12266</v>
      </c>
      <c r="C12519" s="14" t="s">
        <v>12321</v>
      </c>
      <c r="D12519" s="1"/>
      <c r="E12519" s="1"/>
      <c r="F12519" s="1" t="str">
        <f>IFERROR(__xludf.DUMMYFUNCTION("GOOGLETRANSLATE(B12519, ""en"", ""fa"")
"),"سبک زندگی عشایری دیجیتال")</f>
        <v>سبک زندگی عشایری دیجیتال</v>
      </c>
      <c r="G12519" s="1" t="str">
        <f>IFERROR(__xludf.DUMMYFUNCTION("GOOGLETRANSLATE(C12519, ""en"", ""fa"")
"),"آیا توصیه ای برای مدیریت و به حداقل رساندن هزینه های سفر با حفظ یک سبک زندگی راحت دارید؟")</f>
        <v>آیا توصیه ای برای مدیریت و به حداقل رساندن هزینه های سفر با حفظ یک سبک زندگی راحت دارید؟</v>
      </c>
      <c r="H12519" s="1"/>
      <c r="I12519" s="1"/>
      <c r="J12519" s="1"/>
      <c r="K12519" s="1"/>
      <c r="L12519" s="1"/>
      <c r="M12519" s="1"/>
      <c r="N12519" s="1"/>
      <c r="O12519" s="1"/>
      <c r="P12519" s="1"/>
      <c r="Q12519" s="1"/>
      <c r="R12519" s="1"/>
      <c r="S12519" s="1"/>
      <c r="T12519" s="1"/>
      <c r="U12519" s="1"/>
      <c r="V12519" s="1"/>
      <c r="W12519" s="1"/>
      <c r="X12519" s="1"/>
      <c r="Y12519" s="1"/>
      <c r="Z12519" s="1"/>
      <c r="AA12519" s="1"/>
      <c r="AB12519" s="1"/>
    </row>
    <row r="12520" ht="50.25" customHeight="1">
      <c r="A12520" s="12">
        <v>12516.0</v>
      </c>
      <c r="B12520" s="13" t="s">
        <v>12266</v>
      </c>
      <c r="C12520" s="14" t="s">
        <v>12322</v>
      </c>
      <c r="D12520" s="1"/>
      <c r="E12520" s="1"/>
      <c r="F12520" s="1" t="str">
        <f>IFERROR(__xludf.DUMMYFUNCTION("GOOGLETRANSLATE(B12520, ""en"", ""fa"")
"),"سبک زندگی عشایری دیجیتال")</f>
        <v>سبک زندگی عشایری دیجیتال</v>
      </c>
      <c r="G12520" s="1" t="str">
        <f>IFERROR(__xludf.DUMMYFUNCTION("GOOGLETRANSLATE(C12520, ""en"", ""fa"")
"),"چگونه می توانم از اتصال اینترنتی پایدار برای کنفرانس های ویدئویی و جلسات مجازی اطمینان حاصل کنم؟")</f>
        <v>چگونه می توانم از اتصال اینترنتی پایدار برای کنفرانس های ویدئویی و جلسات مجازی اطمینان حاصل کنم؟</v>
      </c>
      <c r="H12520" s="1"/>
      <c r="I12520" s="1"/>
      <c r="J12520" s="1"/>
      <c r="K12520" s="1"/>
      <c r="L12520" s="1"/>
      <c r="M12520" s="1"/>
      <c r="N12520" s="1"/>
      <c r="O12520" s="1"/>
      <c r="P12520" s="1"/>
      <c r="Q12520" s="1"/>
      <c r="R12520" s="1"/>
      <c r="S12520" s="1"/>
      <c r="T12520" s="1"/>
      <c r="U12520" s="1"/>
      <c r="V12520" s="1"/>
      <c r="W12520" s="1"/>
      <c r="X12520" s="1"/>
      <c r="Y12520" s="1"/>
      <c r="Z12520" s="1"/>
      <c r="AA12520" s="1"/>
      <c r="AB12520" s="1"/>
    </row>
    <row r="12521" ht="50.25" customHeight="1">
      <c r="A12521" s="12">
        <v>12517.0</v>
      </c>
      <c r="B12521" s="13" t="s">
        <v>12266</v>
      </c>
      <c r="C12521" s="14" t="s">
        <v>12323</v>
      </c>
      <c r="D12521" s="1"/>
      <c r="E12521" s="1"/>
      <c r="F12521" s="1" t="str">
        <f>IFERROR(__xludf.DUMMYFUNCTION("GOOGLETRANSLATE(B12521, ""en"", ""fa"")
"),"سبک زندگی عشایری دیجیتال")</f>
        <v>سبک زندگی عشایری دیجیتال</v>
      </c>
      <c r="G12521" s="1" t="str">
        <f>IFERROR(__xludf.DUMMYFUNCTION("GOOGLETRANSLATE(C12521,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521" s="1"/>
      <c r="I12521" s="1"/>
      <c r="J12521" s="1"/>
      <c r="K12521" s="1"/>
      <c r="L12521" s="1"/>
      <c r="M12521" s="1"/>
      <c r="N12521" s="1"/>
      <c r="O12521" s="1"/>
      <c r="P12521" s="1"/>
      <c r="Q12521" s="1"/>
      <c r="R12521" s="1"/>
      <c r="S12521" s="1"/>
      <c r="T12521" s="1"/>
      <c r="U12521" s="1"/>
      <c r="V12521" s="1"/>
      <c r="W12521" s="1"/>
      <c r="X12521" s="1"/>
      <c r="Y12521" s="1"/>
      <c r="Z12521" s="1"/>
      <c r="AA12521" s="1"/>
      <c r="AB12521" s="1"/>
    </row>
    <row r="12522" ht="50.25" customHeight="1">
      <c r="A12522" s="12">
        <v>12518.0</v>
      </c>
      <c r="B12522" s="13" t="s">
        <v>12266</v>
      </c>
      <c r="C12522" s="14" t="s">
        <v>12324</v>
      </c>
      <c r="D12522" s="1"/>
      <c r="E12522" s="1"/>
      <c r="F12522" s="1" t="str">
        <f>IFERROR(__xludf.DUMMYFUNCTION("GOOGLETRANSLATE(B12522, ""en"", ""fa"")
"),"سبک زندگی عشایری دیجیتال")</f>
        <v>سبک زندگی عشایری دیجیتال</v>
      </c>
      <c r="G12522" s="1" t="str">
        <f>IFERROR(__xludf.DUMMYFUNCTION("GOOGLETRANSLATE(C12522,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522" s="1"/>
      <c r="I12522" s="1"/>
      <c r="J12522" s="1"/>
      <c r="K12522" s="1"/>
      <c r="L12522" s="1"/>
      <c r="M12522" s="1"/>
      <c r="N12522" s="1"/>
      <c r="O12522" s="1"/>
      <c r="P12522" s="1"/>
      <c r="Q12522" s="1"/>
      <c r="R12522" s="1"/>
      <c r="S12522" s="1"/>
      <c r="T12522" s="1"/>
      <c r="U12522" s="1"/>
      <c r="V12522" s="1"/>
      <c r="W12522" s="1"/>
      <c r="X12522" s="1"/>
      <c r="Y12522" s="1"/>
      <c r="Z12522" s="1"/>
      <c r="AA12522" s="1"/>
      <c r="AB12522" s="1"/>
    </row>
    <row r="12523" ht="50.25" customHeight="1">
      <c r="A12523" s="12">
        <v>12519.0</v>
      </c>
      <c r="B12523" s="13" t="s">
        <v>12266</v>
      </c>
      <c r="C12523" s="14" t="s">
        <v>12325</v>
      </c>
      <c r="D12523" s="1"/>
      <c r="E12523" s="1"/>
      <c r="F12523" s="1" t="str">
        <f>IFERROR(__xludf.DUMMYFUNCTION("GOOGLETRANSLATE(B12523, ""en"", ""fa"")
"),"سبک زندگی عشایری دیجیتال")</f>
        <v>سبک زندگی عشایری دیجیتال</v>
      </c>
      <c r="G12523" s="1" t="str">
        <f>IFERROR(__xludf.DUMMYFUNCTION("GOOGLETRANSLATE(C12523,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523" s="1"/>
      <c r="I12523" s="1"/>
      <c r="J12523" s="1"/>
      <c r="K12523" s="1"/>
      <c r="L12523" s="1"/>
      <c r="M12523" s="1"/>
      <c r="N12523" s="1"/>
      <c r="O12523" s="1"/>
      <c r="P12523" s="1"/>
      <c r="Q12523" s="1"/>
      <c r="R12523" s="1"/>
      <c r="S12523" s="1"/>
      <c r="T12523" s="1"/>
      <c r="U12523" s="1"/>
      <c r="V12523" s="1"/>
      <c r="W12523" s="1"/>
      <c r="X12523" s="1"/>
      <c r="Y12523" s="1"/>
      <c r="Z12523" s="1"/>
      <c r="AA12523" s="1"/>
      <c r="AB12523" s="1"/>
    </row>
    <row r="12524" ht="50.25" customHeight="1">
      <c r="A12524" s="12">
        <v>12520.0</v>
      </c>
      <c r="B12524" s="13" t="s">
        <v>12266</v>
      </c>
      <c r="C12524" s="14" t="s">
        <v>12326</v>
      </c>
      <c r="D12524" s="1"/>
      <c r="E12524" s="1"/>
      <c r="F12524" s="1" t="str">
        <f>IFERROR(__xludf.DUMMYFUNCTION("GOOGLETRANSLATE(B12524, ""en"", ""fa"")
"),"سبک زندگی عشایری دیجیتال")</f>
        <v>سبک زندگی عشایری دیجیتال</v>
      </c>
      <c r="G12524" s="1" t="str">
        <f>IFERROR(__xludf.DUMMYFUNCTION("GOOGLETRANSLATE(C12524,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524" s="1"/>
      <c r="I12524" s="1"/>
      <c r="J12524" s="1"/>
      <c r="K12524" s="1"/>
      <c r="L12524" s="1"/>
      <c r="M12524" s="1"/>
      <c r="N12524" s="1"/>
      <c r="O12524" s="1"/>
      <c r="P12524" s="1"/>
      <c r="Q12524" s="1"/>
      <c r="R12524" s="1"/>
      <c r="S12524" s="1"/>
      <c r="T12524" s="1"/>
      <c r="U12524" s="1"/>
      <c r="V12524" s="1"/>
      <c r="W12524" s="1"/>
      <c r="X12524" s="1"/>
      <c r="Y12524" s="1"/>
      <c r="Z12524" s="1"/>
      <c r="AA12524" s="1"/>
      <c r="AB12524" s="1"/>
    </row>
    <row r="12525" ht="50.25" customHeight="1">
      <c r="A12525" s="12">
        <v>12521.0</v>
      </c>
      <c r="B12525" s="13" t="s">
        <v>12266</v>
      </c>
      <c r="C12525" s="14" t="s">
        <v>12327</v>
      </c>
      <c r="D12525" s="1"/>
      <c r="E12525" s="1"/>
      <c r="F12525" s="1" t="str">
        <f>IFERROR(__xludf.DUMMYFUNCTION("GOOGLETRANSLATE(B12525, ""en"", ""fa"")
"),"سبک زندگی عشایری دیجیتال")</f>
        <v>سبک زندگی عشایری دیجیتال</v>
      </c>
      <c r="G12525" s="1" t="str">
        <f>IFERROR(__xludf.DUMMYFUNCTION("GOOGLETRANSLATE(C12525,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525" s="1"/>
      <c r="I12525" s="1"/>
      <c r="J12525" s="1"/>
      <c r="K12525" s="1"/>
      <c r="L12525" s="1"/>
      <c r="M12525" s="1"/>
      <c r="N12525" s="1"/>
      <c r="O12525" s="1"/>
      <c r="P12525" s="1"/>
      <c r="Q12525" s="1"/>
      <c r="R12525" s="1"/>
      <c r="S12525" s="1"/>
      <c r="T12525" s="1"/>
      <c r="U12525" s="1"/>
      <c r="V12525" s="1"/>
      <c r="W12525" s="1"/>
      <c r="X12525" s="1"/>
      <c r="Y12525" s="1"/>
      <c r="Z12525" s="1"/>
      <c r="AA12525" s="1"/>
      <c r="AB12525" s="1"/>
    </row>
    <row r="12526" ht="50.25" customHeight="1">
      <c r="A12526" s="12">
        <v>12522.0</v>
      </c>
      <c r="B12526" s="13" t="s">
        <v>12266</v>
      </c>
      <c r="C12526" s="14" t="s">
        <v>12303</v>
      </c>
      <c r="D12526" s="1"/>
      <c r="E12526" s="1"/>
      <c r="F12526" s="1" t="str">
        <f>IFERROR(__xludf.DUMMYFUNCTION("GOOGLETRANSLATE(B12526, ""en"", ""fa"")
"),"سبک زندگی عشایری دیجیتال")</f>
        <v>سبک زندگی عشایری دیجیتال</v>
      </c>
      <c r="G12526" s="1" t="str">
        <f>IFERROR(__xludf.DUMMYFUNCTION("GOOGLETRANSLATE(C12526,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526" s="1"/>
      <c r="I12526" s="1"/>
      <c r="J12526" s="1"/>
      <c r="K12526" s="1"/>
      <c r="L12526" s="1"/>
      <c r="M12526" s="1"/>
      <c r="N12526" s="1"/>
      <c r="O12526" s="1"/>
      <c r="P12526" s="1"/>
      <c r="Q12526" s="1"/>
      <c r="R12526" s="1"/>
      <c r="S12526" s="1"/>
      <c r="T12526" s="1"/>
      <c r="U12526" s="1"/>
      <c r="V12526" s="1"/>
      <c r="W12526" s="1"/>
      <c r="X12526" s="1"/>
      <c r="Y12526" s="1"/>
      <c r="Z12526" s="1"/>
      <c r="AA12526" s="1"/>
      <c r="AB12526" s="1"/>
    </row>
    <row r="12527" ht="50.25" customHeight="1">
      <c r="A12527" s="12">
        <v>12523.0</v>
      </c>
      <c r="B12527" s="13" t="s">
        <v>12266</v>
      </c>
      <c r="C12527" s="14" t="s">
        <v>12302</v>
      </c>
      <c r="D12527" s="1"/>
      <c r="E12527" s="1"/>
      <c r="F12527" s="1" t="str">
        <f>IFERROR(__xludf.DUMMYFUNCTION("GOOGLETRANSLATE(B12527, ""en"", ""fa"")
"),"سبک زندگی عشایری دیجیتال")</f>
        <v>سبک زندگی عشایری دیجیتال</v>
      </c>
      <c r="G12527" s="1" t="str">
        <f>IFERROR(__xludf.DUMMYFUNCTION("GOOGLETRANSLATE(C12527,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527" s="1"/>
      <c r="I12527" s="1"/>
      <c r="J12527" s="1"/>
      <c r="K12527" s="1"/>
      <c r="L12527" s="1"/>
      <c r="M12527" s="1"/>
      <c r="N12527" s="1"/>
      <c r="O12527" s="1"/>
      <c r="P12527" s="1"/>
      <c r="Q12527" s="1"/>
      <c r="R12527" s="1"/>
      <c r="S12527" s="1"/>
      <c r="T12527" s="1"/>
      <c r="U12527" s="1"/>
      <c r="V12527" s="1"/>
      <c r="W12527" s="1"/>
      <c r="X12527" s="1"/>
      <c r="Y12527" s="1"/>
      <c r="Z12527" s="1"/>
      <c r="AA12527" s="1"/>
      <c r="AB12527" s="1"/>
    </row>
    <row r="12528" ht="50.25" customHeight="1">
      <c r="A12528" s="12">
        <v>12524.0</v>
      </c>
      <c r="B12528" s="13" t="s">
        <v>12266</v>
      </c>
      <c r="C12528" s="14" t="s">
        <v>12298</v>
      </c>
      <c r="D12528" s="1"/>
      <c r="E12528" s="1"/>
      <c r="F12528" s="1" t="str">
        <f>IFERROR(__xludf.DUMMYFUNCTION("GOOGLETRANSLATE(B12528, ""en"", ""fa"")
"),"سبک زندگی عشایری دیجیتال")</f>
        <v>سبک زندگی عشایری دیجیتال</v>
      </c>
      <c r="G12528" s="1" t="str">
        <f>IFERROR(__xludf.DUMMYFUNCTION("GOOGLETRANSLATE(C12528,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528" s="1"/>
      <c r="I12528" s="1"/>
      <c r="J12528" s="1"/>
      <c r="K12528" s="1"/>
      <c r="L12528" s="1"/>
      <c r="M12528" s="1"/>
      <c r="N12528" s="1"/>
      <c r="O12528" s="1"/>
      <c r="P12528" s="1"/>
      <c r="Q12528" s="1"/>
      <c r="R12528" s="1"/>
      <c r="S12528" s="1"/>
      <c r="T12528" s="1"/>
      <c r="U12528" s="1"/>
      <c r="V12528" s="1"/>
      <c r="W12528" s="1"/>
      <c r="X12528" s="1"/>
      <c r="Y12528" s="1"/>
      <c r="Z12528" s="1"/>
      <c r="AA12528" s="1"/>
      <c r="AB12528" s="1"/>
    </row>
    <row r="12529" ht="50.25" customHeight="1">
      <c r="A12529" s="12">
        <v>12525.0</v>
      </c>
      <c r="B12529" s="13" t="s">
        <v>12266</v>
      </c>
      <c r="C12529" s="14" t="s">
        <v>12301</v>
      </c>
      <c r="D12529" s="1"/>
      <c r="E12529" s="1"/>
      <c r="F12529" s="1" t="str">
        <f>IFERROR(__xludf.DUMMYFUNCTION("GOOGLETRANSLATE(B12529, ""en"", ""fa"")
"),"سبک زندگی عشایری دیجیتال")</f>
        <v>سبک زندگی عشایری دیجیتال</v>
      </c>
      <c r="G12529" s="1" t="str">
        <f>IFERROR(__xludf.DUMMYFUNCTION("GOOGLETRANSLATE(C12529,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529" s="1"/>
      <c r="I12529" s="1"/>
      <c r="J12529" s="1"/>
      <c r="K12529" s="1"/>
      <c r="L12529" s="1"/>
      <c r="M12529" s="1"/>
      <c r="N12529" s="1"/>
      <c r="O12529" s="1"/>
      <c r="P12529" s="1"/>
      <c r="Q12529" s="1"/>
      <c r="R12529" s="1"/>
      <c r="S12529" s="1"/>
      <c r="T12529" s="1"/>
      <c r="U12529" s="1"/>
      <c r="V12529" s="1"/>
      <c r="W12529" s="1"/>
      <c r="X12529" s="1"/>
      <c r="Y12529" s="1"/>
      <c r="Z12529" s="1"/>
      <c r="AA12529" s="1"/>
      <c r="AB12529" s="1"/>
    </row>
    <row r="12530" ht="50.25" customHeight="1">
      <c r="A12530" s="12">
        <v>12526.0</v>
      </c>
      <c r="B12530" s="13" t="s">
        <v>12266</v>
      </c>
      <c r="C12530" s="14" t="s">
        <v>12299</v>
      </c>
      <c r="D12530" s="1"/>
      <c r="E12530" s="1"/>
      <c r="F12530" s="1" t="str">
        <f>IFERROR(__xludf.DUMMYFUNCTION("GOOGLETRANSLATE(B12530, ""en"", ""fa"")
"),"سبک زندگی عشایری دیجیتال")</f>
        <v>سبک زندگی عشایری دیجیتال</v>
      </c>
      <c r="G12530" s="1" t="str">
        <f>IFERROR(__xludf.DUMMYFUNCTION("GOOGLETRANSLATE(C12530, ""en"", ""fa"")
"),"نقاط و مقاصد محبوب عشایر دیجیتال برای هر فصل کدامند؟")</f>
        <v>نقاط و مقاصد محبوب عشایر دیجیتال برای هر فصل کدامند؟</v>
      </c>
      <c r="H12530" s="1"/>
      <c r="I12530" s="1"/>
      <c r="J12530" s="1"/>
      <c r="K12530" s="1"/>
      <c r="L12530" s="1"/>
      <c r="M12530" s="1"/>
      <c r="N12530" s="1"/>
      <c r="O12530" s="1"/>
      <c r="P12530" s="1"/>
      <c r="Q12530" s="1"/>
      <c r="R12530" s="1"/>
      <c r="S12530" s="1"/>
      <c r="T12530" s="1"/>
      <c r="U12530" s="1"/>
      <c r="V12530" s="1"/>
      <c r="W12530" s="1"/>
      <c r="X12530" s="1"/>
      <c r="Y12530" s="1"/>
      <c r="Z12530" s="1"/>
      <c r="AA12530" s="1"/>
      <c r="AB12530" s="1"/>
    </row>
    <row r="12531" ht="50.25" customHeight="1">
      <c r="A12531" s="12">
        <v>12527.0</v>
      </c>
      <c r="B12531" s="13" t="s">
        <v>12266</v>
      </c>
      <c r="C12531" s="14" t="s">
        <v>12300</v>
      </c>
      <c r="D12531" s="1"/>
      <c r="E12531" s="1"/>
      <c r="F12531" s="1" t="str">
        <f>IFERROR(__xludf.DUMMYFUNCTION("GOOGLETRANSLATE(B12531, ""en"", ""fa"")
"),"سبک زندگی عشایری دیجیتال")</f>
        <v>سبک زندگی عشایری دیجیتال</v>
      </c>
      <c r="G12531" s="1" t="str">
        <f>IFERROR(__xludf.DUMMYFUNCTION("GOOGLETRANSLATE(C12531,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531" s="1"/>
      <c r="I12531" s="1"/>
      <c r="J12531" s="1"/>
      <c r="K12531" s="1"/>
      <c r="L12531" s="1"/>
      <c r="M12531" s="1"/>
      <c r="N12531" s="1"/>
      <c r="O12531" s="1"/>
      <c r="P12531" s="1"/>
      <c r="Q12531" s="1"/>
      <c r="R12531" s="1"/>
      <c r="S12531" s="1"/>
      <c r="T12531" s="1"/>
      <c r="U12531" s="1"/>
      <c r="V12531" s="1"/>
      <c r="W12531" s="1"/>
      <c r="X12531" s="1"/>
      <c r="Y12531" s="1"/>
      <c r="Z12531" s="1"/>
      <c r="AA12531" s="1"/>
      <c r="AB12531" s="1"/>
    </row>
    <row r="12532" ht="50.25" customHeight="1">
      <c r="A12532" s="12">
        <v>12528.0</v>
      </c>
      <c r="B12532" s="13" t="s">
        <v>12266</v>
      </c>
      <c r="C12532" s="14" t="s">
        <v>12307</v>
      </c>
      <c r="D12532" s="1"/>
      <c r="E12532" s="1"/>
      <c r="F12532" s="1" t="str">
        <f>IFERROR(__xludf.DUMMYFUNCTION("GOOGLETRANSLATE(B12532, ""en"", ""fa"")
"),"سبک زندگی عشایری دیجیتال")</f>
        <v>سبک زندگی عشایری دیجیتال</v>
      </c>
      <c r="G12532" s="1" t="str">
        <f>IFERROR(__xludf.DUMMYFUNCTION("GOOGLETRANSLATE(C12532,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532" s="1"/>
      <c r="I12532" s="1"/>
      <c r="J12532" s="1"/>
      <c r="K12532" s="1"/>
      <c r="L12532" s="1"/>
      <c r="M12532" s="1"/>
      <c r="N12532" s="1"/>
      <c r="O12532" s="1"/>
      <c r="P12532" s="1"/>
      <c r="Q12532" s="1"/>
      <c r="R12532" s="1"/>
      <c r="S12532" s="1"/>
      <c r="T12532" s="1"/>
      <c r="U12532" s="1"/>
      <c r="V12532" s="1"/>
      <c r="W12532" s="1"/>
      <c r="X12532" s="1"/>
      <c r="Y12532" s="1"/>
      <c r="Z12532" s="1"/>
      <c r="AA12532" s="1"/>
      <c r="AB12532" s="1"/>
    </row>
    <row r="12533" ht="50.25" customHeight="1">
      <c r="A12533" s="12">
        <v>12529.0</v>
      </c>
      <c r="B12533" s="13" t="s">
        <v>12266</v>
      </c>
      <c r="C12533" s="14" t="s">
        <v>12308</v>
      </c>
      <c r="D12533" s="1"/>
      <c r="E12533" s="1"/>
      <c r="F12533" s="1" t="str">
        <f>IFERROR(__xludf.DUMMYFUNCTION("GOOGLETRANSLATE(B12533, ""en"", ""fa"")
"),"سبک زندگی عشایری دیجیتال")</f>
        <v>سبک زندگی عشایری دیجیتال</v>
      </c>
      <c r="G12533" s="1" t="str">
        <f>IFERROR(__xludf.DUMMYFUNCTION("GOOGLETRANSLATE(C12533,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533" s="1"/>
      <c r="I12533" s="1"/>
      <c r="J12533" s="1"/>
      <c r="K12533" s="1"/>
      <c r="L12533" s="1"/>
      <c r="M12533" s="1"/>
      <c r="N12533" s="1"/>
      <c r="O12533" s="1"/>
      <c r="P12533" s="1"/>
      <c r="Q12533" s="1"/>
      <c r="R12533" s="1"/>
      <c r="S12533" s="1"/>
      <c r="T12533" s="1"/>
      <c r="U12533" s="1"/>
      <c r="V12533" s="1"/>
      <c r="W12533" s="1"/>
      <c r="X12533" s="1"/>
      <c r="Y12533" s="1"/>
      <c r="Z12533" s="1"/>
      <c r="AA12533" s="1"/>
      <c r="AB12533" s="1"/>
    </row>
    <row r="12534" ht="50.25" customHeight="1">
      <c r="A12534" s="12">
        <v>12530.0</v>
      </c>
      <c r="B12534" s="13" t="s">
        <v>12266</v>
      </c>
      <c r="C12534" s="14" t="s">
        <v>12309</v>
      </c>
      <c r="D12534" s="1"/>
      <c r="E12534" s="1"/>
      <c r="F12534" s="1" t="str">
        <f>IFERROR(__xludf.DUMMYFUNCTION("GOOGLETRANSLATE(B12534, ""en"", ""fa"")
"),"سبک زندگی عشایری دیجیتال")</f>
        <v>سبک زندگی عشایری دیجیتال</v>
      </c>
      <c r="G12534" s="1" t="str">
        <f>IFERROR(__xludf.DUMMYFUNCTION("GOOGLETRANSLATE(C12534,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534" s="1"/>
      <c r="I12534" s="1"/>
      <c r="J12534" s="1"/>
      <c r="K12534" s="1"/>
      <c r="L12534" s="1"/>
      <c r="M12534" s="1"/>
      <c r="N12534" s="1"/>
      <c r="O12534" s="1"/>
      <c r="P12534" s="1"/>
      <c r="Q12534" s="1"/>
      <c r="R12534" s="1"/>
      <c r="S12534" s="1"/>
      <c r="T12534" s="1"/>
      <c r="U12534" s="1"/>
      <c r="V12534" s="1"/>
      <c r="W12534" s="1"/>
      <c r="X12534" s="1"/>
      <c r="Y12534" s="1"/>
      <c r="Z12534" s="1"/>
      <c r="AA12534" s="1"/>
      <c r="AB12534" s="1"/>
    </row>
    <row r="12535" ht="50.25" customHeight="1">
      <c r="A12535" s="12">
        <v>12531.0</v>
      </c>
      <c r="B12535" s="13" t="s">
        <v>12266</v>
      </c>
      <c r="C12535" s="14" t="s">
        <v>12310</v>
      </c>
      <c r="D12535" s="1"/>
      <c r="E12535" s="1"/>
      <c r="F12535" s="1" t="str">
        <f>IFERROR(__xludf.DUMMYFUNCTION("GOOGLETRANSLATE(B12535, ""en"", ""fa"")
"),"سبک زندگی عشایری دیجیتال")</f>
        <v>سبک زندگی عشایری دیجیتال</v>
      </c>
      <c r="G12535" s="1" t="str">
        <f>IFERROR(__xludf.DUMMYFUNCTION("GOOGLETRANSLATE(C12535,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535" s="1"/>
      <c r="I12535" s="1"/>
      <c r="J12535" s="1"/>
      <c r="K12535" s="1"/>
      <c r="L12535" s="1"/>
      <c r="M12535" s="1"/>
      <c r="N12535" s="1"/>
      <c r="O12535" s="1"/>
      <c r="P12535" s="1"/>
      <c r="Q12535" s="1"/>
      <c r="R12535" s="1"/>
      <c r="S12535" s="1"/>
      <c r="T12535" s="1"/>
      <c r="U12535" s="1"/>
      <c r="V12535" s="1"/>
      <c r="W12535" s="1"/>
      <c r="X12535" s="1"/>
      <c r="Y12535" s="1"/>
      <c r="Z12535" s="1"/>
      <c r="AA12535" s="1"/>
      <c r="AB12535" s="1"/>
    </row>
    <row r="12536" ht="50.25" customHeight="1">
      <c r="A12536" s="12">
        <v>12532.0</v>
      </c>
      <c r="B12536" s="13" t="s">
        <v>12266</v>
      </c>
      <c r="C12536" s="14" t="s">
        <v>12311</v>
      </c>
      <c r="D12536" s="1"/>
      <c r="E12536" s="1"/>
      <c r="F12536" s="1" t="str">
        <f>IFERROR(__xludf.DUMMYFUNCTION("GOOGLETRANSLATE(B12536, ""en"", ""fa"")
"),"سبک زندگی عشایری دیجیتال")</f>
        <v>سبک زندگی عشایری دیجیتال</v>
      </c>
      <c r="G12536" s="1" t="str">
        <f>IFERROR(__xludf.DUMMYFUNCTION("GOOGLETRANSLATE(C12536,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536" s="1"/>
      <c r="I12536" s="1"/>
      <c r="J12536" s="1"/>
      <c r="K12536" s="1"/>
      <c r="L12536" s="1"/>
      <c r="M12536" s="1"/>
      <c r="N12536" s="1"/>
      <c r="O12536" s="1"/>
      <c r="P12536" s="1"/>
      <c r="Q12536" s="1"/>
      <c r="R12536" s="1"/>
      <c r="S12536" s="1"/>
      <c r="T12536" s="1"/>
      <c r="U12536" s="1"/>
      <c r="V12536" s="1"/>
      <c r="W12536" s="1"/>
      <c r="X12536" s="1"/>
      <c r="Y12536" s="1"/>
      <c r="Z12536" s="1"/>
      <c r="AA12536" s="1"/>
      <c r="AB12536" s="1"/>
    </row>
    <row r="12537" ht="50.25" customHeight="1">
      <c r="A12537" s="12">
        <v>12533.0</v>
      </c>
      <c r="B12537" s="13" t="s">
        <v>12266</v>
      </c>
      <c r="C12537" s="14" t="s">
        <v>12312</v>
      </c>
      <c r="D12537" s="1"/>
      <c r="E12537" s="1"/>
      <c r="F12537" s="1" t="str">
        <f>IFERROR(__xludf.DUMMYFUNCTION("GOOGLETRANSLATE(B12537, ""en"", ""fa"")
"),"سبک زندگی عشایری دیجیتال")</f>
        <v>سبک زندگی عشایری دیجیتال</v>
      </c>
      <c r="G12537" s="1" t="str">
        <f>IFERROR(__xludf.DUMMYFUNCTION("GOOGLETRANSLATE(C12537,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537" s="1"/>
      <c r="I12537" s="1"/>
      <c r="J12537" s="1"/>
      <c r="K12537" s="1"/>
      <c r="L12537" s="1"/>
      <c r="M12537" s="1"/>
      <c r="N12537" s="1"/>
      <c r="O12537" s="1"/>
      <c r="P12537" s="1"/>
      <c r="Q12537" s="1"/>
      <c r="R12537" s="1"/>
      <c r="S12537" s="1"/>
      <c r="T12537" s="1"/>
      <c r="U12537" s="1"/>
      <c r="V12537" s="1"/>
      <c r="W12537" s="1"/>
      <c r="X12537" s="1"/>
      <c r="Y12537" s="1"/>
      <c r="Z12537" s="1"/>
      <c r="AA12537" s="1"/>
      <c r="AB12537" s="1"/>
    </row>
    <row r="12538" ht="50.25" customHeight="1">
      <c r="A12538" s="12">
        <v>12534.0</v>
      </c>
      <c r="B12538" s="13" t="s">
        <v>12266</v>
      </c>
      <c r="C12538" s="14" t="s">
        <v>12313</v>
      </c>
      <c r="D12538" s="1"/>
      <c r="E12538" s="1"/>
      <c r="F12538" s="1" t="str">
        <f>IFERROR(__xludf.DUMMYFUNCTION("GOOGLETRANSLATE(B12538, ""en"", ""fa"")
"),"سبک زندگی عشایری دیجیتال")</f>
        <v>سبک زندگی عشایری دیجیتال</v>
      </c>
      <c r="G12538" s="1" t="str">
        <f>IFERROR(__xludf.DUMMYFUNCTION("GOOGLETRANSLATE(C12538,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538" s="1"/>
      <c r="I12538" s="1"/>
      <c r="J12538" s="1"/>
      <c r="K12538" s="1"/>
      <c r="L12538" s="1"/>
      <c r="M12538" s="1"/>
      <c r="N12538" s="1"/>
      <c r="O12538" s="1"/>
      <c r="P12538" s="1"/>
      <c r="Q12538" s="1"/>
      <c r="R12538" s="1"/>
      <c r="S12538" s="1"/>
      <c r="T12538" s="1"/>
      <c r="U12538" s="1"/>
      <c r="V12538" s="1"/>
      <c r="W12538" s="1"/>
      <c r="X12538" s="1"/>
      <c r="Y12538" s="1"/>
      <c r="Z12538" s="1"/>
      <c r="AA12538" s="1"/>
      <c r="AB12538" s="1"/>
    </row>
    <row r="12539" ht="50.25" customHeight="1">
      <c r="A12539" s="12">
        <v>12535.0</v>
      </c>
      <c r="B12539" s="13" t="s">
        <v>12266</v>
      </c>
      <c r="C12539" s="14" t="s">
        <v>12314</v>
      </c>
      <c r="D12539" s="1"/>
      <c r="E12539" s="1"/>
      <c r="F12539" s="1" t="str">
        <f>IFERROR(__xludf.DUMMYFUNCTION("GOOGLETRANSLATE(B12539, ""en"", ""fa"")
"),"سبک زندگی عشایری دیجیتال")</f>
        <v>سبک زندگی عشایری دیجیتال</v>
      </c>
      <c r="G12539" s="1" t="str">
        <f>IFERROR(__xludf.DUMMYFUNCTION("GOOGLETRANSLATE(C12539, ""en"", ""fa"")
"),"بهترین استراتژی برای غلبه بر خستگی سفر و تاخیر جت در حین حرکت چیست؟")</f>
        <v>بهترین استراتژی برای غلبه بر خستگی سفر و تاخیر جت در حین حرکت چیست؟</v>
      </c>
      <c r="H12539" s="1"/>
      <c r="I12539" s="1"/>
      <c r="J12539" s="1"/>
      <c r="K12539" s="1"/>
      <c r="L12539" s="1"/>
      <c r="M12539" s="1"/>
      <c r="N12539" s="1"/>
      <c r="O12539" s="1"/>
      <c r="P12539" s="1"/>
      <c r="Q12539" s="1"/>
      <c r="R12539" s="1"/>
      <c r="S12539" s="1"/>
      <c r="T12539" s="1"/>
      <c r="U12539" s="1"/>
      <c r="V12539" s="1"/>
      <c r="W12539" s="1"/>
      <c r="X12539" s="1"/>
      <c r="Y12539" s="1"/>
      <c r="Z12539" s="1"/>
      <c r="AA12539" s="1"/>
      <c r="AB12539" s="1"/>
    </row>
    <row r="12540" ht="50.25" customHeight="1">
      <c r="A12540" s="12">
        <v>12536.0</v>
      </c>
      <c r="B12540" s="13" t="s">
        <v>12266</v>
      </c>
      <c r="C12540" s="14" t="s">
        <v>12315</v>
      </c>
      <c r="D12540" s="1"/>
      <c r="E12540" s="1"/>
      <c r="F12540" s="1" t="str">
        <f>IFERROR(__xludf.DUMMYFUNCTION("GOOGLETRANSLATE(B12540, ""en"", ""fa"")
"),"سبک زندگی عشایری دیجیتال")</f>
        <v>سبک زندگی عشایری دیجیتال</v>
      </c>
      <c r="G12540" s="1" t="str">
        <f>IFERROR(__xludf.DUMMYFUNCTION("GOOGLETRANSLATE(C12540,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540" s="1"/>
      <c r="I12540" s="1"/>
      <c r="J12540" s="1"/>
      <c r="K12540" s="1"/>
      <c r="L12540" s="1"/>
      <c r="M12540" s="1"/>
      <c r="N12540" s="1"/>
      <c r="O12540" s="1"/>
      <c r="P12540" s="1"/>
      <c r="Q12540" s="1"/>
      <c r="R12540" s="1"/>
      <c r="S12540" s="1"/>
      <c r="T12540" s="1"/>
      <c r="U12540" s="1"/>
      <c r="V12540" s="1"/>
      <c r="W12540" s="1"/>
      <c r="X12540" s="1"/>
      <c r="Y12540" s="1"/>
      <c r="Z12540" s="1"/>
      <c r="AA12540" s="1"/>
      <c r="AB12540" s="1"/>
    </row>
    <row r="12541" ht="50.25" customHeight="1">
      <c r="A12541" s="12">
        <v>12537.0</v>
      </c>
      <c r="B12541" s="13" t="s">
        <v>12266</v>
      </c>
      <c r="C12541" s="14" t="s">
        <v>12316</v>
      </c>
      <c r="D12541" s="1"/>
      <c r="E12541" s="1"/>
      <c r="F12541" s="1" t="str">
        <f>IFERROR(__xludf.DUMMYFUNCTION("GOOGLETRANSLATE(B12541, ""en"", ""fa"")
"),"سبک زندگی عشایری دیجیتال")</f>
        <v>سبک زندگی عشایری دیجیتال</v>
      </c>
      <c r="G12541" s="1" t="str">
        <f>IFERROR(__xludf.DUMMYFUNCTION("GOOGLETRANSLATE(C12541,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541" s="1"/>
      <c r="I12541" s="1"/>
      <c r="J12541" s="1"/>
      <c r="K12541" s="1"/>
      <c r="L12541" s="1"/>
      <c r="M12541" s="1"/>
      <c r="N12541" s="1"/>
      <c r="O12541" s="1"/>
      <c r="P12541" s="1"/>
      <c r="Q12541" s="1"/>
      <c r="R12541" s="1"/>
      <c r="S12541" s="1"/>
      <c r="T12541" s="1"/>
      <c r="U12541" s="1"/>
      <c r="V12541" s="1"/>
      <c r="W12541" s="1"/>
      <c r="X12541" s="1"/>
      <c r="Y12541" s="1"/>
      <c r="Z12541" s="1"/>
      <c r="AA12541" s="1"/>
      <c r="AB12541" s="1"/>
    </row>
    <row r="12542" ht="50.25" customHeight="1">
      <c r="A12542" s="12">
        <v>12538.0</v>
      </c>
      <c r="B12542" s="13" t="s">
        <v>12266</v>
      </c>
      <c r="C12542" s="14" t="s">
        <v>12317</v>
      </c>
      <c r="D12542" s="1"/>
      <c r="E12542" s="1"/>
      <c r="F12542" s="1" t="str">
        <f>IFERROR(__xludf.DUMMYFUNCTION("GOOGLETRANSLATE(B12542, ""en"", ""fa"")
"),"سبک زندگی عشایری دیجیتال")</f>
        <v>سبک زندگی عشایری دیجیتال</v>
      </c>
      <c r="G12542" s="1" t="str">
        <f>IFERROR(__xludf.DUMMYFUNCTION("GOOGLETRANSLATE(C12542, ""en"", ""fa"")
"),"اقلام ضروری برای حفظ یک رژیم غذایی سالم و متعادل در سفر چیست؟")</f>
        <v>اقلام ضروری برای حفظ یک رژیم غذایی سالم و متعادل در سفر چیست؟</v>
      </c>
      <c r="H12542" s="1"/>
      <c r="I12542" s="1"/>
      <c r="J12542" s="1"/>
      <c r="K12542" s="1"/>
      <c r="L12542" s="1"/>
      <c r="M12542" s="1"/>
      <c r="N12542" s="1"/>
      <c r="O12542" s="1"/>
      <c r="P12542" s="1"/>
      <c r="Q12542" s="1"/>
      <c r="R12542" s="1"/>
      <c r="S12542" s="1"/>
      <c r="T12542" s="1"/>
      <c r="U12542" s="1"/>
      <c r="V12542" s="1"/>
      <c r="W12542" s="1"/>
      <c r="X12542" s="1"/>
      <c r="Y12542" s="1"/>
      <c r="Z12542" s="1"/>
      <c r="AA12542" s="1"/>
      <c r="AB12542" s="1"/>
    </row>
    <row r="12543" ht="50.25" customHeight="1">
      <c r="A12543" s="12">
        <v>12539.0</v>
      </c>
      <c r="B12543" s="13" t="s">
        <v>12266</v>
      </c>
      <c r="C12543" s="14" t="s">
        <v>12318</v>
      </c>
      <c r="D12543" s="1"/>
      <c r="E12543" s="1"/>
      <c r="F12543" s="1" t="str">
        <f>IFERROR(__xludf.DUMMYFUNCTION("GOOGLETRANSLATE(B12543, ""en"", ""fa"")
"),"سبک زندگی عشایری دیجیتال")</f>
        <v>سبک زندگی عشایری دیجیتال</v>
      </c>
      <c r="G12543" s="1" t="str">
        <f>IFERROR(__xludf.DUMMYFUNCTION("GOOGLETRANSLATE(C12543,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543" s="1"/>
      <c r="I12543" s="1"/>
      <c r="J12543" s="1"/>
      <c r="K12543" s="1"/>
      <c r="L12543" s="1"/>
      <c r="M12543" s="1"/>
      <c r="N12543" s="1"/>
      <c r="O12543" s="1"/>
      <c r="P12543" s="1"/>
      <c r="Q12543" s="1"/>
      <c r="R12543" s="1"/>
      <c r="S12543" s="1"/>
      <c r="T12543" s="1"/>
      <c r="U12543" s="1"/>
      <c r="V12543" s="1"/>
      <c r="W12543" s="1"/>
      <c r="X12543" s="1"/>
      <c r="Y12543" s="1"/>
      <c r="Z12543" s="1"/>
      <c r="AA12543" s="1"/>
      <c r="AB12543" s="1"/>
    </row>
    <row r="12544" ht="50.25" customHeight="1">
      <c r="A12544" s="12">
        <v>12540.0</v>
      </c>
      <c r="B12544" s="13" t="s">
        <v>12266</v>
      </c>
      <c r="C12544" s="14" t="s">
        <v>12319</v>
      </c>
      <c r="D12544" s="1"/>
      <c r="E12544" s="1"/>
      <c r="F12544" s="1" t="str">
        <f>IFERROR(__xludf.DUMMYFUNCTION("GOOGLETRANSLATE(B12544, ""en"", ""fa"")
"),"سبک زندگی عشایری دیجیتال")</f>
        <v>سبک زندگی عشایری دیجیتال</v>
      </c>
      <c r="G12544" s="1" t="str">
        <f>IFERROR(__xludf.DUMMYFUNCTION("GOOGLETRANSLATE(C12544,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544" s="1"/>
      <c r="I12544" s="1"/>
      <c r="J12544" s="1"/>
      <c r="K12544" s="1"/>
      <c r="L12544" s="1"/>
      <c r="M12544" s="1"/>
      <c r="N12544" s="1"/>
      <c r="O12544" s="1"/>
      <c r="P12544" s="1"/>
      <c r="Q12544" s="1"/>
      <c r="R12544" s="1"/>
      <c r="S12544" s="1"/>
      <c r="T12544" s="1"/>
      <c r="U12544" s="1"/>
      <c r="V12544" s="1"/>
      <c r="W12544" s="1"/>
      <c r="X12544" s="1"/>
      <c r="Y12544" s="1"/>
      <c r="Z12544" s="1"/>
      <c r="AA12544" s="1"/>
      <c r="AB12544" s="1"/>
    </row>
    <row r="12545" ht="50.25" customHeight="1">
      <c r="A12545" s="12">
        <v>12541.0</v>
      </c>
      <c r="B12545" s="13" t="s">
        <v>12266</v>
      </c>
      <c r="C12545" s="14" t="s">
        <v>12323</v>
      </c>
      <c r="D12545" s="1"/>
      <c r="E12545" s="1"/>
      <c r="F12545" s="1" t="str">
        <f>IFERROR(__xludf.DUMMYFUNCTION("GOOGLETRANSLATE(B12545, ""en"", ""fa"")
"),"سبک زندگی عشایری دیجیتال")</f>
        <v>سبک زندگی عشایری دیجیتال</v>
      </c>
      <c r="G12545" s="1" t="str">
        <f>IFERROR(__xludf.DUMMYFUNCTION("GOOGLETRANSLATE(C12545,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545" s="1"/>
      <c r="I12545" s="1"/>
      <c r="J12545" s="1"/>
      <c r="K12545" s="1"/>
      <c r="L12545" s="1"/>
      <c r="M12545" s="1"/>
      <c r="N12545" s="1"/>
      <c r="O12545" s="1"/>
      <c r="P12545" s="1"/>
      <c r="Q12545" s="1"/>
      <c r="R12545" s="1"/>
      <c r="S12545" s="1"/>
      <c r="T12545" s="1"/>
      <c r="U12545" s="1"/>
      <c r="V12545" s="1"/>
      <c r="W12545" s="1"/>
      <c r="X12545" s="1"/>
      <c r="Y12545" s="1"/>
      <c r="Z12545" s="1"/>
      <c r="AA12545" s="1"/>
      <c r="AB12545" s="1"/>
    </row>
    <row r="12546" ht="50.25" customHeight="1">
      <c r="A12546" s="12">
        <v>12542.0</v>
      </c>
      <c r="B12546" s="13" t="s">
        <v>12266</v>
      </c>
      <c r="C12546" s="14" t="s">
        <v>12324</v>
      </c>
      <c r="D12546" s="1"/>
      <c r="E12546" s="1"/>
      <c r="F12546" s="1" t="str">
        <f>IFERROR(__xludf.DUMMYFUNCTION("GOOGLETRANSLATE(B12546, ""en"", ""fa"")
"),"سبک زندگی عشایری دیجیتال")</f>
        <v>سبک زندگی عشایری دیجیتال</v>
      </c>
      <c r="G12546" s="1" t="str">
        <f>IFERROR(__xludf.DUMMYFUNCTION("GOOGLETRANSLATE(C12546,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546" s="1"/>
      <c r="I12546" s="1"/>
      <c r="J12546" s="1"/>
      <c r="K12546" s="1"/>
      <c r="L12546" s="1"/>
      <c r="M12546" s="1"/>
      <c r="N12546" s="1"/>
      <c r="O12546" s="1"/>
      <c r="P12546" s="1"/>
      <c r="Q12546" s="1"/>
      <c r="R12546" s="1"/>
      <c r="S12546" s="1"/>
      <c r="T12546" s="1"/>
      <c r="U12546" s="1"/>
      <c r="V12546" s="1"/>
      <c r="W12546" s="1"/>
      <c r="X12546" s="1"/>
      <c r="Y12546" s="1"/>
      <c r="Z12546" s="1"/>
      <c r="AA12546" s="1"/>
      <c r="AB12546" s="1"/>
    </row>
    <row r="12547" ht="50.25" customHeight="1">
      <c r="A12547" s="12">
        <v>12543.0</v>
      </c>
      <c r="B12547" s="13" t="s">
        <v>12266</v>
      </c>
      <c r="C12547" s="14" t="s">
        <v>12325</v>
      </c>
      <c r="D12547" s="1"/>
      <c r="E12547" s="1"/>
      <c r="F12547" s="1" t="str">
        <f>IFERROR(__xludf.DUMMYFUNCTION("GOOGLETRANSLATE(B12547, ""en"", ""fa"")
"),"سبک زندگی عشایری دیجیتال")</f>
        <v>سبک زندگی عشایری دیجیتال</v>
      </c>
      <c r="G12547" s="1" t="str">
        <f>IFERROR(__xludf.DUMMYFUNCTION("GOOGLETRANSLATE(C12547,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547" s="1"/>
      <c r="I12547" s="1"/>
      <c r="J12547" s="1"/>
      <c r="K12547" s="1"/>
      <c r="L12547" s="1"/>
      <c r="M12547" s="1"/>
      <c r="N12547" s="1"/>
      <c r="O12547" s="1"/>
      <c r="P12547" s="1"/>
      <c r="Q12547" s="1"/>
      <c r="R12547" s="1"/>
      <c r="S12547" s="1"/>
      <c r="T12547" s="1"/>
      <c r="U12547" s="1"/>
      <c r="V12547" s="1"/>
      <c r="W12547" s="1"/>
      <c r="X12547" s="1"/>
      <c r="Y12547" s="1"/>
      <c r="Z12547" s="1"/>
      <c r="AA12547" s="1"/>
      <c r="AB12547" s="1"/>
    </row>
    <row r="12548" ht="50.25" customHeight="1">
      <c r="A12548" s="12">
        <v>12544.0</v>
      </c>
      <c r="B12548" s="13" t="s">
        <v>12266</v>
      </c>
      <c r="C12548" s="14" t="s">
        <v>12326</v>
      </c>
      <c r="D12548" s="1"/>
      <c r="E12548" s="1"/>
      <c r="F12548" s="1" t="str">
        <f>IFERROR(__xludf.DUMMYFUNCTION("GOOGLETRANSLATE(B12548, ""en"", ""fa"")
"),"سبک زندگی عشایری دیجیتال")</f>
        <v>سبک زندگی عشایری دیجیتال</v>
      </c>
      <c r="G12548" s="1" t="str">
        <f>IFERROR(__xludf.DUMMYFUNCTION("GOOGLETRANSLATE(C12548,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548" s="1"/>
      <c r="I12548" s="1"/>
      <c r="J12548" s="1"/>
      <c r="K12548" s="1"/>
      <c r="L12548" s="1"/>
      <c r="M12548" s="1"/>
      <c r="N12548" s="1"/>
      <c r="O12548" s="1"/>
      <c r="P12548" s="1"/>
      <c r="Q12548" s="1"/>
      <c r="R12548" s="1"/>
      <c r="S12548" s="1"/>
      <c r="T12548" s="1"/>
      <c r="U12548" s="1"/>
      <c r="V12548" s="1"/>
      <c r="W12548" s="1"/>
      <c r="X12548" s="1"/>
      <c r="Y12548" s="1"/>
      <c r="Z12548" s="1"/>
      <c r="AA12548" s="1"/>
      <c r="AB12548" s="1"/>
    </row>
    <row r="12549" ht="50.25" customHeight="1">
      <c r="A12549" s="12">
        <v>12545.0</v>
      </c>
      <c r="B12549" s="13" t="s">
        <v>12266</v>
      </c>
      <c r="C12549" s="14" t="s">
        <v>12327</v>
      </c>
      <c r="D12549" s="1"/>
      <c r="E12549" s="1"/>
      <c r="F12549" s="1" t="str">
        <f>IFERROR(__xludf.DUMMYFUNCTION("GOOGLETRANSLATE(B12549, ""en"", ""fa"")
"),"سبک زندگی عشایری دیجیتال")</f>
        <v>سبک زندگی عشایری دیجیتال</v>
      </c>
      <c r="G12549" s="1" t="str">
        <f>IFERROR(__xludf.DUMMYFUNCTION("GOOGLETRANSLATE(C12549,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549" s="1"/>
      <c r="I12549" s="1"/>
      <c r="J12549" s="1"/>
      <c r="K12549" s="1"/>
      <c r="L12549" s="1"/>
      <c r="M12549" s="1"/>
      <c r="N12549" s="1"/>
      <c r="O12549" s="1"/>
      <c r="P12549" s="1"/>
      <c r="Q12549" s="1"/>
      <c r="R12549" s="1"/>
      <c r="S12549" s="1"/>
      <c r="T12549" s="1"/>
      <c r="U12549" s="1"/>
      <c r="V12549" s="1"/>
      <c r="W12549" s="1"/>
      <c r="X12549" s="1"/>
      <c r="Y12549" s="1"/>
      <c r="Z12549" s="1"/>
      <c r="AA12549" s="1"/>
      <c r="AB12549" s="1"/>
    </row>
    <row r="12550" ht="50.25" customHeight="1">
      <c r="A12550" s="12">
        <v>12546.0</v>
      </c>
      <c r="B12550" s="13" t="s">
        <v>12266</v>
      </c>
      <c r="C12550" s="14" t="s">
        <v>12303</v>
      </c>
      <c r="D12550" s="1"/>
      <c r="E12550" s="1"/>
      <c r="F12550" s="1" t="str">
        <f>IFERROR(__xludf.DUMMYFUNCTION("GOOGLETRANSLATE(B12550, ""en"", ""fa"")
"),"سبک زندگی عشایری دیجیتال")</f>
        <v>سبک زندگی عشایری دیجیتال</v>
      </c>
      <c r="G12550" s="1" t="str">
        <f>IFERROR(__xludf.DUMMYFUNCTION("GOOGLETRANSLATE(C12550,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550" s="1"/>
      <c r="I12550" s="1"/>
      <c r="J12550" s="1"/>
      <c r="K12550" s="1"/>
      <c r="L12550" s="1"/>
      <c r="M12550" s="1"/>
      <c r="N12550" s="1"/>
      <c r="O12550" s="1"/>
      <c r="P12550" s="1"/>
      <c r="Q12550" s="1"/>
      <c r="R12550" s="1"/>
      <c r="S12550" s="1"/>
      <c r="T12550" s="1"/>
      <c r="U12550" s="1"/>
      <c r="V12550" s="1"/>
      <c r="W12550" s="1"/>
      <c r="X12550" s="1"/>
      <c r="Y12550" s="1"/>
      <c r="Z12550" s="1"/>
      <c r="AA12550" s="1"/>
      <c r="AB12550" s="1"/>
    </row>
    <row r="12551" ht="50.25" customHeight="1">
      <c r="A12551" s="12">
        <v>12547.0</v>
      </c>
      <c r="B12551" s="13" t="s">
        <v>12266</v>
      </c>
      <c r="C12551" s="14" t="s">
        <v>12302</v>
      </c>
      <c r="D12551" s="1"/>
      <c r="E12551" s="1"/>
      <c r="F12551" s="1" t="str">
        <f>IFERROR(__xludf.DUMMYFUNCTION("GOOGLETRANSLATE(B12551, ""en"", ""fa"")
"),"سبک زندگی عشایری دیجیتال")</f>
        <v>سبک زندگی عشایری دیجیتال</v>
      </c>
      <c r="G12551" s="1" t="str">
        <f>IFERROR(__xludf.DUMMYFUNCTION("GOOGLETRANSLATE(C12551,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551" s="1"/>
      <c r="I12551" s="1"/>
      <c r="J12551" s="1"/>
      <c r="K12551" s="1"/>
      <c r="L12551" s="1"/>
      <c r="M12551" s="1"/>
      <c r="N12551" s="1"/>
      <c r="O12551" s="1"/>
      <c r="P12551" s="1"/>
      <c r="Q12551" s="1"/>
      <c r="R12551" s="1"/>
      <c r="S12551" s="1"/>
      <c r="T12551" s="1"/>
      <c r="U12551" s="1"/>
      <c r="V12551" s="1"/>
      <c r="W12551" s="1"/>
      <c r="X12551" s="1"/>
      <c r="Y12551" s="1"/>
      <c r="Z12551" s="1"/>
      <c r="AA12551" s="1"/>
      <c r="AB12551" s="1"/>
    </row>
    <row r="12552" ht="50.25" customHeight="1">
      <c r="A12552" s="12">
        <v>12548.0</v>
      </c>
      <c r="B12552" s="13" t="s">
        <v>12266</v>
      </c>
      <c r="C12552" s="14" t="s">
        <v>12298</v>
      </c>
      <c r="D12552" s="1"/>
      <c r="E12552" s="1"/>
      <c r="F12552" s="1" t="str">
        <f>IFERROR(__xludf.DUMMYFUNCTION("GOOGLETRANSLATE(B12552, ""en"", ""fa"")
"),"سبک زندگی عشایری دیجیتال")</f>
        <v>سبک زندگی عشایری دیجیتال</v>
      </c>
      <c r="G12552" s="1" t="str">
        <f>IFERROR(__xludf.DUMMYFUNCTION("GOOGLETRANSLATE(C12552,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552" s="1"/>
      <c r="I12552" s="1"/>
      <c r="J12552" s="1"/>
      <c r="K12552" s="1"/>
      <c r="L12552" s="1"/>
      <c r="M12552" s="1"/>
      <c r="N12552" s="1"/>
      <c r="O12552" s="1"/>
      <c r="P12552" s="1"/>
      <c r="Q12552" s="1"/>
      <c r="R12552" s="1"/>
      <c r="S12552" s="1"/>
      <c r="T12552" s="1"/>
      <c r="U12552" s="1"/>
      <c r="V12552" s="1"/>
      <c r="W12552" s="1"/>
      <c r="X12552" s="1"/>
      <c r="Y12552" s="1"/>
      <c r="Z12552" s="1"/>
      <c r="AA12552" s="1"/>
      <c r="AB12552" s="1"/>
    </row>
    <row r="12553" ht="50.25" customHeight="1">
      <c r="A12553" s="12">
        <v>12549.0</v>
      </c>
      <c r="B12553" s="13" t="s">
        <v>12266</v>
      </c>
      <c r="C12553" s="14" t="s">
        <v>12301</v>
      </c>
      <c r="D12553" s="1"/>
      <c r="E12553" s="1"/>
      <c r="F12553" s="1" t="str">
        <f>IFERROR(__xludf.DUMMYFUNCTION("GOOGLETRANSLATE(B12553, ""en"", ""fa"")
"),"سبک زندگی عشایری دیجیتال")</f>
        <v>سبک زندگی عشایری دیجیتال</v>
      </c>
      <c r="G12553" s="1" t="str">
        <f>IFERROR(__xludf.DUMMYFUNCTION("GOOGLETRANSLATE(C12553,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553" s="1"/>
      <c r="I12553" s="1"/>
      <c r="J12553" s="1"/>
      <c r="K12553" s="1"/>
      <c r="L12553" s="1"/>
      <c r="M12553" s="1"/>
      <c r="N12553" s="1"/>
      <c r="O12553" s="1"/>
      <c r="P12553" s="1"/>
      <c r="Q12553" s="1"/>
      <c r="R12553" s="1"/>
      <c r="S12553" s="1"/>
      <c r="T12553" s="1"/>
      <c r="U12553" s="1"/>
      <c r="V12553" s="1"/>
      <c r="W12553" s="1"/>
      <c r="X12553" s="1"/>
      <c r="Y12553" s="1"/>
      <c r="Z12553" s="1"/>
      <c r="AA12553" s="1"/>
      <c r="AB12553" s="1"/>
    </row>
    <row r="12554" ht="50.25" customHeight="1">
      <c r="A12554" s="12">
        <v>12550.0</v>
      </c>
      <c r="B12554" s="13" t="s">
        <v>12266</v>
      </c>
      <c r="C12554" s="14" t="s">
        <v>12299</v>
      </c>
      <c r="D12554" s="1"/>
      <c r="E12554" s="1"/>
      <c r="F12554" s="1" t="str">
        <f>IFERROR(__xludf.DUMMYFUNCTION("GOOGLETRANSLATE(B12554, ""en"", ""fa"")
"),"سبک زندگی عشایری دیجیتال")</f>
        <v>سبک زندگی عشایری دیجیتال</v>
      </c>
      <c r="G12554" s="1" t="str">
        <f>IFERROR(__xludf.DUMMYFUNCTION("GOOGLETRANSLATE(C12554, ""en"", ""fa"")
"),"نقاط و مقاصد محبوب عشایر دیجیتال برای هر فصل کدامند؟")</f>
        <v>نقاط و مقاصد محبوب عشایر دیجیتال برای هر فصل کدامند؟</v>
      </c>
      <c r="H12554" s="1"/>
      <c r="I12554" s="1"/>
      <c r="J12554" s="1"/>
      <c r="K12554" s="1"/>
      <c r="L12554" s="1"/>
      <c r="M12554" s="1"/>
      <c r="N12554" s="1"/>
      <c r="O12554" s="1"/>
      <c r="P12554" s="1"/>
      <c r="Q12554" s="1"/>
      <c r="R12554" s="1"/>
      <c r="S12554" s="1"/>
      <c r="T12554" s="1"/>
      <c r="U12554" s="1"/>
      <c r="V12554" s="1"/>
      <c r="W12554" s="1"/>
      <c r="X12554" s="1"/>
      <c r="Y12554" s="1"/>
      <c r="Z12554" s="1"/>
      <c r="AA12554" s="1"/>
      <c r="AB12554" s="1"/>
    </row>
    <row r="12555" ht="50.25" customHeight="1">
      <c r="A12555" s="12">
        <v>12551.0</v>
      </c>
      <c r="B12555" s="13" t="s">
        <v>12266</v>
      </c>
      <c r="C12555" s="14" t="s">
        <v>12300</v>
      </c>
      <c r="D12555" s="1"/>
      <c r="E12555" s="1"/>
      <c r="F12555" s="1" t="str">
        <f>IFERROR(__xludf.DUMMYFUNCTION("GOOGLETRANSLATE(B12555, ""en"", ""fa"")
"),"سبک زندگی عشایری دیجیتال")</f>
        <v>سبک زندگی عشایری دیجیتال</v>
      </c>
      <c r="G12555" s="1" t="str">
        <f>IFERROR(__xludf.DUMMYFUNCTION("GOOGLETRANSLATE(C12555,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555" s="1"/>
      <c r="I12555" s="1"/>
      <c r="J12555" s="1"/>
      <c r="K12555" s="1"/>
      <c r="L12555" s="1"/>
      <c r="M12555" s="1"/>
      <c r="N12555" s="1"/>
      <c r="O12555" s="1"/>
      <c r="P12555" s="1"/>
      <c r="Q12555" s="1"/>
      <c r="R12555" s="1"/>
      <c r="S12555" s="1"/>
      <c r="T12555" s="1"/>
      <c r="U12555" s="1"/>
      <c r="V12555" s="1"/>
      <c r="W12555" s="1"/>
      <c r="X12555" s="1"/>
      <c r="Y12555" s="1"/>
      <c r="Z12555" s="1"/>
      <c r="AA12555" s="1"/>
      <c r="AB12555" s="1"/>
    </row>
    <row r="12556" ht="50.25" customHeight="1">
      <c r="A12556" s="12">
        <v>12552.0</v>
      </c>
      <c r="B12556" s="13" t="s">
        <v>12266</v>
      </c>
      <c r="C12556" s="14" t="s">
        <v>12307</v>
      </c>
      <c r="D12556" s="1"/>
      <c r="E12556" s="1"/>
      <c r="F12556" s="1" t="str">
        <f>IFERROR(__xludf.DUMMYFUNCTION("GOOGLETRANSLATE(B12556, ""en"", ""fa"")
"),"سبک زندگی عشایری دیجیتال")</f>
        <v>سبک زندگی عشایری دیجیتال</v>
      </c>
      <c r="G12556" s="1" t="str">
        <f>IFERROR(__xludf.DUMMYFUNCTION("GOOGLETRANSLATE(C12556,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556" s="1"/>
      <c r="I12556" s="1"/>
      <c r="J12556" s="1"/>
      <c r="K12556" s="1"/>
      <c r="L12556" s="1"/>
      <c r="M12556" s="1"/>
      <c r="N12556" s="1"/>
      <c r="O12556" s="1"/>
      <c r="P12556" s="1"/>
      <c r="Q12556" s="1"/>
      <c r="R12556" s="1"/>
      <c r="S12556" s="1"/>
      <c r="T12556" s="1"/>
      <c r="U12556" s="1"/>
      <c r="V12556" s="1"/>
      <c r="W12556" s="1"/>
      <c r="X12556" s="1"/>
      <c r="Y12556" s="1"/>
      <c r="Z12556" s="1"/>
      <c r="AA12556" s="1"/>
      <c r="AB12556" s="1"/>
    </row>
    <row r="12557" ht="50.25" customHeight="1">
      <c r="A12557" s="12">
        <v>12553.0</v>
      </c>
      <c r="B12557" s="13" t="s">
        <v>12266</v>
      </c>
      <c r="C12557" s="14" t="s">
        <v>12308</v>
      </c>
      <c r="D12557" s="1"/>
      <c r="E12557" s="1"/>
      <c r="F12557" s="1" t="str">
        <f>IFERROR(__xludf.DUMMYFUNCTION("GOOGLETRANSLATE(B12557, ""en"", ""fa"")
"),"سبک زندگی عشایری دیجیتال")</f>
        <v>سبک زندگی عشایری دیجیتال</v>
      </c>
      <c r="G12557" s="1" t="str">
        <f>IFERROR(__xludf.DUMMYFUNCTION("GOOGLETRANSLATE(C12557,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557" s="1"/>
      <c r="I12557" s="1"/>
      <c r="J12557" s="1"/>
      <c r="K12557" s="1"/>
      <c r="L12557" s="1"/>
      <c r="M12557" s="1"/>
      <c r="N12557" s="1"/>
      <c r="O12557" s="1"/>
      <c r="P12557" s="1"/>
      <c r="Q12557" s="1"/>
      <c r="R12557" s="1"/>
      <c r="S12557" s="1"/>
      <c r="T12557" s="1"/>
      <c r="U12557" s="1"/>
      <c r="V12557" s="1"/>
      <c r="W12557" s="1"/>
      <c r="X12557" s="1"/>
      <c r="Y12557" s="1"/>
      <c r="Z12557" s="1"/>
      <c r="AA12557" s="1"/>
      <c r="AB12557" s="1"/>
    </row>
    <row r="12558" ht="50.25" customHeight="1">
      <c r="A12558" s="12">
        <v>12554.0</v>
      </c>
      <c r="B12558" s="13" t="s">
        <v>12266</v>
      </c>
      <c r="C12558" s="14" t="s">
        <v>12309</v>
      </c>
      <c r="D12558" s="1"/>
      <c r="E12558" s="1"/>
      <c r="F12558" s="1" t="str">
        <f>IFERROR(__xludf.DUMMYFUNCTION("GOOGLETRANSLATE(B12558, ""en"", ""fa"")
"),"سبک زندگی عشایری دیجیتال")</f>
        <v>سبک زندگی عشایری دیجیتال</v>
      </c>
      <c r="G12558" s="1" t="str">
        <f>IFERROR(__xludf.DUMMYFUNCTION("GOOGLETRANSLATE(C12558,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558" s="1"/>
      <c r="I12558" s="1"/>
      <c r="J12558" s="1"/>
      <c r="K12558" s="1"/>
      <c r="L12558" s="1"/>
      <c r="M12558" s="1"/>
      <c r="N12558" s="1"/>
      <c r="O12558" s="1"/>
      <c r="P12558" s="1"/>
      <c r="Q12558" s="1"/>
      <c r="R12558" s="1"/>
      <c r="S12558" s="1"/>
      <c r="T12558" s="1"/>
      <c r="U12558" s="1"/>
      <c r="V12558" s="1"/>
      <c r="W12558" s="1"/>
      <c r="X12558" s="1"/>
      <c r="Y12558" s="1"/>
      <c r="Z12558" s="1"/>
      <c r="AA12558" s="1"/>
      <c r="AB12558" s="1"/>
    </row>
    <row r="12559" ht="50.25" customHeight="1">
      <c r="A12559" s="12">
        <v>12555.0</v>
      </c>
      <c r="B12559" s="13" t="s">
        <v>12266</v>
      </c>
      <c r="C12559" s="14" t="s">
        <v>12310</v>
      </c>
      <c r="D12559" s="1"/>
      <c r="E12559" s="1"/>
      <c r="F12559" s="1" t="str">
        <f>IFERROR(__xludf.DUMMYFUNCTION("GOOGLETRANSLATE(B12559, ""en"", ""fa"")
"),"سبک زندگی عشایری دیجیتال")</f>
        <v>سبک زندگی عشایری دیجیتال</v>
      </c>
      <c r="G12559" s="1" t="str">
        <f>IFERROR(__xludf.DUMMYFUNCTION("GOOGLETRANSLATE(C12559,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559" s="1"/>
      <c r="I12559" s="1"/>
      <c r="J12559" s="1"/>
      <c r="K12559" s="1"/>
      <c r="L12559" s="1"/>
      <c r="M12559" s="1"/>
      <c r="N12559" s="1"/>
      <c r="O12559" s="1"/>
      <c r="P12559" s="1"/>
      <c r="Q12559" s="1"/>
      <c r="R12559" s="1"/>
      <c r="S12559" s="1"/>
      <c r="T12559" s="1"/>
      <c r="U12559" s="1"/>
      <c r="V12559" s="1"/>
      <c r="W12559" s="1"/>
      <c r="X12559" s="1"/>
      <c r="Y12559" s="1"/>
      <c r="Z12559" s="1"/>
      <c r="AA12559" s="1"/>
      <c r="AB12559" s="1"/>
    </row>
    <row r="12560" ht="50.25" customHeight="1">
      <c r="A12560" s="12">
        <v>12556.0</v>
      </c>
      <c r="B12560" s="13" t="s">
        <v>12266</v>
      </c>
      <c r="C12560" s="14" t="s">
        <v>12311</v>
      </c>
      <c r="D12560" s="1"/>
      <c r="E12560" s="1"/>
      <c r="F12560" s="1" t="str">
        <f>IFERROR(__xludf.DUMMYFUNCTION("GOOGLETRANSLATE(B12560, ""en"", ""fa"")
"),"سبک زندگی عشایری دیجیتال")</f>
        <v>سبک زندگی عشایری دیجیتال</v>
      </c>
      <c r="G12560" s="1" t="str">
        <f>IFERROR(__xludf.DUMMYFUNCTION("GOOGLETRANSLATE(C12560,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560" s="1"/>
      <c r="I12560" s="1"/>
      <c r="J12560" s="1"/>
      <c r="K12560" s="1"/>
      <c r="L12560" s="1"/>
      <c r="M12560" s="1"/>
      <c r="N12560" s="1"/>
      <c r="O12560" s="1"/>
      <c r="P12560" s="1"/>
      <c r="Q12560" s="1"/>
      <c r="R12560" s="1"/>
      <c r="S12560" s="1"/>
      <c r="T12560" s="1"/>
      <c r="U12560" s="1"/>
      <c r="V12560" s="1"/>
      <c r="W12560" s="1"/>
      <c r="X12560" s="1"/>
      <c r="Y12560" s="1"/>
      <c r="Z12560" s="1"/>
      <c r="AA12560" s="1"/>
      <c r="AB12560" s="1"/>
    </row>
    <row r="12561" ht="50.25" customHeight="1">
      <c r="A12561" s="12">
        <v>12557.0</v>
      </c>
      <c r="B12561" s="13" t="s">
        <v>12266</v>
      </c>
      <c r="C12561" s="14" t="s">
        <v>12312</v>
      </c>
      <c r="D12561" s="1"/>
      <c r="E12561" s="1"/>
      <c r="F12561" s="1" t="str">
        <f>IFERROR(__xludf.DUMMYFUNCTION("GOOGLETRANSLATE(B12561, ""en"", ""fa"")
"),"سبک زندگی عشایری دیجیتال")</f>
        <v>سبک زندگی عشایری دیجیتال</v>
      </c>
      <c r="G12561" s="1" t="str">
        <f>IFERROR(__xludf.DUMMYFUNCTION("GOOGLETRANSLATE(C12561,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561" s="1"/>
      <c r="I12561" s="1"/>
      <c r="J12561" s="1"/>
      <c r="K12561" s="1"/>
      <c r="L12561" s="1"/>
      <c r="M12561" s="1"/>
      <c r="N12561" s="1"/>
      <c r="O12561" s="1"/>
      <c r="P12561" s="1"/>
      <c r="Q12561" s="1"/>
      <c r="R12561" s="1"/>
      <c r="S12561" s="1"/>
      <c r="T12561" s="1"/>
      <c r="U12561" s="1"/>
      <c r="V12561" s="1"/>
      <c r="W12561" s="1"/>
      <c r="X12561" s="1"/>
      <c r="Y12561" s="1"/>
      <c r="Z12561" s="1"/>
      <c r="AA12561" s="1"/>
      <c r="AB12561" s="1"/>
    </row>
    <row r="12562" ht="50.25" customHeight="1">
      <c r="A12562" s="12">
        <v>12558.0</v>
      </c>
      <c r="B12562" s="13" t="s">
        <v>12266</v>
      </c>
      <c r="C12562" s="14" t="s">
        <v>12313</v>
      </c>
      <c r="D12562" s="1"/>
      <c r="E12562" s="1"/>
      <c r="F12562" s="1" t="str">
        <f>IFERROR(__xludf.DUMMYFUNCTION("GOOGLETRANSLATE(B12562, ""en"", ""fa"")
"),"سبک زندگی عشایری دیجیتال")</f>
        <v>سبک زندگی عشایری دیجیتال</v>
      </c>
      <c r="G12562" s="1" t="str">
        <f>IFERROR(__xludf.DUMMYFUNCTION("GOOGLETRANSLATE(C12562,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562" s="1"/>
      <c r="I12562" s="1"/>
      <c r="J12562" s="1"/>
      <c r="K12562" s="1"/>
      <c r="L12562" s="1"/>
      <c r="M12562" s="1"/>
      <c r="N12562" s="1"/>
      <c r="O12562" s="1"/>
      <c r="P12562" s="1"/>
      <c r="Q12562" s="1"/>
      <c r="R12562" s="1"/>
      <c r="S12562" s="1"/>
      <c r="T12562" s="1"/>
      <c r="U12562" s="1"/>
      <c r="V12562" s="1"/>
      <c r="W12562" s="1"/>
      <c r="X12562" s="1"/>
      <c r="Y12562" s="1"/>
      <c r="Z12562" s="1"/>
      <c r="AA12562" s="1"/>
      <c r="AB12562" s="1"/>
    </row>
    <row r="12563" ht="50.25" customHeight="1">
      <c r="A12563" s="12">
        <v>12559.0</v>
      </c>
      <c r="B12563" s="13" t="s">
        <v>12266</v>
      </c>
      <c r="C12563" s="14" t="s">
        <v>12314</v>
      </c>
      <c r="D12563" s="1"/>
      <c r="E12563" s="1"/>
      <c r="F12563" s="1" t="str">
        <f>IFERROR(__xludf.DUMMYFUNCTION("GOOGLETRANSLATE(B12563, ""en"", ""fa"")
"),"سبک زندگی عشایری دیجیتال")</f>
        <v>سبک زندگی عشایری دیجیتال</v>
      </c>
      <c r="G12563" s="1" t="str">
        <f>IFERROR(__xludf.DUMMYFUNCTION("GOOGLETRANSLATE(C12563, ""en"", ""fa"")
"),"بهترین استراتژی برای غلبه بر خستگی سفر و تاخیر جت در حین حرکت چیست؟")</f>
        <v>بهترین استراتژی برای غلبه بر خستگی سفر و تاخیر جت در حین حرکت چیست؟</v>
      </c>
      <c r="H12563" s="1"/>
      <c r="I12563" s="1"/>
      <c r="J12563" s="1"/>
      <c r="K12563" s="1"/>
      <c r="L12563" s="1"/>
      <c r="M12563" s="1"/>
      <c r="N12563" s="1"/>
      <c r="O12563" s="1"/>
      <c r="P12563" s="1"/>
      <c r="Q12563" s="1"/>
      <c r="R12563" s="1"/>
      <c r="S12563" s="1"/>
      <c r="T12563" s="1"/>
      <c r="U12563" s="1"/>
      <c r="V12563" s="1"/>
      <c r="W12563" s="1"/>
      <c r="X12563" s="1"/>
      <c r="Y12563" s="1"/>
      <c r="Z12563" s="1"/>
      <c r="AA12563" s="1"/>
      <c r="AB12563" s="1"/>
    </row>
    <row r="12564" ht="50.25" customHeight="1">
      <c r="A12564" s="12">
        <v>12560.0</v>
      </c>
      <c r="B12564" s="13" t="s">
        <v>12266</v>
      </c>
      <c r="C12564" s="14" t="s">
        <v>12315</v>
      </c>
      <c r="D12564" s="1"/>
      <c r="E12564" s="1"/>
      <c r="F12564" s="1" t="str">
        <f>IFERROR(__xludf.DUMMYFUNCTION("GOOGLETRANSLATE(B12564, ""en"", ""fa"")
"),"سبک زندگی عشایری دیجیتال")</f>
        <v>سبک زندگی عشایری دیجیتال</v>
      </c>
      <c r="G12564" s="1" t="str">
        <f>IFERROR(__xludf.DUMMYFUNCTION("GOOGLETRANSLATE(C12564,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564" s="1"/>
      <c r="I12564" s="1"/>
      <c r="J12564" s="1"/>
      <c r="K12564" s="1"/>
      <c r="L12564" s="1"/>
      <c r="M12564" s="1"/>
      <c r="N12564" s="1"/>
      <c r="O12564" s="1"/>
      <c r="P12564" s="1"/>
      <c r="Q12564" s="1"/>
      <c r="R12564" s="1"/>
      <c r="S12564" s="1"/>
      <c r="T12564" s="1"/>
      <c r="U12564" s="1"/>
      <c r="V12564" s="1"/>
      <c r="W12564" s="1"/>
      <c r="X12564" s="1"/>
      <c r="Y12564" s="1"/>
      <c r="Z12564" s="1"/>
      <c r="AA12564" s="1"/>
      <c r="AB12564" s="1"/>
    </row>
    <row r="12565" ht="50.25" customHeight="1">
      <c r="A12565" s="12">
        <v>12561.0</v>
      </c>
      <c r="B12565" s="13" t="s">
        <v>12266</v>
      </c>
      <c r="C12565" s="14" t="s">
        <v>12316</v>
      </c>
      <c r="D12565" s="1"/>
      <c r="E12565" s="1"/>
      <c r="F12565" s="1" t="str">
        <f>IFERROR(__xludf.DUMMYFUNCTION("GOOGLETRANSLATE(B12565, ""en"", ""fa"")
"),"سبک زندگی عشایری دیجیتال")</f>
        <v>سبک زندگی عشایری دیجیتال</v>
      </c>
      <c r="G12565" s="1" t="str">
        <f>IFERROR(__xludf.DUMMYFUNCTION("GOOGLETRANSLATE(C12565,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565" s="1"/>
      <c r="I12565" s="1"/>
      <c r="J12565" s="1"/>
      <c r="K12565" s="1"/>
      <c r="L12565" s="1"/>
      <c r="M12565" s="1"/>
      <c r="N12565" s="1"/>
      <c r="O12565" s="1"/>
      <c r="P12565" s="1"/>
      <c r="Q12565" s="1"/>
      <c r="R12565" s="1"/>
      <c r="S12565" s="1"/>
      <c r="T12565" s="1"/>
      <c r="U12565" s="1"/>
      <c r="V12565" s="1"/>
      <c r="W12565" s="1"/>
      <c r="X12565" s="1"/>
      <c r="Y12565" s="1"/>
      <c r="Z12565" s="1"/>
      <c r="AA12565" s="1"/>
      <c r="AB12565" s="1"/>
    </row>
    <row r="12566" ht="50.25" customHeight="1">
      <c r="A12566" s="12">
        <v>12562.0</v>
      </c>
      <c r="B12566" s="13" t="s">
        <v>12266</v>
      </c>
      <c r="C12566" s="14" t="s">
        <v>12317</v>
      </c>
      <c r="D12566" s="1"/>
      <c r="E12566" s="1"/>
      <c r="F12566" s="1" t="str">
        <f>IFERROR(__xludf.DUMMYFUNCTION("GOOGLETRANSLATE(B12566, ""en"", ""fa"")
"),"سبک زندگی عشایری دیجیتال")</f>
        <v>سبک زندگی عشایری دیجیتال</v>
      </c>
      <c r="G12566" s="1" t="str">
        <f>IFERROR(__xludf.DUMMYFUNCTION("GOOGLETRANSLATE(C12566, ""en"", ""fa"")
"),"اقلام ضروری برای حفظ یک رژیم غذایی سالم و متعادل در سفر چیست؟")</f>
        <v>اقلام ضروری برای حفظ یک رژیم غذایی سالم و متعادل در سفر چیست؟</v>
      </c>
      <c r="H12566" s="1"/>
      <c r="I12566" s="1"/>
      <c r="J12566" s="1"/>
      <c r="K12566" s="1"/>
      <c r="L12566" s="1"/>
      <c r="M12566" s="1"/>
      <c r="N12566" s="1"/>
      <c r="O12566" s="1"/>
      <c r="P12566" s="1"/>
      <c r="Q12566" s="1"/>
      <c r="R12566" s="1"/>
      <c r="S12566" s="1"/>
      <c r="T12566" s="1"/>
      <c r="U12566" s="1"/>
      <c r="V12566" s="1"/>
      <c r="W12566" s="1"/>
      <c r="X12566" s="1"/>
      <c r="Y12566" s="1"/>
      <c r="Z12566" s="1"/>
      <c r="AA12566" s="1"/>
      <c r="AB12566" s="1"/>
    </row>
    <row r="12567" ht="50.25" customHeight="1">
      <c r="A12567" s="12">
        <v>12563.0</v>
      </c>
      <c r="B12567" s="13" t="s">
        <v>12266</v>
      </c>
      <c r="C12567" s="14" t="s">
        <v>12318</v>
      </c>
      <c r="D12567" s="1"/>
      <c r="E12567" s="1"/>
      <c r="F12567" s="1" t="str">
        <f>IFERROR(__xludf.DUMMYFUNCTION("GOOGLETRANSLATE(B12567, ""en"", ""fa"")
"),"سبک زندگی عشایری دیجیتال")</f>
        <v>سبک زندگی عشایری دیجیتال</v>
      </c>
      <c r="G12567" s="1" t="str">
        <f>IFERROR(__xludf.DUMMYFUNCTION("GOOGLETRANSLATE(C12567,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567" s="1"/>
      <c r="I12567" s="1"/>
      <c r="J12567" s="1"/>
      <c r="K12567" s="1"/>
      <c r="L12567" s="1"/>
      <c r="M12567" s="1"/>
      <c r="N12567" s="1"/>
      <c r="O12567" s="1"/>
      <c r="P12567" s="1"/>
      <c r="Q12567" s="1"/>
      <c r="R12567" s="1"/>
      <c r="S12567" s="1"/>
      <c r="T12567" s="1"/>
      <c r="U12567" s="1"/>
      <c r="V12567" s="1"/>
      <c r="W12567" s="1"/>
      <c r="X12567" s="1"/>
      <c r="Y12567" s="1"/>
      <c r="Z12567" s="1"/>
      <c r="AA12567" s="1"/>
      <c r="AB12567" s="1"/>
    </row>
    <row r="12568" ht="50.25" customHeight="1">
      <c r="A12568" s="12">
        <v>12564.0</v>
      </c>
      <c r="B12568" s="13" t="s">
        <v>12266</v>
      </c>
      <c r="C12568" s="14" t="s">
        <v>12319</v>
      </c>
      <c r="D12568" s="1"/>
      <c r="E12568" s="1"/>
      <c r="F12568" s="1" t="str">
        <f>IFERROR(__xludf.DUMMYFUNCTION("GOOGLETRANSLATE(B12568, ""en"", ""fa"")
"),"سبک زندگی عشایری دیجیتال")</f>
        <v>سبک زندگی عشایری دیجیتال</v>
      </c>
      <c r="G12568" s="1" t="str">
        <f>IFERROR(__xludf.DUMMYFUNCTION("GOOGLETRANSLATE(C12568,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568" s="1"/>
      <c r="I12568" s="1"/>
      <c r="J12568" s="1"/>
      <c r="K12568" s="1"/>
      <c r="L12568" s="1"/>
      <c r="M12568" s="1"/>
      <c r="N12568" s="1"/>
      <c r="O12568" s="1"/>
      <c r="P12568" s="1"/>
      <c r="Q12568" s="1"/>
      <c r="R12568" s="1"/>
      <c r="S12568" s="1"/>
      <c r="T12568" s="1"/>
      <c r="U12568" s="1"/>
      <c r="V12568" s="1"/>
      <c r="W12568" s="1"/>
      <c r="X12568" s="1"/>
      <c r="Y12568" s="1"/>
      <c r="Z12568" s="1"/>
      <c r="AA12568" s="1"/>
      <c r="AB12568" s="1"/>
    </row>
    <row r="12569" ht="50.25" customHeight="1">
      <c r="A12569" s="12">
        <v>12565.0</v>
      </c>
      <c r="B12569" s="13" t="s">
        <v>12266</v>
      </c>
      <c r="C12569" s="14" t="s">
        <v>12323</v>
      </c>
      <c r="D12569" s="1"/>
      <c r="E12569" s="1"/>
      <c r="F12569" s="1" t="str">
        <f>IFERROR(__xludf.DUMMYFUNCTION("GOOGLETRANSLATE(B12569, ""en"", ""fa"")
"),"سبک زندگی عشایری دیجیتال")</f>
        <v>سبک زندگی عشایری دیجیتال</v>
      </c>
      <c r="G12569" s="1" t="str">
        <f>IFERROR(__xludf.DUMMYFUNCTION("GOOGLETRANSLATE(C12569,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569" s="1"/>
      <c r="I12569" s="1"/>
      <c r="J12569" s="1"/>
      <c r="K12569" s="1"/>
      <c r="L12569" s="1"/>
      <c r="M12569" s="1"/>
      <c r="N12569" s="1"/>
      <c r="O12569" s="1"/>
      <c r="P12569" s="1"/>
      <c r="Q12569" s="1"/>
      <c r="R12569" s="1"/>
      <c r="S12569" s="1"/>
      <c r="T12569" s="1"/>
      <c r="U12569" s="1"/>
      <c r="V12569" s="1"/>
      <c r="W12569" s="1"/>
      <c r="X12569" s="1"/>
      <c r="Y12569" s="1"/>
      <c r="Z12569" s="1"/>
      <c r="AA12569" s="1"/>
      <c r="AB12569" s="1"/>
    </row>
    <row r="12570" ht="50.25" customHeight="1">
      <c r="A12570" s="12">
        <v>12566.0</v>
      </c>
      <c r="B12570" s="13" t="s">
        <v>12266</v>
      </c>
      <c r="C12570" s="14" t="s">
        <v>12324</v>
      </c>
      <c r="D12570" s="1"/>
      <c r="E12570" s="1"/>
      <c r="F12570" s="1" t="str">
        <f>IFERROR(__xludf.DUMMYFUNCTION("GOOGLETRANSLATE(B12570, ""en"", ""fa"")
"),"سبک زندگی عشایری دیجیتال")</f>
        <v>سبک زندگی عشایری دیجیتال</v>
      </c>
      <c r="G12570" s="1" t="str">
        <f>IFERROR(__xludf.DUMMYFUNCTION("GOOGLETRANSLATE(C12570,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570" s="1"/>
      <c r="I12570" s="1"/>
      <c r="J12570" s="1"/>
      <c r="K12570" s="1"/>
      <c r="L12570" s="1"/>
      <c r="M12570" s="1"/>
      <c r="N12570" s="1"/>
      <c r="O12570" s="1"/>
      <c r="P12570" s="1"/>
      <c r="Q12570" s="1"/>
      <c r="R12570" s="1"/>
      <c r="S12570" s="1"/>
      <c r="T12570" s="1"/>
      <c r="U12570" s="1"/>
      <c r="V12570" s="1"/>
      <c r="W12570" s="1"/>
      <c r="X12570" s="1"/>
      <c r="Y12570" s="1"/>
      <c r="Z12570" s="1"/>
      <c r="AA12570" s="1"/>
      <c r="AB12570" s="1"/>
    </row>
    <row r="12571" ht="50.25" customHeight="1">
      <c r="A12571" s="12">
        <v>12567.0</v>
      </c>
      <c r="B12571" s="13" t="s">
        <v>12266</v>
      </c>
      <c r="C12571" s="14" t="s">
        <v>12325</v>
      </c>
      <c r="D12571" s="1"/>
      <c r="E12571" s="1"/>
      <c r="F12571" s="1" t="str">
        <f>IFERROR(__xludf.DUMMYFUNCTION("GOOGLETRANSLATE(B12571, ""en"", ""fa"")
"),"سبک زندگی عشایری دیجیتال")</f>
        <v>سبک زندگی عشایری دیجیتال</v>
      </c>
      <c r="G12571" s="1" t="str">
        <f>IFERROR(__xludf.DUMMYFUNCTION("GOOGLETRANSLATE(C12571,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571" s="1"/>
      <c r="I12571" s="1"/>
      <c r="J12571" s="1"/>
      <c r="K12571" s="1"/>
      <c r="L12571" s="1"/>
      <c r="M12571" s="1"/>
      <c r="N12571" s="1"/>
      <c r="O12571" s="1"/>
      <c r="P12571" s="1"/>
      <c r="Q12571" s="1"/>
      <c r="R12571" s="1"/>
      <c r="S12571" s="1"/>
      <c r="T12571" s="1"/>
      <c r="U12571" s="1"/>
      <c r="V12571" s="1"/>
      <c r="W12571" s="1"/>
      <c r="X12571" s="1"/>
      <c r="Y12571" s="1"/>
      <c r="Z12571" s="1"/>
      <c r="AA12571" s="1"/>
      <c r="AB12571" s="1"/>
    </row>
    <row r="12572" ht="50.25" customHeight="1">
      <c r="A12572" s="12">
        <v>12568.0</v>
      </c>
      <c r="B12572" s="13" t="s">
        <v>12266</v>
      </c>
      <c r="C12572" s="14" t="s">
        <v>12326</v>
      </c>
      <c r="D12572" s="1"/>
      <c r="E12572" s="1"/>
      <c r="F12572" s="1" t="str">
        <f>IFERROR(__xludf.DUMMYFUNCTION("GOOGLETRANSLATE(B12572, ""en"", ""fa"")
"),"سبک زندگی عشایری دیجیتال")</f>
        <v>سبک زندگی عشایری دیجیتال</v>
      </c>
      <c r="G12572" s="1" t="str">
        <f>IFERROR(__xludf.DUMMYFUNCTION("GOOGLETRANSLATE(C12572,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572" s="1"/>
      <c r="I12572" s="1"/>
      <c r="J12572" s="1"/>
      <c r="K12572" s="1"/>
      <c r="L12572" s="1"/>
      <c r="M12572" s="1"/>
      <c r="N12572" s="1"/>
      <c r="O12572" s="1"/>
      <c r="P12572" s="1"/>
      <c r="Q12572" s="1"/>
      <c r="R12572" s="1"/>
      <c r="S12572" s="1"/>
      <c r="T12572" s="1"/>
      <c r="U12572" s="1"/>
      <c r="V12572" s="1"/>
      <c r="W12572" s="1"/>
      <c r="X12572" s="1"/>
      <c r="Y12572" s="1"/>
      <c r="Z12572" s="1"/>
      <c r="AA12572" s="1"/>
      <c r="AB12572" s="1"/>
    </row>
    <row r="12573" ht="50.25" customHeight="1">
      <c r="A12573" s="12">
        <v>12569.0</v>
      </c>
      <c r="B12573" s="13" t="s">
        <v>12266</v>
      </c>
      <c r="C12573" s="14" t="s">
        <v>12327</v>
      </c>
      <c r="D12573" s="1"/>
      <c r="E12573" s="1"/>
      <c r="F12573" s="1" t="str">
        <f>IFERROR(__xludf.DUMMYFUNCTION("GOOGLETRANSLATE(B12573, ""en"", ""fa"")
"),"سبک زندگی عشایری دیجیتال")</f>
        <v>سبک زندگی عشایری دیجیتال</v>
      </c>
      <c r="G12573" s="1" t="str">
        <f>IFERROR(__xludf.DUMMYFUNCTION("GOOGLETRANSLATE(C12573,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573" s="1"/>
      <c r="I12573" s="1"/>
      <c r="J12573" s="1"/>
      <c r="K12573" s="1"/>
      <c r="L12573" s="1"/>
      <c r="M12573" s="1"/>
      <c r="N12573" s="1"/>
      <c r="O12573" s="1"/>
      <c r="P12573" s="1"/>
      <c r="Q12573" s="1"/>
      <c r="R12573" s="1"/>
      <c r="S12573" s="1"/>
      <c r="T12573" s="1"/>
      <c r="U12573" s="1"/>
      <c r="V12573" s="1"/>
      <c r="W12573" s="1"/>
      <c r="X12573" s="1"/>
      <c r="Y12573" s="1"/>
      <c r="Z12573" s="1"/>
      <c r="AA12573" s="1"/>
      <c r="AB12573" s="1"/>
    </row>
    <row r="12574" ht="50.25" customHeight="1">
      <c r="A12574" s="12">
        <v>12570.0</v>
      </c>
      <c r="B12574" s="13" t="s">
        <v>12266</v>
      </c>
      <c r="C12574" s="14" t="s">
        <v>12303</v>
      </c>
      <c r="D12574" s="1"/>
      <c r="E12574" s="1"/>
      <c r="F12574" s="1" t="str">
        <f>IFERROR(__xludf.DUMMYFUNCTION("GOOGLETRANSLATE(B12574, ""en"", ""fa"")
"),"سبک زندگی عشایری دیجیتال")</f>
        <v>سبک زندگی عشایری دیجیتال</v>
      </c>
      <c r="G12574" s="1" t="str">
        <f>IFERROR(__xludf.DUMMYFUNCTION("GOOGLETRANSLATE(C12574,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574" s="1"/>
      <c r="I12574" s="1"/>
      <c r="J12574" s="1"/>
      <c r="K12574" s="1"/>
      <c r="L12574" s="1"/>
      <c r="M12574" s="1"/>
      <c r="N12574" s="1"/>
      <c r="O12574" s="1"/>
      <c r="P12574" s="1"/>
      <c r="Q12574" s="1"/>
      <c r="R12574" s="1"/>
      <c r="S12574" s="1"/>
      <c r="T12574" s="1"/>
      <c r="U12574" s="1"/>
      <c r="V12574" s="1"/>
      <c r="W12574" s="1"/>
      <c r="X12574" s="1"/>
      <c r="Y12574" s="1"/>
      <c r="Z12574" s="1"/>
      <c r="AA12574" s="1"/>
      <c r="AB12574" s="1"/>
    </row>
    <row r="12575" ht="50.25" customHeight="1">
      <c r="A12575" s="12">
        <v>12571.0</v>
      </c>
      <c r="B12575" s="13" t="s">
        <v>12266</v>
      </c>
      <c r="C12575" s="14" t="s">
        <v>12302</v>
      </c>
      <c r="D12575" s="1"/>
      <c r="E12575" s="1"/>
      <c r="F12575" s="1" t="str">
        <f>IFERROR(__xludf.DUMMYFUNCTION("GOOGLETRANSLATE(B12575, ""en"", ""fa"")
"),"سبک زندگی عشایری دیجیتال")</f>
        <v>سبک زندگی عشایری دیجیتال</v>
      </c>
      <c r="G12575" s="1" t="str">
        <f>IFERROR(__xludf.DUMMYFUNCTION("GOOGLETRANSLATE(C12575,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575" s="1"/>
      <c r="I12575" s="1"/>
      <c r="J12575" s="1"/>
      <c r="K12575" s="1"/>
      <c r="L12575" s="1"/>
      <c r="M12575" s="1"/>
      <c r="N12575" s="1"/>
      <c r="O12575" s="1"/>
      <c r="P12575" s="1"/>
      <c r="Q12575" s="1"/>
      <c r="R12575" s="1"/>
      <c r="S12575" s="1"/>
      <c r="T12575" s="1"/>
      <c r="U12575" s="1"/>
      <c r="V12575" s="1"/>
      <c r="W12575" s="1"/>
      <c r="X12575" s="1"/>
      <c r="Y12575" s="1"/>
      <c r="Z12575" s="1"/>
      <c r="AA12575" s="1"/>
      <c r="AB12575" s="1"/>
    </row>
    <row r="12576" ht="50.25" customHeight="1">
      <c r="A12576" s="12">
        <v>12572.0</v>
      </c>
      <c r="B12576" s="13" t="s">
        <v>12266</v>
      </c>
      <c r="C12576" s="14" t="s">
        <v>12298</v>
      </c>
      <c r="D12576" s="1"/>
      <c r="E12576" s="1"/>
      <c r="F12576" s="1" t="str">
        <f>IFERROR(__xludf.DUMMYFUNCTION("GOOGLETRANSLATE(B12576, ""en"", ""fa"")
"),"سبک زندگی عشایری دیجیتال")</f>
        <v>سبک زندگی عشایری دیجیتال</v>
      </c>
      <c r="G12576" s="1" t="str">
        <f>IFERROR(__xludf.DUMMYFUNCTION("GOOGLETRANSLATE(C12576,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576" s="1"/>
      <c r="I12576" s="1"/>
      <c r="J12576" s="1"/>
      <c r="K12576" s="1"/>
      <c r="L12576" s="1"/>
      <c r="M12576" s="1"/>
      <c r="N12576" s="1"/>
      <c r="O12576" s="1"/>
      <c r="P12576" s="1"/>
      <c r="Q12576" s="1"/>
      <c r="R12576" s="1"/>
      <c r="S12576" s="1"/>
      <c r="T12576" s="1"/>
      <c r="U12576" s="1"/>
      <c r="V12576" s="1"/>
      <c r="W12576" s="1"/>
      <c r="X12576" s="1"/>
      <c r="Y12576" s="1"/>
      <c r="Z12576" s="1"/>
      <c r="AA12576" s="1"/>
      <c r="AB12576" s="1"/>
    </row>
    <row r="12577" ht="50.25" customHeight="1">
      <c r="A12577" s="12">
        <v>12573.0</v>
      </c>
      <c r="B12577" s="13" t="s">
        <v>12266</v>
      </c>
      <c r="C12577" s="14" t="s">
        <v>12301</v>
      </c>
      <c r="D12577" s="1"/>
      <c r="E12577" s="1"/>
      <c r="F12577" s="1" t="str">
        <f>IFERROR(__xludf.DUMMYFUNCTION("GOOGLETRANSLATE(B12577, ""en"", ""fa"")
"),"سبک زندگی عشایری دیجیتال")</f>
        <v>سبک زندگی عشایری دیجیتال</v>
      </c>
      <c r="G12577" s="1" t="str">
        <f>IFERROR(__xludf.DUMMYFUNCTION("GOOGLETRANSLATE(C12577,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577" s="1"/>
      <c r="I12577" s="1"/>
      <c r="J12577" s="1"/>
      <c r="K12577" s="1"/>
      <c r="L12577" s="1"/>
      <c r="M12577" s="1"/>
      <c r="N12577" s="1"/>
      <c r="O12577" s="1"/>
      <c r="P12577" s="1"/>
      <c r="Q12577" s="1"/>
      <c r="R12577" s="1"/>
      <c r="S12577" s="1"/>
      <c r="T12577" s="1"/>
      <c r="U12577" s="1"/>
      <c r="V12577" s="1"/>
      <c r="W12577" s="1"/>
      <c r="X12577" s="1"/>
      <c r="Y12577" s="1"/>
      <c r="Z12577" s="1"/>
      <c r="AA12577" s="1"/>
      <c r="AB12577" s="1"/>
    </row>
    <row r="12578" ht="50.25" customHeight="1">
      <c r="A12578" s="12">
        <v>12574.0</v>
      </c>
      <c r="B12578" s="13" t="s">
        <v>12266</v>
      </c>
      <c r="C12578" s="14" t="s">
        <v>12299</v>
      </c>
      <c r="D12578" s="1"/>
      <c r="E12578" s="1"/>
      <c r="F12578" s="1" t="str">
        <f>IFERROR(__xludf.DUMMYFUNCTION("GOOGLETRANSLATE(B12578, ""en"", ""fa"")
"),"سبک زندگی عشایری دیجیتال")</f>
        <v>سبک زندگی عشایری دیجیتال</v>
      </c>
      <c r="G12578" s="1" t="str">
        <f>IFERROR(__xludf.DUMMYFUNCTION("GOOGLETRANSLATE(C12578, ""en"", ""fa"")
"),"نقاط و مقاصد محبوب عشایر دیجیتال برای هر فصل کدامند؟")</f>
        <v>نقاط و مقاصد محبوب عشایر دیجیتال برای هر فصل کدامند؟</v>
      </c>
      <c r="H12578" s="1"/>
      <c r="I12578" s="1"/>
      <c r="J12578" s="1"/>
      <c r="K12578" s="1"/>
      <c r="L12578" s="1"/>
      <c r="M12578" s="1"/>
      <c r="N12578" s="1"/>
      <c r="O12578" s="1"/>
      <c r="P12578" s="1"/>
      <c r="Q12578" s="1"/>
      <c r="R12578" s="1"/>
      <c r="S12578" s="1"/>
      <c r="T12578" s="1"/>
      <c r="U12578" s="1"/>
      <c r="V12578" s="1"/>
      <c r="W12578" s="1"/>
      <c r="X12578" s="1"/>
      <c r="Y12578" s="1"/>
      <c r="Z12578" s="1"/>
      <c r="AA12578" s="1"/>
      <c r="AB12578" s="1"/>
    </row>
    <row r="12579" ht="50.25" customHeight="1">
      <c r="A12579" s="12">
        <v>12575.0</v>
      </c>
      <c r="B12579" s="13" t="s">
        <v>12266</v>
      </c>
      <c r="C12579" s="14" t="s">
        <v>12300</v>
      </c>
      <c r="D12579" s="1"/>
      <c r="E12579" s="1"/>
      <c r="F12579" s="1" t="str">
        <f>IFERROR(__xludf.DUMMYFUNCTION("GOOGLETRANSLATE(B12579, ""en"", ""fa"")
"),"سبک زندگی عشایری دیجیتال")</f>
        <v>سبک زندگی عشایری دیجیتال</v>
      </c>
      <c r="G12579" s="1" t="str">
        <f>IFERROR(__xludf.DUMMYFUNCTION("GOOGLETRANSLATE(C12579,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579" s="1"/>
      <c r="I12579" s="1"/>
      <c r="J12579" s="1"/>
      <c r="K12579" s="1"/>
      <c r="L12579" s="1"/>
      <c r="M12579" s="1"/>
      <c r="N12579" s="1"/>
      <c r="O12579" s="1"/>
      <c r="P12579" s="1"/>
      <c r="Q12579" s="1"/>
      <c r="R12579" s="1"/>
      <c r="S12579" s="1"/>
      <c r="T12579" s="1"/>
      <c r="U12579" s="1"/>
      <c r="V12579" s="1"/>
      <c r="W12579" s="1"/>
      <c r="X12579" s="1"/>
      <c r="Y12579" s="1"/>
      <c r="Z12579" s="1"/>
      <c r="AA12579" s="1"/>
      <c r="AB12579" s="1"/>
    </row>
    <row r="12580" ht="50.25" customHeight="1">
      <c r="A12580" s="12">
        <v>12576.0</v>
      </c>
      <c r="B12580" s="13" t="s">
        <v>12266</v>
      </c>
      <c r="C12580" s="14" t="s">
        <v>12307</v>
      </c>
      <c r="D12580" s="1"/>
      <c r="E12580" s="1"/>
      <c r="F12580" s="1" t="str">
        <f>IFERROR(__xludf.DUMMYFUNCTION("GOOGLETRANSLATE(B12580, ""en"", ""fa"")
"),"سبک زندگی عشایری دیجیتال")</f>
        <v>سبک زندگی عشایری دیجیتال</v>
      </c>
      <c r="G12580" s="1" t="str">
        <f>IFERROR(__xludf.DUMMYFUNCTION("GOOGLETRANSLATE(C12580,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580" s="1"/>
      <c r="I12580" s="1"/>
      <c r="J12580" s="1"/>
      <c r="K12580" s="1"/>
      <c r="L12580" s="1"/>
      <c r="M12580" s="1"/>
      <c r="N12580" s="1"/>
      <c r="O12580" s="1"/>
      <c r="P12580" s="1"/>
      <c r="Q12580" s="1"/>
      <c r="R12580" s="1"/>
      <c r="S12580" s="1"/>
      <c r="T12580" s="1"/>
      <c r="U12580" s="1"/>
      <c r="V12580" s="1"/>
      <c r="W12580" s="1"/>
      <c r="X12580" s="1"/>
      <c r="Y12580" s="1"/>
      <c r="Z12580" s="1"/>
      <c r="AA12580" s="1"/>
      <c r="AB12580" s="1"/>
    </row>
    <row r="12581" ht="50.25" customHeight="1">
      <c r="A12581" s="12">
        <v>12577.0</v>
      </c>
      <c r="B12581" s="13" t="s">
        <v>12266</v>
      </c>
      <c r="C12581" s="14" t="s">
        <v>12308</v>
      </c>
      <c r="D12581" s="1"/>
      <c r="E12581" s="1"/>
      <c r="F12581" s="1" t="str">
        <f>IFERROR(__xludf.DUMMYFUNCTION("GOOGLETRANSLATE(B12581, ""en"", ""fa"")
"),"سبک زندگی عشایری دیجیتال")</f>
        <v>سبک زندگی عشایری دیجیتال</v>
      </c>
      <c r="G12581" s="1" t="str">
        <f>IFERROR(__xludf.DUMMYFUNCTION("GOOGLETRANSLATE(C12581,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581" s="1"/>
      <c r="I12581" s="1"/>
      <c r="J12581" s="1"/>
      <c r="K12581" s="1"/>
      <c r="L12581" s="1"/>
      <c r="M12581" s="1"/>
      <c r="N12581" s="1"/>
      <c r="O12581" s="1"/>
      <c r="P12581" s="1"/>
      <c r="Q12581" s="1"/>
      <c r="R12581" s="1"/>
      <c r="S12581" s="1"/>
      <c r="T12581" s="1"/>
      <c r="U12581" s="1"/>
      <c r="V12581" s="1"/>
      <c r="W12581" s="1"/>
      <c r="X12581" s="1"/>
      <c r="Y12581" s="1"/>
      <c r="Z12581" s="1"/>
      <c r="AA12581" s="1"/>
      <c r="AB12581" s="1"/>
    </row>
    <row r="12582" ht="50.25" customHeight="1">
      <c r="A12582" s="12">
        <v>12578.0</v>
      </c>
      <c r="B12582" s="13" t="s">
        <v>12266</v>
      </c>
      <c r="C12582" s="14" t="s">
        <v>12309</v>
      </c>
      <c r="D12582" s="1"/>
      <c r="E12582" s="1"/>
      <c r="F12582" s="1" t="str">
        <f>IFERROR(__xludf.DUMMYFUNCTION("GOOGLETRANSLATE(B12582, ""en"", ""fa"")
"),"سبک زندگی عشایری دیجیتال")</f>
        <v>سبک زندگی عشایری دیجیتال</v>
      </c>
      <c r="G12582" s="1" t="str">
        <f>IFERROR(__xludf.DUMMYFUNCTION("GOOGLETRANSLATE(C12582,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582" s="1"/>
      <c r="I12582" s="1"/>
      <c r="J12582" s="1"/>
      <c r="K12582" s="1"/>
      <c r="L12582" s="1"/>
      <c r="M12582" s="1"/>
      <c r="N12582" s="1"/>
      <c r="O12582" s="1"/>
      <c r="P12582" s="1"/>
      <c r="Q12582" s="1"/>
      <c r="R12582" s="1"/>
      <c r="S12582" s="1"/>
      <c r="T12582" s="1"/>
      <c r="U12582" s="1"/>
      <c r="V12582" s="1"/>
      <c r="W12582" s="1"/>
      <c r="X12582" s="1"/>
      <c r="Y12582" s="1"/>
      <c r="Z12582" s="1"/>
      <c r="AA12582" s="1"/>
      <c r="AB12582" s="1"/>
    </row>
    <row r="12583" ht="50.25" customHeight="1">
      <c r="A12583" s="12">
        <v>12579.0</v>
      </c>
      <c r="B12583" s="13" t="s">
        <v>12266</v>
      </c>
      <c r="C12583" s="14" t="s">
        <v>12310</v>
      </c>
      <c r="D12583" s="1"/>
      <c r="E12583" s="1"/>
      <c r="F12583" s="1" t="str">
        <f>IFERROR(__xludf.DUMMYFUNCTION("GOOGLETRANSLATE(B12583, ""en"", ""fa"")
"),"سبک زندگی عشایری دیجیتال")</f>
        <v>سبک زندگی عشایری دیجیتال</v>
      </c>
      <c r="G12583" s="1" t="str">
        <f>IFERROR(__xludf.DUMMYFUNCTION("GOOGLETRANSLATE(C12583,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583" s="1"/>
      <c r="I12583" s="1"/>
      <c r="J12583" s="1"/>
      <c r="K12583" s="1"/>
      <c r="L12583" s="1"/>
      <c r="M12583" s="1"/>
      <c r="N12583" s="1"/>
      <c r="O12583" s="1"/>
      <c r="P12583" s="1"/>
      <c r="Q12583" s="1"/>
      <c r="R12583" s="1"/>
      <c r="S12583" s="1"/>
      <c r="T12583" s="1"/>
      <c r="U12583" s="1"/>
      <c r="V12583" s="1"/>
      <c r="W12583" s="1"/>
      <c r="X12583" s="1"/>
      <c r="Y12583" s="1"/>
      <c r="Z12583" s="1"/>
      <c r="AA12583" s="1"/>
      <c r="AB12583" s="1"/>
    </row>
    <row r="12584" ht="50.25" customHeight="1">
      <c r="A12584" s="12">
        <v>12580.0</v>
      </c>
      <c r="B12584" s="13" t="s">
        <v>12266</v>
      </c>
      <c r="C12584" s="14" t="s">
        <v>12311</v>
      </c>
      <c r="D12584" s="1"/>
      <c r="E12584" s="1"/>
      <c r="F12584" s="1" t="str">
        <f>IFERROR(__xludf.DUMMYFUNCTION("GOOGLETRANSLATE(B12584, ""en"", ""fa"")
"),"سبک زندگی عشایری دیجیتال")</f>
        <v>سبک زندگی عشایری دیجیتال</v>
      </c>
      <c r="G12584" s="1" t="str">
        <f>IFERROR(__xludf.DUMMYFUNCTION("GOOGLETRANSLATE(C12584,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584" s="1"/>
      <c r="I12584" s="1"/>
      <c r="J12584" s="1"/>
      <c r="K12584" s="1"/>
      <c r="L12584" s="1"/>
      <c r="M12584" s="1"/>
      <c r="N12584" s="1"/>
      <c r="O12584" s="1"/>
      <c r="P12584" s="1"/>
      <c r="Q12584" s="1"/>
      <c r="R12584" s="1"/>
      <c r="S12584" s="1"/>
      <c r="T12584" s="1"/>
      <c r="U12584" s="1"/>
      <c r="V12584" s="1"/>
      <c r="W12584" s="1"/>
      <c r="X12584" s="1"/>
      <c r="Y12584" s="1"/>
      <c r="Z12584" s="1"/>
      <c r="AA12584" s="1"/>
      <c r="AB12584" s="1"/>
    </row>
    <row r="12585" ht="50.25" customHeight="1">
      <c r="A12585" s="12">
        <v>12581.0</v>
      </c>
      <c r="B12585" s="13" t="s">
        <v>12266</v>
      </c>
      <c r="C12585" s="14" t="s">
        <v>12312</v>
      </c>
      <c r="D12585" s="1"/>
      <c r="E12585" s="1"/>
      <c r="F12585" s="1" t="str">
        <f>IFERROR(__xludf.DUMMYFUNCTION("GOOGLETRANSLATE(B12585, ""en"", ""fa"")
"),"سبک زندگی عشایری دیجیتال")</f>
        <v>سبک زندگی عشایری دیجیتال</v>
      </c>
      <c r="G12585" s="1" t="str">
        <f>IFERROR(__xludf.DUMMYFUNCTION("GOOGLETRANSLATE(C12585,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585" s="1"/>
      <c r="I12585" s="1"/>
      <c r="J12585" s="1"/>
      <c r="K12585" s="1"/>
      <c r="L12585" s="1"/>
      <c r="M12585" s="1"/>
      <c r="N12585" s="1"/>
      <c r="O12585" s="1"/>
      <c r="P12585" s="1"/>
      <c r="Q12585" s="1"/>
      <c r="R12585" s="1"/>
      <c r="S12585" s="1"/>
      <c r="T12585" s="1"/>
      <c r="U12585" s="1"/>
      <c r="V12585" s="1"/>
      <c r="W12585" s="1"/>
      <c r="X12585" s="1"/>
      <c r="Y12585" s="1"/>
      <c r="Z12585" s="1"/>
      <c r="AA12585" s="1"/>
      <c r="AB12585" s="1"/>
    </row>
    <row r="12586" ht="50.25" customHeight="1">
      <c r="A12586" s="12">
        <v>12582.0</v>
      </c>
      <c r="B12586" s="13" t="s">
        <v>12266</v>
      </c>
      <c r="C12586" s="14" t="s">
        <v>12313</v>
      </c>
      <c r="D12586" s="1"/>
      <c r="E12586" s="1"/>
      <c r="F12586" s="1" t="str">
        <f>IFERROR(__xludf.DUMMYFUNCTION("GOOGLETRANSLATE(B12586, ""en"", ""fa"")
"),"سبک زندگی عشایری دیجیتال")</f>
        <v>سبک زندگی عشایری دیجیتال</v>
      </c>
      <c r="G12586" s="1" t="str">
        <f>IFERROR(__xludf.DUMMYFUNCTION("GOOGLETRANSLATE(C12586,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586" s="1"/>
      <c r="I12586" s="1"/>
      <c r="J12586" s="1"/>
      <c r="K12586" s="1"/>
      <c r="L12586" s="1"/>
      <c r="M12586" s="1"/>
      <c r="N12586" s="1"/>
      <c r="O12586" s="1"/>
      <c r="P12586" s="1"/>
      <c r="Q12586" s="1"/>
      <c r="R12586" s="1"/>
      <c r="S12586" s="1"/>
      <c r="T12586" s="1"/>
      <c r="U12586" s="1"/>
      <c r="V12586" s="1"/>
      <c r="W12586" s="1"/>
      <c r="X12586" s="1"/>
      <c r="Y12586" s="1"/>
      <c r="Z12586" s="1"/>
      <c r="AA12586" s="1"/>
      <c r="AB12586" s="1"/>
    </row>
    <row r="12587" ht="50.25" customHeight="1">
      <c r="A12587" s="12">
        <v>12583.0</v>
      </c>
      <c r="B12587" s="13" t="s">
        <v>12266</v>
      </c>
      <c r="C12587" s="14" t="s">
        <v>12314</v>
      </c>
      <c r="D12587" s="1"/>
      <c r="E12587" s="1"/>
      <c r="F12587" s="1" t="str">
        <f>IFERROR(__xludf.DUMMYFUNCTION("GOOGLETRANSLATE(B12587, ""en"", ""fa"")
"),"سبک زندگی عشایری دیجیتال")</f>
        <v>سبک زندگی عشایری دیجیتال</v>
      </c>
      <c r="G12587" s="1" t="str">
        <f>IFERROR(__xludf.DUMMYFUNCTION("GOOGLETRANSLATE(C12587, ""en"", ""fa"")
"),"بهترین استراتژی برای غلبه بر خستگی سفر و تاخیر جت در حین حرکت چیست؟")</f>
        <v>بهترین استراتژی برای غلبه بر خستگی سفر و تاخیر جت در حین حرکت چیست؟</v>
      </c>
      <c r="H12587" s="1"/>
      <c r="I12587" s="1"/>
      <c r="J12587" s="1"/>
      <c r="K12587" s="1"/>
      <c r="L12587" s="1"/>
      <c r="M12587" s="1"/>
      <c r="N12587" s="1"/>
      <c r="O12587" s="1"/>
      <c r="P12587" s="1"/>
      <c r="Q12587" s="1"/>
      <c r="R12587" s="1"/>
      <c r="S12587" s="1"/>
      <c r="T12587" s="1"/>
      <c r="U12587" s="1"/>
      <c r="V12587" s="1"/>
      <c r="W12587" s="1"/>
      <c r="X12587" s="1"/>
      <c r="Y12587" s="1"/>
      <c r="Z12587" s="1"/>
      <c r="AA12587" s="1"/>
      <c r="AB12587" s="1"/>
    </row>
    <row r="12588" ht="50.25" customHeight="1">
      <c r="A12588" s="12">
        <v>12584.0</v>
      </c>
      <c r="B12588" s="13" t="s">
        <v>12266</v>
      </c>
      <c r="C12588" s="14" t="s">
        <v>12315</v>
      </c>
      <c r="D12588" s="1"/>
      <c r="E12588" s="1"/>
      <c r="F12588" s="1" t="str">
        <f>IFERROR(__xludf.DUMMYFUNCTION("GOOGLETRANSLATE(B12588, ""en"", ""fa"")
"),"سبک زندگی عشایری دیجیتال")</f>
        <v>سبک زندگی عشایری دیجیتال</v>
      </c>
      <c r="G12588" s="1" t="str">
        <f>IFERROR(__xludf.DUMMYFUNCTION("GOOGLETRANSLATE(C12588,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588" s="1"/>
      <c r="I12588" s="1"/>
      <c r="J12588" s="1"/>
      <c r="K12588" s="1"/>
      <c r="L12588" s="1"/>
      <c r="M12588" s="1"/>
      <c r="N12588" s="1"/>
      <c r="O12588" s="1"/>
      <c r="P12588" s="1"/>
      <c r="Q12588" s="1"/>
      <c r="R12588" s="1"/>
      <c r="S12588" s="1"/>
      <c r="T12588" s="1"/>
      <c r="U12588" s="1"/>
      <c r="V12588" s="1"/>
      <c r="W12588" s="1"/>
      <c r="X12588" s="1"/>
      <c r="Y12588" s="1"/>
      <c r="Z12588" s="1"/>
      <c r="AA12588" s="1"/>
      <c r="AB12588" s="1"/>
    </row>
    <row r="12589" ht="50.25" customHeight="1">
      <c r="A12589" s="12">
        <v>12585.0</v>
      </c>
      <c r="B12589" s="13" t="s">
        <v>12266</v>
      </c>
      <c r="C12589" s="14" t="s">
        <v>12316</v>
      </c>
      <c r="D12589" s="1"/>
      <c r="E12589" s="1"/>
      <c r="F12589" s="1" t="str">
        <f>IFERROR(__xludf.DUMMYFUNCTION("GOOGLETRANSLATE(B12589, ""en"", ""fa"")
"),"سبک زندگی عشایری دیجیتال")</f>
        <v>سبک زندگی عشایری دیجیتال</v>
      </c>
      <c r="G12589" s="1" t="str">
        <f>IFERROR(__xludf.DUMMYFUNCTION("GOOGLETRANSLATE(C12589,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589" s="1"/>
      <c r="I12589" s="1"/>
      <c r="J12589" s="1"/>
      <c r="K12589" s="1"/>
      <c r="L12589" s="1"/>
      <c r="M12589" s="1"/>
      <c r="N12589" s="1"/>
      <c r="O12589" s="1"/>
      <c r="P12589" s="1"/>
      <c r="Q12589" s="1"/>
      <c r="R12589" s="1"/>
      <c r="S12589" s="1"/>
      <c r="T12589" s="1"/>
      <c r="U12589" s="1"/>
      <c r="V12589" s="1"/>
      <c r="W12589" s="1"/>
      <c r="X12589" s="1"/>
      <c r="Y12589" s="1"/>
      <c r="Z12589" s="1"/>
      <c r="AA12589" s="1"/>
      <c r="AB12589" s="1"/>
    </row>
    <row r="12590" ht="50.25" customHeight="1">
      <c r="A12590" s="12">
        <v>12586.0</v>
      </c>
      <c r="B12590" s="13" t="s">
        <v>12266</v>
      </c>
      <c r="C12590" s="14" t="s">
        <v>12317</v>
      </c>
      <c r="D12590" s="1"/>
      <c r="E12590" s="1"/>
      <c r="F12590" s="1" t="str">
        <f>IFERROR(__xludf.DUMMYFUNCTION("GOOGLETRANSLATE(B12590, ""en"", ""fa"")
"),"سبک زندگی عشایری دیجیتال")</f>
        <v>سبک زندگی عشایری دیجیتال</v>
      </c>
      <c r="G12590" s="1" t="str">
        <f>IFERROR(__xludf.DUMMYFUNCTION("GOOGLETRANSLATE(C12590, ""en"", ""fa"")
"),"اقلام ضروری برای حفظ یک رژیم غذایی سالم و متعادل در سفر چیست؟")</f>
        <v>اقلام ضروری برای حفظ یک رژیم غذایی سالم و متعادل در سفر چیست؟</v>
      </c>
      <c r="H12590" s="1"/>
      <c r="I12590" s="1"/>
      <c r="J12590" s="1"/>
      <c r="K12590" s="1"/>
      <c r="L12590" s="1"/>
      <c r="M12590" s="1"/>
      <c r="N12590" s="1"/>
      <c r="O12590" s="1"/>
      <c r="P12590" s="1"/>
      <c r="Q12590" s="1"/>
      <c r="R12590" s="1"/>
      <c r="S12590" s="1"/>
      <c r="T12590" s="1"/>
      <c r="U12590" s="1"/>
      <c r="V12590" s="1"/>
      <c r="W12590" s="1"/>
      <c r="X12590" s="1"/>
      <c r="Y12590" s="1"/>
      <c r="Z12590" s="1"/>
      <c r="AA12590" s="1"/>
      <c r="AB12590" s="1"/>
    </row>
    <row r="12591" ht="50.25" customHeight="1">
      <c r="A12591" s="12">
        <v>12587.0</v>
      </c>
      <c r="B12591" s="13" t="s">
        <v>12266</v>
      </c>
      <c r="C12591" s="14" t="s">
        <v>12318</v>
      </c>
      <c r="D12591" s="1"/>
      <c r="E12591" s="1"/>
      <c r="F12591" s="1" t="str">
        <f>IFERROR(__xludf.DUMMYFUNCTION("GOOGLETRANSLATE(B12591, ""en"", ""fa"")
"),"سبک زندگی عشایری دیجیتال")</f>
        <v>سبک زندگی عشایری دیجیتال</v>
      </c>
      <c r="G12591" s="1" t="str">
        <f>IFERROR(__xludf.DUMMYFUNCTION("GOOGLETRANSLATE(C12591,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591" s="1"/>
      <c r="I12591" s="1"/>
      <c r="J12591" s="1"/>
      <c r="K12591" s="1"/>
      <c r="L12591" s="1"/>
      <c r="M12591" s="1"/>
      <c r="N12591" s="1"/>
      <c r="O12591" s="1"/>
      <c r="P12591" s="1"/>
      <c r="Q12591" s="1"/>
      <c r="R12591" s="1"/>
      <c r="S12591" s="1"/>
      <c r="T12591" s="1"/>
      <c r="U12591" s="1"/>
      <c r="V12591" s="1"/>
      <c r="W12591" s="1"/>
      <c r="X12591" s="1"/>
      <c r="Y12591" s="1"/>
      <c r="Z12591" s="1"/>
      <c r="AA12591" s="1"/>
      <c r="AB12591" s="1"/>
    </row>
    <row r="12592" ht="50.25" customHeight="1">
      <c r="A12592" s="12">
        <v>12588.0</v>
      </c>
      <c r="B12592" s="13" t="s">
        <v>12266</v>
      </c>
      <c r="C12592" s="14" t="s">
        <v>12319</v>
      </c>
      <c r="D12592" s="1"/>
      <c r="E12592" s="1"/>
      <c r="F12592" s="1" t="str">
        <f>IFERROR(__xludf.DUMMYFUNCTION("GOOGLETRANSLATE(B12592, ""en"", ""fa"")
"),"سبک زندگی عشایری دیجیتال")</f>
        <v>سبک زندگی عشایری دیجیتال</v>
      </c>
      <c r="G12592" s="1" t="str">
        <f>IFERROR(__xludf.DUMMYFUNCTION("GOOGLETRANSLATE(C12592,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592" s="1"/>
      <c r="I12592" s="1"/>
      <c r="J12592" s="1"/>
      <c r="K12592" s="1"/>
      <c r="L12592" s="1"/>
      <c r="M12592" s="1"/>
      <c r="N12592" s="1"/>
      <c r="O12592" s="1"/>
      <c r="P12592" s="1"/>
      <c r="Q12592" s="1"/>
      <c r="R12592" s="1"/>
      <c r="S12592" s="1"/>
      <c r="T12592" s="1"/>
      <c r="U12592" s="1"/>
      <c r="V12592" s="1"/>
      <c r="W12592" s="1"/>
      <c r="X12592" s="1"/>
      <c r="Y12592" s="1"/>
      <c r="Z12592" s="1"/>
      <c r="AA12592" s="1"/>
      <c r="AB12592" s="1"/>
    </row>
    <row r="12593" ht="50.25" customHeight="1">
      <c r="A12593" s="12">
        <v>12589.0</v>
      </c>
      <c r="B12593" s="13" t="s">
        <v>12266</v>
      </c>
      <c r="C12593" s="14" t="s">
        <v>12323</v>
      </c>
      <c r="D12593" s="1"/>
      <c r="E12593" s="1"/>
      <c r="F12593" s="1" t="str">
        <f>IFERROR(__xludf.DUMMYFUNCTION("GOOGLETRANSLATE(B12593, ""en"", ""fa"")
"),"سبک زندگی عشایری دیجیتال")</f>
        <v>سبک زندگی عشایری دیجیتال</v>
      </c>
      <c r="G12593" s="1" t="str">
        <f>IFERROR(__xludf.DUMMYFUNCTION("GOOGLETRANSLATE(C12593,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593" s="1"/>
      <c r="I12593" s="1"/>
      <c r="J12593" s="1"/>
      <c r="K12593" s="1"/>
      <c r="L12593" s="1"/>
      <c r="M12593" s="1"/>
      <c r="N12593" s="1"/>
      <c r="O12593" s="1"/>
      <c r="P12593" s="1"/>
      <c r="Q12593" s="1"/>
      <c r="R12593" s="1"/>
      <c r="S12593" s="1"/>
      <c r="T12593" s="1"/>
      <c r="U12593" s="1"/>
      <c r="V12593" s="1"/>
      <c r="W12593" s="1"/>
      <c r="X12593" s="1"/>
      <c r="Y12593" s="1"/>
      <c r="Z12593" s="1"/>
      <c r="AA12593" s="1"/>
      <c r="AB12593" s="1"/>
    </row>
    <row r="12594" ht="50.25" customHeight="1">
      <c r="A12594" s="12">
        <v>12590.0</v>
      </c>
      <c r="B12594" s="13" t="s">
        <v>12266</v>
      </c>
      <c r="C12594" s="14" t="s">
        <v>12324</v>
      </c>
      <c r="D12594" s="1"/>
      <c r="E12594" s="1"/>
      <c r="F12594" s="1" t="str">
        <f>IFERROR(__xludf.DUMMYFUNCTION("GOOGLETRANSLATE(B12594, ""en"", ""fa"")
"),"سبک زندگی عشایری دیجیتال")</f>
        <v>سبک زندگی عشایری دیجیتال</v>
      </c>
      <c r="G12594" s="1" t="str">
        <f>IFERROR(__xludf.DUMMYFUNCTION("GOOGLETRANSLATE(C12594,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594" s="1"/>
      <c r="I12594" s="1"/>
      <c r="J12594" s="1"/>
      <c r="K12594" s="1"/>
      <c r="L12594" s="1"/>
      <c r="M12594" s="1"/>
      <c r="N12594" s="1"/>
      <c r="O12594" s="1"/>
      <c r="P12594" s="1"/>
      <c r="Q12594" s="1"/>
      <c r="R12594" s="1"/>
      <c r="S12594" s="1"/>
      <c r="T12594" s="1"/>
      <c r="U12594" s="1"/>
      <c r="V12594" s="1"/>
      <c r="W12594" s="1"/>
      <c r="X12594" s="1"/>
      <c r="Y12594" s="1"/>
      <c r="Z12594" s="1"/>
      <c r="AA12594" s="1"/>
      <c r="AB12594" s="1"/>
    </row>
    <row r="12595" ht="50.25" customHeight="1">
      <c r="A12595" s="12">
        <v>12591.0</v>
      </c>
      <c r="B12595" s="13" t="s">
        <v>12266</v>
      </c>
      <c r="C12595" s="14" t="s">
        <v>12325</v>
      </c>
      <c r="D12595" s="1"/>
      <c r="E12595" s="1"/>
      <c r="F12595" s="1" t="str">
        <f>IFERROR(__xludf.DUMMYFUNCTION("GOOGLETRANSLATE(B12595, ""en"", ""fa"")
"),"سبک زندگی عشایری دیجیتال")</f>
        <v>سبک زندگی عشایری دیجیتال</v>
      </c>
      <c r="G12595" s="1" t="str">
        <f>IFERROR(__xludf.DUMMYFUNCTION("GOOGLETRANSLATE(C12595,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595" s="1"/>
      <c r="I12595" s="1"/>
      <c r="J12595" s="1"/>
      <c r="K12595" s="1"/>
      <c r="L12595" s="1"/>
      <c r="M12595" s="1"/>
      <c r="N12595" s="1"/>
      <c r="O12595" s="1"/>
      <c r="P12595" s="1"/>
      <c r="Q12595" s="1"/>
      <c r="R12595" s="1"/>
      <c r="S12595" s="1"/>
      <c r="T12595" s="1"/>
      <c r="U12595" s="1"/>
      <c r="V12595" s="1"/>
      <c r="W12595" s="1"/>
      <c r="X12595" s="1"/>
      <c r="Y12595" s="1"/>
      <c r="Z12595" s="1"/>
      <c r="AA12595" s="1"/>
      <c r="AB12595" s="1"/>
    </row>
    <row r="12596" ht="50.25" customHeight="1">
      <c r="A12596" s="12">
        <v>12592.0</v>
      </c>
      <c r="B12596" s="13" t="s">
        <v>12266</v>
      </c>
      <c r="C12596" s="14" t="s">
        <v>12326</v>
      </c>
      <c r="D12596" s="1"/>
      <c r="E12596" s="1"/>
      <c r="F12596" s="1" t="str">
        <f>IFERROR(__xludf.DUMMYFUNCTION("GOOGLETRANSLATE(B12596, ""en"", ""fa"")
"),"سبک زندگی عشایری دیجیتال")</f>
        <v>سبک زندگی عشایری دیجیتال</v>
      </c>
      <c r="G12596" s="1" t="str">
        <f>IFERROR(__xludf.DUMMYFUNCTION("GOOGLETRANSLATE(C12596,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596" s="1"/>
      <c r="I12596" s="1"/>
      <c r="J12596" s="1"/>
      <c r="K12596" s="1"/>
      <c r="L12596" s="1"/>
      <c r="M12596" s="1"/>
      <c r="N12596" s="1"/>
      <c r="O12596" s="1"/>
      <c r="P12596" s="1"/>
      <c r="Q12596" s="1"/>
      <c r="R12596" s="1"/>
      <c r="S12596" s="1"/>
      <c r="T12596" s="1"/>
      <c r="U12596" s="1"/>
      <c r="V12596" s="1"/>
      <c r="W12596" s="1"/>
      <c r="X12596" s="1"/>
      <c r="Y12596" s="1"/>
      <c r="Z12596" s="1"/>
      <c r="AA12596" s="1"/>
      <c r="AB12596" s="1"/>
    </row>
    <row r="12597" ht="50.25" customHeight="1">
      <c r="A12597" s="12">
        <v>12593.0</v>
      </c>
      <c r="B12597" s="13" t="s">
        <v>12266</v>
      </c>
      <c r="C12597" s="14" t="s">
        <v>12327</v>
      </c>
      <c r="D12597" s="1"/>
      <c r="E12597" s="1"/>
      <c r="F12597" s="1" t="str">
        <f>IFERROR(__xludf.DUMMYFUNCTION("GOOGLETRANSLATE(B12597, ""en"", ""fa"")
"),"سبک زندگی عشایری دیجیتال")</f>
        <v>سبک زندگی عشایری دیجیتال</v>
      </c>
      <c r="G12597" s="1" t="str">
        <f>IFERROR(__xludf.DUMMYFUNCTION("GOOGLETRANSLATE(C12597,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597" s="1"/>
      <c r="I12597" s="1"/>
      <c r="J12597" s="1"/>
      <c r="K12597" s="1"/>
      <c r="L12597" s="1"/>
      <c r="M12597" s="1"/>
      <c r="N12597" s="1"/>
      <c r="O12597" s="1"/>
      <c r="P12597" s="1"/>
      <c r="Q12597" s="1"/>
      <c r="R12597" s="1"/>
      <c r="S12597" s="1"/>
      <c r="T12597" s="1"/>
      <c r="U12597" s="1"/>
      <c r="V12597" s="1"/>
      <c r="W12597" s="1"/>
      <c r="X12597" s="1"/>
      <c r="Y12597" s="1"/>
      <c r="Z12597" s="1"/>
      <c r="AA12597" s="1"/>
      <c r="AB12597" s="1"/>
    </row>
    <row r="12598" ht="50.25" customHeight="1">
      <c r="A12598" s="12">
        <v>12594.0</v>
      </c>
      <c r="B12598" s="13" t="s">
        <v>12266</v>
      </c>
      <c r="C12598" s="14" t="s">
        <v>12303</v>
      </c>
      <c r="D12598" s="1"/>
      <c r="E12598" s="1"/>
      <c r="F12598" s="1" t="str">
        <f>IFERROR(__xludf.DUMMYFUNCTION("GOOGLETRANSLATE(B12598, ""en"", ""fa"")
"),"سبک زندگی عشایری دیجیتال")</f>
        <v>سبک زندگی عشایری دیجیتال</v>
      </c>
      <c r="G12598" s="1" t="str">
        <f>IFERROR(__xludf.DUMMYFUNCTION("GOOGLETRANSLATE(C12598,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598" s="1"/>
      <c r="I12598" s="1"/>
      <c r="J12598" s="1"/>
      <c r="K12598" s="1"/>
      <c r="L12598" s="1"/>
      <c r="M12598" s="1"/>
      <c r="N12598" s="1"/>
      <c r="O12598" s="1"/>
      <c r="P12598" s="1"/>
      <c r="Q12598" s="1"/>
      <c r="R12598" s="1"/>
      <c r="S12598" s="1"/>
      <c r="T12598" s="1"/>
      <c r="U12598" s="1"/>
      <c r="V12598" s="1"/>
      <c r="W12598" s="1"/>
      <c r="X12598" s="1"/>
      <c r="Y12598" s="1"/>
      <c r="Z12598" s="1"/>
      <c r="AA12598" s="1"/>
      <c r="AB12598" s="1"/>
    </row>
    <row r="12599" ht="50.25" customHeight="1">
      <c r="A12599" s="12">
        <v>12595.0</v>
      </c>
      <c r="B12599" s="13" t="s">
        <v>12266</v>
      </c>
      <c r="C12599" s="14" t="s">
        <v>12302</v>
      </c>
      <c r="D12599" s="1"/>
      <c r="E12599" s="1"/>
      <c r="F12599" s="1" t="str">
        <f>IFERROR(__xludf.DUMMYFUNCTION("GOOGLETRANSLATE(B12599, ""en"", ""fa"")
"),"سبک زندگی عشایری دیجیتال")</f>
        <v>سبک زندگی عشایری دیجیتال</v>
      </c>
      <c r="G12599" s="1" t="str">
        <f>IFERROR(__xludf.DUMMYFUNCTION("GOOGLETRANSLATE(C12599,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599" s="1"/>
      <c r="I12599" s="1"/>
      <c r="J12599" s="1"/>
      <c r="K12599" s="1"/>
      <c r="L12599" s="1"/>
      <c r="M12599" s="1"/>
      <c r="N12599" s="1"/>
      <c r="O12599" s="1"/>
      <c r="P12599" s="1"/>
      <c r="Q12599" s="1"/>
      <c r="R12599" s="1"/>
      <c r="S12599" s="1"/>
      <c r="T12599" s="1"/>
      <c r="U12599" s="1"/>
      <c r="V12599" s="1"/>
      <c r="W12599" s="1"/>
      <c r="X12599" s="1"/>
      <c r="Y12599" s="1"/>
      <c r="Z12599" s="1"/>
      <c r="AA12599" s="1"/>
      <c r="AB12599" s="1"/>
    </row>
    <row r="12600" ht="50.25" customHeight="1">
      <c r="A12600" s="12">
        <v>12596.0</v>
      </c>
      <c r="B12600" s="13" t="s">
        <v>12266</v>
      </c>
      <c r="C12600" s="14" t="s">
        <v>12298</v>
      </c>
      <c r="D12600" s="1"/>
      <c r="E12600" s="1"/>
      <c r="F12600" s="1" t="str">
        <f>IFERROR(__xludf.DUMMYFUNCTION("GOOGLETRANSLATE(B12600, ""en"", ""fa"")
"),"سبک زندگی عشایری دیجیتال")</f>
        <v>سبک زندگی عشایری دیجیتال</v>
      </c>
      <c r="G12600" s="1" t="str">
        <f>IFERROR(__xludf.DUMMYFUNCTION("GOOGLETRANSLATE(C12600,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600" s="1"/>
      <c r="I12600" s="1"/>
      <c r="J12600" s="1"/>
      <c r="K12600" s="1"/>
      <c r="L12600" s="1"/>
      <c r="M12600" s="1"/>
      <c r="N12600" s="1"/>
      <c r="O12600" s="1"/>
      <c r="P12600" s="1"/>
      <c r="Q12600" s="1"/>
      <c r="R12600" s="1"/>
      <c r="S12600" s="1"/>
      <c r="T12600" s="1"/>
      <c r="U12600" s="1"/>
      <c r="V12600" s="1"/>
      <c r="W12600" s="1"/>
      <c r="X12600" s="1"/>
      <c r="Y12600" s="1"/>
      <c r="Z12600" s="1"/>
      <c r="AA12600" s="1"/>
      <c r="AB12600" s="1"/>
    </row>
    <row r="12601" ht="50.25" customHeight="1">
      <c r="A12601" s="12">
        <v>12597.0</v>
      </c>
      <c r="B12601" s="13" t="s">
        <v>12266</v>
      </c>
      <c r="C12601" s="14" t="s">
        <v>12301</v>
      </c>
      <c r="D12601" s="1"/>
      <c r="E12601" s="1"/>
      <c r="F12601" s="1" t="str">
        <f>IFERROR(__xludf.DUMMYFUNCTION("GOOGLETRANSLATE(B12601, ""en"", ""fa"")
"),"سبک زندگی عشایری دیجیتال")</f>
        <v>سبک زندگی عشایری دیجیتال</v>
      </c>
      <c r="G12601" s="1" t="str">
        <f>IFERROR(__xludf.DUMMYFUNCTION("GOOGLETRANSLATE(C12601,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601" s="1"/>
      <c r="I12601" s="1"/>
      <c r="J12601" s="1"/>
      <c r="K12601" s="1"/>
      <c r="L12601" s="1"/>
      <c r="M12601" s="1"/>
      <c r="N12601" s="1"/>
      <c r="O12601" s="1"/>
      <c r="P12601" s="1"/>
      <c r="Q12601" s="1"/>
      <c r="R12601" s="1"/>
      <c r="S12601" s="1"/>
      <c r="T12601" s="1"/>
      <c r="U12601" s="1"/>
      <c r="V12601" s="1"/>
      <c r="W12601" s="1"/>
      <c r="X12601" s="1"/>
      <c r="Y12601" s="1"/>
      <c r="Z12601" s="1"/>
      <c r="AA12601" s="1"/>
      <c r="AB12601" s="1"/>
    </row>
    <row r="12602" ht="50.25" customHeight="1">
      <c r="A12602" s="12">
        <v>12598.0</v>
      </c>
      <c r="B12602" s="13" t="s">
        <v>12266</v>
      </c>
      <c r="C12602" s="14" t="s">
        <v>12299</v>
      </c>
      <c r="D12602" s="1"/>
      <c r="E12602" s="1"/>
      <c r="F12602" s="1" t="str">
        <f>IFERROR(__xludf.DUMMYFUNCTION("GOOGLETRANSLATE(B12602, ""en"", ""fa"")
"),"سبک زندگی عشایری دیجیتال")</f>
        <v>سبک زندگی عشایری دیجیتال</v>
      </c>
      <c r="G12602" s="1" t="str">
        <f>IFERROR(__xludf.DUMMYFUNCTION("GOOGLETRANSLATE(C12602, ""en"", ""fa"")
"),"نقاط و مقاصد محبوب عشایر دیجیتال برای هر فصل کدامند؟")</f>
        <v>نقاط و مقاصد محبوب عشایر دیجیتال برای هر فصل کدامند؟</v>
      </c>
      <c r="H12602" s="1"/>
      <c r="I12602" s="1"/>
      <c r="J12602" s="1"/>
      <c r="K12602" s="1"/>
      <c r="L12602" s="1"/>
      <c r="M12602" s="1"/>
      <c r="N12602" s="1"/>
      <c r="O12602" s="1"/>
      <c r="P12602" s="1"/>
      <c r="Q12602" s="1"/>
      <c r="R12602" s="1"/>
      <c r="S12602" s="1"/>
      <c r="T12602" s="1"/>
      <c r="U12602" s="1"/>
      <c r="V12602" s="1"/>
      <c r="W12602" s="1"/>
      <c r="X12602" s="1"/>
      <c r="Y12602" s="1"/>
      <c r="Z12602" s="1"/>
      <c r="AA12602" s="1"/>
      <c r="AB12602" s="1"/>
    </row>
    <row r="12603" ht="50.25" customHeight="1">
      <c r="A12603" s="12">
        <v>12599.0</v>
      </c>
      <c r="B12603" s="13" t="s">
        <v>12266</v>
      </c>
      <c r="C12603" s="14" t="s">
        <v>12300</v>
      </c>
      <c r="D12603" s="1"/>
      <c r="E12603" s="1"/>
      <c r="F12603" s="1" t="str">
        <f>IFERROR(__xludf.DUMMYFUNCTION("GOOGLETRANSLATE(B12603, ""en"", ""fa"")
"),"سبک زندگی عشایری دیجیتال")</f>
        <v>سبک زندگی عشایری دیجیتال</v>
      </c>
      <c r="G12603" s="1" t="str">
        <f>IFERROR(__xludf.DUMMYFUNCTION("GOOGLETRANSLATE(C12603,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603" s="1"/>
      <c r="I12603" s="1"/>
      <c r="J12603" s="1"/>
      <c r="K12603" s="1"/>
      <c r="L12603" s="1"/>
      <c r="M12603" s="1"/>
      <c r="N12603" s="1"/>
      <c r="O12603" s="1"/>
      <c r="P12603" s="1"/>
      <c r="Q12603" s="1"/>
      <c r="R12603" s="1"/>
      <c r="S12603" s="1"/>
      <c r="T12603" s="1"/>
      <c r="U12603" s="1"/>
      <c r="V12603" s="1"/>
      <c r="W12603" s="1"/>
      <c r="X12603" s="1"/>
      <c r="Y12603" s="1"/>
      <c r="Z12603" s="1"/>
      <c r="AA12603" s="1"/>
      <c r="AB12603" s="1"/>
    </row>
    <row r="12604" ht="50.25" customHeight="1">
      <c r="A12604" s="12">
        <v>12600.0</v>
      </c>
      <c r="B12604" s="13" t="s">
        <v>12266</v>
      </c>
      <c r="C12604" s="14" t="s">
        <v>12307</v>
      </c>
      <c r="D12604" s="1"/>
      <c r="E12604" s="1"/>
      <c r="F12604" s="1" t="str">
        <f>IFERROR(__xludf.DUMMYFUNCTION("GOOGLETRANSLATE(B12604, ""en"", ""fa"")
"),"سبک زندگی عشایری دیجیتال")</f>
        <v>سبک زندگی عشایری دیجیتال</v>
      </c>
      <c r="G12604" s="1" t="str">
        <f>IFERROR(__xludf.DUMMYFUNCTION("GOOGLETRANSLATE(C12604,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604" s="1"/>
      <c r="I12604" s="1"/>
      <c r="J12604" s="1"/>
      <c r="K12604" s="1"/>
      <c r="L12604" s="1"/>
      <c r="M12604" s="1"/>
      <c r="N12604" s="1"/>
      <c r="O12604" s="1"/>
      <c r="P12604" s="1"/>
      <c r="Q12604" s="1"/>
      <c r="R12604" s="1"/>
      <c r="S12604" s="1"/>
      <c r="T12604" s="1"/>
      <c r="U12604" s="1"/>
      <c r="V12604" s="1"/>
      <c r="W12604" s="1"/>
      <c r="X12604" s="1"/>
      <c r="Y12604" s="1"/>
      <c r="Z12604" s="1"/>
      <c r="AA12604" s="1"/>
      <c r="AB12604" s="1"/>
    </row>
    <row r="12605" ht="50.25" customHeight="1">
      <c r="A12605" s="12">
        <v>12601.0</v>
      </c>
      <c r="B12605" s="13" t="s">
        <v>12266</v>
      </c>
      <c r="C12605" s="14" t="s">
        <v>12308</v>
      </c>
      <c r="D12605" s="1"/>
      <c r="E12605" s="1"/>
      <c r="F12605" s="1" t="str">
        <f>IFERROR(__xludf.DUMMYFUNCTION("GOOGLETRANSLATE(B12605, ""en"", ""fa"")
"),"سبک زندگی عشایری دیجیتال")</f>
        <v>سبک زندگی عشایری دیجیتال</v>
      </c>
      <c r="G12605" s="1" t="str">
        <f>IFERROR(__xludf.DUMMYFUNCTION("GOOGLETRANSLATE(C12605,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605" s="1"/>
      <c r="I12605" s="1"/>
      <c r="J12605" s="1"/>
      <c r="K12605" s="1"/>
      <c r="L12605" s="1"/>
      <c r="M12605" s="1"/>
      <c r="N12605" s="1"/>
      <c r="O12605" s="1"/>
      <c r="P12605" s="1"/>
      <c r="Q12605" s="1"/>
      <c r="R12605" s="1"/>
      <c r="S12605" s="1"/>
      <c r="T12605" s="1"/>
      <c r="U12605" s="1"/>
      <c r="V12605" s="1"/>
      <c r="W12605" s="1"/>
      <c r="X12605" s="1"/>
      <c r="Y12605" s="1"/>
      <c r="Z12605" s="1"/>
      <c r="AA12605" s="1"/>
      <c r="AB12605" s="1"/>
    </row>
    <row r="12606" ht="50.25" customHeight="1">
      <c r="A12606" s="12">
        <v>12602.0</v>
      </c>
      <c r="B12606" s="13" t="s">
        <v>12266</v>
      </c>
      <c r="C12606" s="14" t="s">
        <v>12309</v>
      </c>
      <c r="D12606" s="1"/>
      <c r="E12606" s="1"/>
      <c r="F12606" s="1" t="str">
        <f>IFERROR(__xludf.DUMMYFUNCTION("GOOGLETRANSLATE(B12606, ""en"", ""fa"")
"),"سبک زندگی عشایری دیجیتال")</f>
        <v>سبک زندگی عشایری دیجیتال</v>
      </c>
      <c r="G12606" s="1" t="str">
        <f>IFERROR(__xludf.DUMMYFUNCTION("GOOGLETRANSLATE(C12606,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606" s="1"/>
      <c r="I12606" s="1"/>
      <c r="J12606" s="1"/>
      <c r="K12606" s="1"/>
      <c r="L12606" s="1"/>
      <c r="M12606" s="1"/>
      <c r="N12606" s="1"/>
      <c r="O12606" s="1"/>
      <c r="P12606" s="1"/>
      <c r="Q12606" s="1"/>
      <c r="R12606" s="1"/>
      <c r="S12606" s="1"/>
      <c r="T12606" s="1"/>
      <c r="U12606" s="1"/>
      <c r="V12606" s="1"/>
      <c r="W12606" s="1"/>
      <c r="X12606" s="1"/>
      <c r="Y12606" s="1"/>
      <c r="Z12606" s="1"/>
      <c r="AA12606" s="1"/>
      <c r="AB12606" s="1"/>
    </row>
    <row r="12607" ht="50.25" customHeight="1">
      <c r="A12607" s="12">
        <v>12603.0</v>
      </c>
      <c r="B12607" s="13" t="s">
        <v>12266</v>
      </c>
      <c r="C12607" s="14" t="s">
        <v>12310</v>
      </c>
      <c r="D12607" s="1"/>
      <c r="E12607" s="1"/>
      <c r="F12607" s="1" t="str">
        <f>IFERROR(__xludf.DUMMYFUNCTION("GOOGLETRANSLATE(B12607, ""en"", ""fa"")
"),"سبک زندگی عشایری دیجیتال")</f>
        <v>سبک زندگی عشایری دیجیتال</v>
      </c>
      <c r="G12607" s="1" t="str">
        <f>IFERROR(__xludf.DUMMYFUNCTION("GOOGLETRANSLATE(C12607,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607" s="1"/>
      <c r="I12607" s="1"/>
      <c r="J12607" s="1"/>
      <c r="K12607" s="1"/>
      <c r="L12607" s="1"/>
      <c r="M12607" s="1"/>
      <c r="N12607" s="1"/>
      <c r="O12607" s="1"/>
      <c r="P12607" s="1"/>
      <c r="Q12607" s="1"/>
      <c r="R12607" s="1"/>
      <c r="S12607" s="1"/>
      <c r="T12607" s="1"/>
      <c r="U12607" s="1"/>
      <c r="V12607" s="1"/>
      <c r="W12607" s="1"/>
      <c r="X12607" s="1"/>
      <c r="Y12607" s="1"/>
      <c r="Z12607" s="1"/>
      <c r="AA12607" s="1"/>
      <c r="AB12607" s="1"/>
    </row>
    <row r="12608" ht="50.25" customHeight="1">
      <c r="A12608" s="12">
        <v>12604.0</v>
      </c>
      <c r="B12608" s="13" t="s">
        <v>12266</v>
      </c>
      <c r="C12608" s="14" t="s">
        <v>12311</v>
      </c>
      <c r="D12608" s="1"/>
      <c r="E12608" s="1"/>
      <c r="F12608" s="1" t="str">
        <f>IFERROR(__xludf.DUMMYFUNCTION("GOOGLETRANSLATE(B12608, ""en"", ""fa"")
"),"سبک زندگی عشایری دیجیتال")</f>
        <v>سبک زندگی عشایری دیجیتال</v>
      </c>
      <c r="G12608" s="1" t="str">
        <f>IFERROR(__xludf.DUMMYFUNCTION("GOOGLETRANSLATE(C12608,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608" s="1"/>
      <c r="I12608" s="1"/>
      <c r="J12608" s="1"/>
      <c r="K12608" s="1"/>
      <c r="L12608" s="1"/>
      <c r="M12608" s="1"/>
      <c r="N12608" s="1"/>
      <c r="O12608" s="1"/>
      <c r="P12608" s="1"/>
      <c r="Q12608" s="1"/>
      <c r="R12608" s="1"/>
      <c r="S12608" s="1"/>
      <c r="T12608" s="1"/>
      <c r="U12608" s="1"/>
      <c r="V12608" s="1"/>
      <c r="W12608" s="1"/>
      <c r="X12608" s="1"/>
      <c r="Y12608" s="1"/>
      <c r="Z12608" s="1"/>
      <c r="AA12608" s="1"/>
      <c r="AB12608" s="1"/>
    </row>
    <row r="12609" ht="50.25" customHeight="1">
      <c r="A12609" s="12">
        <v>12605.0</v>
      </c>
      <c r="B12609" s="13" t="s">
        <v>12266</v>
      </c>
      <c r="C12609" s="14" t="s">
        <v>12312</v>
      </c>
      <c r="D12609" s="1"/>
      <c r="E12609" s="1"/>
      <c r="F12609" s="1" t="str">
        <f>IFERROR(__xludf.DUMMYFUNCTION("GOOGLETRANSLATE(B12609, ""en"", ""fa"")
"),"سبک زندگی عشایری دیجیتال")</f>
        <v>سبک زندگی عشایری دیجیتال</v>
      </c>
      <c r="G12609" s="1" t="str">
        <f>IFERROR(__xludf.DUMMYFUNCTION("GOOGLETRANSLATE(C12609,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609" s="1"/>
      <c r="I12609" s="1"/>
      <c r="J12609" s="1"/>
      <c r="K12609" s="1"/>
      <c r="L12609" s="1"/>
      <c r="M12609" s="1"/>
      <c r="N12609" s="1"/>
      <c r="O12609" s="1"/>
      <c r="P12609" s="1"/>
      <c r="Q12609" s="1"/>
      <c r="R12609" s="1"/>
      <c r="S12609" s="1"/>
      <c r="T12609" s="1"/>
      <c r="U12609" s="1"/>
      <c r="V12609" s="1"/>
      <c r="W12609" s="1"/>
      <c r="X12609" s="1"/>
      <c r="Y12609" s="1"/>
      <c r="Z12609" s="1"/>
      <c r="AA12609" s="1"/>
      <c r="AB12609" s="1"/>
    </row>
    <row r="12610" ht="50.25" customHeight="1">
      <c r="A12610" s="12">
        <v>12606.0</v>
      </c>
      <c r="B12610" s="13" t="s">
        <v>12266</v>
      </c>
      <c r="C12610" s="14" t="s">
        <v>12313</v>
      </c>
      <c r="D12610" s="1"/>
      <c r="E12610" s="1"/>
      <c r="F12610" s="1" t="str">
        <f>IFERROR(__xludf.DUMMYFUNCTION("GOOGLETRANSLATE(B12610, ""en"", ""fa"")
"),"سبک زندگی عشایری دیجیتال")</f>
        <v>سبک زندگی عشایری دیجیتال</v>
      </c>
      <c r="G12610" s="1" t="str">
        <f>IFERROR(__xludf.DUMMYFUNCTION("GOOGLETRANSLATE(C12610,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610" s="1"/>
      <c r="I12610" s="1"/>
      <c r="J12610" s="1"/>
      <c r="K12610" s="1"/>
      <c r="L12610" s="1"/>
      <c r="M12610" s="1"/>
      <c r="N12610" s="1"/>
      <c r="O12610" s="1"/>
      <c r="P12610" s="1"/>
      <c r="Q12610" s="1"/>
      <c r="R12610" s="1"/>
      <c r="S12610" s="1"/>
      <c r="T12610" s="1"/>
      <c r="U12610" s="1"/>
      <c r="V12610" s="1"/>
      <c r="W12610" s="1"/>
      <c r="X12610" s="1"/>
      <c r="Y12610" s="1"/>
      <c r="Z12610" s="1"/>
      <c r="AA12610" s="1"/>
      <c r="AB12610" s="1"/>
    </row>
    <row r="12611" ht="50.25" customHeight="1">
      <c r="A12611" s="12">
        <v>12607.0</v>
      </c>
      <c r="B12611" s="13" t="s">
        <v>12266</v>
      </c>
      <c r="C12611" s="14" t="s">
        <v>12314</v>
      </c>
      <c r="D12611" s="1"/>
      <c r="E12611" s="1"/>
      <c r="F12611" s="1" t="str">
        <f>IFERROR(__xludf.DUMMYFUNCTION("GOOGLETRANSLATE(B12611, ""en"", ""fa"")
"),"سبک زندگی عشایری دیجیتال")</f>
        <v>سبک زندگی عشایری دیجیتال</v>
      </c>
      <c r="G12611" s="1" t="str">
        <f>IFERROR(__xludf.DUMMYFUNCTION("GOOGLETRANSLATE(C12611, ""en"", ""fa"")
"),"بهترین استراتژی برای غلبه بر خستگی سفر و تاخیر جت در حین حرکت چیست؟")</f>
        <v>بهترین استراتژی برای غلبه بر خستگی سفر و تاخیر جت در حین حرکت چیست؟</v>
      </c>
      <c r="H12611" s="1"/>
      <c r="I12611" s="1"/>
      <c r="J12611" s="1"/>
      <c r="K12611" s="1"/>
      <c r="L12611" s="1"/>
      <c r="M12611" s="1"/>
      <c r="N12611" s="1"/>
      <c r="O12611" s="1"/>
      <c r="P12611" s="1"/>
      <c r="Q12611" s="1"/>
      <c r="R12611" s="1"/>
      <c r="S12611" s="1"/>
      <c r="T12611" s="1"/>
      <c r="U12611" s="1"/>
      <c r="V12611" s="1"/>
      <c r="W12611" s="1"/>
      <c r="X12611" s="1"/>
      <c r="Y12611" s="1"/>
      <c r="Z12611" s="1"/>
      <c r="AA12611" s="1"/>
      <c r="AB12611" s="1"/>
    </row>
    <row r="12612" ht="50.25" customHeight="1">
      <c r="A12612" s="12">
        <v>12608.0</v>
      </c>
      <c r="B12612" s="13" t="s">
        <v>12266</v>
      </c>
      <c r="C12612" s="14" t="s">
        <v>12315</v>
      </c>
      <c r="D12612" s="1"/>
      <c r="E12612" s="1"/>
      <c r="F12612" s="1" t="str">
        <f>IFERROR(__xludf.DUMMYFUNCTION("GOOGLETRANSLATE(B12612, ""en"", ""fa"")
"),"سبک زندگی عشایری دیجیتال")</f>
        <v>سبک زندگی عشایری دیجیتال</v>
      </c>
      <c r="G12612" s="1" t="str">
        <f>IFERROR(__xludf.DUMMYFUNCTION("GOOGLETRANSLATE(C12612,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612" s="1"/>
      <c r="I12612" s="1"/>
      <c r="J12612" s="1"/>
      <c r="K12612" s="1"/>
      <c r="L12612" s="1"/>
      <c r="M12612" s="1"/>
      <c r="N12612" s="1"/>
      <c r="O12612" s="1"/>
      <c r="P12612" s="1"/>
      <c r="Q12612" s="1"/>
      <c r="R12612" s="1"/>
      <c r="S12612" s="1"/>
      <c r="T12612" s="1"/>
      <c r="U12612" s="1"/>
      <c r="V12612" s="1"/>
      <c r="W12612" s="1"/>
      <c r="X12612" s="1"/>
      <c r="Y12612" s="1"/>
      <c r="Z12612" s="1"/>
      <c r="AA12612" s="1"/>
      <c r="AB12612" s="1"/>
    </row>
    <row r="12613" ht="50.25" customHeight="1">
      <c r="A12613" s="12">
        <v>12609.0</v>
      </c>
      <c r="B12613" s="13" t="s">
        <v>12266</v>
      </c>
      <c r="C12613" s="14" t="s">
        <v>12316</v>
      </c>
      <c r="D12613" s="1"/>
      <c r="E12613" s="1"/>
      <c r="F12613" s="1" t="str">
        <f>IFERROR(__xludf.DUMMYFUNCTION("GOOGLETRANSLATE(B12613, ""en"", ""fa"")
"),"سبک زندگی عشایری دیجیتال")</f>
        <v>سبک زندگی عشایری دیجیتال</v>
      </c>
      <c r="G12613" s="1" t="str">
        <f>IFERROR(__xludf.DUMMYFUNCTION("GOOGLETRANSLATE(C12613,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613" s="1"/>
      <c r="I12613" s="1"/>
      <c r="J12613" s="1"/>
      <c r="K12613" s="1"/>
      <c r="L12613" s="1"/>
      <c r="M12613" s="1"/>
      <c r="N12613" s="1"/>
      <c r="O12613" s="1"/>
      <c r="P12613" s="1"/>
      <c r="Q12613" s="1"/>
      <c r="R12613" s="1"/>
      <c r="S12613" s="1"/>
      <c r="T12613" s="1"/>
      <c r="U12613" s="1"/>
      <c r="V12613" s="1"/>
      <c r="W12613" s="1"/>
      <c r="X12613" s="1"/>
      <c r="Y12613" s="1"/>
      <c r="Z12613" s="1"/>
      <c r="AA12613" s="1"/>
      <c r="AB12613" s="1"/>
    </row>
    <row r="12614" ht="50.25" customHeight="1">
      <c r="A12614" s="12">
        <v>12610.0</v>
      </c>
      <c r="B12614" s="13" t="s">
        <v>12266</v>
      </c>
      <c r="C12614" s="14" t="s">
        <v>12317</v>
      </c>
      <c r="D12614" s="1"/>
      <c r="E12614" s="1"/>
      <c r="F12614" s="1" t="str">
        <f>IFERROR(__xludf.DUMMYFUNCTION("GOOGLETRANSLATE(B12614, ""en"", ""fa"")
"),"سبک زندگی عشایری دیجیتال")</f>
        <v>سبک زندگی عشایری دیجیتال</v>
      </c>
      <c r="G12614" s="1" t="str">
        <f>IFERROR(__xludf.DUMMYFUNCTION("GOOGLETRANSLATE(C12614, ""en"", ""fa"")
"),"اقلام ضروری برای حفظ یک رژیم غذایی سالم و متعادل در سفر چیست؟")</f>
        <v>اقلام ضروری برای حفظ یک رژیم غذایی سالم و متعادل در سفر چیست؟</v>
      </c>
      <c r="H12614" s="1"/>
      <c r="I12614" s="1"/>
      <c r="J12614" s="1"/>
      <c r="K12614" s="1"/>
      <c r="L12614" s="1"/>
      <c r="M12614" s="1"/>
      <c r="N12614" s="1"/>
      <c r="O12614" s="1"/>
      <c r="P12614" s="1"/>
      <c r="Q12614" s="1"/>
      <c r="R12614" s="1"/>
      <c r="S12614" s="1"/>
      <c r="T12614" s="1"/>
      <c r="U12614" s="1"/>
      <c r="V12614" s="1"/>
      <c r="W12614" s="1"/>
      <c r="X12614" s="1"/>
      <c r="Y12614" s="1"/>
      <c r="Z12614" s="1"/>
      <c r="AA12614" s="1"/>
      <c r="AB12614" s="1"/>
    </row>
    <row r="12615" ht="50.25" customHeight="1">
      <c r="A12615" s="12">
        <v>12611.0</v>
      </c>
      <c r="B12615" s="13" t="s">
        <v>12266</v>
      </c>
      <c r="C12615" s="14" t="s">
        <v>12318</v>
      </c>
      <c r="D12615" s="1"/>
      <c r="E12615" s="1"/>
      <c r="F12615" s="1" t="str">
        <f>IFERROR(__xludf.DUMMYFUNCTION("GOOGLETRANSLATE(B12615, ""en"", ""fa"")
"),"سبک زندگی عشایری دیجیتال")</f>
        <v>سبک زندگی عشایری دیجیتال</v>
      </c>
      <c r="G12615" s="1" t="str">
        <f>IFERROR(__xludf.DUMMYFUNCTION("GOOGLETRANSLATE(C12615,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615" s="1"/>
      <c r="I12615" s="1"/>
      <c r="J12615" s="1"/>
      <c r="K12615" s="1"/>
      <c r="L12615" s="1"/>
      <c r="M12615" s="1"/>
      <c r="N12615" s="1"/>
      <c r="O12615" s="1"/>
      <c r="P12615" s="1"/>
      <c r="Q12615" s="1"/>
      <c r="R12615" s="1"/>
      <c r="S12615" s="1"/>
      <c r="T12615" s="1"/>
      <c r="U12615" s="1"/>
      <c r="V12615" s="1"/>
      <c r="W12615" s="1"/>
      <c r="X12615" s="1"/>
      <c r="Y12615" s="1"/>
      <c r="Z12615" s="1"/>
      <c r="AA12615" s="1"/>
      <c r="AB12615" s="1"/>
    </row>
    <row r="12616" ht="50.25" customHeight="1">
      <c r="A12616" s="12">
        <v>12612.0</v>
      </c>
      <c r="B12616" s="13" t="s">
        <v>12266</v>
      </c>
      <c r="C12616" s="14" t="s">
        <v>12319</v>
      </c>
      <c r="D12616" s="1"/>
      <c r="E12616" s="1"/>
      <c r="F12616" s="1" t="str">
        <f>IFERROR(__xludf.DUMMYFUNCTION("GOOGLETRANSLATE(B12616, ""en"", ""fa"")
"),"سبک زندگی عشایری دیجیتال")</f>
        <v>سبک زندگی عشایری دیجیتال</v>
      </c>
      <c r="G12616" s="1" t="str">
        <f>IFERROR(__xludf.DUMMYFUNCTION("GOOGLETRANSLATE(C12616,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616" s="1"/>
      <c r="I12616" s="1"/>
      <c r="J12616" s="1"/>
      <c r="K12616" s="1"/>
      <c r="L12616" s="1"/>
      <c r="M12616" s="1"/>
      <c r="N12616" s="1"/>
      <c r="O12616" s="1"/>
      <c r="P12616" s="1"/>
      <c r="Q12616" s="1"/>
      <c r="R12616" s="1"/>
      <c r="S12616" s="1"/>
      <c r="T12616" s="1"/>
      <c r="U12616" s="1"/>
      <c r="V12616" s="1"/>
      <c r="W12616" s="1"/>
      <c r="X12616" s="1"/>
      <c r="Y12616" s="1"/>
      <c r="Z12616" s="1"/>
      <c r="AA12616" s="1"/>
      <c r="AB12616" s="1"/>
    </row>
    <row r="12617" ht="50.25" customHeight="1">
      <c r="A12617" s="12">
        <v>12613.0</v>
      </c>
      <c r="B12617" s="13" t="s">
        <v>12266</v>
      </c>
      <c r="C12617" s="14" t="s">
        <v>12323</v>
      </c>
      <c r="D12617" s="1"/>
      <c r="E12617" s="1"/>
      <c r="F12617" s="1" t="str">
        <f>IFERROR(__xludf.DUMMYFUNCTION("GOOGLETRANSLATE(B12617, ""en"", ""fa"")
"),"سبک زندگی عشایری دیجیتال")</f>
        <v>سبک زندگی عشایری دیجیتال</v>
      </c>
      <c r="G12617" s="1" t="str">
        <f>IFERROR(__xludf.DUMMYFUNCTION("GOOGLETRANSLATE(C12617,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617" s="1"/>
      <c r="I12617" s="1"/>
      <c r="J12617" s="1"/>
      <c r="K12617" s="1"/>
      <c r="L12617" s="1"/>
      <c r="M12617" s="1"/>
      <c r="N12617" s="1"/>
      <c r="O12617" s="1"/>
      <c r="P12617" s="1"/>
      <c r="Q12617" s="1"/>
      <c r="R12617" s="1"/>
      <c r="S12617" s="1"/>
      <c r="T12617" s="1"/>
      <c r="U12617" s="1"/>
      <c r="V12617" s="1"/>
      <c r="W12617" s="1"/>
      <c r="X12617" s="1"/>
      <c r="Y12617" s="1"/>
      <c r="Z12617" s="1"/>
      <c r="AA12617" s="1"/>
      <c r="AB12617" s="1"/>
    </row>
    <row r="12618" ht="50.25" customHeight="1">
      <c r="A12618" s="12">
        <v>12614.0</v>
      </c>
      <c r="B12618" s="13" t="s">
        <v>12266</v>
      </c>
      <c r="C12618" s="14" t="s">
        <v>12324</v>
      </c>
      <c r="D12618" s="1"/>
      <c r="E12618" s="1"/>
      <c r="F12618" s="1" t="str">
        <f>IFERROR(__xludf.DUMMYFUNCTION("GOOGLETRANSLATE(B12618, ""en"", ""fa"")
"),"سبک زندگی عشایری دیجیتال")</f>
        <v>سبک زندگی عشایری دیجیتال</v>
      </c>
      <c r="G12618" s="1" t="str">
        <f>IFERROR(__xludf.DUMMYFUNCTION("GOOGLETRANSLATE(C12618,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618" s="1"/>
      <c r="I12618" s="1"/>
      <c r="J12618" s="1"/>
      <c r="K12618" s="1"/>
      <c r="L12618" s="1"/>
      <c r="M12618" s="1"/>
      <c r="N12618" s="1"/>
      <c r="O12618" s="1"/>
      <c r="P12618" s="1"/>
      <c r="Q12618" s="1"/>
      <c r="R12618" s="1"/>
      <c r="S12618" s="1"/>
      <c r="T12618" s="1"/>
      <c r="U12618" s="1"/>
      <c r="V12618" s="1"/>
      <c r="W12618" s="1"/>
      <c r="X12618" s="1"/>
      <c r="Y12618" s="1"/>
      <c r="Z12618" s="1"/>
      <c r="AA12618" s="1"/>
      <c r="AB12618" s="1"/>
    </row>
    <row r="12619" ht="50.25" customHeight="1">
      <c r="A12619" s="12">
        <v>12615.0</v>
      </c>
      <c r="B12619" s="13" t="s">
        <v>12266</v>
      </c>
      <c r="C12619" s="14" t="s">
        <v>12325</v>
      </c>
      <c r="D12619" s="1"/>
      <c r="E12619" s="1"/>
      <c r="F12619" s="1" t="str">
        <f>IFERROR(__xludf.DUMMYFUNCTION("GOOGLETRANSLATE(B12619, ""en"", ""fa"")
"),"سبک زندگی عشایری دیجیتال")</f>
        <v>سبک زندگی عشایری دیجیتال</v>
      </c>
      <c r="G12619" s="1" t="str">
        <f>IFERROR(__xludf.DUMMYFUNCTION("GOOGLETRANSLATE(C12619,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619" s="1"/>
      <c r="I12619" s="1"/>
      <c r="J12619" s="1"/>
      <c r="K12619" s="1"/>
      <c r="L12619" s="1"/>
      <c r="M12619" s="1"/>
      <c r="N12619" s="1"/>
      <c r="O12619" s="1"/>
      <c r="P12619" s="1"/>
      <c r="Q12619" s="1"/>
      <c r="R12619" s="1"/>
      <c r="S12619" s="1"/>
      <c r="T12619" s="1"/>
      <c r="U12619" s="1"/>
      <c r="V12619" s="1"/>
      <c r="W12619" s="1"/>
      <c r="X12619" s="1"/>
      <c r="Y12619" s="1"/>
      <c r="Z12619" s="1"/>
      <c r="AA12619" s="1"/>
      <c r="AB12619" s="1"/>
    </row>
    <row r="12620" ht="50.25" customHeight="1">
      <c r="A12620" s="12">
        <v>12616.0</v>
      </c>
      <c r="B12620" s="13" t="s">
        <v>12266</v>
      </c>
      <c r="C12620" s="14" t="s">
        <v>12326</v>
      </c>
      <c r="D12620" s="1"/>
      <c r="E12620" s="1"/>
      <c r="F12620" s="1" t="str">
        <f>IFERROR(__xludf.DUMMYFUNCTION("GOOGLETRANSLATE(B12620, ""en"", ""fa"")
"),"سبک زندگی عشایری دیجیتال")</f>
        <v>سبک زندگی عشایری دیجیتال</v>
      </c>
      <c r="G12620" s="1" t="str">
        <f>IFERROR(__xludf.DUMMYFUNCTION("GOOGLETRANSLATE(C12620,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620" s="1"/>
      <c r="I12620" s="1"/>
      <c r="J12620" s="1"/>
      <c r="K12620" s="1"/>
      <c r="L12620" s="1"/>
      <c r="M12620" s="1"/>
      <c r="N12620" s="1"/>
      <c r="O12620" s="1"/>
      <c r="P12620" s="1"/>
      <c r="Q12620" s="1"/>
      <c r="R12620" s="1"/>
      <c r="S12620" s="1"/>
      <c r="T12620" s="1"/>
      <c r="U12620" s="1"/>
      <c r="V12620" s="1"/>
      <c r="W12620" s="1"/>
      <c r="X12620" s="1"/>
      <c r="Y12620" s="1"/>
      <c r="Z12620" s="1"/>
      <c r="AA12620" s="1"/>
      <c r="AB12620" s="1"/>
    </row>
    <row r="12621" ht="50.25" customHeight="1">
      <c r="A12621" s="12">
        <v>12617.0</v>
      </c>
      <c r="B12621" s="13" t="s">
        <v>12266</v>
      </c>
      <c r="C12621" s="14" t="s">
        <v>12327</v>
      </c>
      <c r="D12621" s="1"/>
      <c r="E12621" s="1"/>
      <c r="F12621" s="1" t="str">
        <f>IFERROR(__xludf.DUMMYFUNCTION("GOOGLETRANSLATE(B12621, ""en"", ""fa"")
"),"سبک زندگی عشایری دیجیتال")</f>
        <v>سبک زندگی عشایری دیجیتال</v>
      </c>
      <c r="G12621" s="1" t="str">
        <f>IFERROR(__xludf.DUMMYFUNCTION("GOOGLETRANSLATE(C12621,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621" s="1"/>
      <c r="I12621" s="1"/>
      <c r="J12621" s="1"/>
      <c r="K12621" s="1"/>
      <c r="L12621" s="1"/>
      <c r="M12621" s="1"/>
      <c r="N12621" s="1"/>
      <c r="O12621" s="1"/>
      <c r="P12621" s="1"/>
      <c r="Q12621" s="1"/>
      <c r="R12621" s="1"/>
      <c r="S12621" s="1"/>
      <c r="T12621" s="1"/>
      <c r="U12621" s="1"/>
      <c r="V12621" s="1"/>
      <c r="W12621" s="1"/>
      <c r="X12621" s="1"/>
      <c r="Y12621" s="1"/>
      <c r="Z12621" s="1"/>
      <c r="AA12621" s="1"/>
      <c r="AB12621" s="1"/>
    </row>
    <row r="12622" ht="50.25" customHeight="1">
      <c r="A12622" s="12">
        <v>12618.0</v>
      </c>
      <c r="B12622" s="13" t="s">
        <v>12266</v>
      </c>
      <c r="C12622" s="14" t="s">
        <v>12303</v>
      </c>
      <c r="D12622" s="1"/>
      <c r="E12622" s="1"/>
      <c r="F12622" s="1" t="str">
        <f>IFERROR(__xludf.DUMMYFUNCTION("GOOGLETRANSLATE(B12622, ""en"", ""fa"")
"),"سبک زندگی عشایری دیجیتال")</f>
        <v>سبک زندگی عشایری دیجیتال</v>
      </c>
      <c r="G12622" s="1" t="str">
        <f>IFERROR(__xludf.DUMMYFUNCTION("GOOGLETRANSLATE(C12622,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622" s="1"/>
      <c r="I12622" s="1"/>
      <c r="J12622" s="1"/>
      <c r="K12622" s="1"/>
      <c r="L12622" s="1"/>
      <c r="M12622" s="1"/>
      <c r="N12622" s="1"/>
      <c r="O12622" s="1"/>
      <c r="P12622" s="1"/>
      <c r="Q12622" s="1"/>
      <c r="R12622" s="1"/>
      <c r="S12622" s="1"/>
      <c r="T12622" s="1"/>
      <c r="U12622" s="1"/>
      <c r="V12622" s="1"/>
      <c r="W12622" s="1"/>
      <c r="X12622" s="1"/>
      <c r="Y12622" s="1"/>
      <c r="Z12622" s="1"/>
      <c r="AA12622" s="1"/>
      <c r="AB12622" s="1"/>
    </row>
    <row r="12623" ht="50.25" customHeight="1">
      <c r="A12623" s="12">
        <v>12619.0</v>
      </c>
      <c r="B12623" s="13" t="s">
        <v>12266</v>
      </c>
      <c r="C12623" s="14" t="s">
        <v>12302</v>
      </c>
      <c r="D12623" s="1"/>
      <c r="E12623" s="1"/>
      <c r="F12623" s="1" t="str">
        <f>IFERROR(__xludf.DUMMYFUNCTION("GOOGLETRANSLATE(B12623, ""en"", ""fa"")
"),"سبک زندگی عشایری دیجیتال")</f>
        <v>سبک زندگی عشایری دیجیتال</v>
      </c>
      <c r="G12623" s="1" t="str">
        <f>IFERROR(__xludf.DUMMYFUNCTION("GOOGLETRANSLATE(C12623,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623" s="1"/>
      <c r="I12623" s="1"/>
      <c r="J12623" s="1"/>
      <c r="K12623" s="1"/>
      <c r="L12623" s="1"/>
      <c r="M12623" s="1"/>
      <c r="N12623" s="1"/>
      <c r="O12623" s="1"/>
      <c r="P12623" s="1"/>
      <c r="Q12623" s="1"/>
      <c r="R12623" s="1"/>
      <c r="S12623" s="1"/>
      <c r="T12623" s="1"/>
      <c r="U12623" s="1"/>
      <c r="V12623" s="1"/>
      <c r="W12623" s="1"/>
      <c r="X12623" s="1"/>
      <c r="Y12623" s="1"/>
      <c r="Z12623" s="1"/>
      <c r="AA12623" s="1"/>
      <c r="AB12623" s="1"/>
    </row>
    <row r="12624" ht="50.25" customHeight="1">
      <c r="A12624" s="12">
        <v>12620.0</v>
      </c>
      <c r="B12624" s="13" t="s">
        <v>12266</v>
      </c>
      <c r="C12624" s="14" t="s">
        <v>12298</v>
      </c>
      <c r="D12624" s="1"/>
      <c r="E12624" s="1"/>
      <c r="F12624" s="1" t="str">
        <f>IFERROR(__xludf.DUMMYFUNCTION("GOOGLETRANSLATE(B12624, ""en"", ""fa"")
"),"سبک زندگی عشایری دیجیتال")</f>
        <v>سبک زندگی عشایری دیجیتال</v>
      </c>
      <c r="G12624" s="1" t="str">
        <f>IFERROR(__xludf.DUMMYFUNCTION("GOOGLETRANSLATE(C12624,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624" s="1"/>
      <c r="I12624" s="1"/>
      <c r="J12624" s="1"/>
      <c r="K12624" s="1"/>
      <c r="L12624" s="1"/>
      <c r="M12624" s="1"/>
      <c r="N12624" s="1"/>
      <c r="O12624" s="1"/>
      <c r="P12624" s="1"/>
      <c r="Q12624" s="1"/>
      <c r="R12624" s="1"/>
      <c r="S12624" s="1"/>
      <c r="T12624" s="1"/>
      <c r="U12624" s="1"/>
      <c r="V12624" s="1"/>
      <c r="W12624" s="1"/>
      <c r="X12624" s="1"/>
      <c r="Y12624" s="1"/>
      <c r="Z12624" s="1"/>
      <c r="AA12624" s="1"/>
      <c r="AB12624" s="1"/>
    </row>
    <row r="12625" ht="50.25" customHeight="1">
      <c r="A12625" s="12">
        <v>12621.0</v>
      </c>
      <c r="B12625" s="13" t="s">
        <v>12266</v>
      </c>
      <c r="C12625" s="14" t="s">
        <v>12301</v>
      </c>
      <c r="D12625" s="1"/>
      <c r="E12625" s="1"/>
      <c r="F12625" s="1" t="str">
        <f>IFERROR(__xludf.DUMMYFUNCTION("GOOGLETRANSLATE(B12625, ""en"", ""fa"")
"),"سبک زندگی عشایری دیجیتال")</f>
        <v>سبک زندگی عشایری دیجیتال</v>
      </c>
      <c r="G12625" s="1" t="str">
        <f>IFERROR(__xludf.DUMMYFUNCTION("GOOGLETRANSLATE(C12625,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625" s="1"/>
      <c r="I12625" s="1"/>
      <c r="J12625" s="1"/>
      <c r="K12625" s="1"/>
      <c r="L12625" s="1"/>
      <c r="M12625" s="1"/>
      <c r="N12625" s="1"/>
      <c r="O12625" s="1"/>
      <c r="P12625" s="1"/>
      <c r="Q12625" s="1"/>
      <c r="R12625" s="1"/>
      <c r="S12625" s="1"/>
      <c r="T12625" s="1"/>
      <c r="U12625" s="1"/>
      <c r="V12625" s="1"/>
      <c r="W12625" s="1"/>
      <c r="X12625" s="1"/>
      <c r="Y12625" s="1"/>
      <c r="Z12625" s="1"/>
      <c r="AA12625" s="1"/>
      <c r="AB12625" s="1"/>
    </row>
    <row r="12626" ht="50.25" customHeight="1">
      <c r="A12626" s="12">
        <v>12622.0</v>
      </c>
      <c r="B12626" s="13" t="s">
        <v>12266</v>
      </c>
      <c r="C12626" s="14" t="s">
        <v>12299</v>
      </c>
      <c r="D12626" s="1"/>
      <c r="E12626" s="1"/>
      <c r="F12626" s="1" t="str">
        <f>IFERROR(__xludf.DUMMYFUNCTION("GOOGLETRANSLATE(B12626, ""en"", ""fa"")
"),"سبک زندگی عشایری دیجیتال")</f>
        <v>سبک زندگی عشایری دیجیتال</v>
      </c>
      <c r="G12626" s="1" t="str">
        <f>IFERROR(__xludf.DUMMYFUNCTION("GOOGLETRANSLATE(C12626, ""en"", ""fa"")
"),"نقاط و مقاصد محبوب عشایر دیجیتال برای هر فصل کدامند؟")</f>
        <v>نقاط و مقاصد محبوب عشایر دیجیتال برای هر فصل کدامند؟</v>
      </c>
      <c r="H12626" s="1"/>
      <c r="I12626" s="1"/>
      <c r="J12626" s="1"/>
      <c r="K12626" s="1"/>
      <c r="L12626" s="1"/>
      <c r="M12626" s="1"/>
      <c r="N12626" s="1"/>
      <c r="O12626" s="1"/>
      <c r="P12626" s="1"/>
      <c r="Q12626" s="1"/>
      <c r="R12626" s="1"/>
      <c r="S12626" s="1"/>
      <c r="T12626" s="1"/>
      <c r="U12626" s="1"/>
      <c r="V12626" s="1"/>
      <c r="W12626" s="1"/>
      <c r="X12626" s="1"/>
      <c r="Y12626" s="1"/>
      <c r="Z12626" s="1"/>
      <c r="AA12626" s="1"/>
      <c r="AB12626" s="1"/>
    </row>
    <row r="12627" ht="50.25" customHeight="1">
      <c r="A12627" s="12">
        <v>12623.0</v>
      </c>
      <c r="B12627" s="13" t="s">
        <v>12266</v>
      </c>
      <c r="C12627" s="14" t="s">
        <v>12300</v>
      </c>
      <c r="D12627" s="1"/>
      <c r="E12627" s="1"/>
      <c r="F12627" s="1" t="str">
        <f>IFERROR(__xludf.DUMMYFUNCTION("GOOGLETRANSLATE(B12627, ""en"", ""fa"")
"),"سبک زندگی عشایری دیجیتال")</f>
        <v>سبک زندگی عشایری دیجیتال</v>
      </c>
      <c r="G12627" s="1" t="str">
        <f>IFERROR(__xludf.DUMMYFUNCTION("GOOGLETRANSLATE(C12627,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627" s="1"/>
      <c r="I12627" s="1"/>
      <c r="J12627" s="1"/>
      <c r="K12627" s="1"/>
      <c r="L12627" s="1"/>
      <c r="M12627" s="1"/>
      <c r="N12627" s="1"/>
      <c r="O12627" s="1"/>
      <c r="P12627" s="1"/>
      <c r="Q12627" s="1"/>
      <c r="R12627" s="1"/>
      <c r="S12627" s="1"/>
      <c r="T12627" s="1"/>
      <c r="U12627" s="1"/>
      <c r="V12627" s="1"/>
      <c r="W12627" s="1"/>
      <c r="X12627" s="1"/>
      <c r="Y12627" s="1"/>
      <c r="Z12627" s="1"/>
      <c r="AA12627" s="1"/>
      <c r="AB12627" s="1"/>
    </row>
    <row r="12628" ht="50.25" customHeight="1">
      <c r="A12628" s="12">
        <v>12624.0</v>
      </c>
      <c r="B12628" s="13" t="s">
        <v>12266</v>
      </c>
      <c r="C12628" s="14" t="s">
        <v>12307</v>
      </c>
      <c r="D12628" s="1"/>
      <c r="E12628" s="1"/>
      <c r="F12628" s="1" t="str">
        <f>IFERROR(__xludf.DUMMYFUNCTION("GOOGLETRANSLATE(B12628, ""en"", ""fa"")
"),"سبک زندگی عشایری دیجیتال")</f>
        <v>سبک زندگی عشایری دیجیتال</v>
      </c>
      <c r="G12628" s="1" t="str">
        <f>IFERROR(__xludf.DUMMYFUNCTION("GOOGLETRANSLATE(C12628,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628" s="1"/>
      <c r="I12628" s="1"/>
      <c r="J12628" s="1"/>
      <c r="K12628" s="1"/>
      <c r="L12628" s="1"/>
      <c r="M12628" s="1"/>
      <c r="N12628" s="1"/>
      <c r="O12628" s="1"/>
      <c r="P12628" s="1"/>
      <c r="Q12628" s="1"/>
      <c r="R12628" s="1"/>
      <c r="S12628" s="1"/>
      <c r="T12628" s="1"/>
      <c r="U12628" s="1"/>
      <c r="V12628" s="1"/>
      <c r="W12628" s="1"/>
      <c r="X12628" s="1"/>
      <c r="Y12628" s="1"/>
      <c r="Z12628" s="1"/>
      <c r="AA12628" s="1"/>
      <c r="AB12628" s="1"/>
    </row>
    <row r="12629" ht="50.25" customHeight="1">
      <c r="A12629" s="12">
        <v>12625.0</v>
      </c>
      <c r="B12629" s="13" t="s">
        <v>12266</v>
      </c>
      <c r="C12629" s="14" t="s">
        <v>12308</v>
      </c>
      <c r="D12629" s="1"/>
      <c r="E12629" s="1"/>
      <c r="F12629" s="1" t="str">
        <f>IFERROR(__xludf.DUMMYFUNCTION("GOOGLETRANSLATE(B12629, ""en"", ""fa"")
"),"سبک زندگی عشایری دیجیتال")</f>
        <v>سبک زندگی عشایری دیجیتال</v>
      </c>
      <c r="G12629" s="1" t="str">
        <f>IFERROR(__xludf.DUMMYFUNCTION("GOOGLETRANSLATE(C12629,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629" s="1"/>
      <c r="I12629" s="1"/>
      <c r="J12629" s="1"/>
      <c r="K12629" s="1"/>
      <c r="L12629" s="1"/>
      <c r="M12629" s="1"/>
      <c r="N12629" s="1"/>
      <c r="O12629" s="1"/>
      <c r="P12629" s="1"/>
      <c r="Q12629" s="1"/>
      <c r="R12629" s="1"/>
      <c r="S12629" s="1"/>
      <c r="T12629" s="1"/>
      <c r="U12629" s="1"/>
      <c r="V12629" s="1"/>
      <c r="W12629" s="1"/>
      <c r="X12629" s="1"/>
      <c r="Y12629" s="1"/>
      <c r="Z12629" s="1"/>
      <c r="AA12629" s="1"/>
      <c r="AB12629" s="1"/>
    </row>
    <row r="12630" ht="50.25" customHeight="1">
      <c r="A12630" s="12">
        <v>12626.0</v>
      </c>
      <c r="B12630" s="13" t="s">
        <v>12266</v>
      </c>
      <c r="C12630" s="14" t="s">
        <v>12309</v>
      </c>
      <c r="D12630" s="1"/>
      <c r="E12630" s="1"/>
      <c r="F12630" s="1" t="str">
        <f>IFERROR(__xludf.DUMMYFUNCTION("GOOGLETRANSLATE(B12630, ""en"", ""fa"")
"),"سبک زندگی عشایری دیجیتال")</f>
        <v>سبک زندگی عشایری دیجیتال</v>
      </c>
      <c r="G12630" s="1" t="str">
        <f>IFERROR(__xludf.DUMMYFUNCTION("GOOGLETRANSLATE(C12630,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630" s="1"/>
      <c r="I12630" s="1"/>
      <c r="J12630" s="1"/>
      <c r="K12630" s="1"/>
      <c r="L12630" s="1"/>
      <c r="M12630" s="1"/>
      <c r="N12630" s="1"/>
      <c r="O12630" s="1"/>
      <c r="P12630" s="1"/>
      <c r="Q12630" s="1"/>
      <c r="R12630" s="1"/>
      <c r="S12630" s="1"/>
      <c r="T12630" s="1"/>
      <c r="U12630" s="1"/>
      <c r="V12630" s="1"/>
      <c r="W12630" s="1"/>
      <c r="X12630" s="1"/>
      <c r="Y12630" s="1"/>
      <c r="Z12630" s="1"/>
      <c r="AA12630" s="1"/>
      <c r="AB12630" s="1"/>
    </row>
    <row r="12631" ht="50.25" customHeight="1">
      <c r="A12631" s="12">
        <v>12627.0</v>
      </c>
      <c r="B12631" s="13" t="s">
        <v>12266</v>
      </c>
      <c r="C12631" s="14" t="s">
        <v>12310</v>
      </c>
      <c r="D12631" s="1"/>
      <c r="E12631" s="1"/>
      <c r="F12631" s="1" t="str">
        <f>IFERROR(__xludf.DUMMYFUNCTION("GOOGLETRANSLATE(B12631, ""en"", ""fa"")
"),"سبک زندگی عشایری دیجیتال")</f>
        <v>سبک زندگی عشایری دیجیتال</v>
      </c>
      <c r="G12631" s="1" t="str">
        <f>IFERROR(__xludf.DUMMYFUNCTION("GOOGLETRANSLATE(C12631,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631" s="1"/>
      <c r="I12631" s="1"/>
      <c r="J12631" s="1"/>
      <c r="K12631" s="1"/>
      <c r="L12631" s="1"/>
      <c r="M12631" s="1"/>
      <c r="N12631" s="1"/>
      <c r="O12631" s="1"/>
      <c r="P12631" s="1"/>
      <c r="Q12631" s="1"/>
      <c r="R12631" s="1"/>
      <c r="S12631" s="1"/>
      <c r="T12631" s="1"/>
      <c r="U12631" s="1"/>
      <c r="V12631" s="1"/>
      <c r="W12631" s="1"/>
      <c r="X12631" s="1"/>
      <c r="Y12631" s="1"/>
      <c r="Z12631" s="1"/>
      <c r="AA12631" s="1"/>
      <c r="AB12631" s="1"/>
    </row>
    <row r="12632" ht="50.25" customHeight="1">
      <c r="A12632" s="12">
        <v>12628.0</v>
      </c>
      <c r="B12632" s="13" t="s">
        <v>12266</v>
      </c>
      <c r="C12632" s="14" t="s">
        <v>12311</v>
      </c>
      <c r="D12632" s="1"/>
      <c r="E12632" s="1"/>
      <c r="F12632" s="1" t="str">
        <f>IFERROR(__xludf.DUMMYFUNCTION("GOOGLETRANSLATE(B12632, ""en"", ""fa"")
"),"سبک زندگی عشایری دیجیتال")</f>
        <v>سبک زندگی عشایری دیجیتال</v>
      </c>
      <c r="G12632" s="1" t="str">
        <f>IFERROR(__xludf.DUMMYFUNCTION("GOOGLETRANSLATE(C12632,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632" s="1"/>
      <c r="I12632" s="1"/>
      <c r="J12632" s="1"/>
      <c r="K12632" s="1"/>
      <c r="L12632" s="1"/>
      <c r="M12632" s="1"/>
      <c r="N12632" s="1"/>
      <c r="O12632" s="1"/>
      <c r="P12632" s="1"/>
      <c r="Q12632" s="1"/>
      <c r="R12632" s="1"/>
      <c r="S12632" s="1"/>
      <c r="T12632" s="1"/>
      <c r="U12632" s="1"/>
      <c r="V12632" s="1"/>
      <c r="W12632" s="1"/>
      <c r="X12632" s="1"/>
      <c r="Y12632" s="1"/>
      <c r="Z12632" s="1"/>
      <c r="AA12632" s="1"/>
      <c r="AB12632" s="1"/>
    </row>
    <row r="12633" ht="50.25" customHeight="1">
      <c r="A12633" s="12">
        <v>12629.0</v>
      </c>
      <c r="B12633" s="13" t="s">
        <v>12266</v>
      </c>
      <c r="C12633" s="14" t="s">
        <v>12312</v>
      </c>
      <c r="D12633" s="1"/>
      <c r="E12633" s="1"/>
      <c r="F12633" s="1" t="str">
        <f>IFERROR(__xludf.DUMMYFUNCTION("GOOGLETRANSLATE(B12633, ""en"", ""fa"")
"),"سبک زندگی عشایری دیجیتال")</f>
        <v>سبک زندگی عشایری دیجیتال</v>
      </c>
      <c r="G12633" s="1" t="str">
        <f>IFERROR(__xludf.DUMMYFUNCTION("GOOGLETRANSLATE(C12633,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633" s="1"/>
      <c r="I12633" s="1"/>
      <c r="J12633" s="1"/>
      <c r="K12633" s="1"/>
      <c r="L12633" s="1"/>
      <c r="M12633" s="1"/>
      <c r="N12633" s="1"/>
      <c r="O12633" s="1"/>
      <c r="P12633" s="1"/>
      <c r="Q12633" s="1"/>
      <c r="R12633" s="1"/>
      <c r="S12633" s="1"/>
      <c r="T12633" s="1"/>
      <c r="U12633" s="1"/>
      <c r="V12633" s="1"/>
      <c r="W12633" s="1"/>
      <c r="X12633" s="1"/>
      <c r="Y12633" s="1"/>
      <c r="Z12633" s="1"/>
      <c r="AA12633" s="1"/>
      <c r="AB12633" s="1"/>
    </row>
    <row r="12634" ht="50.25" customHeight="1">
      <c r="A12634" s="12">
        <v>12630.0</v>
      </c>
      <c r="B12634" s="13" t="s">
        <v>12266</v>
      </c>
      <c r="C12634" s="14" t="s">
        <v>12313</v>
      </c>
      <c r="D12634" s="1"/>
      <c r="E12634" s="1"/>
      <c r="F12634" s="1" t="str">
        <f>IFERROR(__xludf.DUMMYFUNCTION("GOOGLETRANSLATE(B12634, ""en"", ""fa"")
"),"سبک زندگی عشایری دیجیتال")</f>
        <v>سبک زندگی عشایری دیجیتال</v>
      </c>
      <c r="G12634" s="1" t="str">
        <f>IFERROR(__xludf.DUMMYFUNCTION("GOOGLETRANSLATE(C12634,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634" s="1"/>
      <c r="I12634" s="1"/>
      <c r="J12634" s="1"/>
      <c r="K12634" s="1"/>
      <c r="L12634" s="1"/>
      <c r="M12634" s="1"/>
      <c r="N12634" s="1"/>
      <c r="O12634" s="1"/>
      <c r="P12634" s="1"/>
      <c r="Q12634" s="1"/>
      <c r="R12634" s="1"/>
      <c r="S12634" s="1"/>
      <c r="T12634" s="1"/>
      <c r="U12634" s="1"/>
      <c r="V12634" s="1"/>
      <c r="W12634" s="1"/>
      <c r="X12634" s="1"/>
      <c r="Y12634" s="1"/>
      <c r="Z12634" s="1"/>
      <c r="AA12634" s="1"/>
      <c r="AB12634" s="1"/>
    </row>
    <row r="12635" ht="50.25" customHeight="1">
      <c r="A12635" s="12">
        <v>12631.0</v>
      </c>
      <c r="B12635" s="13" t="s">
        <v>12266</v>
      </c>
      <c r="C12635" s="14" t="s">
        <v>12314</v>
      </c>
      <c r="D12635" s="1"/>
      <c r="E12635" s="1"/>
      <c r="F12635" s="1" t="str">
        <f>IFERROR(__xludf.DUMMYFUNCTION("GOOGLETRANSLATE(B12635, ""en"", ""fa"")
"),"سبک زندگی عشایری دیجیتال")</f>
        <v>سبک زندگی عشایری دیجیتال</v>
      </c>
      <c r="G12635" s="1" t="str">
        <f>IFERROR(__xludf.DUMMYFUNCTION("GOOGLETRANSLATE(C12635, ""en"", ""fa"")
"),"بهترین استراتژی برای غلبه بر خستگی سفر و تاخیر جت در حین حرکت چیست؟")</f>
        <v>بهترین استراتژی برای غلبه بر خستگی سفر و تاخیر جت در حین حرکت چیست؟</v>
      </c>
      <c r="H12635" s="1"/>
      <c r="I12635" s="1"/>
      <c r="J12635" s="1"/>
      <c r="K12635" s="1"/>
      <c r="L12635" s="1"/>
      <c r="M12635" s="1"/>
      <c r="N12635" s="1"/>
      <c r="O12635" s="1"/>
      <c r="P12635" s="1"/>
      <c r="Q12635" s="1"/>
      <c r="R12635" s="1"/>
      <c r="S12635" s="1"/>
      <c r="T12635" s="1"/>
      <c r="U12635" s="1"/>
      <c r="V12635" s="1"/>
      <c r="W12635" s="1"/>
      <c r="X12635" s="1"/>
      <c r="Y12635" s="1"/>
      <c r="Z12635" s="1"/>
      <c r="AA12635" s="1"/>
      <c r="AB12635" s="1"/>
    </row>
    <row r="12636" ht="50.25" customHeight="1">
      <c r="A12636" s="12">
        <v>12632.0</v>
      </c>
      <c r="B12636" s="13" t="s">
        <v>12266</v>
      </c>
      <c r="C12636" s="14" t="s">
        <v>12315</v>
      </c>
      <c r="D12636" s="1"/>
      <c r="E12636" s="1"/>
      <c r="F12636" s="1" t="str">
        <f>IFERROR(__xludf.DUMMYFUNCTION("GOOGLETRANSLATE(B12636, ""en"", ""fa"")
"),"سبک زندگی عشایری دیجیتال")</f>
        <v>سبک زندگی عشایری دیجیتال</v>
      </c>
      <c r="G12636" s="1" t="str">
        <f>IFERROR(__xludf.DUMMYFUNCTION("GOOGLETRANSLATE(C12636,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636" s="1"/>
      <c r="I12636" s="1"/>
      <c r="J12636" s="1"/>
      <c r="K12636" s="1"/>
      <c r="L12636" s="1"/>
      <c r="M12636" s="1"/>
      <c r="N12636" s="1"/>
      <c r="O12636" s="1"/>
      <c r="P12636" s="1"/>
      <c r="Q12636" s="1"/>
      <c r="R12636" s="1"/>
      <c r="S12636" s="1"/>
      <c r="T12636" s="1"/>
      <c r="U12636" s="1"/>
      <c r="V12636" s="1"/>
      <c r="W12636" s="1"/>
      <c r="X12636" s="1"/>
      <c r="Y12636" s="1"/>
      <c r="Z12636" s="1"/>
      <c r="AA12636" s="1"/>
      <c r="AB12636" s="1"/>
    </row>
    <row r="12637" ht="50.25" customHeight="1">
      <c r="A12637" s="12">
        <v>12633.0</v>
      </c>
      <c r="B12637" s="13" t="s">
        <v>12266</v>
      </c>
      <c r="C12637" s="14" t="s">
        <v>12316</v>
      </c>
      <c r="D12637" s="1"/>
      <c r="E12637" s="1"/>
      <c r="F12637" s="1" t="str">
        <f>IFERROR(__xludf.DUMMYFUNCTION("GOOGLETRANSLATE(B12637, ""en"", ""fa"")
"),"سبک زندگی عشایری دیجیتال")</f>
        <v>سبک زندگی عشایری دیجیتال</v>
      </c>
      <c r="G12637" s="1" t="str">
        <f>IFERROR(__xludf.DUMMYFUNCTION("GOOGLETRANSLATE(C12637,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637" s="1"/>
      <c r="I12637" s="1"/>
      <c r="J12637" s="1"/>
      <c r="K12637" s="1"/>
      <c r="L12637" s="1"/>
      <c r="M12637" s="1"/>
      <c r="N12637" s="1"/>
      <c r="O12637" s="1"/>
      <c r="P12637" s="1"/>
      <c r="Q12637" s="1"/>
      <c r="R12637" s="1"/>
      <c r="S12637" s="1"/>
      <c r="T12637" s="1"/>
      <c r="U12637" s="1"/>
      <c r="V12637" s="1"/>
      <c r="W12637" s="1"/>
      <c r="X12637" s="1"/>
      <c r="Y12637" s="1"/>
      <c r="Z12637" s="1"/>
      <c r="AA12637" s="1"/>
      <c r="AB12637" s="1"/>
    </row>
    <row r="12638" ht="50.25" customHeight="1">
      <c r="A12638" s="12">
        <v>12634.0</v>
      </c>
      <c r="B12638" s="13" t="s">
        <v>12266</v>
      </c>
      <c r="C12638" s="14" t="s">
        <v>12317</v>
      </c>
      <c r="D12638" s="1"/>
      <c r="E12638" s="1"/>
      <c r="F12638" s="1" t="str">
        <f>IFERROR(__xludf.DUMMYFUNCTION("GOOGLETRANSLATE(B12638, ""en"", ""fa"")
"),"سبک زندگی عشایری دیجیتال")</f>
        <v>سبک زندگی عشایری دیجیتال</v>
      </c>
      <c r="G12638" s="1" t="str">
        <f>IFERROR(__xludf.DUMMYFUNCTION("GOOGLETRANSLATE(C12638, ""en"", ""fa"")
"),"اقلام ضروری برای حفظ یک رژیم غذایی سالم و متعادل در سفر چیست؟")</f>
        <v>اقلام ضروری برای حفظ یک رژیم غذایی سالم و متعادل در سفر چیست؟</v>
      </c>
      <c r="H12638" s="1"/>
      <c r="I12638" s="1"/>
      <c r="J12638" s="1"/>
      <c r="K12638" s="1"/>
      <c r="L12638" s="1"/>
      <c r="M12638" s="1"/>
      <c r="N12638" s="1"/>
      <c r="O12638" s="1"/>
      <c r="P12638" s="1"/>
      <c r="Q12638" s="1"/>
      <c r="R12638" s="1"/>
      <c r="S12638" s="1"/>
      <c r="T12638" s="1"/>
      <c r="U12638" s="1"/>
      <c r="V12638" s="1"/>
      <c r="W12638" s="1"/>
      <c r="X12638" s="1"/>
      <c r="Y12638" s="1"/>
      <c r="Z12638" s="1"/>
      <c r="AA12638" s="1"/>
      <c r="AB12638" s="1"/>
    </row>
    <row r="12639" ht="50.25" customHeight="1">
      <c r="A12639" s="12">
        <v>12635.0</v>
      </c>
      <c r="B12639" s="13" t="s">
        <v>12266</v>
      </c>
      <c r="C12639" s="14" t="s">
        <v>12318</v>
      </c>
      <c r="D12639" s="1"/>
      <c r="E12639" s="1"/>
      <c r="F12639" s="1" t="str">
        <f>IFERROR(__xludf.DUMMYFUNCTION("GOOGLETRANSLATE(B12639, ""en"", ""fa"")
"),"سبک زندگی عشایری دیجیتال")</f>
        <v>سبک زندگی عشایری دیجیتال</v>
      </c>
      <c r="G12639" s="1" t="str">
        <f>IFERROR(__xludf.DUMMYFUNCTION("GOOGLETRANSLATE(C12639,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639" s="1"/>
      <c r="I12639" s="1"/>
      <c r="J12639" s="1"/>
      <c r="K12639" s="1"/>
      <c r="L12639" s="1"/>
      <c r="M12639" s="1"/>
      <c r="N12639" s="1"/>
      <c r="O12639" s="1"/>
      <c r="P12639" s="1"/>
      <c r="Q12639" s="1"/>
      <c r="R12639" s="1"/>
      <c r="S12639" s="1"/>
      <c r="T12639" s="1"/>
      <c r="U12639" s="1"/>
      <c r="V12639" s="1"/>
      <c r="W12639" s="1"/>
      <c r="X12639" s="1"/>
      <c r="Y12639" s="1"/>
      <c r="Z12639" s="1"/>
      <c r="AA12639" s="1"/>
      <c r="AB12639" s="1"/>
    </row>
    <row r="12640" ht="50.25" customHeight="1">
      <c r="A12640" s="12">
        <v>12636.0</v>
      </c>
      <c r="B12640" s="13" t="s">
        <v>12266</v>
      </c>
      <c r="C12640" s="14" t="s">
        <v>12319</v>
      </c>
      <c r="D12640" s="1"/>
      <c r="E12640" s="1"/>
      <c r="F12640" s="1" t="str">
        <f>IFERROR(__xludf.DUMMYFUNCTION("GOOGLETRANSLATE(B12640, ""en"", ""fa"")
"),"سبک زندگی عشایری دیجیتال")</f>
        <v>سبک زندگی عشایری دیجیتال</v>
      </c>
      <c r="G12640" s="1" t="str">
        <f>IFERROR(__xludf.DUMMYFUNCTION("GOOGLETRANSLATE(C12640,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640" s="1"/>
      <c r="I12640" s="1"/>
      <c r="J12640" s="1"/>
      <c r="K12640" s="1"/>
      <c r="L12640" s="1"/>
      <c r="M12640" s="1"/>
      <c r="N12640" s="1"/>
      <c r="O12640" s="1"/>
      <c r="P12640" s="1"/>
      <c r="Q12640" s="1"/>
      <c r="R12640" s="1"/>
      <c r="S12640" s="1"/>
      <c r="T12640" s="1"/>
      <c r="U12640" s="1"/>
      <c r="V12640" s="1"/>
      <c r="W12640" s="1"/>
      <c r="X12640" s="1"/>
      <c r="Y12640" s="1"/>
      <c r="Z12640" s="1"/>
      <c r="AA12640" s="1"/>
      <c r="AB12640" s="1"/>
    </row>
    <row r="12641" ht="50.25" customHeight="1">
      <c r="A12641" s="12">
        <v>12637.0</v>
      </c>
      <c r="B12641" s="13" t="s">
        <v>12266</v>
      </c>
      <c r="C12641" s="14" t="s">
        <v>12323</v>
      </c>
      <c r="D12641" s="1"/>
      <c r="E12641" s="1"/>
      <c r="F12641" s="1" t="str">
        <f>IFERROR(__xludf.DUMMYFUNCTION("GOOGLETRANSLATE(B12641, ""en"", ""fa"")
"),"سبک زندگی عشایری دیجیتال")</f>
        <v>سبک زندگی عشایری دیجیتال</v>
      </c>
      <c r="G12641" s="1" t="str">
        <f>IFERROR(__xludf.DUMMYFUNCTION("GOOGLETRANSLATE(C12641, ""en"", ""fa"")
"),"بهترین مقاصد برای عشایر دیجیتالی که به دنبال یک جامعه پویا و خلاق هستند چیست؟")</f>
        <v>بهترین مقاصد برای عشایر دیجیتالی که به دنبال یک جامعه پویا و خلاق هستند چیست؟</v>
      </c>
      <c r="H12641" s="1"/>
      <c r="I12641" s="1"/>
      <c r="J12641" s="1"/>
      <c r="K12641" s="1"/>
      <c r="L12641" s="1"/>
      <c r="M12641" s="1"/>
      <c r="N12641" s="1"/>
      <c r="O12641" s="1"/>
      <c r="P12641" s="1"/>
      <c r="Q12641" s="1"/>
      <c r="R12641" s="1"/>
      <c r="S12641" s="1"/>
      <c r="T12641" s="1"/>
      <c r="U12641" s="1"/>
      <c r="V12641" s="1"/>
      <c r="W12641" s="1"/>
      <c r="X12641" s="1"/>
      <c r="Y12641" s="1"/>
      <c r="Z12641" s="1"/>
      <c r="AA12641" s="1"/>
      <c r="AB12641" s="1"/>
    </row>
    <row r="12642" ht="50.25" customHeight="1">
      <c r="A12642" s="12">
        <v>12638.0</v>
      </c>
      <c r="B12642" s="13" t="s">
        <v>12266</v>
      </c>
      <c r="C12642" s="14" t="s">
        <v>12324</v>
      </c>
      <c r="D12642" s="1"/>
      <c r="E12642" s="1"/>
      <c r="F12642" s="1" t="str">
        <f>IFERROR(__xludf.DUMMYFUNCTION("GOOGLETRANSLATE(B12642, ""en"", ""fa"")
"),"سبک زندگی عشایری دیجیتال")</f>
        <v>سبک زندگی عشایری دیجیتال</v>
      </c>
      <c r="G12642" s="1" t="str">
        <f>IFERROR(__xludf.DUMMYFUNCTION("GOOGLETRANSLATE(C12642, ""en"", ""fa"")
"),"آیا می‌توانید استراتژی‌هایی برای فعال ماندن از نظر بدنی و تمرین روتین‌های تناسب اندام در جاده پیشنهاد کنید؟")</f>
        <v>آیا می‌توانید استراتژی‌هایی برای فعال ماندن از نظر بدنی و تمرین روتین‌های تناسب اندام در جاده پیشنهاد کنید؟</v>
      </c>
      <c r="H12642" s="1"/>
      <c r="I12642" s="1"/>
      <c r="J12642" s="1"/>
      <c r="K12642" s="1"/>
      <c r="L12642" s="1"/>
      <c r="M12642" s="1"/>
      <c r="N12642" s="1"/>
      <c r="O12642" s="1"/>
      <c r="P12642" s="1"/>
      <c r="Q12642" s="1"/>
      <c r="R12642" s="1"/>
      <c r="S12642" s="1"/>
      <c r="T12642" s="1"/>
      <c r="U12642" s="1"/>
      <c r="V12642" s="1"/>
      <c r="W12642" s="1"/>
      <c r="X12642" s="1"/>
      <c r="Y12642" s="1"/>
      <c r="Z12642" s="1"/>
      <c r="AA12642" s="1"/>
      <c r="AB12642" s="1"/>
    </row>
    <row r="12643" ht="50.25" customHeight="1">
      <c r="A12643" s="12">
        <v>12639.0</v>
      </c>
      <c r="B12643" s="13" t="s">
        <v>12266</v>
      </c>
      <c r="C12643" s="14" t="s">
        <v>12325</v>
      </c>
      <c r="D12643" s="1"/>
      <c r="E12643" s="1"/>
      <c r="F12643" s="1" t="str">
        <f>IFERROR(__xludf.DUMMYFUNCTION("GOOGLETRANSLATE(B12643, ""en"", ""fa"")
"),"سبک زندگی عشایری دیجیتال")</f>
        <v>سبک زندگی عشایری دیجیتال</v>
      </c>
      <c r="G12643" s="1" t="str">
        <f>IFERROR(__xludf.DUMMYFUNCTION("GOOGLETRANSLATE(C12643, ""en"", ""fa"")
"),"چگونه می توانم با نامه های پستی کار کنم و اسناد مهم را در حالی که دائماً مکان را تغییر می دهم، دریافت کنم؟")</f>
        <v>چگونه می توانم با نامه های پستی کار کنم و اسناد مهم را در حالی که دائماً مکان را تغییر می دهم، دریافت کنم؟</v>
      </c>
      <c r="H12643" s="1"/>
      <c r="I12643" s="1"/>
      <c r="J12643" s="1"/>
      <c r="K12643" s="1"/>
      <c r="L12643" s="1"/>
      <c r="M12643" s="1"/>
      <c r="N12643" s="1"/>
      <c r="O12643" s="1"/>
      <c r="P12643" s="1"/>
      <c r="Q12643" s="1"/>
      <c r="R12643" s="1"/>
      <c r="S12643" s="1"/>
      <c r="T12643" s="1"/>
      <c r="U12643" s="1"/>
      <c r="V12643" s="1"/>
      <c r="W12643" s="1"/>
      <c r="X12643" s="1"/>
      <c r="Y12643" s="1"/>
      <c r="Z12643" s="1"/>
      <c r="AA12643" s="1"/>
      <c r="AB12643" s="1"/>
    </row>
    <row r="12644" ht="50.25" customHeight="1">
      <c r="A12644" s="12">
        <v>12640.0</v>
      </c>
      <c r="B12644" s="13" t="s">
        <v>12266</v>
      </c>
      <c r="C12644" s="14" t="s">
        <v>12326</v>
      </c>
      <c r="D12644" s="1"/>
      <c r="E12644" s="1"/>
      <c r="F12644" s="1" t="str">
        <f>IFERROR(__xludf.DUMMYFUNCTION("GOOGLETRANSLATE(B12644, ""en"", ""fa"")
"),"سبک زندگی عشایری دیجیتال")</f>
        <v>سبک زندگی عشایری دیجیتال</v>
      </c>
      <c r="G12644" s="1" t="str">
        <f>IFERROR(__xludf.DUMMYFUNCTION("GOOGLETRANSLATE(C12644, ""en"", ""fa"")
"),"موثرترین راه‌ها برای ایجاد شبکه و ارتباط با مشتریان یا کارفرمایان بالقوه به عنوان یک عشایر چیست؟")</f>
        <v>موثرترین راه‌ها برای ایجاد شبکه و ارتباط با مشتریان یا کارفرمایان بالقوه به عنوان یک عشایر چیست؟</v>
      </c>
      <c r="H12644" s="1"/>
      <c r="I12644" s="1"/>
      <c r="J12644" s="1"/>
      <c r="K12644" s="1"/>
      <c r="L12644" s="1"/>
      <c r="M12644" s="1"/>
      <c r="N12644" s="1"/>
      <c r="O12644" s="1"/>
      <c r="P12644" s="1"/>
      <c r="Q12644" s="1"/>
      <c r="R12644" s="1"/>
      <c r="S12644" s="1"/>
      <c r="T12644" s="1"/>
      <c r="U12644" s="1"/>
      <c r="V12644" s="1"/>
      <c r="W12644" s="1"/>
      <c r="X12644" s="1"/>
      <c r="Y12644" s="1"/>
      <c r="Z12644" s="1"/>
      <c r="AA12644" s="1"/>
      <c r="AB12644" s="1"/>
    </row>
    <row r="12645" ht="50.25" customHeight="1">
      <c r="A12645" s="12">
        <v>12641.0</v>
      </c>
      <c r="B12645" s="13" t="s">
        <v>12266</v>
      </c>
      <c r="C12645" s="14" t="s">
        <v>12327</v>
      </c>
      <c r="D12645" s="1"/>
      <c r="E12645" s="1"/>
      <c r="F12645" s="1" t="str">
        <f>IFERROR(__xludf.DUMMYFUNCTION("GOOGLETRANSLATE(B12645, ""en"", ""fa"")
"),"سبک زندگی عشایری دیجیتال")</f>
        <v>سبک زندگی عشایری دیجیتال</v>
      </c>
      <c r="G12645" s="1" t="str">
        <f>IFERROR(__xludf.DUMMYFUNCTION("GOOGLETRANSLATE(C12645, ""en"", ""fa"")
"),"آیا توصیه ای در مورد ایجاد تعادل بین تعهدات کاری با اوقات فراغت و اکتشاف در حین حرکت دارید؟")</f>
        <v>آیا توصیه ای در مورد ایجاد تعادل بین تعهدات کاری با اوقات فراغت و اکتشاف در حین حرکت دارید؟</v>
      </c>
      <c r="H12645" s="1"/>
      <c r="I12645" s="1"/>
      <c r="J12645" s="1"/>
      <c r="K12645" s="1"/>
      <c r="L12645" s="1"/>
      <c r="M12645" s="1"/>
      <c r="N12645" s="1"/>
      <c r="O12645" s="1"/>
      <c r="P12645" s="1"/>
      <c r="Q12645" s="1"/>
      <c r="R12645" s="1"/>
      <c r="S12645" s="1"/>
      <c r="T12645" s="1"/>
      <c r="U12645" s="1"/>
      <c r="V12645" s="1"/>
      <c r="W12645" s="1"/>
      <c r="X12645" s="1"/>
      <c r="Y12645" s="1"/>
      <c r="Z12645" s="1"/>
      <c r="AA12645" s="1"/>
      <c r="AB12645" s="1"/>
    </row>
    <row r="12646" ht="50.25" customHeight="1">
      <c r="A12646" s="12">
        <v>12642.0</v>
      </c>
      <c r="B12646" s="13" t="s">
        <v>12266</v>
      </c>
      <c r="C12646" s="14" t="s">
        <v>12303</v>
      </c>
      <c r="D12646" s="1"/>
      <c r="E12646" s="1"/>
      <c r="F12646" s="1" t="str">
        <f>IFERROR(__xludf.DUMMYFUNCTION("GOOGLETRANSLATE(B12646, ""en"", ""fa"")
"),"سبک زندگی عشایری دیجیتال")</f>
        <v>سبک زندگی عشایری دیجیتال</v>
      </c>
      <c r="G12646" s="1" t="str">
        <f>IFERROR(__xludf.DUMMYFUNCTION("GOOGLETRANSLATE(C12646, ""en"", ""fa"")
"),"چگونه می توانم وسایلم را مدیریت کنم و در عین حال که سبک زندگی عشایری دارم از حمل و نقل زیاد پرهیز کنم؟")</f>
        <v>چگونه می توانم وسایلم را مدیریت کنم و در عین حال که سبک زندگی عشایری دارم از حمل و نقل زیاد پرهیز کنم؟</v>
      </c>
      <c r="H12646" s="1"/>
      <c r="I12646" s="1"/>
      <c r="J12646" s="1"/>
      <c r="K12646" s="1"/>
      <c r="L12646" s="1"/>
      <c r="M12646" s="1"/>
      <c r="N12646" s="1"/>
      <c r="O12646" s="1"/>
      <c r="P12646" s="1"/>
      <c r="Q12646" s="1"/>
      <c r="R12646" s="1"/>
      <c r="S12646" s="1"/>
      <c r="T12646" s="1"/>
      <c r="U12646" s="1"/>
      <c r="V12646" s="1"/>
      <c r="W12646" s="1"/>
      <c r="X12646" s="1"/>
      <c r="Y12646" s="1"/>
      <c r="Z12646" s="1"/>
      <c r="AA12646" s="1"/>
      <c r="AB12646" s="1"/>
    </row>
    <row r="12647" ht="50.25" customHeight="1">
      <c r="A12647" s="12">
        <v>12643.0</v>
      </c>
      <c r="B12647" s="13" t="s">
        <v>12266</v>
      </c>
      <c r="C12647" s="14" t="s">
        <v>12302</v>
      </c>
      <c r="D12647" s="1"/>
      <c r="E12647" s="1"/>
      <c r="F12647" s="1" t="str">
        <f>IFERROR(__xludf.DUMMYFUNCTION("GOOGLETRANSLATE(B12647, ""en"", ""fa"")
"),"سبک زندگی عشایری دیجیتال")</f>
        <v>سبک زندگی عشایری دیجیتال</v>
      </c>
      <c r="G12647" s="1" t="str">
        <f>IFERROR(__xludf.DUMMYFUNCTION("GOOGLETRANSLATE(C12647, ""en"", ""fa"")
"),"نکات مهم برای ایمن ماندن و ایمن ماندن هنگام سفر به تنهایی به عنوان یک عشایر دیجیتال چیست؟")</f>
        <v>نکات مهم برای ایمن ماندن و ایمن ماندن هنگام سفر به تنهایی به عنوان یک عشایر دیجیتال چیست؟</v>
      </c>
      <c r="H12647" s="1"/>
      <c r="I12647" s="1"/>
      <c r="J12647" s="1"/>
      <c r="K12647" s="1"/>
      <c r="L12647" s="1"/>
      <c r="M12647" s="1"/>
      <c r="N12647" s="1"/>
      <c r="O12647" s="1"/>
      <c r="P12647" s="1"/>
      <c r="Q12647" s="1"/>
      <c r="R12647" s="1"/>
      <c r="S12647" s="1"/>
      <c r="T12647" s="1"/>
      <c r="U12647" s="1"/>
      <c r="V12647" s="1"/>
      <c r="W12647" s="1"/>
      <c r="X12647" s="1"/>
      <c r="Y12647" s="1"/>
      <c r="Z12647" s="1"/>
      <c r="AA12647" s="1"/>
      <c r="AB12647" s="1"/>
    </row>
    <row r="12648" ht="50.25" customHeight="1">
      <c r="A12648" s="12">
        <v>12644.0</v>
      </c>
      <c r="B12648" s="13" t="s">
        <v>12266</v>
      </c>
      <c r="C12648" s="14" t="s">
        <v>12298</v>
      </c>
      <c r="D12648" s="1"/>
      <c r="E12648" s="1"/>
      <c r="F12648" s="1" t="str">
        <f>IFERROR(__xludf.DUMMYFUNCTION("GOOGLETRANSLATE(B12648, ""en"", ""fa"")
"),"سبک زندگی عشایری دیجیتال")</f>
        <v>سبک زندگی عشایری دیجیتال</v>
      </c>
      <c r="G12648" s="1" t="str">
        <f>IFERROR(__xludf.DUMMYFUNCTION("GOOGLETRANSLATE(C12648, ""en"", ""fa"")
"),"آیا می توانید استراتژی هایی برای مقابله با امنیت آنلاین و محافظت از داده های حساس در حین حرکت پیشنهاد دهید؟")</f>
        <v>آیا می توانید استراتژی هایی برای مقابله با امنیت آنلاین و محافظت از داده های حساس در حین حرکت پیشنهاد دهید؟</v>
      </c>
      <c r="H12648" s="1"/>
      <c r="I12648" s="1"/>
      <c r="J12648" s="1"/>
      <c r="K12648" s="1"/>
      <c r="L12648" s="1"/>
      <c r="M12648" s="1"/>
      <c r="N12648" s="1"/>
      <c r="O12648" s="1"/>
      <c r="P12648" s="1"/>
      <c r="Q12648" s="1"/>
      <c r="R12648" s="1"/>
      <c r="S12648" s="1"/>
      <c r="T12648" s="1"/>
      <c r="U12648" s="1"/>
      <c r="V12648" s="1"/>
      <c r="W12648" s="1"/>
      <c r="X12648" s="1"/>
      <c r="Y12648" s="1"/>
      <c r="Z12648" s="1"/>
      <c r="AA12648" s="1"/>
      <c r="AB12648" s="1"/>
    </row>
    <row r="12649" ht="50.25" customHeight="1">
      <c r="A12649" s="12">
        <v>12645.0</v>
      </c>
      <c r="B12649" s="13" t="s">
        <v>12266</v>
      </c>
      <c r="C12649" s="14" t="s">
        <v>12301</v>
      </c>
      <c r="D12649" s="1"/>
      <c r="E12649" s="1"/>
      <c r="F12649" s="1" t="str">
        <f>IFERROR(__xludf.DUMMYFUNCTION("GOOGLETRANSLATE(B12649, ""en"", ""fa"")
"),"سبک زندگی عشایری دیجیتال")</f>
        <v>سبک زندگی عشایری دیجیتال</v>
      </c>
      <c r="G12649" s="1" t="str">
        <f>IFERROR(__xludf.DUMMYFUNCTION("GOOGLETRANSLATE(C12649, ""en"", ""fa"")
"),"چگونه می توانم از دسترسی مطمئن به برق و گزینه های شارژ دستگاه های خود در کشورهای مختلف اطمینان حاصل کنم؟")</f>
        <v>چگونه می توانم از دسترسی مطمئن به برق و گزینه های شارژ دستگاه های خود در کشورهای مختلف اطمینان حاصل کنم؟</v>
      </c>
      <c r="H12649" s="1"/>
      <c r="I12649" s="1"/>
      <c r="J12649" s="1"/>
      <c r="K12649" s="1"/>
      <c r="L12649" s="1"/>
      <c r="M12649" s="1"/>
      <c r="N12649" s="1"/>
      <c r="O12649" s="1"/>
      <c r="P12649" s="1"/>
      <c r="Q12649" s="1"/>
      <c r="R12649" s="1"/>
      <c r="S12649" s="1"/>
      <c r="T12649" s="1"/>
      <c r="U12649" s="1"/>
      <c r="V12649" s="1"/>
      <c r="W12649" s="1"/>
      <c r="X12649" s="1"/>
      <c r="Y12649" s="1"/>
      <c r="Z12649" s="1"/>
      <c r="AA12649" s="1"/>
      <c r="AB12649" s="1"/>
    </row>
    <row r="12650" ht="50.25" customHeight="1">
      <c r="A12650" s="12">
        <v>12646.0</v>
      </c>
      <c r="B12650" s="13" t="s">
        <v>12266</v>
      </c>
      <c r="C12650" s="14" t="s">
        <v>12299</v>
      </c>
      <c r="D12650" s="1"/>
      <c r="E12650" s="1"/>
      <c r="F12650" s="1" t="str">
        <f>IFERROR(__xludf.DUMMYFUNCTION("GOOGLETRANSLATE(B12650, ""en"", ""fa"")
"),"سبک زندگی عشایری دیجیتال")</f>
        <v>سبک زندگی عشایری دیجیتال</v>
      </c>
      <c r="G12650" s="1" t="str">
        <f>IFERROR(__xludf.DUMMYFUNCTION("GOOGLETRANSLATE(C12650, ""en"", ""fa"")
"),"نقاط و مقاصد محبوب عشایر دیجیتال برای هر فصل کدامند؟")</f>
        <v>نقاط و مقاصد محبوب عشایر دیجیتال برای هر فصل کدامند؟</v>
      </c>
      <c r="H12650" s="1"/>
      <c r="I12650" s="1"/>
      <c r="J12650" s="1"/>
      <c r="K12650" s="1"/>
      <c r="L12650" s="1"/>
      <c r="M12650" s="1"/>
      <c r="N12650" s="1"/>
      <c r="O12650" s="1"/>
      <c r="P12650" s="1"/>
      <c r="Q12650" s="1"/>
      <c r="R12650" s="1"/>
      <c r="S12650" s="1"/>
      <c r="T12650" s="1"/>
      <c r="U12650" s="1"/>
      <c r="V12650" s="1"/>
      <c r="W12650" s="1"/>
      <c r="X12650" s="1"/>
      <c r="Y12650" s="1"/>
      <c r="Z12650" s="1"/>
      <c r="AA12650" s="1"/>
      <c r="AB12650" s="1"/>
    </row>
    <row r="12651" ht="50.25" customHeight="1">
      <c r="A12651" s="12">
        <v>12647.0</v>
      </c>
      <c r="B12651" s="13" t="s">
        <v>12266</v>
      </c>
      <c r="C12651" s="14" t="s">
        <v>12300</v>
      </c>
      <c r="D12651" s="1"/>
      <c r="E12651" s="1"/>
      <c r="F12651" s="1" t="str">
        <f>IFERROR(__xludf.DUMMYFUNCTION("GOOGLETRANSLATE(B12651, ""en"", ""fa"")
"),"سبک زندگی عشایری دیجیتال")</f>
        <v>سبک زندگی عشایری دیجیتال</v>
      </c>
      <c r="G12651" s="1" t="str">
        <f>IFERROR(__xludf.DUMMYFUNCTION("GOOGLETRANSLATE(C12651, ""en"", ""fa"")
"),"آیا توصیه ای برای حفظ محیط زیست و پایدار ماندن در سفر به عنوان عشایر دارید؟")</f>
        <v>آیا توصیه ای برای حفظ محیط زیست و پایدار ماندن در سفر به عنوان عشایر دارید؟</v>
      </c>
      <c r="H12651" s="1"/>
      <c r="I12651" s="1"/>
      <c r="J12651" s="1"/>
      <c r="K12651" s="1"/>
      <c r="L12651" s="1"/>
      <c r="M12651" s="1"/>
      <c r="N12651" s="1"/>
      <c r="O12651" s="1"/>
      <c r="P12651" s="1"/>
      <c r="Q12651" s="1"/>
      <c r="R12651" s="1"/>
      <c r="S12651" s="1"/>
      <c r="T12651" s="1"/>
      <c r="U12651" s="1"/>
      <c r="V12651" s="1"/>
      <c r="W12651" s="1"/>
      <c r="X12651" s="1"/>
      <c r="Y12651" s="1"/>
      <c r="Z12651" s="1"/>
      <c r="AA12651" s="1"/>
      <c r="AB12651" s="1"/>
    </row>
    <row r="12652" ht="50.25" customHeight="1">
      <c r="A12652" s="12">
        <v>12648.0</v>
      </c>
      <c r="B12652" s="13" t="s">
        <v>12266</v>
      </c>
      <c r="C12652" s="14" t="s">
        <v>12307</v>
      </c>
      <c r="D12652" s="1"/>
      <c r="E12652" s="1"/>
      <c r="F12652" s="1" t="str">
        <f>IFERROR(__xludf.DUMMYFUNCTION("GOOGLETRANSLATE(B12652, ""en"", ""fa"")
"),"سبک زندگی عشایری دیجیتال")</f>
        <v>سبک زندگی عشایری دیجیتال</v>
      </c>
      <c r="G12652" s="1" t="str">
        <f>IFERROR(__xludf.DUMMYFUNCTION("GOOGLETRANSLATE(C12652, ""en"", ""fa"")
"),"چگونه می توانم فضاهای زندگی مشترک یا اقامتگاه های مشترک را پیدا کنم که حس اجتماعی را تقویت می کند؟")</f>
        <v>چگونه می توانم فضاهای زندگی مشترک یا اقامتگاه های مشترک را پیدا کنم که حس اجتماعی را تقویت می کند؟</v>
      </c>
      <c r="H12652" s="1"/>
      <c r="I12652" s="1"/>
      <c r="J12652" s="1"/>
      <c r="K12652" s="1"/>
      <c r="L12652" s="1"/>
      <c r="M12652" s="1"/>
      <c r="N12652" s="1"/>
      <c r="O12652" s="1"/>
      <c r="P12652" s="1"/>
      <c r="Q12652" s="1"/>
      <c r="R12652" s="1"/>
      <c r="S12652" s="1"/>
      <c r="T12652" s="1"/>
      <c r="U12652" s="1"/>
      <c r="V12652" s="1"/>
      <c r="W12652" s="1"/>
      <c r="X12652" s="1"/>
      <c r="Y12652" s="1"/>
      <c r="Z12652" s="1"/>
      <c r="AA12652" s="1"/>
      <c r="AB12652" s="1"/>
    </row>
    <row r="12653" ht="50.25" customHeight="1">
      <c r="A12653" s="12">
        <v>12649.0</v>
      </c>
      <c r="B12653" s="13" t="s">
        <v>12266</v>
      </c>
      <c r="C12653" s="14" t="s">
        <v>12308</v>
      </c>
      <c r="D12653" s="1"/>
      <c r="E12653" s="1"/>
      <c r="F12653" s="1" t="str">
        <f>IFERROR(__xludf.DUMMYFUNCTION("GOOGLETRANSLATE(B12653, ""en"", ""fa"")
"),"سبک زندگی عشایری دیجیتال")</f>
        <v>سبک زندگی عشایری دیجیتال</v>
      </c>
      <c r="G12653" s="1" t="str">
        <f>IFERROR(__xludf.DUMMYFUNCTION("GOOGLETRANSLATE(C12653, ""en"", ""fa"")
"),"بهترین منابع آنلاین برای یافتن فرصت های شغلی از راه دور در صنایع خاص کدامند؟")</f>
        <v>بهترین منابع آنلاین برای یافتن فرصت های شغلی از راه دور در صنایع خاص کدامند؟</v>
      </c>
      <c r="H12653" s="1"/>
      <c r="I12653" s="1"/>
      <c r="J12653" s="1"/>
      <c r="K12653" s="1"/>
      <c r="L12653" s="1"/>
      <c r="M12653" s="1"/>
      <c r="N12653" s="1"/>
      <c r="O12653" s="1"/>
      <c r="P12653" s="1"/>
      <c r="Q12653" s="1"/>
      <c r="R12653" s="1"/>
      <c r="S12653" s="1"/>
      <c r="T12653" s="1"/>
      <c r="U12653" s="1"/>
      <c r="V12653" s="1"/>
      <c r="W12653" s="1"/>
      <c r="X12653" s="1"/>
      <c r="Y12653" s="1"/>
      <c r="Z12653" s="1"/>
      <c r="AA12653" s="1"/>
      <c r="AB12653" s="1"/>
    </row>
    <row r="12654" ht="50.25" customHeight="1">
      <c r="A12654" s="12">
        <v>12650.0</v>
      </c>
      <c r="B12654" s="13" t="s">
        <v>12266</v>
      </c>
      <c r="C12654" s="14" t="s">
        <v>12309</v>
      </c>
      <c r="D12654" s="1"/>
      <c r="E12654" s="1"/>
      <c r="F12654" s="1" t="str">
        <f>IFERROR(__xludf.DUMMYFUNCTION("GOOGLETRANSLATE(B12654, ""en"", ""fa"")
"),"سبک زندگی عشایری دیجیتال")</f>
        <v>سبک زندگی عشایری دیجیتال</v>
      </c>
      <c r="G12654" s="1" t="str">
        <f>IFERROR(__xludf.DUMMYFUNCTION("GOOGLETRANSLATE(C12654, ""en"", ""fa"")
"),"آیا راهنمایی برای ایجاد یک نمونه کار دیجیتالی عشایر یا حضور آنلاین برای نشان دادن مهارت ها و تجربه کاری من دارید؟")</f>
        <v>آیا راهنمایی برای ایجاد یک نمونه کار دیجیتالی عشایر یا حضور آنلاین برای نشان دادن مهارت ها و تجربه کاری من دارید؟</v>
      </c>
      <c r="H12654" s="1"/>
      <c r="I12654" s="1"/>
      <c r="J12654" s="1"/>
      <c r="K12654" s="1"/>
      <c r="L12654" s="1"/>
      <c r="M12654" s="1"/>
      <c r="N12654" s="1"/>
      <c r="O12654" s="1"/>
      <c r="P12654" s="1"/>
      <c r="Q12654" s="1"/>
      <c r="R12654" s="1"/>
      <c r="S12654" s="1"/>
      <c r="T12654" s="1"/>
      <c r="U12654" s="1"/>
      <c r="V12654" s="1"/>
      <c r="W12654" s="1"/>
      <c r="X12654" s="1"/>
      <c r="Y12654" s="1"/>
      <c r="Z12654" s="1"/>
      <c r="AA12654" s="1"/>
      <c r="AB12654" s="1"/>
    </row>
    <row r="12655" ht="50.25" customHeight="1">
      <c r="A12655" s="12">
        <v>12651.0</v>
      </c>
      <c r="B12655" s="13" t="s">
        <v>12266</v>
      </c>
      <c r="C12655" s="14" t="s">
        <v>12310</v>
      </c>
      <c r="D12655" s="1"/>
      <c r="E12655" s="1"/>
      <c r="F12655" s="1" t="str">
        <f>IFERROR(__xludf.DUMMYFUNCTION("GOOGLETRANSLATE(B12655, ""en"", ""fa"")
"),"سبک زندگی عشایری دیجیتال")</f>
        <v>سبک زندگی عشایری دیجیتال</v>
      </c>
      <c r="G12655" s="1" t="str">
        <f>IFERROR(__xludf.DUMMYFUNCTION("GOOGLETRANSLATE(C12655, ""en"", ""fa"")
"),"چگونه می توانم با موانع فرهنگی یا زبانی در تعاملات کاری و شخصی خود مقابله کنم؟")</f>
        <v>چگونه می توانم با موانع فرهنگی یا زبانی در تعاملات کاری و شخصی خود مقابله کنم؟</v>
      </c>
      <c r="H12655" s="1"/>
      <c r="I12655" s="1"/>
      <c r="J12655" s="1"/>
      <c r="K12655" s="1"/>
      <c r="L12655" s="1"/>
      <c r="M12655" s="1"/>
      <c r="N12655" s="1"/>
      <c r="O12655" s="1"/>
      <c r="P12655" s="1"/>
      <c r="Q12655" s="1"/>
      <c r="R12655" s="1"/>
      <c r="S12655" s="1"/>
      <c r="T12655" s="1"/>
      <c r="U12655" s="1"/>
      <c r="V12655" s="1"/>
      <c r="W12655" s="1"/>
      <c r="X12655" s="1"/>
      <c r="Y12655" s="1"/>
      <c r="Z12655" s="1"/>
      <c r="AA12655" s="1"/>
      <c r="AB12655" s="1"/>
    </row>
    <row r="12656" ht="50.25" customHeight="1">
      <c r="A12656" s="12">
        <v>12652.0</v>
      </c>
      <c r="B12656" s="13" t="s">
        <v>12266</v>
      </c>
      <c r="C12656" s="14" t="s">
        <v>12311</v>
      </c>
      <c r="D12656" s="1"/>
      <c r="E12656" s="1"/>
      <c r="F12656" s="1" t="str">
        <f>IFERROR(__xludf.DUMMYFUNCTION("GOOGLETRANSLATE(B12656, ""en"", ""fa"")
"),"سبک زندگی عشایری دیجیتال")</f>
        <v>سبک زندگی عشایری دیجیتال</v>
      </c>
      <c r="G12656" s="1" t="str">
        <f>IFERROR(__xludf.DUMMYFUNCTION("GOOGLETRANSLATE(C12656, ""en"", ""fa"")
"),"استراتژی های برتر برای یافتن گزینه های حمل و نقل مقرون به صرفه و قابل اعتماد در حین عشایر چیست؟")</f>
        <v>استراتژی های برتر برای یافتن گزینه های حمل و نقل مقرون به صرفه و قابل اعتماد در حین عشایر چیست؟</v>
      </c>
      <c r="H12656" s="1"/>
      <c r="I12656" s="1"/>
      <c r="J12656" s="1"/>
      <c r="K12656" s="1"/>
      <c r="L12656" s="1"/>
      <c r="M12656" s="1"/>
      <c r="N12656" s="1"/>
      <c r="O12656" s="1"/>
      <c r="P12656" s="1"/>
      <c r="Q12656" s="1"/>
      <c r="R12656" s="1"/>
      <c r="S12656" s="1"/>
      <c r="T12656" s="1"/>
      <c r="U12656" s="1"/>
      <c r="V12656" s="1"/>
      <c r="W12656" s="1"/>
      <c r="X12656" s="1"/>
      <c r="Y12656" s="1"/>
      <c r="Z12656" s="1"/>
      <c r="AA12656" s="1"/>
      <c r="AB12656" s="1"/>
    </row>
    <row r="12657" ht="50.25" customHeight="1">
      <c r="A12657" s="12">
        <v>12653.0</v>
      </c>
      <c r="B12657" s="13" t="s">
        <v>12266</v>
      </c>
      <c r="C12657" s="14" t="s">
        <v>12312</v>
      </c>
      <c r="D12657" s="1"/>
      <c r="E12657" s="1"/>
      <c r="F12657" s="1" t="str">
        <f>IFERROR(__xludf.DUMMYFUNCTION("GOOGLETRANSLATE(B12657, ""en"", ""fa"")
"),"سبک زندگی عشایری دیجیتال")</f>
        <v>سبک زندگی عشایری دیجیتال</v>
      </c>
      <c r="G12657" s="1" t="str">
        <f>IFERROR(__xludf.DUMMYFUNCTION("GOOGLETRANSLATE(C12657, ""en"", ""fa"")
"),"آیا می توانید فعالیت ها و سرگرمی هایی را برای کمک به من در غوطه ور شدن در فرهنگ و سبک زندگی محلی پیشنهاد دهید؟")</f>
        <v>آیا می توانید فعالیت ها و سرگرمی هایی را برای کمک به من در غوطه ور شدن در فرهنگ و سبک زندگی محلی پیشنهاد دهید؟</v>
      </c>
      <c r="H12657" s="1"/>
      <c r="I12657" s="1"/>
      <c r="J12657" s="1"/>
      <c r="K12657" s="1"/>
      <c r="L12657" s="1"/>
      <c r="M12657" s="1"/>
      <c r="N12657" s="1"/>
      <c r="O12657" s="1"/>
      <c r="P12657" s="1"/>
      <c r="Q12657" s="1"/>
      <c r="R12657" s="1"/>
      <c r="S12657" s="1"/>
      <c r="T12657" s="1"/>
      <c r="U12657" s="1"/>
      <c r="V12657" s="1"/>
      <c r="W12657" s="1"/>
      <c r="X12657" s="1"/>
      <c r="Y12657" s="1"/>
      <c r="Z12657" s="1"/>
      <c r="AA12657" s="1"/>
      <c r="AB12657" s="1"/>
    </row>
    <row r="12658" ht="50.25" customHeight="1">
      <c r="A12658" s="12">
        <v>12654.0</v>
      </c>
      <c r="B12658" s="13" t="s">
        <v>12266</v>
      </c>
      <c r="C12658" s="14" t="s">
        <v>12313</v>
      </c>
      <c r="D12658" s="1"/>
      <c r="E12658" s="1"/>
      <c r="F12658" s="1" t="str">
        <f>IFERROR(__xludf.DUMMYFUNCTION("GOOGLETRANSLATE(B12658, ""en"", ""fa"")
"),"سبک زندگی عشایری دیجیتال")</f>
        <v>سبک زندگی عشایری دیجیتال</v>
      </c>
      <c r="G12658" s="1" t="str">
        <f>IFERROR(__xludf.DUMMYFUNCTION("GOOGLETRANSLATE(C12658, ""en"", ""fa"")
"),"چگونه می توانم مالیات و گزارش مالی را به عنوان یک عشایر دیجیتال با درآمد از کشورهای مختلف اداره کنم؟")</f>
        <v>چگونه می توانم مالیات و گزارش مالی را به عنوان یک عشایر دیجیتال با درآمد از کشورهای مختلف اداره کنم؟</v>
      </c>
      <c r="H12658" s="1"/>
      <c r="I12658" s="1"/>
      <c r="J12658" s="1"/>
      <c r="K12658" s="1"/>
      <c r="L12658" s="1"/>
      <c r="M12658" s="1"/>
      <c r="N12658" s="1"/>
      <c r="O12658" s="1"/>
      <c r="P12658" s="1"/>
      <c r="Q12658" s="1"/>
      <c r="R12658" s="1"/>
      <c r="S12658" s="1"/>
      <c r="T12658" s="1"/>
      <c r="U12658" s="1"/>
      <c r="V12658" s="1"/>
      <c r="W12658" s="1"/>
      <c r="X12658" s="1"/>
      <c r="Y12658" s="1"/>
      <c r="Z12658" s="1"/>
      <c r="AA12658" s="1"/>
      <c r="AB12658" s="1"/>
    </row>
    <row r="12659" ht="50.25" customHeight="1">
      <c r="A12659" s="12">
        <v>12655.0</v>
      </c>
      <c r="B12659" s="13" t="s">
        <v>12266</v>
      </c>
      <c r="C12659" s="14" t="s">
        <v>12314</v>
      </c>
      <c r="D12659" s="1"/>
      <c r="E12659" s="1"/>
      <c r="F12659" s="1" t="str">
        <f>IFERROR(__xludf.DUMMYFUNCTION("GOOGLETRANSLATE(B12659, ""en"", ""fa"")
"),"سبک زندگی عشایری دیجیتال")</f>
        <v>سبک زندگی عشایری دیجیتال</v>
      </c>
      <c r="G12659" s="1" t="str">
        <f>IFERROR(__xludf.DUMMYFUNCTION("GOOGLETRANSLATE(C12659, ""en"", ""fa"")
"),"بهترین استراتژی برای غلبه بر خستگی سفر و تاخیر جت در حین حرکت چیست؟")</f>
        <v>بهترین استراتژی برای غلبه بر خستگی سفر و تاخیر جت در حین حرکت چیست؟</v>
      </c>
      <c r="H12659" s="1"/>
      <c r="I12659" s="1"/>
      <c r="J12659" s="1"/>
      <c r="K12659" s="1"/>
      <c r="L12659" s="1"/>
      <c r="M12659" s="1"/>
      <c r="N12659" s="1"/>
      <c r="O12659" s="1"/>
      <c r="P12659" s="1"/>
      <c r="Q12659" s="1"/>
      <c r="R12659" s="1"/>
      <c r="S12659" s="1"/>
      <c r="T12659" s="1"/>
      <c r="U12659" s="1"/>
      <c r="V12659" s="1"/>
      <c r="W12659" s="1"/>
      <c r="X12659" s="1"/>
      <c r="Y12659" s="1"/>
      <c r="Z12659" s="1"/>
      <c r="AA12659" s="1"/>
      <c r="AB12659" s="1"/>
    </row>
    <row r="12660" ht="50.25" customHeight="1">
      <c r="A12660" s="12">
        <v>12656.0</v>
      </c>
      <c r="B12660" s="13" t="s">
        <v>12266</v>
      </c>
      <c r="C12660" s="14" t="s">
        <v>12315</v>
      </c>
      <c r="D12660" s="1"/>
      <c r="E12660" s="1"/>
      <c r="F12660" s="1" t="str">
        <f>IFERROR(__xludf.DUMMYFUNCTION("GOOGLETRANSLATE(B12660, ""en"", ""fa"")
"),"سبک زندگی عشایری دیجیتال")</f>
        <v>سبک زندگی عشایری دیجیتال</v>
      </c>
      <c r="G12660" s="1" t="str">
        <f>IFERROR(__xludf.DUMMYFUNCTION("GOOGLETRANSLATE(C12660, ""en"", ""fa"")
"),"آیا توصیه ای در مورد یافتن فرصت های کار از راه دور که با مهارت ها و علایق خاص من مطابقت دارد، دارید؟")</f>
        <v>آیا توصیه ای در مورد یافتن فرصت های کار از راه دور که با مهارت ها و علایق خاص من مطابقت دارد، دارید؟</v>
      </c>
      <c r="H12660" s="1"/>
      <c r="I12660" s="1"/>
      <c r="J12660" s="1"/>
      <c r="K12660" s="1"/>
      <c r="L12660" s="1"/>
      <c r="M12660" s="1"/>
      <c r="N12660" s="1"/>
      <c r="O12660" s="1"/>
      <c r="P12660" s="1"/>
      <c r="Q12660" s="1"/>
      <c r="R12660" s="1"/>
      <c r="S12660" s="1"/>
      <c r="T12660" s="1"/>
      <c r="U12660" s="1"/>
      <c r="V12660" s="1"/>
      <c r="W12660" s="1"/>
      <c r="X12660" s="1"/>
      <c r="Y12660" s="1"/>
      <c r="Z12660" s="1"/>
      <c r="AA12660" s="1"/>
      <c r="AB12660" s="1"/>
    </row>
    <row r="12661" ht="50.25" customHeight="1">
      <c r="A12661" s="12">
        <v>12657.0</v>
      </c>
      <c r="B12661" s="13" t="s">
        <v>12266</v>
      </c>
      <c r="C12661" s="14" t="s">
        <v>12316</v>
      </c>
      <c r="D12661" s="1"/>
      <c r="E12661" s="1"/>
      <c r="F12661" s="1" t="str">
        <f>IFERROR(__xludf.DUMMYFUNCTION("GOOGLETRANSLATE(B12661, ""en"", ""fa"")
"),"سبک زندگی عشایری دیجیتال")</f>
        <v>سبک زندگی عشایری دیجیتال</v>
      </c>
      <c r="G12661" s="1" t="str">
        <f>IFERROR(__xludf.DUMMYFUNCTION("GOOGLETRANSLATE(C12661, ""en"", ""fa"")
"),"چگونه می توانم یک شبکه حمایتی از عشایر دیجیتال برای به اشتراک گذاشتن تجربیات و نکات ایجاد کنم؟")</f>
        <v>چگونه می توانم یک شبکه حمایتی از عشایر دیجیتال برای به اشتراک گذاشتن تجربیات و نکات ایجاد کنم؟</v>
      </c>
      <c r="H12661" s="1"/>
      <c r="I12661" s="1"/>
      <c r="J12661" s="1"/>
      <c r="K12661" s="1"/>
      <c r="L12661" s="1"/>
      <c r="M12661" s="1"/>
      <c r="N12661" s="1"/>
      <c r="O12661" s="1"/>
      <c r="P12661" s="1"/>
      <c r="Q12661" s="1"/>
      <c r="R12661" s="1"/>
      <c r="S12661" s="1"/>
      <c r="T12661" s="1"/>
      <c r="U12661" s="1"/>
      <c r="V12661" s="1"/>
      <c r="W12661" s="1"/>
      <c r="X12661" s="1"/>
      <c r="Y12661" s="1"/>
      <c r="Z12661" s="1"/>
      <c r="AA12661" s="1"/>
      <c r="AB12661" s="1"/>
    </row>
    <row r="12662" ht="50.25" customHeight="1">
      <c r="A12662" s="12">
        <v>12658.0</v>
      </c>
      <c r="B12662" s="13" t="s">
        <v>12266</v>
      </c>
      <c r="C12662" s="14" t="s">
        <v>12317</v>
      </c>
      <c r="D12662" s="1"/>
      <c r="E12662" s="1"/>
      <c r="F12662" s="1" t="str">
        <f>IFERROR(__xludf.DUMMYFUNCTION("GOOGLETRANSLATE(B12662, ""en"", ""fa"")
"),"سبک زندگی عشایری دیجیتال")</f>
        <v>سبک زندگی عشایری دیجیتال</v>
      </c>
      <c r="G12662" s="1" t="str">
        <f>IFERROR(__xludf.DUMMYFUNCTION("GOOGLETRANSLATE(C12662, ""en"", ""fa"")
"),"اقلام ضروری برای حفظ یک رژیم غذایی سالم و متعادل در سفر چیست؟")</f>
        <v>اقلام ضروری برای حفظ یک رژیم غذایی سالم و متعادل در سفر چیست؟</v>
      </c>
      <c r="H12662" s="1"/>
      <c r="I12662" s="1"/>
      <c r="J12662" s="1"/>
      <c r="K12662" s="1"/>
      <c r="L12662" s="1"/>
      <c r="M12662" s="1"/>
      <c r="N12662" s="1"/>
      <c r="O12662" s="1"/>
      <c r="P12662" s="1"/>
      <c r="Q12662" s="1"/>
      <c r="R12662" s="1"/>
      <c r="S12662" s="1"/>
      <c r="T12662" s="1"/>
      <c r="U12662" s="1"/>
      <c r="V12662" s="1"/>
      <c r="W12662" s="1"/>
      <c r="X12662" s="1"/>
      <c r="Y12662" s="1"/>
      <c r="Z12662" s="1"/>
      <c r="AA12662" s="1"/>
      <c r="AB12662" s="1"/>
    </row>
    <row r="12663" ht="50.25" customHeight="1">
      <c r="A12663" s="12">
        <v>12659.0</v>
      </c>
      <c r="B12663" s="13" t="s">
        <v>12266</v>
      </c>
      <c r="C12663" s="14" t="s">
        <v>12318</v>
      </c>
      <c r="D12663" s="1"/>
      <c r="E12663" s="1"/>
      <c r="F12663" s="1" t="str">
        <f>IFERROR(__xludf.DUMMYFUNCTION("GOOGLETRANSLATE(B12663, ""en"", ""fa"")
"),"سبک زندگی عشایری دیجیتال")</f>
        <v>سبک زندگی عشایری دیجیتال</v>
      </c>
      <c r="G12663" s="1" t="str">
        <f>IFERROR(__xludf.DUMMYFUNCTION("GOOGLETRANSLATE(C12663, ""en"", ""fa"")
"),"آیا می توانید طرح های بیمه مسافرتی قابل اعتمادی را که اورژانس های پزشکی و لغو سفر را پوشش می دهد توصیه کنید؟")</f>
        <v>آیا می توانید طرح های بیمه مسافرتی قابل اعتمادی را که اورژانس های پزشکی و لغو سفر را پوشش می دهد توصیه کنید؟</v>
      </c>
      <c r="H12663" s="1"/>
      <c r="I12663" s="1"/>
      <c r="J12663" s="1"/>
      <c r="K12663" s="1"/>
      <c r="L12663" s="1"/>
      <c r="M12663" s="1"/>
      <c r="N12663" s="1"/>
      <c r="O12663" s="1"/>
      <c r="P12663" s="1"/>
      <c r="Q12663" s="1"/>
      <c r="R12663" s="1"/>
      <c r="S12663" s="1"/>
      <c r="T12663" s="1"/>
      <c r="U12663" s="1"/>
      <c r="V12663" s="1"/>
      <c r="W12663" s="1"/>
      <c r="X12663" s="1"/>
      <c r="Y12663" s="1"/>
      <c r="Z12663" s="1"/>
      <c r="AA12663" s="1"/>
      <c r="AB12663" s="1"/>
    </row>
    <row r="12664" ht="50.25" customHeight="1">
      <c r="A12664" s="12">
        <v>12660.0</v>
      </c>
      <c r="B12664" s="13" t="s">
        <v>12266</v>
      </c>
      <c r="C12664" s="14" t="s">
        <v>12319</v>
      </c>
      <c r="D12664" s="1"/>
      <c r="E12664" s="1"/>
      <c r="F12664" s="1" t="str">
        <f>IFERROR(__xludf.DUMMYFUNCTION("GOOGLETRANSLATE(B12664, ""en"", ""fa"")
"),"سبک زندگی عشایری دیجیتال")</f>
        <v>سبک زندگی عشایری دیجیتال</v>
      </c>
      <c r="G12664" s="1" t="str">
        <f>IFERROR(__xludf.DUMMYFUNCTION("GOOGLETRANSLATE(C12664, ""en"", ""fa"")
"),"چگونه می توانم به ارتباطات مشتری و هماهنگی منطقه زمانی در حین عشایر نزدیک شوم؟")</f>
        <v>چگونه می توانم به ارتباطات مشتری و هماهنگی منطقه زمانی در حین عشایر نزدیک شوم؟</v>
      </c>
      <c r="H12664" s="1"/>
      <c r="I12664" s="1"/>
      <c r="J12664" s="1"/>
      <c r="K12664" s="1"/>
      <c r="L12664" s="1"/>
      <c r="M12664" s="1"/>
      <c r="N12664" s="1"/>
      <c r="O12664" s="1"/>
      <c r="P12664" s="1"/>
      <c r="Q12664" s="1"/>
      <c r="R12664" s="1"/>
      <c r="S12664" s="1"/>
      <c r="T12664" s="1"/>
      <c r="U12664" s="1"/>
      <c r="V12664" s="1"/>
      <c r="W12664" s="1"/>
      <c r="X12664" s="1"/>
      <c r="Y12664" s="1"/>
      <c r="Z12664" s="1"/>
      <c r="AA12664" s="1"/>
      <c r="AB12664" s="1"/>
    </row>
    <row r="12665" ht="50.25" customHeight="1">
      <c r="A12665" s="12">
        <v>12661.0</v>
      </c>
      <c r="B12665" s="13" t="s">
        <v>12266</v>
      </c>
      <c r="C12665" s="14" t="s">
        <v>12328</v>
      </c>
      <c r="D12665" s="1"/>
      <c r="E12665" s="1"/>
      <c r="F12665" s="1" t="str">
        <f>IFERROR(__xludf.DUMMYFUNCTION("GOOGLETRANSLATE(B12665, ""en"", ""fa"")
"),"سبک زندگی عشایری دیجیتال")</f>
        <v>سبک زندگی عشایری دیجیتال</v>
      </c>
      <c r="G12665" s="1" t="str">
        <f>IFERROR(__xludf.DUMMYFUNCTION("GOOGLETRANSLATE(C12665, ""en"", ""fa"")
"),"بهترین منابع برای یافتن گزینه های حمل و نقل مقرون به صرفه و قابل اعتماد در حین کوچ نشینی چیست؟")</f>
        <v>بهترین منابع برای یافتن گزینه های حمل و نقل مقرون به صرفه و قابل اعتماد در حین کوچ نشینی چیست؟</v>
      </c>
      <c r="H12665" s="1"/>
      <c r="I12665" s="1"/>
      <c r="J12665" s="1"/>
      <c r="K12665" s="1"/>
      <c r="L12665" s="1"/>
      <c r="M12665" s="1"/>
      <c r="N12665" s="1"/>
      <c r="O12665" s="1"/>
      <c r="P12665" s="1"/>
      <c r="Q12665" s="1"/>
      <c r="R12665" s="1"/>
      <c r="S12665" s="1"/>
      <c r="T12665" s="1"/>
      <c r="U12665" s="1"/>
      <c r="V12665" s="1"/>
      <c r="W12665" s="1"/>
      <c r="X12665" s="1"/>
      <c r="Y12665" s="1"/>
      <c r="Z12665" s="1"/>
      <c r="AA12665" s="1"/>
      <c r="AB12665" s="1"/>
    </row>
    <row r="12666" ht="50.25" customHeight="1">
      <c r="A12666" s="12">
        <v>12662.0</v>
      </c>
      <c r="B12666" s="13" t="s">
        <v>12266</v>
      </c>
      <c r="C12666" s="14" t="s">
        <v>12329</v>
      </c>
      <c r="D12666" s="1"/>
      <c r="E12666" s="1"/>
      <c r="F12666" s="1" t="str">
        <f>IFERROR(__xludf.DUMMYFUNCTION("GOOGLETRANSLATE(B12666, ""en"", ""fa"")
"),"سبک زندگی عشایری دیجیتال")</f>
        <v>سبک زندگی عشایری دیجیتال</v>
      </c>
      <c r="G12666" s="1" t="str">
        <f>IFERROR(__xludf.DUMMYFUNCTION("GOOGLETRANSLATE(C12666, ""en"", ""fa"")
"),"چگونه می توانم یک برنامه کاری منعطف برای تطبیق مناطق زمانی مختلف در حین سفر ایجاد کنم؟")</f>
        <v>چگونه می توانم یک برنامه کاری منعطف برای تطبیق مناطق زمانی مختلف در حین سفر ایجاد کنم؟</v>
      </c>
      <c r="H12666" s="1"/>
      <c r="I12666" s="1"/>
      <c r="J12666" s="1"/>
      <c r="K12666" s="1"/>
      <c r="L12666" s="1"/>
      <c r="M12666" s="1"/>
      <c r="N12666" s="1"/>
      <c r="O12666" s="1"/>
      <c r="P12666" s="1"/>
      <c r="Q12666" s="1"/>
      <c r="R12666" s="1"/>
      <c r="S12666" s="1"/>
      <c r="T12666" s="1"/>
      <c r="U12666" s="1"/>
      <c r="V12666" s="1"/>
      <c r="W12666" s="1"/>
      <c r="X12666" s="1"/>
      <c r="Y12666" s="1"/>
      <c r="Z12666" s="1"/>
      <c r="AA12666" s="1"/>
      <c r="AB12666" s="1"/>
    </row>
    <row r="12667" ht="50.25" customHeight="1">
      <c r="A12667" s="12">
        <v>12663.0</v>
      </c>
      <c r="B12667" s="13" t="s">
        <v>12266</v>
      </c>
      <c r="C12667" s="14" t="s">
        <v>12330</v>
      </c>
      <c r="D12667" s="1"/>
      <c r="E12667" s="1"/>
      <c r="F12667" s="1" t="str">
        <f>IFERROR(__xludf.DUMMYFUNCTION("GOOGLETRANSLATE(B12667, ""en"", ""fa"")
"),"سبک زندگی عشایری دیجیتال")</f>
        <v>سبک زندگی عشایری دیجیتال</v>
      </c>
      <c r="G12667" s="1" t="str">
        <f>IFERROR(__xludf.DUMMYFUNCTION("GOOGLETRANSLATE(C12667, ""en"", ""fa"")
"),"بهترین راهبردها برای مدیریت روابط شخصی و حفظ ارتباط با عزیزان در حین حرکت چیست؟")</f>
        <v>بهترین راهبردها برای مدیریت روابط شخصی و حفظ ارتباط با عزیزان در حین حرکت چیست؟</v>
      </c>
      <c r="H12667" s="1"/>
      <c r="I12667" s="1"/>
      <c r="J12667" s="1"/>
      <c r="K12667" s="1"/>
      <c r="L12667" s="1"/>
      <c r="M12667" s="1"/>
      <c r="N12667" s="1"/>
      <c r="O12667" s="1"/>
      <c r="P12667" s="1"/>
      <c r="Q12667" s="1"/>
      <c r="R12667" s="1"/>
      <c r="S12667" s="1"/>
      <c r="T12667" s="1"/>
      <c r="U12667" s="1"/>
      <c r="V12667" s="1"/>
      <c r="W12667" s="1"/>
      <c r="X12667" s="1"/>
      <c r="Y12667" s="1"/>
      <c r="Z12667" s="1"/>
      <c r="AA12667" s="1"/>
      <c r="AB12667" s="1"/>
    </row>
    <row r="12668" ht="50.25" customHeight="1">
      <c r="A12668" s="12">
        <v>12664.0</v>
      </c>
      <c r="B12668" s="13" t="s">
        <v>12266</v>
      </c>
      <c r="C12668" s="14" t="s">
        <v>12331</v>
      </c>
      <c r="D12668" s="1"/>
      <c r="E12668" s="1"/>
      <c r="F12668" s="1" t="str">
        <f>IFERROR(__xludf.DUMMYFUNCTION("GOOGLETRANSLATE(B12668, ""en"", ""fa"")
"),"سبک زندگی عشایری دیجیتال")</f>
        <v>سبک زندگی عشایری دیجیتال</v>
      </c>
      <c r="G12668" s="1" t="str">
        <f>IFERROR(__xludf.DUMMYFUNCTION("GOOGLETRANSLATE(C12668, ""en"", ""fa"")
"),"آیا می توانید پلتفرم های آنلاین را برای یافتن محل اقامت کوتاه مدت با دسترسی مطمئن به اینترنت پیشنهاد دهید؟")</f>
        <v>آیا می توانید پلتفرم های آنلاین را برای یافتن محل اقامت کوتاه مدت با دسترسی مطمئن به اینترنت پیشنهاد دهید؟</v>
      </c>
      <c r="H12668" s="1"/>
      <c r="I12668" s="1"/>
      <c r="J12668" s="1"/>
      <c r="K12668" s="1"/>
      <c r="L12668" s="1"/>
      <c r="M12668" s="1"/>
      <c r="N12668" s="1"/>
      <c r="O12668" s="1"/>
      <c r="P12668" s="1"/>
      <c r="Q12668" s="1"/>
      <c r="R12668" s="1"/>
      <c r="S12668" s="1"/>
      <c r="T12668" s="1"/>
      <c r="U12668" s="1"/>
      <c r="V12668" s="1"/>
      <c r="W12668" s="1"/>
      <c r="X12668" s="1"/>
      <c r="Y12668" s="1"/>
      <c r="Z12668" s="1"/>
      <c r="AA12668" s="1"/>
      <c r="AB12668" s="1"/>
    </row>
    <row r="12669" ht="50.25" customHeight="1">
      <c r="A12669" s="12">
        <v>12665.0</v>
      </c>
      <c r="B12669" s="13" t="s">
        <v>12266</v>
      </c>
      <c r="C12669" s="14" t="s">
        <v>12332</v>
      </c>
      <c r="D12669" s="1"/>
      <c r="E12669" s="1"/>
      <c r="F12669" s="1" t="str">
        <f>IFERROR(__xludf.DUMMYFUNCTION("GOOGLETRANSLATE(B12669, ""en"", ""fa"")
"),"سبک زندگی عشایری دیجیتال")</f>
        <v>سبک زندگی عشایری دیجیتال</v>
      </c>
      <c r="G12669" s="1" t="str">
        <f>IFERROR(__xludf.DUMMYFUNCTION("GOOGLETRANSLATE(C12669, ""en"", ""fa"")
"),"چگونه می توانم در طول سفرهای طولانی بین مقاصد سازنده و متمرکز بمانم؟")</f>
        <v>چگونه می توانم در طول سفرهای طولانی بین مقاصد سازنده و متمرکز بمانم؟</v>
      </c>
      <c r="H12669" s="1"/>
      <c r="I12669" s="1"/>
      <c r="J12669" s="1"/>
      <c r="K12669" s="1"/>
      <c r="L12669" s="1"/>
      <c r="M12669" s="1"/>
      <c r="N12669" s="1"/>
      <c r="O12669" s="1"/>
      <c r="P12669" s="1"/>
      <c r="Q12669" s="1"/>
      <c r="R12669" s="1"/>
      <c r="S12669" s="1"/>
      <c r="T12669" s="1"/>
      <c r="U12669" s="1"/>
      <c r="V12669" s="1"/>
      <c r="W12669" s="1"/>
      <c r="X12669" s="1"/>
      <c r="Y12669" s="1"/>
      <c r="Z12669" s="1"/>
      <c r="AA12669" s="1"/>
      <c r="AB12669" s="1"/>
    </row>
    <row r="12670" ht="50.25" customHeight="1">
      <c r="A12670" s="12">
        <v>12666.0</v>
      </c>
      <c r="B12670" s="13" t="s">
        <v>12266</v>
      </c>
      <c r="C12670" s="14" t="s">
        <v>12333</v>
      </c>
      <c r="D12670" s="1"/>
      <c r="E12670" s="1"/>
      <c r="F12670" s="1" t="str">
        <f>IFERROR(__xludf.DUMMYFUNCTION("GOOGLETRANSLATE(B12670, ""en"", ""fa"")
"),"سبک زندگی عشایری دیجیتال")</f>
        <v>سبک زندگی عشایری دیجیتال</v>
      </c>
      <c r="G12670" s="1" t="str">
        <f>IFERROR(__xludf.DUMMYFUNCTION("GOOGLETRANSLATE(C12670, ""en"", ""fa"")
"),"موارد ضروری برای قرار دادن در کیت اضطراری دیجیتال عشایر برای شرایط غیرمنتظره چیست؟")</f>
        <v>موارد ضروری برای قرار دادن در کیت اضطراری دیجیتال عشایر برای شرایط غیرمنتظره چیست؟</v>
      </c>
      <c r="H12670" s="1"/>
      <c r="I12670" s="1"/>
      <c r="J12670" s="1"/>
      <c r="K12670" s="1"/>
      <c r="L12670" s="1"/>
      <c r="M12670" s="1"/>
      <c r="N12670" s="1"/>
      <c r="O12670" s="1"/>
      <c r="P12670" s="1"/>
      <c r="Q12670" s="1"/>
      <c r="R12670" s="1"/>
      <c r="S12670" s="1"/>
      <c r="T12670" s="1"/>
      <c r="U12670" s="1"/>
      <c r="V12670" s="1"/>
      <c r="W12670" s="1"/>
      <c r="X12670" s="1"/>
      <c r="Y12670" s="1"/>
      <c r="Z12670" s="1"/>
      <c r="AA12670" s="1"/>
      <c r="AB12670" s="1"/>
    </row>
    <row r="12671" ht="50.25" customHeight="1">
      <c r="A12671" s="12">
        <v>12667.0</v>
      </c>
      <c r="B12671" s="13" t="s">
        <v>12266</v>
      </c>
      <c r="C12671" s="14" t="s">
        <v>12334</v>
      </c>
      <c r="D12671" s="1"/>
      <c r="E12671" s="1"/>
      <c r="F12671" s="1" t="str">
        <f>IFERROR(__xludf.DUMMYFUNCTION("GOOGLETRANSLATE(B12671, ""en"", ""fa"")
"),"سبک زندگی عشایری دیجیتال")</f>
        <v>سبک زندگی عشایری دیجیتال</v>
      </c>
      <c r="G12671" s="1" t="str">
        <f>IFERROR(__xludf.DUMMYFUNCTION("GOOGLETRANSLATE(C12671, ""en"", ""fa"")
"),"چگونه موانع زبانی را مدیریت کنم و در حین سفر با مردم محلی ارتباط موثر برقرار کنم؟")</f>
        <v>چگونه موانع زبانی را مدیریت کنم و در حین سفر با مردم محلی ارتباط موثر برقرار کنم؟</v>
      </c>
      <c r="H12671" s="1"/>
      <c r="I12671" s="1"/>
      <c r="J12671" s="1"/>
      <c r="K12671" s="1"/>
      <c r="L12671" s="1"/>
      <c r="M12671" s="1"/>
      <c r="N12671" s="1"/>
      <c r="O12671" s="1"/>
      <c r="P12671" s="1"/>
      <c r="Q12671" s="1"/>
      <c r="R12671" s="1"/>
      <c r="S12671" s="1"/>
      <c r="T12671" s="1"/>
      <c r="U12671" s="1"/>
      <c r="V12671" s="1"/>
      <c r="W12671" s="1"/>
      <c r="X12671" s="1"/>
      <c r="Y12671" s="1"/>
      <c r="Z12671" s="1"/>
      <c r="AA12671" s="1"/>
      <c r="AB12671" s="1"/>
    </row>
    <row r="12672" ht="50.25" customHeight="1">
      <c r="A12672" s="12">
        <v>12668.0</v>
      </c>
      <c r="B12672" s="13" t="s">
        <v>12266</v>
      </c>
      <c r="C12672" s="14" t="s">
        <v>12335</v>
      </c>
      <c r="D12672" s="1"/>
      <c r="E12672" s="1"/>
      <c r="F12672" s="1" t="str">
        <f>IFERROR(__xludf.DUMMYFUNCTION("GOOGLETRANSLATE(B12672, ""en"", ""fa"")
"),"سبک زندگی عشایری دیجیتال")</f>
        <v>سبک زندگی عشایری دیجیتال</v>
      </c>
      <c r="G12672" s="1" t="str">
        <f>IFERROR(__xludf.DUMMYFUNCTION("GOOGLETRANSLATE(C12672, ""en"", ""fa"")
"),"بهترین راهبردها برای الهام گرفتن و با انگیزه ماندن خلاقانه در هنگام کوچ نشینی چیست؟")</f>
        <v>بهترین راهبردها برای الهام گرفتن و با انگیزه ماندن خلاقانه در هنگام کوچ نشینی چیست؟</v>
      </c>
      <c r="H12672" s="1"/>
      <c r="I12672" s="1"/>
      <c r="J12672" s="1"/>
      <c r="K12672" s="1"/>
      <c r="L12672" s="1"/>
      <c r="M12672" s="1"/>
      <c r="N12672" s="1"/>
      <c r="O12672" s="1"/>
      <c r="P12672" s="1"/>
      <c r="Q12672" s="1"/>
      <c r="R12672" s="1"/>
      <c r="S12672" s="1"/>
      <c r="T12672" s="1"/>
      <c r="U12672" s="1"/>
      <c r="V12672" s="1"/>
      <c r="W12672" s="1"/>
      <c r="X12672" s="1"/>
      <c r="Y12672" s="1"/>
      <c r="Z12672" s="1"/>
      <c r="AA12672" s="1"/>
      <c r="AB12672" s="1"/>
    </row>
    <row r="12673" ht="50.25" customHeight="1">
      <c r="A12673" s="12">
        <v>12669.0</v>
      </c>
      <c r="B12673" s="13" t="s">
        <v>12266</v>
      </c>
      <c r="C12673" s="14" t="s">
        <v>12336</v>
      </c>
      <c r="D12673" s="1"/>
      <c r="E12673" s="1"/>
      <c r="F12673" s="1" t="str">
        <f>IFERROR(__xludf.DUMMYFUNCTION("GOOGLETRANSLATE(B12673, ""en"", ""fa"")
"),"سبک زندگی عشایری دیجیتال")</f>
        <v>سبک زندگی عشایری دیجیتال</v>
      </c>
      <c r="G12673" s="1" t="str">
        <f>IFERROR(__xludf.DUMMYFUNCTION("GOOGLETRANSLATE(C12673, ""en"", ""fa"")
"),"آیا می توانید انجمن ها یا انجمن های آنلاین را برای عشایر دیجیتال برای به اشتراک گذاشتن تجربیات و مشاوره توصیه کنید؟")</f>
        <v>آیا می توانید انجمن ها یا انجمن های آنلاین را برای عشایر دیجیتال برای به اشتراک گذاشتن تجربیات و مشاوره توصیه کنید؟</v>
      </c>
      <c r="H12673" s="1"/>
      <c r="I12673" s="1"/>
      <c r="J12673" s="1"/>
      <c r="K12673" s="1"/>
      <c r="L12673" s="1"/>
      <c r="M12673" s="1"/>
      <c r="N12673" s="1"/>
      <c r="O12673" s="1"/>
      <c r="P12673" s="1"/>
      <c r="Q12673" s="1"/>
      <c r="R12673" s="1"/>
      <c r="S12673" s="1"/>
      <c r="T12673" s="1"/>
      <c r="U12673" s="1"/>
      <c r="V12673" s="1"/>
      <c r="W12673" s="1"/>
      <c r="X12673" s="1"/>
      <c r="Y12673" s="1"/>
      <c r="Z12673" s="1"/>
      <c r="AA12673" s="1"/>
      <c r="AB12673" s="1"/>
    </row>
    <row r="12674" ht="50.25" customHeight="1">
      <c r="A12674" s="12">
        <v>12670.0</v>
      </c>
      <c r="B12674" s="13" t="s">
        <v>12266</v>
      </c>
      <c r="C12674" s="14" t="s">
        <v>12337</v>
      </c>
      <c r="D12674" s="1"/>
      <c r="E12674" s="1"/>
      <c r="F12674" s="1" t="str">
        <f>IFERROR(__xludf.DUMMYFUNCTION("GOOGLETRANSLATE(B12674, ""en"", ""fa"")
"),"سبک زندگی عشایری دیجیتال")</f>
        <v>سبک زندگی عشایری دیجیتال</v>
      </c>
      <c r="G12674" s="1" t="str">
        <f>IFERROR(__xludf.DUMMYFUNCTION("GOOGLETRANSLATE(C12674, ""en"", ""fa"")
"),"چگونه می توانم تعادلی بین اکتشاف و وقت گذاشتن برای مراقبت از خود در جاده ایجاد کنم؟")</f>
        <v>چگونه می توانم تعادلی بین اکتشاف و وقت گذاشتن برای مراقبت از خود در جاده ایجاد کنم؟</v>
      </c>
      <c r="H12674" s="1"/>
      <c r="I12674" s="1"/>
      <c r="J12674" s="1"/>
      <c r="K12674" s="1"/>
      <c r="L12674" s="1"/>
      <c r="M12674" s="1"/>
      <c r="N12674" s="1"/>
      <c r="O12674" s="1"/>
      <c r="P12674" s="1"/>
      <c r="Q12674" s="1"/>
      <c r="R12674" s="1"/>
      <c r="S12674" s="1"/>
      <c r="T12674" s="1"/>
      <c r="U12674" s="1"/>
      <c r="V12674" s="1"/>
      <c r="W12674" s="1"/>
      <c r="X12674" s="1"/>
      <c r="Y12674" s="1"/>
      <c r="Z12674" s="1"/>
      <c r="AA12674" s="1"/>
      <c r="AB12674" s="1"/>
    </row>
    <row r="12675" ht="50.25" customHeight="1">
      <c r="A12675" s="12">
        <v>12671.0</v>
      </c>
      <c r="B12675" s="13" t="s">
        <v>12266</v>
      </c>
      <c r="C12675" s="14" t="s">
        <v>12338</v>
      </c>
      <c r="D12675" s="1"/>
      <c r="E12675" s="1"/>
      <c r="F12675" s="1" t="str">
        <f>IFERROR(__xludf.DUMMYFUNCTION("GOOGLETRANSLATE(B12675, ""en"", ""fa"")
"),"سبک زندگی عشایری دیجیتال")</f>
        <v>سبک زندگی عشایری دیجیتال</v>
      </c>
      <c r="G12675" s="1" t="str">
        <f>IFERROR(__xludf.DUMMYFUNCTION("GOOGLETRANSLATE(C12675, ""en"", ""fa"")
"),"نکات مهم برای مستندسازی سفر عشایر دیجیتالی و به اشتراک گذاری آن با دیگران چیست؟")</f>
        <v>نکات مهم برای مستندسازی سفر عشایر دیجیتالی و به اشتراک گذاری آن با دیگران چیست؟</v>
      </c>
      <c r="H12675" s="1"/>
      <c r="I12675" s="1"/>
      <c r="J12675" s="1"/>
      <c r="K12675" s="1"/>
      <c r="L12675" s="1"/>
      <c r="M12675" s="1"/>
      <c r="N12675" s="1"/>
      <c r="O12675" s="1"/>
      <c r="P12675" s="1"/>
      <c r="Q12675" s="1"/>
      <c r="R12675" s="1"/>
      <c r="S12675" s="1"/>
      <c r="T12675" s="1"/>
      <c r="U12675" s="1"/>
      <c r="V12675" s="1"/>
      <c r="W12675" s="1"/>
      <c r="X12675" s="1"/>
      <c r="Y12675" s="1"/>
      <c r="Z12675" s="1"/>
      <c r="AA12675" s="1"/>
      <c r="AB12675" s="1"/>
    </row>
    <row r="12676" ht="50.25" customHeight="1">
      <c r="A12676" s="12">
        <v>12672.0</v>
      </c>
      <c r="B12676" s="13" t="s">
        <v>12266</v>
      </c>
      <c r="C12676" s="14" t="s">
        <v>12339</v>
      </c>
      <c r="D12676" s="1"/>
      <c r="E12676" s="1"/>
      <c r="F12676" s="1" t="str">
        <f>IFERROR(__xludf.DUMMYFUNCTION("GOOGLETRANSLATE(B12676, ""en"", ""fa"")
"),"سبک زندگی عشایری دیجیتال")</f>
        <v>سبک زندگی عشایری دیجیتال</v>
      </c>
      <c r="G12676" s="1" t="str">
        <f>IFERROR(__xludf.DUMMYFUNCTION("GOOGLETRANSLATE(C12676, ""en"", ""fa"")
"),"هنگام کار با مشتریان به عنوان یک فریلنسر عشایر دیجیتال چگونه به مذاکره و قیمت گذاری نزدیک شوم؟")</f>
        <v>هنگام کار با مشتریان به عنوان یک فریلنسر عشایر دیجیتال چگونه به مذاکره و قیمت گذاری نزدیک شوم؟</v>
      </c>
      <c r="H12676" s="1"/>
      <c r="I12676" s="1"/>
      <c r="J12676" s="1"/>
      <c r="K12676" s="1"/>
      <c r="L12676" s="1"/>
      <c r="M12676" s="1"/>
      <c r="N12676" s="1"/>
      <c r="O12676" s="1"/>
      <c r="P12676" s="1"/>
      <c r="Q12676" s="1"/>
      <c r="R12676" s="1"/>
      <c r="S12676" s="1"/>
      <c r="T12676" s="1"/>
      <c r="U12676" s="1"/>
      <c r="V12676" s="1"/>
      <c r="W12676" s="1"/>
      <c r="X12676" s="1"/>
      <c r="Y12676" s="1"/>
      <c r="Z12676" s="1"/>
      <c r="AA12676" s="1"/>
      <c r="AB12676" s="1"/>
    </row>
    <row r="12677" ht="50.25" customHeight="1">
      <c r="A12677" s="12">
        <v>12673.0</v>
      </c>
      <c r="B12677" s="13" t="s">
        <v>12266</v>
      </c>
      <c r="C12677" s="14" t="s">
        <v>12340</v>
      </c>
      <c r="D12677" s="1"/>
      <c r="E12677" s="1"/>
      <c r="F12677" s="1" t="str">
        <f>IFERROR(__xludf.DUMMYFUNCTION("GOOGLETRANSLATE(B12677, ""en"", ""fa"")
"),"سبک زندگی عشایری دیجیتال")</f>
        <v>سبک زندگی عشایری دیجیتال</v>
      </c>
      <c r="G12677" s="1" t="str">
        <f>IFERROR(__xludf.DUMMYFUNCTION("GOOGLETRANSLATE(C12677, ""en"", ""fa"")
"),"بهترین شیوه ها برای مدیریت استرس و فرسودگی شغلی در حین زندگی عشایری چیست؟")</f>
        <v>بهترین شیوه ها برای مدیریت استرس و فرسودگی شغلی در حین زندگی عشایری چیست؟</v>
      </c>
      <c r="H12677" s="1"/>
      <c r="I12677" s="1"/>
      <c r="J12677" s="1"/>
      <c r="K12677" s="1"/>
      <c r="L12677" s="1"/>
      <c r="M12677" s="1"/>
      <c r="N12677" s="1"/>
      <c r="O12677" s="1"/>
      <c r="P12677" s="1"/>
      <c r="Q12677" s="1"/>
      <c r="R12677" s="1"/>
      <c r="S12677" s="1"/>
      <c r="T12677" s="1"/>
      <c r="U12677" s="1"/>
      <c r="V12677" s="1"/>
      <c r="W12677" s="1"/>
      <c r="X12677" s="1"/>
      <c r="Y12677" s="1"/>
      <c r="Z12677" s="1"/>
      <c r="AA12677" s="1"/>
      <c r="AB12677" s="1"/>
    </row>
    <row r="12678" ht="50.25" customHeight="1">
      <c r="A12678" s="12">
        <v>12674.0</v>
      </c>
      <c r="B12678" s="13" t="s">
        <v>12266</v>
      </c>
      <c r="C12678" s="14" t="s">
        <v>12341</v>
      </c>
      <c r="D12678" s="1"/>
      <c r="E12678" s="1"/>
      <c r="F12678" s="1" t="str">
        <f>IFERROR(__xludf.DUMMYFUNCTION("GOOGLETRANSLATE(B12678, ""en"", ""fa"")
"),"سبک زندگی عشایری دیجیتال")</f>
        <v>سبک زندگی عشایری دیجیتال</v>
      </c>
      <c r="G12678" s="1" t="str">
        <f>IFERROR(__xludf.DUMMYFUNCTION("GOOGLETRANSLATE(C12678, ""en"", ""fa"")
"),"آیا می توانید استراتژی هایی را برای یافتن مکان های مناسب برای حیوانات خانگی در حین سفر به عنوان یک عشایر دیجیتال با حیوانات خانگی پیشنهاد دهید؟")</f>
        <v>آیا می توانید استراتژی هایی را برای یافتن مکان های مناسب برای حیوانات خانگی در حین سفر به عنوان یک عشایر دیجیتال با حیوانات خانگی پیشنهاد دهید؟</v>
      </c>
      <c r="H12678" s="1"/>
      <c r="I12678" s="1"/>
      <c r="J12678" s="1"/>
      <c r="K12678" s="1"/>
      <c r="L12678" s="1"/>
      <c r="M12678" s="1"/>
      <c r="N12678" s="1"/>
      <c r="O12678" s="1"/>
      <c r="P12678" s="1"/>
      <c r="Q12678" s="1"/>
      <c r="R12678" s="1"/>
      <c r="S12678" s="1"/>
      <c r="T12678" s="1"/>
      <c r="U12678" s="1"/>
      <c r="V12678" s="1"/>
      <c r="W12678" s="1"/>
      <c r="X12678" s="1"/>
      <c r="Y12678" s="1"/>
      <c r="Z12678" s="1"/>
      <c r="AA12678" s="1"/>
      <c r="AB12678" s="1"/>
    </row>
    <row r="12679" ht="50.25" customHeight="1">
      <c r="A12679" s="12">
        <v>12675.0</v>
      </c>
      <c r="B12679" s="13" t="s">
        <v>12266</v>
      </c>
      <c r="C12679" s="14" t="s">
        <v>12342</v>
      </c>
      <c r="D12679" s="1"/>
      <c r="E12679" s="1"/>
      <c r="F12679" s="1" t="str">
        <f>IFERROR(__xludf.DUMMYFUNCTION("GOOGLETRANSLATE(B12679, ""en"", ""fa"")
"),"سبک زندگی عشایری دیجیتال")</f>
        <v>سبک زندگی عشایری دیجیتال</v>
      </c>
      <c r="G12679" s="1" t="str">
        <f>IFERROR(__xludf.DUMMYFUNCTION("GOOGLETRANSLATE(C12679, ""en"", ""fa"")
"),"چگونه می توانم در حین جابجایی از مکانی به مکان دیگر، یک شبکه حرفه ای قوی بسازم؟")</f>
        <v>چگونه می توانم در حین جابجایی از مکانی به مکان دیگر، یک شبکه حرفه ای قوی بسازم؟</v>
      </c>
      <c r="H12679" s="1"/>
      <c r="I12679" s="1"/>
      <c r="J12679" s="1"/>
      <c r="K12679" s="1"/>
      <c r="L12679" s="1"/>
      <c r="M12679" s="1"/>
      <c r="N12679" s="1"/>
      <c r="O12679" s="1"/>
      <c r="P12679" s="1"/>
      <c r="Q12679" s="1"/>
      <c r="R12679" s="1"/>
      <c r="S12679" s="1"/>
      <c r="T12679" s="1"/>
      <c r="U12679" s="1"/>
      <c r="V12679" s="1"/>
      <c r="W12679" s="1"/>
      <c r="X12679" s="1"/>
      <c r="Y12679" s="1"/>
      <c r="Z12679" s="1"/>
      <c r="AA12679" s="1"/>
      <c r="AB12679" s="1"/>
    </row>
    <row r="12680" ht="50.25" customHeight="1">
      <c r="A12680" s="12">
        <v>12676.0</v>
      </c>
      <c r="B12680" s="13" t="s">
        <v>12266</v>
      </c>
      <c r="C12680" s="14" t="s">
        <v>12343</v>
      </c>
      <c r="D12680" s="1"/>
      <c r="E12680" s="1"/>
      <c r="F12680" s="1" t="str">
        <f>IFERROR(__xludf.DUMMYFUNCTION("GOOGLETRANSLATE(B12680, ""en"", ""fa"")
"),"سبک زندگی عشایری دیجیتال")</f>
        <v>سبک زندگی عشایری دیجیتال</v>
      </c>
      <c r="G12680" s="1" t="str">
        <f>IFERROR(__xludf.DUMMYFUNCTION("GOOGLETRANSLATE(C12680, ""en"", ""fa"")
"),"منابع برتر برای یافتن فرصت های شغلی از راه دور در صنعت فناوری به عنوان یک عشایر دیجیتال چیست؟")</f>
        <v>منابع برتر برای یافتن فرصت های شغلی از راه دور در صنعت فناوری به عنوان یک عشایر دیجیتال چیست؟</v>
      </c>
      <c r="H12680" s="1"/>
      <c r="I12680" s="1"/>
      <c r="J12680" s="1"/>
      <c r="K12680" s="1"/>
      <c r="L12680" s="1"/>
      <c r="M12680" s="1"/>
      <c r="N12680" s="1"/>
      <c r="O12680" s="1"/>
      <c r="P12680" s="1"/>
      <c r="Q12680" s="1"/>
      <c r="R12680" s="1"/>
      <c r="S12680" s="1"/>
      <c r="T12680" s="1"/>
      <c r="U12680" s="1"/>
      <c r="V12680" s="1"/>
      <c r="W12680" s="1"/>
      <c r="X12680" s="1"/>
      <c r="Y12680" s="1"/>
      <c r="Z12680" s="1"/>
      <c r="AA12680" s="1"/>
      <c r="AB12680" s="1"/>
    </row>
    <row r="12681" ht="50.25" customHeight="1">
      <c r="A12681" s="12">
        <v>12677.0</v>
      </c>
      <c r="B12681" s="13" t="s">
        <v>12266</v>
      </c>
      <c r="C12681" s="14" t="s">
        <v>12344</v>
      </c>
      <c r="D12681" s="1"/>
      <c r="E12681" s="1"/>
      <c r="F12681" s="1" t="str">
        <f>IFERROR(__xludf.DUMMYFUNCTION("GOOGLETRANSLATE(B12681, ""en"", ""fa"")
"),"سبک زندگی عشایری دیجیتال")</f>
        <v>سبک زندگی عشایری دیجیتال</v>
      </c>
      <c r="G12681" s="1" t="str">
        <f>IFERROR(__xludf.DUMMYFUNCTION("GOOGLETRANSLATE(C12681, ""en"", ""fa"")
"),"چگونه می توانم با تفاوت های فرهنگی کنار بیایم و رویکرد کاری خود را در زمان کوچ نشینی با فرهنگ های مختلف تطبیق دهم؟")</f>
        <v>چگونه می توانم با تفاوت های فرهنگی کنار بیایم و رویکرد کاری خود را در زمان کوچ نشینی با فرهنگ های مختلف تطبیق دهم؟</v>
      </c>
      <c r="H12681" s="1"/>
      <c r="I12681" s="1"/>
      <c r="J12681" s="1"/>
      <c r="K12681" s="1"/>
      <c r="L12681" s="1"/>
      <c r="M12681" s="1"/>
      <c r="N12681" s="1"/>
      <c r="O12681" s="1"/>
      <c r="P12681" s="1"/>
      <c r="Q12681" s="1"/>
      <c r="R12681" s="1"/>
      <c r="S12681" s="1"/>
      <c r="T12681" s="1"/>
      <c r="U12681" s="1"/>
      <c r="V12681" s="1"/>
      <c r="W12681" s="1"/>
      <c r="X12681" s="1"/>
      <c r="Y12681" s="1"/>
      <c r="Z12681" s="1"/>
      <c r="AA12681" s="1"/>
      <c r="AB12681" s="1"/>
    </row>
    <row r="12682" ht="50.25" customHeight="1">
      <c r="A12682" s="12">
        <v>12678.0</v>
      </c>
      <c r="B12682" s="13" t="s">
        <v>12266</v>
      </c>
      <c r="C12682" s="14" t="s">
        <v>12345</v>
      </c>
      <c r="D12682" s="1"/>
      <c r="E12682" s="1"/>
      <c r="F12682" s="1" t="str">
        <f>IFERROR(__xludf.DUMMYFUNCTION("GOOGLETRANSLATE(B12682, ""en"", ""fa"")
"),"سبک زندگی عشایری دیجیتال")</f>
        <v>سبک زندگی عشایری دیجیتال</v>
      </c>
      <c r="G12682" s="1" t="str">
        <f>IFERROR(__xludf.DUMMYFUNCTION("GOOGLETRANSLATE(C12682, ""en"", ""fa"")
"),"بهترین تکنیک ها برای مدیریت فایل های دیجیتال و پشتیبان گیری در حین حرکت چیست؟")</f>
        <v>بهترین تکنیک ها برای مدیریت فایل های دیجیتال و پشتیبان گیری در حین حرکت چیست؟</v>
      </c>
      <c r="H12682" s="1"/>
      <c r="I12682" s="1"/>
      <c r="J12682" s="1"/>
      <c r="K12682" s="1"/>
      <c r="L12682" s="1"/>
      <c r="M12682" s="1"/>
      <c r="N12682" s="1"/>
      <c r="O12682" s="1"/>
      <c r="P12682" s="1"/>
      <c r="Q12682" s="1"/>
      <c r="R12682" s="1"/>
      <c r="S12682" s="1"/>
      <c r="T12682" s="1"/>
      <c r="U12682" s="1"/>
      <c r="V12682" s="1"/>
      <c r="W12682" s="1"/>
      <c r="X12682" s="1"/>
      <c r="Y12682" s="1"/>
      <c r="Z12682" s="1"/>
      <c r="AA12682" s="1"/>
      <c r="AB12682" s="1"/>
    </row>
    <row r="12683" ht="50.25" customHeight="1">
      <c r="A12683" s="12">
        <v>12679.0</v>
      </c>
      <c r="B12683" s="13" t="s">
        <v>12266</v>
      </c>
      <c r="C12683" s="14" t="s">
        <v>12346</v>
      </c>
      <c r="D12683" s="1"/>
      <c r="E12683" s="1"/>
      <c r="F12683" s="1" t="str">
        <f>IFERROR(__xludf.DUMMYFUNCTION("GOOGLETRANSLATE(B12683, ""en"", ""fa"")
"),"سبک زندگی عشایری دیجیتال")</f>
        <v>سبک زندگی عشایری دیجیتال</v>
      </c>
      <c r="G12683" s="1" t="str">
        <f>IFERROR(__xludf.DUMMYFUNCTION("GOOGLETRANSLATE(C12683, ""en"", ""fa"")
"),"آیا می توانید فضاهای زندگی مشترک با امکانات مناسب برای میزبانی کارگاه ها یا رویدادهای عشایری دیجیتال را توصیه کنید؟")</f>
        <v>آیا می توانید فضاهای زندگی مشترک با امکانات مناسب برای میزبانی کارگاه ها یا رویدادهای عشایری دیجیتال را توصیه کنید؟</v>
      </c>
      <c r="H12683" s="1"/>
      <c r="I12683" s="1"/>
      <c r="J12683" s="1"/>
      <c r="K12683" s="1"/>
      <c r="L12683" s="1"/>
      <c r="M12683" s="1"/>
      <c r="N12683" s="1"/>
      <c r="O12683" s="1"/>
      <c r="P12683" s="1"/>
      <c r="Q12683" s="1"/>
      <c r="R12683" s="1"/>
      <c r="S12683" s="1"/>
      <c r="T12683" s="1"/>
      <c r="U12683" s="1"/>
      <c r="V12683" s="1"/>
      <c r="W12683" s="1"/>
      <c r="X12683" s="1"/>
      <c r="Y12683" s="1"/>
      <c r="Z12683" s="1"/>
      <c r="AA12683" s="1"/>
      <c r="AB12683" s="1"/>
    </row>
    <row r="12684" ht="50.25" customHeight="1">
      <c r="A12684" s="12">
        <v>12680.0</v>
      </c>
      <c r="B12684" s="13" t="s">
        <v>12266</v>
      </c>
      <c r="C12684" s="14" t="s">
        <v>12347</v>
      </c>
      <c r="D12684" s="1"/>
      <c r="E12684" s="1"/>
      <c r="F12684" s="1" t="str">
        <f>IFERROR(__xludf.DUMMYFUNCTION("GOOGLETRANSLATE(B12684, ""en"", ""fa"")
"),"سبک زندگی عشایری دیجیتال")</f>
        <v>سبک زندگی عشایری دیجیتال</v>
      </c>
      <c r="G12684" s="1" t="str">
        <f>IFERROR(__xludf.DUMMYFUNCTION("GOOGLETRANSLATE(C12684, ""en"", ""fa"")
"),"چگونه می توانم همزمان با کاوش در مکان های جدید، در فعالیت های گردشگری پایدار و مسئولانه شرکت کنم؟")</f>
        <v>چگونه می توانم همزمان با کاوش در مکان های جدید، در فعالیت های گردشگری پایدار و مسئولانه شرکت کنم؟</v>
      </c>
      <c r="H12684" s="1"/>
      <c r="I12684" s="1"/>
      <c r="J12684" s="1"/>
      <c r="K12684" s="1"/>
      <c r="L12684" s="1"/>
      <c r="M12684" s="1"/>
      <c r="N12684" s="1"/>
      <c r="O12684" s="1"/>
      <c r="P12684" s="1"/>
      <c r="Q12684" s="1"/>
      <c r="R12684" s="1"/>
      <c r="S12684" s="1"/>
      <c r="T12684" s="1"/>
      <c r="U12684" s="1"/>
      <c r="V12684" s="1"/>
      <c r="W12684" s="1"/>
      <c r="X12684" s="1"/>
      <c r="Y12684" s="1"/>
      <c r="Z12684" s="1"/>
      <c r="AA12684" s="1"/>
      <c r="AB12684" s="1"/>
    </row>
    <row r="12685" ht="50.25" customHeight="1">
      <c r="A12685" s="12">
        <v>12681.0</v>
      </c>
      <c r="B12685" s="13" t="s">
        <v>12266</v>
      </c>
      <c r="C12685" s="14" t="s">
        <v>12348</v>
      </c>
      <c r="D12685" s="1"/>
      <c r="E12685" s="1"/>
      <c r="F12685" s="1" t="str">
        <f>IFERROR(__xludf.DUMMYFUNCTION("GOOGLETRANSLATE(B12685, ""en"", ""fa"")
"),"سبک زندگی عشایری دیجیتال")</f>
        <v>سبک زندگی عشایری دیجیتال</v>
      </c>
      <c r="G12685" s="1" t="str">
        <f>IFERROR(__xludf.DUMMYFUNCTION("GOOGLETRANSLATE(C12685, ""en"", ""fa"")
"),"بهترین راه ها برای اطلاع از قوانین و تغییرات ویزا در کشورهای مختلف چیست؟")</f>
        <v>بهترین راه ها برای اطلاع از قوانین و تغییرات ویزا در کشورهای مختلف چیست؟</v>
      </c>
      <c r="H12685" s="1"/>
      <c r="I12685" s="1"/>
      <c r="J12685" s="1"/>
      <c r="K12685" s="1"/>
      <c r="L12685" s="1"/>
      <c r="M12685" s="1"/>
      <c r="N12685" s="1"/>
      <c r="O12685" s="1"/>
      <c r="P12685" s="1"/>
      <c r="Q12685" s="1"/>
      <c r="R12685" s="1"/>
      <c r="S12685" s="1"/>
      <c r="T12685" s="1"/>
      <c r="U12685" s="1"/>
      <c r="V12685" s="1"/>
      <c r="W12685" s="1"/>
      <c r="X12685" s="1"/>
      <c r="Y12685" s="1"/>
      <c r="Z12685" s="1"/>
      <c r="AA12685" s="1"/>
      <c r="AB12685" s="1"/>
    </row>
    <row r="12686" ht="50.25" customHeight="1">
      <c r="A12686" s="12">
        <v>12682.0</v>
      </c>
      <c r="B12686" s="13" t="s">
        <v>12266</v>
      </c>
      <c r="C12686" s="14" t="s">
        <v>12349</v>
      </c>
      <c r="D12686" s="1"/>
      <c r="E12686" s="1"/>
      <c r="F12686" s="1" t="str">
        <f>IFERROR(__xludf.DUMMYFUNCTION("GOOGLETRANSLATE(B12686, ""en"", ""fa"")
"),"سبک زندگی عشایری دیجیتال")</f>
        <v>سبک زندگی عشایری دیجیتال</v>
      </c>
      <c r="G12686" s="1" t="str">
        <f>IFERROR(__xludf.DUMMYFUNCTION("GOOGLETRANSLATE(C12686, ""en"", ""fa"")
"),"چگونه می توانم با تدارکات حمل و نقل و دریافت بسته ها در حالی که دائماً مکان را تغییر می دهم، رفتار کنم؟")</f>
        <v>چگونه می توانم با تدارکات حمل و نقل و دریافت بسته ها در حالی که دائماً مکان را تغییر می دهم، رفتار کنم؟</v>
      </c>
      <c r="H12686" s="1"/>
      <c r="I12686" s="1"/>
      <c r="J12686" s="1"/>
      <c r="K12686" s="1"/>
      <c r="L12686" s="1"/>
      <c r="M12686" s="1"/>
      <c r="N12686" s="1"/>
      <c r="O12686" s="1"/>
      <c r="P12686" s="1"/>
      <c r="Q12686" s="1"/>
      <c r="R12686" s="1"/>
      <c r="S12686" s="1"/>
      <c r="T12686" s="1"/>
      <c r="U12686" s="1"/>
      <c r="V12686" s="1"/>
      <c r="W12686" s="1"/>
      <c r="X12686" s="1"/>
      <c r="Y12686" s="1"/>
      <c r="Z12686" s="1"/>
      <c r="AA12686" s="1"/>
      <c r="AB12686" s="1"/>
    </row>
    <row r="12687" ht="50.25" customHeight="1">
      <c r="A12687" s="12">
        <v>12683.0</v>
      </c>
      <c r="B12687" s="13" t="s">
        <v>12266</v>
      </c>
      <c r="C12687" s="14" t="s">
        <v>12350</v>
      </c>
      <c r="D12687" s="1"/>
      <c r="E12687" s="1"/>
      <c r="F12687" s="1" t="str">
        <f>IFERROR(__xludf.DUMMYFUNCTION("GOOGLETRANSLATE(B12687, ""en"", ""fa"")
"),"سبک زندگی عشایری دیجیتال")</f>
        <v>سبک زندگی عشایری دیجیتال</v>
      </c>
      <c r="G12687" s="1" t="str">
        <f>IFERROR(__xludf.DUMMYFUNCTION("GOOGLETRANSLATE(C12687, ""en"", ""fa"")
"),"راهبردهای برتر برای با انگیزه ماندن و تمرکز بر پروژه های شخصی در حین کوچ نشینی چیست؟")</f>
        <v>راهبردهای برتر برای با انگیزه ماندن و تمرکز بر پروژه های شخصی در حین کوچ نشینی چیست؟</v>
      </c>
      <c r="H12687" s="1"/>
      <c r="I12687" s="1"/>
      <c r="J12687" s="1"/>
      <c r="K12687" s="1"/>
      <c r="L12687" s="1"/>
      <c r="M12687" s="1"/>
      <c r="N12687" s="1"/>
      <c r="O12687" s="1"/>
      <c r="P12687" s="1"/>
      <c r="Q12687" s="1"/>
      <c r="R12687" s="1"/>
      <c r="S12687" s="1"/>
      <c r="T12687" s="1"/>
      <c r="U12687" s="1"/>
      <c r="V12687" s="1"/>
      <c r="W12687" s="1"/>
      <c r="X12687" s="1"/>
      <c r="Y12687" s="1"/>
      <c r="Z12687" s="1"/>
      <c r="AA12687" s="1"/>
      <c r="AB12687" s="1"/>
    </row>
    <row r="12688" ht="50.25" customHeight="1">
      <c r="A12688" s="12">
        <v>12684.0</v>
      </c>
      <c r="B12688" s="13" t="s">
        <v>12266</v>
      </c>
      <c r="C12688" s="14" t="s">
        <v>12351</v>
      </c>
      <c r="D12688" s="1"/>
      <c r="E12688" s="1"/>
      <c r="F12688" s="1" t="str">
        <f>IFERROR(__xludf.DUMMYFUNCTION("GOOGLETRANSLATE(B12688, ""en"", ""fa"")
"),"سبک زندگی عشایری دیجیتال")</f>
        <v>سبک زندگی عشایری دیجیتال</v>
      </c>
      <c r="G12688" s="1" t="str">
        <f>IFERROR(__xludf.DUMMYFUNCTION("GOOGLETRANSLATE(C12688, ""en"", ""fa"")
"),"آیا می توانید پلتفرم های آنلاین را برای یافتن تجربیات فرهنگی منحصر به فرد و معتبر در هر مقصد پیشنهاد دهید؟")</f>
        <v>آیا می توانید پلتفرم های آنلاین را برای یافتن تجربیات فرهنگی منحصر به فرد و معتبر در هر مقصد پیشنهاد دهید؟</v>
      </c>
      <c r="H12688" s="1"/>
      <c r="I12688" s="1"/>
      <c r="J12688" s="1"/>
      <c r="K12688" s="1"/>
      <c r="L12688" s="1"/>
      <c r="M12688" s="1"/>
      <c r="N12688" s="1"/>
      <c r="O12688" s="1"/>
      <c r="P12688" s="1"/>
      <c r="Q12688" s="1"/>
      <c r="R12688" s="1"/>
      <c r="S12688" s="1"/>
      <c r="T12688" s="1"/>
      <c r="U12688" s="1"/>
      <c r="V12688" s="1"/>
      <c r="W12688" s="1"/>
      <c r="X12688" s="1"/>
      <c r="Y12688" s="1"/>
      <c r="Z12688" s="1"/>
      <c r="AA12688" s="1"/>
      <c r="AB12688" s="1"/>
    </row>
    <row r="12689" ht="50.25" customHeight="1">
      <c r="A12689" s="12">
        <v>12685.0</v>
      </c>
      <c r="B12689" s="13" t="s">
        <v>12266</v>
      </c>
      <c r="C12689" s="14" t="s">
        <v>12352</v>
      </c>
      <c r="D12689" s="1"/>
      <c r="E12689" s="1"/>
      <c r="F12689" s="1" t="str">
        <f>IFERROR(__xludf.DUMMYFUNCTION("GOOGLETRANSLATE(B12689, ""en"", ""fa"")
"),"سبک زندگی عشایری دیجیتال")</f>
        <v>سبک زندگی عشایری دیجیتال</v>
      </c>
      <c r="G12689" s="1" t="str">
        <f>IFERROR(__xludf.DUMMYFUNCTION("GOOGLETRANSLATE(C12689, ""en"", ""fa"")
"),"چگونه می توانم در حالی که سبک زندگی عشایری را می پذیرم، یک روال کار سالم را توسعه و حفظ کنم؟")</f>
        <v>چگونه می توانم در حالی که سبک زندگی عشایری را می پذیرم، یک روال کار سالم را توسعه و حفظ کنم؟</v>
      </c>
      <c r="H12689" s="1"/>
      <c r="I12689" s="1"/>
      <c r="J12689" s="1"/>
      <c r="K12689" s="1"/>
      <c r="L12689" s="1"/>
      <c r="M12689" s="1"/>
      <c r="N12689" s="1"/>
      <c r="O12689" s="1"/>
      <c r="P12689" s="1"/>
      <c r="Q12689" s="1"/>
      <c r="R12689" s="1"/>
      <c r="S12689" s="1"/>
      <c r="T12689" s="1"/>
      <c r="U12689" s="1"/>
      <c r="V12689" s="1"/>
      <c r="W12689" s="1"/>
      <c r="X12689" s="1"/>
      <c r="Y12689" s="1"/>
      <c r="Z12689" s="1"/>
      <c r="AA12689" s="1"/>
      <c r="AB12689" s="1"/>
    </row>
    <row r="12690" ht="50.25" customHeight="1">
      <c r="A12690" s="12">
        <v>12686.0</v>
      </c>
      <c r="B12690" s="13" t="s">
        <v>12266</v>
      </c>
      <c r="C12690" s="14" t="s">
        <v>12353</v>
      </c>
      <c r="D12690" s="1"/>
      <c r="E12690" s="1"/>
      <c r="F12690" s="1" t="str">
        <f>IFERROR(__xludf.DUMMYFUNCTION("GOOGLETRANSLATE(B12690, ""en"", ""fa"")
"),"سبک زندگی عشایری دیجیتال")</f>
        <v>سبک زندگی عشایری دیجیتال</v>
      </c>
      <c r="G12690" s="1" t="str">
        <f>IFERROR(__xludf.DUMMYFUNCTION("GOOGLETRANSLATE(C12690, ""en"", ""fa"")
"),"برنامه های زبان ضروری و ابزارهای ترجمه برای پیمایش در کشورهای خارجی به عنوان یک عشایر دیجیتال چیست؟")</f>
        <v>برنامه های زبان ضروری و ابزارهای ترجمه برای پیمایش در کشورهای خارجی به عنوان یک عشایر دیجیتال چیست؟</v>
      </c>
      <c r="H12690" s="1"/>
      <c r="I12690" s="1"/>
      <c r="J12690" s="1"/>
      <c r="K12690" s="1"/>
      <c r="L12690" s="1"/>
      <c r="M12690" s="1"/>
      <c r="N12690" s="1"/>
      <c r="O12690" s="1"/>
      <c r="P12690" s="1"/>
      <c r="Q12690" s="1"/>
      <c r="R12690" s="1"/>
      <c r="S12690" s="1"/>
      <c r="T12690" s="1"/>
      <c r="U12690" s="1"/>
      <c r="V12690" s="1"/>
      <c r="W12690" s="1"/>
      <c r="X12690" s="1"/>
      <c r="Y12690" s="1"/>
      <c r="Z12690" s="1"/>
      <c r="AA12690" s="1"/>
      <c r="AB12690" s="1"/>
    </row>
    <row r="12691" ht="50.25" customHeight="1">
      <c r="A12691" s="12">
        <v>12687.0</v>
      </c>
      <c r="B12691" s="13" t="s">
        <v>12266</v>
      </c>
      <c r="C12691" s="14" t="s">
        <v>12354</v>
      </c>
      <c r="D12691" s="1"/>
      <c r="E12691" s="1"/>
      <c r="F12691" s="1" t="str">
        <f>IFERROR(__xludf.DUMMYFUNCTION("GOOGLETRANSLATE(B12691, ""en"", ""fa"")
"),"سبک زندگی عشایری دیجیتال")</f>
        <v>سبک زندگی عشایری دیجیتال</v>
      </c>
      <c r="G12691" s="1" t="str">
        <f>IFERROR(__xludf.DUMMYFUNCTION("GOOGLETRANSLATE(C12691, ""en"", ""fa"")
"),"چگونه مدیریت زمان را مدیریت کنم و وظایف کاری را در حین کاوش در مقاصد جدید اولویت بندی کنم؟")</f>
        <v>چگونه مدیریت زمان را مدیریت کنم و وظایف کاری را در حین کاوش در مقاصد جدید اولویت بندی کنم؟</v>
      </c>
      <c r="H12691" s="1"/>
      <c r="I12691" s="1"/>
      <c r="J12691" s="1"/>
      <c r="K12691" s="1"/>
      <c r="L12691" s="1"/>
      <c r="M12691" s="1"/>
      <c r="N12691" s="1"/>
      <c r="O12691" s="1"/>
      <c r="P12691" s="1"/>
      <c r="Q12691" s="1"/>
      <c r="R12691" s="1"/>
      <c r="S12691" s="1"/>
      <c r="T12691" s="1"/>
      <c r="U12691" s="1"/>
      <c r="V12691" s="1"/>
      <c r="W12691" s="1"/>
      <c r="X12691" s="1"/>
      <c r="Y12691" s="1"/>
      <c r="Z12691" s="1"/>
      <c r="AA12691" s="1"/>
      <c r="AB12691" s="1"/>
    </row>
    <row r="12692" ht="50.25" customHeight="1">
      <c r="A12692" s="12">
        <v>12688.0</v>
      </c>
      <c r="B12692" s="13" t="s">
        <v>12266</v>
      </c>
      <c r="C12692" s="14" t="s">
        <v>12355</v>
      </c>
      <c r="D12692" s="1"/>
      <c r="E12692" s="1"/>
      <c r="F12692" s="1" t="str">
        <f>IFERROR(__xludf.DUMMYFUNCTION("GOOGLETRANSLATE(B12692, ""en"", ""fa"")
"),"سبک زندگی عشایری دیجیتال")</f>
        <v>سبک زندگی عشایری دیجیتال</v>
      </c>
      <c r="G12692" s="1" t="str">
        <f>IFERROR(__xludf.DUMMYFUNCTION("GOOGLETRANSLATE(C12692, ""en"", ""fa"")
"),"بهترین راهبردها برای سازماندهی ماندن و مدیریت کارآمد اسناد عشایر دیجیتال چیست؟")</f>
        <v>بهترین راهبردها برای سازماندهی ماندن و مدیریت کارآمد اسناد عشایر دیجیتال چیست؟</v>
      </c>
      <c r="H12692" s="1"/>
      <c r="I12692" s="1"/>
      <c r="J12692" s="1"/>
      <c r="K12692" s="1"/>
      <c r="L12692" s="1"/>
      <c r="M12692" s="1"/>
      <c r="N12692" s="1"/>
      <c r="O12692" s="1"/>
      <c r="P12692" s="1"/>
      <c r="Q12692" s="1"/>
      <c r="R12692" s="1"/>
      <c r="S12692" s="1"/>
      <c r="T12692" s="1"/>
      <c r="U12692" s="1"/>
      <c r="V12692" s="1"/>
      <c r="W12692" s="1"/>
      <c r="X12692" s="1"/>
      <c r="Y12692" s="1"/>
      <c r="Z12692" s="1"/>
      <c r="AA12692" s="1"/>
      <c r="AB12692" s="1"/>
    </row>
    <row r="12693" ht="50.25" customHeight="1">
      <c r="A12693" s="12">
        <v>12689.0</v>
      </c>
      <c r="B12693" s="13" t="s">
        <v>12266</v>
      </c>
      <c r="C12693" s="14" t="s">
        <v>12356</v>
      </c>
      <c r="D12693" s="1"/>
      <c r="E12693" s="1"/>
      <c r="F12693" s="1" t="str">
        <f>IFERROR(__xludf.DUMMYFUNCTION("GOOGLETRANSLATE(B12693, ""en"", ""fa"")
"),"سبک زندگی عشایری دیجیتال")</f>
        <v>سبک زندگی عشایری دیجیتال</v>
      </c>
      <c r="G12693" s="1" t="str">
        <f>IFERROR(__xludf.DUMMYFUNCTION("GOOGLETRANSLATE(C12693, ""en"", ""fa"")
"),"آیا می توانید پلتفرم ها یا وب سایت هایی را برای ارتباط با فریلنسرها و همکاران محلی در هر شهر توصیه کنید؟")</f>
        <v>آیا می توانید پلتفرم ها یا وب سایت هایی را برای ارتباط با فریلنسرها و همکاران محلی در هر شهر توصیه کنید؟</v>
      </c>
      <c r="H12693" s="1"/>
      <c r="I12693" s="1"/>
      <c r="J12693" s="1"/>
      <c r="K12693" s="1"/>
      <c r="L12693" s="1"/>
      <c r="M12693" s="1"/>
      <c r="N12693" s="1"/>
      <c r="O12693" s="1"/>
      <c r="P12693" s="1"/>
      <c r="Q12693" s="1"/>
      <c r="R12693" s="1"/>
      <c r="S12693" s="1"/>
      <c r="T12693" s="1"/>
      <c r="U12693" s="1"/>
      <c r="V12693" s="1"/>
      <c r="W12693" s="1"/>
      <c r="X12693" s="1"/>
      <c r="Y12693" s="1"/>
      <c r="Z12693" s="1"/>
      <c r="AA12693" s="1"/>
      <c r="AB12693" s="1"/>
    </row>
    <row r="12694" ht="50.25" customHeight="1">
      <c r="A12694" s="12">
        <v>12690.0</v>
      </c>
      <c r="B12694" s="13" t="s">
        <v>12266</v>
      </c>
      <c r="C12694" s="14" t="s">
        <v>12357</v>
      </c>
      <c r="D12694" s="1"/>
      <c r="E12694" s="1"/>
      <c r="F12694" s="1" t="str">
        <f>IFERROR(__xludf.DUMMYFUNCTION("GOOGLETRANSLATE(B12694, ""en"", ""fa"")
"),"سبک زندگی عشایری دیجیتال")</f>
        <v>سبک زندگی عشایری دیجیتال</v>
      </c>
      <c r="G12694" s="1" t="str">
        <f>IFERROR(__xludf.DUMMYFUNCTION("GOOGLETRANSLATE(C12694, ""en"", ""fa"")
"),"چگونه می توانم از اتصال اینترنتی مطمئن برای شرکت در جلسات مجازی و وبینارها در جاده اطمینان حاصل کنم؟")</f>
        <v>چگونه می توانم از اتصال اینترنتی مطمئن برای شرکت در جلسات مجازی و وبینارها در جاده اطمینان حاصل کنم؟</v>
      </c>
      <c r="H12694" s="1"/>
      <c r="I12694" s="1"/>
      <c r="J12694" s="1"/>
      <c r="K12694" s="1"/>
      <c r="L12694" s="1"/>
      <c r="M12694" s="1"/>
      <c r="N12694" s="1"/>
      <c r="O12694" s="1"/>
      <c r="P12694" s="1"/>
      <c r="Q12694" s="1"/>
      <c r="R12694" s="1"/>
      <c r="S12694" s="1"/>
      <c r="T12694" s="1"/>
      <c r="U12694" s="1"/>
      <c r="V12694" s="1"/>
      <c r="W12694" s="1"/>
      <c r="X12694" s="1"/>
      <c r="Y12694" s="1"/>
      <c r="Z12694" s="1"/>
      <c r="AA12694" s="1"/>
      <c r="AB12694" s="1"/>
    </row>
    <row r="12695" ht="50.25" customHeight="1">
      <c r="A12695" s="12">
        <v>12691.0</v>
      </c>
      <c r="B12695" s="13" t="s">
        <v>12266</v>
      </c>
      <c r="C12695" s="14" t="s">
        <v>12358</v>
      </c>
      <c r="D12695" s="1"/>
      <c r="E12695" s="1"/>
      <c r="F12695" s="1" t="str">
        <f>IFERROR(__xludf.DUMMYFUNCTION("GOOGLETRANSLATE(B12695, ""en"", ""fa"")
"),"سبک زندگی عشایری دیجیتال")</f>
        <v>سبک زندگی عشایری دیجیتال</v>
      </c>
      <c r="G12695" s="1" t="str">
        <f>IFERROR(__xludf.DUMMYFUNCTION("GOOGLETRANSLATE(C12695, ""en"", ""fa"")
"),"بهترین راه‌ها برای مشارکت در پروژه‌های مبتنی بر جامعه و فرصت‌های داوطلبانه در حین کوچ‌نشینی چیست؟")</f>
        <v>بهترین راه‌ها برای مشارکت در پروژه‌های مبتنی بر جامعه و فرصت‌های داوطلبانه در حین کوچ‌نشینی چیست؟</v>
      </c>
      <c r="H12695" s="1"/>
      <c r="I12695" s="1"/>
      <c r="J12695" s="1"/>
      <c r="K12695" s="1"/>
      <c r="L12695" s="1"/>
      <c r="M12695" s="1"/>
      <c r="N12695" s="1"/>
      <c r="O12695" s="1"/>
      <c r="P12695" s="1"/>
      <c r="Q12695" s="1"/>
      <c r="R12695" s="1"/>
      <c r="S12695" s="1"/>
      <c r="T12695" s="1"/>
      <c r="U12695" s="1"/>
      <c r="V12695" s="1"/>
      <c r="W12695" s="1"/>
      <c r="X12695" s="1"/>
      <c r="Y12695" s="1"/>
      <c r="Z12695" s="1"/>
      <c r="AA12695" s="1"/>
      <c r="AB12695" s="1"/>
    </row>
    <row r="12696" ht="50.25" customHeight="1">
      <c r="A12696" s="12">
        <v>12692.0</v>
      </c>
      <c r="B12696" s="13" t="s">
        <v>12266</v>
      </c>
      <c r="C12696" s="14" t="s">
        <v>12359</v>
      </c>
      <c r="D12696" s="1"/>
      <c r="E12696" s="1"/>
      <c r="F12696" s="1" t="str">
        <f>IFERROR(__xludf.DUMMYFUNCTION("GOOGLETRANSLATE(B12696, ""en"", ""fa"")
"),"سبک زندگی عشایری دیجیتال")</f>
        <v>سبک زندگی عشایری دیجیتال</v>
      </c>
      <c r="G12696" s="1" t="str">
        <f>IFERROR(__xludf.DUMMYFUNCTION("GOOGLETRANSLATE(C12696, ""en"", ""fa"")
"),"چگونه می توانم در سفرهای تفریحی با پیشرفت حرفه ای و افزایش مهارت ها در حین حرکت تعادل برقرار کنم؟")</f>
        <v>چگونه می توانم در سفرهای تفریحی با پیشرفت حرفه ای و افزایش مهارت ها در حین حرکت تعادل برقرار کنم؟</v>
      </c>
      <c r="H12696" s="1"/>
      <c r="I12696" s="1"/>
      <c r="J12696" s="1"/>
      <c r="K12696" s="1"/>
      <c r="L12696" s="1"/>
      <c r="M12696" s="1"/>
      <c r="N12696" s="1"/>
      <c r="O12696" s="1"/>
      <c r="P12696" s="1"/>
      <c r="Q12696" s="1"/>
      <c r="R12696" s="1"/>
      <c r="S12696" s="1"/>
      <c r="T12696" s="1"/>
      <c r="U12696" s="1"/>
      <c r="V12696" s="1"/>
      <c r="W12696" s="1"/>
      <c r="X12696" s="1"/>
      <c r="Y12696" s="1"/>
      <c r="Z12696" s="1"/>
      <c r="AA12696" s="1"/>
      <c r="AB12696" s="1"/>
    </row>
    <row r="12697" ht="50.25" customHeight="1">
      <c r="A12697" s="12">
        <v>12693.0</v>
      </c>
      <c r="B12697" s="13" t="s">
        <v>12266</v>
      </c>
      <c r="C12697" s="14" t="s">
        <v>12360</v>
      </c>
      <c r="D12697" s="1"/>
      <c r="E12697" s="1"/>
      <c r="F12697" s="1" t="str">
        <f>IFERROR(__xludf.DUMMYFUNCTION("GOOGLETRANSLATE(B12697, ""en"", ""fa"")
"),"سبک زندگی عشایری دیجیتال")</f>
        <v>سبک زندگی عشایری دیجیتال</v>
      </c>
      <c r="G12697" s="1" t="str">
        <f>IFERROR(__xludf.DUMMYFUNCTION("GOOGLETRANSLATE(C12697, ""en"", ""fa"")
"),"بهترین شیوه ها برای مدیریت بانکداری بین المللی و مدیریت امور مالی در ارزهای مختلف چیست؟")</f>
        <v>بهترین شیوه ها برای مدیریت بانکداری بین المللی و مدیریت امور مالی در ارزهای مختلف چیست؟</v>
      </c>
      <c r="H12697" s="1"/>
      <c r="I12697" s="1"/>
      <c r="J12697" s="1"/>
      <c r="K12697" s="1"/>
      <c r="L12697" s="1"/>
      <c r="M12697" s="1"/>
      <c r="N12697" s="1"/>
      <c r="O12697" s="1"/>
      <c r="P12697" s="1"/>
      <c r="Q12697" s="1"/>
      <c r="R12697" s="1"/>
      <c r="S12697" s="1"/>
      <c r="T12697" s="1"/>
      <c r="U12697" s="1"/>
      <c r="V12697" s="1"/>
      <c r="W12697" s="1"/>
      <c r="X12697" s="1"/>
      <c r="Y12697" s="1"/>
      <c r="Z12697" s="1"/>
      <c r="AA12697" s="1"/>
      <c r="AB12697" s="1"/>
    </row>
    <row r="12698" ht="50.25" customHeight="1">
      <c r="A12698" s="12">
        <v>12694.0</v>
      </c>
      <c r="B12698" s="13" t="s">
        <v>12266</v>
      </c>
      <c r="C12698" s="14" t="s">
        <v>12361</v>
      </c>
      <c r="D12698" s="1"/>
      <c r="E12698" s="1"/>
      <c r="F12698" s="1" t="str">
        <f>IFERROR(__xludf.DUMMYFUNCTION("GOOGLETRANSLATE(B12698, ""en"", ""fa"")
"),"سبک زندگی عشایری دیجیتال")</f>
        <v>سبک زندگی عشایری دیجیتال</v>
      </c>
      <c r="G12698" s="1" t="str">
        <f>IFERROR(__xludf.DUMMYFUNCTION("GOOGLETRANSLATE(C12698, ""en"", ""fa"")
"),"آیا می توانید منابعی را برای آشنایی و رعایت آداب فرهنگی کشورهای مختلف پیشنهاد کنید؟")</f>
        <v>آیا می توانید منابعی را برای آشنایی و رعایت آداب فرهنگی کشورهای مختلف پیشنهاد کنید؟</v>
      </c>
      <c r="H12698" s="1"/>
      <c r="I12698" s="1"/>
      <c r="J12698" s="1"/>
      <c r="K12698" s="1"/>
      <c r="L12698" s="1"/>
      <c r="M12698" s="1"/>
      <c r="N12698" s="1"/>
      <c r="O12698" s="1"/>
      <c r="P12698" s="1"/>
      <c r="Q12698" s="1"/>
      <c r="R12698" s="1"/>
      <c r="S12698" s="1"/>
      <c r="T12698" s="1"/>
      <c r="U12698" s="1"/>
      <c r="V12698" s="1"/>
      <c r="W12698" s="1"/>
      <c r="X12698" s="1"/>
      <c r="Y12698" s="1"/>
      <c r="Z12698" s="1"/>
      <c r="AA12698" s="1"/>
      <c r="AB12698" s="1"/>
    </row>
    <row r="12699" ht="50.25" customHeight="1">
      <c r="A12699" s="12">
        <v>12695.0</v>
      </c>
      <c r="B12699" s="13" t="s">
        <v>12266</v>
      </c>
      <c r="C12699" s="14" t="s">
        <v>12362</v>
      </c>
      <c r="D12699" s="1"/>
      <c r="E12699" s="1"/>
      <c r="F12699" s="1" t="str">
        <f>IFERROR(__xludf.DUMMYFUNCTION("GOOGLETRANSLATE(B12699, ""en"", ""fa"")
"),"سبک زندگی عشایری دیجیتال")</f>
        <v>سبک زندگی عشایری دیجیتال</v>
      </c>
      <c r="G12699" s="1" t="str">
        <f>IFERROR(__xludf.DUMMYFUNCTION("GOOGLETRANSLATE(C12699, ""en"", ""fa"")
"),"چگونه می توانم رژیم غذایی سالم و متعادلی داشته باشم در حالی که غذاهای متنوع را در کشورهای مختلف تجربه می کنم؟")</f>
        <v>چگونه می توانم رژیم غذایی سالم و متعادلی داشته باشم در حالی که غذاهای متنوع را در کشورهای مختلف تجربه می کنم؟</v>
      </c>
      <c r="H12699" s="1"/>
      <c r="I12699" s="1"/>
      <c r="J12699" s="1"/>
      <c r="K12699" s="1"/>
      <c r="L12699" s="1"/>
      <c r="M12699" s="1"/>
      <c r="N12699" s="1"/>
      <c r="O12699" s="1"/>
      <c r="P12699" s="1"/>
      <c r="Q12699" s="1"/>
      <c r="R12699" s="1"/>
      <c r="S12699" s="1"/>
      <c r="T12699" s="1"/>
      <c r="U12699" s="1"/>
      <c r="V12699" s="1"/>
      <c r="W12699" s="1"/>
      <c r="X12699" s="1"/>
      <c r="Y12699" s="1"/>
      <c r="Z12699" s="1"/>
      <c r="AA12699" s="1"/>
      <c r="AB12699" s="1"/>
    </row>
    <row r="12700" ht="50.25" customHeight="1">
      <c r="A12700" s="12">
        <v>12696.0</v>
      </c>
      <c r="B12700" s="13" t="s">
        <v>12266</v>
      </c>
      <c r="C12700" s="14" t="s">
        <v>12363</v>
      </c>
      <c r="D12700" s="1"/>
      <c r="E12700" s="1"/>
      <c r="F12700" s="1" t="str">
        <f>IFERROR(__xludf.DUMMYFUNCTION("GOOGLETRANSLATE(B12700, ""en"", ""fa"")
"),"سبک زندگی عشایری دیجیتال")</f>
        <v>سبک زندگی عشایری دیجیتال</v>
      </c>
      <c r="G12700" s="1" t="str">
        <f>IFERROR(__xludf.DUMMYFUNCTION("GOOGLETRANSLATE(C12700, ""en"", ""fa"")
"),"راهبردهای برتر برای کاهش اثرات زیست محیطی و پذیرش سبک زندگی عشایر دیجیتالی پایدار چیست؟")</f>
        <v>راهبردهای برتر برای کاهش اثرات زیست محیطی و پذیرش سبک زندگی عشایر دیجیتالی پایدار چیست؟</v>
      </c>
      <c r="H12700" s="1"/>
      <c r="I12700" s="1"/>
      <c r="J12700" s="1"/>
      <c r="K12700" s="1"/>
      <c r="L12700" s="1"/>
      <c r="M12700" s="1"/>
      <c r="N12700" s="1"/>
      <c r="O12700" s="1"/>
      <c r="P12700" s="1"/>
      <c r="Q12700" s="1"/>
      <c r="R12700" s="1"/>
      <c r="S12700" s="1"/>
      <c r="T12700" s="1"/>
      <c r="U12700" s="1"/>
      <c r="V12700" s="1"/>
      <c r="W12700" s="1"/>
      <c r="X12700" s="1"/>
      <c r="Y12700" s="1"/>
      <c r="Z12700" s="1"/>
      <c r="AA12700" s="1"/>
      <c r="AB12700" s="1"/>
    </row>
    <row r="12701" ht="50.25" customHeight="1">
      <c r="A12701" s="12">
        <v>12697.0</v>
      </c>
      <c r="B12701" s="13" t="s">
        <v>12266</v>
      </c>
      <c r="C12701" s="14" t="s">
        <v>12364</v>
      </c>
      <c r="D12701" s="1"/>
      <c r="E12701" s="1"/>
      <c r="F12701" s="1" t="str">
        <f>IFERROR(__xludf.DUMMYFUNCTION("GOOGLETRANSLATE(B12701, ""en"", ""fa"")
"),"سبک زندگی عشایری دیجیتال")</f>
        <v>سبک زندگی عشایری دیجیتال</v>
      </c>
      <c r="G12701" s="1" t="str">
        <f>IFERROR(__xludf.DUMMYFUNCTION("GOOGLETRANSLATE(C12701, ""en"", ""fa"")
"),"چگونه می توانم با چالش های زندگی عشایری کنار بیایم و در مواجهه با عدم قطعیت ها تاب آوری را پرورش دهم؟")</f>
        <v>چگونه می توانم با چالش های زندگی عشایری کنار بیایم و در مواجهه با عدم قطعیت ها تاب آوری را پرورش دهم؟</v>
      </c>
      <c r="H12701" s="1"/>
      <c r="I12701" s="1"/>
      <c r="J12701" s="1"/>
      <c r="K12701" s="1"/>
      <c r="L12701" s="1"/>
      <c r="M12701" s="1"/>
      <c r="N12701" s="1"/>
      <c r="O12701" s="1"/>
      <c r="P12701" s="1"/>
      <c r="Q12701" s="1"/>
      <c r="R12701" s="1"/>
      <c r="S12701" s="1"/>
      <c r="T12701" s="1"/>
      <c r="U12701" s="1"/>
      <c r="V12701" s="1"/>
      <c r="W12701" s="1"/>
      <c r="X12701" s="1"/>
      <c r="Y12701" s="1"/>
      <c r="Z12701" s="1"/>
      <c r="AA12701" s="1"/>
      <c r="AB12701" s="1"/>
    </row>
    <row r="12702" ht="50.25" customHeight="1">
      <c r="A12702" s="12">
        <v>12698.0</v>
      </c>
      <c r="B12702" s="13" t="s">
        <v>12266</v>
      </c>
      <c r="C12702" s="14" t="s">
        <v>12365</v>
      </c>
      <c r="D12702" s="1"/>
      <c r="E12702" s="1"/>
      <c r="F12702" s="1" t="str">
        <f>IFERROR(__xludf.DUMMYFUNCTION("GOOGLETRANSLATE(B12702, ""en"", ""fa"")
"),"سبک زندگی عشایری دیجیتال")</f>
        <v>سبک زندگی عشایری دیجیتال</v>
      </c>
      <c r="G12702" s="1" t="str">
        <f>IFERROR(__xludf.DUMMYFUNCTION("GOOGLETRANSLATE(C12702, ""en"", ""fa"")
"),"بهترین برنامه‌ها برای سازماندهی و رزرو ترتیبات سفر برای یک تجربه عشایری یکپارچه چیست؟")</f>
        <v>بهترین برنامه‌ها برای سازماندهی و رزرو ترتیبات سفر برای یک تجربه عشایری یکپارچه چیست؟</v>
      </c>
      <c r="H12702" s="1"/>
      <c r="I12702" s="1"/>
      <c r="J12702" s="1"/>
      <c r="K12702" s="1"/>
      <c r="L12702" s="1"/>
      <c r="M12702" s="1"/>
      <c r="N12702" s="1"/>
      <c r="O12702" s="1"/>
      <c r="P12702" s="1"/>
      <c r="Q12702" s="1"/>
      <c r="R12702" s="1"/>
      <c r="S12702" s="1"/>
      <c r="T12702" s="1"/>
      <c r="U12702" s="1"/>
      <c r="V12702" s="1"/>
      <c r="W12702" s="1"/>
      <c r="X12702" s="1"/>
      <c r="Y12702" s="1"/>
      <c r="Z12702" s="1"/>
      <c r="AA12702" s="1"/>
      <c r="AB12702" s="1"/>
    </row>
    <row r="12703" ht="50.25" customHeight="1">
      <c r="A12703" s="12">
        <v>12699.0</v>
      </c>
      <c r="B12703" s="13" t="s">
        <v>12266</v>
      </c>
      <c r="C12703" s="14" t="s">
        <v>12366</v>
      </c>
      <c r="D12703" s="1"/>
      <c r="E12703" s="1"/>
      <c r="F12703" s="1" t="str">
        <f>IFERROR(__xludf.DUMMYFUNCTION("GOOGLETRANSLATE(B12703, ""en"", ""fa"")
"),"سبک زندگی عشایری دیجیتال")</f>
        <v>سبک زندگی عشایری دیجیتال</v>
      </c>
      <c r="G12703" s="1" t="str">
        <f>IFERROR(__xludf.DUMMYFUNCTION("GOOGLETRANSLATE(C12703, ""en"", ""fa"")
"),"آیا می توانید ابزارهایی را برای پیگیری هزینه ها و حفظ بودجه در حین زندگی عشایری توصیه کنید؟")</f>
        <v>آیا می توانید ابزارهایی را برای پیگیری هزینه ها و حفظ بودجه در حین زندگی عشایری توصیه کنید؟</v>
      </c>
      <c r="H12703" s="1"/>
      <c r="I12703" s="1"/>
      <c r="J12703" s="1"/>
      <c r="K12703" s="1"/>
      <c r="L12703" s="1"/>
      <c r="M12703" s="1"/>
      <c r="N12703" s="1"/>
      <c r="O12703" s="1"/>
      <c r="P12703" s="1"/>
      <c r="Q12703" s="1"/>
      <c r="R12703" s="1"/>
      <c r="S12703" s="1"/>
      <c r="T12703" s="1"/>
      <c r="U12703" s="1"/>
      <c r="V12703" s="1"/>
      <c r="W12703" s="1"/>
      <c r="X12703" s="1"/>
      <c r="Y12703" s="1"/>
      <c r="Z12703" s="1"/>
      <c r="AA12703" s="1"/>
      <c r="AB12703" s="1"/>
    </row>
    <row r="12704" ht="50.25" customHeight="1">
      <c r="A12704" s="12">
        <v>12700.0</v>
      </c>
      <c r="B12704" s="13" t="s">
        <v>12266</v>
      </c>
      <c r="C12704" s="14" t="s">
        <v>12367</v>
      </c>
      <c r="D12704" s="1"/>
      <c r="E12704" s="1"/>
      <c r="F12704" s="1" t="str">
        <f>IFERROR(__xludf.DUMMYFUNCTION("GOOGLETRANSLATE(B12704, ""en"", ""fa"")
"),"سبک زندگی عشایری دیجیتال")</f>
        <v>سبک زندگی عشایری دیجیتال</v>
      </c>
      <c r="G12704" s="1" t="str">
        <f>IFERROR(__xludf.DUMMYFUNCTION("GOOGLETRANSLATE(C12704, ""en"", ""fa"")
"),"چگونه می توانم به طور موثر با مشتریان ارتباط برقرار کنم و تصویر حرفه ای را در حین حرکت حفظ کنم؟")</f>
        <v>چگونه می توانم به طور موثر با مشتریان ارتباط برقرار کنم و تصویر حرفه ای را در حین حرکت حفظ کنم؟</v>
      </c>
      <c r="H12704" s="1"/>
      <c r="I12704" s="1"/>
      <c r="J12704" s="1"/>
      <c r="K12704" s="1"/>
      <c r="L12704" s="1"/>
      <c r="M12704" s="1"/>
      <c r="N12704" s="1"/>
      <c r="O12704" s="1"/>
      <c r="P12704" s="1"/>
      <c r="Q12704" s="1"/>
      <c r="R12704" s="1"/>
      <c r="S12704" s="1"/>
      <c r="T12704" s="1"/>
      <c r="U12704" s="1"/>
      <c r="V12704" s="1"/>
      <c r="W12704" s="1"/>
      <c r="X12704" s="1"/>
      <c r="Y12704" s="1"/>
      <c r="Z12704" s="1"/>
      <c r="AA12704" s="1"/>
      <c r="AB12704" s="1"/>
    </row>
    <row r="12705" ht="50.25" customHeight="1">
      <c r="A12705" s="12">
        <v>12701.0</v>
      </c>
      <c r="B12705" s="13" t="s">
        <v>12266</v>
      </c>
      <c r="C12705" s="14" t="s">
        <v>12368</v>
      </c>
      <c r="D12705" s="1"/>
      <c r="E12705" s="1"/>
      <c r="F12705" s="1" t="str">
        <f>IFERROR(__xludf.DUMMYFUNCTION("GOOGLETRANSLATE(B12705, ""en"", ""fa"")
"),"سبک زندگی عشایری دیجیتال")</f>
        <v>سبک زندگی عشایری دیجیتال</v>
      </c>
      <c r="G12705" s="1" t="str">
        <f>IFERROR(__xludf.DUMMYFUNCTION("GOOGLETRANSLATE(C12705, ""en"", ""fa"")
"),"استراتژی های برتر برای پرورش حضور آنلاین مثبت و برند شخصی به عنوان یک عشایر دیجیتال چیست؟")</f>
        <v>استراتژی های برتر برای پرورش حضور آنلاین مثبت و برند شخصی به عنوان یک عشایر دیجیتال چیست؟</v>
      </c>
      <c r="H12705" s="1"/>
      <c r="I12705" s="1"/>
      <c r="J12705" s="1"/>
      <c r="K12705" s="1"/>
      <c r="L12705" s="1"/>
      <c r="M12705" s="1"/>
      <c r="N12705" s="1"/>
      <c r="O12705" s="1"/>
      <c r="P12705" s="1"/>
      <c r="Q12705" s="1"/>
      <c r="R12705" s="1"/>
      <c r="S12705" s="1"/>
      <c r="T12705" s="1"/>
      <c r="U12705" s="1"/>
      <c r="V12705" s="1"/>
      <c r="W12705" s="1"/>
      <c r="X12705" s="1"/>
      <c r="Y12705" s="1"/>
      <c r="Z12705" s="1"/>
      <c r="AA12705" s="1"/>
      <c r="AB12705" s="1"/>
    </row>
    <row r="12706" ht="50.25" customHeight="1">
      <c r="A12706" s="12">
        <v>12702.0</v>
      </c>
      <c r="B12706" s="13" t="s">
        <v>12266</v>
      </c>
      <c r="C12706" s="14" t="s">
        <v>12369</v>
      </c>
      <c r="D12706" s="1"/>
      <c r="E12706" s="1"/>
      <c r="F12706" s="1" t="str">
        <f>IFERROR(__xludf.DUMMYFUNCTION("GOOGLETRANSLATE(B12706, ""en"", ""fa"")
"),"سبک زندگی عشایری دیجیتال")</f>
        <v>سبک زندگی عشایری دیجیتال</v>
      </c>
      <c r="G12706" s="1" t="str">
        <f>IFERROR(__xludf.DUMMYFUNCTION("GOOGLETRANSLATE(C12706, ""en"", ""fa"")
"),"چگونه می‌توانم رویدادها یا کارگاه‌های محلی را پیدا کنم و به آن‌ها بپیوندم که با علایق من در هنگام سفر به عنوان یک عشایر هماهنگ هستند؟")</f>
        <v>چگونه می‌توانم رویدادها یا کارگاه‌های محلی را پیدا کنم و به آن‌ها بپیوندم که با علایق من در هنگام سفر به عنوان یک عشایر هماهنگ هستند؟</v>
      </c>
      <c r="H12706" s="1"/>
      <c r="I12706" s="1"/>
      <c r="J12706" s="1"/>
      <c r="K12706" s="1"/>
      <c r="L12706" s="1"/>
      <c r="M12706" s="1"/>
      <c r="N12706" s="1"/>
      <c r="O12706" s="1"/>
      <c r="P12706" s="1"/>
      <c r="Q12706" s="1"/>
      <c r="R12706" s="1"/>
      <c r="S12706" s="1"/>
      <c r="T12706" s="1"/>
      <c r="U12706" s="1"/>
      <c r="V12706" s="1"/>
      <c r="W12706" s="1"/>
      <c r="X12706" s="1"/>
      <c r="Y12706" s="1"/>
      <c r="Z12706" s="1"/>
      <c r="AA12706" s="1"/>
      <c r="AB12706" s="1"/>
    </row>
    <row r="12707" ht="50.25" customHeight="1">
      <c r="A12707" s="12">
        <v>12703.0</v>
      </c>
      <c r="B12707" s="13" t="s">
        <v>12266</v>
      </c>
      <c r="C12707" s="14" t="s">
        <v>12370</v>
      </c>
      <c r="D12707" s="1"/>
      <c r="E12707" s="1"/>
      <c r="F12707" s="1" t="str">
        <f>IFERROR(__xludf.DUMMYFUNCTION("GOOGLETRANSLATE(B12707, ""en"", ""fa"")
"),"سبک زندگی عشایری دیجیتال")</f>
        <v>سبک زندگی عشایری دیجیتال</v>
      </c>
      <c r="G12707" s="1" t="str">
        <f>IFERROR(__xludf.DUMMYFUNCTION("GOOGLETRANSLATE(C12707, ""en"", ""fa"")
"),"بهترین تکنیک ها برای افزایش تمرکز و بهره وری در حین کار در محیط های متنوع چیست؟")</f>
        <v>بهترین تکنیک ها برای افزایش تمرکز و بهره وری در حین کار در محیط های متنوع چیست؟</v>
      </c>
      <c r="H12707" s="1"/>
      <c r="I12707" s="1"/>
      <c r="J12707" s="1"/>
      <c r="K12707" s="1"/>
      <c r="L12707" s="1"/>
      <c r="M12707" s="1"/>
      <c r="N12707" s="1"/>
      <c r="O12707" s="1"/>
      <c r="P12707" s="1"/>
      <c r="Q12707" s="1"/>
      <c r="R12707" s="1"/>
      <c r="S12707" s="1"/>
      <c r="T12707" s="1"/>
      <c r="U12707" s="1"/>
      <c r="V12707" s="1"/>
      <c r="W12707" s="1"/>
      <c r="X12707" s="1"/>
      <c r="Y12707" s="1"/>
      <c r="Z12707" s="1"/>
      <c r="AA12707" s="1"/>
      <c r="AB12707" s="1"/>
    </row>
    <row r="12708" ht="50.25" customHeight="1">
      <c r="A12708" s="12">
        <v>12704.0</v>
      </c>
      <c r="B12708" s="13" t="s">
        <v>12266</v>
      </c>
      <c r="C12708" s="14" t="s">
        <v>12371</v>
      </c>
      <c r="D12708" s="1"/>
      <c r="E12708" s="1"/>
      <c r="F12708" s="1" t="str">
        <f>IFERROR(__xludf.DUMMYFUNCTION("GOOGLETRANSLATE(B12708, ""en"", ""fa"")
"),"سبک زندگی عشایری دیجیتال")</f>
        <v>سبک زندگی عشایری دیجیتال</v>
      </c>
      <c r="G12708" s="1" t="str">
        <f>IFERROR(__xludf.DUMMYFUNCTION("GOOGLETRANSLATE(C12708, ""en"", ""fa"")
"),"آیا می‌توانید راهکارهایی برای حفظ تعادل کار و زندگی سالم و اجتناب از فرسودگی شغلی به عنوان یک عشایر دیجیتال پیشنهاد دهید؟")</f>
        <v>آیا می‌توانید راهکارهایی برای حفظ تعادل کار و زندگی سالم و اجتناب از فرسودگی شغلی به عنوان یک عشایر دیجیتال پیشنهاد دهید؟</v>
      </c>
      <c r="H12708" s="1"/>
      <c r="I12708" s="1"/>
      <c r="J12708" s="1"/>
      <c r="K12708" s="1"/>
      <c r="L12708" s="1"/>
      <c r="M12708" s="1"/>
      <c r="N12708" s="1"/>
      <c r="O12708" s="1"/>
      <c r="P12708" s="1"/>
      <c r="Q12708" s="1"/>
      <c r="R12708" s="1"/>
      <c r="S12708" s="1"/>
      <c r="T12708" s="1"/>
      <c r="U12708" s="1"/>
      <c r="V12708" s="1"/>
      <c r="W12708" s="1"/>
      <c r="X12708" s="1"/>
      <c r="Y12708" s="1"/>
      <c r="Z12708" s="1"/>
      <c r="AA12708" s="1"/>
      <c r="AB12708" s="1"/>
    </row>
    <row r="12709" ht="50.25" customHeight="1">
      <c r="A12709" s="12">
        <v>12705.0</v>
      </c>
      <c r="B12709" s="13" t="s">
        <v>12266</v>
      </c>
      <c r="C12709" s="14" t="s">
        <v>12372</v>
      </c>
      <c r="D12709" s="1"/>
      <c r="E12709" s="1"/>
      <c r="F12709" s="1" t="str">
        <f>IFERROR(__xludf.DUMMYFUNCTION("GOOGLETRANSLATE(B12709, ""en"", ""fa"")
"),"سبک زندگی عشایری دیجیتال")</f>
        <v>سبک زندگی عشایری دیجیتال</v>
      </c>
      <c r="G12709" s="1" t="str">
        <f>IFERROR(__xludf.DUMMYFUNCTION("GOOGLETRANSLATE(C12709, ""en"", ""fa"")
"),"چگونه می توانم در فرهنگ محلی غرق شوم و از جوامعی که در طول سفر عشایری خود با آنها مواجه می شوم، بیاموزم؟")</f>
        <v>چگونه می توانم در فرهنگ محلی غرق شوم و از جوامعی که در طول سفر عشایری خود با آنها مواجه می شوم، بیاموزم؟</v>
      </c>
      <c r="H12709" s="1"/>
      <c r="I12709" s="1"/>
      <c r="J12709" s="1"/>
      <c r="K12709" s="1"/>
      <c r="L12709" s="1"/>
      <c r="M12709" s="1"/>
      <c r="N12709" s="1"/>
      <c r="O12709" s="1"/>
      <c r="P12709" s="1"/>
      <c r="Q12709" s="1"/>
      <c r="R12709" s="1"/>
      <c r="S12709" s="1"/>
      <c r="T12709" s="1"/>
      <c r="U12709" s="1"/>
      <c r="V12709" s="1"/>
      <c r="W12709" s="1"/>
      <c r="X12709" s="1"/>
      <c r="Y12709" s="1"/>
      <c r="Z12709" s="1"/>
      <c r="AA12709" s="1"/>
      <c r="AB12709" s="1"/>
    </row>
    <row r="12710" ht="50.25" customHeight="1">
      <c r="A12710" s="12">
        <v>12706.0</v>
      </c>
      <c r="B12710" s="13" t="s">
        <v>12266</v>
      </c>
      <c r="C12710" s="14" t="s">
        <v>12373</v>
      </c>
      <c r="D12710" s="1"/>
      <c r="E12710" s="1"/>
      <c r="F12710" s="1" t="str">
        <f>IFERROR(__xludf.DUMMYFUNCTION("GOOGLETRANSLATE(B12710, ""en"", ""fa"")
"),"سبک زندگی عشایری دیجیتال")</f>
        <v>سبک زندگی عشایری دیجیتال</v>
      </c>
      <c r="G12710" s="1" t="str">
        <f>IFERROR(__xludf.DUMMYFUNCTION("GOOGLETRANSLATE(C12710, ""en"", ""fa"")
"),"بهترین منابع برای دسترسی به فرصت های یادگیری از راه دور و گسترش مجموعه مهارت های من در حین کوچ نشینی چیست؟")</f>
        <v>بهترین منابع برای دسترسی به فرصت های یادگیری از راه دور و گسترش مجموعه مهارت های من در حین کوچ نشینی چیست؟</v>
      </c>
      <c r="H12710" s="1"/>
      <c r="I12710" s="1"/>
      <c r="J12710" s="1"/>
      <c r="K12710" s="1"/>
      <c r="L12710" s="1"/>
      <c r="M12710" s="1"/>
      <c r="N12710" s="1"/>
      <c r="O12710" s="1"/>
      <c r="P12710" s="1"/>
      <c r="Q12710" s="1"/>
      <c r="R12710" s="1"/>
      <c r="S12710" s="1"/>
      <c r="T12710" s="1"/>
      <c r="U12710" s="1"/>
      <c r="V12710" s="1"/>
      <c r="W12710" s="1"/>
      <c r="X12710" s="1"/>
      <c r="Y12710" s="1"/>
      <c r="Z12710" s="1"/>
      <c r="AA12710" s="1"/>
      <c r="AB12710" s="1"/>
    </row>
    <row r="12711" ht="50.25" customHeight="1">
      <c r="A12711" s="12">
        <v>12707.0</v>
      </c>
      <c r="B12711" s="13" t="s">
        <v>12266</v>
      </c>
      <c r="C12711" s="14" t="s">
        <v>12374</v>
      </c>
      <c r="D12711" s="1"/>
      <c r="E12711" s="1"/>
      <c r="F12711" s="1" t="str">
        <f>IFERROR(__xludf.DUMMYFUNCTION("GOOGLETRANSLATE(B12711, ""en"", ""fa"")
"),"سبک زندگی عشایری دیجیتال")</f>
        <v>سبک زندگی عشایری دیجیتال</v>
      </c>
      <c r="G12711" s="1" t="str">
        <f>IFERROR(__xludf.DUMMYFUNCTION("GOOGLETRANSLATE(C12711, ""en"", ""fa"")
"),"چگونه می توانم در مورد توصیه های سفر و اقدامات ایمنی برای هر مقصد به عنوان یک عشایر دیجیتال به روز بمانم؟")</f>
        <v>چگونه می توانم در مورد توصیه های سفر و اقدامات ایمنی برای هر مقصد به عنوان یک عشایر دیجیتال به روز بمانم؟</v>
      </c>
      <c r="H12711" s="1"/>
      <c r="I12711" s="1"/>
      <c r="J12711" s="1"/>
      <c r="K12711" s="1"/>
      <c r="L12711" s="1"/>
      <c r="M12711" s="1"/>
      <c r="N12711" s="1"/>
      <c r="O12711" s="1"/>
      <c r="P12711" s="1"/>
      <c r="Q12711" s="1"/>
      <c r="R12711" s="1"/>
      <c r="S12711" s="1"/>
      <c r="T12711" s="1"/>
      <c r="U12711" s="1"/>
      <c r="V12711" s="1"/>
      <c r="W12711" s="1"/>
      <c r="X12711" s="1"/>
      <c r="Y12711" s="1"/>
      <c r="Z12711" s="1"/>
      <c r="AA12711" s="1"/>
      <c r="AB12711" s="1"/>
    </row>
    <row r="12712" ht="50.25" customHeight="1">
      <c r="A12712" s="12">
        <v>12708.0</v>
      </c>
      <c r="B12712" s="13" t="s">
        <v>12266</v>
      </c>
      <c r="C12712" s="14" t="s">
        <v>12375</v>
      </c>
      <c r="D12712" s="1"/>
      <c r="E12712" s="1"/>
      <c r="F12712" s="1" t="str">
        <f>IFERROR(__xludf.DUMMYFUNCTION("GOOGLETRANSLATE(B12712, ""en"", ""fa"")
"),"سبک زندگی عشایری دیجیتال")</f>
        <v>سبک زندگی عشایری دیجیتال</v>
      </c>
      <c r="G12712" s="1" t="str">
        <f>IFERROR(__xludf.DUMMYFUNCTION("GOOGLETRANSLATE(C12712, ""en"", ""fa"")
"),"بهترین شیوه ها برای تمرین خودمراقبتی و مدیریت بهزیستی روانی در هنگام سفر چیست؟")</f>
        <v>بهترین شیوه ها برای تمرین خودمراقبتی و مدیریت بهزیستی روانی در هنگام سفر چیست؟</v>
      </c>
      <c r="H12712" s="1"/>
      <c r="I12712" s="1"/>
      <c r="J12712" s="1"/>
      <c r="K12712" s="1"/>
      <c r="L12712" s="1"/>
      <c r="M12712" s="1"/>
      <c r="N12712" s="1"/>
      <c r="O12712" s="1"/>
      <c r="P12712" s="1"/>
      <c r="Q12712" s="1"/>
      <c r="R12712" s="1"/>
      <c r="S12712" s="1"/>
      <c r="T12712" s="1"/>
      <c r="U12712" s="1"/>
      <c r="V12712" s="1"/>
      <c r="W12712" s="1"/>
      <c r="X12712" s="1"/>
      <c r="Y12712" s="1"/>
      <c r="Z12712" s="1"/>
      <c r="AA12712" s="1"/>
      <c r="AB12712" s="1"/>
    </row>
    <row r="12713" ht="50.25" customHeight="1">
      <c r="A12713" s="12">
        <v>12709.0</v>
      </c>
      <c r="B12713" s="13" t="s">
        <v>12266</v>
      </c>
      <c r="C12713" s="14" t="s">
        <v>12376</v>
      </c>
      <c r="D12713" s="1"/>
      <c r="E12713" s="1"/>
      <c r="F12713" s="1" t="str">
        <f>IFERROR(__xludf.DUMMYFUNCTION("GOOGLETRANSLATE(B12713, ""en"", ""fa"")
"),"سبک زندگی عشایری دیجیتال")</f>
        <v>سبک زندگی عشایری دیجیتال</v>
      </c>
      <c r="G12713" s="1" t="str">
        <f>IFERROR(__xludf.DUMMYFUNCTION("GOOGLETRANSLATE(C12713, ""en"", ""fa"")
"),"آیا می توانید ابزارهایی را برای همکاری و برقراری ارتباط موثر با تیم های راه دور در حین عشایر توصیه کنید؟")</f>
        <v>آیا می توانید ابزارهایی را برای همکاری و برقراری ارتباط موثر با تیم های راه دور در حین عشایر توصیه کنید؟</v>
      </c>
      <c r="H12713" s="1"/>
      <c r="I12713" s="1"/>
      <c r="J12713" s="1"/>
      <c r="K12713" s="1"/>
      <c r="L12713" s="1"/>
      <c r="M12713" s="1"/>
      <c r="N12713" s="1"/>
      <c r="O12713" s="1"/>
      <c r="P12713" s="1"/>
      <c r="Q12713" s="1"/>
      <c r="R12713" s="1"/>
      <c r="S12713" s="1"/>
      <c r="T12713" s="1"/>
      <c r="U12713" s="1"/>
      <c r="V12713" s="1"/>
      <c r="W12713" s="1"/>
      <c r="X12713" s="1"/>
      <c r="Y12713" s="1"/>
      <c r="Z12713" s="1"/>
      <c r="AA12713" s="1"/>
      <c r="AB12713" s="1"/>
    </row>
    <row r="12714" ht="50.25" customHeight="1">
      <c r="A12714" s="12">
        <v>12710.0</v>
      </c>
      <c r="B12714" s="13" t="s">
        <v>12266</v>
      </c>
      <c r="C12714" s="14" t="s">
        <v>12377</v>
      </c>
      <c r="D12714" s="1"/>
      <c r="E12714" s="1"/>
      <c r="F12714" s="1" t="str">
        <f>IFERROR(__xludf.DUMMYFUNCTION("GOOGLETRANSLATE(B12714, ""en"", ""fa"")
"),"سبک زندگی عشایری دیجیتال")</f>
        <v>سبک زندگی عشایری دیجیتال</v>
      </c>
      <c r="G12714" s="1" t="str">
        <f>IFERROR(__xludf.DUMMYFUNCTION("GOOGLETRANSLATE(C12714, ""en"", ""fa"")
"),"چگونه می‌توانم جوامع هم‌زندگی عشایر دیجیتالی را پیدا کنم و به آنها بپیوندم که راهنمایی و پشتیبانی ارائه می‌دهند؟")</f>
        <v>چگونه می‌توانم جوامع هم‌زندگی عشایر دیجیتالی را پیدا کنم و به آنها بپیوندم که راهنمایی و پشتیبانی ارائه می‌دهند؟</v>
      </c>
      <c r="H12714" s="1"/>
      <c r="I12714" s="1"/>
      <c r="J12714" s="1"/>
      <c r="K12714" s="1"/>
      <c r="L12714" s="1"/>
      <c r="M12714" s="1"/>
      <c r="N12714" s="1"/>
      <c r="O12714" s="1"/>
      <c r="P12714" s="1"/>
      <c r="Q12714" s="1"/>
      <c r="R12714" s="1"/>
      <c r="S12714" s="1"/>
      <c r="T12714" s="1"/>
      <c r="U12714" s="1"/>
      <c r="V12714" s="1"/>
      <c r="W12714" s="1"/>
      <c r="X12714" s="1"/>
      <c r="Y12714" s="1"/>
      <c r="Z12714" s="1"/>
      <c r="AA12714" s="1"/>
      <c r="AB12714" s="1"/>
    </row>
    <row r="12715" ht="50.25" customHeight="1">
      <c r="A12715" s="12">
        <v>12711.0</v>
      </c>
      <c r="B12715" s="13" t="s">
        <v>12266</v>
      </c>
      <c r="C12715" s="14" t="s">
        <v>12378</v>
      </c>
      <c r="D12715" s="1"/>
      <c r="E12715" s="1"/>
      <c r="F12715" s="1" t="str">
        <f>IFERROR(__xludf.DUMMYFUNCTION("GOOGLETRANSLATE(B12715, ""en"", ""fa"")
"),"سبک زندگی عشایری دیجیتال")</f>
        <v>سبک زندگی عشایری دیجیتال</v>
      </c>
      <c r="G12715" s="1" t="str">
        <f>IFERROR(__xludf.DUMMYFUNCTION("GOOGLETRANSLATE(C12715, ""en"", ""fa"")
"),"برنامه ها و منابع ضروری برای یادگیری اصول اولیه زبان های محلی در کشورهای مختلف چیست؟")</f>
        <v>برنامه ها و منابع ضروری برای یادگیری اصول اولیه زبان های محلی در کشورهای مختلف چیست؟</v>
      </c>
      <c r="H12715" s="1"/>
      <c r="I12715" s="1"/>
      <c r="J12715" s="1"/>
      <c r="K12715" s="1"/>
      <c r="L12715" s="1"/>
      <c r="M12715" s="1"/>
      <c r="N12715" s="1"/>
      <c r="O12715" s="1"/>
      <c r="P12715" s="1"/>
      <c r="Q12715" s="1"/>
      <c r="R12715" s="1"/>
      <c r="S12715" s="1"/>
      <c r="T12715" s="1"/>
      <c r="U12715" s="1"/>
      <c r="V12715" s="1"/>
      <c r="W12715" s="1"/>
      <c r="X12715" s="1"/>
      <c r="Y12715" s="1"/>
      <c r="Z12715" s="1"/>
      <c r="AA12715" s="1"/>
      <c r="AB12715" s="1"/>
    </row>
    <row r="12716" ht="50.25" customHeight="1">
      <c r="A12716" s="12">
        <v>12712.0</v>
      </c>
      <c r="B12716" s="13" t="s">
        <v>12266</v>
      </c>
      <c r="C12716" s="14" t="s">
        <v>12379</v>
      </c>
      <c r="D12716" s="1"/>
      <c r="E12716" s="1"/>
      <c r="F12716" s="1" t="str">
        <f>IFERROR(__xludf.DUMMYFUNCTION("GOOGLETRANSLATE(B12716, ""en"", ""fa"")
"),"سبک زندگی عشایری دیجیتال")</f>
        <v>سبک زندگی عشایری دیجیتال</v>
      </c>
      <c r="G12716" s="1" t="str">
        <f>IFERROR(__xludf.DUMMYFUNCTION("GOOGLETRANSLATE(C12716, ""en"", ""fa"")
"),"چگونه هنگام برنامه ریزی سفر عشایری دیجیتال خود، خودانگیختگی و آرامش را در آغوش بگیرم؟")</f>
        <v>چگونه هنگام برنامه ریزی سفر عشایری دیجیتال خود، خودانگیختگی و آرامش را در آغوش بگیرم؟</v>
      </c>
      <c r="H12716" s="1"/>
      <c r="I12716" s="1"/>
      <c r="J12716" s="1"/>
      <c r="K12716" s="1"/>
      <c r="L12716" s="1"/>
      <c r="M12716" s="1"/>
      <c r="N12716" s="1"/>
      <c r="O12716" s="1"/>
      <c r="P12716" s="1"/>
      <c r="Q12716" s="1"/>
      <c r="R12716" s="1"/>
      <c r="S12716" s="1"/>
      <c r="T12716" s="1"/>
      <c r="U12716" s="1"/>
      <c r="V12716" s="1"/>
      <c r="W12716" s="1"/>
      <c r="X12716" s="1"/>
      <c r="Y12716" s="1"/>
      <c r="Z12716" s="1"/>
      <c r="AA12716" s="1"/>
      <c r="AB12716" s="1"/>
    </row>
    <row r="12717" ht="50.25" customHeight="1">
      <c r="A12717" s="12">
        <v>12713.0</v>
      </c>
      <c r="B12717" s="13" t="s">
        <v>12266</v>
      </c>
      <c r="C12717" s="14" t="s">
        <v>12380</v>
      </c>
      <c r="D12717" s="1"/>
      <c r="E12717" s="1"/>
      <c r="F12717" s="1" t="str">
        <f>IFERROR(__xludf.DUMMYFUNCTION("GOOGLETRANSLATE(B12717, ""en"", ""fa"")
"),"سبک زندگی عشایری دیجیتال")</f>
        <v>سبک زندگی عشایری دیجیتال</v>
      </c>
      <c r="G12717" s="1" t="str">
        <f>IFERROR(__xludf.DUMMYFUNCTION("GOOGLETRANSLATE(C12717, ""en"", ""fa"")
"),"راهبردهای برتر برای سازماندهی ماندن و پیگیری مدارک مهم سفر و شناسنامه چیست؟")</f>
        <v>راهبردهای برتر برای سازماندهی ماندن و پیگیری مدارک مهم سفر و شناسنامه چیست؟</v>
      </c>
      <c r="H12717" s="1"/>
      <c r="I12717" s="1"/>
      <c r="J12717" s="1"/>
      <c r="K12717" s="1"/>
      <c r="L12717" s="1"/>
      <c r="M12717" s="1"/>
      <c r="N12717" s="1"/>
      <c r="O12717" s="1"/>
      <c r="P12717" s="1"/>
      <c r="Q12717" s="1"/>
      <c r="R12717" s="1"/>
      <c r="S12717" s="1"/>
      <c r="T12717" s="1"/>
      <c r="U12717" s="1"/>
      <c r="V12717" s="1"/>
      <c r="W12717" s="1"/>
      <c r="X12717" s="1"/>
      <c r="Y12717" s="1"/>
      <c r="Z12717" s="1"/>
      <c r="AA12717" s="1"/>
      <c r="AB12717" s="1"/>
    </row>
    <row r="12718" ht="50.25" customHeight="1">
      <c r="A12718" s="12">
        <v>12714.0</v>
      </c>
      <c r="B12718" s="13" t="s">
        <v>12266</v>
      </c>
      <c r="C12718" s="14" t="s">
        <v>12381</v>
      </c>
      <c r="D12718" s="1"/>
      <c r="E12718" s="1"/>
      <c r="F12718" s="1" t="str">
        <f>IFERROR(__xludf.DUMMYFUNCTION("GOOGLETRANSLATE(B12718, ""en"", ""fa"")
"),"سبک زندگی عشایری دیجیتال")</f>
        <v>سبک زندگی عشایری دیجیتال</v>
      </c>
      <c r="G12718" s="1" t="str">
        <f>IFERROR(__xludf.DUMMYFUNCTION("GOOGLETRANSLATE(C12718, ""en"", ""fa"")
"),"آیا می توانید منابعی را برای یافتن فرصت های داوطلبانه معنادار و کمک به جوامع محلی به عنوان یک کوچ دیجیتال پیشنهاد کنید؟")</f>
        <v>آیا می توانید منابعی را برای یافتن فرصت های داوطلبانه معنادار و کمک به جوامع محلی به عنوان یک کوچ دیجیتال پیشنهاد کنید؟</v>
      </c>
      <c r="H12718" s="1"/>
      <c r="I12718" s="1"/>
      <c r="J12718" s="1"/>
      <c r="K12718" s="1"/>
      <c r="L12718" s="1"/>
      <c r="M12718" s="1"/>
      <c r="N12718" s="1"/>
      <c r="O12718" s="1"/>
      <c r="P12718" s="1"/>
      <c r="Q12718" s="1"/>
      <c r="R12718" s="1"/>
      <c r="S12718" s="1"/>
      <c r="T12718" s="1"/>
      <c r="U12718" s="1"/>
      <c r="V12718" s="1"/>
      <c r="W12718" s="1"/>
      <c r="X12718" s="1"/>
      <c r="Y12718" s="1"/>
      <c r="Z12718" s="1"/>
      <c r="AA12718" s="1"/>
      <c r="AB12718" s="1"/>
    </row>
    <row r="12719" ht="50.25" customHeight="1">
      <c r="A12719" s="12">
        <v>12715.0</v>
      </c>
      <c r="B12719" s="13" t="s">
        <v>12266</v>
      </c>
      <c r="C12719" s="14" t="s">
        <v>12382</v>
      </c>
      <c r="D12719" s="1"/>
      <c r="E12719" s="1"/>
      <c r="F12719" s="1" t="str">
        <f>IFERROR(__xludf.DUMMYFUNCTION("GOOGLETRANSLATE(B12719, ""en"", ""fa"")
"),"سبک زندگی عشایری دیجیتال")</f>
        <v>سبک زندگی عشایری دیجیتال</v>
      </c>
      <c r="G12719" s="1" t="str">
        <f>IFERROR(__xludf.DUMMYFUNCTION("GOOGLETRANSLATE(C12719, ""en"", ""fa"")
"),"چگونه می توانم بهره وری کار و خلاقیت خود را با ادغام تمرین های ذهن آگاهی و مراقبه در سبک زندگی عشایری خود افزایش دهم؟")</f>
        <v>چگونه می توانم بهره وری کار و خلاقیت خود را با ادغام تمرین های ذهن آگاهی و مراقبه در سبک زندگی عشایری خود افزایش دهم؟</v>
      </c>
      <c r="H12719" s="1"/>
      <c r="I12719" s="1"/>
      <c r="J12719" s="1"/>
      <c r="K12719" s="1"/>
      <c r="L12719" s="1"/>
      <c r="M12719" s="1"/>
      <c r="N12719" s="1"/>
      <c r="O12719" s="1"/>
      <c r="P12719" s="1"/>
      <c r="Q12719" s="1"/>
      <c r="R12719" s="1"/>
      <c r="S12719" s="1"/>
      <c r="T12719" s="1"/>
      <c r="U12719" s="1"/>
      <c r="V12719" s="1"/>
      <c r="W12719" s="1"/>
      <c r="X12719" s="1"/>
      <c r="Y12719" s="1"/>
      <c r="Z12719" s="1"/>
      <c r="AA12719" s="1"/>
      <c r="AB12719" s="1"/>
    </row>
    <row r="12720" ht="50.25" customHeight="1">
      <c r="A12720" s="12">
        <v>12716.0</v>
      </c>
      <c r="B12720" s="13" t="s">
        <v>12266</v>
      </c>
      <c r="C12720" s="14" t="s">
        <v>12383</v>
      </c>
      <c r="D12720" s="1"/>
      <c r="E12720" s="1"/>
      <c r="F12720" s="1" t="str">
        <f>IFERROR(__xludf.DUMMYFUNCTION("GOOGLETRANSLATE(B12720, ""en"", ""fa"")
"),"سبک زندگی عشایری دیجیتال")</f>
        <v>سبک زندگی عشایری دیجیتال</v>
      </c>
      <c r="G12720" s="1" t="str">
        <f>IFERROR(__xludf.DUMMYFUNCTION("GOOGLETRANSLATE(C12720, ""en"", ""fa"")
"),"بهترین راه‌ها برای یافتن و شرکت در رویدادهای فرهنگی محلی، جشنواره‌ها و جشن‌ها در حین کوچ‌نشینی چیست؟")</f>
        <v>بهترین راه‌ها برای یافتن و شرکت در رویدادهای فرهنگی محلی، جشنواره‌ها و جشن‌ها در حین کوچ‌نشینی چیست؟</v>
      </c>
      <c r="H12720" s="1"/>
      <c r="I12720" s="1"/>
      <c r="J12720" s="1"/>
      <c r="K12720" s="1"/>
      <c r="L12720" s="1"/>
      <c r="M12720" s="1"/>
      <c r="N12720" s="1"/>
      <c r="O12720" s="1"/>
      <c r="P12720" s="1"/>
      <c r="Q12720" s="1"/>
      <c r="R12720" s="1"/>
      <c r="S12720" s="1"/>
      <c r="T12720" s="1"/>
      <c r="U12720" s="1"/>
      <c r="V12720" s="1"/>
      <c r="W12720" s="1"/>
      <c r="X12720" s="1"/>
      <c r="Y12720" s="1"/>
      <c r="Z12720" s="1"/>
      <c r="AA12720" s="1"/>
      <c r="AB12720" s="1"/>
    </row>
    <row r="12721" ht="50.25" customHeight="1">
      <c r="A12721" s="12">
        <v>12717.0</v>
      </c>
      <c r="B12721" s="13" t="s">
        <v>12266</v>
      </c>
      <c r="C12721" s="14" t="s">
        <v>12384</v>
      </c>
      <c r="D12721" s="1"/>
      <c r="E12721" s="1"/>
      <c r="F12721" s="1" t="str">
        <f>IFERROR(__xludf.DUMMYFUNCTION("GOOGLETRANSLATE(B12721, ""en"", ""fa"")
"),"سبک زندگی عشایری دیجیتال")</f>
        <v>سبک زندگی عشایری دیجیتال</v>
      </c>
      <c r="G12721" s="1" t="str">
        <f>IFERROR(__xludf.DUMMYFUNCTION("GOOGLETRANSLATE(C12721, ""en"", ""fa"")
"),"چگونه می توانم با چالش های زندگی عشایری کنار بیایم و برای رشد در محیط های مختلف انعطاف پذیری ایجاد کنم؟")</f>
        <v>چگونه می توانم با چالش های زندگی عشایری کنار بیایم و برای رشد در محیط های مختلف انعطاف پذیری ایجاد کنم؟</v>
      </c>
      <c r="H12721" s="1"/>
      <c r="I12721" s="1"/>
      <c r="J12721" s="1"/>
      <c r="K12721" s="1"/>
      <c r="L12721" s="1"/>
      <c r="M12721" s="1"/>
      <c r="N12721" s="1"/>
      <c r="O12721" s="1"/>
      <c r="P12721" s="1"/>
      <c r="Q12721" s="1"/>
      <c r="R12721" s="1"/>
      <c r="S12721" s="1"/>
      <c r="T12721" s="1"/>
      <c r="U12721" s="1"/>
      <c r="V12721" s="1"/>
      <c r="W12721" s="1"/>
      <c r="X12721" s="1"/>
      <c r="Y12721" s="1"/>
      <c r="Z12721" s="1"/>
      <c r="AA12721" s="1"/>
      <c r="AB12721" s="1"/>
    </row>
    <row r="12722" ht="50.25" customHeight="1">
      <c r="A12722" s="12">
        <v>12718.0</v>
      </c>
      <c r="B12722" s="13" t="s">
        <v>12266</v>
      </c>
      <c r="C12722" s="14" t="s">
        <v>12385</v>
      </c>
      <c r="D12722" s="1"/>
      <c r="E12722" s="1"/>
      <c r="F12722" s="1" t="str">
        <f>IFERROR(__xludf.DUMMYFUNCTION("GOOGLETRANSLATE(B12722, ""en"", ""fa"")
"),"سبک زندگی عشایری دیجیتال")</f>
        <v>سبک زندگی عشایری دیجیتال</v>
      </c>
      <c r="G12722" s="1" t="str">
        <f>IFERROR(__xludf.DUMMYFUNCTION("GOOGLETRANSLATE(C12722, ""en"", ""fa"")
"),"راهبردهای برتر برای حفظ حس تعلق و اجتماع در حین حرکت مداوم چیست؟")</f>
        <v>راهبردهای برتر برای حفظ حس تعلق و اجتماع در حین حرکت مداوم چیست؟</v>
      </c>
      <c r="H12722" s="1"/>
      <c r="I12722" s="1"/>
      <c r="J12722" s="1"/>
      <c r="K12722" s="1"/>
      <c r="L12722" s="1"/>
      <c r="M12722" s="1"/>
      <c r="N12722" s="1"/>
      <c r="O12722" s="1"/>
      <c r="P12722" s="1"/>
      <c r="Q12722" s="1"/>
      <c r="R12722" s="1"/>
      <c r="S12722" s="1"/>
      <c r="T12722" s="1"/>
      <c r="U12722" s="1"/>
      <c r="V12722" s="1"/>
      <c r="W12722" s="1"/>
      <c r="X12722" s="1"/>
      <c r="Y12722" s="1"/>
      <c r="Z12722" s="1"/>
      <c r="AA12722" s="1"/>
      <c r="AB12722" s="1"/>
    </row>
    <row r="12723" ht="50.25" customHeight="1">
      <c r="A12723" s="12">
        <v>12719.0</v>
      </c>
      <c r="B12723" s="13" t="s">
        <v>12266</v>
      </c>
      <c r="C12723" s="14" t="s">
        <v>12386</v>
      </c>
      <c r="D12723" s="1"/>
      <c r="E12723" s="1"/>
      <c r="F12723" s="1" t="str">
        <f>IFERROR(__xludf.DUMMYFUNCTION("GOOGLETRANSLATE(B12723, ""en"", ""fa"")
"),"سبک زندگی عشایری دیجیتال")</f>
        <v>سبک زندگی عشایری دیجیتال</v>
      </c>
      <c r="G12723" s="1" t="str">
        <f>IFERROR(__xludf.DUMMYFUNCTION("GOOGLETRANSLATE(C12723, ""en"", ""fa"")
"),"آیا می توانید دوره ها یا کارگاه های آنلاین را برای رشد شخصی و حرفه ای در کنار زندگی عشایری توصیه کنید؟")</f>
        <v>آیا می توانید دوره ها یا کارگاه های آنلاین را برای رشد شخصی و حرفه ای در کنار زندگی عشایری توصیه کنید؟</v>
      </c>
      <c r="H12723" s="1"/>
      <c r="I12723" s="1"/>
      <c r="J12723" s="1"/>
      <c r="K12723" s="1"/>
      <c r="L12723" s="1"/>
      <c r="M12723" s="1"/>
      <c r="N12723" s="1"/>
      <c r="O12723" s="1"/>
      <c r="P12723" s="1"/>
      <c r="Q12723" s="1"/>
      <c r="R12723" s="1"/>
      <c r="S12723" s="1"/>
      <c r="T12723" s="1"/>
      <c r="U12723" s="1"/>
      <c r="V12723" s="1"/>
      <c r="W12723" s="1"/>
      <c r="X12723" s="1"/>
      <c r="Y12723" s="1"/>
      <c r="Z12723" s="1"/>
      <c r="AA12723" s="1"/>
      <c r="AB12723" s="1"/>
    </row>
    <row r="12724" ht="50.25" customHeight="1">
      <c r="A12724" s="12">
        <v>12720.0</v>
      </c>
      <c r="B12724" s="13" t="s">
        <v>12266</v>
      </c>
      <c r="C12724" s="14" t="s">
        <v>12387</v>
      </c>
      <c r="D12724" s="1"/>
      <c r="E12724" s="1"/>
      <c r="F12724" s="1" t="str">
        <f>IFERROR(__xludf.DUMMYFUNCTION("GOOGLETRANSLATE(B12724, ""en"", ""fa"")
"),"سبک زندگی عشایری دیجیتال")</f>
        <v>سبک زندگی عشایری دیجیتال</v>
      </c>
      <c r="G12724" s="1" t="str">
        <f>IFERROR(__xludf.DUMMYFUNCTION("GOOGLETRANSLATE(C12724, ""en"", ""fa"")
"),"چگونه می توانم یک روال کاری پایدار ایجاد و حفظ کنم که بهره وری و رفاه را در جاده تقویت کند؟")</f>
        <v>چگونه می توانم یک روال کاری پایدار ایجاد و حفظ کنم که بهره وری و رفاه را در جاده تقویت کند؟</v>
      </c>
      <c r="H12724" s="1"/>
      <c r="I12724" s="1"/>
      <c r="J12724" s="1"/>
      <c r="K12724" s="1"/>
      <c r="L12724" s="1"/>
      <c r="M12724" s="1"/>
      <c r="N12724" s="1"/>
      <c r="O12724" s="1"/>
      <c r="P12724" s="1"/>
      <c r="Q12724" s="1"/>
      <c r="R12724" s="1"/>
      <c r="S12724" s="1"/>
      <c r="T12724" s="1"/>
      <c r="U12724" s="1"/>
      <c r="V12724" s="1"/>
      <c r="W12724" s="1"/>
      <c r="X12724" s="1"/>
      <c r="Y12724" s="1"/>
      <c r="Z12724" s="1"/>
      <c r="AA12724" s="1"/>
      <c r="AB12724" s="1"/>
    </row>
    <row r="12725" ht="50.25" customHeight="1">
      <c r="A12725" s="12">
        <v>12721.0</v>
      </c>
      <c r="B12725" s="13" t="s">
        <v>12266</v>
      </c>
      <c r="C12725" s="14" t="s">
        <v>12388</v>
      </c>
      <c r="D12725" s="1"/>
      <c r="E12725" s="1"/>
      <c r="F12725" s="1" t="str">
        <f>IFERROR(__xludf.DUMMYFUNCTION("GOOGLETRANSLATE(B12725, ""en"", ""fa"")
"),"سبک زندگی عشایری دیجیتال")</f>
        <v>سبک زندگی عشایری دیجیتال</v>
      </c>
      <c r="G12725" s="1" t="str">
        <f>IFERROR(__xludf.DUMMYFUNCTION("GOOGLETRANSLATE(C12725, ""en"", ""fa"")
"),"بهترین استراتژی برای یافتن و همکاری با صنعتگران و خلاقان محلی در هر مقصد چیست؟")</f>
        <v>بهترین استراتژی برای یافتن و همکاری با صنعتگران و خلاقان محلی در هر مقصد چیست؟</v>
      </c>
      <c r="H12725" s="1"/>
      <c r="I12725" s="1"/>
      <c r="J12725" s="1"/>
      <c r="K12725" s="1"/>
      <c r="L12725" s="1"/>
      <c r="M12725" s="1"/>
      <c r="N12725" s="1"/>
      <c r="O12725" s="1"/>
      <c r="P12725" s="1"/>
      <c r="Q12725" s="1"/>
      <c r="R12725" s="1"/>
      <c r="S12725" s="1"/>
      <c r="T12725" s="1"/>
      <c r="U12725" s="1"/>
      <c r="V12725" s="1"/>
      <c r="W12725" s="1"/>
      <c r="X12725" s="1"/>
      <c r="Y12725" s="1"/>
      <c r="Z12725" s="1"/>
      <c r="AA12725" s="1"/>
      <c r="AB12725" s="1"/>
    </row>
    <row r="12726" ht="50.25" customHeight="1">
      <c r="A12726" s="12">
        <v>12722.0</v>
      </c>
      <c r="B12726" s="13" t="s">
        <v>12266</v>
      </c>
      <c r="C12726" s="14" t="s">
        <v>12389</v>
      </c>
      <c r="D12726" s="1"/>
      <c r="E12726" s="1"/>
      <c r="F12726" s="1" t="str">
        <f>IFERROR(__xludf.DUMMYFUNCTION("GOOGLETRANSLATE(B12726, ""en"", ""fa"")
"),"سبک زندگی عشایری دیجیتال")</f>
        <v>سبک زندگی عشایری دیجیتال</v>
      </c>
      <c r="G12726" s="1" t="str">
        <f>IFERROR(__xludf.DUMMYFUNCTION("GOOGLETRANSLATE(C12726, ""en"", ""fa"")
"),"چگونه می توانم از رویدادها و فعالیت های محلی که با علایق من به عنوان یک عشایر دیجیتالی مطابقت دارد مطلع شوم؟")</f>
        <v>چگونه می توانم از رویدادها و فعالیت های محلی که با علایق من به عنوان یک عشایر دیجیتالی مطابقت دارد مطلع شوم؟</v>
      </c>
      <c r="H12726" s="1"/>
      <c r="I12726" s="1"/>
      <c r="J12726" s="1"/>
      <c r="K12726" s="1"/>
      <c r="L12726" s="1"/>
      <c r="M12726" s="1"/>
      <c r="N12726" s="1"/>
      <c r="O12726" s="1"/>
      <c r="P12726" s="1"/>
      <c r="Q12726" s="1"/>
      <c r="R12726" s="1"/>
      <c r="S12726" s="1"/>
      <c r="T12726" s="1"/>
      <c r="U12726" s="1"/>
      <c r="V12726" s="1"/>
      <c r="W12726" s="1"/>
      <c r="X12726" s="1"/>
      <c r="Y12726" s="1"/>
      <c r="Z12726" s="1"/>
      <c r="AA12726" s="1"/>
      <c r="AB12726" s="1"/>
    </row>
    <row r="12727" ht="50.25" customHeight="1">
      <c r="A12727" s="12">
        <v>12723.0</v>
      </c>
      <c r="B12727" s="13" t="s">
        <v>12266</v>
      </c>
      <c r="C12727" s="14" t="s">
        <v>12390</v>
      </c>
      <c r="D12727" s="1"/>
      <c r="E12727" s="1"/>
      <c r="F12727" s="1" t="str">
        <f>IFERROR(__xludf.DUMMYFUNCTION("GOOGLETRANSLATE(B12727, ""en"", ""fa"")
"),"سبک زندگی عشایری دیجیتال")</f>
        <v>سبک زندگی عشایری دیجیتال</v>
      </c>
      <c r="G12727" s="1" t="str">
        <f>IFERROR(__xludf.DUMMYFUNCTION("GOOGLETRANSLATE(C12727, ""en"", ""fa"")
"),"نکات مهم برای سازگاری با اقلیم ها و شرایط آب و هوایی مختلف در هنگام عشایر چیست؟")</f>
        <v>نکات مهم برای سازگاری با اقلیم ها و شرایط آب و هوایی مختلف در هنگام عشایر چیست؟</v>
      </c>
      <c r="H12727" s="1"/>
      <c r="I12727" s="1"/>
      <c r="J12727" s="1"/>
      <c r="K12727" s="1"/>
      <c r="L12727" s="1"/>
      <c r="M12727" s="1"/>
      <c r="N12727" s="1"/>
      <c r="O12727" s="1"/>
      <c r="P12727" s="1"/>
      <c r="Q12727" s="1"/>
      <c r="R12727" s="1"/>
      <c r="S12727" s="1"/>
      <c r="T12727" s="1"/>
      <c r="U12727" s="1"/>
      <c r="V12727" s="1"/>
      <c r="W12727" s="1"/>
      <c r="X12727" s="1"/>
      <c r="Y12727" s="1"/>
      <c r="Z12727" s="1"/>
      <c r="AA12727" s="1"/>
      <c r="AB12727" s="1"/>
    </row>
    <row r="12728" ht="50.25" customHeight="1">
      <c r="A12728" s="12">
        <v>12724.0</v>
      </c>
      <c r="B12728" s="13" t="s">
        <v>12266</v>
      </c>
      <c r="C12728" s="14" t="s">
        <v>12391</v>
      </c>
      <c r="D12728" s="1"/>
      <c r="E12728" s="1"/>
      <c r="F12728" s="1" t="str">
        <f>IFERROR(__xludf.DUMMYFUNCTION("GOOGLETRANSLATE(B12728, ""en"", ""fa"")
"),"سبک زندگی عشایری دیجیتال")</f>
        <v>سبک زندگی عشایری دیجیتال</v>
      </c>
      <c r="G12728" s="1" t="str">
        <f>IFERROR(__xludf.DUMMYFUNCTION("GOOGLETRANSLATE(C12728, ""en"", ""fa"")
"),"آیا می توانید پلتفرم های آنلاین را برای ارتباط با هم بنیانگذاران بالقوه یا شرکای تجاری در حین حرکت پیشنهاد دهید؟")</f>
        <v>آیا می توانید پلتفرم های آنلاین را برای ارتباط با هم بنیانگذاران بالقوه یا شرکای تجاری در حین حرکت پیشنهاد دهید؟</v>
      </c>
      <c r="H12728" s="1"/>
      <c r="I12728" s="1"/>
      <c r="J12728" s="1"/>
      <c r="K12728" s="1"/>
      <c r="L12728" s="1"/>
      <c r="M12728" s="1"/>
      <c r="N12728" s="1"/>
      <c r="O12728" s="1"/>
      <c r="P12728" s="1"/>
      <c r="Q12728" s="1"/>
      <c r="R12728" s="1"/>
      <c r="S12728" s="1"/>
      <c r="T12728" s="1"/>
      <c r="U12728" s="1"/>
      <c r="V12728" s="1"/>
      <c r="W12728" s="1"/>
      <c r="X12728" s="1"/>
      <c r="Y12728" s="1"/>
      <c r="Z12728" s="1"/>
      <c r="AA12728" s="1"/>
      <c r="AB12728" s="1"/>
    </row>
    <row r="12729" ht="50.25" customHeight="1">
      <c r="A12729" s="12">
        <v>12725.0</v>
      </c>
      <c r="B12729" s="13" t="s">
        <v>12266</v>
      </c>
      <c r="C12729" s="14" t="s">
        <v>12392</v>
      </c>
      <c r="D12729" s="1"/>
      <c r="E12729" s="1"/>
      <c r="F12729" s="1" t="str">
        <f>IFERROR(__xludf.DUMMYFUNCTION("GOOGLETRANSLATE(B12729, ""en"", ""fa"")
"),"سبک زندگی عشایری دیجیتال")</f>
        <v>سبک زندگی عشایری دیجیتال</v>
      </c>
      <c r="G12729" s="1" t="str">
        <f>IFERROR(__xludf.DUMMYFUNCTION("GOOGLETRANSLATE(C12729, ""en"", ""fa"")
"),"چگونه می توانم موانع زبانی را در ارتباطات و مذاکرات مشتری به عنوان یک فریلنسر دیجیتال نومد مدیریت کنم؟")</f>
        <v>چگونه می توانم موانع زبانی را در ارتباطات و مذاکرات مشتری به عنوان یک فریلنسر دیجیتال نومد مدیریت کنم؟</v>
      </c>
      <c r="H12729" s="1"/>
      <c r="I12729" s="1"/>
      <c r="J12729" s="1"/>
      <c r="K12729" s="1"/>
      <c r="L12729" s="1"/>
      <c r="M12729" s="1"/>
      <c r="N12729" s="1"/>
      <c r="O12729" s="1"/>
      <c r="P12729" s="1"/>
      <c r="Q12729" s="1"/>
      <c r="R12729" s="1"/>
      <c r="S12729" s="1"/>
      <c r="T12729" s="1"/>
      <c r="U12729" s="1"/>
      <c r="V12729" s="1"/>
      <c r="W12729" s="1"/>
      <c r="X12729" s="1"/>
      <c r="Y12729" s="1"/>
      <c r="Z12729" s="1"/>
      <c r="AA12729" s="1"/>
      <c r="AB12729" s="1"/>
    </row>
    <row r="12730" ht="50.25" customHeight="1">
      <c r="A12730" s="12">
        <v>12726.0</v>
      </c>
      <c r="B12730" s="13" t="s">
        <v>12266</v>
      </c>
      <c r="C12730" s="14" t="s">
        <v>12393</v>
      </c>
      <c r="D12730" s="1"/>
      <c r="E12730" s="1"/>
      <c r="F12730" s="1" t="str">
        <f>IFERROR(__xludf.DUMMYFUNCTION("GOOGLETRANSLATE(B12730, ""en"", ""fa"")
"),"سبک زندگی عشایری دیجیتال")</f>
        <v>سبک زندگی عشایری دیجیتال</v>
      </c>
      <c r="G12730" s="1" t="str">
        <f>IFERROR(__xludf.DUMMYFUNCTION("GOOGLETRANSLATE(C12730, ""en"", ""fa"")
"),"بهترین منابع برای یافتن مقاصد منحصربه‌فرد و دور از دسترس برای کاوش در عشایر چیست؟")</f>
        <v>بهترین منابع برای یافتن مقاصد منحصربه‌فرد و دور از دسترس برای کاوش در عشایر چیست؟</v>
      </c>
      <c r="H12730" s="1"/>
      <c r="I12730" s="1"/>
      <c r="J12730" s="1"/>
      <c r="K12730" s="1"/>
      <c r="L12730" s="1"/>
      <c r="M12730" s="1"/>
      <c r="N12730" s="1"/>
      <c r="O12730" s="1"/>
      <c r="P12730" s="1"/>
      <c r="Q12730" s="1"/>
      <c r="R12730" s="1"/>
      <c r="S12730" s="1"/>
      <c r="T12730" s="1"/>
      <c r="U12730" s="1"/>
      <c r="V12730" s="1"/>
      <c r="W12730" s="1"/>
      <c r="X12730" s="1"/>
      <c r="Y12730" s="1"/>
      <c r="Z12730" s="1"/>
      <c r="AA12730" s="1"/>
      <c r="AB12730" s="1"/>
    </row>
    <row r="12731" ht="50.25" customHeight="1">
      <c r="A12731" s="12">
        <v>12727.0</v>
      </c>
      <c r="B12731" s="13" t="s">
        <v>12266</v>
      </c>
      <c r="C12731" s="14" t="s">
        <v>12394</v>
      </c>
      <c r="D12731" s="1"/>
      <c r="E12731" s="1"/>
      <c r="F12731" s="1" t="str">
        <f>IFERROR(__xludf.DUMMYFUNCTION("GOOGLETRANSLATE(B12731, ""en"", ""fa"")
"),"سبک زندگی عشایری دیجیتال")</f>
        <v>سبک زندگی عشایری دیجیتال</v>
      </c>
      <c r="G12731" s="1" t="str">
        <f>IFERROR(__xludf.DUMMYFUNCTION("GOOGLETRANSLATE(C12731, ""en"", ""fa"")
"),"چگونه می توانم حس قدردانی و آگاهی را در کارهای روزمره خود به عنوان یک عشایر دیجیتال پرورش دهم؟")</f>
        <v>چگونه می توانم حس قدردانی و آگاهی را در کارهای روزمره خود به عنوان یک عشایر دیجیتال پرورش دهم؟</v>
      </c>
      <c r="H12731" s="1"/>
      <c r="I12731" s="1"/>
      <c r="J12731" s="1"/>
      <c r="K12731" s="1"/>
      <c r="L12731" s="1"/>
      <c r="M12731" s="1"/>
      <c r="N12731" s="1"/>
      <c r="O12731" s="1"/>
      <c r="P12731" s="1"/>
      <c r="Q12731" s="1"/>
      <c r="R12731" s="1"/>
      <c r="S12731" s="1"/>
      <c r="T12731" s="1"/>
      <c r="U12731" s="1"/>
      <c r="V12731" s="1"/>
      <c r="W12731" s="1"/>
      <c r="X12731" s="1"/>
      <c r="Y12731" s="1"/>
      <c r="Z12731" s="1"/>
      <c r="AA12731" s="1"/>
      <c r="AB12731" s="1"/>
    </row>
    <row r="12732" ht="50.25" customHeight="1">
      <c r="A12732" s="12">
        <v>12728.0</v>
      </c>
      <c r="B12732" s="13" t="s">
        <v>12266</v>
      </c>
      <c r="C12732" s="14" t="s">
        <v>12395</v>
      </c>
      <c r="D12732" s="1"/>
      <c r="E12732" s="1"/>
      <c r="F12732" s="1" t="str">
        <f>IFERROR(__xludf.DUMMYFUNCTION("GOOGLETRANSLATE(B12732, ""en"", ""fa"")
"),"سبک زندگی عشایری دیجیتال")</f>
        <v>سبک زندگی عشایری دیجیتال</v>
      </c>
      <c r="G12732" s="1" t="str">
        <f>IFERROR(__xludf.DUMMYFUNCTION("GOOGLETRANSLATE(C12732, ""en"", ""fa"")
"),"راهبردهای برتر برای حفظ مرزهای کار و زندگی و اجتناب از فرسودگی در هنگام سفر چیست؟")</f>
        <v>راهبردهای برتر برای حفظ مرزهای کار و زندگی و اجتناب از فرسودگی در هنگام سفر چیست؟</v>
      </c>
      <c r="H12732" s="1"/>
      <c r="I12732" s="1"/>
      <c r="J12732" s="1"/>
      <c r="K12732" s="1"/>
      <c r="L12732" s="1"/>
      <c r="M12732" s="1"/>
      <c r="N12732" s="1"/>
      <c r="O12732" s="1"/>
      <c r="P12732" s="1"/>
      <c r="Q12732" s="1"/>
      <c r="R12732" s="1"/>
      <c r="S12732" s="1"/>
      <c r="T12732" s="1"/>
      <c r="U12732" s="1"/>
      <c r="V12732" s="1"/>
      <c r="W12732" s="1"/>
      <c r="X12732" s="1"/>
      <c r="Y12732" s="1"/>
      <c r="Z12732" s="1"/>
      <c r="AA12732" s="1"/>
      <c r="AB12732" s="1"/>
    </row>
    <row r="12733" ht="50.25" customHeight="1">
      <c r="A12733" s="12">
        <v>12729.0</v>
      </c>
      <c r="B12733" s="13" t="s">
        <v>12266</v>
      </c>
      <c r="C12733" s="14" t="s">
        <v>12396</v>
      </c>
      <c r="D12733" s="1"/>
      <c r="E12733" s="1"/>
      <c r="F12733" s="1" t="str">
        <f>IFERROR(__xludf.DUMMYFUNCTION("GOOGLETRANSLATE(B12733, ""en"", ""fa"")
"),"سبک زندگی عشایری دیجیتال")</f>
        <v>سبک زندگی عشایری دیجیتال</v>
      </c>
      <c r="G12733" s="1" t="str">
        <f>IFERROR(__xludf.DUMMYFUNCTION("GOOGLETRANSLATE(C12733, ""en"", ""fa"")
"),"آیا می توانید به عنوان یک کارآفرین عشایری پلتفرم هایی را برای فروش و ترویج محصولات یا خدمات دیجیتالی پیشنهاد دهید؟")</f>
        <v>آیا می توانید به عنوان یک کارآفرین عشایری پلتفرم هایی را برای فروش و ترویج محصولات یا خدمات دیجیتالی پیشنهاد دهید؟</v>
      </c>
      <c r="H12733" s="1"/>
      <c r="I12733" s="1"/>
      <c r="J12733" s="1"/>
      <c r="K12733" s="1"/>
      <c r="L12733" s="1"/>
      <c r="M12733" s="1"/>
      <c r="N12733" s="1"/>
      <c r="O12733" s="1"/>
      <c r="P12733" s="1"/>
      <c r="Q12733" s="1"/>
      <c r="R12733" s="1"/>
      <c r="S12733" s="1"/>
      <c r="T12733" s="1"/>
      <c r="U12733" s="1"/>
      <c r="V12733" s="1"/>
      <c r="W12733" s="1"/>
      <c r="X12733" s="1"/>
      <c r="Y12733" s="1"/>
      <c r="Z12733" s="1"/>
      <c r="AA12733" s="1"/>
      <c r="AB12733" s="1"/>
    </row>
    <row r="12734" ht="50.25" customHeight="1">
      <c r="A12734" s="12">
        <v>12730.0</v>
      </c>
      <c r="B12734" s="13" t="s">
        <v>12266</v>
      </c>
      <c r="C12734" s="14" t="s">
        <v>12397</v>
      </c>
      <c r="D12734" s="1"/>
      <c r="E12734" s="1"/>
      <c r="F12734" s="1" t="str">
        <f>IFERROR(__xludf.DUMMYFUNCTION("GOOGLETRANSLATE(B12734, ""en"", ""fa"")
"),"سبک زندگی عشایری دیجیتال")</f>
        <v>سبک زندگی عشایری دیجیتال</v>
      </c>
      <c r="G12734" s="1" t="str">
        <f>IFERROR(__xludf.DUMMYFUNCTION("GOOGLETRANSLATE(C12734, ""en"", ""fa"")
"),"چگونه می توانم به طور موثر مناطق زمانی را مدیریت کنم و جلسات را با مشتریان یا تیم ها در مکان های مختلف هماهنگ کنم؟")</f>
        <v>چگونه می توانم به طور موثر مناطق زمانی را مدیریت کنم و جلسات را با مشتریان یا تیم ها در مکان های مختلف هماهنگ کنم؟</v>
      </c>
      <c r="H12734" s="1"/>
      <c r="I12734" s="1"/>
      <c r="J12734" s="1"/>
      <c r="K12734" s="1"/>
      <c r="L12734" s="1"/>
      <c r="M12734" s="1"/>
      <c r="N12734" s="1"/>
      <c r="O12734" s="1"/>
      <c r="P12734" s="1"/>
      <c r="Q12734" s="1"/>
      <c r="R12734" s="1"/>
      <c r="S12734" s="1"/>
      <c r="T12734" s="1"/>
      <c r="U12734" s="1"/>
      <c r="V12734" s="1"/>
      <c r="W12734" s="1"/>
      <c r="X12734" s="1"/>
      <c r="Y12734" s="1"/>
      <c r="Z12734" s="1"/>
      <c r="AA12734" s="1"/>
      <c r="AB12734" s="1"/>
    </row>
    <row r="12735" ht="50.25" customHeight="1">
      <c r="A12735" s="12">
        <v>12731.0</v>
      </c>
      <c r="B12735" s="13" t="s">
        <v>12266</v>
      </c>
      <c r="C12735" s="14" t="s">
        <v>12398</v>
      </c>
      <c r="D12735" s="1"/>
      <c r="E12735" s="1"/>
      <c r="F12735" s="1" t="str">
        <f>IFERROR(__xludf.DUMMYFUNCTION("GOOGLETRANSLATE(B12735, ""en"", ""fa"")
"),"سبک زندگی عشایری دیجیتال")</f>
        <v>سبک زندگی عشایری دیجیتال</v>
      </c>
      <c r="G12735" s="1" t="str">
        <f>IFERROR(__xludf.DUMMYFUNCTION("GOOGLETRANSLATE(C12735, ""en"", ""fa"")
"),"برنامه ها و ابزارهای ضروری برای مدیریت پروژه از راه دور و همکاری به عنوان یک عشایر دیجیتال چیست؟")</f>
        <v>برنامه ها و ابزارهای ضروری برای مدیریت پروژه از راه دور و همکاری به عنوان یک عشایر دیجیتال چیست؟</v>
      </c>
      <c r="H12735" s="1"/>
      <c r="I12735" s="1"/>
      <c r="J12735" s="1"/>
      <c r="K12735" s="1"/>
      <c r="L12735" s="1"/>
      <c r="M12735" s="1"/>
      <c r="N12735" s="1"/>
      <c r="O12735" s="1"/>
      <c r="P12735" s="1"/>
      <c r="Q12735" s="1"/>
      <c r="R12735" s="1"/>
      <c r="S12735" s="1"/>
      <c r="T12735" s="1"/>
      <c r="U12735" s="1"/>
      <c r="V12735" s="1"/>
      <c r="W12735" s="1"/>
      <c r="X12735" s="1"/>
      <c r="Y12735" s="1"/>
      <c r="Z12735" s="1"/>
      <c r="AA12735" s="1"/>
      <c r="AB12735" s="1"/>
    </row>
    <row r="12736" ht="50.25" customHeight="1">
      <c r="A12736" s="12">
        <v>12732.0</v>
      </c>
      <c r="B12736" s="13" t="s">
        <v>12266</v>
      </c>
      <c r="C12736" s="14" t="s">
        <v>12399</v>
      </c>
      <c r="D12736" s="1"/>
      <c r="E12736" s="1"/>
      <c r="F12736" s="1" t="str">
        <f>IFERROR(__xludf.DUMMYFUNCTION("GOOGLETRANSLATE(B12736, ""en"", ""fa"")
"),"سبک زندگی عشایری دیجیتال")</f>
        <v>سبک زندگی عشایری دیجیتال</v>
      </c>
      <c r="G12736" s="1" t="str">
        <f>IFERROR(__xludf.DUMMYFUNCTION("GOOGLETRANSLATE(C12736, ""en"", ""fa"")
"),"چگونه می توانم یک دفتر کار خانگی قابل حمل و کارآمد بسازم تا از کار خود به عنوان یک کوچ دیجیتال پشتیبانی کند؟")</f>
        <v>چگونه می توانم یک دفتر کار خانگی قابل حمل و کارآمد بسازم تا از کار خود به عنوان یک کوچ دیجیتال پشتیبانی کند؟</v>
      </c>
      <c r="H12736" s="1"/>
      <c r="I12736" s="1"/>
      <c r="J12736" s="1"/>
      <c r="K12736" s="1"/>
      <c r="L12736" s="1"/>
      <c r="M12736" s="1"/>
      <c r="N12736" s="1"/>
      <c r="O12736" s="1"/>
      <c r="P12736" s="1"/>
      <c r="Q12736" s="1"/>
      <c r="R12736" s="1"/>
      <c r="S12736" s="1"/>
      <c r="T12736" s="1"/>
      <c r="U12736" s="1"/>
      <c r="V12736" s="1"/>
      <c r="W12736" s="1"/>
      <c r="X12736" s="1"/>
      <c r="Y12736" s="1"/>
      <c r="Z12736" s="1"/>
      <c r="AA12736" s="1"/>
      <c r="AB12736" s="1"/>
    </row>
    <row r="12737" ht="50.25" customHeight="1">
      <c r="A12737" s="12">
        <v>12733.0</v>
      </c>
      <c r="B12737" s="13" t="s">
        <v>12266</v>
      </c>
      <c r="C12737" s="14" t="s">
        <v>12400</v>
      </c>
      <c r="D12737" s="1"/>
      <c r="E12737" s="1"/>
      <c r="F12737" s="1" t="str">
        <f>IFERROR(__xludf.DUMMYFUNCTION("GOOGLETRANSLATE(B12737, ""en"", ""fa"")
"),"سبک زندگی عشایری دیجیتال")</f>
        <v>سبک زندگی عشایری دیجیتال</v>
      </c>
      <c r="G12737" s="1" t="str">
        <f>IFERROR(__xludf.DUMMYFUNCTION("GOOGLETRANSLATE(C12737, ""en"", ""fa"")
"),"بهترین شیوه ها برای مشارکت در تبادل فرهنگی و یادگیری متقابل با مردم محلی در هر مکانی که بازدید می کنم چیست؟")</f>
        <v>بهترین شیوه ها برای مشارکت در تبادل فرهنگی و یادگیری متقابل با مردم محلی در هر مکانی که بازدید می کنم چیست؟</v>
      </c>
      <c r="H12737" s="1"/>
      <c r="I12737" s="1"/>
      <c r="J12737" s="1"/>
      <c r="K12737" s="1"/>
      <c r="L12737" s="1"/>
      <c r="M12737" s="1"/>
      <c r="N12737" s="1"/>
      <c r="O12737" s="1"/>
      <c r="P12737" s="1"/>
      <c r="Q12737" s="1"/>
      <c r="R12737" s="1"/>
      <c r="S12737" s="1"/>
      <c r="T12737" s="1"/>
      <c r="U12737" s="1"/>
      <c r="V12737" s="1"/>
      <c r="W12737" s="1"/>
      <c r="X12737" s="1"/>
      <c r="Y12737" s="1"/>
      <c r="Z12737" s="1"/>
      <c r="AA12737" s="1"/>
      <c r="AB12737" s="1"/>
    </row>
    <row r="12738" ht="50.25" customHeight="1">
      <c r="A12738" s="12">
        <v>12734.0</v>
      </c>
      <c r="B12738" s="13" t="s">
        <v>12266</v>
      </c>
      <c r="C12738" s="14" t="s">
        <v>12401</v>
      </c>
      <c r="D12738" s="1"/>
      <c r="E12738" s="1"/>
      <c r="F12738" s="1" t="str">
        <f>IFERROR(__xludf.DUMMYFUNCTION("GOOGLETRANSLATE(B12738, ""en"", ""fa"")
"),"سبک زندگی عشایری دیجیتال")</f>
        <v>سبک زندگی عشایری دیجیتال</v>
      </c>
      <c r="G12738" s="1" t="str">
        <f>IFERROR(__xludf.DUMMYFUNCTION("GOOGLETRANSLATE(C12738, ""en"", ""fa"")
"),"آیا می توانید راهکارهایی برای حفظ یک سبک زندگی سالم و فعال در سفر به عنوان یک عشایر دیجیتال پیشنهاد دهید؟")</f>
        <v>آیا می توانید راهکارهایی برای حفظ یک سبک زندگی سالم و فعال در سفر به عنوان یک عشایر دیجیتال پیشنهاد دهید؟</v>
      </c>
      <c r="H12738" s="1"/>
      <c r="I12738" s="1"/>
      <c r="J12738" s="1"/>
      <c r="K12738" s="1"/>
      <c r="L12738" s="1"/>
      <c r="M12738" s="1"/>
      <c r="N12738" s="1"/>
      <c r="O12738" s="1"/>
      <c r="P12738" s="1"/>
      <c r="Q12738" s="1"/>
      <c r="R12738" s="1"/>
      <c r="S12738" s="1"/>
      <c r="T12738" s="1"/>
      <c r="U12738" s="1"/>
      <c r="V12738" s="1"/>
      <c r="W12738" s="1"/>
      <c r="X12738" s="1"/>
      <c r="Y12738" s="1"/>
      <c r="Z12738" s="1"/>
      <c r="AA12738" s="1"/>
      <c r="AB12738" s="1"/>
    </row>
    <row r="12739" ht="50.25" customHeight="1">
      <c r="A12739" s="12">
        <v>12735.0</v>
      </c>
      <c r="B12739" s="13" t="s">
        <v>12266</v>
      </c>
      <c r="C12739" s="14" t="s">
        <v>12402</v>
      </c>
      <c r="D12739" s="1"/>
      <c r="E12739" s="1"/>
      <c r="F12739" s="1" t="str">
        <f>IFERROR(__xludf.DUMMYFUNCTION("GOOGLETRANSLATE(B12739, ""en"", ""fa"")
"),"سبک زندگی عشایری دیجیتال")</f>
        <v>سبک زندگی عشایری دیجیتال</v>
      </c>
      <c r="G12739" s="1" t="str">
        <f>IFERROR(__xludf.DUMMYFUNCTION("GOOGLETRANSLATE(C12739, ""en"", ""fa"")
"),"چگونه می توانم هنگام کوچ نشینی در مناطق مختلف، گزینه های حمل و نقل محلی را پیمایش کنم و مسیرهای سفر خود را برنامه ریزی کنم؟")</f>
        <v>چگونه می توانم هنگام کوچ نشینی در مناطق مختلف، گزینه های حمل و نقل محلی را پیمایش کنم و مسیرهای سفر خود را برنامه ریزی کنم؟</v>
      </c>
      <c r="H12739" s="1"/>
      <c r="I12739" s="1"/>
      <c r="J12739" s="1"/>
      <c r="K12739" s="1"/>
      <c r="L12739" s="1"/>
      <c r="M12739" s="1"/>
      <c r="N12739" s="1"/>
      <c r="O12739" s="1"/>
      <c r="P12739" s="1"/>
      <c r="Q12739" s="1"/>
      <c r="R12739" s="1"/>
      <c r="S12739" s="1"/>
      <c r="T12739" s="1"/>
      <c r="U12739" s="1"/>
      <c r="V12739" s="1"/>
      <c r="W12739" s="1"/>
      <c r="X12739" s="1"/>
      <c r="Y12739" s="1"/>
      <c r="Z12739" s="1"/>
      <c r="AA12739" s="1"/>
      <c r="AB12739" s="1"/>
    </row>
    <row r="12740" ht="50.25" customHeight="1">
      <c r="A12740" s="12">
        <v>12736.0</v>
      </c>
      <c r="B12740" s="13" t="s">
        <v>12266</v>
      </c>
      <c r="C12740" s="14" t="s">
        <v>12403</v>
      </c>
      <c r="D12740" s="1"/>
      <c r="E12740" s="1"/>
      <c r="F12740" s="1" t="str">
        <f>IFERROR(__xludf.DUMMYFUNCTION("GOOGLETRANSLATE(B12740, ""en"", ""fa"")
"),"سبک زندگی عشایری دیجیتال")</f>
        <v>سبک زندگی عشایری دیجیتال</v>
      </c>
      <c r="G12740" s="1" t="str">
        <f>IFERROR(__xludf.DUMMYFUNCTION("GOOGLETRANSLATE(C12740, ""en"", ""fa"")
"),"بهترین منابع برای یافتن فضاهای همکاری با امکانات رفاهی و فرصت های شبکه ای قابل اعتماد چیست؟")</f>
        <v>بهترین منابع برای یافتن فضاهای همکاری با امکانات رفاهی و فرصت های شبکه ای قابل اعتماد چیست؟</v>
      </c>
      <c r="H12740" s="1"/>
      <c r="I12740" s="1"/>
      <c r="J12740" s="1"/>
      <c r="K12740" s="1"/>
      <c r="L12740" s="1"/>
      <c r="M12740" s="1"/>
      <c r="N12740" s="1"/>
      <c r="O12740" s="1"/>
      <c r="P12740" s="1"/>
      <c r="Q12740" s="1"/>
      <c r="R12740" s="1"/>
      <c r="S12740" s="1"/>
      <c r="T12740" s="1"/>
      <c r="U12740" s="1"/>
      <c r="V12740" s="1"/>
      <c r="W12740" s="1"/>
      <c r="X12740" s="1"/>
      <c r="Y12740" s="1"/>
      <c r="Z12740" s="1"/>
      <c r="AA12740" s="1"/>
      <c r="AB12740" s="1"/>
    </row>
    <row r="12741" ht="50.25" customHeight="1">
      <c r="A12741" s="12">
        <v>12737.0</v>
      </c>
      <c r="B12741" s="13" t="s">
        <v>12266</v>
      </c>
      <c r="C12741" s="14" t="s">
        <v>12404</v>
      </c>
      <c r="D12741" s="1"/>
      <c r="E12741" s="1"/>
      <c r="F12741" s="1" t="str">
        <f>IFERROR(__xludf.DUMMYFUNCTION("GOOGLETRANSLATE(B12741, ""en"", ""fa"")
"),"سبک زندگی عشایری دیجیتال")</f>
        <v>سبک زندگی عشایری دیجیتال</v>
      </c>
      <c r="G12741" s="1" t="str">
        <f>IFERROR(__xludf.DUMMYFUNCTION("GOOGLETRANSLATE(C12741, ""en"", ""fa"")
"),"چگونه می توانم بودجه ای برای هزینه های سفر و هزینه های زندگی به عنوان یک عشایر دیجیتال ایجاد و حفظ کنم؟")</f>
        <v>چگونه می توانم بودجه ای برای هزینه های سفر و هزینه های زندگی به عنوان یک عشایر دیجیتال ایجاد و حفظ کنم؟</v>
      </c>
      <c r="H12741" s="1"/>
      <c r="I12741" s="1"/>
      <c r="J12741" s="1"/>
      <c r="K12741" s="1"/>
      <c r="L12741" s="1"/>
      <c r="M12741" s="1"/>
      <c r="N12741" s="1"/>
      <c r="O12741" s="1"/>
      <c r="P12741" s="1"/>
      <c r="Q12741" s="1"/>
      <c r="R12741" s="1"/>
      <c r="S12741" s="1"/>
      <c r="T12741" s="1"/>
      <c r="U12741" s="1"/>
      <c r="V12741" s="1"/>
      <c r="W12741" s="1"/>
      <c r="X12741" s="1"/>
      <c r="Y12741" s="1"/>
      <c r="Z12741" s="1"/>
      <c r="AA12741" s="1"/>
      <c r="AB12741" s="1"/>
    </row>
    <row r="12742" ht="50.25" customHeight="1">
      <c r="A12742" s="12">
        <v>12738.0</v>
      </c>
      <c r="B12742" s="13" t="s">
        <v>12266</v>
      </c>
      <c r="C12742" s="14" t="s">
        <v>12405</v>
      </c>
      <c r="D12742" s="1"/>
      <c r="E12742" s="1"/>
      <c r="F12742" s="1" t="str">
        <f>IFERROR(__xludf.DUMMYFUNCTION("GOOGLETRANSLATE(B12742, ""en"", ""fa"")
"),"سبک زندگی عشایری دیجیتال")</f>
        <v>سبک زندگی عشایری دیجیتال</v>
      </c>
      <c r="G12742" s="1" t="str">
        <f>IFERROR(__xludf.DUMMYFUNCTION("GOOGLETRANSLATE(C12742, ""en"", ""fa"")
"),"بهترین بسترها برای میزبانی رویدادها و کارگاه های مجازی در حین حرکت به عنوان یک مربی عشایری چیست؟")</f>
        <v>بهترین بسترها برای میزبانی رویدادها و کارگاه های مجازی در حین حرکت به عنوان یک مربی عشایری چیست؟</v>
      </c>
      <c r="H12742" s="1"/>
      <c r="I12742" s="1"/>
      <c r="J12742" s="1"/>
      <c r="K12742" s="1"/>
      <c r="L12742" s="1"/>
      <c r="M12742" s="1"/>
      <c r="N12742" s="1"/>
      <c r="O12742" s="1"/>
      <c r="P12742" s="1"/>
      <c r="Q12742" s="1"/>
      <c r="R12742" s="1"/>
      <c r="S12742" s="1"/>
      <c r="T12742" s="1"/>
      <c r="U12742" s="1"/>
      <c r="V12742" s="1"/>
      <c r="W12742" s="1"/>
      <c r="X12742" s="1"/>
      <c r="Y12742" s="1"/>
      <c r="Z12742" s="1"/>
      <c r="AA12742" s="1"/>
      <c r="AB12742" s="1"/>
    </row>
    <row r="12743" ht="50.25" customHeight="1">
      <c r="A12743" s="12">
        <v>12739.0</v>
      </c>
      <c r="B12743" s="13" t="s">
        <v>12266</v>
      </c>
      <c r="C12743" s="14" t="s">
        <v>12406</v>
      </c>
      <c r="D12743" s="1"/>
      <c r="E12743" s="1"/>
      <c r="F12743" s="1" t="str">
        <f>IFERROR(__xludf.DUMMYFUNCTION("GOOGLETRANSLATE(B12743, ""en"", ""fa"")
"),"سبک زندگی عشایری دیجیتال")</f>
        <v>سبک زندگی عشایری دیجیتال</v>
      </c>
      <c r="G12743" s="1" t="str">
        <f>IFERROR(__xludf.DUMMYFUNCTION("GOOGLETRANSLATE(C12743, ""en"", ""fa"")
"),"آیا می توانید برنامه هایی را برای یادگیری مهارت های جدید و بهبود تخصص حرفه ای در طول سفر عشایری من توصیه کنید؟")</f>
        <v>آیا می توانید برنامه هایی را برای یادگیری مهارت های جدید و بهبود تخصص حرفه ای در طول سفر عشایری من توصیه کنید؟</v>
      </c>
      <c r="H12743" s="1"/>
      <c r="I12743" s="1"/>
      <c r="J12743" s="1"/>
      <c r="K12743" s="1"/>
      <c r="L12743" s="1"/>
      <c r="M12743" s="1"/>
      <c r="N12743" s="1"/>
      <c r="O12743" s="1"/>
      <c r="P12743" s="1"/>
      <c r="Q12743" s="1"/>
      <c r="R12743" s="1"/>
      <c r="S12743" s="1"/>
      <c r="T12743" s="1"/>
      <c r="U12743" s="1"/>
      <c r="V12743" s="1"/>
      <c r="W12743" s="1"/>
      <c r="X12743" s="1"/>
      <c r="Y12743" s="1"/>
      <c r="Z12743" s="1"/>
      <c r="AA12743" s="1"/>
      <c r="AB12743" s="1"/>
    </row>
    <row r="12744" ht="50.25" customHeight="1">
      <c r="A12744" s="12">
        <v>12740.0</v>
      </c>
      <c r="B12744" s="13" t="s">
        <v>12266</v>
      </c>
      <c r="C12744" s="14" t="s">
        <v>12407</v>
      </c>
      <c r="D12744" s="1"/>
      <c r="E12744" s="1"/>
      <c r="F12744" s="1" t="str">
        <f>IFERROR(__xludf.DUMMYFUNCTION("GOOGLETRANSLATE(B12744, ""en"", ""fa"")
"),"سبک زندگی عشایری دیجیتال")</f>
        <v>سبک زندگی عشایری دیجیتال</v>
      </c>
      <c r="G12744" s="1" t="str">
        <f>IFERROR(__xludf.DUMMYFUNCTION("GOOGLETRANSLATE(C12744, ""en"", ""fa"")
"),"چگونه می توانم یک شهرت آنلاین مثبت داشته باشم و به عنوان یک کوچ نشین با بررسی ها یا بازخوردهای منفی احتمالی برخورد کنم؟")</f>
        <v>چگونه می توانم یک شهرت آنلاین مثبت داشته باشم و به عنوان یک کوچ نشین با بررسی ها یا بازخوردهای منفی احتمالی برخورد کنم؟</v>
      </c>
      <c r="H12744" s="1"/>
      <c r="I12744" s="1"/>
      <c r="J12744" s="1"/>
      <c r="K12744" s="1"/>
      <c r="L12744" s="1"/>
      <c r="M12744" s="1"/>
      <c r="N12744" s="1"/>
      <c r="O12744" s="1"/>
      <c r="P12744" s="1"/>
      <c r="Q12744" s="1"/>
      <c r="R12744" s="1"/>
      <c r="S12744" s="1"/>
      <c r="T12744" s="1"/>
      <c r="U12744" s="1"/>
      <c r="V12744" s="1"/>
      <c r="W12744" s="1"/>
      <c r="X12744" s="1"/>
      <c r="Y12744" s="1"/>
      <c r="Z12744" s="1"/>
      <c r="AA12744" s="1"/>
      <c r="AB12744" s="1"/>
    </row>
    <row r="12745" ht="50.25" customHeight="1">
      <c r="A12745" s="12">
        <v>12741.0</v>
      </c>
      <c r="B12745" s="13" t="s">
        <v>12266</v>
      </c>
      <c r="C12745" s="14" t="s">
        <v>12408</v>
      </c>
      <c r="D12745" s="1"/>
      <c r="E12745" s="1"/>
      <c r="F12745" s="1" t="str">
        <f>IFERROR(__xludf.DUMMYFUNCTION("GOOGLETRANSLATE(B12745, ""en"", ""fa"")
"),"سبک زندگی عشایری دیجیتال")</f>
        <v>سبک زندگی عشایری دیجیتال</v>
      </c>
      <c r="G12745" s="1" t="str">
        <f>IFERROR(__xludf.DUMMYFUNCTION("GOOGLETRANSLATE(C12745, ""en"", ""fa"")
"),"استراتژی های برتر برای انعطاف پذیر ماندن و سازگار ماندن در مواجهه با چالش های پیش بینی نشده به عنوان یک عشایر دیجیتال چیست؟")</f>
        <v>استراتژی های برتر برای انعطاف پذیر ماندن و سازگار ماندن در مواجهه با چالش های پیش بینی نشده به عنوان یک عشایر دیجیتال چیست؟</v>
      </c>
      <c r="H12745" s="1"/>
      <c r="I12745" s="1"/>
      <c r="J12745" s="1"/>
      <c r="K12745" s="1"/>
      <c r="L12745" s="1"/>
      <c r="M12745" s="1"/>
      <c r="N12745" s="1"/>
      <c r="O12745" s="1"/>
      <c r="P12745" s="1"/>
      <c r="Q12745" s="1"/>
      <c r="R12745" s="1"/>
      <c r="S12745" s="1"/>
      <c r="T12745" s="1"/>
      <c r="U12745" s="1"/>
      <c r="V12745" s="1"/>
      <c r="W12745" s="1"/>
      <c r="X12745" s="1"/>
      <c r="Y12745" s="1"/>
      <c r="Z12745" s="1"/>
      <c r="AA12745" s="1"/>
      <c r="AB12745" s="1"/>
    </row>
    <row r="12746" ht="50.25" customHeight="1">
      <c r="A12746" s="12">
        <v>12742.0</v>
      </c>
      <c r="B12746" s="13" t="s">
        <v>12266</v>
      </c>
      <c r="C12746" s="14" t="s">
        <v>12409</v>
      </c>
      <c r="D12746" s="1"/>
      <c r="E12746" s="1"/>
      <c r="F12746" s="1" t="str">
        <f>IFERROR(__xludf.DUMMYFUNCTION("GOOGLETRANSLATE(B12746, ""en"", ""fa"")
"),"سبک زندگی عشایری دیجیتال")</f>
        <v>سبک زندگی عشایری دیجیتال</v>
      </c>
      <c r="G12746" s="1" t="str">
        <f>IFERROR(__xludf.DUMMYFUNCTION("GOOGLETRANSLATE(C12746, ""en"", ""fa"")
"),"چگونه می توانم سفر آهسته را در آغوش بگیرم و در فرهنگ محلی غرق شوم تا تجربه سفر عمیق تری را به عنوان یک عشایر داشته باشم؟")</f>
        <v>چگونه می توانم سفر آهسته را در آغوش بگیرم و در فرهنگ محلی غرق شوم تا تجربه سفر عمیق تری را به عنوان یک عشایر داشته باشم؟</v>
      </c>
      <c r="H12746" s="1"/>
      <c r="I12746" s="1"/>
      <c r="J12746" s="1"/>
      <c r="K12746" s="1"/>
      <c r="L12746" s="1"/>
      <c r="M12746" s="1"/>
      <c r="N12746" s="1"/>
      <c r="O12746" s="1"/>
      <c r="P12746" s="1"/>
      <c r="Q12746" s="1"/>
      <c r="R12746" s="1"/>
      <c r="S12746" s="1"/>
      <c r="T12746" s="1"/>
      <c r="U12746" s="1"/>
      <c r="V12746" s="1"/>
      <c r="W12746" s="1"/>
      <c r="X12746" s="1"/>
      <c r="Y12746" s="1"/>
      <c r="Z12746" s="1"/>
      <c r="AA12746" s="1"/>
      <c r="AB12746" s="1"/>
    </row>
    <row r="12747" ht="50.25" customHeight="1">
      <c r="A12747" s="12">
        <v>12743.0</v>
      </c>
      <c r="B12747" s="13" t="s">
        <v>12266</v>
      </c>
      <c r="C12747" s="14" t="s">
        <v>12410</v>
      </c>
      <c r="D12747" s="1"/>
      <c r="E12747" s="1"/>
      <c r="F12747" s="1" t="str">
        <f>IFERROR(__xludf.DUMMYFUNCTION("GOOGLETRANSLATE(B12747, ""en"", ""fa"")
"),"سبک زندگی عشایری دیجیتال")</f>
        <v>سبک زندگی عشایری دیجیتال</v>
      </c>
      <c r="G12747" s="1" t="str">
        <f>IFERROR(__xludf.DUMMYFUNCTION("GOOGLETRANSLATE(C12747, ""en"", ""fa"")
"),"ابزارها و تکنیک‌های ضروری برای تمرین مینیمالیسم دیجیتال و کاهش زمان صفحه نمایش در حین عشایر چیست؟")</f>
        <v>ابزارها و تکنیک‌های ضروری برای تمرین مینیمالیسم دیجیتال و کاهش زمان صفحه نمایش در حین عشایر چیست؟</v>
      </c>
      <c r="H12747" s="1"/>
      <c r="I12747" s="1"/>
      <c r="J12747" s="1"/>
      <c r="K12747" s="1"/>
      <c r="L12747" s="1"/>
      <c r="M12747" s="1"/>
      <c r="N12747" s="1"/>
      <c r="O12747" s="1"/>
      <c r="P12747" s="1"/>
      <c r="Q12747" s="1"/>
      <c r="R12747" s="1"/>
      <c r="S12747" s="1"/>
      <c r="T12747" s="1"/>
      <c r="U12747" s="1"/>
      <c r="V12747" s="1"/>
      <c r="W12747" s="1"/>
      <c r="X12747" s="1"/>
      <c r="Y12747" s="1"/>
      <c r="Z12747" s="1"/>
      <c r="AA12747" s="1"/>
      <c r="AB12747" s="1"/>
    </row>
    <row r="12748" ht="50.25" customHeight="1">
      <c r="A12748" s="12">
        <v>12744.0</v>
      </c>
      <c r="B12748" s="13" t="s">
        <v>12266</v>
      </c>
      <c r="C12748" s="14" t="s">
        <v>12411</v>
      </c>
      <c r="D12748" s="1"/>
      <c r="E12748" s="1"/>
      <c r="F12748" s="1" t="str">
        <f>IFERROR(__xludf.DUMMYFUNCTION("GOOGLETRANSLATE(B12748, ""en"", ""fa"")
"),"سبک زندگی عشایری دیجیتال")</f>
        <v>سبک زندگی عشایری دیجیتال</v>
      </c>
      <c r="G12748" s="1" t="str">
        <f>IFERROR(__xludf.DUMMYFUNCTION("GOOGLETRANSLATE(C12748, ""en"", ""fa"")
"),"آیا می‌توانید منابعی را برای یافتن فرصت‌های داوطلبانه از راه دور برای کمک به اهداف معنادار به عنوان یک کوچ دیجیتال پیشنهاد کنید؟")</f>
        <v>آیا می‌توانید منابعی را برای یافتن فرصت‌های داوطلبانه از راه دور برای کمک به اهداف معنادار به عنوان یک کوچ دیجیتال پیشنهاد کنید؟</v>
      </c>
      <c r="H12748" s="1"/>
      <c r="I12748" s="1"/>
      <c r="J12748" s="1"/>
      <c r="K12748" s="1"/>
      <c r="L12748" s="1"/>
      <c r="M12748" s="1"/>
      <c r="N12748" s="1"/>
      <c r="O12748" s="1"/>
      <c r="P12748" s="1"/>
      <c r="Q12748" s="1"/>
      <c r="R12748" s="1"/>
      <c r="S12748" s="1"/>
      <c r="T12748" s="1"/>
      <c r="U12748" s="1"/>
      <c r="V12748" s="1"/>
      <c r="W12748" s="1"/>
      <c r="X12748" s="1"/>
      <c r="Y12748" s="1"/>
      <c r="Z12748" s="1"/>
      <c r="AA12748" s="1"/>
      <c r="AB12748" s="1"/>
    </row>
    <row r="12749" ht="50.25" customHeight="1">
      <c r="A12749" s="12">
        <v>12745.0</v>
      </c>
      <c r="B12749" s="13" t="s">
        <v>12266</v>
      </c>
      <c r="C12749" s="14" t="s">
        <v>12412</v>
      </c>
      <c r="D12749" s="1"/>
      <c r="E12749" s="1"/>
      <c r="F12749" s="1" t="str">
        <f>IFERROR(__xludf.DUMMYFUNCTION("GOOGLETRANSLATE(B12749, ""en"", ""fa"")
"),"سبک زندگی عشایری دیجیتال")</f>
        <v>سبک زندگی عشایری دیجیتال</v>
      </c>
      <c r="G12749" s="1" t="str">
        <f>IFERROR(__xludf.DUMMYFUNCTION("GOOGLETRANSLATE(C12749, ""en"", ""fa"")
"),"چگونه می توانم مدیریت مالی شخصی را مدیریت کنم و برای اهداف بلندمدت مالی برنامه ریزی کنم در حالی که سبک زندگی عشایری داشته باشم؟")</f>
        <v>چگونه می توانم مدیریت مالی شخصی را مدیریت کنم و برای اهداف بلندمدت مالی برنامه ریزی کنم در حالی که سبک زندگی عشایری داشته باشم؟</v>
      </c>
      <c r="H12749" s="1"/>
      <c r="I12749" s="1"/>
      <c r="J12749" s="1"/>
      <c r="K12749" s="1"/>
      <c r="L12749" s="1"/>
      <c r="M12749" s="1"/>
      <c r="N12749" s="1"/>
      <c r="O12749" s="1"/>
      <c r="P12749" s="1"/>
      <c r="Q12749" s="1"/>
      <c r="R12749" s="1"/>
      <c r="S12749" s="1"/>
      <c r="T12749" s="1"/>
      <c r="U12749" s="1"/>
      <c r="V12749" s="1"/>
      <c r="W12749" s="1"/>
      <c r="X12749" s="1"/>
      <c r="Y12749" s="1"/>
      <c r="Z12749" s="1"/>
      <c r="AA12749" s="1"/>
      <c r="AB12749" s="1"/>
    </row>
    <row r="12750" ht="50.25" customHeight="1">
      <c r="A12750" s="12">
        <v>12746.0</v>
      </c>
      <c r="B12750" s="13" t="s">
        <v>12266</v>
      </c>
      <c r="C12750" s="14" t="s">
        <v>12413</v>
      </c>
      <c r="D12750" s="1"/>
      <c r="E12750" s="1"/>
      <c r="F12750" s="1" t="str">
        <f>IFERROR(__xludf.DUMMYFUNCTION("GOOGLETRANSLATE(B12750, ""en"", ""fa"")
"),"سبک زندگی عشایری دیجیتال")</f>
        <v>سبک زندگی عشایری دیجیتال</v>
      </c>
      <c r="G12750" s="1" t="str">
        <f>IFERROR(__xludf.DUMMYFUNCTION("GOOGLETRANSLATE(C12750, ""en"", ""fa"")
"),"بهترین شیوه ها برای پیمایش آداب و رسوم و آداب محلی برای نشان دادن احترام به عنوان یک مسافر عشایر دیجیتال چیست؟")</f>
        <v>بهترین شیوه ها برای پیمایش آداب و رسوم و آداب محلی برای نشان دادن احترام به عنوان یک مسافر عشایر دیجیتال چیست؟</v>
      </c>
      <c r="H12750" s="1"/>
      <c r="I12750" s="1"/>
      <c r="J12750" s="1"/>
      <c r="K12750" s="1"/>
      <c r="L12750" s="1"/>
      <c r="M12750" s="1"/>
      <c r="N12750" s="1"/>
      <c r="O12750" s="1"/>
      <c r="P12750" s="1"/>
      <c r="Q12750" s="1"/>
      <c r="R12750" s="1"/>
      <c r="S12750" s="1"/>
      <c r="T12750" s="1"/>
      <c r="U12750" s="1"/>
      <c r="V12750" s="1"/>
      <c r="W12750" s="1"/>
      <c r="X12750" s="1"/>
      <c r="Y12750" s="1"/>
      <c r="Z12750" s="1"/>
      <c r="AA12750" s="1"/>
      <c r="AB12750" s="1"/>
    </row>
    <row r="12751" ht="50.25" customHeight="1">
      <c r="A12751" s="12">
        <v>12747.0</v>
      </c>
      <c r="B12751" s="13" t="s">
        <v>12266</v>
      </c>
      <c r="C12751" s="14" t="s">
        <v>12414</v>
      </c>
      <c r="D12751" s="1"/>
      <c r="E12751" s="1"/>
      <c r="F12751" s="1" t="str">
        <f>IFERROR(__xludf.DUMMYFUNCTION("GOOGLETRANSLATE(B12751, ""en"", ""fa"")
"),"سبک زندگی عشایری دیجیتال")</f>
        <v>سبک زندگی عشایری دیجیتال</v>
      </c>
      <c r="G12751" s="1" t="str">
        <f>IFERROR(__xludf.DUMMYFUNCTION("GOOGLETRANSLATE(C12751, ""en"", ""fa"")
"),"چگونه می توانم احساس اجتماعی و ارتباط با همنوعان عشایری را در زمانی که در یک مکان دورافتاده هستم حفظ کنم؟")</f>
        <v>چگونه می توانم احساس اجتماعی و ارتباط با همنوعان عشایری را در زمانی که در یک مکان دورافتاده هستم حفظ کنم؟</v>
      </c>
      <c r="H12751" s="1"/>
      <c r="I12751" s="1"/>
      <c r="J12751" s="1"/>
      <c r="K12751" s="1"/>
      <c r="L12751" s="1"/>
      <c r="M12751" s="1"/>
      <c r="N12751" s="1"/>
      <c r="O12751" s="1"/>
      <c r="P12751" s="1"/>
      <c r="Q12751" s="1"/>
      <c r="R12751" s="1"/>
      <c r="S12751" s="1"/>
      <c r="T12751" s="1"/>
      <c r="U12751" s="1"/>
      <c r="V12751" s="1"/>
      <c r="W12751" s="1"/>
      <c r="X12751" s="1"/>
      <c r="Y12751" s="1"/>
      <c r="Z12751" s="1"/>
      <c r="AA12751" s="1"/>
      <c r="AB12751" s="1"/>
    </row>
    <row r="12752" ht="50.25" customHeight="1">
      <c r="A12752" s="12">
        <v>12748.0</v>
      </c>
      <c r="B12752" s="13" t="s">
        <v>12266</v>
      </c>
      <c r="C12752" s="14" t="s">
        <v>12415</v>
      </c>
      <c r="D12752" s="1"/>
      <c r="E12752" s="1"/>
      <c r="F12752" s="1" t="str">
        <f>IFERROR(__xludf.DUMMYFUNCTION("GOOGLETRANSLATE(B12752, ""en"", ""fa"")
"),"سبک زندگی عشایری دیجیتال")</f>
        <v>سبک زندگی عشایری دیجیتال</v>
      </c>
      <c r="G12752" s="1" t="str">
        <f>IFERROR(__xludf.DUMMYFUNCTION("GOOGLETRANSLATE(C12752, ""en"", ""fa"")
"),"استراتژی های برتر برای ایجاد یک نمونه کار آنلاین و نمایش کار من به عنوان یک فریلنسر عشایر دیجیتال چیست؟")</f>
        <v>استراتژی های برتر برای ایجاد یک نمونه کار آنلاین و نمایش کار من به عنوان یک فریلنسر عشایر دیجیتال چیست؟</v>
      </c>
      <c r="H12752" s="1"/>
      <c r="I12752" s="1"/>
      <c r="J12752" s="1"/>
      <c r="K12752" s="1"/>
      <c r="L12752" s="1"/>
      <c r="M12752" s="1"/>
      <c r="N12752" s="1"/>
      <c r="O12752" s="1"/>
      <c r="P12752" s="1"/>
      <c r="Q12752" s="1"/>
      <c r="R12752" s="1"/>
      <c r="S12752" s="1"/>
      <c r="T12752" s="1"/>
      <c r="U12752" s="1"/>
      <c r="V12752" s="1"/>
      <c r="W12752" s="1"/>
      <c r="X12752" s="1"/>
      <c r="Y12752" s="1"/>
      <c r="Z12752" s="1"/>
      <c r="AA12752" s="1"/>
      <c r="AB12752" s="1"/>
    </row>
    <row r="12753" ht="50.25" customHeight="1">
      <c r="A12753" s="12">
        <v>12749.0</v>
      </c>
      <c r="B12753" s="13" t="s">
        <v>12266</v>
      </c>
      <c r="C12753" s="14" t="s">
        <v>12416</v>
      </c>
      <c r="D12753" s="1"/>
      <c r="E12753" s="1"/>
      <c r="F12753" s="1" t="str">
        <f>IFERROR(__xludf.DUMMYFUNCTION("GOOGLETRANSLATE(B12753, ""en"", ""fa"")
"),"سبک زندگی عشایری دیجیتال")</f>
        <v>سبک زندگی عشایری دیجیتال</v>
      </c>
      <c r="G12753" s="1" t="str">
        <f>IFERROR(__xludf.DUMMYFUNCTION("GOOGLETRANSLATE(C12753, ""en"", ""fa"")
"),"آیا می توانید پلتفرم هایی را برای یافتن اقامتگاه ها و خدمات مناسب برای حیوانات خانگی در حین کوچ با حیوانات خانگی توصیه کنید؟")</f>
        <v>آیا می توانید پلتفرم هایی را برای یافتن اقامتگاه ها و خدمات مناسب برای حیوانات خانگی در حین کوچ با حیوانات خانگی توصیه کنید؟</v>
      </c>
      <c r="H12753" s="1"/>
      <c r="I12753" s="1"/>
      <c r="J12753" s="1"/>
      <c r="K12753" s="1"/>
      <c r="L12753" s="1"/>
      <c r="M12753" s="1"/>
      <c r="N12753" s="1"/>
      <c r="O12753" s="1"/>
      <c r="P12753" s="1"/>
      <c r="Q12753" s="1"/>
      <c r="R12753" s="1"/>
      <c r="S12753" s="1"/>
      <c r="T12753" s="1"/>
      <c r="U12753" s="1"/>
      <c r="V12753" s="1"/>
      <c r="W12753" s="1"/>
      <c r="X12753" s="1"/>
      <c r="Y12753" s="1"/>
      <c r="Z12753" s="1"/>
      <c r="AA12753" s="1"/>
      <c r="AB12753" s="1"/>
    </row>
    <row r="12754" ht="50.25" customHeight="1">
      <c r="A12754" s="12">
        <v>12750.0</v>
      </c>
      <c r="B12754" s="13" t="s">
        <v>12266</v>
      </c>
      <c r="C12754" s="14" t="s">
        <v>12417</v>
      </c>
      <c r="D12754" s="1"/>
      <c r="E12754" s="1"/>
      <c r="F12754" s="1" t="str">
        <f>IFERROR(__xludf.DUMMYFUNCTION("GOOGLETRANSLATE(B12754, ""en"", ""fa"")
"),"سبک زندگی عشایری دیجیتال")</f>
        <v>سبک زندگی عشایری دیجیتال</v>
      </c>
      <c r="G12754" s="1" t="str">
        <f>IFERROR(__xludf.DUMMYFUNCTION("GOOGLETRANSLATE(C12754, ""en"", ""fa"")
"),"چگونه می توانم جوامع مهاجر و جلسات عشایر دیجیتالی را در شهرهای مختلف پیدا کنم و با آنها تعامل کنم؟")</f>
        <v>چگونه می توانم جوامع مهاجر و جلسات عشایر دیجیتالی را در شهرهای مختلف پیدا کنم و با آنها تعامل کنم؟</v>
      </c>
      <c r="H12754" s="1"/>
      <c r="I12754" s="1"/>
      <c r="J12754" s="1"/>
      <c r="K12754" s="1"/>
      <c r="L12754" s="1"/>
      <c r="M12754" s="1"/>
      <c r="N12754" s="1"/>
      <c r="O12754" s="1"/>
      <c r="P12754" s="1"/>
      <c r="Q12754" s="1"/>
      <c r="R12754" s="1"/>
      <c r="S12754" s="1"/>
      <c r="T12754" s="1"/>
      <c r="U12754" s="1"/>
      <c r="V12754" s="1"/>
      <c r="W12754" s="1"/>
      <c r="X12754" s="1"/>
      <c r="Y12754" s="1"/>
      <c r="Z12754" s="1"/>
      <c r="AA12754" s="1"/>
      <c r="AB12754" s="1"/>
    </row>
    <row r="12755" ht="50.25" customHeight="1">
      <c r="A12755" s="12">
        <v>12751.0</v>
      </c>
      <c r="B12755" s="13" t="s">
        <v>12266</v>
      </c>
      <c r="C12755" s="14" t="s">
        <v>12418</v>
      </c>
      <c r="D12755" s="1"/>
      <c r="E12755" s="1"/>
      <c r="F12755" s="1" t="str">
        <f>IFERROR(__xludf.DUMMYFUNCTION("GOOGLETRANSLATE(B12755, ""en"", ""fa"")
"),"سبک زندگی عشایری دیجیتال")</f>
        <v>سبک زندگی عشایری دیجیتال</v>
      </c>
      <c r="G12755" s="1" t="str">
        <f>IFERROR(__xludf.DUMMYFUNCTION("GOOGLETRANSLATE(C12755, ""en"", ""fa"")
"),"بهترین راهبردها برای کارآمد ماندن و متمرکز ماندن در محل زندگی مشترک یا محل اقامت مشترک به عنوان یک عشایر چیست؟")</f>
        <v>بهترین راهبردها برای کارآمد ماندن و متمرکز ماندن در محل زندگی مشترک یا محل اقامت مشترک به عنوان یک عشایر چیست؟</v>
      </c>
      <c r="H12755" s="1"/>
      <c r="I12755" s="1"/>
      <c r="J12755" s="1"/>
      <c r="K12755" s="1"/>
      <c r="L12755" s="1"/>
      <c r="M12755" s="1"/>
      <c r="N12755" s="1"/>
      <c r="O12755" s="1"/>
      <c r="P12755" s="1"/>
      <c r="Q12755" s="1"/>
      <c r="R12755" s="1"/>
      <c r="S12755" s="1"/>
      <c r="T12755" s="1"/>
      <c r="U12755" s="1"/>
      <c r="V12755" s="1"/>
      <c r="W12755" s="1"/>
      <c r="X12755" s="1"/>
      <c r="Y12755" s="1"/>
      <c r="Z12755" s="1"/>
      <c r="AA12755" s="1"/>
      <c r="AB12755" s="1"/>
    </row>
    <row r="12756" ht="50.25" customHeight="1">
      <c r="A12756" s="12">
        <v>12752.0</v>
      </c>
      <c r="B12756" s="13" t="s">
        <v>12266</v>
      </c>
      <c r="C12756" s="14" t="s">
        <v>12419</v>
      </c>
      <c r="D12756" s="1"/>
      <c r="E12756" s="1"/>
      <c r="F12756" s="1" t="str">
        <f>IFERROR(__xludf.DUMMYFUNCTION("GOOGLETRANSLATE(B12756, ""en"", ""fa"")
"),"سبک زندگی عشایری دیجیتال")</f>
        <v>سبک زندگی عشایری دیجیتال</v>
      </c>
      <c r="G12756" s="1" t="str">
        <f>IFERROR(__xludf.DUMMYFUNCTION("GOOGLETRANSLATE(C12756, ""en"", ""fa"")
"),"چگونه می توانم از رویدادهای جهانی و محدودیت های سفر مطلع شوم تا بر اساس آن سفر عشایری خود را برنامه ریزی کنم؟")</f>
        <v>چگونه می توانم از رویدادهای جهانی و محدودیت های سفر مطلع شوم تا بر اساس آن سفر عشایری خود را برنامه ریزی کنم؟</v>
      </c>
      <c r="H12756" s="1"/>
      <c r="I12756" s="1"/>
      <c r="J12756" s="1"/>
      <c r="K12756" s="1"/>
      <c r="L12756" s="1"/>
      <c r="M12756" s="1"/>
      <c r="N12756" s="1"/>
      <c r="O12756" s="1"/>
      <c r="P12756" s="1"/>
      <c r="Q12756" s="1"/>
      <c r="R12756" s="1"/>
      <c r="S12756" s="1"/>
      <c r="T12756" s="1"/>
      <c r="U12756" s="1"/>
      <c r="V12756" s="1"/>
      <c r="W12756" s="1"/>
      <c r="X12756" s="1"/>
      <c r="Y12756" s="1"/>
      <c r="Z12756" s="1"/>
      <c r="AA12756" s="1"/>
      <c r="AB12756" s="1"/>
    </row>
    <row r="12757" ht="50.25" customHeight="1">
      <c r="A12757" s="12">
        <v>12753.0</v>
      </c>
      <c r="B12757" s="13" t="s">
        <v>12266</v>
      </c>
      <c r="C12757" s="14" t="s">
        <v>12420</v>
      </c>
      <c r="D12757" s="1"/>
      <c r="E12757" s="1"/>
      <c r="F12757" s="1" t="str">
        <f>IFERROR(__xludf.DUMMYFUNCTION("GOOGLETRANSLATE(B12757, ""en"", ""fa"")
"),"سبک زندگی عشایری دیجیتال")</f>
        <v>سبک زندگی عشایری دیجیتال</v>
      </c>
      <c r="G12757" s="1" t="str">
        <f>IFERROR(__xludf.DUMMYFUNCTION("GOOGLETRANSLATE(C12757, ""en"", ""fa"")
"),"منابع برتر برای یادگیری در مورد کارآفرینی محلی و فرصت های تجاری در هر کشوری که به عنوان یک کوچ دیجیتال از آن بازدید می کنم چیست؟")</f>
        <v>منابع برتر برای یادگیری در مورد کارآفرینی محلی و فرصت های تجاری در هر کشوری که به عنوان یک کوچ دیجیتال از آن بازدید می کنم چیست؟</v>
      </c>
      <c r="H12757" s="1"/>
      <c r="I12757" s="1"/>
      <c r="J12757" s="1"/>
      <c r="K12757" s="1"/>
      <c r="L12757" s="1"/>
      <c r="M12757" s="1"/>
      <c r="N12757" s="1"/>
      <c r="O12757" s="1"/>
      <c r="P12757" s="1"/>
      <c r="Q12757" s="1"/>
      <c r="R12757" s="1"/>
      <c r="S12757" s="1"/>
      <c r="T12757" s="1"/>
      <c r="U12757" s="1"/>
      <c r="V12757" s="1"/>
      <c r="W12757" s="1"/>
      <c r="X12757" s="1"/>
      <c r="Y12757" s="1"/>
      <c r="Z12757" s="1"/>
      <c r="AA12757" s="1"/>
      <c r="AB12757" s="1"/>
    </row>
    <row r="12758" ht="50.25" customHeight="1">
      <c r="A12758" s="12">
        <v>12754.0</v>
      </c>
      <c r="B12758" s="13" t="s">
        <v>12266</v>
      </c>
      <c r="C12758" s="14" t="s">
        <v>12421</v>
      </c>
      <c r="D12758" s="1"/>
      <c r="E12758" s="1"/>
      <c r="F12758" s="1" t="str">
        <f>IFERROR(__xludf.DUMMYFUNCTION("GOOGLETRANSLATE(B12758, ""en"", ""fa"")
"),"سبک زندگی عشایری دیجیتال")</f>
        <v>سبک زندگی عشایری دیجیتال</v>
      </c>
      <c r="G12758" s="1" t="str">
        <f>IFERROR(__xludf.DUMMYFUNCTION("GOOGLETRANSLATE(C12758, ""en"", ""fa"")
"),"آیا می‌توانید تکنیک‌هایی را برای حفظ تعادل بین کار و زندگی و در عین حال آزادی سبک زندگی عشایری پیشنهاد کنید؟")</f>
        <v>آیا می‌توانید تکنیک‌هایی را برای حفظ تعادل بین کار و زندگی و در عین حال آزادی سبک زندگی عشایری پیشنهاد کنید؟</v>
      </c>
      <c r="H12758" s="1"/>
      <c r="I12758" s="1"/>
      <c r="J12758" s="1"/>
      <c r="K12758" s="1"/>
      <c r="L12758" s="1"/>
      <c r="M12758" s="1"/>
      <c r="N12758" s="1"/>
      <c r="O12758" s="1"/>
      <c r="P12758" s="1"/>
      <c r="Q12758" s="1"/>
      <c r="R12758" s="1"/>
      <c r="S12758" s="1"/>
      <c r="T12758" s="1"/>
      <c r="U12758" s="1"/>
      <c r="V12758" s="1"/>
      <c r="W12758" s="1"/>
      <c r="X12758" s="1"/>
      <c r="Y12758" s="1"/>
      <c r="Z12758" s="1"/>
      <c r="AA12758" s="1"/>
      <c r="AB12758" s="1"/>
    </row>
    <row r="12759" ht="50.25" customHeight="1">
      <c r="A12759" s="12">
        <v>12755.0</v>
      </c>
      <c r="B12759" s="13" t="s">
        <v>12266</v>
      </c>
      <c r="C12759" s="14" t="s">
        <v>12422</v>
      </c>
      <c r="D12759" s="1"/>
      <c r="E12759" s="1"/>
      <c r="F12759" s="1" t="str">
        <f>IFERROR(__xludf.DUMMYFUNCTION("GOOGLETRANSLATE(B12759, ""en"", ""fa"")
"),"سبک زندگی عشایری دیجیتال")</f>
        <v>سبک زندگی عشایری دیجیتال</v>
      </c>
      <c r="G12759" s="1" t="str">
        <f>IFERROR(__xludf.DUMMYFUNCTION("GOOGLETRANSLATE(C12759, ""en"", ""fa"")
"),"چگونه می توانم در حین جستجوی خدمات مراقبت های بهداشتی و پشتیبانی پزشکی در کشورهای خارجی، موانع زبانی بالقوه را مرور کنم؟")</f>
        <v>چگونه می توانم در حین جستجوی خدمات مراقبت های بهداشتی و پشتیبانی پزشکی در کشورهای خارجی، موانع زبانی بالقوه را مرور کنم؟</v>
      </c>
      <c r="H12759" s="1"/>
      <c r="I12759" s="1"/>
      <c r="J12759" s="1"/>
      <c r="K12759" s="1"/>
      <c r="L12759" s="1"/>
      <c r="M12759" s="1"/>
      <c r="N12759" s="1"/>
      <c r="O12759" s="1"/>
      <c r="P12759" s="1"/>
      <c r="Q12759" s="1"/>
      <c r="R12759" s="1"/>
      <c r="S12759" s="1"/>
      <c r="T12759" s="1"/>
      <c r="U12759" s="1"/>
      <c r="V12759" s="1"/>
      <c r="W12759" s="1"/>
      <c r="X12759" s="1"/>
      <c r="Y12759" s="1"/>
      <c r="Z12759" s="1"/>
      <c r="AA12759" s="1"/>
      <c r="AB12759" s="1"/>
    </row>
    <row r="12760" ht="50.25" customHeight="1">
      <c r="A12760" s="12">
        <v>12756.0</v>
      </c>
      <c r="B12760" s="13" t="s">
        <v>12266</v>
      </c>
      <c r="C12760" s="14" t="s">
        <v>12423</v>
      </c>
      <c r="D12760" s="1"/>
      <c r="E12760" s="1"/>
      <c r="F12760" s="1" t="str">
        <f>IFERROR(__xludf.DUMMYFUNCTION("GOOGLETRANSLATE(B12760, ""en"", ""fa"")
"),"سبک زندگی عشایری دیجیتال")</f>
        <v>سبک زندگی عشایری دیجیتال</v>
      </c>
      <c r="G12760" s="1" t="str">
        <f>IFERROR(__xludf.DUMMYFUNCTION("GOOGLETRANSLATE(C12760, ""en"", ""fa"")
"),"بهترین شیوه ها برای همکاری و شبکه سازی با سایر عشایر دیجیتال در حین سفر چیست؟")</f>
        <v>بهترین شیوه ها برای همکاری و شبکه سازی با سایر عشایر دیجیتال در حین سفر چیست؟</v>
      </c>
      <c r="H12760" s="1"/>
      <c r="I12760" s="1"/>
      <c r="J12760" s="1"/>
      <c r="K12760" s="1"/>
      <c r="L12760" s="1"/>
      <c r="M12760" s="1"/>
      <c r="N12760" s="1"/>
      <c r="O12760" s="1"/>
      <c r="P12760" s="1"/>
      <c r="Q12760" s="1"/>
      <c r="R12760" s="1"/>
      <c r="S12760" s="1"/>
      <c r="T12760" s="1"/>
      <c r="U12760" s="1"/>
      <c r="V12760" s="1"/>
      <c r="W12760" s="1"/>
      <c r="X12760" s="1"/>
      <c r="Y12760" s="1"/>
      <c r="Z12760" s="1"/>
      <c r="AA12760" s="1"/>
      <c r="AB12760" s="1"/>
    </row>
    <row r="12761" ht="50.25" customHeight="1">
      <c r="A12761" s="12">
        <v>12757.0</v>
      </c>
      <c r="B12761" s="13" t="s">
        <v>12266</v>
      </c>
      <c r="C12761" s="14" t="s">
        <v>12424</v>
      </c>
      <c r="D12761" s="1"/>
      <c r="E12761" s="1"/>
      <c r="F12761" s="1" t="str">
        <f>IFERROR(__xludf.DUMMYFUNCTION("GOOGLETRANSLATE(B12761, ""en"", ""fa"")
"),"سبک زندگی عشایری دیجیتال")</f>
        <v>سبک زندگی عشایری دیجیتال</v>
      </c>
      <c r="G12761" s="1" t="str">
        <f>IFERROR(__xludf.DUMMYFUNCTION("GOOGLETRANSLATE(C12761, ""en"", ""fa"")
"),"چگونه می توانم از شیوه های سفر پایدار استقبال کنم و از ابتکارات محلی دوستدار محیط زیست به عنوان یک کوچ دیجیتال مسئول حمایت کنم؟")</f>
        <v>چگونه می توانم از شیوه های سفر پایدار استقبال کنم و از ابتکارات محلی دوستدار محیط زیست به عنوان یک کوچ دیجیتال مسئول حمایت کنم؟</v>
      </c>
      <c r="H12761" s="1"/>
      <c r="I12761" s="1"/>
      <c r="J12761" s="1"/>
      <c r="K12761" s="1"/>
      <c r="L12761" s="1"/>
      <c r="M12761" s="1"/>
      <c r="N12761" s="1"/>
      <c r="O12761" s="1"/>
      <c r="P12761" s="1"/>
      <c r="Q12761" s="1"/>
      <c r="R12761" s="1"/>
      <c r="S12761" s="1"/>
      <c r="T12761" s="1"/>
      <c r="U12761" s="1"/>
      <c r="V12761" s="1"/>
      <c r="W12761" s="1"/>
      <c r="X12761" s="1"/>
      <c r="Y12761" s="1"/>
      <c r="Z12761" s="1"/>
      <c r="AA12761" s="1"/>
      <c r="AB12761" s="1"/>
    </row>
    <row r="12762" ht="50.25" customHeight="1">
      <c r="A12762" s="12">
        <v>12758.0</v>
      </c>
      <c r="B12762" s="13" t="s">
        <v>12266</v>
      </c>
      <c r="C12762" s="14" t="s">
        <v>12425</v>
      </c>
      <c r="D12762" s="1"/>
      <c r="E12762" s="1"/>
      <c r="F12762" s="1" t="str">
        <f>IFERROR(__xludf.DUMMYFUNCTION("GOOGLETRANSLATE(B12762, ""en"", ""fa"")
"),"سبک زندگی عشایری دیجیتال")</f>
        <v>سبک زندگی عشایری دیجیتال</v>
      </c>
      <c r="G12762" s="1" t="str">
        <f>IFERROR(__xludf.DUMMYFUNCTION("GOOGLETRANSLATE(C12762, ""en"", ""fa"")
"),"استراتژی های برتر برای مدیریت و اولویت بندی پروژه ها یا مشتریان متعدد در حین عشایر چیست؟")</f>
        <v>استراتژی های برتر برای مدیریت و اولویت بندی پروژه ها یا مشتریان متعدد در حین عشایر چیست؟</v>
      </c>
      <c r="H12762" s="1"/>
      <c r="I12762" s="1"/>
      <c r="J12762" s="1"/>
      <c r="K12762" s="1"/>
      <c r="L12762" s="1"/>
      <c r="M12762" s="1"/>
      <c r="N12762" s="1"/>
      <c r="O12762" s="1"/>
      <c r="P12762" s="1"/>
      <c r="Q12762" s="1"/>
      <c r="R12762" s="1"/>
      <c r="S12762" s="1"/>
      <c r="T12762" s="1"/>
      <c r="U12762" s="1"/>
      <c r="V12762" s="1"/>
      <c r="W12762" s="1"/>
      <c r="X12762" s="1"/>
      <c r="Y12762" s="1"/>
      <c r="Z12762" s="1"/>
      <c r="AA12762" s="1"/>
      <c r="AB12762" s="1"/>
    </row>
    <row r="12763" ht="50.25" customHeight="1">
      <c r="A12763" s="12">
        <v>12759.0</v>
      </c>
      <c r="B12763" s="13" t="s">
        <v>12266</v>
      </c>
      <c r="C12763" s="14" t="s">
        <v>12426</v>
      </c>
      <c r="D12763" s="1"/>
      <c r="E12763" s="1"/>
      <c r="F12763" s="1" t="str">
        <f>IFERROR(__xludf.DUMMYFUNCTION("GOOGLETRANSLATE(B12763, ""en"", ""fa"")
"),"سبک زندگی عشایری دیجیتال")</f>
        <v>سبک زندگی عشایری دیجیتال</v>
      </c>
      <c r="G12763" s="1" t="str">
        <f>IFERROR(__xludf.DUMMYFUNCTION("GOOGLETRANSLATE(C12763, ""en"", ""fa"")
"),"آیا می توانید منابعی را برای آشنایی با تاریخ و فرهنگ هر مقصدی که به عنوان یک عشایر دیجیتالی کنجکاو از آن بازدید می کنم، توصیه کنید؟")</f>
        <v>آیا می توانید منابعی را برای آشنایی با تاریخ و فرهنگ هر مقصدی که به عنوان یک عشایر دیجیتالی کنجکاو از آن بازدید می کنم، توصیه کنید؟</v>
      </c>
      <c r="H12763" s="1"/>
      <c r="I12763" s="1"/>
      <c r="J12763" s="1"/>
      <c r="K12763" s="1"/>
      <c r="L12763" s="1"/>
      <c r="M12763" s="1"/>
      <c r="N12763" s="1"/>
      <c r="O12763" s="1"/>
      <c r="P12763" s="1"/>
      <c r="Q12763" s="1"/>
      <c r="R12763" s="1"/>
      <c r="S12763" s="1"/>
      <c r="T12763" s="1"/>
      <c r="U12763" s="1"/>
      <c r="V12763" s="1"/>
      <c r="W12763" s="1"/>
      <c r="X12763" s="1"/>
      <c r="Y12763" s="1"/>
      <c r="Z12763" s="1"/>
      <c r="AA12763" s="1"/>
      <c r="AB12763" s="1"/>
    </row>
    <row r="12764" ht="50.25" customHeight="1">
      <c r="A12764" s="12">
        <v>12760.0</v>
      </c>
      <c r="B12764" s="13" t="s">
        <v>12266</v>
      </c>
      <c r="C12764" s="14" t="s">
        <v>12427</v>
      </c>
      <c r="D12764" s="1"/>
      <c r="E12764" s="1"/>
      <c r="F12764" s="1" t="str">
        <f>IFERROR(__xludf.DUMMYFUNCTION("GOOGLETRANSLATE(B12764, ""en"", ""fa"")
"),"سبک زندگی عشایری دیجیتال")</f>
        <v>سبک زندگی عشایری دیجیتال</v>
      </c>
      <c r="G12764" s="1" t="str">
        <f>IFERROR(__xludf.DUMMYFUNCTION("GOOGLETRANSLATE(C12764, ""en"", ""fa"")
"),"چگونه بین خودانگیختگی و برنامه ریزی برای ایجاد یک سفر عشایری کامل و هدفمند تعادل برقرار کنم؟")</f>
        <v>چگونه بین خودانگیختگی و برنامه ریزی برای ایجاد یک سفر عشایری کامل و هدفمند تعادل برقرار کنم؟</v>
      </c>
      <c r="H12764" s="1"/>
      <c r="I12764" s="1"/>
      <c r="J12764" s="1"/>
      <c r="K12764" s="1"/>
      <c r="L12764" s="1"/>
      <c r="M12764" s="1"/>
      <c r="N12764" s="1"/>
      <c r="O12764" s="1"/>
      <c r="P12764" s="1"/>
      <c r="Q12764" s="1"/>
      <c r="R12764" s="1"/>
      <c r="S12764" s="1"/>
      <c r="T12764" s="1"/>
      <c r="U12764" s="1"/>
      <c r="V12764" s="1"/>
      <c r="W12764" s="1"/>
      <c r="X12764" s="1"/>
      <c r="Y12764" s="1"/>
      <c r="Z12764" s="1"/>
      <c r="AA12764" s="1"/>
      <c r="AB12764" s="1"/>
    </row>
    <row r="12765" ht="50.25" customHeight="1">
      <c r="A12765" s="12">
        <v>12761.0</v>
      </c>
      <c r="B12765" s="13" t="s">
        <v>12428</v>
      </c>
      <c r="C12765" s="14" t="s">
        <v>12429</v>
      </c>
      <c r="D12765" s="1"/>
      <c r="E12765" s="1"/>
      <c r="F12765" s="1" t="str">
        <f>IFERROR(__xludf.DUMMYFUNCTION("GOOGLETRANSLATE(B12765, ""en"", ""fa"")
"),"سلامت روان و رفاه")</f>
        <v>سلامت روان و رفاه</v>
      </c>
      <c r="G12765" s="1" t="str">
        <f>IFERROR(__xludf.DUMMYFUNCTION("GOOGLETRANSLATE(C12765, ""en"", ""fa"")
"),"چگونه می توانم استرس را مدیریت کنم و تکنیک های تمدد اعصاب را برای بهبود سلامت کلی ذهنم تمرین کنم؟")</f>
        <v>چگونه می توانم استرس را مدیریت کنم و تکنیک های تمدد اعصاب را برای بهبود سلامت کلی ذهنم تمرین کنم؟</v>
      </c>
      <c r="H12765" s="1"/>
      <c r="I12765" s="1"/>
      <c r="J12765" s="1"/>
      <c r="K12765" s="1"/>
      <c r="L12765" s="1"/>
      <c r="M12765" s="1"/>
      <c r="N12765" s="1"/>
      <c r="O12765" s="1"/>
      <c r="P12765" s="1"/>
      <c r="Q12765" s="1"/>
      <c r="R12765" s="1"/>
      <c r="S12765" s="1"/>
      <c r="T12765" s="1"/>
      <c r="U12765" s="1"/>
      <c r="V12765" s="1"/>
      <c r="W12765" s="1"/>
      <c r="X12765" s="1"/>
      <c r="Y12765" s="1"/>
      <c r="Z12765" s="1"/>
      <c r="AA12765" s="1"/>
      <c r="AB12765" s="1"/>
    </row>
    <row r="12766" ht="50.25" customHeight="1">
      <c r="A12766" s="12">
        <v>12762.0</v>
      </c>
      <c r="B12766" s="13" t="s">
        <v>12428</v>
      </c>
      <c r="C12766" s="14" t="s">
        <v>12430</v>
      </c>
      <c r="D12766" s="1"/>
      <c r="E12766" s="1"/>
      <c r="F12766" s="1" t="str">
        <f>IFERROR(__xludf.DUMMYFUNCTION("GOOGLETRANSLATE(B12766, ""en"", ""fa"")
"),"سلامت روان و رفاه")</f>
        <v>سلامت روان و رفاه</v>
      </c>
      <c r="G12766" s="1" t="str">
        <f>IFERROR(__xludf.DUMMYFUNCTION("GOOGLETRANSLATE(C12766, ""en"", ""fa"")
"),"بهترین تمرینات ذهن آگاهی برای پرورش حس آرامش و حضور در زندگی روزمره چیست؟")</f>
        <v>بهترین تمرینات ذهن آگاهی برای پرورش حس آرامش و حضور در زندگی روزمره چیست؟</v>
      </c>
      <c r="H12766" s="1"/>
      <c r="I12766" s="1"/>
      <c r="J12766" s="1"/>
      <c r="K12766" s="1"/>
      <c r="L12766" s="1"/>
      <c r="M12766" s="1"/>
      <c r="N12766" s="1"/>
      <c r="O12766" s="1"/>
      <c r="P12766" s="1"/>
      <c r="Q12766" s="1"/>
      <c r="R12766" s="1"/>
      <c r="S12766" s="1"/>
      <c r="T12766" s="1"/>
      <c r="U12766" s="1"/>
      <c r="V12766" s="1"/>
      <c r="W12766" s="1"/>
      <c r="X12766" s="1"/>
      <c r="Y12766" s="1"/>
      <c r="Z12766" s="1"/>
      <c r="AA12766" s="1"/>
      <c r="AB12766" s="1"/>
    </row>
    <row r="12767" ht="50.25" customHeight="1">
      <c r="A12767" s="12">
        <v>12763.0</v>
      </c>
      <c r="B12767" s="13" t="s">
        <v>12428</v>
      </c>
      <c r="C12767" s="14" t="s">
        <v>12431</v>
      </c>
      <c r="D12767" s="1"/>
      <c r="E12767" s="1"/>
      <c r="F12767" s="1" t="str">
        <f>IFERROR(__xludf.DUMMYFUNCTION("GOOGLETRANSLATE(B12767, ""en"", ""fa"")
"),"سلامت روان و رفاه")</f>
        <v>سلامت روان و رفاه</v>
      </c>
      <c r="G12767" s="1" t="str">
        <f>IFERROR(__xludf.DUMMYFUNCTION("GOOGLETRANSLATE(C12767, ""en"", ""fa"")
"),"چگونه انعطاف‌پذیری ایجاد کنم و با چالش‌ها کنار بیایم تا دیدگاه ذهنی مثبتی داشته باشم؟")</f>
        <v>چگونه انعطاف‌پذیری ایجاد کنم و با چالش‌ها کنار بیایم تا دیدگاه ذهنی مثبتی داشته باشم؟</v>
      </c>
      <c r="H12767" s="1"/>
      <c r="I12767" s="1"/>
      <c r="J12767" s="1"/>
      <c r="K12767" s="1"/>
      <c r="L12767" s="1"/>
      <c r="M12767" s="1"/>
      <c r="N12767" s="1"/>
      <c r="O12767" s="1"/>
      <c r="P12767" s="1"/>
      <c r="Q12767" s="1"/>
      <c r="R12767" s="1"/>
      <c r="S12767" s="1"/>
      <c r="T12767" s="1"/>
      <c r="U12767" s="1"/>
      <c r="V12767" s="1"/>
      <c r="W12767" s="1"/>
      <c r="X12767" s="1"/>
      <c r="Y12767" s="1"/>
      <c r="Z12767" s="1"/>
      <c r="AA12767" s="1"/>
      <c r="AB12767" s="1"/>
    </row>
    <row r="12768" ht="50.25" customHeight="1">
      <c r="A12768" s="12">
        <v>12764.0</v>
      </c>
      <c r="B12768" s="13" t="s">
        <v>12428</v>
      </c>
      <c r="C12768" s="14" t="s">
        <v>12432</v>
      </c>
      <c r="D12768" s="1"/>
      <c r="E12768" s="1"/>
      <c r="F12768" s="1" t="str">
        <f>IFERROR(__xludf.DUMMYFUNCTION("GOOGLETRANSLATE(B12768, ""en"", ""fa"")
"),"سلامت روان و رفاه")</f>
        <v>سلامت روان و رفاه</v>
      </c>
      <c r="G12768" s="1" t="str">
        <f>IFERROR(__xludf.DUMMYFUNCTION("GOOGLETRANSLATE(C12768, ""en"", ""fa"")
"),"آیا می توانید استراتژی هایی برای تعیین مرزهای سالم و مدیریت انرژی عاطفی در روابط پیشنهاد دهید؟")</f>
        <v>آیا می توانید استراتژی هایی برای تعیین مرزهای سالم و مدیریت انرژی عاطفی در روابط پیشنهاد دهید؟</v>
      </c>
      <c r="H12768" s="1"/>
      <c r="I12768" s="1"/>
      <c r="J12768" s="1"/>
      <c r="K12768" s="1"/>
      <c r="L12768" s="1"/>
      <c r="M12768" s="1"/>
      <c r="N12768" s="1"/>
      <c r="O12768" s="1"/>
      <c r="P12768" s="1"/>
      <c r="Q12768" s="1"/>
      <c r="R12768" s="1"/>
      <c r="S12768" s="1"/>
      <c r="T12768" s="1"/>
      <c r="U12768" s="1"/>
      <c r="V12768" s="1"/>
      <c r="W12768" s="1"/>
      <c r="X12768" s="1"/>
      <c r="Y12768" s="1"/>
      <c r="Z12768" s="1"/>
      <c r="AA12768" s="1"/>
      <c r="AB12768" s="1"/>
    </row>
    <row r="12769" ht="50.25" customHeight="1">
      <c r="A12769" s="12">
        <v>12765.0</v>
      </c>
      <c r="B12769" s="13" t="s">
        <v>12428</v>
      </c>
      <c r="C12769" s="14" t="s">
        <v>12433</v>
      </c>
      <c r="D12769" s="1"/>
      <c r="E12769" s="1"/>
      <c r="F12769" s="1" t="str">
        <f>IFERROR(__xludf.DUMMYFUNCTION("GOOGLETRANSLATE(B12769, ""en"", ""fa"")
"),"سلامت روان و رفاه")</f>
        <v>سلامت روان و رفاه</v>
      </c>
      <c r="G12769" s="1" t="str">
        <f>IFERROR(__xludf.DUMMYFUNCTION("GOOGLETRANSLATE(C12769, ""en"", ""fa"")
"),"نکات مهم برای بهبود کیفیت خواب و ایجاد یک روال خواب ثابت چیست؟")</f>
        <v>نکات مهم برای بهبود کیفیت خواب و ایجاد یک روال خواب ثابت چیست؟</v>
      </c>
      <c r="H12769" s="1"/>
      <c r="I12769" s="1"/>
      <c r="J12769" s="1"/>
      <c r="K12769" s="1"/>
      <c r="L12769" s="1"/>
      <c r="M12769" s="1"/>
      <c r="N12769" s="1"/>
      <c r="O12769" s="1"/>
      <c r="P12769" s="1"/>
      <c r="Q12769" s="1"/>
      <c r="R12769" s="1"/>
      <c r="S12769" s="1"/>
      <c r="T12769" s="1"/>
      <c r="U12769" s="1"/>
      <c r="V12769" s="1"/>
      <c r="W12769" s="1"/>
      <c r="X12769" s="1"/>
      <c r="Y12769" s="1"/>
      <c r="Z12769" s="1"/>
      <c r="AA12769" s="1"/>
      <c r="AB12769" s="1"/>
    </row>
    <row r="12770" ht="50.25" customHeight="1">
      <c r="A12770" s="12">
        <v>12766.0</v>
      </c>
      <c r="B12770" s="13" t="s">
        <v>12428</v>
      </c>
      <c r="C12770" s="14" t="s">
        <v>12434</v>
      </c>
      <c r="D12770" s="1"/>
      <c r="E12770" s="1"/>
      <c r="F12770" s="1" t="str">
        <f>IFERROR(__xludf.DUMMYFUNCTION("GOOGLETRANSLATE(B12770, ""en"", ""fa"")
"),"سلامت روان و رفاه")</f>
        <v>سلامت روان و رفاه</v>
      </c>
      <c r="G12770" s="1" t="str">
        <f>IFERROR(__xludf.DUMMYFUNCTION("GOOGLETRANSLATE(C12770, ""en"", ""fa"")
"),"چگونه می توانم شفقت به خود را تمرین کنم و یک تصویر مثبت از خود برای سلامت روانی بهتر پرورش دهم؟")</f>
        <v>چگونه می توانم شفقت به خود را تمرین کنم و یک تصویر مثبت از خود برای سلامت روانی بهتر پرورش دهم؟</v>
      </c>
      <c r="H12770" s="1"/>
      <c r="I12770" s="1"/>
      <c r="J12770" s="1"/>
      <c r="K12770" s="1"/>
      <c r="L12770" s="1"/>
      <c r="M12770" s="1"/>
      <c r="N12770" s="1"/>
      <c r="O12770" s="1"/>
      <c r="P12770" s="1"/>
      <c r="Q12770" s="1"/>
      <c r="R12770" s="1"/>
      <c r="S12770" s="1"/>
      <c r="T12770" s="1"/>
      <c r="U12770" s="1"/>
      <c r="V12770" s="1"/>
      <c r="W12770" s="1"/>
      <c r="X12770" s="1"/>
      <c r="Y12770" s="1"/>
      <c r="Z12770" s="1"/>
      <c r="AA12770" s="1"/>
      <c r="AB12770" s="1"/>
    </row>
    <row r="12771" ht="50.25" customHeight="1">
      <c r="A12771" s="12">
        <v>12767.0</v>
      </c>
      <c r="B12771" s="13" t="s">
        <v>12428</v>
      </c>
      <c r="C12771" s="14" t="s">
        <v>12435</v>
      </c>
      <c r="D12771" s="1"/>
      <c r="E12771" s="1"/>
      <c r="F12771" s="1" t="str">
        <f>IFERROR(__xludf.DUMMYFUNCTION("GOOGLETRANSLATE(B12771, ""en"", ""fa"")
"),"سلامت روان و رفاه")</f>
        <v>سلامت روان و رفاه</v>
      </c>
      <c r="G12771" s="1" t="str">
        <f>IFERROR(__xludf.DUMMYFUNCTION("GOOGLETRANSLATE(C12771, ""en"", ""fa"")
"),"بهترین تکنیک ها برای مدیریت اضطراب و کاهش تاثیر آن بر فعالیت های روزانه چیست؟")</f>
        <v>بهترین تکنیک ها برای مدیریت اضطراب و کاهش تاثیر آن بر فعالیت های روزانه چیست؟</v>
      </c>
      <c r="H12771" s="1"/>
      <c r="I12771" s="1"/>
      <c r="J12771" s="1"/>
      <c r="K12771" s="1"/>
      <c r="L12771" s="1"/>
      <c r="M12771" s="1"/>
      <c r="N12771" s="1"/>
      <c r="O12771" s="1"/>
      <c r="P12771" s="1"/>
      <c r="Q12771" s="1"/>
      <c r="R12771" s="1"/>
      <c r="S12771" s="1"/>
      <c r="T12771" s="1"/>
      <c r="U12771" s="1"/>
      <c r="V12771" s="1"/>
      <c r="W12771" s="1"/>
      <c r="X12771" s="1"/>
      <c r="Y12771" s="1"/>
      <c r="Z12771" s="1"/>
      <c r="AA12771" s="1"/>
      <c r="AB12771" s="1"/>
    </row>
    <row r="12772" ht="50.25" customHeight="1">
      <c r="A12772" s="12">
        <v>12768.0</v>
      </c>
      <c r="B12772" s="13" t="s">
        <v>12428</v>
      </c>
      <c r="C12772" s="14" t="s">
        <v>12436</v>
      </c>
      <c r="D12772" s="1"/>
      <c r="E12772" s="1"/>
      <c r="F12772" s="1" t="str">
        <f>IFERROR(__xludf.DUMMYFUNCTION("GOOGLETRANSLATE(B12772, ""en"", ""fa"")
"),"سلامت روان و رفاه")</f>
        <v>سلامت روان و رفاه</v>
      </c>
      <c r="G12772" s="1" t="str">
        <f>IFERROR(__xludf.DUMMYFUNCTION("GOOGLETRANSLATE(C12772, ""en"", ""fa"")
"),"چگونه می توانم تعادل کار و زندگی سالم را برای حمایت از سلامت روان خود ایجاد و حفظ کنم؟")</f>
        <v>چگونه می توانم تعادل کار و زندگی سالم را برای حمایت از سلامت روان خود ایجاد و حفظ کنم؟</v>
      </c>
      <c r="H12772" s="1"/>
      <c r="I12772" s="1"/>
      <c r="J12772" s="1"/>
      <c r="K12772" s="1"/>
      <c r="L12772" s="1"/>
      <c r="M12772" s="1"/>
      <c r="N12772" s="1"/>
      <c r="O12772" s="1"/>
      <c r="P12772" s="1"/>
      <c r="Q12772" s="1"/>
      <c r="R12772" s="1"/>
      <c r="S12772" s="1"/>
      <c r="T12772" s="1"/>
      <c r="U12772" s="1"/>
      <c r="V12772" s="1"/>
      <c r="W12772" s="1"/>
      <c r="X12772" s="1"/>
      <c r="Y12772" s="1"/>
      <c r="Z12772" s="1"/>
      <c r="AA12772" s="1"/>
      <c r="AB12772" s="1"/>
    </row>
    <row r="12773" ht="50.25" customHeight="1">
      <c r="A12773" s="12">
        <v>12769.0</v>
      </c>
      <c r="B12773" s="13" t="s">
        <v>12428</v>
      </c>
      <c r="C12773" s="14" t="s">
        <v>12437</v>
      </c>
      <c r="D12773" s="1"/>
      <c r="E12773" s="1"/>
      <c r="F12773" s="1" t="str">
        <f>IFERROR(__xludf.DUMMYFUNCTION("GOOGLETRANSLATE(B12773, ""en"", ""fa"")
"),"سلامت روان و رفاه")</f>
        <v>سلامت روان و رفاه</v>
      </c>
      <c r="G12773" s="1" t="str">
        <f>IFERROR(__xludf.DUMMYFUNCTION("GOOGLETRANSLATE(C12773, ""en"", ""fa"")
"),"آیا می توانید منابعی را برای یادگیری در مورد سبک های مختلف مدیتیشن و مزایای آنها توصیه کنید؟")</f>
        <v>آیا می توانید منابعی را برای یادگیری در مورد سبک های مختلف مدیتیشن و مزایای آنها توصیه کنید؟</v>
      </c>
      <c r="H12773" s="1"/>
      <c r="I12773" s="1"/>
      <c r="J12773" s="1"/>
      <c r="K12773" s="1"/>
      <c r="L12773" s="1"/>
      <c r="M12773" s="1"/>
      <c r="N12773" s="1"/>
      <c r="O12773" s="1"/>
      <c r="P12773" s="1"/>
      <c r="Q12773" s="1"/>
      <c r="R12773" s="1"/>
      <c r="S12773" s="1"/>
      <c r="T12773" s="1"/>
      <c r="U12773" s="1"/>
      <c r="V12773" s="1"/>
      <c r="W12773" s="1"/>
      <c r="X12773" s="1"/>
      <c r="Y12773" s="1"/>
      <c r="Z12773" s="1"/>
      <c r="AA12773" s="1"/>
      <c r="AB12773" s="1"/>
    </row>
    <row r="12774" ht="50.25" customHeight="1">
      <c r="A12774" s="12">
        <v>12770.0</v>
      </c>
      <c r="B12774" s="13" t="s">
        <v>12428</v>
      </c>
      <c r="C12774" s="14" t="s">
        <v>12438</v>
      </c>
      <c r="D12774" s="1"/>
      <c r="E12774" s="1"/>
      <c r="F12774" s="1" t="str">
        <f>IFERROR(__xludf.DUMMYFUNCTION("GOOGLETRANSLATE(B12774, ""en"", ""fa"")
"),"سلامت روان و رفاه")</f>
        <v>سلامت روان و رفاه</v>
      </c>
      <c r="G12774" s="1" t="str">
        <f>IFERROR(__xludf.DUMMYFUNCTION("GOOGLETRANSLATE(C12774, ""en"", ""fa"")
"),"راهبردهای برتر برای مدیریت و مقابله با احساس تنهایی و انزوا چیست؟")</f>
        <v>راهبردهای برتر برای مدیریت و مقابله با احساس تنهایی و انزوا چیست؟</v>
      </c>
      <c r="H12774" s="1"/>
      <c r="I12774" s="1"/>
      <c r="J12774" s="1"/>
      <c r="K12774" s="1"/>
      <c r="L12774" s="1"/>
      <c r="M12774" s="1"/>
      <c r="N12774" s="1"/>
      <c r="O12774" s="1"/>
      <c r="P12774" s="1"/>
      <c r="Q12774" s="1"/>
      <c r="R12774" s="1"/>
      <c r="S12774" s="1"/>
      <c r="T12774" s="1"/>
      <c r="U12774" s="1"/>
      <c r="V12774" s="1"/>
      <c r="W12774" s="1"/>
      <c r="X12774" s="1"/>
      <c r="Y12774" s="1"/>
      <c r="Z12774" s="1"/>
      <c r="AA12774" s="1"/>
      <c r="AB12774" s="1"/>
    </row>
    <row r="12775" ht="50.25" customHeight="1">
      <c r="A12775" s="12">
        <v>12771.0</v>
      </c>
      <c r="B12775" s="13" t="s">
        <v>12428</v>
      </c>
      <c r="C12775" s="14" t="s">
        <v>12439</v>
      </c>
      <c r="D12775" s="1"/>
      <c r="E12775" s="1"/>
      <c r="F12775" s="1" t="str">
        <f>IFERROR(__xludf.DUMMYFUNCTION("GOOGLETRANSLATE(B12775, ""en"", ""fa"")
"),"سلامت روان و رفاه")</f>
        <v>سلامت روان و رفاه</v>
      </c>
      <c r="G12775" s="1" t="str">
        <f>IFERROR(__xludf.DUMMYFUNCTION("GOOGLETRANSLATE(C12775, ""en"", ""fa"")
"),"چگونه می توانم هوش هیجانی خود را برای درک و بیان بهتر احساسات خود بهبود بخشم؟")</f>
        <v>چگونه می توانم هوش هیجانی خود را برای درک و بیان بهتر احساسات خود بهبود بخشم؟</v>
      </c>
      <c r="H12775" s="1"/>
      <c r="I12775" s="1"/>
      <c r="J12775" s="1"/>
      <c r="K12775" s="1"/>
      <c r="L12775" s="1"/>
      <c r="M12775" s="1"/>
      <c r="N12775" s="1"/>
      <c r="O12775" s="1"/>
      <c r="P12775" s="1"/>
      <c r="Q12775" s="1"/>
      <c r="R12775" s="1"/>
      <c r="S12775" s="1"/>
      <c r="T12775" s="1"/>
      <c r="U12775" s="1"/>
      <c r="V12775" s="1"/>
      <c r="W12775" s="1"/>
      <c r="X12775" s="1"/>
      <c r="Y12775" s="1"/>
      <c r="Z12775" s="1"/>
      <c r="AA12775" s="1"/>
      <c r="AB12775" s="1"/>
    </row>
    <row r="12776" ht="50.25" customHeight="1">
      <c r="A12776" s="12">
        <v>12772.0</v>
      </c>
      <c r="B12776" s="13" t="s">
        <v>12428</v>
      </c>
      <c r="C12776" s="14" t="s">
        <v>12440</v>
      </c>
      <c r="D12776" s="1"/>
      <c r="E12776" s="1"/>
      <c r="F12776" s="1" t="str">
        <f>IFERROR(__xludf.DUMMYFUNCTION("GOOGLETRANSLATE(B12776, ""en"", ""fa"")
"),"سلامت روان و رفاه")</f>
        <v>سلامت روان و رفاه</v>
      </c>
      <c r="G12776" s="1" t="str">
        <f>IFERROR(__xludf.DUMMYFUNCTION("GOOGLETRANSLATE(C12776, ""en"", ""fa"")
"),"بهترین روش ها برای ایجاد اعتماد به نفس و افزایش عزت نفس چیست؟")</f>
        <v>بهترین روش ها برای ایجاد اعتماد به نفس و افزایش عزت نفس چیست؟</v>
      </c>
      <c r="H12776" s="1"/>
      <c r="I12776" s="1"/>
      <c r="J12776" s="1"/>
      <c r="K12776" s="1"/>
      <c r="L12776" s="1"/>
      <c r="M12776" s="1"/>
      <c r="N12776" s="1"/>
      <c r="O12776" s="1"/>
      <c r="P12776" s="1"/>
      <c r="Q12776" s="1"/>
      <c r="R12776" s="1"/>
      <c r="S12776" s="1"/>
      <c r="T12776" s="1"/>
      <c r="U12776" s="1"/>
      <c r="V12776" s="1"/>
      <c r="W12776" s="1"/>
      <c r="X12776" s="1"/>
      <c r="Y12776" s="1"/>
      <c r="Z12776" s="1"/>
      <c r="AA12776" s="1"/>
      <c r="AB12776" s="1"/>
    </row>
    <row r="12777" ht="50.25" customHeight="1">
      <c r="A12777" s="12">
        <v>12773.0</v>
      </c>
      <c r="B12777" s="13" t="s">
        <v>12428</v>
      </c>
      <c r="C12777" s="14" t="s">
        <v>12441</v>
      </c>
      <c r="D12777" s="1"/>
      <c r="E12777" s="1"/>
      <c r="F12777" s="1" t="str">
        <f>IFERROR(__xludf.DUMMYFUNCTION("GOOGLETRANSLATE(B12777, ""en"", ""fa"")
"),"سلامت روان و رفاه")</f>
        <v>سلامت روان و رفاه</v>
      </c>
      <c r="G12777" s="1" t="str">
        <f>IFERROR(__xludf.DUMMYFUNCTION("GOOGLETRANSLATE(C12777, ""en"", ""fa"")
"),"چگونه می توانم به الگوهای افکار منفی غلبه کنم تا ذهنیت مثبت تری را ترویج کنم؟")</f>
        <v>چگونه می توانم به الگوهای افکار منفی غلبه کنم تا ذهنیت مثبت تری را ترویج کنم؟</v>
      </c>
      <c r="H12777" s="1"/>
      <c r="I12777" s="1"/>
      <c r="J12777" s="1"/>
      <c r="K12777" s="1"/>
      <c r="L12777" s="1"/>
      <c r="M12777" s="1"/>
      <c r="N12777" s="1"/>
      <c r="O12777" s="1"/>
      <c r="P12777" s="1"/>
      <c r="Q12777" s="1"/>
      <c r="R12777" s="1"/>
      <c r="S12777" s="1"/>
      <c r="T12777" s="1"/>
      <c r="U12777" s="1"/>
      <c r="V12777" s="1"/>
      <c r="W12777" s="1"/>
      <c r="X12777" s="1"/>
      <c r="Y12777" s="1"/>
      <c r="Z12777" s="1"/>
      <c r="AA12777" s="1"/>
      <c r="AB12777" s="1"/>
    </row>
    <row r="12778" ht="50.25" customHeight="1">
      <c r="A12778" s="12">
        <v>12774.0</v>
      </c>
      <c r="B12778" s="13" t="s">
        <v>12428</v>
      </c>
      <c r="C12778" s="14" t="s">
        <v>12442</v>
      </c>
      <c r="D12778" s="1"/>
      <c r="E12778" s="1"/>
      <c r="F12778" s="1" t="str">
        <f>IFERROR(__xludf.DUMMYFUNCTION("GOOGLETRANSLATE(B12778, ""en"", ""fa"")
"),"سلامت روان و رفاه")</f>
        <v>سلامت روان و رفاه</v>
      </c>
      <c r="G12778" s="1" t="str">
        <f>IFERROR(__xludf.DUMMYFUNCTION("GOOGLETRANSLATE(C12778, ""en"", ""fa"")
"),"آیا می توانید تکنیک هایی را برای تمرین قدردانی و تقویت حس قدردانی در زندگی روزمره پیشنهاد کنید؟")</f>
        <v>آیا می توانید تکنیک هایی را برای تمرین قدردانی و تقویت حس قدردانی در زندگی روزمره پیشنهاد کنید؟</v>
      </c>
      <c r="H12778" s="1"/>
      <c r="I12778" s="1"/>
      <c r="J12778" s="1"/>
      <c r="K12778" s="1"/>
      <c r="L12778" s="1"/>
      <c r="M12778" s="1"/>
      <c r="N12778" s="1"/>
      <c r="O12778" s="1"/>
      <c r="P12778" s="1"/>
      <c r="Q12778" s="1"/>
      <c r="R12778" s="1"/>
      <c r="S12778" s="1"/>
      <c r="T12778" s="1"/>
      <c r="U12778" s="1"/>
      <c r="V12778" s="1"/>
      <c r="W12778" s="1"/>
      <c r="X12778" s="1"/>
      <c r="Y12778" s="1"/>
      <c r="Z12778" s="1"/>
      <c r="AA12778" s="1"/>
      <c r="AB12778" s="1"/>
    </row>
    <row r="12779" ht="50.25" customHeight="1">
      <c r="A12779" s="12">
        <v>12775.0</v>
      </c>
      <c r="B12779" s="13" t="s">
        <v>12428</v>
      </c>
      <c r="C12779" s="14" t="s">
        <v>12443</v>
      </c>
      <c r="D12779" s="1"/>
      <c r="E12779" s="1"/>
      <c r="F12779" s="1" t="str">
        <f>IFERROR(__xludf.DUMMYFUNCTION("GOOGLETRANSLATE(B12779, ""en"", ""fa"")
"),"سلامت روان و رفاه")</f>
        <v>سلامت روان و رفاه</v>
      </c>
      <c r="G12779" s="1" t="str">
        <f>IFERROR(__xludf.DUMMYFUNCTION("GOOGLETRANSLATE(C12779, ""en"", ""fa"")
"),"نکات مهم برای تغییر مسیر زندگی و حفظ سلامت روانی در طول تغییرات چیست؟")</f>
        <v>نکات مهم برای تغییر مسیر زندگی و حفظ سلامت روانی در طول تغییرات چیست؟</v>
      </c>
      <c r="H12779" s="1"/>
      <c r="I12779" s="1"/>
      <c r="J12779" s="1"/>
      <c r="K12779" s="1"/>
      <c r="L12779" s="1"/>
      <c r="M12779" s="1"/>
      <c r="N12779" s="1"/>
      <c r="O12779" s="1"/>
      <c r="P12779" s="1"/>
      <c r="Q12779" s="1"/>
      <c r="R12779" s="1"/>
      <c r="S12779" s="1"/>
      <c r="T12779" s="1"/>
      <c r="U12779" s="1"/>
      <c r="V12779" s="1"/>
      <c r="W12779" s="1"/>
      <c r="X12779" s="1"/>
      <c r="Y12779" s="1"/>
      <c r="Z12779" s="1"/>
      <c r="AA12779" s="1"/>
      <c r="AB12779" s="1"/>
    </row>
    <row r="12780" ht="50.25" customHeight="1">
      <c r="A12780" s="12">
        <v>12776.0</v>
      </c>
      <c r="B12780" s="13" t="s">
        <v>12428</v>
      </c>
      <c r="C12780" s="14" t="s">
        <v>12444</v>
      </c>
      <c r="D12780" s="1"/>
      <c r="E12780" s="1"/>
      <c r="F12780" s="1" t="str">
        <f>IFERROR(__xludf.DUMMYFUNCTION("GOOGLETRANSLATE(B12780, ""en"", ""fa"")
"),"سلامت روان و رفاه")</f>
        <v>سلامت روان و رفاه</v>
      </c>
      <c r="G12780" s="1" t="str">
        <f>IFERROR(__xludf.DUMMYFUNCTION("GOOGLETRANSLATE(C12780, ""en"", ""fa"")
"),"چگونه می توانم یک روال سلامتی ایجاد کنم و به آن پایبند باشم که از سلامت روانی و عاطفی من حمایت کند؟")</f>
        <v>چگونه می توانم یک روال سلامتی ایجاد کنم و به آن پایبند باشم که از سلامت روانی و عاطفی من حمایت کند؟</v>
      </c>
      <c r="H12780" s="1"/>
      <c r="I12780" s="1"/>
      <c r="J12780" s="1"/>
      <c r="K12780" s="1"/>
      <c r="L12780" s="1"/>
      <c r="M12780" s="1"/>
      <c r="N12780" s="1"/>
      <c r="O12780" s="1"/>
      <c r="P12780" s="1"/>
      <c r="Q12780" s="1"/>
      <c r="R12780" s="1"/>
      <c r="S12780" s="1"/>
      <c r="T12780" s="1"/>
      <c r="U12780" s="1"/>
      <c r="V12780" s="1"/>
      <c r="W12780" s="1"/>
      <c r="X12780" s="1"/>
      <c r="Y12780" s="1"/>
      <c r="Z12780" s="1"/>
      <c r="AA12780" s="1"/>
      <c r="AB12780" s="1"/>
    </row>
    <row r="12781" ht="50.25" customHeight="1">
      <c r="A12781" s="12">
        <v>12777.0</v>
      </c>
      <c r="B12781" s="13" t="s">
        <v>12428</v>
      </c>
      <c r="C12781" s="14" t="s">
        <v>12445</v>
      </c>
      <c r="D12781" s="1"/>
      <c r="E12781" s="1"/>
      <c r="F12781" s="1" t="str">
        <f>IFERROR(__xludf.DUMMYFUNCTION("GOOGLETRANSLATE(B12781, ""en"", ""fa"")
"),"سلامت روان و رفاه")</f>
        <v>سلامت روان و رفاه</v>
      </c>
      <c r="G12781" s="1" t="str">
        <f>IFERROR(__xludf.DUMMYFUNCTION("GOOGLETRANSLATE(C12781, ""en"", ""fa"")
"),"بهترین منابع برای یافتن کمک و پشتیبانی حرفه ای برای چالش های سلامت روان چیست؟")</f>
        <v>بهترین منابع برای یافتن کمک و پشتیبانی حرفه ای برای چالش های سلامت روان چیست؟</v>
      </c>
      <c r="H12781" s="1"/>
      <c r="I12781" s="1"/>
      <c r="J12781" s="1"/>
      <c r="K12781" s="1"/>
      <c r="L12781" s="1"/>
      <c r="M12781" s="1"/>
      <c r="N12781" s="1"/>
      <c r="O12781" s="1"/>
      <c r="P12781" s="1"/>
      <c r="Q12781" s="1"/>
      <c r="R12781" s="1"/>
      <c r="S12781" s="1"/>
      <c r="T12781" s="1"/>
      <c r="U12781" s="1"/>
      <c r="V12781" s="1"/>
      <c r="W12781" s="1"/>
      <c r="X12781" s="1"/>
      <c r="Y12781" s="1"/>
      <c r="Z12781" s="1"/>
      <c r="AA12781" s="1"/>
      <c r="AB12781" s="1"/>
    </row>
    <row r="12782" ht="50.25" customHeight="1">
      <c r="A12782" s="12">
        <v>12778.0</v>
      </c>
      <c r="B12782" s="13" t="s">
        <v>12428</v>
      </c>
      <c r="C12782" s="14" t="s">
        <v>12446</v>
      </c>
      <c r="D12782" s="1"/>
      <c r="E12782" s="1"/>
      <c r="F12782" s="1" t="str">
        <f>IFERROR(__xludf.DUMMYFUNCTION("GOOGLETRANSLATE(B12782, ""en"", ""fa"")
"),"سلامت روان و رفاه")</f>
        <v>سلامت روان و رفاه</v>
      </c>
      <c r="G12782" s="1" t="str">
        <f>IFERROR(__xludf.DUMMYFUNCTION("GOOGLETRANSLATE(C12782, ""en"", ""fa"")
"),"چگونه علائم فرسودگی شغلی را مدیریت و کاهش دهم تا از تأثیرات منفی طولانی مدت بر سلامت روانی خود جلوگیری کنم؟")</f>
        <v>چگونه علائم فرسودگی شغلی را مدیریت و کاهش دهم تا از تأثیرات منفی طولانی مدت بر سلامت روانی خود جلوگیری کنم؟</v>
      </c>
      <c r="H12782" s="1"/>
      <c r="I12782" s="1"/>
      <c r="J12782" s="1"/>
      <c r="K12782" s="1"/>
      <c r="L12782" s="1"/>
      <c r="M12782" s="1"/>
      <c r="N12782" s="1"/>
      <c r="O12782" s="1"/>
      <c r="P12782" s="1"/>
      <c r="Q12782" s="1"/>
      <c r="R12782" s="1"/>
      <c r="S12782" s="1"/>
      <c r="T12782" s="1"/>
      <c r="U12782" s="1"/>
      <c r="V12782" s="1"/>
      <c r="W12782" s="1"/>
      <c r="X12782" s="1"/>
      <c r="Y12782" s="1"/>
      <c r="Z12782" s="1"/>
      <c r="AA12782" s="1"/>
      <c r="AB12782" s="1"/>
    </row>
    <row r="12783" ht="50.25" customHeight="1">
      <c r="A12783" s="12">
        <v>12779.0</v>
      </c>
      <c r="B12783" s="13" t="s">
        <v>12428</v>
      </c>
      <c r="C12783" s="14" t="s">
        <v>12447</v>
      </c>
      <c r="D12783" s="1"/>
      <c r="E12783" s="1"/>
      <c r="F12783" s="1" t="str">
        <f>IFERROR(__xludf.DUMMYFUNCTION("GOOGLETRANSLATE(B12783, ""en"", ""fa"")
"),"سلامت روان و رفاه")</f>
        <v>سلامت روان و رفاه</v>
      </c>
      <c r="G12783" s="1" t="str">
        <f>IFERROR(__xludf.DUMMYFUNCTION("GOOGLETRANSLATE(C12783, ""en"", ""fa"")
"),"آیا می‌توانید اپلیکیشن‌ها و ابزارهای ذهن‌آگاهی را برای گنجاندن تمرین‌های تمرکز حواس در برنامه روزانه‌ام توصیه کنید؟")</f>
        <v>آیا می‌توانید اپلیکیشن‌ها و ابزارهای ذهن‌آگاهی را برای گنجاندن تمرین‌های تمرکز حواس در برنامه روزانه‌ام توصیه کنید؟</v>
      </c>
      <c r="H12783" s="1"/>
      <c r="I12783" s="1"/>
      <c r="J12783" s="1"/>
      <c r="K12783" s="1"/>
      <c r="L12783" s="1"/>
      <c r="M12783" s="1"/>
      <c r="N12783" s="1"/>
      <c r="O12783" s="1"/>
      <c r="P12783" s="1"/>
      <c r="Q12783" s="1"/>
      <c r="R12783" s="1"/>
      <c r="S12783" s="1"/>
      <c r="T12783" s="1"/>
      <c r="U12783" s="1"/>
      <c r="V12783" s="1"/>
      <c r="W12783" s="1"/>
      <c r="X12783" s="1"/>
      <c r="Y12783" s="1"/>
      <c r="Z12783" s="1"/>
      <c r="AA12783" s="1"/>
      <c r="AB12783" s="1"/>
    </row>
    <row r="12784" ht="50.25" customHeight="1">
      <c r="A12784" s="12">
        <v>12780.0</v>
      </c>
      <c r="B12784" s="13" t="s">
        <v>12428</v>
      </c>
      <c r="C12784" s="14" t="s">
        <v>12448</v>
      </c>
      <c r="D12784" s="1"/>
      <c r="E12784" s="1"/>
      <c r="F12784" s="1" t="str">
        <f>IFERROR(__xludf.DUMMYFUNCTION("GOOGLETRANSLATE(B12784, ""en"", ""fa"")
"),"سلامت روان و رفاه")</f>
        <v>سلامت روان و رفاه</v>
      </c>
      <c r="G12784" s="1" t="str">
        <f>IFERROR(__xludf.DUMMYFUNCTION("GOOGLETRANSLATE(C12784, ""en"", ""fa"")
"),"راهبردهای برتر برای مدیریت استرس در محیط کار و ارتقای محیط کار سالم چیست؟")</f>
        <v>راهبردهای برتر برای مدیریت استرس در محیط کار و ارتقای محیط کار سالم چیست؟</v>
      </c>
      <c r="H12784" s="1"/>
      <c r="I12784" s="1"/>
      <c r="J12784" s="1"/>
      <c r="K12784" s="1"/>
      <c r="L12784" s="1"/>
      <c r="M12784" s="1"/>
      <c r="N12784" s="1"/>
      <c r="O12784" s="1"/>
      <c r="P12784" s="1"/>
      <c r="Q12784" s="1"/>
      <c r="R12784" s="1"/>
      <c r="S12784" s="1"/>
      <c r="T12784" s="1"/>
      <c r="U12784" s="1"/>
      <c r="V12784" s="1"/>
      <c r="W12784" s="1"/>
      <c r="X12784" s="1"/>
      <c r="Y12784" s="1"/>
      <c r="Z12784" s="1"/>
      <c r="AA12784" s="1"/>
      <c r="AB12784" s="1"/>
    </row>
    <row r="12785" ht="50.25" customHeight="1">
      <c r="A12785" s="12">
        <v>12781.0</v>
      </c>
      <c r="B12785" s="13" t="s">
        <v>12428</v>
      </c>
      <c r="C12785" s="14" t="s">
        <v>12449</v>
      </c>
      <c r="D12785" s="1"/>
      <c r="E12785" s="1"/>
      <c r="F12785" s="1" t="str">
        <f>IFERROR(__xludf.DUMMYFUNCTION("GOOGLETRANSLATE(B12785, ""en"", ""fa"")
"),"سلامت روان و رفاه")</f>
        <v>سلامت روان و رفاه</v>
      </c>
      <c r="G12785" s="1" t="str">
        <f>IFERROR(__xludf.DUMMYFUNCTION("GOOGLETRANSLATE(C12785, ""en"", ""fa"")
"),"چگونه می توانم روابط سالم و حمایتی را برای سلامت روان بهتر ایجاد و حفظ کنم؟")</f>
        <v>چگونه می توانم روابط سالم و حمایتی را برای سلامت روان بهتر ایجاد و حفظ کنم؟</v>
      </c>
      <c r="H12785" s="1"/>
      <c r="I12785" s="1"/>
      <c r="J12785" s="1"/>
      <c r="K12785" s="1"/>
      <c r="L12785" s="1"/>
      <c r="M12785" s="1"/>
      <c r="N12785" s="1"/>
      <c r="O12785" s="1"/>
      <c r="P12785" s="1"/>
      <c r="Q12785" s="1"/>
      <c r="R12785" s="1"/>
      <c r="S12785" s="1"/>
      <c r="T12785" s="1"/>
      <c r="U12785" s="1"/>
      <c r="V12785" s="1"/>
      <c r="W12785" s="1"/>
      <c r="X12785" s="1"/>
      <c r="Y12785" s="1"/>
      <c r="Z12785" s="1"/>
      <c r="AA12785" s="1"/>
      <c r="AB12785" s="1"/>
    </row>
    <row r="12786" ht="50.25" customHeight="1">
      <c r="A12786" s="12">
        <v>12782.0</v>
      </c>
      <c r="B12786" s="13" t="s">
        <v>12428</v>
      </c>
      <c r="C12786" s="14" t="s">
        <v>12450</v>
      </c>
      <c r="D12786" s="1"/>
      <c r="E12786" s="1"/>
      <c r="F12786" s="1" t="str">
        <f>IFERROR(__xludf.DUMMYFUNCTION("GOOGLETRANSLATE(B12786, ""en"", ""fa"")
"),"سلامت روان و رفاه")</f>
        <v>سلامت روان و رفاه</v>
      </c>
      <c r="G12786" s="1" t="str">
        <f>IFERROR(__xludf.DUMMYFUNCTION("GOOGLETRANSLATE(C12786, ""en"", ""fa"")
"),"بهترین تکنیک ها برای تعیین و دستیابی به اهداف واقع بینانه برای تقویت انگیزه و رضایت شخصی چیست؟")</f>
        <v>بهترین تکنیک ها برای تعیین و دستیابی به اهداف واقع بینانه برای تقویت انگیزه و رضایت شخصی چیست؟</v>
      </c>
      <c r="H12786" s="1"/>
      <c r="I12786" s="1"/>
      <c r="J12786" s="1"/>
      <c r="K12786" s="1"/>
      <c r="L12786" s="1"/>
      <c r="M12786" s="1"/>
      <c r="N12786" s="1"/>
      <c r="O12786" s="1"/>
      <c r="P12786" s="1"/>
      <c r="Q12786" s="1"/>
      <c r="R12786" s="1"/>
      <c r="S12786" s="1"/>
      <c r="T12786" s="1"/>
      <c r="U12786" s="1"/>
      <c r="V12786" s="1"/>
      <c r="W12786" s="1"/>
      <c r="X12786" s="1"/>
      <c r="Y12786" s="1"/>
      <c r="Z12786" s="1"/>
      <c r="AA12786" s="1"/>
      <c r="AB12786" s="1"/>
    </row>
    <row r="12787" ht="50.25" customHeight="1">
      <c r="A12787" s="12">
        <v>12783.0</v>
      </c>
      <c r="B12787" s="13" t="s">
        <v>12428</v>
      </c>
      <c r="C12787" s="14" t="s">
        <v>12451</v>
      </c>
      <c r="D12787" s="1"/>
      <c r="E12787" s="1"/>
      <c r="F12787" s="1" t="str">
        <f>IFERROR(__xludf.DUMMYFUNCTION("GOOGLETRANSLATE(B12787, ""en"", ""fa"")
"),"سلامت روان و رفاه")</f>
        <v>سلامت روان و رفاه</v>
      </c>
      <c r="G12787" s="1" t="str">
        <f>IFERROR(__xludf.DUMMYFUNCTION("GOOGLETRANSLATE(C12787, ""en"", ""fa"")
"),"چگونه می توانم خودمراقبتی را انجام دهم و سلامت روانی خود را در یک برنامه شلوغ و سخت در اولویت قرار دهم؟")</f>
        <v>چگونه می توانم خودمراقبتی را انجام دهم و سلامت روانی خود را در یک برنامه شلوغ و سخت در اولویت قرار دهم؟</v>
      </c>
      <c r="H12787" s="1"/>
      <c r="I12787" s="1"/>
      <c r="J12787" s="1"/>
      <c r="K12787" s="1"/>
      <c r="L12787" s="1"/>
      <c r="M12787" s="1"/>
      <c r="N12787" s="1"/>
      <c r="O12787" s="1"/>
      <c r="P12787" s="1"/>
      <c r="Q12787" s="1"/>
      <c r="R12787" s="1"/>
      <c r="S12787" s="1"/>
      <c r="T12787" s="1"/>
      <c r="U12787" s="1"/>
      <c r="V12787" s="1"/>
      <c r="W12787" s="1"/>
      <c r="X12787" s="1"/>
      <c r="Y12787" s="1"/>
      <c r="Z12787" s="1"/>
      <c r="AA12787" s="1"/>
      <c r="AB12787" s="1"/>
    </row>
    <row r="12788" ht="50.25" customHeight="1">
      <c r="A12788" s="12">
        <v>12784.0</v>
      </c>
      <c r="B12788" s="13" t="s">
        <v>12428</v>
      </c>
      <c r="C12788" s="14" t="s">
        <v>12452</v>
      </c>
      <c r="D12788" s="1"/>
      <c r="E12788" s="1"/>
      <c r="F12788" s="1" t="str">
        <f>IFERROR(__xludf.DUMMYFUNCTION("GOOGLETRANSLATE(B12788, ""en"", ""fa"")
"),"سلامت روان و رفاه")</f>
        <v>سلامت روان و رفاه</v>
      </c>
      <c r="G12788" s="1" t="str">
        <f>IFERROR(__xludf.DUMMYFUNCTION("GOOGLETRANSLATE(C12788, ""en"", ""fa"")
"),"آیا می‌توانید فعالیت‌ها و سرگرمی‌هایی را پیشنهاد کنید که باعث آرامش و کاهش احساس اضطراب یا افسردگی می‌شوند؟")</f>
        <v>آیا می‌توانید فعالیت‌ها و سرگرمی‌هایی را پیشنهاد کنید که باعث آرامش و کاهش احساس اضطراب یا افسردگی می‌شوند؟</v>
      </c>
      <c r="H12788" s="1"/>
      <c r="I12788" s="1"/>
      <c r="J12788" s="1"/>
      <c r="K12788" s="1"/>
      <c r="L12788" s="1"/>
      <c r="M12788" s="1"/>
      <c r="N12788" s="1"/>
      <c r="O12788" s="1"/>
      <c r="P12788" s="1"/>
      <c r="Q12788" s="1"/>
      <c r="R12788" s="1"/>
      <c r="S12788" s="1"/>
      <c r="T12788" s="1"/>
      <c r="U12788" s="1"/>
      <c r="V12788" s="1"/>
      <c r="W12788" s="1"/>
      <c r="X12788" s="1"/>
      <c r="Y12788" s="1"/>
      <c r="Z12788" s="1"/>
      <c r="AA12788" s="1"/>
      <c r="AB12788" s="1"/>
    </row>
    <row r="12789" ht="50.25" customHeight="1">
      <c r="A12789" s="12">
        <v>12785.0</v>
      </c>
      <c r="B12789" s="13" t="s">
        <v>12428</v>
      </c>
      <c r="C12789" s="14" t="s">
        <v>12453</v>
      </c>
      <c r="D12789" s="1"/>
      <c r="E12789" s="1"/>
      <c r="F12789" s="1" t="str">
        <f>IFERROR(__xludf.DUMMYFUNCTION("GOOGLETRANSLATE(B12789, ""en"", ""fa"")
"),"سلامت روان و رفاه")</f>
        <v>سلامت روان و رفاه</v>
      </c>
      <c r="G12789" s="1" t="str">
        <f>IFERROR(__xludf.DUMMYFUNCTION("GOOGLETRANSLATE(C12789, ""en"", ""fa"")
"),"نکات مهم برای تقویت تصویر بدنی مثبت و ایجاد رابطه سالم با بدن من چیست؟")</f>
        <v>نکات مهم برای تقویت تصویر بدنی مثبت و ایجاد رابطه سالم با بدن من چیست؟</v>
      </c>
      <c r="H12789" s="1"/>
      <c r="I12789" s="1"/>
      <c r="J12789" s="1"/>
      <c r="K12789" s="1"/>
      <c r="L12789" s="1"/>
      <c r="M12789" s="1"/>
      <c r="N12789" s="1"/>
      <c r="O12789" s="1"/>
      <c r="P12789" s="1"/>
      <c r="Q12789" s="1"/>
      <c r="R12789" s="1"/>
      <c r="S12789" s="1"/>
      <c r="T12789" s="1"/>
      <c r="U12789" s="1"/>
      <c r="V12789" s="1"/>
      <c r="W12789" s="1"/>
      <c r="X12789" s="1"/>
      <c r="Y12789" s="1"/>
      <c r="Z12789" s="1"/>
      <c r="AA12789" s="1"/>
      <c r="AB12789" s="1"/>
    </row>
    <row r="12790" ht="50.25" customHeight="1">
      <c r="A12790" s="12">
        <v>12786.0</v>
      </c>
      <c r="B12790" s="13" t="s">
        <v>12428</v>
      </c>
      <c r="C12790" s="14" t="s">
        <v>12454</v>
      </c>
      <c r="D12790" s="1"/>
      <c r="E12790" s="1"/>
      <c r="F12790" s="1" t="str">
        <f>IFERROR(__xludf.DUMMYFUNCTION("GOOGLETRANSLATE(B12790, ""en"", ""fa"")
"),"سلامت روان و رفاه")</f>
        <v>سلامت روان و رفاه</v>
      </c>
      <c r="G12790" s="1" t="str">
        <f>IFERROR(__xludf.DUMMYFUNCTION("GOOGLETRANSLATE(C12790, ""en"", ""fa"")
"),"چگونه می توانم احساس غرق شدن را مدیریت کنم و تکنیک های زمین را در موقعیت های چالش برانگیز تمرین کنم؟")</f>
        <v>چگونه می توانم احساس غرق شدن را مدیریت کنم و تکنیک های زمین را در موقعیت های چالش برانگیز تمرین کنم؟</v>
      </c>
      <c r="H12790" s="1"/>
      <c r="I12790" s="1"/>
      <c r="J12790" s="1"/>
      <c r="K12790" s="1"/>
      <c r="L12790" s="1"/>
      <c r="M12790" s="1"/>
      <c r="N12790" s="1"/>
      <c r="O12790" s="1"/>
      <c r="P12790" s="1"/>
      <c r="Q12790" s="1"/>
      <c r="R12790" s="1"/>
      <c r="S12790" s="1"/>
      <c r="T12790" s="1"/>
      <c r="U12790" s="1"/>
      <c r="V12790" s="1"/>
      <c r="W12790" s="1"/>
      <c r="X12790" s="1"/>
      <c r="Y12790" s="1"/>
      <c r="Z12790" s="1"/>
      <c r="AA12790" s="1"/>
      <c r="AB12790" s="1"/>
    </row>
    <row r="12791" ht="50.25" customHeight="1">
      <c r="A12791" s="12">
        <v>12787.0</v>
      </c>
      <c r="B12791" s="13" t="s">
        <v>12428</v>
      </c>
      <c r="C12791" s="14" t="s">
        <v>12455</v>
      </c>
      <c r="D12791" s="1"/>
      <c r="E12791" s="1"/>
      <c r="F12791" s="1" t="str">
        <f>IFERROR(__xludf.DUMMYFUNCTION("GOOGLETRANSLATE(B12791, ""en"", ""fa"")
"),"سلامت روان و رفاه")</f>
        <v>سلامت روان و رفاه</v>
      </c>
      <c r="G12791" s="1" t="str">
        <f>IFERROR(__xludf.DUMMYFUNCTION("GOOGLETRANSLATE(C12791, ""en"", ""fa"")
"),"بهترین منابع برای درک و مدیریت انواع اختلالات سلامت روان چیست؟")</f>
        <v>بهترین منابع برای درک و مدیریت انواع اختلالات سلامت روان چیست؟</v>
      </c>
      <c r="H12791" s="1"/>
      <c r="I12791" s="1"/>
      <c r="J12791" s="1"/>
      <c r="K12791" s="1"/>
      <c r="L12791" s="1"/>
      <c r="M12791" s="1"/>
      <c r="N12791" s="1"/>
      <c r="O12791" s="1"/>
      <c r="P12791" s="1"/>
      <c r="Q12791" s="1"/>
      <c r="R12791" s="1"/>
      <c r="S12791" s="1"/>
      <c r="T12791" s="1"/>
      <c r="U12791" s="1"/>
      <c r="V12791" s="1"/>
      <c r="W12791" s="1"/>
      <c r="X12791" s="1"/>
      <c r="Y12791" s="1"/>
      <c r="Z12791" s="1"/>
      <c r="AA12791" s="1"/>
      <c r="AB12791" s="1"/>
    </row>
    <row r="12792" ht="50.25" customHeight="1">
      <c r="A12792" s="12">
        <v>12788.0</v>
      </c>
      <c r="B12792" s="13" t="s">
        <v>12428</v>
      </c>
      <c r="C12792" s="14" t="s">
        <v>12456</v>
      </c>
      <c r="D12792" s="1"/>
      <c r="E12792" s="1"/>
      <c r="F12792" s="1" t="str">
        <f>IFERROR(__xludf.DUMMYFUNCTION("GOOGLETRANSLATE(B12792, ""en"", ""fa"")
"),"سلامت روان و رفاه")</f>
        <v>سلامت روان و رفاه</v>
      </c>
      <c r="G12792" s="1" t="str">
        <f>IFERROR(__xludf.DUMMYFUNCTION("GOOGLETRANSLATE(C12792, ""en"", ""fa"")
"),"چگونه می توانم مکانیسم های مقابله ای سالم را برای مقابله با استرس و احساسات دشوار ایجاد و حفظ کنم؟")</f>
        <v>چگونه می توانم مکانیسم های مقابله ای سالم را برای مقابله با استرس و احساسات دشوار ایجاد و حفظ کنم؟</v>
      </c>
      <c r="H12792" s="1"/>
      <c r="I12792" s="1"/>
      <c r="J12792" s="1"/>
      <c r="K12792" s="1"/>
      <c r="L12792" s="1"/>
      <c r="M12792" s="1"/>
      <c r="N12792" s="1"/>
      <c r="O12792" s="1"/>
      <c r="P12792" s="1"/>
      <c r="Q12792" s="1"/>
      <c r="R12792" s="1"/>
      <c r="S12792" s="1"/>
      <c r="T12792" s="1"/>
      <c r="U12792" s="1"/>
      <c r="V12792" s="1"/>
      <c r="W12792" s="1"/>
      <c r="X12792" s="1"/>
      <c r="Y12792" s="1"/>
      <c r="Z12792" s="1"/>
      <c r="AA12792" s="1"/>
      <c r="AB12792" s="1"/>
    </row>
    <row r="12793" ht="50.25" customHeight="1">
      <c r="A12793" s="12">
        <v>12789.0</v>
      </c>
      <c r="B12793" s="13" t="s">
        <v>12428</v>
      </c>
      <c r="C12793" s="14" t="s">
        <v>12457</v>
      </c>
      <c r="D12793" s="1"/>
      <c r="E12793" s="1"/>
      <c r="F12793" s="1" t="str">
        <f>IFERROR(__xludf.DUMMYFUNCTION("GOOGLETRANSLATE(B12793, ""en"", ""fa"")
"),"سلامت روان و رفاه")</f>
        <v>سلامت روان و رفاه</v>
      </c>
      <c r="G12793" s="1" t="str">
        <f>IFERROR(__xludf.DUMMYFUNCTION("GOOGLETRANSLATE(C12793, ""en"", ""fa"")
"),"آیا می توانید استراتژی هایی را برای بهبود تنظیم هیجانی و مدیریت سازنده احساسات شدید توصیه کنید؟")</f>
        <v>آیا می توانید استراتژی هایی را برای بهبود تنظیم هیجانی و مدیریت سازنده احساسات شدید توصیه کنید؟</v>
      </c>
      <c r="H12793" s="1"/>
      <c r="I12793" s="1"/>
      <c r="J12793" s="1"/>
      <c r="K12793" s="1"/>
      <c r="L12793" s="1"/>
      <c r="M12793" s="1"/>
      <c r="N12793" s="1"/>
      <c r="O12793" s="1"/>
      <c r="P12793" s="1"/>
      <c r="Q12793" s="1"/>
      <c r="R12793" s="1"/>
      <c r="S12793" s="1"/>
      <c r="T12793" s="1"/>
      <c r="U12793" s="1"/>
      <c r="V12793" s="1"/>
      <c r="W12793" s="1"/>
      <c r="X12793" s="1"/>
      <c r="Y12793" s="1"/>
      <c r="Z12793" s="1"/>
      <c r="AA12793" s="1"/>
      <c r="AB12793" s="1"/>
    </row>
    <row r="12794" ht="50.25" customHeight="1">
      <c r="A12794" s="12">
        <v>12790.0</v>
      </c>
      <c r="B12794" s="13" t="s">
        <v>12428</v>
      </c>
      <c r="C12794" s="14" t="s">
        <v>12458</v>
      </c>
      <c r="D12794" s="1"/>
      <c r="E12794" s="1"/>
      <c r="F12794" s="1" t="str">
        <f>IFERROR(__xludf.DUMMYFUNCTION("GOOGLETRANSLATE(B12794, ""en"", ""fa"")
"),"سلامت روان و رفاه")</f>
        <v>سلامت روان و رفاه</v>
      </c>
      <c r="G12794" s="1" t="str">
        <f>IFERROR(__xludf.DUMMYFUNCTION("GOOGLETRANSLATE(C12794, ""en"", ""fa"")
"),"تکنیک های برتر برای تمرین ذهن آگاهی در فعالیت ها و تجربیات روزمره چیست؟")</f>
        <v>تکنیک های برتر برای تمرین ذهن آگاهی در فعالیت ها و تجربیات روزمره چیست؟</v>
      </c>
      <c r="H12794" s="1"/>
      <c r="I12794" s="1"/>
      <c r="J12794" s="1"/>
      <c r="K12794" s="1"/>
      <c r="L12794" s="1"/>
      <c r="M12794" s="1"/>
      <c r="N12794" s="1"/>
      <c r="O12794" s="1"/>
      <c r="P12794" s="1"/>
      <c r="Q12794" s="1"/>
      <c r="R12794" s="1"/>
      <c r="S12794" s="1"/>
      <c r="T12794" s="1"/>
      <c r="U12794" s="1"/>
      <c r="V12794" s="1"/>
      <c r="W12794" s="1"/>
      <c r="X12794" s="1"/>
      <c r="Y12794" s="1"/>
      <c r="Z12794" s="1"/>
      <c r="AA12794" s="1"/>
      <c r="AB12794" s="1"/>
    </row>
    <row r="12795" ht="50.25" customHeight="1">
      <c r="A12795" s="12">
        <v>12791.0</v>
      </c>
      <c r="B12795" s="13" t="s">
        <v>12428</v>
      </c>
      <c r="C12795" s="14" t="s">
        <v>12459</v>
      </c>
      <c r="D12795" s="1"/>
      <c r="E12795" s="1"/>
      <c r="F12795" s="1" t="str">
        <f>IFERROR(__xludf.DUMMYFUNCTION("GOOGLETRANSLATE(B12795, ""en"", ""fa"")
"),"سلامت روان و رفاه")</f>
        <v>سلامت روان و رفاه</v>
      </c>
      <c r="G12795" s="1" t="str">
        <f>IFERROR(__xludf.DUMMYFUNCTION("GOOGLETRANSLATE(C12795, ""en"", ""fa"")
"),"چگونه می توانم یک محیط حمایتی و بدون قضاوت برای بیان و پردازش احساسات ایجاد کنم؟")</f>
        <v>چگونه می توانم یک محیط حمایتی و بدون قضاوت برای بیان و پردازش احساسات ایجاد کنم؟</v>
      </c>
      <c r="H12795" s="1"/>
      <c r="I12795" s="1"/>
      <c r="J12795" s="1"/>
      <c r="K12795" s="1"/>
      <c r="L12795" s="1"/>
      <c r="M12795" s="1"/>
      <c r="N12795" s="1"/>
      <c r="O12795" s="1"/>
      <c r="P12795" s="1"/>
      <c r="Q12795" s="1"/>
      <c r="R12795" s="1"/>
      <c r="S12795" s="1"/>
      <c r="T12795" s="1"/>
      <c r="U12795" s="1"/>
      <c r="V12795" s="1"/>
      <c r="W12795" s="1"/>
      <c r="X12795" s="1"/>
      <c r="Y12795" s="1"/>
      <c r="Z12795" s="1"/>
      <c r="AA12795" s="1"/>
      <c r="AB12795" s="1"/>
    </row>
    <row r="12796" ht="50.25" customHeight="1">
      <c r="A12796" s="12">
        <v>12792.0</v>
      </c>
      <c r="B12796" s="13" t="s">
        <v>12428</v>
      </c>
      <c r="C12796" s="14" t="s">
        <v>12460</v>
      </c>
      <c r="D12796" s="1"/>
      <c r="E12796" s="1"/>
      <c r="F12796" s="1" t="str">
        <f>IFERROR(__xludf.DUMMYFUNCTION("GOOGLETRANSLATE(B12796, ""en"", ""fa"")
"),"سلامت روان و رفاه")</f>
        <v>سلامت روان و رفاه</v>
      </c>
      <c r="G12796" s="1" t="str">
        <f>IFERROR(__xludf.DUMMYFUNCTION("GOOGLETRANSLATE(C12796, ""en"", ""fa"")
"),"بهترین شیوه ها برای مدیریت و کاهش علائم اضطراب یا حملات پانیک چیست؟")</f>
        <v>بهترین شیوه ها برای مدیریت و کاهش علائم اضطراب یا حملات پانیک چیست؟</v>
      </c>
      <c r="H12796" s="1"/>
      <c r="I12796" s="1"/>
      <c r="J12796" s="1"/>
      <c r="K12796" s="1"/>
      <c r="L12796" s="1"/>
      <c r="M12796" s="1"/>
      <c r="N12796" s="1"/>
      <c r="O12796" s="1"/>
      <c r="P12796" s="1"/>
      <c r="Q12796" s="1"/>
      <c r="R12796" s="1"/>
      <c r="S12796" s="1"/>
      <c r="T12796" s="1"/>
      <c r="U12796" s="1"/>
      <c r="V12796" s="1"/>
      <c r="W12796" s="1"/>
      <c r="X12796" s="1"/>
      <c r="Y12796" s="1"/>
      <c r="Z12796" s="1"/>
      <c r="AA12796" s="1"/>
      <c r="AB12796" s="1"/>
    </row>
    <row r="12797" ht="50.25" customHeight="1">
      <c r="A12797" s="12">
        <v>12793.0</v>
      </c>
      <c r="B12797" s="13" t="s">
        <v>12428</v>
      </c>
      <c r="C12797" s="14" t="s">
        <v>12461</v>
      </c>
      <c r="D12797" s="1"/>
      <c r="E12797" s="1"/>
      <c r="F12797" s="1" t="str">
        <f>IFERROR(__xludf.DUMMYFUNCTION("GOOGLETRANSLATE(B12797, ""en"", ""fa"")
"),"سلامت روان و رفاه")</f>
        <v>سلامت روان و رفاه</v>
      </c>
      <c r="G12797" s="1" t="str">
        <f>IFERROR(__xludf.DUMMYFUNCTION("GOOGLETRANSLATE(C12797, ""en"", ""fa"")
"),"چگونه می توانم ذهنیت رشد را پرورش دهم و چالش ها را به عنوان فرصت هایی برای پیشرفت شخصی در آغوش بگیرم؟")</f>
        <v>چگونه می توانم ذهنیت رشد را پرورش دهم و چالش ها را به عنوان فرصت هایی برای پیشرفت شخصی در آغوش بگیرم؟</v>
      </c>
      <c r="H12797" s="1"/>
      <c r="I12797" s="1"/>
      <c r="J12797" s="1"/>
      <c r="K12797" s="1"/>
      <c r="L12797" s="1"/>
      <c r="M12797" s="1"/>
      <c r="N12797" s="1"/>
      <c r="O12797" s="1"/>
      <c r="P12797" s="1"/>
      <c r="Q12797" s="1"/>
      <c r="R12797" s="1"/>
      <c r="S12797" s="1"/>
      <c r="T12797" s="1"/>
      <c r="U12797" s="1"/>
      <c r="V12797" s="1"/>
      <c r="W12797" s="1"/>
      <c r="X12797" s="1"/>
      <c r="Y12797" s="1"/>
      <c r="Z12797" s="1"/>
      <c r="AA12797" s="1"/>
      <c r="AB12797" s="1"/>
    </row>
    <row r="12798" ht="50.25" customHeight="1">
      <c r="A12798" s="12">
        <v>12794.0</v>
      </c>
      <c r="B12798" s="13" t="s">
        <v>12428</v>
      </c>
      <c r="C12798" s="14" t="s">
        <v>12462</v>
      </c>
      <c r="D12798" s="1"/>
      <c r="E12798" s="1"/>
      <c r="F12798" s="1" t="str">
        <f>IFERROR(__xludf.DUMMYFUNCTION("GOOGLETRANSLATE(B12798, ""en"", ""fa"")
"),"سلامت روان و رفاه")</f>
        <v>سلامت روان و رفاه</v>
      </c>
      <c r="G12798" s="1" t="str">
        <f>IFERROR(__xludf.DUMMYFUNCTION("GOOGLETRANSLATE(C12798, ""en"", ""fa"")
"),"آیا می‌توانید منابعی را برای یادگیری تکنیک‌های مختلف آرام‌سازی، مانند تنفس عمیق یا آرام‌سازی پیشرونده عضلانی، پیشنهاد کنید؟")</f>
        <v>آیا می‌توانید منابعی را برای یادگیری تکنیک‌های مختلف آرام‌سازی، مانند تنفس عمیق یا آرام‌سازی پیشرونده عضلانی، پیشنهاد کنید؟</v>
      </c>
      <c r="H12798" s="1"/>
      <c r="I12798" s="1"/>
      <c r="J12798" s="1"/>
      <c r="K12798" s="1"/>
      <c r="L12798" s="1"/>
      <c r="M12798" s="1"/>
      <c r="N12798" s="1"/>
      <c r="O12798" s="1"/>
      <c r="P12798" s="1"/>
      <c r="Q12798" s="1"/>
      <c r="R12798" s="1"/>
      <c r="S12798" s="1"/>
      <c r="T12798" s="1"/>
      <c r="U12798" s="1"/>
      <c r="V12798" s="1"/>
      <c r="W12798" s="1"/>
      <c r="X12798" s="1"/>
      <c r="Y12798" s="1"/>
      <c r="Z12798" s="1"/>
      <c r="AA12798" s="1"/>
      <c r="AB12798" s="1"/>
    </row>
    <row r="12799" ht="50.25" customHeight="1">
      <c r="A12799" s="12">
        <v>12795.0</v>
      </c>
      <c r="B12799" s="13" t="s">
        <v>12428</v>
      </c>
      <c r="C12799" s="14" t="s">
        <v>12463</v>
      </c>
      <c r="D12799" s="1"/>
      <c r="E12799" s="1"/>
      <c r="F12799" s="1" t="str">
        <f>IFERROR(__xludf.DUMMYFUNCTION("GOOGLETRANSLATE(B12799, ""en"", ""fa"")
"),"سلامت روان و رفاه")</f>
        <v>سلامت روان و رفاه</v>
      </c>
      <c r="G12799" s="1" t="str">
        <f>IFERROR(__xludf.DUMMYFUNCTION("GOOGLETRANSLATE(C12799, ""en"", ""fa"")
"),"نکات مهم برای تعیین مرزهای دیجیتال سالم برای محافظت از سلامت روان در عصر فناوری چیست؟")</f>
        <v>نکات مهم برای تعیین مرزهای دیجیتال سالم برای محافظت از سلامت روان در عصر فناوری چیست؟</v>
      </c>
      <c r="H12799" s="1"/>
      <c r="I12799" s="1"/>
      <c r="J12799" s="1"/>
      <c r="K12799" s="1"/>
      <c r="L12799" s="1"/>
      <c r="M12799" s="1"/>
      <c r="N12799" s="1"/>
      <c r="O12799" s="1"/>
      <c r="P12799" s="1"/>
      <c r="Q12799" s="1"/>
      <c r="R12799" s="1"/>
      <c r="S12799" s="1"/>
      <c r="T12799" s="1"/>
      <c r="U12799" s="1"/>
      <c r="V12799" s="1"/>
      <c r="W12799" s="1"/>
      <c r="X12799" s="1"/>
      <c r="Y12799" s="1"/>
      <c r="Z12799" s="1"/>
      <c r="AA12799" s="1"/>
      <c r="AB12799" s="1"/>
    </row>
    <row r="12800" ht="50.25" customHeight="1">
      <c r="A12800" s="12">
        <v>12796.0</v>
      </c>
      <c r="B12800" s="13" t="s">
        <v>12428</v>
      </c>
      <c r="C12800" s="14" t="s">
        <v>12464</v>
      </c>
      <c r="D12800" s="1"/>
      <c r="E12800" s="1"/>
      <c r="F12800" s="1" t="str">
        <f>IFERROR(__xludf.DUMMYFUNCTION("GOOGLETRANSLATE(B12800, ""en"", ""fa"")
"),"سلامت روان و رفاه")</f>
        <v>سلامت روان و رفاه</v>
      </c>
      <c r="G12800" s="1" t="str">
        <f>IFERROR(__xludf.DUMMYFUNCTION("GOOGLETRANSLATE(C12800, ""en"", ""fa"")
"),"چگونه می توانم در مواقع تردید یا انتقاد نسبت به خود شفقت و مهربانی به خودم نشان دهم؟")</f>
        <v>چگونه می توانم در مواقع تردید یا انتقاد نسبت به خود شفقت و مهربانی به خودم نشان دهم؟</v>
      </c>
      <c r="H12800" s="1"/>
      <c r="I12800" s="1"/>
      <c r="J12800" s="1"/>
      <c r="K12800" s="1"/>
      <c r="L12800" s="1"/>
      <c r="M12800" s="1"/>
      <c r="N12800" s="1"/>
      <c r="O12800" s="1"/>
      <c r="P12800" s="1"/>
      <c r="Q12800" s="1"/>
      <c r="R12800" s="1"/>
      <c r="S12800" s="1"/>
      <c r="T12800" s="1"/>
      <c r="U12800" s="1"/>
      <c r="V12800" s="1"/>
      <c r="W12800" s="1"/>
      <c r="X12800" s="1"/>
      <c r="Y12800" s="1"/>
      <c r="Z12800" s="1"/>
      <c r="AA12800" s="1"/>
      <c r="AB12800" s="1"/>
    </row>
    <row r="12801" ht="50.25" customHeight="1">
      <c r="A12801" s="12">
        <v>12797.0</v>
      </c>
      <c r="B12801" s="13" t="s">
        <v>12428</v>
      </c>
      <c r="C12801" s="14" t="s">
        <v>12465</v>
      </c>
      <c r="D12801" s="1"/>
      <c r="E12801" s="1"/>
      <c r="F12801" s="1" t="str">
        <f>IFERROR(__xludf.DUMMYFUNCTION("GOOGLETRANSLATE(B12801, ""en"", ""fa"")
"),"سلامت روان و رفاه")</f>
        <v>سلامت روان و رفاه</v>
      </c>
      <c r="G12801" s="1" t="str">
        <f>IFERROR(__xludf.DUMMYFUNCTION("GOOGLETRANSLATE(C12801, ""en"", ""fa"")
"),"بهترین راهبردها برای مدیریت اضطراب اجتماعی و ایجاد اعتماد اجتماعی چیست؟")</f>
        <v>بهترین راهبردها برای مدیریت اضطراب اجتماعی و ایجاد اعتماد اجتماعی چیست؟</v>
      </c>
      <c r="H12801" s="1"/>
      <c r="I12801" s="1"/>
      <c r="J12801" s="1"/>
      <c r="K12801" s="1"/>
      <c r="L12801" s="1"/>
      <c r="M12801" s="1"/>
      <c r="N12801" s="1"/>
      <c r="O12801" s="1"/>
      <c r="P12801" s="1"/>
      <c r="Q12801" s="1"/>
      <c r="R12801" s="1"/>
      <c r="S12801" s="1"/>
      <c r="T12801" s="1"/>
      <c r="U12801" s="1"/>
      <c r="V12801" s="1"/>
      <c r="W12801" s="1"/>
      <c r="X12801" s="1"/>
      <c r="Y12801" s="1"/>
      <c r="Z12801" s="1"/>
      <c r="AA12801" s="1"/>
      <c r="AB12801" s="1"/>
    </row>
    <row r="12802" ht="50.25" customHeight="1">
      <c r="A12802" s="12">
        <v>12798.0</v>
      </c>
      <c r="B12802" s="13" t="s">
        <v>12428</v>
      </c>
      <c r="C12802" s="14" t="s">
        <v>12466</v>
      </c>
      <c r="D12802" s="1"/>
      <c r="E12802" s="1"/>
      <c r="F12802" s="1" t="str">
        <f>IFERROR(__xludf.DUMMYFUNCTION("GOOGLETRANSLATE(B12802, ""en"", ""fa"")
"),"سلامت روان و رفاه")</f>
        <v>سلامت روان و رفاه</v>
      </c>
      <c r="G12802" s="1" t="str">
        <f>IFERROR(__xludf.DUMMYFUNCTION("GOOGLETRANSLATE(C12802, ""en"", ""fa"")
"),"چگونه می توانم یک روال صبحگاهی مثبت ایجاد کنم تا لحن را برای یک روز سالم روانی تنظیم کنم؟")</f>
        <v>چگونه می توانم یک روال صبحگاهی مثبت ایجاد کنم تا لحن را برای یک روز سالم روانی تنظیم کنم؟</v>
      </c>
      <c r="H12802" s="1"/>
      <c r="I12802" s="1"/>
      <c r="J12802" s="1"/>
      <c r="K12802" s="1"/>
      <c r="L12802" s="1"/>
      <c r="M12802" s="1"/>
      <c r="N12802" s="1"/>
      <c r="O12802" s="1"/>
      <c r="P12802" s="1"/>
      <c r="Q12802" s="1"/>
      <c r="R12802" s="1"/>
      <c r="S12802" s="1"/>
      <c r="T12802" s="1"/>
      <c r="U12802" s="1"/>
      <c r="V12802" s="1"/>
      <c r="W12802" s="1"/>
      <c r="X12802" s="1"/>
      <c r="Y12802" s="1"/>
      <c r="Z12802" s="1"/>
      <c r="AA12802" s="1"/>
      <c r="AB12802" s="1"/>
    </row>
    <row r="12803" ht="50.25" customHeight="1">
      <c r="A12803" s="12">
        <v>12799.0</v>
      </c>
      <c r="B12803" s="13" t="s">
        <v>12428</v>
      </c>
      <c r="C12803" s="14" t="s">
        <v>12467</v>
      </c>
      <c r="D12803" s="1"/>
      <c r="E12803" s="1"/>
      <c r="F12803" s="1" t="str">
        <f>IFERROR(__xludf.DUMMYFUNCTION("GOOGLETRANSLATE(B12803, ""en"", ""fa"")
"),"سلامت روان و رفاه")</f>
        <v>سلامت روان و رفاه</v>
      </c>
      <c r="G12803" s="1" t="str">
        <f>IFERROR(__xludf.DUMMYFUNCTION("GOOGLETRANSLATE(C12803, ""en"", ""fa"")
"),"آیا می توانید تکنیک هایی را برای تمرین مراقبه ذهن آگاهی برای افزایش وضوح و تمرکز ذهنی توصیه کنید؟")</f>
        <v>آیا می توانید تکنیک هایی را برای تمرین مراقبه ذهن آگاهی برای افزایش وضوح و تمرکز ذهنی توصیه کنید؟</v>
      </c>
      <c r="H12803" s="1"/>
      <c r="I12803" s="1"/>
      <c r="J12803" s="1"/>
      <c r="K12803" s="1"/>
      <c r="L12803" s="1"/>
      <c r="M12803" s="1"/>
      <c r="N12803" s="1"/>
      <c r="O12803" s="1"/>
      <c r="P12803" s="1"/>
      <c r="Q12803" s="1"/>
      <c r="R12803" s="1"/>
      <c r="S12803" s="1"/>
      <c r="T12803" s="1"/>
      <c r="U12803" s="1"/>
      <c r="V12803" s="1"/>
      <c r="W12803" s="1"/>
      <c r="X12803" s="1"/>
      <c r="Y12803" s="1"/>
      <c r="Z12803" s="1"/>
      <c r="AA12803" s="1"/>
      <c r="AB12803" s="1"/>
    </row>
    <row r="12804" ht="50.25" customHeight="1">
      <c r="A12804" s="12">
        <v>12800.0</v>
      </c>
      <c r="B12804" s="13" t="s">
        <v>12428</v>
      </c>
      <c r="C12804" s="14" t="s">
        <v>12468</v>
      </c>
      <c r="D12804" s="1"/>
      <c r="E12804" s="1"/>
      <c r="F12804" s="1" t="str">
        <f>IFERROR(__xludf.DUMMYFUNCTION("GOOGLETRANSLATE(B12804, ""en"", ""fa"")
"),"سلامت روان و رفاه")</f>
        <v>سلامت روان و رفاه</v>
      </c>
      <c r="G12804" s="1" t="str">
        <f>IFERROR(__xludf.DUMMYFUNCTION("GOOGLETRANSLATE(C12804, ""en"", ""fa"")
"),"نکات مهم برای بهبود مهارت های ارتباطی و تقویت روابط سالم با دیگران چیست؟")</f>
        <v>نکات مهم برای بهبود مهارت های ارتباطی و تقویت روابط سالم با دیگران چیست؟</v>
      </c>
      <c r="H12804" s="1"/>
      <c r="I12804" s="1"/>
      <c r="J12804" s="1"/>
      <c r="K12804" s="1"/>
      <c r="L12804" s="1"/>
      <c r="M12804" s="1"/>
      <c r="N12804" s="1"/>
      <c r="O12804" s="1"/>
      <c r="P12804" s="1"/>
      <c r="Q12804" s="1"/>
      <c r="R12804" s="1"/>
      <c r="S12804" s="1"/>
      <c r="T12804" s="1"/>
      <c r="U12804" s="1"/>
      <c r="V12804" s="1"/>
      <c r="W12804" s="1"/>
      <c r="X12804" s="1"/>
      <c r="Y12804" s="1"/>
      <c r="Z12804" s="1"/>
      <c r="AA12804" s="1"/>
      <c r="AB12804" s="1"/>
    </row>
    <row r="12805" ht="50.25" customHeight="1">
      <c r="A12805" s="12">
        <v>12801.0</v>
      </c>
      <c r="B12805" s="13" t="s">
        <v>12428</v>
      </c>
      <c r="C12805" s="14" t="s">
        <v>12469</v>
      </c>
      <c r="D12805" s="1"/>
      <c r="E12805" s="1"/>
      <c r="F12805" s="1" t="str">
        <f>IFERROR(__xludf.DUMMYFUNCTION("GOOGLETRANSLATE(B12805, ""en"", ""fa"")
"),"سلامت روان و رفاه")</f>
        <v>سلامت روان و رفاه</v>
      </c>
      <c r="G12805" s="1" t="str">
        <f>IFERROR(__xludf.DUMMYFUNCTION("GOOGLETRANSLATE(C12805, ""en"", ""fa"")
"),"چگونه می توانم یک شبکه پشتیبانی قوی برای پیمایش چالش های زندگی ایجاد و حفظ کنم؟")</f>
        <v>چگونه می توانم یک شبکه پشتیبانی قوی برای پیمایش چالش های زندگی ایجاد و حفظ کنم؟</v>
      </c>
      <c r="H12805" s="1"/>
      <c r="I12805" s="1"/>
      <c r="J12805" s="1"/>
      <c r="K12805" s="1"/>
      <c r="L12805" s="1"/>
      <c r="M12805" s="1"/>
      <c r="N12805" s="1"/>
      <c r="O12805" s="1"/>
      <c r="P12805" s="1"/>
      <c r="Q12805" s="1"/>
      <c r="R12805" s="1"/>
      <c r="S12805" s="1"/>
      <c r="T12805" s="1"/>
      <c r="U12805" s="1"/>
      <c r="V12805" s="1"/>
      <c r="W12805" s="1"/>
      <c r="X12805" s="1"/>
      <c r="Y12805" s="1"/>
      <c r="Z12805" s="1"/>
      <c r="AA12805" s="1"/>
      <c r="AB12805" s="1"/>
    </row>
    <row r="12806" ht="50.25" customHeight="1">
      <c r="A12806" s="12">
        <v>12802.0</v>
      </c>
      <c r="B12806" s="13" t="s">
        <v>12428</v>
      </c>
      <c r="C12806" s="14" t="s">
        <v>12470</v>
      </c>
      <c r="D12806" s="1"/>
      <c r="E12806" s="1"/>
      <c r="F12806" s="1" t="str">
        <f>IFERROR(__xludf.DUMMYFUNCTION("GOOGLETRANSLATE(B12806, ""en"", ""fa"")
"),"سلامت روان و رفاه")</f>
        <v>سلامت روان و رفاه</v>
      </c>
      <c r="G12806" s="1" t="str">
        <f>IFERROR(__xludf.DUMMYFUNCTION("GOOGLETRANSLATE(C12806, ""en"", ""fa"")
"),"بهترین منابع برای یادگیری تکنیک های درمان شناختی-رفتاری برای خودسازی چیست؟")</f>
        <v>بهترین منابع برای یادگیری تکنیک های درمان شناختی-رفتاری برای خودسازی چیست؟</v>
      </c>
      <c r="H12806" s="1"/>
      <c r="I12806" s="1"/>
      <c r="J12806" s="1"/>
      <c r="K12806" s="1"/>
      <c r="L12806" s="1"/>
      <c r="M12806" s="1"/>
      <c r="N12806" s="1"/>
      <c r="O12806" s="1"/>
      <c r="P12806" s="1"/>
      <c r="Q12806" s="1"/>
      <c r="R12806" s="1"/>
      <c r="S12806" s="1"/>
      <c r="T12806" s="1"/>
      <c r="U12806" s="1"/>
      <c r="V12806" s="1"/>
      <c r="W12806" s="1"/>
      <c r="X12806" s="1"/>
      <c r="Y12806" s="1"/>
      <c r="Z12806" s="1"/>
      <c r="AA12806" s="1"/>
      <c r="AB12806" s="1"/>
    </row>
    <row r="12807" ht="50.25" customHeight="1">
      <c r="A12807" s="12">
        <v>12803.0</v>
      </c>
      <c r="B12807" s="13" t="s">
        <v>12428</v>
      </c>
      <c r="C12807" s="14" t="s">
        <v>12471</v>
      </c>
      <c r="D12807" s="1"/>
      <c r="E12807" s="1"/>
      <c r="F12807" s="1" t="str">
        <f>IFERROR(__xludf.DUMMYFUNCTION("GOOGLETRANSLATE(B12807, ""en"", ""fa"")
"),"سلامت روان و رفاه")</f>
        <v>سلامت روان و رفاه</v>
      </c>
      <c r="G12807" s="1" t="str">
        <f>IFERROR(__xludf.DUMMYFUNCTION("GOOGLETRANSLATE(C12807, ""en"", ""fa"")
"),"چگونه می توانم خودتنظیمی هیجانی را تمرین کنم و از طغیان عاطفی در موقعیت های استرس زا جلوگیری کنم؟")</f>
        <v>چگونه می توانم خودتنظیمی هیجانی را تمرین کنم و از طغیان عاطفی در موقعیت های استرس زا جلوگیری کنم؟</v>
      </c>
      <c r="H12807" s="1"/>
      <c r="I12807" s="1"/>
      <c r="J12807" s="1"/>
      <c r="K12807" s="1"/>
      <c r="L12807" s="1"/>
      <c r="M12807" s="1"/>
      <c r="N12807" s="1"/>
      <c r="O12807" s="1"/>
      <c r="P12807" s="1"/>
      <c r="Q12807" s="1"/>
      <c r="R12807" s="1"/>
      <c r="S12807" s="1"/>
      <c r="T12807" s="1"/>
      <c r="U12807" s="1"/>
      <c r="V12807" s="1"/>
      <c r="W12807" s="1"/>
      <c r="X12807" s="1"/>
      <c r="Y12807" s="1"/>
      <c r="Z12807" s="1"/>
      <c r="AA12807" s="1"/>
      <c r="AB12807" s="1"/>
    </row>
    <row r="12808" ht="50.25" customHeight="1">
      <c r="A12808" s="12">
        <v>12804.0</v>
      </c>
      <c r="B12808" s="13" t="s">
        <v>12428</v>
      </c>
      <c r="C12808" s="14" t="s">
        <v>12472</v>
      </c>
      <c r="D12808" s="1"/>
      <c r="E12808" s="1"/>
      <c r="F12808" s="1" t="str">
        <f>IFERROR(__xludf.DUMMYFUNCTION("GOOGLETRANSLATE(B12808, ""en"", ""fa"")
"),"سلامت روان و رفاه")</f>
        <v>سلامت روان و رفاه</v>
      </c>
      <c r="G12808" s="1" t="str">
        <f>IFERROR(__xludf.DUMMYFUNCTION("GOOGLETRANSLATE(C12808, ""en"", ""fa"")
"),"آیا می توانید فعالیت هایی را برای پرورش قدردانی و مثبت اندیشی در زندگی روزمره من پیشنهاد دهید؟")</f>
        <v>آیا می توانید فعالیت هایی را برای پرورش قدردانی و مثبت اندیشی در زندگی روزمره من پیشنهاد دهید؟</v>
      </c>
      <c r="H12808" s="1"/>
      <c r="I12808" s="1"/>
      <c r="J12808" s="1"/>
      <c r="K12808" s="1"/>
      <c r="L12808" s="1"/>
      <c r="M12808" s="1"/>
      <c r="N12808" s="1"/>
      <c r="O12808" s="1"/>
      <c r="P12808" s="1"/>
      <c r="Q12808" s="1"/>
      <c r="R12808" s="1"/>
      <c r="S12808" s="1"/>
      <c r="T12808" s="1"/>
      <c r="U12808" s="1"/>
      <c r="V12808" s="1"/>
      <c r="W12808" s="1"/>
      <c r="X12808" s="1"/>
      <c r="Y12808" s="1"/>
      <c r="Z12808" s="1"/>
      <c r="AA12808" s="1"/>
      <c r="AB12808" s="1"/>
    </row>
    <row r="12809" ht="50.25" customHeight="1">
      <c r="A12809" s="12">
        <v>12805.0</v>
      </c>
      <c r="B12809" s="13" t="s">
        <v>12428</v>
      </c>
      <c r="C12809" s="14" t="s">
        <v>12473</v>
      </c>
      <c r="D12809" s="1"/>
      <c r="E12809" s="1"/>
      <c r="F12809" s="1" t="str">
        <f>IFERROR(__xludf.DUMMYFUNCTION("GOOGLETRANSLATE(B12809, ""en"", ""fa"")
"),"سلامت روان و رفاه")</f>
        <v>سلامت روان و رفاه</v>
      </c>
      <c r="G12809" s="1" t="str">
        <f>IFERROR(__xludf.DUMMYFUNCTION("GOOGLETRANSLATE(C12809, ""en"", ""fa"")
"),"راهبردهای برتر برای مدیریت و کاهش علائم افسردگی یا بدخلقی چیست؟")</f>
        <v>راهبردهای برتر برای مدیریت و کاهش علائم افسردگی یا بدخلقی چیست؟</v>
      </c>
      <c r="H12809" s="1"/>
      <c r="I12809" s="1"/>
      <c r="J12809" s="1"/>
      <c r="K12809" s="1"/>
      <c r="L12809" s="1"/>
      <c r="M12809" s="1"/>
      <c r="N12809" s="1"/>
      <c r="O12809" s="1"/>
      <c r="P12809" s="1"/>
      <c r="Q12809" s="1"/>
      <c r="R12809" s="1"/>
      <c r="S12809" s="1"/>
      <c r="T12809" s="1"/>
      <c r="U12809" s="1"/>
      <c r="V12809" s="1"/>
      <c r="W12809" s="1"/>
      <c r="X12809" s="1"/>
      <c r="Y12809" s="1"/>
      <c r="Z12809" s="1"/>
      <c r="AA12809" s="1"/>
      <c r="AB12809" s="1"/>
    </row>
    <row r="12810" ht="50.25" customHeight="1">
      <c r="A12810" s="12">
        <v>12806.0</v>
      </c>
      <c r="B12810" s="13" t="s">
        <v>12428</v>
      </c>
      <c r="C12810" s="14" t="s">
        <v>12474</v>
      </c>
      <c r="D12810" s="1"/>
      <c r="E12810" s="1"/>
      <c r="F12810" s="1" t="str">
        <f>IFERROR(__xludf.DUMMYFUNCTION("GOOGLETRANSLATE(B12810, ""en"", ""fa"")
"),"سلامت روان و رفاه")</f>
        <v>سلامت روان و رفاه</v>
      </c>
      <c r="G12810" s="1" t="str">
        <f>IFERROR(__xludf.DUMMYFUNCTION("GOOGLETRANSLATE(C12810, ""en"", ""fa"")
"),"چگونه می توانم فعالیت بدنی و ورزش را برای حمایت از سلامت روانم در برنامه روزانه خود بگنجانم؟")</f>
        <v>چگونه می توانم فعالیت بدنی و ورزش را برای حمایت از سلامت روانم در برنامه روزانه خود بگنجانم؟</v>
      </c>
      <c r="H12810" s="1"/>
      <c r="I12810" s="1"/>
      <c r="J12810" s="1"/>
      <c r="K12810" s="1"/>
      <c r="L12810" s="1"/>
      <c r="M12810" s="1"/>
      <c r="N12810" s="1"/>
      <c r="O12810" s="1"/>
      <c r="P12810" s="1"/>
      <c r="Q12810" s="1"/>
      <c r="R12810" s="1"/>
      <c r="S12810" s="1"/>
      <c r="T12810" s="1"/>
      <c r="U12810" s="1"/>
      <c r="V12810" s="1"/>
      <c r="W12810" s="1"/>
      <c r="X12810" s="1"/>
      <c r="Y12810" s="1"/>
      <c r="Z12810" s="1"/>
      <c r="AA12810" s="1"/>
      <c r="AB12810" s="1"/>
    </row>
    <row r="12811" ht="50.25" customHeight="1">
      <c r="A12811" s="12">
        <v>12807.0</v>
      </c>
      <c r="B12811" s="13" t="s">
        <v>12428</v>
      </c>
      <c r="C12811" s="14" t="s">
        <v>12475</v>
      </c>
      <c r="D12811" s="1"/>
      <c r="E12811" s="1"/>
      <c r="F12811" s="1" t="str">
        <f>IFERROR(__xludf.DUMMYFUNCTION("GOOGLETRANSLATE(B12811, ""en"", ""fa"")
"),"سلامت روان و رفاه")</f>
        <v>سلامت روان و رفاه</v>
      </c>
      <c r="G12811" s="1" t="str">
        <f>IFERROR(__xludf.DUMMYFUNCTION("GOOGLETRANSLATE(C12811, ""en"", ""fa"")
"),"بهترین تکنیک ها برای مدیریت و کاهش علائم اختلال وسواس فکری اجباری (OCD) چیست؟")</f>
        <v>بهترین تکنیک ها برای مدیریت و کاهش علائم اختلال وسواس فکری اجباری (OCD) چیست؟</v>
      </c>
      <c r="H12811" s="1"/>
      <c r="I12811" s="1"/>
      <c r="J12811" s="1"/>
      <c r="K12811" s="1"/>
      <c r="L12811" s="1"/>
      <c r="M12811" s="1"/>
      <c r="N12811" s="1"/>
      <c r="O12811" s="1"/>
      <c r="P12811" s="1"/>
      <c r="Q12811" s="1"/>
      <c r="R12811" s="1"/>
      <c r="S12811" s="1"/>
      <c r="T12811" s="1"/>
      <c r="U12811" s="1"/>
      <c r="V12811" s="1"/>
      <c r="W12811" s="1"/>
      <c r="X12811" s="1"/>
      <c r="Y12811" s="1"/>
      <c r="Z12811" s="1"/>
      <c r="AA12811" s="1"/>
      <c r="AB12811" s="1"/>
    </row>
    <row r="12812" ht="50.25" customHeight="1">
      <c r="A12812" s="12">
        <v>12808.0</v>
      </c>
      <c r="B12812" s="13" t="s">
        <v>12428</v>
      </c>
      <c r="C12812" s="14" t="s">
        <v>12476</v>
      </c>
      <c r="D12812" s="1"/>
      <c r="E12812" s="1"/>
      <c r="F12812" s="1" t="str">
        <f>IFERROR(__xludf.DUMMYFUNCTION("GOOGLETRANSLATE(B12812, ""en"", ""fa"")
"),"سلامت روان و رفاه")</f>
        <v>سلامت روان و رفاه</v>
      </c>
      <c r="G12812" s="1" t="str">
        <f>IFERROR(__xludf.DUMMYFUNCTION("GOOGLETRANSLATE(C12812, ""en"", ""fa"")
"),"چگونه می توانم خودآگاهی را پرورش دهم و علائم اولیه پریشانی روانی و عاطفی را تشخیص دهم؟")</f>
        <v>چگونه می توانم خودآگاهی را پرورش دهم و علائم اولیه پریشانی روانی و عاطفی را تشخیص دهم؟</v>
      </c>
      <c r="H12812" s="1"/>
      <c r="I12812" s="1"/>
      <c r="J12812" s="1"/>
      <c r="K12812" s="1"/>
      <c r="L12812" s="1"/>
      <c r="M12812" s="1"/>
      <c r="N12812" s="1"/>
      <c r="O12812" s="1"/>
      <c r="P12812" s="1"/>
      <c r="Q12812" s="1"/>
      <c r="R12812" s="1"/>
      <c r="S12812" s="1"/>
      <c r="T12812" s="1"/>
      <c r="U12812" s="1"/>
      <c r="V12812" s="1"/>
      <c r="W12812" s="1"/>
      <c r="X12812" s="1"/>
      <c r="Y12812" s="1"/>
      <c r="Z12812" s="1"/>
      <c r="AA12812" s="1"/>
      <c r="AB12812" s="1"/>
    </row>
    <row r="12813" ht="50.25" customHeight="1">
      <c r="A12813" s="12">
        <v>12809.0</v>
      </c>
      <c r="B12813" s="13" t="s">
        <v>12428</v>
      </c>
      <c r="C12813" s="14" t="s">
        <v>12477</v>
      </c>
      <c r="D12813" s="1"/>
      <c r="E12813" s="1"/>
      <c r="F12813" s="1" t="str">
        <f>IFERROR(__xludf.DUMMYFUNCTION("GOOGLETRANSLATE(B12813, ""en"", ""fa"")
"),"سلامت روان و رفاه")</f>
        <v>سلامت روان و رفاه</v>
      </c>
      <c r="G12813" s="1" t="str">
        <f>IFERROR(__xludf.DUMMYFUNCTION("GOOGLETRANSLATE(C12813, ""en"", ""fa"")
"),"آیا می‌توانید راهبردهایی را برای تمرین پذیرش خود و پذیرش نقص‌ها توصیه کنید؟")</f>
        <v>آیا می‌توانید راهبردهایی را برای تمرین پذیرش خود و پذیرش نقص‌ها توصیه کنید؟</v>
      </c>
      <c r="H12813" s="1"/>
      <c r="I12813" s="1"/>
      <c r="J12813" s="1"/>
      <c r="K12813" s="1"/>
      <c r="L12813" s="1"/>
      <c r="M12813" s="1"/>
      <c r="N12813" s="1"/>
      <c r="O12813" s="1"/>
      <c r="P12813" s="1"/>
      <c r="Q12813" s="1"/>
      <c r="R12813" s="1"/>
      <c r="S12813" s="1"/>
      <c r="T12813" s="1"/>
      <c r="U12813" s="1"/>
      <c r="V12813" s="1"/>
      <c r="W12813" s="1"/>
      <c r="X12813" s="1"/>
      <c r="Y12813" s="1"/>
      <c r="Z12813" s="1"/>
      <c r="AA12813" s="1"/>
      <c r="AB12813" s="1"/>
    </row>
    <row r="12814" ht="50.25" customHeight="1">
      <c r="A12814" s="12">
        <v>12810.0</v>
      </c>
      <c r="B12814" s="13" t="s">
        <v>12428</v>
      </c>
      <c r="C12814" s="14" t="s">
        <v>12478</v>
      </c>
      <c r="D12814" s="1"/>
      <c r="E12814" s="1"/>
      <c r="F12814" s="1" t="str">
        <f>IFERROR(__xludf.DUMMYFUNCTION("GOOGLETRANSLATE(B12814, ""en"", ""fa"")
"),"سلامت روان و رفاه")</f>
        <v>سلامت روان و رفاه</v>
      </c>
      <c r="G12814" s="1" t="str">
        <f>IFERROR(__xludf.DUMMYFUNCTION("GOOGLETRANSLATE(C12814, ""en"", ""fa"")
"),"نکات مهم برای ایجاد انعطاف پذیری عاطفی و عقب نشینی از شکست چیست؟")</f>
        <v>نکات مهم برای ایجاد انعطاف پذیری عاطفی و عقب نشینی از شکست چیست؟</v>
      </c>
      <c r="H12814" s="1"/>
      <c r="I12814" s="1"/>
      <c r="J12814" s="1"/>
      <c r="K12814" s="1"/>
      <c r="L12814" s="1"/>
      <c r="M12814" s="1"/>
      <c r="N12814" s="1"/>
      <c r="O12814" s="1"/>
      <c r="P12814" s="1"/>
      <c r="Q12814" s="1"/>
      <c r="R12814" s="1"/>
      <c r="S12814" s="1"/>
      <c r="T12814" s="1"/>
      <c r="U12814" s="1"/>
      <c r="V12814" s="1"/>
      <c r="W12814" s="1"/>
      <c r="X12814" s="1"/>
      <c r="Y12814" s="1"/>
      <c r="Z12814" s="1"/>
      <c r="AA12814" s="1"/>
      <c r="AB12814" s="1"/>
    </row>
    <row r="12815" ht="50.25" customHeight="1">
      <c r="A12815" s="12">
        <v>12811.0</v>
      </c>
      <c r="B12815" s="13" t="s">
        <v>12428</v>
      </c>
      <c r="C12815" s="14" t="s">
        <v>12479</v>
      </c>
      <c r="D12815" s="1"/>
      <c r="E12815" s="1"/>
      <c r="F12815" s="1" t="str">
        <f>IFERROR(__xludf.DUMMYFUNCTION("GOOGLETRANSLATE(B12815, ""en"", ""fa"")
"),"سلامت روان و رفاه")</f>
        <v>سلامت روان و رفاه</v>
      </c>
      <c r="G12815" s="1" t="str">
        <f>IFERROR(__xludf.DUMMYFUNCTION("GOOGLETRANSLATE(C12815, ""en"", ""fa"")
"),"چگونه می توانم یک محیط آرام و آرامش بخش در خانه برای حمایت از سلامت روانی خود ایجاد کنم؟")</f>
        <v>چگونه می توانم یک محیط آرام و آرامش بخش در خانه برای حمایت از سلامت روانی خود ایجاد کنم؟</v>
      </c>
      <c r="H12815" s="1"/>
      <c r="I12815" s="1"/>
      <c r="J12815" s="1"/>
      <c r="K12815" s="1"/>
      <c r="L12815" s="1"/>
      <c r="M12815" s="1"/>
      <c r="N12815" s="1"/>
      <c r="O12815" s="1"/>
      <c r="P12815" s="1"/>
      <c r="Q12815" s="1"/>
      <c r="R12815" s="1"/>
      <c r="S12815" s="1"/>
      <c r="T12815" s="1"/>
      <c r="U12815" s="1"/>
      <c r="V12815" s="1"/>
      <c r="W12815" s="1"/>
      <c r="X12815" s="1"/>
      <c r="Y12815" s="1"/>
      <c r="Z12815" s="1"/>
      <c r="AA12815" s="1"/>
      <c r="AB12815" s="1"/>
    </row>
    <row r="12816" ht="50.25" customHeight="1">
      <c r="A12816" s="12">
        <v>12812.0</v>
      </c>
      <c r="B12816" s="13" t="s">
        <v>12428</v>
      </c>
      <c r="C12816" s="14" t="s">
        <v>12480</v>
      </c>
      <c r="D12816" s="1"/>
      <c r="E12816" s="1"/>
      <c r="F12816" s="1" t="str">
        <f>IFERROR(__xludf.DUMMYFUNCTION("GOOGLETRANSLATE(B12816, ""en"", ""fa"")
"),"سلامت روان و رفاه")</f>
        <v>سلامت روان و رفاه</v>
      </c>
      <c r="G12816" s="1" t="str">
        <f>IFERROR(__xludf.DUMMYFUNCTION("GOOGLETRANSLATE(C12816, ""en"", ""fa"")
"),"بهترین منابع برای یادگیری در مورد انواع مختلف درمان و گزینه های مشاوره چیست؟")</f>
        <v>بهترین منابع برای یادگیری در مورد انواع مختلف درمان و گزینه های مشاوره چیست؟</v>
      </c>
      <c r="H12816" s="1"/>
      <c r="I12816" s="1"/>
      <c r="J12816" s="1"/>
      <c r="K12816" s="1"/>
      <c r="L12816" s="1"/>
      <c r="M12816" s="1"/>
      <c r="N12816" s="1"/>
      <c r="O12816" s="1"/>
      <c r="P12816" s="1"/>
      <c r="Q12816" s="1"/>
      <c r="R12816" s="1"/>
      <c r="S12816" s="1"/>
      <c r="T12816" s="1"/>
      <c r="U12816" s="1"/>
      <c r="V12816" s="1"/>
      <c r="W12816" s="1"/>
      <c r="X12816" s="1"/>
      <c r="Y12816" s="1"/>
      <c r="Z12816" s="1"/>
      <c r="AA12816" s="1"/>
      <c r="AB12816" s="1"/>
    </row>
    <row r="12817" ht="50.25" customHeight="1">
      <c r="A12817" s="12">
        <v>12813.0</v>
      </c>
      <c r="B12817" s="13" t="s">
        <v>12428</v>
      </c>
      <c r="C12817" s="14" t="s">
        <v>12481</v>
      </c>
      <c r="D12817" s="1"/>
      <c r="E12817" s="1"/>
      <c r="F12817" s="1" t="str">
        <f>IFERROR(__xludf.DUMMYFUNCTION("GOOGLETRANSLATE(B12817, ""en"", ""fa"")
"),"سلامت روان و رفاه")</f>
        <v>سلامت روان و رفاه</v>
      </c>
      <c r="G12817" s="1" t="str">
        <f>IFERROR(__xludf.DUMMYFUNCTION("GOOGLETRANSLATE(C12817, ""en"", ""fa"")
"),"چگونه می توانم احساسات سندروم فریبنده را مدیریت کنم و در موفقیت های خود احساس ارزشمندی داشته باشم؟")</f>
        <v>چگونه می توانم احساسات سندروم فریبنده را مدیریت کنم و در موفقیت های خود احساس ارزشمندی داشته باشم؟</v>
      </c>
      <c r="H12817" s="1"/>
      <c r="I12817" s="1"/>
      <c r="J12817" s="1"/>
      <c r="K12817" s="1"/>
      <c r="L12817" s="1"/>
      <c r="M12817" s="1"/>
      <c r="N12817" s="1"/>
      <c r="O12817" s="1"/>
      <c r="P12817" s="1"/>
      <c r="Q12817" s="1"/>
      <c r="R12817" s="1"/>
      <c r="S12817" s="1"/>
      <c r="T12817" s="1"/>
      <c r="U12817" s="1"/>
      <c r="V12817" s="1"/>
      <c r="W12817" s="1"/>
      <c r="X12817" s="1"/>
      <c r="Y12817" s="1"/>
      <c r="Z12817" s="1"/>
      <c r="AA12817" s="1"/>
      <c r="AB12817" s="1"/>
    </row>
    <row r="12818" ht="50.25" customHeight="1">
      <c r="A12818" s="12">
        <v>12814.0</v>
      </c>
      <c r="B12818" s="13" t="s">
        <v>12428</v>
      </c>
      <c r="C12818" s="14" t="s">
        <v>12482</v>
      </c>
      <c r="D12818" s="1"/>
      <c r="E12818" s="1"/>
      <c r="F12818" s="1" t="str">
        <f>IFERROR(__xludf.DUMMYFUNCTION("GOOGLETRANSLATE(B12818, ""en"", ""fa"")
"),"سلامت روان و رفاه")</f>
        <v>سلامت روان و رفاه</v>
      </c>
      <c r="G12818" s="1" t="str">
        <f>IFERROR(__xludf.DUMMYFUNCTION("GOOGLETRANSLATE(C12818, ""en"", ""fa"")
"),"آیا می توانید تکنیک هایی برای کاهش زمان نمایشگر و ترویج سم زدایی دیجیتال برای جوان سازی ذهنی پیشنهاد دهید؟")</f>
        <v>آیا می توانید تکنیک هایی برای کاهش زمان نمایشگر و ترویج سم زدایی دیجیتال برای جوان سازی ذهنی پیشنهاد دهید؟</v>
      </c>
      <c r="H12818" s="1"/>
      <c r="I12818" s="1"/>
      <c r="J12818" s="1"/>
      <c r="K12818" s="1"/>
      <c r="L12818" s="1"/>
      <c r="M12818" s="1"/>
      <c r="N12818" s="1"/>
      <c r="O12818" s="1"/>
      <c r="P12818" s="1"/>
      <c r="Q12818" s="1"/>
      <c r="R12818" s="1"/>
      <c r="S12818" s="1"/>
      <c r="T12818" s="1"/>
      <c r="U12818" s="1"/>
      <c r="V12818" s="1"/>
      <c r="W12818" s="1"/>
      <c r="X12818" s="1"/>
      <c r="Y12818" s="1"/>
      <c r="Z12818" s="1"/>
      <c r="AA12818" s="1"/>
      <c r="AB12818" s="1"/>
    </row>
    <row r="12819" ht="50.25" customHeight="1">
      <c r="A12819" s="12">
        <v>12815.0</v>
      </c>
      <c r="B12819" s="13" t="s">
        <v>12428</v>
      </c>
      <c r="C12819" s="14" t="s">
        <v>12483</v>
      </c>
      <c r="D12819" s="1"/>
      <c r="E12819" s="1"/>
      <c r="F12819" s="1" t="str">
        <f>IFERROR(__xludf.DUMMYFUNCTION("GOOGLETRANSLATE(B12819, ""en"", ""fa"")
"),"سلامت روان و رفاه")</f>
        <v>سلامت روان و رفاه</v>
      </c>
      <c r="G12819" s="1" t="str">
        <f>IFERROR(__xludf.DUMMYFUNCTION("GOOGLETRANSLATE(C12819, ""en"", ""fa"")
"),"راهبردهای برتر برای تمرین شفقت به خود و مهربانی در زمان های چالش برانگیز چیست؟")</f>
        <v>راهبردهای برتر برای تمرین شفقت به خود و مهربانی در زمان های چالش برانگیز چیست؟</v>
      </c>
      <c r="H12819" s="1"/>
      <c r="I12819" s="1"/>
      <c r="J12819" s="1"/>
      <c r="K12819" s="1"/>
      <c r="L12819" s="1"/>
      <c r="M12819" s="1"/>
      <c r="N12819" s="1"/>
      <c r="O12819" s="1"/>
      <c r="P12819" s="1"/>
      <c r="Q12819" s="1"/>
      <c r="R12819" s="1"/>
      <c r="S12819" s="1"/>
      <c r="T12819" s="1"/>
      <c r="U12819" s="1"/>
      <c r="V12819" s="1"/>
      <c r="W12819" s="1"/>
      <c r="X12819" s="1"/>
      <c r="Y12819" s="1"/>
      <c r="Z12819" s="1"/>
      <c r="AA12819" s="1"/>
      <c r="AB12819" s="1"/>
    </row>
    <row r="12820" ht="50.25" customHeight="1">
      <c r="A12820" s="12">
        <v>12816.0</v>
      </c>
      <c r="B12820" s="13" t="s">
        <v>12428</v>
      </c>
      <c r="C12820" s="14" t="s">
        <v>12484</v>
      </c>
      <c r="D12820" s="1"/>
      <c r="E12820" s="1"/>
      <c r="F12820" s="1" t="str">
        <f>IFERROR(__xludf.DUMMYFUNCTION("GOOGLETRANSLATE(B12820, ""en"", ""fa"")
"),"سلامت روان و رفاه")</f>
        <v>سلامت روان و رفاه</v>
      </c>
      <c r="G12820" s="1" t="str">
        <f>IFERROR(__xludf.DUMMYFUNCTION("GOOGLETRANSLATE(C12820, ""en"", ""fa"")
"),"چگونه می توانم ذهنیت مثبتی را پرورش دهم و در مواقع سختی بر قدردانی تمرکز کنم؟")</f>
        <v>چگونه می توانم ذهنیت مثبتی را پرورش دهم و در مواقع سختی بر قدردانی تمرکز کنم؟</v>
      </c>
      <c r="H12820" s="1"/>
      <c r="I12820" s="1"/>
      <c r="J12820" s="1"/>
      <c r="K12820" s="1"/>
      <c r="L12820" s="1"/>
      <c r="M12820" s="1"/>
      <c r="N12820" s="1"/>
      <c r="O12820" s="1"/>
      <c r="P12820" s="1"/>
      <c r="Q12820" s="1"/>
      <c r="R12820" s="1"/>
      <c r="S12820" s="1"/>
      <c r="T12820" s="1"/>
      <c r="U12820" s="1"/>
      <c r="V12820" s="1"/>
      <c r="W12820" s="1"/>
      <c r="X12820" s="1"/>
      <c r="Y12820" s="1"/>
      <c r="Z12820" s="1"/>
      <c r="AA12820" s="1"/>
      <c r="AB12820" s="1"/>
    </row>
    <row r="12821" ht="50.25" customHeight="1">
      <c r="A12821" s="12">
        <v>12817.0</v>
      </c>
      <c r="B12821" s="13" t="s">
        <v>12428</v>
      </c>
      <c r="C12821" s="14" t="s">
        <v>12485</v>
      </c>
      <c r="D12821" s="1"/>
      <c r="E12821" s="1"/>
      <c r="F12821" s="1" t="str">
        <f>IFERROR(__xludf.DUMMYFUNCTION("GOOGLETRANSLATE(B12821, ""en"", ""fa"")
"),"سلامت روان و رفاه")</f>
        <v>سلامت روان و رفاه</v>
      </c>
      <c r="G12821" s="1" t="str">
        <f>IFERROR(__xludf.DUMMYFUNCTION("GOOGLETRANSLATE(C12821, ""en"", ""fa"")
"),"بهترین روش ها برای مدیریت و کاهش علائم اختلال نقص توجه و بیش فعالی (ADHD) چیست؟")</f>
        <v>بهترین روش ها برای مدیریت و کاهش علائم اختلال نقص توجه و بیش فعالی (ADHD) چیست؟</v>
      </c>
      <c r="H12821" s="1"/>
      <c r="I12821" s="1"/>
      <c r="J12821" s="1"/>
      <c r="K12821" s="1"/>
      <c r="L12821" s="1"/>
      <c r="M12821" s="1"/>
      <c r="N12821" s="1"/>
      <c r="O12821" s="1"/>
      <c r="P12821" s="1"/>
      <c r="Q12821" s="1"/>
      <c r="R12821" s="1"/>
      <c r="S12821" s="1"/>
      <c r="T12821" s="1"/>
      <c r="U12821" s="1"/>
      <c r="V12821" s="1"/>
      <c r="W12821" s="1"/>
      <c r="X12821" s="1"/>
      <c r="Y12821" s="1"/>
      <c r="Z12821" s="1"/>
      <c r="AA12821" s="1"/>
      <c r="AB12821" s="1"/>
    </row>
    <row r="12822" ht="50.25" customHeight="1">
      <c r="A12822" s="12">
        <v>12818.0</v>
      </c>
      <c r="B12822" s="13" t="s">
        <v>12428</v>
      </c>
      <c r="C12822" s="14" t="s">
        <v>12486</v>
      </c>
      <c r="D12822" s="1"/>
      <c r="E12822" s="1"/>
      <c r="F12822" s="1" t="str">
        <f>IFERROR(__xludf.DUMMYFUNCTION("GOOGLETRANSLATE(B12822, ""en"", ""fa"")
"),"سلامت روان و رفاه")</f>
        <v>سلامت روان و رفاه</v>
      </c>
      <c r="G12822" s="1" t="str">
        <f>IFERROR(__xludf.DUMMYFUNCTION("GOOGLETRANSLATE(C12822, ""en"", ""fa"")
"),"چگونه تعادل کار و زندگی سالم ایجاد و حفظ کنم تا از احساس فرسودگی شغلی جلوگیری کنم؟")</f>
        <v>چگونه تعادل کار و زندگی سالم ایجاد و حفظ کنم تا از احساس فرسودگی شغلی جلوگیری کنم؟</v>
      </c>
      <c r="H12822" s="1"/>
      <c r="I12822" s="1"/>
      <c r="J12822" s="1"/>
      <c r="K12822" s="1"/>
      <c r="L12822" s="1"/>
      <c r="M12822" s="1"/>
      <c r="N12822" s="1"/>
      <c r="O12822" s="1"/>
      <c r="P12822" s="1"/>
      <c r="Q12822" s="1"/>
      <c r="R12822" s="1"/>
      <c r="S12822" s="1"/>
      <c r="T12822" s="1"/>
      <c r="U12822" s="1"/>
      <c r="V12822" s="1"/>
      <c r="W12822" s="1"/>
      <c r="X12822" s="1"/>
      <c r="Y12822" s="1"/>
      <c r="Z12822" s="1"/>
      <c r="AA12822" s="1"/>
      <c r="AB12822" s="1"/>
    </row>
    <row r="12823" ht="50.25" customHeight="1">
      <c r="A12823" s="12">
        <v>12819.0</v>
      </c>
      <c r="B12823" s="13" t="s">
        <v>12428</v>
      </c>
      <c r="C12823" s="14" t="s">
        <v>12487</v>
      </c>
      <c r="D12823" s="1"/>
      <c r="E12823" s="1"/>
      <c r="F12823" s="1" t="str">
        <f>IFERROR(__xludf.DUMMYFUNCTION("GOOGLETRANSLATE(B12823, ""en"", ""fa"")
"),"سلامت روان و رفاه")</f>
        <v>سلامت روان و رفاه</v>
      </c>
      <c r="G12823" s="1" t="str">
        <f>IFERROR(__xludf.DUMMYFUNCTION("GOOGLETRANSLATE(C12823, ""en"", ""fa"")
"),"آیا می توانید منابعی را برای یادگیری انواع مختلف مدیتیشن و فواید آنها توصیه کنید؟")</f>
        <v>آیا می توانید منابعی را برای یادگیری انواع مختلف مدیتیشن و فواید آنها توصیه کنید؟</v>
      </c>
      <c r="H12823" s="1"/>
      <c r="I12823" s="1"/>
      <c r="J12823" s="1"/>
      <c r="K12823" s="1"/>
      <c r="L12823" s="1"/>
      <c r="M12823" s="1"/>
      <c r="N12823" s="1"/>
      <c r="O12823" s="1"/>
      <c r="P12823" s="1"/>
      <c r="Q12823" s="1"/>
      <c r="R12823" s="1"/>
      <c r="S12823" s="1"/>
      <c r="T12823" s="1"/>
      <c r="U12823" s="1"/>
      <c r="V12823" s="1"/>
      <c r="W12823" s="1"/>
      <c r="X12823" s="1"/>
      <c r="Y12823" s="1"/>
      <c r="Z12823" s="1"/>
      <c r="AA12823" s="1"/>
      <c r="AB12823" s="1"/>
    </row>
    <row r="12824" ht="50.25" customHeight="1">
      <c r="A12824" s="12">
        <v>12820.0</v>
      </c>
      <c r="B12824" s="13" t="s">
        <v>12428</v>
      </c>
      <c r="C12824" s="14" t="s">
        <v>12488</v>
      </c>
      <c r="D12824" s="1"/>
      <c r="E12824" s="1"/>
      <c r="F12824" s="1" t="str">
        <f>IFERROR(__xludf.DUMMYFUNCTION("GOOGLETRANSLATE(B12824, ""en"", ""fa"")
"),"سلامت روان و رفاه")</f>
        <v>سلامت روان و رفاه</v>
      </c>
      <c r="G12824" s="1" t="str">
        <f>IFERROR(__xludf.DUMMYFUNCTION("GOOGLETRANSLATE(C12824, ""en"", ""fa"")
"),"نکات مهم برای ایجاد اعتماد به نفس و تعیین حد و مرز در روابط شخصی و حرفه ای چیست؟")</f>
        <v>نکات مهم برای ایجاد اعتماد به نفس و تعیین حد و مرز در روابط شخصی و حرفه ای چیست؟</v>
      </c>
      <c r="H12824" s="1"/>
      <c r="I12824" s="1"/>
      <c r="J12824" s="1"/>
      <c r="K12824" s="1"/>
      <c r="L12824" s="1"/>
      <c r="M12824" s="1"/>
      <c r="N12824" s="1"/>
      <c r="O12824" s="1"/>
      <c r="P12824" s="1"/>
      <c r="Q12824" s="1"/>
      <c r="R12824" s="1"/>
      <c r="S12824" s="1"/>
      <c r="T12824" s="1"/>
      <c r="U12824" s="1"/>
      <c r="V12824" s="1"/>
      <c r="W12824" s="1"/>
      <c r="X12824" s="1"/>
      <c r="Y12824" s="1"/>
      <c r="Z12824" s="1"/>
      <c r="AA12824" s="1"/>
      <c r="AB12824" s="1"/>
    </row>
    <row r="12825" ht="50.25" customHeight="1">
      <c r="A12825" s="12">
        <v>12821.0</v>
      </c>
      <c r="B12825" s="13" t="s">
        <v>12428</v>
      </c>
      <c r="C12825" s="14" t="s">
        <v>12489</v>
      </c>
      <c r="D12825" s="1"/>
      <c r="E12825" s="1"/>
      <c r="F12825" s="1" t="str">
        <f>IFERROR(__xludf.DUMMYFUNCTION("GOOGLETRANSLATE(B12825, ""en"", ""fa"")
"),"سلامت روان و رفاه")</f>
        <v>سلامت روان و رفاه</v>
      </c>
      <c r="G12825" s="1" t="str">
        <f>IFERROR(__xludf.DUMMYFUNCTION("GOOGLETRANSLATE(C12825, ""en"", ""fa"")
"),"چگونه می توانم ذهن آگاهی را در طول وعده های غذایی تمرین کنم تا رابطه سالم تری با غذا ایجاد کنم؟")</f>
        <v>چگونه می توانم ذهن آگاهی را در طول وعده های غذایی تمرین کنم تا رابطه سالم تری با غذا ایجاد کنم؟</v>
      </c>
      <c r="H12825" s="1"/>
      <c r="I12825" s="1"/>
      <c r="J12825" s="1"/>
      <c r="K12825" s="1"/>
      <c r="L12825" s="1"/>
      <c r="M12825" s="1"/>
      <c r="N12825" s="1"/>
      <c r="O12825" s="1"/>
      <c r="P12825" s="1"/>
      <c r="Q12825" s="1"/>
      <c r="R12825" s="1"/>
      <c r="S12825" s="1"/>
      <c r="T12825" s="1"/>
      <c r="U12825" s="1"/>
      <c r="V12825" s="1"/>
      <c r="W12825" s="1"/>
      <c r="X12825" s="1"/>
      <c r="Y12825" s="1"/>
      <c r="Z12825" s="1"/>
      <c r="AA12825" s="1"/>
      <c r="AB12825" s="1"/>
    </row>
    <row r="12826" ht="50.25" customHeight="1">
      <c r="A12826" s="12">
        <v>12822.0</v>
      </c>
      <c r="B12826" s="13" t="s">
        <v>12428</v>
      </c>
      <c r="C12826" s="14" t="s">
        <v>12490</v>
      </c>
      <c r="D12826" s="1"/>
      <c r="E12826" s="1"/>
      <c r="F12826" s="1" t="str">
        <f>IFERROR(__xludf.DUMMYFUNCTION("GOOGLETRANSLATE(B12826, ""en"", ""fa"")
"),"سلامت روان و رفاه")</f>
        <v>سلامت روان و رفاه</v>
      </c>
      <c r="G12826" s="1" t="str">
        <f>IFERROR(__xludf.DUMMYFUNCTION("GOOGLETRANSLATE(C12826, ""en"", ""fa"")
"),"بهترین تکنیک ها برای مدیریت و کاهش علائم اختلال اضطراب فراگیر (GAD) چیست؟")</f>
        <v>بهترین تکنیک ها برای مدیریت و کاهش علائم اختلال اضطراب فراگیر (GAD) چیست؟</v>
      </c>
      <c r="H12826" s="1"/>
      <c r="I12826" s="1"/>
      <c r="J12826" s="1"/>
      <c r="K12826" s="1"/>
      <c r="L12826" s="1"/>
      <c r="M12826" s="1"/>
      <c r="N12826" s="1"/>
      <c r="O12826" s="1"/>
      <c r="P12826" s="1"/>
      <c r="Q12826" s="1"/>
      <c r="R12826" s="1"/>
      <c r="S12826" s="1"/>
      <c r="T12826" s="1"/>
      <c r="U12826" s="1"/>
      <c r="V12826" s="1"/>
      <c r="W12826" s="1"/>
      <c r="X12826" s="1"/>
      <c r="Y12826" s="1"/>
      <c r="Z12826" s="1"/>
      <c r="AA12826" s="1"/>
      <c r="AB12826" s="1"/>
    </row>
    <row r="12827" ht="50.25" customHeight="1">
      <c r="A12827" s="12">
        <v>12823.0</v>
      </c>
      <c r="B12827" s="13" t="s">
        <v>12428</v>
      </c>
      <c r="C12827" s="14" t="s">
        <v>12491</v>
      </c>
      <c r="D12827" s="1"/>
      <c r="E12827" s="1"/>
      <c r="F12827" s="1" t="str">
        <f>IFERROR(__xludf.DUMMYFUNCTION("GOOGLETRANSLATE(B12827, ""en"", ""fa"")
"),"سلامت روان و رفاه")</f>
        <v>سلامت روان و رفاه</v>
      </c>
      <c r="G12827" s="1" t="str">
        <f>IFERROR(__xludf.DUMMYFUNCTION("GOOGLETRANSLATE(C12827, ""en"", ""fa"")
"),"چگونه می توانم احساس تنهایی و انزوا را برای بهزیستی روانی بهتر بررسی کنم و بر آن غلبه کنم؟")</f>
        <v>چگونه می توانم احساس تنهایی و انزوا را برای بهزیستی روانی بهتر بررسی کنم و بر آن غلبه کنم؟</v>
      </c>
      <c r="H12827" s="1"/>
      <c r="I12827" s="1"/>
      <c r="J12827" s="1"/>
      <c r="K12827" s="1"/>
      <c r="L12827" s="1"/>
      <c r="M12827" s="1"/>
      <c r="N12827" s="1"/>
      <c r="O12827" s="1"/>
      <c r="P12827" s="1"/>
      <c r="Q12827" s="1"/>
      <c r="R12827" s="1"/>
      <c r="S12827" s="1"/>
      <c r="T12827" s="1"/>
      <c r="U12827" s="1"/>
      <c r="V12827" s="1"/>
      <c r="W12827" s="1"/>
      <c r="X12827" s="1"/>
      <c r="Y12827" s="1"/>
      <c r="Z12827" s="1"/>
      <c r="AA12827" s="1"/>
      <c r="AB12827" s="1"/>
    </row>
    <row r="12828" ht="50.25" customHeight="1">
      <c r="A12828" s="12">
        <v>12824.0</v>
      </c>
      <c r="B12828" s="13" t="s">
        <v>12428</v>
      </c>
      <c r="C12828" s="14" t="s">
        <v>12492</v>
      </c>
      <c r="D12828" s="1"/>
      <c r="E12828" s="1"/>
      <c r="F12828" s="1" t="str">
        <f>IFERROR(__xludf.DUMMYFUNCTION("GOOGLETRANSLATE(B12828, ""en"", ""fa"")
"),"سلامت روان و رفاه")</f>
        <v>سلامت روان و رفاه</v>
      </c>
      <c r="G12828" s="1" t="str">
        <f>IFERROR(__xludf.DUMMYFUNCTION("GOOGLETRANSLATE(C12828, ""en"", ""fa"")
"),"آیا می توانید راهکارهایی برای مدیریت و کاهش علائم اختلال استرس پس از سانحه (PTSD) پیشنهاد کنید؟")</f>
        <v>آیا می توانید راهکارهایی برای مدیریت و کاهش علائم اختلال استرس پس از سانحه (PTSD) پیشنهاد کنید؟</v>
      </c>
      <c r="H12828" s="1"/>
      <c r="I12828" s="1"/>
      <c r="J12828" s="1"/>
      <c r="K12828" s="1"/>
      <c r="L12828" s="1"/>
      <c r="M12828" s="1"/>
      <c r="N12828" s="1"/>
      <c r="O12828" s="1"/>
      <c r="P12828" s="1"/>
      <c r="Q12828" s="1"/>
      <c r="R12828" s="1"/>
      <c r="S12828" s="1"/>
      <c r="T12828" s="1"/>
      <c r="U12828" s="1"/>
      <c r="V12828" s="1"/>
      <c r="W12828" s="1"/>
      <c r="X12828" s="1"/>
      <c r="Y12828" s="1"/>
      <c r="Z12828" s="1"/>
      <c r="AA12828" s="1"/>
      <c r="AB12828" s="1"/>
    </row>
    <row r="12829" ht="50.25" customHeight="1">
      <c r="A12829" s="12">
        <v>12825.0</v>
      </c>
      <c r="B12829" s="13" t="s">
        <v>12428</v>
      </c>
      <c r="C12829" s="14" t="s">
        <v>12493</v>
      </c>
      <c r="D12829" s="1"/>
      <c r="E12829" s="1"/>
      <c r="F12829" s="1" t="str">
        <f>IFERROR(__xludf.DUMMYFUNCTION("GOOGLETRANSLATE(B12829, ""en"", ""fa"")
"),"سلامت روان و رفاه")</f>
        <v>سلامت روان و رفاه</v>
      </c>
      <c r="G12829" s="1" t="str">
        <f>IFERROR(__xludf.DUMMYFUNCTION("GOOGLETRANSLATE(C12829, ""en"", ""fa"")
"),"نکات مهم برای پرورش تصویر بدنی مثبت و سالم در فرهنگی که بر ظاهر تأکید دارد چیست؟")</f>
        <v>نکات مهم برای پرورش تصویر بدنی مثبت و سالم در فرهنگی که بر ظاهر تأکید دارد چیست؟</v>
      </c>
      <c r="H12829" s="1"/>
      <c r="I12829" s="1"/>
      <c r="J12829" s="1"/>
      <c r="K12829" s="1"/>
      <c r="L12829" s="1"/>
      <c r="M12829" s="1"/>
      <c r="N12829" s="1"/>
      <c r="O12829" s="1"/>
      <c r="P12829" s="1"/>
      <c r="Q12829" s="1"/>
      <c r="R12829" s="1"/>
      <c r="S12829" s="1"/>
      <c r="T12829" s="1"/>
      <c r="U12829" s="1"/>
      <c r="V12829" s="1"/>
      <c r="W12829" s="1"/>
      <c r="X12829" s="1"/>
      <c r="Y12829" s="1"/>
      <c r="Z12829" s="1"/>
      <c r="AA12829" s="1"/>
      <c r="AB12829" s="1"/>
    </row>
    <row r="12830" ht="50.25" customHeight="1">
      <c r="A12830" s="12">
        <v>12826.0</v>
      </c>
      <c r="B12830" s="13" t="s">
        <v>12428</v>
      </c>
      <c r="C12830" s="14" t="s">
        <v>12494</v>
      </c>
      <c r="D12830" s="1"/>
      <c r="E12830" s="1"/>
      <c r="F12830" s="1" t="str">
        <f>IFERROR(__xludf.DUMMYFUNCTION("GOOGLETRANSLATE(B12830, ""en"", ""fa"")
"),"سلامت روان و رفاه")</f>
        <v>سلامت روان و رفاه</v>
      </c>
      <c r="G12830" s="1" t="str">
        <f>IFERROR(__xludf.DUMMYFUNCTION("GOOGLETRANSLATE(C12830, ""en"", ""fa"")
"),"چگونه می توانم علائم اضطراب اجتماعی را مدیریت و کاهش دهم تا در محیط های اجتماعی احساس راحتی بیشتری داشته باشم؟")</f>
        <v>چگونه می توانم علائم اضطراب اجتماعی را مدیریت و کاهش دهم تا در محیط های اجتماعی احساس راحتی بیشتری داشته باشم؟</v>
      </c>
      <c r="H12830" s="1"/>
      <c r="I12830" s="1"/>
      <c r="J12830" s="1"/>
      <c r="K12830" s="1"/>
      <c r="L12830" s="1"/>
      <c r="M12830" s="1"/>
      <c r="N12830" s="1"/>
      <c r="O12830" s="1"/>
      <c r="P12830" s="1"/>
      <c r="Q12830" s="1"/>
      <c r="R12830" s="1"/>
      <c r="S12830" s="1"/>
      <c r="T12830" s="1"/>
      <c r="U12830" s="1"/>
      <c r="V12830" s="1"/>
      <c r="W12830" s="1"/>
      <c r="X12830" s="1"/>
      <c r="Y12830" s="1"/>
      <c r="Z12830" s="1"/>
      <c r="AA12830" s="1"/>
      <c r="AB12830" s="1"/>
    </row>
    <row r="12831" ht="50.25" customHeight="1">
      <c r="A12831" s="12">
        <v>12827.0</v>
      </c>
      <c r="B12831" s="13" t="s">
        <v>12428</v>
      </c>
      <c r="C12831" s="14" t="s">
        <v>12495</v>
      </c>
      <c r="D12831" s="1"/>
      <c r="E12831" s="1"/>
      <c r="F12831" s="1" t="str">
        <f>IFERROR(__xludf.DUMMYFUNCTION("GOOGLETRANSLATE(B12831, ""en"", ""fa"")
"),"سلامت روان و رفاه")</f>
        <v>سلامت روان و رفاه</v>
      </c>
      <c r="G12831" s="1" t="str">
        <f>IFERROR(__xludf.DUMMYFUNCTION("GOOGLETRANSLATE(C12831, ""en"", ""fa"")
"),"بهترین منابع برای یادگیری در مورد انواع مختلف گروه های حمایتی سلامت روان و مزایای آنها چیست؟")</f>
        <v>بهترین منابع برای یادگیری در مورد انواع مختلف گروه های حمایتی سلامت روان و مزایای آنها چیست؟</v>
      </c>
      <c r="H12831" s="1"/>
      <c r="I12831" s="1"/>
      <c r="J12831" s="1"/>
      <c r="K12831" s="1"/>
      <c r="L12831" s="1"/>
      <c r="M12831" s="1"/>
      <c r="N12831" s="1"/>
      <c r="O12831" s="1"/>
      <c r="P12831" s="1"/>
      <c r="Q12831" s="1"/>
      <c r="R12831" s="1"/>
      <c r="S12831" s="1"/>
      <c r="T12831" s="1"/>
      <c r="U12831" s="1"/>
      <c r="V12831" s="1"/>
      <c r="W12831" s="1"/>
      <c r="X12831" s="1"/>
      <c r="Y12831" s="1"/>
      <c r="Z12831" s="1"/>
      <c r="AA12831" s="1"/>
      <c r="AB12831" s="1"/>
    </row>
    <row r="12832" ht="50.25" customHeight="1">
      <c r="A12832" s="12">
        <v>12828.0</v>
      </c>
      <c r="B12832" s="13" t="s">
        <v>12428</v>
      </c>
      <c r="C12832" s="14" t="s">
        <v>12496</v>
      </c>
      <c r="D12832" s="1"/>
      <c r="E12832" s="1"/>
      <c r="F12832" s="1" t="str">
        <f>IFERROR(__xludf.DUMMYFUNCTION("GOOGLETRANSLATE(B12832, ""en"", ""fa"")
"),"سلامت روان و رفاه")</f>
        <v>سلامت روان و رفاه</v>
      </c>
      <c r="G12832" s="1" t="str">
        <f>IFERROR(__xludf.DUMMYFUNCTION("GOOGLETRANSLATE(C12832, ""en"", ""fa"")
"),"چگونه می توانم خودمراقبتی کنم و در میان خواسته های کاری و مسئولیت های شخصی برای خودم وقت بگذارم؟")</f>
        <v>چگونه می توانم خودمراقبتی کنم و در میان خواسته های کاری و مسئولیت های شخصی برای خودم وقت بگذارم؟</v>
      </c>
      <c r="H12832" s="1"/>
      <c r="I12832" s="1"/>
      <c r="J12832" s="1"/>
      <c r="K12832" s="1"/>
      <c r="L12832" s="1"/>
      <c r="M12832" s="1"/>
      <c r="N12832" s="1"/>
      <c r="O12832" s="1"/>
      <c r="P12832" s="1"/>
      <c r="Q12832" s="1"/>
      <c r="R12832" s="1"/>
      <c r="S12832" s="1"/>
      <c r="T12832" s="1"/>
      <c r="U12832" s="1"/>
      <c r="V12832" s="1"/>
      <c r="W12832" s="1"/>
      <c r="X12832" s="1"/>
      <c r="Y12832" s="1"/>
      <c r="Z12832" s="1"/>
      <c r="AA12832" s="1"/>
      <c r="AB12832" s="1"/>
    </row>
    <row r="12833" ht="50.25" customHeight="1">
      <c r="A12833" s="12">
        <v>12829.0</v>
      </c>
      <c r="B12833" s="13" t="s">
        <v>12428</v>
      </c>
      <c r="C12833" s="14" t="s">
        <v>12497</v>
      </c>
      <c r="D12833" s="1"/>
      <c r="E12833" s="1"/>
      <c r="F12833" s="1" t="str">
        <f>IFERROR(__xludf.DUMMYFUNCTION("GOOGLETRANSLATE(B12833, ""en"", ""fa"")
"),"سلامت روان و رفاه")</f>
        <v>سلامت روان و رفاه</v>
      </c>
      <c r="G12833" s="1" t="str">
        <f>IFERROR(__xludf.DUMMYFUNCTION("GOOGLETRANSLATE(C12833, ""en"", ""fa"")
"),"آیا می توانید فعالیت ها و ورزش هایی را برای تقویت آرامش و کاهش تنش عضلانی توصیه کنید؟")</f>
        <v>آیا می توانید فعالیت ها و ورزش هایی را برای تقویت آرامش و کاهش تنش عضلانی توصیه کنید؟</v>
      </c>
      <c r="H12833" s="1"/>
      <c r="I12833" s="1"/>
      <c r="J12833" s="1"/>
      <c r="K12833" s="1"/>
      <c r="L12833" s="1"/>
      <c r="M12833" s="1"/>
      <c r="N12833" s="1"/>
      <c r="O12833" s="1"/>
      <c r="P12833" s="1"/>
      <c r="Q12833" s="1"/>
      <c r="R12833" s="1"/>
      <c r="S12833" s="1"/>
      <c r="T12833" s="1"/>
      <c r="U12833" s="1"/>
      <c r="V12833" s="1"/>
      <c r="W12833" s="1"/>
      <c r="X12833" s="1"/>
      <c r="Y12833" s="1"/>
      <c r="Z12833" s="1"/>
      <c r="AA12833" s="1"/>
      <c r="AB12833" s="1"/>
    </row>
    <row r="12834" ht="50.25" customHeight="1">
      <c r="A12834" s="12">
        <v>12830.0</v>
      </c>
      <c r="B12834" s="13" t="s">
        <v>12428</v>
      </c>
      <c r="C12834" s="14" t="s">
        <v>12498</v>
      </c>
      <c r="D12834" s="1"/>
      <c r="E12834" s="1"/>
      <c r="F12834" s="1" t="str">
        <f>IFERROR(__xludf.DUMMYFUNCTION("GOOGLETRANSLATE(B12834, ""en"", ""fa"")
"),"سلامت روان و رفاه")</f>
        <v>سلامت روان و رفاه</v>
      </c>
      <c r="G12834" s="1" t="str">
        <f>IFERROR(__xludf.DUMMYFUNCTION("GOOGLETRANSLATE(C12834, ""en"", ""fa"")
"),"راهبردهای برتر برای پرورش هویت مثبت و ایجاد عزت نفس چیست؟")</f>
        <v>راهبردهای برتر برای پرورش هویت مثبت و ایجاد عزت نفس چیست؟</v>
      </c>
      <c r="H12834" s="1"/>
      <c r="I12834" s="1"/>
      <c r="J12834" s="1"/>
      <c r="K12834" s="1"/>
      <c r="L12834" s="1"/>
      <c r="M12834" s="1"/>
      <c r="N12834" s="1"/>
      <c r="O12834" s="1"/>
      <c r="P12834" s="1"/>
      <c r="Q12834" s="1"/>
      <c r="R12834" s="1"/>
      <c r="S12834" s="1"/>
      <c r="T12834" s="1"/>
      <c r="U12834" s="1"/>
      <c r="V12834" s="1"/>
      <c r="W12834" s="1"/>
      <c r="X12834" s="1"/>
      <c r="Y12834" s="1"/>
      <c r="Z12834" s="1"/>
      <c r="AA12834" s="1"/>
      <c r="AB12834" s="1"/>
    </row>
    <row r="12835" ht="50.25" customHeight="1">
      <c r="A12835" s="12">
        <v>12831.0</v>
      </c>
      <c r="B12835" s="13" t="s">
        <v>12428</v>
      </c>
      <c r="C12835" s="14" t="s">
        <v>12499</v>
      </c>
      <c r="D12835" s="1"/>
      <c r="E12835" s="1"/>
      <c r="F12835" s="1" t="str">
        <f>IFERROR(__xludf.DUMMYFUNCTION("GOOGLETRANSLATE(B12835, ""en"", ""fa"")
"),"سلامت روان و رفاه")</f>
        <v>سلامت روان و رفاه</v>
      </c>
      <c r="G12835" s="1" t="str">
        <f>IFERROR(__xludf.DUMMYFUNCTION("GOOGLETRANSLATE(C12835,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2835" s="1"/>
      <c r="I12835" s="1"/>
      <c r="J12835" s="1"/>
      <c r="K12835" s="1"/>
      <c r="L12835" s="1"/>
      <c r="M12835" s="1"/>
      <c r="N12835" s="1"/>
      <c r="O12835" s="1"/>
      <c r="P12835" s="1"/>
      <c r="Q12835" s="1"/>
      <c r="R12835" s="1"/>
      <c r="S12835" s="1"/>
      <c r="T12835" s="1"/>
      <c r="U12835" s="1"/>
      <c r="V12835" s="1"/>
      <c r="W12835" s="1"/>
      <c r="X12835" s="1"/>
      <c r="Y12835" s="1"/>
      <c r="Z12835" s="1"/>
      <c r="AA12835" s="1"/>
      <c r="AB12835" s="1"/>
    </row>
    <row r="12836" ht="50.25" customHeight="1">
      <c r="A12836" s="12">
        <v>12832.0</v>
      </c>
      <c r="B12836" s="13" t="s">
        <v>12428</v>
      </c>
      <c r="C12836" s="14" t="s">
        <v>12500</v>
      </c>
      <c r="D12836" s="1"/>
      <c r="E12836" s="1"/>
      <c r="F12836" s="1" t="str">
        <f>IFERROR(__xludf.DUMMYFUNCTION("GOOGLETRANSLATE(B12836, ""en"", ""fa"")
"),"سلامت روان و رفاه")</f>
        <v>سلامت روان و رفاه</v>
      </c>
      <c r="G12836" s="1" t="str">
        <f>IFERROR(__xludf.DUMMYFUNCTION("GOOGLETRANSLATE(C12836, ""en"", ""fa"")
"),"بهترین تکنیک ها برای مدیریت و کاهش علائم فوبیا و ترس چیست؟")</f>
        <v>بهترین تکنیک ها برای مدیریت و کاهش علائم فوبیا و ترس چیست؟</v>
      </c>
      <c r="H12836" s="1"/>
      <c r="I12836" s="1"/>
      <c r="J12836" s="1"/>
      <c r="K12836" s="1"/>
      <c r="L12836" s="1"/>
      <c r="M12836" s="1"/>
      <c r="N12836" s="1"/>
      <c r="O12836" s="1"/>
      <c r="P12836" s="1"/>
      <c r="Q12836" s="1"/>
      <c r="R12836" s="1"/>
      <c r="S12836" s="1"/>
      <c r="T12836" s="1"/>
      <c r="U12836" s="1"/>
      <c r="V12836" s="1"/>
      <c r="W12836" s="1"/>
      <c r="X12836" s="1"/>
      <c r="Y12836" s="1"/>
      <c r="Z12836" s="1"/>
      <c r="AA12836" s="1"/>
      <c r="AB12836" s="1"/>
    </row>
    <row r="12837" ht="50.25" customHeight="1">
      <c r="A12837" s="12">
        <v>12833.0</v>
      </c>
      <c r="B12837" s="13" t="s">
        <v>12428</v>
      </c>
      <c r="C12837" s="14" t="s">
        <v>12501</v>
      </c>
      <c r="D12837" s="1"/>
      <c r="E12837" s="1"/>
      <c r="F12837" s="1" t="str">
        <f>IFERROR(__xludf.DUMMYFUNCTION("GOOGLETRANSLATE(B12837, ""en"", ""fa"")
"),"سلامت روان و رفاه")</f>
        <v>سلامت روان و رفاه</v>
      </c>
      <c r="G12837" s="1" t="str">
        <f>IFERROR(__xludf.DUMMYFUNCTION("GOOGLETRANSLATE(C12837,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2837" s="1"/>
      <c r="I12837" s="1"/>
      <c r="J12837" s="1"/>
      <c r="K12837" s="1"/>
      <c r="L12837" s="1"/>
      <c r="M12837" s="1"/>
      <c r="N12837" s="1"/>
      <c r="O12837" s="1"/>
      <c r="P12837" s="1"/>
      <c r="Q12837" s="1"/>
      <c r="R12837" s="1"/>
      <c r="S12837" s="1"/>
      <c r="T12837" s="1"/>
      <c r="U12837" s="1"/>
      <c r="V12837" s="1"/>
      <c r="W12837" s="1"/>
      <c r="X12837" s="1"/>
      <c r="Y12837" s="1"/>
      <c r="Z12837" s="1"/>
      <c r="AA12837" s="1"/>
      <c r="AB12837" s="1"/>
    </row>
    <row r="12838" ht="50.25" customHeight="1">
      <c r="A12838" s="12">
        <v>12834.0</v>
      </c>
      <c r="B12838" s="13" t="s">
        <v>12428</v>
      </c>
      <c r="C12838" s="14" t="s">
        <v>12502</v>
      </c>
      <c r="D12838" s="1"/>
      <c r="E12838" s="1"/>
      <c r="F12838" s="1" t="str">
        <f>IFERROR(__xludf.DUMMYFUNCTION("GOOGLETRANSLATE(B12838, ""en"", ""fa"")
"),"سلامت روان و رفاه")</f>
        <v>سلامت روان و رفاه</v>
      </c>
      <c r="G12838" s="1" t="str">
        <f>IFERROR(__xludf.DUMMYFUNCTION("GOOGLETRANSLATE(C12838, ""en"", ""fa"")
"),"آیا می‌توانید منابعی را برای یادگیری در مورد رویکردهای مختلف کلی‌نگر به سلامت روان و بهزیستی پیشنهاد کنید؟")</f>
        <v>آیا می‌توانید منابعی را برای یادگیری در مورد رویکردهای مختلف کلی‌نگر به سلامت روان و بهزیستی پیشنهاد کنید؟</v>
      </c>
      <c r="H12838" s="1"/>
      <c r="I12838" s="1"/>
      <c r="J12838" s="1"/>
      <c r="K12838" s="1"/>
      <c r="L12838" s="1"/>
      <c r="M12838" s="1"/>
      <c r="N12838" s="1"/>
      <c r="O12838" s="1"/>
      <c r="P12838" s="1"/>
      <c r="Q12838" s="1"/>
      <c r="R12838" s="1"/>
      <c r="S12838" s="1"/>
      <c r="T12838" s="1"/>
      <c r="U12838" s="1"/>
      <c r="V12838" s="1"/>
      <c r="W12838" s="1"/>
      <c r="X12838" s="1"/>
      <c r="Y12838" s="1"/>
      <c r="Z12838" s="1"/>
      <c r="AA12838" s="1"/>
      <c r="AB12838" s="1"/>
    </row>
    <row r="12839" ht="50.25" customHeight="1">
      <c r="A12839" s="12">
        <v>12835.0</v>
      </c>
      <c r="B12839" s="13" t="s">
        <v>12428</v>
      </c>
      <c r="C12839" s="14" t="s">
        <v>12503</v>
      </c>
      <c r="D12839" s="1"/>
      <c r="E12839" s="1"/>
      <c r="F12839" s="1" t="str">
        <f>IFERROR(__xludf.DUMMYFUNCTION("GOOGLETRANSLATE(B12839, ""en"", ""fa"")
"),"سلامت روان و رفاه")</f>
        <v>سلامت روان و رفاه</v>
      </c>
      <c r="G12839" s="1" t="str">
        <f>IFERROR(__xludf.DUMMYFUNCTION("GOOGLETRANSLATE(C12839, ""en"", ""fa"")
"),"نکات مهم برای ایجاد و حفظ هوش هیجانی برای روابط بین فردی بهتر چیست؟")</f>
        <v>نکات مهم برای ایجاد و حفظ هوش هیجانی برای روابط بین فردی بهتر چیست؟</v>
      </c>
      <c r="H12839" s="1"/>
      <c r="I12839" s="1"/>
      <c r="J12839" s="1"/>
      <c r="K12839" s="1"/>
      <c r="L12839" s="1"/>
      <c r="M12839" s="1"/>
      <c r="N12839" s="1"/>
      <c r="O12839" s="1"/>
      <c r="P12839" s="1"/>
      <c r="Q12839" s="1"/>
      <c r="R12839" s="1"/>
      <c r="S12839" s="1"/>
      <c r="T12839" s="1"/>
      <c r="U12839" s="1"/>
      <c r="V12839" s="1"/>
      <c r="W12839" s="1"/>
      <c r="X12839" s="1"/>
      <c r="Y12839" s="1"/>
      <c r="Z12839" s="1"/>
      <c r="AA12839" s="1"/>
      <c r="AB12839" s="1"/>
    </row>
    <row r="12840" ht="50.25" customHeight="1">
      <c r="A12840" s="12">
        <v>12836.0</v>
      </c>
      <c r="B12840" s="13" t="s">
        <v>12428</v>
      </c>
      <c r="C12840" s="14" t="s">
        <v>12504</v>
      </c>
      <c r="D12840" s="1"/>
      <c r="E12840" s="1"/>
      <c r="F12840" s="1" t="str">
        <f>IFERROR(__xludf.DUMMYFUNCTION("GOOGLETRANSLATE(B12840, ""en"", ""fa"")
"),"سلامت روان و رفاه")</f>
        <v>سلامت روان و رفاه</v>
      </c>
      <c r="G12840" s="1" t="str">
        <f>IFERROR(__xludf.DUMMYFUNCTION("GOOGLETRANSLATE(C12840,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2840" s="1"/>
      <c r="I12840" s="1"/>
      <c r="J12840" s="1"/>
      <c r="K12840" s="1"/>
      <c r="L12840" s="1"/>
      <c r="M12840" s="1"/>
      <c r="N12840" s="1"/>
      <c r="O12840" s="1"/>
      <c r="P12840" s="1"/>
      <c r="Q12840" s="1"/>
      <c r="R12840" s="1"/>
      <c r="S12840" s="1"/>
      <c r="T12840" s="1"/>
      <c r="U12840" s="1"/>
      <c r="V12840" s="1"/>
      <c r="W12840" s="1"/>
      <c r="X12840" s="1"/>
      <c r="Y12840" s="1"/>
      <c r="Z12840" s="1"/>
      <c r="AA12840" s="1"/>
      <c r="AB12840" s="1"/>
    </row>
    <row r="12841" ht="50.25" customHeight="1">
      <c r="A12841" s="12">
        <v>12837.0</v>
      </c>
      <c r="B12841" s="13" t="s">
        <v>12428</v>
      </c>
      <c r="C12841" s="14" t="s">
        <v>12505</v>
      </c>
      <c r="D12841" s="1"/>
      <c r="E12841" s="1"/>
      <c r="F12841" s="1" t="str">
        <f>IFERROR(__xludf.DUMMYFUNCTION("GOOGLETRANSLATE(B12841, ""en"", ""fa"")
"),"سلامت روان و رفاه")</f>
        <v>سلامت روان و رفاه</v>
      </c>
      <c r="G12841" s="1" t="str">
        <f>IFERROR(__xludf.DUMMYFUNCTION("GOOGLETRANSLATE(C12841, ""en"", ""fa"")
"),"بهترین راهکارها برای مدیریت و کاهش علائم اختلال دوقطبی چیست؟")</f>
        <v>بهترین راهکارها برای مدیریت و کاهش علائم اختلال دوقطبی چیست؟</v>
      </c>
      <c r="H12841" s="1"/>
      <c r="I12841" s="1"/>
      <c r="J12841" s="1"/>
      <c r="K12841" s="1"/>
      <c r="L12841" s="1"/>
      <c r="M12841" s="1"/>
      <c r="N12841" s="1"/>
      <c r="O12841" s="1"/>
      <c r="P12841" s="1"/>
      <c r="Q12841" s="1"/>
      <c r="R12841" s="1"/>
      <c r="S12841" s="1"/>
      <c r="T12841" s="1"/>
      <c r="U12841" s="1"/>
      <c r="V12841" s="1"/>
      <c r="W12841" s="1"/>
      <c r="X12841" s="1"/>
      <c r="Y12841" s="1"/>
      <c r="Z12841" s="1"/>
      <c r="AA12841" s="1"/>
      <c r="AB12841" s="1"/>
    </row>
    <row r="12842" ht="50.25" customHeight="1">
      <c r="A12842" s="12">
        <v>12838.0</v>
      </c>
      <c r="B12842" s="13" t="s">
        <v>12428</v>
      </c>
      <c r="C12842" s="14" t="s">
        <v>12506</v>
      </c>
      <c r="D12842" s="1"/>
      <c r="E12842" s="1"/>
      <c r="F12842" s="1" t="str">
        <f>IFERROR(__xludf.DUMMYFUNCTION("GOOGLETRANSLATE(B12842, ""en"", ""fa"")
"),"سلامت روان و رفاه")</f>
        <v>سلامت روان و رفاه</v>
      </c>
      <c r="G12842" s="1" t="str">
        <f>IFERROR(__xludf.DUMMYFUNCTION("GOOGLETRANSLATE(C12842,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2842" s="1"/>
      <c r="I12842" s="1"/>
      <c r="J12842" s="1"/>
      <c r="K12842" s="1"/>
      <c r="L12842" s="1"/>
      <c r="M12842" s="1"/>
      <c r="N12842" s="1"/>
      <c r="O12842" s="1"/>
      <c r="P12842" s="1"/>
      <c r="Q12842" s="1"/>
      <c r="R12842" s="1"/>
      <c r="S12842" s="1"/>
      <c r="T12842" s="1"/>
      <c r="U12842" s="1"/>
      <c r="V12842" s="1"/>
      <c r="W12842" s="1"/>
      <c r="X12842" s="1"/>
      <c r="Y12842" s="1"/>
      <c r="Z12842" s="1"/>
      <c r="AA12842" s="1"/>
      <c r="AB12842" s="1"/>
    </row>
    <row r="12843" ht="50.25" customHeight="1">
      <c r="A12843" s="12">
        <v>12839.0</v>
      </c>
      <c r="B12843" s="13" t="s">
        <v>12428</v>
      </c>
      <c r="C12843" s="14" t="s">
        <v>12507</v>
      </c>
      <c r="D12843" s="1"/>
      <c r="E12843" s="1"/>
      <c r="F12843" s="1" t="str">
        <f>IFERROR(__xludf.DUMMYFUNCTION("GOOGLETRANSLATE(B12843, ""en"", ""fa"")
"),"سلامت روان و رفاه")</f>
        <v>سلامت روان و رفاه</v>
      </c>
      <c r="G12843" s="1" t="str">
        <f>IFERROR(__xludf.DUMMYFUNCTION("GOOGLETRANSLATE(C12843, ""en"", ""fa"")
"),"آیا می توانید تکنیک هایی را برای تمرین آرام سازی پیشرونده عضلانی برای کاهش استرس و اضطراب توصیه کنید؟")</f>
        <v>آیا می توانید تکنیک هایی را برای تمرین آرام سازی پیشرونده عضلانی برای کاهش استرس و اضطراب توصیه کنید؟</v>
      </c>
      <c r="H12843" s="1"/>
      <c r="I12843" s="1"/>
      <c r="J12843" s="1"/>
      <c r="K12843" s="1"/>
      <c r="L12843" s="1"/>
      <c r="M12843" s="1"/>
      <c r="N12843" s="1"/>
      <c r="O12843" s="1"/>
      <c r="P12843" s="1"/>
      <c r="Q12843" s="1"/>
      <c r="R12843" s="1"/>
      <c r="S12843" s="1"/>
      <c r="T12843" s="1"/>
      <c r="U12843" s="1"/>
      <c r="V12843" s="1"/>
      <c r="W12843" s="1"/>
      <c r="X12843" s="1"/>
      <c r="Y12843" s="1"/>
      <c r="Z12843" s="1"/>
      <c r="AA12843" s="1"/>
      <c r="AB12843" s="1"/>
    </row>
    <row r="12844" ht="50.25" customHeight="1">
      <c r="A12844" s="12">
        <v>12840.0</v>
      </c>
      <c r="B12844" s="13" t="s">
        <v>12428</v>
      </c>
      <c r="C12844" s="14" t="s">
        <v>12508</v>
      </c>
      <c r="D12844" s="1"/>
      <c r="E12844" s="1"/>
      <c r="F12844" s="1" t="str">
        <f>IFERROR(__xludf.DUMMYFUNCTION("GOOGLETRANSLATE(B12844, ""en"", ""fa"")
"),"سلامت روان و رفاه")</f>
        <v>سلامت روان و رفاه</v>
      </c>
      <c r="G12844" s="1" t="str">
        <f>IFERROR(__xludf.DUMMYFUNCTION("GOOGLETRANSLATE(C12844, ""en"", ""fa"")
"),"نکات مهم برای ایجاد و حفظ تاب آوری در مواجهه با چالش های زندگی چیست؟")</f>
        <v>نکات مهم برای ایجاد و حفظ تاب آوری در مواجهه با چالش های زندگی چیست؟</v>
      </c>
      <c r="H12844" s="1"/>
      <c r="I12844" s="1"/>
      <c r="J12844" s="1"/>
      <c r="K12844" s="1"/>
      <c r="L12844" s="1"/>
      <c r="M12844" s="1"/>
      <c r="N12844" s="1"/>
      <c r="O12844" s="1"/>
      <c r="P12844" s="1"/>
      <c r="Q12844" s="1"/>
      <c r="R12844" s="1"/>
      <c r="S12844" s="1"/>
      <c r="T12844" s="1"/>
      <c r="U12844" s="1"/>
      <c r="V12844" s="1"/>
      <c r="W12844" s="1"/>
      <c r="X12844" s="1"/>
      <c r="Y12844" s="1"/>
      <c r="Z12844" s="1"/>
      <c r="AA12844" s="1"/>
      <c r="AB12844" s="1"/>
    </row>
    <row r="12845" ht="50.25" customHeight="1">
      <c r="A12845" s="12">
        <v>12841.0</v>
      </c>
      <c r="B12845" s="13" t="s">
        <v>12428</v>
      </c>
      <c r="C12845" s="14" t="s">
        <v>12509</v>
      </c>
      <c r="D12845" s="1"/>
      <c r="E12845" s="1"/>
      <c r="F12845" s="1" t="str">
        <f>IFERROR(__xludf.DUMMYFUNCTION("GOOGLETRANSLATE(B12845, ""en"", ""fa"")
"),"سلامت روان و رفاه")</f>
        <v>سلامت روان و رفاه</v>
      </c>
      <c r="G12845" s="1" t="str">
        <f>IFERROR(__xludf.DUMMYFUNCTION("GOOGLETRANSLATE(C12845,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2845" s="1"/>
      <c r="I12845" s="1"/>
      <c r="J12845" s="1"/>
      <c r="K12845" s="1"/>
      <c r="L12845" s="1"/>
      <c r="M12845" s="1"/>
      <c r="N12845" s="1"/>
      <c r="O12845" s="1"/>
      <c r="P12845" s="1"/>
      <c r="Q12845" s="1"/>
      <c r="R12845" s="1"/>
      <c r="S12845" s="1"/>
      <c r="T12845" s="1"/>
      <c r="U12845" s="1"/>
      <c r="V12845" s="1"/>
      <c r="W12845" s="1"/>
      <c r="X12845" s="1"/>
      <c r="Y12845" s="1"/>
      <c r="Z12845" s="1"/>
      <c r="AA12845" s="1"/>
      <c r="AB12845" s="1"/>
    </row>
    <row r="12846" ht="50.25" customHeight="1">
      <c r="A12846" s="12">
        <v>12842.0</v>
      </c>
      <c r="B12846" s="13" t="s">
        <v>12428</v>
      </c>
      <c r="C12846" s="14" t="s">
        <v>12510</v>
      </c>
      <c r="D12846" s="1"/>
      <c r="E12846" s="1"/>
      <c r="F12846" s="1" t="str">
        <f>IFERROR(__xludf.DUMMYFUNCTION("GOOGLETRANSLATE(B12846, ""en"", ""fa"")
"),"سلامت روان و رفاه")</f>
        <v>سلامت روان و رفاه</v>
      </c>
      <c r="G12846" s="1" t="str">
        <f>IFERROR(__xludf.DUMMYFUNCTION("GOOGLETRANSLATE(C12846,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2846" s="1"/>
      <c r="I12846" s="1"/>
      <c r="J12846" s="1"/>
      <c r="K12846" s="1"/>
      <c r="L12846" s="1"/>
      <c r="M12846" s="1"/>
      <c r="N12846" s="1"/>
      <c r="O12846" s="1"/>
      <c r="P12846" s="1"/>
      <c r="Q12846" s="1"/>
      <c r="R12846" s="1"/>
      <c r="S12846" s="1"/>
      <c r="T12846" s="1"/>
      <c r="U12846" s="1"/>
      <c r="V12846" s="1"/>
      <c r="W12846" s="1"/>
      <c r="X12846" s="1"/>
      <c r="Y12846" s="1"/>
      <c r="Z12846" s="1"/>
      <c r="AA12846" s="1"/>
      <c r="AB12846" s="1"/>
    </row>
    <row r="12847" ht="50.25" customHeight="1">
      <c r="A12847" s="12">
        <v>12843.0</v>
      </c>
      <c r="B12847" s="13" t="s">
        <v>12428</v>
      </c>
      <c r="C12847" s="14" t="s">
        <v>12511</v>
      </c>
      <c r="D12847" s="1"/>
      <c r="E12847" s="1"/>
      <c r="F12847" s="1" t="str">
        <f>IFERROR(__xludf.DUMMYFUNCTION("GOOGLETRANSLATE(B12847, ""en"", ""fa"")
"),"سلامت روان و رفاه")</f>
        <v>سلامت روان و رفاه</v>
      </c>
      <c r="G12847" s="1" t="str">
        <f>IFERROR(__xludf.DUMMYFUNCTION("GOOGLETRANSLATE(C12847,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2847" s="1"/>
      <c r="I12847" s="1"/>
      <c r="J12847" s="1"/>
      <c r="K12847" s="1"/>
      <c r="L12847" s="1"/>
      <c r="M12847" s="1"/>
      <c r="N12847" s="1"/>
      <c r="O12847" s="1"/>
      <c r="P12847" s="1"/>
      <c r="Q12847" s="1"/>
      <c r="R12847" s="1"/>
      <c r="S12847" s="1"/>
      <c r="T12847" s="1"/>
      <c r="U12847" s="1"/>
      <c r="V12847" s="1"/>
      <c r="W12847" s="1"/>
      <c r="X12847" s="1"/>
      <c r="Y12847" s="1"/>
      <c r="Z12847" s="1"/>
      <c r="AA12847" s="1"/>
      <c r="AB12847" s="1"/>
    </row>
    <row r="12848" ht="50.25" customHeight="1">
      <c r="A12848" s="12">
        <v>12844.0</v>
      </c>
      <c r="B12848" s="13" t="s">
        <v>12428</v>
      </c>
      <c r="C12848" s="14" t="s">
        <v>12512</v>
      </c>
      <c r="D12848" s="1"/>
      <c r="E12848" s="1"/>
      <c r="F12848" s="1" t="str">
        <f>IFERROR(__xludf.DUMMYFUNCTION("GOOGLETRANSLATE(B12848, ""en"", ""fa"")
"),"سلامت روان و رفاه")</f>
        <v>سلامت روان و رفاه</v>
      </c>
      <c r="G12848" s="1" t="str">
        <f>IFERROR(__xludf.DUMMYFUNCTION("GOOGLETRANSLATE(C12848, ""en"", ""fa"")
"),"آیا می‌توانید فعالیت‌هایی را برای ارتقای خودبیانگری و خلاقیت برای تقویت سلامت ذهنی پیشنهاد دهید؟")</f>
        <v>آیا می‌توانید فعالیت‌هایی را برای ارتقای خودبیانگری و خلاقیت برای تقویت سلامت ذهنی پیشنهاد دهید؟</v>
      </c>
      <c r="H12848" s="1"/>
      <c r="I12848" s="1"/>
      <c r="J12848" s="1"/>
      <c r="K12848" s="1"/>
      <c r="L12848" s="1"/>
      <c r="M12848" s="1"/>
      <c r="N12848" s="1"/>
      <c r="O12848" s="1"/>
      <c r="P12848" s="1"/>
      <c r="Q12848" s="1"/>
      <c r="R12848" s="1"/>
      <c r="S12848" s="1"/>
      <c r="T12848" s="1"/>
      <c r="U12848" s="1"/>
      <c r="V12848" s="1"/>
      <c r="W12848" s="1"/>
      <c r="X12848" s="1"/>
      <c r="Y12848" s="1"/>
      <c r="Z12848" s="1"/>
      <c r="AA12848" s="1"/>
      <c r="AB12848" s="1"/>
    </row>
    <row r="12849" ht="50.25" customHeight="1">
      <c r="A12849" s="12">
        <v>12845.0</v>
      </c>
      <c r="B12849" s="13" t="s">
        <v>12428</v>
      </c>
      <c r="C12849" s="14" t="s">
        <v>12513</v>
      </c>
      <c r="D12849" s="1"/>
      <c r="E12849" s="1"/>
      <c r="F12849" s="1" t="str">
        <f>IFERROR(__xludf.DUMMYFUNCTION("GOOGLETRANSLATE(B12849, ""en"", ""fa"")
"),"سلامت روان و رفاه")</f>
        <v>سلامت روان و رفاه</v>
      </c>
      <c r="G12849" s="1" t="str">
        <f>IFERROR(__xludf.DUMMYFUNCTION("GOOGLETRANSLATE(C12849, ""en"", ""fa"")
"),"راهبردهای برتر برای مدیریت و کاهش علائم اختلالات خوردن چیست؟")</f>
        <v>راهبردهای برتر برای مدیریت و کاهش علائم اختلالات خوردن چیست؟</v>
      </c>
      <c r="H12849" s="1"/>
      <c r="I12849" s="1"/>
      <c r="J12849" s="1"/>
      <c r="K12849" s="1"/>
      <c r="L12849" s="1"/>
      <c r="M12849" s="1"/>
      <c r="N12849" s="1"/>
      <c r="O12849" s="1"/>
      <c r="P12849" s="1"/>
      <c r="Q12849" s="1"/>
      <c r="R12849" s="1"/>
      <c r="S12849" s="1"/>
      <c r="T12849" s="1"/>
      <c r="U12849" s="1"/>
      <c r="V12849" s="1"/>
      <c r="W12849" s="1"/>
      <c r="X12849" s="1"/>
      <c r="Y12849" s="1"/>
      <c r="Z12849" s="1"/>
      <c r="AA12849" s="1"/>
      <c r="AB12849" s="1"/>
    </row>
    <row r="12850" ht="50.25" customHeight="1">
      <c r="A12850" s="12">
        <v>12846.0</v>
      </c>
      <c r="B12850" s="13" t="s">
        <v>12428</v>
      </c>
      <c r="C12850" s="14" t="s">
        <v>12514</v>
      </c>
      <c r="D12850" s="1"/>
      <c r="E12850" s="1"/>
      <c r="F12850" s="1" t="str">
        <f>IFERROR(__xludf.DUMMYFUNCTION("GOOGLETRANSLATE(B12850, ""en"", ""fa"")
"),"سلامت روان و رفاه")</f>
        <v>سلامت روان و رفاه</v>
      </c>
      <c r="G12850" s="1" t="str">
        <f>IFERROR(__xludf.DUMMYFUNCTION("GOOGLETRANSLATE(C12850,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2850" s="1"/>
      <c r="I12850" s="1"/>
      <c r="J12850" s="1"/>
      <c r="K12850" s="1"/>
      <c r="L12850" s="1"/>
      <c r="M12850" s="1"/>
      <c r="N12850" s="1"/>
      <c r="O12850" s="1"/>
      <c r="P12850" s="1"/>
      <c r="Q12850" s="1"/>
      <c r="R12850" s="1"/>
      <c r="S12850" s="1"/>
      <c r="T12850" s="1"/>
      <c r="U12850" s="1"/>
      <c r="V12850" s="1"/>
      <c r="W12850" s="1"/>
      <c r="X12850" s="1"/>
      <c r="Y12850" s="1"/>
      <c r="Z12850" s="1"/>
      <c r="AA12850" s="1"/>
      <c r="AB12850" s="1"/>
    </row>
    <row r="12851" ht="50.25" customHeight="1">
      <c r="A12851" s="12">
        <v>12847.0</v>
      </c>
      <c r="B12851" s="13" t="s">
        <v>12428</v>
      </c>
      <c r="C12851" s="14" t="s">
        <v>12515</v>
      </c>
      <c r="D12851" s="1"/>
      <c r="E12851" s="1"/>
      <c r="F12851" s="1" t="str">
        <f>IFERROR(__xludf.DUMMYFUNCTION("GOOGLETRANSLATE(B12851, ""en"", ""fa"")
"),"سلامت روان و رفاه")</f>
        <v>سلامت روان و رفاه</v>
      </c>
      <c r="G12851" s="1" t="str">
        <f>IFERROR(__xludf.DUMMYFUNCTION("GOOGLETRANSLATE(C12851, ""en"", ""fa"")
"),"بهترین تکنیک ها برای مدیریت و کاهش علائم اسکیزوفرنی چیست؟")</f>
        <v>بهترین تکنیک ها برای مدیریت و کاهش علائم اسکیزوفرنی چیست؟</v>
      </c>
      <c r="H12851" s="1"/>
      <c r="I12851" s="1"/>
      <c r="J12851" s="1"/>
      <c r="K12851" s="1"/>
      <c r="L12851" s="1"/>
      <c r="M12851" s="1"/>
      <c r="N12851" s="1"/>
      <c r="O12851" s="1"/>
      <c r="P12851" s="1"/>
      <c r="Q12851" s="1"/>
      <c r="R12851" s="1"/>
      <c r="S12851" s="1"/>
      <c r="T12851" s="1"/>
      <c r="U12851" s="1"/>
      <c r="V12851" s="1"/>
      <c r="W12851" s="1"/>
      <c r="X12851" s="1"/>
      <c r="Y12851" s="1"/>
      <c r="Z12851" s="1"/>
      <c r="AA12851" s="1"/>
      <c r="AB12851" s="1"/>
    </row>
    <row r="12852" ht="50.25" customHeight="1">
      <c r="A12852" s="12">
        <v>12848.0</v>
      </c>
      <c r="B12852" s="13" t="s">
        <v>12428</v>
      </c>
      <c r="C12852" s="14" t="s">
        <v>12516</v>
      </c>
      <c r="D12852" s="1"/>
      <c r="E12852" s="1"/>
      <c r="F12852" s="1" t="str">
        <f>IFERROR(__xludf.DUMMYFUNCTION("GOOGLETRANSLATE(B12852, ""en"", ""fa"")
"),"سلامت روان و رفاه")</f>
        <v>سلامت روان و رفاه</v>
      </c>
      <c r="G12852" s="1" t="str">
        <f>IFERROR(__xludf.DUMMYFUNCTION("GOOGLETRANSLATE(C12852,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2852" s="1"/>
      <c r="I12852" s="1"/>
      <c r="J12852" s="1"/>
      <c r="K12852" s="1"/>
      <c r="L12852" s="1"/>
      <c r="M12852" s="1"/>
      <c r="N12852" s="1"/>
      <c r="O12852" s="1"/>
      <c r="P12852" s="1"/>
      <c r="Q12852" s="1"/>
      <c r="R12852" s="1"/>
      <c r="S12852" s="1"/>
      <c r="T12852" s="1"/>
      <c r="U12852" s="1"/>
      <c r="V12852" s="1"/>
      <c r="W12852" s="1"/>
      <c r="X12852" s="1"/>
      <c r="Y12852" s="1"/>
      <c r="Z12852" s="1"/>
      <c r="AA12852" s="1"/>
      <c r="AB12852" s="1"/>
    </row>
    <row r="12853" ht="50.25" customHeight="1">
      <c r="A12853" s="12">
        <v>12849.0</v>
      </c>
      <c r="B12853" s="13" t="s">
        <v>12428</v>
      </c>
      <c r="C12853" s="14" t="s">
        <v>12517</v>
      </c>
      <c r="D12853" s="1"/>
      <c r="E12853" s="1"/>
      <c r="F12853" s="1" t="str">
        <f>IFERROR(__xludf.DUMMYFUNCTION("GOOGLETRANSLATE(B12853, ""en"", ""fa"")
"),"سلامت روان و رفاه")</f>
        <v>سلامت روان و رفاه</v>
      </c>
      <c r="G12853" s="1" t="str">
        <f>IFERROR(__xludf.DUMMYFUNCTION("GOOGLETRANSLATE(C12853,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2853" s="1"/>
      <c r="I12853" s="1"/>
      <c r="J12853" s="1"/>
      <c r="K12853" s="1"/>
      <c r="L12853" s="1"/>
      <c r="M12853" s="1"/>
      <c r="N12853" s="1"/>
      <c r="O12853" s="1"/>
      <c r="P12853" s="1"/>
      <c r="Q12853" s="1"/>
      <c r="R12853" s="1"/>
      <c r="S12853" s="1"/>
      <c r="T12853" s="1"/>
      <c r="U12853" s="1"/>
      <c r="V12853" s="1"/>
      <c r="W12853" s="1"/>
      <c r="X12853" s="1"/>
      <c r="Y12853" s="1"/>
      <c r="Z12853" s="1"/>
      <c r="AA12853" s="1"/>
      <c r="AB12853" s="1"/>
    </row>
    <row r="12854" ht="50.25" customHeight="1">
      <c r="A12854" s="12">
        <v>12850.0</v>
      </c>
      <c r="B12854" s="13" t="s">
        <v>12428</v>
      </c>
      <c r="C12854" s="14" t="s">
        <v>12518</v>
      </c>
      <c r="D12854" s="1"/>
      <c r="E12854" s="1"/>
      <c r="F12854" s="1" t="str">
        <f>IFERROR(__xludf.DUMMYFUNCTION("GOOGLETRANSLATE(B12854, ""en"", ""fa"")
"),"سلامت روان و رفاه")</f>
        <v>سلامت روان و رفاه</v>
      </c>
      <c r="G12854" s="1" t="str">
        <f>IFERROR(__xludf.DUMMYFUNCTION("GOOGLETRANSLATE(C12854, ""en"", ""fa"")
"),"نکات مهم برای ایجاد و حفظ مرزهای سالم در محیط های حرفه ای چیست؟")</f>
        <v>نکات مهم برای ایجاد و حفظ مرزهای سالم در محیط های حرفه ای چیست؟</v>
      </c>
      <c r="H12854" s="1"/>
      <c r="I12854" s="1"/>
      <c r="J12854" s="1"/>
      <c r="K12854" s="1"/>
      <c r="L12854" s="1"/>
      <c r="M12854" s="1"/>
      <c r="N12854" s="1"/>
      <c r="O12854" s="1"/>
      <c r="P12854" s="1"/>
      <c r="Q12854" s="1"/>
      <c r="R12854" s="1"/>
      <c r="S12854" s="1"/>
      <c r="T12854" s="1"/>
      <c r="U12854" s="1"/>
      <c r="V12854" s="1"/>
      <c r="W12854" s="1"/>
      <c r="X12854" s="1"/>
      <c r="Y12854" s="1"/>
      <c r="Z12854" s="1"/>
      <c r="AA12854" s="1"/>
      <c r="AB12854" s="1"/>
    </row>
    <row r="12855" ht="50.25" customHeight="1">
      <c r="A12855" s="12">
        <v>12851.0</v>
      </c>
      <c r="B12855" s="13" t="s">
        <v>12428</v>
      </c>
      <c r="C12855" s="14" t="s">
        <v>12519</v>
      </c>
      <c r="D12855" s="1"/>
      <c r="E12855" s="1"/>
      <c r="F12855" s="1" t="str">
        <f>IFERROR(__xludf.DUMMYFUNCTION("GOOGLETRANSLATE(B12855, ""en"", ""fa"")
"),"سلامت روان و رفاه")</f>
        <v>سلامت روان و رفاه</v>
      </c>
      <c r="G12855" s="1" t="str">
        <f>IFERROR(__xludf.DUMMYFUNCTION("GOOGLETRANSLATE(C12855,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2855" s="1"/>
      <c r="I12855" s="1"/>
      <c r="J12855" s="1"/>
      <c r="K12855" s="1"/>
      <c r="L12855" s="1"/>
      <c r="M12855" s="1"/>
      <c r="N12855" s="1"/>
      <c r="O12855" s="1"/>
      <c r="P12855" s="1"/>
      <c r="Q12855" s="1"/>
      <c r="R12855" s="1"/>
      <c r="S12855" s="1"/>
      <c r="T12855" s="1"/>
      <c r="U12855" s="1"/>
      <c r="V12855" s="1"/>
      <c r="W12855" s="1"/>
      <c r="X12855" s="1"/>
      <c r="Y12855" s="1"/>
      <c r="Z12855" s="1"/>
      <c r="AA12855" s="1"/>
      <c r="AB12855" s="1"/>
    </row>
    <row r="12856" ht="50.25" customHeight="1">
      <c r="A12856" s="12">
        <v>12852.0</v>
      </c>
      <c r="B12856" s="13" t="s">
        <v>12428</v>
      </c>
      <c r="C12856" s="14" t="s">
        <v>12520</v>
      </c>
      <c r="D12856" s="1"/>
      <c r="E12856" s="1"/>
      <c r="F12856" s="1" t="str">
        <f>IFERROR(__xludf.DUMMYFUNCTION("GOOGLETRANSLATE(B12856, ""en"", ""fa"")
"),"سلامت روان و رفاه")</f>
        <v>سلامت روان و رفاه</v>
      </c>
      <c r="G12856" s="1" t="str">
        <f>IFERROR(__xludf.DUMMYFUNCTION("GOOGLETRANSLATE(C12856, ""en"", ""fa"")
"),"بهترین راهکارها برای مدیریت و کاهش علائم اختلالات مصرف مواد چیست؟")</f>
        <v>بهترین راهکارها برای مدیریت و کاهش علائم اختلالات مصرف مواد چیست؟</v>
      </c>
      <c r="H12856" s="1"/>
      <c r="I12856" s="1"/>
      <c r="J12856" s="1"/>
      <c r="K12856" s="1"/>
      <c r="L12856" s="1"/>
      <c r="M12856" s="1"/>
      <c r="N12856" s="1"/>
      <c r="O12856" s="1"/>
      <c r="P12856" s="1"/>
      <c r="Q12856" s="1"/>
      <c r="R12856" s="1"/>
      <c r="S12856" s="1"/>
      <c r="T12856" s="1"/>
      <c r="U12856" s="1"/>
      <c r="V12856" s="1"/>
      <c r="W12856" s="1"/>
      <c r="X12856" s="1"/>
      <c r="Y12856" s="1"/>
      <c r="Z12856" s="1"/>
      <c r="AA12856" s="1"/>
      <c r="AB12856" s="1"/>
    </row>
    <row r="12857" ht="50.25" customHeight="1">
      <c r="A12857" s="12">
        <v>12853.0</v>
      </c>
      <c r="B12857" s="13" t="s">
        <v>12428</v>
      </c>
      <c r="C12857" s="14" t="s">
        <v>12521</v>
      </c>
      <c r="D12857" s="1"/>
      <c r="E12857" s="1"/>
      <c r="F12857" s="1" t="str">
        <f>IFERROR(__xludf.DUMMYFUNCTION("GOOGLETRANSLATE(B12857, ""en"", ""fa"")
"),"سلامت روان و رفاه")</f>
        <v>سلامت روان و رفاه</v>
      </c>
      <c r="G12857" s="1" t="str">
        <f>IFERROR(__xludf.DUMMYFUNCTION("GOOGLETRANSLATE(C12857,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2857" s="1"/>
      <c r="I12857" s="1"/>
      <c r="J12857" s="1"/>
      <c r="K12857" s="1"/>
      <c r="L12857" s="1"/>
      <c r="M12857" s="1"/>
      <c r="N12857" s="1"/>
      <c r="O12857" s="1"/>
      <c r="P12857" s="1"/>
      <c r="Q12857" s="1"/>
      <c r="R12857" s="1"/>
      <c r="S12857" s="1"/>
      <c r="T12857" s="1"/>
      <c r="U12857" s="1"/>
      <c r="V12857" s="1"/>
      <c r="W12857" s="1"/>
      <c r="X12857" s="1"/>
      <c r="Y12857" s="1"/>
      <c r="Z12857" s="1"/>
      <c r="AA12857" s="1"/>
      <c r="AB12857" s="1"/>
    </row>
    <row r="12858" ht="50.25" customHeight="1">
      <c r="A12858" s="12">
        <v>12854.0</v>
      </c>
      <c r="B12858" s="13" t="s">
        <v>12428</v>
      </c>
      <c r="C12858" s="14" t="s">
        <v>12522</v>
      </c>
      <c r="D12858" s="1"/>
      <c r="E12858" s="1"/>
      <c r="F12858" s="1" t="str">
        <f>IFERROR(__xludf.DUMMYFUNCTION("GOOGLETRANSLATE(B12858, ""en"", ""fa"")
"),"سلامت روان و رفاه")</f>
        <v>سلامت روان و رفاه</v>
      </c>
      <c r="G12858" s="1" t="str">
        <f>IFERROR(__xludf.DUMMYFUNCTION("GOOGLETRANSLATE(C12858,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2858" s="1"/>
      <c r="I12858" s="1"/>
      <c r="J12858" s="1"/>
      <c r="K12858" s="1"/>
      <c r="L12858" s="1"/>
      <c r="M12858" s="1"/>
      <c r="N12858" s="1"/>
      <c r="O12858" s="1"/>
      <c r="P12858" s="1"/>
      <c r="Q12858" s="1"/>
      <c r="R12858" s="1"/>
      <c r="S12858" s="1"/>
      <c r="T12858" s="1"/>
      <c r="U12858" s="1"/>
      <c r="V12858" s="1"/>
      <c r="W12858" s="1"/>
      <c r="X12858" s="1"/>
      <c r="Y12858" s="1"/>
      <c r="Z12858" s="1"/>
      <c r="AA12858" s="1"/>
      <c r="AB12858" s="1"/>
    </row>
    <row r="12859" ht="50.25" customHeight="1">
      <c r="A12859" s="12">
        <v>12855.0</v>
      </c>
      <c r="B12859" s="13" t="s">
        <v>12428</v>
      </c>
      <c r="C12859" s="14" t="s">
        <v>12523</v>
      </c>
      <c r="D12859" s="1"/>
      <c r="E12859" s="1"/>
      <c r="F12859" s="1" t="str">
        <f>IFERROR(__xludf.DUMMYFUNCTION("GOOGLETRANSLATE(B12859, ""en"", ""fa"")
"),"سلامت روان و رفاه")</f>
        <v>سلامت روان و رفاه</v>
      </c>
      <c r="G12859" s="1" t="str">
        <f>IFERROR(__xludf.DUMMYFUNCTION("GOOGLETRANSLATE(C12859,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2859" s="1"/>
      <c r="I12859" s="1"/>
      <c r="J12859" s="1"/>
      <c r="K12859" s="1"/>
      <c r="L12859" s="1"/>
      <c r="M12859" s="1"/>
      <c r="N12859" s="1"/>
      <c r="O12859" s="1"/>
      <c r="P12859" s="1"/>
      <c r="Q12859" s="1"/>
      <c r="R12859" s="1"/>
      <c r="S12859" s="1"/>
      <c r="T12859" s="1"/>
      <c r="U12859" s="1"/>
      <c r="V12859" s="1"/>
      <c r="W12859" s="1"/>
      <c r="X12859" s="1"/>
      <c r="Y12859" s="1"/>
      <c r="Z12859" s="1"/>
      <c r="AA12859" s="1"/>
      <c r="AB12859" s="1"/>
    </row>
    <row r="12860" ht="50.25" customHeight="1">
      <c r="A12860" s="12">
        <v>12856.0</v>
      </c>
      <c r="B12860" s="13" t="s">
        <v>12428</v>
      </c>
      <c r="C12860" s="14" t="s">
        <v>12524</v>
      </c>
      <c r="D12860" s="1"/>
      <c r="E12860" s="1"/>
      <c r="F12860" s="1" t="str">
        <f>IFERROR(__xludf.DUMMYFUNCTION("GOOGLETRANSLATE(B12860, ""en"", ""fa"")
"),"سلامت روان و رفاه")</f>
        <v>سلامت روان و رفاه</v>
      </c>
      <c r="G12860" s="1" t="str">
        <f>IFERROR(__xludf.DUMMYFUNCTION("GOOGLETRANSLATE(C12860,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2860" s="1"/>
      <c r="I12860" s="1"/>
      <c r="J12860" s="1"/>
      <c r="K12860" s="1"/>
      <c r="L12860" s="1"/>
      <c r="M12860" s="1"/>
      <c r="N12860" s="1"/>
      <c r="O12860" s="1"/>
      <c r="P12860" s="1"/>
      <c r="Q12860" s="1"/>
      <c r="R12860" s="1"/>
      <c r="S12860" s="1"/>
      <c r="T12860" s="1"/>
      <c r="U12860" s="1"/>
      <c r="V12860" s="1"/>
      <c r="W12860" s="1"/>
      <c r="X12860" s="1"/>
      <c r="Y12860" s="1"/>
      <c r="Z12860" s="1"/>
      <c r="AA12860" s="1"/>
      <c r="AB12860" s="1"/>
    </row>
    <row r="12861" ht="50.25" customHeight="1">
      <c r="A12861" s="12">
        <v>12857.0</v>
      </c>
      <c r="B12861" s="13" t="s">
        <v>12428</v>
      </c>
      <c r="C12861" s="14" t="s">
        <v>12525</v>
      </c>
      <c r="D12861" s="1"/>
      <c r="E12861" s="1"/>
      <c r="F12861" s="1" t="str">
        <f>IFERROR(__xludf.DUMMYFUNCTION("GOOGLETRANSLATE(B12861, ""en"", ""fa"")
"),"سلامت روان و رفاه")</f>
        <v>سلامت روان و رفاه</v>
      </c>
      <c r="G12861" s="1" t="str">
        <f>IFERROR(__xludf.DUMMYFUNCTION("GOOGLETRANSLATE(C12861, ""en"", ""fa"")
"),"بهترین راهبردها برای مدیریت و کاهش علائم اختلال شخصیت مرزی (BPD) چیست؟")</f>
        <v>بهترین راهبردها برای مدیریت و کاهش علائم اختلال شخصیت مرزی (BPD) چیست؟</v>
      </c>
      <c r="H12861" s="1"/>
      <c r="I12861" s="1"/>
      <c r="J12861" s="1"/>
      <c r="K12861" s="1"/>
      <c r="L12861" s="1"/>
      <c r="M12861" s="1"/>
      <c r="N12861" s="1"/>
      <c r="O12861" s="1"/>
      <c r="P12861" s="1"/>
      <c r="Q12861" s="1"/>
      <c r="R12861" s="1"/>
      <c r="S12861" s="1"/>
      <c r="T12861" s="1"/>
      <c r="U12861" s="1"/>
      <c r="V12861" s="1"/>
      <c r="W12861" s="1"/>
      <c r="X12861" s="1"/>
      <c r="Y12861" s="1"/>
      <c r="Z12861" s="1"/>
      <c r="AA12861" s="1"/>
      <c r="AB12861" s="1"/>
    </row>
    <row r="12862" ht="50.25" customHeight="1">
      <c r="A12862" s="12">
        <v>12858.0</v>
      </c>
      <c r="B12862" s="13" t="s">
        <v>12428</v>
      </c>
      <c r="C12862" s="14" t="s">
        <v>12526</v>
      </c>
      <c r="D12862" s="1"/>
      <c r="E12862" s="1"/>
      <c r="F12862" s="1" t="str">
        <f>IFERROR(__xludf.DUMMYFUNCTION("GOOGLETRANSLATE(B12862, ""en"", ""fa"")
"),"سلامت روان و رفاه")</f>
        <v>سلامت روان و رفاه</v>
      </c>
      <c r="G12862" s="1" t="str">
        <f>IFERROR(__xludf.DUMMYFUNCTION("GOOGLETRANSLATE(C12862,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2862" s="1"/>
      <c r="I12862" s="1"/>
      <c r="J12862" s="1"/>
      <c r="K12862" s="1"/>
      <c r="L12862" s="1"/>
      <c r="M12862" s="1"/>
      <c r="N12862" s="1"/>
      <c r="O12862" s="1"/>
      <c r="P12862" s="1"/>
      <c r="Q12862" s="1"/>
      <c r="R12862" s="1"/>
      <c r="S12862" s="1"/>
      <c r="T12862" s="1"/>
      <c r="U12862" s="1"/>
      <c r="V12862" s="1"/>
      <c r="W12862" s="1"/>
      <c r="X12862" s="1"/>
      <c r="Y12862" s="1"/>
      <c r="Z12862" s="1"/>
      <c r="AA12862" s="1"/>
      <c r="AB12862" s="1"/>
    </row>
    <row r="12863" ht="50.25" customHeight="1">
      <c r="A12863" s="12">
        <v>12859.0</v>
      </c>
      <c r="B12863" s="13" t="s">
        <v>12428</v>
      </c>
      <c r="C12863" s="14" t="s">
        <v>12527</v>
      </c>
      <c r="D12863" s="1"/>
      <c r="E12863" s="1"/>
      <c r="F12863" s="1" t="str">
        <f>IFERROR(__xludf.DUMMYFUNCTION("GOOGLETRANSLATE(B12863, ""en"", ""fa"")
"),"سلامت روان و رفاه")</f>
        <v>سلامت روان و رفاه</v>
      </c>
      <c r="G12863" s="1" t="str">
        <f>IFERROR(__xludf.DUMMYFUNCTION("GOOGLETRANSLATE(C12863,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2863" s="1"/>
      <c r="I12863" s="1"/>
      <c r="J12863" s="1"/>
      <c r="K12863" s="1"/>
      <c r="L12863" s="1"/>
      <c r="M12863" s="1"/>
      <c r="N12863" s="1"/>
      <c r="O12863" s="1"/>
      <c r="P12863" s="1"/>
      <c r="Q12863" s="1"/>
      <c r="R12863" s="1"/>
      <c r="S12863" s="1"/>
      <c r="T12863" s="1"/>
      <c r="U12863" s="1"/>
      <c r="V12863" s="1"/>
      <c r="W12863" s="1"/>
      <c r="X12863" s="1"/>
      <c r="Y12863" s="1"/>
      <c r="Z12863" s="1"/>
      <c r="AA12863" s="1"/>
      <c r="AB12863" s="1"/>
    </row>
    <row r="12864" ht="50.25" customHeight="1">
      <c r="A12864" s="12">
        <v>12860.0</v>
      </c>
      <c r="B12864" s="13" t="s">
        <v>12428</v>
      </c>
      <c r="C12864" s="14" t="s">
        <v>12528</v>
      </c>
      <c r="D12864" s="1"/>
      <c r="E12864" s="1"/>
      <c r="F12864" s="1" t="str">
        <f>IFERROR(__xludf.DUMMYFUNCTION("GOOGLETRANSLATE(B12864, ""en"", ""fa"")
"),"سلامت روان و رفاه")</f>
        <v>سلامت روان و رفاه</v>
      </c>
      <c r="G12864" s="1" t="str">
        <f>IFERROR(__xludf.DUMMYFUNCTION("GOOGLETRANSLATE(C12864,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2864" s="1"/>
      <c r="I12864" s="1"/>
      <c r="J12864" s="1"/>
      <c r="K12864" s="1"/>
      <c r="L12864" s="1"/>
      <c r="M12864" s="1"/>
      <c r="N12864" s="1"/>
      <c r="O12864" s="1"/>
      <c r="P12864" s="1"/>
      <c r="Q12864" s="1"/>
      <c r="R12864" s="1"/>
      <c r="S12864" s="1"/>
      <c r="T12864" s="1"/>
      <c r="U12864" s="1"/>
      <c r="V12864" s="1"/>
      <c r="W12864" s="1"/>
      <c r="X12864" s="1"/>
      <c r="Y12864" s="1"/>
      <c r="Z12864" s="1"/>
      <c r="AA12864" s="1"/>
      <c r="AB12864" s="1"/>
    </row>
    <row r="12865" ht="50.25" customHeight="1">
      <c r="A12865" s="12">
        <v>12861.0</v>
      </c>
      <c r="B12865" s="13" t="s">
        <v>12428</v>
      </c>
      <c r="C12865" s="14" t="s">
        <v>12529</v>
      </c>
      <c r="D12865" s="1"/>
      <c r="E12865" s="1"/>
      <c r="F12865" s="1" t="str">
        <f>IFERROR(__xludf.DUMMYFUNCTION("GOOGLETRANSLATE(B12865, ""en"", ""fa"")
"),"سلامت روان و رفاه")</f>
        <v>سلامت روان و رفاه</v>
      </c>
      <c r="G12865" s="1" t="str">
        <f>IFERROR(__xludf.DUMMYFUNCTION("GOOGLETRANSLATE(C12865, ""en"", ""fa"")
"),"چگونه می توانم یک تصویر مثبت از بدن ایجاد و حفظ کنم و پذیرش خود را بپذیرم؟")</f>
        <v>چگونه می توانم یک تصویر مثبت از بدن ایجاد و حفظ کنم و پذیرش خود را بپذیرم؟</v>
      </c>
      <c r="H12865" s="1"/>
      <c r="I12865" s="1"/>
      <c r="J12865" s="1"/>
      <c r="K12865" s="1"/>
      <c r="L12865" s="1"/>
      <c r="M12865" s="1"/>
      <c r="N12865" s="1"/>
      <c r="O12865" s="1"/>
      <c r="P12865" s="1"/>
      <c r="Q12865" s="1"/>
      <c r="R12865" s="1"/>
      <c r="S12865" s="1"/>
      <c r="T12865" s="1"/>
      <c r="U12865" s="1"/>
      <c r="V12865" s="1"/>
      <c r="W12865" s="1"/>
      <c r="X12865" s="1"/>
      <c r="Y12865" s="1"/>
      <c r="Z12865" s="1"/>
      <c r="AA12865" s="1"/>
      <c r="AB12865" s="1"/>
    </row>
    <row r="12866" ht="50.25" customHeight="1">
      <c r="A12866" s="12">
        <v>12862.0</v>
      </c>
      <c r="B12866" s="13" t="s">
        <v>12428</v>
      </c>
      <c r="C12866" s="14" t="s">
        <v>12530</v>
      </c>
      <c r="D12866" s="1"/>
      <c r="E12866" s="1"/>
      <c r="F12866" s="1" t="str">
        <f>IFERROR(__xludf.DUMMYFUNCTION("GOOGLETRANSLATE(B12866, ""en"", ""fa"")
"),"سلامت روان و رفاه")</f>
        <v>سلامت روان و رفاه</v>
      </c>
      <c r="G12866" s="1" t="str">
        <f>IFERROR(__xludf.DUMMYFUNCTION("GOOGLETRANSLATE(C12866, ""en"", ""fa"")
"),"بهترین راهکارها برای مدیریت و کاهش علائم اختلال وسواس فکری اجباری (OCD) چیست؟")</f>
        <v>بهترین راهکارها برای مدیریت و کاهش علائم اختلال وسواس فکری اجباری (OCD) چیست؟</v>
      </c>
      <c r="H12866" s="1"/>
      <c r="I12866" s="1"/>
      <c r="J12866" s="1"/>
      <c r="K12866" s="1"/>
      <c r="L12866" s="1"/>
      <c r="M12866" s="1"/>
      <c r="N12866" s="1"/>
      <c r="O12866" s="1"/>
      <c r="P12866" s="1"/>
      <c r="Q12866" s="1"/>
      <c r="R12866" s="1"/>
      <c r="S12866" s="1"/>
      <c r="T12866" s="1"/>
      <c r="U12866" s="1"/>
      <c r="V12866" s="1"/>
      <c r="W12866" s="1"/>
      <c r="X12866" s="1"/>
      <c r="Y12866" s="1"/>
      <c r="Z12866" s="1"/>
      <c r="AA12866" s="1"/>
      <c r="AB12866" s="1"/>
    </row>
    <row r="12867" ht="50.25" customHeight="1">
      <c r="A12867" s="12">
        <v>12863.0</v>
      </c>
      <c r="B12867" s="13" t="s">
        <v>12428</v>
      </c>
      <c r="C12867" s="14" t="s">
        <v>12491</v>
      </c>
      <c r="D12867" s="1"/>
      <c r="E12867" s="1"/>
      <c r="F12867" s="1" t="str">
        <f>IFERROR(__xludf.DUMMYFUNCTION("GOOGLETRANSLATE(B12867, ""en"", ""fa"")
"),"سلامت روان و رفاه")</f>
        <v>سلامت روان و رفاه</v>
      </c>
      <c r="G12867" s="1" t="str">
        <f>IFERROR(__xludf.DUMMYFUNCTION("GOOGLETRANSLATE(C12867, ""en"", ""fa"")
"),"چگونه می توانم احساس تنهایی و انزوا را برای بهزیستی روانی بهتر بررسی کنم و بر آن غلبه کنم؟")</f>
        <v>چگونه می توانم احساس تنهایی و انزوا را برای بهزیستی روانی بهتر بررسی کنم و بر آن غلبه کنم؟</v>
      </c>
      <c r="H12867" s="1"/>
      <c r="I12867" s="1"/>
      <c r="J12867" s="1"/>
      <c r="K12867" s="1"/>
      <c r="L12867" s="1"/>
      <c r="M12867" s="1"/>
      <c r="N12867" s="1"/>
      <c r="O12867" s="1"/>
      <c r="P12867" s="1"/>
      <c r="Q12867" s="1"/>
      <c r="R12867" s="1"/>
      <c r="S12867" s="1"/>
      <c r="T12867" s="1"/>
      <c r="U12867" s="1"/>
      <c r="V12867" s="1"/>
      <c r="W12867" s="1"/>
      <c r="X12867" s="1"/>
      <c r="Y12867" s="1"/>
      <c r="Z12867" s="1"/>
      <c r="AA12867" s="1"/>
      <c r="AB12867" s="1"/>
    </row>
    <row r="12868" ht="50.25" customHeight="1">
      <c r="A12868" s="12">
        <v>12864.0</v>
      </c>
      <c r="B12868" s="13" t="s">
        <v>12428</v>
      </c>
      <c r="C12868" s="14" t="s">
        <v>12472</v>
      </c>
      <c r="D12868" s="1"/>
      <c r="E12868" s="1"/>
      <c r="F12868" s="1" t="str">
        <f>IFERROR(__xludf.DUMMYFUNCTION("GOOGLETRANSLATE(B12868, ""en"", ""fa"")
"),"سلامت روان و رفاه")</f>
        <v>سلامت روان و رفاه</v>
      </c>
      <c r="G12868" s="1" t="str">
        <f>IFERROR(__xludf.DUMMYFUNCTION("GOOGLETRANSLATE(C12868, ""en"", ""fa"")
"),"آیا می توانید فعالیت هایی را برای پرورش قدردانی و مثبت اندیشی در زندگی روزمره من پیشنهاد دهید؟")</f>
        <v>آیا می توانید فعالیت هایی را برای پرورش قدردانی و مثبت اندیشی در زندگی روزمره من پیشنهاد دهید؟</v>
      </c>
      <c r="H12868" s="1"/>
      <c r="I12868" s="1"/>
      <c r="J12868" s="1"/>
      <c r="K12868" s="1"/>
      <c r="L12868" s="1"/>
      <c r="M12868" s="1"/>
      <c r="N12868" s="1"/>
      <c r="O12868" s="1"/>
      <c r="P12868" s="1"/>
      <c r="Q12868" s="1"/>
      <c r="R12868" s="1"/>
      <c r="S12868" s="1"/>
      <c r="T12868" s="1"/>
      <c r="U12868" s="1"/>
      <c r="V12868" s="1"/>
      <c r="W12868" s="1"/>
      <c r="X12868" s="1"/>
      <c r="Y12868" s="1"/>
      <c r="Z12868" s="1"/>
      <c r="AA12868" s="1"/>
      <c r="AB12868" s="1"/>
    </row>
    <row r="12869" ht="50.25" customHeight="1">
      <c r="A12869" s="12">
        <v>12865.0</v>
      </c>
      <c r="B12869" s="13" t="s">
        <v>12428</v>
      </c>
      <c r="C12869" s="14" t="s">
        <v>12493</v>
      </c>
      <c r="D12869" s="1"/>
      <c r="E12869" s="1"/>
      <c r="F12869" s="1" t="str">
        <f>IFERROR(__xludf.DUMMYFUNCTION("GOOGLETRANSLATE(B12869, ""en"", ""fa"")
"),"سلامت روان و رفاه")</f>
        <v>سلامت روان و رفاه</v>
      </c>
      <c r="G12869" s="1" t="str">
        <f>IFERROR(__xludf.DUMMYFUNCTION("GOOGLETRANSLATE(C12869, ""en"", ""fa"")
"),"نکات مهم برای پرورش تصویر بدنی مثبت و سالم در فرهنگی که بر ظاهر تأکید دارد چیست؟")</f>
        <v>نکات مهم برای پرورش تصویر بدنی مثبت و سالم در فرهنگی که بر ظاهر تأکید دارد چیست؟</v>
      </c>
      <c r="H12869" s="1"/>
      <c r="I12869" s="1"/>
      <c r="J12869" s="1"/>
      <c r="K12869" s="1"/>
      <c r="L12869" s="1"/>
      <c r="M12869" s="1"/>
      <c r="N12869" s="1"/>
      <c r="O12869" s="1"/>
      <c r="P12869" s="1"/>
      <c r="Q12869" s="1"/>
      <c r="R12869" s="1"/>
      <c r="S12869" s="1"/>
      <c r="T12869" s="1"/>
      <c r="U12869" s="1"/>
      <c r="V12869" s="1"/>
      <c r="W12869" s="1"/>
      <c r="X12869" s="1"/>
      <c r="Y12869" s="1"/>
      <c r="Z12869" s="1"/>
      <c r="AA12869" s="1"/>
      <c r="AB12869" s="1"/>
    </row>
    <row r="12870" ht="50.25" customHeight="1">
      <c r="A12870" s="12">
        <v>12866.0</v>
      </c>
      <c r="B12870" s="13" t="s">
        <v>12428</v>
      </c>
      <c r="C12870" s="14" t="s">
        <v>12494</v>
      </c>
      <c r="D12870" s="1"/>
      <c r="E12870" s="1"/>
      <c r="F12870" s="1" t="str">
        <f>IFERROR(__xludf.DUMMYFUNCTION("GOOGLETRANSLATE(B12870, ""en"", ""fa"")
"),"سلامت روان و رفاه")</f>
        <v>سلامت روان و رفاه</v>
      </c>
      <c r="G12870" s="1" t="str">
        <f>IFERROR(__xludf.DUMMYFUNCTION("GOOGLETRANSLATE(C12870, ""en"", ""fa"")
"),"چگونه می توانم علائم اضطراب اجتماعی را مدیریت و کاهش دهم تا در محیط های اجتماعی احساس راحتی بیشتری داشته باشم؟")</f>
        <v>چگونه می توانم علائم اضطراب اجتماعی را مدیریت و کاهش دهم تا در محیط های اجتماعی احساس راحتی بیشتری داشته باشم؟</v>
      </c>
      <c r="H12870" s="1"/>
      <c r="I12870" s="1"/>
      <c r="J12870" s="1"/>
      <c r="K12870" s="1"/>
      <c r="L12870" s="1"/>
      <c r="M12870" s="1"/>
      <c r="N12870" s="1"/>
      <c r="O12870" s="1"/>
      <c r="P12870" s="1"/>
      <c r="Q12870" s="1"/>
      <c r="R12870" s="1"/>
      <c r="S12870" s="1"/>
      <c r="T12870" s="1"/>
      <c r="U12870" s="1"/>
      <c r="V12870" s="1"/>
      <c r="W12870" s="1"/>
      <c r="X12870" s="1"/>
      <c r="Y12870" s="1"/>
      <c r="Z12870" s="1"/>
      <c r="AA12870" s="1"/>
      <c r="AB12870" s="1"/>
    </row>
    <row r="12871" ht="50.25" customHeight="1">
      <c r="A12871" s="12">
        <v>12867.0</v>
      </c>
      <c r="B12871" s="13" t="s">
        <v>12428</v>
      </c>
      <c r="C12871" s="14" t="s">
        <v>12495</v>
      </c>
      <c r="D12871" s="1"/>
      <c r="E12871" s="1"/>
      <c r="F12871" s="1" t="str">
        <f>IFERROR(__xludf.DUMMYFUNCTION("GOOGLETRANSLATE(B12871, ""en"", ""fa"")
"),"سلامت روان و رفاه")</f>
        <v>سلامت روان و رفاه</v>
      </c>
      <c r="G12871" s="1" t="str">
        <f>IFERROR(__xludf.DUMMYFUNCTION("GOOGLETRANSLATE(C12871, ""en"", ""fa"")
"),"بهترین منابع برای یادگیری در مورد انواع مختلف گروه های حمایتی سلامت روان و مزایای آنها چیست؟")</f>
        <v>بهترین منابع برای یادگیری در مورد انواع مختلف گروه های حمایتی سلامت روان و مزایای آنها چیست؟</v>
      </c>
      <c r="H12871" s="1"/>
      <c r="I12871" s="1"/>
      <c r="J12871" s="1"/>
      <c r="K12871" s="1"/>
      <c r="L12871" s="1"/>
      <c r="M12871" s="1"/>
      <c r="N12871" s="1"/>
      <c r="O12871" s="1"/>
      <c r="P12871" s="1"/>
      <c r="Q12871" s="1"/>
      <c r="R12871" s="1"/>
      <c r="S12871" s="1"/>
      <c r="T12871" s="1"/>
      <c r="U12871" s="1"/>
      <c r="V12871" s="1"/>
      <c r="W12871" s="1"/>
      <c r="X12871" s="1"/>
      <c r="Y12871" s="1"/>
      <c r="Z12871" s="1"/>
      <c r="AA12871" s="1"/>
      <c r="AB12871" s="1"/>
    </row>
    <row r="12872" ht="50.25" customHeight="1">
      <c r="A12872" s="12">
        <v>12868.0</v>
      </c>
      <c r="B12872" s="13" t="s">
        <v>12428</v>
      </c>
      <c r="C12872" s="14" t="s">
        <v>12496</v>
      </c>
      <c r="D12872" s="1"/>
      <c r="E12872" s="1"/>
      <c r="F12872" s="1" t="str">
        <f>IFERROR(__xludf.DUMMYFUNCTION("GOOGLETRANSLATE(B12872, ""en"", ""fa"")
"),"سلامت روان و رفاه")</f>
        <v>سلامت روان و رفاه</v>
      </c>
      <c r="G12872" s="1" t="str">
        <f>IFERROR(__xludf.DUMMYFUNCTION("GOOGLETRANSLATE(C12872, ""en"", ""fa"")
"),"چگونه می توانم خودمراقبتی کنم و در میان خواسته های کاری و مسئولیت های شخصی برای خودم وقت بگذارم؟")</f>
        <v>چگونه می توانم خودمراقبتی کنم و در میان خواسته های کاری و مسئولیت های شخصی برای خودم وقت بگذارم؟</v>
      </c>
      <c r="H12872" s="1"/>
      <c r="I12872" s="1"/>
      <c r="J12872" s="1"/>
      <c r="K12872" s="1"/>
      <c r="L12872" s="1"/>
      <c r="M12872" s="1"/>
      <c r="N12872" s="1"/>
      <c r="O12872" s="1"/>
      <c r="P12872" s="1"/>
      <c r="Q12872" s="1"/>
      <c r="R12872" s="1"/>
      <c r="S12872" s="1"/>
      <c r="T12872" s="1"/>
      <c r="U12872" s="1"/>
      <c r="V12872" s="1"/>
      <c r="W12872" s="1"/>
      <c r="X12872" s="1"/>
      <c r="Y12872" s="1"/>
      <c r="Z12872" s="1"/>
      <c r="AA12872" s="1"/>
      <c r="AB12872" s="1"/>
    </row>
    <row r="12873" ht="50.25" customHeight="1">
      <c r="A12873" s="12">
        <v>12869.0</v>
      </c>
      <c r="B12873" s="13" t="s">
        <v>12428</v>
      </c>
      <c r="C12873" s="14" t="s">
        <v>12497</v>
      </c>
      <c r="D12873" s="1"/>
      <c r="E12873" s="1"/>
      <c r="F12873" s="1" t="str">
        <f>IFERROR(__xludf.DUMMYFUNCTION("GOOGLETRANSLATE(B12873, ""en"", ""fa"")
"),"سلامت روان و رفاه")</f>
        <v>سلامت روان و رفاه</v>
      </c>
      <c r="G12873" s="1" t="str">
        <f>IFERROR(__xludf.DUMMYFUNCTION("GOOGLETRANSLATE(C12873, ""en"", ""fa"")
"),"آیا می توانید فعالیت ها و ورزش هایی را برای تقویت آرامش و کاهش تنش عضلانی توصیه کنید؟")</f>
        <v>آیا می توانید فعالیت ها و ورزش هایی را برای تقویت آرامش و کاهش تنش عضلانی توصیه کنید؟</v>
      </c>
      <c r="H12873" s="1"/>
      <c r="I12873" s="1"/>
      <c r="J12873" s="1"/>
      <c r="K12873" s="1"/>
      <c r="L12873" s="1"/>
      <c r="M12873" s="1"/>
      <c r="N12873" s="1"/>
      <c r="O12873" s="1"/>
      <c r="P12873" s="1"/>
      <c r="Q12873" s="1"/>
      <c r="R12873" s="1"/>
      <c r="S12873" s="1"/>
      <c r="T12873" s="1"/>
      <c r="U12873" s="1"/>
      <c r="V12873" s="1"/>
      <c r="W12873" s="1"/>
      <c r="X12873" s="1"/>
      <c r="Y12873" s="1"/>
      <c r="Z12873" s="1"/>
      <c r="AA12873" s="1"/>
      <c r="AB12873" s="1"/>
    </row>
    <row r="12874" ht="50.25" customHeight="1">
      <c r="A12874" s="12">
        <v>12870.0</v>
      </c>
      <c r="B12874" s="13" t="s">
        <v>12428</v>
      </c>
      <c r="C12874" s="14" t="s">
        <v>12498</v>
      </c>
      <c r="D12874" s="1"/>
      <c r="E12874" s="1"/>
      <c r="F12874" s="1" t="str">
        <f>IFERROR(__xludf.DUMMYFUNCTION("GOOGLETRANSLATE(B12874, ""en"", ""fa"")
"),"سلامت روان و رفاه")</f>
        <v>سلامت روان و رفاه</v>
      </c>
      <c r="G12874" s="1" t="str">
        <f>IFERROR(__xludf.DUMMYFUNCTION("GOOGLETRANSLATE(C12874, ""en"", ""fa"")
"),"راهبردهای برتر برای پرورش هویت مثبت و ایجاد عزت نفس چیست؟")</f>
        <v>راهبردهای برتر برای پرورش هویت مثبت و ایجاد عزت نفس چیست؟</v>
      </c>
      <c r="H12874" s="1"/>
      <c r="I12874" s="1"/>
      <c r="J12874" s="1"/>
      <c r="K12874" s="1"/>
      <c r="L12874" s="1"/>
      <c r="M12874" s="1"/>
      <c r="N12874" s="1"/>
      <c r="O12874" s="1"/>
      <c r="P12874" s="1"/>
      <c r="Q12874" s="1"/>
      <c r="R12874" s="1"/>
      <c r="S12874" s="1"/>
      <c r="T12874" s="1"/>
      <c r="U12874" s="1"/>
      <c r="V12874" s="1"/>
      <c r="W12874" s="1"/>
      <c r="X12874" s="1"/>
      <c r="Y12874" s="1"/>
      <c r="Z12874" s="1"/>
      <c r="AA12874" s="1"/>
      <c r="AB12874" s="1"/>
    </row>
    <row r="12875" ht="50.25" customHeight="1">
      <c r="A12875" s="12">
        <v>12871.0</v>
      </c>
      <c r="B12875" s="13" t="s">
        <v>12428</v>
      </c>
      <c r="C12875" s="14" t="s">
        <v>12499</v>
      </c>
      <c r="D12875" s="1"/>
      <c r="E12875" s="1"/>
      <c r="F12875" s="1" t="str">
        <f>IFERROR(__xludf.DUMMYFUNCTION("GOOGLETRANSLATE(B12875, ""en"", ""fa"")
"),"سلامت روان و رفاه")</f>
        <v>سلامت روان و رفاه</v>
      </c>
      <c r="G12875" s="1" t="str">
        <f>IFERROR(__xludf.DUMMYFUNCTION("GOOGLETRANSLATE(C12875,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2875" s="1"/>
      <c r="I12875" s="1"/>
      <c r="J12875" s="1"/>
      <c r="K12875" s="1"/>
      <c r="L12875" s="1"/>
      <c r="M12875" s="1"/>
      <c r="N12875" s="1"/>
      <c r="O12875" s="1"/>
      <c r="P12875" s="1"/>
      <c r="Q12875" s="1"/>
      <c r="R12875" s="1"/>
      <c r="S12875" s="1"/>
      <c r="T12875" s="1"/>
      <c r="U12875" s="1"/>
      <c r="V12875" s="1"/>
      <c r="W12875" s="1"/>
      <c r="X12875" s="1"/>
      <c r="Y12875" s="1"/>
      <c r="Z12875" s="1"/>
      <c r="AA12875" s="1"/>
      <c r="AB12875" s="1"/>
    </row>
    <row r="12876" ht="50.25" customHeight="1">
      <c r="A12876" s="12">
        <v>12872.0</v>
      </c>
      <c r="B12876" s="13" t="s">
        <v>12428</v>
      </c>
      <c r="C12876" s="14" t="s">
        <v>12500</v>
      </c>
      <c r="D12876" s="1"/>
      <c r="E12876" s="1"/>
      <c r="F12876" s="1" t="str">
        <f>IFERROR(__xludf.DUMMYFUNCTION("GOOGLETRANSLATE(B12876, ""en"", ""fa"")
"),"سلامت روان و رفاه")</f>
        <v>سلامت روان و رفاه</v>
      </c>
      <c r="G12876" s="1" t="str">
        <f>IFERROR(__xludf.DUMMYFUNCTION("GOOGLETRANSLATE(C12876, ""en"", ""fa"")
"),"بهترین تکنیک ها برای مدیریت و کاهش علائم فوبیا و ترس چیست؟")</f>
        <v>بهترین تکنیک ها برای مدیریت و کاهش علائم فوبیا و ترس چیست؟</v>
      </c>
      <c r="H12876" s="1"/>
      <c r="I12876" s="1"/>
      <c r="J12876" s="1"/>
      <c r="K12876" s="1"/>
      <c r="L12876" s="1"/>
      <c r="M12876" s="1"/>
      <c r="N12876" s="1"/>
      <c r="O12876" s="1"/>
      <c r="P12876" s="1"/>
      <c r="Q12876" s="1"/>
      <c r="R12876" s="1"/>
      <c r="S12876" s="1"/>
      <c r="T12876" s="1"/>
      <c r="U12876" s="1"/>
      <c r="V12876" s="1"/>
      <c r="W12876" s="1"/>
      <c r="X12876" s="1"/>
      <c r="Y12876" s="1"/>
      <c r="Z12876" s="1"/>
      <c r="AA12876" s="1"/>
      <c r="AB12876" s="1"/>
    </row>
    <row r="12877" ht="50.25" customHeight="1">
      <c r="A12877" s="12">
        <v>12873.0</v>
      </c>
      <c r="B12877" s="13" t="s">
        <v>12428</v>
      </c>
      <c r="C12877" s="14" t="s">
        <v>12501</v>
      </c>
      <c r="D12877" s="1"/>
      <c r="E12877" s="1"/>
      <c r="F12877" s="1" t="str">
        <f>IFERROR(__xludf.DUMMYFUNCTION("GOOGLETRANSLATE(B12877, ""en"", ""fa"")
"),"سلامت روان و رفاه")</f>
        <v>سلامت روان و رفاه</v>
      </c>
      <c r="G12877" s="1" t="str">
        <f>IFERROR(__xludf.DUMMYFUNCTION("GOOGLETRANSLATE(C12877,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2877" s="1"/>
      <c r="I12877" s="1"/>
      <c r="J12877" s="1"/>
      <c r="K12877" s="1"/>
      <c r="L12877" s="1"/>
      <c r="M12877" s="1"/>
      <c r="N12877" s="1"/>
      <c r="O12877" s="1"/>
      <c r="P12877" s="1"/>
      <c r="Q12877" s="1"/>
      <c r="R12877" s="1"/>
      <c r="S12877" s="1"/>
      <c r="T12877" s="1"/>
      <c r="U12877" s="1"/>
      <c r="V12877" s="1"/>
      <c r="W12877" s="1"/>
      <c r="X12877" s="1"/>
      <c r="Y12877" s="1"/>
      <c r="Z12877" s="1"/>
      <c r="AA12877" s="1"/>
      <c r="AB12877" s="1"/>
    </row>
    <row r="12878" ht="50.25" customHeight="1">
      <c r="A12878" s="12">
        <v>12874.0</v>
      </c>
      <c r="B12878" s="13" t="s">
        <v>12428</v>
      </c>
      <c r="C12878" s="14" t="s">
        <v>12502</v>
      </c>
      <c r="D12878" s="1"/>
      <c r="E12878" s="1"/>
      <c r="F12878" s="1" t="str">
        <f>IFERROR(__xludf.DUMMYFUNCTION("GOOGLETRANSLATE(B12878, ""en"", ""fa"")
"),"سلامت روان و رفاه")</f>
        <v>سلامت روان و رفاه</v>
      </c>
      <c r="G12878" s="1" t="str">
        <f>IFERROR(__xludf.DUMMYFUNCTION("GOOGLETRANSLATE(C12878, ""en"", ""fa"")
"),"آیا می‌توانید منابعی را برای یادگیری در مورد رویکردهای مختلف کلی‌نگر به سلامت روان و بهزیستی پیشنهاد کنید؟")</f>
        <v>آیا می‌توانید منابعی را برای یادگیری در مورد رویکردهای مختلف کلی‌نگر به سلامت روان و بهزیستی پیشنهاد کنید؟</v>
      </c>
      <c r="H12878" s="1"/>
      <c r="I12878" s="1"/>
      <c r="J12878" s="1"/>
      <c r="K12878" s="1"/>
      <c r="L12878" s="1"/>
      <c r="M12878" s="1"/>
      <c r="N12878" s="1"/>
      <c r="O12878" s="1"/>
      <c r="P12878" s="1"/>
      <c r="Q12878" s="1"/>
      <c r="R12878" s="1"/>
      <c r="S12878" s="1"/>
      <c r="T12878" s="1"/>
      <c r="U12878" s="1"/>
      <c r="V12878" s="1"/>
      <c r="W12878" s="1"/>
      <c r="X12878" s="1"/>
      <c r="Y12878" s="1"/>
      <c r="Z12878" s="1"/>
      <c r="AA12878" s="1"/>
      <c r="AB12878" s="1"/>
    </row>
    <row r="12879" ht="50.25" customHeight="1">
      <c r="A12879" s="12">
        <v>12875.0</v>
      </c>
      <c r="B12879" s="13" t="s">
        <v>12428</v>
      </c>
      <c r="C12879" s="14" t="s">
        <v>12503</v>
      </c>
      <c r="D12879" s="1"/>
      <c r="E12879" s="1"/>
      <c r="F12879" s="1" t="str">
        <f>IFERROR(__xludf.DUMMYFUNCTION("GOOGLETRANSLATE(B12879, ""en"", ""fa"")
"),"سلامت روان و رفاه")</f>
        <v>سلامت روان و رفاه</v>
      </c>
      <c r="G12879" s="1" t="str">
        <f>IFERROR(__xludf.DUMMYFUNCTION("GOOGLETRANSLATE(C12879, ""en"", ""fa"")
"),"نکات مهم برای ایجاد و حفظ هوش هیجانی برای روابط بین فردی بهتر چیست؟")</f>
        <v>نکات مهم برای ایجاد و حفظ هوش هیجانی برای روابط بین فردی بهتر چیست؟</v>
      </c>
      <c r="H12879" s="1"/>
      <c r="I12879" s="1"/>
      <c r="J12879" s="1"/>
      <c r="K12879" s="1"/>
      <c r="L12879" s="1"/>
      <c r="M12879" s="1"/>
      <c r="N12879" s="1"/>
      <c r="O12879" s="1"/>
      <c r="P12879" s="1"/>
      <c r="Q12879" s="1"/>
      <c r="R12879" s="1"/>
      <c r="S12879" s="1"/>
      <c r="T12879" s="1"/>
      <c r="U12879" s="1"/>
      <c r="V12879" s="1"/>
      <c r="W12879" s="1"/>
      <c r="X12879" s="1"/>
      <c r="Y12879" s="1"/>
      <c r="Z12879" s="1"/>
      <c r="AA12879" s="1"/>
      <c r="AB12879" s="1"/>
    </row>
    <row r="12880" ht="50.25" customHeight="1">
      <c r="A12880" s="12">
        <v>12876.0</v>
      </c>
      <c r="B12880" s="13" t="s">
        <v>12428</v>
      </c>
      <c r="C12880" s="14" t="s">
        <v>12504</v>
      </c>
      <c r="D12880" s="1"/>
      <c r="E12880" s="1"/>
      <c r="F12880" s="1" t="str">
        <f>IFERROR(__xludf.DUMMYFUNCTION("GOOGLETRANSLATE(B12880, ""en"", ""fa"")
"),"سلامت روان و رفاه")</f>
        <v>سلامت روان و رفاه</v>
      </c>
      <c r="G12880" s="1" t="str">
        <f>IFERROR(__xludf.DUMMYFUNCTION("GOOGLETRANSLATE(C12880,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2880" s="1"/>
      <c r="I12880" s="1"/>
      <c r="J12880" s="1"/>
      <c r="K12880" s="1"/>
      <c r="L12880" s="1"/>
      <c r="M12880" s="1"/>
      <c r="N12880" s="1"/>
      <c r="O12880" s="1"/>
      <c r="P12880" s="1"/>
      <c r="Q12880" s="1"/>
      <c r="R12880" s="1"/>
      <c r="S12880" s="1"/>
      <c r="T12880" s="1"/>
      <c r="U12880" s="1"/>
      <c r="V12880" s="1"/>
      <c r="W12880" s="1"/>
      <c r="X12880" s="1"/>
      <c r="Y12880" s="1"/>
      <c r="Z12880" s="1"/>
      <c r="AA12880" s="1"/>
      <c r="AB12880" s="1"/>
    </row>
    <row r="12881" ht="50.25" customHeight="1">
      <c r="A12881" s="12">
        <v>12877.0</v>
      </c>
      <c r="B12881" s="13" t="s">
        <v>12428</v>
      </c>
      <c r="C12881" s="14" t="s">
        <v>12505</v>
      </c>
      <c r="D12881" s="1"/>
      <c r="E12881" s="1"/>
      <c r="F12881" s="1" t="str">
        <f>IFERROR(__xludf.DUMMYFUNCTION("GOOGLETRANSLATE(B12881, ""en"", ""fa"")
"),"سلامت روان و رفاه")</f>
        <v>سلامت روان و رفاه</v>
      </c>
      <c r="G12881" s="1" t="str">
        <f>IFERROR(__xludf.DUMMYFUNCTION("GOOGLETRANSLATE(C12881, ""en"", ""fa"")
"),"بهترین راهکارها برای مدیریت و کاهش علائم اختلال دوقطبی چیست؟")</f>
        <v>بهترین راهکارها برای مدیریت و کاهش علائم اختلال دوقطبی چیست؟</v>
      </c>
      <c r="H12881" s="1"/>
      <c r="I12881" s="1"/>
      <c r="J12881" s="1"/>
      <c r="K12881" s="1"/>
      <c r="L12881" s="1"/>
      <c r="M12881" s="1"/>
      <c r="N12881" s="1"/>
      <c r="O12881" s="1"/>
      <c r="P12881" s="1"/>
      <c r="Q12881" s="1"/>
      <c r="R12881" s="1"/>
      <c r="S12881" s="1"/>
      <c r="T12881" s="1"/>
      <c r="U12881" s="1"/>
      <c r="V12881" s="1"/>
      <c r="W12881" s="1"/>
      <c r="X12881" s="1"/>
      <c r="Y12881" s="1"/>
      <c r="Z12881" s="1"/>
      <c r="AA12881" s="1"/>
      <c r="AB12881" s="1"/>
    </row>
    <row r="12882" ht="50.25" customHeight="1">
      <c r="A12882" s="12">
        <v>12878.0</v>
      </c>
      <c r="B12882" s="13" t="s">
        <v>12428</v>
      </c>
      <c r="C12882" s="14" t="s">
        <v>12506</v>
      </c>
      <c r="D12882" s="1"/>
      <c r="E12882" s="1"/>
      <c r="F12882" s="1" t="str">
        <f>IFERROR(__xludf.DUMMYFUNCTION("GOOGLETRANSLATE(B12882, ""en"", ""fa"")
"),"سلامت روان و رفاه")</f>
        <v>سلامت روان و رفاه</v>
      </c>
      <c r="G12882" s="1" t="str">
        <f>IFERROR(__xludf.DUMMYFUNCTION("GOOGLETRANSLATE(C12882,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2882" s="1"/>
      <c r="I12882" s="1"/>
      <c r="J12882" s="1"/>
      <c r="K12882" s="1"/>
      <c r="L12882" s="1"/>
      <c r="M12882" s="1"/>
      <c r="N12882" s="1"/>
      <c r="O12882" s="1"/>
      <c r="P12882" s="1"/>
      <c r="Q12882" s="1"/>
      <c r="R12882" s="1"/>
      <c r="S12882" s="1"/>
      <c r="T12882" s="1"/>
      <c r="U12882" s="1"/>
      <c r="V12882" s="1"/>
      <c r="W12882" s="1"/>
      <c r="X12882" s="1"/>
      <c r="Y12882" s="1"/>
      <c r="Z12882" s="1"/>
      <c r="AA12882" s="1"/>
      <c r="AB12882" s="1"/>
    </row>
    <row r="12883" ht="50.25" customHeight="1">
      <c r="A12883" s="12">
        <v>12879.0</v>
      </c>
      <c r="B12883" s="13" t="s">
        <v>12428</v>
      </c>
      <c r="C12883" s="14" t="s">
        <v>12507</v>
      </c>
      <c r="D12883" s="1"/>
      <c r="E12883" s="1"/>
      <c r="F12883" s="1" t="str">
        <f>IFERROR(__xludf.DUMMYFUNCTION("GOOGLETRANSLATE(B12883, ""en"", ""fa"")
"),"سلامت روان و رفاه")</f>
        <v>سلامت روان و رفاه</v>
      </c>
      <c r="G12883" s="1" t="str">
        <f>IFERROR(__xludf.DUMMYFUNCTION("GOOGLETRANSLATE(C12883, ""en"", ""fa"")
"),"آیا می توانید تکنیک هایی را برای تمرین آرام سازی پیشرونده عضلانی برای کاهش استرس و اضطراب توصیه کنید؟")</f>
        <v>آیا می توانید تکنیک هایی را برای تمرین آرام سازی پیشرونده عضلانی برای کاهش استرس و اضطراب توصیه کنید؟</v>
      </c>
      <c r="H12883" s="1"/>
      <c r="I12883" s="1"/>
      <c r="J12883" s="1"/>
      <c r="K12883" s="1"/>
      <c r="L12883" s="1"/>
      <c r="M12883" s="1"/>
      <c r="N12883" s="1"/>
      <c r="O12883" s="1"/>
      <c r="P12883" s="1"/>
      <c r="Q12883" s="1"/>
      <c r="R12883" s="1"/>
      <c r="S12883" s="1"/>
      <c r="T12883" s="1"/>
      <c r="U12883" s="1"/>
      <c r="V12883" s="1"/>
      <c r="W12883" s="1"/>
      <c r="X12883" s="1"/>
      <c r="Y12883" s="1"/>
      <c r="Z12883" s="1"/>
      <c r="AA12883" s="1"/>
      <c r="AB12883" s="1"/>
    </row>
    <row r="12884" ht="50.25" customHeight="1">
      <c r="A12884" s="12">
        <v>12880.0</v>
      </c>
      <c r="B12884" s="13" t="s">
        <v>12428</v>
      </c>
      <c r="C12884" s="14" t="s">
        <v>12508</v>
      </c>
      <c r="D12884" s="1"/>
      <c r="E12884" s="1"/>
      <c r="F12884" s="1" t="str">
        <f>IFERROR(__xludf.DUMMYFUNCTION("GOOGLETRANSLATE(B12884, ""en"", ""fa"")
"),"سلامت روان و رفاه")</f>
        <v>سلامت روان و رفاه</v>
      </c>
      <c r="G12884" s="1" t="str">
        <f>IFERROR(__xludf.DUMMYFUNCTION("GOOGLETRANSLATE(C12884, ""en"", ""fa"")
"),"نکات مهم برای ایجاد و حفظ تاب آوری در مواجهه با چالش های زندگی چیست؟")</f>
        <v>نکات مهم برای ایجاد و حفظ تاب آوری در مواجهه با چالش های زندگی چیست؟</v>
      </c>
      <c r="H12884" s="1"/>
      <c r="I12884" s="1"/>
      <c r="J12884" s="1"/>
      <c r="K12884" s="1"/>
      <c r="L12884" s="1"/>
      <c r="M12884" s="1"/>
      <c r="N12884" s="1"/>
      <c r="O12884" s="1"/>
      <c r="P12884" s="1"/>
      <c r="Q12884" s="1"/>
      <c r="R12884" s="1"/>
      <c r="S12884" s="1"/>
      <c r="T12884" s="1"/>
      <c r="U12884" s="1"/>
      <c r="V12884" s="1"/>
      <c r="W12884" s="1"/>
      <c r="X12884" s="1"/>
      <c r="Y12884" s="1"/>
      <c r="Z12884" s="1"/>
      <c r="AA12884" s="1"/>
      <c r="AB12884" s="1"/>
    </row>
    <row r="12885" ht="50.25" customHeight="1">
      <c r="A12885" s="12">
        <v>12881.0</v>
      </c>
      <c r="B12885" s="13" t="s">
        <v>12428</v>
      </c>
      <c r="C12885" s="14" t="s">
        <v>12509</v>
      </c>
      <c r="D12885" s="1"/>
      <c r="E12885" s="1"/>
      <c r="F12885" s="1" t="str">
        <f>IFERROR(__xludf.DUMMYFUNCTION("GOOGLETRANSLATE(B12885, ""en"", ""fa"")
"),"سلامت روان و رفاه")</f>
        <v>سلامت روان و رفاه</v>
      </c>
      <c r="G12885" s="1" t="str">
        <f>IFERROR(__xludf.DUMMYFUNCTION("GOOGLETRANSLATE(C12885,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2885" s="1"/>
      <c r="I12885" s="1"/>
      <c r="J12885" s="1"/>
      <c r="K12885" s="1"/>
      <c r="L12885" s="1"/>
      <c r="M12885" s="1"/>
      <c r="N12885" s="1"/>
      <c r="O12885" s="1"/>
      <c r="P12885" s="1"/>
      <c r="Q12885" s="1"/>
      <c r="R12885" s="1"/>
      <c r="S12885" s="1"/>
      <c r="T12885" s="1"/>
      <c r="U12885" s="1"/>
      <c r="V12885" s="1"/>
      <c r="W12885" s="1"/>
      <c r="X12885" s="1"/>
      <c r="Y12885" s="1"/>
      <c r="Z12885" s="1"/>
      <c r="AA12885" s="1"/>
      <c r="AB12885" s="1"/>
    </row>
    <row r="12886" ht="50.25" customHeight="1">
      <c r="A12886" s="12">
        <v>12882.0</v>
      </c>
      <c r="B12886" s="13" t="s">
        <v>12428</v>
      </c>
      <c r="C12886" s="14" t="s">
        <v>12510</v>
      </c>
      <c r="D12886" s="1"/>
      <c r="E12886" s="1"/>
      <c r="F12886" s="1" t="str">
        <f>IFERROR(__xludf.DUMMYFUNCTION("GOOGLETRANSLATE(B12886, ""en"", ""fa"")
"),"سلامت روان و رفاه")</f>
        <v>سلامت روان و رفاه</v>
      </c>
      <c r="G12886" s="1" t="str">
        <f>IFERROR(__xludf.DUMMYFUNCTION("GOOGLETRANSLATE(C12886,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2886" s="1"/>
      <c r="I12886" s="1"/>
      <c r="J12886" s="1"/>
      <c r="K12886" s="1"/>
      <c r="L12886" s="1"/>
      <c r="M12886" s="1"/>
      <c r="N12886" s="1"/>
      <c r="O12886" s="1"/>
      <c r="P12886" s="1"/>
      <c r="Q12886" s="1"/>
      <c r="R12886" s="1"/>
      <c r="S12886" s="1"/>
      <c r="T12886" s="1"/>
      <c r="U12886" s="1"/>
      <c r="V12886" s="1"/>
      <c r="W12886" s="1"/>
      <c r="X12886" s="1"/>
      <c r="Y12886" s="1"/>
      <c r="Z12886" s="1"/>
      <c r="AA12886" s="1"/>
      <c r="AB12886" s="1"/>
    </row>
    <row r="12887" ht="50.25" customHeight="1">
      <c r="A12887" s="12">
        <v>12883.0</v>
      </c>
      <c r="B12887" s="13" t="s">
        <v>12428</v>
      </c>
      <c r="C12887" s="14" t="s">
        <v>12511</v>
      </c>
      <c r="D12887" s="1"/>
      <c r="E12887" s="1"/>
      <c r="F12887" s="1" t="str">
        <f>IFERROR(__xludf.DUMMYFUNCTION("GOOGLETRANSLATE(B12887, ""en"", ""fa"")
"),"سلامت روان و رفاه")</f>
        <v>سلامت روان و رفاه</v>
      </c>
      <c r="G12887" s="1" t="str">
        <f>IFERROR(__xludf.DUMMYFUNCTION("GOOGLETRANSLATE(C12887,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2887" s="1"/>
      <c r="I12887" s="1"/>
      <c r="J12887" s="1"/>
      <c r="K12887" s="1"/>
      <c r="L12887" s="1"/>
      <c r="M12887" s="1"/>
      <c r="N12887" s="1"/>
      <c r="O12887" s="1"/>
      <c r="P12887" s="1"/>
      <c r="Q12887" s="1"/>
      <c r="R12887" s="1"/>
      <c r="S12887" s="1"/>
      <c r="T12887" s="1"/>
      <c r="U12887" s="1"/>
      <c r="V12887" s="1"/>
      <c r="W12887" s="1"/>
      <c r="X12887" s="1"/>
      <c r="Y12887" s="1"/>
      <c r="Z12887" s="1"/>
      <c r="AA12887" s="1"/>
      <c r="AB12887" s="1"/>
    </row>
    <row r="12888" ht="50.25" customHeight="1">
      <c r="A12888" s="12">
        <v>12884.0</v>
      </c>
      <c r="B12888" s="13" t="s">
        <v>12428</v>
      </c>
      <c r="C12888" s="14" t="s">
        <v>12512</v>
      </c>
      <c r="D12888" s="1"/>
      <c r="E12888" s="1"/>
      <c r="F12888" s="1" t="str">
        <f>IFERROR(__xludf.DUMMYFUNCTION("GOOGLETRANSLATE(B12888, ""en"", ""fa"")
"),"سلامت روان و رفاه")</f>
        <v>سلامت روان و رفاه</v>
      </c>
      <c r="G12888" s="1" t="str">
        <f>IFERROR(__xludf.DUMMYFUNCTION("GOOGLETRANSLATE(C12888, ""en"", ""fa"")
"),"آیا می‌توانید فعالیت‌هایی را برای ارتقای خودبیانگری و خلاقیت برای تقویت سلامت ذهنی پیشنهاد دهید؟")</f>
        <v>آیا می‌توانید فعالیت‌هایی را برای ارتقای خودبیانگری و خلاقیت برای تقویت سلامت ذهنی پیشنهاد دهید؟</v>
      </c>
      <c r="H12888" s="1"/>
      <c r="I12888" s="1"/>
      <c r="J12888" s="1"/>
      <c r="K12888" s="1"/>
      <c r="L12888" s="1"/>
      <c r="M12888" s="1"/>
      <c r="N12888" s="1"/>
      <c r="O12888" s="1"/>
      <c r="P12888" s="1"/>
      <c r="Q12888" s="1"/>
      <c r="R12888" s="1"/>
      <c r="S12888" s="1"/>
      <c r="T12888" s="1"/>
      <c r="U12888" s="1"/>
      <c r="V12888" s="1"/>
      <c r="W12888" s="1"/>
      <c r="X12888" s="1"/>
      <c r="Y12888" s="1"/>
      <c r="Z12888" s="1"/>
      <c r="AA12888" s="1"/>
      <c r="AB12888" s="1"/>
    </row>
    <row r="12889" ht="50.25" customHeight="1">
      <c r="A12889" s="12">
        <v>12885.0</v>
      </c>
      <c r="B12889" s="13" t="s">
        <v>12428</v>
      </c>
      <c r="C12889" s="14" t="s">
        <v>12513</v>
      </c>
      <c r="D12889" s="1"/>
      <c r="E12889" s="1"/>
      <c r="F12889" s="1" t="str">
        <f>IFERROR(__xludf.DUMMYFUNCTION("GOOGLETRANSLATE(B12889, ""en"", ""fa"")
"),"سلامت روان و رفاه")</f>
        <v>سلامت روان و رفاه</v>
      </c>
      <c r="G12889" s="1" t="str">
        <f>IFERROR(__xludf.DUMMYFUNCTION("GOOGLETRANSLATE(C12889, ""en"", ""fa"")
"),"راهبردهای برتر برای مدیریت و کاهش علائم اختلالات خوردن چیست؟")</f>
        <v>راهبردهای برتر برای مدیریت و کاهش علائم اختلالات خوردن چیست؟</v>
      </c>
      <c r="H12889" s="1"/>
      <c r="I12889" s="1"/>
      <c r="J12889" s="1"/>
      <c r="K12889" s="1"/>
      <c r="L12889" s="1"/>
      <c r="M12889" s="1"/>
      <c r="N12889" s="1"/>
      <c r="O12889" s="1"/>
      <c r="P12889" s="1"/>
      <c r="Q12889" s="1"/>
      <c r="R12889" s="1"/>
      <c r="S12889" s="1"/>
      <c r="T12889" s="1"/>
      <c r="U12889" s="1"/>
      <c r="V12889" s="1"/>
      <c r="W12889" s="1"/>
      <c r="X12889" s="1"/>
      <c r="Y12889" s="1"/>
      <c r="Z12889" s="1"/>
      <c r="AA12889" s="1"/>
      <c r="AB12889" s="1"/>
    </row>
    <row r="12890" ht="50.25" customHeight="1">
      <c r="A12890" s="12">
        <v>12886.0</v>
      </c>
      <c r="B12890" s="13" t="s">
        <v>12428</v>
      </c>
      <c r="C12890" s="14" t="s">
        <v>12514</v>
      </c>
      <c r="D12890" s="1"/>
      <c r="E12890" s="1"/>
      <c r="F12890" s="1" t="str">
        <f>IFERROR(__xludf.DUMMYFUNCTION("GOOGLETRANSLATE(B12890, ""en"", ""fa"")
"),"سلامت روان و رفاه")</f>
        <v>سلامت روان و رفاه</v>
      </c>
      <c r="G12890" s="1" t="str">
        <f>IFERROR(__xludf.DUMMYFUNCTION("GOOGLETRANSLATE(C12890,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2890" s="1"/>
      <c r="I12890" s="1"/>
      <c r="J12890" s="1"/>
      <c r="K12890" s="1"/>
      <c r="L12890" s="1"/>
      <c r="M12890" s="1"/>
      <c r="N12890" s="1"/>
      <c r="O12890" s="1"/>
      <c r="P12890" s="1"/>
      <c r="Q12890" s="1"/>
      <c r="R12890" s="1"/>
      <c r="S12890" s="1"/>
      <c r="T12890" s="1"/>
      <c r="U12890" s="1"/>
      <c r="V12890" s="1"/>
      <c r="W12890" s="1"/>
      <c r="X12890" s="1"/>
      <c r="Y12890" s="1"/>
      <c r="Z12890" s="1"/>
      <c r="AA12890" s="1"/>
      <c r="AB12890" s="1"/>
    </row>
    <row r="12891" ht="50.25" customHeight="1">
      <c r="A12891" s="12">
        <v>12887.0</v>
      </c>
      <c r="B12891" s="13" t="s">
        <v>12428</v>
      </c>
      <c r="C12891" s="14" t="s">
        <v>12515</v>
      </c>
      <c r="D12891" s="1"/>
      <c r="E12891" s="1"/>
      <c r="F12891" s="1" t="str">
        <f>IFERROR(__xludf.DUMMYFUNCTION("GOOGLETRANSLATE(B12891, ""en"", ""fa"")
"),"سلامت روان و رفاه")</f>
        <v>سلامت روان و رفاه</v>
      </c>
      <c r="G12891" s="1" t="str">
        <f>IFERROR(__xludf.DUMMYFUNCTION("GOOGLETRANSLATE(C12891, ""en"", ""fa"")
"),"بهترین تکنیک ها برای مدیریت و کاهش علائم اسکیزوفرنی چیست؟")</f>
        <v>بهترین تکنیک ها برای مدیریت و کاهش علائم اسکیزوفرنی چیست؟</v>
      </c>
      <c r="H12891" s="1"/>
      <c r="I12891" s="1"/>
      <c r="J12891" s="1"/>
      <c r="K12891" s="1"/>
      <c r="L12891" s="1"/>
      <c r="M12891" s="1"/>
      <c r="N12891" s="1"/>
      <c r="O12891" s="1"/>
      <c r="P12891" s="1"/>
      <c r="Q12891" s="1"/>
      <c r="R12891" s="1"/>
      <c r="S12891" s="1"/>
      <c r="T12891" s="1"/>
      <c r="U12891" s="1"/>
      <c r="V12891" s="1"/>
      <c r="W12891" s="1"/>
      <c r="X12891" s="1"/>
      <c r="Y12891" s="1"/>
      <c r="Z12891" s="1"/>
      <c r="AA12891" s="1"/>
      <c r="AB12891" s="1"/>
    </row>
    <row r="12892" ht="50.25" customHeight="1">
      <c r="A12892" s="12">
        <v>12888.0</v>
      </c>
      <c r="B12892" s="13" t="s">
        <v>12428</v>
      </c>
      <c r="C12892" s="14" t="s">
        <v>12516</v>
      </c>
      <c r="D12892" s="1"/>
      <c r="E12892" s="1"/>
      <c r="F12892" s="1" t="str">
        <f>IFERROR(__xludf.DUMMYFUNCTION("GOOGLETRANSLATE(B12892, ""en"", ""fa"")
"),"سلامت روان و رفاه")</f>
        <v>سلامت روان و رفاه</v>
      </c>
      <c r="G12892" s="1" t="str">
        <f>IFERROR(__xludf.DUMMYFUNCTION("GOOGLETRANSLATE(C12892,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2892" s="1"/>
      <c r="I12892" s="1"/>
      <c r="J12892" s="1"/>
      <c r="K12892" s="1"/>
      <c r="L12892" s="1"/>
      <c r="M12892" s="1"/>
      <c r="N12892" s="1"/>
      <c r="O12892" s="1"/>
      <c r="P12892" s="1"/>
      <c r="Q12892" s="1"/>
      <c r="R12892" s="1"/>
      <c r="S12892" s="1"/>
      <c r="T12892" s="1"/>
      <c r="U12892" s="1"/>
      <c r="V12892" s="1"/>
      <c r="W12892" s="1"/>
      <c r="X12892" s="1"/>
      <c r="Y12892" s="1"/>
      <c r="Z12892" s="1"/>
      <c r="AA12892" s="1"/>
      <c r="AB12892" s="1"/>
    </row>
    <row r="12893" ht="50.25" customHeight="1">
      <c r="A12893" s="12">
        <v>12889.0</v>
      </c>
      <c r="B12893" s="13" t="s">
        <v>12428</v>
      </c>
      <c r="C12893" s="14" t="s">
        <v>12517</v>
      </c>
      <c r="D12893" s="1"/>
      <c r="E12893" s="1"/>
      <c r="F12893" s="1" t="str">
        <f>IFERROR(__xludf.DUMMYFUNCTION("GOOGLETRANSLATE(B12893, ""en"", ""fa"")
"),"سلامت روان و رفاه")</f>
        <v>سلامت روان و رفاه</v>
      </c>
      <c r="G12893" s="1" t="str">
        <f>IFERROR(__xludf.DUMMYFUNCTION("GOOGLETRANSLATE(C12893,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2893" s="1"/>
      <c r="I12893" s="1"/>
      <c r="J12893" s="1"/>
      <c r="K12893" s="1"/>
      <c r="L12893" s="1"/>
      <c r="M12893" s="1"/>
      <c r="N12893" s="1"/>
      <c r="O12893" s="1"/>
      <c r="P12893" s="1"/>
      <c r="Q12893" s="1"/>
      <c r="R12893" s="1"/>
      <c r="S12893" s="1"/>
      <c r="T12893" s="1"/>
      <c r="U12893" s="1"/>
      <c r="V12893" s="1"/>
      <c r="W12893" s="1"/>
      <c r="X12893" s="1"/>
      <c r="Y12893" s="1"/>
      <c r="Z12893" s="1"/>
      <c r="AA12893" s="1"/>
      <c r="AB12893" s="1"/>
    </row>
    <row r="12894" ht="50.25" customHeight="1">
      <c r="A12894" s="12">
        <v>12890.0</v>
      </c>
      <c r="B12894" s="13" t="s">
        <v>12428</v>
      </c>
      <c r="C12894" s="14" t="s">
        <v>12518</v>
      </c>
      <c r="D12894" s="1"/>
      <c r="E12894" s="1"/>
      <c r="F12894" s="1" t="str">
        <f>IFERROR(__xludf.DUMMYFUNCTION("GOOGLETRANSLATE(B12894, ""en"", ""fa"")
"),"سلامت روان و رفاه")</f>
        <v>سلامت روان و رفاه</v>
      </c>
      <c r="G12894" s="1" t="str">
        <f>IFERROR(__xludf.DUMMYFUNCTION("GOOGLETRANSLATE(C12894, ""en"", ""fa"")
"),"نکات مهم برای ایجاد و حفظ مرزهای سالم در محیط های حرفه ای چیست؟")</f>
        <v>نکات مهم برای ایجاد و حفظ مرزهای سالم در محیط های حرفه ای چیست؟</v>
      </c>
      <c r="H12894" s="1"/>
      <c r="I12894" s="1"/>
      <c r="J12894" s="1"/>
      <c r="K12894" s="1"/>
      <c r="L12894" s="1"/>
      <c r="M12894" s="1"/>
      <c r="N12894" s="1"/>
      <c r="O12894" s="1"/>
      <c r="P12894" s="1"/>
      <c r="Q12894" s="1"/>
      <c r="R12894" s="1"/>
      <c r="S12894" s="1"/>
      <c r="T12894" s="1"/>
      <c r="U12894" s="1"/>
      <c r="V12894" s="1"/>
      <c r="W12894" s="1"/>
      <c r="X12894" s="1"/>
      <c r="Y12894" s="1"/>
      <c r="Z12894" s="1"/>
      <c r="AA12894" s="1"/>
      <c r="AB12894" s="1"/>
    </row>
    <row r="12895" ht="50.25" customHeight="1">
      <c r="A12895" s="12">
        <v>12891.0</v>
      </c>
      <c r="B12895" s="13" t="s">
        <v>12428</v>
      </c>
      <c r="C12895" s="14" t="s">
        <v>12519</v>
      </c>
      <c r="D12895" s="1"/>
      <c r="E12895" s="1"/>
      <c r="F12895" s="1" t="str">
        <f>IFERROR(__xludf.DUMMYFUNCTION("GOOGLETRANSLATE(B12895, ""en"", ""fa"")
"),"سلامت روان و رفاه")</f>
        <v>سلامت روان و رفاه</v>
      </c>
      <c r="G12895" s="1" t="str">
        <f>IFERROR(__xludf.DUMMYFUNCTION("GOOGLETRANSLATE(C12895,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2895" s="1"/>
      <c r="I12895" s="1"/>
      <c r="J12895" s="1"/>
      <c r="K12895" s="1"/>
      <c r="L12895" s="1"/>
      <c r="M12895" s="1"/>
      <c r="N12895" s="1"/>
      <c r="O12895" s="1"/>
      <c r="P12895" s="1"/>
      <c r="Q12895" s="1"/>
      <c r="R12895" s="1"/>
      <c r="S12895" s="1"/>
      <c r="T12895" s="1"/>
      <c r="U12895" s="1"/>
      <c r="V12895" s="1"/>
      <c r="W12895" s="1"/>
      <c r="X12895" s="1"/>
      <c r="Y12895" s="1"/>
      <c r="Z12895" s="1"/>
      <c r="AA12895" s="1"/>
      <c r="AB12895" s="1"/>
    </row>
    <row r="12896" ht="50.25" customHeight="1">
      <c r="A12896" s="12">
        <v>12892.0</v>
      </c>
      <c r="B12896" s="13" t="s">
        <v>12428</v>
      </c>
      <c r="C12896" s="14" t="s">
        <v>12520</v>
      </c>
      <c r="D12896" s="1"/>
      <c r="E12896" s="1"/>
      <c r="F12896" s="1" t="str">
        <f>IFERROR(__xludf.DUMMYFUNCTION("GOOGLETRANSLATE(B12896, ""en"", ""fa"")
"),"سلامت روان و رفاه")</f>
        <v>سلامت روان و رفاه</v>
      </c>
      <c r="G12896" s="1" t="str">
        <f>IFERROR(__xludf.DUMMYFUNCTION("GOOGLETRANSLATE(C12896, ""en"", ""fa"")
"),"بهترین راهکارها برای مدیریت و کاهش علائم اختلالات مصرف مواد چیست؟")</f>
        <v>بهترین راهکارها برای مدیریت و کاهش علائم اختلالات مصرف مواد چیست؟</v>
      </c>
      <c r="H12896" s="1"/>
      <c r="I12896" s="1"/>
      <c r="J12896" s="1"/>
      <c r="K12896" s="1"/>
      <c r="L12896" s="1"/>
      <c r="M12896" s="1"/>
      <c r="N12896" s="1"/>
      <c r="O12896" s="1"/>
      <c r="P12896" s="1"/>
      <c r="Q12896" s="1"/>
      <c r="R12896" s="1"/>
      <c r="S12896" s="1"/>
      <c r="T12896" s="1"/>
      <c r="U12896" s="1"/>
      <c r="V12896" s="1"/>
      <c r="W12896" s="1"/>
      <c r="X12896" s="1"/>
      <c r="Y12896" s="1"/>
      <c r="Z12896" s="1"/>
      <c r="AA12896" s="1"/>
      <c r="AB12896" s="1"/>
    </row>
    <row r="12897" ht="50.25" customHeight="1">
      <c r="A12897" s="12">
        <v>12893.0</v>
      </c>
      <c r="B12897" s="13" t="s">
        <v>12428</v>
      </c>
      <c r="C12897" s="14" t="s">
        <v>12521</v>
      </c>
      <c r="D12897" s="1"/>
      <c r="E12897" s="1"/>
      <c r="F12897" s="1" t="str">
        <f>IFERROR(__xludf.DUMMYFUNCTION("GOOGLETRANSLATE(B12897, ""en"", ""fa"")
"),"سلامت روان و رفاه")</f>
        <v>سلامت روان و رفاه</v>
      </c>
      <c r="G12897" s="1" t="str">
        <f>IFERROR(__xludf.DUMMYFUNCTION("GOOGLETRANSLATE(C12897,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2897" s="1"/>
      <c r="I12897" s="1"/>
      <c r="J12897" s="1"/>
      <c r="K12897" s="1"/>
      <c r="L12897" s="1"/>
      <c r="M12897" s="1"/>
      <c r="N12897" s="1"/>
      <c r="O12897" s="1"/>
      <c r="P12897" s="1"/>
      <c r="Q12897" s="1"/>
      <c r="R12897" s="1"/>
      <c r="S12897" s="1"/>
      <c r="T12897" s="1"/>
      <c r="U12897" s="1"/>
      <c r="V12897" s="1"/>
      <c r="W12897" s="1"/>
      <c r="X12897" s="1"/>
      <c r="Y12897" s="1"/>
      <c r="Z12897" s="1"/>
      <c r="AA12897" s="1"/>
      <c r="AB12897" s="1"/>
    </row>
    <row r="12898" ht="50.25" customHeight="1">
      <c r="A12898" s="12">
        <v>12894.0</v>
      </c>
      <c r="B12898" s="13" t="s">
        <v>12428</v>
      </c>
      <c r="C12898" s="14" t="s">
        <v>12522</v>
      </c>
      <c r="D12898" s="1"/>
      <c r="E12898" s="1"/>
      <c r="F12898" s="1" t="str">
        <f>IFERROR(__xludf.DUMMYFUNCTION("GOOGLETRANSLATE(B12898, ""en"", ""fa"")
"),"سلامت روان و رفاه")</f>
        <v>سلامت روان و رفاه</v>
      </c>
      <c r="G12898" s="1" t="str">
        <f>IFERROR(__xludf.DUMMYFUNCTION("GOOGLETRANSLATE(C12898,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2898" s="1"/>
      <c r="I12898" s="1"/>
      <c r="J12898" s="1"/>
      <c r="K12898" s="1"/>
      <c r="L12898" s="1"/>
      <c r="M12898" s="1"/>
      <c r="N12898" s="1"/>
      <c r="O12898" s="1"/>
      <c r="P12898" s="1"/>
      <c r="Q12898" s="1"/>
      <c r="R12898" s="1"/>
      <c r="S12898" s="1"/>
      <c r="T12898" s="1"/>
      <c r="U12898" s="1"/>
      <c r="V12898" s="1"/>
      <c r="W12898" s="1"/>
      <c r="X12898" s="1"/>
      <c r="Y12898" s="1"/>
      <c r="Z12898" s="1"/>
      <c r="AA12898" s="1"/>
      <c r="AB12898" s="1"/>
    </row>
    <row r="12899" ht="50.25" customHeight="1">
      <c r="A12899" s="12">
        <v>12895.0</v>
      </c>
      <c r="B12899" s="13" t="s">
        <v>12428</v>
      </c>
      <c r="C12899" s="14" t="s">
        <v>12523</v>
      </c>
      <c r="D12899" s="1"/>
      <c r="E12899" s="1"/>
      <c r="F12899" s="1" t="str">
        <f>IFERROR(__xludf.DUMMYFUNCTION("GOOGLETRANSLATE(B12899, ""en"", ""fa"")
"),"سلامت روان و رفاه")</f>
        <v>سلامت روان و رفاه</v>
      </c>
      <c r="G12899" s="1" t="str">
        <f>IFERROR(__xludf.DUMMYFUNCTION("GOOGLETRANSLATE(C12899,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2899" s="1"/>
      <c r="I12899" s="1"/>
      <c r="J12899" s="1"/>
      <c r="K12899" s="1"/>
      <c r="L12899" s="1"/>
      <c r="M12899" s="1"/>
      <c r="N12899" s="1"/>
      <c r="O12899" s="1"/>
      <c r="P12899" s="1"/>
      <c r="Q12899" s="1"/>
      <c r="R12899" s="1"/>
      <c r="S12899" s="1"/>
      <c r="T12899" s="1"/>
      <c r="U12899" s="1"/>
      <c r="V12899" s="1"/>
      <c r="W12899" s="1"/>
      <c r="X12899" s="1"/>
      <c r="Y12899" s="1"/>
      <c r="Z12899" s="1"/>
      <c r="AA12899" s="1"/>
      <c r="AB12899" s="1"/>
    </row>
    <row r="12900" ht="50.25" customHeight="1">
      <c r="A12900" s="12">
        <v>12896.0</v>
      </c>
      <c r="B12900" s="13" t="s">
        <v>12428</v>
      </c>
      <c r="C12900" s="14" t="s">
        <v>12524</v>
      </c>
      <c r="D12900" s="1"/>
      <c r="E12900" s="1"/>
      <c r="F12900" s="1" t="str">
        <f>IFERROR(__xludf.DUMMYFUNCTION("GOOGLETRANSLATE(B12900, ""en"", ""fa"")
"),"سلامت روان و رفاه")</f>
        <v>سلامت روان و رفاه</v>
      </c>
      <c r="G12900" s="1" t="str">
        <f>IFERROR(__xludf.DUMMYFUNCTION("GOOGLETRANSLATE(C12900,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2900" s="1"/>
      <c r="I12900" s="1"/>
      <c r="J12900" s="1"/>
      <c r="K12900" s="1"/>
      <c r="L12900" s="1"/>
      <c r="M12900" s="1"/>
      <c r="N12900" s="1"/>
      <c r="O12900" s="1"/>
      <c r="P12900" s="1"/>
      <c r="Q12900" s="1"/>
      <c r="R12900" s="1"/>
      <c r="S12900" s="1"/>
      <c r="T12900" s="1"/>
      <c r="U12900" s="1"/>
      <c r="V12900" s="1"/>
      <c r="W12900" s="1"/>
      <c r="X12900" s="1"/>
      <c r="Y12900" s="1"/>
      <c r="Z12900" s="1"/>
      <c r="AA12900" s="1"/>
      <c r="AB12900" s="1"/>
    </row>
    <row r="12901" ht="50.25" customHeight="1">
      <c r="A12901" s="12">
        <v>12897.0</v>
      </c>
      <c r="B12901" s="13" t="s">
        <v>12428</v>
      </c>
      <c r="C12901" s="14" t="s">
        <v>12525</v>
      </c>
      <c r="D12901" s="1"/>
      <c r="E12901" s="1"/>
      <c r="F12901" s="1" t="str">
        <f>IFERROR(__xludf.DUMMYFUNCTION("GOOGLETRANSLATE(B12901, ""en"", ""fa"")
"),"سلامت روان و رفاه")</f>
        <v>سلامت روان و رفاه</v>
      </c>
      <c r="G12901" s="1" t="str">
        <f>IFERROR(__xludf.DUMMYFUNCTION("GOOGLETRANSLATE(C12901, ""en"", ""fa"")
"),"بهترین راهبردها برای مدیریت و کاهش علائم اختلال شخصیت مرزی (BPD) چیست؟")</f>
        <v>بهترین راهبردها برای مدیریت و کاهش علائم اختلال شخصیت مرزی (BPD) چیست؟</v>
      </c>
      <c r="H12901" s="1"/>
      <c r="I12901" s="1"/>
      <c r="J12901" s="1"/>
      <c r="K12901" s="1"/>
      <c r="L12901" s="1"/>
      <c r="M12901" s="1"/>
      <c r="N12901" s="1"/>
      <c r="O12901" s="1"/>
      <c r="P12901" s="1"/>
      <c r="Q12901" s="1"/>
      <c r="R12901" s="1"/>
      <c r="S12901" s="1"/>
      <c r="T12901" s="1"/>
      <c r="U12901" s="1"/>
      <c r="V12901" s="1"/>
      <c r="W12901" s="1"/>
      <c r="X12901" s="1"/>
      <c r="Y12901" s="1"/>
      <c r="Z12901" s="1"/>
      <c r="AA12901" s="1"/>
      <c r="AB12901" s="1"/>
    </row>
    <row r="12902" ht="50.25" customHeight="1">
      <c r="A12902" s="12">
        <v>12898.0</v>
      </c>
      <c r="B12902" s="13" t="s">
        <v>12428</v>
      </c>
      <c r="C12902" s="14" t="s">
        <v>12526</v>
      </c>
      <c r="D12902" s="1"/>
      <c r="E12902" s="1"/>
      <c r="F12902" s="1" t="str">
        <f>IFERROR(__xludf.DUMMYFUNCTION("GOOGLETRANSLATE(B12902, ""en"", ""fa"")
"),"سلامت روان و رفاه")</f>
        <v>سلامت روان و رفاه</v>
      </c>
      <c r="G12902" s="1" t="str">
        <f>IFERROR(__xludf.DUMMYFUNCTION("GOOGLETRANSLATE(C12902,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2902" s="1"/>
      <c r="I12902" s="1"/>
      <c r="J12902" s="1"/>
      <c r="K12902" s="1"/>
      <c r="L12902" s="1"/>
      <c r="M12902" s="1"/>
      <c r="N12902" s="1"/>
      <c r="O12902" s="1"/>
      <c r="P12902" s="1"/>
      <c r="Q12902" s="1"/>
      <c r="R12902" s="1"/>
      <c r="S12902" s="1"/>
      <c r="T12902" s="1"/>
      <c r="U12902" s="1"/>
      <c r="V12902" s="1"/>
      <c r="W12902" s="1"/>
      <c r="X12902" s="1"/>
      <c r="Y12902" s="1"/>
      <c r="Z12902" s="1"/>
      <c r="AA12902" s="1"/>
      <c r="AB12902" s="1"/>
    </row>
    <row r="12903" ht="50.25" customHeight="1">
      <c r="A12903" s="12">
        <v>12899.0</v>
      </c>
      <c r="B12903" s="13" t="s">
        <v>12428</v>
      </c>
      <c r="C12903" s="14" t="s">
        <v>12527</v>
      </c>
      <c r="D12903" s="1"/>
      <c r="E12903" s="1"/>
      <c r="F12903" s="1" t="str">
        <f>IFERROR(__xludf.DUMMYFUNCTION("GOOGLETRANSLATE(B12903, ""en"", ""fa"")
"),"سلامت روان و رفاه")</f>
        <v>سلامت روان و رفاه</v>
      </c>
      <c r="G12903" s="1" t="str">
        <f>IFERROR(__xludf.DUMMYFUNCTION("GOOGLETRANSLATE(C12903,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2903" s="1"/>
      <c r="I12903" s="1"/>
      <c r="J12903" s="1"/>
      <c r="K12903" s="1"/>
      <c r="L12903" s="1"/>
      <c r="M12903" s="1"/>
      <c r="N12903" s="1"/>
      <c r="O12903" s="1"/>
      <c r="P12903" s="1"/>
      <c r="Q12903" s="1"/>
      <c r="R12903" s="1"/>
      <c r="S12903" s="1"/>
      <c r="T12903" s="1"/>
      <c r="U12903" s="1"/>
      <c r="V12903" s="1"/>
      <c r="W12903" s="1"/>
      <c r="X12903" s="1"/>
      <c r="Y12903" s="1"/>
      <c r="Z12903" s="1"/>
      <c r="AA12903" s="1"/>
      <c r="AB12903" s="1"/>
    </row>
    <row r="12904" ht="50.25" customHeight="1">
      <c r="A12904" s="12">
        <v>12900.0</v>
      </c>
      <c r="B12904" s="13" t="s">
        <v>12428</v>
      </c>
      <c r="C12904" s="14" t="s">
        <v>12528</v>
      </c>
      <c r="D12904" s="1"/>
      <c r="E12904" s="1"/>
      <c r="F12904" s="1" t="str">
        <f>IFERROR(__xludf.DUMMYFUNCTION("GOOGLETRANSLATE(B12904, ""en"", ""fa"")
"),"سلامت روان و رفاه")</f>
        <v>سلامت روان و رفاه</v>
      </c>
      <c r="G12904" s="1" t="str">
        <f>IFERROR(__xludf.DUMMYFUNCTION("GOOGLETRANSLATE(C12904,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2904" s="1"/>
      <c r="I12904" s="1"/>
      <c r="J12904" s="1"/>
      <c r="K12904" s="1"/>
      <c r="L12904" s="1"/>
      <c r="M12904" s="1"/>
      <c r="N12904" s="1"/>
      <c r="O12904" s="1"/>
      <c r="P12904" s="1"/>
      <c r="Q12904" s="1"/>
      <c r="R12904" s="1"/>
      <c r="S12904" s="1"/>
      <c r="T12904" s="1"/>
      <c r="U12904" s="1"/>
      <c r="V12904" s="1"/>
      <c r="W12904" s="1"/>
      <c r="X12904" s="1"/>
      <c r="Y12904" s="1"/>
      <c r="Z12904" s="1"/>
      <c r="AA12904" s="1"/>
      <c r="AB12904" s="1"/>
    </row>
    <row r="12905" ht="50.25" customHeight="1">
      <c r="A12905" s="12">
        <v>12901.0</v>
      </c>
      <c r="B12905" s="13" t="s">
        <v>12428</v>
      </c>
      <c r="C12905" s="14" t="s">
        <v>12531</v>
      </c>
      <c r="D12905" s="1"/>
      <c r="E12905" s="1"/>
      <c r="F12905" s="1" t="str">
        <f>IFERROR(__xludf.DUMMYFUNCTION("GOOGLETRANSLATE(B12905, ""en"", ""fa"")
"),"سلامت روان و رفاه")</f>
        <v>سلامت روان و رفاه</v>
      </c>
      <c r="G12905" s="1" t="str">
        <f>IFERROR(__xludf.DUMMYFUNCTION("GOOGLETRANSLATE(C12905, ""en"", ""fa"")
"),"چگونه می توانم حس هدف و معنا را در زندگی خود برای بهبود سلامت روانی پرورش دهم؟")</f>
        <v>چگونه می توانم حس هدف و معنا را در زندگی خود برای بهبود سلامت روانی پرورش دهم؟</v>
      </c>
      <c r="H12905" s="1"/>
      <c r="I12905" s="1"/>
      <c r="J12905" s="1"/>
      <c r="K12905" s="1"/>
      <c r="L12905" s="1"/>
      <c r="M12905" s="1"/>
      <c r="N12905" s="1"/>
      <c r="O12905" s="1"/>
      <c r="P12905" s="1"/>
      <c r="Q12905" s="1"/>
      <c r="R12905" s="1"/>
      <c r="S12905" s="1"/>
      <c r="T12905" s="1"/>
      <c r="U12905" s="1"/>
      <c r="V12905" s="1"/>
      <c r="W12905" s="1"/>
      <c r="X12905" s="1"/>
      <c r="Y12905" s="1"/>
      <c r="Z12905" s="1"/>
      <c r="AA12905" s="1"/>
      <c r="AB12905" s="1"/>
    </row>
    <row r="12906" ht="50.25" customHeight="1">
      <c r="A12906" s="12">
        <v>12902.0</v>
      </c>
      <c r="B12906" s="13" t="s">
        <v>12428</v>
      </c>
      <c r="C12906" s="14" t="s">
        <v>12532</v>
      </c>
      <c r="D12906" s="1"/>
      <c r="E12906" s="1"/>
      <c r="F12906" s="1" t="str">
        <f>IFERROR(__xludf.DUMMYFUNCTION("GOOGLETRANSLATE(B12906, ""en"", ""fa"")
"),"سلامت روان و رفاه")</f>
        <v>سلامت روان و رفاه</v>
      </c>
      <c r="G12906" s="1" t="str">
        <f>IFERROR(__xludf.DUMMYFUNCTION("GOOGLETRANSLATE(C12906, ""en"", ""fa"")
"),"بهترین تکنیک ها برای مدیریت و کاهش علائم افسردگی پس از زایمان چیست؟")</f>
        <v>بهترین تکنیک ها برای مدیریت و کاهش علائم افسردگی پس از زایمان چیست؟</v>
      </c>
      <c r="H12906" s="1"/>
      <c r="I12906" s="1"/>
      <c r="J12906" s="1"/>
      <c r="K12906" s="1"/>
      <c r="L12906" s="1"/>
      <c r="M12906" s="1"/>
      <c r="N12906" s="1"/>
      <c r="O12906" s="1"/>
      <c r="P12906" s="1"/>
      <c r="Q12906" s="1"/>
      <c r="R12906" s="1"/>
      <c r="S12906" s="1"/>
      <c r="T12906" s="1"/>
      <c r="U12906" s="1"/>
      <c r="V12906" s="1"/>
      <c r="W12906" s="1"/>
      <c r="X12906" s="1"/>
      <c r="Y12906" s="1"/>
      <c r="Z12906" s="1"/>
      <c r="AA12906" s="1"/>
      <c r="AB12906" s="1"/>
    </row>
    <row r="12907" ht="50.25" customHeight="1">
      <c r="A12907" s="12">
        <v>12903.0</v>
      </c>
      <c r="B12907" s="13" t="s">
        <v>12428</v>
      </c>
      <c r="C12907" s="14" t="s">
        <v>12533</v>
      </c>
      <c r="D12907" s="1"/>
      <c r="E12907" s="1"/>
      <c r="F12907" s="1" t="str">
        <f>IFERROR(__xludf.DUMMYFUNCTION("GOOGLETRANSLATE(B12907, ""en"", ""fa"")
"),"سلامت روان و رفاه")</f>
        <v>سلامت روان و رفاه</v>
      </c>
      <c r="G12907" s="1" t="str">
        <f>IFERROR(__xludf.DUMMYFUNCTION("GOOGLETRANSLATE(C12907, ""en"", ""fa"")
"),"چگونه می توانم بر احساس گناه و شرمندگی برای ارتقاء شفای ذهنی غلبه کنم؟")</f>
        <v>چگونه می توانم بر احساس گناه و شرمندگی برای ارتقاء شفای ذهنی غلبه کنم؟</v>
      </c>
      <c r="H12907" s="1"/>
      <c r="I12907" s="1"/>
      <c r="J12907" s="1"/>
      <c r="K12907" s="1"/>
      <c r="L12907" s="1"/>
      <c r="M12907" s="1"/>
      <c r="N12907" s="1"/>
      <c r="O12907" s="1"/>
      <c r="P12907" s="1"/>
      <c r="Q12907" s="1"/>
      <c r="R12907" s="1"/>
      <c r="S12907" s="1"/>
      <c r="T12907" s="1"/>
      <c r="U12907" s="1"/>
      <c r="V12907" s="1"/>
      <c r="W12907" s="1"/>
      <c r="X12907" s="1"/>
      <c r="Y12907" s="1"/>
      <c r="Z12907" s="1"/>
      <c r="AA12907" s="1"/>
      <c r="AB12907" s="1"/>
    </row>
    <row r="12908" ht="50.25" customHeight="1">
      <c r="A12908" s="12">
        <v>12904.0</v>
      </c>
      <c r="B12908" s="13" t="s">
        <v>12428</v>
      </c>
      <c r="C12908" s="14" t="s">
        <v>12534</v>
      </c>
      <c r="D12908" s="1"/>
      <c r="E12908" s="1"/>
      <c r="F12908" s="1" t="str">
        <f>IFERROR(__xludf.DUMMYFUNCTION("GOOGLETRANSLATE(B12908, ""en"", ""fa"")
"),"سلامت روان و رفاه")</f>
        <v>سلامت روان و رفاه</v>
      </c>
      <c r="G12908" s="1" t="str">
        <f>IFERROR(__xludf.DUMMYFUNCTION("GOOGLETRANSLATE(C12908, ""en"", ""fa"")
"),"آیا می توانید فعالیت هایی را برای تمرین ذهن آگاهی و خودآگاهی در طبیعت پیشنهاد دهید؟")</f>
        <v>آیا می توانید فعالیت هایی را برای تمرین ذهن آگاهی و خودآگاهی در طبیعت پیشنهاد دهید؟</v>
      </c>
      <c r="H12908" s="1"/>
      <c r="I12908" s="1"/>
      <c r="J12908" s="1"/>
      <c r="K12908" s="1"/>
      <c r="L12908" s="1"/>
      <c r="M12908" s="1"/>
      <c r="N12908" s="1"/>
      <c r="O12908" s="1"/>
      <c r="P12908" s="1"/>
      <c r="Q12908" s="1"/>
      <c r="R12908" s="1"/>
      <c r="S12908" s="1"/>
      <c r="T12908" s="1"/>
      <c r="U12908" s="1"/>
      <c r="V12908" s="1"/>
      <c r="W12908" s="1"/>
      <c r="X12908" s="1"/>
      <c r="Y12908" s="1"/>
      <c r="Z12908" s="1"/>
      <c r="AA12908" s="1"/>
      <c r="AB12908" s="1"/>
    </row>
    <row r="12909" ht="50.25" customHeight="1">
      <c r="A12909" s="12">
        <v>12905.0</v>
      </c>
      <c r="B12909" s="13" t="s">
        <v>12428</v>
      </c>
      <c r="C12909" s="14" t="s">
        <v>12535</v>
      </c>
      <c r="D12909" s="1"/>
      <c r="E12909" s="1"/>
      <c r="F12909" s="1" t="str">
        <f>IFERROR(__xludf.DUMMYFUNCTION("GOOGLETRANSLATE(B12909, ""en"", ""fa"")
"),"سلامت روان و رفاه")</f>
        <v>سلامت روان و رفاه</v>
      </c>
      <c r="G12909" s="1" t="str">
        <f>IFERROR(__xludf.DUMMYFUNCTION("GOOGLETRANSLATE(C12909, ""en"", ""fa"")
"),"راهبردهای برتر برای مدیریت و کاهش علائم اختلال نقص توجه و بیش فعالی (ADHD) چیست؟")</f>
        <v>راهبردهای برتر برای مدیریت و کاهش علائم اختلال نقص توجه و بیش فعالی (ADHD) چیست؟</v>
      </c>
      <c r="H12909" s="1"/>
      <c r="I12909" s="1"/>
      <c r="J12909" s="1"/>
      <c r="K12909" s="1"/>
      <c r="L12909" s="1"/>
      <c r="M12909" s="1"/>
      <c r="N12909" s="1"/>
      <c r="O12909" s="1"/>
      <c r="P12909" s="1"/>
      <c r="Q12909" s="1"/>
      <c r="R12909" s="1"/>
      <c r="S12909" s="1"/>
      <c r="T12909" s="1"/>
      <c r="U12909" s="1"/>
      <c r="V12909" s="1"/>
      <c r="W12909" s="1"/>
      <c r="X12909" s="1"/>
      <c r="Y12909" s="1"/>
      <c r="Z12909" s="1"/>
      <c r="AA12909" s="1"/>
      <c r="AB12909" s="1"/>
    </row>
    <row r="12910" ht="50.25" customHeight="1">
      <c r="A12910" s="12">
        <v>12906.0</v>
      </c>
      <c r="B12910" s="13" t="s">
        <v>12428</v>
      </c>
      <c r="C12910" s="14" t="s">
        <v>12536</v>
      </c>
      <c r="D12910" s="1"/>
      <c r="E12910" s="1"/>
      <c r="F12910" s="1" t="str">
        <f>IFERROR(__xludf.DUMMYFUNCTION("GOOGLETRANSLATE(B12910, ""en"", ""fa"")
"),"سلامت روان و رفاه")</f>
        <v>سلامت روان و رفاه</v>
      </c>
      <c r="G12910" s="1" t="str">
        <f>IFERROR(__xludf.DUMMYFUNCTION("GOOGLETRANSLATE(C12910, ""en"", ""fa"")
"),"چگونه می توانم در زمان مبارزه شخصی، شفقت و درک خود را تمرین کنم؟")</f>
        <v>چگونه می توانم در زمان مبارزه شخصی، شفقت و درک خود را تمرین کنم؟</v>
      </c>
      <c r="H12910" s="1"/>
      <c r="I12910" s="1"/>
      <c r="J12910" s="1"/>
      <c r="K12910" s="1"/>
      <c r="L12910" s="1"/>
      <c r="M12910" s="1"/>
      <c r="N12910" s="1"/>
      <c r="O12910" s="1"/>
      <c r="P12910" s="1"/>
      <c r="Q12910" s="1"/>
      <c r="R12910" s="1"/>
      <c r="S12910" s="1"/>
      <c r="T12910" s="1"/>
      <c r="U12910" s="1"/>
      <c r="V12910" s="1"/>
      <c r="W12910" s="1"/>
      <c r="X12910" s="1"/>
      <c r="Y12910" s="1"/>
      <c r="Z12910" s="1"/>
      <c r="AA12910" s="1"/>
      <c r="AB12910" s="1"/>
    </row>
    <row r="12911" ht="50.25" customHeight="1">
      <c r="A12911" s="12">
        <v>12907.0</v>
      </c>
      <c r="B12911" s="13" t="s">
        <v>12428</v>
      </c>
      <c r="C12911" s="14" t="s">
        <v>12537</v>
      </c>
      <c r="D12911" s="1"/>
      <c r="E12911" s="1"/>
      <c r="F12911" s="1" t="str">
        <f>IFERROR(__xludf.DUMMYFUNCTION("GOOGLETRANSLATE(B12911, ""en"", ""fa"")
"),"سلامت روان و رفاه")</f>
        <v>سلامت روان و رفاه</v>
      </c>
      <c r="G12911" s="1" t="str">
        <f>IFERROR(__xludf.DUMMYFUNCTION("GOOGLETRANSLATE(C12911, ""en"", ""fa"")
"),"بهترین منابع برای یادگیری در مورد انواع مختلف درمان های سلامت روان و فواید آنها چیست؟")</f>
        <v>بهترین منابع برای یادگیری در مورد انواع مختلف درمان های سلامت روان و فواید آنها چیست؟</v>
      </c>
      <c r="H12911" s="1"/>
      <c r="I12911" s="1"/>
      <c r="J12911" s="1"/>
      <c r="K12911" s="1"/>
      <c r="L12911" s="1"/>
      <c r="M12911" s="1"/>
      <c r="N12911" s="1"/>
      <c r="O12911" s="1"/>
      <c r="P12911" s="1"/>
      <c r="Q12911" s="1"/>
      <c r="R12911" s="1"/>
      <c r="S12911" s="1"/>
      <c r="T12911" s="1"/>
      <c r="U12911" s="1"/>
      <c r="V12911" s="1"/>
      <c r="W12911" s="1"/>
      <c r="X12911" s="1"/>
      <c r="Y12911" s="1"/>
      <c r="Z12911" s="1"/>
      <c r="AA12911" s="1"/>
      <c r="AB12911" s="1"/>
    </row>
    <row r="12912" ht="50.25" customHeight="1">
      <c r="A12912" s="12">
        <v>12908.0</v>
      </c>
      <c r="B12912" s="13" t="s">
        <v>12428</v>
      </c>
      <c r="C12912" s="14" t="s">
        <v>12538</v>
      </c>
      <c r="D12912" s="1"/>
      <c r="E12912" s="1"/>
      <c r="F12912" s="1" t="str">
        <f>IFERROR(__xludf.DUMMYFUNCTION("GOOGLETRANSLATE(B12912, ""en"", ""fa"")
"),"سلامت روان و رفاه")</f>
        <v>سلامت روان و رفاه</v>
      </c>
      <c r="G12912" s="1" t="str">
        <f>IFERROR(__xludf.DUMMYFUNCTION("GOOGLETRANSLATE(C12912, ""en"", ""fa"")
"),"چگونه علائم اختلال عاطفی فصلی (SAD) را مدیریت و کاهش دهم و فصول در حال تغییر را در آغوش بگیرم؟")</f>
        <v>چگونه علائم اختلال عاطفی فصلی (SAD) را مدیریت و کاهش دهم و فصول در حال تغییر را در آغوش بگیرم؟</v>
      </c>
      <c r="H12912" s="1"/>
      <c r="I12912" s="1"/>
      <c r="J12912" s="1"/>
      <c r="K12912" s="1"/>
      <c r="L12912" s="1"/>
      <c r="M12912" s="1"/>
      <c r="N12912" s="1"/>
      <c r="O12912" s="1"/>
      <c r="P12912" s="1"/>
      <c r="Q12912" s="1"/>
      <c r="R12912" s="1"/>
      <c r="S12912" s="1"/>
      <c r="T12912" s="1"/>
      <c r="U12912" s="1"/>
      <c r="V12912" s="1"/>
      <c r="W12912" s="1"/>
      <c r="X12912" s="1"/>
      <c r="Y12912" s="1"/>
      <c r="Z12912" s="1"/>
      <c r="AA12912" s="1"/>
      <c r="AB12912" s="1"/>
    </row>
    <row r="12913" ht="50.25" customHeight="1">
      <c r="A12913" s="12">
        <v>12909.0</v>
      </c>
      <c r="B12913" s="13" t="s">
        <v>12428</v>
      </c>
      <c r="C12913" s="14" t="s">
        <v>12539</v>
      </c>
      <c r="D12913" s="1"/>
      <c r="E12913" s="1"/>
      <c r="F12913" s="1" t="str">
        <f>IFERROR(__xludf.DUMMYFUNCTION("GOOGLETRANSLATE(B12913, ""en"", ""fa"")
"),"سلامت روان و رفاه")</f>
        <v>سلامت روان و رفاه</v>
      </c>
      <c r="G12913" s="1" t="str">
        <f>IFERROR(__xludf.DUMMYFUNCTION("GOOGLETRANSLATE(C12913, ""en"", ""fa"")
"),"آیا می توانید تکنیک هایی را برای ایجاد انعطاف پذیری عاطفی و عقب نشینی از شکست ها توصیه کنید؟")</f>
        <v>آیا می توانید تکنیک هایی را برای ایجاد انعطاف پذیری عاطفی و عقب نشینی از شکست ها توصیه کنید؟</v>
      </c>
      <c r="H12913" s="1"/>
      <c r="I12913" s="1"/>
      <c r="J12913" s="1"/>
      <c r="K12913" s="1"/>
      <c r="L12913" s="1"/>
      <c r="M12913" s="1"/>
      <c r="N12913" s="1"/>
      <c r="O12913" s="1"/>
      <c r="P12913" s="1"/>
      <c r="Q12913" s="1"/>
      <c r="R12913" s="1"/>
      <c r="S12913" s="1"/>
      <c r="T12913" s="1"/>
      <c r="U12913" s="1"/>
      <c r="V12913" s="1"/>
      <c r="W12913" s="1"/>
      <c r="X12913" s="1"/>
      <c r="Y12913" s="1"/>
      <c r="Z12913" s="1"/>
      <c r="AA12913" s="1"/>
      <c r="AB12913" s="1"/>
    </row>
    <row r="12914" ht="50.25" customHeight="1">
      <c r="A12914" s="12">
        <v>12910.0</v>
      </c>
      <c r="B12914" s="13" t="s">
        <v>12428</v>
      </c>
      <c r="C12914" s="14" t="s">
        <v>12540</v>
      </c>
      <c r="D12914" s="1"/>
      <c r="E12914" s="1"/>
      <c r="F12914" s="1" t="str">
        <f>IFERROR(__xludf.DUMMYFUNCTION("GOOGLETRANSLATE(B12914, ""en"", ""fa"")
"),"سلامت روان و رفاه")</f>
        <v>سلامت روان و رفاه</v>
      </c>
      <c r="G12914" s="1" t="str">
        <f>IFERROR(__xludf.DUMMYFUNCTION("GOOGLETRANSLATE(C12914, ""en"", ""fa"")
"),"نکات مهم برای ارتقای تصویر مثبت بدن و به چالش کشیدن استانداردهای زیبایی اجتماعی چیست؟")</f>
        <v>نکات مهم برای ارتقای تصویر مثبت بدن و به چالش کشیدن استانداردهای زیبایی اجتماعی چیست؟</v>
      </c>
      <c r="H12914" s="1"/>
      <c r="I12914" s="1"/>
      <c r="J12914" s="1"/>
      <c r="K12914" s="1"/>
      <c r="L12914" s="1"/>
      <c r="M12914" s="1"/>
      <c r="N12914" s="1"/>
      <c r="O12914" s="1"/>
      <c r="P12914" s="1"/>
      <c r="Q12914" s="1"/>
      <c r="R12914" s="1"/>
      <c r="S12914" s="1"/>
      <c r="T12914" s="1"/>
      <c r="U12914" s="1"/>
      <c r="V12914" s="1"/>
      <c r="W12914" s="1"/>
      <c r="X12914" s="1"/>
      <c r="Y12914" s="1"/>
      <c r="Z12914" s="1"/>
      <c r="AA12914" s="1"/>
      <c r="AB12914" s="1"/>
    </row>
    <row r="12915" ht="50.25" customHeight="1">
      <c r="A12915" s="12">
        <v>12911.0</v>
      </c>
      <c r="B12915" s="13" t="s">
        <v>12428</v>
      </c>
      <c r="C12915" s="14" t="s">
        <v>12541</v>
      </c>
      <c r="D12915" s="1"/>
      <c r="E12915" s="1"/>
      <c r="F12915" s="1" t="str">
        <f>IFERROR(__xludf.DUMMYFUNCTION("GOOGLETRANSLATE(B12915, ""en"", ""fa"")
"),"سلامت روان و رفاه")</f>
        <v>سلامت روان و رفاه</v>
      </c>
      <c r="G12915" s="1" t="str">
        <f>IFERROR(__xludf.DUMMYFUNCTION("GOOGLETRANSLATE(C12915, ""en"", ""fa"")
"),"چگونه می توانم بیان خلاقانه را برای بهبود سلامت ذهنی در زندگی خود بگنجانم؟")</f>
        <v>چگونه می توانم بیان خلاقانه را برای بهبود سلامت ذهنی در زندگی خود بگنجانم؟</v>
      </c>
      <c r="H12915" s="1"/>
      <c r="I12915" s="1"/>
      <c r="J12915" s="1"/>
      <c r="K12915" s="1"/>
      <c r="L12915" s="1"/>
      <c r="M12915" s="1"/>
      <c r="N12915" s="1"/>
      <c r="O12915" s="1"/>
      <c r="P12915" s="1"/>
      <c r="Q12915" s="1"/>
      <c r="R12915" s="1"/>
      <c r="S12915" s="1"/>
      <c r="T12915" s="1"/>
      <c r="U12915" s="1"/>
      <c r="V12915" s="1"/>
      <c r="W12915" s="1"/>
      <c r="X12915" s="1"/>
      <c r="Y12915" s="1"/>
      <c r="Z12915" s="1"/>
      <c r="AA12915" s="1"/>
      <c r="AB12915" s="1"/>
    </row>
    <row r="12916" ht="50.25" customHeight="1">
      <c r="A12916" s="12">
        <v>12912.0</v>
      </c>
      <c r="B12916" s="13" t="s">
        <v>12428</v>
      </c>
      <c r="C12916" s="14" t="s">
        <v>12542</v>
      </c>
      <c r="D12916" s="1"/>
      <c r="E12916" s="1"/>
      <c r="F12916" s="1" t="str">
        <f>IFERROR(__xludf.DUMMYFUNCTION("GOOGLETRANSLATE(B12916, ""en"", ""fa"")
"),"سلامت روان و رفاه")</f>
        <v>سلامت روان و رفاه</v>
      </c>
      <c r="G12916" s="1" t="str">
        <f>IFERROR(__xludf.DUMMYFUNCTION("GOOGLETRANSLATE(C12916, ""en"", ""fa"")
"),"بهترین راهبردها برای مدیریت و کاهش علائم اضطراب ناشی از رسانه های اجتماعی چیست؟")</f>
        <v>بهترین راهبردها برای مدیریت و کاهش علائم اضطراب ناشی از رسانه های اجتماعی چیست؟</v>
      </c>
      <c r="H12916" s="1"/>
      <c r="I12916" s="1"/>
      <c r="J12916" s="1"/>
      <c r="K12916" s="1"/>
      <c r="L12916" s="1"/>
      <c r="M12916" s="1"/>
      <c r="N12916" s="1"/>
      <c r="O12916" s="1"/>
      <c r="P12916" s="1"/>
      <c r="Q12916" s="1"/>
      <c r="R12916" s="1"/>
      <c r="S12916" s="1"/>
      <c r="T12916" s="1"/>
      <c r="U12916" s="1"/>
      <c r="V12916" s="1"/>
      <c r="W12916" s="1"/>
      <c r="X12916" s="1"/>
      <c r="Y12916" s="1"/>
      <c r="Z12916" s="1"/>
      <c r="AA12916" s="1"/>
      <c r="AB12916" s="1"/>
    </row>
    <row r="12917" ht="50.25" customHeight="1">
      <c r="A12917" s="12">
        <v>12913.0</v>
      </c>
      <c r="B12917" s="13" t="s">
        <v>12428</v>
      </c>
      <c r="C12917" s="14" t="s">
        <v>12543</v>
      </c>
      <c r="D12917" s="1"/>
      <c r="E12917" s="1"/>
      <c r="F12917" s="1" t="str">
        <f>IFERROR(__xludf.DUMMYFUNCTION("GOOGLETRANSLATE(B12917, ""en"", ""fa"")
"),"سلامت روان و رفاه")</f>
        <v>سلامت روان و رفاه</v>
      </c>
      <c r="G12917" s="1" t="str">
        <f>IFERROR(__xludf.DUMMYFUNCTION("GOOGLETRANSLATE(C12917, ""en"", ""fa"")
"),"چگونه می توانم برای سلامت روانی بهتر یک خودگویی سالم و حمایتی ایجاد و حفظ کنم؟")</f>
        <v>چگونه می توانم برای سلامت روانی بهتر یک خودگویی سالم و حمایتی ایجاد و حفظ کنم؟</v>
      </c>
      <c r="H12917" s="1"/>
      <c r="I12917" s="1"/>
      <c r="J12917" s="1"/>
      <c r="K12917" s="1"/>
      <c r="L12917" s="1"/>
      <c r="M12917" s="1"/>
      <c r="N12917" s="1"/>
      <c r="O12917" s="1"/>
      <c r="P12917" s="1"/>
      <c r="Q12917" s="1"/>
      <c r="R12917" s="1"/>
      <c r="S12917" s="1"/>
      <c r="T12917" s="1"/>
      <c r="U12917" s="1"/>
      <c r="V12917" s="1"/>
      <c r="W12917" s="1"/>
      <c r="X12917" s="1"/>
      <c r="Y12917" s="1"/>
      <c r="Z12917" s="1"/>
      <c r="AA12917" s="1"/>
      <c r="AB12917" s="1"/>
    </row>
    <row r="12918" ht="50.25" customHeight="1">
      <c r="A12918" s="12">
        <v>12914.0</v>
      </c>
      <c r="B12918" s="13" t="s">
        <v>12428</v>
      </c>
      <c r="C12918" s="14" t="s">
        <v>12544</v>
      </c>
      <c r="D12918" s="1"/>
      <c r="E12918" s="1"/>
      <c r="F12918" s="1" t="str">
        <f>IFERROR(__xludf.DUMMYFUNCTION("GOOGLETRANSLATE(B12918, ""en"", ""fa"")
"),"سلامت روان و رفاه")</f>
        <v>سلامت روان و رفاه</v>
      </c>
      <c r="G12918" s="1" t="str">
        <f>IFERROR(__xludf.DUMMYFUNCTION("GOOGLETRANSLATE(C12918, ""en"", ""fa"")
"),"آیا می‌توانید منابعی را برای یادگیری تکنیک‌های مختلف رهایی عاطفی و بهبودی پیشنهاد دهید؟")</f>
        <v>آیا می‌توانید منابعی را برای یادگیری تکنیک‌های مختلف رهایی عاطفی و بهبودی پیشنهاد دهید؟</v>
      </c>
      <c r="H12918" s="1"/>
      <c r="I12918" s="1"/>
      <c r="J12918" s="1"/>
      <c r="K12918" s="1"/>
      <c r="L12918" s="1"/>
      <c r="M12918" s="1"/>
      <c r="N12918" s="1"/>
      <c r="O12918" s="1"/>
      <c r="P12918" s="1"/>
      <c r="Q12918" s="1"/>
      <c r="R12918" s="1"/>
      <c r="S12918" s="1"/>
      <c r="T12918" s="1"/>
      <c r="U12918" s="1"/>
      <c r="V12918" s="1"/>
      <c r="W12918" s="1"/>
      <c r="X12918" s="1"/>
      <c r="Y12918" s="1"/>
      <c r="Z12918" s="1"/>
      <c r="AA12918" s="1"/>
      <c r="AB12918" s="1"/>
    </row>
    <row r="12919" ht="50.25" customHeight="1">
      <c r="A12919" s="12">
        <v>12915.0</v>
      </c>
      <c r="B12919" s="13" t="s">
        <v>12428</v>
      </c>
      <c r="C12919" s="14" t="s">
        <v>12545</v>
      </c>
      <c r="D12919" s="1"/>
      <c r="E12919" s="1"/>
      <c r="F12919" s="1" t="str">
        <f>IFERROR(__xludf.DUMMYFUNCTION("GOOGLETRANSLATE(B12919, ""en"", ""fa"")
"),"سلامت روان و رفاه")</f>
        <v>سلامت روان و رفاه</v>
      </c>
      <c r="G12919" s="1" t="str">
        <f>IFERROR(__xludf.DUMMYFUNCTION("GOOGLETRANSLATE(C12919, ""en"", ""fa"")
"),"نکات مهم برای ایجاد و حفظ دوستی های سالم و مثبت چیست؟")</f>
        <v>نکات مهم برای ایجاد و حفظ دوستی های سالم و مثبت چیست؟</v>
      </c>
      <c r="H12919" s="1"/>
      <c r="I12919" s="1"/>
      <c r="J12919" s="1"/>
      <c r="K12919" s="1"/>
      <c r="L12919" s="1"/>
      <c r="M12919" s="1"/>
      <c r="N12919" s="1"/>
      <c r="O12919" s="1"/>
      <c r="P12919" s="1"/>
      <c r="Q12919" s="1"/>
      <c r="R12919" s="1"/>
      <c r="S12919" s="1"/>
      <c r="T12919" s="1"/>
      <c r="U12919" s="1"/>
      <c r="V12919" s="1"/>
      <c r="W12919" s="1"/>
      <c r="X12919" s="1"/>
      <c r="Y12919" s="1"/>
      <c r="Z12919" s="1"/>
      <c r="AA12919" s="1"/>
      <c r="AB12919" s="1"/>
    </row>
    <row r="12920" ht="50.25" customHeight="1">
      <c r="A12920" s="12">
        <v>12916.0</v>
      </c>
      <c r="B12920" s="13" t="s">
        <v>12428</v>
      </c>
      <c r="C12920" s="14" t="s">
        <v>12546</v>
      </c>
      <c r="D12920" s="1"/>
      <c r="E12920" s="1"/>
      <c r="F12920" s="1" t="str">
        <f>IFERROR(__xludf.DUMMYFUNCTION("GOOGLETRANSLATE(B12920, ""en"", ""fa"")
"),"سلامت روان و رفاه")</f>
        <v>سلامت روان و رفاه</v>
      </c>
      <c r="G12920" s="1" t="str">
        <f>IFERROR(__xludf.DUMMYFUNCTION("GOOGLETRANSLATE(C12920, ""en"", ""fa"")
"),"چگونه می توانم ذهن آگاهی را در عادات غذایی خود تمرین کنم و رابطه سالم با غذا را تقویت کنم؟")</f>
        <v>چگونه می توانم ذهن آگاهی را در عادات غذایی خود تمرین کنم و رابطه سالم با غذا را تقویت کنم؟</v>
      </c>
      <c r="H12920" s="1"/>
      <c r="I12920" s="1"/>
      <c r="J12920" s="1"/>
      <c r="K12920" s="1"/>
      <c r="L12920" s="1"/>
      <c r="M12920" s="1"/>
      <c r="N12920" s="1"/>
      <c r="O12920" s="1"/>
      <c r="P12920" s="1"/>
      <c r="Q12920" s="1"/>
      <c r="R12920" s="1"/>
      <c r="S12920" s="1"/>
      <c r="T12920" s="1"/>
      <c r="U12920" s="1"/>
      <c r="V12920" s="1"/>
      <c r="W12920" s="1"/>
      <c r="X12920" s="1"/>
      <c r="Y12920" s="1"/>
      <c r="Z12920" s="1"/>
      <c r="AA12920" s="1"/>
      <c r="AB12920" s="1"/>
    </row>
    <row r="12921" ht="50.25" customHeight="1">
      <c r="A12921" s="12">
        <v>12917.0</v>
      </c>
      <c r="B12921" s="13" t="s">
        <v>12428</v>
      </c>
      <c r="C12921" s="14" t="s">
        <v>12547</v>
      </c>
      <c r="D12921" s="1"/>
      <c r="E12921" s="1"/>
      <c r="F12921" s="1" t="str">
        <f>IFERROR(__xludf.DUMMYFUNCTION("GOOGLETRANSLATE(B12921, ""en"", ""fa"")
"),"سلامت روان و رفاه")</f>
        <v>سلامت روان و رفاه</v>
      </c>
      <c r="G12921" s="1" t="str">
        <f>IFERROR(__xludf.DUMMYFUNCTION("GOOGLETRANSLATE(C12921, ""en"", ""fa"")
"),"بهترین تکنیک ها برای مدیریت و کاهش علائم بدشکلی بدن چیست؟")</f>
        <v>بهترین تکنیک ها برای مدیریت و کاهش علائم بدشکلی بدن چیست؟</v>
      </c>
      <c r="H12921" s="1"/>
      <c r="I12921" s="1"/>
      <c r="J12921" s="1"/>
      <c r="K12921" s="1"/>
      <c r="L12921" s="1"/>
      <c r="M12921" s="1"/>
      <c r="N12921" s="1"/>
      <c r="O12921" s="1"/>
      <c r="P12921" s="1"/>
      <c r="Q12921" s="1"/>
      <c r="R12921" s="1"/>
      <c r="S12921" s="1"/>
      <c r="T12921" s="1"/>
      <c r="U12921" s="1"/>
      <c r="V12921" s="1"/>
      <c r="W12921" s="1"/>
      <c r="X12921" s="1"/>
      <c r="Y12921" s="1"/>
      <c r="Z12921" s="1"/>
      <c r="AA12921" s="1"/>
      <c r="AB12921" s="1"/>
    </row>
    <row r="12922" ht="50.25" customHeight="1">
      <c r="A12922" s="12">
        <v>12918.0</v>
      </c>
      <c r="B12922" s="13" t="s">
        <v>12428</v>
      </c>
      <c r="C12922" s="14" t="s">
        <v>12548</v>
      </c>
      <c r="D12922" s="1"/>
      <c r="E12922" s="1"/>
      <c r="F12922" s="1" t="str">
        <f>IFERROR(__xludf.DUMMYFUNCTION("GOOGLETRANSLATE(B12922, ""en"", ""fa"")
"),"سلامت روان و رفاه")</f>
        <v>سلامت روان و رفاه</v>
      </c>
      <c r="G12922" s="1" t="str">
        <f>IFERROR(__xludf.DUMMYFUNCTION("GOOGLETRANSLATE(C12922, ""en"", ""fa"")
"),"چگونه می توانم بر احساسات سندرم فریبکار غلبه کنم و دستاوردهای خود را تصدیق کنم؟")</f>
        <v>چگونه می توانم بر احساسات سندرم فریبکار غلبه کنم و دستاوردهای خود را تصدیق کنم؟</v>
      </c>
      <c r="H12922" s="1"/>
      <c r="I12922" s="1"/>
      <c r="J12922" s="1"/>
      <c r="K12922" s="1"/>
      <c r="L12922" s="1"/>
      <c r="M12922" s="1"/>
      <c r="N12922" s="1"/>
      <c r="O12922" s="1"/>
      <c r="P12922" s="1"/>
      <c r="Q12922" s="1"/>
      <c r="R12922" s="1"/>
      <c r="S12922" s="1"/>
      <c r="T12922" s="1"/>
      <c r="U12922" s="1"/>
      <c r="V12922" s="1"/>
      <c r="W12922" s="1"/>
      <c r="X12922" s="1"/>
      <c r="Y12922" s="1"/>
      <c r="Z12922" s="1"/>
      <c r="AA12922" s="1"/>
      <c r="AB12922" s="1"/>
    </row>
    <row r="12923" ht="50.25" customHeight="1">
      <c r="A12923" s="12">
        <v>12919.0</v>
      </c>
      <c r="B12923" s="13" t="s">
        <v>12428</v>
      </c>
      <c r="C12923" s="14" t="s">
        <v>12549</v>
      </c>
      <c r="D12923" s="1"/>
      <c r="E12923" s="1"/>
      <c r="F12923" s="1" t="str">
        <f>IFERROR(__xludf.DUMMYFUNCTION("GOOGLETRANSLATE(B12923, ""en"", ""fa"")
"),"سلامت روان و رفاه")</f>
        <v>سلامت روان و رفاه</v>
      </c>
      <c r="G12923" s="1" t="str">
        <f>IFERROR(__xludf.DUMMYFUNCTION("GOOGLETRANSLATE(C12923, ""en"", ""fa"")
"),"آیا می توانید فعالیت هایی را برای ترویج آرامش و کاهش استرس در یک سبک زندگی پرمشغله توصیه کنید؟")</f>
        <v>آیا می توانید فعالیت هایی را برای ترویج آرامش و کاهش استرس در یک سبک زندگی پرمشغله توصیه کنید؟</v>
      </c>
      <c r="H12923" s="1"/>
      <c r="I12923" s="1"/>
      <c r="J12923" s="1"/>
      <c r="K12923" s="1"/>
      <c r="L12923" s="1"/>
      <c r="M12923" s="1"/>
      <c r="N12923" s="1"/>
      <c r="O12923" s="1"/>
      <c r="P12923" s="1"/>
      <c r="Q12923" s="1"/>
      <c r="R12923" s="1"/>
      <c r="S12923" s="1"/>
      <c r="T12923" s="1"/>
      <c r="U12923" s="1"/>
      <c r="V12923" s="1"/>
      <c r="W12923" s="1"/>
      <c r="X12923" s="1"/>
      <c r="Y12923" s="1"/>
      <c r="Z12923" s="1"/>
      <c r="AA12923" s="1"/>
      <c r="AB12923" s="1"/>
    </row>
    <row r="12924" ht="50.25" customHeight="1">
      <c r="A12924" s="12">
        <v>12920.0</v>
      </c>
      <c r="B12924" s="13" t="s">
        <v>12428</v>
      </c>
      <c r="C12924" s="14" t="s">
        <v>12550</v>
      </c>
      <c r="D12924" s="1"/>
      <c r="E12924" s="1"/>
      <c r="F12924" s="1" t="str">
        <f>IFERROR(__xludf.DUMMYFUNCTION("GOOGLETRANSLATE(B12924, ""en"", ""fa"")
"),"سلامت روان و رفاه")</f>
        <v>سلامت روان و رفاه</v>
      </c>
      <c r="G12924" s="1" t="str">
        <f>IFERROR(__xludf.DUMMYFUNCTION("GOOGLETRANSLATE(C12924, ""en"", ""fa"")
"),"راهبردهای برتر برای مدیریت و کاهش علائم اختلال پانیک چیست؟")</f>
        <v>راهبردهای برتر برای مدیریت و کاهش علائم اختلال پانیک چیست؟</v>
      </c>
      <c r="H12924" s="1"/>
      <c r="I12924" s="1"/>
      <c r="J12924" s="1"/>
      <c r="K12924" s="1"/>
      <c r="L12924" s="1"/>
      <c r="M12924" s="1"/>
      <c r="N12924" s="1"/>
      <c r="O12924" s="1"/>
      <c r="P12924" s="1"/>
      <c r="Q12924" s="1"/>
      <c r="R12924" s="1"/>
      <c r="S12924" s="1"/>
      <c r="T12924" s="1"/>
      <c r="U12924" s="1"/>
      <c r="V12924" s="1"/>
      <c r="W12924" s="1"/>
      <c r="X12924" s="1"/>
      <c r="Y12924" s="1"/>
      <c r="Z12924" s="1"/>
      <c r="AA12924" s="1"/>
      <c r="AB12924" s="1"/>
    </row>
    <row r="12925" ht="50.25" customHeight="1">
      <c r="A12925" s="12">
        <v>12921.0</v>
      </c>
      <c r="B12925" s="13" t="s">
        <v>12428</v>
      </c>
      <c r="C12925" s="14" t="s">
        <v>12551</v>
      </c>
      <c r="D12925" s="1"/>
      <c r="E12925" s="1"/>
      <c r="F12925" s="1" t="str">
        <f>IFERROR(__xludf.DUMMYFUNCTION("GOOGLETRANSLATE(B12925, ""en"", ""fa"")
"),"سلامت روان و رفاه")</f>
        <v>سلامت روان و رفاه</v>
      </c>
      <c r="G12925" s="1" t="str">
        <f>IFERROR(__xludf.DUMMYFUNCTION("GOOGLETRANSLATE(C12925, ""en"", ""fa"")
"),"چگونه می توانم قدردانی را پرورش دهم و آن را در زندگی روزمره خود برای داشتن یک ذهنیت مثبت بگنجانم؟")</f>
        <v>چگونه می توانم قدردانی را پرورش دهم و آن را در زندگی روزمره خود برای داشتن یک ذهنیت مثبت بگنجانم؟</v>
      </c>
      <c r="H12925" s="1"/>
      <c r="I12925" s="1"/>
      <c r="J12925" s="1"/>
      <c r="K12925" s="1"/>
      <c r="L12925" s="1"/>
      <c r="M12925" s="1"/>
      <c r="N12925" s="1"/>
      <c r="O12925" s="1"/>
      <c r="P12925" s="1"/>
      <c r="Q12925" s="1"/>
      <c r="R12925" s="1"/>
      <c r="S12925" s="1"/>
      <c r="T12925" s="1"/>
      <c r="U12925" s="1"/>
      <c r="V12925" s="1"/>
      <c r="W12925" s="1"/>
      <c r="X12925" s="1"/>
      <c r="Y12925" s="1"/>
      <c r="Z12925" s="1"/>
      <c r="AA12925" s="1"/>
      <c r="AB12925" s="1"/>
    </row>
    <row r="12926" ht="50.25" customHeight="1">
      <c r="A12926" s="12">
        <v>12922.0</v>
      </c>
      <c r="B12926" s="13" t="s">
        <v>12428</v>
      </c>
      <c r="C12926" s="14" t="s">
        <v>12552</v>
      </c>
      <c r="D12926" s="1"/>
      <c r="E12926" s="1"/>
      <c r="F12926" s="1" t="str">
        <f>IFERROR(__xludf.DUMMYFUNCTION("GOOGLETRANSLATE(B12926, ""en"", ""fa"")
"),"سلامت روان و رفاه")</f>
        <v>سلامت روان و رفاه</v>
      </c>
      <c r="G12926" s="1" t="str">
        <f>IFERROR(__xludf.DUMMYFUNCTION("GOOGLETRANSLATE(C12926, ""en"", ""fa"")
"),"بهترین منابع برای یادگیری تمرینات تنفسی مختلف برای آرامش و کاهش اضطراب چیست؟")</f>
        <v>بهترین منابع برای یادگیری تمرینات تنفسی مختلف برای آرامش و کاهش اضطراب چیست؟</v>
      </c>
      <c r="H12926" s="1"/>
      <c r="I12926" s="1"/>
      <c r="J12926" s="1"/>
      <c r="K12926" s="1"/>
      <c r="L12926" s="1"/>
      <c r="M12926" s="1"/>
      <c r="N12926" s="1"/>
      <c r="O12926" s="1"/>
      <c r="P12926" s="1"/>
      <c r="Q12926" s="1"/>
      <c r="R12926" s="1"/>
      <c r="S12926" s="1"/>
      <c r="T12926" s="1"/>
      <c r="U12926" s="1"/>
      <c r="V12926" s="1"/>
      <c r="W12926" s="1"/>
      <c r="X12926" s="1"/>
      <c r="Y12926" s="1"/>
      <c r="Z12926" s="1"/>
      <c r="AA12926" s="1"/>
      <c r="AB12926" s="1"/>
    </row>
    <row r="12927" ht="50.25" customHeight="1">
      <c r="A12927" s="12">
        <v>12923.0</v>
      </c>
      <c r="B12927" s="13" t="s">
        <v>12428</v>
      </c>
      <c r="C12927" s="14" t="s">
        <v>12553</v>
      </c>
      <c r="D12927" s="1"/>
      <c r="E12927" s="1"/>
      <c r="F12927" s="1" t="str">
        <f>IFERROR(__xludf.DUMMYFUNCTION("GOOGLETRANSLATE(B12927, ""en"", ""fa"")
"),"سلامت روان و رفاه")</f>
        <v>سلامت روان و رفاه</v>
      </c>
      <c r="G12927" s="1" t="str">
        <f>IFERROR(__xludf.DUMMYFUNCTION("GOOGLETRANSLATE(C12927, ""en"", ""fa"")
"),"چگونه می توانم تعادل سالم کار و زندگی را برای رفاه ذهنی و عاطفی بهتر ایجاد و حفظ کنم؟")</f>
        <v>چگونه می توانم تعادل سالم کار و زندگی را برای رفاه ذهنی و عاطفی بهتر ایجاد و حفظ کنم؟</v>
      </c>
      <c r="H12927" s="1"/>
      <c r="I12927" s="1"/>
      <c r="J12927" s="1"/>
      <c r="K12927" s="1"/>
      <c r="L12927" s="1"/>
      <c r="M12927" s="1"/>
      <c r="N12927" s="1"/>
      <c r="O12927" s="1"/>
      <c r="P12927" s="1"/>
      <c r="Q12927" s="1"/>
      <c r="R12927" s="1"/>
      <c r="S12927" s="1"/>
      <c r="T12927" s="1"/>
      <c r="U12927" s="1"/>
      <c r="V12927" s="1"/>
      <c r="W12927" s="1"/>
      <c r="X12927" s="1"/>
      <c r="Y12927" s="1"/>
      <c r="Z12927" s="1"/>
      <c r="AA12927" s="1"/>
      <c r="AB12927" s="1"/>
    </row>
    <row r="12928" ht="50.25" customHeight="1">
      <c r="A12928" s="12">
        <v>12924.0</v>
      </c>
      <c r="B12928" s="13" t="s">
        <v>12428</v>
      </c>
      <c r="C12928" s="14" t="s">
        <v>12554</v>
      </c>
      <c r="D12928" s="1"/>
      <c r="E12928" s="1"/>
      <c r="F12928" s="1" t="str">
        <f>IFERROR(__xludf.DUMMYFUNCTION("GOOGLETRANSLATE(B12928, ""en"", ""fa"")
"),"سلامت روان و رفاه")</f>
        <v>سلامت روان و رفاه</v>
      </c>
      <c r="G12928" s="1" t="str">
        <f>IFERROR(__xludf.DUMMYFUNCTION("GOOGLETRANSLATE(C12928, ""en"", ""fa"")
"),"آیا می توانید تکنیک هایی را برای مدیریت و کاهش علائم اختلال شخصیت مرزی (BPD) پیشنهاد کنید؟")</f>
        <v>آیا می توانید تکنیک هایی را برای مدیریت و کاهش علائم اختلال شخصیت مرزی (BPD) پیشنهاد کنید؟</v>
      </c>
      <c r="H12928" s="1"/>
      <c r="I12928" s="1"/>
      <c r="J12928" s="1"/>
      <c r="K12928" s="1"/>
      <c r="L12928" s="1"/>
      <c r="M12928" s="1"/>
      <c r="N12928" s="1"/>
      <c r="O12928" s="1"/>
      <c r="P12928" s="1"/>
      <c r="Q12928" s="1"/>
      <c r="R12928" s="1"/>
      <c r="S12928" s="1"/>
      <c r="T12928" s="1"/>
      <c r="U12928" s="1"/>
      <c r="V12928" s="1"/>
      <c r="W12928" s="1"/>
      <c r="X12928" s="1"/>
      <c r="Y12928" s="1"/>
      <c r="Z12928" s="1"/>
      <c r="AA12928" s="1"/>
      <c r="AB12928" s="1"/>
    </row>
    <row r="12929" ht="50.25" customHeight="1">
      <c r="A12929" s="12">
        <v>12925.0</v>
      </c>
      <c r="B12929" s="13" t="s">
        <v>12428</v>
      </c>
      <c r="C12929" s="14" t="s">
        <v>12555</v>
      </c>
      <c r="D12929" s="1"/>
      <c r="E12929" s="1"/>
      <c r="F12929" s="1" t="str">
        <f>IFERROR(__xludf.DUMMYFUNCTION("GOOGLETRANSLATE(B12929, ""en"", ""fa"")
"),"سلامت روان و رفاه")</f>
        <v>سلامت روان و رفاه</v>
      </c>
      <c r="G12929" s="1" t="str">
        <f>IFERROR(__xludf.DUMMYFUNCTION("GOOGLETRANSLATE(C12929, ""en"", ""fa"")
"),"نکات مهم برای تقویت حس تعلق و ارتباط در جامعه من چیست؟")</f>
        <v>نکات مهم برای تقویت حس تعلق و ارتباط در جامعه من چیست؟</v>
      </c>
      <c r="H12929" s="1"/>
      <c r="I12929" s="1"/>
      <c r="J12929" s="1"/>
      <c r="K12929" s="1"/>
      <c r="L12929" s="1"/>
      <c r="M12929" s="1"/>
      <c r="N12929" s="1"/>
      <c r="O12929" s="1"/>
      <c r="P12929" s="1"/>
      <c r="Q12929" s="1"/>
      <c r="R12929" s="1"/>
      <c r="S12929" s="1"/>
      <c r="T12929" s="1"/>
      <c r="U12929" s="1"/>
      <c r="V12929" s="1"/>
      <c r="W12929" s="1"/>
      <c r="X12929" s="1"/>
      <c r="Y12929" s="1"/>
      <c r="Z12929" s="1"/>
      <c r="AA12929" s="1"/>
      <c r="AB12929" s="1"/>
    </row>
    <row r="12930" ht="50.25" customHeight="1">
      <c r="A12930" s="12">
        <v>12926.0</v>
      </c>
      <c r="B12930" s="13" t="s">
        <v>12428</v>
      </c>
      <c r="C12930" s="14" t="s">
        <v>12556</v>
      </c>
      <c r="D12930" s="1"/>
      <c r="E12930" s="1"/>
      <c r="F12930" s="1" t="str">
        <f>IFERROR(__xludf.DUMMYFUNCTION("GOOGLETRANSLATE(B12930, ""en"", ""fa"")
"),"سلامت روان و رفاه")</f>
        <v>سلامت روان و رفاه</v>
      </c>
      <c r="G12930" s="1" t="str">
        <f>IFERROR(__xludf.DUMMYFUNCTION("GOOGLETRANSLATE(C12930, ""en"", ""fa"")
"),"چگونه می توانم ذهن آگاهی را در ساعات کاری تمرین کنم تا تمرکز و بهره وری را افزایش دهم؟")</f>
        <v>چگونه می توانم ذهن آگاهی را در ساعات کاری تمرین کنم تا تمرکز و بهره وری را افزایش دهم؟</v>
      </c>
      <c r="H12930" s="1"/>
      <c r="I12930" s="1"/>
      <c r="J12930" s="1"/>
      <c r="K12930" s="1"/>
      <c r="L12930" s="1"/>
      <c r="M12930" s="1"/>
      <c r="N12930" s="1"/>
      <c r="O12930" s="1"/>
      <c r="P12930" s="1"/>
      <c r="Q12930" s="1"/>
      <c r="R12930" s="1"/>
      <c r="S12930" s="1"/>
      <c r="T12930" s="1"/>
      <c r="U12930" s="1"/>
      <c r="V12930" s="1"/>
      <c r="W12930" s="1"/>
      <c r="X12930" s="1"/>
      <c r="Y12930" s="1"/>
      <c r="Z12930" s="1"/>
      <c r="AA12930" s="1"/>
      <c r="AB12930" s="1"/>
    </row>
    <row r="12931" ht="50.25" customHeight="1">
      <c r="A12931" s="12">
        <v>12927.0</v>
      </c>
      <c r="B12931" s="13" t="s">
        <v>12428</v>
      </c>
      <c r="C12931" s="14" t="s">
        <v>12557</v>
      </c>
      <c r="D12931" s="1"/>
      <c r="E12931" s="1"/>
      <c r="F12931" s="1" t="str">
        <f>IFERROR(__xludf.DUMMYFUNCTION("GOOGLETRANSLATE(B12931, ""en"", ""fa"")
"),"سلامت روان و رفاه")</f>
        <v>سلامت روان و رفاه</v>
      </c>
      <c r="G12931" s="1" t="str">
        <f>IFERROR(__xludf.DUMMYFUNCTION("GOOGLETRANSLATE(C12931, ""en"", ""fa"")
"),"بهترین راهبردها برای مدیریت و کاهش علائم اختلال استرس پس از سانحه (PTSD) چیست؟")</f>
        <v>بهترین راهبردها برای مدیریت و کاهش علائم اختلال استرس پس از سانحه (PTSD) چیست؟</v>
      </c>
      <c r="H12931" s="1"/>
      <c r="I12931" s="1"/>
      <c r="J12931" s="1"/>
      <c r="K12931" s="1"/>
      <c r="L12931" s="1"/>
      <c r="M12931" s="1"/>
      <c r="N12931" s="1"/>
      <c r="O12931" s="1"/>
      <c r="P12931" s="1"/>
      <c r="Q12931" s="1"/>
      <c r="R12931" s="1"/>
      <c r="S12931" s="1"/>
      <c r="T12931" s="1"/>
      <c r="U12931" s="1"/>
      <c r="V12931" s="1"/>
      <c r="W12931" s="1"/>
      <c r="X12931" s="1"/>
      <c r="Y12931" s="1"/>
      <c r="Z12931" s="1"/>
      <c r="AA12931" s="1"/>
      <c r="AB12931" s="1"/>
    </row>
    <row r="12932" ht="50.25" customHeight="1">
      <c r="A12932" s="12">
        <v>12928.0</v>
      </c>
      <c r="B12932" s="13" t="s">
        <v>12428</v>
      </c>
      <c r="C12932" s="14" t="s">
        <v>12558</v>
      </c>
      <c r="D12932" s="1"/>
      <c r="E12932" s="1"/>
      <c r="F12932" s="1" t="str">
        <f>IFERROR(__xludf.DUMMYFUNCTION("GOOGLETRANSLATE(B12932, ""en"", ""fa"")
"),"سلامت روان و رفاه")</f>
        <v>سلامت روان و رفاه</v>
      </c>
      <c r="G12932" s="1" t="str">
        <f>IFERROR(__xludf.DUMMYFUNCTION("GOOGLETRANSLATE(C12932, ""en"", ""fa"")
"),"چگونه می توانم یک روال شبانه ایجاد کنم که باعث آرامش و کیفیت خواب بهتر شود؟")</f>
        <v>چگونه می توانم یک روال شبانه ایجاد کنم که باعث آرامش و کیفیت خواب بهتر شود؟</v>
      </c>
      <c r="H12932" s="1"/>
      <c r="I12932" s="1"/>
      <c r="J12932" s="1"/>
      <c r="K12932" s="1"/>
      <c r="L12932" s="1"/>
      <c r="M12932" s="1"/>
      <c r="N12932" s="1"/>
      <c r="O12932" s="1"/>
      <c r="P12932" s="1"/>
      <c r="Q12932" s="1"/>
      <c r="R12932" s="1"/>
      <c r="S12932" s="1"/>
      <c r="T12932" s="1"/>
      <c r="U12932" s="1"/>
      <c r="V12932" s="1"/>
      <c r="W12932" s="1"/>
      <c r="X12932" s="1"/>
      <c r="Y12932" s="1"/>
      <c r="Z12932" s="1"/>
      <c r="AA12932" s="1"/>
      <c r="AB12932" s="1"/>
    </row>
    <row r="12933" ht="50.25" customHeight="1">
      <c r="A12933" s="12">
        <v>12929.0</v>
      </c>
      <c r="B12933" s="13" t="s">
        <v>12428</v>
      </c>
      <c r="C12933" s="14" t="s">
        <v>12559</v>
      </c>
      <c r="D12933" s="1"/>
      <c r="E12933" s="1"/>
      <c r="F12933" s="1" t="str">
        <f>IFERROR(__xludf.DUMMYFUNCTION("GOOGLETRANSLATE(B12933, ""en"", ""fa"")
"),"سلامت روان و رفاه")</f>
        <v>سلامت روان و رفاه</v>
      </c>
      <c r="G12933" s="1" t="str">
        <f>IFERROR(__xludf.DUMMYFUNCTION("GOOGLETRANSLATE(C12933, ""en"", ""fa"")
"),"آیا می توانید فعالیت هایی را برای کشف خلاقیت و ابراز وجود در اوقات فراغت من توصیه کنید؟")</f>
        <v>آیا می توانید فعالیت هایی را برای کشف خلاقیت و ابراز وجود در اوقات فراغت من توصیه کنید؟</v>
      </c>
      <c r="H12933" s="1"/>
      <c r="I12933" s="1"/>
      <c r="J12933" s="1"/>
      <c r="K12933" s="1"/>
      <c r="L12933" s="1"/>
      <c r="M12933" s="1"/>
      <c r="N12933" s="1"/>
      <c r="O12933" s="1"/>
      <c r="P12933" s="1"/>
      <c r="Q12933" s="1"/>
      <c r="R12933" s="1"/>
      <c r="S12933" s="1"/>
      <c r="T12933" s="1"/>
      <c r="U12933" s="1"/>
      <c r="V12933" s="1"/>
      <c r="W12933" s="1"/>
      <c r="X12933" s="1"/>
      <c r="Y12933" s="1"/>
      <c r="Z12933" s="1"/>
      <c r="AA12933" s="1"/>
      <c r="AB12933" s="1"/>
    </row>
    <row r="12934" ht="50.25" customHeight="1">
      <c r="A12934" s="12">
        <v>12930.0</v>
      </c>
      <c r="B12934" s="13" t="s">
        <v>12428</v>
      </c>
      <c r="C12934" s="14" t="s">
        <v>12560</v>
      </c>
      <c r="D12934" s="1"/>
      <c r="E12934" s="1"/>
      <c r="F12934" s="1" t="str">
        <f>IFERROR(__xludf.DUMMYFUNCTION("GOOGLETRANSLATE(B12934, ""en"", ""fa"")
"),"سلامت روان و رفاه")</f>
        <v>سلامت روان و رفاه</v>
      </c>
      <c r="G12934" s="1" t="str">
        <f>IFERROR(__xludf.DUMMYFUNCTION("GOOGLETRANSLATE(C12934, ""en"", ""fa"")
"),"نکات مهم برای ایجاد و حفظ روابط عاشقانه سالم و کامل چیست؟")</f>
        <v>نکات مهم برای ایجاد و حفظ روابط عاشقانه سالم و کامل چیست؟</v>
      </c>
      <c r="H12934" s="1"/>
      <c r="I12934" s="1"/>
      <c r="J12934" s="1"/>
      <c r="K12934" s="1"/>
      <c r="L12934" s="1"/>
      <c r="M12934" s="1"/>
      <c r="N12934" s="1"/>
      <c r="O12934" s="1"/>
      <c r="P12934" s="1"/>
      <c r="Q12934" s="1"/>
      <c r="R12934" s="1"/>
      <c r="S12934" s="1"/>
      <c r="T12934" s="1"/>
      <c r="U12934" s="1"/>
      <c r="V12934" s="1"/>
      <c r="W12934" s="1"/>
      <c r="X12934" s="1"/>
      <c r="Y12934" s="1"/>
      <c r="Z12934" s="1"/>
      <c r="AA12934" s="1"/>
      <c r="AB12934" s="1"/>
    </row>
    <row r="12935" ht="50.25" customHeight="1">
      <c r="A12935" s="12">
        <v>12931.0</v>
      </c>
      <c r="B12935" s="13" t="s">
        <v>12428</v>
      </c>
      <c r="C12935" s="14" t="s">
        <v>12561</v>
      </c>
      <c r="D12935" s="1"/>
      <c r="E12935" s="1"/>
      <c r="F12935" s="1" t="str">
        <f>IFERROR(__xludf.DUMMYFUNCTION("GOOGLETRANSLATE(B12935, ""en"", ""fa"")
"),"سلامت روان و رفاه")</f>
        <v>سلامت روان و رفاه</v>
      </c>
      <c r="G12935" s="1" t="str">
        <f>IFERROR(__xludf.DUMMYFUNCTION("GOOGLETRANSLATE(C12935, ""en"", ""fa"")
"),"چگونه می توانم انعطاف پذیری را پرورش دهم و تغییرات را در زمان گذار یا عدم اطمینان بپذیرم؟")</f>
        <v>چگونه می توانم انعطاف پذیری را پرورش دهم و تغییرات را در زمان گذار یا عدم اطمینان بپذیرم؟</v>
      </c>
      <c r="H12935" s="1"/>
      <c r="I12935" s="1"/>
      <c r="J12935" s="1"/>
      <c r="K12935" s="1"/>
      <c r="L12935" s="1"/>
      <c r="M12935" s="1"/>
      <c r="N12935" s="1"/>
      <c r="O12935" s="1"/>
      <c r="P12935" s="1"/>
      <c r="Q12935" s="1"/>
      <c r="R12935" s="1"/>
      <c r="S12935" s="1"/>
      <c r="T12935" s="1"/>
      <c r="U12935" s="1"/>
      <c r="V12935" s="1"/>
      <c r="W12935" s="1"/>
      <c r="X12935" s="1"/>
      <c r="Y12935" s="1"/>
      <c r="Z12935" s="1"/>
      <c r="AA12935" s="1"/>
      <c r="AB12935" s="1"/>
    </row>
    <row r="12936" ht="50.25" customHeight="1">
      <c r="A12936" s="12">
        <v>12932.0</v>
      </c>
      <c r="B12936" s="13" t="s">
        <v>12428</v>
      </c>
      <c r="C12936" s="14" t="s">
        <v>12562</v>
      </c>
      <c r="D12936" s="1"/>
      <c r="E12936" s="1"/>
      <c r="F12936" s="1" t="str">
        <f>IFERROR(__xludf.DUMMYFUNCTION("GOOGLETRANSLATE(B12936, ""en"", ""fa"")
"),"سلامت روان و رفاه")</f>
        <v>سلامت روان و رفاه</v>
      </c>
      <c r="G12936" s="1" t="str">
        <f>IFERROR(__xludf.DUMMYFUNCTION("GOOGLETRANSLATE(C12936, ""en"", ""fa"")
"),"بهترین منابع برای یادگیری انواع کتاب های خودیاری سلامت روان چیست؟")</f>
        <v>بهترین منابع برای یادگیری انواع کتاب های خودیاری سلامت روان چیست؟</v>
      </c>
      <c r="H12936" s="1"/>
      <c r="I12936" s="1"/>
      <c r="J12936" s="1"/>
      <c r="K12936" s="1"/>
      <c r="L12936" s="1"/>
      <c r="M12936" s="1"/>
      <c r="N12936" s="1"/>
      <c r="O12936" s="1"/>
      <c r="P12936" s="1"/>
      <c r="Q12936" s="1"/>
      <c r="R12936" s="1"/>
      <c r="S12936" s="1"/>
      <c r="T12936" s="1"/>
      <c r="U12936" s="1"/>
      <c r="V12936" s="1"/>
      <c r="W12936" s="1"/>
      <c r="X12936" s="1"/>
      <c r="Y12936" s="1"/>
      <c r="Z12936" s="1"/>
      <c r="AA12936" s="1"/>
      <c r="AB12936" s="1"/>
    </row>
    <row r="12937" ht="50.25" customHeight="1">
      <c r="A12937" s="12">
        <v>12933.0</v>
      </c>
      <c r="B12937" s="13" t="s">
        <v>12428</v>
      </c>
      <c r="C12937" s="14" t="s">
        <v>12563</v>
      </c>
      <c r="D12937" s="1"/>
      <c r="E12937" s="1"/>
      <c r="F12937" s="1" t="str">
        <f>IFERROR(__xludf.DUMMYFUNCTION("GOOGLETRANSLATE(B12937, ""en"", ""fa"")
"),"سلامت روان و رفاه")</f>
        <v>سلامت روان و رفاه</v>
      </c>
      <c r="G12937" s="1" t="str">
        <f>IFERROR(__xludf.DUMMYFUNCTION("GOOGLETRANSLATE(C12937, ""en"", ""fa"")
"),"چگونه بر احساسات خشم و عصبانیت خود غلبه کنم و احساساتم را به طور سازنده مدیریت کنم؟")</f>
        <v>چگونه بر احساسات خشم و عصبانیت خود غلبه کنم و احساساتم را به طور سازنده مدیریت کنم؟</v>
      </c>
      <c r="H12937" s="1"/>
      <c r="I12937" s="1"/>
      <c r="J12937" s="1"/>
      <c r="K12937" s="1"/>
      <c r="L12937" s="1"/>
      <c r="M12937" s="1"/>
      <c r="N12937" s="1"/>
      <c r="O12937" s="1"/>
      <c r="P12937" s="1"/>
      <c r="Q12937" s="1"/>
      <c r="R12937" s="1"/>
      <c r="S12937" s="1"/>
      <c r="T12937" s="1"/>
      <c r="U12937" s="1"/>
      <c r="V12937" s="1"/>
      <c r="W12937" s="1"/>
      <c r="X12937" s="1"/>
      <c r="Y12937" s="1"/>
      <c r="Z12937" s="1"/>
      <c r="AA12937" s="1"/>
      <c r="AB12937" s="1"/>
    </row>
    <row r="12938" ht="50.25" customHeight="1">
      <c r="A12938" s="12">
        <v>12934.0</v>
      </c>
      <c r="B12938" s="13" t="s">
        <v>12428</v>
      </c>
      <c r="C12938" s="14" t="s">
        <v>12482</v>
      </c>
      <c r="D12938" s="1"/>
      <c r="E12938" s="1"/>
      <c r="F12938" s="1" t="str">
        <f>IFERROR(__xludf.DUMMYFUNCTION("GOOGLETRANSLATE(B12938, ""en"", ""fa"")
"),"سلامت روان و رفاه")</f>
        <v>سلامت روان و رفاه</v>
      </c>
      <c r="G12938" s="1" t="str">
        <f>IFERROR(__xludf.DUMMYFUNCTION("GOOGLETRANSLATE(C12938, ""en"", ""fa"")
"),"آیا می توانید تکنیک هایی برای کاهش زمان نمایشگر و ترویج سم زدایی دیجیتال برای جوان سازی ذهنی پیشنهاد دهید؟")</f>
        <v>آیا می توانید تکنیک هایی برای کاهش زمان نمایشگر و ترویج سم زدایی دیجیتال برای جوان سازی ذهنی پیشنهاد دهید؟</v>
      </c>
      <c r="H12938" s="1"/>
      <c r="I12938" s="1"/>
      <c r="J12938" s="1"/>
      <c r="K12938" s="1"/>
      <c r="L12938" s="1"/>
      <c r="M12938" s="1"/>
      <c r="N12938" s="1"/>
      <c r="O12938" s="1"/>
      <c r="P12938" s="1"/>
      <c r="Q12938" s="1"/>
      <c r="R12938" s="1"/>
      <c r="S12938" s="1"/>
      <c r="T12938" s="1"/>
      <c r="U12938" s="1"/>
      <c r="V12938" s="1"/>
      <c r="W12938" s="1"/>
      <c r="X12938" s="1"/>
      <c r="Y12938" s="1"/>
      <c r="Z12938" s="1"/>
      <c r="AA12938" s="1"/>
      <c r="AB12938" s="1"/>
    </row>
    <row r="12939" ht="50.25" customHeight="1">
      <c r="A12939" s="12">
        <v>12935.0</v>
      </c>
      <c r="B12939" s="13" t="s">
        <v>12428</v>
      </c>
      <c r="C12939" s="14" t="s">
        <v>12564</v>
      </c>
      <c r="D12939" s="1"/>
      <c r="E12939" s="1"/>
      <c r="F12939" s="1" t="str">
        <f>IFERROR(__xludf.DUMMYFUNCTION("GOOGLETRANSLATE(B12939, ""en"", ""fa"")
"),"سلامت روان و رفاه")</f>
        <v>سلامت روان و رفاه</v>
      </c>
      <c r="G12939" s="1" t="str">
        <f>IFERROR(__xludf.DUMMYFUNCTION("GOOGLETRANSLATE(C12939, ""en"", ""fa"")
"),"استراتژی های برتر برای ایجاد یک محیط کاری مثبت که سلامت روان را در اولویت قرار می دهد چیست؟")</f>
        <v>استراتژی های برتر برای ایجاد یک محیط کاری مثبت که سلامت روان را در اولویت قرار می دهد چیست؟</v>
      </c>
      <c r="H12939" s="1"/>
      <c r="I12939" s="1"/>
      <c r="J12939" s="1"/>
      <c r="K12939" s="1"/>
      <c r="L12939" s="1"/>
      <c r="M12939" s="1"/>
      <c r="N12939" s="1"/>
      <c r="O12939" s="1"/>
      <c r="P12939" s="1"/>
      <c r="Q12939" s="1"/>
      <c r="R12939" s="1"/>
      <c r="S12939" s="1"/>
      <c r="T12939" s="1"/>
      <c r="U12939" s="1"/>
      <c r="V12939" s="1"/>
      <c r="W12939" s="1"/>
      <c r="X12939" s="1"/>
      <c r="Y12939" s="1"/>
      <c r="Z12939" s="1"/>
      <c r="AA12939" s="1"/>
      <c r="AB12939" s="1"/>
    </row>
    <row r="12940" ht="50.25" customHeight="1">
      <c r="A12940" s="12">
        <v>12936.0</v>
      </c>
      <c r="B12940" s="13" t="s">
        <v>12428</v>
      </c>
      <c r="C12940" s="14" t="s">
        <v>12565</v>
      </c>
      <c r="D12940" s="1"/>
      <c r="E12940" s="1"/>
      <c r="F12940" s="1" t="str">
        <f>IFERROR(__xludf.DUMMYFUNCTION("GOOGLETRANSLATE(B12940, ""en"", ""fa"")
"),"سلامت روان و رفاه")</f>
        <v>سلامت روان و رفاه</v>
      </c>
      <c r="G12940" s="1" t="str">
        <f>IFERROR(__xludf.DUMMYFUNCTION("GOOGLETRANSLATE(C12940, ""en"", ""fa"")
"),"چگونه می توانم در مواقع سخت، شفقت به خود را تمرین کنم و به خودم محبت کنم؟")</f>
        <v>چگونه می توانم در مواقع سخت، شفقت به خود را تمرین کنم و به خودم محبت کنم؟</v>
      </c>
      <c r="H12940" s="1"/>
      <c r="I12940" s="1"/>
      <c r="J12940" s="1"/>
      <c r="K12940" s="1"/>
      <c r="L12940" s="1"/>
      <c r="M12940" s="1"/>
      <c r="N12940" s="1"/>
      <c r="O12940" s="1"/>
      <c r="P12940" s="1"/>
      <c r="Q12940" s="1"/>
      <c r="R12940" s="1"/>
      <c r="S12940" s="1"/>
      <c r="T12940" s="1"/>
      <c r="U12940" s="1"/>
      <c r="V12940" s="1"/>
      <c r="W12940" s="1"/>
      <c r="X12940" s="1"/>
      <c r="Y12940" s="1"/>
      <c r="Z12940" s="1"/>
      <c r="AA12940" s="1"/>
      <c r="AB12940" s="1"/>
    </row>
    <row r="12941" ht="50.25" customHeight="1">
      <c r="A12941" s="12">
        <v>12937.0</v>
      </c>
      <c r="B12941" s="13" t="s">
        <v>12428</v>
      </c>
      <c r="C12941" s="14" t="s">
        <v>12566</v>
      </c>
      <c r="D12941" s="1"/>
      <c r="E12941" s="1"/>
      <c r="F12941" s="1" t="str">
        <f>IFERROR(__xludf.DUMMYFUNCTION("GOOGLETRANSLATE(B12941, ""en"", ""fa"")
"),"سلامت روان و رفاه")</f>
        <v>سلامت روان و رفاه</v>
      </c>
      <c r="G12941" s="1" t="str">
        <f>IFERROR(__xludf.DUMMYFUNCTION("GOOGLETRANSLATE(C12941, ""en"", ""fa"")
"),"بهترین شیوه ها برای مدیریت و کاهش علائم اختلال هویت تجزیه ای (DID) چیست؟")</f>
        <v>بهترین شیوه ها برای مدیریت و کاهش علائم اختلال هویت تجزیه ای (DID) چیست؟</v>
      </c>
      <c r="H12941" s="1"/>
      <c r="I12941" s="1"/>
      <c r="J12941" s="1"/>
      <c r="K12941" s="1"/>
      <c r="L12941" s="1"/>
      <c r="M12941" s="1"/>
      <c r="N12941" s="1"/>
      <c r="O12941" s="1"/>
      <c r="P12941" s="1"/>
      <c r="Q12941" s="1"/>
      <c r="R12941" s="1"/>
      <c r="S12941" s="1"/>
      <c r="T12941" s="1"/>
      <c r="U12941" s="1"/>
      <c r="V12941" s="1"/>
      <c r="W12941" s="1"/>
      <c r="X12941" s="1"/>
      <c r="Y12941" s="1"/>
      <c r="Z12941" s="1"/>
      <c r="AA12941" s="1"/>
      <c r="AB12941" s="1"/>
    </row>
    <row r="12942" ht="50.25" customHeight="1">
      <c r="A12942" s="12">
        <v>12938.0</v>
      </c>
      <c r="B12942" s="13" t="s">
        <v>12428</v>
      </c>
      <c r="C12942" s="14" t="s">
        <v>12567</v>
      </c>
      <c r="D12942" s="1"/>
      <c r="E12942" s="1"/>
      <c r="F12942" s="1" t="str">
        <f>IFERROR(__xludf.DUMMYFUNCTION("GOOGLETRANSLATE(B12942, ""en"", ""fa"")
"),"سلامت روان و رفاه")</f>
        <v>سلامت روان و رفاه</v>
      </c>
      <c r="G12942" s="1" t="str">
        <f>IFERROR(__xludf.DUMMYFUNCTION("GOOGLETRANSLATE(C12942, ""en"", ""fa"")
"),"چگونه می توانم مرزهای سالم را در زندگی شخصی و حرفه ای خود ایجاد و حفظ کنم؟")</f>
        <v>چگونه می توانم مرزهای سالم را در زندگی شخصی و حرفه ای خود ایجاد و حفظ کنم؟</v>
      </c>
      <c r="H12942" s="1"/>
      <c r="I12942" s="1"/>
      <c r="J12942" s="1"/>
      <c r="K12942" s="1"/>
      <c r="L12942" s="1"/>
      <c r="M12942" s="1"/>
      <c r="N12942" s="1"/>
      <c r="O12942" s="1"/>
      <c r="P12942" s="1"/>
      <c r="Q12942" s="1"/>
      <c r="R12942" s="1"/>
      <c r="S12942" s="1"/>
      <c r="T12942" s="1"/>
      <c r="U12942" s="1"/>
      <c r="V12942" s="1"/>
      <c r="W12942" s="1"/>
      <c r="X12942" s="1"/>
      <c r="Y12942" s="1"/>
      <c r="Z12942" s="1"/>
      <c r="AA12942" s="1"/>
      <c r="AB12942" s="1"/>
    </row>
    <row r="12943" ht="50.25" customHeight="1">
      <c r="A12943" s="12">
        <v>12939.0</v>
      </c>
      <c r="B12943" s="13" t="s">
        <v>12428</v>
      </c>
      <c r="C12943" s="14" t="s">
        <v>12568</v>
      </c>
      <c r="D12943" s="1"/>
      <c r="E12943" s="1"/>
      <c r="F12943" s="1" t="str">
        <f>IFERROR(__xludf.DUMMYFUNCTION("GOOGLETRANSLATE(B12943, ""en"", ""fa"")
"),"سلامت روان و رفاه")</f>
        <v>سلامت روان و رفاه</v>
      </c>
      <c r="G12943" s="1" t="str">
        <f>IFERROR(__xludf.DUMMYFUNCTION("GOOGLETRANSLATE(C12943, ""en"", ""fa"")
"),"آیا می توانید منابعی را برای یادگیری تکنیک های مختلف آرامش برای کاهش استرس توصیه کنید؟")</f>
        <v>آیا می توانید منابعی را برای یادگیری تکنیک های مختلف آرامش برای کاهش استرس توصیه کنید؟</v>
      </c>
      <c r="H12943" s="1"/>
      <c r="I12943" s="1"/>
      <c r="J12943" s="1"/>
      <c r="K12943" s="1"/>
      <c r="L12943" s="1"/>
      <c r="M12943" s="1"/>
      <c r="N12943" s="1"/>
      <c r="O12943" s="1"/>
      <c r="P12943" s="1"/>
      <c r="Q12943" s="1"/>
      <c r="R12943" s="1"/>
      <c r="S12943" s="1"/>
      <c r="T12943" s="1"/>
      <c r="U12943" s="1"/>
      <c r="V12943" s="1"/>
      <c r="W12943" s="1"/>
      <c r="X12943" s="1"/>
      <c r="Y12943" s="1"/>
      <c r="Z12943" s="1"/>
      <c r="AA12943" s="1"/>
      <c r="AB12943" s="1"/>
    </row>
    <row r="12944" ht="50.25" customHeight="1">
      <c r="A12944" s="12">
        <v>12940.0</v>
      </c>
      <c r="B12944" s="13" t="s">
        <v>12428</v>
      </c>
      <c r="C12944" s="14" t="s">
        <v>12569</v>
      </c>
      <c r="D12944" s="1"/>
      <c r="E12944" s="1"/>
      <c r="F12944" s="1" t="str">
        <f>IFERROR(__xludf.DUMMYFUNCTION("GOOGLETRANSLATE(B12944, ""en"", ""fa"")
"),"سلامت روان و رفاه")</f>
        <v>سلامت روان و رفاه</v>
      </c>
      <c r="G12944" s="1" t="str">
        <f>IFERROR(__xludf.DUMMYFUNCTION("GOOGLETRANSLATE(C12944, ""en"", ""fa"")
"),"نکات مهم برای ایجاد و حفظ انعطاف پذیری در زمان های چالش برانگیز چیست؟")</f>
        <v>نکات مهم برای ایجاد و حفظ انعطاف پذیری در زمان های چالش برانگیز چیست؟</v>
      </c>
      <c r="H12944" s="1"/>
      <c r="I12944" s="1"/>
      <c r="J12944" s="1"/>
      <c r="K12944" s="1"/>
      <c r="L12944" s="1"/>
      <c r="M12944" s="1"/>
      <c r="N12944" s="1"/>
      <c r="O12944" s="1"/>
      <c r="P12944" s="1"/>
      <c r="Q12944" s="1"/>
      <c r="R12944" s="1"/>
      <c r="S12944" s="1"/>
      <c r="T12944" s="1"/>
      <c r="U12944" s="1"/>
      <c r="V12944" s="1"/>
      <c r="W12944" s="1"/>
      <c r="X12944" s="1"/>
      <c r="Y12944" s="1"/>
      <c r="Z12944" s="1"/>
      <c r="AA12944" s="1"/>
      <c r="AB12944" s="1"/>
    </row>
    <row r="12945" ht="50.25" customHeight="1">
      <c r="A12945" s="12">
        <v>12941.0</v>
      </c>
      <c r="B12945" s="13" t="s">
        <v>12428</v>
      </c>
      <c r="C12945" s="14" t="s">
        <v>12570</v>
      </c>
      <c r="D12945" s="1"/>
      <c r="E12945" s="1"/>
      <c r="F12945" s="1" t="str">
        <f>IFERROR(__xludf.DUMMYFUNCTION("GOOGLETRANSLATE(B12945, ""en"", ""fa"")
"),"سلامت روان و رفاه")</f>
        <v>سلامت روان و رفاه</v>
      </c>
      <c r="G12945" s="1" t="str">
        <f>IFERROR(__xludf.DUMMYFUNCTION("GOOGLETRANSLATE(C12945, ""en"", ""fa"")
"),"چگونه می توانم طبیعت و فعالیت های بیرون از خانه را برای بهبود سلامت ذهنی در برنامه روزانه خود بگنجانم؟")</f>
        <v>چگونه می توانم طبیعت و فعالیت های بیرون از خانه را برای بهبود سلامت ذهنی در برنامه روزانه خود بگنجانم؟</v>
      </c>
      <c r="H12945" s="1"/>
      <c r="I12945" s="1"/>
      <c r="J12945" s="1"/>
      <c r="K12945" s="1"/>
      <c r="L12945" s="1"/>
      <c r="M12945" s="1"/>
      <c r="N12945" s="1"/>
      <c r="O12945" s="1"/>
      <c r="P12945" s="1"/>
      <c r="Q12945" s="1"/>
      <c r="R12945" s="1"/>
      <c r="S12945" s="1"/>
      <c r="T12945" s="1"/>
      <c r="U12945" s="1"/>
      <c r="V12945" s="1"/>
      <c r="W12945" s="1"/>
      <c r="X12945" s="1"/>
      <c r="Y12945" s="1"/>
      <c r="Z12945" s="1"/>
      <c r="AA12945" s="1"/>
      <c r="AB12945" s="1"/>
    </row>
    <row r="12946" ht="50.25" customHeight="1">
      <c r="A12946" s="12">
        <v>12942.0</v>
      </c>
      <c r="B12946" s="13" t="s">
        <v>12428</v>
      </c>
      <c r="C12946" s="14" t="s">
        <v>12571</v>
      </c>
      <c r="D12946" s="1"/>
      <c r="E12946" s="1"/>
      <c r="F12946" s="1" t="str">
        <f>IFERROR(__xludf.DUMMYFUNCTION("GOOGLETRANSLATE(B12946, ""en"", ""fa"")
"),"سلامت روان و رفاه")</f>
        <v>سلامت روان و رفاه</v>
      </c>
      <c r="G12946" s="1" t="str">
        <f>IFERROR(__xludf.DUMMYFUNCTION("GOOGLETRANSLATE(C12946, ""en"", ""fa"")
"),"بهترین راهکارها برای مدیریت و کاهش علائم اختلالات خوردن چیست؟")</f>
        <v>بهترین راهکارها برای مدیریت و کاهش علائم اختلالات خوردن چیست؟</v>
      </c>
      <c r="H12946" s="1"/>
      <c r="I12946" s="1"/>
      <c r="J12946" s="1"/>
      <c r="K12946" s="1"/>
      <c r="L12946" s="1"/>
      <c r="M12946" s="1"/>
      <c r="N12946" s="1"/>
      <c r="O12946" s="1"/>
      <c r="P12946" s="1"/>
      <c r="Q12946" s="1"/>
      <c r="R12946" s="1"/>
      <c r="S12946" s="1"/>
      <c r="T12946" s="1"/>
      <c r="U12946" s="1"/>
      <c r="V12946" s="1"/>
      <c r="W12946" s="1"/>
      <c r="X12946" s="1"/>
      <c r="Y12946" s="1"/>
      <c r="Z12946" s="1"/>
      <c r="AA12946" s="1"/>
      <c r="AB12946" s="1"/>
    </row>
    <row r="12947" ht="50.25" customHeight="1">
      <c r="A12947" s="12">
        <v>12943.0</v>
      </c>
      <c r="B12947" s="13" t="s">
        <v>12428</v>
      </c>
      <c r="C12947" s="14" t="s">
        <v>12572</v>
      </c>
      <c r="D12947" s="1"/>
      <c r="E12947" s="1"/>
      <c r="F12947" s="1" t="str">
        <f>IFERROR(__xludf.DUMMYFUNCTION("GOOGLETRANSLATE(B12947, ""en"", ""fa"")
"),"سلامت روان و رفاه")</f>
        <v>سلامت روان و رفاه</v>
      </c>
      <c r="G12947" s="1" t="str">
        <f>IFERROR(__xludf.DUMMYFUNCTION("GOOGLETRANSLATE(C12947,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2947" s="1"/>
      <c r="I12947" s="1"/>
      <c r="J12947" s="1"/>
      <c r="K12947" s="1"/>
      <c r="L12947" s="1"/>
      <c r="M12947" s="1"/>
      <c r="N12947" s="1"/>
      <c r="O12947" s="1"/>
      <c r="P12947" s="1"/>
      <c r="Q12947" s="1"/>
      <c r="R12947" s="1"/>
      <c r="S12947" s="1"/>
      <c r="T12947" s="1"/>
      <c r="U12947" s="1"/>
      <c r="V12947" s="1"/>
      <c r="W12947" s="1"/>
      <c r="X12947" s="1"/>
      <c r="Y12947" s="1"/>
      <c r="Z12947" s="1"/>
      <c r="AA12947" s="1"/>
      <c r="AB12947" s="1"/>
    </row>
    <row r="12948" ht="50.25" customHeight="1">
      <c r="A12948" s="12">
        <v>12944.0</v>
      </c>
      <c r="B12948" s="13" t="s">
        <v>12428</v>
      </c>
      <c r="C12948" s="14" t="s">
        <v>12573</v>
      </c>
      <c r="D12948" s="1"/>
      <c r="E12948" s="1"/>
      <c r="F12948" s="1" t="str">
        <f>IFERROR(__xludf.DUMMYFUNCTION("GOOGLETRANSLATE(B12948, ""en"", ""fa"")
"),"سلامت روان و رفاه")</f>
        <v>سلامت روان و رفاه</v>
      </c>
      <c r="G12948" s="1" t="str">
        <f>IFERROR(__xludf.DUMMYFUNCTION("GOOGLETRANSLATE(C12948, ""en"", ""fa"")
"),"آیا می توانید تکنیک هایی برای مدیریت و کاهش علائم اسکیزوفرنی پیشنهاد دهید؟")</f>
        <v>آیا می توانید تکنیک هایی برای مدیریت و کاهش علائم اسکیزوفرنی پیشنهاد دهید؟</v>
      </c>
      <c r="H12948" s="1"/>
      <c r="I12948" s="1"/>
      <c r="J12948" s="1"/>
      <c r="K12948" s="1"/>
      <c r="L12948" s="1"/>
      <c r="M12948" s="1"/>
      <c r="N12948" s="1"/>
      <c r="O12948" s="1"/>
      <c r="P12948" s="1"/>
      <c r="Q12948" s="1"/>
      <c r="R12948" s="1"/>
      <c r="S12948" s="1"/>
      <c r="T12948" s="1"/>
      <c r="U12948" s="1"/>
      <c r="V12948" s="1"/>
      <c r="W12948" s="1"/>
      <c r="X12948" s="1"/>
      <c r="Y12948" s="1"/>
      <c r="Z12948" s="1"/>
      <c r="AA12948" s="1"/>
      <c r="AB12948" s="1"/>
    </row>
    <row r="12949" ht="50.25" customHeight="1">
      <c r="A12949" s="12">
        <v>12945.0</v>
      </c>
      <c r="B12949" s="13" t="s">
        <v>12428</v>
      </c>
      <c r="C12949" s="14" t="s">
        <v>12574</v>
      </c>
      <c r="D12949" s="1"/>
      <c r="E12949" s="1"/>
      <c r="F12949" s="1" t="str">
        <f>IFERROR(__xludf.DUMMYFUNCTION("GOOGLETRANSLATE(B12949, ""en"", ""fa"")
"),"سلامت روان و رفاه")</f>
        <v>سلامت روان و رفاه</v>
      </c>
      <c r="G12949" s="1" t="str">
        <f>IFERROR(__xludf.DUMMYFUNCTION("GOOGLETRANSLATE(C12949, ""en"", ""fa"")
"),"نکات مهم برای پرورش ذهنیت رشد و پذیرش چالش ها به عنوان فرصت هایی برای رشد شخصی چیست؟")</f>
        <v>نکات مهم برای پرورش ذهنیت رشد و پذیرش چالش ها به عنوان فرصت هایی برای رشد شخصی چیست؟</v>
      </c>
      <c r="H12949" s="1"/>
      <c r="I12949" s="1"/>
      <c r="J12949" s="1"/>
      <c r="K12949" s="1"/>
      <c r="L12949" s="1"/>
      <c r="M12949" s="1"/>
      <c r="N12949" s="1"/>
      <c r="O12949" s="1"/>
      <c r="P12949" s="1"/>
      <c r="Q12949" s="1"/>
      <c r="R12949" s="1"/>
      <c r="S12949" s="1"/>
      <c r="T12949" s="1"/>
      <c r="U12949" s="1"/>
      <c r="V12949" s="1"/>
      <c r="W12949" s="1"/>
      <c r="X12949" s="1"/>
      <c r="Y12949" s="1"/>
      <c r="Z12949" s="1"/>
      <c r="AA12949" s="1"/>
      <c r="AB12949" s="1"/>
    </row>
    <row r="12950" ht="50.25" customHeight="1">
      <c r="A12950" s="12">
        <v>12946.0</v>
      </c>
      <c r="B12950" s="13" t="s">
        <v>12428</v>
      </c>
      <c r="C12950" s="14" t="s">
        <v>12499</v>
      </c>
      <c r="D12950" s="1"/>
      <c r="E12950" s="1"/>
      <c r="F12950" s="1" t="str">
        <f>IFERROR(__xludf.DUMMYFUNCTION("GOOGLETRANSLATE(B12950, ""en"", ""fa"")
"),"سلامت روان و رفاه")</f>
        <v>سلامت روان و رفاه</v>
      </c>
      <c r="G12950" s="1" t="str">
        <f>IFERROR(__xludf.DUMMYFUNCTION("GOOGLETRANSLATE(C12950,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2950" s="1"/>
      <c r="I12950" s="1"/>
      <c r="J12950" s="1"/>
      <c r="K12950" s="1"/>
      <c r="L12950" s="1"/>
      <c r="M12950" s="1"/>
      <c r="N12950" s="1"/>
      <c r="O12950" s="1"/>
      <c r="P12950" s="1"/>
      <c r="Q12950" s="1"/>
      <c r="R12950" s="1"/>
      <c r="S12950" s="1"/>
      <c r="T12950" s="1"/>
      <c r="U12950" s="1"/>
      <c r="V12950" s="1"/>
      <c r="W12950" s="1"/>
      <c r="X12950" s="1"/>
      <c r="Y12950" s="1"/>
      <c r="Z12950" s="1"/>
      <c r="AA12950" s="1"/>
      <c r="AB12950" s="1"/>
    </row>
    <row r="12951" ht="50.25" customHeight="1">
      <c r="A12951" s="12">
        <v>12947.0</v>
      </c>
      <c r="B12951" s="13" t="s">
        <v>12428</v>
      </c>
      <c r="C12951" s="14" t="s">
        <v>12500</v>
      </c>
      <c r="D12951" s="1"/>
      <c r="E12951" s="1"/>
      <c r="F12951" s="1" t="str">
        <f>IFERROR(__xludf.DUMMYFUNCTION("GOOGLETRANSLATE(B12951, ""en"", ""fa"")
"),"سلامت روان و رفاه")</f>
        <v>سلامت روان و رفاه</v>
      </c>
      <c r="G12951" s="1" t="str">
        <f>IFERROR(__xludf.DUMMYFUNCTION("GOOGLETRANSLATE(C12951, ""en"", ""fa"")
"),"بهترین تکنیک ها برای مدیریت و کاهش علائم فوبیا و ترس چیست؟")</f>
        <v>بهترین تکنیک ها برای مدیریت و کاهش علائم فوبیا و ترس چیست؟</v>
      </c>
      <c r="H12951" s="1"/>
      <c r="I12951" s="1"/>
      <c r="J12951" s="1"/>
      <c r="K12951" s="1"/>
      <c r="L12951" s="1"/>
      <c r="M12951" s="1"/>
      <c r="N12951" s="1"/>
      <c r="O12951" s="1"/>
      <c r="P12951" s="1"/>
      <c r="Q12951" s="1"/>
      <c r="R12951" s="1"/>
      <c r="S12951" s="1"/>
      <c r="T12951" s="1"/>
      <c r="U12951" s="1"/>
      <c r="V12951" s="1"/>
      <c r="W12951" s="1"/>
      <c r="X12951" s="1"/>
      <c r="Y12951" s="1"/>
      <c r="Z12951" s="1"/>
      <c r="AA12951" s="1"/>
      <c r="AB12951" s="1"/>
    </row>
    <row r="12952" ht="50.25" customHeight="1">
      <c r="A12952" s="12">
        <v>12948.0</v>
      </c>
      <c r="B12952" s="13" t="s">
        <v>12428</v>
      </c>
      <c r="C12952" s="14" t="s">
        <v>12501</v>
      </c>
      <c r="D12952" s="1"/>
      <c r="E12952" s="1"/>
      <c r="F12952" s="1" t="str">
        <f>IFERROR(__xludf.DUMMYFUNCTION("GOOGLETRANSLATE(B12952, ""en"", ""fa"")
"),"سلامت روان و رفاه")</f>
        <v>سلامت روان و رفاه</v>
      </c>
      <c r="G12952" s="1" t="str">
        <f>IFERROR(__xludf.DUMMYFUNCTION("GOOGLETRANSLATE(C12952,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2952" s="1"/>
      <c r="I12952" s="1"/>
      <c r="J12952" s="1"/>
      <c r="K12952" s="1"/>
      <c r="L12952" s="1"/>
      <c r="M12952" s="1"/>
      <c r="N12952" s="1"/>
      <c r="O12952" s="1"/>
      <c r="P12952" s="1"/>
      <c r="Q12952" s="1"/>
      <c r="R12952" s="1"/>
      <c r="S12952" s="1"/>
      <c r="T12952" s="1"/>
      <c r="U12952" s="1"/>
      <c r="V12952" s="1"/>
      <c r="W12952" s="1"/>
      <c r="X12952" s="1"/>
      <c r="Y12952" s="1"/>
      <c r="Z12952" s="1"/>
      <c r="AA12952" s="1"/>
      <c r="AB12952" s="1"/>
    </row>
    <row r="12953" ht="50.25" customHeight="1">
      <c r="A12953" s="12">
        <v>12949.0</v>
      </c>
      <c r="B12953" s="13" t="s">
        <v>12428</v>
      </c>
      <c r="C12953" s="14" t="s">
        <v>12527</v>
      </c>
      <c r="D12953" s="1"/>
      <c r="E12953" s="1"/>
      <c r="F12953" s="1" t="str">
        <f>IFERROR(__xludf.DUMMYFUNCTION("GOOGLETRANSLATE(B12953, ""en"", ""fa"")
"),"سلامت روان و رفاه")</f>
        <v>سلامت روان و رفاه</v>
      </c>
      <c r="G12953" s="1" t="str">
        <f>IFERROR(__xludf.DUMMYFUNCTION("GOOGLETRANSLATE(C12953,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2953" s="1"/>
      <c r="I12953" s="1"/>
      <c r="J12953" s="1"/>
      <c r="K12953" s="1"/>
      <c r="L12953" s="1"/>
      <c r="M12953" s="1"/>
      <c r="N12953" s="1"/>
      <c r="O12953" s="1"/>
      <c r="P12953" s="1"/>
      <c r="Q12953" s="1"/>
      <c r="R12953" s="1"/>
      <c r="S12953" s="1"/>
      <c r="T12953" s="1"/>
      <c r="U12953" s="1"/>
      <c r="V12953" s="1"/>
      <c r="W12953" s="1"/>
      <c r="X12953" s="1"/>
      <c r="Y12953" s="1"/>
      <c r="Z12953" s="1"/>
      <c r="AA12953" s="1"/>
      <c r="AB12953" s="1"/>
    </row>
    <row r="12954" ht="50.25" customHeight="1">
      <c r="A12954" s="12">
        <v>12950.0</v>
      </c>
      <c r="B12954" s="13" t="s">
        <v>12428</v>
      </c>
      <c r="C12954" s="14" t="s">
        <v>12503</v>
      </c>
      <c r="D12954" s="1"/>
      <c r="E12954" s="1"/>
      <c r="F12954" s="1" t="str">
        <f>IFERROR(__xludf.DUMMYFUNCTION("GOOGLETRANSLATE(B12954, ""en"", ""fa"")
"),"سلامت روان و رفاه")</f>
        <v>سلامت روان و رفاه</v>
      </c>
      <c r="G12954" s="1" t="str">
        <f>IFERROR(__xludf.DUMMYFUNCTION("GOOGLETRANSLATE(C12954, ""en"", ""fa"")
"),"نکات مهم برای ایجاد و حفظ هوش هیجانی برای روابط بین فردی بهتر چیست؟")</f>
        <v>نکات مهم برای ایجاد و حفظ هوش هیجانی برای روابط بین فردی بهتر چیست؟</v>
      </c>
      <c r="H12954" s="1"/>
      <c r="I12954" s="1"/>
      <c r="J12954" s="1"/>
      <c r="K12954" s="1"/>
      <c r="L12954" s="1"/>
      <c r="M12954" s="1"/>
      <c r="N12954" s="1"/>
      <c r="O12954" s="1"/>
      <c r="P12954" s="1"/>
      <c r="Q12954" s="1"/>
      <c r="R12954" s="1"/>
      <c r="S12954" s="1"/>
      <c r="T12954" s="1"/>
      <c r="U12954" s="1"/>
      <c r="V12954" s="1"/>
      <c r="W12954" s="1"/>
      <c r="X12954" s="1"/>
      <c r="Y12954" s="1"/>
      <c r="Z12954" s="1"/>
      <c r="AA12954" s="1"/>
      <c r="AB12954" s="1"/>
    </row>
    <row r="12955" ht="50.25" customHeight="1">
      <c r="A12955" s="12">
        <v>12951.0</v>
      </c>
      <c r="B12955" s="13" t="s">
        <v>12428</v>
      </c>
      <c r="C12955" s="14" t="s">
        <v>12504</v>
      </c>
      <c r="D12955" s="1"/>
      <c r="E12955" s="1"/>
      <c r="F12955" s="1" t="str">
        <f>IFERROR(__xludf.DUMMYFUNCTION("GOOGLETRANSLATE(B12955, ""en"", ""fa"")
"),"سلامت روان و رفاه")</f>
        <v>سلامت روان و رفاه</v>
      </c>
      <c r="G12955" s="1" t="str">
        <f>IFERROR(__xludf.DUMMYFUNCTION("GOOGLETRANSLATE(C12955,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2955" s="1"/>
      <c r="I12955" s="1"/>
      <c r="J12955" s="1"/>
      <c r="K12955" s="1"/>
      <c r="L12955" s="1"/>
      <c r="M12955" s="1"/>
      <c r="N12955" s="1"/>
      <c r="O12955" s="1"/>
      <c r="P12955" s="1"/>
      <c r="Q12955" s="1"/>
      <c r="R12955" s="1"/>
      <c r="S12955" s="1"/>
      <c r="T12955" s="1"/>
      <c r="U12955" s="1"/>
      <c r="V12955" s="1"/>
      <c r="W12955" s="1"/>
      <c r="X12955" s="1"/>
      <c r="Y12955" s="1"/>
      <c r="Z12955" s="1"/>
      <c r="AA12955" s="1"/>
      <c r="AB12955" s="1"/>
    </row>
    <row r="12956" ht="50.25" customHeight="1">
      <c r="A12956" s="12">
        <v>12952.0</v>
      </c>
      <c r="B12956" s="13" t="s">
        <v>12428</v>
      </c>
      <c r="C12956" s="14" t="s">
        <v>12505</v>
      </c>
      <c r="D12956" s="1"/>
      <c r="E12956" s="1"/>
      <c r="F12956" s="1" t="str">
        <f>IFERROR(__xludf.DUMMYFUNCTION("GOOGLETRANSLATE(B12956, ""en"", ""fa"")
"),"سلامت روان و رفاه")</f>
        <v>سلامت روان و رفاه</v>
      </c>
      <c r="G12956" s="1" t="str">
        <f>IFERROR(__xludf.DUMMYFUNCTION("GOOGLETRANSLATE(C12956, ""en"", ""fa"")
"),"بهترین راهکارها برای مدیریت و کاهش علائم اختلال دوقطبی چیست؟")</f>
        <v>بهترین راهکارها برای مدیریت و کاهش علائم اختلال دوقطبی چیست؟</v>
      </c>
      <c r="H12956" s="1"/>
      <c r="I12956" s="1"/>
      <c r="J12956" s="1"/>
      <c r="K12956" s="1"/>
      <c r="L12956" s="1"/>
      <c r="M12956" s="1"/>
      <c r="N12956" s="1"/>
      <c r="O12956" s="1"/>
      <c r="P12956" s="1"/>
      <c r="Q12956" s="1"/>
      <c r="R12956" s="1"/>
      <c r="S12956" s="1"/>
      <c r="T12956" s="1"/>
      <c r="U12956" s="1"/>
      <c r="V12956" s="1"/>
      <c r="W12956" s="1"/>
      <c r="X12956" s="1"/>
      <c r="Y12956" s="1"/>
      <c r="Z12956" s="1"/>
      <c r="AA12956" s="1"/>
      <c r="AB12956" s="1"/>
    </row>
    <row r="12957" ht="50.25" customHeight="1">
      <c r="A12957" s="12">
        <v>12953.0</v>
      </c>
      <c r="B12957" s="13" t="s">
        <v>12428</v>
      </c>
      <c r="C12957" s="14" t="s">
        <v>12506</v>
      </c>
      <c r="D12957" s="1"/>
      <c r="E12957" s="1"/>
      <c r="F12957" s="1" t="str">
        <f>IFERROR(__xludf.DUMMYFUNCTION("GOOGLETRANSLATE(B12957, ""en"", ""fa"")
"),"سلامت روان و رفاه")</f>
        <v>سلامت روان و رفاه</v>
      </c>
      <c r="G12957" s="1" t="str">
        <f>IFERROR(__xludf.DUMMYFUNCTION("GOOGLETRANSLATE(C12957,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2957" s="1"/>
      <c r="I12957" s="1"/>
      <c r="J12957" s="1"/>
      <c r="K12957" s="1"/>
      <c r="L12957" s="1"/>
      <c r="M12957" s="1"/>
      <c r="N12957" s="1"/>
      <c r="O12957" s="1"/>
      <c r="P12957" s="1"/>
      <c r="Q12957" s="1"/>
      <c r="R12957" s="1"/>
      <c r="S12957" s="1"/>
      <c r="T12957" s="1"/>
      <c r="U12957" s="1"/>
      <c r="V12957" s="1"/>
      <c r="W12957" s="1"/>
      <c r="X12957" s="1"/>
      <c r="Y12957" s="1"/>
      <c r="Z12957" s="1"/>
      <c r="AA12957" s="1"/>
      <c r="AB12957" s="1"/>
    </row>
    <row r="12958" ht="50.25" customHeight="1">
      <c r="A12958" s="12">
        <v>12954.0</v>
      </c>
      <c r="B12958" s="13" t="s">
        <v>12428</v>
      </c>
      <c r="C12958" s="14" t="s">
        <v>12507</v>
      </c>
      <c r="D12958" s="1"/>
      <c r="E12958" s="1"/>
      <c r="F12958" s="1" t="str">
        <f>IFERROR(__xludf.DUMMYFUNCTION("GOOGLETRANSLATE(B12958, ""en"", ""fa"")
"),"سلامت روان و رفاه")</f>
        <v>سلامت روان و رفاه</v>
      </c>
      <c r="G12958" s="1" t="str">
        <f>IFERROR(__xludf.DUMMYFUNCTION("GOOGLETRANSLATE(C12958, ""en"", ""fa"")
"),"آیا می توانید تکنیک هایی را برای تمرین آرام سازی پیشرونده عضلانی برای کاهش استرس و اضطراب توصیه کنید؟")</f>
        <v>آیا می توانید تکنیک هایی را برای تمرین آرام سازی پیشرونده عضلانی برای کاهش استرس و اضطراب توصیه کنید؟</v>
      </c>
      <c r="H12958" s="1"/>
      <c r="I12958" s="1"/>
      <c r="J12958" s="1"/>
      <c r="K12958" s="1"/>
      <c r="L12958" s="1"/>
      <c r="M12958" s="1"/>
      <c r="N12958" s="1"/>
      <c r="O12958" s="1"/>
      <c r="P12958" s="1"/>
      <c r="Q12958" s="1"/>
      <c r="R12958" s="1"/>
      <c r="S12958" s="1"/>
      <c r="T12958" s="1"/>
      <c r="U12958" s="1"/>
      <c r="V12958" s="1"/>
      <c r="W12958" s="1"/>
      <c r="X12958" s="1"/>
      <c r="Y12958" s="1"/>
      <c r="Z12958" s="1"/>
      <c r="AA12958" s="1"/>
      <c r="AB12958" s="1"/>
    </row>
    <row r="12959" ht="50.25" customHeight="1">
      <c r="A12959" s="12">
        <v>12955.0</v>
      </c>
      <c r="B12959" s="13" t="s">
        <v>12428</v>
      </c>
      <c r="C12959" s="14" t="s">
        <v>12508</v>
      </c>
      <c r="D12959" s="1"/>
      <c r="E12959" s="1"/>
      <c r="F12959" s="1" t="str">
        <f>IFERROR(__xludf.DUMMYFUNCTION("GOOGLETRANSLATE(B12959, ""en"", ""fa"")
"),"سلامت روان و رفاه")</f>
        <v>سلامت روان و رفاه</v>
      </c>
      <c r="G12959" s="1" t="str">
        <f>IFERROR(__xludf.DUMMYFUNCTION("GOOGLETRANSLATE(C12959, ""en"", ""fa"")
"),"نکات مهم برای ایجاد و حفظ تاب آوری در مواجهه با چالش های زندگی چیست؟")</f>
        <v>نکات مهم برای ایجاد و حفظ تاب آوری در مواجهه با چالش های زندگی چیست؟</v>
      </c>
      <c r="H12959" s="1"/>
      <c r="I12959" s="1"/>
      <c r="J12959" s="1"/>
      <c r="K12959" s="1"/>
      <c r="L12959" s="1"/>
      <c r="M12959" s="1"/>
      <c r="N12959" s="1"/>
      <c r="O12959" s="1"/>
      <c r="P12959" s="1"/>
      <c r="Q12959" s="1"/>
      <c r="R12959" s="1"/>
      <c r="S12959" s="1"/>
      <c r="T12959" s="1"/>
      <c r="U12959" s="1"/>
      <c r="V12959" s="1"/>
      <c r="W12959" s="1"/>
      <c r="X12959" s="1"/>
      <c r="Y12959" s="1"/>
      <c r="Z12959" s="1"/>
      <c r="AA12959" s="1"/>
      <c r="AB12959" s="1"/>
    </row>
    <row r="12960" ht="50.25" customHeight="1">
      <c r="A12960" s="12">
        <v>12956.0</v>
      </c>
      <c r="B12960" s="13" t="s">
        <v>12428</v>
      </c>
      <c r="C12960" s="14" t="s">
        <v>12509</v>
      </c>
      <c r="D12960" s="1"/>
      <c r="E12960" s="1"/>
      <c r="F12960" s="1" t="str">
        <f>IFERROR(__xludf.DUMMYFUNCTION("GOOGLETRANSLATE(B12960, ""en"", ""fa"")
"),"سلامت روان و رفاه")</f>
        <v>سلامت روان و رفاه</v>
      </c>
      <c r="G12960" s="1" t="str">
        <f>IFERROR(__xludf.DUMMYFUNCTION("GOOGLETRANSLATE(C12960,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2960" s="1"/>
      <c r="I12960" s="1"/>
      <c r="J12960" s="1"/>
      <c r="K12960" s="1"/>
      <c r="L12960" s="1"/>
      <c r="M12960" s="1"/>
      <c r="N12960" s="1"/>
      <c r="O12960" s="1"/>
      <c r="P12960" s="1"/>
      <c r="Q12960" s="1"/>
      <c r="R12960" s="1"/>
      <c r="S12960" s="1"/>
      <c r="T12960" s="1"/>
      <c r="U12960" s="1"/>
      <c r="V12960" s="1"/>
      <c r="W12960" s="1"/>
      <c r="X12960" s="1"/>
      <c r="Y12960" s="1"/>
      <c r="Z12960" s="1"/>
      <c r="AA12960" s="1"/>
      <c r="AB12960" s="1"/>
    </row>
    <row r="12961" ht="50.25" customHeight="1">
      <c r="A12961" s="12">
        <v>12957.0</v>
      </c>
      <c r="B12961" s="13" t="s">
        <v>12428</v>
      </c>
      <c r="C12961" s="14" t="s">
        <v>12510</v>
      </c>
      <c r="D12961" s="1"/>
      <c r="E12961" s="1"/>
      <c r="F12961" s="1" t="str">
        <f>IFERROR(__xludf.DUMMYFUNCTION("GOOGLETRANSLATE(B12961, ""en"", ""fa"")
"),"سلامت روان و رفاه")</f>
        <v>سلامت روان و رفاه</v>
      </c>
      <c r="G12961" s="1" t="str">
        <f>IFERROR(__xludf.DUMMYFUNCTION("GOOGLETRANSLATE(C12961,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2961" s="1"/>
      <c r="I12961" s="1"/>
      <c r="J12961" s="1"/>
      <c r="K12961" s="1"/>
      <c r="L12961" s="1"/>
      <c r="M12961" s="1"/>
      <c r="N12961" s="1"/>
      <c r="O12961" s="1"/>
      <c r="P12961" s="1"/>
      <c r="Q12961" s="1"/>
      <c r="R12961" s="1"/>
      <c r="S12961" s="1"/>
      <c r="T12961" s="1"/>
      <c r="U12961" s="1"/>
      <c r="V12961" s="1"/>
      <c r="W12961" s="1"/>
      <c r="X12961" s="1"/>
      <c r="Y12961" s="1"/>
      <c r="Z12961" s="1"/>
      <c r="AA12961" s="1"/>
      <c r="AB12961" s="1"/>
    </row>
    <row r="12962" ht="50.25" customHeight="1">
      <c r="A12962" s="12">
        <v>12958.0</v>
      </c>
      <c r="B12962" s="13" t="s">
        <v>12428</v>
      </c>
      <c r="C12962" s="14" t="s">
        <v>12511</v>
      </c>
      <c r="D12962" s="1"/>
      <c r="E12962" s="1"/>
      <c r="F12962" s="1" t="str">
        <f>IFERROR(__xludf.DUMMYFUNCTION("GOOGLETRANSLATE(B12962, ""en"", ""fa"")
"),"سلامت روان و رفاه")</f>
        <v>سلامت روان و رفاه</v>
      </c>
      <c r="G12962" s="1" t="str">
        <f>IFERROR(__xludf.DUMMYFUNCTION("GOOGLETRANSLATE(C12962,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2962" s="1"/>
      <c r="I12962" s="1"/>
      <c r="J12962" s="1"/>
      <c r="K12962" s="1"/>
      <c r="L12962" s="1"/>
      <c r="M12962" s="1"/>
      <c r="N12962" s="1"/>
      <c r="O12962" s="1"/>
      <c r="P12962" s="1"/>
      <c r="Q12962" s="1"/>
      <c r="R12962" s="1"/>
      <c r="S12962" s="1"/>
      <c r="T12962" s="1"/>
      <c r="U12962" s="1"/>
      <c r="V12962" s="1"/>
      <c r="W12962" s="1"/>
      <c r="X12962" s="1"/>
      <c r="Y12962" s="1"/>
      <c r="Z12962" s="1"/>
      <c r="AA12962" s="1"/>
      <c r="AB12962" s="1"/>
    </row>
    <row r="12963" ht="50.25" customHeight="1">
      <c r="A12963" s="12">
        <v>12959.0</v>
      </c>
      <c r="B12963" s="13" t="s">
        <v>12428</v>
      </c>
      <c r="C12963" s="14" t="s">
        <v>12512</v>
      </c>
      <c r="D12963" s="1"/>
      <c r="E12963" s="1"/>
      <c r="F12963" s="1" t="str">
        <f>IFERROR(__xludf.DUMMYFUNCTION("GOOGLETRANSLATE(B12963, ""en"", ""fa"")
"),"سلامت روان و رفاه")</f>
        <v>سلامت روان و رفاه</v>
      </c>
      <c r="G12963" s="1" t="str">
        <f>IFERROR(__xludf.DUMMYFUNCTION("GOOGLETRANSLATE(C12963, ""en"", ""fa"")
"),"آیا می‌توانید فعالیت‌هایی را برای ارتقای خودبیانگری و خلاقیت برای تقویت سلامت ذهنی پیشنهاد دهید؟")</f>
        <v>آیا می‌توانید فعالیت‌هایی را برای ارتقای خودبیانگری و خلاقیت برای تقویت سلامت ذهنی پیشنهاد دهید؟</v>
      </c>
      <c r="H12963" s="1"/>
      <c r="I12963" s="1"/>
      <c r="J12963" s="1"/>
      <c r="K12963" s="1"/>
      <c r="L12963" s="1"/>
      <c r="M12963" s="1"/>
      <c r="N12963" s="1"/>
      <c r="O12963" s="1"/>
      <c r="P12963" s="1"/>
      <c r="Q12963" s="1"/>
      <c r="R12963" s="1"/>
      <c r="S12963" s="1"/>
      <c r="T12963" s="1"/>
      <c r="U12963" s="1"/>
      <c r="V12963" s="1"/>
      <c r="W12963" s="1"/>
      <c r="X12963" s="1"/>
      <c r="Y12963" s="1"/>
      <c r="Z12963" s="1"/>
      <c r="AA12963" s="1"/>
      <c r="AB12963" s="1"/>
    </row>
    <row r="12964" ht="50.25" customHeight="1">
      <c r="A12964" s="12">
        <v>12960.0</v>
      </c>
      <c r="B12964" s="13" t="s">
        <v>12428</v>
      </c>
      <c r="C12964" s="14" t="s">
        <v>12513</v>
      </c>
      <c r="D12964" s="1"/>
      <c r="E12964" s="1"/>
      <c r="F12964" s="1" t="str">
        <f>IFERROR(__xludf.DUMMYFUNCTION("GOOGLETRANSLATE(B12964, ""en"", ""fa"")
"),"سلامت روان و رفاه")</f>
        <v>سلامت روان و رفاه</v>
      </c>
      <c r="G12964" s="1" t="str">
        <f>IFERROR(__xludf.DUMMYFUNCTION("GOOGLETRANSLATE(C12964, ""en"", ""fa"")
"),"راهبردهای برتر برای مدیریت و کاهش علائم اختلالات خوردن چیست؟")</f>
        <v>راهبردهای برتر برای مدیریت و کاهش علائم اختلالات خوردن چیست؟</v>
      </c>
      <c r="H12964" s="1"/>
      <c r="I12964" s="1"/>
      <c r="J12964" s="1"/>
      <c r="K12964" s="1"/>
      <c r="L12964" s="1"/>
      <c r="M12964" s="1"/>
      <c r="N12964" s="1"/>
      <c r="O12964" s="1"/>
      <c r="P12964" s="1"/>
      <c r="Q12964" s="1"/>
      <c r="R12964" s="1"/>
      <c r="S12964" s="1"/>
      <c r="T12964" s="1"/>
      <c r="U12964" s="1"/>
      <c r="V12964" s="1"/>
      <c r="W12964" s="1"/>
      <c r="X12964" s="1"/>
      <c r="Y12964" s="1"/>
      <c r="Z12964" s="1"/>
      <c r="AA12964" s="1"/>
      <c r="AB12964" s="1"/>
    </row>
    <row r="12965" ht="50.25" customHeight="1">
      <c r="A12965" s="12">
        <v>12961.0</v>
      </c>
      <c r="B12965" s="13" t="s">
        <v>12428</v>
      </c>
      <c r="C12965" s="14" t="s">
        <v>12575</v>
      </c>
      <c r="D12965" s="1"/>
      <c r="E12965" s="1"/>
      <c r="F12965" s="1" t="str">
        <f>IFERROR(__xludf.DUMMYFUNCTION("GOOGLETRANSLATE(B12965, ""en"", ""fa"")
"),"سلامت روان و رفاه")</f>
        <v>سلامت روان و رفاه</v>
      </c>
      <c r="G12965" s="1" t="str">
        <f>IFERROR(__xludf.DUMMYFUNCTION("GOOGLETRANSLATE(C12965, ""en"", ""fa"")
"),"چگونه می توانم عزت نفس سالم و یک تصویر مثبت از خود را توسعه و حفظ کنم؟")</f>
        <v>چگونه می توانم عزت نفس سالم و یک تصویر مثبت از خود را توسعه و حفظ کنم؟</v>
      </c>
      <c r="H12965" s="1"/>
      <c r="I12965" s="1"/>
      <c r="J12965" s="1"/>
      <c r="K12965" s="1"/>
      <c r="L12965" s="1"/>
      <c r="M12965" s="1"/>
      <c r="N12965" s="1"/>
      <c r="O12965" s="1"/>
      <c r="P12965" s="1"/>
      <c r="Q12965" s="1"/>
      <c r="R12965" s="1"/>
      <c r="S12965" s="1"/>
      <c r="T12965" s="1"/>
      <c r="U12965" s="1"/>
      <c r="V12965" s="1"/>
      <c r="W12965" s="1"/>
      <c r="X12965" s="1"/>
      <c r="Y12965" s="1"/>
      <c r="Z12965" s="1"/>
      <c r="AA12965" s="1"/>
      <c r="AB12965" s="1"/>
    </row>
    <row r="12966" ht="50.25" customHeight="1">
      <c r="A12966" s="12">
        <v>12962.0</v>
      </c>
      <c r="B12966" s="13" t="s">
        <v>12428</v>
      </c>
      <c r="C12966" s="14" t="s">
        <v>12576</v>
      </c>
      <c r="D12966" s="1"/>
      <c r="E12966" s="1"/>
      <c r="F12966" s="1" t="str">
        <f>IFERROR(__xludf.DUMMYFUNCTION("GOOGLETRANSLATE(B12966, ""en"", ""fa"")
"),"سلامت روان و رفاه")</f>
        <v>سلامت روان و رفاه</v>
      </c>
      <c r="G12966" s="1" t="str">
        <f>IFERROR(__xludf.DUMMYFUNCTION("GOOGLETRANSLATE(C12966, ""en"", ""fa"")
"),"بهترین راهکارها برای مدیریت و کاهش علائم اضطراب اجتماعی چیست؟")</f>
        <v>بهترین راهکارها برای مدیریت و کاهش علائم اضطراب اجتماعی چیست؟</v>
      </c>
      <c r="H12966" s="1"/>
      <c r="I12966" s="1"/>
      <c r="J12966" s="1"/>
      <c r="K12966" s="1"/>
      <c r="L12966" s="1"/>
      <c r="M12966" s="1"/>
      <c r="N12966" s="1"/>
      <c r="O12966" s="1"/>
      <c r="P12966" s="1"/>
      <c r="Q12966" s="1"/>
      <c r="R12966" s="1"/>
      <c r="S12966" s="1"/>
      <c r="T12966" s="1"/>
      <c r="U12966" s="1"/>
      <c r="V12966" s="1"/>
      <c r="W12966" s="1"/>
      <c r="X12966" s="1"/>
      <c r="Y12966" s="1"/>
      <c r="Z12966" s="1"/>
      <c r="AA12966" s="1"/>
      <c r="AB12966" s="1"/>
    </row>
    <row r="12967" ht="50.25" customHeight="1">
      <c r="A12967" s="12">
        <v>12963.0</v>
      </c>
      <c r="B12967" s="13" t="s">
        <v>12428</v>
      </c>
      <c r="C12967" s="14" t="s">
        <v>12577</v>
      </c>
      <c r="D12967" s="1"/>
      <c r="E12967" s="1"/>
      <c r="F12967" s="1" t="str">
        <f>IFERROR(__xludf.DUMMYFUNCTION("GOOGLETRANSLATE(B12967, ""en"", ""fa"")
"),"سلامت روان و رفاه")</f>
        <v>سلامت روان و رفاه</v>
      </c>
      <c r="G12967" s="1" t="str">
        <f>IFERROR(__xludf.DUMMYFUNCTION("GOOGLETRANSLATE(C12967, ""en"", ""fa"")
"),"چگونه می توانم حس هدفمندی را پرورش دهم و برای بهبود سلامت روانی در زندگی خود معنایی پیدا کنم؟")</f>
        <v>چگونه می توانم حس هدفمندی را پرورش دهم و برای بهبود سلامت روانی در زندگی خود معنایی پیدا کنم؟</v>
      </c>
      <c r="H12967" s="1"/>
      <c r="I12967" s="1"/>
      <c r="J12967" s="1"/>
      <c r="K12967" s="1"/>
      <c r="L12967" s="1"/>
      <c r="M12967" s="1"/>
      <c r="N12967" s="1"/>
      <c r="O12967" s="1"/>
      <c r="P12967" s="1"/>
      <c r="Q12967" s="1"/>
      <c r="R12967" s="1"/>
      <c r="S12967" s="1"/>
      <c r="T12967" s="1"/>
      <c r="U12967" s="1"/>
      <c r="V12967" s="1"/>
      <c r="W12967" s="1"/>
      <c r="X12967" s="1"/>
      <c r="Y12967" s="1"/>
      <c r="Z12967" s="1"/>
      <c r="AA12967" s="1"/>
      <c r="AB12967" s="1"/>
    </row>
    <row r="12968" ht="50.25" customHeight="1">
      <c r="A12968" s="12">
        <v>12964.0</v>
      </c>
      <c r="B12968" s="13" t="s">
        <v>12428</v>
      </c>
      <c r="C12968" s="14" t="s">
        <v>12578</v>
      </c>
      <c r="D12968" s="1"/>
      <c r="E12968" s="1"/>
      <c r="F12968" s="1" t="str">
        <f>IFERROR(__xludf.DUMMYFUNCTION("GOOGLETRANSLATE(B12968, ""en"", ""fa"")
"),"سلامت روان و رفاه")</f>
        <v>سلامت روان و رفاه</v>
      </c>
      <c r="G12968" s="1" t="str">
        <f>IFERROR(__xludf.DUMMYFUNCTION("GOOGLETRANSLATE(C12968, ""en"", ""fa"")
"),"آیا می توانید تکنیک هایی برای مدیریت و کاهش علائم افسردگی پس از زایمان پیشنهاد دهید؟")</f>
        <v>آیا می توانید تکنیک هایی برای مدیریت و کاهش علائم افسردگی پس از زایمان پیشنهاد دهید؟</v>
      </c>
      <c r="H12968" s="1"/>
      <c r="I12968" s="1"/>
      <c r="J12968" s="1"/>
      <c r="K12968" s="1"/>
      <c r="L12968" s="1"/>
      <c r="M12968" s="1"/>
      <c r="N12968" s="1"/>
      <c r="O12968" s="1"/>
      <c r="P12968" s="1"/>
      <c r="Q12968" s="1"/>
      <c r="R12968" s="1"/>
      <c r="S12968" s="1"/>
      <c r="T12968" s="1"/>
      <c r="U12968" s="1"/>
      <c r="V12968" s="1"/>
      <c r="W12968" s="1"/>
      <c r="X12968" s="1"/>
      <c r="Y12968" s="1"/>
      <c r="Z12968" s="1"/>
      <c r="AA12968" s="1"/>
      <c r="AB12968" s="1"/>
    </row>
    <row r="12969" ht="50.25" customHeight="1">
      <c r="A12969" s="12">
        <v>12965.0</v>
      </c>
      <c r="B12969" s="13" t="s">
        <v>12428</v>
      </c>
      <c r="C12969" s="14" t="s">
        <v>12579</v>
      </c>
      <c r="D12969" s="1"/>
      <c r="E12969" s="1"/>
      <c r="F12969" s="1" t="str">
        <f>IFERROR(__xludf.DUMMYFUNCTION("GOOGLETRANSLATE(B12969, ""en"", ""fa"")
"),"سلامت روان و رفاه")</f>
        <v>سلامت روان و رفاه</v>
      </c>
      <c r="G12969" s="1" t="str">
        <f>IFERROR(__xludf.DUMMYFUNCTION("GOOGLETRANSLATE(C12969, ""en"", ""fa"")
"),"نکات اصلی برای ترویج شفقت و درک خود در زمان های چالش برانگیز چیست؟")</f>
        <v>نکات اصلی برای ترویج شفقت و درک خود در زمان های چالش برانگیز چیست؟</v>
      </c>
      <c r="H12969" s="1"/>
      <c r="I12969" s="1"/>
      <c r="J12969" s="1"/>
      <c r="K12969" s="1"/>
      <c r="L12969" s="1"/>
      <c r="M12969" s="1"/>
      <c r="N12969" s="1"/>
      <c r="O12969" s="1"/>
      <c r="P12969" s="1"/>
      <c r="Q12969" s="1"/>
      <c r="R12969" s="1"/>
      <c r="S12969" s="1"/>
      <c r="T12969" s="1"/>
      <c r="U12969" s="1"/>
      <c r="V12969" s="1"/>
      <c r="W12969" s="1"/>
      <c r="X12969" s="1"/>
      <c r="Y12969" s="1"/>
      <c r="Z12969" s="1"/>
      <c r="AA12969" s="1"/>
      <c r="AB12969" s="1"/>
    </row>
    <row r="12970" ht="50.25" customHeight="1">
      <c r="A12970" s="12">
        <v>12966.0</v>
      </c>
      <c r="B12970" s="13" t="s">
        <v>12428</v>
      </c>
      <c r="C12970" s="14" t="s">
        <v>12541</v>
      </c>
      <c r="D12970" s="1"/>
      <c r="E12970" s="1"/>
      <c r="F12970" s="1" t="str">
        <f>IFERROR(__xludf.DUMMYFUNCTION("GOOGLETRANSLATE(B12970, ""en"", ""fa"")
"),"سلامت روان و رفاه")</f>
        <v>سلامت روان و رفاه</v>
      </c>
      <c r="G12970" s="1" t="str">
        <f>IFERROR(__xludf.DUMMYFUNCTION("GOOGLETRANSLATE(C12970, ""en"", ""fa"")
"),"چگونه می توانم بیان خلاقانه را برای بهبود سلامت ذهنی در زندگی خود بگنجانم؟")</f>
        <v>چگونه می توانم بیان خلاقانه را برای بهبود سلامت ذهنی در زندگی خود بگنجانم؟</v>
      </c>
      <c r="H12970" s="1"/>
      <c r="I12970" s="1"/>
      <c r="J12970" s="1"/>
      <c r="K12970" s="1"/>
      <c r="L12970" s="1"/>
      <c r="M12970" s="1"/>
      <c r="N12970" s="1"/>
      <c r="O12970" s="1"/>
      <c r="P12970" s="1"/>
      <c r="Q12970" s="1"/>
      <c r="R12970" s="1"/>
      <c r="S12970" s="1"/>
      <c r="T12970" s="1"/>
      <c r="U12970" s="1"/>
      <c r="V12970" s="1"/>
      <c r="W12970" s="1"/>
      <c r="X12970" s="1"/>
      <c r="Y12970" s="1"/>
      <c r="Z12970" s="1"/>
      <c r="AA12970" s="1"/>
      <c r="AB12970" s="1"/>
    </row>
    <row r="12971" ht="50.25" customHeight="1">
      <c r="A12971" s="12">
        <v>12967.0</v>
      </c>
      <c r="B12971" s="13" t="s">
        <v>12428</v>
      </c>
      <c r="C12971" s="14" t="s">
        <v>12580</v>
      </c>
      <c r="D12971" s="1"/>
      <c r="E12971" s="1"/>
      <c r="F12971" s="1" t="str">
        <f>IFERROR(__xludf.DUMMYFUNCTION("GOOGLETRANSLATE(B12971, ""en"", ""fa"")
"),"سلامت روان و رفاه")</f>
        <v>سلامت روان و رفاه</v>
      </c>
      <c r="G12971" s="1" t="str">
        <f>IFERROR(__xludf.DUMMYFUNCTION("GOOGLETRANSLATE(C12971, ""en"", ""fa"")
"),"بهترین منابع برای یادگیری در مورد انواع مختلف تمرینات ذهن آگاهی و مزایای آنها چیست؟")</f>
        <v>بهترین منابع برای یادگیری در مورد انواع مختلف تمرینات ذهن آگاهی و مزایای آنها چیست؟</v>
      </c>
      <c r="H12971" s="1"/>
      <c r="I12971" s="1"/>
      <c r="J12971" s="1"/>
      <c r="K12971" s="1"/>
      <c r="L12971" s="1"/>
      <c r="M12971" s="1"/>
      <c r="N12971" s="1"/>
      <c r="O12971" s="1"/>
      <c r="P12971" s="1"/>
      <c r="Q12971" s="1"/>
      <c r="R12971" s="1"/>
      <c r="S12971" s="1"/>
      <c r="T12971" s="1"/>
      <c r="U12971" s="1"/>
      <c r="V12971" s="1"/>
      <c r="W12971" s="1"/>
      <c r="X12971" s="1"/>
      <c r="Y12971" s="1"/>
      <c r="Z12971" s="1"/>
      <c r="AA12971" s="1"/>
      <c r="AB12971" s="1"/>
    </row>
    <row r="12972" ht="50.25" customHeight="1">
      <c r="A12972" s="12">
        <v>12968.0</v>
      </c>
      <c r="B12972" s="13" t="s">
        <v>12428</v>
      </c>
      <c r="C12972" s="14" t="s">
        <v>12533</v>
      </c>
      <c r="D12972" s="1"/>
      <c r="E12972" s="1"/>
      <c r="F12972" s="1" t="str">
        <f>IFERROR(__xludf.DUMMYFUNCTION("GOOGLETRANSLATE(B12972, ""en"", ""fa"")
"),"سلامت روان و رفاه")</f>
        <v>سلامت روان و رفاه</v>
      </c>
      <c r="G12972" s="1" t="str">
        <f>IFERROR(__xludf.DUMMYFUNCTION("GOOGLETRANSLATE(C12972, ""en"", ""fa"")
"),"چگونه می توانم بر احساس گناه و شرمندگی برای ارتقاء شفای ذهنی غلبه کنم؟")</f>
        <v>چگونه می توانم بر احساس گناه و شرمندگی برای ارتقاء شفای ذهنی غلبه کنم؟</v>
      </c>
      <c r="H12972" s="1"/>
      <c r="I12972" s="1"/>
      <c r="J12972" s="1"/>
      <c r="K12972" s="1"/>
      <c r="L12972" s="1"/>
      <c r="M12972" s="1"/>
      <c r="N12972" s="1"/>
      <c r="O12972" s="1"/>
      <c r="P12972" s="1"/>
      <c r="Q12972" s="1"/>
      <c r="R12972" s="1"/>
      <c r="S12972" s="1"/>
      <c r="T12972" s="1"/>
      <c r="U12972" s="1"/>
      <c r="V12972" s="1"/>
      <c r="W12972" s="1"/>
      <c r="X12972" s="1"/>
      <c r="Y12972" s="1"/>
      <c r="Z12972" s="1"/>
      <c r="AA12972" s="1"/>
      <c r="AB12972" s="1"/>
    </row>
    <row r="12973" ht="50.25" customHeight="1">
      <c r="A12973" s="12">
        <v>12969.0</v>
      </c>
      <c r="B12973" s="13" t="s">
        <v>12428</v>
      </c>
      <c r="C12973" s="14" t="s">
        <v>12581</v>
      </c>
      <c r="D12973" s="1"/>
      <c r="E12973" s="1"/>
      <c r="F12973" s="1" t="str">
        <f>IFERROR(__xludf.DUMMYFUNCTION("GOOGLETRANSLATE(B12973, ""en"", ""fa"")
"),"سلامت روان و رفاه")</f>
        <v>سلامت روان و رفاه</v>
      </c>
      <c r="G12973" s="1" t="str">
        <f>IFERROR(__xludf.DUMMYFUNCTION("GOOGLETRANSLATE(C12973, ""en"", ""fa"")
"),"آیا می توانید فعالیت هایی را برای تمرین ذهن آگاهی و خودآگاهی در طبیعت توصیه کنید؟")</f>
        <v>آیا می توانید فعالیت هایی را برای تمرین ذهن آگاهی و خودآگاهی در طبیعت توصیه کنید؟</v>
      </c>
      <c r="H12973" s="1"/>
      <c r="I12973" s="1"/>
      <c r="J12973" s="1"/>
      <c r="K12973" s="1"/>
      <c r="L12973" s="1"/>
      <c r="M12973" s="1"/>
      <c r="N12973" s="1"/>
      <c r="O12973" s="1"/>
      <c r="P12973" s="1"/>
      <c r="Q12973" s="1"/>
      <c r="R12973" s="1"/>
      <c r="S12973" s="1"/>
      <c r="T12973" s="1"/>
      <c r="U12973" s="1"/>
      <c r="V12973" s="1"/>
      <c r="W12973" s="1"/>
      <c r="X12973" s="1"/>
      <c r="Y12973" s="1"/>
      <c r="Z12973" s="1"/>
      <c r="AA12973" s="1"/>
      <c r="AB12973" s="1"/>
    </row>
    <row r="12974" ht="50.25" customHeight="1">
      <c r="A12974" s="12">
        <v>12970.0</v>
      </c>
      <c r="B12974" s="13" t="s">
        <v>12428</v>
      </c>
      <c r="C12974" s="14" t="s">
        <v>12535</v>
      </c>
      <c r="D12974" s="1"/>
      <c r="E12974" s="1"/>
      <c r="F12974" s="1" t="str">
        <f>IFERROR(__xludf.DUMMYFUNCTION("GOOGLETRANSLATE(B12974, ""en"", ""fa"")
"),"سلامت روان و رفاه")</f>
        <v>سلامت روان و رفاه</v>
      </c>
      <c r="G12974" s="1" t="str">
        <f>IFERROR(__xludf.DUMMYFUNCTION("GOOGLETRANSLATE(C12974, ""en"", ""fa"")
"),"راهبردهای برتر برای مدیریت و کاهش علائم اختلال نقص توجه و بیش فعالی (ADHD) چیست؟")</f>
        <v>راهبردهای برتر برای مدیریت و کاهش علائم اختلال نقص توجه و بیش فعالی (ADHD) چیست؟</v>
      </c>
      <c r="H12974" s="1"/>
      <c r="I12974" s="1"/>
      <c r="J12974" s="1"/>
      <c r="K12974" s="1"/>
      <c r="L12974" s="1"/>
      <c r="M12974" s="1"/>
      <c r="N12974" s="1"/>
      <c r="O12974" s="1"/>
      <c r="P12974" s="1"/>
      <c r="Q12974" s="1"/>
      <c r="R12974" s="1"/>
      <c r="S12974" s="1"/>
      <c r="T12974" s="1"/>
      <c r="U12974" s="1"/>
      <c r="V12974" s="1"/>
      <c r="W12974" s="1"/>
      <c r="X12974" s="1"/>
      <c r="Y12974" s="1"/>
      <c r="Z12974" s="1"/>
      <c r="AA12974" s="1"/>
      <c r="AB12974" s="1"/>
    </row>
    <row r="12975" ht="50.25" customHeight="1">
      <c r="A12975" s="12">
        <v>12971.0</v>
      </c>
      <c r="B12975" s="13" t="s">
        <v>12428</v>
      </c>
      <c r="C12975" s="14" t="s">
        <v>12565</v>
      </c>
      <c r="D12975" s="1"/>
      <c r="E12975" s="1"/>
      <c r="F12975" s="1" t="str">
        <f>IFERROR(__xludf.DUMMYFUNCTION("GOOGLETRANSLATE(B12975, ""en"", ""fa"")
"),"سلامت روان و رفاه")</f>
        <v>سلامت روان و رفاه</v>
      </c>
      <c r="G12975" s="1" t="str">
        <f>IFERROR(__xludf.DUMMYFUNCTION("GOOGLETRANSLATE(C12975, ""en"", ""fa"")
"),"چگونه می توانم در مواقع سخت، شفقت به خود را تمرین کنم و به خودم محبت کنم؟")</f>
        <v>چگونه می توانم در مواقع سخت، شفقت به خود را تمرین کنم و به خودم محبت کنم؟</v>
      </c>
      <c r="H12975" s="1"/>
      <c r="I12975" s="1"/>
      <c r="J12975" s="1"/>
      <c r="K12975" s="1"/>
      <c r="L12975" s="1"/>
      <c r="M12975" s="1"/>
      <c r="N12975" s="1"/>
      <c r="O12975" s="1"/>
      <c r="P12975" s="1"/>
      <c r="Q12975" s="1"/>
      <c r="R12975" s="1"/>
      <c r="S12975" s="1"/>
      <c r="T12975" s="1"/>
      <c r="U12975" s="1"/>
      <c r="V12975" s="1"/>
      <c r="W12975" s="1"/>
      <c r="X12975" s="1"/>
      <c r="Y12975" s="1"/>
      <c r="Z12975" s="1"/>
      <c r="AA12975" s="1"/>
      <c r="AB12975" s="1"/>
    </row>
    <row r="12976" ht="50.25" customHeight="1">
      <c r="A12976" s="12">
        <v>12972.0</v>
      </c>
      <c r="B12976" s="13" t="s">
        <v>12428</v>
      </c>
      <c r="C12976" s="14" t="s">
        <v>12566</v>
      </c>
      <c r="D12976" s="1"/>
      <c r="E12976" s="1"/>
      <c r="F12976" s="1" t="str">
        <f>IFERROR(__xludf.DUMMYFUNCTION("GOOGLETRANSLATE(B12976, ""en"", ""fa"")
"),"سلامت روان و رفاه")</f>
        <v>سلامت روان و رفاه</v>
      </c>
      <c r="G12976" s="1" t="str">
        <f>IFERROR(__xludf.DUMMYFUNCTION("GOOGLETRANSLATE(C12976, ""en"", ""fa"")
"),"بهترین شیوه ها برای مدیریت و کاهش علائم اختلال هویت تجزیه ای (DID) چیست؟")</f>
        <v>بهترین شیوه ها برای مدیریت و کاهش علائم اختلال هویت تجزیه ای (DID) چیست؟</v>
      </c>
      <c r="H12976" s="1"/>
      <c r="I12976" s="1"/>
      <c r="J12976" s="1"/>
      <c r="K12976" s="1"/>
      <c r="L12976" s="1"/>
      <c r="M12976" s="1"/>
      <c r="N12976" s="1"/>
      <c r="O12976" s="1"/>
      <c r="P12976" s="1"/>
      <c r="Q12976" s="1"/>
      <c r="R12976" s="1"/>
      <c r="S12976" s="1"/>
      <c r="T12976" s="1"/>
      <c r="U12976" s="1"/>
      <c r="V12976" s="1"/>
      <c r="W12976" s="1"/>
      <c r="X12976" s="1"/>
      <c r="Y12976" s="1"/>
      <c r="Z12976" s="1"/>
      <c r="AA12976" s="1"/>
      <c r="AB12976" s="1"/>
    </row>
    <row r="12977" ht="50.25" customHeight="1">
      <c r="A12977" s="12">
        <v>12973.0</v>
      </c>
      <c r="B12977" s="13" t="s">
        <v>12428</v>
      </c>
      <c r="C12977" s="14" t="s">
        <v>12567</v>
      </c>
      <c r="D12977" s="1"/>
      <c r="E12977" s="1"/>
      <c r="F12977" s="1" t="str">
        <f>IFERROR(__xludf.DUMMYFUNCTION("GOOGLETRANSLATE(B12977, ""en"", ""fa"")
"),"سلامت روان و رفاه")</f>
        <v>سلامت روان و رفاه</v>
      </c>
      <c r="G12977" s="1" t="str">
        <f>IFERROR(__xludf.DUMMYFUNCTION("GOOGLETRANSLATE(C12977, ""en"", ""fa"")
"),"چگونه می توانم مرزهای سالم را در زندگی شخصی و حرفه ای خود ایجاد و حفظ کنم؟")</f>
        <v>چگونه می توانم مرزهای سالم را در زندگی شخصی و حرفه ای خود ایجاد و حفظ کنم؟</v>
      </c>
      <c r="H12977" s="1"/>
      <c r="I12977" s="1"/>
      <c r="J12977" s="1"/>
      <c r="K12977" s="1"/>
      <c r="L12977" s="1"/>
      <c r="M12977" s="1"/>
      <c r="N12977" s="1"/>
      <c r="O12977" s="1"/>
      <c r="P12977" s="1"/>
      <c r="Q12977" s="1"/>
      <c r="R12977" s="1"/>
      <c r="S12977" s="1"/>
      <c r="T12977" s="1"/>
      <c r="U12977" s="1"/>
      <c r="V12977" s="1"/>
      <c r="W12977" s="1"/>
      <c r="X12977" s="1"/>
      <c r="Y12977" s="1"/>
      <c r="Z12977" s="1"/>
      <c r="AA12977" s="1"/>
      <c r="AB12977" s="1"/>
    </row>
    <row r="12978" ht="50.25" customHeight="1">
      <c r="A12978" s="12">
        <v>12974.0</v>
      </c>
      <c r="B12978" s="13" t="s">
        <v>12428</v>
      </c>
      <c r="C12978" s="14" t="s">
        <v>12568</v>
      </c>
      <c r="D12978" s="1"/>
      <c r="E12978" s="1"/>
      <c r="F12978" s="1" t="str">
        <f>IFERROR(__xludf.DUMMYFUNCTION("GOOGLETRANSLATE(B12978, ""en"", ""fa"")
"),"سلامت روان و رفاه")</f>
        <v>سلامت روان و رفاه</v>
      </c>
      <c r="G12978" s="1" t="str">
        <f>IFERROR(__xludf.DUMMYFUNCTION("GOOGLETRANSLATE(C12978, ""en"", ""fa"")
"),"آیا می توانید منابعی را برای یادگیری تکنیک های مختلف آرامش برای کاهش استرس توصیه کنید؟")</f>
        <v>آیا می توانید منابعی را برای یادگیری تکنیک های مختلف آرامش برای کاهش استرس توصیه کنید؟</v>
      </c>
      <c r="H12978" s="1"/>
      <c r="I12978" s="1"/>
      <c r="J12978" s="1"/>
      <c r="K12978" s="1"/>
      <c r="L12978" s="1"/>
      <c r="M12978" s="1"/>
      <c r="N12978" s="1"/>
      <c r="O12978" s="1"/>
      <c r="P12978" s="1"/>
      <c r="Q12978" s="1"/>
      <c r="R12978" s="1"/>
      <c r="S12978" s="1"/>
      <c r="T12978" s="1"/>
      <c r="U12978" s="1"/>
      <c r="V12978" s="1"/>
      <c r="W12978" s="1"/>
      <c r="X12978" s="1"/>
      <c r="Y12978" s="1"/>
      <c r="Z12978" s="1"/>
      <c r="AA12978" s="1"/>
      <c r="AB12978" s="1"/>
    </row>
    <row r="12979" ht="50.25" customHeight="1">
      <c r="A12979" s="12">
        <v>12975.0</v>
      </c>
      <c r="B12979" s="13" t="s">
        <v>12428</v>
      </c>
      <c r="C12979" s="14" t="s">
        <v>12569</v>
      </c>
      <c r="D12979" s="1"/>
      <c r="E12979" s="1"/>
      <c r="F12979" s="1" t="str">
        <f>IFERROR(__xludf.DUMMYFUNCTION("GOOGLETRANSLATE(B12979, ""en"", ""fa"")
"),"سلامت روان و رفاه")</f>
        <v>سلامت روان و رفاه</v>
      </c>
      <c r="G12979" s="1" t="str">
        <f>IFERROR(__xludf.DUMMYFUNCTION("GOOGLETRANSLATE(C12979, ""en"", ""fa"")
"),"نکات مهم برای ایجاد و حفظ انعطاف پذیری در زمان های چالش برانگیز چیست؟")</f>
        <v>نکات مهم برای ایجاد و حفظ انعطاف پذیری در زمان های چالش برانگیز چیست؟</v>
      </c>
      <c r="H12979" s="1"/>
      <c r="I12979" s="1"/>
      <c r="J12979" s="1"/>
      <c r="K12979" s="1"/>
      <c r="L12979" s="1"/>
      <c r="M12979" s="1"/>
      <c r="N12979" s="1"/>
      <c r="O12979" s="1"/>
      <c r="P12979" s="1"/>
      <c r="Q12979" s="1"/>
      <c r="R12979" s="1"/>
      <c r="S12979" s="1"/>
      <c r="T12979" s="1"/>
      <c r="U12979" s="1"/>
      <c r="V12979" s="1"/>
      <c r="W12979" s="1"/>
      <c r="X12979" s="1"/>
      <c r="Y12979" s="1"/>
      <c r="Z12979" s="1"/>
      <c r="AA12979" s="1"/>
      <c r="AB12979" s="1"/>
    </row>
    <row r="12980" ht="50.25" customHeight="1">
      <c r="A12980" s="12">
        <v>12976.0</v>
      </c>
      <c r="B12980" s="13" t="s">
        <v>12428</v>
      </c>
      <c r="C12980" s="14" t="s">
        <v>12570</v>
      </c>
      <c r="D12980" s="1"/>
      <c r="E12980" s="1"/>
      <c r="F12980" s="1" t="str">
        <f>IFERROR(__xludf.DUMMYFUNCTION("GOOGLETRANSLATE(B12980, ""en"", ""fa"")
"),"سلامت روان و رفاه")</f>
        <v>سلامت روان و رفاه</v>
      </c>
      <c r="G12980" s="1" t="str">
        <f>IFERROR(__xludf.DUMMYFUNCTION("GOOGLETRANSLATE(C12980, ""en"", ""fa"")
"),"چگونه می توانم طبیعت و فعالیت های بیرون از خانه را برای بهبود سلامت ذهنی در برنامه روزانه خود بگنجانم؟")</f>
        <v>چگونه می توانم طبیعت و فعالیت های بیرون از خانه را برای بهبود سلامت ذهنی در برنامه روزانه خود بگنجانم؟</v>
      </c>
      <c r="H12980" s="1"/>
      <c r="I12980" s="1"/>
      <c r="J12980" s="1"/>
      <c r="K12980" s="1"/>
      <c r="L12980" s="1"/>
      <c r="M12980" s="1"/>
      <c r="N12980" s="1"/>
      <c r="O12980" s="1"/>
      <c r="P12980" s="1"/>
      <c r="Q12980" s="1"/>
      <c r="R12980" s="1"/>
      <c r="S12980" s="1"/>
      <c r="T12980" s="1"/>
      <c r="U12980" s="1"/>
      <c r="V12980" s="1"/>
      <c r="W12980" s="1"/>
      <c r="X12980" s="1"/>
      <c r="Y12980" s="1"/>
      <c r="Z12980" s="1"/>
      <c r="AA12980" s="1"/>
      <c r="AB12980" s="1"/>
    </row>
    <row r="12981" ht="50.25" customHeight="1">
      <c r="A12981" s="12">
        <v>12977.0</v>
      </c>
      <c r="B12981" s="13" t="s">
        <v>12428</v>
      </c>
      <c r="C12981" s="14" t="s">
        <v>12571</v>
      </c>
      <c r="D12981" s="1"/>
      <c r="E12981" s="1"/>
      <c r="F12981" s="1" t="str">
        <f>IFERROR(__xludf.DUMMYFUNCTION("GOOGLETRANSLATE(B12981, ""en"", ""fa"")
"),"سلامت روان و رفاه")</f>
        <v>سلامت روان و رفاه</v>
      </c>
      <c r="G12981" s="1" t="str">
        <f>IFERROR(__xludf.DUMMYFUNCTION("GOOGLETRANSLATE(C12981, ""en"", ""fa"")
"),"بهترین راهکارها برای مدیریت و کاهش علائم اختلالات خوردن چیست؟")</f>
        <v>بهترین راهکارها برای مدیریت و کاهش علائم اختلالات خوردن چیست؟</v>
      </c>
      <c r="H12981" s="1"/>
      <c r="I12981" s="1"/>
      <c r="J12981" s="1"/>
      <c r="K12981" s="1"/>
      <c r="L12981" s="1"/>
      <c r="M12981" s="1"/>
      <c r="N12981" s="1"/>
      <c r="O12981" s="1"/>
      <c r="P12981" s="1"/>
      <c r="Q12981" s="1"/>
      <c r="R12981" s="1"/>
      <c r="S12981" s="1"/>
      <c r="T12981" s="1"/>
      <c r="U12981" s="1"/>
      <c r="V12981" s="1"/>
      <c r="W12981" s="1"/>
      <c r="X12981" s="1"/>
      <c r="Y12981" s="1"/>
      <c r="Z12981" s="1"/>
      <c r="AA12981" s="1"/>
      <c r="AB12981" s="1"/>
    </row>
    <row r="12982" ht="50.25" customHeight="1">
      <c r="A12982" s="12">
        <v>12978.0</v>
      </c>
      <c r="B12982" s="13" t="s">
        <v>12428</v>
      </c>
      <c r="C12982" s="14" t="s">
        <v>12572</v>
      </c>
      <c r="D12982" s="1"/>
      <c r="E12982" s="1"/>
      <c r="F12982" s="1" t="str">
        <f>IFERROR(__xludf.DUMMYFUNCTION("GOOGLETRANSLATE(B12982, ""en"", ""fa"")
"),"سلامت روان و رفاه")</f>
        <v>سلامت روان و رفاه</v>
      </c>
      <c r="G12982" s="1" t="str">
        <f>IFERROR(__xludf.DUMMYFUNCTION("GOOGLETRANSLATE(C12982,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2982" s="1"/>
      <c r="I12982" s="1"/>
      <c r="J12982" s="1"/>
      <c r="K12982" s="1"/>
      <c r="L12982" s="1"/>
      <c r="M12982" s="1"/>
      <c r="N12982" s="1"/>
      <c r="O12982" s="1"/>
      <c r="P12982" s="1"/>
      <c r="Q12982" s="1"/>
      <c r="R12982" s="1"/>
      <c r="S12982" s="1"/>
      <c r="T12982" s="1"/>
      <c r="U12982" s="1"/>
      <c r="V12982" s="1"/>
      <c r="W12982" s="1"/>
      <c r="X12982" s="1"/>
      <c r="Y12982" s="1"/>
      <c r="Z12982" s="1"/>
      <c r="AA12982" s="1"/>
      <c r="AB12982" s="1"/>
    </row>
    <row r="12983" ht="50.25" customHeight="1">
      <c r="A12983" s="12">
        <v>12979.0</v>
      </c>
      <c r="B12983" s="13" t="s">
        <v>12428</v>
      </c>
      <c r="C12983" s="14" t="s">
        <v>12573</v>
      </c>
      <c r="D12983" s="1"/>
      <c r="E12983" s="1"/>
      <c r="F12983" s="1" t="str">
        <f>IFERROR(__xludf.DUMMYFUNCTION("GOOGLETRANSLATE(B12983, ""en"", ""fa"")
"),"سلامت روان و رفاه")</f>
        <v>سلامت روان و رفاه</v>
      </c>
      <c r="G12983" s="1" t="str">
        <f>IFERROR(__xludf.DUMMYFUNCTION("GOOGLETRANSLATE(C12983, ""en"", ""fa"")
"),"آیا می توانید تکنیک هایی برای مدیریت و کاهش علائم اسکیزوفرنی پیشنهاد دهید؟")</f>
        <v>آیا می توانید تکنیک هایی برای مدیریت و کاهش علائم اسکیزوفرنی پیشنهاد دهید؟</v>
      </c>
      <c r="H12983" s="1"/>
      <c r="I12983" s="1"/>
      <c r="J12983" s="1"/>
      <c r="K12983" s="1"/>
      <c r="L12983" s="1"/>
      <c r="M12983" s="1"/>
      <c r="N12983" s="1"/>
      <c r="O12983" s="1"/>
      <c r="P12983" s="1"/>
      <c r="Q12983" s="1"/>
      <c r="R12983" s="1"/>
      <c r="S12983" s="1"/>
      <c r="T12983" s="1"/>
      <c r="U12983" s="1"/>
      <c r="V12983" s="1"/>
      <c r="W12983" s="1"/>
      <c r="X12983" s="1"/>
      <c r="Y12983" s="1"/>
      <c r="Z12983" s="1"/>
      <c r="AA12983" s="1"/>
      <c r="AB12983" s="1"/>
    </row>
    <row r="12984" ht="50.25" customHeight="1">
      <c r="A12984" s="12">
        <v>12980.0</v>
      </c>
      <c r="B12984" s="13" t="s">
        <v>12428</v>
      </c>
      <c r="C12984" s="14" t="s">
        <v>12574</v>
      </c>
      <c r="D12984" s="1"/>
      <c r="E12984" s="1"/>
      <c r="F12984" s="1" t="str">
        <f>IFERROR(__xludf.DUMMYFUNCTION("GOOGLETRANSLATE(B12984, ""en"", ""fa"")
"),"سلامت روان و رفاه")</f>
        <v>سلامت روان و رفاه</v>
      </c>
      <c r="G12984" s="1" t="str">
        <f>IFERROR(__xludf.DUMMYFUNCTION("GOOGLETRANSLATE(C12984, ""en"", ""fa"")
"),"نکات مهم برای پرورش ذهنیت رشد و پذیرش چالش ها به عنوان فرصت هایی برای رشد شخصی چیست؟")</f>
        <v>نکات مهم برای پرورش ذهنیت رشد و پذیرش چالش ها به عنوان فرصت هایی برای رشد شخصی چیست؟</v>
      </c>
      <c r="H12984" s="1"/>
      <c r="I12984" s="1"/>
      <c r="J12984" s="1"/>
      <c r="K12984" s="1"/>
      <c r="L12984" s="1"/>
      <c r="M12984" s="1"/>
      <c r="N12984" s="1"/>
      <c r="O12984" s="1"/>
      <c r="P12984" s="1"/>
      <c r="Q12984" s="1"/>
      <c r="R12984" s="1"/>
      <c r="S12984" s="1"/>
      <c r="T12984" s="1"/>
      <c r="U12984" s="1"/>
      <c r="V12984" s="1"/>
      <c r="W12984" s="1"/>
      <c r="X12984" s="1"/>
      <c r="Y12984" s="1"/>
      <c r="Z12984" s="1"/>
      <c r="AA12984" s="1"/>
      <c r="AB12984" s="1"/>
    </row>
    <row r="12985" ht="50.25" customHeight="1">
      <c r="A12985" s="12">
        <v>12981.0</v>
      </c>
      <c r="B12985" s="13" t="s">
        <v>12428</v>
      </c>
      <c r="C12985" s="14" t="s">
        <v>12499</v>
      </c>
      <c r="D12985" s="1"/>
      <c r="E12985" s="1"/>
      <c r="F12985" s="1" t="str">
        <f>IFERROR(__xludf.DUMMYFUNCTION("GOOGLETRANSLATE(B12985, ""en"", ""fa"")
"),"سلامت روان و رفاه")</f>
        <v>سلامت روان و رفاه</v>
      </c>
      <c r="G12985" s="1" t="str">
        <f>IFERROR(__xludf.DUMMYFUNCTION("GOOGLETRANSLATE(C12985,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2985" s="1"/>
      <c r="I12985" s="1"/>
      <c r="J12985" s="1"/>
      <c r="K12985" s="1"/>
      <c r="L12985" s="1"/>
      <c r="M12985" s="1"/>
      <c r="N12985" s="1"/>
      <c r="O12985" s="1"/>
      <c r="P12985" s="1"/>
      <c r="Q12985" s="1"/>
      <c r="R12985" s="1"/>
      <c r="S12985" s="1"/>
      <c r="T12985" s="1"/>
      <c r="U12985" s="1"/>
      <c r="V12985" s="1"/>
      <c r="W12985" s="1"/>
      <c r="X12985" s="1"/>
      <c r="Y12985" s="1"/>
      <c r="Z12985" s="1"/>
      <c r="AA12985" s="1"/>
      <c r="AB12985" s="1"/>
    </row>
    <row r="12986" ht="50.25" customHeight="1">
      <c r="A12986" s="12">
        <v>12982.0</v>
      </c>
      <c r="B12986" s="13" t="s">
        <v>12428</v>
      </c>
      <c r="C12986" s="14" t="s">
        <v>12500</v>
      </c>
      <c r="D12986" s="1"/>
      <c r="E12986" s="1"/>
      <c r="F12986" s="1" t="str">
        <f>IFERROR(__xludf.DUMMYFUNCTION("GOOGLETRANSLATE(B12986, ""en"", ""fa"")
"),"سلامت روان و رفاه")</f>
        <v>سلامت روان و رفاه</v>
      </c>
      <c r="G12986" s="1" t="str">
        <f>IFERROR(__xludf.DUMMYFUNCTION("GOOGLETRANSLATE(C12986, ""en"", ""fa"")
"),"بهترین تکنیک ها برای مدیریت و کاهش علائم فوبیا و ترس چیست؟")</f>
        <v>بهترین تکنیک ها برای مدیریت و کاهش علائم فوبیا و ترس چیست؟</v>
      </c>
      <c r="H12986" s="1"/>
      <c r="I12986" s="1"/>
      <c r="J12986" s="1"/>
      <c r="K12986" s="1"/>
      <c r="L12986" s="1"/>
      <c r="M12986" s="1"/>
      <c r="N12986" s="1"/>
      <c r="O12986" s="1"/>
      <c r="P12986" s="1"/>
      <c r="Q12986" s="1"/>
      <c r="R12986" s="1"/>
      <c r="S12986" s="1"/>
      <c r="T12986" s="1"/>
      <c r="U12986" s="1"/>
      <c r="V12986" s="1"/>
      <c r="W12986" s="1"/>
      <c r="X12986" s="1"/>
      <c r="Y12986" s="1"/>
      <c r="Z12986" s="1"/>
      <c r="AA12986" s="1"/>
      <c r="AB12986" s="1"/>
    </row>
    <row r="12987" ht="50.25" customHeight="1">
      <c r="A12987" s="12">
        <v>12983.0</v>
      </c>
      <c r="B12987" s="13" t="s">
        <v>12428</v>
      </c>
      <c r="C12987" s="14" t="s">
        <v>12501</v>
      </c>
      <c r="D12987" s="1"/>
      <c r="E12987" s="1"/>
      <c r="F12987" s="1" t="str">
        <f>IFERROR(__xludf.DUMMYFUNCTION("GOOGLETRANSLATE(B12987, ""en"", ""fa"")
"),"سلامت روان و رفاه")</f>
        <v>سلامت روان و رفاه</v>
      </c>
      <c r="G12987" s="1" t="str">
        <f>IFERROR(__xludf.DUMMYFUNCTION("GOOGLETRANSLATE(C12987,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2987" s="1"/>
      <c r="I12987" s="1"/>
      <c r="J12987" s="1"/>
      <c r="K12987" s="1"/>
      <c r="L12987" s="1"/>
      <c r="M12987" s="1"/>
      <c r="N12987" s="1"/>
      <c r="O12987" s="1"/>
      <c r="P12987" s="1"/>
      <c r="Q12987" s="1"/>
      <c r="R12987" s="1"/>
      <c r="S12987" s="1"/>
      <c r="T12987" s="1"/>
      <c r="U12987" s="1"/>
      <c r="V12987" s="1"/>
      <c r="W12987" s="1"/>
      <c r="X12987" s="1"/>
      <c r="Y12987" s="1"/>
      <c r="Z12987" s="1"/>
      <c r="AA12987" s="1"/>
      <c r="AB12987" s="1"/>
    </row>
    <row r="12988" ht="50.25" customHeight="1">
      <c r="A12988" s="12">
        <v>12984.0</v>
      </c>
      <c r="B12988" s="13" t="s">
        <v>12428</v>
      </c>
      <c r="C12988" s="14" t="s">
        <v>12527</v>
      </c>
      <c r="D12988" s="1"/>
      <c r="E12988" s="1"/>
      <c r="F12988" s="1" t="str">
        <f>IFERROR(__xludf.DUMMYFUNCTION("GOOGLETRANSLATE(B12988, ""en"", ""fa"")
"),"سلامت روان و رفاه")</f>
        <v>سلامت روان و رفاه</v>
      </c>
      <c r="G12988" s="1" t="str">
        <f>IFERROR(__xludf.DUMMYFUNCTION("GOOGLETRANSLATE(C12988,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2988" s="1"/>
      <c r="I12988" s="1"/>
      <c r="J12988" s="1"/>
      <c r="K12988" s="1"/>
      <c r="L12988" s="1"/>
      <c r="M12988" s="1"/>
      <c r="N12988" s="1"/>
      <c r="O12988" s="1"/>
      <c r="P12988" s="1"/>
      <c r="Q12988" s="1"/>
      <c r="R12988" s="1"/>
      <c r="S12988" s="1"/>
      <c r="T12988" s="1"/>
      <c r="U12988" s="1"/>
      <c r="V12988" s="1"/>
      <c r="W12988" s="1"/>
      <c r="X12988" s="1"/>
      <c r="Y12988" s="1"/>
      <c r="Z12988" s="1"/>
      <c r="AA12988" s="1"/>
      <c r="AB12988" s="1"/>
    </row>
    <row r="12989" ht="50.25" customHeight="1">
      <c r="A12989" s="12">
        <v>12985.0</v>
      </c>
      <c r="B12989" s="13" t="s">
        <v>12428</v>
      </c>
      <c r="C12989" s="14" t="s">
        <v>12503</v>
      </c>
      <c r="D12989" s="1"/>
      <c r="E12989" s="1"/>
      <c r="F12989" s="1" t="str">
        <f>IFERROR(__xludf.DUMMYFUNCTION("GOOGLETRANSLATE(B12989, ""en"", ""fa"")
"),"سلامت روان و رفاه")</f>
        <v>سلامت روان و رفاه</v>
      </c>
      <c r="G12989" s="1" t="str">
        <f>IFERROR(__xludf.DUMMYFUNCTION("GOOGLETRANSLATE(C12989, ""en"", ""fa"")
"),"نکات مهم برای ایجاد و حفظ هوش هیجانی برای روابط بین فردی بهتر چیست؟")</f>
        <v>نکات مهم برای ایجاد و حفظ هوش هیجانی برای روابط بین فردی بهتر چیست؟</v>
      </c>
      <c r="H12989" s="1"/>
      <c r="I12989" s="1"/>
      <c r="J12989" s="1"/>
      <c r="K12989" s="1"/>
      <c r="L12989" s="1"/>
      <c r="M12989" s="1"/>
      <c r="N12989" s="1"/>
      <c r="O12989" s="1"/>
      <c r="P12989" s="1"/>
      <c r="Q12989" s="1"/>
      <c r="R12989" s="1"/>
      <c r="S12989" s="1"/>
      <c r="T12989" s="1"/>
      <c r="U12989" s="1"/>
      <c r="V12989" s="1"/>
      <c r="W12989" s="1"/>
      <c r="X12989" s="1"/>
      <c r="Y12989" s="1"/>
      <c r="Z12989" s="1"/>
      <c r="AA12989" s="1"/>
      <c r="AB12989" s="1"/>
    </row>
    <row r="12990" ht="50.25" customHeight="1">
      <c r="A12990" s="12">
        <v>12986.0</v>
      </c>
      <c r="B12990" s="13" t="s">
        <v>12428</v>
      </c>
      <c r="C12990" s="14" t="s">
        <v>12504</v>
      </c>
      <c r="D12990" s="1"/>
      <c r="E12990" s="1"/>
      <c r="F12990" s="1" t="str">
        <f>IFERROR(__xludf.DUMMYFUNCTION("GOOGLETRANSLATE(B12990, ""en"", ""fa"")
"),"سلامت روان و رفاه")</f>
        <v>سلامت روان و رفاه</v>
      </c>
      <c r="G12990" s="1" t="str">
        <f>IFERROR(__xludf.DUMMYFUNCTION("GOOGLETRANSLATE(C12990,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2990" s="1"/>
      <c r="I12990" s="1"/>
      <c r="J12990" s="1"/>
      <c r="K12990" s="1"/>
      <c r="L12990" s="1"/>
      <c r="M12990" s="1"/>
      <c r="N12990" s="1"/>
      <c r="O12990" s="1"/>
      <c r="P12990" s="1"/>
      <c r="Q12990" s="1"/>
      <c r="R12990" s="1"/>
      <c r="S12990" s="1"/>
      <c r="T12990" s="1"/>
      <c r="U12990" s="1"/>
      <c r="V12990" s="1"/>
      <c r="W12990" s="1"/>
      <c r="X12990" s="1"/>
      <c r="Y12990" s="1"/>
      <c r="Z12990" s="1"/>
      <c r="AA12990" s="1"/>
      <c r="AB12990" s="1"/>
    </row>
    <row r="12991" ht="50.25" customHeight="1">
      <c r="A12991" s="12">
        <v>12987.0</v>
      </c>
      <c r="B12991" s="13" t="s">
        <v>12428</v>
      </c>
      <c r="C12991" s="14" t="s">
        <v>12505</v>
      </c>
      <c r="D12991" s="1"/>
      <c r="E12991" s="1"/>
      <c r="F12991" s="1" t="str">
        <f>IFERROR(__xludf.DUMMYFUNCTION("GOOGLETRANSLATE(B12991, ""en"", ""fa"")
"),"سلامت روان و رفاه")</f>
        <v>سلامت روان و رفاه</v>
      </c>
      <c r="G12991" s="1" t="str">
        <f>IFERROR(__xludf.DUMMYFUNCTION("GOOGLETRANSLATE(C12991, ""en"", ""fa"")
"),"بهترین راهکارها برای مدیریت و کاهش علائم اختلال دوقطبی چیست؟")</f>
        <v>بهترین راهکارها برای مدیریت و کاهش علائم اختلال دوقطبی چیست؟</v>
      </c>
      <c r="H12991" s="1"/>
      <c r="I12991" s="1"/>
      <c r="J12991" s="1"/>
      <c r="K12991" s="1"/>
      <c r="L12991" s="1"/>
      <c r="M12991" s="1"/>
      <c r="N12991" s="1"/>
      <c r="O12991" s="1"/>
      <c r="P12991" s="1"/>
      <c r="Q12991" s="1"/>
      <c r="R12991" s="1"/>
      <c r="S12991" s="1"/>
      <c r="T12991" s="1"/>
      <c r="U12991" s="1"/>
      <c r="V12991" s="1"/>
      <c r="W12991" s="1"/>
      <c r="X12991" s="1"/>
      <c r="Y12991" s="1"/>
      <c r="Z12991" s="1"/>
      <c r="AA12991" s="1"/>
      <c r="AB12991" s="1"/>
    </row>
    <row r="12992" ht="50.25" customHeight="1">
      <c r="A12992" s="12">
        <v>12988.0</v>
      </c>
      <c r="B12992" s="13" t="s">
        <v>12428</v>
      </c>
      <c r="C12992" s="14" t="s">
        <v>12506</v>
      </c>
      <c r="D12992" s="1"/>
      <c r="E12992" s="1"/>
      <c r="F12992" s="1" t="str">
        <f>IFERROR(__xludf.DUMMYFUNCTION("GOOGLETRANSLATE(B12992, ""en"", ""fa"")
"),"سلامت روان و رفاه")</f>
        <v>سلامت روان و رفاه</v>
      </c>
      <c r="G12992" s="1" t="str">
        <f>IFERROR(__xludf.DUMMYFUNCTION("GOOGLETRANSLATE(C12992,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2992" s="1"/>
      <c r="I12992" s="1"/>
      <c r="J12992" s="1"/>
      <c r="K12992" s="1"/>
      <c r="L12992" s="1"/>
      <c r="M12992" s="1"/>
      <c r="N12992" s="1"/>
      <c r="O12992" s="1"/>
      <c r="P12992" s="1"/>
      <c r="Q12992" s="1"/>
      <c r="R12992" s="1"/>
      <c r="S12992" s="1"/>
      <c r="T12992" s="1"/>
      <c r="U12992" s="1"/>
      <c r="V12992" s="1"/>
      <c r="W12992" s="1"/>
      <c r="X12992" s="1"/>
      <c r="Y12992" s="1"/>
      <c r="Z12992" s="1"/>
      <c r="AA12992" s="1"/>
      <c r="AB12992" s="1"/>
    </row>
    <row r="12993" ht="50.25" customHeight="1">
      <c r="A12993" s="12">
        <v>12989.0</v>
      </c>
      <c r="B12993" s="13" t="s">
        <v>12428</v>
      </c>
      <c r="C12993" s="14" t="s">
        <v>12582</v>
      </c>
      <c r="D12993" s="1"/>
      <c r="E12993" s="1"/>
      <c r="F12993" s="1" t="str">
        <f>IFERROR(__xludf.DUMMYFUNCTION("GOOGLETRANSLATE(B12993, ""en"", ""fa"")
"),"سلامت روان و رفاه")</f>
        <v>سلامت روان و رفاه</v>
      </c>
      <c r="G12993" s="1" t="str">
        <f>IFERROR(__xludf.DUMMYFUNCTION("GOOGLETRANSLATE(C12993, ""en"", ""fa"")
"),"آیا می توانید تکنیک هایی برای تمرین آرام سازی پیشرونده عضلانی برای کاهش استرس و اضطراب پیشنهاد دهید؟")</f>
        <v>آیا می توانید تکنیک هایی برای تمرین آرام سازی پیشرونده عضلانی برای کاهش استرس و اضطراب پیشنهاد دهید؟</v>
      </c>
      <c r="H12993" s="1"/>
      <c r="I12993" s="1"/>
      <c r="J12993" s="1"/>
      <c r="K12993" s="1"/>
      <c r="L12993" s="1"/>
      <c r="M12993" s="1"/>
      <c r="N12993" s="1"/>
      <c r="O12993" s="1"/>
      <c r="P12993" s="1"/>
      <c r="Q12993" s="1"/>
      <c r="R12993" s="1"/>
      <c r="S12993" s="1"/>
      <c r="T12993" s="1"/>
      <c r="U12993" s="1"/>
      <c r="V12993" s="1"/>
      <c r="W12993" s="1"/>
      <c r="X12993" s="1"/>
      <c r="Y12993" s="1"/>
      <c r="Z12993" s="1"/>
      <c r="AA12993" s="1"/>
      <c r="AB12993" s="1"/>
    </row>
    <row r="12994" ht="50.25" customHeight="1">
      <c r="A12994" s="12">
        <v>12990.0</v>
      </c>
      <c r="B12994" s="13" t="s">
        <v>12428</v>
      </c>
      <c r="C12994" s="14" t="s">
        <v>12508</v>
      </c>
      <c r="D12994" s="1"/>
      <c r="E12994" s="1"/>
      <c r="F12994" s="1" t="str">
        <f>IFERROR(__xludf.DUMMYFUNCTION("GOOGLETRANSLATE(B12994, ""en"", ""fa"")
"),"سلامت روان و رفاه")</f>
        <v>سلامت روان و رفاه</v>
      </c>
      <c r="G12994" s="1" t="str">
        <f>IFERROR(__xludf.DUMMYFUNCTION("GOOGLETRANSLATE(C12994, ""en"", ""fa"")
"),"نکات مهم برای ایجاد و حفظ تاب آوری در مواجهه با چالش های زندگی چیست؟")</f>
        <v>نکات مهم برای ایجاد و حفظ تاب آوری در مواجهه با چالش های زندگی چیست؟</v>
      </c>
      <c r="H12994" s="1"/>
      <c r="I12994" s="1"/>
      <c r="J12994" s="1"/>
      <c r="K12994" s="1"/>
      <c r="L12994" s="1"/>
      <c r="M12994" s="1"/>
      <c r="N12994" s="1"/>
      <c r="O12994" s="1"/>
      <c r="P12994" s="1"/>
      <c r="Q12994" s="1"/>
      <c r="R12994" s="1"/>
      <c r="S12994" s="1"/>
      <c r="T12994" s="1"/>
      <c r="U12994" s="1"/>
      <c r="V12994" s="1"/>
      <c r="W12994" s="1"/>
      <c r="X12994" s="1"/>
      <c r="Y12994" s="1"/>
      <c r="Z12994" s="1"/>
      <c r="AA12994" s="1"/>
      <c r="AB12994" s="1"/>
    </row>
    <row r="12995" ht="50.25" customHeight="1">
      <c r="A12995" s="12">
        <v>12991.0</v>
      </c>
      <c r="B12995" s="13" t="s">
        <v>12428</v>
      </c>
      <c r="C12995" s="14" t="s">
        <v>12509</v>
      </c>
      <c r="D12995" s="1"/>
      <c r="E12995" s="1"/>
      <c r="F12995" s="1" t="str">
        <f>IFERROR(__xludf.DUMMYFUNCTION("GOOGLETRANSLATE(B12995, ""en"", ""fa"")
"),"سلامت روان و رفاه")</f>
        <v>سلامت روان و رفاه</v>
      </c>
      <c r="G12995" s="1" t="str">
        <f>IFERROR(__xludf.DUMMYFUNCTION("GOOGLETRANSLATE(C12995,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2995" s="1"/>
      <c r="I12995" s="1"/>
      <c r="J12995" s="1"/>
      <c r="K12995" s="1"/>
      <c r="L12995" s="1"/>
      <c r="M12995" s="1"/>
      <c r="N12995" s="1"/>
      <c r="O12995" s="1"/>
      <c r="P12995" s="1"/>
      <c r="Q12995" s="1"/>
      <c r="R12995" s="1"/>
      <c r="S12995" s="1"/>
      <c r="T12995" s="1"/>
      <c r="U12995" s="1"/>
      <c r="V12995" s="1"/>
      <c r="W12995" s="1"/>
      <c r="X12995" s="1"/>
      <c r="Y12995" s="1"/>
      <c r="Z12995" s="1"/>
      <c r="AA12995" s="1"/>
      <c r="AB12995" s="1"/>
    </row>
    <row r="12996" ht="50.25" customHeight="1">
      <c r="A12996" s="12">
        <v>12992.0</v>
      </c>
      <c r="B12996" s="13" t="s">
        <v>12428</v>
      </c>
      <c r="C12996" s="14" t="s">
        <v>12510</v>
      </c>
      <c r="D12996" s="1"/>
      <c r="E12996" s="1"/>
      <c r="F12996" s="1" t="str">
        <f>IFERROR(__xludf.DUMMYFUNCTION("GOOGLETRANSLATE(B12996, ""en"", ""fa"")
"),"سلامت روان و رفاه")</f>
        <v>سلامت روان و رفاه</v>
      </c>
      <c r="G12996" s="1" t="str">
        <f>IFERROR(__xludf.DUMMYFUNCTION("GOOGLETRANSLATE(C12996,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2996" s="1"/>
      <c r="I12996" s="1"/>
      <c r="J12996" s="1"/>
      <c r="K12996" s="1"/>
      <c r="L12996" s="1"/>
      <c r="M12996" s="1"/>
      <c r="N12996" s="1"/>
      <c r="O12996" s="1"/>
      <c r="P12996" s="1"/>
      <c r="Q12996" s="1"/>
      <c r="R12996" s="1"/>
      <c r="S12996" s="1"/>
      <c r="T12996" s="1"/>
      <c r="U12996" s="1"/>
      <c r="V12996" s="1"/>
      <c r="W12996" s="1"/>
      <c r="X12996" s="1"/>
      <c r="Y12996" s="1"/>
      <c r="Z12996" s="1"/>
      <c r="AA12996" s="1"/>
      <c r="AB12996" s="1"/>
    </row>
    <row r="12997" ht="50.25" customHeight="1">
      <c r="A12997" s="12">
        <v>12993.0</v>
      </c>
      <c r="B12997" s="13" t="s">
        <v>12428</v>
      </c>
      <c r="C12997" s="14" t="s">
        <v>12511</v>
      </c>
      <c r="D12997" s="1"/>
      <c r="E12997" s="1"/>
      <c r="F12997" s="1" t="str">
        <f>IFERROR(__xludf.DUMMYFUNCTION("GOOGLETRANSLATE(B12997, ""en"", ""fa"")
"),"سلامت روان و رفاه")</f>
        <v>سلامت روان و رفاه</v>
      </c>
      <c r="G12997" s="1" t="str">
        <f>IFERROR(__xludf.DUMMYFUNCTION("GOOGLETRANSLATE(C12997,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2997" s="1"/>
      <c r="I12997" s="1"/>
      <c r="J12997" s="1"/>
      <c r="K12997" s="1"/>
      <c r="L12997" s="1"/>
      <c r="M12997" s="1"/>
      <c r="N12997" s="1"/>
      <c r="O12997" s="1"/>
      <c r="P12997" s="1"/>
      <c r="Q12997" s="1"/>
      <c r="R12997" s="1"/>
      <c r="S12997" s="1"/>
      <c r="T12997" s="1"/>
      <c r="U12997" s="1"/>
      <c r="V12997" s="1"/>
      <c r="W12997" s="1"/>
      <c r="X12997" s="1"/>
      <c r="Y12997" s="1"/>
      <c r="Z12997" s="1"/>
      <c r="AA12997" s="1"/>
      <c r="AB12997" s="1"/>
    </row>
    <row r="12998" ht="50.25" customHeight="1">
      <c r="A12998" s="12">
        <v>12994.0</v>
      </c>
      <c r="B12998" s="13" t="s">
        <v>12428</v>
      </c>
      <c r="C12998" s="14" t="s">
        <v>12583</v>
      </c>
      <c r="D12998" s="1"/>
      <c r="E12998" s="1"/>
      <c r="F12998" s="1" t="str">
        <f>IFERROR(__xludf.DUMMYFUNCTION("GOOGLETRANSLATE(B12998, ""en"", ""fa"")
"),"سلامت روان و رفاه")</f>
        <v>سلامت روان و رفاه</v>
      </c>
      <c r="G12998" s="1" t="str">
        <f>IFERROR(__xludf.DUMMYFUNCTION("GOOGLETRANSLATE(C12998, ""en"", ""fa"")
"),"آیا می‌توانید فعالیت‌هایی را برای ارتقای خودبیانگری و خلاقیت برای تقویت سلامت روان توصیه کنید؟")</f>
        <v>آیا می‌توانید فعالیت‌هایی را برای ارتقای خودبیانگری و خلاقیت برای تقویت سلامت روان توصیه کنید؟</v>
      </c>
      <c r="H12998" s="1"/>
      <c r="I12998" s="1"/>
      <c r="J12998" s="1"/>
      <c r="K12998" s="1"/>
      <c r="L12998" s="1"/>
      <c r="M12998" s="1"/>
      <c r="N12998" s="1"/>
      <c r="O12998" s="1"/>
      <c r="P12998" s="1"/>
      <c r="Q12998" s="1"/>
      <c r="R12998" s="1"/>
      <c r="S12998" s="1"/>
      <c r="T12998" s="1"/>
      <c r="U12998" s="1"/>
      <c r="V12998" s="1"/>
      <c r="W12998" s="1"/>
      <c r="X12998" s="1"/>
      <c r="Y12998" s="1"/>
      <c r="Z12998" s="1"/>
      <c r="AA12998" s="1"/>
      <c r="AB12998" s="1"/>
    </row>
    <row r="12999" ht="50.25" customHeight="1">
      <c r="A12999" s="12">
        <v>12995.0</v>
      </c>
      <c r="B12999" s="13" t="s">
        <v>12428</v>
      </c>
      <c r="C12999" s="14" t="s">
        <v>12513</v>
      </c>
      <c r="D12999" s="1"/>
      <c r="E12999" s="1"/>
      <c r="F12999" s="1" t="str">
        <f>IFERROR(__xludf.DUMMYFUNCTION("GOOGLETRANSLATE(B12999, ""en"", ""fa"")
"),"سلامت روان و رفاه")</f>
        <v>سلامت روان و رفاه</v>
      </c>
      <c r="G12999" s="1" t="str">
        <f>IFERROR(__xludf.DUMMYFUNCTION("GOOGLETRANSLATE(C12999, ""en"", ""fa"")
"),"راهبردهای برتر برای مدیریت و کاهش علائم اختلالات خوردن چیست؟")</f>
        <v>راهبردهای برتر برای مدیریت و کاهش علائم اختلالات خوردن چیست؟</v>
      </c>
      <c r="H12999" s="1"/>
      <c r="I12999" s="1"/>
      <c r="J12999" s="1"/>
      <c r="K12999" s="1"/>
      <c r="L12999" s="1"/>
      <c r="M12999" s="1"/>
      <c r="N12999" s="1"/>
      <c r="O12999" s="1"/>
      <c r="P12999" s="1"/>
      <c r="Q12999" s="1"/>
      <c r="R12999" s="1"/>
      <c r="S12999" s="1"/>
      <c r="T12999" s="1"/>
      <c r="U12999" s="1"/>
      <c r="V12999" s="1"/>
      <c r="W12999" s="1"/>
      <c r="X12999" s="1"/>
      <c r="Y12999" s="1"/>
      <c r="Z12999" s="1"/>
      <c r="AA12999" s="1"/>
      <c r="AB12999" s="1"/>
    </row>
    <row r="13000" ht="50.25" customHeight="1">
      <c r="A13000" s="12">
        <v>12996.0</v>
      </c>
      <c r="B13000" s="13" t="s">
        <v>12428</v>
      </c>
      <c r="C13000" s="14" t="s">
        <v>12514</v>
      </c>
      <c r="D13000" s="1"/>
      <c r="E13000" s="1"/>
      <c r="F13000" s="1" t="str">
        <f>IFERROR(__xludf.DUMMYFUNCTION("GOOGLETRANSLATE(B13000, ""en"", ""fa"")
"),"سلامت روان و رفاه")</f>
        <v>سلامت روان و رفاه</v>
      </c>
      <c r="G13000" s="1" t="str">
        <f>IFERROR(__xludf.DUMMYFUNCTION("GOOGLETRANSLATE(C13000,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000" s="1"/>
      <c r="I13000" s="1"/>
      <c r="J13000" s="1"/>
      <c r="K13000" s="1"/>
      <c r="L13000" s="1"/>
      <c r="M13000" s="1"/>
      <c r="N13000" s="1"/>
      <c r="O13000" s="1"/>
      <c r="P13000" s="1"/>
      <c r="Q13000" s="1"/>
      <c r="R13000" s="1"/>
      <c r="S13000" s="1"/>
      <c r="T13000" s="1"/>
      <c r="U13000" s="1"/>
      <c r="V13000" s="1"/>
      <c r="W13000" s="1"/>
      <c r="X13000" s="1"/>
      <c r="Y13000" s="1"/>
      <c r="Z13000" s="1"/>
      <c r="AA13000" s="1"/>
      <c r="AB13000" s="1"/>
    </row>
    <row r="13001" ht="50.25" customHeight="1">
      <c r="A13001" s="12">
        <v>12997.0</v>
      </c>
      <c r="B13001" s="13" t="s">
        <v>12428</v>
      </c>
      <c r="C13001" s="14" t="s">
        <v>12515</v>
      </c>
      <c r="D13001" s="1"/>
      <c r="E13001" s="1"/>
      <c r="F13001" s="1" t="str">
        <f>IFERROR(__xludf.DUMMYFUNCTION("GOOGLETRANSLATE(B13001, ""en"", ""fa"")
"),"سلامت روان و رفاه")</f>
        <v>سلامت روان و رفاه</v>
      </c>
      <c r="G13001" s="1" t="str">
        <f>IFERROR(__xludf.DUMMYFUNCTION("GOOGLETRANSLATE(C13001, ""en"", ""fa"")
"),"بهترین تکنیک ها برای مدیریت و کاهش علائم اسکیزوفرنی چیست؟")</f>
        <v>بهترین تکنیک ها برای مدیریت و کاهش علائم اسکیزوفرنی چیست؟</v>
      </c>
      <c r="H13001" s="1"/>
      <c r="I13001" s="1"/>
      <c r="J13001" s="1"/>
      <c r="K13001" s="1"/>
      <c r="L13001" s="1"/>
      <c r="M13001" s="1"/>
      <c r="N13001" s="1"/>
      <c r="O13001" s="1"/>
      <c r="P13001" s="1"/>
      <c r="Q13001" s="1"/>
      <c r="R13001" s="1"/>
      <c r="S13001" s="1"/>
      <c r="T13001" s="1"/>
      <c r="U13001" s="1"/>
      <c r="V13001" s="1"/>
      <c r="W13001" s="1"/>
      <c r="X13001" s="1"/>
      <c r="Y13001" s="1"/>
      <c r="Z13001" s="1"/>
      <c r="AA13001" s="1"/>
      <c r="AB13001" s="1"/>
    </row>
    <row r="13002" ht="50.25" customHeight="1">
      <c r="A13002" s="12">
        <v>12998.0</v>
      </c>
      <c r="B13002" s="13" t="s">
        <v>12428</v>
      </c>
      <c r="C13002" s="14" t="s">
        <v>12516</v>
      </c>
      <c r="D13002" s="1"/>
      <c r="E13002" s="1"/>
      <c r="F13002" s="1" t="str">
        <f>IFERROR(__xludf.DUMMYFUNCTION("GOOGLETRANSLATE(B13002, ""en"", ""fa"")
"),"سلامت روان و رفاه")</f>
        <v>سلامت روان و رفاه</v>
      </c>
      <c r="G13002" s="1" t="str">
        <f>IFERROR(__xludf.DUMMYFUNCTION("GOOGLETRANSLATE(C13002,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3002" s="1"/>
      <c r="I13002" s="1"/>
      <c r="J13002" s="1"/>
      <c r="K13002" s="1"/>
      <c r="L13002" s="1"/>
      <c r="M13002" s="1"/>
      <c r="N13002" s="1"/>
      <c r="O13002" s="1"/>
      <c r="P13002" s="1"/>
      <c r="Q13002" s="1"/>
      <c r="R13002" s="1"/>
      <c r="S13002" s="1"/>
      <c r="T13002" s="1"/>
      <c r="U13002" s="1"/>
      <c r="V13002" s="1"/>
      <c r="W13002" s="1"/>
      <c r="X13002" s="1"/>
      <c r="Y13002" s="1"/>
      <c r="Z13002" s="1"/>
      <c r="AA13002" s="1"/>
      <c r="AB13002" s="1"/>
    </row>
    <row r="13003" ht="50.25" customHeight="1">
      <c r="A13003" s="12">
        <v>12999.0</v>
      </c>
      <c r="B13003" s="13" t="s">
        <v>12428</v>
      </c>
      <c r="C13003" s="14" t="s">
        <v>12517</v>
      </c>
      <c r="D13003" s="1"/>
      <c r="E13003" s="1"/>
      <c r="F13003" s="1" t="str">
        <f>IFERROR(__xludf.DUMMYFUNCTION("GOOGLETRANSLATE(B13003, ""en"", ""fa"")
"),"سلامت روان و رفاه")</f>
        <v>سلامت روان و رفاه</v>
      </c>
      <c r="G13003" s="1" t="str">
        <f>IFERROR(__xludf.DUMMYFUNCTION("GOOGLETRANSLATE(C13003,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3003" s="1"/>
      <c r="I13003" s="1"/>
      <c r="J13003" s="1"/>
      <c r="K13003" s="1"/>
      <c r="L13003" s="1"/>
      <c r="M13003" s="1"/>
      <c r="N13003" s="1"/>
      <c r="O13003" s="1"/>
      <c r="P13003" s="1"/>
      <c r="Q13003" s="1"/>
      <c r="R13003" s="1"/>
      <c r="S13003" s="1"/>
      <c r="T13003" s="1"/>
      <c r="U13003" s="1"/>
      <c r="V13003" s="1"/>
      <c r="W13003" s="1"/>
      <c r="X13003" s="1"/>
      <c r="Y13003" s="1"/>
      <c r="Z13003" s="1"/>
      <c r="AA13003" s="1"/>
      <c r="AB13003" s="1"/>
    </row>
    <row r="13004" ht="50.25" customHeight="1">
      <c r="A13004" s="12">
        <v>13000.0</v>
      </c>
      <c r="B13004" s="13" t="s">
        <v>12428</v>
      </c>
      <c r="C13004" s="14" t="s">
        <v>12518</v>
      </c>
      <c r="D13004" s="1"/>
      <c r="E13004" s="1"/>
      <c r="F13004" s="1" t="str">
        <f>IFERROR(__xludf.DUMMYFUNCTION("GOOGLETRANSLATE(B13004, ""en"", ""fa"")
"),"سلامت روان و رفاه")</f>
        <v>سلامت روان و رفاه</v>
      </c>
      <c r="G13004" s="1" t="str">
        <f>IFERROR(__xludf.DUMMYFUNCTION("GOOGLETRANSLATE(C13004, ""en"", ""fa"")
"),"نکات مهم برای ایجاد و حفظ مرزهای سالم در محیط های حرفه ای چیست؟")</f>
        <v>نکات مهم برای ایجاد و حفظ مرزهای سالم در محیط های حرفه ای چیست؟</v>
      </c>
      <c r="H13004" s="1"/>
      <c r="I13004" s="1"/>
      <c r="J13004" s="1"/>
      <c r="K13004" s="1"/>
      <c r="L13004" s="1"/>
      <c r="M13004" s="1"/>
      <c r="N13004" s="1"/>
      <c r="O13004" s="1"/>
      <c r="P13004" s="1"/>
      <c r="Q13004" s="1"/>
      <c r="R13004" s="1"/>
      <c r="S13004" s="1"/>
      <c r="T13004" s="1"/>
      <c r="U13004" s="1"/>
      <c r="V13004" s="1"/>
      <c r="W13004" s="1"/>
      <c r="X13004" s="1"/>
      <c r="Y13004" s="1"/>
      <c r="Z13004" s="1"/>
      <c r="AA13004" s="1"/>
      <c r="AB13004" s="1"/>
    </row>
    <row r="13005" ht="50.25" customHeight="1">
      <c r="A13005" s="12">
        <v>13001.0</v>
      </c>
      <c r="B13005" s="13" t="s">
        <v>12428</v>
      </c>
      <c r="C13005" s="14" t="s">
        <v>12519</v>
      </c>
      <c r="D13005" s="1"/>
      <c r="E13005" s="1"/>
      <c r="F13005" s="1" t="str">
        <f>IFERROR(__xludf.DUMMYFUNCTION("GOOGLETRANSLATE(B13005, ""en"", ""fa"")
"),"سلامت روان و رفاه")</f>
        <v>سلامت روان و رفاه</v>
      </c>
      <c r="G13005" s="1" t="str">
        <f>IFERROR(__xludf.DUMMYFUNCTION("GOOGLETRANSLATE(C13005,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3005" s="1"/>
      <c r="I13005" s="1"/>
      <c r="J13005" s="1"/>
      <c r="K13005" s="1"/>
      <c r="L13005" s="1"/>
      <c r="M13005" s="1"/>
      <c r="N13005" s="1"/>
      <c r="O13005" s="1"/>
      <c r="P13005" s="1"/>
      <c r="Q13005" s="1"/>
      <c r="R13005" s="1"/>
      <c r="S13005" s="1"/>
      <c r="T13005" s="1"/>
      <c r="U13005" s="1"/>
      <c r="V13005" s="1"/>
      <c r="W13005" s="1"/>
      <c r="X13005" s="1"/>
      <c r="Y13005" s="1"/>
      <c r="Z13005" s="1"/>
      <c r="AA13005" s="1"/>
      <c r="AB13005" s="1"/>
    </row>
    <row r="13006" ht="50.25" customHeight="1">
      <c r="A13006" s="12">
        <v>13002.0</v>
      </c>
      <c r="B13006" s="13" t="s">
        <v>12428</v>
      </c>
      <c r="C13006" s="14" t="s">
        <v>12520</v>
      </c>
      <c r="D13006" s="1"/>
      <c r="E13006" s="1"/>
      <c r="F13006" s="1" t="str">
        <f>IFERROR(__xludf.DUMMYFUNCTION("GOOGLETRANSLATE(B13006, ""en"", ""fa"")
"),"سلامت روان و رفاه")</f>
        <v>سلامت روان و رفاه</v>
      </c>
      <c r="G13006" s="1" t="str">
        <f>IFERROR(__xludf.DUMMYFUNCTION("GOOGLETRANSLATE(C13006, ""en"", ""fa"")
"),"بهترین راهکارها برای مدیریت و کاهش علائم اختلالات مصرف مواد چیست؟")</f>
        <v>بهترین راهکارها برای مدیریت و کاهش علائم اختلالات مصرف مواد چیست؟</v>
      </c>
      <c r="H13006" s="1"/>
      <c r="I13006" s="1"/>
      <c r="J13006" s="1"/>
      <c r="K13006" s="1"/>
      <c r="L13006" s="1"/>
      <c r="M13006" s="1"/>
      <c r="N13006" s="1"/>
      <c r="O13006" s="1"/>
      <c r="P13006" s="1"/>
      <c r="Q13006" s="1"/>
      <c r="R13006" s="1"/>
      <c r="S13006" s="1"/>
      <c r="T13006" s="1"/>
      <c r="U13006" s="1"/>
      <c r="V13006" s="1"/>
      <c r="W13006" s="1"/>
      <c r="X13006" s="1"/>
      <c r="Y13006" s="1"/>
      <c r="Z13006" s="1"/>
      <c r="AA13006" s="1"/>
      <c r="AB13006" s="1"/>
    </row>
    <row r="13007" ht="50.25" customHeight="1">
      <c r="A13007" s="12">
        <v>13003.0</v>
      </c>
      <c r="B13007" s="13" t="s">
        <v>12428</v>
      </c>
      <c r="C13007" s="14" t="s">
        <v>12521</v>
      </c>
      <c r="D13007" s="1"/>
      <c r="E13007" s="1"/>
      <c r="F13007" s="1" t="str">
        <f>IFERROR(__xludf.DUMMYFUNCTION("GOOGLETRANSLATE(B13007, ""en"", ""fa"")
"),"سلامت روان و رفاه")</f>
        <v>سلامت روان و رفاه</v>
      </c>
      <c r="G13007" s="1" t="str">
        <f>IFERROR(__xludf.DUMMYFUNCTION("GOOGLETRANSLATE(C13007,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3007" s="1"/>
      <c r="I13007" s="1"/>
      <c r="J13007" s="1"/>
      <c r="K13007" s="1"/>
      <c r="L13007" s="1"/>
      <c r="M13007" s="1"/>
      <c r="N13007" s="1"/>
      <c r="O13007" s="1"/>
      <c r="P13007" s="1"/>
      <c r="Q13007" s="1"/>
      <c r="R13007" s="1"/>
      <c r="S13007" s="1"/>
      <c r="T13007" s="1"/>
      <c r="U13007" s="1"/>
      <c r="V13007" s="1"/>
      <c r="W13007" s="1"/>
      <c r="X13007" s="1"/>
      <c r="Y13007" s="1"/>
      <c r="Z13007" s="1"/>
      <c r="AA13007" s="1"/>
      <c r="AB13007" s="1"/>
    </row>
    <row r="13008" ht="50.25" customHeight="1">
      <c r="A13008" s="12">
        <v>13004.0</v>
      </c>
      <c r="B13008" s="13" t="s">
        <v>12428</v>
      </c>
      <c r="C13008" s="14" t="s">
        <v>12522</v>
      </c>
      <c r="D13008" s="1"/>
      <c r="E13008" s="1"/>
      <c r="F13008" s="1" t="str">
        <f>IFERROR(__xludf.DUMMYFUNCTION("GOOGLETRANSLATE(B13008, ""en"", ""fa"")
"),"سلامت روان و رفاه")</f>
        <v>سلامت روان و رفاه</v>
      </c>
      <c r="G13008" s="1" t="str">
        <f>IFERROR(__xludf.DUMMYFUNCTION("GOOGLETRANSLATE(C13008,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3008" s="1"/>
      <c r="I13008" s="1"/>
      <c r="J13008" s="1"/>
      <c r="K13008" s="1"/>
      <c r="L13008" s="1"/>
      <c r="M13008" s="1"/>
      <c r="N13008" s="1"/>
      <c r="O13008" s="1"/>
      <c r="P13008" s="1"/>
      <c r="Q13008" s="1"/>
      <c r="R13008" s="1"/>
      <c r="S13008" s="1"/>
      <c r="T13008" s="1"/>
      <c r="U13008" s="1"/>
      <c r="V13008" s="1"/>
      <c r="W13008" s="1"/>
      <c r="X13008" s="1"/>
      <c r="Y13008" s="1"/>
      <c r="Z13008" s="1"/>
      <c r="AA13008" s="1"/>
      <c r="AB13008" s="1"/>
    </row>
    <row r="13009" ht="50.25" customHeight="1">
      <c r="A13009" s="12">
        <v>13005.0</v>
      </c>
      <c r="B13009" s="13" t="s">
        <v>12428</v>
      </c>
      <c r="C13009" s="14" t="s">
        <v>12523</v>
      </c>
      <c r="D13009" s="1"/>
      <c r="E13009" s="1"/>
      <c r="F13009" s="1" t="str">
        <f>IFERROR(__xludf.DUMMYFUNCTION("GOOGLETRANSLATE(B13009, ""en"", ""fa"")
"),"سلامت روان و رفاه")</f>
        <v>سلامت روان و رفاه</v>
      </c>
      <c r="G13009" s="1" t="str">
        <f>IFERROR(__xludf.DUMMYFUNCTION("GOOGLETRANSLATE(C13009,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3009" s="1"/>
      <c r="I13009" s="1"/>
      <c r="J13009" s="1"/>
      <c r="K13009" s="1"/>
      <c r="L13009" s="1"/>
      <c r="M13009" s="1"/>
      <c r="N13009" s="1"/>
      <c r="O13009" s="1"/>
      <c r="P13009" s="1"/>
      <c r="Q13009" s="1"/>
      <c r="R13009" s="1"/>
      <c r="S13009" s="1"/>
      <c r="T13009" s="1"/>
      <c r="U13009" s="1"/>
      <c r="V13009" s="1"/>
      <c r="W13009" s="1"/>
      <c r="X13009" s="1"/>
      <c r="Y13009" s="1"/>
      <c r="Z13009" s="1"/>
      <c r="AA13009" s="1"/>
      <c r="AB13009" s="1"/>
    </row>
    <row r="13010" ht="50.25" customHeight="1">
      <c r="A13010" s="12">
        <v>13006.0</v>
      </c>
      <c r="B13010" s="13" t="s">
        <v>12428</v>
      </c>
      <c r="C13010" s="14" t="s">
        <v>12524</v>
      </c>
      <c r="D13010" s="1"/>
      <c r="E13010" s="1"/>
      <c r="F13010" s="1" t="str">
        <f>IFERROR(__xludf.DUMMYFUNCTION("GOOGLETRANSLATE(B13010, ""en"", ""fa"")
"),"سلامت روان و رفاه")</f>
        <v>سلامت روان و رفاه</v>
      </c>
      <c r="G13010" s="1" t="str">
        <f>IFERROR(__xludf.DUMMYFUNCTION("GOOGLETRANSLATE(C13010,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3010" s="1"/>
      <c r="I13010" s="1"/>
      <c r="J13010" s="1"/>
      <c r="K13010" s="1"/>
      <c r="L13010" s="1"/>
      <c r="M13010" s="1"/>
      <c r="N13010" s="1"/>
      <c r="O13010" s="1"/>
      <c r="P13010" s="1"/>
      <c r="Q13010" s="1"/>
      <c r="R13010" s="1"/>
      <c r="S13010" s="1"/>
      <c r="T13010" s="1"/>
      <c r="U13010" s="1"/>
      <c r="V13010" s="1"/>
      <c r="W13010" s="1"/>
      <c r="X13010" s="1"/>
      <c r="Y13010" s="1"/>
      <c r="Z13010" s="1"/>
      <c r="AA13010" s="1"/>
      <c r="AB13010" s="1"/>
    </row>
    <row r="13011" ht="50.25" customHeight="1">
      <c r="A13011" s="12">
        <v>13007.0</v>
      </c>
      <c r="B13011" s="13" t="s">
        <v>12428</v>
      </c>
      <c r="C13011" s="14" t="s">
        <v>12525</v>
      </c>
      <c r="D13011" s="1"/>
      <c r="E13011" s="1"/>
      <c r="F13011" s="1" t="str">
        <f>IFERROR(__xludf.DUMMYFUNCTION("GOOGLETRANSLATE(B13011, ""en"", ""fa"")
"),"سلامت روان و رفاه")</f>
        <v>سلامت روان و رفاه</v>
      </c>
      <c r="G13011" s="1" t="str">
        <f>IFERROR(__xludf.DUMMYFUNCTION("GOOGLETRANSLATE(C13011, ""en"", ""fa"")
"),"بهترین راهبردها برای مدیریت و کاهش علائم اختلال شخصیت مرزی (BPD) چیست؟")</f>
        <v>بهترین راهبردها برای مدیریت و کاهش علائم اختلال شخصیت مرزی (BPD) چیست؟</v>
      </c>
      <c r="H13011" s="1"/>
      <c r="I13011" s="1"/>
      <c r="J13011" s="1"/>
      <c r="K13011" s="1"/>
      <c r="L13011" s="1"/>
      <c r="M13011" s="1"/>
      <c r="N13011" s="1"/>
      <c r="O13011" s="1"/>
      <c r="P13011" s="1"/>
      <c r="Q13011" s="1"/>
      <c r="R13011" s="1"/>
      <c r="S13011" s="1"/>
      <c r="T13011" s="1"/>
      <c r="U13011" s="1"/>
      <c r="V13011" s="1"/>
      <c r="W13011" s="1"/>
      <c r="X13011" s="1"/>
      <c r="Y13011" s="1"/>
      <c r="Z13011" s="1"/>
      <c r="AA13011" s="1"/>
      <c r="AB13011" s="1"/>
    </row>
    <row r="13012" ht="50.25" customHeight="1">
      <c r="A13012" s="12">
        <v>13008.0</v>
      </c>
      <c r="B13012" s="13" t="s">
        <v>12428</v>
      </c>
      <c r="C13012" s="14" t="s">
        <v>12526</v>
      </c>
      <c r="D13012" s="1"/>
      <c r="E13012" s="1"/>
      <c r="F13012" s="1" t="str">
        <f>IFERROR(__xludf.DUMMYFUNCTION("GOOGLETRANSLATE(B13012, ""en"", ""fa"")
"),"سلامت روان و رفاه")</f>
        <v>سلامت روان و رفاه</v>
      </c>
      <c r="G13012" s="1" t="str">
        <f>IFERROR(__xludf.DUMMYFUNCTION("GOOGLETRANSLATE(C13012,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3012" s="1"/>
      <c r="I13012" s="1"/>
      <c r="J13012" s="1"/>
      <c r="K13012" s="1"/>
      <c r="L13012" s="1"/>
      <c r="M13012" s="1"/>
      <c r="N13012" s="1"/>
      <c r="O13012" s="1"/>
      <c r="P13012" s="1"/>
      <c r="Q13012" s="1"/>
      <c r="R13012" s="1"/>
      <c r="S13012" s="1"/>
      <c r="T13012" s="1"/>
      <c r="U13012" s="1"/>
      <c r="V13012" s="1"/>
      <c r="W13012" s="1"/>
      <c r="X13012" s="1"/>
      <c r="Y13012" s="1"/>
      <c r="Z13012" s="1"/>
      <c r="AA13012" s="1"/>
      <c r="AB13012" s="1"/>
    </row>
    <row r="13013" ht="50.25" customHeight="1">
      <c r="A13013" s="12">
        <v>13009.0</v>
      </c>
      <c r="B13013" s="13" t="s">
        <v>12428</v>
      </c>
      <c r="C13013" s="14" t="s">
        <v>12527</v>
      </c>
      <c r="D13013" s="1"/>
      <c r="E13013" s="1"/>
      <c r="F13013" s="1" t="str">
        <f>IFERROR(__xludf.DUMMYFUNCTION("GOOGLETRANSLATE(B13013, ""en"", ""fa"")
"),"سلامت روان و رفاه")</f>
        <v>سلامت روان و رفاه</v>
      </c>
      <c r="G13013" s="1" t="str">
        <f>IFERROR(__xludf.DUMMYFUNCTION("GOOGLETRANSLATE(C13013,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013" s="1"/>
      <c r="I13013" s="1"/>
      <c r="J13013" s="1"/>
      <c r="K13013" s="1"/>
      <c r="L13013" s="1"/>
      <c r="M13013" s="1"/>
      <c r="N13013" s="1"/>
      <c r="O13013" s="1"/>
      <c r="P13013" s="1"/>
      <c r="Q13013" s="1"/>
      <c r="R13013" s="1"/>
      <c r="S13013" s="1"/>
      <c r="T13013" s="1"/>
      <c r="U13013" s="1"/>
      <c r="V13013" s="1"/>
      <c r="W13013" s="1"/>
      <c r="X13013" s="1"/>
      <c r="Y13013" s="1"/>
      <c r="Z13013" s="1"/>
      <c r="AA13013" s="1"/>
      <c r="AB13013" s="1"/>
    </row>
    <row r="13014" ht="50.25" customHeight="1">
      <c r="A13014" s="12">
        <v>13010.0</v>
      </c>
      <c r="B13014" s="13" t="s">
        <v>12428</v>
      </c>
      <c r="C13014" s="14" t="s">
        <v>12528</v>
      </c>
      <c r="D13014" s="1"/>
      <c r="E13014" s="1"/>
      <c r="F13014" s="1" t="str">
        <f>IFERROR(__xludf.DUMMYFUNCTION("GOOGLETRANSLATE(B13014, ""en"", ""fa"")
"),"سلامت روان و رفاه")</f>
        <v>سلامت روان و رفاه</v>
      </c>
      <c r="G13014" s="1" t="str">
        <f>IFERROR(__xludf.DUMMYFUNCTION("GOOGLETRANSLATE(C13014,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3014" s="1"/>
      <c r="I13014" s="1"/>
      <c r="J13014" s="1"/>
      <c r="K13014" s="1"/>
      <c r="L13014" s="1"/>
      <c r="M13014" s="1"/>
      <c r="N13014" s="1"/>
      <c r="O13014" s="1"/>
      <c r="P13014" s="1"/>
      <c r="Q13014" s="1"/>
      <c r="R13014" s="1"/>
      <c r="S13014" s="1"/>
      <c r="T13014" s="1"/>
      <c r="U13014" s="1"/>
      <c r="V13014" s="1"/>
      <c r="W13014" s="1"/>
      <c r="X13014" s="1"/>
      <c r="Y13014" s="1"/>
      <c r="Z13014" s="1"/>
      <c r="AA13014" s="1"/>
      <c r="AB13014" s="1"/>
    </row>
    <row r="13015" ht="50.25" customHeight="1">
      <c r="A13015" s="12">
        <v>13011.0</v>
      </c>
      <c r="B13015" s="13" t="s">
        <v>12428</v>
      </c>
      <c r="C13015" s="14" t="s">
        <v>12531</v>
      </c>
      <c r="D13015" s="1"/>
      <c r="E13015" s="1"/>
      <c r="F13015" s="1" t="str">
        <f>IFERROR(__xludf.DUMMYFUNCTION("GOOGLETRANSLATE(B13015, ""en"", ""fa"")
"),"سلامت روان و رفاه")</f>
        <v>سلامت روان و رفاه</v>
      </c>
      <c r="G13015" s="1" t="str">
        <f>IFERROR(__xludf.DUMMYFUNCTION("GOOGLETRANSLATE(C13015, ""en"", ""fa"")
"),"چگونه می توانم حس هدف و معنا را در زندگی خود برای بهبود سلامت روانی پرورش دهم؟")</f>
        <v>چگونه می توانم حس هدف و معنا را در زندگی خود برای بهبود سلامت روانی پرورش دهم؟</v>
      </c>
      <c r="H13015" s="1"/>
      <c r="I13015" s="1"/>
      <c r="J13015" s="1"/>
      <c r="K13015" s="1"/>
      <c r="L13015" s="1"/>
      <c r="M13015" s="1"/>
      <c r="N13015" s="1"/>
      <c r="O13015" s="1"/>
      <c r="P13015" s="1"/>
      <c r="Q13015" s="1"/>
      <c r="R13015" s="1"/>
      <c r="S13015" s="1"/>
      <c r="T13015" s="1"/>
      <c r="U13015" s="1"/>
      <c r="V13015" s="1"/>
      <c r="W13015" s="1"/>
      <c r="X13015" s="1"/>
      <c r="Y13015" s="1"/>
      <c r="Z13015" s="1"/>
      <c r="AA13015" s="1"/>
      <c r="AB13015" s="1"/>
    </row>
    <row r="13016" ht="50.25" customHeight="1">
      <c r="A13016" s="12">
        <v>13012.0</v>
      </c>
      <c r="B13016" s="13" t="s">
        <v>12428</v>
      </c>
      <c r="C13016" s="14" t="s">
        <v>12532</v>
      </c>
      <c r="D13016" s="1"/>
      <c r="E13016" s="1"/>
      <c r="F13016" s="1" t="str">
        <f>IFERROR(__xludf.DUMMYFUNCTION("GOOGLETRANSLATE(B13016, ""en"", ""fa"")
"),"سلامت روان و رفاه")</f>
        <v>سلامت روان و رفاه</v>
      </c>
      <c r="G13016" s="1" t="str">
        <f>IFERROR(__xludf.DUMMYFUNCTION("GOOGLETRANSLATE(C13016, ""en"", ""fa"")
"),"بهترین تکنیک ها برای مدیریت و کاهش علائم افسردگی پس از زایمان چیست؟")</f>
        <v>بهترین تکنیک ها برای مدیریت و کاهش علائم افسردگی پس از زایمان چیست؟</v>
      </c>
      <c r="H13016" s="1"/>
      <c r="I13016" s="1"/>
      <c r="J13016" s="1"/>
      <c r="K13016" s="1"/>
      <c r="L13016" s="1"/>
      <c r="M13016" s="1"/>
      <c r="N13016" s="1"/>
      <c r="O13016" s="1"/>
      <c r="P13016" s="1"/>
      <c r="Q13016" s="1"/>
      <c r="R13016" s="1"/>
      <c r="S13016" s="1"/>
      <c r="T13016" s="1"/>
      <c r="U13016" s="1"/>
      <c r="V13016" s="1"/>
      <c r="W13016" s="1"/>
      <c r="X13016" s="1"/>
      <c r="Y13016" s="1"/>
      <c r="Z13016" s="1"/>
      <c r="AA13016" s="1"/>
      <c r="AB13016" s="1"/>
    </row>
    <row r="13017" ht="50.25" customHeight="1">
      <c r="A13017" s="12">
        <v>13013.0</v>
      </c>
      <c r="B13017" s="13" t="s">
        <v>12428</v>
      </c>
      <c r="C13017" s="14" t="s">
        <v>12533</v>
      </c>
      <c r="D13017" s="1"/>
      <c r="E13017" s="1"/>
      <c r="F13017" s="1" t="str">
        <f>IFERROR(__xludf.DUMMYFUNCTION("GOOGLETRANSLATE(B13017, ""en"", ""fa"")
"),"سلامت روان و رفاه")</f>
        <v>سلامت روان و رفاه</v>
      </c>
      <c r="G13017" s="1" t="str">
        <f>IFERROR(__xludf.DUMMYFUNCTION("GOOGLETRANSLATE(C13017, ""en"", ""fa"")
"),"چگونه می توانم بر احساس گناه و شرمندگی برای ارتقاء شفای ذهنی غلبه کنم؟")</f>
        <v>چگونه می توانم بر احساس گناه و شرمندگی برای ارتقاء شفای ذهنی غلبه کنم؟</v>
      </c>
      <c r="H13017" s="1"/>
      <c r="I13017" s="1"/>
      <c r="J13017" s="1"/>
      <c r="K13017" s="1"/>
      <c r="L13017" s="1"/>
      <c r="M13017" s="1"/>
      <c r="N13017" s="1"/>
      <c r="O13017" s="1"/>
      <c r="P13017" s="1"/>
      <c r="Q13017" s="1"/>
      <c r="R13017" s="1"/>
      <c r="S13017" s="1"/>
      <c r="T13017" s="1"/>
      <c r="U13017" s="1"/>
      <c r="V13017" s="1"/>
      <c r="W13017" s="1"/>
      <c r="X13017" s="1"/>
      <c r="Y13017" s="1"/>
      <c r="Z13017" s="1"/>
      <c r="AA13017" s="1"/>
      <c r="AB13017" s="1"/>
    </row>
    <row r="13018" ht="50.25" customHeight="1">
      <c r="A13018" s="12">
        <v>13014.0</v>
      </c>
      <c r="B13018" s="13" t="s">
        <v>12428</v>
      </c>
      <c r="C13018" s="14" t="s">
        <v>12534</v>
      </c>
      <c r="D13018" s="1"/>
      <c r="E13018" s="1"/>
      <c r="F13018" s="1" t="str">
        <f>IFERROR(__xludf.DUMMYFUNCTION("GOOGLETRANSLATE(B13018, ""en"", ""fa"")
"),"سلامت روان و رفاه")</f>
        <v>سلامت روان و رفاه</v>
      </c>
      <c r="G13018" s="1" t="str">
        <f>IFERROR(__xludf.DUMMYFUNCTION("GOOGLETRANSLATE(C13018, ""en"", ""fa"")
"),"آیا می توانید فعالیت هایی را برای تمرین ذهن آگاهی و خودآگاهی در طبیعت پیشنهاد دهید؟")</f>
        <v>آیا می توانید فعالیت هایی را برای تمرین ذهن آگاهی و خودآگاهی در طبیعت پیشنهاد دهید؟</v>
      </c>
      <c r="H13018" s="1"/>
      <c r="I13018" s="1"/>
      <c r="J13018" s="1"/>
      <c r="K13018" s="1"/>
      <c r="L13018" s="1"/>
      <c r="M13018" s="1"/>
      <c r="N13018" s="1"/>
      <c r="O13018" s="1"/>
      <c r="P13018" s="1"/>
      <c r="Q13018" s="1"/>
      <c r="R13018" s="1"/>
      <c r="S13018" s="1"/>
      <c r="T13018" s="1"/>
      <c r="U13018" s="1"/>
      <c r="V13018" s="1"/>
      <c r="W13018" s="1"/>
      <c r="X13018" s="1"/>
      <c r="Y13018" s="1"/>
      <c r="Z13018" s="1"/>
      <c r="AA13018" s="1"/>
      <c r="AB13018" s="1"/>
    </row>
    <row r="13019" ht="50.25" customHeight="1">
      <c r="A13019" s="12">
        <v>13015.0</v>
      </c>
      <c r="B13019" s="13" t="s">
        <v>12428</v>
      </c>
      <c r="C13019" s="14" t="s">
        <v>12535</v>
      </c>
      <c r="D13019" s="1"/>
      <c r="E13019" s="1"/>
      <c r="F13019" s="1" t="str">
        <f>IFERROR(__xludf.DUMMYFUNCTION("GOOGLETRANSLATE(B13019, ""en"", ""fa"")
"),"سلامت روان و رفاه")</f>
        <v>سلامت روان و رفاه</v>
      </c>
      <c r="G13019" s="1" t="str">
        <f>IFERROR(__xludf.DUMMYFUNCTION("GOOGLETRANSLATE(C13019, ""en"", ""fa"")
"),"راهبردهای برتر برای مدیریت و کاهش علائم اختلال نقص توجه و بیش فعالی (ADHD) چیست؟")</f>
        <v>راهبردهای برتر برای مدیریت و کاهش علائم اختلال نقص توجه و بیش فعالی (ADHD) چیست؟</v>
      </c>
      <c r="H13019" s="1"/>
      <c r="I13019" s="1"/>
      <c r="J13019" s="1"/>
      <c r="K13019" s="1"/>
      <c r="L13019" s="1"/>
      <c r="M13019" s="1"/>
      <c r="N13019" s="1"/>
      <c r="O13019" s="1"/>
      <c r="P13019" s="1"/>
      <c r="Q13019" s="1"/>
      <c r="R13019" s="1"/>
      <c r="S13019" s="1"/>
      <c r="T13019" s="1"/>
      <c r="U13019" s="1"/>
      <c r="V13019" s="1"/>
      <c r="W13019" s="1"/>
      <c r="X13019" s="1"/>
      <c r="Y13019" s="1"/>
      <c r="Z13019" s="1"/>
      <c r="AA13019" s="1"/>
      <c r="AB13019" s="1"/>
    </row>
    <row r="13020" ht="50.25" customHeight="1">
      <c r="A13020" s="12">
        <v>13016.0</v>
      </c>
      <c r="B13020" s="13" t="s">
        <v>12428</v>
      </c>
      <c r="C13020" s="14" t="s">
        <v>12565</v>
      </c>
      <c r="D13020" s="1"/>
      <c r="E13020" s="1"/>
      <c r="F13020" s="1" t="str">
        <f>IFERROR(__xludf.DUMMYFUNCTION("GOOGLETRANSLATE(B13020, ""en"", ""fa"")
"),"سلامت روان و رفاه")</f>
        <v>سلامت روان و رفاه</v>
      </c>
      <c r="G13020" s="1" t="str">
        <f>IFERROR(__xludf.DUMMYFUNCTION("GOOGLETRANSLATE(C13020, ""en"", ""fa"")
"),"چگونه می توانم در مواقع سخت، شفقت به خود را تمرین کنم و به خودم محبت کنم؟")</f>
        <v>چگونه می توانم در مواقع سخت، شفقت به خود را تمرین کنم و به خودم محبت کنم؟</v>
      </c>
      <c r="H13020" s="1"/>
      <c r="I13020" s="1"/>
      <c r="J13020" s="1"/>
      <c r="K13020" s="1"/>
      <c r="L13020" s="1"/>
      <c r="M13020" s="1"/>
      <c r="N13020" s="1"/>
      <c r="O13020" s="1"/>
      <c r="P13020" s="1"/>
      <c r="Q13020" s="1"/>
      <c r="R13020" s="1"/>
      <c r="S13020" s="1"/>
      <c r="T13020" s="1"/>
      <c r="U13020" s="1"/>
      <c r="V13020" s="1"/>
      <c r="W13020" s="1"/>
      <c r="X13020" s="1"/>
      <c r="Y13020" s="1"/>
      <c r="Z13020" s="1"/>
      <c r="AA13020" s="1"/>
      <c r="AB13020" s="1"/>
    </row>
    <row r="13021" ht="50.25" customHeight="1">
      <c r="A13021" s="12">
        <v>13017.0</v>
      </c>
      <c r="B13021" s="13" t="s">
        <v>12428</v>
      </c>
      <c r="C13021" s="14" t="s">
        <v>12566</v>
      </c>
      <c r="D13021" s="1"/>
      <c r="E13021" s="1"/>
      <c r="F13021" s="1" t="str">
        <f>IFERROR(__xludf.DUMMYFUNCTION("GOOGLETRANSLATE(B13021, ""en"", ""fa"")
"),"سلامت روان و رفاه")</f>
        <v>سلامت روان و رفاه</v>
      </c>
      <c r="G13021" s="1" t="str">
        <f>IFERROR(__xludf.DUMMYFUNCTION("GOOGLETRANSLATE(C13021, ""en"", ""fa"")
"),"بهترین شیوه ها برای مدیریت و کاهش علائم اختلال هویت تجزیه ای (DID) چیست؟")</f>
        <v>بهترین شیوه ها برای مدیریت و کاهش علائم اختلال هویت تجزیه ای (DID) چیست؟</v>
      </c>
      <c r="H13021" s="1"/>
      <c r="I13021" s="1"/>
      <c r="J13021" s="1"/>
      <c r="K13021" s="1"/>
      <c r="L13021" s="1"/>
      <c r="M13021" s="1"/>
      <c r="N13021" s="1"/>
      <c r="O13021" s="1"/>
      <c r="P13021" s="1"/>
      <c r="Q13021" s="1"/>
      <c r="R13021" s="1"/>
      <c r="S13021" s="1"/>
      <c r="T13021" s="1"/>
      <c r="U13021" s="1"/>
      <c r="V13021" s="1"/>
      <c r="W13021" s="1"/>
      <c r="X13021" s="1"/>
      <c r="Y13021" s="1"/>
      <c r="Z13021" s="1"/>
      <c r="AA13021" s="1"/>
      <c r="AB13021" s="1"/>
    </row>
    <row r="13022" ht="50.25" customHeight="1">
      <c r="A13022" s="12">
        <v>13018.0</v>
      </c>
      <c r="B13022" s="13" t="s">
        <v>12428</v>
      </c>
      <c r="C13022" s="14" t="s">
        <v>12567</v>
      </c>
      <c r="D13022" s="1"/>
      <c r="E13022" s="1"/>
      <c r="F13022" s="1" t="str">
        <f>IFERROR(__xludf.DUMMYFUNCTION("GOOGLETRANSLATE(B13022, ""en"", ""fa"")
"),"سلامت روان و رفاه")</f>
        <v>سلامت روان و رفاه</v>
      </c>
      <c r="G13022" s="1" t="str">
        <f>IFERROR(__xludf.DUMMYFUNCTION("GOOGLETRANSLATE(C13022, ""en"", ""fa"")
"),"چگونه می توانم مرزهای سالم را در زندگی شخصی و حرفه ای خود ایجاد و حفظ کنم؟")</f>
        <v>چگونه می توانم مرزهای سالم را در زندگی شخصی و حرفه ای خود ایجاد و حفظ کنم؟</v>
      </c>
      <c r="H13022" s="1"/>
      <c r="I13022" s="1"/>
      <c r="J13022" s="1"/>
      <c r="K13022" s="1"/>
      <c r="L13022" s="1"/>
      <c r="M13022" s="1"/>
      <c r="N13022" s="1"/>
      <c r="O13022" s="1"/>
      <c r="P13022" s="1"/>
      <c r="Q13022" s="1"/>
      <c r="R13022" s="1"/>
      <c r="S13022" s="1"/>
      <c r="T13022" s="1"/>
      <c r="U13022" s="1"/>
      <c r="V13022" s="1"/>
      <c r="W13022" s="1"/>
      <c r="X13022" s="1"/>
      <c r="Y13022" s="1"/>
      <c r="Z13022" s="1"/>
      <c r="AA13022" s="1"/>
      <c r="AB13022" s="1"/>
    </row>
    <row r="13023" ht="50.25" customHeight="1">
      <c r="A13023" s="12">
        <v>13019.0</v>
      </c>
      <c r="B13023" s="13" t="s">
        <v>12428</v>
      </c>
      <c r="C13023" s="14" t="s">
        <v>12568</v>
      </c>
      <c r="D13023" s="1"/>
      <c r="E13023" s="1"/>
      <c r="F13023" s="1" t="str">
        <f>IFERROR(__xludf.DUMMYFUNCTION("GOOGLETRANSLATE(B13023, ""en"", ""fa"")
"),"سلامت روان و رفاه")</f>
        <v>سلامت روان و رفاه</v>
      </c>
      <c r="G13023" s="1" t="str">
        <f>IFERROR(__xludf.DUMMYFUNCTION("GOOGLETRANSLATE(C13023, ""en"", ""fa"")
"),"آیا می توانید منابعی را برای یادگیری تکنیک های مختلف آرامش برای کاهش استرس توصیه کنید؟")</f>
        <v>آیا می توانید منابعی را برای یادگیری تکنیک های مختلف آرامش برای کاهش استرس توصیه کنید؟</v>
      </c>
      <c r="H13023" s="1"/>
      <c r="I13023" s="1"/>
      <c r="J13023" s="1"/>
      <c r="K13023" s="1"/>
      <c r="L13023" s="1"/>
      <c r="M13023" s="1"/>
      <c r="N13023" s="1"/>
      <c r="O13023" s="1"/>
      <c r="P13023" s="1"/>
      <c r="Q13023" s="1"/>
      <c r="R13023" s="1"/>
      <c r="S13023" s="1"/>
      <c r="T13023" s="1"/>
      <c r="U13023" s="1"/>
      <c r="V13023" s="1"/>
      <c r="W13023" s="1"/>
      <c r="X13023" s="1"/>
      <c r="Y13023" s="1"/>
      <c r="Z13023" s="1"/>
      <c r="AA13023" s="1"/>
      <c r="AB13023" s="1"/>
    </row>
    <row r="13024" ht="50.25" customHeight="1">
      <c r="A13024" s="12">
        <v>13020.0</v>
      </c>
      <c r="B13024" s="13" t="s">
        <v>12428</v>
      </c>
      <c r="C13024" s="14" t="s">
        <v>12569</v>
      </c>
      <c r="D13024" s="1"/>
      <c r="E13024" s="1"/>
      <c r="F13024" s="1" t="str">
        <f>IFERROR(__xludf.DUMMYFUNCTION("GOOGLETRANSLATE(B13024, ""en"", ""fa"")
"),"سلامت روان و رفاه")</f>
        <v>سلامت روان و رفاه</v>
      </c>
      <c r="G13024" s="1" t="str">
        <f>IFERROR(__xludf.DUMMYFUNCTION("GOOGLETRANSLATE(C13024, ""en"", ""fa"")
"),"نکات مهم برای ایجاد و حفظ انعطاف پذیری در زمان های چالش برانگیز چیست؟")</f>
        <v>نکات مهم برای ایجاد و حفظ انعطاف پذیری در زمان های چالش برانگیز چیست؟</v>
      </c>
      <c r="H13024" s="1"/>
      <c r="I13024" s="1"/>
      <c r="J13024" s="1"/>
      <c r="K13024" s="1"/>
      <c r="L13024" s="1"/>
      <c r="M13024" s="1"/>
      <c r="N13024" s="1"/>
      <c r="O13024" s="1"/>
      <c r="P13024" s="1"/>
      <c r="Q13024" s="1"/>
      <c r="R13024" s="1"/>
      <c r="S13024" s="1"/>
      <c r="T13024" s="1"/>
      <c r="U13024" s="1"/>
      <c r="V13024" s="1"/>
      <c r="W13024" s="1"/>
      <c r="X13024" s="1"/>
      <c r="Y13024" s="1"/>
      <c r="Z13024" s="1"/>
      <c r="AA13024" s="1"/>
      <c r="AB13024" s="1"/>
    </row>
    <row r="13025" ht="50.25" customHeight="1">
      <c r="A13025" s="12">
        <v>13021.0</v>
      </c>
      <c r="B13025" s="13" t="s">
        <v>12428</v>
      </c>
      <c r="C13025" s="14" t="s">
        <v>12570</v>
      </c>
      <c r="D13025" s="1"/>
      <c r="E13025" s="1"/>
      <c r="F13025" s="1" t="str">
        <f>IFERROR(__xludf.DUMMYFUNCTION("GOOGLETRANSLATE(B13025, ""en"", ""fa"")
"),"سلامت روان و رفاه")</f>
        <v>سلامت روان و رفاه</v>
      </c>
      <c r="G13025" s="1" t="str">
        <f>IFERROR(__xludf.DUMMYFUNCTION("GOOGLETRANSLATE(C13025, ""en"", ""fa"")
"),"چگونه می توانم طبیعت و فعالیت های بیرون از خانه را برای بهبود سلامت ذهنی در برنامه روزانه خود بگنجانم؟")</f>
        <v>چگونه می توانم طبیعت و فعالیت های بیرون از خانه را برای بهبود سلامت ذهنی در برنامه روزانه خود بگنجانم؟</v>
      </c>
      <c r="H13025" s="1"/>
      <c r="I13025" s="1"/>
      <c r="J13025" s="1"/>
      <c r="K13025" s="1"/>
      <c r="L13025" s="1"/>
      <c r="M13025" s="1"/>
      <c r="N13025" s="1"/>
      <c r="O13025" s="1"/>
      <c r="P13025" s="1"/>
      <c r="Q13025" s="1"/>
      <c r="R13025" s="1"/>
      <c r="S13025" s="1"/>
      <c r="T13025" s="1"/>
      <c r="U13025" s="1"/>
      <c r="V13025" s="1"/>
      <c r="W13025" s="1"/>
      <c r="X13025" s="1"/>
      <c r="Y13025" s="1"/>
      <c r="Z13025" s="1"/>
      <c r="AA13025" s="1"/>
      <c r="AB13025" s="1"/>
    </row>
    <row r="13026" ht="50.25" customHeight="1">
      <c r="A13026" s="12">
        <v>13022.0</v>
      </c>
      <c r="B13026" s="13" t="s">
        <v>12428</v>
      </c>
      <c r="C13026" s="14" t="s">
        <v>12571</v>
      </c>
      <c r="D13026" s="1"/>
      <c r="E13026" s="1"/>
      <c r="F13026" s="1" t="str">
        <f>IFERROR(__xludf.DUMMYFUNCTION("GOOGLETRANSLATE(B13026, ""en"", ""fa"")
"),"سلامت روان و رفاه")</f>
        <v>سلامت روان و رفاه</v>
      </c>
      <c r="G13026" s="1" t="str">
        <f>IFERROR(__xludf.DUMMYFUNCTION("GOOGLETRANSLATE(C13026, ""en"", ""fa"")
"),"بهترین راهکارها برای مدیریت و کاهش علائم اختلالات خوردن چیست؟")</f>
        <v>بهترین راهکارها برای مدیریت و کاهش علائم اختلالات خوردن چیست؟</v>
      </c>
      <c r="H13026" s="1"/>
      <c r="I13026" s="1"/>
      <c r="J13026" s="1"/>
      <c r="K13026" s="1"/>
      <c r="L13026" s="1"/>
      <c r="M13026" s="1"/>
      <c r="N13026" s="1"/>
      <c r="O13026" s="1"/>
      <c r="P13026" s="1"/>
      <c r="Q13026" s="1"/>
      <c r="R13026" s="1"/>
      <c r="S13026" s="1"/>
      <c r="T13026" s="1"/>
      <c r="U13026" s="1"/>
      <c r="V13026" s="1"/>
      <c r="W13026" s="1"/>
      <c r="X13026" s="1"/>
      <c r="Y13026" s="1"/>
      <c r="Z13026" s="1"/>
      <c r="AA13026" s="1"/>
      <c r="AB13026" s="1"/>
    </row>
    <row r="13027" ht="50.25" customHeight="1">
      <c r="A13027" s="12">
        <v>13023.0</v>
      </c>
      <c r="B13027" s="13" t="s">
        <v>12428</v>
      </c>
      <c r="C13027" s="14" t="s">
        <v>12572</v>
      </c>
      <c r="D13027" s="1"/>
      <c r="E13027" s="1"/>
      <c r="F13027" s="1" t="str">
        <f>IFERROR(__xludf.DUMMYFUNCTION("GOOGLETRANSLATE(B13027, ""en"", ""fa"")
"),"سلامت روان و رفاه")</f>
        <v>سلامت روان و رفاه</v>
      </c>
      <c r="G13027" s="1" t="str">
        <f>IFERROR(__xludf.DUMMYFUNCTION("GOOGLETRANSLATE(C13027,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027" s="1"/>
      <c r="I13027" s="1"/>
      <c r="J13027" s="1"/>
      <c r="K13027" s="1"/>
      <c r="L13027" s="1"/>
      <c r="M13027" s="1"/>
      <c r="N13027" s="1"/>
      <c r="O13027" s="1"/>
      <c r="P13027" s="1"/>
      <c r="Q13027" s="1"/>
      <c r="R13027" s="1"/>
      <c r="S13027" s="1"/>
      <c r="T13027" s="1"/>
      <c r="U13027" s="1"/>
      <c r="V13027" s="1"/>
      <c r="W13027" s="1"/>
      <c r="X13027" s="1"/>
      <c r="Y13027" s="1"/>
      <c r="Z13027" s="1"/>
      <c r="AA13027" s="1"/>
      <c r="AB13027" s="1"/>
    </row>
    <row r="13028" ht="50.25" customHeight="1">
      <c r="A13028" s="12">
        <v>13024.0</v>
      </c>
      <c r="B13028" s="13" t="s">
        <v>12428</v>
      </c>
      <c r="C13028" s="14" t="s">
        <v>12573</v>
      </c>
      <c r="D13028" s="1"/>
      <c r="E13028" s="1"/>
      <c r="F13028" s="1" t="str">
        <f>IFERROR(__xludf.DUMMYFUNCTION("GOOGLETRANSLATE(B13028, ""en"", ""fa"")
"),"سلامت روان و رفاه")</f>
        <v>سلامت روان و رفاه</v>
      </c>
      <c r="G13028" s="1" t="str">
        <f>IFERROR(__xludf.DUMMYFUNCTION("GOOGLETRANSLATE(C13028, ""en"", ""fa"")
"),"آیا می توانید تکنیک هایی برای مدیریت و کاهش علائم اسکیزوفرنی پیشنهاد دهید؟")</f>
        <v>آیا می توانید تکنیک هایی برای مدیریت و کاهش علائم اسکیزوفرنی پیشنهاد دهید؟</v>
      </c>
      <c r="H13028" s="1"/>
      <c r="I13028" s="1"/>
      <c r="J13028" s="1"/>
      <c r="K13028" s="1"/>
      <c r="L13028" s="1"/>
      <c r="M13028" s="1"/>
      <c r="N13028" s="1"/>
      <c r="O13028" s="1"/>
      <c r="P13028" s="1"/>
      <c r="Q13028" s="1"/>
      <c r="R13028" s="1"/>
      <c r="S13028" s="1"/>
      <c r="T13028" s="1"/>
      <c r="U13028" s="1"/>
      <c r="V13028" s="1"/>
      <c r="W13028" s="1"/>
      <c r="X13028" s="1"/>
      <c r="Y13028" s="1"/>
      <c r="Z13028" s="1"/>
      <c r="AA13028" s="1"/>
      <c r="AB13028" s="1"/>
    </row>
    <row r="13029" ht="50.25" customHeight="1">
      <c r="A13029" s="12">
        <v>13025.0</v>
      </c>
      <c r="B13029" s="13" t="s">
        <v>12428</v>
      </c>
      <c r="C13029" s="14" t="s">
        <v>12574</v>
      </c>
      <c r="D13029" s="1"/>
      <c r="E13029" s="1"/>
      <c r="F13029" s="1" t="str">
        <f>IFERROR(__xludf.DUMMYFUNCTION("GOOGLETRANSLATE(B13029, ""en"", ""fa"")
"),"سلامت روان و رفاه")</f>
        <v>سلامت روان و رفاه</v>
      </c>
      <c r="G13029" s="1" t="str">
        <f>IFERROR(__xludf.DUMMYFUNCTION("GOOGLETRANSLATE(C13029, ""en"", ""fa"")
"),"نکات مهم برای پرورش ذهنیت رشد و پذیرش چالش ها به عنوان فرصت هایی برای رشد شخصی چیست؟")</f>
        <v>نکات مهم برای پرورش ذهنیت رشد و پذیرش چالش ها به عنوان فرصت هایی برای رشد شخصی چیست؟</v>
      </c>
      <c r="H13029" s="1"/>
      <c r="I13029" s="1"/>
      <c r="J13029" s="1"/>
      <c r="K13029" s="1"/>
      <c r="L13029" s="1"/>
      <c r="M13029" s="1"/>
      <c r="N13029" s="1"/>
      <c r="O13029" s="1"/>
      <c r="P13029" s="1"/>
      <c r="Q13029" s="1"/>
      <c r="R13029" s="1"/>
      <c r="S13029" s="1"/>
      <c r="T13029" s="1"/>
      <c r="U13029" s="1"/>
      <c r="V13029" s="1"/>
      <c r="W13029" s="1"/>
      <c r="X13029" s="1"/>
      <c r="Y13029" s="1"/>
      <c r="Z13029" s="1"/>
      <c r="AA13029" s="1"/>
      <c r="AB13029" s="1"/>
    </row>
    <row r="13030" ht="50.25" customHeight="1">
      <c r="A13030" s="12">
        <v>13026.0</v>
      </c>
      <c r="B13030" s="13" t="s">
        <v>12428</v>
      </c>
      <c r="C13030" s="14" t="s">
        <v>12499</v>
      </c>
      <c r="D13030" s="1"/>
      <c r="E13030" s="1"/>
      <c r="F13030" s="1" t="str">
        <f>IFERROR(__xludf.DUMMYFUNCTION("GOOGLETRANSLATE(B13030, ""en"", ""fa"")
"),"سلامت روان و رفاه")</f>
        <v>سلامت روان و رفاه</v>
      </c>
      <c r="G13030" s="1" t="str">
        <f>IFERROR(__xludf.DUMMYFUNCTION("GOOGLETRANSLATE(C13030,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3030" s="1"/>
      <c r="I13030" s="1"/>
      <c r="J13030" s="1"/>
      <c r="K13030" s="1"/>
      <c r="L13030" s="1"/>
      <c r="M13030" s="1"/>
      <c r="N13030" s="1"/>
      <c r="O13030" s="1"/>
      <c r="P13030" s="1"/>
      <c r="Q13030" s="1"/>
      <c r="R13030" s="1"/>
      <c r="S13030" s="1"/>
      <c r="T13030" s="1"/>
      <c r="U13030" s="1"/>
      <c r="V13030" s="1"/>
      <c r="W13030" s="1"/>
      <c r="X13030" s="1"/>
      <c r="Y13030" s="1"/>
      <c r="Z13030" s="1"/>
      <c r="AA13030" s="1"/>
      <c r="AB13030" s="1"/>
    </row>
    <row r="13031" ht="50.25" customHeight="1">
      <c r="A13031" s="12">
        <v>13027.0</v>
      </c>
      <c r="B13031" s="13" t="s">
        <v>12428</v>
      </c>
      <c r="C13031" s="14" t="s">
        <v>12500</v>
      </c>
      <c r="D13031" s="1"/>
      <c r="E13031" s="1"/>
      <c r="F13031" s="1" t="str">
        <f>IFERROR(__xludf.DUMMYFUNCTION("GOOGLETRANSLATE(B13031, ""en"", ""fa"")
"),"سلامت روان و رفاه")</f>
        <v>سلامت روان و رفاه</v>
      </c>
      <c r="G13031" s="1" t="str">
        <f>IFERROR(__xludf.DUMMYFUNCTION("GOOGLETRANSLATE(C13031, ""en"", ""fa"")
"),"بهترین تکنیک ها برای مدیریت و کاهش علائم فوبیا و ترس چیست؟")</f>
        <v>بهترین تکنیک ها برای مدیریت و کاهش علائم فوبیا و ترس چیست؟</v>
      </c>
      <c r="H13031" s="1"/>
      <c r="I13031" s="1"/>
      <c r="J13031" s="1"/>
      <c r="K13031" s="1"/>
      <c r="L13031" s="1"/>
      <c r="M13031" s="1"/>
      <c r="N13031" s="1"/>
      <c r="O13031" s="1"/>
      <c r="P13031" s="1"/>
      <c r="Q13031" s="1"/>
      <c r="R13031" s="1"/>
      <c r="S13031" s="1"/>
      <c r="T13031" s="1"/>
      <c r="U13031" s="1"/>
      <c r="V13031" s="1"/>
      <c r="W13031" s="1"/>
      <c r="X13031" s="1"/>
      <c r="Y13031" s="1"/>
      <c r="Z13031" s="1"/>
      <c r="AA13031" s="1"/>
      <c r="AB13031" s="1"/>
    </row>
    <row r="13032" ht="50.25" customHeight="1">
      <c r="A13032" s="12">
        <v>13028.0</v>
      </c>
      <c r="B13032" s="13" t="s">
        <v>12428</v>
      </c>
      <c r="C13032" s="14" t="s">
        <v>12501</v>
      </c>
      <c r="D13032" s="1"/>
      <c r="E13032" s="1"/>
      <c r="F13032" s="1" t="str">
        <f>IFERROR(__xludf.DUMMYFUNCTION("GOOGLETRANSLATE(B13032, ""en"", ""fa"")
"),"سلامت روان و رفاه")</f>
        <v>سلامت روان و رفاه</v>
      </c>
      <c r="G13032" s="1" t="str">
        <f>IFERROR(__xludf.DUMMYFUNCTION("GOOGLETRANSLATE(C13032,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3032" s="1"/>
      <c r="I13032" s="1"/>
      <c r="J13032" s="1"/>
      <c r="K13032" s="1"/>
      <c r="L13032" s="1"/>
      <c r="M13032" s="1"/>
      <c r="N13032" s="1"/>
      <c r="O13032" s="1"/>
      <c r="P13032" s="1"/>
      <c r="Q13032" s="1"/>
      <c r="R13032" s="1"/>
      <c r="S13032" s="1"/>
      <c r="T13032" s="1"/>
      <c r="U13032" s="1"/>
      <c r="V13032" s="1"/>
      <c r="W13032" s="1"/>
      <c r="X13032" s="1"/>
      <c r="Y13032" s="1"/>
      <c r="Z13032" s="1"/>
      <c r="AA13032" s="1"/>
      <c r="AB13032" s="1"/>
    </row>
    <row r="13033" ht="50.25" customHeight="1">
      <c r="A13033" s="12">
        <v>13029.0</v>
      </c>
      <c r="B13033" s="13" t="s">
        <v>12428</v>
      </c>
      <c r="C13033" s="14" t="s">
        <v>12527</v>
      </c>
      <c r="D13033" s="1"/>
      <c r="E13033" s="1"/>
      <c r="F13033" s="1" t="str">
        <f>IFERROR(__xludf.DUMMYFUNCTION("GOOGLETRANSLATE(B13033, ""en"", ""fa"")
"),"سلامت روان و رفاه")</f>
        <v>سلامت روان و رفاه</v>
      </c>
      <c r="G13033" s="1" t="str">
        <f>IFERROR(__xludf.DUMMYFUNCTION("GOOGLETRANSLATE(C13033,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033" s="1"/>
      <c r="I13033" s="1"/>
      <c r="J13033" s="1"/>
      <c r="K13033" s="1"/>
      <c r="L13033" s="1"/>
      <c r="M13033" s="1"/>
      <c r="N13033" s="1"/>
      <c r="O13033" s="1"/>
      <c r="P13033" s="1"/>
      <c r="Q13033" s="1"/>
      <c r="R13033" s="1"/>
      <c r="S13033" s="1"/>
      <c r="T13033" s="1"/>
      <c r="U13033" s="1"/>
      <c r="V13033" s="1"/>
      <c r="W13033" s="1"/>
      <c r="X13033" s="1"/>
      <c r="Y13033" s="1"/>
      <c r="Z13033" s="1"/>
      <c r="AA13033" s="1"/>
      <c r="AB13033" s="1"/>
    </row>
    <row r="13034" ht="50.25" customHeight="1">
      <c r="A13034" s="12">
        <v>13030.0</v>
      </c>
      <c r="B13034" s="13" t="s">
        <v>12428</v>
      </c>
      <c r="C13034" s="14" t="s">
        <v>12503</v>
      </c>
      <c r="D13034" s="1"/>
      <c r="E13034" s="1"/>
      <c r="F13034" s="1" t="str">
        <f>IFERROR(__xludf.DUMMYFUNCTION("GOOGLETRANSLATE(B13034, ""en"", ""fa"")
"),"سلامت روان و رفاه")</f>
        <v>سلامت روان و رفاه</v>
      </c>
      <c r="G13034" s="1" t="str">
        <f>IFERROR(__xludf.DUMMYFUNCTION("GOOGLETRANSLATE(C13034, ""en"", ""fa"")
"),"نکات مهم برای ایجاد و حفظ هوش هیجانی برای روابط بین فردی بهتر چیست؟")</f>
        <v>نکات مهم برای ایجاد و حفظ هوش هیجانی برای روابط بین فردی بهتر چیست؟</v>
      </c>
      <c r="H13034" s="1"/>
      <c r="I13034" s="1"/>
      <c r="J13034" s="1"/>
      <c r="K13034" s="1"/>
      <c r="L13034" s="1"/>
      <c r="M13034" s="1"/>
      <c r="N13034" s="1"/>
      <c r="O13034" s="1"/>
      <c r="P13034" s="1"/>
      <c r="Q13034" s="1"/>
      <c r="R13034" s="1"/>
      <c r="S13034" s="1"/>
      <c r="T13034" s="1"/>
      <c r="U13034" s="1"/>
      <c r="V13034" s="1"/>
      <c r="W13034" s="1"/>
      <c r="X13034" s="1"/>
      <c r="Y13034" s="1"/>
      <c r="Z13034" s="1"/>
      <c r="AA13034" s="1"/>
      <c r="AB13034" s="1"/>
    </row>
    <row r="13035" ht="50.25" customHeight="1">
      <c r="A13035" s="12">
        <v>13031.0</v>
      </c>
      <c r="B13035" s="13" t="s">
        <v>12428</v>
      </c>
      <c r="C13035" s="14" t="s">
        <v>12504</v>
      </c>
      <c r="D13035" s="1"/>
      <c r="E13035" s="1"/>
      <c r="F13035" s="1" t="str">
        <f>IFERROR(__xludf.DUMMYFUNCTION("GOOGLETRANSLATE(B13035, ""en"", ""fa"")
"),"سلامت روان و رفاه")</f>
        <v>سلامت روان و رفاه</v>
      </c>
      <c r="G13035" s="1" t="str">
        <f>IFERROR(__xludf.DUMMYFUNCTION("GOOGLETRANSLATE(C13035,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3035" s="1"/>
      <c r="I13035" s="1"/>
      <c r="J13035" s="1"/>
      <c r="K13035" s="1"/>
      <c r="L13035" s="1"/>
      <c r="M13035" s="1"/>
      <c r="N13035" s="1"/>
      <c r="O13035" s="1"/>
      <c r="P13035" s="1"/>
      <c r="Q13035" s="1"/>
      <c r="R13035" s="1"/>
      <c r="S13035" s="1"/>
      <c r="T13035" s="1"/>
      <c r="U13035" s="1"/>
      <c r="V13035" s="1"/>
      <c r="W13035" s="1"/>
      <c r="X13035" s="1"/>
      <c r="Y13035" s="1"/>
      <c r="Z13035" s="1"/>
      <c r="AA13035" s="1"/>
      <c r="AB13035" s="1"/>
    </row>
    <row r="13036" ht="50.25" customHeight="1">
      <c r="A13036" s="12">
        <v>13032.0</v>
      </c>
      <c r="B13036" s="13" t="s">
        <v>12428</v>
      </c>
      <c r="C13036" s="14" t="s">
        <v>12505</v>
      </c>
      <c r="D13036" s="1"/>
      <c r="E13036" s="1"/>
      <c r="F13036" s="1" t="str">
        <f>IFERROR(__xludf.DUMMYFUNCTION("GOOGLETRANSLATE(B13036, ""en"", ""fa"")
"),"سلامت روان و رفاه")</f>
        <v>سلامت روان و رفاه</v>
      </c>
      <c r="G13036" s="1" t="str">
        <f>IFERROR(__xludf.DUMMYFUNCTION("GOOGLETRANSLATE(C13036, ""en"", ""fa"")
"),"بهترین راهکارها برای مدیریت و کاهش علائم اختلال دوقطبی چیست؟")</f>
        <v>بهترین راهکارها برای مدیریت و کاهش علائم اختلال دوقطبی چیست؟</v>
      </c>
      <c r="H13036" s="1"/>
      <c r="I13036" s="1"/>
      <c r="J13036" s="1"/>
      <c r="K13036" s="1"/>
      <c r="L13036" s="1"/>
      <c r="M13036" s="1"/>
      <c r="N13036" s="1"/>
      <c r="O13036" s="1"/>
      <c r="P13036" s="1"/>
      <c r="Q13036" s="1"/>
      <c r="R13036" s="1"/>
      <c r="S13036" s="1"/>
      <c r="T13036" s="1"/>
      <c r="U13036" s="1"/>
      <c r="V13036" s="1"/>
      <c r="W13036" s="1"/>
      <c r="X13036" s="1"/>
      <c r="Y13036" s="1"/>
      <c r="Z13036" s="1"/>
      <c r="AA13036" s="1"/>
      <c r="AB13036" s="1"/>
    </row>
    <row r="13037" ht="50.25" customHeight="1">
      <c r="A13037" s="12">
        <v>13033.0</v>
      </c>
      <c r="B13037" s="13" t="s">
        <v>12428</v>
      </c>
      <c r="C13037" s="14" t="s">
        <v>12506</v>
      </c>
      <c r="D13037" s="1"/>
      <c r="E13037" s="1"/>
      <c r="F13037" s="1" t="str">
        <f>IFERROR(__xludf.DUMMYFUNCTION("GOOGLETRANSLATE(B13037, ""en"", ""fa"")
"),"سلامت روان و رفاه")</f>
        <v>سلامت روان و رفاه</v>
      </c>
      <c r="G13037" s="1" t="str">
        <f>IFERROR(__xludf.DUMMYFUNCTION("GOOGLETRANSLATE(C13037,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3037" s="1"/>
      <c r="I13037" s="1"/>
      <c r="J13037" s="1"/>
      <c r="K13037" s="1"/>
      <c r="L13037" s="1"/>
      <c r="M13037" s="1"/>
      <c r="N13037" s="1"/>
      <c r="O13037" s="1"/>
      <c r="P13037" s="1"/>
      <c r="Q13037" s="1"/>
      <c r="R13037" s="1"/>
      <c r="S13037" s="1"/>
      <c r="T13037" s="1"/>
      <c r="U13037" s="1"/>
      <c r="V13037" s="1"/>
      <c r="W13037" s="1"/>
      <c r="X13037" s="1"/>
      <c r="Y13037" s="1"/>
      <c r="Z13037" s="1"/>
      <c r="AA13037" s="1"/>
      <c r="AB13037" s="1"/>
    </row>
    <row r="13038" ht="50.25" customHeight="1">
      <c r="A13038" s="12">
        <v>13034.0</v>
      </c>
      <c r="B13038" s="13" t="s">
        <v>12428</v>
      </c>
      <c r="C13038" s="14" t="s">
        <v>12582</v>
      </c>
      <c r="D13038" s="1"/>
      <c r="E13038" s="1"/>
      <c r="F13038" s="1" t="str">
        <f>IFERROR(__xludf.DUMMYFUNCTION("GOOGLETRANSLATE(B13038, ""en"", ""fa"")
"),"سلامت روان و رفاه")</f>
        <v>سلامت روان و رفاه</v>
      </c>
      <c r="G13038" s="1" t="str">
        <f>IFERROR(__xludf.DUMMYFUNCTION("GOOGLETRANSLATE(C13038, ""en"", ""fa"")
"),"آیا می توانید تکنیک هایی برای تمرین آرام سازی پیشرونده عضلانی برای کاهش استرس و اضطراب پیشنهاد دهید؟")</f>
        <v>آیا می توانید تکنیک هایی برای تمرین آرام سازی پیشرونده عضلانی برای کاهش استرس و اضطراب پیشنهاد دهید؟</v>
      </c>
      <c r="H13038" s="1"/>
      <c r="I13038" s="1"/>
      <c r="J13038" s="1"/>
      <c r="K13038" s="1"/>
      <c r="L13038" s="1"/>
      <c r="M13038" s="1"/>
      <c r="N13038" s="1"/>
      <c r="O13038" s="1"/>
      <c r="P13038" s="1"/>
      <c r="Q13038" s="1"/>
      <c r="R13038" s="1"/>
      <c r="S13038" s="1"/>
      <c r="T13038" s="1"/>
      <c r="U13038" s="1"/>
      <c r="V13038" s="1"/>
      <c r="W13038" s="1"/>
      <c r="X13038" s="1"/>
      <c r="Y13038" s="1"/>
      <c r="Z13038" s="1"/>
      <c r="AA13038" s="1"/>
      <c r="AB13038" s="1"/>
    </row>
    <row r="13039" ht="50.25" customHeight="1">
      <c r="A13039" s="12">
        <v>13035.0</v>
      </c>
      <c r="B13039" s="13" t="s">
        <v>12428</v>
      </c>
      <c r="C13039" s="14" t="s">
        <v>12508</v>
      </c>
      <c r="D13039" s="1"/>
      <c r="E13039" s="1"/>
      <c r="F13039" s="1" t="str">
        <f>IFERROR(__xludf.DUMMYFUNCTION("GOOGLETRANSLATE(B13039, ""en"", ""fa"")
"),"سلامت روان و رفاه")</f>
        <v>سلامت روان و رفاه</v>
      </c>
      <c r="G13039" s="1" t="str">
        <f>IFERROR(__xludf.DUMMYFUNCTION("GOOGLETRANSLATE(C13039, ""en"", ""fa"")
"),"نکات مهم برای ایجاد و حفظ تاب آوری در مواجهه با چالش های زندگی چیست؟")</f>
        <v>نکات مهم برای ایجاد و حفظ تاب آوری در مواجهه با چالش های زندگی چیست؟</v>
      </c>
      <c r="H13039" s="1"/>
      <c r="I13039" s="1"/>
      <c r="J13039" s="1"/>
      <c r="K13039" s="1"/>
      <c r="L13039" s="1"/>
      <c r="M13039" s="1"/>
      <c r="N13039" s="1"/>
      <c r="O13039" s="1"/>
      <c r="P13039" s="1"/>
      <c r="Q13039" s="1"/>
      <c r="R13039" s="1"/>
      <c r="S13039" s="1"/>
      <c r="T13039" s="1"/>
      <c r="U13039" s="1"/>
      <c r="V13039" s="1"/>
      <c r="W13039" s="1"/>
      <c r="X13039" s="1"/>
      <c r="Y13039" s="1"/>
      <c r="Z13039" s="1"/>
      <c r="AA13039" s="1"/>
      <c r="AB13039" s="1"/>
    </row>
    <row r="13040" ht="50.25" customHeight="1">
      <c r="A13040" s="12">
        <v>13036.0</v>
      </c>
      <c r="B13040" s="13" t="s">
        <v>12428</v>
      </c>
      <c r="C13040" s="14" t="s">
        <v>12509</v>
      </c>
      <c r="D13040" s="1"/>
      <c r="E13040" s="1"/>
      <c r="F13040" s="1" t="str">
        <f>IFERROR(__xludf.DUMMYFUNCTION("GOOGLETRANSLATE(B13040, ""en"", ""fa"")
"),"سلامت روان و رفاه")</f>
        <v>سلامت روان و رفاه</v>
      </c>
      <c r="G13040" s="1" t="str">
        <f>IFERROR(__xludf.DUMMYFUNCTION("GOOGLETRANSLATE(C13040,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3040" s="1"/>
      <c r="I13040" s="1"/>
      <c r="J13040" s="1"/>
      <c r="K13040" s="1"/>
      <c r="L13040" s="1"/>
      <c r="M13040" s="1"/>
      <c r="N13040" s="1"/>
      <c r="O13040" s="1"/>
      <c r="P13040" s="1"/>
      <c r="Q13040" s="1"/>
      <c r="R13040" s="1"/>
      <c r="S13040" s="1"/>
      <c r="T13040" s="1"/>
      <c r="U13040" s="1"/>
      <c r="V13040" s="1"/>
      <c r="W13040" s="1"/>
      <c r="X13040" s="1"/>
      <c r="Y13040" s="1"/>
      <c r="Z13040" s="1"/>
      <c r="AA13040" s="1"/>
      <c r="AB13040" s="1"/>
    </row>
    <row r="13041" ht="50.25" customHeight="1">
      <c r="A13041" s="12">
        <v>13037.0</v>
      </c>
      <c r="B13041" s="13" t="s">
        <v>12428</v>
      </c>
      <c r="C13041" s="14" t="s">
        <v>12510</v>
      </c>
      <c r="D13041" s="1"/>
      <c r="E13041" s="1"/>
      <c r="F13041" s="1" t="str">
        <f>IFERROR(__xludf.DUMMYFUNCTION("GOOGLETRANSLATE(B13041, ""en"", ""fa"")
"),"سلامت روان و رفاه")</f>
        <v>سلامت روان و رفاه</v>
      </c>
      <c r="G13041" s="1" t="str">
        <f>IFERROR(__xludf.DUMMYFUNCTION("GOOGLETRANSLATE(C13041,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3041" s="1"/>
      <c r="I13041" s="1"/>
      <c r="J13041" s="1"/>
      <c r="K13041" s="1"/>
      <c r="L13041" s="1"/>
      <c r="M13041" s="1"/>
      <c r="N13041" s="1"/>
      <c r="O13041" s="1"/>
      <c r="P13041" s="1"/>
      <c r="Q13041" s="1"/>
      <c r="R13041" s="1"/>
      <c r="S13041" s="1"/>
      <c r="T13041" s="1"/>
      <c r="U13041" s="1"/>
      <c r="V13041" s="1"/>
      <c r="W13041" s="1"/>
      <c r="X13041" s="1"/>
      <c r="Y13041" s="1"/>
      <c r="Z13041" s="1"/>
      <c r="AA13041" s="1"/>
      <c r="AB13041" s="1"/>
    </row>
    <row r="13042" ht="50.25" customHeight="1">
      <c r="A13042" s="12">
        <v>13038.0</v>
      </c>
      <c r="B13042" s="13" t="s">
        <v>12428</v>
      </c>
      <c r="C13042" s="14" t="s">
        <v>12511</v>
      </c>
      <c r="D13042" s="1"/>
      <c r="E13042" s="1"/>
      <c r="F13042" s="1" t="str">
        <f>IFERROR(__xludf.DUMMYFUNCTION("GOOGLETRANSLATE(B13042, ""en"", ""fa"")
"),"سلامت روان و رفاه")</f>
        <v>سلامت روان و رفاه</v>
      </c>
      <c r="G13042" s="1" t="str">
        <f>IFERROR(__xludf.DUMMYFUNCTION("GOOGLETRANSLATE(C13042,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3042" s="1"/>
      <c r="I13042" s="1"/>
      <c r="J13042" s="1"/>
      <c r="K13042" s="1"/>
      <c r="L13042" s="1"/>
      <c r="M13042" s="1"/>
      <c r="N13042" s="1"/>
      <c r="O13042" s="1"/>
      <c r="P13042" s="1"/>
      <c r="Q13042" s="1"/>
      <c r="R13042" s="1"/>
      <c r="S13042" s="1"/>
      <c r="T13042" s="1"/>
      <c r="U13042" s="1"/>
      <c r="V13042" s="1"/>
      <c r="W13042" s="1"/>
      <c r="X13042" s="1"/>
      <c r="Y13042" s="1"/>
      <c r="Z13042" s="1"/>
      <c r="AA13042" s="1"/>
      <c r="AB13042" s="1"/>
    </row>
    <row r="13043" ht="50.25" customHeight="1">
      <c r="A13043" s="12">
        <v>13039.0</v>
      </c>
      <c r="B13043" s="13" t="s">
        <v>12428</v>
      </c>
      <c r="C13043" s="14" t="s">
        <v>12583</v>
      </c>
      <c r="D13043" s="1"/>
      <c r="E13043" s="1"/>
      <c r="F13043" s="1" t="str">
        <f>IFERROR(__xludf.DUMMYFUNCTION("GOOGLETRANSLATE(B13043, ""en"", ""fa"")
"),"سلامت روان و رفاه")</f>
        <v>سلامت روان و رفاه</v>
      </c>
      <c r="G13043" s="1" t="str">
        <f>IFERROR(__xludf.DUMMYFUNCTION("GOOGLETRANSLATE(C13043, ""en"", ""fa"")
"),"آیا می‌توانید فعالیت‌هایی را برای ارتقای خودبیانگری و خلاقیت برای تقویت سلامت روان توصیه کنید؟")</f>
        <v>آیا می‌توانید فعالیت‌هایی را برای ارتقای خودبیانگری و خلاقیت برای تقویت سلامت روان توصیه کنید؟</v>
      </c>
      <c r="H13043" s="1"/>
      <c r="I13043" s="1"/>
      <c r="J13043" s="1"/>
      <c r="K13043" s="1"/>
      <c r="L13043" s="1"/>
      <c r="M13043" s="1"/>
      <c r="N13043" s="1"/>
      <c r="O13043" s="1"/>
      <c r="P13043" s="1"/>
      <c r="Q13043" s="1"/>
      <c r="R13043" s="1"/>
      <c r="S13043" s="1"/>
      <c r="T13043" s="1"/>
      <c r="U13043" s="1"/>
      <c r="V13043" s="1"/>
      <c r="W13043" s="1"/>
      <c r="X13043" s="1"/>
      <c r="Y13043" s="1"/>
      <c r="Z13043" s="1"/>
      <c r="AA13043" s="1"/>
      <c r="AB13043" s="1"/>
    </row>
    <row r="13044" ht="50.25" customHeight="1">
      <c r="A13044" s="12">
        <v>13040.0</v>
      </c>
      <c r="B13044" s="13" t="s">
        <v>12428</v>
      </c>
      <c r="C13044" s="14" t="s">
        <v>12513</v>
      </c>
      <c r="D13044" s="1"/>
      <c r="E13044" s="1"/>
      <c r="F13044" s="1" t="str">
        <f>IFERROR(__xludf.DUMMYFUNCTION("GOOGLETRANSLATE(B13044, ""en"", ""fa"")
"),"سلامت روان و رفاه")</f>
        <v>سلامت روان و رفاه</v>
      </c>
      <c r="G13044" s="1" t="str">
        <f>IFERROR(__xludf.DUMMYFUNCTION("GOOGLETRANSLATE(C13044, ""en"", ""fa"")
"),"راهبردهای برتر برای مدیریت و کاهش علائم اختلالات خوردن چیست؟")</f>
        <v>راهبردهای برتر برای مدیریت و کاهش علائم اختلالات خوردن چیست؟</v>
      </c>
      <c r="H13044" s="1"/>
      <c r="I13044" s="1"/>
      <c r="J13044" s="1"/>
      <c r="K13044" s="1"/>
      <c r="L13044" s="1"/>
      <c r="M13044" s="1"/>
      <c r="N13044" s="1"/>
      <c r="O13044" s="1"/>
      <c r="P13044" s="1"/>
      <c r="Q13044" s="1"/>
      <c r="R13044" s="1"/>
      <c r="S13044" s="1"/>
      <c r="T13044" s="1"/>
      <c r="U13044" s="1"/>
      <c r="V13044" s="1"/>
      <c r="W13044" s="1"/>
      <c r="X13044" s="1"/>
      <c r="Y13044" s="1"/>
      <c r="Z13044" s="1"/>
      <c r="AA13044" s="1"/>
      <c r="AB13044" s="1"/>
    </row>
    <row r="13045" ht="50.25" customHeight="1">
      <c r="A13045" s="12">
        <v>13041.0</v>
      </c>
      <c r="B13045" s="13" t="s">
        <v>12428</v>
      </c>
      <c r="C13045" s="14" t="s">
        <v>12514</v>
      </c>
      <c r="D13045" s="1"/>
      <c r="E13045" s="1"/>
      <c r="F13045" s="1" t="str">
        <f>IFERROR(__xludf.DUMMYFUNCTION("GOOGLETRANSLATE(B13045, ""en"", ""fa"")
"),"سلامت روان و رفاه")</f>
        <v>سلامت روان و رفاه</v>
      </c>
      <c r="G13045" s="1" t="str">
        <f>IFERROR(__xludf.DUMMYFUNCTION("GOOGLETRANSLATE(C13045,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045" s="1"/>
      <c r="I13045" s="1"/>
      <c r="J13045" s="1"/>
      <c r="K13045" s="1"/>
      <c r="L13045" s="1"/>
      <c r="M13045" s="1"/>
      <c r="N13045" s="1"/>
      <c r="O13045" s="1"/>
      <c r="P13045" s="1"/>
      <c r="Q13045" s="1"/>
      <c r="R13045" s="1"/>
      <c r="S13045" s="1"/>
      <c r="T13045" s="1"/>
      <c r="U13045" s="1"/>
      <c r="V13045" s="1"/>
      <c r="W13045" s="1"/>
      <c r="X13045" s="1"/>
      <c r="Y13045" s="1"/>
      <c r="Z13045" s="1"/>
      <c r="AA13045" s="1"/>
      <c r="AB13045" s="1"/>
    </row>
    <row r="13046" ht="50.25" customHeight="1">
      <c r="A13046" s="12">
        <v>13042.0</v>
      </c>
      <c r="B13046" s="13" t="s">
        <v>12428</v>
      </c>
      <c r="C13046" s="14" t="s">
        <v>12515</v>
      </c>
      <c r="D13046" s="1"/>
      <c r="E13046" s="1"/>
      <c r="F13046" s="1" t="str">
        <f>IFERROR(__xludf.DUMMYFUNCTION("GOOGLETRANSLATE(B13046, ""en"", ""fa"")
"),"سلامت روان و رفاه")</f>
        <v>سلامت روان و رفاه</v>
      </c>
      <c r="G13046" s="1" t="str">
        <f>IFERROR(__xludf.DUMMYFUNCTION("GOOGLETRANSLATE(C13046, ""en"", ""fa"")
"),"بهترین تکنیک ها برای مدیریت و کاهش علائم اسکیزوفرنی چیست؟")</f>
        <v>بهترین تکنیک ها برای مدیریت و کاهش علائم اسکیزوفرنی چیست؟</v>
      </c>
      <c r="H13046" s="1"/>
      <c r="I13046" s="1"/>
      <c r="J13046" s="1"/>
      <c r="K13046" s="1"/>
      <c r="L13046" s="1"/>
      <c r="M13046" s="1"/>
      <c r="N13046" s="1"/>
      <c r="O13046" s="1"/>
      <c r="P13046" s="1"/>
      <c r="Q13046" s="1"/>
      <c r="R13046" s="1"/>
      <c r="S13046" s="1"/>
      <c r="T13046" s="1"/>
      <c r="U13046" s="1"/>
      <c r="V13046" s="1"/>
      <c r="W13046" s="1"/>
      <c r="X13046" s="1"/>
      <c r="Y13046" s="1"/>
      <c r="Z13046" s="1"/>
      <c r="AA13046" s="1"/>
      <c r="AB13046" s="1"/>
    </row>
    <row r="13047" ht="50.25" customHeight="1">
      <c r="A13047" s="12">
        <v>13043.0</v>
      </c>
      <c r="B13047" s="13" t="s">
        <v>12428</v>
      </c>
      <c r="C13047" s="14" t="s">
        <v>12516</v>
      </c>
      <c r="D13047" s="1"/>
      <c r="E13047" s="1"/>
      <c r="F13047" s="1" t="str">
        <f>IFERROR(__xludf.DUMMYFUNCTION("GOOGLETRANSLATE(B13047, ""en"", ""fa"")
"),"سلامت روان و رفاه")</f>
        <v>سلامت روان و رفاه</v>
      </c>
      <c r="G13047" s="1" t="str">
        <f>IFERROR(__xludf.DUMMYFUNCTION("GOOGLETRANSLATE(C13047,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3047" s="1"/>
      <c r="I13047" s="1"/>
      <c r="J13047" s="1"/>
      <c r="K13047" s="1"/>
      <c r="L13047" s="1"/>
      <c r="M13047" s="1"/>
      <c r="N13047" s="1"/>
      <c r="O13047" s="1"/>
      <c r="P13047" s="1"/>
      <c r="Q13047" s="1"/>
      <c r="R13047" s="1"/>
      <c r="S13047" s="1"/>
      <c r="T13047" s="1"/>
      <c r="U13047" s="1"/>
      <c r="V13047" s="1"/>
      <c r="W13047" s="1"/>
      <c r="X13047" s="1"/>
      <c r="Y13047" s="1"/>
      <c r="Z13047" s="1"/>
      <c r="AA13047" s="1"/>
      <c r="AB13047" s="1"/>
    </row>
    <row r="13048" ht="50.25" customHeight="1">
      <c r="A13048" s="12">
        <v>13044.0</v>
      </c>
      <c r="B13048" s="13" t="s">
        <v>12428</v>
      </c>
      <c r="C13048" s="14" t="s">
        <v>12517</v>
      </c>
      <c r="D13048" s="1"/>
      <c r="E13048" s="1"/>
      <c r="F13048" s="1" t="str">
        <f>IFERROR(__xludf.DUMMYFUNCTION("GOOGLETRANSLATE(B13048, ""en"", ""fa"")
"),"سلامت روان و رفاه")</f>
        <v>سلامت روان و رفاه</v>
      </c>
      <c r="G13048" s="1" t="str">
        <f>IFERROR(__xludf.DUMMYFUNCTION("GOOGLETRANSLATE(C13048,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3048" s="1"/>
      <c r="I13048" s="1"/>
      <c r="J13048" s="1"/>
      <c r="K13048" s="1"/>
      <c r="L13048" s="1"/>
      <c r="M13048" s="1"/>
      <c r="N13048" s="1"/>
      <c r="O13048" s="1"/>
      <c r="P13048" s="1"/>
      <c r="Q13048" s="1"/>
      <c r="R13048" s="1"/>
      <c r="S13048" s="1"/>
      <c r="T13048" s="1"/>
      <c r="U13048" s="1"/>
      <c r="V13048" s="1"/>
      <c r="W13048" s="1"/>
      <c r="X13048" s="1"/>
      <c r="Y13048" s="1"/>
      <c r="Z13048" s="1"/>
      <c r="AA13048" s="1"/>
      <c r="AB13048" s="1"/>
    </row>
    <row r="13049" ht="50.25" customHeight="1">
      <c r="A13049" s="12">
        <v>13045.0</v>
      </c>
      <c r="B13049" s="13" t="s">
        <v>12428</v>
      </c>
      <c r="C13049" s="14" t="s">
        <v>12518</v>
      </c>
      <c r="D13049" s="1"/>
      <c r="E13049" s="1"/>
      <c r="F13049" s="1" t="str">
        <f>IFERROR(__xludf.DUMMYFUNCTION("GOOGLETRANSLATE(B13049, ""en"", ""fa"")
"),"سلامت روان و رفاه")</f>
        <v>سلامت روان و رفاه</v>
      </c>
      <c r="G13049" s="1" t="str">
        <f>IFERROR(__xludf.DUMMYFUNCTION("GOOGLETRANSLATE(C13049, ""en"", ""fa"")
"),"نکات مهم برای ایجاد و حفظ مرزهای سالم در محیط های حرفه ای چیست؟")</f>
        <v>نکات مهم برای ایجاد و حفظ مرزهای سالم در محیط های حرفه ای چیست؟</v>
      </c>
      <c r="H13049" s="1"/>
      <c r="I13049" s="1"/>
      <c r="J13049" s="1"/>
      <c r="K13049" s="1"/>
      <c r="L13049" s="1"/>
      <c r="M13049" s="1"/>
      <c r="N13049" s="1"/>
      <c r="O13049" s="1"/>
      <c r="P13049" s="1"/>
      <c r="Q13049" s="1"/>
      <c r="R13049" s="1"/>
      <c r="S13049" s="1"/>
      <c r="T13049" s="1"/>
      <c r="U13049" s="1"/>
      <c r="V13049" s="1"/>
      <c r="W13049" s="1"/>
      <c r="X13049" s="1"/>
      <c r="Y13049" s="1"/>
      <c r="Z13049" s="1"/>
      <c r="AA13049" s="1"/>
      <c r="AB13049" s="1"/>
    </row>
    <row r="13050" ht="50.25" customHeight="1">
      <c r="A13050" s="12">
        <v>13046.0</v>
      </c>
      <c r="B13050" s="13" t="s">
        <v>12428</v>
      </c>
      <c r="C13050" s="14" t="s">
        <v>12519</v>
      </c>
      <c r="D13050" s="1"/>
      <c r="E13050" s="1"/>
      <c r="F13050" s="1" t="str">
        <f>IFERROR(__xludf.DUMMYFUNCTION("GOOGLETRANSLATE(B13050, ""en"", ""fa"")
"),"سلامت روان و رفاه")</f>
        <v>سلامت روان و رفاه</v>
      </c>
      <c r="G13050" s="1" t="str">
        <f>IFERROR(__xludf.DUMMYFUNCTION("GOOGLETRANSLATE(C13050,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3050" s="1"/>
      <c r="I13050" s="1"/>
      <c r="J13050" s="1"/>
      <c r="K13050" s="1"/>
      <c r="L13050" s="1"/>
      <c r="M13050" s="1"/>
      <c r="N13050" s="1"/>
      <c r="O13050" s="1"/>
      <c r="P13050" s="1"/>
      <c r="Q13050" s="1"/>
      <c r="R13050" s="1"/>
      <c r="S13050" s="1"/>
      <c r="T13050" s="1"/>
      <c r="U13050" s="1"/>
      <c r="V13050" s="1"/>
      <c r="W13050" s="1"/>
      <c r="X13050" s="1"/>
      <c r="Y13050" s="1"/>
      <c r="Z13050" s="1"/>
      <c r="AA13050" s="1"/>
      <c r="AB13050" s="1"/>
    </row>
    <row r="13051" ht="50.25" customHeight="1">
      <c r="A13051" s="12">
        <v>13047.0</v>
      </c>
      <c r="B13051" s="13" t="s">
        <v>12428</v>
      </c>
      <c r="C13051" s="14" t="s">
        <v>12520</v>
      </c>
      <c r="D13051" s="1"/>
      <c r="E13051" s="1"/>
      <c r="F13051" s="1" t="str">
        <f>IFERROR(__xludf.DUMMYFUNCTION("GOOGLETRANSLATE(B13051, ""en"", ""fa"")
"),"سلامت روان و رفاه")</f>
        <v>سلامت روان و رفاه</v>
      </c>
      <c r="G13051" s="1" t="str">
        <f>IFERROR(__xludf.DUMMYFUNCTION("GOOGLETRANSLATE(C13051, ""en"", ""fa"")
"),"بهترین راهکارها برای مدیریت و کاهش علائم اختلالات مصرف مواد چیست؟")</f>
        <v>بهترین راهکارها برای مدیریت و کاهش علائم اختلالات مصرف مواد چیست؟</v>
      </c>
      <c r="H13051" s="1"/>
      <c r="I13051" s="1"/>
      <c r="J13051" s="1"/>
      <c r="K13051" s="1"/>
      <c r="L13051" s="1"/>
      <c r="M13051" s="1"/>
      <c r="N13051" s="1"/>
      <c r="O13051" s="1"/>
      <c r="P13051" s="1"/>
      <c r="Q13051" s="1"/>
      <c r="R13051" s="1"/>
      <c r="S13051" s="1"/>
      <c r="T13051" s="1"/>
      <c r="U13051" s="1"/>
      <c r="V13051" s="1"/>
      <c r="W13051" s="1"/>
      <c r="X13051" s="1"/>
      <c r="Y13051" s="1"/>
      <c r="Z13051" s="1"/>
      <c r="AA13051" s="1"/>
      <c r="AB13051" s="1"/>
    </row>
    <row r="13052" ht="50.25" customHeight="1">
      <c r="A13052" s="12">
        <v>13048.0</v>
      </c>
      <c r="B13052" s="13" t="s">
        <v>12428</v>
      </c>
      <c r="C13052" s="14" t="s">
        <v>12521</v>
      </c>
      <c r="D13052" s="1"/>
      <c r="E13052" s="1"/>
      <c r="F13052" s="1" t="str">
        <f>IFERROR(__xludf.DUMMYFUNCTION("GOOGLETRANSLATE(B13052, ""en"", ""fa"")
"),"سلامت روان و رفاه")</f>
        <v>سلامت روان و رفاه</v>
      </c>
      <c r="G13052" s="1" t="str">
        <f>IFERROR(__xludf.DUMMYFUNCTION("GOOGLETRANSLATE(C13052,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3052" s="1"/>
      <c r="I13052" s="1"/>
      <c r="J13052" s="1"/>
      <c r="K13052" s="1"/>
      <c r="L13052" s="1"/>
      <c r="M13052" s="1"/>
      <c r="N13052" s="1"/>
      <c r="O13052" s="1"/>
      <c r="P13052" s="1"/>
      <c r="Q13052" s="1"/>
      <c r="R13052" s="1"/>
      <c r="S13052" s="1"/>
      <c r="T13052" s="1"/>
      <c r="U13052" s="1"/>
      <c r="V13052" s="1"/>
      <c r="W13052" s="1"/>
      <c r="X13052" s="1"/>
      <c r="Y13052" s="1"/>
      <c r="Z13052" s="1"/>
      <c r="AA13052" s="1"/>
      <c r="AB13052" s="1"/>
    </row>
    <row r="13053" ht="50.25" customHeight="1">
      <c r="A13053" s="12">
        <v>13049.0</v>
      </c>
      <c r="B13053" s="13" t="s">
        <v>12428</v>
      </c>
      <c r="C13053" s="14" t="s">
        <v>12522</v>
      </c>
      <c r="D13053" s="1"/>
      <c r="E13053" s="1"/>
      <c r="F13053" s="1" t="str">
        <f>IFERROR(__xludf.DUMMYFUNCTION("GOOGLETRANSLATE(B13053, ""en"", ""fa"")
"),"سلامت روان و رفاه")</f>
        <v>سلامت روان و رفاه</v>
      </c>
      <c r="G13053" s="1" t="str">
        <f>IFERROR(__xludf.DUMMYFUNCTION("GOOGLETRANSLATE(C13053,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3053" s="1"/>
      <c r="I13053" s="1"/>
      <c r="J13053" s="1"/>
      <c r="K13053" s="1"/>
      <c r="L13053" s="1"/>
      <c r="M13053" s="1"/>
      <c r="N13053" s="1"/>
      <c r="O13053" s="1"/>
      <c r="P13053" s="1"/>
      <c r="Q13053" s="1"/>
      <c r="R13053" s="1"/>
      <c r="S13053" s="1"/>
      <c r="T13053" s="1"/>
      <c r="U13053" s="1"/>
      <c r="V13053" s="1"/>
      <c r="W13053" s="1"/>
      <c r="X13053" s="1"/>
      <c r="Y13053" s="1"/>
      <c r="Z13053" s="1"/>
      <c r="AA13053" s="1"/>
      <c r="AB13053" s="1"/>
    </row>
    <row r="13054" ht="50.25" customHeight="1">
      <c r="A13054" s="12">
        <v>13050.0</v>
      </c>
      <c r="B13054" s="13" t="s">
        <v>12428</v>
      </c>
      <c r="C13054" s="14" t="s">
        <v>12523</v>
      </c>
      <c r="D13054" s="1"/>
      <c r="E13054" s="1"/>
      <c r="F13054" s="1" t="str">
        <f>IFERROR(__xludf.DUMMYFUNCTION("GOOGLETRANSLATE(B13054, ""en"", ""fa"")
"),"سلامت روان و رفاه")</f>
        <v>سلامت روان و رفاه</v>
      </c>
      <c r="G13054" s="1" t="str">
        <f>IFERROR(__xludf.DUMMYFUNCTION("GOOGLETRANSLATE(C13054,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3054" s="1"/>
      <c r="I13054" s="1"/>
      <c r="J13054" s="1"/>
      <c r="K13054" s="1"/>
      <c r="L13054" s="1"/>
      <c r="M13054" s="1"/>
      <c r="N13054" s="1"/>
      <c r="O13054" s="1"/>
      <c r="P13054" s="1"/>
      <c r="Q13054" s="1"/>
      <c r="R13054" s="1"/>
      <c r="S13054" s="1"/>
      <c r="T13054" s="1"/>
      <c r="U13054" s="1"/>
      <c r="V13054" s="1"/>
      <c r="W13054" s="1"/>
      <c r="X13054" s="1"/>
      <c r="Y13054" s="1"/>
      <c r="Z13054" s="1"/>
      <c r="AA13054" s="1"/>
      <c r="AB13054" s="1"/>
    </row>
    <row r="13055" ht="50.25" customHeight="1">
      <c r="A13055" s="12">
        <v>13051.0</v>
      </c>
      <c r="B13055" s="13" t="s">
        <v>12428</v>
      </c>
      <c r="C13055" s="14" t="s">
        <v>12524</v>
      </c>
      <c r="D13055" s="1"/>
      <c r="E13055" s="1"/>
      <c r="F13055" s="1" t="str">
        <f>IFERROR(__xludf.DUMMYFUNCTION("GOOGLETRANSLATE(B13055, ""en"", ""fa"")
"),"سلامت روان و رفاه")</f>
        <v>سلامت روان و رفاه</v>
      </c>
      <c r="G13055" s="1" t="str">
        <f>IFERROR(__xludf.DUMMYFUNCTION("GOOGLETRANSLATE(C13055,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3055" s="1"/>
      <c r="I13055" s="1"/>
      <c r="J13055" s="1"/>
      <c r="K13055" s="1"/>
      <c r="L13055" s="1"/>
      <c r="M13055" s="1"/>
      <c r="N13055" s="1"/>
      <c r="O13055" s="1"/>
      <c r="P13055" s="1"/>
      <c r="Q13055" s="1"/>
      <c r="R13055" s="1"/>
      <c r="S13055" s="1"/>
      <c r="T13055" s="1"/>
      <c r="U13055" s="1"/>
      <c r="V13055" s="1"/>
      <c r="W13055" s="1"/>
      <c r="X13055" s="1"/>
      <c r="Y13055" s="1"/>
      <c r="Z13055" s="1"/>
      <c r="AA13055" s="1"/>
      <c r="AB13055" s="1"/>
    </row>
    <row r="13056" ht="50.25" customHeight="1">
      <c r="A13056" s="12">
        <v>13052.0</v>
      </c>
      <c r="B13056" s="13" t="s">
        <v>12428</v>
      </c>
      <c r="C13056" s="14" t="s">
        <v>12525</v>
      </c>
      <c r="D13056" s="1"/>
      <c r="E13056" s="1"/>
      <c r="F13056" s="1" t="str">
        <f>IFERROR(__xludf.DUMMYFUNCTION("GOOGLETRANSLATE(B13056, ""en"", ""fa"")
"),"سلامت روان و رفاه")</f>
        <v>سلامت روان و رفاه</v>
      </c>
      <c r="G13056" s="1" t="str">
        <f>IFERROR(__xludf.DUMMYFUNCTION("GOOGLETRANSLATE(C13056, ""en"", ""fa"")
"),"بهترین راهبردها برای مدیریت و کاهش علائم اختلال شخصیت مرزی (BPD) چیست؟")</f>
        <v>بهترین راهبردها برای مدیریت و کاهش علائم اختلال شخصیت مرزی (BPD) چیست؟</v>
      </c>
      <c r="H13056" s="1"/>
      <c r="I13056" s="1"/>
      <c r="J13056" s="1"/>
      <c r="K13056" s="1"/>
      <c r="L13056" s="1"/>
      <c r="M13056" s="1"/>
      <c r="N13056" s="1"/>
      <c r="O13056" s="1"/>
      <c r="P13056" s="1"/>
      <c r="Q13056" s="1"/>
      <c r="R13056" s="1"/>
      <c r="S13056" s="1"/>
      <c r="T13056" s="1"/>
      <c r="U13056" s="1"/>
      <c r="V13056" s="1"/>
      <c r="W13056" s="1"/>
      <c r="X13056" s="1"/>
      <c r="Y13056" s="1"/>
      <c r="Z13056" s="1"/>
      <c r="AA13056" s="1"/>
      <c r="AB13056" s="1"/>
    </row>
    <row r="13057" ht="50.25" customHeight="1">
      <c r="A13057" s="12">
        <v>13053.0</v>
      </c>
      <c r="B13057" s="13" t="s">
        <v>12428</v>
      </c>
      <c r="C13057" s="14" t="s">
        <v>12526</v>
      </c>
      <c r="D13057" s="1"/>
      <c r="E13057" s="1"/>
      <c r="F13057" s="1" t="str">
        <f>IFERROR(__xludf.DUMMYFUNCTION("GOOGLETRANSLATE(B13057, ""en"", ""fa"")
"),"سلامت روان و رفاه")</f>
        <v>سلامت روان و رفاه</v>
      </c>
      <c r="G13057" s="1" t="str">
        <f>IFERROR(__xludf.DUMMYFUNCTION("GOOGLETRANSLATE(C13057,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3057" s="1"/>
      <c r="I13057" s="1"/>
      <c r="J13057" s="1"/>
      <c r="K13057" s="1"/>
      <c r="L13057" s="1"/>
      <c r="M13057" s="1"/>
      <c r="N13057" s="1"/>
      <c r="O13057" s="1"/>
      <c r="P13057" s="1"/>
      <c r="Q13057" s="1"/>
      <c r="R13057" s="1"/>
      <c r="S13057" s="1"/>
      <c r="T13057" s="1"/>
      <c r="U13057" s="1"/>
      <c r="V13057" s="1"/>
      <c r="W13057" s="1"/>
      <c r="X13057" s="1"/>
      <c r="Y13057" s="1"/>
      <c r="Z13057" s="1"/>
      <c r="AA13057" s="1"/>
      <c r="AB13057" s="1"/>
    </row>
    <row r="13058" ht="50.25" customHeight="1">
      <c r="A13058" s="12">
        <v>13054.0</v>
      </c>
      <c r="B13058" s="13" t="s">
        <v>12428</v>
      </c>
      <c r="C13058" s="14" t="s">
        <v>12527</v>
      </c>
      <c r="D13058" s="1"/>
      <c r="E13058" s="1"/>
      <c r="F13058" s="1" t="str">
        <f>IFERROR(__xludf.DUMMYFUNCTION("GOOGLETRANSLATE(B13058, ""en"", ""fa"")
"),"سلامت روان و رفاه")</f>
        <v>سلامت روان و رفاه</v>
      </c>
      <c r="G13058" s="1" t="str">
        <f>IFERROR(__xludf.DUMMYFUNCTION("GOOGLETRANSLATE(C13058,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058" s="1"/>
      <c r="I13058" s="1"/>
      <c r="J13058" s="1"/>
      <c r="K13058" s="1"/>
      <c r="L13058" s="1"/>
      <c r="M13058" s="1"/>
      <c r="N13058" s="1"/>
      <c r="O13058" s="1"/>
      <c r="P13058" s="1"/>
      <c r="Q13058" s="1"/>
      <c r="R13058" s="1"/>
      <c r="S13058" s="1"/>
      <c r="T13058" s="1"/>
      <c r="U13058" s="1"/>
      <c r="V13058" s="1"/>
      <c r="W13058" s="1"/>
      <c r="X13058" s="1"/>
      <c r="Y13058" s="1"/>
      <c r="Z13058" s="1"/>
      <c r="AA13058" s="1"/>
      <c r="AB13058" s="1"/>
    </row>
    <row r="13059" ht="50.25" customHeight="1">
      <c r="A13059" s="12">
        <v>13055.0</v>
      </c>
      <c r="B13059" s="13" t="s">
        <v>12428</v>
      </c>
      <c r="C13059" s="14" t="s">
        <v>12528</v>
      </c>
      <c r="D13059" s="1"/>
      <c r="E13059" s="1"/>
      <c r="F13059" s="1" t="str">
        <f>IFERROR(__xludf.DUMMYFUNCTION("GOOGLETRANSLATE(B13059, ""en"", ""fa"")
"),"سلامت روان و رفاه")</f>
        <v>سلامت روان و رفاه</v>
      </c>
      <c r="G13059" s="1" t="str">
        <f>IFERROR(__xludf.DUMMYFUNCTION("GOOGLETRANSLATE(C13059,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3059" s="1"/>
      <c r="I13059" s="1"/>
      <c r="J13059" s="1"/>
      <c r="K13059" s="1"/>
      <c r="L13059" s="1"/>
      <c r="M13059" s="1"/>
      <c r="N13059" s="1"/>
      <c r="O13059" s="1"/>
      <c r="P13059" s="1"/>
      <c r="Q13059" s="1"/>
      <c r="R13059" s="1"/>
      <c r="S13059" s="1"/>
      <c r="T13059" s="1"/>
      <c r="U13059" s="1"/>
      <c r="V13059" s="1"/>
      <c r="W13059" s="1"/>
      <c r="X13059" s="1"/>
      <c r="Y13059" s="1"/>
      <c r="Z13059" s="1"/>
      <c r="AA13059" s="1"/>
      <c r="AB13059" s="1"/>
    </row>
    <row r="13060" ht="50.25" customHeight="1">
      <c r="A13060" s="12">
        <v>13056.0</v>
      </c>
      <c r="B13060" s="13" t="s">
        <v>12428</v>
      </c>
      <c r="C13060" s="14" t="s">
        <v>12531</v>
      </c>
      <c r="D13060" s="1"/>
      <c r="E13060" s="1"/>
      <c r="F13060" s="1" t="str">
        <f>IFERROR(__xludf.DUMMYFUNCTION("GOOGLETRANSLATE(B13060, ""en"", ""fa"")
"),"سلامت روان و رفاه")</f>
        <v>سلامت روان و رفاه</v>
      </c>
      <c r="G13060" s="1" t="str">
        <f>IFERROR(__xludf.DUMMYFUNCTION("GOOGLETRANSLATE(C13060, ""en"", ""fa"")
"),"چگونه می توانم حس هدف و معنا را در زندگی خود برای بهبود سلامت روانی پرورش دهم؟")</f>
        <v>چگونه می توانم حس هدف و معنا را در زندگی خود برای بهبود سلامت روانی پرورش دهم؟</v>
      </c>
      <c r="H13060" s="1"/>
      <c r="I13060" s="1"/>
      <c r="J13060" s="1"/>
      <c r="K13060" s="1"/>
      <c r="L13060" s="1"/>
      <c r="M13060" s="1"/>
      <c r="N13060" s="1"/>
      <c r="O13060" s="1"/>
      <c r="P13060" s="1"/>
      <c r="Q13060" s="1"/>
      <c r="R13060" s="1"/>
      <c r="S13060" s="1"/>
      <c r="T13060" s="1"/>
      <c r="U13060" s="1"/>
      <c r="V13060" s="1"/>
      <c r="W13060" s="1"/>
      <c r="X13060" s="1"/>
      <c r="Y13060" s="1"/>
      <c r="Z13060" s="1"/>
      <c r="AA13060" s="1"/>
      <c r="AB13060" s="1"/>
    </row>
    <row r="13061" ht="50.25" customHeight="1">
      <c r="A13061" s="12">
        <v>13057.0</v>
      </c>
      <c r="B13061" s="13" t="s">
        <v>12428</v>
      </c>
      <c r="C13061" s="14" t="s">
        <v>12532</v>
      </c>
      <c r="D13061" s="1"/>
      <c r="E13061" s="1"/>
      <c r="F13061" s="1" t="str">
        <f>IFERROR(__xludf.DUMMYFUNCTION("GOOGLETRANSLATE(B13061, ""en"", ""fa"")
"),"سلامت روان و رفاه")</f>
        <v>سلامت روان و رفاه</v>
      </c>
      <c r="G13061" s="1" t="str">
        <f>IFERROR(__xludf.DUMMYFUNCTION("GOOGLETRANSLATE(C13061, ""en"", ""fa"")
"),"بهترین تکنیک ها برای مدیریت و کاهش علائم افسردگی پس از زایمان چیست؟")</f>
        <v>بهترین تکنیک ها برای مدیریت و کاهش علائم افسردگی پس از زایمان چیست؟</v>
      </c>
      <c r="H13061" s="1"/>
      <c r="I13061" s="1"/>
      <c r="J13061" s="1"/>
      <c r="K13061" s="1"/>
      <c r="L13061" s="1"/>
      <c r="M13061" s="1"/>
      <c r="N13061" s="1"/>
      <c r="O13061" s="1"/>
      <c r="P13061" s="1"/>
      <c r="Q13061" s="1"/>
      <c r="R13061" s="1"/>
      <c r="S13061" s="1"/>
      <c r="T13061" s="1"/>
      <c r="U13061" s="1"/>
      <c r="V13061" s="1"/>
      <c r="W13061" s="1"/>
      <c r="X13061" s="1"/>
      <c r="Y13061" s="1"/>
      <c r="Z13061" s="1"/>
      <c r="AA13061" s="1"/>
      <c r="AB13061" s="1"/>
    </row>
    <row r="13062" ht="50.25" customHeight="1">
      <c r="A13062" s="12">
        <v>13058.0</v>
      </c>
      <c r="B13062" s="13" t="s">
        <v>12428</v>
      </c>
      <c r="C13062" s="14" t="s">
        <v>12533</v>
      </c>
      <c r="D13062" s="1"/>
      <c r="E13062" s="1"/>
      <c r="F13062" s="1" t="str">
        <f>IFERROR(__xludf.DUMMYFUNCTION("GOOGLETRANSLATE(B13062, ""en"", ""fa"")
"),"سلامت روان و رفاه")</f>
        <v>سلامت روان و رفاه</v>
      </c>
      <c r="G13062" s="1" t="str">
        <f>IFERROR(__xludf.DUMMYFUNCTION("GOOGLETRANSLATE(C13062, ""en"", ""fa"")
"),"چگونه می توانم بر احساس گناه و شرمندگی برای ارتقاء شفای ذهنی غلبه کنم؟")</f>
        <v>چگونه می توانم بر احساس گناه و شرمندگی برای ارتقاء شفای ذهنی غلبه کنم؟</v>
      </c>
      <c r="H13062" s="1"/>
      <c r="I13062" s="1"/>
      <c r="J13062" s="1"/>
      <c r="K13062" s="1"/>
      <c r="L13062" s="1"/>
      <c r="M13062" s="1"/>
      <c r="N13062" s="1"/>
      <c r="O13062" s="1"/>
      <c r="P13062" s="1"/>
      <c r="Q13062" s="1"/>
      <c r="R13062" s="1"/>
      <c r="S13062" s="1"/>
      <c r="T13062" s="1"/>
      <c r="U13062" s="1"/>
      <c r="V13062" s="1"/>
      <c r="W13062" s="1"/>
      <c r="X13062" s="1"/>
      <c r="Y13062" s="1"/>
      <c r="Z13062" s="1"/>
      <c r="AA13062" s="1"/>
      <c r="AB13062" s="1"/>
    </row>
    <row r="13063" ht="50.25" customHeight="1">
      <c r="A13063" s="12">
        <v>13059.0</v>
      </c>
      <c r="B13063" s="13" t="s">
        <v>12428</v>
      </c>
      <c r="C13063" s="14" t="s">
        <v>12534</v>
      </c>
      <c r="D13063" s="1"/>
      <c r="E13063" s="1"/>
      <c r="F13063" s="1" t="str">
        <f>IFERROR(__xludf.DUMMYFUNCTION("GOOGLETRANSLATE(B13063, ""en"", ""fa"")
"),"سلامت روان و رفاه")</f>
        <v>سلامت روان و رفاه</v>
      </c>
      <c r="G13063" s="1" t="str">
        <f>IFERROR(__xludf.DUMMYFUNCTION("GOOGLETRANSLATE(C13063, ""en"", ""fa"")
"),"آیا می توانید فعالیت هایی را برای تمرین ذهن آگاهی و خودآگاهی در طبیعت پیشنهاد دهید؟")</f>
        <v>آیا می توانید فعالیت هایی را برای تمرین ذهن آگاهی و خودآگاهی در طبیعت پیشنهاد دهید؟</v>
      </c>
      <c r="H13063" s="1"/>
      <c r="I13063" s="1"/>
      <c r="J13063" s="1"/>
      <c r="K13063" s="1"/>
      <c r="L13063" s="1"/>
      <c r="M13063" s="1"/>
      <c r="N13063" s="1"/>
      <c r="O13063" s="1"/>
      <c r="P13063" s="1"/>
      <c r="Q13063" s="1"/>
      <c r="R13063" s="1"/>
      <c r="S13063" s="1"/>
      <c r="T13063" s="1"/>
      <c r="U13063" s="1"/>
      <c r="V13063" s="1"/>
      <c r="W13063" s="1"/>
      <c r="X13063" s="1"/>
      <c r="Y13063" s="1"/>
      <c r="Z13063" s="1"/>
      <c r="AA13063" s="1"/>
      <c r="AB13063" s="1"/>
    </row>
    <row r="13064" ht="50.25" customHeight="1">
      <c r="A13064" s="12">
        <v>13060.0</v>
      </c>
      <c r="B13064" s="13" t="s">
        <v>12428</v>
      </c>
      <c r="C13064" s="14" t="s">
        <v>12535</v>
      </c>
      <c r="D13064" s="1"/>
      <c r="E13064" s="1"/>
      <c r="F13064" s="1" t="str">
        <f>IFERROR(__xludf.DUMMYFUNCTION("GOOGLETRANSLATE(B13064, ""en"", ""fa"")
"),"سلامت روان و رفاه")</f>
        <v>سلامت روان و رفاه</v>
      </c>
      <c r="G13064" s="1" t="str">
        <f>IFERROR(__xludf.DUMMYFUNCTION("GOOGLETRANSLATE(C13064, ""en"", ""fa"")
"),"راهبردهای برتر برای مدیریت و کاهش علائم اختلال نقص توجه و بیش فعالی (ADHD) چیست؟")</f>
        <v>راهبردهای برتر برای مدیریت و کاهش علائم اختلال نقص توجه و بیش فعالی (ADHD) چیست؟</v>
      </c>
      <c r="H13064" s="1"/>
      <c r="I13064" s="1"/>
      <c r="J13064" s="1"/>
      <c r="K13064" s="1"/>
      <c r="L13064" s="1"/>
      <c r="M13064" s="1"/>
      <c r="N13064" s="1"/>
      <c r="O13064" s="1"/>
      <c r="P13064" s="1"/>
      <c r="Q13064" s="1"/>
      <c r="R13064" s="1"/>
      <c r="S13064" s="1"/>
      <c r="T13064" s="1"/>
      <c r="U13064" s="1"/>
      <c r="V13064" s="1"/>
      <c r="W13064" s="1"/>
      <c r="X13064" s="1"/>
      <c r="Y13064" s="1"/>
      <c r="Z13064" s="1"/>
      <c r="AA13064" s="1"/>
      <c r="AB13064" s="1"/>
    </row>
    <row r="13065" ht="50.25" customHeight="1">
      <c r="A13065" s="12">
        <v>13061.0</v>
      </c>
      <c r="B13065" s="13" t="s">
        <v>12428</v>
      </c>
      <c r="C13065" s="14" t="s">
        <v>12584</v>
      </c>
      <c r="D13065" s="1"/>
      <c r="E13065" s="1"/>
      <c r="F13065" s="1" t="str">
        <f>IFERROR(__xludf.DUMMYFUNCTION("GOOGLETRANSLATE(B13065, ""en"", ""fa"")
"),"سلامت روان و رفاه")</f>
        <v>سلامت روان و رفاه</v>
      </c>
      <c r="G13065" s="1" t="str">
        <f>IFERROR(__xludf.DUMMYFUNCTION("GOOGLETRANSLATE(C13065, ""en"", ""fa"")
"),"چند استراتژی موثر برای مدیریت و کاهش علائم اختلال اضطراب فراگیر (GAD) چیست؟")</f>
        <v>چند استراتژی موثر برای مدیریت و کاهش علائم اختلال اضطراب فراگیر (GAD) چیست؟</v>
      </c>
      <c r="H13065" s="1"/>
      <c r="I13065" s="1"/>
      <c r="J13065" s="1"/>
      <c r="K13065" s="1"/>
      <c r="L13065" s="1"/>
      <c r="M13065" s="1"/>
      <c r="N13065" s="1"/>
      <c r="O13065" s="1"/>
      <c r="P13065" s="1"/>
      <c r="Q13065" s="1"/>
      <c r="R13065" s="1"/>
      <c r="S13065" s="1"/>
      <c r="T13065" s="1"/>
      <c r="U13065" s="1"/>
      <c r="V13065" s="1"/>
      <c r="W13065" s="1"/>
      <c r="X13065" s="1"/>
      <c r="Y13065" s="1"/>
      <c r="Z13065" s="1"/>
      <c r="AA13065" s="1"/>
      <c r="AB13065" s="1"/>
    </row>
    <row r="13066" ht="50.25" customHeight="1">
      <c r="A13066" s="12">
        <v>13062.0</v>
      </c>
      <c r="B13066" s="13" t="s">
        <v>12428</v>
      </c>
      <c r="C13066" s="14" t="s">
        <v>12585</v>
      </c>
      <c r="D13066" s="1"/>
      <c r="E13066" s="1"/>
      <c r="F13066" s="1" t="str">
        <f>IFERROR(__xludf.DUMMYFUNCTION("GOOGLETRANSLATE(B13066, ""en"", ""fa"")
"),"سلامت روان و رفاه")</f>
        <v>سلامت روان و رفاه</v>
      </c>
      <c r="G13066" s="1" t="str">
        <f>IFERROR(__xludf.DUMMYFUNCTION("GOOGLETRANSLATE(C13066, ""en"", ""fa"")
"),"چگونه می توانم ذهن آگاهی و شفقت به خود را برای غلبه بر احساسات خود انتقادی و قضاوت تمرین کنم؟")</f>
        <v>چگونه می توانم ذهن آگاهی و شفقت به خود را برای غلبه بر احساسات خود انتقادی و قضاوت تمرین کنم؟</v>
      </c>
      <c r="H13066" s="1"/>
      <c r="I13066" s="1"/>
      <c r="J13066" s="1"/>
      <c r="K13066" s="1"/>
      <c r="L13066" s="1"/>
      <c r="M13066" s="1"/>
      <c r="N13066" s="1"/>
      <c r="O13066" s="1"/>
      <c r="P13066" s="1"/>
      <c r="Q13066" s="1"/>
      <c r="R13066" s="1"/>
      <c r="S13066" s="1"/>
      <c r="T13066" s="1"/>
      <c r="U13066" s="1"/>
      <c r="V13066" s="1"/>
      <c r="W13066" s="1"/>
      <c r="X13066" s="1"/>
      <c r="Y13066" s="1"/>
      <c r="Z13066" s="1"/>
      <c r="AA13066" s="1"/>
      <c r="AB13066" s="1"/>
    </row>
    <row r="13067" ht="50.25" customHeight="1">
      <c r="A13067" s="12">
        <v>13063.0</v>
      </c>
      <c r="B13067" s="13" t="s">
        <v>12428</v>
      </c>
      <c r="C13067" s="14" t="s">
        <v>12586</v>
      </c>
      <c r="D13067" s="1"/>
      <c r="E13067" s="1"/>
      <c r="F13067" s="1" t="str">
        <f>IFERROR(__xludf.DUMMYFUNCTION("GOOGLETRANSLATE(B13067, ""en"", ""fa"")
"),"سلامت روان و رفاه")</f>
        <v>سلامت روان و رفاه</v>
      </c>
      <c r="G13067" s="1" t="str">
        <f>IFERROR(__xludf.DUMMYFUNCTION("GOOGLETRANSLATE(C13067, ""en"", ""fa"")
"),"بهترین تکنیک ها برای مدیریت و کاهش علائم اختلال افسردگی اساسی (MDD) چیست؟")</f>
        <v>بهترین تکنیک ها برای مدیریت و کاهش علائم اختلال افسردگی اساسی (MDD) چیست؟</v>
      </c>
      <c r="H13067" s="1"/>
      <c r="I13067" s="1"/>
      <c r="J13067" s="1"/>
      <c r="K13067" s="1"/>
      <c r="L13067" s="1"/>
      <c r="M13067" s="1"/>
      <c r="N13067" s="1"/>
      <c r="O13067" s="1"/>
      <c r="P13067" s="1"/>
      <c r="Q13067" s="1"/>
      <c r="R13067" s="1"/>
      <c r="S13067" s="1"/>
      <c r="T13067" s="1"/>
      <c r="U13067" s="1"/>
      <c r="V13067" s="1"/>
      <c r="W13067" s="1"/>
      <c r="X13067" s="1"/>
      <c r="Y13067" s="1"/>
      <c r="Z13067" s="1"/>
      <c r="AA13067" s="1"/>
      <c r="AB13067" s="1"/>
    </row>
    <row r="13068" ht="50.25" customHeight="1">
      <c r="A13068" s="12">
        <v>13064.0</v>
      </c>
      <c r="B13068" s="13" t="s">
        <v>12428</v>
      </c>
      <c r="C13068" s="14" t="s">
        <v>12587</v>
      </c>
      <c r="D13068" s="1"/>
      <c r="E13068" s="1"/>
      <c r="F13068" s="1" t="str">
        <f>IFERROR(__xludf.DUMMYFUNCTION("GOOGLETRANSLATE(B13068, ""en"", ""fa"")
"),"سلامت روان و رفاه")</f>
        <v>سلامت روان و رفاه</v>
      </c>
      <c r="G13068" s="1" t="str">
        <f>IFERROR(__xludf.DUMMYFUNCTION("GOOGLETRANSLATE(C13068, ""en"", ""fa"")
"),"چگونه می توانم روابط سالم و حمایتی را با اعضای خانواده ایجاد و حفظ کنم؟")</f>
        <v>چگونه می توانم روابط سالم و حمایتی را با اعضای خانواده ایجاد و حفظ کنم؟</v>
      </c>
      <c r="H13068" s="1"/>
      <c r="I13068" s="1"/>
      <c r="J13068" s="1"/>
      <c r="K13068" s="1"/>
      <c r="L13068" s="1"/>
      <c r="M13068" s="1"/>
      <c r="N13068" s="1"/>
      <c r="O13068" s="1"/>
      <c r="P13068" s="1"/>
      <c r="Q13068" s="1"/>
      <c r="R13068" s="1"/>
      <c r="S13068" s="1"/>
      <c r="T13068" s="1"/>
      <c r="U13068" s="1"/>
      <c r="V13068" s="1"/>
      <c r="W13068" s="1"/>
      <c r="X13068" s="1"/>
      <c r="Y13068" s="1"/>
      <c r="Z13068" s="1"/>
      <c r="AA13068" s="1"/>
      <c r="AB13068" s="1"/>
    </row>
    <row r="13069" ht="50.25" customHeight="1">
      <c r="A13069" s="12">
        <v>13065.0</v>
      </c>
      <c r="B13069" s="13" t="s">
        <v>12428</v>
      </c>
      <c r="C13069" s="14" t="s">
        <v>12588</v>
      </c>
      <c r="D13069" s="1"/>
      <c r="E13069" s="1"/>
      <c r="F13069" s="1" t="str">
        <f>IFERROR(__xludf.DUMMYFUNCTION("GOOGLETRANSLATE(B13069, ""en"", ""fa"")
"),"سلامت روان و رفاه")</f>
        <v>سلامت روان و رفاه</v>
      </c>
      <c r="G13069" s="1" t="str">
        <f>IFERROR(__xludf.DUMMYFUNCTION("GOOGLETRANSLATE(C13069, ""en"", ""fa"")
"),"آیا می توانید منابعی را برای یادگیری در مورد انواع مختلف شیوه های خودمراقبتی و مزایای آنها توصیه کنید؟")</f>
        <v>آیا می توانید منابعی را برای یادگیری در مورد انواع مختلف شیوه های خودمراقبتی و مزایای آنها توصیه کنید؟</v>
      </c>
      <c r="H13069" s="1"/>
      <c r="I13069" s="1"/>
      <c r="J13069" s="1"/>
      <c r="K13069" s="1"/>
      <c r="L13069" s="1"/>
      <c r="M13069" s="1"/>
      <c r="N13069" s="1"/>
      <c r="O13069" s="1"/>
      <c r="P13069" s="1"/>
      <c r="Q13069" s="1"/>
      <c r="R13069" s="1"/>
      <c r="S13069" s="1"/>
      <c r="T13069" s="1"/>
      <c r="U13069" s="1"/>
      <c r="V13069" s="1"/>
      <c r="W13069" s="1"/>
      <c r="X13069" s="1"/>
      <c r="Y13069" s="1"/>
      <c r="Z13069" s="1"/>
      <c r="AA13069" s="1"/>
      <c r="AB13069" s="1"/>
    </row>
    <row r="13070" ht="50.25" customHeight="1">
      <c r="A13070" s="12">
        <v>13066.0</v>
      </c>
      <c r="B13070" s="13" t="s">
        <v>12428</v>
      </c>
      <c r="C13070" s="14" t="s">
        <v>12589</v>
      </c>
      <c r="D13070" s="1"/>
      <c r="E13070" s="1"/>
      <c r="F13070" s="1" t="str">
        <f>IFERROR(__xludf.DUMMYFUNCTION("GOOGLETRANSLATE(B13070, ""en"", ""fa"")
"),"سلامت روان و رفاه")</f>
        <v>سلامت روان و رفاه</v>
      </c>
      <c r="G13070" s="1" t="str">
        <f>IFERROR(__xludf.DUMMYFUNCTION("GOOGLETRANSLATE(C13070, ""en"", ""fa"")
"),"نکات مهم برای مدیریت و کاهش علائم اختلال بدشکلی بدن (BDD) چیست؟")</f>
        <v>نکات مهم برای مدیریت و کاهش علائم اختلال بدشکلی بدن (BDD) چیست؟</v>
      </c>
      <c r="H13070" s="1"/>
      <c r="I13070" s="1"/>
      <c r="J13070" s="1"/>
      <c r="K13070" s="1"/>
      <c r="L13070" s="1"/>
      <c r="M13070" s="1"/>
      <c r="N13070" s="1"/>
      <c r="O13070" s="1"/>
      <c r="P13070" s="1"/>
      <c r="Q13070" s="1"/>
      <c r="R13070" s="1"/>
      <c r="S13070" s="1"/>
      <c r="T13070" s="1"/>
      <c r="U13070" s="1"/>
      <c r="V13070" s="1"/>
      <c r="W13070" s="1"/>
      <c r="X13070" s="1"/>
      <c r="Y13070" s="1"/>
      <c r="Z13070" s="1"/>
      <c r="AA13070" s="1"/>
      <c r="AB13070" s="1"/>
    </row>
    <row r="13071" ht="50.25" customHeight="1">
      <c r="A13071" s="12">
        <v>13067.0</v>
      </c>
      <c r="B13071" s="13" t="s">
        <v>12428</v>
      </c>
      <c r="C13071" s="14" t="s">
        <v>12590</v>
      </c>
      <c r="D13071" s="1"/>
      <c r="E13071" s="1"/>
      <c r="F13071" s="1" t="str">
        <f>IFERROR(__xludf.DUMMYFUNCTION("GOOGLETRANSLATE(B13071, ""en"", ""fa"")
"),"سلامت روان و رفاه")</f>
        <v>سلامت روان و رفاه</v>
      </c>
      <c r="G13071" s="1" t="str">
        <f>IFERROR(__xludf.DUMMYFUNCTION("GOOGLETRANSLATE(C13071, ""en"", ""fa"")
"),"چگونه می توانم یوگا و مدیتیشن را برای بهبود سلامت ذهنی در برنامه روزانه خود بگنجانم؟")</f>
        <v>چگونه می توانم یوگا و مدیتیشن را برای بهبود سلامت ذهنی در برنامه روزانه خود بگنجانم؟</v>
      </c>
      <c r="H13071" s="1"/>
      <c r="I13071" s="1"/>
      <c r="J13071" s="1"/>
      <c r="K13071" s="1"/>
      <c r="L13071" s="1"/>
      <c r="M13071" s="1"/>
      <c r="N13071" s="1"/>
      <c r="O13071" s="1"/>
      <c r="P13071" s="1"/>
      <c r="Q13071" s="1"/>
      <c r="R13071" s="1"/>
      <c r="S13071" s="1"/>
      <c r="T13071" s="1"/>
      <c r="U13071" s="1"/>
      <c r="V13071" s="1"/>
      <c r="W13071" s="1"/>
      <c r="X13071" s="1"/>
      <c r="Y13071" s="1"/>
      <c r="Z13071" s="1"/>
      <c r="AA13071" s="1"/>
      <c r="AB13071" s="1"/>
    </row>
    <row r="13072" ht="50.25" customHeight="1">
      <c r="A13072" s="12">
        <v>13068.0</v>
      </c>
      <c r="B13072" s="13" t="s">
        <v>12428</v>
      </c>
      <c r="C13072" s="14" t="s">
        <v>12557</v>
      </c>
      <c r="D13072" s="1"/>
      <c r="E13072" s="1"/>
      <c r="F13072" s="1" t="str">
        <f>IFERROR(__xludf.DUMMYFUNCTION("GOOGLETRANSLATE(B13072, ""en"", ""fa"")
"),"سلامت روان و رفاه")</f>
        <v>سلامت روان و رفاه</v>
      </c>
      <c r="G13072" s="1" t="str">
        <f>IFERROR(__xludf.DUMMYFUNCTION("GOOGLETRANSLATE(C13072, ""en"", ""fa"")
"),"بهترین راهبردها برای مدیریت و کاهش علائم اختلال استرس پس از سانحه (PTSD) چیست؟")</f>
        <v>بهترین راهبردها برای مدیریت و کاهش علائم اختلال استرس پس از سانحه (PTSD) چیست؟</v>
      </c>
      <c r="H13072" s="1"/>
      <c r="I13072" s="1"/>
      <c r="J13072" s="1"/>
      <c r="K13072" s="1"/>
      <c r="L13072" s="1"/>
      <c r="M13072" s="1"/>
      <c r="N13072" s="1"/>
      <c r="O13072" s="1"/>
      <c r="P13072" s="1"/>
      <c r="Q13072" s="1"/>
      <c r="R13072" s="1"/>
      <c r="S13072" s="1"/>
      <c r="T13072" s="1"/>
      <c r="U13072" s="1"/>
      <c r="V13072" s="1"/>
      <c r="W13072" s="1"/>
      <c r="X13072" s="1"/>
      <c r="Y13072" s="1"/>
      <c r="Z13072" s="1"/>
      <c r="AA13072" s="1"/>
      <c r="AB13072" s="1"/>
    </row>
    <row r="13073" ht="50.25" customHeight="1">
      <c r="A13073" s="12">
        <v>13069.0</v>
      </c>
      <c r="B13073" s="13" t="s">
        <v>12428</v>
      </c>
      <c r="C13073" s="14" t="s">
        <v>12591</v>
      </c>
      <c r="D13073" s="1"/>
      <c r="E13073" s="1"/>
      <c r="F13073" s="1" t="str">
        <f>IFERROR(__xludf.DUMMYFUNCTION("GOOGLETRANSLATE(B13073, ""en"", ""fa"")
"),"سلامت روان و رفاه")</f>
        <v>سلامت روان و رفاه</v>
      </c>
      <c r="G13073" s="1" t="str">
        <f>IFERROR(__xludf.DUMMYFUNCTION("GOOGLETRANSLATE(C13073, ""en"", ""fa"")
"),"چگونه بر احساسات بی ارزشی خود غلبه کنم و یک خودپنداره مثبت ایجاد کنم؟")</f>
        <v>چگونه بر احساسات بی ارزشی خود غلبه کنم و یک خودپنداره مثبت ایجاد کنم؟</v>
      </c>
      <c r="H13073" s="1"/>
      <c r="I13073" s="1"/>
      <c r="J13073" s="1"/>
      <c r="K13073" s="1"/>
      <c r="L13073" s="1"/>
      <c r="M13073" s="1"/>
      <c r="N13073" s="1"/>
      <c r="O13073" s="1"/>
      <c r="P13073" s="1"/>
      <c r="Q13073" s="1"/>
      <c r="R13073" s="1"/>
      <c r="S13073" s="1"/>
      <c r="T13073" s="1"/>
      <c r="U13073" s="1"/>
      <c r="V13073" s="1"/>
      <c r="W13073" s="1"/>
      <c r="X13073" s="1"/>
      <c r="Y13073" s="1"/>
      <c r="Z13073" s="1"/>
      <c r="AA13073" s="1"/>
      <c r="AB13073" s="1"/>
    </row>
    <row r="13074" ht="50.25" customHeight="1">
      <c r="A13074" s="12">
        <v>13070.0</v>
      </c>
      <c r="B13074" s="13" t="s">
        <v>12428</v>
      </c>
      <c r="C13074" s="14" t="s">
        <v>12592</v>
      </c>
      <c r="D13074" s="1"/>
      <c r="E13074" s="1"/>
      <c r="F13074" s="1" t="str">
        <f>IFERROR(__xludf.DUMMYFUNCTION("GOOGLETRANSLATE(B13074, ""en"", ""fa"")
"),"سلامت روان و رفاه")</f>
        <v>سلامت روان و رفاه</v>
      </c>
      <c r="G13074" s="1" t="str">
        <f>IFERROR(__xludf.DUMMYFUNCTION("GOOGLETRANSLATE(C13074, ""en"", ""fa"")
"),"آیا می توانید فعالیت هایی را برای ترویج آرامش و کاهش استرس در سبک زندگی پرمشغله پیشنهاد دهید؟")</f>
        <v>آیا می توانید فعالیت هایی را برای ترویج آرامش و کاهش استرس در سبک زندگی پرمشغله پیشنهاد دهید؟</v>
      </c>
      <c r="H13074" s="1"/>
      <c r="I13074" s="1"/>
      <c r="J13074" s="1"/>
      <c r="K13074" s="1"/>
      <c r="L13074" s="1"/>
      <c r="M13074" s="1"/>
      <c r="N13074" s="1"/>
      <c r="O13074" s="1"/>
      <c r="P13074" s="1"/>
      <c r="Q13074" s="1"/>
      <c r="R13074" s="1"/>
      <c r="S13074" s="1"/>
      <c r="T13074" s="1"/>
      <c r="U13074" s="1"/>
      <c r="V13074" s="1"/>
      <c r="W13074" s="1"/>
      <c r="X13074" s="1"/>
      <c r="Y13074" s="1"/>
      <c r="Z13074" s="1"/>
      <c r="AA13074" s="1"/>
      <c r="AB13074" s="1"/>
    </row>
    <row r="13075" ht="50.25" customHeight="1">
      <c r="A13075" s="12">
        <v>13071.0</v>
      </c>
      <c r="B13075" s="13" t="s">
        <v>12428</v>
      </c>
      <c r="C13075" s="14" t="s">
        <v>12593</v>
      </c>
      <c r="D13075" s="1"/>
      <c r="E13075" s="1"/>
      <c r="F13075" s="1" t="str">
        <f>IFERROR(__xludf.DUMMYFUNCTION("GOOGLETRANSLATE(B13075, ""en"", ""fa"")
"),"سلامت روان و رفاه")</f>
        <v>سلامت روان و رفاه</v>
      </c>
      <c r="G13075" s="1" t="str">
        <f>IFERROR(__xludf.DUMMYFUNCTION("GOOGLETRANSLATE(C13075, ""en"", ""fa"")
"),"تکنیک های برتر برای مدیریت و کاهش علائم اختلال نقص توجه بیش فعالی (ADHD) چیست؟")</f>
        <v>تکنیک های برتر برای مدیریت و کاهش علائم اختلال نقص توجه بیش فعالی (ADHD) چیست؟</v>
      </c>
      <c r="H13075" s="1"/>
      <c r="I13075" s="1"/>
      <c r="J13075" s="1"/>
      <c r="K13075" s="1"/>
      <c r="L13075" s="1"/>
      <c r="M13075" s="1"/>
      <c r="N13075" s="1"/>
      <c r="O13075" s="1"/>
      <c r="P13075" s="1"/>
      <c r="Q13075" s="1"/>
      <c r="R13075" s="1"/>
      <c r="S13075" s="1"/>
      <c r="T13075" s="1"/>
      <c r="U13075" s="1"/>
      <c r="V13075" s="1"/>
      <c r="W13075" s="1"/>
      <c r="X13075" s="1"/>
      <c r="Y13075" s="1"/>
      <c r="Z13075" s="1"/>
      <c r="AA13075" s="1"/>
      <c r="AB13075" s="1"/>
    </row>
    <row r="13076" ht="50.25" customHeight="1">
      <c r="A13076" s="12">
        <v>13072.0</v>
      </c>
      <c r="B13076" s="13" t="s">
        <v>12428</v>
      </c>
      <c r="C13076" s="14" t="s">
        <v>12565</v>
      </c>
      <c r="D13076" s="1"/>
      <c r="E13076" s="1"/>
      <c r="F13076" s="1" t="str">
        <f>IFERROR(__xludf.DUMMYFUNCTION("GOOGLETRANSLATE(B13076, ""en"", ""fa"")
"),"سلامت روان و رفاه")</f>
        <v>سلامت روان و رفاه</v>
      </c>
      <c r="G13076" s="1" t="str">
        <f>IFERROR(__xludf.DUMMYFUNCTION("GOOGLETRANSLATE(C13076, ""en"", ""fa"")
"),"چگونه می توانم در مواقع سخت، شفقت به خود را تمرین کنم و به خودم محبت کنم؟")</f>
        <v>چگونه می توانم در مواقع سخت، شفقت به خود را تمرین کنم و به خودم محبت کنم؟</v>
      </c>
      <c r="H13076" s="1"/>
      <c r="I13076" s="1"/>
      <c r="J13076" s="1"/>
      <c r="K13076" s="1"/>
      <c r="L13076" s="1"/>
      <c r="M13076" s="1"/>
      <c r="N13076" s="1"/>
      <c r="O13076" s="1"/>
      <c r="P13076" s="1"/>
      <c r="Q13076" s="1"/>
      <c r="R13076" s="1"/>
      <c r="S13076" s="1"/>
      <c r="T13076" s="1"/>
      <c r="U13076" s="1"/>
      <c r="V13076" s="1"/>
      <c r="W13076" s="1"/>
      <c r="X13076" s="1"/>
      <c r="Y13076" s="1"/>
      <c r="Z13076" s="1"/>
      <c r="AA13076" s="1"/>
      <c r="AB13076" s="1"/>
    </row>
    <row r="13077" ht="50.25" customHeight="1">
      <c r="A13077" s="12">
        <v>13073.0</v>
      </c>
      <c r="B13077" s="13" t="s">
        <v>12428</v>
      </c>
      <c r="C13077" s="14" t="s">
        <v>12566</v>
      </c>
      <c r="D13077" s="1"/>
      <c r="E13077" s="1"/>
      <c r="F13077" s="1" t="str">
        <f>IFERROR(__xludf.DUMMYFUNCTION("GOOGLETRANSLATE(B13077, ""en"", ""fa"")
"),"سلامت روان و رفاه")</f>
        <v>سلامت روان و رفاه</v>
      </c>
      <c r="G13077" s="1" t="str">
        <f>IFERROR(__xludf.DUMMYFUNCTION("GOOGLETRANSLATE(C13077, ""en"", ""fa"")
"),"بهترین شیوه ها برای مدیریت و کاهش علائم اختلال هویت تجزیه ای (DID) چیست؟")</f>
        <v>بهترین شیوه ها برای مدیریت و کاهش علائم اختلال هویت تجزیه ای (DID) چیست؟</v>
      </c>
      <c r="H13077" s="1"/>
      <c r="I13077" s="1"/>
      <c r="J13077" s="1"/>
      <c r="K13077" s="1"/>
      <c r="L13077" s="1"/>
      <c r="M13077" s="1"/>
      <c r="N13077" s="1"/>
      <c r="O13077" s="1"/>
      <c r="P13077" s="1"/>
      <c r="Q13077" s="1"/>
      <c r="R13077" s="1"/>
      <c r="S13077" s="1"/>
      <c r="T13077" s="1"/>
      <c r="U13077" s="1"/>
      <c r="V13077" s="1"/>
      <c r="W13077" s="1"/>
      <c r="X13077" s="1"/>
      <c r="Y13077" s="1"/>
      <c r="Z13077" s="1"/>
      <c r="AA13077" s="1"/>
      <c r="AB13077" s="1"/>
    </row>
    <row r="13078" ht="50.25" customHeight="1">
      <c r="A13078" s="12">
        <v>13074.0</v>
      </c>
      <c r="B13078" s="13" t="s">
        <v>12428</v>
      </c>
      <c r="C13078" s="14" t="s">
        <v>12567</v>
      </c>
      <c r="D13078" s="1"/>
      <c r="E13078" s="1"/>
      <c r="F13078" s="1" t="str">
        <f>IFERROR(__xludf.DUMMYFUNCTION("GOOGLETRANSLATE(B13078, ""en"", ""fa"")
"),"سلامت روان و رفاه")</f>
        <v>سلامت روان و رفاه</v>
      </c>
      <c r="G13078" s="1" t="str">
        <f>IFERROR(__xludf.DUMMYFUNCTION("GOOGLETRANSLATE(C13078, ""en"", ""fa"")
"),"چگونه می توانم مرزهای سالم را در زندگی شخصی و حرفه ای خود ایجاد و حفظ کنم؟")</f>
        <v>چگونه می توانم مرزهای سالم را در زندگی شخصی و حرفه ای خود ایجاد و حفظ کنم؟</v>
      </c>
      <c r="H13078" s="1"/>
      <c r="I13078" s="1"/>
      <c r="J13078" s="1"/>
      <c r="K13078" s="1"/>
      <c r="L13078" s="1"/>
      <c r="M13078" s="1"/>
      <c r="N13078" s="1"/>
      <c r="O13078" s="1"/>
      <c r="P13078" s="1"/>
      <c r="Q13078" s="1"/>
      <c r="R13078" s="1"/>
      <c r="S13078" s="1"/>
      <c r="T13078" s="1"/>
      <c r="U13078" s="1"/>
      <c r="V13078" s="1"/>
      <c r="W13078" s="1"/>
      <c r="X13078" s="1"/>
      <c r="Y13078" s="1"/>
      <c r="Z13078" s="1"/>
      <c r="AA13078" s="1"/>
      <c r="AB13078" s="1"/>
    </row>
    <row r="13079" ht="50.25" customHeight="1">
      <c r="A13079" s="12">
        <v>13075.0</v>
      </c>
      <c r="B13079" s="13" t="s">
        <v>12428</v>
      </c>
      <c r="C13079" s="14" t="s">
        <v>12568</v>
      </c>
      <c r="D13079" s="1"/>
      <c r="E13079" s="1"/>
      <c r="F13079" s="1" t="str">
        <f>IFERROR(__xludf.DUMMYFUNCTION("GOOGLETRANSLATE(B13079, ""en"", ""fa"")
"),"سلامت روان و رفاه")</f>
        <v>سلامت روان و رفاه</v>
      </c>
      <c r="G13079" s="1" t="str">
        <f>IFERROR(__xludf.DUMMYFUNCTION("GOOGLETRANSLATE(C13079, ""en"", ""fa"")
"),"آیا می توانید منابعی را برای یادگیری تکنیک های مختلف آرامش برای کاهش استرس توصیه کنید؟")</f>
        <v>آیا می توانید منابعی را برای یادگیری تکنیک های مختلف آرامش برای کاهش استرس توصیه کنید؟</v>
      </c>
      <c r="H13079" s="1"/>
      <c r="I13079" s="1"/>
      <c r="J13079" s="1"/>
      <c r="K13079" s="1"/>
      <c r="L13079" s="1"/>
      <c r="M13079" s="1"/>
      <c r="N13079" s="1"/>
      <c r="O13079" s="1"/>
      <c r="P13079" s="1"/>
      <c r="Q13079" s="1"/>
      <c r="R13079" s="1"/>
      <c r="S13079" s="1"/>
      <c r="T13079" s="1"/>
      <c r="U13079" s="1"/>
      <c r="V13079" s="1"/>
      <c r="W13079" s="1"/>
      <c r="X13079" s="1"/>
      <c r="Y13079" s="1"/>
      <c r="Z13079" s="1"/>
      <c r="AA13079" s="1"/>
      <c r="AB13079" s="1"/>
    </row>
    <row r="13080" ht="50.25" customHeight="1">
      <c r="A13080" s="12">
        <v>13076.0</v>
      </c>
      <c r="B13080" s="13" t="s">
        <v>12428</v>
      </c>
      <c r="C13080" s="14" t="s">
        <v>12569</v>
      </c>
      <c r="D13080" s="1"/>
      <c r="E13080" s="1"/>
      <c r="F13080" s="1" t="str">
        <f>IFERROR(__xludf.DUMMYFUNCTION("GOOGLETRANSLATE(B13080, ""en"", ""fa"")
"),"سلامت روان و رفاه")</f>
        <v>سلامت روان و رفاه</v>
      </c>
      <c r="G13080" s="1" t="str">
        <f>IFERROR(__xludf.DUMMYFUNCTION("GOOGLETRANSLATE(C13080, ""en"", ""fa"")
"),"نکات مهم برای ایجاد و حفظ انعطاف پذیری در زمان های چالش برانگیز چیست؟")</f>
        <v>نکات مهم برای ایجاد و حفظ انعطاف پذیری در زمان های چالش برانگیز چیست؟</v>
      </c>
      <c r="H13080" s="1"/>
      <c r="I13080" s="1"/>
      <c r="J13080" s="1"/>
      <c r="K13080" s="1"/>
      <c r="L13080" s="1"/>
      <c r="M13080" s="1"/>
      <c r="N13080" s="1"/>
      <c r="O13080" s="1"/>
      <c r="P13080" s="1"/>
      <c r="Q13080" s="1"/>
      <c r="R13080" s="1"/>
      <c r="S13080" s="1"/>
      <c r="T13080" s="1"/>
      <c r="U13080" s="1"/>
      <c r="V13080" s="1"/>
      <c r="W13080" s="1"/>
      <c r="X13080" s="1"/>
      <c r="Y13080" s="1"/>
      <c r="Z13080" s="1"/>
      <c r="AA13080" s="1"/>
      <c r="AB13080" s="1"/>
    </row>
    <row r="13081" ht="50.25" customHeight="1">
      <c r="A13081" s="12">
        <v>13077.0</v>
      </c>
      <c r="B13081" s="13" t="s">
        <v>12428</v>
      </c>
      <c r="C13081" s="14" t="s">
        <v>12570</v>
      </c>
      <c r="D13081" s="1"/>
      <c r="E13081" s="1"/>
      <c r="F13081" s="1" t="str">
        <f>IFERROR(__xludf.DUMMYFUNCTION("GOOGLETRANSLATE(B13081, ""en"", ""fa"")
"),"سلامت روان و رفاه")</f>
        <v>سلامت روان و رفاه</v>
      </c>
      <c r="G13081" s="1" t="str">
        <f>IFERROR(__xludf.DUMMYFUNCTION("GOOGLETRANSLATE(C13081, ""en"", ""fa"")
"),"چگونه می توانم طبیعت و فعالیت های بیرون از خانه را برای بهبود سلامت ذهنی در برنامه روزانه خود بگنجانم؟")</f>
        <v>چگونه می توانم طبیعت و فعالیت های بیرون از خانه را برای بهبود سلامت ذهنی در برنامه روزانه خود بگنجانم؟</v>
      </c>
      <c r="H13081" s="1"/>
      <c r="I13081" s="1"/>
      <c r="J13081" s="1"/>
      <c r="K13081" s="1"/>
      <c r="L13081" s="1"/>
      <c r="M13081" s="1"/>
      <c r="N13081" s="1"/>
      <c r="O13081" s="1"/>
      <c r="P13081" s="1"/>
      <c r="Q13081" s="1"/>
      <c r="R13081" s="1"/>
      <c r="S13081" s="1"/>
      <c r="T13081" s="1"/>
      <c r="U13081" s="1"/>
      <c r="V13081" s="1"/>
      <c r="W13081" s="1"/>
      <c r="X13081" s="1"/>
      <c r="Y13081" s="1"/>
      <c r="Z13081" s="1"/>
      <c r="AA13081" s="1"/>
      <c r="AB13081" s="1"/>
    </row>
    <row r="13082" ht="50.25" customHeight="1">
      <c r="A13082" s="12">
        <v>13078.0</v>
      </c>
      <c r="B13082" s="13" t="s">
        <v>12428</v>
      </c>
      <c r="C13082" s="14" t="s">
        <v>12571</v>
      </c>
      <c r="D13082" s="1"/>
      <c r="E13082" s="1"/>
      <c r="F13082" s="1" t="str">
        <f>IFERROR(__xludf.DUMMYFUNCTION("GOOGLETRANSLATE(B13082, ""en"", ""fa"")
"),"سلامت روان و رفاه")</f>
        <v>سلامت روان و رفاه</v>
      </c>
      <c r="G13082" s="1" t="str">
        <f>IFERROR(__xludf.DUMMYFUNCTION("GOOGLETRANSLATE(C13082, ""en"", ""fa"")
"),"بهترین راهکارها برای مدیریت و کاهش علائم اختلالات خوردن چیست؟")</f>
        <v>بهترین راهکارها برای مدیریت و کاهش علائم اختلالات خوردن چیست؟</v>
      </c>
      <c r="H13082" s="1"/>
      <c r="I13082" s="1"/>
      <c r="J13082" s="1"/>
      <c r="K13082" s="1"/>
      <c r="L13082" s="1"/>
      <c r="M13082" s="1"/>
      <c r="N13082" s="1"/>
      <c r="O13082" s="1"/>
      <c r="P13082" s="1"/>
      <c r="Q13082" s="1"/>
      <c r="R13082" s="1"/>
      <c r="S13082" s="1"/>
      <c r="T13082" s="1"/>
      <c r="U13082" s="1"/>
      <c r="V13082" s="1"/>
      <c r="W13082" s="1"/>
      <c r="X13082" s="1"/>
      <c r="Y13082" s="1"/>
      <c r="Z13082" s="1"/>
      <c r="AA13082" s="1"/>
      <c r="AB13082" s="1"/>
    </row>
    <row r="13083" ht="50.25" customHeight="1">
      <c r="A13083" s="12">
        <v>13079.0</v>
      </c>
      <c r="B13083" s="13" t="s">
        <v>12428</v>
      </c>
      <c r="C13083" s="14" t="s">
        <v>12572</v>
      </c>
      <c r="D13083" s="1"/>
      <c r="E13083" s="1"/>
      <c r="F13083" s="1" t="str">
        <f>IFERROR(__xludf.DUMMYFUNCTION("GOOGLETRANSLATE(B13083, ""en"", ""fa"")
"),"سلامت روان و رفاه")</f>
        <v>سلامت روان و رفاه</v>
      </c>
      <c r="G13083" s="1" t="str">
        <f>IFERROR(__xludf.DUMMYFUNCTION("GOOGLETRANSLATE(C13083,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083" s="1"/>
      <c r="I13083" s="1"/>
      <c r="J13083" s="1"/>
      <c r="K13083" s="1"/>
      <c r="L13083" s="1"/>
      <c r="M13083" s="1"/>
      <c r="N13083" s="1"/>
      <c r="O13083" s="1"/>
      <c r="P13083" s="1"/>
      <c r="Q13083" s="1"/>
      <c r="R13083" s="1"/>
      <c r="S13083" s="1"/>
      <c r="T13083" s="1"/>
      <c r="U13083" s="1"/>
      <c r="V13083" s="1"/>
      <c r="W13083" s="1"/>
      <c r="X13083" s="1"/>
      <c r="Y13083" s="1"/>
      <c r="Z13083" s="1"/>
      <c r="AA13083" s="1"/>
      <c r="AB13083" s="1"/>
    </row>
    <row r="13084" ht="50.25" customHeight="1">
      <c r="A13084" s="12">
        <v>13080.0</v>
      </c>
      <c r="B13084" s="13" t="s">
        <v>12428</v>
      </c>
      <c r="C13084" s="14" t="s">
        <v>12573</v>
      </c>
      <c r="D13084" s="1"/>
      <c r="E13084" s="1"/>
      <c r="F13084" s="1" t="str">
        <f>IFERROR(__xludf.DUMMYFUNCTION("GOOGLETRANSLATE(B13084, ""en"", ""fa"")
"),"سلامت روان و رفاه")</f>
        <v>سلامت روان و رفاه</v>
      </c>
      <c r="G13084" s="1" t="str">
        <f>IFERROR(__xludf.DUMMYFUNCTION("GOOGLETRANSLATE(C13084, ""en"", ""fa"")
"),"آیا می توانید تکنیک هایی برای مدیریت و کاهش علائم اسکیزوفرنی پیشنهاد دهید؟")</f>
        <v>آیا می توانید تکنیک هایی برای مدیریت و کاهش علائم اسکیزوفرنی پیشنهاد دهید؟</v>
      </c>
      <c r="H13084" s="1"/>
      <c r="I13084" s="1"/>
      <c r="J13084" s="1"/>
      <c r="K13084" s="1"/>
      <c r="L13084" s="1"/>
      <c r="M13084" s="1"/>
      <c r="N13084" s="1"/>
      <c r="O13084" s="1"/>
      <c r="P13084" s="1"/>
      <c r="Q13084" s="1"/>
      <c r="R13084" s="1"/>
      <c r="S13084" s="1"/>
      <c r="T13084" s="1"/>
      <c r="U13084" s="1"/>
      <c r="V13084" s="1"/>
      <c r="W13084" s="1"/>
      <c r="X13084" s="1"/>
      <c r="Y13084" s="1"/>
      <c r="Z13084" s="1"/>
      <c r="AA13084" s="1"/>
      <c r="AB13084" s="1"/>
    </row>
    <row r="13085" ht="50.25" customHeight="1">
      <c r="A13085" s="12">
        <v>13081.0</v>
      </c>
      <c r="B13085" s="13" t="s">
        <v>12428</v>
      </c>
      <c r="C13085" s="14" t="s">
        <v>12574</v>
      </c>
      <c r="D13085" s="1"/>
      <c r="E13085" s="1"/>
      <c r="F13085" s="1" t="str">
        <f>IFERROR(__xludf.DUMMYFUNCTION("GOOGLETRANSLATE(B13085, ""en"", ""fa"")
"),"سلامت روان و رفاه")</f>
        <v>سلامت روان و رفاه</v>
      </c>
      <c r="G13085" s="1" t="str">
        <f>IFERROR(__xludf.DUMMYFUNCTION("GOOGLETRANSLATE(C13085, ""en"", ""fa"")
"),"نکات مهم برای پرورش ذهنیت رشد و پذیرش چالش ها به عنوان فرصت هایی برای رشد شخصی چیست؟")</f>
        <v>نکات مهم برای پرورش ذهنیت رشد و پذیرش چالش ها به عنوان فرصت هایی برای رشد شخصی چیست؟</v>
      </c>
      <c r="H13085" s="1"/>
      <c r="I13085" s="1"/>
      <c r="J13085" s="1"/>
      <c r="K13085" s="1"/>
      <c r="L13085" s="1"/>
      <c r="M13085" s="1"/>
      <c r="N13085" s="1"/>
      <c r="O13085" s="1"/>
      <c r="P13085" s="1"/>
      <c r="Q13085" s="1"/>
      <c r="R13085" s="1"/>
      <c r="S13085" s="1"/>
      <c r="T13085" s="1"/>
      <c r="U13085" s="1"/>
      <c r="V13085" s="1"/>
      <c r="W13085" s="1"/>
      <c r="X13085" s="1"/>
      <c r="Y13085" s="1"/>
      <c r="Z13085" s="1"/>
      <c r="AA13085" s="1"/>
      <c r="AB13085" s="1"/>
    </row>
    <row r="13086" ht="50.25" customHeight="1">
      <c r="A13086" s="12">
        <v>13082.0</v>
      </c>
      <c r="B13086" s="13" t="s">
        <v>12428</v>
      </c>
      <c r="C13086" s="14" t="s">
        <v>12499</v>
      </c>
      <c r="D13086" s="1"/>
      <c r="E13086" s="1"/>
      <c r="F13086" s="1" t="str">
        <f>IFERROR(__xludf.DUMMYFUNCTION("GOOGLETRANSLATE(B13086, ""en"", ""fa"")
"),"سلامت روان و رفاه")</f>
        <v>سلامت روان و رفاه</v>
      </c>
      <c r="G13086" s="1" t="str">
        <f>IFERROR(__xludf.DUMMYFUNCTION("GOOGLETRANSLATE(C13086,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3086" s="1"/>
      <c r="I13086" s="1"/>
      <c r="J13086" s="1"/>
      <c r="K13086" s="1"/>
      <c r="L13086" s="1"/>
      <c r="M13086" s="1"/>
      <c r="N13086" s="1"/>
      <c r="O13086" s="1"/>
      <c r="P13086" s="1"/>
      <c r="Q13086" s="1"/>
      <c r="R13086" s="1"/>
      <c r="S13086" s="1"/>
      <c r="T13086" s="1"/>
      <c r="U13086" s="1"/>
      <c r="V13086" s="1"/>
      <c r="W13086" s="1"/>
      <c r="X13086" s="1"/>
      <c r="Y13086" s="1"/>
      <c r="Z13086" s="1"/>
      <c r="AA13086" s="1"/>
      <c r="AB13086" s="1"/>
    </row>
    <row r="13087" ht="50.25" customHeight="1">
      <c r="A13087" s="12">
        <v>13083.0</v>
      </c>
      <c r="B13087" s="13" t="s">
        <v>12428</v>
      </c>
      <c r="C13087" s="14" t="s">
        <v>12500</v>
      </c>
      <c r="D13087" s="1"/>
      <c r="E13087" s="1"/>
      <c r="F13087" s="1" t="str">
        <f>IFERROR(__xludf.DUMMYFUNCTION("GOOGLETRANSLATE(B13087, ""en"", ""fa"")
"),"سلامت روان و رفاه")</f>
        <v>سلامت روان و رفاه</v>
      </c>
      <c r="G13087" s="1" t="str">
        <f>IFERROR(__xludf.DUMMYFUNCTION("GOOGLETRANSLATE(C13087, ""en"", ""fa"")
"),"بهترین تکنیک ها برای مدیریت و کاهش علائم فوبیا و ترس چیست؟")</f>
        <v>بهترین تکنیک ها برای مدیریت و کاهش علائم فوبیا و ترس چیست؟</v>
      </c>
      <c r="H13087" s="1"/>
      <c r="I13087" s="1"/>
      <c r="J13087" s="1"/>
      <c r="K13087" s="1"/>
      <c r="L13087" s="1"/>
      <c r="M13087" s="1"/>
      <c r="N13087" s="1"/>
      <c r="O13087" s="1"/>
      <c r="P13087" s="1"/>
      <c r="Q13087" s="1"/>
      <c r="R13087" s="1"/>
      <c r="S13087" s="1"/>
      <c r="T13087" s="1"/>
      <c r="U13087" s="1"/>
      <c r="V13087" s="1"/>
      <c r="W13087" s="1"/>
      <c r="X13087" s="1"/>
      <c r="Y13087" s="1"/>
      <c r="Z13087" s="1"/>
      <c r="AA13087" s="1"/>
      <c r="AB13087" s="1"/>
    </row>
    <row r="13088" ht="50.25" customHeight="1">
      <c r="A13088" s="12">
        <v>13084.0</v>
      </c>
      <c r="B13088" s="13" t="s">
        <v>12428</v>
      </c>
      <c r="C13088" s="14" t="s">
        <v>12501</v>
      </c>
      <c r="D13088" s="1"/>
      <c r="E13088" s="1"/>
      <c r="F13088" s="1" t="str">
        <f>IFERROR(__xludf.DUMMYFUNCTION("GOOGLETRANSLATE(B13088, ""en"", ""fa"")
"),"سلامت روان و رفاه")</f>
        <v>سلامت روان و رفاه</v>
      </c>
      <c r="G13088" s="1" t="str">
        <f>IFERROR(__xludf.DUMMYFUNCTION("GOOGLETRANSLATE(C13088,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3088" s="1"/>
      <c r="I13088" s="1"/>
      <c r="J13088" s="1"/>
      <c r="K13088" s="1"/>
      <c r="L13088" s="1"/>
      <c r="M13088" s="1"/>
      <c r="N13088" s="1"/>
      <c r="O13088" s="1"/>
      <c r="P13088" s="1"/>
      <c r="Q13088" s="1"/>
      <c r="R13088" s="1"/>
      <c r="S13088" s="1"/>
      <c r="T13088" s="1"/>
      <c r="U13088" s="1"/>
      <c r="V13088" s="1"/>
      <c r="W13088" s="1"/>
      <c r="X13088" s="1"/>
      <c r="Y13088" s="1"/>
      <c r="Z13088" s="1"/>
      <c r="AA13088" s="1"/>
      <c r="AB13088" s="1"/>
    </row>
    <row r="13089" ht="50.25" customHeight="1">
      <c r="A13089" s="12">
        <v>13085.0</v>
      </c>
      <c r="B13089" s="13" t="s">
        <v>12428</v>
      </c>
      <c r="C13089" s="14" t="s">
        <v>12527</v>
      </c>
      <c r="D13089" s="1"/>
      <c r="E13089" s="1"/>
      <c r="F13089" s="1" t="str">
        <f>IFERROR(__xludf.DUMMYFUNCTION("GOOGLETRANSLATE(B13089, ""en"", ""fa"")
"),"سلامت روان و رفاه")</f>
        <v>سلامت روان و رفاه</v>
      </c>
      <c r="G13089" s="1" t="str">
        <f>IFERROR(__xludf.DUMMYFUNCTION("GOOGLETRANSLATE(C13089,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089" s="1"/>
      <c r="I13089" s="1"/>
      <c r="J13089" s="1"/>
      <c r="K13089" s="1"/>
      <c r="L13089" s="1"/>
      <c r="M13089" s="1"/>
      <c r="N13089" s="1"/>
      <c r="O13089" s="1"/>
      <c r="P13089" s="1"/>
      <c r="Q13089" s="1"/>
      <c r="R13089" s="1"/>
      <c r="S13089" s="1"/>
      <c r="T13089" s="1"/>
      <c r="U13089" s="1"/>
      <c r="V13089" s="1"/>
      <c r="W13089" s="1"/>
      <c r="X13089" s="1"/>
      <c r="Y13089" s="1"/>
      <c r="Z13089" s="1"/>
      <c r="AA13089" s="1"/>
      <c r="AB13089" s="1"/>
    </row>
    <row r="13090" ht="50.25" customHeight="1">
      <c r="A13090" s="12">
        <v>13086.0</v>
      </c>
      <c r="B13090" s="13" t="s">
        <v>12428</v>
      </c>
      <c r="C13090" s="14" t="s">
        <v>12503</v>
      </c>
      <c r="D13090" s="1"/>
      <c r="E13090" s="1"/>
      <c r="F13090" s="1" t="str">
        <f>IFERROR(__xludf.DUMMYFUNCTION("GOOGLETRANSLATE(B13090, ""en"", ""fa"")
"),"سلامت روان و رفاه")</f>
        <v>سلامت روان و رفاه</v>
      </c>
      <c r="G13090" s="1" t="str">
        <f>IFERROR(__xludf.DUMMYFUNCTION("GOOGLETRANSLATE(C13090, ""en"", ""fa"")
"),"نکات مهم برای ایجاد و حفظ هوش هیجانی برای روابط بین فردی بهتر چیست؟")</f>
        <v>نکات مهم برای ایجاد و حفظ هوش هیجانی برای روابط بین فردی بهتر چیست؟</v>
      </c>
      <c r="H13090" s="1"/>
      <c r="I13090" s="1"/>
      <c r="J13090" s="1"/>
      <c r="K13090" s="1"/>
      <c r="L13090" s="1"/>
      <c r="M13090" s="1"/>
      <c r="N13090" s="1"/>
      <c r="O13090" s="1"/>
      <c r="P13090" s="1"/>
      <c r="Q13090" s="1"/>
      <c r="R13090" s="1"/>
      <c r="S13090" s="1"/>
      <c r="T13090" s="1"/>
      <c r="U13090" s="1"/>
      <c r="V13090" s="1"/>
      <c r="W13090" s="1"/>
      <c r="X13090" s="1"/>
      <c r="Y13090" s="1"/>
      <c r="Z13090" s="1"/>
      <c r="AA13090" s="1"/>
      <c r="AB13090" s="1"/>
    </row>
    <row r="13091" ht="50.25" customHeight="1">
      <c r="A13091" s="12">
        <v>13087.0</v>
      </c>
      <c r="B13091" s="13" t="s">
        <v>12428</v>
      </c>
      <c r="C13091" s="14" t="s">
        <v>12504</v>
      </c>
      <c r="D13091" s="1"/>
      <c r="E13091" s="1"/>
      <c r="F13091" s="1" t="str">
        <f>IFERROR(__xludf.DUMMYFUNCTION("GOOGLETRANSLATE(B13091, ""en"", ""fa"")
"),"سلامت روان و رفاه")</f>
        <v>سلامت روان و رفاه</v>
      </c>
      <c r="G13091" s="1" t="str">
        <f>IFERROR(__xludf.DUMMYFUNCTION("GOOGLETRANSLATE(C13091,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3091" s="1"/>
      <c r="I13091" s="1"/>
      <c r="J13091" s="1"/>
      <c r="K13091" s="1"/>
      <c r="L13091" s="1"/>
      <c r="M13091" s="1"/>
      <c r="N13091" s="1"/>
      <c r="O13091" s="1"/>
      <c r="P13091" s="1"/>
      <c r="Q13091" s="1"/>
      <c r="R13091" s="1"/>
      <c r="S13091" s="1"/>
      <c r="T13091" s="1"/>
      <c r="U13091" s="1"/>
      <c r="V13091" s="1"/>
      <c r="W13091" s="1"/>
      <c r="X13091" s="1"/>
      <c r="Y13091" s="1"/>
      <c r="Z13091" s="1"/>
      <c r="AA13091" s="1"/>
      <c r="AB13091" s="1"/>
    </row>
    <row r="13092" ht="50.25" customHeight="1">
      <c r="A13092" s="12">
        <v>13088.0</v>
      </c>
      <c r="B13092" s="13" t="s">
        <v>12428</v>
      </c>
      <c r="C13092" s="14" t="s">
        <v>12505</v>
      </c>
      <c r="D13092" s="1"/>
      <c r="E13092" s="1"/>
      <c r="F13092" s="1" t="str">
        <f>IFERROR(__xludf.DUMMYFUNCTION("GOOGLETRANSLATE(B13092, ""en"", ""fa"")
"),"سلامت روان و رفاه")</f>
        <v>سلامت روان و رفاه</v>
      </c>
      <c r="G13092" s="1" t="str">
        <f>IFERROR(__xludf.DUMMYFUNCTION("GOOGLETRANSLATE(C13092, ""en"", ""fa"")
"),"بهترین راهکارها برای مدیریت و کاهش علائم اختلال دوقطبی چیست؟")</f>
        <v>بهترین راهکارها برای مدیریت و کاهش علائم اختلال دوقطبی چیست؟</v>
      </c>
      <c r="H13092" s="1"/>
      <c r="I13092" s="1"/>
      <c r="J13092" s="1"/>
      <c r="K13092" s="1"/>
      <c r="L13092" s="1"/>
      <c r="M13092" s="1"/>
      <c r="N13092" s="1"/>
      <c r="O13092" s="1"/>
      <c r="P13092" s="1"/>
      <c r="Q13092" s="1"/>
      <c r="R13092" s="1"/>
      <c r="S13092" s="1"/>
      <c r="T13092" s="1"/>
      <c r="U13092" s="1"/>
      <c r="V13092" s="1"/>
      <c r="W13092" s="1"/>
      <c r="X13092" s="1"/>
      <c r="Y13092" s="1"/>
      <c r="Z13092" s="1"/>
      <c r="AA13092" s="1"/>
      <c r="AB13092" s="1"/>
    </row>
    <row r="13093" ht="50.25" customHeight="1">
      <c r="A13093" s="12">
        <v>13089.0</v>
      </c>
      <c r="B13093" s="13" t="s">
        <v>12428</v>
      </c>
      <c r="C13093" s="14" t="s">
        <v>12506</v>
      </c>
      <c r="D13093" s="1"/>
      <c r="E13093" s="1"/>
      <c r="F13093" s="1" t="str">
        <f>IFERROR(__xludf.DUMMYFUNCTION("GOOGLETRANSLATE(B13093, ""en"", ""fa"")
"),"سلامت روان و رفاه")</f>
        <v>سلامت روان و رفاه</v>
      </c>
      <c r="G13093" s="1" t="str">
        <f>IFERROR(__xludf.DUMMYFUNCTION("GOOGLETRANSLATE(C13093,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3093" s="1"/>
      <c r="I13093" s="1"/>
      <c r="J13093" s="1"/>
      <c r="K13093" s="1"/>
      <c r="L13093" s="1"/>
      <c r="M13093" s="1"/>
      <c r="N13093" s="1"/>
      <c r="O13093" s="1"/>
      <c r="P13093" s="1"/>
      <c r="Q13093" s="1"/>
      <c r="R13093" s="1"/>
      <c r="S13093" s="1"/>
      <c r="T13093" s="1"/>
      <c r="U13093" s="1"/>
      <c r="V13093" s="1"/>
      <c r="W13093" s="1"/>
      <c r="X13093" s="1"/>
      <c r="Y13093" s="1"/>
      <c r="Z13093" s="1"/>
      <c r="AA13093" s="1"/>
      <c r="AB13093" s="1"/>
    </row>
    <row r="13094" ht="50.25" customHeight="1">
      <c r="A13094" s="12">
        <v>13090.0</v>
      </c>
      <c r="B13094" s="13" t="s">
        <v>12428</v>
      </c>
      <c r="C13094" s="14" t="s">
        <v>12582</v>
      </c>
      <c r="D13094" s="1"/>
      <c r="E13094" s="1"/>
      <c r="F13094" s="1" t="str">
        <f>IFERROR(__xludf.DUMMYFUNCTION("GOOGLETRANSLATE(B13094, ""en"", ""fa"")
"),"سلامت روان و رفاه")</f>
        <v>سلامت روان و رفاه</v>
      </c>
      <c r="G13094" s="1" t="str">
        <f>IFERROR(__xludf.DUMMYFUNCTION("GOOGLETRANSLATE(C13094, ""en"", ""fa"")
"),"آیا می توانید تکنیک هایی برای تمرین آرام سازی پیشرونده عضلانی برای کاهش استرس و اضطراب پیشنهاد دهید؟")</f>
        <v>آیا می توانید تکنیک هایی برای تمرین آرام سازی پیشرونده عضلانی برای کاهش استرس و اضطراب پیشنهاد دهید؟</v>
      </c>
      <c r="H13094" s="1"/>
      <c r="I13094" s="1"/>
      <c r="J13094" s="1"/>
      <c r="K13094" s="1"/>
      <c r="L13094" s="1"/>
      <c r="M13094" s="1"/>
      <c r="N13094" s="1"/>
      <c r="O13094" s="1"/>
      <c r="P13094" s="1"/>
      <c r="Q13094" s="1"/>
      <c r="R13094" s="1"/>
      <c r="S13094" s="1"/>
      <c r="T13094" s="1"/>
      <c r="U13094" s="1"/>
      <c r="V13094" s="1"/>
      <c r="W13094" s="1"/>
      <c r="X13094" s="1"/>
      <c r="Y13094" s="1"/>
      <c r="Z13094" s="1"/>
      <c r="AA13094" s="1"/>
      <c r="AB13094" s="1"/>
    </row>
    <row r="13095" ht="50.25" customHeight="1">
      <c r="A13095" s="12">
        <v>13091.0</v>
      </c>
      <c r="B13095" s="13" t="s">
        <v>12428</v>
      </c>
      <c r="C13095" s="14" t="s">
        <v>12508</v>
      </c>
      <c r="D13095" s="1"/>
      <c r="E13095" s="1"/>
      <c r="F13095" s="1" t="str">
        <f>IFERROR(__xludf.DUMMYFUNCTION("GOOGLETRANSLATE(B13095, ""en"", ""fa"")
"),"سلامت روان و رفاه")</f>
        <v>سلامت روان و رفاه</v>
      </c>
      <c r="G13095" s="1" t="str">
        <f>IFERROR(__xludf.DUMMYFUNCTION("GOOGLETRANSLATE(C13095, ""en"", ""fa"")
"),"نکات مهم برای ایجاد و حفظ تاب آوری در مواجهه با چالش های زندگی چیست؟")</f>
        <v>نکات مهم برای ایجاد و حفظ تاب آوری در مواجهه با چالش های زندگی چیست؟</v>
      </c>
      <c r="H13095" s="1"/>
      <c r="I13095" s="1"/>
      <c r="J13095" s="1"/>
      <c r="K13095" s="1"/>
      <c r="L13095" s="1"/>
      <c r="M13095" s="1"/>
      <c r="N13095" s="1"/>
      <c r="O13095" s="1"/>
      <c r="P13095" s="1"/>
      <c r="Q13095" s="1"/>
      <c r="R13095" s="1"/>
      <c r="S13095" s="1"/>
      <c r="T13095" s="1"/>
      <c r="U13095" s="1"/>
      <c r="V13095" s="1"/>
      <c r="W13095" s="1"/>
      <c r="X13095" s="1"/>
      <c r="Y13095" s="1"/>
      <c r="Z13095" s="1"/>
      <c r="AA13095" s="1"/>
      <c r="AB13095" s="1"/>
    </row>
    <row r="13096" ht="50.25" customHeight="1">
      <c r="A13096" s="12">
        <v>13092.0</v>
      </c>
      <c r="B13096" s="13" t="s">
        <v>12428</v>
      </c>
      <c r="C13096" s="14" t="s">
        <v>12509</v>
      </c>
      <c r="D13096" s="1"/>
      <c r="E13096" s="1"/>
      <c r="F13096" s="1" t="str">
        <f>IFERROR(__xludf.DUMMYFUNCTION("GOOGLETRANSLATE(B13096, ""en"", ""fa"")
"),"سلامت روان و رفاه")</f>
        <v>سلامت روان و رفاه</v>
      </c>
      <c r="G13096" s="1" t="str">
        <f>IFERROR(__xludf.DUMMYFUNCTION("GOOGLETRANSLATE(C13096,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3096" s="1"/>
      <c r="I13096" s="1"/>
      <c r="J13096" s="1"/>
      <c r="K13096" s="1"/>
      <c r="L13096" s="1"/>
      <c r="M13096" s="1"/>
      <c r="N13096" s="1"/>
      <c r="O13096" s="1"/>
      <c r="P13096" s="1"/>
      <c r="Q13096" s="1"/>
      <c r="R13096" s="1"/>
      <c r="S13096" s="1"/>
      <c r="T13096" s="1"/>
      <c r="U13096" s="1"/>
      <c r="V13096" s="1"/>
      <c r="W13096" s="1"/>
      <c r="X13096" s="1"/>
      <c r="Y13096" s="1"/>
      <c r="Z13096" s="1"/>
      <c r="AA13096" s="1"/>
      <c r="AB13096" s="1"/>
    </row>
    <row r="13097" ht="50.25" customHeight="1">
      <c r="A13097" s="12">
        <v>13093.0</v>
      </c>
      <c r="B13097" s="13" t="s">
        <v>12428</v>
      </c>
      <c r="C13097" s="14" t="s">
        <v>12510</v>
      </c>
      <c r="D13097" s="1"/>
      <c r="E13097" s="1"/>
      <c r="F13097" s="1" t="str">
        <f>IFERROR(__xludf.DUMMYFUNCTION("GOOGLETRANSLATE(B13097, ""en"", ""fa"")
"),"سلامت روان و رفاه")</f>
        <v>سلامت روان و رفاه</v>
      </c>
      <c r="G13097" s="1" t="str">
        <f>IFERROR(__xludf.DUMMYFUNCTION("GOOGLETRANSLATE(C13097,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3097" s="1"/>
      <c r="I13097" s="1"/>
      <c r="J13097" s="1"/>
      <c r="K13097" s="1"/>
      <c r="L13097" s="1"/>
      <c r="M13097" s="1"/>
      <c r="N13097" s="1"/>
      <c r="O13097" s="1"/>
      <c r="P13097" s="1"/>
      <c r="Q13097" s="1"/>
      <c r="R13097" s="1"/>
      <c r="S13097" s="1"/>
      <c r="T13097" s="1"/>
      <c r="U13097" s="1"/>
      <c r="V13097" s="1"/>
      <c r="W13097" s="1"/>
      <c r="X13097" s="1"/>
      <c r="Y13097" s="1"/>
      <c r="Z13097" s="1"/>
      <c r="AA13097" s="1"/>
      <c r="AB13097" s="1"/>
    </row>
    <row r="13098" ht="50.25" customHeight="1">
      <c r="A13098" s="12">
        <v>13094.0</v>
      </c>
      <c r="B13098" s="13" t="s">
        <v>12428</v>
      </c>
      <c r="C13098" s="14" t="s">
        <v>12511</v>
      </c>
      <c r="D13098" s="1"/>
      <c r="E13098" s="1"/>
      <c r="F13098" s="1" t="str">
        <f>IFERROR(__xludf.DUMMYFUNCTION("GOOGLETRANSLATE(B13098, ""en"", ""fa"")
"),"سلامت روان و رفاه")</f>
        <v>سلامت روان و رفاه</v>
      </c>
      <c r="G13098" s="1" t="str">
        <f>IFERROR(__xludf.DUMMYFUNCTION("GOOGLETRANSLATE(C13098,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3098" s="1"/>
      <c r="I13098" s="1"/>
      <c r="J13098" s="1"/>
      <c r="K13098" s="1"/>
      <c r="L13098" s="1"/>
      <c r="M13098" s="1"/>
      <c r="N13098" s="1"/>
      <c r="O13098" s="1"/>
      <c r="P13098" s="1"/>
      <c r="Q13098" s="1"/>
      <c r="R13098" s="1"/>
      <c r="S13098" s="1"/>
      <c r="T13098" s="1"/>
      <c r="U13098" s="1"/>
      <c r="V13098" s="1"/>
      <c r="W13098" s="1"/>
      <c r="X13098" s="1"/>
      <c r="Y13098" s="1"/>
      <c r="Z13098" s="1"/>
      <c r="AA13098" s="1"/>
      <c r="AB13098" s="1"/>
    </row>
    <row r="13099" ht="50.25" customHeight="1">
      <c r="A13099" s="12">
        <v>13095.0</v>
      </c>
      <c r="B13099" s="13" t="s">
        <v>12428</v>
      </c>
      <c r="C13099" s="14" t="s">
        <v>12583</v>
      </c>
      <c r="D13099" s="1"/>
      <c r="E13099" s="1"/>
      <c r="F13099" s="1" t="str">
        <f>IFERROR(__xludf.DUMMYFUNCTION("GOOGLETRANSLATE(B13099, ""en"", ""fa"")
"),"سلامت روان و رفاه")</f>
        <v>سلامت روان و رفاه</v>
      </c>
      <c r="G13099" s="1" t="str">
        <f>IFERROR(__xludf.DUMMYFUNCTION("GOOGLETRANSLATE(C13099, ""en"", ""fa"")
"),"آیا می‌توانید فعالیت‌هایی را برای ارتقای خودبیانگری و خلاقیت برای تقویت سلامت روان توصیه کنید؟")</f>
        <v>آیا می‌توانید فعالیت‌هایی را برای ارتقای خودبیانگری و خلاقیت برای تقویت سلامت روان توصیه کنید؟</v>
      </c>
      <c r="H13099" s="1"/>
      <c r="I13099" s="1"/>
      <c r="J13099" s="1"/>
      <c r="K13099" s="1"/>
      <c r="L13099" s="1"/>
      <c r="M13099" s="1"/>
      <c r="N13099" s="1"/>
      <c r="O13099" s="1"/>
      <c r="P13099" s="1"/>
      <c r="Q13099" s="1"/>
      <c r="R13099" s="1"/>
      <c r="S13099" s="1"/>
      <c r="T13099" s="1"/>
      <c r="U13099" s="1"/>
      <c r="V13099" s="1"/>
      <c r="W13099" s="1"/>
      <c r="X13099" s="1"/>
      <c r="Y13099" s="1"/>
      <c r="Z13099" s="1"/>
      <c r="AA13099" s="1"/>
      <c r="AB13099" s="1"/>
    </row>
    <row r="13100" ht="50.25" customHeight="1">
      <c r="A13100" s="12">
        <v>13096.0</v>
      </c>
      <c r="B13100" s="13" t="s">
        <v>12428</v>
      </c>
      <c r="C13100" s="14" t="s">
        <v>12513</v>
      </c>
      <c r="D13100" s="1"/>
      <c r="E13100" s="1"/>
      <c r="F13100" s="1" t="str">
        <f>IFERROR(__xludf.DUMMYFUNCTION("GOOGLETRANSLATE(B13100, ""en"", ""fa"")
"),"سلامت روان و رفاه")</f>
        <v>سلامت روان و رفاه</v>
      </c>
      <c r="G13100" s="1" t="str">
        <f>IFERROR(__xludf.DUMMYFUNCTION("GOOGLETRANSLATE(C13100, ""en"", ""fa"")
"),"راهبردهای برتر برای مدیریت و کاهش علائم اختلالات خوردن چیست؟")</f>
        <v>راهبردهای برتر برای مدیریت و کاهش علائم اختلالات خوردن چیست؟</v>
      </c>
      <c r="H13100" s="1"/>
      <c r="I13100" s="1"/>
      <c r="J13100" s="1"/>
      <c r="K13100" s="1"/>
      <c r="L13100" s="1"/>
      <c r="M13100" s="1"/>
      <c r="N13100" s="1"/>
      <c r="O13100" s="1"/>
      <c r="P13100" s="1"/>
      <c r="Q13100" s="1"/>
      <c r="R13100" s="1"/>
      <c r="S13100" s="1"/>
      <c r="T13100" s="1"/>
      <c r="U13100" s="1"/>
      <c r="V13100" s="1"/>
      <c r="W13100" s="1"/>
      <c r="X13100" s="1"/>
      <c r="Y13100" s="1"/>
      <c r="Z13100" s="1"/>
      <c r="AA13100" s="1"/>
      <c r="AB13100" s="1"/>
    </row>
    <row r="13101" ht="50.25" customHeight="1">
      <c r="A13101" s="12">
        <v>13097.0</v>
      </c>
      <c r="B13101" s="13" t="s">
        <v>12428</v>
      </c>
      <c r="C13101" s="14" t="s">
        <v>12514</v>
      </c>
      <c r="D13101" s="1"/>
      <c r="E13101" s="1"/>
      <c r="F13101" s="1" t="str">
        <f>IFERROR(__xludf.DUMMYFUNCTION("GOOGLETRANSLATE(B13101, ""en"", ""fa"")
"),"سلامت روان و رفاه")</f>
        <v>سلامت روان و رفاه</v>
      </c>
      <c r="G13101" s="1" t="str">
        <f>IFERROR(__xludf.DUMMYFUNCTION("GOOGLETRANSLATE(C13101,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101" s="1"/>
      <c r="I13101" s="1"/>
      <c r="J13101" s="1"/>
      <c r="K13101" s="1"/>
      <c r="L13101" s="1"/>
      <c r="M13101" s="1"/>
      <c r="N13101" s="1"/>
      <c r="O13101" s="1"/>
      <c r="P13101" s="1"/>
      <c r="Q13101" s="1"/>
      <c r="R13101" s="1"/>
      <c r="S13101" s="1"/>
      <c r="T13101" s="1"/>
      <c r="U13101" s="1"/>
      <c r="V13101" s="1"/>
      <c r="W13101" s="1"/>
      <c r="X13101" s="1"/>
      <c r="Y13101" s="1"/>
      <c r="Z13101" s="1"/>
      <c r="AA13101" s="1"/>
      <c r="AB13101" s="1"/>
    </row>
    <row r="13102" ht="50.25" customHeight="1">
      <c r="A13102" s="12">
        <v>13098.0</v>
      </c>
      <c r="B13102" s="13" t="s">
        <v>12428</v>
      </c>
      <c r="C13102" s="14" t="s">
        <v>12515</v>
      </c>
      <c r="D13102" s="1"/>
      <c r="E13102" s="1"/>
      <c r="F13102" s="1" t="str">
        <f>IFERROR(__xludf.DUMMYFUNCTION("GOOGLETRANSLATE(B13102, ""en"", ""fa"")
"),"سلامت روان و رفاه")</f>
        <v>سلامت روان و رفاه</v>
      </c>
      <c r="G13102" s="1" t="str">
        <f>IFERROR(__xludf.DUMMYFUNCTION("GOOGLETRANSLATE(C13102, ""en"", ""fa"")
"),"بهترین تکنیک ها برای مدیریت و کاهش علائم اسکیزوفرنی چیست؟")</f>
        <v>بهترین تکنیک ها برای مدیریت و کاهش علائم اسکیزوفرنی چیست؟</v>
      </c>
      <c r="H13102" s="1"/>
      <c r="I13102" s="1"/>
      <c r="J13102" s="1"/>
      <c r="K13102" s="1"/>
      <c r="L13102" s="1"/>
      <c r="M13102" s="1"/>
      <c r="N13102" s="1"/>
      <c r="O13102" s="1"/>
      <c r="P13102" s="1"/>
      <c r="Q13102" s="1"/>
      <c r="R13102" s="1"/>
      <c r="S13102" s="1"/>
      <c r="T13102" s="1"/>
      <c r="U13102" s="1"/>
      <c r="V13102" s="1"/>
      <c r="W13102" s="1"/>
      <c r="X13102" s="1"/>
      <c r="Y13102" s="1"/>
      <c r="Z13102" s="1"/>
      <c r="AA13102" s="1"/>
      <c r="AB13102" s="1"/>
    </row>
    <row r="13103" ht="50.25" customHeight="1">
      <c r="A13103" s="12">
        <v>13099.0</v>
      </c>
      <c r="B13103" s="13" t="s">
        <v>12428</v>
      </c>
      <c r="C13103" s="14" t="s">
        <v>12516</v>
      </c>
      <c r="D13103" s="1"/>
      <c r="E13103" s="1"/>
      <c r="F13103" s="1" t="str">
        <f>IFERROR(__xludf.DUMMYFUNCTION("GOOGLETRANSLATE(B13103, ""en"", ""fa"")
"),"سلامت روان و رفاه")</f>
        <v>سلامت روان و رفاه</v>
      </c>
      <c r="G13103" s="1" t="str">
        <f>IFERROR(__xludf.DUMMYFUNCTION("GOOGLETRANSLATE(C13103,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3103" s="1"/>
      <c r="I13103" s="1"/>
      <c r="J13103" s="1"/>
      <c r="K13103" s="1"/>
      <c r="L13103" s="1"/>
      <c r="M13103" s="1"/>
      <c r="N13103" s="1"/>
      <c r="O13103" s="1"/>
      <c r="P13103" s="1"/>
      <c r="Q13103" s="1"/>
      <c r="R13103" s="1"/>
      <c r="S13103" s="1"/>
      <c r="T13103" s="1"/>
      <c r="U13103" s="1"/>
      <c r="V13103" s="1"/>
      <c r="W13103" s="1"/>
      <c r="X13103" s="1"/>
      <c r="Y13103" s="1"/>
      <c r="Z13103" s="1"/>
      <c r="AA13103" s="1"/>
      <c r="AB13103" s="1"/>
    </row>
    <row r="13104" ht="50.25" customHeight="1">
      <c r="A13104" s="12">
        <v>13100.0</v>
      </c>
      <c r="B13104" s="13" t="s">
        <v>12428</v>
      </c>
      <c r="C13104" s="14" t="s">
        <v>12517</v>
      </c>
      <c r="D13104" s="1"/>
      <c r="E13104" s="1"/>
      <c r="F13104" s="1" t="str">
        <f>IFERROR(__xludf.DUMMYFUNCTION("GOOGLETRANSLATE(B13104, ""en"", ""fa"")
"),"سلامت روان و رفاه")</f>
        <v>سلامت روان و رفاه</v>
      </c>
      <c r="G13104" s="1" t="str">
        <f>IFERROR(__xludf.DUMMYFUNCTION("GOOGLETRANSLATE(C13104,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3104" s="1"/>
      <c r="I13104" s="1"/>
      <c r="J13104" s="1"/>
      <c r="K13104" s="1"/>
      <c r="L13104" s="1"/>
      <c r="M13104" s="1"/>
      <c r="N13104" s="1"/>
      <c r="O13104" s="1"/>
      <c r="P13104" s="1"/>
      <c r="Q13104" s="1"/>
      <c r="R13104" s="1"/>
      <c r="S13104" s="1"/>
      <c r="T13104" s="1"/>
      <c r="U13104" s="1"/>
      <c r="V13104" s="1"/>
      <c r="W13104" s="1"/>
      <c r="X13104" s="1"/>
      <c r="Y13104" s="1"/>
      <c r="Z13104" s="1"/>
      <c r="AA13104" s="1"/>
      <c r="AB13104" s="1"/>
    </row>
    <row r="13105" ht="50.25" customHeight="1">
      <c r="A13105" s="12">
        <v>13101.0</v>
      </c>
      <c r="B13105" s="13" t="s">
        <v>12428</v>
      </c>
      <c r="C13105" s="14" t="s">
        <v>12518</v>
      </c>
      <c r="D13105" s="1"/>
      <c r="E13105" s="1"/>
      <c r="F13105" s="1" t="str">
        <f>IFERROR(__xludf.DUMMYFUNCTION("GOOGLETRANSLATE(B13105, ""en"", ""fa"")
"),"سلامت روان و رفاه")</f>
        <v>سلامت روان و رفاه</v>
      </c>
      <c r="G13105" s="1" t="str">
        <f>IFERROR(__xludf.DUMMYFUNCTION("GOOGLETRANSLATE(C13105, ""en"", ""fa"")
"),"نکات مهم برای ایجاد و حفظ مرزهای سالم در محیط های حرفه ای چیست؟")</f>
        <v>نکات مهم برای ایجاد و حفظ مرزهای سالم در محیط های حرفه ای چیست؟</v>
      </c>
      <c r="H13105" s="1"/>
      <c r="I13105" s="1"/>
      <c r="J13105" s="1"/>
      <c r="K13105" s="1"/>
      <c r="L13105" s="1"/>
      <c r="M13105" s="1"/>
      <c r="N13105" s="1"/>
      <c r="O13105" s="1"/>
      <c r="P13105" s="1"/>
      <c r="Q13105" s="1"/>
      <c r="R13105" s="1"/>
      <c r="S13105" s="1"/>
      <c r="T13105" s="1"/>
      <c r="U13105" s="1"/>
      <c r="V13105" s="1"/>
      <c r="W13105" s="1"/>
      <c r="X13105" s="1"/>
      <c r="Y13105" s="1"/>
      <c r="Z13105" s="1"/>
      <c r="AA13105" s="1"/>
      <c r="AB13105" s="1"/>
    </row>
    <row r="13106" ht="50.25" customHeight="1">
      <c r="A13106" s="12">
        <v>13102.0</v>
      </c>
      <c r="B13106" s="13" t="s">
        <v>12428</v>
      </c>
      <c r="C13106" s="14" t="s">
        <v>12519</v>
      </c>
      <c r="D13106" s="1"/>
      <c r="E13106" s="1"/>
      <c r="F13106" s="1" t="str">
        <f>IFERROR(__xludf.DUMMYFUNCTION("GOOGLETRANSLATE(B13106, ""en"", ""fa"")
"),"سلامت روان و رفاه")</f>
        <v>سلامت روان و رفاه</v>
      </c>
      <c r="G13106" s="1" t="str">
        <f>IFERROR(__xludf.DUMMYFUNCTION("GOOGLETRANSLATE(C13106,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3106" s="1"/>
      <c r="I13106" s="1"/>
      <c r="J13106" s="1"/>
      <c r="K13106" s="1"/>
      <c r="L13106" s="1"/>
      <c r="M13106" s="1"/>
      <c r="N13106" s="1"/>
      <c r="O13106" s="1"/>
      <c r="P13106" s="1"/>
      <c r="Q13106" s="1"/>
      <c r="R13106" s="1"/>
      <c r="S13106" s="1"/>
      <c r="T13106" s="1"/>
      <c r="U13106" s="1"/>
      <c r="V13106" s="1"/>
      <c r="W13106" s="1"/>
      <c r="X13106" s="1"/>
      <c r="Y13106" s="1"/>
      <c r="Z13106" s="1"/>
      <c r="AA13106" s="1"/>
      <c r="AB13106" s="1"/>
    </row>
    <row r="13107" ht="50.25" customHeight="1">
      <c r="A13107" s="12">
        <v>13103.0</v>
      </c>
      <c r="B13107" s="13" t="s">
        <v>12428</v>
      </c>
      <c r="C13107" s="14" t="s">
        <v>12520</v>
      </c>
      <c r="D13107" s="1"/>
      <c r="E13107" s="1"/>
      <c r="F13107" s="1" t="str">
        <f>IFERROR(__xludf.DUMMYFUNCTION("GOOGLETRANSLATE(B13107, ""en"", ""fa"")
"),"سلامت روان و رفاه")</f>
        <v>سلامت روان و رفاه</v>
      </c>
      <c r="G13107" s="1" t="str">
        <f>IFERROR(__xludf.DUMMYFUNCTION("GOOGLETRANSLATE(C13107, ""en"", ""fa"")
"),"بهترین راهکارها برای مدیریت و کاهش علائم اختلالات مصرف مواد چیست؟")</f>
        <v>بهترین راهکارها برای مدیریت و کاهش علائم اختلالات مصرف مواد چیست؟</v>
      </c>
      <c r="H13107" s="1"/>
      <c r="I13107" s="1"/>
      <c r="J13107" s="1"/>
      <c r="K13107" s="1"/>
      <c r="L13107" s="1"/>
      <c r="M13107" s="1"/>
      <c r="N13107" s="1"/>
      <c r="O13107" s="1"/>
      <c r="P13107" s="1"/>
      <c r="Q13107" s="1"/>
      <c r="R13107" s="1"/>
      <c r="S13107" s="1"/>
      <c r="T13107" s="1"/>
      <c r="U13107" s="1"/>
      <c r="V13107" s="1"/>
      <c r="W13107" s="1"/>
      <c r="X13107" s="1"/>
      <c r="Y13107" s="1"/>
      <c r="Z13107" s="1"/>
      <c r="AA13107" s="1"/>
      <c r="AB13107" s="1"/>
    </row>
    <row r="13108" ht="50.25" customHeight="1">
      <c r="A13108" s="12">
        <v>13104.0</v>
      </c>
      <c r="B13108" s="13" t="s">
        <v>12428</v>
      </c>
      <c r="C13108" s="14" t="s">
        <v>12521</v>
      </c>
      <c r="D13108" s="1"/>
      <c r="E13108" s="1"/>
      <c r="F13108" s="1" t="str">
        <f>IFERROR(__xludf.DUMMYFUNCTION("GOOGLETRANSLATE(B13108, ""en"", ""fa"")
"),"سلامت روان و رفاه")</f>
        <v>سلامت روان و رفاه</v>
      </c>
      <c r="G13108" s="1" t="str">
        <f>IFERROR(__xludf.DUMMYFUNCTION("GOOGLETRANSLATE(C13108,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3108" s="1"/>
      <c r="I13108" s="1"/>
      <c r="J13108" s="1"/>
      <c r="K13108" s="1"/>
      <c r="L13108" s="1"/>
      <c r="M13108" s="1"/>
      <c r="N13108" s="1"/>
      <c r="O13108" s="1"/>
      <c r="P13108" s="1"/>
      <c r="Q13108" s="1"/>
      <c r="R13108" s="1"/>
      <c r="S13108" s="1"/>
      <c r="T13108" s="1"/>
      <c r="U13108" s="1"/>
      <c r="V13108" s="1"/>
      <c r="W13108" s="1"/>
      <c r="X13108" s="1"/>
      <c r="Y13108" s="1"/>
      <c r="Z13108" s="1"/>
      <c r="AA13108" s="1"/>
      <c r="AB13108" s="1"/>
    </row>
    <row r="13109" ht="50.25" customHeight="1">
      <c r="A13109" s="12">
        <v>13105.0</v>
      </c>
      <c r="B13109" s="13" t="s">
        <v>12428</v>
      </c>
      <c r="C13109" s="14" t="s">
        <v>12522</v>
      </c>
      <c r="D13109" s="1"/>
      <c r="E13109" s="1"/>
      <c r="F13109" s="1" t="str">
        <f>IFERROR(__xludf.DUMMYFUNCTION("GOOGLETRANSLATE(B13109, ""en"", ""fa"")
"),"سلامت روان و رفاه")</f>
        <v>سلامت روان و رفاه</v>
      </c>
      <c r="G13109" s="1" t="str">
        <f>IFERROR(__xludf.DUMMYFUNCTION("GOOGLETRANSLATE(C13109,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3109" s="1"/>
      <c r="I13109" s="1"/>
      <c r="J13109" s="1"/>
      <c r="K13109" s="1"/>
      <c r="L13109" s="1"/>
      <c r="M13109" s="1"/>
      <c r="N13109" s="1"/>
      <c r="O13109" s="1"/>
      <c r="P13109" s="1"/>
      <c r="Q13109" s="1"/>
      <c r="R13109" s="1"/>
      <c r="S13109" s="1"/>
      <c r="T13109" s="1"/>
      <c r="U13109" s="1"/>
      <c r="V13109" s="1"/>
      <c r="W13109" s="1"/>
      <c r="X13109" s="1"/>
      <c r="Y13109" s="1"/>
      <c r="Z13109" s="1"/>
      <c r="AA13109" s="1"/>
      <c r="AB13109" s="1"/>
    </row>
    <row r="13110" ht="50.25" customHeight="1">
      <c r="A13110" s="12">
        <v>13106.0</v>
      </c>
      <c r="B13110" s="13" t="s">
        <v>12428</v>
      </c>
      <c r="C13110" s="14" t="s">
        <v>12523</v>
      </c>
      <c r="D13110" s="1"/>
      <c r="E13110" s="1"/>
      <c r="F13110" s="1" t="str">
        <f>IFERROR(__xludf.DUMMYFUNCTION("GOOGLETRANSLATE(B13110, ""en"", ""fa"")
"),"سلامت روان و رفاه")</f>
        <v>سلامت روان و رفاه</v>
      </c>
      <c r="G13110" s="1" t="str">
        <f>IFERROR(__xludf.DUMMYFUNCTION("GOOGLETRANSLATE(C13110,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3110" s="1"/>
      <c r="I13110" s="1"/>
      <c r="J13110" s="1"/>
      <c r="K13110" s="1"/>
      <c r="L13110" s="1"/>
      <c r="M13110" s="1"/>
      <c r="N13110" s="1"/>
      <c r="O13110" s="1"/>
      <c r="P13110" s="1"/>
      <c r="Q13110" s="1"/>
      <c r="R13110" s="1"/>
      <c r="S13110" s="1"/>
      <c r="T13110" s="1"/>
      <c r="U13110" s="1"/>
      <c r="V13110" s="1"/>
      <c r="W13110" s="1"/>
      <c r="X13110" s="1"/>
      <c r="Y13110" s="1"/>
      <c r="Z13110" s="1"/>
      <c r="AA13110" s="1"/>
      <c r="AB13110" s="1"/>
    </row>
    <row r="13111" ht="50.25" customHeight="1">
      <c r="A13111" s="12">
        <v>13107.0</v>
      </c>
      <c r="B13111" s="13" t="s">
        <v>12428</v>
      </c>
      <c r="C13111" s="14" t="s">
        <v>12524</v>
      </c>
      <c r="D13111" s="1"/>
      <c r="E13111" s="1"/>
      <c r="F13111" s="1" t="str">
        <f>IFERROR(__xludf.DUMMYFUNCTION("GOOGLETRANSLATE(B13111, ""en"", ""fa"")
"),"سلامت روان و رفاه")</f>
        <v>سلامت روان و رفاه</v>
      </c>
      <c r="G13111" s="1" t="str">
        <f>IFERROR(__xludf.DUMMYFUNCTION("GOOGLETRANSLATE(C13111,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3111" s="1"/>
      <c r="I13111" s="1"/>
      <c r="J13111" s="1"/>
      <c r="K13111" s="1"/>
      <c r="L13111" s="1"/>
      <c r="M13111" s="1"/>
      <c r="N13111" s="1"/>
      <c r="O13111" s="1"/>
      <c r="P13111" s="1"/>
      <c r="Q13111" s="1"/>
      <c r="R13111" s="1"/>
      <c r="S13111" s="1"/>
      <c r="T13111" s="1"/>
      <c r="U13111" s="1"/>
      <c r="V13111" s="1"/>
      <c r="W13111" s="1"/>
      <c r="X13111" s="1"/>
      <c r="Y13111" s="1"/>
      <c r="Z13111" s="1"/>
      <c r="AA13111" s="1"/>
      <c r="AB13111" s="1"/>
    </row>
    <row r="13112" ht="50.25" customHeight="1">
      <c r="A13112" s="12">
        <v>13108.0</v>
      </c>
      <c r="B13112" s="13" t="s">
        <v>12428</v>
      </c>
      <c r="C13112" s="14" t="s">
        <v>12525</v>
      </c>
      <c r="D13112" s="1"/>
      <c r="E13112" s="1"/>
      <c r="F13112" s="1" t="str">
        <f>IFERROR(__xludf.DUMMYFUNCTION("GOOGLETRANSLATE(B13112, ""en"", ""fa"")
"),"سلامت روان و رفاه")</f>
        <v>سلامت روان و رفاه</v>
      </c>
      <c r="G13112" s="1" t="str">
        <f>IFERROR(__xludf.DUMMYFUNCTION("GOOGLETRANSLATE(C13112, ""en"", ""fa"")
"),"بهترین راهبردها برای مدیریت و کاهش علائم اختلال شخصیت مرزی (BPD) چیست؟")</f>
        <v>بهترین راهبردها برای مدیریت و کاهش علائم اختلال شخصیت مرزی (BPD) چیست؟</v>
      </c>
      <c r="H13112" s="1"/>
      <c r="I13112" s="1"/>
      <c r="J13112" s="1"/>
      <c r="K13112" s="1"/>
      <c r="L13112" s="1"/>
      <c r="M13112" s="1"/>
      <c r="N13112" s="1"/>
      <c r="O13112" s="1"/>
      <c r="P13112" s="1"/>
      <c r="Q13112" s="1"/>
      <c r="R13112" s="1"/>
      <c r="S13112" s="1"/>
      <c r="T13112" s="1"/>
      <c r="U13112" s="1"/>
      <c r="V13112" s="1"/>
      <c r="W13112" s="1"/>
      <c r="X13112" s="1"/>
      <c r="Y13112" s="1"/>
      <c r="Z13112" s="1"/>
      <c r="AA13112" s="1"/>
      <c r="AB13112" s="1"/>
    </row>
    <row r="13113" ht="50.25" customHeight="1">
      <c r="A13113" s="12">
        <v>13109.0</v>
      </c>
      <c r="B13113" s="13" t="s">
        <v>12428</v>
      </c>
      <c r="C13113" s="14" t="s">
        <v>12526</v>
      </c>
      <c r="D13113" s="1"/>
      <c r="E13113" s="1"/>
      <c r="F13113" s="1" t="str">
        <f>IFERROR(__xludf.DUMMYFUNCTION("GOOGLETRANSLATE(B13113, ""en"", ""fa"")
"),"سلامت روان و رفاه")</f>
        <v>سلامت روان و رفاه</v>
      </c>
      <c r="G13113" s="1" t="str">
        <f>IFERROR(__xludf.DUMMYFUNCTION("GOOGLETRANSLATE(C13113,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3113" s="1"/>
      <c r="I13113" s="1"/>
      <c r="J13113" s="1"/>
      <c r="K13113" s="1"/>
      <c r="L13113" s="1"/>
      <c r="M13113" s="1"/>
      <c r="N13113" s="1"/>
      <c r="O13113" s="1"/>
      <c r="P13113" s="1"/>
      <c r="Q13113" s="1"/>
      <c r="R13113" s="1"/>
      <c r="S13113" s="1"/>
      <c r="T13113" s="1"/>
      <c r="U13113" s="1"/>
      <c r="V13113" s="1"/>
      <c r="W13113" s="1"/>
      <c r="X13113" s="1"/>
      <c r="Y13113" s="1"/>
      <c r="Z13113" s="1"/>
      <c r="AA13113" s="1"/>
      <c r="AB13113" s="1"/>
    </row>
    <row r="13114" ht="50.25" customHeight="1">
      <c r="A13114" s="12">
        <v>13110.0</v>
      </c>
      <c r="B13114" s="13" t="s">
        <v>12428</v>
      </c>
      <c r="C13114" s="14" t="s">
        <v>12527</v>
      </c>
      <c r="D13114" s="1"/>
      <c r="E13114" s="1"/>
      <c r="F13114" s="1" t="str">
        <f>IFERROR(__xludf.DUMMYFUNCTION("GOOGLETRANSLATE(B13114, ""en"", ""fa"")
"),"سلامت روان و رفاه")</f>
        <v>سلامت روان و رفاه</v>
      </c>
      <c r="G13114" s="1" t="str">
        <f>IFERROR(__xludf.DUMMYFUNCTION("GOOGLETRANSLATE(C13114,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114" s="1"/>
      <c r="I13114" s="1"/>
      <c r="J13114" s="1"/>
      <c r="K13114" s="1"/>
      <c r="L13114" s="1"/>
      <c r="M13114" s="1"/>
      <c r="N13114" s="1"/>
      <c r="O13114" s="1"/>
      <c r="P13114" s="1"/>
      <c r="Q13114" s="1"/>
      <c r="R13114" s="1"/>
      <c r="S13114" s="1"/>
      <c r="T13114" s="1"/>
      <c r="U13114" s="1"/>
      <c r="V13114" s="1"/>
      <c r="W13114" s="1"/>
      <c r="X13114" s="1"/>
      <c r="Y13114" s="1"/>
      <c r="Z13114" s="1"/>
      <c r="AA13114" s="1"/>
      <c r="AB13114" s="1"/>
    </row>
    <row r="13115" ht="50.25" customHeight="1">
      <c r="A13115" s="12">
        <v>13111.0</v>
      </c>
      <c r="B13115" s="13" t="s">
        <v>12428</v>
      </c>
      <c r="C13115" s="14" t="s">
        <v>12528</v>
      </c>
      <c r="D13115" s="1"/>
      <c r="E13115" s="1"/>
      <c r="F13115" s="1" t="str">
        <f>IFERROR(__xludf.DUMMYFUNCTION("GOOGLETRANSLATE(B13115, ""en"", ""fa"")
"),"سلامت روان و رفاه")</f>
        <v>سلامت روان و رفاه</v>
      </c>
      <c r="G13115" s="1" t="str">
        <f>IFERROR(__xludf.DUMMYFUNCTION("GOOGLETRANSLATE(C13115,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3115" s="1"/>
      <c r="I13115" s="1"/>
      <c r="J13115" s="1"/>
      <c r="K13115" s="1"/>
      <c r="L13115" s="1"/>
      <c r="M13115" s="1"/>
      <c r="N13115" s="1"/>
      <c r="O13115" s="1"/>
      <c r="P13115" s="1"/>
      <c r="Q13115" s="1"/>
      <c r="R13115" s="1"/>
      <c r="S13115" s="1"/>
      <c r="T13115" s="1"/>
      <c r="U13115" s="1"/>
      <c r="V13115" s="1"/>
      <c r="W13115" s="1"/>
      <c r="X13115" s="1"/>
      <c r="Y13115" s="1"/>
      <c r="Z13115" s="1"/>
      <c r="AA13115" s="1"/>
      <c r="AB13115" s="1"/>
    </row>
    <row r="13116" ht="50.25" customHeight="1">
      <c r="A13116" s="12">
        <v>13112.0</v>
      </c>
      <c r="B13116" s="13" t="s">
        <v>12428</v>
      </c>
      <c r="C13116" s="14" t="s">
        <v>12531</v>
      </c>
      <c r="D13116" s="1"/>
      <c r="E13116" s="1"/>
      <c r="F13116" s="1" t="str">
        <f>IFERROR(__xludf.DUMMYFUNCTION("GOOGLETRANSLATE(B13116, ""en"", ""fa"")
"),"سلامت روان و رفاه")</f>
        <v>سلامت روان و رفاه</v>
      </c>
      <c r="G13116" s="1" t="str">
        <f>IFERROR(__xludf.DUMMYFUNCTION("GOOGLETRANSLATE(C13116, ""en"", ""fa"")
"),"چگونه می توانم حس هدف و معنا را در زندگی خود برای بهبود سلامت روانی پرورش دهم؟")</f>
        <v>چگونه می توانم حس هدف و معنا را در زندگی خود برای بهبود سلامت روانی پرورش دهم؟</v>
      </c>
      <c r="H13116" s="1"/>
      <c r="I13116" s="1"/>
      <c r="J13116" s="1"/>
      <c r="K13116" s="1"/>
      <c r="L13116" s="1"/>
      <c r="M13116" s="1"/>
      <c r="N13116" s="1"/>
      <c r="O13116" s="1"/>
      <c r="P13116" s="1"/>
      <c r="Q13116" s="1"/>
      <c r="R13116" s="1"/>
      <c r="S13116" s="1"/>
      <c r="T13116" s="1"/>
      <c r="U13116" s="1"/>
      <c r="V13116" s="1"/>
      <c r="W13116" s="1"/>
      <c r="X13116" s="1"/>
      <c r="Y13116" s="1"/>
      <c r="Z13116" s="1"/>
      <c r="AA13116" s="1"/>
      <c r="AB13116" s="1"/>
    </row>
    <row r="13117" ht="50.25" customHeight="1">
      <c r="A13117" s="12">
        <v>13113.0</v>
      </c>
      <c r="B13117" s="13" t="s">
        <v>12428</v>
      </c>
      <c r="C13117" s="14" t="s">
        <v>12532</v>
      </c>
      <c r="D13117" s="1"/>
      <c r="E13117" s="1"/>
      <c r="F13117" s="1" t="str">
        <f>IFERROR(__xludf.DUMMYFUNCTION("GOOGLETRANSLATE(B13117, ""en"", ""fa"")
"),"سلامت روان و رفاه")</f>
        <v>سلامت روان و رفاه</v>
      </c>
      <c r="G13117" s="1" t="str">
        <f>IFERROR(__xludf.DUMMYFUNCTION("GOOGLETRANSLATE(C13117, ""en"", ""fa"")
"),"بهترین تکنیک ها برای مدیریت و کاهش علائم افسردگی پس از زایمان چیست؟")</f>
        <v>بهترین تکنیک ها برای مدیریت و کاهش علائم افسردگی پس از زایمان چیست؟</v>
      </c>
      <c r="H13117" s="1"/>
      <c r="I13117" s="1"/>
      <c r="J13117" s="1"/>
      <c r="K13117" s="1"/>
      <c r="L13117" s="1"/>
      <c r="M13117" s="1"/>
      <c r="N13117" s="1"/>
      <c r="O13117" s="1"/>
      <c r="P13117" s="1"/>
      <c r="Q13117" s="1"/>
      <c r="R13117" s="1"/>
      <c r="S13117" s="1"/>
      <c r="T13117" s="1"/>
      <c r="U13117" s="1"/>
      <c r="V13117" s="1"/>
      <c r="W13117" s="1"/>
      <c r="X13117" s="1"/>
      <c r="Y13117" s="1"/>
      <c r="Z13117" s="1"/>
      <c r="AA13117" s="1"/>
      <c r="AB13117" s="1"/>
    </row>
    <row r="13118" ht="50.25" customHeight="1">
      <c r="A13118" s="12">
        <v>13114.0</v>
      </c>
      <c r="B13118" s="13" t="s">
        <v>12428</v>
      </c>
      <c r="C13118" s="14" t="s">
        <v>12533</v>
      </c>
      <c r="D13118" s="1"/>
      <c r="E13118" s="1"/>
      <c r="F13118" s="1" t="str">
        <f>IFERROR(__xludf.DUMMYFUNCTION("GOOGLETRANSLATE(B13118, ""en"", ""fa"")
"),"سلامت روان و رفاه")</f>
        <v>سلامت روان و رفاه</v>
      </c>
      <c r="G13118" s="1" t="str">
        <f>IFERROR(__xludf.DUMMYFUNCTION("GOOGLETRANSLATE(C13118, ""en"", ""fa"")
"),"چگونه می توانم بر احساس گناه و شرمندگی برای ارتقاء شفای ذهنی غلبه کنم؟")</f>
        <v>چگونه می توانم بر احساس گناه و شرمندگی برای ارتقاء شفای ذهنی غلبه کنم؟</v>
      </c>
      <c r="H13118" s="1"/>
      <c r="I13118" s="1"/>
      <c r="J13118" s="1"/>
      <c r="K13118" s="1"/>
      <c r="L13118" s="1"/>
      <c r="M13118" s="1"/>
      <c r="N13118" s="1"/>
      <c r="O13118" s="1"/>
      <c r="P13118" s="1"/>
      <c r="Q13118" s="1"/>
      <c r="R13118" s="1"/>
      <c r="S13118" s="1"/>
      <c r="T13118" s="1"/>
      <c r="U13118" s="1"/>
      <c r="V13118" s="1"/>
      <c r="W13118" s="1"/>
      <c r="X13118" s="1"/>
      <c r="Y13118" s="1"/>
      <c r="Z13118" s="1"/>
      <c r="AA13118" s="1"/>
      <c r="AB13118" s="1"/>
    </row>
    <row r="13119" ht="50.25" customHeight="1">
      <c r="A13119" s="12">
        <v>13115.0</v>
      </c>
      <c r="B13119" s="13" t="s">
        <v>12428</v>
      </c>
      <c r="C13119" s="14" t="s">
        <v>12534</v>
      </c>
      <c r="D13119" s="1"/>
      <c r="E13119" s="1"/>
      <c r="F13119" s="1" t="str">
        <f>IFERROR(__xludf.DUMMYFUNCTION("GOOGLETRANSLATE(B13119, ""en"", ""fa"")
"),"سلامت روان و رفاه")</f>
        <v>سلامت روان و رفاه</v>
      </c>
      <c r="G13119" s="1" t="str">
        <f>IFERROR(__xludf.DUMMYFUNCTION("GOOGLETRANSLATE(C13119, ""en"", ""fa"")
"),"آیا می توانید فعالیت هایی را برای تمرین ذهن آگاهی و خودآگاهی در طبیعت پیشنهاد دهید؟")</f>
        <v>آیا می توانید فعالیت هایی را برای تمرین ذهن آگاهی و خودآگاهی در طبیعت پیشنهاد دهید؟</v>
      </c>
      <c r="H13119" s="1"/>
      <c r="I13119" s="1"/>
      <c r="J13119" s="1"/>
      <c r="K13119" s="1"/>
      <c r="L13119" s="1"/>
      <c r="M13119" s="1"/>
      <c r="N13119" s="1"/>
      <c r="O13119" s="1"/>
      <c r="P13119" s="1"/>
      <c r="Q13119" s="1"/>
      <c r="R13119" s="1"/>
      <c r="S13119" s="1"/>
      <c r="T13119" s="1"/>
      <c r="U13119" s="1"/>
      <c r="V13119" s="1"/>
      <c r="W13119" s="1"/>
      <c r="X13119" s="1"/>
      <c r="Y13119" s="1"/>
      <c r="Z13119" s="1"/>
      <c r="AA13119" s="1"/>
      <c r="AB13119" s="1"/>
    </row>
    <row r="13120" ht="50.25" customHeight="1">
      <c r="A13120" s="12">
        <v>13116.0</v>
      </c>
      <c r="B13120" s="13" t="s">
        <v>12428</v>
      </c>
      <c r="C13120" s="14" t="s">
        <v>12535</v>
      </c>
      <c r="D13120" s="1"/>
      <c r="E13120" s="1"/>
      <c r="F13120" s="1" t="str">
        <f>IFERROR(__xludf.DUMMYFUNCTION("GOOGLETRANSLATE(B13120, ""en"", ""fa"")
"),"سلامت روان و رفاه")</f>
        <v>سلامت روان و رفاه</v>
      </c>
      <c r="G13120" s="1" t="str">
        <f>IFERROR(__xludf.DUMMYFUNCTION("GOOGLETRANSLATE(C13120, ""en"", ""fa"")
"),"راهبردهای برتر برای مدیریت و کاهش علائم اختلال نقص توجه و بیش فعالی (ADHD) چیست؟")</f>
        <v>راهبردهای برتر برای مدیریت و کاهش علائم اختلال نقص توجه و بیش فعالی (ADHD) چیست؟</v>
      </c>
      <c r="H13120" s="1"/>
      <c r="I13120" s="1"/>
      <c r="J13120" s="1"/>
      <c r="K13120" s="1"/>
      <c r="L13120" s="1"/>
      <c r="M13120" s="1"/>
      <c r="N13120" s="1"/>
      <c r="O13120" s="1"/>
      <c r="P13120" s="1"/>
      <c r="Q13120" s="1"/>
      <c r="R13120" s="1"/>
      <c r="S13120" s="1"/>
      <c r="T13120" s="1"/>
      <c r="U13120" s="1"/>
      <c r="V13120" s="1"/>
      <c r="W13120" s="1"/>
      <c r="X13120" s="1"/>
      <c r="Y13120" s="1"/>
      <c r="Z13120" s="1"/>
      <c r="AA13120" s="1"/>
      <c r="AB13120" s="1"/>
    </row>
    <row r="13121" ht="50.25" customHeight="1">
      <c r="A13121" s="12">
        <v>13117.0</v>
      </c>
      <c r="B13121" s="13" t="s">
        <v>12428</v>
      </c>
      <c r="C13121" s="14" t="s">
        <v>12565</v>
      </c>
      <c r="D13121" s="1"/>
      <c r="E13121" s="1"/>
      <c r="F13121" s="1" t="str">
        <f>IFERROR(__xludf.DUMMYFUNCTION("GOOGLETRANSLATE(B13121, ""en"", ""fa"")
"),"سلامت روان و رفاه")</f>
        <v>سلامت روان و رفاه</v>
      </c>
      <c r="G13121" s="1" t="str">
        <f>IFERROR(__xludf.DUMMYFUNCTION("GOOGLETRANSLATE(C13121, ""en"", ""fa"")
"),"چگونه می توانم در مواقع سخت، شفقت به خود را تمرین کنم و به خودم محبت کنم؟")</f>
        <v>چگونه می توانم در مواقع سخت، شفقت به خود را تمرین کنم و به خودم محبت کنم؟</v>
      </c>
      <c r="H13121" s="1"/>
      <c r="I13121" s="1"/>
      <c r="J13121" s="1"/>
      <c r="K13121" s="1"/>
      <c r="L13121" s="1"/>
      <c r="M13121" s="1"/>
      <c r="N13121" s="1"/>
      <c r="O13121" s="1"/>
      <c r="P13121" s="1"/>
      <c r="Q13121" s="1"/>
      <c r="R13121" s="1"/>
      <c r="S13121" s="1"/>
      <c r="T13121" s="1"/>
      <c r="U13121" s="1"/>
      <c r="V13121" s="1"/>
      <c r="W13121" s="1"/>
      <c r="X13121" s="1"/>
      <c r="Y13121" s="1"/>
      <c r="Z13121" s="1"/>
      <c r="AA13121" s="1"/>
      <c r="AB13121" s="1"/>
    </row>
    <row r="13122" ht="50.25" customHeight="1">
      <c r="A13122" s="12">
        <v>13118.0</v>
      </c>
      <c r="B13122" s="13" t="s">
        <v>12428</v>
      </c>
      <c r="C13122" s="14" t="s">
        <v>12566</v>
      </c>
      <c r="D13122" s="1"/>
      <c r="E13122" s="1"/>
      <c r="F13122" s="1" t="str">
        <f>IFERROR(__xludf.DUMMYFUNCTION("GOOGLETRANSLATE(B13122, ""en"", ""fa"")
"),"سلامت روان و رفاه")</f>
        <v>سلامت روان و رفاه</v>
      </c>
      <c r="G13122" s="1" t="str">
        <f>IFERROR(__xludf.DUMMYFUNCTION("GOOGLETRANSLATE(C13122, ""en"", ""fa"")
"),"بهترین شیوه ها برای مدیریت و کاهش علائم اختلال هویت تجزیه ای (DID) چیست؟")</f>
        <v>بهترین شیوه ها برای مدیریت و کاهش علائم اختلال هویت تجزیه ای (DID) چیست؟</v>
      </c>
      <c r="H13122" s="1"/>
      <c r="I13122" s="1"/>
      <c r="J13122" s="1"/>
      <c r="K13122" s="1"/>
      <c r="L13122" s="1"/>
      <c r="M13122" s="1"/>
      <c r="N13122" s="1"/>
      <c r="O13122" s="1"/>
      <c r="P13122" s="1"/>
      <c r="Q13122" s="1"/>
      <c r="R13122" s="1"/>
      <c r="S13122" s="1"/>
      <c r="T13122" s="1"/>
      <c r="U13122" s="1"/>
      <c r="V13122" s="1"/>
      <c r="W13122" s="1"/>
      <c r="X13122" s="1"/>
      <c r="Y13122" s="1"/>
      <c r="Z13122" s="1"/>
      <c r="AA13122" s="1"/>
      <c r="AB13122" s="1"/>
    </row>
    <row r="13123" ht="50.25" customHeight="1">
      <c r="A13123" s="12">
        <v>13119.0</v>
      </c>
      <c r="B13123" s="13" t="s">
        <v>12428</v>
      </c>
      <c r="C13123" s="14" t="s">
        <v>12567</v>
      </c>
      <c r="D13123" s="1"/>
      <c r="E13123" s="1"/>
      <c r="F13123" s="1" t="str">
        <f>IFERROR(__xludf.DUMMYFUNCTION("GOOGLETRANSLATE(B13123, ""en"", ""fa"")
"),"سلامت روان و رفاه")</f>
        <v>سلامت روان و رفاه</v>
      </c>
      <c r="G13123" s="1" t="str">
        <f>IFERROR(__xludf.DUMMYFUNCTION("GOOGLETRANSLATE(C13123, ""en"", ""fa"")
"),"چگونه می توانم مرزهای سالم را در زندگی شخصی و حرفه ای خود ایجاد و حفظ کنم؟")</f>
        <v>چگونه می توانم مرزهای سالم را در زندگی شخصی و حرفه ای خود ایجاد و حفظ کنم؟</v>
      </c>
      <c r="H13123" s="1"/>
      <c r="I13123" s="1"/>
      <c r="J13123" s="1"/>
      <c r="K13123" s="1"/>
      <c r="L13123" s="1"/>
      <c r="M13123" s="1"/>
      <c r="N13123" s="1"/>
      <c r="O13123" s="1"/>
      <c r="P13123" s="1"/>
      <c r="Q13123" s="1"/>
      <c r="R13123" s="1"/>
      <c r="S13123" s="1"/>
      <c r="T13123" s="1"/>
      <c r="U13123" s="1"/>
      <c r="V13123" s="1"/>
      <c r="W13123" s="1"/>
      <c r="X13123" s="1"/>
      <c r="Y13123" s="1"/>
      <c r="Z13123" s="1"/>
      <c r="AA13123" s="1"/>
      <c r="AB13123" s="1"/>
    </row>
    <row r="13124" ht="50.25" customHeight="1">
      <c r="A13124" s="12">
        <v>13120.0</v>
      </c>
      <c r="B13124" s="13" t="s">
        <v>12428</v>
      </c>
      <c r="C13124" s="14" t="s">
        <v>12568</v>
      </c>
      <c r="D13124" s="1"/>
      <c r="E13124" s="1"/>
      <c r="F13124" s="1" t="str">
        <f>IFERROR(__xludf.DUMMYFUNCTION("GOOGLETRANSLATE(B13124, ""en"", ""fa"")
"),"سلامت روان و رفاه")</f>
        <v>سلامت روان و رفاه</v>
      </c>
      <c r="G13124" s="1" t="str">
        <f>IFERROR(__xludf.DUMMYFUNCTION("GOOGLETRANSLATE(C13124, ""en"", ""fa"")
"),"آیا می توانید منابعی را برای یادگیری تکنیک های مختلف آرامش برای کاهش استرس توصیه کنید؟")</f>
        <v>آیا می توانید منابعی را برای یادگیری تکنیک های مختلف آرامش برای کاهش استرس توصیه کنید؟</v>
      </c>
      <c r="H13124" s="1"/>
      <c r="I13124" s="1"/>
      <c r="J13124" s="1"/>
      <c r="K13124" s="1"/>
      <c r="L13124" s="1"/>
      <c r="M13124" s="1"/>
      <c r="N13124" s="1"/>
      <c r="O13124" s="1"/>
      <c r="P13124" s="1"/>
      <c r="Q13124" s="1"/>
      <c r="R13124" s="1"/>
      <c r="S13124" s="1"/>
      <c r="T13124" s="1"/>
      <c r="U13124" s="1"/>
      <c r="V13124" s="1"/>
      <c r="W13124" s="1"/>
      <c r="X13124" s="1"/>
      <c r="Y13124" s="1"/>
      <c r="Z13124" s="1"/>
      <c r="AA13124" s="1"/>
      <c r="AB13124" s="1"/>
    </row>
    <row r="13125" ht="50.25" customHeight="1">
      <c r="A13125" s="12">
        <v>13121.0</v>
      </c>
      <c r="B13125" s="13" t="s">
        <v>12428</v>
      </c>
      <c r="C13125" s="14" t="s">
        <v>12569</v>
      </c>
      <c r="D13125" s="1"/>
      <c r="E13125" s="1"/>
      <c r="F13125" s="1" t="str">
        <f>IFERROR(__xludf.DUMMYFUNCTION("GOOGLETRANSLATE(B13125, ""en"", ""fa"")
"),"سلامت روان و رفاه")</f>
        <v>سلامت روان و رفاه</v>
      </c>
      <c r="G13125" s="1" t="str">
        <f>IFERROR(__xludf.DUMMYFUNCTION("GOOGLETRANSLATE(C13125, ""en"", ""fa"")
"),"نکات مهم برای ایجاد و حفظ انعطاف پذیری در زمان های چالش برانگیز چیست؟")</f>
        <v>نکات مهم برای ایجاد و حفظ انعطاف پذیری در زمان های چالش برانگیز چیست؟</v>
      </c>
      <c r="H13125" s="1"/>
      <c r="I13125" s="1"/>
      <c r="J13125" s="1"/>
      <c r="K13125" s="1"/>
      <c r="L13125" s="1"/>
      <c r="M13125" s="1"/>
      <c r="N13125" s="1"/>
      <c r="O13125" s="1"/>
      <c r="P13125" s="1"/>
      <c r="Q13125" s="1"/>
      <c r="R13125" s="1"/>
      <c r="S13125" s="1"/>
      <c r="T13125" s="1"/>
      <c r="U13125" s="1"/>
      <c r="V13125" s="1"/>
      <c r="W13125" s="1"/>
      <c r="X13125" s="1"/>
      <c r="Y13125" s="1"/>
      <c r="Z13125" s="1"/>
      <c r="AA13125" s="1"/>
      <c r="AB13125" s="1"/>
    </row>
    <row r="13126" ht="50.25" customHeight="1">
      <c r="A13126" s="12">
        <v>13122.0</v>
      </c>
      <c r="B13126" s="13" t="s">
        <v>12428</v>
      </c>
      <c r="C13126" s="14" t="s">
        <v>12570</v>
      </c>
      <c r="D13126" s="1"/>
      <c r="E13126" s="1"/>
      <c r="F13126" s="1" t="str">
        <f>IFERROR(__xludf.DUMMYFUNCTION("GOOGLETRANSLATE(B13126, ""en"", ""fa"")
"),"سلامت روان و رفاه")</f>
        <v>سلامت روان و رفاه</v>
      </c>
      <c r="G13126" s="1" t="str">
        <f>IFERROR(__xludf.DUMMYFUNCTION("GOOGLETRANSLATE(C13126, ""en"", ""fa"")
"),"چگونه می توانم طبیعت و فعالیت های بیرون از خانه را برای بهبود سلامت ذهنی در برنامه روزانه خود بگنجانم؟")</f>
        <v>چگونه می توانم طبیعت و فعالیت های بیرون از خانه را برای بهبود سلامت ذهنی در برنامه روزانه خود بگنجانم؟</v>
      </c>
      <c r="H13126" s="1"/>
      <c r="I13126" s="1"/>
      <c r="J13126" s="1"/>
      <c r="K13126" s="1"/>
      <c r="L13126" s="1"/>
      <c r="M13126" s="1"/>
      <c r="N13126" s="1"/>
      <c r="O13126" s="1"/>
      <c r="P13126" s="1"/>
      <c r="Q13126" s="1"/>
      <c r="R13126" s="1"/>
      <c r="S13126" s="1"/>
      <c r="T13126" s="1"/>
      <c r="U13126" s="1"/>
      <c r="V13126" s="1"/>
      <c r="W13126" s="1"/>
      <c r="X13126" s="1"/>
      <c r="Y13126" s="1"/>
      <c r="Z13126" s="1"/>
      <c r="AA13126" s="1"/>
      <c r="AB13126" s="1"/>
    </row>
    <row r="13127" ht="50.25" customHeight="1">
      <c r="A13127" s="12">
        <v>13123.0</v>
      </c>
      <c r="B13127" s="13" t="s">
        <v>12428</v>
      </c>
      <c r="C13127" s="14" t="s">
        <v>12571</v>
      </c>
      <c r="D13127" s="1"/>
      <c r="E13127" s="1"/>
      <c r="F13127" s="1" t="str">
        <f>IFERROR(__xludf.DUMMYFUNCTION("GOOGLETRANSLATE(B13127, ""en"", ""fa"")
"),"سلامت روان و رفاه")</f>
        <v>سلامت روان و رفاه</v>
      </c>
      <c r="G13127" s="1" t="str">
        <f>IFERROR(__xludf.DUMMYFUNCTION("GOOGLETRANSLATE(C13127, ""en"", ""fa"")
"),"بهترین راهکارها برای مدیریت و کاهش علائم اختلالات خوردن چیست؟")</f>
        <v>بهترین راهکارها برای مدیریت و کاهش علائم اختلالات خوردن چیست؟</v>
      </c>
      <c r="H13127" s="1"/>
      <c r="I13127" s="1"/>
      <c r="J13127" s="1"/>
      <c r="K13127" s="1"/>
      <c r="L13127" s="1"/>
      <c r="M13127" s="1"/>
      <c r="N13127" s="1"/>
      <c r="O13127" s="1"/>
      <c r="P13127" s="1"/>
      <c r="Q13127" s="1"/>
      <c r="R13127" s="1"/>
      <c r="S13127" s="1"/>
      <c r="T13127" s="1"/>
      <c r="U13127" s="1"/>
      <c r="V13127" s="1"/>
      <c r="W13127" s="1"/>
      <c r="X13127" s="1"/>
      <c r="Y13127" s="1"/>
      <c r="Z13127" s="1"/>
      <c r="AA13127" s="1"/>
      <c r="AB13127" s="1"/>
    </row>
    <row r="13128" ht="50.25" customHeight="1">
      <c r="A13128" s="12">
        <v>13124.0</v>
      </c>
      <c r="B13128" s="13" t="s">
        <v>12428</v>
      </c>
      <c r="C13128" s="14" t="s">
        <v>12572</v>
      </c>
      <c r="D13128" s="1"/>
      <c r="E13128" s="1"/>
      <c r="F13128" s="1" t="str">
        <f>IFERROR(__xludf.DUMMYFUNCTION("GOOGLETRANSLATE(B13128, ""en"", ""fa"")
"),"سلامت روان و رفاه")</f>
        <v>سلامت روان و رفاه</v>
      </c>
      <c r="G13128" s="1" t="str">
        <f>IFERROR(__xludf.DUMMYFUNCTION("GOOGLETRANSLATE(C13128,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128" s="1"/>
      <c r="I13128" s="1"/>
      <c r="J13128" s="1"/>
      <c r="K13128" s="1"/>
      <c r="L13128" s="1"/>
      <c r="M13128" s="1"/>
      <c r="N13128" s="1"/>
      <c r="O13128" s="1"/>
      <c r="P13128" s="1"/>
      <c r="Q13128" s="1"/>
      <c r="R13128" s="1"/>
      <c r="S13128" s="1"/>
      <c r="T13128" s="1"/>
      <c r="U13128" s="1"/>
      <c r="V13128" s="1"/>
      <c r="W13128" s="1"/>
      <c r="X13128" s="1"/>
      <c r="Y13128" s="1"/>
      <c r="Z13128" s="1"/>
      <c r="AA13128" s="1"/>
      <c r="AB13128" s="1"/>
    </row>
    <row r="13129" ht="50.25" customHeight="1">
      <c r="A13129" s="12">
        <v>13125.0</v>
      </c>
      <c r="B13129" s="13" t="s">
        <v>12428</v>
      </c>
      <c r="C13129" s="14" t="s">
        <v>12573</v>
      </c>
      <c r="D13129" s="1"/>
      <c r="E13129" s="1"/>
      <c r="F13129" s="1" t="str">
        <f>IFERROR(__xludf.DUMMYFUNCTION("GOOGLETRANSLATE(B13129, ""en"", ""fa"")
"),"سلامت روان و رفاه")</f>
        <v>سلامت روان و رفاه</v>
      </c>
      <c r="G13129" s="1" t="str">
        <f>IFERROR(__xludf.DUMMYFUNCTION("GOOGLETRANSLATE(C13129, ""en"", ""fa"")
"),"آیا می توانید تکنیک هایی برای مدیریت و کاهش علائم اسکیزوفرنی پیشنهاد دهید؟")</f>
        <v>آیا می توانید تکنیک هایی برای مدیریت و کاهش علائم اسکیزوفرنی پیشنهاد دهید؟</v>
      </c>
      <c r="H13129" s="1"/>
      <c r="I13129" s="1"/>
      <c r="J13129" s="1"/>
      <c r="K13129" s="1"/>
      <c r="L13129" s="1"/>
      <c r="M13129" s="1"/>
      <c r="N13129" s="1"/>
      <c r="O13129" s="1"/>
      <c r="P13129" s="1"/>
      <c r="Q13129" s="1"/>
      <c r="R13129" s="1"/>
      <c r="S13129" s="1"/>
      <c r="T13129" s="1"/>
      <c r="U13129" s="1"/>
      <c r="V13129" s="1"/>
      <c r="W13129" s="1"/>
      <c r="X13129" s="1"/>
      <c r="Y13129" s="1"/>
      <c r="Z13129" s="1"/>
      <c r="AA13129" s="1"/>
      <c r="AB13129" s="1"/>
    </row>
    <row r="13130" ht="50.25" customHeight="1">
      <c r="A13130" s="12">
        <v>13126.0</v>
      </c>
      <c r="B13130" s="13" t="s">
        <v>12428</v>
      </c>
      <c r="C13130" s="14" t="s">
        <v>12574</v>
      </c>
      <c r="D13130" s="1"/>
      <c r="E13130" s="1"/>
      <c r="F13130" s="1" t="str">
        <f>IFERROR(__xludf.DUMMYFUNCTION("GOOGLETRANSLATE(B13130, ""en"", ""fa"")
"),"سلامت روان و رفاه")</f>
        <v>سلامت روان و رفاه</v>
      </c>
      <c r="G13130" s="1" t="str">
        <f>IFERROR(__xludf.DUMMYFUNCTION("GOOGLETRANSLATE(C13130, ""en"", ""fa"")
"),"نکات مهم برای پرورش ذهنیت رشد و پذیرش چالش ها به عنوان فرصت هایی برای رشد شخصی چیست؟")</f>
        <v>نکات مهم برای پرورش ذهنیت رشد و پذیرش چالش ها به عنوان فرصت هایی برای رشد شخصی چیست؟</v>
      </c>
      <c r="H13130" s="1"/>
      <c r="I13130" s="1"/>
      <c r="J13130" s="1"/>
      <c r="K13130" s="1"/>
      <c r="L13130" s="1"/>
      <c r="M13130" s="1"/>
      <c r="N13130" s="1"/>
      <c r="O13130" s="1"/>
      <c r="P13130" s="1"/>
      <c r="Q13130" s="1"/>
      <c r="R13130" s="1"/>
      <c r="S13130" s="1"/>
      <c r="T13130" s="1"/>
      <c r="U13130" s="1"/>
      <c r="V13130" s="1"/>
      <c r="W13130" s="1"/>
      <c r="X13130" s="1"/>
      <c r="Y13130" s="1"/>
      <c r="Z13130" s="1"/>
      <c r="AA13130" s="1"/>
      <c r="AB13130" s="1"/>
    </row>
    <row r="13131" ht="50.25" customHeight="1">
      <c r="A13131" s="12">
        <v>13127.0</v>
      </c>
      <c r="B13131" s="13" t="s">
        <v>12428</v>
      </c>
      <c r="C13131" s="14" t="s">
        <v>12499</v>
      </c>
      <c r="D13131" s="1"/>
      <c r="E13131" s="1"/>
      <c r="F13131" s="1" t="str">
        <f>IFERROR(__xludf.DUMMYFUNCTION("GOOGLETRANSLATE(B13131, ""en"", ""fa"")
"),"سلامت روان و رفاه")</f>
        <v>سلامت روان و رفاه</v>
      </c>
      <c r="G13131" s="1" t="str">
        <f>IFERROR(__xludf.DUMMYFUNCTION("GOOGLETRANSLATE(C13131, ""en"", ""fa"")
"),"چگونه می توانم برای محافظت از سلامت روانی خود در روابط شخصی مرزهای سالم ایجاد و حفظ کنم؟")</f>
        <v>چگونه می توانم برای محافظت از سلامت روانی خود در روابط شخصی مرزهای سالم ایجاد و حفظ کنم؟</v>
      </c>
      <c r="H13131" s="1"/>
      <c r="I13131" s="1"/>
      <c r="J13131" s="1"/>
      <c r="K13131" s="1"/>
      <c r="L13131" s="1"/>
      <c r="M13131" s="1"/>
      <c r="N13131" s="1"/>
      <c r="O13131" s="1"/>
      <c r="P13131" s="1"/>
      <c r="Q13131" s="1"/>
      <c r="R13131" s="1"/>
      <c r="S13131" s="1"/>
      <c r="T13131" s="1"/>
      <c r="U13131" s="1"/>
      <c r="V13131" s="1"/>
      <c r="W13131" s="1"/>
      <c r="X13131" s="1"/>
      <c r="Y13131" s="1"/>
      <c r="Z13131" s="1"/>
      <c r="AA13131" s="1"/>
      <c r="AB13131" s="1"/>
    </row>
    <row r="13132" ht="50.25" customHeight="1">
      <c r="A13132" s="12">
        <v>13128.0</v>
      </c>
      <c r="B13132" s="13" t="s">
        <v>12428</v>
      </c>
      <c r="C13132" s="14" t="s">
        <v>12500</v>
      </c>
      <c r="D13132" s="1"/>
      <c r="E13132" s="1"/>
      <c r="F13132" s="1" t="str">
        <f>IFERROR(__xludf.DUMMYFUNCTION("GOOGLETRANSLATE(B13132, ""en"", ""fa"")
"),"سلامت روان و رفاه")</f>
        <v>سلامت روان و رفاه</v>
      </c>
      <c r="G13132" s="1" t="str">
        <f>IFERROR(__xludf.DUMMYFUNCTION("GOOGLETRANSLATE(C13132, ""en"", ""fa"")
"),"بهترین تکنیک ها برای مدیریت و کاهش علائم فوبیا و ترس چیست؟")</f>
        <v>بهترین تکنیک ها برای مدیریت و کاهش علائم فوبیا و ترس چیست؟</v>
      </c>
      <c r="H13132" s="1"/>
      <c r="I13132" s="1"/>
      <c r="J13132" s="1"/>
      <c r="K13132" s="1"/>
      <c r="L13132" s="1"/>
      <c r="M13132" s="1"/>
      <c r="N13132" s="1"/>
      <c r="O13132" s="1"/>
      <c r="P13132" s="1"/>
      <c r="Q13132" s="1"/>
      <c r="R13132" s="1"/>
      <c r="S13132" s="1"/>
      <c r="T13132" s="1"/>
      <c r="U13132" s="1"/>
      <c r="V13132" s="1"/>
      <c r="W13132" s="1"/>
      <c r="X13132" s="1"/>
      <c r="Y13132" s="1"/>
      <c r="Z13132" s="1"/>
      <c r="AA13132" s="1"/>
      <c r="AB13132" s="1"/>
    </row>
    <row r="13133" ht="50.25" customHeight="1">
      <c r="A13133" s="12">
        <v>13129.0</v>
      </c>
      <c r="B13133" s="13" t="s">
        <v>12428</v>
      </c>
      <c r="C13133" s="14" t="s">
        <v>12501</v>
      </c>
      <c r="D13133" s="1"/>
      <c r="E13133" s="1"/>
      <c r="F13133" s="1" t="str">
        <f>IFERROR(__xludf.DUMMYFUNCTION("GOOGLETRANSLATE(B13133, ""en"", ""fa"")
"),"سلامت روان و رفاه")</f>
        <v>سلامت روان و رفاه</v>
      </c>
      <c r="G13133" s="1" t="str">
        <f>IFERROR(__xludf.DUMMYFUNCTION("GOOGLETRANSLATE(C13133, ""en"", ""fa"")
"),"چگونه می توانم مکانیسم های مقابله ای سالم را برای مدیریت استرس و چالش های عاطفی ایجاد و حفظ کنم؟")</f>
        <v>چگونه می توانم مکانیسم های مقابله ای سالم را برای مدیریت استرس و چالش های عاطفی ایجاد و حفظ کنم؟</v>
      </c>
      <c r="H13133" s="1"/>
      <c r="I13133" s="1"/>
      <c r="J13133" s="1"/>
      <c r="K13133" s="1"/>
      <c r="L13133" s="1"/>
      <c r="M13133" s="1"/>
      <c r="N13133" s="1"/>
      <c r="O13133" s="1"/>
      <c r="P13133" s="1"/>
      <c r="Q13133" s="1"/>
      <c r="R13133" s="1"/>
      <c r="S13133" s="1"/>
      <c r="T13133" s="1"/>
      <c r="U13133" s="1"/>
      <c r="V13133" s="1"/>
      <c r="W13133" s="1"/>
      <c r="X13133" s="1"/>
      <c r="Y13133" s="1"/>
      <c r="Z13133" s="1"/>
      <c r="AA13133" s="1"/>
      <c r="AB13133" s="1"/>
    </row>
    <row r="13134" ht="50.25" customHeight="1">
      <c r="A13134" s="12">
        <v>13130.0</v>
      </c>
      <c r="B13134" s="13" t="s">
        <v>12428</v>
      </c>
      <c r="C13134" s="14" t="s">
        <v>12527</v>
      </c>
      <c r="D13134" s="1"/>
      <c r="E13134" s="1"/>
      <c r="F13134" s="1" t="str">
        <f>IFERROR(__xludf.DUMMYFUNCTION("GOOGLETRANSLATE(B13134, ""en"", ""fa"")
"),"سلامت روان و رفاه")</f>
        <v>سلامت روان و رفاه</v>
      </c>
      <c r="G13134" s="1" t="str">
        <f>IFERROR(__xludf.DUMMYFUNCTION("GOOGLETRANSLATE(C13134,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134" s="1"/>
      <c r="I13134" s="1"/>
      <c r="J13134" s="1"/>
      <c r="K13134" s="1"/>
      <c r="L13134" s="1"/>
      <c r="M13134" s="1"/>
      <c r="N13134" s="1"/>
      <c r="O13134" s="1"/>
      <c r="P13134" s="1"/>
      <c r="Q13134" s="1"/>
      <c r="R13134" s="1"/>
      <c r="S13134" s="1"/>
      <c r="T13134" s="1"/>
      <c r="U13134" s="1"/>
      <c r="V13134" s="1"/>
      <c r="W13134" s="1"/>
      <c r="X13134" s="1"/>
      <c r="Y13134" s="1"/>
      <c r="Z13134" s="1"/>
      <c r="AA13134" s="1"/>
      <c r="AB13134" s="1"/>
    </row>
    <row r="13135" ht="50.25" customHeight="1">
      <c r="A13135" s="12">
        <v>13131.0</v>
      </c>
      <c r="B13135" s="13" t="s">
        <v>12428</v>
      </c>
      <c r="C13135" s="14" t="s">
        <v>12503</v>
      </c>
      <c r="D13135" s="1"/>
      <c r="E13135" s="1"/>
      <c r="F13135" s="1" t="str">
        <f>IFERROR(__xludf.DUMMYFUNCTION("GOOGLETRANSLATE(B13135, ""en"", ""fa"")
"),"سلامت روان و رفاه")</f>
        <v>سلامت روان و رفاه</v>
      </c>
      <c r="G13135" s="1" t="str">
        <f>IFERROR(__xludf.DUMMYFUNCTION("GOOGLETRANSLATE(C13135, ""en"", ""fa"")
"),"نکات مهم برای ایجاد و حفظ هوش هیجانی برای روابط بین فردی بهتر چیست؟")</f>
        <v>نکات مهم برای ایجاد و حفظ هوش هیجانی برای روابط بین فردی بهتر چیست؟</v>
      </c>
      <c r="H13135" s="1"/>
      <c r="I13135" s="1"/>
      <c r="J13135" s="1"/>
      <c r="K13135" s="1"/>
      <c r="L13135" s="1"/>
      <c r="M13135" s="1"/>
      <c r="N13135" s="1"/>
      <c r="O13135" s="1"/>
      <c r="P13135" s="1"/>
      <c r="Q13135" s="1"/>
      <c r="R13135" s="1"/>
      <c r="S13135" s="1"/>
      <c r="T13135" s="1"/>
      <c r="U13135" s="1"/>
      <c r="V13135" s="1"/>
      <c r="W13135" s="1"/>
      <c r="X13135" s="1"/>
      <c r="Y13135" s="1"/>
      <c r="Z13135" s="1"/>
      <c r="AA13135" s="1"/>
      <c r="AB13135" s="1"/>
    </row>
    <row r="13136" ht="50.25" customHeight="1">
      <c r="A13136" s="12">
        <v>13132.0</v>
      </c>
      <c r="B13136" s="13" t="s">
        <v>12428</v>
      </c>
      <c r="C13136" s="14" t="s">
        <v>12504</v>
      </c>
      <c r="D13136" s="1"/>
      <c r="E13136" s="1"/>
      <c r="F13136" s="1" t="str">
        <f>IFERROR(__xludf.DUMMYFUNCTION("GOOGLETRANSLATE(B13136, ""en"", ""fa"")
"),"سلامت روان و رفاه")</f>
        <v>سلامت روان و رفاه</v>
      </c>
      <c r="G13136" s="1" t="str">
        <f>IFERROR(__xludf.DUMMYFUNCTION("GOOGLETRANSLATE(C13136, ""en"", ""fa"")
"),"چگونه می توانم شفقت به خود را تمرین کنم و خود را به خاطر اشتباهات یا کاستی های گذشته ببخشم؟")</f>
        <v>چگونه می توانم شفقت به خود را تمرین کنم و خود را به خاطر اشتباهات یا کاستی های گذشته ببخشم؟</v>
      </c>
      <c r="H13136" s="1"/>
      <c r="I13136" s="1"/>
      <c r="J13136" s="1"/>
      <c r="K13136" s="1"/>
      <c r="L13136" s="1"/>
      <c r="M13136" s="1"/>
      <c r="N13136" s="1"/>
      <c r="O13136" s="1"/>
      <c r="P13136" s="1"/>
      <c r="Q13136" s="1"/>
      <c r="R13136" s="1"/>
      <c r="S13136" s="1"/>
      <c r="T13136" s="1"/>
      <c r="U13136" s="1"/>
      <c r="V13136" s="1"/>
      <c r="W13136" s="1"/>
      <c r="X13136" s="1"/>
      <c r="Y13136" s="1"/>
      <c r="Z13136" s="1"/>
      <c r="AA13136" s="1"/>
      <c r="AB13136" s="1"/>
    </row>
    <row r="13137" ht="50.25" customHeight="1">
      <c r="A13137" s="12">
        <v>13133.0</v>
      </c>
      <c r="B13137" s="13" t="s">
        <v>12428</v>
      </c>
      <c r="C13137" s="14" t="s">
        <v>12505</v>
      </c>
      <c r="D13137" s="1"/>
      <c r="E13137" s="1"/>
      <c r="F13137" s="1" t="str">
        <f>IFERROR(__xludf.DUMMYFUNCTION("GOOGLETRANSLATE(B13137, ""en"", ""fa"")
"),"سلامت روان و رفاه")</f>
        <v>سلامت روان و رفاه</v>
      </c>
      <c r="G13137" s="1" t="str">
        <f>IFERROR(__xludf.DUMMYFUNCTION("GOOGLETRANSLATE(C13137, ""en"", ""fa"")
"),"بهترین راهکارها برای مدیریت و کاهش علائم اختلال دوقطبی چیست؟")</f>
        <v>بهترین راهکارها برای مدیریت و کاهش علائم اختلال دوقطبی چیست؟</v>
      </c>
      <c r="H13137" s="1"/>
      <c r="I13137" s="1"/>
      <c r="J13137" s="1"/>
      <c r="K13137" s="1"/>
      <c r="L13137" s="1"/>
      <c r="M13137" s="1"/>
      <c r="N13137" s="1"/>
      <c r="O13137" s="1"/>
      <c r="P13137" s="1"/>
      <c r="Q13137" s="1"/>
      <c r="R13137" s="1"/>
      <c r="S13137" s="1"/>
      <c r="T13137" s="1"/>
      <c r="U13137" s="1"/>
      <c r="V13137" s="1"/>
      <c r="W13137" s="1"/>
      <c r="X13137" s="1"/>
      <c r="Y13137" s="1"/>
      <c r="Z13137" s="1"/>
      <c r="AA13137" s="1"/>
      <c r="AB13137" s="1"/>
    </row>
    <row r="13138" ht="50.25" customHeight="1">
      <c r="A13138" s="12">
        <v>13134.0</v>
      </c>
      <c r="B13138" s="13" t="s">
        <v>12428</v>
      </c>
      <c r="C13138" s="14" t="s">
        <v>12506</v>
      </c>
      <c r="D13138" s="1"/>
      <c r="E13138" s="1"/>
      <c r="F13138" s="1" t="str">
        <f>IFERROR(__xludf.DUMMYFUNCTION("GOOGLETRANSLATE(B13138, ""en"", ""fa"")
"),"سلامت روان و رفاه")</f>
        <v>سلامت روان و رفاه</v>
      </c>
      <c r="G13138" s="1" t="str">
        <f>IFERROR(__xludf.DUMMYFUNCTION("GOOGLETRANSLATE(C13138, ""en"", ""fa"")
"),"چگونه یک برنامه صبحگاهی ایجاد کنم که از سلامت ذهنی و عاطفی من در طول روز حمایت کند؟")</f>
        <v>چگونه یک برنامه صبحگاهی ایجاد کنم که از سلامت ذهنی و عاطفی من در طول روز حمایت کند؟</v>
      </c>
      <c r="H13138" s="1"/>
      <c r="I13138" s="1"/>
      <c r="J13138" s="1"/>
      <c r="K13138" s="1"/>
      <c r="L13138" s="1"/>
      <c r="M13138" s="1"/>
      <c r="N13138" s="1"/>
      <c r="O13138" s="1"/>
      <c r="P13138" s="1"/>
      <c r="Q13138" s="1"/>
      <c r="R13138" s="1"/>
      <c r="S13138" s="1"/>
      <c r="T13138" s="1"/>
      <c r="U13138" s="1"/>
      <c r="V13138" s="1"/>
      <c r="W13138" s="1"/>
      <c r="X13138" s="1"/>
      <c r="Y13138" s="1"/>
      <c r="Z13138" s="1"/>
      <c r="AA13138" s="1"/>
      <c r="AB13138" s="1"/>
    </row>
    <row r="13139" ht="50.25" customHeight="1">
      <c r="A13139" s="12">
        <v>13135.0</v>
      </c>
      <c r="B13139" s="13" t="s">
        <v>12428</v>
      </c>
      <c r="C13139" s="14" t="s">
        <v>12582</v>
      </c>
      <c r="D13139" s="1"/>
      <c r="E13139" s="1"/>
      <c r="F13139" s="1" t="str">
        <f>IFERROR(__xludf.DUMMYFUNCTION("GOOGLETRANSLATE(B13139, ""en"", ""fa"")
"),"سلامت روان و رفاه")</f>
        <v>سلامت روان و رفاه</v>
      </c>
      <c r="G13139" s="1" t="str">
        <f>IFERROR(__xludf.DUMMYFUNCTION("GOOGLETRANSLATE(C13139, ""en"", ""fa"")
"),"آیا می توانید تکنیک هایی برای تمرین آرام سازی پیشرونده عضلانی برای کاهش استرس و اضطراب پیشنهاد دهید؟")</f>
        <v>آیا می توانید تکنیک هایی برای تمرین آرام سازی پیشرونده عضلانی برای کاهش استرس و اضطراب پیشنهاد دهید؟</v>
      </c>
      <c r="H13139" s="1"/>
      <c r="I13139" s="1"/>
      <c r="J13139" s="1"/>
      <c r="K13139" s="1"/>
      <c r="L13139" s="1"/>
      <c r="M13139" s="1"/>
      <c r="N13139" s="1"/>
      <c r="O13139" s="1"/>
      <c r="P13139" s="1"/>
      <c r="Q13139" s="1"/>
      <c r="R13139" s="1"/>
      <c r="S13139" s="1"/>
      <c r="T13139" s="1"/>
      <c r="U13139" s="1"/>
      <c r="V13139" s="1"/>
      <c r="W13139" s="1"/>
      <c r="X13139" s="1"/>
      <c r="Y13139" s="1"/>
      <c r="Z13139" s="1"/>
      <c r="AA13139" s="1"/>
      <c r="AB13139" s="1"/>
    </row>
    <row r="13140" ht="50.25" customHeight="1">
      <c r="A13140" s="12">
        <v>13136.0</v>
      </c>
      <c r="B13140" s="13" t="s">
        <v>12428</v>
      </c>
      <c r="C13140" s="14" t="s">
        <v>12508</v>
      </c>
      <c r="D13140" s="1"/>
      <c r="E13140" s="1"/>
      <c r="F13140" s="1" t="str">
        <f>IFERROR(__xludf.DUMMYFUNCTION("GOOGLETRANSLATE(B13140, ""en"", ""fa"")
"),"سلامت روان و رفاه")</f>
        <v>سلامت روان و رفاه</v>
      </c>
      <c r="G13140" s="1" t="str">
        <f>IFERROR(__xludf.DUMMYFUNCTION("GOOGLETRANSLATE(C13140, ""en"", ""fa"")
"),"نکات مهم برای ایجاد و حفظ تاب آوری در مواجهه با چالش های زندگی چیست؟")</f>
        <v>نکات مهم برای ایجاد و حفظ تاب آوری در مواجهه با چالش های زندگی چیست؟</v>
      </c>
      <c r="H13140" s="1"/>
      <c r="I13140" s="1"/>
      <c r="J13140" s="1"/>
      <c r="K13140" s="1"/>
      <c r="L13140" s="1"/>
      <c r="M13140" s="1"/>
      <c r="N13140" s="1"/>
      <c r="O13140" s="1"/>
      <c r="P13140" s="1"/>
      <c r="Q13140" s="1"/>
      <c r="R13140" s="1"/>
      <c r="S13140" s="1"/>
      <c r="T13140" s="1"/>
      <c r="U13140" s="1"/>
      <c r="V13140" s="1"/>
      <c r="W13140" s="1"/>
      <c r="X13140" s="1"/>
      <c r="Y13140" s="1"/>
      <c r="Z13140" s="1"/>
      <c r="AA13140" s="1"/>
      <c r="AB13140" s="1"/>
    </row>
    <row r="13141" ht="50.25" customHeight="1">
      <c r="A13141" s="12">
        <v>13137.0</v>
      </c>
      <c r="B13141" s="13" t="s">
        <v>12428</v>
      </c>
      <c r="C13141" s="14" t="s">
        <v>12509</v>
      </c>
      <c r="D13141" s="1"/>
      <c r="E13141" s="1"/>
      <c r="F13141" s="1" t="str">
        <f>IFERROR(__xludf.DUMMYFUNCTION("GOOGLETRANSLATE(B13141, ""en"", ""fa"")
"),"سلامت روان و رفاه")</f>
        <v>سلامت روان و رفاه</v>
      </c>
      <c r="G13141" s="1" t="str">
        <f>IFERROR(__xludf.DUMMYFUNCTION("GOOGLETRANSLATE(C13141, ""en"", ""fa"")
"),"چگونه می توانم تمرین های ذهن آگاهی را در برنامه روزانه خود بگنجانم تا وضوح و تمرکز ذهنی را ارتقاء بخشم؟")</f>
        <v>چگونه می توانم تمرین های ذهن آگاهی را در برنامه روزانه خود بگنجانم تا وضوح و تمرکز ذهنی را ارتقاء بخشم؟</v>
      </c>
      <c r="H13141" s="1"/>
      <c r="I13141" s="1"/>
      <c r="J13141" s="1"/>
      <c r="K13141" s="1"/>
      <c r="L13141" s="1"/>
      <c r="M13141" s="1"/>
      <c r="N13141" s="1"/>
      <c r="O13141" s="1"/>
      <c r="P13141" s="1"/>
      <c r="Q13141" s="1"/>
      <c r="R13141" s="1"/>
      <c r="S13141" s="1"/>
      <c r="T13141" s="1"/>
      <c r="U13141" s="1"/>
      <c r="V13141" s="1"/>
      <c r="W13141" s="1"/>
      <c r="X13141" s="1"/>
      <c r="Y13141" s="1"/>
      <c r="Z13141" s="1"/>
      <c r="AA13141" s="1"/>
      <c r="AB13141" s="1"/>
    </row>
    <row r="13142" ht="50.25" customHeight="1">
      <c r="A13142" s="12">
        <v>13138.0</v>
      </c>
      <c r="B13142" s="13" t="s">
        <v>12428</v>
      </c>
      <c r="C13142" s="14" t="s">
        <v>12510</v>
      </c>
      <c r="D13142" s="1"/>
      <c r="E13142" s="1"/>
      <c r="F13142" s="1" t="str">
        <f>IFERROR(__xludf.DUMMYFUNCTION("GOOGLETRANSLATE(B13142, ""en"", ""fa"")
"),"سلامت روان و رفاه")</f>
        <v>سلامت روان و رفاه</v>
      </c>
      <c r="G13142" s="1" t="str">
        <f>IFERROR(__xludf.DUMMYFUNCTION("GOOGLETRANSLATE(C13142, ""en"", ""fa"")
"),"بهترین منابع برای یادگیری در مورد انواع مختلف داروهای سلامت روان و اثرات آنها چیست؟")</f>
        <v>بهترین منابع برای یادگیری در مورد انواع مختلف داروهای سلامت روان و اثرات آنها چیست؟</v>
      </c>
      <c r="H13142" s="1"/>
      <c r="I13142" s="1"/>
      <c r="J13142" s="1"/>
      <c r="K13142" s="1"/>
      <c r="L13142" s="1"/>
      <c r="M13142" s="1"/>
      <c r="N13142" s="1"/>
      <c r="O13142" s="1"/>
      <c r="P13142" s="1"/>
      <c r="Q13142" s="1"/>
      <c r="R13142" s="1"/>
      <c r="S13142" s="1"/>
      <c r="T13142" s="1"/>
      <c r="U13142" s="1"/>
      <c r="V13142" s="1"/>
      <c r="W13142" s="1"/>
      <c r="X13142" s="1"/>
      <c r="Y13142" s="1"/>
      <c r="Z13142" s="1"/>
      <c r="AA13142" s="1"/>
      <c r="AB13142" s="1"/>
    </row>
    <row r="13143" ht="50.25" customHeight="1">
      <c r="A13143" s="12">
        <v>13139.0</v>
      </c>
      <c r="B13143" s="13" t="s">
        <v>12428</v>
      </c>
      <c r="C13143" s="14" t="s">
        <v>12511</v>
      </c>
      <c r="D13143" s="1"/>
      <c r="E13143" s="1"/>
      <c r="F13143" s="1" t="str">
        <f>IFERROR(__xludf.DUMMYFUNCTION("GOOGLETRANSLATE(B13143, ""en"", ""fa"")
"),"سلامت روان و رفاه")</f>
        <v>سلامت روان و رفاه</v>
      </c>
      <c r="G13143" s="1" t="str">
        <f>IFERROR(__xludf.DUMMYFUNCTION("GOOGLETRANSLATE(C13143, ""en"", ""fa"")
"),"چگونه علائم حملات پانیک را مدیریت و کاهش دهم تا دوباره حس کنترل را به دست بیاورم؟")</f>
        <v>چگونه علائم حملات پانیک را مدیریت و کاهش دهم تا دوباره حس کنترل را به دست بیاورم؟</v>
      </c>
      <c r="H13143" s="1"/>
      <c r="I13143" s="1"/>
      <c r="J13143" s="1"/>
      <c r="K13143" s="1"/>
      <c r="L13143" s="1"/>
      <c r="M13143" s="1"/>
      <c r="N13143" s="1"/>
      <c r="O13143" s="1"/>
      <c r="P13143" s="1"/>
      <c r="Q13143" s="1"/>
      <c r="R13143" s="1"/>
      <c r="S13143" s="1"/>
      <c r="T13143" s="1"/>
      <c r="U13143" s="1"/>
      <c r="V13143" s="1"/>
      <c r="W13143" s="1"/>
      <c r="X13143" s="1"/>
      <c r="Y13143" s="1"/>
      <c r="Z13143" s="1"/>
      <c r="AA13143" s="1"/>
      <c r="AB13143" s="1"/>
    </row>
    <row r="13144" ht="50.25" customHeight="1">
      <c r="A13144" s="12">
        <v>13140.0</v>
      </c>
      <c r="B13144" s="13" t="s">
        <v>12428</v>
      </c>
      <c r="C13144" s="14" t="s">
        <v>12583</v>
      </c>
      <c r="D13144" s="1"/>
      <c r="E13144" s="1"/>
      <c r="F13144" s="1" t="str">
        <f>IFERROR(__xludf.DUMMYFUNCTION("GOOGLETRANSLATE(B13144, ""en"", ""fa"")
"),"سلامت روان و رفاه")</f>
        <v>سلامت روان و رفاه</v>
      </c>
      <c r="G13144" s="1" t="str">
        <f>IFERROR(__xludf.DUMMYFUNCTION("GOOGLETRANSLATE(C13144, ""en"", ""fa"")
"),"آیا می‌توانید فعالیت‌هایی را برای ارتقای خودبیانگری و خلاقیت برای تقویت سلامت روان توصیه کنید؟")</f>
        <v>آیا می‌توانید فعالیت‌هایی را برای ارتقای خودبیانگری و خلاقیت برای تقویت سلامت روان توصیه کنید؟</v>
      </c>
      <c r="H13144" s="1"/>
      <c r="I13144" s="1"/>
      <c r="J13144" s="1"/>
      <c r="K13144" s="1"/>
      <c r="L13144" s="1"/>
      <c r="M13144" s="1"/>
      <c r="N13144" s="1"/>
      <c r="O13144" s="1"/>
      <c r="P13144" s="1"/>
      <c r="Q13144" s="1"/>
      <c r="R13144" s="1"/>
      <c r="S13144" s="1"/>
      <c r="T13144" s="1"/>
      <c r="U13144" s="1"/>
      <c r="V13144" s="1"/>
      <c r="W13144" s="1"/>
      <c r="X13144" s="1"/>
      <c r="Y13144" s="1"/>
      <c r="Z13144" s="1"/>
      <c r="AA13144" s="1"/>
      <c r="AB13144" s="1"/>
    </row>
    <row r="13145" ht="50.25" customHeight="1">
      <c r="A13145" s="12">
        <v>13141.0</v>
      </c>
      <c r="B13145" s="13" t="s">
        <v>12428</v>
      </c>
      <c r="C13145" s="14" t="s">
        <v>12513</v>
      </c>
      <c r="D13145" s="1"/>
      <c r="E13145" s="1"/>
      <c r="F13145" s="1" t="str">
        <f>IFERROR(__xludf.DUMMYFUNCTION("GOOGLETRANSLATE(B13145, ""en"", ""fa"")
"),"سلامت روان و رفاه")</f>
        <v>سلامت روان و رفاه</v>
      </c>
      <c r="G13145" s="1" t="str">
        <f>IFERROR(__xludf.DUMMYFUNCTION("GOOGLETRANSLATE(C13145, ""en"", ""fa"")
"),"راهبردهای برتر برای مدیریت و کاهش علائم اختلالات خوردن چیست؟")</f>
        <v>راهبردهای برتر برای مدیریت و کاهش علائم اختلالات خوردن چیست؟</v>
      </c>
      <c r="H13145" s="1"/>
      <c r="I13145" s="1"/>
      <c r="J13145" s="1"/>
      <c r="K13145" s="1"/>
      <c r="L13145" s="1"/>
      <c r="M13145" s="1"/>
      <c r="N13145" s="1"/>
      <c r="O13145" s="1"/>
      <c r="P13145" s="1"/>
      <c r="Q13145" s="1"/>
      <c r="R13145" s="1"/>
      <c r="S13145" s="1"/>
      <c r="T13145" s="1"/>
      <c r="U13145" s="1"/>
      <c r="V13145" s="1"/>
      <c r="W13145" s="1"/>
      <c r="X13145" s="1"/>
      <c r="Y13145" s="1"/>
      <c r="Z13145" s="1"/>
      <c r="AA13145" s="1"/>
      <c r="AB13145" s="1"/>
    </row>
    <row r="13146" ht="50.25" customHeight="1">
      <c r="A13146" s="12">
        <v>13142.0</v>
      </c>
      <c r="B13146" s="13" t="s">
        <v>12428</v>
      </c>
      <c r="C13146" s="14" t="s">
        <v>12514</v>
      </c>
      <c r="D13146" s="1"/>
      <c r="E13146" s="1"/>
      <c r="F13146" s="1" t="str">
        <f>IFERROR(__xludf.DUMMYFUNCTION("GOOGLETRANSLATE(B13146, ""en"", ""fa"")
"),"سلامت روان و رفاه")</f>
        <v>سلامت روان و رفاه</v>
      </c>
      <c r="G13146" s="1" t="str">
        <f>IFERROR(__xludf.DUMMYFUNCTION("GOOGLETRANSLATE(C13146, ""en"", ""fa"")
"),"چگونه می توانم تکنیک های زمینه سازی و تمرکز حواس را برای مدیریت احساس گسستگی یا جدایی تمرین کنم؟")</f>
        <v>چگونه می توانم تکنیک های زمینه سازی و تمرکز حواس را برای مدیریت احساس گسستگی یا جدایی تمرین کنم؟</v>
      </c>
      <c r="H13146" s="1"/>
      <c r="I13146" s="1"/>
      <c r="J13146" s="1"/>
      <c r="K13146" s="1"/>
      <c r="L13146" s="1"/>
      <c r="M13146" s="1"/>
      <c r="N13146" s="1"/>
      <c r="O13146" s="1"/>
      <c r="P13146" s="1"/>
      <c r="Q13146" s="1"/>
      <c r="R13146" s="1"/>
      <c r="S13146" s="1"/>
      <c r="T13146" s="1"/>
      <c r="U13146" s="1"/>
      <c r="V13146" s="1"/>
      <c r="W13146" s="1"/>
      <c r="X13146" s="1"/>
      <c r="Y13146" s="1"/>
      <c r="Z13146" s="1"/>
      <c r="AA13146" s="1"/>
      <c r="AB13146" s="1"/>
    </row>
    <row r="13147" ht="50.25" customHeight="1">
      <c r="A13147" s="12">
        <v>13143.0</v>
      </c>
      <c r="B13147" s="13" t="s">
        <v>12428</v>
      </c>
      <c r="C13147" s="14" t="s">
        <v>12515</v>
      </c>
      <c r="D13147" s="1"/>
      <c r="E13147" s="1"/>
      <c r="F13147" s="1" t="str">
        <f>IFERROR(__xludf.DUMMYFUNCTION("GOOGLETRANSLATE(B13147, ""en"", ""fa"")
"),"سلامت روان و رفاه")</f>
        <v>سلامت روان و رفاه</v>
      </c>
      <c r="G13147" s="1" t="str">
        <f>IFERROR(__xludf.DUMMYFUNCTION("GOOGLETRANSLATE(C13147, ""en"", ""fa"")
"),"بهترین تکنیک ها برای مدیریت و کاهش علائم اسکیزوفرنی چیست؟")</f>
        <v>بهترین تکنیک ها برای مدیریت و کاهش علائم اسکیزوفرنی چیست؟</v>
      </c>
      <c r="H13147" s="1"/>
      <c r="I13147" s="1"/>
      <c r="J13147" s="1"/>
      <c r="K13147" s="1"/>
      <c r="L13147" s="1"/>
      <c r="M13147" s="1"/>
      <c r="N13147" s="1"/>
      <c r="O13147" s="1"/>
      <c r="P13147" s="1"/>
      <c r="Q13147" s="1"/>
      <c r="R13147" s="1"/>
      <c r="S13147" s="1"/>
      <c r="T13147" s="1"/>
      <c r="U13147" s="1"/>
      <c r="V13147" s="1"/>
      <c r="W13147" s="1"/>
      <c r="X13147" s="1"/>
      <c r="Y13147" s="1"/>
      <c r="Z13147" s="1"/>
      <c r="AA13147" s="1"/>
      <c r="AB13147" s="1"/>
    </row>
    <row r="13148" ht="50.25" customHeight="1">
      <c r="A13148" s="12">
        <v>13144.0</v>
      </c>
      <c r="B13148" s="13" t="s">
        <v>12428</v>
      </c>
      <c r="C13148" s="14" t="s">
        <v>12516</v>
      </c>
      <c r="D13148" s="1"/>
      <c r="E13148" s="1"/>
      <c r="F13148" s="1" t="str">
        <f>IFERROR(__xludf.DUMMYFUNCTION("GOOGLETRANSLATE(B13148, ""en"", ""fa"")
"),"سلامت روان و رفاه")</f>
        <v>سلامت روان و رفاه</v>
      </c>
      <c r="G13148" s="1" t="str">
        <f>IFERROR(__xludf.DUMMYFUNCTION("GOOGLETRANSLATE(C13148, ""en"", ""fa"")
"),"چگونه می توانم ذهنیت رشد را پرورش دهم و چالش ها را به عنوان فرصت هایی برای رشد شخصی بپذیرم؟")</f>
        <v>چگونه می توانم ذهنیت رشد را پرورش دهم و چالش ها را به عنوان فرصت هایی برای رشد شخصی بپذیرم؟</v>
      </c>
      <c r="H13148" s="1"/>
      <c r="I13148" s="1"/>
      <c r="J13148" s="1"/>
      <c r="K13148" s="1"/>
      <c r="L13148" s="1"/>
      <c r="M13148" s="1"/>
      <c r="N13148" s="1"/>
      <c r="O13148" s="1"/>
      <c r="P13148" s="1"/>
      <c r="Q13148" s="1"/>
      <c r="R13148" s="1"/>
      <c r="S13148" s="1"/>
      <c r="T13148" s="1"/>
      <c r="U13148" s="1"/>
      <c r="V13148" s="1"/>
      <c r="W13148" s="1"/>
      <c r="X13148" s="1"/>
      <c r="Y13148" s="1"/>
      <c r="Z13148" s="1"/>
      <c r="AA13148" s="1"/>
      <c r="AB13148" s="1"/>
    </row>
    <row r="13149" ht="50.25" customHeight="1">
      <c r="A13149" s="12">
        <v>13145.0</v>
      </c>
      <c r="B13149" s="13" t="s">
        <v>12428</v>
      </c>
      <c r="C13149" s="14" t="s">
        <v>12517</v>
      </c>
      <c r="D13149" s="1"/>
      <c r="E13149" s="1"/>
      <c r="F13149" s="1" t="str">
        <f>IFERROR(__xludf.DUMMYFUNCTION("GOOGLETRANSLATE(B13149, ""en"", ""fa"")
"),"سلامت روان و رفاه")</f>
        <v>سلامت روان و رفاه</v>
      </c>
      <c r="G13149" s="1" t="str">
        <f>IFERROR(__xludf.DUMMYFUNCTION("GOOGLETRANSLATE(C13149, ""en"", ""fa"")
"),"آیا می توانید منابعی را برای یادگیری در مورد رویکردهای درمانی مختلف برای درمان سلامت روان توصیه کنید؟")</f>
        <v>آیا می توانید منابعی را برای یادگیری در مورد رویکردهای درمانی مختلف برای درمان سلامت روان توصیه کنید؟</v>
      </c>
      <c r="H13149" s="1"/>
      <c r="I13149" s="1"/>
      <c r="J13149" s="1"/>
      <c r="K13149" s="1"/>
      <c r="L13149" s="1"/>
      <c r="M13149" s="1"/>
      <c r="N13149" s="1"/>
      <c r="O13149" s="1"/>
      <c r="P13149" s="1"/>
      <c r="Q13149" s="1"/>
      <c r="R13149" s="1"/>
      <c r="S13149" s="1"/>
      <c r="T13149" s="1"/>
      <c r="U13149" s="1"/>
      <c r="V13149" s="1"/>
      <c r="W13149" s="1"/>
      <c r="X13149" s="1"/>
      <c r="Y13149" s="1"/>
      <c r="Z13149" s="1"/>
      <c r="AA13149" s="1"/>
      <c r="AB13149" s="1"/>
    </row>
    <row r="13150" ht="50.25" customHeight="1">
      <c r="A13150" s="12">
        <v>13146.0</v>
      </c>
      <c r="B13150" s="13" t="s">
        <v>12428</v>
      </c>
      <c r="C13150" s="14" t="s">
        <v>12518</v>
      </c>
      <c r="D13150" s="1"/>
      <c r="E13150" s="1"/>
      <c r="F13150" s="1" t="str">
        <f>IFERROR(__xludf.DUMMYFUNCTION("GOOGLETRANSLATE(B13150, ""en"", ""fa"")
"),"سلامت روان و رفاه")</f>
        <v>سلامت روان و رفاه</v>
      </c>
      <c r="G13150" s="1" t="str">
        <f>IFERROR(__xludf.DUMMYFUNCTION("GOOGLETRANSLATE(C13150, ""en"", ""fa"")
"),"نکات مهم برای ایجاد و حفظ مرزهای سالم در محیط های حرفه ای چیست؟")</f>
        <v>نکات مهم برای ایجاد و حفظ مرزهای سالم در محیط های حرفه ای چیست؟</v>
      </c>
      <c r="H13150" s="1"/>
      <c r="I13150" s="1"/>
      <c r="J13150" s="1"/>
      <c r="K13150" s="1"/>
      <c r="L13150" s="1"/>
      <c r="M13150" s="1"/>
      <c r="N13150" s="1"/>
      <c r="O13150" s="1"/>
      <c r="P13150" s="1"/>
      <c r="Q13150" s="1"/>
      <c r="R13150" s="1"/>
      <c r="S13150" s="1"/>
      <c r="T13150" s="1"/>
      <c r="U13150" s="1"/>
      <c r="V13150" s="1"/>
      <c r="W13150" s="1"/>
      <c r="X13150" s="1"/>
      <c r="Y13150" s="1"/>
      <c r="Z13150" s="1"/>
      <c r="AA13150" s="1"/>
      <c r="AB13150" s="1"/>
    </row>
    <row r="13151" ht="50.25" customHeight="1">
      <c r="A13151" s="12">
        <v>13147.0</v>
      </c>
      <c r="B13151" s="13" t="s">
        <v>12428</v>
      </c>
      <c r="C13151" s="14" t="s">
        <v>12519</v>
      </c>
      <c r="D13151" s="1"/>
      <c r="E13151" s="1"/>
      <c r="F13151" s="1" t="str">
        <f>IFERROR(__xludf.DUMMYFUNCTION("GOOGLETRANSLATE(B13151, ""en"", ""fa"")
"),"سلامت روان و رفاه")</f>
        <v>سلامت روان و رفاه</v>
      </c>
      <c r="G13151" s="1" t="str">
        <f>IFERROR(__xludf.DUMMYFUNCTION("GOOGLETRANSLATE(C13151, ""en"", ""fa"")
"),"چگونه می‌توانم پیاده‌روی در طبیعت و فعالیت‌های خارج از منزل را در برنامه‌های روزمره خود بگنجانم تا سلامت روانی را افزایش دهم؟")</f>
        <v>چگونه می‌توانم پیاده‌روی در طبیعت و فعالیت‌های خارج از منزل را در برنامه‌های روزمره خود بگنجانم تا سلامت روانی را افزایش دهم؟</v>
      </c>
      <c r="H13151" s="1"/>
      <c r="I13151" s="1"/>
      <c r="J13151" s="1"/>
      <c r="K13151" s="1"/>
      <c r="L13151" s="1"/>
      <c r="M13151" s="1"/>
      <c r="N13151" s="1"/>
      <c r="O13151" s="1"/>
      <c r="P13151" s="1"/>
      <c r="Q13151" s="1"/>
      <c r="R13151" s="1"/>
      <c r="S13151" s="1"/>
      <c r="T13151" s="1"/>
      <c r="U13151" s="1"/>
      <c r="V13151" s="1"/>
      <c r="W13151" s="1"/>
      <c r="X13151" s="1"/>
      <c r="Y13151" s="1"/>
      <c r="Z13151" s="1"/>
      <c r="AA13151" s="1"/>
      <c r="AB13151" s="1"/>
    </row>
    <row r="13152" ht="50.25" customHeight="1">
      <c r="A13152" s="12">
        <v>13148.0</v>
      </c>
      <c r="B13152" s="13" t="s">
        <v>12428</v>
      </c>
      <c r="C13152" s="14" t="s">
        <v>12520</v>
      </c>
      <c r="D13152" s="1"/>
      <c r="E13152" s="1"/>
      <c r="F13152" s="1" t="str">
        <f>IFERROR(__xludf.DUMMYFUNCTION("GOOGLETRANSLATE(B13152, ""en"", ""fa"")
"),"سلامت روان و رفاه")</f>
        <v>سلامت روان و رفاه</v>
      </c>
      <c r="G13152" s="1" t="str">
        <f>IFERROR(__xludf.DUMMYFUNCTION("GOOGLETRANSLATE(C13152, ""en"", ""fa"")
"),"بهترین راهکارها برای مدیریت و کاهش علائم اختلالات مصرف مواد چیست؟")</f>
        <v>بهترین راهکارها برای مدیریت و کاهش علائم اختلالات مصرف مواد چیست؟</v>
      </c>
      <c r="H13152" s="1"/>
      <c r="I13152" s="1"/>
      <c r="J13152" s="1"/>
      <c r="K13152" s="1"/>
      <c r="L13152" s="1"/>
      <c r="M13152" s="1"/>
      <c r="N13152" s="1"/>
      <c r="O13152" s="1"/>
      <c r="P13152" s="1"/>
      <c r="Q13152" s="1"/>
      <c r="R13152" s="1"/>
      <c r="S13152" s="1"/>
      <c r="T13152" s="1"/>
      <c r="U13152" s="1"/>
      <c r="V13152" s="1"/>
      <c r="W13152" s="1"/>
      <c r="X13152" s="1"/>
      <c r="Y13152" s="1"/>
      <c r="Z13152" s="1"/>
      <c r="AA13152" s="1"/>
      <c r="AB13152" s="1"/>
    </row>
    <row r="13153" ht="50.25" customHeight="1">
      <c r="A13153" s="12">
        <v>13149.0</v>
      </c>
      <c r="B13153" s="13" t="s">
        <v>12428</v>
      </c>
      <c r="C13153" s="14" t="s">
        <v>12521</v>
      </c>
      <c r="D13153" s="1"/>
      <c r="E13153" s="1"/>
      <c r="F13153" s="1" t="str">
        <f>IFERROR(__xludf.DUMMYFUNCTION("GOOGLETRANSLATE(B13153, ""en"", ""fa"")
"),"سلامت روان و رفاه")</f>
        <v>سلامت روان و رفاه</v>
      </c>
      <c r="G13153" s="1" t="str">
        <f>IFERROR(__xludf.DUMMYFUNCTION("GOOGLETRANSLATE(C13153, ""en"", ""fa"")
"),"چگونه می توانم در زندگی حرفه ای خود به احساسات شک و تردید به خود و سندرم فریبنده رسیدگی کنم و بر آن غلبه کنم؟")</f>
        <v>چگونه می توانم در زندگی حرفه ای خود به احساسات شک و تردید به خود و سندرم فریبنده رسیدگی کنم و بر آن غلبه کنم؟</v>
      </c>
      <c r="H13153" s="1"/>
      <c r="I13153" s="1"/>
      <c r="J13153" s="1"/>
      <c r="K13153" s="1"/>
      <c r="L13153" s="1"/>
      <c r="M13153" s="1"/>
      <c r="N13153" s="1"/>
      <c r="O13153" s="1"/>
      <c r="P13153" s="1"/>
      <c r="Q13153" s="1"/>
      <c r="R13153" s="1"/>
      <c r="S13153" s="1"/>
      <c r="T13153" s="1"/>
      <c r="U13153" s="1"/>
      <c r="V13153" s="1"/>
      <c r="W13153" s="1"/>
      <c r="X13153" s="1"/>
      <c r="Y13153" s="1"/>
      <c r="Z13153" s="1"/>
      <c r="AA13153" s="1"/>
      <c r="AB13153" s="1"/>
    </row>
    <row r="13154" ht="50.25" customHeight="1">
      <c r="A13154" s="12">
        <v>13150.0</v>
      </c>
      <c r="B13154" s="13" t="s">
        <v>12428</v>
      </c>
      <c r="C13154" s="14" t="s">
        <v>12522</v>
      </c>
      <c r="D13154" s="1"/>
      <c r="E13154" s="1"/>
      <c r="F13154" s="1" t="str">
        <f>IFERROR(__xludf.DUMMYFUNCTION("GOOGLETRANSLATE(B13154, ""en"", ""fa"")
"),"سلامت روان و رفاه")</f>
        <v>سلامت روان و رفاه</v>
      </c>
      <c r="G13154" s="1" t="str">
        <f>IFERROR(__xludf.DUMMYFUNCTION("GOOGLETRANSLATE(C13154, ""en"", ""fa"")
"),"آیا می‌توانید تکنیک‌هایی را برای ترویج خودگویی مثبت و به چالش کشیدن الگوهای افکار منفی پیشنهاد کنید؟")</f>
        <v>آیا می‌توانید تکنیک‌هایی را برای ترویج خودگویی مثبت و به چالش کشیدن الگوهای افکار منفی پیشنهاد کنید؟</v>
      </c>
      <c r="H13154" s="1"/>
      <c r="I13154" s="1"/>
      <c r="J13154" s="1"/>
      <c r="K13154" s="1"/>
      <c r="L13154" s="1"/>
      <c r="M13154" s="1"/>
      <c r="N13154" s="1"/>
      <c r="O13154" s="1"/>
      <c r="P13154" s="1"/>
      <c r="Q13154" s="1"/>
      <c r="R13154" s="1"/>
      <c r="S13154" s="1"/>
      <c r="T13154" s="1"/>
      <c r="U13154" s="1"/>
      <c r="V13154" s="1"/>
      <c r="W13154" s="1"/>
      <c r="X13154" s="1"/>
      <c r="Y13154" s="1"/>
      <c r="Z13154" s="1"/>
      <c r="AA13154" s="1"/>
      <c r="AB13154" s="1"/>
    </row>
    <row r="13155" ht="50.25" customHeight="1">
      <c r="A13155" s="12">
        <v>13151.0</v>
      </c>
      <c r="B13155" s="13" t="s">
        <v>12428</v>
      </c>
      <c r="C13155" s="14" t="s">
        <v>12523</v>
      </c>
      <c r="D13155" s="1"/>
      <c r="E13155" s="1"/>
      <c r="F13155" s="1" t="str">
        <f>IFERROR(__xludf.DUMMYFUNCTION("GOOGLETRANSLATE(B13155, ""en"", ""fa"")
"),"سلامت روان و رفاه")</f>
        <v>سلامت روان و رفاه</v>
      </c>
      <c r="G13155" s="1" t="str">
        <f>IFERROR(__xludf.DUMMYFUNCTION("GOOGLETRANSLATE(C13155, ""en"", ""fa"")
"),"بهترین منابع برای یادگیری در مورد انواع مختلف مدیتیشن و مزایای آنها چیست؟")</f>
        <v>بهترین منابع برای یادگیری در مورد انواع مختلف مدیتیشن و مزایای آنها چیست؟</v>
      </c>
      <c r="H13155" s="1"/>
      <c r="I13155" s="1"/>
      <c r="J13155" s="1"/>
      <c r="K13155" s="1"/>
      <c r="L13155" s="1"/>
      <c r="M13155" s="1"/>
      <c r="N13155" s="1"/>
      <c r="O13155" s="1"/>
      <c r="P13155" s="1"/>
      <c r="Q13155" s="1"/>
      <c r="R13155" s="1"/>
      <c r="S13155" s="1"/>
      <c r="T13155" s="1"/>
      <c r="U13155" s="1"/>
      <c r="V13155" s="1"/>
      <c r="W13155" s="1"/>
      <c r="X13155" s="1"/>
      <c r="Y13155" s="1"/>
      <c r="Z13155" s="1"/>
      <c r="AA13155" s="1"/>
      <c r="AB13155" s="1"/>
    </row>
    <row r="13156" ht="50.25" customHeight="1">
      <c r="A13156" s="12">
        <v>13152.0</v>
      </c>
      <c r="B13156" s="13" t="s">
        <v>12428</v>
      </c>
      <c r="C13156" s="14" t="s">
        <v>12524</v>
      </c>
      <c r="D13156" s="1"/>
      <c r="E13156" s="1"/>
      <c r="F13156" s="1" t="str">
        <f>IFERROR(__xludf.DUMMYFUNCTION("GOOGLETRANSLATE(B13156, ""en"", ""fa"")
"),"سلامت روان و رفاه")</f>
        <v>سلامت روان و رفاه</v>
      </c>
      <c r="G13156" s="1" t="str">
        <f>IFERROR(__xludf.DUMMYFUNCTION("GOOGLETRANSLATE(C13156, ""en"", ""fa"")
"),"چگونه می توانم ذهن آگاهی را در تعاملات روزانه خود تمرین کنم و مهارت های گوش دادن فعال را پرورش دهم؟")</f>
        <v>چگونه می توانم ذهن آگاهی را در تعاملات روزانه خود تمرین کنم و مهارت های گوش دادن فعال را پرورش دهم؟</v>
      </c>
      <c r="H13156" s="1"/>
      <c r="I13156" s="1"/>
      <c r="J13156" s="1"/>
      <c r="K13156" s="1"/>
      <c r="L13156" s="1"/>
      <c r="M13156" s="1"/>
      <c r="N13156" s="1"/>
      <c r="O13156" s="1"/>
      <c r="P13156" s="1"/>
      <c r="Q13156" s="1"/>
      <c r="R13156" s="1"/>
      <c r="S13156" s="1"/>
      <c r="T13156" s="1"/>
      <c r="U13156" s="1"/>
      <c r="V13156" s="1"/>
      <c r="W13156" s="1"/>
      <c r="X13156" s="1"/>
      <c r="Y13156" s="1"/>
      <c r="Z13156" s="1"/>
      <c r="AA13156" s="1"/>
      <c r="AB13156" s="1"/>
    </row>
    <row r="13157" ht="50.25" customHeight="1">
      <c r="A13157" s="12">
        <v>13153.0</v>
      </c>
      <c r="B13157" s="13" t="s">
        <v>12428</v>
      </c>
      <c r="C13157" s="14" t="s">
        <v>12525</v>
      </c>
      <c r="D13157" s="1"/>
      <c r="E13157" s="1"/>
      <c r="F13157" s="1" t="str">
        <f>IFERROR(__xludf.DUMMYFUNCTION("GOOGLETRANSLATE(B13157, ""en"", ""fa"")
"),"سلامت روان و رفاه")</f>
        <v>سلامت روان و رفاه</v>
      </c>
      <c r="G13157" s="1" t="str">
        <f>IFERROR(__xludf.DUMMYFUNCTION("GOOGLETRANSLATE(C13157, ""en"", ""fa"")
"),"بهترین راهبردها برای مدیریت و کاهش علائم اختلال شخصیت مرزی (BPD) چیست؟")</f>
        <v>بهترین راهبردها برای مدیریت و کاهش علائم اختلال شخصیت مرزی (BPD) چیست؟</v>
      </c>
      <c r="H13157" s="1"/>
      <c r="I13157" s="1"/>
      <c r="J13157" s="1"/>
      <c r="K13157" s="1"/>
      <c r="L13157" s="1"/>
      <c r="M13157" s="1"/>
      <c r="N13157" s="1"/>
      <c r="O13157" s="1"/>
      <c r="P13157" s="1"/>
      <c r="Q13157" s="1"/>
      <c r="R13157" s="1"/>
      <c r="S13157" s="1"/>
      <c r="T13157" s="1"/>
      <c r="U13157" s="1"/>
      <c r="V13157" s="1"/>
      <c r="W13157" s="1"/>
      <c r="X13157" s="1"/>
      <c r="Y13157" s="1"/>
      <c r="Z13157" s="1"/>
      <c r="AA13157" s="1"/>
      <c r="AB13157" s="1"/>
    </row>
    <row r="13158" ht="50.25" customHeight="1">
      <c r="A13158" s="12">
        <v>13154.0</v>
      </c>
      <c r="B13158" s="13" t="s">
        <v>12428</v>
      </c>
      <c r="C13158" s="14" t="s">
        <v>12526</v>
      </c>
      <c r="D13158" s="1"/>
      <c r="E13158" s="1"/>
      <c r="F13158" s="1" t="str">
        <f>IFERROR(__xludf.DUMMYFUNCTION("GOOGLETRANSLATE(B13158, ""en"", ""fa"")
"),"سلامت روان و رفاه")</f>
        <v>سلامت روان و رفاه</v>
      </c>
      <c r="G13158" s="1" t="str">
        <f>IFERROR(__xludf.DUMMYFUNCTION("GOOGLETRANSLATE(C13158, ""en"", ""fa"")
"),"چگونه می توانم یک شبکه پشتیبانی ایجاد و حفظ کنم تا در مواقع استرس و سختی به آن تکیه کنم؟")</f>
        <v>چگونه می توانم یک شبکه پشتیبانی ایجاد و حفظ کنم تا در مواقع استرس و سختی به آن تکیه کنم؟</v>
      </c>
      <c r="H13158" s="1"/>
      <c r="I13158" s="1"/>
      <c r="J13158" s="1"/>
      <c r="K13158" s="1"/>
      <c r="L13158" s="1"/>
      <c r="M13158" s="1"/>
      <c r="N13158" s="1"/>
      <c r="O13158" s="1"/>
      <c r="P13158" s="1"/>
      <c r="Q13158" s="1"/>
      <c r="R13158" s="1"/>
      <c r="S13158" s="1"/>
      <c r="T13158" s="1"/>
      <c r="U13158" s="1"/>
      <c r="V13158" s="1"/>
      <c r="W13158" s="1"/>
      <c r="X13158" s="1"/>
      <c r="Y13158" s="1"/>
      <c r="Z13158" s="1"/>
      <c r="AA13158" s="1"/>
      <c r="AB13158" s="1"/>
    </row>
    <row r="13159" ht="50.25" customHeight="1">
      <c r="A13159" s="12">
        <v>13155.0</v>
      </c>
      <c r="B13159" s="13" t="s">
        <v>12428</v>
      </c>
      <c r="C13159" s="14" t="s">
        <v>12527</v>
      </c>
      <c r="D13159" s="1"/>
      <c r="E13159" s="1"/>
      <c r="F13159" s="1" t="str">
        <f>IFERROR(__xludf.DUMMYFUNCTION("GOOGLETRANSLATE(B13159, ""en"", ""fa"")
"),"سلامت روان و رفاه")</f>
        <v>سلامت روان و رفاه</v>
      </c>
      <c r="G13159" s="1" t="str">
        <f>IFERROR(__xludf.DUMMYFUNCTION("GOOGLETRANSLATE(C13159, ""en"", ""fa"")
"),"آیا می توانید منابعی را برای یادگیری در مورد رویکردهای کل نگر مختلف به سلامت و رفاه روانی توصیه کنید؟")</f>
        <v>آیا می توانید منابعی را برای یادگیری در مورد رویکردهای کل نگر مختلف به سلامت و رفاه روانی توصیه کنید؟</v>
      </c>
      <c r="H13159" s="1"/>
      <c r="I13159" s="1"/>
      <c r="J13159" s="1"/>
      <c r="K13159" s="1"/>
      <c r="L13159" s="1"/>
      <c r="M13159" s="1"/>
      <c r="N13159" s="1"/>
      <c r="O13159" s="1"/>
      <c r="P13159" s="1"/>
      <c r="Q13159" s="1"/>
      <c r="R13159" s="1"/>
      <c r="S13159" s="1"/>
      <c r="T13159" s="1"/>
      <c r="U13159" s="1"/>
      <c r="V13159" s="1"/>
      <c r="W13159" s="1"/>
      <c r="X13159" s="1"/>
      <c r="Y13159" s="1"/>
      <c r="Z13159" s="1"/>
      <c r="AA13159" s="1"/>
      <c r="AB13159" s="1"/>
    </row>
    <row r="13160" ht="50.25" customHeight="1">
      <c r="A13160" s="12">
        <v>13156.0</v>
      </c>
      <c r="B13160" s="13" t="s">
        <v>12428</v>
      </c>
      <c r="C13160" s="14" t="s">
        <v>12528</v>
      </c>
      <c r="D13160" s="1"/>
      <c r="E13160" s="1"/>
      <c r="F13160" s="1" t="str">
        <f>IFERROR(__xludf.DUMMYFUNCTION("GOOGLETRANSLATE(B13160, ""en"", ""fa"")
"),"سلامت روان و رفاه")</f>
        <v>سلامت روان و رفاه</v>
      </c>
      <c r="G13160" s="1" t="str">
        <f>IFERROR(__xludf.DUMMYFUNCTION("GOOGLETRANSLATE(C13160, ""en"", ""fa"")
"),"نکات مهم برای ایجاد و حفظ تاب آوری عاطفی در مواجهه با چالش های زندگی چیست؟")</f>
        <v>نکات مهم برای ایجاد و حفظ تاب آوری عاطفی در مواجهه با چالش های زندگی چیست؟</v>
      </c>
      <c r="H13160" s="1"/>
      <c r="I13160" s="1"/>
      <c r="J13160" s="1"/>
      <c r="K13160" s="1"/>
      <c r="L13160" s="1"/>
      <c r="M13160" s="1"/>
      <c r="N13160" s="1"/>
      <c r="O13160" s="1"/>
      <c r="P13160" s="1"/>
      <c r="Q13160" s="1"/>
      <c r="R13160" s="1"/>
      <c r="S13160" s="1"/>
      <c r="T13160" s="1"/>
      <c r="U13160" s="1"/>
      <c r="V13160" s="1"/>
      <c r="W13160" s="1"/>
      <c r="X13160" s="1"/>
      <c r="Y13160" s="1"/>
      <c r="Z13160" s="1"/>
      <c r="AA13160" s="1"/>
      <c r="AB13160" s="1"/>
    </row>
    <row r="13161" ht="50.25" customHeight="1">
      <c r="A13161" s="12">
        <v>13157.0</v>
      </c>
      <c r="B13161" s="13" t="s">
        <v>12428</v>
      </c>
      <c r="C13161" s="14" t="s">
        <v>12531</v>
      </c>
      <c r="D13161" s="1"/>
      <c r="E13161" s="1"/>
      <c r="F13161" s="1" t="str">
        <f>IFERROR(__xludf.DUMMYFUNCTION("GOOGLETRANSLATE(B13161, ""en"", ""fa"")
"),"سلامت روان و رفاه")</f>
        <v>سلامت روان و رفاه</v>
      </c>
      <c r="G13161" s="1" t="str">
        <f>IFERROR(__xludf.DUMMYFUNCTION("GOOGLETRANSLATE(C13161, ""en"", ""fa"")
"),"چگونه می توانم حس هدف و معنا را در زندگی خود برای بهبود سلامت روانی پرورش دهم؟")</f>
        <v>چگونه می توانم حس هدف و معنا را در زندگی خود برای بهبود سلامت روانی پرورش دهم؟</v>
      </c>
      <c r="H13161" s="1"/>
      <c r="I13161" s="1"/>
      <c r="J13161" s="1"/>
      <c r="K13161" s="1"/>
      <c r="L13161" s="1"/>
      <c r="M13161" s="1"/>
      <c r="N13161" s="1"/>
      <c r="O13161" s="1"/>
      <c r="P13161" s="1"/>
      <c r="Q13161" s="1"/>
      <c r="R13161" s="1"/>
      <c r="S13161" s="1"/>
      <c r="T13161" s="1"/>
      <c r="U13161" s="1"/>
      <c r="V13161" s="1"/>
      <c r="W13161" s="1"/>
      <c r="X13161" s="1"/>
      <c r="Y13161" s="1"/>
      <c r="Z13161" s="1"/>
      <c r="AA13161" s="1"/>
      <c r="AB13161" s="1"/>
    </row>
    <row r="13162" ht="50.25" customHeight="1">
      <c r="A13162" s="12">
        <v>13158.0</v>
      </c>
      <c r="B13162" s="13" t="s">
        <v>12428</v>
      </c>
      <c r="C13162" s="14" t="s">
        <v>12532</v>
      </c>
      <c r="D13162" s="1"/>
      <c r="E13162" s="1"/>
      <c r="F13162" s="1" t="str">
        <f>IFERROR(__xludf.DUMMYFUNCTION("GOOGLETRANSLATE(B13162, ""en"", ""fa"")
"),"سلامت روان و رفاه")</f>
        <v>سلامت روان و رفاه</v>
      </c>
      <c r="G13162" s="1" t="str">
        <f>IFERROR(__xludf.DUMMYFUNCTION("GOOGLETRANSLATE(C13162, ""en"", ""fa"")
"),"بهترین تکنیک ها برای مدیریت و کاهش علائم افسردگی پس از زایمان چیست؟")</f>
        <v>بهترین تکنیک ها برای مدیریت و کاهش علائم افسردگی پس از زایمان چیست؟</v>
      </c>
      <c r="H13162" s="1"/>
      <c r="I13162" s="1"/>
      <c r="J13162" s="1"/>
      <c r="K13162" s="1"/>
      <c r="L13162" s="1"/>
      <c r="M13162" s="1"/>
      <c r="N13162" s="1"/>
      <c r="O13162" s="1"/>
      <c r="P13162" s="1"/>
      <c r="Q13162" s="1"/>
      <c r="R13162" s="1"/>
      <c r="S13162" s="1"/>
      <c r="T13162" s="1"/>
      <c r="U13162" s="1"/>
      <c r="V13162" s="1"/>
      <c r="W13162" s="1"/>
      <c r="X13162" s="1"/>
      <c r="Y13162" s="1"/>
      <c r="Z13162" s="1"/>
      <c r="AA13162" s="1"/>
      <c r="AB13162" s="1"/>
    </row>
    <row r="13163" ht="50.25" customHeight="1">
      <c r="A13163" s="12">
        <v>13159.0</v>
      </c>
      <c r="B13163" s="13" t="s">
        <v>12428</v>
      </c>
      <c r="C13163" s="14" t="s">
        <v>12533</v>
      </c>
      <c r="D13163" s="1"/>
      <c r="E13163" s="1"/>
      <c r="F13163" s="1" t="str">
        <f>IFERROR(__xludf.DUMMYFUNCTION("GOOGLETRANSLATE(B13163, ""en"", ""fa"")
"),"سلامت روان و رفاه")</f>
        <v>سلامت روان و رفاه</v>
      </c>
      <c r="G13163" s="1" t="str">
        <f>IFERROR(__xludf.DUMMYFUNCTION("GOOGLETRANSLATE(C13163, ""en"", ""fa"")
"),"چگونه می توانم بر احساس گناه و شرمندگی برای ارتقاء شفای ذهنی غلبه کنم؟")</f>
        <v>چگونه می توانم بر احساس گناه و شرمندگی برای ارتقاء شفای ذهنی غلبه کنم؟</v>
      </c>
      <c r="H13163" s="1"/>
      <c r="I13163" s="1"/>
      <c r="J13163" s="1"/>
      <c r="K13163" s="1"/>
      <c r="L13163" s="1"/>
      <c r="M13163" s="1"/>
      <c r="N13163" s="1"/>
      <c r="O13163" s="1"/>
      <c r="P13163" s="1"/>
      <c r="Q13163" s="1"/>
      <c r="R13163" s="1"/>
      <c r="S13163" s="1"/>
      <c r="T13163" s="1"/>
      <c r="U13163" s="1"/>
      <c r="V13163" s="1"/>
      <c r="W13163" s="1"/>
      <c r="X13163" s="1"/>
      <c r="Y13163" s="1"/>
      <c r="Z13163" s="1"/>
      <c r="AA13163" s="1"/>
      <c r="AB13163" s="1"/>
    </row>
    <row r="13164" ht="50.25" customHeight="1">
      <c r="A13164" s="12">
        <v>13160.0</v>
      </c>
      <c r="B13164" s="13" t="s">
        <v>12428</v>
      </c>
      <c r="C13164" s="14" t="s">
        <v>12534</v>
      </c>
      <c r="D13164" s="1"/>
      <c r="E13164" s="1"/>
      <c r="F13164" s="1" t="str">
        <f>IFERROR(__xludf.DUMMYFUNCTION("GOOGLETRANSLATE(B13164, ""en"", ""fa"")
"),"سلامت روان و رفاه")</f>
        <v>سلامت روان و رفاه</v>
      </c>
      <c r="G13164" s="1" t="str">
        <f>IFERROR(__xludf.DUMMYFUNCTION("GOOGLETRANSLATE(C13164, ""en"", ""fa"")
"),"آیا می توانید فعالیت هایی را برای تمرین ذهن آگاهی و خودآگاهی در طبیعت پیشنهاد دهید؟")</f>
        <v>آیا می توانید فعالیت هایی را برای تمرین ذهن آگاهی و خودآگاهی در طبیعت پیشنهاد دهید؟</v>
      </c>
      <c r="H13164" s="1"/>
      <c r="I13164" s="1"/>
      <c r="J13164" s="1"/>
      <c r="K13164" s="1"/>
      <c r="L13164" s="1"/>
      <c r="M13164" s="1"/>
      <c r="N13164" s="1"/>
      <c r="O13164" s="1"/>
      <c r="P13164" s="1"/>
      <c r="Q13164" s="1"/>
      <c r="R13164" s="1"/>
      <c r="S13164" s="1"/>
      <c r="T13164" s="1"/>
      <c r="U13164" s="1"/>
      <c r="V13164" s="1"/>
      <c r="W13164" s="1"/>
      <c r="X13164" s="1"/>
      <c r="Y13164" s="1"/>
      <c r="Z13164" s="1"/>
      <c r="AA13164" s="1"/>
      <c r="AB13164" s="1"/>
    </row>
    <row r="13165" ht="50.25" customHeight="1">
      <c r="A13165" s="12">
        <v>13161.0</v>
      </c>
      <c r="B13165" s="13" t="s">
        <v>12594</v>
      </c>
      <c r="C13165" s="14" t="s">
        <v>12595</v>
      </c>
      <c r="D13165" s="1"/>
      <c r="E13165" s="1"/>
      <c r="F13165" s="1" t="str">
        <f>IFERROR(__xludf.DUMMYFUNCTION("GOOGLETRANSLATE(B13165, ""en"", ""fa"")
"),"صنایع دستی و پروژه های DIY")</f>
        <v>صنایع دستی و پروژه های DIY</v>
      </c>
      <c r="G13165" s="1" t="str">
        <f>IFERROR(__xludf.DUMMYFUNCTION("GOOGLETRANSLATE(C13165, ""en"", ""fa"")
"),"چگونه می توانم یک آلبوم عکس شخصی ایجاد کنم تا خاطرات ارزشمند خود را گرامی بدارم؟")</f>
        <v>چگونه می توانم یک آلبوم عکس شخصی ایجاد کنم تا خاطرات ارزشمند خود را گرامی بدارم؟</v>
      </c>
      <c r="H13165" s="1"/>
      <c r="I13165" s="1"/>
      <c r="J13165" s="1"/>
      <c r="K13165" s="1"/>
      <c r="L13165" s="1"/>
      <c r="M13165" s="1"/>
      <c r="N13165" s="1"/>
      <c r="O13165" s="1"/>
      <c r="P13165" s="1"/>
      <c r="Q13165" s="1"/>
      <c r="R13165" s="1"/>
      <c r="S13165" s="1"/>
      <c r="T13165" s="1"/>
      <c r="U13165" s="1"/>
      <c r="V13165" s="1"/>
      <c r="W13165" s="1"/>
      <c r="X13165" s="1"/>
      <c r="Y13165" s="1"/>
      <c r="Z13165" s="1"/>
      <c r="AA13165" s="1"/>
      <c r="AB13165" s="1"/>
    </row>
    <row r="13166" ht="50.25" customHeight="1">
      <c r="A13166" s="12">
        <v>13162.0</v>
      </c>
      <c r="B13166" s="13" t="s">
        <v>12594</v>
      </c>
      <c r="C13166" s="14" t="s">
        <v>12596</v>
      </c>
      <c r="D13166" s="1"/>
      <c r="E13166" s="1"/>
      <c r="F13166" s="1" t="str">
        <f>IFERROR(__xludf.DUMMYFUNCTION("GOOGLETRANSLATE(B13166, ""en"", ""fa"")
"),"صنایع دستی و پروژه های DIY")</f>
        <v>صنایع دستی و پروژه های DIY</v>
      </c>
      <c r="G13166" s="1" t="str">
        <f>IFERROR(__xludf.DUMMYFUNCTION("GOOGLETRANSLATE(C13166, ""en"", ""fa"")
"),"چند ایده منحصر به فرد برای طراحی کارت پستال های خانگی برای مناسبت های خاص چیست؟")</f>
        <v>چند ایده منحصر به فرد برای طراحی کارت پستال های خانگی برای مناسبت های خاص چیست؟</v>
      </c>
      <c r="H13166" s="1"/>
      <c r="I13166" s="1"/>
      <c r="J13166" s="1"/>
      <c r="K13166" s="1"/>
      <c r="L13166" s="1"/>
      <c r="M13166" s="1"/>
      <c r="N13166" s="1"/>
      <c r="O13166" s="1"/>
      <c r="P13166" s="1"/>
      <c r="Q13166" s="1"/>
      <c r="R13166" s="1"/>
      <c r="S13166" s="1"/>
      <c r="T13166" s="1"/>
      <c r="U13166" s="1"/>
      <c r="V13166" s="1"/>
      <c r="W13166" s="1"/>
      <c r="X13166" s="1"/>
      <c r="Y13166" s="1"/>
      <c r="Z13166" s="1"/>
      <c r="AA13166" s="1"/>
      <c r="AB13166" s="1"/>
    </row>
    <row r="13167" ht="50.25" customHeight="1">
      <c r="A13167" s="12">
        <v>13163.0</v>
      </c>
      <c r="B13167" s="13" t="s">
        <v>12594</v>
      </c>
      <c r="C13167" s="14" t="s">
        <v>12597</v>
      </c>
      <c r="D13167" s="1"/>
      <c r="E13167" s="1"/>
      <c r="F13167" s="1" t="str">
        <f>IFERROR(__xludf.DUMMYFUNCTION("GOOGLETRANSLATE(B13167, ""en"", ""fa"")
"),"صنایع دستی و پروژه های DIY")</f>
        <v>صنایع دستی و پروژه های DIY</v>
      </c>
      <c r="G13167" s="1" t="str">
        <f>IFERROR(__xludf.DUMMYFUNCTION("GOOGLETRANSLATE(C13167, ""en"", ""fa"")
"),"آیا می توانید راه های ساده و خلاقانه ای برای تبدیل مبلمان قدیمی به قطعات شیک پیشنهاد دهید؟")</f>
        <v>آیا می توانید راه های ساده و خلاقانه ای برای تبدیل مبلمان قدیمی به قطعات شیک پیشنهاد دهید؟</v>
      </c>
      <c r="H13167" s="1"/>
      <c r="I13167" s="1"/>
      <c r="J13167" s="1"/>
      <c r="K13167" s="1"/>
      <c r="L13167" s="1"/>
      <c r="M13167" s="1"/>
      <c r="N13167" s="1"/>
      <c r="O13167" s="1"/>
      <c r="P13167" s="1"/>
      <c r="Q13167" s="1"/>
      <c r="R13167" s="1"/>
      <c r="S13167" s="1"/>
      <c r="T13167" s="1"/>
      <c r="U13167" s="1"/>
      <c r="V13167" s="1"/>
      <c r="W13167" s="1"/>
      <c r="X13167" s="1"/>
      <c r="Y13167" s="1"/>
      <c r="Z13167" s="1"/>
      <c r="AA13167" s="1"/>
      <c r="AB13167" s="1"/>
    </row>
    <row r="13168" ht="50.25" customHeight="1">
      <c r="A13168" s="12">
        <v>13164.0</v>
      </c>
      <c r="B13168" s="13" t="s">
        <v>12594</v>
      </c>
      <c r="C13168" s="14" t="s">
        <v>12598</v>
      </c>
      <c r="D13168" s="1"/>
      <c r="E13168" s="1"/>
      <c r="F13168" s="1" t="str">
        <f>IFERROR(__xludf.DUMMYFUNCTION("GOOGLETRANSLATE(B13168, ""en"", ""fa"")
"),"صنایع دستی و پروژه های DIY")</f>
        <v>صنایع دستی و پروژه های DIY</v>
      </c>
      <c r="G13168" s="1" t="str">
        <f>IFERROR(__xludf.DUMMYFUNCTION("GOOGLETRANSLATE(C13168, ""en"", ""fa"")
"),"چگونه می توانم شمع های معطر خود را با مواد طبیعی برای محیطی دنج بسازم؟")</f>
        <v>چگونه می توانم شمع های معطر خود را با مواد طبیعی برای محیطی دنج بسازم؟</v>
      </c>
      <c r="H13168" s="1"/>
      <c r="I13168" s="1"/>
      <c r="J13168" s="1"/>
      <c r="K13168" s="1"/>
      <c r="L13168" s="1"/>
      <c r="M13168" s="1"/>
      <c r="N13168" s="1"/>
      <c r="O13168" s="1"/>
      <c r="P13168" s="1"/>
      <c r="Q13168" s="1"/>
      <c r="R13168" s="1"/>
      <c r="S13168" s="1"/>
      <c r="T13168" s="1"/>
      <c r="U13168" s="1"/>
      <c r="V13168" s="1"/>
      <c r="W13168" s="1"/>
      <c r="X13168" s="1"/>
      <c r="Y13168" s="1"/>
      <c r="Z13168" s="1"/>
      <c r="AA13168" s="1"/>
      <c r="AB13168" s="1"/>
    </row>
    <row r="13169" ht="50.25" customHeight="1">
      <c r="A13169" s="12">
        <v>13165.0</v>
      </c>
      <c r="B13169" s="13" t="s">
        <v>12594</v>
      </c>
      <c r="C13169" s="14" t="s">
        <v>12599</v>
      </c>
      <c r="D13169" s="1"/>
      <c r="E13169" s="1"/>
      <c r="F13169" s="1" t="str">
        <f>IFERROR(__xludf.DUMMYFUNCTION("GOOGLETRANSLATE(B13169, ""en"", ""fa"")
"),"صنایع دستی و پروژه های DIY")</f>
        <v>صنایع دستی و پروژه های DIY</v>
      </c>
      <c r="G13169" s="1" t="str">
        <f>IFERROR(__xludf.DUMMYFUNCTION("GOOGLETRANSLATE(C13169, ""en"", ""fa"")
"),"مراحل ساخت یک رویاگیر دست ساز زیبا برای خواب بهتر چیست؟")</f>
        <v>مراحل ساخت یک رویاگیر دست ساز زیبا برای خواب بهتر چیست؟</v>
      </c>
      <c r="H13169" s="1"/>
      <c r="I13169" s="1"/>
      <c r="J13169" s="1"/>
      <c r="K13169" s="1"/>
      <c r="L13169" s="1"/>
      <c r="M13169" s="1"/>
      <c r="N13169" s="1"/>
      <c r="O13169" s="1"/>
      <c r="P13169" s="1"/>
      <c r="Q13169" s="1"/>
      <c r="R13169" s="1"/>
      <c r="S13169" s="1"/>
      <c r="T13169" s="1"/>
      <c r="U13169" s="1"/>
      <c r="V13169" s="1"/>
      <c r="W13169" s="1"/>
      <c r="X13169" s="1"/>
      <c r="Y13169" s="1"/>
      <c r="Z13169" s="1"/>
      <c r="AA13169" s="1"/>
      <c r="AB13169" s="1"/>
    </row>
    <row r="13170" ht="50.25" customHeight="1">
      <c r="A13170" s="12">
        <v>13166.0</v>
      </c>
      <c r="B13170" s="13" t="s">
        <v>12594</v>
      </c>
      <c r="C13170" s="14" t="s">
        <v>12600</v>
      </c>
      <c r="D13170" s="1"/>
      <c r="E13170" s="1"/>
      <c r="F13170" s="1" t="str">
        <f>IFERROR(__xludf.DUMMYFUNCTION("GOOGLETRANSLATE(B13170, ""en"", ""fa"")
"),"صنایع دستی و پروژه های DIY")</f>
        <v>صنایع دستی و پروژه های DIY</v>
      </c>
      <c r="G13170" s="1" t="str">
        <f>IFERROR(__xludf.DUMMYFUNCTION("GOOGLETRANSLATE(C13170, ""en"", ""fa"")
"),"آیا می توانید تکنیک های DIY را برای نقاشی و تزئین لیوان های سرامیکی ساده توصیه کنید؟")</f>
        <v>آیا می توانید تکنیک های DIY را برای نقاشی و تزئین لیوان های سرامیکی ساده توصیه کنید؟</v>
      </c>
      <c r="H13170" s="1"/>
      <c r="I13170" s="1"/>
      <c r="J13170" s="1"/>
      <c r="K13170" s="1"/>
      <c r="L13170" s="1"/>
      <c r="M13170" s="1"/>
      <c r="N13170" s="1"/>
      <c r="O13170" s="1"/>
      <c r="P13170" s="1"/>
      <c r="Q13170" s="1"/>
      <c r="R13170" s="1"/>
      <c r="S13170" s="1"/>
      <c r="T13170" s="1"/>
      <c r="U13170" s="1"/>
      <c r="V13170" s="1"/>
      <c r="W13170" s="1"/>
      <c r="X13170" s="1"/>
      <c r="Y13170" s="1"/>
      <c r="Z13170" s="1"/>
      <c r="AA13170" s="1"/>
      <c r="AB13170" s="1"/>
    </row>
    <row r="13171" ht="50.25" customHeight="1">
      <c r="A13171" s="12">
        <v>13167.0</v>
      </c>
      <c r="B13171" s="13" t="s">
        <v>12594</v>
      </c>
      <c r="C13171" s="14" t="s">
        <v>12601</v>
      </c>
      <c r="D13171" s="1"/>
      <c r="E13171" s="1"/>
      <c r="F13171" s="1" t="str">
        <f>IFERROR(__xludf.DUMMYFUNCTION("GOOGLETRANSLATE(B13171, ""en"", ""fa"")
"),"صنایع دستی و پروژه های DIY")</f>
        <v>صنایع دستی و پروژه های DIY</v>
      </c>
      <c r="G13171" s="1" t="str">
        <f>IFERROR(__xludf.DUMMYFUNCTION("GOOGLETRANSLATE(C13171, ""en"", ""fa"")
"),"چگونه می توانم کیف های دستی سفارشی خودم را با پارچه دلخواهم طراحی و بدوزم؟")</f>
        <v>چگونه می توانم کیف های دستی سفارشی خودم را با پارچه دلخواهم طراحی و بدوزم؟</v>
      </c>
      <c r="H13171" s="1"/>
      <c r="I13171" s="1"/>
      <c r="J13171" s="1"/>
      <c r="K13171" s="1"/>
      <c r="L13171" s="1"/>
      <c r="M13171" s="1"/>
      <c r="N13171" s="1"/>
      <c r="O13171" s="1"/>
      <c r="P13171" s="1"/>
      <c r="Q13171" s="1"/>
      <c r="R13171" s="1"/>
      <c r="S13171" s="1"/>
      <c r="T13171" s="1"/>
      <c r="U13171" s="1"/>
      <c r="V13171" s="1"/>
      <c r="W13171" s="1"/>
      <c r="X13171" s="1"/>
      <c r="Y13171" s="1"/>
      <c r="Z13171" s="1"/>
      <c r="AA13171" s="1"/>
      <c r="AB13171" s="1"/>
    </row>
    <row r="13172" ht="50.25" customHeight="1">
      <c r="A13172" s="12">
        <v>13168.0</v>
      </c>
      <c r="B13172" s="13" t="s">
        <v>12594</v>
      </c>
      <c r="C13172" s="14" t="s">
        <v>12602</v>
      </c>
      <c r="D13172" s="1"/>
      <c r="E13172" s="1"/>
      <c r="F13172" s="1" t="str">
        <f>IFERROR(__xludf.DUMMYFUNCTION("GOOGLETRANSLATE(B13172, ""en"", ""fa"")
"),"صنایع دستی و پروژه های DIY")</f>
        <v>صنایع دستی و پروژه های DIY</v>
      </c>
      <c r="G13172" s="1" t="str">
        <f>IFERROR(__xludf.DUMMYFUNCTION("GOOGLETRANSLATE(C13172, ""en"", ""fa"")
"),"چند ایده سرگرم کننده و دوستدار محیط زیست برای ایجاد گلدان های DIY با استفاده از مواد بازیافتی چیست؟")</f>
        <v>چند ایده سرگرم کننده و دوستدار محیط زیست برای ایجاد گلدان های DIY با استفاده از مواد بازیافتی چیست؟</v>
      </c>
      <c r="H13172" s="1"/>
      <c r="I13172" s="1"/>
      <c r="J13172" s="1"/>
      <c r="K13172" s="1"/>
      <c r="L13172" s="1"/>
      <c r="M13172" s="1"/>
      <c r="N13172" s="1"/>
      <c r="O13172" s="1"/>
      <c r="P13172" s="1"/>
      <c r="Q13172" s="1"/>
      <c r="R13172" s="1"/>
      <c r="S13172" s="1"/>
      <c r="T13172" s="1"/>
      <c r="U13172" s="1"/>
      <c r="V13172" s="1"/>
      <c r="W13172" s="1"/>
      <c r="X13172" s="1"/>
      <c r="Y13172" s="1"/>
      <c r="Z13172" s="1"/>
      <c r="AA13172" s="1"/>
      <c r="AB13172" s="1"/>
    </row>
    <row r="13173" ht="50.25" customHeight="1">
      <c r="A13173" s="12">
        <v>13169.0</v>
      </c>
      <c r="B13173" s="13" t="s">
        <v>12594</v>
      </c>
      <c r="C13173" s="14" t="s">
        <v>12603</v>
      </c>
      <c r="D13173" s="1"/>
      <c r="E13173" s="1"/>
      <c r="F13173" s="1" t="str">
        <f>IFERROR(__xludf.DUMMYFUNCTION("GOOGLETRANSLATE(B13173, ""en"", ""fa"")
"),"صنایع دستی و پروژه های DIY")</f>
        <v>صنایع دستی و پروژه های DIY</v>
      </c>
      <c r="G13173" s="1" t="str">
        <f>IFERROR(__xludf.DUMMYFUNCTION("GOOGLETRANSLATE(C13173, ""en"", ""fa"")
"),"چگونه می توانم بمب های حمام خانگی با روغن های ضروری برای یک تجربه حمام آرامش بخش درست کنم؟")</f>
        <v>چگونه می توانم بمب های حمام خانگی با روغن های ضروری برای یک تجربه حمام آرامش بخش درست کنم؟</v>
      </c>
      <c r="H13173" s="1"/>
      <c r="I13173" s="1"/>
      <c r="J13173" s="1"/>
      <c r="K13173" s="1"/>
      <c r="L13173" s="1"/>
      <c r="M13173" s="1"/>
      <c r="N13173" s="1"/>
      <c r="O13173" s="1"/>
      <c r="P13173" s="1"/>
      <c r="Q13173" s="1"/>
      <c r="R13173" s="1"/>
      <c r="S13173" s="1"/>
      <c r="T13173" s="1"/>
      <c r="U13173" s="1"/>
      <c r="V13173" s="1"/>
      <c r="W13173" s="1"/>
      <c r="X13173" s="1"/>
      <c r="Y13173" s="1"/>
      <c r="Z13173" s="1"/>
      <c r="AA13173" s="1"/>
      <c r="AB13173" s="1"/>
    </row>
    <row r="13174" ht="50.25" customHeight="1">
      <c r="A13174" s="12">
        <v>13170.0</v>
      </c>
      <c r="B13174" s="13" t="s">
        <v>12594</v>
      </c>
      <c r="C13174" s="14" t="s">
        <v>12604</v>
      </c>
      <c r="D13174" s="1"/>
      <c r="E13174" s="1"/>
      <c r="F13174" s="1" t="str">
        <f>IFERROR(__xludf.DUMMYFUNCTION("GOOGLETRANSLATE(B13174, ""en"", ""fa"")
"),"صنایع دستی و پروژه های DIY")</f>
        <v>صنایع دستی و پروژه های DIY</v>
      </c>
      <c r="G13174" s="1" t="str">
        <f>IFERROR(__xludf.DUMMYFUNCTION("GOOGLETRANSLATE(C13174, ""en"", ""fa"")
"),"آیا می توانید راه های خلاقانه ای برای شخصی سازی تی شرت های ساده با رنگ پارچه و شابلون پیشنهاد دهید؟")</f>
        <v>آیا می توانید راه های خلاقانه ای برای شخصی سازی تی شرت های ساده با رنگ پارچه و شابلون پیشنهاد دهید؟</v>
      </c>
      <c r="H13174" s="1"/>
      <c r="I13174" s="1"/>
      <c r="J13174" s="1"/>
      <c r="K13174" s="1"/>
      <c r="L13174" s="1"/>
      <c r="M13174" s="1"/>
      <c r="N13174" s="1"/>
      <c r="O13174" s="1"/>
      <c r="P13174" s="1"/>
      <c r="Q13174" s="1"/>
      <c r="R13174" s="1"/>
      <c r="S13174" s="1"/>
      <c r="T13174" s="1"/>
      <c r="U13174" s="1"/>
      <c r="V13174" s="1"/>
      <c r="W13174" s="1"/>
      <c r="X13174" s="1"/>
      <c r="Y13174" s="1"/>
      <c r="Z13174" s="1"/>
      <c r="AA13174" s="1"/>
      <c r="AB13174" s="1"/>
    </row>
    <row r="13175" ht="50.25" customHeight="1">
      <c r="A13175" s="12">
        <v>13171.0</v>
      </c>
      <c r="B13175" s="13" t="s">
        <v>12594</v>
      </c>
      <c r="C13175" s="14" t="s">
        <v>12605</v>
      </c>
      <c r="D13175" s="1"/>
      <c r="E13175" s="1"/>
      <c r="F13175" s="1" t="str">
        <f>IFERROR(__xludf.DUMMYFUNCTION("GOOGLETRANSLATE(B13175, ""en"", ""fa"")
"),"صنایع دستی و پروژه های DIY")</f>
        <v>صنایع دستی و پروژه های DIY</v>
      </c>
      <c r="G13175" s="1" t="str">
        <f>IFERROR(__xludf.DUMMYFUNCTION("GOOGLETRANSLATE(C13175, ""en"", ""fa"")
"),"مراحل ساخت یک قفسه کتاب چوبی از ابتدا برای خانه من چیست؟")</f>
        <v>مراحل ساخت یک قفسه کتاب چوبی از ابتدا برای خانه من چیست؟</v>
      </c>
      <c r="H13175" s="1"/>
      <c r="I13175" s="1"/>
      <c r="J13175" s="1"/>
      <c r="K13175" s="1"/>
      <c r="L13175" s="1"/>
      <c r="M13175" s="1"/>
      <c r="N13175" s="1"/>
      <c r="O13175" s="1"/>
      <c r="P13175" s="1"/>
      <c r="Q13175" s="1"/>
      <c r="R13175" s="1"/>
      <c r="S13175" s="1"/>
      <c r="T13175" s="1"/>
      <c r="U13175" s="1"/>
      <c r="V13175" s="1"/>
      <c r="W13175" s="1"/>
      <c r="X13175" s="1"/>
      <c r="Y13175" s="1"/>
      <c r="Z13175" s="1"/>
      <c r="AA13175" s="1"/>
      <c r="AB13175" s="1"/>
    </row>
    <row r="13176" ht="50.25" customHeight="1">
      <c r="A13176" s="12">
        <v>13172.0</v>
      </c>
      <c r="B13176" s="13" t="s">
        <v>12594</v>
      </c>
      <c r="C13176" s="14" t="s">
        <v>12606</v>
      </c>
      <c r="D13176" s="1"/>
      <c r="E13176" s="1"/>
      <c r="F13176" s="1" t="str">
        <f>IFERROR(__xludf.DUMMYFUNCTION("GOOGLETRANSLATE(B13176, ""en"", ""fa"")
"),"صنایع دستی و پروژه های DIY")</f>
        <v>صنایع دستی و پروژه های DIY</v>
      </c>
      <c r="G13176" s="1" t="str">
        <f>IFERROR(__xludf.DUMMYFUNCTION("GOOGLETRANSLATE(C13176, ""en"", ""fa"")
"),"چگونه می توانم شیشه های سنگ تراشی را به فانوس های روستایی برای دکوراسیون فضای باز تبدیل کنم؟")</f>
        <v>چگونه می توانم شیشه های سنگ تراشی را به فانوس های روستایی برای دکوراسیون فضای باز تبدیل کنم؟</v>
      </c>
      <c r="H13176" s="1"/>
      <c r="I13176" s="1"/>
      <c r="J13176" s="1"/>
      <c r="K13176" s="1"/>
      <c r="L13176" s="1"/>
      <c r="M13176" s="1"/>
      <c r="N13176" s="1"/>
      <c r="O13176" s="1"/>
      <c r="P13176" s="1"/>
      <c r="Q13176" s="1"/>
      <c r="R13176" s="1"/>
      <c r="S13176" s="1"/>
      <c r="T13176" s="1"/>
      <c r="U13176" s="1"/>
      <c r="V13176" s="1"/>
      <c r="W13176" s="1"/>
      <c r="X13176" s="1"/>
      <c r="Y13176" s="1"/>
      <c r="Z13176" s="1"/>
      <c r="AA13176" s="1"/>
      <c r="AB13176" s="1"/>
    </row>
    <row r="13177" ht="50.25" customHeight="1">
      <c r="A13177" s="12">
        <v>13173.0</v>
      </c>
      <c r="B13177" s="13" t="s">
        <v>12594</v>
      </c>
      <c r="C13177" s="14" t="s">
        <v>12607</v>
      </c>
      <c r="D13177" s="1"/>
      <c r="E13177" s="1"/>
      <c r="F13177" s="1" t="str">
        <f>IFERROR(__xludf.DUMMYFUNCTION("GOOGLETRANSLATE(B13177, ""en"", ""fa"")
"),"صنایع دستی و پروژه های DIY")</f>
        <v>صنایع دستی و پروژه های DIY</v>
      </c>
      <c r="G13177" s="1" t="str">
        <f>IFERROR(__xludf.DUMMYFUNCTION("GOOGLETRANSLATE(C13177, ""en"", ""fa"")
"),"آیا می توانید تکنیک های DIY را برای تهیه صابون طبیعی خانگی با مواد مغذی توصیه کنید؟")</f>
        <v>آیا می توانید تکنیک های DIY را برای تهیه صابون طبیعی خانگی با مواد مغذی توصیه کنید؟</v>
      </c>
      <c r="H13177" s="1"/>
      <c r="I13177" s="1"/>
      <c r="J13177" s="1"/>
      <c r="K13177" s="1"/>
      <c r="L13177" s="1"/>
      <c r="M13177" s="1"/>
      <c r="N13177" s="1"/>
      <c r="O13177" s="1"/>
      <c r="P13177" s="1"/>
      <c r="Q13177" s="1"/>
      <c r="R13177" s="1"/>
      <c r="S13177" s="1"/>
      <c r="T13177" s="1"/>
      <c r="U13177" s="1"/>
      <c r="V13177" s="1"/>
      <c r="W13177" s="1"/>
      <c r="X13177" s="1"/>
      <c r="Y13177" s="1"/>
      <c r="Z13177" s="1"/>
      <c r="AA13177" s="1"/>
      <c r="AB13177" s="1"/>
    </row>
    <row r="13178" ht="50.25" customHeight="1">
      <c r="A13178" s="12">
        <v>13174.0</v>
      </c>
      <c r="B13178" s="13" t="s">
        <v>12594</v>
      </c>
      <c r="C13178" s="14" t="s">
        <v>12608</v>
      </c>
      <c r="D13178" s="1"/>
      <c r="E13178" s="1"/>
      <c r="F13178" s="1" t="str">
        <f>IFERROR(__xludf.DUMMYFUNCTION("GOOGLETRANSLATE(B13178, ""en"", ""fa"")
"),"صنایع دستی و پروژه های DIY")</f>
        <v>صنایع دستی و پروژه های DIY</v>
      </c>
      <c r="G13178" s="1" t="str">
        <f>IFERROR(__xludf.DUMMYFUNCTION("GOOGLETRANSLATE(C13178, ""en"", ""fa"")
"),"چند ایده آسان و مقرون به صرفه برای ساخت زیور آلات دست ساز تعطیلات چیست؟")</f>
        <v>چند ایده آسان و مقرون به صرفه برای ساخت زیور آلات دست ساز تعطیلات چیست؟</v>
      </c>
      <c r="H13178" s="1"/>
      <c r="I13178" s="1"/>
      <c r="J13178" s="1"/>
      <c r="K13178" s="1"/>
      <c r="L13178" s="1"/>
      <c r="M13178" s="1"/>
      <c r="N13178" s="1"/>
      <c r="O13178" s="1"/>
      <c r="P13178" s="1"/>
      <c r="Q13178" s="1"/>
      <c r="R13178" s="1"/>
      <c r="S13178" s="1"/>
      <c r="T13178" s="1"/>
      <c r="U13178" s="1"/>
      <c r="V13178" s="1"/>
      <c r="W13178" s="1"/>
      <c r="X13178" s="1"/>
      <c r="Y13178" s="1"/>
      <c r="Z13178" s="1"/>
      <c r="AA13178" s="1"/>
      <c r="AB13178" s="1"/>
    </row>
    <row r="13179" ht="50.25" customHeight="1">
      <c r="A13179" s="12">
        <v>13175.0</v>
      </c>
      <c r="B13179" s="13" t="s">
        <v>12594</v>
      </c>
      <c r="C13179" s="14" t="s">
        <v>12609</v>
      </c>
      <c r="D13179" s="1"/>
      <c r="E13179" s="1"/>
      <c r="F13179" s="1" t="str">
        <f>IFERROR(__xludf.DUMMYFUNCTION("GOOGLETRANSLATE(B13179, ""en"", ""fa"")
"),"صنایع دستی و پروژه های DIY")</f>
        <v>صنایع دستی و پروژه های DIY</v>
      </c>
      <c r="G13179" s="1" t="str">
        <f>IFERROR(__xludf.DUMMYFUNCTION("GOOGLETRANSLATE(C13179, ""en"", ""fa"")
"),"چگونه می توانم با استفاده از گل ها و برگ های فشرده شده برای لمس گیاه شناسی یک هنر دیواری DIY ایجاد کنم؟")</f>
        <v>چگونه می توانم با استفاده از گل ها و برگ های فشرده شده برای لمس گیاه شناسی یک هنر دیواری DIY ایجاد کنم؟</v>
      </c>
      <c r="H13179" s="1"/>
      <c r="I13179" s="1"/>
      <c r="J13179" s="1"/>
      <c r="K13179" s="1"/>
      <c r="L13179" s="1"/>
      <c r="M13179" s="1"/>
      <c r="N13179" s="1"/>
      <c r="O13179" s="1"/>
      <c r="P13179" s="1"/>
      <c r="Q13179" s="1"/>
      <c r="R13179" s="1"/>
      <c r="S13179" s="1"/>
      <c r="T13179" s="1"/>
      <c r="U13179" s="1"/>
      <c r="V13179" s="1"/>
      <c r="W13179" s="1"/>
      <c r="X13179" s="1"/>
      <c r="Y13179" s="1"/>
      <c r="Z13179" s="1"/>
      <c r="AA13179" s="1"/>
      <c r="AB13179" s="1"/>
    </row>
    <row r="13180" ht="50.25" customHeight="1">
      <c r="A13180" s="12">
        <v>13176.0</v>
      </c>
      <c r="B13180" s="13" t="s">
        <v>12594</v>
      </c>
      <c r="C13180" s="14" t="s">
        <v>12610</v>
      </c>
      <c r="D13180" s="1"/>
      <c r="E13180" s="1"/>
      <c r="F13180" s="1" t="str">
        <f>IFERROR(__xludf.DUMMYFUNCTION("GOOGLETRANSLATE(B13180, ""en"", ""fa"")
"),"صنایع دستی و پروژه های DIY")</f>
        <v>صنایع دستی و پروژه های DIY</v>
      </c>
      <c r="G13180" s="1" t="str">
        <f>IFERROR(__xludf.DUMMYFUNCTION("GOOGLETRANSLATE(C13180, ""en"", ""fa"")
"),"آیا می توانید پروژه های ساده بافتنی یا قلاب بافی را برای مبتدیان پیشنهاد دهید؟")</f>
        <v>آیا می توانید پروژه های ساده بافتنی یا قلاب بافی را برای مبتدیان پیشنهاد دهید؟</v>
      </c>
      <c r="H13180" s="1"/>
      <c r="I13180" s="1"/>
      <c r="J13180" s="1"/>
      <c r="K13180" s="1"/>
      <c r="L13180" s="1"/>
      <c r="M13180" s="1"/>
      <c r="N13180" s="1"/>
      <c r="O13180" s="1"/>
      <c r="P13180" s="1"/>
      <c r="Q13180" s="1"/>
      <c r="R13180" s="1"/>
      <c r="S13180" s="1"/>
      <c r="T13180" s="1"/>
      <c r="U13180" s="1"/>
      <c r="V13180" s="1"/>
      <c r="W13180" s="1"/>
      <c r="X13180" s="1"/>
      <c r="Y13180" s="1"/>
      <c r="Z13180" s="1"/>
      <c r="AA13180" s="1"/>
      <c r="AB13180" s="1"/>
    </row>
    <row r="13181" ht="50.25" customHeight="1">
      <c r="A13181" s="12">
        <v>13177.0</v>
      </c>
      <c r="B13181" s="13" t="s">
        <v>12594</v>
      </c>
      <c r="C13181" s="14" t="s">
        <v>12611</v>
      </c>
      <c r="D13181" s="1"/>
      <c r="E13181" s="1"/>
      <c r="F13181" s="1" t="str">
        <f>IFERROR(__xludf.DUMMYFUNCTION("GOOGLETRANSLATE(B13181, ""en"", ""fa"")
"),"صنایع دستی و پروژه های DIY")</f>
        <v>صنایع دستی و پروژه های DIY</v>
      </c>
      <c r="G13181" s="1" t="str">
        <f>IFERROR(__xludf.DUMMYFUNCTION("GOOGLETRANSLATE(C13181, ""en"", ""fa"")
"),"مراحل ساخت نمک حمام خانگی با فواید درمانی چیست؟")</f>
        <v>مراحل ساخت نمک حمام خانگی با فواید درمانی چیست؟</v>
      </c>
      <c r="H13181" s="1"/>
      <c r="I13181" s="1"/>
      <c r="J13181" s="1"/>
      <c r="K13181" s="1"/>
      <c r="L13181" s="1"/>
      <c r="M13181" s="1"/>
      <c r="N13181" s="1"/>
      <c r="O13181" s="1"/>
      <c r="P13181" s="1"/>
      <c r="Q13181" s="1"/>
      <c r="R13181" s="1"/>
      <c r="S13181" s="1"/>
      <c r="T13181" s="1"/>
      <c r="U13181" s="1"/>
      <c r="V13181" s="1"/>
      <c r="W13181" s="1"/>
      <c r="X13181" s="1"/>
      <c r="Y13181" s="1"/>
      <c r="Z13181" s="1"/>
      <c r="AA13181" s="1"/>
      <c r="AB13181" s="1"/>
    </row>
    <row r="13182" ht="50.25" customHeight="1">
      <c r="A13182" s="12">
        <v>13178.0</v>
      </c>
      <c r="B13182" s="13" t="s">
        <v>12594</v>
      </c>
      <c r="C13182" s="14" t="s">
        <v>12612</v>
      </c>
      <c r="D13182" s="1"/>
      <c r="E13182" s="1"/>
      <c r="F13182" s="1" t="str">
        <f>IFERROR(__xludf.DUMMYFUNCTION("GOOGLETRANSLATE(B13182, ""en"", ""fa"")
"),"صنایع دستی و پروژه های DIY")</f>
        <v>صنایع دستی و پروژه های DIY</v>
      </c>
      <c r="G13182" s="1" t="str">
        <f>IFERROR(__xludf.DUMMYFUNCTION("GOOGLETRANSLATE(C13182, ""en"", ""fa"")
"),"چگونه می توانم تابلوهای چوبی تزئینی خود را برای خانه خود طراحی و نقاشی کنم؟")</f>
        <v>چگونه می توانم تابلوهای چوبی تزئینی خود را برای خانه خود طراحی و نقاشی کنم؟</v>
      </c>
      <c r="H13182" s="1"/>
      <c r="I13182" s="1"/>
      <c r="J13182" s="1"/>
      <c r="K13182" s="1"/>
      <c r="L13182" s="1"/>
      <c r="M13182" s="1"/>
      <c r="N13182" s="1"/>
      <c r="O13182" s="1"/>
      <c r="P13182" s="1"/>
      <c r="Q13182" s="1"/>
      <c r="R13182" s="1"/>
      <c r="S13182" s="1"/>
      <c r="T13182" s="1"/>
      <c r="U13182" s="1"/>
      <c r="V13182" s="1"/>
      <c r="W13182" s="1"/>
      <c r="X13182" s="1"/>
      <c r="Y13182" s="1"/>
      <c r="Z13182" s="1"/>
      <c r="AA13182" s="1"/>
      <c r="AB13182" s="1"/>
    </row>
    <row r="13183" ht="50.25" customHeight="1">
      <c r="A13183" s="12">
        <v>13179.0</v>
      </c>
      <c r="B13183" s="13" t="s">
        <v>12594</v>
      </c>
      <c r="C13183" s="14" t="s">
        <v>12613</v>
      </c>
      <c r="D13183" s="1"/>
      <c r="E13183" s="1"/>
      <c r="F13183" s="1" t="str">
        <f>IFERROR(__xludf.DUMMYFUNCTION("GOOGLETRANSLATE(B13183, ""en"", ""fa"")
"),"صنایع دستی و پروژه های DIY")</f>
        <v>صنایع دستی و پروژه های DIY</v>
      </c>
      <c r="G13183" s="1" t="str">
        <f>IFERROR(__xludf.DUMMYFUNCTION("GOOGLETRANSLATE(C13183, ""en"", ""fa"")
"),"برخی از ایده های DIY برای ایجاد جواهرات شخصی با مهره ها و طلسم ها چیست؟")</f>
        <v>برخی از ایده های DIY برای ایجاد جواهرات شخصی با مهره ها و طلسم ها چیست؟</v>
      </c>
      <c r="H13183" s="1"/>
      <c r="I13183" s="1"/>
      <c r="J13183" s="1"/>
      <c r="K13183" s="1"/>
      <c r="L13183" s="1"/>
      <c r="M13183" s="1"/>
      <c r="N13183" s="1"/>
      <c r="O13183" s="1"/>
      <c r="P13183" s="1"/>
      <c r="Q13183" s="1"/>
      <c r="R13183" s="1"/>
      <c r="S13183" s="1"/>
      <c r="T13183" s="1"/>
      <c r="U13183" s="1"/>
      <c r="V13183" s="1"/>
      <c r="W13183" s="1"/>
      <c r="X13183" s="1"/>
      <c r="Y13183" s="1"/>
      <c r="Z13183" s="1"/>
      <c r="AA13183" s="1"/>
      <c r="AB13183" s="1"/>
    </row>
    <row r="13184" ht="50.25" customHeight="1">
      <c r="A13184" s="12">
        <v>13180.0</v>
      </c>
      <c r="B13184" s="13" t="s">
        <v>12594</v>
      </c>
      <c r="C13184" s="14" t="s">
        <v>12614</v>
      </c>
      <c r="D13184" s="1"/>
      <c r="E13184" s="1"/>
      <c r="F13184" s="1" t="str">
        <f>IFERROR(__xludf.DUMMYFUNCTION("GOOGLETRANSLATE(B13184, ""en"", ""fa"")
"),"صنایع دستی و پروژه های DIY")</f>
        <v>صنایع دستی و پروژه های DIY</v>
      </c>
      <c r="G13184" s="1" t="str">
        <f>IFERROR(__xludf.DUMMYFUNCTION("GOOGLETRANSLATE(C13184, ""en"", ""fa"")
"),"چگونه می توانم بطری های شراب قدیمی را به گلدان های زیبا یا جا شمع تبدیل کنم؟")</f>
        <v>چگونه می توانم بطری های شراب قدیمی را به گلدان های زیبا یا جا شمع تبدیل کنم؟</v>
      </c>
      <c r="H13184" s="1"/>
      <c r="I13184" s="1"/>
      <c r="J13184" s="1"/>
      <c r="K13184" s="1"/>
      <c r="L13184" s="1"/>
      <c r="M13184" s="1"/>
      <c r="N13184" s="1"/>
      <c r="O13184" s="1"/>
      <c r="P13184" s="1"/>
      <c r="Q13184" s="1"/>
      <c r="R13184" s="1"/>
      <c r="S13184" s="1"/>
      <c r="T13184" s="1"/>
      <c r="U13184" s="1"/>
      <c r="V13184" s="1"/>
      <c r="W13184" s="1"/>
      <c r="X13184" s="1"/>
      <c r="Y13184" s="1"/>
      <c r="Z13184" s="1"/>
      <c r="AA13184" s="1"/>
      <c r="AB13184" s="1"/>
    </row>
    <row r="13185" ht="50.25" customHeight="1">
      <c r="A13185" s="12">
        <v>13181.0</v>
      </c>
      <c r="B13185" s="13" t="s">
        <v>12594</v>
      </c>
      <c r="C13185" s="14" t="s">
        <v>12615</v>
      </c>
      <c r="D13185" s="1"/>
      <c r="E13185" s="1"/>
      <c r="F13185" s="1" t="str">
        <f>IFERROR(__xludf.DUMMYFUNCTION("GOOGLETRANSLATE(B13185, ""en"", ""fa"")
"),"صنایع دستی و پروژه های DIY")</f>
        <v>صنایع دستی و پروژه های DIY</v>
      </c>
      <c r="G13185" s="1" t="str">
        <f>IFERROR(__xludf.DUMMYFUNCTION("GOOGLETRANSLATE(C13185, ""en"", ""fa"")
"),"آیا می توانید تکنیک های DIY را برای ساخت محصولات پاک کننده طبیعی و بدون مواد شیمیایی توصیه کنید؟")</f>
        <v>آیا می توانید تکنیک های DIY را برای ساخت محصولات پاک کننده طبیعی و بدون مواد شیمیایی توصیه کنید؟</v>
      </c>
      <c r="H13185" s="1"/>
      <c r="I13185" s="1"/>
      <c r="J13185" s="1"/>
      <c r="K13185" s="1"/>
      <c r="L13185" s="1"/>
      <c r="M13185" s="1"/>
      <c r="N13185" s="1"/>
      <c r="O13185" s="1"/>
      <c r="P13185" s="1"/>
      <c r="Q13185" s="1"/>
      <c r="R13185" s="1"/>
      <c r="S13185" s="1"/>
      <c r="T13185" s="1"/>
      <c r="U13185" s="1"/>
      <c r="V13185" s="1"/>
      <c r="W13185" s="1"/>
      <c r="X13185" s="1"/>
      <c r="Y13185" s="1"/>
      <c r="Z13185" s="1"/>
      <c r="AA13185" s="1"/>
      <c r="AB13185" s="1"/>
    </row>
    <row r="13186" ht="50.25" customHeight="1">
      <c r="A13186" s="12">
        <v>13182.0</v>
      </c>
      <c r="B13186" s="13" t="s">
        <v>12594</v>
      </c>
      <c r="C13186" s="14" t="s">
        <v>12616</v>
      </c>
      <c r="D13186" s="1"/>
      <c r="E13186" s="1"/>
      <c r="F13186" s="1" t="str">
        <f>IFERROR(__xludf.DUMMYFUNCTION("GOOGLETRANSLATE(B13186, ""en"", ""fa"")
"),"صنایع دستی و پروژه های DIY")</f>
        <v>صنایع دستی و پروژه های DIY</v>
      </c>
      <c r="G13186" s="1" t="str">
        <f>IFERROR(__xludf.DUMMYFUNCTION("GOOGLETRANSLATE(C13186, ""en"", ""fa"")
"),"برای ایجاد یک پتوی پشمی بدون خیاطی دنج و شیک چه مراحلی وجود دارد؟")</f>
        <v>برای ایجاد یک پتوی پشمی بدون خیاطی دنج و شیک چه مراحلی وجود دارد؟</v>
      </c>
      <c r="H13186" s="1"/>
      <c r="I13186" s="1"/>
      <c r="J13186" s="1"/>
      <c r="K13186" s="1"/>
      <c r="L13186" s="1"/>
      <c r="M13186" s="1"/>
      <c r="N13186" s="1"/>
      <c r="O13186" s="1"/>
      <c r="P13186" s="1"/>
      <c r="Q13186" s="1"/>
      <c r="R13186" s="1"/>
      <c r="S13186" s="1"/>
      <c r="T13186" s="1"/>
      <c r="U13186" s="1"/>
      <c r="V13186" s="1"/>
      <c r="W13186" s="1"/>
      <c r="X13186" s="1"/>
      <c r="Y13186" s="1"/>
      <c r="Z13186" s="1"/>
      <c r="AA13186" s="1"/>
      <c r="AB13186" s="1"/>
    </row>
    <row r="13187" ht="50.25" customHeight="1">
      <c r="A13187" s="12">
        <v>13183.0</v>
      </c>
      <c r="B13187" s="13" t="s">
        <v>12594</v>
      </c>
      <c r="C13187" s="14" t="s">
        <v>12617</v>
      </c>
      <c r="D13187" s="1"/>
      <c r="E13187" s="1"/>
      <c r="F13187" s="1" t="str">
        <f>IFERROR(__xludf.DUMMYFUNCTION("GOOGLETRANSLATE(B13187, ""en"", ""fa"")
"),"صنایع دستی و پروژه های DIY")</f>
        <v>صنایع دستی و پروژه های DIY</v>
      </c>
      <c r="G13187" s="1" t="str">
        <f>IFERROR(__xludf.DUMMYFUNCTION("GOOGLETRANSLATE(C13187, ""en"", ""fa"")
"),"چگونه می توانم تراریوم DIY خود را با ساکولنت ها و کاکتوس ها طراحی و بسازم؟")</f>
        <v>چگونه می توانم تراریوم DIY خود را با ساکولنت ها و کاکتوس ها طراحی و بسازم؟</v>
      </c>
      <c r="H13187" s="1"/>
      <c r="I13187" s="1"/>
      <c r="J13187" s="1"/>
      <c r="K13187" s="1"/>
      <c r="L13187" s="1"/>
      <c r="M13187" s="1"/>
      <c r="N13187" s="1"/>
      <c r="O13187" s="1"/>
      <c r="P13187" s="1"/>
      <c r="Q13187" s="1"/>
      <c r="R13187" s="1"/>
      <c r="S13187" s="1"/>
      <c r="T13187" s="1"/>
      <c r="U13187" s="1"/>
      <c r="V13187" s="1"/>
      <c r="W13187" s="1"/>
      <c r="X13187" s="1"/>
      <c r="Y13187" s="1"/>
      <c r="Z13187" s="1"/>
      <c r="AA13187" s="1"/>
      <c r="AB13187" s="1"/>
    </row>
    <row r="13188" ht="50.25" customHeight="1">
      <c r="A13188" s="12">
        <v>13184.0</v>
      </c>
      <c r="B13188" s="13" t="s">
        <v>12594</v>
      </c>
      <c r="C13188" s="14" t="s">
        <v>12618</v>
      </c>
      <c r="D13188" s="1"/>
      <c r="E13188" s="1"/>
      <c r="F13188" s="1" t="str">
        <f>IFERROR(__xludf.DUMMYFUNCTION("GOOGLETRANSLATE(B13188, ""en"", ""fa"")
"),"صنایع دستی و پروژه های DIY")</f>
        <v>صنایع دستی و پروژه های DIY</v>
      </c>
      <c r="G13188" s="1" t="str">
        <f>IFERROR(__xludf.DUMMYFUNCTION("GOOGLETRANSLATE(C13188, ""en"", ""fa"")
"),"چند روش خلاقانه برای چرخاندن ظروف شیشه ای در ظروف ذخیره سازی یا گلدان چیست؟")</f>
        <v>چند روش خلاقانه برای چرخاندن ظروف شیشه ای در ظروف ذخیره سازی یا گلدان چیست؟</v>
      </c>
      <c r="H13188" s="1"/>
      <c r="I13188" s="1"/>
      <c r="J13188" s="1"/>
      <c r="K13188" s="1"/>
      <c r="L13188" s="1"/>
      <c r="M13188" s="1"/>
      <c r="N13188" s="1"/>
      <c r="O13188" s="1"/>
      <c r="P13188" s="1"/>
      <c r="Q13188" s="1"/>
      <c r="R13188" s="1"/>
      <c r="S13188" s="1"/>
      <c r="T13188" s="1"/>
      <c r="U13188" s="1"/>
      <c r="V13188" s="1"/>
      <c r="W13188" s="1"/>
      <c r="X13188" s="1"/>
      <c r="Y13188" s="1"/>
      <c r="Z13188" s="1"/>
      <c r="AA13188" s="1"/>
      <c r="AB13188" s="1"/>
    </row>
    <row r="13189" ht="50.25" customHeight="1">
      <c r="A13189" s="12">
        <v>13185.0</v>
      </c>
      <c r="B13189" s="13" t="s">
        <v>12594</v>
      </c>
      <c r="C13189" s="14" t="s">
        <v>12619</v>
      </c>
      <c r="D13189" s="1"/>
      <c r="E13189" s="1"/>
      <c r="F13189" s="1" t="str">
        <f>IFERROR(__xludf.DUMMYFUNCTION("GOOGLETRANSLATE(B13189, ""en"", ""fa"")
"),"صنایع دستی و پروژه های DIY")</f>
        <v>صنایع دستی و پروژه های DIY</v>
      </c>
      <c r="G13189" s="1" t="str">
        <f>IFERROR(__xludf.DUMMYFUNCTION("GOOGLETRANSLATE(C13189, ""en"", ""fa"")
"),"چگونه نمک حمام خانگی را با رایحه های تسکین دهنده و نمک اپسوم درست کنم؟")</f>
        <v>چگونه نمک حمام خانگی را با رایحه های تسکین دهنده و نمک اپسوم درست کنم؟</v>
      </c>
      <c r="H13189" s="1"/>
      <c r="I13189" s="1"/>
      <c r="J13189" s="1"/>
      <c r="K13189" s="1"/>
      <c r="L13189" s="1"/>
      <c r="M13189" s="1"/>
      <c r="N13189" s="1"/>
      <c r="O13189" s="1"/>
      <c r="P13189" s="1"/>
      <c r="Q13189" s="1"/>
      <c r="R13189" s="1"/>
      <c r="S13189" s="1"/>
      <c r="T13189" s="1"/>
      <c r="U13189" s="1"/>
      <c r="V13189" s="1"/>
      <c r="W13189" s="1"/>
      <c r="X13189" s="1"/>
      <c r="Y13189" s="1"/>
      <c r="Z13189" s="1"/>
      <c r="AA13189" s="1"/>
      <c r="AB13189" s="1"/>
    </row>
    <row r="13190" ht="50.25" customHeight="1">
      <c r="A13190" s="12">
        <v>13186.0</v>
      </c>
      <c r="B13190" s="13" t="s">
        <v>12594</v>
      </c>
      <c r="C13190" s="14" t="s">
        <v>12620</v>
      </c>
      <c r="D13190" s="1"/>
      <c r="E13190" s="1"/>
      <c r="F13190" s="1" t="str">
        <f>IFERROR(__xludf.DUMMYFUNCTION("GOOGLETRANSLATE(B13190, ""en"", ""fa"")
"),"صنایع دستی و پروژه های DIY")</f>
        <v>صنایع دستی و پروژه های DIY</v>
      </c>
      <c r="G13190" s="1" t="str">
        <f>IFERROR(__xludf.DUMMYFUNCTION("GOOGLETRANSLATE(C13190, ""en"", ""fa"")
"),"آیا می توانید پروژه های ساده و سرگرم کننده DIY را برای بچه ها پیشنهاد کنید تا از کاردستی در خانه لذت ببرند؟")</f>
        <v>آیا می توانید پروژه های ساده و سرگرم کننده DIY را برای بچه ها پیشنهاد کنید تا از کاردستی در خانه لذت ببرند؟</v>
      </c>
      <c r="H13190" s="1"/>
      <c r="I13190" s="1"/>
      <c r="J13190" s="1"/>
      <c r="K13190" s="1"/>
      <c r="L13190" s="1"/>
      <c r="M13190" s="1"/>
      <c r="N13190" s="1"/>
      <c r="O13190" s="1"/>
      <c r="P13190" s="1"/>
      <c r="Q13190" s="1"/>
      <c r="R13190" s="1"/>
      <c r="S13190" s="1"/>
      <c r="T13190" s="1"/>
      <c r="U13190" s="1"/>
      <c r="V13190" s="1"/>
      <c r="W13190" s="1"/>
      <c r="X13190" s="1"/>
      <c r="Y13190" s="1"/>
      <c r="Z13190" s="1"/>
      <c r="AA13190" s="1"/>
      <c r="AB13190" s="1"/>
    </row>
    <row r="13191" ht="50.25" customHeight="1">
      <c r="A13191" s="12">
        <v>13187.0</v>
      </c>
      <c r="B13191" s="13" t="s">
        <v>12594</v>
      </c>
      <c r="C13191" s="14" t="s">
        <v>12621</v>
      </c>
      <c r="D13191" s="1"/>
      <c r="E13191" s="1"/>
      <c r="F13191" s="1" t="str">
        <f>IFERROR(__xludf.DUMMYFUNCTION("GOOGLETRANSLATE(B13191, ""en"", ""fa"")
"),"صنایع دستی و پروژه های DIY")</f>
        <v>صنایع دستی و پروژه های DIY</v>
      </c>
      <c r="G13191" s="1" t="str">
        <f>IFERROR(__xludf.DUMMYFUNCTION("GOOGLETRANSLATE(C13191, ""en"", ""fa"")
"),"مراحل ایجاد یک سازمان دهنده جواهرات DIY با استفاده از قاب چوبی و مش سیمی چیست؟")</f>
        <v>مراحل ایجاد یک سازمان دهنده جواهرات DIY با استفاده از قاب چوبی و مش سیمی چیست؟</v>
      </c>
      <c r="H13191" s="1"/>
      <c r="I13191" s="1"/>
      <c r="J13191" s="1"/>
      <c r="K13191" s="1"/>
      <c r="L13191" s="1"/>
      <c r="M13191" s="1"/>
      <c r="N13191" s="1"/>
      <c r="O13191" s="1"/>
      <c r="P13191" s="1"/>
      <c r="Q13191" s="1"/>
      <c r="R13191" s="1"/>
      <c r="S13191" s="1"/>
      <c r="T13191" s="1"/>
      <c r="U13191" s="1"/>
      <c r="V13191" s="1"/>
      <c r="W13191" s="1"/>
      <c r="X13191" s="1"/>
      <c r="Y13191" s="1"/>
      <c r="Z13191" s="1"/>
      <c r="AA13191" s="1"/>
      <c r="AB13191" s="1"/>
    </row>
    <row r="13192" ht="50.25" customHeight="1">
      <c r="A13192" s="12">
        <v>13188.0</v>
      </c>
      <c r="B13192" s="13" t="s">
        <v>12594</v>
      </c>
      <c r="C13192" s="14" t="s">
        <v>12622</v>
      </c>
      <c r="D13192" s="1"/>
      <c r="E13192" s="1"/>
      <c r="F13192" s="1" t="str">
        <f>IFERROR(__xludf.DUMMYFUNCTION("GOOGLETRANSLATE(B13192, ""en"", ""fa"")
"),"صنایع دستی و پروژه های DIY")</f>
        <v>صنایع دستی و پروژه های DIY</v>
      </c>
      <c r="G13192" s="1" t="str">
        <f>IFERROR(__xludf.DUMMYFUNCTION("GOOGLETRANSLATE(C13192, ""en"", ""fa"")
"),"چگونه می توانم بالش پرتاب شخصی خود را با الگوهای منحصر به فرد طراحی و بدوزم؟")</f>
        <v>چگونه می توانم بالش پرتاب شخصی خود را با الگوهای منحصر به فرد طراحی و بدوزم؟</v>
      </c>
      <c r="H13192" s="1"/>
      <c r="I13192" s="1"/>
      <c r="J13192" s="1"/>
      <c r="K13192" s="1"/>
      <c r="L13192" s="1"/>
      <c r="M13192" s="1"/>
      <c r="N13192" s="1"/>
      <c r="O13192" s="1"/>
      <c r="P13192" s="1"/>
      <c r="Q13192" s="1"/>
      <c r="R13192" s="1"/>
      <c r="S13192" s="1"/>
      <c r="T13192" s="1"/>
      <c r="U13192" s="1"/>
      <c r="V13192" s="1"/>
      <c r="W13192" s="1"/>
      <c r="X13192" s="1"/>
      <c r="Y13192" s="1"/>
      <c r="Z13192" s="1"/>
      <c r="AA13192" s="1"/>
      <c r="AB13192" s="1"/>
    </row>
    <row r="13193" ht="50.25" customHeight="1">
      <c r="A13193" s="12">
        <v>13189.0</v>
      </c>
      <c r="B13193" s="13" t="s">
        <v>12594</v>
      </c>
      <c r="C13193" s="14" t="s">
        <v>12623</v>
      </c>
      <c r="D13193" s="1"/>
      <c r="E13193" s="1"/>
      <c r="F13193" s="1" t="str">
        <f>IFERROR(__xludf.DUMMYFUNCTION("GOOGLETRANSLATE(B13193, ""en"", ""fa"")
"),"صنایع دستی و پروژه های DIY")</f>
        <v>صنایع دستی و پروژه های DIY</v>
      </c>
      <c r="G13193" s="1" t="str">
        <f>IFERROR(__xludf.DUMMYFUNCTION("GOOGLETRANSLATE(C13193, ""en"", ""fa"")
"),"ایده‌های نوآورانه برای ساخت هنر و طرح‌های کاغذی DIY چیست؟")</f>
        <v>ایده‌های نوآورانه برای ساخت هنر و طرح‌های کاغذی DIY چیست؟</v>
      </c>
      <c r="H13193" s="1"/>
      <c r="I13193" s="1"/>
      <c r="J13193" s="1"/>
      <c r="K13193" s="1"/>
      <c r="L13193" s="1"/>
      <c r="M13193" s="1"/>
      <c r="N13193" s="1"/>
      <c r="O13193" s="1"/>
      <c r="P13193" s="1"/>
      <c r="Q13193" s="1"/>
      <c r="R13193" s="1"/>
      <c r="S13193" s="1"/>
      <c r="T13193" s="1"/>
      <c r="U13193" s="1"/>
      <c r="V13193" s="1"/>
      <c r="W13193" s="1"/>
      <c r="X13193" s="1"/>
      <c r="Y13193" s="1"/>
      <c r="Z13193" s="1"/>
      <c r="AA13193" s="1"/>
      <c r="AB13193" s="1"/>
    </row>
    <row r="13194" ht="50.25" customHeight="1">
      <c r="A13194" s="12">
        <v>13190.0</v>
      </c>
      <c r="B13194" s="13" t="s">
        <v>12594</v>
      </c>
      <c r="C13194" s="14" t="s">
        <v>12624</v>
      </c>
      <c r="D13194" s="1"/>
      <c r="E13194" s="1"/>
      <c r="F13194" s="1" t="str">
        <f>IFERROR(__xludf.DUMMYFUNCTION("GOOGLETRANSLATE(B13194, ""en"", ""fa"")
"),"صنایع دستی و پروژه های DIY")</f>
        <v>صنایع دستی و پروژه های DIY</v>
      </c>
      <c r="G13194" s="1" t="str">
        <f>IFERROR(__xludf.DUMMYFUNCTION("GOOGLETRANSLATE(C13194, ""en"", ""fa"")
"),"چگونه می توانم روکش موم طبیعی و سازگار با محیط زیست خود را برای نگهداری مواد غذایی بسازم؟")</f>
        <v>چگونه می توانم روکش موم طبیعی و سازگار با محیط زیست خود را برای نگهداری مواد غذایی بسازم؟</v>
      </c>
      <c r="H13194" s="1"/>
      <c r="I13194" s="1"/>
      <c r="J13194" s="1"/>
      <c r="K13194" s="1"/>
      <c r="L13194" s="1"/>
      <c r="M13194" s="1"/>
      <c r="N13194" s="1"/>
      <c r="O13194" s="1"/>
      <c r="P13194" s="1"/>
      <c r="Q13194" s="1"/>
      <c r="R13194" s="1"/>
      <c r="S13194" s="1"/>
      <c r="T13194" s="1"/>
      <c r="U13194" s="1"/>
      <c r="V13194" s="1"/>
      <c r="W13194" s="1"/>
      <c r="X13194" s="1"/>
      <c r="Y13194" s="1"/>
      <c r="Z13194" s="1"/>
      <c r="AA13194" s="1"/>
      <c r="AB13194" s="1"/>
    </row>
    <row r="13195" ht="50.25" customHeight="1">
      <c r="A13195" s="12">
        <v>13191.0</v>
      </c>
      <c r="B13195" s="13" t="s">
        <v>12594</v>
      </c>
      <c r="C13195" s="14" t="s">
        <v>12625</v>
      </c>
      <c r="D13195" s="1"/>
      <c r="E13195" s="1"/>
      <c r="F13195" s="1" t="str">
        <f>IFERROR(__xludf.DUMMYFUNCTION("GOOGLETRANSLATE(B13195, ""en"", ""fa"")
"),"صنایع دستی و پروژه های DIY")</f>
        <v>صنایع دستی و پروژه های DIY</v>
      </c>
      <c r="G13195" s="1" t="str">
        <f>IFERROR(__xludf.DUMMYFUNCTION("GOOGLETRANSLATE(C13195, ""en"", ""fa"")
"),"آیا می توانید تکنیک های DIY را برای ایجاد قاب گوشی با طراحی سفارشی توصیه کنید؟")</f>
        <v>آیا می توانید تکنیک های DIY را برای ایجاد قاب گوشی با طراحی سفارشی توصیه کنید؟</v>
      </c>
      <c r="H13195" s="1"/>
      <c r="I13195" s="1"/>
      <c r="J13195" s="1"/>
      <c r="K13195" s="1"/>
      <c r="L13195" s="1"/>
      <c r="M13195" s="1"/>
      <c r="N13195" s="1"/>
      <c r="O13195" s="1"/>
      <c r="P13195" s="1"/>
      <c r="Q13195" s="1"/>
      <c r="R13195" s="1"/>
      <c r="S13195" s="1"/>
      <c r="T13195" s="1"/>
      <c r="U13195" s="1"/>
      <c r="V13195" s="1"/>
      <c r="W13195" s="1"/>
      <c r="X13195" s="1"/>
      <c r="Y13195" s="1"/>
      <c r="Z13195" s="1"/>
      <c r="AA13195" s="1"/>
      <c r="AB13195" s="1"/>
    </row>
    <row r="13196" ht="50.25" customHeight="1">
      <c r="A13196" s="12">
        <v>13192.0</v>
      </c>
      <c r="B13196" s="13" t="s">
        <v>12594</v>
      </c>
      <c r="C13196" s="14" t="s">
        <v>12626</v>
      </c>
      <c r="D13196" s="1"/>
      <c r="E13196" s="1"/>
      <c r="F13196" s="1" t="str">
        <f>IFERROR(__xludf.DUMMYFUNCTION("GOOGLETRANSLATE(B13196, ""en"", ""fa"")
"),"صنایع دستی و پروژه های DIY")</f>
        <v>صنایع دستی و پروژه های DIY</v>
      </c>
      <c r="G13196" s="1" t="str">
        <f>IFERROR(__xludf.DUMMYFUNCTION("GOOGLETRANSLATE(C13196, ""en"", ""fa"")
"),"مراحل ساخت خانه پرنده چوبی برای جذب پرندگان به باغ من چیست؟")</f>
        <v>مراحل ساخت خانه پرنده چوبی برای جذب پرندگان به باغ من چیست؟</v>
      </c>
      <c r="H13196" s="1"/>
      <c r="I13196" s="1"/>
      <c r="J13196" s="1"/>
      <c r="K13196" s="1"/>
      <c r="L13196" s="1"/>
      <c r="M13196" s="1"/>
      <c r="N13196" s="1"/>
      <c r="O13196" s="1"/>
      <c r="P13196" s="1"/>
      <c r="Q13196" s="1"/>
      <c r="R13196" s="1"/>
      <c r="S13196" s="1"/>
      <c r="T13196" s="1"/>
      <c r="U13196" s="1"/>
      <c r="V13196" s="1"/>
      <c r="W13196" s="1"/>
      <c r="X13196" s="1"/>
      <c r="Y13196" s="1"/>
      <c r="Z13196" s="1"/>
      <c r="AA13196" s="1"/>
      <c r="AB13196" s="1"/>
    </row>
    <row r="13197" ht="50.25" customHeight="1">
      <c r="A13197" s="12">
        <v>13193.0</v>
      </c>
      <c r="B13197" s="13" t="s">
        <v>12594</v>
      </c>
      <c r="C13197" s="14" t="s">
        <v>12627</v>
      </c>
      <c r="D13197" s="1"/>
      <c r="E13197" s="1"/>
      <c r="F13197" s="1" t="str">
        <f>IFERROR(__xludf.DUMMYFUNCTION("GOOGLETRANSLATE(B13197, ""en"", ""fa"")
"),"صنایع دستی و پروژه های DIY")</f>
        <v>صنایع دستی و پروژه های DIY</v>
      </c>
      <c r="G13197" s="1" t="str">
        <f>IFERROR(__xludf.DUMMYFUNCTION("GOOGLETRANSLATE(C13197, ""en"", ""fa"")
"),"چگونه می توانم بطری های شیشه ای قدیمی را به گلدان های نقاشی شده خیره کننده یا قطعات مرکزی تبدیل کنم؟")</f>
        <v>چگونه می توانم بطری های شیشه ای قدیمی را به گلدان های نقاشی شده خیره کننده یا قطعات مرکزی تبدیل کنم؟</v>
      </c>
      <c r="H13197" s="1"/>
      <c r="I13197" s="1"/>
      <c r="J13197" s="1"/>
      <c r="K13197" s="1"/>
      <c r="L13197" s="1"/>
      <c r="M13197" s="1"/>
      <c r="N13197" s="1"/>
      <c r="O13197" s="1"/>
      <c r="P13197" s="1"/>
      <c r="Q13197" s="1"/>
      <c r="R13197" s="1"/>
      <c r="S13197" s="1"/>
      <c r="T13197" s="1"/>
      <c r="U13197" s="1"/>
      <c r="V13197" s="1"/>
      <c r="W13197" s="1"/>
      <c r="X13197" s="1"/>
      <c r="Y13197" s="1"/>
      <c r="Z13197" s="1"/>
      <c r="AA13197" s="1"/>
      <c r="AB13197" s="1"/>
    </row>
    <row r="13198" ht="50.25" customHeight="1">
      <c r="A13198" s="12">
        <v>13194.0</v>
      </c>
      <c r="B13198" s="13" t="s">
        <v>12594</v>
      </c>
      <c r="C13198" s="14" t="s">
        <v>12628</v>
      </c>
      <c r="D13198" s="1"/>
      <c r="E13198" s="1"/>
      <c r="F13198" s="1" t="str">
        <f>IFERROR(__xludf.DUMMYFUNCTION("GOOGLETRANSLATE(B13198, ""en"", ""fa"")
"),"صنایع دستی و پروژه های DIY")</f>
        <v>صنایع دستی و پروژه های DIY</v>
      </c>
      <c r="G13198" s="1" t="str">
        <f>IFERROR(__xludf.DUMMYFUNCTION("GOOGLETRANSLATE(C13198, ""en"", ""fa"")
"),"چند ایده خلاقانه برای ساختن نشانک های DIY با مواد مختلف چیست؟")</f>
        <v>چند ایده خلاقانه برای ساختن نشانک های DIY با مواد مختلف چیست؟</v>
      </c>
      <c r="H13198" s="1"/>
      <c r="I13198" s="1"/>
      <c r="J13198" s="1"/>
      <c r="K13198" s="1"/>
      <c r="L13198" s="1"/>
      <c r="M13198" s="1"/>
      <c r="N13198" s="1"/>
      <c r="O13198" s="1"/>
      <c r="P13198" s="1"/>
      <c r="Q13198" s="1"/>
      <c r="R13198" s="1"/>
      <c r="S13198" s="1"/>
      <c r="T13198" s="1"/>
      <c r="U13198" s="1"/>
      <c r="V13198" s="1"/>
      <c r="W13198" s="1"/>
      <c r="X13198" s="1"/>
      <c r="Y13198" s="1"/>
      <c r="Z13198" s="1"/>
      <c r="AA13198" s="1"/>
      <c r="AB13198" s="1"/>
    </row>
    <row r="13199" ht="50.25" customHeight="1">
      <c r="A13199" s="12">
        <v>13195.0</v>
      </c>
      <c r="B13199" s="13" t="s">
        <v>12594</v>
      </c>
      <c r="C13199" s="14" t="s">
        <v>12629</v>
      </c>
      <c r="D13199" s="1"/>
      <c r="E13199" s="1"/>
      <c r="F13199" s="1" t="str">
        <f>IFERROR(__xludf.DUMMYFUNCTION("GOOGLETRANSLATE(B13199, ""en"", ""fa"")
"),"صنایع دستی و پروژه های DIY")</f>
        <v>صنایع دستی و پروژه های DIY</v>
      </c>
      <c r="G13199" s="1" t="str">
        <f>IFERROR(__xludf.DUMMYFUNCTION("GOOGLETRANSLATE(C13199, ""en"", ""fa"")
"),"چگونه می توانم روغن های حمام خانگی را با روغن های مغذی و رایحه های معطر ایجاد کنم؟")</f>
        <v>چگونه می توانم روغن های حمام خانگی را با روغن های مغذی و رایحه های معطر ایجاد کنم؟</v>
      </c>
      <c r="H13199" s="1"/>
      <c r="I13199" s="1"/>
      <c r="J13199" s="1"/>
      <c r="K13199" s="1"/>
      <c r="L13199" s="1"/>
      <c r="M13199" s="1"/>
      <c r="N13199" s="1"/>
      <c r="O13199" s="1"/>
      <c r="P13199" s="1"/>
      <c r="Q13199" s="1"/>
      <c r="R13199" s="1"/>
      <c r="S13199" s="1"/>
      <c r="T13199" s="1"/>
      <c r="U13199" s="1"/>
      <c r="V13199" s="1"/>
      <c r="W13199" s="1"/>
      <c r="X13199" s="1"/>
      <c r="Y13199" s="1"/>
      <c r="Z13199" s="1"/>
      <c r="AA13199" s="1"/>
      <c r="AB13199" s="1"/>
    </row>
    <row r="13200" ht="50.25" customHeight="1">
      <c r="A13200" s="12">
        <v>13196.0</v>
      </c>
      <c r="B13200" s="13" t="s">
        <v>12594</v>
      </c>
      <c r="C13200" s="14" t="s">
        <v>12630</v>
      </c>
      <c r="D13200" s="1"/>
      <c r="E13200" s="1"/>
      <c r="F13200" s="1" t="str">
        <f>IFERROR(__xludf.DUMMYFUNCTION("GOOGLETRANSLATE(B13200, ""en"", ""fa"")
"),"صنایع دستی و پروژه های DIY")</f>
        <v>صنایع دستی و پروژه های DIY</v>
      </c>
      <c r="G13200" s="1" t="str">
        <f>IFERROR(__xludf.DUMMYFUNCTION("GOOGLETRANSLATE(C13200, ""en"", ""fa"")
"),"آیا می توانید تکنیک های DIY را برای ساخت دستمال مرطوب پاک کننده خانگی دوستدار محیط زیست پیشنهاد دهید؟")</f>
        <v>آیا می توانید تکنیک های DIY را برای ساخت دستمال مرطوب پاک کننده خانگی دوستدار محیط زیست پیشنهاد دهید؟</v>
      </c>
      <c r="H13200" s="1"/>
      <c r="I13200" s="1"/>
      <c r="J13200" s="1"/>
      <c r="K13200" s="1"/>
      <c r="L13200" s="1"/>
      <c r="M13200" s="1"/>
      <c r="N13200" s="1"/>
      <c r="O13200" s="1"/>
      <c r="P13200" s="1"/>
      <c r="Q13200" s="1"/>
      <c r="R13200" s="1"/>
      <c r="S13200" s="1"/>
      <c r="T13200" s="1"/>
      <c r="U13200" s="1"/>
      <c r="V13200" s="1"/>
      <c r="W13200" s="1"/>
      <c r="X13200" s="1"/>
      <c r="Y13200" s="1"/>
      <c r="Z13200" s="1"/>
      <c r="AA13200" s="1"/>
      <c r="AB13200" s="1"/>
    </row>
    <row r="13201" ht="50.25" customHeight="1">
      <c r="A13201" s="12">
        <v>13197.0</v>
      </c>
      <c r="B13201" s="13" t="s">
        <v>12594</v>
      </c>
      <c r="C13201" s="14" t="s">
        <v>12631</v>
      </c>
      <c r="D13201" s="1"/>
      <c r="E13201" s="1"/>
      <c r="F13201" s="1" t="str">
        <f>IFERROR(__xludf.DUMMYFUNCTION("GOOGLETRANSLATE(B13201, ""en"", ""fa"")
"),"صنایع دستی و پروژه های DIY")</f>
        <v>صنایع دستی و پروژه های DIY</v>
      </c>
      <c r="G13201" s="1" t="str">
        <f>IFERROR(__xludf.DUMMYFUNCTION("GOOGLETRANSLATE(C13201, ""en"", ""fa"")
"),"مراحل ایجاد پرینت بوم شخصی سازی شده DIY از عکس های مورد علاقه من چیست؟")</f>
        <v>مراحل ایجاد پرینت بوم شخصی سازی شده DIY از عکس های مورد علاقه من چیست؟</v>
      </c>
      <c r="H13201" s="1"/>
      <c r="I13201" s="1"/>
      <c r="J13201" s="1"/>
      <c r="K13201" s="1"/>
      <c r="L13201" s="1"/>
      <c r="M13201" s="1"/>
      <c r="N13201" s="1"/>
      <c r="O13201" s="1"/>
      <c r="P13201" s="1"/>
      <c r="Q13201" s="1"/>
      <c r="R13201" s="1"/>
      <c r="S13201" s="1"/>
      <c r="T13201" s="1"/>
      <c r="U13201" s="1"/>
      <c r="V13201" s="1"/>
      <c r="W13201" s="1"/>
      <c r="X13201" s="1"/>
      <c r="Y13201" s="1"/>
      <c r="Z13201" s="1"/>
      <c r="AA13201" s="1"/>
      <c r="AB13201" s="1"/>
    </row>
    <row r="13202" ht="50.25" customHeight="1">
      <c r="A13202" s="12">
        <v>13198.0</v>
      </c>
      <c r="B13202" s="13" t="s">
        <v>12594</v>
      </c>
      <c r="C13202" s="14" t="s">
        <v>12632</v>
      </c>
      <c r="D13202" s="1"/>
      <c r="E13202" s="1"/>
      <c r="F13202" s="1" t="str">
        <f>IFERROR(__xludf.DUMMYFUNCTION("GOOGLETRANSLATE(B13202, ""en"", ""fa"")
"),"صنایع دستی و پروژه های DIY")</f>
        <v>صنایع دستی و پروژه های DIY</v>
      </c>
      <c r="G13202" s="1" t="str">
        <f>IFERROR(__xludf.DUMMYFUNCTION("GOOGLETRANSLATE(C13202, ""en"", ""fa"")
"),"چگونه می توانم سربندهای پارچه ای خود را با طرح های مختلف طراحی و بدوزم؟")</f>
        <v>چگونه می توانم سربندهای پارچه ای خود را با طرح های مختلف طراحی و بدوزم؟</v>
      </c>
      <c r="H13202" s="1"/>
      <c r="I13202" s="1"/>
      <c r="J13202" s="1"/>
      <c r="K13202" s="1"/>
      <c r="L13202" s="1"/>
      <c r="M13202" s="1"/>
      <c r="N13202" s="1"/>
      <c r="O13202" s="1"/>
      <c r="P13202" s="1"/>
      <c r="Q13202" s="1"/>
      <c r="R13202" s="1"/>
      <c r="S13202" s="1"/>
      <c r="T13202" s="1"/>
      <c r="U13202" s="1"/>
      <c r="V13202" s="1"/>
      <c r="W13202" s="1"/>
      <c r="X13202" s="1"/>
      <c r="Y13202" s="1"/>
      <c r="Z13202" s="1"/>
      <c r="AA13202" s="1"/>
      <c r="AB13202" s="1"/>
    </row>
    <row r="13203" ht="50.25" customHeight="1">
      <c r="A13203" s="12">
        <v>13199.0</v>
      </c>
      <c r="B13203" s="13" t="s">
        <v>12594</v>
      </c>
      <c r="C13203" s="14" t="s">
        <v>12633</v>
      </c>
      <c r="D13203" s="1"/>
      <c r="E13203" s="1"/>
      <c r="F13203" s="1" t="str">
        <f>IFERROR(__xludf.DUMMYFUNCTION("GOOGLETRANSLATE(B13203, ""en"", ""fa"")
"),"صنایع دستی و پروژه های DIY")</f>
        <v>صنایع دستی و پروژه های DIY</v>
      </c>
      <c r="G13203" s="1" t="str">
        <f>IFERROR(__xludf.DUMMYFUNCTION("GOOGLETRANSLATE(C13203, ""en"", ""fa"")
"),"چند پروژه آسان و لذت بخش DIY برای بافتن یا قلاب بافی روسری چیست؟")</f>
        <v>چند پروژه آسان و لذت بخش DIY برای بافتن یا قلاب بافی روسری چیست؟</v>
      </c>
      <c r="H13203" s="1"/>
      <c r="I13203" s="1"/>
      <c r="J13203" s="1"/>
      <c r="K13203" s="1"/>
      <c r="L13203" s="1"/>
      <c r="M13203" s="1"/>
      <c r="N13203" s="1"/>
      <c r="O13203" s="1"/>
      <c r="P13203" s="1"/>
      <c r="Q13203" s="1"/>
      <c r="R13203" s="1"/>
      <c r="S13203" s="1"/>
      <c r="T13203" s="1"/>
      <c r="U13203" s="1"/>
      <c r="V13203" s="1"/>
      <c r="W13203" s="1"/>
      <c r="X13203" s="1"/>
      <c r="Y13203" s="1"/>
      <c r="Z13203" s="1"/>
      <c r="AA13203" s="1"/>
      <c r="AB13203" s="1"/>
    </row>
    <row r="13204" ht="50.25" customHeight="1">
      <c r="A13204" s="12">
        <v>13200.0</v>
      </c>
      <c r="B13204" s="13" t="s">
        <v>12594</v>
      </c>
      <c r="C13204" s="14" t="s">
        <v>12634</v>
      </c>
      <c r="D13204" s="1"/>
      <c r="E13204" s="1"/>
      <c r="F13204" s="1" t="str">
        <f>IFERROR(__xludf.DUMMYFUNCTION("GOOGLETRANSLATE(B13204, ""en"", ""fa"")
"),"صنایع دستی و پروژه های DIY")</f>
        <v>صنایع دستی و پروژه های DIY</v>
      </c>
      <c r="G13204" s="1" t="str">
        <f>IFERROR(__xludf.DUMMYFUNCTION("GOOGLETRANSLATE(C13204, ""en"", ""fa"")
"),"چگونه پالت های چوبی قدیمی را به قطعات کاربردی و تزئینی تبدیل کنم؟")</f>
        <v>چگونه پالت های چوبی قدیمی را به قطعات کاربردی و تزئینی تبدیل کنم؟</v>
      </c>
      <c r="H13204" s="1"/>
      <c r="I13204" s="1"/>
      <c r="J13204" s="1"/>
      <c r="K13204" s="1"/>
      <c r="L13204" s="1"/>
      <c r="M13204" s="1"/>
      <c r="N13204" s="1"/>
      <c r="O13204" s="1"/>
      <c r="P13204" s="1"/>
      <c r="Q13204" s="1"/>
      <c r="R13204" s="1"/>
      <c r="S13204" s="1"/>
      <c r="T13204" s="1"/>
      <c r="U13204" s="1"/>
      <c r="V13204" s="1"/>
      <c r="W13204" s="1"/>
      <c r="X13204" s="1"/>
      <c r="Y13204" s="1"/>
      <c r="Z13204" s="1"/>
      <c r="AA13204" s="1"/>
      <c r="AB13204" s="1"/>
    </row>
    <row r="13205" ht="50.25" customHeight="1">
      <c r="A13205" s="12">
        <v>13201.0</v>
      </c>
      <c r="B13205" s="13" t="s">
        <v>12594</v>
      </c>
      <c r="C13205" s="14" t="s">
        <v>12635</v>
      </c>
      <c r="D13205" s="1"/>
      <c r="E13205" s="1"/>
      <c r="F13205" s="1" t="str">
        <f>IFERROR(__xludf.DUMMYFUNCTION("GOOGLETRANSLATE(B13205, ""en"", ""fa"")
"),"صنایع دستی و پروژه های DIY")</f>
        <v>صنایع دستی و پروژه های DIY</v>
      </c>
      <c r="G13205" s="1" t="str">
        <f>IFERROR(__xludf.DUMMYFUNCTION("GOOGLETRANSLATE(C13205, ""en"", ""fa"")
"),"آیا می توانید تکنیک های DIY را برای ساخت اسکراب بدن خانگی با لایه بردارهای طبیعی توصیه کنید؟")</f>
        <v>آیا می توانید تکنیک های DIY را برای ساخت اسکراب بدن خانگی با لایه بردارهای طبیعی توصیه کنید؟</v>
      </c>
      <c r="H13205" s="1"/>
      <c r="I13205" s="1"/>
      <c r="J13205" s="1"/>
      <c r="K13205" s="1"/>
      <c r="L13205" s="1"/>
      <c r="M13205" s="1"/>
      <c r="N13205" s="1"/>
      <c r="O13205" s="1"/>
      <c r="P13205" s="1"/>
      <c r="Q13205" s="1"/>
      <c r="R13205" s="1"/>
      <c r="S13205" s="1"/>
      <c r="T13205" s="1"/>
      <c r="U13205" s="1"/>
      <c r="V13205" s="1"/>
      <c r="W13205" s="1"/>
      <c r="X13205" s="1"/>
      <c r="Y13205" s="1"/>
      <c r="Z13205" s="1"/>
      <c r="AA13205" s="1"/>
      <c r="AB13205" s="1"/>
    </row>
    <row r="13206" ht="50.25" customHeight="1">
      <c r="A13206" s="12">
        <v>13202.0</v>
      </c>
      <c r="B13206" s="13" t="s">
        <v>12594</v>
      </c>
      <c r="C13206" s="14" t="s">
        <v>12636</v>
      </c>
      <c r="D13206" s="1"/>
      <c r="E13206" s="1"/>
      <c r="F13206" s="1" t="str">
        <f>IFERROR(__xludf.DUMMYFUNCTION("GOOGLETRANSLATE(B13206, ""en"", ""fa"")
"),"صنایع دستی و پروژه های DIY")</f>
        <v>صنایع دستی و پروژه های DIY</v>
      </c>
      <c r="G13206" s="1" t="str">
        <f>IFERROR(__xludf.DUMMYFUNCTION("GOOGLETRANSLATE(C13206, ""en"", ""fa"")
"),"مراحل ایجاد شابلون های با طراحی سفارشی برای نقاشی دیواری یا کاردستی چیست؟")</f>
        <v>مراحل ایجاد شابلون های با طراحی سفارشی برای نقاشی دیواری یا کاردستی چیست؟</v>
      </c>
      <c r="H13206" s="1"/>
      <c r="I13206" s="1"/>
      <c r="J13206" s="1"/>
      <c r="K13206" s="1"/>
      <c r="L13206" s="1"/>
      <c r="M13206" s="1"/>
      <c r="N13206" s="1"/>
      <c r="O13206" s="1"/>
      <c r="P13206" s="1"/>
      <c r="Q13206" s="1"/>
      <c r="R13206" s="1"/>
      <c r="S13206" s="1"/>
      <c r="T13206" s="1"/>
      <c r="U13206" s="1"/>
      <c r="V13206" s="1"/>
      <c r="W13206" s="1"/>
      <c r="X13206" s="1"/>
      <c r="Y13206" s="1"/>
      <c r="Z13206" s="1"/>
      <c r="AA13206" s="1"/>
      <c r="AB13206" s="1"/>
    </row>
    <row r="13207" ht="50.25" customHeight="1">
      <c r="A13207" s="12">
        <v>13203.0</v>
      </c>
      <c r="B13207" s="13" t="s">
        <v>12594</v>
      </c>
      <c r="C13207" s="14" t="s">
        <v>12637</v>
      </c>
      <c r="D13207" s="1"/>
      <c r="E13207" s="1"/>
      <c r="F13207" s="1" t="str">
        <f>IFERROR(__xludf.DUMMYFUNCTION("GOOGLETRANSLATE(B13207, ""en"", ""fa"")
"),"صنایع دستی و پروژه های DIY")</f>
        <v>صنایع دستی و پروژه های DIY</v>
      </c>
      <c r="G13207" s="1" t="str">
        <f>IFERROR(__xludf.DUMMYFUNCTION("GOOGLETRANSLATE(C13207, ""en"", ""fa"")
"),"چگونه می توانم شیشه های معمولی را با چراغ های پری به فانوس های زیبای DIY تبدیل کنم؟")</f>
        <v>چگونه می توانم شیشه های معمولی را با چراغ های پری به فانوس های زیبای DIY تبدیل کنم؟</v>
      </c>
      <c r="H13207" s="1"/>
      <c r="I13207" s="1"/>
      <c r="J13207" s="1"/>
      <c r="K13207" s="1"/>
      <c r="L13207" s="1"/>
      <c r="M13207" s="1"/>
      <c r="N13207" s="1"/>
      <c r="O13207" s="1"/>
      <c r="P13207" s="1"/>
      <c r="Q13207" s="1"/>
      <c r="R13207" s="1"/>
      <c r="S13207" s="1"/>
      <c r="T13207" s="1"/>
      <c r="U13207" s="1"/>
      <c r="V13207" s="1"/>
      <c r="W13207" s="1"/>
      <c r="X13207" s="1"/>
      <c r="Y13207" s="1"/>
      <c r="Z13207" s="1"/>
      <c r="AA13207" s="1"/>
      <c r="AB13207" s="1"/>
    </row>
    <row r="13208" ht="50.25" customHeight="1">
      <c r="A13208" s="12">
        <v>13204.0</v>
      </c>
      <c r="B13208" s="13" t="s">
        <v>12594</v>
      </c>
      <c r="C13208" s="14" t="s">
        <v>12638</v>
      </c>
      <c r="D13208" s="1"/>
      <c r="E13208" s="1"/>
      <c r="F13208" s="1" t="str">
        <f>IFERROR(__xludf.DUMMYFUNCTION("GOOGLETRANSLATE(B13208, ""en"", ""fa"")
"),"صنایع دستی و پروژه های DIY")</f>
        <v>صنایع دستی و پروژه های DIY</v>
      </c>
      <c r="G13208" s="1" t="str">
        <f>IFERROR(__xludf.DUMMYFUNCTION("GOOGLETRANSLATE(C13208, ""en"", ""fa"")
"),"چند ایده نوآورانه برای ساخت آثار اوریگامی کاغذی DIY چیست؟")</f>
        <v>چند ایده نوآورانه برای ساخت آثار اوریگامی کاغذی DIY چیست؟</v>
      </c>
      <c r="H13208" s="1"/>
      <c r="I13208" s="1"/>
      <c r="J13208" s="1"/>
      <c r="K13208" s="1"/>
      <c r="L13208" s="1"/>
      <c r="M13208" s="1"/>
      <c r="N13208" s="1"/>
      <c r="O13208" s="1"/>
      <c r="P13208" s="1"/>
      <c r="Q13208" s="1"/>
      <c r="R13208" s="1"/>
      <c r="S13208" s="1"/>
      <c r="T13208" s="1"/>
      <c r="U13208" s="1"/>
      <c r="V13208" s="1"/>
      <c r="W13208" s="1"/>
      <c r="X13208" s="1"/>
      <c r="Y13208" s="1"/>
      <c r="Z13208" s="1"/>
      <c r="AA13208" s="1"/>
      <c r="AB13208" s="1"/>
    </row>
    <row r="13209" ht="50.25" customHeight="1">
      <c r="A13209" s="12">
        <v>13205.0</v>
      </c>
      <c r="B13209" s="13" t="s">
        <v>12594</v>
      </c>
      <c r="C13209" s="14" t="s">
        <v>12639</v>
      </c>
      <c r="D13209" s="1"/>
      <c r="E13209" s="1"/>
      <c r="F13209" s="1" t="str">
        <f>IFERROR(__xludf.DUMMYFUNCTION("GOOGLETRANSLATE(B13209, ""en"", ""fa"")
"),"صنایع دستی و پروژه های DIY")</f>
        <v>صنایع دستی و پروژه های DIY</v>
      </c>
      <c r="G13209" s="1" t="str">
        <f>IFERROR(__xludf.DUMMYFUNCTION("GOOGLETRANSLATE(C13209, ""en"", ""fa"")
"),"چگونه می توانم بالم لب خانگی کاملا طبیعی خود را با مواد مرطوب کننده درست کنم؟")</f>
        <v>چگونه می توانم بالم لب خانگی کاملا طبیعی خود را با مواد مرطوب کننده درست کنم؟</v>
      </c>
      <c r="H13209" s="1"/>
      <c r="I13209" s="1"/>
      <c r="J13209" s="1"/>
      <c r="K13209" s="1"/>
      <c r="L13209" s="1"/>
      <c r="M13209" s="1"/>
      <c r="N13209" s="1"/>
      <c r="O13209" s="1"/>
      <c r="P13209" s="1"/>
      <c r="Q13209" s="1"/>
      <c r="R13209" s="1"/>
      <c r="S13209" s="1"/>
      <c r="T13209" s="1"/>
      <c r="U13209" s="1"/>
      <c r="V13209" s="1"/>
      <c r="W13209" s="1"/>
      <c r="X13209" s="1"/>
      <c r="Y13209" s="1"/>
      <c r="Z13209" s="1"/>
      <c r="AA13209" s="1"/>
      <c r="AB13209" s="1"/>
    </row>
    <row r="13210" ht="50.25" customHeight="1">
      <c r="A13210" s="12">
        <v>13206.0</v>
      </c>
      <c r="B13210" s="13" t="s">
        <v>12594</v>
      </c>
      <c r="C13210" s="14" t="s">
        <v>12640</v>
      </c>
      <c r="D13210" s="1"/>
      <c r="E13210" s="1"/>
      <c r="F13210" s="1" t="str">
        <f>IFERROR(__xludf.DUMMYFUNCTION("GOOGLETRANSLATE(B13210, ""en"", ""fa"")
"),"صنایع دستی و پروژه های DIY")</f>
        <v>صنایع دستی و پروژه های DIY</v>
      </c>
      <c r="G13210" s="1" t="str">
        <f>IFERROR(__xludf.DUMMYFUNCTION("GOOGLETRANSLATE(C13210, ""en"", ""fa"")
"),"آیا می توانید پروژه های DIY آسان و خلاقانه ای را برای تزیین شیشه های مزون برای مصارف مختلف پیشنهاد دهید؟")</f>
        <v>آیا می توانید پروژه های DIY آسان و خلاقانه ای را برای تزیین شیشه های مزون برای مصارف مختلف پیشنهاد دهید؟</v>
      </c>
      <c r="H13210" s="1"/>
      <c r="I13210" s="1"/>
      <c r="J13210" s="1"/>
      <c r="K13210" s="1"/>
      <c r="L13210" s="1"/>
      <c r="M13210" s="1"/>
      <c r="N13210" s="1"/>
      <c r="O13210" s="1"/>
      <c r="P13210" s="1"/>
      <c r="Q13210" s="1"/>
      <c r="R13210" s="1"/>
      <c r="S13210" s="1"/>
      <c r="T13210" s="1"/>
      <c r="U13210" s="1"/>
      <c r="V13210" s="1"/>
      <c r="W13210" s="1"/>
      <c r="X13210" s="1"/>
      <c r="Y13210" s="1"/>
      <c r="Z13210" s="1"/>
      <c r="AA13210" s="1"/>
      <c r="AB13210" s="1"/>
    </row>
    <row r="13211" ht="50.25" customHeight="1">
      <c r="A13211" s="12">
        <v>13207.0</v>
      </c>
      <c r="B13211" s="13" t="s">
        <v>12594</v>
      </c>
      <c r="C13211" s="14" t="s">
        <v>12641</v>
      </c>
      <c r="D13211" s="1"/>
      <c r="E13211" s="1"/>
      <c r="F13211" s="1" t="str">
        <f>IFERROR(__xludf.DUMMYFUNCTION("GOOGLETRANSLATE(B13211, ""en"", ""fa"")
"),"صنایع دستی و پروژه های DIY")</f>
        <v>صنایع دستی و پروژه های DIY</v>
      </c>
      <c r="G13211" s="1" t="str">
        <f>IFERROR(__xludf.DUMMYFUNCTION("GOOGLETRANSLATE(C13211, ""en"", ""fa"")
"),"مراحل ساخت یک قفسه ذخیره سازی چوبی DIY برای سازماندهی وسایل من چیست؟")</f>
        <v>مراحل ساخت یک قفسه ذخیره سازی چوبی DIY برای سازماندهی وسایل من چیست؟</v>
      </c>
      <c r="H13211" s="1"/>
      <c r="I13211" s="1"/>
      <c r="J13211" s="1"/>
      <c r="K13211" s="1"/>
      <c r="L13211" s="1"/>
      <c r="M13211" s="1"/>
      <c r="N13211" s="1"/>
      <c r="O13211" s="1"/>
      <c r="P13211" s="1"/>
      <c r="Q13211" s="1"/>
      <c r="R13211" s="1"/>
      <c r="S13211" s="1"/>
      <c r="T13211" s="1"/>
      <c r="U13211" s="1"/>
      <c r="V13211" s="1"/>
      <c r="W13211" s="1"/>
      <c r="X13211" s="1"/>
      <c r="Y13211" s="1"/>
      <c r="Z13211" s="1"/>
      <c r="AA13211" s="1"/>
      <c r="AB13211" s="1"/>
    </row>
    <row r="13212" ht="50.25" customHeight="1">
      <c r="A13212" s="12">
        <v>13208.0</v>
      </c>
      <c r="B13212" s="13" t="s">
        <v>12594</v>
      </c>
      <c r="C13212" s="14" t="s">
        <v>12642</v>
      </c>
      <c r="D13212" s="1"/>
      <c r="E13212" s="1"/>
      <c r="F13212" s="1" t="str">
        <f>IFERROR(__xludf.DUMMYFUNCTION("GOOGLETRANSLATE(B13212, ""en"", ""fa"")
"),"صنایع دستی و پروژه های DIY")</f>
        <v>صنایع دستی و پروژه های DIY</v>
      </c>
      <c r="G13212" s="1" t="str">
        <f>IFERROR(__xludf.DUMMYFUNCTION("GOOGLETRANSLATE(C13212, ""en"", ""fa"")
"),"چگونه می توانم نقاشی دیواری بوم DIY خود را برای فضای زندگی خود طراحی و نقاشی کنم؟")</f>
        <v>چگونه می توانم نقاشی دیواری بوم DIY خود را برای فضای زندگی خود طراحی و نقاشی کنم؟</v>
      </c>
      <c r="H13212" s="1"/>
      <c r="I13212" s="1"/>
      <c r="J13212" s="1"/>
      <c r="K13212" s="1"/>
      <c r="L13212" s="1"/>
      <c r="M13212" s="1"/>
      <c r="N13212" s="1"/>
      <c r="O13212" s="1"/>
      <c r="P13212" s="1"/>
      <c r="Q13212" s="1"/>
      <c r="R13212" s="1"/>
      <c r="S13212" s="1"/>
      <c r="T13212" s="1"/>
      <c r="U13212" s="1"/>
      <c r="V13212" s="1"/>
      <c r="W13212" s="1"/>
      <c r="X13212" s="1"/>
      <c r="Y13212" s="1"/>
      <c r="Z13212" s="1"/>
      <c r="AA13212" s="1"/>
      <c r="AB13212" s="1"/>
    </row>
    <row r="13213" ht="50.25" customHeight="1">
      <c r="A13213" s="12">
        <v>13209.0</v>
      </c>
      <c r="B13213" s="13" t="s">
        <v>12594</v>
      </c>
      <c r="C13213" s="14" t="s">
        <v>12602</v>
      </c>
      <c r="D13213" s="1"/>
      <c r="E13213" s="1"/>
      <c r="F13213" s="1" t="str">
        <f>IFERROR(__xludf.DUMMYFUNCTION("GOOGLETRANSLATE(B13213, ""en"", ""fa"")
"),"صنایع دستی و پروژه های DIY")</f>
        <v>صنایع دستی و پروژه های DIY</v>
      </c>
      <c r="G13213" s="1" t="str">
        <f>IFERROR(__xludf.DUMMYFUNCTION("GOOGLETRANSLATE(C13213, ""en"", ""fa"")
"),"چند ایده سرگرم کننده و دوستدار محیط زیست برای ایجاد گلدان های DIY با استفاده از مواد بازیافتی چیست؟")</f>
        <v>چند ایده سرگرم کننده و دوستدار محیط زیست برای ایجاد گلدان های DIY با استفاده از مواد بازیافتی چیست؟</v>
      </c>
      <c r="H13213" s="1"/>
      <c r="I13213" s="1"/>
      <c r="J13213" s="1"/>
      <c r="K13213" s="1"/>
      <c r="L13213" s="1"/>
      <c r="M13213" s="1"/>
      <c r="N13213" s="1"/>
      <c r="O13213" s="1"/>
      <c r="P13213" s="1"/>
      <c r="Q13213" s="1"/>
      <c r="R13213" s="1"/>
      <c r="S13213" s="1"/>
      <c r="T13213" s="1"/>
      <c r="U13213" s="1"/>
      <c r="V13213" s="1"/>
      <c r="W13213" s="1"/>
      <c r="X13213" s="1"/>
      <c r="Y13213" s="1"/>
      <c r="Z13213" s="1"/>
      <c r="AA13213" s="1"/>
      <c r="AB13213" s="1"/>
    </row>
    <row r="13214" ht="50.25" customHeight="1">
      <c r="A13214" s="12">
        <v>13210.0</v>
      </c>
      <c r="B13214" s="13" t="s">
        <v>12594</v>
      </c>
      <c r="C13214" s="14" t="s">
        <v>12603</v>
      </c>
      <c r="D13214" s="1"/>
      <c r="E13214" s="1"/>
      <c r="F13214" s="1" t="str">
        <f>IFERROR(__xludf.DUMMYFUNCTION("GOOGLETRANSLATE(B13214, ""en"", ""fa"")
"),"صنایع دستی و پروژه های DIY")</f>
        <v>صنایع دستی و پروژه های DIY</v>
      </c>
      <c r="G13214" s="1" t="str">
        <f>IFERROR(__xludf.DUMMYFUNCTION("GOOGLETRANSLATE(C13214, ""en"", ""fa"")
"),"چگونه می توانم بمب های حمام خانگی با روغن های ضروری برای یک تجربه حمام آرامش بخش درست کنم؟")</f>
        <v>چگونه می توانم بمب های حمام خانگی با روغن های ضروری برای یک تجربه حمام آرامش بخش درست کنم؟</v>
      </c>
      <c r="H13214" s="1"/>
      <c r="I13214" s="1"/>
      <c r="J13214" s="1"/>
      <c r="K13214" s="1"/>
      <c r="L13214" s="1"/>
      <c r="M13214" s="1"/>
      <c r="N13214" s="1"/>
      <c r="O13214" s="1"/>
      <c r="P13214" s="1"/>
      <c r="Q13214" s="1"/>
      <c r="R13214" s="1"/>
      <c r="S13214" s="1"/>
      <c r="T13214" s="1"/>
      <c r="U13214" s="1"/>
      <c r="V13214" s="1"/>
      <c r="W13214" s="1"/>
      <c r="X13214" s="1"/>
      <c r="Y13214" s="1"/>
      <c r="Z13214" s="1"/>
      <c r="AA13214" s="1"/>
      <c r="AB13214" s="1"/>
    </row>
    <row r="13215" ht="50.25" customHeight="1">
      <c r="A13215" s="12">
        <v>13211.0</v>
      </c>
      <c r="B13215" s="13" t="s">
        <v>12594</v>
      </c>
      <c r="C13215" s="14" t="s">
        <v>12643</v>
      </c>
      <c r="D13215" s="1"/>
      <c r="E13215" s="1"/>
      <c r="F13215" s="1" t="str">
        <f>IFERROR(__xludf.DUMMYFUNCTION("GOOGLETRANSLATE(B13215, ""en"", ""fa"")
"),"صنایع دستی و پروژه های DIY")</f>
        <v>صنایع دستی و پروژه های DIY</v>
      </c>
      <c r="G13215" s="1" t="str">
        <f>IFERROR(__xludf.DUMMYFUNCTION("GOOGLETRANSLATE(C13215, ""en"", ""fa"")
"),"آیا می‌توانید روش‌های خلاقانه‌ای برای شخصی‌سازی تی‌شرت‌های ساده با رنگ پارچه و شابلون‌ها توصیه کنید؟")</f>
        <v>آیا می‌توانید روش‌های خلاقانه‌ای برای شخصی‌سازی تی‌شرت‌های ساده با رنگ پارچه و شابلون‌ها توصیه کنید؟</v>
      </c>
      <c r="H13215" s="1"/>
      <c r="I13215" s="1"/>
      <c r="J13215" s="1"/>
      <c r="K13215" s="1"/>
      <c r="L13215" s="1"/>
      <c r="M13215" s="1"/>
      <c r="N13215" s="1"/>
      <c r="O13215" s="1"/>
      <c r="P13215" s="1"/>
      <c r="Q13215" s="1"/>
      <c r="R13215" s="1"/>
      <c r="S13215" s="1"/>
      <c r="T13215" s="1"/>
      <c r="U13215" s="1"/>
      <c r="V13215" s="1"/>
      <c r="W13215" s="1"/>
      <c r="X13215" s="1"/>
      <c r="Y13215" s="1"/>
      <c r="Z13215" s="1"/>
      <c r="AA13215" s="1"/>
      <c r="AB13215" s="1"/>
    </row>
    <row r="13216" ht="50.25" customHeight="1">
      <c r="A13216" s="12">
        <v>13212.0</v>
      </c>
      <c r="B13216" s="13" t="s">
        <v>12594</v>
      </c>
      <c r="C13216" s="14" t="s">
        <v>12605</v>
      </c>
      <c r="D13216" s="1"/>
      <c r="E13216" s="1"/>
      <c r="F13216" s="1" t="str">
        <f>IFERROR(__xludf.DUMMYFUNCTION("GOOGLETRANSLATE(B13216, ""en"", ""fa"")
"),"صنایع دستی و پروژه های DIY")</f>
        <v>صنایع دستی و پروژه های DIY</v>
      </c>
      <c r="G13216" s="1" t="str">
        <f>IFERROR(__xludf.DUMMYFUNCTION("GOOGLETRANSLATE(C13216, ""en"", ""fa"")
"),"مراحل ساخت یک قفسه کتاب چوبی از ابتدا برای خانه من چیست؟")</f>
        <v>مراحل ساخت یک قفسه کتاب چوبی از ابتدا برای خانه من چیست؟</v>
      </c>
      <c r="H13216" s="1"/>
      <c r="I13216" s="1"/>
      <c r="J13216" s="1"/>
      <c r="K13216" s="1"/>
      <c r="L13216" s="1"/>
      <c r="M13216" s="1"/>
      <c r="N13216" s="1"/>
      <c r="O13216" s="1"/>
      <c r="P13216" s="1"/>
      <c r="Q13216" s="1"/>
      <c r="R13216" s="1"/>
      <c r="S13216" s="1"/>
      <c r="T13216" s="1"/>
      <c r="U13216" s="1"/>
      <c r="V13216" s="1"/>
      <c r="W13216" s="1"/>
      <c r="X13216" s="1"/>
      <c r="Y13216" s="1"/>
      <c r="Z13216" s="1"/>
      <c r="AA13216" s="1"/>
      <c r="AB13216" s="1"/>
    </row>
    <row r="13217" ht="50.25" customHeight="1">
      <c r="A13217" s="12">
        <v>13213.0</v>
      </c>
      <c r="B13217" s="13" t="s">
        <v>12594</v>
      </c>
      <c r="C13217" s="14" t="s">
        <v>12606</v>
      </c>
      <c r="D13217" s="1"/>
      <c r="E13217" s="1"/>
      <c r="F13217" s="1" t="str">
        <f>IFERROR(__xludf.DUMMYFUNCTION("GOOGLETRANSLATE(B13217, ""en"", ""fa"")
"),"صنایع دستی و پروژه های DIY")</f>
        <v>صنایع دستی و پروژه های DIY</v>
      </c>
      <c r="G13217" s="1" t="str">
        <f>IFERROR(__xludf.DUMMYFUNCTION("GOOGLETRANSLATE(C13217, ""en"", ""fa"")
"),"چگونه می توانم شیشه های سنگ تراشی را به فانوس های روستایی برای دکوراسیون فضای باز تبدیل کنم؟")</f>
        <v>چگونه می توانم شیشه های سنگ تراشی را به فانوس های روستایی برای دکوراسیون فضای باز تبدیل کنم؟</v>
      </c>
      <c r="H13217" s="1"/>
      <c r="I13217" s="1"/>
      <c r="J13217" s="1"/>
      <c r="K13217" s="1"/>
      <c r="L13217" s="1"/>
      <c r="M13217" s="1"/>
      <c r="N13217" s="1"/>
      <c r="O13217" s="1"/>
      <c r="P13217" s="1"/>
      <c r="Q13217" s="1"/>
      <c r="R13217" s="1"/>
      <c r="S13217" s="1"/>
      <c r="T13217" s="1"/>
      <c r="U13217" s="1"/>
      <c r="V13217" s="1"/>
      <c r="W13217" s="1"/>
      <c r="X13217" s="1"/>
      <c r="Y13217" s="1"/>
      <c r="Z13217" s="1"/>
      <c r="AA13217" s="1"/>
      <c r="AB13217" s="1"/>
    </row>
    <row r="13218" ht="50.25" customHeight="1">
      <c r="A13218" s="12">
        <v>13214.0</v>
      </c>
      <c r="B13218" s="13" t="s">
        <v>12594</v>
      </c>
      <c r="C13218" s="14" t="s">
        <v>12644</v>
      </c>
      <c r="D13218" s="1"/>
      <c r="E13218" s="1"/>
      <c r="F13218" s="1" t="str">
        <f>IFERROR(__xludf.DUMMYFUNCTION("GOOGLETRANSLATE(B13218, ""en"", ""fa"")
"),"صنایع دستی و پروژه های DIY")</f>
        <v>صنایع دستی و پروژه های DIY</v>
      </c>
      <c r="G13218" s="1" t="str">
        <f>IFERROR(__xludf.DUMMYFUNCTION("GOOGLETRANSLATE(C13218, ""en"", ""fa"")
"),"آیا می توانید تکنیک های DIY برای تهیه صابون طبیعی خانگی با مواد مغذی را پیشنهاد دهید؟")</f>
        <v>آیا می توانید تکنیک های DIY برای تهیه صابون طبیعی خانگی با مواد مغذی را پیشنهاد دهید؟</v>
      </c>
      <c r="H13218" s="1"/>
      <c r="I13218" s="1"/>
      <c r="J13218" s="1"/>
      <c r="K13218" s="1"/>
      <c r="L13218" s="1"/>
      <c r="M13218" s="1"/>
      <c r="N13218" s="1"/>
      <c r="O13218" s="1"/>
      <c r="P13218" s="1"/>
      <c r="Q13218" s="1"/>
      <c r="R13218" s="1"/>
      <c r="S13218" s="1"/>
      <c r="T13218" s="1"/>
      <c r="U13218" s="1"/>
      <c r="V13218" s="1"/>
      <c r="W13218" s="1"/>
      <c r="X13218" s="1"/>
      <c r="Y13218" s="1"/>
      <c r="Z13218" s="1"/>
      <c r="AA13218" s="1"/>
      <c r="AB13218" s="1"/>
    </row>
    <row r="13219" ht="50.25" customHeight="1">
      <c r="A13219" s="12">
        <v>13215.0</v>
      </c>
      <c r="B13219" s="13" t="s">
        <v>12594</v>
      </c>
      <c r="C13219" s="14" t="s">
        <v>12608</v>
      </c>
      <c r="D13219" s="1"/>
      <c r="E13219" s="1"/>
      <c r="F13219" s="1" t="str">
        <f>IFERROR(__xludf.DUMMYFUNCTION("GOOGLETRANSLATE(B13219, ""en"", ""fa"")
"),"صنایع دستی و پروژه های DIY")</f>
        <v>صنایع دستی و پروژه های DIY</v>
      </c>
      <c r="G13219" s="1" t="str">
        <f>IFERROR(__xludf.DUMMYFUNCTION("GOOGLETRANSLATE(C13219, ""en"", ""fa"")
"),"چند ایده آسان و مقرون به صرفه برای ساخت زیور آلات دست ساز تعطیلات چیست؟")</f>
        <v>چند ایده آسان و مقرون به صرفه برای ساخت زیور آلات دست ساز تعطیلات چیست؟</v>
      </c>
      <c r="H13219" s="1"/>
      <c r="I13219" s="1"/>
      <c r="J13219" s="1"/>
      <c r="K13219" s="1"/>
      <c r="L13219" s="1"/>
      <c r="M13219" s="1"/>
      <c r="N13219" s="1"/>
      <c r="O13219" s="1"/>
      <c r="P13219" s="1"/>
      <c r="Q13219" s="1"/>
      <c r="R13219" s="1"/>
      <c r="S13219" s="1"/>
      <c r="T13219" s="1"/>
      <c r="U13219" s="1"/>
      <c r="V13219" s="1"/>
      <c r="W13219" s="1"/>
      <c r="X13219" s="1"/>
      <c r="Y13219" s="1"/>
      <c r="Z13219" s="1"/>
      <c r="AA13219" s="1"/>
      <c r="AB13219" s="1"/>
    </row>
    <row r="13220" ht="50.25" customHeight="1">
      <c r="A13220" s="12">
        <v>13216.0</v>
      </c>
      <c r="B13220" s="13" t="s">
        <v>12594</v>
      </c>
      <c r="C13220" s="14" t="s">
        <v>12609</v>
      </c>
      <c r="D13220" s="1"/>
      <c r="E13220" s="1"/>
      <c r="F13220" s="1" t="str">
        <f>IFERROR(__xludf.DUMMYFUNCTION("GOOGLETRANSLATE(B13220, ""en"", ""fa"")
"),"صنایع دستی و پروژه های DIY")</f>
        <v>صنایع دستی و پروژه های DIY</v>
      </c>
      <c r="G13220" s="1" t="str">
        <f>IFERROR(__xludf.DUMMYFUNCTION("GOOGLETRANSLATE(C13220, ""en"", ""fa"")
"),"چگونه می توانم با استفاده از گل ها و برگ های فشرده شده برای لمس گیاه شناسی یک هنر دیواری DIY ایجاد کنم؟")</f>
        <v>چگونه می توانم با استفاده از گل ها و برگ های فشرده شده برای لمس گیاه شناسی یک هنر دیواری DIY ایجاد کنم؟</v>
      </c>
      <c r="H13220" s="1"/>
      <c r="I13220" s="1"/>
      <c r="J13220" s="1"/>
      <c r="K13220" s="1"/>
      <c r="L13220" s="1"/>
      <c r="M13220" s="1"/>
      <c r="N13220" s="1"/>
      <c r="O13220" s="1"/>
      <c r="P13220" s="1"/>
      <c r="Q13220" s="1"/>
      <c r="R13220" s="1"/>
      <c r="S13220" s="1"/>
      <c r="T13220" s="1"/>
      <c r="U13220" s="1"/>
      <c r="V13220" s="1"/>
      <c r="W13220" s="1"/>
      <c r="X13220" s="1"/>
      <c r="Y13220" s="1"/>
      <c r="Z13220" s="1"/>
      <c r="AA13220" s="1"/>
      <c r="AB13220" s="1"/>
    </row>
    <row r="13221" ht="50.25" customHeight="1">
      <c r="A13221" s="12">
        <v>13217.0</v>
      </c>
      <c r="B13221" s="13" t="s">
        <v>12594</v>
      </c>
      <c r="C13221" s="14" t="s">
        <v>12645</v>
      </c>
      <c r="D13221" s="1"/>
      <c r="E13221" s="1"/>
      <c r="F13221" s="1" t="str">
        <f>IFERROR(__xludf.DUMMYFUNCTION("GOOGLETRANSLATE(B13221, ""en"", ""fa"")
"),"صنایع دستی و پروژه های DIY")</f>
        <v>صنایع دستی و پروژه های DIY</v>
      </c>
      <c r="G13221" s="1" t="str">
        <f>IFERROR(__xludf.DUMMYFUNCTION("GOOGLETRANSLATE(C13221, ""en"", ""fa"")
"),"آیا می توانید پروژه های ساده بافتنی یا قلاب بافی را برای مبتدیان توصیه کنید؟")</f>
        <v>آیا می توانید پروژه های ساده بافتنی یا قلاب بافی را برای مبتدیان توصیه کنید؟</v>
      </c>
      <c r="H13221" s="1"/>
      <c r="I13221" s="1"/>
      <c r="J13221" s="1"/>
      <c r="K13221" s="1"/>
      <c r="L13221" s="1"/>
      <c r="M13221" s="1"/>
      <c r="N13221" s="1"/>
      <c r="O13221" s="1"/>
      <c r="P13221" s="1"/>
      <c r="Q13221" s="1"/>
      <c r="R13221" s="1"/>
      <c r="S13221" s="1"/>
      <c r="T13221" s="1"/>
      <c r="U13221" s="1"/>
      <c r="V13221" s="1"/>
      <c r="W13221" s="1"/>
      <c r="X13221" s="1"/>
      <c r="Y13221" s="1"/>
      <c r="Z13221" s="1"/>
      <c r="AA13221" s="1"/>
      <c r="AB13221" s="1"/>
    </row>
    <row r="13222" ht="50.25" customHeight="1">
      <c r="A13222" s="12">
        <v>13218.0</v>
      </c>
      <c r="B13222" s="13" t="s">
        <v>12594</v>
      </c>
      <c r="C13222" s="14" t="s">
        <v>12611</v>
      </c>
      <c r="D13222" s="1"/>
      <c r="E13222" s="1"/>
      <c r="F13222" s="1" t="str">
        <f>IFERROR(__xludf.DUMMYFUNCTION("GOOGLETRANSLATE(B13222, ""en"", ""fa"")
"),"صنایع دستی و پروژه های DIY")</f>
        <v>صنایع دستی و پروژه های DIY</v>
      </c>
      <c r="G13222" s="1" t="str">
        <f>IFERROR(__xludf.DUMMYFUNCTION("GOOGLETRANSLATE(C13222, ""en"", ""fa"")
"),"مراحل ساخت نمک حمام خانگی با فواید درمانی چیست؟")</f>
        <v>مراحل ساخت نمک حمام خانگی با فواید درمانی چیست؟</v>
      </c>
      <c r="H13222" s="1"/>
      <c r="I13222" s="1"/>
      <c r="J13222" s="1"/>
      <c r="K13222" s="1"/>
      <c r="L13222" s="1"/>
      <c r="M13222" s="1"/>
      <c r="N13222" s="1"/>
      <c r="O13222" s="1"/>
      <c r="P13222" s="1"/>
      <c r="Q13222" s="1"/>
      <c r="R13222" s="1"/>
      <c r="S13222" s="1"/>
      <c r="T13222" s="1"/>
      <c r="U13222" s="1"/>
      <c r="V13222" s="1"/>
      <c r="W13222" s="1"/>
      <c r="X13222" s="1"/>
      <c r="Y13222" s="1"/>
      <c r="Z13222" s="1"/>
      <c r="AA13222" s="1"/>
      <c r="AB13222" s="1"/>
    </row>
    <row r="13223" ht="50.25" customHeight="1">
      <c r="A13223" s="12">
        <v>13219.0</v>
      </c>
      <c r="B13223" s="13" t="s">
        <v>12594</v>
      </c>
      <c r="C13223" s="14" t="s">
        <v>12612</v>
      </c>
      <c r="D13223" s="1"/>
      <c r="E13223" s="1"/>
      <c r="F13223" s="1" t="str">
        <f>IFERROR(__xludf.DUMMYFUNCTION("GOOGLETRANSLATE(B13223, ""en"", ""fa"")
"),"صنایع دستی و پروژه های DIY")</f>
        <v>صنایع دستی و پروژه های DIY</v>
      </c>
      <c r="G13223" s="1" t="str">
        <f>IFERROR(__xludf.DUMMYFUNCTION("GOOGLETRANSLATE(C13223, ""en"", ""fa"")
"),"چگونه می توانم تابلوهای چوبی تزئینی خود را برای خانه خود طراحی و نقاشی کنم؟")</f>
        <v>چگونه می توانم تابلوهای چوبی تزئینی خود را برای خانه خود طراحی و نقاشی کنم؟</v>
      </c>
      <c r="H13223" s="1"/>
      <c r="I13223" s="1"/>
      <c r="J13223" s="1"/>
      <c r="K13223" s="1"/>
      <c r="L13223" s="1"/>
      <c r="M13223" s="1"/>
      <c r="N13223" s="1"/>
      <c r="O13223" s="1"/>
      <c r="P13223" s="1"/>
      <c r="Q13223" s="1"/>
      <c r="R13223" s="1"/>
      <c r="S13223" s="1"/>
      <c r="T13223" s="1"/>
      <c r="U13223" s="1"/>
      <c r="V13223" s="1"/>
      <c r="W13223" s="1"/>
      <c r="X13223" s="1"/>
      <c r="Y13223" s="1"/>
      <c r="Z13223" s="1"/>
      <c r="AA13223" s="1"/>
      <c r="AB13223" s="1"/>
    </row>
    <row r="13224" ht="50.25" customHeight="1">
      <c r="A13224" s="12">
        <v>13220.0</v>
      </c>
      <c r="B13224" s="13" t="s">
        <v>12594</v>
      </c>
      <c r="C13224" s="14" t="s">
        <v>12613</v>
      </c>
      <c r="D13224" s="1"/>
      <c r="E13224" s="1"/>
      <c r="F13224" s="1" t="str">
        <f>IFERROR(__xludf.DUMMYFUNCTION("GOOGLETRANSLATE(B13224, ""en"", ""fa"")
"),"صنایع دستی و پروژه های DIY")</f>
        <v>صنایع دستی و پروژه های DIY</v>
      </c>
      <c r="G13224" s="1" t="str">
        <f>IFERROR(__xludf.DUMMYFUNCTION("GOOGLETRANSLATE(C13224, ""en"", ""fa"")
"),"برخی از ایده های DIY برای ایجاد جواهرات شخصی با مهره ها و طلسم ها چیست؟")</f>
        <v>برخی از ایده های DIY برای ایجاد جواهرات شخصی با مهره ها و طلسم ها چیست؟</v>
      </c>
      <c r="H13224" s="1"/>
      <c r="I13224" s="1"/>
      <c r="J13224" s="1"/>
      <c r="K13224" s="1"/>
      <c r="L13224" s="1"/>
      <c r="M13224" s="1"/>
      <c r="N13224" s="1"/>
      <c r="O13224" s="1"/>
      <c r="P13224" s="1"/>
      <c r="Q13224" s="1"/>
      <c r="R13224" s="1"/>
      <c r="S13224" s="1"/>
      <c r="T13224" s="1"/>
      <c r="U13224" s="1"/>
      <c r="V13224" s="1"/>
      <c r="W13224" s="1"/>
      <c r="X13224" s="1"/>
      <c r="Y13224" s="1"/>
      <c r="Z13224" s="1"/>
      <c r="AA13224" s="1"/>
      <c r="AB13224" s="1"/>
    </row>
    <row r="13225" ht="50.25" customHeight="1">
      <c r="A13225" s="12">
        <v>13221.0</v>
      </c>
      <c r="B13225" s="13" t="s">
        <v>12594</v>
      </c>
      <c r="C13225" s="14" t="s">
        <v>12614</v>
      </c>
      <c r="D13225" s="1"/>
      <c r="E13225" s="1"/>
      <c r="F13225" s="1" t="str">
        <f>IFERROR(__xludf.DUMMYFUNCTION("GOOGLETRANSLATE(B13225, ""en"", ""fa"")
"),"صنایع دستی و پروژه های DIY")</f>
        <v>صنایع دستی و پروژه های DIY</v>
      </c>
      <c r="G13225" s="1" t="str">
        <f>IFERROR(__xludf.DUMMYFUNCTION("GOOGLETRANSLATE(C13225, ""en"", ""fa"")
"),"چگونه می توانم بطری های شراب قدیمی را به گلدان های زیبا یا جا شمع تبدیل کنم؟")</f>
        <v>چگونه می توانم بطری های شراب قدیمی را به گلدان های زیبا یا جا شمع تبدیل کنم؟</v>
      </c>
      <c r="H13225" s="1"/>
      <c r="I13225" s="1"/>
      <c r="J13225" s="1"/>
      <c r="K13225" s="1"/>
      <c r="L13225" s="1"/>
      <c r="M13225" s="1"/>
      <c r="N13225" s="1"/>
      <c r="O13225" s="1"/>
      <c r="P13225" s="1"/>
      <c r="Q13225" s="1"/>
      <c r="R13225" s="1"/>
      <c r="S13225" s="1"/>
      <c r="T13225" s="1"/>
      <c r="U13225" s="1"/>
      <c r="V13225" s="1"/>
      <c r="W13225" s="1"/>
      <c r="X13225" s="1"/>
      <c r="Y13225" s="1"/>
      <c r="Z13225" s="1"/>
      <c r="AA13225" s="1"/>
      <c r="AB13225" s="1"/>
    </row>
    <row r="13226" ht="50.25" customHeight="1">
      <c r="A13226" s="12">
        <v>13222.0</v>
      </c>
      <c r="B13226" s="13" t="s">
        <v>12594</v>
      </c>
      <c r="C13226" s="14" t="s">
        <v>12615</v>
      </c>
      <c r="D13226" s="1"/>
      <c r="E13226" s="1"/>
      <c r="F13226" s="1" t="str">
        <f>IFERROR(__xludf.DUMMYFUNCTION("GOOGLETRANSLATE(B13226, ""en"", ""fa"")
"),"صنایع دستی و پروژه های DIY")</f>
        <v>صنایع دستی و پروژه های DIY</v>
      </c>
      <c r="G13226" s="1" t="str">
        <f>IFERROR(__xludf.DUMMYFUNCTION("GOOGLETRANSLATE(C13226, ""en"", ""fa"")
"),"آیا می توانید تکنیک های DIY را برای ساخت محصولات پاک کننده طبیعی و بدون مواد شیمیایی توصیه کنید؟")</f>
        <v>آیا می توانید تکنیک های DIY را برای ساخت محصولات پاک کننده طبیعی و بدون مواد شیمیایی توصیه کنید؟</v>
      </c>
      <c r="H13226" s="1"/>
      <c r="I13226" s="1"/>
      <c r="J13226" s="1"/>
      <c r="K13226" s="1"/>
      <c r="L13226" s="1"/>
      <c r="M13226" s="1"/>
      <c r="N13226" s="1"/>
      <c r="O13226" s="1"/>
      <c r="P13226" s="1"/>
      <c r="Q13226" s="1"/>
      <c r="R13226" s="1"/>
      <c r="S13226" s="1"/>
      <c r="T13226" s="1"/>
      <c r="U13226" s="1"/>
      <c r="V13226" s="1"/>
      <c r="W13226" s="1"/>
      <c r="X13226" s="1"/>
      <c r="Y13226" s="1"/>
      <c r="Z13226" s="1"/>
      <c r="AA13226" s="1"/>
      <c r="AB13226" s="1"/>
    </row>
    <row r="13227" ht="50.25" customHeight="1">
      <c r="A13227" s="12">
        <v>13223.0</v>
      </c>
      <c r="B13227" s="13" t="s">
        <v>12594</v>
      </c>
      <c r="C13227" s="14" t="s">
        <v>12616</v>
      </c>
      <c r="D13227" s="1"/>
      <c r="E13227" s="1"/>
      <c r="F13227" s="1" t="str">
        <f>IFERROR(__xludf.DUMMYFUNCTION("GOOGLETRANSLATE(B13227, ""en"", ""fa"")
"),"صنایع دستی و پروژه های DIY")</f>
        <v>صنایع دستی و پروژه های DIY</v>
      </c>
      <c r="G13227" s="1" t="str">
        <f>IFERROR(__xludf.DUMMYFUNCTION("GOOGLETRANSLATE(C13227, ""en"", ""fa"")
"),"برای ایجاد یک پتوی پشمی بدون خیاطی دنج و شیک چه مراحلی وجود دارد؟")</f>
        <v>برای ایجاد یک پتوی پشمی بدون خیاطی دنج و شیک چه مراحلی وجود دارد؟</v>
      </c>
      <c r="H13227" s="1"/>
      <c r="I13227" s="1"/>
      <c r="J13227" s="1"/>
      <c r="K13227" s="1"/>
      <c r="L13227" s="1"/>
      <c r="M13227" s="1"/>
      <c r="N13227" s="1"/>
      <c r="O13227" s="1"/>
      <c r="P13227" s="1"/>
      <c r="Q13227" s="1"/>
      <c r="R13227" s="1"/>
      <c r="S13227" s="1"/>
      <c r="T13227" s="1"/>
      <c r="U13227" s="1"/>
      <c r="V13227" s="1"/>
      <c r="W13227" s="1"/>
      <c r="X13227" s="1"/>
      <c r="Y13227" s="1"/>
      <c r="Z13227" s="1"/>
      <c r="AA13227" s="1"/>
      <c r="AB13227" s="1"/>
    </row>
    <row r="13228" ht="50.25" customHeight="1">
      <c r="A13228" s="12">
        <v>13224.0</v>
      </c>
      <c r="B13228" s="13" t="s">
        <v>12594</v>
      </c>
      <c r="C13228" s="14" t="s">
        <v>12617</v>
      </c>
      <c r="D13228" s="1"/>
      <c r="E13228" s="1"/>
      <c r="F13228" s="1" t="str">
        <f>IFERROR(__xludf.DUMMYFUNCTION("GOOGLETRANSLATE(B13228, ""en"", ""fa"")
"),"صنایع دستی و پروژه های DIY")</f>
        <v>صنایع دستی و پروژه های DIY</v>
      </c>
      <c r="G13228" s="1" t="str">
        <f>IFERROR(__xludf.DUMMYFUNCTION("GOOGLETRANSLATE(C13228, ""en"", ""fa"")
"),"چگونه می توانم تراریوم DIY خود را با ساکولنت ها و کاکتوس ها طراحی و بسازم؟")</f>
        <v>چگونه می توانم تراریوم DIY خود را با ساکولنت ها و کاکتوس ها طراحی و بسازم؟</v>
      </c>
      <c r="H13228" s="1"/>
      <c r="I13228" s="1"/>
      <c r="J13228" s="1"/>
      <c r="K13228" s="1"/>
      <c r="L13228" s="1"/>
      <c r="M13228" s="1"/>
      <c r="N13228" s="1"/>
      <c r="O13228" s="1"/>
      <c r="P13228" s="1"/>
      <c r="Q13228" s="1"/>
      <c r="R13228" s="1"/>
      <c r="S13228" s="1"/>
      <c r="T13228" s="1"/>
      <c r="U13228" s="1"/>
      <c r="V13228" s="1"/>
      <c r="W13228" s="1"/>
      <c r="X13228" s="1"/>
      <c r="Y13228" s="1"/>
      <c r="Z13228" s="1"/>
      <c r="AA13228" s="1"/>
      <c r="AB13228" s="1"/>
    </row>
    <row r="13229" ht="50.25" customHeight="1">
      <c r="A13229" s="12">
        <v>13225.0</v>
      </c>
      <c r="B13229" s="13" t="s">
        <v>12594</v>
      </c>
      <c r="C13229" s="14" t="s">
        <v>12618</v>
      </c>
      <c r="D13229" s="1"/>
      <c r="E13229" s="1"/>
      <c r="F13229" s="1" t="str">
        <f>IFERROR(__xludf.DUMMYFUNCTION("GOOGLETRANSLATE(B13229, ""en"", ""fa"")
"),"صنایع دستی و پروژه های DIY")</f>
        <v>صنایع دستی و پروژه های DIY</v>
      </c>
      <c r="G13229" s="1" t="str">
        <f>IFERROR(__xludf.DUMMYFUNCTION("GOOGLETRANSLATE(C13229, ""en"", ""fa"")
"),"چند روش خلاقانه برای چرخاندن ظروف شیشه ای در ظروف ذخیره سازی یا گلدان چیست؟")</f>
        <v>چند روش خلاقانه برای چرخاندن ظروف شیشه ای در ظروف ذخیره سازی یا گلدان چیست؟</v>
      </c>
      <c r="H13229" s="1"/>
      <c r="I13229" s="1"/>
      <c r="J13229" s="1"/>
      <c r="K13229" s="1"/>
      <c r="L13229" s="1"/>
      <c r="M13229" s="1"/>
      <c r="N13229" s="1"/>
      <c r="O13229" s="1"/>
      <c r="P13229" s="1"/>
      <c r="Q13229" s="1"/>
      <c r="R13229" s="1"/>
      <c r="S13229" s="1"/>
      <c r="T13229" s="1"/>
      <c r="U13229" s="1"/>
      <c r="V13229" s="1"/>
      <c r="W13229" s="1"/>
      <c r="X13229" s="1"/>
      <c r="Y13229" s="1"/>
      <c r="Z13229" s="1"/>
      <c r="AA13229" s="1"/>
      <c r="AB13229" s="1"/>
    </row>
    <row r="13230" ht="50.25" customHeight="1">
      <c r="A13230" s="12">
        <v>13226.0</v>
      </c>
      <c r="B13230" s="13" t="s">
        <v>12594</v>
      </c>
      <c r="C13230" s="14" t="s">
        <v>12619</v>
      </c>
      <c r="D13230" s="1"/>
      <c r="E13230" s="1"/>
      <c r="F13230" s="1" t="str">
        <f>IFERROR(__xludf.DUMMYFUNCTION("GOOGLETRANSLATE(B13230, ""en"", ""fa"")
"),"صنایع دستی و پروژه های DIY")</f>
        <v>صنایع دستی و پروژه های DIY</v>
      </c>
      <c r="G13230" s="1" t="str">
        <f>IFERROR(__xludf.DUMMYFUNCTION("GOOGLETRANSLATE(C13230, ""en"", ""fa"")
"),"چگونه نمک حمام خانگی را با رایحه های تسکین دهنده و نمک اپسوم درست کنم؟")</f>
        <v>چگونه نمک حمام خانگی را با رایحه های تسکین دهنده و نمک اپسوم درست کنم؟</v>
      </c>
      <c r="H13230" s="1"/>
      <c r="I13230" s="1"/>
      <c r="J13230" s="1"/>
      <c r="K13230" s="1"/>
      <c r="L13230" s="1"/>
      <c r="M13230" s="1"/>
      <c r="N13230" s="1"/>
      <c r="O13230" s="1"/>
      <c r="P13230" s="1"/>
      <c r="Q13230" s="1"/>
      <c r="R13230" s="1"/>
      <c r="S13230" s="1"/>
      <c r="T13230" s="1"/>
      <c r="U13230" s="1"/>
      <c r="V13230" s="1"/>
      <c r="W13230" s="1"/>
      <c r="X13230" s="1"/>
      <c r="Y13230" s="1"/>
      <c r="Z13230" s="1"/>
      <c r="AA13230" s="1"/>
      <c r="AB13230" s="1"/>
    </row>
    <row r="13231" ht="50.25" customHeight="1">
      <c r="A13231" s="12">
        <v>13227.0</v>
      </c>
      <c r="B13231" s="13" t="s">
        <v>12594</v>
      </c>
      <c r="C13231" s="14" t="s">
        <v>12620</v>
      </c>
      <c r="D13231" s="1"/>
      <c r="E13231" s="1"/>
      <c r="F13231" s="1" t="str">
        <f>IFERROR(__xludf.DUMMYFUNCTION("GOOGLETRANSLATE(B13231, ""en"", ""fa"")
"),"صنایع دستی و پروژه های DIY")</f>
        <v>صنایع دستی و پروژه های DIY</v>
      </c>
      <c r="G13231" s="1" t="str">
        <f>IFERROR(__xludf.DUMMYFUNCTION("GOOGLETRANSLATE(C13231, ""en"", ""fa"")
"),"آیا می توانید پروژه های ساده و سرگرم کننده DIY را برای بچه ها پیشنهاد کنید تا از کاردستی در خانه لذت ببرند؟")</f>
        <v>آیا می توانید پروژه های ساده و سرگرم کننده DIY را برای بچه ها پیشنهاد کنید تا از کاردستی در خانه لذت ببرند؟</v>
      </c>
      <c r="H13231" s="1"/>
      <c r="I13231" s="1"/>
      <c r="J13231" s="1"/>
      <c r="K13231" s="1"/>
      <c r="L13231" s="1"/>
      <c r="M13231" s="1"/>
      <c r="N13231" s="1"/>
      <c r="O13231" s="1"/>
      <c r="P13231" s="1"/>
      <c r="Q13231" s="1"/>
      <c r="R13231" s="1"/>
      <c r="S13231" s="1"/>
      <c r="T13231" s="1"/>
      <c r="U13231" s="1"/>
      <c r="V13231" s="1"/>
      <c r="W13231" s="1"/>
      <c r="X13231" s="1"/>
      <c r="Y13231" s="1"/>
      <c r="Z13231" s="1"/>
      <c r="AA13231" s="1"/>
      <c r="AB13231" s="1"/>
    </row>
    <row r="13232" ht="50.25" customHeight="1">
      <c r="A13232" s="12">
        <v>13228.0</v>
      </c>
      <c r="B13232" s="13" t="s">
        <v>12594</v>
      </c>
      <c r="C13232" s="14" t="s">
        <v>12621</v>
      </c>
      <c r="D13232" s="1"/>
      <c r="E13232" s="1"/>
      <c r="F13232" s="1" t="str">
        <f>IFERROR(__xludf.DUMMYFUNCTION("GOOGLETRANSLATE(B13232, ""en"", ""fa"")
"),"صنایع دستی و پروژه های DIY")</f>
        <v>صنایع دستی و پروژه های DIY</v>
      </c>
      <c r="G13232" s="1" t="str">
        <f>IFERROR(__xludf.DUMMYFUNCTION("GOOGLETRANSLATE(C13232, ""en"", ""fa"")
"),"مراحل ایجاد یک سازمان دهنده جواهرات DIY با استفاده از قاب چوبی و مش سیمی چیست؟")</f>
        <v>مراحل ایجاد یک سازمان دهنده جواهرات DIY با استفاده از قاب چوبی و مش سیمی چیست؟</v>
      </c>
      <c r="H13232" s="1"/>
      <c r="I13232" s="1"/>
      <c r="J13232" s="1"/>
      <c r="K13232" s="1"/>
      <c r="L13232" s="1"/>
      <c r="M13232" s="1"/>
      <c r="N13232" s="1"/>
      <c r="O13232" s="1"/>
      <c r="P13232" s="1"/>
      <c r="Q13232" s="1"/>
      <c r="R13232" s="1"/>
      <c r="S13232" s="1"/>
      <c r="T13232" s="1"/>
      <c r="U13232" s="1"/>
      <c r="V13232" s="1"/>
      <c r="W13232" s="1"/>
      <c r="X13232" s="1"/>
      <c r="Y13232" s="1"/>
      <c r="Z13232" s="1"/>
      <c r="AA13232" s="1"/>
      <c r="AB13232" s="1"/>
    </row>
    <row r="13233" ht="50.25" customHeight="1">
      <c r="A13233" s="12">
        <v>13229.0</v>
      </c>
      <c r="B13233" s="13" t="s">
        <v>12594</v>
      </c>
      <c r="C13233" s="14" t="s">
        <v>12622</v>
      </c>
      <c r="D13233" s="1"/>
      <c r="E13233" s="1"/>
      <c r="F13233" s="1" t="str">
        <f>IFERROR(__xludf.DUMMYFUNCTION("GOOGLETRANSLATE(B13233, ""en"", ""fa"")
"),"صنایع دستی و پروژه های DIY")</f>
        <v>صنایع دستی و پروژه های DIY</v>
      </c>
      <c r="G13233" s="1" t="str">
        <f>IFERROR(__xludf.DUMMYFUNCTION("GOOGLETRANSLATE(C13233, ""en"", ""fa"")
"),"چگونه می توانم بالش پرتاب شخصی خود را با الگوهای منحصر به فرد طراحی و بدوزم؟")</f>
        <v>چگونه می توانم بالش پرتاب شخصی خود را با الگوهای منحصر به فرد طراحی و بدوزم؟</v>
      </c>
      <c r="H13233" s="1"/>
      <c r="I13233" s="1"/>
      <c r="J13233" s="1"/>
      <c r="K13233" s="1"/>
      <c r="L13233" s="1"/>
      <c r="M13233" s="1"/>
      <c r="N13233" s="1"/>
      <c r="O13233" s="1"/>
      <c r="P13233" s="1"/>
      <c r="Q13233" s="1"/>
      <c r="R13233" s="1"/>
      <c r="S13233" s="1"/>
      <c r="T13233" s="1"/>
      <c r="U13233" s="1"/>
      <c r="V13233" s="1"/>
      <c r="W13233" s="1"/>
      <c r="X13233" s="1"/>
      <c r="Y13233" s="1"/>
      <c r="Z13233" s="1"/>
      <c r="AA13233" s="1"/>
      <c r="AB13233" s="1"/>
    </row>
    <row r="13234" ht="50.25" customHeight="1">
      <c r="A13234" s="12">
        <v>13230.0</v>
      </c>
      <c r="B13234" s="13" t="s">
        <v>12594</v>
      </c>
      <c r="C13234" s="14" t="s">
        <v>12623</v>
      </c>
      <c r="D13234" s="1"/>
      <c r="E13234" s="1"/>
      <c r="F13234" s="1" t="str">
        <f>IFERROR(__xludf.DUMMYFUNCTION("GOOGLETRANSLATE(B13234, ""en"", ""fa"")
"),"صنایع دستی و پروژه های DIY")</f>
        <v>صنایع دستی و پروژه های DIY</v>
      </c>
      <c r="G13234" s="1" t="str">
        <f>IFERROR(__xludf.DUMMYFUNCTION("GOOGLETRANSLATE(C13234, ""en"", ""fa"")
"),"ایده‌های نوآورانه برای ساخت هنر و طرح‌های کاغذی DIY چیست؟")</f>
        <v>ایده‌های نوآورانه برای ساخت هنر و طرح‌های کاغذی DIY چیست؟</v>
      </c>
      <c r="H13234" s="1"/>
      <c r="I13234" s="1"/>
      <c r="J13234" s="1"/>
      <c r="K13234" s="1"/>
      <c r="L13234" s="1"/>
      <c r="M13234" s="1"/>
      <c r="N13234" s="1"/>
      <c r="O13234" s="1"/>
      <c r="P13234" s="1"/>
      <c r="Q13234" s="1"/>
      <c r="R13234" s="1"/>
      <c r="S13234" s="1"/>
      <c r="T13234" s="1"/>
      <c r="U13234" s="1"/>
      <c r="V13234" s="1"/>
      <c r="W13234" s="1"/>
      <c r="X13234" s="1"/>
      <c r="Y13234" s="1"/>
      <c r="Z13234" s="1"/>
      <c r="AA13234" s="1"/>
      <c r="AB13234" s="1"/>
    </row>
    <row r="13235" ht="50.25" customHeight="1">
      <c r="A13235" s="12">
        <v>13231.0</v>
      </c>
      <c r="B13235" s="13" t="s">
        <v>12594</v>
      </c>
      <c r="C13235" s="14" t="s">
        <v>12624</v>
      </c>
      <c r="D13235" s="1"/>
      <c r="E13235" s="1"/>
      <c r="F13235" s="1" t="str">
        <f>IFERROR(__xludf.DUMMYFUNCTION("GOOGLETRANSLATE(B13235, ""en"", ""fa"")
"),"صنایع دستی و پروژه های DIY")</f>
        <v>صنایع دستی و پروژه های DIY</v>
      </c>
      <c r="G13235" s="1" t="str">
        <f>IFERROR(__xludf.DUMMYFUNCTION("GOOGLETRANSLATE(C13235, ""en"", ""fa"")
"),"چگونه می توانم روکش موم طبیعی و سازگار با محیط زیست خود را برای نگهداری مواد غذایی بسازم؟")</f>
        <v>چگونه می توانم روکش موم طبیعی و سازگار با محیط زیست خود را برای نگهداری مواد غذایی بسازم؟</v>
      </c>
      <c r="H13235" s="1"/>
      <c r="I13235" s="1"/>
      <c r="J13235" s="1"/>
      <c r="K13235" s="1"/>
      <c r="L13235" s="1"/>
      <c r="M13235" s="1"/>
      <c r="N13235" s="1"/>
      <c r="O13235" s="1"/>
      <c r="P13235" s="1"/>
      <c r="Q13235" s="1"/>
      <c r="R13235" s="1"/>
      <c r="S13235" s="1"/>
      <c r="T13235" s="1"/>
      <c r="U13235" s="1"/>
      <c r="V13235" s="1"/>
      <c r="W13235" s="1"/>
      <c r="X13235" s="1"/>
      <c r="Y13235" s="1"/>
      <c r="Z13235" s="1"/>
      <c r="AA13235" s="1"/>
      <c r="AB13235" s="1"/>
    </row>
    <row r="13236" ht="50.25" customHeight="1">
      <c r="A13236" s="12">
        <v>13232.0</v>
      </c>
      <c r="B13236" s="13" t="s">
        <v>12594</v>
      </c>
      <c r="C13236" s="14" t="s">
        <v>12625</v>
      </c>
      <c r="D13236" s="1"/>
      <c r="E13236" s="1"/>
      <c r="F13236" s="1" t="str">
        <f>IFERROR(__xludf.DUMMYFUNCTION("GOOGLETRANSLATE(B13236, ""en"", ""fa"")
"),"صنایع دستی و پروژه های DIY")</f>
        <v>صنایع دستی و پروژه های DIY</v>
      </c>
      <c r="G13236" s="1" t="str">
        <f>IFERROR(__xludf.DUMMYFUNCTION("GOOGLETRANSLATE(C13236, ""en"", ""fa"")
"),"آیا می توانید تکنیک های DIY را برای ایجاد قاب گوشی با طراحی سفارشی توصیه کنید؟")</f>
        <v>آیا می توانید تکنیک های DIY را برای ایجاد قاب گوشی با طراحی سفارشی توصیه کنید؟</v>
      </c>
      <c r="H13236" s="1"/>
      <c r="I13236" s="1"/>
      <c r="J13236" s="1"/>
      <c r="K13236" s="1"/>
      <c r="L13236" s="1"/>
      <c r="M13236" s="1"/>
      <c r="N13236" s="1"/>
      <c r="O13236" s="1"/>
      <c r="P13236" s="1"/>
      <c r="Q13236" s="1"/>
      <c r="R13236" s="1"/>
      <c r="S13236" s="1"/>
      <c r="T13236" s="1"/>
      <c r="U13236" s="1"/>
      <c r="V13236" s="1"/>
      <c r="W13236" s="1"/>
      <c r="X13236" s="1"/>
      <c r="Y13236" s="1"/>
      <c r="Z13236" s="1"/>
      <c r="AA13236" s="1"/>
      <c r="AB13236" s="1"/>
    </row>
    <row r="13237" ht="50.25" customHeight="1">
      <c r="A13237" s="12">
        <v>13233.0</v>
      </c>
      <c r="B13237" s="13" t="s">
        <v>12594</v>
      </c>
      <c r="C13237" s="14" t="s">
        <v>12626</v>
      </c>
      <c r="D13237" s="1"/>
      <c r="E13237" s="1"/>
      <c r="F13237" s="1" t="str">
        <f>IFERROR(__xludf.DUMMYFUNCTION("GOOGLETRANSLATE(B13237, ""en"", ""fa"")
"),"صنایع دستی و پروژه های DIY")</f>
        <v>صنایع دستی و پروژه های DIY</v>
      </c>
      <c r="G13237" s="1" t="str">
        <f>IFERROR(__xludf.DUMMYFUNCTION("GOOGLETRANSLATE(C13237, ""en"", ""fa"")
"),"مراحل ساخت خانه پرنده چوبی برای جذب پرندگان به باغ من چیست؟")</f>
        <v>مراحل ساخت خانه پرنده چوبی برای جذب پرندگان به باغ من چیست؟</v>
      </c>
      <c r="H13237" s="1"/>
      <c r="I13237" s="1"/>
      <c r="J13237" s="1"/>
      <c r="K13237" s="1"/>
      <c r="L13237" s="1"/>
      <c r="M13237" s="1"/>
      <c r="N13237" s="1"/>
      <c r="O13237" s="1"/>
      <c r="P13237" s="1"/>
      <c r="Q13237" s="1"/>
      <c r="R13237" s="1"/>
      <c r="S13237" s="1"/>
      <c r="T13237" s="1"/>
      <c r="U13237" s="1"/>
      <c r="V13237" s="1"/>
      <c r="W13237" s="1"/>
      <c r="X13237" s="1"/>
      <c r="Y13237" s="1"/>
      <c r="Z13237" s="1"/>
      <c r="AA13237" s="1"/>
      <c r="AB13237" s="1"/>
    </row>
    <row r="13238" ht="50.25" customHeight="1">
      <c r="A13238" s="12">
        <v>13234.0</v>
      </c>
      <c r="B13238" s="13" t="s">
        <v>12594</v>
      </c>
      <c r="C13238" s="14" t="s">
        <v>12627</v>
      </c>
      <c r="D13238" s="1"/>
      <c r="E13238" s="1"/>
      <c r="F13238" s="1" t="str">
        <f>IFERROR(__xludf.DUMMYFUNCTION("GOOGLETRANSLATE(B13238, ""en"", ""fa"")
"),"صنایع دستی و پروژه های DIY")</f>
        <v>صنایع دستی و پروژه های DIY</v>
      </c>
      <c r="G13238" s="1" t="str">
        <f>IFERROR(__xludf.DUMMYFUNCTION("GOOGLETRANSLATE(C13238, ""en"", ""fa"")
"),"چگونه می توانم بطری های شیشه ای قدیمی را به گلدان های نقاشی شده خیره کننده یا قطعات مرکزی تبدیل کنم؟")</f>
        <v>چگونه می توانم بطری های شیشه ای قدیمی را به گلدان های نقاشی شده خیره کننده یا قطعات مرکزی تبدیل کنم؟</v>
      </c>
      <c r="H13238" s="1"/>
      <c r="I13238" s="1"/>
      <c r="J13238" s="1"/>
      <c r="K13238" s="1"/>
      <c r="L13238" s="1"/>
      <c r="M13238" s="1"/>
      <c r="N13238" s="1"/>
      <c r="O13238" s="1"/>
      <c r="P13238" s="1"/>
      <c r="Q13238" s="1"/>
      <c r="R13238" s="1"/>
      <c r="S13238" s="1"/>
      <c r="T13238" s="1"/>
      <c r="U13238" s="1"/>
      <c r="V13238" s="1"/>
      <c r="W13238" s="1"/>
      <c r="X13238" s="1"/>
      <c r="Y13238" s="1"/>
      <c r="Z13238" s="1"/>
      <c r="AA13238" s="1"/>
      <c r="AB13238" s="1"/>
    </row>
    <row r="13239" ht="50.25" customHeight="1">
      <c r="A13239" s="12">
        <v>13235.0</v>
      </c>
      <c r="B13239" s="13" t="s">
        <v>12594</v>
      </c>
      <c r="C13239" s="14" t="s">
        <v>12628</v>
      </c>
      <c r="D13239" s="1"/>
      <c r="E13239" s="1"/>
      <c r="F13239" s="1" t="str">
        <f>IFERROR(__xludf.DUMMYFUNCTION("GOOGLETRANSLATE(B13239, ""en"", ""fa"")
"),"صنایع دستی و پروژه های DIY")</f>
        <v>صنایع دستی و پروژه های DIY</v>
      </c>
      <c r="G13239" s="1" t="str">
        <f>IFERROR(__xludf.DUMMYFUNCTION("GOOGLETRANSLATE(C13239, ""en"", ""fa"")
"),"چند ایده خلاقانه برای ساختن نشانک های DIY با مواد مختلف چیست؟")</f>
        <v>چند ایده خلاقانه برای ساختن نشانک های DIY با مواد مختلف چیست؟</v>
      </c>
      <c r="H13239" s="1"/>
      <c r="I13239" s="1"/>
      <c r="J13239" s="1"/>
      <c r="K13239" s="1"/>
      <c r="L13239" s="1"/>
      <c r="M13239" s="1"/>
      <c r="N13239" s="1"/>
      <c r="O13239" s="1"/>
      <c r="P13239" s="1"/>
      <c r="Q13239" s="1"/>
      <c r="R13239" s="1"/>
      <c r="S13239" s="1"/>
      <c r="T13239" s="1"/>
      <c r="U13239" s="1"/>
      <c r="V13239" s="1"/>
      <c r="W13239" s="1"/>
      <c r="X13239" s="1"/>
      <c r="Y13239" s="1"/>
      <c r="Z13239" s="1"/>
      <c r="AA13239" s="1"/>
      <c r="AB13239" s="1"/>
    </row>
    <row r="13240" ht="50.25" customHeight="1">
      <c r="A13240" s="12">
        <v>13236.0</v>
      </c>
      <c r="B13240" s="13" t="s">
        <v>12594</v>
      </c>
      <c r="C13240" s="14" t="s">
        <v>12629</v>
      </c>
      <c r="D13240" s="1"/>
      <c r="E13240" s="1"/>
      <c r="F13240" s="1" t="str">
        <f>IFERROR(__xludf.DUMMYFUNCTION("GOOGLETRANSLATE(B13240, ""en"", ""fa"")
"),"صنایع دستی و پروژه های DIY")</f>
        <v>صنایع دستی و پروژه های DIY</v>
      </c>
      <c r="G13240" s="1" t="str">
        <f>IFERROR(__xludf.DUMMYFUNCTION("GOOGLETRANSLATE(C13240, ""en"", ""fa"")
"),"چگونه می توانم روغن های حمام خانگی را با روغن های مغذی و رایحه های معطر ایجاد کنم؟")</f>
        <v>چگونه می توانم روغن های حمام خانگی را با روغن های مغذی و رایحه های معطر ایجاد کنم؟</v>
      </c>
      <c r="H13240" s="1"/>
      <c r="I13240" s="1"/>
      <c r="J13240" s="1"/>
      <c r="K13240" s="1"/>
      <c r="L13240" s="1"/>
      <c r="M13240" s="1"/>
      <c r="N13240" s="1"/>
      <c r="O13240" s="1"/>
      <c r="P13240" s="1"/>
      <c r="Q13240" s="1"/>
      <c r="R13240" s="1"/>
      <c r="S13240" s="1"/>
      <c r="T13240" s="1"/>
      <c r="U13240" s="1"/>
      <c r="V13240" s="1"/>
      <c r="W13240" s="1"/>
      <c r="X13240" s="1"/>
      <c r="Y13240" s="1"/>
      <c r="Z13240" s="1"/>
      <c r="AA13240" s="1"/>
      <c r="AB13240" s="1"/>
    </row>
    <row r="13241" ht="50.25" customHeight="1">
      <c r="A13241" s="12">
        <v>13237.0</v>
      </c>
      <c r="B13241" s="13" t="s">
        <v>12594</v>
      </c>
      <c r="C13241" s="14" t="s">
        <v>12630</v>
      </c>
      <c r="D13241" s="1"/>
      <c r="E13241" s="1"/>
      <c r="F13241" s="1" t="str">
        <f>IFERROR(__xludf.DUMMYFUNCTION("GOOGLETRANSLATE(B13241, ""en"", ""fa"")
"),"صنایع دستی و پروژه های DIY")</f>
        <v>صنایع دستی و پروژه های DIY</v>
      </c>
      <c r="G13241" s="1" t="str">
        <f>IFERROR(__xludf.DUMMYFUNCTION("GOOGLETRANSLATE(C13241, ""en"", ""fa"")
"),"آیا می توانید تکنیک های DIY را برای ساخت دستمال مرطوب پاک کننده خانگی دوستدار محیط زیست پیشنهاد دهید؟")</f>
        <v>آیا می توانید تکنیک های DIY را برای ساخت دستمال مرطوب پاک کننده خانگی دوستدار محیط زیست پیشنهاد دهید؟</v>
      </c>
      <c r="H13241" s="1"/>
      <c r="I13241" s="1"/>
      <c r="J13241" s="1"/>
      <c r="K13241" s="1"/>
      <c r="L13241" s="1"/>
      <c r="M13241" s="1"/>
      <c r="N13241" s="1"/>
      <c r="O13241" s="1"/>
      <c r="P13241" s="1"/>
      <c r="Q13241" s="1"/>
      <c r="R13241" s="1"/>
      <c r="S13241" s="1"/>
      <c r="T13241" s="1"/>
      <c r="U13241" s="1"/>
      <c r="V13241" s="1"/>
      <c r="W13241" s="1"/>
      <c r="X13241" s="1"/>
      <c r="Y13241" s="1"/>
      <c r="Z13241" s="1"/>
      <c r="AA13241" s="1"/>
      <c r="AB13241" s="1"/>
    </row>
    <row r="13242" ht="50.25" customHeight="1">
      <c r="A13242" s="12">
        <v>13238.0</v>
      </c>
      <c r="B13242" s="13" t="s">
        <v>12594</v>
      </c>
      <c r="C13242" s="14" t="s">
        <v>12631</v>
      </c>
      <c r="D13242" s="1"/>
      <c r="E13242" s="1"/>
      <c r="F13242" s="1" t="str">
        <f>IFERROR(__xludf.DUMMYFUNCTION("GOOGLETRANSLATE(B13242, ""en"", ""fa"")
"),"صنایع دستی و پروژه های DIY")</f>
        <v>صنایع دستی و پروژه های DIY</v>
      </c>
      <c r="G13242" s="1" t="str">
        <f>IFERROR(__xludf.DUMMYFUNCTION("GOOGLETRANSLATE(C13242, ""en"", ""fa"")
"),"مراحل ایجاد پرینت بوم شخصی سازی شده DIY از عکس های مورد علاقه من چیست؟")</f>
        <v>مراحل ایجاد پرینت بوم شخصی سازی شده DIY از عکس های مورد علاقه من چیست؟</v>
      </c>
      <c r="H13242" s="1"/>
      <c r="I13242" s="1"/>
      <c r="J13242" s="1"/>
      <c r="K13242" s="1"/>
      <c r="L13242" s="1"/>
      <c r="M13242" s="1"/>
      <c r="N13242" s="1"/>
      <c r="O13242" s="1"/>
      <c r="P13242" s="1"/>
      <c r="Q13242" s="1"/>
      <c r="R13242" s="1"/>
      <c r="S13242" s="1"/>
      <c r="T13242" s="1"/>
      <c r="U13242" s="1"/>
      <c r="V13242" s="1"/>
      <c r="W13242" s="1"/>
      <c r="X13242" s="1"/>
      <c r="Y13242" s="1"/>
      <c r="Z13242" s="1"/>
      <c r="AA13242" s="1"/>
      <c r="AB13242" s="1"/>
    </row>
    <row r="13243" ht="50.25" customHeight="1">
      <c r="A13243" s="12">
        <v>13239.0</v>
      </c>
      <c r="B13243" s="13" t="s">
        <v>12594</v>
      </c>
      <c r="C13243" s="14" t="s">
        <v>12632</v>
      </c>
      <c r="D13243" s="1"/>
      <c r="E13243" s="1"/>
      <c r="F13243" s="1" t="str">
        <f>IFERROR(__xludf.DUMMYFUNCTION("GOOGLETRANSLATE(B13243, ""en"", ""fa"")
"),"صنایع دستی و پروژه های DIY")</f>
        <v>صنایع دستی و پروژه های DIY</v>
      </c>
      <c r="G13243" s="1" t="str">
        <f>IFERROR(__xludf.DUMMYFUNCTION("GOOGLETRANSLATE(C13243, ""en"", ""fa"")
"),"چگونه می توانم سربندهای پارچه ای خود را با طرح های مختلف طراحی و بدوزم؟")</f>
        <v>چگونه می توانم سربندهای پارچه ای خود را با طرح های مختلف طراحی و بدوزم؟</v>
      </c>
      <c r="H13243" s="1"/>
      <c r="I13243" s="1"/>
      <c r="J13243" s="1"/>
      <c r="K13243" s="1"/>
      <c r="L13243" s="1"/>
      <c r="M13243" s="1"/>
      <c r="N13243" s="1"/>
      <c r="O13243" s="1"/>
      <c r="P13243" s="1"/>
      <c r="Q13243" s="1"/>
      <c r="R13243" s="1"/>
      <c r="S13243" s="1"/>
      <c r="T13243" s="1"/>
      <c r="U13243" s="1"/>
      <c r="V13243" s="1"/>
      <c r="W13243" s="1"/>
      <c r="X13243" s="1"/>
      <c r="Y13243" s="1"/>
      <c r="Z13243" s="1"/>
      <c r="AA13243" s="1"/>
      <c r="AB13243" s="1"/>
    </row>
    <row r="13244" ht="50.25" customHeight="1">
      <c r="A13244" s="12">
        <v>13240.0</v>
      </c>
      <c r="B13244" s="13" t="s">
        <v>12594</v>
      </c>
      <c r="C13244" s="14" t="s">
        <v>12633</v>
      </c>
      <c r="D13244" s="1"/>
      <c r="E13244" s="1"/>
      <c r="F13244" s="1" t="str">
        <f>IFERROR(__xludf.DUMMYFUNCTION("GOOGLETRANSLATE(B13244, ""en"", ""fa"")
"),"صنایع دستی و پروژه های DIY")</f>
        <v>صنایع دستی و پروژه های DIY</v>
      </c>
      <c r="G13244" s="1" t="str">
        <f>IFERROR(__xludf.DUMMYFUNCTION("GOOGLETRANSLATE(C13244, ""en"", ""fa"")
"),"چند پروژه آسان و لذت بخش DIY برای بافتن یا قلاب بافی روسری چیست؟")</f>
        <v>چند پروژه آسان و لذت بخش DIY برای بافتن یا قلاب بافی روسری چیست؟</v>
      </c>
      <c r="H13244" s="1"/>
      <c r="I13244" s="1"/>
      <c r="J13244" s="1"/>
      <c r="K13244" s="1"/>
      <c r="L13244" s="1"/>
      <c r="M13244" s="1"/>
      <c r="N13244" s="1"/>
      <c r="O13244" s="1"/>
      <c r="P13244" s="1"/>
      <c r="Q13244" s="1"/>
      <c r="R13244" s="1"/>
      <c r="S13244" s="1"/>
      <c r="T13244" s="1"/>
      <c r="U13244" s="1"/>
      <c r="V13244" s="1"/>
      <c r="W13244" s="1"/>
      <c r="X13244" s="1"/>
      <c r="Y13244" s="1"/>
      <c r="Z13244" s="1"/>
      <c r="AA13244" s="1"/>
      <c r="AB13244" s="1"/>
    </row>
    <row r="13245" ht="50.25" customHeight="1">
      <c r="A13245" s="12">
        <v>13241.0</v>
      </c>
      <c r="B13245" s="13" t="s">
        <v>12594</v>
      </c>
      <c r="C13245" s="14" t="s">
        <v>12634</v>
      </c>
      <c r="D13245" s="1"/>
      <c r="E13245" s="1"/>
      <c r="F13245" s="1" t="str">
        <f>IFERROR(__xludf.DUMMYFUNCTION("GOOGLETRANSLATE(B13245, ""en"", ""fa"")
"),"صنایع دستی و پروژه های DIY")</f>
        <v>صنایع دستی و پروژه های DIY</v>
      </c>
      <c r="G13245" s="1" t="str">
        <f>IFERROR(__xludf.DUMMYFUNCTION("GOOGLETRANSLATE(C13245, ""en"", ""fa"")
"),"چگونه پالت های چوبی قدیمی را به قطعات کاربردی و تزئینی تبدیل کنم؟")</f>
        <v>چگونه پالت های چوبی قدیمی را به قطعات کاربردی و تزئینی تبدیل کنم؟</v>
      </c>
      <c r="H13245" s="1"/>
      <c r="I13245" s="1"/>
      <c r="J13245" s="1"/>
      <c r="K13245" s="1"/>
      <c r="L13245" s="1"/>
      <c r="M13245" s="1"/>
      <c r="N13245" s="1"/>
      <c r="O13245" s="1"/>
      <c r="P13245" s="1"/>
      <c r="Q13245" s="1"/>
      <c r="R13245" s="1"/>
      <c r="S13245" s="1"/>
      <c r="T13245" s="1"/>
      <c r="U13245" s="1"/>
      <c r="V13245" s="1"/>
      <c r="W13245" s="1"/>
      <c r="X13245" s="1"/>
      <c r="Y13245" s="1"/>
      <c r="Z13245" s="1"/>
      <c r="AA13245" s="1"/>
      <c r="AB13245" s="1"/>
    </row>
    <row r="13246" ht="50.25" customHeight="1">
      <c r="A13246" s="12">
        <v>13242.0</v>
      </c>
      <c r="B13246" s="13" t="s">
        <v>12594</v>
      </c>
      <c r="C13246" s="14" t="s">
        <v>12635</v>
      </c>
      <c r="D13246" s="1"/>
      <c r="E13246" s="1"/>
      <c r="F13246" s="1" t="str">
        <f>IFERROR(__xludf.DUMMYFUNCTION("GOOGLETRANSLATE(B13246, ""en"", ""fa"")
"),"صنایع دستی و پروژه های DIY")</f>
        <v>صنایع دستی و پروژه های DIY</v>
      </c>
      <c r="G13246" s="1" t="str">
        <f>IFERROR(__xludf.DUMMYFUNCTION("GOOGLETRANSLATE(C13246, ""en"", ""fa"")
"),"آیا می توانید تکنیک های DIY را برای ساخت اسکراب بدن خانگی با لایه بردارهای طبیعی توصیه کنید؟")</f>
        <v>آیا می توانید تکنیک های DIY را برای ساخت اسکراب بدن خانگی با لایه بردارهای طبیعی توصیه کنید؟</v>
      </c>
      <c r="H13246" s="1"/>
      <c r="I13246" s="1"/>
      <c r="J13246" s="1"/>
      <c r="K13246" s="1"/>
      <c r="L13246" s="1"/>
      <c r="M13246" s="1"/>
      <c r="N13246" s="1"/>
      <c r="O13246" s="1"/>
      <c r="P13246" s="1"/>
      <c r="Q13246" s="1"/>
      <c r="R13246" s="1"/>
      <c r="S13246" s="1"/>
      <c r="T13246" s="1"/>
      <c r="U13246" s="1"/>
      <c r="V13246" s="1"/>
      <c r="W13246" s="1"/>
      <c r="X13246" s="1"/>
      <c r="Y13246" s="1"/>
      <c r="Z13246" s="1"/>
      <c r="AA13246" s="1"/>
      <c r="AB13246" s="1"/>
    </row>
    <row r="13247" ht="50.25" customHeight="1">
      <c r="A13247" s="12">
        <v>13243.0</v>
      </c>
      <c r="B13247" s="13" t="s">
        <v>12594</v>
      </c>
      <c r="C13247" s="14" t="s">
        <v>12636</v>
      </c>
      <c r="D13247" s="1"/>
      <c r="E13247" s="1"/>
      <c r="F13247" s="1" t="str">
        <f>IFERROR(__xludf.DUMMYFUNCTION("GOOGLETRANSLATE(B13247, ""en"", ""fa"")
"),"صنایع دستی و پروژه های DIY")</f>
        <v>صنایع دستی و پروژه های DIY</v>
      </c>
      <c r="G13247" s="1" t="str">
        <f>IFERROR(__xludf.DUMMYFUNCTION("GOOGLETRANSLATE(C13247, ""en"", ""fa"")
"),"مراحل ایجاد شابلون های با طراحی سفارشی برای نقاشی دیواری یا کاردستی چیست؟")</f>
        <v>مراحل ایجاد شابلون های با طراحی سفارشی برای نقاشی دیواری یا کاردستی چیست؟</v>
      </c>
      <c r="H13247" s="1"/>
      <c r="I13247" s="1"/>
      <c r="J13247" s="1"/>
      <c r="K13247" s="1"/>
      <c r="L13247" s="1"/>
      <c r="M13247" s="1"/>
      <c r="N13247" s="1"/>
      <c r="O13247" s="1"/>
      <c r="P13247" s="1"/>
      <c r="Q13247" s="1"/>
      <c r="R13247" s="1"/>
      <c r="S13247" s="1"/>
      <c r="T13247" s="1"/>
      <c r="U13247" s="1"/>
      <c r="V13247" s="1"/>
      <c r="W13247" s="1"/>
      <c r="X13247" s="1"/>
      <c r="Y13247" s="1"/>
      <c r="Z13247" s="1"/>
      <c r="AA13247" s="1"/>
      <c r="AB13247" s="1"/>
    </row>
    <row r="13248" ht="50.25" customHeight="1">
      <c r="A13248" s="12">
        <v>13244.0</v>
      </c>
      <c r="B13248" s="13" t="s">
        <v>12594</v>
      </c>
      <c r="C13248" s="14" t="s">
        <v>12637</v>
      </c>
      <c r="D13248" s="1"/>
      <c r="E13248" s="1"/>
      <c r="F13248" s="1" t="str">
        <f>IFERROR(__xludf.DUMMYFUNCTION("GOOGLETRANSLATE(B13248, ""en"", ""fa"")
"),"صنایع دستی و پروژه های DIY")</f>
        <v>صنایع دستی و پروژه های DIY</v>
      </c>
      <c r="G13248" s="1" t="str">
        <f>IFERROR(__xludf.DUMMYFUNCTION("GOOGLETRANSLATE(C13248, ""en"", ""fa"")
"),"چگونه می توانم شیشه های معمولی را با چراغ های پری به فانوس های زیبای DIY تبدیل کنم؟")</f>
        <v>چگونه می توانم شیشه های معمولی را با چراغ های پری به فانوس های زیبای DIY تبدیل کنم؟</v>
      </c>
      <c r="H13248" s="1"/>
      <c r="I13248" s="1"/>
      <c r="J13248" s="1"/>
      <c r="K13248" s="1"/>
      <c r="L13248" s="1"/>
      <c r="M13248" s="1"/>
      <c r="N13248" s="1"/>
      <c r="O13248" s="1"/>
      <c r="P13248" s="1"/>
      <c r="Q13248" s="1"/>
      <c r="R13248" s="1"/>
      <c r="S13248" s="1"/>
      <c r="T13248" s="1"/>
      <c r="U13248" s="1"/>
      <c r="V13248" s="1"/>
      <c r="W13248" s="1"/>
      <c r="X13248" s="1"/>
      <c r="Y13248" s="1"/>
      <c r="Z13248" s="1"/>
      <c r="AA13248" s="1"/>
      <c r="AB13248" s="1"/>
    </row>
    <row r="13249" ht="50.25" customHeight="1">
      <c r="A13249" s="12">
        <v>13245.0</v>
      </c>
      <c r="B13249" s="13" t="s">
        <v>12594</v>
      </c>
      <c r="C13249" s="14" t="s">
        <v>12638</v>
      </c>
      <c r="D13249" s="1"/>
      <c r="E13249" s="1"/>
      <c r="F13249" s="1" t="str">
        <f>IFERROR(__xludf.DUMMYFUNCTION("GOOGLETRANSLATE(B13249, ""en"", ""fa"")
"),"صنایع دستی و پروژه های DIY")</f>
        <v>صنایع دستی و پروژه های DIY</v>
      </c>
      <c r="G13249" s="1" t="str">
        <f>IFERROR(__xludf.DUMMYFUNCTION("GOOGLETRANSLATE(C13249, ""en"", ""fa"")
"),"چند ایده نوآورانه برای ساخت آثار اوریگامی کاغذی DIY چیست؟")</f>
        <v>چند ایده نوآورانه برای ساخت آثار اوریگامی کاغذی DIY چیست؟</v>
      </c>
      <c r="H13249" s="1"/>
      <c r="I13249" s="1"/>
      <c r="J13249" s="1"/>
      <c r="K13249" s="1"/>
      <c r="L13249" s="1"/>
      <c r="M13249" s="1"/>
      <c r="N13249" s="1"/>
      <c r="O13249" s="1"/>
      <c r="P13249" s="1"/>
      <c r="Q13249" s="1"/>
      <c r="R13249" s="1"/>
      <c r="S13249" s="1"/>
      <c r="T13249" s="1"/>
      <c r="U13249" s="1"/>
      <c r="V13249" s="1"/>
      <c r="W13249" s="1"/>
      <c r="X13249" s="1"/>
      <c r="Y13249" s="1"/>
      <c r="Z13249" s="1"/>
      <c r="AA13249" s="1"/>
      <c r="AB13249" s="1"/>
    </row>
    <row r="13250" ht="50.25" customHeight="1">
      <c r="A13250" s="12">
        <v>13246.0</v>
      </c>
      <c r="B13250" s="13" t="s">
        <v>12594</v>
      </c>
      <c r="C13250" s="14" t="s">
        <v>12639</v>
      </c>
      <c r="D13250" s="1"/>
      <c r="E13250" s="1"/>
      <c r="F13250" s="1" t="str">
        <f>IFERROR(__xludf.DUMMYFUNCTION("GOOGLETRANSLATE(B13250, ""en"", ""fa"")
"),"صنایع دستی و پروژه های DIY")</f>
        <v>صنایع دستی و پروژه های DIY</v>
      </c>
      <c r="G13250" s="1" t="str">
        <f>IFERROR(__xludf.DUMMYFUNCTION("GOOGLETRANSLATE(C13250, ""en"", ""fa"")
"),"چگونه می توانم بالم لب خانگی کاملا طبیعی خود را با مواد مرطوب کننده درست کنم؟")</f>
        <v>چگونه می توانم بالم لب خانگی کاملا طبیعی خود را با مواد مرطوب کننده درست کنم؟</v>
      </c>
      <c r="H13250" s="1"/>
      <c r="I13250" s="1"/>
      <c r="J13250" s="1"/>
      <c r="K13250" s="1"/>
      <c r="L13250" s="1"/>
      <c r="M13250" s="1"/>
      <c r="N13250" s="1"/>
      <c r="O13250" s="1"/>
      <c r="P13250" s="1"/>
      <c r="Q13250" s="1"/>
      <c r="R13250" s="1"/>
      <c r="S13250" s="1"/>
      <c r="T13250" s="1"/>
      <c r="U13250" s="1"/>
      <c r="V13250" s="1"/>
      <c r="W13250" s="1"/>
      <c r="X13250" s="1"/>
      <c r="Y13250" s="1"/>
      <c r="Z13250" s="1"/>
      <c r="AA13250" s="1"/>
      <c r="AB13250" s="1"/>
    </row>
    <row r="13251" ht="50.25" customHeight="1">
      <c r="A13251" s="12">
        <v>13247.0</v>
      </c>
      <c r="B13251" s="13" t="s">
        <v>12594</v>
      </c>
      <c r="C13251" s="14" t="s">
        <v>12640</v>
      </c>
      <c r="D13251" s="1"/>
      <c r="E13251" s="1"/>
      <c r="F13251" s="1" t="str">
        <f>IFERROR(__xludf.DUMMYFUNCTION("GOOGLETRANSLATE(B13251, ""en"", ""fa"")
"),"صنایع دستی و پروژه های DIY")</f>
        <v>صنایع دستی و پروژه های DIY</v>
      </c>
      <c r="G13251" s="1" t="str">
        <f>IFERROR(__xludf.DUMMYFUNCTION("GOOGLETRANSLATE(C13251, ""en"", ""fa"")
"),"آیا می توانید پروژه های DIY آسان و خلاقانه ای را برای تزیین شیشه های مزون برای مصارف مختلف پیشنهاد دهید؟")</f>
        <v>آیا می توانید پروژه های DIY آسان و خلاقانه ای را برای تزیین شیشه های مزون برای مصارف مختلف پیشنهاد دهید؟</v>
      </c>
      <c r="H13251" s="1"/>
      <c r="I13251" s="1"/>
      <c r="J13251" s="1"/>
      <c r="K13251" s="1"/>
      <c r="L13251" s="1"/>
      <c r="M13251" s="1"/>
      <c r="N13251" s="1"/>
      <c r="O13251" s="1"/>
      <c r="P13251" s="1"/>
      <c r="Q13251" s="1"/>
      <c r="R13251" s="1"/>
      <c r="S13251" s="1"/>
      <c r="T13251" s="1"/>
      <c r="U13251" s="1"/>
      <c r="V13251" s="1"/>
      <c r="W13251" s="1"/>
      <c r="X13251" s="1"/>
      <c r="Y13251" s="1"/>
      <c r="Z13251" s="1"/>
      <c r="AA13251" s="1"/>
      <c r="AB13251" s="1"/>
    </row>
    <row r="13252" ht="50.25" customHeight="1">
      <c r="A13252" s="12">
        <v>13248.0</v>
      </c>
      <c r="B13252" s="13" t="s">
        <v>12594</v>
      </c>
      <c r="C13252" s="14" t="s">
        <v>12641</v>
      </c>
      <c r="D13252" s="1"/>
      <c r="E13252" s="1"/>
      <c r="F13252" s="1" t="str">
        <f>IFERROR(__xludf.DUMMYFUNCTION("GOOGLETRANSLATE(B13252, ""en"", ""fa"")
"),"صنایع دستی و پروژه های DIY")</f>
        <v>صنایع دستی و پروژه های DIY</v>
      </c>
      <c r="G13252" s="1" t="str">
        <f>IFERROR(__xludf.DUMMYFUNCTION("GOOGLETRANSLATE(C13252, ""en"", ""fa"")
"),"مراحل ساخت یک قفسه ذخیره سازی چوبی DIY برای سازماندهی وسایل من چیست؟")</f>
        <v>مراحل ساخت یک قفسه ذخیره سازی چوبی DIY برای سازماندهی وسایل من چیست؟</v>
      </c>
      <c r="H13252" s="1"/>
      <c r="I13252" s="1"/>
      <c r="J13252" s="1"/>
      <c r="K13252" s="1"/>
      <c r="L13252" s="1"/>
      <c r="M13252" s="1"/>
      <c r="N13252" s="1"/>
      <c r="O13252" s="1"/>
      <c r="P13252" s="1"/>
      <c r="Q13252" s="1"/>
      <c r="R13252" s="1"/>
      <c r="S13252" s="1"/>
      <c r="T13252" s="1"/>
      <c r="U13252" s="1"/>
      <c r="V13252" s="1"/>
      <c r="W13252" s="1"/>
      <c r="X13252" s="1"/>
      <c r="Y13252" s="1"/>
      <c r="Z13252" s="1"/>
      <c r="AA13252" s="1"/>
      <c r="AB13252" s="1"/>
    </row>
    <row r="13253" ht="50.25" customHeight="1">
      <c r="A13253" s="12">
        <v>13249.0</v>
      </c>
      <c r="B13253" s="13" t="s">
        <v>12594</v>
      </c>
      <c r="C13253" s="14" t="s">
        <v>12642</v>
      </c>
      <c r="D13253" s="1"/>
      <c r="E13253" s="1"/>
      <c r="F13253" s="1" t="str">
        <f>IFERROR(__xludf.DUMMYFUNCTION("GOOGLETRANSLATE(B13253, ""en"", ""fa"")
"),"صنایع دستی و پروژه های DIY")</f>
        <v>صنایع دستی و پروژه های DIY</v>
      </c>
      <c r="G13253" s="1" t="str">
        <f>IFERROR(__xludf.DUMMYFUNCTION("GOOGLETRANSLATE(C13253, ""en"", ""fa"")
"),"چگونه می توانم نقاشی دیواری بوم DIY خود را برای فضای زندگی خود طراحی و نقاشی کنم؟")</f>
        <v>چگونه می توانم نقاشی دیواری بوم DIY خود را برای فضای زندگی خود طراحی و نقاشی کنم؟</v>
      </c>
      <c r="H13253" s="1"/>
      <c r="I13253" s="1"/>
      <c r="J13253" s="1"/>
      <c r="K13253" s="1"/>
      <c r="L13253" s="1"/>
      <c r="M13253" s="1"/>
      <c r="N13253" s="1"/>
      <c r="O13253" s="1"/>
      <c r="P13253" s="1"/>
      <c r="Q13253" s="1"/>
      <c r="R13253" s="1"/>
      <c r="S13253" s="1"/>
      <c r="T13253" s="1"/>
      <c r="U13253" s="1"/>
      <c r="V13253" s="1"/>
      <c r="W13253" s="1"/>
      <c r="X13253" s="1"/>
      <c r="Y13253" s="1"/>
      <c r="Z13253" s="1"/>
      <c r="AA13253" s="1"/>
      <c r="AB13253" s="1"/>
    </row>
    <row r="13254" ht="50.25" customHeight="1">
      <c r="A13254" s="12">
        <v>13250.0</v>
      </c>
      <c r="B13254" s="13" t="s">
        <v>12594</v>
      </c>
      <c r="C13254" s="14" t="s">
        <v>12602</v>
      </c>
      <c r="D13254" s="1"/>
      <c r="E13254" s="1"/>
      <c r="F13254" s="1" t="str">
        <f>IFERROR(__xludf.DUMMYFUNCTION("GOOGLETRANSLATE(B13254, ""en"", ""fa"")
"),"صنایع دستی و پروژه های DIY")</f>
        <v>صنایع دستی و پروژه های DIY</v>
      </c>
      <c r="G13254" s="1" t="str">
        <f>IFERROR(__xludf.DUMMYFUNCTION("GOOGLETRANSLATE(C13254, ""en"", ""fa"")
"),"چند ایده سرگرم کننده و دوستدار محیط زیست برای ایجاد گلدان های DIY با استفاده از مواد بازیافتی چیست؟")</f>
        <v>چند ایده سرگرم کننده و دوستدار محیط زیست برای ایجاد گلدان های DIY با استفاده از مواد بازیافتی چیست؟</v>
      </c>
      <c r="H13254" s="1"/>
      <c r="I13254" s="1"/>
      <c r="J13254" s="1"/>
      <c r="K13254" s="1"/>
      <c r="L13254" s="1"/>
      <c r="M13254" s="1"/>
      <c r="N13254" s="1"/>
      <c r="O13254" s="1"/>
      <c r="P13254" s="1"/>
      <c r="Q13254" s="1"/>
      <c r="R13254" s="1"/>
      <c r="S13254" s="1"/>
      <c r="T13254" s="1"/>
      <c r="U13254" s="1"/>
      <c r="V13254" s="1"/>
      <c r="W13254" s="1"/>
      <c r="X13254" s="1"/>
      <c r="Y13254" s="1"/>
      <c r="Z13254" s="1"/>
      <c r="AA13254" s="1"/>
      <c r="AB13254" s="1"/>
    </row>
    <row r="13255" ht="50.25" customHeight="1">
      <c r="A13255" s="12">
        <v>13251.0</v>
      </c>
      <c r="B13255" s="13" t="s">
        <v>12594</v>
      </c>
      <c r="C13255" s="14" t="s">
        <v>12603</v>
      </c>
      <c r="D13255" s="1"/>
      <c r="E13255" s="1"/>
      <c r="F13255" s="1" t="str">
        <f>IFERROR(__xludf.DUMMYFUNCTION("GOOGLETRANSLATE(B13255, ""en"", ""fa"")
"),"صنایع دستی و پروژه های DIY")</f>
        <v>صنایع دستی و پروژه های DIY</v>
      </c>
      <c r="G13255" s="1" t="str">
        <f>IFERROR(__xludf.DUMMYFUNCTION("GOOGLETRANSLATE(C13255, ""en"", ""fa"")
"),"چگونه می توانم بمب های حمام خانگی با روغن های ضروری برای یک تجربه حمام آرامش بخش درست کنم؟")</f>
        <v>چگونه می توانم بمب های حمام خانگی با روغن های ضروری برای یک تجربه حمام آرامش بخش درست کنم؟</v>
      </c>
      <c r="H13255" s="1"/>
      <c r="I13255" s="1"/>
      <c r="J13255" s="1"/>
      <c r="K13255" s="1"/>
      <c r="L13255" s="1"/>
      <c r="M13255" s="1"/>
      <c r="N13255" s="1"/>
      <c r="O13255" s="1"/>
      <c r="P13255" s="1"/>
      <c r="Q13255" s="1"/>
      <c r="R13255" s="1"/>
      <c r="S13255" s="1"/>
      <c r="T13255" s="1"/>
      <c r="U13255" s="1"/>
      <c r="V13255" s="1"/>
      <c r="W13255" s="1"/>
      <c r="X13255" s="1"/>
      <c r="Y13255" s="1"/>
      <c r="Z13255" s="1"/>
      <c r="AA13255" s="1"/>
      <c r="AB13255" s="1"/>
    </row>
    <row r="13256" ht="50.25" customHeight="1">
      <c r="A13256" s="12">
        <v>13252.0</v>
      </c>
      <c r="B13256" s="13" t="s">
        <v>12594</v>
      </c>
      <c r="C13256" s="14" t="s">
        <v>12643</v>
      </c>
      <c r="D13256" s="1"/>
      <c r="E13256" s="1"/>
      <c r="F13256" s="1" t="str">
        <f>IFERROR(__xludf.DUMMYFUNCTION("GOOGLETRANSLATE(B13256, ""en"", ""fa"")
"),"صنایع دستی و پروژه های DIY")</f>
        <v>صنایع دستی و پروژه های DIY</v>
      </c>
      <c r="G13256" s="1" t="str">
        <f>IFERROR(__xludf.DUMMYFUNCTION("GOOGLETRANSLATE(C13256, ""en"", ""fa"")
"),"آیا می‌توانید روش‌های خلاقانه‌ای برای شخصی‌سازی تی‌شرت‌های ساده با رنگ پارچه و شابلون‌ها توصیه کنید؟")</f>
        <v>آیا می‌توانید روش‌های خلاقانه‌ای برای شخصی‌سازی تی‌شرت‌های ساده با رنگ پارچه و شابلون‌ها توصیه کنید؟</v>
      </c>
      <c r="H13256" s="1"/>
      <c r="I13256" s="1"/>
      <c r="J13256" s="1"/>
      <c r="K13256" s="1"/>
      <c r="L13256" s="1"/>
      <c r="M13256" s="1"/>
      <c r="N13256" s="1"/>
      <c r="O13256" s="1"/>
      <c r="P13256" s="1"/>
      <c r="Q13256" s="1"/>
      <c r="R13256" s="1"/>
      <c r="S13256" s="1"/>
      <c r="T13256" s="1"/>
      <c r="U13256" s="1"/>
      <c r="V13256" s="1"/>
      <c r="W13256" s="1"/>
      <c r="X13256" s="1"/>
      <c r="Y13256" s="1"/>
      <c r="Z13256" s="1"/>
      <c r="AA13256" s="1"/>
      <c r="AB13256" s="1"/>
    </row>
    <row r="13257" ht="50.25" customHeight="1">
      <c r="A13257" s="12">
        <v>13253.0</v>
      </c>
      <c r="B13257" s="13" t="s">
        <v>12594</v>
      </c>
      <c r="C13257" s="14" t="s">
        <v>12605</v>
      </c>
      <c r="D13257" s="1"/>
      <c r="E13257" s="1"/>
      <c r="F13257" s="1" t="str">
        <f>IFERROR(__xludf.DUMMYFUNCTION("GOOGLETRANSLATE(B13257, ""en"", ""fa"")
"),"صنایع دستی و پروژه های DIY")</f>
        <v>صنایع دستی و پروژه های DIY</v>
      </c>
      <c r="G13257" s="1" t="str">
        <f>IFERROR(__xludf.DUMMYFUNCTION("GOOGLETRANSLATE(C13257, ""en"", ""fa"")
"),"مراحل ساخت یک قفسه کتاب چوبی از ابتدا برای خانه من چیست؟")</f>
        <v>مراحل ساخت یک قفسه کتاب چوبی از ابتدا برای خانه من چیست؟</v>
      </c>
      <c r="H13257" s="1"/>
      <c r="I13257" s="1"/>
      <c r="J13257" s="1"/>
      <c r="K13257" s="1"/>
      <c r="L13257" s="1"/>
      <c r="M13257" s="1"/>
      <c r="N13257" s="1"/>
      <c r="O13257" s="1"/>
      <c r="P13257" s="1"/>
      <c r="Q13257" s="1"/>
      <c r="R13257" s="1"/>
      <c r="S13257" s="1"/>
      <c r="T13257" s="1"/>
      <c r="U13257" s="1"/>
      <c r="V13257" s="1"/>
      <c r="W13257" s="1"/>
      <c r="X13257" s="1"/>
      <c r="Y13257" s="1"/>
      <c r="Z13257" s="1"/>
      <c r="AA13257" s="1"/>
      <c r="AB13257" s="1"/>
    </row>
    <row r="13258" ht="50.25" customHeight="1">
      <c r="A13258" s="12">
        <v>13254.0</v>
      </c>
      <c r="B13258" s="13" t="s">
        <v>12594</v>
      </c>
      <c r="C13258" s="14" t="s">
        <v>12606</v>
      </c>
      <c r="D13258" s="1"/>
      <c r="E13258" s="1"/>
      <c r="F13258" s="1" t="str">
        <f>IFERROR(__xludf.DUMMYFUNCTION("GOOGLETRANSLATE(B13258, ""en"", ""fa"")
"),"صنایع دستی و پروژه های DIY")</f>
        <v>صنایع دستی و پروژه های DIY</v>
      </c>
      <c r="G13258" s="1" t="str">
        <f>IFERROR(__xludf.DUMMYFUNCTION("GOOGLETRANSLATE(C13258, ""en"", ""fa"")
"),"چگونه می توانم شیشه های سنگ تراشی را به فانوس های روستایی برای دکوراسیون فضای باز تبدیل کنم؟")</f>
        <v>چگونه می توانم شیشه های سنگ تراشی را به فانوس های روستایی برای دکوراسیون فضای باز تبدیل کنم؟</v>
      </c>
      <c r="H13258" s="1"/>
      <c r="I13258" s="1"/>
      <c r="J13258" s="1"/>
      <c r="K13258" s="1"/>
      <c r="L13258" s="1"/>
      <c r="M13258" s="1"/>
      <c r="N13258" s="1"/>
      <c r="O13258" s="1"/>
      <c r="P13258" s="1"/>
      <c r="Q13258" s="1"/>
      <c r="R13258" s="1"/>
      <c r="S13258" s="1"/>
      <c r="T13258" s="1"/>
      <c r="U13258" s="1"/>
      <c r="V13258" s="1"/>
      <c r="W13258" s="1"/>
      <c r="X13258" s="1"/>
      <c r="Y13258" s="1"/>
      <c r="Z13258" s="1"/>
      <c r="AA13258" s="1"/>
      <c r="AB13258" s="1"/>
    </row>
    <row r="13259" ht="50.25" customHeight="1">
      <c r="A13259" s="12">
        <v>13255.0</v>
      </c>
      <c r="B13259" s="13" t="s">
        <v>12594</v>
      </c>
      <c r="C13259" s="14" t="s">
        <v>12644</v>
      </c>
      <c r="D13259" s="1"/>
      <c r="E13259" s="1"/>
      <c r="F13259" s="1" t="str">
        <f>IFERROR(__xludf.DUMMYFUNCTION("GOOGLETRANSLATE(B13259, ""en"", ""fa"")
"),"صنایع دستی و پروژه های DIY")</f>
        <v>صنایع دستی و پروژه های DIY</v>
      </c>
      <c r="G13259" s="1" t="str">
        <f>IFERROR(__xludf.DUMMYFUNCTION("GOOGLETRANSLATE(C13259, ""en"", ""fa"")
"),"آیا می توانید تکنیک های DIY برای تهیه صابون طبیعی خانگی با مواد مغذی را پیشنهاد دهید؟")</f>
        <v>آیا می توانید تکنیک های DIY برای تهیه صابون طبیعی خانگی با مواد مغذی را پیشنهاد دهید؟</v>
      </c>
      <c r="H13259" s="1"/>
      <c r="I13259" s="1"/>
      <c r="J13259" s="1"/>
      <c r="K13259" s="1"/>
      <c r="L13259" s="1"/>
      <c r="M13259" s="1"/>
      <c r="N13259" s="1"/>
      <c r="O13259" s="1"/>
      <c r="P13259" s="1"/>
      <c r="Q13259" s="1"/>
      <c r="R13259" s="1"/>
      <c r="S13259" s="1"/>
      <c r="T13259" s="1"/>
      <c r="U13259" s="1"/>
      <c r="V13259" s="1"/>
      <c r="W13259" s="1"/>
      <c r="X13259" s="1"/>
      <c r="Y13259" s="1"/>
      <c r="Z13259" s="1"/>
      <c r="AA13259" s="1"/>
      <c r="AB13259" s="1"/>
    </row>
    <row r="13260" ht="50.25" customHeight="1">
      <c r="A13260" s="12">
        <v>13256.0</v>
      </c>
      <c r="B13260" s="13" t="s">
        <v>12594</v>
      </c>
      <c r="C13260" s="14" t="s">
        <v>12608</v>
      </c>
      <c r="D13260" s="1"/>
      <c r="E13260" s="1"/>
      <c r="F13260" s="1" t="str">
        <f>IFERROR(__xludf.DUMMYFUNCTION("GOOGLETRANSLATE(B13260, ""en"", ""fa"")
"),"صنایع دستی و پروژه های DIY")</f>
        <v>صنایع دستی و پروژه های DIY</v>
      </c>
      <c r="G13260" s="1" t="str">
        <f>IFERROR(__xludf.DUMMYFUNCTION("GOOGLETRANSLATE(C13260, ""en"", ""fa"")
"),"چند ایده آسان و مقرون به صرفه برای ساخت زیور آلات دست ساز تعطیلات چیست؟")</f>
        <v>چند ایده آسان و مقرون به صرفه برای ساخت زیور آلات دست ساز تعطیلات چیست؟</v>
      </c>
      <c r="H13260" s="1"/>
      <c r="I13260" s="1"/>
      <c r="J13260" s="1"/>
      <c r="K13260" s="1"/>
      <c r="L13260" s="1"/>
      <c r="M13260" s="1"/>
      <c r="N13260" s="1"/>
      <c r="O13260" s="1"/>
      <c r="P13260" s="1"/>
      <c r="Q13260" s="1"/>
      <c r="R13260" s="1"/>
      <c r="S13260" s="1"/>
      <c r="T13260" s="1"/>
      <c r="U13260" s="1"/>
      <c r="V13260" s="1"/>
      <c r="W13260" s="1"/>
      <c r="X13260" s="1"/>
      <c r="Y13260" s="1"/>
      <c r="Z13260" s="1"/>
      <c r="AA13260" s="1"/>
      <c r="AB13260" s="1"/>
    </row>
    <row r="13261" ht="50.25" customHeight="1">
      <c r="A13261" s="12">
        <v>13257.0</v>
      </c>
      <c r="B13261" s="13" t="s">
        <v>12594</v>
      </c>
      <c r="C13261" s="14" t="s">
        <v>12609</v>
      </c>
      <c r="D13261" s="1"/>
      <c r="E13261" s="1"/>
      <c r="F13261" s="1" t="str">
        <f>IFERROR(__xludf.DUMMYFUNCTION("GOOGLETRANSLATE(B13261, ""en"", ""fa"")
"),"صنایع دستی و پروژه های DIY")</f>
        <v>صنایع دستی و پروژه های DIY</v>
      </c>
      <c r="G13261" s="1" t="str">
        <f>IFERROR(__xludf.DUMMYFUNCTION("GOOGLETRANSLATE(C13261, ""en"", ""fa"")
"),"چگونه می توانم با استفاده از گل ها و برگ های فشرده شده برای لمس گیاه شناسی یک هنر دیواری DIY ایجاد کنم؟")</f>
        <v>چگونه می توانم با استفاده از گل ها و برگ های فشرده شده برای لمس گیاه شناسی یک هنر دیواری DIY ایجاد کنم؟</v>
      </c>
      <c r="H13261" s="1"/>
      <c r="I13261" s="1"/>
      <c r="J13261" s="1"/>
      <c r="K13261" s="1"/>
      <c r="L13261" s="1"/>
      <c r="M13261" s="1"/>
      <c r="N13261" s="1"/>
      <c r="O13261" s="1"/>
      <c r="P13261" s="1"/>
      <c r="Q13261" s="1"/>
      <c r="R13261" s="1"/>
      <c r="S13261" s="1"/>
      <c r="T13261" s="1"/>
      <c r="U13261" s="1"/>
      <c r="V13261" s="1"/>
      <c r="W13261" s="1"/>
      <c r="X13261" s="1"/>
      <c r="Y13261" s="1"/>
      <c r="Z13261" s="1"/>
      <c r="AA13261" s="1"/>
      <c r="AB13261" s="1"/>
    </row>
    <row r="13262" ht="50.25" customHeight="1">
      <c r="A13262" s="12">
        <v>13258.0</v>
      </c>
      <c r="B13262" s="13" t="s">
        <v>12594</v>
      </c>
      <c r="C13262" s="14" t="s">
        <v>12645</v>
      </c>
      <c r="D13262" s="1"/>
      <c r="E13262" s="1"/>
      <c r="F13262" s="1" t="str">
        <f>IFERROR(__xludf.DUMMYFUNCTION("GOOGLETRANSLATE(B13262, ""en"", ""fa"")
"),"صنایع دستی و پروژه های DIY")</f>
        <v>صنایع دستی و پروژه های DIY</v>
      </c>
      <c r="G13262" s="1" t="str">
        <f>IFERROR(__xludf.DUMMYFUNCTION("GOOGLETRANSLATE(C13262, ""en"", ""fa"")
"),"آیا می توانید پروژه های ساده بافتنی یا قلاب بافی را برای مبتدیان توصیه کنید؟")</f>
        <v>آیا می توانید پروژه های ساده بافتنی یا قلاب بافی را برای مبتدیان توصیه کنید؟</v>
      </c>
      <c r="H13262" s="1"/>
      <c r="I13262" s="1"/>
      <c r="J13262" s="1"/>
      <c r="K13262" s="1"/>
      <c r="L13262" s="1"/>
      <c r="M13262" s="1"/>
      <c r="N13262" s="1"/>
      <c r="O13262" s="1"/>
      <c r="P13262" s="1"/>
      <c r="Q13262" s="1"/>
      <c r="R13262" s="1"/>
      <c r="S13262" s="1"/>
      <c r="T13262" s="1"/>
      <c r="U13262" s="1"/>
      <c r="V13262" s="1"/>
      <c r="W13262" s="1"/>
      <c r="X13262" s="1"/>
      <c r="Y13262" s="1"/>
      <c r="Z13262" s="1"/>
      <c r="AA13262" s="1"/>
      <c r="AB13262" s="1"/>
    </row>
    <row r="13263" ht="50.25" customHeight="1">
      <c r="A13263" s="12">
        <v>13259.0</v>
      </c>
      <c r="B13263" s="13" t="s">
        <v>12594</v>
      </c>
      <c r="C13263" s="14" t="s">
        <v>12611</v>
      </c>
      <c r="D13263" s="1"/>
      <c r="E13263" s="1"/>
      <c r="F13263" s="1" t="str">
        <f>IFERROR(__xludf.DUMMYFUNCTION("GOOGLETRANSLATE(B13263, ""en"", ""fa"")
"),"صنایع دستی و پروژه های DIY")</f>
        <v>صنایع دستی و پروژه های DIY</v>
      </c>
      <c r="G13263" s="1" t="str">
        <f>IFERROR(__xludf.DUMMYFUNCTION("GOOGLETRANSLATE(C13263, ""en"", ""fa"")
"),"مراحل ساخت نمک حمام خانگی با فواید درمانی چیست؟")</f>
        <v>مراحل ساخت نمک حمام خانگی با فواید درمانی چیست؟</v>
      </c>
      <c r="H13263" s="1"/>
      <c r="I13263" s="1"/>
      <c r="J13263" s="1"/>
      <c r="K13263" s="1"/>
      <c r="L13263" s="1"/>
      <c r="M13263" s="1"/>
      <c r="N13263" s="1"/>
      <c r="O13263" s="1"/>
      <c r="P13263" s="1"/>
      <c r="Q13263" s="1"/>
      <c r="R13263" s="1"/>
      <c r="S13263" s="1"/>
      <c r="T13263" s="1"/>
      <c r="U13263" s="1"/>
      <c r="V13263" s="1"/>
      <c r="W13263" s="1"/>
      <c r="X13263" s="1"/>
      <c r="Y13263" s="1"/>
      <c r="Z13263" s="1"/>
      <c r="AA13263" s="1"/>
      <c r="AB13263" s="1"/>
    </row>
    <row r="13264" ht="50.25" customHeight="1">
      <c r="A13264" s="12">
        <v>13260.0</v>
      </c>
      <c r="B13264" s="13" t="s">
        <v>12594</v>
      </c>
      <c r="C13264" s="14" t="s">
        <v>12612</v>
      </c>
      <c r="D13264" s="1"/>
      <c r="E13264" s="1"/>
      <c r="F13264" s="1" t="str">
        <f>IFERROR(__xludf.DUMMYFUNCTION("GOOGLETRANSLATE(B13264, ""en"", ""fa"")
"),"صنایع دستی و پروژه های DIY")</f>
        <v>صنایع دستی و پروژه های DIY</v>
      </c>
      <c r="G13264" s="1" t="str">
        <f>IFERROR(__xludf.DUMMYFUNCTION("GOOGLETRANSLATE(C13264, ""en"", ""fa"")
"),"چگونه می توانم تابلوهای چوبی تزئینی خود را برای خانه خود طراحی و نقاشی کنم؟")</f>
        <v>چگونه می توانم تابلوهای چوبی تزئینی خود را برای خانه خود طراحی و نقاشی کنم؟</v>
      </c>
      <c r="H13264" s="1"/>
      <c r="I13264" s="1"/>
      <c r="J13264" s="1"/>
      <c r="K13264" s="1"/>
      <c r="L13264" s="1"/>
      <c r="M13264" s="1"/>
      <c r="N13264" s="1"/>
      <c r="O13264" s="1"/>
      <c r="P13264" s="1"/>
      <c r="Q13264" s="1"/>
      <c r="R13264" s="1"/>
      <c r="S13264" s="1"/>
      <c r="T13264" s="1"/>
      <c r="U13264" s="1"/>
      <c r="V13264" s="1"/>
      <c r="W13264" s="1"/>
      <c r="X13264" s="1"/>
      <c r="Y13264" s="1"/>
      <c r="Z13264" s="1"/>
      <c r="AA13264" s="1"/>
      <c r="AB13264" s="1"/>
    </row>
    <row r="13265" ht="50.25" customHeight="1">
      <c r="A13265" s="12">
        <v>13261.0</v>
      </c>
      <c r="B13265" s="13" t="s">
        <v>12594</v>
      </c>
      <c r="C13265" s="14" t="s">
        <v>12646</v>
      </c>
      <c r="D13265" s="1"/>
      <c r="E13265" s="1"/>
      <c r="F13265" s="1" t="str">
        <f>IFERROR(__xludf.DUMMYFUNCTION("GOOGLETRANSLATE(B13265, ""en"", ""fa"")
"),"صنایع دستی و پروژه های DIY")</f>
        <v>صنایع دستی و پروژه های DIY</v>
      </c>
      <c r="G13265" s="1" t="str">
        <f>IFERROR(__xludf.DUMMYFUNCTION("GOOGLETRANSLATE(C13265, ""en"", ""fa"")
"),"چند ایده نوآورانه برای ایجاد مجسمه‌ها و طرح‌های صنایع دستی کاغذی DIY چیست؟")</f>
        <v>چند ایده نوآورانه برای ایجاد مجسمه‌ها و طرح‌های صنایع دستی کاغذی DIY چیست؟</v>
      </c>
      <c r="H13265" s="1"/>
      <c r="I13265" s="1"/>
      <c r="J13265" s="1"/>
      <c r="K13265" s="1"/>
      <c r="L13265" s="1"/>
      <c r="M13265" s="1"/>
      <c r="N13265" s="1"/>
      <c r="O13265" s="1"/>
      <c r="P13265" s="1"/>
      <c r="Q13265" s="1"/>
      <c r="R13265" s="1"/>
      <c r="S13265" s="1"/>
      <c r="T13265" s="1"/>
      <c r="U13265" s="1"/>
      <c r="V13265" s="1"/>
      <c r="W13265" s="1"/>
      <c r="X13265" s="1"/>
      <c r="Y13265" s="1"/>
      <c r="Z13265" s="1"/>
      <c r="AA13265" s="1"/>
      <c r="AB13265" s="1"/>
    </row>
    <row r="13266" ht="50.25" customHeight="1">
      <c r="A13266" s="12">
        <v>13262.0</v>
      </c>
      <c r="B13266" s="13" t="s">
        <v>12594</v>
      </c>
      <c r="C13266" s="14" t="s">
        <v>12647</v>
      </c>
      <c r="D13266" s="1"/>
      <c r="E13266" s="1"/>
      <c r="F13266" s="1" t="str">
        <f>IFERROR(__xludf.DUMMYFUNCTION("GOOGLETRANSLATE(B13266, ""en"", ""fa"")
"),"صنایع دستی و پروژه های DIY")</f>
        <v>صنایع دستی و پروژه های DIY</v>
      </c>
      <c r="G13266" s="1" t="str">
        <f>IFERROR(__xludf.DUMMYFUNCTION("GOOGLETRANSLATE(C13266, ""en"", ""fa"")
"),"چگونه می توانم زیر لیوانی رزین شخصی خود را با گل های خشک و تزئینات دیگر بسازم؟")</f>
        <v>چگونه می توانم زیر لیوانی رزین شخصی خود را با گل های خشک و تزئینات دیگر بسازم؟</v>
      </c>
      <c r="H13266" s="1"/>
      <c r="I13266" s="1"/>
      <c r="J13266" s="1"/>
      <c r="K13266" s="1"/>
      <c r="L13266" s="1"/>
      <c r="M13266" s="1"/>
      <c r="N13266" s="1"/>
      <c r="O13266" s="1"/>
      <c r="P13266" s="1"/>
      <c r="Q13266" s="1"/>
      <c r="R13266" s="1"/>
      <c r="S13266" s="1"/>
      <c r="T13266" s="1"/>
      <c r="U13266" s="1"/>
      <c r="V13266" s="1"/>
      <c r="W13266" s="1"/>
      <c r="X13266" s="1"/>
      <c r="Y13266" s="1"/>
      <c r="Z13266" s="1"/>
      <c r="AA13266" s="1"/>
      <c r="AB13266" s="1"/>
    </row>
    <row r="13267" ht="50.25" customHeight="1">
      <c r="A13267" s="12">
        <v>13263.0</v>
      </c>
      <c r="B13267" s="13" t="s">
        <v>12594</v>
      </c>
      <c r="C13267" s="14" t="s">
        <v>12648</v>
      </c>
      <c r="D13267" s="1"/>
      <c r="E13267" s="1"/>
      <c r="F13267" s="1" t="str">
        <f>IFERROR(__xludf.DUMMYFUNCTION("GOOGLETRANSLATE(B13267, ""en"", ""fa"")
"),"صنایع دستی و پروژه های DIY")</f>
        <v>صنایع دستی و پروژه های DIY</v>
      </c>
      <c r="G13267" s="1" t="str">
        <f>IFERROR(__xludf.DUMMYFUNCTION("GOOGLETRANSLATE(C13267, ""en"", ""fa"")
"),"آیا می توانید تکنیک های DIY را برای ساخت محصولات پاک کننده خانگی سازگار با محیط زیست پیشنهاد دهید؟")</f>
        <v>آیا می توانید تکنیک های DIY را برای ساخت محصولات پاک کننده خانگی سازگار با محیط زیست پیشنهاد دهید؟</v>
      </c>
      <c r="H13267" s="1"/>
      <c r="I13267" s="1"/>
      <c r="J13267" s="1"/>
      <c r="K13267" s="1"/>
      <c r="L13267" s="1"/>
      <c r="M13267" s="1"/>
      <c r="N13267" s="1"/>
      <c r="O13267" s="1"/>
      <c r="P13267" s="1"/>
      <c r="Q13267" s="1"/>
      <c r="R13267" s="1"/>
      <c r="S13267" s="1"/>
      <c r="T13267" s="1"/>
      <c r="U13267" s="1"/>
      <c r="V13267" s="1"/>
      <c r="W13267" s="1"/>
      <c r="X13267" s="1"/>
      <c r="Y13267" s="1"/>
      <c r="Z13267" s="1"/>
      <c r="AA13267" s="1"/>
      <c r="AB13267" s="1"/>
    </row>
    <row r="13268" ht="50.25" customHeight="1">
      <c r="A13268" s="12">
        <v>13264.0</v>
      </c>
      <c r="B13268" s="13" t="s">
        <v>12594</v>
      </c>
      <c r="C13268" s="14" t="s">
        <v>12649</v>
      </c>
      <c r="D13268" s="1"/>
      <c r="E13268" s="1"/>
      <c r="F13268" s="1" t="str">
        <f>IFERROR(__xludf.DUMMYFUNCTION("GOOGLETRANSLATE(B13268, ""en"", ""fa"")
"),"صنایع دستی و پروژه های DIY")</f>
        <v>صنایع دستی و پروژه های DIY</v>
      </c>
      <c r="G13268" s="1" t="str">
        <f>IFERROR(__xludf.DUMMYFUNCTION("GOOGLETRANSLATE(C13268, ""en"", ""fa"")
"),"مراحل ساخت یک خانه پرنده چوبی DIY برای جذب پرندگان به باغ من چیست؟")</f>
        <v>مراحل ساخت یک خانه پرنده چوبی DIY برای جذب پرندگان به باغ من چیست؟</v>
      </c>
      <c r="H13268" s="1"/>
      <c r="I13268" s="1"/>
      <c r="J13268" s="1"/>
      <c r="K13268" s="1"/>
      <c r="L13268" s="1"/>
      <c r="M13268" s="1"/>
      <c r="N13268" s="1"/>
      <c r="O13268" s="1"/>
      <c r="P13268" s="1"/>
      <c r="Q13268" s="1"/>
      <c r="R13268" s="1"/>
      <c r="S13268" s="1"/>
      <c r="T13268" s="1"/>
      <c r="U13268" s="1"/>
      <c r="V13268" s="1"/>
      <c r="W13268" s="1"/>
      <c r="X13268" s="1"/>
      <c r="Y13268" s="1"/>
      <c r="Z13268" s="1"/>
      <c r="AA13268" s="1"/>
      <c r="AB13268" s="1"/>
    </row>
    <row r="13269" ht="50.25" customHeight="1">
      <c r="A13269" s="12">
        <v>13265.0</v>
      </c>
      <c r="B13269" s="13" t="s">
        <v>12594</v>
      </c>
      <c r="C13269" s="14" t="s">
        <v>12627</v>
      </c>
      <c r="D13269" s="1"/>
      <c r="E13269" s="1"/>
      <c r="F13269" s="1" t="str">
        <f>IFERROR(__xludf.DUMMYFUNCTION("GOOGLETRANSLATE(B13269, ""en"", ""fa"")
"),"صنایع دستی و پروژه های DIY")</f>
        <v>صنایع دستی و پروژه های DIY</v>
      </c>
      <c r="G13269" s="1" t="str">
        <f>IFERROR(__xludf.DUMMYFUNCTION("GOOGLETRANSLATE(C13269, ""en"", ""fa"")
"),"چگونه می توانم بطری های شیشه ای قدیمی را به گلدان های نقاشی شده خیره کننده یا قطعات مرکزی تبدیل کنم؟")</f>
        <v>چگونه می توانم بطری های شیشه ای قدیمی را به گلدان های نقاشی شده خیره کننده یا قطعات مرکزی تبدیل کنم؟</v>
      </c>
      <c r="H13269" s="1"/>
      <c r="I13269" s="1"/>
      <c r="J13269" s="1"/>
      <c r="K13269" s="1"/>
      <c r="L13269" s="1"/>
      <c r="M13269" s="1"/>
      <c r="N13269" s="1"/>
      <c r="O13269" s="1"/>
      <c r="P13269" s="1"/>
      <c r="Q13269" s="1"/>
      <c r="R13269" s="1"/>
      <c r="S13269" s="1"/>
      <c r="T13269" s="1"/>
      <c r="U13269" s="1"/>
      <c r="V13269" s="1"/>
      <c r="W13269" s="1"/>
      <c r="X13269" s="1"/>
      <c r="Y13269" s="1"/>
      <c r="Z13269" s="1"/>
      <c r="AA13269" s="1"/>
      <c r="AB13269" s="1"/>
    </row>
    <row r="13270" ht="50.25" customHeight="1">
      <c r="A13270" s="12">
        <v>13266.0</v>
      </c>
      <c r="B13270" s="13" t="s">
        <v>12594</v>
      </c>
      <c r="C13270" s="14" t="s">
        <v>12625</v>
      </c>
      <c r="D13270" s="1"/>
      <c r="E13270" s="1"/>
      <c r="F13270" s="1" t="str">
        <f>IFERROR(__xludf.DUMMYFUNCTION("GOOGLETRANSLATE(B13270, ""en"", ""fa"")
"),"صنایع دستی و پروژه های DIY")</f>
        <v>صنایع دستی و پروژه های DIY</v>
      </c>
      <c r="G13270" s="1" t="str">
        <f>IFERROR(__xludf.DUMMYFUNCTION("GOOGLETRANSLATE(C13270, ""en"", ""fa"")
"),"آیا می توانید تکنیک های DIY را برای ایجاد قاب گوشی با طراحی سفارشی توصیه کنید؟")</f>
        <v>آیا می توانید تکنیک های DIY را برای ایجاد قاب گوشی با طراحی سفارشی توصیه کنید؟</v>
      </c>
      <c r="H13270" s="1"/>
      <c r="I13270" s="1"/>
      <c r="J13270" s="1"/>
      <c r="K13270" s="1"/>
      <c r="L13270" s="1"/>
      <c r="M13270" s="1"/>
      <c r="N13270" s="1"/>
      <c r="O13270" s="1"/>
      <c r="P13270" s="1"/>
      <c r="Q13270" s="1"/>
      <c r="R13270" s="1"/>
      <c r="S13270" s="1"/>
      <c r="T13270" s="1"/>
      <c r="U13270" s="1"/>
      <c r="V13270" s="1"/>
      <c r="W13270" s="1"/>
      <c r="X13270" s="1"/>
      <c r="Y13270" s="1"/>
      <c r="Z13270" s="1"/>
      <c r="AA13270" s="1"/>
      <c r="AB13270" s="1"/>
    </row>
    <row r="13271" ht="50.25" customHeight="1">
      <c r="A13271" s="12">
        <v>13267.0</v>
      </c>
      <c r="B13271" s="13" t="s">
        <v>12594</v>
      </c>
      <c r="C13271" s="14" t="s">
        <v>12628</v>
      </c>
      <c r="D13271" s="1"/>
      <c r="E13271" s="1"/>
      <c r="F13271" s="1" t="str">
        <f>IFERROR(__xludf.DUMMYFUNCTION("GOOGLETRANSLATE(B13271, ""en"", ""fa"")
"),"صنایع دستی و پروژه های DIY")</f>
        <v>صنایع دستی و پروژه های DIY</v>
      </c>
      <c r="G13271" s="1" t="str">
        <f>IFERROR(__xludf.DUMMYFUNCTION("GOOGLETRANSLATE(C13271, ""en"", ""fa"")
"),"چند ایده خلاقانه برای ساختن نشانک های DIY با مواد مختلف چیست؟")</f>
        <v>چند ایده خلاقانه برای ساختن نشانک های DIY با مواد مختلف چیست؟</v>
      </c>
      <c r="H13271" s="1"/>
      <c r="I13271" s="1"/>
      <c r="J13271" s="1"/>
      <c r="K13271" s="1"/>
      <c r="L13271" s="1"/>
      <c r="M13271" s="1"/>
      <c r="N13271" s="1"/>
      <c r="O13271" s="1"/>
      <c r="P13271" s="1"/>
      <c r="Q13271" s="1"/>
      <c r="R13271" s="1"/>
      <c r="S13271" s="1"/>
      <c r="T13271" s="1"/>
      <c r="U13271" s="1"/>
      <c r="V13271" s="1"/>
      <c r="W13271" s="1"/>
      <c r="X13271" s="1"/>
      <c r="Y13271" s="1"/>
      <c r="Z13271" s="1"/>
      <c r="AA13271" s="1"/>
      <c r="AB13271" s="1"/>
    </row>
    <row r="13272" ht="50.25" customHeight="1">
      <c r="A13272" s="12">
        <v>13268.0</v>
      </c>
      <c r="B13272" s="13" t="s">
        <v>12594</v>
      </c>
      <c r="C13272" s="14" t="s">
        <v>12629</v>
      </c>
      <c r="D13272" s="1"/>
      <c r="E13272" s="1"/>
      <c r="F13272" s="1" t="str">
        <f>IFERROR(__xludf.DUMMYFUNCTION("GOOGLETRANSLATE(B13272, ""en"", ""fa"")
"),"صنایع دستی و پروژه های DIY")</f>
        <v>صنایع دستی و پروژه های DIY</v>
      </c>
      <c r="G13272" s="1" t="str">
        <f>IFERROR(__xludf.DUMMYFUNCTION("GOOGLETRANSLATE(C13272, ""en"", ""fa"")
"),"چگونه می توانم روغن های حمام خانگی را با روغن های مغذی و رایحه های معطر ایجاد کنم؟")</f>
        <v>چگونه می توانم روغن های حمام خانگی را با روغن های مغذی و رایحه های معطر ایجاد کنم؟</v>
      </c>
      <c r="H13272" s="1"/>
      <c r="I13272" s="1"/>
      <c r="J13272" s="1"/>
      <c r="K13272" s="1"/>
      <c r="L13272" s="1"/>
      <c r="M13272" s="1"/>
      <c r="N13272" s="1"/>
      <c r="O13272" s="1"/>
      <c r="P13272" s="1"/>
      <c r="Q13272" s="1"/>
      <c r="R13272" s="1"/>
      <c r="S13272" s="1"/>
      <c r="T13272" s="1"/>
      <c r="U13272" s="1"/>
      <c r="V13272" s="1"/>
      <c r="W13272" s="1"/>
      <c r="X13272" s="1"/>
      <c r="Y13272" s="1"/>
      <c r="Z13272" s="1"/>
      <c r="AA13272" s="1"/>
      <c r="AB13272" s="1"/>
    </row>
    <row r="13273" ht="50.25" customHeight="1">
      <c r="A13273" s="12">
        <v>13269.0</v>
      </c>
      <c r="B13273" s="13" t="s">
        <v>12594</v>
      </c>
      <c r="C13273" s="14" t="s">
        <v>12630</v>
      </c>
      <c r="D13273" s="1"/>
      <c r="E13273" s="1"/>
      <c r="F13273" s="1" t="str">
        <f>IFERROR(__xludf.DUMMYFUNCTION("GOOGLETRANSLATE(B13273, ""en"", ""fa"")
"),"صنایع دستی و پروژه های DIY")</f>
        <v>صنایع دستی و پروژه های DIY</v>
      </c>
      <c r="G13273" s="1" t="str">
        <f>IFERROR(__xludf.DUMMYFUNCTION("GOOGLETRANSLATE(C13273, ""en"", ""fa"")
"),"آیا می توانید تکنیک های DIY را برای ساخت دستمال مرطوب پاک کننده خانگی دوستدار محیط زیست پیشنهاد دهید؟")</f>
        <v>آیا می توانید تکنیک های DIY را برای ساخت دستمال مرطوب پاک کننده خانگی دوستدار محیط زیست پیشنهاد دهید؟</v>
      </c>
      <c r="H13273" s="1"/>
      <c r="I13273" s="1"/>
      <c r="J13273" s="1"/>
      <c r="K13273" s="1"/>
      <c r="L13273" s="1"/>
      <c r="M13273" s="1"/>
      <c r="N13273" s="1"/>
      <c r="O13273" s="1"/>
      <c r="P13273" s="1"/>
      <c r="Q13273" s="1"/>
      <c r="R13273" s="1"/>
      <c r="S13273" s="1"/>
      <c r="T13273" s="1"/>
      <c r="U13273" s="1"/>
      <c r="V13273" s="1"/>
      <c r="W13273" s="1"/>
      <c r="X13273" s="1"/>
      <c r="Y13273" s="1"/>
      <c r="Z13273" s="1"/>
      <c r="AA13273" s="1"/>
      <c r="AB13273" s="1"/>
    </row>
    <row r="13274" ht="50.25" customHeight="1">
      <c r="A13274" s="12">
        <v>13270.0</v>
      </c>
      <c r="B13274" s="13" t="s">
        <v>12594</v>
      </c>
      <c r="C13274" s="14" t="s">
        <v>12631</v>
      </c>
      <c r="D13274" s="1"/>
      <c r="E13274" s="1"/>
      <c r="F13274" s="1" t="str">
        <f>IFERROR(__xludf.DUMMYFUNCTION("GOOGLETRANSLATE(B13274, ""en"", ""fa"")
"),"صنایع دستی و پروژه های DIY")</f>
        <v>صنایع دستی و پروژه های DIY</v>
      </c>
      <c r="G13274" s="1" t="str">
        <f>IFERROR(__xludf.DUMMYFUNCTION("GOOGLETRANSLATE(C13274, ""en"", ""fa"")
"),"مراحل ایجاد پرینت بوم شخصی سازی شده DIY از عکس های مورد علاقه من چیست؟")</f>
        <v>مراحل ایجاد پرینت بوم شخصی سازی شده DIY از عکس های مورد علاقه من چیست؟</v>
      </c>
      <c r="H13274" s="1"/>
      <c r="I13274" s="1"/>
      <c r="J13274" s="1"/>
      <c r="K13274" s="1"/>
      <c r="L13274" s="1"/>
      <c r="M13274" s="1"/>
      <c r="N13274" s="1"/>
      <c r="O13274" s="1"/>
      <c r="P13274" s="1"/>
      <c r="Q13274" s="1"/>
      <c r="R13274" s="1"/>
      <c r="S13274" s="1"/>
      <c r="T13274" s="1"/>
      <c r="U13274" s="1"/>
      <c r="V13274" s="1"/>
      <c r="W13274" s="1"/>
      <c r="X13274" s="1"/>
      <c r="Y13274" s="1"/>
      <c r="Z13274" s="1"/>
      <c r="AA13274" s="1"/>
      <c r="AB13274" s="1"/>
    </row>
    <row r="13275" ht="50.25" customHeight="1">
      <c r="A13275" s="12">
        <v>13271.0</v>
      </c>
      <c r="B13275" s="13" t="s">
        <v>12594</v>
      </c>
      <c r="C13275" s="14" t="s">
        <v>12632</v>
      </c>
      <c r="D13275" s="1"/>
      <c r="E13275" s="1"/>
      <c r="F13275" s="1" t="str">
        <f>IFERROR(__xludf.DUMMYFUNCTION("GOOGLETRANSLATE(B13275, ""en"", ""fa"")
"),"صنایع دستی و پروژه های DIY")</f>
        <v>صنایع دستی و پروژه های DIY</v>
      </c>
      <c r="G13275" s="1" t="str">
        <f>IFERROR(__xludf.DUMMYFUNCTION("GOOGLETRANSLATE(C13275, ""en"", ""fa"")
"),"چگونه می توانم سربندهای پارچه ای خود را با طرح های مختلف طراحی و بدوزم؟")</f>
        <v>چگونه می توانم سربندهای پارچه ای خود را با طرح های مختلف طراحی و بدوزم؟</v>
      </c>
      <c r="H13275" s="1"/>
      <c r="I13275" s="1"/>
      <c r="J13275" s="1"/>
      <c r="K13275" s="1"/>
      <c r="L13275" s="1"/>
      <c r="M13275" s="1"/>
      <c r="N13275" s="1"/>
      <c r="O13275" s="1"/>
      <c r="P13275" s="1"/>
      <c r="Q13275" s="1"/>
      <c r="R13275" s="1"/>
      <c r="S13275" s="1"/>
      <c r="T13275" s="1"/>
      <c r="U13275" s="1"/>
      <c r="V13275" s="1"/>
      <c r="W13275" s="1"/>
      <c r="X13275" s="1"/>
      <c r="Y13275" s="1"/>
      <c r="Z13275" s="1"/>
      <c r="AA13275" s="1"/>
      <c r="AB13275" s="1"/>
    </row>
    <row r="13276" ht="50.25" customHeight="1">
      <c r="A13276" s="12">
        <v>13272.0</v>
      </c>
      <c r="B13276" s="13" t="s">
        <v>12594</v>
      </c>
      <c r="C13276" s="14" t="s">
        <v>12633</v>
      </c>
      <c r="D13276" s="1"/>
      <c r="E13276" s="1"/>
      <c r="F13276" s="1" t="str">
        <f>IFERROR(__xludf.DUMMYFUNCTION("GOOGLETRANSLATE(B13276, ""en"", ""fa"")
"),"صنایع دستی و پروژه های DIY")</f>
        <v>صنایع دستی و پروژه های DIY</v>
      </c>
      <c r="G13276" s="1" t="str">
        <f>IFERROR(__xludf.DUMMYFUNCTION("GOOGLETRANSLATE(C13276, ""en"", ""fa"")
"),"چند پروژه آسان و لذت بخش DIY برای بافتن یا قلاب بافی روسری چیست؟")</f>
        <v>چند پروژه آسان و لذت بخش DIY برای بافتن یا قلاب بافی روسری چیست؟</v>
      </c>
      <c r="H13276" s="1"/>
      <c r="I13276" s="1"/>
      <c r="J13276" s="1"/>
      <c r="K13276" s="1"/>
      <c r="L13276" s="1"/>
      <c r="M13276" s="1"/>
      <c r="N13276" s="1"/>
      <c r="O13276" s="1"/>
      <c r="P13276" s="1"/>
      <c r="Q13276" s="1"/>
      <c r="R13276" s="1"/>
      <c r="S13276" s="1"/>
      <c r="T13276" s="1"/>
      <c r="U13276" s="1"/>
      <c r="V13276" s="1"/>
      <c r="W13276" s="1"/>
      <c r="X13276" s="1"/>
      <c r="Y13276" s="1"/>
      <c r="Z13276" s="1"/>
      <c r="AA13276" s="1"/>
      <c r="AB13276" s="1"/>
    </row>
    <row r="13277" ht="50.25" customHeight="1">
      <c r="A13277" s="12">
        <v>13273.0</v>
      </c>
      <c r="B13277" s="13" t="s">
        <v>12594</v>
      </c>
      <c r="C13277" s="14" t="s">
        <v>12634</v>
      </c>
      <c r="D13277" s="1"/>
      <c r="E13277" s="1"/>
      <c r="F13277" s="1" t="str">
        <f>IFERROR(__xludf.DUMMYFUNCTION("GOOGLETRANSLATE(B13277, ""en"", ""fa"")
"),"صنایع دستی و پروژه های DIY")</f>
        <v>صنایع دستی و پروژه های DIY</v>
      </c>
      <c r="G13277" s="1" t="str">
        <f>IFERROR(__xludf.DUMMYFUNCTION("GOOGLETRANSLATE(C13277, ""en"", ""fa"")
"),"چگونه پالت های چوبی قدیمی را به قطعات کاربردی و تزئینی تبدیل کنم؟")</f>
        <v>چگونه پالت های چوبی قدیمی را به قطعات کاربردی و تزئینی تبدیل کنم؟</v>
      </c>
      <c r="H13277" s="1"/>
      <c r="I13277" s="1"/>
      <c r="J13277" s="1"/>
      <c r="K13277" s="1"/>
      <c r="L13277" s="1"/>
      <c r="M13277" s="1"/>
      <c r="N13277" s="1"/>
      <c r="O13277" s="1"/>
      <c r="P13277" s="1"/>
      <c r="Q13277" s="1"/>
      <c r="R13277" s="1"/>
      <c r="S13277" s="1"/>
      <c r="T13277" s="1"/>
      <c r="U13277" s="1"/>
      <c r="V13277" s="1"/>
      <c r="W13277" s="1"/>
      <c r="X13277" s="1"/>
      <c r="Y13277" s="1"/>
      <c r="Z13277" s="1"/>
      <c r="AA13277" s="1"/>
      <c r="AB13277" s="1"/>
    </row>
    <row r="13278" ht="50.25" customHeight="1">
      <c r="A13278" s="12">
        <v>13274.0</v>
      </c>
      <c r="B13278" s="13" t="s">
        <v>12594</v>
      </c>
      <c r="C13278" s="14" t="s">
        <v>12635</v>
      </c>
      <c r="D13278" s="1"/>
      <c r="E13278" s="1"/>
      <c r="F13278" s="1" t="str">
        <f>IFERROR(__xludf.DUMMYFUNCTION("GOOGLETRANSLATE(B13278, ""en"", ""fa"")
"),"صنایع دستی و پروژه های DIY")</f>
        <v>صنایع دستی و پروژه های DIY</v>
      </c>
      <c r="G13278" s="1" t="str">
        <f>IFERROR(__xludf.DUMMYFUNCTION("GOOGLETRANSLATE(C13278, ""en"", ""fa"")
"),"آیا می توانید تکنیک های DIY را برای ساخت اسکراب بدن خانگی با لایه بردارهای طبیعی توصیه کنید؟")</f>
        <v>آیا می توانید تکنیک های DIY را برای ساخت اسکراب بدن خانگی با لایه بردارهای طبیعی توصیه کنید؟</v>
      </c>
      <c r="H13278" s="1"/>
      <c r="I13278" s="1"/>
      <c r="J13278" s="1"/>
      <c r="K13278" s="1"/>
      <c r="L13278" s="1"/>
      <c r="M13278" s="1"/>
      <c r="N13278" s="1"/>
      <c r="O13278" s="1"/>
      <c r="P13278" s="1"/>
      <c r="Q13278" s="1"/>
      <c r="R13278" s="1"/>
      <c r="S13278" s="1"/>
      <c r="T13278" s="1"/>
      <c r="U13278" s="1"/>
      <c r="V13278" s="1"/>
      <c r="W13278" s="1"/>
      <c r="X13278" s="1"/>
      <c r="Y13278" s="1"/>
      <c r="Z13278" s="1"/>
      <c r="AA13278" s="1"/>
      <c r="AB13278" s="1"/>
    </row>
    <row r="13279" ht="50.25" customHeight="1">
      <c r="A13279" s="12">
        <v>13275.0</v>
      </c>
      <c r="B13279" s="13" t="s">
        <v>12594</v>
      </c>
      <c r="C13279" s="14" t="s">
        <v>12636</v>
      </c>
      <c r="D13279" s="1"/>
      <c r="E13279" s="1"/>
      <c r="F13279" s="1" t="str">
        <f>IFERROR(__xludf.DUMMYFUNCTION("GOOGLETRANSLATE(B13279, ""en"", ""fa"")
"),"صنایع دستی و پروژه های DIY")</f>
        <v>صنایع دستی و پروژه های DIY</v>
      </c>
      <c r="G13279" s="1" t="str">
        <f>IFERROR(__xludf.DUMMYFUNCTION("GOOGLETRANSLATE(C13279, ""en"", ""fa"")
"),"مراحل ایجاد شابلون های با طراحی سفارشی برای نقاشی دیواری یا کاردستی چیست؟")</f>
        <v>مراحل ایجاد شابلون های با طراحی سفارشی برای نقاشی دیواری یا کاردستی چیست؟</v>
      </c>
      <c r="H13279" s="1"/>
      <c r="I13279" s="1"/>
      <c r="J13279" s="1"/>
      <c r="K13279" s="1"/>
      <c r="L13279" s="1"/>
      <c r="M13279" s="1"/>
      <c r="N13279" s="1"/>
      <c r="O13279" s="1"/>
      <c r="P13279" s="1"/>
      <c r="Q13279" s="1"/>
      <c r="R13279" s="1"/>
      <c r="S13279" s="1"/>
      <c r="T13279" s="1"/>
      <c r="U13279" s="1"/>
      <c r="V13279" s="1"/>
      <c r="W13279" s="1"/>
      <c r="X13279" s="1"/>
      <c r="Y13279" s="1"/>
      <c r="Z13279" s="1"/>
      <c r="AA13279" s="1"/>
      <c r="AB13279" s="1"/>
    </row>
    <row r="13280" ht="50.25" customHeight="1">
      <c r="A13280" s="12">
        <v>13276.0</v>
      </c>
      <c r="B13280" s="13" t="s">
        <v>12594</v>
      </c>
      <c r="C13280" s="14" t="s">
        <v>12637</v>
      </c>
      <c r="D13280" s="1"/>
      <c r="E13280" s="1"/>
      <c r="F13280" s="1" t="str">
        <f>IFERROR(__xludf.DUMMYFUNCTION("GOOGLETRANSLATE(B13280, ""en"", ""fa"")
"),"صنایع دستی و پروژه های DIY")</f>
        <v>صنایع دستی و پروژه های DIY</v>
      </c>
      <c r="G13280" s="1" t="str">
        <f>IFERROR(__xludf.DUMMYFUNCTION("GOOGLETRANSLATE(C13280, ""en"", ""fa"")
"),"چگونه می توانم شیشه های معمولی را با چراغ های پری به فانوس های زیبای DIY تبدیل کنم؟")</f>
        <v>چگونه می توانم شیشه های معمولی را با چراغ های پری به فانوس های زیبای DIY تبدیل کنم؟</v>
      </c>
      <c r="H13280" s="1"/>
      <c r="I13280" s="1"/>
      <c r="J13280" s="1"/>
      <c r="K13280" s="1"/>
      <c r="L13280" s="1"/>
      <c r="M13280" s="1"/>
      <c r="N13280" s="1"/>
      <c r="O13280" s="1"/>
      <c r="P13280" s="1"/>
      <c r="Q13280" s="1"/>
      <c r="R13280" s="1"/>
      <c r="S13280" s="1"/>
      <c r="T13280" s="1"/>
      <c r="U13280" s="1"/>
      <c r="V13280" s="1"/>
      <c r="W13280" s="1"/>
      <c r="X13280" s="1"/>
      <c r="Y13280" s="1"/>
      <c r="Z13280" s="1"/>
      <c r="AA13280" s="1"/>
      <c r="AB13280" s="1"/>
    </row>
    <row r="13281" ht="50.25" customHeight="1">
      <c r="A13281" s="12">
        <v>13277.0</v>
      </c>
      <c r="B13281" s="13" t="s">
        <v>12594</v>
      </c>
      <c r="C13281" s="14" t="s">
        <v>12650</v>
      </c>
      <c r="D13281" s="1"/>
      <c r="E13281" s="1"/>
      <c r="F13281" s="1" t="str">
        <f>IFERROR(__xludf.DUMMYFUNCTION("GOOGLETRANSLATE(B13281, ""en"", ""fa"")
"),"صنایع دستی و پروژه های DIY")</f>
        <v>صنایع دستی و پروژه های DIY</v>
      </c>
      <c r="G13281" s="1" t="str">
        <f>IFERROR(__xludf.DUMMYFUNCTION("GOOGLETRANSLATE(C13281, ""en"", ""fa"")
"),"آیا می‌توانید ایده‌های نوآورانه‌ای برای ساخت خلاقیت‌های اوریگامی کاغذی DIY پیشنهاد کنید؟")</f>
        <v>آیا می‌توانید ایده‌های نوآورانه‌ای برای ساخت خلاقیت‌های اوریگامی کاغذی DIY پیشنهاد کنید؟</v>
      </c>
      <c r="H13281" s="1"/>
      <c r="I13281" s="1"/>
      <c r="J13281" s="1"/>
      <c r="K13281" s="1"/>
      <c r="L13281" s="1"/>
      <c r="M13281" s="1"/>
      <c r="N13281" s="1"/>
      <c r="O13281" s="1"/>
      <c r="P13281" s="1"/>
      <c r="Q13281" s="1"/>
      <c r="R13281" s="1"/>
      <c r="S13281" s="1"/>
      <c r="T13281" s="1"/>
      <c r="U13281" s="1"/>
      <c r="V13281" s="1"/>
      <c r="W13281" s="1"/>
      <c r="X13281" s="1"/>
      <c r="Y13281" s="1"/>
      <c r="Z13281" s="1"/>
      <c r="AA13281" s="1"/>
      <c r="AB13281" s="1"/>
    </row>
    <row r="13282" ht="50.25" customHeight="1">
      <c r="A13282" s="12">
        <v>13278.0</v>
      </c>
      <c r="B13282" s="13" t="s">
        <v>12594</v>
      </c>
      <c r="C13282" s="14" t="s">
        <v>12651</v>
      </c>
      <c r="D13282" s="1"/>
      <c r="E13282" s="1"/>
      <c r="F13282" s="1" t="str">
        <f>IFERROR(__xludf.DUMMYFUNCTION("GOOGLETRANSLATE(B13282, ""en"", ""fa"")
"),"صنایع دستی و پروژه های DIY")</f>
        <v>صنایع دستی و پروژه های DIY</v>
      </c>
      <c r="G13282" s="1" t="str">
        <f>IFERROR(__xludf.DUMMYFUNCTION("GOOGLETRANSLATE(C13282, ""en"", ""fa"")
"),"مراحل ساخت بالم لب خانگی کاملا طبیعی با مواد مرطوب کننده چیست؟")</f>
        <v>مراحل ساخت بالم لب خانگی کاملا طبیعی با مواد مرطوب کننده چیست؟</v>
      </c>
      <c r="H13282" s="1"/>
      <c r="I13282" s="1"/>
      <c r="J13282" s="1"/>
      <c r="K13282" s="1"/>
      <c r="L13282" s="1"/>
      <c r="M13282" s="1"/>
      <c r="N13282" s="1"/>
      <c r="O13282" s="1"/>
      <c r="P13282" s="1"/>
      <c r="Q13282" s="1"/>
      <c r="R13282" s="1"/>
      <c r="S13282" s="1"/>
      <c r="T13282" s="1"/>
      <c r="U13282" s="1"/>
      <c r="V13282" s="1"/>
      <c r="W13282" s="1"/>
      <c r="X13282" s="1"/>
      <c r="Y13282" s="1"/>
      <c r="Z13282" s="1"/>
      <c r="AA13282" s="1"/>
      <c r="AB13282" s="1"/>
    </row>
    <row r="13283" ht="50.25" customHeight="1">
      <c r="A13283" s="12">
        <v>13279.0</v>
      </c>
      <c r="B13283" s="13" t="s">
        <v>12594</v>
      </c>
      <c r="C13283" s="14" t="s">
        <v>12652</v>
      </c>
      <c r="D13283" s="1"/>
      <c r="E13283" s="1"/>
      <c r="F13283" s="1" t="str">
        <f>IFERROR(__xludf.DUMMYFUNCTION("GOOGLETRANSLATE(B13283, ""en"", ""fa"")
"),"صنایع دستی و پروژه های DIY")</f>
        <v>صنایع دستی و پروژه های DIY</v>
      </c>
      <c r="G13283" s="1" t="str">
        <f>IFERROR(__xludf.DUMMYFUNCTION("GOOGLETRANSLATE(C13283, ""en"", ""fa"")
"),"چگونه می توانم تراریوم DIY خود را با ساکولنت ها و کاکتوس ها طراحی و ایجاد کنم؟")</f>
        <v>چگونه می توانم تراریوم DIY خود را با ساکولنت ها و کاکتوس ها طراحی و ایجاد کنم؟</v>
      </c>
      <c r="H13283" s="1"/>
      <c r="I13283" s="1"/>
      <c r="J13283" s="1"/>
      <c r="K13283" s="1"/>
      <c r="L13283" s="1"/>
      <c r="M13283" s="1"/>
      <c r="N13283" s="1"/>
      <c r="O13283" s="1"/>
      <c r="P13283" s="1"/>
      <c r="Q13283" s="1"/>
      <c r="R13283" s="1"/>
      <c r="S13283" s="1"/>
      <c r="T13283" s="1"/>
      <c r="U13283" s="1"/>
      <c r="V13283" s="1"/>
      <c r="W13283" s="1"/>
      <c r="X13283" s="1"/>
      <c r="Y13283" s="1"/>
      <c r="Z13283" s="1"/>
      <c r="AA13283" s="1"/>
      <c r="AB13283" s="1"/>
    </row>
    <row r="13284" ht="50.25" customHeight="1">
      <c r="A13284" s="12">
        <v>13280.0</v>
      </c>
      <c r="B13284" s="13" t="s">
        <v>12594</v>
      </c>
      <c r="C13284" s="14" t="s">
        <v>12653</v>
      </c>
      <c r="D13284" s="1"/>
      <c r="E13284" s="1"/>
      <c r="F13284" s="1" t="str">
        <f>IFERROR(__xludf.DUMMYFUNCTION("GOOGLETRANSLATE(B13284, ""en"", ""fa"")
"),"صنایع دستی و پروژه های DIY")</f>
        <v>صنایع دستی و پروژه های DIY</v>
      </c>
      <c r="G13284" s="1" t="str">
        <f>IFERROR(__xludf.DUMMYFUNCTION("GOOGLETRANSLATE(C13284, ""en"", ""fa"")
"),"آیا می‌توانید تکنیک‌های DIY را برای ساختن روکش‌های موم زنبور عسل سازگار با محیط زیست برای نگهداری مواد غذایی توصیه کنید؟")</f>
        <v>آیا می‌توانید تکنیک‌های DIY را برای ساختن روکش‌های موم زنبور عسل سازگار با محیط زیست برای نگهداری مواد غذایی توصیه کنید؟</v>
      </c>
      <c r="H13284" s="1"/>
      <c r="I13284" s="1"/>
      <c r="J13284" s="1"/>
      <c r="K13284" s="1"/>
      <c r="L13284" s="1"/>
      <c r="M13284" s="1"/>
      <c r="N13284" s="1"/>
      <c r="O13284" s="1"/>
      <c r="P13284" s="1"/>
      <c r="Q13284" s="1"/>
      <c r="R13284" s="1"/>
      <c r="S13284" s="1"/>
      <c r="T13284" s="1"/>
      <c r="U13284" s="1"/>
      <c r="V13284" s="1"/>
      <c r="W13284" s="1"/>
      <c r="X13284" s="1"/>
      <c r="Y13284" s="1"/>
      <c r="Z13284" s="1"/>
      <c r="AA13284" s="1"/>
      <c r="AB13284" s="1"/>
    </row>
    <row r="13285" ht="50.25" customHeight="1">
      <c r="A13285" s="12">
        <v>13281.0</v>
      </c>
      <c r="B13285" s="13" t="s">
        <v>12594</v>
      </c>
      <c r="C13285" s="14" t="s">
        <v>12654</v>
      </c>
      <c r="D13285" s="1"/>
      <c r="E13285" s="1"/>
      <c r="F13285" s="1" t="str">
        <f>IFERROR(__xludf.DUMMYFUNCTION("GOOGLETRANSLATE(B13285, ""en"", ""fa"")
"),"صنایع دستی و پروژه های DIY")</f>
        <v>صنایع دستی و پروژه های DIY</v>
      </c>
      <c r="G13285" s="1" t="str">
        <f>IFERROR(__xludf.DUMMYFUNCTION("GOOGLETRANSLATE(C13285, ""en"", ""fa"")
"),"چند ایده خلاقانه برای تبدیل شلوار جین قدیمی به دکوراسیون منزل شیک چیست؟")</f>
        <v>چند ایده خلاقانه برای تبدیل شلوار جین قدیمی به دکوراسیون منزل شیک چیست؟</v>
      </c>
      <c r="H13285" s="1"/>
      <c r="I13285" s="1"/>
      <c r="J13285" s="1"/>
      <c r="K13285" s="1"/>
      <c r="L13285" s="1"/>
      <c r="M13285" s="1"/>
      <c r="N13285" s="1"/>
      <c r="O13285" s="1"/>
      <c r="P13285" s="1"/>
      <c r="Q13285" s="1"/>
      <c r="R13285" s="1"/>
      <c r="S13285" s="1"/>
      <c r="T13285" s="1"/>
      <c r="U13285" s="1"/>
      <c r="V13285" s="1"/>
      <c r="W13285" s="1"/>
      <c r="X13285" s="1"/>
      <c r="Y13285" s="1"/>
      <c r="Z13285" s="1"/>
      <c r="AA13285" s="1"/>
      <c r="AB13285" s="1"/>
    </row>
    <row r="13286" ht="50.25" customHeight="1">
      <c r="A13286" s="12">
        <v>13282.0</v>
      </c>
      <c r="B13286" s="13" t="s">
        <v>12594</v>
      </c>
      <c r="C13286" s="14" t="s">
        <v>12655</v>
      </c>
      <c r="D13286" s="1"/>
      <c r="E13286" s="1"/>
      <c r="F13286" s="1" t="str">
        <f>IFERROR(__xludf.DUMMYFUNCTION("GOOGLETRANSLATE(B13286, ""en"", ""fa"")
"),"صنایع دستی و پروژه های DIY")</f>
        <v>صنایع دستی و پروژه های DIY</v>
      </c>
      <c r="G13286" s="1" t="str">
        <f>IFERROR(__xludf.DUMMYFUNCTION("GOOGLETRANSLATE(C13286, ""en"", ""fa"")
"),"چگونه می توانم قاب عکس های استفاده نشده را به سازمان دهنده های شیک و کاربردی تبدیل کنم؟")</f>
        <v>چگونه می توانم قاب عکس های استفاده نشده را به سازمان دهنده های شیک و کاربردی تبدیل کنم؟</v>
      </c>
      <c r="H13286" s="1"/>
      <c r="I13286" s="1"/>
      <c r="J13286" s="1"/>
      <c r="K13286" s="1"/>
      <c r="L13286" s="1"/>
      <c r="M13286" s="1"/>
      <c r="N13286" s="1"/>
      <c r="O13286" s="1"/>
      <c r="P13286" s="1"/>
      <c r="Q13286" s="1"/>
      <c r="R13286" s="1"/>
      <c r="S13286" s="1"/>
      <c r="T13286" s="1"/>
      <c r="U13286" s="1"/>
      <c r="V13286" s="1"/>
      <c r="W13286" s="1"/>
      <c r="X13286" s="1"/>
      <c r="Y13286" s="1"/>
      <c r="Z13286" s="1"/>
      <c r="AA13286" s="1"/>
      <c r="AB13286" s="1"/>
    </row>
    <row r="13287" ht="50.25" customHeight="1">
      <c r="A13287" s="12">
        <v>13283.0</v>
      </c>
      <c r="B13287" s="13" t="s">
        <v>12594</v>
      </c>
      <c r="C13287" s="14" t="s">
        <v>12656</v>
      </c>
      <c r="D13287" s="1"/>
      <c r="E13287" s="1"/>
      <c r="F13287" s="1" t="str">
        <f>IFERROR(__xludf.DUMMYFUNCTION("GOOGLETRANSLATE(B13287, ""en"", ""fa"")
"),"صنایع دستی و پروژه های DIY")</f>
        <v>صنایع دستی و پروژه های DIY</v>
      </c>
      <c r="G13287" s="1" t="str">
        <f>IFERROR(__xludf.DUMMYFUNCTION("GOOGLETRANSLATE(C13287, ""en"", ""fa"")
"),"آیا می‌توانید تکنیک‌های DIY برای ساخت کیسه‌های معطر خانگی با روغن‌های ضروری را پیشنهاد دهید؟")</f>
        <v>آیا می‌توانید تکنیک‌های DIY برای ساخت کیسه‌های معطر خانگی با روغن‌های ضروری را پیشنهاد دهید؟</v>
      </c>
      <c r="H13287" s="1"/>
      <c r="I13287" s="1"/>
      <c r="J13287" s="1"/>
      <c r="K13287" s="1"/>
      <c r="L13287" s="1"/>
      <c r="M13287" s="1"/>
      <c r="N13287" s="1"/>
      <c r="O13287" s="1"/>
      <c r="P13287" s="1"/>
      <c r="Q13287" s="1"/>
      <c r="R13287" s="1"/>
      <c r="S13287" s="1"/>
      <c r="T13287" s="1"/>
      <c r="U13287" s="1"/>
      <c r="V13287" s="1"/>
      <c r="W13287" s="1"/>
      <c r="X13287" s="1"/>
      <c r="Y13287" s="1"/>
      <c r="Z13287" s="1"/>
      <c r="AA13287" s="1"/>
      <c r="AB13287" s="1"/>
    </row>
    <row r="13288" ht="50.25" customHeight="1">
      <c r="A13288" s="12">
        <v>13284.0</v>
      </c>
      <c r="B13288" s="13" t="s">
        <v>12594</v>
      </c>
      <c r="C13288" s="14" t="s">
        <v>12657</v>
      </c>
      <c r="D13288" s="1"/>
      <c r="E13288" s="1"/>
      <c r="F13288" s="1" t="str">
        <f>IFERROR(__xludf.DUMMYFUNCTION("GOOGLETRANSLATE(B13288, ""en"", ""fa"")
"),"صنایع دستی و پروژه های DIY")</f>
        <v>صنایع دستی و پروژه های DIY</v>
      </c>
      <c r="G13288" s="1" t="str">
        <f>IFERROR(__xludf.DUMMYFUNCTION("GOOGLETRANSLATE(C13288, ""en"", ""fa"")
"),"مراحل ایجاد یک تابلوی دید شخصی DIY برای تعیین اهداف و مقاصد چیست؟")</f>
        <v>مراحل ایجاد یک تابلوی دید شخصی DIY برای تعیین اهداف و مقاصد چیست؟</v>
      </c>
      <c r="H13288" s="1"/>
      <c r="I13288" s="1"/>
      <c r="J13288" s="1"/>
      <c r="K13288" s="1"/>
      <c r="L13288" s="1"/>
      <c r="M13288" s="1"/>
      <c r="N13288" s="1"/>
      <c r="O13288" s="1"/>
      <c r="P13288" s="1"/>
      <c r="Q13288" s="1"/>
      <c r="R13288" s="1"/>
      <c r="S13288" s="1"/>
      <c r="T13288" s="1"/>
      <c r="U13288" s="1"/>
      <c r="V13288" s="1"/>
      <c r="W13288" s="1"/>
      <c r="X13288" s="1"/>
      <c r="Y13288" s="1"/>
      <c r="Z13288" s="1"/>
      <c r="AA13288" s="1"/>
      <c r="AB13288" s="1"/>
    </row>
    <row r="13289" ht="50.25" customHeight="1">
      <c r="A13289" s="12">
        <v>13285.0</v>
      </c>
      <c r="B13289" s="13" t="s">
        <v>12594</v>
      </c>
      <c r="C13289" s="14" t="s">
        <v>12658</v>
      </c>
      <c r="D13289" s="1"/>
      <c r="E13289" s="1"/>
      <c r="F13289" s="1" t="str">
        <f>IFERROR(__xludf.DUMMYFUNCTION("GOOGLETRANSLATE(B13289, ""en"", ""fa"")
"),"صنایع دستی و پروژه های DIY")</f>
        <v>صنایع دستی و پروژه های DIY</v>
      </c>
      <c r="G13289" s="1" t="str">
        <f>IFERROR(__xludf.DUMMYFUNCTION("GOOGLETRANSLATE(C13289, ""en"", ""fa"")
"),"چگونه می توانم یک باغ عمودی DIY بسازم تا فضای سبز را به فضای بیرونی یا داخلی خود اضافه کنم؟")</f>
        <v>چگونه می توانم یک باغ عمودی DIY بسازم تا فضای سبز را به فضای بیرونی یا داخلی خود اضافه کنم؟</v>
      </c>
      <c r="H13289" s="1"/>
      <c r="I13289" s="1"/>
      <c r="J13289" s="1"/>
      <c r="K13289" s="1"/>
      <c r="L13289" s="1"/>
      <c r="M13289" s="1"/>
      <c r="N13289" s="1"/>
      <c r="O13289" s="1"/>
      <c r="P13289" s="1"/>
      <c r="Q13289" s="1"/>
      <c r="R13289" s="1"/>
      <c r="S13289" s="1"/>
      <c r="T13289" s="1"/>
      <c r="U13289" s="1"/>
      <c r="V13289" s="1"/>
      <c r="W13289" s="1"/>
      <c r="X13289" s="1"/>
      <c r="Y13289" s="1"/>
      <c r="Z13289" s="1"/>
      <c r="AA13289" s="1"/>
      <c r="AB13289" s="1"/>
    </row>
    <row r="13290" ht="50.25" customHeight="1">
      <c r="A13290" s="12">
        <v>13286.0</v>
      </c>
      <c r="B13290" s="13" t="s">
        <v>12594</v>
      </c>
      <c r="C13290" s="14" t="s">
        <v>12659</v>
      </c>
      <c r="D13290" s="1"/>
      <c r="E13290" s="1"/>
      <c r="F13290" s="1" t="str">
        <f>IFERROR(__xludf.DUMMYFUNCTION("GOOGLETRANSLATE(B13290, ""en"", ""fa"")
"),"صنایع دستی و پروژه های DIY")</f>
        <v>صنایع دستی و پروژه های DIY</v>
      </c>
      <c r="G13290" s="1" t="str">
        <f>IFERROR(__xludf.DUMMYFUNCTION("GOOGLETRANSLATE(C13290, ""en"", ""fa"")
"),"آیا می‌توانید ایده‌های نوآورانه‌ای برای ساخت هنر و طرح‌های سنگ مرمر کاغذی DIY توصیه کنید؟")</f>
        <v>آیا می‌توانید ایده‌های نوآورانه‌ای برای ساخت هنر و طرح‌های سنگ مرمر کاغذی DIY توصیه کنید؟</v>
      </c>
      <c r="H13290" s="1"/>
      <c r="I13290" s="1"/>
      <c r="J13290" s="1"/>
      <c r="K13290" s="1"/>
      <c r="L13290" s="1"/>
      <c r="M13290" s="1"/>
      <c r="N13290" s="1"/>
      <c r="O13290" s="1"/>
      <c r="P13290" s="1"/>
      <c r="Q13290" s="1"/>
      <c r="R13290" s="1"/>
      <c r="S13290" s="1"/>
      <c r="T13290" s="1"/>
      <c r="U13290" s="1"/>
      <c r="V13290" s="1"/>
      <c r="W13290" s="1"/>
      <c r="X13290" s="1"/>
      <c r="Y13290" s="1"/>
      <c r="Z13290" s="1"/>
      <c r="AA13290" s="1"/>
      <c r="AB13290" s="1"/>
    </row>
    <row r="13291" ht="50.25" customHeight="1">
      <c r="A13291" s="12">
        <v>13287.0</v>
      </c>
      <c r="B13291" s="13" t="s">
        <v>12594</v>
      </c>
      <c r="C13291" s="14" t="s">
        <v>12660</v>
      </c>
      <c r="D13291" s="1"/>
      <c r="E13291" s="1"/>
      <c r="F13291" s="1" t="str">
        <f>IFERROR(__xludf.DUMMYFUNCTION("GOOGLETRANSLATE(B13291, ""en"", ""fa"")
"),"صنایع دستی و پروژه های DIY")</f>
        <v>صنایع دستی و پروژه های DIY</v>
      </c>
      <c r="G13291" s="1" t="str">
        <f>IFERROR(__xludf.DUMMYFUNCTION("GOOGLETRANSLATE(C13291, ""en"", ""fa"")
"),"چند پروژه آسان و سرگرم کننده DIY برای تزئین و سفارشی کردن نوت بوک های ساده چیست؟")</f>
        <v>چند پروژه آسان و سرگرم کننده DIY برای تزئین و سفارشی کردن نوت بوک های ساده چیست؟</v>
      </c>
      <c r="H13291" s="1"/>
      <c r="I13291" s="1"/>
      <c r="J13291" s="1"/>
      <c r="K13291" s="1"/>
      <c r="L13291" s="1"/>
      <c r="M13291" s="1"/>
      <c r="N13291" s="1"/>
      <c r="O13291" s="1"/>
      <c r="P13291" s="1"/>
      <c r="Q13291" s="1"/>
      <c r="R13291" s="1"/>
      <c r="S13291" s="1"/>
      <c r="T13291" s="1"/>
      <c r="U13291" s="1"/>
      <c r="V13291" s="1"/>
      <c r="W13291" s="1"/>
      <c r="X13291" s="1"/>
      <c r="Y13291" s="1"/>
      <c r="Z13291" s="1"/>
      <c r="AA13291" s="1"/>
      <c r="AB13291" s="1"/>
    </row>
    <row r="13292" ht="50.25" customHeight="1">
      <c r="A13292" s="12">
        <v>13288.0</v>
      </c>
      <c r="B13292" s="13" t="s">
        <v>12594</v>
      </c>
      <c r="C13292" s="14" t="s">
        <v>12661</v>
      </c>
      <c r="D13292" s="1"/>
      <c r="E13292" s="1"/>
      <c r="F13292" s="1" t="str">
        <f>IFERROR(__xludf.DUMMYFUNCTION("GOOGLETRANSLATE(B13292, ""en"", ""fa"")
"),"صنایع دستی و پروژه های DIY")</f>
        <v>صنایع دستی و پروژه های DIY</v>
      </c>
      <c r="G13292" s="1" t="str">
        <f>IFERROR(__xludf.DUMMYFUNCTION("GOOGLETRANSLATE(C13292, ""en"", ""fa"")
"),"چگونه می توانم شیشه های شیشه ای قدیمی را برای فصل تعطیلات به گلوله های برفی DIY جذاب تبدیل کنم؟")</f>
        <v>چگونه می توانم شیشه های شیشه ای قدیمی را برای فصل تعطیلات به گلوله های برفی DIY جذاب تبدیل کنم؟</v>
      </c>
      <c r="H13292" s="1"/>
      <c r="I13292" s="1"/>
      <c r="J13292" s="1"/>
      <c r="K13292" s="1"/>
      <c r="L13292" s="1"/>
      <c r="M13292" s="1"/>
      <c r="N13292" s="1"/>
      <c r="O13292" s="1"/>
      <c r="P13292" s="1"/>
      <c r="Q13292" s="1"/>
      <c r="R13292" s="1"/>
      <c r="S13292" s="1"/>
      <c r="T13292" s="1"/>
      <c r="U13292" s="1"/>
      <c r="V13292" s="1"/>
      <c r="W13292" s="1"/>
      <c r="X13292" s="1"/>
      <c r="Y13292" s="1"/>
      <c r="Z13292" s="1"/>
      <c r="AA13292" s="1"/>
      <c r="AB13292" s="1"/>
    </row>
    <row r="13293" ht="50.25" customHeight="1">
      <c r="A13293" s="12">
        <v>13289.0</v>
      </c>
      <c r="B13293" s="13" t="s">
        <v>12594</v>
      </c>
      <c r="C13293" s="14" t="s">
        <v>12662</v>
      </c>
      <c r="D13293" s="1"/>
      <c r="E13293" s="1"/>
      <c r="F13293" s="1" t="str">
        <f>IFERROR(__xludf.DUMMYFUNCTION("GOOGLETRANSLATE(B13293, ""en"", ""fa"")
"),"صنایع دستی و پروژه های DIY")</f>
        <v>صنایع دستی و پروژه های DIY</v>
      </c>
      <c r="G13293" s="1" t="str">
        <f>IFERROR(__xludf.DUMMYFUNCTION("GOOGLETRANSLATE(C13293, ""en"", ""fa"")
"),"آیا می‌توانید تکنیک‌های DIY را برای ساختن حمام خانگی با رایحه‌های آرام‌بخش پیشنهاد کنید؟")</f>
        <v>آیا می‌توانید تکنیک‌های DIY را برای ساختن حمام خانگی با رایحه‌های آرام‌بخش پیشنهاد کنید؟</v>
      </c>
      <c r="H13293" s="1"/>
      <c r="I13293" s="1"/>
      <c r="J13293" s="1"/>
      <c r="K13293" s="1"/>
      <c r="L13293" s="1"/>
      <c r="M13293" s="1"/>
      <c r="N13293" s="1"/>
      <c r="O13293" s="1"/>
      <c r="P13293" s="1"/>
      <c r="Q13293" s="1"/>
      <c r="R13293" s="1"/>
      <c r="S13293" s="1"/>
      <c r="T13293" s="1"/>
      <c r="U13293" s="1"/>
      <c r="V13293" s="1"/>
      <c r="W13293" s="1"/>
      <c r="X13293" s="1"/>
      <c r="Y13293" s="1"/>
      <c r="Z13293" s="1"/>
      <c r="AA13293" s="1"/>
      <c r="AB13293" s="1"/>
    </row>
    <row r="13294" ht="50.25" customHeight="1">
      <c r="A13294" s="12">
        <v>13290.0</v>
      </c>
      <c r="B13294" s="13" t="s">
        <v>12594</v>
      </c>
      <c r="C13294" s="14" t="s">
        <v>12663</v>
      </c>
      <c r="D13294" s="1"/>
      <c r="E13294" s="1"/>
      <c r="F13294" s="1" t="str">
        <f>IFERROR(__xludf.DUMMYFUNCTION("GOOGLETRANSLATE(B13294, ""en"", ""fa"")
"),"صنایع دستی و پروژه های DIY")</f>
        <v>صنایع دستی و پروژه های DIY</v>
      </c>
      <c r="G13294" s="1" t="str">
        <f>IFERROR(__xludf.DUMMYFUNCTION("GOOGLETRANSLATE(C13294, ""en"", ""fa"")
"),"مراحل ایجاد یک سازمان دهنده نمایش جواهرات DIY با طراحی سفارشی چیست؟")</f>
        <v>مراحل ایجاد یک سازمان دهنده نمایش جواهرات DIY با طراحی سفارشی چیست؟</v>
      </c>
      <c r="H13294" s="1"/>
      <c r="I13294" s="1"/>
      <c r="J13294" s="1"/>
      <c r="K13294" s="1"/>
      <c r="L13294" s="1"/>
      <c r="M13294" s="1"/>
      <c r="N13294" s="1"/>
      <c r="O13294" s="1"/>
      <c r="P13294" s="1"/>
      <c r="Q13294" s="1"/>
      <c r="R13294" s="1"/>
      <c r="S13294" s="1"/>
      <c r="T13294" s="1"/>
      <c r="U13294" s="1"/>
      <c r="V13294" s="1"/>
      <c r="W13294" s="1"/>
      <c r="X13294" s="1"/>
      <c r="Y13294" s="1"/>
      <c r="Z13294" s="1"/>
      <c r="AA13294" s="1"/>
      <c r="AB13294" s="1"/>
    </row>
    <row r="13295" ht="50.25" customHeight="1">
      <c r="A13295" s="12">
        <v>13291.0</v>
      </c>
      <c r="B13295" s="13" t="s">
        <v>12594</v>
      </c>
      <c r="C13295" s="14" t="s">
        <v>12664</v>
      </c>
      <c r="D13295" s="1"/>
      <c r="E13295" s="1"/>
      <c r="F13295" s="1" t="str">
        <f>IFERROR(__xludf.DUMMYFUNCTION("GOOGLETRANSLATE(B13295, ""en"", ""fa"")
"),"صنایع دستی و پروژه های DIY")</f>
        <v>صنایع دستی و پروژه های DIY</v>
      </c>
      <c r="G13295" s="1" t="str">
        <f>IFERROR(__xludf.DUMMYFUNCTION("GOOGLETRANSLATE(C13295, ""en"", ""fa"")
"),"چگونه ماسک صورت پارچه ای خود را با الگوها و سبک های منحصر به فرد طراحی و بدوزم؟")</f>
        <v>چگونه ماسک صورت پارچه ای خود را با الگوها و سبک های منحصر به فرد طراحی و بدوزم؟</v>
      </c>
      <c r="H13295" s="1"/>
      <c r="I13295" s="1"/>
      <c r="J13295" s="1"/>
      <c r="K13295" s="1"/>
      <c r="L13295" s="1"/>
      <c r="M13295" s="1"/>
      <c r="N13295" s="1"/>
      <c r="O13295" s="1"/>
      <c r="P13295" s="1"/>
      <c r="Q13295" s="1"/>
      <c r="R13295" s="1"/>
      <c r="S13295" s="1"/>
      <c r="T13295" s="1"/>
      <c r="U13295" s="1"/>
      <c r="V13295" s="1"/>
      <c r="W13295" s="1"/>
      <c r="X13295" s="1"/>
      <c r="Y13295" s="1"/>
      <c r="Z13295" s="1"/>
      <c r="AA13295" s="1"/>
      <c r="AB13295" s="1"/>
    </row>
    <row r="13296" ht="50.25" customHeight="1">
      <c r="A13296" s="12">
        <v>13292.0</v>
      </c>
      <c r="B13296" s="13" t="s">
        <v>12594</v>
      </c>
      <c r="C13296" s="14" t="s">
        <v>12665</v>
      </c>
      <c r="D13296" s="1"/>
      <c r="E13296" s="1"/>
      <c r="F13296" s="1" t="str">
        <f>IFERROR(__xludf.DUMMYFUNCTION("GOOGLETRANSLATE(B13296, ""en"", ""fa"")
"),"صنایع دستی و پروژه های DIY")</f>
        <v>صنایع دستی و پروژه های DIY</v>
      </c>
      <c r="G13296" s="1" t="str">
        <f>IFERROR(__xludf.DUMMYFUNCTION("GOOGLETRANSLATE(C13296, ""en"", ""fa"")
"),"آیا می‌توانید ایده‌های خلاقانه‌ای برای ساخت جواهرات و لوازم جانبی کاغذی DIY توصیه کنید؟")</f>
        <v>آیا می‌توانید ایده‌های خلاقانه‌ای برای ساخت جواهرات و لوازم جانبی کاغذی DIY توصیه کنید؟</v>
      </c>
      <c r="H13296" s="1"/>
      <c r="I13296" s="1"/>
      <c r="J13296" s="1"/>
      <c r="K13296" s="1"/>
      <c r="L13296" s="1"/>
      <c r="M13296" s="1"/>
      <c r="N13296" s="1"/>
      <c r="O13296" s="1"/>
      <c r="P13296" s="1"/>
      <c r="Q13296" s="1"/>
      <c r="R13296" s="1"/>
      <c r="S13296" s="1"/>
      <c r="T13296" s="1"/>
      <c r="U13296" s="1"/>
      <c r="V13296" s="1"/>
      <c r="W13296" s="1"/>
      <c r="X13296" s="1"/>
      <c r="Y13296" s="1"/>
      <c r="Z13296" s="1"/>
      <c r="AA13296" s="1"/>
      <c r="AB13296" s="1"/>
    </row>
    <row r="13297" ht="50.25" customHeight="1">
      <c r="A13297" s="12">
        <v>13293.0</v>
      </c>
      <c r="B13297" s="13" t="s">
        <v>12594</v>
      </c>
      <c r="C13297" s="14" t="s">
        <v>12666</v>
      </c>
      <c r="D13297" s="1"/>
      <c r="E13297" s="1"/>
      <c r="F13297" s="1" t="str">
        <f>IFERROR(__xludf.DUMMYFUNCTION("GOOGLETRANSLATE(B13297, ""en"", ""fa"")
"),"صنایع دستی و پروژه های DIY")</f>
        <v>صنایع دستی و پروژه های DIY</v>
      </c>
      <c r="G13297" s="1" t="str">
        <f>IFERROR(__xludf.DUMMYFUNCTION("GOOGLETRANSLATE(C13297, ""en"", ""fa"")
"),"چند ایده سرگرم کننده و دوستدار محیط زیست برای ایجاد آویزهای گیاهی DIY با استفاده از مواد بازیافتی چیست؟")</f>
        <v>چند ایده سرگرم کننده و دوستدار محیط زیست برای ایجاد آویزهای گیاهی DIY با استفاده از مواد بازیافتی چیست؟</v>
      </c>
      <c r="H13297" s="1"/>
      <c r="I13297" s="1"/>
      <c r="J13297" s="1"/>
      <c r="K13297" s="1"/>
      <c r="L13297" s="1"/>
      <c r="M13297" s="1"/>
      <c r="N13297" s="1"/>
      <c r="O13297" s="1"/>
      <c r="P13297" s="1"/>
      <c r="Q13297" s="1"/>
      <c r="R13297" s="1"/>
      <c r="S13297" s="1"/>
      <c r="T13297" s="1"/>
      <c r="U13297" s="1"/>
      <c r="V13297" s="1"/>
      <c r="W13297" s="1"/>
      <c r="X13297" s="1"/>
      <c r="Y13297" s="1"/>
      <c r="Z13297" s="1"/>
      <c r="AA13297" s="1"/>
      <c r="AB13297" s="1"/>
    </row>
    <row r="13298" ht="50.25" customHeight="1">
      <c r="A13298" s="12">
        <v>13294.0</v>
      </c>
      <c r="B13298" s="13" t="s">
        <v>12594</v>
      </c>
      <c r="C13298" s="14" t="s">
        <v>12667</v>
      </c>
      <c r="D13298" s="1"/>
      <c r="E13298" s="1"/>
      <c r="F13298" s="1" t="str">
        <f>IFERROR(__xludf.DUMMYFUNCTION("GOOGLETRANSLATE(B13298, ""en"", ""fa"")
"),"صنایع دستی و پروژه های DIY")</f>
        <v>صنایع دستی و پروژه های DIY</v>
      </c>
      <c r="G13298" s="1" t="str">
        <f>IFERROR(__xludf.DUMMYFUNCTION("GOOGLETRANSLATE(C13298, ""en"", ""fa"")
"),"چگونه می توانم جعبه های چوبی ساده را به محلول های ذخیره سازی روستایی و کاربردی تبدیل کنم؟")</f>
        <v>چگونه می توانم جعبه های چوبی ساده را به محلول های ذخیره سازی روستایی و کاربردی تبدیل کنم؟</v>
      </c>
      <c r="H13298" s="1"/>
      <c r="I13298" s="1"/>
      <c r="J13298" s="1"/>
      <c r="K13298" s="1"/>
      <c r="L13298" s="1"/>
      <c r="M13298" s="1"/>
      <c r="N13298" s="1"/>
      <c r="O13298" s="1"/>
      <c r="P13298" s="1"/>
      <c r="Q13298" s="1"/>
      <c r="R13298" s="1"/>
      <c r="S13298" s="1"/>
      <c r="T13298" s="1"/>
      <c r="U13298" s="1"/>
      <c r="V13298" s="1"/>
      <c r="W13298" s="1"/>
      <c r="X13298" s="1"/>
      <c r="Y13298" s="1"/>
      <c r="Z13298" s="1"/>
      <c r="AA13298" s="1"/>
      <c r="AB13298" s="1"/>
    </row>
    <row r="13299" ht="50.25" customHeight="1">
      <c r="A13299" s="12">
        <v>13295.0</v>
      </c>
      <c r="B13299" s="13" t="s">
        <v>12594</v>
      </c>
      <c r="C13299" s="14" t="s">
        <v>12668</v>
      </c>
      <c r="D13299" s="1"/>
      <c r="E13299" s="1"/>
      <c r="F13299" s="1" t="str">
        <f>IFERROR(__xludf.DUMMYFUNCTION("GOOGLETRANSLATE(B13299, ""en"", ""fa"")
"),"صنایع دستی و پروژه های DIY")</f>
        <v>صنایع دستی و پروژه های DIY</v>
      </c>
      <c r="G13299" s="1" t="str">
        <f>IFERROR(__xludf.DUMMYFUNCTION("GOOGLETRANSLATE(C13299, ""en"", ""fa"")
"),"آیا می توانید تکنیک های DIY برای ساخت شمع های معطر خانگی با مواد طبیعی را پیشنهاد دهید؟")</f>
        <v>آیا می توانید تکنیک های DIY برای ساخت شمع های معطر خانگی با مواد طبیعی را پیشنهاد دهید؟</v>
      </c>
      <c r="H13299" s="1"/>
      <c r="I13299" s="1"/>
      <c r="J13299" s="1"/>
      <c r="K13299" s="1"/>
      <c r="L13299" s="1"/>
      <c r="M13299" s="1"/>
      <c r="N13299" s="1"/>
      <c r="O13299" s="1"/>
      <c r="P13299" s="1"/>
      <c r="Q13299" s="1"/>
      <c r="R13299" s="1"/>
      <c r="S13299" s="1"/>
      <c r="T13299" s="1"/>
      <c r="U13299" s="1"/>
      <c r="V13299" s="1"/>
      <c r="W13299" s="1"/>
      <c r="X13299" s="1"/>
      <c r="Y13299" s="1"/>
      <c r="Z13299" s="1"/>
      <c r="AA13299" s="1"/>
      <c r="AB13299" s="1"/>
    </row>
    <row r="13300" ht="50.25" customHeight="1">
      <c r="A13300" s="12">
        <v>13296.0</v>
      </c>
      <c r="B13300" s="13" t="s">
        <v>12594</v>
      </c>
      <c r="C13300" s="14" t="s">
        <v>12669</v>
      </c>
      <c r="D13300" s="1"/>
      <c r="E13300" s="1"/>
      <c r="F13300" s="1" t="str">
        <f>IFERROR(__xludf.DUMMYFUNCTION("GOOGLETRANSLATE(B13300, ""en"", ""fa"")
"),"صنایع دستی و پروژه های DIY")</f>
        <v>صنایع دستی و پروژه های DIY</v>
      </c>
      <c r="G13300" s="1" t="str">
        <f>IFERROR(__xludf.DUMMYFUNCTION("GOOGLETRANSLATE(C13300, ""en"", ""fa"")
"),"مراحل ایجاد یک مجله سپاسگزاری شخصی DIY برای بازتاب روزانه چیست؟")</f>
        <v>مراحل ایجاد یک مجله سپاسگزاری شخصی DIY برای بازتاب روزانه چیست؟</v>
      </c>
      <c r="H13300" s="1"/>
      <c r="I13300" s="1"/>
      <c r="J13300" s="1"/>
      <c r="K13300" s="1"/>
      <c r="L13300" s="1"/>
      <c r="M13300" s="1"/>
      <c r="N13300" s="1"/>
      <c r="O13300" s="1"/>
      <c r="P13300" s="1"/>
      <c r="Q13300" s="1"/>
      <c r="R13300" s="1"/>
      <c r="S13300" s="1"/>
      <c r="T13300" s="1"/>
      <c r="U13300" s="1"/>
      <c r="V13300" s="1"/>
      <c r="W13300" s="1"/>
      <c r="X13300" s="1"/>
      <c r="Y13300" s="1"/>
      <c r="Z13300" s="1"/>
      <c r="AA13300" s="1"/>
      <c r="AB13300" s="1"/>
    </row>
    <row r="13301" ht="50.25" customHeight="1">
      <c r="A13301" s="12">
        <v>13297.0</v>
      </c>
      <c r="B13301" s="13" t="s">
        <v>12594</v>
      </c>
      <c r="C13301" s="14" t="s">
        <v>12670</v>
      </c>
      <c r="D13301" s="1"/>
      <c r="E13301" s="1"/>
      <c r="F13301" s="1" t="str">
        <f>IFERROR(__xludf.DUMMYFUNCTION("GOOGLETRANSLATE(B13301, ""en"", ""fa"")
"),"صنایع دستی و پروژه های DIY")</f>
        <v>صنایع دستی و پروژه های DIY</v>
      </c>
      <c r="G13301" s="1" t="str">
        <f>IFERROR(__xludf.DUMMYFUNCTION("GOOGLETRANSLATE(C13301, ""en"", ""fa"")
"),"چگونه می توانم یک آتشدان DIY در فضای باز برای مجالس دنج و برشته کردن گل ختمی بسازم؟")</f>
        <v>چگونه می توانم یک آتشدان DIY در فضای باز برای مجالس دنج و برشته کردن گل ختمی بسازم؟</v>
      </c>
      <c r="H13301" s="1"/>
      <c r="I13301" s="1"/>
      <c r="J13301" s="1"/>
      <c r="K13301" s="1"/>
      <c r="L13301" s="1"/>
      <c r="M13301" s="1"/>
      <c r="N13301" s="1"/>
      <c r="O13301" s="1"/>
      <c r="P13301" s="1"/>
      <c r="Q13301" s="1"/>
      <c r="R13301" s="1"/>
      <c r="S13301" s="1"/>
      <c r="T13301" s="1"/>
      <c r="U13301" s="1"/>
      <c r="V13301" s="1"/>
      <c r="W13301" s="1"/>
      <c r="X13301" s="1"/>
      <c r="Y13301" s="1"/>
      <c r="Z13301" s="1"/>
      <c r="AA13301" s="1"/>
      <c r="AB13301" s="1"/>
    </row>
    <row r="13302" ht="50.25" customHeight="1">
      <c r="A13302" s="12">
        <v>13298.0</v>
      </c>
      <c r="B13302" s="13" t="s">
        <v>12594</v>
      </c>
      <c r="C13302" s="14" t="s">
        <v>12671</v>
      </c>
      <c r="D13302" s="1"/>
      <c r="E13302" s="1"/>
      <c r="F13302" s="1" t="str">
        <f>IFERROR(__xludf.DUMMYFUNCTION("GOOGLETRANSLATE(B13302, ""en"", ""fa"")
"),"صنایع دستی و پروژه های DIY")</f>
        <v>صنایع دستی و پروژه های DIY</v>
      </c>
      <c r="G13302" s="1" t="str">
        <f>IFERROR(__xludf.DUMMYFUNCTION("GOOGLETRANSLATE(C13302, ""en"", ""fa"")
"),"آیا می‌توانید ایده‌های نوآورانه‌ای را برای ساخت دیوارپوش‌های بافته شده خود با مواد مختلف پیشنهاد دهید؟")</f>
        <v>آیا می‌توانید ایده‌های نوآورانه‌ای را برای ساخت دیوارپوش‌های بافته شده خود با مواد مختلف پیشنهاد دهید؟</v>
      </c>
      <c r="H13302" s="1"/>
      <c r="I13302" s="1"/>
      <c r="J13302" s="1"/>
      <c r="K13302" s="1"/>
      <c r="L13302" s="1"/>
      <c r="M13302" s="1"/>
      <c r="N13302" s="1"/>
      <c r="O13302" s="1"/>
      <c r="P13302" s="1"/>
      <c r="Q13302" s="1"/>
      <c r="R13302" s="1"/>
      <c r="S13302" s="1"/>
      <c r="T13302" s="1"/>
      <c r="U13302" s="1"/>
      <c r="V13302" s="1"/>
      <c r="W13302" s="1"/>
      <c r="X13302" s="1"/>
      <c r="Y13302" s="1"/>
      <c r="Z13302" s="1"/>
      <c r="AA13302" s="1"/>
      <c r="AB13302" s="1"/>
    </row>
    <row r="13303" ht="50.25" customHeight="1">
      <c r="A13303" s="12">
        <v>13299.0</v>
      </c>
      <c r="B13303" s="13" t="s">
        <v>12594</v>
      </c>
      <c r="C13303" s="14" t="s">
        <v>12672</v>
      </c>
      <c r="D13303" s="1"/>
      <c r="E13303" s="1"/>
      <c r="F13303" s="1" t="str">
        <f>IFERROR(__xludf.DUMMYFUNCTION("GOOGLETRANSLATE(B13303, ""en"", ""fa"")
"),"صنایع دستی و پروژه های DIY")</f>
        <v>صنایع دستی و پروژه های DIY</v>
      </c>
      <c r="G13303" s="1" t="str">
        <f>IFERROR(__xludf.DUMMYFUNCTION("GOOGLETRANSLATE(C13303, ""en"", ""fa"")
"),"چند پروژه آسان و لذت بخش DIY برای نقاشی و تزئین گلدان های ترا کوتا چیست؟")</f>
        <v>چند پروژه آسان و لذت بخش DIY برای نقاشی و تزئین گلدان های ترا کوتا چیست؟</v>
      </c>
      <c r="H13303" s="1"/>
      <c r="I13303" s="1"/>
      <c r="J13303" s="1"/>
      <c r="K13303" s="1"/>
      <c r="L13303" s="1"/>
      <c r="M13303" s="1"/>
      <c r="N13303" s="1"/>
      <c r="O13303" s="1"/>
      <c r="P13303" s="1"/>
      <c r="Q13303" s="1"/>
      <c r="R13303" s="1"/>
      <c r="S13303" s="1"/>
      <c r="T13303" s="1"/>
      <c r="U13303" s="1"/>
      <c r="V13303" s="1"/>
      <c r="W13303" s="1"/>
      <c r="X13303" s="1"/>
      <c r="Y13303" s="1"/>
      <c r="Z13303" s="1"/>
      <c r="AA13303" s="1"/>
      <c r="AB13303" s="1"/>
    </row>
    <row r="13304" ht="50.25" customHeight="1">
      <c r="A13304" s="12">
        <v>13300.0</v>
      </c>
      <c r="B13304" s="13" t="s">
        <v>12594</v>
      </c>
      <c r="C13304" s="14" t="s">
        <v>12673</v>
      </c>
      <c r="D13304" s="1"/>
      <c r="E13304" s="1"/>
      <c r="F13304" s="1" t="str">
        <f>IFERROR(__xludf.DUMMYFUNCTION("GOOGLETRANSLATE(B13304, ""en"", ""fa"")
"),"صنایع دستی و پروژه های DIY")</f>
        <v>صنایع دستی و پروژه های DIY</v>
      </c>
      <c r="G13304" s="1" t="str">
        <f>IFERROR(__xludf.DUMMYFUNCTION("GOOGLETRANSLATE(C13304, ""en"", ""fa"")
"),"چگونه می توانم چوب پنبه های شراب قدیمی را به صنایع دستی منحصر به فرد و کاربردی تبدیل کنم؟")</f>
        <v>چگونه می توانم چوب پنبه های شراب قدیمی را به صنایع دستی منحصر به فرد و کاربردی تبدیل کنم؟</v>
      </c>
      <c r="H13304" s="1"/>
      <c r="I13304" s="1"/>
      <c r="J13304" s="1"/>
      <c r="K13304" s="1"/>
      <c r="L13304" s="1"/>
      <c r="M13304" s="1"/>
      <c r="N13304" s="1"/>
      <c r="O13304" s="1"/>
      <c r="P13304" s="1"/>
      <c r="Q13304" s="1"/>
      <c r="R13304" s="1"/>
      <c r="S13304" s="1"/>
      <c r="T13304" s="1"/>
      <c r="U13304" s="1"/>
      <c r="V13304" s="1"/>
      <c r="W13304" s="1"/>
      <c r="X13304" s="1"/>
      <c r="Y13304" s="1"/>
      <c r="Z13304" s="1"/>
      <c r="AA13304" s="1"/>
      <c r="AB13304" s="1"/>
    </row>
    <row r="13305" ht="50.25" customHeight="1">
      <c r="A13305" s="12">
        <v>13301.0</v>
      </c>
      <c r="B13305" s="13" t="s">
        <v>12594</v>
      </c>
      <c r="C13305" s="14" t="s">
        <v>12674</v>
      </c>
      <c r="D13305" s="1"/>
      <c r="E13305" s="1"/>
      <c r="F13305" s="1" t="str">
        <f>IFERROR(__xludf.DUMMYFUNCTION("GOOGLETRANSLATE(B13305, ""en"", ""fa"")
"),"صنایع دستی و پروژه های DIY")</f>
        <v>صنایع دستی و پروژه های DIY</v>
      </c>
      <c r="G13305" s="1" t="str">
        <f>IFERROR(__xludf.DUMMYFUNCTION("GOOGLETRANSLATE(C13305, ""en"", ""fa"")
"),"آیا می توانید تکنیک های DIY برای تهیه کره بدن خانگی با مواد مغذی را پیشنهاد دهید؟")</f>
        <v>آیا می توانید تکنیک های DIY برای تهیه کره بدن خانگی با مواد مغذی را پیشنهاد دهید؟</v>
      </c>
      <c r="H13305" s="1"/>
      <c r="I13305" s="1"/>
      <c r="J13305" s="1"/>
      <c r="K13305" s="1"/>
      <c r="L13305" s="1"/>
      <c r="M13305" s="1"/>
      <c r="N13305" s="1"/>
      <c r="O13305" s="1"/>
      <c r="P13305" s="1"/>
      <c r="Q13305" s="1"/>
      <c r="R13305" s="1"/>
      <c r="S13305" s="1"/>
      <c r="T13305" s="1"/>
      <c r="U13305" s="1"/>
      <c r="V13305" s="1"/>
      <c r="W13305" s="1"/>
      <c r="X13305" s="1"/>
      <c r="Y13305" s="1"/>
      <c r="Z13305" s="1"/>
      <c r="AA13305" s="1"/>
      <c r="AB13305" s="1"/>
    </row>
    <row r="13306" ht="50.25" customHeight="1">
      <c r="A13306" s="12">
        <v>13302.0</v>
      </c>
      <c r="B13306" s="13" t="s">
        <v>12594</v>
      </c>
      <c r="C13306" s="14" t="s">
        <v>12675</v>
      </c>
      <c r="D13306" s="1"/>
      <c r="E13306" s="1"/>
      <c r="F13306" s="1" t="str">
        <f>IFERROR(__xludf.DUMMYFUNCTION("GOOGLETRANSLATE(B13306, ""en"", ""fa"")
"),"صنایع دستی و پروژه های DIY")</f>
        <v>صنایع دستی و پروژه های DIY</v>
      </c>
      <c r="G13306" s="1" t="str">
        <f>IFERROR(__xludf.DUMMYFUNCTION("GOOGLETRANSLATE(C13306, ""en"", ""fa"")
"),"مراحل ایجاد یک پایه تلفن DIY با طراحی سفارشی برای استفاده از هندزفری چیست؟")</f>
        <v>مراحل ایجاد یک پایه تلفن DIY با طراحی سفارشی برای استفاده از هندزفری چیست؟</v>
      </c>
      <c r="H13306" s="1"/>
      <c r="I13306" s="1"/>
      <c r="J13306" s="1"/>
      <c r="K13306" s="1"/>
      <c r="L13306" s="1"/>
      <c r="M13306" s="1"/>
      <c r="N13306" s="1"/>
      <c r="O13306" s="1"/>
      <c r="P13306" s="1"/>
      <c r="Q13306" s="1"/>
      <c r="R13306" s="1"/>
      <c r="S13306" s="1"/>
      <c r="T13306" s="1"/>
      <c r="U13306" s="1"/>
      <c r="V13306" s="1"/>
      <c r="W13306" s="1"/>
      <c r="X13306" s="1"/>
      <c r="Y13306" s="1"/>
      <c r="Z13306" s="1"/>
      <c r="AA13306" s="1"/>
      <c r="AB13306" s="1"/>
    </row>
    <row r="13307" ht="50.25" customHeight="1">
      <c r="A13307" s="12">
        <v>13303.0</v>
      </c>
      <c r="B13307" s="13" t="s">
        <v>12594</v>
      </c>
      <c r="C13307" s="14" t="s">
        <v>12676</v>
      </c>
      <c r="D13307" s="1"/>
      <c r="E13307" s="1"/>
      <c r="F13307" s="1" t="str">
        <f>IFERROR(__xludf.DUMMYFUNCTION("GOOGLETRANSLATE(B13307, ""en"", ""fa"")
"),"صنایع دستی و پروژه های DIY")</f>
        <v>صنایع دستی و پروژه های DIY</v>
      </c>
      <c r="G13307" s="1" t="str">
        <f>IFERROR(__xludf.DUMMYFUNCTION("GOOGLETRANSLATE(C13307, ""en"", ""fa"")
"),"چگونه می توانم بانوج خود را برای استراحت در حیاط خلوت خود طراحی و بسازم؟")</f>
        <v>چگونه می توانم بانوج خود را برای استراحت در حیاط خلوت خود طراحی و بسازم؟</v>
      </c>
      <c r="H13307" s="1"/>
      <c r="I13307" s="1"/>
      <c r="J13307" s="1"/>
      <c r="K13307" s="1"/>
      <c r="L13307" s="1"/>
      <c r="M13307" s="1"/>
      <c r="N13307" s="1"/>
      <c r="O13307" s="1"/>
      <c r="P13307" s="1"/>
      <c r="Q13307" s="1"/>
      <c r="R13307" s="1"/>
      <c r="S13307" s="1"/>
      <c r="T13307" s="1"/>
      <c r="U13307" s="1"/>
      <c r="V13307" s="1"/>
      <c r="W13307" s="1"/>
      <c r="X13307" s="1"/>
      <c r="Y13307" s="1"/>
      <c r="Z13307" s="1"/>
      <c r="AA13307" s="1"/>
      <c r="AB13307" s="1"/>
    </row>
    <row r="13308" ht="50.25" customHeight="1">
      <c r="A13308" s="12">
        <v>13304.0</v>
      </c>
      <c r="B13308" s="13" t="s">
        <v>12594</v>
      </c>
      <c r="C13308" s="14" t="s">
        <v>12677</v>
      </c>
      <c r="D13308" s="1"/>
      <c r="E13308" s="1"/>
      <c r="F13308" s="1" t="str">
        <f>IFERROR(__xludf.DUMMYFUNCTION("GOOGLETRANSLATE(B13308, ""en"", ""fa"")
"),"صنایع دستی و پروژه های DIY")</f>
        <v>صنایع دستی و پروژه های DIY</v>
      </c>
      <c r="G13308" s="1" t="str">
        <f>IFERROR(__xludf.DUMMYFUNCTION("GOOGLETRANSLATE(C13308, ""en"", ""fa"")
"),"آیا می‌توانید ایده‌های خلاقانه‌ای را برای ساخت هنر و طرح‌های گل‌های فشرده شده DIY توصیه کنید؟")</f>
        <v>آیا می‌توانید ایده‌های خلاقانه‌ای را برای ساخت هنر و طرح‌های گل‌های فشرده شده DIY توصیه کنید؟</v>
      </c>
      <c r="H13308" s="1"/>
      <c r="I13308" s="1"/>
      <c r="J13308" s="1"/>
      <c r="K13308" s="1"/>
      <c r="L13308" s="1"/>
      <c r="M13308" s="1"/>
      <c r="N13308" s="1"/>
      <c r="O13308" s="1"/>
      <c r="P13308" s="1"/>
      <c r="Q13308" s="1"/>
      <c r="R13308" s="1"/>
      <c r="S13308" s="1"/>
      <c r="T13308" s="1"/>
      <c r="U13308" s="1"/>
      <c r="V13308" s="1"/>
      <c r="W13308" s="1"/>
      <c r="X13308" s="1"/>
      <c r="Y13308" s="1"/>
      <c r="Z13308" s="1"/>
      <c r="AA13308" s="1"/>
      <c r="AB13308" s="1"/>
    </row>
    <row r="13309" ht="50.25" customHeight="1">
      <c r="A13309" s="12">
        <v>13305.0</v>
      </c>
      <c r="B13309" s="13" t="s">
        <v>12594</v>
      </c>
      <c r="C13309" s="14" t="s">
        <v>12678</v>
      </c>
      <c r="D13309" s="1"/>
      <c r="E13309" s="1"/>
      <c r="F13309" s="1" t="str">
        <f>IFERROR(__xludf.DUMMYFUNCTION("GOOGLETRANSLATE(B13309, ""en"", ""fa"")
"),"صنایع دستی و پروژه های DIY")</f>
        <v>صنایع دستی و پروژه های DIY</v>
      </c>
      <c r="G13309" s="1" t="str">
        <f>IFERROR(__xludf.DUMMYFUNCTION("GOOGLETRANSLATE(C13309, ""en"", ""fa"")
"),"چند ایده نوآورانه برای تبدیل تی شرت های قدیمی به لوازم جانبی مد روز چیست؟")</f>
        <v>چند ایده نوآورانه برای تبدیل تی شرت های قدیمی به لوازم جانبی مد روز چیست؟</v>
      </c>
      <c r="H13309" s="1"/>
      <c r="I13309" s="1"/>
      <c r="J13309" s="1"/>
      <c r="K13309" s="1"/>
      <c r="L13309" s="1"/>
      <c r="M13309" s="1"/>
      <c r="N13309" s="1"/>
      <c r="O13309" s="1"/>
      <c r="P13309" s="1"/>
      <c r="Q13309" s="1"/>
      <c r="R13309" s="1"/>
      <c r="S13309" s="1"/>
      <c r="T13309" s="1"/>
      <c r="U13309" s="1"/>
      <c r="V13309" s="1"/>
      <c r="W13309" s="1"/>
      <c r="X13309" s="1"/>
      <c r="Y13309" s="1"/>
      <c r="Z13309" s="1"/>
      <c r="AA13309" s="1"/>
      <c r="AB13309" s="1"/>
    </row>
    <row r="13310" ht="50.25" customHeight="1">
      <c r="A13310" s="12">
        <v>13306.0</v>
      </c>
      <c r="B13310" s="13" t="s">
        <v>12594</v>
      </c>
      <c r="C13310" s="14" t="s">
        <v>12679</v>
      </c>
      <c r="D13310" s="1"/>
      <c r="E13310" s="1"/>
      <c r="F13310" s="1" t="str">
        <f>IFERROR(__xludf.DUMMYFUNCTION("GOOGLETRANSLATE(B13310, ""en"", ""fa"")
"),"صنایع دستی و پروژه های DIY")</f>
        <v>صنایع دستی و پروژه های DIY</v>
      </c>
      <c r="G13310" s="1" t="str">
        <f>IFERROR(__xludf.DUMMYFUNCTION("GOOGLETRANSLATE(C13310, ""en"", ""fa"")
"),"چگونه می توانم نگهدارنده های نذری شیشه ای ساده را به جا شمعی های خیره کننده DIY تبدیل کنم؟")</f>
        <v>چگونه می توانم نگهدارنده های نذری شیشه ای ساده را به جا شمعی های خیره کننده DIY تبدیل کنم؟</v>
      </c>
      <c r="H13310" s="1"/>
      <c r="I13310" s="1"/>
      <c r="J13310" s="1"/>
      <c r="K13310" s="1"/>
      <c r="L13310" s="1"/>
      <c r="M13310" s="1"/>
      <c r="N13310" s="1"/>
      <c r="O13310" s="1"/>
      <c r="P13310" s="1"/>
      <c r="Q13310" s="1"/>
      <c r="R13310" s="1"/>
      <c r="S13310" s="1"/>
      <c r="T13310" s="1"/>
      <c r="U13310" s="1"/>
      <c r="V13310" s="1"/>
      <c r="W13310" s="1"/>
      <c r="X13310" s="1"/>
      <c r="Y13310" s="1"/>
      <c r="Z13310" s="1"/>
      <c r="AA13310" s="1"/>
      <c r="AB13310" s="1"/>
    </row>
    <row r="13311" ht="50.25" customHeight="1">
      <c r="A13311" s="12">
        <v>13307.0</v>
      </c>
      <c r="B13311" s="13" t="s">
        <v>12594</v>
      </c>
      <c r="C13311" s="14" t="s">
        <v>12680</v>
      </c>
      <c r="D13311" s="1"/>
      <c r="E13311" s="1"/>
      <c r="F13311" s="1" t="str">
        <f>IFERROR(__xludf.DUMMYFUNCTION("GOOGLETRANSLATE(B13311, ""en"", ""fa"")
"),"صنایع دستی و پروژه های DIY")</f>
        <v>صنایع دستی و پروژه های DIY</v>
      </c>
      <c r="G13311" s="1" t="str">
        <f>IFERROR(__xludf.DUMMYFUNCTION("GOOGLETRANSLATE(C13311, ""en"", ""fa"")
"),"آیا می توانید تکنیک های DIY را برای ساخت ست لوازم التحریر شخصی سازی شده با طرح های مختلف پیشنهاد دهید؟")</f>
        <v>آیا می توانید تکنیک های DIY را برای ساخت ست لوازم التحریر شخصی سازی شده با طرح های مختلف پیشنهاد دهید؟</v>
      </c>
      <c r="H13311" s="1"/>
      <c r="I13311" s="1"/>
      <c r="J13311" s="1"/>
      <c r="K13311" s="1"/>
      <c r="L13311" s="1"/>
      <c r="M13311" s="1"/>
      <c r="N13311" s="1"/>
      <c r="O13311" s="1"/>
      <c r="P13311" s="1"/>
      <c r="Q13311" s="1"/>
      <c r="R13311" s="1"/>
      <c r="S13311" s="1"/>
      <c r="T13311" s="1"/>
      <c r="U13311" s="1"/>
      <c r="V13311" s="1"/>
      <c r="W13311" s="1"/>
      <c r="X13311" s="1"/>
      <c r="Y13311" s="1"/>
      <c r="Z13311" s="1"/>
      <c r="AA13311" s="1"/>
      <c r="AB13311" s="1"/>
    </row>
    <row r="13312" ht="50.25" customHeight="1">
      <c r="A13312" s="12">
        <v>13308.0</v>
      </c>
      <c r="B13312" s="13" t="s">
        <v>12594</v>
      </c>
      <c r="C13312" s="14" t="s">
        <v>12681</v>
      </c>
      <c r="D13312" s="1"/>
      <c r="E13312" s="1"/>
      <c r="F13312" s="1" t="str">
        <f>IFERROR(__xludf.DUMMYFUNCTION("GOOGLETRANSLATE(B13312, ""en"", ""fa"")
"),"صنایع دستی و پروژه های DIY")</f>
        <v>صنایع دستی و پروژه های DIY</v>
      </c>
      <c r="G13312" s="1" t="str">
        <f>IFERROR(__xludf.DUMMYFUNCTION("GOOGLETRANSLATE(C13312, ""en"", ""fa"")
"),"برای سازماندهی فضای کاری من، چه مراحلی برای ایجاد یک پینبورد DIY با طراحی سفارشی وجود دارد؟")</f>
        <v>برای سازماندهی فضای کاری من، چه مراحلی برای ایجاد یک پینبورد DIY با طراحی سفارشی وجود دارد؟</v>
      </c>
      <c r="H13312" s="1"/>
      <c r="I13312" s="1"/>
      <c r="J13312" s="1"/>
      <c r="K13312" s="1"/>
      <c r="L13312" s="1"/>
      <c r="M13312" s="1"/>
      <c r="N13312" s="1"/>
      <c r="O13312" s="1"/>
      <c r="P13312" s="1"/>
      <c r="Q13312" s="1"/>
      <c r="R13312" s="1"/>
      <c r="S13312" s="1"/>
      <c r="T13312" s="1"/>
      <c r="U13312" s="1"/>
      <c r="V13312" s="1"/>
      <c r="W13312" s="1"/>
      <c r="X13312" s="1"/>
      <c r="Y13312" s="1"/>
      <c r="Z13312" s="1"/>
      <c r="AA13312" s="1"/>
      <c r="AB13312" s="1"/>
    </row>
    <row r="13313" ht="50.25" customHeight="1">
      <c r="A13313" s="12">
        <v>13309.0</v>
      </c>
      <c r="B13313" s="13" t="s">
        <v>12594</v>
      </c>
      <c r="C13313" s="14" t="s">
        <v>12682</v>
      </c>
      <c r="D13313" s="1"/>
      <c r="E13313" s="1"/>
      <c r="F13313" s="1" t="str">
        <f>IFERROR(__xludf.DUMMYFUNCTION("GOOGLETRANSLATE(B13313, ""en"", ""fa"")
"),"صنایع دستی و پروژه های DIY")</f>
        <v>صنایع دستی و پروژه های DIY</v>
      </c>
      <c r="G13313" s="1" t="str">
        <f>IFERROR(__xludf.DUMMYFUNCTION("GOOGLETRANSLATE(C13313, ""en"", ""fa"")
"),"چگونه می توانم یک تخت باغچه مرتفع DIY برای رشد سبزیجات و گیاهان تازه بسازم؟")</f>
        <v>چگونه می توانم یک تخت باغچه مرتفع DIY برای رشد سبزیجات و گیاهان تازه بسازم؟</v>
      </c>
      <c r="H13313" s="1"/>
      <c r="I13313" s="1"/>
      <c r="J13313" s="1"/>
      <c r="K13313" s="1"/>
      <c r="L13313" s="1"/>
      <c r="M13313" s="1"/>
      <c r="N13313" s="1"/>
      <c r="O13313" s="1"/>
      <c r="P13313" s="1"/>
      <c r="Q13313" s="1"/>
      <c r="R13313" s="1"/>
      <c r="S13313" s="1"/>
      <c r="T13313" s="1"/>
      <c r="U13313" s="1"/>
      <c r="V13313" s="1"/>
      <c r="W13313" s="1"/>
      <c r="X13313" s="1"/>
      <c r="Y13313" s="1"/>
      <c r="Z13313" s="1"/>
      <c r="AA13313" s="1"/>
      <c r="AB13313" s="1"/>
    </row>
    <row r="13314" ht="50.25" customHeight="1">
      <c r="A13314" s="12">
        <v>13310.0</v>
      </c>
      <c r="B13314" s="13" t="s">
        <v>12594</v>
      </c>
      <c r="C13314" s="14" t="s">
        <v>12683</v>
      </c>
      <c r="D13314" s="1"/>
      <c r="E13314" s="1"/>
      <c r="F13314" s="1" t="str">
        <f>IFERROR(__xludf.DUMMYFUNCTION("GOOGLETRANSLATE(B13314, ""en"", ""fa"")
"),"صنایع دستی و پروژه های DIY")</f>
        <v>صنایع دستی و پروژه های DIY</v>
      </c>
      <c r="G13314" s="1" t="str">
        <f>IFERROR(__xludf.DUMMYFUNCTION("GOOGLETRANSLATE(C13314, ""en"", ""fa"")
"),"آیا می‌توانید ایده‌های خلاقانه‌ای را برای ایجاد هنر و طرح‌های برش کاغذ DIY توصیه کنید؟")</f>
        <v>آیا می‌توانید ایده‌های خلاقانه‌ای را برای ایجاد هنر و طرح‌های برش کاغذ DIY توصیه کنید؟</v>
      </c>
      <c r="H13314" s="1"/>
      <c r="I13314" s="1"/>
      <c r="J13314" s="1"/>
      <c r="K13314" s="1"/>
      <c r="L13314" s="1"/>
      <c r="M13314" s="1"/>
      <c r="N13314" s="1"/>
      <c r="O13314" s="1"/>
      <c r="P13314" s="1"/>
      <c r="Q13314" s="1"/>
      <c r="R13314" s="1"/>
      <c r="S13314" s="1"/>
      <c r="T13314" s="1"/>
      <c r="U13314" s="1"/>
      <c r="V13314" s="1"/>
      <c r="W13314" s="1"/>
      <c r="X13314" s="1"/>
      <c r="Y13314" s="1"/>
      <c r="Z13314" s="1"/>
      <c r="AA13314" s="1"/>
      <c r="AB13314" s="1"/>
    </row>
    <row r="13315" ht="50.25" customHeight="1">
      <c r="A13315" s="12">
        <v>13311.0</v>
      </c>
      <c r="B13315" s="13" t="s">
        <v>12594</v>
      </c>
      <c r="C13315" s="14" t="s">
        <v>12684</v>
      </c>
      <c r="D13315" s="1"/>
      <c r="E13315" s="1"/>
      <c r="F13315" s="1" t="str">
        <f>IFERROR(__xludf.DUMMYFUNCTION("GOOGLETRANSLATE(B13315, ""en"", ""fa"")
"),"صنایع دستی و پروژه های DIY")</f>
        <v>صنایع دستی و پروژه های DIY</v>
      </c>
      <c r="G13315" s="1" t="str">
        <f>IFERROR(__xludf.DUMMYFUNCTION("GOOGLETRANSLATE(C13315, ""en"", ""fa"")
"),"چند ایده سرگرم کننده و دوستدار محیط زیست برای ایجاد دانخوری پرندگان DIY با استفاده از مواد بازیافتی چیست؟")</f>
        <v>چند ایده سرگرم کننده و دوستدار محیط زیست برای ایجاد دانخوری پرندگان DIY با استفاده از مواد بازیافتی چیست؟</v>
      </c>
      <c r="H13315" s="1"/>
      <c r="I13315" s="1"/>
      <c r="J13315" s="1"/>
      <c r="K13315" s="1"/>
      <c r="L13315" s="1"/>
      <c r="M13315" s="1"/>
      <c r="N13315" s="1"/>
      <c r="O13315" s="1"/>
      <c r="P13315" s="1"/>
      <c r="Q13315" s="1"/>
      <c r="R13315" s="1"/>
      <c r="S13315" s="1"/>
      <c r="T13315" s="1"/>
      <c r="U13315" s="1"/>
      <c r="V13315" s="1"/>
      <c r="W13315" s="1"/>
      <c r="X13315" s="1"/>
      <c r="Y13315" s="1"/>
      <c r="Z13315" s="1"/>
      <c r="AA13315" s="1"/>
      <c r="AB13315" s="1"/>
    </row>
    <row r="13316" ht="50.25" customHeight="1">
      <c r="A13316" s="12">
        <v>13312.0</v>
      </c>
      <c r="B13316" s="13" t="s">
        <v>12594</v>
      </c>
      <c r="C13316" s="14" t="s">
        <v>12685</v>
      </c>
      <c r="D13316" s="1"/>
      <c r="E13316" s="1"/>
      <c r="F13316" s="1" t="str">
        <f>IFERROR(__xludf.DUMMYFUNCTION("GOOGLETRANSLATE(B13316, ""en"", ""fa"")
"),"صنایع دستی و پروژه های DIY")</f>
        <v>صنایع دستی و پروژه های DIY</v>
      </c>
      <c r="G13316" s="1" t="str">
        <f>IFERROR(__xludf.DUMMYFUNCTION("GOOGLETRANSLATE(C13316, ""en"", ""fa"")
"),"چگونه می‌توانم قاب‌های عکس قدیمی را در سینی‌های سرو شیک برای سرگرمی قرار دهم؟")</f>
        <v>چگونه می‌توانم قاب‌های عکس قدیمی را در سینی‌های سرو شیک برای سرگرمی قرار دهم؟</v>
      </c>
      <c r="H13316" s="1"/>
      <c r="I13316" s="1"/>
      <c r="J13316" s="1"/>
      <c r="K13316" s="1"/>
      <c r="L13316" s="1"/>
      <c r="M13316" s="1"/>
      <c r="N13316" s="1"/>
      <c r="O13316" s="1"/>
      <c r="P13316" s="1"/>
      <c r="Q13316" s="1"/>
      <c r="R13316" s="1"/>
      <c r="S13316" s="1"/>
      <c r="T13316" s="1"/>
      <c r="U13316" s="1"/>
      <c r="V13316" s="1"/>
      <c r="W13316" s="1"/>
      <c r="X13316" s="1"/>
      <c r="Y13316" s="1"/>
      <c r="Z13316" s="1"/>
      <c r="AA13316" s="1"/>
      <c r="AB13316" s="1"/>
    </row>
    <row r="13317" ht="50.25" customHeight="1">
      <c r="A13317" s="12">
        <v>13313.0</v>
      </c>
      <c r="B13317" s="13" t="s">
        <v>12594</v>
      </c>
      <c r="C13317" s="14" t="s">
        <v>12686</v>
      </c>
      <c r="D13317" s="1"/>
      <c r="E13317" s="1"/>
      <c r="F13317" s="1" t="str">
        <f>IFERROR(__xludf.DUMMYFUNCTION("GOOGLETRANSLATE(B13317, ""en"", ""fa"")
"),"صنایع دستی و پروژه های DIY")</f>
        <v>صنایع دستی و پروژه های DIY</v>
      </c>
      <c r="G13317" s="1" t="str">
        <f>IFERROR(__xludf.DUMMYFUNCTION("GOOGLETRANSLATE(C13317, ""en"", ""fa"")
"),"آیا می‌توانید تکنیک‌های DIY را برای ساخت حمام‌های خانگی با روغن‌های مغذی پیشنهاد کنید؟")</f>
        <v>آیا می‌توانید تکنیک‌های DIY را برای ساخت حمام‌های خانگی با روغن‌های مغذی پیشنهاد کنید؟</v>
      </c>
      <c r="H13317" s="1"/>
      <c r="I13317" s="1"/>
      <c r="J13317" s="1"/>
      <c r="K13317" s="1"/>
      <c r="L13317" s="1"/>
      <c r="M13317" s="1"/>
      <c r="N13317" s="1"/>
      <c r="O13317" s="1"/>
      <c r="P13317" s="1"/>
      <c r="Q13317" s="1"/>
      <c r="R13317" s="1"/>
      <c r="S13317" s="1"/>
      <c r="T13317" s="1"/>
      <c r="U13317" s="1"/>
      <c r="V13317" s="1"/>
      <c r="W13317" s="1"/>
      <c r="X13317" s="1"/>
      <c r="Y13317" s="1"/>
      <c r="Z13317" s="1"/>
      <c r="AA13317" s="1"/>
      <c r="AB13317" s="1"/>
    </row>
    <row r="13318" ht="50.25" customHeight="1">
      <c r="A13318" s="12">
        <v>13314.0</v>
      </c>
      <c r="B13318" s="13" t="s">
        <v>12594</v>
      </c>
      <c r="C13318" s="14" t="s">
        <v>12687</v>
      </c>
      <c r="D13318" s="1"/>
      <c r="E13318" s="1"/>
      <c r="F13318" s="1" t="str">
        <f>IFERROR(__xludf.DUMMYFUNCTION("GOOGLETRANSLATE(B13318, ""en"", ""fa"")
"),"صنایع دستی و پروژه های DIY")</f>
        <v>صنایع دستی و پروژه های DIY</v>
      </c>
      <c r="G13318" s="1" t="str">
        <f>IFERROR(__xludf.DUMMYFUNCTION("GOOGLETRANSLATE(C13318, ""en"", ""fa"")
"),"مراحل ایجاد یک کتاب دستور تهیه DIY شخصی برای غذاهای مورد علاقه من چیست؟")</f>
        <v>مراحل ایجاد یک کتاب دستور تهیه DIY شخصی برای غذاهای مورد علاقه من چیست؟</v>
      </c>
      <c r="H13318" s="1"/>
      <c r="I13318" s="1"/>
      <c r="J13318" s="1"/>
      <c r="K13318" s="1"/>
      <c r="L13318" s="1"/>
      <c r="M13318" s="1"/>
      <c r="N13318" s="1"/>
      <c r="O13318" s="1"/>
      <c r="P13318" s="1"/>
      <c r="Q13318" s="1"/>
      <c r="R13318" s="1"/>
      <c r="S13318" s="1"/>
      <c r="T13318" s="1"/>
      <c r="U13318" s="1"/>
      <c r="V13318" s="1"/>
      <c r="W13318" s="1"/>
      <c r="X13318" s="1"/>
      <c r="Y13318" s="1"/>
      <c r="Z13318" s="1"/>
      <c r="AA13318" s="1"/>
      <c r="AB13318" s="1"/>
    </row>
    <row r="13319" ht="50.25" customHeight="1">
      <c r="A13319" s="12">
        <v>13315.0</v>
      </c>
      <c r="B13319" s="13" t="s">
        <v>12594</v>
      </c>
      <c r="C13319" s="14" t="s">
        <v>12688</v>
      </c>
      <c r="D13319" s="1"/>
      <c r="E13319" s="1"/>
      <c r="F13319" s="1" t="str">
        <f>IFERROR(__xludf.DUMMYFUNCTION("GOOGLETRANSLATE(B13319, ""en"", ""fa"")
"),"صنایع دستی و پروژه های DIY")</f>
        <v>صنایع دستی و پروژه های DIY</v>
      </c>
      <c r="G13319" s="1" t="str">
        <f>IFERROR(__xludf.DUMMYFUNCTION("GOOGLETRANSLATE(C13319, ""en"", ""fa"")
"),"چگونه کیف های پارچه ای خود را با طرح ها و اندازه های منحصر به فرد طراحی و بدوزم؟")</f>
        <v>چگونه کیف های پارچه ای خود را با طرح ها و اندازه های منحصر به فرد طراحی و بدوزم؟</v>
      </c>
      <c r="H13319" s="1"/>
      <c r="I13319" s="1"/>
      <c r="J13319" s="1"/>
      <c r="K13319" s="1"/>
      <c r="L13319" s="1"/>
      <c r="M13319" s="1"/>
      <c r="N13319" s="1"/>
      <c r="O13319" s="1"/>
      <c r="P13319" s="1"/>
      <c r="Q13319" s="1"/>
      <c r="R13319" s="1"/>
      <c r="S13319" s="1"/>
      <c r="T13319" s="1"/>
      <c r="U13319" s="1"/>
      <c r="V13319" s="1"/>
      <c r="W13319" s="1"/>
      <c r="X13319" s="1"/>
      <c r="Y13319" s="1"/>
      <c r="Z13319" s="1"/>
      <c r="AA13319" s="1"/>
      <c r="AB13319" s="1"/>
    </row>
    <row r="13320" ht="50.25" customHeight="1">
      <c r="A13320" s="12">
        <v>13316.0</v>
      </c>
      <c r="B13320" s="13" t="s">
        <v>12594</v>
      </c>
      <c r="C13320" s="14" t="s">
        <v>12689</v>
      </c>
      <c r="D13320" s="1"/>
      <c r="E13320" s="1"/>
      <c r="F13320" s="1" t="str">
        <f>IFERROR(__xludf.DUMMYFUNCTION("GOOGLETRANSLATE(B13320, ""en"", ""fa"")
"),"صنایع دستی و پروژه های DIY")</f>
        <v>صنایع دستی و پروژه های DIY</v>
      </c>
      <c r="G13320" s="1" t="str">
        <f>IFERROR(__xludf.DUMMYFUNCTION("GOOGLETRANSLATE(C13320, ""en"", ""fa"")
"),"آیا می‌توانید ایده‌های نوآورانه‌ای را برای ایجاد هنر و طرح‌های دیواری با نخ DIY توصیه کنید؟")</f>
        <v>آیا می‌توانید ایده‌های نوآورانه‌ای را برای ایجاد هنر و طرح‌های دیواری با نخ DIY توصیه کنید؟</v>
      </c>
      <c r="H13320" s="1"/>
      <c r="I13320" s="1"/>
      <c r="J13320" s="1"/>
      <c r="K13320" s="1"/>
      <c r="L13320" s="1"/>
      <c r="M13320" s="1"/>
      <c r="N13320" s="1"/>
      <c r="O13320" s="1"/>
      <c r="P13320" s="1"/>
      <c r="Q13320" s="1"/>
      <c r="R13320" s="1"/>
      <c r="S13320" s="1"/>
      <c r="T13320" s="1"/>
      <c r="U13320" s="1"/>
      <c r="V13320" s="1"/>
      <c r="W13320" s="1"/>
      <c r="X13320" s="1"/>
      <c r="Y13320" s="1"/>
      <c r="Z13320" s="1"/>
      <c r="AA13320" s="1"/>
      <c r="AB13320" s="1"/>
    </row>
    <row r="13321" ht="50.25" customHeight="1">
      <c r="A13321" s="12">
        <v>13317.0</v>
      </c>
      <c r="B13321" s="13" t="s">
        <v>12594</v>
      </c>
      <c r="C13321" s="14" t="s">
        <v>12690</v>
      </c>
      <c r="D13321" s="1"/>
      <c r="E13321" s="1"/>
      <c r="F13321" s="1" t="str">
        <f>IFERROR(__xludf.DUMMYFUNCTION("GOOGLETRANSLATE(B13321, ""en"", ""fa"")
"),"صنایع دستی و پروژه های DIY")</f>
        <v>صنایع دستی و پروژه های DIY</v>
      </c>
      <c r="G13321" s="1" t="str">
        <f>IFERROR(__xludf.DUMMYFUNCTION("GOOGLETRANSLATE(C13321, ""en"", ""fa"")
"),"چند پروژه آسان و لذت بخش DIY برای ساخت نشانک های طراحی شده سفارشی چیست؟")</f>
        <v>چند پروژه آسان و لذت بخش DIY برای ساخت نشانک های طراحی شده سفارشی چیست؟</v>
      </c>
      <c r="H13321" s="1"/>
      <c r="I13321" s="1"/>
      <c r="J13321" s="1"/>
      <c r="K13321" s="1"/>
      <c r="L13321" s="1"/>
      <c r="M13321" s="1"/>
      <c r="N13321" s="1"/>
      <c r="O13321" s="1"/>
      <c r="P13321" s="1"/>
      <c r="Q13321" s="1"/>
      <c r="R13321" s="1"/>
      <c r="S13321" s="1"/>
      <c r="T13321" s="1"/>
      <c r="U13321" s="1"/>
      <c r="V13321" s="1"/>
      <c r="W13321" s="1"/>
      <c r="X13321" s="1"/>
      <c r="Y13321" s="1"/>
      <c r="Z13321" s="1"/>
      <c r="AA13321" s="1"/>
      <c r="AB13321" s="1"/>
    </row>
    <row r="13322" ht="50.25" customHeight="1">
      <c r="A13322" s="12">
        <v>13318.0</v>
      </c>
      <c r="B13322" s="13" t="s">
        <v>12594</v>
      </c>
      <c r="C13322" s="14" t="s">
        <v>12691</v>
      </c>
      <c r="D13322" s="1"/>
      <c r="E13322" s="1"/>
      <c r="F13322" s="1" t="str">
        <f>IFERROR(__xludf.DUMMYFUNCTION("GOOGLETRANSLATE(B13322, ""en"", ""fa"")
"),"صنایع دستی و پروژه های DIY")</f>
        <v>صنایع دستی و پروژه های DIY</v>
      </c>
      <c r="G13322" s="1" t="str">
        <f>IFERROR(__xludf.DUMMYFUNCTION("GOOGLETRANSLATE(C13322, ""en"", ""fa"")
"),"چگونه می توانم قاشق های چوبی ساده را به ظروف آشپزخانه جذاب DIY تبدیل کنم؟")</f>
        <v>چگونه می توانم قاشق های چوبی ساده را به ظروف آشپزخانه جذاب DIY تبدیل کنم؟</v>
      </c>
      <c r="H13322" s="1"/>
      <c r="I13322" s="1"/>
      <c r="J13322" s="1"/>
      <c r="K13322" s="1"/>
      <c r="L13322" s="1"/>
      <c r="M13322" s="1"/>
      <c r="N13322" s="1"/>
      <c r="O13322" s="1"/>
      <c r="P13322" s="1"/>
      <c r="Q13322" s="1"/>
      <c r="R13322" s="1"/>
      <c r="S13322" s="1"/>
      <c r="T13322" s="1"/>
      <c r="U13322" s="1"/>
      <c r="V13322" s="1"/>
      <c r="W13322" s="1"/>
      <c r="X13322" s="1"/>
      <c r="Y13322" s="1"/>
      <c r="Z13322" s="1"/>
      <c r="AA13322" s="1"/>
      <c r="AB13322" s="1"/>
    </row>
    <row r="13323" ht="50.25" customHeight="1">
      <c r="A13323" s="12">
        <v>13319.0</v>
      </c>
      <c r="B13323" s="13" t="s">
        <v>12594</v>
      </c>
      <c r="C13323" s="14" t="s">
        <v>12692</v>
      </c>
      <c r="D13323" s="1"/>
      <c r="E13323" s="1"/>
      <c r="F13323" s="1" t="str">
        <f>IFERROR(__xludf.DUMMYFUNCTION("GOOGLETRANSLATE(B13323, ""en"", ""fa"")
"),"صنایع دستی و پروژه های DIY")</f>
        <v>صنایع دستی و پروژه های DIY</v>
      </c>
      <c r="G13323" s="1" t="str">
        <f>IFERROR(__xludf.DUMMYFUNCTION("GOOGLETRANSLATE(C13323, ""en"", ""fa"")
"),"آیا می توانید تکنیک های DIY برای ساخت اسپری های اتاق معطر خانگی با روغن های ضروری را پیشنهاد دهید؟")</f>
        <v>آیا می توانید تکنیک های DIY برای ساخت اسپری های اتاق معطر خانگی با روغن های ضروری را پیشنهاد دهید؟</v>
      </c>
      <c r="H13323" s="1"/>
      <c r="I13323" s="1"/>
      <c r="J13323" s="1"/>
      <c r="K13323" s="1"/>
      <c r="L13323" s="1"/>
      <c r="M13323" s="1"/>
      <c r="N13323" s="1"/>
      <c r="O13323" s="1"/>
      <c r="P13323" s="1"/>
      <c r="Q13323" s="1"/>
      <c r="R13323" s="1"/>
      <c r="S13323" s="1"/>
      <c r="T13323" s="1"/>
      <c r="U13323" s="1"/>
      <c r="V13323" s="1"/>
      <c r="W13323" s="1"/>
      <c r="X13323" s="1"/>
      <c r="Y13323" s="1"/>
      <c r="Z13323" s="1"/>
      <c r="AA13323" s="1"/>
      <c r="AB13323" s="1"/>
    </row>
    <row r="13324" ht="50.25" customHeight="1">
      <c r="A13324" s="12">
        <v>13320.0</v>
      </c>
      <c r="B13324" s="13" t="s">
        <v>12594</v>
      </c>
      <c r="C13324" s="14" t="s">
        <v>12693</v>
      </c>
      <c r="D13324" s="1"/>
      <c r="E13324" s="1"/>
      <c r="F13324" s="1" t="str">
        <f>IFERROR(__xludf.DUMMYFUNCTION("GOOGLETRANSLATE(B13324, ""en"", ""fa"")
"),"صنایع دستی و پروژه های DIY")</f>
        <v>صنایع دستی و پروژه های DIY</v>
      </c>
      <c r="G13324" s="1" t="str">
        <f>IFERROR(__xludf.DUMMYFUNCTION("GOOGLETRANSLATE(C13324, ""en"", ""fa"")
"),"مراحل ایجاد یک نگهدارنده کلید DIY با طراحی سفارشی برای سازماندهی کلیدهای من چیست؟")</f>
        <v>مراحل ایجاد یک نگهدارنده کلید DIY با طراحی سفارشی برای سازماندهی کلیدهای من چیست؟</v>
      </c>
      <c r="H13324" s="1"/>
      <c r="I13324" s="1"/>
      <c r="J13324" s="1"/>
      <c r="K13324" s="1"/>
      <c r="L13324" s="1"/>
      <c r="M13324" s="1"/>
      <c r="N13324" s="1"/>
      <c r="O13324" s="1"/>
      <c r="P13324" s="1"/>
      <c r="Q13324" s="1"/>
      <c r="R13324" s="1"/>
      <c r="S13324" s="1"/>
      <c r="T13324" s="1"/>
      <c r="U13324" s="1"/>
      <c r="V13324" s="1"/>
      <c r="W13324" s="1"/>
      <c r="X13324" s="1"/>
      <c r="Y13324" s="1"/>
      <c r="Z13324" s="1"/>
      <c r="AA13324" s="1"/>
      <c r="AB13324" s="1"/>
    </row>
    <row r="13325" ht="50.25" customHeight="1">
      <c r="A13325" s="12">
        <v>13321.0</v>
      </c>
      <c r="B13325" s="13" t="s">
        <v>12594</v>
      </c>
      <c r="C13325" s="14" t="s">
        <v>12694</v>
      </c>
      <c r="D13325" s="1"/>
      <c r="E13325" s="1"/>
      <c r="F13325" s="1" t="str">
        <f>IFERROR(__xludf.DUMMYFUNCTION("GOOGLETRANSLATE(B13325, ""en"", ""fa"")
"),"صنایع دستی و پروژه های DIY")</f>
        <v>صنایع دستی و پروژه های DIY</v>
      </c>
      <c r="G13325" s="1" t="str">
        <f>IFERROR(__xludf.DUMMYFUNCTION("GOOGLETRANSLATE(C13325, ""en"", ""fa"")
"),"چگونه می توانم یک پایه لپ تاپ چوبی DIY برای استفاده ارگونومیک و وضعیت بهتر بسازم؟")</f>
        <v>چگونه می توانم یک پایه لپ تاپ چوبی DIY برای استفاده ارگونومیک و وضعیت بهتر بسازم؟</v>
      </c>
      <c r="H13325" s="1"/>
      <c r="I13325" s="1"/>
      <c r="J13325" s="1"/>
      <c r="K13325" s="1"/>
      <c r="L13325" s="1"/>
      <c r="M13325" s="1"/>
      <c r="N13325" s="1"/>
      <c r="O13325" s="1"/>
      <c r="P13325" s="1"/>
      <c r="Q13325" s="1"/>
      <c r="R13325" s="1"/>
      <c r="S13325" s="1"/>
      <c r="T13325" s="1"/>
      <c r="U13325" s="1"/>
      <c r="V13325" s="1"/>
      <c r="W13325" s="1"/>
      <c r="X13325" s="1"/>
      <c r="Y13325" s="1"/>
      <c r="Z13325" s="1"/>
      <c r="AA13325" s="1"/>
      <c r="AB13325" s="1"/>
    </row>
    <row r="13326" ht="50.25" customHeight="1">
      <c r="A13326" s="12">
        <v>13322.0</v>
      </c>
      <c r="B13326" s="13" t="s">
        <v>12594</v>
      </c>
      <c r="C13326" s="14" t="s">
        <v>12695</v>
      </c>
      <c r="D13326" s="1"/>
      <c r="E13326" s="1"/>
      <c r="F13326" s="1" t="str">
        <f>IFERROR(__xludf.DUMMYFUNCTION("GOOGLETRANSLATE(B13326, ""en"", ""fa"")
"),"صنایع دستی و پروژه های DIY")</f>
        <v>صنایع دستی و پروژه های DIY</v>
      </c>
      <c r="G13326" s="1" t="str">
        <f>IFERROR(__xludf.DUMMYFUNCTION("GOOGLETRANSLATE(C13326, ""en"", ""fa"")
"),"آیا می‌توانید ایده‌های خلاقانه‌ای برای ساخت جواهرات و لوازم جانبی مهره‌های کاغذی DIY توصیه کنید؟")</f>
        <v>آیا می‌توانید ایده‌های خلاقانه‌ای برای ساخت جواهرات و لوازم جانبی مهره‌های کاغذی DIY توصیه کنید؟</v>
      </c>
      <c r="H13326" s="1"/>
      <c r="I13326" s="1"/>
      <c r="J13326" s="1"/>
      <c r="K13326" s="1"/>
      <c r="L13326" s="1"/>
      <c r="M13326" s="1"/>
      <c r="N13326" s="1"/>
      <c r="O13326" s="1"/>
      <c r="P13326" s="1"/>
      <c r="Q13326" s="1"/>
      <c r="R13326" s="1"/>
      <c r="S13326" s="1"/>
      <c r="T13326" s="1"/>
      <c r="U13326" s="1"/>
      <c r="V13326" s="1"/>
      <c r="W13326" s="1"/>
      <c r="X13326" s="1"/>
      <c r="Y13326" s="1"/>
      <c r="Z13326" s="1"/>
      <c r="AA13326" s="1"/>
      <c r="AB13326" s="1"/>
    </row>
    <row r="13327" ht="50.25" customHeight="1">
      <c r="A13327" s="12">
        <v>13323.0</v>
      </c>
      <c r="B13327" s="13" t="s">
        <v>12594</v>
      </c>
      <c r="C13327" s="14" t="s">
        <v>12696</v>
      </c>
      <c r="D13327" s="1"/>
      <c r="E13327" s="1"/>
      <c r="F13327" s="1" t="str">
        <f>IFERROR(__xludf.DUMMYFUNCTION("GOOGLETRANSLATE(B13327, ""en"", ""fa"")
"),"صنایع دستی و پروژه های DIY")</f>
        <v>صنایع دستی و پروژه های DIY</v>
      </c>
      <c r="G13327" s="1" t="str">
        <f>IFERROR(__xludf.DUMMYFUNCTION("GOOGLETRANSLATE(C13327, ""en"", ""fa"")
"),"چند ایده نوآورانه برای چرخش شیشه های شیشه ای قدیمی در کره های برفی DIY چیست؟")</f>
        <v>چند ایده نوآورانه برای چرخش شیشه های شیشه ای قدیمی در کره های برفی DIY چیست؟</v>
      </c>
      <c r="H13327" s="1"/>
      <c r="I13327" s="1"/>
      <c r="J13327" s="1"/>
      <c r="K13327" s="1"/>
      <c r="L13327" s="1"/>
      <c r="M13327" s="1"/>
      <c r="N13327" s="1"/>
      <c r="O13327" s="1"/>
      <c r="P13327" s="1"/>
      <c r="Q13327" s="1"/>
      <c r="R13327" s="1"/>
      <c r="S13327" s="1"/>
      <c r="T13327" s="1"/>
      <c r="U13327" s="1"/>
      <c r="V13327" s="1"/>
      <c r="W13327" s="1"/>
      <c r="X13327" s="1"/>
      <c r="Y13327" s="1"/>
      <c r="Z13327" s="1"/>
      <c r="AA13327" s="1"/>
      <c r="AB13327" s="1"/>
    </row>
    <row r="13328" ht="50.25" customHeight="1">
      <c r="A13328" s="12">
        <v>13324.0</v>
      </c>
      <c r="B13328" s="13" t="s">
        <v>12594</v>
      </c>
      <c r="C13328" s="14" t="s">
        <v>12697</v>
      </c>
      <c r="D13328" s="1"/>
      <c r="E13328" s="1"/>
      <c r="F13328" s="1" t="str">
        <f>IFERROR(__xludf.DUMMYFUNCTION("GOOGLETRANSLATE(B13328, ""en"", ""fa"")
"),"صنایع دستی و پروژه های DIY")</f>
        <v>صنایع دستی و پروژه های DIY</v>
      </c>
      <c r="G13328" s="1" t="str">
        <f>IFERROR(__xludf.DUMMYFUNCTION("GOOGLETRANSLATE(C13328, ""en"", ""fa"")
"),"چگونه می‌توانم قاب‌های عکس استفاده نشده را در سازمان‌دهنده‌های زیبای جواهرات DIY استفاده کنم؟")</f>
        <v>چگونه می‌توانم قاب‌های عکس استفاده نشده را در سازمان‌دهنده‌های زیبای جواهرات DIY استفاده کنم؟</v>
      </c>
      <c r="H13328" s="1"/>
      <c r="I13328" s="1"/>
      <c r="J13328" s="1"/>
      <c r="K13328" s="1"/>
      <c r="L13328" s="1"/>
      <c r="M13328" s="1"/>
      <c r="N13328" s="1"/>
      <c r="O13328" s="1"/>
      <c r="P13328" s="1"/>
      <c r="Q13328" s="1"/>
      <c r="R13328" s="1"/>
      <c r="S13328" s="1"/>
      <c r="T13328" s="1"/>
      <c r="U13328" s="1"/>
      <c r="V13328" s="1"/>
      <c r="W13328" s="1"/>
      <c r="X13328" s="1"/>
      <c r="Y13328" s="1"/>
      <c r="Z13328" s="1"/>
      <c r="AA13328" s="1"/>
      <c r="AB13328" s="1"/>
    </row>
    <row r="13329" ht="50.25" customHeight="1">
      <c r="A13329" s="12">
        <v>13325.0</v>
      </c>
      <c r="B13329" s="13" t="s">
        <v>12594</v>
      </c>
      <c r="C13329" s="14" t="s">
        <v>12698</v>
      </c>
      <c r="D13329" s="1"/>
      <c r="E13329" s="1"/>
      <c r="F13329" s="1" t="str">
        <f>IFERROR(__xludf.DUMMYFUNCTION("GOOGLETRANSLATE(B13329, ""en"", ""fa"")
"),"صنایع دستی و پروژه های DIY")</f>
        <v>صنایع دستی و پروژه های DIY</v>
      </c>
      <c r="G13329" s="1" t="str">
        <f>IFERROR(__xludf.DUMMYFUNCTION("GOOGLETRANSLATE(C13329, ""en"", ""fa"")
"),"آیا می توانید تکنیک های DIY را برای تهیه پاتپوری معطر خانگی با گل های خشک پیشنهاد دهید؟")</f>
        <v>آیا می توانید تکنیک های DIY را برای تهیه پاتپوری معطر خانگی با گل های خشک پیشنهاد دهید؟</v>
      </c>
      <c r="H13329" s="1"/>
      <c r="I13329" s="1"/>
      <c r="J13329" s="1"/>
      <c r="K13329" s="1"/>
      <c r="L13329" s="1"/>
      <c r="M13329" s="1"/>
      <c r="N13329" s="1"/>
      <c r="O13329" s="1"/>
      <c r="P13329" s="1"/>
      <c r="Q13329" s="1"/>
      <c r="R13329" s="1"/>
      <c r="S13329" s="1"/>
      <c r="T13329" s="1"/>
      <c r="U13329" s="1"/>
      <c r="V13329" s="1"/>
      <c r="W13329" s="1"/>
      <c r="X13329" s="1"/>
      <c r="Y13329" s="1"/>
      <c r="Z13329" s="1"/>
      <c r="AA13329" s="1"/>
      <c r="AB13329" s="1"/>
    </row>
    <row r="13330" ht="50.25" customHeight="1">
      <c r="A13330" s="12">
        <v>13326.0</v>
      </c>
      <c r="B13330" s="13" t="s">
        <v>12594</v>
      </c>
      <c r="C13330" s="14" t="s">
        <v>12699</v>
      </c>
      <c r="D13330" s="1"/>
      <c r="E13330" s="1"/>
      <c r="F13330" s="1" t="str">
        <f>IFERROR(__xludf.DUMMYFUNCTION("GOOGLETRANSLATE(B13330, ""en"", ""fa"")
"),"صنایع دستی و پروژه های DIY")</f>
        <v>صنایع دستی و پروژه های DIY</v>
      </c>
      <c r="G13330" s="1" t="str">
        <f>IFERROR(__xludf.DUMMYFUNCTION("GOOGLETRANSLATE(C13330, ""en"", ""fa"")
"),"مراحل ایجاد یک تابلوی دید شخصی DIY برای تعیین هدف و انگیزه چیست؟")</f>
        <v>مراحل ایجاد یک تابلوی دید شخصی DIY برای تعیین هدف و انگیزه چیست؟</v>
      </c>
      <c r="H13330" s="1"/>
      <c r="I13330" s="1"/>
      <c r="J13330" s="1"/>
      <c r="K13330" s="1"/>
      <c r="L13330" s="1"/>
      <c r="M13330" s="1"/>
      <c r="N13330" s="1"/>
      <c r="O13330" s="1"/>
      <c r="P13330" s="1"/>
      <c r="Q13330" s="1"/>
      <c r="R13330" s="1"/>
      <c r="S13330" s="1"/>
      <c r="T13330" s="1"/>
      <c r="U13330" s="1"/>
      <c r="V13330" s="1"/>
      <c r="W13330" s="1"/>
      <c r="X13330" s="1"/>
      <c r="Y13330" s="1"/>
      <c r="Z13330" s="1"/>
      <c r="AA13330" s="1"/>
      <c r="AB13330" s="1"/>
    </row>
    <row r="13331" ht="50.25" customHeight="1">
      <c r="A13331" s="12">
        <v>13327.0</v>
      </c>
      <c r="B13331" s="13" t="s">
        <v>12594</v>
      </c>
      <c r="C13331" s="14" t="s">
        <v>12700</v>
      </c>
      <c r="D13331" s="1"/>
      <c r="E13331" s="1"/>
      <c r="F13331" s="1" t="str">
        <f>IFERROR(__xludf.DUMMYFUNCTION("GOOGLETRANSLATE(B13331, ""en"", ""fa"")
"),"صنایع دستی و پروژه های DIY")</f>
        <v>صنایع دستی و پروژه های DIY</v>
      </c>
      <c r="G13331" s="1" t="str">
        <f>IFERROR(__xludf.DUMMYFUNCTION("GOOGLETRANSLATE(C13331, ""en"", ""fa"")
"),"چگونه می توانم برای دوست پشمالویم تخت حیوان خانگی بزرگ شده خود را طراحی و بسازم؟")</f>
        <v>چگونه می توانم برای دوست پشمالویم تخت حیوان خانگی بزرگ شده خود را طراحی و بسازم؟</v>
      </c>
      <c r="H13331" s="1"/>
      <c r="I13331" s="1"/>
      <c r="J13331" s="1"/>
      <c r="K13331" s="1"/>
      <c r="L13331" s="1"/>
      <c r="M13331" s="1"/>
      <c r="N13331" s="1"/>
      <c r="O13331" s="1"/>
      <c r="P13331" s="1"/>
      <c r="Q13331" s="1"/>
      <c r="R13331" s="1"/>
      <c r="S13331" s="1"/>
      <c r="T13331" s="1"/>
      <c r="U13331" s="1"/>
      <c r="V13331" s="1"/>
      <c r="W13331" s="1"/>
      <c r="X13331" s="1"/>
      <c r="Y13331" s="1"/>
      <c r="Z13331" s="1"/>
      <c r="AA13331" s="1"/>
      <c r="AB13331" s="1"/>
    </row>
    <row r="13332" ht="50.25" customHeight="1">
      <c r="A13332" s="12">
        <v>13328.0</v>
      </c>
      <c r="B13332" s="13" t="s">
        <v>12594</v>
      </c>
      <c r="C13332" s="14" t="s">
        <v>12701</v>
      </c>
      <c r="D13332" s="1"/>
      <c r="E13332" s="1"/>
      <c r="F13332" s="1" t="str">
        <f>IFERROR(__xludf.DUMMYFUNCTION("GOOGLETRANSLATE(B13332, ""en"", ""fa"")
"),"صنایع دستی و پروژه های DIY")</f>
        <v>صنایع دستی و پروژه های DIY</v>
      </c>
      <c r="G13332" s="1" t="str">
        <f>IFERROR(__xludf.DUMMYFUNCTION("GOOGLETRANSLATE(C13332, ""en"", ""fa"")
"),"آیا می توانید ایده های سرگرم کننده و سازگار با محیط زیست را برای ایجاد خانه های پرنده DIY با استفاده از مواد بازیافتی توصیه کنید؟")</f>
        <v>آیا می توانید ایده های سرگرم کننده و سازگار با محیط زیست را برای ایجاد خانه های پرنده DIY با استفاده از مواد بازیافتی توصیه کنید؟</v>
      </c>
      <c r="H13332" s="1"/>
      <c r="I13332" s="1"/>
      <c r="J13332" s="1"/>
      <c r="K13332" s="1"/>
      <c r="L13332" s="1"/>
      <c r="M13332" s="1"/>
      <c r="N13332" s="1"/>
      <c r="O13332" s="1"/>
      <c r="P13332" s="1"/>
      <c r="Q13332" s="1"/>
      <c r="R13332" s="1"/>
      <c r="S13332" s="1"/>
      <c r="T13332" s="1"/>
      <c r="U13332" s="1"/>
      <c r="V13332" s="1"/>
      <c r="W13332" s="1"/>
      <c r="X13332" s="1"/>
      <c r="Y13332" s="1"/>
      <c r="Z13332" s="1"/>
      <c r="AA13332" s="1"/>
      <c r="AB13332" s="1"/>
    </row>
    <row r="13333" ht="50.25" customHeight="1">
      <c r="A13333" s="12">
        <v>13329.0</v>
      </c>
      <c r="B13333" s="13" t="s">
        <v>12594</v>
      </c>
      <c r="C13333" s="14" t="s">
        <v>12702</v>
      </c>
      <c r="D13333" s="1"/>
      <c r="E13333" s="1"/>
      <c r="F13333" s="1" t="str">
        <f>IFERROR(__xludf.DUMMYFUNCTION("GOOGLETRANSLATE(B13333, ""en"", ""fa"")
"),"صنایع دستی و پروژه های DIY")</f>
        <v>صنایع دستی و پروژه های DIY</v>
      </c>
      <c r="G13333" s="1" t="str">
        <f>IFERROR(__xludf.DUMMYFUNCTION("GOOGLETRANSLATE(C13333, ""en"", ""fa"")
"),"چند پروژه DIY آسان و لذت بخش برای رنگ آمیزی و تزئین کاشت سرامیکی چیست؟")</f>
        <v>چند پروژه DIY آسان و لذت بخش برای رنگ آمیزی و تزئین کاشت سرامیکی چیست؟</v>
      </c>
      <c r="H13333" s="1"/>
      <c r="I13333" s="1"/>
      <c r="J13333" s="1"/>
      <c r="K13333" s="1"/>
      <c r="L13333" s="1"/>
      <c r="M13333" s="1"/>
      <c r="N13333" s="1"/>
      <c r="O13333" s="1"/>
      <c r="P13333" s="1"/>
      <c r="Q13333" s="1"/>
      <c r="R13333" s="1"/>
      <c r="S13333" s="1"/>
      <c r="T13333" s="1"/>
      <c r="U13333" s="1"/>
      <c r="V13333" s="1"/>
      <c r="W13333" s="1"/>
      <c r="X13333" s="1"/>
      <c r="Y13333" s="1"/>
      <c r="Z13333" s="1"/>
      <c r="AA13333" s="1"/>
      <c r="AB13333" s="1"/>
    </row>
    <row r="13334" ht="50.25" customHeight="1">
      <c r="A13334" s="12">
        <v>13330.0</v>
      </c>
      <c r="B13334" s="13" t="s">
        <v>12594</v>
      </c>
      <c r="C13334" s="14" t="s">
        <v>12703</v>
      </c>
      <c r="D13334" s="1"/>
      <c r="E13334" s="1"/>
      <c r="F13334" s="1" t="str">
        <f>IFERROR(__xludf.DUMMYFUNCTION("GOOGLETRANSLATE(B13334, ""en"", ""fa"")
"),"صنایع دستی و پروژه های DIY")</f>
        <v>صنایع دستی و پروژه های DIY</v>
      </c>
      <c r="G13334" s="1" t="str">
        <f>IFERROR(__xludf.DUMMYFUNCTION("GOOGLETRANSLATE(C13334, ""en"", ""fa"")
"),"چگونه می توانم شیشه های ساده شیشه ای را با چراغ های چای به فانوس های تزئینی DIY تبدیل کنم؟")</f>
        <v>چگونه می توانم شیشه های ساده شیشه ای را با چراغ های چای به فانوس های تزئینی DIY تبدیل کنم؟</v>
      </c>
      <c r="H13334" s="1"/>
      <c r="I13334" s="1"/>
      <c r="J13334" s="1"/>
      <c r="K13334" s="1"/>
      <c r="L13334" s="1"/>
      <c r="M13334" s="1"/>
      <c r="N13334" s="1"/>
      <c r="O13334" s="1"/>
      <c r="P13334" s="1"/>
      <c r="Q13334" s="1"/>
      <c r="R13334" s="1"/>
      <c r="S13334" s="1"/>
      <c r="T13334" s="1"/>
      <c r="U13334" s="1"/>
      <c r="V13334" s="1"/>
      <c r="W13334" s="1"/>
      <c r="X13334" s="1"/>
      <c r="Y13334" s="1"/>
      <c r="Z13334" s="1"/>
      <c r="AA13334" s="1"/>
      <c r="AB13334" s="1"/>
    </row>
    <row r="13335" ht="50.25" customHeight="1">
      <c r="A13335" s="12">
        <v>13331.0</v>
      </c>
      <c r="B13335" s="13" t="s">
        <v>12594</v>
      </c>
      <c r="C13335" s="14" t="s">
        <v>12704</v>
      </c>
      <c r="D13335" s="1"/>
      <c r="E13335" s="1"/>
      <c r="F13335" s="1" t="str">
        <f>IFERROR(__xludf.DUMMYFUNCTION("GOOGLETRANSLATE(B13335, ""en"", ""fa"")
"),"صنایع دستی و پروژه های DIY")</f>
        <v>صنایع دستی و پروژه های DIY</v>
      </c>
      <c r="G13335" s="1" t="str">
        <f>IFERROR(__xludf.DUMMYFUNCTION("GOOGLETRANSLATE(C13335, ""en"", ""fa"")
"),"آیا می توانید تکنیک های DIY را برای تهیه نمک حمام خانگی با مزایای درمانی پیشنهاد دهید؟")</f>
        <v>آیا می توانید تکنیک های DIY را برای تهیه نمک حمام خانگی با مزایای درمانی پیشنهاد دهید؟</v>
      </c>
      <c r="H13335" s="1"/>
      <c r="I13335" s="1"/>
      <c r="J13335" s="1"/>
      <c r="K13335" s="1"/>
      <c r="L13335" s="1"/>
      <c r="M13335" s="1"/>
      <c r="N13335" s="1"/>
      <c r="O13335" s="1"/>
      <c r="P13335" s="1"/>
      <c r="Q13335" s="1"/>
      <c r="R13335" s="1"/>
      <c r="S13335" s="1"/>
      <c r="T13335" s="1"/>
      <c r="U13335" s="1"/>
      <c r="V13335" s="1"/>
      <c r="W13335" s="1"/>
      <c r="X13335" s="1"/>
      <c r="Y13335" s="1"/>
      <c r="Z13335" s="1"/>
      <c r="AA13335" s="1"/>
      <c r="AB13335" s="1"/>
    </row>
    <row r="13336" ht="50.25" customHeight="1">
      <c r="A13336" s="12">
        <v>13332.0</v>
      </c>
      <c r="B13336" s="13" t="s">
        <v>12594</v>
      </c>
      <c r="C13336" s="14" t="s">
        <v>12663</v>
      </c>
      <c r="D13336" s="1"/>
      <c r="E13336" s="1"/>
      <c r="F13336" s="1" t="str">
        <f>IFERROR(__xludf.DUMMYFUNCTION("GOOGLETRANSLATE(B13336, ""en"", ""fa"")
"),"صنایع دستی و پروژه های DIY")</f>
        <v>صنایع دستی و پروژه های DIY</v>
      </c>
      <c r="G13336" s="1" t="str">
        <f>IFERROR(__xludf.DUMMYFUNCTION("GOOGLETRANSLATE(C13336, ""en"", ""fa"")
"),"مراحل ایجاد یک سازمان دهنده نمایش جواهرات DIY با طراحی سفارشی چیست؟")</f>
        <v>مراحل ایجاد یک سازمان دهنده نمایش جواهرات DIY با طراحی سفارشی چیست؟</v>
      </c>
      <c r="H13336" s="1"/>
      <c r="I13336" s="1"/>
      <c r="J13336" s="1"/>
      <c r="K13336" s="1"/>
      <c r="L13336" s="1"/>
      <c r="M13336" s="1"/>
      <c r="N13336" s="1"/>
      <c r="O13336" s="1"/>
      <c r="P13336" s="1"/>
      <c r="Q13336" s="1"/>
      <c r="R13336" s="1"/>
      <c r="S13336" s="1"/>
      <c r="T13336" s="1"/>
      <c r="U13336" s="1"/>
      <c r="V13336" s="1"/>
      <c r="W13336" s="1"/>
      <c r="X13336" s="1"/>
      <c r="Y13336" s="1"/>
      <c r="Z13336" s="1"/>
      <c r="AA13336" s="1"/>
      <c r="AB13336" s="1"/>
    </row>
    <row r="13337" ht="50.25" customHeight="1">
      <c r="A13337" s="12">
        <v>13333.0</v>
      </c>
      <c r="B13337" s="13" t="s">
        <v>12594</v>
      </c>
      <c r="C13337" s="14" t="s">
        <v>12664</v>
      </c>
      <c r="D13337" s="1"/>
      <c r="E13337" s="1"/>
      <c r="F13337" s="1" t="str">
        <f>IFERROR(__xludf.DUMMYFUNCTION("GOOGLETRANSLATE(B13337, ""en"", ""fa"")
"),"صنایع دستی و پروژه های DIY")</f>
        <v>صنایع دستی و پروژه های DIY</v>
      </c>
      <c r="G13337" s="1" t="str">
        <f>IFERROR(__xludf.DUMMYFUNCTION("GOOGLETRANSLATE(C13337, ""en"", ""fa"")
"),"چگونه ماسک صورت پارچه ای خود را با الگوها و سبک های منحصر به فرد طراحی و بدوزم؟")</f>
        <v>چگونه ماسک صورت پارچه ای خود را با الگوها و سبک های منحصر به فرد طراحی و بدوزم؟</v>
      </c>
      <c r="H13337" s="1"/>
      <c r="I13337" s="1"/>
      <c r="J13337" s="1"/>
      <c r="K13337" s="1"/>
      <c r="L13337" s="1"/>
      <c r="M13337" s="1"/>
      <c r="N13337" s="1"/>
      <c r="O13337" s="1"/>
      <c r="P13337" s="1"/>
      <c r="Q13337" s="1"/>
      <c r="R13337" s="1"/>
      <c r="S13337" s="1"/>
      <c r="T13337" s="1"/>
      <c r="U13337" s="1"/>
      <c r="V13337" s="1"/>
      <c r="W13337" s="1"/>
      <c r="X13337" s="1"/>
      <c r="Y13337" s="1"/>
      <c r="Z13337" s="1"/>
      <c r="AA13337" s="1"/>
      <c r="AB13337" s="1"/>
    </row>
    <row r="13338" ht="50.25" customHeight="1">
      <c r="A13338" s="12">
        <v>13334.0</v>
      </c>
      <c r="B13338" s="13" t="s">
        <v>12594</v>
      </c>
      <c r="C13338" s="14" t="s">
        <v>12665</v>
      </c>
      <c r="D13338" s="1"/>
      <c r="E13338" s="1"/>
      <c r="F13338" s="1" t="str">
        <f>IFERROR(__xludf.DUMMYFUNCTION("GOOGLETRANSLATE(B13338, ""en"", ""fa"")
"),"صنایع دستی و پروژه های DIY")</f>
        <v>صنایع دستی و پروژه های DIY</v>
      </c>
      <c r="G13338" s="1" t="str">
        <f>IFERROR(__xludf.DUMMYFUNCTION("GOOGLETRANSLATE(C13338, ""en"", ""fa"")
"),"آیا می‌توانید ایده‌های خلاقانه‌ای برای ساخت جواهرات و لوازم جانبی کاغذی DIY توصیه کنید؟")</f>
        <v>آیا می‌توانید ایده‌های خلاقانه‌ای برای ساخت جواهرات و لوازم جانبی کاغذی DIY توصیه کنید؟</v>
      </c>
      <c r="H13338" s="1"/>
      <c r="I13338" s="1"/>
      <c r="J13338" s="1"/>
      <c r="K13338" s="1"/>
      <c r="L13338" s="1"/>
      <c r="M13338" s="1"/>
      <c r="N13338" s="1"/>
      <c r="O13338" s="1"/>
      <c r="P13338" s="1"/>
      <c r="Q13338" s="1"/>
      <c r="R13338" s="1"/>
      <c r="S13338" s="1"/>
      <c r="T13338" s="1"/>
      <c r="U13338" s="1"/>
      <c r="V13338" s="1"/>
      <c r="W13338" s="1"/>
      <c r="X13338" s="1"/>
      <c r="Y13338" s="1"/>
      <c r="Z13338" s="1"/>
      <c r="AA13338" s="1"/>
      <c r="AB13338" s="1"/>
    </row>
    <row r="13339" ht="50.25" customHeight="1">
      <c r="A13339" s="12">
        <v>13335.0</v>
      </c>
      <c r="B13339" s="13" t="s">
        <v>12594</v>
      </c>
      <c r="C13339" s="14" t="s">
        <v>12666</v>
      </c>
      <c r="D13339" s="1"/>
      <c r="E13339" s="1"/>
      <c r="F13339" s="1" t="str">
        <f>IFERROR(__xludf.DUMMYFUNCTION("GOOGLETRANSLATE(B13339, ""en"", ""fa"")
"),"صنایع دستی و پروژه های DIY")</f>
        <v>صنایع دستی و پروژه های DIY</v>
      </c>
      <c r="G13339" s="1" t="str">
        <f>IFERROR(__xludf.DUMMYFUNCTION("GOOGLETRANSLATE(C13339, ""en"", ""fa"")
"),"چند ایده سرگرم کننده و دوستدار محیط زیست برای ایجاد آویزهای گیاهی DIY با استفاده از مواد بازیافتی چیست؟")</f>
        <v>چند ایده سرگرم کننده و دوستدار محیط زیست برای ایجاد آویزهای گیاهی DIY با استفاده از مواد بازیافتی چیست؟</v>
      </c>
      <c r="H13339" s="1"/>
      <c r="I13339" s="1"/>
      <c r="J13339" s="1"/>
      <c r="K13339" s="1"/>
      <c r="L13339" s="1"/>
      <c r="M13339" s="1"/>
      <c r="N13339" s="1"/>
      <c r="O13339" s="1"/>
      <c r="P13339" s="1"/>
      <c r="Q13339" s="1"/>
      <c r="R13339" s="1"/>
      <c r="S13339" s="1"/>
      <c r="T13339" s="1"/>
      <c r="U13339" s="1"/>
      <c r="V13339" s="1"/>
      <c r="W13339" s="1"/>
      <c r="X13339" s="1"/>
      <c r="Y13339" s="1"/>
      <c r="Z13339" s="1"/>
      <c r="AA13339" s="1"/>
      <c r="AB13339" s="1"/>
    </row>
    <row r="13340" ht="50.25" customHeight="1">
      <c r="A13340" s="12">
        <v>13336.0</v>
      </c>
      <c r="B13340" s="13" t="s">
        <v>12594</v>
      </c>
      <c r="C13340" s="14" t="s">
        <v>12667</v>
      </c>
      <c r="D13340" s="1"/>
      <c r="E13340" s="1"/>
      <c r="F13340" s="1" t="str">
        <f>IFERROR(__xludf.DUMMYFUNCTION("GOOGLETRANSLATE(B13340, ""en"", ""fa"")
"),"صنایع دستی و پروژه های DIY")</f>
        <v>صنایع دستی و پروژه های DIY</v>
      </c>
      <c r="G13340" s="1" t="str">
        <f>IFERROR(__xludf.DUMMYFUNCTION("GOOGLETRANSLATE(C13340, ""en"", ""fa"")
"),"چگونه می توانم جعبه های چوبی ساده را به محلول های ذخیره سازی روستایی و کاربردی تبدیل کنم؟")</f>
        <v>چگونه می توانم جعبه های چوبی ساده را به محلول های ذخیره سازی روستایی و کاربردی تبدیل کنم؟</v>
      </c>
      <c r="H13340" s="1"/>
      <c r="I13340" s="1"/>
      <c r="J13340" s="1"/>
      <c r="K13340" s="1"/>
      <c r="L13340" s="1"/>
      <c r="M13340" s="1"/>
      <c r="N13340" s="1"/>
      <c r="O13340" s="1"/>
      <c r="P13340" s="1"/>
      <c r="Q13340" s="1"/>
      <c r="R13340" s="1"/>
      <c r="S13340" s="1"/>
      <c r="T13340" s="1"/>
      <c r="U13340" s="1"/>
      <c r="V13340" s="1"/>
      <c r="W13340" s="1"/>
      <c r="X13340" s="1"/>
      <c r="Y13340" s="1"/>
      <c r="Z13340" s="1"/>
      <c r="AA13340" s="1"/>
      <c r="AB13340" s="1"/>
    </row>
    <row r="13341" ht="50.25" customHeight="1">
      <c r="A13341" s="12">
        <v>13337.0</v>
      </c>
      <c r="B13341" s="13" t="s">
        <v>12594</v>
      </c>
      <c r="C13341" s="14" t="s">
        <v>12668</v>
      </c>
      <c r="D13341" s="1"/>
      <c r="E13341" s="1"/>
      <c r="F13341" s="1" t="str">
        <f>IFERROR(__xludf.DUMMYFUNCTION("GOOGLETRANSLATE(B13341, ""en"", ""fa"")
"),"صنایع دستی و پروژه های DIY")</f>
        <v>صنایع دستی و پروژه های DIY</v>
      </c>
      <c r="G13341" s="1" t="str">
        <f>IFERROR(__xludf.DUMMYFUNCTION("GOOGLETRANSLATE(C13341, ""en"", ""fa"")
"),"آیا می توانید تکنیک های DIY برای ساخت شمع های معطر خانگی با مواد طبیعی را پیشنهاد دهید؟")</f>
        <v>آیا می توانید تکنیک های DIY برای ساخت شمع های معطر خانگی با مواد طبیعی را پیشنهاد دهید؟</v>
      </c>
      <c r="H13341" s="1"/>
      <c r="I13341" s="1"/>
      <c r="J13341" s="1"/>
      <c r="K13341" s="1"/>
      <c r="L13341" s="1"/>
      <c r="M13341" s="1"/>
      <c r="N13341" s="1"/>
      <c r="O13341" s="1"/>
      <c r="P13341" s="1"/>
      <c r="Q13341" s="1"/>
      <c r="R13341" s="1"/>
      <c r="S13341" s="1"/>
      <c r="T13341" s="1"/>
      <c r="U13341" s="1"/>
      <c r="V13341" s="1"/>
      <c r="W13341" s="1"/>
      <c r="X13341" s="1"/>
      <c r="Y13341" s="1"/>
      <c r="Z13341" s="1"/>
      <c r="AA13341" s="1"/>
      <c r="AB13341" s="1"/>
    </row>
    <row r="13342" ht="50.25" customHeight="1">
      <c r="A13342" s="12">
        <v>13338.0</v>
      </c>
      <c r="B13342" s="13" t="s">
        <v>12594</v>
      </c>
      <c r="C13342" s="14" t="s">
        <v>12669</v>
      </c>
      <c r="D13342" s="1"/>
      <c r="E13342" s="1"/>
      <c r="F13342" s="1" t="str">
        <f>IFERROR(__xludf.DUMMYFUNCTION("GOOGLETRANSLATE(B13342, ""en"", ""fa"")
"),"صنایع دستی و پروژه های DIY")</f>
        <v>صنایع دستی و پروژه های DIY</v>
      </c>
      <c r="G13342" s="1" t="str">
        <f>IFERROR(__xludf.DUMMYFUNCTION("GOOGLETRANSLATE(C13342, ""en"", ""fa"")
"),"مراحل ایجاد یک مجله سپاسگزاری شخصی DIY برای بازتاب روزانه چیست؟")</f>
        <v>مراحل ایجاد یک مجله سپاسگزاری شخصی DIY برای بازتاب روزانه چیست؟</v>
      </c>
      <c r="H13342" s="1"/>
      <c r="I13342" s="1"/>
      <c r="J13342" s="1"/>
      <c r="K13342" s="1"/>
      <c r="L13342" s="1"/>
      <c r="M13342" s="1"/>
      <c r="N13342" s="1"/>
      <c r="O13342" s="1"/>
      <c r="P13342" s="1"/>
      <c r="Q13342" s="1"/>
      <c r="R13342" s="1"/>
      <c r="S13342" s="1"/>
      <c r="T13342" s="1"/>
      <c r="U13342" s="1"/>
      <c r="V13342" s="1"/>
      <c r="W13342" s="1"/>
      <c r="X13342" s="1"/>
      <c r="Y13342" s="1"/>
      <c r="Z13342" s="1"/>
      <c r="AA13342" s="1"/>
      <c r="AB13342" s="1"/>
    </row>
    <row r="13343" ht="50.25" customHeight="1">
      <c r="A13343" s="12">
        <v>13339.0</v>
      </c>
      <c r="B13343" s="13" t="s">
        <v>12594</v>
      </c>
      <c r="C13343" s="14" t="s">
        <v>12670</v>
      </c>
      <c r="D13343" s="1"/>
      <c r="E13343" s="1"/>
      <c r="F13343" s="1" t="str">
        <f>IFERROR(__xludf.DUMMYFUNCTION("GOOGLETRANSLATE(B13343, ""en"", ""fa"")
"),"صنایع دستی و پروژه های DIY")</f>
        <v>صنایع دستی و پروژه های DIY</v>
      </c>
      <c r="G13343" s="1" t="str">
        <f>IFERROR(__xludf.DUMMYFUNCTION("GOOGLETRANSLATE(C13343, ""en"", ""fa"")
"),"چگونه می توانم یک آتشدان DIY در فضای باز برای مجالس دنج و برشته کردن گل ختمی بسازم؟")</f>
        <v>چگونه می توانم یک آتشدان DIY در فضای باز برای مجالس دنج و برشته کردن گل ختمی بسازم؟</v>
      </c>
      <c r="H13343" s="1"/>
      <c r="I13343" s="1"/>
      <c r="J13343" s="1"/>
      <c r="K13343" s="1"/>
      <c r="L13343" s="1"/>
      <c r="M13343" s="1"/>
      <c r="N13343" s="1"/>
      <c r="O13343" s="1"/>
      <c r="P13343" s="1"/>
      <c r="Q13343" s="1"/>
      <c r="R13343" s="1"/>
      <c r="S13343" s="1"/>
      <c r="T13343" s="1"/>
      <c r="U13343" s="1"/>
      <c r="V13343" s="1"/>
      <c r="W13343" s="1"/>
      <c r="X13343" s="1"/>
      <c r="Y13343" s="1"/>
      <c r="Z13343" s="1"/>
      <c r="AA13343" s="1"/>
      <c r="AB13343" s="1"/>
    </row>
    <row r="13344" ht="50.25" customHeight="1">
      <c r="A13344" s="12">
        <v>13340.0</v>
      </c>
      <c r="B13344" s="13" t="s">
        <v>12594</v>
      </c>
      <c r="C13344" s="14" t="s">
        <v>12671</v>
      </c>
      <c r="D13344" s="1"/>
      <c r="E13344" s="1"/>
      <c r="F13344" s="1" t="str">
        <f>IFERROR(__xludf.DUMMYFUNCTION("GOOGLETRANSLATE(B13344, ""en"", ""fa"")
"),"صنایع دستی و پروژه های DIY")</f>
        <v>صنایع دستی و پروژه های DIY</v>
      </c>
      <c r="G13344" s="1" t="str">
        <f>IFERROR(__xludf.DUMMYFUNCTION("GOOGLETRANSLATE(C13344, ""en"", ""fa"")
"),"آیا می‌توانید ایده‌های نوآورانه‌ای را برای ساخت دیوارپوش‌های بافته شده خود با مواد مختلف پیشنهاد دهید؟")</f>
        <v>آیا می‌توانید ایده‌های نوآورانه‌ای را برای ساخت دیوارپوش‌های بافته شده خود با مواد مختلف پیشنهاد دهید؟</v>
      </c>
      <c r="H13344" s="1"/>
      <c r="I13344" s="1"/>
      <c r="J13344" s="1"/>
      <c r="K13344" s="1"/>
      <c r="L13344" s="1"/>
      <c r="M13344" s="1"/>
      <c r="N13344" s="1"/>
      <c r="O13344" s="1"/>
      <c r="P13344" s="1"/>
      <c r="Q13344" s="1"/>
      <c r="R13344" s="1"/>
      <c r="S13344" s="1"/>
      <c r="T13344" s="1"/>
      <c r="U13344" s="1"/>
      <c r="V13344" s="1"/>
      <c r="W13344" s="1"/>
      <c r="X13344" s="1"/>
      <c r="Y13344" s="1"/>
      <c r="Z13344" s="1"/>
      <c r="AA13344" s="1"/>
      <c r="AB13344" s="1"/>
    </row>
    <row r="13345" ht="50.25" customHeight="1">
      <c r="A13345" s="12">
        <v>13341.0</v>
      </c>
      <c r="B13345" s="13" t="s">
        <v>12594</v>
      </c>
      <c r="C13345" s="14" t="s">
        <v>12672</v>
      </c>
      <c r="D13345" s="1"/>
      <c r="E13345" s="1"/>
      <c r="F13345" s="1" t="str">
        <f>IFERROR(__xludf.DUMMYFUNCTION("GOOGLETRANSLATE(B13345, ""en"", ""fa"")
"),"صنایع دستی و پروژه های DIY")</f>
        <v>صنایع دستی و پروژه های DIY</v>
      </c>
      <c r="G13345" s="1" t="str">
        <f>IFERROR(__xludf.DUMMYFUNCTION("GOOGLETRANSLATE(C13345, ""en"", ""fa"")
"),"چند پروژه آسان و لذت بخش DIY برای نقاشی و تزئین گلدان های ترا کوتا چیست؟")</f>
        <v>چند پروژه آسان و لذت بخش DIY برای نقاشی و تزئین گلدان های ترا کوتا چیست؟</v>
      </c>
      <c r="H13345" s="1"/>
      <c r="I13345" s="1"/>
      <c r="J13345" s="1"/>
      <c r="K13345" s="1"/>
      <c r="L13345" s="1"/>
      <c r="M13345" s="1"/>
      <c r="N13345" s="1"/>
      <c r="O13345" s="1"/>
      <c r="P13345" s="1"/>
      <c r="Q13345" s="1"/>
      <c r="R13345" s="1"/>
      <c r="S13345" s="1"/>
      <c r="T13345" s="1"/>
      <c r="U13345" s="1"/>
      <c r="V13345" s="1"/>
      <c r="W13345" s="1"/>
      <c r="X13345" s="1"/>
      <c r="Y13345" s="1"/>
      <c r="Z13345" s="1"/>
      <c r="AA13345" s="1"/>
      <c r="AB13345" s="1"/>
    </row>
    <row r="13346" ht="50.25" customHeight="1">
      <c r="A13346" s="12">
        <v>13342.0</v>
      </c>
      <c r="B13346" s="13" t="s">
        <v>12594</v>
      </c>
      <c r="C13346" s="14" t="s">
        <v>12673</v>
      </c>
      <c r="D13346" s="1"/>
      <c r="E13346" s="1"/>
      <c r="F13346" s="1" t="str">
        <f>IFERROR(__xludf.DUMMYFUNCTION("GOOGLETRANSLATE(B13346, ""en"", ""fa"")
"),"صنایع دستی و پروژه های DIY")</f>
        <v>صنایع دستی و پروژه های DIY</v>
      </c>
      <c r="G13346" s="1" t="str">
        <f>IFERROR(__xludf.DUMMYFUNCTION("GOOGLETRANSLATE(C13346, ""en"", ""fa"")
"),"چگونه می توانم چوب پنبه های شراب قدیمی را به صنایع دستی منحصر به فرد و کاربردی تبدیل کنم؟")</f>
        <v>چگونه می توانم چوب پنبه های شراب قدیمی را به صنایع دستی منحصر به فرد و کاربردی تبدیل کنم؟</v>
      </c>
      <c r="H13346" s="1"/>
      <c r="I13346" s="1"/>
      <c r="J13346" s="1"/>
      <c r="K13346" s="1"/>
      <c r="L13346" s="1"/>
      <c r="M13346" s="1"/>
      <c r="N13346" s="1"/>
      <c r="O13346" s="1"/>
      <c r="P13346" s="1"/>
      <c r="Q13346" s="1"/>
      <c r="R13346" s="1"/>
      <c r="S13346" s="1"/>
      <c r="T13346" s="1"/>
      <c r="U13346" s="1"/>
      <c r="V13346" s="1"/>
      <c r="W13346" s="1"/>
      <c r="X13346" s="1"/>
      <c r="Y13346" s="1"/>
      <c r="Z13346" s="1"/>
      <c r="AA13346" s="1"/>
      <c r="AB13346" s="1"/>
    </row>
    <row r="13347" ht="50.25" customHeight="1">
      <c r="A13347" s="12">
        <v>13343.0</v>
      </c>
      <c r="B13347" s="13" t="s">
        <v>12594</v>
      </c>
      <c r="C13347" s="14" t="s">
        <v>12674</v>
      </c>
      <c r="D13347" s="1"/>
      <c r="E13347" s="1"/>
      <c r="F13347" s="1" t="str">
        <f>IFERROR(__xludf.DUMMYFUNCTION("GOOGLETRANSLATE(B13347, ""en"", ""fa"")
"),"صنایع دستی و پروژه های DIY")</f>
        <v>صنایع دستی و پروژه های DIY</v>
      </c>
      <c r="G13347" s="1" t="str">
        <f>IFERROR(__xludf.DUMMYFUNCTION("GOOGLETRANSLATE(C13347, ""en"", ""fa"")
"),"آیا می توانید تکنیک های DIY برای تهیه کره بدن خانگی با مواد مغذی را پیشنهاد دهید؟")</f>
        <v>آیا می توانید تکنیک های DIY برای تهیه کره بدن خانگی با مواد مغذی را پیشنهاد دهید؟</v>
      </c>
      <c r="H13347" s="1"/>
      <c r="I13347" s="1"/>
      <c r="J13347" s="1"/>
      <c r="K13347" s="1"/>
      <c r="L13347" s="1"/>
      <c r="M13347" s="1"/>
      <c r="N13347" s="1"/>
      <c r="O13347" s="1"/>
      <c r="P13347" s="1"/>
      <c r="Q13347" s="1"/>
      <c r="R13347" s="1"/>
      <c r="S13347" s="1"/>
      <c r="T13347" s="1"/>
      <c r="U13347" s="1"/>
      <c r="V13347" s="1"/>
      <c r="W13347" s="1"/>
      <c r="X13347" s="1"/>
      <c r="Y13347" s="1"/>
      <c r="Z13347" s="1"/>
      <c r="AA13347" s="1"/>
      <c r="AB13347" s="1"/>
    </row>
    <row r="13348" ht="50.25" customHeight="1">
      <c r="A13348" s="12">
        <v>13344.0</v>
      </c>
      <c r="B13348" s="13" t="s">
        <v>12594</v>
      </c>
      <c r="C13348" s="14" t="s">
        <v>12675</v>
      </c>
      <c r="D13348" s="1"/>
      <c r="E13348" s="1"/>
      <c r="F13348" s="1" t="str">
        <f>IFERROR(__xludf.DUMMYFUNCTION("GOOGLETRANSLATE(B13348, ""en"", ""fa"")
"),"صنایع دستی و پروژه های DIY")</f>
        <v>صنایع دستی و پروژه های DIY</v>
      </c>
      <c r="G13348" s="1" t="str">
        <f>IFERROR(__xludf.DUMMYFUNCTION("GOOGLETRANSLATE(C13348, ""en"", ""fa"")
"),"مراحل ایجاد یک پایه تلفن DIY با طراحی سفارشی برای استفاده از هندزفری چیست؟")</f>
        <v>مراحل ایجاد یک پایه تلفن DIY با طراحی سفارشی برای استفاده از هندزفری چیست؟</v>
      </c>
      <c r="H13348" s="1"/>
      <c r="I13348" s="1"/>
      <c r="J13348" s="1"/>
      <c r="K13348" s="1"/>
      <c r="L13348" s="1"/>
      <c r="M13348" s="1"/>
      <c r="N13348" s="1"/>
      <c r="O13348" s="1"/>
      <c r="P13348" s="1"/>
      <c r="Q13348" s="1"/>
      <c r="R13348" s="1"/>
      <c r="S13348" s="1"/>
      <c r="T13348" s="1"/>
      <c r="U13348" s="1"/>
      <c r="V13348" s="1"/>
      <c r="W13348" s="1"/>
      <c r="X13348" s="1"/>
      <c r="Y13348" s="1"/>
      <c r="Z13348" s="1"/>
      <c r="AA13348" s="1"/>
      <c r="AB13348" s="1"/>
    </row>
    <row r="13349" ht="50.25" customHeight="1">
      <c r="A13349" s="12">
        <v>13345.0</v>
      </c>
      <c r="B13349" s="13" t="s">
        <v>12594</v>
      </c>
      <c r="C13349" s="14" t="s">
        <v>12676</v>
      </c>
      <c r="D13349" s="1"/>
      <c r="E13349" s="1"/>
      <c r="F13349" s="1" t="str">
        <f>IFERROR(__xludf.DUMMYFUNCTION("GOOGLETRANSLATE(B13349, ""en"", ""fa"")
"),"صنایع دستی و پروژه های DIY")</f>
        <v>صنایع دستی و پروژه های DIY</v>
      </c>
      <c r="G13349" s="1" t="str">
        <f>IFERROR(__xludf.DUMMYFUNCTION("GOOGLETRANSLATE(C13349, ""en"", ""fa"")
"),"چگونه می توانم بانوج خود را برای استراحت در حیاط خلوت خود طراحی و بسازم؟")</f>
        <v>چگونه می توانم بانوج خود را برای استراحت در حیاط خلوت خود طراحی و بسازم؟</v>
      </c>
      <c r="H13349" s="1"/>
      <c r="I13349" s="1"/>
      <c r="J13349" s="1"/>
      <c r="K13349" s="1"/>
      <c r="L13349" s="1"/>
      <c r="M13349" s="1"/>
      <c r="N13349" s="1"/>
      <c r="O13349" s="1"/>
      <c r="P13349" s="1"/>
      <c r="Q13349" s="1"/>
      <c r="R13349" s="1"/>
      <c r="S13349" s="1"/>
      <c r="T13349" s="1"/>
      <c r="U13349" s="1"/>
      <c r="V13349" s="1"/>
      <c r="W13349" s="1"/>
      <c r="X13349" s="1"/>
      <c r="Y13349" s="1"/>
      <c r="Z13349" s="1"/>
      <c r="AA13349" s="1"/>
      <c r="AB13349" s="1"/>
    </row>
    <row r="13350" ht="50.25" customHeight="1">
      <c r="A13350" s="12">
        <v>13346.0</v>
      </c>
      <c r="B13350" s="13" t="s">
        <v>12594</v>
      </c>
      <c r="C13350" s="14" t="s">
        <v>12677</v>
      </c>
      <c r="D13350" s="1"/>
      <c r="E13350" s="1"/>
      <c r="F13350" s="1" t="str">
        <f>IFERROR(__xludf.DUMMYFUNCTION("GOOGLETRANSLATE(B13350, ""en"", ""fa"")
"),"صنایع دستی و پروژه های DIY")</f>
        <v>صنایع دستی و پروژه های DIY</v>
      </c>
      <c r="G13350" s="1" t="str">
        <f>IFERROR(__xludf.DUMMYFUNCTION("GOOGLETRANSLATE(C13350, ""en"", ""fa"")
"),"آیا می‌توانید ایده‌های خلاقانه‌ای را برای ساخت هنر و طرح‌های گل‌های فشرده شده DIY توصیه کنید؟")</f>
        <v>آیا می‌توانید ایده‌های خلاقانه‌ای را برای ساخت هنر و طرح‌های گل‌های فشرده شده DIY توصیه کنید؟</v>
      </c>
      <c r="H13350" s="1"/>
      <c r="I13350" s="1"/>
      <c r="J13350" s="1"/>
      <c r="K13350" s="1"/>
      <c r="L13350" s="1"/>
      <c r="M13350" s="1"/>
      <c r="N13350" s="1"/>
      <c r="O13350" s="1"/>
      <c r="P13350" s="1"/>
      <c r="Q13350" s="1"/>
      <c r="R13350" s="1"/>
      <c r="S13350" s="1"/>
      <c r="T13350" s="1"/>
      <c r="U13350" s="1"/>
      <c r="V13350" s="1"/>
      <c r="W13350" s="1"/>
      <c r="X13350" s="1"/>
      <c r="Y13350" s="1"/>
      <c r="Z13350" s="1"/>
      <c r="AA13350" s="1"/>
      <c r="AB13350" s="1"/>
    </row>
    <row r="13351" ht="50.25" customHeight="1">
      <c r="A13351" s="12">
        <v>13347.0</v>
      </c>
      <c r="B13351" s="13" t="s">
        <v>12594</v>
      </c>
      <c r="C13351" s="14" t="s">
        <v>12678</v>
      </c>
      <c r="D13351" s="1"/>
      <c r="E13351" s="1"/>
      <c r="F13351" s="1" t="str">
        <f>IFERROR(__xludf.DUMMYFUNCTION("GOOGLETRANSLATE(B13351, ""en"", ""fa"")
"),"صنایع دستی و پروژه های DIY")</f>
        <v>صنایع دستی و پروژه های DIY</v>
      </c>
      <c r="G13351" s="1" t="str">
        <f>IFERROR(__xludf.DUMMYFUNCTION("GOOGLETRANSLATE(C13351, ""en"", ""fa"")
"),"چند ایده نوآورانه برای تبدیل تی شرت های قدیمی به لوازم جانبی مد روز چیست؟")</f>
        <v>چند ایده نوآورانه برای تبدیل تی شرت های قدیمی به لوازم جانبی مد روز چیست؟</v>
      </c>
      <c r="H13351" s="1"/>
      <c r="I13351" s="1"/>
      <c r="J13351" s="1"/>
      <c r="K13351" s="1"/>
      <c r="L13351" s="1"/>
      <c r="M13351" s="1"/>
      <c r="N13351" s="1"/>
      <c r="O13351" s="1"/>
      <c r="P13351" s="1"/>
      <c r="Q13351" s="1"/>
      <c r="R13351" s="1"/>
      <c r="S13351" s="1"/>
      <c r="T13351" s="1"/>
      <c r="U13351" s="1"/>
      <c r="V13351" s="1"/>
      <c r="W13351" s="1"/>
      <c r="X13351" s="1"/>
      <c r="Y13351" s="1"/>
      <c r="Z13351" s="1"/>
      <c r="AA13351" s="1"/>
      <c r="AB13351" s="1"/>
    </row>
    <row r="13352" ht="50.25" customHeight="1">
      <c r="A13352" s="12">
        <v>13348.0</v>
      </c>
      <c r="B13352" s="13" t="s">
        <v>12594</v>
      </c>
      <c r="C13352" s="14" t="s">
        <v>12679</v>
      </c>
      <c r="D13352" s="1"/>
      <c r="E13352" s="1"/>
      <c r="F13352" s="1" t="str">
        <f>IFERROR(__xludf.DUMMYFUNCTION("GOOGLETRANSLATE(B13352, ""en"", ""fa"")
"),"صنایع دستی و پروژه های DIY")</f>
        <v>صنایع دستی و پروژه های DIY</v>
      </c>
      <c r="G13352" s="1" t="str">
        <f>IFERROR(__xludf.DUMMYFUNCTION("GOOGLETRANSLATE(C13352, ""en"", ""fa"")
"),"چگونه می توانم نگهدارنده های نذری شیشه ای ساده را به جا شمعی های خیره کننده DIY تبدیل کنم؟")</f>
        <v>چگونه می توانم نگهدارنده های نذری شیشه ای ساده را به جا شمعی های خیره کننده DIY تبدیل کنم؟</v>
      </c>
      <c r="H13352" s="1"/>
      <c r="I13352" s="1"/>
      <c r="J13352" s="1"/>
      <c r="K13352" s="1"/>
      <c r="L13352" s="1"/>
      <c r="M13352" s="1"/>
      <c r="N13352" s="1"/>
      <c r="O13352" s="1"/>
      <c r="P13352" s="1"/>
      <c r="Q13352" s="1"/>
      <c r="R13352" s="1"/>
      <c r="S13352" s="1"/>
      <c r="T13352" s="1"/>
      <c r="U13352" s="1"/>
      <c r="V13352" s="1"/>
      <c r="W13352" s="1"/>
      <c r="X13352" s="1"/>
      <c r="Y13352" s="1"/>
      <c r="Z13352" s="1"/>
      <c r="AA13352" s="1"/>
      <c r="AB13352" s="1"/>
    </row>
    <row r="13353" ht="50.25" customHeight="1">
      <c r="A13353" s="12">
        <v>13349.0</v>
      </c>
      <c r="B13353" s="13" t="s">
        <v>12594</v>
      </c>
      <c r="C13353" s="14" t="s">
        <v>12680</v>
      </c>
      <c r="D13353" s="1"/>
      <c r="E13353" s="1"/>
      <c r="F13353" s="1" t="str">
        <f>IFERROR(__xludf.DUMMYFUNCTION("GOOGLETRANSLATE(B13353, ""en"", ""fa"")
"),"صنایع دستی و پروژه های DIY")</f>
        <v>صنایع دستی و پروژه های DIY</v>
      </c>
      <c r="G13353" s="1" t="str">
        <f>IFERROR(__xludf.DUMMYFUNCTION("GOOGLETRANSLATE(C13353, ""en"", ""fa"")
"),"آیا می توانید تکنیک های DIY را برای ساخت ست لوازم التحریر شخصی سازی شده با طرح های مختلف پیشنهاد دهید؟")</f>
        <v>آیا می توانید تکنیک های DIY را برای ساخت ست لوازم التحریر شخصی سازی شده با طرح های مختلف پیشنهاد دهید؟</v>
      </c>
      <c r="H13353" s="1"/>
      <c r="I13353" s="1"/>
      <c r="J13353" s="1"/>
      <c r="K13353" s="1"/>
      <c r="L13353" s="1"/>
      <c r="M13353" s="1"/>
      <c r="N13353" s="1"/>
      <c r="O13353" s="1"/>
      <c r="P13353" s="1"/>
      <c r="Q13353" s="1"/>
      <c r="R13353" s="1"/>
      <c r="S13353" s="1"/>
      <c r="T13353" s="1"/>
      <c r="U13353" s="1"/>
      <c r="V13353" s="1"/>
      <c r="W13353" s="1"/>
      <c r="X13353" s="1"/>
      <c r="Y13353" s="1"/>
      <c r="Z13353" s="1"/>
      <c r="AA13353" s="1"/>
      <c r="AB13353" s="1"/>
    </row>
    <row r="13354" ht="50.25" customHeight="1">
      <c r="A13354" s="12">
        <v>13350.0</v>
      </c>
      <c r="B13354" s="13" t="s">
        <v>12594</v>
      </c>
      <c r="C13354" s="14" t="s">
        <v>12681</v>
      </c>
      <c r="D13354" s="1"/>
      <c r="E13354" s="1"/>
      <c r="F13354" s="1" t="str">
        <f>IFERROR(__xludf.DUMMYFUNCTION("GOOGLETRANSLATE(B13354, ""en"", ""fa"")
"),"صنایع دستی و پروژه های DIY")</f>
        <v>صنایع دستی و پروژه های DIY</v>
      </c>
      <c r="G13354" s="1" t="str">
        <f>IFERROR(__xludf.DUMMYFUNCTION("GOOGLETRANSLATE(C13354, ""en"", ""fa"")
"),"برای سازماندهی فضای کاری من، چه مراحلی برای ایجاد یک پینبورد DIY با طراحی سفارشی وجود دارد؟")</f>
        <v>برای سازماندهی فضای کاری من، چه مراحلی برای ایجاد یک پینبورد DIY با طراحی سفارشی وجود دارد؟</v>
      </c>
      <c r="H13354" s="1"/>
      <c r="I13354" s="1"/>
      <c r="J13354" s="1"/>
      <c r="K13354" s="1"/>
      <c r="L13354" s="1"/>
      <c r="M13354" s="1"/>
      <c r="N13354" s="1"/>
      <c r="O13354" s="1"/>
      <c r="P13354" s="1"/>
      <c r="Q13354" s="1"/>
      <c r="R13354" s="1"/>
      <c r="S13354" s="1"/>
      <c r="T13354" s="1"/>
      <c r="U13354" s="1"/>
      <c r="V13354" s="1"/>
      <c r="W13354" s="1"/>
      <c r="X13354" s="1"/>
      <c r="Y13354" s="1"/>
      <c r="Z13354" s="1"/>
      <c r="AA13354" s="1"/>
      <c r="AB13354" s="1"/>
    </row>
    <row r="13355" ht="50.25" customHeight="1">
      <c r="A13355" s="12">
        <v>13351.0</v>
      </c>
      <c r="B13355" s="13" t="s">
        <v>12594</v>
      </c>
      <c r="C13355" s="14" t="s">
        <v>12682</v>
      </c>
      <c r="D13355" s="1"/>
      <c r="E13355" s="1"/>
      <c r="F13355" s="1" t="str">
        <f>IFERROR(__xludf.DUMMYFUNCTION("GOOGLETRANSLATE(B13355, ""en"", ""fa"")
"),"صنایع دستی و پروژه های DIY")</f>
        <v>صنایع دستی و پروژه های DIY</v>
      </c>
      <c r="G13355" s="1" t="str">
        <f>IFERROR(__xludf.DUMMYFUNCTION("GOOGLETRANSLATE(C13355, ""en"", ""fa"")
"),"چگونه می توانم یک تخت باغچه مرتفع DIY برای رشد سبزیجات و گیاهان تازه بسازم؟")</f>
        <v>چگونه می توانم یک تخت باغچه مرتفع DIY برای رشد سبزیجات و گیاهان تازه بسازم؟</v>
      </c>
      <c r="H13355" s="1"/>
      <c r="I13355" s="1"/>
      <c r="J13355" s="1"/>
      <c r="K13355" s="1"/>
      <c r="L13355" s="1"/>
      <c r="M13355" s="1"/>
      <c r="N13355" s="1"/>
      <c r="O13355" s="1"/>
      <c r="P13355" s="1"/>
      <c r="Q13355" s="1"/>
      <c r="R13355" s="1"/>
      <c r="S13355" s="1"/>
      <c r="T13355" s="1"/>
      <c r="U13355" s="1"/>
      <c r="V13355" s="1"/>
      <c r="W13355" s="1"/>
      <c r="X13355" s="1"/>
      <c r="Y13355" s="1"/>
      <c r="Z13355" s="1"/>
      <c r="AA13355" s="1"/>
      <c r="AB13355" s="1"/>
    </row>
    <row r="13356" ht="50.25" customHeight="1">
      <c r="A13356" s="12">
        <v>13352.0</v>
      </c>
      <c r="B13356" s="13" t="s">
        <v>12594</v>
      </c>
      <c r="C13356" s="14" t="s">
        <v>12683</v>
      </c>
      <c r="D13356" s="1"/>
      <c r="E13356" s="1"/>
      <c r="F13356" s="1" t="str">
        <f>IFERROR(__xludf.DUMMYFUNCTION("GOOGLETRANSLATE(B13356, ""en"", ""fa"")
"),"صنایع دستی و پروژه های DIY")</f>
        <v>صنایع دستی و پروژه های DIY</v>
      </c>
      <c r="G13356" s="1" t="str">
        <f>IFERROR(__xludf.DUMMYFUNCTION("GOOGLETRANSLATE(C13356, ""en"", ""fa"")
"),"آیا می‌توانید ایده‌های خلاقانه‌ای را برای ایجاد هنر و طرح‌های برش کاغذ DIY توصیه کنید؟")</f>
        <v>آیا می‌توانید ایده‌های خلاقانه‌ای را برای ایجاد هنر و طرح‌های برش کاغذ DIY توصیه کنید؟</v>
      </c>
      <c r="H13356" s="1"/>
      <c r="I13356" s="1"/>
      <c r="J13356" s="1"/>
      <c r="K13356" s="1"/>
      <c r="L13356" s="1"/>
      <c r="M13356" s="1"/>
      <c r="N13356" s="1"/>
      <c r="O13356" s="1"/>
      <c r="P13356" s="1"/>
      <c r="Q13356" s="1"/>
      <c r="R13356" s="1"/>
      <c r="S13356" s="1"/>
      <c r="T13356" s="1"/>
      <c r="U13356" s="1"/>
      <c r="V13356" s="1"/>
      <c r="W13356" s="1"/>
      <c r="X13356" s="1"/>
      <c r="Y13356" s="1"/>
      <c r="Z13356" s="1"/>
      <c r="AA13356" s="1"/>
      <c r="AB13356" s="1"/>
    </row>
    <row r="13357" ht="50.25" customHeight="1">
      <c r="A13357" s="12">
        <v>13353.0</v>
      </c>
      <c r="B13357" s="13" t="s">
        <v>12594</v>
      </c>
      <c r="C13357" s="14" t="s">
        <v>12684</v>
      </c>
      <c r="D13357" s="1"/>
      <c r="E13357" s="1"/>
      <c r="F13357" s="1" t="str">
        <f>IFERROR(__xludf.DUMMYFUNCTION("GOOGLETRANSLATE(B13357, ""en"", ""fa"")
"),"صنایع دستی و پروژه های DIY")</f>
        <v>صنایع دستی و پروژه های DIY</v>
      </c>
      <c r="G13357" s="1" t="str">
        <f>IFERROR(__xludf.DUMMYFUNCTION("GOOGLETRANSLATE(C13357, ""en"", ""fa"")
"),"چند ایده سرگرم کننده و دوستدار محیط زیست برای ایجاد دانخوری پرندگان DIY با استفاده از مواد بازیافتی چیست؟")</f>
        <v>چند ایده سرگرم کننده و دوستدار محیط زیست برای ایجاد دانخوری پرندگان DIY با استفاده از مواد بازیافتی چیست؟</v>
      </c>
      <c r="H13357" s="1"/>
      <c r="I13357" s="1"/>
      <c r="J13357" s="1"/>
      <c r="K13357" s="1"/>
      <c r="L13357" s="1"/>
      <c r="M13357" s="1"/>
      <c r="N13357" s="1"/>
      <c r="O13357" s="1"/>
      <c r="P13357" s="1"/>
      <c r="Q13357" s="1"/>
      <c r="R13357" s="1"/>
      <c r="S13357" s="1"/>
      <c r="T13357" s="1"/>
      <c r="U13357" s="1"/>
      <c r="V13357" s="1"/>
      <c r="W13357" s="1"/>
      <c r="X13357" s="1"/>
      <c r="Y13357" s="1"/>
      <c r="Z13357" s="1"/>
      <c r="AA13357" s="1"/>
      <c r="AB13357" s="1"/>
    </row>
    <row r="13358" ht="50.25" customHeight="1">
      <c r="A13358" s="12">
        <v>13354.0</v>
      </c>
      <c r="B13358" s="13" t="s">
        <v>12594</v>
      </c>
      <c r="C13358" s="14" t="s">
        <v>12685</v>
      </c>
      <c r="D13358" s="1"/>
      <c r="E13358" s="1"/>
      <c r="F13358" s="1" t="str">
        <f>IFERROR(__xludf.DUMMYFUNCTION("GOOGLETRANSLATE(B13358, ""en"", ""fa"")
"),"صنایع دستی و پروژه های DIY")</f>
        <v>صنایع دستی و پروژه های DIY</v>
      </c>
      <c r="G13358" s="1" t="str">
        <f>IFERROR(__xludf.DUMMYFUNCTION("GOOGLETRANSLATE(C13358, ""en"", ""fa"")
"),"چگونه می‌توانم قاب‌های عکس قدیمی را در سینی‌های سرو شیک برای سرگرمی قرار دهم؟")</f>
        <v>چگونه می‌توانم قاب‌های عکس قدیمی را در سینی‌های سرو شیک برای سرگرمی قرار دهم؟</v>
      </c>
      <c r="H13358" s="1"/>
      <c r="I13358" s="1"/>
      <c r="J13358" s="1"/>
      <c r="K13358" s="1"/>
      <c r="L13358" s="1"/>
      <c r="M13358" s="1"/>
      <c r="N13358" s="1"/>
      <c r="O13358" s="1"/>
      <c r="P13358" s="1"/>
      <c r="Q13358" s="1"/>
      <c r="R13358" s="1"/>
      <c r="S13358" s="1"/>
      <c r="T13358" s="1"/>
      <c r="U13358" s="1"/>
      <c r="V13358" s="1"/>
      <c r="W13358" s="1"/>
      <c r="X13358" s="1"/>
      <c r="Y13358" s="1"/>
      <c r="Z13358" s="1"/>
      <c r="AA13358" s="1"/>
      <c r="AB13358" s="1"/>
    </row>
    <row r="13359" ht="50.25" customHeight="1">
      <c r="A13359" s="12">
        <v>13355.0</v>
      </c>
      <c r="B13359" s="13" t="s">
        <v>12594</v>
      </c>
      <c r="C13359" s="14" t="s">
        <v>12686</v>
      </c>
      <c r="D13359" s="1"/>
      <c r="E13359" s="1"/>
      <c r="F13359" s="1" t="str">
        <f>IFERROR(__xludf.DUMMYFUNCTION("GOOGLETRANSLATE(B13359, ""en"", ""fa"")
"),"صنایع دستی و پروژه های DIY")</f>
        <v>صنایع دستی و پروژه های DIY</v>
      </c>
      <c r="G13359" s="1" t="str">
        <f>IFERROR(__xludf.DUMMYFUNCTION("GOOGLETRANSLATE(C13359, ""en"", ""fa"")
"),"آیا می‌توانید تکنیک‌های DIY را برای ساخت حمام‌های خانگی با روغن‌های مغذی پیشنهاد کنید؟")</f>
        <v>آیا می‌توانید تکنیک‌های DIY را برای ساخت حمام‌های خانگی با روغن‌های مغذی پیشنهاد کنید؟</v>
      </c>
      <c r="H13359" s="1"/>
      <c r="I13359" s="1"/>
      <c r="J13359" s="1"/>
      <c r="K13359" s="1"/>
      <c r="L13359" s="1"/>
      <c r="M13359" s="1"/>
      <c r="N13359" s="1"/>
      <c r="O13359" s="1"/>
      <c r="P13359" s="1"/>
      <c r="Q13359" s="1"/>
      <c r="R13359" s="1"/>
      <c r="S13359" s="1"/>
      <c r="T13359" s="1"/>
      <c r="U13359" s="1"/>
      <c r="V13359" s="1"/>
      <c r="W13359" s="1"/>
      <c r="X13359" s="1"/>
      <c r="Y13359" s="1"/>
      <c r="Z13359" s="1"/>
      <c r="AA13359" s="1"/>
      <c r="AB13359" s="1"/>
    </row>
    <row r="13360" ht="50.25" customHeight="1">
      <c r="A13360" s="12">
        <v>13356.0</v>
      </c>
      <c r="B13360" s="13" t="s">
        <v>12594</v>
      </c>
      <c r="C13360" s="14" t="s">
        <v>12687</v>
      </c>
      <c r="D13360" s="1"/>
      <c r="E13360" s="1"/>
      <c r="F13360" s="1" t="str">
        <f>IFERROR(__xludf.DUMMYFUNCTION("GOOGLETRANSLATE(B13360, ""en"", ""fa"")
"),"صنایع دستی و پروژه های DIY")</f>
        <v>صنایع دستی و پروژه های DIY</v>
      </c>
      <c r="G13360" s="1" t="str">
        <f>IFERROR(__xludf.DUMMYFUNCTION("GOOGLETRANSLATE(C13360, ""en"", ""fa"")
"),"مراحل ایجاد یک کتاب دستور تهیه DIY شخصی برای غذاهای مورد علاقه من چیست؟")</f>
        <v>مراحل ایجاد یک کتاب دستور تهیه DIY شخصی برای غذاهای مورد علاقه من چیست؟</v>
      </c>
      <c r="H13360" s="1"/>
      <c r="I13360" s="1"/>
      <c r="J13360" s="1"/>
      <c r="K13360" s="1"/>
      <c r="L13360" s="1"/>
      <c r="M13360" s="1"/>
      <c r="N13360" s="1"/>
      <c r="O13360" s="1"/>
      <c r="P13360" s="1"/>
      <c r="Q13360" s="1"/>
      <c r="R13360" s="1"/>
      <c r="S13360" s="1"/>
      <c r="T13360" s="1"/>
      <c r="U13360" s="1"/>
      <c r="V13360" s="1"/>
      <c r="W13360" s="1"/>
      <c r="X13360" s="1"/>
      <c r="Y13360" s="1"/>
      <c r="Z13360" s="1"/>
      <c r="AA13360" s="1"/>
      <c r="AB13360" s="1"/>
    </row>
    <row r="13361" ht="50.25" customHeight="1">
      <c r="A13361" s="12">
        <v>13357.0</v>
      </c>
      <c r="B13361" s="13" t="s">
        <v>12594</v>
      </c>
      <c r="C13361" s="14" t="s">
        <v>12688</v>
      </c>
      <c r="D13361" s="1"/>
      <c r="E13361" s="1"/>
      <c r="F13361" s="1" t="str">
        <f>IFERROR(__xludf.DUMMYFUNCTION("GOOGLETRANSLATE(B13361, ""en"", ""fa"")
"),"صنایع دستی و پروژه های DIY")</f>
        <v>صنایع دستی و پروژه های DIY</v>
      </c>
      <c r="G13361" s="1" t="str">
        <f>IFERROR(__xludf.DUMMYFUNCTION("GOOGLETRANSLATE(C13361, ""en"", ""fa"")
"),"چگونه کیف های پارچه ای خود را با طرح ها و اندازه های منحصر به فرد طراحی و بدوزم؟")</f>
        <v>چگونه کیف های پارچه ای خود را با طرح ها و اندازه های منحصر به فرد طراحی و بدوزم؟</v>
      </c>
      <c r="H13361" s="1"/>
      <c r="I13361" s="1"/>
      <c r="J13361" s="1"/>
      <c r="K13361" s="1"/>
      <c r="L13361" s="1"/>
      <c r="M13361" s="1"/>
      <c r="N13361" s="1"/>
      <c r="O13361" s="1"/>
      <c r="P13361" s="1"/>
      <c r="Q13361" s="1"/>
      <c r="R13361" s="1"/>
      <c r="S13361" s="1"/>
      <c r="T13361" s="1"/>
      <c r="U13361" s="1"/>
      <c r="V13361" s="1"/>
      <c r="W13361" s="1"/>
      <c r="X13361" s="1"/>
      <c r="Y13361" s="1"/>
      <c r="Z13361" s="1"/>
      <c r="AA13361" s="1"/>
      <c r="AB13361" s="1"/>
    </row>
    <row r="13362" ht="50.25" customHeight="1">
      <c r="A13362" s="12">
        <v>13358.0</v>
      </c>
      <c r="B13362" s="13" t="s">
        <v>12594</v>
      </c>
      <c r="C13362" s="14" t="s">
        <v>12689</v>
      </c>
      <c r="D13362" s="1"/>
      <c r="E13362" s="1"/>
      <c r="F13362" s="1" t="str">
        <f>IFERROR(__xludf.DUMMYFUNCTION("GOOGLETRANSLATE(B13362, ""en"", ""fa"")
"),"صنایع دستی و پروژه های DIY")</f>
        <v>صنایع دستی و پروژه های DIY</v>
      </c>
      <c r="G13362" s="1" t="str">
        <f>IFERROR(__xludf.DUMMYFUNCTION("GOOGLETRANSLATE(C13362, ""en"", ""fa"")
"),"آیا می‌توانید ایده‌های نوآورانه‌ای را برای ایجاد هنر و طرح‌های دیواری با نخ DIY توصیه کنید؟")</f>
        <v>آیا می‌توانید ایده‌های نوآورانه‌ای را برای ایجاد هنر و طرح‌های دیواری با نخ DIY توصیه کنید؟</v>
      </c>
      <c r="H13362" s="1"/>
      <c r="I13362" s="1"/>
      <c r="J13362" s="1"/>
      <c r="K13362" s="1"/>
      <c r="L13362" s="1"/>
      <c r="M13362" s="1"/>
      <c r="N13362" s="1"/>
      <c r="O13362" s="1"/>
      <c r="P13362" s="1"/>
      <c r="Q13362" s="1"/>
      <c r="R13362" s="1"/>
      <c r="S13362" s="1"/>
      <c r="T13362" s="1"/>
      <c r="U13362" s="1"/>
      <c r="V13362" s="1"/>
      <c r="W13362" s="1"/>
      <c r="X13362" s="1"/>
      <c r="Y13362" s="1"/>
      <c r="Z13362" s="1"/>
      <c r="AA13362" s="1"/>
      <c r="AB13362" s="1"/>
    </row>
    <row r="13363" ht="50.25" customHeight="1">
      <c r="A13363" s="12">
        <v>13359.0</v>
      </c>
      <c r="B13363" s="13" t="s">
        <v>12594</v>
      </c>
      <c r="C13363" s="14" t="s">
        <v>12690</v>
      </c>
      <c r="D13363" s="1"/>
      <c r="E13363" s="1"/>
      <c r="F13363" s="1" t="str">
        <f>IFERROR(__xludf.DUMMYFUNCTION("GOOGLETRANSLATE(B13363, ""en"", ""fa"")
"),"صنایع دستی و پروژه های DIY")</f>
        <v>صنایع دستی و پروژه های DIY</v>
      </c>
      <c r="G13363" s="1" t="str">
        <f>IFERROR(__xludf.DUMMYFUNCTION("GOOGLETRANSLATE(C13363, ""en"", ""fa"")
"),"چند پروژه آسان و لذت بخش DIY برای ساخت نشانک های طراحی شده سفارشی چیست؟")</f>
        <v>چند پروژه آسان و لذت بخش DIY برای ساخت نشانک های طراحی شده سفارشی چیست؟</v>
      </c>
      <c r="H13363" s="1"/>
      <c r="I13363" s="1"/>
      <c r="J13363" s="1"/>
      <c r="K13363" s="1"/>
      <c r="L13363" s="1"/>
      <c r="M13363" s="1"/>
      <c r="N13363" s="1"/>
      <c r="O13363" s="1"/>
      <c r="P13363" s="1"/>
      <c r="Q13363" s="1"/>
      <c r="R13363" s="1"/>
      <c r="S13363" s="1"/>
      <c r="T13363" s="1"/>
      <c r="U13363" s="1"/>
      <c r="V13363" s="1"/>
      <c r="W13363" s="1"/>
      <c r="X13363" s="1"/>
      <c r="Y13363" s="1"/>
      <c r="Z13363" s="1"/>
      <c r="AA13363" s="1"/>
      <c r="AB13363" s="1"/>
    </row>
    <row r="13364" ht="50.25" customHeight="1">
      <c r="A13364" s="12">
        <v>13360.0</v>
      </c>
      <c r="B13364" s="13" t="s">
        <v>12594</v>
      </c>
      <c r="C13364" s="14" t="s">
        <v>12691</v>
      </c>
      <c r="D13364" s="1"/>
      <c r="E13364" s="1"/>
      <c r="F13364" s="1" t="str">
        <f>IFERROR(__xludf.DUMMYFUNCTION("GOOGLETRANSLATE(B13364, ""en"", ""fa"")
"),"صنایع دستی و پروژه های DIY")</f>
        <v>صنایع دستی و پروژه های DIY</v>
      </c>
      <c r="G13364" s="1" t="str">
        <f>IFERROR(__xludf.DUMMYFUNCTION("GOOGLETRANSLATE(C13364, ""en"", ""fa"")
"),"چگونه می توانم قاشق های چوبی ساده را به ظروف آشپزخانه جذاب DIY تبدیل کنم؟")</f>
        <v>چگونه می توانم قاشق های چوبی ساده را به ظروف آشپزخانه جذاب DIY تبدیل کنم؟</v>
      </c>
      <c r="H13364" s="1"/>
      <c r="I13364" s="1"/>
      <c r="J13364" s="1"/>
      <c r="K13364" s="1"/>
      <c r="L13364" s="1"/>
      <c r="M13364" s="1"/>
      <c r="N13364" s="1"/>
      <c r="O13364" s="1"/>
      <c r="P13364" s="1"/>
      <c r="Q13364" s="1"/>
      <c r="R13364" s="1"/>
      <c r="S13364" s="1"/>
      <c r="T13364" s="1"/>
      <c r="U13364" s="1"/>
      <c r="V13364" s="1"/>
      <c r="W13364" s="1"/>
      <c r="X13364" s="1"/>
      <c r="Y13364" s="1"/>
      <c r="Z13364" s="1"/>
      <c r="AA13364" s="1"/>
      <c r="AB13364" s="1"/>
    </row>
    <row r="13365" ht="50.25" customHeight="1">
      <c r="A13365" s="12">
        <v>13361.0</v>
      </c>
      <c r="B13365" s="13" t="s">
        <v>12705</v>
      </c>
      <c r="C13365" s="14" t="s">
        <v>12706</v>
      </c>
      <c r="D13365" s="1"/>
      <c r="E13365" s="1"/>
      <c r="F13365" s="1" t="str">
        <f>IFERROR(__xludf.DUMMYFUNCTION("GOOGLETRANSLATE(B13365, ""en"", ""fa"")
"),"عکاسی و داستان سرایی تصویری")</f>
        <v>عکاسی و داستان سرایی تصویری</v>
      </c>
      <c r="G13365" s="1" t="str">
        <f>IFERROR(__xludf.DUMMYFUNCTION("GOOGLETRANSLATE(C13365, ""en"", ""fa"")
"),"چگونه می توانم از طریق عکاسی از مناظر خیره کننده و مناظر طبیعی عکس بگیرم؟")</f>
        <v>چگونه می توانم از طریق عکاسی از مناظر خیره کننده و مناظر طبیعی عکس بگیرم؟</v>
      </c>
      <c r="H13365" s="1"/>
      <c r="I13365" s="1"/>
      <c r="J13365" s="1"/>
      <c r="K13365" s="1"/>
      <c r="L13365" s="1"/>
      <c r="M13365" s="1"/>
      <c r="N13365" s="1"/>
      <c r="O13365" s="1"/>
      <c r="P13365" s="1"/>
      <c r="Q13365" s="1"/>
      <c r="R13365" s="1"/>
      <c r="S13365" s="1"/>
      <c r="T13365" s="1"/>
      <c r="U13365" s="1"/>
      <c r="V13365" s="1"/>
      <c r="W13365" s="1"/>
      <c r="X13365" s="1"/>
      <c r="Y13365" s="1"/>
      <c r="Z13365" s="1"/>
      <c r="AA13365" s="1"/>
      <c r="AB13365" s="1"/>
    </row>
    <row r="13366" ht="50.25" customHeight="1">
      <c r="A13366" s="12">
        <v>13362.0</v>
      </c>
      <c r="B13366" s="13" t="s">
        <v>12705</v>
      </c>
      <c r="C13366" s="14" t="s">
        <v>12707</v>
      </c>
      <c r="D13366" s="1"/>
      <c r="E13366" s="1"/>
      <c r="F13366" s="1" t="str">
        <f>IFERROR(__xludf.DUMMYFUNCTION("GOOGLETRANSLATE(B13366, ""en"", ""fa"")
"),"عکاسی و داستان سرایی تصویری")</f>
        <v>عکاسی و داستان سرایی تصویری</v>
      </c>
      <c r="G13366" s="1" t="str">
        <f>IFERROR(__xludf.DUMMYFUNCTION("GOOGLETRANSLATE(C13366, ""en"", ""fa"")
"),"بهترین تکنیک ها برای ایجاد پرتره های جذاب که داستان یک فرد را روایت می کنند چیست؟")</f>
        <v>بهترین تکنیک ها برای ایجاد پرتره های جذاب که داستان یک فرد را روایت می کنند چیست؟</v>
      </c>
      <c r="H13366" s="1"/>
      <c r="I13366" s="1"/>
      <c r="J13366" s="1"/>
      <c r="K13366" s="1"/>
      <c r="L13366" s="1"/>
      <c r="M13366" s="1"/>
      <c r="N13366" s="1"/>
      <c r="O13366" s="1"/>
      <c r="P13366" s="1"/>
      <c r="Q13366" s="1"/>
      <c r="R13366" s="1"/>
      <c r="S13366" s="1"/>
      <c r="T13366" s="1"/>
      <c r="U13366" s="1"/>
      <c r="V13366" s="1"/>
      <c r="W13366" s="1"/>
      <c r="X13366" s="1"/>
      <c r="Y13366" s="1"/>
      <c r="Z13366" s="1"/>
      <c r="AA13366" s="1"/>
      <c r="AB13366" s="1"/>
    </row>
    <row r="13367" ht="50.25" customHeight="1">
      <c r="A13367" s="12">
        <v>13363.0</v>
      </c>
      <c r="B13367" s="13" t="s">
        <v>12705</v>
      </c>
      <c r="C13367" s="14" t="s">
        <v>12708</v>
      </c>
      <c r="D13367" s="1"/>
      <c r="E13367" s="1"/>
      <c r="F13367" s="1" t="str">
        <f>IFERROR(__xludf.DUMMYFUNCTION("GOOGLETRANSLATE(B13367, ""en"", ""fa"")
"),"عکاسی و داستان سرایی تصویری")</f>
        <v>عکاسی و داستان سرایی تصویری</v>
      </c>
      <c r="G13367" s="1" t="str">
        <f>IFERROR(__xludf.DUMMYFUNCTION("GOOGLETRANSLATE(C13367, ""en"", ""fa"")
"),"آیا می توانید نکاتی را برای استفاده از نور برای بهبود خلق و خو و احساسات در عکس های من پیشنهاد کنید؟")</f>
        <v>آیا می توانید نکاتی را برای استفاده از نور برای بهبود خلق و خو و احساسات در عکس های من پیشنهاد کنید؟</v>
      </c>
      <c r="H13367" s="1"/>
      <c r="I13367" s="1"/>
      <c r="J13367" s="1"/>
      <c r="K13367" s="1"/>
      <c r="L13367" s="1"/>
      <c r="M13367" s="1"/>
      <c r="N13367" s="1"/>
      <c r="O13367" s="1"/>
      <c r="P13367" s="1"/>
      <c r="Q13367" s="1"/>
      <c r="R13367" s="1"/>
      <c r="S13367" s="1"/>
      <c r="T13367" s="1"/>
      <c r="U13367" s="1"/>
      <c r="V13367" s="1"/>
      <c r="W13367" s="1"/>
      <c r="X13367" s="1"/>
      <c r="Y13367" s="1"/>
      <c r="Z13367" s="1"/>
      <c r="AA13367" s="1"/>
      <c r="AB13367" s="1"/>
    </row>
    <row r="13368" ht="50.25" customHeight="1">
      <c r="A13368" s="12">
        <v>13364.0</v>
      </c>
      <c r="B13368" s="13" t="s">
        <v>12705</v>
      </c>
      <c r="C13368" s="14" t="s">
        <v>12709</v>
      </c>
      <c r="D13368" s="1"/>
      <c r="E13368" s="1"/>
      <c r="F13368" s="1" t="str">
        <f>IFERROR(__xludf.DUMMYFUNCTION("GOOGLETRANSLATE(B13368, ""en"", ""fa"")
"),"عکاسی و داستان سرایی تصویری")</f>
        <v>عکاسی و داستان سرایی تصویری</v>
      </c>
      <c r="G13368" s="1" t="str">
        <f>IFERROR(__xludf.DUMMYFUNCTION("GOOGLETRANSLATE(C13368, ""en"", ""fa"")
"),"چگونه می توانم رنگ ها و بافت های زنده محیط های شهری را در عکاسی خود ثبت کنم؟")</f>
        <v>چگونه می توانم رنگ ها و بافت های زنده محیط های شهری را در عکاسی خود ثبت کنم؟</v>
      </c>
      <c r="H13368" s="1"/>
      <c r="I13368" s="1"/>
      <c r="J13368" s="1"/>
      <c r="K13368" s="1"/>
      <c r="L13368" s="1"/>
      <c r="M13368" s="1"/>
      <c r="N13368" s="1"/>
      <c r="O13368" s="1"/>
      <c r="P13368" s="1"/>
      <c r="Q13368" s="1"/>
      <c r="R13368" s="1"/>
      <c r="S13368" s="1"/>
      <c r="T13368" s="1"/>
      <c r="U13368" s="1"/>
      <c r="V13368" s="1"/>
      <c r="W13368" s="1"/>
      <c r="X13368" s="1"/>
      <c r="Y13368" s="1"/>
      <c r="Z13368" s="1"/>
      <c r="AA13368" s="1"/>
      <c r="AB13368" s="1"/>
    </row>
    <row r="13369" ht="50.25" customHeight="1">
      <c r="A13369" s="12">
        <v>13365.0</v>
      </c>
      <c r="B13369" s="13" t="s">
        <v>12705</v>
      </c>
      <c r="C13369" s="14" t="s">
        <v>12710</v>
      </c>
      <c r="D13369" s="1"/>
      <c r="E13369" s="1"/>
      <c r="F13369" s="1" t="str">
        <f>IFERROR(__xludf.DUMMYFUNCTION("GOOGLETRANSLATE(B13369, ""en"", ""fa"")
"),"عکاسی و داستان سرایی تصویری")</f>
        <v>عکاسی و داستان سرایی تصویری</v>
      </c>
      <c r="G13369" s="1" t="str">
        <f>IFERROR(__xludf.DUMMYFUNCTION("GOOGLETRANSLATE(C13369, ""en"", ""fa"")
"),"مراحل ایجاد یک مقاله عکس قانع کننده که داستانی قدرتمند را روایت می کند چیست؟")</f>
        <v>مراحل ایجاد یک مقاله عکس قانع کننده که داستانی قدرتمند را روایت می کند چیست؟</v>
      </c>
      <c r="H13369" s="1"/>
      <c r="I13369" s="1"/>
      <c r="J13369" s="1"/>
      <c r="K13369" s="1"/>
      <c r="L13369" s="1"/>
      <c r="M13369" s="1"/>
      <c r="N13369" s="1"/>
      <c r="O13369" s="1"/>
      <c r="P13369" s="1"/>
      <c r="Q13369" s="1"/>
      <c r="R13369" s="1"/>
      <c r="S13369" s="1"/>
      <c r="T13369" s="1"/>
      <c r="U13369" s="1"/>
      <c r="V13369" s="1"/>
      <c r="W13369" s="1"/>
      <c r="X13369" s="1"/>
      <c r="Y13369" s="1"/>
      <c r="Z13369" s="1"/>
      <c r="AA13369" s="1"/>
      <c r="AB13369" s="1"/>
    </row>
    <row r="13370" ht="50.25" customHeight="1">
      <c r="A13370" s="12">
        <v>13366.0</v>
      </c>
      <c r="B13370" s="13" t="s">
        <v>12705</v>
      </c>
      <c r="C13370" s="14" t="s">
        <v>12711</v>
      </c>
      <c r="D13370" s="1"/>
      <c r="E13370" s="1"/>
      <c r="F13370" s="1" t="str">
        <f>IFERROR(__xludf.DUMMYFUNCTION("GOOGLETRANSLATE(B13370, ""en"", ""fa"")
"),"عکاسی و داستان سرایی تصویری")</f>
        <v>عکاسی و داستان سرایی تصویری</v>
      </c>
      <c r="G13370" s="1" t="str">
        <f>IFERROR(__xludf.DUMMYFUNCTION("GOOGLETRANSLATE(C13370, ""en"", ""fa"")
"),"چگونه می توانم با زوایای مختلف دوربین آزمایش کنم تا عمق و بعد به عکس هایم اضافه کنم؟")</f>
        <v>چگونه می توانم با زوایای مختلف دوربین آزمایش کنم تا عمق و بعد به عکس هایم اضافه کنم؟</v>
      </c>
      <c r="H13370" s="1"/>
      <c r="I13370" s="1"/>
      <c r="J13370" s="1"/>
      <c r="K13370" s="1"/>
      <c r="L13370" s="1"/>
      <c r="M13370" s="1"/>
      <c r="N13370" s="1"/>
      <c r="O13370" s="1"/>
      <c r="P13370" s="1"/>
      <c r="Q13370" s="1"/>
      <c r="R13370" s="1"/>
      <c r="S13370" s="1"/>
      <c r="T13370" s="1"/>
      <c r="U13370" s="1"/>
      <c r="V13370" s="1"/>
      <c r="W13370" s="1"/>
      <c r="X13370" s="1"/>
      <c r="Y13370" s="1"/>
      <c r="Z13370" s="1"/>
      <c r="AA13370" s="1"/>
      <c r="AB13370" s="1"/>
    </row>
    <row r="13371" ht="50.25" customHeight="1">
      <c r="A13371" s="12">
        <v>13367.0</v>
      </c>
      <c r="B13371" s="13" t="s">
        <v>12705</v>
      </c>
      <c r="C13371" s="14" t="s">
        <v>12712</v>
      </c>
      <c r="D13371" s="1"/>
      <c r="E13371" s="1"/>
      <c r="F13371" s="1" t="str">
        <f>IFERROR(__xludf.DUMMYFUNCTION("GOOGLETRANSLATE(B13371, ""en"", ""fa"")
"),"عکاسی و داستان سرایی تصویری")</f>
        <v>عکاسی و داستان سرایی تصویری</v>
      </c>
      <c r="G13371" s="1" t="str">
        <f>IFERROR(__xludf.DUMMYFUNCTION("GOOGLETRANSLATE(C13371, ""en"", ""fa"")
"),"آیا می توانید تکنیک هایی را برای ثبت لحظات و احساسات صادقانه در عکاسی خیابانی توصیه کنید؟")</f>
        <v>آیا می توانید تکنیک هایی را برای ثبت لحظات و احساسات صادقانه در عکاسی خیابانی توصیه کنید؟</v>
      </c>
      <c r="H13371" s="1"/>
      <c r="I13371" s="1"/>
      <c r="J13371" s="1"/>
      <c r="K13371" s="1"/>
      <c r="L13371" s="1"/>
      <c r="M13371" s="1"/>
      <c r="N13371" s="1"/>
      <c r="O13371" s="1"/>
      <c r="P13371" s="1"/>
      <c r="Q13371" s="1"/>
      <c r="R13371" s="1"/>
      <c r="S13371" s="1"/>
      <c r="T13371" s="1"/>
      <c r="U13371" s="1"/>
      <c r="V13371" s="1"/>
      <c r="W13371" s="1"/>
      <c r="X13371" s="1"/>
      <c r="Y13371" s="1"/>
      <c r="Z13371" s="1"/>
      <c r="AA13371" s="1"/>
      <c r="AB13371" s="1"/>
    </row>
    <row r="13372" ht="50.25" customHeight="1">
      <c r="A13372" s="12">
        <v>13368.0</v>
      </c>
      <c r="B13372" s="13" t="s">
        <v>12705</v>
      </c>
      <c r="C13372" s="14" t="s">
        <v>12713</v>
      </c>
      <c r="D13372" s="1"/>
      <c r="E13372" s="1"/>
      <c r="F13372" s="1" t="str">
        <f>IFERROR(__xludf.DUMMYFUNCTION("GOOGLETRANSLATE(B13372, ""en"", ""fa"")
"),"عکاسی و داستان سرایی تصویری")</f>
        <v>عکاسی و داستان سرایی تصویری</v>
      </c>
      <c r="G13372" s="1" t="str">
        <f>IFERROR(__xludf.DUMMYFUNCTION("GOOGLETRANSLATE(C13372, ""en"", ""fa"")
"),"بهترین روش ها برای استفاده از عمق میدان برای ایجاد فوکوس و تاری در عکس ها چیست؟")</f>
        <v>بهترین روش ها برای استفاده از عمق میدان برای ایجاد فوکوس و تاری در عکس ها چیست؟</v>
      </c>
      <c r="H13372" s="1"/>
      <c r="I13372" s="1"/>
      <c r="J13372" s="1"/>
      <c r="K13372" s="1"/>
      <c r="L13372" s="1"/>
      <c r="M13372" s="1"/>
      <c r="N13372" s="1"/>
      <c r="O13372" s="1"/>
      <c r="P13372" s="1"/>
      <c r="Q13372" s="1"/>
      <c r="R13372" s="1"/>
      <c r="S13372" s="1"/>
      <c r="T13372" s="1"/>
      <c r="U13372" s="1"/>
      <c r="V13372" s="1"/>
      <c r="W13372" s="1"/>
      <c r="X13372" s="1"/>
      <c r="Y13372" s="1"/>
      <c r="Z13372" s="1"/>
      <c r="AA13372" s="1"/>
      <c r="AB13372" s="1"/>
    </row>
    <row r="13373" ht="50.25" customHeight="1">
      <c r="A13373" s="12">
        <v>13369.0</v>
      </c>
      <c r="B13373" s="13" t="s">
        <v>12705</v>
      </c>
      <c r="C13373" s="14" t="s">
        <v>12714</v>
      </c>
      <c r="D13373" s="1"/>
      <c r="E13373" s="1"/>
      <c r="F13373" s="1" t="str">
        <f>IFERROR(__xludf.DUMMYFUNCTION("GOOGLETRANSLATE(B13373, ""en"", ""fa"")
"),"عکاسی و داستان سرایی تصویری")</f>
        <v>عکاسی و داستان سرایی تصویری</v>
      </c>
      <c r="G13373" s="1" t="str">
        <f>IFERROR(__xludf.DUMMYFUNCTION("GOOGLETRANSLATE(C13373, ""en"", ""fa"")
"),"چگونه می توانم به طور موثر از خطوط پیشرو و تکنیک های کادربندی برای هدایت چشم بیننده استفاده کنم؟")</f>
        <v>چگونه می توانم به طور موثر از خطوط پیشرو و تکنیک های کادربندی برای هدایت چشم بیننده استفاده کنم؟</v>
      </c>
      <c r="H13373" s="1"/>
      <c r="I13373" s="1"/>
      <c r="J13373" s="1"/>
      <c r="K13373" s="1"/>
      <c r="L13373" s="1"/>
      <c r="M13373" s="1"/>
      <c r="N13373" s="1"/>
      <c r="O13373" s="1"/>
      <c r="P13373" s="1"/>
      <c r="Q13373" s="1"/>
      <c r="R13373" s="1"/>
      <c r="S13373" s="1"/>
      <c r="T13373" s="1"/>
      <c r="U13373" s="1"/>
      <c r="V13373" s="1"/>
      <c r="W13373" s="1"/>
      <c r="X13373" s="1"/>
      <c r="Y13373" s="1"/>
      <c r="Z13373" s="1"/>
      <c r="AA13373" s="1"/>
      <c r="AB13373" s="1"/>
    </row>
    <row r="13374" ht="50.25" customHeight="1">
      <c r="A13374" s="12">
        <v>13370.0</v>
      </c>
      <c r="B13374" s="13" t="s">
        <v>12705</v>
      </c>
      <c r="C13374" s="14" t="s">
        <v>12715</v>
      </c>
      <c r="D13374" s="1"/>
      <c r="E13374" s="1"/>
      <c r="F13374" s="1" t="str">
        <f>IFERROR(__xludf.DUMMYFUNCTION("GOOGLETRANSLATE(B13374, ""en"", ""fa"")
"),"عکاسی و داستان سرایی تصویری")</f>
        <v>عکاسی و داستان سرایی تصویری</v>
      </c>
      <c r="G13374" s="1" t="str">
        <f>IFERROR(__xludf.DUMMYFUNCTION("GOOGLETRANSLATE(C13374, ""en"", ""fa"")
"),"آیا می توانید راه هایی برای گنجاندن عناصر حرکتی و پویا در عکاسی من پیشنهاد کنید؟")</f>
        <v>آیا می توانید راه هایی برای گنجاندن عناصر حرکتی و پویا در عکاسی من پیشنهاد کنید؟</v>
      </c>
      <c r="H13374" s="1"/>
      <c r="I13374" s="1"/>
      <c r="J13374" s="1"/>
      <c r="K13374" s="1"/>
      <c r="L13374" s="1"/>
      <c r="M13374" s="1"/>
      <c r="N13374" s="1"/>
      <c r="O13374" s="1"/>
      <c r="P13374" s="1"/>
      <c r="Q13374" s="1"/>
      <c r="R13374" s="1"/>
      <c r="S13374" s="1"/>
      <c r="T13374" s="1"/>
      <c r="U13374" s="1"/>
      <c r="V13374" s="1"/>
      <c r="W13374" s="1"/>
      <c r="X13374" s="1"/>
      <c r="Y13374" s="1"/>
      <c r="Z13374" s="1"/>
      <c r="AA13374" s="1"/>
      <c r="AB13374" s="1"/>
    </row>
    <row r="13375" ht="50.25" customHeight="1">
      <c r="A13375" s="12">
        <v>13371.0</v>
      </c>
      <c r="B13375" s="13" t="s">
        <v>12705</v>
      </c>
      <c r="C13375" s="14" t="s">
        <v>12716</v>
      </c>
      <c r="D13375" s="1"/>
      <c r="E13375" s="1"/>
      <c r="F13375" s="1" t="str">
        <f>IFERROR(__xludf.DUMMYFUNCTION("GOOGLETRANSLATE(B13375, ""en"", ""fa"")
"),"عکاسی و داستان سرایی تصویری")</f>
        <v>عکاسی و داستان سرایی تصویری</v>
      </c>
      <c r="G13375" s="1" t="str">
        <f>IFERROR(__xludf.DUMMYFUNCTION("GOOGLETRANSLATE(C13375, ""en"", ""fa"")
"),"مراحل ایجاد یک روایت بصری جذاب با استفاده از یک سری عکس چیست؟")</f>
        <v>مراحل ایجاد یک روایت بصری جذاب با استفاده از یک سری عکس چیست؟</v>
      </c>
      <c r="H13375" s="1"/>
      <c r="I13375" s="1"/>
      <c r="J13375" s="1"/>
      <c r="K13375" s="1"/>
      <c r="L13375" s="1"/>
      <c r="M13375" s="1"/>
      <c r="N13375" s="1"/>
      <c r="O13375" s="1"/>
      <c r="P13375" s="1"/>
      <c r="Q13375" s="1"/>
      <c r="R13375" s="1"/>
      <c r="S13375" s="1"/>
      <c r="T13375" s="1"/>
      <c r="U13375" s="1"/>
      <c r="V13375" s="1"/>
      <c r="W13375" s="1"/>
      <c r="X13375" s="1"/>
      <c r="Y13375" s="1"/>
      <c r="Z13375" s="1"/>
      <c r="AA13375" s="1"/>
      <c r="AB13375" s="1"/>
    </row>
    <row r="13376" ht="50.25" customHeight="1">
      <c r="A13376" s="12">
        <v>13372.0</v>
      </c>
      <c r="B13376" s="13" t="s">
        <v>12705</v>
      </c>
      <c r="C13376" s="14" t="s">
        <v>12717</v>
      </c>
      <c r="D13376" s="1"/>
      <c r="E13376" s="1"/>
      <c r="F13376" s="1" t="str">
        <f>IFERROR(__xludf.DUMMYFUNCTION("GOOGLETRANSLATE(B13376, ""en"", ""fa"")
"),"عکاسی و داستان سرایی تصویری")</f>
        <v>عکاسی و داستان سرایی تصویری</v>
      </c>
      <c r="G13376" s="1" t="str">
        <f>IFERROR(__xludf.DUMMYFUNCTION("GOOGLETRANSLATE(C13376, ""en"", ""fa"")
"),"چگونه می توانم از تئوری رنگ برای برانگیختن احساسات و انتقال پیام در عکاسی خود استفاده کنم؟")</f>
        <v>چگونه می توانم از تئوری رنگ برای برانگیختن احساسات و انتقال پیام در عکاسی خود استفاده کنم؟</v>
      </c>
      <c r="H13376" s="1"/>
      <c r="I13376" s="1"/>
      <c r="J13376" s="1"/>
      <c r="K13376" s="1"/>
      <c r="L13376" s="1"/>
      <c r="M13376" s="1"/>
      <c r="N13376" s="1"/>
      <c r="O13376" s="1"/>
      <c r="P13376" s="1"/>
      <c r="Q13376" s="1"/>
      <c r="R13376" s="1"/>
      <c r="S13376" s="1"/>
      <c r="T13376" s="1"/>
      <c r="U13376" s="1"/>
      <c r="V13376" s="1"/>
      <c r="W13376" s="1"/>
      <c r="X13376" s="1"/>
      <c r="Y13376" s="1"/>
      <c r="Z13376" s="1"/>
      <c r="AA13376" s="1"/>
      <c r="AB13376" s="1"/>
    </row>
    <row r="13377" ht="50.25" customHeight="1">
      <c r="A13377" s="12">
        <v>13373.0</v>
      </c>
      <c r="B13377" s="13" t="s">
        <v>12705</v>
      </c>
      <c r="C13377" s="14" t="s">
        <v>12718</v>
      </c>
      <c r="D13377" s="1"/>
      <c r="E13377" s="1"/>
      <c r="F13377" s="1" t="str">
        <f>IFERROR(__xludf.DUMMYFUNCTION("GOOGLETRANSLATE(B13377, ""en"", ""fa"")
"),"عکاسی و داستان سرایی تصویری")</f>
        <v>عکاسی و داستان سرایی تصویری</v>
      </c>
      <c r="G13377" s="1" t="str">
        <f>IFERROR(__xludf.DUMMYFUNCTION("GOOGLETRANSLATE(C13377, ""en"", ""fa"")
"),"آیا می توانید راهکارهایی برای ثبت ماهیت و شخصیت حیوانات خانگی در عکس ها توصیه کنید؟")</f>
        <v>آیا می توانید راهکارهایی برای ثبت ماهیت و شخصیت حیوانات خانگی در عکس ها توصیه کنید؟</v>
      </c>
      <c r="H13377" s="1"/>
      <c r="I13377" s="1"/>
      <c r="J13377" s="1"/>
      <c r="K13377" s="1"/>
      <c r="L13377" s="1"/>
      <c r="M13377" s="1"/>
      <c r="N13377" s="1"/>
      <c r="O13377" s="1"/>
      <c r="P13377" s="1"/>
      <c r="Q13377" s="1"/>
      <c r="R13377" s="1"/>
      <c r="S13377" s="1"/>
      <c r="T13377" s="1"/>
      <c r="U13377" s="1"/>
      <c r="V13377" s="1"/>
      <c r="W13377" s="1"/>
      <c r="X13377" s="1"/>
      <c r="Y13377" s="1"/>
      <c r="Z13377" s="1"/>
      <c r="AA13377" s="1"/>
      <c r="AB13377" s="1"/>
    </row>
    <row r="13378" ht="50.25" customHeight="1">
      <c r="A13378" s="12">
        <v>13374.0</v>
      </c>
      <c r="B13378" s="13" t="s">
        <v>12705</v>
      </c>
      <c r="C13378" s="14" t="s">
        <v>12719</v>
      </c>
      <c r="D13378" s="1"/>
      <c r="E13378" s="1"/>
      <c r="F13378" s="1" t="str">
        <f>IFERROR(__xludf.DUMMYFUNCTION("GOOGLETRANSLATE(B13378, ""en"", ""fa"")
"),"عکاسی و داستان سرایی تصویری")</f>
        <v>عکاسی و داستان سرایی تصویری</v>
      </c>
      <c r="G13378" s="1" t="str">
        <f>IFERROR(__xludf.DUMMYFUNCTION("GOOGLETRANSLATE(C13378, ""en"", ""fa"")
"),"بهترین شیوه ها برای ترکیب نماهای معماری متعادل و از نظر بصری دلپذیر چیست؟")</f>
        <v>بهترین شیوه ها برای ترکیب نماهای معماری متعادل و از نظر بصری دلپذیر چیست؟</v>
      </c>
      <c r="H13378" s="1"/>
      <c r="I13378" s="1"/>
      <c r="J13378" s="1"/>
      <c r="K13378" s="1"/>
      <c r="L13378" s="1"/>
      <c r="M13378" s="1"/>
      <c r="N13378" s="1"/>
      <c r="O13378" s="1"/>
      <c r="P13378" s="1"/>
      <c r="Q13378" s="1"/>
      <c r="R13378" s="1"/>
      <c r="S13378" s="1"/>
      <c r="T13378" s="1"/>
      <c r="U13378" s="1"/>
      <c r="V13378" s="1"/>
      <c r="W13378" s="1"/>
      <c r="X13378" s="1"/>
      <c r="Y13378" s="1"/>
      <c r="Z13378" s="1"/>
      <c r="AA13378" s="1"/>
      <c r="AB13378" s="1"/>
    </row>
    <row r="13379" ht="50.25" customHeight="1">
      <c r="A13379" s="12">
        <v>13375.0</v>
      </c>
      <c r="B13379" s="13" t="s">
        <v>12705</v>
      </c>
      <c r="C13379" s="14" t="s">
        <v>12720</v>
      </c>
      <c r="D13379" s="1"/>
      <c r="E13379" s="1"/>
      <c r="F13379" s="1" t="str">
        <f>IFERROR(__xludf.DUMMYFUNCTION("GOOGLETRANSLATE(B13379, ""en"", ""fa"")
"),"عکاسی و داستان سرایی تصویری")</f>
        <v>عکاسی و داستان سرایی تصویری</v>
      </c>
      <c r="G13379" s="1" t="str">
        <f>IFERROR(__xludf.DUMMYFUNCTION("GOOGLETRANSLATE(C13379, ""en"", ""fa"")
"),"چگونه می توانم از ابزارهای پس پردازش برای تقویت جنبه داستان گویی عکس هایم استفاده کنم؟")</f>
        <v>چگونه می توانم از ابزارهای پس پردازش برای تقویت جنبه داستان گویی عکس هایم استفاده کنم؟</v>
      </c>
      <c r="H13379" s="1"/>
      <c r="I13379" s="1"/>
      <c r="J13379" s="1"/>
      <c r="K13379" s="1"/>
      <c r="L13379" s="1"/>
      <c r="M13379" s="1"/>
      <c r="N13379" s="1"/>
      <c r="O13379" s="1"/>
      <c r="P13379" s="1"/>
      <c r="Q13379" s="1"/>
      <c r="R13379" s="1"/>
      <c r="S13379" s="1"/>
      <c r="T13379" s="1"/>
      <c r="U13379" s="1"/>
      <c r="V13379" s="1"/>
      <c r="W13379" s="1"/>
      <c r="X13379" s="1"/>
      <c r="Y13379" s="1"/>
      <c r="Z13379" s="1"/>
      <c r="AA13379" s="1"/>
      <c r="AB13379" s="1"/>
    </row>
    <row r="13380" ht="50.25" customHeight="1">
      <c r="A13380" s="12">
        <v>13376.0</v>
      </c>
      <c r="B13380" s="13" t="s">
        <v>12705</v>
      </c>
      <c r="C13380" s="14" t="s">
        <v>12721</v>
      </c>
      <c r="D13380" s="1"/>
      <c r="E13380" s="1"/>
      <c r="F13380" s="1" t="str">
        <f>IFERROR(__xludf.DUMMYFUNCTION("GOOGLETRANSLATE(B13380, ""en"", ""fa"")
"),"عکاسی و داستان سرایی تصویری")</f>
        <v>عکاسی و داستان سرایی تصویری</v>
      </c>
      <c r="G13380" s="1" t="str">
        <f>IFERROR(__xludf.DUMMYFUNCTION("GOOGLETRANSLATE(C13380, ""en"", ""fa"")
"),"آیا می توانید تکنیک هایی برای ثبت تنوع فرهنگی و سنت ها از طریق عکاسی پیشنهاد کنید؟")</f>
        <v>آیا می توانید تکنیک هایی برای ثبت تنوع فرهنگی و سنت ها از طریق عکاسی پیشنهاد کنید؟</v>
      </c>
      <c r="H13380" s="1"/>
      <c r="I13380" s="1"/>
      <c r="J13380" s="1"/>
      <c r="K13380" s="1"/>
      <c r="L13380" s="1"/>
      <c r="M13380" s="1"/>
      <c r="N13380" s="1"/>
      <c r="O13380" s="1"/>
      <c r="P13380" s="1"/>
      <c r="Q13380" s="1"/>
      <c r="R13380" s="1"/>
      <c r="S13380" s="1"/>
      <c r="T13380" s="1"/>
      <c r="U13380" s="1"/>
      <c r="V13380" s="1"/>
      <c r="W13380" s="1"/>
      <c r="X13380" s="1"/>
      <c r="Y13380" s="1"/>
      <c r="Z13380" s="1"/>
      <c r="AA13380" s="1"/>
      <c r="AB13380" s="1"/>
    </row>
    <row r="13381" ht="50.25" customHeight="1">
      <c r="A13381" s="12">
        <v>13377.0</v>
      </c>
      <c r="B13381" s="13" t="s">
        <v>12705</v>
      </c>
      <c r="C13381" s="14" t="s">
        <v>12722</v>
      </c>
      <c r="D13381" s="1"/>
      <c r="E13381" s="1"/>
      <c r="F13381" s="1" t="str">
        <f>IFERROR(__xludf.DUMMYFUNCTION("GOOGLETRANSLATE(B13381, ""en"", ""fa"")
"),"عکاسی و داستان سرایی تصویری")</f>
        <v>عکاسی و داستان سرایی تصویری</v>
      </c>
      <c r="G13381" s="1" t="str">
        <f>IFERROR(__xludf.DUMMYFUNCTION("GOOGLETRANSLATE(C13381, ""en"", ""fa"")
"),"مراحل ایجاد یک داستان تصویری که زندگی روزمره یک جامعه را مستند می کند چیست؟")</f>
        <v>مراحل ایجاد یک داستان تصویری که زندگی روزمره یک جامعه را مستند می کند چیست؟</v>
      </c>
      <c r="H13381" s="1"/>
      <c r="I13381" s="1"/>
      <c r="J13381" s="1"/>
      <c r="K13381" s="1"/>
      <c r="L13381" s="1"/>
      <c r="M13381" s="1"/>
      <c r="N13381" s="1"/>
      <c r="O13381" s="1"/>
      <c r="P13381" s="1"/>
      <c r="Q13381" s="1"/>
      <c r="R13381" s="1"/>
      <c r="S13381" s="1"/>
      <c r="T13381" s="1"/>
      <c r="U13381" s="1"/>
      <c r="V13381" s="1"/>
      <c r="W13381" s="1"/>
      <c r="X13381" s="1"/>
      <c r="Y13381" s="1"/>
      <c r="Z13381" s="1"/>
      <c r="AA13381" s="1"/>
      <c r="AB13381" s="1"/>
    </row>
    <row r="13382" ht="50.25" customHeight="1">
      <c r="A13382" s="12">
        <v>13378.0</v>
      </c>
      <c r="B13382" s="13" t="s">
        <v>12705</v>
      </c>
      <c r="C13382" s="14" t="s">
        <v>12723</v>
      </c>
      <c r="D13382" s="1"/>
      <c r="E13382" s="1"/>
      <c r="F13382" s="1" t="str">
        <f>IFERROR(__xludf.DUMMYFUNCTION("GOOGLETRANSLATE(B13382, ""en"", ""fa"")
"),"عکاسی و داستان سرایی تصویری")</f>
        <v>عکاسی و داستان سرایی تصویری</v>
      </c>
      <c r="G13382" s="1" t="str">
        <f>IFERROR(__xludf.DUMMYFUNCTION("GOOGLETRANSLATE(C13382, ""en"", ""fa"")
"),"چگونه می توانم گذر زمان و فصول را از طریق عکاسی به طور موثر ثبت کنم؟")</f>
        <v>چگونه می توانم گذر زمان و فصول را از طریق عکاسی به طور موثر ثبت کنم؟</v>
      </c>
      <c r="H13382" s="1"/>
      <c r="I13382" s="1"/>
      <c r="J13382" s="1"/>
      <c r="K13382" s="1"/>
      <c r="L13382" s="1"/>
      <c r="M13382" s="1"/>
      <c r="N13382" s="1"/>
      <c r="O13382" s="1"/>
      <c r="P13382" s="1"/>
      <c r="Q13382" s="1"/>
      <c r="R13382" s="1"/>
      <c r="S13382" s="1"/>
      <c r="T13382" s="1"/>
      <c r="U13382" s="1"/>
      <c r="V13382" s="1"/>
      <c r="W13382" s="1"/>
      <c r="X13382" s="1"/>
      <c r="Y13382" s="1"/>
      <c r="Z13382" s="1"/>
      <c r="AA13382" s="1"/>
      <c r="AB13382" s="1"/>
    </row>
    <row r="13383" ht="50.25" customHeight="1">
      <c r="A13383" s="12">
        <v>13379.0</v>
      </c>
      <c r="B13383" s="13" t="s">
        <v>12705</v>
      </c>
      <c r="C13383" s="14" t="s">
        <v>12724</v>
      </c>
      <c r="D13383" s="1"/>
      <c r="E13383" s="1"/>
      <c r="F13383" s="1" t="str">
        <f>IFERROR(__xludf.DUMMYFUNCTION("GOOGLETRANSLATE(B13383, ""en"", ""fa"")
"),"عکاسی و داستان سرایی تصویری")</f>
        <v>عکاسی و داستان سرایی تصویری</v>
      </c>
      <c r="G13383" s="1" t="str">
        <f>IFERROR(__xludf.DUMMYFUNCTION("GOOGLETRANSLATE(C13383, ""en"", ""fa"")
"),"آیا می توانید نکاتی را برای ایجاد عکاسی دراماتیک و بد خلق با استفاده از سایه ها و کنتراست توصیه کنید؟")</f>
        <v>آیا می توانید نکاتی را برای ایجاد عکاسی دراماتیک و بد خلق با استفاده از سایه ها و کنتراست توصیه کنید؟</v>
      </c>
      <c r="H13383" s="1"/>
      <c r="I13383" s="1"/>
      <c r="J13383" s="1"/>
      <c r="K13383" s="1"/>
      <c r="L13383" s="1"/>
      <c r="M13383" s="1"/>
      <c r="N13383" s="1"/>
      <c r="O13383" s="1"/>
      <c r="P13383" s="1"/>
      <c r="Q13383" s="1"/>
      <c r="R13383" s="1"/>
      <c r="S13383" s="1"/>
      <c r="T13383" s="1"/>
      <c r="U13383" s="1"/>
      <c r="V13383" s="1"/>
      <c r="W13383" s="1"/>
      <c r="X13383" s="1"/>
      <c r="Y13383" s="1"/>
      <c r="Z13383" s="1"/>
      <c r="AA13383" s="1"/>
      <c r="AB13383" s="1"/>
    </row>
    <row r="13384" ht="50.25" customHeight="1">
      <c r="A13384" s="12">
        <v>13380.0</v>
      </c>
      <c r="B13384" s="13" t="s">
        <v>12705</v>
      </c>
      <c r="C13384" s="14" t="s">
        <v>12725</v>
      </c>
      <c r="D13384" s="1"/>
      <c r="E13384" s="1"/>
      <c r="F13384" s="1" t="str">
        <f>IFERROR(__xludf.DUMMYFUNCTION("GOOGLETRANSLATE(B13384, ""en"", ""fa"")
"),"عکاسی و داستان سرایی تصویری")</f>
        <v>عکاسی و داستان سرایی تصویری</v>
      </c>
      <c r="G13384" s="1" t="str">
        <f>IFERROR(__xludf.DUMMYFUNCTION("GOOGLETRANSLATE(C13384, ""en"", ""fa"")
"),"بهترین شیوه ها برای عکاسی از رویدادها و جشن ها با رویکرد قصه گویی چیست؟")</f>
        <v>بهترین شیوه ها برای عکاسی از رویدادها و جشن ها با رویکرد قصه گویی چیست؟</v>
      </c>
      <c r="H13384" s="1"/>
      <c r="I13384" s="1"/>
      <c r="J13384" s="1"/>
      <c r="K13384" s="1"/>
      <c r="L13384" s="1"/>
      <c r="M13384" s="1"/>
      <c r="N13384" s="1"/>
      <c r="O13384" s="1"/>
      <c r="P13384" s="1"/>
      <c r="Q13384" s="1"/>
      <c r="R13384" s="1"/>
      <c r="S13384" s="1"/>
      <c r="T13384" s="1"/>
      <c r="U13384" s="1"/>
      <c r="V13384" s="1"/>
      <c r="W13384" s="1"/>
      <c r="X13384" s="1"/>
      <c r="Y13384" s="1"/>
      <c r="Z13384" s="1"/>
      <c r="AA13384" s="1"/>
      <c r="AB13384" s="1"/>
    </row>
    <row r="13385" ht="50.25" customHeight="1">
      <c r="A13385" s="12">
        <v>13381.0</v>
      </c>
      <c r="B13385" s="13" t="s">
        <v>12705</v>
      </c>
      <c r="C13385" s="14" t="s">
        <v>12726</v>
      </c>
      <c r="D13385" s="1"/>
      <c r="E13385" s="1"/>
      <c r="F13385" s="1" t="str">
        <f>IFERROR(__xludf.DUMMYFUNCTION("GOOGLETRANSLATE(B13385, ""en"", ""fa"")
"),"عکاسی و داستان سرایی تصویری")</f>
        <v>عکاسی و داستان سرایی تصویری</v>
      </c>
      <c r="G13385" s="1" t="str">
        <f>IFERROR(__xludf.DUMMYFUNCTION("GOOGLETRANSLATE(C13385, ""en"", ""fa"")
"),"چگونه از پرسپکتیو و مقیاس برای خلق روایت های بصری منحصر به فرد و جذاب استفاده کنم؟")</f>
        <v>چگونه از پرسپکتیو و مقیاس برای خلق روایت های بصری منحصر به فرد و جذاب استفاده کنم؟</v>
      </c>
      <c r="H13385" s="1"/>
      <c r="I13385" s="1"/>
      <c r="J13385" s="1"/>
      <c r="K13385" s="1"/>
      <c r="L13385" s="1"/>
      <c r="M13385" s="1"/>
      <c r="N13385" s="1"/>
      <c r="O13385" s="1"/>
      <c r="P13385" s="1"/>
      <c r="Q13385" s="1"/>
      <c r="R13385" s="1"/>
      <c r="S13385" s="1"/>
      <c r="T13385" s="1"/>
      <c r="U13385" s="1"/>
      <c r="V13385" s="1"/>
      <c r="W13385" s="1"/>
      <c r="X13385" s="1"/>
      <c r="Y13385" s="1"/>
      <c r="Z13385" s="1"/>
      <c r="AA13385" s="1"/>
      <c r="AB13385" s="1"/>
    </row>
    <row r="13386" ht="50.25" customHeight="1">
      <c r="A13386" s="12">
        <v>13382.0</v>
      </c>
      <c r="B13386" s="13" t="s">
        <v>12705</v>
      </c>
      <c r="C13386" s="14" t="s">
        <v>12727</v>
      </c>
      <c r="D13386" s="1"/>
      <c r="E13386" s="1"/>
      <c r="F13386" s="1" t="str">
        <f>IFERROR(__xludf.DUMMYFUNCTION("GOOGLETRANSLATE(B13386, ""en"", ""fa"")
"),"عکاسی و داستان سرایی تصویری")</f>
        <v>عکاسی و داستان سرایی تصویری</v>
      </c>
      <c r="G13386" s="1" t="str">
        <f>IFERROR(__xludf.DUMMYFUNCTION("GOOGLETRANSLATE(C13386, ""en"", ""fa"")
"),"آیا می توانید تکنیک هایی را برای عکاسی از غذاها و تجربیات آشپزی به شیوه ای جذاب پیشنهاد کنید؟")</f>
        <v>آیا می توانید تکنیک هایی را برای عکاسی از غذاها و تجربیات آشپزی به شیوه ای جذاب پیشنهاد کنید؟</v>
      </c>
      <c r="H13386" s="1"/>
      <c r="I13386" s="1"/>
      <c r="J13386" s="1"/>
      <c r="K13386" s="1"/>
      <c r="L13386" s="1"/>
      <c r="M13386" s="1"/>
      <c r="N13386" s="1"/>
      <c r="O13386" s="1"/>
      <c r="P13386" s="1"/>
      <c r="Q13386" s="1"/>
      <c r="R13386" s="1"/>
      <c r="S13386" s="1"/>
      <c r="T13386" s="1"/>
      <c r="U13386" s="1"/>
      <c r="V13386" s="1"/>
      <c r="W13386" s="1"/>
      <c r="X13386" s="1"/>
      <c r="Y13386" s="1"/>
      <c r="Z13386" s="1"/>
      <c r="AA13386" s="1"/>
      <c r="AB13386" s="1"/>
    </row>
    <row r="13387" ht="50.25" customHeight="1">
      <c r="A13387" s="12">
        <v>13383.0</v>
      </c>
      <c r="B13387" s="13" t="s">
        <v>12705</v>
      </c>
      <c r="C13387" s="14" t="s">
        <v>12728</v>
      </c>
      <c r="D13387" s="1"/>
      <c r="E13387" s="1"/>
      <c r="F13387" s="1" t="str">
        <f>IFERROR(__xludf.DUMMYFUNCTION("GOOGLETRANSLATE(B13387, ""en"", ""fa"")
"),"عکاسی و داستان سرایی تصویری")</f>
        <v>عکاسی و داستان سرایی تصویری</v>
      </c>
      <c r="G13387" s="1" t="str">
        <f>IFERROR(__xludf.DUMMYFUNCTION("GOOGLETRANSLATE(C13387, ""en"", ""fa"")
"),"مراحل ایجاد یک داستان بصری جذاب در حول یک سفر یا تجربه شخصی چیست؟")</f>
        <v>مراحل ایجاد یک داستان بصری جذاب در حول یک سفر یا تجربه شخصی چیست؟</v>
      </c>
      <c r="H13387" s="1"/>
      <c r="I13387" s="1"/>
      <c r="J13387" s="1"/>
      <c r="K13387" s="1"/>
      <c r="L13387" s="1"/>
      <c r="M13387" s="1"/>
      <c r="N13387" s="1"/>
      <c r="O13387" s="1"/>
      <c r="P13387" s="1"/>
      <c r="Q13387" s="1"/>
      <c r="R13387" s="1"/>
      <c r="S13387" s="1"/>
      <c r="T13387" s="1"/>
      <c r="U13387" s="1"/>
      <c r="V13387" s="1"/>
      <c r="W13387" s="1"/>
      <c r="X13387" s="1"/>
      <c r="Y13387" s="1"/>
      <c r="Z13387" s="1"/>
      <c r="AA13387" s="1"/>
      <c r="AB13387" s="1"/>
    </row>
    <row r="13388" ht="50.25" customHeight="1">
      <c r="A13388" s="12">
        <v>13384.0</v>
      </c>
      <c r="B13388" s="13" t="s">
        <v>12705</v>
      </c>
      <c r="C13388" s="14" t="s">
        <v>12729</v>
      </c>
      <c r="D13388" s="1"/>
      <c r="E13388" s="1"/>
      <c r="F13388" s="1" t="str">
        <f>IFERROR(__xludf.DUMMYFUNCTION("GOOGLETRANSLATE(B13388, ""en"", ""fa"")
"),"عکاسی و داستان سرایی تصویری")</f>
        <v>عکاسی و داستان سرایی تصویری</v>
      </c>
      <c r="G13388" s="1" t="str">
        <f>IFERROR(__xludf.DUMMYFUNCTION("GOOGLETRANSLATE(C13388, ""en"", ""fa"")
"),"چگونه می توانم از نمادگرایی و استعاره برای افزودن عمق و معنا به روایت های عکاسی خود استفاده کنم؟")</f>
        <v>چگونه می توانم از نمادگرایی و استعاره برای افزودن عمق و معنا به روایت های عکاسی خود استفاده کنم؟</v>
      </c>
      <c r="H13388" s="1"/>
      <c r="I13388" s="1"/>
      <c r="J13388" s="1"/>
      <c r="K13388" s="1"/>
      <c r="L13388" s="1"/>
      <c r="M13388" s="1"/>
      <c r="N13388" s="1"/>
      <c r="O13388" s="1"/>
      <c r="P13388" s="1"/>
      <c r="Q13388" s="1"/>
      <c r="R13388" s="1"/>
      <c r="S13388" s="1"/>
      <c r="T13388" s="1"/>
      <c r="U13388" s="1"/>
      <c r="V13388" s="1"/>
      <c r="W13388" s="1"/>
      <c r="X13388" s="1"/>
      <c r="Y13388" s="1"/>
      <c r="Z13388" s="1"/>
      <c r="AA13388" s="1"/>
      <c r="AB13388" s="1"/>
    </row>
    <row r="13389" ht="50.25" customHeight="1">
      <c r="A13389" s="12">
        <v>13385.0</v>
      </c>
      <c r="B13389" s="13" t="s">
        <v>12705</v>
      </c>
      <c r="C13389" s="14" t="s">
        <v>12730</v>
      </c>
      <c r="D13389" s="1"/>
      <c r="E13389" s="1"/>
      <c r="F13389" s="1" t="str">
        <f>IFERROR(__xludf.DUMMYFUNCTION("GOOGLETRANSLATE(B13389, ""en"", ""fa"")
"),"عکاسی و داستان سرایی تصویری")</f>
        <v>عکاسی و داستان سرایی تصویری</v>
      </c>
      <c r="G13389" s="1" t="str">
        <f>IFERROR(__xludf.DUMMYFUNCTION("GOOGLETRANSLATE(C13389, ""en"", ""fa"")
"),"آیا می توانید استراتژی هایی را برای به تصویر کشیدن احساسات و تعاملات خانواده و دوستان توصیه کنید؟")</f>
        <v>آیا می توانید استراتژی هایی را برای به تصویر کشیدن احساسات و تعاملات خانواده و دوستان توصیه کنید؟</v>
      </c>
      <c r="H13389" s="1"/>
      <c r="I13389" s="1"/>
      <c r="J13389" s="1"/>
      <c r="K13389" s="1"/>
      <c r="L13389" s="1"/>
      <c r="M13389" s="1"/>
      <c r="N13389" s="1"/>
      <c r="O13389" s="1"/>
      <c r="P13389" s="1"/>
      <c r="Q13389" s="1"/>
      <c r="R13389" s="1"/>
      <c r="S13389" s="1"/>
      <c r="T13389" s="1"/>
      <c r="U13389" s="1"/>
      <c r="V13389" s="1"/>
      <c r="W13389" s="1"/>
      <c r="X13389" s="1"/>
      <c r="Y13389" s="1"/>
      <c r="Z13389" s="1"/>
      <c r="AA13389" s="1"/>
      <c r="AB13389" s="1"/>
    </row>
    <row r="13390" ht="50.25" customHeight="1">
      <c r="A13390" s="12">
        <v>13386.0</v>
      </c>
      <c r="B13390" s="13" t="s">
        <v>12705</v>
      </c>
      <c r="C13390" s="14" t="s">
        <v>12731</v>
      </c>
      <c r="D13390" s="1"/>
      <c r="E13390" s="1"/>
      <c r="F13390" s="1" t="str">
        <f>IFERROR(__xludf.DUMMYFUNCTION("GOOGLETRANSLATE(B13390, ""en"", ""fa"")
"),"عکاسی و داستان سرایی تصویری")</f>
        <v>عکاسی و داستان سرایی تصویری</v>
      </c>
      <c r="G13390" s="1" t="str">
        <f>IFERROR(__xludf.DUMMYFUNCTION("GOOGLETRANSLATE(C13390, ""en"", ""fa"")
"),"بهترین تکنیک ها برای استفاده از بازتاب و تقارن برای تقویت داستان گویی بصری چیست؟")</f>
        <v>بهترین تکنیک ها برای استفاده از بازتاب و تقارن برای تقویت داستان گویی بصری چیست؟</v>
      </c>
      <c r="H13390" s="1"/>
      <c r="I13390" s="1"/>
      <c r="J13390" s="1"/>
      <c r="K13390" s="1"/>
      <c r="L13390" s="1"/>
      <c r="M13390" s="1"/>
      <c r="N13390" s="1"/>
      <c r="O13390" s="1"/>
      <c r="P13390" s="1"/>
      <c r="Q13390" s="1"/>
      <c r="R13390" s="1"/>
      <c r="S13390" s="1"/>
      <c r="T13390" s="1"/>
      <c r="U13390" s="1"/>
      <c r="V13390" s="1"/>
      <c r="W13390" s="1"/>
      <c r="X13390" s="1"/>
      <c r="Y13390" s="1"/>
      <c r="Z13390" s="1"/>
      <c r="AA13390" s="1"/>
      <c r="AB13390" s="1"/>
    </row>
    <row r="13391" ht="50.25" customHeight="1">
      <c r="A13391" s="12">
        <v>13387.0</v>
      </c>
      <c r="B13391" s="13" t="s">
        <v>12705</v>
      </c>
      <c r="C13391" s="14" t="s">
        <v>12732</v>
      </c>
      <c r="D13391" s="1"/>
      <c r="E13391" s="1"/>
      <c r="F13391" s="1" t="str">
        <f>IFERROR(__xludf.DUMMYFUNCTION("GOOGLETRANSLATE(B13391, ""en"", ""fa"")
"),"عکاسی و داستان سرایی تصویری")</f>
        <v>عکاسی و داستان سرایی تصویری</v>
      </c>
      <c r="G13391" s="1" t="str">
        <f>IFERROR(__xludf.DUMMYFUNCTION("GOOGLETRANSLATE(C13391, ""en"", ""fa"")
"),"چگونه عنصر غافلگیری و لحظات غیرمنتظره را در عکاسی خود بگنجانم؟")</f>
        <v>چگونه عنصر غافلگیری و لحظات غیرمنتظره را در عکاسی خود بگنجانم؟</v>
      </c>
      <c r="H13391" s="1"/>
      <c r="I13391" s="1"/>
      <c r="J13391" s="1"/>
      <c r="K13391" s="1"/>
      <c r="L13391" s="1"/>
      <c r="M13391" s="1"/>
      <c r="N13391" s="1"/>
      <c r="O13391" s="1"/>
      <c r="P13391" s="1"/>
      <c r="Q13391" s="1"/>
      <c r="R13391" s="1"/>
      <c r="S13391" s="1"/>
      <c r="T13391" s="1"/>
      <c r="U13391" s="1"/>
      <c r="V13391" s="1"/>
      <c r="W13391" s="1"/>
      <c r="X13391" s="1"/>
      <c r="Y13391" s="1"/>
      <c r="Z13391" s="1"/>
      <c r="AA13391" s="1"/>
      <c r="AB13391" s="1"/>
    </row>
    <row r="13392" ht="50.25" customHeight="1">
      <c r="A13392" s="12">
        <v>13388.0</v>
      </c>
      <c r="B13392" s="13" t="s">
        <v>12705</v>
      </c>
      <c r="C13392" s="14" t="s">
        <v>12733</v>
      </c>
      <c r="D13392" s="1"/>
      <c r="E13392" s="1"/>
      <c r="F13392" s="1" t="str">
        <f>IFERROR(__xludf.DUMMYFUNCTION("GOOGLETRANSLATE(B13392, ""en"", ""fa"")
"),"عکاسی و داستان سرایی تصویری")</f>
        <v>عکاسی و داستان سرایی تصویری</v>
      </c>
      <c r="G13392" s="1" t="str">
        <f>IFERROR(__xludf.DUMMYFUNCTION("GOOGLETRANSLATE(C13392, ""en"", ""fa"")
"),"آیا می‌توانید راه‌هایی برای ایجاد یک داستان بصری منسجم از طریق مجموعه‌ای از خودنگاره‌ها پیشنهاد کنید؟")</f>
        <v>آیا می‌توانید راه‌هایی برای ایجاد یک داستان بصری منسجم از طریق مجموعه‌ای از خودنگاره‌ها پیشنهاد کنید؟</v>
      </c>
      <c r="H13392" s="1"/>
      <c r="I13392" s="1"/>
      <c r="J13392" s="1"/>
      <c r="K13392" s="1"/>
      <c r="L13392" s="1"/>
      <c r="M13392" s="1"/>
      <c r="N13392" s="1"/>
      <c r="O13392" s="1"/>
      <c r="P13392" s="1"/>
      <c r="Q13392" s="1"/>
      <c r="R13392" s="1"/>
      <c r="S13392" s="1"/>
      <c r="T13392" s="1"/>
      <c r="U13392" s="1"/>
      <c r="V13392" s="1"/>
      <c r="W13392" s="1"/>
      <c r="X13392" s="1"/>
      <c r="Y13392" s="1"/>
      <c r="Z13392" s="1"/>
      <c r="AA13392" s="1"/>
      <c r="AB13392" s="1"/>
    </row>
    <row r="13393" ht="50.25" customHeight="1">
      <c r="A13393" s="12">
        <v>13389.0</v>
      </c>
      <c r="B13393" s="13" t="s">
        <v>12705</v>
      </c>
      <c r="C13393" s="14" t="s">
        <v>12734</v>
      </c>
      <c r="D13393" s="1"/>
      <c r="E13393" s="1"/>
      <c r="F13393" s="1" t="str">
        <f>IFERROR(__xludf.DUMMYFUNCTION("GOOGLETRANSLATE(B13393, ""en"", ""fa"")
"),"عکاسی و داستان سرایی تصویری")</f>
        <v>عکاسی و داستان سرایی تصویری</v>
      </c>
      <c r="G13393" s="1" t="str">
        <f>IFERROR(__xludf.DUMMYFUNCTION("GOOGLETRANSLATE(C13393, ""en"", ""fa"")
"),"مراحل ایجاد یک داستان تصویری که آگاهی را در مورد یک موضوع اجتماعی یا زیست محیطی افزایش می دهد چیست؟")</f>
        <v>مراحل ایجاد یک داستان تصویری که آگاهی را در مورد یک موضوع اجتماعی یا زیست محیطی افزایش می دهد چیست؟</v>
      </c>
      <c r="H13393" s="1"/>
      <c r="I13393" s="1"/>
      <c r="J13393" s="1"/>
      <c r="K13393" s="1"/>
      <c r="L13393" s="1"/>
      <c r="M13393" s="1"/>
      <c r="N13393" s="1"/>
      <c r="O13393" s="1"/>
      <c r="P13393" s="1"/>
      <c r="Q13393" s="1"/>
      <c r="R13393" s="1"/>
      <c r="S13393" s="1"/>
      <c r="T13393" s="1"/>
      <c r="U13393" s="1"/>
      <c r="V13393" s="1"/>
      <c r="W13393" s="1"/>
      <c r="X13393" s="1"/>
      <c r="Y13393" s="1"/>
      <c r="Z13393" s="1"/>
      <c r="AA13393" s="1"/>
      <c r="AB13393" s="1"/>
    </row>
    <row r="13394" ht="50.25" customHeight="1">
      <c r="A13394" s="12">
        <v>13390.0</v>
      </c>
      <c r="B13394" s="13" t="s">
        <v>12705</v>
      </c>
      <c r="C13394" s="14" t="s">
        <v>12735</v>
      </c>
      <c r="D13394" s="1"/>
      <c r="E13394" s="1"/>
      <c r="F13394" s="1" t="str">
        <f>IFERROR(__xludf.DUMMYFUNCTION("GOOGLETRANSLATE(B13394, ""en"", ""fa"")
"),"عکاسی و داستان سرایی تصویری")</f>
        <v>عکاسی و داستان سرایی تصویری</v>
      </c>
      <c r="G13394" s="1" t="str">
        <f>IFERROR(__xludf.DUMMYFUNCTION("GOOGLETRANSLATE(C13394, ""en"", ""fa"")
"),"چگونه می توانم از مینیمالیسم و ​​فضای منفی برای انتقال پیام های قدرتمند در عکس هایم استفاده کنم؟")</f>
        <v>چگونه می توانم از مینیمالیسم و ​​فضای منفی برای انتقال پیام های قدرتمند در عکس هایم استفاده کنم؟</v>
      </c>
      <c r="H13394" s="1"/>
      <c r="I13394" s="1"/>
      <c r="J13394" s="1"/>
      <c r="K13394" s="1"/>
      <c r="L13394" s="1"/>
      <c r="M13394" s="1"/>
      <c r="N13394" s="1"/>
      <c r="O13394" s="1"/>
      <c r="P13394" s="1"/>
      <c r="Q13394" s="1"/>
      <c r="R13394" s="1"/>
      <c r="S13394" s="1"/>
      <c r="T13394" s="1"/>
      <c r="U13394" s="1"/>
      <c r="V13394" s="1"/>
      <c r="W13394" s="1"/>
      <c r="X13394" s="1"/>
      <c r="Y13394" s="1"/>
      <c r="Z13394" s="1"/>
      <c r="AA13394" s="1"/>
      <c r="AB13394" s="1"/>
    </row>
    <row r="13395" ht="50.25" customHeight="1">
      <c r="A13395" s="12">
        <v>13391.0</v>
      </c>
      <c r="B13395" s="13" t="s">
        <v>12705</v>
      </c>
      <c r="C13395" s="14" t="s">
        <v>12736</v>
      </c>
      <c r="D13395" s="1"/>
      <c r="E13395" s="1"/>
      <c r="F13395" s="1" t="str">
        <f>IFERROR(__xludf.DUMMYFUNCTION("GOOGLETRANSLATE(B13395, ""en"", ""fa"")
"),"عکاسی و داستان سرایی تصویری")</f>
        <v>عکاسی و داستان سرایی تصویری</v>
      </c>
      <c r="G13395" s="1" t="str">
        <f>IFERROR(__xludf.DUMMYFUNCTION("GOOGLETRANSLATE(C13395, ""en"", ""fa"")
"),"آیا می توانید نکاتی را برای ایجاد روایت های بصری سورئال و رویایی از طریق ویرایش توصیه کنید؟")</f>
        <v>آیا می توانید نکاتی را برای ایجاد روایت های بصری سورئال و رویایی از طریق ویرایش توصیه کنید؟</v>
      </c>
      <c r="H13395" s="1"/>
      <c r="I13395" s="1"/>
      <c r="J13395" s="1"/>
      <c r="K13395" s="1"/>
      <c r="L13395" s="1"/>
      <c r="M13395" s="1"/>
      <c r="N13395" s="1"/>
      <c r="O13395" s="1"/>
      <c r="P13395" s="1"/>
      <c r="Q13395" s="1"/>
      <c r="R13395" s="1"/>
      <c r="S13395" s="1"/>
      <c r="T13395" s="1"/>
      <c r="U13395" s="1"/>
      <c r="V13395" s="1"/>
      <c r="W13395" s="1"/>
      <c r="X13395" s="1"/>
      <c r="Y13395" s="1"/>
      <c r="Z13395" s="1"/>
      <c r="AA13395" s="1"/>
      <c r="AB13395" s="1"/>
    </row>
    <row r="13396" ht="50.25" customHeight="1">
      <c r="A13396" s="12">
        <v>13392.0</v>
      </c>
      <c r="B13396" s="13" t="s">
        <v>12705</v>
      </c>
      <c r="C13396" s="14" t="s">
        <v>12737</v>
      </c>
      <c r="D13396" s="1"/>
      <c r="E13396" s="1"/>
      <c r="F13396" s="1" t="str">
        <f>IFERROR(__xludf.DUMMYFUNCTION("GOOGLETRANSLATE(B13396, ""en"", ""fa"")
"),"عکاسی و داستان سرایی تصویری")</f>
        <v>عکاسی و داستان سرایی تصویری</v>
      </c>
      <c r="G13396" s="1" t="str">
        <f>IFERROR(__xludf.DUMMYFUNCTION("GOOGLETRANSLATE(C13396, ""en"", ""fa"")
"),"بهترین روش ها برای عکاسی از تجربیات سفر که ماهیت یک مکان را به تصویر می کشد چیست؟")</f>
        <v>بهترین روش ها برای عکاسی از تجربیات سفر که ماهیت یک مکان را به تصویر می کشد چیست؟</v>
      </c>
      <c r="H13396" s="1"/>
      <c r="I13396" s="1"/>
      <c r="J13396" s="1"/>
      <c r="K13396" s="1"/>
      <c r="L13396" s="1"/>
      <c r="M13396" s="1"/>
      <c r="N13396" s="1"/>
      <c r="O13396" s="1"/>
      <c r="P13396" s="1"/>
      <c r="Q13396" s="1"/>
      <c r="R13396" s="1"/>
      <c r="S13396" s="1"/>
      <c r="T13396" s="1"/>
      <c r="U13396" s="1"/>
      <c r="V13396" s="1"/>
      <c r="W13396" s="1"/>
      <c r="X13396" s="1"/>
      <c r="Y13396" s="1"/>
      <c r="Z13396" s="1"/>
      <c r="AA13396" s="1"/>
      <c r="AB13396" s="1"/>
    </row>
    <row r="13397" ht="50.25" customHeight="1">
      <c r="A13397" s="12">
        <v>13393.0</v>
      </c>
      <c r="B13397" s="13" t="s">
        <v>12705</v>
      </c>
      <c r="C13397" s="14" t="s">
        <v>12738</v>
      </c>
      <c r="D13397" s="1"/>
      <c r="E13397" s="1"/>
      <c r="F13397" s="1" t="str">
        <f>IFERROR(__xludf.DUMMYFUNCTION("GOOGLETRANSLATE(B13397, ""en"", ""fa"")
"),"عکاسی و داستان سرایی تصویری")</f>
        <v>عکاسی و داستان سرایی تصویری</v>
      </c>
      <c r="G13397" s="1" t="str">
        <f>IFERROR(__xludf.DUMMYFUNCTION("GOOGLETRANSLATE(C13397, ""en"", ""fa"")
"),"چگونه از کنار هم قرار گرفتن و کنار هم قرار گرفتن برای ایجاد داستان های بصری فکر برانگیز استفاده کنم؟")</f>
        <v>چگونه از کنار هم قرار گرفتن و کنار هم قرار گرفتن برای ایجاد داستان های بصری فکر برانگیز استفاده کنم؟</v>
      </c>
      <c r="H13397" s="1"/>
      <c r="I13397" s="1"/>
      <c r="J13397" s="1"/>
      <c r="K13397" s="1"/>
      <c r="L13397" s="1"/>
      <c r="M13397" s="1"/>
      <c r="N13397" s="1"/>
      <c r="O13397" s="1"/>
      <c r="P13397" s="1"/>
      <c r="Q13397" s="1"/>
      <c r="R13397" s="1"/>
      <c r="S13397" s="1"/>
      <c r="T13397" s="1"/>
      <c r="U13397" s="1"/>
      <c r="V13397" s="1"/>
      <c r="W13397" s="1"/>
      <c r="X13397" s="1"/>
      <c r="Y13397" s="1"/>
      <c r="Z13397" s="1"/>
      <c r="AA13397" s="1"/>
      <c r="AB13397" s="1"/>
    </row>
    <row r="13398" ht="50.25" customHeight="1">
      <c r="A13398" s="12">
        <v>13394.0</v>
      </c>
      <c r="B13398" s="13" t="s">
        <v>12705</v>
      </c>
      <c r="C13398" s="14" t="s">
        <v>12739</v>
      </c>
      <c r="D13398" s="1"/>
      <c r="E13398" s="1"/>
      <c r="F13398" s="1" t="str">
        <f>IFERROR(__xludf.DUMMYFUNCTION("GOOGLETRANSLATE(B13398, ""en"", ""fa"")
"),"عکاسی و داستان سرایی تصویری")</f>
        <v>عکاسی و داستان سرایی تصویری</v>
      </c>
      <c r="G13398" s="1" t="str">
        <f>IFERROR(__xludf.DUMMYFUNCTION("GOOGLETRANSLATE(C13398, ""en"", ""fa"")
"),"آیا می توانید تکنیک هایی را برای به تصویر کشیدن ماهیت فرهنگ های مختلف از طریق عکاسی پیشنهاد کنید؟")</f>
        <v>آیا می توانید تکنیک هایی را برای به تصویر کشیدن ماهیت فرهنگ های مختلف از طریق عکاسی پیشنهاد کنید؟</v>
      </c>
      <c r="H13398" s="1"/>
      <c r="I13398" s="1"/>
      <c r="J13398" s="1"/>
      <c r="K13398" s="1"/>
      <c r="L13398" s="1"/>
      <c r="M13398" s="1"/>
      <c r="N13398" s="1"/>
      <c r="O13398" s="1"/>
      <c r="P13398" s="1"/>
      <c r="Q13398" s="1"/>
      <c r="R13398" s="1"/>
      <c r="S13398" s="1"/>
      <c r="T13398" s="1"/>
      <c r="U13398" s="1"/>
      <c r="V13398" s="1"/>
      <c r="W13398" s="1"/>
      <c r="X13398" s="1"/>
      <c r="Y13398" s="1"/>
      <c r="Z13398" s="1"/>
      <c r="AA13398" s="1"/>
      <c r="AB13398" s="1"/>
    </row>
    <row r="13399" ht="50.25" customHeight="1">
      <c r="A13399" s="12">
        <v>13395.0</v>
      </c>
      <c r="B13399" s="13" t="s">
        <v>12705</v>
      </c>
      <c r="C13399" s="14" t="s">
        <v>12740</v>
      </c>
      <c r="D13399" s="1"/>
      <c r="E13399" s="1"/>
      <c r="F13399" s="1" t="str">
        <f>IFERROR(__xludf.DUMMYFUNCTION("GOOGLETRANSLATE(B13399, ""en"", ""fa"")
"),"عکاسی و داستان سرایی تصویری")</f>
        <v>عکاسی و داستان سرایی تصویری</v>
      </c>
      <c r="G13399" s="1" t="str">
        <f>IFERROR(__xludf.DUMMYFUNCTION("GOOGLETRANSLATE(C13399, ""en"", ""fa"")
"),"مراحل ایجاد یک داستان تصویری که دگرگونی یک موضوع را مستند می کند چیست؟")</f>
        <v>مراحل ایجاد یک داستان تصویری که دگرگونی یک موضوع را مستند می کند چیست؟</v>
      </c>
      <c r="H13399" s="1"/>
      <c r="I13399" s="1"/>
      <c r="J13399" s="1"/>
      <c r="K13399" s="1"/>
      <c r="L13399" s="1"/>
      <c r="M13399" s="1"/>
      <c r="N13399" s="1"/>
      <c r="O13399" s="1"/>
      <c r="P13399" s="1"/>
      <c r="Q13399" s="1"/>
      <c r="R13399" s="1"/>
      <c r="S13399" s="1"/>
      <c r="T13399" s="1"/>
      <c r="U13399" s="1"/>
      <c r="V13399" s="1"/>
      <c r="W13399" s="1"/>
      <c r="X13399" s="1"/>
      <c r="Y13399" s="1"/>
      <c r="Z13399" s="1"/>
      <c r="AA13399" s="1"/>
      <c r="AB13399" s="1"/>
    </row>
    <row r="13400" ht="50.25" customHeight="1">
      <c r="A13400" s="12">
        <v>13396.0</v>
      </c>
      <c r="B13400" s="13" t="s">
        <v>12705</v>
      </c>
      <c r="C13400" s="14" t="s">
        <v>12741</v>
      </c>
      <c r="D13400" s="1"/>
      <c r="E13400" s="1"/>
      <c r="F13400" s="1" t="str">
        <f>IFERROR(__xludf.DUMMYFUNCTION("GOOGLETRANSLATE(B13400, ""en"", ""fa"")
"),"عکاسی و داستان سرایی تصویری")</f>
        <v>عکاسی و داستان سرایی تصویری</v>
      </c>
      <c r="G13400" s="1" t="str">
        <f>IFERROR(__xludf.DUMMYFUNCTION("GOOGLETRANSLATE(C13400, ""en"", ""fa"")
"),"چگونه می توانم به طور موثر از عکاسی سیاه و سفید برای انتقال احساسات و خلق و خو استفاده کنم؟")</f>
        <v>چگونه می توانم به طور موثر از عکاسی سیاه و سفید برای انتقال احساسات و خلق و خو استفاده کنم؟</v>
      </c>
      <c r="H13400" s="1"/>
      <c r="I13400" s="1"/>
      <c r="J13400" s="1"/>
      <c r="K13400" s="1"/>
      <c r="L13400" s="1"/>
      <c r="M13400" s="1"/>
      <c r="N13400" s="1"/>
      <c r="O13400" s="1"/>
      <c r="P13400" s="1"/>
      <c r="Q13400" s="1"/>
      <c r="R13400" s="1"/>
      <c r="S13400" s="1"/>
      <c r="T13400" s="1"/>
      <c r="U13400" s="1"/>
      <c r="V13400" s="1"/>
      <c r="W13400" s="1"/>
      <c r="X13400" s="1"/>
      <c r="Y13400" s="1"/>
      <c r="Z13400" s="1"/>
      <c r="AA13400" s="1"/>
      <c r="AB13400" s="1"/>
    </row>
    <row r="13401" ht="50.25" customHeight="1">
      <c r="A13401" s="12">
        <v>13397.0</v>
      </c>
      <c r="B13401" s="13" t="s">
        <v>12705</v>
      </c>
      <c r="C13401" s="14" t="s">
        <v>12742</v>
      </c>
      <c r="D13401" s="1"/>
      <c r="E13401" s="1"/>
      <c r="F13401" s="1" t="str">
        <f>IFERROR(__xludf.DUMMYFUNCTION("GOOGLETRANSLATE(B13401, ""en"", ""fa"")
"),"عکاسی و داستان سرایی تصویری")</f>
        <v>عکاسی و داستان سرایی تصویری</v>
      </c>
      <c r="G13401" s="1" t="str">
        <f>IFERROR(__xludf.DUMMYFUNCTION("GOOGLETRANSLATE(C13401, ""en"", ""fa"")
"),"آیا می توانید راهکارهایی برای ثبت زیبایی و منحصر به فرد بودن لحظات روزمره توصیه کنید؟")</f>
        <v>آیا می توانید راهکارهایی برای ثبت زیبایی و منحصر به فرد بودن لحظات روزمره توصیه کنید؟</v>
      </c>
      <c r="H13401" s="1"/>
      <c r="I13401" s="1"/>
      <c r="J13401" s="1"/>
      <c r="K13401" s="1"/>
      <c r="L13401" s="1"/>
      <c r="M13401" s="1"/>
      <c r="N13401" s="1"/>
      <c r="O13401" s="1"/>
      <c r="P13401" s="1"/>
      <c r="Q13401" s="1"/>
      <c r="R13401" s="1"/>
      <c r="S13401" s="1"/>
      <c r="T13401" s="1"/>
      <c r="U13401" s="1"/>
      <c r="V13401" s="1"/>
      <c r="W13401" s="1"/>
      <c r="X13401" s="1"/>
      <c r="Y13401" s="1"/>
      <c r="Z13401" s="1"/>
      <c r="AA13401" s="1"/>
      <c r="AB13401" s="1"/>
    </row>
    <row r="13402" ht="50.25" customHeight="1">
      <c r="A13402" s="12">
        <v>13398.0</v>
      </c>
      <c r="B13402" s="13" t="s">
        <v>12705</v>
      </c>
      <c r="C13402" s="14" t="s">
        <v>12743</v>
      </c>
      <c r="D13402" s="1"/>
      <c r="E13402" s="1"/>
      <c r="F13402" s="1" t="str">
        <f>IFERROR(__xludf.DUMMYFUNCTION("GOOGLETRANSLATE(B13402, ""en"", ""fa"")
"),"عکاسی و داستان سرایی تصویری")</f>
        <v>عکاسی و داستان سرایی تصویری</v>
      </c>
      <c r="G13402" s="1" t="str">
        <f>IFERROR(__xludf.DUMMYFUNCTION("GOOGLETRANSLATE(C13402, ""en"", ""fa"")
"),"بهترین تکنیک ها برای استفاده از کادربندی و ترکیب بندی برای برجسته کردن داستان سوژه چیست؟")</f>
        <v>بهترین تکنیک ها برای استفاده از کادربندی و ترکیب بندی برای برجسته کردن داستان سوژه چیست؟</v>
      </c>
      <c r="H13402" s="1"/>
      <c r="I13402" s="1"/>
      <c r="J13402" s="1"/>
      <c r="K13402" s="1"/>
      <c r="L13402" s="1"/>
      <c r="M13402" s="1"/>
      <c r="N13402" s="1"/>
      <c r="O13402" s="1"/>
      <c r="P13402" s="1"/>
      <c r="Q13402" s="1"/>
      <c r="R13402" s="1"/>
      <c r="S13402" s="1"/>
      <c r="T13402" s="1"/>
      <c r="U13402" s="1"/>
      <c r="V13402" s="1"/>
      <c r="W13402" s="1"/>
      <c r="X13402" s="1"/>
      <c r="Y13402" s="1"/>
      <c r="Z13402" s="1"/>
      <c r="AA13402" s="1"/>
      <c r="AB13402" s="1"/>
    </row>
    <row r="13403" ht="50.25" customHeight="1">
      <c r="A13403" s="12">
        <v>13399.0</v>
      </c>
      <c r="B13403" s="13" t="s">
        <v>12705</v>
      </c>
      <c r="C13403" s="14" t="s">
        <v>12744</v>
      </c>
      <c r="D13403" s="1"/>
      <c r="E13403" s="1"/>
      <c r="F13403" s="1" t="str">
        <f>IFERROR(__xludf.DUMMYFUNCTION("GOOGLETRANSLATE(B13403, ""en"", ""fa"")
"),"عکاسی و داستان سرایی تصویری")</f>
        <v>عکاسی و داستان سرایی تصویری</v>
      </c>
      <c r="G13403" s="1" t="str">
        <f>IFERROR(__xludf.DUMMYFUNCTION("GOOGLETRANSLATE(C13403, ""en"", ""fa"")
"),"چگونه می توانم یک روایت بصری ایجاد کنم که مفهوم هویت و بیان خود را بررسی کند؟")</f>
        <v>چگونه می توانم یک روایت بصری ایجاد کنم که مفهوم هویت و بیان خود را بررسی کند؟</v>
      </c>
      <c r="H13403" s="1"/>
      <c r="I13403" s="1"/>
      <c r="J13403" s="1"/>
      <c r="K13403" s="1"/>
      <c r="L13403" s="1"/>
      <c r="M13403" s="1"/>
      <c r="N13403" s="1"/>
      <c r="O13403" s="1"/>
      <c r="P13403" s="1"/>
      <c r="Q13403" s="1"/>
      <c r="R13403" s="1"/>
      <c r="S13403" s="1"/>
      <c r="T13403" s="1"/>
      <c r="U13403" s="1"/>
      <c r="V13403" s="1"/>
      <c r="W13403" s="1"/>
      <c r="X13403" s="1"/>
      <c r="Y13403" s="1"/>
      <c r="Z13403" s="1"/>
      <c r="AA13403" s="1"/>
      <c r="AB13403" s="1"/>
    </row>
    <row r="13404" ht="50.25" customHeight="1">
      <c r="A13404" s="12">
        <v>13400.0</v>
      </c>
      <c r="B13404" s="13" t="s">
        <v>12705</v>
      </c>
      <c r="C13404" s="14" t="s">
        <v>12745</v>
      </c>
      <c r="D13404" s="1"/>
      <c r="E13404" s="1"/>
      <c r="F13404" s="1" t="str">
        <f>IFERROR(__xludf.DUMMYFUNCTION("GOOGLETRANSLATE(B13404, ""en"", ""fa"")
"),"عکاسی و داستان سرایی تصویری")</f>
        <v>عکاسی و داستان سرایی تصویری</v>
      </c>
      <c r="G13404" s="1" t="str">
        <f>IFERROR(__xludf.DUMMYFUNCTION("GOOGLETRANSLATE(C13404, ""en"", ""fa"")
"),"آیا می توانید راه هایی برای استفاده از نمای نزدیک و جزئیات برای تقویت جنبه داستان گویی عکس ها پیشنهاد دهید؟")</f>
        <v>آیا می توانید راه هایی برای استفاده از نمای نزدیک و جزئیات برای تقویت جنبه داستان گویی عکس ها پیشنهاد دهید؟</v>
      </c>
      <c r="H13404" s="1"/>
      <c r="I13404" s="1"/>
      <c r="J13404" s="1"/>
      <c r="K13404" s="1"/>
      <c r="L13404" s="1"/>
      <c r="M13404" s="1"/>
      <c r="N13404" s="1"/>
      <c r="O13404" s="1"/>
      <c r="P13404" s="1"/>
      <c r="Q13404" s="1"/>
      <c r="R13404" s="1"/>
      <c r="S13404" s="1"/>
      <c r="T13404" s="1"/>
      <c r="U13404" s="1"/>
      <c r="V13404" s="1"/>
      <c r="W13404" s="1"/>
      <c r="X13404" s="1"/>
      <c r="Y13404" s="1"/>
      <c r="Z13404" s="1"/>
      <c r="AA13404" s="1"/>
      <c r="AB13404" s="1"/>
    </row>
    <row r="13405" ht="50.25" customHeight="1">
      <c r="A13405" s="12">
        <v>13401.0</v>
      </c>
      <c r="B13405" s="13" t="s">
        <v>12705</v>
      </c>
      <c r="C13405" s="14" t="s">
        <v>12746</v>
      </c>
      <c r="D13405" s="1"/>
      <c r="E13405" s="1"/>
      <c r="F13405" s="1" t="str">
        <f>IFERROR(__xludf.DUMMYFUNCTION("GOOGLETRANSLATE(B13405, ""en"", ""fa"")
"),"عکاسی و داستان سرایی تصویری")</f>
        <v>عکاسی و داستان سرایی تصویری</v>
      </c>
      <c r="G13405" s="1" t="str">
        <f>IFERROR(__xludf.DUMMYFUNCTION("GOOGLETRANSLATE(C13405, ""en"", ""fa"")
"),"مراحل ساخت یک داستان تصویری که روح یک جشنواره فرهنگی را به تصویر می کشد چیست؟")</f>
        <v>مراحل ساخت یک داستان تصویری که روح یک جشنواره فرهنگی را به تصویر می کشد چیست؟</v>
      </c>
      <c r="H13405" s="1"/>
      <c r="I13405" s="1"/>
      <c r="J13405" s="1"/>
      <c r="K13405" s="1"/>
      <c r="L13405" s="1"/>
      <c r="M13405" s="1"/>
      <c r="N13405" s="1"/>
      <c r="O13405" s="1"/>
      <c r="P13405" s="1"/>
      <c r="Q13405" s="1"/>
      <c r="R13405" s="1"/>
      <c r="S13405" s="1"/>
      <c r="T13405" s="1"/>
      <c r="U13405" s="1"/>
      <c r="V13405" s="1"/>
      <c r="W13405" s="1"/>
      <c r="X13405" s="1"/>
      <c r="Y13405" s="1"/>
      <c r="Z13405" s="1"/>
      <c r="AA13405" s="1"/>
      <c r="AB13405" s="1"/>
    </row>
    <row r="13406" ht="50.25" customHeight="1">
      <c r="A13406" s="12">
        <v>13402.0</v>
      </c>
      <c r="B13406" s="13" t="s">
        <v>12705</v>
      </c>
      <c r="C13406" s="14" t="s">
        <v>12747</v>
      </c>
      <c r="D13406" s="1"/>
      <c r="E13406" s="1"/>
      <c r="F13406" s="1" t="str">
        <f>IFERROR(__xludf.DUMMYFUNCTION("GOOGLETRANSLATE(B13406, ""en"", ""fa"")
"),"عکاسی و داستان سرایی تصویری")</f>
        <v>عکاسی و داستان سرایی تصویری</v>
      </c>
      <c r="G13406" s="1" t="str">
        <f>IFERROR(__xludf.DUMMYFUNCTION("GOOGLETRANSLATE(C13406, ""en"", ""fa"")
"),"چگونه می توانم نمادها و استعاره ها را برای انتقال معانی عمیق تر در عکس هایم بگنجانم؟")</f>
        <v>چگونه می توانم نمادها و استعاره ها را برای انتقال معانی عمیق تر در عکس هایم بگنجانم؟</v>
      </c>
      <c r="H13406" s="1"/>
      <c r="I13406" s="1"/>
      <c r="J13406" s="1"/>
      <c r="K13406" s="1"/>
      <c r="L13406" s="1"/>
      <c r="M13406" s="1"/>
      <c r="N13406" s="1"/>
      <c r="O13406" s="1"/>
      <c r="P13406" s="1"/>
      <c r="Q13406" s="1"/>
      <c r="R13406" s="1"/>
      <c r="S13406" s="1"/>
      <c r="T13406" s="1"/>
      <c r="U13406" s="1"/>
      <c r="V13406" s="1"/>
      <c r="W13406" s="1"/>
      <c r="X13406" s="1"/>
      <c r="Y13406" s="1"/>
      <c r="Z13406" s="1"/>
      <c r="AA13406" s="1"/>
      <c r="AB13406" s="1"/>
    </row>
    <row r="13407" ht="50.25" customHeight="1">
      <c r="A13407" s="12">
        <v>13403.0</v>
      </c>
      <c r="B13407" s="13" t="s">
        <v>12705</v>
      </c>
      <c r="C13407" s="14" t="s">
        <v>12748</v>
      </c>
      <c r="D13407" s="1"/>
      <c r="E13407" s="1"/>
      <c r="F13407" s="1" t="str">
        <f>IFERROR(__xludf.DUMMYFUNCTION("GOOGLETRANSLATE(B13407, ""en"", ""fa"")
"),"عکاسی و داستان سرایی تصویری")</f>
        <v>عکاسی و داستان سرایی تصویری</v>
      </c>
      <c r="G13407" s="1" t="str">
        <f>IFERROR(__xludf.DUMMYFUNCTION("GOOGLETRANSLATE(C13407, ""en"", ""fa"")
"),"آیا می توانید نکاتی را برای ایجاد روایت های بصری قدرتمند از طریق عکاسی مستند توصیه کنید؟")</f>
        <v>آیا می توانید نکاتی را برای ایجاد روایت های بصری قدرتمند از طریق عکاسی مستند توصیه کنید؟</v>
      </c>
      <c r="H13407" s="1"/>
      <c r="I13407" s="1"/>
      <c r="J13407" s="1"/>
      <c r="K13407" s="1"/>
      <c r="L13407" s="1"/>
      <c r="M13407" s="1"/>
      <c r="N13407" s="1"/>
      <c r="O13407" s="1"/>
      <c r="P13407" s="1"/>
      <c r="Q13407" s="1"/>
      <c r="R13407" s="1"/>
      <c r="S13407" s="1"/>
      <c r="T13407" s="1"/>
      <c r="U13407" s="1"/>
      <c r="V13407" s="1"/>
      <c r="W13407" s="1"/>
      <c r="X13407" s="1"/>
      <c r="Y13407" s="1"/>
      <c r="Z13407" s="1"/>
      <c r="AA13407" s="1"/>
      <c r="AB13407" s="1"/>
    </row>
    <row r="13408" ht="50.25" customHeight="1">
      <c r="A13408" s="12">
        <v>13404.0</v>
      </c>
      <c r="B13408" s="13" t="s">
        <v>12705</v>
      </c>
      <c r="C13408" s="14" t="s">
        <v>12749</v>
      </c>
      <c r="D13408" s="1"/>
      <c r="E13408" s="1"/>
      <c r="F13408" s="1" t="str">
        <f>IFERROR(__xludf.DUMMYFUNCTION("GOOGLETRANSLATE(B13408, ""en"", ""fa"")
"),"عکاسی و داستان سرایی تصویری")</f>
        <v>عکاسی و داستان سرایی تصویری</v>
      </c>
      <c r="G13408" s="1" t="str">
        <f>IFERROR(__xludf.DUMMYFUNCTION("GOOGLETRANSLATE(C13408, ""en"", ""fa"")
"),"بهترین روش ها برای استفاده از پالت های رنگی برای برانگیختن احساسات خاص در عکاسی چیست؟")</f>
        <v>بهترین روش ها برای استفاده از پالت های رنگی برای برانگیختن احساسات خاص در عکاسی چیست؟</v>
      </c>
      <c r="H13408" s="1"/>
      <c r="I13408" s="1"/>
      <c r="J13408" s="1"/>
      <c r="K13408" s="1"/>
      <c r="L13408" s="1"/>
      <c r="M13408" s="1"/>
      <c r="N13408" s="1"/>
      <c r="O13408" s="1"/>
      <c r="P13408" s="1"/>
      <c r="Q13408" s="1"/>
      <c r="R13408" s="1"/>
      <c r="S13408" s="1"/>
      <c r="T13408" s="1"/>
      <c r="U13408" s="1"/>
      <c r="V13408" s="1"/>
      <c r="W13408" s="1"/>
      <c r="X13408" s="1"/>
      <c r="Y13408" s="1"/>
      <c r="Z13408" s="1"/>
      <c r="AA13408" s="1"/>
      <c r="AB13408" s="1"/>
    </row>
    <row r="13409" ht="50.25" customHeight="1">
      <c r="A13409" s="12">
        <v>13405.0</v>
      </c>
      <c r="B13409" s="13" t="s">
        <v>12705</v>
      </c>
      <c r="C13409" s="14" t="s">
        <v>12750</v>
      </c>
      <c r="D13409" s="1"/>
      <c r="E13409" s="1"/>
      <c r="F13409" s="1" t="str">
        <f>IFERROR(__xludf.DUMMYFUNCTION("GOOGLETRANSLATE(B13409, ""en"", ""fa"")
"),"عکاسی و داستان سرایی تصویری")</f>
        <v>عکاسی و داستان سرایی تصویری</v>
      </c>
      <c r="G13409" s="1" t="str">
        <f>IFERROR(__xludf.DUMMYFUNCTION("GOOGLETRANSLATE(C13409, ""en"", ""fa"")
"),"چگونه می توانم یک داستان بصری ایجاد کنم که انعطاف پذیری و قدرت افراد را برجسته کند؟")</f>
        <v>چگونه می توانم یک داستان بصری ایجاد کنم که انعطاف پذیری و قدرت افراد را برجسته کند؟</v>
      </c>
      <c r="H13409" s="1"/>
      <c r="I13409" s="1"/>
      <c r="J13409" s="1"/>
      <c r="K13409" s="1"/>
      <c r="L13409" s="1"/>
      <c r="M13409" s="1"/>
      <c r="N13409" s="1"/>
      <c r="O13409" s="1"/>
      <c r="P13409" s="1"/>
      <c r="Q13409" s="1"/>
      <c r="R13409" s="1"/>
      <c r="S13409" s="1"/>
      <c r="T13409" s="1"/>
      <c r="U13409" s="1"/>
      <c r="V13409" s="1"/>
      <c r="W13409" s="1"/>
      <c r="X13409" s="1"/>
      <c r="Y13409" s="1"/>
      <c r="Z13409" s="1"/>
      <c r="AA13409" s="1"/>
      <c r="AB13409" s="1"/>
    </row>
    <row r="13410" ht="50.25" customHeight="1">
      <c r="A13410" s="12">
        <v>13406.0</v>
      </c>
      <c r="B13410" s="13" t="s">
        <v>12705</v>
      </c>
      <c r="C13410" s="14" t="s">
        <v>12751</v>
      </c>
      <c r="D13410" s="1"/>
      <c r="E13410" s="1"/>
      <c r="F13410" s="1" t="str">
        <f>IFERROR(__xludf.DUMMYFUNCTION("GOOGLETRANSLATE(B13410, ""en"", ""fa"")
"),"عکاسی و داستان سرایی تصویری")</f>
        <v>عکاسی و داستان سرایی تصویری</v>
      </c>
      <c r="G13410" s="1" t="str">
        <f>IFERROR(__xludf.DUMMYFUNCTION("GOOGLETRANSLATE(C13410, ""en"", ""fa"")
"),"آیا می‌توانید تکنیک‌هایی را برای ثبت تعامل بین انسان و محیط‌شان پیشنهاد کنید؟")</f>
        <v>آیا می‌توانید تکنیک‌هایی را برای ثبت تعامل بین انسان و محیط‌شان پیشنهاد کنید؟</v>
      </c>
      <c r="H13410" s="1"/>
      <c r="I13410" s="1"/>
      <c r="J13410" s="1"/>
      <c r="K13410" s="1"/>
      <c r="L13410" s="1"/>
      <c r="M13410" s="1"/>
      <c r="N13410" s="1"/>
      <c r="O13410" s="1"/>
      <c r="P13410" s="1"/>
      <c r="Q13410" s="1"/>
      <c r="R13410" s="1"/>
      <c r="S13410" s="1"/>
      <c r="T13410" s="1"/>
      <c r="U13410" s="1"/>
      <c r="V13410" s="1"/>
      <c r="W13410" s="1"/>
      <c r="X13410" s="1"/>
      <c r="Y13410" s="1"/>
      <c r="Z13410" s="1"/>
      <c r="AA13410" s="1"/>
      <c r="AB13410" s="1"/>
    </row>
    <row r="13411" ht="50.25" customHeight="1">
      <c r="A13411" s="12">
        <v>13407.0</v>
      </c>
      <c r="B13411" s="13" t="s">
        <v>12705</v>
      </c>
      <c r="C13411" s="14" t="s">
        <v>12752</v>
      </c>
      <c r="D13411" s="1"/>
      <c r="E13411" s="1"/>
      <c r="F13411" s="1" t="str">
        <f>IFERROR(__xludf.DUMMYFUNCTION("GOOGLETRANSLATE(B13411, ""en"", ""fa"")
"),"عکاسی و داستان سرایی تصویری")</f>
        <v>عکاسی و داستان سرایی تصویری</v>
      </c>
      <c r="G13411" s="1" t="str">
        <f>IFERROR(__xludf.DUMMYFUNCTION("GOOGLETRANSLATE(C13411, ""en"", ""fa"")
"),"مراحل ایجاد یک داستان بصری که تنوع و فراگیری را جشن می گیرد چیست؟")</f>
        <v>مراحل ایجاد یک داستان بصری که تنوع و فراگیری را جشن می گیرد چیست؟</v>
      </c>
      <c r="H13411" s="1"/>
      <c r="I13411" s="1"/>
      <c r="J13411" s="1"/>
      <c r="K13411" s="1"/>
      <c r="L13411" s="1"/>
      <c r="M13411" s="1"/>
      <c r="N13411" s="1"/>
      <c r="O13411" s="1"/>
      <c r="P13411" s="1"/>
      <c r="Q13411" s="1"/>
      <c r="R13411" s="1"/>
      <c r="S13411" s="1"/>
      <c r="T13411" s="1"/>
      <c r="U13411" s="1"/>
      <c r="V13411" s="1"/>
      <c r="W13411" s="1"/>
      <c r="X13411" s="1"/>
      <c r="Y13411" s="1"/>
      <c r="Z13411" s="1"/>
      <c r="AA13411" s="1"/>
      <c r="AB13411" s="1"/>
    </row>
    <row r="13412" ht="50.25" customHeight="1">
      <c r="A13412" s="12">
        <v>13408.0</v>
      </c>
      <c r="B13412" s="13" t="s">
        <v>12705</v>
      </c>
      <c r="C13412" s="14" t="s">
        <v>12753</v>
      </c>
      <c r="D13412" s="1"/>
      <c r="E13412" s="1"/>
      <c r="F13412" s="1" t="str">
        <f>IFERROR(__xludf.DUMMYFUNCTION("GOOGLETRANSLATE(B13412, ""en"", ""fa"")
"),"عکاسی و داستان سرایی تصویری")</f>
        <v>عکاسی و داستان سرایی تصویری</v>
      </c>
      <c r="G13412" s="1" t="str">
        <f>IFERROR(__xludf.DUMMYFUNCTION("GOOGLETRANSLATE(C13412, ""en"", ""fa"")
"),"چگونه می توانم از تضاد و تضاد برای ایجاد روایت های بصری تفکر برانگیز استفاده کنم؟")</f>
        <v>چگونه می توانم از تضاد و تضاد برای ایجاد روایت های بصری تفکر برانگیز استفاده کنم؟</v>
      </c>
      <c r="H13412" s="1"/>
      <c r="I13412" s="1"/>
      <c r="J13412" s="1"/>
      <c r="K13412" s="1"/>
      <c r="L13412" s="1"/>
      <c r="M13412" s="1"/>
      <c r="N13412" s="1"/>
      <c r="O13412" s="1"/>
      <c r="P13412" s="1"/>
      <c r="Q13412" s="1"/>
      <c r="R13412" s="1"/>
      <c r="S13412" s="1"/>
      <c r="T13412" s="1"/>
      <c r="U13412" s="1"/>
      <c r="V13412" s="1"/>
      <c r="W13412" s="1"/>
      <c r="X13412" s="1"/>
      <c r="Y13412" s="1"/>
      <c r="Z13412" s="1"/>
      <c r="AA13412" s="1"/>
      <c r="AB13412" s="1"/>
    </row>
    <row r="13413" ht="50.25" customHeight="1">
      <c r="A13413" s="12">
        <v>13409.0</v>
      </c>
      <c r="B13413" s="13" t="s">
        <v>12705</v>
      </c>
      <c r="C13413" s="14" t="s">
        <v>12754</v>
      </c>
      <c r="D13413" s="1"/>
      <c r="E13413" s="1"/>
      <c r="F13413" s="1" t="str">
        <f>IFERROR(__xludf.DUMMYFUNCTION("GOOGLETRANSLATE(B13413, ""en"", ""fa"")
"),"عکاسی و داستان سرایی تصویری")</f>
        <v>عکاسی و داستان سرایی تصویری</v>
      </c>
      <c r="G13413" s="1" t="str">
        <f>IFERROR(__xludf.DUMMYFUNCTION("GOOGLETRANSLATE(C13413, ""en"", ""fa"")
"),"آیا می توانید راهکارهایی برای عکاسی از آیین های فرهنگی و مراسم سنتی توصیه کنید؟")</f>
        <v>آیا می توانید راهکارهایی برای عکاسی از آیین های فرهنگی و مراسم سنتی توصیه کنید؟</v>
      </c>
      <c r="H13413" s="1"/>
      <c r="I13413" s="1"/>
      <c r="J13413" s="1"/>
      <c r="K13413" s="1"/>
      <c r="L13413" s="1"/>
      <c r="M13413" s="1"/>
      <c r="N13413" s="1"/>
      <c r="O13413" s="1"/>
      <c r="P13413" s="1"/>
      <c r="Q13413" s="1"/>
      <c r="R13413" s="1"/>
      <c r="S13413" s="1"/>
      <c r="T13413" s="1"/>
      <c r="U13413" s="1"/>
      <c r="V13413" s="1"/>
      <c r="W13413" s="1"/>
      <c r="X13413" s="1"/>
      <c r="Y13413" s="1"/>
      <c r="Z13413" s="1"/>
      <c r="AA13413" s="1"/>
      <c r="AB13413" s="1"/>
    </row>
    <row r="13414" ht="50.25" customHeight="1">
      <c r="A13414" s="12">
        <v>13410.0</v>
      </c>
      <c r="B13414" s="13" t="s">
        <v>12705</v>
      </c>
      <c r="C13414" s="14" t="s">
        <v>12755</v>
      </c>
      <c r="D13414" s="1"/>
      <c r="E13414" s="1"/>
      <c r="F13414" s="1" t="str">
        <f>IFERROR(__xludf.DUMMYFUNCTION("GOOGLETRANSLATE(B13414, ""en"", ""fa"")
"),"عکاسی و داستان سرایی تصویری")</f>
        <v>عکاسی و داستان سرایی تصویری</v>
      </c>
      <c r="G13414" s="1" t="str">
        <f>IFERROR(__xludf.DUMMYFUNCTION("GOOGLETRANSLATE(C13414, ""en"", ""fa"")
"),"بهترین تکنیک ها برای به تصویر کشیدن ماهیت یک فرآیند خلاقانه از طریق عکاسی چیست؟")</f>
        <v>بهترین تکنیک ها برای به تصویر کشیدن ماهیت یک فرآیند خلاقانه از طریق عکاسی چیست؟</v>
      </c>
      <c r="H13414" s="1"/>
      <c r="I13414" s="1"/>
      <c r="J13414" s="1"/>
      <c r="K13414" s="1"/>
      <c r="L13414" s="1"/>
      <c r="M13414" s="1"/>
      <c r="N13414" s="1"/>
      <c r="O13414" s="1"/>
      <c r="P13414" s="1"/>
      <c r="Q13414" s="1"/>
      <c r="R13414" s="1"/>
      <c r="S13414" s="1"/>
      <c r="T13414" s="1"/>
      <c r="U13414" s="1"/>
      <c r="V13414" s="1"/>
      <c r="W13414" s="1"/>
      <c r="X13414" s="1"/>
      <c r="Y13414" s="1"/>
      <c r="Z13414" s="1"/>
      <c r="AA13414" s="1"/>
      <c r="AB13414" s="1"/>
    </row>
    <row r="13415" ht="50.25" customHeight="1">
      <c r="A13415" s="12">
        <v>13411.0</v>
      </c>
      <c r="B13415" s="13" t="s">
        <v>12705</v>
      </c>
      <c r="C13415" s="14" t="s">
        <v>12756</v>
      </c>
      <c r="D13415" s="1"/>
      <c r="E13415" s="1"/>
      <c r="F13415" s="1" t="str">
        <f>IFERROR(__xludf.DUMMYFUNCTION("GOOGLETRANSLATE(B13415, ""en"", ""fa"")
"),"عکاسی و داستان سرایی تصویری")</f>
        <v>عکاسی و داستان سرایی تصویری</v>
      </c>
      <c r="G13415" s="1" t="str">
        <f>IFERROR(__xludf.DUMMYFUNCTION("GOOGLETRANSLATE(C13415, ""en"", ""fa"")
"),"چگونه می توانم یک داستان بصری ایجاد کنم که زیبایی زودگذر لحظات زندگی روزمره را به تصویر بکشد؟")</f>
        <v>چگونه می توانم یک داستان بصری ایجاد کنم که زیبایی زودگذر لحظات زندگی روزمره را به تصویر بکشد؟</v>
      </c>
      <c r="H13415" s="1"/>
      <c r="I13415" s="1"/>
      <c r="J13415" s="1"/>
      <c r="K13415" s="1"/>
      <c r="L13415" s="1"/>
      <c r="M13415" s="1"/>
      <c r="N13415" s="1"/>
      <c r="O13415" s="1"/>
      <c r="P13415" s="1"/>
      <c r="Q13415" s="1"/>
      <c r="R13415" s="1"/>
      <c r="S13415" s="1"/>
      <c r="T13415" s="1"/>
      <c r="U13415" s="1"/>
      <c r="V13415" s="1"/>
      <c r="W13415" s="1"/>
      <c r="X13415" s="1"/>
      <c r="Y13415" s="1"/>
      <c r="Z13415" s="1"/>
      <c r="AA13415" s="1"/>
      <c r="AB13415" s="1"/>
    </row>
    <row r="13416" ht="50.25" customHeight="1">
      <c r="A13416" s="12">
        <v>13412.0</v>
      </c>
      <c r="B13416" s="13" t="s">
        <v>12705</v>
      </c>
      <c r="C13416" s="14" t="s">
        <v>12757</v>
      </c>
      <c r="D13416" s="1"/>
      <c r="E13416" s="1"/>
      <c r="F13416" s="1" t="str">
        <f>IFERROR(__xludf.DUMMYFUNCTION("GOOGLETRANSLATE(B13416, ""en"", ""fa"")
"),"عکاسی و داستان سرایی تصویری")</f>
        <v>عکاسی و داستان سرایی تصویری</v>
      </c>
      <c r="G13416" s="1" t="str">
        <f>IFERROR(__xludf.DUMMYFUNCTION("GOOGLETRANSLATE(C13416, ""en"", ""fa"")
"),"آیا می توانید راه هایی را برای آزمایش فواصل کانونی مختلف برای عکاسی داستان سرایی پیشنهاد کنید؟")</f>
        <v>آیا می توانید راه هایی را برای آزمایش فواصل کانونی مختلف برای عکاسی داستان سرایی پیشنهاد کنید؟</v>
      </c>
      <c r="H13416" s="1"/>
      <c r="I13416" s="1"/>
      <c r="J13416" s="1"/>
      <c r="K13416" s="1"/>
      <c r="L13416" s="1"/>
      <c r="M13416" s="1"/>
      <c r="N13416" s="1"/>
      <c r="O13416" s="1"/>
      <c r="P13416" s="1"/>
      <c r="Q13416" s="1"/>
      <c r="R13416" s="1"/>
      <c r="S13416" s="1"/>
      <c r="T13416" s="1"/>
      <c r="U13416" s="1"/>
      <c r="V13416" s="1"/>
      <c r="W13416" s="1"/>
      <c r="X13416" s="1"/>
      <c r="Y13416" s="1"/>
      <c r="Z13416" s="1"/>
      <c r="AA13416" s="1"/>
      <c r="AB13416" s="1"/>
    </row>
    <row r="13417" ht="50.25" customHeight="1">
      <c r="A13417" s="12">
        <v>13413.0</v>
      </c>
      <c r="B13417" s="13" t="s">
        <v>12705</v>
      </c>
      <c r="C13417" s="14" t="s">
        <v>12758</v>
      </c>
      <c r="D13417" s="1"/>
      <c r="E13417" s="1"/>
      <c r="F13417" s="1" t="str">
        <f>IFERROR(__xludf.DUMMYFUNCTION("GOOGLETRANSLATE(B13417, ""en"", ""fa"")
"),"عکاسی و داستان سرایی تصویری")</f>
        <v>عکاسی و داستان سرایی تصویری</v>
      </c>
      <c r="G13417" s="1" t="str">
        <f>IFERROR(__xludf.DUMMYFUNCTION("GOOGLETRANSLATE(C13417, ""en"", ""fa"")
"),"مراحل ایجاد یک داستان بصری که تاثیر پیشرفت های تکنولوژیکی را به تصویر می کشد چیست؟")</f>
        <v>مراحل ایجاد یک داستان بصری که تاثیر پیشرفت های تکنولوژیکی را به تصویر می کشد چیست؟</v>
      </c>
      <c r="H13417" s="1"/>
      <c r="I13417" s="1"/>
      <c r="J13417" s="1"/>
      <c r="K13417" s="1"/>
      <c r="L13417" s="1"/>
      <c r="M13417" s="1"/>
      <c r="N13417" s="1"/>
      <c r="O13417" s="1"/>
      <c r="P13417" s="1"/>
      <c r="Q13417" s="1"/>
      <c r="R13417" s="1"/>
      <c r="S13417" s="1"/>
      <c r="T13417" s="1"/>
      <c r="U13417" s="1"/>
      <c r="V13417" s="1"/>
      <c r="W13417" s="1"/>
      <c r="X13417" s="1"/>
      <c r="Y13417" s="1"/>
      <c r="Z13417" s="1"/>
      <c r="AA13417" s="1"/>
      <c r="AB13417" s="1"/>
    </row>
    <row r="13418" ht="50.25" customHeight="1">
      <c r="A13418" s="12">
        <v>13414.0</v>
      </c>
      <c r="B13418" s="13" t="s">
        <v>12705</v>
      </c>
      <c r="C13418" s="14" t="s">
        <v>12759</v>
      </c>
      <c r="D13418" s="1"/>
      <c r="E13418" s="1"/>
      <c r="F13418" s="1" t="str">
        <f>IFERROR(__xludf.DUMMYFUNCTION("GOOGLETRANSLATE(B13418, ""en"", ""fa"")
"),"عکاسی و داستان سرایی تصویری")</f>
        <v>عکاسی و داستان سرایی تصویری</v>
      </c>
      <c r="G13418" s="1" t="str">
        <f>IFERROR(__xludf.DUMMYFUNCTION("GOOGLETRANSLATE(C13418, ""en"", ""fa"")
"),"چگونه می توانم از الگوها و تکرار برای تقویت جنبه داستان گویی بصری عکس هایم استفاده کنم؟")</f>
        <v>چگونه می توانم از الگوها و تکرار برای تقویت جنبه داستان گویی بصری عکس هایم استفاده کنم؟</v>
      </c>
      <c r="H13418" s="1"/>
      <c r="I13418" s="1"/>
      <c r="J13418" s="1"/>
      <c r="K13418" s="1"/>
      <c r="L13418" s="1"/>
      <c r="M13418" s="1"/>
      <c r="N13418" s="1"/>
      <c r="O13418" s="1"/>
      <c r="P13418" s="1"/>
      <c r="Q13418" s="1"/>
      <c r="R13418" s="1"/>
      <c r="S13418" s="1"/>
      <c r="T13418" s="1"/>
      <c r="U13418" s="1"/>
      <c r="V13418" s="1"/>
      <c r="W13418" s="1"/>
      <c r="X13418" s="1"/>
      <c r="Y13418" s="1"/>
      <c r="Z13418" s="1"/>
      <c r="AA13418" s="1"/>
      <c r="AB13418" s="1"/>
    </row>
    <row r="13419" ht="50.25" customHeight="1">
      <c r="A13419" s="12">
        <v>13415.0</v>
      </c>
      <c r="B13419" s="13" t="s">
        <v>12705</v>
      </c>
      <c r="C13419" s="14" t="s">
        <v>12760</v>
      </c>
      <c r="D13419" s="1"/>
      <c r="E13419" s="1"/>
      <c r="F13419" s="1" t="str">
        <f>IFERROR(__xludf.DUMMYFUNCTION("GOOGLETRANSLATE(B13419, ""en"", ""fa"")
"),"عکاسی و داستان سرایی تصویری")</f>
        <v>عکاسی و داستان سرایی تصویری</v>
      </c>
      <c r="G13419" s="1" t="str">
        <f>IFERROR(__xludf.DUMMYFUNCTION("GOOGLETRANSLATE(C13419, ""en"", ""fa"")
"),"آیا می‌توانید نکاتی را برای خلق روایت‌های بصری که هنجارها و انتظارات اجتماعی را به چالش می‌کشد، توصیه کنید؟")</f>
        <v>آیا می‌توانید نکاتی را برای خلق روایت‌های بصری که هنجارها و انتظارات اجتماعی را به چالش می‌کشد، توصیه کنید؟</v>
      </c>
      <c r="H13419" s="1"/>
      <c r="I13419" s="1"/>
      <c r="J13419" s="1"/>
      <c r="K13419" s="1"/>
      <c r="L13419" s="1"/>
      <c r="M13419" s="1"/>
      <c r="N13419" s="1"/>
      <c r="O13419" s="1"/>
      <c r="P13419" s="1"/>
      <c r="Q13419" s="1"/>
      <c r="R13419" s="1"/>
      <c r="S13419" s="1"/>
      <c r="T13419" s="1"/>
      <c r="U13419" s="1"/>
      <c r="V13419" s="1"/>
      <c r="W13419" s="1"/>
      <c r="X13419" s="1"/>
      <c r="Y13419" s="1"/>
      <c r="Z13419" s="1"/>
      <c r="AA13419" s="1"/>
      <c r="AB13419" s="1"/>
    </row>
    <row r="13420" ht="50.25" customHeight="1">
      <c r="A13420" s="12">
        <v>13416.0</v>
      </c>
      <c r="B13420" s="13" t="s">
        <v>12705</v>
      </c>
      <c r="C13420" s="14" t="s">
        <v>12761</v>
      </c>
      <c r="D13420" s="1"/>
      <c r="E13420" s="1"/>
      <c r="F13420" s="1" t="str">
        <f>IFERROR(__xludf.DUMMYFUNCTION("GOOGLETRANSLATE(B13420, ""en"", ""fa"")
"),"عکاسی و داستان سرایی تصویری")</f>
        <v>عکاسی و داستان سرایی تصویری</v>
      </c>
      <c r="G13420" s="1" t="str">
        <f>IFERROR(__xludf.DUMMYFUNCTION("GOOGLETRANSLATE(C13420, ""en"", ""fa"")
"),"بهترین روش ها برای عکاسی از حیات وحش و طبیعت با رویکرد داستان گویی چیست؟")</f>
        <v>بهترین روش ها برای عکاسی از حیات وحش و طبیعت با رویکرد داستان گویی چیست؟</v>
      </c>
      <c r="H13420" s="1"/>
      <c r="I13420" s="1"/>
      <c r="J13420" s="1"/>
      <c r="K13420" s="1"/>
      <c r="L13420" s="1"/>
      <c r="M13420" s="1"/>
      <c r="N13420" s="1"/>
      <c r="O13420" s="1"/>
      <c r="P13420" s="1"/>
      <c r="Q13420" s="1"/>
      <c r="R13420" s="1"/>
      <c r="S13420" s="1"/>
      <c r="T13420" s="1"/>
      <c r="U13420" s="1"/>
      <c r="V13420" s="1"/>
      <c r="W13420" s="1"/>
      <c r="X13420" s="1"/>
      <c r="Y13420" s="1"/>
      <c r="Z13420" s="1"/>
      <c r="AA13420" s="1"/>
      <c r="AB13420" s="1"/>
    </row>
    <row r="13421" ht="50.25" customHeight="1">
      <c r="A13421" s="12">
        <v>13417.0</v>
      </c>
      <c r="B13421" s="13" t="s">
        <v>12705</v>
      </c>
      <c r="C13421" s="14" t="s">
        <v>12762</v>
      </c>
      <c r="D13421" s="1"/>
      <c r="E13421" s="1"/>
      <c r="F13421" s="1" t="str">
        <f>IFERROR(__xludf.DUMMYFUNCTION("GOOGLETRANSLATE(B13421, ""en"", ""fa"")
"),"عکاسی و داستان سرایی تصویری")</f>
        <v>عکاسی و داستان سرایی تصویری</v>
      </c>
      <c r="G13421" s="1" t="str">
        <f>IFERROR(__xludf.DUMMYFUNCTION("GOOGLETRANSLATE(C13421, ""en"", ""fa"")
"),"چگونه می توانم یک داستان بصری ایجاد کنم که احساسات و تجربیات یک گروه سنی خاص را منعکس کند؟")</f>
        <v>چگونه می توانم یک داستان بصری ایجاد کنم که احساسات و تجربیات یک گروه سنی خاص را منعکس کند؟</v>
      </c>
      <c r="H13421" s="1"/>
      <c r="I13421" s="1"/>
      <c r="J13421" s="1"/>
      <c r="K13421" s="1"/>
      <c r="L13421" s="1"/>
      <c r="M13421" s="1"/>
      <c r="N13421" s="1"/>
      <c r="O13421" s="1"/>
      <c r="P13421" s="1"/>
      <c r="Q13421" s="1"/>
      <c r="R13421" s="1"/>
      <c r="S13421" s="1"/>
      <c r="T13421" s="1"/>
      <c r="U13421" s="1"/>
      <c r="V13421" s="1"/>
      <c r="W13421" s="1"/>
      <c r="X13421" s="1"/>
      <c r="Y13421" s="1"/>
      <c r="Z13421" s="1"/>
      <c r="AA13421" s="1"/>
      <c r="AB13421" s="1"/>
    </row>
    <row r="13422" ht="50.25" customHeight="1">
      <c r="A13422" s="12">
        <v>13418.0</v>
      </c>
      <c r="B13422" s="13" t="s">
        <v>12705</v>
      </c>
      <c r="C13422" s="14" t="s">
        <v>12763</v>
      </c>
      <c r="D13422" s="1"/>
      <c r="E13422" s="1"/>
      <c r="F13422" s="1" t="str">
        <f>IFERROR(__xludf.DUMMYFUNCTION("GOOGLETRANSLATE(B13422, ""en"", ""fa"")
"),"عکاسی و داستان سرایی تصویری")</f>
        <v>عکاسی و داستان سرایی تصویری</v>
      </c>
      <c r="G13422" s="1" t="str">
        <f>IFERROR(__xludf.DUMMYFUNCTION("GOOGLETRANSLATE(C13422, ""en"", ""fa"")
"),"آیا می توانید تکنیک هایی را برای گرفتن انرژی و فضای اجراهای زنده پیشنهاد کنید؟")</f>
        <v>آیا می توانید تکنیک هایی را برای گرفتن انرژی و فضای اجراهای زنده پیشنهاد کنید؟</v>
      </c>
      <c r="H13422" s="1"/>
      <c r="I13422" s="1"/>
      <c r="J13422" s="1"/>
      <c r="K13422" s="1"/>
      <c r="L13422" s="1"/>
      <c r="M13422" s="1"/>
      <c r="N13422" s="1"/>
      <c r="O13422" s="1"/>
      <c r="P13422" s="1"/>
      <c r="Q13422" s="1"/>
      <c r="R13422" s="1"/>
      <c r="S13422" s="1"/>
      <c r="T13422" s="1"/>
      <c r="U13422" s="1"/>
      <c r="V13422" s="1"/>
      <c r="W13422" s="1"/>
      <c r="X13422" s="1"/>
      <c r="Y13422" s="1"/>
      <c r="Z13422" s="1"/>
      <c r="AA13422" s="1"/>
      <c r="AB13422" s="1"/>
    </row>
    <row r="13423" ht="50.25" customHeight="1">
      <c r="A13423" s="12">
        <v>13419.0</v>
      </c>
      <c r="B13423" s="13" t="s">
        <v>12705</v>
      </c>
      <c r="C13423" s="14" t="s">
        <v>12764</v>
      </c>
      <c r="D13423" s="1"/>
      <c r="E13423" s="1"/>
      <c r="F13423" s="1" t="str">
        <f>IFERROR(__xludf.DUMMYFUNCTION("GOOGLETRANSLATE(B13423, ""en"", ""fa"")
"),"عکاسی و داستان سرایی تصویری")</f>
        <v>عکاسی و داستان سرایی تصویری</v>
      </c>
      <c r="G13423" s="1" t="str">
        <f>IFERROR(__xludf.DUMMYFUNCTION("GOOGLETRANSLATE(C13423, ""en"", ""fa"")
"),"مراحل ایجاد یک داستان بصری که قدرت ارتباط انسانی را برجسته می کند چیست؟")</f>
        <v>مراحل ایجاد یک داستان بصری که قدرت ارتباط انسانی را برجسته می کند چیست؟</v>
      </c>
      <c r="H13423" s="1"/>
      <c r="I13423" s="1"/>
      <c r="J13423" s="1"/>
      <c r="K13423" s="1"/>
      <c r="L13423" s="1"/>
      <c r="M13423" s="1"/>
      <c r="N13423" s="1"/>
      <c r="O13423" s="1"/>
      <c r="P13423" s="1"/>
      <c r="Q13423" s="1"/>
      <c r="R13423" s="1"/>
      <c r="S13423" s="1"/>
      <c r="T13423" s="1"/>
      <c r="U13423" s="1"/>
      <c r="V13423" s="1"/>
      <c r="W13423" s="1"/>
      <c r="X13423" s="1"/>
      <c r="Y13423" s="1"/>
      <c r="Z13423" s="1"/>
      <c r="AA13423" s="1"/>
      <c r="AB13423" s="1"/>
    </row>
    <row r="13424" ht="50.25" customHeight="1">
      <c r="A13424" s="12">
        <v>13420.0</v>
      </c>
      <c r="B13424" s="13" t="s">
        <v>12705</v>
      </c>
      <c r="C13424" s="14" t="s">
        <v>12765</v>
      </c>
      <c r="D13424" s="1"/>
      <c r="E13424" s="1"/>
      <c r="F13424" s="1" t="str">
        <f>IFERROR(__xludf.DUMMYFUNCTION("GOOGLETRANSLATE(B13424, ""en"", ""fa"")
"),"عکاسی و داستان سرایی تصویری")</f>
        <v>عکاسی و داستان سرایی تصویری</v>
      </c>
      <c r="G13424" s="1" t="str">
        <f>IFERROR(__xludf.DUMMYFUNCTION("GOOGLETRANSLATE(C13424, ""en"", ""fa"")
"),"چگونه می توانم از کنار هم قرار گرفتن و کنایه برای ایجاد روایت های بصری تفکر برانگیز استفاده کنم؟")</f>
        <v>چگونه می توانم از کنار هم قرار گرفتن و کنایه برای ایجاد روایت های بصری تفکر برانگیز استفاده کنم؟</v>
      </c>
      <c r="H13424" s="1"/>
      <c r="I13424" s="1"/>
      <c r="J13424" s="1"/>
      <c r="K13424" s="1"/>
      <c r="L13424" s="1"/>
      <c r="M13424" s="1"/>
      <c r="N13424" s="1"/>
      <c r="O13424" s="1"/>
      <c r="P13424" s="1"/>
      <c r="Q13424" s="1"/>
      <c r="R13424" s="1"/>
      <c r="S13424" s="1"/>
      <c r="T13424" s="1"/>
      <c r="U13424" s="1"/>
      <c r="V13424" s="1"/>
      <c r="W13424" s="1"/>
      <c r="X13424" s="1"/>
      <c r="Y13424" s="1"/>
      <c r="Z13424" s="1"/>
      <c r="AA13424" s="1"/>
      <c r="AB13424" s="1"/>
    </row>
    <row r="13425" ht="50.25" customHeight="1">
      <c r="A13425" s="12">
        <v>13421.0</v>
      </c>
      <c r="B13425" s="13" t="s">
        <v>12705</v>
      </c>
      <c r="C13425" s="14" t="s">
        <v>12766</v>
      </c>
      <c r="D13425" s="1"/>
      <c r="E13425" s="1"/>
      <c r="F13425" s="1" t="str">
        <f>IFERROR(__xludf.DUMMYFUNCTION("GOOGLETRANSLATE(B13425, ""en"", ""fa"")
"),"عکاسی و داستان سرایی تصویری")</f>
        <v>عکاسی و داستان سرایی تصویری</v>
      </c>
      <c r="G13425" s="1" t="str">
        <f>IFERROR(__xludf.DUMMYFUNCTION("GOOGLETRANSLATE(C13425, ""en"", ""fa"")
"),"آیا می توانید استراتژی هایی را برای عکاسی از جزئیات معماری برای بیان یک داستان بزرگتر توصیه کنید؟")</f>
        <v>آیا می توانید استراتژی هایی را برای عکاسی از جزئیات معماری برای بیان یک داستان بزرگتر توصیه کنید؟</v>
      </c>
      <c r="H13425" s="1"/>
      <c r="I13425" s="1"/>
      <c r="J13425" s="1"/>
      <c r="K13425" s="1"/>
      <c r="L13425" s="1"/>
      <c r="M13425" s="1"/>
      <c r="N13425" s="1"/>
      <c r="O13425" s="1"/>
      <c r="P13425" s="1"/>
      <c r="Q13425" s="1"/>
      <c r="R13425" s="1"/>
      <c r="S13425" s="1"/>
      <c r="T13425" s="1"/>
      <c r="U13425" s="1"/>
      <c r="V13425" s="1"/>
      <c r="W13425" s="1"/>
      <c r="X13425" s="1"/>
      <c r="Y13425" s="1"/>
      <c r="Z13425" s="1"/>
      <c r="AA13425" s="1"/>
      <c r="AB13425" s="1"/>
    </row>
    <row r="13426" ht="50.25" customHeight="1">
      <c r="A13426" s="12">
        <v>13422.0</v>
      </c>
      <c r="B13426" s="13" t="s">
        <v>12705</v>
      </c>
      <c r="C13426" s="14" t="s">
        <v>12767</v>
      </c>
      <c r="D13426" s="1"/>
      <c r="E13426" s="1"/>
      <c r="F13426" s="1" t="str">
        <f>IFERROR(__xludf.DUMMYFUNCTION("GOOGLETRANSLATE(B13426, ""en"", ""fa"")
"),"عکاسی و داستان سرایی تصویری")</f>
        <v>عکاسی و داستان سرایی تصویری</v>
      </c>
      <c r="G13426" s="1" t="str">
        <f>IFERROR(__xludf.DUMMYFUNCTION("GOOGLETRANSLATE(C13426, ""en"", ""fa"")
"),"بهترین تکنیک ها برای به تصویر کشیدن نقطه تلاقی فناوری و زندگی روزمره چیست؟")</f>
        <v>بهترین تکنیک ها برای به تصویر کشیدن نقطه تلاقی فناوری و زندگی روزمره چیست؟</v>
      </c>
      <c r="H13426" s="1"/>
      <c r="I13426" s="1"/>
      <c r="J13426" s="1"/>
      <c r="K13426" s="1"/>
      <c r="L13426" s="1"/>
      <c r="M13426" s="1"/>
      <c r="N13426" s="1"/>
      <c r="O13426" s="1"/>
      <c r="P13426" s="1"/>
      <c r="Q13426" s="1"/>
      <c r="R13426" s="1"/>
      <c r="S13426" s="1"/>
      <c r="T13426" s="1"/>
      <c r="U13426" s="1"/>
      <c r="V13426" s="1"/>
      <c r="W13426" s="1"/>
      <c r="X13426" s="1"/>
      <c r="Y13426" s="1"/>
      <c r="Z13426" s="1"/>
      <c r="AA13426" s="1"/>
      <c r="AB13426" s="1"/>
    </row>
    <row r="13427" ht="50.25" customHeight="1">
      <c r="A13427" s="12">
        <v>13423.0</v>
      </c>
      <c r="B13427" s="13" t="s">
        <v>12705</v>
      </c>
      <c r="C13427" s="14" t="s">
        <v>12768</v>
      </c>
      <c r="D13427" s="1"/>
      <c r="E13427" s="1"/>
      <c r="F13427" s="1" t="str">
        <f>IFERROR(__xludf.DUMMYFUNCTION("GOOGLETRANSLATE(B13427, ""en"", ""fa"")
"),"عکاسی و داستان سرایی تصویری")</f>
        <v>عکاسی و داستان سرایی تصویری</v>
      </c>
      <c r="G13427" s="1" t="str">
        <f>IFERROR(__xludf.DUMMYFUNCTION("GOOGLETRANSLATE(C13427, ""en"", ""fa"")
"),"چگونه یک داستان بصری ایجاد کنم که زیبایی و پیچیدگی مناظر طبیعی را به تصویر بکشد؟")</f>
        <v>چگونه یک داستان بصری ایجاد کنم که زیبایی و پیچیدگی مناظر طبیعی را به تصویر بکشد؟</v>
      </c>
      <c r="H13427" s="1"/>
      <c r="I13427" s="1"/>
      <c r="J13427" s="1"/>
      <c r="K13427" s="1"/>
      <c r="L13427" s="1"/>
      <c r="M13427" s="1"/>
      <c r="N13427" s="1"/>
      <c r="O13427" s="1"/>
      <c r="P13427" s="1"/>
      <c r="Q13427" s="1"/>
      <c r="R13427" s="1"/>
      <c r="S13427" s="1"/>
      <c r="T13427" s="1"/>
      <c r="U13427" s="1"/>
      <c r="V13427" s="1"/>
      <c r="W13427" s="1"/>
      <c r="X13427" s="1"/>
      <c r="Y13427" s="1"/>
      <c r="Z13427" s="1"/>
      <c r="AA13427" s="1"/>
      <c r="AB13427" s="1"/>
    </row>
    <row r="13428" ht="50.25" customHeight="1">
      <c r="A13428" s="12">
        <v>13424.0</v>
      </c>
      <c r="B13428" s="13" t="s">
        <v>12705</v>
      </c>
      <c r="C13428" s="14" t="s">
        <v>12769</v>
      </c>
      <c r="D13428" s="1"/>
      <c r="E13428" s="1"/>
      <c r="F13428" s="1" t="str">
        <f>IFERROR(__xludf.DUMMYFUNCTION("GOOGLETRANSLATE(B13428, ""en"", ""fa"")
"),"عکاسی و داستان سرایی تصویری")</f>
        <v>عکاسی و داستان سرایی تصویری</v>
      </c>
      <c r="G13428" s="1" t="str">
        <f>IFERROR(__xludf.DUMMYFUNCTION("GOOGLETRANSLATE(C13428, ""en"", ""fa"")
"),"آیا می توانید راه هایی برای استفاده از روانشناسی رنگ ها برای انتقال احساسات و روایت ها در عکاسی پیشنهاد دهید؟")</f>
        <v>آیا می توانید راه هایی برای استفاده از روانشناسی رنگ ها برای انتقال احساسات و روایت ها در عکاسی پیشنهاد دهید؟</v>
      </c>
      <c r="H13428" s="1"/>
      <c r="I13428" s="1"/>
      <c r="J13428" s="1"/>
      <c r="K13428" s="1"/>
      <c r="L13428" s="1"/>
      <c r="M13428" s="1"/>
      <c r="N13428" s="1"/>
      <c r="O13428" s="1"/>
      <c r="P13428" s="1"/>
      <c r="Q13428" s="1"/>
      <c r="R13428" s="1"/>
      <c r="S13428" s="1"/>
      <c r="T13428" s="1"/>
      <c r="U13428" s="1"/>
      <c r="V13428" s="1"/>
      <c r="W13428" s="1"/>
      <c r="X13428" s="1"/>
      <c r="Y13428" s="1"/>
      <c r="Z13428" s="1"/>
      <c r="AA13428" s="1"/>
      <c r="AB13428" s="1"/>
    </row>
    <row r="13429" ht="50.25" customHeight="1">
      <c r="A13429" s="12">
        <v>13425.0</v>
      </c>
      <c r="B13429" s="13" t="s">
        <v>12705</v>
      </c>
      <c r="C13429" s="14" t="s">
        <v>12770</v>
      </c>
      <c r="D13429" s="1"/>
      <c r="E13429" s="1"/>
      <c r="F13429" s="1" t="str">
        <f>IFERROR(__xludf.DUMMYFUNCTION("GOOGLETRANSLATE(B13429, ""en"", ""fa"")
"),"عکاسی و داستان سرایی تصویری")</f>
        <v>عکاسی و داستان سرایی تصویری</v>
      </c>
      <c r="G13429" s="1" t="str">
        <f>IFERROR(__xludf.DUMMYFUNCTION("GOOGLETRANSLATE(C13429, ""en"", ""fa"")
"),"مراحل ایجاد یک داستان تصویری که گذر زمان و تغییر را مستند می کند چیست؟")</f>
        <v>مراحل ایجاد یک داستان تصویری که گذر زمان و تغییر را مستند می کند چیست؟</v>
      </c>
      <c r="H13429" s="1"/>
      <c r="I13429" s="1"/>
      <c r="J13429" s="1"/>
      <c r="K13429" s="1"/>
      <c r="L13429" s="1"/>
      <c r="M13429" s="1"/>
      <c r="N13429" s="1"/>
      <c r="O13429" s="1"/>
      <c r="P13429" s="1"/>
      <c r="Q13429" s="1"/>
      <c r="R13429" s="1"/>
      <c r="S13429" s="1"/>
      <c r="T13429" s="1"/>
      <c r="U13429" s="1"/>
      <c r="V13429" s="1"/>
      <c r="W13429" s="1"/>
      <c r="X13429" s="1"/>
      <c r="Y13429" s="1"/>
      <c r="Z13429" s="1"/>
      <c r="AA13429" s="1"/>
      <c r="AB13429" s="1"/>
    </row>
    <row r="13430" ht="50.25" customHeight="1">
      <c r="A13430" s="12">
        <v>13426.0</v>
      </c>
      <c r="B13430" s="13" t="s">
        <v>12705</v>
      </c>
      <c r="C13430" s="14" t="s">
        <v>12771</v>
      </c>
      <c r="D13430" s="1"/>
      <c r="E13430" s="1"/>
      <c r="F13430" s="1" t="str">
        <f>IFERROR(__xludf.DUMMYFUNCTION("GOOGLETRANSLATE(B13430, ""en"", ""fa"")
"),"عکاسی و داستان سرایی تصویری")</f>
        <v>عکاسی و داستان سرایی تصویری</v>
      </c>
      <c r="G13430" s="1" t="str">
        <f>IFERROR(__xludf.DUMMYFUNCTION("GOOGLETRANSLATE(C13430, ""en"", ""fa"")
"),"چگونه می توانم از تاری حرکت و پاننگ برای ایجاد عکس های پویا و داستان گو استفاده کنم؟")</f>
        <v>چگونه می توانم از تاری حرکت و پاننگ برای ایجاد عکس های پویا و داستان گو استفاده کنم؟</v>
      </c>
      <c r="H13430" s="1"/>
      <c r="I13430" s="1"/>
      <c r="J13430" s="1"/>
      <c r="K13430" s="1"/>
      <c r="L13430" s="1"/>
      <c r="M13430" s="1"/>
      <c r="N13430" s="1"/>
      <c r="O13430" s="1"/>
      <c r="P13430" s="1"/>
      <c r="Q13430" s="1"/>
      <c r="R13430" s="1"/>
      <c r="S13430" s="1"/>
      <c r="T13430" s="1"/>
      <c r="U13430" s="1"/>
      <c r="V13430" s="1"/>
      <c r="W13430" s="1"/>
      <c r="X13430" s="1"/>
      <c r="Y13430" s="1"/>
      <c r="Z13430" s="1"/>
      <c r="AA13430" s="1"/>
      <c r="AB13430" s="1"/>
    </row>
    <row r="13431" ht="50.25" customHeight="1">
      <c r="A13431" s="12">
        <v>13427.0</v>
      </c>
      <c r="B13431" s="13" t="s">
        <v>12705</v>
      </c>
      <c r="C13431" s="14" t="s">
        <v>12772</v>
      </c>
      <c r="D13431" s="1"/>
      <c r="E13431" s="1"/>
      <c r="F13431" s="1" t="str">
        <f>IFERROR(__xludf.DUMMYFUNCTION("GOOGLETRANSLATE(B13431, ""en"", ""fa"")
"),"عکاسی و داستان سرایی تصویری")</f>
        <v>عکاسی و داستان سرایی تصویری</v>
      </c>
      <c r="G13431" s="1" t="str">
        <f>IFERROR(__xludf.DUMMYFUNCTION("GOOGLETRANSLATE(C13431, ""en"", ""fa"")
"),"آیا می توانید نکاتی را برای ثبت داستان ها و شخصیت های حیوانات خانگی و حیوانات توصیه کنید؟")</f>
        <v>آیا می توانید نکاتی را برای ثبت داستان ها و شخصیت های حیوانات خانگی و حیوانات توصیه کنید؟</v>
      </c>
      <c r="H13431" s="1"/>
      <c r="I13431" s="1"/>
      <c r="J13431" s="1"/>
      <c r="K13431" s="1"/>
      <c r="L13431" s="1"/>
      <c r="M13431" s="1"/>
      <c r="N13431" s="1"/>
      <c r="O13431" s="1"/>
      <c r="P13431" s="1"/>
      <c r="Q13431" s="1"/>
      <c r="R13431" s="1"/>
      <c r="S13431" s="1"/>
      <c r="T13431" s="1"/>
      <c r="U13431" s="1"/>
      <c r="V13431" s="1"/>
      <c r="W13431" s="1"/>
      <c r="X13431" s="1"/>
      <c r="Y13431" s="1"/>
      <c r="Z13431" s="1"/>
      <c r="AA13431" s="1"/>
      <c r="AB13431" s="1"/>
    </row>
    <row r="13432" ht="50.25" customHeight="1">
      <c r="A13432" s="12">
        <v>13428.0</v>
      </c>
      <c r="B13432" s="13" t="s">
        <v>12705</v>
      </c>
      <c r="C13432" s="14" t="s">
        <v>12773</v>
      </c>
      <c r="D13432" s="1"/>
      <c r="E13432" s="1"/>
      <c r="F13432" s="1" t="str">
        <f>IFERROR(__xludf.DUMMYFUNCTION("GOOGLETRANSLATE(B13432, ""en"", ""fa"")
"),"عکاسی و داستان سرایی تصویری")</f>
        <v>عکاسی و داستان سرایی تصویری</v>
      </c>
      <c r="G13432" s="1" t="str">
        <f>IFERROR(__xludf.DUMMYFUNCTION("GOOGLETRANSLATE(C13432, ""en"", ""fa"")
"),"بهترین روش ها برای استفاده از عکاسی ماکرو برای آشکار کردن روایت های پنهان چیست؟")</f>
        <v>بهترین روش ها برای استفاده از عکاسی ماکرو برای آشکار کردن روایت های پنهان چیست؟</v>
      </c>
      <c r="H13432" s="1"/>
      <c r="I13432" s="1"/>
      <c r="J13432" s="1"/>
      <c r="K13432" s="1"/>
      <c r="L13432" s="1"/>
      <c r="M13432" s="1"/>
      <c r="N13432" s="1"/>
      <c r="O13432" s="1"/>
      <c r="P13432" s="1"/>
      <c r="Q13432" s="1"/>
      <c r="R13432" s="1"/>
      <c r="S13432" s="1"/>
      <c r="T13432" s="1"/>
      <c r="U13432" s="1"/>
      <c r="V13432" s="1"/>
      <c r="W13432" s="1"/>
      <c r="X13432" s="1"/>
      <c r="Y13432" s="1"/>
      <c r="Z13432" s="1"/>
      <c r="AA13432" s="1"/>
      <c r="AB13432" s="1"/>
    </row>
    <row r="13433" ht="50.25" customHeight="1">
      <c r="A13433" s="12">
        <v>13429.0</v>
      </c>
      <c r="B13433" s="13" t="s">
        <v>12705</v>
      </c>
      <c r="C13433" s="14" t="s">
        <v>12774</v>
      </c>
      <c r="D13433" s="1"/>
      <c r="E13433" s="1"/>
      <c r="F13433" s="1" t="str">
        <f>IFERROR(__xludf.DUMMYFUNCTION("GOOGLETRANSLATE(B13433, ""en"", ""fa"")
"),"عکاسی و داستان سرایی تصویری")</f>
        <v>عکاسی و داستان سرایی تصویری</v>
      </c>
      <c r="G13433" s="1" t="str">
        <f>IFERROR(__xludf.DUMMYFUNCTION("GOOGLETRANSLATE(C13433, ""en"", ""fa"")
"),"چگونه می توانم یک داستان بصری ایجاد کنم که مفهوم هویت را در یک جامعه متنوع بررسی کند؟")</f>
        <v>چگونه می توانم یک داستان بصری ایجاد کنم که مفهوم هویت را در یک جامعه متنوع بررسی کند؟</v>
      </c>
      <c r="H13433" s="1"/>
      <c r="I13433" s="1"/>
      <c r="J13433" s="1"/>
      <c r="K13433" s="1"/>
      <c r="L13433" s="1"/>
      <c r="M13433" s="1"/>
      <c r="N13433" s="1"/>
      <c r="O13433" s="1"/>
      <c r="P13433" s="1"/>
      <c r="Q13433" s="1"/>
      <c r="R13433" s="1"/>
      <c r="S13433" s="1"/>
      <c r="T13433" s="1"/>
      <c r="U13433" s="1"/>
      <c r="V13433" s="1"/>
      <c r="W13433" s="1"/>
      <c r="X13433" s="1"/>
      <c r="Y13433" s="1"/>
      <c r="Z13433" s="1"/>
      <c r="AA13433" s="1"/>
      <c r="AB13433" s="1"/>
    </row>
    <row r="13434" ht="50.25" customHeight="1">
      <c r="A13434" s="12">
        <v>13430.0</v>
      </c>
      <c r="B13434" s="13" t="s">
        <v>12705</v>
      </c>
      <c r="C13434" s="14" t="s">
        <v>12775</v>
      </c>
      <c r="D13434" s="1"/>
      <c r="E13434" s="1"/>
      <c r="F13434" s="1" t="str">
        <f>IFERROR(__xludf.DUMMYFUNCTION("GOOGLETRANSLATE(B13434, ""en"", ""fa"")
"),"عکاسی و داستان سرایی تصویری")</f>
        <v>عکاسی و داستان سرایی تصویری</v>
      </c>
      <c r="G13434" s="1" t="str">
        <f>IFERROR(__xludf.DUMMYFUNCTION("GOOGLETRANSLATE(C13434, ""en"", ""fa"")
"),"آیا می توانید تکنیک هایی برای عکاسی از کاردستی و جزئیات اقلام دست ساز پیشنهاد دهید؟")</f>
        <v>آیا می توانید تکنیک هایی برای عکاسی از کاردستی و جزئیات اقلام دست ساز پیشنهاد دهید؟</v>
      </c>
      <c r="H13434" s="1"/>
      <c r="I13434" s="1"/>
      <c r="J13434" s="1"/>
      <c r="K13434" s="1"/>
      <c r="L13434" s="1"/>
      <c r="M13434" s="1"/>
      <c r="N13434" s="1"/>
      <c r="O13434" s="1"/>
      <c r="P13434" s="1"/>
      <c r="Q13434" s="1"/>
      <c r="R13434" s="1"/>
      <c r="S13434" s="1"/>
      <c r="T13434" s="1"/>
      <c r="U13434" s="1"/>
      <c r="V13434" s="1"/>
      <c r="W13434" s="1"/>
      <c r="X13434" s="1"/>
      <c r="Y13434" s="1"/>
      <c r="Z13434" s="1"/>
      <c r="AA13434" s="1"/>
      <c r="AB13434" s="1"/>
    </row>
    <row r="13435" ht="50.25" customHeight="1">
      <c r="A13435" s="12">
        <v>13431.0</v>
      </c>
      <c r="B13435" s="13" t="s">
        <v>12705</v>
      </c>
      <c r="C13435" s="14" t="s">
        <v>12776</v>
      </c>
      <c r="D13435" s="1"/>
      <c r="E13435" s="1"/>
      <c r="F13435" s="1" t="str">
        <f>IFERROR(__xludf.DUMMYFUNCTION("GOOGLETRANSLATE(B13435, ""en"", ""fa"")
"),"عکاسی و داستان سرایی تصویری")</f>
        <v>عکاسی و داستان سرایی تصویری</v>
      </c>
      <c r="G13435" s="1" t="str">
        <f>IFERROR(__xludf.DUMMYFUNCTION("GOOGLETRANSLATE(C13435, ""en"", ""fa"")
"),"مراحل ایجاد یک داستان تصویری که ارتباط بین نسل ها را به تصویر می کشد چیست؟")</f>
        <v>مراحل ایجاد یک داستان تصویری که ارتباط بین نسل ها را به تصویر می کشد چیست؟</v>
      </c>
      <c r="H13435" s="1"/>
      <c r="I13435" s="1"/>
      <c r="J13435" s="1"/>
      <c r="K13435" s="1"/>
      <c r="L13435" s="1"/>
      <c r="M13435" s="1"/>
      <c r="N13435" s="1"/>
      <c r="O13435" s="1"/>
      <c r="P13435" s="1"/>
      <c r="Q13435" s="1"/>
      <c r="R13435" s="1"/>
      <c r="S13435" s="1"/>
      <c r="T13435" s="1"/>
      <c r="U13435" s="1"/>
      <c r="V13435" s="1"/>
      <c r="W13435" s="1"/>
      <c r="X13435" s="1"/>
      <c r="Y13435" s="1"/>
      <c r="Z13435" s="1"/>
      <c r="AA13435" s="1"/>
      <c r="AB13435" s="1"/>
    </row>
    <row r="13436" ht="50.25" customHeight="1">
      <c r="A13436" s="12">
        <v>13432.0</v>
      </c>
      <c r="B13436" s="13" t="s">
        <v>12705</v>
      </c>
      <c r="C13436" s="14" t="s">
        <v>12777</v>
      </c>
      <c r="D13436" s="1"/>
      <c r="E13436" s="1"/>
      <c r="F13436" s="1" t="str">
        <f>IFERROR(__xludf.DUMMYFUNCTION("GOOGLETRANSLATE(B13436, ""en"", ""fa"")
"),"عکاسی و داستان سرایی تصویری")</f>
        <v>عکاسی و داستان سرایی تصویری</v>
      </c>
      <c r="G13436" s="1" t="str">
        <f>IFERROR(__xludf.DUMMYFUNCTION("GOOGLETRANSLATE(C13436, ""en"", ""fa"")
"),"چگونه می توانم از کادربندی و ترکیب بندی برای ایجاد حس رمز و راز و کنجکاوی در عکس ها استفاده کنم؟")</f>
        <v>چگونه می توانم از کادربندی و ترکیب بندی برای ایجاد حس رمز و راز و کنجکاوی در عکس ها استفاده کنم؟</v>
      </c>
      <c r="H13436" s="1"/>
      <c r="I13436" s="1"/>
      <c r="J13436" s="1"/>
      <c r="K13436" s="1"/>
      <c r="L13436" s="1"/>
      <c r="M13436" s="1"/>
      <c r="N13436" s="1"/>
      <c r="O13436" s="1"/>
      <c r="P13436" s="1"/>
      <c r="Q13436" s="1"/>
      <c r="R13436" s="1"/>
      <c r="S13436" s="1"/>
      <c r="T13436" s="1"/>
      <c r="U13436" s="1"/>
      <c r="V13436" s="1"/>
      <c r="W13436" s="1"/>
      <c r="X13436" s="1"/>
      <c r="Y13436" s="1"/>
      <c r="Z13436" s="1"/>
      <c r="AA13436" s="1"/>
      <c r="AB13436" s="1"/>
    </row>
    <row r="13437" ht="50.25" customHeight="1">
      <c r="A13437" s="12">
        <v>13433.0</v>
      </c>
      <c r="B13437" s="13" t="s">
        <v>12705</v>
      </c>
      <c r="C13437" s="14" t="s">
        <v>12778</v>
      </c>
      <c r="D13437" s="1"/>
      <c r="E13437" s="1"/>
      <c r="F13437" s="1" t="str">
        <f>IFERROR(__xludf.DUMMYFUNCTION("GOOGLETRANSLATE(B13437, ""en"", ""fa"")
"),"عکاسی و داستان سرایی تصویری")</f>
        <v>عکاسی و داستان سرایی تصویری</v>
      </c>
      <c r="G13437" s="1" t="str">
        <f>IFERROR(__xludf.DUMMYFUNCTION("GOOGLETRANSLATE(C13437, ""en"", ""fa"")
"),"آیا می توانید راهکارهایی را برای تسخیر احساسات و تجربیات افراد با همدلی توصیه کنید؟")</f>
        <v>آیا می توانید راهکارهایی را برای تسخیر احساسات و تجربیات افراد با همدلی توصیه کنید؟</v>
      </c>
      <c r="H13437" s="1"/>
      <c r="I13437" s="1"/>
      <c r="J13437" s="1"/>
      <c r="K13437" s="1"/>
      <c r="L13437" s="1"/>
      <c r="M13437" s="1"/>
      <c r="N13437" s="1"/>
      <c r="O13437" s="1"/>
      <c r="P13437" s="1"/>
      <c r="Q13437" s="1"/>
      <c r="R13437" s="1"/>
      <c r="S13437" s="1"/>
      <c r="T13437" s="1"/>
      <c r="U13437" s="1"/>
      <c r="V13437" s="1"/>
      <c r="W13437" s="1"/>
      <c r="X13437" s="1"/>
      <c r="Y13437" s="1"/>
      <c r="Z13437" s="1"/>
      <c r="AA13437" s="1"/>
      <c r="AB13437" s="1"/>
    </row>
    <row r="13438" ht="50.25" customHeight="1">
      <c r="A13438" s="12">
        <v>13434.0</v>
      </c>
      <c r="B13438" s="13" t="s">
        <v>12705</v>
      </c>
      <c r="C13438" s="14" t="s">
        <v>12779</v>
      </c>
      <c r="D13438" s="1"/>
      <c r="E13438" s="1"/>
      <c r="F13438" s="1" t="str">
        <f>IFERROR(__xludf.DUMMYFUNCTION("GOOGLETRANSLATE(B13438, ""en"", ""fa"")
"),"عکاسی و داستان سرایی تصویری")</f>
        <v>عکاسی و داستان سرایی تصویری</v>
      </c>
      <c r="G13438" s="1" t="str">
        <f>IFERROR(__xludf.DUMMYFUNCTION("GOOGLETRANSLATE(C13438, ""en"", ""fa"")
"),"بهترین تکنیک ها برای استفاده از عناصر داستان سرایی در عکاسی مد و تحریریه چیست؟")</f>
        <v>بهترین تکنیک ها برای استفاده از عناصر داستان سرایی در عکاسی مد و تحریریه چیست؟</v>
      </c>
      <c r="H13438" s="1"/>
      <c r="I13438" s="1"/>
      <c r="J13438" s="1"/>
      <c r="K13438" s="1"/>
      <c r="L13438" s="1"/>
      <c r="M13438" s="1"/>
      <c r="N13438" s="1"/>
      <c r="O13438" s="1"/>
      <c r="P13438" s="1"/>
      <c r="Q13438" s="1"/>
      <c r="R13438" s="1"/>
      <c r="S13438" s="1"/>
      <c r="T13438" s="1"/>
      <c r="U13438" s="1"/>
      <c r="V13438" s="1"/>
      <c r="W13438" s="1"/>
      <c r="X13438" s="1"/>
      <c r="Y13438" s="1"/>
      <c r="Z13438" s="1"/>
      <c r="AA13438" s="1"/>
      <c r="AB13438" s="1"/>
    </row>
    <row r="13439" ht="50.25" customHeight="1">
      <c r="A13439" s="12">
        <v>13435.0</v>
      </c>
      <c r="B13439" s="13" t="s">
        <v>12705</v>
      </c>
      <c r="C13439" s="14" t="s">
        <v>12780</v>
      </c>
      <c r="D13439" s="1"/>
      <c r="E13439" s="1"/>
      <c r="F13439" s="1" t="str">
        <f>IFERROR(__xludf.DUMMYFUNCTION("GOOGLETRANSLATE(B13439, ""en"", ""fa"")
"),"عکاسی و داستان سرایی تصویری")</f>
        <v>عکاسی و داستان سرایی تصویری</v>
      </c>
      <c r="G13439" s="1" t="str">
        <f>IFERROR(__xludf.DUMMYFUNCTION("GOOGLETRANSLATE(C13439, ""en"", ""fa"")
"),"چگونه می توانم یک داستان بصری ایجاد کنم که انعطاف پذیری و قدرت جوامع را منتقل کند؟")</f>
        <v>چگونه می توانم یک داستان بصری ایجاد کنم که انعطاف پذیری و قدرت جوامع را منتقل کند؟</v>
      </c>
      <c r="H13439" s="1"/>
      <c r="I13439" s="1"/>
      <c r="J13439" s="1"/>
      <c r="K13439" s="1"/>
      <c r="L13439" s="1"/>
      <c r="M13439" s="1"/>
      <c r="N13439" s="1"/>
      <c r="O13439" s="1"/>
      <c r="P13439" s="1"/>
      <c r="Q13439" s="1"/>
      <c r="R13439" s="1"/>
      <c r="S13439" s="1"/>
      <c r="T13439" s="1"/>
      <c r="U13439" s="1"/>
      <c r="V13439" s="1"/>
      <c r="W13439" s="1"/>
      <c r="X13439" s="1"/>
      <c r="Y13439" s="1"/>
      <c r="Z13439" s="1"/>
      <c r="AA13439" s="1"/>
      <c r="AB13439" s="1"/>
    </row>
    <row r="13440" ht="50.25" customHeight="1">
      <c r="A13440" s="12">
        <v>13436.0</v>
      </c>
      <c r="B13440" s="13" t="s">
        <v>12705</v>
      </c>
      <c r="C13440" s="14" t="s">
        <v>12781</v>
      </c>
      <c r="D13440" s="1"/>
      <c r="E13440" s="1"/>
      <c r="F13440" s="1" t="str">
        <f>IFERROR(__xludf.DUMMYFUNCTION("GOOGLETRANSLATE(B13440, ""en"", ""fa"")
"),"عکاسی و داستان سرایی تصویری")</f>
        <v>عکاسی و داستان سرایی تصویری</v>
      </c>
      <c r="G13440" s="1" t="str">
        <f>IFERROR(__xludf.DUMMYFUNCTION("GOOGLETRANSLATE(C13440, ""en"", ""fa"")
"),"آیا می توانید راه هایی را برای استفاده از عکاسی برای افزایش آگاهی در مورد پایداری محیطی پیشنهاد دهید؟")</f>
        <v>آیا می توانید راه هایی را برای استفاده از عکاسی برای افزایش آگاهی در مورد پایداری محیطی پیشنهاد دهید؟</v>
      </c>
      <c r="H13440" s="1"/>
      <c r="I13440" s="1"/>
      <c r="J13440" s="1"/>
      <c r="K13440" s="1"/>
      <c r="L13440" s="1"/>
      <c r="M13440" s="1"/>
      <c r="N13440" s="1"/>
      <c r="O13440" s="1"/>
      <c r="P13440" s="1"/>
      <c r="Q13440" s="1"/>
      <c r="R13440" s="1"/>
      <c r="S13440" s="1"/>
      <c r="T13440" s="1"/>
      <c r="U13440" s="1"/>
      <c r="V13440" s="1"/>
      <c r="W13440" s="1"/>
      <c r="X13440" s="1"/>
      <c r="Y13440" s="1"/>
      <c r="Z13440" s="1"/>
      <c r="AA13440" s="1"/>
      <c r="AB13440" s="1"/>
    </row>
    <row r="13441" ht="50.25" customHeight="1">
      <c r="A13441" s="12">
        <v>13437.0</v>
      </c>
      <c r="B13441" s="13" t="s">
        <v>12705</v>
      </c>
      <c r="C13441" s="14" t="s">
        <v>12782</v>
      </c>
      <c r="D13441" s="1"/>
      <c r="E13441" s="1"/>
      <c r="F13441" s="1" t="str">
        <f>IFERROR(__xludf.DUMMYFUNCTION("GOOGLETRANSLATE(B13441, ""en"", ""fa"")
"),"عکاسی و داستان سرایی تصویری")</f>
        <v>عکاسی و داستان سرایی تصویری</v>
      </c>
      <c r="G13441" s="1" t="str">
        <f>IFERROR(__xludf.DUMMYFUNCTION("GOOGLETRANSLATE(C13441, ""en"", ""fa"")
"),"مراحل ایجاد یک داستان تصویری که زیبایی سنت های فرهنگی را به تصویر می کشد چیست؟")</f>
        <v>مراحل ایجاد یک داستان تصویری که زیبایی سنت های فرهنگی را به تصویر می کشد چیست؟</v>
      </c>
      <c r="H13441" s="1"/>
      <c r="I13441" s="1"/>
      <c r="J13441" s="1"/>
      <c r="K13441" s="1"/>
      <c r="L13441" s="1"/>
      <c r="M13441" s="1"/>
      <c r="N13441" s="1"/>
      <c r="O13441" s="1"/>
      <c r="P13441" s="1"/>
      <c r="Q13441" s="1"/>
      <c r="R13441" s="1"/>
      <c r="S13441" s="1"/>
      <c r="T13441" s="1"/>
      <c r="U13441" s="1"/>
      <c r="V13441" s="1"/>
      <c r="W13441" s="1"/>
      <c r="X13441" s="1"/>
      <c r="Y13441" s="1"/>
      <c r="Z13441" s="1"/>
      <c r="AA13441" s="1"/>
      <c r="AB13441" s="1"/>
    </row>
    <row r="13442" ht="50.25" customHeight="1">
      <c r="A13442" s="12">
        <v>13438.0</v>
      </c>
      <c r="B13442" s="13" t="s">
        <v>12705</v>
      </c>
      <c r="C13442" s="14" t="s">
        <v>12783</v>
      </c>
      <c r="D13442" s="1"/>
      <c r="E13442" s="1"/>
      <c r="F13442" s="1" t="str">
        <f>IFERROR(__xludf.DUMMYFUNCTION("GOOGLETRANSLATE(B13442, ""en"", ""fa"")
"),"عکاسی و داستان سرایی تصویری")</f>
        <v>عکاسی و داستان سرایی تصویری</v>
      </c>
      <c r="G13442" s="1" t="str">
        <f>IFERROR(__xludf.DUMMYFUNCTION("GOOGLETRANSLATE(C13442, ""en"", ""fa"")
"),"چگونه می توانم از چشم انداز و مقیاس برای گفتن داستان هایی از تعامل انسان با محیط استفاده کنم؟")</f>
        <v>چگونه می توانم از چشم انداز و مقیاس برای گفتن داستان هایی از تعامل انسان با محیط استفاده کنم؟</v>
      </c>
      <c r="H13442" s="1"/>
      <c r="I13442" s="1"/>
      <c r="J13442" s="1"/>
      <c r="K13442" s="1"/>
      <c r="L13442" s="1"/>
      <c r="M13442" s="1"/>
      <c r="N13442" s="1"/>
      <c r="O13442" s="1"/>
      <c r="P13442" s="1"/>
      <c r="Q13442" s="1"/>
      <c r="R13442" s="1"/>
      <c r="S13442" s="1"/>
      <c r="T13442" s="1"/>
      <c r="U13442" s="1"/>
      <c r="V13442" s="1"/>
      <c r="W13442" s="1"/>
      <c r="X13442" s="1"/>
      <c r="Y13442" s="1"/>
      <c r="Z13442" s="1"/>
      <c r="AA13442" s="1"/>
      <c r="AB13442" s="1"/>
    </row>
    <row r="13443" ht="50.25" customHeight="1">
      <c r="A13443" s="12">
        <v>13439.0</v>
      </c>
      <c r="B13443" s="13" t="s">
        <v>12705</v>
      </c>
      <c r="C13443" s="14" t="s">
        <v>12784</v>
      </c>
      <c r="D13443" s="1"/>
      <c r="E13443" s="1"/>
      <c r="F13443" s="1" t="str">
        <f>IFERROR(__xludf.DUMMYFUNCTION("GOOGLETRANSLATE(B13443, ""en"", ""fa"")
"),"عکاسی و داستان سرایی تصویری")</f>
        <v>عکاسی و داستان سرایی تصویری</v>
      </c>
      <c r="G13443" s="1" t="str">
        <f>IFERROR(__xludf.DUMMYFUNCTION("GOOGLETRANSLATE(C13443, ""en"", ""fa"")
"),"آیا می توانید نکاتی را برای درک ماهیت معماری و مناظر شهری توصیه کنید؟")</f>
        <v>آیا می توانید نکاتی را برای درک ماهیت معماری و مناظر شهری توصیه کنید؟</v>
      </c>
      <c r="H13443" s="1"/>
      <c r="I13443" s="1"/>
      <c r="J13443" s="1"/>
      <c r="K13443" s="1"/>
      <c r="L13443" s="1"/>
      <c r="M13443" s="1"/>
      <c r="N13443" s="1"/>
      <c r="O13443" s="1"/>
      <c r="P13443" s="1"/>
      <c r="Q13443" s="1"/>
      <c r="R13443" s="1"/>
      <c r="S13443" s="1"/>
      <c r="T13443" s="1"/>
      <c r="U13443" s="1"/>
      <c r="V13443" s="1"/>
      <c r="W13443" s="1"/>
      <c r="X13443" s="1"/>
      <c r="Y13443" s="1"/>
      <c r="Z13443" s="1"/>
      <c r="AA13443" s="1"/>
      <c r="AB13443" s="1"/>
    </row>
    <row r="13444" ht="50.25" customHeight="1">
      <c r="A13444" s="12">
        <v>13440.0</v>
      </c>
      <c r="B13444" s="13" t="s">
        <v>12705</v>
      </c>
      <c r="C13444" s="14" t="s">
        <v>12785</v>
      </c>
      <c r="D13444" s="1"/>
      <c r="E13444" s="1"/>
      <c r="F13444" s="1" t="str">
        <f>IFERROR(__xludf.DUMMYFUNCTION("GOOGLETRANSLATE(B13444, ""en"", ""fa"")
"),"عکاسی و داستان سرایی تصویری")</f>
        <v>عکاسی و داستان سرایی تصویری</v>
      </c>
      <c r="G13444" s="1" t="str">
        <f>IFERROR(__xludf.DUMMYFUNCTION("GOOGLETRANSLATE(C13444, ""en"", ""fa"")
"),"بهترین شیوه برای استفاده از نمادگرایی و استعاره برای عمق بخشیدن به روایت های بصری چیست؟")</f>
        <v>بهترین شیوه برای استفاده از نمادگرایی و استعاره برای عمق بخشیدن به روایت های بصری چیست؟</v>
      </c>
      <c r="H13444" s="1"/>
      <c r="I13444" s="1"/>
      <c r="J13444" s="1"/>
      <c r="K13444" s="1"/>
      <c r="L13444" s="1"/>
      <c r="M13444" s="1"/>
      <c r="N13444" s="1"/>
      <c r="O13444" s="1"/>
      <c r="P13444" s="1"/>
      <c r="Q13444" s="1"/>
      <c r="R13444" s="1"/>
      <c r="S13444" s="1"/>
      <c r="T13444" s="1"/>
      <c r="U13444" s="1"/>
      <c r="V13444" s="1"/>
      <c r="W13444" s="1"/>
      <c r="X13444" s="1"/>
      <c r="Y13444" s="1"/>
      <c r="Z13444" s="1"/>
      <c r="AA13444" s="1"/>
      <c r="AB13444" s="1"/>
    </row>
    <row r="13445" ht="50.25" customHeight="1">
      <c r="A13445" s="12">
        <v>13441.0</v>
      </c>
      <c r="B13445" s="13" t="s">
        <v>12705</v>
      </c>
      <c r="C13445" s="14" t="s">
        <v>12786</v>
      </c>
      <c r="D13445" s="1"/>
      <c r="E13445" s="1"/>
      <c r="F13445" s="1" t="str">
        <f>IFERROR(__xludf.DUMMYFUNCTION("GOOGLETRANSLATE(B13445, ""en"", ""fa"")
"),"عکاسی و داستان سرایی تصویری")</f>
        <v>عکاسی و داستان سرایی تصویری</v>
      </c>
      <c r="G13445" s="1" t="str">
        <f>IFERROR(__xludf.DUMMYFUNCTION("GOOGLETRANSLATE(C13445, ""en"", ""fa"")
"),"چگونه می توانم یک داستان بصری ایجاد کنم که تنوع بیان و احساسات انسانی را تحسین کند؟")</f>
        <v>چگونه می توانم یک داستان بصری ایجاد کنم که تنوع بیان و احساسات انسانی را تحسین کند؟</v>
      </c>
      <c r="H13445" s="1"/>
      <c r="I13445" s="1"/>
      <c r="J13445" s="1"/>
      <c r="K13445" s="1"/>
      <c r="L13445" s="1"/>
      <c r="M13445" s="1"/>
      <c r="N13445" s="1"/>
      <c r="O13445" s="1"/>
      <c r="P13445" s="1"/>
      <c r="Q13445" s="1"/>
      <c r="R13445" s="1"/>
      <c r="S13445" s="1"/>
      <c r="T13445" s="1"/>
      <c r="U13445" s="1"/>
      <c r="V13445" s="1"/>
      <c r="W13445" s="1"/>
      <c r="X13445" s="1"/>
      <c r="Y13445" s="1"/>
      <c r="Z13445" s="1"/>
      <c r="AA13445" s="1"/>
      <c r="AB13445" s="1"/>
    </row>
    <row r="13446" ht="50.25" customHeight="1">
      <c r="A13446" s="12">
        <v>13442.0</v>
      </c>
      <c r="B13446" s="13" t="s">
        <v>12705</v>
      </c>
      <c r="C13446" s="14" t="s">
        <v>12787</v>
      </c>
      <c r="D13446" s="1"/>
      <c r="E13446" s="1"/>
      <c r="F13446" s="1" t="str">
        <f>IFERROR(__xludf.DUMMYFUNCTION("GOOGLETRANSLATE(B13446, ""en"", ""fa"")
"),"عکاسی و داستان سرایی تصویری")</f>
        <v>عکاسی و داستان سرایی تصویری</v>
      </c>
      <c r="G13446" s="1" t="str">
        <f>IFERROR(__xludf.DUMMYFUNCTION("GOOGLETRANSLATE(C13446, ""en"", ""fa"")
"),"آیا می توانید تکنیک هایی برای عکاسی از بازتاب ها و ایجاد استعاره های بصری پیشنهاد دهید؟")</f>
        <v>آیا می توانید تکنیک هایی برای عکاسی از بازتاب ها و ایجاد استعاره های بصری پیشنهاد دهید؟</v>
      </c>
      <c r="H13446" s="1"/>
      <c r="I13446" s="1"/>
      <c r="J13446" s="1"/>
      <c r="K13446" s="1"/>
      <c r="L13446" s="1"/>
      <c r="M13446" s="1"/>
      <c r="N13446" s="1"/>
      <c r="O13446" s="1"/>
      <c r="P13446" s="1"/>
      <c r="Q13446" s="1"/>
      <c r="R13446" s="1"/>
      <c r="S13446" s="1"/>
      <c r="T13446" s="1"/>
      <c r="U13446" s="1"/>
      <c r="V13446" s="1"/>
      <c r="W13446" s="1"/>
      <c r="X13446" s="1"/>
      <c r="Y13446" s="1"/>
      <c r="Z13446" s="1"/>
      <c r="AA13446" s="1"/>
      <c r="AB13446" s="1"/>
    </row>
    <row r="13447" ht="50.25" customHeight="1">
      <c r="A13447" s="12">
        <v>13443.0</v>
      </c>
      <c r="B13447" s="13" t="s">
        <v>12705</v>
      </c>
      <c r="C13447" s="14" t="s">
        <v>12788</v>
      </c>
      <c r="D13447" s="1"/>
      <c r="E13447" s="1"/>
      <c r="F13447" s="1" t="str">
        <f>IFERROR(__xludf.DUMMYFUNCTION("GOOGLETRANSLATE(B13447, ""en"", ""fa"")
"),"عکاسی و داستان سرایی تصویری")</f>
        <v>عکاسی و داستان سرایی تصویری</v>
      </c>
      <c r="G13447" s="1" t="str">
        <f>IFERROR(__xludf.DUMMYFUNCTION("GOOGLETRANSLATE(C13447, ""en"", ""fa"")
"),"مراحل ایجاد یک داستان تصویری که تکامل یک پروژه شخصی را مستند می کند چیست؟")</f>
        <v>مراحل ایجاد یک داستان تصویری که تکامل یک پروژه شخصی را مستند می کند چیست؟</v>
      </c>
      <c r="H13447" s="1"/>
      <c r="I13447" s="1"/>
      <c r="J13447" s="1"/>
      <c r="K13447" s="1"/>
      <c r="L13447" s="1"/>
      <c r="M13447" s="1"/>
      <c r="N13447" s="1"/>
      <c r="O13447" s="1"/>
      <c r="P13447" s="1"/>
      <c r="Q13447" s="1"/>
      <c r="R13447" s="1"/>
      <c r="S13447" s="1"/>
      <c r="T13447" s="1"/>
      <c r="U13447" s="1"/>
      <c r="V13447" s="1"/>
      <c r="W13447" s="1"/>
      <c r="X13447" s="1"/>
      <c r="Y13447" s="1"/>
      <c r="Z13447" s="1"/>
      <c r="AA13447" s="1"/>
      <c r="AB13447" s="1"/>
    </row>
    <row r="13448" ht="50.25" customHeight="1">
      <c r="A13448" s="12">
        <v>13444.0</v>
      </c>
      <c r="B13448" s="13" t="s">
        <v>12705</v>
      </c>
      <c r="C13448" s="14" t="s">
        <v>12789</v>
      </c>
      <c r="D13448" s="1"/>
      <c r="E13448" s="1"/>
      <c r="F13448" s="1" t="str">
        <f>IFERROR(__xludf.DUMMYFUNCTION("GOOGLETRANSLATE(B13448, ""en"", ""fa"")
"),"عکاسی و داستان سرایی تصویری")</f>
        <v>عکاسی و داستان سرایی تصویری</v>
      </c>
      <c r="G13448" s="1" t="str">
        <f>IFERROR(__xludf.DUMMYFUNCTION("GOOGLETRANSLATE(C13448, ""en"", ""fa"")
"),"چگونه می توانم از نور و سایه برای ایجاد عکس های داستانی دراماتیک و جذاب استفاده کنم؟")</f>
        <v>چگونه می توانم از نور و سایه برای ایجاد عکس های داستانی دراماتیک و جذاب استفاده کنم؟</v>
      </c>
      <c r="H13448" s="1"/>
      <c r="I13448" s="1"/>
      <c r="J13448" s="1"/>
      <c r="K13448" s="1"/>
      <c r="L13448" s="1"/>
      <c r="M13448" s="1"/>
      <c r="N13448" s="1"/>
      <c r="O13448" s="1"/>
      <c r="P13448" s="1"/>
      <c r="Q13448" s="1"/>
      <c r="R13448" s="1"/>
      <c r="S13448" s="1"/>
      <c r="T13448" s="1"/>
      <c r="U13448" s="1"/>
      <c r="V13448" s="1"/>
      <c r="W13448" s="1"/>
      <c r="X13448" s="1"/>
      <c r="Y13448" s="1"/>
      <c r="Z13448" s="1"/>
      <c r="AA13448" s="1"/>
      <c r="AB13448" s="1"/>
    </row>
    <row r="13449" ht="50.25" customHeight="1">
      <c r="A13449" s="12">
        <v>13445.0</v>
      </c>
      <c r="B13449" s="13" t="s">
        <v>12705</v>
      </c>
      <c r="C13449" s="14" t="s">
        <v>12790</v>
      </c>
      <c r="D13449" s="1"/>
      <c r="E13449" s="1"/>
      <c r="F13449" s="1" t="str">
        <f>IFERROR(__xludf.DUMMYFUNCTION("GOOGLETRANSLATE(B13449, ""en"", ""fa"")
"),"عکاسی و داستان سرایی تصویری")</f>
        <v>عکاسی و داستان سرایی تصویری</v>
      </c>
      <c r="G13449" s="1" t="str">
        <f>IFERROR(__xludf.DUMMYFUNCTION("GOOGLETRANSLATE(C13449, ""en"", ""fa"")
"),"آیا می توانید راهکارهایی برای عکاسی از تلاقی فرهنگ ها و سنت ها توصیه کنید؟")</f>
        <v>آیا می توانید راهکارهایی برای عکاسی از تلاقی فرهنگ ها و سنت ها توصیه کنید؟</v>
      </c>
      <c r="H13449" s="1"/>
      <c r="I13449" s="1"/>
      <c r="J13449" s="1"/>
      <c r="K13449" s="1"/>
      <c r="L13449" s="1"/>
      <c r="M13449" s="1"/>
      <c r="N13449" s="1"/>
      <c r="O13449" s="1"/>
      <c r="P13449" s="1"/>
      <c r="Q13449" s="1"/>
      <c r="R13449" s="1"/>
      <c r="S13449" s="1"/>
      <c r="T13449" s="1"/>
      <c r="U13449" s="1"/>
      <c r="V13449" s="1"/>
      <c r="W13449" s="1"/>
      <c r="X13449" s="1"/>
      <c r="Y13449" s="1"/>
      <c r="Z13449" s="1"/>
      <c r="AA13449" s="1"/>
      <c r="AB13449" s="1"/>
    </row>
    <row r="13450" ht="50.25" customHeight="1">
      <c r="A13450" s="12">
        <v>13446.0</v>
      </c>
      <c r="B13450" s="13" t="s">
        <v>12705</v>
      </c>
      <c r="C13450" s="14" t="s">
        <v>12791</v>
      </c>
      <c r="D13450" s="1"/>
      <c r="E13450" s="1"/>
      <c r="F13450" s="1" t="str">
        <f>IFERROR(__xludf.DUMMYFUNCTION("GOOGLETRANSLATE(B13450, ""en"", ""fa"")
"),"عکاسی و داستان سرایی تصویری")</f>
        <v>عکاسی و داستان سرایی تصویری</v>
      </c>
      <c r="G13450" s="1" t="str">
        <f>IFERROR(__xludf.DUMMYFUNCTION("GOOGLETRANSLATE(C13450, ""en"", ""fa"")
"),"بهترین تکنیک ها برای استفاده از عکاسی هوایی برای روایت داستان از مناظر چیست؟")</f>
        <v>بهترین تکنیک ها برای استفاده از عکاسی هوایی برای روایت داستان از مناظر چیست؟</v>
      </c>
      <c r="H13450" s="1"/>
      <c r="I13450" s="1"/>
      <c r="J13450" s="1"/>
      <c r="K13450" s="1"/>
      <c r="L13450" s="1"/>
      <c r="M13450" s="1"/>
      <c r="N13450" s="1"/>
      <c r="O13450" s="1"/>
      <c r="P13450" s="1"/>
      <c r="Q13450" s="1"/>
      <c r="R13450" s="1"/>
      <c r="S13450" s="1"/>
      <c r="T13450" s="1"/>
      <c r="U13450" s="1"/>
      <c r="V13450" s="1"/>
      <c r="W13450" s="1"/>
      <c r="X13450" s="1"/>
      <c r="Y13450" s="1"/>
      <c r="Z13450" s="1"/>
      <c r="AA13450" s="1"/>
      <c r="AB13450" s="1"/>
    </row>
    <row r="13451" ht="50.25" customHeight="1">
      <c r="A13451" s="12">
        <v>13447.0</v>
      </c>
      <c r="B13451" s="13" t="s">
        <v>12705</v>
      </c>
      <c r="C13451" s="14" t="s">
        <v>12792</v>
      </c>
      <c r="D13451" s="1"/>
      <c r="E13451" s="1"/>
      <c r="F13451" s="1" t="str">
        <f>IFERROR(__xludf.DUMMYFUNCTION("GOOGLETRANSLATE(B13451, ""en"", ""fa"")
"),"عکاسی و داستان سرایی تصویری")</f>
        <v>عکاسی و داستان سرایی تصویری</v>
      </c>
      <c r="G13451" s="1" t="str">
        <f>IFERROR(__xludf.DUMMYFUNCTION("GOOGLETRANSLATE(C13451, ""en"", ""fa"")
"),"چگونه می توانم یک داستان بصری ایجاد کنم که ارتباط بین اشکال مختلف هنر را به تصویر بکشد؟")</f>
        <v>چگونه می توانم یک داستان بصری ایجاد کنم که ارتباط بین اشکال مختلف هنر را به تصویر بکشد؟</v>
      </c>
      <c r="H13451" s="1"/>
      <c r="I13451" s="1"/>
      <c r="J13451" s="1"/>
      <c r="K13451" s="1"/>
      <c r="L13451" s="1"/>
      <c r="M13451" s="1"/>
      <c r="N13451" s="1"/>
      <c r="O13451" s="1"/>
      <c r="P13451" s="1"/>
      <c r="Q13451" s="1"/>
      <c r="R13451" s="1"/>
      <c r="S13451" s="1"/>
      <c r="T13451" s="1"/>
      <c r="U13451" s="1"/>
      <c r="V13451" s="1"/>
      <c r="W13451" s="1"/>
      <c r="X13451" s="1"/>
      <c r="Y13451" s="1"/>
      <c r="Z13451" s="1"/>
      <c r="AA13451" s="1"/>
      <c r="AB13451" s="1"/>
    </row>
    <row r="13452" ht="50.25" customHeight="1">
      <c r="A13452" s="12">
        <v>13448.0</v>
      </c>
      <c r="B13452" s="13" t="s">
        <v>12705</v>
      </c>
      <c r="C13452" s="14" t="s">
        <v>12793</v>
      </c>
      <c r="D13452" s="1"/>
      <c r="E13452" s="1"/>
      <c r="F13452" s="1" t="str">
        <f>IFERROR(__xludf.DUMMYFUNCTION("GOOGLETRANSLATE(B13452, ""en"", ""fa"")
"),"عکاسی و داستان سرایی تصویری")</f>
        <v>عکاسی و داستان سرایی تصویری</v>
      </c>
      <c r="G13452" s="1" t="str">
        <f>IFERROR(__xludf.DUMMYFUNCTION("GOOGLETRANSLATE(C13452, ""en"", ""fa"")
"),"آیا می توانید راه هایی برای استفاده از عکاسی انتزاعی برای انتقال احساسات و روایت ها پیشنهاد کنید؟")</f>
        <v>آیا می توانید راه هایی برای استفاده از عکاسی انتزاعی برای انتقال احساسات و روایت ها پیشنهاد کنید؟</v>
      </c>
      <c r="H13452" s="1"/>
      <c r="I13452" s="1"/>
      <c r="J13452" s="1"/>
      <c r="K13452" s="1"/>
      <c r="L13452" s="1"/>
      <c r="M13452" s="1"/>
      <c r="N13452" s="1"/>
      <c r="O13452" s="1"/>
      <c r="P13452" s="1"/>
      <c r="Q13452" s="1"/>
      <c r="R13452" s="1"/>
      <c r="S13452" s="1"/>
      <c r="T13452" s="1"/>
      <c r="U13452" s="1"/>
      <c r="V13452" s="1"/>
      <c r="W13452" s="1"/>
      <c r="X13452" s="1"/>
      <c r="Y13452" s="1"/>
      <c r="Z13452" s="1"/>
      <c r="AA13452" s="1"/>
      <c r="AB13452" s="1"/>
    </row>
    <row r="13453" ht="50.25" customHeight="1">
      <c r="A13453" s="12">
        <v>13449.0</v>
      </c>
      <c r="B13453" s="13" t="s">
        <v>12705</v>
      </c>
      <c r="C13453" s="14" t="s">
        <v>12794</v>
      </c>
      <c r="D13453" s="1"/>
      <c r="E13453" s="1"/>
      <c r="F13453" s="1" t="str">
        <f>IFERROR(__xludf.DUMMYFUNCTION("GOOGLETRANSLATE(B13453, ""en"", ""fa"")
"),"عکاسی و داستان سرایی تصویری")</f>
        <v>عکاسی و داستان سرایی تصویری</v>
      </c>
      <c r="G13453" s="1" t="str">
        <f>IFERROR(__xludf.DUMMYFUNCTION("GOOGLETRANSLATE(C13453, ""en"", ""fa"")
"),"مراحل ایجاد یک داستان تصویری که لذت و جوهر جشن ها را به تصویر می کشد چیست؟")</f>
        <v>مراحل ایجاد یک داستان تصویری که لذت و جوهر جشن ها را به تصویر می کشد چیست؟</v>
      </c>
      <c r="H13453" s="1"/>
      <c r="I13453" s="1"/>
      <c r="J13453" s="1"/>
      <c r="K13453" s="1"/>
      <c r="L13453" s="1"/>
      <c r="M13453" s="1"/>
      <c r="N13453" s="1"/>
      <c r="O13453" s="1"/>
      <c r="P13453" s="1"/>
      <c r="Q13453" s="1"/>
      <c r="R13453" s="1"/>
      <c r="S13453" s="1"/>
      <c r="T13453" s="1"/>
      <c r="U13453" s="1"/>
      <c r="V13453" s="1"/>
      <c r="W13453" s="1"/>
      <c r="X13453" s="1"/>
      <c r="Y13453" s="1"/>
      <c r="Z13453" s="1"/>
      <c r="AA13453" s="1"/>
      <c r="AB13453" s="1"/>
    </row>
    <row r="13454" ht="50.25" customHeight="1">
      <c r="A13454" s="12">
        <v>13450.0</v>
      </c>
      <c r="B13454" s="13" t="s">
        <v>12705</v>
      </c>
      <c r="C13454" s="14" t="s">
        <v>12795</v>
      </c>
      <c r="D13454" s="1"/>
      <c r="E13454" s="1"/>
      <c r="F13454" s="1" t="str">
        <f>IFERROR(__xludf.DUMMYFUNCTION("GOOGLETRANSLATE(B13454, ""en"", ""fa"")
"),"عکاسی و داستان سرایی تصویری")</f>
        <v>عکاسی و داستان سرایی تصویری</v>
      </c>
      <c r="G13454" s="1" t="str">
        <f>IFERROR(__xludf.DUMMYFUNCTION("GOOGLETRANSLATE(C13454, ""en"", ""fa"")
"),"چگونه می توانم از ترکیب بندی و عناصر بصری برای ایجاد حس رمز و راز و فتنه استفاده کنم؟")</f>
        <v>چگونه می توانم از ترکیب بندی و عناصر بصری برای ایجاد حس رمز و راز و فتنه استفاده کنم؟</v>
      </c>
      <c r="H13454" s="1"/>
      <c r="I13454" s="1"/>
      <c r="J13454" s="1"/>
      <c r="K13454" s="1"/>
      <c r="L13454" s="1"/>
      <c r="M13454" s="1"/>
      <c r="N13454" s="1"/>
      <c r="O13454" s="1"/>
      <c r="P13454" s="1"/>
      <c r="Q13454" s="1"/>
      <c r="R13454" s="1"/>
      <c r="S13454" s="1"/>
      <c r="T13454" s="1"/>
      <c r="U13454" s="1"/>
      <c r="V13454" s="1"/>
      <c r="W13454" s="1"/>
      <c r="X13454" s="1"/>
      <c r="Y13454" s="1"/>
      <c r="Z13454" s="1"/>
      <c r="AA13454" s="1"/>
      <c r="AB13454" s="1"/>
    </row>
    <row r="13455" ht="50.25" customHeight="1">
      <c r="A13455" s="12">
        <v>13451.0</v>
      </c>
      <c r="B13455" s="13" t="s">
        <v>12705</v>
      </c>
      <c r="C13455" s="14" t="s">
        <v>12796</v>
      </c>
      <c r="D13455" s="1"/>
      <c r="E13455" s="1"/>
      <c r="F13455" s="1" t="str">
        <f>IFERROR(__xludf.DUMMYFUNCTION("GOOGLETRANSLATE(B13455, ""en"", ""fa"")
"),"عکاسی و داستان سرایی تصویری")</f>
        <v>عکاسی و داستان سرایی تصویری</v>
      </c>
      <c r="G13455" s="1" t="str">
        <f>IFERROR(__xludf.DUMMYFUNCTION("GOOGLETRANSLATE(C13455, ""en"", ""fa"")
"),"آیا می توانید نکاتی را برای ثبت زیبایی و سادگی لحظات روزمره توصیه کنید؟")</f>
        <v>آیا می توانید نکاتی را برای ثبت زیبایی و سادگی لحظات روزمره توصیه کنید؟</v>
      </c>
      <c r="H13455" s="1"/>
      <c r="I13455" s="1"/>
      <c r="J13455" s="1"/>
      <c r="K13455" s="1"/>
      <c r="L13455" s="1"/>
      <c r="M13455" s="1"/>
      <c r="N13455" s="1"/>
      <c r="O13455" s="1"/>
      <c r="P13455" s="1"/>
      <c r="Q13455" s="1"/>
      <c r="R13455" s="1"/>
      <c r="S13455" s="1"/>
      <c r="T13455" s="1"/>
      <c r="U13455" s="1"/>
      <c r="V13455" s="1"/>
      <c r="W13455" s="1"/>
      <c r="X13455" s="1"/>
      <c r="Y13455" s="1"/>
      <c r="Z13455" s="1"/>
      <c r="AA13455" s="1"/>
      <c r="AB13455" s="1"/>
    </row>
    <row r="13456" ht="50.25" customHeight="1">
      <c r="A13456" s="12">
        <v>13452.0</v>
      </c>
      <c r="B13456" s="13" t="s">
        <v>12705</v>
      </c>
      <c r="C13456" s="14" t="s">
        <v>12797</v>
      </c>
      <c r="D13456" s="1"/>
      <c r="E13456" s="1"/>
      <c r="F13456" s="1" t="str">
        <f>IFERROR(__xludf.DUMMYFUNCTION("GOOGLETRANSLATE(B13456, ""en"", ""fa"")
"),"عکاسی و داستان سرایی تصویری")</f>
        <v>عکاسی و داستان سرایی تصویری</v>
      </c>
      <c r="G13456" s="1" t="str">
        <f>IFERROR(__xludf.DUMMYFUNCTION("GOOGLETRANSLATE(C13456, ""en"", ""fa"")
"),"بهترین شیوه برای استفاده از داستان سرایی تصویری برای روشن کردن مسائل عدالت اجتماعی چیست؟")</f>
        <v>بهترین شیوه برای استفاده از داستان سرایی تصویری برای روشن کردن مسائل عدالت اجتماعی چیست؟</v>
      </c>
      <c r="H13456" s="1"/>
      <c r="I13456" s="1"/>
      <c r="J13456" s="1"/>
      <c r="K13456" s="1"/>
      <c r="L13456" s="1"/>
      <c r="M13456" s="1"/>
      <c r="N13456" s="1"/>
      <c r="O13456" s="1"/>
      <c r="P13456" s="1"/>
      <c r="Q13456" s="1"/>
      <c r="R13456" s="1"/>
      <c r="S13456" s="1"/>
      <c r="T13456" s="1"/>
      <c r="U13456" s="1"/>
      <c r="V13456" s="1"/>
      <c r="W13456" s="1"/>
      <c r="X13456" s="1"/>
      <c r="Y13456" s="1"/>
      <c r="Z13456" s="1"/>
      <c r="AA13456" s="1"/>
      <c r="AB13456" s="1"/>
    </row>
    <row r="13457" ht="50.25" customHeight="1">
      <c r="A13457" s="12">
        <v>13453.0</v>
      </c>
      <c r="B13457" s="13" t="s">
        <v>12705</v>
      </c>
      <c r="C13457" s="14" t="s">
        <v>12798</v>
      </c>
      <c r="D13457" s="1"/>
      <c r="E13457" s="1"/>
      <c r="F13457" s="1" t="str">
        <f>IFERROR(__xludf.DUMMYFUNCTION("GOOGLETRANSLATE(B13457, ""en"", ""fa"")
"),"عکاسی و داستان سرایی تصویری")</f>
        <v>عکاسی و داستان سرایی تصویری</v>
      </c>
      <c r="G13457" s="1" t="str">
        <f>IFERROR(__xludf.DUMMYFUNCTION("GOOGLETRANSLATE(C13457, ""en"", ""fa"")
"),"چگونه می توانم یک داستان بصری ایجاد کنم که انعطاف پذیری و قدرت افراد را منعکس کند؟")</f>
        <v>چگونه می توانم یک داستان بصری ایجاد کنم که انعطاف پذیری و قدرت افراد را منعکس کند؟</v>
      </c>
      <c r="H13457" s="1"/>
      <c r="I13457" s="1"/>
      <c r="J13457" s="1"/>
      <c r="K13457" s="1"/>
      <c r="L13457" s="1"/>
      <c r="M13457" s="1"/>
      <c r="N13457" s="1"/>
      <c r="O13457" s="1"/>
      <c r="P13457" s="1"/>
      <c r="Q13457" s="1"/>
      <c r="R13457" s="1"/>
      <c r="S13457" s="1"/>
      <c r="T13457" s="1"/>
      <c r="U13457" s="1"/>
      <c r="V13457" s="1"/>
      <c r="W13457" s="1"/>
      <c r="X13457" s="1"/>
      <c r="Y13457" s="1"/>
      <c r="Z13457" s="1"/>
      <c r="AA13457" s="1"/>
      <c r="AB13457" s="1"/>
    </row>
    <row r="13458" ht="50.25" customHeight="1">
      <c r="A13458" s="12">
        <v>13454.0</v>
      </c>
      <c r="B13458" s="13" t="s">
        <v>12705</v>
      </c>
      <c r="C13458" s="14" t="s">
        <v>12799</v>
      </c>
      <c r="D13458" s="1"/>
      <c r="E13458" s="1"/>
      <c r="F13458" s="1" t="str">
        <f>IFERROR(__xludf.DUMMYFUNCTION("GOOGLETRANSLATE(B13458, ""en"", ""fa"")
"),"عکاسی و داستان سرایی تصویری")</f>
        <v>عکاسی و داستان سرایی تصویری</v>
      </c>
      <c r="G13458" s="1" t="str">
        <f>IFERROR(__xludf.DUMMYFUNCTION("GOOGLETRANSLATE(C13458, ""en"", ""fa"")
"),"آیا می توانید تکنیک هایی برای عکاسی از ذات یک حرفه یا حرفه خاص پیشنهاد دهید؟")</f>
        <v>آیا می توانید تکنیک هایی برای عکاسی از ذات یک حرفه یا حرفه خاص پیشنهاد دهید؟</v>
      </c>
      <c r="H13458" s="1"/>
      <c r="I13458" s="1"/>
      <c r="J13458" s="1"/>
      <c r="K13458" s="1"/>
      <c r="L13458" s="1"/>
      <c r="M13458" s="1"/>
      <c r="N13458" s="1"/>
      <c r="O13458" s="1"/>
      <c r="P13458" s="1"/>
      <c r="Q13458" s="1"/>
      <c r="R13458" s="1"/>
      <c r="S13458" s="1"/>
      <c r="T13458" s="1"/>
      <c r="U13458" s="1"/>
      <c r="V13458" s="1"/>
      <c r="W13458" s="1"/>
      <c r="X13458" s="1"/>
      <c r="Y13458" s="1"/>
      <c r="Z13458" s="1"/>
      <c r="AA13458" s="1"/>
      <c r="AB13458" s="1"/>
    </row>
    <row r="13459" ht="50.25" customHeight="1">
      <c r="A13459" s="12">
        <v>13455.0</v>
      </c>
      <c r="B13459" s="13" t="s">
        <v>12705</v>
      </c>
      <c r="C13459" s="14" t="s">
        <v>12800</v>
      </c>
      <c r="D13459" s="1"/>
      <c r="E13459" s="1"/>
      <c r="F13459" s="1" t="str">
        <f>IFERROR(__xludf.DUMMYFUNCTION("GOOGLETRANSLATE(B13459, ""en"", ""fa"")
"),"عکاسی و داستان سرایی تصویری")</f>
        <v>عکاسی و داستان سرایی تصویری</v>
      </c>
      <c r="G13459" s="1" t="str">
        <f>IFERROR(__xludf.DUMMYFUNCTION("GOOGLETRANSLATE(C13459, ""en"", ""fa"")
"),"مراحل ایجاد یک داستان تصویری که ارتباط بین مردم و طبیعت را به تصویر می کشد چیست؟")</f>
        <v>مراحل ایجاد یک داستان تصویری که ارتباط بین مردم و طبیعت را به تصویر می کشد چیست؟</v>
      </c>
      <c r="H13459" s="1"/>
      <c r="I13459" s="1"/>
      <c r="J13459" s="1"/>
      <c r="K13459" s="1"/>
      <c r="L13459" s="1"/>
      <c r="M13459" s="1"/>
      <c r="N13459" s="1"/>
      <c r="O13459" s="1"/>
      <c r="P13459" s="1"/>
      <c r="Q13459" s="1"/>
      <c r="R13459" s="1"/>
      <c r="S13459" s="1"/>
      <c r="T13459" s="1"/>
      <c r="U13459" s="1"/>
      <c r="V13459" s="1"/>
      <c r="W13459" s="1"/>
      <c r="X13459" s="1"/>
      <c r="Y13459" s="1"/>
      <c r="Z13459" s="1"/>
      <c r="AA13459" s="1"/>
      <c r="AB13459" s="1"/>
    </row>
    <row r="13460" ht="50.25" customHeight="1">
      <c r="A13460" s="12">
        <v>13456.0</v>
      </c>
      <c r="B13460" s="13" t="s">
        <v>12705</v>
      </c>
      <c r="C13460" s="14" t="s">
        <v>12801</v>
      </c>
      <c r="D13460" s="1"/>
      <c r="E13460" s="1"/>
      <c r="F13460" s="1" t="str">
        <f>IFERROR(__xludf.DUMMYFUNCTION("GOOGLETRANSLATE(B13460, ""en"", ""fa"")
"),"عکاسی و داستان سرایی تصویری")</f>
        <v>عکاسی و داستان سرایی تصویری</v>
      </c>
      <c r="G13460" s="1" t="str">
        <f>IFERROR(__xludf.DUMMYFUNCTION("GOOGLETRANSLATE(C13460, ""en"", ""fa"")
"),"چگونه می توانم از کنار هم قرار گرفتن و تضاد برای ایجاد روایت های بصری تفکر برانگیز استفاده کنم؟")</f>
        <v>چگونه می توانم از کنار هم قرار گرفتن و تضاد برای ایجاد روایت های بصری تفکر برانگیز استفاده کنم؟</v>
      </c>
      <c r="H13460" s="1"/>
      <c r="I13460" s="1"/>
      <c r="J13460" s="1"/>
      <c r="K13460" s="1"/>
      <c r="L13460" s="1"/>
      <c r="M13460" s="1"/>
      <c r="N13460" s="1"/>
      <c r="O13460" s="1"/>
      <c r="P13460" s="1"/>
      <c r="Q13460" s="1"/>
      <c r="R13460" s="1"/>
      <c r="S13460" s="1"/>
      <c r="T13460" s="1"/>
      <c r="U13460" s="1"/>
      <c r="V13460" s="1"/>
      <c r="W13460" s="1"/>
      <c r="X13460" s="1"/>
      <c r="Y13460" s="1"/>
      <c r="Z13460" s="1"/>
      <c r="AA13460" s="1"/>
      <c r="AB13460" s="1"/>
    </row>
    <row r="13461" ht="50.25" customHeight="1">
      <c r="A13461" s="12">
        <v>13457.0</v>
      </c>
      <c r="B13461" s="13" t="s">
        <v>12705</v>
      </c>
      <c r="C13461" s="14" t="s">
        <v>12802</v>
      </c>
      <c r="D13461" s="1"/>
      <c r="E13461" s="1"/>
      <c r="F13461" s="1" t="str">
        <f>IFERROR(__xludf.DUMMYFUNCTION("GOOGLETRANSLATE(B13461, ""en"", ""fa"")
"),"عکاسی و داستان سرایی تصویری")</f>
        <v>عکاسی و داستان سرایی تصویری</v>
      </c>
      <c r="G13461" s="1" t="str">
        <f>IFERROR(__xludf.DUMMYFUNCTION("GOOGLETRANSLATE(C13461, ""en"", ""fa"")
"),"آیا می‌توانید استراتژی‌هایی را برای ثبت فضا و احساسات رویدادهای زنده توصیه کنید؟")</f>
        <v>آیا می‌توانید استراتژی‌هایی را برای ثبت فضا و احساسات رویدادهای زنده توصیه کنید؟</v>
      </c>
      <c r="H13461" s="1"/>
      <c r="I13461" s="1"/>
      <c r="J13461" s="1"/>
      <c r="K13461" s="1"/>
      <c r="L13461" s="1"/>
      <c r="M13461" s="1"/>
      <c r="N13461" s="1"/>
      <c r="O13461" s="1"/>
      <c r="P13461" s="1"/>
      <c r="Q13461" s="1"/>
      <c r="R13461" s="1"/>
      <c r="S13461" s="1"/>
      <c r="T13461" s="1"/>
      <c r="U13461" s="1"/>
      <c r="V13461" s="1"/>
      <c r="W13461" s="1"/>
      <c r="X13461" s="1"/>
      <c r="Y13461" s="1"/>
      <c r="Z13461" s="1"/>
      <c r="AA13461" s="1"/>
      <c r="AB13461" s="1"/>
    </row>
    <row r="13462" ht="50.25" customHeight="1">
      <c r="A13462" s="12">
        <v>13458.0</v>
      </c>
      <c r="B13462" s="13" t="s">
        <v>12705</v>
      </c>
      <c r="C13462" s="14" t="s">
        <v>12803</v>
      </c>
      <c r="D13462" s="1"/>
      <c r="E13462" s="1"/>
      <c r="F13462" s="1" t="str">
        <f>IFERROR(__xludf.DUMMYFUNCTION("GOOGLETRANSLATE(B13462, ""en"", ""fa"")
"),"عکاسی و داستان سرایی تصویری")</f>
        <v>عکاسی و داستان سرایی تصویری</v>
      </c>
      <c r="G13462" s="1" t="str">
        <f>IFERROR(__xludf.DUMMYFUNCTION("GOOGLETRANSLATE(C13462, ""en"", ""fa"")
"),"بهترین تکنیک ها برای استفاده از نوردهی دوگانه و ترکیب بندی در داستان گویی بصری چیست؟")</f>
        <v>بهترین تکنیک ها برای استفاده از نوردهی دوگانه و ترکیب بندی در داستان گویی بصری چیست؟</v>
      </c>
      <c r="H13462" s="1"/>
      <c r="I13462" s="1"/>
      <c r="J13462" s="1"/>
      <c r="K13462" s="1"/>
      <c r="L13462" s="1"/>
      <c r="M13462" s="1"/>
      <c r="N13462" s="1"/>
      <c r="O13462" s="1"/>
      <c r="P13462" s="1"/>
      <c r="Q13462" s="1"/>
      <c r="R13462" s="1"/>
      <c r="S13462" s="1"/>
      <c r="T13462" s="1"/>
      <c r="U13462" s="1"/>
      <c r="V13462" s="1"/>
      <c r="W13462" s="1"/>
      <c r="X13462" s="1"/>
      <c r="Y13462" s="1"/>
      <c r="Z13462" s="1"/>
      <c r="AA13462" s="1"/>
      <c r="AB13462" s="1"/>
    </row>
    <row r="13463" ht="50.25" customHeight="1">
      <c r="A13463" s="12">
        <v>13459.0</v>
      </c>
      <c r="B13463" s="13" t="s">
        <v>12705</v>
      </c>
      <c r="C13463" s="14" t="s">
        <v>12804</v>
      </c>
      <c r="D13463" s="1"/>
      <c r="E13463" s="1"/>
      <c r="F13463" s="1" t="str">
        <f>IFERROR(__xludf.DUMMYFUNCTION("GOOGLETRANSLATE(B13463, ""en"", ""fa"")
"),"عکاسی و داستان سرایی تصویری")</f>
        <v>عکاسی و داستان سرایی تصویری</v>
      </c>
      <c r="G13463" s="1" t="str">
        <f>IFERROR(__xludf.DUMMYFUNCTION("GOOGLETRANSLATE(C13463, ""en"", ""fa"")
"),"چگونه می توانم یک داستان تصویری ایجاد کنم که اهمیت فرهنگی یک مکان یا جامعه را مستند کند؟")</f>
        <v>چگونه می توانم یک داستان تصویری ایجاد کنم که اهمیت فرهنگی یک مکان یا جامعه را مستند کند؟</v>
      </c>
      <c r="H13463" s="1"/>
      <c r="I13463" s="1"/>
      <c r="J13463" s="1"/>
      <c r="K13463" s="1"/>
      <c r="L13463" s="1"/>
      <c r="M13463" s="1"/>
      <c r="N13463" s="1"/>
      <c r="O13463" s="1"/>
      <c r="P13463" s="1"/>
      <c r="Q13463" s="1"/>
      <c r="R13463" s="1"/>
      <c r="S13463" s="1"/>
      <c r="T13463" s="1"/>
      <c r="U13463" s="1"/>
      <c r="V13463" s="1"/>
      <c r="W13463" s="1"/>
      <c r="X13463" s="1"/>
      <c r="Y13463" s="1"/>
      <c r="Z13463" s="1"/>
      <c r="AA13463" s="1"/>
      <c r="AB13463" s="1"/>
    </row>
    <row r="13464" ht="50.25" customHeight="1">
      <c r="A13464" s="12">
        <v>13460.0</v>
      </c>
      <c r="B13464" s="13" t="s">
        <v>12705</v>
      </c>
      <c r="C13464" s="14" t="s">
        <v>12805</v>
      </c>
      <c r="D13464" s="1"/>
      <c r="E13464" s="1"/>
      <c r="F13464" s="1" t="str">
        <f>IFERROR(__xludf.DUMMYFUNCTION("GOOGLETRANSLATE(B13464, ""en"", ""fa"")
"),"عکاسی و داستان سرایی تصویری")</f>
        <v>عکاسی و داستان سرایی تصویری</v>
      </c>
      <c r="G13464" s="1" t="str">
        <f>IFERROR(__xludf.DUMMYFUNCTION("GOOGLETRANSLATE(C13464, ""en"", ""fa"")
"),"آیا می توانید راه هایی برای استفاده از داستان سرایی تصویری برای الهام بخشیدن به تغییرات مثبت اجتماعی پیشنهاد کنید؟")</f>
        <v>آیا می توانید راه هایی برای استفاده از داستان سرایی تصویری برای الهام بخشیدن به تغییرات مثبت اجتماعی پیشنهاد کنید؟</v>
      </c>
      <c r="H13464" s="1"/>
      <c r="I13464" s="1"/>
      <c r="J13464" s="1"/>
      <c r="K13464" s="1"/>
      <c r="L13464" s="1"/>
      <c r="M13464" s="1"/>
      <c r="N13464" s="1"/>
      <c r="O13464" s="1"/>
      <c r="P13464" s="1"/>
      <c r="Q13464" s="1"/>
      <c r="R13464" s="1"/>
      <c r="S13464" s="1"/>
      <c r="T13464" s="1"/>
      <c r="U13464" s="1"/>
      <c r="V13464" s="1"/>
      <c r="W13464" s="1"/>
      <c r="X13464" s="1"/>
      <c r="Y13464" s="1"/>
      <c r="Z13464" s="1"/>
      <c r="AA13464" s="1"/>
      <c r="AB13464" s="1"/>
    </row>
    <row r="13465" ht="50.25" customHeight="1">
      <c r="A13465" s="12">
        <v>13461.0</v>
      </c>
      <c r="B13465" s="13" t="s">
        <v>12705</v>
      </c>
      <c r="C13465" s="14" t="s">
        <v>12806</v>
      </c>
      <c r="D13465" s="1"/>
      <c r="E13465" s="1"/>
      <c r="F13465" s="1" t="str">
        <f>IFERROR(__xludf.DUMMYFUNCTION("GOOGLETRANSLATE(B13465, ""en"", ""fa"")
"),"عکاسی و داستان سرایی تصویری")</f>
        <v>عکاسی و داستان سرایی تصویری</v>
      </c>
      <c r="G13465" s="1" t="str">
        <f>IFERROR(__xludf.DUMMYFUNCTION("GOOGLETRANSLATE(C13465, ""en"", ""fa"")
"),"مراحل ایجاد یک داستان تصویری که ارتباط بین انسان و حیوانات را برجسته می کند چیست؟")</f>
        <v>مراحل ایجاد یک داستان تصویری که ارتباط بین انسان و حیوانات را برجسته می کند چیست؟</v>
      </c>
      <c r="H13465" s="1"/>
      <c r="I13465" s="1"/>
      <c r="J13465" s="1"/>
      <c r="K13465" s="1"/>
      <c r="L13465" s="1"/>
      <c r="M13465" s="1"/>
      <c r="N13465" s="1"/>
      <c r="O13465" s="1"/>
      <c r="P13465" s="1"/>
      <c r="Q13465" s="1"/>
      <c r="R13465" s="1"/>
      <c r="S13465" s="1"/>
      <c r="T13465" s="1"/>
      <c r="U13465" s="1"/>
      <c r="V13465" s="1"/>
      <c r="W13465" s="1"/>
      <c r="X13465" s="1"/>
      <c r="Y13465" s="1"/>
      <c r="Z13465" s="1"/>
      <c r="AA13465" s="1"/>
      <c r="AB13465" s="1"/>
    </row>
    <row r="13466" ht="50.25" customHeight="1">
      <c r="A13466" s="12">
        <v>13462.0</v>
      </c>
      <c r="B13466" s="13" t="s">
        <v>12705</v>
      </c>
      <c r="C13466" s="14" t="s">
        <v>12807</v>
      </c>
      <c r="D13466" s="1"/>
      <c r="E13466" s="1"/>
      <c r="F13466" s="1" t="str">
        <f>IFERROR(__xludf.DUMMYFUNCTION("GOOGLETRANSLATE(B13466, ""en"", ""fa"")
"),"عکاسی و داستان سرایی تصویری")</f>
        <v>عکاسی و داستان سرایی تصویری</v>
      </c>
      <c r="G13466" s="1" t="str">
        <f>IFERROR(__xludf.DUMMYFUNCTION("GOOGLETRANSLATE(C13466, ""en"", ""fa"")
"),"چگونه می توانم از تضادهای رنگی برای افزایش تأثیر احساسی روایت های بصری خود استفاده کنم؟")</f>
        <v>چگونه می توانم از تضادهای رنگی برای افزایش تأثیر احساسی روایت های بصری خود استفاده کنم؟</v>
      </c>
      <c r="H13466" s="1"/>
      <c r="I13466" s="1"/>
      <c r="J13466" s="1"/>
      <c r="K13466" s="1"/>
      <c r="L13466" s="1"/>
      <c r="M13466" s="1"/>
      <c r="N13466" s="1"/>
      <c r="O13466" s="1"/>
      <c r="P13466" s="1"/>
      <c r="Q13466" s="1"/>
      <c r="R13466" s="1"/>
      <c r="S13466" s="1"/>
      <c r="T13466" s="1"/>
      <c r="U13466" s="1"/>
      <c r="V13466" s="1"/>
      <c r="W13466" s="1"/>
      <c r="X13466" s="1"/>
      <c r="Y13466" s="1"/>
      <c r="Z13466" s="1"/>
      <c r="AA13466" s="1"/>
      <c r="AB13466" s="1"/>
    </row>
    <row r="13467" ht="50.25" customHeight="1">
      <c r="A13467" s="12">
        <v>13463.0</v>
      </c>
      <c r="B13467" s="13" t="s">
        <v>12705</v>
      </c>
      <c r="C13467" s="14" t="s">
        <v>12808</v>
      </c>
      <c r="D13467" s="1"/>
      <c r="E13467" s="1"/>
      <c r="F13467" s="1" t="str">
        <f>IFERROR(__xludf.DUMMYFUNCTION("GOOGLETRANSLATE(B13467, ""en"", ""fa"")
"),"عکاسی و داستان سرایی تصویری")</f>
        <v>عکاسی و داستان سرایی تصویری</v>
      </c>
      <c r="G13467" s="1" t="str">
        <f>IFERROR(__xludf.DUMMYFUNCTION("GOOGLETRANSLATE(C13467, ""en"", ""fa"")
"),"آیا می‌توانید تکنیک‌هایی را برای درک ماهیت حرفه‌ها و مشاغل مختلف توصیه کنید؟")</f>
        <v>آیا می‌توانید تکنیک‌هایی را برای درک ماهیت حرفه‌ها و مشاغل مختلف توصیه کنید؟</v>
      </c>
      <c r="H13467" s="1"/>
      <c r="I13467" s="1"/>
      <c r="J13467" s="1"/>
      <c r="K13467" s="1"/>
      <c r="L13467" s="1"/>
      <c r="M13467" s="1"/>
      <c r="N13467" s="1"/>
      <c r="O13467" s="1"/>
      <c r="P13467" s="1"/>
      <c r="Q13467" s="1"/>
      <c r="R13467" s="1"/>
      <c r="S13467" s="1"/>
      <c r="T13467" s="1"/>
      <c r="U13467" s="1"/>
      <c r="V13467" s="1"/>
      <c r="W13467" s="1"/>
      <c r="X13467" s="1"/>
      <c r="Y13467" s="1"/>
      <c r="Z13467" s="1"/>
      <c r="AA13467" s="1"/>
      <c r="AB13467" s="1"/>
    </row>
    <row r="13468" ht="50.25" customHeight="1">
      <c r="A13468" s="12">
        <v>13464.0</v>
      </c>
      <c r="B13468" s="13" t="s">
        <v>12705</v>
      </c>
      <c r="C13468" s="14" t="s">
        <v>12809</v>
      </c>
      <c r="D13468" s="1"/>
      <c r="E13468" s="1"/>
      <c r="F13468" s="1" t="str">
        <f>IFERROR(__xludf.DUMMYFUNCTION("GOOGLETRANSLATE(B13468, ""en"", ""fa"")
"),"عکاسی و داستان سرایی تصویری")</f>
        <v>عکاسی و داستان سرایی تصویری</v>
      </c>
      <c r="G13468" s="1" t="str">
        <f>IFERROR(__xludf.DUMMYFUNCTION("GOOGLETRANSLATE(C13468, ""en"", ""fa"")
"),"بهترین روش برای استفاده از نور و سایه برای برانگیختن احساسات در عکس های داستان گویی چیست؟")</f>
        <v>بهترین روش برای استفاده از نور و سایه برای برانگیختن احساسات در عکس های داستان گویی چیست؟</v>
      </c>
      <c r="H13468" s="1"/>
      <c r="I13468" s="1"/>
      <c r="J13468" s="1"/>
      <c r="K13468" s="1"/>
      <c r="L13468" s="1"/>
      <c r="M13468" s="1"/>
      <c r="N13468" s="1"/>
      <c r="O13468" s="1"/>
      <c r="P13468" s="1"/>
      <c r="Q13468" s="1"/>
      <c r="R13468" s="1"/>
      <c r="S13468" s="1"/>
      <c r="T13468" s="1"/>
      <c r="U13468" s="1"/>
      <c r="V13468" s="1"/>
      <c r="W13468" s="1"/>
      <c r="X13468" s="1"/>
      <c r="Y13468" s="1"/>
      <c r="Z13468" s="1"/>
      <c r="AA13468" s="1"/>
      <c r="AB13468" s="1"/>
    </row>
    <row r="13469" ht="50.25" customHeight="1">
      <c r="A13469" s="12">
        <v>13465.0</v>
      </c>
      <c r="B13469" s="13" t="s">
        <v>12705</v>
      </c>
      <c r="C13469" s="14" t="s">
        <v>12810</v>
      </c>
      <c r="D13469" s="1"/>
      <c r="E13469" s="1"/>
      <c r="F13469" s="1" t="str">
        <f>IFERROR(__xludf.DUMMYFUNCTION("GOOGLETRANSLATE(B13469, ""en"", ""fa"")
"),"عکاسی و داستان سرایی تصویری")</f>
        <v>عکاسی و داستان سرایی تصویری</v>
      </c>
      <c r="G13469" s="1" t="str">
        <f>IFERROR(__xludf.DUMMYFUNCTION("GOOGLETRANSLATE(C13469, ""en"", ""fa"")
"),"چگونه می توانم یک داستان بصری ایجاد کنم که زیبایی اشیاء روزمره را به روش های غیرمنتظره ای به تصویر بکشد؟")</f>
        <v>چگونه می توانم یک داستان بصری ایجاد کنم که زیبایی اشیاء روزمره را به روش های غیرمنتظره ای به تصویر بکشد؟</v>
      </c>
      <c r="H13469" s="1"/>
      <c r="I13469" s="1"/>
      <c r="J13469" s="1"/>
      <c r="K13469" s="1"/>
      <c r="L13469" s="1"/>
      <c r="M13469" s="1"/>
      <c r="N13469" s="1"/>
      <c r="O13469" s="1"/>
      <c r="P13469" s="1"/>
      <c r="Q13469" s="1"/>
      <c r="R13469" s="1"/>
      <c r="S13469" s="1"/>
      <c r="T13469" s="1"/>
      <c r="U13469" s="1"/>
      <c r="V13469" s="1"/>
      <c r="W13469" s="1"/>
      <c r="X13469" s="1"/>
      <c r="Y13469" s="1"/>
      <c r="Z13469" s="1"/>
      <c r="AA13469" s="1"/>
      <c r="AB13469" s="1"/>
    </row>
    <row r="13470" ht="50.25" customHeight="1">
      <c r="A13470" s="12">
        <v>13466.0</v>
      </c>
      <c r="B13470" s="13" t="s">
        <v>12705</v>
      </c>
      <c r="C13470" s="14" t="s">
        <v>12811</v>
      </c>
      <c r="D13470" s="1"/>
      <c r="E13470" s="1"/>
      <c r="F13470" s="1" t="str">
        <f>IFERROR(__xludf.DUMMYFUNCTION("GOOGLETRANSLATE(B13470, ""en"", ""fa"")
"),"عکاسی و داستان سرایی تصویری")</f>
        <v>عکاسی و داستان سرایی تصویری</v>
      </c>
      <c r="G13470" s="1" t="str">
        <f>IFERROR(__xludf.DUMMYFUNCTION("GOOGLETRANSLATE(C13470, ""en"", ""fa"")
"),"آیا می توانید راه هایی برای استفاده از ترکیب بندی های خلاقانه برای انتقال حس شگفتی و کنجکاوی پیشنهاد کنید؟")</f>
        <v>آیا می توانید راه هایی برای استفاده از ترکیب بندی های خلاقانه برای انتقال حس شگفتی و کنجکاوی پیشنهاد کنید؟</v>
      </c>
      <c r="H13470" s="1"/>
      <c r="I13470" s="1"/>
      <c r="J13470" s="1"/>
      <c r="K13470" s="1"/>
      <c r="L13470" s="1"/>
      <c r="M13470" s="1"/>
      <c r="N13470" s="1"/>
      <c r="O13470" s="1"/>
      <c r="P13470" s="1"/>
      <c r="Q13470" s="1"/>
      <c r="R13470" s="1"/>
      <c r="S13470" s="1"/>
      <c r="T13470" s="1"/>
      <c r="U13470" s="1"/>
      <c r="V13470" s="1"/>
      <c r="W13470" s="1"/>
      <c r="X13470" s="1"/>
      <c r="Y13470" s="1"/>
      <c r="Z13470" s="1"/>
      <c r="AA13470" s="1"/>
      <c r="AB13470" s="1"/>
    </row>
    <row r="13471" ht="50.25" customHeight="1">
      <c r="A13471" s="12">
        <v>13467.0</v>
      </c>
      <c r="B13471" s="13" t="s">
        <v>12705</v>
      </c>
      <c r="C13471" s="14" t="s">
        <v>12812</v>
      </c>
      <c r="D13471" s="1"/>
      <c r="E13471" s="1"/>
      <c r="F13471" s="1" t="str">
        <f>IFERROR(__xludf.DUMMYFUNCTION("GOOGLETRANSLATE(B13471, ""en"", ""fa"")
"),"عکاسی و داستان سرایی تصویری")</f>
        <v>عکاسی و داستان سرایی تصویری</v>
      </c>
      <c r="G13471" s="1" t="str">
        <f>IFERROR(__xludf.DUMMYFUNCTION("GOOGLETRANSLATE(C13471, ""en"", ""fa"")
"),"مراحل ایجاد یک داستان بصری که دگرگونی منظر شهری را به تصویر می‌کشد چیست؟")</f>
        <v>مراحل ایجاد یک داستان بصری که دگرگونی منظر شهری را به تصویر می‌کشد چیست؟</v>
      </c>
      <c r="H13471" s="1"/>
      <c r="I13471" s="1"/>
      <c r="J13471" s="1"/>
      <c r="K13471" s="1"/>
      <c r="L13471" s="1"/>
      <c r="M13471" s="1"/>
      <c r="N13471" s="1"/>
      <c r="O13471" s="1"/>
      <c r="P13471" s="1"/>
      <c r="Q13471" s="1"/>
      <c r="R13471" s="1"/>
      <c r="S13471" s="1"/>
      <c r="T13471" s="1"/>
      <c r="U13471" s="1"/>
      <c r="V13471" s="1"/>
      <c r="W13471" s="1"/>
      <c r="X13471" s="1"/>
      <c r="Y13471" s="1"/>
      <c r="Z13471" s="1"/>
      <c r="AA13471" s="1"/>
      <c r="AB13471" s="1"/>
    </row>
    <row r="13472" ht="50.25" customHeight="1">
      <c r="A13472" s="12">
        <v>13468.0</v>
      </c>
      <c r="B13472" s="13" t="s">
        <v>12705</v>
      </c>
      <c r="C13472" s="14" t="s">
        <v>12813</v>
      </c>
      <c r="D13472" s="1"/>
      <c r="E13472" s="1"/>
      <c r="F13472" s="1" t="str">
        <f>IFERROR(__xludf.DUMMYFUNCTION("GOOGLETRANSLATE(B13472, ""en"", ""fa"")
"),"عکاسی و داستان سرایی تصویری")</f>
        <v>عکاسی و داستان سرایی تصویری</v>
      </c>
      <c r="G13472" s="1" t="str">
        <f>IFERROR(__xludf.DUMMYFUNCTION("GOOGLETRANSLATE(C13472, ""en"", ""fa"")
"),"چگونه می توانم از عناصر مینیمالیستی برای گفتن داستان های قدرتمند در عکاسی خود استفاده کنم؟")</f>
        <v>چگونه می توانم از عناصر مینیمالیستی برای گفتن داستان های قدرتمند در عکاسی خود استفاده کنم؟</v>
      </c>
      <c r="H13472" s="1"/>
      <c r="I13472" s="1"/>
      <c r="J13472" s="1"/>
      <c r="K13472" s="1"/>
      <c r="L13472" s="1"/>
      <c r="M13472" s="1"/>
      <c r="N13472" s="1"/>
      <c r="O13472" s="1"/>
      <c r="P13472" s="1"/>
      <c r="Q13472" s="1"/>
      <c r="R13472" s="1"/>
      <c r="S13472" s="1"/>
      <c r="T13472" s="1"/>
      <c r="U13472" s="1"/>
      <c r="V13472" s="1"/>
      <c r="W13472" s="1"/>
      <c r="X13472" s="1"/>
      <c r="Y13472" s="1"/>
      <c r="Z13472" s="1"/>
      <c r="AA13472" s="1"/>
      <c r="AB13472" s="1"/>
    </row>
    <row r="13473" ht="50.25" customHeight="1">
      <c r="A13473" s="12">
        <v>13469.0</v>
      </c>
      <c r="B13473" s="13" t="s">
        <v>12705</v>
      </c>
      <c r="C13473" s="14" t="s">
        <v>12814</v>
      </c>
      <c r="D13473" s="1"/>
      <c r="E13473" s="1"/>
      <c r="F13473" s="1" t="str">
        <f>IFERROR(__xludf.DUMMYFUNCTION("GOOGLETRANSLATE(B13473, ""en"", ""fa"")
"),"عکاسی و داستان سرایی تصویری")</f>
        <v>عکاسی و داستان سرایی تصویری</v>
      </c>
      <c r="G13473" s="1" t="str">
        <f>IFERROR(__xludf.DUMMYFUNCTION("GOOGLETRANSLATE(C13473, ""en"", ""fa"")
"),"آیا می توانید راهکارهایی برای عکاسی از پیوستگی زندگی شهری توصیه کنید؟")</f>
        <v>آیا می توانید راهکارهایی برای عکاسی از پیوستگی زندگی شهری توصیه کنید؟</v>
      </c>
      <c r="H13473" s="1"/>
      <c r="I13473" s="1"/>
      <c r="J13473" s="1"/>
      <c r="K13473" s="1"/>
      <c r="L13473" s="1"/>
      <c r="M13473" s="1"/>
      <c r="N13473" s="1"/>
      <c r="O13473" s="1"/>
      <c r="P13473" s="1"/>
      <c r="Q13473" s="1"/>
      <c r="R13473" s="1"/>
      <c r="S13473" s="1"/>
      <c r="T13473" s="1"/>
      <c r="U13473" s="1"/>
      <c r="V13473" s="1"/>
      <c r="W13473" s="1"/>
      <c r="X13473" s="1"/>
      <c r="Y13473" s="1"/>
      <c r="Z13473" s="1"/>
      <c r="AA13473" s="1"/>
      <c r="AB13473" s="1"/>
    </row>
    <row r="13474" ht="50.25" customHeight="1">
      <c r="A13474" s="12">
        <v>13470.0</v>
      </c>
      <c r="B13474" s="13" t="s">
        <v>12705</v>
      </c>
      <c r="C13474" s="14" t="s">
        <v>12815</v>
      </c>
      <c r="D13474" s="1"/>
      <c r="E13474" s="1"/>
      <c r="F13474" s="1" t="str">
        <f>IFERROR(__xludf.DUMMYFUNCTION("GOOGLETRANSLATE(B13474, ""en"", ""fa"")
"),"عکاسی و داستان سرایی تصویری")</f>
        <v>عکاسی و داستان سرایی تصویری</v>
      </c>
      <c r="G13474" s="1" t="str">
        <f>IFERROR(__xludf.DUMMYFUNCTION("GOOGLETRANSLATE(C13474, ""en"", ""fa"")
"),"بهترین تکنیک ها برای استفاده از سیلوئت ها برای ایجاد عکس های داستانی دراماتیک چیست؟")</f>
        <v>بهترین تکنیک ها برای استفاده از سیلوئت ها برای ایجاد عکس های داستانی دراماتیک چیست؟</v>
      </c>
      <c r="H13474" s="1"/>
      <c r="I13474" s="1"/>
      <c r="J13474" s="1"/>
      <c r="K13474" s="1"/>
      <c r="L13474" s="1"/>
      <c r="M13474" s="1"/>
      <c r="N13474" s="1"/>
      <c r="O13474" s="1"/>
      <c r="P13474" s="1"/>
      <c r="Q13474" s="1"/>
      <c r="R13474" s="1"/>
      <c r="S13474" s="1"/>
      <c r="T13474" s="1"/>
      <c r="U13474" s="1"/>
      <c r="V13474" s="1"/>
      <c r="W13474" s="1"/>
      <c r="X13474" s="1"/>
      <c r="Y13474" s="1"/>
      <c r="Z13474" s="1"/>
      <c r="AA13474" s="1"/>
      <c r="AB13474" s="1"/>
    </row>
    <row r="13475" ht="50.25" customHeight="1">
      <c r="A13475" s="12">
        <v>13471.0</v>
      </c>
      <c r="B13475" s="13" t="s">
        <v>12705</v>
      </c>
      <c r="C13475" s="14" t="s">
        <v>12816</v>
      </c>
      <c r="D13475" s="1"/>
      <c r="E13475" s="1"/>
      <c r="F13475" s="1" t="str">
        <f>IFERROR(__xludf.DUMMYFUNCTION("GOOGLETRANSLATE(B13475, ""en"", ""fa"")
"),"عکاسی و داستان سرایی تصویری")</f>
        <v>عکاسی و داستان سرایی تصویری</v>
      </c>
      <c r="G13475" s="1" t="str">
        <f>IFERROR(__xludf.DUMMYFUNCTION("GOOGLETRANSLATE(C13475, ""en"", ""fa"")
"),"چگونه یک داستان تصویری بسازم که گذر زمان و فصول در طبیعت را منعکس کند؟")</f>
        <v>چگونه یک داستان تصویری بسازم که گذر زمان و فصول در طبیعت را منعکس کند؟</v>
      </c>
      <c r="H13475" s="1"/>
      <c r="I13475" s="1"/>
      <c r="J13475" s="1"/>
      <c r="K13475" s="1"/>
      <c r="L13475" s="1"/>
      <c r="M13475" s="1"/>
      <c r="N13475" s="1"/>
      <c r="O13475" s="1"/>
      <c r="P13475" s="1"/>
      <c r="Q13475" s="1"/>
      <c r="R13475" s="1"/>
      <c r="S13475" s="1"/>
      <c r="T13475" s="1"/>
      <c r="U13475" s="1"/>
      <c r="V13475" s="1"/>
      <c r="W13475" s="1"/>
      <c r="X13475" s="1"/>
      <c r="Y13475" s="1"/>
      <c r="Z13475" s="1"/>
      <c r="AA13475" s="1"/>
      <c r="AB13475" s="1"/>
    </row>
    <row r="13476" ht="50.25" customHeight="1">
      <c r="A13476" s="12">
        <v>13472.0</v>
      </c>
      <c r="B13476" s="13" t="s">
        <v>12705</v>
      </c>
      <c r="C13476" s="14" t="s">
        <v>12817</v>
      </c>
      <c r="D13476" s="1"/>
      <c r="E13476" s="1"/>
      <c r="F13476" s="1" t="str">
        <f>IFERROR(__xludf.DUMMYFUNCTION("GOOGLETRANSLATE(B13476, ""en"", ""fa"")
"),"عکاسی و داستان سرایی تصویری")</f>
        <v>عکاسی و داستان سرایی تصویری</v>
      </c>
      <c r="G13476" s="1" t="str">
        <f>IFERROR(__xludf.DUMMYFUNCTION("GOOGLETRANSLATE(C13476, ""en"", ""fa"")
"),"آیا می توانید تکنیک هایی برای گرفتن انرژی و ریتم اجراهای موسیقی پیشنهاد دهید؟")</f>
        <v>آیا می توانید تکنیک هایی برای گرفتن انرژی و ریتم اجراهای موسیقی پیشنهاد دهید؟</v>
      </c>
      <c r="H13476" s="1"/>
      <c r="I13476" s="1"/>
      <c r="J13476" s="1"/>
      <c r="K13476" s="1"/>
      <c r="L13476" s="1"/>
      <c r="M13476" s="1"/>
      <c r="N13476" s="1"/>
      <c r="O13476" s="1"/>
      <c r="P13476" s="1"/>
      <c r="Q13476" s="1"/>
      <c r="R13476" s="1"/>
      <c r="S13476" s="1"/>
      <c r="T13476" s="1"/>
      <c r="U13476" s="1"/>
      <c r="V13476" s="1"/>
      <c r="W13476" s="1"/>
      <c r="X13476" s="1"/>
      <c r="Y13476" s="1"/>
      <c r="Z13476" s="1"/>
      <c r="AA13476" s="1"/>
      <c r="AB13476" s="1"/>
    </row>
    <row r="13477" ht="50.25" customHeight="1">
      <c r="A13477" s="12">
        <v>13473.0</v>
      </c>
      <c r="B13477" s="13" t="s">
        <v>12705</v>
      </c>
      <c r="C13477" s="14" t="s">
        <v>12818</v>
      </c>
      <c r="D13477" s="1"/>
      <c r="E13477" s="1"/>
      <c r="F13477" s="1" t="str">
        <f>IFERROR(__xludf.DUMMYFUNCTION("GOOGLETRANSLATE(B13477, ""en"", ""fa"")
"),"عکاسی و داستان سرایی تصویری")</f>
        <v>عکاسی و داستان سرایی تصویری</v>
      </c>
      <c r="G13477" s="1" t="str">
        <f>IFERROR(__xludf.DUMMYFUNCTION("GOOGLETRANSLATE(C13477, ""en"", ""fa"")
"),"مراحل ایجاد یک داستان بصری که تلاقی هنر و فرهنگ را برجسته می کند چیست؟")</f>
        <v>مراحل ایجاد یک داستان بصری که تلاقی هنر و فرهنگ را برجسته می کند چیست؟</v>
      </c>
      <c r="H13477" s="1"/>
      <c r="I13477" s="1"/>
      <c r="J13477" s="1"/>
      <c r="K13477" s="1"/>
      <c r="L13477" s="1"/>
      <c r="M13477" s="1"/>
      <c r="N13477" s="1"/>
      <c r="O13477" s="1"/>
      <c r="P13477" s="1"/>
      <c r="Q13477" s="1"/>
      <c r="R13477" s="1"/>
      <c r="S13477" s="1"/>
      <c r="T13477" s="1"/>
      <c r="U13477" s="1"/>
      <c r="V13477" s="1"/>
      <c r="W13477" s="1"/>
      <c r="X13477" s="1"/>
      <c r="Y13477" s="1"/>
      <c r="Z13477" s="1"/>
      <c r="AA13477" s="1"/>
      <c r="AB13477" s="1"/>
    </row>
    <row r="13478" ht="50.25" customHeight="1">
      <c r="A13478" s="12">
        <v>13474.0</v>
      </c>
      <c r="B13478" s="13" t="s">
        <v>12705</v>
      </c>
      <c r="C13478" s="14" t="s">
        <v>12819</v>
      </c>
      <c r="D13478" s="1"/>
      <c r="E13478" s="1"/>
      <c r="F13478" s="1" t="str">
        <f>IFERROR(__xludf.DUMMYFUNCTION("GOOGLETRANSLATE(B13478, ""en"", ""fa"")
"),"عکاسی و داستان سرایی تصویری")</f>
        <v>عکاسی و داستان سرایی تصویری</v>
      </c>
      <c r="G13478" s="1" t="str">
        <f>IFERROR(__xludf.DUMMYFUNCTION("GOOGLETRANSLATE(C13478, ""en"", ""fa"")
"),"چگونه می توانم از تکرار و الگوها برای ایجاد عکس های داستانی جذاب بصری استفاده کنم؟")</f>
        <v>چگونه می توانم از تکرار و الگوها برای ایجاد عکس های داستانی جذاب بصری استفاده کنم؟</v>
      </c>
      <c r="H13478" s="1"/>
      <c r="I13478" s="1"/>
      <c r="J13478" s="1"/>
      <c r="K13478" s="1"/>
      <c r="L13478" s="1"/>
      <c r="M13478" s="1"/>
      <c r="N13478" s="1"/>
      <c r="O13478" s="1"/>
      <c r="P13478" s="1"/>
      <c r="Q13478" s="1"/>
      <c r="R13478" s="1"/>
      <c r="S13478" s="1"/>
      <c r="T13478" s="1"/>
      <c r="U13478" s="1"/>
      <c r="V13478" s="1"/>
      <c r="W13478" s="1"/>
      <c r="X13478" s="1"/>
      <c r="Y13478" s="1"/>
      <c r="Z13478" s="1"/>
      <c r="AA13478" s="1"/>
      <c r="AB13478" s="1"/>
    </row>
    <row r="13479" ht="50.25" customHeight="1">
      <c r="A13479" s="12">
        <v>13475.0</v>
      </c>
      <c r="B13479" s="13" t="s">
        <v>12705</v>
      </c>
      <c r="C13479" s="14" t="s">
        <v>12820</v>
      </c>
      <c r="D13479" s="1"/>
      <c r="E13479" s="1"/>
      <c r="F13479" s="1" t="str">
        <f>IFERROR(__xludf.DUMMYFUNCTION("GOOGLETRANSLATE(B13479, ""en"", ""fa"")
"),"عکاسی و داستان سرایی تصویری")</f>
        <v>عکاسی و داستان سرایی تصویری</v>
      </c>
      <c r="G13479" s="1" t="str">
        <f>IFERROR(__xludf.DUMMYFUNCTION("GOOGLETRANSLATE(C13479, ""en"", ""fa"")
"),"آیا می توانید نکاتی را برای استفاده از تقارن و عدم تقارن برای انتقال تعادل در عکاسی توصیه کنید؟")</f>
        <v>آیا می توانید نکاتی را برای استفاده از تقارن و عدم تقارن برای انتقال تعادل در عکاسی توصیه کنید؟</v>
      </c>
      <c r="H13479" s="1"/>
      <c r="I13479" s="1"/>
      <c r="J13479" s="1"/>
      <c r="K13479" s="1"/>
      <c r="L13479" s="1"/>
      <c r="M13479" s="1"/>
      <c r="N13479" s="1"/>
      <c r="O13479" s="1"/>
      <c r="P13479" s="1"/>
      <c r="Q13479" s="1"/>
      <c r="R13479" s="1"/>
      <c r="S13479" s="1"/>
      <c r="T13479" s="1"/>
      <c r="U13479" s="1"/>
      <c r="V13479" s="1"/>
      <c r="W13479" s="1"/>
      <c r="X13479" s="1"/>
      <c r="Y13479" s="1"/>
      <c r="Z13479" s="1"/>
      <c r="AA13479" s="1"/>
      <c r="AB13479" s="1"/>
    </row>
    <row r="13480" ht="50.25" customHeight="1">
      <c r="A13480" s="12">
        <v>13476.0</v>
      </c>
      <c r="B13480" s="13" t="s">
        <v>12705</v>
      </c>
      <c r="C13480" s="14" t="s">
        <v>12821</v>
      </c>
      <c r="D13480" s="1"/>
      <c r="E13480" s="1"/>
      <c r="F13480" s="1" t="str">
        <f>IFERROR(__xludf.DUMMYFUNCTION("GOOGLETRANSLATE(B13480, ""en"", ""fa"")
"),"عکاسی و داستان سرایی تصویری")</f>
        <v>عکاسی و داستان سرایی تصویری</v>
      </c>
      <c r="G13480" s="1" t="str">
        <f>IFERROR(__xludf.DUMMYFUNCTION("GOOGLETRANSLATE(C13480, ""en"", ""fa"")
"),"بهترین شیوه ها برای استفاده از استعاره های بصری برای انتقال احساسات پیچیده چیست؟")</f>
        <v>بهترین شیوه ها برای استفاده از استعاره های بصری برای انتقال احساسات پیچیده چیست؟</v>
      </c>
      <c r="H13480" s="1"/>
      <c r="I13480" s="1"/>
      <c r="J13480" s="1"/>
      <c r="K13480" s="1"/>
      <c r="L13480" s="1"/>
      <c r="M13480" s="1"/>
      <c r="N13480" s="1"/>
      <c r="O13480" s="1"/>
      <c r="P13480" s="1"/>
      <c r="Q13480" s="1"/>
      <c r="R13480" s="1"/>
      <c r="S13480" s="1"/>
      <c r="T13480" s="1"/>
      <c r="U13480" s="1"/>
      <c r="V13480" s="1"/>
      <c r="W13480" s="1"/>
      <c r="X13480" s="1"/>
      <c r="Y13480" s="1"/>
      <c r="Z13480" s="1"/>
      <c r="AA13480" s="1"/>
      <c r="AB13480" s="1"/>
    </row>
    <row r="13481" ht="50.25" customHeight="1">
      <c r="A13481" s="12">
        <v>13477.0</v>
      </c>
      <c r="B13481" s="13" t="s">
        <v>12705</v>
      </c>
      <c r="C13481" s="14" t="s">
        <v>12822</v>
      </c>
      <c r="D13481" s="1"/>
      <c r="E13481" s="1"/>
      <c r="F13481" s="1" t="str">
        <f>IFERROR(__xludf.DUMMYFUNCTION("GOOGLETRANSLATE(B13481, ""en"", ""fa"")
"),"عکاسی و داستان سرایی تصویری")</f>
        <v>عکاسی و داستان سرایی تصویری</v>
      </c>
      <c r="G13481" s="1" t="str">
        <f>IFERROR(__xludf.DUMMYFUNCTION("GOOGLETRANSLATE(C13481, ""en"", ""fa"")
"),"چگونه می توانم یک داستان بصری ایجاد کنم که روابط بین نسل ها را مستند کند؟")</f>
        <v>چگونه می توانم یک داستان بصری ایجاد کنم که روابط بین نسل ها را مستند کند؟</v>
      </c>
      <c r="H13481" s="1"/>
      <c r="I13481" s="1"/>
      <c r="J13481" s="1"/>
      <c r="K13481" s="1"/>
      <c r="L13481" s="1"/>
      <c r="M13481" s="1"/>
      <c r="N13481" s="1"/>
      <c r="O13481" s="1"/>
      <c r="P13481" s="1"/>
      <c r="Q13481" s="1"/>
      <c r="R13481" s="1"/>
      <c r="S13481" s="1"/>
      <c r="T13481" s="1"/>
      <c r="U13481" s="1"/>
      <c r="V13481" s="1"/>
      <c r="W13481" s="1"/>
      <c r="X13481" s="1"/>
      <c r="Y13481" s="1"/>
      <c r="Z13481" s="1"/>
      <c r="AA13481" s="1"/>
      <c r="AB13481" s="1"/>
    </row>
    <row r="13482" ht="50.25" customHeight="1">
      <c r="A13482" s="12">
        <v>13478.0</v>
      </c>
      <c r="B13482" s="13" t="s">
        <v>12705</v>
      </c>
      <c r="C13482" s="14" t="s">
        <v>12823</v>
      </c>
      <c r="D13482" s="1"/>
      <c r="E13482" s="1"/>
      <c r="F13482" s="1" t="str">
        <f>IFERROR(__xludf.DUMMYFUNCTION("GOOGLETRANSLATE(B13482, ""en"", ""fa"")
"),"عکاسی و داستان سرایی تصویری")</f>
        <v>عکاسی و داستان سرایی تصویری</v>
      </c>
      <c r="G13482" s="1" t="str">
        <f>IFERROR(__xludf.DUMMYFUNCTION("GOOGLETRANSLATE(C13482, ""en"", ""fa"")
"),"آیا می‌توانید راه‌هایی برای استفاده از بافت و جزئیات برای عمق بخشیدن به داستان‌گویی بصری پیشنهاد دهید؟")</f>
        <v>آیا می‌توانید راه‌هایی برای استفاده از بافت و جزئیات برای عمق بخشیدن به داستان‌گویی بصری پیشنهاد دهید؟</v>
      </c>
      <c r="H13482" s="1"/>
      <c r="I13482" s="1"/>
      <c r="J13482" s="1"/>
      <c r="K13482" s="1"/>
      <c r="L13482" s="1"/>
      <c r="M13482" s="1"/>
      <c r="N13482" s="1"/>
      <c r="O13482" s="1"/>
      <c r="P13482" s="1"/>
      <c r="Q13482" s="1"/>
      <c r="R13482" s="1"/>
      <c r="S13482" s="1"/>
      <c r="T13482" s="1"/>
      <c r="U13482" s="1"/>
      <c r="V13482" s="1"/>
      <c r="W13482" s="1"/>
      <c r="X13482" s="1"/>
      <c r="Y13482" s="1"/>
      <c r="Z13482" s="1"/>
      <c r="AA13482" s="1"/>
      <c r="AB13482" s="1"/>
    </row>
    <row r="13483" ht="50.25" customHeight="1">
      <c r="A13483" s="12">
        <v>13479.0</v>
      </c>
      <c r="B13483" s="13" t="s">
        <v>12705</v>
      </c>
      <c r="C13483" s="14" t="s">
        <v>12824</v>
      </c>
      <c r="D13483" s="1"/>
      <c r="E13483" s="1"/>
      <c r="F13483" s="1" t="str">
        <f>IFERROR(__xludf.DUMMYFUNCTION("GOOGLETRANSLATE(B13483, ""en"", ""fa"")
"),"عکاسی و داستان سرایی تصویری")</f>
        <v>عکاسی و داستان سرایی تصویری</v>
      </c>
      <c r="G13483" s="1" t="str">
        <f>IFERROR(__xludf.DUMMYFUNCTION("GOOGLETRANSLATE(C13483, ""en"", ""fa"")
"),"مراحل ایجاد یک داستان بصری که ماهیت یک غذای خاص را به تصویر می کشد چیست؟")</f>
        <v>مراحل ایجاد یک داستان بصری که ماهیت یک غذای خاص را به تصویر می کشد چیست؟</v>
      </c>
      <c r="H13483" s="1"/>
      <c r="I13483" s="1"/>
      <c r="J13483" s="1"/>
      <c r="K13483" s="1"/>
      <c r="L13483" s="1"/>
      <c r="M13483" s="1"/>
      <c r="N13483" s="1"/>
      <c r="O13483" s="1"/>
      <c r="P13483" s="1"/>
      <c r="Q13483" s="1"/>
      <c r="R13483" s="1"/>
      <c r="S13483" s="1"/>
      <c r="T13483" s="1"/>
      <c r="U13483" s="1"/>
      <c r="V13483" s="1"/>
      <c r="W13483" s="1"/>
      <c r="X13483" s="1"/>
      <c r="Y13483" s="1"/>
      <c r="Z13483" s="1"/>
      <c r="AA13483" s="1"/>
      <c r="AB13483" s="1"/>
    </row>
    <row r="13484" ht="50.25" customHeight="1">
      <c r="A13484" s="12">
        <v>13480.0</v>
      </c>
      <c r="B13484" s="13" t="s">
        <v>12705</v>
      </c>
      <c r="C13484" s="14" t="s">
        <v>12825</v>
      </c>
      <c r="D13484" s="1"/>
      <c r="E13484" s="1"/>
      <c r="F13484" s="1" t="str">
        <f>IFERROR(__xludf.DUMMYFUNCTION("GOOGLETRANSLATE(B13484, ""en"", ""fa"")
"),"عکاسی و داستان سرایی تصویری")</f>
        <v>عکاسی و داستان سرایی تصویری</v>
      </c>
      <c r="G13484" s="1" t="str">
        <f>IFERROR(__xludf.DUMMYFUNCTION("GOOGLETRANSLATE(C13484, ""en"", ""fa"")
"),"چگونه می توانم از کادربندی و فضای نگاتیو برای ایجاد حس انتظار در عکس هایم استفاده کنم؟")</f>
        <v>چگونه می توانم از کادربندی و فضای نگاتیو برای ایجاد حس انتظار در عکس هایم استفاده کنم؟</v>
      </c>
      <c r="H13484" s="1"/>
      <c r="I13484" s="1"/>
      <c r="J13484" s="1"/>
      <c r="K13484" s="1"/>
      <c r="L13484" s="1"/>
      <c r="M13484" s="1"/>
      <c r="N13484" s="1"/>
      <c r="O13484" s="1"/>
      <c r="P13484" s="1"/>
      <c r="Q13484" s="1"/>
      <c r="R13484" s="1"/>
      <c r="S13484" s="1"/>
      <c r="T13484" s="1"/>
      <c r="U13484" s="1"/>
      <c r="V13484" s="1"/>
      <c r="W13484" s="1"/>
      <c r="X13484" s="1"/>
      <c r="Y13484" s="1"/>
      <c r="Z13484" s="1"/>
      <c r="AA13484" s="1"/>
      <c r="AB13484" s="1"/>
    </row>
    <row r="13485" ht="50.25" customHeight="1">
      <c r="A13485" s="12">
        <v>13481.0</v>
      </c>
      <c r="B13485" s="13" t="s">
        <v>12705</v>
      </c>
      <c r="C13485" s="14" t="s">
        <v>12826</v>
      </c>
      <c r="D13485" s="1"/>
      <c r="E13485" s="1"/>
      <c r="F13485" s="1" t="str">
        <f>IFERROR(__xludf.DUMMYFUNCTION("GOOGLETRANSLATE(B13485, ""en"", ""fa"")
"),"عکاسی و داستان سرایی تصویری")</f>
        <v>عکاسی و داستان سرایی تصویری</v>
      </c>
      <c r="G13485" s="1" t="str">
        <f>IFERROR(__xludf.DUMMYFUNCTION("GOOGLETRANSLATE(C13485, ""en"", ""fa"")
"),"آیا می توانید راهکارهایی برای عکاسی از انرژی و روحیه رویدادهای ورزشی توصیه کنید؟")</f>
        <v>آیا می توانید راهکارهایی برای عکاسی از انرژی و روحیه رویدادهای ورزشی توصیه کنید؟</v>
      </c>
      <c r="H13485" s="1"/>
      <c r="I13485" s="1"/>
      <c r="J13485" s="1"/>
      <c r="K13485" s="1"/>
      <c r="L13485" s="1"/>
      <c r="M13485" s="1"/>
      <c r="N13485" s="1"/>
      <c r="O13485" s="1"/>
      <c r="P13485" s="1"/>
      <c r="Q13485" s="1"/>
      <c r="R13485" s="1"/>
      <c r="S13485" s="1"/>
      <c r="T13485" s="1"/>
      <c r="U13485" s="1"/>
      <c r="V13485" s="1"/>
      <c r="W13485" s="1"/>
      <c r="X13485" s="1"/>
      <c r="Y13485" s="1"/>
      <c r="Z13485" s="1"/>
      <c r="AA13485" s="1"/>
      <c r="AB13485" s="1"/>
    </row>
    <row r="13486" ht="50.25" customHeight="1">
      <c r="A13486" s="12">
        <v>13482.0</v>
      </c>
      <c r="B13486" s="13" t="s">
        <v>12705</v>
      </c>
      <c r="C13486" s="14" t="s">
        <v>12827</v>
      </c>
      <c r="D13486" s="1"/>
      <c r="E13486" s="1"/>
      <c r="F13486" s="1" t="str">
        <f>IFERROR(__xludf.DUMMYFUNCTION("GOOGLETRANSLATE(B13486, ""en"", ""fa"")
"),"عکاسی و داستان سرایی تصویری")</f>
        <v>عکاسی و داستان سرایی تصویری</v>
      </c>
      <c r="G13486" s="1" t="str">
        <f>IFERROR(__xludf.DUMMYFUNCTION("GOOGLETRANSLATE(C13486, ""en"", ""fa"")
"),"بهترین تکنیک ها برای استفاده از نوردهی طولانی برای ایجاد عکس های داستان سرایی اثیری چیست؟")</f>
        <v>بهترین تکنیک ها برای استفاده از نوردهی طولانی برای ایجاد عکس های داستان سرایی اثیری چیست؟</v>
      </c>
      <c r="H13486" s="1"/>
      <c r="I13486" s="1"/>
      <c r="J13486" s="1"/>
      <c r="K13486" s="1"/>
      <c r="L13486" s="1"/>
      <c r="M13486" s="1"/>
      <c r="N13486" s="1"/>
      <c r="O13486" s="1"/>
      <c r="P13486" s="1"/>
      <c r="Q13486" s="1"/>
      <c r="R13486" s="1"/>
      <c r="S13486" s="1"/>
      <c r="T13486" s="1"/>
      <c r="U13486" s="1"/>
      <c r="V13486" s="1"/>
      <c r="W13486" s="1"/>
      <c r="X13486" s="1"/>
      <c r="Y13486" s="1"/>
      <c r="Z13486" s="1"/>
      <c r="AA13486" s="1"/>
      <c r="AB13486" s="1"/>
    </row>
    <row r="13487" ht="50.25" customHeight="1">
      <c r="A13487" s="12">
        <v>13483.0</v>
      </c>
      <c r="B13487" s="13" t="s">
        <v>12705</v>
      </c>
      <c r="C13487" s="14" t="s">
        <v>12828</v>
      </c>
      <c r="D13487" s="1"/>
      <c r="E13487" s="1"/>
      <c r="F13487" s="1" t="str">
        <f>IFERROR(__xludf.DUMMYFUNCTION("GOOGLETRANSLATE(B13487, ""en"", ""fa"")
"),"عکاسی و داستان سرایی تصویری")</f>
        <v>عکاسی و داستان سرایی تصویری</v>
      </c>
      <c r="G13487" s="1" t="str">
        <f>IFERROR(__xludf.DUMMYFUNCTION("GOOGLETRANSLATE(C13487, ""en"", ""fa"")
"),"چگونه می توانم یک داستان بصری ایجاد کنم که انعطاف پذیری و اراده افراد را به تصویر بکشد؟")</f>
        <v>چگونه می توانم یک داستان بصری ایجاد کنم که انعطاف پذیری و اراده افراد را به تصویر بکشد؟</v>
      </c>
      <c r="H13487" s="1"/>
      <c r="I13487" s="1"/>
      <c r="J13487" s="1"/>
      <c r="K13487" s="1"/>
      <c r="L13487" s="1"/>
      <c r="M13487" s="1"/>
      <c r="N13487" s="1"/>
      <c r="O13487" s="1"/>
      <c r="P13487" s="1"/>
      <c r="Q13487" s="1"/>
      <c r="R13487" s="1"/>
      <c r="S13487" s="1"/>
      <c r="T13487" s="1"/>
      <c r="U13487" s="1"/>
      <c r="V13487" s="1"/>
      <c r="W13487" s="1"/>
      <c r="X13487" s="1"/>
      <c r="Y13487" s="1"/>
      <c r="Z13487" s="1"/>
      <c r="AA13487" s="1"/>
      <c r="AB13487" s="1"/>
    </row>
    <row r="13488" ht="50.25" customHeight="1">
      <c r="A13488" s="12">
        <v>13484.0</v>
      </c>
      <c r="B13488" s="13" t="s">
        <v>12705</v>
      </c>
      <c r="C13488" s="14" t="s">
        <v>12829</v>
      </c>
      <c r="D13488" s="1"/>
      <c r="E13488" s="1"/>
      <c r="F13488" s="1" t="str">
        <f>IFERROR(__xludf.DUMMYFUNCTION("GOOGLETRANSLATE(B13488, ""en"", ""fa"")
"),"عکاسی و داستان سرایی تصویری")</f>
        <v>عکاسی و داستان سرایی تصویری</v>
      </c>
      <c r="G13488" s="1" t="str">
        <f>IFERROR(__xludf.DUMMYFUNCTION("GOOGLETRANSLATE(C13488, ""en"", ""fa"")
"),"آیا می توانید تکنیک هایی برای ثبت حال و هوای هوای بارانی یا طوفانی پیشنهاد دهید؟")</f>
        <v>آیا می توانید تکنیک هایی برای ثبت حال و هوای هوای بارانی یا طوفانی پیشنهاد دهید؟</v>
      </c>
      <c r="H13488" s="1"/>
      <c r="I13488" s="1"/>
      <c r="J13488" s="1"/>
      <c r="K13488" s="1"/>
      <c r="L13488" s="1"/>
      <c r="M13488" s="1"/>
      <c r="N13488" s="1"/>
      <c r="O13488" s="1"/>
      <c r="P13488" s="1"/>
      <c r="Q13488" s="1"/>
      <c r="R13488" s="1"/>
      <c r="S13488" s="1"/>
      <c r="T13488" s="1"/>
      <c r="U13488" s="1"/>
      <c r="V13488" s="1"/>
      <c r="W13488" s="1"/>
      <c r="X13488" s="1"/>
      <c r="Y13488" s="1"/>
      <c r="Z13488" s="1"/>
      <c r="AA13488" s="1"/>
      <c r="AB13488" s="1"/>
    </row>
    <row r="13489" ht="50.25" customHeight="1">
      <c r="A13489" s="12">
        <v>13485.0</v>
      </c>
      <c r="B13489" s="13" t="s">
        <v>12705</v>
      </c>
      <c r="C13489" s="14" t="s">
        <v>12830</v>
      </c>
      <c r="D13489" s="1"/>
      <c r="E13489" s="1"/>
      <c r="F13489" s="1" t="str">
        <f>IFERROR(__xludf.DUMMYFUNCTION("GOOGLETRANSLATE(B13489, ""en"", ""fa"")
"),"عکاسی و داستان سرایی تصویری")</f>
        <v>عکاسی و داستان سرایی تصویری</v>
      </c>
      <c r="G13489" s="1" t="str">
        <f>IFERROR(__xludf.DUMMYFUNCTION("GOOGLETRANSLATE(C13489, ""en"", ""fa"")
"),"مراحل ایجاد یک داستان بصری که هماهنگی بین انسان و طبیعت را منعکس کند چیست؟")</f>
        <v>مراحل ایجاد یک داستان بصری که هماهنگی بین انسان و طبیعت را منعکس کند چیست؟</v>
      </c>
      <c r="H13489" s="1"/>
      <c r="I13489" s="1"/>
      <c r="J13489" s="1"/>
      <c r="K13489" s="1"/>
      <c r="L13489" s="1"/>
      <c r="M13489" s="1"/>
      <c r="N13489" s="1"/>
      <c r="O13489" s="1"/>
      <c r="P13489" s="1"/>
      <c r="Q13489" s="1"/>
      <c r="R13489" s="1"/>
      <c r="S13489" s="1"/>
      <c r="T13489" s="1"/>
      <c r="U13489" s="1"/>
      <c r="V13489" s="1"/>
      <c r="W13489" s="1"/>
      <c r="X13489" s="1"/>
      <c r="Y13489" s="1"/>
      <c r="Z13489" s="1"/>
      <c r="AA13489" s="1"/>
      <c r="AB13489" s="1"/>
    </row>
    <row r="13490" ht="50.25" customHeight="1">
      <c r="A13490" s="12">
        <v>13486.0</v>
      </c>
      <c r="B13490" s="13" t="s">
        <v>12705</v>
      </c>
      <c r="C13490" s="14" t="s">
        <v>12831</v>
      </c>
      <c r="D13490" s="1"/>
      <c r="E13490" s="1"/>
      <c r="F13490" s="1" t="str">
        <f>IFERROR(__xludf.DUMMYFUNCTION("GOOGLETRANSLATE(B13490, ""en"", ""fa"")
"),"عکاسی و داستان سرایی تصویری")</f>
        <v>عکاسی و داستان سرایی تصویری</v>
      </c>
      <c r="G13490" s="1" t="str">
        <f>IFERROR(__xludf.DUMMYFUNCTION("GOOGLETRANSLATE(C13490, ""en"", ""fa"")
"),"چگونه می توانم از اعوجاج پرسپکتیو برای ایجاد عکس های داستان سرایی منحصر به فرد و جذاب استفاده کنم؟")</f>
        <v>چگونه می توانم از اعوجاج پرسپکتیو برای ایجاد عکس های داستان سرایی منحصر به فرد و جذاب استفاده کنم؟</v>
      </c>
      <c r="H13490" s="1"/>
      <c r="I13490" s="1"/>
      <c r="J13490" s="1"/>
      <c r="K13490" s="1"/>
      <c r="L13490" s="1"/>
      <c r="M13490" s="1"/>
      <c r="N13490" s="1"/>
      <c r="O13490" s="1"/>
      <c r="P13490" s="1"/>
      <c r="Q13490" s="1"/>
      <c r="R13490" s="1"/>
      <c r="S13490" s="1"/>
      <c r="T13490" s="1"/>
      <c r="U13490" s="1"/>
      <c r="V13490" s="1"/>
      <c r="W13490" s="1"/>
      <c r="X13490" s="1"/>
      <c r="Y13490" s="1"/>
      <c r="Z13490" s="1"/>
      <c r="AA13490" s="1"/>
      <c r="AB13490" s="1"/>
    </row>
    <row r="13491" ht="50.25" customHeight="1">
      <c r="A13491" s="12">
        <v>13487.0</v>
      </c>
      <c r="B13491" s="13" t="s">
        <v>12705</v>
      </c>
      <c r="C13491" s="14" t="s">
        <v>12832</v>
      </c>
      <c r="D13491" s="1"/>
      <c r="E13491" s="1"/>
      <c r="F13491" s="1" t="str">
        <f>IFERROR(__xludf.DUMMYFUNCTION("GOOGLETRANSLATE(B13491, ""en"", ""fa"")
"),"عکاسی و داستان سرایی تصویری")</f>
        <v>عکاسی و داستان سرایی تصویری</v>
      </c>
      <c r="G13491" s="1" t="str">
        <f>IFERROR(__xludf.DUMMYFUNCTION("GOOGLETRANSLATE(C13491, ""en"", ""fa"")
"),"آیا می توانید نکاتی را برای درک ماهیت جشن ها و جشنواره های فرهنگی توصیه کنید؟")</f>
        <v>آیا می توانید نکاتی را برای درک ماهیت جشن ها و جشنواره های فرهنگی توصیه کنید؟</v>
      </c>
      <c r="H13491" s="1"/>
      <c r="I13491" s="1"/>
      <c r="J13491" s="1"/>
      <c r="K13491" s="1"/>
      <c r="L13491" s="1"/>
      <c r="M13491" s="1"/>
      <c r="N13491" s="1"/>
      <c r="O13491" s="1"/>
      <c r="P13491" s="1"/>
      <c r="Q13491" s="1"/>
      <c r="R13491" s="1"/>
      <c r="S13491" s="1"/>
      <c r="T13491" s="1"/>
      <c r="U13491" s="1"/>
      <c r="V13491" s="1"/>
      <c r="W13491" s="1"/>
      <c r="X13491" s="1"/>
      <c r="Y13491" s="1"/>
      <c r="Z13491" s="1"/>
      <c r="AA13491" s="1"/>
      <c r="AB13491" s="1"/>
    </row>
    <row r="13492" ht="50.25" customHeight="1">
      <c r="A13492" s="12">
        <v>13488.0</v>
      </c>
      <c r="B13492" s="13" t="s">
        <v>12705</v>
      </c>
      <c r="C13492" s="14" t="s">
        <v>12833</v>
      </c>
      <c r="D13492" s="1"/>
      <c r="E13492" s="1"/>
      <c r="F13492" s="1" t="str">
        <f>IFERROR(__xludf.DUMMYFUNCTION("GOOGLETRANSLATE(B13492, ""en"", ""fa"")
"),"عکاسی و داستان سرایی تصویری")</f>
        <v>عکاسی و داستان سرایی تصویری</v>
      </c>
      <c r="G13492" s="1" t="str">
        <f>IFERROR(__xludf.DUMMYFUNCTION("GOOGLETRANSLATE(C13492, ""en"", ""fa"")
"),"بهترین شیوه ها برای استفاده از بازتاب و انکسار برای تقویت روایت های بصری چیست؟")</f>
        <v>بهترین شیوه ها برای استفاده از بازتاب و انکسار برای تقویت روایت های بصری چیست؟</v>
      </c>
      <c r="H13492" s="1"/>
      <c r="I13492" s="1"/>
      <c r="J13492" s="1"/>
      <c r="K13492" s="1"/>
      <c r="L13492" s="1"/>
      <c r="M13492" s="1"/>
      <c r="N13492" s="1"/>
      <c r="O13492" s="1"/>
      <c r="P13492" s="1"/>
      <c r="Q13492" s="1"/>
      <c r="R13492" s="1"/>
      <c r="S13492" s="1"/>
      <c r="T13492" s="1"/>
      <c r="U13492" s="1"/>
      <c r="V13492" s="1"/>
      <c r="W13492" s="1"/>
      <c r="X13492" s="1"/>
      <c r="Y13492" s="1"/>
      <c r="Z13492" s="1"/>
      <c r="AA13492" s="1"/>
      <c r="AB13492" s="1"/>
    </row>
    <row r="13493" ht="50.25" customHeight="1">
      <c r="A13493" s="12">
        <v>13489.0</v>
      </c>
      <c r="B13493" s="13" t="s">
        <v>12705</v>
      </c>
      <c r="C13493" s="14" t="s">
        <v>12834</v>
      </c>
      <c r="D13493" s="1"/>
      <c r="E13493" s="1"/>
      <c r="F13493" s="1" t="str">
        <f>IFERROR(__xludf.DUMMYFUNCTION("GOOGLETRANSLATE(B13493, ""en"", ""fa"")
"),"عکاسی و داستان سرایی تصویری")</f>
        <v>عکاسی و داستان سرایی تصویری</v>
      </c>
      <c r="G13493" s="1" t="str">
        <f>IFERROR(__xludf.DUMMYFUNCTION("GOOGLETRANSLATE(C13493, ""en"", ""fa"")
"),"چگونه می توانم یک داستان بصری ایجاد کنم که مفهوم تنوع را در یک زمینه جهانی بررسی کند؟")</f>
        <v>چگونه می توانم یک داستان بصری ایجاد کنم که مفهوم تنوع را در یک زمینه جهانی بررسی کند؟</v>
      </c>
      <c r="H13493" s="1"/>
      <c r="I13493" s="1"/>
      <c r="J13493" s="1"/>
      <c r="K13493" s="1"/>
      <c r="L13493" s="1"/>
      <c r="M13493" s="1"/>
      <c r="N13493" s="1"/>
      <c r="O13493" s="1"/>
      <c r="P13493" s="1"/>
      <c r="Q13493" s="1"/>
      <c r="R13493" s="1"/>
      <c r="S13493" s="1"/>
      <c r="T13493" s="1"/>
      <c r="U13493" s="1"/>
      <c r="V13493" s="1"/>
      <c r="W13493" s="1"/>
      <c r="X13493" s="1"/>
      <c r="Y13493" s="1"/>
      <c r="Z13493" s="1"/>
      <c r="AA13493" s="1"/>
      <c r="AB13493" s="1"/>
    </row>
    <row r="13494" ht="50.25" customHeight="1">
      <c r="A13494" s="12">
        <v>13490.0</v>
      </c>
      <c r="B13494" s="13" t="s">
        <v>12705</v>
      </c>
      <c r="C13494" s="14" t="s">
        <v>12835</v>
      </c>
      <c r="D13494" s="1"/>
      <c r="E13494" s="1"/>
      <c r="F13494" s="1" t="str">
        <f>IFERROR(__xludf.DUMMYFUNCTION("GOOGLETRANSLATE(B13494, ""en"", ""fa"")
"),"عکاسی و داستان سرایی تصویری")</f>
        <v>عکاسی و داستان سرایی تصویری</v>
      </c>
      <c r="G13494" s="1" t="str">
        <f>IFERROR(__xludf.DUMMYFUNCTION("GOOGLETRANSLATE(C13494, ""en"", ""fa"")
"),"آیا می توانید راه هایی را برای استفاده از نمادهای رنگی برای انتقال احساسات و روایت ها پیشنهاد کنید؟")</f>
        <v>آیا می توانید راه هایی را برای استفاده از نمادهای رنگی برای انتقال احساسات و روایت ها پیشنهاد کنید؟</v>
      </c>
      <c r="H13494" s="1"/>
      <c r="I13494" s="1"/>
      <c r="J13494" s="1"/>
      <c r="K13494" s="1"/>
      <c r="L13494" s="1"/>
      <c r="M13494" s="1"/>
      <c r="N13494" s="1"/>
      <c r="O13494" s="1"/>
      <c r="P13494" s="1"/>
      <c r="Q13494" s="1"/>
      <c r="R13494" s="1"/>
      <c r="S13494" s="1"/>
      <c r="T13494" s="1"/>
      <c r="U13494" s="1"/>
      <c r="V13494" s="1"/>
      <c r="W13494" s="1"/>
      <c r="X13494" s="1"/>
      <c r="Y13494" s="1"/>
      <c r="Z13494" s="1"/>
      <c r="AA13494" s="1"/>
      <c r="AB13494" s="1"/>
    </row>
    <row r="13495" ht="50.25" customHeight="1">
      <c r="A13495" s="12">
        <v>13491.0</v>
      </c>
      <c r="B13495" s="13" t="s">
        <v>12705</v>
      </c>
      <c r="C13495" s="14" t="s">
        <v>12836</v>
      </c>
      <c r="D13495" s="1"/>
      <c r="E13495" s="1"/>
      <c r="F13495" s="1" t="str">
        <f>IFERROR(__xludf.DUMMYFUNCTION("GOOGLETRANSLATE(B13495, ""en"", ""fa"")
"),"عکاسی و داستان سرایی تصویری")</f>
        <v>عکاسی و داستان سرایی تصویری</v>
      </c>
      <c r="G13495" s="1" t="str">
        <f>IFERROR(__xludf.DUMMYFUNCTION("GOOGLETRANSLATE(C13495, ""en"", ""fa"")
"),"مراحل ایجاد یک داستان تصویری که تکامل یک جامعه را مستند می کند چیست؟")</f>
        <v>مراحل ایجاد یک داستان تصویری که تکامل یک جامعه را مستند می کند چیست؟</v>
      </c>
      <c r="H13495" s="1"/>
      <c r="I13495" s="1"/>
      <c r="J13495" s="1"/>
      <c r="K13495" s="1"/>
      <c r="L13495" s="1"/>
      <c r="M13495" s="1"/>
      <c r="N13495" s="1"/>
      <c r="O13495" s="1"/>
      <c r="P13495" s="1"/>
      <c r="Q13495" s="1"/>
      <c r="R13495" s="1"/>
      <c r="S13495" s="1"/>
      <c r="T13495" s="1"/>
      <c r="U13495" s="1"/>
      <c r="V13495" s="1"/>
      <c r="W13495" s="1"/>
      <c r="X13495" s="1"/>
      <c r="Y13495" s="1"/>
      <c r="Z13495" s="1"/>
      <c r="AA13495" s="1"/>
      <c r="AB13495" s="1"/>
    </row>
    <row r="13496" ht="50.25" customHeight="1">
      <c r="A13496" s="12">
        <v>13492.0</v>
      </c>
      <c r="B13496" s="13" t="s">
        <v>12705</v>
      </c>
      <c r="C13496" s="14" t="s">
        <v>12837</v>
      </c>
      <c r="D13496" s="1"/>
      <c r="E13496" s="1"/>
      <c r="F13496" s="1" t="str">
        <f>IFERROR(__xludf.DUMMYFUNCTION("GOOGLETRANSLATE(B13496, ""en"", ""fa"")
"),"عکاسی و داستان سرایی تصویری")</f>
        <v>عکاسی و داستان سرایی تصویری</v>
      </c>
      <c r="G13496" s="1" t="str">
        <f>IFERROR(__xludf.DUMMYFUNCTION("GOOGLETRANSLATE(C13496, ""en"", ""fa"")
"),"چگونه می توانم از ترکیب بندی های متحرک و پویا برای انتقال حس انرژی در عکس هایم استفاده کنم؟")</f>
        <v>چگونه می توانم از ترکیب بندی های متحرک و پویا برای انتقال حس انرژی در عکس هایم استفاده کنم؟</v>
      </c>
      <c r="H13496" s="1"/>
      <c r="I13496" s="1"/>
      <c r="J13496" s="1"/>
      <c r="K13496" s="1"/>
      <c r="L13496" s="1"/>
      <c r="M13496" s="1"/>
      <c r="N13496" s="1"/>
      <c r="O13496" s="1"/>
      <c r="P13496" s="1"/>
      <c r="Q13496" s="1"/>
      <c r="R13496" s="1"/>
      <c r="S13496" s="1"/>
      <c r="T13496" s="1"/>
      <c r="U13496" s="1"/>
      <c r="V13496" s="1"/>
      <c r="W13496" s="1"/>
      <c r="X13496" s="1"/>
      <c r="Y13496" s="1"/>
      <c r="Z13496" s="1"/>
      <c r="AA13496" s="1"/>
      <c r="AB13496" s="1"/>
    </row>
    <row r="13497" ht="50.25" customHeight="1">
      <c r="A13497" s="12">
        <v>13493.0</v>
      </c>
      <c r="B13497" s="13" t="s">
        <v>12705</v>
      </c>
      <c r="C13497" s="14" t="s">
        <v>12838</v>
      </c>
      <c r="D13497" s="1"/>
      <c r="E13497" s="1"/>
      <c r="F13497" s="1" t="str">
        <f>IFERROR(__xludf.DUMMYFUNCTION("GOOGLETRANSLATE(B13497, ""en"", ""fa"")
"),"عکاسی و داستان سرایی تصویری")</f>
        <v>عکاسی و داستان سرایی تصویری</v>
      </c>
      <c r="G13497" s="1" t="str">
        <f>IFERROR(__xludf.DUMMYFUNCTION("GOOGLETRANSLATE(C13497, ""en"", ""fa"")
"),"آیا می توانید استراتژی هایی برای عکاسی از پیوندها و تعاملات درون خانواده ها توصیه کنید؟")</f>
        <v>آیا می توانید استراتژی هایی برای عکاسی از پیوندها و تعاملات درون خانواده ها توصیه کنید؟</v>
      </c>
      <c r="H13497" s="1"/>
      <c r="I13497" s="1"/>
      <c r="J13497" s="1"/>
      <c r="K13497" s="1"/>
      <c r="L13497" s="1"/>
      <c r="M13497" s="1"/>
      <c r="N13497" s="1"/>
      <c r="O13497" s="1"/>
      <c r="P13497" s="1"/>
      <c r="Q13497" s="1"/>
      <c r="R13497" s="1"/>
      <c r="S13497" s="1"/>
      <c r="T13497" s="1"/>
      <c r="U13497" s="1"/>
      <c r="V13497" s="1"/>
      <c r="W13497" s="1"/>
      <c r="X13497" s="1"/>
      <c r="Y13497" s="1"/>
      <c r="Z13497" s="1"/>
      <c r="AA13497" s="1"/>
      <c r="AB13497" s="1"/>
    </row>
    <row r="13498" ht="50.25" customHeight="1">
      <c r="A13498" s="12">
        <v>13494.0</v>
      </c>
      <c r="B13498" s="13" t="s">
        <v>12705</v>
      </c>
      <c r="C13498" s="14" t="s">
        <v>12839</v>
      </c>
      <c r="D13498" s="1"/>
      <c r="E13498" s="1"/>
      <c r="F13498" s="1" t="str">
        <f>IFERROR(__xludf.DUMMYFUNCTION("GOOGLETRANSLATE(B13498, ""en"", ""fa"")
"),"عکاسی و داستان سرایی تصویری")</f>
        <v>عکاسی و داستان سرایی تصویری</v>
      </c>
      <c r="G13498" s="1" t="str">
        <f>IFERROR(__xludf.DUMMYFUNCTION("GOOGLETRANSLATE(C13498, ""en"", ""fa"")
"),"بهترین تکنیک ها برای استفاده از عکاسی ماکرو برای بیان داستان های دنیای خرد چیست؟")</f>
        <v>بهترین تکنیک ها برای استفاده از عکاسی ماکرو برای بیان داستان های دنیای خرد چیست؟</v>
      </c>
      <c r="H13498" s="1"/>
      <c r="I13498" s="1"/>
      <c r="J13498" s="1"/>
      <c r="K13498" s="1"/>
      <c r="L13498" s="1"/>
      <c r="M13498" s="1"/>
      <c r="N13498" s="1"/>
      <c r="O13498" s="1"/>
      <c r="P13498" s="1"/>
      <c r="Q13498" s="1"/>
      <c r="R13498" s="1"/>
      <c r="S13498" s="1"/>
      <c r="T13498" s="1"/>
      <c r="U13498" s="1"/>
      <c r="V13498" s="1"/>
      <c r="W13498" s="1"/>
      <c r="X13498" s="1"/>
      <c r="Y13498" s="1"/>
      <c r="Z13498" s="1"/>
      <c r="AA13498" s="1"/>
      <c r="AB13498" s="1"/>
    </row>
    <row r="13499" ht="50.25" customHeight="1">
      <c r="A13499" s="12">
        <v>13495.0</v>
      </c>
      <c r="B13499" s="13" t="s">
        <v>12705</v>
      </c>
      <c r="C13499" s="14" t="s">
        <v>12840</v>
      </c>
      <c r="D13499" s="1"/>
      <c r="E13499" s="1"/>
      <c r="F13499" s="1" t="str">
        <f>IFERROR(__xludf.DUMMYFUNCTION("GOOGLETRANSLATE(B13499, ""en"", ""fa"")
"),"عکاسی و داستان سرایی تصویری")</f>
        <v>عکاسی و داستان سرایی تصویری</v>
      </c>
      <c r="G13499" s="1" t="str">
        <f>IFERROR(__xludf.DUMMYFUNCTION("GOOGLETRANSLATE(C13499, ""en"", ""fa"")
"),"چگونه می توانم یک داستان بصری بسازم که تأثیر فناوری بر زندگی مدرن را به تصویر بکشد؟")</f>
        <v>چگونه می توانم یک داستان بصری بسازم که تأثیر فناوری بر زندگی مدرن را به تصویر بکشد؟</v>
      </c>
      <c r="H13499" s="1"/>
      <c r="I13499" s="1"/>
      <c r="J13499" s="1"/>
      <c r="K13499" s="1"/>
      <c r="L13499" s="1"/>
      <c r="M13499" s="1"/>
      <c r="N13499" s="1"/>
      <c r="O13499" s="1"/>
      <c r="P13499" s="1"/>
      <c r="Q13499" s="1"/>
      <c r="R13499" s="1"/>
      <c r="S13499" s="1"/>
      <c r="T13499" s="1"/>
      <c r="U13499" s="1"/>
      <c r="V13499" s="1"/>
      <c r="W13499" s="1"/>
      <c r="X13499" s="1"/>
      <c r="Y13499" s="1"/>
      <c r="Z13499" s="1"/>
      <c r="AA13499" s="1"/>
      <c r="AB13499" s="1"/>
    </row>
    <row r="13500" ht="50.25" customHeight="1">
      <c r="A13500" s="12">
        <v>13496.0</v>
      </c>
      <c r="B13500" s="13" t="s">
        <v>12705</v>
      </c>
      <c r="C13500" s="14" t="s">
        <v>12841</v>
      </c>
      <c r="D13500" s="1"/>
      <c r="E13500" s="1"/>
      <c r="F13500" s="1" t="str">
        <f>IFERROR(__xludf.DUMMYFUNCTION("GOOGLETRANSLATE(B13500, ""en"", ""fa"")
"),"عکاسی و داستان سرایی تصویری")</f>
        <v>عکاسی و داستان سرایی تصویری</v>
      </c>
      <c r="G13500" s="1" t="str">
        <f>IFERROR(__xludf.DUMMYFUNCTION("GOOGLETRANSLATE(C13500, ""en"", ""fa"")
"),"آیا می توانید تکنیک هایی برای به تصویر کشیدن زیبایی و پیچیدگی اقلام دست ساز پیشنهاد دهید؟")</f>
        <v>آیا می توانید تکنیک هایی برای به تصویر کشیدن زیبایی و پیچیدگی اقلام دست ساز پیشنهاد دهید؟</v>
      </c>
      <c r="H13500" s="1"/>
      <c r="I13500" s="1"/>
      <c r="J13500" s="1"/>
      <c r="K13500" s="1"/>
      <c r="L13500" s="1"/>
      <c r="M13500" s="1"/>
      <c r="N13500" s="1"/>
      <c r="O13500" s="1"/>
      <c r="P13500" s="1"/>
      <c r="Q13500" s="1"/>
      <c r="R13500" s="1"/>
      <c r="S13500" s="1"/>
      <c r="T13500" s="1"/>
      <c r="U13500" s="1"/>
      <c r="V13500" s="1"/>
      <c r="W13500" s="1"/>
      <c r="X13500" s="1"/>
      <c r="Y13500" s="1"/>
      <c r="Z13500" s="1"/>
      <c r="AA13500" s="1"/>
      <c r="AB13500" s="1"/>
    </row>
    <row r="13501" ht="50.25" customHeight="1">
      <c r="A13501" s="12">
        <v>13497.0</v>
      </c>
      <c r="B13501" s="13" t="s">
        <v>12705</v>
      </c>
      <c r="C13501" s="14" t="s">
        <v>12842</v>
      </c>
      <c r="D13501" s="1"/>
      <c r="E13501" s="1"/>
      <c r="F13501" s="1" t="str">
        <f>IFERROR(__xludf.DUMMYFUNCTION("GOOGLETRANSLATE(B13501, ""en"", ""fa"")
"),"عکاسی و داستان سرایی تصویری")</f>
        <v>عکاسی و داستان سرایی تصویری</v>
      </c>
      <c r="G13501" s="1" t="str">
        <f>IFERROR(__xludf.DUMMYFUNCTION("GOOGLETRANSLATE(C13501, ""en"", ""fa"")
"),"مراحل ایجاد یک داستان بصری که شادی ارتباط انسانی را جشن می گیرد چیست؟")</f>
        <v>مراحل ایجاد یک داستان بصری که شادی ارتباط انسانی را جشن می گیرد چیست؟</v>
      </c>
      <c r="H13501" s="1"/>
      <c r="I13501" s="1"/>
      <c r="J13501" s="1"/>
      <c r="K13501" s="1"/>
      <c r="L13501" s="1"/>
      <c r="M13501" s="1"/>
      <c r="N13501" s="1"/>
      <c r="O13501" s="1"/>
      <c r="P13501" s="1"/>
      <c r="Q13501" s="1"/>
      <c r="R13501" s="1"/>
      <c r="S13501" s="1"/>
      <c r="T13501" s="1"/>
      <c r="U13501" s="1"/>
      <c r="V13501" s="1"/>
      <c r="W13501" s="1"/>
      <c r="X13501" s="1"/>
      <c r="Y13501" s="1"/>
      <c r="Z13501" s="1"/>
      <c r="AA13501" s="1"/>
      <c r="AB13501" s="1"/>
    </row>
    <row r="13502" ht="50.25" customHeight="1">
      <c r="A13502" s="12">
        <v>13498.0</v>
      </c>
      <c r="B13502" s="13" t="s">
        <v>12705</v>
      </c>
      <c r="C13502" s="14" t="s">
        <v>12843</v>
      </c>
      <c r="D13502" s="1"/>
      <c r="E13502" s="1"/>
      <c r="F13502" s="1" t="str">
        <f>IFERROR(__xludf.DUMMYFUNCTION("GOOGLETRANSLATE(B13502, ""en"", ""fa"")
"),"عکاسی و داستان سرایی تصویری")</f>
        <v>عکاسی و داستان سرایی تصویری</v>
      </c>
      <c r="G13502" s="1" t="str">
        <f>IFERROR(__xludf.DUMMYFUNCTION("GOOGLETRANSLATE(C13502, ""en"", ""fa"")
"),"چگونه می توانم از کنار هم برای ایجاد روایت های بصری تفکر برانگیز استفاده کنم؟")</f>
        <v>چگونه می توانم از کنار هم برای ایجاد روایت های بصری تفکر برانگیز استفاده کنم؟</v>
      </c>
      <c r="H13502" s="1"/>
      <c r="I13502" s="1"/>
      <c r="J13502" s="1"/>
      <c r="K13502" s="1"/>
      <c r="L13502" s="1"/>
      <c r="M13502" s="1"/>
      <c r="N13502" s="1"/>
      <c r="O13502" s="1"/>
      <c r="P13502" s="1"/>
      <c r="Q13502" s="1"/>
      <c r="R13502" s="1"/>
      <c r="S13502" s="1"/>
      <c r="T13502" s="1"/>
      <c r="U13502" s="1"/>
      <c r="V13502" s="1"/>
      <c r="W13502" s="1"/>
      <c r="X13502" s="1"/>
      <c r="Y13502" s="1"/>
      <c r="Z13502" s="1"/>
      <c r="AA13502" s="1"/>
      <c r="AB13502" s="1"/>
    </row>
    <row r="13503" ht="50.25" customHeight="1">
      <c r="A13503" s="12">
        <v>13499.0</v>
      </c>
      <c r="B13503" s="13" t="s">
        <v>12705</v>
      </c>
      <c r="C13503" s="14" t="s">
        <v>12844</v>
      </c>
      <c r="D13503" s="1"/>
      <c r="E13503" s="1"/>
      <c r="F13503" s="1" t="str">
        <f>IFERROR(__xludf.DUMMYFUNCTION("GOOGLETRANSLATE(B13503, ""en"", ""fa"")
"),"عکاسی و داستان سرایی تصویری")</f>
        <v>عکاسی و داستان سرایی تصویری</v>
      </c>
      <c r="G13503" s="1" t="str">
        <f>IFERROR(__xludf.DUMMYFUNCTION("GOOGLETRANSLATE(C13503, ""en"", ""fa"")
"),"آیا می توانید نکاتی را برای استفاده از بازتاب ها برای ایجاد روایت های دوگانه در عکاسی توصیه کنید؟")</f>
        <v>آیا می توانید نکاتی را برای استفاده از بازتاب ها برای ایجاد روایت های دوگانه در عکاسی توصیه کنید؟</v>
      </c>
      <c r="H13503" s="1"/>
      <c r="I13503" s="1"/>
      <c r="J13503" s="1"/>
      <c r="K13503" s="1"/>
      <c r="L13503" s="1"/>
      <c r="M13503" s="1"/>
      <c r="N13503" s="1"/>
      <c r="O13503" s="1"/>
      <c r="P13503" s="1"/>
      <c r="Q13503" s="1"/>
      <c r="R13503" s="1"/>
      <c r="S13503" s="1"/>
      <c r="T13503" s="1"/>
      <c r="U13503" s="1"/>
      <c r="V13503" s="1"/>
      <c r="W13503" s="1"/>
      <c r="X13503" s="1"/>
      <c r="Y13503" s="1"/>
      <c r="Z13503" s="1"/>
      <c r="AA13503" s="1"/>
      <c r="AB13503" s="1"/>
    </row>
    <row r="13504" ht="50.25" customHeight="1">
      <c r="A13504" s="12">
        <v>13500.0</v>
      </c>
      <c r="B13504" s="13" t="s">
        <v>12705</v>
      </c>
      <c r="C13504" s="14" t="s">
        <v>12845</v>
      </c>
      <c r="D13504" s="1"/>
      <c r="E13504" s="1"/>
      <c r="F13504" s="1" t="str">
        <f>IFERROR(__xludf.DUMMYFUNCTION("GOOGLETRANSLATE(B13504, ""en"", ""fa"")
"),"عکاسی و داستان سرایی تصویری")</f>
        <v>عکاسی و داستان سرایی تصویری</v>
      </c>
      <c r="G13504" s="1" t="str">
        <f>IFERROR(__xludf.DUMMYFUNCTION("GOOGLETRANSLATE(C13504, ""en"", ""fa"")
"),"بهترین روش ها برای عکاسی از آیین های فرهنگی و مراسم سنتی چیست؟")</f>
        <v>بهترین روش ها برای عکاسی از آیین های فرهنگی و مراسم سنتی چیست؟</v>
      </c>
      <c r="H13504" s="1"/>
      <c r="I13504" s="1"/>
      <c r="J13504" s="1"/>
      <c r="K13504" s="1"/>
      <c r="L13504" s="1"/>
      <c r="M13504" s="1"/>
      <c r="N13504" s="1"/>
      <c r="O13504" s="1"/>
      <c r="P13504" s="1"/>
      <c r="Q13504" s="1"/>
      <c r="R13504" s="1"/>
      <c r="S13504" s="1"/>
      <c r="T13504" s="1"/>
      <c r="U13504" s="1"/>
      <c r="V13504" s="1"/>
      <c r="W13504" s="1"/>
      <c r="X13504" s="1"/>
      <c r="Y13504" s="1"/>
      <c r="Z13504" s="1"/>
      <c r="AA13504" s="1"/>
      <c r="AB13504" s="1"/>
    </row>
    <row r="13505" ht="50.25" customHeight="1">
      <c r="A13505" s="12">
        <v>13501.0</v>
      </c>
      <c r="B13505" s="13" t="s">
        <v>12705</v>
      </c>
      <c r="C13505" s="14" t="s">
        <v>12846</v>
      </c>
      <c r="D13505" s="1"/>
      <c r="E13505" s="1"/>
      <c r="F13505" s="1" t="str">
        <f>IFERROR(__xludf.DUMMYFUNCTION("GOOGLETRANSLATE(B13505, ""en"", ""fa"")
"),"عکاسی و داستان سرایی تصویری")</f>
        <v>عکاسی و داستان سرایی تصویری</v>
      </c>
      <c r="G13505" s="1" t="str">
        <f>IFERROR(__xludf.DUMMYFUNCTION("GOOGLETRANSLATE(C13505, ""en"", ""fa"")
"),"چگونه می توانم یک داستان بصری ایجاد کنم که مفهوم هویت و بیان خود را بررسی کند؟")</f>
        <v>چگونه می توانم یک داستان بصری ایجاد کنم که مفهوم هویت و بیان خود را بررسی کند؟</v>
      </c>
      <c r="H13505" s="1"/>
      <c r="I13505" s="1"/>
      <c r="J13505" s="1"/>
      <c r="K13505" s="1"/>
      <c r="L13505" s="1"/>
      <c r="M13505" s="1"/>
      <c r="N13505" s="1"/>
      <c r="O13505" s="1"/>
      <c r="P13505" s="1"/>
      <c r="Q13505" s="1"/>
      <c r="R13505" s="1"/>
      <c r="S13505" s="1"/>
      <c r="T13505" s="1"/>
      <c r="U13505" s="1"/>
      <c r="V13505" s="1"/>
      <c r="W13505" s="1"/>
      <c r="X13505" s="1"/>
      <c r="Y13505" s="1"/>
      <c r="Z13505" s="1"/>
      <c r="AA13505" s="1"/>
      <c r="AB13505" s="1"/>
    </row>
    <row r="13506" ht="50.25" customHeight="1">
      <c r="A13506" s="12">
        <v>13502.0</v>
      </c>
      <c r="B13506" s="13" t="s">
        <v>12705</v>
      </c>
      <c r="C13506" s="14" t="s">
        <v>12847</v>
      </c>
      <c r="D13506" s="1"/>
      <c r="E13506" s="1"/>
      <c r="F13506" s="1" t="str">
        <f>IFERROR(__xludf.DUMMYFUNCTION("GOOGLETRANSLATE(B13506, ""en"", ""fa"")
"),"عکاسی و داستان سرایی تصویری")</f>
        <v>عکاسی و داستان سرایی تصویری</v>
      </c>
      <c r="G13506" s="1" t="str">
        <f>IFERROR(__xludf.DUMMYFUNCTION("GOOGLETRANSLATE(C13506, ""en"", ""fa"")
"),"آیا می‌توانید تکنیک‌هایی را برای درک ماهیت فرهنگ‌ها و جوامع مختلف پیشنهاد کنید؟")</f>
        <v>آیا می‌توانید تکنیک‌هایی را برای درک ماهیت فرهنگ‌ها و جوامع مختلف پیشنهاد کنید؟</v>
      </c>
      <c r="H13506" s="1"/>
      <c r="I13506" s="1"/>
      <c r="J13506" s="1"/>
      <c r="K13506" s="1"/>
      <c r="L13506" s="1"/>
      <c r="M13506" s="1"/>
      <c r="N13506" s="1"/>
      <c r="O13506" s="1"/>
      <c r="P13506" s="1"/>
      <c r="Q13506" s="1"/>
      <c r="R13506" s="1"/>
      <c r="S13506" s="1"/>
      <c r="T13506" s="1"/>
      <c r="U13506" s="1"/>
      <c r="V13506" s="1"/>
      <c r="W13506" s="1"/>
      <c r="X13506" s="1"/>
      <c r="Y13506" s="1"/>
      <c r="Z13506" s="1"/>
      <c r="AA13506" s="1"/>
      <c r="AB13506" s="1"/>
    </row>
    <row r="13507" ht="50.25" customHeight="1">
      <c r="A13507" s="12">
        <v>13503.0</v>
      </c>
      <c r="B13507" s="13" t="s">
        <v>12705</v>
      </c>
      <c r="C13507" s="14" t="s">
        <v>12848</v>
      </c>
      <c r="D13507" s="1"/>
      <c r="E13507" s="1"/>
      <c r="F13507" s="1" t="str">
        <f>IFERROR(__xludf.DUMMYFUNCTION("GOOGLETRANSLATE(B13507, ""en"", ""fa"")
"),"عکاسی و داستان سرایی تصویری")</f>
        <v>عکاسی و داستان سرایی تصویری</v>
      </c>
      <c r="G13507" s="1" t="str">
        <f>IFERROR(__xludf.DUMMYFUNCTION("GOOGLETRANSLATE(C13507, ""en"", ""fa"")
"),"مراحل ایجاد یک داستان تصویری که قدرت انعطاف پذیری انسان را برجسته می کند چیست؟")</f>
        <v>مراحل ایجاد یک داستان تصویری که قدرت انعطاف پذیری انسان را برجسته می کند چیست؟</v>
      </c>
      <c r="H13507" s="1"/>
      <c r="I13507" s="1"/>
      <c r="J13507" s="1"/>
      <c r="K13507" s="1"/>
      <c r="L13507" s="1"/>
      <c r="M13507" s="1"/>
      <c r="N13507" s="1"/>
      <c r="O13507" s="1"/>
      <c r="P13507" s="1"/>
      <c r="Q13507" s="1"/>
      <c r="R13507" s="1"/>
      <c r="S13507" s="1"/>
      <c r="T13507" s="1"/>
      <c r="U13507" s="1"/>
      <c r="V13507" s="1"/>
      <c r="W13507" s="1"/>
      <c r="X13507" s="1"/>
      <c r="Y13507" s="1"/>
      <c r="Z13507" s="1"/>
      <c r="AA13507" s="1"/>
      <c r="AB13507" s="1"/>
    </row>
    <row r="13508" ht="50.25" customHeight="1">
      <c r="A13508" s="12">
        <v>13504.0</v>
      </c>
      <c r="B13508" s="13" t="s">
        <v>12705</v>
      </c>
      <c r="C13508" s="14" t="s">
        <v>12849</v>
      </c>
      <c r="D13508" s="1"/>
      <c r="E13508" s="1"/>
      <c r="F13508" s="1" t="str">
        <f>IFERROR(__xludf.DUMMYFUNCTION("GOOGLETRANSLATE(B13508, ""en"", ""fa"")
"),"عکاسی و داستان سرایی تصویری")</f>
        <v>عکاسی و داستان سرایی تصویری</v>
      </c>
      <c r="G13508" s="1" t="str">
        <f>IFERROR(__xludf.DUMMYFUNCTION("GOOGLETRANSLATE(C13508, ""en"", ""fa"")
"),"چگونه می توانم از انتزاع و تحریف برای ایجاد عکس های داستان سرایی بصری جذاب استفاده کنم؟")</f>
        <v>چگونه می توانم از انتزاع و تحریف برای ایجاد عکس های داستان سرایی بصری جذاب استفاده کنم؟</v>
      </c>
      <c r="H13508" s="1"/>
      <c r="I13508" s="1"/>
      <c r="J13508" s="1"/>
      <c r="K13508" s="1"/>
      <c r="L13508" s="1"/>
      <c r="M13508" s="1"/>
      <c r="N13508" s="1"/>
      <c r="O13508" s="1"/>
      <c r="P13508" s="1"/>
      <c r="Q13508" s="1"/>
      <c r="R13508" s="1"/>
      <c r="S13508" s="1"/>
      <c r="T13508" s="1"/>
      <c r="U13508" s="1"/>
      <c r="V13508" s="1"/>
      <c r="W13508" s="1"/>
      <c r="X13508" s="1"/>
      <c r="Y13508" s="1"/>
      <c r="Z13508" s="1"/>
      <c r="AA13508" s="1"/>
      <c r="AB13508" s="1"/>
    </row>
    <row r="13509" ht="50.25" customHeight="1">
      <c r="A13509" s="12">
        <v>13505.0</v>
      </c>
      <c r="B13509" s="13" t="s">
        <v>12705</v>
      </c>
      <c r="C13509" s="14" t="s">
        <v>12850</v>
      </c>
      <c r="D13509" s="1"/>
      <c r="E13509" s="1"/>
      <c r="F13509" s="1" t="str">
        <f>IFERROR(__xludf.DUMMYFUNCTION("GOOGLETRANSLATE(B13509, ""en"", ""fa"")
"),"عکاسی و داستان سرایی تصویری")</f>
        <v>عکاسی و داستان سرایی تصویری</v>
      </c>
      <c r="G13509" s="1" t="str">
        <f>IFERROR(__xludf.DUMMYFUNCTION("GOOGLETRANSLATE(C13509, ""en"", ""fa"")
"),"آیا می توانید راهکارهایی برای عکاسی از زیبایی و منحصر به فرد بودن معماری توصیه کنید؟")</f>
        <v>آیا می توانید راهکارهایی برای عکاسی از زیبایی و منحصر به فرد بودن معماری توصیه کنید؟</v>
      </c>
      <c r="H13509" s="1"/>
      <c r="I13509" s="1"/>
      <c r="J13509" s="1"/>
      <c r="K13509" s="1"/>
      <c r="L13509" s="1"/>
      <c r="M13509" s="1"/>
      <c r="N13509" s="1"/>
      <c r="O13509" s="1"/>
      <c r="P13509" s="1"/>
      <c r="Q13509" s="1"/>
      <c r="R13509" s="1"/>
      <c r="S13509" s="1"/>
      <c r="T13509" s="1"/>
      <c r="U13509" s="1"/>
      <c r="V13509" s="1"/>
      <c r="W13509" s="1"/>
      <c r="X13509" s="1"/>
      <c r="Y13509" s="1"/>
      <c r="Z13509" s="1"/>
      <c r="AA13509" s="1"/>
      <c r="AB13509" s="1"/>
    </row>
    <row r="13510" ht="50.25" customHeight="1">
      <c r="A13510" s="12">
        <v>13506.0</v>
      </c>
      <c r="B13510" s="13" t="s">
        <v>12705</v>
      </c>
      <c r="C13510" s="14" t="s">
        <v>12851</v>
      </c>
      <c r="D13510" s="1"/>
      <c r="E13510" s="1"/>
      <c r="F13510" s="1" t="str">
        <f>IFERROR(__xludf.DUMMYFUNCTION("GOOGLETRANSLATE(B13510, ""en"", ""fa"")
"),"عکاسی و داستان سرایی تصویری")</f>
        <v>عکاسی و داستان سرایی تصویری</v>
      </c>
      <c r="G13510" s="1" t="str">
        <f>IFERROR(__xludf.DUMMYFUNCTION("GOOGLETRANSLATE(C13510, ""en"", ""fa"")
"),"بهترین تکنیک ها برای استفاده از داستان سرایی تصویری برای افزایش آگاهی در مورد مسائل اجتماعی چیست؟")</f>
        <v>بهترین تکنیک ها برای استفاده از داستان سرایی تصویری برای افزایش آگاهی در مورد مسائل اجتماعی چیست؟</v>
      </c>
      <c r="H13510" s="1"/>
      <c r="I13510" s="1"/>
      <c r="J13510" s="1"/>
      <c r="K13510" s="1"/>
      <c r="L13510" s="1"/>
      <c r="M13510" s="1"/>
      <c r="N13510" s="1"/>
      <c r="O13510" s="1"/>
      <c r="P13510" s="1"/>
      <c r="Q13510" s="1"/>
      <c r="R13510" s="1"/>
      <c r="S13510" s="1"/>
      <c r="T13510" s="1"/>
      <c r="U13510" s="1"/>
      <c r="V13510" s="1"/>
      <c r="W13510" s="1"/>
      <c r="X13510" s="1"/>
      <c r="Y13510" s="1"/>
      <c r="Z13510" s="1"/>
      <c r="AA13510" s="1"/>
      <c r="AB13510" s="1"/>
    </row>
    <row r="13511" ht="50.25" customHeight="1">
      <c r="A13511" s="12">
        <v>13507.0</v>
      </c>
      <c r="B13511" s="13" t="s">
        <v>12705</v>
      </c>
      <c r="C13511" s="14" t="s">
        <v>12852</v>
      </c>
      <c r="D13511" s="1"/>
      <c r="E13511" s="1"/>
      <c r="F13511" s="1" t="str">
        <f>IFERROR(__xludf.DUMMYFUNCTION("GOOGLETRANSLATE(B13511, ""en"", ""fa"")
"),"عکاسی و داستان سرایی تصویری")</f>
        <v>عکاسی و داستان سرایی تصویری</v>
      </c>
      <c r="G13511" s="1" t="str">
        <f>IFERROR(__xludf.DUMMYFUNCTION("GOOGLETRANSLATE(C13511, ""en"", ""fa"")
"),"چگونه یک داستان بصری ایجاد کنم که احساسات و تجربیات سفر را به تصویر بکشد؟")</f>
        <v>چگونه یک داستان بصری ایجاد کنم که احساسات و تجربیات سفر را به تصویر بکشد؟</v>
      </c>
      <c r="H13511" s="1"/>
      <c r="I13511" s="1"/>
      <c r="J13511" s="1"/>
      <c r="K13511" s="1"/>
      <c r="L13511" s="1"/>
      <c r="M13511" s="1"/>
      <c r="N13511" s="1"/>
      <c r="O13511" s="1"/>
      <c r="P13511" s="1"/>
      <c r="Q13511" s="1"/>
      <c r="R13511" s="1"/>
      <c r="S13511" s="1"/>
      <c r="T13511" s="1"/>
      <c r="U13511" s="1"/>
      <c r="V13511" s="1"/>
      <c r="W13511" s="1"/>
      <c r="X13511" s="1"/>
      <c r="Y13511" s="1"/>
      <c r="Z13511" s="1"/>
      <c r="AA13511" s="1"/>
      <c r="AB13511" s="1"/>
    </row>
    <row r="13512" ht="50.25" customHeight="1">
      <c r="A13512" s="12">
        <v>13508.0</v>
      </c>
      <c r="B13512" s="13" t="s">
        <v>12705</v>
      </c>
      <c r="C13512" s="14" t="s">
        <v>12853</v>
      </c>
      <c r="D13512" s="1"/>
      <c r="E13512" s="1"/>
      <c r="F13512" s="1" t="str">
        <f>IFERROR(__xludf.DUMMYFUNCTION("GOOGLETRANSLATE(B13512, ""en"", ""fa"")
"),"عکاسی و داستان سرایی تصویری")</f>
        <v>عکاسی و داستان سرایی تصویری</v>
      </c>
      <c r="G13512" s="1" t="str">
        <f>IFERROR(__xludf.DUMMYFUNCTION("GOOGLETRANSLATE(C13512, ""en"", ""fa"")
"),"آیا می توانید راه هایی برای استفاده از زوایای غیر متعارف برای انتقال چشم اندازی تازه در عکاسی پیشنهاد کنید؟")</f>
        <v>آیا می توانید راه هایی برای استفاده از زوایای غیر متعارف برای انتقال چشم اندازی تازه در عکاسی پیشنهاد کنید؟</v>
      </c>
      <c r="H13512" s="1"/>
      <c r="I13512" s="1"/>
      <c r="J13512" s="1"/>
      <c r="K13512" s="1"/>
      <c r="L13512" s="1"/>
      <c r="M13512" s="1"/>
      <c r="N13512" s="1"/>
      <c r="O13512" s="1"/>
      <c r="P13512" s="1"/>
      <c r="Q13512" s="1"/>
      <c r="R13512" s="1"/>
      <c r="S13512" s="1"/>
      <c r="T13512" s="1"/>
      <c r="U13512" s="1"/>
      <c r="V13512" s="1"/>
      <c r="W13512" s="1"/>
      <c r="X13512" s="1"/>
      <c r="Y13512" s="1"/>
      <c r="Z13512" s="1"/>
      <c r="AA13512" s="1"/>
      <c r="AB13512" s="1"/>
    </row>
    <row r="13513" ht="50.25" customHeight="1">
      <c r="A13513" s="12">
        <v>13509.0</v>
      </c>
      <c r="B13513" s="13" t="s">
        <v>12705</v>
      </c>
      <c r="C13513" s="14" t="s">
        <v>12854</v>
      </c>
      <c r="D13513" s="1"/>
      <c r="E13513" s="1"/>
      <c r="F13513" s="1" t="str">
        <f>IFERROR(__xludf.DUMMYFUNCTION("GOOGLETRANSLATE(B13513, ""en"", ""fa"")
"),"عکاسی و داستان سرایی تصویری")</f>
        <v>عکاسی و داستان سرایی تصویری</v>
      </c>
      <c r="G13513" s="1" t="str">
        <f>IFERROR(__xludf.DUMMYFUNCTION("GOOGLETRANSLATE(C13513, ""en"", ""fa"")
"),"مراحل ایجاد یک داستان بصری که دگرگونی یک منظره را به تصویر می کشد چیست؟")</f>
        <v>مراحل ایجاد یک داستان بصری که دگرگونی یک منظره را به تصویر می کشد چیست؟</v>
      </c>
      <c r="H13513" s="1"/>
      <c r="I13513" s="1"/>
      <c r="J13513" s="1"/>
      <c r="K13513" s="1"/>
      <c r="L13513" s="1"/>
      <c r="M13513" s="1"/>
      <c r="N13513" s="1"/>
      <c r="O13513" s="1"/>
      <c r="P13513" s="1"/>
      <c r="Q13513" s="1"/>
      <c r="R13513" s="1"/>
      <c r="S13513" s="1"/>
      <c r="T13513" s="1"/>
      <c r="U13513" s="1"/>
      <c r="V13513" s="1"/>
      <c r="W13513" s="1"/>
      <c r="X13513" s="1"/>
      <c r="Y13513" s="1"/>
      <c r="Z13513" s="1"/>
      <c r="AA13513" s="1"/>
      <c r="AB13513" s="1"/>
    </row>
    <row r="13514" ht="50.25" customHeight="1">
      <c r="A13514" s="12">
        <v>13510.0</v>
      </c>
      <c r="B13514" s="13" t="s">
        <v>12705</v>
      </c>
      <c r="C13514" s="14" t="s">
        <v>12855</v>
      </c>
      <c r="D13514" s="1"/>
      <c r="E13514" s="1"/>
      <c r="F13514" s="1" t="str">
        <f>IFERROR(__xludf.DUMMYFUNCTION("GOOGLETRANSLATE(B13514, ""en"", ""fa"")
"),"عکاسی و داستان سرایی تصویری")</f>
        <v>عکاسی و داستان سرایی تصویری</v>
      </c>
      <c r="G13514" s="1" t="str">
        <f>IFERROR(__xludf.DUMMYFUNCTION("GOOGLETRANSLATE(C13514, ""en"", ""fa"")
"),"چگونه می توانم از عکاسی صادقانه برای ثبت واقعی لحظات و احساسات استفاده کنم؟")</f>
        <v>چگونه می توانم از عکاسی صادقانه برای ثبت واقعی لحظات و احساسات استفاده کنم؟</v>
      </c>
      <c r="H13514" s="1"/>
      <c r="I13514" s="1"/>
      <c r="J13514" s="1"/>
      <c r="K13514" s="1"/>
      <c r="L13514" s="1"/>
      <c r="M13514" s="1"/>
      <c r="N13514" s="1"/>
      <c r="O13514" s="1"/>
      <c r="P13514" s="1"/>
      <c r="Q13514" s="1"/>
      <c r="R13514" s="1"/>
      <c r="S13514" s="1"/>
      <c r="T13514" s="1"/>
      <c r="U13514" s="1"/>
      <c r="V13514" s="1"/>
      <c r="W13514" s="1"/>
      <c r="X13514" s="1"/>
      <c r="Y13514" s="1"/>
      <c r="Z13514" s="1"/>
      <c r="AA13514" s="1"/>
      <c r="AB13514" s="1"/>
    </row>
    <row r="13515" ht="50.25" customHeight="1">
      <c r="A13515" s="12">
        <v>13511.0</v>
      </c>
      <c r="B13515" s="13" t="s">
        <v>12705</v>
      </c>
      <c r="C13515" s="14" t="s">
        <v>12856</v>
      </c>
      <c r="D13515" s="1"/>
      <c r="E13515" s="1"/>
      <c r="F13515" s="1" t="str">
        <f>IFERROR(__xludf.DUMMYFUNCTION("GOOGLETRANSLATE(B13515, ""en"", ""fa"")
"),"عکاسی و داستان سرایی تصویری")</f>
        <v>عکاسی و داستان سرایی تصویری</v>
      </c>
      <c r="G13515" s="1" t="str">
        <f>IFERROR(__xludf.DUMMYFUNCTION("GOOGLETRANSLATE(C13515, ""en"", ""fa"")
"),"آیا می توانید نکاتی را برای استفاده از داستان سرایی تصویری برای مستندسازی تنوع فرهنگی توصیه کنید؟")</f>
        <v>آیا می توانید نکاتی را برای استفاده از داستان سرایی تصویری برای مستندسازی تنوع فرهنگی توصیه کنید؟</v>
      </c>
      <c r="H13515" s="1"/>
      <c r="I13515" s="1"/>
      <c r="J13515" s="1"/>
      <c r="K13515" s="1"/>
      <c r="L13515" s="1"/>
      <c r="M13515" s="1"/>
      <c r="N13515" s="1"/>
      <c r="O13515" s="1"/>
      <c r="P13515" s="1"/>
      <c r="Q13515" s="1"/>
      <c r="R13515" s="1"/>
      <c r="S13515" s="1"/>
      <c r="T13515" s="1"/>
      <c r="U13515" s="1"/>
      <c r="V13515" s="1"/>
      <c r="W13515" s="1"/>
      <c r="X13515" s="1"/>
      <c r="Y13515" s="1"/>
      <c r="Z13515" s="1"/>
      <c r="AA13515" s="1"/>
      <c r="AB13515" s="1"/>
    </row>
    <row r="13516" ht="50.25" customHeight="1">
      <c r="A13516" s="12">
        <v>13512.0</v>
      </c>
      <c r="B13516" s="13" t="s">
        <v>12705</v>
      </c>
      <c r="C13516" s="14" t="s">
        <v>12857</v>
      </c>
      <c r="D13516" s="1"/>
      <c r="E13516" s="1"/>
      <c r="F13516" s="1" t="str">
        <f>IFERROR(__xludf.DUMMYFUNCTION("GOOGLETRANSLATE(B13516, ""en"", ""fa"")
"),"عکاسی و داستان سرایی تصویری")</f>
        <v>عکاسی و داستان سرایی تصویری</v>
      </c>
      <c r="G13516" s="1" t="str">
        <f>IFERROR(__xludf.DUMMYFUNCTION("GOOGLETRANSLATE(C13516, ""en"", ""fa"")
"),"بهترین روش ها برای عکاسی از هماهنگی بین انسان و حیوان چیست؟")</f>
        <v>بهترین روش ها برای عکاسی از هماهنگی بین انسان و حیوان چیست؟</v>
      </c>
      <c r="H13516" s="1"/>
      <c r="I13516" s="1"/>
      <c r="J13516" s="1"/>
      <c r="K13516" s="1"/>
      <c r="L13516" s="1"/>
      <c r="M13516" s="1"/>
      <c r="N13516" s="1"/>
      <c r="O13516" s="1"/>
      <c r="P13516" s="1"/>
      <c r="Q13516" s="1"/>
      <c r="R13516" s="1"/>
      <c r="S13516" s="1"/>
      <c r="T13516" s="1"/>
      <c r="U13516" s="1"/>
      <c r="V13516" s="1"/>
      <c r="W13516" s="1"/>
      <c r="X13516" s="1"/>
      <c r="Y13516" s="1"/>
      <c r="Z13516" s="1"/>
      <c r="AA13516" s="1"/>
      <c r="AB13516" s="1"/>
    </row>
    <row r="13517" ht="50.25" customHeight="1">
      <c r="A13517" s="12">
        <v>13513.0</v>
      </c>
      <c r="B13517" s="13" t="s">
        <v>12705</v>
      </c>
      <c r="C13517" s="14" t="s">
        <v>12858</v>
      </c>
      <c r="D13517" s="1"/>
      <c r="E13517" s="1"/>
      <c r="F13517" s="1" t="str">
        <f>IFERROR(__xludf.DUMMYFUNCTION("GOOGLETRANSLATE(B13517, ""en"", ""fa"")
"),"عکاسی و داستان سرایی تصویری")</f>
        <v>عکاسی و داستان سرایی تصویری</v>
      </c>
      <c r="G13517" s="1" t="str">
        <f>IFERROR(__xludf.DUMMYFUNCTION("GOOGLETRANSLATE(C13517, ""en"", ""fa"")
"),"چگونه می توانم یک داستان بصری ایجاد کنم که ارتباط بین افراد و محیط اطرافشان را منعکس کند؟")</f>
        <v>چگونه می توانم یک داستان بصری ایجاد کنم که ارتباط بین افراد و محیط اطرافشان را منعکس کند؟</v>
      </c>
      <c r="H13517" s="1"/>
      <c r="I13517" s="1"/>
      <c r="J13517" s="1"/>
      <c r="K13517" s="1"/>
      <c r="L13517" s="1"/>
      <c r="M13517" s="1"/>
      <c r="N13517" s="1"/>
      <c r="O13517" s="1"/>
      <c r="P13517" s="1"/>
      <c r="Q13517" s="1"/>
      <c r="R13517" s="1"/>
      <c r="S13517" s="1"/>
      <c r="T13517" s="1"/>
      <c r="U13517" s="1"/>
      <c r="V13517" s="1"/>
      <c r="W13517" s="1"/>
      <c r="X13517" s="1"/>
      <c r="Y13517" s="1"/>
      <c r="Z13517" s="1"/>
      <c r="AA13517" s="1"/>
      <c r="AB13517" s="1"/>
    </row>
    <row r="13518" ht="50.25" customHeight="1">
      <c r="A13518" s="12">
        <v>13514.0</v>
      </c>
      <c r="B13518" s="13" t="s">
        <v>12705</v>
      </c>
      <c r="C13518" s="14" t="s">
        <v>12859</v>
      </c>
      <c r="D13518" s="1"/>
      <c r="E13518" s="1"/>
      <c r="F13518" s="1" t="str">
        <f>IFERROR(__xludf.DUMMYFUNCTION("GOOGLETRANSLATE(B13518, ""en"", ""fa"")
"),"عکاسی و داستان سرایی تصویری")</f>
        <v>عکاسی و داستان سرایی تصویری</v>
      </c>
      <c r="G13518" s="1" t="str">
        <f>IFERROR(__xludf.DUMMYFUNCTION("GOOGLETRANSLATE(C13518, ""en"", ""fa"")
"),"آیا می توانید تکنیک هایی را برای استفاده از تضاد رنگ ها برای ایجاد روایت های بصری جذاب پیشنهاد کنید؟")</f>
        <v>آیا می توانید تکنیک هایی را برای استفاده از تضاد رنگ ها برای ایجاد روایت های بصری جذاب پیشنهاد کنید؟</v>
      </c>
      <c r="H13518" s="1"/>
      <c r="I13518" s="1"/>
      <c r="J13518" s="1"/>
      <c r="K13518" s="1"/>
      <c r="L13518" s="1"/>
      <c r="M13518" s="1"/>
      <c r="N13518" s="1"/>
      <c r="O13518" s="1"/>
      <c r="P13518" s="1"/>
      <c r="Q13518" s="1"/>
      <c r="R13518" s="1"/>
      <c r="S13518" s="1"/>
      <c r="T13518" s="1"/>
      <c r="U13518" s="1"/>
      <c r="V13518" s="1"/>
      <c r="W13518" s="1"/>
      <c r="X13518" s="1"/>
      <c r="Y13518" s="1"/>
      <c r="Z13518" s="1"/>
      <c r="AA13518" s="1"/>
      <c r="AB13518" s="1"/>
    </row>
    <row r="13519" ht="50.25" customHeight="1">
      <c r="A13519" s="12">
        <v>13515.0</v>
      </c>
      <c r="B13519" s="13" t="s">
        <v>12705</v>
      </c>
      <c r="C13519" s="14" t="s">
        <v>12860</v>
      </c>
      <c r="D13519" s="1"/>
      <c r="E13519" s="1"/>
      <c r="F13519" s="1" t="str">
        <f>IFERROR(__xludf.DUMMYFUNCTION("GOOGLETRANSLATE(B13519, ""en"", ""fa"")
"),"عکاسی و داستان سرایی تصویری")</f>
        <v>عکاسی و داستان سرایی تصویری</v>
      </c>
      <c r="G13519" s="1" t="str">
        <f>IFERROR(__xludf.DUMMYFUNCTION("GOOGLETRANSLATE(C13519, ""en"", ""fa"")
"),"مراحل ایجاد یک داستان تصویری که زیبایی اشکال طبیعی را برجسته می کند چیست؟")</f>
        <v>مراحل ایجاد یک داستان تصویری که زیبایی اشکال طبیعی را برجسته می کند چیست؟</v>
      </c>
      <c r="H13519" s="1"/>
      <c r="I13519" s="1"/>
      <c r="J13519" s="1"/>
      <c r="K13519" s="1"/>
      <c r="L13519" s="1"/>
      <c r="M13519" s="1"/>
      <c r="N13519" s="1"/>
      <c r="O13519" s="1"/>
      <c r="P13519" s="1"/>
      <c r="Q13519" s="1"/>
      <c r="R13519" s="1"/>
      <c r="S13519" s="1"/>
      <c r="T13519" s="1"/>
      <c r="U13519" s="1"/>
      <c r="V13519" s="1"/>
      <c r="W13519" s="1"/>
      <c r="X13519" s="1"/>
      <c r="Y13519" s="1"/>
      <c r="Z13519" s="1"/>
      <c r="AA13519" s="1"/>
      <c r="AB13519" s="1"/>
    </row>
    <row r="13520" ht="50.25" customHeight="1">
      <c r="A13520" s="12">
        <v>13516.0</v>
      </c>
      <c r="B13520" s="13" t="s">
        <v>12705</v>
      </c>
      <c r="C13520" s="14" t="s">
        <v>12861</v>
      </c>
      <c r="D13520" s="1"/>
      <c r="E13520" s="1"/>
      <c r="F13520" s="1" t="str">
        <f>IFERROR(__xludf.DUMMYFUNCTION("GOOGLETRANSLATE(B13520, ""en"", ""fa"")
"),"عکاسی و داستان سرایی تصویری")</f>
        <v>عکاسی و داستان سرایی تصویری</v>
      </c>
      <c r="G13520" s="1" t="str">
        <f>IFERROR(__xludf.DUMMYFUNCTION("GOOGLETRANSLATE(C13520, ""en"", ""fa"")
"),"چگونه می توانم از تقارن و تعادل برای انتقال حس نظم در عکس های داستان گویی استفاده کنم؟")</f>
        <v>چگونه می توانم از تقارن و تعادل برای انتقال حس نظم در عکس های داستان گویی استفاده کنم؟</v>
      </c>
      <c r="H13520" s="1"/>
      <c r="I13520" s="1"/>
      <c r="J13520" s="1"/>
      <c r="K13520" s="1"/>
      <c r="L13520" s="1"/>
      <c r="M13520" s="1"/>
      <c r="N13520" s="1"/>
      <c r="O13520" s="1"/>
      <c r="P13520" s="1"/>
      <c r="Q13520" s="1"/>
      <c r="R13520" s="1"/>
      <c r="S13520" s="1"/>
      <c r="T13520" s="1"/>
      <c r="U13520" s="1"/>
      <c r="V13520" s="1"/>
      <c r="W13520" s="1"/>
      <c r="X13520" s="1"/>
      <c r="Y13520" s="1"/>
      <c r="Z13520" s="1"/>
      <c r="AA13520" s="1"/>
      <c r="AB13520" s="1"/>
    </row>
    <row r="13521" ht="50.25" customHeight="1">
      <c r="A13521" s="12">
        <v>13517.0</v>
      </c>
      <c r="B13521" s="13" t="s">
        <v>12705</v>
      </c>
      <c r="C13521" s="14" t="s">
        <v>12862</v>
      </c>
      <c r="D13521" s="1"/>
      <c r="E13521" s="1"/>
      <c r="F13521" s="1" t="str">
        <f>IFERROR(__xludf.DUMMYFUNCTION("GOOGLETRANSLATE(B13521, ""en"", ""fa"")
"),"عکاسی و داستان سرایی تصویری")</f>
        <v>عکاسی و داستان سرایی تصویری</v>
      </c>
      <c r="G13521" s="1" t="str">
        <f>IFERROR(__xludf.DUMMYFUNCTION("GOOGLETRANSLATE(C13521, ""en"", ""fa"")
"),"آیا می توانید راهکارهایی برای عکاسی از جوهر اشکال مختلف بیان هنری توصیه کنید؟")</f>
        <v>آیا می توانید راهکارهایی برای عکاسی از جوهر اشکال مختلف بیان هنری توصیه کنید؟</v>
      </c>
      <c r="H13521" s="1"/>
      <c r="I13521" s="1"/>
      <c r="J13521" s="1"/>
      <c r="K13521" s="1"/>
      <c r="L13521" s="1"/>
      <c r="M13521" s="1"/>
      <c r="N13521" s="1"/>
      <c r="O13521" s="1"/>
      <c r="P13521" s="1"/>
      <c r="Q13521" s="1"/>
      <c r="R13521" s="1"/>
      <c r="S13521" s="1"/>
      <c r="T13521" s="1"/>
      <c r="U13521" s="1"/>
      <c r="V13521" s="1"/>
      <c r="W13521" s="1"/>
      <c r="X13521" s="1"/>
      <c r="Y13521" s="1"/>
      <c r="Z13521" s="1"/>
      <c r="AA13521" s="1"/>
      <c r="AB13521" s="1"/>
    </row>
    <row r="13522" ht="50.25" customHeight="1">
      <c r="A13522" s="12">
        <v>13518.0</v>
      </c>
      <c r="B13522" s="13" t="s">
        <v>12705</v>
      </c>
      <c r="C13522" s="14" t="s">
        <v>12863</v>
      </c>
      <c r="D13522" s="1"/>
      <c r="E13522" s="1"/>
      <c r="F13522" s="1" t="str">
        <f>IFERROR(__xludf.DUMMYFUNCTION("GOOGLETRANSLATE(B13522, ""en"", ""fa"")
"),"عکاسی و داستان سرایی تصویری")</f>
        <v>عکاسی و داستان سرایی تصویری</v>
      </c>
      <c r="G13522" s="1" t="str">
        <f>IFERROR(__xludf.DUMMYFUNCTION("GOOGLETRANSLATE(C13522, ""en"", ""fa"")
"),"بهترین تکنیک ها برای استفاده از فضای منفی برای تاکید بر داستان سوژه چیست؟")</f>
        <v>بهترین تکنیک ها برای استفاده از فضای منفی برای تاکید بر داستان سوژه چیست؟</v>
      </c>
      <c r="H13522" s="1"/>
      <c r="I13522" s="1"/>
      <c r="J13522" s="1"/>
      <c r="K13522" s="1"/>
      <c r="L13522" s="1"/>
      <c r="M13522" s="1"/>
      <c r="N13522" s="1"/>
      <c r="O13522" s="1"/>
      <c r="P13522" s="1"/>
      <c r="Q13522" s="1"/>
      <c r="R13522" s="1"/>
      <c r="S13522" s="1"/>
      <c r="T13522" s="1"/>
      <c r="U13522" s="1"/>
      <c r="V13522" s="1"/>
      <c r="W13522" s="1"/>
      <c r="X13522" s="1"/>
      <c r="Y13522" s="1"/>
      <c r="Z13522" s="1"/>
      <c r="AA13522" s="1"/>
      <c r="AB13522" s="1"/>
    </row>
    <row r="13523" ht="50.25" customHeight="1">
      <c r="A13523" s="12">
        <v>13519.0</v>
      </c>
      <c r="B13523" s="13" t="s">
        <v>12705</v>
      </c>
      <c r="C13523" s="14" t="s">
        <v>12864</v>
      </c>
      <c r="D13523" s="1"/>
      <c r="E13523" s="1"/>
      <c r="F13523" s="1" t="str">
        <f>IFERROR(__xludf.DUMMYFUNCTION("GOOGLETRANSLATE(B13523, ""en"", ""fa"")
"),"عکاسی و داستان سرایی تصویری")</f>
        <v>عکاسی و داستان سرایی تصویری</v>
      </c>
      <c r="G13523" s="1" t="str">
        <f>IFERROR(__xludf.DUMMYFUNCTION("GOOGLETRANSLATE(C13523, ""en"", ""fa"")
"),"چگونه می توانم یک داستان بصری ایجاد کنم که مفهوم احساسات و عبارات انسانی را بررسی کند؟")</f>
        <v>چگونه می توانم یک داستان بصری ایجاد کنم که مفهوم احساسات و عبارات انسانی را بررسی کند؟</v>
      </c>
      <c r="H13523" s="1"/>
      <c r="I13523" s="1"/>
      <c r="J13523" s="1"/>
      <c r="K13523" s="1"/>
      <c r="L13523" s="1"/>
      <c r="M13523" s="1"/>
      <c r="N13523" s="1"/>
      <c r="O13523" s="1"/>
      <c r="P13523" s="1"/>
      <c r="Q13523" s="1"/>
      <c r="R13523" s="1"/>
      <c r="S13523" s="1"/>
      <c r="T13523" s="1"/>
      <c r="U13523" s="1"/>
      <c r="V13523" s="1"/>
      <c r="W13523" s="1"/>
      <c r="X13523" s="1"/>
      <c r="Y13523" s="1"/>
      <c r="Z13523" s="1"/>
      <c r="AA13523" s="1"/>
      <c r="AB13523" s="1"/>
    </row>
    <row r="13524" ht="50.25" customHeight="1">
      <c r="A13524" s="12">
        <v>13520.0</v>
      </c>
      <c r="B13524" s="13" t="s">
        <v>12705</v>
      </c>
      <c r="C13524" s="14" t="s">
        <v>12865</v>
      </c>
      <c r="D13524" s="1"/>
      <c r="E13524" s="1"/>
      <c r="F13524" s="1" t="str">
        <f>IFERROR(__xludf.DUMMYFUNCTION("GOOGLETRANSLATE(B13524, ""en"", ""fa"")
"),"عکاسی و داستان سرایی تصویری")</f>
        <v>عکاسی و داستان سرایی تصویری</v>
      </c>
      <c r="G13524" s="1" t="str">
        <f>IFERROR(__xludf.DUMMYFUNCTION("GOOGLETRANSLATE(C13524, ""en"", ""fa"")
"),"آیا می توانید راه هایی را برای استفاده از داستان سرایی تصویری برای روشن کردن جوامع به حاشیه رانده شده پیشنهاد کنید؟")</f>
        <v>آیا می توانید راه هایی را برای استفاده از داستان سرایی تصویری برای روشن کردن جوامع به حاشیه رانده شده پیشنهاد کنید؟</v>
      </c>
      <c r="H13524" s="1"/>
      <c r="I13524" s="1"/>
      <c r="J13524" s="1"/>
      <c r="K13524" s="1"/>
      <c r="L13524" s="1"/>
      <c r="M13524" s="1"/>
      <c r="N13524" s="1"/>
      <c r="O13524" s="1"/>
      <c r="P13524" s="1"/>
      <c r="Q13524" s="1"/>
      <c r="R13524" s="1"/>
      <c r="S13524" s="1"/>
      <c r="T13524" s="1"/>
      <c r="U13524" s="1"/>
      <c r="V13524" s="1"/>
      <c r="W13524" s="1"/>
      <c r="X13524" s="1"/>
      <c r="Y13524" s="1"/>
      <c r="Z13524" s="1"/>
      <c r="AA13524" s="1"/>
      <c r="AB13524" s="1"/>
    </row>
    <row r="13525" ht="50.25" customHeight="1">
      <c r="A13525" s="12">
        <v>13521.0</v>
      </c>
      <c r="B13525" s="13" t="s">
        <v>12705</v>
      </c>
      <c r="C13525" s="14" t="s">
        <v>12866</v>
      </c>
      <c r="D13525" s="1"/>
      <c r="E13525" s="1"/>
      <c r="F13525" s="1" t="str">
        <f>IFERROR(__xludf.DUMMYFUNCTION("GOOGLETRANSLATE(B13525, ""en"", ""fa"")
"),"عکاسی و داستان سرایی تصویری")</f>
        <v>عکاسی و داستان سرایی تصویری</v>
      </c>
      <c r="G13525" s="1" t="str">
        <f>IFERROR(__xludf.DUMMYFUNCTION("GOOGLETRANSLATE(C13525, ""en"", ""fa"")
"),"مراحل ایجاد یک داستان بصری که پیوندها و پیوندهای دوستی را جشن می گیرد چیست؟")</f>
        <v>مراحل ایجاد یک داستان بصری که پیوندها و پیوندهای دوستی را جشن می گیرد چیست؟</v>
      </c>
      <c r="H13525" s="1"/>
      <c r="I13525" s="1"/>
      <c r="J13525" s="1"/>
      <c r="K13525" s="1"/>
      <c r="L13525" s="1"/>
      <c r="M13525" s="1"/>
      <c r="N13525" s="1"/>
      <c r="O13525" s="1"/>
      <c r="P13525" s="1"/>
      <c r="Q13525" s="1"/>
      <c r="R13525" s="1"/>
      <c r="S13525" s="1"/>
      <c r="T13525" s="1"/>
      <c r="U13525" s="1"/>
      <c r="V13525" s="1"/>
      <c r="W13525" s="1"/>
      <c r="X13525" s="1"/>
      <c r="Y13525" s="1"/>
      <c r="Z13525" s="1"/>
      <c r="AA13525" s="1"/>
      <c r="AB13525" s="1"/>
    </row>
    <row r="13526" ht="50.25" customHeight="1">
      <c r="A13526" s="12">
        <v>13522.0</v>
      </c>
      <c r="B13526" s="13" t="s">
        <v>12705</v>
      </c>
      <c r="C13526" s="14" t="s">
        <v>12867</v>
      </c>
      <c r="D13526" s="1"/>
      <c r="E13526" s="1"/>
      <c r="F13526" s="1" t="str">
        <f>IFERROR(__xludf.DUMMYFUNCTION("GOOGLETRANSLATE(B13526, ""en"", ""fa"")
"),"عکاسی و داستان سرایی تصویری")</f>
        <v>عکاسی و داستان سرایی تصویری</v>
      </c>
      <c r="G13526" s="1" t="str">
        <f>IFERROR(__xludf.DUMMYFUNCTION("GOOGLETRANSLATE(C13526, ""en"", ""fa"")
"),"چگونه می توانم از نقاشی نور استفاده کنم تا کیفیتی جادویی و سورئال به عکس های داستان سرایی خود اضافه کنم؟")</f>
        <v>چگونه می توانم از نقاشی نور استفاده کنم تا کیفیتی جادویی و سورئال به عکس های داستان سرایی خود اضافه کنم؟</v>
      </c>
      <c r="H13526" s="1"/>
      <c r="I13526" s="1"/>
      <c r="J13526" s="1"/>
      <c r="K13526" s="1"/>
      <c r="L13526" s="1"/>
      <c r="M13526" s="1"/>
      <c r="N13526" s="1"/>
      <c r="O13526" s="1"/>
      <c r="P13526" s="1"/>
      <c r="Q13526" s="1"/>
      <c r="R13526" s="1"/>
      <c r="S13526" s="1"/>
      <c r="T13526" s="1"/>
      <c r="U13526" s="1"/>
      <c r="V13526" s="1"/>
      <c r="W13526" s="1"/>
      <c r="X13526" s="1"/>
      <c r="Y13526" s="1"/>
      <c r="Z13526" s="1"/>
      <c r="AA13526" s="1"/>
      <c r="AB13526" s="1"/>
    </row>
    <row r="13527" ht="50.25" customHeight="1">
      <c r="A13527" s="12">
        <v>13523.0</v>
      </c>
      <c r="B13527" s="13" t="s">
        <v>12705</v>
      </c>
      <c r="C13527" s="14" t="s">
        <v>12868</v>
      </c>
      <c r="D13527" s="1"/>
      <c r="E13527" s="1"/>
      <c r="F13527" s="1" t="str">
        <f>IFERROR(__xludf.DUMMYFUNCTION("GOOGLETRANSLATE(B13527, ""en"", ""fa"")
"),"عکاسی و داستان سرایی تصویری")</f>
        <v>عکاسی و داستان سرایی تصویری</v>
      </c>
      <c r="G13527" s="1" t="str">
        <f>IFERROR(__xludf.DUMMYFUNCTION("GOOGLETRANSLATE(C13527, ""en"", ""fa"")
"),"آیا می توانید نکاتی را برای استفاده از داستان سرایی تصویری برای به تصویر کشیدن زیبایی سنت های فرهنگی توصیه کنید؟")</f>
        <v>آیا می توانید نکاتی را برای استفاده از داستان سرایی تصویری برای به تصویر کشیدن زیبایی سنت های فرهنگی توصیه کنید؟</v>
      </c>
      <c r="H13527" s="1"/>
      <c r="I13527" s="1"/>
      <c r="J13527" s="1"/>
      <c r="K13527" s="1"/>
      <c r="L13527" s="1"/>
      <c r="M13527" s="1"/>
      <c r="N13527" s="1"/>
      <c r="O13527" s="1"/>
      <c r="P13527" s="1"/>
      <c r="Q13527" s="1"/>
      <c r="R13527" s="1"/>
      <c r="S13527" s="1"/>
      <c r="T13527" s="1"/>
      <c r="U13527" s="1"/>
      <c r="V13527" s="1"/>
      <c r="W13527" s="1"/>
      <c r="X13527" s="1"/>
      <c r="Y13527" s="1"/>
      <c r="Z13527" s="1"/>
      <c r="AA13527" s="1"/>
      <c r="AB13527" s="1"/>
    </row>
    <row r="13528" ht="50.25" customHeight="1">
      <c r="A13528" s="12">
        <v>13524.0</v>
      </c>
      <c r="B13528" s="13" t="s">
        <v>12705</v>
      </c>
      <c r="C13528" s="14" t="s">
        <v>12869</v>
      </c>
      <c r="D13528" s="1"/>
      <c r="E13528" s="1"/>
      <c r="F13528" s="1" t="str">
        <f>IFERROR(__xludf.DUMMYFUNCTION("GOOGLETRANSLATE(B13528, ""en"", ""fa"")
"),"عکاسی و داستان سرایی تصویری")</f>
        <v>عکاسی و داستان سرایی تصویری</v>
      </c>
      <c r="G13528" s="1" t="str">
        <f>IFERROR(__xludf.DUMMYFUNCTION("GOOGLETRANSLATE(C13528, ""en"", ""fa"")
"),"بهترین روش ها برای عکاسی از تعامل بین نور و سایه چیست؟")</f>
        <v>بهترین روش ها برای عکاسی از تعامل بین نور و سایه چیست؟</v>
      </c>
      <c r="H13528" s="1"/>
      <c r="I13528" s="1"/>
      <c r="J13528" s="1"/>
      <c r="K13528" s="1"/>
      <c r="L13528" s="1"/>
      <c r="M13528" s="1"/>
      <c r="N13528" s="1"/>
      <c r="O13528" s="1"/>
      <c r="P13528" s="1"/>
      <c r="Q13528" s="1"/>
      <c r="R13528" s="1"/>
      <c r="S13528" s="1"/>
      <c r="T13528" s="1"/>
      <c r="U13528" s="1"/>
      <c r="V13528" s="1"/>
      <c r="W13528" s="1"/>
      <c r="X13528" s="1"/>
      <c r="Y13528" s="1"/>
      <c r="Z13528" s="1"/>
      <c r="AA13528" s="1"/>
      <c r="AB13528" s="1"/>
    </row>
    <row r="13529" ht="50.25" customHeight="1">
      <c r="A13529" s="12">
        <v>13525.0</v>
      </c>
      <c r="B13529" s="13" t="s">
        <v>12705</v>
      </c>
      <c r="C13529" s="14" t="s">
        <v>12870</v>
      </c>
      <c r="D13529" s="1"/>
      <c r="E13529" s="1"/>
      <c r="F13529" s="1" t="str">
        <f>IFERROR(__xludf.DUMMYFUNCTION("GOOGLETRANSLATE(B13529, ""en"", ""fa"")
"),"عکاسی و داستان سرایی تصویری")</f>
        <v>عکاسی و داستان سرایی تصویری</v>
      </c>
      <c r="G13529" s="1" t="str">
        <f>IFERROR(__xludf.DUMMYFUNCTION("GOOGLETRANSLATE(C13529, ""en"", ""fa"")
"),"چگونه می توانم یک داستان تصویری بسازم که گذر زمان را در محیط های شهری به تصویر بکشد؟")</f>
        <v>چگونه می توانم یک داستان تصویری بسازم که گذر زمان را در محیط های شهری به تصویر بکشد؟</v>
      </c>
      <c r="H13529" s="1"/>
      <c r="I13529" s="1"/>
      <c r="J13529" s="1"/>
      <c r="K13529" s="1"/>
      <c r="L13529" s="1"/>
      <c r="M13529" s="1"/>
      <c r="N13529" s="1"/>
      <c r="O13529" s="1"/>
      <c r="P13529" s="1"/>
      <c r="Q13529" s="1"/>
      <c r="R13529" s="1"/>
      <c r="S13529" s="1"/>
      <c r="T13529" s="1"/>
      <c r="U13529" s="1"/>
      <c r="V13529" s="1"/>
      <c r="W13529" s="1"/>
      <c r="X13529" s="1"/>
      <c r="Y13529" s="1"/>
      <c r="Z13529" s="1"/>
      <c r="AA13529" s="1"/>
      <c r="AB13529" s="1"/>
    </row>
    <row r="13530" ht="50.25" customHeight="1">
      <c r="A13530" s="12">
        <v>13526.0</v>
      </c>
      <c r="B13530" s="13" t="s">
        <v>12705</v>
      </c>
      <c r="C13530" s="14" t="s">
        <v>12871</v>
      </c>
      <c r="D13530" s="1"/>
      <c r="E13530" s="1"/>
      <c r="F13530" s="1" t="str">
        <f>IFERROR(__xludf.DUMMYFUNCTION("GOOGLETRANSLATE(B13530, ""en"", ""fa"")
"),"عکاسی و داستان سرایی تصویری")</f>
        <v>عکاسی و داستان سرایی تصویری</v>
      </c>
      <c r="G13530" s="1" t="str">
        <f>IFERROR(__xludf.DUMMYFUNCTION("GOOGLETRANSLATE(C13530, ""en"", ""fa"")
"),"آیا می توانید تکنیک هایی را برای استفاده از استعاره های بصری برای انتقال پیام های اجتماعی و سیاسی پیشنهاد دهید؟")</f>
        <v>آیا می توانید تکنیک هایی را برای استفاده از استعاره های بصری برای انتقال پیام های اجتماعی و سیاسی پیشنهاد دهید؟</v>
      </c>
      <c r="H13530" s="1"/>
      <c r="I13530" s="1"/>
      <c r="J13530" s="1"/>
      <c r="K13530" s="1"/>
      <c r="L13530" s="1"/>
      <c r="M13530" s="1"/>
      <c r="N13530" s="1"/>
      <c r="O13530" s="1"/>
      <c r="P13530" s="1"/>
      <c r="Q13530" s="1"/>
      <c r="R13530" s="1"/>
      <c r="S13530" s="1"/>
      <c r="T13530" s="1"/>
      <c r="U13530" s="1"/>
      <c r="V13530" s="1"/>
      <c r="W13530" s="1"/>
      <c r="X13530" s="1"/>
      <c r="Y13530" s="1"/>
      <c r="Z13530" s="1"/>
      <c r="AA13530" s="1"/>
      <c r="AB13530" s="1"/>
    </row>
    <row r="13531" ht="50.25" customHeight="1">
      <c r="A13531" s="12">
        <v>13527.0</v>
      </c>
      <c r="B13531" s="13" t="s">
        <v>12705</v>
      </c>
      <c r="C13531" s="14" t="s">
        <v>12872</v>
      </c>
      <c r="D13531" s="1"/>
      <c r="E13531" s="1"/>
      <c r="F13531" s="1" t="str">
        <f>IFERROR(__xludf.DUMMYFUNCTION("GOOGLETRANSLATE(B13531, ""en"", ""fa"")
"),"عکاسی و داستان سرایی تصویری")</f>
        <v>عکاسی و داستان سرایی تصویری</v>
      </c>
      <c r="G13531" s="1" t="str">
        <f>IFERROR(__xludf.DUMMYFUNCTION("GOOGLETRANSLATE(C13531, ""en"", ""fa"")
"),"مراحل ایجاد یک داستان بصری که منعکس کننده انعطاف پذیری جوامع بومی باشد چیست؟")</f>
        <v>مراحل ایجاد یک داستان بصری که منعکس کننده انعطاف پذیری جوامع بومی باشد چیست؟</v>
      </c>
      <c r="H13531" s="1"/>
      <c r="I13531" s="1"/>
      <c r="J13531" s="1"/>
      <c r="K13531" s="1"/>
      <c r="L13531" s="1"/>
      <c r="M13531" s="1"/>
      <c r="N13531" s="1"/>
      <c r="O13531" s="1"/>
      <c r="P13531" s="1"/>
      <c r="Q13531" s="1"/>
      <c r="R13531" s="1"/>
      <c r="S13531" s="1"/>
      <c r="T13531" s="1"/>
      <c r="U13531" s="1"/>
      <c r="V13531" s="1"/>
      <c r="W13531" s="1"/>
      <c r="X13531" s="1"/>
      <c r="Y13531" s="1"/>
      <c r="Z13531" s="1"/>
      <c r="AA13531" s="1"/>
      <c r="AB13531" s="1"/>
    </row>
    <row r="13532" ht="50.25" customHeight="1">
      <c r="A13532" s="12">
        <v>13528.0</v>
      </c>
      <c r="B13532" s="13" t="s">
        <v>12705</v>
      </c>
      <c r="C13532" s="14" t="s">
        <v>12873</v>
      </c>
      <c r="D13532" s="1"/>
      <c r="E13532" s="1"/>
      <c r="F13532" s="1" t="str">
        <f>IFERROR(__xludf.DUMMYFUNCTION("GOOGLETRANSLATE(B13532, ""en"", ""fa"")
"),"عکاسی و داستان سرایی تصویری")</f>
        <v>عکاسی و داستان سرایی تصویری</v>
      </c>
      <c r="G13532" s="1" t="str">
        <f>IFERROR(__xludf.DUMMYFUNCTION("GOOGLETRANSLATE(C13532, ""en"", ""fa"")
"),"چگونه می توانم از حرکت و تاری برای انتقال ماهیت پویای زندگی شهری در عکس هایم استفاده کنم؟")</f>
        <v>چگونه می توانم از حرکت و تاری برای انتقال ماهیت پویای زندگی شهری در عکس هایم استفاده کنم؟</v>
      </c>
      <c r="H13532" s="1"/>
      <c r="I13532" s="1"/>
      <c r="J13532" s="1"/>
      <c r="K13532" s="1"/>
      <c r="L13532" s="1"/>
      <c r="M13532" s="1"/>
      <c r="N13532" s="1"/>
      <c r="O13532" s="1"/>
      <c r="P13532" s="1"/>
      <c r="Q13532" s="1"/>
      <c r="R13532" s="1"/>
      <c r="S13532" s="1"/>
      <c r="T13532" s="1"/>
      <c r="U13532" s="1"/>
      <c r="V13532" s="1"/>
      <c r="W13532" s="1"/>
      <c r="X13532" s="1"/>
      <c r="Y13532" s="1"/>
      <c r="Z13532" s="1"/>
      <c r="AA13532" s="1"/>
      <c r="AB13532" s="1"/>
    </row>
    <row r="13533" ht="50.25" customHeight="1">
      <c r="A13533" s="12">
        <v>13529.0</v>
      </c>
      <c r="B13533" s="13" t="s">
        <v>12705</v>
      </c>
      <c r="C13533" s="14" t="s">
        <v>12874</v>
      </c>
      <c r="D13533" s="1"/>
      <c r="E13533" s="1"/>
      <c r="F13533" s="1" t="str">
        <f>IFERROR(__xludf.DUMMYFUNCTION("GOOGLETRANSLATE(B13533, ""en"", ""fa"")
"),"عکاسی و داستان سرایی تصویری")</f>
        <v>عکاسی و داستان سرایی تصویری</v>
      </c>
      <c r="G13533" s="1" t="str">
        <f>IFERROR(__xludf.DUMMYFUNCTION("GOOGLETRANSLATE(C13533, ""en"", ""fa"")
"),"آیا می توانید راهکارهایی برای عکاسی از تعاملات و روابط حیوانات توصیه کنید؟")</f>
        <v>آیا می توانید راهکارهایی برای عکاسی از تعاملات و روابط حیوانات توصیه کنید؟</v>
      </c>
      <c r="H13533" s="1"/>
      <c r="I13533" s="1"/>
      <c r="J13533" s="1"/>
      <c r="K13533" s="1"/>
      <c r="L13533" s="1"/>
      <c r="M13533" s="1"/>
      <c r="N13533" s="1"/>
      <c r="O13533" s="1"/>
      <c r="P13533" s="1"/>
      <c r="Q13533" s="1"/>
      <c r="R13533" s="1"/>
      <c r="S13533" s="1"/>
      <c r="T13533" s="1"/>
      <c r="U13533" s="1"/>
      <c r="V13533" s="1"/>
      <c r="W13533" s="1"/>
      <c r="X13533" s="1"/>
      <c r="Y13533" s="1"/>
      <c r="Z13533" s="1"/>
      <c r="AA13533" s="1"/>
      <c r="AB13533" s="1"/>
    </row>
    <row r="13534" ht="50.25" customHeight="1">
      <c r="A13534" s="12">
        <v>13530.0</v>
      </c>
      <c r="B13534" s="13" t="s">
        <v>12705</v>
      </c>
      <c r="C13534" s="14" t="s">
        <v>12875</v>
      </c>
      <c r="D13534" s="1"/>
      <c r="E13534" s="1"/>
      <c r="F13534" s="1" t="str">
        <f>IFERROR(__xludf.DUMMYFUNCTION("GOOGLETRANSLATE(B13534, ""en"", ""fa"")
"),"عکاسی و داستان سرایی تصویری")</f>
        <v>عکاسی و داستان سرایی تصویری</v>
      </c>
      <c r="G13534" s="1" t="str">
        <f>IFERROR(__xludf.DUMMYFUNCTION("GOOGLETRANSLATE(C13534, ""en"", ""fa"")
"),"بهترین تکنیک ها برای استفاده از داستان سرایی تصویری برای انتقال رشد و تغییر شخصی چیست؟")</f>
        <v>بهترین تکنیک ها برای استفاده از داستان سرایی تصویری برای انتقال رشد و تغییر شخصی چیست؟</v>
      </c>
      <c r="H13534" s="1"/>
      <c r="I13534" s="1"/>
      <c r="J13534" s="1"/>
      <c r="K13534" s="1"/>
      <c r="L13534" s="1"/>
      <c r="M13534" s="1"/>
      <c r="N13534" s="1"/>
      <c r="O13534" s="1"/>
      <c r="P13534" s="1"/>
      <c r="Q13534" s="1"/>
      <c r="R13534" s="1"/>
      <c r="S13534" s="1"/>
      <c r="T13534" s="1"/>
      <c r="U13534" s="1"/>
      <c r="V13534" s="1"/>
      <c r="W13534" s="1"/>
      <c r="X13534" s="1"/>
      <c r="Y13534" s="1"/>
      <c r="Z13534" s="1"/>
      <c r="AA13534" s="1"/>
      <c r="AB13534" s="1"/>
    </row>
    <row r="13535" ht="50.25" customHeight="1">
      <c r="A13535" s="12">
        <v>13531.0</v>
      </c>
      <c r="B13535" s="13" t="s">
        <v>12705</v>
      </c>
      <c r="C13535" s="14" t="s">
        <v>12876</v>
      </c>
      <c r="D13535" s="1"/>
      <c r="E13535" s="1"/>
      <c r="F13535" s="1" t="str">
        <f>IFERROR(__xludf.DUMMYFUNCTION("GOOGLETRANSLATE(B13535, ""en"", ""fa"")
"),"عکاسی و داستان سرایی تصویری")</f>
        <v>عکاسی و داستان سرایی تصویری</v>
      </c>
      <c r="G13535" s="1" t="str">
        <f>IFERROR(__xludf.DUMMYFUNCTION("GOOGLETRANSLATE(C13535, ""en"", ""fa"")
"),"چگونه می توانم یک داستان تصویری بسازم که جوهر یک جشن یا جشنواره فرهنگی را به تصویر بکشد؟")</f>
        <v>چگونه می توانم یک داستان تصویری بسازم که جوهر یک جشن یا جشنواره فرهنگی را به تصویر بکشد؟</v>
      </c>
      <c r="H13535" s="1"/>
      <c r="I13535" s="1"/>
      <c r="J13535" s="1"/>
      <c r="K13535" s="1"/>
      <c r="L13535" s="1"/>
      <c r="M13535" s="1"/>
      <c r="N13535" s="1"/>
      <c r="O13535" s="1"/>
      <c r="P13535" s="1"/>
      <c r="Q13535" s="1"/>
      <c r="R13535" s="1"/>
      <c r="S13535" s="1"/>
      <c r="T13535" s="1"/>
      <c r="U13535" s="1"/>
      <c r="V13535" s="1"/>
      <c r="W13535" s="1"/>
      <c r="X13535" s="1"/>
      <c r="Y13535" s="1"/>
      <c r="Z13535" s="1"/>
      <c r="AA13535" s="1"/>
      <c r="AB13535" s="1"/>
    </row>
    <row r="13536" ht="50.25" customHeight="1">
      <c r="A13536" s="12">
        <v>13532.0</v>
      </c>
      <c r="B13536" s="13" t="s">
        <v>12705</v>
      </c>
      <c r="C13536" s="14" t="s">
        <v>12877</v>
      </c>
      <c r="D13536" s="1"/>
      <c r="E13536" s="1"/>
      <c r="F13536" s="1" t="str">
        <f>IFERROR(__xludf.DUMMYFUNCTION("GOOGLETRANSLATE(B13536, ""en"", ""fa"")
"),"عکاسی و داستان سرایی تصویری")</f>
        <v>عکاسی و داستان سرایی تصویری</v>
      </c>
      <c r="G13536" s="1" t="str">
        <f>IFERROR(__xludf.DUMMYFUNCTION("GOOGLETRANSLATE(C13536, ""en"", ""fa"")
"),"آیا می توانید راه هایی را برای استفاده از نمادهای رنگی برای انتقال احساسات و مضامین یک داستان پیشنهاد دهید؟")</f>
        <v>آیا می توانید راه هایی را برای استفاده از نمادهای رنگی برای انتقال احساسات و مضامین یک داستان پیشنهاد دهید؟</v>
      </c>
      <c r="H13536" s="1"/>
      <c r="I13536" s="1"/>
      <c r="J13536" s="1"/>
      <c r="K13536" s="1"/>
      <c r="L13536" s="1"/>
      <c r="M13536" s="1"/>
      <c r="N13536" s="1"/>
      <c r="O13536" s="1"/>
      <c r="P13536" s="1"/>
      <c r="Q13536" s="1"/>
      <c r="R13536" s="1"/>
      <c r="S13536" s="1"/>
      <c r="T13536" s="1"/>
      <c r="U13536" s="1"/>
      <c r="V13536" s="1"/>
      <c r="W13536" s="1"/>
      <c r="X13536" s="1"/>
      <c r="Y13536" s="1"/>
      <c r="Z13536" s="1"/>
      <c r="AA13536" s="1"/>
      <c r="AB13536" s="1"/>
    </row>
    <row r="13537" ht="50.25" customHeight="1">
      <c r="A13537" s="12">
        <v>13533.0</v>
      </c>
      <c r="B13537" s="13" t="s">
        <v>12705</v>
      </c>
      <c r="C13537" s="14" t="s">
        <v>12878</v>
      </c>
      <c r="D13537" s="1"/>
      <c r="E13537" s="1"/>
      <c r="F13537" s="1" t="str">
        <f>IFERROR(__xludf.DUMMYFUNCTION("GOOGLETRANSLATE(B13537, ""en"", ""fa"")
"),"عکاسی و داستان سرایی تصویری")</f>
        <v>عکاسی و داستان سرایی تصویری</v>
      </c>
      <c r="G13537" s="1" t="str">
        <f>IFERROR(__xludf.DUMMYFUNCTION("GOOGLETRANSLATE(C13537, ""en"", ""fa"")
"),"مراحل ایجاد یک داستان تصویری که به مستندات روزمره و مناسک مردم می پردازد چیست؟")</f>
        <v>مراحل ایجاد یک داستان تصویری که به مستندات روزمره و مناسک مردم می پردازد چیست؟</v>
      </c>
      <c r="H13537" s="1"/>
      <c r="I13537" s="1"/>
      <c r="J13537" s="1"/>
      <c r="K13537" s="1"/>
      <c r="L13537" s="1"/>
      <c r="M13537" s="1"/>
      <c r="N13537" s="1"/>
      <c r="O13537" s="1"/>
      <c r="P13537" s="1"/>
      <c r="Q13537" s="1"/>
      <c r="R13537" s="1"/>
      <c r="S13537" s="1"/>
      <c r="T13537" s="1"/>
      <c r="U13537" s="1"/>
      <c r="V13537" s="1"/>
      <c r="W13537" s="1"/>
      <c r="X13537" s="1"/>
      <c r="Y13537" s="1"/>
      <c r="Z13537" s="1"/>
      <c r="AA13537" s="1"/>
      <c r="AB13537" s="1"/>
    </row>
    <row r="13538" ht="50.25" customHeight="1">
      <c r="A13538" s="12">
        <v>13534.0</v>
      </c>
      <c r="B13538" s="13" t="s">
        <v>12705</v>
      </c>
      <c r="C13538" s="14" t="s">
        <v>12879</v>
      </c>
      <c r="D13538" s="1"/>
      <c r="E13538" s="1"/>
      <c r="F13538" s="1" t="str">
        <f>IFERROR(__xludf.DUMMYFUNCTION("GOOGLETRANSLATE(B13538, ""en"", ""fa"")
"),"عکاسی و داستان سرایی تصویری")</f>
        <v>عکاسی و داستان سرایی تصویری</v>
      </c>
      <c r="G13538" s="1" t="str">
        <f>IFERROR(__xludf.DUMMYFUNCTION("GOOGLETRANSLATE(C13538, ""en"", ""fa"")
"),"چگونه می توانم از کنار هم قرار گرفتن بصری برای ایجاد عکس های داستانی تفکر برانگیز استفاده کنم؟")</f>
        <v>چگونه می توانم از کنار هم قرار گرفتن بصری برای ایجاد عکس های داستانی تفکر برانگیز استفاده کنم؟</v>
      </c>
      <c r="H13538" s="1"/>
      <c r="I13538" s="1"/>
      <c r="J13538" s="1"/>
      <c r="K13538" s="1"/>
      <c r="L13538" s="1"/>
      <c r="M13538" s="1"/>
      <c r="N13538" s="1"/>
      <c r="O13538" s="1"/>
      <c r="P13538" s="1"/>
      <c r="Q13538" s="1"/>
      <c r="R13538" s="1"/>
      <c r="S13538" s="1"/>
      <c r="T13538" s="1"/>
      <c r="U13538" s="1"/>
      <c r="V13538" s="1"/>
      <c r="W13538" s="1"/>
      <c r="X13538" s="1"/>
      <c r="Y13538" s="1"/>
      <c r="Z13538" s="1"/>
      <c r="AA13538" s="1"/>
      <c r="AB13538" s="1"/>
    </row>
    <row r="13539" ht="50.25" customHeight="1">
      <c r="A13539" s="12">
        <v>13535.0</v>
      </c>
      <c r="B13539" s="13" t="s">
        <v>12705</v>
      </c>
      <c r="C13539" s="14" t="s">
        <v>12880</v>
      </c>
      <c r="D13539" s="1"/>
      <c r="E13539" s="1"/>
      <c r="F13539" s="1" t="str">
        <f>IFERROR(__xludf.DUMMYFUNCTION("GOOGLETRANSLATE(B13539, ""en"", ""fa"")
"),"عکاسی و داستان سرایی تصویری")</f>
        <v>عکاسی و داستان سرایی تصویری</v>
      </c>
      <c r="G13539" s="1" t="str">
        <f>IFERROR(__xludf.DUMMYFUNCTION("GOOGLETRANSLATE(C13539, ""en"", ""fa"")
"),"آیا می توانید نکاتی را برای استفاده از سایه ها و سیلوئت ها برای عمق بخشیدن به روایت های بصری توصیه کنید؟")</f>
        <v>آیا می توانید نکاتی را برای استفاده از سایه ها و سیلوئت ها برای عمق بخشیدن به روایت های بصری توصیه کنید؟</v>
      </c>
      <c r="H13539" s="1"/>
      <c r="I13539" s="1"/>
      <c r="J13539" s="1"/>
      <c r="K13539" s="1"/>
      <c r="L13539" s="1"/>
      <c r="M13539" s="1"/>
      <c r="N13539" s="1"/>
      <c r="O13539" s="1"/>
      <c r="P13539" s="1"/>
      <c r="Q13539" s="1"/>
      <c r="R13539" s="1"/>
      <c r="S13539" s="1"/>
      <c r="T13539" s="1"/>
      <c r="U13539" s="1"/>
      <c r="V13539" s="1"/>
      <c r="W13539" s="1"/>
      <c r="X13539" s="1"/>
      <c r="Y13539" s="1"/>
      <c r="Z13539" s="1"/>
      <c r="AA13539" s="1"/>
      <c r="AB13539" s="1"/>
    </row>
    <row r="13540" ht="50.25" customHeight="1">
      <c r="A13540" s="12">
        <v>13536.0</v>
      </c>
      <c r="B13540" s="13" t="s">
        <v>12705</v>
      </c>
      <c r="C13540" s="14" t="s">
        <v>12881</v>
      </c>
      <c r="D13540" s="1"/>
      <c r="E13540" s="1"/>
      <c r="F13540" s="1" t="str">
        <f>IFERROR(__xludf.DUMMYFUNCTION("GOOGLETRANSLATE(B13540, ""en"", ""fa"")
"),"عکاسی و داستان سرایی تصویری")</f>
        <v>عکاسی و داستان سرایی تصویری</v>
      </c>
      <c r="G13540" s="1" t="str">
        <f>IFERROR(__xludf.DUMMYFUNCTION("GOOGLETRANSLATE(C13540, ""en"", ""fa"")
"),"بهترین روش ها برای عکاسی از رابطه بین انسان و حیوانات خانگی آنها چیست؟")</f>
        <v>بهترین روش ها برای عکاسی از رابطه بین انسان و حیوانات خانگی آنها چیست؟</v>
      </c>
      <c r="H13540" s="1"/>
      <c r="I13540" s="1"/>
      <c r="J13540" s="1"/>
      <c r="K13540" s="1"/>
      <c r="L13540" s="1"/>
      <c r="M13540" s="1"/>
      <c r="N13540" s="1"/>
      <c r="O13540" s="1"/>
      <c r="P13540" s="1"/>
      <c r="Q13540" s="1"/>
      <c r="R13540" s="1"/>
      <c r="S13540" s="1"/>
      <c r="T13540" s="1"/>
      <c r="U13540" s="1"/>
      <c r="V13540" s="1"/>
      <c r="W13540" s="1"/>
      <c r="X13540" s="1"/>
      <c r="Y13540" s="1"/>
      <c r="Z13540" s="1"/>
      <c r="AA13540" s="1"/>
      <c r="AB13540" s="1"/>
    </row>
    <row r="13541" ht="50.25" customHeight="1">
      <c r="A13541" s="12">
        <v>13537.0</v>
      </c>
      <c r="B13541" s="13" t="s">
        <v>12705</v>
      </c>
      <c r="C13541" s="14" t="s">
        <v>12882</v>
      </c>
      <c r="D13541" s="1"/>
      <c r="E13541" s="1"/>
      <c r="F13541" s="1" t="str">
        <f>IFERROR(__xludf.DUMMYFUNCTION("GOOGLETRANSLATE(B13541, ""en"", ""fa"")
"),"عکاسی و داستان سرایی تصویری")</f>
        <v>عکاسی و داستان سرایی تصویری</v>
      </c>
      <c r="G13541" s="1" t="str">
        <f>IFERROR(__xludf.DUMMYFUNCTION("GOOGLETRANSLATE(C13541, ""en"", ""fa"")
"),"چگونه می توانم یک داستان تصویری بسازم که مفهوم تاب آوری در مواجهه با ناملایمات را بررسی کند؟")</f>
        <v>چگونه می توانم یک داستان تصویری بسازم که مفهوم تاب آوری در مواجهه با ناملایمات را بررسی کند؟</v>
      </c>
      <c r="H13541" s="1"/>
      <c r="I13541" s="1"/>
      <c r="J13541" s="1"/>
      <c r="K13541" s="1"/>
      <c r="L13541" s="1"/>
      <c r="M13541" s="1"/>
      <c r="N13541" s="1"/>
      <c r="O13541" s="1"/>
      <c r="P13541" s="1"/>
      <c r="Q13541" s="1"/>
      <c r="R13541" s="1"/>
      <c r="S13541" s="1"/>
      <c r="T13541" s="1"/>
      <c r="U13541" s="1"/>
      <c r="V13541" s="1"/>
      <c r="W13541" s="1"/>
      <c r="X13541" s="1"/>
      <c r="Y13541" s="1"/>
      <c r="Z13541" s="1"/>
      <c r="AA13541" s="1"/>
      <c r="AB13541" s="1"/>
    </row>
    <row r="13542" ht="50.25" customHeight="1">
      <c r="A13542" s="12">
        <v>13538.0</v>
      </c>
      <c r="B13542" s="13" t="s">
        <v>12705</v>
      </c>
      <c r="C13542" s="14" t="s">
        <v>12883</v>
      </c>
      <c r="D13542" s="1"/>
      <c r="E13542" s="1"/>
      <c r="F13542" s="1" t="str">
        <f>IFERROR(__xludf.DUMMYFUNCTION("GOOGLETRANSLATE(B13542, ""en"", ""fa"")
"),"عکاسی و داستان سرایی تصویری")</f>
        <v>عکاسی و داستان سرایی تصویری</v>
      </c>
      <c r="G13542" s="1" t="str">
        <f>IFERROR(__xludf.DUMMYFUNCTION("GOOGLETRANSLATE(C13542, ""en"", ""fa"")
"),"آیا می‌توانید تکنیک‌هایی را برای درک ماهیت تنوع فرهنگی و فراگیری پیشنهاد دهید؟")</f>
        <v>آیا می‌توانید تکنیک‌هایی را برای درک ماهیت تنوع فرهنگی و فراگیری پیشنهاد دهید؟</v>
      </c>
      <c r="H13542" s="1"/>
      <c r="I13542" s="1"/>
      <c r="J13542" s="1"/>
      <c r="K13542" s="1"/>
      <c r="L13542" s="1"/>
      <c r="M13542" s="1"/>
      <c r="N13542" s="1"/>
      <c r="O13542" s="1"/>
      <c r="P13542" s="1"/>
      <c r="Q13542" s="1"/>
      <c r="R13542" s="1"/>
      <c r="S13542" s="1"/>
      <c r="T13542" s="1"/>
      <c r="U13542" s="1"/>
      <c r="V13542" s="1"/>
      <c r="W13542" s="1"/>
      <c r="X13542" s="1"/>
      <c r="Y13542" s="1"/>
      <c r="Z13542" s="1"/>
      <c r="AA13542" s="1"/>
      <c r="AB13542" s="1"/>
    </row>
    <row r="13543" ht="50.25" customHeight="1">
      <c r="A13543" s="12">
        <v>13539.0</v>
      </c>
      <c r="B13543" s="13" t="s">
        <v>12705</v>
      </c>
      <c r="C13543" s="14" t="s">
        <v>12884</v>
      </c>
      <c r="D13543" s="1"/>
      <c r="E13543" s="1"/>
      <c r="F13543" s="1" t="str">
        <f>IFERROR(__xludf.DUMMYFUNCTION("GOOGLETRANSLATE(B13543, ""en"", ""fa"")
"),"عکاسی و داستان سرایی تصویری")</f>
        <v>عکاسی و داستان سرایی تصویری</v>
      </c>
      <c r="G13543" s="1" t="str">
        <f>IFERROR(__xludf.DUMMYFUNCTION("GOOGLETRANSLATE(C13543, ""en"", ""fa"")
"),"مراحل ایجاد یک داستان بصری که زیبایی مناظر طبیعی را برجسته می کند چیست؟")</f>
        <v>مراحل ایجاد یک داستان بصری که زیبایی مناظر طبیعی را برجسته می کند چیست؟</v>
      </c>
      <c r="H13543" s="1"/>
      <c r="I13543" s="1"/>
      <c r="J13543" s="1"/>
      <c r="K13543" s="1"/>
      <c r="L13543" s="1"/>
      <c r="M13543" s="1"/>
      <c r="N13543" s="1"/>
      <c r="O13543" s="1"/>
      <c r="P13543" s="1"/>
      <c r="Q13543" s="1"/>
      <c r="R13543" s="1"/>
      <c r="S13543" s="1"/>
      <c r="T13543" s="1"/>
      <c r="U13543" s="1"/>
      <c r="V13543" s="1"/>
      <c r="W13543" s="1"/>
      <c r="X13543" s="1"/>
      <c r="Y13543" s="1"/>
      <c r="Z13543" s="1"/>
      <c r="AA13543" s="1"/>
      <c r="AB13543" s="1"/>
    </row>
    <row r="13544" ht="50.25" customHeight="1">
      <c r="A13544" s="12">
        <v>13540.0</v>
      </c>
      <c r="B13544" s="13" t="s">
        <v>12705</v>
      </c>
      <c r="C13544" s="14" t="s">
        <v>12885</v>
      </c>
      <c r="D13544" s="1"/>
      <c r="E13544" s="1"/>
      <c r="F13544" s="1" t="str">
        <f>IFERROR(__xludf.DUMMYFUNCTION("GOOGLETRANSLATE(B13544, ""en"", ""fa"")
"),"عکاسی و داستان سرایی تصویری")</f>
        <v>عکاسی و داستان سرایی تصویری</v>
      </c>
      <c r="G13544" s="1" t="str">
        <f>IFERROR(__xludf.DUMMYFUNCTION("GOOGLETRANSLATE(C13544, ""en"", ""fa"")
"),"چگونه می توانم از کادربندی و ترکیب بندی برای هدایت چشم بیننده در عکاسی داستان سرایی استفاده کنم؟")</f>
        <v>چگونه می توانم از کادربندی و ترکیب بندی برای هدایت چشم بیننده در عکاسی داستان سرایی استفاده کنم؟</v>
      </c>
      <c r="H13544" s="1"/>
      <c r="I13544" s="1"/>
      <c r="J13544" s="1"/>
      <c r="K13544" s="1"/>
      <c r="L13544" s="1"/>
      <c r="M13544" s="1"/>
      <c r="N13544" s="1"/>
      <c r="O13544" s="1"/>
      <c r="P13544" s="1"/>
      <c r="Q13544" s="1"/>
      <c r="R13544" s="1"/>
      <c r="S13544" s="1"/>
      <c r="T13544" s="1"/>
      <c r="U13544" s="1"/>
      <c r="V13544" s="1"/>
      <c r="W13544" s="1"/>
      <c r="X13544" s="1"/>
      <c r="Y13544" s="1"/>
      <c r="Z13544" s="1"/>
      <c r="AA13544" s="1"/>
      <c r="AB13544" s="1"/>
    </row>
    <row r="13545" ht="50.25" customHeight="1">
      <c r="A13545" s="12">
        <v>13541.0</v>
      </c>
      <c r="B13545" s="13" t="s">
        <v>12705</v>
      </c>
      <c r="C13545" s="14" t="s">
        <v>12886</v>
      </c>
      <c r="D13545" s="1"/>
      <c r="E13545" s="1"/>
      <c r="F13545" s="1" t="str">
        <f>IFERROR(__xludf.DUMMYFUNCTION("GOOGLETRANSLATE(B13545, ""en"", ""fa"")
"),"عکاسی و داستان سرایی تصویری")</f>
        <v>عکاسی و داستان سرایی تصویری</v>
      </c>
      <c r="G13545" s="1" t="str">
        <f>IFERROR(__xludf.DUMMYFUNCTION("GOOGLETRANSLATE(C13545, ""en"", ""fa"")
"),"آیا می توانید راهکارهایی برای عکاسی از احساسات و تعاملات کودکان توصیه کنید؟")</f>
        <v>آیا می توانید راهکارهایی برای عکاسی از احساسات و تعاملات کودکان توصیه کنید؟</v>
      </c>
      <c r="H13545" s="1"/>
      <c r="I13545" s="1"/>
      <c r="J13545" s="1"/>
      <c r="K13545" s="1"/>
      <c r="L13545" s="1"/>
      <c r="M13545" s="1"/>
      <c r="N13545" s="1"/>
      <c r="O13545" s="1"/>
      <c r="P13545" s="1"/>
      <c r="Q13545" s="1"/>
      <c r="R13545" s="1"/>
      <c r="S13545" s="1"/>
      <c r="T13545" s="1"/>
      <c r="U13545" s="1"/>
      <c r="V13545" s="1"/>
      <c r="W13545" s="1"/>
      <c r="X13545" s="1"/>
      <c r="Y13545" s="1"/>
      <c r="Z13545" s="1"/>
      <c r="AA13545" s="1"/>
      <c r="AB13545" s="1"/>
    </row>
    <row r="13546" ht="50.25" customHeight="1">
      <c r="A13546" s="12">
        <v>13542.0</v>
      </c>
      <c r="B13546" s="13" t="s">
        <v>12705</v>
      </c>
      <c r="C13546" s="14" t="s">
        <v>12887</v>
      </c>
      <c r="D13546" s="1"/>
      <c r="E13546" s="1"/>
      <c r="F13546" s="1" t="str">
        <f>IFERROR(__xludf.DUMMYFUNCTION("GOOGLETRANSLATE(B13546, ""en"", ""fa"")
"),"عکاسی و داستان سرایی تصویری")</f>
        <v>عکاسی و داستان سرایی تصویری</v>
      </c>
      <c r="G13546" s="1" t="str">
        <f>IFERROR(__xludf.DUMMYFUNCTION("GOOGLETRANSLATE(C13546, ""en"", ""fa"")
"),"بهترین تکنیک ها برای استفاده از داستان سرایی تصویری برای تجلیل از میراث فرهنگی چیست؟")</f>
        <v>بهترین تکنیک ها برای استفاده از داستان سرایی تصویری برای تجلیل از میراث فرهنگی چیست؟</v>
      </c>
      <c r="H13546" s="1"/>
      <c r="I13546" s="1"/>
      <c r="J13546" s="1"/>
      <c r="K13546" s="1"/>
      <c r="L13546" s="1"/>
      <c r="M13546" s="1"/>
      <c r="N13546" s="1"/>
      <c r="O13546" s="1"/>
      <c r="P13546" s="1"/>
      <c r="Q13546" s="1"/>
      <c r="R13546" s="1"/>
      <c r="S13546" s="1"/>
      <c r="T13546" s="1"/>
      <c r="U13546" s="1"/>
      <c r="V13546" s="1"/>
      <c r="W13546" s="1"/>
      <c r="X13546" s="1"/>
      <c r="Y13546" s="1"/>
      <c r="Z13546" s="1"/>
      <c r="AA13546" s="1"/>
      <c r="AB13546" s="1"/>
    </row>
    <row r="13547" ht="50.25" customHeight="1">
      <c r="A13547" s="12">
        <v>13543.0</v>
      </c>
      <c r="B13547" s="13" t="s">
        <v>12705</v>
      </c>
      <c r="C13547" s="14" t="s">
        <v>12888</v>
      </c>
      <c r="D13547" s="1"/>
      <c r="E13547" s="1"/>
      <c r="F13547" s="1" t="str">
        <f>IFERROR(__xludf.DUMMYFUNCTION("GOOGLETRANSLATE(B13547, ""en"", ""fa"")
"),"عکاسی و داستان سرایی تصویری")</f>
        <v>عکاسی و داستان سرایی تصویری</v>
      </c>
      <c r="G13547" s="1" t="str">
        <f>IFERROR(__xludf.DUMMYFUNCTION("GOOGLETRANSLATE(C13547, ""en"", ""fa"")
"),"چگونه می توانم یک داستان بصری ایجاد کنم که منعکس کننده ارتباطات و پیوندهای درون یک جامعه باشد؟")</f>
        <v>چگونه می توانم یک داستان بصری ایجاد کنم که منعکس کننده ارتباطات و پیوندهای درون یک جامعه باشد؟</v>
      </c>
      <c r="H13547" s="1"/>
      <c r="I13547" s="1"/>
      <c r="J13547" s="1"/>
      <c r="K13547" s="1"/>
      <c r="L13547" s="1"/>
      <c r="M13547" s="1"/>
      <c r="N13547" s="1"/>
      <c r="O13547" s="1"/>
      <c r="P13547" s="1"/>
      <c r="Q13547" s="1"/>
      <c r="R13547" s="1"/>
      <c r="S13547" s="1"/>
      <c r="T13547" s="1"/>
      <c r="U13547" s="1"/>
      <c r="V13547" s="1"/>
      <c r="W13547" s="1"/>
      <c r="X13547" s="1"/>
      <c r="Y13547" s="1"/>
      <c r="Z13547" s="1"/>
      <c r="AA13547" s="1"/>
      <c r="AB13547" s="1"/>
    </row>
    <row r="13548" ht="50.25" customHeight="1">
      <c r="A13548" s="12">
        <v>13544.0</v>
      </c>
      <c r="B13548" s="13" t="s">
        <v>12705</v>
      </c>
      <c r="C13548" s="14" t="s">
        <v>12889</v>
      </c>
      <c r="D13548" s="1"/>
      <c r="E13548" s="1"/>
      <c r="F13548" s="1" t="str">
        <f>IFERROR(__xludf.DUMMYFUNCTION("GOOGLETRANSLATE(B13548, ""en"", ""fa"")
"),"عکاسی و داستان سرایی تصویری")</f>
        <v>عکاسی و داستان سرایی تصویری</v>
      </c>
      <c r="G13548" s="1" t="str">
        <f>IFERROR(__xludf.DUMMYFUNCTION("GOOGLETRANSLATE(C13548, ""en"", ""fa"")
"),"آیا می توانید راه هایی برای استفاده از استعاره های بصری برای انتقال احساسات و مفاهیم پیچیده پیشنهاد دهید؟")</f>
        <v>آیا می توانید راه هایی برای استفاده از استعاره های بصری برای انتقال احساسات و مفاهیم پیچیده پیشنهاد دهید؟</v>
      </c>
      <c r="H13548" s="1"/>
      <c r="I13548" s="1"/>
      <c r="J13548" s="1"/>
      <c r="K13548" s="1"/>
      <c r="L13548" s="1"/>
      <c r="M13548" s="1"/>
      <c r="N13548" s="1"/>
      <c r="O13548" s="1"/>
      <c r="P13548" s="1"/>
      <c r="Q13548" s="1"/>
      <c r="R13548" s="1"/>
      <c r="S13548" s="1"/>
      <c r="T13548" s="1"/>
      <c r="U13548" s="1"/>
      <c r="V13548" s="1"/>
      <c r="W13548" s="1"/>
      <c r="X13548" s="1"/>
      <c r="Y13548" s="1"/>
      <c r="Z13548" s="1"/>
      <c r="AA13548" s="1"/>
      <c r="AB13548" s="1"/>
    </row>
    <row r="13549" ht="50.25" customHeight="1">
      <c r="A13549" s="12">
        <v>13545.0</v>
      </c>
      <c r="B13549" s="13" t="s">
        <v>12705</v>
      </c>
      <c r="C13549" s="14" t="s">
        <v>12890</v>
      </c>
      <c r="D13549" s="1"/>
      <c r="E13549" s="1"/>
      <c r="F13549" s="1" t="str">
        <f>IFERROR(__xludf.DUMMYFUNCTION("GOOGLETRANSLATE(B13549, ""en"", ""fa"")
"),"عکاسی و داستان سرایی تصویری")</f>
        <v>عکاسی و داستان سرایی تصویری</v>
      </c>
      <c r="G13549" s="1" t="str">
        <f>IFERROR(__xludf.DUMMYFUNCTION("GOOGLETRANSLATE(C13549, ""en"", ""fa"")
"),"مراحل ایجاد یک داستان بصری که هماهنگی بین انسان و طبیعت را به تصویر می کشد چیست؟")</f>
        <v>مراحل ایجاد یک داستان بصری که هماهنگی بین انسان و طبیعت را به تصویر می کشد چیست؟</v>
      </c>
      <c r="H13549" s="1"/>
      <c r="I13549" s="1"/>
      <c r="J13549" s="1"/>
      <c r="K13549" s="1"/>
      <c r="L13549" s="1"/>
      <c r="M13549" s="1"/>
      <c r="N13549" s="1"/>
      <c r="O13549" s="1"/>
      <c r="P13549" s="1"/>
      <c r="Q13549" s="1"/>
      <c r="R13549" s="1"/>
      <c r="S13549" s="1"/>
      <c r="T13549" s="1"/>
      <c r="U13549" s="1"/>
      <c r="V13549" s="1"/>
      <c r="W13549" s="1"/>
      <c r="X13549" s="1"/>
      <c r="Y13549" s="1"/>
      <c r="Z13549" s="1"/>
      <c r="AA13549" s="1"/>
      <c r="AB13549" s="1"/>
    </row>
    <row r="13550" ht="50.25" customHeight="1">
      <c r="A13550" s="12">
        <v>13546.0</v>
      </c>
      <c r="B13550" s="13" t="s">
        <v>12705</v>
      </c>
      <c r="C13550" s="14" t="s">
        <v>12891</v>
      </c>
      <c r="D13550" s="1"/>
      <c r="E13550" s="1"/>
      <c r="F13550" s="1" t="str">
        <f>IFERROR(__xludf.DUMMYFUNCTION("GOOGLETRANSLATE(B13550, ""en"", ""fa"")
"),"عکاسی و داستان سرایی تصویری")</f>
        <v>عکاسی و داستان سرایی تصویری</v>
      </c>
      <c r="G13550" s="1" t="str">
        <f>IFERROR(__xludf.DUMMYFUNCTION("GOOGLETRANSLATE(C13550, ""en"", ""fa"")
"),"چگونه می توانم از تضاد رنگ ها برای برانگیختن احساسات و عمق بخشیدن به عکس های داستان سرایی خود استفاده کنم؟")</f>
        <v>چگونه می توانم از تضاد رنگ ها برای برانگیختن احساسات و عمق بخشیدن به عکس های داستان سرایی خود استفاده کنم؟</v>
      </c>
      <c r="H13550" s="1"/>
      <c r="I13550" s="1"/>
      <c r="J13550" s="1"/>
      <c r="K13550" s="1"/>
      <c r="L13550" s="1"/>
      <c r="M13550" s="1"/>
      <c r="N13550" s="1"/>
      <c r="O13550" s="1"/>
      <c r="P13550" s="1"/>
      <c r="Q13550" s="1"/>
      <c r="R13550" s="1"/>
      <c r="S13550" s="1"/>
      <c r="T13550" s="1"/>
      <c r="U13550" s="1"/>
      <c r="V13550" s="1"/>
      <c r="W13550" s="1"/>
      <c r="X13550" s="1"/>
      <c r="Y13550" s="1"/>
      <c r="Z13550" s="1"/>
      <c r="AA13550" s="1"/>
      <c r="AB13550" s="1"/>
    </row>
    <row r="13551" ht="50.25" customHeight="1">
      <c r="A13551" s="12">
        <v>13547.0</v>
      </c>
      <c r="B13551" s="13" t="s">
        <v>12705</v>
      </c>
      <c r="C13551" s="14" t="s">
        <v>12892</v>
      </c>
      <c r="D13551" s="1"/>
      <c r="E13551" s="1"/>
      <c r="F13551" s="1" t="str">
        <f>IFERROR(__xludf.DUMMYFUNCTION("GOOGLETRANSLATE(B13551, ""en"", ""fa"")
"),"عکاسی و داستان سرایی تصویری")</f>
        <v>عکاسی و داستان سرایی تصویری</v>
      </c>
      <c r="G13551" s="1" t="str">
        <f>IFERROR(__xludf.DUMMYFUNCTION("GOOGLETRANSLATE(C13551, ""en"", ""fa"")
"),"آیا می توانید تکنیک هایی را برای به تصویر کشیدن ماهیت جشن ها و سنت های فرهنگی توصیه کنید؟")</f>
        <v>آیا می توانید تکنیک هایی را برای به تصویر کشیدن ماهیت جشن ها و سنت های فرهنگی توصیه کنید؟</v>
      </c>
      <c r="H13551" s="1"/>
      <c r="I13551" s="1"/>
      <c r="J13551" s="1"/>
      <c r="K13551" s="1"/>
      <c r="L13551" s="1"/>
      <c r="M13551" s="1"/>
      <c r="N13551" s="1"/>
      <c r="O13551" s="1"/>
      <c r="P13551" s="1"/>
      <c r="Q13551" s="1"/>
      <c r="R13551" s="1"/>
      <c r="S13551" s="1"/>
      <c r="T13551" s="1"/>
      <c r="U13551" s="1"/>
      <c r="V13551" s="1"/>
      <c r="W13551" s="1"/>
      <c r="X13551" s="1"/>
      <c r="Y13551" s="1"/>
      <c r="Z13551" s="1"/>
      <c r="AA13551" s="1"/>
      <c r="AB13551" s="1"/>
    </row>
    <row r="13552" ht="50.25" customHeight="1">
      <c r="A13552" s="12">
        <v>13548.0</v>
      </c>
      <c r="B13552" s="13" t="s">
        <v>12705</v>
      </c>
      <c r="C13552" s="14" t="s">
        <v>12893</v>
      </c>
      <c r="D13552" s="1"/>
      <c r="E13552" s="1"/>
      <c r="F13552" s="1" t="str">
        <f>IFERROR(__xludf.DUMMYFUNCTION("GOOGLETRANSLATE(B13552, ""en"", ""fa"")
"),"عکاسی و داستان سرایی تصویری")</f>
        <v>عکاسی و داستان سرایی تصویری</v>
      </c>
      <c r="G13552" s="1" t="str">
        <f>IFERROR(__xludf.DUMMYFUNCTION("GOOGLETRANSLATE(C13552, ""en"", ""fa"")
"),"بهترین روش ها برای استفاده از بازتاب ها برای ایجاد روایت های آینه ای در عکاسی چیست؟")</f>
        <v>بهترین روش ها برای استفاده از بازتاب ها برای ایجاد روایت های آینه ای در عکاسی چیست؟</v>
      </c>
      <c r="H13552" s="1"/>
      <c r="I13552" s="1"/>
      <c r="J13552" s="1"/>
      <c r="K13552" s="1"/>
      <c r="L13552" s="1"/>
      <c r="M13552" s="1"/>
      <c r="N13552" s="1"/>
      <c r="O13552" s="1"/>
      <c r="P13552" s="1"/>
      <c r="Q13552" s="1"/>
      <c r="R13552" s="1"/>
      <c r="S13552" s="1"/>
      <c r="T13552" s="1"/>
      <c r="U13552" s="1"/>
      <c r="V13552" s="1"/>
      <c r="W13552" s="1"/>
      <c r="X13552" s="1"/>
      <c r="Y13552" s="1"/>
      <c r="Z13552" s="1"/>
      <c r="AA13552" s="1"/>
      <c r="AB13552" s="1"/>
    </row>
    <row r="13553" ht="50.25" customHeight="1">
      <c r="A13553" s="12">
        <v>13549.0</v>
      </c>
      <c r="B13553" s="13" t="s">
        <v>12705</v>
      </c>
      <c r="C13553" s="14" t="s">
        <v>12894</v>
      </c>
      <c r="D13553" s="1"/>
      <c r="E13553" s="1"/>
      <c r="F13553" s="1" t="str">
        <f>IFERROR(__xludf.DUMMYFUNCTION("GOOGLETRANSLATE(B13553, ""en"", ""fa"")
"),"عکاسی و داستان سرایی تصویری")</f>
        <v>عکاسی و داستان سرایی تصویری</v>
      </c>
      <c r="G13553" s="1" t="str">
        <f>IFERROR(__xludf.DUMMYFUNCTION("GOOGLETRANSLATE(C13553, ""en"", ""fa"")
"),"چگونه می توانم یک داستان بصری ایجاد کنم که مفهوم هویت و خودیابی را بررسی کند؟")</f>
        <v>چگونه می توانم یک داستان بصری ایجاد کنم که مفهوم هویت و خودیابی را بررسی کند؟</v>
      </c>
      <c r="H13553" s="1"/>
      <c r="I13553" s="1"/>
      <c r="J13553" s="1"/>
      <c r="K13553" s="1"/>
      <c r="L13553" s="1"/>
      <c r="M13553" s="1"/>
      <c r="N13553" s="1"/>
      <c r="O13553" s="1"/>
      <c r="P13553" s="1"/>
      <c r="Q13553" s="1"/>
      <c r="R13553" s="1"/>
      <c r="S13553" s="1"/>
      <c r="T13553" s="1"/>
      <c r="U13553" s="1"/>
      <c r="V13553" s="1"/>
      <c r="W13553" s="1"/>
      <c r="X13553" s="1"/>
      <c r="Y13553" s="1"/>
      <c r="Z13553" s="1"/>
      <c r="AA13553" s="1"/>
      <c r="AB13553" s="1"/>
    </row>
    <row r="13554" ht="50.25" customHeight="1">
      <c r="A13554" s="12">
        <v>13550.0</v>
      </c>
      <c r="B13554" s="13" t="s">
        <v>12705</v>
      </c>
      <c r="C13554" s="14" t="s">
        <v>12805</v>
      </c>
      <c r="D13554" s="1"/>
      <c r="E13554" s="1"/>
      <c r="F13554" s="1" t="str">
        <f>IFERROR(__xludf.DUMMYFUNCTION("GOOGLETRANSLATE(B13554, ""en"", ""fa"")
"),"عکاسی و داستان سرایی تصویری")</f>
        <v>عکاسی و داستان سرایی تصویری</v>
      </c>
      <c r="G13554" s="1" t="str">
        <f>IFERROR(__xludf.DUMMYFUNCTION("GOOGLETRANSLATE(C13554, ""en"", ""fa"")
"),"آیا می توانید راه هایی برای استفاده از داستان سرایی تصویری برای الهام بخشیدن به تغییرات مثبت اجتماعی پیشنهاد کنید؟")</f>
        <v>آیا می توانید راه هایی برای استفاده از داستان سرایی تصویری برای الهام بخشیدن به تغییرات مثبت اجتماعی پیشنهاد کنید؟</v>
      </c>
      <c r="H13554" s="1"/>
      <c r="I13554" s="1"/>
      <c r="J13554" s="1"/>
      <c r="K13554" s="1"/>
      <c r="L13554" s="1"/>
      <c r="M13554" s="1"/>
      <c r="N13554" s="1"/>
      <c r="O13554" s="1"/>
      <c r="P13554" s="1"/>
      <c r="Q13554" s="1"/>
      <c r="R13554" s="1"/>
      <c r="S13554" s="1"/>
      <c r="T13554" s="1"/>
      <c r="U13554" s="1"/>
      <c r="V13554" s="1"/>
      <c r="W13554" s="1"/>
      <c r="X13554" s="1"/>
      <c r="Y13554" s="1"/>
      <c r="Z13554" s="1"/>
      <c r="AA13554" s="1"/>
      <c r="AB13554" s="1"/>
    </row>
    <row r="13555" ht="50.25" customHeight="1">
      <c r="A13555" s="12">
        <v>13551.0</v>
      </c>
      <c r="B13555" s="13" t="s">
        <v>12705</v>
      </c>
      <c r="C13555" s="14" t="s">
        <v>12895</v>
      </c>
      <c r="D13555" s="1"/>
      <c r="E13555" s="1"/>
      <c r="F13555" s="1" t="str">
        <f>IFERROR(__xludf.DUMMYFUNCTION("GOOGLETRANSLATE(B13555, ""en"", ""fa"")
"),"عکاسی و داستان سرایی تصویری")</f>
        <v>عکاسی و داستان سرایی تصویری</v>
      </c>
      <c r="G13555" s="1" t="str">
        <f>IFERROR(__xludf.DUMMYFUNCTION("GOOGLETRANSLATE(C13555, ""en"", ""fa"")
"),"مراحل ایجاد یک داستان بصری که زیبایی تنوع فرهنگی را برجسته می کند چیست؟")</f>
        <v>مراحل ایجاد یک داستان بصری که زیبایی تنوع فرهنگی را برجسته می کند چیست؟</v>
      </c>
      <c r="H13555" s="1"/>
      <c r="I13555" s="1"/>
      <c r="J13555" s="1"/>
      <c r="K13555" s="1"/>
      <c r="L13555" s="1"/>
      <c r="M13555" s="1"/>
      <c r="N13555" s="1"/>
      <c r="O13555" s="1"/>
      <c r="P13555" s="1"/>
      <c r="Q13555" s="1"/>
      <c r="R13555" s="1"/>
      <c r="S13555" s="1"/>
      <c r="T13555" s="1"/>
      <c r="U13555" s="1"/>
      <c r="V13555" s="1"/>
      <c r="W13555" s="1"/>
      <c r="X13555" s="1"/>
      <c r="Y13555" s="1"/>
      <c r="Z13555" s="1"/>
      <c r="AA13555" s="1"/>
      <c r="AB13555" s="1"/>
    </row>
    <row r="13556" ht="50.25" customHeight="1">
      <c r="A13556" s="12">
        <v>13552.0</v>
      </c>
      <c r="B13556" s="13" t="s">
        <v>12705</v>
      </c>
      <c r="C13556" s="14" t="s">
        <v>12896</v>
      </c>
      <c r="D13556" s="1"/>
      <c r="E13556" s="1"/>
      <c r="F13556" s="1" t="str">
        <f>IFERROR(__xludf.DUMMYFUNCTION("GOOGLETRANSLATE(B13556, ""en"", ""fa"")
"),"عکاسی و داستان سرایی تصویری")</f>
        <v>عکاسی و داستان سرایی تصویری</v>
      </c>
      <c r="G13556" s="1" t="str">
        <f>IFERROR(__xludf.DUMMYFUNCTION("GOOGLETRANSLATE(C13556, ""en"", ""fa"")
"),"چگونه می توانم از حرکت و تاری برای ایجاد عکس های داستانی پویا و جذاب استفاده کنم؟")</f>
        <v>چگونه می توانم از حرکت و تاری برای ایجاد عکس های داستانی پویا و جذاب استفاده کنم؟</v>
      </c>
      <c r="H13556" s="1"/>
      <c r="I13556" s="1"/>
      <c r="J13556" s="1"/>
      <c r="K13556" s="1"/>
      <c r="L13556" s="1"/>
      <c r="M13556" s="1"/>
      <c r="N13556" s="1"/>
      <c r="O13556" s="1"/>
      <c r="P13556" s="1"/>
      <c r="Q13556" s="1"/>
      <c r="R13556" s="1"/>
      <c r="S13556" s="1"/>
      <c r="T13556" s="1"/>
      <c r="U13556" s="1"/>
      <c r="V13556" s="1"/>
      <c r="W13556" s="1"/>
      <c r="X13556" s="1"/>
      <c r="Y13556" s="1"/>
      <c r="Z13556" s="1"/>
      <c r="AA13556" s="1"/>
      <c r="AB13556" s="1"/>
    </row>
    <row r="13557" ht="50.25" customHeight="1">
      <c r="A13557" s="12">
        <v>13553.0</v>
      </c>
      <c r="B13557" s="13" t="s">
        <v>12705</v>
      </c>
      <c r="C13557" s="14" t="s">
        <v>12897</v>
      </c>
      <c r="D13557" s="1"/>
      <c r="E13557" s="1"/>
      <c r="F13557" s="1" t="str">
        <f>IFERROR(__xludf.DUMMYFUNCTION("GOOGLETRANSLATE(B13557, ""en"", ""fa"")
"),"عکاسی و داستان سرایی تصویری")</f>
        <v>عکاسی و داستان سرایی تصویری</v>
      </c>
      <c r="G13557" s="1" t="str">
        <f>IFERROR(__xludf.DUMMYFUNCTION("GOOGLETRANSLATE(C13557, ""en"", ""fa"")
"),"آیا می توانید راهکارهایی برای عکاسی از تعاملات و روابط خانواده ها توصیه کنید؟")</f>
        <v>آیا می توانید راهکارهایی برای عکاسی از تعاملات و روابط خانواده ها توصیه کنید؟</v>
      </c>
      <c r="H13557" s="1"/>
      <c r="I13557" s="1"/>
      <c r="J13557" s="1"/>
      <c r="K13557" s="1"/>
      <c r="L13557" s="1"/>
      <c r="M13557" s="1"/>
      <c r="N13557" s="1"/>
      <c r="O13557" s="1"/>
      <c r="P13557" s="1"/>
      <c r="Q13557" s="1"/>
      <c r="R13557" s="1"/>
      <c r="S13557" s="1"/>
      <c r="T13557" s="1"/>
      <c r="U13557" s="1"/>
      <c r="V13557" s="1"/>
      <c r="W13557" s="1"/>
      <c r="X13557" s="1"/>
      <c r="Y13557" s="1"/>
      <c r="Z13557" s="1"/>
      <c r="AA13557" s="1"/>
      <c r="AB13557" s="1"/>
    </row>
    <row r="13558" ht="50.25" customHeight="1">
      <c r="A13558" s="12">
        <v>13554.0</v>
      </c>
      <c r="B13558" s="13" t="s">
        <v>12705</v>
      </c>
      <c r="C13558" s="14" t="s">
        <v>12898</v>
      </c>
      <c r="D13558" s="1"/>
      <c r="E13558" s="1"/>
      <c r="F13558" s="1" t="str">
        <f>IFERROR(__xludf.DUMMYFUNCTION("GOOGLETRANSLATE(B13558, ""en"", ""fa"")
"),"عکاسی و داستان سرایی تصویری")</f>
        <v>عکاسی و داستان سرایی تصویری</v>
      </c>
      <c r="G13558" s="1" t="str">
        <f>IFERROR(__xludf.DUMMYFUNCTION("GOOGLETRANSLATE(C13558, ""en"", ""fa"")
"),"بهترین تکنیک ها برای استفاده از استعاره های بصری برای انتقال معانی عمیق تر چیست؟")</f>
        <v>بهترین تکنیک ها برای استفاده از استعاره های بصری برای انتقال معانی عمیق تر چیست؟</v>
      </c>
      <c r="H13558" s="1"/>
      <c r="I13558" s="1"/>
      <c r="J13558" s="1"/>
      <c r="K13558" s="1"/>
      <c r="L13558" s="1"/>
      <c r="M13558" s="1"/>
      <c r="N13558" s="1"/>
      <c r="O13558" s="1"/>
      <c r="P13558" s="1"/>
      <c r="Q13558" s="1"/>
      <c r="R13558" s="1"/>
      <c r="S13558" s="1"/>
      <c r="T13558" s="1"/>
      <c r="U13558" s="1"/>
      <c r="V13558" s="1"/>
      <c r="W13558" s="1"/>
      <c r="X13558" s="1"/>
      <c r="Y13558" s="1"/>
      <c r="Z13558" s="1"/>
      <c r="AA13558" s="1"/>
      <c r="AB13558" s="1"/>
    </row>
    <row r="13559" ht="50.25" customHeight="1">
      <c r="A13559" s="12">
        <v>13555.0</v>
      </c>
      <c r="B13559" s="13" t="s">
        <v>12705</v>
      </c>
      <c r="C13559" s="14" t="s">
        <v>12899</v>
      </c>
      <c r="D13559" s="1"/>
      <c r="E13559" s="1"/>
      <c r="F13559" s="1" t="str">
        <f>IFERROR(__xludf.DUMMYFUNCTION("GOOGLETRANSLATE(B13559, ""en"", ""fa"")
"),"عکاسی و داستان سرایی تصویری")</f>
        <v>عکاسی و داستان سرایی تصویری</v>
      </c>
      <c r="G13559" s="1" t="str">
        <f>IFERROR(__xludf.DUMMYFUNCTION("GOOGLETRANSLATE(C13559, ""en"", ""fa"")
"),"چگونه می توانم یک داستان بصری ایجاد کنم که جوهر یک فرهنگ یا سنت خاص را به تصویر بکشد؟")</f>
        <v>چگونه می توانم یک داستان بصری ایجاد کنم که جوهر یک فرهنگ یا سنت خاص را به تصویر بکشد؟</v>
      </c>
      <c r="H13559" s="1"/>
      <c r="I13559" s="1"/>
      <c r="J13559" s="1"/>
      <c r="K13559" s="1"/>
      <c r="L13559" s="1"/>
      <c r="M13559" s="1"/>
      <c r="N13559" s="1"/>
      <c r="O13559" s="1"/>
      <c r="P13559" s="1"/>
      <c r="Q13559" s="1"/>
      <c r="R13559" s="1"/>
      <c r="S13559" s="1"/>
      <c r="T13559" s="1"/>
      <c r="U13559" s="1"/>
      <c r="V13559" s="1"/>
      <c r="W13559" s="1"/>
      <c r="X13559" s="1"/>
      <c r="Y13559" s="1"/>
      <c r="Z13559" s="1"/>
      <c r="AA13559" s="1"/>
      <c r="AB13559" s="1"/>
    </row>
    <row r="13560" ht="50.25" customHeight="1">
      <c r="A13560" s="12">
        <v>13556.0</v>
      </c>
      <c r="B13560" s="13" t="s">
        <v>12705</v>
      </c>
      <c r="C13560" s="14" t="s">
        <v>12900</v>
      </c>
      <c r="D13560" s="1"/>
      <c r="E13560" s="1"/>
      <c r="F13560" s="1" t="str">
        <f>IFERROR(__xludf.DUMMYFUNCTION("GOOGLETRANSLATE(B13560, ""en"", ""fa"")
"),"عکاسی و داستان سرایی تصویری")</f>
        <v>عکاسی و داستان سرایی تصویری</v>
      </c>
      <c r="G13560" s="1" t="str">
        <f>IFERROR(__xludf.DUMMYFUNCTION("GOOGLETRANSLATE(C13560, ""en"", ""fa"")
"),"آیا می توانید تکنیک هایی را برای استفاده از نور و سایه برای ایجاد حال و هوا پیشنهاد کنید؟")</f>
        <v>آیا می توانید تکنیک هایی را برای استفاده از نور و سایه برای ایجاد حال و هوا پیشنهاد کنید؟</v>
      </c>
      <c r="H13560" s="1"/>
      <c r="I13560" s="1"/>
      <c r="J13560" s="1"/>
      <c r="K13560" s="1"/>
      <c r="L13560" s="1"/>
      <c r="M13560" s="1"/>
      <c r="N13560" s="1"/>
      <c r="O13560" s="1"/>
      <c r="P13560" s="1"/>
      <c r="Q13560" s="1"/>
      <c r="R13560" s="1"/>
      <c r="S13560" s="1"/>
      <c r="T13560" s="1"/>
      <c r="U13560" s="1"/>
      <c r="V13560" s="1"/>
      <c r="W13560" s="1"/>
      <c r="X13560" s="1"/>
      <c r="Y13560" s="1"/>
      <c r="Z13560" s="1"/>
      <c r="AA13560" s="1"/>
      <c r="AB13560" s="1"/>
    </row>
    <row r="13561" ht="50.25" customHeight="1">
      <c r="A13561" s="12">
        <v>13557.0</v>
      </c>
      <c r="B13561" s="13" t="s">
        <v>12705</v>
      </c>
      <c r="C13561" s="14" t="s">
        <v>12901</v>
      </c>
      <c r="D13561" s="1"/>
      <c r="E13561" s="1"/>
      <c r="F13561" s="1" t="str">
        <f>IFERROR(__xludf.DUMMYFUNCTION("GOOGLETRANSLATE(B13561, ""en"", ""fa"")
"),"عکاسی و داستان سرایی تصویری")</f>
        <v>عکاسی و داستان سرایی تصویری</v>
      </c>
      <c r="G13561" s="1" t="str">
        <f>IFERROR(__xludf.DUMMYFUNCTION("GOOGLETRANSLATE(C13561, ""en"", ""fa"")
"),"مراحل ایجاد یک داستان بصری که ارتباطات بین افراد را منعکس می کند چیست؟")</f>
        <v>مراحل ایجاد یک داستان بصری که ارتباطات بین افراد را منعکس می کند چیست؟</v>
      </c>
      <c r="H13561" s="1"/>
      <c r="I13561" s="1"/>
      <c r="J13561" s="1"/>
      <c r="K13561" s="1"/>
      <c r="L13561" s="1"/>
      <c r="M13561" s="1"/>
      <c r="N13561" s="1"/>
      <c r="O13561" s="1"/>
      <c r="P13561" s="1"/>
      <c r="Q13561" s="1"/>
      <c r="R13561" s="1"/>
      <c r="S13561" s="1"/>
      <c r="T13561" s="1"/>
      <c r="U13561" s="1"/>
      <c r="V13561" s="1"/>
      <c r="W13561" s="1"/>
      <c r="X13561" s="1"/>
      <c r="Y13561" s="1"/>
      <c r="Z13561" s="1"/>
      <c r="AA13561" s="1"/>
      <c r="AB13561" s="1"/>
    </row>
    <row r="13562" ht="50.25" customHeight="1">
      <c r="A13562" s="12">
        <v>13558.0</v>
      </c>
      <c r="B13562" s="13" t="s">
        <v>12705</v>
      </c>
      <c r="C13562" s="14" t="s">
        <v>12902</v>
      </c>
      <c r="D13562" s="1"/>
      <c r="E13562" s="1"/>
      <c r="F13562" s="1" t="str">
        <f>IFERROR(__xludf.DUMMYFUNCTION("GOOGLETRANSLATE(B13562, ""en"", ""fa"")
"),"عکاسی و داستان سرایی تصویری")</f>
        <v>عکاسی و داستان سرایی تصویری</v>
      </c>
      <c r="G13562" s="1" t="str">
        <f>IFERROR(__xludf.DUMMYFUNCTION("GOOGLETRANSLATE(C13562, ""en"", ""fa"")
"),"چگونه می توانم از نمادهای رنگی برای افزودن لایه های معنا به عکاسی داستان سرایی خود استفاده کنم؟")</f>
        <v>چگونه می توانم از نمادهای رنگی برای افزودن لایه های معنا به عکاسی داستان سرایی خود استفاده کنم؟</v>
      </c>
      <c r="H13562" s="1"/>
      <c r="I13562" s="1"/>
      <c r="J13562" s="1"/>
      <c r="K13562" s="1"/>
      <c r="L13562" s="1"/>
      <c r="M13562" s="1"/>
      <c r="N13562" s="1"/>
      <c r="O13562" s="1"/>
      <c r="P13562" s="1"/>
      <c r="Q13562" s="1"/>
      <c r="R13562" s="1"/>
      <c r="S13562" s="1"/>
      <c r="T13562" s="1"/>
      <c r="U13562" s="1"/>
      <c r="V13562" s="1"/>
      <c r="W13562" s="1"/>
      <c r="X13562" s="1"/>
      <c r="Y13562" s="1"/>
      <c r="Z13562" s="1"/>
      <c r="AA13562" s="1"/>
      <c r="AB13562" s="1"/>
    </row>
    <row r="13563" ht="50.25" customHeight="1">
      <c r="A13563" s="12">
        <v>13559.0</v>
      </c>
      <c r="B13563" s="13" t="s">
        <v>12705</v>
      </c>
      <c r="C13563" s="14" t="s">
        <v>12903</v>
      </c>
      <c r="D13563" s="1"/>
      <c r="E13563" s="1"/>
      <c r="F13563" s="1" t="str">
        <f>IFERROR(__xludf.DUMMYFUNCTION("GOOGLETRANSLATE(B13563, ""en"", ""fa"")
"),"عکاسی و داستان سرایی تصویری")</f>
        <v>عکاسی و داستان سرایی تصویری</v>
      </c>
      <c r="G13563" s="1" t="str">
        <f>IFERROR(__xludf.DUMMYFUNCTION("GOOGLETRANSLATE(C13563, ""en"", ""fa"")
"),"آیا می توانید نکاتی را برای استفاده از بازتاب و انکسار برای تقویت روایت های بصری توصیه کنید؟")</f>
        <v>آیا می توانید نکاتی را برای استفاده از بازتاب و انکسار برای تقویت روایت های بصری توصیه کنید؟</v>
      </c>
      <c r="H13563" s="1"/>
      <c r="I13563" s="1"/>
      <c r="J13563" s="1"/>
      <c r="K13563" s="1"/>
      <c r="L13563" s="1"/>
      <c r="M13563" s="1"/>
      <c r="N13563" s="1"/>
      <c r="O13563" s="1"/>
      <c r="P13563" s="1"/>
      <c r="Q13563" s="1"/>
      <c r="R13563" s="1"/>
      <c r="S13563" s="1"/>
      <c r="T13563" s="1"/>
      <c r="U13563" s="1"/>
      <c r="V13563" s="1"/>
      <c r="W13563" s="1"/>
      <c r="X13563" s="1"/>
      <c r="Y13563" s="1"/>
      <c r="Z13563" s="1"/>
      <c r="AA13563" s="1"/>
      <c r="AB13563" s="1"/>
    </row>
    <row r="13564" ht="50.25" customHeight="1">
      <c r="A13564" s="12">
        <v>13560.0</v>
      </c>
      <c r="B13564" s="13" t="s">
        <v>12705</v>
      </c>
      <c r="C13564" s="14" t="s">
        <v>12904</v>
      </c>
      <c r="D13564" s="1"/>
      <c r="E13564" s="1"/>
      <c r="F13564" s="1" t="str">
        <f>IFERROR(__xludf.DUMMYFUNCTION("GOOGLETRANSLATE(B13564, ""en"", ""fa"")
"),"عکاسی و داستان سرایی تصویری")</f>
        <v>عکاسی و داستان سرایی تصویری</v>
      </c>
      <c r="G13564" s="1" t="str">
        <f>IFERROR(__xludf.DUMMYFUNCTION("GOOGLETRANSLATE(C13564, ""en"", ""fa"")
"),"بهترین روش برای عکاسی از زیبایی و پیچیدگی اشکال طبیعی چیست؟")</f>
        <v>بهترین روش برای عکاسی از زیبایی و پیچیدگی اشکال طبیعی چیست؟</v>
      </c>
      <c r="H13564" s="1"/>
      <c r="I13564" s="1"/>
      <c r="J13564" s="1"/>
      <c r="K13564" s="1"/>
      <c r="L13564" s="1"/>
      <c r="M13564" s="1"/>
      <c r="N13564" s="1"/>
      <c r="O13564" s="1"/>
      <c r="P13564" s="1"/>
      <c r="Q13564" s="1"/>
      <c r="R13564" s="1"/>
      <c r="S13564" s="1"/>
      <c r="T13564" s="1"/>
      <c r="U13564" s="1"/>
      <c r="V13564" s="1"/>
      <c r="W13564" s="1"/>
      <c r="X13564" s="1"/>
      <c r="Y13564" s="1"/>
      <c r="Z13564" s="1"/>
      <c r="AA13564" s="1"/>
      <c r="AB13564" s="1"/>
    </row>
    <row r="13565" ht="50.25" customHeight="1">
      <c r="A13565" s="12">
        <v>13561.0</v>
      </c>
      <c r="B13565" s="13" t="s">
        <v>12705</v>
      </c>
      <c r="C13565" s="14" t="s">
        <v>12905</v>
      </c>
      <c r="D13565" s="1"/>
      <c r="E13565" s="1"/>
      <c r="F13565" s="1" t="str">
        <f>IFERROR(__xludf.DUMMYFUNCTION("GOOGLETRANSLATE(B13565, ""en"", ""fa"")
"),"عکاسی و داستان سرایی تصویری")</f>
        <v>عکاسی و داستان سرایی تصویری</v>
      </c>
      <c r="G13565" s="1" t="str">
        <f>IFERROR(__xludf.DUMMYFUNCTION("GOOGLETRANSLATE(C13565, ""en"", ""fa"")
"),"چگونه می توانم از ترکیب بندی برای ایجاد یک داستان بصری استفاده کنم که حس رمز و راز را منتقل می کند؟")</f>
        <v>چگونه می توانم از ترکیب بندی برای ایجاد یک داستان بصری استفاده کنم که حس رمز و راز را منتقل می کند؟</v>
      </c>
      <c r="H13565" s="1"/>
      <c r="I13565" s="1"/>
      <c r="J13565" s="1"/>
      <c r="K13565" s="1"/>
      <c r="L13565" s="1"/>
      <c r="M13565" s="1"/>
      <c r="N13565" s="1"/>
      <c r="O13565" s="1"/>
      <c r="P13565" s="1"/>
      <c r="Q13565" s="1"/>
      <c r="R13565" s="1"/>
      <c r="S13565" s="1"/>
      <c r="T13565" s="1"/>
      <c r="U13565" s="1"/>
      <c r="V13565" s="1"/>
      <c r="W13565" s="1"/>
      <c r="X13565" s="1"/>
      <c r="Y13565" s="1"/>
      <c r="Z13565" s="1"/>
      <c r="AA13565" s="1"/>
      <c r="AB13565" s="1"/>
    </row>
    <row r="13566" ht="50.25" customHeight="1">
      <c r="A13566" s="12">
        <v>13562.0</v>
      </c>
      <c r="B13566" s="13" t="s">
        <v>12705</v>
      </c>
      <c r="C13566" s="14" t="s">
        <v>12906</v>
      </c>
      <c r="D13566" s="1"/>
      <c r="E13566" s="1"/>
      <c r="F13566" s="1" t="str">
        <f>IFERROR(__xludf.DUMMYFUNCTION("GOOGLETRANSLATE(B13566, ""en"", ""fa"")
"),"عکاسی و داستان سرایی تصویری")</f>
        <v>عکاسی و داستان سرایی تصویری</v>
      </c>
      <c r="G13566" s="1" t="str">
        <f>IFERROR(__xludf.DUMMYFUNCTION("GOOGLETRANSLATE(C13566, ""en"", ""fa"")
"),"چه مراحلی برای درک ماهیت جشنواره های فرهنگی و اهمیت آنها وجود دارد؟")</f>
        <v>چه مراحلی برای درک ماهیت جشنواره های فرهنگی و اهمیت آنها وجود دارد؟</v>
      </c>
      <c r="H13566" s="1"/>
      <c r="I13566" s="1"/>
      <c r="J13566" s="1"/>
      <c r="K13566" s="1"/>
      <c r="L13566" s="1"/>
      <c r="M13566" s="1"/>
      <c r="N13566" s="1"/>
      <c r="O13566" s="1"/>
      <c r="P13566" s="1"/>
      <c r="Q13566" s="1"/>
      <c r="R13566" s="1"/>
      <c r="S13566" s="1"/>
      <c r="T13566" s="1"/>
      <c r="U13566" s="1"/>
      <c r="V13566" s="1"/>
      <c r="W13566" s="1"/>
      <c r="X13566" s="1"/>
      <c r="Y13566" s="1"/>
      <c r="Z13566" s="1"/>
      <c r="AA13566" s="1"/>
      <c r="AB13566" s="1"/>
    </row>
    <row r="13567" ht="50.25" customHeight="1">
      <c r="A13567" s="12">
        <v>13563.0</v>
      </c>
      <c r="B13567" s="13" t="s">
        <v>12705</v>
      </c>
      <c r="C13567" s="14" t="s">
        <v>12907</v>
      </c>
      <c r="D13567" s="1"/>
      <c r="E13567" s="1"/>
      <c r="F13567" s="1" t="str">
        <f>IFERROR(__xludf.DUMMYFUNCTION("GOOGLETRANSLATE(B13567, ""en"", ""fa"")
"),"عکاسی و داستان سرایی تصویری")</f>
        <v>عکاسی و داستان سرایی تصویری</v>
      </c>
      <c r="G13567" s="1" t="str">
        <f>IFERROR(__xludf.DUMMYFUNCTION("GOOGLETRANSLATE(C13567, ""en"", ""fa"")
"),"چگونه یک روایت بصری ایجاد کنم که احساسات و تجربیات تنهایی را به تصویر بکشد؟")</f>
        <v>چگونه یک روایت بصری ایجاد کنم که احساسات و تجربیات تنهایی را به تصویر بکشد؟</v>
      </c>
      <c r="H13567" s="1"/>
      <c r="I13567" s="1"/>
      <c r="J13567" s="1"/>
      <c r="K13567" s="1"/>
      <c r="L13567" s="1"/>
      <c r="M13567" s="1"/>
      <c r="N13567" s="1"/>
      <c r="O13567" s="1"/>
      <c r="P13567" s="1"/>
      <c r="Q13567" s="1"/>
      <c r="R13567" s="1"/>
      <c r="S13567" s="1"/>
      <c r="T13567" s="1"/>
      <c r="U13567" s="1"/>
      <c r="V13567" s="1"/>
      <c r="W13567" s="1"/>
      <c r="X13567" s="1"/>
      <c r="Y13567" s="1"/>
      <c r="Z13567" s="1"/>
      <c r="AA13567" s="1"/>
      <c r="AB13567" s="1"/>
    </row>
    <row r="13568" ht="50.25" customHeight="1">
      <c r="A13568" s="12">
        <v>13564.0</v>
      </c>
      <c r="B13568" s="13" t="s">
        <v>12705</v>
      </c>
      <c r="C13568" s="14" t="s">
        <v>12908</v>
      </c>
      <c r="D13568" s="1"/>
      <c r="E13568" s="1"/>
      <c r="F13568" s="1" t="str">
        <f>IFERROR(__xludf.DUMMYFUNCTION("GOOGLETRANSLATE(B13568, ""en"", ""fa"")
"),"عکاسی و داستان سرایی تصویری")</f>
        <v>عکاسی و داستان سرایی تصویری</v>
      </c>
      <c r="G13568" s="1" t="str">
        <f>IFERROR(__xludf.DUMMYFUNCTION("GOOGLETRANSLATE(C13568, ""en"", ""fa"")
"),"آیا می توانید تکنیک هایی را برای استفاده از روانشناسی رنگ ها برای برانگیختن احساسات خاص توصیه کنید؟")</f>
        <v>آیا می توانید تکنیک هایی را برای استفاده از روانشناسی رنگ ها برای برانگیختن احساسات خاص توصیه کنید؟</v>
      </c>
      <c r="H13568" s="1"/>
      <c r="I13568" s="1"/>
      <c r="J13568" s="1"/>
      <c r="K13568" s="1"/>
      <c r="L13568" s="1"/>
      <c r="M13568" s="1"/>
      <c r="N13568" s="1"/>
      <c r="O13568" s="1"/>
      <c r="P13568" s="1"/>
      <c r="Q13568" s="1"/>
      <c r="R13568" s="1"/>
      <c r="S13568" s="1"/>
      <c r="T13568" s="1"/>
      <c r="U13568" s="1"/>
      <c r="V13568" s="1"/>
      <c r="W13568" s="1"/>
      <c r="X13568" s="1"/>
      <c r="Y13568" s="1"/>
      <c r="Z13568" s="1"/>
      <c r="AA13568" s="1"/>
      <c r="AB13568" s="1"/>
    </row>
    <row r="13569" ht="50.25" customHeight="1">
      <c r="A13569" s="12">
        <v>13565.0</v>
      </c>
      <c r="B13569" s="13" t="s">
        <v>12705</v>
      </c>
      <c r="C13569" s="14" t="s">
        <v>12909</v>
      </c>
      <c r="D13569" s="1"/>
      <c r="E13569" s="1"/>
      <c r="F13569" s="1" t="str">
        <f>IFERROR(__xludf.DUMMYFUNCTION("GOOGLETRANSLATE(B13569, ""en"", ""fa"")
"),"عکاسی و داستان سرایی تصویری")</f>
        <v>عکاسی و داستان سرایی تصویری</v>
      </c>
      <c r="G13569" s="1" t="str">
        <f>IFERROR(__xludf.DUMMYFUNCTION("GOOGLETRANSLATE(C13569, ""en"", ""fa"")
"),"بهترین روش ها برای عکاسی از زیبایی منحصر به فرد مناظر طبیعی چیست؟")</f>
        <v>بهترین روش ها برای عکاسی از زیبایی منحصر به فرد مناظر طبیعی چیست؟</v>
      </c>
      <c r="H13569" s="1"/>
      <c r="I13569" s="1"/>
      <c r="J13569" s="1"/>
      <c r="K13569" s="1"/>
      <c r="L13569" s="1"/>
      <c r="M13569" s="1"/>
      <c r="N13569" s="1"/>
      <c r="O13569" s="1"/>
      <c r="P13569" s="1"/>
      <c r="Q13569" s="1"/>
      <c r="R13569" s="1"/>
      <c r="S13569" s="1"/>
      <c r="T13569" s="1"/>
      <c r="U13569" s="1"/>
      <c r="V13569" s="1"/>
      <c r="W13569" s="1"/>
      <c r="X13569" s="1"/>
      <c r="Y13569" s="1"/>
      <c r="Z13569" s="1"/>
      <c r="AA13569" s="1"/>
      <c r="AB13569" s="1"/>
    </row>
    <row r="13570" ht="50.25" customHeight="1">
      <c r="A13570" s="12">
        <v>13566.0</v>
      </c>
      <c r="B13570" s="13" t="s">
        <v>12705</v>
      </c>
      <c r="C13570" s="14" t="s">
        <v>12910</v>
      </c>
      <c r="D13570" s="1"/>
      <c r="E13570" s="1"/>
      <c r="F13570" s="1" t="str">
        <f>IFERROR(__xludf.DUMMYFUNCTION("GOOGLETRANSLATE(B13570, ""en"", ""fa"")
"),"عکاسی و داستان سرایی تصویری")</f>
        <v>عکاسی و داستان سرایی تصویری</v>
      </c>
      <c r="G13570" s="1" t="str">
        <f>IFERROR(__xludf.DUMMYFUNCTION("GOOGLETRANSLATE(C13570, ""en"", ""fa"")
"),"چگونه می توانم از داستان سرایی تصویری برای افزایش آگاهی در مورد حفاظت از محیط زیست استفاده کنم؟")</f>
        <v>چگونه می توانم از داستان سرایی تصویری برای افزایش آگاهی در مورد حفاظت از محیط زیست استفاده کنم؟</v>
      </c>
      <c r="H13570" s="1"/>
      <c r="I13570" s="1"/>
      <c r="J13570" s="1"/>
      <c r="K13570" s="1"/>
      <c r="L13570" s="1"/>
      <c r="M13570" s="1"/>
      <c r="N13570" s="1"/>
      <c r="O13570" s="1"/>
      <c r="P13570" s="1"/>
      <c r="Q13570" s="1"/>
      <c r="R13570" s="1"/>
      <c r="S13570" s="1"/>
      <c r="T13570" s="1"/>
      <c r="U13570" s="1"/>
      <c r="V13570" s="1"/>
      <c r="W13570" s="1"/>
      <c r="X13570" s="1"/>
      <c r="Y13570" s="1"/>
      <c r="Z13570" s="1"/>
      <c r="AA13570" s="1"/>
      <c r="AB13570" s="1"/>
    </row>
    <row r="13571" ht="50.25" customHeight="1">
      <c r="A13571" s="12">
        <v>13567.0</v>
      </c>
      <c r="B13571" s="13" t="s">
        <v>12705</v>
      </c>
      <c r="C13571" s="14" t="s">
        <v>12911</v>
      </c>
      <c r="D13571" s="1"/>
      <c r="E13571" s="1"/>
      <c r="F13571" s="1" t="str">
        <f>IFERROR(__xludf.DUMMYFUNCTION("GOOGLETRANSLATE(B13571, ""en"", ""fa"")
"),"عکاسی و داستان سرایی تصویری")</f>
        <v>عکاسی و داستان سرایی تصویری</v>
      </c>
      <c r="G13571" s="1" t="str">
        <f>IFERROR(__xludf.DUMMYFUNCTION("GOOGLETRANSLATE(C13571, ""en"", ""fa"")
"),"مراحل ایجاد یک داستان بصری که ماهیت یک فصل خاص را به تصویر می کشد چیست؟")</f>
        <v>مراحل ایجاد یک داستان بصری که ماهیت یک فصل خاص را به تصویر می کشد چیست؟</v>
      </c>
      <c r="H13571" s="1"/>
      <c r="I13571" s="1"/>
      <c r="J13571" s="1"/>
      <c r="K13571" s="1"/>
      <c r="L13571" s="1"/>
      <c r="M13571" s="1"/>
      <c r="N13571" s="1"/>
      <c r="O13571" s="1"/>
      <c r="P13571" s="1"/>
      <c r="Q13571" s="1"/>
      <c r="R13571" s="1"/>
      <c r="S13571" s="1"/>
      <c r="T13571" s="1"/>
      <c r="U13571" s="1"/>
      <c r="V13571" s="1"/>
      <c r="W13571" s="1"/>
      <c r="X13571" s="1"/>
      <c r="Y13571" s="1"/>
      <c r="Z13571" s="1"/>
      <c r="AA13571" s="1"/>
      <c r="AB13571" s="1"/>
    </row>
    <row r="13572" ht="50.25" customHeight="1">
      <c r="A13572" s="12">
        <v>13568.0</v>
      </c>
      <c r="B13572" s="13" t="s">
        <v>12705</v>
      </c>
      <c r="C13572" s="14" t="s">
        <v>12912</v>
      </c>
      <c r="D13572" s="1"/>
      <c r="E13572" s="1"/>
      <c r="F13572" s="1" t="str">
        <f>IFERROR(__xludf.DUMMYFUNCTION("GOOGLETRANSLATE(B13572, ""en"", ""fa"")
"),"عکاسی و داستان سرایی تصویری")</f>
        <v>عکاسی و داستان سرایی تصویری</v>
      </c>
      <c r="G13572" s="1" t="str">
        <f>IFERROR(__xludf.DUMMYFUNCTION("GOOGLETRANSLATE(C13572, ""en"", ""fa"")
"),"چگونه عناصر داستان سرایی را در عکاسی معماری و شهری بگنجانم؟")</f>
        <v>چگونه عناصر داستان سرایی را در عکاسی معماری و شهری بگنجانم؟</v>
      </c>
      <c r="H13572" s="1"/>
      <c r="I13572" s="1"/>
      <c r="J13572" s="1"/>
      <c r="K13572" s="1"/>
      <c r="L13572" s="1"/>
      <c r="M13572" s="1"/>
      <c r="N13572" s="1"/>
      <c r="O13572" s="1"/>
      <c r="P13572" s="1"/>
      <c r="Q13572" s="1"/>
      <c r="R13572" s="1"/>
      <c r="S13572" s="1"/>
      <c r="T13572" s="1"/>
      <c r="U13572" s="1"/>
      <c r="V13572" s="1"/>
      <c r="W13572" s="1"/>
      <c r="X13572" s="1"/>
      <c r="Y13572" s="1"/>
      <c r="Z13572" s="1"/>
      <c r="AA13572" s="1"/>
      <c r="AB13572" s="1"/>
    </row>
    <row r="13573" ht="50.25" customHeight="1">
      <c r="A13573" s="12">
        <v>13569.0</v>
      </c>
      <c r="B13573" s="13" t="s">
        <v>12705</v>
      </c>
      <c r="C13573" s="14" t="s">
        <v>12913</v>
      </c>
      <c r="D13573" s="1"/>
      <c r="E13573" s="1"/>
      <c r="F13573" s="1" t="str">
        <f>IFERROR(__xludf.DUMMYFUNCTION("GOOGLETRANSLATE(B13573, ""en"", ""fa"")
"),"عکاسی و داستان سرایی تصویری")</f>
        <v>عکاسی و داستان سرایی تصویری</v>
      </c>
      <c r="G13573" s="1" t="str">
        <f>IFERROR(__xludf.DUMMYFUNCTION("GOOGLETRANSLATE(C13573, ""en"", ""fa"")
"),"آیا می توانید راه هایی برای استفاده از کادربندی و پرسپکتیو برای ایجاد عمق روایت پیشنهاد دهید؟")</f>
        <v>آیا می توانید راه هایی برای استفاده از کادربندی و پرسپکتیو برای ایجاد عمق روایت پیشنهاد دهید؟</v>
      </c>
      <c r="H13573" s="1"/>
      <c r="I13573" s="1"/>
      <c r="J13573" s="1"/>
      <c r="K13573" s="1"/>
      <c r="L13573" s="1"/>
      <c r="M13573" s="1"/>
      <c r="N13573" s="1"/>
      <c r="O13573" s="1"/>
      <c r="P13573" s="1"/>
      <c r="Q13573" s="1"/>
      <c r="R13573" s="1"/>
      <c r="S13573" s="1"/>
      <c r="T13573" s="1"/>
      <c r="U13573" s="1"/>
      <c r="V13573" s="1"/>
      <c r="W13573" s="1"/>
      <c r="X13573" s="1"/>
      <c r="Y13573" s="1"/>
      <c r="Z13573" s="1"/>
      <c r="AA13573" s="1"/>
      <c r="AB13573" s="1"/>
    </row>
    <row r="13574" ht="50.25" customHeight="1">
      <c r="A13574" s="12">
        <v>13570.0</v>
      </c>
      <c r="B13574" s="13" t="s">
        <v>12705</v>
      </c>
      <c r="C13574" s="14" t="s">
        <v>12914</v>
      </c>
      <c r="D13574" s="1"/>
      <c r="E13574" s="1"/>
      <c r="F13574" s="1" t="str">
        <f>IFERROR(__xludf.DUMMYFUNCTION("GOOGLETRANSLATE(B13574, ""en"", ""fa"")
"),"عکاسی و داستان سرایی تصویری")</f>
        <v>عکاسی و داستان سرایی تصویری</v>
      </c>
      <c r="G13574" s="1" t="str">
        <f>IFERROR(__xludf.DUMMYFUNCTION("GOOGLETRANSLATE(C13574, ""en"", ""fa"")
"),"بهترین تکنیک ها برای استفاده از استعاره های بصری برای انتقال مفاهیم پیچیده چیست؟")</f>
        <v>بهترین تکنیک ها برای استفاده از استعاره های بصری برای انتقال مفاهیم پیچیده چیست؟</v>
      </c>
      <c r="H13574" s="1"/>
      <c r="I13574" s="1"/>
      <c r="J13574" s="1"/>
      <c r="K13574" s="1"/>
      <c r="L13574" s="1"/>
      <c r="M13574" s="1"/>
      <c r="N13574" s="1"/>
      <c r="O13574" s="1"/>
      <c r="P13574" s="1"/>
      <c r="Q13574" s="1"/>
      <c r="R13574" s="1"/>
      <c r="S13574" s="1"/>
      <c r="T13574" s="1"/>
      <c r="U13574" s="1"/>
      <c r="V13574" s="1"/>
      <c r="W13574" s="1"/>
      <c r="X13574" s="1"/>
      <c r="Y13574" s="1"/>
      <c r="Z13574" s="1"/>
      <c r="AA13574" s="1"/>
      <c r="AB13574" s="1"/>
    </row>
    <row r="13575" ht="50.25" customHeight="1">
      <c r="A13575" s="12">
        <v>13571.0</v>
      </c>
      <c r="B13575" s="13" t="s">
        <v>12705</v>
      </c>
      <c r="C13575" s="14" t="s">
        <v>12915</v>
      </c>
      <c r="D13575" s="1"/>
      <c r="E13575" s="1"/>
      <c r="F13575" s="1" t="str">
        <f>IFERROR(__xludf.DUMMYFUNCTION("GOOGLETRANSLATE(B13575, ""en"", ""fa"")
"),"عکاسی و داستان سرایی تصویری")</f>
        <v>عکاسی و داستان سرایی تصویری</v>
      </c>
      <c r="G13575" s="1" t="str">
        <f>IFERROR(__xludf.DUMMYFUNCTION("GOOGLETRANSLATE(C13575, ""en"", ""fa"")
"),"چگونه می توانم از حرکت و ژست برای گفتن داستان هایی از تعاملات انسانی در عکاسی استفاده کنم؟")</f>
        <v>چگونه می توانم از حرکت و ژست برای گفتن داستان هایی از تعاملات انسانی در عکاسی استفاده کنم؟</v>
      </c>
      <c r="H13575" s="1"/>
      <c r="I13575" s="1"/>
      <c r="J13575" s="1"/>
      <c r="K13575" s="1"/>
      <c r="L13575" s="1"/>
      <c r="M13575" s="1"/>
      <c r="N13575" s="1"/>
      <c r="O13575" s="1"/>
      <c r="P13575" s="1"/>
      <c r="Q13575" s="1"/>
      <c r="R13575" s="1"/>
      <c r="S13575" s="1"/>
      <c r="T13575" s="1"/>
      <c r="U13575" s="1"/>
      <c r="V13575" s="1"/>
      <c r="W13575" s="1"/>
      <c r="X13575" s="1"/>
      <c r="Y13575" s="1"/>
      <c r="Z13575" s="1"/>
      <c r="AA13575" s="1"/>
      <c r="AB13575" s="1"/>
    </row>
    <row r="13576" ht="50.25" customHeight="1">
      <c r="A13576" s="12">
        <v>13572.0</v>
      </c>
      <c r="B13576" s="13" t="s">
        <v>12705</v>
      </c>
      <c r="C13576" s="14" t="s">
        <v>12916</v>
      </c>
      <c r="D13576" s="1"/>
      <c r="E13576" s="1"/>
      <c r="F13576" s="1" t="str">
        <f>IFERROR(__xludf.DUMMYFUNCTION("GOOGLETRANSLATE(B13576, ""en"", ""fa"")
"),"عکاسی و داستان سرایی تصویری")</f>
        <v>عکاسی و داستان سرایی تصویری</v>
      </c>
      <c r="G13576" s="1" t="str">
        <f>IFERROR(__xludf.DUMMYFUNCTION("GOOGLETRANSLATE(C13576, ""en"", ""fa"")
"),"مراحل ایجاد یک داستان بصری که تأثیر فناوری مدرن را مستند کند چیست؟")</f>
        <v>مراحل ایجاد یک داستان بصری که تأثیر فناوری مدرن را مستند کند چیست؟</v>
      </c>
      <c r="H13576" s="1"/>
      <c r="I13576" s="1"/>
      <c r="J13576" s="1"/>
      <c r="K13576" s="1"/>
      <c r="L13576" s="1"/>
      <c r="M13576" s="1"/>
      <c r="N13576" s="1"/>
      <c r="O13576" s="1"/>
      <c r="P13576" s="1"/>
      <c r="Q13576" s="1"/>
      <c r="R13576" s="1"/>
      <c r="S13576" s="1"/>
      <c r="T13576" s="1"/>
      <c r="U13576" s="1"/>
      <c r="V13576" s="1"/>
      <c r="W13576" s="1"/>
      <c r="X13576" s="1"/>
      <c r="Y13576" s="1"/>
      <c r="Z13576" s="1"/>
      <c r="AA13576" s="1"/>
      <c r="AB13576" s="1"/>
    </row>
    <row r="13577" ht="50.25" customHeight="1">
      <c r="A13577" s="12">
        <v>13573.0</v>
      </c>
      <c r="B13577" s="13" t="s">
        <v>12705</v>
      </c>
      <c r="C13577" s="14" t="s">
        <v>12917</v>
      </c>
      <c r="D13577" s="1"/>
      <c r="E13577" s="1"/>
      <c r="F13577" s="1" t="str">
        <f>IFERROR(__xludf.DUMMYFUNCTION("GOOGLETRANSLATE(B13577, ""en"", ""fa"")
"),"عکاسی و داستان سرایی تصویری")</f>
        <v>عکاسی و داستان سرایی تصویری</v>
      </c>
      <c r="G13577" s="1" t="str">
        <f>IFERROR(__xludf.DUMMYFUNCTION("GOOGLETRANSLATE(C13577, ""en"", ""fa"")
"),"چگونه می توانم احساسات و جوهر پیوندهای خانوادگی را از طریق عکاسی به تصویر بکشم؟")</f>
        <v>چگونه می توانم احساسات و جوهر پیوندهای خانوادگی را از طریق عکاسی به تصویر بکشم؟</v>
      </c>
      <c r="H13577" s="1"/>
      <c r="I13577" s="1"/>
      <c r="J13577" s="1"/>
      <c r="K13577" s="1"/>
      <c r="L13577" s="1"/>
      <c r="M13577" s="1"/>
      <c r="N13577" s="1"/>
      <c r="O13577" s="1"/>
      <c r="P13577" s="1"/>
      <c r="Q13577" s="1"/>
      <c r="R13577" s="1"/>
      <c r="S13577" s="1"/>
      <c r="T13577" s="1"/>
      <c r="U13577" s="1"/>
      <c r="V13577" s="1"/>
      <c r="W13577" s="1"/>
      <c r="X13577" s="1"/>
      <c r="Y13577" s="1"/>
      <c r="Z13577" s="1"/>
      <c r="AA13577" s="1"/>
      <c r="AB13577" s="1"/>
    </row>
    <row r="13578" ht="50.25" customHeight="1">
      <c r="A13578" s="12">
        <v>13574.0</v>
      </c>
      <c r="B13578" s="13" t="s">
        <v>12705</v>
      </c>
      <c r="C13578" s="14" t="s">
        <v>12918</v>
      </c>
      <c r="D13578" s="1"/>
      <c r="E13578" s="1"/>
      <c r="F13578" s="1" t="str">
        <f>IFERROR(__xludf.DUMMYFUNCTION("GOOGLETRANSLATE(B13578, ""en"", ""fa"")
"),"عکاسی و داستان سرایی تصویری")</f>
        <v>عکاسی و داستان سرایی تصویری</v>
      </c>
      <c r="G13578" s="1" t="str">
        <f>IFERROR(__xludf.DUMMYFUNCTION("GOOGLETRANSLATE(C13578, ""en"", ""fa"")
"),"آیا می توانید راهکارهایی برای عکاسی از تقاطع فرهنگ ها و سنت ها توصیه کنید؟")</f>
        <v>آیا می توانید راهکارهایی برای عکاسی از تقاطع فرهنگ ها و سنت ها توصیه کنید؟</v>
      </c>
      <c r="H13578" s="1"/>
      <c r="I13578" s="1"/>
      <c r="J13578" s="1"/>
      <c r="K13578" s="1"/>
      <c r="L13578" s="1"/>
      <c r="M13578" s="1"/>
      <c r="N13578" s="1"/>
      <c r="O13578" s="1"/>
      <c r="P13578" s="1"/>
      <c r="Q13578" s="1"/>
      <c r="R13578" s="1"/>
      <c r="S13578" s="1"/>
      <c r="T13578" s="1"/>
      <c r="U13578" s="1"/>
      <c r="V13578" s="1"/>
      <c r="W13578" s="1"/>
      <c r="X13578" s="1"/>
      <c r="Y13578" s="1"/>
      <c r="Z13578" s="1"/>
      <c r="AA13578" s="1"/>
      <c r="AB13578" s="1"/>
    </row>
    <row r="13579" ht="50.25" customHeight="1">
      <c r="A13579" s="12">
        <v>13575.0</v>
      </c>
      <c r="B13579" s="13" t="s">
        <v>12705</v>
      </c>
      <c r="C13579" s="14" t="s">
        <v>12919</v>
      </c>
      <c r="D13579" s="1"/>
      <c r="E13579" s="1"/>
      <c r="F13579" s="1" t="str">
        <f>IFERROR(__xludf.DUMMYFUNCTION("GOOGLETRANSLATE(B13579, ""en"", ""fa"")
"),"عکاسی و داستان سرایی تصویری")</f>
        <v>عکاسی و داستان سرایی تصویری</v>
      </c>
      <c r="G13579" s="1" t="str">
        <f>IFERROR(__xludf.DUMMYFUNCTION("GOOGLETRANSLATE(C13579, ""en"", ""fa"")
"),"بهترین شیوه ها برای استفاده از نمادگرایی برای افزودن لایه های معنا به عکس های داستان گویی چیست؟")</f>
        <v>بهترین شیوه ها برای استفاده از نمادگرایی برای افزودن لایه های معنا به عکس های داستان گویی چیست؟</v>
      </c>
      <c r="H13579" s="1"/>
      <c r="I13579" s="1"/>
      <c r="J13579" s="1"/>
      <c r="K13579" s="1"/>
      <c r="L13579" s="1"/>
      <c r="M13579" s="1"/>
      <c r="N13579" s="1"/>
      <c r="O13579" s="1"/>
      <c r="P13579" s="1"/>
      <c r="Q13579" s="1"/>
      <c r="R13579" s="1"/>
      <c r="S13579" s="1"/>
      <c r="T13579" s="1"/>
      <c r="U13579" s="1"/>
      <c r="V13579" s="1"/>
      <c r="W13579" s="1"/>
      <c r="X13579" s="1"/>
      <c r="Y13579" s="1"/>
      <c r="Z13579" s="1"/>
      <c r="AA13579" s="1"/>
      <c r="AB13579" s="1"/>
    </row>
    <row r="13580" ht="50.25" customHeight="1">
      <c r="A13580" s="12">
        <v>13576.0</v>
      </c>
      <c r="B13580" s="13" t="s">
        <v>12705</v>
      </c>
      <c r="C13580" s="14" t="s">
        <v>12920</v>
      </c>
      <c r="D13580" s="1"/>
      <c r="E13580" s="1"/>
      <c r="F13580" s="1" t="str">
        <f>IFERROR(__xludf.DUMMYFUNCTION("GOOGLETRANSLATE(B13580, ""en"", ""fa"")
"),"عکاسی و داستان سرایی تصویری")</f>
        <v>عکاسی و داستان سرایی تصویری</v>
      </c>
      <c r="G13580" s="1" t="str">
        <f>IFERROR(__xludf.DUMMYFUNCTION("GOOGLETRANSLATE(C13580, ""en"", ""fa"")
"),"چگونه می توانم از داستان سرایی تصویری برای برجسته کردن زیبایی تنوع در همه اشکال آن استفاده کنم؟")</f>
        <v>چگونه می توانم از داستان سرایی تصویری برای برجسته کردن زیبایی تنوع در همه اشکال آن استفاده کنم؟</v>
      </c>
      <c r="H13580" s="1"/>
      <c r="I13580" s="1"/>
      <c r="J13580" s="1"/>
      <c r="K13580" s="1"/>
      <c r="L13580" s="1"/>
      <c r="M13580" s="1"/>
      <c r="N13580" s="1"/>
      <c r="O13580" s="1"/>
      <c r="P13580" s="1"/>
      <c r="Q13580" s="1"/>
      <c r="R13580" s="1"/>
      <c r="S13580" s="1"/>
      <c r="T13580" s="1"/>
      <c r="U13580" s="1"/>
      <c r="V13580" s="1"/>
      <c r="W13580" s="1"/>
      <c r="X13580" s="1"/>
      <c r="Y13580" s="1"/>
      <c r="Z13580" s="1"/>
      <c r="AA13580" s="1"/>
      <c r="AB13580" s="1"/>
    </row>
    <row r="13581" ht="50.25" customHeight="1">
      <c r="A13581" s="12">
        <v>13577.0</v>
      </c>
      <c r="B13581" s="13" t="s">
        <v>12705</v>
      </c>
      <c r="C13581" s="14" t="s">
        <v>12921</v>
      </c>
      <c r="D13581" s="1"/>
      <c r="E13581" s="1"/>
      <c r="F13581" s="1" t="str">
        <f>IFERROR(__xludf.DUMMYFUNCTION("GOOGLETRANSLATE(B13581, ""en"", ""fa"")
"),"عکاسی و داستان سرایی تصویری")</f>
        <v>عکاسی و داستان سرایی تصویری</v>
      </c>
      <c r="G13581" s="1" t="str">
        <f>IFERROR(__xludf.DUMMYFUNCTION("GOOGLETRANSLATE(C13581, ""en"", ""fa"")
"),"مراحل ایجاد یک روایت بصری که استحکام پیوندهای انسانی را به تصویر می کشد چیست؟")</f>
        <v>مراحل ایجاد یک روایت بصری که استحکام پیوندهای انسانی را به تصویر می کشد چیست؟</v>
      </c>
      <c r="H13581" s="1"/>
      <c r="I13581" s="1"/>
      <c r="J13581" s="1"/>
      <c r="K13581" s="1"/>
      <c r="L13581" s="1"/>
      <c r="M13581" s="1"/>
      <c r="N13581" s="1"/>
      <c r="O13581" s="1"/>
      <c r="P13581" s="1"/>
      <c r="Q13581" s="1"/>
      <c r="R13581" s="1"/>
      <c r="S13581" s="1"/>
      <c r="T13581" s="1"/>
      <c r="U13581" s="1"/>
      <c r="V13581" s="1"/>
      <c r="W13581" s="1"/>
      <c r="X13581" s="1"/>
      <c r="Y13581" s="1"/>
      <c r="Z13581" s="1"/>
      <c r="AA13581" s="1"/>
      <c r="AB13581" s="1"/>
    </row>
    <row r="13582" ht="50.25" customHeight="1">
      <c r="A13582" s="12">
        <v>13578.0</v>
      </c>
      <c r="B13582" s="13" t="s">
        <v>12705</v>
      </c>
      <c r="C13582" s="14" t="s">
        <v>12922</v>
      </c>
      <c r="D13582" s="1"/>
      <c r="E13582" s="1"/>
      <c r="F13582" s="1" t="str">
        <f>IFERROR(__xludf.DUMMYFUNCTION("GOOGLETRANSLATE(B13582, ""en"", ""fa"")
"),"عکاسی و داستان سرایی تصویری")</f>
        <v>عکاسی و داستان سرایی تصویری</v>
      </c>
      <c r="G13582" s="1" t="str">
        <f>IFERROR(__xludf.DUMMYFUNCTION("GOOGLETRANSLATE(C13582, ""en"", ""fa"")
"),"چگونه می توانم مفهوم زمان را در عکاسی داستان سرایی بصری خود بگنجانم؟")</f>
        <v>چگونه می توانم مفهوم زمان را در عکاسی داستان سرایی بصری خود بگنجانم؟</v>
      </c>
      <c r="H13582" s="1"/>
      <c r="I13582" s="1"/>
      <c r="J13582" s="1"/>
      <c r="K13582" s="1"/>
      <c r="L13582" s="1"/>
      <c r="M13582" s="1"/>
      <c r="N13582" s="1"/>
      <c r="O13582" s="1"/>
      <c r="P13582" s="1"/>
      <c r="Q13582" s="1"/>
      <c r="R13582" s="1"/>
      <c r="S13582" s="1"/>
      <c r="T13582" s="1"/>
      <c r="U13582" s="1"/>
      <c r="V13582" s="1"/>
      <c r="W13582" s="1"/>
      <c r="X13582" s="1"/>
      <c r="Y13582" s="1"/>
      <c r="Z13582" s="1"/>
      <c r="AA13582" s="1"/>
      <c r="AB13582" s="1"/>
    </row>
    <row r="13583" ht="50.25" customHeight="1">
      <c r="A13583" s="12">
        <v>13579.0</v>
      </c>
      <c r="B13583" s="13" t="s">
        <v>12705</v>
      </c>
      <c r="C13583" s="14" t="s">
        <v>12923</v>
      </c>
      <c r="D13583" s="1"/>
      <c r="E13583" s="1"/>
      <c r="F13583" s="1" t="str">
        <f>IFERROR(__xludf.DUMMYFUNCTION("GOOGLETRANSLATE(B13583, ""en"", ""fa"")
"),"عکاسی و داستان سرایی تصویری")</f>
        <v>عکاسی و داستان سرایی تصویری</v>
      </c>
      <c r="G13583" s="1" t="str">
        <f>IFERROR(__xludf.DUMMYFUNCTION("GOOGLETRANSLATE(C13583, ""en"", ""fa"")
"),"آیا می‌توانید تکنیک‌هایی را برای استفاده از بافت و الگوها برای ایجاد روایت‌های جذاب پیشنهاد کنید؟")</f>
        <v>آیا می‌توانید تکنیک‌هایی را برای استفاده از بافت و الگوها برای ایجاد روایت‌های جذاب پیشنهاد کنید؟</v>
      </c>
      <c r="H13583" s="1"/>
      <c r="I13583" s="1"/>
      <c r="J13583" s="1"/>
      <c r="K13583" s="1"/>
      <c r="L13583" s="1"/>
      <c r="M13583" s="1"/>
      <c r="N13583" s="1"/>
      <c r="O13583" s="1"/>
      <c r="P13583" s="1"/>
      <c r="Q13583" s="1"/>
      <c r="R13583" s="1"/>
      <c r="S13583" s="1"/>
      <c r="T13583" s="1"/>
      <c r="U13583" s="1"/>
      <c r="V13583" s="1"/>
      <c r="W13583" s="1"/>
      <c r="X13583" s="1"/>
      <c r="Y13583" s="1"/>
      <c r="Z13583" s="1"/>
      <c r="AA13583" s="1"/>
      <c r="AB13583" s="1"/>
    </row>
    <row r="13584" ht="50.25" customHeight="1">
      <c r="A13584" s="12">
        <v>13580.0</v>
      </c>
      <c r="B13584" s="13" t="s">
        <v>12705</v>
      </c>
      <c r="C13584" s="14" t="s">
        <v>12924</v>
      </c>
      <c r="D13584" s="1"/>
      <c r="E13584" s="1"/>
      <c r="F13584" s="1" t="str">
        <f>IFERROR(__xludf.DUMMYFUNCTION("GOOGLETRANSLATE(B13584, ""en"", ""fa"")
"),"عکاسی و داستان سرایی تصویری")</f>
        <v>عکاسی و داستان سرایی تصویری</v>
      </c>
      <c r="G13584" s="1" t="str">
        <f>IFERROR(__xludf.DUMMYFUNCTION("GOOGLETRANSLATE(C13584, ""en"", ""fa"")
"),"بهترین تکنیک ها برای ثبت زیبایی و احساسات لحظه های صمیمانه چیست؟")</f>
        <v>بهترین تکنیک ها برای ثبت زیبایی و احساسات لحظه های صمیمانه چیست؟</v>
      </c>
      <c r="H13584" s="1"/>
      <c r="I13584" s="1"/>
      <c r="J13584" s="1"/>
      <c r="K13584" s="1"/>
      <c r="L13584" s="1"/>
      <c r="M13584" s="1"/>
      <c r="N13584" s="1"/>
      <c r="O13584" s="1"/>
      <c r="P13584" s="1"/>
      <c r="Q13584" s="1"/>
      <c r="R13584" s="1"/>
      <c r="S13584" s="1"/>
      <c r="T13584" s="1"/>
      <c r="U13584" s="1"/>
      <c r="V13584" s="1"/>
      <c r="W13584" s="1"/>
      <c r="X13584" s="1"/>
      <c r="Y13584" s="1"/>
      <c r="Z13584" s="1"/>
      <c r="AA13584" s="1"/>
      <c r="AB13584" s="1"/>
    </row>
    <row r="13585" ht="50.25" customHeight="1">
      <c r="A13585" s="12">
        <v>13581.0</v>
      </c>
      <c r="B13585" s="13" t="s">
        <v>12705</v>
      </c>
      <c r="C13585" s="14" t="s">
        <v>12925</v>
      </c>
      <c r="D13585" s="1"/>
      <c r="E13585" s="1"/>
      <c r="F13585" s="1" t="str">
        <f>IFERROR(__xludf.DUMMYFUNCTION("GOOGLETRANSLATE(B13585, ""en"", ""fa"")
"),"عکاسی و داستان سرایی تصویری")</f>
        <v>عکاسی و داستان سرایی تصویری</v>
      </c>
      <c r="G13585" s="1" t="str">
        <f>IFERROR(__xludf.DUMMYFUNCTION("GOOGLETRANSLATE(C13585, ""en"", ""fa"")
"),"چگونه می توانم از استعاره های بصری برای روشن کردن مسائل اجتماعی و فرهنگی استفاده کنم؟")</f>
        <v>چگونه می توانم از استعاره های بصری برای روشن کردن مسائل اجتماعی و فرهنگی استفاده کنم؟</v>
      </c>
      <c r="H13585" s="1"/>
      <c r="I13585" s="1"/>
      <c r="J13585" s="1"/>
      <c r="K13585" s="1"/>
      <c r="L13585" s="1"/>
      <c r="M13585" s="1"/>
      <c r="N13585" s="1"/>
      <c r="O13585" s="1"/>
      <c r="P13585" s="1"/>
      <c r="Q13585" s="1"/>
      <c r="R13585" s="1"/>
      <c r="S13585" s="1"/>
      <c r="T13585" s="1"/>
      <c r="U13585" s="1"/>
      <c r="V13585" s="1"/>
      <c r="W13585" s="1"/>
      <c r="X13585" s="1"/>
      <c r="Y13585" s="1"/>
      <c r="Z13585" s="1"/>
      <c r="AA13585" s="1"/>
      <c r="AB13585" s="1"/>
    </row>
    <row r="13586" ht="50.25" customHeight="1">
      <c r="A13586" s="12">
        <v>13582.0</v>
      </c>
      <c r="B13586" s="13" t="s">
        <v>12705</v>
      </c>
      <c r="C13586" s="14" t="s">
        <v>12926</v>
      </c>
      <c r="D13586" s="1"/>
      <c r="E13586" s="1"/>
      <c r="F13586" s="1" t="str">
        <f>IFERROR(__xludf.DUMMYFUNCTION("GOOGLETRANSLATE(B13586, ""en"", ""fa"")
"),"عکاسی و داستان سرایی تصویری")</f>
        <v>عکاسی و داستان سرایی تصویری</v>
      </c>
      <c r="G13586" s="1" t="str">
        <f>IFERROR(__xludf.DUMMYFUNCTION("GOOGLETRANSLATE(C13586, ""en"", ""fa"")
"),"مراحل ایجاد یک داستان بصری که پیوندهای جامعه را جشن می گیرد چیست؟")</f>
        <v>مراحل ایجاد یک داستان بصری که پیوندهای جامعه را جشن می گیرد چیست؟</v>
      </c>
      <c r="H13586" s="1"/>
      <c r="I13586" s="1"/>
      <c r="J13586" s="1"/>
      <c r="K13586" s="1"/>
      <c r="L13586" s="1"/>
      <c r="M13586" s="1"/>
      <c r="N13586" s="1"/>
      <c r="O13586" s="1"/>
      <c r="P13586" s="1"/>
      <c r="Q13586" s="1"/>
      <c r="R13586" s="1"/>
      <c r="S13586" s="1"/>
      <c r="T13586" s="1"/>
      <c r="U13586" s="1"/>
      <c r="V13586" s="1"/>
      <c r="W13586" s="1"/>
      <c r="X13586" s="1"/>
      <c r="Y13586" s="1"/>
      <c r="Z13586" s="1"/>
      <c r="AA13586" s="1"/>
      <c r="AB13586" s="1"/>
    </row>
    <row r="13587" ht="50.25" customHeight="1">
      <c r="A13587" s="12">
        <v>13583.0</v>
      </c>
      <c r="B13587" s="13" t="s">
        <v>12705</v>
      </c>
      <c r="C13587" s="14" t="s">
        <v>12927</v>
      </c>
      <c r="D13587" s="1"/>
      <c r="E13587" s="1"/>
      <c r="F13587" s="1" t="str">
        <f>IFERROR(__xludf.DUMMYFUNCTION("GOOGLETRANSLATE(B13587, ""en"", ""fa"")
"),"عکاسی و داستان سرایی تصویری")</f>
        <v>عکاسی و داستان سرایی تصویری</v>
      </c>
      <c r="G13587" s="1" t="str">
        <f>IFERROR(__xludf.DUMMYFUNCTION("GOOGLETRANSLATE(C13587, ""en"", ""fa"")
"),"چگونه می توانم جوهر احساسات انسانی را از طریق حالات چهره در عکاسی به تصویر بکشم؟")</f>
        <v>چگونه می توانم جوهر احساسات انسانی را از طریق حالات چهره در عکاسی به تصویر بکشم؟</v>
      </c>
      <c r="H13587" s="1"/>
      <c r="I13587" s="1"/>
      <c r="J13587" s="1"/>
      <c r="K13587" s="1"/>
      <c r="L13587" s="1"/>
      <c r="M13587" s="1"/>
      <c r="N13587" s="1"/>
      <c r="O13587" s="1"/>
      <c r="P13587" s="1"/>
      <c r="Q13587" s="1"/>
      <c r="R13587" s="1"/>
      <c r="S13587" s="1"/>
      <c r="T13587" s="1"/>
      <c r="U13587" s="1"/>
      <c r="V13587" s="1"/>
      <c r="W13587" s="1"/>
      <c r="X13587" s="1"/>
      <c r="Y13587" s="1"/>
      <c r="Z13587" s="1"/>
      <c r="AA13587" s="1"/>
      <c r="AB13587" s="1"/>
    </row>
    <row r="13588" ht="50.25" customHeight="1">
      <c r="A13588" s="12">
        <v>13584.0</v>
      </c>
      <c r="B13588" s="13" t="s">
        <v>12705</v>
      </c>
      <c r="C13588" s="14" t="s">
        <v>12928</v>
      </c>
      <c r="D13588" s="1"/>
      <c r="E13588" s="1"/>
      <c r="F13588" s="1" t="str">
        <f>IFERROR(__xludf.DUMMYFUNCTION("GOOGLETRANSLATE(B13588, ""en"", ""fa"")
"),"عکاسی و داستان سرایی تصویری")</f>
        <v>عکاسی و داستان سرایی تصویری</v>
      </c>
      <c r="G13588" s="1" t="str">
        <f>IFERROR(__xludf.DUMMYFUNCTION("GOOGLETRANSLATE(C13588, ""en"", ""fa"")
"),"آیا می توانید راهکارهایی را برای عکاسی از انرژی و نشاط زندگی شهری توصیه کنید؟")</f>
        <v>آیا می توانید راهکارهایی را برای عکاسی از انرژی و نشاط زندگی شهری توصیه کنید؟</v>
      </c>
      <c r="H13588" s="1"/>
      <c r="I13588" s="1"/>
      <c r="J13588" s="1"/>
      <c r="K13588" s="1"/>
      <c r="L13588" s="1"/>
      <c r="M13588" s="1"/>
      <c r="N13588" s="1"/>
      <c r="O13588" s="1"/>
      <c r="P13588" s="1"/>
      <c r="Q13588" s="1"/>
      <c r="R13588" s="1"/>
      <c r="S13588" s="1"/>
      <c r="T13588" s="1"/>
      <c r="U13588" s="1"/>
      <c r="V13588" s="1"/>
      <c r="W13588" s="1"/>
      <c r="X13588" s="1"/>
      <c r="Y13588" s="1"/>
      <c r="Z13588" s="1"/>
      <c r="AA13588" s="1"/>
      <c r="AB13588" s="1"/>
    </row>
    <row r="13589" ht="50.25" customHeight="1">
      <c r="A13589" s="12">
        <v>13585.0</v>
      </c>
      <c r="B13589" s="13" t="s">
        <v>12705</v>
      </c>
      <c r="C13589" s="14" t="s">
        <v>12929</v>
      </c>
      <c r="D13589" s="1"/>
      <c r="E13589" s="1"/>
      <c r="F13589" s="1" t="str">
        <f>IFERROR(__xludf.DUMMYFUNCTION("GOOGLETRANSLATE(B13589, ""en"", ""fa"")
"),"عکاسی و داستان سرایی تصویری")</f>
        <v>عکاسی و داستان سرایی تصویری</v>
      </c>
      <c r="G13589" s="1" t="str">
        <f>IFERROR(__xludf.DUMMYFUNCTION("GOOGLETRANSLATE(C13589, ""en"", ""fa"")
"),"بهترین شیوه برای استفاده از داستان سرایی تصویری برای ثبت رشد شخصی چیست؟")</f>
        <v>بهترین شیوه برای استفاده از داستان سرایی تصویری برای ثبت رشد شخصی چیست؟</v>
      </c>
      <c r="H13589" s="1"/>
      <c r="I13589" s="1"/>
      <c r="J13589" s="1"/>
      <c r="K13589" s="1"/>
      <c r="L13589" s="1"/>
      <c r="M13589" s="1"/>
      <c r="N13589" s="1"/>
      <c r="O13589" s="1"/>
      <c r="P13589" s="1"/>
      <c r="Q13589" s="1"/>
      <c r="R13589" s="1"/>
      <c r="S13589" s="1"/>
      <c r="T13589" s="1"/>
      <c r="U13589" s="1"/>
      <c r="V13589" s="1"/>
      <c r="W13589" s="1"/>
      <c r="X13589" s="1"/>
      <c r="Y13589" s="1"/>
      <c r="Z13589" s="1"/>
      <c r="AA13589" s="1"/>
      <c r="AB13589" s="1"/>
    </row>
    <row r="13590" ht="50.25" customHeight="1">
      <c r="A13590" s="12">
        <v>13586.0</v>
      </c>
      <c r="B13590" s="13" t="s">
        <v>12705</v>
      </c>
      <c r="C13590" s="14" t="s">
        <v>12930</v>
      </c>
      <c r="D13590" s="1"/>
      <c r="E13590" s="1"/>
      <c r="F13590" s="1" t="str">
        <f>IFERROR(__xludf.DUMMYFUNCTION("GOOGLETRANSLATE(B13590, ""en"", ""fa"")
"),"عکاسی و داستان سرایی تصویری")</f>
        <v>عکاسی و داستان سرایی تصویری</v>
      </c>
      <c r="G13590" s="1" t="str">
        <f>IFERROR(__xludf.DUMMYFUNCTION("GOOGLETRANSLATE(C13590, ""en"", ""fa"")
"),"چگونه می توانم از تضادهای رنگی برای ایجاد روایت های بصری پویا استفاده کنم که توجه را به خود جلب کند؟")</f>
        <v>چگونه می توانم از تضادهای رنگی برای ایجاد روایت های بصری پویا استفاده کنم که توجه را به خود جلب کند؟</v>
      </c>
      <c r="H13590" s="1"/>
      <c r="I13590" s="1"/>
      <c r="J13590" s="1"/>
      <c r="K13590" s="1"/>
      <c r="L13590" s="1"/>
      <c r="M13590" s="1"/>
      <c r="N13590" s="1"/>
      <c r="O13590" s="1"/>
      <c r="P13590" s="1"/>
      <c r="Q13590" s="1"/>
      <c r="R13590" s="1"/>
      <c r="S13590" s="1"/>
      <c r="T13590" s="1"/>
      <c r="U13590" s="1"/>
      <c r="V13590" s="1"/>
      <c r="W13590" s="1"/>
      <c r="X13590" s="1"/>
      <c r="Y13590" s="1"/>
      <c r="Z13590" s="1"/>
      <c r="AA13590" s="1"/>
      <c r="AB13590" s="1"/>
    </row>
    <row r="13591" ht="50.25" customHeight="1">
      <c r="A13591" s="12">
        <v>13587.0</v>
      </c>
      <c r="B13591" s="13" t="s">
        <v>12705</v>
      </c>
      <c r="C13591" s="14" t="s">
        <v>12931</v>
      </c>
      <c r="D13591" s="1"/>
      <c r="E13591" s="1"/>
      <c r="F13591" s="1" t="str">
        <f>IFERROR(__xludf.DUMMYFUNCTION("GOOGLETRANSLATE(B13591, ""en"", ""fa"")
"),"عکاسی و داستان سرایی تصویری")</f>
        <v>عکاسی و داستان سرایی تصویری</v>
      </c>
      <c r="G13591" s="1" t="str">
        <f>IFERROR(__xludf.DUMMYFUNCTION("GOOGLETRANSLATE(C13591, ""en"", ""fa"")
"),"مراحل ایجاد یک داستان بصری که قدرت عزم انسان را منعکس کند چیست؟")</f>
        <v>مراحل ایجاد یک داستان بصری که قدرت عزم انسان را منعکس کند چیست؟</v>
      </c>
      <c r="H13591" s="1"/>
      <c r="I13591" s="1"/>
      <c r="J13591" s="1"/>
      <c r="K13591" s="1"/>
      <c r="L13591" s="1"/>
      <c r="M13591" s="1"/>
      <c r="N13591" s="1"/>
      <c r="O13591" s="1"/>
      <c r="P13591" s="1"/>
      <c r="Q13591" s="1"/>
      <c r="R13591" s="1"/>
      <c r="S13591" s="1"/>
      <c r="T13591" s="1"/>
      <c r="U13591" s="1"/>
      <c r="V13591" s="1"/>
      <c r="W13591" s="1"/>
      <c r="X13591" s="1"/>
      <c r="Y13591" s="1"/>
      <c r="Z13591" s="1"/>
      <c r="AA13591" s="1"/>
      <c r="AB13591" s="1"/>
    </row>
    <row r="13592" ht="50.25" customHeight="1">
      <c r="A13592" s="12">
        <v>13588.0</v>
      </c>
      <c r="B13592" s="13" t="s">
        <v>12705</v>
      </c>
      <c r="C13592" s="14" t="s">
        <v>12932</v>
      </c>
      <c r="D13592" s="1"/>
      <c r="E13592" s="1"/>
      <c r="F13592" s="1" t="str">
        <f>IFERROR(__xludf.DUMMYFUNCTION("GOOGLETRANSLATE(B13592, ""en"", ""fa"")
"),"عکاسی و داستان سرایی تصویری")</f>
        <v>عکاسی و داستان سرایی تصویری</v>
      </c>
      <c r="G13592" s="1" t="str">
        <f>IFERROR(__xludf.DUMMYFUNCTION("GOOGLETRANSLATE(C13592, ""en"", ""fa"")
"),"چگونه عناصر داستان سرایی را در عکاسی معماری و طراحی داخلی بگنجانم؟")</f>
        <v>چگونه عناصر داستان سرایی را در عکاسی معماری و طراحی داخلی بگنجانم؟</v>
      </c>
      <c r="H13592" s="1"/>
      <c r="I13592" s="1"/>
      <c r="J13592" s="1"/>
      <c r="K13592" s="1"/>
      <c r="L13592" s="1"/>
      <c r="M13592" s="1"/>
      <c r="N13592" s="1"/>
      <c r="O13592" s="1"/>
      <c r="P13592" s="1"/>
      <c r="Q13592" s="1"/>
      <c r="R13592" s="1"/>
      <c r="S13592" s="1"/>
      <c r="T13592" s="1"/>
      <c r="U13592" s="1"/>
      <c r="V13592" s="1"/>
      <c r="W13592" s="1"/>
      <c r="X13592" s="1"/>
      <c r="Y13592" s="1"/>
      <c r="Z13592" s="1"/>
      <c r="AA13592" s="1"/>
      <c r="AB13592" s="1"/>
    </row>
    <row r="13593" ht="50.25" customHeight="1">
      <c r="A13593" s="12">
        <v>13589.0</v>
      </c>
      <c r="B13593" s="13" t="s">
        <v>12705</v>
      </c>
      <c r="C13593" s="14" t="s">
        <v>12933</v>
      </c>
      <c r="D13593" s="1"/>
      <c r="E13593" s="1"/>
      <c r="F13593" s="1" t="str">
        <f>IFERROR(__xludf.DUMMYFUNCTION("GOOGLETRANSLATE(B13593, ""en"", ""fa"")
"),"عکاسی و داستان سرایی تصویری")</f>
        <v>عکاسی و داستان سرایی تصویری</v>
      </c>
      <c r="G13593" s="1" t="str">
        <f>IFERROR(__xludf.DUMMYFUNCTION("GOOGLETRANSLATE(C13593, ""en"", ""fa"")
"),"آیا می‌توانید راه‌هایی را برای استفاده از بازتاب و آینه‌سازی برای خلق روایت‌های قانع‌کننده پیشنهاد کنید؟")</f>
        <v>آیا می‌توانید راه‌هایی را برای استفاده از بازتاب و آینه‌سازی برای خلق روایت‌های قانع‌کننده پیشنهاد کنید؟</v>
      </c>
      <c r="H13593" s="1"/>
      <c r="I13593" s="1"/>
      <c r="J13593" s="1"/>
      <c r="K13593" s="1"/>
      <c r="L13593" s="1"/>
      <c r="M13593" s="1"/>
      <c r="N13593" s="1"/>
      <c r="O13593" s="1"/>
      <c r="P13593" s="1"/>
      <c r="Q13593" s="1"/>
      <c r="R13593" s="1"/>
      <c r="S13593" s="1"/>
      <c r="T13593" s="1"/>
      <c r="U13593" s="1"/>
      <c r="V13593" s="1"/>
      <c r="W13593" s="1"/>
      <c r="X13593" s="1"/>
      <c r="Y13593" s="1"/>
      <c r="Z13593" s="1"/>
      <c r="AA13593" s="1"/>
      <c r="AB13593" s="1"/>
    </row>
    <row r="13594" ht="50.25" customHeight="1">
      <c r="A13594" s="12">
        <v>13590.0</v>
      </c>
      <c r="B13594" s="13" t="s">
        <v>12705</v>
      </c>
      <c r="C13594" s="14" t="s">
        <v>12934</v>
      </c>
      <c r="D13594" s="1"/>
      <c r="E13594" s="1"/>
      <c r="F13594" s="1" t="str">
        <f>IFERROR(__xludf.DUMMYFUNCTION("GOOGLETRANSLATE(B13594, ""en"", ""fa"")
"),"عکاسی و داستان سرایی تصویری")</f>
        <v>عکاسی و داستان سرایی تصویری</v>
      </c>
      <c r="G13594" s="1" t="str">
        <f>IFERROR(__xludf.DUMMYFUNCTION("GOOGLETRANSLATE(C13594, ""en"", ""fa"")
"),"بهترین تکنیک ها برای استفاده از استعاره های بصری برای انتقال احساسات پیچیده چیست؟")</f>
        <v>بهترین تکنیک ها برای استفاده از استعاره های بصری برای انتقال احساسات پیچیده چیست؟</v>
      </c>
      <c r="H13594" s="1"/>
      <c r="I13594" s="1"/>
      <c r="J13594" s="1"/>
      <c r="K13594" s="1"/>
      <c r="L13594" s="1"/>
      <c r="M13594" s="1"/>
      <c r="N13594" s="1"/>
      <c r="O13594" s="1"/>
      <c r="P13594" s="1"/>
      <c r="Q13594" s="1"/>
      <c r="R13594" s="1"/>
      <c r="S13594" s="1"/>
      <c r="T13594" s="1"/>
      <c r="U13594" s="1"/>
      <c r="V13594" s="1"/>
      <c r="W13594" s="1"/>
      <c r="X13594" s="1"/>
      <c r="Y13594" s="1"/>
      <c r="Z13594" s="1"/>
      <c r="AA13594" s="1"/>
      <c r="AB13594" s="1"/>
    </row>
    <row r="13595" ht="50.25" customHeight="1">
      <c r="A13595" s="12">
        <v>13591.0</v>
      </c>
      <c r="B13595" s="13" t="s">
        <v>12705</v>
      </c>
      <c r="C13595" s="14" t="s">
        <v>12935</v>
      </c>
      <c r="D13595" s="1"/>
      <c r="E13595" s="1"/>
      <c r="F13595" s="1" t="str">
        <f>IFERROR(__xludf.DUMMYFUNCTION("GOOGLETRANSLATE(B13595, ""en"", ""fa"")
"),"عکاسی و داستان سرایی تصویری")</f>
        <v>عکاسی و داستان سرایی تصویری</v>
      </c>
      <c r="G13595" s="1" t="str">
        <f>IFERROR(__xludf.DUMMYFUNCTION("GOOGLETRANSLATE(C13595, ""en"", ""fa"")
"),"چگونه می توانم از داستان سرایی تصویری برای برجسته کردن سنت های فرهنگی مناطق مختلف استفاده کنم؟")</f>
        <v>چگونه می توانم از داستان سرایی تصویری برای برجسته کردن سنت های فرهنگی مناطق مختلف استفاده کنم؟</v>
      </c>
      <c r="H13595" s="1"/>
      <c r="I13595" s="1"/>
      <c r="J13595" s="1"/>
      <c r="K13595" s="1"/>
      <c r="L13595" s="1"/>
      <c r="M13595" s="1"/>
      <c r="N13595" s="1"/>
      <c r="O13595" s="1"/>
      <c r="P13595" s="1"/>
      <c r="Q13595" s="1"/>
      <c r="R13595" s="1"/>
      <c r="S13595" s="1"/>
      <c r="T13595" s="1"/>
      <c r="U13595" s="1"/>
      <c r="V13595" s="1"/>
      <c r="W13595" s="1"/>
      <c r="X13595" s="1"/>
      <c r="Y13595" s="1"/>
      <c r="Z13595" s="1"/>
      <c r="AA13595" s="1"/>
      <c r="AB13595" s="1"/>
    </row>
    <row r="13596" ht="50.25" customHeight="1">
      <c r="A13596" s="12">
        <v>13592.0</v>
      </c>
      <c r="B13596" s="13" t="s">
        <v>12705</v>
      </c>
      <c r="C13596" s="14" t="s">
        <v>12936</v>
      </c>
      <c r="D13596" s="1"/>
      <c r="E13596" s="1"/>
      <c r="F13596" s="1" t="str">
        <f>IFERROR(__xludf.DUMMYFUNCTION("GOOGLETRANSLATE(B13596, ""en"", ""fa"")
"),"عکاسی و داستان سرایی تصویری")</f>
        <v>عکاسی و داستان سرایی تصویری</v>
      </c>
      <c r="G13596" s="1" t="str">
        <f>IFERROR(__xludf.DUMMYFUNCTION("GOOGLETRANSLATE(C13596, ""en"", ""fa"")
"),"مراحل ایجاد یک داستان تصویری که زیبایی بیان هنری را به تصویر می کشد چیست؟")</f>
        <v>مراحل ایجاد یک داستان تصویری که زیبایی بیان هنری را به تصویر می کشد چیست؟</v>
      </c>
      <c r="H13596" s="1"/>
      <c r="I13596" s="1"/>
      <c r="J13596" s="1"/>
      <c r="K13596" s="1"/>
      <c r="L13596" s="1"/>
      <c r="M13596" s="1"/>
      <c r="N13596" s="1"/>
      <c r="O13596" s="1"/>
      <c r="P13596" s="1"/>
      <c r="Q13596" s="1"/>
      <c r="R13596" s="1"/>
      <c r="S13596" s="1"/>
      <c r="T13596" s="1"/>
      <c r="U13596" s="1"/>
      <c r="V13596" s="1"/>
      <c r="W13596" s="1"/>
      <c r="X13596" s="1"/>
      <c r="Y13596" s="1"/>
      <c r="Z13596" s="1"/>
      <c r="AA13596" s="1"/>
      <c r="AB13596" s="1"/>
    </row>
    <row r="13597" ht="50.25" customHeight="1">
      <c r="A13597" s="12">
        <v>13593.0</v>
      </c>
      <c r="B13597" s="13" t="s">
        <v>12705</v>
      </c>
      <c r="C13597" s="14" t="s">
        <v>12937</v>
      </c>
      <c r="D13597" s="1"/>
      <c r="E13597" s="1"/>
      <c r="F13597" s="1" t="str">
        <f>IFERROR(__xludf.DUMMYFUNCTION("GOOGLETRANSLATE(B13597, ""en"", ""fa"")
"),"عکاسی و داستان سرایی تصویری")</f>
        <v>عکاسی و داستان سرایی تصویری</v>
      </c>
      <c r="G13597" s="1" t="str">
        <f>IFERROR(__xludf.DUMMYFUNCTION("GOOGLETRANSLATE(C13597, ""en"", ""fa"")
"),"چگونه می توانم احساسات و تعاملات افراد را در عکاسی خیابانی صادقانه ثبت کنم؟")</f>
        <v>چگونه می توانم احساسات و تعاملات افراد را در عکاسی خیابانی صادقانه ثبت کنم؟</v>
      </c>
      <c r="H13597" s="1"/>
      <c r="I13597" s="1"/>
      <c r="J13597" s="1"/>
      <c r="K13597" s="1"/>
      <c r="L13597" s="1"/>
      <c r="M13597" s="1"/>
      <c r="N13597" s="1"/>
      <c r="O13597" s="1"/>
      <c r="P13597" s="1"/>
      <c r="Q13597" s="1"/>
      <c r="R13597" s="1"/>
      <c r="S13597" s="1"/>
      <c r="T13597" s="1"/>
      <c r="U13597" s="1"/>
      <c r="V13597" s="1"/>
      <c r="W13597" s="1"/>
      <c r="X13597" s="1"/>
      <c r="Y13597" s="1"/>
      <c r="Z13597" s="1"/>
      <c r="AA13597" s="1"/>
      <c r="AB13597" s="1"/>
    </row>
    <row r="13598" ht="50.25" customHeight="1">
      <c r="A13598" s="12">
        <v>13594.0</v>
      </c>
      <c r="B13598" s="13" t="s">
        <v>12705</v>
      </c>
      <c r="C13598" s="14" t="s">
        <v>12938</v>
      </c>
      <c r="D13598" s="1"/>
      <c r="E13598" s="1"/>
      <c r="F13598" s="1" t="str">
        <f>IFERROR(__xludf.DUMMYFUNCTION("GOOGLETRANSLATE(B13598, ""en"", ""fa"")
"),"عکاسی و داستان سرایی تصویری")</f>
        <v>عکاسی و داستان سرایی تصویری</v>
      </c>
      <c r="G13598" s="1" t="str">
        <f>IFERROR(__xludf.DUMMYFUNCTION("GOOGLETRANSLATE(C13598, ""en"", ""fa"")
"),"آیا می توانید استراتژی هایی را برای عکاسی از پیوندها و تعاملات دوستان توصیه کنید؟")</f>
        <v>آیا می توانید استراتژی هایی را برای عکاسی از پیوندها و تعاملات دوستان توصیه کنید؟</v>
      </c>
      <c r="H13598" s="1"/>
      <c r="I13598" s="1"/>
      <c r="J13598" s="1"/>
      <c r="K13598" s="1"/>
      <c r="L13598" s="1"/>
      <c r="M13598" s="1"/>
      <c r="N13598" s="1"/>
      <c r="O13598" s="1"/>
      <c r="P13598" s="1"/>
      <c r="Q13598" s="1"/>
      <c r="R13598" s="1"/>
      <c r="S13598" s="1"/>
      <c r="T13598" s="1"/>
      <c r="U13598" s="1"/>
      <c r="V13598" s="1"/>
      <c r="W13598" s="1"/>
      <c r="X13598" s="1"/>
      <c r="Y13598" s="1"/>
      <c r="Z13598" s="1"/>
      <c r="AA13598" s="1"/>
      <c r="AB13598" s="1"/>
    </row>
    <row r="13599" ht="50.25" customHeight="1">
      <c r="A13599" s="12">
        <v>13595.0</v>
      </c>
      <c r="B13599" s="13" t="s">
        <v>12705</v>
      </c>
      <c r="C13599" s="14" t="s">
        <v>12939</v>
      </c>
      <c r="D13599" s="1"/>
      <c r="E13599" s="1"/>
      <c r="F13599" s="1" t="str">
        <f>IFERROR(__xludf.DUMMYFUNCTION("GOOGLETRANSLATE(B13599, ""en"", ""fa"")
"),"عکاسی و داستان سرایی تصویری")</f>
        <v>عکاسی و داستان سرایی تصویری</v>
      </c>
      <c r="G13599" s="1" t="str">
        <f>IFERROR(__xludf.DUMMYFUNCTION("GOOGLETRANSLATE(C13599, ""en"", ""fa"")
"),"بهترین شیوه ها برای استفاده از نمادگرایی برای انتقال موضوع تغییر در داستان گویی چیست؟")</f>
        <v>بهترین شیوه ها برای استفاده از نمادگرایی برای انتقال موضوع تغییر در داستان گویی چیست؟</v>
      </c>
      <c r="H13599" s="1"/>
      <c r="I13599" s="1"/>
      <c r="J13599" s="1"/>
      <c r="K13599" s="1"/>
      <c r="L13599" s="1"/>
      <c r="M13599" s="1"/>
      <c r="N13599" s="1"/>
      <c r="O13599" s="1"/>
      <c r="P13599" s="1"/>
      <c r="Q13599" s="1"/>
      <c r="R13599" s="1"/>
      <c r="S13599" s="1"/>
      <c r="T13599" s="1"/>
      <c r="U13599" s="1"/>
      <c r="V13599" s="1"/>
      <c r="W13599" s="1"/>
      <c r="X13599" s="1"/>
      <c r="Y13599" s="1"/>
      <c r="Z13599" s="1"/>
      <c r="AA13599" s="1"/>
      <c r="AB13599" s="1"/>
    </row>
    <row r="13600" ht="50.25" customHeight="1">
      <c r="A13600" s="12">
        <v>13596.0</v>
      </c>
      <c r="B13600" s="13" t="s">
        <v>12705</v>
      </c>
      <c r="C13600" s="14" t="s">
        <v>12940</v>
      </c>
      <c r="D13600" s="1"/>
      <c r="E13600" s="1"/>
      <c r="F13600" s="1" t="str">
        <f>IFERROR(__xludf.DUMMYFUNCTION("GOOGLETRANSLATE(B13600, ""en"", ""fa"")
"),"عکاسی و داستان سرایی تصویری")</f>
        <v>عکاسی و داستان سرایی تصویری</v>
      </c>
      <c r="G13600" s="1" t="str">
        <f>IFERROR(__xludf.DUMMYFUNCTION("GOOGLETRANSLATE(C13600, ""en"", ""fa"")
"),"چگونه می توانم از داستان سرایی تصویری برای افزایش آگاهی در مورد سلامت روان و رفاه استفاده کنم؟")</f>
        <v>چگونه می توانم از داستان سرایی تصویری برای افزایش آگاهی در مورد سلامت روان و رفاه استفاده کنم؟</v>
      </c>
      <c r="H13600" s="1"/>
      <c r="I13600" s="1"/>
      <c r="J13600" s="1"/>
      <c r="K13600" s="1"/>
      <c r="L13600" s="1"/>
      <c r="M13600" s="1"/>
      <c r="N13600" s="1"/>
      <c r="O13600" s="1"/>
      <c r="P13600" s="1"/>
      <c r="Q13600" s="1"/>
      <c r="R13600" s="1"/>
      <c r="S13600" s="1"/>
      <c r="T13600" s="1"/>
      <c r="U13600" s="1"/>
      <c r="V13600" s="1"/>
      <c r="W13600" s="1"/>
      <c r="X13600" s="1"/>
      <c r="Y13600" s="1"/>
      <c r="Z13600" s="1"/>
      <c r="AA13600" s="1"/>
      <c r="AB13600" s="1"/>
    </row>
    <row r="13601" ht="50.25" customHeight="1">
      <c r="A13601" s="12">
        <v>13597.0</v>
      </c>
      <c r="B13601" s="13" t="s">
        <v>12705</v>
      </c>
      <c r="C13601" s="14" t="s">
        <v>12941</v>
      </c>
      <c r="D13601" s="1"/>
      <c r="E13601" s="1"/>
      <c r="F13601" s="1" t="str">
        <f>IFERROR(__xludf.DUMMYFUNCTION("GOOGLETRANSLATE(B13601, ""en"", ""fa"")
"),"عکاسی و داستان سرایی تصویری")</f>
        <v>عکاسی و داستان سرایی تصویری</v>
      </c>
      <c r="G13601" s="1" t="str">
        <f>IFERROR(__xludf.DUMMYFUNCTION("GOOGLETRANSLATE(C13601, ""en"", ""fa"")
"),"مراحل ایجاد یک روایت تصویری که گذر زمان در طبیعت را به تصویر می کشد چیست؟")</f>
        <v>مراحل ایجاد یک روایت تصویری که گذر زمان در طبیعت را به تصویر می کشد چیست؟</v>
      </c>
      <c r="H13601" s="1"/>
      <c r="I13601" s="1"/>
      <c r="J13601" s="1"/>
      <c r="K13601" s="1"/>
      <c r="L13601" s="1"/>
      <c r="M13601" s="1"/>
      <c r="N13601" s="1"/>
      <c r="O13601" s="1"/>
      <c r="P13601" s="1"/>
      <c r="Q13601" s="1"/>
      <c r="R13601" s="1"/>
      <c r="S13601" s="1"/>
      <c r="T13601" s="1"/>
      <c r="U13601" s="1"/>
      <c r="V13601" s="1"/>
      <c r="W13601" s="1"/>
      <c r="X13601" s="1"/>
      <c r="Y13601" s="1"/>
      <c r="Z13601" s="1"/>
      <c r="AA13601" s="1"/>
      <c r="AB13601" s="1"/>
    </row>
    <row r="13602" ht="50.25" customHeight="1">
      <c r="A13602" s="12">
        <v>13598.0</v>
      </c>
      <c r="B13602" s="13" t="s">
        <v>12705</v>
      </c>
      <c r="C13602" s="14" t="s">
        <v>12942</v>
      </c>
      <c r="D13602" s="1"/>
      <c r="E13602" s="1"/>
      <c r="F13602" s="1" t="str">
        <f>IFERROR(__xludf.DUMMYFUNCTION("GOOGLETRANSLATE(B13602, ""en"", ""fa"")
"),"عکاسی و داستان سرایی تصویری")</f>
        <v>عکاسی و داستان سرایی تصویری</v>
      </c>
      <c r="G13602" s="1" t="str">
        <f>IFERROR(__xludf.DUMMYFUNCTION("GOOGLETRANSLATE(C13602, ""en"", ""fa"")
"),"چگونه عناصر داستان سرایی را در عکاسی مد و تحریریه بگنجانم؟")</f>
        <v>چگونه عناصر داستان سرایی را در عکاسی مد و تحریریه بگنجانم؟</v>
      </c>
      <c r="H13602" s="1"/>
      <c r="I13602" s="1"/>
      <c r="J13602" s="1"/>
      <c r="K13602" s="1"/>
      <c r="L13602" s="1"/>
      <c r="M13602" s="1"/>
      <c r="N13602" s="1"/>
      <c r="O13602" s="1"/>
      <c r="P13602" s="1"/>
      <c r="Q13602" s="1"/>
      <c r="R13602" s="1"/>
      <c r="S13602" s="1"/>
      <c r="T13602" s="1"/>
      <c r="U13602" s="1"/>
      <c r="V13602" s="1"/>
      <c r="W13602" s="1"/>
      <c r="X13602" s="1"/>
      <c r="Y13602" s="1"/>
      <c r="Z13602" s="1"/>
      <c r="AA13602" s="1"/>
      <c r="AB13602" s="1"/>
    </row>
    <row r="13603" ht="50.25" customHeight="1">
      <c r="A13603" s="12">
        <v>13599.0</v>
      </c>
      <c r="B13603" s="13" t="s">
        <v>12705</v>
      </c>
      <c r="C13603" s="14" t="s">
        <v>12943</v>
      </c>
      <c r="D13603" s="1"/>
      <c r="E13603" s="1"/>
      <c r="F13603" s="1" t="str">
        <f>IFERROR(__xludf.DUMMYFUNCTION("GOOGLETRANSLATE(B13603, ""en"", ""fa"")
"),"عکاسی و داستان سرایی تصویری")</f>
        <v>عکاسی و داستان سرایی تصویری</v>
      </c>
      <c r="G13603" s="1" t="str">
        <f>IFERROR(__xludf.DUMMYFUNCTION("GOOGLETRANSLATE(C13603, ""en"", ""fa"")
"),"آیا می توانید تکنیک هایی را برای استفاده از نور و سایه برای خلق روایت های دراماتیک پیشنهاد کنید؟")</f>
        <v>آیا می توانید تکنیک هایی را برای استفاده از نور و سایه برای خلق روایت های دراماتیک پیشنهاد کنید؟</v>
      </c>
      <c r="H13603" s="1"/>
      <c r="I13603" s="1"/>
      <c r="J13603" s="1"/>
      <c r="K13603" s="1"/>
      <c r="L13603" s="1"/>
      <c r="M13603" s="1"/>
      <c r="N13603" s="1"/>
      <c r="O13603" s="1"/>
      <c r="P13603" s="1"/>
      <c r="Q13603" s="1"/>
      <c r="R13603" s="1"/>
      <c r="S13603" s="1"/>
      <c r="T13603" s="1"/>
      <c r="U13603" s="1"/>
      <c r="V13603" s="1"/>
      <c r="W13603" s="1"/>
      <c r="X13603" s="1"/>
      <c r="Y13603" s="1"/>
      <c r="Z13603" s="1"/>
      <c r="AA13603" s="1"/>
      <c r="AB13603" s="1"/>
    </row>
    <row r="13604" ht="50.25" customHeight="1">
      <c r="A13604" s="12">
        <v>13600.0</v>
      </c>
      <c r="B13604" s="13" t="s">
        <v>12705</v>
      </c>
      <c r="C13604" s="14" t="s">
        <v>12944</v>
      </c>
      <c r="D13604" s="1"/>
      <c r="E13604" s="1"/>
      <c r="F13604" s="1" t="str">
        <f>IFERROR(__xludf.DUMMYFUNCTION("GOOGLETRANSLATE(B13604, ""en"", ""fa"")
"),"عکاسی و داستان سرایی تصویری")</f>
        <v>عکاسی و داستان سرایی تصویری</v>
      </c>
      <c r="G13604" s="1" t="str">
        <f>IFERROR(__xludf.DUMMYFUNCTION("GOOGLETRANSLATE(C13604, ""en"", ""fa"")
"),"بهترین تکنیک ها برای ثبت زیبایی و احساسات لحظات صمیمی چیست؟")</f>
        <v>بهترین تکنیک ها برای ثبت زیبایی و احساسات لحظات صمیمی چیست؟</v>
      </c>
      <c r="H13604" s="1"/>
      <c r="I13604" s="1"/>
      <c r="J13604" s="1"/>
      <c r="K13604" s="1"/>
      <c r="L13604" s="1"/>
      <c r="M13604" s="1"/>
      <c r="N13604" s="1"/>
      <c r="O13604" s="1"/>
      <c r="P13604" s="1"/>
      <c r="Q13604" s="1"/>
      <c r="R13604" s="1"/>
      <c r="S13604" s="1"/>
      <c r="T13604" s="1"/>
      <c r="U13604" s="1"/>
      <c r="V13604" s="1"/>
      <c r="W13604" s="1"/>
      <c r="X13604" s="1"/>
      <c r="Y13604" s="1"/>
      <c r="Z13604" s="1"/>
      <c r="AA13604" s="1"/>
      <c r="AB13604" s="1"/>
    </row>
    <row r="13605" ht="50.25" customHeight="1">
      <c r="A13605" s="12">
        <v>13601.0</v>
      </c>
      <c r="B13605" s="13" t="s">
        <v>12705</v>
      </c>
      <c r="C13605" s="14" t="s">
        <v>12945</v>
      </c>
      <c r="D13605" s="1"/>
      <c r="E13605" s="1"/>
      <c r="F13605" s="1" t="str">
        <f>IFERROR(__xludf.DUMMYFUNCTION("GOOGLETRANSLATE(B13605, ""en"", ""fa"")
"),"عکاسی و داستان سرایی تصویری")</f>
        <v>عکاسی و داستان سرایی تصویری</v>
      </c>
      <c r="G13605" s="1" t="str">
        <f>IFERROR(__xludf.DUMMYFUNCTION("GOOGLETRANSLATE(C13605, ""en"", ""fa"")
"),"چگونه می توانم از استعاره های بصری برای انتقال پیام های امید و مثبت استفاده کنم؟")</f>
        <v>چگونه می توانم از استعاره های بصری برای انتقال پیام های امید و مثبت استفاده کنم؟</v>
      </c>
      <c r="H13605" s="1"/>
      <c r="I13605" s="1"/>
      <c r="J13605" s="1"/>
      <c r="K13605" s="1"/>
      <c r="L13605" s="1"/>
      <c r="M13605" s="1"/>
      <c r="N13605" s="1"/>
      <c r="O13605" s="1"/>
      <c r="P13605" s="1"/>
      <c r="Q13605" s="1"/>
      <c r="R13605" s="1"/>
      <c r="S13605" s="1"/>
      <c r="T13605" s="1"/>
      <c r="U13605" s="1"/>
      <c r="V13605" s="1"/>
      <c r="W13605" s="1"/>
      <c r="X13605" s="1"/>
      <c r="Y13605" s="1"/>
      <c r="Z13605" s="1"/>
      <c r="AA13605" s="1"/>
      <c r="AB13605" s="1"/>
    </row>
    <row r="13606" ht="50.25" customHeight="1">
      <c r="A13606" s="12">
        <v>13602.0</v>
      </c>
      <c r="B13606" s="13" t="s">
        <v>12705</v>
      </c>
      <c r="C13606" s="14" t="s">
        <v>12946</v>
      </c>
      <c r="D13606" s="1"/>
      <c r="E13606" s="1"/>
      <c r="F13606" s="1" t="str">
        <f>IFERROR(__xludf.DUMMYFUNCTION("GOOGLETRANSLATE(B13606, ""en"", ""fa"")
"),"عکاسی و داستان سرایی تصویری")</f>
        <v>عکاسی و داستان سرایی تصویری</v>
      </c>
      <c r="G13606" s="1" t="str">
        <f>IFERROR(__xludf.DUMMYFUNCTION("GOOGLETRANSLATE(C13606, ""en"", ""fa"")
"),"مراحل ایجاد یک داستان بصری که منعکس کننده تعاملات بین نسل ها باشد چیست؟")</f>
        <v>مراحل ایجاد یک داستان بصری که منعکس کننده تعاملات بین نسل ها باشد چیست؟</v>
      </c>
      <c r="H13606" s="1"/>
      <c r="I13606" s="1"/>
      <c r="J13606" s="1"/>
      <c r="K13606" s="1"/>
      <c r="L13606" s="1"/>
      <c r="M13606" s="1"/>
      <c r="N13606" s="1"/>
      <c r="O13606" s="1"/>
      <c r="P13606" s="1"/>
      <c r="Q13606" s="1"/>
      <c r="R13606" s="1"/>
      <c r="S13606" s="1"/>
      <c r="T13606" s="1"/>
      <c r="U13606" s="1"/>
      <c r="V13606" s="1"/>
      <c r="W13606" s="1"/>
      <c r="X13606" s="1"/>
      <c r="Y13606" s="1"/>
      <c r="Z13606" s="1"/>
      <c r="AA13606" s="1"/>
      <c r="AB13606" s="1"/>
    </row>
    <row r="13607" ht="50.25" customHeight="1">
      <c r="A13607" s="12">
        <v>13603.0</v>
      </c>
      <c r="B13607" s="13" t="s">
        <v>12705</v>
      </c>
      <c r="C13607" s="14" t="s">
        <v>12947</v>
      </c>
      <c r="D13607" s="1"/>
      <c r="E13607" s="1"/>
      <c r="F13607" s="1" t="str">
        <f>IFERROR(__xludf.DUMMYFUNCTION("GOOGLETRANSLATE(B13607, ""en"", ""fa"")
"),"عکاسی و داستان سرایی تصویری")</f>
        <v>عکاسی و داستان سرایی تصویری</v>
      </c>
      <c r="G13607" s="1" t="str">
        <f>IFERROR(__xludf.DUMMYFUNCTION("GOOGLETRANSLATE(C13607, ""en"", ""fa"")
"),"چگونه می توانم ماهیت آیین ها و سنت های فرهنگی را در عکاسی به تصویر بکشم؟")</f>
        <v>چگونه می توانم ماهیت آیین ها و سنت های فرهنگی را در عکاسی به تصویر بکشم؟</v>
      </c>
      <c r="H13607" s="1"/>
      <c r="I13607" s="1"/>
      <c r="J13607" s="1"/>
      <c r="K13607" s="1"/>
      <c r="L13607" s="1"/>
      <c r="M13607" s="1"/>
      <c r="N13607" s="1"/>
      <c r="O13607" s="1"/>
      <c r="P13607" s="1"/>
      <c r="Q13607" s="1"/>
      <c r="R13607" s="1"/>
      <c r="S13607" s="1"/>
      <c r="T13607" s="1"/>
      <c r="U13607" s="1"/>
      <c r="V13607" s="1"/>
      <c r="W13607" s="1"/>
      <c r="X13607" s="1"/>
      <c r="Y13607" s="1"/>
      <c r="Z13607" s="1"/>
      <c r="AA13607" s="1"/>
      <c r="AB13607" s="1"/>
    </row>
    <row r="13608" ht="50.25" customHeight="1">
      <c r="A13608" s="12">
        <v>13604.0</v>
      </c>
      <c r="B13608" s="13" t="s">
        <v>12705</v>
      </c>
      <c r="C13608" s="14" t="s">
        <v>12948</v>
      </c>
      <c r="D13608" s="1"/>
      <c r="E13608" s="1"/>
      <c r="F13608" s="1" t="str">
        <f>IFERROR(__xludf.DUMMYFUNCTION("GOOGLETRANSLATE(B13608, ""en"", ""fa"")
"),"عکاسی و داستان سرایی تصویری")</f>
        <v>عکاسی و داستان سرایی تصویری</v>
      </c>
      <c r="G13608" s="1" t="str">
        <f>IFERROR(__xludf.DUMMYFUNCTION("GOOGLETRANSLATE(C13608, ""en"", ""fa"")
"),"آیا می توانید راهکارهایی را برای عکاسی از ذات اشکال مختلف هنر توصیه کنید؟")</f>
        <v>آیا می توانید راهکارهایی را برای عکاسی از ذات اشکال مختلف هنر توصیه کنید؟</v>
      </c>
      <c r="H13608" s="1"/>
      <c r="I13608" s="1"/>
      <c r="J13608" s="1"/>
      <c r="K13608" s="1"/>
      <c r="L13608" s="1"/>
      <c r="M13608" s="1"/>
      <c r="N13608" s="1"/>
      <c r="O13608" s="1"/>
      <c r="P13608" s="1"/>
      <c r="Q13608" s="1"/>
      <c r="R13608" s="1"/>
      <c r="S13608" s="1"/>
      <c r="T13608" s="1"/>
      <c r="U13608" s="1"/>
      <c r="V13608" s="1"/>
      <c r="W13608" s="1"/>
      <c r="X13608" s="1"/>
      <c r="Y13608" s="1"/>
      <c r="Z13608" s="1"/>
      <c r="AA13608" s="1"/>
      <c r="AB13608" s="1"/>
    </row>
    <row r="13609" ht="50.25" customHeight="1">
      <c r="A13609" s="12">
        <v>13605.0</v>
      </c>
      <c r="B13609" s="13" t="s">
        <v>12705</v>
      </c>
      <c r="C13609" s="14" t="s">
        <v>12949</v>
      </c>
      <c r="D13609" s="1"/>
      <c r="E13609" s="1"/>
      <c r="F13609" s="1" t="str">
        <f>IFERROR(__xludf.DUMMYFUNCTION("GOOGLETRANSLATE(B13609, ""en"", ""fa"")
"),"عکاسی و داستان سرایی تصویری")</f>
        <v>عکاسی و داستان سرایی تصویری</v>
      </c>
      <c r="G13609" s="1" t="str">
        <f>IFERROR(__xludf.DUMMYFUNCTION("GOOGLETRANSLATE(C13609, ""en"", ""fa"")
"),"بهترین شیوه برای استفاده از نمادگرایی برای انتقال مفهوم هویت چیست؟")</f>
        <v>بهترین شیوه برای استفاده از نمادگرایی برای انتقال مفهوم هویت چیست؟</v>
      </c>
      <c r="H13609" s="1"/>
      <c r="I13609" s="1"/>
      <c r="J13609" s="1"/>
      <c r="K13609" s="1"/>
      <c r="L13609" s="1"/>
      <c r="M13609" s="1"/>
      <c r="N13609" s="1"/>
      <c r="O13609" s="1"/>
      <c r="P13609" s="1"/>
      <c r="Q13609" s="1"/>
      <c r="R13609" s="1"/>
      <c r="S13609" s="1"/>
      <c r="T13609" s="1"/>
      <c r="U13609" s="1"/>
      <c r="V13609" s="1"/>
      <c r="W13609" s="1"/>
      <c r="X13609" s="1"/>
      <c r="Y13609" s="1"/>
      <c r="Z13609" s="1"/>
      <c r="AA13609" s="1"/>
      <c r="AB13609" s="1"/>
    </row>
    <row r="13610" ht="50.25" customHeight="1">
      <c r="A13610" s="12">
        <v>13606.0</v>
      </c>
      <c r="B13610" s="13" t="s">
        <v>12705</v>
      </c>
      <c r="C13610" s="14" t="s">
        <v>12950</v>
      </c>
      <c r="D13610" s="1"/>
      <c r="E13610" s="1"/>
      <c r="F13610" s="1" t="str">
        <f>IFERROR(__xludf.DUMMYFUNCTION("GOOGLETRANSLATE(B13610, ""en"", ""fa"")
"),"عکاسی و داستان سرایی تصویری")</f>
        <v>عکاسی و داستان سرایی تصویری</v>
      </c>
      <c r="G13610" s="1" t="str">
        <f>IFERROR(__xludf.DUMMYFUNCTION("GOOGLETRANSLATE(C13610, ""en"", ""fa"")
"),"چگونه می توانم از داستان سرایی تصویری برای تجلیل از غنای تنوع فرهنگی استفاده کنم؟")</f>
        <v>چگونه می توانم از داستان سرایی تصویری برای تجلیل از غنای تنوع فرهنگی استفاده کنم؟</v>
      </c>
      <c r="H13610" s="1"/>
      <c r="I13610" s="1"/>
      <c r="J13610" s="1"/>
      <c r="K13610" s="1"/>
      <c r="L13610" s="1"/>
      <c r="M13610" s="1"/>
      <c r="N13610" s="1"/>
      <c r="O13610" s="1"/>
      <c r="P13610" s="1"/>
      <c r="Q13610" s="1"/>
      <c r="R13610" s="1"/>
      <c r="S13610" s="1"/>
      <c r="T13610" s="1"/>
      <c r="U13610" s="1"/>
      <c r="V13610" s="1"/>
      <c r="W13610" s="1"/>
      <c r="X13610" s="1"/>
      <c r="Y13610" s="1"/>
      <c r="Z13610" s="1"/>
      <c r="AA13610" s="1"/>
      <c r="AB13610" s="1"/>
    </row>
    <row r="13611" ht="50.25" customHeight="1">
      <c r="A13611" s="12">
        <v>13607.0</v>
      </c>
      <c r="B13611" s="13" t="s">
        <v>12705</v>
      </c>
      <c r="C13611" s="14" t="s">
        <v>12951</v>
      </c>
      <c r="D13611" s="1"/>
      <c r="E13611" s="1"/>
      <c r="F13611" s="1" t="str">
        <f>IFERROR(__xludf.DUMMYFUNCTION("GOOGLETRANSLATE(B13611, ""en"", ""fa"")
"),"عکاسی و داستان سرایی تصویری")</f>
        <v>عکاسی و داستان سرایی تصویری</v>
      </c>
      <c r="G13611" s="1" t="str">
        <f>IFERROR(__xludf.DUMMYFUNCTION("GOOGLETRANSLATE(C13611, ""en"", ""fa"")
"),"مراحل ایجاد یک روایت تصویری که هماهنگی بین انسان و حیوان را به تصویر می کشد چیست؟")</f>
        <v>مراحل ایجاد یک روایت تصویری که هماهنگی بین انسان و حیوان را به تصویر می کشد چیست؟</v>
      </c>
      <c r="H13611" s="1"/>
      <c r="I13611" s="1"/>
      <c r="J13611" s="1"/>
      <c r="K13611" s="1"/>
      <c r="L13611" s="1"/>
      <c r="M13611" s="1"/>
      <c r="N13611" s="1"/>
      <c r="O13611" s="1"/>
      <c r="P13611" s="1"/>
      <c r="Q13611" s="1"/>
      <c r="R13611" s="1"/>
      <c r="S13611" s="1"/>
      <c r="T13611" s="1"/>
      <c r="U13611" s="1"/>
      <c r="V13611" s="1"/>
      <c r="W13611" s="1"/>
      <c r="X13611" s="1"/>
      <c r="Y13611" s="1"/>
      <c r="Z13611" s="1"/>
      <c r="AA13611" s="1"/>
      <c r="AB13611" s="1"/>
    </row>
    <row r="13612" ht="50.25" customHeight="1">
      <c r="A13612" s="12">
        <v>13608.0</v>
      </c>
      <c r="B13612" s="13" t="s">
        <v>12705</v>
      </c>
      <c r="C13612" s="14" t="s">
        <v>12952</v>
      </c>
      <c r="D13612" s="1"/>
      <c r="E13612" s="1"/>
      <c r="F13612" s="1" t="str">
        <f>IFERROR(__xludf.DUMMYFUNCTION("GOOGLETRANSLATE(B13612, ""en"", ""fa"")
"),"عکاسی و داستان سرایی تصویری")</f>
        <v>عکاسی و داستان سرایی تصویری</v>
      </c>
      <c r="G13612" s="1" t="str">
        <f>IFERROR(__xludf.DUMMYFUNCTION("GOOGLETRANSLATE(C13612, ""en"", ""fa"")
"),"چگونه عناصر داستان سرایی را در عکاسی سفر و مستند بگنجانم؟")</f>
        <v>چگونه عناصر داستان سرایی را در عکاسی سفر و مستند بگنجانم؟</v>
      </c>
      <c r="H13612" s="1"/>
      <c r="I13612" s="1"/>
      <c r="J13612" s="1"/>
      <c r="K13612" s="1"/>
      <c r="L13612" s="1"/>
      <c r="M13612" s="1"/>
      <c r="N13612" s="1"/>
      <c r="O13612" s="1"/>
      <c r="P13612" s="1"/>
      <c r="Q13612" s="1"/>
      <c r="R13612" s="1"/>
      <c r="S13612" s="1"/>
      <c r="T13612" s="1"/>
      <c r="U13612" s="1"/>
      <c r="V13612" s="1"/>
      <c r="W13612" s="1"/>
      <c r="X13612" s="1"/>
      <c r="Y13612" s="1"/>
      <c r="Z13612" s="1"/>
      <c r="AA13612" s="1"/>
      <c r="AB13612" s="1"/>
    </row>
    <row r="13613" ht="50.25" customHeight="1">
      <c r="A13613" s="12">
        <v>13609.0</v>
      </c>
      <c r="B13613" s="13" t="s">
        <v>12705</v>
      </c>
      <c r="C13613" s="14" t="s">
        <v>12953</v>
      </c>
      <c r="D13613" s="1"/>
      <c r="E13613" s="1"/>
      <c r="F13613" s="1" t="str">
        <f>IFERROR(__xludf.DUMMYFUNCTION("GOOGLETRANSLATE(B13613, ""en"", ""fa"")
"),"عکاسی و داستان سرایی تصویری")</f>
        <v>عکاسی و داستان سرایی تصویری</v>
      </c>
      <c r="G13613" s="1" t="str">
        <f>IFERROR(__xludf.DUMMYFUNCTION("GOOGLETRANSLATE(C13613, ""en"", ""fa"")
"),"آیا می توانید راه هایی برای استفاده از بازتاب و انکسار برای ایجاد روایت های تخیلی پیشنهاد کنید؟")</f>
        <v>آیا می توانید راه هایی برای استفاده از بازتاب و انکسار برای ایجاد روایت های تخیلی پیشنهاد کنید؟</v>
      </c>
      <c r="H13613" s="1"/>
      <c r="I13613" s="1"/>
      <c r="J13613" s="1"/>
      <c r="K13613" s="1"/>
      <c r="L13613" s="1"/>
      <c r="M13613" s="1"/>
      <c r="N13613" s="1"/>
      <c r="O13613" s="1"/>
      <c r="P13613" s="1"/>
      <c r="Q13613" s="1"/>
      <c r="R13613" s="1"/>
      <c r="S13613" s="1"/>
      <c r="T13613" s="1"/>
      <c r="U13613" s="1"/>
      <c r="V13613" s="1"/>
      <c r="W13613" s="1"/>
      <c r="X13613" s="1"/>
      <c r="Y13613" s="1"/>
      <c r="Z13613" s="1"/>
      <c r="AA13613" s="1"/>
      <c r="AB13613" s="1"/>
    </row>
    <row r="13614" ht="50.25" customHeight="1">
      <c r="A13614" s="12">
        <v>13610.0</v>
      </c>
      <c r="B13614" s="13" t="s">
        <v>12705</v>
      </c>
      <c r="C13614" s="14" t="s">
        <v>12954</v>
      </c>
      <c r="D13614" s="1"/>
      <c r="E13614" s="1"/>
      <c r="F13614" s="1" t="str">
        <f>IFERROR(__xludf.DUMMYFUNCTION("GOOGLETRANSLATE(B13614, ""en"", ""fa"")
"),"عکاسی و داستان سرایی تصویری")</f>
        <v>عکاسی و داستان سرایی تصویری</v>
      </c>
      <c r="G13614" s="1" t="str">
        <f>IFERROR(__xludf.DUMMYFUNCTION("GOOGLETRANSLATE(C13614, ""en"", ""fa"")
"),"بهترین تکنیک ها برای استفاده از استعاره های بصری برای انتقال پیام های قدرتمند چیست؟")</f>
        <v>بهترین تکنیک ها برای استفاده از استعاره های بصری برای انتقال پیام های قدرتمند چیست؟</v>
      </c>
      <c r="H13614" s="1"/>
      <c r="I13614" s="1"/>
      <c r="J13614" s="1"/>
      <c r="K13614" s="1"/>
      <c r="L13614" s="1"/>
      <c r="M13614" s="1"/>
      <c r="N13614" s="1"/>
      <c r="O13614" s="1"/>
      <c r="P13614" s="1"/>
      <c r="Q13614" s="1"/>
      <c r="R13614" s="1"/>
      <c r="S13614" s="1"/>
      <c r="T13614" s="1"/>
      <c r="U13614" s="1"/>
      <c r="V13614" s="1"/>
      <c r="W13614" s="1"/>
      <c r="X13614" s="1"/>
      <c r="Y13614" s="1"/>
      <c r="Z13614" s="1"/>
      <c r="AA13614" s="1"/>
      <c r="AB13614" s="1"/>
    </row>
    <row r="13615" ht="50.25" customHeight="1">
      <c r="A13615" s="12">
        <v>13611.0</v>
      </c>
      <c r="B13615" s="13" t="s">
        <v>12705</v>
      </c>
      <c r="C13615" s="14" t="s">
        <v>12955</v>
      </c>
      <c r="D13615" s="1"/>
      <c r="E13615" s="1"/>
      <c r="F13615" s="1" t="str">
        <f>IFERROR(__xludf.DUMMYFUNCTION("GOOGLETRANSLATE(B13615, ""en"", ""fa"")
"),"عکاسی و داستان سرایی تصویری")</f>
        <v>عکاسی و داستان سرایی تصویری</v>
      </c>
      <c r="G13615" s="1" t="str">
        <f>IFERROR(__xludf.DUMMYFUNCTION("GOOGLETRANSLATE(C13615, ""en"", ""fa"")
"),"چگونه می توانم از داستان سرایی تصویری برای به تصویر کشیدن ماهیت جشنواره ها و جشن های فرهنگی استفاده کنم؟")</f>
        <v>چگونه می توانم از داستان سرایی تصویری برای به تصویر کشیدن ماهیت جشنواره ها و جشن های فرهنگی استفاده کنم؟</v>
      </c>
      <c r="H13615" s="1"/>
      <c r="I13615" s="1"/>
      <c r="J13615" s="1"/>
      <c r="K13615" s="1"/>
      <c r="L13615" s="1"/>
      <c r="M13615" s="1"/>
      <c r="N13615" s="1"/>
      <c r="O13615" s="1"/>
      <c r="P13615" s="1"/>
      <c r="Q13615" s="1"/>
      <c r="R13615" s="1"/>
      <c r="S13615" s="1"/>
      <c r="T13615" s="1"/>
      <c r="U13615" s="1"/>
      <c r="V13615" s="1"/>
      <c r="W13615" s="1"/>
      <c r="X13615" s="1"/>
      <c r="Y13615" s="1"/>
      <c r="Z13615" s="1"/>
      <c r="AA13615" s="1"/>
      <c r="AB13615" s="1"/>
    </row>
    <row r="13616" ht="50.25" customHeight="1">
      <c r="A13616" s="12">
        <v>13612.0</v>
      </c>
      <c r="B13616" s="13" t="s">
        <v>12705</v>
      </c>
      <c r="C13616" s="14" t="s">
        <v>12956</v>
      </c>
      <c r="D13616" s="1"/>
      <c r="E13616" s="1"/>
      <c r="F13616" s="1" t="str">
        <f>IFERROR(__xludf.DUMMYFUNCTION("GOOGLETRANSLATE(B13616, ""en"", ""fa"")
"),"عکاسی و داستان سرایی تصویری")</f>
        <v>عکاسی و داستان سرایی تصویری</v>
      </c>
      <c r="G13616" s="1" t="str">
        <f>IFERROR(__xludf.DUMMYFUNCTION("GOOGLETRANSLATE(C13616, ""en"", ""fa"")
"),"مراحل ایجاد یک داستان بصری که احساسات و تجربیات رشد را به تصویر می کشد چیست؟")</f>
        <v>مراحل ایجاد یک داستان بصری که احساسات و تجربیات رشد را به تصویر می کشد چیست؟</v>
      </c>
      <c r="H13616" s="1"/>
      <c r="I13616" s="1"/>
      <c r="J13616" s="1"/>
      <c r="K13616" s="1"/>
      <c r="L13616" s="1"/>
      <c r="M13616" s="1"/>
      <c r="N13616" s="1"/>
      <c r="O13616" s="1"/>
      <c r="P13616" s="1"/>
      <c r="Q13616" s="1"/>
      <c r="R13616" s="1"/>
      <c r="S13616" s="1"/>
      <c r="T13616" s="1"/>
      <c r="U13616" s="1"/>
      <c r="V13616" s="1"/>
      <c r="W13616" s="1"/>
      <c r="X13616" s="1"/>
      <c r="Y13616" s="1"/>
      <c r="Z13616" s="1"/>
      <c r="AA13616" s="1"/>
      <c r="AB13616" s="1"/>
    </row>
    <row r="13617" ht="50.25" customHeight="1">
      <c r="A13617" s="12">
        <v>13613.0</v>
      </c>
      <c r="B13617" s="13" t="s">
        <v>12705</v>
      </c>
      <c r="C13617" s="14" t="s">
        <v>12957</v>
      </c>
      <c r="D13617" s="1"/>
      <c r="E13617" s="1"/>
      <c r="F13617" s="1" t="str">
        <f>IFERROR(__xludf.DUMMYFUNCTION("GOOGLETRANSLATE(B13617, ""en"", ""fa"")
"),"عکاسی و داستان سرایی تصویری")</f>
        <v>عکاسی و داستان سرایی تصویری</v>
      </c>
      <c r="G13617" s="1" t="str">
        <f>IFERROR(__xludf.DUMMYFUNCTION("GOOGLETRANSLATE(C13617, ""en"", ""fa"")
"),"چگونه می توانم ماهیت ارتباطات انسانی را از طریق تعاملات صادقانه دریافت کنم؟")</f>
        <v>چگونه می توانم ماهیت ارتباطات انسانی را از طریق تعاملات صادقانه دریافت کنم؟</v>
      </c>
      <c r="H13617" s="1"/>
      <c r="I13617" s="1"/>
      <c r="J13617" s="1"/>
      <c r="K13617" s="1"/>
      <c r="L13617" s="1"/>
      <c r="M13617" s="1"/>
      <c r="N13617" s="1"/>
      <c r="O13617" s="1"/>
      <c r="P13617" s="1"/>
      <c r="Q13617" s="1"/>
      <c r="R13617" s="1"/>
      <c r="S13617" s="1"/>
      <c r="T13617" s="1"/>
      <c r="U13617" s="1"/>
      <c r="V13617" s="1"/>
      <c r="W13617" s="1"/>
      <c r="X13617" s="1"/>
      <c r="Y13617" s="1"/>
      <c r="Z13617" s="1"/>
      <c r="AA13617" s="1"/>
      <c r="AB13617" s="1"/>
    </row>
    <row r="13618" ht="50.25" customHeight="1">
      <c r="A13618" s="12">
        <v>13614.0</v>
      </c>
      <c r="B13618" s="13" t="s">
        <v>12705</v>
      </c>
      <c r="C13618" s="14" t="s">
        <v>12958</v>
      </c>
      <c r="D13618" s="1"/>
      <c r="E13618" s="1"/>
      <c r="F13618" s="1" t="str">
        <f>IFERROR(__xludf.DUMMYFUNCTION("GOOGLETRANSLATE(B13618, ""en"", ""fa"")
"),"عکاسی و داستان سرایی تصویری")</f>
        <v>عکاسی و داستان سرایی تصویری</v>
      </c>
      <c r="G13618" s="1" t="str">
        <f>IFERROR(__xludf.DUMMYFUNCTION("GOOGLETRANSLATE(C13618, ""en"", ""fa"")
"),"آیا می توانید راهکارهایی برای عکاسی از زیبایی و احساسات لحظات روزمره توصیه کنید؟")</f>
        <v>آیا می توانید راهکارهایی برای عکاسی از زیبایی و احساسات لحظات روزمره توصیه کنید؟</v>
      </c>
      <c r="H13618" s="1"/>
      <c r="I13618" s="1"/>
      <c r="J13618" s="1"/>
      <c r="K13618" s="1"/>
      <c r="L13618" s="1"/>
      <c r="M13618" s="1"/>
      <c r="N13618" s="1"/>
      <c r="O13618" s="1"/>
      <c r="P13618" s="1"/>
      <c r="Q13618" s="1"/>
      <c r="R13618" s="1"/>
      <c r="S13618" s="1"/>
      <c r="T13618" s="1"/>
      <c r="U13618" s="1"/>
      <c r="V13618" s="1"/>
      <c r="W13618" s="1"/>
      <c r="X13618" s="1"/>
      <c r="Y13618" s="1"/>
      <c r="Z13618" s="1"/>
      <c r="AA13618" s="1"/>
      <c r="AB13618" s="1"/>
    </row>
    <row r="13619" ht="50.25" customHeight="1">
      <c r="A13619" s="12">
        <v>13615.0</v>
      </c>
      <c r="B13619" s="13" t="s">
        <v>12705</v>
      </c>
      <c r="C13619" s="14" t="s">
        <v>12959</v>
      </c>
      <c r="D13619" s="1"/>
      <c r="E13619" s="1"/>
      <c r="F13619" s="1" t="str">
        <f>IFERROR(__xludf.DUMMYFUNCTION("GOOGLETRANSLATE(B13619, ""en"", ""fa"")
"),"عکاسی و داستان سرایی تصویری")</f>
        <v>عکاسی و داستان سرایی تصویری</v>
      </c>
      <c r="G13619" s="1" t="str">
        <f>IFERROR(__xludf.DUMMYFUNCTION("GOOGLETRANSLATE(C13619, ""en"", ""fa"")
"),"بهترین شیوه برای استفاده از نمادگرایی برای انتقال مفهوم دگرگونی چیست؟")</f>
        <v>بهترین شیوه برای استفاده از نمادگرایی برای انتقال مفهوم دگرگونی چیست؟</v>
      </c>
      <c r="H13619" s="1"/>
      <c r="I13619" s="1"/>
      <c r="J13619" s="1"/>
      <c r="K13619" s="1"/>
      <c r="L13619" s="1"/>
      <c r="M13619" s="1"/>
      <c r="N13619" s="1"/>
      <c r="O13619" s="1"/>
      <c r="P13619" s="1"/>
      <c r="Q13619" s="1"/>
      <c r="R13619" s="1"/>
      <c r="S13619" s="1"/>
      <c r="T13619" s="1"/>
      <c r="U13619" s="1"/>
      <c r="V13619" s="1"/>
      <c r="W13619" s="1"/>
      <c r="X13619" s="1"/>
      <c r="Y13619" s="1"/>
      <c r="Z13619" s="1"/>
      <c r="AA13619" s="1"/>
      <c r="AB13619" s="1"/>
    </row>
    <row r="13620" ht="50.25" customHeight="1">
      <c r="A13620" s="12">
        <v>13616.0</v>
      </c>
      <c r="B13620" s="13" t="s">
        <v>12705</v>
      </c>
      <c r="C13620" s="14" t="s">
        <v>12960</v>
      </c>
      <c r="D13620" s="1"/>
      <c r="E13620" s="1"/>
      <c r="F13620" s="1" t="str">
        <f>IFERROR(__xludf.DUMMYFUNCTION("GOOGLETRANSLATE(B13620, ""en"", ""fa"")
"),"عکاسی و داستان سرایی تصویری")</f>
        <v>عکاسی و داستان سرایی تصویری</v>
      </c>
      <c r="G13620" s="1" t="str">
        <f>IFERROR(__xludf.DUMMYFUNCTION("GOOGLETRANSLATE(C13620, ""en"", ""fa"")
"),"چگونه می توانم از داستان سرایی تصویری برای مستندسازی انعطاف پذیری و قدرت افراد استفاده کنم؟")</f>
        <v>چگونه می توانم از داستان سرایی تصویری برای مستندسازی انعطاف پذیری و قدرت افراد استفاده کنم؟</v>
      </c>
      <c r="H13620" s="1"/>
      <c r="I13620" s="1"/>
      <c r="J13620" s="1"/>
      <c r="K13620" s="1"/>
      <c r="L13620" s="1"/>
      <c r="M13620" s="1"/>
      <c r="N13620" s="1"/>
      <c r="O13620" s="1"/>
      <c r="P13620" s="1"/>
      <c r="Q13620" s="1"/>
      <c r="R13620" s="1"/>
      <c r="S13620" s="1"/>
      <c r="T13620" s="1"/>
      <c r="U13620" s="1"/>
      <c r="V13620" s="1"/>
      <c r="W13620" s="1"/>
      <c r="X13620" s="1"/>
      <c r="Y13620" s="1"/>
      <c r="Z13620" s="1"/>
      <c r="AA13620" s="1"/>
      <c r="AB13620" s="1"/>
    </row>
    <row r="13621" ht="50.25" customHeight="1">
      <c r="A13621" s="12">
        <v>13617.0</v>
      </c>
      <c r="B13621" s="13" t="s">
        <v>12705</v>
      </c>
      <c r="C13621" s="14" t="s">
        <v>12961</v>
      </c>
      <c r="D13621" s="1"/>
      <c r="E13621" s="1"/>
      <c r="F13621" s="1" t="str">
        <f>IFERROR(__xludf.DUMMYFUNCTION("GOOGLETRANSLATE(B13621, ""en"", ""fa"")
"),"عکاسی و داستان سرایی تصویری")</f>
        <v>عکاسی و داستان سرایی تصویری</v>
      </c>
      <c r="G13621" s="1" t="str">
        <f>IFERROR(__xludf.DUMMYFUNCTION("GOOGLETRANSLATE(C13621, ""en"", ""fa"")
"),"مراحل ایجاد یک روایت تصویری که گذر زمان و تغییر را منعکس می کند چیست؟")</f>
        <v>مراحل ایجاد یک روایت تصویری که گذر زمان و تغییر را منعکس می کند چیست؟</v>
      </c>
      <c r="H13621" s="1"/>
      <c r="I13621" s="1"/>
      <c r="J13621" s="1"/>
      <c r="K13621" s="1"/>
      <c r="L13621" s="1"/>
      <c r="M13621" s="1"/>
      <c r="N13621" s="1"/>
      <c r="O13621" s="1"/>
      <c r="P13621" s="1"/>
      <c r="Q13621" s="1"/>
      <c r="R13621" s="1"/>
      <c r="S13621" s="1"/>
      <c r="T13621" s="1"/>
      <c r="U13621" s="1"/>
      <c r="V13621" s="1"/>
      <c r="W13621" s="1"/>
      <c r="X13621" s="1"/>
      <c r="Y13621" s="1"/>
      <c r="Z13621" s="1"/>
      <c r="AA13621" s="1"/>
      <c r="AB13621" s="1"/>
    </row>
    <row r="13622" ht="50.25" customHeight="1">
      <c r="A13622" s="12">
        <v>13618.0</v>
      </c>
      <c r="B13622" s="13" t="s">
        <v>12705</v>
      </c>
      <c r="C13622" s="14" t="s">
        <v>12962</v>
      </c>
      <c r="D13622" s="1"/>
      <c r="E13622" s="1"/>
      <c r="F13622" s="1" t="str">
        <f>IFERROR(__xludf.DUMMYFUNCTION("GOOGLETRANSLATE(B13622, ""en"", ""fa"")
"),"عکاسی و داستان سرایی تصویری")</f>
        <v>عکاسی و داستان سرایی تصویری</v>
      </c>
      <c r="G13622" s="1" t="str">
        <f>IFERROR(__xludf.DUMMYFUNCTION("GOOGLETRANSLATE(C13622, ""en"", ""fa"")
"),"چگونه عناصر داستان سرایی را در عکاسی منظره و طبیعت بگنجانم؟")</f>
        <v>چگونه عناصر داستان سرایی را در عکاسی منظره و طبیعت بگنجانم؟</v>
      </c>
      <c r="H13622" s="1"/>
      <c r="I13622" s="1"/>
      <c r="J13622" s="1"/>
      <c r="K13622" s="1"/>
      <c r="L13622" s="1"/>
      <c r="M13622" s="1"/>
      <c r="N13622" s="1"/>
      <c r="O13622" s="1"/>
      <c r="P13622" s="1"/>
      <c r="Q13622" s="1"/>
      <c r="R13622" s="1"/>
      <c r="S13622" s="1"/>
      <c r="T13622" s="1"/>
      <c r="U13622" s="1"/>
      <c r="V13622" s="1"/>
      <c r="W13622" s="1"/>
      <c r="X13622" s="1"/>
      <c r="Y13622" s="1"/>
      <c r="Z13622" s="1"/>
      <c r="AA13622" s="1"/>
      <c r="AB13622" s="1"/>
    </row>
    <row r="13623" ht="50.25" customHeight="1">
      <c r="A13623" s="12">
        <v>13619.0</v>
      </c>
      <c r="B13623" s="13" t="s">
        <v>12705</v>
      </c>
      <c r="C13623" s="14" t="s">
        <v>12963</v>
      </c>
      <c r="D13623" s="1"/>
      <c r="E13623" s="1"/>
      <c r="F13623" s="1" t="str">
        <f>IFERROR(__xludf.DUMMYFUNCTION("GOOGLETRANSLATE(B13623, ""en"", ""fa"")
"),"عکاسی و داستان سرایی تصویری")</f>
        <v>عکاسی و داستان سرایی تصویری</v>
      </c>
      <c r="G13623" s="1" t="str">
        <f>IFERROR(__xludf.DUMMYFUNCTION("GOOGLETRANSLATE(C13623, ""en"", ""fa"")
"),"آیا می‌توانید راه‌هایی برای استفاده از بازتاب و آینه‌سازی برای خلق روایت‌های جذاب پیشنهاد کنید؟")</f>
        <v>آیا می‌توانید راه‌هایی برای استفاده از بازتاب و آینه‌سازی برای خلق روایت‌های جذاب پیشنهاد کنید؟</v>
      </c>
      <c r="H13623" s="1"/>
      <c r="I13623" s="1"/>
      <c r="J13623" s="1"/>
      <c r="K13623" s="1"/>
      <c r="L13623" s="1"/>
      <c r="M13623" s="1"/>
      <c r="N13623" s="1"/>
      <c r="O13623" s="1"/>
      <c r="P13623" s="1"/>
      <c r="Q13623" s="1"/>
      <c r="R13623" s="1"/>
      <c r="S13623" s="1"/>
      <c r="T13623" s="1"/>
      <c r="U13623" s="1"/>
      <c r="V13623" s="1"/>
      <c r="W13623" s="1"/>
      <c r="X13623" s="1"/>
      <c r="Y13623" s="1"/>
      <c r="Z13623" s="1"/>
      <c r="AA13623" s="1"/>
      <c r="AB13623" s="1"/>
    </row>
    <row r="13624" ht="50.25" customHeight="1">
      <c r="A13624" s="12">
        <v>13620.0</v>
      </c>
      <c r="B13624" s="13" t="s">
        <v>12705</v>
      </c>
      <c r="C13624" s="14" t="s">
        <v>12964</v>
      </c>
      <c r="D13624" s="1"/>
      <c r="E13624" s="1"/>
      <c r="F13624" s="1" t="str">
        <f>IFERROR(__xludf.DUMMYFUNCTION("GOOGLETRANSLATE(B13624, ""en"", ""fa"")
"),"عکاسی و داستان سرایی تصویری")</f>
        <v>عکاسی و داستان سرایی تصویری</v>
      </c>
      <c r="G13624" s="1" t="str">
        <f>IFERROR(__xludf.DUMMYFUNCTION("GOOGLETRANSLATE(C13624, ""en"", ""fa"")
"),"بهترین تکنیک ها برای ثبت احساسات و تعاملات پویایی خانواده چیست؟")</f>
        <v>بهترین تکنیک ها برای ثبت احساسات و تعاملات پویایی خانواده چیست؟</v>
      </c>
      <c r="H13624" s="1"/>
      <c r="I13624" s="1"/>
      <c r="J13624" s="1"/>
      <c r="K13624" s="1"/>
      <c r="L13624" s="1"/>
      <c r="M13624" s="1"/>
      <c r="N13624" s="1"/>
      <c r="O13624" s="1"/>
      <c r="P13624" s="1"/>
      <c r="Q13624" s="1"/>
      <c r="R13624" s="1"/>
      <c r="S13624" s="1"/>
      <c r="T13624" s="1"/>
      <c r="U13624" s="1"/>
      <c r="V13624" s="1"/>
      <c r="W13624" s="1"/>
      <c r="X13624" s="1"/>
      <c r="Y13624" s="1"/>
      <c r="Z13624" s="1"/>
      <c r="AA13624" s="1"/>
      <c r="AB13624" s="1"/>
    </row>
    <row r="13625" ht="50.25" customHeight="1">
      <c r="A13625" s="12">
        <v>13621.0</v>
      </c>
      <c r="B13625" s="13" t="s">
        <v>12705</v>
      </c>
      <c r="C13625" s="14" t="s">
        <v>12965</v>
      </c>
      <c r="D13625" s="1"/>
      <c r="E13625" s="1"/>
      <c r="F13625" s="1" t="str">
        <f>IFERROR(__xludf.DUMMYFUNCTION("GOOGLETRANSLATE(B13625, ""en"", ""fa"")
"),"عکاسی و داستان سرایی تصویری")</f>
        <v>عکاسی و داستان سرایی تصویری</v>
      </c>
      <c r="G13625" s="1" t="str">
        <f>IFERROR(__xludf.DUMMYFUNCTION("GOOGLETRANSLATE(C13625, ""en"", ""fa"")
"),"چگونه می توانم از استعاره های بصری برای انتقال موضوع پیوستگی استفاده کنم؟")</f>
        <v>چگونه می توانم از استعاره های بصری برای انتقال موضوع پیوستگی استفاده کنم؟</v>
      </c>
      <c r="H13625" s="1"/>
      <c r="I13625" s="1"/>
      <c r="J13625" s="1"/>
      <c r="K13625" s="1"/>
      <c r="L13625" s="1"/>
      <c r="M13625" s="1"/>
      <c r="N13625" s="1"/>
      <c r="O13625" s="1"/>
      <c r="P13625" s="1"/>
      <c r="Q13625" s="1"/>
      <c r="R13625" s="1"/>
      <c r="S13625" s="1"/>
      <c r="T13625" s="1"/>
      <c r="U13625" s="1"/>
      <c r="V13625" s="1"/>
      <c r="W13625" s="1"/>
      <c r="X13625" s="1"/>
      <c r="Y13625" s="1"/>
      <c r="Z13625" s="1"/>
      <c r="AA13625" s="1"/>
      <c r="AB13625" s="1"/>
    </row>
    <row r="13626" ht="50.25" customHeight="1">
      <c r="A13626" s="12">
        <v>13622.0</v>
      </c>
      <c r="B13626" s="13" t="s">
        <v>12705</v>
      </c>
      <c r="C13626" s="14" t="s">
        <v>12966</v>
      </c>
      <c r="D13626" s="1"/>
      <c r="E13626" s="1"/>
      <c r="F13626" s="1" t="str">
        <f>IFERROR(__xludf.DUMMYFUNCTION("GOOGLETRANSLATE(B13626, ""en"", ""fa"")
"),"عکاسی و داستان سرایی تصویری")</f>
        <v>عکاسی و داستان سرایی تصویری</v>
      </c>
      <c r="G13626" s="1" t="str">
        <f>IFERROR(__xludf.DUMMYFUNCTION("GOOGLETRANSLATE(C13626, ""en"", ""fa"")
"),"مراحل ایجاد یک داستان بصری که جوهر یک فرهنگ خاص را برجسته می کند چیست؟")</f>
        <v>مراحل ایجاد یک داستان بصری که جوهر یک فرهنگ خاص را برجسته می کند چیست؟</v>
      </c>
      <c r="H13626" s="1"/>
      <c r="I13626" s="1"/>
      <c r="J13626" s="1"/>
      <c r="K13626" s="1"/>
      <c r="L13626" s="1"/>
      <c r="M13626" s="1"/>
      <c r="N13626" s="1"/>
      <c r="O13626" s="1"/>
      <c r="P13626" s="1"/>
      <c r="Q13626" s="1"/>
      <c r="R13626" s="1"/>
      <c r="S13626" s="1"/>
      <c r="T13626" s="1"/>
      <c r="U13626" s="1"/>
      <c r="V13626" s="1"/>
      <c r="W13626" s="1"/>
      <c r="X13626" s="1"/>
      <c r="Y13626" s="1"/>
      <c r="Z13626" s="1"/>
      <c r="AA13626" s="1"/>
      <c r="AB13626" s="1"/>
    </row>
    <row r="13627" ht="50.25" customHeight="1">
      <c r="A13627" s="12">
        <v>13623.0</v>
      </c>
      <c r="B13627" s="13" t="s">
        <v>12705</v>
      </c>
      <c r="C13627" s="14" t="s">
        <v>12967</v>
      </c>
      <c r="D13627" s="1"/>
      <c r="E13627" s="1"/>
      <c r="F13627" s="1" t="str">
        <f>IFERROR(__xludf.DUMMYFUNCTION("GOOGLETRANSLATE(B13627, ""en"", ""fa"")
"),"عکاسی و داستان سرایی تصویری")</f>
        <v>عکاسی و داستان سرایی تصویری</v>
      </c>
      <c r="G13627" s="1" t="str">
        <f>IFERROR(__xludf.DUMMYFUNCTION("GOOGLETRANSLATE(C13627, ""en"", ""fa"")
"),"چگونه می توانم زیبایی و احساسات سنت ها و مراسم فرهنگی را به تصویر بکشم؟")</f>
        <v>چگونه می توانم زیبایی و احساسات سنت ها و مراسم فرهنگی را به تصویر بکشم؟</v>
      </c>
      <c r="H13627" s="1"/>
      <c r="I13627" s="1"/>
      <c r="J13627" s="1"/>
      <c r="K13627" s="1"/>
      <c r="L13627" s="1"/>
      <c r="M13627" s="1"/>
      <c r="N13627" s="1"/>
      <c r="O13627" s="1"/>
      <c r="P13627" s="1"/>
      <c r="Q13627" s="1"/>
      <c r="R13627" s="1"/>
      <c r="S13627" s="1"/>
      <c r="T13627" s="1"/>
      <c r="U13627" s="1"/>
      <c r="V13627" s="1"/>
      <c r="W13627" s="1"/>
      <c r="X13627" s="1"/>
      <c r="Y13627" s="1"/>
      <c r="Z13627" s="1"/>
      <c r="AA13627" s="1"/>
      <c r="AB13627" s="1"/>
    </row>
    <row r="13628" ht="50.25" customHeight="1">
      <c r="A13628" s="12">
        <v>13624.0</v>
      </c>
      <c r="B13628" s="13" t="s">
        <v>12705</v>
      </c>
      <c r="C13628" s="14" t="s">
        <v>12968</v>
      </c>
      <c r="D13628" s="1"/>
      <c r="E13628" s="1"/>
      <c r="F13628" s="1" t="str">
        <f>IFERROR(__xludf.DUMMYFUNCTION("GOOGLETRANSLATE(B13628, ""en"", ""fa"")
"),"عکاسی و داستان سرایی تصویری")</f>
        <v>عکاسی و داستان سرایی تصویری</v>
      </c>
      <c r="G13628" s="1" t="str">
        <f>IFERROR(__xludf.DUMMYFUNCTION("GOOGLETRANSLATE(C13628, ""en"", ""fa"")
"),"آیا می توانید استراتژی هایی برای عکاسی از پیوندها و تعاملات نسل های مختلف توصیه کنید؟")</f>
        <v>آیا می توانید استراتژی هایی برای عکاسی از پیوندها و تعاملات نسل های مختلف توصیه کنید؟</v>
      </c>
      <c r="H13628" s="1"/>
      <c r="I13628" s="1"/>
      <c r="J13628" s="1"/>
      <c r="K13628" s="1"/>
      <c r="L13628" s="1"/>
      <c r="M13628" s="1"/>
      <c r="N13628" s="1"/>
      <c r="O13628" s="1"/>
      <c r="P13628" s="1"/>
      <c r="Q13628" s="1"/>
      <c r="R13628" s="1"/>
      <c r="S13628" s="1"/>
      <c r="T13628" s="1"/>
      <c r="U13628" s="1"/>
      <c r="V13628" s="1"/>
      <c r="W13628" s="1"/>
      <c r="X13628" s="1"/>
      <c r="Y13628" s="1"/>
      <c r="Z13628" s="1"/>
      <c r="AA13628" s="1"/>
      <c r="AB13628" s="1"/>
    </row>
    <row r="13629" ht="50.25" customHeight="1">
      <c r="A13629" s="12">
        <v>13625.0</v>
      </c>
      <c r="B13629" s="13" t="s">
        <v>12705</v>
      </c>
      <c r="C13629" s="14" t="s">
        <v>12969</v>
      </c>
      <c r="D13629" s="1"/>
      <c r="E13629" s="1"/>
      <c r="F13629" s="1" t="str">
        <f>IFERROR(__xludf.DUMMYFUNCTION("GOOGLETRANSLATE(B13629, ""en"", ""fa"")
"),"عکاسی و داستان سرایی تصویری")</f>
        <v>عکاسی و داستان سرایی تصویری</v>
      </c>
      <c r="G13629" s="1" t="str">
        <f>IFERROR(__xludf.DUMMYFUNCTION("GOOGLETRANSLATE(C13629, ""en"", ""fa"")
"),"بهترین شیوه برای استفاده از داستان سرایی تصویری برای مستندسازی تحولات شخصی چیست؟")</f>
        <v>بهترین شیوه برای استفاده از داستان سرایی تصویری برای مستندسازی تحولات شخصی چیست؟</v>
      </c>
      <c r="H13629" s="1"/>
      <c r="I13629" s="1"/>
      <c r="J13629" s="1"/>
      <c r="K13629" s="1"/>
      <c r="L13629" s="1"/>
      <c r="M13629" s="1"/>
      <c r="N13629" s="1"/>
      <c r="O13629" s="1"/>
      <c r="P13629" s="1"/>
      <c r="Q13629" s="1"/>
      <c r="R13629" s="1"/>
      <c r="S13629" s="1"/>
      <c r="T13629" s="1"/>
      <c r="U13629" s="1"/>
      <c r="V13629" s="1"/>
      <c r="W13629" s="1"/>
      <c r="X13629" s="1"/>
      <c r="Y13629" s="1"/>
      <c r="Z13629" s="1"/>
      <c r="AA13629" s="1"/>
      <c r="AB13629" s="1"/>
    </row>
    <row r="13630" ht="50.25" customHeight="1">
      <c r="A13630" s="12">
        <v>13626.0</v>
      </c>
      <c r="B13630" s="13" t="s">
        <v>12705</v>
      </c>
      <c r="C13630" s="14" t="s">
        <v>12970</v>
      </c>
      <c r="D13630" s="1"/>
      <c r="E13630" s="1"/>
      <c r="F13630" s="1" t="str">
        <f>IFERROR(__xludf.DUMMYFUNCTION("GOOGLETRANSLATE(B13630, ""en"", ""fa"")
"),"عکاسی و داستان سرایی تصویری")</f>
        <v>عکاسی و داستان سرایی تصویری</v>
      </c>
      <c r="G13630" s="1" t="str">
        <f>IFERROR(__xludf.DUMMYFUNCTION("GOOGLETRANSLATE(C13630, ""en"", ""fa"")
"),"چگونه می توانم از نمادگرایی و استعاره برای انتقال مفهوم هویت در عکاسی استفاده کنم؟")</f>
        <v>چگونه می توانم از نمادگرایی و استعاره برای انتقال مفهوم هویت در عکاسی استفاده کنم؟</v>
      </c>
      <c r="H13630" s="1"/>
      <c r="I13630" s="1"/>
      <c r="J13630" s="1"/>
      <c r="K13630" s="1"/>
      <c r="L13630" s="1"/>
      <c r="M13630" s="1"/>
      <c r="N13630" s="1"/>
      <c r="O13630" s="1"/>
      <c r="P13630" s="1"/>
      <c r="Q13630" s="1"/>
      <c r="R13630" s="1"/>
      <c r="S13630" s="1"/>
      <c r="T13630" s="1"/>
      <c r="U13630" s="1"/>
      <c r="V13630" s="1"/>
      <c r="W13630" s="1"/>
      <c r="X13630" s="1"/>
      <c r="Y13630" s="1"/>
      <c r="Z13630" s="1"/>
      <c r="AA13630" s="1"/>
      <c r="AB13630" s="1"/>
    </row>
    <row r="13631" ht="50.25" customHeight="1">
      <c r="A13631" s="12">
        <v>13627.0</v>
      </c>
      <c r="B13631" s="13" t="s">
        <v>12705</v>
      </c>
      <c r="C13631" s="14" t="s">
        <v>12971</v>
      </c>
      <c r="D13631" s="1"/>
      <c r="E13631" s="1"/>
      <c r="F13631" s="1" t="str">
        <f>IFERROR(__xludf.DUMMYFUNCTION("GOOGLETRANSLATE(B13631, ""en"", ""fa"")
"),"عکاسی و داستان سرایی تصویری")</f>
        <v>عکاسی و داستان سرایی تصویری</v>
      </c>
      <c r="G13631" s="1" t="str">
        <f>IFERROR(__xludf.DUMMYFUNCTION("GOOGLETRANSLATE(C13631, ""en"", ""fa"")
"),"مراحل ایجاد یک روایت تصویری که احساسات و تجربیات شادی را به تصویر می کشد چیست؟")</f>
        <v>مراحل ایجاد یک روایت تصویری که احساسات و تجربیات شادی را به تصویر می کشد چیست؟</v>
      </c>
      <c r="H13631" s="1"/>
      <c r="I13631" s="1"/>
      <c r="J13631" s="1"/>
      <c r="K13631" s="1"/>
      <c r="L13631" s="1"/>
      <c r="M13631" s="1"/>
      <c r="N13631" s="1"/>
      <c r="O13631" s="1"/>
      <c r="P13631" s="1"/>
      <c r="Q13631" s="1"/>
      <c r="R13631" s="1"/>
      <c r="S13631" s="1"/>
      <c r="T13631" s="1"/>
      <c r="U13631" s="1"/>
      <c r="V13631" s="1"/>
      <c r="W13631" s="1"/>
      <c r="X13631" s="1"/>
      <c r="Y13631" s="1"/>
      <c r="Z13631" s="1"/>
      <c r="AA13631" s="1"/>
      <c r="AB13631" s="1"/>
    </row>
    <row r="13632" ht="50.25" customHeight="1">
      <c r="A13632" s="12">
        <v>13628.0</v>
      </c>
      <c r="B13632" s="13" t="s">
        <v>12705</v>
      </c>
      <c r="C13632" s="14" t="s">
        <v>12972</v>
      </c>
      <c r="D13632" s="1"/>
      <c r="E13632" s="1"/>
      <c r="F13632" s="1" t="str">
        <f>IFERROR(__xludf.DUMMYFUNCTION("GOOGLETRANSLATE(B13632, ""en"", ""fa"")
"),"عکاسی و داستان سرایی تصویری")</f>
        <v>عکاسی و داستان سرایی تصویری</v>
      </c>
      <c r="G13632" s="1" t="str">
        <f>IFERROR(__xludf.DUMMYFUNCTION("GOOGLETRANSLATE(C13632, ""en"", ""fa"")
"),"چگونه می توانم عناصر داستان سرایی را در طبیعت بی جان و عکاسی محصول بگنجانم؟")</f>
        <v>چگونه می توانم عناصر داستان سرایی را در طبیعت بی جان و عکاسی محصول بگنجانم؟</v>
      </c>
      <c r="H13632" s="1"/>
      <c r="I13632" s="1"/>
      <c r="J13632" s="1"/>
      <c r="K13632" s="1"/>
      <c r="L13632" s="1"/>
      <c r="M13632" s="1"/>
      <c r="N13632" s="1"/>
      <c r="O13632" s="1"/>
      <c r="P13632" s="1"/>
      <c r="Q13632" s="1"/>
      <c r="R13632" s="1"/>
      <c r="S13632" s="1"/>
      <c r="T13632" s="1"/>
      <c r="U13632" s="1"/>
      <c r="V13632" s="1"/>
      <c r="W13632" s="1"/>
      <c r="X13632" s="1"/>
      <c r="Y13632" s="1"/>
      <c r="Z13632" s="1"/>
      <c r="AA13632" s="1"/>
      <c r="AB13632" s="1"/>
    </row>
    <row r="13633" ht="50.25" customHeight="1">
      <c r="A13633" s="12">
        <v>13629.0</v>
      </c>
      <c r="B13633" s="13" t="s">
        <v>12705</v>
      </c>
      <c r="C13633" s="14" t="s">
        <v>12973</v>
      </c>
      <c r="D13633" s="1"/>
      <c r="E13633" s="1"/>
      <c r="F13633" s="1" t="str">
        <f>IFERROR(__xludf.DUMMYFUNCTION("GOOGLETRANSLATE(B13633, ""en"", ""fa"")
"),"عکاسی و داستان سرایی تصویری")</f>
        <v>عکاسی و داستان سرایی تصویری</v>
      </c>
      <c r="G13633" s="1" t="str">
        <f>IFERROR(__xludf.DUMMYFUNCTION("GOOGLETRANSLATE(C13633, ""en"", ""fa"")
"),"آیا می توانید راه هایی برای استفاده از تضاد رنگ ها برای برانگیختن احساسات و داستان گویی در عکس ها پیشنهاد دهید؟")</f>
        <v>آیا می توانید راه هایی برای استفاده از تضاد رنگ ها برای برانگیختن احساسات و داستان گویی در عکس ها پیشنهاد دهید؟</v>
      </c>
      <c r="H13633" s="1"/>
      <c r="I13633" s="1"/>
      <c r="J13633" s="1"/>
      <c r="K13633" s="1"/>
      <c r="L13633" s="1"/>
      <c r="M13633" s="1"/>
      <c r="N13633" s="1"/>
      <c r="O13633" s="1"/>
      <c r="P13633" s="1"/>
      <c r="Q13633" s="1"/>
      <c r="R13633" s="1"/>
      <c r="S13633" s="1"/>
      <c r="T13633" s="1"/>
      <c r="U13633" s="1"/>
      <c r="V13633" s="1"/>
      <c r="W13633" s="1"/>
      <c r="X13633" s="1"/>
      <c r="Y13633" s="1"/>
      <c r="Z13633" s="1"/>
      <c r="AA13633" s="1"/>
      <c r="AB13633" s="1"/>
    </row>
    <row r="13634" ht="50.25" customHeight="1">
      <c r="A13634" s="12">
        <v>13630.0</v>
      </c>
      <c r="B13634" s="13" t="s">
        <v>12705</v>
      </c>
      <c r="C13634" s="14" t="s">
        <v>12974</v>
      </c>
      <c r="D13634" s="1"/>
      <c r="E13634" s="1"/>
      <c r="F13634" s="1" t="str">
        <f>IFERROR(__xludf.DUMMYFUNCTION("GOOGLETRANSLATE(B13634, ""en"", ""fa"")
"),"عکاسی و داستان سرایی تصویری")</f>
        <v>عکاسی و داستان سرایی تصویری</v>
      </c>
      <c r="G13634" s="1" t="str">
        <f>IFERROR(__xludf.DUMMYFUNCTION("GOOGLETRANSLATE(C13634, ""en"", ""fa"")
"),"بهترین تکنیک ها برای به دست آوردن جوهره تنوع فرهنگی و فراگیری چیست؟")</f>
        <v>بهترین تکنیک ها برای به دست آوردن جوهره تنوع فرهنگی و فراگیری چیست؟</v>
      </c>
      <c r="H13634" s="1"/>
      <c r="I13634" s="1"/>
      <c r="J13634" s="1"/>
      <c r="K13634" s="1"/>
      <c r="L13634" s="1"/>
      <c r="M13634" s="1"/>
      <c r="N13634" s="1"/>
      <c r="O13634" s="1"/>
      <c r="P13634" s="1"/>
      <c r="Q13634" s="1"/>
      <c r="R13634" s="1"/>
      <c r="S13634" s="1"/>
      <c r="T13634" s="1"/>
      <c r="U13634" s="1"/>
      <c r="V13634" s="1"/>
      <c r="W13634" s="1"/>
      <c r="X13634" s="1"/>
      <c r="Y13634" s="1"/>
      <c r="Z13634" s="1"/>
      <c r="AA13634" s="1"/>
      <c r="AB13634" s="1"/>
    </row>
    <row r="13635" ht="50.25" customHeight="1">
      <c r="A13635" s="12">
        <v>13631.0</v>
      </c>
      <c r="B13635" s="13" t="s">
        <v>12705</v>
      </c>
      <c r="C13635" s="14" t="s">
        <v>12975</v>
      </c>
      <c r="D13635" s="1"/>
      <c r="E13635" s="1"/>
      <c r="F13635" s="1" t="str">
        <f>IFERROR(__xludf.DUMMYFUNCTION("GOOGLETRANSLATE(B13635, ""en"", ""fa"")
"),"عکاسی و داستان سرایی تصویری")</f>
        <v>عکاسی و داستان سرایی تصویری</v>
      </c>
      <c r="G13635" s="1" t="str">
        <f>IFERROR(__xludf.DUMMYFUNCTION("GOOGLETRANSLATE(C13635, ""en"", ""fa"")
"),"چگونه می توانم از داستان سرایی تصویری برای انتقال مفهوم ارتباط با طبیعت استفاده کنم؟")</f>
        <v>چگونه می توانم از داستان سرایی تصویری برای انتقال مفهوم ارتباط با طبیعت استفاده کنم؟</v>
      </c>
      <c r="H13635" s="1"/>
      <c r="I13635" s="1"/>
      <c r="J13635" s="1"/>
      <c r="K13635" s="1"/>
      <c r="L13635" s="1"/>
      <c r="M13635" s="1"/>
      <c r="N13635" s="1"/>
      <c r="O13635" s="1"/>
      <c r="P13635" s="1"/>
      <c r="Q13635" s="1"/>
      <c r="R13635" s="1"/>
      <c r="S13635" s="1"/>
      <c r="T13635" s="1"/>
      <c r="U13635" s="1"/>
      <c r="V13635" s="1"/>
      <c r="W13635" s="1"/>
      <c r="X13635" s="1"/>
      <c r="Y13635" s="1"/>
      <c r="Z13635" s="1"/>
      <c r="AA13635" s="1"/>
      <c r="AB13635" s="1"/>
    </row>
    <row r="13636" ht="50.25" customHeight="1">
      <c r="A13636" s="12">
        <v>13632.0</v>
      </c>
      <c r="B13636" s="13" t="s">
        <v>12705</v>
      </c>
      <c r="C13636" s="14" t="s">
        <v>12976</v>
      </c>
      <c r="D13636" s="1"/>
      <c r="E13636" s="1"/>
      <c r="F13636" s="1" t="str">
        <f>IFERROR(__xludf.DUMMYFUNCTION("GOOGLETRANSLATE(B13636, ""en"", ""fa"")
"),"عکاسی و داستان سرایی تصویری")</f>
        <v>عکاسی و داستان سرایی تصویری</v>
      </c>
      <c r="G13636" s="1" t="str">
        <f>IFERROR(__xludf.DUMMYFUNCTION("GOOGLETRANSLATE(C13636, ""en"", ""fa"")
"),"مراحل ایجاد یک داستان بصری که زیبایی لحظات روزمره را برجسته می کند چیست؟")</f>
        <v>مراحل ایجاد یک داستان بصری که زیبایی لحظات روزمره را برجسته می کند چیست؟</v>
      </c>
      <c r="H13636" s="1"/>
      <c r="I13636" s="1"/>
      <c r="J13636" s="1"/>
      <c r="K13636" s="1"/>
      <c r="L13636" s="1"/>
      <c r="M13636" s="1"/>
      <c r="N13636" s="1"/>
      <c r="O13636" s="1"/>
      <c r="P13636" s="1"/>
      <c r="Q13636" s="1"/>
      <c r="R13636" s="1"/>
      <c r="S13636" s="1"/>
      <c r="T13636" s="1"/>
      <c r="U13636" s="1"/>
      <c r="V13636" s="1"/>
      <c r="W13636" s="1"/>
      <c r="X13636" s="1"/>
      <c r="Y13636" s="1"/>
      <c r="Z13636" s="1"/>
      <c r="AA13636" s="1"/>
      <c r="AB13636" s="1"/>
    </row>
    <row r="13637" ht="50.25" customHeight="1">
      <c r="A13637" s="12">
        <v>13633.0</v>
      </c>
      <c r="B13637" s="13" t="s">
        <v>12705</v>
      </c>
      <c r="C13637" s="14" t="s">
        <v>12977</v>
      </c>
      <c r="D13637" s="1"/>
      <c r="E13637" s="1"/>
      <c r="F13637" s="1" t="str">
        <f>IFERROR(__xludf.DUMMYFUNCTION("GOOGLETRANSLATE(B13637, ""en"", ""fa"")
"),"عکاسی و داستان سرایی تصویری")</f>
        <v>عکاسی و داستان سرایی تصویری</v>
      </c>
      <c r="G13637" s="1" t="str">
        <f>IFERROR(__xludf.DUMMYFUNCTION("GOOGLETRANSLATE(C13637, ""en"", ""fa"")
"),"چگونه می توانم ماهیت جشن ها و جشنواره های فرهنگی را از طریق عکاسی به تصویر بکشم؟")</f>
        <v>چگونه می توانم ماهیت جشن ها و جشنواره های فرهنگی را از طریق عکاسی به تصویر بکشم؟</v>
      </c>
      <c r="H13637" s="1"/>
      <c r="I13637" s="1"/>
      <c r="J13637" s="1"/>
      <c r="K13637" s="1"/>
      <c r="L13637" s="1"/>
      <c r="M13637" s="1"/>
      <c r="N13637" s="1"/>
      <c r="O13637" s="1"/>
      <c r="P13637" s="1"/>
      <c r="Q13637" s="1"/>
      <c r="R13637" s="1"/>
      <c r="S13637" s="1"/>
      <c r="T13637" s="1"/>
      <c r="U13637" s="1"/>
      <c r="V13637" s="1"/>
      <c r="W13637" s="1"/>
      <c r="X13637" s="1"/>
      <c r="Y13637" s="1"/>
      <c r="Z13637" s="1"/>
      <c r="AA13637" s="1"/>
      <c r="AB13637" s="1"/>
    </row>
    <row r="13638" ht="50.25" customHeight="1">
      <c r="A13638" s="12">
        <v>13634.0</v>
      </c>
      <c r="B13638" s="13" t="s">
        <v>12705</v>
      </c>
      <c r="C13638" s="14" t="s">
        <v>12978</v>
      </c>
      <c r="D13638" s="1"/>
      <c r="E13638" s="1"/>
      <c r="F13638" s="1" t="str">
        <f>IFERROR(__xludf.DUMMYFUNCTION("GOOGLETRANSLATE(B13638, ""en"", ""fa"")
"),"عکاسی و داستان سرایی تصویری")</f>
        <v>عکاسی و داستان سرایی تصویری</v>
      </c>
      <c r="G13638" s="1" t="str">
        <f>IFERROR(__xludf.DUMMYFUNCTION("GOOGLETRANSLATE(C13638, ""en"", ""fa"")
"),"آیا می‌توانید راهکارهایی را برای استفاده از بازتاب و آینه‌سازی برای خلق روایت‌های دوگانه توصیه کنید؟")</f>
        <v>آیا می‌توانید راهکارهایی را برای استفاده از بازتاب و آینه‌سازی برای خلق روایت‌های دوگانه توصیه کنید؟</v>
      </c>
      <c r="H13638" s="1"/>
      <c r="I13638" s="1"/>
      <c r="J13638" s="1"/>
      <c r="K13638" s="1"/>
      <c r="L13638" s="1"/>
      <c r="M13638" s="1"/>
      <c r="N13638" s="1"/>
      <c r="O13638" s="1"/>
      <c r="P13638" s="1"/>
      <c r="Q13638" s="1"/>
      <c r="R13638" s="1"/>
      <c r="S13638" s="1"/>
      <c r="T13638" s="1"/>
      <c r="U13638" s="1"/>
      <c r="V13638" s="1"/>
      <c r="W13638" s="1"/>
      <c r="X13638" s="1"/>
      <c r="Y13638" s="1"/>
      <c r="Z13638" s="1"/>
      <c r="AA13638" s="1"/>
      <c r="AB13638" s="1"/>
    </row>
    <row r="13639" ht="50.25" customHeight="1">
      <c r="A13639" s="12">
        <v>13635.0</v>
      </c>
      <c r="B13639" s="13" t="s">
        <v>12705</v>
      </c>
      <c r="C13639" s="14" t="s">
        <v>12979</v>
      </c>
      <c r="D13639" s="1"/>
      <c r="E13639" s="1"/>
      <c r="F13639" s="1" t="str">
        <f>IFERROR(__xludf.DUMMYFUNCTION("GOOGLETRANSLATE(B13639, ""en"", ""fa"")
"),"عکاسی و داستان سرایی تصویری")</f>
        <v>عکاسی و داستان سرایی تصویری</v>
      </c>
      <c r="G13639" s="1" t="str">
        <f>IFERROR(__xludf.DUMMYFUNCTION("GOOGLETRANSLATE(C13639, ""en"", ""fa"")
"),"بهترین شیوه ها برای استفاده از نمادگرایی برای انتقال پیام های امید و الهام چیست؟")</f>
        <v>بهترین شیوه ها برای استفاده از نمادگرایی برای انتقال پیام های امید و الهام چیست؟</v>
      </c>
      <c r="H13639" s="1"/>
      <c r="I13639" s="1"/>
      <c r="J13639" s="1"/>
      <c r="K13639" s="1"/>
      <c r="L13639" s="1"/>
      <c r="M13639" s="1"/>
      <c r="N13639" s="1"/>
      <c r="O13639" s="1"/>
      <c r="P13639" s="1"/>
      <c r="Q13639" s="1"/>
      <c r="R13639" s="1"/>
      <c r="S13639" s="1"/>
      <c r="T13639" s="1"/>
      <c r="U13639" s="1"/>
      <c r="V13639" s="1"/>
      <c r="W13639" s="1"/>
      <c r="X13639" s="1"/>
      <c r="Y13639" s="1"/>
      <c r="Z13639" s="1"/>
      <c r="AA13639" s="1"/>
      <c r="AB13639" s="1"/>
    </row>
    <row r="13640" ht="50.25" customHeight="1">
      <c r="A13640" s="12">
        <v>13636.0</v>
      </c>
      <c r="B13640" s="13" t="s">
        <v>12705</v>
      </c>
      <c r="C13640" s="14" t="s">
        <v>12980</v>
      </c>
      <c r="D13640" s="1"/>
      <c r="E13640" s="1"/>
      <c r="F13640" s="1" t="str">
        <f>IFERROR(__xludf.DUMMYFUNCTION("GOOGLETRANSLATE(B13640, ""en"", ""fa"")
"),"عکاسی و داستان سرایی تصویری")</f>
        <v>عکاسی و داستان سرایی تصویری</v>
      </c>
      <c r="G13640" s="1" t="str">
        <f>IFERROR(__xludf.DUMMYFUNCTION("GOOGLETRANSLATE(C13640, ""en"", ""fa"")
"),"چگونه می توانم از داستان سرایی تصویری برای افزایش آگاهی در مورد مسائل اجتماعی و زیست محیطی استفاده کنم؟")</f>
        <v>چگونه می توانم از داستان سرایی تصویری برای افزایش آگاهی در مورد مسائل اجتماعی و زیست محیطی استفاده کنم؟</v>
      </c>
      <c r="H13640" s="1"/>
      <c r="I13640" s="1"/>
      <c r="J13640" s="1"/>
      <c r="K13640" s="1"/>
      <c r="L13640" s="1"/>
      <c r="M13640" s="1"/>
      <c r="N13640" s="1"/>
      <c r="O13640" s="1"/>
      <c r="P13640" s="1"/>
      <c r="Q13640" s="1"/>
      <c r="R13640" s="1"/>
      <c r="S13640" s="1"/>
      <c r="T13640" s="1"/>
      <c r="U13640" s="1"/>
      <c r="V13640" s="1"/>
      <c r="W13640" s="1"/>
      <c r="X13640" s="1"/>
      <c r="Y13640" s="1"/>
      <c r="Z13640" s="1"/>
      <c r="AA13640" s="1"/>
      <c r="AB13640" s="1"/>
    </row>
    <row r="13641" ht="50.25" customHeight="1">
      <c r="A13641" s="12">
        <v>13637.0</v>
      </c>
      <c r="B13641" s="13" t="s">
        <v>12705</v>
      </c>
      <c r="C13641" s="14" t="s">
        <v>12981</v>
      </c>
      <c r="D13641" s="1"/>
      <c r="E13641" s="1"/>
      <c r="F13641" s="1" t="str">
        <f>IFERROR(__xludf.DUMMYFUNCTION("GOOGLETRANSLATE(B13641, ""en"", ""fa"")
"),"عکاسی و داستان سرایی تصویری")</f>
        <v>عکاسی و داستان سرایی تصویری</v>
      </c>
      <c r="G13641" s="1" t="str">
        <f>IFERROR(__xludf.DUMMYFUNCTION("GOOGLETRANSLATE(C13641, ""en"", ""fa"")
"),"مراحل ایجاد یک روایت تصویری که احساسات و تجربیات دوستی را منعکس می کند چیست؟")</f>
        <v>مراحل ایجاد یک روایت تصویری که احساسات و تجربیات دوستی را منعکس می کند چیست؟</v>
      </c>
      <c r="H13641" s="1"/>
      <c r="I13641" s="1"/>
      <c r="J13641" s="1"/>
      <c r="K13641" s="1"/>
      <c r="L13641" s="1"/>
      <c r="M13641" s="1"/>
      <c r="N13641" s="1"/>
      <c r="O13641" s="1"/>
      <c r="P13641" s="1"/>
      <c r="Q13641" s="1"/>
      <c r="R13641" s="1"/>
      <c r="S13641" s="1"/>
      <c r="T13641" s="1"/>
      <c r="U13641" s="1"/>
      <c r="V13641" s="1"/>
      <c r="W13641" s="1"/>
      <c r="X13641" s="1"/>
      <c r="Y13641" s="1"/>
      <c r="Z13641" s="1"/>
      <c r="AA13641" s="1"/>
      <c r="AB13641" s="1"/>
    </row>
    <row r="13642" ht="50.25" customHeight="1">
      <c r="A13642" s="12">
        <v>13638.0</v>
      </c>
      <c r="B13642" s="13" t="s">
        <v>12705</v>
      </c>
      <c r="C13642" s="14" t="s">
        <v>12982</v>
      </c>
      <c r="D13642" s="1"/>
      <c r="E13642" s="1"/>
      <c r="F13642" s="1" t="str">
        <f>IFERROR(__xludf.DUMMYFUNCTION("GOOGLETRANSLATE(B13642, ""en"", ""fa"")
"),"عکاسی و داستان سرایی تصویری")</f>
        <v>عکاسی و داستان سرایی تصویری</v>
      </c>
      <c r="G13642" s="1" t="str">
        <f>IFERROR(__xludf.DUMMYFUNCTION("GOOGLETRANSLATE(C13642, ""en"", ""fa"")
"),"چگونه می توانم عناصر داستان سرایی را در عکاسی معماری و منظر شهری بگنجانم؟")</f>
        <v>چگونه می توانم عناصر داستان سرایی را در عکاسی معماری و منظر شهری بگنجانم؟</v>
      </c>
      <c r="H13642" s="1"/>
      <c r="I13642" s="1"/>
      <c r="J13642" s="1"/>
      <c r="K13642" s="1"/>
      <c r="L13642" s="1"/>
      <c r="M13642" s="1"/>
      <c r="N13642" s="1"/>
      <c r="O13642" s="1"/>
      <c r="P13642" s="1"/>
      <c r="Q13642" s="1"/>
      <c r="R13642" s="1"/>
      <c r="S13642" s="1"/>
      <c r="T13642" s="1"/>
      <c r="U13642" s="1"/>
      <c r="V13642" s="1"/>
      <c r="W13642" s="1"/>
      <c r="X13642" s="1"/>
      <c r="Y13642" s="1"/>
      <c r="Z13642" s="1"/>
      <c r="AA13642" s="1"/>
      <c r="AB13642" s="1"/>
    </row>
    <row r="13643" ht="50.25" customHeight="1">
      <c r="A13643" s="12">
        <v>13639.0</v>
      </c>
      <c r="B13643" s="13" t="s">
        <v>12705</v>
      </c>
      <c r="C13643" s="14" t="s">
        <v>12983</v>
      </c>
      <c r="D13643" s="1"/>
      <c r="E13643" s="1"/>
      <c r="F13643" s="1" t="str">
        <f>IFERROR(__xludf.DUMMYFUNCTION("GOOGLETRANSLATE(B13643, ""en"", ""fa"")
"),"عکاسی و داستان سرایی تصویری")</f>
        <v>عکاسی و داستان سرایی تصویری</v>
      </c>
      <c r="G13643" s="1" t="str">
        <f>IFERROR(__xludf.DUMMYFUNCTION("GOOGLETRANSLATE(C13643, ""en"", ""fa"")
"),"آیا می توانید راه هایی را برای استفاده از نور و سایه برای ایجاد حال و هوا در داستان نویسی پیشنهاد دهید؟")</f>
        <v>آیا می توانید راه هایی را برای استفاده از نور و سایه برای ایجاد حال و هوا در داستان نویسی پیشنهاد دهید؟</v>
      </c>
      <c r="H13643" s="1"/>
      <c r="I13643" s="1"/>
      <c r="J13643" s="1"/>
      <c r="K13643" s="1"/>
      <c r="L13643" s="1"/>
      <c r="M13643" s="1"/>
      <c r="N13643" s="1"/>
      <c r="O13643" s="1"/>
      <c r="P13643" s="1"/>
      <c r="Q13643" s="1"/>
      <c r="R13643" s="1"/>
      <c r="S13643" s="1"/>
      <c r="T13643" s="1"/>
      <c r="U13643" s="1"/>
      <c r="V13643" s="1"/>
      <c r="W13643" s="1"/>
      <c r="X13643" s="1"/>
      <c r="Y13643" s="1"/>
      <c r="Z13643" s="1"/>
      <c r="AA13643" s="1"/>
      <c r="AB13643" s="1"/>
    </row>
    <row r="13644" ht="50.25" customHeight="1">
      <c r="A13644" s="12">
        <v>13640.0</v>
      </c>
      <c r="B13644" s="13" t="s">
        <v>12705</v>
      </c>
      <c r="C13644" s="14" t="s">
        <v>12984</v>
      </c>
      <c r="D13644" s="1"/>
      <c r="E13644" s="1"/>
      <c r="F13644" s="1" t="str">
        <f>IFERROR(__xludf.DUMMYFUNCTION("GOOGLETRANSLATE(B13644, ""en"", ""fa"")
"),"عکاسی و داستان سرایی تصویری")</f>
        <v>عکاسی و داستان سرایی تصویری</v>
      </c>
      <c r="G13644" s="1" t="str">
        <f>IFERROR(__xludf.DUMMYFUNCTION("GOOGLETRANSLATE(C13644, ""en"", ""fa"")
"),"بهترین تکنیک ها برای تسخیر احساسات و ارتباطات روابط انسانی چیست؟")</f>
        <v>بهترین تکنیک ها برای تسخیر احساسات و ارتباطات روابط انسانی چیست؟</v>
      </c>
      <c r="H13644" s="1"/>
      <c r="I13644" s="1"/>
      <c r="J13644" s="1"/>
      <c r="K13644" s="1"/>
      <c r="L13644" s="1"/>
      <c r="M13644" s="1"/>
      <c r="N13644" s="1"/>
      <c r="O13644" s="1"/>
      <c r="P13644" s="1"/>
      <c r="Q13644" s="1"/>
      <c r="R13644" s="1"/>
      <c r="S13644" s="1"/>
      <c r="T13644" s="1"/>
      <c r="U13644" s="1"/>
      <c r="V13644" s="1"/>
      <c r="W13644" s="1"/>
      <c r="X13644" s="1"/>
      <c r="Y13644" s="1"/>
      <c r="Z13644" s="1"/>
      <c r="AA13644" s="1"/>
      <c r="AB13644" s="1"/>
    </row>
    <row r="13645" ht="50.25" customHeight="1">
      <c r="A13645" s="12">
        <v>13641.0</v>
      </c>
      <c r="B13645" s="13" t="s">
        <v>12705</v>
      </c>
      <c r="C13645" s="14" t="s">
        <v>12985</v>
      </c>
      <c r="D13645" s="1"/>
      <c r="E13645" s="1"/>
      <c r="F13645" s="1" t="str">
        <f>IFERROR(__xludf.DUMMYFUNCTION("GOOGLETRANSLATE(B13645, ""en"", ""fa"")
"),"عکاسی و داستان سرایی تصویری")</f>
        <v>عکاسی و داستان سرایی تصویری</v>
      </c>
      <c r="G13645" s="1" t="str">
        <f>IFERROR(__xludf.DUMMYFUNCTION("GOOGLETRANSLATE(C13645, ""en"", ""fa"")
"),"چگونه می توانم از استعاره های بصری برای انتقال مفهوم رشد و تحول شخصی استفاده کنم؟")</f>
        <v>چگونه می توانم از استعاره های بصری برای انتقال مفهوم رشد و تحول شخصی استفاده کنم؟</v>
      </c>
      <c r="H13645" s="1"/>
      <c r="I13645" s="1"/>
      <c r="J13645" s="1"/>
      <c r="K13645" s="1"/>
      <c r="L13645" s="1"/>
      <c r="M13645" s="1"/>
      <c r="N13645" s="1"/>
      <c r="O13645" s="1"/>
      <c r="P13645" s="1"/>
      <c r="Q13645" s="1"/>
      <c r="R13645" s="1"/>
      <c r="S13645" s="1"/>
      <c r="T13645" s="1"/>
      <c r="U13645" s="1"/>
      <c r="V13645" s="1"/>
      <c r="W13645" s="1"/>
      <c r="X13645" s="1"/>
      <c r="Y13645" s="1"/>
      <c r="Z13645" s="1"/>
      <c r="AA13645" s="1"/>
      <c r="AB13645" s="1"/>
    </row>
    <row r="13646" ht="50.25" customHeight="1">
      <c r="A13646" s="12">
        <v>13642.0</v>
      </c>
      <c r="B13646" s="13" t="s">
        <v>12705</v>
      </c>
      <c r="C13646" s="14" t="s">
        <v>12986</v>
      </c>
      <c r="D13646" s="1"/>
      <c r="E13646" s="1"/>
      <c r="F13646" s="1" t="str">
        <f>IFERROR(__xludf.DUMMYFUNCTION("GOOGLETRANSLATE(B13646, ""en"", ""fa"")
"),"عکاسی و داستان سرایی تصویری")</f>
        <v>عکاسی و داستان سرایی تصویری</v>
      </c>
      <c r="G13646" s="1" t="str">
        <f>IFERROR(__xludf.DUMMYFUNCTION("GOOGLETRANSLATE(C13646, ""en"", ""fa"")
"),"مراحل ساخت یک داستان تصویری که زیبایی و غنای میراث فرهنگی را به تصویر می کشد چیست؟")</f>
        <v>مراحل ساخت یک داستان تصویری که زیبایی و غنای میراث فرهنگی را به تصویر می کشد چیست؟</v>
      </c>
      <c r="H13646" s="1"/>
      <c r="I13646" s="1"/>
      <c r="J13646" s="1"/>
      <c r="K13646" s="1"/>
      <c r="L13646" s="1"/>
      <c r="M13646" s="1"/>
      <c r="N13646" s="1"/>
      <c r="O13646" s="1"/>
      <c r="P13646" s="1"/>
      <c r="Q13646" s="1"/>
      <c r="R13646" s="1"/>
      <c r="S13646" s="1"/>
      <c r="T13646" s="1"/>
      <c r="U13646" s="1"/>
      <c r="V13646" s="1"/>
      <c r="W13646" s="1"/>
      <c r="X13646" s="1"/>
      <c r="Y13646" s="1"/>
      <c r="Z13646" s="1"/>
      <c r="AA13646" s="1"/>
      <c r="AB13646" s="1"/>
    </row>
    <row r="13647" ht="50.25" customHeight="1">
      <c r="A13647" s="12">
        <v>13643.0</v>
      </c>
      <c r="B13647" s="13" t="s">
        <v>12705</v>
      </c>
      <c r="C13647" s="14" t="s">
        <v>12987</v>
      </c>
      <c r="D13647" s="1"/>
      <c r="E13647" s="1"/>
      <c r="F13647" s="1" t="str">
        <f>IFERROR(__xludf.DUMMYFUNCTION("GOOGLETRANSLATE(B13647, ""en"", ""fa"")
"),"عکاسی و داستان سرایی تصویری")</f>
        <v>عکاسی و داستان سرایی تصویری</v>
      </c>
      <c r="G13647" s="1" t="str">
        <f>IFERROR(__xludf.DUMMYFUNCTION("GOOGLETRANSLATE(C13647, ""en"", ""fa"")
"),"چگونه می توانم جوهره تنوع فرهنگی و فراگیری را در عکاسی داستان سرایی خود ثبت کنم؟")</f>
        <v>چگونه می توانم جوهره تنوع فرهنگی و فراگیری را در عکاسی داستان سرایی خود ثبت کنم؟</v>
      </c>
      <c r="H13647" s="1"/>
      <c r="I13647" s="1"/>
      <c r="J13647" s="1"/>
      <c r="K13647" s="1"/>
      <c r="L13647" s="1"/>
      <c r="M13647" s="1"/>
      <c r="N13647" s="1"/>
      <c r="O13647" s="1"/>
      <c r="P13647" s="1"/>
      <c r="Q13647" s="1"/>
      <c r="R13647" s="1"/>
      <c r="S13647" s="1"/>
      <c r="T13647" s="1"/>
      <c r="U13647" s="1"/>
      <c r="V13647" s="1"/>
      <c r="W13647" s="1"/>
      <c r="X13647" s="1"/>
      <c r="Y13647" s="1"/>
      <c r="Z13647" s="1"/>
      <c r="AA13647" s="1"/>
      <c r="AB13647" s="1"/>
    </row>
    <row r="13648" ht="50.25" customHeight="1">
      <c r="A13648" s="12">
        <v>13644.0</v>
      </c>
      <c r="B13648" s="13" t="s">
        <v>12705</v>
      </c>
      <c r="C13648" s="14" t="s">
        <v>12988</v>
      </c>
      <c r="D13648" s="1"/>
      <c r="E13648" s="1"/>
      <c r="F13648" s="1" t="str">
        <f>IFERROR(__xludf.DUMMYFUNCTION("GOOGLETRANSLATE(B13648, ""en"", ""fa"")
"),"عکاسی و داستان سرایی تصویری")</f>
        <v>عکاسی و داستان سرایی تصویری</v>
      </c>
      <c r="G13648" s="1" t="str">
        <f>IFERROR(__xludf.DUMMYFUNCTION("GOOGLETRANSLATE(C13648, ""en"", ""fa"")
"),"آیا می توانید راهبردهایی را برای استفاده از بازتاب و انکسار برای ایجاد روایت های تخیلی توصیه کنید؟")</f>
        <v>آیا می توانید راهبردهایی را برای استفاده از بازتاب و انکسار برای ایجاد روایت های تخیلی توصیه کنید؟</v>
      </c>
      <c r="H13648" s="1"/>
      <c r="I13648" s="1"/>
      <c r="J13648" s="1"/>
      <c r="K13648" s="1"/>
      <c r="L13648" s="1"/>
      <c r="M13648" s="1"/>
      <c r="N13648" s="1"/>
      <c r="O13648" s="1"/>
      <c r="P13648" s="1"/>
      <c r="Q13648" s="1"/>
      <c r="R13648" s="1"/>
      <c r="S13648" s="1"/>
      <c r="T13648" s="1"/>
      <c r="U13648" s="1"/>
      <c r="V13648" s="1"/>
      <c r="W13648" s="1"/>
      <c r="X13648" s="1"/>
      <c r="Y13648" s="1"/>
      <c r="Z13648" s="1"/>
      <c r="AA13648" s="1"/>
      <c r="AB13648" s="1"/>
    </row>
    <row r="13649" ht="50.25" customHeight="1">
      <c r="A13649" s="12">
        <v>13645.0</v>
      </c>
      <c r="B13649" s="13" t="s">
        <v>12705</v>
      </c>
      <c r="C13649" s="14" t="s">
        <v>12989</v>
      </c>
      <c r="D13649" s="1"/>
      <c r="E13649" s="1"/>
      <c r="F13649" s="1" t="str">
        <f>IFERROR(__xludf.DUMMYFUNCTION("GOOGLETRANSLATE(B13649, ""en"", ""fa"")
"),"عکاسی و داستان سرایی تصویری")</f>
        <v>عکاسی و داستان سرایی تصویری</v>
      </c>
      <c r="G13649" s="1" t="str">
        <f>IFERROR(__xludf.DUMMYFUNCTION("GOOGLETRANSLATE(C13649, ""en"", ""fa"")
"),"بهترین شیوه برای استفاده از نمادگرایی برای انتقال احساسات و مضامین یک داستان چیست؟")</f>
        <v>بهترین شیوه برای استفاده از نمادگرایی برای انتقال احساسات و مضامین یک داستان چیست؟</v>
      </c>
      <c r="H13649" s="1"/>
      <c r="I13649" s="1"/>
      <c r="J13649" s="1"/>
      <c r="K13649" s="1"/>
      <c r="L13649" s="1"/>
      <c r="M13649" s="1"/>
      <c r="N13649" s="1"/>
      <c r="O13649" s="1"/>
      <c r="P13649" s="1"/>
      <c r="Q13649" s="1"/>
      <c r="R13649" s="1"/>
      <c r="S13649" s="1"/>
      <c r="T13649" s="1"/>
      <c r="U13649" s="1"/>
      <c r="V13649" s="1"/>
      <c r="W13649" s="1"/>
      <c r="X13649" s="1"/>
      <c r="Y13649" s="1"/>
      <c r="Z13649" s="1"/>
      <c r="AA13649" s="1"/>
      <c r="AB13649" s="1"/>
    </row>
    <row r="13650" ht="50.25" customHeight="1">
      <c r="A13650" s="12">
        <v>13646.0</v>
      </c>
      <c r="B13650" s="13" t="s">
        <v>12705</v>
      </c>
      <c r="C13650" s="14" t="s">
        <v>12960</v>
      </c>
      <c r="D13650" s="1"/>
      <c r="E13650" s="1"/>
      <c r="F13650" s="1" t="str">
        <f>IFERROR(__xludf.DUMMYFUNCTION("GOOGLETRANSLATE(B13650, ""en"", ""fa"")
"),"عکاسی و داستان سرایی تصویری")</f>
        <v>عکاسی و داستان سرایی تصویری</v>
      </c>
      <c r="G13650" s="1" t="str">
        <f>IFERROR(__xludf.DUMMYFUNCTION("GOOGLETRANSLATE(C13650, ""en"", ""fa"")
"),"چگونه می توانم از داستان سرایی تصویری برای مستندسازی انعطاف پذیری و قدرت افراد استفاده کنم؟")</f>
        <v>چگونه می توانم از داستان سرایی تصویری برای مستندسازی انعطاف پذیری و قدرت افراد استفاده کنم؟</v>
      </c>
      <c r="H13650" s="1"/>
      <c r="I13650" s="1"/>
      <c r="J13650" s="1"/>
      <c r="K13650" s="1"/>
      <c r="L13650" s="1"/>
      <c r="M13650" s="1"/>
      <c r="N13650" s="1"/>
      <c r="O13650" s="1"/>
      <c r="P13650" s="1"/>
      <c r="Q13650" s="1"/>
      <c r="R13650" s="1"/>
      <c r="S13650" s="1"/>
      <c r="T13650" s="1"/>
      <c r="U13650" s="1"/>
      <c r="V13650" s="1"/>
      <c r="W13650" s="1"/>
      <c r="X13650" s="1"/>
      <c r="Y13650" s="1"/>
      <c r="Z13650" s="1"/>
      <c r="AA13650" s="1"/>
      <c r="AB13650" s="1"/>
    </row>
    <row r="13651" ht="50.25" customHeight="1">
      <c r="A13651" s="12">
        <v>13647.0</v>
      </c>
      <c r="B13651" s="13" t="s">
        <v>12705</v>
      </c>
      <c r="C13651" s="14" t="s">
        <v>12961</v>
      </c>
      <c r="D13651" s="1"/>
      <c r="E13651" s="1"/>
      <c r="F13651" s="1" t="str">
        <f>IFERROR(__xludf.DUMMYFUNCTION("GOOGLETRANSLATE(B13651, ""en"", ""fa"")
"),"عکاسی و داستان سرایی تصویری")</f>
        <v>عکاسی و داستان سرایی تصویری</v>
      </c>
      <c r="G13651" s="1" t="str">
        <f>IFERROR(__xludf.DUMMYFUNCTION("GOOGLETRANSLATE(C13651, ""en"", ""fa"")
"),"مراحل ایجاد یک روایت تصویری که گذر زمان و تغییر را منعکس می کند چیست؟")</f>
        <v>مراحل ایجاد یک روایت تصویری که گذر زمان و تغییر را منعکس می کند چیست؟</v>
      </c>
      <c r="H13651" s="1"/>
      <c r="I13651" s="1"/>
      <c r="J13651" s="1"/>
      <c r="K13651" s="1"/>
      <c r="L13651" s="1"/>
      <c r="M13651" s="1"/>
      <c r="N13651" s="1"/>
      <c r="O13651" s="1"/>
      <c r="P13651" s="1"/>
      <c r="Q13651" s="1"/>
      <c r="R13651" s="1"/>
      <c r="S13651" s="1"/>
      <c r="T13651" s="1"/>
      <c r="U13651" s="1"/>
      <c r="V13651" s="1"/>
      <c r="W13651" s="1"/>
      <c r="X13651" s="1"/>
      <c r="Y13651" s="1"/>
      <c r="Z13651" s="1"/>
      <c r="AA13651" s="1"/>
      <c r="AB13651" s="1"/>
    </row>
    <row r="13652" ht="50.25" customHeight="1">
      <c r="A13652" s="12">
        <v>13648.0</v>
      </c>
      <c r="B13652" s="13" t="s">
        <v>12705</v>
      </c>
      <c r="C13652" s="14" t="s">
        <v>12962</v>
      </c>
      <c r="D13652" s="1"/>
      <c r="E13652" s="1"/>
      <c r="F13652" s="1" t="str">
        <f>IFERROR(__xludf.DUMMYFUNCTION("GOOGLETRANSLATE(B13652, ""en"", ""fa"")
"),"عکاسی و داستان سرایی تصویری")</f>
        <v>عکاسی و داستان سرایی تصویری</v>
      </c>
      <c r="G13652" s="1" t="str">
        <f>IFERROR(__xludf.DUMMYFUNCTION("GOOGLETRANSLATE(C13652, ""en"", ""fa"")
"),"چگونه عناصر داستان سرایی را در عکاسی منظره و طبیعت بگنجانم؟")</f>
        <v>چگونه عناصر داستان سرایی را در عکاسی منظره و طبیعت بگنجانم؟</v>
      </c>
      <c r="H13652" s="1"/>
      <c r="I13652" s="1"/>
      <c r="J13652" s="1"/>
      <c r="K13652" s="1"/>
      <c r="L13652" s="1"/>
      <c r="M13652" s="1"/>
      <c r="N13652" s="1"/>
      <c r="O13652" s="1"/>
      <c r="P13652" s="1"/>
      <c r="Q13652" s="1"/>
      <c r="R13652" s="1"/>
      <c r="S13652" s="1"/>
      <c r="T13652" s="1"/>
      <c r="U13652" s="1"/>
      <c r="V13652" s="1"/>
      <c r="W13652" s="1"/>
      <c r="X13652" s="1"/>
      <c r="Y13652" s="1"/>
      <c r="Z13652" s="1"/>
      <c r="AA13652" s="1"/>
      <c r="AB13652" s="1"/>
    </row>
    <row r="13653" ht="50.25" customHeight="1">
      <c r="A13653" s="12">
        <v>13649.0</v>
      </c>
      <c r="B13653" s="13" t="s">
        <v>12705</v>
      </c>
      <c r="C13653" s="14" t="s">
        <v>12963</v>
      </c>
      <c r="D13653" s="1"/>
      <c r="E13653" s="1"/>
      <c r="F13653" s="1" t="str">
        <f>IFERROR(__xludf.DUMMYFUNCTION("GOOGLETRANSLATE(B13653, ""en"", ""fa"")
"),"عکاسی و داستان سرایی تصویری")</f>
        <v>عکاسی و داستان سرایی تصویری</v>
      </c>
      <c r="G13653" s="1" t="str">
        <f>IFERROR(__xludf.DUMMYFUNCTION("GOOGLETRANSLATE(C13653, ""en"", ""fa"")
"),"آیا می‌توانید راه‌هایی برای استفاده از بازتاب و آینه‌سازی برای خلق روایت‌های جذاب پیشنهاد کنید؟")</f>
        <v>آیا می‌توانید راه‌هایی برای استفاده از بازتاب و آینه‌سازی برای خلق روایت‌های جذاب پیشنهاد کنید؟</v>
      </c>
      <c r="H13653" s="1"/>
      <c r="I13653" s="1"/>
      <c r="J13653" s="1"/>
      <c r="K13653" s="1"/>
      <c r="L13653" s="1"/>
      <c r="M13653" s="1"/>
      <c r="N13653" s="1"/>
      <c r="O13653" s="1"/>
      <c r="P13653" s="1"/>
      <c r="Q13653" s="1"/>
      <c r="R13653" s="1"/>
      <c r="S13653" s="1"/>
      <c r="T13653" s="1"/>
      <c r="U13653" s="1"/>
      <c r="V13653" s="1"/>
      <c r="W13653" s="1"/>
      <c r="X13653" s="1"/>
      <c r="Y13653" s="1"/>
      <c r="Z13653" s="1"/>
      <c r="AA13653" s="1"/>
      <c r="AB13653" s="1"/>
    </row>
    <row r="13654" ht="50.25" customHeight="1">
      <c r="A13654" s="12">
        <v>13650.0</v>
      </c>
      <c r="B13654" s="13" t="s">
        <v>12705</v>
      </c>
      <c r="C13654" s="14" t="s">
        <v>12964</v>
      </c>
      <c r="D13654" s="1"/>
      <c r="E13654" s="1"/>
      <c r="F13654" s="1" t="str">
        <f>IFERROR(__xludf.DUMMYFUNCTION("GOOGLETRANSLATE(B13654, ""en"", ""fa"")
"),"عکاسی و داستان سرایی تصویری")</f>
        <v>عکاسی و داستان سرایی تصویری</v>
      </c>
      <c r="G13654" s="1" t="str">
        <f>IFERROR(__xludf.DUMMYFUNCTION("GOOGLETRANSLATE(C13654, ""en"", ""fa"")
"),"بهترین تکنیک ها برای ثبت احساسات و تعاملات پویایی خانواده چیست؟")</f>
        <v>بهترین تکنیک ها برای ثبت احساسات و تعاملات پویایی خانواده چیست؟</v>
      </c>
      <c r="H13654" s="1"/>
      <c r="I13654" s="1"/>
      <c r="J13654" s="1"/>
      <c r="K13654" s="1"/>
      <c r="L13654" s="1"/>
      <c r="M13654" s="1"/>
      <c r="N13654" s="1"/>
      <c r="O13654" s="1"/>
      <c r="P13654" s="1"/>
      <c r="Q13654" s="1"/>
      <c r="R13654" s="1"/>
      <c r="S13654" s="1"/>
      <c r="T13654" s="1"/>
      <c r="U13654" s="1"/>
      <c r="V13654" s="1"/>
      <c r="W13654" s="1"/>
      <c r="X13654" s="1"/>
      <c r="Y13654" s="1"/>
      <c r="Z13654" s="1"/>
      <c r="AA13654" s="1"/>
      <c r="AB13654" s="1"/>
    </row>
    <row r="13655" ht="50.25" customHeight="1">
      <c r="A13655" s="12">
        <v>13651.0</v>
      </c>
      <c r="B13655" s="13" t="s">
        <v>12705</v>
      </c>
      <c r="C13655" s="14" t="s">
        <v>12965</v>
      </c>
      <c r="D13655" s="1"/>
      <c r="E13655" s="1"/>
      <c r="F13655" s="1" t="str">
        <f>IFERROR(__xludf.DUMMYFUNCTION("GOOGLETRANSLATE(B13655, ""en"", ""fa"")
"),"عکاسی و داستان سرایی تصویری")</f>
        <v>عکاسی و داستان سرایی تصویری</v>
      </c>
      <c r="G13655" s="1" t="str">
        <f>IFERROR(__xludf.DUMMYFUNCTION("GOOGLETRANSLATE(C13655, ""en"", ""fa"")
"),"چگونه می توانم از استعاره های بصری برای انتقال موضوع پیوستگی استفاده کنم؟")</f>
        <v>چگونه می توانم از استعاره های بصری برای انتقال موضوع پیوستگی استفاده کنم؟</v>
      </c>
      <c r="H13655" s="1"/>
      <c r="I13655" s="1"/>
      <c r="J13655" s="1"/>
      <c r="K13655" s="1"/>
      <c r="L13655" s="1"/>
      <c r="M13655" s="1"/>
      <c r="N13655" s="1"/>
      <c r="O13655" s="1"/>
      <c r="P13655" s="1"/>
      <c r="Q13655" s="1"/>
      <c r="R13655" s="1"/>
      <c r="S13655" s="1"/>
      <c r="T13655" s="1"/>
      <c r="U13655" s="1"/>
      <c r="V13655" s="1"/>
      <c r="W13655" s="1"/>
      <c r="X13655" s="1"/>
      <c r="Y13655" s="1"/>
      <c r="Z13655" s="1"/>
      <c r="AA13655" s="1"/>
      <c r="AB13655" s="1"/>
    </row>
    <row r="13656" ht="50.25" customHeight="1">
      <c r="A13656" s="12">
        <v>13652.0</v>
      </c>
      <c r="B13656" s="13" t="s">
        <v>12705</v>
      </c>
      <c r="C13656" s="14" t="s">
        <v>12966</v>
      </c>
      <c r="D13656" s="1"/>
      <c r="E13656" s="1"/>
      <c r="F13656" s="1" t="str">
        <f>IFERROR(__xludf.DUMMYFUNCTION("GOOGLETRANSLATE(B13656, ""en"", ""fa"")
"),"عکاسی و داستان سرایی تصویری")</f>
        <v>عکاسی و داستان سرایی تصویری</v>
      </c>
      <c r="G13656" s="1" t="str">
        <f>IFERROR(__xludf.DUMMYFUNCTION("GOOGLETRANSLATE(C13656, ""en"", ""fa"")
"),"مراحل ایجاد یک داستان بصری که جوهر یک فرهنگ خاص را برجسته می کند چیست؟")</f>
        <v>مراحل ایجاد یک داستان بصری که جوهر یک فرهنگ خاص را برجسته می کند چیست؟</v>
      </c>
      <c r="H13656" s="1"/>
      <c r="I13656" s="1"/>
      <c r="J13656" s="1"/>
      <c r="K13656" s="1"/>
      <c r="L13656" s="1"/>
      <c r="M13656" s="1"/>
      <c r="N13656" s="1"/>
      <c r="O13656" s="1"/>
      <c r="P13656" s="1"/>
      <c r="Q13656" s="1"/>
      <c r="R13656" s="1"/>
      <c r="S13656" s="1"/>
      <c r="T13656" s="1"/>
      <c r="U13656" s="1"/>
      <c r="V13656" s="1"/>
      <c r="W13656" s="1"/>
      <c r="X13656" s="1"/>
      <c r="Y13656" s="1"/>
      <c r="Z13656" s="1"/>
      <c r="AA13656" s="1"/>
      <c r="AB13656" s="1"/>
    </row>
    <row r="13657" ht="50.25" customHeight="1">
      <c r="A13657" s="12">
        <v>13653.0</v>
      </c>
      <c r="B13657" s="13" t="s">
        <v>12705</v>
      </c>
      <c r="C13657" s="14" t="s">
        <v>12967</v>
      </c>
      <c r="D13657" s="1"/>
      <c r="E13657" s="1"/>
      <c r="F13657" s="1" t="str">
        <f>IFERROR(__xludf.DUMMYFUNCTION("GOOGLETRANSLATE(B13657, ""en"", ""fa"")
"),"عکاسی و داستان سرایی تصویری")</f>
        <v>عکاسی و داستان سرایی تصویری</v>
      </c>
      <c r="G13657" s="1" t="str">
        <f>IFERROR(__xludf.DUMMYFUNCTION("GOOGLETRANSLATE(C13657, ""en"", ""fa"")
"),"چگونه می توانم زیبایی و احساسات سنت ها و مراسم فرهنگی را به تصویر بکشم؟")</f>
        <v>چگونه می توانم زیبایی و احساسات سنت ها و مراسم فرهنگی را به تصویر بکشم؟</v>
      </c>
      <c r="H13657" s="1"/>
      <c r="I13657" s="1"/>
      <c r="J13657" s="1"/>
      <c r="K13657" s="1"/>
      <c r="L13657" s="1"/>
      <c r="M13657" s="1"/>
      <c r="N13657" s="1"/>
      <c r="O13657" s="1"/>
      <c r="P13657" s="1"/>
      <c r="Q13657" s="1"/>
      <c r="R13657" s="1"/>
      <c r="S13657" s="1"/>
      <c r="T13657" s="1"/>
      <c r="U13657" s="1"/>
      <c r="V13657" s="1"/>
      <c r="W13657" s="1"/>
      <c r="X13657" s="1"/>
      <c r="Y13657" s="1"/>
      <c r="Z13657" s="1"/>
      <c r="AA13657" s="1"/>
      <c r="AB13657" s="1"/>
    </row>
    <row r="13658" ht="50.25" customHeight="1">
      <c r="A13658" s="12">
        <v>13654.0</v>
      </c>
      <c r="B13658" s="13" t="s">
        <v>12705</v>
      </c>
      <c r="C13658" s="14" t="s">
        <v>12968</v>
      </c>
      <c r="D13658" s="1"/>
      <c r="E13658" s="1"/>
      <c r="F13658" s="1" t="str">
        <f>IFERROR(__xludf.DUMMYFUNCTION("GOOGLETRANSLATE(B13658, ""en"", ""fa"")
"),"عکاسی و داستان سرایی تصویری")</f>
        <v>عکاسی و داستان سرایی تصویری</v>
      </c>
      <c r="G13658" s="1" t="str">
        <f>IFERROR(__xludf.DUMMYFUNCTION("GOOGLETRANSLATE(C13658, ""en"", ""fa"")
"),"آیا می توانید استراتژی هایی برای عکاسی از پیوندها و تعاملات نسل های مختلف توصیه کنید؟")</f>
        <v>آیا می توانید استراتژی هایی برای عکاسی از پیوندها و تعاملات نسل های مختلف توصیه کنید؟</v>
      </c>
      <c r="H13658" s="1"/>
      <c r="I13658" s="1"/>
      <c r="J13658" s="1"/>
      <c r="K13658" s="1"/>
      <c r="L13658" s="1"/>
      <c r="M13658" s="1"/>
      <c r="N13658" s="1"/>
      <c r="O13658" s="1"/>
      <c r="P13658" s="1"/>
      <c r="Q13658" s="1"/>
      <c r="R13658" s="1"/>
      <c r="S13658" s="1"/>
      <c r="T13658" s="1"/>
      <c r="U13658" s="1"/>
      <c r="V13658" s="1"/>
      <c r="W13658" s="1"/>
      <c r="X13658" s="1"/>
      <c r="Y13658" s="1"/>
      <c r="Z13658" s="1"/>
      <c r="AA13658" s="1"/>
      <c r="AB13658" s="1"/>
    </row>
    <row r="13659" ht="50.25" customHeight="1">
      <c r="A13659" s="12">
        <v>13655.0</v>
      </c>
      <c r="B13659" s="13" t="s">
        <v>12705</v>
      </c>
      <c r="C13659" s="14" t="s">
        <v>12969</v>
      </c>
      <c r="D13659" s="1"/>
      <c r="E13659" s="1"/>
      <c r="F13659" s="1" t="str">
        <f>IFERROR(__xludf.DUMMYFUNCTION("GOOGLETRANSLATE(B13659, ""en"", ""fa"")
"),"عکاسی و داستان سرایی تصویری")</f>
        <v>عکاسی و داستان سرایی تصویری</v>
      </c>
      <c r="G13659" s="1" t="str">
        <f>IFERROR(__xludf.DUMMYFUNCTION("GOOGLETRANSLATE(C13659, ""en"", ""fa"")
"),"بهترین شیوه برای استفاده از داستان سرایی تصویری برای مستندسازی تحولات شخصی چیست؟")</f>
        <v>بهترین شیوه برای استفاده از داستان سرایی تصویری برای مستندسازی تحولات شخصی چیست؟</v>
      </c>
      <c r="H13659" s="1"/>
      <c r="I13659" s="1"/>
      <c r="J13659" s="1"/>
      <c r="K13659" s="1"/>
      <c r="L13659" s="1"/>
      <c r="M13659" s="1"/>
      <c r="N13659" s="1"/>
      <c r="O13659" s="1"/>
      <c r="P13659" s="1"/>
      <c r="Q13659" s="1"/>
      <c r="R13659" s="1"/>
      <c r="S13659" s="1"/>
      <c r="T13659" s="1"/>
      <c r="U13659" s="1"/>
      <c r="V13659" s="1"/>
      <c r="W13659" s="1"/>
      <c r="X13659" s="1"/>
      <c r="Y13659" s="1"/>
      <c r="Z13659" s="1"/>
      <c r="AA13659" s="1"/>
      <c r="AB13659" s="1"/>
    </row>
    <row r="13660" ht="50.25" customHeight="1">
      <c r="A13660" s="12">
        <v>13656.0</v>
      </c>
      <c r="B13660" s="13" t="s">
        <v>12705</v>
      </c>
      <c r="C13660" s="14" t="s">
        <v>12970</v>
      </c>
      <c r="D13660" s="1"/>
      <c r="E13660" s="1"/>
      <c r="F13660" s="1" t="str">
        <f>IFERROR(__xludf.DUMMYFUNCTION("GOOGLETRANSLATE(B13660, ""en"", ""fa"")
"),"عکاسی و داستان سرایی تصویری")</f>
        <v>عکاسی و داستان سرایی تصویری</v>
      </c>
      <c r="G13660" s="1" t="str">
        <f>IFERROR(__xludf.DUMMYFUNCTION("GOOGLETRANSLATE(C13660, ""en"", ""fa"")
"),"چگونه می توانم از نمادگرایی و استعاره برای انتقال مفهوم هویت در عکاسی استفاده کنم؟")</f>
        <v>چگونه می توانم از نمادگرایی و استعاره برای انتقال مفهوم هویت در عکاسی استفاده کنم؟</v>
      </c>
      <c r="H13660" s="1"/>
      <c r="I13660" s="1"/>
      <c r="J13660" s="1"/>
      <c r="K13660" s="1"/>
      <c r="L13660" s="1"/>
      <c r="M13660" s="1"/>
      <c r="N13660" s="1"/>
      <c r="O13660" s="1"/>
      <c r="P13660" s="1"/>
      <c r="Q13660" s="1"/>
      <c r="R13660" s="1"/>
      <c r="S13660" s="1"/>
      <c r="T13660" s="1"/>
      <c r="U13660" s="1"/>
      <c r="V13660" s="1"/>
      <c r="W13660" s="1"/>
      <c r="X13660" s="1"/>
      <c r="Y13660" s="1"/>
      <c r="Z13660" s="1"/>
      <c r="AA13660" s="1"/>
      <c r="AB13660" s="1"/>
    </row>
    <row r="13661" ht="50.25" customHeight="1">
      <c r="A13661" s="12">
        <v>13657.0</v>
      </c>
      <c r="B13661" s="13" t="s">
        <v>12705</v>
      </c>
      <c r="C13661" s="14" t="s">
        <v>12971</v>
      </c>
      <c r="D13661" s="1"/>
      <c r="E13661" s="1"/>
      <c r="F13661" s="1" t="str">
        <f>IFERROR(__xludf.DUMMYFUNCTION("GOOGLETRANSLATE(B13661, ""en"", ""fa"")
"),"عکاسی و داستان سرایی تصویری")</f>
        <v>عکاسی و داستان سرایی تصویری</v>
      </c>
      <c r="G13661" s="1" t="str">
        <f>IFERROR(__xludf.DUMMYFUNCTION("GOOGLETRANSLATE(C13661, ""en"", ""fa"")
"),"مراحل ایجاد یک روایت تصویری که احساسات و تجربیات شادی را به تصویر می کشد چیست؟")</f>
        <v>مراحل ایجاد یک روایت تصویری که احساسات و تجربیات شادی را به تصویر می کشد چیست؟</v>
      </c>
      <c r="H13661" s="1"/>
      <c r="I13661" s="1"/>
      <c r="J13661" s="1"/>
      <c r="K13661" s="1"/>
      <c r="L13661" s="1"/>
      <c r="M13661" s="1"/>
      <c r="N13661" s="1"/>
      <c r="O13661" s="1"/>
      <c r="P13661" s="1"/>
      <c r="Q13661" s="1"/>
      <c r="R13661" s="1"/>
      <c r="S13661" s="1"/>
      <c r="T13661" s="1"/>
      <c r="U13661" s="1"/>
      <c r="V13661" s="1"/>
      <c r="W13661" s="1"/>
      <c r="X13661" s="1"/>
      <c r="Y13661" s="1"/>
      <c r="Z13661" s="1"/>
      <c r="AA13661" s="1"/>
      <c r="AB13661" s="1"/>
    </row>
    <row r="13662" ht="50.25" customHeight="1">
      <c r="A13662" s="12">
        <v>13658.0</v>
      </c>
      <c r="B13662" s="13" t="s">
        <v>12705</v>
      </c>
      <c r="C13662" s="14" t="s">
        <v>12972</v>
      </c>
      <c r="D13662" s="1"/>
      <c r="E13662" s="1"/>
      <c r="F13662" s="1" t="str">
        <f>IFERROR(__xludf.DUMMYFUNCTION("GOOGLETRANSLATE(B13662, ""en"", ""fa"")
"),"عکاسی و داستان سرایی تصویری")</f>
        <v>عکاسی و داستان سرایی تصویری</v>
      </c>
      <c r="G13662" s="1" t="str">
        <f>IFERROR(__xludf.DUMMYFUNCTION("GOOGLETRANSLATE(C13662, ""en"", ""fa"")
"),"چگونه می توانم عناصر داستان سرایی را در طبیعت بی جان و عکاسی محصول بگنجانم؟")</f>
        <v>چگونه می توانم عناصر داستان سرایی را در طبیعت بی جان و عکاسی محصول بگنجانم؟</v>
      </c>
      <c r="H13662" s="1"/>
      <c r="I13662" s="1"/>
      <c r="J13662" s="1"/>
      <c r="K13662" s="1"/>
      <c r="L13662" s="1"/>
      <c r="M13662" s="1"/>
      <c r="N13662" s="1"/>
      <c r="O13662" s="1"/>
      <c r="P13662" s="1"/>
      <c r="Q13662" s="1"/>
      <c r="R13662" s="1"/>
      <c r="S13662" s="1"/>
      <c r="T13662" s="1"/>
      <c r="U13662" s="1"/>
      <c r="V13662" s="1"/>
      <c r="W13662" s="1"/>
      <c r="X13662" s="1"/>
      <c r="Y13662" s="1"/>
      <c r="Z13662" s="1"/>
      <c r="AA13662" s="1"/>
      <c r="AB13662" s="1"/>
    </row>
    <row r="13663" ht="50.25" customHeight="1">
      <c r="A13663" s="12">
        <v>13659.0</v>
      </c>
      <c r="B13663" s="13" t="s">
        <v>12705</v>
      </c>
      <c r="C13663" s="14" t="s">
        <v>12973</v>
      </c>
      <c r="D13663" s="1"/>
      <c r="E13663" s="1"/>
      <c r="F13663" s="1" t="str">
        <f>IFERROR(__xludf.DUMMYFUNCTION("GOOGLETRANSLATE(B13663, ""en"", ""fa"")
"),"عکاسی و داستان سرایی تصویری")</f>
        <v>عکاسی و داستان سرایی تصویری</v>
      </c>
      <c r="G13663" s="1" t="str">
        <f>IFERROR(__xludf.DUMMYFUNCTION("GOOGLETRANSLATE(C13663, ""en"", ""fa"")
"),"آیا می توانید راه هایی برای استفاده از تضاد رنگ ها برای برانگیختن احساسات و داستان گویی در عکس ها پیشنهاد دهید؟")</f>
        <v>آیا می توانید راه هایی برای استفاده از تضاد رنگ ها برای برانگیختن احساسات و داستان گویی در عکس ها پیشنهاد دهید؟</v>
      </c>
      <c r="H13663" s="1"/>
      <c r="I13663" s="1"/>
      <c r="J13663" s="1"/>
      <c r="K13663" s="1"/>
      <c r="L13663" s="1"/>
      <c r="M13663" s="1"/>
      <c r="N13663" s="1"/>
      <c r="O13663" s="1"/>
      <c r="P13663" s="1"/>
      <c r="Q13663" s="1"/>
      <c r="R13663" s="1"/>
      <c r="S13663" s="1"/>
      <c r="T13663" s="1"/>
      <c r="U13663" s="1"/>
      <c r="V13663" s="1"/>
      <c r="W13663" s="1"/>
      <c r="X13663" s="1"/>
      <c r="Y13663" s="1"/>
      <c r="Z13663" s="1"/>
      <c r="AA13663" s="1"/>
      <c r="AB13663" s="1"/>
    </row>
    <row r="13664" ht="50.25" customHeight="1">
      <c r="A13664" s="12">
        <v>13660.0</v>
      </c>
      <c r="B13664" s="13" t="s">
        <v>12705</v>
      </c>
      <c r="C13664" s="14" t="s">
        <v>12974</v>
      </c>
      <c r="D13664" s="1"/>
      <c r="E13664" s="1"/>
      <c r="F13664" s="1" t="str">
        <f>IFERROR(__xludf.DUMMYFUNCTION("GOOGLETRANSLATE(B13664, ""en"", ""fa"")
"),"عکاسی و داستان سرایی تصویری")</f>
        <v>عکاسی و داستان سرایی تصویری</v>
      </c>
      <c r="G13664" s="1" t="str">
        <f>IFERROR(__xludf.DUMMYFUNCTION("GOOGLETRANSLATE(C13664, ""en"", ""fa"")
"),"بهترین تکنیک ها برای به دست آوردن جوهره تنوع فرهنگی و فراگیری چیست؟")</f>
        <v>بهترین تکنیک ها برای به دست آوردن جوهره تنوع فرهنگی و فراگیری چیست؟</v>
      </c>
      <c r="H13664" s="1"/>
      <c r="I13664" s="1"/>
      <c r="J13664" s="1"/>
      <c r="K13664" s="1"/>
      <c r="L13664" s="1"/>
      <c r="M13664" s="1"/>
      <c r="N13664" s="1"/>
      <c r="O13664" s="1"/>
      <c r="P13664" s="1"/>
      <c r="Q13664" s="1"/>
      <c r="R13664" s="1"/>
      <c r="S13664" s="1"/>
      <c r="T13664" s="1"/>
      <c r="U13664" s="1"/>
      <c r="V13664" s="1"/>
      <c r="W13664" s="1"/>
      <c r="X13664" s="1"/>
      <c r="Y13664" s="1"/>
      <c r="Z13664" s="1"/>
      <c r="AA13664" s="1"/>
      <c r="AB13664" s="1"/>
    </row>
    <row r="13665" ht="50.25" customHeight="1">
      <c r="A13665" s="12">
        <v>13661.0</v>
      </c>
      <c r="B13665" s="13" t="s">
        <v>12705</v>
      </c>
      <c r="C13665" s="14" t="s">
        <v>12990</v>
      </c>
      <c r="D13665" s="1"/>
      <c r="E13665" s="1"/>
      <c r="F13665" s="1" t="str">
        <f>IFERROR(__xludf.DUMMYFUNCTION("GOOGLETRANSLATE(B13665, ""en"", ""fa"")
"),"عکاسی و داستان سرایی تصویری")</f>
        <v>عکاسی و داستان سرایی تصویری</v>
      </c>
      <c r="G13665" s="1" t="str">
        <f>IFERROR(__xludf.DUMMYFUNCTION("GOOGLETRANSLATE(C13665, ""en"", ""fa"")
"),"چگونه با استفاده از سرعت شاتر مناسب، حرکت پویا را در عکس ها ثبت کنیم؟")</f>
        <v>چگونه با استفاده از سرعت شاتر مناسب، حرکت پویا را در عکس ها ثبت کنیم؟</v>
      </c>
      <c r="H13665" s="1"/>
      <c r="I13665" s="1"/>
      <c r="J13665" s="1"/>
      <c r="K13665" s="1"/>
      <c r="L13665" s="1"/>
      <c r="M13665" s="1"/>
      <c r="N13665" s="1"/>
      <c r="O13665" s="1"/>
      <c r="P13665" s="1"/>
      <c r="Q13665" s="1"/>
      <c r="R13665" s="1"/>
      <c r="S13665" s="1"/>
      <c r="T13665" s="1"/>
      <c r="U13665" s="1"/>
      <c r="V13665" s="1"/>
      <c r="W13665" s="1"/>
      <c r="X13665" s="1"/>
      <c r="Y13665" s="1"/>
      <c r="Z13665" s="1"/>
      <c r="AA13665" s="1"/>
      <c r="AB13665" s="1"/>
    </row>
    <row r="13666" ht="50.25" customHeight="1">
      <c r="A13666" s="12">
        <v>13662.0</v>
      </c>
      <c r="B13666" s="13" t="s">
        <v>12705</v>
      </c>
      <c r="C13666" s="14" t="s">
        <v>12991</v>
      </c>
      <c r="D13666" s="1"/>
      <c r="E13666" s="1"/>
      <c r="F13666" s="1" t="str">
        <f>IFERROR(__xludf.DUMMYFUNCTION("GOOGLETRANSLATE(B13666, ""en"", ""fa"")
"),"عکاسی و داستان سرایی تصویری")</f>
        <v>عکاسی و داستان سرایی تصویری</v>
      </c>
      <c r="G13666" s="1" t="str">
        <f>IFERROR(__xludf.DUMMYFUNCTION("GOOGLETRANSLATE(C13666, ""en"", ""fa"")
"),"چگونه از خطوط پیشرو برای هدایت چشم بینندگان در داستان بصری خود استفاده کنید؟")</f>
        <v>چگونه از خطوط پیشرو برای هدایت چشم بینندگان در داستان بصری خود استفاده کنید؟</v>
      </c>
      <c r="H13666" s="1"/>
      <c r="I13666" s="1"/>
      <c r="J13666" s="1"/>
      <c r="K13666" s="1"/>
      <c r="L13666" s="1"/>
      <c r="M13666" s="1"/>
      <c r="N13666" s="1"/>
      <c r="O13666" s="1"/>
      <c r="P13666" s="1"/>
      <c r="Q13666" s="1"/>
      <c r="R13666" s="1"/>
      <c r="S13666" s="1"/>
      <c r="T13666" s="1"/>
      <c r="U13666" s="1"/>
      <c r="V13666" s="1"/>
      <c r="W13666" s="1"/>
      <c r="X13666" s="1"/>
      <c r="Y13666" s="1"/>
      <c r="Z13666" s="1"/>
      <c r="AA13666" s="1"/>
      <c r="AB13666" s="1"/>
    </row>
    <row r="13667" ht="50.25" customHeight="1">
      <c r="A13667" s="12">
        <v>13663.0</v>
      </c>
      <c r="B13667" s="13" t="s">
        <v>12705</v>
      </c>
      <c r="C13667" s="14" t="s">
        <v>12992</v>
      </c>
      <c r="D13667" s="1"/>
      <c r="E13667" s="1"/>
      <c r="F13667" s="1" t="str">
        <f>IFERROR(__xludf.DUMMYFUNCTION("GOOGLETRANSLATE(B13667, ""en"", ""fa"")
"),"عکاسی و داستان سرایی تصویری")</f>
        <v>عکاسی و داستان سرایی تصویری</v>
      </c>
      <c r="G13667" s="1" t="str">
        <f>IFERROR(__xludf.DUMMYFUNCTION("GOOGLETRANSLATE(C13667, ""en"", ""fa"")
"),"چگونه با استفاده از مجموعه ای از عکس های خیابانی صادقانه یک روایت بصری قدرتمند ایجاد کنیم؟")</f>
        <v>چگونه با استفاده از مجموعه ای از عکس های خیابانی صادقانه یک روایت بصری قدرتمند ایجاد کنیم؟</v>
      </c>
      <c r="H13667" s="1"/>
      <c r="I13667" s="1"/>
      <c r="J13667" s="1"/>
      <c r="K13667" s="1"/>
      <c r="L13667" s="1"/>
      <c r="M13667" s="1"/>
      <c r="N13667" s="1"/>
      <c r="O13667" s="1"/>
      <c r="P13667" s="1"/>
      <c r="Q13667" s="1"/>
      <c r="R13667" s="1"/>
      <c r="S13667" s="1"/>
      <c r="T13667" s="1"/>
      <c r="U13667" s="1"/>
      <c r="V13667" s="1"/>
      <c r="W13667" s="1"/>
      <c r="X13667" s="1"/>
      <c r="Y13667" s="1"/>
      <c r="Z13667" s="1"/>
      <c r="AA13667" s="1"/>
      <c r="AB13667" s="1"/>
    </row>
    <row r="13668" ht="50.25" customHeight="1">
      <c r="A13668" s="12">
        <v>13664.0</v>
      </c>
      <c r="B13668" s="13" t="s">
        <v>12705</v>
      </c>
      <c r="C13668" s="14" t="s">
        <v>12993</v>
      </c>
      <c r="D13668" s="1"/>
      <c r="E13668" s="1"/>
      <c r="F13668" s="1" t="str">
        <f>IFERROR(__xludf.DUMMYFUNCTION("GOOGLETRANSLATE(B13668, ""en"", ""fa"")
"),"عکاسی و داستان سرایی تصویری")</f>
        <v>عکاسی و داستان سرایی تصویری</v>
      </c>
      <c r="G13668" s="1" t="str">
        <f>IFERROR(__xludf.DUMMYFUNCTION("GOOGLETRANSLATE(C13668, ""en"", ""fa"")
"),"چگونه عمق میدان مناسب را برای انتقال احساسات در عکاسی پرتره انتخاب کنیم؟")</f>
        <v>چگونه عمق میدان مناسب را برای انتقال احساسات در عکاسی پرتره انتخاب کنیم؟</v>
      </c>
      <c r="H13668" s="1"/>
      <c r="I13668" s="1"/>
      <c r="J13668" s="1"/>
      <c r="K13668" s="1"/>
      <c r="L13668" s="1"/>
      <c r="M13668" s="1"/>
      <c r="N13668" s="1"/>
      <c r="O13668" s="1"/>
      <c r="P13668" s="1"/>
      <c r="Q13668" s="1"/>
      <c r="R13668" s="1"/>
      <c r="S13668" s="1"/>
      <c r="T13668" s="1"/>
      <c r="U13668" s="1"/>
      <c r="V13668" s="1"/>
      <c r="W13668" s="1"/>
      <c r="X13668" s="1"/>
      <c r="Y13668" s="1"/>
      <c r="Z13668" s="1"/>
      <c r="AA13668" s="1"/>
      <c r="AB13668" s="1"/>
    </row>
    <row r="13669" ht="50.25" customHeight="1">
      <c r="A13669" s="12">
        <v>13665.0</v>
      </c>
      <c r="B13669" s="13" t="s">
        <v>12705</v>
      </c>
      <c r="C13669" s="14" t="s">
        <v>12994</v>
      </c>
      <c r="D13669" s="1"/>
      <c r="E13669" s="1"/>
      <c r="F13669" s="1" t="str">
        <f>IFERROR(__xludf.DUMMYFUNCTION("GOOGLETRANSLATE(B13669, ""en"", ""fa"")
"),"عکاسی و داستان سرایی تصویری")</f>
        <v>عکاسی و داستان سرایی تصویری</v>
      </c>
      <c r="G13669" s="1" t="str">
        <f>IFERROR(__xludf.DUMMYFUNCTION("GOOGLETRANSLATE(C13669, ""en"", ""fa"")
"),"چگونه می توان جوهر شخصیت یک فرد را در یک پرتره مجزا به تصویر کشید؟")</f>
        <v>چگونه می توان جوهر شخصیت یک فرد را در یک پرتره مجزا به تصویر کشید؟</v>
      </c>
      <c r="H13669" s="1"/>
      <c r="I13669" s="1"/>
      <c r="J13669" s="1"/>
      <c r="K13669" s="1"/>
      <c r="L13669" s="1"/>
      <c r="M13669" s="1"/>
      <c r="N13669" s="1"/>
      <c r="O13669" s="1"/>
      <c r="P13669" s="1"/>
      <c r="Q13669" s="1"/>
      <c r="R13669" s="1"/>
      <c r="S13669" s="1"/>
      <c r="T13669" s="1"/>
      <c r="U13669" s="1"/>
      <c r="V13669" s="1"/>
      <c r="W13669" s="1"/>
      <c r="X13669" s="1"/>
      <c r="Y13669" s="1"/>
      <c r="Z13669" s="1"/>
      <c r="AA13669" s="1"/>
      <c r="AB13669" s="1"/>
    </row>
    <row r="13670" ht="50.25" customHeight="1">
      <c r="A13670" s="12">
        <v>13666.0</v>
      </c>
      <c r="B13670" s="13" t="s">
        <v>12705</v>
      </c>
      <c r="C13670" s="14" t="s">
        <v>12995</v>
      </c>
      <c r="D13670" s="1"/>
      <c r="E13670" s="1"/>
      <c r="F13670" s="1" t="str">
        <f>IFERROR(__xludf.DUMMYFUNCTION("GOOGLETRANSLATE(B13670, ""en"", ""fa"")
"),"عکاسی و داستان سرایی تصویری")</f>
        <v>عکاسی و داستان سرایی تصویری</v>
      </c>
      <c r="G13670" s="1" t="str">
        <f>IFERROR(__xludf.DUMMYFUNCTION("GOOGLETRANSLATE(C13670, ""en"", ""fa"")
"),"چگونه از تکنیک های کادربندی برای افزودن لایه های معنا به عکس های خود استفاده کنیم؟")</f>
        <v>چگونه از تکنیک های کادربندی برای افزودن لایه های معنا به عکس های خود استفاده کنیم؟</v>
      </c>
      <c r="H13670" s="1"/>
      <c r="I13670" s="1"/>
      <c r="J13670" s="1"/>
      <c r="K13670" s="1"/>
      <c r="L13670" s="1"/>
      <c r="M13670" s="1"/>
      <c r="N13670" s="1"/>
      <c r="O13670" s="1"/>
      <c r="P13670" s="1"/>
      <c r="Q13670" s="1"/>
      <c r="R13670" s="1"/>
      <c r="S13670" s="1"/>
      <c r="T13670" s="1"/>
      <c r="U13670" s="1"/>
      <c r="V13670" s="1"/>
      <c r="W13670" s="1"/>
      <c r="X13670" s="1"/>
      <c r="Y13670" s="1"/>
      <c r="Z13670" s="1"/>
      <c r="AA13670" s="1"/>
      <c r="AB13670" s="1"/>
    </row>
    <row r="13671" ht="50.25" customHeight="1">
      <c r="A13671" s="12">
        <v>13667.0</v>
      </c>
      <c r="B13671" s="13" t="s">
        <v>12705</v>
      </c>
      <c r="C13671" s="14" t="s">
        <v>12996</v>
      </c>
      <c r="D13671" s="1"/>
      <c r="E13671" s="1"/>
      <c r="F13671" s="1" t="str">
        <f>IFERROR(__xludf.DUMMYFUNCTION("GOOGLETRANSLATE(B13671, ""en"", ""fa"")
"),"عکاسی و داستان سرایی تصویری")</f>
        <v>عکاسی و داستان سرایی تصویری</v>
      </c>
      <c r="G13671" s="1" t="str">
        <f>IFERROR(__xludf.DUMMYFUNCTION("GOOGLETRANSLATE(C13671, ""en"", ""fa"")
"),"چگونه می توان یک داستان بصری جذاب را از طریق دنباله ای از عکس های زمان بندی شده درست کرد؟")</f>
        <v>چگونه می توان یک داستان بصری جذاب را از طریق دنباله ای از عکس های زمان بندی شده درست کرد؟</v>
      </c>
      <c r="H13671" s="1"/>
      <c r="I13671" s="1"/>
      <c r="J13671" s="1"/>
      <c r="K13671" s="1"/>
      <c r="L13671" s="1"/>
      <c r="M13671" s="1"/>
      <c r="N13671" s="1"/>
      <c r="O13671" s="1"/>
      <c r="P13671" s="1"/>
      <c r="Q13671" s="1"/>
      <c r="R13671" s="1"/>
      <c r="S13671" s="1"/>
      <c r="T13671" s="1"/>
      <c r="U13671" s="1"/>
      <c r="V13671" s="1"/>
      <c r="W13671" s="1"/>
      <c r="X13671" s="1"/>
      <c r="Y13671" s="1"/>
      <c r="Z13671" s="1"/>
      <c r="AA13671" s="1"/>
      <c r="AB13671" s="1"/>
    </row>
    <row r="13672" ht="50.25" customHeight="1">
      <c r="A13672" s="12">
        <v>13668.0</v>
      </c>
      <c r="B13672" s="13" t="s">
        <v>12705</v>
      </c>
      <c r="C13672" s="14" t="s">
        <v>12997</v>
      </c>
      <c r="D13672" s="1"/>
      <c r="E13672" s="1"/>
      <c r="F13672" s="1" t="str">
        <f>IFERROR(__xludf.DUMMYFUNCTION("GOOGLETRANSLATE(B13672, ""en"", ""fa"")
"),"عکاسی و داستان سرایی تصویری")</f>
        <v>عکاسی و داستان سرایی تصویری</v>
      </c>
      <c r="G13672" s="1" t="str">
        <f>IFERROR(__xludf.DUMMYFUNCTION("GOOGLETRANSLATE(C13672, ""en"", ""fa"")
"),"چگونه از تئوری رنگ برای برانگیختن احساسات خاص در عکاسی خود استفاده کنیم؟")</f>
        <v>چگونه از تئوری رنگ برای برانگیختن احساسات خاص در عکاسی خود استفاده کنیم؟</v>
      </c>
      <c r="H13672" s="1"/>
      <c r="I13672" s="1"/>
      <c r="J13672" s="1"/>
      <c r="K13672" s="1"/>
      <c r="L13672" s="1"/>
      <c r="M13672" s="1"/>
      <c r="N13672" s="1"/>
      <c r="O13672" s="1"/>
      <c r="P13672" s="1"/>
      <c r="Q13672" s="1"/>
      <c r="R13672" s="1"/>
      <c r="S13672" s="1"/>
      <c r="T13672" s="1"/>
      <c r="U13672" s="1"/>
      <c r="V13672" s="1"/>
      <c r="W13672" s="1"/>
      <c r="X13672" s="1"/>
      <c r="Y13672" s="1"/>
      <c r="Z13672" s="1"/>
      <c r="AA13672" s="1"/>
      <c r="AB13672" s="1"/>
    </row>
    <row r="13673" ht="50.25" customHeight="1">
      <c r="A13673" s="12">
        <v>13669.0</v>
      </c>
      <c r="B13673" s="13" t="s">
        <v>12705</v>
      </c>
      <c r="C13673" s="14" t="s">
        <v>12998</v>
      </c>
      <c r="D13673" s="1"/>
      <c r="E13673" s="1"/>
      <c r="F13673" s="1" t="str">
        <f>IFERROR(__xludf.DUMMYFUNCTION("GOOGLETRANSLATE(B13673, ""en"", ""fa"")
"),"عکاسی و داستان سرایی تصویری")</f>
        <v>عکاسی و داستان سرایی تصویری</v>
      </c>
      <c r="G13673" s="1" t="str">
        <f>IFERROR(__xludf.DUMMYFUNCTION("GOOGLETRANSLATE(C13673, ""en"", ""fa"")
"),"چگونه با استفاده خلاقانه از نور، حس رمز و راز و فتنه را منتقل کنیم؟")</f>
        <v>چگونه با استفاده خلاقانه از نور، حس رمز و راز و فتنه را منتقل کنیم؟</v>
      </c>
      <c r="H13673" s="1"/>
      <c r="I13673" s="1"/>
      <c r="J13673" s="1"/>
      <c r="K13673" s="1"/>
      <c r="L13673" s="1"/>
      <c r="M13673" s="1"/>
      <c r="N13673" s="1"/>
      <c r="O13673" s="1"/>
      <c r="P13673" s="1"/>
      <c r="Q13673" s="1"/>
      <c r="R13673" s="1"/>
      <c r="S13673" s="1"/>
      <c r="T13673" s="1"/>
      <c r="U13673" s="1"/>
      <c r="V13673" s="1"/>
      <c r="W13673" s="1"/>
      <c r="X13673" s="1"/>
      <c r="Y13673" s="1"/>
      <c r="Z13673" s="1"/>
      <c r="AA13673" s="1"/>
      <c r="AB13673" s="1"/>
    </row>
    <row r="13674" ht="50.25" customHeight="1">
      <c r="A13674" s="12">
        <v>13670.0</v>
      </c>
      <c r="B13674" s="13" t="s">
        <v>12705</v>
      </c>
      <c r="C13674" s="14" t="s">
        <v>12999</v>
      </c>
      <c r="D13674" s="1"/>
      <c r="E13674" s="1"/>
      <c r="F13674" s="1" t="str">
        <f>IFERROR(__xludf.DUMMYFUNCTION("GOOGLETRANSLATE(B13674, ""en"", ""fa"")
"),"عکاسی و داستان سرایی تصویری")</f>
        <v>عکاسی و داستان سرایی تصویری</v>
      </c>
      <c r="G13674" s="1" t="str">
        <f>IFERROR(__xludf.DUMMYFUNCTION("GOOGLETRANSLATE(C13674, ""en"", ""fa"")
"),"چگونه از طریق ترکیب بندی مناسب زیبایی مناظر طبیعی را به تصویر بکشیم؟")</f>
        <v>چگونه از طریق ترکیب بندی مناسب زیبایی مناظر طبیعی را به تصویر بکشیم؟</v>
      </c>
      <c r="H13674" s="1"/>
      <c r="I13674" s="1"/>
      <c r="J13674" s="1"/>
      <c r="K13674" s="1"/>
      <c r="L13674" s="1"/>
      <c r="M13674" s="1"/>
      <c r="N13674" s="1"/>
      <c r="O13674" s="1"/>
      <c r="P13674" s="1"/>
      <c r="Q13674" s="1"/>
      <c r="R13674" s="1"/>
      <c r="S13674" s="1"/>
      <c r="T13674" s="1"/>
      <c r="U13674" s="1"/>
      <c r="V13674" s="1"/>
      <c r="W13674" s="1"/>
      <c r="X13674" s="1"/>
      <c r="Y13674" s="1"/>
      <c r="Z13674" s="1"/>
      <c r="AA13674" s="1"/>
      <c r="AB13674" s="1"/>
    </row>
    <row r="13675" ht="50.25" customHeight="1">
      <c r="A13675" s="12">
        <v>13671.0</v>
      </c>
      <c r="B13675" s="13" t="s">
        <v>12705</v>
      </c>
      <c r="C13675" s="14" t="s">
        <v>13000</v>
      </c>
      <c r="D13675" s="1"/>
      <c r="E13675" s="1"/>
      <c r="F13675" s="1" t="str">
        <f>IFERROR(__xludf.DUMMYFUNCTION("GOOGLETRANSLATE(B13675, ""en"", ""fa"")
"),"عکاسی و داستان سرایی تصویری")</f>
        <v>عکاسی و داستان سرایی تصویری</v>
      </c>
      <c r="G13675" s="1" t="str">
        <f>IFERROR(__xludf.DUMMYFUNCTION("GOOGLETRANSLATE(C13675, ""en"", ""fa"")
"),"چگونه عناصر داستان سرایی را در عکاسی منظره خود بگنجانیم؟")</f>
        <v>چگونه عناصر داستان سرایی را در عکاسی منظره خود بگنجانیم؟</v>
      </c>
      <c r="H13675" s="1"/>
      <c r="I13675" s="1"/>
      <c r="J13675" s="1"/>
      <c r="K13675" s="1"/>
      <c r="L13675" s="1"/>
      <c r="M13675" s="1"/>
      <c r="N13675" s="1"/>
      <c r="O13675" s="1"/>
      <c r="P13675" s="1"/>
      <c r="Q13675" s="1"/>
      <c r="R13675" s="1"/>
      <c r="S13675" s="1"/>
      <c r="T13675" s="1"/>
      <c r="U13675" s="1"/>
      <c r="V13675" s="1"/>
      <c r="W13675" s="1"/>
      <c r="X13675" s="1"/>
      <c r="Y13675" s="1"/>
      <c r="Z13675" s="1"/>
      <c r="AA13675" s="1"/>
      <c r="AB13675" s="1"/>
    </row>
    <row r="13676" ht="50.25" customHeight="1">
      <c r="A13676" s="12">
        <v>13672.0</v>
      </c>
      <c r="B13676" s="13" t="s">
        <v>12705</v>
      </c>
      <c r="C13676" s="14" t="s">
        <v>13001</v>
      </c>
      <c r="D13676" s="1"/>
      <c r="E13676" s="1"/>
      <c r="F13676" s="1" t="str">
        <f>IFERROR(__xludf.DUMMYFUNCTION("GOOGLETRANSLATE(B13676, ""en"", ""fa"")
"),"عکاسی و داستان سرایی تصویری")</f>
        <v>عکاسی و داستان سرایی تصویری</v>
      </c>
      <c r="G13676" s="1" t="str">
        <f>IFERROR(__xludf.DUMMYFUNCTION("GOOGLETRANSLATE(C13676, ""en"", ""fa"")
"),"چگونه می توان لحظات زودگذر ارتباط انسانی را در عکاسی خیابانی ثبت کرد؟")</f>
        <v>چگونه می توان لحظات زودگذر ارتباط انسانی را در عکاسی خیابانی ثبت کرد؟</v>
      </c>
      <c r="H13676" s="1"/>
      <c r="I13676" s="1"/>
      <c r="J13676" s="1"/>
      <c r="K13676" s="1"/>
      <c r="L13676" s="1"/>
      <c r="M13676" s="1"/>
      <c r="N13676" s="1"/>
      <c r="O13676" s="1"/>
      <c r="P13676" s="1"/>
      <c r="Q13676" s="1"/>
      <c r="R13676" s="1"/>
      <c r="S13676" s="1"/>
      <c r="T13676" s="1"/>
      <c r="U13676" s="1"/>
      <c r="V13676" s="1"/>
      <c r="W13676" s="1"/>
      <c r="X13676" s="1"/>
      <c r="Y13676" s="1"/>
      <c r="Z13676" s="1"/>
      <c r="AA13676" s="1"/>
      <c r="AB13676" s="1"/>
    </row>
    <row r="13677" ht="50.25" customHeight="1">
      <c r="A13677" s="12">
        <v>13673.0</v>
      </c>
      <c r="B13677" s="13" t="s">
        <v>12705</v>
      </c>
      <c r="C13677" s="14" t="s">
        <v>13002</v>
      </c>
      <c r="D13677" s="1"/>
      <c r="E13677" s="1"/>
      <c r="F13677" s="1" t="str">
        <f>IFERROR(__xludf.DUMMYFUNCTION("GOOGLETRANSLATE(B13677, ""en"", ""fa"")
"),"عکاسی و داستان سرایی تصویری")</f>
        <v>عکاسی و داستان سرایی تصویری</v>
      </c>
      <c r="G13677" s="1" t="str">
        <f>IFERROR(__xludf.DUMMYFUNCTION("GOOGLETRANSLATE(C13677, ""en"", ""fa"")
"),"چگونه از تقارن و تعادل برای ایجاد ترکیبات بصری دلپذیر استفاده کنیم؟")</f>
        <v>چگونه از تقارن و تعادل برای ایجاد ترکیبات بصری دلپذیر استفاده کنیم؟</v>
      </c>
      <c r="H13677" s="1"/>
      <c r="I13677" s="1"/>
      <c r="J13677" s="1"/>
      <c r="K13677" s="1"/>
      <c r="L13677" s="1"/>
      <c r="M13677" s="1"/>
      <c r="N13677" s="1"/>
      <c r="O13677" s="1"/>
      <c r="P13677" s="1"/>
      <c r="Q13677" s="1"/>
      <c r="R13677" s="1"/>
      <c r="S13677" s="1"/>
      <c r="T13677" s="1"/>
      <c r="U13677" s="1"/>
      <c r="V13677" s="1"/>
      <c r="W13677" s="1"/>
      <c r="X13677" s="1"/>
      <c r="Y13677" s="1"/>
      <c r="Z13677" s="1"/>
      <c r="AA13677" s="1"/>
      <c r="AB13677" s="1"/>
    </row>
    <row r="13678" ht="50.25" customHeight="1">
      <c r="A13678" s="12">
        <v>13674.0</v>
      </c>
      <c r="B13678" s="13" t="s">
        <v>12705</v>
      </c>
      <c r="C13678" s="14" t="s">
        <v>13003</v>
      </c>
      <c r="D13678" s="1"/>
      <c r="E13678" s="1"/>
      <c r="F13678" s="1" t="str">
        <f>IFERROR(__xludf.DUMMYFUNCTION("GOOGLETRANSLATE(B13678, ""en"", ""fa"")
"),"عکاسی و داستان سرایی تصویری")</f>
        <v>عکاسی و داستان سرایی تصویری</v>
      </c>
      <c r="G13678" s="1" t="str">
        <f>IFERROR(__xludf.DUMMYFUNCTION("GOOGLETRANSLATE(C13678, ""en"", ""fa"")
"),"چگونه یک داستان بصری ایجاد کنیم که رابطه بین سوژه ها و محیط آنها را برجسته کند؟")</f>
        <v>چگونه یک داستان بصری ایجاد کنیم که رابطه بین سوژه ها و محیط آنها را برجسته کند؟</v>
      </c>
      <c r="H13678" s="1"/>
      <c r="I13678" s="1"/>
      <c r="J13678" s="1"/>
      <c r="K13678" s="1"/>
      <c r="L13678" s="1"/>
      <c r="M13678" s="1"/>
      <c r="N13678" s="1"/>
      <c r="O13678" s="1"/>
      <c r="P13678" s="1"/>
      <c r="Q13678" s="1"/>
      <c r="R13678" s="1"/>
      <c r="S13678" s="1"/>
      <c r="T13678" s="1"/>
      <c r="U13678" s="1"/>
      <c r="V13678" s="1"/>
      <c r="W13678" s="1"/>
      <c r="X13678" s="1"/>
      <c r="Y13678" s="1"/>
      <c r="Z13678" s="1"/>
      <c r="AA13678" s="1"/>
      <c r="AB13678" s="1"/>
    </row>
    <row r="13679" ht="50.25" customHeight="1">
      <c r="A13679" s="12">
        <v>13675.0</v>
      </c>
      <c r="B13679" s="13" t="s">
        <v>12705</v>
      </c>
      <c r="C13679" s="14" t="s">
        <v>13004</v>
      </c>
      <c r="D13679" s="1"/>
      <c r="E13679" s="1"/>
      <c r="F13679" s="1" t="str">
        <f>IFERROR(__xludf.DUMMYFUNCTION("GOOGLETRANSLATE(B13679, ""en"", ""fa"")
"),"عکاسی و داستان سرایی تصویری")</f>
        <v>عکاسی و داستان سرایی تصویری</v>
      </c>
      <c r="G13679" s="1" t="str">
        <f>IFERROR(__xludf.DUMMYFUNCTION("GOOGLETRANSLATE(C13679, ""en"", ""fa"")
"),"چگونه می توان احساسات و عبارات را در عکاسی مستند صادقانه ثبت کرد؟")</f>
        <v>چگونه می توان احساسات و عبارات را در عکاسی مستند صادقانه ثبت کرد؟</v>
      </c>
      <c r="H13679" s="1"/>
      <c r="I13679" s="1"/>
      <c r="J13679" s="1"/>
      <c r="K13679" s="1"/>
      <c r="L13679" s="1"/>
      <c r="M13679" s="1"/>
      <c r="N13679" s="1"/>
      <c r="O13679" s="1"/>
      <c r="P13679" s="1"/>
      <c r="Q13679" s="1"/>
      <c r="R13679" s="1"/>
      <c r="S13679" s="1"/>
      <c r="T13679" s="1"/>
      <c r="U13679" s="1"/>
      <c r="V13679" s="1"/>
      <c r="W13679" s="1"/>
      <c r="X13679" s="1"/>
      <c r="Y13679" s="1"/>
      <c r="Z13679" s="1"/>
      <c r="AA13679" s="1"/>
      <c r="AB13679" s="1"/>
    </row>
    <row r="13680" ht="50.25" customHeight="1">
      <c r="A13680" s="12">
        <v>13676.0</v>
      </c>
      <c r="B13680" s="13" t="s">
        <v>12705</v>
      </c>
      <c r="C13680" s="14" t="s">
        <v>13005</v>
      </c>
      <c r="D13680" s="1"/>
      <c r="E13680" s="1"/>
      <c r="F13680" s="1" t="str">
        <f>IFERROR(__xludf.DUMMYFUNCTION("GOOGLETRANSLATE(B13680, ""en"", ""fa"")
"),"عکاسی و داستان سرایی تصویری")</f>
        <v>عکاسی و داستان سرایی تصویری</v>
      </c>
      <c r="G13680" s="1" t="str">
        <f>IFERROR(__xludf.DUMMYFUNCTION("GOOGLETRANSLATE(C13680, ""en"", ""fa"")
"),"چگونه یک روایت بصری ایجاد کنیم که تنوع فرهنگی و هویت را بررسی کند؟")</f>
        <v>چگونه یک روایت بصری ایجاد کنیم که تنوع فرهنگی و هویت را بررسی کند؟</v>
      </c>
      <c r="H13680" s="1"/>
      <c r="I13680" s="1"/>
      <c r="J13680" s="1"/>
      <c r="K13680" s="1"/>
      <c r="L13680" s="1"/>
      <c r="M13680" s="1"/>
      <c r="N13680" s="1"/>
      <c r="O13680" s="1"/>
      <c r="P13680" s="1"/>
      <c r="Q13680" s="1"/>
      <c r="R13680" s="1"/>
      <c r="S13680" s="1"/>
      <c r="T13680" s="1"/>
      <c r="U13680" s="1"/>
      <c r="V13680" s="1"/>
      <c r="W13680" s="1"/>
      <c r="X13680" s="1"/>
      <c r="Y13680" s="1"/>
      <c r="Z13680" s="1"/>
      <c r="AA13680" s="1"/>
      <c r="AB13680" s="1"/>
    </row>
    <row r="13681" ht="50.25" customHeight="1">
      <c r="A13681" s="12">
        <v>13677.0</v>
      </c>
      <c r="B13681" s="13" t="s">
        <v>12705</v>
      </c>
      <c r="C13681" s="14" t="s">
        <v>13006</v>
      </c>
      <c r="D13681" s="1"/>
      <c r="E13681" s="1"/>
      <c r="F13681" s="1" t="str">
        <f>IFERROR(__xludf.DUMMYFUNCTION("GOOGLETRANSLATE(B13681, ""en"", ""fa"")
"),"عکاسی و داستان سرایی تصویری")</f>
        <v>عکاسی و داستان سرایی تصویری</v>
      </c>
      <c r="G13681" s="1" t="str">
        <f>IFERROR(__xludf.DUMMYFUNCTION("GOOGLETRANSLATE(C13681, ""en"", ""fa"")
"),"چگونه از قانون یک سوم برای ایجاد ترکیب بندی های پویا و جذاب استفاده کنیم؟")</f>
        <v>چگونه از قانون یک سوم برای ایجاد ترکیب بندی های پویا و جذاب استفاده کنیم؟</v>
      </c>
      <c r="H13681" s="1"/>
      <c r="I13681" s="1"/>
      <c r="J13681" s="1"/>
      <c r="K13681" s="1"/>
      <c r="L13681" s="1"/>
      <c r="M13681" s="1"/>
      <c r="N13681" s="1"/>
      <c r="O13681" s="1"/>
      <c r="P13681" s="1"/>
      <c r="Q13681" s="1"/>
      <c r="R13681" s="1"/>
      <c r="S13681" s="1"/>
      <c r="T13681" s="1"/>
      <c r="U13681" s="1"/>
      <c r="V13681" s="1"/>
      <c r="W13681" s="1"/>
      <c r="X13681" s="1"/>
      <c r="Y13681" s="1"/>
      <c r="Z13681" s="1"/>
      <c r="AA13681" s="1"/>
      <c r="AB13681" s="1"/>
    </row>
    <row r="13682" ht="50.25" customHeight="1">
      <c r="A13682" s="12">
        <v>13678.0</v>
      </c>
      <c r="B13682" s="13" t="s">
        <v>12705</v>
      </c>
      <c r="C13682" s="14" t="s">
        <v>13007</v>
      </c>
      <c r="D13682" s="1"/>
      <c r="E13682" s="1"/>
      <c r="F13682" s="1" t="str">
        <f>IFERROR(__xludf.DUMMYFUNCTION("GOOGLETRANSLATE(B13682, ""en"", ""fa"")
"),"عکاسی و داستان سرایی تصویری")</f>
        <v>عکاسی و داستان سرایی تصویری</v>
      </c>
      <c r="G13682" s="1" t="str">
        <f>IFERROR(__xludf.DUMMYFUNCTION("GOOGLETRANSLATE(C13682, ""en"", ""fa"")
"),"چگونه گذر زمان و تغییر را از طریق عکاسی خود منتقل کنیم؟")</f>
        <v>چگونه گذر زمان و تغییر را از طریق عکاسی خود منتقل کنیم؟</v>
      </c>
      <c r="H13682" s="1"/>
      <c r="I13682" s="1"/>
      <c r="J13682" s="1"/>
      <c r="K13682" s="1"/>
      <c r="L13682" s="1"/>
      <c r="M13682" s="1"/>
      <c r="N13682" s="1"/>
      <c r="O13682" s="1"/>
      <c r="P13682" s="1"/>
      <c r="Q13682" s="1"/>
      <c r="R13682" s="1"/>
      <c r="S13682" s="1"/>
      <c r="T13682" s="1"/>
      <c r="U13682" s="1"/>
      <c r="V13682" s="1"/>
      <c r="W13682" s="1"/>
      <c r="X13682" s="1"/>
      <c r="Y13682" s="1"/>
      <c r="Z13682" s="1"/>
      <c r="AA13682" s="1"/>
      <c r="AB13682" s="1"/>
    </row>
    <row r="13683" ht="50.25" customHeight="1">
      <c r="A13683" s="12">
        <v>13679.0</v>
      </c>
      <c r="B13683" s="13" t="s">
        <v>12705</v>
      </c>
      <c r="C13683" s="14" t="s">
        <v>13008</v>
      </c>
      <c r="D13683" s="1"/>
      <c r="E13683" s="1"/>
      <c r="F13683" s="1" t="str">
        <f>IFERROR(__xludf.DUMMYFUNCTION("GOOGLETRANSLATE(B13683, ""en"", ""fa"")
"),"عکاسی و داستان سرایی تصویری")</f>
        <v>عکاسی و داستان سرایی تصویری</v>
      </c>
      <c r="G13683" s="1" t="str">
        <f>IFERROR(__xludf.DUMMYFUNCTION("GOOGLETRANSLATE(C13683, ""en"", ""fa"")
"),"چگونه یک داستان بصری بسازیم که سفر یک موضوع را از ابتدا تا انتها بیان می کند؟")</f>
        <v>چگونه یک داستان بصری بسازیم که سفر یک موضوع را از ابتدا تا انتها بیان می کند؟</v>
      </c>
      <c r="H13683" s="1"/>
      <c r="I13683" s="1"/>
      <c r="J13683" s="1"/>
      <c r="K13683" s="1"/>
      <c r="L13683" s="1"/>
      <c r="M13683" s="1"/>
      <c r="N13683" s="1"/>
      <c r="O13683" s="1"/>
      <c r="P13683" s="1"/>
      <c r="Q13683" s="1"/>
      <c r="R13683" s="1"/>
      <c r="S13683" s="1"/>
      <c r="T13683" s="1"/>
      <c r="U13683" s="1"/>
      <c r="V13683" s="1"/>
      <c r="W13683" s="1"/>
      <c r="X13683" s="1"/>
      <c r="Y13683" s="1"/>
      <c r="Z13683" s="1"/>
      <c r="AA13683" s="1"/>
      <c r="AB13683" s="1"/>
    </row>
    <row r="13684" ht="50.25" customHeight="1">
      <c r="A13684" s="12">
        <v>13680.0</v>
      </c>
      <c r="B13684" s="13" t="s">
        <v>12705</v>
      </c>
      <c r="C13684" s="14" t="s">
        <v>13009</v>
      </c>
      <c r="D13684" s="1"/>
      <c r="E13684" s="1"/>
      <c r="F13684" s="1" t="str">
        <f>IFERROR(__xludf.DUMMYFUNCTION("GOOGLETRANSLATE(B13684, ""en"", ""fa"")
"),"عکاسی و داستان سرایی تصویری")</f>
        <v>عکاسی و داستان سرایی تصویری</v>
      </c>
      <c r="G13684" s="1" t="str">
        <f>IFERROR(__xludf.DUMMYFUNCTION("GOOGLETRANSLATE(C13684, ""en"", ""fa"")
"),"چگونه از فضای منفی برای جلب توجه به سوژه اصلی خود استفاده کنیم؟")</f>
        <v>چگونه از فضای منفی برای جلب توجه به سوژه اصلی خود استفاده کنیم؟</v>
      </c>
      <c r="H13684" s="1"/>
      <c r="I13684" s="1"/>
      <c r="J13684" s="1"/>
      <c r="K13684" s="1"/>
      <c r="L13684" s="1"/>
      <c r="M13684" s="1"/>
      <c r="N13684" s="1"/>
      <c r="O13684" s="1"/>
      <c r="P13684" s="1"/>
      <c r="Q13684" s="1"/>
      <c r="R13684" s="1"/>
      <c r="S13684" s="1"/>
      <c r="T13684" s="1"/>
      <c r="U13684" s="1"/>
      <c r="V13684" s="1"/>
      <c r="W13684" s="1"/>
      <c r="X13684" s="1"/>
      <c r="Y13684" s="1"/>
      <c r="Z13684" s="1"/>
      <c r="AA13684" s="1"/>
      <c r="AB13684" s="1"/>
    </row>
    <row r="13685" ht="50.25" customHeight="1">
      <c r="A13685" s="12">
        <v>13681.0</v>
      </c>
      <c r="B13685" s="13" t="s">
        <v>12705</v>
      </c>
      <c r="C13685" s="14" t="s">
        <v>13010</v>
      </c>
      <c r="D13685" s="1"/>
      <c r="E13685" s="1"/>
      <c r="F13685" s="1" t="str">
        <f>IFERROR(__xludf.DUMMYFUNCTION("GOOGLETRANSLATE(B13685, ""en"", ""fa"")
"),"عکاسی و داستان سرایی تصویری")</f>
        <v>عکاسی و داستان سرایی تصویری</v>
      </c>
      <c r="G13685" s="1" t="str">
        <f>IFERROR(__xludf.DUMMYFUNCTION("GOOGLETRANSLATE(C13685, ""en"", ""fa"")
"),"چگونه می توان ماهیت یک مکان را از طریق معماری و طراحی آن به تصویر کشید؟")</f>
        <v>چگونه می توان ماهیت یک مکان را از طریق معماری و طراحی آن به تصویر کشید؟</v>
      </c>
      <c r="H13685" s="1"/>
      <c r="I13685" s="1"/>
      <c r="J13685" s="1"/>
      <c r="K13685" s="1"/>
      <c r="L13685" s="1"/>
      <c r="M13685" s="1"/>
      <c r="N13685" s="1"/>
      <c r="O13685" s="1"/>
      <c r="P13685" s="1"/>
      <c r="Q13685" s="1"/>
      <c r="R13685" s="1"/>
      <c r="S13685" s="1"/>
      <c r="T13685" s="1"/>
      <c r="U13685" s="1"/>
      <c r="V13685" s="1"/>
      <c r="W13685" s="1"/>
      <c r="X13685" s="1"/>
      <c r="Y13685" s="1"/>
      <c r="Z13685" s="1"/>
      <c r="AA13685" s="1"/>
      <c r="AB13685" s="1"/>
    </row>
    <row r="13686" ht="50.25" customHeight="1">
      <c r="A13686" s="12">
        <v>13682.0</v>
      </c>
      <c r="B13686" s="13" t="s">
        <v>12705</v>
      </c>
      <c r="C13686" s="14" t="s">
        <v>13011</v>
      </c>
      <c r="D13686" s="1"/>
      <c r="E13686" s="1"/>
      <c r="F13686" s="1" t="str">
        <f>IFERROR(__xludf.DUMMYFUNCTION("GOOGLETRANSLATE(B13686, ""en"", ""fa"")
"),"عکاسی و داستان سرایی تصویری")</f>
        <v>عکاسی و داستان سرایی تصویری</v>
      </c>
      <c r="G13686" s="1" t="str">
        <f>IFERROR(__xludf.DUMMYFUNCTION("GOOGLETRANSLATE(C13686, ""en"", ""fa"")
"),"چگونه یک روایت بصری ایجاد کنیم که مفهوم کنتراست و دوگانگی را منتقل کند؟")</f>
        <v>چگونه یک روایت بصری ایجاد کنیم که مفهوم کنتراست و دوگانگی را منتقل کند؟</v>
      </c>
      <c r="H13686" s="1"/>
      <c r="I13686" s="1"/>
      <c r="J13686" s="1"/>
      <c r="K13686" s="1"/>
      <c r="L13686" s="1"/>
      <c r="M13686" s="1"/>
      <c r="N13686" s="1"/>
      <c r="O13686" s="1"/>
      <c r="P13686" s="1"/>
      <c r="Q13686" s="1"/>
      <c r="R13686" s="1"/>
      <c r="S13686" s="1"/>
      <c r="T13686" s="1"/>
      <c r="U13686" s="1"/>
      <c r="V13686" s="1"/>
      <c r="W13686" s="1"/>
      <c r="X13686" s="1"/>
      <c r="Y13686" s="1"/>
      <c r="Z13686" s="1"/>
      <c r="AA13686" s="1"/>
      <c r="AB13686" s="1"/>
    </row>
    <row r="13687" ht="50.25" customHeight="1">
      <c r="A13687" s="12">
        <v>13683.0</v>
      </c>
      <c r="B13687" s="13" t="s">
        <v>12705</v>
      </c>
      <c r="C13687" s="14" t="s">
        <v>13012</v>
      </c>
      <c r="D13687" s="1"/>
      <c r="E13687" s="1"/>
      <c r="F13687" s="1" t="str">
        <f>IFERROR(__xludf.DUMMYFUNCTION("GOOGLETRANSLATE(B13687, ""en"", ""fa"")
"),"عکاسی و داستان سرایی تصویری")</f>
        <v>عکاسی و داستان سرایی تصویری</v>
      </c>
      <c r="G13687" s="1" t="str">
        <f>IFERROR(__xludf.DUMMYFUNCTION("GOOGLETRANSLATE(C13687, ""en"", ""fa"")
"),"چگونه از بازتاب ها و آینه سازی برای عمق بخشیدن به داستان سرایی بصری خود استفاده کنیم؟")</f>
        <v>چگونه از بازتاب ها و آینه سازی برای عمق بخشیدن به داستان سرایی بصری خود استفاده کنیم؟</v>
      </c>
      <c r="H13687" s="1"/>
      <c r="I13687" s="1"/>
      <c r="J13687" s="1"/>
      <c r="K13687" s="1"/>
      <c r="L13687" s="1"/>
      <c r="M13687" s="1"/>
      <c r="N13687" s="1"/>
      <c r="O13687" s="1"/>
      <c r="P13687" s="1"/>
      <c r="Q13687" s="1"/>
      <c r="R13687" s="1"/>
      <c r="S13687" s="1"/>
      <c r="T13687" s="1"/>
      <c r="U13687" s="1"/>
      <c r="V13687" s="1"/>
      <c r="W13687" s="1"/>
      <c r="X13687" s="1"/>
      <c r="Y13687" s="1"/>
      <c r="Z13687" s="1"/>
      <c r="AA13687" s="1"/>
      <c r="AB13687" s="1"/>
    </row>
    <row r="13688" ht="50.25" customHeight="1">
      <c r="A13688" s="12">
        <v>13684.0</v>
      </c>
      <c r="B13688" s="13" t="s">
        <v>12705</v>
      </c>
      <c r="C13688" s="14" t="s">
        <v>13013</v>
      </c>
      <c r="D13688" s="1"/>
      <c r="E13688" s="1"/>
      <c r="F13688" s="1" t="str">
        <f>IFERROR(__xludf.DUMMYFUNCTION("GOOGLETRANSLATE(B13688, ""en"", ""fa"")
"),"عکاسی و داستان سرایی تصویری")</f>
        <v>عکاسی و داستان سرایی تصویری</v>
      </c>
      <c r="G13688" s="1" t="str">
        <f>IFERROR(__xludf.DUMMYFUNCTION("GOOGLETRANSLATE(C13688, ""en"", ""fa"")
"),"چگونه لحظات و احساسات صمیمی را در عکاسی خود ثبت کنیم؟")</f>
        <v>چگونه لحظات و احساسات صمیمی را در عکاسی خود ثبت کنیم؟</v>
      </c>
      <c r="H13688" s="1"/>
      <c r="I13688" s="1"/>
      <c r="J13688" s="1"/>
      <c r="K13688" s="1"/>
      <c r="L13688" s="1"/>
      <c r="M13688" s="1"/>
      <c r="N13688" s="1"/>
      <c r="O13688" s="1"/>
      <c r="P13688" s="1"/>
      <c r="Q13688" s="1"/>
      <c r="R13688" s="1"/>
      <c r="S13688" s="1"/>
      <c r="T13688" s="1"/>
      <c r="U13688" s="1"/>
      <c r="V13688" s="1"/>
      <c r="W13688" s="1"/>
      <c r="X13688" s="1"/>
      <c r="Y13688" s="1"/>
      <c r="Z13688" s="1"/>
      <c r="AA13688" s="1"/>
      <c r="AB13688" s="1"/>
    </row>
    <row r="13689" ht="50.25" customHeight="1">
      <c r="A13689" s="12">
        <v>13685.0</v>
      </c>
      <c r="B13689" s="13" t="s">
        <v>12705</v>
      </c>
      <c r="C13689" s="14" t="s">
        <v>13014</v>
      </c>
      <c r="D13689" s="1"/>
      <c r="E13689" s="1"/>
      <c r="F13689" s="1" t="str">
        <f>IFERROR(__xludf.DUMMYFUNCTION("GOOGLETRANSLATE(B13689, ""en"", ""fa"")
"),"عکاسی و داستان سرایی تصویری")</f>
        <v>عکاسی و داستان سرایی تصویری</v>
      </c>
      <c r="G13689" s="1" t="str">
        <f>IFERROR(__xludf.DUMMYFUNCTION("GOOGLETRANSLATE(C13689, ""en"", ""fa"")
"),"چگونه از استعاره های بصری برای انتقال ایده ها و مضامین پیچیده در تصاویر خود استفاده کنیم؟")</f>
        <v>چگونه از استعاره های بصری برای انتقال ایده ها و مضامین پیچیده در تصاویر خود استفاده کنیم؟</v>
      </c>
      <c r="H13689" s="1"/>
      <c r="I13689" s="1"/>
      <c r="J13689" s="1"/>
      <c r="K13689" s="1"/>
      <c r="L13689" s="1"/>
      <c r="M13689" s="1"/>
      <c r="N13689" s="1"/>
      <c r="O13689" s="1"/>
      <c r="P13689" s="1"/>
      <c r="Q13689" s="1"/>
      <c r="R13689" s="1"/>
      <c r="S13689" s="1"/>
      <c r="T13689" s="1"/>
      <c r="U13689" s="1"/>
      <c r="V13689" s="1"/>
      <c r="W13689" s="1"/>
      <c r="X13689" s="1"/>
      <c r="Y13689" s="1"/>
      <c r="Z13689" s="1"/>
      <c r="AA13689" s="1"/>
      <c r="AB13689" s="1"/>
    </row>
    <row r="13690" ht="50.25" customHeight="1">
      <c r="A13690" s="12">
        <v>13686.0</v>
      </c>
      <c r="B13690" s="13" t="s">
        <v>12705</v>
      </c>
      <c r="C13690" s="14" t="s">
        <v>13015</v>
      </c>
      <c r="D13690" s="1"/>
      <c r="E13690" s="1"/>
      <c r="F13690" s="1" t="str">
        <f>IFERROR(__xludf.DUMMYFUNCTION("GOOGLETRANSLATE(B13690, ""en"", ""fa"")
"),"عکاسی و داستان سرایی تصویری")</f>
        <v>عکاسی و داستان سرایی تصویری</v>
      </c>
      <c r="G13690" s="1" t="str">
        <f>IFERROR(__xludf.DUMMYFUNCTION("GOOGLETRANSLATE(C13690, ""en"", ""fa"")
"),"چگونه یک داستان بصری ایجاد کنیم که تعاملات و روابط درون یک جامعه را مستند کند؟")</f>
        <v>چگونه یک داستان بصری ایجاد کنیم که تعاملات و روابط درون یک جامعه را مستند کند؟</v>
      </c>
      <c r="H13690" s="1"/>
      <c r="I13690" s="1"/>
      <c r="J13690" s="1"/>
      <c r="K13690" s="1"/>
      <c r="L13690" s="1"/>
      <c r="M13690" s="1"/>
      <c r="N13690" s="1"/>
      <c r="O13690" s="1"/>
      <c r="P13690" s="1"/>
      <c r="Q13690" s="1"/>
      <c r="R13690" s="1"/>
      <c r="S13690" s="1"/>
      <c r="T13690" s="1"/>
      <c r="U13690" s="1"/>
      <c r="V13690" s="1"/>
      <c r="W13690" s="1"/>
      <c r="X13690" s="1"/>
      <c r="Y13690" s="1"/>
      <c r="Z13690" s="1"/>
      <c r="AA13690" s="1"/>
      <c r="AB13690" s="1"/>
    </row>
    <row r="13691" ht="50.25" customHeight="1">
      <c r="A13691" s="12">
        <v>13687.0</v>
      </c>
      <c r="B13691" s="13" t="s">
        <v>12705</v>
      </c>
      <c r="C13691" s="14" t="s">
        <v>13016</v>
      </c>
      <c r="D13691" s="1"/>
      <c r="E13691" s="1"/>
      <c r="F13691" s="1" t="str">
        <f>IFERROR(__xludf.DUMMYFUNCTION("GOOGLETRANSLATE(B13691, ""en"", ""fa"")
"),"عکاسی و داستان سرایی تصویری")</f>
        <v>عکاسی و داستان سرایی تصویری</v>
      </c>
      <c r="G13691" s="1" t="str">
        <f>IFERROR(__xludf.DUMMYFUNCTION("GOOGLETRANSLATE(C13691, ""en"", ""fa"")
"),"چگونه انرژی و فضای یک رویداد زنده را از طریق عکاسی خود ثبت کنید؟")</f>
        <v>چگونه انرژی و فضای یک رویداد زنده را از طریق عکاسی خود ثبت کنید؟</v>
      </c>
      <c r="H13691" s="1"/>
      <c r="I13691" s="1"/>
      <c r="J13691" s="1"/>
      <c r="K13691" s="1"/>
      <c r="L13691" s="1"/>
      <c r="M13691" s="1"/>
      <c r="N13691" s="1"/>
      <c r="O13691" s="1"/>
      <c r="P13691" s="1"/>
      <c r="Q13691" s="1"/>
      <c r="R13691" s="1"/>
      <c r="S13691" s="1"/>
      <c r="T13691" s="1"/>
      <c r="U13691" s="1"/>
      <c r="V13691" s="1"/>
      <c r="W13691" s="1"/>
      <c r="X13691" s="1"/>
      <c r="Y13691" s="1"/>
      <c r="Z13691" s="1"/>
      <c r="AA13691" s="1"/>
      <c r="AB13691" s="1"/>
    </row>
    <row r="13692" ht="50.25" customHeight="1">
      <c r="A13692" s="12">
        <v>13688.0</v>
      </c>
      <c r="B13692" s="13" t="s">
        <v>12705</v>
      </c>
      <c r="C13692" s="14" t="s">
        <v>13017</v>
      </c>
      <c r="D13692" s="1"/>
      <c r="E13692" s="1"/>
      <c r="F13692" s="1" t="str">
        <f>IFERROR(__xludf.DUMMYFUNCTION("GOOGLETRANSLATE(B13692, ""en"", ""fa"")
"),"عکاسی و داستان سرایی تصویری")</f>
        <v>عکاسی و داستان سرایی تصویری</v>
      </c>
      <c r="G13692" s="1" t="str">
        <f>IFERROR(__xludf.DUMMYFUNCTION("GOOGLETRANSLATE(C13692, ""en"", ""fa"")
"),"چگونه حس نوستالژی و خاطره را از طریق داستان سرایی تصویری خود منتقل کنید؟")</f>
        <v>چگونه حس نوستالژی و خاطره را از طریق داستان سرایی تصویری خود منتقل کنید؟</v>
      </c>
      <c r="H13692" s="1"/>
      <c r="I13692" s="1"/>
      <c r="J13692" s="1"/>
      <c r="K13692" s="1"/>
      <c r="L13692" s="1"/>
      <c r="M13692" s="1"/>
      <c r="N13692" s="1"/>
      <c r="O13692" s="1"/>
      <c r="P13692" s="1"/>
      <c r="Q13692" s="1"/>
      <c r="R13692" s="1"/>
      <c r="S13692" s="1"/>
      <c r="T13692" s="1"/>
      <c r="U13692" s="1"/>
      <c r="V13692" s="1"/>
      <c r="W13692" s="1"/>
      <c r="X13692" s="1"/>
      <c r="Y13692" s="1"/>
      <c r="Z13692" s="1"/>
      <c r="AA13692" s="1"/>
      <c r="AB13692" s="1"/>
    </row>
    <row r="13693" ht="50.25" customHeight="1">
      <c r="A13693" s="12">
        <v>13689.0</v>
      </c>
      <c r="B13693" s="13" t="s">
        <v>12705</v>
      </c>
      <c r="C13693" s="14" t="s">
        <v>13018</v>
      </c>
      <c r="D13693" s="1"/>
      <c r="E13693" s="1"/>
      <c r="F13693" s="1" t="str">
        <f>IFERROR(__xludf.DUMMYFUNCTION("GOOGLETRANSLATE(B13693, ""en"", ""fa"")
"),"عکاسی و داستان سرایی تصویری")</f>
        <v>عکاسی و داستان سرایی تصویری</v>
      </c>
      <c r="G13693" s="1" t="str">
        <f>IFERROR(__xludf.DUMMYFUNCTION("GOOGLETRANSLATE(C13693, ""en"", ""fa"")
"),"چگونه از زوایای و پرسپکتیوهای مختلف برای تنوع بخشیدن به روایت بصری خود استفاده کنیم؟")</f>
        <v>چگونه از زوایای و پرسپکتیوهای مختلف برای تنوع بخشیدن به روایت بصری خود استفاده کنیم؟</v>
      </c>
      <c r="H13693" s="1"/>
      <c r="I13693" s="1"/>
      <c r="J13693" s="1"/>
      <c r="K13693" s="1"/>
      <c r="L13693" s="1"/>
      <c r="M13693" s="1"/>
      <c r="N13693" s="1"/>
      <c r="O13693" s="1"/>
      <c r="P13693" s="1"/>
      <c r="Q13693" s="1"/>
      <c r="R13693" s="1"/>
      <c r="S13693" s="1"/>
      <c r="T13693" s="1"/>
      <c r="U13693" s="1"/>
      <c r="V13693" s="1"/>
      <c r="W13693" s="1"/>
      <c r="X13693" s="1"/>
      <c r="Y13693" s="1"/>
      <c r="Z13693" s="1"/>
      <c r="AA13693" s="1"/>
      <c r="AB13693" s="1"/>
    </row>
    <row r="13694" ht="50.25" customHeight="1">
      <c r="A13694" s="12">
        <v>13690.0</v>
      </c>
      <c r="B13694" s="13" t="s">
        <v>12705</v>
      </c>
      <c r="C13694" s="14" t="s">
        <v>13019</v>
      </c>
      <c r="D13694" s="1"/>
      <c r="E13694" s="1"/>
      <c r="F13694" s="1" t="str">
        <f>IFERROR(__xludf.DUMMYFUNCTION("GOOGLETRANSLATE(B13694, ""en"", ""fa"")
"),"عکاسی و داستان سرایی تصویری")</f>
        <v>عکاسی و داستان سرایی تصویری</v>
      </c>
      <c r="G13694" s="1" t="str">
        <f>IFERROR(__xludf.DUMMYFUNCTION("GOOGLETRANSLATE(C13694, ""en"", ""fa"")
"),"چگونه یک روایت بصری ایجاد کنیم که مفهوم رشد و تحول را بررسی کند؟")</f>
        <v>چگونه یک روایت بصری ایجاد کنیم که مفهوم رشد و تحول را بررسی کند؟</v>
      </c>
      <c r="H13694" s="1"/>
      <c r="I13694" s="1"/>
      <c r="J13694" s="1"/>
      <c r="K13694" s="1"/>
      <c r="L13694" s="1"/>
      <c r="M13694" s="1"/>
      <c r="N13694" s="1"/>
      <c r="O13694" s="1"/>
      <c r="P13694" s="1"/>
      <c r="Q13694" s="1"/>
      <c r="R13694" s="1"/>
      <c r="S13694" s="1"/>
      <c r="T13694" s="1"/>
      <c r="U13694" s="1"/>
      <c r="V13694" s="1"/>
      <c r="W13694" s="1"/>
      <c r="X13694" s="1"/>
      <c r="Y13694" s="1"/>
      <c r="Z13694" s="1"/>
      <c r="AA13694" s="1"/>
      <c r="AB13694" s="1"/>
    </row>
    <row r="13695" ht="50.25" customHeight="1">
      <c r="A13695" s="12">
        <v>13691.0</v>
      </c>
      <c r="B13695" s="13" t="s">
        <v>12705</v>
      </c>
      <c r="C13695" s="14" t="s">
        <v>13020</v>
      </c>
      <c r="D13695" s="1"/>
      <c r="E13695" s="1"/>
      <c r="F13695" s="1" t="str">
        <f>IFERROR(__xludf.DUMMYFUNCTION("GOOGLETRANSLATE(B13695, ""en"", ""fa"")
"),"عکاسی و داستان سرایی تصویری")</f>
        <v>عکاسی و داستان سرایی تصویری</v>
      </c>
      <c r="G13695" s="1" t="str">
        <f>IFERROR(__xludf.DUMMYFUNCTION("GOOGLETRANSLATE(C13695, ""en"", ""fa"")
"),"چگونه می توان زیبایی لحظه ها و کارهای روزمره را در عکاسی مستند ثبت کرد؟")</f>
        <v>چگونه می توان زیبایی لحظه ها و کارهای روزمره را در عکاسی مستند ثبت کرد؟</v>
      </c>
      <c r="H13695" s="1"/>
      <c r="I13695" s="1"/>
      <c r="J13695" s="1"/>
      <c r="K13695" s="1"/>
      <c r="L13695" s="1"/>
      <c r="M13695" s="1"/>
      <c r="N13695" s="1"/>
      <c r="O13695" s="1"/>
      <c r="P13695" s="1"/>
      <c r="Q13695" s="1"/>
      <c r="R13695" s="1"/>
      <c r="S13695" s="1"/>
      <c r="T13695" s="1"/>
      <c r="U13695" s="1"/>
      <c r="V13695" s="1"/>
      <c r="W13695" s="1"/>
      <c r="X13695" s="1"/>
      <c r="Y13695" s="1"/>
      <c r="Z13695" s="1"/>
      <c r="AA13695" s="1"/>
      <c r="AB13695" s="1"/>
    </row>
    <row r="13696" ht="50.25" customHeight="1">
      <c r="A13696" s="12">
        <v>13692.0</v>
      </c>
      <c r="B13696" s="13" t="s">
        <v>12705</v>
      </c>
      <c r="C13696" s="14" t="s">
        <v>13021</v>
      </c>
      <c r="D13696" s="1"/>
      <c r="E13696" s="1"/>
      <c r="F13696" s="1" t="str">
        <f>IFERROR(__xludf.DUMMYFUNCTION("GOOGLETRANSLATE(B13696, ""en"", ""fa"")
"),"عکاسی و داستان سرایی تصویری")</f>
        <v>عکاسی و داستان سرایی تصویری</v>
      </c>
      <c r="G13696" s="1" t="str">
        <f>IFERROR(__xludf.DUMMYFUNCTION("GOOGLETRANSLATE(C13696, ""en"", ""fa"")
"),"چگونه می توان حس رمز و راز و دسیسه را از طریق تمرکز انتخابی منتقل کرد؟")</f>
        <v>چگونه می توان حس رمز و راز و دسیسه را از طریق تمرکز انتخابی منتقل کرد؟</v>
      </c>
      <c r="H13696" s="1"/>
      <c r="I13696" s="1"/>
      <c r="J13696" s="1"/>
      <c r="K13696" s="1"/>
      <c r="L13696" s="1"/>
      <c r="M13696" s="1"/>
      <c r="N13696" s="1"/>
      <c r="O13696" s="1"/>
      <c r="P13696" s="1"/>
      <c r="Q13696" s="1"/>
      <c r="R13696" s="1"/>
      <c r="S13696" s="1"/>
      <c r="T13696" s="1"/>
      <c r="U13696" s="1"/>
      <c r="V13696" s="1"/>
      <c r="W13696" s="1"/>
      <c r="X13696" s="1"/>
      <c r="Y13696" s="1"/>
      <c r="Z13696" s="1"/>
      <c r="AA13696" s="1"/>
      <c r="AB13696" s="1"/>
    </row>
    <row r="13697" ht="50.25" customHeight="1">
      <c r="A13697" s="12">
        <v>13693.0</v>
      </c>
      <c r="B13697" s="13" t="s">
        <v>12705</v>
      </c>
      <c r="C13697" s="14" t="s">
        <v>13022</v>
      </c>
      <c r="D13697" s="1"/>
      <c r="E13697" s="1"/>
      <c r="F13697" s="1" t="str">
        <f>IFERROR(__xludf.DUMMYFUNCTION("GOOGLETRANSLATE(B13697, ""en"", ""fa"")
"),"عکاسی و داستان سرایی تصویری")</f>
        <v>عکاسی و داستان سرایی تصویری</v>
      </c>
      <c r="G13697" s="1" t="str">
        <f>IFERROR(__xludf.DUMMYFUNCTION("GOOGLETRANSLATE(C13697, ""en"", ""fa"")
"),"چگونه از تضاد رنگ برای خلق داستان های بصری جسورانه و جذاب استفاده کنیم؟")</f>
        <v>چگونه از تضاد رنگ برای خلق داستان های بصری جسورانه و جذاب استفاده کنیم؟</v>
      </c>
      <c r="H13697" s="1"/>
      <c r="I13697" s="1"/>
      <c r="J13697" s="1"/>
      <c r="K13697" s="1"/>
      <c r="L13697" s="1"/>
      <c r="M13697" s="1"/>
      <c r="N13697" s="1"/>
      <c r="O13697" s="1"/>
      <c r="P13697" s="1"/>
      <c r="Q13697" s="1"/>
      <c r="R13697" s="1"/>
      <c r="S13697" s="1"/>
      <c r="T13697" s="1"/>
      <c r="U13697" s="1"/>
      <c r="V13697" s="1"/>
      <c r="W13697" s="1"/>
      <c r="X13697" s="1"/>
      <c r="Y13697" s="1"/>
      <c r="Z13697" s="1"/>
      <c r="AA13697" s="1"/>
      <c r="AB13697" s="1"/>
    </row>
    <row r="13698" ht="50.25" customHeight="1">
      <c r="A13698" s="12">
        <v>13694.0</v>
      </c>
      <c r="B13698" s="13" t="s">
        <v>12705</v>
      </c>
      <c r="C13698" s="14" t="s">
        <v>13023</v>
      </c>
      <c r="D13698" s="1"/>
      <c r="E13698" s="1"/>
      <c r="F13698" s="1" t="str">
        <f>IFERROR(__xludf.DUMMYFUNCTION("GOOGLETRANSLATE(B13698, ""en"", ""fa"")
"),"عکاسی و داستان سرایی تصویری")</f>
        <v>عکاسی و داستان سرایی تصویری</v>
      </c>
      <c r="G13698" s="1" t="str">
        <f>IFERROR(__xludf.DUMMYFUNCTION("GOOGLETRANSLATE(C13698, ""en"", ""fa"")
"),"چگونه یک روایت بصری ایجاد کنیم که بر احساسات و تعاملات کودکان متمرکز باشد؟")</f>
        <v>چگونه یک روایت بصری ایجاد کنیم که بر احساسات و تعاملات کودکان متمرکز باشد؟</v>
      </c>
      <c r="H13698" s="1"/>
      <c r="I13698" s="1"/>
      <c r="J13698" s="1"/>
      <c r="K13698" s="1"/>
      <c r="L13698" s="1"/>
      <c r="M13698" s="1"/>
      <c r="N13698" s="1"/>
      <c r="O13698" s="1"/>
      <c r="P13698" s="1"/>
      <c r="Q13698" s="1"/>
      <c r="R13698" s="1"/>
      <c r="S13698" s="1"/>
      <c r="T13698" s="1"/>
      <c r="U13698" s="1"/>
      <c r="V13698" s="1"/>
      <c r="W13698" s="1"/>
      <c r="X13698" s="1"/>
      <c r="Y13698" s="1"/>
      <c r="Z13698" s="1"/>
      <c r="AA13698" s="1"/>
      <c r="AB13698" s="1"/>
    </row>
    <row r="13699" ht="50.25" customHeight="1">
      <c r="A13699" s="12">
        <v>13695.0</v>
      </c>
      <c r="B13699" s="13" t="s">
        <v>12705</v>
      </c>
      <c r="C13699" s="14" t="s">
        <v>13024</v>
      </c>
      <c r="D13699" s="1"/>
      <c r="E13699" s="1"/>
      <c r="F13699" s="1" t="str">
        <f>IFERROR(__xludf.DUMMYFUNCTION("GOOGLETRANSLATE(B13699, ""en"", ""fa"")
"),"عکاسی و داستان سرایی تصویری")</f>
        <v>عکاسی و داستان سرایی تصویری</v>
      </c>
      <c r="G13699" s="1" t="str">
        <f>IFERROR(__xludf.DUMMYFUNCTION("GOOGLETRANSLATE(C13699, ""en"", ""fa"")
"),"چگونه شخصیت و شخصیت منحصر به فرد حیوانات را در عکاسی خود ثبت کنید؟")</f>
        <v>چگونه شخصیت و شخصیت منحصر به فرد حیوانات را در عکاسی خود ثبت کنید؟</v>
      </c>
      <c r="H13699" s="1"/>
      <c r="I13699" s="1"/>
      <c r="J13699" s="1"/>
      <c r="K13699" s="1"/>
      <c r="L13699" s="1"/>
      <c r="M13699" s="1"/>
      <c r="N13699" s="1"/>
      <c r="O13699" s="1"/>
      <c r="P13699" s="1"/>
      <c r="Q13699" s="1"/>
      <c r="R13699" s="1"/>
      <c r="S13699" s="1"/>
      <c r="T13699" s="1"/>
      <c r="U13699" s="1"/>
      <c r="V13699" s="1"/>
      <c r="W13699" s="1"/>
      <c r="X13699" s="1"/>
      <c r="Y13699" s="1"/>
      <c r="Z13699" s="1"/>
      <c r="AA13699" s="1"/>
      <c r="AB13699" s="1"/>
    </row>
    <row r="13700" ht="50.25" customHeight="1">
      <c r="A13700" s="12">
        <v>13696.0</v>
      </c>
      <c r="B13700" s="13" t="s">
        <v>12705</v>
      </c>
      <c r="C13700" s="14" t="s">
        <v>13025</v>
      </c>
      <c r="D13700" s="1"/>
      <c r="E13700" s="1"/>
      <c r="F13700" s="1" t="str">
        <f>IFERROR(__xludf.DUMMYFUNCTION("GOOGLETRANSLATE(B13700, ""en"", ""fa"")
"),"عکاسی و داستان سرایی تصویری")</f>
        <v>عکاسی و داستان سرایی تصویری</v>
      </c>
      <c r="G13700" s="1" t="str">
        <f>IFERROR(__xludf.DUMMYFUNCTION("GOOGLETRANSLATE(C13700, ""en"", ""fa"")
"),"چگونه از وسایل و نمادگرایی برای تقویت جنبه داستان گویی تصاویر خود استفاده کنید؟")</f>
        <v>چگونه از وسایل و نمادگرایی برای تقویت جنبه داستان گویی تصاویر خود استفاده کنید؟</v>
      </c>
      <c r="H13700" s="1"/>
      <c r="I13700" s="1"/>
      <c r="J13700" s="1"/>
      <c r="K13700" s="1"/>
      <c r="L13700" s="1"/>
      <c r="M13700" s="1"/>
      <c r="N13700" s="1"/>
      <c r="O13700" s="1"/>
      <c r="P13700" s="1"/>
      <c r="Q13700" s="1"/>
      <c r="R13700" s="1"/>
      <c r="S13700" s="1"/>
      <c r="T13700" s="1"/>
      <c r="U13700" s="1"/>
      <c r="V13700" s="1"/>
      <c r="W13700" s="1"/>
      <c r="X13700" s="1"/>
      <c r="Y13700" s="1"/>
      <c r="Z13700" s="1"/>
      <c r="AA13700" s="1"/>
      <c r="AB13700" s="1"/>
    </row>
    <row r="13701" ht="50.25" customHeight="1">
      <c r="A13701" s="12">
        <v>13697.0</v>
      </c>
      <c r="B13701" s="13" t="s">
        <v>12705</v>
      </c>
      <c r="C13701" s="14" t="s">
        <v>13026</v>
      </c>
      <c r="D13701" s="1"/>
      <c r="E13701" s="1"/>
      <c r="F13701" s="1" t="str">
        <f>IFERROR(__xludf.DUMMYFUNCTION("GOOGLETRANSLATE(B13701, ""en"", ""fa"")
"),"عکاسی و داستان سرایی تصویری")</f>
        <v>عکاسی و داستان سرایی تصویری</v>
      </c>
      <c r="G13701" s="1" t="str">
        <f>IFERROR(__xludf.DUMMYFUNCTION("GOOGLETRANSLATE(C13701, ""en"", ""fa"")
"),"چگونه یک داستان بصری ایجاد کنیم که مفهوم وحدت و با هم بودن را بررسی کند؟")</f>
        <v>چگونه یک داستان بصری ایجاد کنیم که مفهوم وحدت و با هم بودن را بررسی کند؟</v>
      </c>
      <c r="H13701" s="1"/>
      <c r="I13701" s="1"/>
      <c r="J13701" s="1"/>
      <c r="K13701" s="1"/>
      <c r="L13701" s="1"/>
      <c r="M13701" s="1"/>
      <c r="N13701" s="1"/>
      <c r="O13701" s="1"/>
      <c r="P13701" s="1"/>
      <c r="Q13701" s="1"/>
      <c r="R13701" s="1"/>
      <c r="S13701" s="1"/>
      <c r="T13701" s="1"/>
      <c r="U13701" s="1"/>
      <c r="V13701" s="1"/>
      <c r="W13701" s="1"/>
      <c r="X13701" s="1"/>
      <c r="Y13701" s="1"/>
      <c r="Z13701" s="1"/>
      <c r="AA13701" s="1"/>
      <c r="AB13701" s="1"/>
    </row>
    <row r="13702" ht="50.25" customHeight="1">
      <c r="A13702" s="12">
        <v>13698.0</v>
      </c>
      <c r="B13702" s="13" t="s">
        <v>12705</v>
      </c>
      <c r="C13702" s="14" t="s">
        <v>13027</v>
      </c>
      <c r="D13702" s="1"/>
      <c r="E13702" s="1"/>
      <c r="F13702" s="1" t="str">
        <f>IFERROR(__xludf.DUMMYFUNCTION("GOOGLETRANSLATE(B13702, ""en"", ""fa"")
"),"عکاسی و داستان سرایی تصویری")</f>
        <v>عکاسی و داستان سرایی تصویری</v>
      </c>
      <c r="G13702" s="1" t="str">
        <f>IFERROR(__xludf.DUMMYFUNCTION("GOOGLETRANSLATE(C13702, ""en"", ""fa"")
"),"چگونه از طریق عکاسی انتزاعی و تجربی احساسات و تجربیات را منتقل کنیم؟")</f>
        <v>چگونه از طریق عکاسی انتزاعی و تجربی احساسات و تجربیات را منتقل کنیم؟</v>
      </c>
      <c r="H13702" s="1"/>
      <c r="I13702" s="1"/>
      <c r="J13702" s="1"/>
      <c r="K13702" s="1"/>
      <c r="L13702" s="1"/>
      <c r="M13702" s="1"/>
      <c r="N13702" s="1"/>
      <c r="O13702" s="1"/>
      <c r="P13702" s="1"/>
      <c r="Q13702" s="1"/>
      <c r="R13702" s="1"/>
      <c r="S13702" s="1"/>
      <c r="T13702" s="1"/>
      <c r="U13702" s="1"/>
      <c r="V13702" s="1"/>
      <c r="W13702" s="1"/>
      <c r="X13702" s="1"/>
      <c r="Y13702" s="1"/>
      <c r="Z13702" s="1"/>
      <c r="AA13702" s="1"/>
      <c r="AB13702" s="1"/>
    </row>
    <row r="13703" ht="50.25" customHeight="1">
      <c r="A13703" s="12">
        <v>13699.0</v>
      </c>
      <c r="B13703" s="13" t="s">
        <v>12705</v>
      </c>
      <c r="C13703" s="14" t="s">
        <v>13028</v>
      </c>
      <c r="D13703" s="1"/>
      <c r="E13703" s="1"/>
      <c r="F13703" s="1" t="str">
        <f>IFERROR(__xludf.DUMMYFUNCTION("GOOGLETRANSLATE(B13703, ""en"", ""fa"")
"),"عکاسی و داستان سرایی تصویری")</f>
        <v>عکاسی و داستان سرایی تصویری</v>
      </c>
      <c r="G13703" s="1" t="str">
        <f>IFERROR(__xludf.DUMMYFUNCTION("GOOGLETRANSLATE(C13703, ""en"", ""fa"")
"),"چگونه از بافت و الگوها برای افزودن عمق و علاقه به روایت بصری خود استفاده کنیم؟")</f>
        <v>چگونه از بافت و الگوها برای افزودن عمق و علاقه به روایت بصری خود استفاده کنیم؟</v>
      </c>
      <c r="H13703" s="1"/>
      <c r="I13703" s="1"/>
      <c r="J13703" s="1"/>
      <c r="K13703" s="1"/>
      <c r="L13703" s="1"/>
      <c r="M13703" s="1"/>
      <c r="N13703" s="1"/>
      <c r="O13703" s="1"/>
      <c r="P13703" s="1"/>
      <c r="Q13703" s="1"/>
      <c r="R13703" s="1"/>
      <c r="S13703" s="1"/>
      <c r="T13703" s="1"/>
      <c r="U13703" s="1"/>
      <c r="V13703" s="1"/>
      <c r="W13703" s="1"/>
      <c r="X13703" s="1"/>
      <c r="Y13703" s="1"/>
      <c r="Z13703" s="1"/>
      <c r="AA13703" s="1"/>
      <c r="AB13703" s="1"/>
    </row>
    <row r="13704" ht="50.25" customHeight="1">
      <c r="A13704" s="12">
        <v>13700.0</v>
      </c>
      <c r="B13704" s="13" t="s">
        <v>12705</v>
      </c>
      <c r="C13704" s="14" t="s">
        <v>13029</v>
      </c>
      <c r="D13704" s="1"/>
      <c r="E13704" s="1"/>
      <c r="F13704" s="1" t="str">
        <f>IFERROR(__xludf.DUMMYFUNCTION("GOOGLETRANSLATE(B13704, ""en"", ""fa"")
"),"عکاسی و داستان سرایی تصویری")</f>
        <v>عکاسی و داستان سرایی تصویری</v>
      </c>
      <c r="G13704" s="1" t="str">
        <f>IFERROR(__xludf.DUMMYFUNCTION("GOOGLETRANSLATE(C13704, ""en"", ""fa"")
"),"چگونه یک روایت بصری ایجاد کنیم که زیبایی و چالش های یک حرفه خاص را به تصویر بکشد؟")</f>
        <v>چگونه یک روایت بصری ایجاد کنیم که زیبایی و چالش های یک حرفه خاص را به تصویر بکشد؟</v>
      </c>
      <c r="H13704" s="1"/>
      <c r="I13704" s="1"/>
      <c r="J13704" s="1"/>
      <c r="K13704" s="1"/>
      <c r="L13704" s="1"/>
      <c r="M13704" s="1"/>
      <c r="N13704" s="1"/>
      <c r="O13704" s="1"/>
      <c r="P13704" s="1"/>
      <c r="Q13704" s="1"/>
      <c r="R13704" s="1"/>
      <c r="S13704" s="1"/>
      <c r="T13704" s="1"/>
      <c r="U13704" s="1"/>
      <c r="V13704" s="1"/>
      <c r="W13704" s="1"/>
      <c r="X13704" s="1"/>
      <c r="Y13704" s="1"/>
      <c r="Z13704" s="1"/>
      <c r="AA13704" s="1"/>
      <c r="AB13704" s="1"/>
    </row>
    <row r="13705" ht="50.25" customHeight="1">
      <c r="A13705" s="12">
        <v>13701.0</v>
      </c>
      <c r="B13705" s="13" t="s">
        <v>12705</v>
      </c>
      <c r="C13705" s="14" t="s">
        <v>13030</v>
      </c>
      <c r="D13705" s="1"/>
      <c r="E13705" s="1"/>
      <c r="F13705" s="1" t="str">
        <f>IFERROR(__xludf.DUMMYFUNCTION("GOOGLETRANSLATE(B13705, ""en"", ""fa"")
"),"عکاسی و داستان سرایی تصویری")</f>
        <v>عکاسی و داستان سرایی تصویری</v>
      </c>
      <c r="G13705" s="1" t="str">
        <f>IFERROR(__xludf.DUMMYFUNCTION("GOOGLETRANSLATE(C13705, ""en"", ""fa"")
"),"چگونه می توان از طریق عکاسی جوهر جشن ها و جشنواره های فرهنگی را به تصویر کشید؟")</f>
        <v>چگونه می توان از طریق عکاسی جوهر جشن ها و جشنواره های فرهنگی را به تصویر کشید؟</v>
      </c>
      <c r="H13705" s="1"/>
      <c r="I13705" s="1"/>
      <c r="J13705" s="1"/>
      <c r="K13705" s="1"/>
      <c r="L13705" s="1"/>
      <c r="M13705" s="1"/>
      <c r="N13705" s="1"/>
      <c r="O13705" s="1"/>
      <c r="P13705" s="1"/>
      <c r="Q13705" s="1"/>
      <c r="R13705" s="1"/>
      <c r="S13705" s="1"/>
      <c r="T13705" s="1"/>
      <c r="U13705" s="1"/>
      <c r="V13705" s="1"/>
      <c r="W13705" s="1"/>
      <c r="X13705" s="1"/>
      <c r="Y13705" s="1"/>
      <c r="Z13705" s="1"/>
      <c r="AA13705" s="1"/>
      <c r="AB13705" s="1"/>
    </row>
    <row r="13706" ht="50.25" customHeight="1">
      <c r="A13706" s="12">
        <v>13702.0</v>
      </c>
      <c r="B13706" s="13" t="s">
        <v>12705</v>
      </c>
      <c r="C13706" s="14" t="s">
        <v>13031</v>
      </c>
      <c r="D13706" s="1"/>
      <c r="E13706" s="1"/>
      <c r="F13706" s="1" t="str">
        <f>IFERROR(__xludf.DUMMYFUNCTION("GOOGLETRANSLATE(B13706, ""en"", ""fa"")
"),"عکاسی و داستان سرایی تصویری")</f>
        <v>عکاسی و داستان سرایی تصویری</v>
      </c>
      <c r="G13706" s="1" t="str">
        <f>IFERROR(__xludf.DUMMYFUNCTION("GOOGLETRANSLATE(C13706, ""en"", ""fa"")
"),"چگونه از سیلوئت ها برای خلق داستان های بصری دراماتیک و خاطره انگیز استفاده کنیم؟")</f>
        <v>چگونه از سیلوئت ها برای خلق داستان های بصری دراماتیک و خاطره انگیز استفاده کنیم؟</v>
      </c>
      <c r="H13706" s="1"/>
      <c r="I13706" s="1"/>
      <c r="J13706" s="1"/>
      <c r="K13706" s="1"/>
      <c r="L13706" s="1"/>
      <c r="M13706" s="1"/>
      <c r="N13706" s="1"/>
      <c r="O13706" s="1"/>
      <c r="P13706" s="1"/>
      <c r="Q13706" s="1"/>
      <c r="R13706" s="1"/>
      <c r="S13706" s="1"/>
      <c r="T13706" s="1"/>
      <c r="U13706" s="1"/>
      <c r="V13706" s="1"/>
      <c r="W13706" s="1"/>
      <c r="X13706" s="1"/>
      <c r="Y13706" s="1"/>
      <c r="Z13706" s="1"/>
      <c r="AA13706" s="1"/>
      <c r="AB13706" s="1"/>
    </row>
    <row r="13707" ht="50.25" customHeight="1">
      <c r="A13707" s="12">
        <v>13703.0</v>
      </c>
      <c r="B13707" s="13" t="s">
        <v>12705</v>
      </c>
      <c r="C13707" s="14" t="s">
        <v>13032</v>
      </c>
      <c r="D13707" s="1"/>
      <c r="E13707" s="1"/>
      <c r="F13707" s="1" t="str">
        <f>IFERROR(__xludf.DUMMYFUNCTION("GOOGLETRANSLATE(B13707, ""en"", ""fa"")
"),"عکاسی و داستان سرایی تصویری")</f>
        <v>عکاسی و داستان سرایی تصویری</v>
      </c>
      <c r="G13707" s="1" t="str">
        <f>IFERROR(__xludf.DUMMYFUNCTION("GOOGLETRANSLATE(C13707, ""en"", ""fa"")
"),"چگونه یک داستان بصری ایجاد کنیم که ارتباط بین نسل ها را جشن می گیرد؟")</f>
        <v>چگونه یک داستان بصری ایجاد کنیم که ارتباط بین نسل ها را جشن می گیرد؟</v>
      </c>
      <c r="H13707" s="1"/>
      <c r="I13707" s="1"/>
      <c r="J13707" s="1"/>
      <c r="K13707" s="1"/>
      <c r="L13707" s="1"/>
      <c r="M13707" s="1"/>
      <c r="N13707" s="1"/>
      <c r="O13707" s="1"/>
      <c r="P13707" s="1"/>
      <c r="Q13707" s="1"/>
      <c r="R13707" s="1"/>
      <c r="S13707" s="1"/>
      <c r="T13707" s="1"/>
      <c r="U13707" s="1"/>
      <c r="V13707" s="1"/>
      <c r="W13707" s="1"/>
      <c r="X13707" s="1"/>
      <c r="Y13707" s="1"/>
      <c r="Z13707" s="1"/>
      <c r="AA13707" s="1"/>
      <c r="AB13707" s="1"/>
    </row>
    <row r="13708" ht="50.25" customHeight="1">
      <c r="A13708" s="12">
        <v>13704.0</v>
      </c>
      <c r="B13708" s="13" t="s">
        <v>12705</v>
      </c>
      <c r="C13708" s="14" t="s">
        <v>13033</v>
      </c>
      <c r="D13708" s="1"/>
      <c r="E13708" s="1"/>
      <c r="F13708" s="1" t="str">
        <f>IFERROR(__xludf.DUMMYFUNCTION("GOOGLETRANSLATE(B13708, ""en"", ""fa"")
"),"عکاسی و داستان سرایی تصویری")</f>
        <v>عکاسی و داستان سرایی تصویری</v>
      </c>
      <c r="G13708" s="1" t="str">
        <f>IFERROR(__xludf.DUMMYFUNCTION("GOOGLETRANSLATE(C13708, ""en"", ""fa"")
"),"چگونه می توان تعاملات و روابط بین افراد و محیط آنها را به تصویر کشید؟")</f>
        <v>چگونه می توان تعاملات و روابط بین افراد و محیط آنها را به تصویر کشید؟</v>
      </c>
      <c r="H13708" s="1"/>
      <c r="I13708" s="1"/>
      <c r="J13708" s="1"/>
      <c r="K13708" s="1"/>
      <c r="L13708" s="1"/>
      <c r="M13708" s="1"/>
      <c r="N13708" s="1"/>
      <c r="O13708" s="1"/>
      <c r="P13708" s="1"/>
      <c r="Q13708" s="1"/>
      <c r="R13708" s="1"/>
      <c r="S13708" s="1"/>
      <c r="T13708" s="1"/>
      <c r="U13708" s="1"/>
      <c r="V13708" s="1"/>
      <c r="W13708" s="1"/>
      <c r="X13708" s="1"/>
      <c r="Y13708" s="1"/>
      <c r="Z13708" s="1"/>
      <c r="AA13708" s="1"/>
      <c r="AB13708" s="1"/>
    </row>
    <row r="13709" ht="50.25" customHeight="1">
      <c r="A13709" s="12">
        <v>13705.0</v>
      </c>
      <c r="B13709" s="13" t="s">
        <v>12705</v>
      </c>
      <c r="C13709" s="14" t="s">
        <v>13034</v>
      </c>
      <c r="D13709" s="1"/>
      <c r="E13709" s="1"/>
      <c r="F13709" s="1" t="str">
        <f>IFERROR(__xludf.DUMMYFUNCTION("GOOGLETRANSLATE(B13709, ""en"", ""fa"")
"),"عکاسی و داستان سرایی تصویری")</f>
        <v>عکاسی و داستان سرایی تصویری</v>
      </c>
      <c r="G13709" s="1" t="str">
        <f>IFERROR(__xludf.DUMMYFUNCTION("GOOGLETRANSLATE(C13709, ""en"", ""fa"")
"),"چگونه از مفهوم کنار هم برای انتقال پیام های قدرتمند در تصاویر خود استفاده کنید؟")</f>
        <v>چگونه از مفهوم کنار هم برای انتقال پیام های قدرتمند در تصاویر خود استفاده کنید؟</v>
      </c>
      <c r="H13709" s="1"/>
      <c r="I13709" s="1"/>
      <c r="J13709" s="1"/>
      <c r="K13709" s="1"/>
      <c r="L13709" s="1"/>
      <c r="M13709" s="1"/>
      <c r="N13709" s="1"/>
      <c r="O13709" s="1"/>
      <c r="P13709" s="1"/>
      <c r="Q13709" s="1"/>
      <c r="R13709" s="1"/>
      <c r="S13709" s="1"/>
      <c r="T13709" s="1"/>
      <c r="U13709" s="1"/>
      <c r="V13709" s="1"/>
      <c r="W13709" s="1"/>
      <c r="X13709" s="1"/>
      <c r="Y13709" s="1"/>
      <c r="Z13709" s="1"/>
      <c r="AA13709" s="1"/>
      <c r="AB13709" s="1"/>
    </row>
    <row r="13710" ht="50.25" customHeight="1">
      <c r="A13710" s="12">
        <v>13706.0</v>
      </c>
      <c r="B13710" s="13" t="s">
        <v>12705</v>
      </c>
      <c r="C13710" s="14" t="s">
        <v>13035</v>
      </c>
      <c r="D13710" s="1"/>
      <c r="E13710" s="1"/>
      <c r="F13710" s="1" t="str">
        <f>IFERROR(__xludf.DUMMYFUNCTION("GOOGLETRANSLATE(B13710, ""en"", ""fa"")
"),"عکاسی و داستان سرایی تصویری")</f>
        <v>عکاسی و داستان سرایی تصویری</v>
      </c>
      <c r="G13710" s="1" t="str">
        <f>IFERROR(__xludf.DUMMYFUNCTION("GOOGLETRANSLATE(C13710, ""en"", ""fa"")
"),"چگونه یک روایت بصری ایجاد کنیم که احساسات و تجربیات ماجراجویی را برجسته کند؟")</f>
        <v>چگونه یک روایت بصری ایجاد کنیم که احساسات و تجربیات ماجراجویی را برجسته کند؟</v>
      </c>
      <c r="H13710" s="1"/>
      <c r="I13710" s="1"/>
      <c r="J13710" s="1"/>
      <c r="K13710" s="1"/>
      <c r="L13710" s="1"/>
      <c r="M13710" s="1"/>
      <c r="N13710" s="1"/>
      <c r="O13710" s="1"/>
      <c r="P13710" s="1"/>
      <c r="Q13710" s="1"/>
      <c r="R13710" s="1"/>
      <c r="S13710" s="1"/>
      <c r="T13710" s="1"/>
      <c r="U13710" s="1"/>
      <c r="V13710" s="1"/>
      <c r="W13710" s="1"/>
      <c r="X13710" s="1"/>
      <c r="Y13710" s="1"/>
      <c r="Z13710" s="1"/>
      <c r="AA13710" s="1"/>
      <c r="AB13710" s="1"/>
    </row>
    <row r="13711" ht="50.25" customHeight="1">
      <c r="A13711" s="12">
        <v>13707.0</v>
      </c>
      <c r="B13711" s="13" t="s">
        <v>12705</v>
      </c>
      <c r="C13711" s="14" t="s">
        <v>13036</v>
      </c>
      <c r="D13711" s="1"/>
      <c r="E13711" s="1"/>
      <c r="F13711" s="1" t="str">
        <f>IFERROR(__xludf.DUMMYFUNCTION("GOOGLETRANSLATE(B13711, ""en"", ""fa"")
"),"عکاسی و داستان سرایی تصویری")</f>
        <v>عکاسی و داستان سرایی تصویری</v>
      </c>
      <c r="G13711" s="1" t="str">
        <f>IFERROR(__xludf.DUMMYFUNCTION("GOOGLETRANSLATE(C13711, ""en"", ""fa"")
"),"چگونه از مینیمالیسم برای خلق داستان های بصری تمیز و تاثیرگذار استفاده کنیم؟")</f>
        <v>چگونه از مینیمالیسم برای خلق داستان های بصری تمیز و تاثیرگذار استفاده کنیم؟</v>
      </c>
      <c r="H13711" s="1"/>
      <c r="I13711" s="1"/>
      <c r="J13711" s="1"/>
      <c r="K13711" s="1"/>
      <c r="L13711" s="1"/>
      <c r="M13711" s="1"/>
      <c r="N13711" s="1"/>
      <c r="O13711" s="1"/>
      <c r="P13711" s="1"/>
      <c r="Q13711" s="1"/>
      <c r="R13711" s="1"/>
      <c r="S13711" s="1"/>
      <c r="T13711" s="1"/>
      <c r="U13711" s="1"/>
      <c r="V13711" s="1"/>
      <c r="W13711" s="1"/>
      <c r="X13711" s="1"/>
      <c r="Y13711" s="1"/>
      <c r="Z13711" s="1"/>
      <c r="AA13711" s="1"/>
      <c r="AB13711" s="1"/>
    </row>
    <row r="13712" ht="50.25" customHeight="1">
      <c r="A13712" s="12">
        <v>13708.0</v>
      </c>
      <c r="B13712" s="13" t="s">
        <v>12705</v>
      </c>
      <c r="C13712" s="14" t="s">
        <v>13037</v>
      </c>
      <c r="D13712" s="1"/>
      <c r="E13712" s="1"/>
      <c r="F13712" s="1" t="str">
        <f>IFERROR(__xludf.DUMMYFUNCTION("GOOGLETRANSLATE(B13712, ""en"", ""fa"")
"),"عکاسی و داستان سرایی تصویری")</f>
        <v>عکاسی و داستان سرایی تصویری</v>
      </c>
      <c r="G13712" s="1" t="str">
        <f>IFERROR(__xludf.DUMMYFUNCTION("GOOGLETRANSLATE(C13712, ""en"", ""fa"")
"),"چگونه با استفاده خلاقانه از رنگ مفهوم تغییر و دگرگونی را منتقل کنیم؟")</f>
        <v>چگونه با استفاده خلاقانه از رنگ مفهوم تغییر و دگرگونی را منتقل کنیم؟</v>
      </c>
      <c r="H13712" s="1"/>
      <c r="I13712" s="1"/>
      <c r="J13712" s="1"/>
      <c r="K13712" s="1"/>
      <c r="L13712" s="1"/>
      <c r="M13712" s="1"/>
      <c r="N13712" s="1"/>
      <c r="O13712" s="1"/>
      <c r="P13712" s="1"/>
      <c r="Q13712" s="1"/>
      <c r="R13712" s="1"/>
      <c r="S13712" s="1"/>
      <c r="T13712" s="1"/>
      <c r="U13712" s="1"/>
      <c r="V13712" s="1"/>
      <c r="W13712" s="1"/>
      <c r="X13712" s="1"/>
      <c r="Y13712" s="1"/>
      <c r="Z13712" s="1"/>
      <c r="AA13712" s="1"/>
      <c r="AB13712" s="1"/>
    </row>
    <row r="13713" ht="50.25" customHeight="1">
      <c r="A13713" s="12">
        <v>13709.0</v>
      </c>
      <c r="B13713" s="13" t="s">
        <v>12705</v>
      </c>
      <c r="C13713" s="14" t="s">
        <v>13038</v>
      </c>
      <c r="D13713" s="1"/>
      <c r="E13713" s="1"/>
      <c r="F13713" s="1" t="str">
        <f>IFERROR(__xludf.DUMMYFUNCTION("GOOGLETRANSLATE(B13713, ""en"", ""fa"")
"),"عکاسی و داستان سرایی تصویری")</f>
        <v>عکاسی و داستان سرایی تصویری</v>
      </c>
      <c r="G13713" s="1" t="str">
        <f>IFERROR(__xludf.DUMMYFUNCTION("GOOGLETRANSLATE(C13713, ""en"", ""fa"")
"),"چگونه یک داستان تصویری بسازیم که مفهوم انزوا و تنهایی را بررسی کند؟")</f>
        <v>چگونه یک داستان تصویری بسازیم که مفهوم انزوا و تنهایی را بررسی کند؟</v>
      </c>
      <c r="H13713" s="1"/>
      <c r="I13713" s="1"/>
      <c r="J13713" s="1"/>
      <c r="K13713" s="1"/>
      <c r="L13713" s="1"/>
      <c r="M13713" s="1"/>
      <c r="N13713" s="1"/>
      <c r="O13713" s="1"/>
      <c r="P13713" s="1"/>
      <c r="Q13713" s="1"/>
      <c r="R13713" s="1"/>
      <c r="S13713" s="1"/>
      <c r="T13713" s="1"/>
      <c r="U13713" s="1"/>
      <c r="V13713" s="1"/>
      <c r="W13713" s="1"/>
      <c r="X13713" s="1"/>
      <c r="Y13713" s="1"/>
      <c r="Z13713" s="1"/>
      <c r="AA13713" s="1"/>
      <c r="AB13713" s="1"/>
    </row>
    <row r="13714" ht="50.25" customHeight="1">
      <c r="A13714" s="12">
        <v>13710.0</v>
      </c>
      <c r="B13714" s="13" t="s">
        <v>12705</v>
      </c>
      <c r="C13714" s="14" t="s">
        <v>13039</v>
      </c>
      <c r="D13714" s="1"/>
      <c r="E13714" s="1"/>
      <c r="F13714" s="1" t="str">
        <f>IFERROR(__xludf.DUMMYFUNCTION("GOOGLETRANSLATE(B13714, ""en"", ""fa"")
"),"عکاسی و داستان سرایی تصویری")</f>
        <v>عکاسی و داستان سرایی تصویری</v>
      </c>
      <c r="G13714" s="1" t="str">
        <f>IFERROR(__xludf.DUMMYFUNCTION("GOOGLETRANSLATE(C13714, ""en"", ""fa"")
"),"چگونه از کادربندی در کادربندی برای اضافه کردن پیچیدگی و جذابیت به عکاسی خود استفاده کنیم؟")</f>
        <v>چگونه از کادربندی در کادربندی برای اضافه کردن پیچیدگی و جذابیت به عکاسی خود استفاده کنیم؟</v>
      </c>
      <c r="H13714" s="1"/>
      <c r="I13714" s="1"/>
      <c r="J13714" s="1"/>
      <c r="K13714" s="1"/>
      <c r="L13714" s="1"/>
      <c r="M13714" s="1"/>
      <c r="N13714" s="1"/>
      <c r="O13714" s="1"/>
      <c r="P13714" s="1"/>
      <c r="Q13714" s="1"/>
      <c r="R13714" s="1"/>
      <c r="S13714" s="1"/>
      <c r="T13714" s="1"/>
      <c r="U13714" s="1"/>
      <c r="V13714" s="1"/>
      <c r="W13714" s="1"/>
      <c r="X13714" s="1"/>
      <c r="Y13714" s="1"/>
      <c r="Z13714" s="1"/>
      <c r="AA13714" s="1"/>
      <c r="AB13714" s="1"/>
    </row>
    <row r="13715" ht="50.25" customHeight="1">
      <c r="A13715" s="12">
        <v>13711.0</v>
      </c>
      <c r="B13715" s="13" t="s">
        <v>12705</v>
      </c>
      <c r="C13715" s="14" t="s">
        <v>13040</v>
      </c>
      <c r="D13715" s="1"/>
      <c r="E13715" s="1"/>
      <c r="F13715" s="1" t="str">
        <f>IFERROR(__xludf.DUMMYFUNCTION("GOOGLETRANSLATE(B13715, ""en"", ""fa"")
"),"عکاسی و داستان سرایی تصویری")</f>
        <v>عکاسی و داستان سرایی تصویری</v>
      </c>
      <c r="G13715" s="1" t="str">
        <f>IFERROR(__xludf.DUMMYFUNCTION("GOOGLETRANSLATE(C13715, ""en"", ""fa"")
"),"چگونه می توان جوهره فرهنگ و سبک زندگی یک شهر را از طریق عکاسی خیابانی به تصویر کشید؟")</f>
        <v>چگونه می توان جوهره فرهنگ و سبک زندگی یک شهر را از طریق عکاسی خیابانی به تصویر کشید؟</v>
      </c>
      <c r="H13715" s="1"/>
      <c r="I13715" s="1"/>
      <c r="J13715" s="1"/>
      <c r="K13715" s="1"/>
      <c r="L13715" s="1"/>
      <c r="M13715" s="1"/>
      <c r="N13715" s="1"/>
      <c r="O13715" s="1"/>
      <c r="P13715" s="1"/>
      <c r="Q13715" s="1"/>
      <c r="R13715" s="1"/>
      <c r="S13715" s="1"/>
      <c r="T13715" s="1"/>
      <c r="U13715" s="1"/>
      <c r="V13715" s="1"/>
      <c r="W13715" s="1"/>
      <c r="X13715" s="1"/>
      <c r="Y13715" s="1"/>
      <c r="Z13715" s="1"/>
      <c r="AA13715" s="1"/>
      <c r="AB13715" s="1"/>
    </row>
    <row r="13716" ht="50.25" customHeight="1">
      <c r="A13716" s="12">
        <v>13712.0</v>
      </c>
      <c r="B13716" s="13" t="s">
        <v>12705</v>
      </c>
      <c r="C13716" s="14" t="s">
        <v>13041</v>
      </c>
      <c r="D13716" s="1"/>
      <c r="E13716" s="1"/>
      <c r="F13716" s="1" t="str">
        <f>IFERROR(__xludf.DUMMYFUNCTION("GOOGLETRANSLATE(B13716, ""en"", ""fa"")
"),"عکاسی و داستان سرایی تصویری")</f>
        <v>عکاسی و داستان سرایی تصویری</v>
      </c>
      <c r="G13716" s="1" t="str">
        <f>IFERROR(__xludf.DUMMYFUNCTION("GOOGLETRANSLATE(C13716, ""en"", ""fa"")
"),"چگونه گذر زمان را از طریق عکاسی با نوردهی طولانی منتقل کنیم؟")</f>
        <v>چگونه گذر زمان را از طریق عکاسی با نوردهی طولانی منتقل کنیم؟</v>
      </c>
      <c r="H13716" s="1"/>
      <c r="I13716" s="1"/>
      <c r="J13716" s="1"/>
      <c r="K13716" s="1"/>
      <c r="L13716" s="1"/>
      <c r="M13716" s="1"/>
      <c r="N13716" s="1"/>
      <c r="O13716" s="1"/>
      <c r="P13716" s="1"/>
      <c r="Q13716" s="1"/>
      <c r="R13716" s="1"/>
      <c r="S13716" s="1"/>
      <c r="T13716" s="1"/>
      <c r="U13716" s="1"/>
      <c r="V13716" s="1"/>
      <c r="W13716" s="1"/>
      <c r="X13716" s="1"/>
      <c r="Y13716" s="1"/>
      <c r="Z13716" s="1"/>
      <c r="AA13716" s="1"/>
      <c r="AB13716" s="1"/>
    </row>
    <row r="13717" ht="50.25" customHeight="1">
      <c r="A13717" s="12">
        <v>13713.0</v>
      </c>
      <c r="B13717" s="13" t="s">
        <v>12705</v>
      </c>
      <c r="C13717" s="14" t="s">
        <v>13042</v>
      </c>
      <c r="D13717" s="1"/>
      <c r="E13717" s="1"/>
      <c r="F13717" s="1" t="str">
        <f>IFERROR(__xludf.DUMMYFUNCTION("GOOGLETRANSLATE(B13717, ""en"", ""fa"")
"),"عکاسی و داستان سرایی تصویری")</f>
        <v>عکاسی و داستان سرایی تصویری</v>
      </c>
      <c r="G13717" s="1" t="str">
        <f>IFERROR(__xludf.DUMMYFUNCTION("GOOGLETRANSLATE(C13717, ""en"", ""fa"")
"),"چگونه یک روایت بصری ایجاد کنیم که زیبایی تنوع و فراگیری را تجلیل کند؟")</f>
        <v>چگونه یک روایت بصری ایجاد کنیم که زیبایی تنوع و فراگیری را تجلیل کند؟</v>
      </c>
      <c r="H13717" s="1"/>
      <c r="I13717" s="1"/>
      <c r="J13717" s="1"/>
      <c r="K13717" s="1"/>
      <c r="L13717" s="1"/>
      <c r="M13717" s="1"/>
      <c r="N13717" s="1"/>
      <c r="O13717" s="1"/>
      <c r="P13717" s="1"/>
      <c r="Q13717" s="1"/>
      <c r="R13717" s="1"/>
      <c r="S13717" s="1"/>
      <c r="T13717" s="1"/>
      <c r="U13717" s="1"/>
      <c r="V13717" s="1"/>
      <c r="W13717" s="1"/>
      <c r="X13717" s="1"/>
      <c r="Y13717" s="1"/>
      <c r="Z13717" s="1"/>
      <c r="AA13717" s="1"/>
      <c r="AB13717" s="1"/>
    </row>
    <row r="13718" ht="50.25" customHeight="1">
      <c r="A13718" s="12">
        <v>13714.0</v>
      </c>
      <c r="B13718" s="13" t="s">
        <v>12705</v>
      </c>
      <c r="C13718" s="14" t="s">
        <v>13043</v>
      </c>
      <c r="D13718" s="1"/>
      <c r="E13718" s="1"/>
      <c r="F13718" s="1" t="str">
        <f>IFERROR(__xludf.DUMMYFUNCTION("GOOGLETRANSLATE(B13718, ""en"", ""fa"")
"),"عکاسی و داستان سرایی تصویری")</f>
        <v>عکاسی و داستان سرایی تصویری</v>
      </c>
      <c r="G13718" s="1" t="str">
        <f>IFERROR(__xludf.DUMMYFUNCTION("GOOGLETRANSLATE(C13718, ""en"", ""fa"")
"),"چگونه از الگوها و تکرار برای افزایش تاثیر بصری داستان سرایی خود استفاده کنید؟")</f>
        <v>چگونه از الگوها و تکرار برای افزایش تاثیر بصری داستان سرایی خود استفاده کنید؟</v>
      </c>
      <c r="H13718" s="1"/>
      <c r="I13718" s="1"/>
      <c r="J13718" s="1"/>
      <c r="K13718" s="1"/>
      <c r="L13718" s="1"/>
      <c r="M13718" s="1"/>
      <c r="N13718" s="1"/>
      <c r="O13718" s="1"/>
      <c r="P13718" s="1"/>
      <c r="Q13718" s="1"/>
      <c r="R13718" s="1"/>
      <c r="S13718" s="1"/>
      <c r="T13718" s="1"/>
      <c r="U13718" s="1"/>
      <c r="V13718" s="1"/>
      <c r="W13718" s="1"/>
      <c r="X13718" s="1"/>
      <c r="Y13718" s="1"/>
      <c r="Z13718" s="1"/>
      <c r="AA13718" s="1"/>
      <c r="AB13718" s="1"/>
    </row>
    <row r="13719" ht="50.25" customHeight="1">
      <c r="A13719" s="12">
        <v>13715.0</v>
      </c>
      <c r="B13719" s="13" t="s">
        <v>12705</v>
      </c>
      <c r="C13719" s="14" t="s">
        <v>13044</v>
      </c>
      <c r="D13719" s="1"/>
      <c r="E13719" s="1"/>
      <c r="F13719" s="1" t="str">
        <f>IFERROR(__xludf.DUMMYFUNCTION("GOOGLETRANSLATE(B13719, ""en"", ""fa"")
"),"عکاسی و داستان سرایی تصویری")</f>
        <v>عکاسی و داستان سرایی تصویری</v>
      </c>
      <c r="G13719" s="1" t="str">
        <f>IFERROR(__xludf.DUMMYFUNCTION("GOOGLETRANSLATE(C13719, ""en"", ""fa"")
"),"چگونه احساسات و تعاملات زوج های عاشق را از طریق عکاسی به تصویر بکشیم؟")</f>
        <v>چگونه احساسات و تعاملات زوج های عاشق را از طریق عکاسی به تصویر بکشیم؟</v>
      </c>
      <c r="H13719" s="1"/>
      <c r="I13719" s="1"/>
      <c r="J13719" s="1"/>
      <c r="K13719" s="1"/>
      <c r="L13719" s="1"/>
      <c r="M13719" s="1"/>
      <c r="N13719" s="1"/>
      <c r="O13719" s="1"/>
      <c r="P13719" s="1"/>
      <c r="Q13719" s="1"/>
      <c r="R13719" s="1"/>
      <c r="S13719" s="1"/>
      <c r="T13719" s="1"/>
      <c r="U13719" s="1"/>
      <c r="V13719" s="1"/>
      <c r="W13719" s="1"/>
      <c r="X13719" s="1"/>
      <c r="Y13719" s="1"/>
      <c r="Z13719" s="1"/>
      <c r="AA13719" s="1"/>
      <c r="AB13719" s="1"/>
    </row>
    <row r="13720" ht="50.25" customHeight="1">
      <c r="A13720" s="12">
        <v>13716.0</v>
      </c>
      <c r="B13720" s="13" t="s">
        <v>12705</v>
      </c>
      <c r="C13720" s="14" t="s">
        <v>13045</v>
      </c>
      <c r="D13720" s="1"/>
      <c r="E13720" s="1"/>
      <c r="F13720" s="1" t="str">
        <f>IFERROR(__xludf.DUMMYFUNCTION("GOOGLETRANSLATE(B13720, ""en"", ""fa"")
"),"عکاسی و داستان سرایی تصویری")</f>
        <v>عکاسی و داستان سرایی تصویری</v>
      </c>
      <c r="G13720" s="1" t="str">
        <f>IFERROR(__xludf.DUMMYFUNCTION("GOOGLETRANSLATE(C13720, ""en"", ""fa"")
"),"چگونه می توان ماهیت شخصیت و تاریخ یک فرد را در یک پرتره منتقل کرد؟")</f>
        <v>چگونه می توان ماهیت شخصیت و تاریخ یک فرد را در یک پرتره منتقل کرد؟</v>
      </c>
      <c r="H13720" s="1"/>
      <c r="I13720" s="1"/>
      <c r="J13720" s="1"/>
      <c r="K13720" s="1"/>
      <c r="L13720" s="1"/>
      <c r="M13720" s="1"/>
      <c r="N13720" s="1"/>
      <c r="O13720" s="1"/>
      <c r="P13720" s="1"/>
      <c r="Q13720" s="1"/>
      <c r="R13720" s="1"/>
      <c r="S13720" s="1"/>
      <c r="T13720" s="1"/>
      <c r="U13720" s="1"/>
      <c r="V13720" s="1"/>
      <c r="W13720" s="1"/>
      <c r="X13720" s="1"/>
      <c r="Y13720" s="1"/>
      <c r="Z13720" s="1"/>
      <c r="AA13720" s="1"/>
      <c r="AB13720" s="1"/>
    </row>
    <row r="13721" ht="50.25" customHeight="1">
      <c r="A13721" s="12">
        <v>13717.0</v>
      </c>
      <c r="B13721" s="13" t="s">
        <v>12705</v>
      </c>
      <c r="C13721" s="14" t="s">
        <v>13046</v>
      </c>
      <c r="D13721" s="1"/>
      <c r="E13721" s="1"/>
      <c r="F13721" s="1" t="str">
        <f>IFERROR(__xludf.DUMMYFUNCTION("GOOGLETRANSLATE(B13721, ""en"", ""fa"")
"),"عکاسی و داستان سرایی تصویری")</f>
        <v>عکاسی و داستان سرایی تصویری</v>
      </c>
      <c r="G13721" s="1" t="str">
        <f>IFERROR(__xludf.DUMMYFUNCTION("GOOGLETRANSLATE(C13721, ""en"", ""fa"")
"),"چگونه یک داستان بصری ایجاد کنیم که بر جزئیات و بافت اشیاء روزمره تمرکز کند؟")</f>
        <v>چگونه یک داستان بصری ایجاد کنیم که بر جزئیات و بافت اشیاء روزمره تمرکز کند؟</v>
      </c>
      <c r="H13721" s="1"/>
      <c r="I13721" s="1"/>
      <c r="J13721" s="1"/>
      <c r="K13721" s="1"/>
      <c r="L13721" s="1"/>
      <c r="M13721" s="1"/>
      <c r="N13721" s="1"/>
      <c r="O13721" s="1"/>
      <c r="P13721" s="1"/>
      <c r="Q13721" s="1"/>
      <c r="R13721" s="1"/>
      <c r="S13721" s="1"/>
      <c r="T13721" s="1"/>
      <c r="U13721" s="1"/>
      <c r="V13721" s="1"/>
      <c r="W13721" s="1"/>
      <c r="X13721" s="1"/>
      <c r="Y13721" s="1"/>
      <c r="Z13721" s="1"/>
      <c r="AA13721" s="1"/>
      <c r="AB13721" s="1"/>
    </row>
    <row r="13722" ht="50.25" customHeight="1">
      <c r="A13722" s="12">
        <v>13718.0</v>
      </c>
      <c r="B13722" s="13" t="s">
        <v>12705</v>
      </c>
      <c r="C13722" s="14" t="s">
        <v>13047</v>
      </c>
      <c r="D13722" s="1"/>
      <c r="E13722" s="1"/>
      <c r="F13722" s="1" t="str">
        <f>IFERROR(__xludf.DUMMYFUNCTION("GOOGLETRANSLATE(B13722, ""en"", ""fa"")
"),"عکاسی و داستان سرایی تصویری")</f>
        <v>عکاسی و داستان سرایی تصویری</v>
      </c>
      <c r="G13722" s="1" t="str">
        <f>IFERROR(__xludf.DUMMYFUNCTION("GOOGLETRANSLATE(C13722, ""en"", ""fa"")
"),"چگونه از زوایای خلاقانه برای افزودن چشم اندازی منحصر به فرد به روایت بصری خود استفاده کنیم؟")</f>
        <v>چگونه از زوایای خلاقانه برای افزودن چشم اندازی منحصر به فرد به روایت بصری خود استفاده کنیم؟</v>
      </c>
      <c r="H13722" s="1"/>
      <c r="I13722" s="1"/>
      <c r="J13722" s="1"/>
      <c r="K13722" s="1"/>
      <c r="L13722" s="1"/>
      <c r="M13722" s="1"/>
      <c r="N13722" s="1"/>
      <c r="O13722" s="1"/>
      <c r="P13722" s="1"/>
      <c r="Q13722" s="1"/>
      <c r="R13722" s="1"/>
      <c r="S13722" s="1"/>
      <c r="T13722" s="1"/>
      <c r="U13722" s="1"/>
      <c r="V13722" s="1"/>
      <c r="W13722" s="1"/>
      <c r="X13722" s="1"/>
      <c r="Y13722" s="1"/>
      <c r="Z13722" s="1"/>
      <c r="AA13722" s="1"/>
      <c r="AB13722" s="1"/>
    </row>
    <row r="13723" ht="50.25" customHeight="1">
      <c r="A13723" s="12">
        <v>13719.0</v>
      </c>
      <c r="B13723" s="13" t="s">
        <v>12705</v>
      </c>
      <c r="C13723" s="14" t="s">
        <v>13048</v>
      </c>
      <c r="D13723" s="1"/>
      <c r="E13723" s="1"/>
      <c r="F13723" s="1" t="str">
        <f>IFERROR(__xludf.DUMMYFUNCTION("GOOGLETRANSLATE(B13723, ""en"", ""fa"")
"),"عکاسی و داستان سرایی تصویری")</f>
        <v>عکاسی و داستان سرایی تصویری</v>
      </c>
      <c r="G13723" s="1" t="str">
        <f>IFERROR(__xludf.DUMMYFUNCTION("GOOGLETRANSLATE(C13723, ""en"", ""fa"")
"),"چگونه می توان زیبایی ها و احساسات آیین ها و سنت های فرهنگی را به تصویر کشید؟")</f>
        <v>چگونه می توان زیبایی ها و احساسات آیین ها و سنت های فرهنگی را به تصویر کشید؟</v>
      </c>
      <c r="H13723" s="1"/>
      <c r="I13723" s="1"/>
      <c r="J13723" s="1"/>
      <c r="K13723" s="1"/>
      <c r="L13723" s="1"/>
      <c r="M13723" s="1"/>
      <c r="N13723" s="1"/>
      <c r="O13723" s="1"/>
      <c r="P13723" s="1"/>
      <c r="Q13723" s="1"/>
      <c r="R13723" s="1"/>
      <c r="S13723" s="1"/>
      <c r="T13723" s="1"/>
      <c r="U13723" s="1"/>
      <c r="V13723" s="1"/>
      <c r="W13723" s="1"/>
      <c r="X13723" s="1"/>
      <c r="Y13723" s="1"/>
      <c r="Z13723" s="1"/>
      <c r="AA13723" s="1"/>
      <c r="AB13723" s="1"/>
    </row>
    <row r="13724" ht="50.25" customHeight="1">
      <c r="A13724" s="12">
        <v>13720.0</v>
      </c>
      <c r="B13724" s="13" t="s">
        <v>12705</v>
      </c>
      <c r="C13724" s="14" t="s">
        <v>13049</v>
      </c>
      <c r="D13724" s="1"/>
      <c r="E13724" s="1"/>
      <c r="F13724" s="1" t="str">
        <f>IFERROR(__xludf.DUMMYFUNCTION("GOOGLETRANSLATE(B13724, ""en"", ""fa"")
"),"عکاسی و داستان سرایی تصویری")</f>
        <v>عکاسی و داستان سرایی تصویری</v>
      </c>
      <c r="G13724" s="1" t="str">
        <f>IFERROR(__xludf.DUMMYFUNCTION("GOOGLETRANSLATE(C13724, ""en"", ""fa"")
"),"چگونه می توان موضوع انعطاف پذیری و قدرت را از طریق داستان سرایی تصویری خود منتقل کرد؟")</f>
        <v>چگونه می توان موضوع انعطاف پذیری و قدرت را از طریق داستان سرایی تصویری خود منتقل کرد؟</v>
      </c>
      <c r="H13724" s="1"/>
      <c r="I13724" s="1"/>
      <c r="J13724" s="1"/>
      <c r="K13724" s="1"/>
      <c r="L13724" s="1"/>
      <c r="M13724" s="1"/>
      <c r="N13724" s="1"/>
      <c r="O13724" s="1"/>
      <c r="P13724" s="1"/>
      <c r="Q13724" s="1"/>
      <c r="R13724" s="1"/>
      <c r="S13724" s="1"/>
      <c r="T13724" s="1"/>
      <c r="U13724" s="1"/>
      <c r="V13724" s="1"/>
      <c r="W13724" s="1"/>
      <c r="X13724" s="1"/>
      <c r="Y13724" s="1"/>
      <c r="Z13724" s="1"/>
      <c r="AA13724" s="1"/>
      <c r="AB13724" s="1"/>
    </row>
    <row r="13725" ht="50.25" customHeight="1">
      <c r="A13725" s="12">
        <v>13721.0</v>
      </c>
      <c r="B13725" s="13" t="s">
        <v>12705</v>
      </c>
      <c r="C13725" s="14" t="s">
        <v>13050</v>
      </c>
      <c r="D13725" s="1"/>
      <c r="E13725" s="1"/>
      <c r="F13725" s="1" t="str">
        <f>IFERROR(__xludf.DUMMYFUNCTION("GOOGLETRANSLATE(B13725, ""en"", ""fa"")
"),"عکاسی و داستان سرایی تصویری")</f>
        <v>عکاسی و داستان سرایی تصویری</v>
      </c>
      <c r="G13725" s="1" t="str">
        <f>IFERROR(__xludf.DUMMYFUNCTION("GOOGLETRANSLATE(C13725, ""en"", ""fa"")
"),"چگونه از تقارن و عدم تقارن برای ایجاد تعادل بصری و علاقه استفاده کنیم؟")</f>
        <v>چگونه از تقارن و عدم تقارن برای ایجاد تعادل بصری و علاقه استفاده کنیم؟</v>
      </c>
      <c r="H13725" s="1"/>
      <c r="I13725" s="1"/>
      <c r="J13725" s="1"/>
      <c r="K13725" s="1"/>
      <c r="L13725" s="1"/>
      <c r="M13725" s="1"/>
      <c r="N13725" s="1"/>
      <c r="O13725" s="1"/>
      <c r="P13725" s="1"/>
      <c r="Q13725" s="1"/>
      <c r="R13725" s="1"/>
      <c r="S13725" s="1"/>
      <c r="T13725" s="1"/>
      <c r="U13725" s="1"/>
      <c r="V13725" s="1"/>
      <c r="W13725" s="1"/>
      <c r="X13725" s="1"/>
      <c r="Y13725" s="1"/>
      <c r="Z13725" s="1"/>
      <c r="AA13725" s="1"/>
      <c r="AB13725" s="1"/>
    </row>
    <row r="13726" ht="50.25" customHeight="1">
      <c r="A13726" s="12">
        <v>13722.0</v>
      </c>
      <c r="B13726" s="13" t="s">
        <v>12705</v>
      </c>
      <c r="C13726" s="14" t="s">
        <v>13051</v>
      </c>
      <c r="D13726" s="1"/>
      <c r="E13726" s="1"/>
      <c r="F13726" s="1" t="str">
        <f>IFERROR(__xludf.DUMMYFUNCTION("GOOGLETRANSLATE(B13726, ""en"", ""fa"")
"),"عکاسی و داستان سرایی تصویری")</f>
        <v>عکاسی و داستان سرایی تصویری</v>
      </c>
      <c r="G13726" s="1" t="str">
        <f>IFERROR(__xludf.DUMMYFUNCTION("GOOGLETRANSLATE(C13726, ""en"", ""fa"")
"),"چگونه یک روایت بصری ایجاد کنیم که احساسات و تعاملات دوستی را به تصویر بکشد؟")</f>
        <v>چگونه یک روایت بصری ایجاد کنیم که احساسات و تعاملات دوستی را به تصویر بکشد؟</v>
      </c>
      <c r="H13726" s="1"/>
      <c r="I13726" s="1"/>
      <c r="J13726" s="1"/>
      <c r="K13726" s="1"/>
      <c r="L13726" s="1"/>
      <c r="M13726" s="1"/>
      <c r="N13726" s="1"/>
      <c r="O13726" s="1"/>
      <c r="P13726" s="1"/>
      <c r="Q13726" s="1"/>
      <c r="R13726" s="1"/>
      <c r="S13726" s="1"/>
      <c r="T13726" s="1"/>
      <c r="U13726" s="1"/>
      <c r="V13726" s="1"/>
      <c r="W13726" s="1"/>
      <c r="X13726" s="1"/>
      <c r="Y13726" s="1"/>
      <c r="Z13726" s="1"/>
      <c r="AA13726" s="1"/>
      <c r="AB13726" s="1"/>
    </row>
    <row r="13727" ht="50.25" customHeight="1">
      <c r="A13727" s="12">
        <v>13723.0</v>
      </c>
      <c r="B13727" s="13" t="s">
        <v>12705</v>
      </c>
      <c r="C13727" s="14" t="s">
        <v>13052</v>
      </c>
      <c r="D13727" s="1"/>
      <c r="E13727" s="1"/>
      <c r="F13727" s="1" t="str">
        <f>IFERROR(__xludf.DUMMYFUNCTION("GOOGLETRANSLATE(B13727, ""en"", ""fa"")
"),"عکاسی و داستان سرایی تصویری")</f>
        <v>عکاسی و داستان سرایی تصویری</v>
      </c>
      <c r="G13727" s="1" t="str">
        <f>IFERROR(__xludf.DUMMYFUNCTION("GOOGLETRANSLATE(C13727, ""en"", ""fa"")
"),"چگونه زیبایی نور و سایه را به تصویر بکشیم تا داستان سرایی خود را تقویت کنیم؟")</f>
        <v>چگونه زیبایی نور و سایه را به تصویر بکشیم تا داستان سرایی خود را تقویت کنیم؟</v>
      </c>
      <c r="H13727" s="1"/>
      <c r="I13727" s="1"/>
      <c r="J13727" s="1"/>
      <c r="K13727" s="1"/>
      <c r="L13727" s="1"/>
      <c r="M13727" s="1"/>
      <c r="N13727" s="1"/>
      <c r="O13727" s="1"/>
      <c r="P13727" s="1"/>
      <c r="Q13727" s="1"/>
      <c r="R13727" s="1"/>
      <c r="S13727" s="1"/>
      <c r="T13727" s="1"/>
      <c r="U13727" s="1"/>
      <c r="V13727" s="1"/>
      <c r="W13727" s="1"/>
      <c r="X13727" s="1"/>
      <c r="Y13727" s="1"/>
      <c r="Z13727" s="1"/>
      <c r="AA13727" s="1"/>
      <c r="AB13727" s="1"/>
    </row>
    <row r="13728" ht="50.25" customHeight="1">
      <c r="A13728" s="12">
        <v>13724.0</v>
      </c>
      <c r="B13728" s="13" t="s">
        <v>12705</v>
      </c>
      <c r="C13728" s="14" t="s">
        <v>13053</v>
      </c>
      <c r="D13728" s="1"/>
      <c r="E13728" s="1"/>
      <c r="F13728" s="1" t="str">
        <f>IFERROR(__xludf.DUMMYFUNCTION("GOOGLETRANSLATE(B13728, ""en"", ""fa"")
"),"عکاسی و داستان سرایی تصویری")</f>
        <v>عکاسی و داستان سرایی تصویری</v>
      </c>
      <c r="G13728" s="1" t="str">
        <f>IFERROR(__xludf.DUMMYFUNCTION("GOOGLETRANSLATE(C13728, ""en"", ""fa"")
"),"چگونه می توان موضوع نوستالژی و خاطره را از طریق درجه بندی رنگ در پس پردازش منتقل کرد؟")</f>
        <v>چگونه می توان موضوع نوستالژی و خاطره را از طریق درجه بندی رنگ در پس پردازش منتقل کرد؟</v>
      </c>
      <c r="H13728" s="1"/>
      <c r="I13728" s="1"/>
      <c r="J13728" s="1"/>
      <c r="K13728" s="1"/>
      <c r="L13728" s="1"/>
      <c r="M13728" s="1"/>
      <c r="N13728" s="1"/>
      <c r="O13728" s="1"/>
      <c r="P13728" s="1"/>
      <c r="Q13728" s="1"/>
      <c r="R13728" s="1"/>
      <c r="S13728" s="1"/>
      <c r="T13728" s="1"/>
      <c r="U13728" s="1"/>
      <c r="V13728" s="1"/>
      <c r="W13728" s="1"/>
      <c r="X13728" s="1"/>
      <c r="Y13728" s="1"/>
      <c r="Z13728" s="1"/>
      <c r="AA13728" s="1"/>
      <c r="AB13728" s="1"/>
    </row>
    <row r="13729" ht="50.25" customHeight="1">
      <c r="A13729" s="12">
        <v>13725.0</v>
      </c>
      <c r="B13729" s="13" t="s">
        <v>12705</v>
      </c>
      <c r="C13729" s="14" t="s">
        <v>13054</v>
      </c>
      <c r="D13729" s="1"/>
      <c r="E13729" s="1"/>
      <c r="F13729" s="1" t="str">
        <f>IFERROR(__xludf.DUMMYFUNCTION("GOOGLETRANSLATE(B13729, ""en"", ""fa"")
"),"عکاسی و داستان سرایی تصویری")</f>
        <v>عکاسی و داستان سرایی تصویری</v>
      </c>
      <c r="G13729" s="1" t="str">
        <f>IFERROR(__xludf.DUMMYFUNCTION("GOOGLETRANSLATE(C13729, ""en"", ""fa"")
"),"چگونه یک داستان بصری بسازیم که مفهوم هویت و بیان خود را بررسی کند؟")</f>
        <v>چگونه یک داستان بصری بسازیم که مفهوم هویت و بیان خود را بررسی کند؟</v>
      </c>
      <c r="H13729" s="1"/>
      <c r="I13729" s="1"/>
      <c r="J13729" s="1"/>
      <c r="K13729" s="1"/>
      <c r="L13729" s="1"/>
      <c r="M13729" s="1"/>
      <c r="N13729" s="1"/>
      <c r="O13729" s="1"/>
      <c r="P13729" s="1"/>
      <c r="Q13729" s="1"/>
      <c r="R13729" s="1"/>
      <c r="S13729" s="1"/>
      <c r="T13729" s="1"/>
      <c r="U13729" s="1"/>
      <c r="V13729" s="1"/>
      <c r="W13729" s="1"/>
      <c r="X13729" s="1"/>
      <c r="Y13729" s="1"/>
      <c r="Z13729" s="1"/>
      <c r="AA13729" s="1"/>
      <c r="AB13729" s="1"/>
    </row>
    <row r="13730" ht="50.25" customHeight="1">
      <c r="A13730" s="12">
        <v>13726.0</v>
      </c>
      <c r="B13730" s="13" t="s">
        <v>12705</v>
      </c>
      <c r="C13730" s="14" t="s">
        <v>13055</v>
      </c>
      <c r="D13730" s="1"/>
      <c r="E13730" s="1"/>
      <c r="F13730" s="1" t="str">
        <f>IFERROR(__xludf.DUMMYFUNCTION("GOOGLETRANSLATE(B13730, ""en"", ""fa"")
"),"عکاسی و داستان سرایی تصویری")</f>
        <v>عکاسی و داستان سرایی تصویری</v>
      </c>
      <c r="G13730" s="1" t="str">
        <f>IFERROR(__xludf.DUMMYFUNCTION("GOOGLETRANSLATE(C13730, ""en"", ""fa"")
"),"چگونه از پرتره محیطی برای بیان داستان زندگی و تجربیات یک سوژه استفاده کنیم؟")</f>
        <v>چگونه از پرتره محیطی برای بیان داستان زندگی و تجربیات یک سوژه استفاده کنیم؟</v>
      </c>
      <c r="H13730" s="1"/>
      <c r="I13730" s="1"/>
      <c r="J13730" s="1"/>
      <c r="K13730" s="1"/>
      <c r="L13730" s="1"/>
      <c r="M13730" s="1"/>
      <c r="N13730" s="1"/>
      <c r="O13730" s="1"/>
      <c r="P13730" s="1"/>
      <c r="Q13730" s="1"/>
      <c r="R13730" s="1"/>
      <c r="S13730" s="1"/>
      <c r="T13730" s="1"/>
      <c r="U13730" s="1"/>
      <c r="V13730" s="1"/>
      <c r="W13730" s="1"/>
      <c r="X13730" s="1"/>
      <c r="Y13730" s="1"/>
      <c r="Z13730" s="1"/>
      <c r="AA13730" s="1"/>
      <c r="AB13730" s="1"/>
    </row>
    <row r="13731" ht="50.25" customHeight="1">
      <c r="A13731" s="12">
        <v>13727.0</v>
      </c>
      <c r="B13731" s="13" t="s">
        <v>12705</v>
      </c>
      <c r="C13731" s="14" t="s">
        <v>13056</v>
      </c>
      <c r="D13731" s="1"/>
      <c r="E13731" s="1"/>
      <c r="F13731" s="1" t="str">
        <f>IFERROR(__xludf.DUMMYFUNCTION("GOOGLETRANSLATE(B13731, ""en"", ""fa"")
"),"عکاسی و داستان سرایی تصویری")</f>
        <v>عکاسی و داستان سرایی تصویری</v>
      </c>
      <c r="G13731" s="1" t="str">
        <f>IFERROR(__xludf.DUMMYFUNCTION("GOOGLETRANSLATE(C13731, ""en"", ""fa"")
"),"چگونه زیبایی تغییر فصول و شرایط آب و هوایی را در عکاسی خود ثبت کنید؟")</f>
        <v>چگونه زیبایی تغییر فصول و شرایط آب و هوایی را در عکاسی خود ثبت کنید؟</v>
      </c>
      <c r="H13731" s="1"/>
      <c r="I13731" s="1"/>
      <c r="J13731" s="1"/>
      <c r="K13731" s="1"/>
      <c r="L13731" s="1"/>
      <c r="M13731" s="1"/>
      <c r="N13731" s="1"/>
      <c r="O13731" s="1"/>
      <c r="P13731" s="1"/>
      <c r="Q13731" s="1"/>
      <c r="R13731" s="1"/>
      <c r="S13731" s="1"/>
      <c r="T13731" s="1"/>
      <c r="U13731" s="1"/>
      <c r="V13731" s="1"/>
      <c r="W13731" s="1"/>
      <c r="X13731" s="1"/>
      <c r="Y13731" s="1"/>
      <c r="Z13731" s="1"/>
      <c r="AA13731" s="1"/>
      <c r="AB13731" s="1"/>
    </row>
    <row r="13732" ht="50.25" customHeight="1">
      <c r="A13732" s="12">
        <v>13728.0</v>
      </c>
      <c r="B13732" s="13" t="s">
        <v>12705</v>
      </c>
      <c r="C13732" s="14" t="s">
        <v>13057</v>
      </c>
      <c r="D13732" s="1"/>
      <c r="E13732" s="1"/>
      <c r="F13732" s="1" t="str">
        <f>IFERROR(__xludf.DUMMYFUNCTION("GOOGLETRANSLATE(B13732, ""en"", ""fa"")
"),"عکاسی و داستان سرایی تصویری")</f>
        <v>عکاسی و داستان سرایی تصویری</v>
      </c>
      <c r="G13732" s="1" t="str">
        <f>IFERROR(__xludf.DUMMYFUNCTION("GOOGLETRANSLATE(C13732, ""en"", ""fa"")
"),"چگونه احساسات و تجربیات رشد و تحول شخصی را منتقل کنیم؟")</f>
        <v>چگونه احساسات و تجربیات رشد و تحول شخصی را منتقل کنیم؟</v>
      </c>
      <c r="H13732" s="1"/>
      <c r="I13732" s="1"/>
      <c r="J13732" s="1"/>
      <c r="K13732" s="1"/>
      <c r="L13732" s="1"/>
      <c r="M13732" s="1"/>
      <c r="N13732" s="1"/>
      <c r="O13732" s="1"/>
      <c r="P13732" s="1"/>
      <c r="Q13732" s="1"/>
      <c r="R13732" s="1"/>
      <c r="S13732" s="1"/>
      <c r="T13732" s="1"/>
      <c r="U13732" s="1"/>
      <c r="V13732" s="1"/>
      <c r="W13732" s="1"/>
      <c r="X13732" s="1"/>
      <c r="Y13732" s="1"/>
      <c r="Z13732" s="1"/>
      <c r="AA13732" s="1"/>
      <c r="AB13732" s="1"/>
    </row>
    <row r="13733" ht="50.25" customHeight="1">
      <c r="A13733" s="12">
        <v>13729.0</v>
      </c>
      <c r="B13733" s="13" t="s">
        <v>12705</v>
      </c>
      <c r="C13733" s="14" t="s">
        <v>13058</v>
      </c>
      <c r="D13733" s="1"/>
      <c r="E13733" s="1"/>
      <c r="F13733" s="1" t="str">
        <f>IFERROR(__xludf.DUMMYFUNCTION("GOOGLETRANSLATE(B13733, ""en"", ""fa"")
"),"عکاسی و داستان سرایی تصویری")</f>
        <v>عکاسی و داستان سرایی تصویری</v>
      </c>
      <c r="G13733" s="1" t="str">
        <f>IFERROR(__xludf.DUMMYFUNCTION("GOOGLETRANSLATE(C13733, ""en"", ""fa"")
"),"چگونه از تکرار و ریتم برای ایجاد حس هماهنگی در داستان سرایی تصویری خود استفاده کنید؟")</f>
        <v>چگونه از تکرار و ریتم برای ایجاد حس هماهنگی در داستان سرایی تصویری خود استفاده کنید؟</v>
      </c>
      <c r="H13733" s="1"/>
      <c r="I13733" s="1"/>
      <c r="J13733" s="1"/>
      <c r="K13733" s="1"/>
      <c r="L13733" s="1"/>
      <c r="M13733" s="1"/>
      <c r="N13733" s="1"/>
      <c r="O13733" s="1"/>
      <c r="P13733" s="1"/>
      <c r="Q13733" s="1"/>
      <c r="R13733" s="1"/>
      <c r="S13733" s="1"/>
      <c r="T13733" s="1"/>
      <c r="U13733" s="1"/>
      <c r="V13733" s="1"/>
      <c r="W13733" s="1"/>
      <c r="X13733" s="1"/>
      <c r="Y13733" s="1"/>
      <c r="Z13733" s="1"/>
      <c r="AA13733" s="1"/>
      <c r="AB13733" s="1"/>
    </row>
    <row r="13734" ht="50.25" customHeight="1">
      <c r="A13734" s="12">
        <v>13730.0</v>
      </c>
      <c r="B13734" s="13" t="s">
        <v>12705</v>
      </c>
      <c r="C13734" s="14" t="s">
        <v>13059</v>
      </c>
      <c r="D13734" s="1"/>
      <c r="E13734" s="1"/>
      <c r="F13734" s="1" t="str">
        <f>IFERROR(__xludf.DUMMYFUNCTION("GOOGLETRANSLATE(B13734, ""en"", ""fa"")
"),"عکاسی و داستان سرایی تصویری")</f>
        <v>عکاسی و داستان سرایی تصویری</v>
      </c>
      <c r="G13734" s="1" t="str">
        <f>IFERROR(__xludf.DUMMYFUNCTION("GOOGLETRANSLATE(C13734, ""en"", ""fa"")
"),"چگونه یک روایت بصری ایجاد کنیم که ارتباطات بین انسان و طبیعت را برجسته کند؟")</f>
        <v>چگونه یک روایت بصری ایجاد کنیم که ارتباطات بین انسان و طبیعت را برجسته کند؟</v>
      </c>
      <c r="H13734" s="1"/>
      <c r="I13734" s="1"/>
      <c r="J13734" s="1"/>
      <c r="K13734" s="1"/>
      <c r="L13734" s="1"/>
      <c r="M13734" s="1"/>
      <c r="N13734" s="1"/>
      <c r="O13734" s="1"/>
      <c r="P13734" s="1"/>
      <c r="Q13734" s="1"/>
      <c r="R13734" s="1"/>
      <c r="S13734" s="1"/>
      <c r="T13734" s="1"/>
      <c r="U13734" s="1"/>
      <c r="V13734" s="1"/>
      <c r="W13734" s="1"/>
      <c r="X13734" s="1"/>
      <c r="Y13734" s="1"/>
      <c r="Z13734" s="1"/>
      <c r="AA13734" s="1"/>
      <c r="AB13734" s="1"/>
    </row>
    <row r="13735" ht="50.25" customHeight="1">
      <c r="A13735" s="12">
        <v>13731.0</v>
      </c>
      <c r="B13735" s="13" t="s">
        <v>12705</v>
      </c>
      <c r="C13735" s="14" t="s">
        <v>13060</v>
      </c>
      <c r="D13735" s="1"/>
      <c r="E13735" s="1"/>
      <c r="F13735" s="1" t="str">
        <f>IFERROR(__xludf.DUMMYFUNCTION("GOOGLETRANSLATE(B13735, ""en"", ""fa"")
"),"عکاسی و داستان سرایی تصویری")</f>
        <v>عکاسی و داستان سرایی تصویری</v>
      </c>
      <c r="G13735" s="1" t="str">
        <f>IFERROR(__xludf.DUMMYFUNCTION("GOOGLETRANSLATE(C13735, ""en"", ""fa"")
"),"چگونه می توان جوهر سنت ها و مراسم فرهنگی را از طریق عکاسی به تصویر کشید؟")</f>
        <v>چگونه می توان جوهر سنت ها و مراسم فرهنگی را از طریق عکاسی به تصویر کشید؟</v>
      </c>
      <c r="H13735" s="1"/>
      <c r="I13735" s="1"/>
      <c r="J13735" s="1"/>
      <c r="K13735" s="1"/>
      <c r="L13735" s="1"/>
      <c r="M13735" s="1"/>
      <c r="N13735" s="1"/>
      <c r="O13735" s="1"/>
      <c r="P13735" s="1"/>
      <c r="Q13735" s="1"/>
      <c r="R13735" s="1"/>
      <c r="S13735" s="1"/>
      <c r="T13735" s="1"/>
      <c r="U13735" s="1"/>
      <c r="V13735" s="1"/>
      <c r="W13735" s="1"/>
      <c r="X13735" s="1"/>
      <c r="Y13735" s="1"/>
      <c r="Z13735" s="1"/>
      <c r="AA13735" s="1"/>
      <c r="AB13735" s="1"/>
    </row>
    <row r="13736" ht="50.25" customHeight="1">
      <c r="A13736" s="12">
        <v>13732.0</v>
      </c>
      <c r="B13736" s="13" t="s">
        <v>12705</v>
      </c>
      <c r="C13736" s="14" t="s">
        <v>13061</v>
      </c>
      <c r="D13736" s="1"/>
      <c r="E13736" s="1"/>
      <c r="F13736" s="1" t="str">
        <f>IFERROR(__xludf.DUMMYFUNCTION("GOOGLETRANSLATE(B13736, ""en"", ""fa"")
"),"عکاسی و داستان سرایی تصویری")</f>
        <v>عکاسی و داستان سرایی تصویری</v>
      </c>
      <c r="G13736" s="1" t="str">
        <f>IFERROR(__xludf.DUMMYFUNCTION("GOOGLETRANSLATE(C13736, ""en"", ""fa"")
"),"چگونه با استفاده خلاقانه از نور، مضمون امید و مثبت اندیشی را منتقل کنیم؟")</f>
        <v>چگونه با استفاده خلاقانه از نور، مضمون امید و مثبت اندیشی را منتقل کنیم؟</v>
      </c>
      <c r="H13736" s="1"/>
      <c r="I13736" s="1"/>
      <c r="J13736" s="1"/>
      <c r="K13736" s="1"/>
      <c r="L13736" s="1"/>
      <c r="M13736" s="1"/>
      <c r="N13736" s="1"/>
      <c r="O13736" s="1"/>
      <c r="P13736" s="1"/>
      <c r="Q13736" s="1"/>
      <c r="R13736" s="1"/>
      <c r="S13736" s="1"/>
      <c r="T13736" s="1"/>
      <c r="U13736" s="1"/>
      <c r="V13736" s="1"/>
      <c r="W13736" s="1"/>
      <c r="X13736" s="1"/>
      <c r="Y13736" s="1"/>
      <c r="Z13736" s="1"/>
      <c r="AA13736" s="1"/>
      <c r="AB13736" s="1"/>
    </row>
    <row r="13737" ht="50.25" customHeight="1">
      <c r="A13737" s="12">
        <v>13733.0</v>
      </c>
      <c r="B13737" s="13" t="s">
        <v>12705</v>
      </c>
      <c r="C13737" s="14" t="s">
        <v>13062</v>
      </c>
      <c r="D13737" s="1"/>
      <c r="E13737" s="1"/>
      <c r="F13737" s="1" t="str">
        <f>IFERROR(__xludf.DUMMYFUNCTION("GOOGLETRANSLATE(B13737, ""en"", ""fa"")
"),"عکاسی و داستان سرایی تصویری")</f>
        <v>عکاسی و داستان سرایی تصویری</v>
      </c>
      <c r="G13737" s="1" t="str">
        <f>IFERROR(__xludf.DUMMYFUNCTION("GOOGLETRANSLATE(C13737, ""en"", ""fa"")
"),"چگونه از عکاسی صادقانه برای ثبت لحظات واقعی شادی و اصالت استفاده کنیم؟")</f>
        <v>چگونه از عکاسی صادقانه برای ثبت لحظات واقعی شادی و اصالت استفاده کنیم؟</v>
      </c>
      <c r="H13737" s="1"/>
      <c r="I13737" s="1"/>
      <c r="J13737" s="1"/>
      <c r="K13737" s="1"/>
      <c r="L13737" s="1"/>
      <c r="M13737" s="1"/>
      <c r="N13737" s="1"/>
      <c r="O13737" s="1"/>
      <c r="P13737" s="1"/>
      <c r="Q13737" s="1"/>
      <c r="R13737" s="1"/>
      <c r="S13737" s="1"/>
      <c r="T13737" s="1"/>
      <c r="U13737" s="1"/>
      <c r="V13737" s="1"/>
      <c r="W13737" s="1"/>
      <c r="X13737" s="1"/>
      <c r="Y13737" s="1"/>
      <c r="Z13737" s="1"/>
      <c r="AA13737" s="1"/>
      <c r="AB13737" s="1"/>
    </row>
    <row r="13738" ht="50.25" customHeight="1">
      <c r="A13738" s="12">
        <v>13734.0</v>
      </c>
      <c r="B13738" s="13" t="s">
        <v>12705</v>
      </c>
      <c r="C13738" s="14" t="s">
        <v>13063</v>
      </c>
      <c r="D13738" s="1"/>
      <c r="E13738" s="1"/>
      <c r="F13738" s="1" t="str">
        <f>IFERROR(__xludf.DUMMYFUNCTION("GOOGLETRANSLATE(B13738, ""en"", ""fa"")
"),"عکاسی و داستان سرایی تصویری")</f>
        <v>عکاسی و داستان سرایی تصویری</v>
      </c>
      <c r="G13738" s="1" t="str">
        <f>IFERROR(__xludf.DUMMYFUNCTION("GOOGLETRANSLATE(C13738, ""en"", ""fa"")
"),"چگونه می توان یک داستان بصری ایجاد کرد که امور روزمره و آیین های یک جامعه را مستند کند؟")</f>
        <v>چگونه می توان یک داستان بصری ایجاد کرد که امور روزمره و آیین های یک جامعه را مستند کند؟</v>
      </c>
      <c r="H13738" s="1"/>
      <c r="I13738" s="1"/>
      <c r="J13738" s="1"/>
      <c r="K13738" s="1"/>
      <c r="L13738" s="1"/>
      <c r="M13738" s="1"/>
      <c r="N13738" s="1"/>
      <c r="O13738" s="1"/>
      <c r="P13738" s="1"/>
      <c r="Q13738" s="1"/>
      <c r="R13738" s="1"/>
      <c r="S13738" s="1"/>
      <c r="T13738" s="1"/>
      <c r="U13738" s="1"/>
      <c r="V13738" s="1"/>
      <c r="W13738" s="1"/>
      <c r="X13738" s="1"/>
      <c r="Y13738" s="1"/>
      <c r="Z13738" s="1"/>
      <c r="AA13738" s="1"/>
      <c r="AB13738" s="1"/>
    </row>
    <row r="13739" ht="50.25" customHeight="1">
      <c r="A13739" s="12">
        <v>13735.0</v>
      </c>
      <c r="B13739" s="13" t="s">
        <v>12705</v>
      </c>
      <c r="C13739" s="14" t="s">
        <v>13064</v>
      </c>
      <c r="D13739" s="1"/>
      <c r="E13739" s="1"/>
      <c r="F13739" s="1" t="str">
        <f>IFERROR(__xludf.DUMMYFUNCTION("GOOGLETRANSLATE(B13739, ""en"", ""fa"")
"),"عکاسی و داستان سرایی تصویری")</f>
        <v>عکاسی و داستان سرایی تصویری</v>
      </c>
      <c r="G13739" s="1" t="str">
        <f>IFERROR(__xludf.DUMMYFUNCTION("GOOGLETRANSLATE(C13739, ""en"", ""fa"")
"),"چگونه از مفهوم مقیاس برای انتقال عظمت و اهمیت موضوعات استفاده کنیم؟")</f>
        <v>چگونه از مفهوم مقیاس برای انتقال عظمت و اهمیت موضوعات استفاده کنیم؟</v>
      </c>
      <c r="H13739" s="1"/>
      <c r="I13739" s="1"/>
      <c r="J13739" s="1"/>
      <c r="K13739" s="1"/>
      <c r="L13739" s="1"/>
      <c r="M13739" s="1"/>
      <c r="N13739" s="1"/>
      <c r="O13739" s="1"/>
      <c r="P13739" s="1"/>
      <c r="Q13739" s="1"/>
      <c r="R13739" s="1"/>
      <c r="S13739" s="1"/>
      <c r="T13739" s="1"/>
      <c r="U13739" s="1"/>
      <c r="V13739" s="1"/>
      <c r="W13739" s="1"/>
      <c r="X13739" s="1"/>
      <c r="Y13739" s="1"/>
      <c r="Z13739" s="1"/>
      <c r="AA13739" s="1"/>
      <c r="AB13739" s="1"/>
    </row>
    <row r="13740" ht="50.25" customHeight="1">
      <c r="A13740" s="12">
        <v>13736.0</v>
      </c>
      <c r="B13740" s="13" t="s">
        <v>12705</v>
      </c>
      <c r="C13740" s="14" t="s">
        <v>13065</v>
      </c>
      <c r="D13740" s="1"/>
      <c r="E13740" s="1"/>
      <c r="F13740" s="1" t="str">
        <f>IFERROR(__xludf.DUMMYFUNCTION("GOOGLETRANSLATE(B13740, ""en"", ""fa"")
"),"عکاسی و داستان سرایی تصویری")</f>
        <v>عکاسی و داستان سرایی تصویری</v>
      </c>
      <c r="G13740" s="1" t="str">
        <f>IFERROR(__xludf.DUMMYFUNCTION("GOOGLETRANSLATE(C13740, ""en"", ""fa"")
"),"چگونه می توان احساسات و بیان افراد را در عکاسی پرتره ثبت کرد؟")</f>
        <v>چگونه می توان احساسات و بیان افراد را در عکاسی پرتره ثبت کرد؟</v>
      </c>
      <c r="H13740" s="1"/>
      <c r="I13740" s="1"/>
      <c r="J13740" s="1"/>
      <c r="K13740" s="1"/>
      <c r="L13740" s="1"/>
      <c r="M13740" s="1"/>
      <c r="N13740" s="1"/>
      <c r="O13740" s="1"/>
      <c r="P13740" s="1"/>
      <c r="Q13740" s="1"/>
      <c r="R13740" s="1"/>
      <c r="S13740" s="1"/>
      <c r="T13740" s="1"/>
      <c r="U13740" s="1"/>
      <c r="V13740" s="1"/>
      <c r="W13740" s="1"/>
      <c r="X13740" s="1"/>
      <c r="Y13740" s="1"/>
      <c r="Z13740" s="1"/>
      <c r="AA13740" s="1"/>
      <c r="AB13740" s="1"/>
    </row>
    <row r="13741" ht="50.25" customHeight="1">
      <c r="A13741" s="12">
        <v>13737.0</v>
      </c>
      <c r="B13741" s="13" t="s">
        <v>12705</v>
      </c>
      <c r="C13741" s="14" t="s">
        <v>13066</v>
      </c>
      <c r="D13741" s="1"/>
      <c r="E13741" s="1"/>
      <c r="F13741" s="1" t="str">
        <f>IFERROR(__xludf.DUMMYFUNCTION("GOOGLETRANSLATE(B13741, ""en"", ""fa"")
"),"عکاسی و داستان سرایی تصویری")</f>
        <v>عکاسی و داستان سرایی تصویری</v>
      </c>
      <c r="G13741" s="1" t="str">
        <f>IFERROR(__xludf.DUMMYFUNCTION("GOOGLETRANSLATE(C13741, ""en"", ""fa"")
"),"چگونه یک روایت بصری ایجاد کنیم که مفهوم رویاها و آرزوها را بررسی کند؟")</f>
        <v>چگونه یک روایت بصری ایجاد کنیم که مفهوم رویاها و آرزوها را بررسی کند؟</v>
      </c>
      <c r="H13741" s="1"/>
      <c r="I13741" s="1"/>
      <c r="J13741" s="1"/>
      <c r="K13741" s="1"/>
      <c r="L13741" s="1"/>
      <c r="M13741" s="1"/>
      <c r="N13741" s="1"/>
      <c r="O13741" s="1"/>
      <c r="P13741" s="1"/>
      <c r="Q13741" s="1"/>
      <c r="R13741" s="1"/>
      <c r="S13741" s="1"/>
      <c r="T13741" s="1"/>
      <c r="U13741" s="1"/>
      <c r="V13741" s="1"/>
      <c r="W13741" s="1"/>
      <c r="X13741" s="1"/>
      <c r="Y13741" s="1"/>
      <c r="Z13741" s="1"/>
      <c r="AA13741" s="1"/>
      <c r="AB13741" s="1"/>
    </row>
    <row r="13742" ht="50.25" customHeight="1">
      <c r="A13742" s="12">
        <v>13738.0</v>
      </c>
      <c r="B13742" s="13" t="s">
        <v>12705</v>
      </c>
      <c r="C13742" s="14" t="s">
        <v>13067</v>
      </c>
      <c r="D13742" s="1"/>
      <c r="E13742" s="1"/>
      <c r="F13742" s="1" t="str">
        <f>IFERROR(__xludf.DUMMYFUNCTION("GOOGLETRANSLATE(B13742, ""en"", ""fa"")
"),"عکاسی و داستان سرایی تصویری")</f>
        <v>عکاسی و داستان سرایی تصویری</v>
      </c>
      <c r="G13742" s="1" t="str">
        <f>IFERROR(__xludf.DUMMYFUNCTION("GOOGLETRANSLATE(C13742, ""en"", ""fa"")
"),"چگونه از ترکیب بندی های پویا برای ایجاد انرژی و حرکت در داستان سرایی بصری خود استفاده کنید؟")</f>
        <v>چگونه از ترکیب بندی های پویا برای ایجاد انرژی و حرکت در داستان سرایی بصری خود استفاده کنید؟</v>
      </c>
      <c r="H13742" s="1"/>
      <c r="I13742" s="1"/>
      <c r="J13742" s="1"/>
      <c r="K13742" s="1"/>
      <c r="L13742" s="1"/>
      <c r="M13742" s="1"/>
      <c r="N13742" s="1"/>
      <c r="O13742" s="1"/>
      <c r="P13742" s="1"/>
      <c r="Q13742" s="1"/>
      <c r="R13742" s="1"/>
      <c r="S13742" s="1"/>
      <c r="T13742" s="1"/>
      <c r="U13742" s="1"/>
      <c r="V13742" s="1"/>
      <c r="W13742" s="1"/>
      <c r="X13742" s="1"/>
      <c r="Y13742" s="1"/>
      <c r="Z13742" s="1"/>
      <c r="AA13742" s="1"/>
      <c r="AB13742" s="1"/>
    </row>
    <row r="13743" ht="50.25" customHeight="1">
      <c r="A13743" s="12">
        <v>13739.0</v>
      </c>
      <c r="B13743" s="13" t="s">
        <v>12705</v>
      </c>
      <c r="C13743" s="14" t="s">
        <v>13068</v>
      </c>
      <c r="D13743" s="1"/>
      <c r="E13743" s="1"/>
      <c r="F13743" s="1" t="str">
        <f>IFERROR(__xludf.DUMMYFUNCTION("GOOGLETRANSLATE(B13743, ""en"", ""fa"")
"),"عکاسی و داستان سرایی تصویری")</f>
        <v>عکاسی و داستان سرایی تصویری</v>
      </c>
      <c r="G13743" s="1" t="str">
        <f>IFERROR(__xludf.DUMMYFUNCTION("GOOGLETRANSLATE(C13743, ""en"", ""fa"")
"),"چگونه موضوع تضاد و حل را از طریق عکاسی منتقل کنیم؟")</f>
        <v>چگونه موضوع تضاد و حل را از طریق عکاسی منتقل کنیم؟</v>
      </c>
      <c r="H13743" s="1"/>
      <c r="I13743" s="1"/>
      <c r="J13743" s="1"/>
      <c r="K13743" s="1"/>
      <c r="L13743" s="1"/>
      <c r="M13743" s="1"/>
      <c r="N13743" s="1"/>
      <c r="O13743" s="1"/>
      <c r="P13743" s="1"/>
      <c r="Q13743" s="1"/>
      <c r="R13743" s="1"/>
      <c r="S13743" s="1"/>
      <c r="T13743" s="1"/>
      <c r="U13743" s="1"/>
      <c r="V13743" s="1"/>
      <c r="W13743" s="1"/>
      <c r="X13743" s="1"/>
      <c r="Y13743" s="1"/>
      <c r="Z13743" s="1"/>
      <c r="AA13743" s="1"/>
      <c r="AB13743" s="1"/>
    </row>
    <row r="13744" ht="50.25" customHeight="1">
      <c r="A13744" s="12">
        <v>13740.0</v>
      </c>
      <c r="B13744" s="13" t="s">
        <v>12705</v>
      </c>
      <c r="C13744" s="14" t="s">
        <v>13069</v>
      </c>
      <c r="D13744" s="1"/>
      <c r="E13744" s="1"/>
      <c r="F13744" s="1" t="str">
        <f>IFERROR(__xludf.DUMMYFUNCTION("GOOGLETRANSLATE(B13744, ""en"", ""fa"")
"),"عکاسی و داستان سرایی تصویری")</f>
        <v>عکاسی و داستان سرایی تصویری</v>
      </c>
      <c r="G13744" s="1" t="str">
        <f>IFERROR(__xludf.DUMMYFUNCTION("GOOGLETRANSLATE(C13744, ""en"", ""fa"")
"),"چگونه از عناصر داستان سرایی برای به تصویر کشیدن ماهیت یک مکان در تصاویر خود استفاده کنید؟")</f>
        <v>چگونه از عناصر داستان سرایی برای به تصویر کشیدن ماهیت یک مکان در تصاویر خود استفاده کنید؟</v>
      </c>
      <c r="H13744" s="1"/>
      <c r="I13744" s="1"/>
      <c r="J13744" s="1"/>
      <c r="K13744" s="1"/>
      <c r="L13744" s="1"/>
      <c r="M13744" s="1"/>
      <c r="N13744" s="1"/>
      <c r="O13744" s="1"/>
      <c r="P13744" s="1"/>
      <c r="Q13744" s="1"/>
      <c r="R13744" s="1"/>
      <c r="S13744" s="1"/>
      <c r="T13744" s="1"/>
      <c r="U13744" s="1"/>
      <c r="V13744" s="1"/>
      <c r="W13744" s="1"/>
      <c r="X13744" s="1"/>
      <c r="Y13744" s="1"/>
      <c r="Z13744" s="1"/>
      <c r="AA13744" s="1"/>
      <c r="AB13744" s="1"/>
    </row>
    <row r="13745" ht="50.25" customHeight="1">
      <c r="A13745" s="12">
        <v>13741.0</v>
      </c>
      <c r="B13745" s="13" t="s">
        <v>12705</v>
      </c>
      <c r="C13745" s="14" t="s">
        <v>13070</v>
      </c>
      <c r="D13745" s="1"/>
      <c r="E13745" s="1"/>
      <c r="F13745" s="1" t="str">
        <f>IFERROR(__xludf.DUMMYFUNCTION("GOOGLETRANSLATE(B13745, ""en"", ""fa"")
"),"عکاسی و داستان سرایی تصویری")</f>
        <v>عکاسی و داستان سرایی تصویری</v>
      </c>
      <c r="G13745" s="1" t="str">
        <f>IFERROR(__xludf.DUMMYFUNCTION("GOOGLETRANSLATE(C13745, ""en"", ""fa"")
"),"چگونه یک داستان بصری بسازیم که زیبایی و تنوع بدن انسان را تجلیل کند؟")</f>
        <v>چگونه یک داستان بصری بسازیم که زیبایی و تنوع بدن انسان را تجلیل کند؟</v>
      </c>
      <c r="H13745" s="1"/>
      <c r="I13745" s="1"/>
      <c r="J13745" s="1"/>
      <c r="K13745" s="1"/>
      <c r="L13745" s="1"/>
      <c r="M13745" s="1"/>
      <c r="N13745" s="1"/>
      <c r="O13745" s="1"/>
      <c r="P13745" s="1"/>
      <c r="Q13745" s="1"/>
      <c r="R13745" s="1"/>
      <c r="S13745" s="1"/>
      <c r="T13745" s="1"/>
      <c r="U13745" s="1"/>
      <c r="V13745" s="1"/>
      <c r="W13745" s="1"/>
      <c r="X13745" s="1"/>
      <c r="Y13745" s="1"/>
      <c r="Z13745" s="1"/>
      <c r="AA13745" s="1"/>
      <c r="AB13745" s="1"/>
    </row>
    <row r="13746" ht="50.25" customHeight="1">
      <c r="A13746" s="12">
        <v>13742.0</v>
      </c>
      <c r="B13746" s="13" t="s">
        <v>12705</v>
      </c>
      <c r="C13746" s="14" t="s">
        <v>13071</v>
      </c>
      <c r="D13746" s="1"/>
      <c r="E13746" s="1"/>
      <c r="F13746" s="1" t="str">
        <f>IFERROR(__xludf.DUMMYFUNCTION("GOOGLETRANSLATE(B13746, ""en"", ""fa"")
"),"عکاسی و داستان سرایی تصویری")</f>
        <v>عکاسی و داستان سرایی تصویری</v>
      </c>
      <c r="G13746" s="1" t="str">
        <f>IFERROR(__xludf.DUMMYFUNCTION("GOOGLETRANSLATE(C13746, ""en"", ""fa"")
"),"چگونه از عکاسی خیابانی صادقانه برای ثبت لحظات واقعی زندگی شهری استفاده کنیم؟")</f>
        <v>چگونه از عکاسی خیابانی صادقانه برای ثبت لحظات واقعی زندگی شهری استفاده کنیم؟</v>
      </c>
      <c r="H13746" s="1"/>
      <c r="I13746" s="1"/>
      <c r="J13746" s="1"/>
      <c r="K13746" s="1"/>
      <c r="L13746" s="1"/>
      <c r="M13746" s="1"/>
      <c r="N13746" s="1"/>
      <c r="O13746" s="1"/>
      <c r="P13746" s="1"/>
      <c r="Q13746" s="1"/>
      <c r="R13746" s="1"/>
      <c r="S13746" s="1"/>
      <c r="T13746" s="1"/>
      <c r="U13746" s="1"/>
      <c r="V13746" s="1"/>
      <c r="W13746" s="1"/>
      <c r="X13746" s="1"/>
      <c r="Y13746" s="1"/>
      <c r="Z13746" s="1"/>
      <c r="AA13746" s="1"/>
      <c r="AB13746" s="1"/>
    </row>
    <row r="13747" ht="50.25" customHeight="1">
      <c r="A13747" s="12">
        <v>13743.0</v>
      </c>
      <c r="B13747" s="13" t="s">
        <v>12705</v>
      </c>
      <c r="C13747" s="14" t="s">
        <v>13072</v>
      </c>
      <c r="D13747" s="1"/>
      <c r="E13747" s="1"/>
      <c r="F13747" s="1" t="str">
        <f>IFERROR(__xludf.DUMMYFUNCTION("GOOGLETRANSLATE(B13747, ""en"", ""fa"")
"),"عکاسی و داستان سرایی تصویری")</f>
        <v>عکاسی و داستان سرایی تصویری</v>
      </c>
      <c r="G13747" s="1" t="str">
        <f>IFERROR(__xludf.DUMMYFUNCTION("GOOGLETRANSLATE(C13747, ""en"", ""fa"")
"),"چگونه می توان موضوع نوستالژی و خاطره را از طریق تکنیک های پس پردازش منتقل کرد؟")</f>
        <v>چگونه می توان موضوع نوستالژی و خاطره را از طریق تکنیک های پس پردازش منتقل کرد؟</v>
      </c>
      <c r="H13747" s="1"/>
      <c r="I13747" s="1"/>
      <c r="J13747" s="1"/>
      <c r="K13747" s="1"/>
      <c r="L13747" s="1"/>
      <c r="M13747" s="1"/>
      <c r="N13747" s="1"/>
      <c r="O13747" s="1"/>
      <c r="P13747" s="1"/>
      <c r="Q13747" s="1"/>
      <c r="R13747" s="1"/>
      <c r="S13747" s="1"/>
      <c r="T13747" s="1"/>
      <c r="U13747" s="1"/>
      <c r="V13747" s="1"/>
      <c r="W13747" s="1"/>
      <c r="X13747" s="1"/>
      <c r="Y13747" s="1"/>
      <c r="Z13747" s="1"/>
      <c r="AA13747" s="1"/>
      <c r="AB13747" s="1"/>
    </row>
    <row r="13748" ht="50.25" customHeight="1">
      <c r="A13748" s="12">
        <v>13744.0</v>
      </c>
      <c r="B13748" s="13" t="s">
        <v>12705</v>
      </c>
      <c r="C13748" s="14" t="s">
        <v>13073</v>
      </c>
      <c r="D13748" s="1"/>
      <c r="E13748" s="1"/>
      <c r="F13748" s="1" t="str">
        <f>IFERROR(__xludf.DUMMYFUNCTION("GOOGLETRANSLATE(B13748, ""en"", ""fa"")
"),"عکاسی و داستان سرایی تصویری")</f>
        <v>عکاسی و داستان سرایی تصویری</v>
      </c>
      <c r="G13748" s="1" t="str">
        <f>IFERROR(__xludf.DUMMYFUNCTION("GOOGLETRANSLATE(C13748, ""en"", ""fa"")
"),"چگونه از زمینه محیطی برای افزودن لایه های معنا به داستان سرایی بصری خود استفاده کنیم؟")</f>
        <v>چگونه از زمینه محیطی برای افزودن لایه های معنا به داستان سرایی بصری خود استفاده کنیم؟</v>
      </c>
      <c r="H13748" s="1"/>
      <c r="I13748" s="1"/>
      <c r="J13748" s="1"/>
      <c r="K13748" s="1"/>
      <c r="L13748" s="1"/>
      <c r="M13748" s="1"/>
      <c r="N13748" s="1"/>
      <c r="O13748" s="1"/>
      <c r="P13748" s="1"/>
      <c r="Q13748" s="1"/>
      <c r="R13748" s="1"/>
      <c r="S13748" s="1"/>
      <c r="T13748" s="1"/>
      <c r="U13748" s="1"/>
      <c r="V13748" s="1"/>
      <c r="W13748" s="1"/>
      <c r="X13748" s="1"/>
      <c r="Y13748" s="1"/>
      <c r="Z13748" s="1"/>
      <c r="AA13748" s="1"/>
      <c r="AB13748" s="1"/>
    </row>
    <row r="13749" ht="50.25" customHeight="1">
      <c r="A13749" s="12">
        <v>13745.0</v>
      </c>
      <c r="B13749" s="13" t="s">
        <v>12705</v>
      </c>
      <c r="C13749" s="14" t="s">
        <v>13074</v>
      </c>
      <c r="D13749" s="1"/>
      <c r="E13749" s="1"/>
      <c r="F13749" s="1" t="str">
        <f>IFERROR(__xludf.DUMMYFUNCTION("GOOGLETRANSLATE(B13749, ""en"", ""fa"")
"),"عکاسی و داستان سرایی تصویری")</f>
        <v>عکاسی و داستان سرایی تصویری</v>
      </c>
      <c r="G13749" s="1" t="str">
        <f>IFERROR(__xludf.DUMMYFUNCTION("GOOGLETRANSLATE(C13749, ""en"", ""fa"")
"),"چگونه یک روایت تصویری ایجاد کنیم که احساسات و تعاملات خانواده ها را به تصویر بکشد؟")</f>
        <v>چگونه یک روایت تصویری ایجاد کنیم که احساسات و تعاملات خانواده ها را به تصویر بکشد؟</v>
      </c>
      <c r="H13749" s="1"/>
      <c r="I13749" s="1"/>
      <c r="J13749" s="1"/>
      <c r="K13749" s="1"/>
      <c r="L13749" s="1"/>
      <c r="M13749" s="1"/>
      <c r="N13749" s="1"/>
      <c r="O13749" s="1"/>
      <c r="P13749" s="1"/>
      <c r="Q13749" s="1"/>
      <c r="R13749" s="1"/>
      <c r="S13749" s="1"/>
      <c r="T13749" s="1"/>
      <c r="U13749" s="1"/>
      <c r="V13749" s="1"/>
      <c r="W13749" s="1"/>
      <c r="X13749" s="1"/>
      <c r="Y13749" s="1"/>
      <c r="Z13749" s="1"/>
      <c r="AA13749" s="1"/>
      <c r="AB13749" s="1"/>
    </row>
    <row r="13750" ht="50.25" customHeight="1">
      <c r="A13750" s="12">
        <v>13746.0</v>
      </c>
      <c r="B13750" s="13" t="s">
        <v>12705</v>
      </c>
      <c r="C13750" s="14" t="s">
        <v>13075</v>
      </c>
      <c r="D13750" s="1"/>
      <c r="E13750" s="1"/>
      <c r="F13750" s="1" t="str">
        <f>IFERROR(__xludf.DUMMYFUNCTION("GOOGLETRANSLATE(B13750, ""en"", ""fa"")
"),"عکاسی و داستان سرایی تصویری")</f>
        <v>عکاسی و داستان سرایی تصویری</v>
      </c>
      <c r="G13750" s="1" t="str">
        <f>IFERROR(__xludf.DUMMYFUNCTION("GOOGLETRANSLATE(C13750, ""en"", ""fa"")
"),"چگونه از نور دراماتیک برای بهبود حال و هوای عکاسی خود استفاده کنیم؟")</f>
        <v>چگونه از نور دراماتیک برای بهبود حال و هوای عکاسی خود استفاده کنیم؟</v>
      </c>
      <c r="H13750" s="1"/>
      <c r="I13750" s="1"/>
      <c r="J13750" s="1"/>
      <c r="K13750" s="1"/>
      <c r="L13750" s="1"/>
      <c r="M13750" s="1"/>
      <c r="N13750" s="1"/>
      <c r="O13750" s="1"/>
      <c r="P13750" s="1"/>
      <c r="Q13750" s="1"/>
      <c r="R13750" s="1"/>
      <c r="S13750" s="1"/>
      <c r="T13750" s="1"/>
      <c r="U13750" s="1"/>
      <c r="V13750" s="1"/>
      <c r="W13750" s="1"/>
      <c r="X13750" s="1"/>
      <c r="Y13750" s="1"/>
      <c r="Z13750" s="1"/>
      <c r="AA13750" s="1"/>
      <c r="AB13750" s="1"/>
    </row>
    <row r="13751" ht="50.25" customHeight="1">
      <c r="A13751" s="12">
        <v>13747.0</v>
      </c>
      <c r="B13751" s="13" t="s">
        <v>12705</v>
      </c>
      <c r="C13751" s="14" t="s">
        <v>13076</v>
      </c>
      <c r="D13751" s="1"/>
      <c r="E13751" s="1"/>
      <c r="F13751" s="1" t="str">
        <f>IFERROR(__xludf.DUMMYFUNCTION("GOOGLETRANSLATE(B13751, ""en"", ""fa"")
"),"عکاسی و داستان سرایی تصویری")</f>
        <v>عکاسی و داستان سرایی تصویری</v>
      </c>
      <c r="G13751" s="1" t="str">
        <f>IFERROR(__xludf.DUMMYFUNCTION("GOOGLETRANSLATE(C13751, ""en"", ""fa"")
"),"چگونه می توان موضوع ارتباط و ارتباط را از طریق داستان گویی تصویری منتقل کرد؟")</f>
        <v>چگونه می توان موضوع ارتباط و ارتباط را از طریق داستان گویی تصویری منتقل کرد؟</v>
      </c>
      <c r="H13751" s="1"/>
      <c r="I13751" s="1"/>
      <c r="J13751" s="1"/>
      <c r="K13751" s="1"/>
      <c r="L13751" s="1"/>
      <c r="M13751" s="1"/>
      <c r="N13751" s="1"/>
      <c r="O13751" s="1"/>
      <c r="P13751" s="1"/>
      <c r="Q13751" s="1"/>
      <c r="R13751" s="1"/>
      <c r="S13751" s="1"/>
      <c r="T13751" s="1"/>
      <c r="U13751" s="1"/>
      <c r="V13751" s="1"/>
      <c r="W13751" s="1"/>
      <c r="X13751" s="1"/>
      <c r="Y13751" s="1"/>
      <c r="Z13751" s="1"/>
      <c r="AA13751" s="1"/>
      <c r="AB13751" s="1"/>
    </row>
    <row r="13752" ht="50.25" customHeight="1">
      <c r="A13752" s="12">
        <v>13748.0</v>
      </c>
      <c r="B13752" s="13" t="s">
        <v>12705</v>
      </c>
      <c r="C13752" s="14" t="s">
        <v>13077</v>
      </c>
      <c r="D13752" s="1"/>
      <c r="E13752" s="1"/>
      <c r="F13752" s="1" t="str">
        <f>IFERROR(__xludf.DUMMYFUNCTION("GOOGLETRANSLATE(B13752, ""en"", ""fa"")
"),"عکاسی و داستان سرایی تصویری")</f>
        <v>عکاسی و داستان سرایی تصویری</v>
      </c>
      <c r="G13752" s="1" t="str">
        <f>IFERROR(__xludf.DUMMYFUNCTION("GOOGLETRANSLATE(C13752, ""en"", ""fa"")
"),"چگونه از عناصر ترکیبی برای هدایت احساسات و تفسیرهای بینندگان استفاده کنیم؟")</f>
        <v>چگونه از عناصر ترکیبی برای هدایت احساسات و تفسیرهای بینندگان استفاده کنیم؟</v>
      </c>
      <c r="H13752" s="1"/>
      <c r="I13752" s="1"/>
      <c r="J13752" s="1"/>
      <c r="K13752" s="1"/>
      <c r="L13752" s="1"/>
      <c r="M13752" s="1"/>
      <c r="N13752" s="1"/>
      <c r="O13752" s="1"/>
      <c r="P13752" s="1"/>
      <c r="Q13752" s="1"/>
      <c r="R13752" s="1"/>
      <c r="S13752" s="1"/>
      <c r="T13752" s="1"/>
      <c r="U13752" s="1"/>
      <c r="V13752" s="1"/>
      <c r="W13752" s="1"/>
      <c r="X13752" s="1"/>
      <c r="Y13752" s="1"/>
      <c r="Z13752" s="1"/>
      <c r="AA13752" s="1"/>
      <c r="AB13752" s="1"/>
    </row>
    <row r="13753" ht="50.25" customHeight="1">
      <c r="A13753" s="12">
        <v>13749.0</v>
      </c>
      <c r="B13753" s="13" t="s">
        <v>12705</v>
      </c>
      <c r="C13753" s="14" t="s">
        <v>13078</v>
      </c>
      <c r="D13753" s="1"/>
      <c r="E13753" s="1"/>
      <c r="F13753" s="1" t="str">
        <f>IFERROR(__xludf.DUMMYFUNCTION("GOOGLETRANSLATE(B13753, ""en"", ""fa"")
"),"عکاسی و داستان سرایی تصویری")</f>
        <v>عکاسی و داستان سرایی تصویری</v>
      </c>
      <c r="G13753" s="1" t="str">
        <f>IFERROR(__xludf.DUMMYFUNCTION("GOOGLETRANSLATE(C13753, ""en"", ""fa"")
"),"چگونه یک داستان تصویری بسازیم که مفهوم تنهایی و درون نگری را بررسی کند؟")</f>
        <v>چگونه یک داستان تصویری بسازیم که مفهوم تنهایی و درون نگری را بررسی کند؟</v>
      </c>
      <c r="H13753" s="1"/>
      <c r="I13753" s="1"/>
      <c r="J13753" s="1"/>
      <c r="K13753" s="1"/>
      <c r="L13753" s="1"/>
      <c r="M13753" s="1"/>
      <c r="N13753" s="1"/>
      <c r="O13753" s="1"/>
      <c r="P13753" s="1"/>
      <c r="Q13753" s="1"/>
      <c r="R13753" s="1"/>
      <c r="S13753" s="1"/>
      <c r="T13753" s="1"/>
      <c r="U13753" s="1"/>
      <c r="V13753" s="1"/>
      <c r="W13753" s="1"/>
      <c r="X13753" s="1"/>
      <c r="Y13753" s="1"/>
      <c r="Z13753" s="1"/>
      <c r="AA13753" s="1"/>
      <c r="AB13753" s="1"/>
    </row>
    <row r="13754" ht="50.25" customHeight="1">
      <c r="A13754" s="12">
        <v>13750.0</v>
      </c>
      <c r="B13754" s="13" t="s">
        <v>12705</v>
      </c>
      <c r="C13754" s="14" t="s">
        <v>13079</v>
      </c>
      <c r="D13754" s="1"/>
      <c r="E13754" s="1"/>
      <c r="F13754" s="1" t="str">
        <f>IFERROR(__xludf.DUMMYFUNCTION("GOOGLETRANSLATE(B13754, ""en"", ""fa"")
"),"عکاسی و داستان سرایی تصویری")</f>
        <v>عکاسی و داستان سرایی تصویری</v>
      </c>
      <c r="G13754" s="1" t="str">
        <f>IFERROR(__xludf.DUMMYFUNCTION("GOOGLETRANSLATE(C13754, ""en"", ""fa"")
"),"چگونه از نماد رنگ برای انتقال احساسات و پیام ها در تصاویر خود استفاده کنید؟")</f>
        <v>چگونه از نماد رنگ برای انتقال احساسات و پیام ها در تصاویر خود استفاده کنید؟</v>
      </c>
      <c r="H13754" s="1"/>
      <c r="I13754" s="1"/>
      <c r="J13754" s="1"/>
      <c r="K13754" s="1"/>
      <c r="L13754" s="1"/>
      <c r="M13754" s="1"/>
      <c r="N13754" s="1"/>
      <c r="O13754" s="1"/>
      <c r="P13754" s="1"/>
      <c r="Q13754" s="1"/>
      <c r="R13754" s="1"/>
      <c r="S13754" s="1"/>
      <c r="T13754" s="1"/>
      <c r="U13754" s="1"/>
      <c r="V13754" s="1"/>
      <c r="W13754" s="1"/>
      <c r="X13754" s="1"/>
      <c r="Y13754" s="1"/>
      <c r="Z13754" s="1"/>
      <c r="AA13754" s="1"/>
      <c r="AB13754" s="1"/>
    </row>
    <row r="13755" ht="50.25" customHeight="1">
      <c r="A13755" s="12">
        <v>13751.0</v>
      </c>
      <c r="B13755" s="13" t="s">
        <v>12705</v>
      </c>
      <c r="C13755" s="14" t="s">
        <v>13080</v>
      </c>
      <c r="D13755" s="1"/>
      <c r="E13755" s="1"/>
      <c r="F13755" s="1" t="str">
        <f>IFERROR(__xludf.DUMMYFUNCTION("GOOGLETRANSLATE(B13755, ""en"", ""fa"")
"),"عکاسی و داستان سرایی تصویری")</f>
        <v>عکاسی و داستان سرایی تصویری</v>
      </c>
      <c r="G13755" s="1" t="str">
        <f>IFERROR(__xludf.DUMMYFUNCTION("GOOGLETRANSLATE(C13755, ""en"", ""fa"")
"),"چگونه زیبایی و جزئیات مصنوعات و اشیاء فرهنگی را در عکاسی خود ثبت کنید؟")</f>
        <v>چگونه زیبایی و جزئیات مصنوعات و اشیاء فرهنگی را در عکاسی خود ثبت کنید؟</v>
      </c>
      <c r="H13755" s="1"/>
      <c r="I13755" s="1"/>
      <c r="J13755" s="1"/>
      <c r="K13755" s="1"/>
      <c r="L13755" s="1"/>
      <c r="M13755" s="1"/>
      <c r="N13755" s="1"/>
      <c r="O13755" s="1"/>
      <c r="P13755" s="1"/>
      <c r="Q13755" s="1"/>
      <c r="R13755" s="1"/>
      <c r="S13755" s="1"/>
      <c r="T13755" s="1"/>
      <c r="U13755" s="1"/>
      <c r="V13755" s="1"/>
      <c r="W13755" s="1"/>
      <c r="X13755" s="1"/>
      <c r="Y13755" s="1"/>
      <c r="Z13755" s="1"/>
      <c r="AA13755" s="1"/>
      <c r="AB13755" s="1"/>
    </row>
    <row r="13756" ht="50.25" customHeight="1">
      <c r="A13756" s="12">
        <v>13752.0</v>
      </c>
      <c r="B13756" s="13" t="s">
        <v>12705</v>
      </c>
      <c r="C13756" s="14" t="s">
        <v>13081</v>
      </c>
      <c r="D13756" s="1"/>
      <c r="E13756" s="1"/>
      <c r="F13756" s="1" t="str">
        <f>IFERROR(__xludf.DUMMYFUNCTION("GOOGLETRANSLATE(B13756, ""en"", ""fa"")
"),"عکاسی و داستان سرایی تصویری")</f>
        <v>عکاسی و داستان سرایی تصویری</v>
      </c>
      <c r="G13756" s="1" t="str">
        <f>IFERROR(__xludf.DUMMYFUNCTION("GOOGLETRANSLATE(C13756, ""en"", ""fa"")
"),"چگونه یک روایت بصری ایجاد کنیم که تجربیات و احساسات دوران جوانی را برجسته کند؟")</f>
        <v>چگونه یک روایت بصری ایجاد کنیم که تجربیات و احساسات دوران جوانی را برجسته کند؟</v>
      </c>
      <c r="H13756" s="1"/>
      <c r="I13756" s="1"/>
      <c r="J13756" s="1"/>
      <c r="K13756" s="1"/>
      <c r="L13756" s="1"/>
      <c r="M13756" s="1"/>
      <c r="N13756" s="1"/>
      <c r="O13756" s="1"/>
      <c r="P13756" s="1"/>
      <c r="Q13756" s="1"/>
      <c r="R13756" s="1"/>
      <c r="S13756" s="1"/>
      <c r="T13756" s="1"/>
      <c r="U13756" s="1"/>
      <c r="V13756" s="1"/>
      <c r="W13756" s="1"/>
      <c r="X13756" s="1"/>
      <c r="Y13756" s="1"/>
      <c r="Z13756" s="1"/>
      <c r="AA13756" s="1"/>
      <c r="AB13756" s="1"/>
    </row>
    <row r="13757" ht="50.25" customHeight="1">
      <c r="A13757" s="12">
        <v>13753.0</v>
      </c>
      <c r="B13757" s="13" t="s">
        <v>12705</v>
      </c>
      <c r="C13757" s="14" t="s">
        <v>13082</v>
      </c>
      <c r="D13757" s="1"/>
      <c r="E13757" s="1"/>
      <c r="F13757" s="1" t="str">
        <f>IFERROR(__xludf.DUMMYFUNCTION("GOOGLETRANSLATE(B13757, ""en"", ""fa"")
"),"عکاسی و داستان سرایی تصویری")</f>
        <v>عکاسی و داستان سرایی تصویری</v>
      </c>
      <c r="G13757" s="1" t="str">
        <f>IFERROR(__xludf.DUMMYFUNCTION("GOOGLETRANSLATE(C13757, ""en"", ""fa"")
"),"چگونه از کنتراست بصری برای ایجاد تأثیر و جلب توجه به سوژه خود استفاده کنیم؟")</f>
        <v>چگونه از کنتراست بصری برای ایجاد تأثیر و جلب توجه به سوژه خود استفاده کنیم؟</v>
      </c>
      <c r="H13757" s="1"/>
      <c r="I13757" s="1"/>
      <c r="J13757" s="1"/>
      <c r="K13757" s="1"/>
      <c r="L13757" s="1"/>
      <c r="M13757" s="1"/>
      <c r="N13757" s="1"/>
      <c r="O13757" s="1"/>
      <c r="P13757" s="1"/>
      <c r="Q13757" s="1"/>
      <c r="R13757" s="1"/>
      <c r="S13757" s="1"/>
      <c r="T13757" s="1"/>
      <c r="U13757" s="1"/>
      <c r="V13757" s="1"/>
      <c r="W13757" s="1"/>
      <c r="X13757" s="1"/>
      <c r="Y13757" s="1"/>
      <c r="Z13757" s="1"/>
      <c r="AA13757" s="1"/>
      <c r="AB13757" s="1"/>
    </row>
    <row r="13758" ht="50.25" customHeight="1">
      <c r="A13758" s="12">
        <v>13754.0</v>
      </c>
      <c r="B13758" s="13" t="s">
        <v>12705</v>
      </c>
      <c r="C13758" s="14" t="s">
        <v>13083</v>
      </c>
      <c r="D13758" s="1"/>
      <c r="E13758" s="1"/>
      <c r="F13758" s="1" t="str">
        <f>IFERROR(__xludf.DUMMYFUNCTION("GOOGLETRANSLATE(B13758, ""en"", ""fa"")
"),"عکاسی و داستان سرایی تصویری")</f>
        <v>عکاسی و داستان سرایی تصویری</v>
      </c>
      <c r="G13758" s="1" t="str">
        <f>IFERROR(__xludf.DUMMYFUNCTION("GOOGLETRANSLATE(C13758, ""en"", ""fa"")
"),"چگونه می توان موضوع رمز و راز و فتنه را با استفاده خلاقانه از سایه ها منتقل کرد؟")</f>
        <v>چگونه می توان موضوع رمز و راز و فتنه را با استفاده خلاقانه از سایه ها منتقل کرد؟</v>
      </c>
      <c r="H13758" s="1"/>
      <c r="I13758" s="1"/>
      <c r="J13758" s="1"/>
      <c r="K13758" s="1"/>
      <c r="L13758" s="1"/>
      <c r="M13758" s="1"/>
      <c r="N13758" s="1"/>
      <c r="O13758" s="1"/>
      <c r="P13758" s="1"/>
      <c r="Q13758" s="1"/>
      <c r="R13758" s="1"/>
      <c r="S13758" s="1"/>
      <c r="T13758" s="1"/>
      <c r="U13758" s="1"/>
      <c r="V13758" s="1"/>
      <c r="W13758" s="1"/>
      <c r="X13758" s="1"/>
      <c r="Y13758" s="1"/>
      <c r="Z13758" s="1"/>
      <c r="AA13758" s="1"/>
      <c r="AB13758" s="1"/>
    </row>
    <row r="13759" ht="50.25" customHeight="1">
      <c r="A13759" s="12">
        <v>13755.0</v>
      </c>
      <c r="B13759" s="13" t="s">
        <v>12705</v>
      </c>
      <c r="C13759" s="14" t="s">
        <v>13084</v>
      </c>
      <c r="D13759" s="1"/>
      <c r="E13759" s="1"/>
      <c r="F13759" s="1" t="str">
        <f>IFERROR(__xludf.DUMMYFUNCTION("GOOGLETRANSLATE(B13759, ""en"", ""fa"")
"),"عکاسی و داستان سرایی تصویری")</f>
        <v>عکاسی و داستان سرایی تصویری</v>
      </c>
      <c r="G13759" s="1" t="str">
        <f>IFERROR(__xludf.DUMMYFUNCTION("GOOGLETRANSLATE(C13759, ""en"", ""fa"")
"),"چگونه از مفهوم انتظار برای ایجاد تعلیق و کنجکاوی در داستان سرایی خود استفاده کنید؟")</f>
        <v>چگونه از مفهوم انتظار برای ایجاد تعلیق و کنجکاوی در داستان سرایی خود استفاده کنید؟</v>
      </c>
      <c r="H13759" s="1"/>
      <c r="I13759" s="1"/>
      <c r="J13759" s="1"/>
      <c r="K13759" s="1"/>
      <c r="L13759" s="1"/>
      <c r="M13759" s="1"/>
      <c r="N13759" s="1"/>
      <c r="O13759" s="1"/>
      <c r="P13759" s="1"/>
      <c r="Q13759" s="1"/>
      <c r="R13759" s="1"/>
      <c r="S13759" s="1"/>
      <c r="T13759" s="1"/>
      <c r="U13759" s="1"/>
      <c r="V13759" s="1"/>
      <c r="W13759" s="1"/>
      <c r="X13759" s="1"/>
      <c r="Y13759" s="1"/>
      <c r="Z13759" s="1"/>
      <c r="AA13759" s="1"/>
      <c r="AB13759" s="1"/>
    </row>
    <row r="13760" ht="50.25" customHeight="1">
      <c r="A13760" s="12">
        <v>13756.0</v>
      </c>
      <c r="B13760" s="13" t="s">
        <v>12705</v>
      </c>
      <c r="C13760" s="14" t="s">
        <v>13085</v>
      </c>
      <c r="D13760" s="1"/>
      <c r="E13760" s="1"/>
      <c r="F13760" s="1" t="str">
        <f>IFERROR(__xludf.DUMMYFUNCTION("GOOGLETRANSLATE(B13760, ""en"", ""fa"")
"),"عکاسی و داستان سرایی تصویری")</f>
        <v>عکاسی و داستان سرایی تصویری</v>
      </c>
      <c r="G13760" s="1" t="str">
        <f>IFERROR(__xludf.DUMMYFUNCTION("GOOGLETRANSLATE(C13760, ""en"", ""fa"")
"),"چگونه یک داستان بصری ایجاد کنیم که احساسات و تعاملات غریبه ها را به تصویر بکشد؟")</f>
        <v>چگونه یک داستان بصری ایجاد کنیم که احساسات و تعاملات غریبه ها را به تصویر بکشد؟</v>
      </c>
      <c r="H13760" s="1"/>
      <c r="I13760" s="1"/>
      <c r="J13760" s="1"/>
      <c r="K13760" s="1"/>
      <c r="L13760" s="1"/>
      <c r="M13760" s="1"/>
      <c r="N13760" s="1"/>
      <c r="O13760" s="1"/>
      <c r="P13760" s="1"/>
      <c r="Q13760" s="1"/>
      <c r="R13760" s="1"/>
      <c r="S13760" s="1"/>
      <c r="T13760" s="1"/>
      <c r="U13760" s="1"/>
      <c r="V13760" s="1"/>
      <c r="W13760" s="1"/>
      <c r="X13760" s="1"/>
      <c r="Y13760" s="1"/>
      <c r="Z13760" s="1"/>
      <c r="AA13760" s="1"/>
      <c r="AB13760" s="1"/>
    </row>
    <row r="13761" ht="50.25" customHeight="1">
      <c r="A13761" s="12">
        <v>13757.0</v>
      </c>
      <c r="B13761" s="13" t="s">
        <v>12705</v>
      </c>
      <c r="C13761" s="14" t="s">
        <v>13086</v>
      </c>
      <c r="D13761" s="1"/>
      <c r="E13761" s="1"/>
      <c r="F13761" s="1" t="str">
        <f>IFERROR(__xludf.DUMMYFUNCTION("GOOGLETRANSLATE(B13761, ""en"", ""fa"")
"),"عکاسی و داستان سرایی تصویری")</f>
        <v>عکاسی و داستان سرایی تصویری</v>
      </c>
      <c r="G13761" s="1" t="str">
        <f>IFERROR(__xludf.DUMMYFUNCTION("GOOGLETRANSLATE(C13761, ""en"", ""fa"")
"),"چگونه از عکاسی ماکرو برای ثبت جزئیات پیچیده سوژه های کوچک استفاده کنیم؟")</f>
        <v>چگونه از عکاسی ماکرو برای ثبت جزئیات پیچیده سوژه های کوچک استفاده کنیم؟</v>
      </c>
      <c r="H13761" s="1"/>
      <c r="I13761" s="1"/>
      <c r="J13761" s="1"/>
      <c r="K13761" s="1"/>
      <c r="L13761" s="1"/>
      <c r="M13761" s="1"/>
      <c r="N13761" s="1"/>
      <c r="O13761" s="1"/>
      <c r="P13761" s="1"/>
      <c r="Q13761" s="1"/>
      <c r="R13761" s="1"/>
      <c r="S13761" s="1"/>
      <c r="T13761" s="1"/>
      <c r="U13761" s="1"/>
      <c r="V13761" s="1"/>
      <c r="W13761" s="1"/>
      <c r="X13761" s="1"/>
      <c r="Y13761" s="1"/>
      <c r="Z13761" s="1"/>
      <c r="AA13761" s="1"/>
      <c r="AB13761" s="1"/>
    </row>
    <row r="13762" ht="50.25" customHeight="1">
      <c r="A13762" s="12">
        <v>13758.0</v>
      </c>
      <c r="B13762" s="13" t="s">
        <v>12705</v>
      </c>
      <c r="C13762" s="14" t="s">
        <v>13087</v>
      </c>
      <c r="D13762" s="1"/>
      <c r="E13762" s="1"/>
      <c r="F13762" s="1" t="str">
        <f>IFERROR(__xludf.DUMMYFUNCTION("GOOGLETRANSLATE(B13762, ""en"", ""fa"")
"),"عکاسی و داستان سرایی تصویری")</f>
        <v>عکاسی و داستان سرایی تصویری</v>
      </c>
      <c r="G13762" s="1" t="str">
        <f>IFERROR(__xludf.DUMMYFUNCTION("GOOGLETRANSLATE(C13762, ""en"", ""fa"")
"),"چگونه می توان موضوع تغییر و تحول را از طریق داستان سرایی بصری خود منتقل کرد؟")</f>
        <v>چگونه می توان موضوع تغییر و تحول را از طریق داستان سرایی بصری خود منتقل کرد؟</v>
      </c>
      <c r="H13762" s="1"/>
      <c r="I13762" s="1"/>
      <c r="J13762" s="1"/>
      <c r="K13762" s="1"/>
      <c r="L13762" s="1"/>
      <c r="M13762" s="1"/>
      <c r="N13762" s="1"/>
      <c r="O13762" s="1"/>
      <c r="P13762" s="1"/>
      <c r="Q13762" s="1"/>
      <c r="R13762" s="1"/>
      <c r="S13762" s="1"/>
      <c r="T13762" s="1"/>
      <c r="U13762" s="1"/>
      <c r="V13762" s="1"/>
      <c r="W13762" s="1"/>
      <c r="X13762" s="1"/>
      <c r="Y13762" s="1"/>
      <c r="Z13762" s="1"/>
      <c r="AA13762" s="1"/>
      <c r="AB13762" s="1"/>
    </row>
    <row r="13763" ht="50.25" customHeight="1">
      <c r="A13763" s="12">
        <v>13759.0</v>
      </c>
      <c r="B13763" s="13" t="s">
        <v>12705</v>
      </c>
      <c r="C13763" s="14" t="s">
        <v>13088</v>
      </c>
      <c r="D13763" s="1"/>
      <c r="E13763" s="1"/>
      <c r="F13763" s="1" t="str">
        <f>IFERROR(__xludf.DUMMYFUNCTION("GOOGLETRANSLATE(B13763, ""en"", ""fa"")
"),"عکاسی و داستان سرایی تصویری")</f>
        <v>عکاسی و داستان سرایی تصویری</v>
      </c>
      <c r="G13763" s="1" t="str">
        <f>IFERROR(__xludf.DUMMYFUNCTION("GOOGLETRANSLATE(C13763, ""en"", ""fa"")
"),"چگونه از مفهوم نمادگرایی برای افزودن عمق و لایه های معنا به تصاویر خود استفاده کنیم؟")</f>
        <v>چگونه از مفهوم نمادگرایی برای افزودن عمق و لایه های معنا به تصاویر خود استفاده کنیم؟</v>
      </c>
      <c r="H13763" s="1"/>
      <c r="I13763" s="1"/>
      <c r="J13763" s="1"/>
      <c r="K13763" s="1"/>
      <c r="L13763" s="1"/>
      <c r="M13763" s="1"/>
      <c r="N13763" s="1"/>
      <c r="O13763" s="1"/>
      <c r="P13763" s="1"/>
      <c r="Q13763" s="1"/>
      <c r="R13763" s="1"/>
      <c r="S13763" s="1"/>
      <c r="T13763" s="1"/>
      <c r="U13763" s="1"/>
      <c r="V13763" s="1"/>
      <c r="W13763" s="1"/>
      <c r="X13763" s="1"/>
      <c r="Y13763" s="1"/>
      <c r="Z13763" s="1"/>
      <c r="AA13763" s="1"/>
      <c r="AB13763" s="1"/>
    </row>
    <row r="13764" ht="50.25" customHeight="1">
      <c r="A13764" s="12">
        <v>13760.0</v>
      </c>
      <c r="B13764" s="13" t="s">
        <v>12705</v>
      </c>
      <c r="C13764" s="14" t="s">
        <v>13089</v>
      </c>
      <c r="D13764" s="1"/>
      <c r="E13764" s="1"/>
      <c r="F13764" s="1" t="str">
        <f>IFERROR(__xludf.DUMMYFUNCTION("GOOGLETRANSLATE(B13764, ""en"", ""fa"")
"),"عکاسی و داستان سرایی تصویری")</f>
        <v>عکاسی و داستان سرایی تصویری</v>
      </c>
      <c r="G13764" s="1" t="str">
        <f>IFERROR(__xludf.DUMMYFUNCTION("GOOGLETRANSLATE(C13764, ""en"", ""fa"")
"),"چگونه یک روایت بصری ایجاد کنیم که مفهوم زیبایی را در نقص بررسی کند؟")</f>
        <v>چگونه یک روایت بصری ایجاد کنیم که مفهوم زیبایی را در نقص بررسی کند؟</v>
      </c>
      <c r="H13764" s="1"/>
      <c r="I13764" s="1"/>
      <c r="J13764" s="1"/>
      <c r="K13764" s="1"/>
      <c r="L13764" s="1"/>
      <c r="M13764" s="1"/>
      <c r="N13764" s="1"/>
      <c r="O13764" s="1"/>
      <c r="P13764" s="1"/>
      <c r="Q13764" s="1"/>
      <c r="R13764" s="1"/>
      <c r="S13764" s="1"/>
      <c r="T13764" s="1"/>
      <c r="U13764" s="1"/>
      <c r="V13764" s="1"/>
      <c r="W13764" s="1"/>
      <c r="X13764" s="1"/>
      <c r="Y13764" s="1"/>
      <c r="Z13764" s="1"/>
      <c r="AA13764" s="1"/>
      <c r="AB13764" s="1"/>
    </row>
    <row r="13765" ht="50.25" customHeight="1">
      <c r="A13765" s="12">
        <v>13761.0</v>
      </c>
      <c r="B13765" s="13" t="s">
        <v>13090</v>
      </c>
      <c r="C13765" s="14" t="s">
        <v>13091</v>
      </c>
      <c r="D13765" s="1"/>
      <c r="E13765" s="1"/>
      <c r="F13765" s="1" t="str">
        <f>IFERROR(__xludf.DUMMYFUNCTION("GOOGLETRANSLATE(B13765, ""en"", ""fa"")
"),"نسل سرب تلفن")</f>
        <v>نسل سرب تلفن</v>
      </c>
      <c r="G13765" s="1" t="str">
        <f>IFERROR(__xludf.DUMMYFUNCTION("GOOGLETRANSLATE(C13765, ""en"", ""fa"")
"),"یک استراتژی جست‌وجوی جامع را برنامه‌ریزی کنید که کانال‌های متعددی مانند تماس سرد، اطلاع‌رسانی ایمیل، تحقیقات رسانه‌های اجتماعی و شرکت در رویدادهای صنعت را در بر می‌گیرد. مراحل، جدول زمانی و منابع مورد نیاز برای اجرای موثر استراتژی را مشخص کنید.")</f>
        <v>یک استراتژی جست‌وجوی جامع را برنامه‌ریزی کنید که کانال‌های متعددی مانند تماس سرد، اطلاع‌رسانی ایمیل، تحقیقات رسانه‌های اجتماعی و شرکت در رویدادهای صنعت را در بر می‌گیرد. مراحل، جدول زمانی و منابع مورد نیاز برای اجرای موثر استراتژی را مشخص کنید.</v>
      </c>
      <c r="H13765" s="1"/>
      <c r="I13765" s="1"/>
      <c r="J13765" s="1"/>
      <c r="K13765" s="1"/>
      <c r="L13765" s="1"/>
      <c r="M13765" s="1"/>
      <c r="N13765" s="1"/>
      <c r="O13765" s="1"/>
      <c r="P13765" s="1"/>
      <c r="Q13765" s="1"/>
      <c r="R13765" s="1"/>
      <c r="S13765" s="1"/>
      <c r="T13765" s="1"/>
      <c r="U13765" s="1"/>
      <c r="V13765" s="1"/>
      <c r="W13765" s="1"/>
      <c r="X13765" s="1"/>
      <c r="Y13765" s="1"/>
      <c r="Z13765" s="1"/>
      <c r="AA13765" s="1"/>
      <c r="AB13765" s="1"/>
    </row>
    <row r="13766" ht="50.25" customHeight="1">
      <c r="A13766" s="12">
        <v>13762.0</v>
      </c>
      <c r="B13766" s="13" t="s">
        <v>13090</v>
      </c>
      <c r="C13766" s="14" t="s">
        <v>13092</v>
      </c>
      <c r="D13766" s="1"/>
      <c r="E13766" s="1"/>
      <c r="F13766" s="1" t="str">
        <f>IFERROR(__xludf.DUMMYFUNCTION("GOOGLETRANSLATE(B13766, ""en"", ""fa"")
"),"نسل سرب تلفن")</f>
        <v>نسل سرب تلفن</v>
      </c>
      <c r="G13766" s="1" t="str">
        <f>IFERROR(__xludf.DUMMYFUNCTION("GOOGLETRANSLATE(C13766, ""en"", ""fa"")
"),"ویژگی ها یا معیارهای کلیدی را که یک چشم انداز ایده آل را برای محصول یا خدمات ما تعریف می کنند، به صورت جزئی مشخص کنید. عواملی مانند صنعت، اندازه شرکت، عنوان شغلی، موقعیت جغرافیایی و نقاط درد را در نظر بگیرید تا یک نمایه هدف برای تلاش‌های اکتشافی متمرکز ای"&amp;"جاد کنید.")</f>
        <v>ویژگی ها یا معیارهای کلیدی را که یک چشم انداز ایده آل را برای محصول یا خدمات ما تعریف می کنند، به صورت جزئی مشخص کنید. عواملی مانند صنعت، اندازه شرکت، عنوان شغلی، موقعیت جغرافیایی و نقاط درد را در نظر بگیرید تا یک نمایه هدف برای تلاش‌های اکتشافی متمرکز ایجاد کنید.</v>
      </c>
      <c r="H13766" s="1"/>
      <c r="I13766" s="1"/>
      <c r="J13766" s="1"/>
      <c r="K13766" s="1"/>
      <c r="L13766" s="1"/>
      <c r="M13766" s="1"/>
      <c r="N13766" s="1"/>
      <c r="O13766" s="1"/>
      <c r="P13766" s="1"/>
      <c r="Q13766" s="1"/>
      <c r="R13766" s="1"/>
      <c r="S13766" s="1"/>
      <c r="T13766" s="1"/>
      <c r="U13766" s="1"/>
      <c r="V13766" s="1"/>
      <c r="W13766" s="1"/>
      <c r="X13766" s="1"/>
      <c r="Y13766" s="1"/>
      <c r="Z13766" s="1"/>
      <c r="AA13766" s="1"/>
      <c r="AB13766" s="1"/>
    </row>
    <row r="13767" ht="50.25" customHeight="1">
      <c r="A13767" s="12">
        <v>13763.0</v>
      </c>
      <c r="B13767" s="13" t="s">
        <v>13090</v>
      </c>
      <c r="C13767" s="14" t="s">
        <v>13093</v>
      </c>
      <c r="D13767" s="1"/>
      <c r="E13767" s="1"/>
      <c r="F13767" s="1" t="str">
        <f>IFERROR(__xludf.DUMMYFUNCTION("GOOGLETRANSLATE(B13767, ""en"", ""fa"")
"),"نسل سرب تلفن")</f>
        <v>نسل سرب تلفن</v>
      </c>
      <c r="G13767" s="1" t="str">
        <f>IFERROR(__xludf.DUMMYFUNCTION("GOOGLETRANSLATE(C13767, ""en"", ""fa"")
"),"فهرستی از انجمن‌ها یا انجمن‌های آنلاین خاص صنعت بنویسید که مخاطبان هدف ما فعالانه در آن مشارکت دارند. درباره این پلتفرم‌ها تحقیق کنید و فرصت‌هایی را برای مشارکت، به اشتراک گذاشتن بینش‌های ارزشمند و ایجاد رهبری فکری برای جذب چشم‌اندازهای بالقوه شناسایی کنی"&amp;"د.")</f>
        <v>فهرستی از انجمن‌ها یا انجمن‌های آنلاین خاص صنعت بنویسید که مخاطبان هدف ما فعالانه در آن مشارکت دارند. درباره این پلتفرم‌ها تحقیق کنید و فرصت‌هایی را برای مشارکت، به اشتراک گذاشتن بینش‌های ارزشمند و ایجاد رهبری فکری برای جذب چشم‌اندازهای بالقوه شناسایی کنید.</v>
      </c>
      <c r="H13767" s="1"/>
      <c r="I13767" s="1"/>
      <c r="J13767" s="1"/>
      <c r="K13767" s="1"/>
      <c r="L13767" s="1"/>
      <c r="M13767" s="1"/>
      <c r="N13767" s="1"/>
      <c r="O13767" s="1"/>
      <c r="P13767" s="1"/>
      <c r="Q13767" s="1"/>
      <c r="R13767" s="1"/>
      <c r="S13767" s="1"/>
      <c r="T13767" s="1"/>
      <c r="U13767" s="1"/>
      <c r="V13767" s="1"/>
      <c r="W13767" s="1"/>
      <c r="X13767" s="1"/>
      <c r="Y13767" s="1"/>
      <c r="Z13767" s="1"/>
      <c r="AA13767" s="1"/>
      <c r="AB13767" s="1"/>
    </row>
    <row r="13768" ht="50.25" customHeight="1">
      <c r="A13768" s="12">
        <v>13764.0</v>
      </c>
      <c r="B13768" s="13" t="s">
        <v>13090</v>
      </c>
      <c r="C13768" s="14" t="s">
        <v>13094</v>
      </c>
      <c r="D13768" s="1"/>
      <c r="E13768" s="1"/>
      <c r="F13768" s="1" t="str">
        <f>IFERROR(__xludf.DUMMYFUNCTION("GOOGLETRANSLATE(B13768, ""en"", ""fa"")
"),"نسل سرب تلفن")</f>
        <v>نسل سرب تلفن</v>
      </c>
      <c r="G13768" s="1" t="str">
        <f>IFERROR(__xludf.DUMMYFUNCTION("GOOGLETRANSLATE(C13768, ""en"", ""fa"")
"),"طرحی را برای استفاده از پلتفرم های رسانه های اجتماعی برای اهداف اکتشافی ترسیم کنید. شبکه‌های اجتماعی را که با مخاطبان هدف ما هماهنگ هستند، استراتژی‌های محتوایی برای تعامل با آنها و معیارهایی برای ردیابی اثربخشی تلاش‌های جستجوگر رسانه‌های اجتماعی ما را مشخ"&amp;"ص کنید.")</f>
        <v>طرحی را برای استفاده از پلتفرم های رسانه های اجتماعی برای اهداف اکتشافی ترسیم کنید. شبکه‌های اجتماعی را که با مخاطبان هدف ما هماهنگ هستند، استراتژی‌های محتوایی برای تعامل با آنها و معیارهایی برای ردیابی اثربخشی تلاش‌های جستجوگر رسانه‌های اجتماعی ما را مشخص کنید.</v>
      </c>
      <c r="H13768" s="1"/>
      <c r="I13768" s="1"/>
      <c r="J13768" s="1"/>
      <c r="K13768" s="1"/>
      <c r="L13768" s="1"/>
      <c r="M13768" s="1"/>
      <c r="N13768" s="1"/>
      <c r="O13768" s="1"/>
      <c r="P13768" s="1"/>
      <c r="Q13768" s="1"/>
      <c r="R13768" s="1"/>
      <c r="S13768" s="1"/>
      <c r="T13768" s="1"/>
      <c r="U13768" s="1"/>
      <c r="V13768" s="1"/>
      <c r="W13768" s="1"/>
      <c r="X13768" s="1"/>
      <c r="Y13768" s="1"/>
      <c r="Z13768" s="1"/>
      <c r="AA13768" s="1"/>
      <c r="AB13768" s="1"/>
    </row>
    <row r="13769" ht="50.25" customHeight="1">
      <c r="A13769" s="12">
        <v>13765.0</v>
      </c>
      <c r="B13769" s="13" t="s">
        <v>13090</v>
      </c>
      <c r="C13769" s="14" t="s">
        <v>13095</v>
      </c>
      <c r="D13769" s="1"/>
      <c r="E13769" s="1"/>
      <c r="F13769" s="1" t="str">
        <f>IFERROR(__xludf.DUMMYFUNCTION("GOOGLETRANSLATE(B13769, ""en"", ""fa"")
"),"نسل سرب تلفن")</f>
        <v>نسل سرب تلفن</v>
      </c>
      <c r="G13769" s="1" t="str">
        <f>IFERROR(__xludf.DUMMYFUNCTION("GOOGLETRANSLATE(C13769, ""en"", ""fa"")
"),"یک الگو برای یک اسکریپت تماس سرد قانع‌کننده که توجه مشتری بالقوه را جلب می‌کند، به نقاط دردناک آنها می‌پردازد و ارزش پیشنهاد ما را برجسته می‌کند، پیش‌نویس کنید. شامل نکات کلیدی صحبت، تکنیک های رسیدگی به اعتراضات، و یک فراخوان برای اقدام واضح برای ایجاد تع"&amp;"امل بیشتر باشد.")</f>
        <v>یک الگو برای یک اسکریپت تماس سرد قانع‌کننده که توجه مشتری بالقوه را جلب می‌کند، به نقاط دردناک آنها می‌پردازد و ارزش پیشنهاد ما را برجسته می‌کند، پیش‌نویس کنید. شامل نکات کلیدی صحبت، تکنیک های رسیدگی به اعتراضات، و یک فراخوان برای اقدام واضح برای ایجاد تعامل بیشتر باشد.</v>
      </c>
      <c r="H13769" s="1"/>
      <c r="I13769" s="1"/>
      <c r="J13769" s="1"/>
      <c r="K13769" s="1"/>
      <c r="L13769" s="1"/>
      <c r="M13769" s="1"/>
      <c r="N13769" s="1"/>
      <c r="O13769" s="1"/>
      <c r="P13769" s="1"/>
      <c r="Q13769" s="1"/>
      <c r="R13769" s="1"/>
      <c r="S13769" s="1"/>
      <c r="T13769" s="1"/>
      <c r="U13769" s="1"/>
      <c r="V13769" s="1"/>
      <c r="W13769" s="1"/>
      <c r="X13769" s="1"/>
      <c r="Y13769" s="1"/>
      <c r="Z13769" s="1"/>
      <c r="AA13769" s="1"/>
      <c r="AB13769" s="1"/>
    </row>
    <row r="13770" ht="50.25" customHeight="1">
      <c r="A13770" s="12">
        <v>13766.0</v>
      </c>
      <c r="B13770" s="13" t="s">
        <v>13090</v>
      </c>
      <c r="C13770" s="14" t="s">
        <v>13096</v>
      </c>
      <c r="D13770" s="1"/>
      <c r="E13770" s="1"/>
      <c r="F13770" s="1" t="str">
        <f>IFERROR(__xludf.DUMMYFUNCTION("GOOGLETRANSLATE(B13770, ""en"", ""fa"")
"),"نسل سرب تلفن")</f>
        <v>نسل سرب تلفن</v>
      </c>
      <c r="G13770" s="1" t="str">
        <f>IFERROR(__xludf.DUMMYFUNCTION("GOOGLETRANSLATE(C13770, ""en"", ""fa"")
"),"یک استراتژی برای افزایش نفوذ ایمیل به عنوان یک ابزار جستجو ابداع کنید. محتوا، تکنیک‌های شخصی‌سازی و دنباله‌های بعدی را برنامه‌ریزی کنید تا نرخ پاسخ‌دهی را افزایش دهید و ارتباط معناداری با مشتریان احتمالی برقرار کنید.")</f>
        <v>یک استراتژی برای افزایش نفوذ ایمیل به عنوان یک ابزار جستجو ابداع کنید. محتوا، تکنیک‌های شخصی‌سازی و دنباله‌های بعدی را برنامه‌ریزی کنید تا نرخ پاسخ‌دهی را افزایش دهید و ارتباط معناداری با مشتریان احتمالی برقرار کنید.</v>
      </c>
      <c r="H13770" s="1"/>
      <c r="I13770" s="1"/>
      <c r="J13770" s="1"/>
      <c r="K13770" s="1"/>
      <c r="L13770" s="1"/>
      <c r="M13770" s="1"/>
      <c r="N13770" s="1"/>
      <c r="O13770" s="1"/>
      <c r="P13770" s="1"/>
      <c r="Q13770" s="1"/>
      <c r="R13770" s="1"/>
      <c r="S13770" s="1"/>
      <c r="T13770" s="1"/>
      <c r="U13770" s="1"/>
      <c r="V13770" s="1"/>
      <c r="W13770" s="1"/>
      <c r="X13770" s="1"/>
      <c r="Y13770" s="1"/>
      <c r="Z13770" s="1"/>
      <c r="AA13770" s="1"/>
      <c r="AB13770" s="1"/>
    </row>
    <row r="13771" ht="50.25" customHeight="1">
      <c r="A13771" s="12">
        <v>13767.0</v>
      </c>
      <c r="B13771" s="13" t="s">
        <v>13090</v>
      </c>
      <c r="C13771" s="14" t="s">
        <v>13097</v>
      </c>
      <c r="D13771" s="1"/>
      <c r="E13771" s="1"/>
      <c r="F13771" s="1" t="str">
        <f>IFERROR(__xludf.DUMMYFUNCTION("GOOGLETRANSLATE(B13771, ""en"", ""fa"")
"),"نسل سرب تلفن")</f>
        <v>نسل سرب تلفن</v>
      </c>
      <c r="G13771" s="1" t="str">
        <f>IFERROR(__xludf.DUMMYFUNCTION("GOOGLETRANSLATE(C13771, ""en"", ""fa"")
"),"ابزارها و منابع آنلاین موجود برای شناسایی و تحقیق بالقوه بالقوه را فهرست کنید. ویژگی‌ها، قیمت‌گذاری و نظرات کاربران را ارزیابی کنید تا مناسب‌ترین ابزار را برای حمایت از تلاش‌های جستجوگر ما تعیین کنید.")</f>
        <v>ابزارها و منابع آنلاین موجود برای شناسایی و تحقیق بالقوه بالقوه را فهرست کنید. ویژگی‌ها، قیمت‌گذاری و نظرات کاربران را ارزیابی کنید تا مناسب‌ترین ابزار را برای حمایت از تلاش‌های جستجوگر ما تعیین کنید.</v>
      </c>
      <c r="H13771" s="1"/>
      <c r="I13771" s="1"/>
      <c r="J13771" s="1"/>
      <c r="K13771" s="1"/>
      <c r="L13771" s="1"/>
      <c r="M13771" s="1"/>
      <c r="N13771" s="1"/>
      <c r="O13771" s="1"/>
      <c r="P13771" s="1"/>
      <c r="Q13771" s="1"/>
      <c r="R13771" s="1"/>
      <c r="S13771" s="1"/>
      <c r="T13771" s="1"/>
      <c r="U13771" s="1"/>
      <c r="V13771" s="1"/>
      <c r="W13771" s="1"/>
      <c r="X13771" s="1"/>
      <c r="Y13771" s="1"/>
      <c r="Z13771" s="1"/>
      <c r="AA13771" s="1"/>
      <c r="AB13771" s="1"/>
    </row>
    <row r="13772" ht="50.25" customHeight="1">
      <c r="A13772" s="12">
        <v>13768.0</v>
      </c>
      <c r="B13772" s="13" t="s">
        <v>13090</v>
      </c>
      <c r="C13772" s="14" t="s">
        <v>13098</v>
      </c>
      <c r="D13772" s="1"/>
      <c r="E13772" s="1"/>
      <c r="F13772" s="1" t="str">
        <f>IFERROR(__xludf.DUMMYFUNCTION("GOOGLETRANSLATE(B13772, ""en"", ""fa"")
"),"نسل سرب تلفن")</f>
        <v>نسل سرب تلفن</v>
      </c>
      <c r="G13772" s="1" t="str">
        <f>IFERROR(__xludf.DUMMYFUNCTION("GOOGLETRANSLATE(C13772, ""en"", ""fa"")
"),"فرآیندی برای شرکت در رویدادها و کنفرانس های صنعت با تمرکز بر اکتشاف برنامه ریزی کنید. آماده‌سازی قبل از رویداد، استراتژی‌های شبکه‌سازی و فعالیت‌های بعدی را برای به حداکثر رساندن فرصت‌های تولید سرنخ و ایجاد روابط با چشم‌اندازهای بالقوه ترسیم کنید.")</f>
        <v>فرآیندی برای شرکت در رویدادها و کنفرانس های صنعت با تمرکز بر اکتشاف برنامه ریزی کنید. آماده‌سازی قبل از رویداد، استراتژی‌های شبکه‌سازی و فعالیت‌های بعدی را برای به حداکثر رساندن فرصت‌های تولید سرنخ و ایجاد روابط با چشم‌اندازهای بالقوه ترسیم کنید.</v>
      </c>
      <c r="H13772" s="1"/>
      <c r="I13772" s="1"/>
      <c r="J13772" s="1"/>
      <c r="K13772" s="1"/>
      <c r="L13772" s="1"/>
      <c r="M13772" s="1"/>
      <c r="N13772" s="1"/>
      <c r="O13772" s="1"/>
      <c r="P13772" s="1"/>
      <c r="Q13772" s="1"/>
      <c r="R13772" s="1"/>
      <c r="S13772" s="1"/>
      <c r="T13772" s="1"/>
      <c r="U13772" s="1"/>
      <c r="V13772" s="1"/>
      <c r="W13772" s="1"/>
      <c r="X13772" s="1"/>
      <c r="Y13772" s="1"/>
      <c r="Z13772" s="1"/>
      <c r="AA13772" s="1"/>
      <c r="AB13772" s="1"/>
    </row>
    <row r="13773" ht="50.25" customHeight="1">
      <c r="A13773" s="12">
        <v>13769.0</v>
      </c>
      <c r="B13773" s="13" t="s">
        <v>13090</v>
      </c>
      <c r="C13773" s="14" t="s">
        <v>13099</v>
      </c>
      <c r="D13773" s="1"/>
      <c r="E13773" s="1"/>
      <c r="F13773" s="1" t="str">
        <f>IFERROR(__xludf.DUMMYFUNCTION("GOOGLETRANSLATE(B13773, ""en"", ""fa"")
"),"نسل سرب تلفن")</f>
        <v>نسل سرب تلفن</v>
      </c>
      <c r="G13773" s="1" t="str">
        <f>IFERROR(__xludf.DUMMYFUNCTION("GOOGLETRANSLATE(C13773, ""en"", ""fa"")
"),"نرخ های تبدیل تخمینی را برای هر کانال جستجوگر بر اساس داده های تاریخی و معیارهای صنعت محاسبه کنید. این به ما کمک می کند تا اهداف واقع بینانه را تعیین کنیم، منابع را به طور موثر تخصیص دهیم و موفقیت تلاش های اکتشافی خود را اندازه گیری کنیم.")</f>
        <v>نرخ های تبدیل تخمینی را برای هر کانال جستجوگر بر اساس داده های تاریخی و معیارهای صنعت محاسبه کنید. این به ما کمک می کند تا اهداف واقع بینانه را تعیین کنیم، منابع را به طور موثر تخصیص دهیم و موفقیت تلاش های اکتشافی خود را اندازه گیری کنیم.</v>
      </c>
      <c r="H13773" s="1"/>
      <c r="I13773" s="1"/>
      <c r="J13773" s="1"/>
      <c r="K13773" s="1"/>
      <c r="L13773" s="1"/>
      <c r="M13773" s="1"/>
      <c r="N13773" s="1"/>
      <c r="O13773" s="1"/>
      <c r="P13773" s="1"/>
      <c r="Q13773" s="1"/>
      <c r="R13773" s="1"/>
      <c r="S13773" s="1"/>
      <c r="T13773" s="1"/>
      <c r="U13773" s="1"/>
      <c r="V13773" s="1"/>
      <c r="W13773" s="1"/>
      <c r="X13773" s="1"/>
      <c r="Y13773" s="1"/>
      <c r="Z13773" s="1"/>
      <c r="AA13773" s="1"/>
      <c r="AB13773" s="1"/>
    </row>
    <row r="13774" ht="50.25" customHeight="1">
      <c r="A13774" s="12">
        <v>13770.0</v>
      </c>
      <c r="B13774" s="13" t="s">
        <v>13090</v>
      </c>
      <c r="C13774" s="14" t="s">
        <v>13100</v>
      </c>
      <c r="D13774" s="1"/>
      <c r="E13774" s="1"/>
      <c r="F13774" s="1" t="str">
        <f>IFERROR(__xludf.DUMMYFUNCTION("GOOGLETRANSLATE(B13774, ""en"", ""fa"")
"),"نسل سرب تلفن")</f>
        <v>نسل سرب تلفن</v>
      </c>
      <c r="G13774" s="1" t="str">
        <f>IFERROR(__xludf.DUMMYFUNCTION("GOOGLETRANSLATE(C13774, ""en"", ""fa"")
"),"مزایای استفاده از کمپین های هدفمند تولید سرنخ برای جذب مشتریان بالقوه را خلاصه کنید. نشان دهید که چگونه پیام‌های شخصی‌شده، محتوای مبتنی بر ارزش، و تکنیک‌های جستجوی استراتژیک می‌توانند به نرخ تبدیل بالاتر و نتایج فروش بهتر منجر شوند.")</f>
        <v>مزایای استفاده از کمپین های هدفمند تولید سرنخ برای جذب مشتریان بالقوه را خلاصه کنید. نشان دهید که چگونه پیام‌های شخصی‌شده، محتوای مبتنی بر ارزش، و تکنیک‌های جستجوی استراتژیک می‌توانند به نرخ تبدیل بالاتر و نتایج فروش بهتر منجر شوند.</v>
      </c>
      <c r="H13774" s="1"/>
      <c r="I13774" s="1"/>
      <c r="J13774" s="1"/>
      <c r="K13774" s="1"/>
      <c r="L13774" s="1"/>
      <c r="M13774" s="1"/>
      <c r="N13774" s="1"/>
      <c r="O13774" s="1"/>
      <c r="P13774" s="1"/>
      <c r="Q13774" s="1"/>
      <c r="R13774" s="1"/>
      <c r="S13774" s="1"/>
      <c r="T13774" s="1"/>
      <c r="U13774" s="1"/>
      <c r="V13774" s="1"/>
      <c r="W13774" s="1"/>
      <c r="X13774" s="1"/>
      <c r="Y13774" s="1"/>
      <c r="Z13774" s="1"/>
      <c r="AA13774" s="1"/>
      <c r="AB13774" s="1"/>
    </row>
    <row r="13775" ht="50.25" customHeight="1">
      <c r="A13775" s="12">
        <v>13771.0</v>
      </c>
      <c r="B13775" s="13" t="s">
        <v>13090</v>
      </c>
      <c r="C13775" s="14" t="s">
        <v>13101</v>
      </c>
      <c r="D13775" s="1"/>
      <c r="E13775" s="1"/>
      <c r="F13775" s="1" t="str">
        <f>IFERROR(__xludf.DUMMYFUNCTION("GOOGLETRANSLATE(B13775, ""en"", ""fa"")
"),"نسل سرب تلفن")</f>
        <v>نسل سرب تلفن</v>
      </c>
      <c r="G13775" s="1" t="str">
        <f>IFERROR(__xludf.DUMMYFUNCTION("GOOGLETRANSLATE(C13775, ""en"", ""fa"")
"),"برنامه ای برای استفاده از بازاریابی محتوا برای جذب مشتریان بالقوه طراحی کنید. موضوعات محتوا، قالب‌ها و کانال‌های توزیع را که با علایق و نکات دردناک مخاطب هدف ما هماهنگ است، مشخص کنید.")</f>
        <v>برنامه ای برای استفاده از بازاریابی محتوا برای جذب مشتریان بالقوه طراحی کنید. موضوعات محتوا، قالب‌ها و کانال‌های توزیع را که با علایق و نکات دردناک مخاطب هدف ما هماهنگ است، مشخص کنید.</v>
      </c>
      <c r="H13775" s="1"/>
      <c r="I13775" s="1"/>
      <c r="J13775" s="1"/>
      <c r="K13775" s="1"/>
      <c r="L13775" s="1"/>
      <c r="M13775" s="1"/>
      <c r="N13775" s="1"/>
      <c r="O13775" s="1"/>
      <c r="P13775" s="1"/>
      <c r="Q13775" s="1"/>
      <c r="R13775" s="1"/>
      <c r="S13775" s="1"/>
      <c r="T13775" s="1"/>
      <c r="U13775" s="1"/>
      <c r="V13775" s="1"/>
      <c r="W13775" s="1"/>
      <c r="X13775" s="1"/>
      <c r="Y13775" s="1"/>
      <c r="Z13775" s="1"/>
      <c r="AA13775" s="1"/>
      <c r="AB13775" s="1"/>
    </row>
    <row r="13776" ht="50.25" customHeight="1">
      <c r="A13776" s="12">
        <v>13772.0</v>
      </c>
      <c r="B13776" s="13" t="s">
        <v>13090</v>
      </c>
      <c r="C13776" s="14" t="s">
        <v>13102</v>
      </c>
      <c r="D13776" s="1"/>
      <c r="E13776" s="1"/>
      <c r="F13776" s="1" t="str">
        <f>IFERROR(__xludf.DUMMYFUNCTION("GOOGLETRANSLATE(B13776, ""en"", ""fa"")
"),"نسل سرب تلفن")</f>
        <v>نسل سرب تلفن</v>
      </c>
      <c r="G13776" s="1" t="str">
        <f>IFERROR(__xludf.DUMMYFUNCTION("GOOGLETRANSLATE(C13776, ""en"", ""fa"")
"),"یک استراتژی برای استفاده از LinkedIn Sales Navigator برای شناسایی و ارتباط با مشتریان بالقوه ترسیم کنید. معیارهای جستجو، فیلترها و تاکتیک های تعامل را برای استفاده موثر از این ابزار جستجوی قدرتمند مشخص کنید.")</f>
        <v>یک استراتژی برای استفاده از LinkedIn Sales Navigator برای شناسایی و ارتباط با مشتریان بالقوه ترسیم کنید. معیارهای جستجو، فیلترها و تاکتیک های تعامل را برای استفاده موثر از این ابزار جستجوی قدرتمند مشخص کنید.</v>
      </c>
      <c r="H13776" s="1"/>
      <c r="I13776" s="1"/>
      <c r="J13776" s="1"/>
      <c r="K13776" s="1"/>
      <c r="L13776" s="1"/>
      <c r="M13776" s="1"/>
      <c r="N13776" s="1"/>
      <c r="O13776" s="1"/>
      <c r="P13776" s="1"/>
      <c r="Q13776" s="1"/>
      <c r="R13776" s="1"/>
      <c r="S13776" s="1"/>
      <c r="T13776" s="1"/>
      <c r="U13776" s="1"/>
      <c r="V13776" s="1"/>
      <c r="W13776" s="1"/>
      <c r="X13776" s="1"/>
      <c r="Y13776" s="1"/>
      <c r="Z13776" s="1"/>
      <c r="AA13776" s="1"/>
      <c r="AB13776" s="1"/>
    </row>
    <row r="13777" ht="50.25" customHeight="1">
      <c r="A13777" s="12">
        <v>13773.0</v>
      </c>
      <c r="B13777" s="13" t="s">
        <v>13090</v>
      </c>
      <c r="C13777" s="14" t="s">
        <v>13103</v>
      </c>
      <c r="D13777" s="1"/>
      <c r="E13777" s="1"/>
      <c r="F13777" s="1" t="str">
        <f>IFERROR(__xludf.DUMMYFUNCTION("GOOGLETRANSLATE(B13777, ""en"", ""fa"")
"),"نسل سرب تلفن")</f>
        <v>نسل سرب تلفن</v>
      </c>
      <c r="G13777" s="1" t="str">
        <f>IFERROR(__xludf.DUMMYFUNCTION("GOOGLETRANSLATE(C13777, ""en"", ""fa"")
"),"فرآیندی برای ردیابی و اندازه‌گیری اثربخشی تلاش‌های اکتشافی ما برنامه‌ریزی کنید. معیارهای کلیدی مانند تولید سرنخ، نرخ پاسخ، نرخ تبدیل، و درآمد ایجاد شده را برای ارزیابی بازگشت سرمایه (ROI) فعالیت‌های جستجوگر ما شناسایی کنید.")</f>
        <v>فرآیندی برای ردیابی و اندازه‌گیری اثربخشی تلاش‌های اکتشافی ما برنامه‌ریزی کنید. معیارهای کلیدی مانند تولید سرنخ، نرخ پاسخ، نرخ تبدیل، و درآمد ایجاد شده را برای ارزیابی بازگشت سرمایه (ROI) فعالیت‌های جستجوگر ما شناسایی کنید.</v>
      </c>
      <c r="H13777" s="1"/>
      <c r="I13777" s="1"/>
      <c r="J13777" s="1"/>
      <c r="K13777" s="1"/>
      <c r="L13777" s="1"/>
      <c r="M13777" s="1"/>
      <c r="N13777" s="1"/>
      <c r="O13777" s="1"/>
      <c r="P13777" s="1"/>
      <c r="Q13777" s="1"/>
      <c r="R13777" s="1"/>
      <c r="S13777" s="1"/>
      <c r="T13777" s="1"/>
      <c r="U13777" s="1"/>
      <c r="V13777" s="1"/>
      <c r="W13777" s="1"/>
      <c r="X13777" s="1"/>
      <c r="Y13777" s="1"/>
      <c r="Z13777" s="1"/>
      <c r="AA13777" s="1"/>
      <c r="AB13777" s="1"/>
    </row>
    <row r="13778" ht="50.25" customHeight="1">
      <c r="A13778" s="12">
        <v>13774.0</v>
      </c>
      <c r="B13778" s="13" t="s">
        <v>13090</v>
      </c>
      <c r="C13778" s="14" t="s">
        <v>13104</v>
      </c>
      <c r="D13778" s="1"/>
      <c r="E13778" s="1"/>
      <c r="F13778" s="1" t="str">
        <f>IFERROR(__xludf.DUMMYFUNCTION("GOOGLETRANSLATE(B13778, ""en"", ""fa"")
"),"نسل سرب تلفن")</f>
        <v>نسل سرب تلفن</v>
      </c>
      <c r="G13778" s="1" t="str">
        <f>IFERROR(__xludf.DUMMYFUNCTION("GOOGLETRANSLATE(C13778, ""en"", ""fa"")
"),"الگویی برای یک ایمیل جستجوگر قانع کننده بنویسید که توجه را به خود جلب کند، به یک نقطه درد خاص توجه کند و راه حلی ارائه دهد. قالب را برای بخش های مختلف هدف سفارشی کنید و آن را با جزئیات مرتبط شخصی کنید تا نرخ پاسخ را افزایش دهید.")</f>
        <v>الگویی برای یک ایمیل جستجوگر قانع کننده بنویسید که توجه را به خود جلب کند، به یک نقطه درد خاص توجه کند و راه حلی ارائه دهد. قالب را برای بخش های مختلف هدف سفارشی کنید و آن را با جزئیات مرتبط شخصی کنید تا نرخ پاسخ را افزایش دهید.</v>
      </c>
      <c r="H13778" s="1"/>
      <c r="I13778" s="1"/>
      <c r="J13778" s="1"/>
      <c r="K13778" s="1"/>
      <c r="L13778" s="1"/>
      <c r="M13778" s="1"/>
      <c r="N13778" s="1"/>
      <c r="O13778" s="1"/>
      <c r="P13778" s="1"/>
      <c r="Q13778" s="1"/>
      <c r="R13778" s="1"/>
      <c r="S13778" s="1"/>
      <c r="T13778" s="1"/>
      <c r="U13778" s="1"/>
      <c r="V13778" s="1"/>
      <c r="W13778" s="1"/>
      <c r="X13778" s="1"/>
      <c r="Y13778" s="1"/>
      <c r="Z13778" s="1"/>
      <c r="AA13778" s="1"/>
      <c r="AB13778" s="1"/>
    </row>
    <row r="13779" ht="50.25" customHeight="1">
      <c r="A13779" s="12">
        <v>13775.0</v>
      </c>
      <c r="B13779" s="13" t="s">
        <v>13090</v>
      </c>
      <c r="C13779" s="14" t="s">
        <v>13105</v>
      </c>
      <c r="D13779" s="1"/>
      <c r="E13779" s="1"/>
      <c r="F13779" s="1" t="str">
        <f>IFERROR(__xludf.DUMMYFUNCTION("GOOGLETRANSLATE(B13779, ""en"", ""fa"")
"),"نسل سرب تلفن")</f>
        <v>نسل سرب تلفن</v>
      </c>
      <c r="G13779" s="1" t="str">
        <f>IFERROR(__xludf.DUMMYFUNCTION("GOOGLETRANSLATE(C13779, ""en"", ""fa"")
"),"یک طرح کلی برای یک برنامه ارجاع برای تشویق مشتریان و مخاطبین موجود برای ارجاع بالقوه‌های احتمالی تهیه کنید. مشوق‌های ارجاع، استراتژی‌های ارتباطی و مکانیسم‌های ردیابی را برای تشویق و پیگیری مؤثر ارجاع‌ها مشخص کنید.")</f>
        <v>یک طرح کلی برای یک برنامه ارجاع برای تشویق مشتریان و مخاطبین موجود برای ارجاع بالقوه‌های احتمالی تهیه کنید. مشوق‌های ارجاع، استراتژی‌های ارتباطی و مکانیسم‌های ردیابی را برای تشویق و پیگیری مؤثر ارجاع‌ها مشخص کنید.</v>
      </c>
      <c r="H13779" s="1"/>
      <c r="I13779" s="1"/>
      <c r="J13779" s="1"/>
      <c r="K13779" s="1"/>
      <c r="L13779" s="1"/>
      <c r="M13779" s="1"/>
      <c r="N13779" s="1"/>
      <c r="O13779" s="1"/>
      <c r="P13779" s="1"/>
      <c r="Q13779" s="1"/>
      <c r="R13779" s="1"/>
      <c r="S13779" s="1"/>
      <c r="T13779" s="1"/>
      <c r="U13779" s="1"/>
      <c r="V13779" s="1"/>
      <c r="W13779" s="1"/>
      <c r="X13779" s="1"/>
      <c r="Y13779" s="1"/>
      <c r="Z13779" s="1"/>
      <c r="AA13779" s="1"/>
      <c r="AB13779" s="1"/>
    </row>
    <row r="13780" ht="50.25" customHeight="1">
      <c r="A13780" s="12">
        <v>13776.0</v>
      </c>
      <c r="B13780" s="13" t="s">
        <v>13090</v>
      </c>
      <c r="C13780" s="14" t="s">
        <v>13106</v>
      </c>
      <c r="D13780" s="1"/>
      <c r="E13780" s="1"/>
      <c r="F13780" s="1" t="str">
        <f>IFERROR(__xludf.DUMMYFUNCTION("GOOGLETRANSLATE(B13780, ""en"", ""fa"")
"),"نسل سرب تلفن")</f>
        <v>نسل سرب تلفن</v>
      </c>
      <c r="G13780" s="1" t="str">
        <f>IFERROR(__xludf.DUMMYFUNCTION("GOOGLETRANSLATE(C13780, ""en"", ""fa"")
"),"رویدادهای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f>
        <v>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v>
      </c>
      <c r="H13780" s="1"/>
      <c r="I13780" s="1"/>
      <c r="J13780" s="1"/>
      <c r="K13780" s="1"/>
      <c r="L13780" s="1"/>
      <c r="M13780" s="1"/>
      <c r="N13780" s="1"/>
      <c r="O13780" s="1"/>
      <c r="P13780" s="1"/>
      <c r="Q13780" s="1"/>
      <c r="R13780" s="1"/>
      <c r="S13780" s="1"/>
      <c r="T13780" s="1"/>
      <c r="U13780" s="1"/>
      <c r="V13780" s="1"/>
      <c r="W13780" s="1"/>
      <c r="X13780" s="1"/>
      <c r="Y13780" s="1"/>
      <c r="Z13780" s="1"/>
      <c r="AA13780" s="1"/>
      <c r="AB13780" s="1"/>
    </row>
    <row r="13781" ht="50.25" customHeight="1">
      <c r="A13781" s="12">
        <v>13777.0</v>
      </c>
      <c r="B13781" s="13" t="s">
        <v>13090</v>
      </c>
      <c r="C13781" s="14" t="s">
        <v>13107</v>
      </c>
      <c r="D13781" s="1"/>
      <c r="E13781" s="1"/>
      <c r="F13781" s="1" t="str">
        <f>IFERROR(__xludf.DUMMYFUNCTION("GOOGLETRANSLATE(B13781, ""en"", ""fa"")
"),"نسل سرب تلفن")</f>
        <v>نسل سرب تلفن</v>
      </c>
      <c r="G13781" s="1" t="str">
        <f>IFERROR(__xludf.DUMMYFUNCTION("GOOGLETRANSLATE(C13781, ""en"", ""fa"")
"),"چالش‌ها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f>
        <v>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v>
      </c>
      <c r="H13781" s="1"/>
      <c r="I13781" s="1"/>
      <c r="J13781" s="1"/>
      <c r="K13781" s="1"/>
      <c r="L13781" s="1"/>
      <c r="M13781" s="1"/>
      <c r="N13781" s="1"/>
      <c r="O13781" s="1"/>
      <c r="P13781" s="1"/>
      <c r="Q13781" s="1"/>
      <c r="R13781" s="1"/>
      <c r="S13781" s="1"/>
      <c r="T13781" s="1"/>
      <c r="U13781" s="1"/>
      <c r="V13781" s="1"/>
      <c r="W13781" s="1"/>
      <c r="X13781" s="1"/>
      <c r="Y13781" s="1"/>
      <c r="Z13781" s="1"/>
      <c r="AA13781" s="1"/>
      <c r="AB13781" s="1"/>
    </row>
    <row r="13782" ht="50.25" customHeight="1">
      <c r="A13782" s="12">
        <v>13778.0</v>
      </c>
      <c r="B13782" s="13" t="s">
        <v>13090</v>
      </c>
      <c r="C13782" s="14" t="s">
        <v>13108</v>
      </c>
      <c r="D13782" s="1"/>
      <c r="E13782" s="1"/>
      <c r="F13782" s="1" t="str">
        <f>IFERROR(__xludf.DUMMYFUNCTION("GOOGLETRANSLATE(B13782, ""en"", ""fa"")
"),"نسل سرب تلفن")</f>
        <v>نسل سرب تلفن</v>
      </c>
      <c r="G13782" s="1" t="str">
        <f>IFERROR(__xludf.DUMMYFUNCTION("GOOGLETRANSLATE(C13782, ""en"", ""fa"")
"),"یک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این"&amp;" طریق بین مشتریان بالقوه علاقه ایجاد کنیم.")</f>
        <v>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بین مشتریان بالقوه علاقه ایجاد کنیم.</v>
      </c>
      <c r="H13782" s="1"/>
      <c r="I13782" s="1"/>
      <c r="J13782" s="1"/>
      <c r="K13782" s="1"/>
      <c r="L13782" s="1"/>
      <c r="M13782" s="1"/>
      <c r="N13782" s="1"/>
      <c r="O13782" s="1"/>
      <c r="P13782" s="1"/>
      <c r="Q13782" s="1"/>
      <c r="R13782" s="1"/>
      <c r="S13782" s="1"/>
      <c r="T13782" s="1"/>
      <c r="U13782" s="1"/>
      <c r="V13782" s="1"/>
      <c r="W13782" s="1"/>
      <c r="X13782" s="1"/>
      <c r="Y13782" s="1"/>
      <c r="Z13782" s="1"/>
      <c r="AA13782" s="1"/>
      <c r="AB13782" s="1"/>
    </row>
    <row r="13783" ht="50.25" customHeight="1">
      <c r="A13783" s="12">
        <v>13779.0</v>
      </c>
      <c r="B13783" s="13" t="s">
        <v>13090</v>
      </c>
      <c r="C13783" s="14" t="s">
        <v>13109</v>
      </c>
      <c r="D13783" s="1"/>
      <c r="E13783" s="1"/>
      <c r="F13783" s="1" t="str">
        <f>IFERROR(__xludf.DUMMYFUNCTION("GOOGLETRANSLATE(B13783, ""en"", ""fa"")
"),"نسل سرب تلفن")</f>
        <v>نسل سرب تلفن</v>
      </c>
      <c r="G13783" s="1" t="str">
        <f>IFERROR(__xludf.DUMMYFUNCTION("GOOGLETRANSLATE(C13783, ""en"", ""fa"")
"),"فرآیندی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f>
        <v>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v>
      </c>
      <c r="H13783" s="1"/>
      <c r="I13783" s="1"/>
      <c r="J13783" s="1"/>
      <c r="K13783" s="1"/>
      <c r="L13783" s="1"/>
      <c r="M13783" s="1"/>
      <c r="N13783" s="1"/>
      <c r="O13783" s="1"/>
      <c r="P13783" s="1"/>
      <c r="Q13783" s="1"/>
      <c r="R13783" s="1"/>
      <c r="S13783" s="1"/>
      <c r="T13783" s="1"/>
      <c r="U13783" s="1"/>
      <c r="V13783" s="1"/>
      <c r="W13783" s="1"/>
      <c r="X13783" s="1"/>
      <c r="Y13783" s="1"/>
      <c r="Z13783" s="1"/>
      <c r="AA13783" s="1"/>
      <c r="AB13783" s="1"/>
    </row>
    <row r="13784" ht="50.25" customHeight="1">
      <c r="A13784" s="12">
        <v>13780.0</v>
      </c>
      <c r="B13784" s="13" t="s">
        <v>13090</v>
      </c>
      <c r="C13784" s="14" t="s">
        <v>13110</v>
      </c>
      <c r="D13784" s="1"/>
      <c r="E13784" s="1"/>
      <c r="F13784" s="1" t="str">
        <f>IFERROR(__xludf.DUMMYFUNCTION("GOOGLETRANSLATE(B13784, ""en"", ""fa"")
"),"نسل سرب تلفن")</f>
        <v>نسل سرب تلفن</v>
      </c>
      <c r="G13784" s="1" t="str">
        <f>IFERROR(__xludf.DUMMYFUNCTION("GOOGLETRANSLATE(C13784, ""en"", ""fa"")
"),"طرحی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f>
        <v>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v>
      </c>
      <c r="H13784" s="1"/>
      <c r="I13784" s="1"/>
      <c r="J13784" s="1"/>
      <c r="K13784" s="1"/>
      <c r="L13784" s="1"/>
      <c r="M13784" s="1"/>
      <c r="N13784" s="1"/>
      <c r="O13784" s="1"/>
      <c r="P13784" s="1"/>
      <c r="Q13784" s="1"/>
      <c r="R13784" s="1"/>
      <c r="S13784" s="1"/>
      <c r="T13784" s="1"/>
      <c r="U13784" s="1"/>
      <c r="V13784" s="1"/>
      <c r="W13784" s="1"/>
      <c r="X13784" s="1"/>
      <c r="Y13784" s="1"/>
      <c r="Z13784" s="1"/>
      <c r="AA13784" s="1"/>
      <c r="AB13784" s="1"/>
    </row>
    <row r="13785" ht="50.25" customHeight="1">
      <c r="A13785" s="12">
        <v>13781.0</v>
      </c>
      <c r="B13785" s="13" t="s">
        <v>13090</v>
      </c>
      <c r="C13785" s="14" t="s">
        <v>13111</v>
      </c>
      <c r="D13785" s="1"/>
      <c r="E13785" s="1"/>
      <c r="F13785" s="1" t="str">
        <f>IFERROR(__xludf.DUMMYFUNCTION("GOOGLETRANSLATE(B13785, ""en"", ""fa"")
"),"نسل سرب تلفن")</f>
        <v>نسل سرب تلفن</v>
      </c>
      <c r="G13785" s="1" t="str">
        <f>IFERROR(__xludf.DUMMYFUNCTION("GOOGLETRANSLATE(C13785, ""en"", ""fa"")
"),"فهرستی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بالق"&amp;"وه را به صورت ارگانیک جذب کنید.")</f>
        <v>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بالقوه را به صورت ارگانیک جذب کنید.</v>
      </c>
      <c r="H13785" s="1"/>
      <c r="I13785" s="1"/>
      <c r="J13785" s="1"/>
      <c r="K13785" s="1"/>
      <c r="L13785" s="1"/>
      <c r="M13785" s="1"/>
      <c r="N13785" s="1"/>
      <c r="O13785" s="1"/>
      <c r="P13785" s="1"/>
      <c r="Q13785" s="1"/>
      <c r="R13785" s="1"/>
      <c r="S13785" s="1"/>
      <c r="T13785" s="1"/>
      <c r="U13785" s="1"/>
      <c r="V13785" s="1"/>
      <c r="W13785" s="1"/>
      <c r="X13785" s="1"/>
      <c r="Y13785" s="1"/>
      <c r="Z13785" s="1"/>
      <c r="AA13785" s="1"/>
      <c r="AB13785" s="1"/>
    </row>
    <row r="13786" ht="50.25" customHeight="1">
      <c r="A13786" s="12">
        <v>13782.0</v>
      </c>
      <c r="B13786" s="13" t="s">
        <v>13090</v>
      </c>
      <c r="C13786" s="14" t="s">
        <v>13112</v>
      </c>
      <c r="D13786" s="1"/>
      <c r="E13786" s="1"/>
      <c r="F13786" s="1" t="str">
        <f>IFERROR(__xludf.DUMMYFUNCTION("GOOGLETRANSLATE(B13786, ""en"", ""fa"")
"),"نسل سرب تلفن")</f>
        <v>نسل سرب تلفن</v>
      </c>
      <c r="G13786" s="1" t="str">
        <f>IFERROR(__xludf.DUMMYFUNCTION("GOOGLETRANSLATE(C13786, ""en"", ""fa"")
"),"پیش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f>
        <v>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v>
      </c>
      <c r="H13786" s="1"/>
      <c r="I13786" s="1"/>
      <c r="J13786" s="1"/>
      <c r="K13786" s="1"/>
      <c r="L13786" s="1"/>
      <c r="M13786" s="1"/>
      <c r="N13786" s="1"/>
      <c r="O13786" s="1"/>
      <c r="P13786" s="1"/>
      <c r="Q13786" s="1"/>
      <c r="R13786" s="1"/>
      <c r="S13786" s="1"/>
      <c r="T13786" s="1"/>
      <c r="U13786" s="1"/>
      <c r="V13786" s="1"/>
      <c r="W13786" s="1"/>
      <c r="X13786" s="1"/>
      <c r="Y13786" s="1"/>
      <c r="Z13786" s="1"/>
      <c r="AA13786" s="1"/>
      <c r="AB13786" s="1"/>
    </row>
    <row r="13787" ht="50.25" customHeight="1">
      <c r="A13787" s="12">
        <v>13783.0</v>
      </c>
      <c r="B13787" s="13" t="s">
        <v>13090</v>
      </c>
      <c r="C13787" s="14" t="s">
        <v>13113</v>
      </c>
      <c r="D13787" s="1"/>
      <c r="E13787" s="1"/>
      <c r="F13787" s="1" t="str">
        <f>IFERROR(__xludf.DUMMYFUNCTION("GOOGLETRANSLATE(B13787, ""en"", ""fa"")
"),"نسل سرب تلفن")</f>
        <v>نسل سرب تلفن</v>
      </c>
      <c r="G13787" s="1" t="str">
        <f>IFERROR(__xludf.DUMMYFUNCTION("GOOGLETRANSLATE(C13787, ""en"", ""fa"")
"),"فرآیندی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شو"&amp;"د.")</f>
        <v>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شود.</v>
      </c>
      <c r="H13787" s="1"/>
      <c r="I13787" s="1"/>
      <c r="J13787" s="1"/>
      <c r="K13787" s="1"/>
      <c r="L13787" s="1"/>
      <c r="M13787" s="1"/>
      <c r="N13787" s="1"/>
      <c r="O13787" s="1"/>
      <c r="P13787" s="1"/>
      <c r="Q13787" s="1"/>
      <c r="R13787" s="1"/>
      <c r="S13787" s="1"/>
      <c r="T13787" s="1"/>
      <c r="U13787" s="1"/>
      <c r="V13787" s="1"/>
      <c r="W13787" s="1"/>
      <c r="X13787" s="1"/>
      <c r="Y13787" s="1"/>
      <c r="Z13787" s="1"/>
      <c r="AA13787" s="1"/>
      <c r="AB13787" s="1"/>
    </row>
    <row r="13788" ht="50.25" customHeight="1">
      <c r="A13788" s="12">
        <v>13784.0</v>
      </c>
      <c r="B13788" s="13" t="s">
        <v>13090</v>
      </c>
      <c r="C13788" s="14" t="s">
        <v>13114</v>
      </c>
      <c r="D13788" s="1"/>
      <c r="E13788" s="1"/>
      <c r="F13788" s="1" t="str">
        <f>IFERROR(__xludf.DUMMYFUNCTION("GOOGLETRANSLATE(B13788, ""en"", ""fa"")
"),"نسل سرب تلفن")</f>
        <v>نسل سرب تلفن</v>
      </c>
      <c r="G13788" s="1" t="str">
        <f>IFERROR(__xludf.DUMMYFUNCTION("GOOGLETRANSLATE(C13788, ""en"", ""fa"")
"),"برای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f>
        <v>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v>
      </c>
      <c r="H13788" s="1"/>
      <c r="I13788" s="1"/>
      <c r="J13788" s="1"/>
      <c r="K13788" s="1"/>
      <c r="L13788" s="1"/>
      <c r="M13788" s="1"/>
      <c r="N13788" s="1"/>
      <c r="O13788" s="1"/>
      <c r="P13788" s="1"/>
      <c r="Q13788" s="1"/>
      <c r="R13788" s="1"/>
      <c r="S13788" s="1"/>
      <c r="T13788" s="1"/>
      <c r="U13788" s="1"/>
      <c r="V13788" s="1"/>
      <c r="W13788" s="1"/>
      <c r="X13788" s="1"/>
      <c r="Y13788" s="1"/>
      <c r="Z13788" s="1"/>
      <c r="AA13788" s="1"/>
      <c r="AB13788" s="1"/>
    </row>
    <row r="13789" ht="50.25" customHeight="1">
      <c r="A13789" s="12">
        <v>13785.0</v>
      </c>
      <c r="B13789" s="13" t="s">
        <v>13090</v>
      </c>
      <c r="C13789" s="14" t="s">
        <v>13115</v>
      </c>
      <c r="D13789" s="1"/>
      <c r="E13789" s="1"/>
      <c r="F13789" s="1" t="str">
        <f>IFERROR(__xludf.DUMMYFUNCTION("GOOGLETRANSLATE(B13789, ""en"", ""fa"")
"),"نسل سرب تلفن")</f>
        <v>نسل سرب تلفن</v>
      </c>
      <c r="G13789" s="1" t="str">
        <f>IFERROR(__xludf.DUMMYFUNCTION("GOOGLETRANSLATE(C13789, ""en"", ""fa"")
"),"طرحی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f>
        <v>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v>
      </c>
      <c r="H13789" s="1"/>
      <c r="I13789" s="1"/>
      <c r="J13789" s="1"/>
      <c r="K13789" s="1"/>
      <c r="L13789" s="1"/>
      <c r="M13789" s="1"/>
      <c r="N13789" s="1"/>
      <c r="O13789" s="1"/>
      <c r="P13789" s="1"/>
      <c r="Q13789" s="1"/>
      <c r="R13789" s="1"/>
      <c r="S13789" s="1"/>
      <c r="T13789" s="1"/>
      <c r="U13789" s="1"/>
      <c r="V13789" s="1"/>
      <c r="W13789" s="1"/>
      <c r="X13789" s="1"/>
      <c r="Y13789" s="1"/>
      <c r="Z13789" s="1"/>
      <c r="AA13789" s="1"/>
      <c r="AB13789" s="1"/>
    </row>
    <row r="13790" ht="50.25" customHeight="1">
      <c r="A13790" s="12">
        <v>13786.0</v>
      </c>
      <c r="B13790" s="13" t="s">
        <v>13090</v>
      </c>
      <c r="C13790" s="14" t="s">
        <v>13116</v>
      </c>
      <c r="D13790" s="1"/>
      <c r="E13790" s="1"/>
      <c r="F13790" s="1" t="str">
        <f>IFERROR(__xludf.DUMMYFUNCTION("GOOGLETRANSLATE(B13790, ""en"", ""fa"")
"),"نسل سرب تلفن")</f>
        <v>نسل سرب تلفن</v>
      </c>
      <c r="G13790" s="1" t="str">
        <f>IFERROR(__xludf.DUMMYFUNCTION("GOOGLETRANSLATE(C13790, ""en"", ""fa"")
"),"تأثیرگذاران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f>
        <v>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v>
      </c>
      <c r="H13790" s="1"/>
      <c r="I13790" s="1"/>
      <c r="J13790" s="1"/>
      <c r="K13790" s="1"/>
      <c r="L13790" s="1"/>
      <c r="M13790" s="1"/>
      <c r="N13790" s="1"/>
      <c r="O13790" s="1"/>
      <c r="P13790" s="1"/>
      <c r="Q13790" s="1"/>
      <c r="R13790" s="1"/>
      <c r="S13790" s="1"/>
      <c r="T13790" s="1"/>
      <c r="U13790" s="1"/>
      <c r="V13790" s="1"/>
      <c r="W13790" s="1"/>
      <c r="X13790" s="1"/>
      <c r="Y13790" s="1"/>
      <c r="Z13790" s="1"/>
      <c r="AA13790" s="1"/>
      <c r="AB13790" s="1"/>
    </row>
    <row r="13791" ht="50.25" customHeight="1">
      <c r="A13791" s="12">
        <v>13787.0</v>
      </c>
      <c r="B13791" s="13" t="s">
        <v>13090</v>
      </c>
      <c r="C13791" s="14" t="s">
        <v>13117</v>
      </c>
      <c r="D13791" s="1"/>
      <c r="E13791" s="1"/>
      <c r="F13791" s="1" t="str">
        <f>IFERROR(__xludf.DUMMYFUNCTION("GOOGLETRANSLATE(B13791, ""en"", ""fa"")
"),"نسل سرب تلفن")</f>
        <v>نسل سرب تلفن</v>
      </c>
      <c r="G13791" s="1" t="str">
        <f>IFERROR(__xludf.DUMMYFUNCTION("GOOGLETRANSLATE(C13791, ""en"", ""fa"")
"),"یک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"&amp;"تبدیل را برای ایجاد تعامل مجدد بیان کنید.")</f>
        <v>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تبدیل را برای ایجاد تعامل مجدد بیان کنید.</v>
      </c>
      <c r="H13791" s="1"/>
      <c r="I13791" s="1"/>
      <c r="J13791" s="1"/>
      <c r="K13791" s="1"/>
      <c r="L13791" s="1"/>
      <c r="M13791" s="1"/>
      <c r="N13791" s="1"/>
      <c r="O13791" s="1"/>
      <c r="P13791" s="1"/>
      <c r="Q13791" s="1"/>
      <c r="R13791" s="1"/>
      <c r="S13791" s="1"/>
      <c r="T13791" s="1"/>
      <c r="U13791" s="1"/>
      <c r="V13791" s="1"/>
      <c r="W13791" s="1"/>
      <c r="X13791" s="1"/>
      <c r="Y13791" s="1"/>
      <c r="Z13791" s="1"/>
      <c r="AA13791" s="1"/>
      <c r="AB13791" s="1"/>
    </row>
    <row r="13792" ht="50.25" customHeight="1">
      <c r="A13792" s="12">
        <v>13788.0</v>
      </c>
      <c r="B13792" s="13" t="s">
        <v>13090</v>
      </c>
      <c r="C13792" s="14" t="s">
        <v>13118</v>
      </c>
      <c r="D13792" s="1"/>
      <c r="E13792" s="1"/>
      <c r="F13792" s="1" t="str">
        <f>IFERROR(__xludf.DUMMYFUNCTION("GOOGLETRANSLATE(B13792, ""en"", ""fa"")
"),"نسل سرب تلفن")</f>
        <v>نسل سرب تلفن</v>
      </c>
      <c r="G13792" s="1" t="str">
        <f>IFERROR(__xludf.DUMMYFUNCTION("GOOGLETRANSLATE(C13792, ""en"", ""fa"")
"),"هزینه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f>
        <v>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v>
      </c>
      <c r="H13792" s="1"/>
      <c r="I13792" s="1"/>
      <c r="J13792" s="1"/>
      <c r="K13792" s="1"/>
      <c r="L13792" s="1"/>
      <c r="M13792" s="1"/>
      <c r="N13792" s="1"/>
      <c r="O13792" s="1"/>
      <c r="P13792" s="1"/>
      <c r="Q13792" s="1"/>
      <c r="R13792" s="1"/>
      <c r="S13792" s="1"/>
      <c r="T13792" s="1"/>
      <c r="U13792" s="1"/>
      <c r="V13792" s="1"/>
      <c r="W13792" s="1"/>
      <c r="X13792" s="1"/>
      <c r="Y13792" s="1"/>
      <c r="Z13792" s="1"/>
      <c r="AA13792" s="1"/>
      <c r="AB13792" s="1"/>
    </row>
    <row r="13793" ht="50.25" customHeight="1">
      <c r="A13793" s="12">
        <v>13789.0</v>
      </c>
      <c r="B13793" s="13" t="s">
        <v>13090</v>
      </c>
      <c r="C13793" s="14" t="s">
        <v>13119</v>
      </c>
      <c r="D13793" s="1"/>
      <c r="E13793" s="1"/>
      <c r="F13793" s="1" t="str">
        <f>IFERROR(__xludf.DUMMYFUNCTION("GOOGLETRANSLATE(B13793, ""en"", ""fa"")
"),"نسل سرب تلفن")</f>
        <v>نسل سرب تلفن</v>
      </c>
      <c r="G13793" s="1" t="str">
        <f>IFERROR(__xludf.DUMMYFUNCTION("GOOGLETRANSLATE(C13793, ""en"", ""fa"")
"),"مزایای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f>
        <v>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v>
      </c>
      <c r="H13793" s="1"/>
      <c r="I13793" s="1"/>
      <c r="J13793" s="1"/>
      <c r="K13793" s="1"/>
      <c r="L13793" s="1"/>
      <c r="M13793" s="1"/>
      <c r="N13793" s="1"/>
      <c r="O13793" s="1"/>
      <c r="P13793" s="1"/>
      <c r="Q13793" s="1"/>
      <c r="R13793" s="1"/>
      <c r="S13793" s="1"/>
      <c r="T13793" s="1"/>
      <c r="U13793" s="1"/>
      <c r="V13793" s="1"/>
      <c r="W13793" s="1"/>
      <c r="X13793" s="1"/>
      <c r="Y13793" s="1"/>
      <c r="Z13793" s="1"/>
      <c r="AA13793" s="1"/>
      <c r="AB13793" s="1"/>
    </row>
    <row r="13794" ht="50.25" customHeight="1">
      <c r="A13794" s="12">
        <v>13790.0</v>
      </c>
      <c r="B13794" s="13" t="s">
        <v>13090</v>
      </c>
      <c r="C13794" s="14" t="s">
        <v>13120</v>
      </c>
      <c r="D13794" s="1"/>
      <c r="E13794" s="1"/>
      <c r="F13794" s="1" t="str">
        <f>IFERROR(__xludf.DUMMYFUNCTION("GOOGLETRANSLATE(B13794, ""en"", ""fa"")
"),"نسل سرب تلفن")</f>
        <v>نسل سرب تلفن</v>
      </c>
      <c r="G13794" s="1" t="str">
        <f>IFERROR(__xludf.DUMMYFUNCTION("GOOGLETRANSLATE(C13794, ""en"", ""fa"")
"),"طرحی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f>
        <v>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v>
      </c>
      <c r="H13794" s="1"/>
      <c r="I13794" s="1"/>
      <c r="J13794" s="1"/>
      <c r="K13794" s="1"/>
      <c r="L13794" s="1"/>
      <c r="M13794" s="1"/>
      <c r="N13794" s="1"/>
      <c r="O13794" s="1"/>
      <c r="P13794" s="1"/>
      <c r="Q13794" s="1"/>
      <c r="R13794" s="1"/>
      <c r="S13794" s="1"/>
      <c r="T13794" s="1"/>
      <c r="U13794" s="1"/>
      <c r="V13794" s="1"/>
      <c r="W13794" s="1"/>
      <c r="X13794" s="1"/>
      <c r="Y13794" s="1"/>
      <c r="Z13794" s="1"/>
      <c r="AA13794" s="1"/>
      <c r="AB13794" s="1"/>
    </row>
    <row r="13795" ht="50.25" customHeight="1">
      <c r="A13795" s="12">
        <v>13791.0</v>
      </c>
      <c r="B13795" s="13" t="s">
        <v>13090</v>
      </c>
      <c r="C13795" s="14" t="s">
        <v>13121</v>
      </c>
      <c r="D13795" s="1"/>
      <c r="E13795" s="1"/>
      <c r="F13795" s="1" t="str">
        <f>IFERROR(__xludf.DUMMYFUNCTION("GOOGLETRANSLATE(B13795, ""en"", ""fa"")
"),"نسل سرب تلفن")</f>
        <v>نسل سرب تلفن</v>
      </c>
      <c r="G13795" s="1" t="str">
        <f>IFERROR(__xludf.DUMMYFUNCTION("GOOGLETRANSLATE(C13795, ""en"", ""fa"")
"),"الگویی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f>
        <v>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v>
      </c>
      <c r="H13795" s="1"/>
      <c r="I13795" s="1"/>
      <c r="J13795" s="1"/>
      <c r="K13795" s="1"/>
      <c r="L13795" s="1"/>
      <c r="M13795" s="1"/>
      <c r="N13795" s="1"/>
      <c r="O13795" s="1"/>
      <c r="P13795" s="1"/>
      <c r="Q13795" s="1"/>
      <c r="R13795" s="1"/>
      <c r="S13795" s="1"/>
      <c r="T13795" s="1"/>
      <c r="U13795" s="1"/>
      <c r="V13795" s="1"/>
      <c r="W13795" s="1"/>
      <c r="X13795" s="1"/>
      <c r="Y13795" s="1"/>
      <c r="Z13795" s="1"/>
      <c r="AA13795" s="1"/>
      <c r="AB13795" s="1"/>
    </row>
    <row r="13796" ht="50.25" customHeight="1">
      <c r="A13796" s="12">
        <v>13792.0</v>
      </c>
      <c r="B13796" s="13" t="s">
        <v>13090</v>
      </c>
      <c r="C13796" s="14" t="s">
        <v>13122</v>
      </c>
      <c r="D13796" s="1"/>
      <c r="E13796" s="1"/>
      <c r="F13796" s="1" t="str">
        <f>IFERROR(__xludf.DUMMYFUNCTION("GOOGLETRANSLATE(B13796, ""en"", ""fa"")
"),"نسل سرب تلفن")</f>
        <v>نسل سرب تلفن</v>
      </c>
      <c r="G13796" s="1" t="str">
        <f>IFERROR(__xludf.DUMMYFUNCTION("GOOGLETRANSLATE(C13796, ""en"", ""fa"")
"),"یک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f>
        <v>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v>
      </c>
      <c r="H13796" s="1"/>
      <c r="I13796" s="1"/>
      <c r="J13796" s="1"/>
      <c r="K13796" s="1"/>
      <c r="L13796" s="1"/>
      <c r="M13796" s="1"/>
      <c r="N13796" s="1"/>
      <c r="O13796" s="1"/>
      <c r="P13796" s="1"/>
      <c r="Q13796" s="1"/>
      <c r="R13796" s="1"/>
      <c r="S13796" s="1"/>
      <c r="T13796" s="1"/>
      <c r="U13796" s="1"/>
      <c r="V13796" s="1"/>
      <c r="W13796" s="1"/>
      <c r="X13796" s="1"/>
      <c r="Y13796" s="1"/>
      <c r="Z13796" s="1"/>
      <c r="AA13796" s="1"/>
      <c r="AB13796" s="1"/>
    </row>
    <row r="13797" ht="50.25" customHeight="1">
      <c r="A13797" s="12">
        <v>13793.0</v>
      </c>
      <c r="B13797" s="13" t="s">
        <v>13090</v>
      </c>
      <c r="C13797" s="14" t="s">
        <v>13123</v>
      </c>
      <c r="D13797" s="1"/>
      <c r="E13797" s="1"/>
      <c r="F13797" s="1" t="str">
        <f>IFERROR(__xludf.DUMMYFUNCTION("GOOGLETRANSLATE(B13797, ""en"", ""fa"")
"),"نسل سرب تلفن")</f>
        <v>نسل سرب تلفن</v>
      </c>
      <c r="G13797" s="1" t="str">
        <f>IFERROR(__xludf.DUMMYFUNCTION("GOOGLETRANSLATE(C13797, ""en"", ""fa"")
"),"فرآیندی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ک"&amp;"نیم.")</f>
        <v>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کنیم.</v>
      </c>
      <c r="H13797" s="1"/>
      <c r="I13797" s="1"/>
      <c r="J13797" s="1"/>
      <c r="K13797" s="1"/>
      <c r="L13797" s="1"/>
      <c r="M13797" s="1"/>
      <c r="N13797" s="1"/>
      <c r="O13797" s="1"/>
      <c r="P13797" s="1"/>
      <c r="Q13797" s="1"/>
      <c r="R13797" s="1"/>
      <c r="S13797" s="1"/>
      <c r="T13797" s="1"/>
      <c r="U13797" s="1"/>
      <c r="V13797" s="1"/>
      <c r="W13797" s="1"/>
      <c r="X13797" s="1"/>
      <c r="Y13797" s="1"/>
      <c r="Z13797" s="1"/>
      <c r="AA13797" s="1"/>
      <c r="AB13797" s="1"/>
    </row>
    <row r="13798" ht="50.25" customHeight="1">
      <c r="A13798" s="12">
        <v>13794.0</v>
      </c>
      <c r="B13798" s="13" t="s">
        <v>13090</v>
      </c>
      <c r="C13798" s="14" t="s">
        <v>13124</v>
      </c>
      <c r="D13798" s="1"/>
      <c r="E13798" s="1"/>
      <c r="F13798" s="1" t="str">
        <f>IFERROR(__xludf.DUMMYFUNCTION("GOOGLETRANSLATE(B13798, ""en"", ""fa"")
"),"نسل سرب تلفن")</f>
        <v>نسل سرب تلفن</v>
      </c>
      <c r="G13798" s="1" t="str">
        <f>IFERROR(__xludf.DUMMYFUNCTION("GOOGLETRANSLATE(C13798, ""en"", ""fa"")
"),"یک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f>
        <v>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v>
      </c>
      <c r="H13798" s="1"/>
      <c r="I13798" s="1"/>
      <c r="J13798" s="1"/>
      <c r="K13798" s="1"/>
      <c r="L13798" s="1"/>
      <c r="M13798" s="1"/>
      <c r="N13798" s="1"/>
      <c r="O13798" s="1"/>
      <c r="P13798" s="1"/>
      <c r="Q13798" s="1"/>
      <c r="R13798" s="1"/>
      <c r="S13798" s="1"/>
      <c r="T13798" s="1"/>
      <c r="U13798" s="1"/>
      <c r="V13798" s="1"/>
      <c r="W13798" s="1"/>
      <c r="X13798" s="1"/>
      <c r="Y13798" s="1"/>
      <c r="Z13798" s="1"/>
      <c r="AA13798" s="1"/>
      <c r="AB13798" s="1"/>
    </row>
    <row r="13799" ht="50.25" customHeight="1">
      <c r="A13799" s="12">
        <v>13795.0</v>
      </c>
      <c r="B13799" s="13" t="s">
        <v>13090</v>
      </c>
      <c r="C13799" s="14" t="s">
        <v>13125</v>
      </c>
      <c r="D13799" s="1"/>
      <c r="E13799" s="1"/>
      <c r="F13799" s="1" t="str">
        <f>IFERROR(__xludf.DUMMYFUNCTION("GOOGLETRANSLATE(B13799, ""en"", ""fa"")
"),"نسل سرب تلفن")</f>
        <v>نسل سرب تلفن</v>
      </c>
      <c r="G13799" s="1" t="str">
        <f>IFERROR(__xludf.DUMMYFUNCTION("GOOGLETRANSLATE(C13799, ""en"", ""fa"")
"),"طرحی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بی"&amp;"ن مشتریان بالقوه علاقه ایجاد کنیم.")</f>
        <v>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بین مشتریان بالقوه علاقه ایجاد کنیم.</v>
      </c>
      <c r="H13799" s="1"/>
      <c r="I13799" s="1"/>
      <c r="J13799" s="1"/>
      <c r="K13799" s="1"/>
      <c r="L13799" s="1"/>
      <c r="M13799" s="1"/>
      <c r="N13799" s="1"/>
      <c r="O13799" s="1"/>
      <c r="P13799" s="1"/>
      <c r="Q13799" s="1"/>
      <c r="R13799" s="1"/>
      <c r="S13799" s="1"/>
      <c r="T13799" s="1"/>
      <c r="U13799" s="1"/>
      <c r="V13799" s="1"/>
      <c r="W13799" s="1"/>
      <c r="X13799" s="1"/>
      <c r="Y13799" s="1"/>
      <c r="Z13799" s="1"/>
      <c r="AA13799" s="1"/>
      <c r="AB13799" s="1"/>
    </row>
    <row r="13800" ht="50.25" customHeight="1">
      <c r="A13800" s="12">
        <v>13796.0</v>
      </c>
      <c r="B13800" s="13" t="s">
        <v>13090</v>
      </c>
      <c r="C13800" s="14" t="s">
        <v>13106</v>
      </c>
      <c r="D13800" s="1"/>
      <c r="E13800" s="1"/>
      <c r="F13800" s="1" t="str">
        <f>IFERROR(__xludf.DUMMYFUNCTION("GOOGLETRANSLATE(B13800, ""en"", ""fa"")
"),"نسل سرب تلفن")</f>
        <v>نسل سرب تلفن</v>
      </c>
      <c r="G13800" s="1" t="str">
        <f>IFERROR(__xludf.DUMMYFUNCTION("GOOGLETRANSLATE(C13800, ""en"", ""fa"")
"),"رویدادهای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f>
        <v>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v>
      </c>
      <c r="H13800" s="1"/>
      <c r="I13800" s="1"/>
      <c r="J13800" s="1"/>
      <c r="K13800" s="1"/>
      <c r="L13800" s="1"/>
      <c r="M13800" s="1"/>
      <c r="N13800" s="1"/>
      <c r="O13800" s="1"/>
      <c r="P13800" s="1"/>
      <c r="Q13800" s="1"/>
      <c r="R13800" s="1"/>
      <c r="S13800" s="1"/>
      <c r="T13800" s="1"/>
      <c r="U13800" s="1"/>
      <c r="V13800" s="1"/>
      <c r="W13800" s="1"/>
      <c r="X13800" s="1"/>
      <c r="Y13800" s="1"/>
      <c r="Z13800" s="1"/>
      <c r="AA13800" s="1"/>
      <c r="AB13800" s="1"/>
    </row>
    <row r="13801" ht="50.25" customHeight="1">
      <c r="A13801" s="12">
        <v>13797.0</v>
      </c>
      <c r="B13801" s="13" t="s">
        <v>13090</v>
      </c>
      <c r="C13801" s="14" t="s">
        <v>13107</v>
      </c>
      <c r="D13801" s="1"/>
      <c r="E13801" s="1"/>
      <c r="F13801" s="1" t="str">
        <f>IFERROR(__xludf.DUMMYFUNCTION("GOOGLETRANSLATE(B13801, ""en"", ""fa"")
"),"نسل سرب تلفن")</f>
        <v>نسل سرب تلفن</v>
      </c>
      <c r="G13801" s="1" t="str">
        <f>IFERROR(__xludf.DUMMYFUNCTION("GOOGLETRANSLATE(C13801, ""en"", ""fa"")
"),"چالش‌ها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f>
        <v>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v>
      </c>
      <c r="H13801" s="1"/>
      <c r="I13801" s="1"/>
      <c r="J13801" s="1"/>
      <c r="K13801" s="1"/>
      <c r="L13801" s="1"/>
      <c r="M13801" s="1"/>
      <c r="N13801" s="1"/>
      <c r="O13801" s="1"/>
      <c r="P13801" s="1"/>
      <c r="Q13801" s="1"/>
      <c r="R13801" s="1"/>
      <c r="S13801" s="1"/>
      <c r="T13801" s="1"/>
      <c r="U13801" s="1"/>
      <c r="V13801" s="1"/>
      <c r="W13801" s="1"/>
      <c r="X13801" s="1"/>
      <c r="Y13801" s="1"/>
      <c r="Z13801" s="1"/>
      <c r="AA13801" s="1"/>
      <c r="AB13801" s="1"/>
    </row>
    <row r="13802" ht="50.25" customHeight="1">
      <c r="A13802" s="12">
        <v>13798.0</v>
      </c>
      <c r="B13802" s="13" t="s">
        <v>13090</v>
      </c>
      <c r="C13802" s="14" t="s">
        <v>13108</v>
      </c>
      <c r="D13802" s="1"/>
      <c r="E13802" s="1"/>
      <c r="F13802" s="1" t="str">
        <f>IFERROR(__xludf.DUMMYFUNCTION("GOOGLETRANSLATE(B13802, ""en"", ""fa"")
"),"نسل سرب تلفن")</f>
        <v>نسل سرب تلفن</v>
      </c>
      <c r="G13802" s="1" t="str">
        <f>IFERROR(__xludf.DUMMYFUNCTION("GOOGLETRANSLATE(C13802, ""en"", ""fa"")
"),"یک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این"&amp;" طریق بین مشتریان بالقوه علاقه ایجاد کنیم.")</f>
        <v>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بین مشتریان بالقوه علاقه ایجاد کنیم.</v>
      </c>
      <c r="H13802" s="1"/>
      <c r="I13802" s="1"/>
      <c r="J13802" s="1"/>
      <c r="K13802" s="1"/>
      <c r="L13802" s="1"/>
      <c r="M13802" s="1"/>
      <c r="N13802" s="1"/>
      <c r="O13802" s="1"/>
      <c r="P13802" s="1"/>
      <c r="Q13802" s="1"/>
      <c r="R13802" s="1"/>
      <c r="S13802" s="1"/>
      <c r="T13802" s="1"/>
      <c r="U13802" s="1"/>
      <c r="V13802" s="1"/>
      <c r="W13802" s="1"/>
      <c r="X13802" s="1"/>
      <c r="Y13802" s="1"/>
      <c r="Z13802" s="1"/>
      <c r="AA13802" s="1"/>
      <c r="AB13802" s="1"/>
    </row>
    <row r="13803" ht="50.25" customHeight="1">
      <c r="A13803" s="12">
        <v>13799.0</v>
      </c>
      <c r="B13803" s="13" t="s">
        <v>13090</v>
      </c>
      <c r="C13803" s="14" t="s">
        <v>13109</v>
      </c>
      <c r="D13803" s="1"/>
      <c r="E13803" s="1"/>
      <c r="F13803" s="1" t="str">
        <f>IFERROR(__xludf.DUMMYFUNCTION("GOOGLETRANSLATE(B13803, ""en"", ""fa"")
"),"نسل سرب تلفن")</f>
        <v>نسل سرب تلفن</v>
      </c>
      <c r="G13803" s="1" t="str">
        <f>IFERROR(__xludf.DUMMYFUNCTION("GOOGLETRANSLATE(C13803, ""en"", ""fa"")
"),"فرآیندی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f>
        <v>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v>
      </c>
      <c r="H13803" s="1"/>
      <c r="I13803" s="1"/>
      <c r="J13803" s="1"/>
      <c r="K13803" s="1"/>
      <c r="L13803" s="1"/>
      <c r="M13803" s="1"/>
      <c r="N13803" s="1"/>
      <c r="O13803" s="1"/>
      <c r="P13803" s="1"/>
      <c r="Q13803" s="1"/>
      <c r="R13803" s="1"/>
      <c r="S13803" s="1"/>
      <c r="T13803" s="1"/>
      <c r="U13803" s="1"/>
      <c r="V13803" s="1"/>
      <c r="W13803" s="1"/>
      <c r="X13803" s="1"/>
      <c r="Y13803" s="1"/>
      <c r="Z13803" s="1"/>
      <c r="AA13803" s="1"/>
      <c r="AB13803" s="1"/>
    </row>
    <row r="13804" ht="50.25" customHeight="1">
      <c r="A13804" s="12">
        <v>13800.0</v>
      </c>
      <c r="B13804" s="13" t="s">
        <v>13090</v>
      </c>
      <c r="C13804" s="14" t="s">
        <v>13110</v>
      </c>
      <c r="D13804" s="1"/>
      <c r="E13804" s="1"/>
      <c r="F13804" s="1" t="str">
        <f>IFERROR(__xludf.DUMMYFUNCTION("GOOGLETRANSLATE(B13804, ""en"", ""fa"")
"),"نسل سرب تلفن")</f>
        <v>نسل سرب تلفن</v>
      </c>
      <c r="G13804" s="1" t="str">
        <f>IFERROR(__xludf.DUMMYFUNCTION("GOOGLETRANSLATE(C13804, ""en"", ""fa"")
"),"طرحی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f>
        <v>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v>
      </c>
      <c r="H13804" s="1"/>
      <c r="I13804" s="1"/>
      <c r="J13804" s="1"/>
      <c r="K13804" s="1"/>
      <c r="L13804" s="1"/>
      <c r="M13804" s="1"/>
      <c r="N13804" s="1"/>
      <c r="O13804" s="1"/>
      <c r="P13804" s="1"/>
      <c r="Q13804" s="1"/>
      <c r="R13804" s="1"/>
      <c r="S13804" s="1"/>
      <c r="T13804" s="1"/>
      <c r="U13804" s="1"/>
      <c r="V13804" s="1"/>
      <c r="W13804" s="1"/>
      <c r="X13804" s="1"/>
      <c r="Y13804" s="1"/>
      <c r="Z13804" s="1"/>
      <c r="AA13804" s="1"/>
      <c r="AB13804" s="1"/>
    </row>
    <row r="13805" ht="50.25" customHeight="1">
      <c r="A13805" s="12">
        <v>13801.0</v>
      </c>
      <c r="B13805" s="13" t="s">
        <v>13090</v>
      </c>
      <c r="C13805" s="14" t="s">
        <v>13111</v>
      </c>
      <c r="D13805" s="1"/>
      <c r="E13805" s="1"/>
      <c r="F13805" s="1" t="str">
        <f>IFERROR(__xludf.DUMMYFUNCTION("GOOGLETRANSLATE(B13805, ""en"", ""fa"")
"),"نسل سرب تلفن")</f>
        <v>نسل سرب تلفن</v>
      </c>
      <c r="G13805" s="1" t="str">
        <f>IFERROR(__xludf.DUMMYFUNCTION("GOOGLETRANSLATE(C13805, ""en"", ""fa"")
"),"فهرستی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بالق"&amp;"وه را به صورت ارگانیک جذب کنید.")</f>
        <v>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بالقوه را به صورت ارگانیک جذب کنید.</v>
      </c>
      <c r="H13805" s="1"/>
      <c r="I13805" s="1"/>
      <c r="J13805" s="1"/>
      <c r="K13805" s="1"/>
      <c r="L13805" s="1"/>
      <c r="M13805" s="1"/>
      <c r="N13805" s="1"/>
      <c r="O13805" s="1"/>
      <c r="P13805" s="1"/>
      <c r="Q13805" s="1"/>
      <c r="R13805" s="1"/>
      <c r="S13805" s="1"/>
      <c r="T13805" s="1"/>
      <c r="U13805" s="1"/>
      <c r="V13805" s="1"/>
      <c r="W13805" s="1"/>
      <c r="X13805" s="1"/>
      <c r="Y13805" s="1"/>
      <c r="Z13805" s="1"/>
      <c r="AA13805" s="1"/>
      <c r="AB13805" s="1"/>
    </row>
    <row r="13806" ht="50.25" customHeight="1">
      <c r="A13806" s="12">
        <v>13802.0</v>
      </c>
      <c r="B13806" s="13" t="s">
        <v>13090</v>
      </c>
      <c r="C13806" s="14" t="s">
        <v>13112</v>
      </c>
      <c r="D13806" s="1"/>
      <c r="E13806" s="1"/>
      <c r="F13806" s="1" t="str">
        <f>IFERROR(__xludf.DUMMYFUNCTION("GOOGLETRANSLATE(B13806, ""en"", ""fa"")
"),"نسل سرب تلفن")</f>
        <v>نسل سرب تلفن</v>
      </c>
      <c r="G13806" s="1" t="str">
        <f>IFERROR(__xludf.DUMMYFUNCTION("GOOGLETRANSLATE(C13806, ""en"", ""fa"")
"),"پیش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f>
        <v>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v>
      </c>
      <c r="H13806" s="1"/>
      <c r="I13806" s="1"/>
      <c r="J13806" s="1"/>
      <c r="K13806" s="1"/>
      <c r="L13806" s="1"/>
      <c r="M13806" s="1"/>
      <c r="N13806" s="1"/>
      <c r="O13806" s="1"/>
      <c r="P13806" s="1"/>
      <c r="Q13806" s="1"/>
      <c r="R13806" s="1"/>
      <c r="S13806" s="1"/>
      <c r="T13806" s="1"/>
      <c r="U13806" s="1"/>
      <c r="V13806" s="1"/>
      <c r="W13806" s="1"/>
      <c r="X13806" s="1"/>
      <c r="Y13806" s="1"/>
      <c r="Z13806" s="1"/>
      <c r="AA13806" s="1"/>
      <c r="AB13806" s="1"/>
    </row>
    <row r="13807" ht="50.25" customHeight="1">
      <c r="A13807" s="12">
        <v>13803.0</v>
      </c>
      <c r="B13807" s="13" t="s">
        <v>13090</v>
      </c>
      <c r="C13807" s="14" t="s">
        <v>13113</v>
      </c>
      <c r="D13807" s="1"/>
      <c r="E13807" s="1"/>
      <c r="F13807" s="1" t="str">
        <f>IFERROR(__xludf.DUMMYFUNCTION("GOOGLETRANSLATE(B13807, ""en"", ""fa"")
"),"نسل سرب تلفن")</f>
        <v>نسل سرب تلفن</v>
      </c>
      <c r="G13807" s="1" t="str">
        <f>IFERROR(__xludf.DUMMYFUNCTION("GOOGLETRANSLATE(C13807, ""en"", ""fa"")
"),"فرآیندی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شو"&amp;"د.")</f>
        <v>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شود.</v>
      </c>
      <c r="H13807" s="1"/>
      <c r="I13807" s="1"/>
      <c r="J13807" s="1"/>
      <c r="K13807" s="1"/>
      <c r="L13807" s="1"/>
      <c r="M13807" s="1"/>
      <c r="N13807" s="1"/>
      <c r="O13807" s="1"/>
      <c r="P13807" s="1"/>
      <c r="Q13807" s="1"/>
      <c r="R13807" s="1"/>
      <c r="S13807" s="1"/>
      <c r="T13807" s="1"/>
      <c r="U13807" s="1"/>
      <c r="V13807" s="1"/>
      <c r="W13807" s="1"/>
      <c r="X13807" s="1"/>
      <c r="Y13807" s="1"/>
      <c r="Z13807" s="1"/>
      <c r="AA13807" s="1"/>
      <c r="AB13807" s="1"/>
    </row>
    <row r="13808" ht="50.25" customHeight="1">
      <c r="A13808" s="12">
        <v>13804.0</v>
      </c>
      <c r="B13808" s="13" t="s">
        <v>13090</v>
      </c>
      <c r="C13808" s="14" t="s">
        <v>13114</v>
      </c>
      <c r="D13808" s="1"/>
      <c r="E13808" s="1"/>
      <c r="F13808" s="1" t="str">
        <f>IFERROR(__xludf.DUMMYFUNCTION("GOOGLETRANSLATE(B13808, ""en"", ""fa"")
"),"نسل سرب تلفن")</f>
        <v>نسل سرب تلفن</v>
      </c>
      <c r="G13808" s="1" t="str">
        <f>IFERROR(__xludf.DUMMYFUNCTION("GOOGLETRANSLATE(C13808, ""en"", ""fa"")
"),"برای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f>
        <v>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v>
      </c>
      <c r="H13808" s="1"/>
      <c r="I13808" s="1"/>
      <c r="J13808" s="1"/>
      <c r="K13808" s="1"/>
      <c r="L13808" s="1"/>
      <c r="M13808" s="1"/>
      <c r="N13808" s="1"/>
      <c r="O13808" s="1"/>
      <c r="P13808" s="1"/>
      <c r="Q13808" s="1"/>
      <c r="R13808" s="1"/>
      <c r="S13808" s="1"/>
      <c r="T13808" s="1"/>
      <c r="U13808" s="1"/>
      <c r="V13808" s="1"/>
      <c r="W13808" s="1"/>
      <c r="X13808" s="1"/>
      <c r="Y13808" s="1"/>
      <c r="Z13808" s="1"/>
      <c r="AA13808" s="1"/>
      <c r="AB13808" s="1"/>
    </row>
    <row r="13809" ht="50.25" customHeight="1">
      <c r="A13809" s="12">
        <v>13805.0</v>
      </c>
      <c r="B13809" s="13" t="s">
        <v>13090</v>
      </c>
      <c r="C13809" s="14" t="s">
        <v>13115</v>
      </c>
      <c r="D13809" s="1"/>
      <c r="E13809" s="1"/>
      <c r="F13809" s="1" t="str">
        <f>IFERROR(__xludf.DUMMYFUNCTION("GOOGLETRANSLATE(B13809, ""en"", ""fa"")
"),"نسل سرب تلفن")</f>
        <v>نسل سرب تلفن</v>
      </c>
      <c r="G13809" s="1" t="str">
        <f>IFERROR(__xludf.DUMMYFUNCTION("GOOGLETRANSLATE(C13809, ""en"", ""fa"")
"),"طرحی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f>
        <v>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v>
      </c>
      <c r="H13809" s="1"/>
      <c r="I13809" s="1"/>
      <c r="J13809" s="1"/>
      <c r="K13809" s="1"/>
      <c r="L13809" s="1"/>
      <c r="M13809" s="1"/>
      <c r="N13809" s="1"/>
      <c r="O13809" s="1"/>
      <c r="P13809" s="1"/>
      <c r="Q13809" s="1"/>
      <c r="R13809" s="1"/>
      <c r="S13809" s="1"/>
      <c r="T13809" s="1"/>
      <c r="U13809" s="1"/>
      <c r="V13809" s="1"/>
      <c r="W13809" s="1"/>
      <c r="X13809" s="1"/>
      <c r="Y13809" s="1"/>
      <c r="Z13809" s="1"/>
      <c r="AA13809" s="1"/>
      <c r="AB13809" s="1"/>
    </row>
    <row r="13810" ht="50.25" customHeight="1">
      <c r="A13810" s="12">
        <v>13806.0</v>
      </c>
      <c r="B13810" s="13" t="s">
        <v>13090</v>
      </c>
      <c r="C13810" s="14" t="s">
        <v>13116</v>
      </c>
      <c r="D13810" s="1"/>
      <c r="E13810" s="1"/>
      <c r="F13810" s="1" t="str">
        <f>IFERROR(__xludf.DUMMYFUNCTION("GOOGLETRANSLATE(B13810, ""en"", ""fa"")
"),"نسل سرب تلفن")</f>
        <v>نسل سرب تلفن</v>
      </c>
      <c r="G13810" s="1" t="str">
        <f>IFERROR(__xludf.DUMMYFUNCTION("GOOGLETRANSLATE(C13810, ""en"", ""fa"")
"),"تأثیرگذاران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f>
        <v>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v>
      </c>
      <c r="H13810" s="1"/>
      <c r="I13810" s="1"/>
      <c r="J13810" s="1"/>
      <c r="K13810" s="1"/>
      <c r="L13810" s="1"/>
      <c r="M13810" s="1"/>
      <c r="N13810" s="1"/>
      <c r="O13810" s="1"/>
      <c r="P13810" s="1"/>
      <c r="Q13810" s="1"/>
      <c r="R13810" s="1"/>
      <c r="S13810" s="1"/>
      <c r="T13810" s="1"/>
      <c r="U13810" s="1"/>
      <c r="V13810" s="1"/>
      <c r="W13810" s="1"/>
      <c r="X13810" s="1"/>
      <c r="Y13810" s="1"/>
      <c r="Z13810" s="1"/>
      <c r="AA13810" s="1"/>
      <c r="AB13810" s="1"/>
    </row>
    <row r="13811" ht="50.25" customHeight="1">
      <c r="A13811" s="12">
        <v>13807.0</v>
      </c>
      <c r="B13811" s="13" t="s">
        <v>13090</v>
      </c>
      <c r="C13811" s="14" t="s">
        <v>13117</v>
      </c>
      <c r="D13811" s="1"/>
      <c r="E13811" s="1"/>
      <c r="F13811" s="1" t="str">
        <f>IFERROR(__xludf.DUMMYFUNCTION("GOOGLETRANSLATE(B13811, ""en"", ""fa"")
"),"نسل سرب تلفن")</f>
        <v>نسل سرب تلفن</v>
      </c>
      <c r="G13811" s="1" t="str">
        <f>IFERROR(__xludf.DUMMYFUNCTION("GOOGLETRANSLATE(C13811, ""en"", ""fa"")
"),"یک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"&amp;"تبدیل را برای ایجاد تعامل مجدد بیان کنید.")</f>
        <v>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تبدیل را برای ایجاد تعامل مجدد بیان کنید.</v>
      </c>
      <c r="H13811" s="1"/>
      <c r="I13811" s="1"/>
      <c r="J13811" s="1"/>
      <c r="K13811" s="1"/>
      <c r="L13811" s="1"/>
      <c r="M13811" s="1"/>
      <c r="N13811" s="1"/>
      <c r="O13811" s="1"/>
      <c r="P13811" s="1"/>
      <c r="Q13811" s="1"/>
      <c r="R13811" s="1"/>
      <c r="S13811" s="1"/>
      <c r="T13811" s="1"/>
      <c r="U13811" s="1"/>
      <c r="V13811" s="1"/>
      <c r="W13811" s="1"/>
      <c r="X13811" s="1"/>
      <c r="Y13811" s="1"/>
      <c r="Z13811" s="1"/>
      <c r="AA13811" s="1"/>
      <c r="AB13811" s="1"/>
    </row>
    <row r="13812" ht="50.25" customHeight="1">
      <c r="A13812" s="12">
        <v>13808.0</v>
      </c>
      <c r="B13812" s="13" t="s">
        <v>13090</v>
      </c>
      <c r="C13812" s="14" t="s">
        <v>13118</v>
      </c>
      <c r="D13812" s="1"/>
      <c r="E13812" s="1"/>
      <c r="F13812" s="1" t="str">
        <f>IFERROR(__xludf.DUMMYFUNCTION("GOOGLETRANSLATE(B13812, ""en"", ""fa"")
"),"نسل سرب تلفن")</f>
        <v>نسل سرب تلفن</v>
      </c>
      <c r="G13812" s="1" t="str">
        <f>IFERROR(__xludf.DUMMYFUNCTION("GOOGLETRANSLATE(C13812, ""en"", ""fa"")
"),"هزینه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f>
        <v>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v>
      </c>
      <c r="H13812" s="1"/>
      <c r="I13812" s="1"/>
      <c r="J13812" s="1"/>
      <c r="K13812" s="1"/>
      <c r="L13812" s="1"/>
      <c r="M13812" s="1"/>
      <c r="N13812" s="1"/>
      <c r="O13812" s="1"/>
      <c r="P13812" s="1"/>
      <c r="Q13812" s="1"/>
      <c r="R13812" s="1"/>
      <c r="S13812" s="1"/>
      <c r="T13812" s="1"/>
      <c r="U13812" s="1"/>
      <c r="V13812" s="1"/>
      <c r="W13812" s="1"/>
      <c r="X13812" s="1"/>
      <c r="Y13812" s="1"/>
      <c r="Z13812" s="1"/>
      <c r="AA13812" s="1"/>
      <c r="AB13812" s="1"/>
    </row>
    <row r="13813" ht="50.25" customHeight="1">
      <c r="A13813" s="12">
        <v>13809.0</v>
      </c>
      <c r="B13813" s="13" t="s">
        <v>13090</v>
      </c>
      <c r="C13813" s="14" t="s">
        <v>13119</v>
      </c>
      <c r="D13813" s="1"/>
      <c r="E13813" s="1"/>
      <c r="F13813" s="1" t="str">
        <f>IFERROR(__xludf.DUMMYFUNCTION("GOOGLETRANSLATE(B13813, ""en"", ""fa"")
"),"نسل سرب تلفن")</f>
        <v>نسل سرب تلفن</v>
      </c>
      <c r="G13813" s="1" t="str">
        <f>IFERROR(__xludf.DUMMYFUNCTION("GOOGLETRANSLATE(C13813, ""en"", ""fa"")
"),"مزایای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f>
        <v>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v>
      </c>
      <c r="H13813" s="1"/>
      <c r="I13813" s="1"/>
      <c r="J13813" s="1"/>
      <c r="K13813" s="1"/>
      <c r="L13813" s="1"/>
      <c r="M13813" s="1"/>
      <c r="N13813" s="1"/>
      <c r="O13813" s="1"/>
      <c r="P13813" s="1"/>
      <c r="Q13813" s="1"/>
      <c r="R13813" s="1"/>
      <c r="S13813" s="1"/>
      <c r="T13813" s="1"/>
      <c r="U13813" s="1"/>
      <c r="V13813" s="1"/>
      <c r="W13813" s="1"/>
      <c r="X13813" s="1"/>
      <c r="Y13813" s="1"/>
      <c r="Z13813" s="1"/>
      <c r="AA13813" s="1"/>
      <c r="AB13813" s="1"/>
    </row>
    <row r="13814" ht="50.25" customHeight="1">
      <c r="A13814" s="12">
        <v>13810.0</v>
      </c>
      <c r="B13814" s="13" t="s">
        <v>13090</v>
      </c>
      <c r="C13814" s="14" t="s">
        <v>13120</v>
      </c>
      <c r="D13814" s="1"/>
      <c r="E13814" s="1"/>
      <c r="F13814" s="1" t="str">
        <f>IFERROR(__xludf.DUMMYFUNCTION("GOOGLETRANSLATE(B13814, ""en"", ""fa"")
"),"نسل سرب تلفن")</f>
        <v>نسل سرب تلفن</v>
      </c>
      <c r="G13814" s="1" t="str">
        <f>IFERROR(__xludf.DUMMYFUNCTION("GOOGLETRANSLATE(C13814, ""en"", ""fa"")
"),"طرحی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f>
        <v>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v>
      </c>
      <c r="H13814" s="1"/>
      <c r="I13814" s="1"/>
      <c r="J13814" s="1"/>
      <c r="K13814" s="1"/>
      <c r="L13814" s="1"/>
      <c r="M13814" s="1"/>
      <c r="N13814" s="1"/>
      <c r="O13814" s="1"/>
      <c r="P13814" s="1"/>
      <c r="Q13814" s="1"/>
      <c r="R13814" s="1"/>
      <c r="S13814" s="1"/>
      <c r="T13814" s="1"/>
      <c r="U13814" s="1"/>
      <c r="V13814" s="1"/>
      <c r="W13814" s="1"/>
      <c r="X13814" s="1"/>
      <c r="Y13814" s="1"/>
      <c r="Z13814" s="1"/>
      <c r="AA13814" s="1"/>
      <c r="AB13814" s="1"/>
    </row>
    <row r="13815" ht="50.25" customHeight="1">
      <c r="A13815" s="12">
        <v>13811.0</v>
      </c>
      <c r="B13815" s="13" t="s">
        <v>13090</v>
      </c>
      <c r="C13815" s="14" t="s">
        <v>13121</v>
      </c>
      <c r="D13815" s="1"/>
      <c r="E13815" s="1"/>
      <c r="F13815" s="1" t="str">
        <f>IFERROR(__xludf.DUMMYFUNCTION("GOOGLETRANSLATE(B13815, ""en"", ""fa"")
"),"نسل سرب تلفن")</f>
        <v>نسل سرب تلفن</v>
      </c>
      <c r="G13815" s="1" t="str">
        <f>IFERROR(__xludf.DUMMYFUNCTION("GOOGLETRANSLATE(C13815, ""en"", ""fa"")
"),"الگویی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f>
        <v>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v>
      </c>
      <c r="H13815" s="1"/>
      <c r="I13815" s="1"/>
      <c r="J13815" s="1"/>
      <c r="K13815" s="1"/>
      <c r="L13815" s="1"/>
      <c r="M13815" s="1"/>
      <c r="N13815" s="1"/>
      <c r="O13815" s="1"/>
      <c r="P13815" s="1"/>
      <c r="Q13815" s="1"/>
      <c r="R13815" s="1"/>
      <c r="S13815" s="1"/>
      <c r="T13815" s="1"/>
      <c r="U13815" s="1"/>
      <c r="V13815" s="1"/>
      <c r="W13815" s="1"/>
      <c r="X13815" s="1"/>
      <c r="Y13815" s="1"/>
      <c r="Z13815" s="1"/>
      <c r="AA13815" s="1"/>
      <c r="AB13815" s="1"/>
    </row>
    <row r="13816" ht="50.25" customHeight="1">
      <c r="A13816" s="12">
        <v>13812.0</v>
      </c>
      <c r="B13816" s="13" t="s">
        <v>13090</v>
      </c>
      <c r="C13816" s="14" t="s">
        <v>13122</v>
      </c>
      <c r="D13816" s="1"/>
      <c r="E13816" s="1"/>
      <c r="F13816" s="1" t="str">
        <f>IFERROR(__xludf.DUMMYFUNCTION("GOOGLETRANSLATE(B13816, ""en"", ""fa"")
"),"نسل سرب تلفن")</f>
        <v>نسل سرب تلفن</v>
      </c>
      <c r="G13816" s="1" t="str">
        <f>IFERROR(__xludf.DUMMYFUNCTION("GOOGLETRANSLATE(C13816, ""en"", ""fa"")
"),"یک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f>
        <v>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v>
      </c>
      <c r="H13816" s="1"/>
      <c r="I13816" s="1"/>
      <c r="J13816" s="1"/>
      <c r="K13816" s="1"/>
      <c r="L13816" s="1"/>
      <c r="M13816" s="1"/>
      <c r="N13816" s="1"/>
      <c r="O13816" s="1"/>
      <c r="P13816" s="1"/>
      <c r="Q13816" s="1"/>
      <c r="R13816" s="1"/>
      <c r="S13816" s="1"/>
      <c r="T13816" s="1"/>
      <c r="U13816" s="1"/>
      <c r="V13816" s="1"/>
      <c r="W13816" s="1"/>
      <c r="X13816" s="1"/>
      <c r="Y13816" s="1"/>
      <c r="Z13816" s="1"/>
      <c r="AA13816" s="1"/>
      <c r="AB13816" s="1"/>
    </row>
    <row r="13817" ht="50.25" customHeight="1">
      <c r="A13817" s="12">
        <v>13813.0</v>
      </c>
      <c r="B13817" s="13" t="s">
        <v>13090</v>
      </c>
      <c r="C13817" s="14" t="s">
        <v>13123</v>
      </c>
      <c r="D13817" s="1"/>
      <c r="E13817" s="1"/>
      <c r="F13817" s="1" t="str">
        <f>IFERROR(__xludf.DUMMYFUNCTION("GOOGLETRANSLATE(B13817, ""en"", ""fa"")
"),"نسل سرب تلفن")</f>
        <v>نسل سرب تلفن</v>
      </c>
      <c r="G13817" s="1" t="str">
        <f>IFERROR(__xludf.DUMMYFUNCTION("GOOGLETRANSLATE(C13817, ""en"", ""fa"")
"),"فرآیندی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ک"&amp;"نیم.")</f>
        <v>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کنیم.</v>
      </c>
      <c r="H13817" s="1"/>
      <c r="I13817" s="1"/>
      <c r="J13817" s="1"/>
      <c r="K13817" s="1"/>
      <c r="L13817" s="1"/>
      <c r="M13817" s="1"/>
      <c r="N13817" s="1"/>
      <c r="O13817" s="1"/>
      <c r="P13817" s="1"/>
      <c r="Q13817" s="1"/>
      <c r="R13817" s="1"/>
      <c r="S13817" s="1"/>
      <c r="T13817" s="1"/>
      <c r="U13817" s="1"/>
      <c r="V13817" s="1"/>
      <c r="W13817" s="1"/>
      <c r="X13817" s="1"/>
      <c r="Y13817" s="1"/>
      <c r="Z13817" s="1"/>
      <c r="AA13817" s="1"/>
      <c r="AB13817" s="1"/>
    </row>
    <row r="13818" ht="50.25" customHeight="1">
      <c r="A13818" s="12">
        <v>13814.0</v>
      </c>
      <c r="B13818" s="13" t="s">
        <v>13090</v>
      </c>
      <c r="C13818" s="14" t="s">
        <v>13124</v>
      </c>
      <c r="D13818" s="1"/>
      <c r="E13818" s="1"/>
      <c r="F13818" s="1" t="str">
        <f>IFERROR(__xludf.DUMMYFUNCTION("GOOGLETRANSLATE(B13818, ""en"", ""fa"")
"),"نسل سرب تلفن")</f>
        <v>نسل سرب تلفن</v>
      </c>
      <c r="G13818" s="1" t="str">
        <f>IFERROR(__xludf.DUMMYFUNCTION("GOOGLETRANSLATE(C13818, ""en"", ""fa"")
"),"یک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f>
        <v>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v>
      </c>
      <c r="H13818" s="1"/>
      <c r="I13818" s="1"/>
      <c r="J13818" s="1"/>
      <c r="K13818" s="1"/>
      <c r="L13818" s="1"/>
      <c r="M13818" s="1"/>
      <c r="N13818" s="1"/>
      <c r="O13818" s="1"/>
      <c r="P13818" s="1"/>
      <c r="Q13818" s="1"/>
      <c r="R13818" s="1"/>
      <c r="S13818" s="1"/>
      <c r="T13818" s="1"/>
      <c r="U13818" s="1"/>
      <c r="V13818" s="1"/>
      <c r="W13818" s="1"/>
      <c r="X13818" s="1"/>
      <c r="Y13818" s="1"/>
      <c r="Z13818" s="1"/>
      <c r="AA13818" s="1"/>
      <c r="AB13818" s="1"/>
    </row>
    <row r="13819" ht="50.25" customHeight="1">
      <c r="A13819" s="12">
        <v>13815.0</v>
      </c>
      <c r="B13819" s="13" t="s">
        <v>13090</v>
      </c>
      <c r="C13819" s="14" t="s">
        <v>13125</v>
      </c>
      <c r="D13819" s="1"/>
      <c r="E13819" s="1"/>
      <c r="F13819" s="1" t="str">
        <f>IFERROR(__xludf.DUMMYFUNCTION("GOOGLETRANSLATE(B13819, ""en"", ""fa"")
"),"نسل سرب تلفن")</f>
        <v>نسل سرب تلفن</v>
      </c>
      <c r="G13819" s="1" t="str">
        <f>IFERROR(__xludf.DUMMYFUNCTION("GOOGLETRANSLATE(C13819, ""en"", ""fa"")
"),"طرحی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بی"&amp;"ن مشتریان بالقوه علاقه ایجاد کنیم.")</f>
        <v>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بین مشتریان بالقوه علاقه ایجاد کنیم.</v>
      </c>
      <c r="H13819" s="1"/>
      <c r="I13819" s="1"/>
      <c r="J13819" s="1"/>
      <c r="K13819" s="1"/>
      <c r="L13819" s="1"/>
      <c r="M13819" s="1"/>
      <c r="N13819" s="1"/>
      <c r="O13819" s="1"/>
      <c r="P13819" s="1"/>
      <c r="Q13819" s="1"/>
      <c r="R13819" s="1"/>
      <c r="S13819" s="1"/>
      <c r="T13819" s="1"/>
      <c r="U13819" s="1"/>
      <c r="V13819" s="1"/>
      <c r="W13819" s="1"/>
      <c r="X13819" s="1"/>
      <c r="Y13819" s="1"/>
      <c r="Z13819" s="1"/>
      <c r="AA13819" s="1"/>
      <c r="AB13819" s="1"/>
    </row>
    <row r="13820" ht="50.25" customHeight="1">
      <c r="A13820" s="12">
        <v>13816.0</v>
      </c>
      <c r="B13820" s="13" t="s">
        <v>13090</v>
      </c>
      <c r="C13820" s="14" t="s">
        <v>13106</v>
      </c>
      <c r="D13820" s="1"/>
      <c r="E13820" s="1"/>
      <c r="F13820" s="1" t="str">
        <f>IFERROR(__xludf.DUMMYFUNCTION("GOOGLETRANSLATE(B13820, ""en"", ""fa"")
"),"نسل سرب تلفن")</f>
        <v>نسل سرب تلفن</v>
      </c>
      <c r="G13820" s="1" t="str">
        <f>IFERROR(__xludf.DUMMYFUNCTION("GOOGLETRANSLATE(C13820, ""en"", ""fa"")
"),"رویدادهای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f>
        <v>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v>
      </c>
      <c r="H13820" s="1"/>
      <c r="I13820" s="1"/>
      <c r="J13820" s="1"/>
      <c r="K13820" s="1"/>
      <c r="L13820" s="1"/>
      <c r="M13820" s="1"/>
      <c r="N13820" s="1"/>
      <c r="O13820" s="1"/>
      <c r="P13820" s="1"/>
      <c r="Q13820" s="1"/>
      <c r="R13820" s="1"/>
      <c r="S13820" s="1"/>
      <c r="T13820" s="1"/>
      <c r="U13820" s="1"/>
      <c r="V13820" s="1"/>
      <c r="W13820" s="1"/>
      <c r="X13820" s="1"/>
      <c r="Y13820" s="1"/>
      <c r="Z13820" s="1"/>
      <c r="AA13820" s="1"/>
      <c r="AB13820" s="1"/>
    </row>
    <row r="13821" ht="50.25" customHeight="1">
      <c r="A13821" s="12">
        <v>13817.0</v>
      </c>
      <c r="B13821" s="13" t="s">
        <v>13090</v>
      </c>
      <c r="C13821" s="14" t="s">
        <v>13107</v>
      </c>
      <c r="D13821" s="1"/>
      <c r="E13821" s="1"/>
      <c r="F13821" s="1" t="str">
        <f>IFERROR(__xludf.DUMMYFUNCTION("GOOGLETRANSLATE(B13821, ""en"", ""fa"")
"),"نسل سرب تلفن")</f>
        <v>نسل سرب تلفن</v>
      </c>
      <c r="G13821" s="1" t="str">
        <f>IFERROR(__xludf.DUMMYFUNCTION("GOOGLETRANSLATE(C13821, ""en"", ""fa"")
"),"چالش‌ها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f>
        <v>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v>
      </c>
      <c r="H13821" s="1"/>
      <c r="I13821" s="1"/>
      <c r="J13821" s="1"/>
      <c r="K13821" s="1"/>
      <c r="L13821" s="1"/>
      <c r="M13821" s="1"/>
      <c r="N13821" s="1"/>
      <c r="O13821" s="1"/>
      <c r="P13821" s="1"/>
      <c r="Q13821" s="1"/>
      <c r="R13821" s="1"/>
      <c r="S13821" s="1"/>
      <c r="T13821" s="1"/>
      <c r="U13821" s="1"/>
      <c r="V13821" s="1"/>
      <c r="W13821" s="1"/>
      <c r="X13821" s="1"/>
      <c r="Y13821" s="1"/>
      <c r="Z13821" s="1"/>
      <c r="AA13821" s="1"/>
      <c r="AB13821" s="1"/>
    </row>
    <row r="13822" ht="50.25" customHeight="1">
      <c r="A13822" s="12">
        <v>13818.0</v>
      </c>
      <c r="B13822" s="13" t="s">
        <v>13090</v>
      </c>
      <c r="C13822" s="14" t="s">
        <v>13108</v>
      </c>
      <c r="D13822" s="1"/>
      <c r="E13822" s="1"/>
      <c r="F13822" s="1" t="str">
        <f>IFERROR(__xludf.DUMMYFUNCTION("GOOGLETRANSLATE(B13822, ""en"", ""fa"")
"),"نسل سرب تلفن")</f>
        <v>نسل سرب تلفن</v>
      </c>
      <c r="G13822" s="1" t="str">
        <f>IFERROR(__xludf.DUMMYFUNCTION("GOOGLETRANSLATE(C13822, ""en"", ""fa"")
"),"یک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این"&amp;" طریق بین مشتریان بالقوه علاقه ایجاد کنیم.")</f>
        <v>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بین مشتریان بالقوه علاقه ایجاد کنیم.</v>
      </c>
      <c r="H13822" s="1"/>
      <c r="I13822" s="1"/>
      <c r="J13822" s="1"/>
      <c r="K13822" s="1"/>
      <c r="L13822" s="1"/>
      <c r="M13822" s="1"/>
      <c r="N13822" s="1"/>
      <c r="O13822" s="1"/>
      <c r="P13822" s="1"/>
      <c r="Q13822" s="1"/>
      <c r="R13822" s="1"/>
      <c r="S13822" s="1"/>
      <c r="T13822" s="1"/>
      <c r="U13822" s="1"/>
      <c r="V13822" s="1"/>
      <c r="W13822" s="1"/>
      <c r="X13822" s="1"/>
      <c r="Y13822" s="1"/>
      <c r="Z13822" s="1"/>
      <c r="AA13822" s="1"/>
      <c r="AB13822" s="1"/>
    </row>
    <row r="13823" ht="50.25" customHeight="1">
      <c r="A13823" s="12">
        <v>13819.0</v>
      </c>
      <c r="B13823" s="13" t="s">
        <v>13090</v>
      </c>
      <c r="C13823" s="14" t="s">
        <v>13109</v>
      </c>
      <c r="D13823" s="1"/>
      <c r="E13823" s="1"/>
      <c r="F13823" s="1" t="str">
        <f>IFERROR(__xludf.DUMMYFUNCTION("GOOGLETRANSLATE(B13823, ""en"", ""fa"")
"),"نسل سرب تلفن")</f>
        <v>نسل سرب تلفن</v>
      </c>
      <c r="G13823" s="1" t="str">
        <f>IFERROR(__xludf.DUMMYFUNCTION("GOOGLETRANSLATE(C13823, ""en"", ""fa"")
"),"فرآیندی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f>
        <v>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v>
      </c>
      <c r="H13823" s="1"/>
      <c r="I13823" s="1"/>
      <c r="J13823" s="1"/>
      <c r="K13823" s="1"/>
      <c r="L13823" s="1"/>
      <c r="M13823" s="1"/>
      <c r="N13823" s="1"/>
      <c r="O13823" s="1"/>
      <c r="P13823" s="1"/>
      <c r="Q13823" s="1"/>
      <c r="R13823" s="1"/>
      <c r="S13823" s="1"/>
      <c r="T13823" s="1"/>
      <c r="U13823" s="1"/>
      <c r="V13823" s="1"/>
      <c r="W13823" s="1"/>
      <c r="X13823" s="1"/>
      <c r="Y13823" s="1"/>
      <c r="Z13823" s="1"/>
      <c r="AA13823" s="1"/>
      <c r="AB13823" s="1"/>
    </row>
    <row r="13824" ht="50.25" customHeight="1">
      <c r="A13824" s="12">
        <v>13820.0</v>
      </c>
      <c r="B13824" s="13" t="s">
        <v>13090</v>
      </c>
      <c r="C13824" s="14" t="s">
        <v>13110</v>
      </c>
      <c r="D13824" s="1"/>
      <c r="E13824" s="1"/>
      <c r="F13824" s="1" t="str">
        <f>IFERROR(__xludf.DUMMYFUNCTION("GOOGLETRANSLATE(B13824, ""en"", ""fa"")
"),"نسل سرب تلفن")</f>
        <v>نسل سرب تلفن</v>
      </c>
      <c r="G13824" s="1" t="str">
        <f>IFERROR(__xludf.DUMMYFUNCTION("GOOGLETRANSLATE(C13824, ""en"", ""fa"")
"),"طرحی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f>
        <v>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v>
      </c>
      <c r="H13824" s="1"/>
      <c r="I13824" s="1"/>
      <c r="J13824" s="1"/>
      <c r="K13824" s="1"/>
      <c r="L13824" s="1"/>
      <c r="M13824" s="1"/>
      <c r="N13824" s="1"/>
      <c r="O13824" s="1"/>
      <c r="P13824" s="1"/>
      <c r="Q13824" s="1"/>
      <c r="R13824" s="1"/>
      <c r="S13824" s="1"/>
      <c r="T13824" s="1"/>
      <c r="U13824" s="1"/>
      <c r="V13824" s="1"/>
      <c r="W13824" s="1"/>
      <c r="X13824" s="1"/>
      <c r="Y13824" s="1"/>
      <c r="Z13824" s="1"/>
      <c r="AA13824" s="1"/>
      <c r="AB13824" s="1"/>
    </row>
    <row r="13825" ht="50.25" customHeight="1">
      <c r="A13825" s="12">
        <v>13821.0</v>
      </c>
      <c r="B13825" s="13" t="s">
        <v>13090</v>
      </c>
      <c r="C13825" s="14" t="s">
        <v>13111</v>
      </c>
      <c r="D13825" s="1"/>
      <c r="E13825" s="1"/>
      <c r="F13825" s="1" t="str">
        <f>IFERROR(__xludf.DUMMYFUNCTION("GOOGLETRANSLATE(B13825, ""en"", ""fa"")
"),"نسل سرب تلفن")</f>
        <v>نسل سرب تلفن</v>
      </c>
      <c r="G13825" s="1" t="str">
        <f>IFERROR(__xludf.DUMMYFUNCTION("GOOGLETRANSLATE(C13825, ""en"", ""fa"")
"),"فهرستی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بالق"&amp;"وه را به صورت ارگانیک جذب کنید.")</f>
        <v>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بالقوه را به صورت ارگانیک جذب کنید.</v>
      </c>
      <c r="H13825" s="1"/>
      <c r="I13825" s="1"/>
      <c r="J13825" s="1"/>
      <c r="K13825" s="1"/>
      <c r="L13825" s="1"/>
      <c r="M13825" s="1"/>
      <c r="N13825" s="1"/>
      <c r="O13825" s="1"/>
      <c r="P13825" s="1"/>
      <c r="Q13825" s="1"/>
      <c r="R13825" s="1"/>
      <c r="S13825" s="1"/>
      <c r="T13825" s="1"/>
      <c r="U13825" s="1"/>
      <c r="V13825" s="1"/>
      <c r="W13825" s="1"/>
      <c r="X13825" s="1"/>
      <c r="Y13825" s="1"/>
      <c r="Z13825" s="1"/>
      <c r="AA13825" s="1"/>
      <c r="AB13825" s="1"/>
    </row>
    <row r="13826" ht="50.25" customHeight="1">
      <c r="A13826" s="12">
        <v>13822.0</v>
      </c>
      <c r="B13826" s="13" t="s">
        <v>13090</v>
      </c>
      <c r="C13826" s="14" t="s">
        <v>13112</v>
      </c>
      <c r="D13826" s="1"/>
      <c r="E13826" s="1"/>
      <c r="F13826" s="1" t="str">
        <f>IFERROR(__xludf.DUMMYFUNCTION("GOOGLETRANSLATE(B13826, ""en"", ""fa"")
"),"نسل سرب تلفن")</f>
        <v>نسل سرب تلفن</v>
      </c>
      <c r="G13826" s="1" t="str">
        <f>IFERROR(__xludf.DUMMYFUNCTION("GOOGLETRANSLATE(C13826, ""en"", ""fa"")
"),"پیش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f>
        <v>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v>
      </c>
      <c r="H13826" s="1"/>
      <c r="I13826" s="1"/>
      <c r="J13826" s="1"/>
      <c r="K13826" s="1"/>
      <c r="L13826" s="1"/>
      <c r="M13826" s="1"/>
      <c r="N13826" s="1"/>
      <c r="O13826" s="1"/>
      <c r="P13826" s="1"/>
      <c r="Q13826" s="1"/>
      <c r="R13826" s="1"/>
      <c r="S13826" s="1"/>
      <c r="T13826" s="1"/>
      <c r="U13826" s="1"/>
      <c r="V13826" s="1"/>
      <c r="W13826" s="1"/>
      <c r="X13826" s="1"/>
      <c r="Y13826" s="1"/>
      <c r="Z13826" s="1"/>
      <c r="AA13826" s="1"/>
      <c r="AB13826" s="1"/>
    </row>
    <row r="13827" ht="50.25" customHeight="1">
      <c r="A13827" s="12">
        <v>13823.0</v>
      </c>
      <c r="B13827" s="13" t="s">
        <v>13090</v>
      </c>
      <c r="C13827" s="14" t="s">
        <v>13113</v>
      </c>
      <c r="D13827" s="1"/>
      <c r="E13827" s="1"/>
      <c r="F13827" s="1" t="str">
        <f>IFERROR(__xludf.DUMMYFUNCTION("GOOGLETRANSLATE(B13827, ""en"", ""fa"")
"),"نسل سرب تلفن")</f>
        <v>نسل سرب تلفن</v>
      </c>
      <c r="G13827" s="1" t="str">
        <f>IFERROR(__xludf.DUMMYFUNCTION("GOOGLETRANSLATE(C13827, ""en"", ""fa"")
"),"فرآیندی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شو"&amp;"د.")</f>
        <v>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شود.</v>
      </c>
      <c r="H13827" s="1"/>
      <c r="I13827" s="1"/>
      <c r="J13827" s="1"/>
      <c r="K13827" s="1"/>
      <c r="L13827" s="1"/>
      <c r="M13827" s="1"/>
      <c r="N13827" s="1"/>
      <c r="O13827" s="1"/>
      <c r="P13827" s="1"/>
      <c r="Q13827" s="1"/>
      <c r="R13827" s="1"/>
      <c r="S13827" s="1"/>
      <c r="T13827" s="1"/>
      <c r="U13827" s="1"/>
      <c r="V13827" s="1"/>
      <c r="W13827" s="1"/>
      <c r="X13827" s="1"/>
      <c r="Y13827" s="1"/>
      <c r="Z13827" s="1"/>
      <c r="AA13827" s="1"/>
      <c r="AB13827" s="1"/>
    </row>
    <row r="13828" ht="50.25" customHeight="1">
      <c r="A13828" s="12">
        <v>13824.0</v>
      </c>
      <c r="B13828" s="13" t="s">
        <v>13090</v>
      </c>
      <c r="C13828" s="14" t="s">
        <v>13114</v>
      </c>
      <c r="D13828" s="1"/>
      <c r="E13828" s="1"/>
      <c r="F13828" s="1" t="str">
        <f>IFERROR(__xludf.DUMMYFUNCTION("GOOGLETRANSLATE(B13828, ""en"", ""fa"")
"),"نسل سرب تلفن")</f>
        <v>نسل سرب تلفن</v>
      </c>
      <c r="G13828" s="1" t="str">
        <f>IFERROR(__xludf.DUMMYFUNCTION("GOOGLETRANSLATE(C13828, ""en"", ""fa"")
"),"برای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f>
        <v>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v>
      </c>
      <c r="H13828" s="1"/>
      <c r="I13828" s="1"/>
      <c r="J13828" s="1"/>
      <c r="K13828" s="1"/>
      <c r="L13828" s="1"/>
      <c r="M13828" s="1"/>
      <c r="N13828" s="1"/>
      <c r="O13828" s="1"/>
      <c r="P13828" s="1"/>
      <c r="Q13828" s="1"/>
      <c r="R13828" s="1"/>
      <c r="S13828" s="1"/>
      <c r="T13828" s="1"/>
      <c r="U13828" s="1"/>
      <c r="V13828" s="1"/>
      <c r="W13828" s="1"/>
      <c r="X13828" s="1"/>
      <c r="Y13828" s="1"/>
      <c r="Z13828" s="1"/>
      <c r="AA13828" s="1"/>
      <c r="AB13828" s="1"/>
    </row>
    <row r="13829" ht="50.25" customHeight="1">
      <c r="A13829" s="12">
        <v>13825.0</v>
      </c>
      <c r="B13829" s="13" t="s">
        <v>13090</v>
      </c>
      <c r="C13829" s="14" t="s">
        <v>13115</v>
      </c>
      <c r="D13829" s="1"/>
      <c r="E13829" s="1"/>
      <c r="F13829" s="1" t="str">
        <f>IFERROR(__xludf.DUMMYFUNCTION("GOOGLETRANSLATE(B13829, ""en"", ""fa"")
"),"نسل سرب تلفن")</f>
        <v>نسل سرب تلفن</v>
      </c>
      <c r="G13829" s="1" t="str">
        <f>IFERROR(__xludf.DUMMYFUNCTION("GOOGLETRANSLATE(C13829, ""en"", ""fa"")
"),"طرحی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f>
        <v>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v>
      </c>
      <c r="H13829" s="1"/>
      <c r="I13829" s="1"/>
      <c r="J13829" s="1"/>
      <c r="K13829" s="1"/>
      <c r="L13829" s="1"/>
      <c r="M13829" s="1"/>
      <c r="N13829" s="1"/>
      <c r="O13829" s="1"/>
      <c r="P13829" s="1"/>
      <c r="Q13829" s="1"/>
      <c r="R13829" s="1"/>
      <c r="S13829" s="1"/>
      <c r="T13829" s="1"/>
      <c r="U13829" s="1"/>
      <c r="V13829" s="1"/>
      <c r="W13829" s="1"/>
      <c r="X13829" s="1"/>
      <c r="Y13829" s="1"/>
      <c r="Z13829" s="1"/>
      <c r="AA13829" s="1"/>
      <c r="AB13829" s="1"/>
    </row>
    <row r="13830" ht="50.25" customHeight="1">
      <c r="A13830" s="12">
        <v>13826.0</v>
      </c>
      <c r="B13830" s="13" t="s">
        <v>13090</v>
      </c>
      <c r="C13830" s="14" t="s">
        <v>13116</v>
      </c>
      <c r="D13830" s="1"/>
      <c r="E13830" s="1"/>
      <c r="F13830" s="1" t="str">
        <f>IFERROR(__xludf.DUMMYFUNCTION("GOOGLETRANSLATE(B13830, ""en"", ""fa"")
"),"نسل سرب تلفن")</f>
        <v>نسل سرب تلفن</v>
      </c>
      <c r="G13830" s="1" t="str">
        <f>IFERROR(__xludf.DUMMYFUNCTION("GOOGLETRANSLATE(C13830, ""en"", ""fa"")
"),"تأثیرگذاران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f>
        <v>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v>
      </c>
      <c r="H13830" s="1"/>
      <c r="I13830" s="1"/>
      <c r="J13830" s="1"/>
      <c r="K13830" s="1"/>
      <c r="L13830" s="1"/>
      <c r="M13830" s="1"/>
      <c r="N13830" s="1"/>
      <c r="O13830" s="1"/>
      <c r="P13830" s="1"/>
      <c r="Q13830" s="1"/>
      <c r="R13830" s="1"/>
      <c r="S13830" s="1"/>
      <c r="T13830" s="1"/>
      <c r="U13830" s="1"/>
      <c r="V13830" s="1"/>
      <c r="W13830" s="1"/>
      <c r="X13830" s="1"/>
      <c r="Y13830" s="1"/>
      <c r="Z13830" s="1"/>
      <c r="AA13830" s="1"/>
      <c r="AB13830" s="1"/>
    </row>
    <row r="13831" ht="50.25" customHeight="1">
      <c r="A13831" s="12">
        <v>13827.0</v>
      </c>
      <c r="B13831" s="13" t="s">
        <v>13090</v>
      </c>
      <c r="C13831" s="14" t="s">
        <v>13117</v>
      </c>
      <c r="D13831" s="1"/>
      <c r="E13831" s="1"/>
      <c r="F13831" s="1" t="str">
        <f>IFERROR(__xludf.DUMMYFUNCTION("GOOGLETRANSLATE(B13831, ""en"", ""fa"")
"),"نسل سرب تلفن")</f>
        <v>نسل سرب تلفن</v>
      </c>
      <c r="G13831" s="1" t="str">
        <f>IFERROR(__xludf.DUMMYFUNCTION("GOOGLETRANSLATE(C13831, ""en"", ""fa"")
"),"یک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"&amp;"تبدیل را برای ایجاد تعامل مجدد بیان کنید.")</f>
        <v>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تبدیل را برای ایجاد تعامل مجدد بیان کنید.</v>
      </c>
      <c r="H13831" s="1"/>
      <c r="I13831" s="1"/>
      <c r="J13831" s="1"/>
      <c r="K13831" s="1"/>
      <c r="L13831" s="1"/>
      <c r="M13831" s="1"/>
      <c r="N13831" s="1"/>
      <c r="O13831" s="1"/>
      <c r="P13831" s="1"/>
      <c r="Q13831" s="1"/>
      <c r="R13831" s="1"/>
      <c r="S13831" s="1"/>
      <c r="T13831" s="1"/>
      <c r="U13831" s="1"/>
      <c r="V13831" s="1"/>
      <c r="W13831" s="1"/>
      <c r="X13831" s="1"/>
      <c r="Y13831" s="1"/>
      <c r="Z13831" s="1"/>
      <c r="AA13831" s="1"/>
      <c r="AB13831" s="1"/>
    </row>
    <row r="13832" ht="50.25" customHeight="1">
      <c r="A13832" s="12">
        <v>13828.0</v>
      </c>
      <c r="B13832" s="13" t="s">
        <v>13090</v>
      </c>
      <c r="C13832" s="14" t="s">
        <v>13118</v>
      </c>
      <c r="D13832" s="1"/>
      <c r="E13832" s="1"/>
      <c r="F13832" s="1" t="str">
        <f>IFERROR(__xludf.DUMMYFUNCTION("GOOGLETRANSLATE(B13832, ""en"", ""fa"")
"),"نسل سرب تلفن")</f>
        <v>نسل سرب تلفن</v>
      </c>
      <c r="G13832" s="1" t="str">
        <f>IFERROR(__xludf.DUMMYFUNCTION("GOOGLETRANSLATE(C13832, ""en"", ""fa"")
"),"هزینه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f>
        <v>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v>
      </c>
      <c r="H13832" s="1"/>
      <c r="I13832" s="1"/>
      <c r="J13832" s="1"/>
      <c r="K13832" s="1"/>
      <c r="L13832" s="1"/>
      <c r="M13832" s="1"/>
      <c r="N13832" s="1"/>
      <c r="O13832" s="1"/>
      <c r="P13832" s="1"/>
      <c r="Q13832" s="1"/>
      <c r="R13832" s="1"/>
      <c r="S13832" s="1"/>
      <c r="T13832" s="1"/>
      <c r="U13832" s="1"/>
      <c r="V13832" s="1"/>
      <c r="W13832" s="1"/>
      <c r="X13832" s="1"/>
      <c r="Y13832" s="1"/>
      <c r="Z13832" s="1"/>
      <c r="AA13832" s="1"/>
      <c r="AB13832" s="1"/>
    </row>
    <row r="13833" ht="50.25" customHeight="1">
      <c r="A13833" s="12">
        <v>13829.0</v>
      </c>
      <c r="B13833" s="13" t="s">
        <v>13090</v>
      </c>
      <c r="C13833" s="14" t="s">
        <v>13119</v>
      </c>
      <c r="D13833" s="1"/>
      <c r="E13833" s="1"/>
      <c r="F13833" s="1" t="str">
        <f>IFERROR(__xludf.DUMMYFUNCTION("GOOGLETRANSLATE(B13833, ""en"", ""fa"")
"),"نسل سرب تلفن")</f>
        <v>نسل سرب تلفن</v>
      </c>
      <c r="G13833" s="1" t="str">
        <f>IFERROR(__xludf.DUMMYFUNCTION("GOOGLETRANSLATE(C13833, ""en"", ""fa"")
"),"مزایای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f>
        <v>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v>
      </c>
      <c r="H13833" s="1"/>
      <c r="I13833" s="1"/>
      <c r="J13833" s="1"/>
      <c r="K13833" s="1"/>
      <c r="L13833" s="1"/>
      <c r="M13833" s="1"/>
      <c r="N13833" s="1"/>
      <c r="O13833" s="1"/>
      <c r="P13833" s="1"/>
      <c r="Q13833" s="1"/>
      <c r="R13833" s="1"/>
      <c r="S13833" s="1"/>
      <c r="T13833" s="1"/>
      <c r="U13833" s="1"/>
      <c r="V13833" s="1"/>
      <c r="W13833" s="1"/>
      <c r="X13833" s="1"/>
      <c r="Y13833" s="1"/>
      <c r="Z13833" s="1"/>
      <c r="AA13833" s="1"/>
      <c r="AB13833" s="1"/>
    </row>
    <row r="13834" ht="50.25" customHeight="1">
      <c r="A13834" s="12">
        <v>13830.0</v>
      </c>
      <c r="B13834" s="13" t="s">
        <v>13090</v>
      </c>
      <c r="C13834" s="14" t="s">
        <v>13120</v>
      </c>
      <c r="D13834" s="1"/>
      <c r="E13834" s="1"/>
      <c r="F13834" s="1" t="str">
        <f>IFERROR(__xludf.DUMMYFUNCTION("GOOGLETRANSLATE(B13834, ""en"", ""fa"")
"),"نسل سرب تلفن")</f>
        <v>نسل سرب تلفن</v>
      </c>
      <c r="G13834" s="1" t="str">
        <f>IFERROR(__xludf.DUMMYFUNCTION("GOOGLETRANSLATE(C13834, ""en"", ""fa"")
"),"طرحی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f>
        <v>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v>
      </c>
      <c r="H13834" s="1"/>
      <c r="I13834" s="1"/>
      <c r="J13834" s="1"/>
      <c r="K13834" s="1"/>
      <c r="L13834" s="1"/>
      <c r="M13834" s="1"/>
      <c r="N13834" s="1"/>
      <c r="O13834" s="1"/>
      <c r="P13834" s="1"/>
      <c r="Q13834" s="1"/>
      <c r="R13834" s="1"/>
      <c r="S13834" s="1"/>
      <c r="T13834" s="1"/>
      <c r="U13834" s="1"/>
      <c r="V13834" s="1"/>
      <c r="W13834" s="1"/>
      <c r="X13834" s="1"/>
      <c r="Y13834" s="1"/>
      <c r="Z13834" s="1"/>
      <c r="AA13834" s="1"/>
      <c r="AB13834" s="1"/>
    </row>
    <row r="13835" ht="50.25" customHeight="1">
      <c r="A13835" s="12">
        <v>13831.0</v>
      </c>
      <c r="B13835" s="13" t="s">
        <v>13090</v>
      </c>
      <c r="C13835" s="14" t="s">
        <v>13121</v>
      </c>
      <c r="D13835" s="1"/>
      <c r="E13835" s="1"/>
      <c r="F13835" s="1" t="str">
        <f>IFERROR(__xludf.DUMMYFUNCTION("GOOGLETRANSLATE(B13835, ""en"", ""fa"")
"),"نسل سرب تلفن")</f>
        <v>نسل سرب تلفن</v>
      </c>
      <c r="G13835" s="1" t="str">
        <f>IFERROR(__xludf.DUMMYFUNCTION("GOOGLETRANSLATE(C13835, ""en"", ""fa"")
"),"الگویی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f>
        <v>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v>
      </c>
      <c r="H13835" s="1"/>
      <c r="I13835" s="1"/>
      <c r="J13835" s="1"/>
      <c r="K13835" s="1"/>
      <c r="L13835" s="1"/>
      <c r="M13835" s="1"/>
      <c r="N13835" s="1"/>
      <c r="O13835" s="1"/>
      <c r="P13835" s="1"/>
      <c r="Q13835" s="1"/>
      <c r="R13835" s="1"/>
      <c r="S13835" s="1"/>
      <c r="T13835" s="1"/>
      <c r="U13835" s="1"/>
      <c r="V13835" s="1"/>
      <c r="W13835" s="1"/>
      <c r="X13835" s="1"/>
      <c r="Y13835" s="1"/>
      <c r="Z13835" s="1"/>
      <c r="AA13835" s="1"/>
      <c r="AB13835" s="1"/>
    </row>
    <row r="13836" ht="50.25" customHeight="1">
      <c r="A13836" s="12">
        <v>13832.0</v>
      </c>
      <c r="B13836" s="13" t="s">
        <v>13090</v>
      </c>
      <c r="C13836" s="14" t="s">
        <v>13122</v>
      </c>
      <c r="D13836" s="1"/>
      <c r="E13836" s="1"/>
      <c r="F13836" s="1" t="str">
        <f>IFERROR(__xludf.DUMMYFUNCTION("GOOGLETRANSLATE(B13836, ""en"", ""fa"")
"),"نسل سرب تلفن")</f>
        <v>نسل سرب تلفن</v>
      </c>
      <c r="G13836" s="1" t="str">
        <f>IFERROR(__xludf.DUMMYFUNCTION("GOOGLETRANSLATE(C13836, ""en"", ""fa"")
"),"یک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f>
        <v>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v>
      </c>
      <c r="H13836" s="1"/>
      <c r="I13836" s="1"/>
      <c r="J13836" s="1"/>
      <c r="K13836" s="1"/>
      <c r="L13836" s="1"/>
      <c r="M13836" s="1"/>
      <c r="N13836" s="1"/>
      <c r="O13836" s="1"/>
      <c r="P13836" s="1"/>
      <c r="Q13836" s="1"/>
      <c r="R13836" s="1"/>
      <c r="S13836" s="1"/>
      <c r="T13836" s="1"/>
      <c r="U13836" s="1"/>
      <c r="V13836" s="1"/>
      <c r="W13836" s="1"/>
      <c r="X13836" s="1"/>
      <c r="Y13836" s="1"/>
      <c r="Z13836" s="1"/>
      <c r="AA13836" s="1"/>
      <c r="AB13836" s="1"/>
    </row>
    <row r="13837" ht="50.25" customHeight="1">
      <c r="A13837" s="12">
        <v>13833.0</v>
      </c>
      <c r="B13837" s="13" t="s">
        <v>13090</v>
      </c>
      <c r="C13837" s="14" t="s">
        <v>13123</v>
      </c>
      <c r="D13837" s="1"/>
      <c r="E13837" s="1"/>
      <c r="F13837" s="1" t="str">
        <f>IFERROR(__xludf.DUMMYFUNCTION("GOOGLETRANSLATE(B13837, ""en"", ""fa"")
"),"نسل سرب تلفن")</f>
        <v>نسل سرب تلفن</v>
      </c>
      <c r="G13837" s="1" t="str">
        <f>IFERROR(__xludf.DUMMYFUNCTION("GOOGLETRANSLATE(C13837, ""en"", ""fa"")
"),"فرآیندی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ک"&amp;"نیم.")</f>
        <v>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کنیم.</v>
      </c>
      <c r="H13837" s="1"/>
      <c r="I13837" s="1"/>
      <c r="J13837" s="1"/>
      <c r="K13837" s="1"/>
      <c r="L13837" s="1"/>
      <c r="M13837" s="1"/>
      <c r="N13837" s="1"/>
      <c r="O13837" s="1"/>
      <c r="P13837" s="1"/>
      <c r="Q13837" s="1"/>
      <c r="R13837" s="1"/>
      <c r="S13837" s="1"/>
      <c r="T13837" s="1"/>
      <c r="U13837" s="1"/>
      <c r="V13837" s="1"/>
      <c r="W13837" s="1"/>
      <c r="X13837" s="1"/>
      <c r="Y13837" s="1"/>
      <c r="Z13837" s="1"/>
      <c r="AA13837" s="1"/>
      <c r="AB13837" s="1"/>
    </row>
    <row r="13838" ht="50.25" customHeight="1">
      <c r="A13838" s="12">
        <v>13834.0</v>
      </c>
      <c r="B13838" s="13" t="s">
        <v>13090</v>
      </c>
      <c r="C13838" s="14" t="s">
        <v>13124</v>
      </c>
      <c r="D13838" s="1"/>
      <c r="E13838" s="1"/>
      <c r="F13838" s="1" t="str">
        <f>IFERROR(__xludf.DUMMYFUNCTION("GOOGLETRANSLATE(B13838, ""en"", ""fa"")
"),"نسل سرب تلفن")</f>
        <v>نسل سرب تلفن</v>
      </c>
      <c r="G13838" s="1" t="str">
        <f>IFERROR(__xludf.DUMMYFUNCTION("GOOGLETRANSLATE(C13838, ""en"", ""fa"")
"),"یک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f>
        <v>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v>
      </c>
      <c r="H13838" s="1"/>
      <c r="I13838" s="1"/>
      <c r="J13838" s="1"/>
      <c r="K13838" s="1"/>
      <c r="L13838" s="1"/>
      <c r="M13838" s="1"/>
      <c r="N13838" s="1"/>
      <c r="O13838" s="1"/>
      <c r="P13838" s="1"/>
      <c r="Q13838" s="1"/>
      <c r="R13838" s="1"/>
      <c r="S13838" s="1"/>
      <c r="T13838" s="1"/>
      <c r="U13838" s="1"/>
      <c r="V13838" s="1"/>
      <c r="W13838" s="1"/>
      <c r="X13838" s="1"/>
      <c r="Y13838" s="1"/>
      <c r="Z13838" s="1"/>
      <c r="AA13838" s="1"/>
      <c r="AB13838" s="1"/>
    </row>
    <row r="13839" ht="50.25" customHeight="1">
      <c r="A13839" s="12">
        <v>13835.0</v>
      </c>
      <c r="B13839" s="13" t="s">
        <v>13090</v>
      </c>
      <c r="C13839" s="14" t="s">
        <v>13125</v>
      </c>
      <c r="D13839" s="1"/>
      <c r="E13839" s="1"/>
      <c r="F13839" s="1" t="str">
        <f>IFERROR(__xludf.DUMMYFUNCTION("GOOGLETRANSLATE(B13839, ""en"", ""fa"")
"),"نسل سرب تلفن")</f>
        <v>نسل سرب تلفن</v>
      </c>
      <c r="G13839" s="1" t="str">
        <f>IFERROR(__xludf.DUMMYFUNCTION("GOOGLETRANSLATE(C13839, ""en"", ""fa"")
"),"طرحی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بی"&amp;"ن مشتریان بالقوه علاقه ایجاد کنیم.")</f>
        <v>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بین مشتریان بالقوه علاقه ایجاد کنیم.</v>
      </c>
      <c r="H13839" s="1"/>
      <c r="I13839" s="1"/>
      <c r="J13839" s="1"/>
      <c r="K13839" s="1"/>
      <c r="L13839" s="1"/>
      <c r="M13839" s="1"/>
      <c r="N13839" s="1"/>
      <c r="O13839" s="1"/>
      <c r="P13839" s="1"/>
      <c r="Q13839" s="1"/>
      <c r="R13839" s="1"/>
      <c r="S13839" s="1"/>
      <c r="T13839" s="1"/>
      <c r="U13839" s="1"/>
      <c r="V13839" s="1"/>
      <c r="W13839" s="1"/>
      <c r="X13839" s="1"/>
      <c r="Y13839" s="1"/>
      <c r="Z13839" s="1"/>
      <c r="AA13839" s="1"/>
      <c r="AB13839" s="1"/>
    </row>
    <row r="13840" ht="50.25" customHeight="1">
      <c r="A13840" s="12">
        <v>13836.0</v>
      </c>
      <c r="B13840" s="13" t="s">
        <v>13090</v>
      </c>
      <c r="C13840" s="14" t="s">
        <v>13106</v>
      </c>
      <c r="D13840" s="1"/>
      <c r="E13840" s="1"/>
      <c r="F13840" s="1" t="str">
        <f>IFERROR(__xludf.DUMMYFUNCTION("GOOGLETRANSLATE(B13840, ""en"", ""fa"")
"),"نسل سرب تلفن")</f>
        <v>نسل سرب تلفن</v>
      </c>
      <c r="G13840" s="1" t="str">
        <f>IFERROR(__xludf.DUMMYFUNCTION("GOOGLETRANSLATE(C13840, ""en"", ""fa"")
"),"رویدادهای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f>
        <v>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v>
      </c>
      <c r="H13840" s="1"/>
      <c r="I13840" s="1"/>
      <c r="J13840" s="1"/>
      <c r="K13840" s="1"/>
      <c r="L13840" s="1"/>
      <c r="M13840" s="1"/>
      <c r="N13840" s="1"/>
      <c r="O13840" s="1"/>
      <c r="P13840" s="1"/>
      <c r="Q13840" s="1"/>
      <c r="R13840" s="1"/>
      <c r="S13840" s="1"/>
      <c r="T13840" s="1"/>
      <c r="U13840" s="1"/>
      <c r="V13840" s="1"/>
      <c r="W13840" s="1"/>
      <c r="X13840" s="1"/>
      <c r="Y13840" s="1"/>
      <c r="Z13840" s="1"/>
      <c r="AA13840" s="1"/>
      <c r="AB13840" s="1"/>
    </row>
    <row r="13841" ht="50.25" customHeight="1">
      <c r="A13841" s="12">
        <v>13837.0</v>
      </c>
      <c r="B13841" s="13" t="s">
        <v>13090</v>
      </c>
      <c r="C13841" s="14" t="s">
        <v>13107</v>
      </c>
      <c r="D13841" s="1"/>
      <c r="E13841" s="1"/>
      <c r="F13841" s="1" t="str">
        <f>IFERROR(__xludf.DUMMYFUNCTION("GOOGLETRANSLATE(B13841, ""en"", ""fa"")
"),"نسل سرب تلفن")</f>
        <v>نسل سرب تلفن</v>
      </c>
      <c r="G13841" s="1" t="str">
        <f>IFERROR(__xludf.DUMMYFUNCTION("GOOGLETRANSLATE(C13841, ""en"", ""fa"")
"),"چالش‌ها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f>
        <v>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v>
      </c>
      <c r="H13841" s="1"/>
      <c r="I13841" s="1"/>
      <c r="J13841" s="1"/>
      <c r="K13841" s="1"/>
      <c r="L13841" s="1"/>
      <c r="M13841" s="1"/>
      <c r="N13841" s="1"/>
      <c r="O13841" s="1"/>
      <c r="P13841" s="1"/>
      <c r="Q13841" s="1"/>
      <c r="R13841" s="1"/>
      <c r="S13841" s="1"/>
      <c r="T13841" s="1"/>
      <c r="U13841" s="1"/>
      <c r="V13841" s="1"/>
      <c r="W13841" s="1"/>
      <c r="X13841" s="1"/>
      <c r="Y13841" s="1"/>
      <c r="Z13841" s="1"/>
      <c r="AA13841" s="1"/>
      <c r="AB13841" s="1"/>
    </row>
    <row r="13842" ht="50.25" customHeight="1">
      <c r="A13842" s="12">
        <v>13838.0</v>
      </c>
      <c r="B13842" s="13" t="s">
        <v>13090</v>
      </c>
      <c r="C13842" s="14" t="s">
        <v>13108</v>
      </c>
      <c r="D13842" s="1"/>
      <c r="E13842" s="1"/>
      <c r="F13842" s="1" t="str">
        <f>IFERROR(__xludf.DUMMYFUNCTION("GOOGLETRANSLATE(B13842, ""en"", ""fa"")
"),"نسل سرب تلفن")</f>
        <v>نسل سرب تلفن</v>
      </c>
      <c r="G13842" s="1" t="str">
        <f>IFERROR(__xludf.DUMMYFUNCTION("GOOGLETRANSLATE(C13842, ""en"", ""fa"")
"),"یک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این"&amp;" طریق بین مشتریان بالقوه علاقه ایجاد کنیم.")</f>
        <v>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بین مشتریان بالقوه علاقه ایجاد کنیم.</v>
      </c>
      <c r="H13842" s="1"/>
      <c r="I13842" s="1"/>
      <c r="J13842" s="1"/>
      <c r="K13842" s="1"/>
      <c r="L13842" s="1"/>
      <c r="M13842" s="1"/>
      <c r="N13842" s="1"/>
      <c r="O13842" s="1"/>
      <c r="P13842" s="1"/>
      <c r="Q13842" s="1"/>
      <c r="R13842" s="1"/>
      <c r="S13842" s="1"/>
      <c r="T13842" s="1"/>
      <c r="U13842" s="1"/>
      <c r="V13842" s="1"/>
      <c r="W13842" s="1"/>
      <c r="X13842" s="1"/>
      <c r="Y13842" s="1"/>
      <c r="Z13842" s="1"/>
      <c r="AA13842" s="1"/>
      <c r="AB13842" s="1"/>
    </row>
    <row r="13843" ht="50.25" customHeight="1">
      <c r="A13843" s="12">
        <v>13839.0</v>
      </c>
      <c r="B13843" s="13" t="s">
        <v>13090</v>
      </c>
      <c r="C13843" s="14" t="s">
        <v>13109</v>
      </c>
      <c r="D13843" s="1"/>
      <c r="E13843" s="1"/>
      <c r="F13843" s="1" t="str">
        <f>IFERROR(__xludf.DUMMYFUNCTION("GOOGLETRANSLATE(B13843, ""en"", ""fa"")
"),"نسل سرب تلفن")</f>
        <v>نسل سرب تلفن</v>
      </c>
      <c r="G13843" s="1" t="str">
        <f>IFERROR(__xludf.DUMMYFUNCTION("GOOGLETRANSLATE(C13843, ""en"", ""fa"")
"),"فرآیندی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f>
        <v>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v>
      </c>
      <c r="H13843" s="1"/>
      <c r="I13843" s="1"/>
      <c r="J13843" s="1"/>
      <c r="K13843" s="1"/>
      <c r="L13843" s="1"/>
      <c r="M13843" s="1"/>
      <c r="N13843" s="1"/>
      <c r="O13843" s="1"/>
      <c r="P13843" s="1"/>
      <c r="Q13843" s="1"/>
      <c r="R13843" s="1"/>
      <c r="S13843" s="1"/>
      <c r="T13843" s="1"/>
      <c r="U13843" s="1"/>
      <c r="V13843" s="1"/>
      <c r="W13843" s="1"/>
      <c r="X13843" s="1"/>
      <c r="Y13843" s="1"/>
      <c r="Z13843" s="1"/>
      <c r="AA13843" s="1"/>
      <c r="AB13843" s="1"/>
    </row>
    <row r="13844" ht="50.25" customHeight="1">
      <c r="A13844" s="12">
        <v>13840.0</v>
      </c>
      <c r="B13844" s="13" t="s">
        <v>13090</v>
      </c>
      <c r="C13844" s="14" t="s">
        <v>13110</v>
      </c>
      <c r="D13844" s="1"/>
      <c r="E13844" s="1"/>
      <c r="F13844" s="1" t="str">
        <f>IFERROR(__xludf.DUMMYFUNCTION("GOOGLETRANSLATE(B13844, ""en"", ""fa"")
"),"نسل سرب تلفن")</f>
        <v>نسل سرب تلفن</v>
      </c>
      <c r="G13844" s="1" t="str">
        <f>IFERROR(__xludf.DUMMYFUNCTION("GOOGLETRANSLATE(C13844, ""en"", ""fa"")
"),"طرحی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f>
        <v>طرحی را برای استفاده از وبینارها یا رویدادهای آنلاین به عنوان ابزار جستجو ترسیم کنید. موضوعات، سخنرانان، استراتژی های تبلیغاتی و فعالیت های بعدی پس از رویداد را برای جذب چشم انداز بالقوه و پرورش سرنخ ها مشخص کنید.</v>
      </c>
      <c r="H13844" s="1"/>
      <c r="I13844" s="1"/>
      <c r="J13844" s="1"/>
      <c r="K13844" s="1"/>
      <c r="L13844" s="1"/>
      <c r="M13844" s="1"/>
      <c r="N13844" s="1"/>
      <c r="O13844" s="1"/>
      <c r="P13844" s="1"/>
      <c r="Q13844" s="1"/>
      <c r="R13844" s="1"/>
      <c r="S13844" s="1"/>
      <c r="T13844" s="1"/>
      <c r="U13844" s="1"/>
      <c r="V13844" s="1"/>
      <c r="W13844" s="1"/>
      <c r="X13844" s="1"/>
      <c r="Y13844" s="1"/>
      <c r="Z13844" s="1"/>
      <c r="AA13844" s="1"/>
      <c r="AB13844" s="1"/>
    </row>
    <row r="13845" ht="50.25" customHeight="1">
      <c r="A13845" s="12">
        <v>13841.0</v>
      </c>
      <c r="B13845" s="13" t="s">
        <v>13090</v>
      </c>
      <c r="C13845" s="14" t="s">
        <v>13111</v>
      </c>
      <c r="D13845" s="1"/>
      <c r="E13845" s="1"/>
      <c r="F13845" s="1" t="str">
        <f>IFERROR(__xludf.DUMMYFUNCTION("GOOGLETRANSLATE(B13845, ""en"", ""fa"")
"),"نسل سرب تلفن")</f>
        <v>نسل سرب تلفن</v>
      </c>
      <c r="G13845" s="1" t="str">
        <f>IFERROR(__xludf.DUMMYFUNCTION("GOOGLETRANSLATE(C13845, ""en"", ""fa"")
"),"فهرستی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بالق"&amp;"وه را به صورت ارگانیک جذب کنید.")</f>
        <v>فهرستی از کلیدواژه‌های هدفمند یا عبارات جستجویی که مشتریان احتمالی ممکن است هنگام تحقیق در مورد راه‌حل‌های صنعت ما استفاده کنند، تهیه کنید. از این کلمات کلیدی برای بهینه سازی محتوای وب سایت و بهبود دید خود در صفحات نتایج موتورهای جستجو استفاده کنید و بالقوه را به صورت ارگانیک جذب کنید.</v>
      </c>
      <c r="H13845" s="1"/>
      <c r="I13845" s="1"/>
      <c r="J13845" s="1"/>
      <c r="K13845" s="1"/>
      <c r="L13845" s="1"/>
      <c r="M13845" s="1"/>
      <c r="N13845" s="1"/>
      <c r="O13845" s="1"/>
      <c r="P13845" s="1"/>
      <c r="Q13845" s="1"/>
      <c r="R13845" s="1"/>
      <c r="S13845" s="1"/>
      <c r="T13845" s="1"/>
      <c r="U13845" s="1"/>
      <c r="V13845" s="1"/>
      <c r="W13845" s="1"/>
      <c r="X13845" s="1"/>
      <c r="Y13845" s="1"/>
      <c r="Z13845" s="1"/>
      <c r="AA13845" s="1"/>
      <c r="AB13845" s="1"/>
    </row>
    <row r="13846" ht="50.25" customHeight="1">
      <c r="A13846" s="12">
        <v>13842.0</v>
      </c>
      <c r="B13846" s="13" t="s">
        <v>13090</v>
      </c>
      <c r="C13846" s="14" t="s">
        <v>13112</v>
      </c>
      <c r="D13846" s="1"/>
      <c r="E13846" s="1"/>
      <c r="F13846" s="1" t="str">
        <f>IFERROR(__xludf.DUMMYFUNCTION("GOOGLETRANSLATE(B13846, ""en"", ""fa"")
"),"نسل سرب تلفن")</f>
        <v>نسل سرب تلفن</v>
      </c>
      <c r="G13846" s="1" t="str">
        <f>IFERROR(__xludf.DUMMYFUNCTION("GOOGLETRANSLATE(C13846, ""en"", ""fa"")
"),"پیش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f>
        <v>پیش نویس یک الگو برای دنباله ایمیل پیگیری جستجوگر. مجموعه‌ای از ایمیل‌های پیگیری به‌موقع و شخصی‌سازی‌شده را برای حفظ تعامل و پرورش سرنخ‌هایی که علاقه اولیه به محصول یا خدمات ما نشان داده‌اند، مشخص کنید.</v>
      </c>
      <c r="H13846" s="1"/>
      <c r="I13846" s="1"/>
      <c r="J13846" s="1"/>
      <c r="K13846" s="1"/>
      <c r="L13846" s="1"/>
      <c r="M13846" s="1"/>
      <c r="N13846" s="1"/>
      <c r="O13846" s="1"/>
      <c r="P13846" s="1"/>
      <c r="Q13846" s="1"/>
      <c r="R13846" s="1"/>
      <c r="S13846" s="1"/>
      <c r="T13846" s="1"/>
      <c r="U13846" s="1"/>
      <c r="V13846" s="1"/>
      <c r="W13846" s="1"/>
      <c r="X13846" s="1"/>
      <c r="Y13846" s="1"/>
      <c r="Z13846" s="1"/>
      <c r="AA13846" s="1"/>
      <c r="AB13846" s="1"/>
    </row>
    <row r="13847" ht="50.25" customHeight="1">
      <c r="A13847" s="12">
        <v>13843.0</v>
      </c>
      <c r="B13847" s="13" t="s">
        <v>13090</v>
      </c>
      <c r="C13847" s="14" t="s">
        <v>13113</v>
      </c>
      <c r="D13847" s="1"/>
      <c r="E13847" s="1"/>
      <c r="F13847" s="1" t="str">
        <f>IFERROR(__xludf.DUMMYFUNCTION("GOOGLETRANSLATE(B13847, ""en"", ""fa"")
"),"نسل سرب تلفن")</f>
        <v>نسل سرب تلفن</v>
      </c>
      <c r="G13847" s="1" t="str">
        <f>IFERROR(__xludf.DUMMYFUNCTION("GOOGLETRANSLATE(C13847, ""en"", ""fa"")
"),"فرآیندی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شو"&amp;"د.")</f>
        <v>فرآیندی برای امتیازدهی و اولویت بندی سرنخ ها بر اساس تعامل بالقوه، تناسب و آمادگی برای خرید برنامه ریزی کنید. معیارها، سیستم امتیازدهی و آستانه هایی را تعریف کنید که تعیین می کنند چه زمانی یک مشتری بالقوه باید به عنوان پیشرو با اولویت بالا در نظر گرفته شود.</v>
      </c>
      <c r="H13847" s="1"/>
      <c r="I13847" s="1"/>
      <c r="J13847" s="1"/>
      <c r="K13847" s="1"/>
      <c r="L13847" s="1"/>
      <c r="M13847" s="1"/>
      <c r="N13847" s="1"/>
      <c r="O13847" s="1"/>
      <c r="P13847" s="1"/>
      <c r="Q13847" s="1"/>
      <c r="R13847" s="1"/>
      <c r="S13847" s="1"/>
      <c r="T13847" s="1"/>
      <c r="U13847" s="1"/>
      <c r="V13847" s="1"/>
      <c r="W13847" s="1"/>
      <c r="X13847" s="1"/>
      <c r="Y13847" s="1"/>
      <c r="Z13847" s="1"/>
      <c r="AA13847" s="1"/>
      <c r="AB13847" s="1"/>
    </row>
    <row r="13848" ht="50.25" customHeight="1">
      <c r="A13848" s="12">
        <v>13844.0</v>
      </c>
      <c r="B13848" s="13" t="s">
        <v>13090</v>
      </c>
      <c r="C13848" s="14" t="s">
        <v>13114</v>
      </c>
      <c r="D13848" s="1"/>
      <c r="E13848" s="1"/>
      <c r="F13848" s="1" t="str">
        <f>IFERROR(__xludf.DUMMYFUNCTION("GOOGLETRANSLATE(B13848, ""en"", ""fa"")
"),"نسل سرب تلفن")</f>
        <v>نسل سرب تلفن</v>
      </c>
      <c r="G13848" s="1" t="str">
        <f>IFERROR(__xludf.DUMMYFUNCTION("GOOGLETRANSLATE(C13848, ""en"", ""fa"")
"),"برای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f>
        <v>برای دستیابی به مخاطبان گسترده‌تر و جذب چشم‌اندازهای بالقوه، یک استراتژی برای استفاده از مشارکت‌ها یا همکاری‌های محتوا طراحی کنید. روشی را برای شناسایی شرکای مناسب، ایجاد محتوای مشترک و ترویج متقابل پیشنهادهای یکدیگر مشخص کنید.</v>
      </c>
      <c r="H13848" s="1"/>
      <c r="I13848" s="1"/>
      <c r="J13848" s="1"/>
      <c r="K13848" s="1"/>
      <c r="L13848" s="1"/>
      <c r="M13848" s="1"/>
      <c r="N13848" s="1"/>
      <c r="O13848" s="1"/>
      <c r="P13848" s="1"/>
      <c r="Q13848" s="1"/>
      <c r="R13848" s="1"/>
      <c r="S13848" s="1"/>
      <c r="T13848" s="1"/>
      <c r="U13848" s="1"/>
      <c r="V13848" s="1"/>
      <c r="W13848" s="1"/>
      <c r="X13848" s="1"/>
      <c r="Y13848" s="1"/>
      <c r="Z13848" s="1"/>
      <c r="AA13848" s="1"/>
      <c r="AB13848" s="1"/>
    </row>
    <row r="13849" ht="50.25" customHeight="1">
      <c r="A13849" s="12">
        <v>13845.0</v>
      </c>
      <c r="B13849" s="13" t="s">
        <v>13090</v>
      </c>
      <c r="C13849" s="14" t="s">
        <v>13115</v>
      </c>
      <c r="D13849" s="1"/>
      <c r="E13849" s="1"/>
      <c r="F13849" s="1" t="str">
        <f>IFERROR(__xludf.DUMMYFUNCTION("GOOGLETRANSLATE(B13849, ""en"", ""fa"")
"),"نسل سرب تلفن")</f>
        <v>نسل سرب تلفن</v>
      </c>
      <c r="G13849" s="1" t="str">
        <f>IFERROR(__xludf.DUMMYFUNCTION("GOOGLETRANSLATE(C13849, ""en"", ""fa"")
"),"طرحی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f>
        <v>طرحی را برای استفاده از شواهد اجتماعی و گواهینامه ها در طول فرآیند جستجو ترسیم کنید. مشخص کنید که چگونه می‌توانیم نظرات مثبت، مطالعات موردی یا داستان‌های موفقیت مشتری را برای ایجاد اعتبار و اعتماد با مشتریان بالقوه به نمایش بگذاریم.</v>
      </c>
      <c r="H13849" s="1"/>
      <c r="I13849" s="1"/>
      <c r="J13849" s="1"/>
      <c r="K13849" s="1"/>
      <c r="L13849" s="1"/>
      <c r="M13849" s="1"/>
      <c r="N13849" s="1"/>
      <c r="O13849" s="1"/>
      <c r="P13849" s="1"/>
      <c r="Q13849" s="1"/>
      <c r="R13849" s="1"/>
      <c r="S13849" s="1"/>
      <c r="T13849" s="1"/>
      <c r="U13849" s="1"/>
      <c r="V13849" s="1"/>
      <c r="W13849" s="1"/>
      <c r="X13849" s="1"/>
      <c r="Y13849" s="1"/>
      <c r="Z13849" s="1"/>
      <c r="AA13849" s="1"/>
      <c r="AB13849" s="1"/>
    </row>
    <row r="13850" ht="50.25" customHeight="1">
      <c r="A13850" s="12">
        <v>13846.0</v>
      </c>
      <c r="B13850" s="13" t="s">
        <v>13090</v>
      </c>
      <c r="C13850" s="14" t="s">
        <v>13116</v>
      </c>
      <c r="D13850" s="1"/>
      <c r="E13850" s="1"/>
      <c r="F13850" s="1" t="str">
        <f>IFERROR(__xludf.DUMMYFUNCTION("GOOGLETRANSLATE(B13850, ""en"", ""fa"")
"),"نسل سرب تلفن")</f>
        <v>نسل سرب تلفن</v>
      </c>
      <c r="G13850" s="1" t="str">
        <f>IFERROR(__xludf.DUMMYFUNCTION("GOOGLETRANSLATE(C13850, ""en"", ""fa"")
"),"تأثیرگذاران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f>
        <v>تأثیرگذاران کلیدی صنعت یا رهبران فکری که با مخاطبان هدف ما همسو هستند را فهرست کنید. یک استراتژی تعامل برای ارتباط با آنها، ارائه بینش های ارزشمند، و کشف همکاری های بالقوه برای گسترش دسترسی و جذب افراد بالقوه طراحی کنید.</v>
      </c>
      <c r="H13850" s="1"/>
      <c r="I13850" s="1"/>
      <c r="J13850" s="1"/>
      <c r="K13850" s="1"/>
      <c r="L13850" s="1"/>
      <c r="M13850" s="1"/>
      <c r="N13850" s="1"/>
      <c r="O13850" s="1"/>
      <c r="P13850" s="1"/>
      <c r="Q13850" s="1"/>
      <c r="R13850" s="1"/>
      <c r="S13850" s="1"/>
      <c r="T13850" s="1"/>
      <c r="U13850" s="1"/>
      <c r="V13850" s="1"/>
      <c r="W13850" s="1"/>
      <c r="X13850" s="1"/>
      <c r="Y13850" s="1"/>
      <c r="Z13850" s="1"/>
      <c r="AA13850" s="1"/>
      <c r="AB13850" s="1"/>
    </row>
    <row r="13851" ht="50.25" customHeight="1">
      <c r="A13851" s="12">
        <v>13847.0</v>
      </c>
      <c r="B13851" s="13" t="s">
        <v>13090</v>
      </c>
      <c r="C13851" s="14" t="s">
        <v>13117</v>
      </c>
      <c r="D13851" s="1"/>
      <c r="E13851" s="1"/>
      <c r="F13851" s="1" t="str">
        <f>IFERROR(__xludf.DUMMYFUNCTION("GOOGLETRANSLATE(B13851, ""en"", ""fa"")
"),"نسل سرب تلفن")</f>
        <v>نسل سرب تلفن</v>
      </c>
      <c r="G13851" s="1" t="str">
        <f>IFERROR(__xludf.DUMMYFUNCTION("GOOGLETRANSLATE(C13851, ""en"", ""fa"")
"),"یک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"&amp;"تبدیل را برای ایجاد تعامل مجدد بیان کنید.")</f>
        <v>یک استراتژی برای استفاده از کمپین‌های بازاریابی مجدد یا هدف‌گیری مجدد برای تعامل با مشتریان احتمالی که از وب‌سایت ما بازدید کرده‌اند یا با محتوای ما تعامل داشته‌اند، اما تغییری ایجاد نکرده‌اند، برنامه‌ریزی کنید. روش‌های پیام‌رسانی، پلتفرم‌ها و بهینه‌سازی تبدیل را برای ایجاد تعامل مجدد بیان کنید.</v>
      </c>
      <c r="H13851" s="1"/>
      <c r="I13851" s="1"/>
      <c r="J13851" s="1"/>
      <c r="K13851" s="1"/>
      <c r="L13851" s="1"/>
      <c r="M13851" s="1"/>
      <c r="N13851" s="1"/>
      <c r="O13851" s="1"/>
      <c r="P13851" s="1"/>
      <c r="Q13851" s="1"/>
      <c r="R13851" s="1"/>
      <c r="S13851" s="1"/>
      <c r="T13851" s="1"/>
      <c r="U13851" s="1"/>
      <c r="V13851" s="1"/>
      <c r="W13851" s="1"/>
      <c r="X13851" s="1"/>
      <c r="Y13851" s="1"/>
      <c r="Z13851" s="1"/>
      <c r="AA13851" s="1"/>
      <c r="AB13851" s="1"/>
    </row>
    <row r="13852" ht="50.25" customHeight="1">
      <c r="A13852" s="12">
        <v>13848.0</v>
      </c>
      <c r="B13852" s="13" t="s">
        <v>13090</v>
      </c>
      <c r="C13852" s="14" t="s">
        <v>13118</v>
      </c>
      <c r="D13852" s="1"/>
      <c r="E13852" s="1"/>
      <c r="F13852" s="1" t="str">
        <f>IFERROR(__xludf.DUMMYFUNCTION("GOOGLETRANSLATE(B13852, ""en"", ""fa"")
"),"نسل سرب تلفن")</f>
        <v>نسل سرب تلفن</v>
      </c>
      <c r="G13852" s="1" t="str">
        <f>IFERROR(__xludf.DUMMYFUNCTION("GOOGLETRANSLATE(C13852, ""en"", ""fa"")
"),"هزینه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f>
        <v>هزینه تخمینی هر سرنخ (CPL) و هزینه جذب مشتری (CAC) را برای هر کانال جستجوگر محاسبه کنید. این به ما کمک می کند تا بودجه خود را به طور موثر تخصیص دهیم و در مورد تخصیص منابع و تجزیه و تحلیل ROI تصمیمات آگاهانه بگیریم.</v>
      </c>
      <c r="H13852" s="1"/>
      <c r="I13852" s="1"/>
      <c r="J13852" s="1"/>
      <c r="K13852" s="1"/>
      <c r="L13852" s="1"/>
      <c r="M13852" s="1"/>
      <c r="N13852" s="1"/>
      <c r="O13852" s="1"/>
      <c r="P13852" s="1"/>
      <c r="Q13852" s="1"/>
      <c r="R13852" s="1"/>
      <c r="S13852" s="1"/>
      <c r="T13852" s="1"/>
      <c r="U13852" s="1"/>
      <c r="V13852" s="1"/>
      <c r="W13852" s="1"/>
      <c r="X13852" s="1"/>
      <c r="Y13852" s="1"/>
      <c r="Z13852" s="1"/>
      <c r="AA13852" s="1"/>
      <c r="AB13852" s="1"/>
    </row>
    <row r="13853" ht="50.25" customHeight="1">
      <c r="A13853" s="12">
        <v>13849.0</v>
      </c>
      <c r="B13853" s="13" t="s">
        <v>13090</v>
      </c>
      <c r="C13853" s="14" t="s">
        <v>13119</v>
      </c>
      <c r="D13853" s="1"/>
      <c r="E13853" s="1"/>
      <c r="F13853" s="1" t="str">
        <f>IFERROR(__xludf.DUMMYFUNCTION("GOOGLETRANSLATE(B13853, ""en"", ""fa"")
"),"نسل سرب تلفن")</f>
        <v>نسل سرب تلفن</v>
      </c>
      <c r="G13853" s="1" t="str">
        <f>IFERROR(__xludf.DUMMYFUNCTION("GOOGLETRANSLATE(C13853, ""en"", ""fa"")
"),"مزایای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f>
        <v>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v>
      </c>
      <c r="H13853" s="1"/>
      <c r="I13853" s="1"/>
      <c r="J13853" s="1"/>
      <c r="K13853" s="1"/>
      <c r="L13853" s="1"/>
      <c r="M13853" s="1"/>
      <c r="N13853" s="1"/>
      <c r="O13853" s="1"/>
      <c r="P13853" s="1"/>
      <c r="Q13853" s="1"/>
      <c r="R13853" s="1"/>
      <c r="S13853" s="1"/>
      <c r="T13853" s="1"/>
      <c r="U13853" s="1"/>
      <c r="V13853" s="1"/>
      <c r="W13853" s="1"/>
      <c r="X13853" s="1"/>
      <c r="Y13853" s="1"/>
      <c r="Z13853" s="1"/>
      <c r="AA13853" s="1"/>
      <c r="AB13853" s="1"/>
    </row>
    <row r="13854" ht="50.25" customHeight="1">
      <c r="A13854" s="12">
        <v>13850.0</v>
      </c>
      <c r="B13854" s="13" t="s">
        <v>13090</v>
      </c>
      <c r="C13854" s="14" t="s">
        <v>13120</v>
      </c>
      <c r="D13854" s="1"/>
      <c r="E13854" s="1"/>
      <c r="F13854" s="1" t="str">
        <f>IFERROR(__xludf.DUMMYFUNCTION("GOOGLETRANSLATE(B13854, ""en"", ""fa"")
"),"نسل سرب تلفن")</f>
        <v>نسل سرب تلفن</v>
      </c>
      <c r="G13854" s="1" t="str">
        <f>IFERROR(__xludf.DUMMYFUNCTION("GOOGLETRANSLATE(C13854, ""en"", ""fa"")
"),"طرحی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f>
        <v>طرحی برای استفاده از تبلیغات آنلاین، مانند کمپین‌های پرداخت به ازای کلیک (PPC) یا تبلیغات رسانه‌های اجتماعی، برای جذب مشتریان بالقوه طراحی کنید. مخاطبین هدف، پلتفرم ها، پیام رسانی و تخصیص بودجه برای این کمپین ها را شناسایی کنید.</v>
      </c>
      <c r="H13854" s="1"/>
      <c r="I13854" s="1"/>
      <c r="J13854" s="1"/>
      <c r="K13854" s="1"/>
      <c r="L13854" s="1"/>
      <c r="M13854" s="1"/>
      <c r="N13854" s="1"/>
      <c r="O13854" s="1"/>
      <c r="P13854" s="1"/>
      <c r="Q13854" s="1"/>
      <c r="R13854" s="1"/>
      <c r="S13854" s="1"/>
      <c r="T13854" s="1"/>
      <c r="U13854" s="1"/>
      <c r="V13854" s="1"/>
      <c r="W13854" s="1"/>
      <c r="X13854" s="1"/>
      <c r="Y13854" s="1"/>
      <c r="Z13854" s="1"/>
      <c r="AA13854" s="1"/>
      <c r="AB13854" s="1"/>
    </row>
    <row r="13855" ht="50.25" customHeight="1">
      <c r="A13855" s="12">
        <v>13851.0</v>
      </c>
      <c r="B13855" s="13" t="s">
        <v>13090</v>
      </c>
      <c r="C13855" s="14" t="s">
        <v>13121</v>
      </c>
      <c r="D13855" s="1"/>
      <c r="E13855" s="1"/>
      <c r="F13855" s="1" t="str">
        <f>IFERROR(__xludf.DUMMYFUNCTION("GOOGLETRANSLATE(B13855, ""en"", ""fa"")
"),"نسل سرب تلفن")</f>
        <v>نسل سرب تلفن</v>
      </c>
      <c r="G13855" s="1" t="str">
        <f>IFERROR(__xludf.DUMMYFUNCTION("GOOGLETRANSLATE(C13855, ""en"", ""fa"")
"),"الگویی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f>
        <v>الگویی برای یک پیام پست صوتی کاوشگر بنویسید که مختصر، جذاب باشد و از مشتری درخواست کند که تماس را پاسخ دهد یا بیشتر درگیر شود. مولفه‌ها و استراتژی‌های کلیدی را برای گذاشتن پست‌های صوتی تاثیرگذار که پاسخ تماس ایجاد می‌کنند، مشخص کنید.</v>
      </c>
      <c r="H13855" s="1"/>
      <c r="I13855" s="1"/>
      <c r="J13855" s="1"/>
      <c r="K13855" s="1"/>
      <c r="L13855" s="1"/>
      <c r="M13855" s="1"/>
      <c r="N13855" s="1"/>
      <c r="O13855" s="1"/>
      <c r="P13855" s="1"/>
      <c r="Q13855" s="1"/>
      <c r="R13855" s="1"/>
      <c r="S13855" s="1"/>
      <c r="T13855" s="1"/>
      <c r="U13855" s="1"/>
      <c r="V13855" s="1"/>
      <c r="W13855" s="1"/>
      <c r="X13855" s="1"/>
      <c r="Y13855" s="1"/>
      <c r="Z13855" s="1"/>
      <c r="AA13855" s="1"/>
      <c r="AB13855" s="1"/>
    </row>
    <row r="13856" ht="50.25" customHeight="1">
      <c r="A13856" s="12">
        <v>13852.0</v>
      </c>
      <c r="B13856" s="13" t="s">
        <v>13090</v>
      </c>
      <c r="C13856" s="14" t="s">
        <v>13122</v>
      </c>
      <c r="D13856" s="1"/>
      <c r="E13856" s="1"/>
      <c r="F13856" s="1" t="str">
        <f>IFERROR(__xludf.DUMMYFUNCTION("GOOGLETRANSLATE(B13856, ""en"", ""fa"")
"),"نسل سرب تلفن")</f>
        <v>نسل سرب تلفن</v>
      </c>
      <c r="G13856" s="1" t="str">
        <f>IFERROR(__xludf.DUMMYFUNCTION("GOOGLETRANSLATE(C13856, ""en"", ""fa"")
"),"یک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f>
        <v>یک طرح کلی برای یک کمپین پرورش رهبر که با احتمالی که هنوز آماده خرید نیستند را دنبال کنید. محتوا، زمان‌بندی و تاکتیک‌های تعامل را برای پرورش سرنخ‌ها مشخص کنید و تا زمانی که آنها آماده تبدیل شوند در ذهن خود باقی بمانید.</v>
      </c>
      <c r="H13856" s="1"/>
      <c r="I13856" s="1"/>
      <c r="J13856" s="1"/>
      <c r="K13856" s="1"/>
      <c r="L13856" s="1"/>
      <c r="M13856" s="1"/>
      <c r="N13856" s="1"/>
      <c r="O13856" s="1"/>
      <c r="P13856" s="1"/>
      <c r="Q13856" s="1"/>
      <c r="R13856" s="1"/>
      <c r="S13856" s="1"/>
      <c r="T13856" s="1"/>
      <c r="U13856" s="1"/>
      <c r="V13856" s="1"/>
      <c r="W13856" s="1"/>
      <c r="X13856" s="1"/>
      <c r="Y13856" s="1"/>
      <c r="Z13856" s="1"/>
      <c r="AA13856" s="1"/>
      <c r="AB13856" s="1"/>
    </row>
    <row r="13857" ht="50.25" customHeight="1">
      <c r="A13857" s="12">
        <v>13853.0</v>
      </c>
      <c r="B13857" s="13" t="s">
        <v>13090</v>
      </c>
      <c r="C13857" s="14" t="s">
        <v>13123</v>
      </c>
      <c r="D13857" s="1"/>
      <c r="E13857" s="1"/>
      <c r="F13857" s="1" t="str">
        <f>IFERROR(__xludf.DUMMYFUNCTION("GOOGLETRANSLATE(B13857, ""en"", ""fa"")
"),"نسل سرب تلفن")</f>
        <v>نسل سرب تلفن</v>
      </c>
      <c r="G13857" s="1" t="str">
        <f>IFERROR(__xludf.DUMMYFUNCTION("GOOGLETRANSLATE(C13857, ""en"", ""fa"")
"),"فرآیندی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ک"&amp;"نیم.")</f>
        <v>فرآیندی را برای تقسیم‌بندی پایگاه داده مشتری بر اساس معیارهایی مانند صنعت، اندازه شرکت، موقعیت جغرافیایی یا نقاط درد برنامه‌ریزی کنید. تشریح کنید که چگونه می‌توانیم ارتباط خود را شخصی‌سازی کنیم و پیام‌های خود را برای جستجوی مؤثرتر برای بخش‌های خاص تنظیم کنیم.</v>
      </c>
      <c r="H13857" s="1"/>
      <c r="I13857" s="1"/>
      <c r="J13857" s="1"/>
      <c r="K13857" s="1"/>
      <c r="L13857" s="1"/>
      <c r="M13857" s="1"/>
      <c r="N13857" s="1"/>
      <c r="O13857" s="1"/>
      <c r="P13857" s="1"/>
      <c r="Q13857" s="1"/>
      <c r="R13857" s="1"/>
      <c r="S13857" s="1"/>
      <c r="T13857" s="1"/>
      <c r="U13857" s="1"/>
      <c r="V13857" s="1"/>
      <c r="W13857" s="1"/>
      <c r="X13857" s="1"/>
      <c r="Y13857" s="1"/>
      <c r="Z13857" s="1"/>
      <c r="AA13857" s="1"/>
      <c r="AB13857" s="1"/>
    </row>
    <row r="13858" ht="50.25" customHeight="1">
      <c r="A13858" s="12">
        <v>13854.0</v>
      </c>
      <c r="B13858" s="13" t="s">
        <v>13090</v>
      </c>
      <c r="C13858" s="14" t="s">
        <v>13124</v>
      </c>
      <c r="D13858" s="1"/>
      <c r="E13858" s="1"/>
      <c r="F13858" s="1" t="str">
        <f>IFERROR(__xludf.DUMMYFUNCTION("GOOGLETRANSLATE(B13858, ""en"", ""fa"")
"),"نسل سرب تلفن")</f>
        <v>نسل سرب تلفن</v>
      </c>
      <c r="G13858" s="1" t="str">
        <f>IFERROR(__xludf.DUMMYFUNCTION("GOOGLETRANSLATE(C13858, ""en"", ""fa"")
"),"یک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f>
        <v>یک استراتژی برای استفاده از محتوای رهبری فکری در فرآیند جستجو ابداع کنید. نحوه ایجاد و توزیع محتوای با ارزش، مانند کاغذهای سفید، گزارش‌های صنعتی، یا راهنماهای خبره، را مشخص کنید تا خود را به‌عنوان مقامات قابل اعتماد معرفی کنیم و افراد بالقوه را جذب کنیم.</v>
      </c>
      <c r="H13858" s="1"/>
      <c r="I13858" s="1"/>
      <c r="J13858" s="1"/>
      <c r="K13858" s="1"/>
      <c r="L13858" s="1"/>
      <c r="M13858" s="1"/>
      <c r="N13858" s="1"/>
      <c r="O13858" s="1"/>
      <c r="P13858" s="1"/>
      <c r="Q13858" s="1"/>
      <c r="R13858" s="1"/>
      <c r="S13858" s="1"/>
      <c r="T13858" s="1"/>
      <c r="U13858" s="1"/>
      <c r="V13858" s="1"/>
      <c r="W13858" s="1"/>
      <c r="X13858" s="1"/>
      <c r="Y13858" s="1"/>
      <c r="Z13858" s="1"/>
      <c r="AA13858" s="1"/>
      <c r="AB13858" s="1"/>
    </row>
    <row r="13859" ht="50.25" customHeight="1">
      <c r="A13859" s="12">
        <v>13855.0</v>
      </c>
      <c r="B13859" s="13" t="s">
        <v>13090</v>
      </c>
      <c r="C13859" s="14" t="s">
        <v>13125</v>
      </c>
      <c r="D13859" s="1"/>
      <c r="E13859" s="1"/>
      <c r="F13859" s="1" t="str">
        <f>IFERROR(__xludf.DUMMYFUNCTION("GOOGLETRANSLATE(B13859, ""en"", ""fa"")
"),"نسل سرب تلفن")</f>
        <v>نسل سرب تلفن</v>
      </c>
      <c r="G13859" s="1" t="str">
        <f>IFERROR(__xludf.DUMMYFUNCTION("GOOGLETRANSLATE(C13859, ""en"", ""fa"")
"),"طرحی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بی"&amp;"ن مشتریان بالقوه علاقه ایجاد کنیم.")</f>
        <v>طرحی را برای استفاده از توصیفات مشتری یا مطالعات موردی در طول فرآیند جستجو ترسیم کنید. مشخص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در بین مشتریان بالقوه علاقه ایجاد کنیم.</v>
      </c>
      <c r="H13859" s="1"/>
      <c r="I13859" s="1"/>
      <c r="J13859" s="1"/>
      <c r="K13859" s="1"/>
      <c r="L13859" s="1"/>
      <c r="M13859" s="1"/>
      <c r="N13859" s="1"/>
      <c r="O13859" s="1"/>
      <c r="P13859" s="1"/>
      <c r="Q13859" s="1"/>
      <c r="R13859" s="1"/>
      <c r="S13859" s="1"/>
      <c r="T13859" s="1"/>
      <c r="U13859" s="1"/>
      <c r="V13859" s="1"/>
      <c r="W13859" s="1"/>
      <c r="X13859" s="1"/>
      <c r="Y13859" s="1"/>
      <c r="Z13859" s="1"/>
      <c r="AA13859" s="1"/>
      <c r="AB13859" s="1"/>
    </row>
    <row r="13860" ht="50.25" customHeight="1">
      <c r="A13860" s="12">
        <v>13856.0</v>
      </c>
      <c r="B13860" s="13" t="s">
        <v>13090</v>
      </c>
      <c r="C13860" s="14" t="s">
        <v>13106</v>
      </c>
      <c r="D13860" s="1"/>
      <c r="E13860" s="1"/>
      <c r="F13860" s="1" t="str">
        <f>IFERROR(__xludf.DUMMYFUNCTION("GOOGLETRANSLATE(B13860, ""en"", ""fa"")
"),"نسل سرب تلفن")</f>
        <v>نسل سرب تلفن</v>
      </c>
      <c r="G13860" s="1" t="str">
        <f>IFERROR(__xludf.DUMMYFUNCTION("GOOGLETRANSLATE(C13860, ""en"", ""fa"")
"),"رویدادهای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f>
        <v>رویدادهای شبکه یا کنفرانس های کلیدی مرتبط با صنعت ما را فهرست کنید. درباره این رویدادها، شرکت کنندگان و سخنرانان آنها تحقیق کنید تا بالقوه‌های احتمالی را شناسایی کنید و استراتژی مشارکت خود را بر اساس آن برنامه‌ریزی کنید.</v>
      </c>
      <c r="H13860" s="1"/>
      <c r="I13860" s="1"/>
      <c r="J13860" s="1"/>
      <c r="K13860" s="1"/>
      <c r="L13860" s="1"/>
      <c r="M13860" s="1"/>
      <c r="N13860" s="1"/>
      <c r="O13860" s="1"/>
      <c r="P13860" s="1"/>
      <c r="Q13860" s="1"/>
      <c r="R13860" s="1"/>
      <c r="S13860" s="1"/>
      <c r="T13860" s="1"/>
      <c r="U13860" s="1"/>
      <c r="V13860" s="1"/>
      <c r="W13860" s="1"/>
      <c r="X13860" s="1"/>
      <c r="Y13860" s="1"/>
      <c r="Z13860" s="1"/>
      <c r="AA13860" s="1"/>
      <c r="AB13860" s="1"/>
    </row>
    <row r="13861" ht="50.25" customHeight="1">
      <c r="A13861" s="12">
        <v>13857.0</v>
      </c>
      <c r="B13861" s="13" t="s">
        <v>13090</v>
      </c>
      <c r="C13861" s="14" t="s">
        <v>13107</v>
      </c>
      <c r="D13861" s="1"/>
      <c r="E13861" s="1"/>
      <c r="F13861" s="1" t="str">
        <f>IFERROR(__xludf.DUMMYFUNCTION("GOOGLETRANSLATE(B13861, ""en"", ""fa"")
"),"نسل سرب تلفن")</f>
        <v>نسل سرب تلفن</v>
      </c>
      <c r="G13861" s="1" t="str">
        <f>IFERROR(__xludf.DUMMYFUNCTION("GOOGLETRANSLATE(C13861, ""en"", ""fa"")
"),"چالش‌ها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f>
        <v>چالش‌ها یا اعتراض‌هایی که معمولاً در طول کاوش و تولید سرنخ با آن‌ها مواجه می‌شوند را مشخص کنید. استراتژی ها و پاسخ هایی برای غلبه بر این چالش ها ابداع کنید و به طور موثر به مخالفت ها رسیدگی کنید تا روند جستجو را در مسیر خود نگه دارید.</v>
      </c>
      <c r="H13861" s="1"/>
      <c r="I13861" s="1"/>
      <c r="J13861" s="1"/>
      <c r="K13861" s="1"/>
      <c r="L13861" s="1"/>
      <c r="M13861" s="1"/>
      <c r="N13861" s="1"/>
      <c r="O13861" s="1"/>
      <c r="P13861" s="1"/>
      <c r="Q13861" s="1"/>
      <c r="R13861" s="1"/>
      <c r="S13861" s="1"/>
      <c r="T13861" s="1"/>
      <c r="U13861" s="1"/>
      <c r="V13861" s="1"/>
      <c r="W13861" s="1"/>
      <c r="X13861" s="1"/>
      <c r="Y13861" s="1"/>
      <c r="Z13861" s="1"/>
      <c r="AA13861" s="1"/>
      <c r="AB13861" s="1"/>
    </row>
    <row r="13862" ht="50.25" customHeight="1">
      <c r="A13862" s="12">
        <v>13858.0</v>
      </c>
      <c r="B13862" s="13" t="s">
        <v>13090</v>
      </c>
      <c r="C13862" s="14" t="s">
        <v>13108</v>
      </c>
      <c r="D13862" s="1"/>
      <c r="E13862" s="1"/>
      <c r="F13862" s="1" t="str">
        <f>IFERROR(__xludf.DUMMYFUNCTION("GOOGLETRANSLATE(B13862, ""en"", ""fa"")
"),"نسل سرب تلفن")</f>
        <v>نسل سرب تلفن</v>
      </c>
      <c r="G13862" s="1" t="str">
        <f>IFERROR(__xludf.DUMMYFUNCTION("GOOGLETRANSLATE(C13862, ""en"", ""fa"")
"),"یک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این"&amp;" طریق بین مشتریان بالقوه علاقه ایجاد کنیم.")</f>
        <v>یک استراتژی برای استفاده از توصیفات مشتری یا مطالعات موردی در طول فرآیند جستجو برنامه ریزی کنید. تشریح کنید که چگونه می‌توانیم از این دارایی‌ها برای نشان دادن ارزش و موفقیتی که محصول یا خدمات ما برای مشتریان فعلی به ارمغان آورده است، استفاده کنیم و از این طریق بین مشتریان بالقوه علاقه ایجاد کنیم.</v>
      </c>
      <c r="H13862" s="1"/>
      <c r="I13862" s="1"/>
      <c r="J13862" s="1"/>
      <c r="K13862" s="1"/>
      <c r="L13862" s="1"/>
      <c r="M13862" s="1"/>
      <c r="N13862" s="1"/>
      <c r="O13862" s="1"/>
      <c r="P13862" s="1"/>
      <c r="Q13862" s="1"/>
      <c r="R13862" s="1"/>
      <c r="S13862" s="1"/>
      <c r="T13862" s="1"/>
      <c r="U13862" s="1"/>
      <c r="V13862" s="1"/>
      <c r="W13862" s="1"/>
      <c r="X13862" s="1"/>
      <c r="Y13862" s="1"/>
      <c r="Z13862" s="1"/>
      <c r="AA13862" s="1"/>
      <c r="AB13862" s="1"/>
    </row>
    <row r="13863" ht="50.25" customHeight="1">
      <c r="A13863" s="12">
        <v>13859.0</v>
      </c>
      <c r="B13863" s="13" t="s">
        <v>13090</v>
      </c>
      <c r="C13863" s="14" t="s">
        <v>13109</v>
      </c>
      <c r="D13863" s="1"/>
      <c r="E13863" s="1"/>
      <c r="F13863" s="1" t="str">
        <f>IFERROR(__xludf.DUMMYFUNCTION("GOOGLETRANSLATE(B13863, ""en"", ""fa"")
"),"نسل سرب تلفن")</f>
        <v>نسل سرب تلفن</v>
      </c>
      <c r="G13863" s="1" t="str">
        <f>IFERROR(__xludf.DUMMYFUNCTION("GOOGLETRANSLATE(C13863, ""en"", ""fa"")
"),"فرآیندی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f>
        <v>فرآیندی برای جمع‌آوری و تجزیه و تحلیل داده‌های بالقوه برای شناسایی الگوها، روندها و فرصت‌ها برای جستجوی مؤثرتر طراحی کنید. استفاده از تجزیه و تحلیل داده ها و ابزارهای مدیریت ارتباط با مشتری (CRM) را برای ردیابی تعاملات و رفتار بالقوه کاوش کنید.</v>
      </c>
      <c r="H13863" s="1"/>
      <c r="I13863" s="1"/>
      <c r="J13863" s="1"/>
      <c r="K13863" s="1"/>
      <c r="L13863" s="1"/>
      <c r="M13863" s="1"/>
      <c r="N13863" s="1"/>
      <c r="O13863" s="1"/>
      <c r="P13863" s="1"/>
      <c r="Q13863" s="1"/>
      <c r="R13863" s="1"/>
      <c r="S13863" s="1"/>
      <c r="T13863" s="1"/>
      <c r="U13863" s="1"/>
      <c r="V13863" s="1"/>
      <c r="W13863" s="1"/>
      <c r="X13863" s="1"/>
      <c r="Y13863" s="1"/>
      <c r="Z13863" s="1"/>
      <c r="AA13863" s="1"/>
      <c r="AB13863" s="1"/>
    </row>
    <row r="13864" ht="50.25" customHeight="1">
      <c r="A13864" s="12">
        <v>13860.0</v>
      </c>
      <c r="B13864" s="13" t="s">
        <v>13090</v>
      </c>
      <c r="C13864" s="14" t="s">
        <v>13119</v>
      </c>
      <c r="D13864" s="1"/>
      <c r="E13864" s="1"/>
      <c r="F13864" s="1" t="str">
        <f>IFERROR(__xludf.DUMMYFUNCTION("GOOGLETRANSLATE(B13864, ""en"", ""fa"")
"),"نسل سرب تلفن")</f>
        <v>نسل سرب تلفن</v>
      </c>
      <c r="G13864" s="1" t="str">
        <f>IFERROR(__xludf.DUMMYFUNCTION("GOOGLETRANSLATE(C13864, ""en"", ""fa"")
"),"مزایای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f>
        <v>مزایای استفاده از داده های مشتری و تکنیک های شخصی سازی در فرآیند جستجو را خلاصه کنید. نشان دهید که چگونه درک اولویت‌های مشتری، نقاط دردناک و داده‌های رفتاری می‌تواند منجر به دسترسی مؤثرتر و نرخ تبدیل بالاتر شود.</v>
      </c>
      <c r="H13864" s="1"/>
      <c r="I13864" s="1"/>
      <c r="J13864" s="1"/>
      <c r="K13864" s="1"/>
      <c r="L13864" s="1"/>
      <c r="M13864" s="1"/>
      <c r="N13864" s="1"/>
      <c r="O13864" s="1"/>
      <c r="P13864" s="1"/>
      <c r="Q13864" s="1"/>
      <c r="R13864" s="1"/>
      <c r="S13864" s="1"/>
      <c r="T13864" s="1"/>
      <c r="U13864" s="1"/>
      <c r="V13864" s="1"/>
      <c r="W13864" s="1"/>
      <c r="X13864" s="1"/>
      <c r="Y13864" s="1"/>
      <c r="Z13864" s="1"/>
      <c r="AA13864" s="1"/>
      <c r="AB13864" s="1"/>
    </row>
    <row r="13865" ht="50.25" customHeight="1">
      <c r="A13865" s="12">
        <v>13861.0</v>
      </c>
      <c r="B13865" s="13" t="s">
        <v>13090</v>
      </c>
      <c r="C13865" s="14" t="s">
        <v>13126</v>
      </c>
      <c r="D13865" s="1"/>
      <c r="E13865" s="1"/>
      <c r="F13865" s="1" t="str">
        <f>IFERROR(__xludf.DUMMYFUNCTION("GOOGLETRANSLATE(B13865, ""en"", ""fa"")
"),"نسل سرب تلفن")</f>
        <v>نسل سرب تلفن</v>
      </c>
      <c r="G13865" s="1" t="str">
        <f>IFERROR(__xludf.DUMMYFUNCTION("GOOGLETRANSLATE(C13865, ""en"", ""fa"")
"),"یک طرح فروش متقاعدکننده بنویسید که ویژگی‌ها و مزایای منحصر به فرد محصول/خدمت ما را برجسته می‌کند، متناسب با نیازهای خاص مشتری و نقاط دردناک.")</f>
        <v>یک طرح فروش متقاعدکننده بنویسید که ویژگی‌ها و مزایای منحصر به فرد محصول/خدمت ما را برجسته می‌کند، متناسب با نیازهای خاص مشتری و نقاط دردناک.</v>
      </c>
      <c r="H13865" s="1"/>
      <c r="I13865" s="1"/>
      <c r="J13865" s="1"/>
      <c r="K13865" s="1"/>
      <c r="L13865" s="1"/>
      <c r="M13865" s="1"/>
      <c r="N13865" s="1"/>
      <c r="O13865" s="1"/>
      <c r="P13865" s="1"/>
      <c r="Q13865" s="1"/>
      <c r="R13865" s="1"/>
      <c r="S13865" s="1"/>
      <c r="T13865" s="1"/>
      <c r="U13865" s="1"/>
      <c r="V13865" s="1"/>
      <c r="W13865" s="1"/>
      <c r="X13865" s="1"/>
      <c r="Y13865" s="1"/>
      <c r="Z13865" s="1"/>
      <c r="AA13865" s="1"/>
      <c r="AB13865" s="1"/>
    </row>
    <row r="13866" ht="50.25" customHeight="1">
      <c r="A13866" s="12">
        <v>13862.0</v>
      </c>
      <c r="B13866" s="13" t="s">
        <v>13090</v>
      </c>
      <c r="C13866" s="14" t="s">
        <v>13127</v>
      </c>
      <c r="D13866" s="1"/>
      <c r="E13866" s="1"/>
      <c r="F13866" s="1" t="str">
        <f>IFERROR(__xludf.DUMMYFUNCTION("GOOGLETRANSLATE(B13866, ""en"", ""fa"")
"),"نسل سرب تلفن")</f>
        <v>نسل سرب تلفن</v>
      </c>
      <c r="G13866" s="1" t="str">
        <f>IFERROR(__xludf.DUMMYFUNCTION("GOOGLETRANSLATE(C13866, ""en"", ""fa"")
"),"ایرادات یا نگرانی‌های کلیدی را که مشتریان احتمالی معمولاً در طول ارائه‌ها مطرح می‌کنند، فهرست کنید و پاسخ‌های مؤثری را برای رسیدگی و غلبه بر آنها طراحی کنید.")</f>
        <v>ایرادات یا نگرانی‌های کلیدی را که مشتریان احتمالی معمولاً در طول ارائه‌ها مطرح می‌کنند، فهرست کنید و پاسخ‌های مؤثری را برای رسیدگی و غلبه بر آنها طراحی کنید.</v>
      </c>
      <c r="H13866" s="1"/>
      <c r="I13866" s="1"/>
      <c r="J13866" s="1"/>
      <c r="K13866" s="1"/>
      <c r="L13866" s="1"/>
      <c r="M13866" s="1"/>
      <c r="N13866" s="1"/>
      <c r="O13866" s="1"/>
      <c r="P13866" s="1"/>
      <c r="Q13866" s="1"/>
      <c r="R13866" s="1"/>
      <c r="S13866" s="1"/>
      <c r="T13866" s="1"/>
      <c r="U13866" s="1"/>
      <c r="V13866" s="1"/>
      <c r="W13866" s="1"/>
      <c r="X13866" s="1"/>
      <c r="Y13866" s="1"/>
      <c r="Z13866" s="1"/>
      <c r="AA13866" s="1"/>
      <c r="AB13866" s="1"/>
    </row>
    <row r="13867" ht="50.25" customHeight="1">
      <c r="A13867" s="12">
        <v>13863.0</v>
      </c>
      <c r="B13867" s="13" t="s">
        <v>13090</v>
      </c>
      <c r="C13867" s="14" t="s">
        <v>13128</v>
      </c>
      <c r="D13867" s="1"/>
      <c r="E13867" s="1"/>
      <c r="F13867" s="1" t="str">
        <f>IFERROR(__xludf.DUMMYFUNCTION("GOOGLETRANSLATE(B13867, ""en"", ""fa"")
"),"نسل سرب تلفن")</f>
        <v>نسل سرب تلفن</v>
      </c>
      <c r="G13867" s="1" t="str">
        <f>IFERROR(__xludf.DUMMYFUNCTION("GOOGLETRANSLATE(C13867, ""en"", ""fa"")
"),"ویژگی‌های اصلی محصول/خدمات ما را که مستقیماً با نیازها و چالش‌های اعلام‌شده مشتری مطابقت دارد، با تأکید بر اینکه چگونه راه‌حلی جامع ارائه می‌دهند، مشخص کنید.")</f>
        <v>ویژگی‌های اصلی محصول/خدمات ما را که مستقیماً با نیازها و چالش‌های اعلام‌شده مشتری مطابقت دارد، با تأکید بر اینکه چگونه راه‌حلی جامع ارائه می‌دهند، مشخص کنید.</v>
      </c>
      <c r="H13867" s="1"/>
      <c r="I13867" s="1"/>
      <c r="J13867" s="1"/>
      <c r="K13867" s="1"/>
      <c r="L13867" s="1"/>
      <c r="M13867" s="1"/>
      <c r="N13867" s="1"/>
      <c r="O13867" s="1"/>
      <c r="P13867" s="1"/>
      <c r="Q13867" s="1"/>
      <c r="R13867" s="1"/>
      <c r="S13867" s="1"/>
      <c r="T13867" s="1"/>
      <c r="U13867" s="1"/>
      <c r="V13867" s="1"/>
      <c r="W13867" s="1"/>
      <c r="X13867" s="1"/>
      <c r="Y13867" s="1"/>
      <c r="Z13867" s="1"/>
      <c r="AA13867" s="1"/>
      <c r="AB13867" s="1"/>
    </row>
    <row r="13868" ht="50.25" customHeight="1">
      <c r="A13868" s="12">
        <v>13864.0</v>
      </c>
      <c r="B13868" s="13" t="s">
        <v>13090</v>
      </c>
      <c r="C13868" s="14" t="s">
        <v>13129</v>
      </c>
      <c r="D13868" s="1"/>
      <c r="E13868" s="1"/>
      <c r="F13868" s="1" t="str">
        <f>IFERROR(__xludf.DUMMYFUNCTION("GOOGLETRANSLATE(B13868, ""en"", ""fa"")
"),"نسل سرب تلفن")</f>
        <v>نسل سرب تلفن</v>
      </c>
      <c r="G13868" s="1" t="str">
        <f>IFERROR(__xludf.DUMMYFUNCTION("GOOGLETRANSLATE(C13868, ""en"", ""fa"")
"),"ساختار ارائه‌ای را برنامه‌ریزی کنید که از همان ابتدا مشتری بالقوه را درگیر کند، توجه آن‌ها را جلب کند و ارزش پیشنهادی ما را به وضوح بیان کند.")</f>
        <v>ساختار ارائه‌ای را برنامه‌ریزی کنید که از همان ابتدا مشتری بالقوه را درگیر کند، توجه آن‌ها را جلب کند و ارزش پیشنهادی ما را به وضوح بیان کند.</v>
      </c>
      <c r="H13868" s="1"/>
      <c r="I13868" s="1"/>
      <c r="J13868" s="1"/>
      <c r="K13868" s="1"/>
      <c r="L13868" s="1"/>
      <c r="M13868" s="1"/>
      <c r="N13868" s="1"/>
      <c r="O13868" s="1"/>
      <c r="P13868" s="1"/>
      <c r="Q13868" s="1"/>
      <c r="R13868" s="1"/>
      <c r="S13868" s="1"/>
      <c r="T13868" s="1"/>
      <c r="U13868" s="1"/>
      <c r="V13868" s="1"/>
      <c r="W13868" s="1"/>
      <c r="X13868" s="1"/>
      <c r="Y13868" s="1"/>
      <c r="Z13868" s="1"/>
      <c r="AA13868" s="1"/>
      <c r="AB13868" s="1"/>
    </row>
    <row r="13869" ht="50.25" customHeight="1">
      <c r="A13869" s="12">
        <v>13865.0</v>
      </c>
      <c r="B13869" s="13" t="s">
        <v>13090</v>
      </c>
      <c r="C13869" s="14" t="s">
        <v>13130</v>
      </c>
      <c r="D13869" s="1"/>
      <c r="E13869" s="1"/>
      <c r="F13869" s="1" t="str">
        <f>IFERROR(__xludf.DUMMYFUNCTION("GOOGLETRANSLATE(B13869, ""en"", ""fa"")
"),"نسل سرب تلفن")</f>
        <v>نسل سرب تلفن</v>
      </c>
      <c r="G13869" s="1" t="str">
        <f>IFERROR(__xludf.DUMMYFUNCTION("GOOGLETRANSLATE(C13869, ""en"", ""fa"")
"),"یک استراتژی برای گنجاندن عناصر داستان سرایی در ارائه، به اشتراک گذاشتن موارد استفاده در دنیای واقعی یا داستان های موفقیت ابداع کنید که نشان دهنده تأثیر مثبت محصول/خدمات ما بر مشتریان مشابه است.")</f>
        <v>یک استراتژی برای گنجاندن عناصر داستان سرایی در ارائه، به اشتراک گذاشتن موارد استفاده در دنیای واقعی یا داستان های موفقیت ابداع کنید که نشان دهنده تأثیر مثبت محصول/خدمات ما بر مشتریان مشابه است.</v>
      </c>
      <c r="H13869" s="1"/>
      <c r="I13869" s="1"/>
      <c r="J13869" s="1"/>
      <c r="K13869" s="1"/>
      <c r="L13869" s="1"/>
      <c r="M13869" s="1"/>
      <c r="N13869" s="1"/>
      <c r="O13869" s="1"/>
      <c r="P13869" s="1"/>
      <c r="Q13869" s="1"/>
      <c r="R13869" s="1"/>
      <c r="S13869" s="1"/>
      <c r="T13869" s="1"/>
      <c r="U13869" s="1"/>
      <c r="V13869" s="1"/>
      <c r="W13869" s="1"/>
      <c r="X13869" s="1"/>
      <c r="Y13869" s="1"/>
      <c r="Z13869" s="1"/>
      <c r="AA13869" s="1"/>
      <c r="AB13869" s="1"/>
    </row>
    <row r="13870" ht="50.25" customHeight="1">
      <c r="A13870" s="12">
        <v>13866.0</v>
      </c>
      <c r="B13870" s="13" t="s">
        <v>13090</v>
      </c>
      <c r="C13870" s="14" t="s">
        <v>13131</v>
      </c>
      <c r="D13870" s="1"/>
      <c r="E13870" s="1"/>
      <c r="F13870" s="1" t="str">
        <f>IFERROR(__xludf.DUMMYFUNCTION("GOOGLETRANSLATE(B13870, ""en"", ""fa"")
"),"نسل سرب تلفن")</f>
        <v>نسل سرب تلفن</v>
      </c>
      <c r="G13870" s="1" t="str">
        <f>IFERROR(__xludf.DUMMYFUNCTION("GOOGLETRANSLATE(C13870, ""en"", ""fa"")
"),"یک طرح کلی برای یک عرشه نمایش جذاب بصری تهیه کنید که به طور موثر ویژگی‌های کلیدی، مزایا، و تمایزات محصول/خدمت ما را به نمایش می‌گذارد و تصاویر و داده‌های متقاعدکننده را در بر می‌گیرد.")</f>
        <v>یک طرح کلی برای یک عرشه نمایش جذاب بصری تهیه کنید که به طور موثر ویژگی‌های کلیدی، مزایا، و تمایزات محصول/خدمت ما را به نمایش می‌گذارد و تصاویر و داده‌های متقاعدکننده را در بر می‌گیرد.</v>
      </c>
      <c r="H13870" s="1"/>
      <c r="I13870" s="1"/>
      <c r="J13870" s="1"/>
      <c r="K13870" s="1"/>
      <c r="L13870" s="1"/>
      <c r="M13870" s="1"/>
      <c r="N13870" s="1"/>
      <c r="O13870" s="1"/>
      <c r="P13870" s="1"/>
      <c r="Q13870" s="1"/>
      <c r="R13870" s="1"/>
      <c r="S13870" s="1"/>
      <c r="T13870" s="1"/>
      <c r="U13870" s="1"/>
      <c r="V13870" s="1"/>
      <c r="W13870" s="1"/>
      <c r="X13870" s="1"/>
      <c r="Y13870" s="1"/>
      <c r="Z13870" s="1"/>
      <c r="AA13870" s="1"/>
      <c r="AB13870" s="1"/>
    </row>
    <row r="13871" ht="50.25" customHeight="1">
      <c r="A13871" s="12">
        <v>13867.0</v>
      </c>
      <c r="B13871" s="13" t="s">
        <v>13090</v>
      </c>
      <c r="C13871" s="14" t="s">
        <v>13132</v>
      </c>
      <c r="D13871" s="1"/>
      <c r="E13871" s="1"/>
      <c r="F13871" s="1" t="str">
        <f>IFERROR(__xludf.DUMMYFUNCTION("GOOGLETRANSLATE(B13871, ""en"", ""fa"")
"),"نسل سرب تلفن")</f>
        <v>نسل سرب تلفن</v>
      </c>
      <c r="G13871" s="1" t="str">
        <f>IFERROR(__xludf.DUMMYFUNCTION("GOOGLETRANSLATE(C13871, ""en"", ""fa"")
"),"طرحی را برای نشان دادن محصول/خدمت در عمل در طول ارائه، با استفاده از ابزارهای تعاملی، شبیه‌سازی‌ها یا مثال‌های زنده برای نمایش قابلیت‌ها و اثربخشی آن ترسیم کنید.")</f>
        <v>طرحی را برای نشان دادن محصول/خدمت در عمل در طول ارائه، با استفاده از ابزارهای تعاملی، شبیه‌سازی‌ها یا مثال‌های زنده برای نمایش قابلیت‌ها و اثربخشی آن ترسیم کنید.</v>
      </c>
      <c r="H13871" s="1"/>
      <c r="I13871" s="1"/>
      <c r="J13871" s="1"/>
      <c r="K13871" s="1"/>
      <c r="L13871" s="1"/>
      <c r="M13871" s="1"/>
      <c r="N13871" s="1"/>
      <c r="O13871" s="1"/>
      <c r="P13871" s="1"/>
      <c r="Q13871" s="1"/>
      <c r="R13871" s="1"/>
      <c r="S13871" s="1"/>
      <c r="T13871" s="1"/>
      <c r="U13871" s="1"/>
      <c r="V13871" s="1"/>
      <c r="W13871" s="1"/>
      <c r="X13871" s="1"/>
      <c r="Y13871" s="1"/>
      <c r="Z13871" s="1"/>
      <c r="AA13871" s="1"/>
      <c r="AB13871" s="1"/>
    </row>
    <row r="13872" ht="50.25" customHeight="1">
      <c r="A13872" s="12">
        <v>13868.0</v>
      </c>
      <c r="B13872" s="13" t="s">
        <v>13090</v>
      </c>
      <c r="C13872" s="14" t="s">
        <v>13133</v>
      </c>
      <c r="D13872" s="1"/>
      <c r="E13872" s="1"/>
      <c r="F13872" s="1" t="str">
        <f>IFERROR(__xludf.DUMMYFUNCTION("GOOGLETRANSLATE(B13872, ""en"", ""fa"")
"),"نسل سرب تلفن")</f>
        <v>نسل سرب تلفن</v>
      </c>
      <c r="G13872" s="1" t="str">
        <f>IFERROR(__xludf.DUMMYFUNCTION("GOOGLETRANSLATE(C13872, ""en"", ""fa"")
"),"برای اطمینان از مشارکت فعال و درک آنها، یک استراتژی برای مشارکت فعالانه در ارائه، تشویق به سؤالات، بازخوردها و بحث برنامه ریزی کنید.")</f>
        <v>برای اطمینان از مشارکت فعال و درک آنها، یک استراتژی برای مشارکت فعالانه در ارائه، تشویق به سؤالات، بازخوردها و بحث برنامه ریزی کنید.</v>
      </c>
      <c r="H13872" s="1"/>
      <c r="I13872" s="1"/>
      <c r="J13872" s="1"/>
      <c r="K13872" s="1"/>
      <c r="L13872" s="1"/>
      <c r="M13872" s="1"/>
      <c r="N13872" s="1"/>
      <c r="O13872" s="1"/>
      <c r="P13872" s="1"/>
      <c r="Q13872" s="1"/>
      <c r="R13872" s="1"/>
      <c r="S13872" s="1"/>
      <c r="T13872" s="1"/>
      <c r="U13872" s="1"/>
      <c r="V13872" s="1"/>
      <c r="W13872" s="1"/>
      <c r="X13872" s="1"/>
      <c r="Y13872" s="1"/>
      <c r="Z13872" s="1"/>
      <c r="AA13872" s="1"/>
      <c r="AB13872" s="1"/>
    </row>
    <row r="13873" ht="50.25" customHeight="1">
      <c r="A13873" s="12">
        <v>13869.0</v>
      </c>
      <c r="B13873" s="13" t="s">
        <v>13090</v>
      </c>
      <c r="C13873" s="14" t="s">
        <v>13134</v>
      </c>
      <c r="D13873" s="1"/>
      <c r="E13873" s="1"/>
      <c r="F13873" s="1" t="str">
        <f>IFERROR(__xludf.DUMMYFUNCTION("GOOGLETRANSLATE(B13873, ""en"", ""fa"")
"),"نسل سرب تلفن")</f>
        <v>نسل سرب تلفن</v>
      </c>
      <c r="G13873" s="1" t="str">
        <f>IFERROR(__xludf.DUMMYFUNCTION("GOOGLETRANSLATE(C13873, ""en"", ""fa"")
"),"بازده سرمایه گذاری بالقوه (ROI) را که مشتری بالقوه می تواند با استفاده از محصول/خدمت ما بر اساس نیازهای خاص، نتایج مورد انتظار و معیارهای صنعت به دست آورد، محاسبه کنید.")</f>
        <v>بازده سرمایه گذاری بالقوه (ROI) را که مشتری بالقوه می تواند با استفاده از محصول/خدمت ما بر اساس نیازهای خاص، نتایج مورد انتظار و معیارهای صنعت به دست آورد، محاسبه کنید.</v>
      </c>
      <c r="H13873" s="1"/>
      <c r="I13873" s="1"/>
      <c r="J13873" s="1"/>
      <c r="K13873" s="1"/>
      <c r="L13873" s="1"/>
      <c r="M13873" s="1"/>
      <c r="N13873" s="1"/>
      <c r="O13873" s="1"/>
      <c r="P13873" s="1"/>
      <c r="Q13873" s="1"/>
      <c r="R13873" s="1"/>
      <c r="S13873" s="1"/>
      <c r="T13873" s="1"/>
      <c r="U13873" s="1"/>
      <c r="V13873" s="1"/>
      <c r="W13873" s="1"/>
      <c r="X13873" s="1"/>
      <c r="Y13873" s="1"/>
      <c r="Z13873" s="1"/>
      <c r="AA13873" s="1"/>
      <c r="AB13873" s="1"/>
    </row>
    <row r="13874" ht="50.25" customHeight="1">
      <c r="A13874" s="12">
        <v>13870.0</v>
      </c>
      <c r="B13874" s="13" t="s">
        <v>13090</v>
      </c>
      <c r="C13874" s="14" t="s">
        <v>13135</v>
      </c>
      <c r="D13874" s="1"/>
      <c r="E13874" s="1"/>
      <c r="F13874" s="1" t="str">
        <f>IFERROR(__xludf.DUMMYFUNCTION("GOOGLETRANSLATE(B13874, ""en"", ""fa"")
"),"نسل سرب تلفن")</f>
        <v>نسل سرب تلفن</v>
      </c>
      <c r="G13874" s="1" t="str">
        <f>IFERROR(__xludf.DUMMYFUNCTION("GOOGLETRANSLATE(C13874, ""en"", ""fa"")
"),"مزیت‌های رقابتی کلیدی محصول/خدمت خود را خلاصه کنید، و نشان دهید که چگونه از راه‌حل‌های رقیب بهتر عمل می‌کند و ارزش برتر را به مشتریان بالقوه ارائه می‌کند.")</f>
        <v>مزیت‌های رقابتی کلیدی محصول/خدمت خود را خلاصه کنید، و نشان دهید که چگونه از راه‌حل‌های رقیب بهتر عمل می‌کند و ارزش برتر را به مشتریان بالقوه ارائه می‌کند.</v>
      </c>
      <c r="H13874" s="1"/>
      <c r="I13874" s="1"/>
      <c r="J13874" s="1"/>
      <c r="K13874" s="1"/>
      <c r="L13874" s="1"/>
      <c r="M13874" s="1"/>
      <c r="N13874" s="1"/>
      <c r="O13874" s="1"/>
      <c r="P13874" s="1"/>
      <c r="Q13874" s="1"/>
      <c r="R13874" s="1"/>
      <c r="S13874" s="1"/>
      <c r="T13874" s="1"/>
      <c r="U13874" s="1"/>
      <c r="V13874" s="1"/>
      <c r="W13874" s="1"/>
      <c r="X13874" s="1"/>
      <c r="Y13874" s="1"/>
      <c r="Z13874" s="1"/>
      <c r="AA13874" s="1"/>
      <c r="AB13874" s="1"/>
    </row>
    <row r="13875" ht="50.25" customHeight="1">
      <c r="A13875" s="12">
        <v>13871.0</v>
      </c>
      <c r="B13875" s="13" t="s">
        <v>13090</v>
      </c>
      <c r="C13875" s="14" t="s">
        <v>13136</v>
      </c>
      <c r="D13875" s="1"/>
      <c r="E13875" s="1"/>
      <c r="F13875" s="1" t="str">
        <f>IFERROR(__xludf.DUMMYFUNCTION("GOOGLETRANSLATE(B13875, ""en"", ""fa"")
"),"نسل سرب تلفن")</f>
        <v>نسل سرب تلفن</v>
      </c>
      <c r="G13875" s="1" t="str">
        <f>IFERROR(__xludf.DUMMYFUNCTION("GOOGLETRANSLATE(C13875, ""en"", ""fa"")
"),"صرفه جویی در هزینه یا بهبود بازدهی را که مشتری بالقوه می تواند با پذیرش محصول/خدمت ما انتظار داشته باشد، بر اساس فرآیندهای فعلی و نقاط دردناک آنها تخمین بزنید.")</f>
        <v>صرفه جویی در هزینه یا بهبود بازدهی را که مشتری بالقوه می تواند با پذیرش محصول/خدمت ما انتظار داشته باشد، بر اساس فرآیندهای فعلی و نقاط دردناک آنها تخمین بزنید.</v>
      </c>
      <c r="H13875" s="1"/>
      <c r="I13875" s="1"/>
      <c r="J13875" s="1"/>
      <c r="K13875" s="1"/>
      <c r="L13875" s="1"/>
      <c r="M13875" s="1"/>
      <c r="N13875" s="1"/>
      <c r="O13875" s="1"/>
      <c r="P13875" s="1"/>
      <c r="Q13875" s="1"/>
      <c r="R13875" s="1"/>
      <c r="S13875" s="1"/>
      <c r="T13875" s="1"/>
      <c r="U13875" s="1"/>
      <c r="V13875" s="1"/>
      <c r="W13875" s="1"/>
      <c r="X13875" s="1"/>
      <c r="Y13875" s="1"/>
      <c r="Z13875" s="1"/>
      <c r="AA13875" s="1"/>
      <c r="AB13875" s="1"/>
    </row>
    <row r="13876" ht="50.25" customHeight="1">
      <c r="A13876" s="12">
        <v>13872.0</v>
      </c>
      <c r="B13876" s="13" t="s">
        <v>13090</v>
      </c>
      <c r="C13876" s="14" t="s">
        <v>13137</v>
      </c>
      <c r="D13876" s="1"/>
      <c r="E13876" s="1"/>
      <c r="F13876" s="1" t="str">
        <f>IFERROR(__xludf.DUMMYFUNCTION("GOOGLETRANSLATE(B13876, ""en"", ""fa"")
"),"نسل سرب تلفن")</f>
        <v>نسل سرب تلفن</v>
      </c>
      <c r="G13876" s="1" t="str">
        <f>IFERROR(__xludf.DUMMYFUNCTION("GOOGLETRANSLATE(C13876, ""en"", ""fa"")
"),"فهرستی از توصیفات قانع کننده یا مطالعات موردی از مشتریان راضی که از طریق استفاده از محصول/خدمت ما نتایج و ROI قابل توجهی را تجربه کرده اند، تهیه کنید.")</f>
        <v>فهرستی از توصیفات قانع کننده یا مطالعات موردی از مشتریان راضی که از طریق استفاده از محصول/خدمت ما نتایج و ROI قابل توجهی را تجربه کرده اند، تهیه کنید.</v>
      </c>
      <c r="H13876" s="1"/>
      <c r="I13876" s="1"/>
      <c r="J13876" s="1"/>
      <c r="K13876" s="1"/>
      <c r="L13876" s="1"/>
      <c r="M13876" s="1"/>
      <c r="N13876" s="1"/>
      <c r="O13876" s="1"/>
      <c r="P13876" s="1"/>
      <c r="Q13876" s="1"/>
      <c r="R13876" s="1"/>
      <c r="S13876" s="1"/>
      <c r="T13876" s="1"/>
      <c r="U13876" s="1"/>
      <c r="V13876" s="1"/>
      <c r="W13876" s="1"/>
      <c r="X13876" s="1"/>
      <c r="Y13876" s="1"/>
      <c r="Z13876" s="1"/>
      <c r="AA13876" s="1"/>
      <c r="AB13876" s="1"/>
    </row>
    <row r="13877" ht="50.25" customHeight="1">
      <c r="A13877" s="12">
        <v>13873.0</v>
      </c>
      <c r="B13877" s="13" t="s">
        <v>13090</v>
      </c>
      <c r="C13877" s="14" t="s">
        <v>13138</v>
      </c>
      <c r="D13877" s="1"/>
      <c r="E13877" s="1"/>
      <c r="F13877" s="1" t="str">
        <f>IFERROR(__xludf.DUMMYFUNCTION("GOOGLETRANSLATE(B13877, ""en"", ""fa"")
"),"نسل سرب تلفن")</f>
        <v>نسل سرب تلفن</v>
      </c>
      <c r="G13877" s="1" t="str">
        <f>IFERROR(__xludf.DUMMYFUNCTION("GOOGLETRANSLATE(C13877, ""en"", ""fa"")
"),"گزینه های سفارشی سازی بالقوه یا خدمات اضافی را که می توان به مشتری بالقوه برای برآورده کردن نیازهای منحصر به فرد آنها و افزایش ارزش پیشنهادی ارائه داد، فهرست کنید.")</f>
        <v>گزینه های سفارشی سازی بالقوه یا خدمات اضافی را که می توان به مشتری بالقوه برای برآورده کردن نیازهای منحصر به فرد آنها و افزایش ارزش پیشنهادی ارائه داد، فهرست کنید.</v>
      </c>
      <c r="H13877" s="1"/>
      <c r="I13877" s="1"/>
      <c r="J13877" s="1"/>
      <c r="K13877" s="1"/>
      <c r="L13877" s="1"/>
      <c r="M13877" s="1"/>
      <c r="N13877" s="1"/>
      <c r="O13877" s="1"/>
      <c r="P13877" s="1"/>
      <c r="Q13877" s="1"/>
      <c r="R13877" s="1"/>
      <c r="S13877" s="1"/>
      <c r="T13877" s="1"/>
      <c r="U13877" s="1"/>
      <c r="V13877" s="1"/>
      <c r="W13877" s="1"/>
      <c r="X13877" s="1"/>
      <c r="Y13877" s="1"/>
      <c r="Z13877" s="1"/>
      <c r="AA13877" s="1"/>
      <c r="AB13877" s="1"/>
    </row>
    <row r="13878" ht="50.25" customHeight="1">
      <c r="A13878" s="12">
        <v>13874.0</v>
      </c>
      <c r="B13878" s="13" t="s">
        <v>13090</v>
      </c>
      <c r="C13878" s="14" t="s">
        <v>13139</v>
      </c>
      <c r="D13878" s="1"/>
      <c r="E13878" s="1"/>
      <c r="F13878" s="1" t="str">
        <f>IFERROR(__xludf.DUMMYFUNCTION("GOOGLETRANSLATE(B13878, ""en"", ""fa"")
"),"نسل سرب تلفن")</f>
        <v>نسل سرب تلفن</v>
      </c>
      <c r="G13878" s="1" t="str">
        <f>IFERROR(__xludf.DUMMYFUNCTION("GOOGLETRANSLATE(C13878, ""en"", ""fa"")
"),"روش‌های خاصی را که محصول/خدمت ما می‌تواند گردش کار مشتری بالقوه را ساده‌سازی کند، بهره‌وری را افزایش دهد یا صرفه‌جویی در هزینه‌ها را بر اساس صنعت و چالش‌های خاص آنها ایجاد کند، مشخص کنید.")</f>
        <v>روش‌های خاصی را که محصول/خدمت ما می‌تواند گردش کار مشتری بالقوه را ساده‌سازی کند، بهره‌وری را افزایش دهد یا صرفه‌جویی در هزینه‌ها را بر اساس صنعت و چالش‌های خاص آنها ایجاد کند، مشخص کنید.</v>
      </c>
      <c r="H13878" s="1"/>
      <c r="I13878" s="1"/>
      <c r="J13878" s="1"/>
      <c r="K13878" s="1"/>
      <c r="L13878" s="1"/>
      <c r="M13878" s="1"/>
      <c r="N13878" s="1"/>
      <c r="O13878" s="1"/>
      <c r="P13878" s="1"/>
      <c r="Q13878" s="1"/>
      <c r="R13878" s="1"/>
      <c r="S13878" s="1"/>
      <c r="T13878" s="1"/>
      <c r="U13878" s="1"/>
      <c r="V13878" s="1"/>
      <c r="W13878" s="1"/>
      <c r="X13878" s="1"/>
      <c r="Y13878" s="1"/>
      <c r="Z13878" s="1"/>
      <c r="AA13878" s="1"/>
      <c r="AB13878" s="1"/>
    </row>
    <row r="13879" ht="50.25" customHeight="1">
      <c r="A13879" s="12">
        <v>13875.0</v>
      </c>
      <c r="B13879" s="13" t="s">
        <v>13090</v>
      </c>
      <c r="C13879" s="14" t="s">
        <v>13140</v>
      </c>
      <c r="D13879" s="1"/>
      <c r="E13879" s="1"/>
      <c r="F13879" s="1" t="str">
        <f>IFERROR(__xludf.DUMMYFUNCTION("GOOGLETRANSLATE(B13879, ""en"", ""fa"")
"),"نسل سرب تلفن")</f>
        <v>نسل سرب تلفن</v>
      </c>
      <c r="G13879" s="1" t="str">
        <f>IFERROR(__xludf.DUMMYFUNCTION("GOOGLETRANSLATE(C13879, ""en"", ""fa"")
"),"طرحی برای رسیدگی به ایرادات یا نگرانی‌های احتمالی مربوط به اجرا، یکپارچه‌سازی، یا هر مانعی که برای پذیرش محصول/خدمت ما در طول ارائه وجود دارد، طراحی کنید.")</f>
        <v>طرحی برای رسیدگی به ایرادات یا نگرانی‌های احتمالی مربوط به اجرا، یکپارچه‌سازی، یا هر مانعی که برای پذیرش محصول/خدمت ما در طول ارائه وجود دارد، طراحی کنید.</v>
      </c>
      <c r="H13879" s="1"/>
      <c r="I13879" s="1"/>
      <c r="J13879" s="1"/>
      <c r="K13879" s="1"/>
      <c r="L13879" s="1"/>
      <c r="M13879" s="1"/>
      <c r="N13879" s="1"/>
      <c r="O13879" s="1"/>
      <c r="P13879" s="1"/>
      <c r="Q13879" s="1"/>
      <c r="R13879" s="1"/>
      <c r="S13879" s="1"/>
      <c r="T13879" s="1"/>
      <c r="U13879" s="1"/>
      <c r="V13879" s="1"/>
      <c r="W13879" s="1"/>
      <c r="X13879" s="1"/>
      <c r="Y13879" s="1"/>
      <c r="Z13879" s="1"/>
      <c r="AA13879" s="1"/>
      <c r="AB13879" s="1"/>
    </row>
    <row r="13880" ht="50.25" customHeight="1">
      <c r="A13880" s="12">
        <v>13876.0</v>
      </c>
      <c r="B13880" s="13" t="s">
        <v>13090</v>
      </c>
      <c r="C13880" s="14" t="s">
        <v>13141</v>
      </c>
      <c r="D13880" s="1"/>
      <c r="E13880" s="1"/>
      <c r="F13880" s="1" t="str">
        <f>IFERROR(__xludf.DUMMYFUNCTION("GOOGLETRANSLATE(B13880, ""en"", ""fa"")
"),"نسل سرب تلفن")</f>
        <v>نسل سرب تلفن</v>
      </c>
      <c r="G13880" s="1" t="str">
        <f>IFERROR(__xludf.DUMMYFUNCTION("GOOGLETRANSLATE(C13880, ""en"", ""fa"")
"),"یک طرح کلی برای نمایش محصول تهیه کنید که سهولت استفاده، رابط بصری، و عملکردهای کلیدی محصول/خدمت ما را برجسته می کند و تجربه عملی را برای مشتری بالقوه تضمین می کند.")</f>
        <v>یک طرح کلی برای نمایش محصول تهیه کنید که سهولت استفاده، رابط بصری، و عملکردهای کلیدی محصول/خدمت ما را برجسته می کند و تجربه عملی را برای مشتری بالقوه تضمین می کند.</v>
      </c>
      <c r="H13880" s="1"/>
      <c r="I13880" s="1"/>
      <c r="J13880" s="1"/>
      <c r="K13880" s="1"/>
      <c r="L13880" s="1"/>
      <c r="M13880" s="1"/>
      <c r="N13880" s="1"/>
      <c r="O13880" s="1"/>
      <c r="P13880" s="1"/>
      <c r="Q13880" s="1"/>
      <c r="R13880" s="1"/>
      <c r="S13880" s="1"/>
      <c r="T13880" s="1"/>
      <c r="U13880" s="1"/>
      <c r="V13880" s="1"/>
      <c r="W13880" s="1"/>
      <c r="X13880" s="1"/>
      <c r="Y13880" s="1"/>
      <c r="Z13880" s="1"/>
      <c r="AA13880" s="1"/>
      <c r="AB13880" s="1"/>
    </row>
    <row r="13881" ht="50.25" customHeight="1">
      <c r="A13881" s="12">
        <v>13877.0</v>
      </c>
      <c r="B13881" s="13" t="s">
        <v>13090</v>
      </c>
      <c r="C13881" s="14" t="s">
        <v>13142</v>
      </c>
      <c r="D13881" s="1"/>
      <c r="E13881" s="1"/>
      <c r="F13881" s="1" t="str">
        <f>IFERROR(__xludf.DUMMYFUNCTION("GOOGLETRANSLATE(B13881, ""en"", ""fa"")
"),"نسل سرب تلفن")</f>
        <v>نسل سرب تلفن</v>
      </c>
      <c r="G13881" s="1" t="str">
        <f>IFERROR(__xludf.DUMMYFUNCTION("GOOGLETRANSLATE(C13881, ""en"", ""fa"")
"),"طرحی را برای ارائه داده‌ها یا آمار قانع‌کننده‌ای که از اثربخشی و بازگشت سرمایه محصول/خدمت ما پشتیبانی می‌کند، با استفاده از معیارهای صنعت، یافته‌های تحقیقاتی یا معیارهای موفقیت مشتری ترسیم کنید.")</f>
        <v>طرحی را برای ارائه داده‌ها یا آمار قانع‌کننده‌ای که از اثربخشی و بازگشت سرمایه محصول/خدمت ما پشتیبانی می‌کند، با استفاده از معیارهای صنعت، یافته‌های تحقیقاتی یا معیارهای موفقیت مشتری ترسیم کنید.</v>
      </c>
      <c r="H13881" s="1"/>
      <c r="I13881" s="1"/>
      <c r="J13881" s="1"/>
      <c r="K13881" s="1"/>
      <c r="L13881" s="1"/>
      <c r="M13881" s="1"/>
      <c r="N13881" s="1"/>
      <c r="O13881" s="1"/>
      <c r="P13881" s="1"/>
      <c r="Q13881" s="1"/>
      <c r="R13881" s="1"/>
      <c r="S13881" s="1"/>
      <c r="T13881" s="1"/>
      <c r="U13881" s="1"/>
      <c r="V13881" s="1"/>
      <c r="W13881" s="1"/>
      <c r="X13881" s="1"/>
      <c r="Y13881" s="1"/>
      <c r="Z13881" s="1"/>
      <c r="AA13881" s="1"/>
      <c r="AB13881" s="1"/>
    </row>
    <row r="13882" ht="50.25" customHeight="1">
      <c r="A13882" s="12">
        <v>13878.0</v>
      </c>
      <c r="B13882" s="13" t="s">
        <v>13090</v>
      </c>
      <c r="C13882" s="14" t="s">
        <v>13143</v>
      </c>
      <c r="D13882" s="1"/>
      <c r="E13882" s="1"/>
      <c r="F13882" s="1" t="str">
        <f>IFERROR(__xludf.DUMMYFUNCTION("GOOGLETRANSLATE(B13882, ""en"", ""fa"")
"),"نسل سرب تلفن")</f>
        <v>نسل سرب تلفن</v>
      </c>
      <c r="G13882" s="1" t="str">
        <f>IFERROR(__xludf.DUMMYFUNCTION("GOOGLETRANSLATE(C13882, ""en"", ""fa"")
"),"یک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f>
        <v>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v>
      </c>
      <c r="H13882" s="1"/>
      <c r="I13882" s="1"/>
      <c r="J13882" s="1"/>
      <c r="K13882" s="1"/>
      <c r="L13882" s="1"/>
      <c r="M13882" s="1"/>
      <c r="N13882" s="1"/>
      <c r="O13882" s="1"/>
      <c r="P13882" s="1"/>
      <c r="Q13882" s="1"/>
      <c r="R13882" s="1"/>
      <c r="S13882" s="1"/>
      <c r="T13882" s="1"/>
      <c r="U13882" s="1"/>
      <c r="V13882" s="1"/>
      <c r="W13882" s="1"/>
      <c r="X13882" s="1"/>
      <c r="Y13882" s="1"/>
      <c r="Z13882" s="1"/>
      <c r="AA13882" s="1"/>
      <c r="AB13882" s="1"/>
    </row>
    <row r="13883" ht="50.25" customHeight="1">
      <c r="A13883" s="12">
        <v>13879.0</v>
      </c>
      <c r="B13883" s="13" t="s">
        <v>13090</v>
      </c>
      <c r="C13883" s="14" t="s">
        <v>13144</v>
      </c>
      <c r="D13883" s="1"/>
      <c r="E13883" s="1"/>
      <c r="F13883" s="1" t="str">
        <f>IFERROR(__xludf.DUMMYFUNCTION("GOOGLETRANSLATE(B13883, ""en"", ""fa"")
"),"نسل سرب تلفن")</f>
        <v>نسل سرب تلفن</v>
      </c>
      <c r="G13883" s="1" t="str">
        <f>IFERROR(__xludf.DUMMYFUNCTION("GOOGLETRANSLATE(C13883, ""en"", ""fa"")
"),"برنامه‌ای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f>
        <v>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v>
      </c>
      <c r="H13883" s="1"/>
      <c r="I13883" s="1"/>
      <c r="J13883" s="1"/>
      <c r="K13883" s="1"/>
      <c r="L13883" s="1"/>
      <c r="M13883" s="1"/>
      <c r="N13883" s="1"/>
      <c r="O13883" s="1"/>
      <c r="P13883" s="1"/>
      <c r="Q13883" s="1"/>
      <c r="R13883" s="1"/>
      <c r="S13883" s="1"/>
      <c r="T13883" s="1"/>
      <c r="U13883" s="1"/>
      <c r="V13883" s="1"/>
      <c r="W13883" s="1"/>
      <c r="X13883" s="1"/>
      <c r="Y13883" s="1"/>
      <c r="Z13883" s="1"/>
      <c r="AA13883" s="1"/>
      <c r="AB13883" s="1"/>
    </row>
    <row r="13884" ht="50.25" customHeight="1">
      <c r="A13884" s="12">
        <v>13880.0</v>
      </c>
      <c r="B13884" s="13" t="s">
        <v>13090</v>
      </c>
      <c r="C13884" s="14" t="s">
        <v>13145</v>
      </c>
      <c r="D13884" s="1"/>
      <c r="E13884" s="1"/>
      <c r="F13884" s="1" t="str">
        <f>IFERROR(__xludf.DUMMYFUNCTION("GOOGLETRANSLATE(B13884, ""en"", ""fa"")
"),"نسل سرب تلفن")</f>
        <v>نسل سرب تلفن</v>
      </c>
      <c r="G13884" s="1" t="str">
        <f>IFERROR(__xludf.DUMMYFUNCTION("GOOGLETRANSLATE(C13884, ""en"", ""fa"")
"),"فهرستی از سؤالات تأمل برانگیز برای پرسیدن از مشتری در طول ارائه تهیه کنید، و آنها را تشویق کنید تا در مورد چالش های فعلی خود فکر کنند و تأثیر بالقوه محصول / خدمات ما را تصور کنند.")</f>
        <v>فهرستی از سؤالات تأمل برانگیز برای پرسیدن از مشتری در طول ارائه تهیه کنید، و آنها را تشویق کنید تا در مورد چالش های فعلی خود فکر کنند و تأثیر بالقوه محصول / خدمات ما را تصور کنند.</v>
      </c>
      <c r="H13884" s="1"/>
      <c r="I13884" s="1"/>
      <c r="J13884" s="1"/>
      <c r="K13884" s="1"/>
      <c r="L13884" s="1"/>
      <c r="M13884" s="1"/>
      <c r="N13884" s="1"/>
      <c r="O13884" s="1"/>
      <c r="P13884" s="1"/>
      <c r="Q13884" s="1"/>
      <c r="R13884" s="1"/>
      <c r="S13884" s="1"/>
      <c r="T13884" s="1"/>
      <c r="U13884" s="1"/>
      <c r="V13884" s="1"/>
      <c r="W13884" s="1"/>
      <c r="X13884" s="1"/>
      <c r="Y13884" s="1"/>
      <c r="Z13884" s="1"/>
      <c r="AA13884" s="1"/>
      <c r="AB13884" s="1"/>
    </row>
    <row r="13885" ht="50.25" customHeight="1">
      <c r="A13885" s="12">
        <v>13881.0</v>
      </c>
      <c r="B13885" s="13" t="s">
        <v>13090</v>
      </c>
      <c r="C13885" s="14" t="s">
        <v>13146</v>
      </c>
      <c r="D13885" s="1"/>
      <c r="E13885" s="1"/>
      <c r="F13885" s="1" t="str">
        <f>IFERROR(__xludf.DUMMYFUNCTION("GOOGLETRANSLATE(B13885, ""en"", ""fa"")
"),"نسل سرب تلفن")</f>
        <v>نسل سرب تلفن</v>
      </c>
      <c r="G13885" s="1" t="str">
        <f>IFERROR(__xludf.DUMMYFUNCTION("GOOGLETRANSLATE(C13885, ""en"", ""fa"")
"),"قابلیت‌های بالقوه یکپارچه‌سازی محصول/خدمات ما را با سیستم‌ها یا نرم‌افزارهای موجود مشتری فهرست کنید و سهولت اجرا و قابلیت همکاری را برجسته کنید.")</f>
        <v>قابلیت‌های بالقوه یکپارچه‌سازی محصول/خدمات ما را با سیستم‌ها یا نرم‌افزارهای موجود مشتری فهرست کنید و سهولت اجرا و قابلیت همکاری را برجسته کنید.</v>
      </c>
      <c r="H13885" s="1"/>
      <c r="I13885" s="1"/>
      <c r="J13885" s="1"/>
      <c r="K13885" s="1"/>
      <c r="L13885" s="1"/>
      <c r="M13885" s="1"/>
      <c r="N13885" s="1"/>
      <c r="O13885" s="1"/>
      <c r="P13885" s="1"/>
      <c r="Q13885" s="1"/>
      <c r="R13885" s="1"/>
      <c r="S13885" s="1"/>
      <c r="T13885" s="1"/>
      <c r="U13885" s="1"/>
      <c r="V13885" s="1"/>
      <c r="W13885" s="1"/>
      <c r="X13885" s="1"/>
      <c r="Y13885" s="1"/>
      <c r="Z13885" s="1"/>
      <c r="AA13885" s="1"/>
      <c r="AB13885" s="1"/>
    </row>
    <row r="13886" ht="50.25" customHeight="1">
      <c r="A13886" s="12">
        <v>13882.0</v>
      </c>
      <c r="B13886" s="13" t="s">
        <v>13090</v>
      </c>
      <c r="C13886" s="14" t="s">
        <v>13147</v>
      </c>
      <c r="D13886" s="1"/>
      <c r="E13886" s="1"/>
      <c r="F13886" s="1" t="str">
        <f>IFERROR(__xludf.DUMMYFUNCTION("GOOGLETRANSLATE(B13886, ""en"", ""fa"")
"),"نسل سرب تلفن")</f>
        <v>نسل سرب تلفن</v>
      </c>
      <c r="G13886" s="1" t="str">
        <f>IFERROR(__xludf.DUMMYFUNCTION("GOOGLETRANSLATE(C13886, ""en"", ""fa"")
"),"تمایزهای اصلی رقابتی محصول/خدمت ما را که آن را از سایر راه حل های موجود در بازار متمایز می کند، با تأکید بر ارزشی که برای نیازهای خاص مشتری به ارمغان می آورد، مشخص کنید.")</f>
        <v>تمایزهای اصلی رقابتی محصول/خدمت ما را که آن را از سایر راه حل های موجود در بازار متمایز می کند، با تأکید بر ارزشی که برای نیازهای خاص مشتری به ارمغان می آورد، مشخص کنید.</v>
      </c>
      <c r="H13886" s="1"/>
      <c r="I13886" s="1"/>
      <c r="J13886" s="1"/>
      <c r="K13886" s="1"/>
      <c r="L13886" s="1"/>
      <c r="M13886" s="1"/>
      <c r="N13886" s="1"/>
      <c r="O13886" s="1"/>
      <c r="P13886" s="1"/>
      <c r="Q13886" s="1"/>
      <c r="R13886" s="1"/>
      <c r="S13886" s="1"/>
      <c r="T13886" s="1"/>
      <c r="U13886" s="1"/>
      <c r="V13886" s="1"/>
      <c r="W13886" s="1"/>
      <c r="X13886" s="1"/>
      <c r="Y13886" s="1"/>
      <c r="Z13886" s="1"/>
      <c r="AA13886" s="1"/>
      <c r="AB13886" s="1"/>
    </row>
    <row r="13887" ht="50.25" customHeight="1">
      <c r="A13887" s="12">
        <v>13883.0</v>
      </c>
      <c r="B13887" s="13" t="s">
        <v>13090</v>
      </c>
      <c r="C13887" s="14" t="s">
        <v>13148</v>
      </c>
      <c r="D13887" s="1"/>
      <c r="E13887" s="1"/>
      <c r="F13887" s="1" t="str">
        <f>IFERROR(__xludf.DUMMYFUNCTION("GOOGLETRANSLATE(B13887, ""en"", ""fa"")
"),"نسل سرب تلفن")</f>
        <v>نسل سرب تلفن</v>
      </c>
      <c r="G13887" s="1" t="str">
        <f>IFERROR(__xludf.DUMMYFUNCTION("GOOGLETRANSLATE(C13887, ""en"", ""fa"")
"),"یک استراتژی برای به نمایش گذاشتن تخصص و دانش اعضای تیم یا کارشناسان موضوعی در طول ارائه برنامه ریزی کنید، و اعتماد مشتری احتمالی به توانایی ما برای ارائه را تقویت کنید.")</f>
        <v>یک استراتژی برای به نمایش گذاشتن تخصص و دانش اعضای تیم یا کارشناسان موضوعی در طول ارائه برنامه ریزی کنید، و اعتماد مشتری احتمالی به توانایی ما برای ارائه را تقویت کنید.</v>
      </c>
      <c r="H13887" s="1"/>
      <c r="I13887" s="1"/>
      <c r="J13887" s="1"/>
      <c r="K13887" s="1"/>
      <c r="L13887" s="1"/>
      <c r="M13887" s="1"/>
      <c r="N13887" s="1"/>
      <c r="O13887" s="1"/>
      <c r="P13887" s="1"/>
      <c r="Q13887" s="1"/>
      <c r="R13887" s="1"/>
      <c r="S13887" s="1"/>
      <c r="T13887" s="1"/>
      <c r="U13887" s="1"/>
      <c r="V13887" s="1"/>
      <c r="W13887" s="1"/>
      <c r="X13887" s="1"/>
      <c r="Y13887" s="1"/>
      <c r="Z13887" s="1"/>
      <c r="AA13887" s="1"/>
      <c r="AB13887" s="1"/>
    </row>
    <row r="13888" ht="50.25" customHeight="1">
      <c r="A13888" s="12">
        <v>13884.0</v>
      </c>
      <c r="B13888" s="13" t="s">
        <v>13090</v>
      </c>
      <c r="C13888" s="14" t="s">
        <v>13149</v>
      </c>
      <c r="D13888" s="1"/>
      <c r="E13888" s="1"/>
      <c r="F13888" s="1" t="str">
        <f>IFERROR(__xludf.DUMMYFUNCTION("GOOGLETRANSLATE(B13888, ""en"", ""fa"")
"),"نسل سرب تلفن")</f>
        <v>نسل سرب تلفن</v>
      </c>
      <c r="G13888" s="1" t="str">
        <f>IFERROR(__xludf.DUMMYFUNCTION("GOOGLETRANSLATE(C13888, ""en"", ""fa"")
"),"طرحی را برای گنجاندن عناصر تعاملی، مانند آزمون‌ها، نظرسنجی‌ها، یا تمرین‌های تعاملی، در ارائه طراحی کنید تا مشتری بالقوه را درگیر کند و درک آنها از محصول/خدمات ما را افزایش دهد.")</f>
        <v>طرحی را برای گنجاندن عناصر تعاملی، مانند آزمون‌ها، نظرسنجی‌ها، یا تمرین‌های تعاملی، در ارائه طراحی کنید تا مشتری بالقوه را درگیر کند و درک آنها از محصول/خدمات ما را افزایش دهد.</v>
      </c>
      <c r="H13888" s="1"/>
      <c r="I13888" s="1"/>
      <c r="J13888" s="1"/>
      <c r="K13888" s="1"/>
      <c r="L13888" s="1"/>
      <c r="M13888" s="1"/>
      <c r="N13888" s="1"/>
      <c r="O13888" s="1"/>
      <c r="P13888" s="1"/>
      <c r="Q13888" s="1"/>
      <c r="R13888" s="1"/>
      <c r="S13888" s="1"/>
      <c r="T13888" s="1"/>
      <c r="U13888" s="1"/>
      <c r="V13888" s="1"/>
      <c r="W13888" s="1"/>
      <c r="X13888" s="1"/>
      <c r="Y13888" s="1"/>
      <c r="Z13888" s="1"/>
      <c r="AA13888" s="1"/>
      <c r="AB13888" s="1"/>
    </row>
    <row r="13889" ht="50.25" customHeight="1">
      <c r="A13889" s="12">
        <v>13885.0</v>
      </c>
      <c r="B13889" s="13" t="s">
        <v>13090</v>
      </c>
      <c r="C13889" s="14" t="s">
        <v>13150</v>
      </c>
      <c r="D13889" s="1"/>
      <c r="E13889" s="1"/>
      <c r="F13889" s="1" t="str">
        <f>IFERROR(__xludf.DUMMYFUNCTION("GOOGLETRANSLATE(B13889, ""en"", ""fa"")
"),"نسل سرب تلفن")</f>
        <v>نسل سرب تلفن</v>
      </c>
      <c r="G13889" s="1" t="str">
        <f>IFERROR(__xludf.DUMMYFUNCTION("GOOGLETRANSLATE(C13889, ""en"", ""fa"")
"),"یک طرح کلی برای نمودار مقایسه یا ماتریس تهیه کنید که به صورت بصری مزایای محصول/خدمات ما را نسبت به راه حل های رقیب نشان می دهد، و تمایزات کلیدی و ارزش های پیشنهادی را برجسته می کند.")</f>
        <v>یک طرح کلی برای نمودار مقایسه یا ماتریس تهیه کنید که به صورت بصری مزایای محصول/خدمات ما را نسبت به راه حل های رقیب نشان می دهد، و تمایزات کلیدی و ارزش های پیشنهادی را برجسته می کند.</v>
      </c>
      <c r="H13889" s="1"/>
      <c r="I13889" s="1"/>
      <c r="J13889" s="1"/>
      <c r="K13889" s="1"/>
      <c r="L13889" s="1"/>
      <c r="M13889" s="1"/>
      <c r="N13889" s="1"/>
      <c r="O13889" s="1"/>
      <c r="P13889" s="1"/>
      <c r="Q13889" s="1"/>
      <c r="R13889" s="1"/>
      <c r="S13889" s="1"/>
      <c r="T13889" s="1"/>
      <c r="U13889" s="1"/>
      <c r="V13889" s="1"/>
      <c r="W13889" s="1"/>
      <c r="X13889" s="1"/>
      <c r="Y13889" s="1"/>
      <c r="Z13889" s="1"/>
      <c r="AA13889" s="1"/>
      <c r="AB13889" s="1"/>
    </row>
    <row r="13890" ht="50.25" customHeight="1">
      <c r="A13890" s="12">
        <v>13886.0</v>
      </c>
      <c r="B13890" s="13" t="s">
        <v>13090</v>
      </c>
      <c r="C13890" s="14" t="s">
        <v>13151</v>
      </c>
      <c r="D13890" s="1"/>
      <c r="E13890" s="1"/>
      <c r="F13890" s="1" t="str">
        <f>IFERROR(__xludf.DUMMYFUNCTION("GOOGLETRANSLATE(B13890, ""en"", ""fa"")
"),"نسل سرب تلفن")</f>
        <v>نسل سرب تلفن</v>
      </c>
      <c r="G13890" s="1" t="str">
        <f>IFERROR(__xludf.DUMMYFUNCTION("GOOGLETRANSLATE(C13890, ""en"", ""fa"")
"),"طرحی را برای ارائه یک نقشه راه روشن برای اجرا و نصب، ترسیم مراحل، جدول زمانی، و منابع مورد نیاز برای اطمینان از انتقال یکپارچه به محصول/خدمت خود ترسیم کنید.")</f>
        <v>طرحی را برای ارائه یک نقشه راه روشن برای اجرا و نصب، ترسیم مراحل، جدول زمانی، و منابع مورد نیاز برای اطمینان از انتقال یکپارچه به محصول/خدمت خود ترسیم کنید.</v>
      </c>
      <c r="H13890" s="1"/>
      <c r="I13890" s="1"/>
      <c r="J13890" s="1"/>
      <c r="K13890" s="1"/>
      <c r="L13890" s="1"/>
      <c r="M13890" s="1"/>
      <c r="N13890" s="1"/>
      <c r="O13890" s="1"/>
      <c r="P13890" s="1"/>
      <c r="Q13890" s="1"/>
      <c r="R13890" s="1"/>
      <c r="S13890" s="1"/>
      <c r="T13890" s="1"/>
      <c r="U13890" s="1"/>
      <c r="V13890" s="1"/>
      <c r="W13890" s="1"/>
      <c r="X13890" s="1"/>
      <c r="Y13890" s="1"/>
      <c r="Z13890" s="1"/>
      <c r="AA13890" s="1"/>
      <c r="AB13890" s="1"/>
    </row>
    <row r="13891" ht="50.25" customHeight="1">
      <c r="A13891" s="12">
        <v>13887.0</v>
      </c>
      <c r="B13891" s="13" t="s">
        <v>13090</v>
      </c>
      <c r="C13891" s="14" t="s">
        <v>13152</v>
      </c>
      <c r="D13891" s="1"/>
      <c r="E13891" s="1"/>
      <c r="F13891" s="1" t="str">
        <f>IFERROR(__xludf.DUMMYFUNCTION("GOOGLETRANSLATE(B13891, ""en"", ""fa"")
"),"نسل سرب تلفن")</f>
        <v>نسل سرب تلفن</v>
      </c>
      <c r="G13891" s="1" t="str">
        <f>IFERROR(__xludf.DUMMYFUNCTION("GOOGLETRANSLATE(C13891, ""en"", ""fa"")
"),"یک استراتژی برای پرداختن به اهداف بلندمدت مشتری و نیازهای مقیاس پذیری در طول ارائه برنامه ریزی کنید، و نشان دهید که چگونه محصول/خدمت ما می تواند در کنار کسب و کار خود رشد کرده و سازگار شود.")</f>
        <v>یک استراتژی برای پرداختن به اهداف بلندمدت مشتری و نیازهای مقیاس پذیری در طول ارائه برنامه ریزی کنید، و نشان دهید که چگونه محصول/خدمت ما می تواند در کنار کسب و کار خود رشد کرده و سازگار شود.</v>
      </c>
      <c r="H13891" s="1"/>
      <c r="I13891" s="1"/>
      <c r="J13891" s="1"/>
      <c r="K13891" s="1"/>
      <c r="L13891" s="1"/>
      <c r="M13891" s="1"/>
      <c r="N13891" s="1"/>
      <c r="O13891" s="1"/>
      <c r="P13891" s="1"/>
      <c r="Q13891" s="1"/>
      <c r="R13891" s="1"/>
      <c r="S13891" s="1"/>
      <c r="T13891" s="1"/>
      <c r="U13891" s="1"/>
      <c r="V13891" s="1"/>
      <c r="W13891" s="1"/>
      <c r="X13891" s="1"/>
      <c r="Y13891" s="1"/>
      <c r="Z13891" s="1"/>
      <c r="AA13891" s="1"/>
      <c r="AB13891" s="1"/>
    </row>
    <row r="13892" ht="50.25" customHeight="1">
      <c r="A13892" s="12">
        <v>13888.0</v>
      </c>
      <c r="B13892" s="13" t="s">
        <v>13090</v>
      </c>
      <c r="C13892" s="14" t="s">
        <v>13153</v>
      </c>
      <c r="D13892" s="1"/>
      <c r="E13892" s="1"/>
      <c r="F13892" s="1" t="str">
        <f>IFERROR(__xludf.DUMMYFUNCTION("GOOGLETRANSLATE(B13892, ""en"", ""fa"")
"),"نسل سرب تلفن")</f>
        <v>نسل سرب تلفن</v>
      </c>
      <c r="G13892" s="1" t="str">
        <f>IFERROR(__xludf.DUMMYFUNCTION("GOOGLETRANSLATE(C13892, ""en"", ""fa"")
"),"فهرستی از سؤالات کاوشگر را تهیه کنید تا ملاحظات بودجه و فرآیند تصمیم گیری مشتری بالقوه را کشف کنید، به ما این امکان را می دهد تا استراتژی های قیمت گذاری و مذاکره خود را در طول ارائه تنظیم کنیم.")</f>
        <v>فهرستی از سؤالات کاوشگر را تهیه کنید تا ملاحظات بودجه و فرآیند تصمیم گیری مشتری بالقوه را کشف کنید، به ما این امکان را می دهد تا استراتژی های قیمت گذاری و مذاکره خود را در طول ارائه تنظیم کنیم.</v>
      </c>
      <c r="H13892" s="1"/>
      <c r="I13892" s="1"/>
      <c r="J13892" s="1"/>
      <c r="K13892" s="1"/>
      <c r="L13892" s="1"/>
      <c r="M13892" s="1"/>
      <c r="N13892" s="1"/>
      <c r="O13892" s="1"/>
      <c r="P13892" s="1"/>
      <c r="Q13892" s="1"/>
      <c r="R13892" s="1"/>
      <c r="S13892" s="1"/>
      <c r="T13892" s="1"/>
      <c r="U13892" s="1"/>
      <c r="V13892" s="1"/>
      <c r="W13892" s="1"/>
      <c r="X13892" s="1"/>
      <c r="Y13892" s="1"/>
      <c r="Z13892" s="1"/>
      <c r="AA13892" s="1"/>
      <c r="AB13892" s="1"/>
    </row>
    <row r="13893" ht="50.25" customHeight="1">
      <c r="A13893" s="12">
        <v>13889.0</v>
      </c>
      <c r="B13893" s="13" t="s">
        <v>13090</v>
      </c>
      <c r="C13893" s="14" t="s">
        <v>13154</v>
      </c>
      <c r="D13893" s="1"/>
      <c r="E13893" s="1"/>
      <c r="F13893" s="1" t="str">
        <f>IFERROR(__xludf.DUMMYFUNCTION("GOOGLETRANSLATE(B13893, ""en"", ""fa"")
"),"نسل سرب تلفن")</f>
        <v>نسل سرب تلفن</v>
      </c>
      <c r="G13893" s="1" t="str">
        <f>IFERROR(__xludf.DUMMYFUNCTION("GOOGLETRANSLATE(C13893, ""en"", ""fa"")
"),"منابع بالقوه پشتیبانی پس از فروش و موفقیت مشتری را که می‌توانیم به مشتریان بالقوه ارائه دهیم، فهرست کنید و تعهد خود را نسبت به رضایت و موفقیت مداوم آنها نشان دهید.")</f>
        <v>منابع بالقوه پشتیبانی پس از فروش و موفقیت مشتری را که می‌توانیم به مشتریان بالقوه ارائه دهیم، فهرست کنید و تعهد خود را نسبت به رضایت و موفقیت مداوم آنها نشان دهید.</v>
      </c>
      <c r="H13893" s="1"/>
      <c r="I13893" s="1"/>
      <c r="J13893" s="1"/>
      <c r="K13893" s="1"/>
      <c r="L13893" s="1"/>
      <c r="M13893" s="1"/>
      <c r="N13893" s="1"/>
      <c r="O13893" s="1"/>
      <c r="P13893" s="1"/>
      <c r="Q13893" s="1"/>
      <c r="R13893" s="1"/>
      <c r="S13893" s="1"/>
      <c r="T13893" s="1"/>
      <c r="U13893" s="1"/>
      <c r="V13893" s="1"/>
      <c r="W13893" s="1"/>
      <c r="X13893" s="1"/>
      <c r="Y13893" s="1"/>
      <c r="Z13893" s="1"/>
      <c r="AA13893" s="1"/>
      <c r="AB13893" s="1"/>
    </row>
    <row r="13894" ht="50.25" customHeight="1">
      <c r="A13894" s="12">
        <v>13890.0</v>
      </c>
      <c r="B13894" s="13" t="s">
        <v>13090</v>
      </c>
      <c r="C13894" s="14" t="s">
        <v>13155</v>
      </c>
      <c r="D13894" s="1"/>
      <c r="E13894" s="1"/>
      <c r="F13894" s="1" t="str">
        <f>IFERROR(__xludf.DUMMYFUNCTION("GOOGLETRANSLATE(B13894, ""en"", ""fa"")
"),"نسل سرب تلفن")</f>
        <v>نسل سرب تلفن</v>
      </c>
      <c r="G13894" s="1" t="str">
        <f>IFERROR(__xludf.DUMMYFUNCTION("GOOGLETRANSLATE(C13894, ""en"", ""fa"")
"),"نقاط دردناک یا چالش‌های خاصی را که محصول/خدمت ما مستقیماً برای مشتری بالقوه برطرف می‌کند، با تأکید بر پیشرفت‌ها و نتایج قابل اندازه‌گیری که می‌توانند انتظار داشته باشند، مشخص کنید.")</f>
        <v>نقاط دردناک یا چالش‌های خاصی را که محصول/خدمت ما مستقیماً برای مشتری بالقوه برطرف می‌کند، با تأکید بر پیشرفت‌ها و نتایج قابل اندازه‌گیری که می‌توانند انتظار داشته باشند، مشخص کنید.</v>
      </c>
      <c r="H13894" s="1"/>
      <c r="I13894" s="1"/>
      <c r="J13894" s="1"/>
      <c r="K13894" s="1"/>
      <c r="L13894" s="1"/>
      <c r="M13894" s="1"/>
      <c r="N13894" s="1"/>
      <c r="O13894" s="1"/>
      <c r="P13894" s="1"/>
      <c r="Q13894" s="1"/>
      <c r="R13894" s="1"/>
      <c r="S13894" s="1"/>
      <c r="T13894" s="1"/>
      <c r="U13894" s="1"/>
      <c r="V13894" s="1"/>
      <c r="W13894" s="1"/>
      <c r="X13894" s="1"/>
      <c r="Y13894" s="1"/>
      <c r="Z13894" s="1"/>
      <c r="AA13894" s="1"/>
      <c r="AB13894" s="1"/>
    </row>
    <row r="13895" ht="50.25" customHeight="1">
      <c r="A13895" s="12">
        <v>13891.0</v>
      </c>
      <c r="B13895" s="13" t="s">
        <v>13090</v>
      </c>
      <c r="C13895" s="14" t="s">
        <v>13156</v>
      </c>
      <c r="D13895" s="1"/>
      <c r="E13895" s="1"/>
      <c r="F13895" s="1" t="str">
        <f>IFERROR(__xludf.DUMMYFUNCTION("GOOGLETRANSLATE(B13895, ""en"", ""fa"")
"),"نسل سرب تلفن")</f>
        <v>نسل سرب تلفن</v>
      </c>
      <c r="G13895" s="1" t="str">
        <f>IFERROR(__xludf.DUMMYFUNCTION("GOOGLETRANSLATE(C13895, ""en"", ""fa"")
"),"برای ایجاد اعتماد و اعتبار، طرحی را برای گنجاندن عناصر اثبات اجتماعی، مانند توصیفات مشتری، جوایز صنعت، یا پوشش رسانه ای مثبت در ارائه طراحی کنید.")</f>
        <v>برای ایجاد اعتماد و اعتبار، طرحی را برای گنجاندن عناصر اثبات اجتماعی، مانند توصیفات مشتری، جوایز صنعت، یا پوشش رسانه ای مثبت در ارائه طراحی کنید.</v>
      </c>
      <c r="H13895" s="1"/>
      <c r="I13895" s="1"/>
      <c r="J13895" s="1"/>
      <c r="K13895" s="1"/>
      <c r="L13895" s="1"/>
      <c r="M13895" s="1"/>
      <c r="N13895" s="1"/>
      <c r="O13895" s="1"/>
      <c r="P13895" s="1"/>
      <c r="Q13895" s="1"/>
      <c r="R13895" s="1"/>
      <c r="S13895" s="1"/>
      <c r="T13895" s="1"/>
      <c r="U13895" s="1"/>
      <c r="V13895" s="1"/>
      <c r="W13895" s="1"/>
      <c r="X13895" s="1"/>
      <c r="Y13895" s="1"/>
      <c r="Z13895" s="1"/>
      <c r="AA13895" s="1"/>
      <c r="AB13895" s="1"/>
    </row>
    <row r="13896" ht="50.25" customHeight="1">
      <c r="A13896" s="12">
        <v>13892.0</v>
      </c>
      <c r="B13896" s="13" t="s">
        <v>13090</v>
      </c>
      <c r="C13896" s="14" t="s">
        <v>13157</v>
      </c>
      <c r="D13896" s="1"/>
      <c r="E13896" s="1"/>
      <c r="F13896" s="1" t="str">
        <f>IFERROR(__xludf.DUMMYFUNCTION("GOOGLETRANSLATE(B13896, ""en"", ""fa"")
"),"نسل سرب تلفن")</f>
        <v>نسل سرب تلفن</v>
      </c>
      <c r="G13896" s="1" t="str">
        <f>IFERROR(__xludf.DUMMYFUNCTION("GOOGLETRANSLATE(C13896, ""en"", ""fa"")
"),"یک طرح کلی برای یک طرح آسانسور قانع کننده تهیه کنید که به طور خلاصه ارزش پیشنهادی و نقاط فروش منحصر به فرد محصول/خدمت ما را به اشتراک می گذارد، مناسب برای ارائه سریع یا گفتگوهای مقدماتی.")</f>
        <v>یک طرح کلی برای یک طرح آسانسور قانع کننده تهیه کنید که به طور خلاصه ارزش پیشنهادی و نقاط فروش منحصر به فرد محصول/خدمت ما را به اشتراک می گذارد، مناسب برای ارائه سریع یا گفتگوهای مقدماتی.</v>
      </c>
      <c r="H13896" s="1"/>
      <c r="I13896" s="1"/>
      <c r="J13896" s="1"/>
      <c r="K13896" s="1"/>
      <c r="L13896" s="1"/>
      <c r="M13896" s="1"/>
      <c r="N13896" s="1"/>
      <c r="O13896" s="1"/>
      <c r="P13896" s="1"/>
      <c r="Q13896" s="1"/>
      <c r="R13896" s="1"/>
      <c r="S13896" s="1"/>
      <c r="T13896" s="1"/>
      <c r="U13896" s="1"/>
      <c r="V13896" s="1"/>
      <c r="W13896" s="1"/>
      <c r="X13896" s="1"/>
      <c r="Y13896" s="1"/>
      <c r="Z13896" s="1"/>
      <c r="AA13896" s="1"/>
      <c r="AB13896" s="1"/>
    </row>
    <row r="13897" ht="50.25" customHeight="1">
      <c r="A13897" s="12">
        <v>13893.0</v>
      </c>
      <c r="B13897" s="13" t="s">
        <v>13090</v>
      </c>
      <c r="C13897" s="14" t="s">
        <v>13158</v>
      </c>
      <c r="D13897" s="1"/>
      <c r="E13897" s="1"/>
      <c r="F13897" s="1" t="str">
        <f>IFERROR(__xludf.DUMMYFUNCTION("GOOGLETRANSLATE(B13897, ""en"", ""fa"")
"),"نسل سرب تلفن")</f>
        <v>نسل سرب تلفن</v>
      </c>
      <c r="G13897" s="1" t="str">
        <f>IFERROR(__xludf.DUMMYFUNCTION("GOOGLETRANSLATE(C13897, ""en"", ""fa"")
"),"طرحی را برای رسیدگی به اعتراض‌ها یا رزروهای احتمالی مربوط به امنیت داده‌ها، انطباق، یا نگرانی‌های مربوط به حفظ حریم خصوصی در طول ارائه، با تأکید بر پادمان‌ها و گواهی‌های قوی ما ارائه دهید.")</f>
        <v>طرحی را برای رسیدگی به اعتراض‌ها یا رزروهای احتمالی مربوط به امنیت داده‌ها، انطباق، یا نگرانی‌های مربوط به حفظ حریم خصوصی در طول ارائه، با تأکید بر پادمان‌ها و گواهی‌های قوی ما ارائه دهید.</v>
      </c>
      <c r="H13897" s="1"/>
      <c r="I13897" s="1"/>
      <c r="J13897" s="1"/>
      <c r="K13897" s="1"/>
      <c r="L13897" s="1"/>
      <c r="M13897" s="1"/>
      <c r="N13897" s="1"/>
      <c r="O13897" s="1"/>
      <c r="P13897" s="1"/>
      <c r="Q13897" s="1"/>
      <c r="R13897" s="1"/>
      <c r="S13897" s="1"/>
      <c r="T13897" s="1"/>
      <c r="U13897" s="1"/>
      <c r="V13897" s="1"/>
      <c r="W13897" s="1"/>
      <c r="X13897" s="1"/>
      <c r="Y13897" s="1"/>
      <c r="Z13897" s="1"/>
      <c r="AA13897" s="1"/>
      <c r="AB13897" s="1"/>
    </row>
    <row r="13898" ht="50.25" customHeight="1">
      <c r="A13898" s="12">
        <v>13894.0</v>
      </c>
      <c r="B13898" s="13" t="s">
        <v>13090</v>
      </c>
      <c r="C13898" s="14" t="s">
        <v>13159</v>
      </c>
      <c r="D13898" s="1"/>
      <c r="E13898" s="1"/>
      <c r="F13898" s="1" t="str">
        <f>IFERROR(__xludf.DUMMYFUNCTION("GOOGLETRANSLATE(B13898, ""en"", ""fa"")
"),"نسل سرب تلفن")</f>
        <v>نسل سرب تلفن</v>
      </c>
      <c r="G13898" s="1" t="str">
        <f>IFERROR(__xludf.DUMMYFUNCTION("GOOGLETRANSLATE(C13898, ""en"", ""fa"")
"),"یک استراتژی برای استفاده از تکنیک‌های داستان‌گویی برای ایجاد ارتباط عاطفی با مشتری برنامه‌ریزی کنید، و تأثیر مثبتی را که محصول/خدمت ما می‌تواند بر تجارت یا زندگی شخصی آنها داشته باشد، برجسته کنید.")</f>
        <v>یک استراتژی برای استفاده از تکنیک‌های داستان‌گویی برای ایجاد ارتباط عاطفی با مشتری برنامه‌ریزی کنید، و تأثیر مثبتی را که محصول/خدمت ما می‌تواند بر تجارت یا زندگی شخصی آنها داشته باشد، برجسته کنید.</v>
      </c>
      <c r="H13898" s="1"/>
      <c r="I13898" s="1"/>
      <c r="J13898" s="1"/>
      <c r="K13898" s="1"/>
      <c r="L13898" s="1"/>
      <c r="M13898" s="1"/>
      <c r="N13898" s="1"/>
      <c r="O13898" s="1"/>
      <c r="P13898" s="1"/>
      <c r="Q13898" s="1"/>
      <c r="R13898" s="1"/>
      <c r="S13898" s="1"/>
      <c r="T13898" s="1"/>
      <c r="U13898" s="1"/>
      <c r="V13898" s="1"/>
      <c r="W13898" s="1"/>
      <c r="X13898" s="1"/>
      <c r="Y13898" s="1"/>
      <c r="Z13898" s="1"/>
      <c r="AA13898" s="1"/>
      <c r="AB13898" s="1"/>
    </row>
    <row r="13899" ht="50.25" customHeight="1">
      <c r="A13899" s="12">
        <v>13895.0</v>
      </c>
      <c r="B13899" s="13" t="s">
        <v>13090</v>
      </c>
      <c r="C13899" s="14" t="s">
        <v>13160</v>
      </c>
      <c r="D13899" s="1"/>
      <c r="E13899" s="1"/>
      <c r="F13899" s="1" t="str">
        <f>IFERROR(__xludf.DUMMYFUNCTION("GOOGLETRANSLATE(B13899, ""en"", ""fa"")
"),"نسل سرب تلفن")</f>
        <v>نسل سرب تلفن</v>
      </c>
      <c r="G13899" s="1" t="str">
        <f>IFERROR(__xludf.DUMMYFUNCTION("GOOGLETRANSLATE(C13899, ""en"", ""fa"")
"),"فهرستی از گرایش‌های صنعت مرتبط، بینش‌های بازار، یا یافته‌های تحقیقاتی را که می‌توان در طول ارائه به اشتراک گذاشت تا محصول/خدمت ما را به عنوان آینده‌نگر و همسو با نیازهای صنعت قرار دهد، تهیه کنید.")</f>
        <v>فهرستی از گرایش‌های صنعت مرتبط، بینش‌های بازار، یا یافته‌های تحقیقاتی را که می‌توان در طول ارائه به اشتراک گذاشت تا محصول/خدمت ما را به عنوان آینده‌نگر و همسو با نیازهای صنعت قرار دهد، تهیه کنید.</v>
      </c>
      <c r="H13899" s="1"/>
      <c r="I13899" s="1"/>
      <c r="J13899" s="1"/>
      <c r="K13899" s="1"/>
      <c r="L13899" s="1"/>
      <c r="M13899" s="1"/>
      <c r="N13899" s="1"/>
      <c r="O13899" s="1"/>
      <c r="P13899" s="1"/>
      <c r="Q13899" s="1"/>
      <c r="R13899" s="1"/>
      <c r="S13899" s="1"/>
      <c r="T13899" s="1"/>
      <c r="U13899" s="1"/>
      <c r="V13899" s="1"/>
      <c r="W13899" s="1"/>
      <c r="X13899" s="1"/>
      <c r="Y13899" s="1"/>
      <c r="Z13899" s="1"/>
      <c r="AA13899" s="1"/>
      <c r="AB13899" s="1"/>
    </row>
    <row r="13900" ht="50.25" customHeight="1">
      <c r="A13900" s="12">
        <v>13896.0</v>
      </c>
      <c r="B13900" s="13" t="s">
        <v>13090</v>
      </c>
      <c r="C13900" s="14" t="s">
        <v>13161</v>
      </c>
      <c r="D13900" s="1"/>
      <c r="E13900" s="1"/>
      <c r="F13900" s="1" t="str">
        <f>IFERROR(__xludf.DUMMYFUNCTION("GOOGLETRANSLATE(B13900, ""en"", ""fa"")
"),"نسل سرب تلفن")</f>
        <v>نسل سرب تلفن</v>
      </c>
      <c r="G13900" s="1" t="str">
        <f>IFERROR(__xludf.DUMMYFUNCTION("GOOGLETRANSLATE(C13900, ""en"", ""fa"")
"),"فرصت‌های بالقوه افزایش فروش یا فروش متقابل را که می‌توان در طول ارائه معرفی کرد، فهرست کنید، و ویژگی‌ها یا خدمات دیگری را که می‌توانند تجربه مشتری بالقوه را افزایش دهند، به نمایش بگذارید.")</f>
        <v>فرصت‌های بالقوه افزایش فروش یا فروش متقابل را که می‌توان در طول ارائه معرفی کرد، فهرست کنید، و ویژگی‌ها یا خدمات دیگری را که می‌توانند تجربه مشتری بالقوه را افزایش دهند، به نمایش بگذارید.</v>
      </c>
      <c r="H13900" s="1"/>
      <c r="I13900" s="1"/>
      <c r="J13900" s="1"/>
      <c r="K13900" s="1"/>
      <c r="L13900" s="1"/>
      <c r="M13900" s="1"/>
      <c r="N13900" s="1"/>
      <c r="O13900" s="1"/>
      <c r="P13900" s="1"/>
      <c r="Q13900" s="1"/>
      <c r="R13900" s="1"/>
      <c r="S13900" s="1"/>
      <c r="T13900" s="1"/>
      <c r="U13900" s="1"/>
      <c r="V13900" s="1"/>
      <c r="W13900" s="1"/>
      <c r="X13900" s="1"/>
      <c r="Y13900" s="1"/>
      <c r="Z13900" s="1"/>
      <c r="AA13900" s="1"/>
      <c r="AB13900" s="1"/>
    </row>
    <row r="13901" ht="50.25" customHeight="1">
      <c r="A13901" s="12">
        <v>13897.0</v>
      </c>
      <c r="B13901" s="13" t="s">
        <v>13090</v>
      </c>
      <c r="C13901" s="14" t="s">
        <v>13162</v>
      </c>
      <c r="D13901" s="1"/>
      <c r="E13901" s="1"/>
      <c r="F13901" s="1" t="str">
        <f>IFERROR(__xludf.DUMMYFUNCTION("GOOGLETRANSLATE(B13901, ""en"", ""fa"")
"),"نسل سرب تلفن")</f>
        <v>نسل سرب تلفن</v>
      </c>
      <c r="G13901" s="1" t="str">
        <f>IFERROR(__xludf.DUMMYFUNCTION("GOOGLETRANSLATE(C13901, ""en"", ""fa"")
"),"گام‌ها یا اقدامات خاصی را که مشتری بالقوه باید انجام دهد تا محصول/خدمت ما را پیش ببرد، مشخص کنید، و یک نقشه راه واضح و مختصر برای مراحل بعدی در طول ارائه ارائه دهید.")</f>
        <v>گام‌ها یا اقدامات خاصی را که مشتری بالقوه باید انجام دهد تا محصول/خدمت ما را پیش ببرد، مشخص کنید، و یک نقشه راه واضح و مختصر برای مراحل بعدی در طول ارائه ارائه دهید.</v>
      </c>
      <c r="H13901" s="1"/>
      <c r="I13901" s="1"/>
      <c r="J13901" s="1"/>
      <c r="K13901" s="1"/>
      <c r="L13901" s="1"/>
      <c r="M13901" s="1"/>
      <c r="N13901" s="1"/>
      <c r="O13901" s="1"/>
      <c r="P13901" s="1"/>
      <c r="Q13901" s="1"/>
      <c r="R13901" s="1"/>
      <c r="S13901" s="1"/>
      <c r="T13901" s="1"/>
      <c r="U13901" s="1"/>
      <c r="V13901" s="1"/>
      <c r="W13901" s="1"/>
      <c r="X13901" s="1"/>
      <c r="Y13901" s="1"/>
      <c r="Z13901" s="1"/>
      <c r="AA13901" s="1"/>
      <c r="AB13901" s="1"/>
    </row>
    <row r="13902" ht="50.25" customHeight="1">
      <c r="A13902" s="12">
        <v>13898.0</v>
      </c>
      <c r="B13902" s="13" t="s">
        <v>13090</v>
      </c>
      <c r="C13902" s="14" t="s">
        <v>13163</v>
      </c>
      <c r="D13902" s="1"/>
      <c r="E13902" s="1"/>
      <c r="F13902" s="1" t="str">
        <f>IFERROR(__xludf.DUMMYFUNCTION("GOOGLETRANSLATE(B13902, ""en"", ""fa"")
"),"نسل سرب تلفن")</f>
        <v>نسل سرب تلفن</v>
      </c>
      <c r="G13902" s="1" t="str">
        <f>IFERROR(__xludf.DUMMYFUNCTION("GOOGLETRANSLATE(C13902, ""en"", ""fa"")
"),"طرحی برای گنجاندن عناصر داستان سرایی تعاملی، مانند ویدیوهای موفقیت مشتری یا توصیفات، در ارائه طراحی کنید تا روایتی جذاب تر و تاثیرگذارتر ایجاد کنید.")</f>
        <v>طرحی برای گنجاندن عناصر داستان سرایی تعاملی، مانند ویدیوهای موفقیت مشتری یا توصیفات، در ارائه طراحی کنید تا روایتی جذاب تر و تاثیرگذارتر ایجاد کنید.</v>
      </c>
      <c r="H13902" s="1"/>
      <c r="I13902" s="1"/>
      <c r="J13902" s="1"/>
      <c r="K13902" s="1"/>
      <c r="L13902" s="1"/>
      <c r="M13902" s="1"/>
      <c r="N13902" s="1"/>
      <c r="O13902" s="1"/>
      <c r="P13902" s="1"/>
      <c r="Q13902" s="1"/>
      <c r="R13902" s="1"/>
      <c r="S13902" s="1"/>
      <c r="T13902" s="1"/>
      <c r="U13902" s="1"/>
      <c r="V13902" s="1"/>
      <c r="W13902" s="1"/>
      <c r="X13902" s="1"/>
      <c r="Y13902" s="1"/>
      <c r="Z13902" s="1"/>
      <c r="AA13902" s="1"/>
      <c r="AB13902" s="1"/>
    </row>
    <row r="13903" ht="50.25" customHeight="1">
      <c r="A13903" s="12">
        <v>13899.0</v>
      </c>
      <c r="B13903" s="13" t="s">
        <v>13090</v>
      </c>
      <c r="C13903" s="14" t="s">
        <v>13164</v>
      </c>
      <c r="D13903" s="1"/>
      <c r="E13903" s="1"/>
      <c r="F13903" s="1" t="str">
        <f>IFERROR(__xludf.DUMMYFUNCTION("GOOGLETRANSLATE(B13903, ""en"", ""fa"")
"),"نسل سرب تلفن")</f>
        <v>نسل سرب تلفن</v>
      </c>
      <c r="G13903" s="1" t="str">
        <f>IFERROR(__xludf.DUMMYFUNCTION("GOOGLETRANSLATE(C13903, ""en"", ""fa"")
"),"یک طرح کلی برای استوری‌بورد بصری قانع‌کننده‌ای تهیه کنید که نقاط دردناک فعلی مشتری، خطرات بالقوه عدم اقدام، و نتایج متحول‌کننده‌ای را که محصول/خدمت ما می‌تواند ارائه دهد، نشان دهد.")</f>
        <v>یک طرح کلی برای استوری‌بورد بصری قانع‌کننده‌ای تهیه کنید که نقاط دردناک فعلی مشتری، خطرات بالقوه عدم اقدام، و نتایج متحول‌کننده‌ای را که محصول/خدمت ما می‌تواند ارائه دهد، نشان دهد.</v>
      </c>
      <c r="H13903" s="1"/>
      <c r="I13903" s="1"/>
      <c r="J13903" s="1"/>
      <c r="K13903" s="1"/>
      <c r="L13903" s="1"/>
      <c r="M13903" s="1"/>
      <c r="N13903" s="1"/>
      <c r="O13903" s="1"/>
      <c r="P13903" s="1"/>
      <c r="Q13903" s="1"/>
      <c r="R13903" s="1"/>
      <c r="S13903" s="1"/>
      <c r="T13903" s="1"/>
      <c r="U13903" s="1"/>
      <c r="V13903" s="1"/>
      <c r="W13903" s="1"/>
      <c r="X13903" s="1"/>
      <c r="Y13903" s="1"/>
      <c r="Z13903" s="1"/>
      <c r="AA13903" s="1"/>
      <c r="AB13903" s="1"/>
    </row>
    <row r="13904" ht="50.25" customHeight="1">
      <c r="A13904" s="12">
        <v>13900.0</v>
      </c>
      <c r="B13904" s="13" t="s">
        <v>13090</v>
      </c>
      <c r="C13904" s="14" t="s">
        <v>13165</v>
      </c>
      <c r="D13904" s="1"/>
      <c r="E13904" s="1"/>
      <c r="F13904" s="1" t="str">
        <f>IFERROR(__xludf.DUMMYFUNCTION("GOOGLETRANSLATE(B13904, ""en"", ""fa"")
"),"نسل سرب تلفن")</f>
        <v>نسل سرب تلفن</v>
      </c>
      <c r="G13904" s="1" t="str">
        <f>IFERROR(__xludf.DUMMYFUNCTION("GOOGLETRANSLATE(C13904, ""en"", ""fa"")
"),"طرحی را برای رسیدگی به ایرادات یا نگرانی‌های احتمالی مربوط به زمان اجرا، الزامات آموزشی، یا اختلالات در جریان کار موجود مشتری در طول ارائه ارائه دهید.")</f>
        <v>طرحی را برای رسیدگی به ایرادات یا نگرانی‌های احتمالی مربوط به زمان اجرا، الزامات آموزشی، یا اختلالات در جریان کار موجود مشتری در طول ارائه ارائه دهید.</v>
      </c>
      <c r="H13904" s="1"/>
      <c r="I13904" s="1"/>
      <c r="J13904" s="1"/>
      <c r="K13904" s="1"/>
      <c r="L13904" s="1"/>
      <c r="M13904" s="1"/>
      <c r="N13904" s="1"/>
      <c r="O13904" s="1"/>
      <c r="P13904" s="1"/>
      <c r="Q13904" s="1"/>
      <c r="R13904" s="1"/>
      <c r="S13904" s="1"/>
      <c r="T13904" s="1"/>
      <c r="U13904" s="1"/>
      <c r="V13904" s="1"/>
      <c r="W13904" s="1"/>
      <c r="X13904" s="1"/>
      <c r="Y13904" s="1"/>
      <c r="Z13904" s="1"/>
      <c r="AA13904" s="1"/>
      <c r="AB13904" s="1"/>
    </row>
    <row r="13905" ht="50.25" customHeight="1">
      <c r="A13905" s="12">
        <v>13901.0</v>
      </c>
      <c r="B13905" s="13" t="s">
        <v>13090</v>
      </c>
      <c r="C13905" s="14" t="s">
        <v>13166</v>
      </c>
      <c r="D13905" s="1"/>
      <c r="E13905" s="1"/>
      <c r="F13905" s="1" t="str">
        <f>IFERROR(__xludf.DUMMYFUNCTION("GOOGLETRANSLATE(B13905, ""en"", ""fa"")
"),"نسل سرب تلفن")</f>
        <v>نسل سرب تلفن</v>
      </c>
      <c r="G13905" s="1" t="str">
        <f>IFERROR(__xludf.DUMMYFUNCTION("GOOGLETRANSLATE(C13905, ""en"", ""fa"")
"),"یک استراتژی برای استفاده از داده‌ها یا تحلیل‌های بی‌درنگ در طول ارائه برنامه‌ریزی کنید و نشان دهید که چگونه محصول/خدمت ما می‌تواند بینش عملی و هوش تجاری را در اختیار مشتری قرار دهد.")</f>
        <v>یک استراتژی برای استفاده از داده‌ها یا تحلیل‌های بی‌درنگ در طول ارائه برنامه‌ریزی کنید و نشان دهید که چگونه محصول/خدمت ما می‌تواند بینش عملی و هوش تجاری را در اختیار مشتری قرار دهد.</v>
      </c>
      <c r="H13905" s="1"/>
      <c r="I13905" s="1"/>
      <c r="J13905" s="1"/>
      <c r="K13905" s="1"/>
      <c r="L13905" s="1"/>
      <c r="M13905" s="1"/>
      <c r="N13905" s="1"/>
      <c r="O13905" s="1"/>
      <c r="P13905" s="1"/>
      <c r="Q13905" s="1"/>
      <c r="R13905" s="1"/>
      <c r="S13905" s="1"/>
      <c r="T13905" s="1"/>
      <c r="U13905" s="1"/>
      <c r="V13905" s="1"/>
      <c r="W13905" s="1"/>
      <c r="X13905" s="1"/>
      <c r="Y13905" s="1"/>
      <c r="Z13905" s="1"/>
      <c r="AA13905" s="1"/>
      <c r="AB13905" s="1"/>
    </row>
    <row r="13906" ht="50.25" customHeight="1">
      <c r="A13906" s="12">
        <v>13902.0</v>
      </c>
      <c r="B13906" s="13" t="s">
        <v>13090</v>
      </c>
      <c r="C13906" s="14" t="s">
        <v>13167</v>
      </c>
      <c r="D13906" s="1"/>
      <c r="E13906" s="1"/>
      <c r="F13906" s="1" t="str">
        <f>IFERROR(__xludf.DUMMYFUNCTION("GOOGLETRANSLATE(B13906, ""en"", ""fa"")
"),"نسل سرب تلفن")</f>
        <v>نسل سرب تلفن</v>
      </c>
      <c r="G13906" s="1" t="str">
        <f>IFERROR(__xludf.DUMMYFUNCTION("GOOGLETRANSLATE(C13906, ""en"", ""fa"")
"),"فهرستی از تشبیهات یا استعاره های متقاعدکننده و به یاد ماندنی بنویسید که می تواند در طول ارائه برای ساده کردن مفاهیم پیچیده و ارتباط بیشتر آنها با مشتری مورد استفاده قرار گیرد.")</f>
        <v>فهرستی از تشبیهات یا استعاره های متقاعدکننده و به یاد ماندنی بنویسید که می تواند در طول ارائه برای ساده کردن مفاهیم پیچیده و ارتباط بیشتر آنها با مشتری مورد استفاده قرار گیرد.</v>
      </c>
      <c r="H13906" s="1"/>
      <c r="I13906" s="1"/>
      <c r="J13906" s="1"/>
      <c r="K13906" s="1"/>
      <c r="L13906" s="1"/>
      <c r="M13906" s="1"/>
      <c r="N13906" s="1"/>
      <c r="O13906" s="1"/>
      <c r="P13906" s="1"/>
      <c r="Q13906" s="1"/>
      <c r="R13906" s="1"/>
      <c r="S13906" s="1"/>
      <c r="T13906" s="1"/>
      <c r="U13906" s="1"/>
      <c r="V13906" s="1"/>
      <c r="W13906" s="1"/>
      <c r="X13906" s="1"/>
      <c r="Y13906" s="1"/>
      <c r="Z13906" s="1"/>
      <c r="AA13906" s="1"/>
      <c r="AB13906" s="1"/>
    </row>
    <row r="13907" ht="50.25" customHeight="1">
      <c r="A13907" s="12">
        <v>13903.0</v>
      </c>
      <c r="B13907" s="13" t="s">
        <v>13090</v>
      </c>
      <c r="C13907" s="14" t="s">
        <v>13168</v>
      </c>
      <c r="D13907" s="1"/>
      <c r="E13907" s="1"/>
      <c r="F13907" s="1" t="str">
        <f>IFERROR(__xludf.DUMMYFUNCTION("GOOGLETRANSLATE(B13907, ""en"", ""fa"")
"),"نسل سرب تلفن")</f>
        <v>نسل سرب تلفن</v>
      </c>
      <c r="G13907" s="1" t="str">
        <f>IFERROR(__xludf.DUMMYFUNCTION("GOOGLETRANSLATE(C13907, ""en"", ""fa"")
"),"فرصت‌های مشارکت بالقوه‌ای را که می‌توان در طول ارائه بررسی کرد، فهرست کنید و نشان دهید که چگونه محصول/خدمت ما می‌تواند پیشنهادات موجود مشتری را تکمیل یا تقویت کند.")</f>
        <v>فرصت‌های مشارکت بالقوه‌ای را که می‌توان در طول ارائه بررسی کرد، فهرست کنید و نشان دهید که چگونه محصول/خدمت ما می‌تواند پیشنهادات موجود مشتری را تکمیل یا تقویت کند.</v>
      </c>
      <c r="H13907" s="1"/>
      <c r="I13907" s="1"/>
      <c r="J13907" s="1"/>
      <c r="K13907" s="1"/>
      <c r="L13907" s="1"/>
      <c r="M13907" s="1"/>
      <c r="N13907" s="1"/>
      <c r="O13907" s="1"/>
      <c r="P13907" s="1"/>
      <c r="Q13907" s="1"/>
      <c r="R13907" s="1"/>
      <c r="S13907" s="1"/>
      <c r="T13907" s="1"/>
      <c r="U13907" s="1"/>
      <c r="V13907" s="1"/>
      <c r="W13907" s="1"/>
      <c r="X13907" s="1"/>
      <c r="Y13907" s="1"/>
      <c r="Z13907" s="1"/>
      <c r="AA13907" s="1"/>
      <c r="AB13907" s="1"/>
    </row>
    <row r="13908" ht="50.25" customHeight="1">
      <c r="A13908" s="12">
        <v>13904.0</v>
      </c>
      <c r="B13908" s="13" t="s">
        <v>13090</v>
      </c>
      <c r="C13908" s="14" t="s">
        <v>13169</v>
      </c>
      <c r="D13908" s="1"/>
      <c r="E13908" s="1"/>
      <c r="F13908" s="1" t="str">
        <f>IFERROR(__xludf.DUMMYFUNCTION("GOOGLETRANSLATE(B13908, ""en"", ""fa"")
"),"نسل سرب تلفن")</f>
        <v>نسل سرب تلفن</v>
      </c>
      <c r="G13908" s="1" t="str">
        <f>IFERROR(__xludf.DUMMYFUNCTION("GOOGLETRANSLATE(C13908, ""en"", ""fa"")
"),"نتایج یا نتایج خاصی را که مشتری بالقوه می‌تواند پس از پذیرش محصول/خدمت ما در یک بازه زمانی مشخص به دست آورد، بر اساس داستان‌های موفقیت قبلی مشتری، فهرست کنید.")</f>
        <v>نتایج یا نتایج خاصی را که مشتری بالقوه می‌تواند پس از پذیرش محصول/خدمت ما در یک بازه زمانی مشخص به دست آورد، بر اساس داستان‌های موفقیت قبلی مشتری، فهرست کنید.</v>
      </c>
      <c r="H13908" s="1"/>
      <c r="I13908" s="1"/>
      <c r="J13908" s="1"/>
      <c r="K13908" s="1"/>
      <c r="L13908" s="1"/>
      <c r="M13908" s="1"/>
      <c r="N13908" s="1"/>
      <c r="O13908" s="1"/>
      <c r="P13908" s="1"/>
      <c r="Q13908" s="1"/>
      <c r="R13908" s="1"/>
      <c r="S13908" s="1"/>
      <c r="T13908" s="1"/>
      <c r="U13908" s="1"/>
      <c r="V13908" s="1"/>
      <c r="W13908" s="1"/>
      <c r="X13908" s="1"/>
      <c r="Y13908" s="1"/>
      <c r="Z13908" s="1"/>
      <c r="AA13908" s="1"/>
      <c r="AB13908" s="1"/>
    </row>
    <row r="13909" ht="50.25" customHeight="1">
      <c r="A13909" s="12">
        <v>13905.0</v>
      </c>
      <c r="B13909" s="13" t="s">
        <v>13090</v>
      </c>
      <c r="C13909" s="14" t="s">
        <v>13170</v>
      </c>
      <c r="D13909" s="1"/>
      <c r="E13909" s="1"/>
      <c r="F13909" s="1" t="str">
        <f>IFERROR(__xludf.DUMMYFUNCTION("GOOGLETRANSLATE(B13909, ""en"", ""fa"")
"),"نسل سرب تلفن")</f>
        <v>نسل سرب تلفن</v>
      </c>
      <c r="G13909" s="1" t="str">
        <f>IFERROR(__xludf.DUMMYFUNCTION("GOOGLETRANSLATE(C13909, ""en"", ""fa"")
"),"طرحی برای رسیدگی به ایرادات یا نگرانی‌های احتمالی مربوط به قیمت‌گذاری، بازگشت سرمایه یا هزینه کل مالکیت در طول ارائه، با تأکید بر ارزش و مزایای بلندمدت پیشنهاد ما طراحی کنید.")</f>
        <v>طرحی برای رسیدگی به ایرادات یا نگرانی‌های احتمالی مربوط به قیمت‌گذاری، بازگشت سرمایه یا هزینه کل مالکیت در طول ارائه، با تأکید بر ارزش و مزایای بلندمدت پیشنهاد ما طراحی کنید.</v>
      </c>
      <c r="H13909" s="1"/>
      <c r="I13909" s="1"/>
      <c r="J13909" s="1"/>
      <c r="K13909" s="1"/>
      <c r="L13909" s="1"/>
      <c r="M13909" s="1"/>
      <c r="N13909" s="1"/>
      <c r="O13909" s="1"/>
      <c r="P13909" s="1"/>
      <c r="Q13909" s="1"/>
      <c r="R13909" s="1"/>
      <c r="S13909" s="1"/>
      <c r="T13909" s="1"/>
      <c r="U13909" s="1"/>
      <c r="V13909" s="1"/>
      <c r="W13909" s="1"/>
      <c r="X13909" s="1"/>
      <c r="Y13909" s="1"/>
      <c r="Z13909" s="1"/>
      <c r="AA13909" s="1"/>
      <c r="AB13909" s="1"/>
    </row>
    <row r="13910" ht="50.25" customHeight="1">
      <c r="A13910" s="12">
        <v>13906.0</v>
      </c>
      <c r="B13910" s="13" t="s">
        <v>13090</v>
      </c>
      <c r="C13910" s="14" t="s">
        <v>13171</v>
      </c>
      <c r="D13910" s="1"/>
      <c r="E13910" s="1"/>
      <c r="F13910" s="1" t="str">
        <f>IFERROR(__xludf.DUMMYFUNCTION("GOOGLETRANSLATE(B13910, ""en"", ""fa"")
"),"نسل سرب تلفن")</f>
        <v>نسل سرب تلفن</v>
      </c>
      <c r="G13910" s="1" t="str">
        <f>IFERROR(__xludf.DUMMYFUNCTION("GOOGLETRANSLATE(C13910, ""en"", ""fa"")
"),"یک طرح کلی برای بیانیه آغازین یا سؤالی با تأثیر بالا که توجه مشتری بالقوه را جلب می کند و لحن را برای ارائه جذاب و متقاعدکننده تنظیم می کند، تهیه کنید.")</f>
        <v>یک طرح کلی برای بیانیه آغازین یا سؤالی با تأثیر بالا که توجه مشتری بالقوه را جلب می کند و لحن را برای ارائه جذاب و متقاعدکننده تنظیم می کند، تهیه کنید.</v>
      </c>
      <c r="H13910" s="1"/>
      <c r="I13910" s="1"/>
      <c r="J13910" s="1"/>
      <c r="K13910" s="1"/>
      <c r="L13910" s="1"/>
      <c r="M13910" s="1"/>
      <c r="N13910" s="1"/>
      <c r="O13910" s="1"/>
      <c r="P13910" s="1"/>
      <c r="Q13910" s="1"/>
      <c r="R13910" s="1"/>
      <c r="S13910" s="1"/>
      <c r="T13910" s="1"/>
      <c r="U13910" s="1"/>
      <c r="V13910" s="1"/>
      <c r="W13910" s="1"/>
      <c r="X13910" s="1"/>
      <c r="Y13910" s="1"/>
      <c r="Z13910" s="1"/>
      <c r="AA13910" s="1"/>
      <c r="AB13910" s="1"/>
    </row>
    <row r="13911" ht="50.25" customHeight="1">
      <c r="A13911" s="12">
        <v>13907.0</v>
      </c>
      <c r="B13911" s="13" t="s">
        <v>13090</v>
      </c>
      <c r="C13911" s="14" t="s">
        <v>13172</v>
      </c>
      <c r="D13911" s="1"/>
      <c r="E13911" s="1"/>
      <c r="F13911" s="1" t="str">
        <f>IFERROR(__xludf.DUMMYFUNCTION("GOOGLETRANSLATE(B13911, ""en"", ""fa"")
"),"نسل سرب تلفن")</f>
        <v>نسل سرب تلفن</v>
      </c>
      <c r="G13911" s="1" t="str">
        <f>IFERROR(__xludf.DUMMYFUNCTION("GOOGLETRANSLATE(C13911, ""en"", ""fa"")
"),"طرحی را برای رسیدگی به معیارهای تصمیم گیری مشتری بالقوه و عوامل ارزیابی کلیدی در طول ارائه، ترسیم کنید، و نقاط قوت محصول/خدمات ما را با اولویت های خاص آنها هماهنگ کنید.")</f>
        <v>طرحی را برای رسیدگی به معیارهای تصمیم گیری مشتری بالقوه و عوامل ارزیابی کلیدی در طول ارائه، ترسیم کنید، و نقاط قوت محصول/خدمات ما را با اولویت های خاص آنها هماهنگ کنید.</v>
      </c>
      <c r="H13911" s="1"/>
      <c r="I13911" s="1"/>
      <c r="J13911" s="1"/>
      <c r="K13911" s="1"/>
      <c r="L13911" s="1"/>
      <c r="M13911" s="1"/>
      <c r="N13911" s="1"/>
      <c r="O13911" s="1"/>
      <c r="P13911" s="1"/>
      <c r="Q13911" s="1"/>
      <c r="R13911" s="1"/>
      <c r="S13911" s="1"/>
      <c r="T13911" s="1"/>
      <c r="U13911" s="1"/>
      <c r="V13911" s="1"/>
      <c r="W13911" s="1"/>
      <c r="X13911" s="1"/>
      <c r="Y13911" s="1"/>
      <c r="Z13911" s="1"/>
      <c r="AA13911" s="1"/>
      <c r="AB13911" s="1"/>
    </row>
    <row r="13912" ht="50.25" customHeight="1">
      <c r="A13912" s="12">
        <v>13908.0</v>
      </c>
      <c r="B13912" s="13" t="s">
        <v>13090</v>
      </c>
      <c r="C13912" s="14" t="s">
        <v>13173</v>
      </c>
      <c r="D13912" s="1"/>
      <c r="E13912" s="1"/>
      <c r="F13912" s="1" t="str">
        <f>IFERROR(__xludf.DUMMYFUNCTION("GOOGLETRANSLATE(B13912, ""en"", ""fa"")
"),"نسل سرب تلفن")</f>
        <v>نسل سرب تلفن</v>
      </c>
      <c r="G13912" s="1" t="str">
        <f>IFERROR(__xludf.DUMMYFUNCTION("GOOGLETRANSLATE(C13912, ""en"", ""fa"")
"),"یک استراتژی برای گنجاندن نسخه‌های نمایشی یا شبیه‌سازی‌های تعاملی در ارائه برنامه‌ریزی کنید، که به مشتری اجازه می‌دهد تا به طور مستقیم از قابلیت استفاده و اثربخشی محصول/خدمت ما استفاده کند.")</f>
        <v>یک استراتژی برای گنجاندن نسخه‌های نمایشی یا شبیه‌سازی‌های تعاملی در ارائه برنامه‌ریزی کنید، که به مشتری اجازه می‌دهد تا به طور مستقیم از قابلیت استفاده و اثربخشی محصول/خدمت ما استفاده کند.</v>
      </c>
      <c r="H13912" s="1"/>
      <c r="I13912" s="1"/>
      <c r="J13912" s="1"/>
      <c r="K13912" s="1"/>
      <c r="L13912" s="1"/>
      <c r="M13912" s="1"/>
      <c r="N13912" s="1"/>
      <c r="O13912" s="1"/>
      <c r="P13912" s="1"/>
      <c r="Q13912" s="1"/>
      <c r="R13912" s="1"/>
      <c r="S13912" s="1"/>
      <c r="T13912" s="1"/>
      <c r="U13912" s="1"/>
      <c r="V13912" s="1"/>
      <c r="W13912" s="1"/>
      <c r="X13912" s="1"/>
      <c r="Y13912" s="1"/>
      <c r="Z13912" s="1"/>
      <c r="AA13912" s="1"/>
      <c r="AB13912" s="1"/>
    </row>
    <row r="13913" ht="50.25" customHeight="1">
      <c r="A13913" s="12">
        <v>13909.0</v>
      </c>
      <c r="B13913" s="13" t="s">
        <v>13090</v>
      </c>
      <c r="C13913" s="14" t="s">
        <v>13174</v>
      </c>
      <c r="D13913" s="1"/>
      <c r="E13913" s="1"/>
      <c r="F13913" s="1" t="str">
        <f>IFERROR(__xludf.DUMMYFUNCTION("GOOGLETRANSLATE(B13913, ""en"", ""fa"")
"),"نسل سرب تلفن")</f>
        <v>نسل سرب تلفن</v>
      </c>
      <c r="G13913" s="1" t="str">
        <f>IFERROR(__xludf.DUMMYFUNCTION("GOOGLETRANSLATE(C13913, ""en"", ""fa"")
"),"طرحی برای رسیدگی به ایرادات بالقوه یا نگرانی‌های مربوط به جایگزین‌های رقابتی یا راه‌حل‌های داخلی در طول ارائه طراحی کنید، و مزایای منحصربه‌فرد و ارزش افزوده‌ای که ارائه می‌دهیم را برجسته کنید.")</f>
        <v>طرحی برای رسیدگی به ایرادات بالقوه یا نگرانی‌های مربوط به جایگزین‌های رقابتی یا راه‌حل‌های داخلی در طول ارائه طراحی کنید، و مزایای منحصربه‌فرد و ارزش افزوده‌ای که ارائه می‌دهیم را برجسته کنید.</v>
      </c>
      <c r="H13913" s="1"/>
      <c r="I13913" s="1"/>
      <c r="J13913" s="1"/>
      <c r="K13913" s="1"/>
      <c r="L13913" s="1"/>
      <c r="M13913" s="1"/>
      <c r="N13913" s="1"/>
      <c r="O13913" s="1"/>
      <c r="P13913" s="1"/>
      <c r="Q13913" s="1"/>
      <c r="R13913" s="1"/>
      <c r="S13913" s="1"/>
      <c r="T13913" s="1"/>
      <c r="U13913" s="1"/>
      <c r="V13913" s="1"/>
      <c r="W13913" s="1"/>
      <c r="X13913" s="1"/>
      <c r="Y13913" s="1"/>
      <c r="Z13913" s="1"/>
      <c r="AA13913" s="1"/>
      <c r="AB13913" s="1"/>
    </row>
    <row r="13914" ht="50.25" customHeight="1">
      <c r="A13914" s="12">
        <v>13910.0</v>
      </c>
      <c r="B13914" s="13" t="s">
        <v>13090</v>
      </c>
      <c r="C13914" s="14" t="s">
        <v>13175</v>
      </c>
      <c r="D13914" s="1"/>
      <c r="E13914" s="1"/>
      <c r="F13914" s="1" t="str">
        <f>IFERROR(__xludf.DUMMYFUNCTION("GOOGLETRANSLATE(B13914, ""en"", ""fa"")
"),"نسل سرب تلفن")</f>
        <v>نسل سرب تلفن</v>
      </c>
      <c r="G13914" s="1" t="str">
        <f>IFERROR(__xludf.DUMMYFUNCTION("GOOGLETRANSLATE(C13914, ""en"", ""fa"")
"),"فهرستی از موارد استفاده خاص صنعت یا داستان های موفقیت که نشان می دهد چگونه محصول/خدمت ما به سازمان های مشابه کمک کرده است تا بر چالش ها غلبه کنند و به نتایج قابل توجهی دست یابند.")</f>
        <v>فهرستی از موارد استفاده خاص صنعت یا داستان های موفقیت که نشان می دهد چگونه محصول/خدمت ما به سازمان های مشابه کمک کرده است تا بر چالش ها غلبه کنند و به نتایج قابل توجهی دست یابند.</v>
      </c>
      <c r="H13914" s="1"/>
      <c r="I13914" s="1"/>
      <c r="J13914" s="1"/>
      <c r="K13914" s="1"/>
      <c r="L13914" s="1"/>
      <c r="M13914" s="1"/>
      <c r="N13914" s="1"/>
      <c r="O13914" s="1"/>
      <c r="P13914" s="1"/>
      <c r="Q13914" s="1"/>
      <c r="R13914" s="1"/>
      <c r="S13914" s="1"/>
      <c r="T13914" s="1"/>
      <c r="U13914" s="1"/>
      <c r="V13914" s="1"/>
      <c r="W13914" s="1"/>
      <c r="X13914" s="1"/>
      <c r="Y13914" s="1"/>
      <c r="Z13914" s="1"/>
      <c r="AA13914" s="1"/>
      <c r="AB13914" s="1"/>
    </row>
    <row r="13915" ht="50.25" customHeight="1">
      <c r="A13915" s="12">
        <v>13911.0</v>
      </c>
      <c r="B13915" s="13" t="s">
        <v>13090</v>
      </c>
      <c r="C13915" s="14" t="s">
        <v>13176</v>
      </c>
      <c r="D13915" s="1"/>
      <c r="E13915" s="1"/>
      <c r="F13915" s="1" t="str">
        <f>IFERROR(__xludf.DUMMYFUNCTION("GOOGLETRANSLATE(B13915, ""en"", ""fa"")
"),"نسل سرب تلفن")</f>
        <v>نسل سرب تلفن</v>
      </c>
      <c r="G13915" s="1" t="str">
        <f>IFERROR(__xludf.DUMMYFUNCTION("GOOGLETRANSLATE(C13915, ""en"", ""fa"")
"),"گزینه‌های سفارشی‌سازی بالقوه یا مدل‌های قیمت‌گذاری منعطف را فهرست کنید که می‌توانند بر اساس نیازهای خاص مشتری یا محدودیت‌های بودجه تنظیم شوند و حسی از راه‌حل‌های شخصی‌سازی شده را در طول ارائه ارائه دهند.")</f>
        <v>گزینه‌های سفارشی‌سازی بالقوه یا مدل‌های قیمت‌گذاری منعطف را فهرست کنید که می‌توانند بر اساس نیازهای خاص مشتری یا محدودیت‌های بودجه تنظیم شوند و حسی از راه‌حل‌های شخصی‌سازی شده را در طول ارائه ارائه دهند.</v>
      </c>
      <c r="H13915" s="1"/>
      <c r="I13915" s="1"/>
      <c r="J13915" s="1"/>
      <c r="K13915" s="1"/>
      <c r="L13915" s="1"/>
      <c r="M13915" s="1"/>
      <c r="N13915" s="1"/>
      <c r="O13915" s="1"/>
      <c r="P13915" s="1"/>
      <c r="Q13915" s="1"/>
      <c r="R13915" s="1"/>
      <c r="S13915" s="1"/>
      <c r="T13915" s="1"/>
      <c r="U13915" s="1"/>
      <c r="V13915" s="1"/>
      <c r="W13915" s="1"/>
      <c r="X13915" s="1"/>
      <c r="Y13915" s="1"/>
      <c r="Z13915" s="1"/>
      <c r="AA13915" s="1"/>
      <c r="AB13915" s="1"/>
    </row>
    <row r="13916" ht="50.25" customHeight="1">
      <c r="A13916" s="12">
        <v>13912.0</v>
      </c>
      <c r="B13916" s="13" t="s">
        <v>13090</v>
      </c>
      <c r="C13916" s="14" t="s">
        <v>13177</v>
      </c>
      <c r="D13916" s="1"/>
      <c r="E13916" s="1"/>
      <c r="F13916" s="1" t="str">
        <f>IFERROR(__xludf.DUMMYFUNCTION("GOOGLETRANSLATE(B13916, ""en"", ""fa"")
"),"نسل سرب تلفن")</f>
        <v>نسل سرب تلفن</v>
      </c>
      <c r="G13916" s="1" t="str">
        <f>IFERROR(__xludf.DUMMYFUNCTION("GOOGLETRANSLATE(C13916, ""en"", ""fa"")
"),"کانال‌ها یا منابع خاص پشتیبانی مشتری را که پس از خرید در دسترس مشتریان بالقوه است، مشخص کنید، و تعهد ما به رضایت و موفقیت مداوم آنها را نشان دهد.")</f>
        <v>کانال‌ها یا منابع خاص پشتیبانی مشتری را که پس از خرید در دسترس مشتریان بالقوه است، مشخص کنید، و تعهد ما به رضایت و موفقیت مداوم آنها را نشان دهد.</v>
      </c>
      <c r="H13916" s="1"/>
      <c r="I13916" s="1"/>
      <c r="J13916" s="1"/>
      <c r="K13916" s="1"/>
      <c r="L13916" s="1"/>
      <c r="M13916" s="1"/>
      <c r="N13916" s="1"/>
      <c r="O13916" s="1"/>
      <c r="P13916" s="1"/>
      <c r="Q13916" s="1"/>
      <c r="R13916" s="1"/>
      <c r="S13916" s="1"/>
      <c r="T13916" s="1"/>
      <c r="U13916" s="1"/>
      <c r="V13916" s="1"/>
      <c r="W13916" s="1"/>
      <c r="X13916" s="1"/>
      <c r="Y13916" s="1"/>
      <c r="Z13916" s="1"/>
      <c r="AA13916" s="1"/>
      <c r="AB13916" s="1"/>
    </row>
    <row r="13917" ht="50.25" customHeight="1">
      <c r="A13917" s="12">
        <v>13913.0</v>
      </c>
      <c r="B13917" s="13" t="s">
        <v>13090</v>
      </c>
      <c r="C13917" s="14" t="s">
        <v>13178</v>
      </c>
      <c r="D13917" s="1"/>
      <c r="E13917" s="1"/>
      <c r="F13917" s="1" t="str">
        <f>IFERROR(__xludf.DUMMYFUNCTION("GOOGLETRANSLATE(B13917, ""en"", ""fa"")
"),"نسل سرب تلفن")</f>
        <v>نسل سرب تلفن</v>
      </c>
      <c r="G13917" s="1" t="str">
        <f>IFERROR(__xludf.DUMMYFUNCTION("GOOGLETRANSLATE(C13917, ""en"", ""fa"")
"),"طرحی برای گنجاندن توصیفات بصری یا مطالعات موردی در ارائه، استفاده از نقل قول‌ها، آمار یا تصاویر تاثیرگذار برای تقویت مزایا و اعتبار محصول/خدمات خود طراحی کنید.")</f>
        <v>طرحی برای گنجاندن توصیفات بصری یا مطالعات موردی در ارائه، استفاده از نقل قول‌ها، آمار یا تصاویر تاثیرگذار برای تقویت مزایا و اعتبار محصول/خدمات خود طراحی کنید.</v>
      </c>
      <c r="H13917" s="1"/>
      <c r="I13917" s="1"/>
      <c r="J13917" s="1"/>
      <c r="K13917" s="1"/>
      <c r="L13917" s="1"/>
      <c r="M13917" s="1"/>
      <c r="N13917" s="1"/>
      <c r="O13917" s="1"/>
      <c r="P13917" s="1"/>
      <c r="Q13917" s="1"/>
      <c r="R13917" s="1"/>
      <c r="S13917" s="1"/>
      <c r="T13917" s="1"/>
      <c r="U13917" s="1"/>
      <c r="V13917" s="1"/>
      <c r="W13917" s="1"/>
      <c r="X13917" s="1"/>
      <c r="Y13917" s="1"/>
      <c r="Z13917" s="1"/>
      <c r="AA13917" s="1"/>
      <c r="AB13917" s="1"/>
    </row>
    <row r="13918" ht="50.25" customHeight="1">
      <c r="A13918" s="12">
        <v>13914.0</v>
      </c>
      <c r="B13918" s="13" t="s">
        <v>13090</v>
      </c>
      <c r="C13918" s="14" t="s">
        <v>13179</v>
      </c>
      <c r="D13918" s="1"/>
      <c r="E13918" s="1"/>
      <c r="F13918" s="1" t="str">
        <f>IFERROR(__xludf.DUMMYFUNCTION("GOOGLETRANSLATE(B13918, ""en"", ""fa"")
"),"نسل سرب تلفن")</f>
        <v>نسل سرب تلفن</v>
      </c>
      <c r="G13918" s="1" t="str">
        <f>IFERROR(__xludf.DUMMYFUNCTION("GOOGLETRANSLATE(C13918, ""en"", ""fa"")
"),"یک طرح کلی برای بیانیه پایانی متقاعدکننده و به یاد ماندنی تهیه کنید که مزایای کلیدی و نکات مهم محصول/خدمت ما را خلاصه می کند و تأثیری ماندگار بر مشتری می گذارد.")</f>
        <v>یک طرح کلی برای بیانیه پایانی متقاعدکننده و به یاد ماندنی تهیه کنید که مزایای کلیدی و نکات مهم محصول/خدمت ما را خلاصه می کند و تأثیری ماندگار بر مشتری می گذارد.</v>
      </c>
      <c r="H13918" s="1"/>
      <c r="I13918" s="1"/>
      <c r="J13918" s="1"/>
      <c r="K13918" s="1"/>
      <c r="L13918" s="1"/>
      <c r="M13918" s="1"/>
      <c r="N13918" s="1"/>
      <c r="O13918" s="1"/>
      <c r="P13918" s="1"/>
      <c r="Q13918" s="1"/>
      <c r="R13918" s="1"/>
      <c r="S13918" s="1"/>
      <c r="T13918" s="1"/>
      <c r="U13918" s="1"/>
      <c r="V13918" s="1"/>
      <c r="W13918" s="1"/>
      <c r="X13918" s="1"/>
      <c r="Y13918" s="1"/>
      <c r="Z13918" s="1"/>
      <c r="AA13918" s="1"/>
      <c r="AB13918" s="1"/>
    </row>
    <row r="13919" ht="50.25" customHeight="1">
      <c r="A13919" s="12">
        <v>13915.0</v>
      </c>
      <c r="B13919" s="13" t="s">
        <v>13090</v>
      </c>
      <c r="C13919" s="14" t="s">
        <v>13180</v>
      </c>
      <c r="D13919" s="1"/>
      <c r="E13919" s="1"/>
      <c r="F13919" s="1" t="str">
        <f>IFERROR(__xludf.DUMMYFUNCTION("GOOGLETRANSLATE(B13919, ""en"", ""fa"")
"),"نسل سرب تلفن")</f>
        <v>نسل سرب تلفن</v>
      </c>
      <c r="G13919" s="1" t="str">
        <f>IFERROR(__xludf.DUMMYFUNCTION("GOOGLETRANSLATE(C13919, ""en"", ""fa"")
"),"طرحی را برای رسیدگی به ایرادات یا نگرانی‌های بالقوه مربوط به مقیاس‌پذیری یا رشد آینده در طول ارائه ارائه کنید، و نشان دهید که چگونه محصول/خدمت ما می‌تواند در کنار نیازهای مشتری بالقوه تکامل یافته و تطبیق یابد.")</f>
        <v>طرحی را برای رسیدگی به ایرادات یا نگرانی‌های بالقوه مربوط به مقیاس‌پذیری یا رشد آینده در طول ارائه ارائه کنید، و نشان دهید که چگونه محصول/خدمت ما می‌تواند در کنار نیازهای مشتری بالقوه تکامل یافته و تطبیق یابد.</v>
      </c>
      <c r="H13919" s="1"/>
      <c r="I13919" s="1"/>
      <c r="J13919" s="1"/>
      <c r="K13919" s="1"/>
      <c r="L13919" s="1"/>
      <c r="M13919" s="1"/>
      <c r="N13919" s="1"/>
      <c r="O13919" s="1"/>
      <c r="P13919" s="1"/>
      <c r="Q13919" s="1"/>
      <c r="R13919" s="1"/>
      <c r="S13919" s="1"/>
      <c r="T13919" s="1"/>
      <c r="U13919" s="1"/>
      <c r="V13919" s="1"/>
      <c r="W13919" s="1"/>
      <c r="X13919" s="1"/>
      <c r="Y13919" s="1"/>
      <c r="Z13919" s="1"/>
      <c r="AA13919" s="1"/>
      <c r="AB13919" s="1"/>
    </row>
    <row r="13920" ht="50.25" customHeight="1">
      <c r="A13920" s="12">
        <v>13916.0</v>
      </c>
      <c r="B13920" s="13" t="s">
        <v>13090</v>
      </c>
      <c r="C13920" s="14" t="s">
        <v>13181</v>
      </c>
      <c r="D13920" s="1"/>
      <c r="E13920" s="1"/>
      <c r="F13920" s="1" t="str">
        <f>IFERROR(__xludf.DUMMYFUNCTION("GOOGLETRANSLATE(B13920, ""en"", ""fa"")
"),"نسل سرب تلفن")</f>
        <v>نسل سرب تلفن</v>
      </c>
      <c r="G13920" s="1" t="str">
        <f>IFERROR(__xludf.DUMMYFUNCTION("GOOGLETRANSLATE(C13920, ""en"", ""fa"")
"),"یک استراتژی برای استفاده از بینش‌های مبتنی بر داده یا معیارهای صنعت در طول ارائه برنامه‌ریزی کنید، که بهبود عملکرد بالقوه یا صرفه‌جویی در هزینه‌ای را که محصول/خدمت ما می‌تواند ارائه دهد، نشان دهد.")</f>
        <v>یک استراتژی برای استفاده از بینش‌های مبتنی بر داده یا معیارهای صنعت در طول ارائه برنامه‌ریزی کنید، که بهبود عملکرد بالقوه یا صرفه‌جویی در هزینه‌ای را که محصول/خدمت ما می‌تواند ارائه دهد، نشان دهد.</v>
      </c>
      <c r="H13920" s="1"/>
      <c r="I13920" s="1"/>
      <c r="J13920" s="1"/>
      <c r="K13920" s="1"/>
      <c r="L13920" s="1"/>
      <c r="M13920" s="1"/>
      <c r="N13920" s="1"/>
      <c r="O13920" s="1"/>
      <c r="P13920" s="1"/>
      <c r="Q13920" s="1"/>
      <c r="R13920" s="1"/>
      <c r="S13920" s="1"/>
      <c r="T13920" s="1"/>
      <c r="U13920" s="1"/>
      <c r="V13920" s="1"/>
      <c r="W13920" s="1"/>
      <c r="X13920" s="1"/>
      <c r="Y13920" s="1"/>
      <c r="Z13920" s="1"/>
      <c r="AA13920" s="1"/>
      <c r="AB13920" s="1"/>
    </row>
    <row r="13921" ht="50.25" customHeight="1">
      <c r="A13921" s="12">
        <v>13917.0</v>
      </c>
      <c r="B13921" s="13" t="s">
        <v>13090</v>
      </c>
      <c r="C13921" s="14" t="s">
        <v>13182</v>
      </c>
      <c r="D13921" s="1"/>
      <c r="E13921" s="1"/>
      <c r="F13921" s="1" t="str">
        <f>IFERROR(__xludf.DUMMYFUNCTION("GOOGLETRANSLATE(B13921, ""en"", ""fa"")
"),"نسل سرب تلفن")</f>
        <v>نسل سرب تلفن</v>
      </c>
      <c r="G13921" s="1" t="str">
        <f>IFERROR(__xludf.DUMMYFUNCTION("GOOGLETRANSLATE(C13921, ""en"", ""fa"")
"),"طرحی برای گنجاندن عناصر داستان سرایی بصری، مانند اینفوگرافیک های تعاملی یا ارائه های چند رسانه ای، در ارائه طراحی کنید تا تجربه ای فراگیرتر و به یاد ماندنی تر برای مشتری ایجاد کنید.")</f>
        <v>طرحی برای گنجاندن عناصر داستان سرایی بصری، مانند اینفوگرافیک های تعاملی یا ارائه های چند رسانه ای، در ارائه طراحی کنید تا تجربه ای فراگیرتر و به یاد ماندنی تر برای مشتری ایجاد کنید.</v>
      </c>
      <c r="H13921" s="1"/>
      <c r="I13921" s="1"/>
      <c r="J13921" s="1"/>
      <c r="K13921" s="1"/>
      <c r="L13921" s="1"/>
      <c r="M13921" s="1"/>
      <c r="N13921" s="1"/>
      <c r="O13921" s="1"/>
      <c r="P13921" s="1"/>
      <c r="Q13921" s="1"/>
      <c r="R13921" s="1"/>
      <c r="S13921" s="1"/>
      <c r="T13921" s="1"/>
      <c r="U13921" s="1"/>
      <c r="V13921" s="1"/>
      <c r="W13921" s="1"/>
      <c r="X13921" s="1"/>
      <c r="Y13921" s="1"/>
      <c r="Z13921" s="1"/>
      <c r="AA13921" s="1"/>
      <c r="AB13921" s="1"/>
    </row>
    <row r="13922" ht="50.25" customHeight="1">
      <c r="A13922" s="12">
        <v>13918.0</v>
      </c>
      <c r="B13922" s="13" t="s">
        <v>13090</v>
      </c>
      <c r="C13922" s="14" t="s">
        <v>13183</v>
      </c>
      <c r="D13922" s="1"/>
      <c r="E13922" s="1"/>
      <c r="F13922" s="1" t="str">
        <f>IFERROR(__xludf.DUMMYFUNCTION("GOOGLETRANSLATE(B13922, ""en"", ""fa"")
"),"نسل سرب تلفن")</f>
        <v>نسل سرب تلفن</v>
      </c>
      <c r="G13922" s="1" t="str">
        <f>IFERROR(__xludf.DUMMYFUNCTION("GOOGLETRANSLATE(C13922, ""en"", ""fa"")
"),"فهرستی از تکنیک‌های پایان کار یا پیشنهادهای مرحله بعدی را تهیه کنید که می‌تواند برای هدایت مشتری بالقوه به سمت یک تصمیم مثبت یا تعهد پس از ارائه استفاده شود.")</f>
        <v>فهرستی از تکنیک‌های پایان کار یا پیشنهادهای مرحله بعدی را تهیه کنید که می‌تواند برای هدایت مشتری بالقوه به سمت یک تصمیم مثبت یا تعهد پس از ارائه استفاده شود.</v>
      </c>
      <c r="H13922" s="1"/>
      <c r="I13922" s="1"/>
      <c r="J13922" s="1"/>
      <c r="K13922" s="1"/>
      <c r="L13922" s="1"/>
      <c r="M13922" s="1"/>
      <c r="N13922" s="1"/>
      <c r="O13922" s="1"/>
      <c r="P13922" s="1"/>
      <c r="Q13922" s="1"/>
      <c r="R13922" s="1"/>
      <c r="S13922" s="1"/>
      <c r="T13922" s="1"/>
      <c r="U13922" s="1"/>
      <c r="V13922" s="1"/>
      <c r="W13922" s="1"/>
      <c r="X13922" s="1"/>
      <c r="Y13922" s="1"/>
      <c r="Z13922" s="1"/>
      <c r="AA13922" s="1"/>
      <c r="AB13922" s="1"/>
    </row>
    <row r="13923" ht="50.25" customHeight="1">
      <c r="A13923" s="12">
        <v>13919.0</v>
      </c>
      <c r="B13923" s="13" t="s">
        <v>13090</v>
      </c>
      <c r="C13923" s="14" t="s">
        <v>13184</v>
      </c>
      <c r="D13923" s="1"/>
      <c r="E13923" s="1"/>
      <c r="F13923" s="1" t="str">
        <f>IFERROR(__xludf.DUMMYFUNCTION("GOOGLETRANSLATE(B13923, ""en"", ""fa"")
"),"نسل سرب تلفن")</f>
        <v>نسل سرب تلفن</v>
      </c>
      <c r="G13923" s="1" t="str">
        <f>IFERROR(__xludf.DUMMYFUNCTION("GOOGLETRANSLATE(C13923, ""en"", ""fa"")
"),"فرصت‌های مشارکت بالقوه‌ای را که می‌توان در طول ارائه بررسی کرد، فهرست کنید و نشان دهید که چگونه محصول/خدمت ما می‌تواند قابلیت‌های موجود مشتری را تکمیل یا گسترش دهد.")</f>
        <v>فرصت‌های مشارکت بالقوه‌ای را که می‌توان در طول ارائه بررسی کرد، فهرست کنید و نشان دهید که چگونه محصول/خدمت ما می‌تواند قابلیت‌های موجود مشتری را تکمیل یا گسترش دهد.</v>
      </c>
      <c r="H13923" s="1"/>
      <c r="I13923" s="1"/>
      <c r="J13923" s="1"/>
      <c r="K13923" s="1"/>
      <c r="L13923" s="1"/>
      <c r="M13923" s="1"/>
      <c r="N13923" s="1"/>
      <c r="O13923" s="1"/>
      <c r="P13923" s="1"/>
      <c r="Q13923" s="1"/>
      <c r="R13923" s="1"/>
      <c r="S13923" s="1"/>
      <c r="T13923" s="1"/>
      <c r="U13923" s="1"/>
      <c r="V13923" s="1"/>
      <c r="W13923" s="1"/>
      <c r="X13923" s="1"/>
      <c r="Y13923" s="1"/>
      <c r="Z13923" s="1"/>
      <c r="AA13923" s="1"/>
      <c r="AB13923" s="1"/>
    </row>
    <row r="13924" ht="50.25" customHeight="1">
      <c r="A13924" s="12">
        <v>13920.0</v>
      </c>
      <c r="B13924" s="13" t="s">
        <v>13090</v>
      </c>
      <c r="C13924" s="14" t="s">
        <v>13185</v>
      </c>
      <c r="D13924" s="1"/>
      <c r="E13924" s="1"/>
      <c r="F13924" s="1" t="str">
        <f>IFERROR(__xludf.DUMMYFUNCTION("GOOGLETRANSLATE(B13924, ""en"", ""fa"")
"),"نسل سرب تلفن")</f>
        <v>نسل سرب تلفن</v>
      </c>
      <c r="G13924" s="1" t="str">
        <f>IFERROR(__xludf.DUMMYFUNCTION("GOOGLETRANSLATE(C13924, ""en"", ""fa"")
"),"نقاط عطف اجرای خاص یا تحویل‌های کلیدی را که مشتری می‌تواند در طول فرآیند ورود انتظار داشته باشد، مشخص کنید، و یک جدول زمانی واضح و شفاف در طول ارائه ارائه دهید.")</f>
        <v>نقاط عطف اجرای خاص یا تحویل‌های کلیدی را که مشتری می‌تواند در طول فرآیند ورود انتظار داشته باشد، مشخص کنید، و یک جدول زمانی واضح و شفاف در طول ارائه ارائه دهید.</v>
      </c>
      <c r="H13924" s="1"/>
      <c r="I13924" s="1"/>
      <c r="J13924" s="1"/>
      <c r="K13924" s="1"/>
      <c r="L13924" s="1"/>
      <c r="M13924" s="1"/>
      <c r="N13924" s="1"/>
      <c r="O13924" s="1"/>
      <c r="P13924" s="1"/>
      <c r="Q13924" s="1"/>
      <c r="R13924" s="1"/>
      <c r="S13924" s="1"/>
      <c r="T13924" s="1"/>
      <c r="U13924" s="1"/>
      <c r="V13924" s="1"/>
      <c r="W13924" s="1"/>
      <c r="X13924" s="1"/>
      <c r="Y13924" s="1"/>
      <c r="Z13924" s="1"/>
      <c r="AA13924" s="1"/>
      <c r="AB13924" s="1"/>
    </row>
    <row r="13925" ht="50.25" customHeight="1">
      <c r="A13925" s="12">
        <v>13921.0</v>
      </c>
      <c r="B13925" s="13" t="s">
        <v>13090</v>
      </c>
      <c r="C13925" s="14" t="s">
        <v>13186</v>
      </c>
      <c r="D13925" s="1"/>
      <c r="E13925" s="1"/>
      <c r="F13925" s="1" t="str">
        <f>IFERROR(__xludf.DUMMYFUNCTION("GOOGLETRANSLATE(B13925, ""en"", ""fa"")
"),"نسل سرب تلفن")</f>
        <v>نسل سرب تلفن</v>
      </c>
      <c r="G13925" s="1" t="str">
        <f>IFERROR(__xludf.DUMMYFUNCTION("GOOGLETRANSLATE(C13925, ""en"", ""fa"")
"),"با تاکید بر قابلیت های یکپارچه سازی یکپارچه، طرحی برای رسیدگی به اعتراضات یا نگرانی های احتمالی مربوط به انتقال داده یا سازگاری با سیستم های موجود مشتری طراحی کنید.")</f>
        <v>با تاکید بر قابلیت های یکپارچه سازی یکپارچه، طرحی برای رسیدگی به اعتراضات یا نگرانی های احتمالی مربوط به انتقال داده یا سازگاری با سیستم های موجود مشتری طراحی کنید.</v>
      </c>
      <c r="H13925" s="1"/>
      <c r="I13925" s="1"/>
      <c r="J13925" s="1"/>
      <c r="K13925" s="1"/>
      <c r="L13925" s="1"/>
      <c r="M13925" s="1"/>
      <c r="N13925" s="1"/>
      <c r="O13925" s="1"/>
      <c r="P13925" s="1"/>
      <c r="Q13925" s="1"/>
      <c r="R13925" s="1"/>
      <c r="S13925" s="1"/>
      <c r="T13925" s="1"/>
      <c r="U13925" s="1"/>
      <c r="V13925" s="1"/>
      <c r="W13925" s="1"/>
      <c r="X13925" s="1"/>
      <c r="Y13925" s="1"/>
      <c r="Z13925" s="1"/>
      <c r="AA13925" s="1"/>
      <c r="AB13925" s="1"/>
    </row>
    <row r="13926" ht="50.25" customHeight="1">
      <c r="A13926" s="12">
        <v>13922.0</v>
      </c>
      <c r="B13926" s="13" t="s">
        <v>13090</v>
      </c>
      <c r="C13926" s="14" t="s">
        <v>13187</v>
      </c>
      <c r="D13926" s="1"/>
      <c r="E13926" s="1"/>
      <c r="F13926" s="1" t="str">
        <f>IFERROR(__xludf.DUMMYFUNCTION("GOOGLETRANSLATE(B13926, ""en"", ""fa"")
"),"نسل سرب تلفن")</f>
        <v>نسل سرب تلفن</v>
      </c>
      <c r="G13926" s="1" t="str">
        <f>IFERROR(__xludf.DUMMYFUNCTION("GOOGLETRANSLATE(C13926, ""en"", ""fa"")
"),"یک طرح کلی برای تجزیه و تحلیل بازگشت سرمایه متقاعد کننده یا مورد تجاری تهیه کنید که تأثیر مالی و مزایای بلندمدت اتخاذ محصول/خدمات ما را بر اساس معیارها و اهداف خاص مشتری بالقوه تعیین می کند.")</f>
        <v>یک طرح کلی برای تجزیه و تحلیل بازگشت سرمایه متقاعد کننده یا مورد تجاری تهیه کنید که تأثیر مالی و مزایای بلندمدت اتخاذ محصول/خدمات ما را بر اساس معیارها و اهداف خاص مشتری بالقوه تعیین می کند.</v>
      </c>
      <c r="H13926" s="1"/>
      <c r="I13926" s="1"/>
      <c r="J13926" s="1"/>
      <c r="K13926" s="1"/>
      <c r="L13926" s="1"/>
      <c r="M13926" s="1"/>
      <c r="N13926" s="1"/>
      <c r="O13926" s="1"/>
      <c r="P13926" s="1"/>
      <c r="Q13926" s="1"/>
      <c r="R13926" s="1"/>
      <c r="S13926" s="1"/>
      <c r="T13926" s="1"/>
      <c r="U13926" s="1"/>
      <c r="V13926" s="1"/>
      <c r="W13926" s="1"/>
      <c r="X13926" s="1"/>
      <c r="Y13926" s="1"/>
      <c r="Z13926" s="1"/>
      <c r="AA13926" s="1"/>
      <c r="AB13926" s="1"/>
    </row>
    <row r="13927" ht="50.25" customHeight="1">
      <c r="A13927" s="12">
        <v>13923.0</v>
      </c>
      <c r="B13927" s="13" t="s">
        <v>13090</v>
      </c>
      <c r="C13927" s="14" t="s">
        <v>13188</v>
      </c>
      <c r="D13927" s="1"/>
      <c r="E13927" s="1"/>
      <c r="F13927" s="1" t="str">
        <f>IFERROR(__xludf.DUMMYFUNCTION("GOOGLETRANSLATE(B13927, ""en"", ""fa"")
"),"نسل سرب تلفن")</f>
        <v>نسل سرب تلفن</v>
      </c>
      <c r="G13927" s="1" t="str">
        <f>IFERROR(__xludf.DUMMYFUNCTION("GOOGLETRANSLATE(C13927, ""en"", ""fa"")
"),"طرحی را برای مشارکت فعال افراد بالقوه در ارائه، تشویق به مشارکت آنها از طریق تمرینات تعاملی، نظرسنجی زنده یا جلسات طوفان فکری برای ایجاد حس همکاری ترسیم کنید.")</f>
        <v>طرحی را برای مشارکت فعال افراد بالقوه در ارائه، تشویق به مشارکت آنها از طریق تمرینات تعاملی، نظرسنجی زنده یا جلسات طوفان فکری برای ایجاد حس همکاری ترسیم کنید.</v>
      </c>
      <c r="H13927" s="1"/>
      <c r="I13927" s="1"/>
      <c r="J13927" s="1"/>
      <c r="K13927" s="1"/>
      <c r="L13927" s="1"/>
      <c r="M13927" s="1"/>
      <c r="N13927" s="1"/>
      <c r="O13927" s="1"/>
      <c r="P13927" s="1"/>
      <c r="Q13927" s="1"/>
      <c r="R13927" s="1"/>
      <c r="S13927" s="1"/>
      <c r="T13927" s="1"/>
      <c r="U13927" s="1"/>
      <c r="V13927" s="1"/>
      <c r="W13927" s="1"/>
      <c r="X13927" s="1"/>
      <c r="Y13927" s="1"/>
      <c r="Z13927" s="1"/>
      <c r="AA13927" s="1"/>
      <c r="AB13927" s="1"/>
    </row>
    <row r="13928" ht="50.25" customHeight="1">
      <c r="A13928" s="12">
        <v>13924.0</v>
      </c>
      <c r="B13928" s="13" t="s">
        <v>13090</v>
      </c>
      <c r="C13928" s="14" t="s">
        <v>13189</v>
      </c>
      <c r="D13928" s="1"/>
      <c r="E13928" s="1"/>
      <c r="F13928" s="1" t="str">
        <f>IFERROR(__xludf.DUMMYFUNCTION("GOOGLETRANSLATE(B13928, ""en"", ""fa"")
"),"نسل سرب تلفن")</f>
        <v>نسل سرب تلفن</v>
      </c>
      <c r="G13928" s="1" t="str">
        <f>IFERROR(__xludf.DUMMYFUNCTION("GOOGLETRANSLATE(C13928, ""en"", ""fa"")
"),"برای ایجاد اعتماد و اعتبار، یک استراتژی برای استفاده از عناصر اثبات اجتماعی، مانند توصیفات مشتری، بررسی ها، یا جوایز صنعت، در طول ارائه برنامه ریزی کنید.")</f>
        <v>برای ایجاد اعتماد و اعتبار، یک استراتژی برای استفاده از عناصر اثبات اجتماعی، مانند توصیفات مشتری، بررسی ها، یا جوایز صنعت، در طول ارائه برنامه ریزی کنید.</v>
      </c>
      <c r="H13928" s="1"/>
      <c r="I13928" s="1"/>
      <c r="J13928" s="1"/>
      <c r="K13928" s="1"/>
      <c r="L13928" s="1"/>
      <c r="M13928" s="1"/>
      <c r="N13928" s="1"/>
      <c r="O13928" s="1"/>
      <c r="P13928" s="1"/>
      <c r="Q13928" s="1"/>
      <c r="R13928" s="1"/>
      <c r="S13928" s="1"/>
      <c r="T13928" s="1"/>
      <c r="U13928" s="1"/>
      <c r="V13928" s="1"/>
      <c r="W13928" s="1"/>
      <c r="X13928" s="1"/>
      <c r="Y13928" s="1"/>
      <c r="Z13928" s="1"/>
      <c r="AA13928" s="1"/>
      <c r="AB13928" s="1"/>
    </row>
    <row r="13929" ht="50.25" customHeight="1">
      <c r="A13929" s="12">
        <v>13925.0</v>
      </c>
      <c r="B13929" s="13" t="s">
        <v>13090</v>
      </c>
      <c r="C13929" s="14" t="s">
        <v>13190</v>
      </c>
      <c r="D13929" s="1"/>
      <c r="E13929" s="1"/>
      <c r="F13929" s="1" t="str">
        <f>IFERROR(__xludf.DUMMYFUNCTION("GOOGLETRANSLATE(B13929, ""en"", ""fa"")
"),"نسل سرب تلفن")</f>
        <v>نسل سرب تلفن</v>
      </c>
      <c r="G13929" s="1" t="str">
        <f>IFERROR(__xludf.DUMMYFUNCTION("GOOGLETRANSLATE(C13929, ""en"", ""fa"")
"),"طرحی برای رسیدگی به ایرادات احتمالی یا نگرانی‌های مربوط به حریم خصوصی یا امنیت داده‌ها در طول ارائه طراحی کنید و پروتکل‌های قوی و اقدامات انطباق ما را به نمایش بگذارید.")</f>
        <v>طرحی برای رسیدگی به ایرادات احتمالی یا نگرانی‌های مربوط به حریم خصوصی یا امنیت داده‌ها در طول ارائه طراحی کنید و پروتکل‌های قوی و اقدامات انطباق ما را به نمایش بگذارید.</v>
      </c>
      <c r="H13929" s="1"/>
      <c r="I13929" s="1"/>
      <c r="J13929" s="1"/>
      <c r="K13929" s="1"/>
      <c r="L13929" s="1"/>
      <c r="M13929" s="1"/>
      <c r="N13929" s="1"/>
      <c r="O13929" s="1"/>
      <c r="P13929" s="1"/>
      <c r="Q13929" s="1"/>
      <c r="R13929" s="1"/>
      <c r="S13929" s="1"/>
      <c r="T13929" s="1"/>
      <c r="U13929" s="1"/>
      <c r="V13929" s="1"/>
      <c r="W13929" s="1"/>
      <c r="X13929" s="1"/>
      <c r="Y13929" s="1"/>
      <c r="Z13929" s="1"/>
      <c r="AA13929" s="1"/>
      <c r="AB13929" s="1"/>
    </row>
    <row r="13930" ht="50.25" customHeight="1">
      <c r="A13930" s="12">
        <v>13926.0</v>
      </c>
      <c r="B13930" s="13" t="s">
        <v>13090</v>
      </c>
      <c r="C13930" s="14" t="s">
        <v>13191</v>
      </c>
      <c r="D13930" s="1"/>
      <c r="E13930" s="1"/>
      <c r="F13930" s="1" t="str">
        <f>IFERROR(__xludf.DUMMYFUNCTION("GOOGLETRANSLATE(B13930, ""en"", ""fa"")
"),"نسل سرب تلفن")</f>
        <v>نسل سرب تلفن</v>
      </c>
      <c r="G13930" s="1" t="str">
        <f>IFERROR(__xludf.DUMMYFUNCTION("GOOGLETRANSLATE(C13930, ""en"", ""fa"")
"),"فهرستی از سؤالات قانع کننده برای پرسیدن از مشتری در طول ارائه تهیه کنید، آنها را تشویق کنید تا در مورد چالش های فعلی خود فکر کنند و نتایج مورد نظر خود را بیان کنند.")</f>
        <v>فهرستی از سؤالات قانع کننده برای پرسیدن از مشتری در طول ارائه تهیه کنید، آنها را تشویق کنید تا در مورد چالش های فعلی خود فکر کنند و نتایج مورد نظر خود را بیان کنند.</v>
      </c>
      <c r="H13930" s="1"/>
      <c r="I13930" s="1"/>
      <c r="J13930" s="1"/>
      <c r="K13930" s="1"/>
      <c r="L13930" s="1"/>
      <c r="M13930" s="1"/>
      <c r="N13930" s="1"/>
      <c r="O13930" s="1"/>
      <c r="P13930" s="1"/>
      <c r="Q13930" s="1"/>
      <c r="R13930" s="1"/>
      <c r="S13930" s="1"/>
      <c r="T13930" s="1"/>
      <c r="U13930" s="1"/>
      <c r="V13930" s="1"/>
      <c r="W13930" s="1"/>
      <c r="X13930" s="1"/>
      <c r="Y13930" s="1"/>
      <c r="Z13930" s="1"/>
      <c r="AA13930" s="1"/>
      <c r="AB13930" s="1"/>
    </row>
    <row r="13931" ht="50.25" customHeight="1">
      <c r="A13931" s="12">
        <v>13927.0</v>
      </c>
      <c r="B13931" s="13" t="s">
        <v>13090</v>
      </c>
      <c r="C13931" s="14" t="s">
        <v>13161</v>
      </c>
      <c r="D13931" s="1"/>
      <c r="E13931" s="1"/>
      <c r="F13931" s="1" t="str">
        <f>IFERROR(__xludf.DUMMYFUNCTION("GOOGLETRANSLATE(B13931, ""en"", ""fa"")
"),"نسل سرب تلفن")</f>
        <v>نسل سرب تلفن</v>
      </c>
      <c r="G13931" s="1" t="str">
        <f>IFERROR(__xludf.DUMMYFUNCTION("GOOGLETRANSLATE(C13931, ""en"", ""fa"")
"),"فرصت‌های بالقوه افزایش فروش یا فروش متقابل را که می‌توان در طول ارائه معرفی کرد، فهرست کنید، و ویژگی‌ها یا خدمات دیگری را که می‌توانند تجربه مشتری بالقوه را افزایش دهند، به نمایش بگذارید.")</f>
        <v>فرصت‌های بالقوه افزایش فروش یا فروش متقابل را که می‌توان در طول ارائه معرفی کرد، فهرست کنید، و ویژگی‌ها یا خدمات دیگری را که می‌توانند تجربه مشتری بالقوه را افزایش دهند، به نمایش بگذارید.</v>
      </c>
      <c r="H13931" s="1"/>
      <c r="I13931" s="1"/>
      <c r="J13931" s="1"/>
      <c r="K13931" s="1"/>
      <c r="L13931" s="1"/>
      <c r="M13931" s="1"/>
      <c r="N13931" s="1"/>
      <c r="O13931" s="1"/>
      <c r="P13931" s="1"/>
      <c r="Q13931" s="1"/>
      <c r="R13931" s="1"/>
      <c r="S13931" s="1"/>
      <c r="T13931" s="1"/>
      <c r="U13931" s="1"/>
      <c r="V13931" s="1"/>
      <c r="W13931" s="1"/>
      <c r="X13931" s="1"/>
      <c r="Y13931" s="1"/>
      <c r="Z13931" s="1"/>
      <c r="AA13931" s="1"/>
      <c r="AB13931" s="1"/>
    </row>
    <row r="13932" ht="50.25" customHeight="1">
      <c r="A13932" s="12">
        <v>13928.0</v>
      </c>
      <c r="B13932" s="13" t="s">
        <v>13090</v>
      </c>
      <c r="C13932" s="14" t="s">
        <v>13139</v>
      </c>
      <c r="D13932" s="1"/>
      <c r="E13932" s="1"/>
      <c r="F13932" s="1" t="str">
        <f>IFERROR(__xludf.DUMMYFUNCTION("GOOGLETRANSLATE(B13932, ""en"", ""fa"")
"),"نسل سرب تلفن")</f>
        <v>نسل سرب تلفن</v>
      </c>
      <c r="G13932" s="1" t="str">
        <f>IFERROR(__xludf.DUMMYFUNCTION("GOOGLETRANSLATE(C13932, ""en"", ""fa"")
"),"روش‌های خاصی را که محصول/خدمت ما می‌تواند گردش کار مشتری بالقوه را ساده‌سازی کند، بهره‌وری را افزایش دهد یا صرفه‌جویی در هزینه‌ها را بر اساس صنعت و چالش‌های خاص آنها ایجاد کند، مشخص کنید.")</f>
        <v>روش‌های خاصی را که محصول/خدمت ما می‌تواند گردش کار مشتری بالقوه را ساده‌سازی کند، بهره‌وری را افزایش دهد یا صرفه‌جویی در هزینه‌ها را بر اساس صنعت و چالش‌های خاص آنها ایجاد کند، مشخص کنید.</v>
      </c>
      <c r="H13932" s="1"/>
      <c r="I13932" s="1"/>
      <c r="J13932" s="1"/>
      <c r="K13932" s="1"/>
      <c r="L13932" s="1"/>
      <c r="M13932" s="1"/>
      <c r="N13932" s="1"/>
      <c r="O13932" s="1"/>
      <c r="P13932" s="1"/>
      <c r="Q13932" s="1"/>
      <c r="R13932" s="1"/>
      <c r="S13932" s="1"/>
      <c r="T13932" s="1"/>
      <c r="U13932" s="1"/>
      <c r="V13932" s="1"/>
      <c r="W13932" s="1"/>
      <c r="X13932" s="1"/>
      <c r="Y13932" s="1"/>
      <c r="Z13932" s="1"/>
      <c r="AA13932" s="1"/>
      <c r="AB13932" s="1"/>
    </row>
    <row r="13933" ht="50.25" customHeight="1">
      <c r="A13933" s="12">
        <v>13929.0</v>
      </c>
      <c r="B13933" s="13" t="s">
        <v>13090</v>
      </c>
      <c r="C13933" s="14" t="s">
        <v>13192</v>
      </c>
      <c r="D13933" s="1"/>
      <c r="E13933" s="1"/>
      <c r="F13933" s="1" t="str">
        <f>IFERROR(__xludf.DUMMYFUNCTION("GOOGLETRANSLATE(B13933, ""en"", ""fa"")
"),"نسل سرب تلفن")</f>
        <v>نسل سرب تلفن</v>
      </c>
      <c r="G13933" s="1" t="str">
        <f>IFERROR(__xludf.DUMMYFUNCTION("GOOGLETRANSLATE(C13933, ""en"", ""fa"")
"),"طرحی را برای رسیدگی به اعتراضات یا رزروهای احتمالی مربوط به اجرا، ادغام، یا هر گونه مانعی که برای پذیرش محصول/خدمت ما در طول ارائه وجود دارد، طراحی کنید.")</f>
        <v>طرحی را برای رسیدگی به اعتراضات یا رزروهای احتمالی مربوط به اجرا، ادغام، یا هر گونه مانعی که برای پذیرش محصول/خدمت ما در طول ارائه وجود دارد، طراحی کنید.</v>
      </c>
      <c r="H13933" s="1"/>
      <c r="I13933" s="1"/>
      <c r="J13933" s="1"/>
      <c r="K13933" s="1"/>
      <c r="L13933" s="1"/>
      <c r="M13933" s="1"/>
      <c r="N13933" s="1"/>
      <c r="O13933" s="1"/>
      <c r="P13933" s="1"/>
      <c r="Q13933" s="1"/>
      <c r="R13933" s="1"/>
      <c r="S13933" s="1"/>
      <c r="T13933" s="1"/>
      <c r="U13933" s="1"/>
      <c r="V13933" s="1"/>
      <c r="W13933" s="1"/>
      <c r="X13933" s="1"/>
      <c r="Y13933" s="1"/>
      <c r="Z13933" s="1"/>
      <c r="AA13933" s="1"/>
      <c r="AB13933" s="1"/>
    </row>
    <row r="13934" ht="50.25" customHeight="1">
      <c r="A13934" s="12">
        <v>13930.0</v>
      </c>
      <c r="B13934" s="13" t="s">
        <v>13090</v>
      </c>
      <c r="C13934" s="14" t="s">
        <v>13141</v>
      </c>
      <c r="D13934" s="1"/>
      <c r="E13934" s="1"/>
      <c r="F13934" s="1" t="str">
        <f>IFERROR(__xludf.DUMMYFUNCTION("GOOGLETRANSLATE(B13934, ""en"", ""fa"")
"),"نسل سرب تلفن")</f>
        <v>نسل سرب تلفن</v>
      </c>
      <c r="G13934" s="1" t="str">
        <f>IFERROR(__xludf.DUMMYFUNCTION("GOOGLETRANSLATE(C13934, ""en"", ""fa"")
"),"یک طرح کلی برای نمایش محصول تهیه کنید که سهولت استفاده، رابط بصری، و عملکردهای کلیدی محصول/خدمت ما را برجسته می کند و تجربه عملی را برای مشتری بالقوه تضمین می کند.")</f>
        <v>یک طرح کلی برای نمایش محصول تهیه کنید که سهولت استفاده، رابط بصری، و عملکردهای کلیدی محصول/خدمت ما را برجسته می کند و تجربه عملی را برای مشتری بالقوه تضمین می کند.</v>
      </c>
      <c r="H13934" s="1"/>
      <c r="I13934" s="1"/>
      <c r="J13934" s="1"/>
      <c r="K13934" s="1"/>
      <c r="L13934" s="1"/>
      <c r="M13934" s="1"/>
      <c r="N13934" s="1"/>
      <c r="O13934" s="1"/>
      <c r="P13934" s="1"/>
      <c r="Q13934" s="1"/>
      <c r="R13934" s="1"/>
      <c r="S13934" s="1"/>
      <c r="T13934" s="1"/>
      <c r="U13934" s="1"/>
      <c r="V13934" s="1"/>
      <c r="W13934" s="1"/>
      <c r="X13934" s="1"/>
      <c r="Y13934" s="1"/>
      <c r="Z13934" s="1"/>
      <c r="AA13934" s="1"/>
      <c r="AB13934" s="1"/>
    </row>
    <row r="13935" ht="50.25" customHeight="1">
      <c r="A13935" s="12">
        <v>13931.0</v>
      </c>
      <c r="B13935" s="13" t="s">
        <v>13090</v>
      </c>
      <c r="C13935" s="14" t="s">
        <v>13142</v>
      </c>
      <c r="D13935" s="1"/>
      <c r="E13935" s="1"/>
      <c r="F13935" s="1" t="str">
        <f>IFERROR(__xludf.DUMMYFUNCTION("GOOGLETRANSLATE(B13935, ""en"", ""fa"")
"),"نسل سرب تلفن")</f>
        <v>نسل سرب تلفن</v>
      </c>
      <c r="G13935" s="1" t="str">
        <f>IFERROR(__xludf.DUMMYFUNCTION("GOOGLETRANSLATE(C13935, ""en"", ""fa"")
"),"طرحی را برای ارائه داده‌ها یا آمار قانع‌کننده‌ای که از اثربخشی و بازگشت سرمایه محصول/خدمت ما پشتیبانی می‌کند، با استفاده از معیارهای صنعت، یافته‌های تحقیقاتی یا معیارهای موفقیت مشتری ترسیم کنید.")</f>
        <v>طرحی را برای ارائه داده‌ها یا آمار قانع‌کننده‌ای که از اثربخشی و بازگشت سرمایه محصول/خدمت ما پشتیبانی می‌کند، با استفاده از معیارهای صنعت، یافته‌های تحقیقاتی یا معیارهای موفقیت مشتری ترسیم کنید.</v>
      </c>
      <c r="H13935" s="1"/>
      <c r="I13935" s="1"/>
      <c r="J13935" s="1"/>
      <c r="K13935" s="1"/>
      <c r="L13935" s="1"/>
      <c r="M13935" s="1"/>
      <c r="N13935" s="1"/>
      <c r="O13935" s="1"/>
      <c r="P13935" s="1"/>
      <c r="Q13935" s="1"/>
      <c r="R13935" s="1"/>
      <c r="S13935" s="1"/>
      <c r="T13935" s="1"/>
      <c r="U13935" s="1"/>
      <c r="V13935" s="1"/>
      <c r="W13935" s="1"/>
      <c r="X13935" s="1"/>
      <c r="Y13935" s="1"/>
      <c r="Z13935" s="1"/>
      <c r="AA13935" s="1"/>
      <c r="AB13935" s="1"/>
    </row>
    <row r="13936" ht="50.25" customHeight="1">
      <c r="A13936" s="12">
        <v>13932.0</v>
      </c>
      <c r="B13936" s="13" t="s">
        <v>13090</v>
      </c>
      <c r="C13936" s="14" t="s">
        <v>13143</v>
      </c>
      <c r="D13936" s="1"/>
      <c r="E13936" s="1"/>
      <c r="F13936" s="1" t="str">
        <f>IFERROR(__xludf.DUMMYFUNCTION("GOOGLETRANSLATE(B13936, ""en"", ""fa"")
"),"نسل سرب تلفن")</f>
        <v>نسل سرب تلفن</v>
      </c>
      <c r="G13936" s="1" t="str">
        <f>IFERROR(__xludf.DUMMYFUNCTION("GOOGLETRANSLATE(C13936, ""en"", ""fa"")
"),"یک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f>
        <v>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v>
      </c>
      <c r="H13936" s="1"/>
      <c r="I13936" s="1"/>
      <c r="J13936" s="1"/>
      <c r="K13936" s="1"/>
      <c r="L13936" s="1"/>
      <c r="M13936" s="1"/>
      <c r="N13936" s="1"/>
      <c r="O13936" s="1"/>
      <c r="P13936" s="1"/>
      <c r="Q13936" s="1"/>
      <c r="R13936" s="1"/>
      <c r="S13936" s="1"/>
      <c r="T13936" s="1"/>
      <c r="U13936" s="1"/>
      <c r="V13936" s="1"/>
      <c r="W13936" s="1"/>
      <c r="X13936" s="1"/>
      <c r="Y13936" s="1"/>
      <c r="Z13936" s="1"/>
      <c r="AA13936" s="1"/>
      <c r="AB13936" s="1"/>
    </row>
    <row r="13937" ht="50.25" customHeight="1">
      <c r="A13937" s="12">
        <v>13933.0</v>
      </c>
      <c r="B13937" s="13" t="s">
        <v>13090</v>
      </c>
      <c r="C13937" s="14" t="s">
        <v>13144</v>
      </c>
      <c r="D13937" s="1"/>
      <c r="E13937" s="1"/>
      <c r="F13937" s="1" t="str">
        <f>IFERROR(__xludf.DUMMYFUNCTION("GOOGLETRANSLATE(B13937, ""en"", ""fa"")
"),"نسل سرب تلفن")</f>
        <v>نسل سرب تلفن</v>
      </c>
      <c r="G13937" s="1" t="str">
        <f>IFERROR(__xludf.DUMMYFUNCTION("GOOGLETRANSLATE(C13937, ""en"", ""fa"")
"),"برنامه‌ای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f>
        <v>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v>
      </c>
      <c r="H13937" s="1"/>
      <c r="I13937" s="1"/>
      <c r="J13937" s="1"/>
      <c r="K13937" s="1"/>
      <c r="L13937" s="1"/>
      <c r="M13937" s="1"/>
      <c r="N13937" s="1"/>
      <c r="O13937" s="1"/>
      <c r="P13937" s="1"/>
      <c r="Q13937" s="1"/>
      <c r="R13937" s="1"/>
      <c r="S13937" s="1"/>
      <c r="T13937" s="1"/>
      <c r="U13937" s="1"/>
      <c r="V13937" s="1"/>
      <c r="W13937" s="1"/>
      <c r="X13937" s="1"/>
      <c r="Y13937" s="1"/>
      <c r="Z13937" s="1"/>
      <c r="AA13937" s="1"/>
      <c r="AB13937" s="1"/>
    </row>
    <row r="13938" ht="50.25" customHeight="1">
      <c r="A13938" s="12">
        <v>13934.0</v>
      </c>
      <c r="B13938" s="13" t="s">
        <v>13090</v>
      </c>
      <c r="C13938" s="14" t="s">
        <v>13145</v>
      </c>
      <c r="D13938" s="1"/>
      <c r="E13938" s="1"/>
      <c r="F13938" s="1" t="str">
        <f>IFERROR(__xludf.DUMMYFUNCTION("GOOGLETRANSLATE(B13938, ""en"", ""fa"")
"),"نسل سرب تلفن")</f>
        <v>نسل سرب تلفن</v>
      </c>
      <c r="G13938" s="1" t="str">
        <f>IFERROR(__xludf.DUMMYFUNCTION("GOOGLETRANSLATE(C13938, ""en"", ""fa"")
"),"فهرستی از سؤالات تأمل برانگیز برای پرسیدن از مشتری در طول ارائه تهیه کنید، و آنها را تشویق کنید تا در مورد چالش های فعلی خود فکر کنند و تأثیر بالقوه محصول / خدمات ما را تصور کنند.")</f>
        <v>فهرستی از سؤالات تأمل برانگیز برای پرسیدن از مشتری در طول ارائه تهیه کنید، و آنها را تشویق کنید تا در مورد چالش های فعلی خود فکر کنند و تأثیر بالقوه محصول / خدمات ما را تصور کنند.</v>
      </c>
      <c r="H13938" s="1"/>
      <c r="I13938" s="1"/>
      <c r="J13938" s="1"/>
      <c r="K13938" s="1"/>
      <c r="L13938" s="1"/>
      <c r="M13938" s="1"/>
      <c r="N13938" s="1"/>
      <c r="O13938" s="1"/>
      <c r="P13938" s="1"/>
      <c r="Q13938" s="1"/>
      <c r="R13938" s="1"/>
      <c r="S13938" s="1"/>
      <c r="T13938" s="1"/>
      <c r="U13938" s="1"/>
      <c r="V13938" s="1"/>
      <c r="W13938" s="1"/>
      <c r="X13938" s="1"/>
      <c r="Y13938" s="1"/>
      <c r="Z13938" s="1"/>
      <c r="AA13938" s="1"/>
      <c r="AB13938" s="1"/>
    </row>
    <row r="13939" ht="50.25" customHeight="1">
      <c r="A13939" s="12">
        <v>13935.0</v>
      </c>
      <c r="B13939" s="13" t="s">
        <v>13090</v>
      </c>
      <c r="C13939" s="14" t="s">
        <v>13146</v>
      </c>
      <c r="D13939" s="1"/>
      <c r="E13939" s="1"/>
      <c r="F13939" s="1" t="str">
        <f>IFERROR(__xludf.DUMMYFUNCTION("GOOGLETRANSLATE(B13939, ""en"", ""fa"")
"),"نسل سرب تلفن")</f>
        <v>نسل سرب تلفن</v>
      </c>
      <c r="G13939" s="1" t="str">
        <f>IFERROR(__xludf.DUMMYFUNCTION("GOOGLETRANSLATE(C13939, ""en"", ""fa"")
"),"قابلیت‌های بالقوه یکپارچه‌سازی محصول/خدمات ما را با سیستم‌ها یا نرم‌افزارهای موجود مشتری فهرست کنید و سهولت اجرا و قابلیت همکاری را برجسته کنید.")</f>
        <v>قابلیت‌های بالقوه یکپارچه‌سازی محصول/خدمات ما را با سیستم‌ها یا نرم‌افزارهای موجود مشتری فهرست کنید و سهولت اجرا و قابلیت همکاری را برجسته کنید.</v>
      </c>
      <c r="H13939" s="1"/>
      <c r="I13939" s="1"/>
      <c r="J13939" s="1"/>
      <c r="K13939" s="1"/>
      <c r="L13939" s="1"/>
      <c r="M13939" s="1"/>
      <c r="N13939" s="1"/>
      <c r="O13939" s="1"/>
      <c r="P13939" s="1"/>
      <c r="Q13939" s="1"/>
      <c r="R13939" s="1"/>
      <c r="S13939" s="1"/>
      <c r="T13939" s="1"/>
      <c r="U13939" s="1"/>
      <c r="V13939" s="1"/>
      <c r="W13939" s="1"/>
      <c r="X13939" s="1"/>
      <c r="Y13939" s="1"/>
      <c r="Z13939" s="1"/>
      <c r="AA13939" s="1"/>
      <c r="AB13939" s="1"/>
    </row>
    <row r="13940" ht="50.25" customHeight="1">
      <c r="A13940" s="12">
        <v>13936.0</v>
      </c>
      <c r="B13940" s="13" t="s">
        <v>13090</v>
      </c>
      <c r="C13940" s="14" t="s">
        <v>13147</v>
      </c>
      <c r="D13940" s="1"/>
      <c r="E13940" s="1"/>
      <c r="F13940" s="1" t="str">
        <f>IFERROR(__xludf.DUMMYFUNCTION("GOOGLETRANSLATE(B13940, ""en"", ""fa"")
"),"نسل سرب تلفن")</f>
        <v>نسل سرب تلفن</v>
      </c>
      <c r="G13940" s="1" t="str">
        <f>IFERROR(__xludf.DUMMYFUNCTION("GOOGLETRANSLATE(C13940, ""en"", ""fa"")
"),"تمایزهای اصلی رقابتی محصول/خدمت ما را که آن را از سایر راه حل های موجود در بازار متمایز می کند، با تأکید بر ارزشی که برای نیازهای خاص مشتری به ارمغان می آورد، مشخص کنید.")</f>
        <v>تمایزهای اصلی رقابتی محصول/خدمت ما را که آن را از سایر راه حل های موجود در بازار متمایز می کند، با تأکید بر ارزشی که برای نیازهای خاص مشتری به ارمغان می آورد، مشخص کنید.</v>
      </c>
      <c r="H13940" s="1"/>
      <c r="I13940" s="1"/>
      <c r="J13940" s="1"/>
      <c r="K13940" s="1"/>
      <c r="L13940" s="1"/>
      <c r="M13940" s="1"/>
      <c r="N13940" s="1"/>
      <c r="O13940" s="1"/>
      <c r="P13940" s="1"/>
      <c r="Q13940" s="1"/>
      <c r="R13940" s="1"/>
      <c r="S13940" s="1"/>
      <c r="T13940" s="1"/>
      <c r="U13940" s="1"/>
      <c r="V13940" s="1"/>
      <c r="W13940" s="1"/>
      <c r="X13940" s="1"/>
      <c r="Y13940" s="1"/>
      <c r="Z13940" s="1"/>
      <c r="AA13940" s="1"/>
      <c r="AB13940" s="1"/>
    </row>
    <row r="13941" ht="50.25" customHeight="1">
      <c r="A13941" s="12">
        <v>13937.0</v>
      </c>
      <c r="B13941" s="13" t="s">
        <v>13090</v>
      </c>
      <c r="C13941" s="14" t="s">
        <v>13148</v>
      </c>
      <c r="D13941" s="1"/>
      <c r="E13941" s="1"/>
      <c r="F13941" s="1" t="str">
        <f>IFERROR(__xludf.DUMMYFUNCTION("GOOGLETRANSLATE(B13941, ""en"", ""fa"")
"),"نسل سرب تلفن")</f>
        <v>نسل سرب تلفن</v>
      </c>
      <c r="G13941" s="1" t="str">
        <f>IFERROR(__xludf.DUMMYFUNCTION("GOOGLETRANSLATE(C13941, ""en"", ""fa"")
"),"یک استراتژی برای به نمایش گذاشتن تخصص و دانش اعضای تیم یا کارشناسان موضوعی در طول ارائه برنامه ریزی کنید، و اعتماد مشتری احتمالی به توانایی ما برای ارائه را تقویت کنید.")</f>
        <v>یک استراتژی برای به نمایش گذاشتن تخصص و دانش اعضای تیم یا کارشناسان موضوعی در طول ارائه برنامه ریزی کنید، و اعتماد مشتری احتمالی به توانایی ما برای ارائه را تقویت کنید.</v>
      </c>
      <c r="H13941" s="1"/>
      <c r="I13941" s="1"/>
      <c r="J13941" s="1"/>
      <c r="K13941" s="1"/>
      <c r="L13941" s="1"/>
      <c r="M13941" s="1"/>
      <c r="N13941" s="1"/>
      <c r="O13941" s="1"/>
      <c r="P13941" s="1"/>
      <c r="Q13941" s="1"/>
      <c r="R13941" s="1"/>
      <c r="S13941" s="1"/>
      <c r="T13941" s="1"/>
      <c r="U13941" s="1"/>
      <c r="V13941" s="1"/>
      <c r="W13941" s="1"/>
      <c r="X13941" s="1"/>
      <c r="Y13941" s="1"/>
      <c r="Z13941" s="1"/>
      <c r="AA13941" s="1"/>
      <c r="AB13941" s="1"/>
    </row>
    <row r="13942" ht="50.25" customHeight="1">
      <c r="A13942" s="12">
        <v>13938.0</v>
      </c>
      <c r="B13942" s="13" t="s">
        <v>13090</v>
      </c>
      <c r="C13942" s="14" t="s">
        <v>13193</v>
      </c>
      <c r="D13942" s="1"/>
      <c r="E13942" s="1"/>
      <c r="F13942" s="1" t="str">
        <f>IFERROR(__xludf.DUMMYFUNCTION("GOOGLETRANSLATE(B13942, ""en"", ""fa"")
"),"نسل سرب تلفن")</f>
        <v>نسل سرب تلفن</v>
      </c>
      <c r="G13942" s="1" t="str">
        <f>IFERROR(__xludf.DUMMYFUNCTION("GOOGLETRANSLATE(C13942, ""en"", ""fa"")
"),"طرحی برای استفاده از داستان‌های موفقیت مشتری یا توصیفات در طول ارائه طراحی کنید و نشان دهید که چگونه محصول/خدمات ما به سازمان‌های مشابه در دستیابی به اهداف و غلبه بر چالش‌ها کمک کرده است.")</f>
        <v>طرحی برای استفاده از داستان‌های موفقیت مشتری یا توصیفات در طول ارائه طراحی کنید و نشان دهید که چگونه محصول/خدمات ما به سازمان‌های مشابه در دستیابی به اهداف و غلبه بر چالش‌ها کمک کرده است.</v>
      </c>
      <c r="H13942" s="1"/>
      <c r="I13942" s="1"/>
      <c r="J13942" s="1"/>
      <c r="K13942" s="1"/>
      <c r="L13942" s="1"/>
      <c r="M13942" s="1"/>
      <c r="N13942" s="1"/>
      <c r="O13942" s="1"/>
      <c r="P13942" s="1"/>
      <c r="Q13942" s="1"/>
      <c r="R13942" s="1"/>
      <c r="S13942" s="1"/>
      <c r="T13942" s="1"/>
      <c r="U13942" s="1"/>
      <c r="V13942" s="1"/>
      <c r="W13942" s="1"/>
      <c r="X13942" s="1"/>
      <c r="Y13942" s="1"/>
      <c r="Z13942" s="1"/>
      <c r="AA13942" s="1"/>
      <c r="AB13942" s="1"/>
    </row>
    <row r="13943" ht="50.25" customHeight="1">
      <c r="A13943" s="12">
        <v>13939.0</v>
      </c>
      <c r="B13943" s="13" t="s">
        <v>13090</v>
      </c>
      <c r="C13943" s="14" t="s">
        <v>13194</v>
      </c>
      <c r="D13943" s="1"/>
      <c r="E13943" s="1"/>
      <c r="F13943" s="1" t="str">
        <f>IFERROR(__xludf.DUMMYFUNCTION("GOOGLETRANSLATE(B13943, ""en"", ""fa"")
"),"نسل سرب تلفن")</f>
        <v>نسل سرب تلفن</v>
      </c>
      <c r="G13943" s="1" t="str">
        <f>IFERROR(__xludf.DUMMYFUNCTION("GOOGLETRANSLATE(C13943, ""en"", ""fa"")
"),"یک طرح کلی برای یک عرشه ارائه جذاب بصری تهیه کنید که به طور موثر ویژگی های کلیدی، مزایا و ارزش پیشنهادی محصول/خدمت ما را با استفاده از عناصر بصری و داستان سرایی جذاب ارتباط می دهد.")</f>
        <v>یک طرح کلی برای یک عرشه ارائه جذاب بصری تهیه کنید که به طور موثر ویژگی های کلیدی، مزایا و ارزش پیشنهادی محصول/خدمت ما را با استفاده از عناصر بصری و داستان سرایی جذاب ارتباط می دهد.</v>
      </c>
      <c r="H13943" s="1"/>
      <c r="I13943" s="1"/>
      <c r="J13943" s="1"/>
      <c r="K13943" s="1"/>
      <c r="L13943" s="1"/>
      <c r="M13943" s="1"/>
      <c r="N13943" s="1"/>
      <c r="O13943" s="1"/>
      <c r="P13943" s="1"/>
      <c r="Q13943" s="1"/>
      <c r="R13943" s="1"/>
      <c r="S13943" s="1"/>
      <c r="T13943" s="1"/>
      <c r="U13943" s="1"/>
      <c r="V13943" s="1"/>
      <c r="W13943" s="1"/>
      <c r="X13943" s="1"/>
      <c r="Y13943" s="1"/>
      <c r="Z13943" s="1"/>
      <c r="AA13943" s="1"/>
      <c r="AB13943" s="1"/>
    </row>
    <row r="13944" ht="50.25" customHeight="1">
      <c r="A13944" s="12">
        <v>13940.0</v>
      </c>
      <c r="B13944" s="13" t="s">
        <v>13090</v>
      </c>
      <c r="C13944" s="14" t="s">
        <v>13132</v>
      </c>
      <c r="D13944" s="1"/>
      <c r="E13944" s="1"/>
      <c r="F13944" s="1" t="str">
        <f>IFERROR(__xludf.DUMMYFUNCTION("GOOGLETRANSLATE(B13944, ""en"", ""fa"")
"),"نسل سرب تلفن")</f>
        <v>نسل سرب تلفن</v>
      </c>
      <c r="G13944" s="1" t="str">
        <f>IFERROR(__xludf.DUMMYFUNCTION("GOOGLETRANSLATE(C13944, ""en"", ""fa"")
"),"طرحی را برای نشان دادن محصول/خدمت در عمل در طول ارائه، با استفاده از ابزارهای تعاملی، شبیه‌سازی‌ها یا مثال‌های زنده برای نمایش قابلیت‌ها و اثربخشی آن ترسیم کنید.")</f>
        <v>طرحی را برای نشان دادن محصول/خدمت در عمل در طول ارائه، با استفاده از ابزارهای تعاملی، شبیه‌سازی‌ها یا مثال‌های زنده برای نمایش قابلیت‌ها و اثربخشی آن ترسیم کنید.</v>
      </c>
      <c r="H13944" s="1"/>
      <c r="I13944" s="1"/>
      <c r="J13944" s="1"/>
      <c r="K13944" s="1"/>
      <c r="L13944" s="1"/>
      <c r="M13944" s="1"/>
      <c r="N13944" s="1"/>
      <c r="O13944" s="1"/>
      <c r="P13944" s="1"/>
      <c r="Q13944" s="1"/>
      <c r="R13944" s="1"/>
      <c r="S13944" s="1"/>
      <c r="T13944" s="1"/>
      <c r="U13944" s="1"/>
      <c r="V13944" s="1"/>
      <c r="W13944" s="1"/>
      <c r="X13944" s="1"/>
      <c r="Y13944" s="1"/>
      <c r="Z13944" s="1"/>
      <c r="AA13944" s="1"/>
      <c r="AB13944" s="1"/>
    </row>
    <row r="13945" ht="50.25" customHeight="1">
      <c r="A13945" s="12">
        <v>13941.0</v>
      </c>
      <c r="B13945" s="13" t="s">
        <v>13090</v>
      </c>
      <c r="C13945" s="14" t="s">
        <v>13133</v>
      </c>
      <c r="D13945" s="1"/>
      <c r="E13945" s="1"/>
      <c r="F13945" s="1" t="str">
        <f>IFERROR(__xludf.DUMMYFUNCTION("GOOGLETRANSLATE(B13945, ""en"", ""fa"")
"),"نسل سرب تلفن")</f>
        <v>نسل سرب تلفن</v>
      </c>
      <c r="G13945" s="1" t="str">
        <f>IFERROR(__xludf.DUMMYFUNCTION("GOOGLETRANSLATE(C13945, ""en"", ""fa"")
"),"برای اطمینان از مشارکت فعال و درک آنها، یک استراتژی برای مشارکت فعالانه در ارائه، تشویق به سؤالات، بازخوردها و بحث برنامه ریزی کنید.")</f>
        <v>برای اطمینان از مشارکت فعال و درک آنها، یک استراتژی برای مشارکت فعالانه در ارائه، تشویق به سؤالات، بازخوردها و بحث برنامه ریزی کنید.</v>
      </c>
      <c r="H13945" s="1"/>
      <c r="I13945" s="1"/>
      <c r="J13945" s="1"/>
      <c r="K13945" s="1"/>
      <c r="L13945" s="1"/>
      <c r="M13945" s="1"/>
      <c r="N13945" s="1"/>
      <c r="O13945" s="1"/>
      <c r="P13945" s="1"/>
      <c r="Q13945" s="1"/>
      <c r="R13945" s="1"/>
      <c r="S13945" s="1"/>
      <c r="T13945" s="1"/>
      <c r="U13945" s="1"/>
      <c r="V13945" s="1"/>
      <c r="W13945" s="1"/>
      <c r="X13945" s="1"/>
      <c r="Y13945" s="1"/>
      <c r="Z13945" s="1"/>
      <c r="AA13945" s="1"/>
      <c r="AB13945" s="1"/>
    </row>
    <row r="13946" ht="50.25" customHeight="1">
      <c r="A13946" s="12">
        <v>13942.0</v>
      </c>
      <c r="B13946" s="13" t="s">
        <v>13090</v>
      </c>
      <c r="C13946" s="14" t="s">
        <v>13195</v>
      </c>
      <c r="D13946" s="1"/>
      <c r="E13946" s="1"/>
      <c r="F13946" s="1" t="str">
        <f>IFERROR(__xludf.DUMMYFUNCTION("GOOGLETRANSLATE(B13946, ""en"", ""fa"")
"),"نسل سرب تلفن")</f>
        <v>نسل سرب تلفن</v>
      </c>
      <c r="G13946" s="1" t="str">
        <f>IFERROR(__xludf.DUMMYFUNCTION("GOOGLETRANSLATE(C13946, ""en"", ""fa"")
"),"طرحی برای رسیدگی به ایرادات یا نگرانی های احتمالی مربوط به زمان اجرا، الزامات آموزشی، یا اختلالات در جریان کاری موجود مشتری در طول ارائه طراحی کنید.")</f>
        <v>طرحی برای رسیدگی به ایرادات یا نگرانی های احتمالی مربوط به زمان اجرا، الزامات آموزشی، یا اختلالات در جریان کاری موجود مشتری در طول ارائه طراحی کنید.</v>
      </c>
      <c r="H13946" s="1"/>
      <c r="I13946" s="1"/>
      <c r="J13946" s="1"/>
      <c r="K13946" s="1"/>
      <c r="L13946" s="1"/>
      <c r="M13946" s="1"/>
      <c r="N13946" s="1"/>
      <c r="O13946" s="1"/>
      <c r="P13946" s="1"/>
      <c r="Q13946" s="1"/>
      <c r="R13946" s="1"/>
      <c r="S13946" s="1"/>
      <c r="T13946" s="1"/>
      <c r="U13946" s="1"/>
      <c r="V13946" s="1"/>
      <c r="W13946" s="1"/>
      <c r="X13946" s="1"/>
      <c r="Y13946" s="1"/>
      <c r="Z13946" s="1"/>
      <c r="AA13946" s="1"/>
      <c r="AB13946" s="1"/>
    </row>
    <row r="13947" ht="50.25" customHeight="1">
      <c r="A13947" s="12">
        <v>13943.0</v>
      </c>
      <c r="B13947" s="13" t="s">
        <v>13090</v>
      </c>
      <c r="C13947" s="14" t="s">
        <v>13153</v>
      </c>
      <c r="D13947" s="1"/>
      <c r="E13947" s="1"/>
      <c r="F13947" s="1" t="str">
        <f>IFERROR(__xludf.DUMMYFUNCTION("GOOGLETRANSLATE(B13947, ""en"", ""fa"")
"),"نسل سرب تلفن")</f>
        <v>نسل سرب تلفن</v>
      </c>
      <c r="G13947" s="1" t="str">
        <f>IFERROR(__xludf.DUMMYFUNCTION("GOOGLETRANSLATE(C13947, ""en"", ""fa"")
"),"فهرستی از سؤالات کاوشگر را تهیه کنید تا ملاحظات بودجه و فرآیند تصمیم گیری مشتری بالقوه را کشف کنید، به ما این امکان را می دهد تا استراتژی های قیمت گذاری و مذاکره خود را در طول ارائه تنظیم کنیم.")</f>
        <v>فهرستی از سؤالات کاوشگر را تهیه کنید تا ملاحظات بودجه و فرآیند تصمیم گیری مشتری بالقوه را کشف کنید، به ما این امکان را می دهد تا استراتژی های قیمت گذاری و مذاکره خود را در طول ارائه تنظیم کنیم.</v>
      </c>
      <c r="H13947" s="1"/>
      <c r="I13947" s="1"/>
      <c r="J13947" s="1"/>
      <c r="K13947" s="1"/>
      <c r="L13947" s="1"/>
      <c r="M13947" s="1"/>
      <c r="N13947" s="1"/>
      <c r="O13947" s="1"/>
      <c r="P13947" s="1"/>
      <c r="Q13947" s="1"/>
      <c r="R13947" s="1"/>
      <c r="S13947" s="1"/>
      <c r="T13947" s="1"/>
      <c r="U13947" s="1"/>
      <c r="V13947" s="1"/>
      <c r="W13947" s="1"/>
      <c r="X13947" s="1"/>
      <c r="Y13947" s="1"/>
      <c r="Z13947" s="1"/>
      <c r="AA13947" s="1"/>
      <c r="AB13947" s="1"/>
    </row>
    <row r="13948" ht="50.25" customHeight="1">
      <c r="A13948" s="12">
        <v>13944.0</v>
      </c>
      <c r="B13948" s="13" t="s">
        <v>13090</v>
      </c>
      <c r="C13948" s="14" t="s">
        <v>13154</v>
      </c>
      <c r="D13948" s="1"/>
      <c r="E13948" s="1"/>
      <c r="F13948" s="1" t="str">
        <f>IFERROR(__xludf.DUMMYFUNCTION("GOOGLETRANSLATE(B13948, ""en"", ""fa"")
"),"نسل سرب تلفن")</f>
        <v>نسل سرب تلفن</v>
      </c>
      <c r="G13948" s="1" t="str">
        <f>IFERROR(__xludf.DUMMYFUNCTION("GOOGLETRANSLATE(C13948, ""en"", ""fa"")
"),"منابع بالقوه پشتیبانی پس از فروش و موفقیت مشتری را که می‌توانیم به مشتریان بالقوه ارائه دهیم، فهرست کنید و تعهد خود را نسبت به رضایت و موفقیت مداوم آنها نشان دهید.")</f>
        <v>منابع بالقوه پشتیبانی پس از فروش و موفقیت مشتری را که می‌توانیم به مشتریان بالقوه ارائه دهیم، فهرست کنید و تعهد خود را نسبت به رضایت و موفقیت مداوم آنها نشان دهید.</v>
      </c>
      <c r="H13948" s="1"/>
      <c r="I13948" s="1"/>
      <c r="J13948" s="1"/>
      <c r="K13948" s="1"/>
      <c r="L13948" s="1"/>
      <c r="M13948" s="1"/>
      <c r="N13948" s="1"/>
      <c r="O13948" s="1"/>
      <c r="P13948" s="1"/>
      <c r="Q13948" s="1"/>
      <c r="R13948" s="1"/>
      <c r="S13948" s="1"/>
      <c r="T13948" s="1"/>
      <c r="U13948" s="1"/>
      <c r="V13948" s="1"/>
      <c r="W13948" s="1"/>
      <c r="X13948" s="1"/>
      <c r="Y13948" s="1"/>
      <c r="Z13948" s="1"/>
      <c r="AA13948" s="1"/>
      <c r="AB13948" s="1"/>
    </row>
    <row r="13949" ht="50.25" customHeight="1">
      <c r="A13949" s="12">
        <v>13945.0</v>
      </c>
      <c r="B13949" s="13" t="s">
        <v>13090</v>
      </c>
      <c r="C13949" s="14" t="s">
        <v>13155</v>
      </c>
      <c r="D13949" s="1"/>
      <c r="E13949" s="1"/>
      <c r="F13949" s="1" t="str">
        <f>IFERROR(__xludf.DUMMYFUNCTION("GOOGLETRANSLATE(B13949, ""en"", ""fa"")
"),"نسل سرب تلفن")</f>
        <v>نسل سرب تلفن</v>
      </c>
      <c r="G13949" s="1" t="str">
        <f>IFERROR(__xludf.DUMMYFUNCTION("GOOGLETRANSLATE(C13949, ""en"", ""fa"")
"),"نقاط دردناک یا چالش‌های خاصی را که محصول/خدمت ما مستقیماً برای مشتری بالقوه برطرف می‌کند، با تأکید بر پیشرفت‌ها و نتایج قابل اندازه‌گیری که می‌توانند انتظار داشته باشند، مشخص کنید.")</f>
        <v>نقاط دردناک یا چالش‌های خاصی را که محصول/خدمت ما مستقیماً برای مشتری بالقوه برطرف می‌کند، با تأکید بر پیشرفت‌ها و نتایج قابل اندازه‌گیری که می‌توانند انتظار داشته باشند، مشخص کنید.</v>
      </c>
      <c r="H13949" s="1"/>
      <c r="I13949" s="1"/>
      <c r="J13949" s="1"/>
      <c r="K13949" s="1"/>
      <c r="L13949" s="1"/>
      <c r="M13949" s="1"/>
      <c r="N13949" s="1"/>
      <c r="O13949" s="1"/>
      <c r="P13949" s="1"/>
      <c r="Q13949" s="1"/>
      <c r="R13949" s="1"/>
      <c r="S13949" s="1"/>
      <c r="T13949" s="1"/>
      <c r="U13949" s="1"/>
      <c r="V13949" s="1"/>
      <c r="W13949" s="1"/>
      <c r="X13949" s="1"/>
      <c r="Y13949" s="1"/>
      <c r="Z13949" s="1"/>
      <c r="AA13949" s="1"/>
      <c r="AB13949" s="1"/>
    </row>
    <row r="13950" ht="50.25" customHeight="1">
      <c r="A13950" s="12">
        <v>13946.0</v>
      </c>
      <c r="B13950" s="13" t="s">
        <v>13090</v>
      </c>
      <c r="C13950" s="14" t="s">
        <v>13143</v>
      </c>
      <c r="D13950" s="1"/>
      <c r="E13950" s="1"/>
      <c r="F13950" s="1" t="str">
        <f>IFERROR(__xludf.DUMMYFUNCTION("GOOGLETRANSLATE(B13950, ""en"", ""fa"")
"),"نسل سرب تلفن")</f>
        <v>نسل سرب تلفن</v>
      </c>
      <c r="G13950" s="1" t="str">
        <f>IFERROR(__xludf.DUMMYFUNCTION("GOOGLETRANSLATE(C13950, ""en"", ""fa"")
"),"یک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f>
        <v>یک استراتژی برای استفاده از وسایل کمک بصری، مانند اینفوگرافیک ها، نمودارها، یا نمودارها، برای برقراری ارتباط بصری مفاهیم پیچیده یا نقاط داده در طول ارائه، برنامه ریزی کنید.</v>
      </c>
      <c r="H13950" s="1"/>
      <c r="I13950" s="1"/>
      <c r="J13950" s="1"/>
      <c r="K13950" s="1"/>
      <c r="L13950" s="1"/>
      <c r="M13950" s="1"/>
      <c r="N13950" s="1"/>
      <c r="O13950" s="1"/>
      <c r="P13950" s="1"/>
      <c r="Q13950" s="1"/>
      <c r="R13950" s="1"/>
      <c r="S13950" s="1"/>
      <c r="T13950" s="1"/>
      <c r="U13950" s="1"/>
      <c r="V13950" s="1"/>
      <c r="W13950" s="1"/>
      <c r="X13950" s="1"/>
      <c r="Y13950" s="1"/>
      <c r="Z13950" s="1"/>
      <c r="AA13950" s="1"/>
      <c r="AB13950" s="1"/>
    </row>
    <row r="13951" ht="50.25" customHeight="1">
      <c r="A13951" s="12">
        <v>13947.0</v>
      </c>
      <c r="B13951" s="13" t="s">
        <v>13090</v>
      </c>
      <c r="C13951" s="14" t="s">
        <v>13144</v>
      </c>
      <c r="D13951" s="1"/>
      <c r="E13951" s="1"/>
      <c r="F13951" s="1" t="str">
        <f>IFERROR(__xludf.DUMMYFUNCTION("GOOGLETRANSLATE(B13951, ""en"", ""fa"")
"),"نسل سرب تلفن")</f>
        <v>نسل سرب تلفن</v>
      </c>
      <c r="G13951" s="1" t="str">
        <f>IFERROR(__xludf.DUMMYFUNCTION("GOOGLETRANSLATE(C13951, ""en"", ""fa"")
"),"برنامه‌ای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f>
        <v>برنامه‌ای برای گوش دادن فعالانه و مشاهده واکنش‌ها و زبان بدن فرد احتمالی در طول ارائه طراحی کنید، که امکان تنظیمات بلادرنگ را فراهم می‌کند و به نگرانی‌ها رسیدگی می‌کند.</v>
      </c>
      <c r="H13951" s="1"/>
      <c r="I13951" s="1"/>
      <c r="J13951" s="1"/>
      <c r="K13951" s="1"/>
      <c r="L13951" s="1"/>
      <c r="M13951" s="1"/>
      <c r="N13951" s="1"/>
      <c r="O13951" s="1"/>
      <c r="P13951" s="1"/>
      <c r="Q13951" s="1"/>
      <c r="R13951" s="1"/>
      <c r="S13951" s="1"/>
      <c r="T13951" s="1"/>
      <c r="U13951" s="1"/>
      <c r="V13951" s="1"/>
      <c r="W13951" s="1"/>
      <c r="X13951" s="1"/>
      <c r="Y13951" s="1"/>
      <c r="Z13951" s="1"/>
      <c r="AA13951" s="1"/>
      <c r="AB13951" s="1"/>
    </row>
    <row r="13952" ht="50.25" customHeight="1">
      <c r="A13952" s="12">
        <v>13948.0</v>
      </c>
      <c r="B13952" s="13" t="s">
        <v>13090</v>
      </c>
      <c r="C13952" s="14" t="s">
        <v>13179</v>
      </c>
      <c r="D13952" s="1"/>
      <c r="E13952" s="1"/>
      <c r="F13952" s="1" t="str">
        <f>IFERROR(__xludf.DUMMYFUNCTION("GOOGLETRANSLATE(B13952, ""en"", ""fa"")
"),"نسل سرب تلفن")</f>
        <v>نسل سرب تلفن</v>
      </c>
      <c r="G13952" s="1" t="str">
        <f>IFERROR(__xludf.DUMMYFUNCTION("GOOGLETRANSLATE(C13952, ""en"", ""fa"")
"),"یک طرح کلی برای بیانیه پایانی متقاعدکننده و به یاد ماندنی تهیه کنید که مزایای کلیدی و نکات مهم محصول/خدمت ما را خلاصه می کند و تأثیری ماندگار بر مشتری می گذارد.")</f>
        <v>یک طرح کلی برای بیانیه پایانی متقاعدکننده و به یاد ماندنی تهیه کنید که مزایای کلیدی و نکات مهم محصول/خدمت ما را خلاصه می کند و تأثیری ماندگار بر مشتری می گذارد.</v>
      </c>
      <c r="H13952" s="1"/>
      <c r="I13952" s="1"/>
      <c r="J13952" s="1"/>
      <c r="K13952" s="1"/>
      <c r="L13952" s="1"/>
      <c r="M13952" s="1"/>
      <c r="N13952" s="1"/>
      <c r="O13952" s="1"/>
      <c r="P13952" s="1"/>
      <c r="Q13952" s="1"/>
      <c r="R13952" s="1"/>
      <c r="S13952" s="1"/>
      <c r="T13952" s="1"/>
      <c r="U13952" s="1"/>
      <c r="V13952" s="1"/>
      <c r="W13952" s="1"/>
      <c r="X13952" s="1"/>
      <c r="Y13952" s="1"/>
      <c r="Z13952" s="1"/>
      <c r="AA13952" s="1"/>
      <c r="AB13952" s="1"/>
    </row>
    <row r="13953" ht="50.25" customHeight="1">
      <c r="A13953" s="12">
        <v>13949.0</v>
      </c>
      <c r="B13953" s="13" t="s">
        <v>13090</v>
      </c>
      <c r="C13953" s="14" t="s">
        <v>13196</v>
      </c>
      <c r="D13953" s="1"/>
      <c r="E13953" s="1"/>
      <c r="F13953" s="1" t="str">
        <f>IFERROR(__xludf.DUMMYFUNCTION("GOOGLETRANSLATE(B13953, ""en"", ""fa"")
"),"نسل سرب تلفن")</f>
        <v>نسل سرب تلفن</v>
      </c>
      <c r="G13953" s="1" t="str">
        <f>IFERROR(__xludf.DUMMYFUNCTION("GOOGLETRANSLATE(C13953, ""en"", ""fa"")
"),"طرحی را برای رسیدگی به اعتراض‌ها یا نگرانی‌های احتمالی مربوط به قیمت‌گذاری، بازگشت سرمایه، یا هزینه کل مالکیت در طول ارائه، با تأکید بر ارزش و مزایای بلندمدت پیشنهاد ما، ترسیم کنید.")</f>
        <v>طرحی را برای رسیدگی به اعتراض‌ها یا نگرانی‌های احتمالی مربوط به قیمت‌گذاری، بازگشت سرمایه، یا هزینه کل مالکیت در طول ارائه، با تأکید بر ارزش و مزایای بلندمدت پیشنهاد ما، ترسیم کنید.</v>
      </c>
      <c r="H13953" s="1"/>
      <c r="I13953" s="1"/>
      <c r="J13953" s="1"/>
      <c r="K13953" s="1"/>
      <c r="L13953" s="1"/>
      <c r="M13953" s="1"/>
      <c r="N13953" s="1"/>
      <c r="O13953" s="1"/>
      <c r="P13953" s="1"/>
      <c r="Q13953" s="1"/>
      <c r="R13953" s="1"/>
      <c r="S13953" s="1"/>
      <c r="T13953" s="1"/>
      <c r="U13953" s="1"/>
      <c r="V13953" s="1"/>
      <c r="W13953" s="1"/>
      <c r="X13953" s="1"/>
      <c r="Y13953" s="1"/>
      <c r="Z13953" s="1"/>
      <c r="AA13953" s="1"/>
      <c r="AB13953" s="1"/>
    </row>
    <row r="13954" ht="50.25" customHeight="1">
      <c r="A13954" s="12">
        <v>13950.0</v>
      </c>
      <c r="B13954" s="13" t="s">
        <v>13090</v>
      </c>
      <c r="C13954" s="14" t="s">
        <v>13181</v>
      </c>
      <c r="D13954" s="1"/>
      <c r="E13954" s="1"/>
      <c r="F13954" s="1" t="str">
        <f>IFERROR(__xludf.DUMMYFUNCTION("GOOGLETRANSLATE(B13954, ""en"", ""fa"")
"),"نسل سرب تلفن")</f>
        <v>نسل سرب تلفن</v>
      </c>
      <c r="G13954" s="1" t="str">
        <f>IFERROR(__xludf.DUMMYFUNCTION("GOOGLETRANSLATE(C13954, ""en"", ""fa"")
"),"یک استراتژی برای استفاده از بینش‌های مبتنی بر داده یا معیارهای صنعت در طول ارائه برنامه‌ریزی کنید، که بهبود عملکرد بالقوه یا صرفه‌جویی در هزینه‌ای را که محصول/خدمت ما می‌تواند ارائه دهد، نشان دهد.")</f>
        <v>یک استراتژی برای استفاده از بینش‌های مبتنی بر داده یا معیارهای صنعت در طول ارائه برنامه‌ریزی کنید، که بهبود عملکرد بالقوه یا صرفه‌جویی در هزینه‌ای را که محصول/خدمت ما می‌تواند ارائه دهد، نشان دهد.</v>
      </c>
      <c r="H13954" s="1"/>
      <c r="I13954" s="1"/>
      <c r="J13954" s="1"/>
      <c r="K13954" s="1"/>
      <c r="L13954" s="1"/>
      <c r="M13954" s="1"/>
      <c r="N13954" s="1"/>
      <c r="O13954" s="1"/>
      <c r="P13954" s="1"/>
      <c r="Q13954" s="1"/>
      <c r="R13954" s="1"/>
      <c r="S13954" s="1"/>
      <c r="T13954" s="1"/>
      <c r="U13954" s="1"/>
      <c r="V13954" s="1"/>
      <c r="W13954" s="1"/>
      <c r="X13954" s="1"/>
      <c r="Y13954" s="1"/>
      <c r="Z13954" s="1"/>
      <c r="AA13954" s="1"/>
      <c r="AB13954" s="1"/>
    </row>
    <row r="13955" ht="50.25" customHeight="1">
      <c r="A13955" s="12">
        <v>13951.0</v>
      </c>
      <c r="B13955" s="13" t="s">
        <v>13090</v>
      </c>
      <c r="C13955" s="14" t="s">
        <v>13182</v>
      </c>
      <c r="D13955" s="1"/>
      <c r="E13955" s="1"/>
      <c r="F13955" s="1" t="str">
        <f>IFERROR(__xludf.DUMMYFUNCTION("GOOGLETRANSLATE(B13955, ""en"", ""fa"")
"),"نسل سرب تلفن")</f>
        <v>نسل سرب تلفن</v>
      </c>
      <c r="G13955" s="1" t="str">
        <f>IFERROR(__xludf.DUMMYFUNCTION("GOOGLETRANSLATE(C13955, ""en"", ""fa"")
"),"طرحی برای گنجاندن عناصر داستان سرایی بصری، مانند اینفوگرافیک های تعاملی یا ارائه های چند رسانه ای، در ارائه طراحی کنید تا تجربه ای فراگیرتر و به یاد ماندنی تر برای مشتری ایجاد کنید.")</f>
        <v>طرحی برای گنجاندن عناصر داستان سرایی بصری، مانند اینفوگرافیک های تعاملی یا ارائه های چند رسانه ای، در ارائه طراحی کنید تا تجربه ای فراگیرتر و به یاد ماندنی تر برای مشتری ایجاد کنید.</v>
      </c>
      <c r="H13955" s="1"/>
      <c r="I13955" s="1"/>
      <c r="J13955" s="1"/>
      <c r="K13955" s="1"/>
      <c r="L13955" s="1"/>
      <c r="M13955" s="1"/>
      <c r="N13955" s="1"/>
      <c r="O13955" s="1"/>
      <c r="P13955" s="1"/>
      <c r="Q13955" s="1"/>
      <c r="R13955" s="1"/>
      <c r="S13955" s="1"/>
      <c r="T13955" s="1"/>
      <c r="U13955" s="1"/>
      <c r="V13955" s="1"/>
      <c r="W13955" s="1"/>
      <c r="X13955" s="1"/>
      <c r="Y13955" s="1"/>
      <c r="Z13955" s="1"/>
      <c r="AA13955" s="1"/>
      <c r="AB13955" s="1"/>
    </row>
    <row r="13956" ht="50.25" customHeight="1">
      <c r="A13956" s="12">
        <v>13952.0</v>
      </c>
      <c r="B13956" s="13" t="s">
        <v>13090</v>
      </c>
      <c r="C13956" s="14" t="s">
        <v>13160</v>
      </c>
      <c r="D13956" s="1"/>
      <c r="E13956" s="1"/>
      <c r="F13956" s="1" t="str">
        <f>IFERROR(__xludf.DUMMYFUNCTION("GOOGLETRANSLATE(B13956, ""en"", ""fa"")
"),"نسل سرب تلفن")</f>
        <v>نسل سرب تلفن</v>
      </c>
      <c r="G13956" s="1" t="str">
        <f>IFERROR(__xludf.DUMMYFUNCTION("GOOGLETRANSLATE(C13956, ""en"", ""fa"")
"),"فهرستی از گرایش‌های صنعت مرتبط، بینش‌های بازار، یا یافته‌های تحقیقاتی را که می‌توان در طول ارائه به اشتراک گذاشت تا محصول/خدمت ما را به عنوان آینده‌نگر و همسو با نیازهای صنعت قرار دهد، تهیه کنید.")</f>
        <v>فهرستی از گرایش‌های صنعت مرتبط، بینش‌های بازار، یا یافته‌های تحقیقاتی را که می‌توان در طول ارائه به اشتراک گذاشت تا محصول/خدمت ما را به عنوان آینده‌نگر و همسو با نیازهای صنعت قرار دهد، تهیه کنید.</v>
      </c>
      <c r="H13956" s="1"/>
      <c r="I13956" s="1"/>
      <c r="J13956" s="1"/>
      <c r="K13956" s="1"/>
      <c r="L13956" s="1"/>
      <c r="M13956" s="1"/>
      <c r="N13956" s="1"/>
      <c r="O13956" s="1"/>
      <c r="P13956" s="1"/>
      <c r="Q13956" s="1"/>
      <c r="R13956" s="1"/>
      <c r="S13956" s="1"/>
      <c r="T13956" s="1"/>
      <c r="U13956" s="1"/>
      <c r="V13956" s="1"/>
      <c r="W13956" s="1"/>
      <c r="X13956" s="1"/>
      <c r="Y13956" s="1"/>
      <c r="Z13956" s="1"/>
      <c r="AA13956" s="1"/>
      <c r="AB13956" s="1"/>
    </row>
    <row r="13957" ht="50.25" customHeight="1">
      <c r="A13957" s="12">
        <v>13953.0</v>
      </c>
      <c r="B13957" s="13" t="s">
        <v>13090</v>
      </c>
      <c r="C13957" s="14" t="s">
        <v>13176</v>
      </c>
      <c r="D13957" s="1"/>
      <c r="E13957" s="1"/>
      <c r="F13957" s="1" t="str">
        <f>IFERROR(__xludf.DUMMYFUNCTION("GOOGLETRANSLATE(B13957, ""en"", ""fa"")
"),"نسل سرب تلفن")</f>
        <v>نسل سرب تلفن</v>
      </c>
      <c r="G13957" s="1" t="str">
        <f>IFERROR(__xludf.DUMMYFUNCTION("GOOGLETRANSLATE(C13957, ""en"", ""fa"")
"),"گزینه‌های سفارشی‌سازی بالقوه یا مدل‌های قیمت‌گذاری منعطف را فهرست کنید که می‌توانند بر اساس نیازهای خاص مشتری یا محدودیت‌های بودجه تنظیم شوند و حسی از راه‌حل‌های شخصی‌سازی شده را در طول ارائه ارائه دهند.")</f>
        <v>گزینه‌های سفارشی‌سازی بالقوه یا مدل‌های قیمت‌گذاری منعطف را فهرست کنید که می‌توانند بر اساس نیازهای خاص مشتری یا محدودیت‌های بودجه تنظیم شوند و حسی از راه‌حل‌های شخصی‌سازی شده را در طول ارائه ارائه دهند.</v>
      </c>
      <c r="H13957" s="1"/>
      <c r="I13957" s="1"/>
      <c r="J13957" s="1"/>
      <c r="K13957" s="1"/>
      <c r="L13957" s="1"/>
      <c r="M13957" s="1"/>
      <c r="N13957" s="1"/>
      <c r="O13957" s="1"/>
      <c r="P13957" s="1"/>
      <c r="Q13957" s="1"/>
      <c r="R13957" s="1"/>
      <c r="S13957" s="1"/>
      <c r="T13957" s="1"/>
      <c r="U13957" s="1"/>
      <c r="V13957" s="1"/>
      <c r="W13957" s="1"/>
      <c r="X13957" s="1"/>
      <c r="Y13957" s="1"/>
      <c r="Z13957" s="1"/>
      <c r="AA13957" s="1"/>
      <c r="AB13957" s="1"/>
    </row>
    <row r="13958" ht="50.25" customHeight="1">
      <c r="A13958" s="12">
        <v>13954.0</v>
      </c>
      <c r="B13958" s="13" t="s">
        <v>13090</v>
      </c>
      <c r="C13958" s="14" t="s">
        <v>13177</v>
      </c>
      <c r="D13958" s="1"/>
      <c r="E13958" s="1"/>
      <c r="F13958" s="1" t="str">
        <f>IFERROR(__xludf.DUMMYFUNCTION("GOOGLETRANSLATE(B13958, ""en"", ""fa"")
"),"نسل سرب تلفن")</f>
        <v>نسل سرب تلفن</v>
      </c>
      <c r="G13958" s="1" t="str">
        <f>IFERROR(__xludf.DUMMYFUNCTION("GOOGLETRANSLATE(C13958, ""en"", ""fa"")
"),"کانال‌ها یا منابع خاص پشتیبانی مشتری را که پس از خرید در دسترس مشتریان بالقوه است، مشخص کنید، و تعهد ما به رضایت و موفقیت مداوم آنها را نشان دهد.")</f>
        <v>کانال‌ها یا منابع خاص پشتیبانی مشتری را که پس از خرید در دسترس مشتریان بالقوه است، مشخص کنید، و تعهد ما به رضایت و موفقیت مداوم آنها را نشان دهد.</v>
      </c>
      <c r="H13958" s="1"/>
      <c r="I13958" s="1"/>
      <c r="J13958" s="1"/>
      <c r="K13958" s="1"/>
      <c r="L13958" s="1"/>
      <c r="M13958" s="1"/>
      <c r="N13958" s="1"/>
      <c r="O13958" s="1"/>
      <c r="P13958" s="1"/>
      <c r="Q13958" s="1"/>
      <c r="R13958" s="1"/>
      <c r="S13958" s="1"/>
      <c r="T13958" s="1"/>
      <c r="U13958" s="1"/>
      <c r="V13958" s="1"/>
      <c r="W13958" s="1"/>
      <c r="X13958" s="1"/>
      <c r="Y13958" s="1"/>
      <c r="Z13958" s="1"/>
      <c r="AA13958" s="1"/>
      <c r="AB13958" s="1"/>
    </row>
    <row r="13959" ht="50.25" customHeight="1">
      <c r="A13959" s="12">
        <v>13955.0</v>
      </c>
      <c r="B13959" s="13" t="s">
        <v>13090</v>
      </c>
      <c r="C13959" s="14" t="s">
        <v>13186</v>
      </c>
      <c r="D13959" s="1"/>
      <c r="E13959" s="1"/>
      <c r="F13959" s="1" t="str">
        <f>IFERROR(__xludf.DUMMYFUNCTION("GOOGLETRANSLATE(B13959, ""en"", ""fa"")
"),"نسل سرب تلفن")</f>
        <v>نسل سرب تلفن</v>
      </c>
      <c r="G13959" s="1" t="str">
        <f>IFERROR(__xludf.DUMMYFUNCTION("GOOGLETRANSLATE(C13959, ""en"", ""fa"")
"),"با تاکید بر قابلیت های یکپارچه سازی یکپارچه، طرحی برای رسیدگی به اعتراضات یا نگرانی های احتمالی مربوط به انتقال داده یا سازگاری با سیستم های موجود مشتری طراحی کنید.")</f>
        <v>با تاکید بر قابلیت های یکپارچه سازی یکپارچه، طرحی برای رسیدگی به اعتراضات یا نگرانی های احتمالی مربوط به انتقال داده یا سازگاری با سیستم های موجود مشتری طراحی کنید.</v>
      </c>
      <c r="H13959" s="1"/>
      <c r="I13959" s="1"/>
      <c r="J13959" s="1"/>
      <c r="K13959" s="1"/>
      <c r="L13959" s="1"/>
      <c r="M13959" s="1"/>
      <c r="N13959" s="1"/>
      <c r="O13959" s="1"/>
      <c r="P13959" s="1"/>
      <c r="Q13959" s="1"/>
      <c r="R13959" s="1"/>
      <c r="S13959" s="1"/>
      <c r="T13959" s="1"/>
      <c r="U13959" s="1"/>
      <c r="V13959" s="1"/>
      <c r="W13959" s="1"/>
      <c r="X13959" s="1"/>
      <c r="Y13959" s="1"/>
      <c r="Z13959" s="1"/>
      <c r="AA13959" s="1"/>
      <c r="AB13959" s="1"/>
    </row>
    <row r="13960" ht="50.25" customHeight="1">
      <c r="A13960" s="12">
        <v>13956.0</v>
      </c>
      <c r="B13960" s="13" t="s">
        <v>13090</v>
      </c>
      <c r="C13960" s="14" t="s">
        <v>13187</v>
      </c>
      <c r="D13960" s="1"/>
      <c r="E13960" s="1"/>
      <c r="F13960" s="1" t="str">
        <f>IFERROR(__xludf.DUMMYFUNCTION("GOOGLETRANSLATE(B13960, ""en"", ""fa"")
"),"نسل سرب تلفن")</f>
        <v>نسل سرب تلفن</v>
      </c>
      <c r="G13960" s="1" t="str">
        <f>IFERROR(__xludf.DUMMYFUNCTION("GOOGLETRANSLATE(C13960, ""en"", ""fa"")
"),"یک طرح کلی برای تجزیه و تحلیل بازگشت سرمایه متقاعد کننده یا مورد تجاری تهیه کنید که تأثیر مالی و مزایای بلندمدت اتخاذ محصول/خدمات ما را بر اساس معیارها و اهداف خاص مشتری بالقوه تعیین می کند.")</f>
        <v>یک طرح کلی برای تجزیه و تحلیل بازگشت سرمایه متقاعد کننده یا مورد تجاری تهیه کنید که تأثیر مالی و مزایای بلندمدت اتخاذ محصول/خدمات ما را بر اساس معیارها و اهداف خاص مشتری بالقوه تعیین می کند.</v>
      </c>
      <c r="H13960" s="1"/>
      <c r="I13960" s="1"/>
      <c r="J13960" s="1"/>
      <c r="K13960" s="1"/>
      <c r="L13960" s="1"/>
      <c r="M13960" s="1"/>
      <c r="N13960" s="1"/>
      <c r="O13960" s="1"/>
      <c r="P13960" s="1"/>
      <c r="Q13960" s="1"/>
      <c r="R13960" s="1"/>
      <c r="S13960" s="1"/>
      <c r="T13960" s="1"/>
      <c r="U13960" s="1"/>
      <c r="V13960" s="1"/>
      <c r="W13960" s="1"/>
      <c r="X13960" s="1"/>
      <c r="Y13960" s="1"/>
      <c r="Z13960" s="1"/>
      <c r="AA13960" s="1"/>
      <c r="AB13960" s="1"/>
    </row>
    <row r="13961" ht="50.25" customHeight="1">
      <c r="A13961" s="12">
        <v>13957.0</v>
      </c>
      <c r="B13961" s="13" t="s">
        <v>13090</v>
      </c>
      <c r="C13961" s="14" t="s">
        <v>13188</v>
      </c>
      <c r="D13961" s="1"/>
      <c r="E13961" s="1"/>
      <c r="F13961" s="1" t="str">
        <f>IFERROR(__xludf.DUMMYFUNCTION("GOOGLETRANSLATE(B13961, ""en"", ""fa"")
"),"نسل سرب تلفن")</f>
        <v>نسل سرب تلفن</v>
      </c>
      <c r="G13961" s="1" t="str">
        <f>IFERROR(__xludf.DUMMYFUNCTION("GOOGLETRANSLATE(C13961, ""en"", ""fa"")
"),"طرحی را برای مشارکت فعال افراد بالقوه در ارائه، تشویق به مشارکت آنها از طریق تمرینات تعاملی، نظرسنجی زنده یا جلسات طوفان فکری برای ایجاد حس همکاری ترسیم کنید.")</f>
        <v>طرحی را برای مشارکت فعال افراد بالقوه در ارائه، تشویق به مشارکت آنها از طریق تمرینات تعاملی، نظرسنجی زنده یا جلسات طوفان فکری برای ایجاد حس همکاری ترسیم کنید.</v>
      </c>
      <c r="H13961" s="1"/>
      <c r="I13961" s="1"/>
      <c r="J13961" s="1"/>
      <c r="K13961" s="1"/>
      <c r="L13961" s="1"/>
      <c r="M13961" s="1"/>
      <c r="N13961" s="1"/>
      <c r="O13961" s="1"/>
      <c r="P13961" s="1"/>
      <c r="Q13961" s="1"/>
      <c r="R13961" s="1"/>
      <c r="S13961" s="1"/>
      <c r="T13961" s="1"/>
      <c r="U13961" s="1"/>
      <c r="V13961" s="1"/>
      <c r="W13961" s="1"/>
      <c r="X13961" s="1"/>
      <c r="Y13961" s="1"/>
      <c r="Z13961" s="1"/>
      <c r="AA13961" s="1"/>
      <c r="AB13961" s="1"/>
    </row>
    <row r="13962" ht="50.25" customHeight="1">
      <c r="A13962" s="12">
        <v>13958.0</v>
      </c>
      <c r="B13962" s="13" t="s">
        <v>13090</v>
      </c>
      <c r="C13962" s="14" t="s">
        <v>13189</v>
      </c>
      <c r="D13962" s="1"/>
      <c r="E13962" s="1"/>
      <c r="F13962" s="1" t="str">
        <f>IFERROR(__xludf.DUMMYFUNCTION("GOOGLETRANSLATE(B13962, ""en"", ""fa"")
"),"نسل سرب تلفن")</f>
        <v>نسل سرب تلفن</v>
      </c>
      <c r="G13962" s="1" t="str">
        <f>IFERROR(__xludf.DUMMYFUNCTION("GOOGLETRANSLATE(C13962, ""en"", ""fa"")
"),"برای ایجاد اعتماد و اعتبار، یک استراتژی برای استفاده از عناصر اثبات اجتماعی، مانند توصیفات مشتری، بررسی ها، یا جوایز صنعت، در طول ارائه برنامه ریزی کنید.")</f>
        <v>برای ایجاد اعتماد و اعتبار، یک استراتژی برای استفاده از عناصر اثبات اجتماعی، مانند توصیفات مشتری، بررسی ها، یا جوایز صنعت، در طول ارائه برنامه ریزی کنید.</v>
      </c>
      <c r="H13962" s="1"/>
      <c r="I13962" s="1"/>
      <c r="J13962" s="1"/>
      <c r="K13962" s="1"/>
      <c r="L13962" s="1"/>
      <c r="M13962" s="1"/>
      <c r="N13962" s="1"/>
      <c r="O13962" s="1"/>
      <c r="P13962" s="1"/>
      <c r="Q13962" s="1"/>
      <c r="R13962" s="1"/>
      <c r="S13962" s="1"/>
      <c r="T13962" s="1"/>
      <c r="U13962" s="1"/>
      <c r="V13962" s="1"/>
      <c r="W13962" s="1"/>
      <c r="X13962" s="1"/>
      <c r="Y13962" s="1"/>
      <c r="Z13962" s="1"/>
      <c r="AA13962" s="1"/>
      <c r="AB13962" s="1"/>
    </row>
    <row r="13963" ht="50.25" customHeight="1">
      <c r="A13963" s="12">
        <v>13959.0</v>
      </c>
      <c r="B13963" s="13" t="s">
        <v>13090</v>
      </c>
      <c r="C13963" s="14" t="s">
        <v>13190</v>
      </c>
      <c r="D13963" s="1"/>
      <c r="E13963" s="1"/>
      <c r="F13963" s="1" t="str">
        <f>IFERROR(__xludf.DUMMYFUNCTION("GOOGLETRANSLATE(B13963, ""en"", ""fa"")
"),"نسل سرب تلفن")</f>
        <v>نسل سرب تلفن</v>
      </c>
      <c r="G13963" s="1" t="str">
        <f>IFERROR(__xludf.DUMMYFUNCTION("GOOGLETRANSLATE(C13963, ""en"", ""fa"")
"),"طرحی برای رسیدگی به ایرادات احتمالی یا نگرانی‌های مربوط به حریم خصوصی یا امنیت داده‌ها در طول ارائه طراحی کنید و پروتکل‌های قوی و اقدامات انطباق ما را به نمایش بگذارید.")</f>
        <v>طرحی برای رسیدگی به ایرادات احتمالی یا نگرانی‌های مربوط به حریم خصوصی یا امنیت داده‌ها در طول ارائه طراحی کنید و پروتکل‌های قوی و اقدامات انطباق ما را به نمایش بگذارید.</v>
      </c>
      <c r="H13963" s="1"/>
      <c r="I13963" s="1"/>
      <c r="J13963" s="1"/>
      <c r="K13963" s="1"/>
      <c r="L13963" s="1"/>
      <c r="M13963" s="1"/>
      <c r="N13963" s="1"/>
      <c r="O13963" s="1"/>
      <c r="P13963" s="1"/>
      <c r="Q13963" s="1"/>
      <c r="R13963" s="1"/>
      <c r="S13963" s="1"/>
      <c r="T13963" s="1"/>
      <c r="U13963" s="1"/>
      <c r="V13963" s="1"/>
      <c r="W13963" s="1"/>
      <c r="X13963" s="1"/>
      <c r="Y13963" s="1"/>
      <c r="Z13963" s="1"/>
      <c r="AA13963" s="1"/>
      <c r="AB13963" s="1"/>
    </row>
    <row r="13964" ht="50.25" customHeight="1">
      <c r="A13964" s="12">
        <v>13960.0</v>
      </c>
      <c r="B13964" s="13" t="s">
        <v>13090</v>
      </c>
      <c r="C13964" s="14" t="s">
        <v>13191</v>
      </c>
      <c r="D13964" s="1"/>
      <c r="E13964" s="1"/>
      <c r="F13964" s="1" t="str">
        <f>IFERROR(__xludf.DUMMYFUNCTION("GOOGLETRANSLATE(B13964, ""en"", ""fa"")
"),"نسل سرب تلفن")</f>
        <v>نسل سرب تلفن</v>
      </c>
      <c r="G13964" s="1" t="str">
        <f>IFERROR(__xludf.DUMMYFUNCTION("GOOGLETRANSLATE(C13964, ""en"", ""fa"")
"),"فهرستی از سؤالات قانع کننده برای پرسیدن از مشتری در طول ارائه تهیه کنید، آنها را تشویق کنید تا در مورد چالش های فعلی خود فکر کنند و نتایج مورد نظر خود را بیان کنند.")</f>
        <v>فهرستی از سؤالات قانع کننده برای پرسیدن از مشتری در طول ارائه تهیه کنید، آنها را تشویق کنید تا در مورد چالش های فعلی خود فکر کنند و نتایج مورد نظر خود را بیان کنند.</v>
      </c>
      <c r="H13964" s="1"/>
      <c r="I13964" s="1"/>
      <c r="J13964" s="1"/>
      <c r="K13964" s="1"/>
      <c r="L13964" s="1"/>
      <c r="M13964" s="1"/>
      <c r="N13964" s="1"/>
      <c r="O13964" s="1"/>
      <c r="P13964" s="1"/>
      <c r="Q13964" s="1"/>
      <c r="R13964" s="1"/>
      <c r="S13964" s="1"/>
      <c r="T13964" s="1"/>
      <c r="U13964" s="1"/>
      <c r="V13964" s="1"/>
      <c r="W13964" s="1"/>
      <c r="X13964" s="1"/>
      <c r="Y13964" s="1"/>
      <c r="Z13964" s="1"/>
      <c r="AA13964" s="1"/>
      <c r="AB13964" s="1"/>
    </row>
    <row r="13965" ht="50.25" customHeight="1">
      <c r="A13965" s="12">
        <v>13961.0</v>
      </c>
      <c r="B13965" s="13" t="s">
        <v>13197</v>
      </c>
      <c r="C13965" s="14" t="s">
        <v>13198</v>
      </c>
      <c r="D13965" s="1"/>
      <c r="E13965" s="1"/>
      <c r="F13965" s="1" t="str">
        <f>IFERROR(__xludf.DUMMYFUNCTION("GOOGLETRANSLATE(B13965, ""en"", ""fa"")
"),"اتوماسیون یوتیوب")</f>
        <v>اتوماسیون یوتیوب</v>
      </c>
      <c r="G13965" s="1" t="str">
        <f>IFERROR(__xludf.DUMMYFUNCTION("GOOGLETRANSLATE(C13965, ""en"", ""fa"")
"),"چگونه فرآیند تولید ریز عکس های ویدئویی سفارشی را خودکار کنیم؟")</f>
        <v>چگونه فرآیند تولید ریز عکس های ویدئویی سفارشی را خودکار کنیم؟</v>
      </c>
      <c r="H13965" s="1"/>
      <c r="I13965" s="1"/>
      <c r="J13965" s="1"/>
      <c r="K13965" s="1"/>
      <c r="L13965" s="1"/>
      <c r="M13965" s="1"/>
      <c r="N13965" s="1"/>
      <c r="O13965" s="1"/>
      <c r="P13965" s="1"/>
      <c r="Q13965" s="1"/>
      <c r="R13965" s="1"/>
      <c r="S13965" s="1"/>
      <c r="T13965" s="1"/>
      <c r="U13965" s="1"/>
      <c r="V13965" s="1"/>
      <c r="W13965" s="1"/>
      <c r="X13965" s="1"/>
      <c r="Y13965" s="1"/>
      <c r="Z13965" s="1"/>
      <c r="AA13965" s="1"/>
      <c r="AB13965" s="1"/>
    </row>
    <row r="13966" ht="50.25" customHeight="1">
      <c r="A13966" s="12">
        <v>13962.0</v>
      </c>
      <c r="B13966" s="13" t="s">
        <v>13197</v>
      </c>
      <c r="C13966" s="14" t="s">
        <v>13199</v>
      </c>
      <c r="D13966" s="1"/>
      <c r="E13966" s="1"/>
      <c r="F13966" s="1" t="str">
        <f>IFERROR(__xludf.DUMMYFUNCTION("GOOGLETRANSLATE(B13966, ""en"", ""fa"")
"),"اتوماسیون یوتیوب")</f>
        <v>اتوماسیون یوتیوب</v>
      </c>
      <c r="G13966" s="1" t="str">
        <f>IFERROR(__xludf.DUMMYFUNCTION("GOOGLETRANSLATE(C13966, ""en"", ""fa"")
"),"چگونه از تجزیه و تحلیل روند خودکار برای انتخاب موضوعات پرطرفدار برای ویدیوهای خود استفاده کنید؟")</f>
        <v>چگونه از تجزیه و تحلیل روند خودکار برای انتخاب موضوعات پرطرفدار برای ویدیوهای خود استفاده کنید؟</v>
      </c>
      <c r="H13966" s="1"/>
      <c r="I13966" s="1"/>
      <c r="J13966" s="1"/>
      <c r="K13966" s="1"/>
      <c r="L13966" s="1"/>
      <c r="M13966" s="1"/>
      <c r="N13966" s="1"/>
      <c r="O13966" s="1"/>
      <c r="P13966" s="1"/>
      <c r="Q13966" s="1"/>
      <c r="R13966" s="1"/>
      <c r="S13966" s="1"/>
      <c r="T13966" s="1"/>
      <c r="U13966" s="1"/>
      <c r="V13966" s="1"/>
      <c r="W13966" s="1"/>
      <c r="X13966" s="1"/>
      <c r="Y13966" s="1"/>
      <c r="Z13966" s="1"/>
      <c r="AA13966" s="1"/>
      <c r="AB13966" s="1"/>
    </row>
    <row r="13967" ht="50.25" customHeight="1">
      <c r="A13967" s="12">
        <v>13963.0</v>
      </c>
      <c r="B13967" s="13" t="s">
        <v>13197</v>
      </c>
      <c r="C13967" s="14" t="s">
        <v>13200</v>
      </c>
      <c r="D13967" s="1"/>
      <c r="E13967" s="1"/>
      <c r="F13967" s="1" t="str">
        <f>IFERROR(__xludf.DUMMYFUNCTION("GOOGLETRANSLATE(B13967, ""en"", ""fa"")
"),"اتوماسیون یوتیوب")</f>
        <v>اتوماسیون یوتیوب</v>
      </c>
      <c r="G13967" s="1" t="str">
        <f>IFERROR(__xludf.DUMMYFUNCTION("GOOGLETRANSLATE(C13967, ""en"", ""fa"")
"),"چگونه بهینه سازی خودکار کلمات کلیدی را برای عناوین ویدیوی خود پیاده سازی کنیم؟")</f>
        <v>چگونه بهینه سازی خودکار کلمات کلیدی را برای عناوین ویدیوی خود پیاده سازی کنیم؟</v>
      </c>
      <c r="H13967" s="1"/>
      <c r="I13967" s="1"/>
      <c r="J13967" s="1"/>
      <c r="K13967" s="1"/>
      <c r="L13967" s="1"/>
      <c r="M13967" s="1"/>
      <c r="N13967" s="1"/>
      <c r="O13967" s="1"/>
      <c r="P13967" s="1"/>
      <c r="Q13967" s="1"/>
      <c r="R13967" s="1"/>
      <c r="S13967" s="1"/>
      <c r="T13967" s="1"/>
      <c r="U13967" s="1"/>
      <c r="V13967" s="1"/>
      <c r="W13967" s="1"/>
      <c r="X13967" s="1"/>
      <c r="Y13967" s="1"/>
      <c r="Z13967" s="1"/>
      <c r="AA13967" s="1"/>
      <c r="AB13967" s="1"/>
    </row>
    <row r="13968" ht="50.25" customHeight="1">
      <c r="A13968" s="12">
        <v>13964.0</v>
      </c>
      <c r="B13968" s="13" t="s">
        <v>13197</v>
      </c>
      <c r="C13968" s="14" t="s">
        <v>13201</v>
      </c>
      <c r="D13968" s="1"/>
      <c r="E13968" s="1"/>
      <c r="F13968" s="1" t="str">
        <f>IFERROR(__xludf.DUMMYFUNCTION("GOOGLETRANSLATE(B13968, ""en"", ""fa"")
"),"اتوماسیون یوتیوب")</f>
        <v>اتوماسیون یوتیوب</v>
      </c>
      <c r="G13968" s="1" t="str">
        <f>IFERROR(__xludf.DUMMYFUNCTION("GOOGLETRANSLATE(C13968, ""en"", ""fa"")
"),"چگونه یک برنامه خودکار انتشار ویدیو برای تحویل مداوم محتوا ایجاد کنیم؟")</f>
        <v>چگونه یک برنامه خودکار انتشار ویدیو برای تحویل مداوم محتوا ایجاد کنیم؟</v>
      </c>
      <c r="H13968" s="1"/>
      <c r="I13968" s="1"/>
      <c r="J13968" s="1"/>
      <c r="K13968" s="1"/>
      <c r="L13968" s="1"/>
      <c r="M13968" s="1"/>
      <c r="N13968" s="1"/>
      <c r="O13968" s="1"/>
      <c r="P13968" s="1"/>
      <c r="Q13968" s="1"/>
      <c r="R13968" s="1"/>
      <c r="S13968" s="1"/>
      <c r="T13968" s="1"/>
      <c r="U13968" s="1"/>
      <c r="V13968" s="1"/>
      <c r="W13968" s="1"/>
      <c r="X13968" s="1"/>
      <c r="Y13968" s="1"/>
      <c r="Z13968" s="1"/>
      <c r="AA13968" s="1"/>
      <c r="AB13968" s="1"/>
    </row>
    <row r="13969" ht="50.25" customHeight="1">
      <c r="A13969" s="12">
        <v>13965.0</v>
      </c>
      <c r="B13969" s="13" t="s">
        <v>13197</v>
      </c>
      <c r="C13969" s="14" t="s">
        <v>13202</v>
      </c>
      <c r="D13969" s="1"/>
      <c r="E13969" s="1"/>
      <c r="F13969" s="1" t="str">
        <f>IFERROR(__xludf.DUMMYFUNCTION("GOOGLETRANSLATE(B13969, ""en"", ""fa"")
"),"اتوماسیون یوتیوب")</f>
        <v>اتوماسیون یوتیوب</v>
      </c>
      <c r="G13969" s="1" t="str">
        <f>IFERROR(__xludf.DUMMYFUNCTION("GOOGLETRANSLATE(C13969, ""en"", ""fa"")
"),"چگونه از تجزیه و تحلیل خودکار برای شناسایی نقاط افت بیننده در ویدیوهای خود استفاده کنید؟")</f>
        <v>چگونه از تجزیه و تحلیل خودکار برای شناسایی نقاط افت بیننده در ویدیوهای خود استفاده کنید؟</v>
      </c>
      <c r="H13969" s="1"/>
      <c r="I13969" s="1"/>
      <c r="J13969" s="1"/>
      <c r="K13969" s="1"/>
      <c r="L13969" s="1"/>
      <c r="M13969" s="1"/>
      <c r="N13969" s="1"/>
      <c r="O13969" s="1"/>
      <c r="P13969" s="1"/>
      <c r="Q13969" s="1"/>
      <c r="R13969" s="1"/>
      <c r="S13969" s="1"/>
      <c r="T13969" s="1"/>
      <c r="U13969" s="1"/>
      <c r="V13969" s="1"/>
      <c r="W13969" s="1"/>
      <c r="X13969" s="1"/>
      <c r="Y13969" s="1"/>
      <c r="Z13969" s="1"/>
      <c r="AA13969" s="1"/>
      <c r="AB13969" s="1"/>
    </row>
    <row r="13970" ht="50.25" customHeight="1">
      <c r="A13970" s="12">
        <v>13966.0</v>
      </c>
      <c r="B13970" s="13" t="s">
        <v>13197</v>
      </c>
      <c r="C13970" s="14" t="s">
        <v>13203</v>
      </c>
      <c r="D13970" s="1"/>
      <c r="E13970" s="1"/>
      <c r="F13970" s="1" t="str">
        <f>IFERROR(__xludf.DUMMYFUNCTION("GOOGLETRANSLATE(B13970, ""en"", ""fa"")
"),"اتوماسیون یوتیوب")</f>
        <v>اتوماسیون یوتیوب</v>
      </c>
      <c r="G13970" s="1" t="str">
        <f>IFERROR(__xludf.DUMMYFUNCTION("GOOGLETRANSLATE(C13970, ""en"", ""fa"")
"),"چگونه می توان ردیابی خودکار کلمات کلیدی را برای نظارت بر رتبه بندی جستجوی ویدیوی خود تنظیم کرد؟")</f>
        <v>چگونه می توان ردیابی خودکار کلمات کلیدی را برای نظارت بر رتبه بندی جستجوی ویدیوی خود تنظیم کرد؟</v>
      </c>
      <c r="H13970" s="1"/>
      <c r="I13970" s="1"/>
      <c r="J13970" s="1"/>
      <c r="K13970" s="1"/>
      <c r="L13970" s="1"/>
      <c r="M13970" s="1"/>
      <c r="N13970" s="1"/>
      <c r="O13970" s="1"/>
      <c r="P13970" s="1"/>
      <c r="Q13970" s="1"/>
      <c r="R13970" s="1"/>
      <c r="S13970" s="1"/>
      <c r="T13970" s="1"/>
      <c r="U13970" s="1"/>
      <c r="V13970" s="1"/>
      <c r="W13970" s="1"/>
      <c r="X13970" s="1"/>
      <c r="Y13970" s="1"/>
      <c r="Z13970" s="1"/>
      <c r="AA13970" s="1"/>
      <c r="AB13970" s="1"/>
    </row>
    <row r="13971" ht="50.25" customHeight="1">
      <c r="A13971" s="12">
        <v>13967.0</v>
      </c>
      <c r="B13971" s="13" t="s">
        <v>13197</v>
      </c>
      <c r="C13971" s="14" t="s">
        <v>13204</v>
      </c>
      <c r="D13971" s="1"/>
      <c r="E13971" s="1"/>
      <c r="F13971" s="1" t="str">
        <f>IFERROR(__xludf.DUMMYFUNCTION("GOOGLETRANSLATE(B13971, ""en"", ""fa"")
"),"اتوماسیون یوتیوب")</f>
        <v>اتوماسیون یوتیوب</v>
      </c>
      <c r="G13971" s="1" t="str">
        <f>IFERROR(__xludf.DUMMYFUNCTION("GOOGLETRANSLATE(C13971, ""en"", ""fa"")
"),"چگونه می توان از تقسیم بندی خودکار مشترکین برای توصیه های ویدیویی هدفمند استفاده کرد؟")</f>
        <v>چگونه می توان از تقسیم بندی خودکار مشترکین برای توصیه های ویدیویی هدفمند استفاده کرد؟</v>
      </c>
      <c r="H13971" s="1"/>
      <c r="I13971" s="1"/>
      <c r="J13971" s="1"/>
      <c r="K13971" s="1"/>
      <c r="L13971" s="1"/>
      <c r="M13971" s="1"/>
      <c r="N13971" s="1"/>
      <c r="O13971" s="1"/>
      <c r="P13971" s="1"/>
      <c r="Q13971" s="1"/>
      <c r="R13971" s="1"/>
      <c r="S13971" s="1"/>
      <c r="T13971" s="1"/>
      <c r="U13971" s="1"/>
      <c r="V13971" s="1"/>
      <c r="W13971" s="1"/>
      <c r="X13971" s="1"/>
      <c r="Y13971" s="1"/>
      <c r="Z13971" s="1"/>
      <c r="AA13971" s="1"/>
      <c r="AB13971" s="1"/>
    </row>
    <row r="13972" ht="50.25" customHeight="1">
      <c r="A13972" s="12">
        <v>13968.0</v>
      </c>
      <c r="B13972" s="13" t="s">
        <v>13197</v>
      </c>
      <c r="C13972" s="14" t="s">
        <v>13205</v>
      </c>
      <c r="D13972" s="1"/>
      <c r="E13972" s="1"/>
      <c r="F13972" s="1" t="str">
        <f>IFERROR(__xludf.DUMMYFUNCTION("GOOGLETRANSLATE(B13972, ""en"", ""fa"")
"),"اتوماسیون یوتیوب")</f>
        <v>اتوماسیون یوتیوب</v>
      </c>
      <c r="G13972" s="1" t="str">
        <f>IFERROR(__xludf.DUMMYFUNCTION("GOOGLETRANSLATE(C13972, ""en"", ""fa"")
"),"چگونه تجزیه و تحلیل خودکار رقبا را برای اصلاح استراتژی محتوای خود پیاده سازی کنیم؟")</f>
        <v>چگونه تجزیه و تحلیل خودکار رقبا را برای اصلاح استراتژی محتوای خود پیاده سازی کنیم؟</v>
      </c>
      <c r="H13972" s="1"/>
      <c r="I13972" s="1"/>
      <c r="J13972" s="1"/>
      <c r="K13972" s="1"/>
      <c r="L13972" s="1"/>
      <c r="M13972" s="1"/>
      <c r="N13972" s="1"/>
      <c r="O13972" s="1"/>
      <c r="P13972" s="1"/>
      <c r="Q13972" s="1"/>
      <c r="R13972" s="1"/>
      <c r="S13972" s="1"/>
      <c r="T13972" s="1"/>
      <c r="U13972" s="1"/>
      <c r="V13972" s="1"/>
      <c r="W13972" s="1"/>
      <c r="X13972" s="1"/>
      <c r="Y13972" s="1"/>
      <c r="Z13972" s="1"/>
      <c r="AA13972" s="1"/>
      <c r="AB13972" s="1"/>
    </row>
    <row r="13973" ht="50.25" customHeight="1">
      <c r="A13973" s="12">
        <v>13969.0</v>
      </c>
      <c r="B13973" s="13" t="s">
        <v>13197</v>
      </c>
      <c r="C13973" s="14" t="s">
        <v>13206</v>
      </c>
      <c r="D13973" s="1"/>
      <c r="E13973" s="1"/>
      <c r="F13973" s="1" t="str">
        <f>IFERROR(__xludf.DUMMYFUNCTION("GOOGLETRANSLATE(B13973, ""en"", ""fa"")
"),"اتوماسیون یوتیوب")</f>
        <v>اتوماسیون یوتیوب</v>
      </c>
      <c r="G13973" s="1" t="str">
        <f>IFERROR(__xludf.DUMMYFUNCTION("GOOGLETRANSLATE(C13973, ""en"", ""fa"")
"),"چگونه برای مشترکین خود توصیه های ویدیویی شخصی سازی شده خودکار ایجاد کنیم؟")</f>
        <v>چگونه برای مشترکین خود توصیه های ویدیویی شخصی سازی شده خودکار ایجاد کنیم؟</v>
      </c>
      <c r="H13973" s="1"/>
      <c r="I13973" s="1"/>
      <c r="J13973" s="1"/>
      <c r="K13973" s="1"/>
      <c r="L13973" s="1"/>
      <c r="M13973" s="1"/>
      <c r="N13973" s="1"/>
      <c r="O13973" s="1"/>
      <c r="P13973" s="1"/>
      <c r="Q13973" s="1"/>
      <c r="R13973" s="1"/>
      <c r="S13973" s="1"/>
      <c r="T13973" s="1"/>
      <c r="U13973" s="1"/>
      <c r="V13973" s="1"/>
      <c r="W13973" s="1"/>
      <c r="X13973" s="1"/>
      <c r="Y13973" s="1"/>
      <c r="Z13973" s="1"/>
      <c r="AA13973" s="1"/>
      <c r="AB13973" s="1"/>
    </row>
    <row r="13974" ht="50.25" customHeight="1">
      <c r="A13974" s="12">
        <v>13970.0</v>
      </c>
      <c r="B13974" s="13" t="s">
        <v>13197</v>
      </c>
      <c r="C13974" s="14" t="s">
        <v>13207</v>
      </c>
      <c r="D13974" s="1"/>
      <c r="E13974" s="1"/>
      <c r="F13974" s="1" t="str">
        <f>IFERROR(__xludf.DUMMYFUNCTION("GOOGLETRANSLATE(B13974, ""en"", ""fa"")
"),"اتوماسیون یوتیوب")</f>
        <v>اتوماسیون یوتیوب</v>
      </c>
      <c r="G13974" s="1" t="str">
        <f>IFERROR(__xludf.DUMMYFUNCTION("GOOGLETRANSLATE(C13974, ""en"", ""fa"")
"),"چگونه از معیارهای تعامل خودکار برای بهبود حفظ ویدیو استفاده کنیم؟")</f>
        <v>چگونه از معیارهای تعامل خودکار برای بهبود حفظ ویدیو استفاده کنیم؟</v>
      </c>
      <c r="H13974" s="1"/>
      <c r="I13974" s="1"/>
      <c r="J13974" s="1"/>
      <c r="K13974" s="1"/>
      <c r="L13974" s="1"/>
      <c r="M13974" s="1"/>
      <c r="N13974" s="1"/>
      <c r="O13974" s="1"/>
      <c r="P13974" s="1"/>
      <c r="Q13974" s="1"/>
      <c r="R13974" s="1"/>
      <c r="S13974" s="1"/>
      <c r="T13974" s="1"/>
      <c r="U13974" s="1"/>
      <c r="V13974" s="1"/>
      <c r="W13974" s="1"/>
      <c r="X13974" s="1"/>
      <c r="Y13974" s="1"/>
      <c r="Z13974" s="1"/>
      <c r="AA13974" s="1"/>
      <c r="AB13974" s="1"/>
    </row>
    <row r="13975" ht="50.25" customHeight="1">
      <c r="A13975" s="12">
        <v>13971.0</v>
      </c>
      <c r="B13975" s="13" t="s">
        <v>13197</v>
      </c>
      <c r="C13975" s="14" t="s">
        <v>13208</v>
      </c>
      <c r="D13975" s="1"/>
      <c r="E13975" s="1"/>
      <c r="F13975" s="1" t="str">
        <f>IFERROR(__xludf.DUMMYFUNCTION("GOOGLETRANSLATE(B13975, ""en"", ""fa"")
"),"اتوماسیون یوتیوب")</f>
        <v>اتوماسیون یوتیوب</v>
      </c>
      <c r="G13975" s="1" t="str">
        <f>IFERROR(__xludf.DUMMYFUNCTION("GOOGLETRANSLATE(C13975, ""en"", ""fa"")
"),"چگونه گردش کار تأیید محتوا خودکار را برای ویدیوهای مشترک تنظیم کنیم؟")</f>
        <v>چگونه گردش کار تأیید محتوا خودکار را برای ویدیوهای مشترک تنظیم کنیم؟</v>
      </c>
      <c r="H13975" s="1"/>
      <c r="I13975" s="1"/>
      <c r="J13975" s="1"/>
      <c r="K13975" s="1"/>
      <c r="L13975" s="1"/>
      <c r="M13975" s="1"/>
      <c r="N13975" s="1"/>
      <c r="O13975" s="1"/>
      <c r="P13975" s="1"/>
      <c r="Q13975" s="1"/>
      <c r="R13975" s="1"/>
      <c r="S13975" s="1"/>
      <c r="T13975" s="1"/>
      <c r="U13975" s="1"/>
      <c r="V13975" s="1"/>
      <c r="W13975" s="1"/>
      <c r="X13975" s="1"/>
      <c r="Y13975" s="1"/>
      <c r="Z13975" s="1"/>
      <c r="AA13975" s="1"/>
      <c r="AB13975" s="1"/>
    </row>
    <row r="13976" ht="50.25" customHeight="1">
      <c r="A13976" s="12">
        <v>13972.0</v>
      </c>
      <c r="B13976" s="13" t="s">
        <v>13197</v>
      </c>
      <c r="C13976" s="14" t="s">
        <v>13209</v>
      </c>
      <c r="D13976" s="1"/>
      <c r="E13976" s="1"/>
      <c r="F13976" s="1" t="str">
        <f>IFERROR(__xludf.DUMMYFUNCTION("GOOGLETRANSLATE(B13976, ""en"", ""fa"")
"),"اتوماسیون یوتیوب")</f>
        <v>اتوماسیون یوتیوب</v>
      </c>
      <c r="G13976" s="1" t="str">
        <f>IFERROR(__xludf.DUMMYFUNCTION("GOOGLETRANSLATE(C13976, ""en"", ""fa"")
"),"چگونه از بازخورد خودکار مخاطبان برای اصلاح محتوای ویدیوی خود استفاده کنیم؟")</f>
        <v>چگونه از بازخورد خودکار مخاطبان برای اصلاح محتوای ویدیوی خود استفاده کنیم؟</v>
      </c>
      <c r="H13976" s="1"/>
      <c r="I13976" s="1"/>
      <c r="J13976" s="1"/>
      <c r="K13976" s="1"/>
      <c r="L13976" s="1"/>
      <c r="M13976" s="1"/>
      <c r="N13976" s="1"/>
      <c r="O13976" s="1"/>
      <c r="P13976" s="1"/>
      <c r="Q13976" s="1"/>
      <c r="R13976" s="1"/>
      <c r="S13976" s="1"/>
      <c r="T13976" s="1"/>
      <c r="U13976" s="1"/>
      <c r="V13976" s="1"/>
      <c r="W13976" s="1"/>
      <c r="X13976" s="1"/>
      <c r="Y13976" s="1"/>
      <c r="Z13976" s="1"/>
      <c r="AA13976" s="1"/>
      <c r="AB13976" s="1"/>
    </row>
    <row r="13977" ht="50.25" customHeight="1">
      <c r="A13977" s="12">
        <v>13973.0</v>
      </c>
      <c r="B13977" s="13" t="s">
        <v>13197</v>
      </c>
      <c r="C13977" s="14" t="s">
        <v>13210</v>
      </c>
      <c r="D13977" s="1"/>
      <c r="E13977" s="1"/>
      <c r="F13977" s="1" t="str">
        <f>IFERROR(__xludf.DUMMYFUNCTION("GOOGLETRANSLATE(B13977, ""en"", ""fa"")
"),"اتوماسیون یوتیوب")</f>
        <v>اتوماسیون یوتیوب</v>
      </c>
      <c r="G13977" s="1" t="str">
        <f>IFERROR(__xludf.DUMMYFUNCTION("GOOGLETRANSLATE(C13977, ""en"", ""fa"")
"),"چگونه می توان محلی سازی خودکار ویدیو را برای دسترسی مخاطبان جهانی پیاده سازی کرد؟")</f>
        <v>چگونه می توان محلی سازی خودکار ویدیو را برای دسترسی مخاطبان جهانی پیاده سازی کرد؟</v>
      </c>
      <c r="H13977" s="1"/>
      <c r="I13977" s="1"/>
      <c r="J13977" s="1"/>
      <c r="K13977" s="1"/>
      <c r="L13977" s="1"/>
      <c r="M13977" s="1"/>
      <c r="N13977" s="1"/>
      <c r="O13977" s="1"/>
      <c r="P13977" s="1"/>
      <c r="Q13977" s="1"/>
      <c r="R13977" s="1"/>
      <c r="S13977" s="1"/>
      <c r="T13977" s="1"/>
      <c r="U13977" s="1"/>
      <c r="V13977" s="1"/>
      <c r="W13977" s="1"/>
      <c r="X13977" s="1"/>
      <c r="Y13977" s="1"/>
      <c r="Z13977" s="1"/>
      <c r="AA13977" s="1"/>
      <c r="AB13977" s="1"/>
    </row>
    <row r="13978" ht="50.25" customHeight="1">
      <c r="A13978" s="12">
        <v>13974.0</v>
      </c>
      <c r="B13978" s="13" t="s">
        <v>13197</v>
      </c>
      <c r="C13978" s="14" t="s">
        <v>13211</v>
      </c>
      <c r="D13978" s="1"/>
      <c r="E13978" s="1"/>
      <c r="F13978" s="1" t="str">
        <f>IFERROR(__xludf.DUMMYFUNCTION("GOOGLETRANSLATE(B13978, ""en"", ""fa"")
"),"اتوماسیون یوتیوب")</f>
        <v>اتوماسیون یوتیوب</v>
      </c>
      <c r="G13978" s="1" t="str">
        <f>IFERROR(__xludf.DUMMYFUNCTION("GOOGLETRANSLATE(C13978, ""en"", ""fa"")
"),"چگونه برای ثبات نام تجاری، ورودی و خروجی ویدیویی خودکار ایجاد کنیم؟")</f>
        <v>چگونه برای ثبات نام تجاری، ورودی و خروجی ویدیویی خودکار ایجاد کنیم؟</v>
      </c>
      <c r="H13978" s="1"/>
      <c r="I13978" s="1"/>
      <c r="J13978" s="1"/>
      <c r="K13978" s="1"/>
      <c r="L13978" s="1"/>
      <c r="M13978" s="1"/>
      <c r="N13978" s="1"/>
      <c r="O13978" s="1"/>
      <c r="P13978" s="1"/>
      <c r="Q13978" s="1"/>
      <c r="R13978" s="1"/>
      <c r="S13978" s="1"/>
      <c r="T13978" s="1"/>
      <c r="U13978" s="1"/>
      <c r="V13978" s="1"/>
      <c r="W13978" s="1"/>
      <c r="X13978" s="1"/>
      <c r="Y13978" s="1"/>
      <c r="Z13978" s="1"/>
      <c r="AA13978" s="1"/>
      <c r="AB13978" s="1"/>
    </row>
    <row r="13979" ht="50.25" customHeight="1">
      <c r="A13979" s="12">
        <v>13975.0</v>
      </c>
      <c r="B13979" s="13" t="s">
        <v>13197</v>
      </c>
      <c r="C13979" s="14" t="s">
        <v>13212</v>
      </c>
      <c r="D13979" s="1"/>
      <c r="E13979" s="1"/>
      <c r="F13979" s="1" t="str">
        <f>IFERROR(__xludf.DUMMYFUNCTION("GOOGLETRANSLATE(B13979, ""en"", ""fa"")
"),"اتوماسیون یوتیوب")</f>
        <v>اتوماسیون یوتیوب</v>
      </c>
      <c r="G13979" s="1" t="str">
        <f>IFERROR(__xludf.DUMMYFUNCTION("GOOGLETRANSLATE(C13979, ""en"", ""fa"")
"),"چگونه از واکنش‌ها و پاسخ‌های ویدیویی خودکار به نظرات بینندگان استفاده کنیم؟")</f>
        <v>چگونه از واکنش‌ها و پاسخ‌های ویدیویی خودکار به نظرات بینندگان استفاده کنیم؟</v>
      </c>
      <c r="H13979" s="1"/>
      <c r="I13979" s="1"/>
      <c r="J13979" s="1"/>
      <c r="K13979" s="1"/>
      <c r="L13979" s="1"/>
      <c r="M13979" s="1"/>
      <c r="N13979" s="1"/>
      <c r="O13979" s="1"/>
      <c r="P13979" s="1"/>
      <c r="Q13979" s="1"/>
      <c r="R13979" s="1"/>
      <c r="S13979" s="1"/>
      <c r="T13979" s="1"/>
      <c r="U13979" s="1"/>
      <c r="V13979" s="1"/>
      <c r="W13979" s="1"/>
      <c r="X13979" s="1"/>
      <c r="Y13979" s="1"/>
      <c r="Z13979" s="1"/>
      <c r="AA13979" s="1"/>
      <c r="AB13979" s="1"/>
    </row>
    <row r="13980" ht="50.25" customHeight="1">
      <c r="A13980" s="12">
        <v>13976.0</v>
      </c>
      <c r="B13980" s="13" t="s">
        <v>13197</v>
      </c>
      <c r="C13980" s="14" t="s">
        <v>13213</v>
      </c>
      <c r="D13980" s="1"/>
      <c r="E13980" s="1"/>
      <c r="F13980" s="1" t="str">
        <f>IFERROR(__xludf.DUMMYFUNCTION("GOOGLETRANSLATE(B13980, ""en"", ""fa"")
"),"اتوماسیون یوتیوب")</f>
        <v>اتوماسیون یوتیوب</v>
      </c>
      <c r="G13980" s="1" t="str">
        <f>IFERROR(__xludf.DUMMYFUNCTION("GOOGLETRANSLATE(C13980, ""en"", ""fa"")
"),"چگونه برای کسب درآمد از محتوای خود، مکان‌های تبلیغات ویدیویی خودکار را تنظیم کنیم؟")</f>
        <v>چگونه برای کسب درآمد از محتوای خود، مکان‌های تبلیغات ویدیویی خودکار را تنظیم کنیم؟</v>
      </c>
      <c r="H13980" s="1"/>
      <c r="I13980" s="1"/>
      <c r="J13980" s="1"/>
      <c r="K13980" s="1"/>
      <c r="L13980" s="1"/>
      <c r="M13980" s="1"/>
      <c r="N13980" s="1"/>
      <c r="O13980" s="1"/>
      <c r="P13980" s="1"/>
      <c r="Q13980" s="1"/>
      <c r="R13980" s="1"/>
      <c r="S13980" s="1"/>
      <c r="T13980" s="1"/>
      <c r="U13980" s="1"/>
      <c r="V13980" s="1"/>
      <c r="W13980" s="1"/>
      <c r="X13980" s="1"/>
      <c r="Y13980" s="1"/>
      <c r="Z13980" s="1"/>
      <c r="AA13980" s="1"/>
      <c r="AB13980" s="1"/>
    </row>
    <row r="13981" ht="50.25" customHeight="1">
      <c r="A13981" s="12">
        <v>13977.0</v>
      </c>
      <c r="B13981" s="13" t="s">
        <v>13197</v>
      </c>
      <c r="C13981" s="14" t="s">
        <v>13214</v>
      </c>
      <c r="D13981" s="1"/>
      <c r="E13981" s="1"/>
      <c r="F13981" s="1" t="str">
        <f>IFERROR(__xludf.DUMMYFUNCTION("GOOGLETRANSLATE(B13981, ""en"", ""fa"")
"),"اتوماسیون یوتیوب")</f>
        <v>اتوماسیون یوتیوب</v>
      </c>
      <c r="G13981" s="1" t="str">
        <f>IFERROR(__xludf.DUMMYFUNCTION("GOOGLETRANSLATE(C13981, ""en"", ""fa"")
"),"چگونه از گزارش‌های عملکرد ویدئویی خودکار برای حمایت‌ها و مشارکت‌ها استفاده کنیم؟")</f>
        <v>چگونه از گزارش‌های عملکرد ویدئویی خودکار برای حمایت‌ها و مشارکت‌ها استفاده کنیم؟</v>
      </c>
      <c r="H13981" s="1"/>
      <c r="I13981" s="1"/>
      <c r="J13981" s="1"/>
      <c r="K13981" s="1"/>
      <c r="L13981" s="1"/>
      <c r="M13981" s="1"/>
      <c r="N13981" s="1"/>
      <c r="O13981" s="1"/>
      <c r="P13981" s="1"/>
      <c r="Q13981" s="1"/>
      <c r="R13981" s="1"/>
      <c r="S13981" s="1"/>
      <c r="T13981" s="1"/>
      <c r="U13981" s="1"/>
      <c r="V13981" s="1"/>
      <c r="W13981" s="1"/>
      <c r="X13981" s="1"/>
      <c r="Y13981" s="1"/>
      <c r="Z13981" s="1"/>
      <c r="AA13981" s="1"/>
      <c r="AB13981" s="1"/>
    </row>
    <row r="13982" ht="50.25" customHeight="1">
      <c r="A13982" s="12">
        <v>13978.0</v>
      </c>
      <c r="B13982" s="13" t="s">
        <v>13197</v>
      </c>
      <c r="C13982" s="14" t="s">
        <v>13215</v>
      </c>
      <c r="D13982" s="1"/>
      <c r="E13982" s="1"/>
      <c r="F13982" s="1" t="str">
        <f>IFERROR(__xludf.DUMMYFUNCTION("GOOGLETRANSLATE(B13982, ""en"", ""fa"")
"),"اتوماسیون یوتیوب")</f>
        <v>اتوماسیون یوتیوب</v>
      </c>
      <c r="G13982" s="1" t="str">
        <f>IFERROR(__xludf.DUMMYFUNCTION("GOOGLETRANSLATE(C13982, ""en"", ""fa"")
"),"چگونه می توان تنظیمات پخش مستقیم یوتیوب را برای پخش بدون درز پیاده سازی کرد؟")</f>
        <v>چگونه می توان تنظیمات پخش مستقیم یوتیوب را برای پخش بدون درز پیاده سازی کرد؟</v>
      </c>
      <c r="H13982" s="1"/>
      <c r="I13982" s="1"/>
      <c r="J13982" s="1"/>
      <c r="K13982" s="1"/>
      <c r="L13982" s="1"/>
      <c r="M13982" s="1"/>
      <c r="N13982" s="1"/>
      <c r="O13982" s="1"/>
      <c r="P13982" s="1"/>
      <c r="Q13982" s="1"/>
      <c r="R13982" s="1"/>
      <c r="S13982" s="1"/>
      <c r="T13982" s="1"/>
      <c r="U13982" s="1"/>
      <c r="V13982" s="1"/>
      <c r="W13982" s="1"/>
      <c r="X13982" s="1"/>
      <c r="Y13982" s="1"/>
      <c r="Z13982" s="1"/>
      <c r="AA13982" s="1"/>
      <c r="AB13982" s="1"/>
    </row>
    <row r="13983" ht="50.25" customHeight="1">
      <c r="A13983" s="12">
        <v>13979.0</v>
      </c>
      <c r="B13983" s="13" t="s">
        <v>13197</v>
      </c>
      <c r="C13983" s="14" t="s">
        <v>13216</v>
      </c>
      <c r="D13983" s="1"/>
      <c r="E13983" s="1"/>
      <c r="F13983" s="1" t="str">
        <f>IFERROR(__xludf.DUMMYFUNCTION("GOOGLETRANSLATE(B13983, ""en"", ""fa"")
"),"اتوماسیون یوتیوب")</f>
        <v>اتوماسیون یوتیوب</v>
      </c>
      <c r="G13983" s="1" t="str">
        <f>IFERROR(__xludf.DUMMYFUNCTION("GOOGLETRANSLATE(C13983, ""en"", ""fa"")
"),"چگونه با استفاده از ابزارهای تولید محتوای مبتنی بر هوش مصنوعی، اسکریپت های ویدیویی خودکار ایجاد کنیم؟")</f>
        <v>چگونه با استفاده از ابزارهای تولید محتوای مبتنی بر هوش مصنوعی، اسکریپت های ویدیویی خودکار ایجاد کنیم؟</v>
      </c>
      <c r="H13983" s="1"/>
      <c r="I13983" s="1"/>
      <c r="J13983" s="1"/>
      <c r="K13983" s="1"/>
      <c r="L13983" s="1"/>
      <c r="M13983" s="1"/>
      <c r="N13983" s="1"/>
      <c r="O13983" s="1"/>
      <c r="P13983" s="1"/>
      <c r="Q13983" s="1"/>
      <c r="R13983" s="1"/>
      <c r="S13983" s="1"/>
      <c r="T13983" s="1"/>
      <c r="U13983" s="1"/>
      <c r="V13983" s="1"/>
      <c r="W13983" s="1"/>
      <c r="X13983" s="1"/>
      <c r="Y13983" s="1"/>
      <c r="Z13983" s="1"/>
      <c r="AA13983" s="1"/>
      <c r="AB13983" s="1"/>
    </row>
    <row r="13984" ht="50.25" customHeight="1">
      <c r="A13984" s="12">
        <v>13980.0</v>
      </c>
      <c r="B13984" s="13" t="s">
        <v>13197</v>
      </c>
      <c r="C13984" s="14" t="s">
        <v>13217</v>
      </c>
      <c r="D13984" s="1"/>
      <c r="E13984" s="1"/>
      <c r="F13984" s="1" t="str">
        <f>IFERROR(__xludf.DUMMYFUNCTION("GOOGLETRANSLATE(B13984, ""en"", ""fa"")
"),"اتوماسیون یوتیوب")</f>
        <v>اتوماسیون یوتیوب</v>
      </c>
      <c r="G13984" s="1" t="str">
        <f>IFERROR(__xludf.DUMMYFUNCTION("GOOGLETRANSLATE(C13984, ""en"", ""fa"")
"),"چگونه می توان از تعامل ویدیویی خودکار برای تقویت توصیه های الگوریتم استفاده کرد؟")</f>
        <v>چگونه می توان از تعامل ویدیویی خودکار برای تقویت توصیه های الگوریتم استفاده کرد؟</v>
      </c>
      <c r="H13984" s="1"/>
      <c r="I13984" s="1"/>
      <c r="J13984" s="1"/>
      <c r="K13984" s="1"/>
      <c r="L13984" s="1"/>
      <c r="M13984" s="1"/>
      <c r="N13984" s="1"/>
      <c r="O13984" s="1"/>
      <c r="P13984" s="1"/>
      <c r="Q13984" s="1"/>
      <c r="R13984" s="1"/>
      <c r="S13984" s="1"/>
      <c r="T13984" s="1"/>
      <c r="U13984" s="1"/>
      <c r="V13984" s="1"/>
      <c r="W13984" s="1"/>
      <c r="X13984" s="1"/>
      <c r="Y13984" s="1"/>
      <c r="Z13984" s="1"/>
      <c r="AA13984" s="1"/>
      <c r="AB13984" s="1"/>
    </row>
    <row r="13985" ht="50.25" customHeight="1">
      <c r="A13985" s="12">
        <v>13981.0</v>
      </c>
      <c r="B13985" s="13" t="s">
        <v>13197</v>
      </c>
      <c r="C13985" s="14" t="s">
        <v>13218</v>
      </c>
      <c r="D13985" s="1"/>
      <c r="E13985" s="1"/>
      <c r="F13985" s="1" t="str">
        <f>IFERROR(__xludf.DUMMYFUNCTION("GOOGLETRANSLATE(B13985, ""en"", ""fa"")
"),"اتوماسیون یوتیوب")</f>
        <v>اتوماسیون یوتیوب</v>
      </c>
      <c r="G13985" s="1" t="str">
        <f>IFERROR(__xludf.DUMMYFUNCTION("GOOGLETRANSLATE(C13985, ""en"", ""fa"")
"),"چگونه می توان پشتیبان گیری خودکار داده ها را برای کانال و محتوای YouTube خود تنظیم کرد؟")</f>
        <v>چگونه می توان پشتیبان گیری خودکار داده ها را برای کانال و محتوای YouTube خود تنظیم کرد؟</v>
      </c>
      <c r="H13985" s="1"/>
      <c r="I13985" s="1"/>
      <c r="J13985" s="1"/>
      <c r="K13985" s="1"/>
      <c r="L13985" s="1"/>
      <c r="M13985" s="1"/>
      <c r="N13985" s="1"/>
      <c r="O13985" s="1"/>
      <c r="P13985" s="1"/>
      <c r="Q13985" s="1"/>
      <c r="R13985" s="1"/>
      <c r="S13985" s="1"/>
      <c r="T13985" s="1"/>
      <c r="U13985" s="1"/>
      <c r="V13985" s="1"/>
      <c r="W13985" s="1"/>
      <c r="X13985" s="1"/>
      <c r="Y13985" s="1"/>
      <c r="Z13985" s="1"/>
      <c r="AA13985" s="1"/>
      <c r="AB13985" s="1"/>
    </row>
    <row r="13986" ht="50.25" customHeight="1">
      <c r="A13986" s="12">
        <v>13982.0</v>
      </c>
      <c r="B13986" s="13" t="s">
        <v>13197</v>
      </c>
      <c r="C13986" s="14" t="s">
        <v>13219</v>
      </c>
      <c r="D13986" s="1"/>
      <c r="E13986" s="1"/>
      <c r="F13986" s="1" t="str">
        <f>IFERROR(__xludf.DUMMYFUNCTION("GOOGLETRANSLATE(B13986, ""en"", ""fa"")
"),"اتوماسیون یوتیوب")</f>
        <v>اتوماسیون یوتیوب</v>
      </c>
      <c r="G13986" s="1" t="str">
        <f>IFERROR(__xludf.DUMMYFUNCTION("GOOGLETRANSLATE(C13986, ""en"", ""fa"")
"),"چگونه از ابزارهای خودکار برای ردیابی حق چاپ ویدیو و مالکیت محتوا استفاده کنیم؟")</f>
        <v>چگونه از ابزارهای خودکار برای ردیابی حق چاپ ویدیو و مالکیت محتوا استفاده کنیم؟</v>
      </c>
      <c r="H13986" s="1"/>
      <c r="I13986" s="1"/>
      <c r="J13986" s="1"/>
      <c r="K13986" s="1"/>
      <c r="L13986" s="1"/>
      <c r="M13986" s="1"/>
      <c r="N13986" s="1"/>
      <c r="O13986" s="1"/>
      <c r="P13986" s="1"/>
      <c r="Q13986" s="1"/>
      <c r="R13986" s="1"/>
      <c r="S13986" s="1"/>
      <c r="T13986" s="1"/>
      <c r="U13986" s="1"/>
      <c r="V13986" s="1"/>
      <c r="W13986" s="1"/>
      <c r="X13986" s="1"/>
      <c r="Y13986" s="1"/>
      <c r="Z13986" s="1"/>
      <c r="AA13986" s="1"/>
      <c r="AB13986" s="1"/>
    </row>
    <row r="13987" ht="50.25" customHeight="1">
      <c r="A13987" s="12">
        <v>13983.0</v>
      </c>
      <c r="B13987" s="13" t="s">
        <v>13197</v>
      </c>
      <c r="C13987" s="14" t="s">
        <v>13220</v>
      </c>
      <c r="D13987" s="1"/>
      <c r="E13987" s="1"/>
      <c r="F13987" s="1" t="str">
        <f>IFERROR(__xludf.DUMMYFUNCTION("GOOGLETRANSLATE(B13987, ""en"", ""fa"")
"),"اتوماسیون یوتیوب")</f>
        <v>اتوماسیون یوتیوب</v>
      </c>
      <c r="G13987" s="1" t="str">
        <f>IFERROR(__xludf.DUMMYFUNCTION("GOOGLETRANSLATE(C13987, ""en"", ""fa"")
"),"چگونه می توان نظرسنجی های خودکار مخاطب را برای جمع آوری اولویت های محتوا پیاده سازی کرد؟")</f>
        <v>چگونه می توان نظرسنجی های خودکار مخاطب را برای جمع آوری اولویت های محتوا پیاده سازی کرد؟</v>
      </c>
      <c r="H13987" s="1"/>
      <c r="I13987" s="1"/>
      <c r="J13987" s="1"/>
      <c r="K13987" s="1"/>
      <c r="L13987" s="1"/>
      <c r="M13987" s="1"/>
      <c r="N13987" s="1"/>
      <c r="O13987" s="1"/>
      <c r="P13987" s="1"/>
      <c r="Q13987" s="1"/>
      <c r="R13987" s="1"/>
      <c r="S13987" s="1"/>
      <c r="T13987" s="1"/>
      <c r="U13987" s="1"/>
      <c r="V13987" s="1"/>
      <c r="W13987" s="1"/>
      <c r="X13987" s="1"/>
      <c r="Y13987" s="1"/>
      <c r="Z13987" s="1"/>
      <c r="AA13987" s="1"/>
      <c r="AB13987" s="1"/>
    </row>
    <row r="13988" ht="50.25" customHeight="1">
      <c r="A13988" s="12">
        <v>13984.0</v>
      </c>
      <c r="B13988" s="13" t="s">
        <v>13197</v>
      </c>
      <c r="C13988" s="14" t="s">
        <v>13221</v>
      </c>
      <c r="D13988" s="1"/>
      <c r="E13988" s="1"/>
      <c r="F13988" s="1" t="str">
        <f>IFERROR(__xludf.DUMMYFUNCTION("GOOGLETRANSLATE(B13988, ""en"", ""fa"")
"),"اتوماسیون یوتیوب")</f>
        <v>اتوماسیون یوتیوب</v>
      </c>
      <c r="G13988" s="1" t="str">
        <f>IFERROR(__xludf.DUMMYFUNCTION("GOOGLETRANSLATE(C13988, ""en"", ""fa"")
"),"چگونه برای برنامه ریزی کارآمد، تقویم محتوای ویدیویی خودکار ایجاد کنیم؟")</f>
        <v>چگونه برای برنامه ریزی کارآمد، تقویم محتوای ویدیویی خودکار ایجاد کنیم؟</v>
      </c>
      <c r="H13988" s="1"/>
      <c r="I13988" s="1"/>
      <c r="J13988" s="1"/>
      <c r="K13988" s="1"/>
      <c r="L13988" s="1"/>
      <c r="M13988" s="1"/>
      <c r="N13988" s="1"/>
      <c r="O13988" s="1"/>
      <c r="P13988" s="1"/>
      <c r="Q13988" s="1"/>
      <c r="R13988" s="1"/>
      <c r="S13988" s="1"/>
      <c r="T13988" s="1"/>
      <c r="U13988" s="1"/>
      <c r="V13988" s="1"/>
      <c r="W13988" s="1"/>
      <c r="X13988" s="1"/>
      <c r="Y13988" s="1"/>
      <c r="Z13988" s="1"/>
      <c r="AA13988" s="1"/>
      <c r="AB13988" s="1"/>
    </row>
    <row r="13989" ht="50.25" customHeight="1">
      <c r="A13989" s="12">
        <v>13985.0</v>
      </c>
      <c r="B13989" s="13" t="s">
        <v>13197</v>
      </c>
      <c r="C13989" s="14" t="s">
        <v>13222</v>
      </c>
      <c r="D13989" s="1"/>
      <c r="E13989" s="1"/>
      <c r="F13989" s="1" t="str">
        <f>IFERROR(__xludf.DUMMYFUNCTION("GOOGLETRANSLATE(B13989, ""en"", ""fa"")
"),"اتوماسیون یوتیوب")</f>
        <v>اتوماسیون یوتیوب</v>
      </c>
      <c r="G13989" s="1" t="str">
        <f>IFERROR(__xludf.DUMMYFUNCTION("GOOGLETRANSLATE(C13989, ""en"", ""fa"")
"),"چگونه می توان از نظارت خودکار ویدئو برای حفظ یک جامعه مثبت استفاده کرد؟")</f>
        <v>چگونه می توان از نظارت خودکار ویدئو برای حفظ یک جامعه مثبت استفاده کرد؟</v>
      </c>
      <c r="H13989" s="1"/>
      <c r="I13989" s="1"/>
      <c r="J13989" s="1"/>
      <c r="K13989" s="1"/>
      <c r="L13989" s="1"/>
      <c r="M13989" s="1"/>
      <c r="N13989" s="1"/>
      <c r="O13989" s="1"/>
      <c r="P13989" s="1"/>
      <c r="Q13989" s="1"/>
      <c r="R13989" s="1"/>
      <c r="S13989" s="1"/>
      <c r="T13989" s="1"/>
      <c r="U13989" s="1"/>
      <c r="V13989" s="1"/>
      <c r="W13989" s="1"/>
      <c r="X13989" s="1"/>
      <c r="Y13989" s="1"/>
      <c r="Z13989" s="1"/>
      <c r="AA13989" s="1"/>
      <c r="AB13989" s="1"/>
    </row>
    <row r="13990" ht="50.25" customHeight="1">
      <c r="A13990" s="12">
        <v>13986.0</v>
      </c>
      <c r="B13990" s="13" t="s">
        <v>13197</v>
      </c>
      <c r="C13990" s="14" t="s">
        <v>13223</v>
      </c>
      <c r="D13990" s="1"/>
      <c r="E13990" s="1"/>
      <c r="F13990" s="1" t="str">
        <f>IFERROR(__xludf.DUMMYFUNCTION("GOOGLETRANSLATE(B13990, ""en"", ""fa"")
"),"اتوماسیون یوتیوب")</f>
        <v>اتوماسیون یوتیوب</v>
      </c>
      <c r="G13990" s="1" t="str">
        <f>IFERROR(__xludf.DUMMYFUNCTION("GOOGLETRANSLATE(C13990, ""en"", ""fa"")
"),"چگونه تبلیغات خودکار محتوای خود را برای هدایت ترافیک به ویدیوهای خود تنظیم کنید؟")</f>
        <v>چگونه تبلیغات خودکار محتوای خود را برای هدایت ترافیک به ویدیوهای خود تنظیم کنید؟</v>
      </c>
      <c r="H13990" s="1"/>
      <c r="I13990" s="1"/>
      <c r="J13990" s="1"/>
      <c r="K13990" s="1"/>
      <c r="L13990" s="1"/>
      <c r="M13990" s="1"/>
      <c r="N13990" s="1"/>
      <c r="O13990" s="1"/>
      <c r="P13990" s="1"/>
      <c r="Q13990" s="1"/>
      <c r="R13990" s="1"/>
      <c r="S13990" s="1"/>
      <c r="T13990" s="1"/>
      <c r="U13990" s="1"/>
      <c r="V13990" s="1"/>
      <c r="W13990" s="1"/>
      <c r="X13990" s="1"/>
      <c r="Y13990" s="1"/>
      <c r="Z13990" s="1"/>
      <c r="AA13990" s="1"/>
      <c r="AB13990" s="1"/>
    </row>
    <row r="13991" ht="50.25" customHeight="1">
      <c r="A13991" s="12">
        <v>13987.0</v>
      </c>
      <c r="B13991" s="13" t="s">
        <v>13197</v>
      </c>
      <c r="C13991" s="14" t="s">
        <v>13224</v>
      </c>
      <c r="D13991" s="1"/>
      <c r="E13991" s="1"/>
      <c r="F13991" s="1" t="str">
        <f>IFERROR(__xludf.DUMMYFUNCTION("GOOGLETRANSLATE(B13991, ""en"", ""fa"")
"),"اتوماسیون یوتیوب")</f>
        <v>اتوماسیون یوتیوب</v>
      </c>
      <c r="G13991" s="1" t="str">
        <f>IFERROR(__xludf.DUMMYFUNCTION("GOOGLETRANSLATE(C13991, ""en"", ""fa"")
"),"چگونه از ابزارهای خودکار همکاری ویدیویی برای ارتباط با سایر سازندگان استفاده کنیم؟")</f>
        <v>چگونه از ابزارهای خودکار همکاری ویدیویی برای ارتباط با سایر سازندگان استفاده کنیم؟</v>
      </c>
      <c r="H13991" s="1"/>
      <c r="I13991" s="1"/>
      <c r="J13991" s="1"/>
      <c r="K13991" s="1"/>
      <c r="L13991" s="1"/>
      <c r="M13991" s="1"/>
      <c r="N13991" s="1"/>
      <c r="O13991" s="1"/>
      <c r="P13991" s="1"/>
      <c r="Q13991" s="1"/>
      <c r="R13991" s="1"/>
      <c r="S13991" s="1"/>
      <c r="T13991" s="1"/>
      <c r="U13991" s="1"/>
      <c r="V13991" s="1"/>
      <c r="W13991" s="1"/>
      <c r="X13991" s="1"/>
      <c r="Y13991" s="1"/>
      <c r="Z13991" s="1"/>
      <c r="AA13991" s="1"/>
      <c r="AB13991" s="1"/>
    </row>
    <row r="13992" ht="50.25" customHeight="1">
      <c r="A13992" s="12">
        <v>13988.0</v>
      </c>
      <c r="B13992" s="13" t="s">
        <v>13197</v>
      </c>
      <c r="C13992" s="14" t="s">
        <v>13225</v>
      </c>
      <c r="D13992" s="1"/>
      <c r="E13992" s="1"/>
      <c r="F13992" s="1" t="str">
        <f>IFERROR(__xludf.DUMMYFUNCTION("GOOGLETRANSLATE(B13992, ""en"", ""fa"")
"),"اتوماسیون یوتیوب")</f>
        <v>اتوماسیون یوتیوب</v>
      </c>
      <c r="G13992" s="1" t="str">
        <f>IFERROR(__xludf.DUMMYFUNCTION("GOOGLETRANSLATE(C13992, ""en"", ""fa"")
"),"چگونه می توان برچسب گذاری خودکار ویدیو را برای قابلیت کشف بهتر پیاده سازی کرد؟")</f>
        <v>چگونه می توان برچسب گذاری خودکار ویدیو را برای قابلیت کشف بهتر پیاده سازی کرد؟</v>
      </c>
      <c r="H13992" s="1"/>
      <c r="I13992" s="1"/>
      <c r="J13992" s="1"/>
      <c r="K13992" s="1"/>
      <c r="L13992" s="1"/>
      <c r="M13992" s="1"/>
      <c r="N13992" s="1"/>
      <c r="O13992" s="1"/>
      <c r="P13992" s="1"/>
      <c r="Q13992" s="1"/>
      <c r="R13992" s="1"/>
      <c r="S13992" s="1"/>
      <c r="T13992" s="1"/>
      <c r="U13992" s="1"/>
      <c r="V13992" s="1"/>
      <c r="W13992" s="1"/>
      <c r="X13992" s="1"/>
      <c r="Y13992" s="1"/>
      <c r="Z13992" s="1"/>
      <c r="AA13992" s="1"/>
      <c r="AB13992" s="1"/>
    </row>
    <row r="13993" ht="50.25" customHeight="1">
      <c r="A13993" s="12">
        <v>13989.0</v>
      </c>
      <c r="B13993" s="13" t="s">
        <v>13197</v>
      </c>
      <c r="C13993" s="14" t="s">
        <v>13226</v>
      </c>
      <c r="D13993" s="1"/>
      <c r="E13993" s="1"/>
      <c r="F13993" s="1" t="str">
        <f>IFERROR(__xludf.DUMMYFUNCTION("GOOGLETRANSLATE(B13993, ""en"", ""fa"")
"),"اتوماسیون یوتیوب")</f>
        <v>اتوماسیون یوتیوب</v>
      </c>
      <c r="G13993" s="1" t="str">
        <f>IFERROR(__xludf.DUMMYFUNCTION("GOOGLETRANSLATE(C13993, ""en"", ""fa"")
"),"چگونه اعلان های به روز رسانی ویدیویی خودکار برای مشترکین خود ایجاد کنیم؟")</f>
        <v>چگونه اعلان های به روز رسانی ویدیویی خودکار برای مشترکین خود ایجاد کنیم؟</v>
      </c>
      <c r="H13993" s="1"/>
      <c r="I13993" s="1"/>
      <c r="J13993" s="1"/>
      <c r="K13993" s="1"/>
      <c r="L13993" s="1"/>
      <c r="M13993" s="1"/>
      <c r="N13993" s="1"/>
      <c r="O13993" s="1"/>
      <c r="P13993" s="1"/>
      <c r="Q13993" s="1"/>
      <c r="R13993" s="1"/>
      <c r="S13993" s="1"/>
      <c r="T13993" s="1"/>
      <c r="U13993" s="1"/>
      <c r="V13993" s="1"/>
      <c r="W13993" s="1"/>
      <c r="X13993" s="1"/>
      <c r="Y13993" s="1"/>
      <c r="Z13993" s="1"/>
      <c r="AA13993" s="1"/>
      <c r="AB13993" s="1"/>
    </row>
    <row r="13994" ht="50.25" customHeight="1">
      <c r="A13994" s="12">
        <v>13990.0</v>
      </c>
      <c r="B13994" s="13" t="s">
        <v>13197</v>
      </c>
      <c r="C13994" s="14" t="s">
        <v>13227</v>
      </c>
      <c r="D13994" s="1"/>
      <c r="E13994" s="1"/>
      <c r="F13994" s="1" t="str">
        <f>IFERROR(__xludf.DUMMYFUNCTION("GOOGLETRANSLATE(B13994, ""en"", ""fa"")
"),"اتوماسیون یوتیوب")</f>
        <v>اتوماسیون یوتیوب</v>
      </c>
      <c r="G13994" s="1" t="str">
        <f>IFERROR(__xludf.DUMMYFUNCTION("GOOGLETRANSLATE(C13994, ""en"", ""fa"")
"),"چگونه می توان از معیارهای ویدئویی خودکار برای بهینه سازی طول ویدئو برای تعامل بیننده استفاده کرد؟")</f>
        <v>چگونه می توان از معیارهای ویدئویی خودکار برای بهینه سازی طول ویدئو برای تعامل بیننده استفاده کرد؟</v>
      </c>
      <c r="H13994" s="1"/>
      <c r="I13994" s="1"/>
      <c r="J13994" s="1"/>
      <c r="K13994" s="1"/>
      <c r="L13994" s="1"/>
      <c r="M13994" s="1"/>
      <c r="N13994" s="1"/>
      <c r="O13994" s="1"/>
      <c r="P13994" s="1"/>
      <c r="Q13994" s="1"/>
      <c r="R13994" s="1"/>
      <c r="S13994" s="1"/>
      <c r="T13994" s="1"/>
      <c r="U13994" s="1"/>
      <c r="V13994" s="1"/>
      <c r="W13994" s="1"/>
      <c r="X13994" s="1"/>
      <c r="Y13994" s="1"/>
      <c r="Z13994" s="1"/>
      <c r="AA13994" s="1"/>
      <c r="AB13994" s="1"/>
    </row>
    <row r="13995" ht="50.25" customHeight="1">
      <c r="A13995" s="12">
        <v>13991.0</v>
      </c>
      <c r="B13995" s="13" t="s">
        <v>13197</v>
      </c>
      <c r="C13995" s="14" t="s">
        <v>13228</v>
      </c>
      <c r="D13995" s="1"/>
      <c r="E13995" s="1"/>
      <c r="F13995" s="1" t="str">
        <f>IFERROR(__xludf.DUMMYFUNCTION("GOOGLETRANSLATE(B13995, ""en"", ""fa"")
"),"اتوماسیون یوتیوب")</f>
        <v>اتوماسیون یوتیوب</v>
      </c>
      <c r="G13995" s="1" t="str">
        <f>IFERROR(__xludf.DUMMYFUNCTION("GOOGLETRANSLATE(C13995, ""en"", ""fa"")
"),"چگونه می توان ایجاد لیست پخش خودکار را برای تحویل محتوای سازمان یافته تنظیم کرد؟")</f>
        <v>چگونه می توان ایجاد لیست پخش خودکار را برای تحویل محتوای سازمان یافته تنظیم کرد؟</v>
      </c>
      <c r="H13995" s="1"/>
      <c r="I13995" s="1"/>
      <c r="J13995" s="1"/>
      <c r="K13995" s="1"/>
      <c r="L13995" s="1"/>
      <c r="M13995" s="1"/>
      <c r="N13995" s="1"/>
      <c r="O13995" s="1"/>
      <c r="P13995" s="1"/>
      <c r="Q13995" s="1"/>
      <c r="R13995" s="1"/>
      <c r="S13995" s="1"/>
      <c r="T13995" s="1"/>
      <c r="U13995" s="1"/>
      <c r="V13995" s="1"/>
      <c r="W13995" s="1"/>
      <c r="X13995" s="1"/>
      <c r="Y13995" s="1"/>
      <c r="Z13995" s="1"/>
      <c r="AA13995" s="1"/>
      <c r="AB13995" s="1"/>
    </row>
    <row r="13996" ht="50.25" customHeight="1">
      <c r="A13996" s="12">
        <v>13992.0</v>
      </c>
      <c r="B13996" s="13" t="s">
        <v>13197</v>
      </c>
      <c r="C13996" s="14" t="s">
        <v>13229</v>
      </c>
      <c r="D13996" s="1"/>
      <c r="E13996" s="1"/>
      <c r="F13996" s="1" t="str">
        <f>IFERROR(__xludf.DUMMYFUNCTION("GOOGLETRANSLATE(B13996, ""en"", ""fa"")
"),"اتوماسیون یوتیوب")</f>
        <v>اتوماسیون یوتیوب</v>
      </c>
      <c r="G13996" s="1" t="str">
        <f>IFERROR(__xludf.DUMMYFUNCTION("GOOGLETRANSLATE(C13996, ""en"", ""fa"")
"),"چگونه از داده‌های تعامل ویدیویی خودکار برای اصلاح طرح‌های کوچک خود استفاده کنیم؟")</f>
        <v>چگونه از داده‌های تعامل ویدیویی خودکار برای اصلاح طرح‌های کوچک خود استفاده کنیم؟</v>
      </c>
      <c r="H13996" s="1"/>
      <c r="I13996" s="1"/>
      <c r="J13996" s="1"/>
      <c r="K13996" s="1"/>
      <c r="L13996" s="1"/>
      <c r="M13996" s="1"/>
      <c r="N13996" s="1"/>
      <c r="O13996" s="1"/>
      <c r="P13996" s="1"/>
      <c r="Q13996" s="1"/>
      <c r="R13996" s="1"/>
      <c r="S13996" s="1"/>
      <c r="T13996" s="1"/>
      <c r="U13996" s="1"/>
      <c r="V13996" s="1"/>
      <c r="W13996" s="1"/>
      <c r="X13996" s="1"/>
      <c r="Y13996" s="1"/>
      <c r="Z13996" s="1"/>
      <c r="AA13996" s="1"/>
      <c r="AB13996" s="1"/>
    </row>
    <row r="13997" ht="50.25" customHeight="1">
      <c r="A13997" s="12">
        <v>13993.0</v>
      </c>
      <c r="B13997" s="13" t="s">
        <v>13197</v>
      </c>
      <c r="C13997" s="14" t="s">
        <v>13230</v>
      </c>
      <c r="D13997" s="1"/>
      <c r="E13997" s="1"/>
      <c r="F13997" s="1" t="str">
        <f>IFERROR(__xludf.DUMMYFUNCTION("GOOGLETRANSLATE(B13997, ""en"", ""fa"")
"),"اتوماسیون یوتیوب")</f>
        <v>اتوماسیون یوتیوب</v>
      </c>
      <c r="G13997" s="1" t="str">
        <f>IFERROR(__xludf.DUMMYFUNCTION("GOOGLETRANSLATE(C13997, ""en"", ""fa"")
"),"چگونه می توان محتوای خودکار را برای پلتفرم های مختلف پیاده سازی کرد؟")</f>
        <v>چگونه می توان محتوای خودکار را برای پلتفرم های مختلف پیاده سازی کرد؟</v>
      </c>
      <c r="H13997" s="1"/>
      <c r="I13997" s="1"/>
      <c r="J13997" s="1"/>
      <c r="K13997" s="1"/>
      <c r="L13997" s="1"/>
      <c r="M13997" s="1"/>
      <c r="N13997" s="1"/>
      <c r="O13997" s="1"/>
      <c r="P13997" s="1"/>
      <c r="Q13997" s="1"/>
      <c r="R13997" s="1"/>
      <c r="S13997" s="1"/>
      <c r="T13997" s="1"/>
      <c r="U13997" s="1"/>
      <c r="V13997" s="1"/>
      <c r="W13997" s="1"/>
      <c r="X13997" s="1"/>
      <c r="Y13997" s="1"/>
      <c r="Z13997" s="1"/>
      <c r="AA13997" s="1"/>
      <c r="AB13997" s="1"/>
    </row>
    <row r="13998" ht="50.25" customHeight="1">
      <c r="A13998" s="12">
        <v>13994.0</v>
      </c>
      <c r="B13998" s="13" t="s">
        <v>13197</v>
      </c>
      <c r="C13998" s="14" t="s">
        <v>13231</v>
      </c>
      <c r="D13998" s="1"/>
      <c r="E13998" s="1"/>
      <c r="F13998" s="1" t="str">
        <f>IFERROR(__xludf.DUMMYFUNCTION("GOOGLETRANSLATE(B13998, ""en"", ""fa"")
"),"اتوماسیون یوتیوب")</f>
        <v>اتوماسیون یوتیوب</v>
      </c>
      <c r="G13998" s="1" t="str">
        <f>IFERROR(__xludf.DUMMYFUNCTION("GOOGLETRANSLATE(C13998, ""en"", ""fa"")
"),"چگونه برای جذب و آموزش مخاطبان خود، آزمون های محتوای ویدیویی خودکار ایجاد کنیم؟")</f>
        <v>چگونه برای جذب و آموزش مخاطبان خود، آزمون های محتوای ویدیویی خودکار ایجاد کنیم؟</v>
      </c>
      <c r="H13998" s="1"/>
      <c r="I13998" s="1"/>
      <c r="J13998" s="1"/>
      <c r="K13998" s="1"/>
      <c r="L13998" s="1"/>
      <c r="M13998" s="1"/>
      <c r="N13998" s="1"/>
      <c r="O13998" s="1"/>
      <c r="P13998" s="1"/>
      <c r="Q13998" s="1"/>
      <c r="R13998" s="1"/>
      <c r="S13998" s="1"/>
      <c r="T13998" s="1"/>
      <c r="U13998" s="1"/>
      <c r="V13998" s="1"/>
      <c r="W13998" s="1"/>
      <c r="X13998" s="1"/>
      <c r="Y13998" s="1"/>
      <c r="Z13998" s="1"/>
      <c r="AA13998" s="1"/>
      <c r="AB13998" s="1"/>
    </row>
    <row r="13999" ht="50.25" customHeight="1">
      <c r="A13999" s="12">
        <v>13995.0</v>
      </c>
      <c r="B13999" s="13" t="s">
        <v>13197</v>
      </c>
      <c r="C13999" s="14" t="s">
        <v>13232</v>
      </c>
      <c r="D13999" s="1"/>
      <c r="E13999" s="1"/>
      <c r="F13999" s="1" t="str">
        <f>IFERROR(__xludf.DUMMYFUNCTION("GOOGLETRANSLATE(B13999, ""en"", ""fa"")
"),"اتوماسیون یوتیوب")</f>
        <v>اتوماسیون یوتیوب</v>
      </c>
      <c r="G13999" s="1" t="str">
        <f>IFERROR(__xludf.DUMMYFUNCTION("GOOGLETRANSLATE(C13999, ""en"", ""fa"")
"),"چگونه می توان از اشتراک گذاری خودکار رسانه های اجتماعی برای افزایش دسترسی ویدیوی خود استفاده کرد؟")</f>
        <v>چگونه می توان از اشتراک گذاری خودکار رسانه های اجتماعی برای افزایش دسترسی ویدیوی خود استفاده کرد؟</v>
      </c>
      <c r="H13999" s="1"/>
      <c r="I13999" s="1"/>
      <c r="J13999" s="1"/>
      <c r="K13999" s="1"/>
      <c r="L13999" s="1"/>
      <c r="M13999" s="1"/>
      <c r="N13999" s="1"/>
      <c r="O13999" s="1"/>
      <c r="P13999" s="1"/>
      <c r="Q13999" s="1"/>
      <c r="R13999" s="1"/>
      <c r="S13999" s="1"/>
      <c r="T13999" s="1"/>
      <c r="U13999" s="1"/>
      <c r="V13999" s="1"/>
      <c r="W13999" s="1"/>
      <c r="X13999" s="1"/>
      <c r="Y13999" s="1"/>
      <c r="Z13999" s="1"/>
      <c r="AA13999" s="1"/>
      <c r="AB13999" s="1"/>
    </row>
    <row r="14000" ht="50.25" customHeight="1">
      <c r="A14000" s="12">
        <v>13996.0</v>
      </c>
      <c r="B14000" s="13" t="s">
        <v>13197</v>
      </c>
      <c r="C14000" s="14" t="s">
        <v>13233</v>
      </c>
      <c r="D14000" s="1"/>
      <c r="E14000" s="1"/>
      <c r="F14000" s="1" t="str">
        <f>IFERROR(__xludf.DUMMYFUNCTION("GOOGLETRANSLATE(B14000, ""en"", ""fa"")
"),"اتوماسیون یوتیوب")</f>
        <v>اتوماسیون یوتیوب</v>
      </c>
      <c r="G14000" s="1" t="str">
        <f>IFERROR(__xludf.DUMMYFUNCTION("GOOGLETRANSLATE(C14000, ""en"", ""fa"")
"),"چگونه می توان واترمارکینگ ویدیویی خودکار را برای شناسایی نام تجاری تنظیم کرد؟")</f>
        <v>چگونه می توان واترمارکینگ ویدیویی خودکار را برای شناسایی نام تجاری تنظیم کرد؟</v>
      </c>
      <c r="H14000" s="1"/>
      <c r="I14000" s="1"/>
      <c r="J14000" s="1"/>
      <c r="K14000" s="1"/>
      <c r="L14000" s="1"/>
      <c r="M14000" s="1"/>
      <c r="N14000" s="1"/>
      <c r="O14000" s="1"/>
      <c r="P14000" s="1"/>
      <c r="Q14000" s="1"/>
      <c r="R14000" s="1"/>
      <c r="S14000" s="1"/>
      <c r="T14000" s="1"/>
      <c r="U14000" s="1"/>
      <c r="V14000" s="1"/>
      <c r="W14000" s="1"/>
      <c r="X14000" s="1"/>
      <c r="Y14000" s="1"/>
      <c r="Z14000" s="1"/>
      <c r="AA14000" s="1"/>
      <c r="AB14000" s="1"/>
    </row>
    <row r="14001" ht="50.25" customHeight="1">
      <c r="A14001" s="12">
        <v>13997.0</v>
      </c>
      <c r="B14001" s="13" t="s">
        <v>13197</v>
      </c>
      <c r="C14001" s="14" t="s">
        <v>13234</v>
      </c>
      <c r="D14001" s="1"/>
      <c r="E14001" s="1"/>
      <c r="F14001" s="1" t="str">
        <f>IFERROR(__xludf.DUMMYFUNCTION("GOOGLETRANSLATE(B14001, ""en"", ""fa"")
"),"اتوماسیون یوتیوب")</f>
        <v>اتوماسیون یوتیوب</v>
      </c>
      <c r="G14001" s="1" t="str">
        <f>IFERROR(__xludf.DUMMYFUNCTION("GOOGLETRANSLATE(C14001, ""en"", ""fa"")
"),"چگونه از ابزارهای خودکار برای ردیابی نظرات ویدیویی و تعامل در طول زمان استفاده کنیم؟")</f>
        <v>چگونه از ابزارهای خودکار برای ردیابی نظرات ویدیویی و تعامل در طول زمان استفاده کنیم؟</v>
      </c>
      <c r="H14001" s="1"/>
      <c r="I14001" s="1"/>
      <c r="J14001" s="1"/>
      <c r="K14001" s="1"/>
      <c r="L14001" s="1"/>
      <c r="M14001" s="1"/>
      <c r="N14001" s="1"/>
      <c r="O14001" s="1"/>
      <c r="P14001" s="1"/>
      <c r="Q14001" s="1"/>
      <c r="R14001" s="1"/>
      <c r="S14001" s="1"/>
      <c r="T14001" s="1"/>
      <c r="U14001" s="1"/>
      <c r="V14001" s="1"/>
      <c r="W14001" s="1"/>
      <c r="X14001" s="1"/>
      <c r="Y14001" s="1"/>
      <c r="Z14001" s="1"/>
      <c r="AA14001" s="1"/>
      <c r="AB14001" s="1"/>
    </row>
    <row r="14002" ht="50.25" customHeight="1">
      <c r="A14002" s="12">
        <v>13998.0</v>
      </c>
      <c r="B14002" s="13" t="s">
        <v>13197</v>
      </c>
      <c r="C14002" s="14" t="s">
        <v>13235</v>
      </c>
      <c r="D14002" s="1"/>
      <c r="E14002" s="1"/>
      <c r="F14002" s="1" t="str">
        <f>IFERROR(__xludf.DUMMYFUNCTION("GOOGLETRANSLATE(B14002, ""en"", ""fa"")
"),"اتوماسیون یوتیوب")</f>
        <v>اتوماسیون یوتیوب</v>
      </c>
      <c r="G14002" s="1" t="str">
        <f>IFERROR(__xludf.DUMMYFUNCTION("GOOGLETRANSLATE(C14002, ""en"", ""fa"")
"),"چگونه می توان پشتیبان گیری خودکار محتوای ویدیویی را برای آرامش خاطر پیاده سازی کرد؟")</f>
        <v>چگونه می توان پشتیبان گیری خودکار محتوای ویدیویی را برای آرامش خاطر پیاده سازی کرد؟</v>
      </c>
      <c r="H14002" s="1"/>
      <c r="I14002" s="1"/>
      <c r="J14002" s="1"/>
      <c r="K14002" s="1"/>
      <c r="L14002" s="1"/>
      <c r="M14002" s="1"/>
      <c r="N14002" s="1"/>
      <c r="O14002" s="1"/>
      <c r="P14002" s="1"/>
      <c r="Q14002" s="1"/>
      <c r="R14002" s="1"/>
      <c r="S14002" s="1"/>
      <c r="T14002" s="1"/>
      <c r="U14002" s="1"/>
      <c r="V14002" s="1"/>
      <c r="W14002" s="1"/>
      <c r="X14002" s="1"/>
      <c r="Y14002" s="1"/>
      <c r="Z14002" s="1"/>
      <c r="AA14002" s="1"/>
      <c r="AB14002" s="1"/>
    </row>
    <row r="14003" ht="50.25" customHeight="1">
      <c r="A14003" s="12">
        <v>13999.0</v>
      </c>
      <c r="B14003" s="13" t="s">
        <v>13197</v>
      </c>
      <c r="C14003" s="14" t="s">
        <v>13236</v>
      </c>
      <c r="D14003" s="1"/>
      <c r="E14003" s="1"/>
      <c r="F14003" s="1" t="str">
        <f>IFERROR(__xludf.DUMMYFUNCTION("GOOGLETRANSLATE(B14003, ""en"", ""fa"")
"),"اتوماسیون یوتیوب")</f>
        <v>اتوماسیون یوتیوب</v>
      </c>
      <c r="G14003" s="1" t="str">
        <f>IFERROR(__xludf.DUMMYFUNCTION("GOOGLETRANSLATE(C14003, ""en"", ""fa"")
"),"چگونه برای بهبود دسترسی، رونویسی های ویدیویی خودکار ایجاد کنیم؟")</f>
        <v>چگونه برای بهبود دسترسی، رونویسی های ویدیویی خودکار ایجاد کنیم؟</v>
      </c>
      <c r="H14003" s="1"/>
      <c r="I14003" s="1"/>
      <c r="J14003" s="1"/>
      <c r="K14003" s="1"/>
      <c r="L14003" s="1"/>
      <c r="M14003" s="1"/>
      <c r="N14003" s="1"/>
      <c r="O14003" s="1"/>
      <c r="P14003" s="1"/>
      <c r="Q14003" s="1"/>
      <c r="R14003" s="1"/>
      <c r="S14003" s="1"/>
      <c r="T14003" s="1"/>
      <c r="U14003" s="1"/>
      <c r="V14003" s="1"/>
      <c r="W14003" s="1"/>
      <c r="X14003" s="1"/>
      <c r="Y14003" s="1"/>
      <c r="Z14003" s="1"/>
      <c r="AA14003" s="1"/>
      <c r="AB14003" s="1"/>
    </row>
    <row r="14004" ht="50.25" customHeight="1">
      <c r="A14004" s="12">
        <v>14000.0</v>
      </c>
      <c r="B14004" s="13" t="s">
        <v>13197</v>
      </c>
      <c r="C14004" s="14" t="s">
        <v>13237</v>
      </c>
      <c r="D14004" s="1"/>
      <c r="E14004" s="1"/>
      <c r="F14004" s="1" t="str">
        <f>IFERROR(__xludf.DUMMYFUNCTION("GOOGLETRANSLATE(B14004, ""en"", ""fa"")
"),"اتوماسیون یوتیوب")</f>
        <v>اتوماسیون یوتیوب</v>
      </c>
      <c r="G14004" s="1" t="str">
        <f>IFERROR(__xludf.DUMMYFUNCTION("GOOGLETRANSLATE(C14004, ""en"", ""fa"")
"),"چگونه می توان از نظرسنجی های خودکار بینندگان ویدیو برای جمع آوری بینش های ارزشمند استفاده کرد؟")</f>
        <v>چگونه می توان از نظرسنجی های خودکار بینندگان ویدیو برای جمع آوری بینش های ارزشمند استفاده کرد؟</v>
      </c>
      <c r="H14004" s="1"/>
      <c r="I14004" s="1"/>
      <c r="J14004" s="1"/>
      <c r="K14004" s="1"/>
      <c r="L14004" s="1"/>
      <c r="M14004" s="1"/>
      <c r="N14004" s="1"/>
      <c r="O14004" s="1"/>
      <c r="P14004" s="1"/>
      <c r="Q14004" s="1"/>
      <c r="R14004" s="1"/>
      <c r="S14004" s="1"/>
      <c r="T14004" s="1"/>
      <c r="U14004" s="1"/>
      <c r="V14004" s="1"/>
      <c r="W14004" s="1"/>
      <c r="X14004" s="1"/>
      <c r="Y14004" s="1"/>
      <c r="Z14004" s="1"/>
      <c r="AA14004" s="1"/>
      <c r="AB14004" s="1"/>
    </row>
    <row r="14005" ht="50.25" customHeight="1">
      <c r="A14005" s="12">
        <v>14001.0</v>
      </c>
      <c r="B14005" s="13" t="s">
        <v>13197</v>
      </c>
      <c r="C14005" s="14" t="s">
        <v>13238</v>
      </c>
      <c r="D14005" s="1"/>
      <c r="E14005" s="1"/>
      <c r="F14005" s="1" t="str">
        <f>IFERROR(__xludf.DUMMYFUNCTION("GOOGLETRANSLATE(B14005, ""en"", ""fa"")
"),"اتوماسیون یوتیوب")</f>
        <v>اتوماسیون یوتیوب</v>
      </c>
      <c r="G14005" s="1" t="str">
        <f>IFERROR(__xludf.DUMMYFUNCTION("GOOGLETRANSLATE(C14005, ""en"", ""fa"")
"),"چگونه پیشنهادات موضوع ویدیوی خودکار را برای مشترکین خود تنظیم کنید؟")</f>
        <v>چگونه پیشنهادات موضوع ویدیوی خودکار را برای مشترکین خود تنظیم کنید؟</v>
      </c>
      <c r="H14005" s="1"/>
      <c r="I14005" s="1"/>
      <c r="J14005" s="1"/>
      <c r="K14005" s="1"/>
      <c r="L14005" s="1"/>
      <c r="M14005" s="1"/>
      <c r="N14005" s="1"/>
      <c r="O14005" s="1"/>
      <c r="P14005" s="1"/>
      <c r="Q14005" s="1"/>
      <c r="R14005" s="1"/>
      <c r="S14005" s="1"/>
      <c r="T14005" s="1"/>
      <c r="U14005" s="1"/>
      <c r="V14005" s="1"/>
      <c r="W14005" s="1"/>
      <c r="X14005" s="1"/>
      <c r="Y14005" s="1"/>
      <c r="Z14005" s="1"/>
      <c r="AA14005" s="1"/>
      <c r="AB14005" s="1"/>
    </row>
    <row r="14006" ht="50.25" customHeight="1">
      <c r="A14006" s="12">
        <v>14002.0</v>
      </c>
      <c r="B14006" s="13" t="s">
        <v>13197</v>
      </c>
      <c r="C14006" s="14" t="s">
        <v>13239</v>
      </c>
      <c r="D14006" s="1"/>
      <c r="E14006" s="1"/>
      <c r="F14006" s="1" t="str">
        <f>IFERROR(__xludf.DUMMYFUNCTION("GOOGLETRANSLATE(B14006, ""en"", ""fa"")
"),"اتوماسیون یوتیوب")</f>
        <v>اتوماسیون یوتیوب</v>
      </c>
      <c r="G14006" s="1" t="str">
        <f>IFERROR(__xludf.DUMMYFUNCTION("GOOGLETRANSLATE(C14006, ""en"", ""fa"")
"),"چگونه از بینش ویدیویی خودکار برای شناسایی محتوای ترجیحی مخاطبان خود استفاده کنیم؟")</f>
        <v>چگونه از بینش ویدیویی خودکار برای شناسایی محتوای ترجیحی مخاطبان خود استفاده کنیم؟</v>
      </c>
      <c r="H14006" s="1"/>
      <c r="I14006" s="1"/>
      <c r="J14006" s="1"/>
      <c r="K14006" s="1"/>
      <c r="L14006" s="1"/>
      <c r="M14006" s="1"/>
      <c r="N14006" s="1"/>
      <c r="O14006" s="1"/>
      <c r="P14006" s="1"/>
      <c r="Q14006" s="1"/>
      <c r="R14006" s="1"/>
      <c r="S14006" s="1"/>
      <c r="T14006" s="1"/>
      <c r="U14006" s="1"/>
      <c r="V14006" s="1"/>
      <c r="W14006" s="1"/>
      <c r="X14006" s="1"/>
      <c r="Y14006" s="1"/>
      <c r="Z14006" s="1"/>
      <c r="AA14006" s="1"/>
      <c r="AB14006" s="1"/>
    </row>
    <row r="14007" ht="50.25" customHeight="1">
      <c r="A14007" s="12">
        <v>14003.0</v>
      </c>
      <c r="B14007" s="13" t="s">
        <v>13197</v>
      </c>
      <c r="C14007" s="14" t="s">
        <v>13240</v>
      </c>
      <c r="D14007" s="1"/>
      <c r="E14007" s="1"/>
      <c r="F14007" s="1" t="str">
        <f>IFERROR(__xludf.DUMMYFUNCTION("GOOGLETRANSLATE(B14007, ""en"", ""fa"")
"),"اتوماسیون یوتیوب")</f>
        <v>اتوماسیون یوتیوب</v>
      </c>
      <c r="G14007" s="1" t="str">
        <f>IFERROR(__xludf.DUMMYFUNCTION("GOOGLETRANSLATE(C14007, ""en"", ""fa"")
"),"چگونه می توان تبلیغات متقاطع ویدیویی خودکار را در چندین کانال پیاده سازی کرد؟")</f>
        <v>چگونه می توان تبلیغات متقاطع ویدیویی خودکار را در چندین کانال پیاده سازی کرد؟</v>
      </c>
      <c r="H14007" s="1"/>
      <c r="I14007" s="1"/>
      <c r="J14007" s="1"/>
      <c r="K14007" s="1"/>
      <c r="L14007" s="1"/>
      <c r="M14007" s="1"/>
      <c r="N14007" s="1"/>
      <c r="O14007" s="1"/>
      <c r="P14007" s="1"/>
      <c r="Q14007" s="1"/>
      <c r="R14007" s="1"/>
      <c r="S14007" s="1"/>
      <c r="T14007" s="1"/>
      <c r="U14007" s="1"/>
      <c r="V14007" s="1"/>
      <c r="W14007" s="1"/>
      <c r="X14007" s="1"/>
      <c r="Y14007" s="1"/>
      <c r="Z14007" s="1"/>
      <c r="AA14007" s="1"/>
      <c r="AB14007" s="1"/>
    </row>
    <row r="14008" ht="50.25" customHeight="1">
      <c r="A14008" s="12">
        <v>14004.0</v>
      </c>
      <c r="B14008" s="13" t="s">
        <v>13197</v>
      </c>
      <c r="C14008" s="14" t="s">
        <v>13241</v>
      </c>
      <c r="D14008" s="1"/>
      <c r="E14008" s="1"/>
      <c r="F14008" s="1" t="str">
        <f>IFERROR(__xludf.DUMMYFUNCTION("GOOGLETRANSLATE(B14008, ""en"", ""fa"")
"),"اتوماسیون یوتیوب")</f>
        <v>اتوماسیون یوتیوب</v>
      </c>
      <c r="G14008" s="1" t="str">
        <f>IFERROR(__xludf.DUMMYFUNCTION("GOOGLETRANSLATE(C14008, ""en"", ""fa"")
"),"چگونه تصاویر کوچک ویدیویی خودکار ایجاد کنیم که در نتایج جستجو برجسته شوند؟")</f>
        <v>چگونه تصاویر کوچک ویدیویی خودکار ایجاد کنیم که در نتایج جستجو برجسته شوند؟</v>
      </c>
      <c r="H14008" s="1"/>
      <c r="I14008" s="1"/>
      <c r="J14008" s="1"/>
      <c r="K14008" s="1"/>
      <c r="L14008" s="1"/>
      <c r="M14008" s="1"/>
      <c r="N14008" s="1"/>
      <c r="O14008" s="1"/>
      <c r="P14008" s="1"/>
      <c r="Q14008" s="1"/>
      <c r="R14008" s="1"/>
      <c r="S14008" s="1"/>
      <c r="T14008" s="1"/>
      <c r="U14008" s="1"/>
      <c r="V14008" s="1"/>
      <c r="W14008" s="1"/>
      <c r="X14008" s="1"/>
      <c r="Y14008" s="1"/>
      <c r="Z14008" s="1"/>
      <c r="AA14008" s="1"/>
      <c r="AB14008" s="1"/>
    </row>
    <row r="14009" ht="50.25" customHeight="1">
      <c r="A14009" s="12">
        <v>14005.0</v>
      </c>
      <c r="B14009" s="13" t="s">
        <v>13197</v>
      </c>
      <c r="C14009" s="14" t="s">
        <v>13242</v>
      </c>
      <c r="D14009" s="1"/>
      <c r="E14009" s="1"/>
      <c r="F14009" s="1" t="str">
        <f>IFERROR(__xludf.DUMMYFUNCTION("GOOGLETRANSLATE(B14009, ""en"", ""fa"")
"),"اتوماسیون یوتیوب")</f>
        <v>اتوماسیون یوتیوب</v>
      </c>
      <c r="G14009" s="1" t="str">
        <f>IFERROR(__xludf.DUMMYFUNCTION("GOOGLETRANSLATE(C14009, ""en"", ""fa"")
"),"چگونه می توان از مشارکت خودکار مشترکین برای تقویت رشد جامعه استفاده کرد؟")</f>
        <v>چگونه می توان از مشارکت خودکار مشترکین برای تقویت رشد جامعه استفاده کرد؟</v>
      </c>
      <c r="H14009" s="1"/>
      <c r="I14009" s="1"/>
      <c r="J14009" s="1"/>
      <c r="K14009" s="1"/>
      <c r="L14009" s="1"/>
      <c r="M14009" s="1"/>
      <c r="N14009" s="1"/>
      <c r="O14009" s="1"/>
      <c r="P14009" s="1"/>
      <c r="Q14009" s="1"/>
      <c r="R14009" s="1"/>
      <c r="S14009" s="1"/>
      <c r="T14009" s="1"/>
      <c r="U14009" s="1"/>
      <c r="V14009" s="1"/>
      <c r="W14009" s="1"/>
      <c r="X14009" s="1"/>
      <c r="Y14009" s="1"/>
      <c r="Z14009" s="1"/>
      <c r="AA14009" s="1"/>
      <c r="AB14009" s="1"/>
    </row>
    <row r="14010" ht="50.25" customHeight="1">
      <c r="A14010" s="12">
        <v>14006.0</v>
      </c>
      <c r="B14010" s="13" t="s">
        <v>13197</v>
      </c>
      <c r="C14010" s="14" t="s">
        <v>13243</v>
      </c>
      <c r="D14010" s="1"/>
      <c r="E14010" s="1"/>
      <c r="F14010" s="1" t="str">
        <f>IFERROR(__xludf.DUMMYFUNCTION("GOOGLETRANSLATE(B14010, ""en"", ""fa"")
"),"اتوماسیون یوتیوب")</f>
        <v>اتوماسیون یوتیوب</v>
      </c>
      <c r="G14010" s="1" t="str">
        <f>IFERROR(__xludf.DUMMYFUNCTION("GOOGLETRANSLATE(C14010, ""en"", ""fa"")
"),"چگونه می توان تحقیق خودکار کلمات کلیدی ویدیویی را برای ابرداده بهینه تنظیم کرد؟")</f>
        <v>چگونه می توان تحقیق خودکار کلمات کلیدی ویدیویی را برای ابرداده بهینه تنظیم کرد؟</v>
      </c>
      <c r="H14010" s="1"/>
      <c r="I14010" s="1"/>
      <c r="J14010" s="1"/>
      <c r="K14010" s="1"/>
      <c r="L14010" s="1"/>
      <c r="M14010" s="1"/>
      <c r="N14010" s="1"/>
      <c r="O14010" s="1"/>
      <c r="P14010" s="1"/>
      <c r="Q14010" s="1"/>
      <c r="R14010" s="1"/>
      <c r="S14010" s="1"/>
      <c r="T14010" s="1"/>
      <c r="U14010" s="1"/>
      <c r="V14010" s="1"/>
      <c r="W14010" s="1"/>
      <c r="X14010" s="1"/>
      <c r="Y14010" s="1"/>
      <c r="Z14010" s="1"/>
      <c r="AA14010" s="1"/>
      <c r="AB14010" s="1"/>
    </row>
    <row r="14011" ht="50.25" customHeight="1">
      <c r="A14011" s="12">
        <v>14007.0</v>
      </c>
      <c r="B14011" s="13" t="s">
        <v>13197</v>
      </c>
      <c r="C14011" s="14" t="s">
        <v>13244</v>
      </c>
      <c r="D14011" s="1"/>
      <c r="E14011" s="1"/>
      <c r="F14011" s="1" t="str">
        <f>IFERROR(__xludf.DUMMYFUNCTION("GOOGLETRANSLATE(B14011, ""en"", ""fa"")
"),"اتوماسیون یوتیوب")</f>
        <v>اتوماسیون یوتیوب</v>
      </c>
      <c r="G14011" s="1" t="str">
        <f>IFERROR(__xludf.DUMMYFUNCTION("GOOGLETRANSLATE(C14011, ""en"", ""fa"")
"),"چگونه از ابزارهای خودکار برای ردیابی روند تعامل ویدیویی در طول زمان استفاده کنیم؟")</f>
        <v>چگونه از ابزارهای خودکار برای ردیابی روند تعامل ویدیویی در طول زمان استفاده کنیم؟</v>
      </c>
      <c r="H14011" s="1"/>
      <c r="I14011" s="1"/>
      <c r="J14011" s="1"/>
      <c r="K14011" s="1"/>
      <c r="L14011" s="1"/>
      <c r="M14011" s="1"/>
      <c r="N14011" s="1"/>
      <c r="O14011" s="1"/>
      <c r="P14011" s="1"/>
      <c r="Q14011" s="1"/>
      <c r="R14011" s="1"/>
      <c r="S14011" s="1"/>
      <c r="T14011" s="1"/>
      <c r="U14011" s="1"/>
      <c r="V14011" s="1"/>
      <c r="W14011" s="1"/>
      <c r="X14011" s="1"/>
      <c r="Y14011" s="1"/>
      <c r="Z14011" s="1"/>
      <c r="AA14011" s="1"/>
      <c r="AB14011" s="1"/>
    </row>
    <row r="14012" ht="50.25" customHeight="1">
      <c r="A14012" s="12">
        <v>14008.0</v>
      </c>
      <c r="B14012" s="13" t="s">
        <v>13197</v>
      </c>
      <c r="C14012" s="14" t="s">
        <v>13245</v>
      </c>
      <c r="D14012" s="1"/>
      <c r="E14012" s="1"/>
      <c r="F14012" s="1" t="str">
        <f>IFERROR(__xludf.DUMMYFUNCTION("GOOGLETRANSLATE(B14012, ""en"", ""fa"")
"),"اتوماسیون یوتیوب")</f>
        <v>اتوماسیون یوتیوب</v>
      </c>
      <c r="G14012" s="1" t="str">
        <f>IFERROR(__xludf.DUMMYFUNCTION("GOOGLETRANSLATE(C14012, ""en"", ""fa"")
"),"چگونه کنترل خودکار نظرات ویدیویی را برای یک محیط مثبت پیاده سازی کنیم؟")</f>
        <v>چگونه کنترل خودکار نظرات ویدیویی را برای یک محیط مثبت پیاده سازی کنیم؟</v>
      </c>
      <c r="H14012" s="1"/>
      <c r="I14012" s="1"/>
      <c r="J14012" s="1"/>
      <c r="K14012" s="1"/>
      <c r="L14012" s="1"/>
      <c r="M14012" s="1"/>
      <c r="N14012" s="1"/>
      <c r="O14012" s="1"/>
      <c r="P14012" s="1"/>
      <c r="Q14012" s="1"/>
      <c r="R14012" s="1"/>
      <c r="S14012" s="1"/>
      <c r="T14012" s="1"/>
      <c r="U14012" s="1"/>
      <c r="V14012" s="1"/>
      <c r="W14012" s="1"/>
      <c r="X14012" s="1"/>
      <c r="Y14012" s="1"/>
      <c r="Z14012" s="1"/>
      <c r="AA14012" s="1"/>
      <c r="AB14012" s="1"/>
    </row>
    <row r="14013" ht="50.25" customHeight="1">
      <c r="A14013" s="12">
        <v>14009.0</v>
      </c>
      <c r="B14013" s="13" t="s">
        <v>13197</v>
      </c>
      <c r="C14013" s="14" t="s">
        <v>13246</v>
      </c>
      <c r="D14013" s="1"/>
      <c r="E14013" s="1"/>
      <c r="F14013" s="1" t="str">
        <f>IFERROR(__xludf.DUMMYFUNCTION("GOOGLETRANSLATE(B14013, ""en"", ""fa"")
"),"اتوماسیون یوتیوب")</f>
        <v>اتوماسیون یوتیوب</v>
      </c>
      <c r="G14013" s="1" t="str">
        <f>IFERROR(__xludf.DUMMYFUNCTION("GOOGLETRANSLATE(C14013, ""en"", ""fa"")
"),"چگونه می‌توان مجموعه‌های تلفیقی خودکار ویدیویی را برای محتوای ارزشمند ایجاد کرد؟")</f>
        <v>چگونه می‌توان مجموعه‌های تلفیقی خودکار ویدیویی را برای محتوای ارزشمند ایجاد کرد؟</v>
      </c>
      <c r="H14013" s="1"/>
      <c r="I14013" s="1"/>
      <c r="J14013" s="1"/>
      <c r="K14013" s="1"/>
      <c r="L14013" s="1"/>
      <c r="M14013" s="1"/>
      <c r="N14013" s="1"/>
      <c r="O14013" s="1"/>
      <c r="P14013" s="1"/>
      <c r="Q14013" s="1"/>
      <c r="R14013" s="1"/>
      <c r="S14013" s="1"/>
      <c r="T14013" s="1"/>
      <c r="U14013" s="1"/>
      <c r="V14013" s="1"/>
      <c r="W14013" s="1"/>
      <c r="X14013" s="1"/>
      <c r="Y14013" s="1"/>
      <c r="Z14013" s="1"/>
      <c r="AA14013" s="1"/>
      <c r="AB14013" s="1"/>
    </row>
    <row r="14014" ht="50.25" customHeight="1">
      <c r="A14014" s="12">
        <v>14010.0</v>
      </c>
      <c r="B14014" s="13" t="s">
        <v>13197</v>
      </c>
      <c r="C14014" s="14" t="s">
        <v>13247</v>
      </c>
      <c r="D14014" s="1"/>
      <c r="E14014" s="1"/>
      <c r="F14014" s="1" t="str">
        <f>IFERROR(__xludf.DUMMYFUNCTION("GOOGLETRANSLATE(B14014, ""en"", ""fa"")
"),"اتوماسیون یوتیوب")</f>
        <v>اتوماسیون یوتیوب</v>
      </c>
      <c r="G14014" s="1" t="str">
        <f>IFERROR(__xludf.DUMMYFUNCTION("GOOGLETRANSLATE(C14014, ""en"", ""fa"")
"),"چگونه می توان از تجزیه و تحلیل خودکار محتوای ویدیویی هوش مصنوعی برای بهبود مستمر استفاده کرد؟")</f>
        <v>چگونه می توان از تجزیه و تحلیل خودکار محتوای ویدیویی هوش مصنوعی برای بهبود مستمر استفاده کرد؟</v>
      </c>
      <c r="H14014" s="1"/>
      <c r="I14014" s="1"/>
      <c r="J14014" s="1"/>
      <c r="K14014" s="1"/>
      <c r="L14014" s="1"/>
      <c r="M14014" s="1"/>
      <c r="N14014" s="1"/>
      <c r="O14014" s="1"/>
      <c r="P14014" s="1"/>
      <c r="Q14014" s="1"/>
      <c r="R14014" s="1"/>
      <c r="S14014" s="1"/>
      <c r="T14014" s="1"/>
      <c r="U14014" s="1"/>
      <c r="V14014" s="1"/>
      <c r="W14014" s="1"/>
      <c r="X14014" s="1"/>
      <c r="Y14014" s="1"/>
      <c r="Z14014" s="1"/>
      <c r="AA14014" s="1"/>
      <c r="AB14014" s="1"/>
    </row>
    <row r="14015" ht="50.25" customHeight="1">
      <c r="A14015" s="12">
        <v>14011.0</v>
      </c>
      <c r="B14015" s="13" t="s">
        <v>13197</v>
      </c>
      <c r="C14015" s="14" t="s">
        <v>13248</v>
      </c>
      <c r="D14015" s="1"/>
      <c r="E14015" s="1"/>
      <c r="F14015" s="1" t="str">
        <f>IFERROR(__xludf.DUMMYFUNCTION("GOOGLETRANSLATE(B14015, ""en"", ""fa"")
"),"اتوماسیون یوتیوب")</f>
        <v>اتوماسیون یوتیوب</v>
      </c>
      <c r="G14015" s="1" t="str">
        <f>IFERROR(__xludf.DUMMYFUNCTION("GOOGLETRANSLATE(C14015, ""en"", ""fa"")
"),"چگونه کمپین های تبلیغاتی خودکار ویدئویی را در پلتفرم های مختلف راه اندازی کنیم؟")</f>
        <v>چگونه کمپین های تبلیغاتی خودکار ویدئویی را در پلتفرم های مختلف راه اندازی کنیم؟</v>
      </c>
      <c r="H14015" s="1"/>
      <c r="I14015" s="1"/>
      <c r="J14015" s="1"/>
      <c r="K14015" s="1"/>
      <c r="L14015" s="1"/>
      <c r="M14015" s="1"/>
      <c r="N14015" s="1"/>
      <c r="O14015" s="1"/>
      <c r="P14015" s="1"/>
      <c r="Q14015" s="1"/>
      <c r="R14015" s="1"/>
      <c r="S14015" s="1"/>
      <c r="T14015" s="1"/>
      <c r="U14015" s="1"/>
      <c r="V14015" s="1"/>
      <c r="W14015" s="1"/>
      <c r="X14015" s="1"/>
      <c r="Y14015" s="1"/>
      <c r="Z14015" s="1"/>
      <c r="AA14015" s="1"/>
      <c r="AB14015" s="1"/>
    </row>
    <row r="14016" ht="50.25" customHeight="1">
      <c r="A14016" s="12">
        <v>14012.0</v>
      </c>
      <c r="B14016" s="13" t="s">
        <v>13197</v>
      </c>
      <c r="C14016" s="14" t="s">
        <v>13249</v>
      </c>
      <c r="D14016" s="1"/>
      <c r="E14016" s="1"/>
      <c r="F14016" s="1" t="str">
        <f>IFERROR(__xludf.DUMMYFUNCTION("GOOGLETRANSLATE(B14016, ""en"", ""fa"")
"),"اتوماسیون یوتیوب")</f>
        <v>اتوماسیون یوتیوب</v>
      </c>
      <c r="G14016" s="1" t="str">
        <f>IFERROR(__xludf.DUMMYFUNCTION("GOOGLETRANSLATE(C14016, ""en"", ""fa"")
"),"چگونه از الگوهای تعامل ویدئویی خودکار برای اطلاع رسانی توالی محتوا استفاده کنیم؟")</f>
        <v>چگونه از الگوهای تعامل ویدئویی خودکار برای اطلاع رسانی توالی محتوا استفاده کنیم؟</v>
      </c>
      <c r="H14016" s="1"/>
      <c r="I14016" s="1"/>
      <c r="J14016" s="1"/>
      <c r="K14016" s="1"/>
      <c r="L14016" s="1"/>
      <c r="M14016" s="1"/>
      <c r="N14016" s="1"/>
      <c r="O14016" s="1"/>
      <c r="P14016" s="1"/>
      <c r="Q14016" s="1"/>
      <c r="R14016" s="1"/>
      <c r="S14016" s="1"/>
      <c r="T14016" s="1"/>
      <c r="U14016" s="1"/>
      <c r="V14016" s="1"/>
      <c r="W14016" s="1"/>
      <c r="X14016" s="1"/>
      <c r="Y14016" s="1"/>
      <c r="Z14016" s="1"/>
      <c r="AA14016" s="1"/>
      <c r="AB14016" s="1"/>
    </row>
    <row r="14017" ht="50.25" customHeight="1">
      <c r="A14017" s="12">
        <v>14013.0</v>
      </c>
      <c r="B14017" s="13" t="s">
        <v>13197</v>
      </c>
      <c r="C14017" s="14" t="s">
        <v>13250</v>
      </c>
      <c r="D14017" s="1"/>
      <c r="E14017" s="1"/>
      <c r="F14017" s="1" t="str">
        <f>IFERROR(__xludf.DUMMYFUNCTION("GOOGLETRANSLATE(B14017, ""en"", ""fa"")
"),"اتوماسیون یوتیوب")</f>
        <v>اتوماسیون یوتیوب</v>
      </c>
      <c r="G14017" s="1" t="str">
        <f>IFERROR(__xludf.DUMMYFUNCTION("GOOGLETRANSLATE(C14017, ""en"", ""fa"")
"),"چگونه می توان استراتژی های توزیع خودکار ویدئو را برای حداکثر نوردهی پیاده سازی کرد؟")</f>
        <v>چگونه می توان استراتژی های توزیع خودکار ویدئو را برای حداکثر نوردهی پیاده سازی کرد؟</v>
      </c>
      <c r="H14017" s="1"/>
      <c r="I14017" s="1"/>
      <c r="J14017" s="1"/>
      <c r="K14017" s="1"/>
      <c r="L14017" s="1"/>
      <c r="M14017" s="1"/>
      <c r="N14017" s="1"/>
      <c r="O14017" s="1"/>
      <c r="P14017" s="1"/>
      <c r="Q14017" s="1"/>
      <c r="R14017" s="1"/>
      <c r="S14017" s="1"/>
      <c r="T14017" s="1"/>
      <c r="U14017" s="1"/>
      <c r="V14017" s="1"/>
      <c r="W14017" s="1"/>
      <c r="X14017" s="1"/>
      <c r="Y14017" s="1"/>
      <c r="Z14017" s="1"/>
      <c r="AA14017" s="1"/>
      <c r="AB14017" s="1"/>
    </row>
    <row r="14018" ht="50.25" customHeight="1">
      <c r="A14018" s="12">
        <v>14014.0</v>
      </c>
      <c r="B14018" s="13" t="s">
        <v>13197</v>
      </c>
      <c r="C14018" s="14" t="s">
        <v>13251</v>
      </c>
      <c r="D14018" s="1"/>
      <c r="E14018" s="1"/>
      <c r="F14018" s="1" t="str">
        <f>IFERROR(__xludf.DUMMYFUNCTION("GOOGLETRANSLATE(B14018, ""en"", ""fa"")
"),"اتوماسیون یوتیوب")</f>
        <v>اتوماسیون یوتیوب</v>
      </c>
      <c r="G14018" s="1" t="str">
        <f>IFERROR(__xludf.DUMMYFUNCTION("GOOGLETRANSLATE(C14018, ""en"", ""fa"")
"),"چگونه می توان نظرسنجی ها و نظرسنجی های ویدئویی خودکار را برای جمع آوری نظرات مخاطبان ایجاد کرد؟")</f>
        <v>چگونه می توان نظرسنجی ها و نظرسنجی های ویدئویی خودکار را برای جمع آوری نظرات مخاطبان ایجاد کرد؟</v>
      </c>
      <c r="H14018" s="1"/>
      <c r="I14018" s="1"/>
      <c r="J14018" s="1"/>
      <c r="K14018" s="1"/>
      <c r="L14018" s="1"/>
      <c r="M14018" s="1"/>
      <c r="N14018" s="1"/>
      <c r="O14018" s="1"/>
      <c r="P14018" s="1"/>
      <c r="Q14018" s="1"/>
      <c r="R14018" s="1"/>
      <c r="S14018" s="1"/>
      <c r="T14018" s="1"/>
      <c r="U14018" s="1"/>
      <c r="V14018" s="1"/>
      <c r="W14018" s="1"/>
      <c r="X14018" s="1"/>
      <c r="Y14018" s="1"/>
      <c r="Z14018" s="1"/>
      <c r="AA14018" s="1"/>
      <c r="AB14018" s="1"/>
    </row>
    <row r="14019" ht="50.25" customHeight="1">
      <c r="A14019" s="12">
        <v>14015.0</v>
      </c>
      <c r="B14019" s="13" t="s">
        <v>13197</v>
      </c>
      <c r="C14019" s="14" t="s">
        <v>13252</v>
      </c>
      <c r="D14019" s="1"/>
      <c r="E14019" s="1"/>
      <c r="F14019" s="1" t="str">
        <f>IFERROR(__xludf.DUMMYFUNCTION("GOOGLETRANSLATE(B14019, ""en"", ""fa"")
"),"اتوماسیون یوتیوب")</f>
        <v>اتوماسیون یوتیوب</v>
      </c>
      <c r="G14019" s="1" t="str">
        <f>IFERROR(__xludf.DUMMYFUNCTION("GOOGLETRANSLATE(C14019, ""en"", ""fa"")
"),"چگونه می توان از برچسب های ویدیویی خودکار برای کشف بهتر محتوا استفاده کرد؟")</f>
        <v>چگونه می توان از برچسب های ویدیویی خودکار برای کشف بهتر محتوا استفاده کرد؟</v>
      </c>
      <c r="H14019" s="1"/>
      <c r="I14019" s="1"/>
      <c r="J14019" s="1"/>
      <c r="K14019" s="1"/>
      <c r="L14019" s="1"/>
      <c r="M14019" s="1"/>
      <c r="N14019" s="1"/>
      <c r="O14019" s="1"/>
      <c r="P14019" s="1"/>
      <c r="Q14019" s="1"/>
      <c r="R14019" s="1"/>
      <c r="S14019" s="1"/>
      <c r="T14019" s="1"/>
      <c r="U14019" s="1"/>
      <c r="V14019" s="1"/>
      <c r="W14019" s="1"/>
      <c r="X14019" s="1"/>
      <c r="Y14019" s="1"/>
      <c r="Z14019" s="1"/>
      <c r="AA14019" s="1"/>
      <c r="AB14019" s="1"/>
    </row>
    <row r="14020" ht="50.25" customHeight="1">
      <c r="A14020" s="12">
        <v>14016.0</v>
      </c>
      <c r="B14020" s="13" t="s">
        <v>13197</v>
      </c>
      <c r="C14020" s="14" t="s">
        <v>13253</v>
      </c>
      <c r="D14020" s="1"/>
      <c r="E14020" s="1"/>
      <c r="F14020" s="1" t="str">
        <f>IFERROR(__xludf.DUMMYFUNCTION("GOOGLETRANSLATE(B14020, ""en"", ""fa"")
"),"اتوماسیون یوتیوب")</f>
        <v>اتوماسیون یوتیوب</v>
      </c>
      <c r="G14020" s="1" t="str">
        <f>IFERROR(__xludf.DUMMYFUNCTION("GOOGLETRANSLATE(C14020, ""en"", ""fa"")
"),"چگونه تقسیم بندی خودکار بیننده ویدیو را برای توصیه های شخصی تنظیم کنیم؟")</f>
        <v>چگونه تقسیم بندی خودکار بیننده ویدیو را برای توصیه های شخصی تنظیم کنیم؟</v>
      </c>
      <c r="H14020" s="1"/>
      <c r="I14020" s="1"/>
      <c r="J14020" s="1"/>
      <c r="K14020" s="1"/>
      <c r="L14020" s="1"/>
      <c r="M14020" s="1"/>
      <c r="N14020" s="1"/>
      <c r="O14020" s="1"/>
      <c r="P14020" s="1"/>
      <c r="Q14020" s="1"/>
      <c r="R14020" s="1"/>
      <c r="S14020" s="1"/>
      <c r="T14020" s="1"/>
      <c r="U14020" s="1"/>
      <c r="V14020" s="1"/>
      <c r="W14020" s="1"/>
      <c r="X14020" s="1"/>
      <c r="Y14020" s="1"/>
      <c r="Z14020" s="1"/>
      <c r="AA14020" s="1"/>
      <c r="AB14020" s="1"/>
    </row>
    <row r="14021" ht="50.25" customHeight="1">
      <c r="A14021" s="12">
        <v>14017.0</v>
      </c>
      <c r="B14021" s="13" t="s">
        <v>13197</v>
      </c>
      <c r="C14021" s="14" t="s">
        <v>13254</v>
      </c>
      <c r="D14021" s="1"/>
      <c r="E14021" s="1"/>
      <c r="F14021" s="1" t="str">
        <f>IFERROR(__xludf.DUMMYFUNCTION("GOOGLETRANSLATE(B14021, ""en"", ""fa"")
"),"اتوماسیون یوتیوب")</f>
        <v>اتوماسیون یوتیوب</v>
      </c>
      <c r="G14021" s="1" t="str">
        <f>IFERROR(__xludf.DUMMYFUNCTION("GOOGLETRANSLATE(C14021, ""en"", ""fa"")
"),"چگونه از ابزارهای خودکار برای ردیابی معیارهای عملکرد ویدیو در زمان واقعی استفاده کنیم؟")</f>
        <v>چگونه از ابزارهای خودکار برای ردیابی معیارهای عملکرد ویدیو در زمان واقعی استفاده کنیم؟</v>
      </c>
      <c r="H14021" s="1"/>
      <c r="I14021" s="1"/>
      <c r="J14021" s="1"/>
      <c r="K14021" s="1"/>
      <c r="L14021" s="1"/>
      <c r="M14021" s="1"/>
      <c r="N14021" s="1"/>
      <c r="O14021" s="1"/>
      <c r="P14021" s="1"/>
      <c r="Q14021" s="1"/>
      <c r="R14021" s="1"/>
      <c r="S14021" s="1"/>
      <c r="T14021" s="1"/>
      <c r="U14021" s="1"/>
      <c r="V14021" s="1"/>
      <c r="W14021" s="1"/>
      <c r="X14021" s="1"/>
      <c r="Y14021" s="1"/>
      <c r="Z14021" s="1"/>
      <c r="AA14021" s="1"/>
      <c r="AB14021" s="1"/>
    </row>
    <row r="14022" ht="50.25" customHeight="1">
      <c r="A14022" s="12">
        <v>14018.0</v>
      </c>
      <c r="B14022" s="13" t="s">
        <v>13197</v>
      </c>
      <c r="C14022" s="14" t="s">
        <v>13255</v>
      </c>
      <c r="D14022" s="1"/>
      <c r="E14022" s="1"/>
      <c r="F14022" s="1" t="str">
        <f>IFERROR(__xludf.DUMMYFUNCTION("GOOGLETRANSLATE(B14022, ""en"", ""fa"")
"),"اتوماسیون یوتیوب")</f>
        <v>اتوماسیون یوتیوب</v>
      </c>
      <c r="G14022" s="1" t="str">
        <f>IFERROR(__xludf.DUMMYFUNCTION("GOOGLETRANSLATE(C14022, ""en"", ""fa"")
"),"چگونه می توان آرشیو خودکار محتوای ویدیویی را برای مراجع تاریخی پیاده سازی کرد؟")</f>
        <v>چگونه می توان آرشیو خودکار محتوای ویدیویی را برای مراجع تاریخی پیاده سازی کرد؟</v>
      </c>
      <c r="H14022" s="1"/>
      <c r="I14022" s="1"/>
      <c r="J14022" s="1"/>
      <c r="K14022" s="1"/>
      <c r="L14022" s="1"/>
      <c r="M14022" s="1"/>
      <c r="N14022" s="1"/>
      <c r="O14022" s="1"/>
      <c r="P14022" s="1"/>
      <c r="Q14022" s="1"/>
      <c r="R14022" s="1"/>
      <c r="S14022" s="1"/>
      <c r="T14022" s="1"/>
      <c r="U14022" s="1"/>
      <c r="V14022" s="1"/>
      <c r="W14022" s="1"/>
      <c r="X14022" s="1"/>
      <c r="Y14022" s="1"/>
      <c r="Z14022" s="1"/>
      <c r="AA14022" s="1"/>
      <c r="AB14022" s="1"/>
    </row>
    <row r="14023" ht="50.25" customHeight="1">
      <c r="A14023" s="12">
        <v>14019.0</v>
      </c>
      <c r="B14023" s="13" t="s">
        <v>13197</v>
      </c>
      <c r="C14023" s="14" t="s">
        <v>13256</v>
      </c>
      <c r="D14023" s="1"/>
      <c r="E14023" s="1"/>
      <c r="F14023" s="1" t="str">
        <f>IFERROR(__xludf.DUMMYFUNCTION("GOOGLETRANSLATE(B14023, ""en"", ""fa"")
"),"اتوماسیون یوتیوب")</f>
        <v>اتوماسیون یوتیوب</v>
      </c>
      <c r="G14023" s="1" t="str">
        <f>IFERROR(__xludf.DUMMYFUNCTION("GOOGLETRANSLATE(C14023, ""en"", ""fa"")
"),"چگونه گزارش‌های تجزیه و تحلیل ویدیویی خودکار برای تصمیم‌گیری استراتژیک ایجاد کنیم؟")</f>
        <v>چگونه گزارش‌های تجزیه و تحلیل ویدیویی خودکار برای تصمیم‌گیری استراتژیک ایجاد کنیم؟</v>
      </c>
      <c r="H14023" s="1"/>
      <c r="I14023" s="1"/>
      <c r="J14023" s="1"/>
      <c r="K14023" s="1"/>
      <c r="L14023" s="1"/>
      <c r="M14023" s="1"/>
      <c r="N14023" s="1"/>
      <c r="O14023" s="1"/>
      <c r="P14023" s="1"/>
      <c r="Q14023" s="1"/>
      <c r="R14023" s="1"/>
      <c r="S14023" s="1"/>
      <c r="T14023" s="1"/>
      <c r="U14023" s="1"/>
      <c r="V14023" s="1"/>
      <c r="W14023" s="1"/>
      <c r="X14023" s="1"/>
      <c r="Y14023" s="1"/>
      <c r="Z14023" s="1"/>
      <c r="AA14023" s="1"/>
      <c r="AB14023" s="1"/>
    </row>
    <row r="14024" ht="50.25" customHeight="1">
      <c r="A14024" s="12">
        <v>14020.0</v>
      </c>
      <c r="B14024" s="13" t="s">
        <v>13197</v>
      </c>
      <c r="C14024" s="14" t="s">
        <v>13257</v>
      </c>
      <c r="D14024" s="1"/>
      <c r="E14024" s="1"/>
      <c r="F14024" s="1" t="str">
        <f>IFERROR(__xludf.DUMMYFUNCTION("GOOGLETRANSLATE(B14024, ""en"", ""fa"")
"),"اتوماسیون یوتیوب")</f>
        <v>اتوماسیون یوتیوب</v>
      </c>
      <c r="G14024" s="1" t="str">
        <f>IFERROR(__xludf.DUMMYFUNCTION("GOOGLETRANSLATE(C14024, ""en"", ""fa"")
"),"چگونه از بینش خودکار مخاطبان ویدیویی برای تنظیم محتوای خود استفاده کنید؟")</f>
        <v>چگونه از بینش خودکار مخاطبان ویدیویی برای تنظیم محتوای خود استفاده کنید؟</v>
      </c>
      <c r="H14024" s="1"/>
      <c r="I14024" s="1"/>
      <c r="J14024" s="1"/>
      <c r="K14024" s="1"/>
      <c r="L14024" s="1"/>
      <c r="M14024" s="1"/>
      <c r="N14024" s="1"/>
      <c r="O14024" s="1"/>
      <c r="P14024" s="1"/>
      <c r="Q14024" s="1"/>
      <c r="R14024" s="1"/>
      <c r="S14024" s="1"/>
      <c r="T14024" s="1"/>
      <c r="U14024" s="1"/>
      <c r="V14024" s="1"/>
      <c r="W14024" s="1"/>
      <c r="X14024" s="1"/>
      <c r="Y14024" s="1"/>
      <c r="Z14024" s="1"/>
      <c r="AA14024" s="1"/>
      <c r="AB14024" s="1"/>
    </row>
    <row r="14025" ht="50.25" customHeight="1">
      <c r="A14025" s="12">
        <v>14021.0</v>
      </c>
      <c r="B14025" s="13" t="s">
        <v>13197</v>
      </c>
      <c r="C14025" s="14" t="s">
        <v>13258</v>
      </c>
      <c r="D14025" s="1"/>
      <c r="E14025" s="1"/>
      <c r="F14025" s="1" t="str">
        <f>IFERROR(__xludf.DUMMYFUNCTION("GOOGLETRANSLATE(B14025, ""en"", ""fa"")
"),"اتوماسیون یوتیوب")</f>
        <v>اتوماسیون یوتیوب</v>
      </c>
      <c r="G14025" s="1" t="str">
        <f>IFERROR(__xludf.DUMMYFUNCTION("GOOGLETRANSLATE(C14025, ""en"", ""fa"")
"),"چگونه می توان واکنش های ویدئویی خودکار را به تغییرات در تعامل بیننده تنظیم کرد؟")</f>
        <v>چگونه می توان واکنش های ویدئویی خودکار را به تغییرات در تعامل بیننده تنظیم کرد؟</v>
      </c>
      <c r="H14025" s="1"/>
      <c r="I14025" s="1"/>
      <c r="J14025" s="1"/>
      <c r="K14025" s="1"/>
      <c r="L14025" s="1"/>
      <c r="M14025" s="1"/>
      <c r="N14025" s="1"/>
      <c r="O14025" s="1"/>
      <c r="P14025" s="1"/>
      <c r="Q14025" s="1"/>
      <c r="R14025" s="1"/>
      <c r="S14025" s="1"/>
      <c r="T14025" s="1"/>
      <c r="U14025" s="1"/>
      <c r="V14025" s="1"/>
      <c r="W14025" s="1"/>
      <c r="X14025" s="1"/>
      <c r="Y14025" s="1"/>
      <c r="Z14025" s="1"/>
      <c r="AA14025" s="1"/>
      <c r="AB14025" s="1"/>
    </row>
    <row r="14026" ht="50.25" customHeight="1">
      <c r="A14026" s="12">
        <v>14022.0</v>
      </c>
      <c r="B14026" s="13" t="s">
        <v>13197</v>
      </c>
      <c r="C14026" s="14" t="s">
        <v>13259</v>
      </c>
      <c r="D14026" s="1"/>
      <c r="E14026" s="1"/>
      <c r="F14026" s="1" t="str">
        <f>IFERROR(__xludf.DUMMYFUNCTION("GOOGLETRANSLATE(B14026, ""en"", ""fa"")
"),"اتوماسیون یوتیوب")</f>
        <v>اتوماسیون یوتیوب</v>
      </c>
      <c r="G14026" s="1" t="str">
        <f>IFERROR(__xludf.DUMMYFUNCTION("GOOGLETRANSLATE(C14026, ""en"", ""fa"")
"),"چگونه از ابزارهای خودکار برای پیگیری روند تعامل و تعامل ویدیویی استفاده کنیم؟")</f>
        <v>چگونه از ابزارهای خودکار برای پیگیری روند تعامل و تعامل ویدیویی استفاده کنیم؟</v>
      </c>
      <c r="H14026" s="1"/>
      <c r="I14026" s="1"/>
      <c r="J14026" s="1"/>
      <c r="K14026" s="1"/>
      <c r="L14026" s="1"/>
      <c r="M14026" s="1"/>
      <c r="N14026" s="1"/>
      <c r="O14026" s="1"/>
      <c r="P14026" s="1"/>
      <c r="Q14026" s="1"/>
      <c r="R14026" s="1"/>
      <c r="S14026" s="1"/>
      <c r="T14026" s="1"/>
      <c r="U14026" s="1"/>
      <c r="V14026" s="1"/>
      <c r="W14026" s="1"/>
      <c r="X14026" s="1"/>
      <c r="Y14026" s="1"/>
      <c r="Z14026" s="1"/>
      <c r="AA14026" s="1"/>
      <c r="AB14026" s="1"/>
    </row>
    <row r="14027" ht="50.25" customHeight="1">
      <c r="A14027" s="12">
        <v>14023.0</v>
      </c>
      <c r="B14027" s="13" t="s">
        <v>13197</v>
      </c>
      <c r="C14027" s="14" t="s">
        <v>13260</v>
      </c>
      <c r="D14027" s="1"/>
      <c r="E14027" s="1"/>
      <c r="F14027" s="1" t="str">
        <f>IFERROR(__xludf.DUMMYFUNCTION("GOOGLETRANSLATE(B14027, ""en"", ""fa"")
"),"اتوماسیون یوتیوب")</f>
        <v>اتوماسیون یوتیوب</v>
      </c>
      <c r="G14027" s="1" t="str">
        <f>IFERROR(__xludf.DUMMYFUNCTION("GOOGLETRANSLATE(C14027, ""en"", ""fa"")
"),"چگونه می توان پیشنهادات محتوای ویدیویی خودکار را برای بینندگان پیاده سازی کرد؟")</f>
        <v>چگونه می توان پیشنهادات محتوای ویدیویی خودکار را برای بینندگان پیاده سازی کرد؟</v>
      </c>
      <c r="H14027" s="1"/>
      <c r="I14027" s="1"/>
      <c r="J14027" s="1"/>
      <c r="K14027" s="1"/>
      <c r="L14027" s="1"/>
      <c r="M14027" s="1"/>
      <c r="N14027" s="1"/>
      <c r="O14027" s="1"/>
      <c r="P14027" s="1"/>
      <c r="Q14027" s="1"/>
      <c r="R14027" s="1"/>
      <c r="S14027" s="1"/>
      <c r="T14027" s="1"/>
      <c r="U14027" s="1"/>
      <c r="V14027" s="1"/>
      <c r="W14027" s="1"/>
      <c r="X14027" s="1"/>
      <c r="Y14027" s="1"/>
      <c r="Z14027" s="1"/>
      <c r="AA14027" s="1"/>
      <c r="AB14027" s="1"/>
    </row>
    <row r="14028" ht="50.25" customHeight="1">
      <c r="A14028" s="12">
        <v>14024.0</v>
      </c>
      <c r="B14028" s="13" t="s">
        <v>13197</v>
      </c>
      <c r="C14028" s="14" t="s">
        <v>13261</v>
      </c>
      <c r="D14028" s="1"/>
      <c r="E14028" s="1"/>
      <c r="F14028" s="1" t="str">
        <f>IFERROR(__xludf.DUMMYFUNCTION("GOOGLETRANSLATE(B14028, ""en"", ""fa"")
"),"اتوماسیون یوتیوب")</f>
        <v>اتوماسیون یوتیوب</v>
      </c>
      <c r="G14028" s="1" t="str">
        <f>IFERROR(__xludf.DUMMYFUNCTION("GOOGLETRANSLATE(C14028, ""en"", ""fa"")
"),"چگونه می توان محرک های تعامل ویدیویی خودکار برای تعامل بیننده ایجاد کرد؟")</f>
        <v>چگونه می توان محرک های تعامل ویدیویی خودکار برای تعامل بیننده ایجاد کرد؟</v>
      </c>
      <c r="H14028" s="1"/>
      <c r="I14028" s="1"/>
      <c r="J14028" s="1"/>
      <c r="K14028" s="1"/>
      <c r="L14028" s="1"/>
      <c r="M14028" s="1"/>
      <c r="N14028" s="1"/>
      <c r="O14028" s="1"/>
      <c r="P14028" s="1"/>
      <c r="Q14028" s="1"/>
      <c r="R14028" s="1"/>
      <c r="S14028" s="1"/>
      <c r="T14028" s="1"/>
      <c r="U14028" s="1"/>
      <c r="V14028" s="1"/>
      <c r="W14028" s="1"/>
      <c r="X14028" s="1"/>
      <c r="Y14028" s="1"/>
      <c r="Z14028" s="1"/>
      <c r="AA14028" s="1"/>
      <c r="AB14028" s="1"/>
    </row>
    <row r="14029" ht="50.25" customHeight="1">
      <c r="A14029" s="12">
        <v>14025.0</v>
      </c>
      <c r="B14029" s="13" t="s">
        <v>13197</v>
      </c>
      <c r="C14029" s="14" t="s">
        <v>13262</v>
      </c>
      <c r="D14029" s="1"/>
      <c r="E14029" s="1"/>
      <c r="F14029" s="1" t="str">
        <f>IFERROR(__xludf.DUMMYFUNCTION("GOOGLETRANSLATE(B14029, ""en"", ""fa"")
"),"اتوماسیون یوتیوب")</f>
        <v>اتوماسیون یوتیوب</v>
      </c>
      <c r="G14029" s="1" t="str">
        <f>IFERROR(__xludf.DUMMYFUNCTION("GOOGLETRANSLATE(C14029, ""en"", ""fa"")
"),"چگونه می توان از توصیه های خودکار محتوای ویدیویی برای رشد مشترک استفاده کرد؟")</f>
        <v>چگونه می توان از توصیه های خودکار محتوای ویدیویی برای رشد مشترک استفاده کرد؟</v>
      </c>
      <c r="H14029" s="1"/>
      <c r="I14029" s="1"/>
      <c r="J14029" s="1"/>
      <c r="K14029" s="1"/>
      <c r="L14029" s="1"/>
      <c r="M14029" s="1"/>
      <c r="N14029" s="1"/>
      <c r="O14029" s="1"/>
      <c r="P14029" s="1"/>
      <c r="Q14029" s="1"/>
      <c r="R14029" s="1"/>
      <c r="S14029" s="1"/>
      <c r="T14029" s="1"/>
      <c r="U14029" s="1"/>
      <c r="V14029" s="1"/>
      <c r="W14029" s="1"/>
      <c r="X14029" s="1"/>
      <c r="Y14029" s="1"/>
      <c r="Z14029" s="1"/>
      <c r="AA14029" s="1"/>
      <c r="AB14029" s="1"/>
    </row>
    <row r="14030" ht="50.25" customHeight="1">
      <c r="A14030" s="12">
        <v>14026.0</v>
      </c>
      <c r="B14030" s="13" t="s">
        <v>13197</v>
      </c>
      <c r="C14030" s="14" t="s">
        <v>13263</v>
      </c>
      <c r="D14030" s="1"/>
      <c r="E14030" s="1"/>
      <c r="F14030" s="1" t="str">
        <f>IFERROR(__xludf.DUMMYFUNCTION("GOOGLETRANSLATE(B14030, ""en"", ""fa"")
"),"اتوماسیون یوتیوب")</f>
        <v>اتوماسیون یوتیوب</v>
      </c>
      <c r="G14030" s="1" t="str">
        <f>IFERROR(__xludf.DUMMYFUNCTION("GOOGLETRANSLATE(C14030, ""en"", ""fa"")
"),"چگونه می توان تست A/B تصویر کوچک ویدئویی خودکار را برای کلیک های بهینه تنظیم کرد؟")</f>
        <v>چگونه می توان تست A/B تصویر کوچک ویدئویی خودکار را برای کلیک های بهینه تنظیم کرد؟</v>
      </c>
      <c r="H14030" s="1"/>
      <c r="I14030" s="1"/>
      <c r="J14030" s="1"/>
      <c r="K14030" s="1"/>
      <c r="L14030" s="1"/>
      <c r="M14030" s="1"/>
      <c r="N14030" s="1"/>
      <c r="O14030" s="1"/>
      <c r="P14030" s="1"/>
      <c r="Q14030" s="1"/>
      <c r="R14030" s="1"/>
      <c r="S14030" s="1"/>
      <c r="T14030" s="1"/>
      <c r="U14030" s="1"/>
      <c r="V14030" s="1"/>
      <c r="W14030" s="1"/>
      <c r="X14030" s="1"/>
      <c r="Y14030" s="1"/>
      <c r="Z14030" s="1"/>
      <c r="AA14030" s="1"/>
      <c r="AB14030" s="1"/>
    </row>
    <row r="14031" ht="50.25" customHeight="1">
      <c r="A14031" s="12">
        <v>14027.0</v>
      </c>
      <c r="B14031" s="13" t="s">
        <v>13197</v>
      </c>
      <c r="C14031" s="14" t="s">
        <v>13264</v>
      </c>
      <c r="D14031" s="1"/>
      <c r="E14031" s="1"/>
      <c r="F14031" s="1" t="str">
        <f>IFERROR(__xludf.DUMMYFUNCTION("GOOGLETRANSLATE(B14031, ""en"", ""fa"")
"),"اتوماسیون یوتیوب")</f>
        <v>اتوماسیون یوتیوب</v>
      </c>
      <c r="G14031" s="1" t="str">
        <f>IFERROR(__xludf.DUMMYFUNCTION("GOOGLETRANSLATE(C14031, ""en"", ""fa"")
"),"چگونه از ابزارهای خودکار برای ردیابی عملکرد ویدیو در برابر اهداف خود استفاده کنید؟")</f>
        <v>چگونه از ابزارهای خودکار برای ردیابی عملکرد ویدیو در برابر اهداف خود استفاده کنید؟</v>
      </c>
      <c r="H14031" s="1"/>
      <c r="I14031" s="1"/>
      <c r="J14031" s="1"/>
      <c r="K14031" s="1"/>
      <c r="L14031" s="1"/>
      <c r="M14031" s="1"/>
      <c r="N14031" s="1"/>
      <c r="O14031" s="1"/>
      <c r="P14031" s="1"/>
      <c r="Q14031" s="1"/>
      <c r="R14031" s="1"/>
      <c r="S14031" s="1"/>
      <c r="T14031" s="1"/>
      <c r="U14031" s="1"/>
      <c r="V14031" s="1"/>
      <c r="W14031" s="1"/>
      <c r="X14031" s="1"/>
      <c r="Y14031" s="1"/>
      <c r="Z14031" s="1"/>
      <c r="AA14031" s="1"/>
      <c r="AB14031" s="1"/>
    </row>
    <row r="14032" ht="50.25" customHeight="1">
      <c r="A14032" s="12">
        <v>14028.0</v>
      </c>
      <c r="B14032" s="13" t="s">
        <v>13197</v>
      </c>
      <c r="C14032" s="14" t="s">
        <v>13265</v>
      </c>
      <c r="D14032" s="1"/>
      <c r="E14032" s="1"/>
      <c r="F14032" s="1" t="str">
        <f>IFERROR(__xludf.DUMMYFUNCTION("GOOGLETRANSLATE(B14032, ""en"", ""fa"")
"),"اتوماسیون یوتیوب")</f>
        <v>اتوماسیون یوتیوب</v>
      </c>
      <c r="G14032" s="1" t="str">
        <f>IFERROR(__xludf.DUMMYFUNCTION("GOOGLETRANSLATE(C14032, ""en"", ""fa"")
"),"چگونه می توان مدیریت خودکار محتوای ویدیویی را برای لیست های پخش موضوعی پیاده سازی کرد؟")</f>
        <v>چگونه می توان مدیریت خودکار محتوای ویدیویی را برای لیست های پخش موضوعی پیاده سازی کرد؟</v>
      </c>
      <c r="H14032" s="1"/>
      <c r="I14032" s="1"/>
      <c r="J14032" s="1"/>
      <c r="K14032" s="1"/>
      <c r="L14032" s="1"/>
      <c r="M14032" s="1"/>
      <c r="N14032" s="1"/>
      <c r="O14032" s="1"/>
      <c r="P14032" s="1"/>
      <c r="Q14032" s="1"/>
      <c r="R14032" s="1"/>
      <c r="S14032" s="1"/>
      <c r="T14032" s="1"/>
      <c r="U14032" s="1"/>
      <c r="V14032" s="1"/>
      <c r="W14032" s="1"/>
      <c r="X14032" s="1"/>
      <c r="Y14032" s="1"/>
      <c r="Z14032" s="1"/>
      <c r="AA14032" s="1"/>
      <c r="AB14032" s="1"/>
    </row>
    <row r="14033" ht="50.25" customHeight="1">
      <c r="A14033" s="12">
        <v>14029.0</v>
      </c>
      <c r="B14033" s="13" t="s">
        <v>13197</v>
      </c>
      <c r="C14033" s="14" t="s">
        <v>13266</v>
      </c>
      <c r="D14033" s="1"/>
      <c r="E14033" s="1"/>
      <c r="F14033" s="1" t="str">
        <f>IFERROR(__xludf.DUMMYFUNCTION("GOOGLETRANSLATE(B14033, ""en"", ""fa"")
"),"اتوماسیون یوتیوب")</f>
        <v>اتوماسیون یوتیوب</v>
      </c>
      <c r="G14033" s="1" t="str">
        <f>IFERROR(__xludf.DUMMYFUNCTION("GOOGLETRANSLATE(C14033, ""en"", ""fa"")
"),"چگونه برای جشن گرفتن نقاط عطف، کمپین های تعامل ویدیویی خودکار ایجاد کنیم؟")</f>
        <v>چگونه برای جشن گرفتن نقاط عطف، کمپین های تعامل ویدیویی خودکار ایجاد کنیم؟</v>
      </c>
      <c r="H14033" s="1"/>
      <c r="I14033" s="1"/>
      <c r="J14033" s="1"/>
      <c r="K14033" s="1"/>
      <c r="L14033" s="1"/>
      <c r="M14033" s="1"/>
      <c r="N14033" s="1"/>
      <c r="O14033" s="1"/>
      <c r="P14033" s="1"/>
      <c r="Q14033" s="1"/>
      <c r="R14033" s="1"/>
      <c r="S14033" s="1"/>
      <c r="T14033" s="1"/>
      <c r="U14033" s="1"/>
      <c r="V14033" s="1"/>
      <c r="W14033" s="1"/>
      <c r="X14033" s="1"/>
      <c r="Y14033" s="1"/>
      <c r="Z14033" s="1"/>
      <c r="AA14033" s="1"/>
      <c r="AB14033" s="1"/>
    </row>
    <row r="14034" ht="50.25" customHeight="1">
      <c r="A14034" s="12">
        <v>14030.0</v>
      </c>
      <c r="B14034" s="13" t="s">
        <v>13197</v>
      </c>
      <c r="C14034" s="14" t="s">
        <v>13267</v>
      </c>
      <c r="D14034" s="1"/>
      <c r="E14034" s="1"/>
      <c r="F14034" s="1" t="str">
        <f>IFERROR(__xludf.DUMMYFUNCTION("GOOGLETRANSLATE(B14034, ""en"", ""fa"")
"),"اتوماسیون یوتیوب")</f>
        <v>اتوماسیون یوتیوب</v>
      </c>
      <c r="G14034" s="1" t="str">
        <f>IFERROR(__xludf.DUMMYFUNCTION("GOOGLETRANSLATE(C14034, ""en"", ""fa"")
"),"چگونه می توان از رونوشت های ویدئویی خودکار برای استفاده مجدد محتوا استفاده کرد؟")</f>
        <v>چگونه می توان از رونوشت های ویدئویی خودکار برای استفاده مجدد محتوا استفاده کرد؟</v>
      </c>
      <c r="H14034" s="1"/>
      <c r="I14034" s="1"/>
      <c r="J14034" s="1"/>
      <c r="K14034" s="1"/>
      <c r="L14034" s="1"/>
      <c r="M14034" s="1"/>
      <c r="N14034" s="1"/>
      <c r="O14034" s="1"/>
      <c r="P14034" s="1"/>
      <c r="Q14034" s="1"/>
      <c r="R14034" s="1"/>
      <c r="S14034" s="1"/>
      <c r="T14034" s="1"/>
      <c r="U14034" s="1"/>
      <c r="V14034" s="1"/>
      <c r="W14034" s="1"/>
      <c r="X14034" s="1"/>
      <c r="Y14034" s="1"/>
      <c r="Z14034" s="1"/>
      <c r="AA14034" s="1"/>
      <c r="AB14034" s="1"/>
    </row>
    <row r="14035" ht="50.25" customHeight="1">
      <c r="A14035" s="12">
        <v>14031.0</v>
      </c>
      <c r="B14035" s="13" t="s">
        <v>13197</v>
      </c>
      <c r="C14035" s="14" t="s">
        <v>13268</v>
      </c>
      <c r="D14035" s="1"/>
      <c r="E14035" s="1"/>
      <c r="F14035" s="1" t="str">
        <f>IFERROR(__xludf.DUMMYFUNCTION("GOOGLETRANSLATE(B14035, ""en"", ""fa"")
"),"اتوماسیون یوتیوب")</f>
        <v>اتوماسیون یوتیوب</v>
      </c>
      <c r="G14035" s="1" t="str">
        <f>IFERROR(__xludf.DUMMYFUNCTION("GOOGLETRANSLATE(C14035, ""en"", ""fa"")
"),"چگونه می توان درخواست های همکاری خودکار محتوای ویدیویی را با اینفلوئنسرها تنظیم کرد؟")</f>
        <v>چگونه می توان درخواست های همکاری خودکار محتوای ویدیویی را با اینفلوئنسرها تنظیم کرد؟</v>
      </c>
      <c r="H14035" s="1"/>
      <c r="I14035" s="1"/>
      <c r="J14035" s="1"/>
      <c r="K14035" s="1"/>
      <c r="L14035" s="1"/>
      <c r="M14035" s="1"/>
      <c r="N14035" s="1"/>
      <c r="O14035" s="1"/>
      <c r="P14035" s="1"/>
      <c r="Q14035" s="1"/>
      <c r="R14035" s="1"/>
      <c r="S14035" s="1"/>
      <c r="T14035" s="1"/>
      <c r="U14035" s="1"/>
      <c r="V14035" s="1"/>
      <c r="W14035" s="1"/>
      <c r="X14035" s="1"/>
      <c r="Y14035" s="1"/>
      <c r="Z14035" s="1"/>
      <c r="AA14035" s="1"/>
      <c r="AB14035" s="1"/>
    </row>
    <row r="14036" ht="50.25" customHeight="1">
      <c r="A14036" s="12">
        <v>14032.0</v>
      </c>
      <c r="B14036" s="13" t="s">
        <v>13197</v>
      </c>
      <c r="C14036" s="14" t="s">
        <v>13269</v>
      </c>
      <c r="D14036" s="1"/>
      <c r="E14036" s="1"/>
      <c r="F14036" s="1" t="str">
        <f>IFERROR(__xludf.DUMMYFUNCTION("GOOGLETRANSLATE(B14036, ""en"", ""fa"")
"),"اتوماسیون یوتیوب")</f>
        <v>اتوماسیون یوتیوب</v>
      </c>
      <c r="G14036" s="1" t="str">
        <f>IFERROR(__xludf.DUMMYFUNCTION("GOOGLETRANSLATE(C14036, ""en"", ""fa"")
"),"چگونه از ابزارهای خودکار برای ردیابی نوسانات تعامل ویدیو استفاده کنیم؟")</f>
        <v>چگونه از ابزارهای خودکار برای ردیابی نوسانات تعامل ویدیو استفاده کنیم؟</v>
      </c>
      <c r="H14036" s="1"/>
      <c r="I14036" s="1"/>
      <c r="J14036" s="1"/>
      <c r="K14036" s="1"/>
      <c r="L14036" s="1"/>
      <c r="M14036" s="1"/>
      <c r="N14036" s="1"/>
      <c r="O14036" s="1"/>
      <c r="P14036" s="1"/>
      <c r="Q14036" s="1"/>
      <c r="R14036" s="1"/>
      <c r="S14036" s="1"/>
      <c r="T14036" s="1"/>
      <c r="U14036" s="1"/>
      <c r="V14036" s="1"/>
      <c r="W14036" s="1"/>
      <c r="X14036" s="1"/>
      <c r="Y14036" s="1"/>
      <c r="Z14036" s="1"/>
      <c r="AA14036" s="1"/>
      <c r="AB14036" s="1"/>
    </row>
    <row r="14037" ht="50.25" customHeight="1">
      <c r="A14037" s="12">
        <v>14033.0</v>
      </c>
      <c r="B14037" s="13" t="s">
        <v>13197</v>
      </c>
      <c r="C14037" s="14" t="s">
        <v>13270</v>
      </c>
      <c r="D14037" s="1"/>
      <c r="E14037" s="1"/>
      <c r="F14037" s="1" t="str">
        <f>IFERROR(__xludf.DUMMYFUNCTION("GOOGLETRANSLATE(B14037, ""en"", ""fa"")
"),"اتوماسیون یوتیوب")</f>
        <v>اتوماسیون یوتیوب</v>
      </c>
      <c r="G14037" s="1" t="str">
        <f>IFERROR(__xludf.DUMMYFUNCTION("GOOGLETRANSLATE(C14037, ""en"", ""fa"")
"),"چگونه می توان برچسب گذاری خودکار محتوای ویدیویی را برای دسته بندی پیاده سازی کرد؟")</f>
        <v>چگونه می توان برچسب گذاری خودکار محتوای ویدیویی را برای دسته بندی پیاده سازی کرد؟</v>
      </c>
      <c r="H14037" s="1"/>
      <c r="I14037" s="1"/>
      <c r="J14037" s="1"/>
      <c r="K14037" s="1"/>
      <c r="L14037" s="1"/>
      <c r="M14037" s="1"/>
      <c r="N14037" s="1"/>
      <c r="O14037" s="1"/>
      <c r="P14037" s="1"/>
      <c r="Q14037" s="1"/>
      <c r="R14037" s="1"/>
      <c r="S14037" s="1"/>
      <c r="T14037" s="1"/>
      <c r="U14037" s="1"/>
      <c r="V14037" s="1"/>
      <c r="W14037" s="1"/>
      <c r="X14037" s="1"/>
      <c r="Y14037" s="1"/>
      <c r="Z14037" s="1"/>
      <c r="AA14037" s="1"/>
      <c r="AB14037" s="1"/>
    </row>
    <row r="14038" ht="50.25" customHeight="1">
      <c r="A14038" s="12">
        <v>14034.0</v>
      </c>
      <c r="B14038" s="13" t="s">
        <v>13197</v>
      </c>
      <c r="C14038" s="14" t="s">
        <v>13271</v>
      </c>
      <c r="D14038" s="1"/>
      <c r="E14038" s="1"/>
      <c r="F14038" s="1" t="str">
        <f>IFERROR(__xludf.DUMMYFUNCTION("GOOGLETRANSLATE(B14038, ""en"", ""fa"")
"),"اتوماسیون یوتیوب")</f>
        <v>اتوماسیون یوتیوب</v>
      </c>
      <c r="G14038" s="1" t="str">
        <f>IFERROR(__xludf.DUMMYFUNCTION("GOOGLETRANSLATE(C14038, ""en"", ""fa"")
"),"چگونه توالی های تبلیغاتی خودکار ویدیویی را برای مشترکین جدید ایجاد کنیم؟")</f>
        <v>چگونه توالی های تبلیغاتی خودکار ویدیویی را برای مشترکین جدید ایجاد کنیم؟</v>
      </c>
      <c r="H14038" s="1"/>
      <c r="I14038" s="1"/>
      <c r="J14038" s="1"/>
      <c r="K14038" s="1"/>
      <c r="L14038" s="1"/>
      <c r="M14038" s="1"/>
      <c r="N14038" s="1"/>
      <c r="O14038" s="1"/>
      <c r="P14038" s="1"/>
      <c r="Q14038" s="1"/>
      <c r="R14038" s="1"/>
      <c r="S14038" s="1"/>
      <c r="T14038" s="1"/>
      <c r="U14038" s="1"/>
      <c r="V14038" s="1"/>
      <c r="W14038" s="1"/>
      <c r="X14038" s="1"/>
      <c r="Y14038" s="1"/>
      <c r="Z14038" s="1"/>
      <c r="AA14038" s="1"/>
      <c r="AB14038" s="1"/>
    </row>
    <row r="14039" ht="50.25" customHeight="1">
      <c r="A14039" s="12">
        <v>14035.0</v>
      </c>
      <c r="B14039" s="13" t="s">
        <v>13197</v>
      </c>
      <c r="C14039" s="14" t="s">
        <v>13272</v>
      </c>
      <c r="D14039" s="1"/>
      <c r="E14039" s="1"/>
      <c r="F14039" s="1" t="str">
        <f>IFERROR(__xludf.DUMMYFUNCTION("GOOGLETRANSLATE(B14039, ""en"", ""fa"")
"),"اتوماسیون یوتیوب")</f>
        <v>اتوماسیون یوتیوب</v>
      </c>
      <c r="G14039" s="1" t="str">
        <f>IFERROR(__xludf.DUMMYFUNCTION("GOOGLETRANSLATE(C14039, ""en"", ""fa"")
"),"چگونه می توان از داده های تعامل ویدیویی خودکار برای بهینه سازی طول محتوا استفاده کرد؟")</f>
        <v>چگونه می توان از داده های تعامل ویدیویی خودکار برای بهینه سازی طول محتوا استفاده کرد؟</v>
      </c>
      <c r="H14039" s="1"/>
      <c r="I14039" s="1"/>
      <c r="J14039" s="1"/>
      <c r="K14039" s="1"/>
      <c r="L14039" s="1"/>
      <c r="M14039" s="1"/>
      <c r="N14039" s="1"/>
      <c r="O14039" s="1"/>
      <c r="P14039" s="1"/>
      <c r="Q14039" s="1"/>
      <c r="R14039" s="1"/>
      <c r="S14039" s="1"/>
      <c r="T14039" s="1"/>
      <c r="U14039" s="1"/>
      <c r="V14039" s="1"/>
      <c r="W14039" s="1"/>
      <c r="X14039" s="1"/>
      <c r="Y14039" s="1"/>
      <c r="Z14039" s="1"/>
      <c r="AA14039" s="1"/>
      <c r="AB14039" s="1"/>
    </row>
    <row r="14040" ht="50.25" customHeight="1">
      <c r="A14040" s="12">
        <v>14036.0</v>
      </c>
      <c r="B14040" s="13" t="s">
        <v>13197</v>
      </c>
      <c r="C14040" s="14" t="s">
        <v>13273</v>
      </c>
      <c r="D14040" s="1"/>
      <c r="E14040" s="1"/>
      <c r="F14040" s="1" t="str">
        <f>IFERROR(__xludf.DUMMYFUNCTION("GOOGLETRANSLATE(B14040, ""en"", ""fa"")
"),"اتوماسیون یوتیوب")</f>
        <v>اتوماسیون یوتیوب</v>
      </c>
      <c r="G14040" s="1" t="str">
        <f>IFERROR(__xludf.DUMMYFUNCTION("GOOGLETRANSLATE(C14040, ""en"", ""fa"")
"),"چگونه می توان نظارت خودکار روند ویدیویی را برای ایده های محتوا تنظیم کرد؟")</f>
        <v>چگونه می توان نظارت خودکار روند ویدیویی را برای ایده های محتوا تنظیم کرد؟</v>
      </c>
      <c r="H14040" s="1"/>
      <c r="I14040" s="1"/>
      <c r="J14040" s="1"/>
      <c r="K14040" s="1"/>
      <c r="L14040" s="1"/>
      <c r="M14040" s="1"/>
      <c r="N14040" s="1"/>
      <c r="O14040" s="1"/>
      <c r="P14040" s="1"/>
      <c r="Q14040" s="1"/>
      <c r="R14040" s="1"/>
      <c r="S14040" s="1"/>
      <c r="T14040" s="1"/>
      <c r="U14040" s="1"/>
      <c r="V14040" s="1"/>
      <c r="W14040" s="1"/>
      <c r="X14040" s="1"/>
      <c r="Y14040" s="1"/>
      <c r="Z14040" s="1"/>
      <c r="AA14040" s="1"/>
      <c r="AB14040" s="1"/>
    </row>
    <row r="14041" ht="50.25" customHeight="1">
      <c r="A14041" s="12">
        <v>14037.0</v>
      </c>
      <c r="B14041" s="13" t="s">
        <v>13197</v>
      </c>
      <c r="C14041" s="14" t="s">
        <v>13274</v>
      </c>
      <c r="D14041" s="1"/>
      <c r="E14041" s="1"/>
      <c r="F14041" s="1" t="str">
        <f>IFERROR(__xludf.DUMMYFUNCTION("GOOGLETRANSLATE(B14041, ""en"", ""fa"")
"),"اتوماسیون یوتیوب")</f>
        <v>اتوماسیون یوتیوب</v>
      </c>
      <c r="G14041" s="1" t="str">
        <f>IFERROR(__xludf.DUMMYFUNCTION("GOOGLETRANSLATE(C14041, ""en"", ""fa"")
"),"چگونه از ابزارهای خودکار برای ردیابی تعامل ویدیو در پلتفرم های مختلف استفاده کنیم؟")</f>
        <v>چگونه از ابزارهای خودکار برای ردیابی تعامل ویدیو در پلتفرم های مختلف استفاده کنیم؟</v>
      </c>
      <c r="H14041" s="1"/>
      <c r="I14041" s="1"/>
      <c r="J14041" s="1"/>
      <c r="K14041" s="1"/>
      <c r="L14041" s="1"/>
      <c r="M14041" s="1"/>
      <c r="N14041" s="1"/>
      <c r="O14041" s="1"/>
      <c r="P14041" s="1"/>
      <c r="Q14041" s="1"/>
      <c r="R14041" s="1"/>
      <c r="S14041" s="1"/>
      <c r="T14041" s="1"/>
      <c r="U14041" s="1"/>
      <c r="V14041" s="1"/>
      <c r="W14041" s="1"/>
      <c r="X14041" s="1"/>
      <c r="Y14041" s="1"/>
      <c r="Z14041" s="1"/>
      <c r="AA14041" s="1"/>
      <c r="AB14041" s="1"/>
    </row>
    <row r="14042" ht="50.25" customHeight="1">
      <c r="A14042" s="12">
        <v>14038.0</v>
      </c>
      <c r="B14042" s="13" t="s">
        <v>13197</v>
      </c>
      <c r="C14042" s="14" t="s">
        <v>13275</v>
      </c>
      <c r="D14042" s="1"/>
      <c r="E14042" s="1"/>
      <c r="F14042" s="1" t="str">
        <f>IFERROR(__xludf.DUMMYFUNCTION("GOOGLETRANSLATE(B14042, ""en"", ""fa"")
"),"اتوماسیون یوتیوب")</f>
        <v>اتوماسیون یوتیوب</v>
      </c>
      <c r="G14042" s="1" t="str">
        <f>IFERROR(__xludf.DUMMYFUNCTION("GOOGLETRANSLATE(C14042, ""en"", ""fa"")
"),"چگونه می توان پیوند متقابل محتوای ویدیویی خودکار را برای حفظ بیننده پیاده سازی کرد؟")</f>
        <v>چگونه می توان پیوند متقابل محتوای ویدیویی خودکار را برای حفظ بیننده پیاده سازی کرد؟</v>
      </c>
      <c r="H14042" s="1"/>
      <c r="I14042" s="1"/>
      <c r="J14042" s="1"/>
      <c r="K14042" s="1"/>
      <c r="L14042" s="1"/>
      <c r="M14042" s="1"/>
      <c r="N14042" s="1"/>
      <c r="O14042" s="1"/>
      <c r="P14042" s="1"/>
      <c r="Q14042" s="1"/>
      <c r="R14042" s="1"/>
      <c r="S14042" s="1"/>
      <c r="T14042" s="1"/>
      <c r="U14042" s="1"/>
      <c r="V14042" s="1"/>
      <c r="W14042" s="1"/>
      <c r="X14042" s="1"/>
      <c r="Y14042" s="1"/>
      <c r="Z14042" s="1"/>
      <c r="AA14042" s="1"/>
      <c r="AB14042" s="1"/>
    </row>
    <row r="14043" ht="50.25" customHeight="1">
      <c r="A14043" s="12">
        <v>14039.0</v>
      </c>
      <c r="B14043" s="13" t="s">
        <v>13197</v>
      </c>
      <c r="C14043" s="14" t="s">
        <v>13276</v>
      </c>
      <c r="D14043" s="1"/>
      <c r="E14043" s="1"/>
      <c r="F14043" s="1" t="str">
        <f>IFERROR(__xludf.DUMMYFUNCTION("GOOGLETRANSLATE(B14043, ""en"", ""fa"")
"),"اتوماسیون یوتیوب")</f>
        <v>اتوماسیون یوتیوب</v>
      </c>
      <c r="G14043" s="1" t="str">
        <f>IFERROR(__xludf.DUMMYFUNCTION("GOOGLETRANSLATE(C14043, ""en"", ""fa"")
"),"چگونه برای محتوای تولید شده توسط کاربر کمپین های تعامل ویدیویی خودکار ایجاد کنیم؟")</f>
        <v>چگونه برای محتوای تولید شده توسط کاربر کمپین های تعامل ویدیویی خودکار ایجاد کنیم؟</v>
      </c>
      <c r="H14043" s="1"/>
      <c r="I14043" s="1"/>
      <c r="J14043" s="1"/>
      <c r="K14043" s="1"/>
      <c r="L14043" s="1"/>
      <c r="M14043" s="1"/>
      <c r="N14043" s="1"/>
      <c r="O14043" s="1"/>
      <c r="P14043" s="1"/>
      <c r="Q14043" s="1"/>
      <c r="R14043" s="1"/>
      <c r="S14043" s="1"/>
      <c r="T14043" s="1"/>
      <c r="U14043" s="1"/>
      <c r="V14043" s="1"/>
      <c r="W14043" s="1"/>
      <c r="X14043" s="1"/>
      <c r="Y14043" s="1"/>
      <c r="Z14043" s="1"/>
      <c r="AA14043" s="1"/>
      <c r="AB14043" s="1"/>
    </row>
    <row r="14044" ht="50.25" customHeight="1">
      <c r="A14044" s="12">
        <v>14040.0</v>
      </c>
      <c r="B14044" s="13" t="s">
        <v>13197</v>
      </c>
      <c r="C14044" s="14" t="s">
        <v>13277</v>
      </c>
      <c r="D14044" s="1"/>
      <c r="E14044" s="1"/>
      <c r="F14044" s="1" t="str">
        <f>IFERROR(__xludf.DUMMYFUNCTION("GOOGLETRANSLATE(B14044, ""en"", ""fa"")
"),"اتوماسیون یوتیوب")</f>
        <v>اتوماسیون یوتیوب</v>
      </c>
      <c r="G14044" s="1" t="str">
        <f>IFERROR(__xludf.DUMMYFUNCTION("GOOGLETRANSLATE(C14044, ""en"", ""fa"")
"),"چگونه می توان از روندهای خودکار موضوع ویدیو برای ایجاد محتوا استفاده کرد؟")</f>
        <v>چگونه می توان از روندهای خودکار موضوع ویدیو برای ایجاد محتوا استفاده کرد؟</v>
      </c>
      <c r="H14044" s="1"/>
      <c r="I14044" s="1"/>
      <c r="J14044" s="1"/>
      <c r="K14044" s="1"/>
      <c r="L14044" s="1"/>
      <c r="M14044" s="1"/>
      <c r="N14044" s="1"/>
      <c r="O14044" s="1"/>
      <c r="P14044" s="1"/>
      <c r="Q14044" s="1"/>
      <c r="R14044" s="1"/>
      <c r="S14044" s="1"/>
      <c r="T14044" s="1"/>
      <c r="U14044" s="1"/>
      <c r="V14044" s="1"/>
      <c r="W14044" s="1"/>
      <c r="X14044" s="1"/>
      <c r="Y14044" s="1"/>
      <c r="Z14044" s="1"/>
      <c r="AA14044" s="1"/>
      <c r="AB14044" s="1"/>
    </row>
    <row r="14045" ht="50.25" customHeight="1">
      <c r="A14045" s="12">
        <v>14041.0</v>
      </c>
      <c r="B14045" s="13" t="s">
        <v>13197</v>
      </c>
      <c r="C14045" s="14" t="s">
        <v>13278</v>
      </c>
      <c r="D14045" s="1"/>
      <c r="E14045" s="1"/>
      <c r="F14045" s="1" t="str">
        <f>IFERROR(__xludf.DUMMYFUNCTION("GOOGLETRANSLATE(B14045, ""en"", ""fa"")
"),"اتوماسیون یوتیوب")</f>
        <v>اتوماسیون یوتیوب</v>
      </c>
      <c r="G14045" s="1" t="str">
        <f>IFERROR(__xludf.DUMMYFUNCTION("GOOGLETRANSLATE(C14045, ""en"", ""fa"")
"),"چگونه می توان همکاری خودکار محتوای ویدیویی را با سازندگان دیگر تنظیم کرد؟")</f>
        <v>چگونه می توان همکاری خودکار محتوای ویدیویی را با سازندگان دیگر تنظیم کرد؟</v>
      </c>
      <c r="H14045" s="1"/>
      <c r="I14045" s="1"/>
      <c r="J14045" s="1"/>
      <c r="K14045" s="1"/>
      <c r="L14045" s="1"/>
      <c r="M14045" s="1"/>
      <c r="N14045" s="1"/>
      <c r="O14045" s="1"/>
      <c r="P14045" s="1"/>
      <c r="Q14045" s="1"/>
      <c r="R14045" s="1"/>
      <c r="S14045" s="1"/>
      <c r="T14045" s="1"/>
      <c r="U14045" s="1"/>
      <c r="V14045" s="1"/>
      <c r="W14045" s="1"/>
      <c r="X14045" s="1"/>
      <c r="Y14045" s="1"/>
      <c r="Z14045" s="1"/>
      <c r="AA14045" s="1"/>
      <c r="AB14045" s="1"/>
    </row>
    <row r="14046" ht="50.25" customHeight="1">
      <c r="A14046" s="12">
        <v>14042.0</v>
      </c>
      <c r="B14046" s="13" t="s">
        <v>13197</v>
      </c>
      <c r="C14046" s="14" t="s">
        <v>13279</v>
      </c>
      <c r="D14046" s="1"/>
      <c r="E14046" s="1"/>
      <c r="F14046" s="1" t="str">
        <f>IFERROR(__xludf.DUMMYFUNCTION("GOOGLETRANSLATE(B14046, ""en"", ""fa"")
"),"اتوماسیون یوتیوب")</f>
        <v>اتوماسیون یوتیوب</v>
      </c>
      <c r="G14046" s="1" t="str">
        <f>IFERROR(__xludf.DUMMYFUNCTION("GOOGLETRANSLATE(C14046, ""en"", ""fa"")
"),"چگونه می توان از ابزارهای خودکار برای ردیابی تعامل ویدیو در رابطه با بیننده استفاده کرد؟")</f>
        <v>چگونه می توان از ابزارهای خودکار برای ردیابی تعامل ویدیو در رابطه با بیننده استفاده کرد؟</v>
      </c>
      <c r="H14046" s="1"/>
      <c r="I14046" s="1"/>
      <c r="J14046" s="1"/>
      <c r="K14046" s="1"/>
      <c r="L14046" s="1"/>
      <c r="M14046" s="1"/>
      <c r="N14046" s="1"/>
      <c r="O14046" s="1"/>
      <c r="P14046" s="1"/>
      <c r="Q14046" s="1"/>
      <c r="R14046" s="1"/>
      <c r="S14046" s="1"/>
      <c r="T14046" s="1"/>
      <c r="U14046" s="1"/>
      <c r="V14046" s="1"/>
      <c r="W14046" s="1"/>
      <c r="X14046" s="1"/>
      <c r="Y14046" s="1"/>
      <c r="Z14046" s="1"/>
      <c r="AA14046" s="1"/>
      <c r="AB14046" s="1"/>
    </row>
    <row r="14047" ht="50.25" customHeight="1">
      <c r="A14047" s="12">
        <v>14043.0</v>
      </c>
      <c r="B14047" s="13" t="s">
        <v>13197</v>
      </c>
      <c r="C14047" s="14" t="s">
        <v>13280</v>
      </c>
      <c r="D14047" s="1"/>
      <c r="E14047" s="1"/>
      <c r="F14047" s="1" t="str">
        <f>IFERROR(__xludf.DUMMYFUNCTION("GOOGLETRANSLATE(B14047, ""en"", ""fa"")
"),"اتوماسیون یوتیوب")</f>
        <v>اتوماسیون یوتیوب</v>
      </c>
      <c r="G14047" s="1" t="str">
        <f>IFERROR(__xludf.DUMMYFUNCTION("GOOGLETRANSLATE(C14047, ""en"", ""fa"")
"),"چگونه می توان توصیه های خودکار محتوای ویدیویی را بر اساس رفتار بیننده پیاده سازی کرد؟")</f>
        <v>چگونه می توان توصیه های خودکار محتوای ویدیویی را بر اساس رفتار بیننده پیاده سازی کرد؟</v>
      </c>
      <c r="H14047" s="1"/>
      <c r="I14047" s="1"/>
      <c r="J14047" s="1"/>
      <c r="K14047" s="1"/>
      <c r="L14047" s="1"/>
      <c r="M14047" s="1"/>
      <c r="N14047" s="1"/>
      <c r="O14047" s="1"/>
      <c r="P14047" s="1"/>
      <c r="Q14047" s="1"/>
      <c r="R14047" s="1"/>
      <c r="S14047" s="1"/>
      <c r="T14047" s="1"/>
      <c r="U14047" s="1"/>
      <c r="V14047" s="1"/>
      <c r="W14047" s="1"/>
      <c r="X14047" s="1"/>
      <c r="Y14047" s="1"/>
      <c r="Z14047" s="1"/>
      <c r="AA14047" s="1"/>
      <c r="AB14047" s="1"/>
    </row>
    <row r="14048" ht="50.25" customHeight="1">
      <c r="A14048" s="12">
        <v>14044.0</v>
      </c>
      <c r="B14048" s="13" t="s">
        <v>13197</v>
      </c>
      <c r="C14048" s="14" t="s">
        <v>13281</v>
      </c>
      <c r="D14048" s="1"/>
      <c r="E14048" s="1"/>
      <c r="F14048" s="1" t="str">
        <f>IFERROR(__xludf.DUMMYFUNCTION("GOOGLETRANSLATE(B14048, ""en"", ""fa"")
"),"اتوماسیون یوتیوب")</f>
        <v>اتوماسیون یوتیوب</v>
      </c>
      <c r="G14048" s="1" t="str">
        <f>IFERROR(__xludf.DUMMYFUNCTION("GOOGLETRANSLATE(C14048, ""en"", ""fa"")
"),"چگونه استراتژی‌های تعامل ویدیویی خودکار برای محتوای تعاملی ایجاد کنیم؟")</f>
        <v>چگونه استراتژی‌های تعامل ویدیویی خودکار برای محتوای تعاملی ایجاد کنیم؟</v>
      </c>
      <c r="H14048" s="1"/>
      <c r="I14048" s="1"/>
      <c r="J14048" s="1"/>
      <c r="K14048" s="1"/>
      <c r="L14048" s="1"/>
      <c r="M14048" s="1"/>
      <c r="N14048" s="1"/>
      <c r="O14048" s="1"/>
      <c r="P14048" s="1"/>
      <c r="Q14048" s="1"/>
      <c r="R14048" s="1"/>
      <c r="S14048" s="1"/>
      <c r="T14048" s="1"/>
      <c r="U14048" s="1"/>
      <c r="V14048" s="1"/>
      <c r="W14048" s="1"/>
      <c r="X14048" s="1"/>
      <c r="Y14048" s="1"/>
      <c r="Z14048" s="1"/>
      <c r="AA14048" s="1"/>
      <c r="AB14048" s="1"/>
    </row>
    <row r="14049" ht="50.25" customHeight="1">
      <c r="A14049" s="12">
        <v>14045.0</v>
      </c>
      <c r="B14049" s="13" t="s">
        <v>13197</v>
      </c>
      <c r="C14049" s="14" t="s">
        <v>13282</v>
      </c>
      <c r="D14049" s="1"/>
      <c r="E14049" s="1"/>
      <c r="F14049" s="1" t="str">
        <f>IFERROR(__xludf.DUMMYFUNCTION("GOOGLETRANSLATE(B14049, ""en"", ""fa"")
"),"اتوماسیون یوتیوب")</f>
        <v>اتوماسیون یوتیوب</v>
      </c>
      <c r="G14049" s="1" t="str">
        <f>IFERROR(__xludf.DUMMYFUNCTION("GOOGLETRANSLATE(C14049, ""en"", ""fa"")
"),"چگونه می توان از بینش داده های ویدیویی خودکار برای بهینه سازی ارائه محتوا استفاده کرد؟")</f>
        <v>چگونه می توان از بینش داده های ویدیویی خودکار برای بهینه سازی ارائه محتوا استفاده کرد؟</v>
      </c>
      <c r="H14049" s="1"/>
      <c r="I14049" s="1"/>
      <c r="J14049" s="1"/>
      <c r="K14049" s="1"/>
      <c r="L14049" s="1"/>
      <c r="M14049" s="1"/>
      <c r="N14049" s="1"/>
      <c r="O14049" s="1"/>
      <c r="P14049" s="1"/>
      <c r="Q14049" s="1"/>
      <c r="R14049" s="1"/>
      <c r="S14049" s="1"/>
      <c r="T14049" s="1"/>
      <c r="U14049" s="1"/>
      <c r="V14049" s="1"/>
      <c r="W14049" s="1"/>
      <c r="X14049" s="1"/>
      <c r="Y14049" s="1"/>
      <c r="Z14049" s="1"/>
      <c r="AA14049" s="1"/>
      <c r="AB14049" s="1"/>
    </row>
    <row r="14050" ht="50.25" customHeight="1">
      <c r="A14050" s="12">
        <v>14046.0</v>
      </c>
      <c r="B14050" s="13" t="s">
        <v>13197</v>
      </c>
      <c r="C14050" s="14" t="s">
        <v>13283</v>
      </c>
      <c r="D14050" s="1"/>
      <c r="E14050" s="1"/>
      <c r="F14050" s="1" t="str">
        <f>IFERROR(__xludf.DUMMYFUNCTION("GOOGLETRANSLATE(B14050, ""en"", ""fa"")
"),"اتوماسیون یوتیوب")</f>
        <v>اتوماسیون یوتیوب</v>
      </c>
      <c r="G14050" s="1" t="str">
        <f>IFERROR(__xludf.DUMMYFUNCTION("GOOGLETRANSLATE(C14050, ""en"", ""fa"")
"),"چگونه می توان برچسب گذاری خودکار محتوای ویدیویی را برای نتایج جستجوی بهینه تنظیم کرد؟")</f>
        <v>چگونه می توان برچسب گذاری خودکار محتوای ویدیویی را برای نتایج جستجوی بهینه تنظیم کرد؟</v>
      </c>
      <c r="H14050" s="1"/>
      <c r="I14050" s="1"/>
      <c r="J14050" s="1"/>
      <c r="K14050" s="1"/>
      <c r="L14050" s="1"/>
      <c r="M14050" s="1"/>
      <c r="N14050" s="1"/>
      <c r="O14050" s="1"/>
      <c r="P14050" s="1"/>
      <c r="Q14050" s="1"/>
      <c r="R14050" s="1"/>
      <c r="S14050" s="1"/>
      <c r="T14050" s="1"/>
      <c r="U14050" s="1"/>
      <c r="V14050" s="1"/>
      <c r="W14050" s="1"/>
      <c r="X14050" s="1"/>
      <c r="Y14050" s="1"/>
      <c r="Z14050" s="1"/>
      <c r="AA14050" s="1"/>
      <c r="AB14050" s="1"/>
    </row>
    <row r="14051" ht="50.25" customHeight="1">
      <c r="A14051" s="12">
        <v>14047.0</v>
      </c>
      <c r="B14051" s="13" t="s">
        <v>13197</v>
      </c>
      <c r="C14051" s="14" t="s">
        <v>13284</v>
      </c>
      <c r="D14051" s="1"/>
      <c r="E14051" s="1"/>
      <c r="F14051" s="1" t="str">
        <f>IFERROR(__xludf.DUMMYFUNCTION("GOOGLETRANSLATE(B14051, ""en"", ""fa"")
"),"اتوماسیون یوتیوب")</f>
        <v>اتوماسیون یوتیوب</v>
      </c>
      <c r="G14051" s="1" t="str">
        <f>IFERROR(__xludf.DUMMYFUNCTION("GOOGLETRANSLATE(C14051, ""en"", ""fa"")
"),"چگونه از ابزارهای خودکار برای ردیابی قله ها و دره های تعامل ویدیویی استفاده کنیم؟")</f>
        <v>چگونه از ابزارهای خودکار برای ردیابی قله ها و دره های تعامل ویدیویی استفاده کنیم؟</v>
      </c>
      <c r="H14051" s="1"/>
      <c r="I14051" s="1"/>
      <c r="J14051" s="1"/>
      <c r="K14051" s="1"/>
      <c r="L14051" s="1"/>
      <c r="M14051" s="1"/>
      <c r="N14051" s="1"/>
      <c r="O14051" s="1"/>
      <c r="P14051" s="1"/>
      <c r="Q14051" s="1"/>
      <c r="R14051" s="1"/>
      <c r="S14051" s="1"/>
      <c r="T14051" s="1"/>
      <c r="U14051" s="1"/>
      <c r="V14051" s="1"/>
      <c r="W14051" s="1"/>
      <c r="X14051" s="1"/>
      <c r="Y14051" s="1"/>
      <c r="Z14051" s="1"/>
      <c r="AA14051" s="1"/>
      <c r="AB14051" s="1"/>
    </row>
    <row r="14052" ht="50.25" customHeight="1">
      <c r="A14052" s="12">
        <v>14048.0</v>
      </c>
      <c r="B14052" s="13" t="s">
        <v>13197</v>
      </c>
      <c r="C14052" s="14" t="s">
        <v>13285</v>
      </c>
      <c r="D14052" s="1"/>
      <c r="E14052" s="1"/>
      <c r="F14052" s="1" t="str">
        <f>IFERROR(__xludf.DUMMYFUNCTION("GOOGLETRANSLATE(B14052, ""en"", ""fa"")
"),"اتوماسیون یوتیوب")</f>
        <v>اتوماسیون یوتیوب</v>
      </c>
      <c r="G14052" s="1" t="str">
        <f>IFERROR(__xludf.DUMMYFUNCTION("GOOGLETRANSLATE(C14052, ""en"", ""fa"")
"),"چگونه می توان محتوای ویدئویی خودکار را برای قرار گرفتن در معرض گسترده تر پیاده سازی کرد؟")</f>
        <v>چگونه می توان محتوای ویدئویی خودکار را برای قرار گرفتن در معرض گسترده تر پیاده سازی کرد؟</v>
      </c>
      <c r="H14052" s="1"/>
      <c r="I14052" s="1"/>
      <c r="J14052" s="1"/>
      <c r="K14052" s="1"/>
      <c r="L14052" s="1"/>
      <c r="M14052" s="1"/>
      <c r="N14052" s="1"/>
      <c r="O14052" s="1"/>
      <c r="P14052" s="1"/>
      <c r="Q14052" s="1"/>
      <c r="R14052" s="1"/>
      <c r="S14052" s="1"/>
      <c r="T14052" s="1"/>
      <c r="U14052" s="1"/>
      <c r="V14052" s="1"/>
      <c r="W14052" s="1"/>
      <c r="X14052" s="1"/>
      <c r="Y14052" s="1"/>
      <c r="Z14052" s="1"/>
      <c r="AA14052" s="1"/>
      <c r="AB14052" s="1"/>
    </row>
    <row r="14053" ht="50.25" customHeight="1">
      <c r="A14053" s="12">
        <v>14049.0</v>
      </c>
      <c r="B14053" s="13" t="s">
        <v>13197</v>
      </c>
      <c r="C14053" s="14" t="s">
        <v>13286</v>
      </c>
      <c r="D14053" s="1"/>
      <c r="E14053" s="1"/>
      <c r="F14053" s="1" t="str">
        <f>IFERROR(__xludf.DUMMYFUNCTION("GOOGLETRANSLATE(B14053, ""en"", ""fa"")
"),"اتوماسیون یوتیوب")</f>
        <v>اتوماسیون یوتیوب</v>
      </c>
      <c r="G14053" s="1" t="str">
        <f>IFERROR(__xludf.DUMMYFUNCTION("GOOGLETRANSLATE(C14053, ""en"", ""fa"")
"),"چگونه برای جذب مجدد مشترکین غیرفعال کمپین های تعامل ویدیویی خودکار ایجاد کنیم؟")</f>
        <v>چگونه برای جذب مجدد مشترکین غیرفعال کمپین های تعامل ویدیویی خودکار ایجاد کنیم؟</v>
      </c>
      <c r="H14053" s="1"/>
      <c r="I14053" s="1"/>
      <c r="J14053" s="1"/>
      <c r="K14053" s="1"/>
      <c r="L14053" s="1"/>
      <c r="M14053" s="1"/>
      <c r="N14053" s="1"/>
      <c r="O14053" s="1"/>
      <c r="P14053" s="1"/>
      <c r="Q14053" s="1"/>
      <c r="R14053" s="1"/>
      <c r="S14053" s="1"/>
      <c r="T14053" s="1"/>
      <c r="U14053" s="1"/>
      <c r="V14053" s="1"/>
      <c r="W14053" s="1"/>
      <c r="X14053" s="1"/>
      <c r="Y14053" s="1"/>
      <c r="Z14053" s="1"/>
      <c r="AA14053" s="1"/>
      <c r="AB14053" s="1"/>
    </row>
    <row r="14054" ht="50.25" customHeight="1">
      <c r="A14054" s="12">
        <v>14050.0</v>
      </c>
      <c r="B14054" s="13" t="s">
        <v>13197</v>
      </c>
      <c r="C14054" s="14" t="s">
        <v>13287</v>
      </c>
      <c r="D14054" s="1"/>
      <c r="E14054" s="1"/>
      <c r="F14054" s="1" t="str">
        <f>IFERROR(__xludf.DUMMYFUNCTION("GOOGLETRANSLATE(B14054, ""en"", ""fa"")
"),"اتوماسیون یوتیوب")</f>
        <v>اتوماسیون یوتیوب</v>
      </c>
      <c r="G14054" s="1" t="str">
        <f>IFERROR(__xludf.DUMMYFUNCTION("GOOGLETRANSLATE(C14054, ""en"", ""fa"")
"),"چگونه از تجزیه و تحلیل ویدیوی خودکار برای شناسایی اولویت های بیننده استفاده کنیم؟")</f>
        <v>چگونه از تجزیه و تحلیل ویدیوی خودکار برای شناسایی اولویت های بیننده استفاده کنیم؟</v>
      </c>
      <c r="H14054" s="1"/>
      <c r="I14054" s="1"/>
      <c r="J14054" s="1"/>
      <c r="K14054" s="1"/>
      <c r="L14054" s="1"/>
      <c r="M14054" s="1"/>
      <c r="N14054" s="1"/>
      <c r="O14054" s="1"/>
      <c r="P14054" s="1"/>
      <c r="Q14054" s="1"/>
      <c r="R14054" s="1"/>
      <c r="S14054" s="1"/>
      <c r="T14054" s="1"/>
      <c r="U14054" s="1"/>
      <c r="V14054" s="1"/>
      <c r="W14054" s="1"/>
      <c r="X14054" s="1"/>
      <c r="Y14054" s="1"/>
      <c r="Z14054" s="1"/>
      <c r="AA14054" s="1"/>
      <c r="AB14054" s="1"/>
    </row>
    <row r="14055" ht="50.25" customHeight="1">
      <c r="A14055" s="12">
        <v>14051.0</v>
      </c>
      <c r="B14055" s="13" t="s">
        <v>13197</v>
      </c>
      <c r="C14055" s="14" t="s">
        <v>13288</v>
      </c>
      <c r="D14055" s="1"/>
      <c r="E14055" s="1"/>
      <c r="F14055" s="1" t="str">
        <f>IFERROR(__xludf.DUMMYFUNCTION("GOOGLETRANSLATE(B14055, ""en"", ""fa"")
"),"اتوماسیون یوتیوب")</f>
        <v>اتوماسیون یوتیوب</v>
      </c>
      <c r="G14055" s="1" t="str">
        <f>IFERROR(__xludf.DUMMYFUNCTION("GOOGLETRANSLATE(C14055, ""en"", ""fa"")
"),"چگونه جلسات طوفان فکری محتوای ویدیویی خودکار را با استفاده از هوش مصنوعی تنظیم کنیم؟")</f>
        <v>چگونه جلسات طوفان فکری محتوای ویدیویی خودکار را با استفاده از هوش مصنوعی تنظیم کنیم؟</v>
      </c>
      <c r="H14055" s="1"/>
      <c r="I14055" s="1"/>
      <c r="J14055" s="1"/>
      <c r="K14055" s="1"/>
      <c r="L14055" s="1"/>
      <c r="M14055" s="1"/>
      <c r="N14055" s="1"/>
      <c r="O14055" s="1"/>
      <c r="P14055" s="1"/>
      <c r="Q14055" s="1"/>
      <c r="R14055" s="1"/>
      <c r="S14055" s="1"/>
      <c r="T14055" s="1"/>
      <c r="U14055" s="1"/>
      <c r="V14055" s="1"/>
      <c r="W14055" s="1"/>
      <c r="X14055" s="1"/>
      <c r="Y14055" s="1"/>
      <c r="Z14055" s="1"/>
      <c r="AA14055" s="1"/>
      <c r="AB14055" s="1"/>
    </row>
    <row r="14056" ht="50.25" customHeight="1">
      <c r="A14056" s="12">
        <v>14052.0</v>
      </c>
      <c r="B14056" s="13" t="s">
        <v>13197</v>
      </c>
      <c r="C14056" s="14" t="s">
        <v>13289</v>
      </c>
      <c r="D14056" s="1"/>
      <c r="E14056" s="1"/>
      <c r="F14056" s="1" t="str">
        <f>IFERROR(__xludf.DUMMYFUNCTION("GOOGLETRANSLATE(B14056, ""en"", ""fa"")
"),"اتوماسیون یوتیوب")</f>
        <v>اتوماسیون یوتیوب</v>
      </c>
      <c r="G14056" s="1" t="str">
        <f>IFERROR(__xludf.DUMMYFUNCTION("GOOGLETRANSLATE(C14056, ""en"", ""fa"")
"),"چگونه از ابزارهای خودکار برای ردیابی الگوهای تعامل ویدیویی در میان جمعیت‌شناسی استفاده کنیم؟")</f>
        <v>چگونه از ابزارهای خودکار برای ردیابی الگوهای تعامل ویدیویی در میان جمعیت‌شناسی استفاده کنیم؟</v>
      </c>
      <c r="H14056" s="1"/>
      <c r="I14056" s="1"/>
      <c r="J14056" s="1"/>
      <c r="K14056" s="1"/>
      <c r="L14056" s="1"/>
      <c r="M14056" s="1"/>
      <c r="N14056" s="1"/>
      <c r="O14056" s="1"/>
      <c r="P14056" s="1"/>
      <c r="Q14056" s="1"/>
      <c r="R14056" s="1"/>
      <c r="S14056" s="1"/>
      <c r="T14056" s="1"/>
      <c r="U14056" s="1"/>
      <c r="V14056" s="1"/>
      <c r="W14056" s="1"/>
      <c r="X14056" s="1"/>
      <c r="Y14056" s="1"/>
      <c r="Z14056" s="1"/>
      <c r="AA14056" s="1"/>
      <c r="AB14056" s="1"/>
    </row>
    <row r="14057" ht="50.25" customHeight="1">
      <c r="A14057" s="12">
        <v>14053.0</v>
      </c>
      <c r="B14057" s="13" t="s">
        <v>13197</v>
      </c>
      <c r="C14057" s="14" t="s">
        <v>13290</v>
      </c>
      <c r="D14057" s="1"/>
      <c r="E14057" s="1"/>
      <c r="F14057" s="1" t="str">
        <f>IFERROR(__xludf.DUMMYFUNCTION("GOOGLETRANSLATE(B14057, ""en"", ""fa"")
"),"اتوماسیون یوتیوب")</f>
        <v>اتوماسیون یوتیوب</v>
      </c>
      <c r="G14057" s="1" t="str">
        <f>IFERROR(__xludf.DUMMYFUNCTION("GOOGLETRANSLATE(C14057, ""en"", ""fa"")
"),"چگونه می توان همکاری های خودکار محتوای ویدیویی را با کارشناسان پیاده سازی کرد؟")</f>
        <v>چگونه می توان همکاری های خودکار محتوای ویدیویی را با کارشناسان پیاده سازی کرد؟</v>
      </c>
      <c r="H14057" s="1"/>
      <c r="I14057" s="1"/>
      <c r="J14057" s="1"/>
      <c r="K14057" s="1"/>
      <c r="L14057" s="1"/>
      <c r="M14057" s="1"/>
      <c r="N14057" s="1"/>
      <c r="O14057" s="1"/>
      <c r="P14057" s="1"/>
      <c r="Q14057" s="1"/>
      <c r="R14057" s="1"/>
      <c r="S14057" s="1"/>
      <c r="T14057" s="1"/>
      <c r="U14057" s="1"/>
      <c r="V14057" s="1"/>
      <c r="W14057" s="1"/>
      <c r="X14057" s="1"/>
      <c r="Y14057" s="1"/>
      <c r="Z14057" s="1"/>
      <c r="AA14057" s="1"/>
      <c r="AB14057" s="1"/>
    </row>
    <row r="14058" ht="50.25" customHeight="1">
      <c r="A14058" s="12">
        <v>14054.0</v>
      </c>
      <c r="B14058" s="13" t="s">
        <v>13197</v>
      </c>
      <c r="C14058" s="14" t="s">
        <v>13291</v>
      </c>
      <c r="D14058" s="1"/>
      <c r="E14058" s="1"/>
      <c r="F14058" s="1" t="str">
        <f>IFERROR(__xludf.DUMMYFUNCTION("GOOGLETRANSLATE(B14058, ""en"", ""fa"")
"),"اتوماسیون یوتیوب")</f>
        <v>اتوماسیون یوتیوب</v>
      </c>
      <c r="G14058" s="1" t="str">
        <f>IFERROR(__xludf.DUMMYFUNCTION("GOOGLETRANSLATE(C14058, ""en"", ""fa"")
"),"چگونه برای جشن گرفتن رویدادهای فصلی کمپین های تعامل ویدیویی خودکار ایجاد کنیم؟")</f>
        <v>چگونه برای جشن گرفتن رویدادهای فصلی کمپین های تعامل ویدیویی خودکار ایجاد کنیم؟</v>
      </c>
      <c r="H14058" s="1"/>
      <c r="I14058" s="1"/>
      <c r="J14058" s="1"/>
      <c r="K14058" s="1"/>
      <c r="L14058" s="1"/>
      <c r="M14058" s="1"/>
      <c r="N14058" s="1"/>
      <c r="O14058" s="1"/>
      <c r="P14058" s="1"/>
      <c r="Q14058" s="1"/>
      <c r="R14058" s="1"/>
      <c r="S14058" s="1"/>
      <c r="T14058" s="1"/>
      <c r="U14058" s="1"/>
      <c r="V14058" s="1"/>
      <c r="W14058" s="1"/>
      <c r="X14058" s="1"/>
      <c r="Y14058" s="1"/>
      <c r="Z14058" s="1"/>
      <c r="AA14058" s="1"/>
      <c r="AB14058" s="1"/>
    </row>
    <row r="14059" ht="50.25" customHeight="1">
      <c r="A14059" s="12">
        <v>14055.0</v>
      </c>
      <c r="B14059" s="13" t="s">
        <v>13197</v>
      </c>
      <c r="C14059" s="14" t="s">
        <v>13292</v>
      </c>
      <c r="D14059" s="1"/>
      <c r="E14059" s="1"/>
      <c r="F14059" s="1" t="str">
        <f>IFERROR(__xludf.DUMMYFUNCTION("GOOGLETRANSLATE(B14059, ""en"", ""fa"")
"),"اتوماسیون یوتیوب")</f>
        <v>اتوماسیون یوتیوب</v>
      </c>
      <c r="G14059" s="1" t="str">
        <f>IFERROR(__xludf.DUMMYFUNCTION("GOOGLETRANSLATE(C14059, ""en"", ""fa"")
"),"چگونه می توان از بینش داده های ویدئویی خودکار برای بهینه سازی عناوین محتوا استفاده کرد؟")</f>
        <v>چگونه می توان از بینش داده های ویدئویی خودکار برای بهینه سازی عناوین محتوا استفاده کرد؟</v>
      </c>
      <c r="H14059" s="1"/>
      <c r="I14059" s="1"/>
      <c r="J14059" s="1"/>
      <c r="K14059" s="1"/>
      <c r="L14059" s="1"/>
      <c r="M14059" s="1"/>
      <c r="N14059" s="1"/>
      <c r="O14059" s="1"/>
      <c r="P14059" s="1"/>
      <c r="Q14059" s="1"/>
      <c r="R14059" s="1"/>
      <c r="S14059" s="1"/>
      <c r="T14059" s="1"/>
      <c r="U14059" s="1"/>
      <c r="V14059" s="1"/>
      <c r="W14059" s="1"/>
      <c r="X14059" s="1"/>
      <c r="Y14059" s="1"/>
      <c r="Z14059" s="1"/>
      <c r="AA14059" s="1"/>
      <c r="AB14059" s="1"/>
    </row>
    <row r="14060" ht="50.25" customHeight="1">
      <c r="A14060" s="12">
        <v>14056.0</v>
      </c>
      <c r="B14060" s="13" t="s">
        <v>13197</v>
      </c>
      <c r="C14060" s="14" t="s">
        <v>13293</v>
      </c>
      <c r="D14060" s="1"/>
      <c r="E14060" s="1"/>
      <c r="F14060" s="1" t="str">
        <f>IFERROR(__xludf.DUMMYFUNCTION("GOOGLETRANSLATE(B14060, ""en"", ""fa"")
"),"اتوماسیون یوتیوب")</f>
        <v>اتوماسیون یوتیوب</v>
      </c>
      <c r="G14060" s="1" t="str">
        <f>IFERROR(__xludf.DUMMYFUNCTION("GOOGLETRANSLATE(C14060, ""en"", ""fa"")
"),"چگونه می توان توصیه های خودکار محتوای ویدیویی را برای مجموعه های محتوا تنظیم کرد؟")</f>
        <v>چگونه می توان توصیه های خودکار محتوای ویدیویی را برای مجموعه های محتوا تنظیم کرد؟</v>
      </c>
      <c r="H14060" s="1"/>
      <c r="I14060" s="1"/>
      <c r="J14060" s="1"/>
      <c r="K14060" s="1"/>
      <c r="L14060" s="1"/>
      <c r="M14060" s="1"/>
      <c r="N14060" s="1"/>
      <c r="O14060" s="1"/>
      <c r="P14060" s="1"/>
      <c r="Q14060" s="1"/>
      <c r="R14060" s="1"/>
      <c r="S14060" s="1"/>
      <c r="T14060" s="1"/>
      <c r="U14060" s="1"/>
      <c r="V14060" s="1"/>
      <c r="W14060" s="1"/>
      <c r="X14060" s="1"/>
      <c r="Y14060" s="1"/>
      <c r="Z14060" s="1"/>
      <c r="AA14060" s="1"/>
      <c r="AB14060" s="1"/>
    </row>
    <row r="14061" ht="50.25" customHeight="1">
      <c r="A14061" s="12">
        <v>14057.0</v>
      </c>
      <c r="B14061" s="13" t="s">
        <v>13197</v>
      </c>
      <c r="C14061" s="14" t="s">
        <v>13294</v>
      </c>
      <c r="D14061" s="1"/>
      <c r="E14061" s="1"/>
      <c r="F14061" s="1" t="str">
        <f>IFERROR(__xludf.DUMMYFUNCTION("GOOGLETRANSLATE(B14061, ""en"", ""fa"")
"),"اتوماسیون یوتیوب")</f>
        <v>اتوماسیون یوتیوب</v>
      </c>
      <c r="G14061" s="1" t="str">
        <f>IFERROR(__xludf.DUMMYFUNCTION("GOOGLETRANSLATE(C14061, ""en"", ""fa"")
"),"چگونه از ابزارهای خودکار برای ردیابی تعامل ویدیویی در رابطه با تبلیغات استفاده کنیم؟")</f>
        <v>چگونه از ابزارهای خودکار برای ردیابی تعامل ویدیویی در رابطه با تبلیغات استفاده کنیم؟</v>
      </c>
      <c r="H14061" s="1"/>
      <c r="I14061" s="1"/>
      <c r="J14061" s="1"/>
      <c r="K14061" s="1"/>
      <c r="L14061" s="1"/>
      <c r="M14061" s="1"/>
      <c r="N14061" s="1"/>
      <c r="O14061" s="1"/>
      <c r="P14061" s="1"/>
      <c r="Q14061" s="1"/>
      <c r="R14061" s="1"/>
      <c r="S14061" s="1"/>
      <c r="T14061" s="1"/>
      <c r="U14061" s="1"/>
      <c r="V14061" s="1"/>
      <c r="W14061" s="1"/>
      <c r="X14061" s="1"/>
      <c r="Y14061" s="1"/>
      <c r="Z14061" s="1"/>
      <c r="AA14061" s="1"/>
      <c r="AB14061" s="1"/>
    </row>
    <row r="14062" ht="50.25" customHeight="1">
      <c r="A14062" s="12">
        <v>14058.0</v>
      </c>
      <c r="B14062" s="13" t="s">
        <v>13197</v>
      </c>
      <c r="C14062" s="14" t="s">
        <v>13295</v>
      </c>
      <c r="D14062" s="1"/>
      <c r="E14062" s="1"/>
      <c r="F14062" s="1" t="str">
        <f>IFERROR(__xludf.DUMMYFUNCTION("GOOGLETRANSLATE(B14062, ""en"", ""fa"")
"),"اتوماسیون یوتیوب")</f>
        <v>اتوماسیون یوتیوب</v>
      </c>
      <c r="G14062" s="1" t="str">
        <f>IFERROR(__xludf.DUMMYFUNCTION("GOOGLETRANSLATE(C14062, ""en"", ""fa"")
"),"چگونه می توان پیشنهادات محتوای ویدیویی خودکار را برای ویدیوهای مرتبط پیاده سازی کرد؟")</f>
        <v>چگونه می توان پیشنهادات محتوای ویدیویی خودکار را برای ویدیوهای مرتبط پیاده سازی کرد؟</v>
      </c>
      <c r="H14062" s="1"/>
      <c r="I14062" s="1"/>
      <c r="J14062" s="1"/>
      <c r="K14062" s="1"/>
      <c r="L14062" s="1"/>
      <c r="M14062" s="1"/>
      <c r="N14062" s="1"/>
      <c r="O14062" s="1"/>
      <c r="P14062" s="1"/>
      <c r="Q14062" s="1"/>
      <c r="R14062" s="1"/>
      <c r="S14062" s="1"/>
      <c r="T14062" s="1"/>
      <c r="U14062" s="1"/>
      <c r="V14062" s="1"/>
      <c r="W14062" s="1"/>
      <c r="X14062" s="1"/>
      <c r="Y14062" s="1"/>
      <c r="Z14062" s="1"/>
      <c r="AA14062" s="1"/>
      <c r="AB14062" s="1"/>
    </row>
    <row r="14063" ht="50.25" customHeight="1">
      <c r="A14063" s="12">
        <v>14059.0</v>
      </c>
      <c r="B14063" s="13" t="s">
        <v>13197</v>
      </c>
      <c r="C14063" s="14" t="s">
        <v>13296</v>
      </c>
      <c r="D14063" s="1"/>
      <c r="E14063" s="1"/>
      <c r="F14063" s="1" t="str">
        <f>IFERROR(__xludf.DUMMYFUNCTION("GOOGLETRANSLATE(B14063, ""en"", ""fa"")
"),"اتوماسیون یوتیوب")</f>
        <v>اتوماسیون یوتیوب</v>
      </c>
      <c r="G14063" s="1" t="str">
        <f>IFERROR(__xludf.DUMMYFUNCTION("GOOGLETRANSLATE(C14063, ""en"", ""fa"")
"),"چگونه کمپین های تعامل ویدیویی خودکار برای محتوای انحصاری ایجاد کنیم؟")</f>
        <v>چگونه کمپین های تعامل ویدیویی خودکار برای محتوای انحصاری ایجاد کنیم؟</v>
      </c>
      <c r="H14063" s="1"/>
      <c r="I14063" s="1"/>
      <c r="J14063" s="1"/>
      <c r="K14063" s="1"/>
      <c r="L14063" s="1"/>
      <c r="M14063" s="1"/>
      <c r="N14063" s="1"/>
      <c r="O14063" s="1"/>
      <c r="P14063" s="1"/>
      <c r="Q14063" s="1"/>
      <c r="R14063" s="1"/>
      <c r="S14063" s="1"/>
      <c r="T14063" s="1"/>
      <c r="U14063" s="1"/>
      <c r="V14063" s="1"/>
      <c r="W14063" s="1"/>
      <c r="X14063" s="1"/>
      <c r="Y14063" s="1"/>
      <c r="Z14063" s="1"/>
      <c r="AA14063" s="1"/>
      <c r="AB14063" s="1"/>
    </row>
    <row r="14064" ht="50.25" customHeight="1">
      <c r="A14064" s="12">
        <v>14060.0</v>
      </c>
      <c r="B14064" s="13" t="s">
        <v>13197</v>
      </c>
      <c r="C14064" s="14" t="s">
        <v>13297</v>
      </c>
      <c r="D14064" s="1"/>
      <c r="E14064" s="1"/>
      <c r="F14064" s="1" t="str">
        <f>IFERROR(__xludf.DUMMYFUNCTION("GOOGLETRANSLATE(B14064, ""en"", ""fa"")
"),"اتوماسیون یوتیوب")</f>
        <v>اتوماسیون یوتیوب</v>
      </c>
      <c r="G14064" s="1" t="str">
        <f>IFERROR(__xludf.DUMMYFUNCTION("GOOGLETRANSLATE(C14064, ""en"", ""fa"")
"),"چگونه می توان از بینش داده های ویدئویی خودکار برای بهینه سازی توضیحات محتوا استفاده کرد؟")</f>
        <v>چگونه می توان از بینش داده های ویدئویی خودکار برای بهینه سازی توضیحات محتوا استفاده کرد؟</v>
      </c>
      <c r="H14064" s="1"/>
      <c r="I14064" s="1"/>
      <c r="J14064" s="1"/>
      <c r="K14064" s="1"/>
      <c r="L14064" s="1"/>
      <c r="M14064" s="1"/>
      <c r="N14064" s="1"/>
      <c r="O14064" s="1"/>
      <c r="P14064" s="1"/>
      <c r="Q14064" s="1"/>
      <c r="R14064" s="1"/>
      <c r="S14064" s="1"/>
      <c r="T14064" s="1"/>
      <c r="U14064" s="1"/>
      <c r="V14064" s="1"/>
      <c r="W14064" s="1"/>
      <c r="X14064" s="1"/>
      <c r="Y14064" s="1"/>
      <c r="Z14064" s="1"/>
      <c r="AA14064" s="1"/>
      <c r="AB14064" s="1"/>
    </row>
    <row r="14065" ht="50.25" customHeight="1">
      <c r="A14065" s="12">
        <v>14061.0</v>
      </c>
      <c r="B14065" s="13" t="s">
        <v>13197</v>
      </c>
      <c r="C14065" s="14" t="s">
        <v>13298</v>
      </c>
      <c r="D14065" s="1"/>
      <c r="E14065" s="1"/>
      <c r="F14065" s="1" t="str">
        <f>IFERROR(__xludf.DUMMYFUNCTION("GOOGLETRANSLATE(B14065, ""en"", ""fa"")
"),"اتوماسیون یوتیوب")</f>
        <v>اتوماسیون یوتیوب</v>
      </c>
      <c r="G14065" s="1" t="str">
        <f>IFERROR(__xludf.DUMMYFUNCTION("GOOGLETRANSLATE(C14065, ""en"", ""fa"")
"),"چگونه آپلودهای YouTube خود را برای جذب مخاطب بهینه برنامه ریزی کنیم؟")</f>
        <v>چگونه آپلودهای YouTube خود را برای جذب مخاطب بهینه برنامه ریزی کنیم؟</v>
      </c>
      <c r="H14065" s="1"/>
      <c r="I14065" s="1"/>
      <c r="J14065" s="1"/>
      <c r="K14065" s="1"/>
      <c r="L14065" s="1"/>
      <c r="M14065" s="1"/>
      <c r="N14065" s="1"/>
      <c r="O14065" s="1"/>
      <c r="P14065" s="1"/>
      <c r="Q14065" s="1"/>
      <c r="R14065" s="1"/>
      <c r="S14065" s="1"/>
      <c r="T14065" s="1"/>
      <c r="U14065" s="1"/>
      <c r="V14065" s="1"/>
      <c r="W14065" s="1"/>
      <c r="X14065" s="1"/>
      <c r="Y14065" s="1"/>
      <c r="Z14065" s="1"/>
      <c r="AA14065" s="1"/>
      <c r="AB14065" s="1"/>
    </row>
    <row r="14066" ht="50.25" customHeight="1">
      <c r="A14066" s="12">
        <v>14062.0</v>
      </c>
      <c r="B14066" s="13" t="s">
        <v>13197</v>
      </c>
      <c r="C14066" s="14" t="s">
        <v>13299</v>
      </c>
      <c r="D14066" s="1"/>
      <c r="E14066" s="1"/>
      <c r="F14066" s="1" t="str">
        <f>IFERROR(__xludf.DUMMYFUNCTION("GOOGLETRANSLATE(B14066, ""en"", ""fa"")
"),"اتوماسیون یوتیوب")</f>
        <v>اتوماسیون یوتیوب</v>
      </c>
      <c r="G14066" s="1" t="str">
        <f>IFERROR(__xludf.DUMMYFUNCTION("GOOGLETRANSLATE(C14066, ""en"", ""fa"")
"),"چگونه فرآیند اشتراک‌گذاری ویدیوهای YouTube خود را در پلتفرم‌های رسانه‌های اجتماعی خودکار کنیم؟")</f>
        <v>چگونه فرآیند اشتراک‌گذاری ویدیوهای YouTube خود را در پلتفرم‌های رسانه‌های اجتماعی خودکار کنیم؟</v>
      </c>
      <c r="H14066" s="1"/>
      <c r="I14066" s="1"/>
      <c r="J14066" s="1"/>
      <c r="K14066" s="1"/>
      <c r="L14066" s="1"/>
      <c r="M14066" s="1"/>
      <c r="N14066" s="1"/>
      <c r="O14066" s="1"/>
      <c r="P14066" s="1"/>
      <c r="Q14066" s="1"/>
      <c r="R14066" s="1"/>
      <c r="S14066" s="1"/>
      <c r="T14066" s="1"/>
      <c r="U14066" s="1"/>
      <c r="V14066" s="1"/>
      <c r="W14066" s="1"/>
      <c r="X14066" s="1"/>
      <c r="Y14066" s="1"/>
      <c r="Z14066" s="1"/>
      <c r="AA14066" s="1"/>
      <c r="AB14066" s="1"/>
    </row>
    <row r="14067" ht="50.25" customHeight="1">
      <c r="A14067" s="12">
        <v>14063.0</v>
      </c>
      <c r="B14067" s="13" t="s">
        <v>13197</v>
      </c>
      <c r="C14067" s="14" t="s">
        <v>13300</v>
      </c>
      <c r="D14067" s="1"/>
      <c r="E14067" s="1"/>
      <c r="F14067" s="1" t="str">
        <f>IFERROR(__xludf.DUMMYFUNCTION("GOOGLETRANSLATE(B14067, ""en"", ""fa"")
"),"اتوماسیون یوتیوب")</f>
        <v>اتوماسیون یوتیوب</v>
      </c>
      <c r="G14067" s="1" t="str">
        <f>IFERROR(__xludf.DUMMYFUNCTION("GOOGLETRANSLATE(C14067, ""en"", ""fa"")
"),"چگونه از کمپین های ایمیل خودکار برای اطلاع رسانی به مشترکان در مورد انتشار ویدیوهای جدید خود استفاده کنیم؟")</f>
        <v>چگونه از کمپین های ایمیل خودکار برای اطلاع رسانی به مشترکان در مورد انتشار ویدیوهای جدید خود استفاده کنیم؟</v>
      </c>
      <c r="H14067" s="1"/>
      <c r="I14067" s="1"/>
      <c r="J14067" s="1"/>
      <c r="K14067" s="1"/>
      <c r="L14067" s="1"/>
      <c r="M14067" s="1"/>
      <c r="N14067" s="1"/>
      <c r="O14067" s="1"/>
      <c r="P14067" s="1"/>
      <c r="Q14067" s="1"/>
      <c r="R14067" s="1"/>
      <c r="S14067" s="1"/>
      <c r="T14067" s="1"/>
      <c r="U14067" s="1"/>
      <c r="V14067" s="1"/>
      <c r="W14067" s="1"/>
      <c r="X14067" s="1"/>
      <c r="Y14067" s="1"/>
      <c r="Z14067" s="1"/>
      <c r="AA14067" s="1"/>
      <c r="AB14067" s="1"/>
    </row>
    <row r="14068" ht="50.25" customHeight="1">
      <c r="A14068" s="12">
        <v>14064.0</v>
      </c>
      <c r="B14068" s="13" t="s">
        <v>13197</v>
      </c>
      <c r="C14068" s="14" t="s">
        <v>13301</v>
      </c>
      <c r="D14068" s="1"/>
      <c r="E14068" s="1"/>
      <c r="F14068" s="1" t="str">
        <f>IFERROR(__xludf.DUMMYFUNCTION("GOOGLETRANSLATE(B14068, ""en"", ""fa"")
"),"اتوماسیون یوتیوب")</f>
        <v>اتوماسیون یوتیوب</v>
      </c>
      <c r="G14068" s="1" t="str">
        <f>IFERROR(__xludf.DUMMYFUNCTION("GOOGLETRANSLATE(C14068, ""en"", ""fa"")
"),"چگونه برای بهبود دسترسی، زیرنویس‌های خودکار را برای ویدیوهای YouTube خود تنظیم کنیم؟")</f>
        <v>چگونه برای بهبود دسترسی، زیرنویس‌های خودکار را برای ویدیوهای YouTube خود تنظیم کنیم؟</v>
      </c>
      <c r="H14068" s="1"/>
      <c r="I14068" s="1"/>
      <c r="J14068" s="1"/>
      <c r="K14068" s="1"/>
      <c r="L14068" s="1"/>
      <c r="M14068" s="1"/>
      <c r="N14068" s="1"/>
      <c r="O14068" s="1"/>
      <c r="P14068" s="1"/>
      <c r="Q14068" s="1"/>
      <c r="R14068" s="1"/>
      <c r="S14068" s="1"/>
      <c r="T14068" s="1"/>
      <c r="U14068" s="1"/>
      <c r="V14068" s="1"/>
      <c r="W14068" s="1"/>
      <c r="X14068" s="1"/>
      <c r="Y14068" s="1"/>
      <c r="Z14068" s="1"/>
      <c r="AA14068" s="1"/>
      <c r="AB14068" s="1"/>
    </row>
    <row r="14069" ht="50.25" customHeight="1">
      <c r="A14069" s="12">
        <v>14065.0</v>
      </c>
      <c r="B14069" s="13" t="s">
        <v>13197</v>
      </c>
      <c r="C14069" s="14" t="s">
        <v>13302</v>
      </c>
      <c r="D14069" s="1"/>
      <c r="E14069" s="1"/>
      <c r="F14069" s="1" t="str">
        <f>IFERROR(__xludf.DUMMYFUNCTION("GOOGLETRANSLATE(B14069, ""en"", ""fa"")
"),"اتوماسیون یوتیوب")</f>
        <v>اتوماسیون یوتیوب</v>
      </c>
      <c r="G14069" s="1" t="str">
        <f>IFERROR(__xludf.DUMMYFUNCTION("GOOGLETRANSLATE(C14069, ""en"", ""fa"")
"),"چگونه با استفاده از قالب‌ها و از پیش تنظیم‌های خودکار، گردش کار ویرایش ویدیوی خود را ساده کنید؟")</f>
        <v>چگونه با استفاده از قالب‌ها و از پیش تنظیم‌های خودکار، گردش کار ویرایش ویدیوی خود را ساده کنید؟</v>
      </c>
      <c r="H14069" s="1"/>
      <c r="I14069" s="1"/>
      <c r="J14069" s="1"/>
      <c r="K14069" s="1"/>
      <c r="L14069" s="1"/>
      <c r="M14069" s="1"/>
      <c r="N14069" s="1"/>
      <c r="O14069" s="1"/>
      <c r="P14069" s="1"/>
      <c r="Q14069" s="1"/>
      <c r="R14069" s="1"/>
      <c r="S14069" s="1"/>
      <c r="T14069" s="1"/>
      <c r="U14069" s="1"/>
      <c r="V14069" s="1"/>
      <c r="W14069" s="1"/>
      <c r="X14069" s="1"/>
      <c r="Y14069" s="1"/>
      <c r="Z14069" s="1"/>
      <c r="AA14069" s="1"/>
      <c r="AB14069" s="1"/>
    </row>
    <row r="14070" ht="50.25" customHeight="1">
      <c r="A14070" s="12">
        <v>14066.0</v>
      </c>
      <c r="B14070" s="13" t="s">
        <v>13197</v>
      </c>
      <c r="C14070" s="14" t="s">
        <v>13303</v>
      </c>
      <c r="D14070" s="1"/>
      <c r="E14070" s="1"/>
      <c r="F14070" s="1" t="str">
        <f>IFERROR(__xludf.DUMMYFUNCTION("GOOGLETRANSLATE(B14070, ""en"", ""fa"")
"),"اتوماسیون یوتیوب")</f>
        <v>اتوماسیون یوتیوب</v>
      </c>
      <c r="G14070" s="1" t="str">
        <f>IFERROR(__xludf.DUMMYFUNCTION("GOOGLETRANSLATE(C14070, ""en"", ""fa"")
"),"چگونه از ابزارهای مبتنی بر هوش مصنوعی برای خودکار کردن فرآیند تولید تصاویر کوچک ویدئو استفاده کنیم؟")</f>
        <v>چگونه از ابزارهای مبتنی بر هوش مصنوعی برای خودکار کردن فرآیند تولید تصاویر کوچک ویدئو استفاده کنیم؟</v>
      </c>
      <c r="H14070" s="1"/>
      <c r="I14070" s="1"/>
      <c r="J14070" s="1"/>
      <c r="K14070" s="1"/>
      <c r="L14070" s="1"/>
      <c r="M14070" s="1"/>
      <c r="N14070" s="1"/>
      <c r="O14070" s="1"/>
      <c r="P14070" s="1"/>
      <c r="Q14070" s="1"/>
      <c r="R14070" s="1"/>
      <c r="S14070" s="1"/>
      <c r="T14070" s="1"/>
      <c r="U14070" s="1"/>
      <c r="V14070" s="1"/>
      <c r="W14070" s="1"/>
      <c r="X14070" s="1"/>
      <c r="Y14070" s="1"/>
      <c r="Z14070" s="1"/>
      <c r="AA14070" s="1"/>
      <c r="AB14070" s="1"/>
    </row>
    <row r="14071" ht="50.25" customHeight="1">
      <c r="A14071" s="12">
        <v>14067.0</v>
      </c>
      <c r="B14071" s="13" t="s">
        <v>13197</v>
      </c>
      <c r="C14071" s="14" t="s">
        <v>13304</v>
      </c>
      <c r="D14071" s="1"/>
      <c r="E14071" s="1"/>
      <c r="F14071" s="1" t="str">
        <f>IFERROR(__xludf.DUMMYFUNCTION("GOOGLETRANSLATE(B14071, ""en"", ""fa"")
"),"اتوماسیون یوتیوب")</f>
        <v>اتوماسیون یوتیوب</v>
      </c>
      <c r="G14071" s="1" t="str">
        <f>IFERROR(__xludf.DUMMYFUNCTION("GOOGLETRANSLATE(C14071, ""en"", ""fa"")
"),"چگونه برای نظارت بر عملکرد کانال YouTube خود، ردیابی تجزیه و تحلیل خودکار را پیاده سازی کنیم؟")</f>
        <v>چگونه برای نظارت بر عملکرد کانال YouTube خود، ردیابی تجزیه و تحلیل خودکار را پیاده سازی کنیم؟</v>
      </c>
      <c r="H14071" s="1"/>
      <c r="I14071" s="1"/>
      <c r="J14071" s="1"/>
      <c r="K14071" s="1"/>
      <c r="L14071" s="1"/>
      <c r="M14071" s="1"/>
      <c r="N14071" s="1"/>
      <c r="O14071" s="1"/>
      <c r="P14071" s="1"/>
      <c r="Q14071" s="1"/>
      <c r="R14071" s="1"/>
      <c r="S14071" s="1"/>
      <c r="T14071" s="1"/>
      <c r="U14071" s="1"/>
      <c r="V14071" s="1"/>
      <c r="W14071" s="1"/>
      <c r="X14071" s="1"/>
      <c r="Y14071" s="1"/>
      <c r="Z14071" s="1"/>
      <c r="AA14071" s="1"/>
      <c r="AB14071" s="1"/>
    </row>
    <row r="14072" ht="50.25" customHeight="1">
      <c r="A14072" s="12">
        <v>14068.0</v>
      </c>
      <c r="B14072" s="13" t="s">
        <v>13197</v>
      </c>
      <c r="C14072" s="14" t="s">
        <v>13305</v>
      </c>
      <c r="D14072" s="1"/>
      <c r="E14072" s="1"/>
      <c r="F14072" s="1" t="str">
        <f>IFERROR(__xludf.DUMMYFUNCTION("GOOGLETRANSLATE(B14072, ""en"", ""fa"")
"),"اتوماسیون یوتیوب")</f>
        <v>اتوماسیون یوتیوب</v>
      </c>
      <c r="G14072" s="1" t="str">
        <f>IFERROR(__xludf.DUMMYFUNCTION("GOOGLETRANSLATE(C14072, ""en"", ""fa"")
"),"چگونه از چت ربات ها برای تعامل و تعامل خودکار با مخاطبان YouTube خود استفاده کنیم؟")</f>
        <v>چگونه از چت ربات ها برای تعامل و تعامل خودکار با مخاطبان YouTube خود استفاده کنیم؟</v>
      </c>
      <c r="H14072" s="1"/>
      <c r="I14072" s="1"/>
      <c r="J14072" s="1"/>
      <c r="K14072" s="1"/>
      <c r="L14072" s="1"/>
      <c r="M14072" s="1"/>
      <c r="N14072" s="1"/>
      <c r="O14072" s="1"/>
      <c r="P14072" s="1"/>
      <c r="Q14072" s="1"/>
      <c r="R14072" s="1"/>
      <c r="S14072" s="1"/>
      <c r="T14072" s="1"/>
      <c r="U14072" s="1"/>
      <c r="V14072" s="1"/>
      <c r="W14072" s="1"/>
      <c r="X14072" s="1"/>
      <c r="Y14072" s="1"/>
      <c r="Z14072" s="1"/>
      <c r="AA14072" s="1"/>
      <c r="AB14072" s="1"/>
    </row>
    <row r="14073" ht="50.25" customHeight="1">
      <c r="A14073" s="12">
        <v>14069.0</v>
      </c>
      <c r="B14073" s="13" t="s">
        <v>13197</v>
      </c>
      <c r="C14073" s="14" t="s">
        <v>13306</v>
      </c>
      <c r="D14073" s="1"/>
      <c r="E14073" s="1"/>
      <c r="F14073" s="1" t="str">
        <f>IFERROR(__xludf.DUMMYFUNCTION("GOOGLETRANSLATE(B14073, ""en"", ""fa"")
"),"اتوماسیون یوتیوب")</f>
        <v>اتوماسیون یوتیوب</v>
      </c>
      <c r="G14073" s="1" t="str">
        <f>IFERROR(__xludf.DUMMYFUNCTION("GOOGLETRANSLATE(C14073, ""en"", ""fa"")
"),"چگونه از خدمات رونویسی خودکار برای ایجاد رونوشت های ویدیویی برای بهبود سئو استفاده کنیم؟")</f>
        <v>چگونه از خدمات رونویسی خودکار برای ایجاد رونوشت های ویدیویی برای بهبود سئو استفاده کنیم؟</v>
      </c>
      <c r="H14073" s="1"/>
      <c r="I14073" s="1"/>
      <c r="J14073" s="1"/>
      <c r="K14073" s="1"/>
      <c r="L14073" s="1"/>
      <c r="M14073" s="1"/>
      <c r="N14073" s="1"/>
      <c r="O14073" s="1"/>
      <c r="P14073" s="1"/>
      <c r="Q14073" s="1"/>
      <c r="R14073" s="1"/>
      <c r="S14073" s="1"/>
      <c r="T14073" s="1"/>
      <c r="U14073" s="1"/>
      <c r="V14073" s="1"/>
      <c r="W14073" s="1"/>
      <c r="X14073" s="1"/>
      <c r="Y14073" s="1"/>
      <c r="Z14073" s="1"/>
      <c r="AA14073" s="1"/>
      <c r="AB14073" s="1"/>
    </row>
    <row r="14074" ht="50.25" customHeight="1">
      <c r="A14074" s="12">
        <v>14070.0</v>
      </c>
      <c r="B14074" s="13" t="s">
        <v>13197</v>
      </c>
      <c r="C14074" s="14" t="s">
        <v>13307</v>
      </c>
      <c r="D14074" s="1"/>
      <c r="E14074" s="1"/>
      <c r="F14074" s="1" t="str">
        <f>IFERROR(__xludf.DUMMYFUNCTION("GOOGLETRANSLATE(B14074, ""en"", ""fa"")
"),"اتوماسیون یوتیوب")</f>
        <v>اتوماسیون یوتیوب</v>
      </c>
      <c r="G14074" s="1" t="str">
        <f>IFERROR(__xludf.DUMMYFUNCTION("GOOGLETRANSLATE(C14074, ""en"", ""fa"")
"),"چگونه فرآیند تبلیغ متقابل ویدیوهای YouTube خود را در محتوای خود خودکار کنید؟")</f>
        <v>چگونه فرآیند تبلیغ متقابل ویدیوهای YouTube خود را در محتوای خود خودکار کنید؟</v>
      </c>
      <c r="H14074" s="1"/>
      <c r="I14074" s="1"/>
      <c r="J14074" s="1"/>
      <c r="K14074" s="1"/>
      <c r="L14074" s="1"/>
      <c r="M14074" s="1"/>
      <c r="N14074" s="1"/>
      <c r="O14074" s="1"/>
      <c r="P14074" s="1"/>
      <c r="Q14074" s="1"/>
      <c r="R14074" s="1"/>
      <c r="S14074" s="1"/>
      <c r="T14074" s="1"/>
      <c r="U14074" s="1"/>
      <c r="V14074" s="1"/>
      <c r="W14074" s="1"/>
      <c r="X14074" s="1"/>
      <c r="Y14074" s="1"/>
      <c r="Z14074" s="1"/>
      <c r="AA14074" s="1"/>
      <c r="AB14074" s="1"/>
    </row>
    <row r="14075" ht="50.25" customHeight="1">
      <c r="A14075" s="12">
        <v>14071.0</v>
      </c>
      <c r="B14075" s="13" t="s">
        <v>13197</v>
      </c>
      <c r="C14075" s="14" t="s">
        <v>13308</v>
      </c>
      <c r="D14075" s="1"/>
      <c r="E14075" s="1"/>
      <c r="F14075" s="1" t="str">
        <f>IFERROR(__xludf.DUMMYFUNCTION("GOOGLETRANSLATE(B14075, ""en"", ""fa"")
"),"اتوماسیون یوتیوب")</f>
        <v>اتوماسیون یوتیوب</v>
      </c>
      <c r="G14075" s="1" t="str">
        <f>IFERROR(__xludf.DUMMYFUNCTION("GOOGLETRANSLATE(C14075, ""en"", ""fa"")
"),"چگونه از پلتفرم های توزیع خودکار ویدئو برای دستیابی به مخاطبان گسترده تر استفاده کنیم؟")</f>
        <v>چگونه از پلتفرم های توزیع خودکار ویدئو برای دستیابی به مخاطبان گسترده تر استفاده کنیم؟</v>
      </c>
      <c r="H14075" s="1"/>
      <c r="I14075" s="1"/>
      <c r="J14075" s="1"/>
      <c r="K14075" s="1"/>
      <c r="L14075" s="1"/>
      <c r="M14075" s="1"/>
      <c r="N14075" s="1"/>
      <c r="O14075" s="1"/>
      <c r="P14075" s="1"/>
      <c r="Q14075" s="1"/>
      <c r="R14075" s="1"/>
      <c r="S14075" s="1"/>
      <c r="T14075" s="1"/>
      <c r="U14075" s="1"/>
      <c r="V14075" s="1"/>
      <c r="W14075" s="1"/>
      <c r="X14075" s="1"/>
      <c r="Y14075" s="1"/>
      <c r="Z14075" s="1"/>
      <c r="AA14075" s="1"/>
      <c r="AB14075" s="1"/>
    </row>
    <row r="14076" ht="50.25" customHeight="1">
      <c r="A14076" s="12">
        <v>14072.0</v>
      </c>
      <c r="B14076" s="13" t="s">
        <v>13197</v>
      </c>
      <c r="C14076" s="14" t="s">
        <v>13309</v>
      </c>
      <c r="D14076" s="1"/>
      <c r="E14076" s="1"/>
      <c r="F14076" s="1" t="str">
        <f>IFERROR(__xludf.DUMMYFUNCTION("GOOGLETRANSLATE(B14076, ""en"", ""fa"")
"),"اتوماسیون یوتیوب")</f>
        <v>اتوماسیون یوتیوب</v>
      </c>
      <c r="G14076" s="1" t="str">
        <f>IFERROR(__xludf.DUMMYFUNCTION("GOOGLETRANSLATE(C14076, ""en"", ""fa"")
"),"چگونه لیست های پخش خودکار ایجاد کنیم تا محتوای YouTube خود را برای بینندگان سازماندهی کنیم؟")</f>
        <v>چگونه لیست های پخش خودکار ایجاد کنیم تا محتوای YouTube خود را برای بینندگان سازماندهی کنیم؟</v>
      </c>
      <c r="H14076" s="1"/>
      <c r="I14076" s="1"/>
      <c r="J14076" s="1"/>
      <c r="K14076" s="1"/>
      <c r="L14076" s="1"/>
      <c r="M14076" s="1"/>
      <c r="N14076" s="1"/>
      <c r="O14076" s="1"/>
      <c r="P14076" s="1"/>
      <c r="Q14076" s="1"/>
      <c r="R14076" s="1"/>
      <c r="S14076" s="1"/>
      <c r="T14076" s="1"/>
      <c r="U14076" s="1"/>
      <c r="V14076" s="1"/>
      <c r="W14076" s="1"/>
      <c r="X14076" s="1"/>
      <c r="Y14076" s="1"/>
      <c r="Z14076" s="1"/>
      <c r="AA14076" s="1"/>
      <c r="AB14076" s="1"/>
    </row>
    <row r="14077" ht="50.25" customHeight="1">
      <c r="A14077" s="12">
        <v>14073.0</v>
      </c>
      <c r="B14077" s="13" t="s">
        <v>13197</v>
      </c>
      <c r="C14077" s="14" t="s">
        <v>13310</v>
      </c>
      <c r="D14077" s="1"/>
      <c r="E14077" s="1"/>
      <c r="F14077" s="1" t="str">
        <f>IFERROR(__xludf.DUMMYFUNCTION("GOOGLETRANSLATE(B14077, ""en"", ""fa"")
"),"اتوماسیون یوتیوب")</f>
        <v>اتوماسیون یوتیوب</v>
      </c>
      <c r="G14077" s="1" t="str">
        <f>IFERROR(__xludf.DUMMYFUNCTION("GOOGLETRANSLATE(C14077, ""en"", ""fa"")
"),"چگونه کنترل خودکار نظرات را برای حفظ یک جامعه مثبت در کانال خود اجرا کنید؟")</f>
        <v>چگونه کنترل خودکار نظرات را برای حفظ یک جامعه مثبت در کانال خود اجرا کنید؟</v>
      </c>
      <c r="H14077" s="1"/>
      <c r="I14077" s="1"/>
      <c r="J14077" s="1"/>
      <c r="K14077" s="1"/>
      <c r="L14077" s="1"/>
      <c r="M14077" s="1"/>
      <c r="N14077" s="1"/>
      <c r="O14077" s="1"/>
      <c r="P14077" s="1"/>
      <c r="Q14077" s="1"/>
      <c r="R14077" s="1"/>
      <c r="S14077" s="1"/>
      <c r="T14077" s="1"/>
      <c r="U14077" s="1"/>
      <c r="V14077" s="1"/>
      <c r="W14077" s="1"/>
      <c r="X14077" s="1"/>
      <c r="Y14077" s="1"/>
      <c r="Z14077" s="1"/>
      <c r="AA14077" s="1"/>
      <c r="AB14077" s="1"/>
    </row>
    <row r="14078" ht="50.25" customHeight="1">
      <c r="A14078" s="12">
        <v>14074.0</v>
      </c>
      <c r="B14078" s="13" t="s">
        <v>13197</v>
      </c>
      <c r="C14078" s="14" t="s">
        <v>13311</v>
      </c>
      <c r="D14078" s="1"/>
      <c r="E14078" s="1"/>
      <c r="F14078" s="1" t="str">
        <f>IFERROR(__xludf.DUMMYFUNCTION("GOOGLETRANSLATE(B14078, ""en"", ""fa"")
"),"اتوماسیون یوتیوب")</f>
        <v>اتوماسیون یوتیوب</v>
      </c>
      <c r="G14078" s="1" t="str">
        <f>IFERROR(__xludf.DUMMYFUNCTION("GOOGLETRANSLATE(C14078, ""en"", ""fa"")
"),"چگونه می توان از زیرنویس های ویدئویی خودکار برای پاسخگویی به بینندگانی که به زبان های مختلف صحبت می کنند استفاده کرد؟")</f>
        <v>چگونه می توان از زیرنویس های ویدئویی خودکار برای پاسخگویی به بینندگانی که به زبان های مختلف صحبت می کنند استفاده کرد؟</v>
      </c>
      <c r="H14078" s="1"/>
      <c r="I14078" s="1"/>
      <c r="J14078" s="1"/>
      <c r="K14078" s="1"/>
      <c r="L14078" s="1"/>
      <c r="M14078" s="1"/>
      <c r="N14078" s="1"/>
      <c r="O14078" s="1"/>
      <c r="P14078" s="1"/>
      <c r="Q14078" s="1"/>
      <c r="R14078" s="1"/>
      <c r="S14078" s="1"/>
      <c r="T14078" s="1"/>
      <c r="U14078" s="1"/>
      <c r="V14078" s="1"/>
      <c r="W14078" s="1"/>
      <c r="X14078" s="1"/>
      <c r="Y14078" s="1"/>
      <c r="Z14078" s="1"/>
      <c r="AA14078" s="1"/>
      <c r="AB14078" s="1"/>
    </row>
    <row r="14079" ht="50.25" customHeight="1">
      <c r="A14079" s="12">
        <v>14075.0</v>
      </c>
      <c r="B14079" s="13" t="s">
        <v>13197</v>
      </c>
      <c r="C14079" s="14" t="s">
        <v>13312</v>
      </c>
      <c r="D14079" s="1"/>
      <c r="E14079" s="1"/>
      <c r="F14079" s="1" t="str">
        <f>IFERROR(__xludf.DUMMYFUNCTION("GOOGLETRANSLATE(B14079, ""en"", ""fa"")
"),"اتوماسیون یوتیوب")</f>
        <v>اتوماسیون یوتیوب</v>
      </c>
      <c r="G14079" s="1" t="str">
        <f>IFERROR(__xludf.DUMMYFUNCTION("GOOGLETRANSLATE(C14079, ""en"", ""fa"")
"),"چگونه می توان پاسخ های خودکار را برای سؤالات متداول در نظرات ویدیوی خود تنظیم کرد؟")</f>
        <v>چگونه می توان پاسخ های خودکار را برای سؤالات متداول در نظرات ویدیوی خود تنظیم کرد؟</v>
      </c>
      <c r="H14079" s="1"/>
      <c r="I14079" s="1"/>
      <c r="J14079" s="1"/>
      <c r="K14079" s="1"/>
      <c r="L14079" s="1"/>
      <c r="M14079" s="1"/>
      <c r="N14079" s="1"/>
      <c r="O14079" s="1"/>
      <c r="P14079" s="1"/>
      <c r="Q14079" s="1"/>
      <c r="R14079" s="1"/>
      <c r="S14079" s="1"/>
      <c r="T14079" s="1"/>
      <c r="U14079" s="1"/>
      <c r="V14079" s="1"/>
      <c r="W14079" s="1"/>
      <c r="X14079" s="1"/>
      <c r="Y14079" s="1"/>
      <c r="Z14079" s="1"/>
      <c r="AA14079" s="1"/>
      <c r="AB14079" s="1"/>
    </row>
    <row r="14080" ht="50.25" customHeight="1">
      <c r="A14080" s="12">
        <v>14076.0</v>
      </c>
      <c r="B14080" s="13" t="s">
        <v>13197</v>
      </c>
      <c r="C14080" s="14" t="s">
        <v>13313</v>
      </c>
      <c r="D14080" s="1"/>
      <c r="E14080" s="1"/>
      <c r="F14080" s="1" t="str">
        <f>IFERROR(__xludf.DUMMYFUNCTION("GOOGLETRANSLATE(B14080, ""en"", ""fa"")
"),"اتوماسیون یوتیوب")</f>
        <v>اتوماسیون یوتیوب</v>
      </c>
      <c r="G14080" s="1" t="str">
        <f>IFERROR(__xludf.DUMMYFUNCTION("GOOGLETRANSLATE(C14080, ""en"", ""fa"")
"),"چگونه از تغییر کاربری خودکار ویدیو برای ایجاد محتوا برای پلتفرم های مختلف استفاده کنیم؟")</f>
        <v>چگونه از تغییر کاربری خودکار ویدیو برای ایجاد محتوا برای پلتفرم های مختلف استفاده کنیم؟</v>
      </c>
      <c r="H14080" s="1"/>
      <c r="I14080" s="1"/>
      <c r="J14080" s="1"/>
      <c r="K14080" s="1"/>
      <c r="L14080" s="1"/>
      <c r="M14080" s="1"/>
      <c r="N14080" s="1"/>
      <c r="O14080" s="1"/>
      <c r="P14080" s="1"/>
      <c r="Q14080" s="1"/>
      <c r="R14080" s="1"/>
      <c r="S14080" s="1"/>
      <c r="T14080" s="1"/>
      <c r="U14080" s="1"/>
      <c r="V14080" s="1"/>
      <c r="W14080" s="1"/>
      <c r="X14080" s="1"/>
      <c r="Y14080" s="1"/>
      <c r="Z14080" s="1"/>
      <c r="AA14080" s="1"/>
      <c r="AB14080" s="1"/>
    </row>
    <row r="14081" ht="50.25" customHeight="1">
      <c r="A14081" s="12">
        <v>14077.0</v>
      </c>
      <c r="B14081" s="13" t="s">
        <v>13197</v>
      </c>
      <c r="C14081" s="14" t="s">
        <v>13314</v>
      </c>
      <c r="D14081" s="1"/>
      <c r="E14081" s="1"/>
      <c r="F14081" s="1" t="str">
        <f>IFERROR(__xludf.DUMMYFUNCTION("GOOGLETRANSLATE(B14081, ""en"", ""fa"")
"),"اتوماسیون یوتیوب")</f>
        <v>اتوماسیون یوتیوب</v>
      </c>
      <c r="G14081" s="1" t="str">
        <f>IFERROR(__xludf.DUMMYFUNCTION("GOOGLETRANSLATE(C14081, ""en"", ""fa"")
"),"چگونه می توان صفحه های پایانی خودکار و حاشیه نویسی را برای تشویق تعامل بیننده پیاده سازی کرد؟")</f>
        <v>چگونه می توان صفحه های پایانی خودکار و حاشیه نویسی را برای تشویق تعامل بیننده پیاده سازی کرد؟</v>
      </c>
      <c r="H14081" s="1"/>
      <c r="I14081" s="1"/>
      <c r="J14081" s="1"/>
      <c r="K14081" s="1"/>
      <c r="L14081" s="1"/>
      <c r="M14081" s="1"/>
      <c r="N14081" s="1"/>
      <c r="O14081" s="1"/>
      <c r="P14081" s="1"/>
      <c r="Q14081" s="1"/>
      <c r="R14081" s="1"/>
      <c r="S14081" s="1"/>
      <c r="T14081" s="1"/>
      <c r="U14081" s="1"/>
      <c r="V14081" s="1"/>
      <c r="W14081" s="1"/>
      <c r="X14081" s="1"/>
      <c r="Y14081" s="1"/>
      <c r="Z14081" s="1"/>
      <c r="AA14081" s="1"/>
      <c r="AB14081" s="1"/>
    </row>
    <row r="14082" ht="50.25" customHeight="1">
      <c r="A14082" s="12">
        <v>14078.0</v>
      </c>
      <c r="B14082" s="13" t="s">
        <v>13197</v>
      </c>
      <c r="C14082" s="14" t="s">
        <v>13315</v>
      </c>
      <c r="D14082" s="1"/>
      <c r="E14082" s="1"/>
      <c r="F14082" s="1" t="str">
        <f>IFERROR(__xludf.DUMMYFUNCTION("GOOGLETRANSLATE(B14082, ""en"", ""fa"")
"),"اتوماسیون یوتیوب")</f>
        <v>اتوماسیون یوتیوب</v>
      </c>
      <c r="G14082" s="1" t="str">
        <f>IFERROR(__xludf.DUMMYFUNCTION("GOOGLETRANSLATE(C14082, ""en"", ""fa"")
"),"چگونه به‌روزرسانی‌های ویدیویی خودکار را برای مشترکین در آخرین محتوای خود ایجاد کنیم؟")</f>
        <v>چگونه به‌روزرسانی‌های ویدیویی خودکار را برای مشترکین در آخرین محتوای خود ایجاد کنیم؟</v>
      </c>
      <c r="H14082" s="1"/>
      <c r="I14082" s="1"/>
      <c r="J14082" s="1"/>
      <c r="K14082" s="1"/>
      <c r="L14082" s="1"/>
      <c r="M14082" s="1"/>
      <c r="N14082" s="1"/>
      <c r="O14082" s="1"/>
      <c r="P14082" s="1"/>
      <c r="Q14082" s="1"/>
      <c r="R14082" s="1"/>
      <c r="S14082" s="1"/>
      <c r="T14082" s="1"/>
      <c r="U14082" s="1"/>
      <c r="V14082" s="1"/>
      <c r="W14082" s="1"/>
      <c r="X14082" s="1"/>
      <c r="Y14082" s="1"/>
      <c r="Z14082" s="1"/>
      <c r="AA14082" s="1"/>
      <c r="AB14082" s="1"/>
    </row>
    <row r="14083" ht="50.25" customHeight="1">
      <c r="A14083" s="12">
        <v>14079.0</v>
      </c>
      <c r="B14083" s="13" t="s">
        <v>13197</v>
      </c>
      <c r="C14083" s="14" t="s">
        <v>13316</v>
      </c>
      <c r="D14083" s="1"/>
      <c r="E14083" s="1"/>
      <c r="F14083" s="1" t="str">
        <f>IFERROR(__xludf.DUMMYFUNCTION("GOOGLETRANSLATE(B14083, ""en"", ""fa"")
"),"اتوماسیون یوتیوب")</f>
        <v>اتوماسیون یوتیوب</v>
      </c>
      <c r="G14083" s="1" t="str">
        <f>IFERROR(__xludf.DUMMYFUNCTION("GOOGLETRANSLATE(C14083, ""en"", ""fa"")
"),"چگونه از دنباله های ایمیل خودکار برای پرورش و رشد پایگاه مشترک YouTube خود استفاده کنید؟")</f>
        <v>چگونه از دنباله های ایمیل خودکار برای پرورش و رشد پایگاه مشترک YouTube خود استفاده کنید؟</v>
      </c>
      <c r="H14083" s="1"/>
      <c r="I14083" s="1"/>
      <c r="J14083" s="1"/>
      <c r="K14083" s="1"/>
      <c r="L14083" s="1"/>
      <c r="M14083" s="1"/>
      <c r="N14083" s="1"/>
      <c r="O14083" s="1"/>
      <c r="P14083" s="1"/>
      <c r="Q14083" s="1"/>
      <c r="R14083" s="1"/>
      <c r="S14083" s="1"/>
      <c r="T14083" s="1"/>
      <c r="U14083" s="1"/>
      <c r="V14083" s="1"/>
      <c r="W14083" s="1"/>
      <c r="X14083" s="1"/>
      <c r="Y14083" s="1"/>
      <c r="Z14083" s="1"/>
      <c r="AA14083" s="1"/>
      <c r="AB14083" s="1"/>
    </row>
    <row r="14084" ht="50.25" customHeight="1">
      <c r="A14084" s="12">
        <v>14080.0</v>
      </c>
      <c r="B14084" s="13" t="s">
        <v>13197</v>
      </c>
      <c r="C14084" s="14" t="s">
        <v>13317</v>
      </c>
      <c r="D14084" s="1"/>
      <c r="E14084" s="1"/>
      <c r="F14084" s="1" t="str">
        <f>IFERROR(__xludf.DUMMYFUNCTION("GOOGLETRANSLATE(B14084, ""en"", ""fa"")
"),"اتوماسیون یوتیوب")</f>
        <v>اتوماسیون یوتیوب</v>
      </c>
      <c r="G14084" s="1" t="str">
        <f>IFERROR(__xludf.DUMMYFUNCTION("GOOGLETRANSLATE(C14084, ""en"", ""fa"")
"),"چگونه می توان لینک های بازاریابی وابسته خودکار را در توضیحات ویدیوی خود تنظیم کرد؟")</f>
        <v>چگونه می توان لینک های بازاریابی وابسته خودکار را در توضیحات ویدیوی خود تنظیم کرد؟</v>
      </c>
      <c r="H14084" s="1"/>
      <c r="I14084" s="1"/>
      <c r="J14084" s="1"/>
      <c r="K14084" s="1"/>
      <c r="L14084" s="1"/>
      <c r="M14084" s="1"/>
      <c r="N14084" s="1"/>
      <c r="O14084" s="1"/>
      <c r="P14084" s="1"/>
      <c r="Q14084" s="1"/>
      <c r="R14084" s="1"/>
      <c r="S14084" s="1"/>
      <c r="T14084" s="1"/>
      <c r="U14084" s="1"/>
      <c r="V14084" s="1"/>
      <c r="W14084" s="1"/>
      <c r="X14084" s="1"/>
      <c r="Y14084" s="1"/>
      <c r="Z14084" s="1"/>
      <c r="AA14084" s="1"/>
      <c r="AB14084" s="1"/>
    </row>
    <row r="14085" ht="50.25" customHeight="1">
      <c r="A14085" s="12">
        <v>14081.0</v>
      </c>
      <c r="B14085" s="13" t="s">
        <v>13197</v>
      </c>
      <c r="C14085" s="14" t="s">
        <v>13318</v>
      </c>
      <c r="D14085" s="1"/>
      <c r="E14085" s="1"/>
      <c r="F14085" s="1" t="str">
        <f>IFERROR(__xludf.DUMMYFUNCTION("GOOGLETRANSLATE(B14085, ""en"", ""fa"")
"),"اتوماسیون یوتیوب")</f>
        <v>اتوماسیون یوتیوب</v>
      </c>
      <c r="G14085" s="1" t="str">
        <f>IFERROR(__xludf.DUMMYFUNCTION("GOOGLETRANSLATE(C14085, ""en"", ""fa"")
"),"چگونه از بینش تجزیه و تحلیل خودکار برای اصلاح استراتژی محتوای YouTube خود استفاده کنید؟")</f>
        <v>چگونه از بینش تجزیه و تحلیل خودکار برای اصلاح استراتژی محتوای YouTube خود استفاده کنید؟</v>
      </c>
      <c r="H14085" s="1"/>
      <c r="I14085" s="1"/>
      <c r="J14085" s="1"/>
      <c r="K14085" s="1"/>
      <c r="L14085" s="1"/>
      <c r="M14085" s="1"/>
      <c r="N14085" s="1"/>
      <c r="O14085" s="1"/>
      <c r="P14085" s="1"/>
      <c r="Q14085" s="1"/>
      <c r="R14085" s="1"/>
      <c r="S14085" s="1"/>
      <c r="T14085" s="1"/>
      <c r="U14085" s="1"/>
      <c r="V14085" s="1"/>
      <c r="W14085" s="1"/>
      <c r="X14085" s="1"/>
      <c r="Y14085" s="1"/>
      <c r="Z14085" s="1"/>
      <c r="AA14085" s="1"/>
      <c r="AB14085" s="1"/>
    </row>
    <row r="14086" ht="50.25" customHeight="1">
      <c r="A14086" s="12">
        <v>14082.0</v>
      </c>
      <c r="B14086" s="13" t="s">
        <v>13197</v>
      </c>
      <c r="C14086" s="14" t="s">
        <v>13319</v>
      </c>
      <c r="D14086" s="1"/>
      <c r="E14086" s="1"/>
      <c r="F14086" s="1" t="str">
        <f>IFERROR(__xludf.DUMMYFUNCTION("GOOGLETRANSLATE(B14086, ""en"", ""fa"")
"),"اتوماسیون یوتیوب")</f>
        <v>اتوماسیون یوتیوب</v>
      </c>
      <c r="G14086" s="1" t="str">
        <f>IFERROR(__xludf.DUMMYFUNCTION("GOOGLETRANSLATE(C14086, ""en"", ""fa"")
"),"چگونه می توان تحقیقات خودکار کلمات کلیدی را برای بهینه سازی عناوین و توضیحات ویدیوی خود پیاده سازی کرد؟")</f>
        <v>چگونه می توان تحقیقات خودکار کلمات کلیدی را برای بهینه سازی عناوین و توضیحات ویدیوی خود پیاده سازی کرد؟</v>
      </c>
      <c r="H14086" s="1"/>
      <c r="I14086" s="1"/>
      <c r="J14086" s="1"/>
      <c r="K14086" s="1"/>
      <c r="L14086" s="1"/>
      <c r="M14086" s="1"/>
      <c r="N14086" s="1"/>
      <c r="O14086" s="1"/>
      <c r="P14086" s="1"/>
      <c r="Q14086" s="1"/>
      <c r="R14086" s="1"/>
      <c r="S14086" s="1"/>
      <c r="T14086" s="1"/>
      <c r="U14086" s="1"/>
      <c r="V14086" s="1"/>
      <c r="W14086" s="1"/>
      <c r="X14086" s="1"/>
      <c r="Y14086" s="1"/>
      <c r="Z14086" s="1"/>
      <c r="AA14086" s="1"/>
      <c r="AB14086" s="1"/>
    </row>
    <row r="14087" ht="50.25" customHeight="1">
      <c r="A14087" s="12">
        <v>14083.0</v>
      </c>
      <c r="B14087" s="13" t="s">
        <v>13197</v>
      </c>
      <c r="C14087" s="14" t="s">
        <v>13320</v>
      </c>
      <c r="D14087" s="1"/>
      <c r="E14087" s="1"/>
      <c r="F14087" s="1" t="str">
        <f>IFERROR(__xludf.DUMMYFUNCTION("GOOGLETRANSLATE(B14087, ""en"", ""fa"")
"),"اتوماسیون یوتیوب")</f>
        <v>اتوماسیون یوتیوب</v>
      </c>
      <c r="G14087" s="1" t="str">
        <f>IFERROR(__xludf.DUMMYFUNCTION("GOOGLETRANSLATE(C14087, ""en"", ""fa"")
"),"چگونه از ابزارهای زمانبندی خودکار ویدئو برای حفظ یک برنامه پست ثابت استفاده کنیم؟")</f>
        <v>چگونه از ابزارهای زمانبندی خودکار ویدئو برای حفظ یک برنامه پست ثابت استفاده کنیم؟</v>
      </c>
      <c r="H14087" s="1"/>
      <c r="I14087" s="1"/>
      <c r="J14087" s="1"/>
      <c r="K14087" s="1"/>
      <c r="L14087" s="1"/>
      <c r="M14087" s="1"/>
      <c r="N14087" s="1"/>
      <c r="O14087" s="1"/>
      <c r="P14087" s="1"/>
      <c r="Q14087" s="1"/>
      <c r="R14087" s="1"/>
      <c r="S14087" s="1"/>
      <c r="T14087" s="1"/>
      <c r="U14087" s="1"/>
      <c r="V14087" s="1"/>
      <c r="W14087" s="1"/>
      <c r="X14087" s="1"/>
      <c r="Y14087" s="1"/>
      <c r="Z14087" s="1"/>
      <c r="AA14087" s="1"/>
      <c r="AB14087" s="1"/>
    </row>
    <row r="14088" ht="50.25" customHeight="1">
      <c r="A14088" s="12">
        <v>14084.0</v>
      </c>
      <c r="B14088" s="13" t="s">
        <v>13197</v>
      </c>
      <c r="C14088" s="14" t="s">
        <v>13321</v>
      </c>
      <c r="D14088" s="1"/>
      <c r="E14088" s="1"/>
      <c r="F14088" s="1" t="str">
        <f>IFERROR(__xludf.DUMMYFUNCTION("GOOGLETRANSLATE(B14088, ""en"", ""fa"")
"),"اتوماسیون یوتیوب")</f>
        <v>اتوماسیون یوتیوب</v>
      </c>
      <c r="G14088" s="1" t="str">
        <f>IFERROR(__xludf.DUMMYFUNCTION("GOOGLETRANSLATE(C14088, ""en"", ""fa"")
"),"چگونه می توان تصاویر کوچک ویدیویی خودکار ایجاد کرد که کلیک ها و بازدیدها را جذب کند؟")</f>
        <v>چگونه می توان تصاویر کوچک ویدیویی خودکار ایجاد کرد که کلیک ها و بازدیدها را جذب کند؟</v>
      </c>
      <c r="H14088" s="1"/>
      <c r="I14088" s="1"/>
      <c r="J14088" s="1"/>
      <c r="K14088" s="1"/>
      <c r="L14088" s="1"/>
      <c r="M14088" s="1"/>
      <c r="N14088" s="1"/>
      <c r="O14088" s="1"/>
      <c r="P14088" s="1"/>
      <c r="Q14088" s="1"/>
      <c r="R14088" s="1"/>
      <c r="S14088" s="1"/>
      <c r="T14088" s="1"/>
      <c r="U14088" s="1"/>
      <c r="V14088" s="1"/>
      <c r="W14088" s="1"/>
      <c r="X14088" s="1"/>
      <c r="Y14088" s="1"/>
      <c r="Z14088" s="1"/>
      <c r="AA14088" s="1"/>
      <c r="AB14088" s="1"/>
    </row>
    <row r="14089" ht="50.25" customHeight="1">
      <c r="A14089" s="12">
        <v>14085.0</v>
      </c>
      <c r="B14089" s="13" t="s">
        <v>13197</v>
      </c>
      <c r="C14089" s="14" t="s">
        <v>13322</v>
      </c>
      <c r="D14089" s="1"/>
      <c r="E14089" s="1"/>
      <c r="F14089" s="1" t="str">
        <f>IFERROR(__xludf.DUMMYFUNCTION("GOOGLETRANSLATE(B14089, ""en"", ""fa"")
"),"اتوماسیون یوتیوب")</f>
        <v>اتوماسیون یوتیوب</v>
      </c>
      <c r="G14089" s="1" t="str">
        <f>IFERROR(__xludf.DUMMYFUNCTION("GOOGLETRANSLATE(C14089, ""en"", ""fa"")
"),"چگونه تقسیم بندی خودکار مخاطبان را برای توصیه های محتوای هدفمند تنظیم کنیم؟")</f>
        <v>چگونه تقسیم بندی خودکار مخاطبان را برای توصیه های محتوای هدفمند تنظیم کنیم؟</v>
      </c>
      <c r="H14089" s="1"/>
      <c r="I14089" s="1"/>
      <c r="J14089" s="1"/>
      <c r="K14089" s="1"/>
      <c r="L14089" s="1"/>
      <c r="M14089" s="1"/>
      <c r="N14089" s="1"/>
      <c r="O14089" s="1"/>
      <c r="P14089" s="1"/>
      <c r="Q14089" s="1"/>
      <c r="R14089" s="1"/>
      <c r="S14089" s="1"/>
      <c r="T14089" s="1"/>
      <c r="U14089" s="1"/>
      <c r="V14089" s="1"/>
      <c r="W14089" s="1"/>
      <c r="X14089" s="1"/>
      <c r="Y14089" s="1"/>
      <c r="Z14089" s="1"/>
      <c r="AA14089" s="1"/>
      <c r="AB14089" s="1"/>
    </row>
    <row r="14090" ht="50.25" customHeight="1">
      <c r="A14090" s="12">
        <v>14086.0</v>
      </c>
      <c r="B14090" s="13" t="s">
        <v>13197</v>
      </c>
      <c r="C14090" s="14" t="s">
        <v>13323</v>
      </c>
      <c r="D14090" s="1"/>
      <c r="E14090" s="1"/>
      <c r="F14090" s="1" t="str">
        <f>IFERROR(__xludf.DUMMYFUNCTION("GOOGLETRANSLATE(B14090, ""en"", ""fa"")
"),"اتوماسیون یوتیوب")</f>
        <v>اتوماسیون یوتیوب</v>
      </c>
      <c r="G14090" s="1" t="str">
        <f>IFERROR(__xludf.DUMMYFUNCTION("GOOGLETRANSLATE(C14090, ""en"", ""fa"")
"),"چگونه از قیف های بازاریابی خودکار برای تبدیل بینندگان YouTube به مشترک استفاده کنیم؟")</f>
        <v>چگونه از قیف های بازاریابی خودکار برای تبدیل بینندگان YouTube به مشترک استفاده کنیم؟</v>
      </c>
      <c r="H14090" s="1"/>
      <c r="I14090" s="1"/>
      <c r="J14090" s="1"/>
      <c r="K14090" s="1"/>
      <c r="L14090" s="1"/>
      <c r="M14090" s="1"/>
      <c r="N14090" s="1"/>
      <c r="O14090" s="1"/>
      <c r="P14090" s="1"/>
      <c r="Q14090" s="1"/>
      <c r="R14090" s="1"/>
      <c r="S14090" s="1"/>
      <c r="T14090" s="1"/>
      <c r="U14090" s="1"/>
      <c r="V14090" s="1"/>
      <c r="W14090" s="1"/>
      <c r="X14090" s="1"/>
      <c r="Y14090" s="1"/>
      <c r="Z14090" s="1"/>
      <c r="AA14090" s="1"/>
      <c r="AB14090" s="1"/>
    </row>
    <row r="14091" ht="50.25" customHeight="1">
      <c r="A14091" s="12">
        <v>14087.0</v>
      </c>
      <c r="B14091" s="13" t="s">
        <v>13197</v>
      </c>
      <c r="C14091" s="14" t="s">
        <v>13324</v>
      </c>
      <c r="D14091" s="1"/>
      <c r="E14091" s="1"/>
      <c r="F14091" s="1" t="str">
        <f>IFERROR(__xludf.DUMMYFUNCTION("GOOGLETRANSLATE(B14091, ""en"", ""fa"")
"),"اتوماسیون یوتیوب")</f>
        <v>اتوماسیون یوتیوب</v>
      </c>
      <c r="G14091" s="1" t="str">
        <f>IFERROR(__xludf.DUMMYFUNCTION("GOOGLETRANSLATE(C14091, ""en"", ""fa"")
"),"چگونه از تست خودکار A/B برای عناوین، تصاویر کوچک و توضیحات ویدئو استفاده کنیم؟")</f>
        <v>چگونه از تست خودکار A/B برای عناوین، تصاویر کوچک و توضیحات ویدئو استفاده کنیم؟</v>
      </c>
      <c r="H14091" s="1"/>
      <c r="I14091" s="1"/>
      <c r="J14091" s="1"/>
      <c r="K14091" s="1"/>
      <c r="L14091" s="1"/>
      <c r="M14091" s="1"/>
      <c r="N14091" s="1"/>
      <c r="O14091" s="1"/>
      <c r="P14091" s="1"/>
      <c r="Q14091" s="1"/>
      <c r="R14091" s="1"/>
      <c r="S14091" s="1"/>
      <c r="T14091" s="1"/>
      <c r="U14091" s="1"/>
      <c r="V14091" s="1"/>
      <c r="W14091" s="1"/>
      <c r="X14091" s="1"/>
      <c r="Y14091" s="1"/>
      <c r="Z14091" s="1"/>
      <c r="AA14091" s="1"/>
      <c r="AB14091" s="1"/>
    </row>
    <row r="14092" ht="50.25" customHeight="1">
      <c r="A14092" s="12">
        <v>14088.0</v>
      </c>
      <c r="B14092" s="13" t="s">
        <v>13197</v>
      </c>
      <c r="C14092" s="14" t="s">
        <v>13325</v>
      </c>
      <c r="D14092" s="1"/>
      <c r="E14092" s="1"/>
      <c r="F14092" s="1" t="str">
        <f>IFERROR(__xludf.DUMMYFUNCTION("GOOGLETRANSLATE(B14092, ""en"", ""fa"")
"),"اتوماسیون یوتیوب")</f>
        <v>اتوماسیون یوتیوب</v>
      </c>
      <c r="G14092" s="1" t="str">
        <f>IFERROR(__xludf.DUMMYFUNCTION("GOOGLETRANSLATE(C14092, ""en"", ""fa"")
"),"چگونه می توان تشخیص و وضوح حق چاپ خودکار را برای ویدیوهای خود پیاده سازی کرد؟")</f>
        <v>چگونه می توان تشخیص و وضوح حق چاپ خودکار را برای ویدیوهای خود پیاده سازی کرد؟</v>
      </c>
      <c r="H14092" s="1"/>
      <c r="I14092" s="1"/>
      <c r="J14092" s="1"/>
      <c r="K14092" s="1"/>
      <c r="L14092" s="1"/>
      <c r="M14092" s="1"/>
      <c r="N14092" s="1"/>
      <c r="O14092" s="1"/>
      <c r="P14092" s="1"/>
      <c r="Q14092" s="1"/>
      <c r="R14092" s="1"/>
      <c r="S14092" s="1"/>
      <c r="T14092" s="1"/>
      <c r="U14092" s="1"/>
      <c r="V14092" s="1"/>
      <c r="W14092" s="1"/>
      <c r="X14092" s="1"/>
      <c r="Y14092" s="1"/>
      <c r="Z14092" s="1"/>
      <c r="AA14092" s="1"/>
      <c r="AB14092" s="1"/>
    </row>
    <row r="14093" ht="50.25" customHeight="1">
      <c r="A14093" s="12">
        <v>14089.0</v>
      </c>
      <c r="B14093" s="13" t="s">
        <v>13197</v>
      </c>
      <c r="C14093" s="14" t="s">
        <v>13326</v>
      </c>
      <c r="D14093" s="1"/>
      <c r="E14093" s="1"/>
      <c r="F14093" s="1" t="str">
        <f>IFERROR(__xludf.DUMMYFUNCTION("GOOGLETRANSLATE(B14093, ""en"", ""fa"")
"),"اتوماسیون یوتیوب")</f>
        <v>اتوماسیون یوتیوب</v>
      </c>
      <c r="G14093" s="1" t="str">
        <f>IFERROR(__xludf.DUMMYFUNCTION("GOOGLETRANSLATE(C14093, ""en"", ""fa"")
"),"چگونه برای حفظ ثبات نام تجاری، توالی های مقدماتی و برون مرزی خودکار ایجاد کنیم؟")</f>
        <v>چگونه برای حفظ ثبات نام تجاری، توالی های مقدماتی و برون مرزی خودکار ایجاد کنیم؟</v>
      </c>
      <c r="H14093" s="1"/>
      <c r="I14093" s="1"/>
      <c r="J14093" s="1"/>
      <c r="K14093" s="1"/>
      <c r="L14093" s="1"/>
      <c r="M14093" s="1"/>
      <c r="N14093" s="1"/>
      <c r="O14093" s="1"/>
      <c r="P14093" s="1"/>
      <c r="Q14093" s="1"/>
      <c r="R14093" s="1"/>
      <c r="S14093" s="1"/>
      <c r="T14093" s="1"/>
      <c r="U14093" s="1"/>
      <c r="V14093" s="1"/>
      <c r="W14093" s="1"/>
      <c r="X14093" s="1"/>
      <c r="Y14093" s="1"/>
      <c r="Z14093" s="1"/>
      <c r="AA14093" s="1"/>
      <c r="AB14093" s="1"/>
    </row>
    <row r="14094" ht="50.25" customHeight="1">
      <c r="A14094" s="12">
        <v>14090.0</v>
      </c>
      <c r="B14094" s="13" t="s">
        <v>13197</v>
      </c>
      <c r="C14094" s="14" t="s">
        <v>13327</v>
      </c>
      <c r="D14094" s="1"/>
      <c r="E14094" s="1"/>
      <c r="F14094" s="1" t="str">
        <f>IFERROR(__xludf.DUMMYFUNCTION("GOOGLETRANSLATE(B14094, ""en"", ""fa"")
"),"اتوماسیون یوتیوب")</f>
        <v>اتوماسیون یوتیوب</v>
      </c>
      <c r="G14094" s="1" t="str">
        <f>IFERROR(__xludf.DUMMYFUNCTION("GOOGLETRANSLATE(C14094, ""en"", ""fa"")
"),"چگونه می توان پخش زنده خودکار را برای تعامل بیدرنگ مخاطب تنظیم کرد؟")</f>
        <v>چگونه می توان پخش زنده خودکار را برای تعامل بیدرنگ مخاطب تنظیم کرد؟</v>
      </c>
      <c r="H14094" s="1"/>
      <c r="I14094" s="1"/>
      <c r="J14094" s="1"/>
      <c r="K14094" s="1"/>
      <c r="L14094" s="1"/>
      <c r="M14094" s="1"/>
      <c r="N14094" s="1"/>
      <c r="O14094" s="1"/>
      <c r="P14094" s="1"/>
      <c r="Q14094" s="1"/>
      <c r="R14094" s="1"/>
      <c r="S14094" s="1"/>
      <c r="T14094" s="1"/>
      <c r="U14094" s="1"/>
      <c r="V14094" s="1"/>
      <c r="W14094" s="1"/>
      <c r="X14094" s="1"/>
      <c r="Y14094" s="1"/>
      <c r="Z14094" s="1"/>
      <c r="AA14094" s="1"/>
      <c r="AB14094" s="1"/>
    </row>
    <row r="14095" ht="50.25" customHeight="1">
      <c r="A14095" s="12">
        <v>14091.0</v>
      </c>
      <c r="B14095" s="13" t="s">
        <v>13197</v>
      </c>
      <c r="C14095" s="14" t="s">
        <v>13328</v>
      </c>
      <c r="D14095" s="1"/>
      <c r="E14095" s="1"/>
      <c r="F14095" s="1" t="str">
        <f>IFERROR(__xludf.DUMMYFUNCTION("GOOGLETRANSLATE(B14095, ""en"", ""fa"")
"),"اتوماسیون یوتیوب")</f>
        <v>اتوماسیون یوتیوب</v>
      </c>
      <c r="G14095" s="1" t="str">
        <f>IFERROR(__xludf.DUMMYFUNCTION("GOOGLETRANSLATE(C14095, ""en"", ""fa"")
"),"چگونه از تجزیه و تحلیل داده های خودکار برای شناسایی روندها و بینش های کانال YouTube خود استفاده کنیم؟")</f>
        <v>چگونه از تجزیه و تحلیل داده های خودکار برای شناسایی روندها و بینش های کانال YouTube خود استفاده کنیم؟</v>
      </c>
      <c r="H14095" s="1"/>
      <c r="I14095" s="1"/>
      <c r="J14095" s="1"/>
      <c r="K14095" s="1"/>
      <c r="L14095" s="1"/>
      <c r="M14095" s="1"/>
      <c r="N14095" s="1"/>
      <c r="O14095" s="1"/>
      <c r="P14095" s="1"/>
      <c r="Q14095" s="1"/>
      <c r="R14095" s="1"/>
      <c r="S14095" s="1"/>
      <c r="T14095" s="1"/>
      <c r="U14095" s="1"/>
      <c r="V14095" s="1"/>
      <c r="W14095" s="1"/>
      <c r="X14095" s="1"/>
      <c r="Y14095" s="1"/>
      <c r="Z14095" s="1"/>
      <c r="AA14095" s="1"/>
      <c r="AB14095" s="1"/>
    </row>
    <row r="14096" ht="50.25" customHeight="1">
      <c r="A14096" s="12">
        <v>14092.0</v>
      </c>
      <c r="B14096" s="13" t="s">
        <v>13197</v>
      </c>
      <c r="C14096" s="14" t="s">
        <v>13329</v>
      </c>
      <c r="D14096" s="1"/>
      <c r="E14096" s="1"/>
      <c r="F14096" s="1" t="str">
        <f>IFERROR(__xludf.DUMMYFUNCTION("GOOGLETRANSLATE(B14096, ""en"", ""fa"")
"),"اتوماسیون یوتیوب")</f>
        <v>اتوماسیون یوتیوب</v>
      </c>
      <c r="G14096" s="1" t="str">
        <f>IFERROR(__xludf.DUMMYFUNCTION("GOOGLETRANSLATE(C14096, ""en"", ""fa"")
"),"چگونه می توان اشتراک گذاری خودکار ویدیو را در انجمن ها و انجمن های آنلاین خاص پیاده سازی کرد؟")</f>
        <v>چگونه می توان اشتراک گذاری خودکار ویدیو را در انجمن ها و انجمن های آنلاین خاص پیاده سازی کرد؟</v>
      </c>
      <c r="H14096" s="1"/>
      <c r="I14096" s="1"/>
      <c r="J14096" s="1"/>
      <c r="K14096" s="1"/>
      <c r="L14096" s="1"/>
      <c r="M14096" s="1"/>
      <c r="N14096" s="1"/>
      <c r="O14096" s="1"/>
      <c r="P14096" s="1"/>
      <c r="Q14096" s="1"/>
      <c r="R14096" s="1"/>
      <c r="S14096" s="1"/>
      <c r="T14096" s="1"/>
      <c r="U14096" s="1"/>
      <c r="V14096" s="1"/>
      <c r="W14096" s="1"/>
      <c r="X14096" s="1"/>
      <c r="Y14096" s="1"/>
      <c r="Z14096" s="1"/>
      <c r="AA14096" s="1"/>
      <c r="AB14096" s="1"/>
    </row>
    <row r="14097" ht="50.25" customHeight="1">
      <c r="A14097" s="12">
        <v>14093.0</v>
      </c>
      <c r="B14097" s="13" t="s">
        <v>13197</v>
      </c>
      <c r="C14097" s="14" t="s">
        <v>13330</v>
      </c>
      <c r="D14097" s="1"/>
      <c r="E14097" s="1"/>
      <c r="F14097" s="1" t="str">
        <f>IFERROR(__xludf.DUMMYFUNCTION("GOOGLETRANSLATE(B14097, ""en"", ""fa"")
"),"اتوماسیون یوتیوب")</f>
        <v>اتوماسیون یوتیوب</v>
      </c>
      <c r="G14097" s="1" t="str">
        <f>IFERROR(__xludf.DUMMYFUNCTION("GOOGLETRANSLATE(C14097, ""en"", ""fa"")
"),"چگونه می توان از همکاری های تبلیغات متقابل خودکار با سایر سازندگان YouTube استفاده کرد؟")</f>
        <v>چگونه می توان از همکاری های تبلیغات متقابل خودکار با سایر سازندگان YouTube استفاده کرد؟</v>
      </c>
      <c r="H14097" s="1"/>
      <c r="I14097" s="1"/>
      <c r="J14097" s="1"/>
      <c r="K14097" s="1"/>
      <c r="L14097" s="1"/>
      <c r="M14097" s="1"/>
      <c r="N14097" s="1"/>
      <c r="O14097" s="1"/>
      <c r="P14097" s="1"/>
      <c r="Q14097" s="1"/>
      <c r="R14097" s="1"/>
      <c r="S14097" s="1"/>
      <c r="T14097" s="1"/>
      <c r="U14097" s="1"/>
      <c r="V14097" s="1"/>
      <c r="W14097" s="1"/>
      <c r="X14097" s="1"/>
      <c r="Y14097" s="1"/>
      <c r="Z14097" s="1"/>
      <c r="AA14097" s="1"/>
      <c r="AB14097" s="1"/>
    </row>
    <row r="14098" ht="50.25" customHeight="1">
      <c r="A14098" s="12">
        <v>14094.0</v>
      </c>
      <c r="B14098" s="13" t="s">
        <v>13197</v>
      </c>
      <c r="C14098" s="14" t="s">
        <v>13331</v>
      </c>
      <c r="D14098" s="1"/>
      <c r="E14098" s="1"/>
      <c r="F14098" s="1" t="str">
        <f>IFERROR(__xludf.DUMMYFUNCTION("GOOGLETRANSLATE(B14098, ""en"", ""fa"")
"),"اتوماسیون یوتیوب")</f>
        <v>اتوماسیون یوتیوب</v>
      </c>
      <c r="G14098" s="1" t="str">
        <f>IFERROR(__xludf.DUMMYFUNCTION("GOOGLETRANSLATE(C14098, ""en"", ""fa"")
"),"چگونه از مدیریت محتوای خودکار برای تکمیل ویدیوهای اصلی خود استفاده کنیم؟")</f>
        <v>چگونه از مدیریت محتوای خودکار برای تکمیل ویدیوهای اصلی خود استفاده کنیم؟</v>
      </c>
      <c r="H14098" s="1"/>
      <c r="I14098" s="1"/>
      <c r="J14098" s="1"/>
      <c r="K14098" s="1"/>
      <c r="L14098" s="1"/>
      <c r="M14098" s="1"/>
      <c r="N14098" s="1"/>
      <c r="O14098" s="1"/>
      <c r="P14098" s="1"/>
      <c r="Q14098" s="1"/>
      <c r="R14098" s="1"/>
      <c r="S14098" s="1"/>
      <c r="T14098" s="1"/>
      <c r="U14098" s="1"/>
      <c r="V14098" s="1"/>
      <c r="W14098" s="1"/>
      <c r="X14098" s="1"/>
      <c r="Y14098" s="1"/>
      <c r="Z14098" s="1"/>
      <c r="AA14098" s="1"/>
      <c r="AB14098" s="1"/>
    </row>
    <row r="14099" ht="50.25" customHeight="1">
      <c r="A14099" s="12">
        <v>14095.0</v>
      </c>
      <c r="B14099" s="13" t="s">
        <v>13197</v>
      </c>
      <c r="C14099" s="14" t="s">
        <v>13332</v>
      </c>
      <c r="D14099" s="1"/>
      <c r="E14099" s="1"/>
      <c r="F14099" s="1" t="str">
        <f>IFERROR(__xludf.DUMMYFUNCTION("GOOGLETRANSLATE(B14099, ""en"", ""fa"")
"),"اتوماسیون یوتیوب")</f>
        <v>اتوماسیون یوتیوب</v>
      </c>
      <c r="G14099" s="1" t="str">
        <f>IFERROR(__xludf.DUMMYFUNCTION("GOOGLETRANSLATE(C14099, ""en"", ""fa"")
"),"چگونه می توان ترجمه های ویدیویی خودکار را برای دستیابی به مخاطبان جهانی پیاده سازی کرد؟")</f>
        <v>چگونه می توان ترجمه های ویدیویی خودکار را برای دستیابی به مخاطبان جهانی پیاده سازی کرد؟</v>
      </c>
      <c r="H14099" s="1"/>
      <c r="I14099" s="1"/>
      <c r="J14099" s="1"/>
      <c r="K14099" s="1"/>
      <c r="L14099" s="1"/>
      <c r="M14099" s="1"/>
      <c r="N14099" s="1"/>
      <c r="O14099" s="1"/>
      <c r="P14099" s="1"/>
      <c r="Q14099" s="1"/>
      <c r="R14099" s="1"/>
      <c r="S14099" s="1"/>
      <c r="T14099" s="1"/>
      <c r="U14099" s="1"/>
      <c r="V14099" s="1"/>
      <c r="W14099" s="1"/>
      <c r="X14099" s="1"/>
      <c r="Y14099" s="1"/>
      <c r="Z14099" s="1"/>
      <c r="AA14099" s="1"/>
      <c r="AB14099" s="1"/>
    </row>
    <row r="14100" ht="50.25" customHeight="1">
      <c r="A14100" s="12">
        <v>14096.0</v>
      </c>
      <c r="B14100" s="13" t="s">
        <v>13197</v>
      </c>
      <c r="C14100" s="14" t="s">
        <v>13333</v>
      </c>
      <c r="D14100" s="1"/>
      <c r="E14100" s="1"/>
      <c r="F14100" s="1" t="str">
        <f>IFERROR(__xludf.DUMMYFUNCTION("GOOGLETRANSLATE(B14100, ""en"", ""fa"")
"),"اتوماسیون یوتیوب")</f>
        <v>اتوماسیون یوتیوب</v>
      </c>
      <c r="G14100" s="1" t="str">
        <f>IFERROR(__xludf.DUMMYFUNCTION("GOOGLETRANSLATE(C14100, ""en"", ""fa"")
"),"چگونه برای تشویق مشارکت بینندگان، درخواست‌های تعامل خودکار در ویدیوهای خود ایجاد کنید؟")</f>
        <v>چگونه برای تشویق مشارکت بینندگان، درخواست‌های تعامل خودکار در ویدیوهای خود ایجاد کنید؟</v>
      </c>
      <c r="H14100" s="1"/>
      <c r="I14100" s="1"/>
      <c r="J14100" s="1"/>
      <c r="K14100" s="1"/>
      <c r="L14100" s="1"/>
      <c r="M14100" s="1"/>
      <c r="N14100" s="1"/>
      <c r="O14100" s="1"/>
      <c r="P14100" s="1"/>
      <c r="Q14100" s="1"/>
      <c r="R14100" s="1"/>
      <c r="S14100" s="1"/>
      <c r="T14100" s="1"/>
      <c r="U14100" s="1"/>
      <c r="V14100" s="1"/>
      <c r="W14100" s="1"/>
      <c r="X14100" s="1"/>
      <c r="Y14100" s="1"/>
      <c r="Z14100" s="1"/>
      <c r="AA14100" s="1"/>
      <c r="AB14100" s="1"/>
    </row>
    <row r="14101" ht="50.25" customHeight="1">
      <c r="A14101" s="12">
        <v>14097.0</v>
      </c>
      <c r="B14101" s="13" t="s">
        <v>13197</v>
      </c>
      <c r="C14101" s="14" t="s">
        <v>13334</v>
      </c>
      <c r="D14101" s="1"/>
      <c r="E14101" s="1"/>
      <c r="F14101" s="1" t="str">
        <f>IFERROR(__xludf.DUMMYFUNCTION("GOOGLETRANSLATE(B14101, ""en"", ""fa"")
"),"اتوماسیون یوتیوب")</f>
        <v>اتوماسیون یوتیوب</v>
      </c>
      <c r="G14101" s="1" t="str">
        <f>IFERROR(__xludf.DUMMYFUNCTION("GOOGLETRANSLATE(C14101, ""en"", ""fa"")
"),"چگونه اعلان‌های اثبات اجتماعی خودکار را تنظیم کنیم تا محبوبیت ویدیوی خود را به نمایش بگذاریم؟")</f>
        <v>چگونه اعلان‌های اثبات اجتماعی خودکار را تنظیم کنیم تا محبوبیت ویدیوی خود را به نمایش بگذاریم؟</v>
      </c>
      <c r="H14101" s="1"/>
      <c r="I14101" s="1"/>
      <c r="J14101" s="1"/>
      <c r="K14101" s="1"/>
      <c r="L14101" s="1"/>
      <c r="M14101" s="1"/>
      <c r="N14101" s="1"/>
      <c r="O14101" s="1"/>
      <c r="P14101" s="1"/>
      <c r="Q14101" s="1"/>
      <c r="R14101" s="1"/>
      <c r="S14101" s="1"/>
      <c r="T14101" s="1"/>
      <c r="U14101" s="1"/>
      <c r="V14101" s="1"/>
      <c r="W14101" s="1"/>
      <c r="X14101" s="1"/>
      <c r="Y14101" s="1"/>
      <c r="Z14101" s="1"/>
      <c r="AA14101" s="1"/>
      <c r="AB14101" s="1"/>
    </row>
    <row r="14102" ht="50.25" customHeight="1">
      <c r="A14102" s="12">
        <v>14098.0</v>
      </c>
      <c r="B14102" s="13" t="s">
        <v>13197</v>
      </c>
      <c r="C14102" s="14" t="s">
        <v>13335</v>
      </c>
      <c r="D14102" s="1"/>
      <c r="E14102" s="1"/>
      <c r="F14102" s="1" t="str">
        <f>IFERROR(__xludf.DUMMYFUNCTION("GOOGLETRANSLATE(B14102, ""en"", ""fa"")
"),"اتوماسیون یوتیوب")</f>
        <v>اتوماسیون یوتیوب</v>
      </c>
      <c r="G14102" s="1" t="str">
        <f>IFERROR(__xludf.DUMMYFUNCTION("GOOGLETRANSLATE(C14102, ""en"", ""fa"")
"),"چگونه از ابزارهای تصویرسازی خودکار داده برای ارائه تجزیه و تحلیل YouTube خود استفاده کنیم؟")</f>
        <v>چگونه از ابزارهای تصویرسازی خودکار داده برای ارائه تجزیه و تحلیل YouTube خود استفاده کنیم؟</v>
      </c>
      <c r="H14102" s="1"/>
      <c r="I14102" s="1"/>
      <c r="J14102" s="1"/>
      <c r="K14102" s="1"/>
      <c r="L14102" s="1"/>
      <c r="M14102" s="1"/>
      <c r="N14102" s="1"/>
      <c r="O14102" s="1"/>
      <c r="P14102" s="1"/>
      <c r="Q14102" s="1"/>
      <c r="R14102" s="1"/>
      <c r="S14102" s="1"/>
      <c r="T14102" s="1"/>
      <c r="U14102" s="1"/>
      <c r="V14102" s="1"/>
      <c r="W14102" s="1"/>
      <c r="X14102" s="1"/>
      <c r="Y14102" s="1"/>
      <c r="Z14102" s="1"/>
      <c r="AA14102" s="1"/>
      <c r="AB14102" s="1"/>
    </row>
    <row r="14103" ht="50.25" customHeight="1">
      <c r="A14103" s="12">
        <v>14099.0</v>
      </c>
      <c r="B14103" s="13" t="s">
        <v>13197</v>
      </c>
      <c r="C14103" s="14" t="s">
        <v>13336</v>
      </c>
      <c r="D14103" s="1"/>
      <c r="E14103" s="1"/>
      <c r="F14103" s="1" t="str">
        <f>IFERROR(__xludf.DUMMYFUNCTION("GOOGLETRANSLATE(B14103, ""en"", ""fa"")
"),"اتوماسیون یوتیوب")</f>
        <v>اتوماسیون یوتیوب</v>
      </c>
      <c r="G14103" s="1" t="str">
        <f>IFERROR(__xludf.DUMMYFUNCTION("GOOGLETRANSLATE(C14103, ""en"", ""fa"")
"),"چگونه می توان بخش بندی ایمیل خودکار را برای توصیه های محتوای شخصی سازی شده پیاده سازی کرد؟")</f>
        <v>چگونه می توان بخش بندی ایمیل خودکار را برای توصیه های محتوای شخصی سازی شده پیاده سازی کرد؟</v>
      </c>
      <c r="H14103" s="1"/>
      <c r="I14103" s="1"/>
      <c r="J14103" s="1"/>
      <c r="K14103" s="1"/>
      <c r="L14103" s="1"/>
      <c r="M14103" s="1"/>
      <c r="N14103" s="1"/>
      <c r="O14103" s="1"/>
      <c r="P14103" s="1"/>
      <c r="Q14103" s="1"/>
      <c r="R14103" s="1"/>
      <c r="S14103" s="1"/>
      <c r="T14103" s="1"/>
      <c r="U14103" s="1"/>
      <c r="V14103" s="1"/>
      <c r="W14103" s="1"/>
      <c r="X14103" s="1"/>
      <c r="Y14103" s="1"/>
      <c r="Z14103" s="1"/>
      <c r="AA14103" s="1"/>
      <c r="AB14103" s="1"/>
    </row>
    <row r="14104" ht="50.25" customHeight="1">
      <c r="A14104" s="12">
        <v>14100.0</v>
      </c>
      <c r="B14104" s="13" t="s">
        <v>13197</v>
      </c>
      <c r="C14104" s="14" t="s">
        <v>13337</v>
      </c>
      <c r="D14104" s="1"/>
      <c r="E14104" s="1"/>
      <c r="F14104" s="1" t="str">
        <f>IFERROR(__xludf.DUMMYFUNCTION("GOOGLETRANSLATE(B14104, ""en"", ""fa"")
"),"اتوماسیون یوتیوب")</f>
        <v>اتوماسیون یوتیوب</v>
      </c>
      <c r="G14104" s="1" t="str">
        <f>IFERROR(__xludf.DUMMYFUNCTION("GOOGLETRANSLATE(C14104, ""en"", ""fa"")
"),"چگونه از نفوذ خودکار تأثیرگذار برای تبلیغ کانال YouTube خود استفاده کنیم؟")</f>
        <v>چگونه از نفوذ خودکار تأثیرگذار برای تبلیغ کانال YouTube خود استفاده کنیم؟</v>
      </c>
      <c r="H14104" s="1"/>
      <c r="I14104" s="1"/>
      <c r="J14104" s="1"/>
      <c r="K14104" s="1"/>
      <c r="L14104" s="1"/>
      <c r="M14104" s="1"/>
      <c r="N14104" s="1"/>
      <c r="O14104" s="1"/>
      <c r="P14104" s="1"/>
      <c r="Q14104" s="1"/>
      <c r="R14104" s="1"/>
      <c r="S14104" s="1"/>
      <c r="T14104" s="1"/>
      <c r="U14104" s="1"/>
      <c r="V14104" s="1"/>
      <c r="W14104" s="1"/>
      <c r="X14104" s="1"/>
      <c r="Y14104" s="1"/>
      <c r="Z14104" s="1"/>
      <c r="AA14104" s="1"/>
      <c r="AB14104" s="1"/>
    </row>
    <row r="14105" ht="50.25" customHeight="1">
      <c r="A14105" s="12">
        <v>14101.0</v>
      </c>
      <c r="B14105" s="13" t="s">
        <v>13197</v>
      </c>
      <c r="C14105" s="14" t="s">
        <v>13338</v>
      </c>
      <c r="D14105" s="1"/>
      <c r="E14105" s="1"/>
      <c r="F14105" s="1" t="str">
        <f>IFERROR(__xludf.DUMMYFUNCTION("GOOGLETRANSLATE(B14105, ""en"", ""fa"")
"),"اتوماسیون یوتیوب")</f>
        <v>اتوماسیون یوتیوب</v>
      </c>
      <c r="G14105" s="1" t="str">
        <f>IFERROR(__xludf.DUMMYFUNCTION("GOOGLETRANSLATE(C14105, ""en"", ""fa"")
"),"چگونه می توان از توزیع خودکار ویدیو برای انتشار مجدد محتوا در پلتفرم های مختلف استفاده کرد؟")</f>
        <v>چگونه می توان از توزیع خودکار ویدیو برای انتشار مجدد محتوا در پلتفرم های مختلف استفاده کرد؟</v>
      </c>
      <c r="H14105" s="1"/>
      <c r="I14105" s="1"/>
      <c r="J14105" s="1"/>
      <c r="K14105" s="1"/>
      <c r="L14105" s="1"/>
      <c r="M14105" s="1"/>
      <c r="N14105" s="1"/>
      <c r="O14105" s="1"/>
      <c r="P14105" s="1"/>
      <c r="Q14105" s="1"/>
      <c r="R14105" s="1"/>
      <c r="S14105" s="1"/>
      <c r="T14105" s="1"/>
      <c r="U14105" s="1"/>
      <c r="V14105" s="1"/>
      <c r="W14105" s="1"/>
      <c r="X14105" s="1"/>
      <c r="Y14105" s="1"/>
      <c r="Z14105" s="1"/>
      <c r="AA14105" s="1"/>
      <c r="AB14105" s="1"/>
    </row>
    <row r="14106" ht="50.25" customHeight="1">
      <c r="A14106" s="12">
        <v>14102.0</v>
      </c>
      <c r="B14106" s="13" t="s">
        <v>13197</v>
      </c>
      <c r="C14106" s="14" t="s">
        <v>13339</v>
      </c>
      <c r="D14106" s="1"/>
      <c r="E14106" s="1"/>
      <c r="F14106" s="1" t="str">
        <f>IFERROR(__xludf.DUMMYFUNCTION("GOOGLETRANSLATE(B14106, ""en"", ""fa"")
"),"اتوماسیون یوتیوب")</f>
        <v>اتوماسیون یوتیوب</v>
      </c>
      <c r="G14106" s="1" t="str">
        <f>IFERROR(__xludf.DUMMYFUNCTION("GOOGLETRANSLATE(C14106, ""en"", ""fa"")
"),"چگونه می توان استراتژی های کسب درآمد ویدیویی خودکار را برای درآمد غیرفعال پیاده سازی کرد؟")</f>
        <v>چگونه می توان استراتژی های کسب درآمد ویدیویی خودکار را برای درآمد غیرفعال پیاده سازی کرد؟</v>
      </c>
      <c r="H14106" s="1"/>
      <c r="I14106" s="1"/>
      <c r="J14106" s="1"/>
      <c r="K14106" s="1"/>
      <c r="L14106" s="1"/>
      <c r="M14106" s="1"/>
      <c r="N14106" s="1"/>
      <c r="O14106" s="1"/>
      <c r="P14106" s="1"/>
      <c r="Q14106" s="1"/>
      <c r="R14106" s="1"/>
      <c r="S14106" s="1"/>
      <c r="T14106" s="1"/>
      <c r="U14106" s="1"/>
      <c r="V14106" s="1"/>
      <c r="W14106" s="1"/>
      <c r="X14106" s="1"/>
      <c r="Y14106" s="1"/>
      <c r="Z14106" s="1"/>
      <c r="AA14106" s="1"/>
      <c r="AB14106" s="1"/>
    </row>
    <row r="14107" ht="50.25" customHeight="1">
      <c r="A14107" s="12">
        <v>14103.0</v>
      </c>
      <c r="B14107" s="13" t="s">
        <v>13197</v>
      </c>
      <c r="C14107" s="14" t="s">
        <v>13340</v>
      </c>
      <c r="D14107" s="1"/>
      <c r="E14107" s="1"/>
      <c r="F14107" s="1" t="str">
        <f>IFERROR(__xludf.DUMMYFUNCTION("GOOGLETRANSLATE(B14107, ""en"", ""fa"")
"),"اتوماسیون یوتیوب")</f>
        <v>اتوماسیون یوتیوب</v>
      </c>
      <c r="G14107" s="1" t="str">
        <f>IFERROR(__xludf.DUMMYFUNCTION("GOOGLETRANSLATE(C14107, ""en"", ""fa"")
"),"چگونه می‌توان خبرنامه‌های ایمیل خودکار با آخرین محتوای YouTube خود ایجاد کرد؟")</f>
        <v>چگونه می‌توان خبرنامه‌های ایمیل خودکار با آخرین محتوای YouTube خود ایجاد کرد؟</v>
      </c>
      <c r="H14107" s="1"/>
      <c r="I14107" s="1"/>
      <c r="J14107" s="1"/>
      <c r="K14107" s="1"/>
      <c r="L14107" s="1"/>
      <c r="M14107" s="1"/>
      <c r="N14107" s="1"/>
      <c r="O14107" s="1"/>
      <c r="P14107" s="1"/>
      <c r="Q14107" s="1"/>
      <c r="R14107" s="1"/>
      <c r="S14107" s="1"/>
      <c r="T14107" s="1"/>
      <c r="U14107" s="1"/>
      <c r="V14107" s="1"/>
      <c r="W14107" s="1"/>
      <c r="X14107" s="1"/>
      <c r="Y14107" s="1"/>
      <c r="Z14107" s="1"/>
      <c r="AA14107" s="1"/>
      <c r="AB14107" s="1"/>
    </row>
    <row r="14108" ht="50.25" customHeight="1">
      <c r="A14108" s="12">
        <v>14104.0</v>
      </c>
      <c r="B14108" s="13" t="s">
        <v>13197</v>
      </c>
      <c r="C14108" s="14" t="s">
        <v>13341</v>
      </c>
      <c r="D14108" s="1"/>
      <c r="E14108" s="1"/>
      <c r="F14108" s="1" t="str">
        <f>IFERROR(__xludf.DUMMYFUNCTION("GOOGLETRANSLATE(B14108, ""en"", ""fa"")
"),"اتوماسیون یوتیوب")</f>
        <v>اتوماسیون یوتیوب</v>
      </c>
      <c r="G14108" s="1" t="str">
        <f>IFERROR(__xludf.DUMMYFUNCTION("GOOGLETRANSLATE(C14108, ""en"", ""fa"")
"),"چگونه ربات‌های چت زنده خودکار را برای تعامل با بینندگان در جریان پخش زنده راه‌اندازی کنیم؟")</f>
        <v>چگونه ربات‌های چت زنده خودکار را برای تعامل با بینندگان در جریان پخش زنده راه‌اندازی کنیم؟</v>
      </c>
      <c r="H14108" s="1"/>
      <c r="I14108" s="1"/>
      <c r="J14108" s="1"/>
      <c r="K14108" s="1"/>
      <c r="L14108" s="1"/>
      <c r="M14108" s="1"/>
      <c r="N14108" s="1"/>
      <c r="O14108" s="1"/>
      <c r="P14108" s="1"/>
      <c r="Q14108" s="1"/>
      <c r="R14108" s="1"/>
      <c r="S14108" s="1"/>
      <c r="T14108" s="1"/>
      <c r="U14108" s="1"/>
      <c r="V14108" s="1"/>
      <c r="W14108" s="1"/>
      <c r="X14108" s="1"/>
      <c r="Y14108" s="1"/>
      <c r="Z14108" s="1"/>
      <c r="AA14108" s="1"/>
      <c r="AB14108" s="1"/>
    </row>
    <row r="14109" ht="50.25" customHeight="1">
      <c r="A14109" s="12">
        <v>14105.0</v>
      </c>
      <c r="B14109" s="13" t="s">
        <v>13197</v>
      </c>
      <c r="C14109" s="14" t="s">
        <v>13342</v>
      </c>
      <c r="D14109" s="1"/>
      <c r="E14109" s="1"/>
      <c r="F14109" s="1" t="str">
        <f>IFERROR(__xludf.DUMMYFUNCTION("GOOGLETRANSLATE(B14109, ""en"", ""fa"")
"),"اتوماسیون یوتیوب")</f>
        <v>اتوماسیون یوتیوب</v>
      </c>
      <c r="G14109" s="1" t="str">
        <f>IFERROR(__xludf.DUMMYFUNCTION("GOOGLETRANSLATE(C14109, ""en"", ""fa"")
"),"چگونه می توان از تجزیه و تحلیل خودکار روند ویدیویی برای پیش بینی روندهای محتوای آینده استفاده کرد؟")</f>
        <v>چگونه می توان از تجزیه و تحلیل خودکار روند ویدیویی برای پیش بینی روندهای محتوای آینده استفاده کرد؟</v>
      </c>
      <c r="H14109" s="1"/>
      <c r="I14109" s="1"/>
      <c r="J14109" s="1"/>
      <c r="K14109" s="1"/>
      <c r="L14109" s="1"/>
      <c r="M14109" s="1"/>
      <c r="N14109" s="1"/>
      <c r="O14109" s="1"/>
      <c r="P14109" s="1"/>
      <c r="Q14109" s="1"/>
      <c r="R14109" s="1"/>
      <c r="S14109" s="1"/>
      <c r="T14109" s="1"/>
      <c r="U14109" s="1"/>
      <c r="V14109" s="1"/>
      <c r="W14109" s="1"/>
      <c r="X14109" s="1"/>
      <c r="Y14109" s="1"/>
      <c r="Z14109" s="1"/>
      <c r="AA14109" s="1"/>
      <c r="AB14109" s="1"/>
    </row>
    <row r="14110" ht="50.25" customHeight="1">
      <c r="A14110" s="12">
        <v>14106.0</v>
      </c>
      <c r="B14110" s="13" t="s">
        <v>13197</v>
      </c>
      <c r="C14110" s="14" t="s">
        <v>13343</v>
      </c>
      <c r="D14110" s="1"/>
      <c r="E14110" s="1"/>
      <c r="F14110" s="1" t="str">
        <f>IFERROR(__xludf.DUMMYFUNCTION("GOOGLETRANSLATE(B14110, ""en"", ""fa"")
"),"اتوماسیون یوتیوب")</f>
        <v>اتوماسیون یوتیوب</v>
      </c>
      <c r="G14110" s="1" t="str">
        <f>IFERROR(__xludf.DUMMYFUNCTION("GOOGLETRANSLATE(C14110, ""en"", ""fa"")
"),"چگونه می توان برنامه ریزی خودکار محتوا را برای هفته ها یا ماه ها محتوای موضوعی پیاده سازی کرد؟")</f>
        <v>چگونه می توان برنامه ریزی خودکار محتوا را برای هفته ها یا ماه ها محتوای موضوعی پیاده سازی کرد؟</v>
      </c>
      <c r="H14110" s="1"/>
      <c r="I14110" s="1"/>
      <c r="J14110" s="1"/>
      <c r="K14110" s="1"/>
      <c r="L14110" s="1"/>
      <c r="M14110" s="1"/>
      <c r="N14110" s="1"/>
      <c r="O14110" s="1"/>
      <c r="P14110" s="1"/>
      <c r="Q14110" s="1"/>
      <c r="R14110" s="1"/>
      <c r="S14110" s="1"/>
      <c r="T14110" s="1"/>
      <c r="U14110" s="1"/>
      <c r="V14110" s="1"/>
      <c r="W14110" s="1"/>
      <c r="X14110" s="1"/>
      <c r="Y14110" s="1"/>
      <c r="Z14110" s="1"/>
      <c r="AA14110" s="1"/>
      <c r="AB14110" s="1"/>
    </row>
    <row r="14111" ht="50.25" customHeight="1">
      <c r="A14111" s="12">
        <v>14107.0</v>
      </c>
      <c r="B14111" s="13" t="s">
        <v>13197</v>
      </c>
      <c r="C14111" s="14" t="s">
        <v>13344</v>
      </c>
      <c r="D14111" s="1"/>
      <c r="E14111" s="1"/>
      <c r="F14111" s="1" t="str">
        <f>IFERROR(__xludf.DUMMYFUNCTION("GOOGLETRANSLATE(B14111, ""en"", ""fa"")
"),"اتوماسیون یوتیوب")</f>
        <v>اتوماسیون یوتیوب</v>
      </c>
      <c r="G14111" s="1" t="str">
        <f>IFERROR(__xludf.DUMMYFUNCTION("GOOGLETRANSLATE(C14111, ""en"", ""fa"")
"),"چگونه می توان از جوایز و هدایای خودکار مشترک برای جذب مخاطب استفاده کرد؟")</f>
        <v>چگونه می توان از جوایز و هدایای خودکار مشترک برای جذب مخاطب استفاده کرد؟</v>
      </c>
      <c r="H14111" s="1"/>
      <c r="I14111" s="1"/>
      <c r="J14111" s="1"/>
      <c r="K14111" s="1"/>
      <c r="L14111" s="1"/>
      <c r="M14111" s="1"/>
      <c r="N14111" s="1"/>
      <c r="O14111" s="1"/>
      <c r="P14111" s="1"/>
      <c r="Q14111" s="1"/>
      <c r="R14111" s="1"/>
      <c r="S14111" s="1"/>
      <c r="T14111" s="1"/>
      <c r="U14111" s="1"/>
      <c r="V14111" s="1"/>
      <c r="W14111" s="1"/>
      <c r="X14111" s="1"/>
      <c r="Y14111" s="1"/>
      <c r="Z14111" s="1"/>
      <c r="AA14111" s="1"/>
      <c r="AB14111" s="1"/>
    </row>
    <row r="14112" ht="50.25" customHeight="1">
      <c r="A14112" s="12">
        <v>14108.0</v>
      </c>
      <c r="B14112" s="13" t="s">
        <v>13197</v>
      </c>
      <c r="C14112" s="14" t="s">
        <v>13345</v>
      </c>
      <c r="D14112" s="1"/>
      <c r="E14112" s="1"/>
      <c r="F14112" s="1" t="str">
        <f>IFERROR(__xludf.DUMMYFUNCTION("GOOGLETRANSLATE(B14112, ""en"", ""fa"")
"),"اتوماسیون یوتیوب")</f>
        <v>اتوماسیون یوتیوب</v>
      </c>
      <c r="G14112" s="1" t="str">
        <f>IFERROR(__xludf.DUMMYFUNCTION("GOOGLETRANSLATE(C14112, ""en"", ""fa"")
"),"چگونه از نظرسنجی های بازخورد ویدیویی خودکار برای جمع آوری بینش از بینندگان خود استفاده کنید؟")</f>
        <v>چگونه از نظرسنجی های بازخورد ویدیویی خودکار برای جمع آوری بینش از بینندگان خود استفاده کنید؟</v>
      </c>
      <c r="H14112" s="1"/>
      <c r="I14112" s="1"/>
      <c r="J14112" s="1"/>
      <c r="K14112" s="1"/>
      <c r="L14112" s="1"/>
      <c r="M14112" s="1"/>
      <c r="N14112" s="1"/>
      <c r="O14112" s="1"/>
      <c r="P14112" s="1"/>
      <c r="Q14112" s="1"/>
      <c r="R14112" s="1"/>
      <c r="S14112" s="1"/>
      <c r="T14112" s="1"/>
      <c r="U14112" s="1"/>
      <c r="V14112" s="1"/>
      <c r="W14112" s="1"/>
      <c r="X14112" s="1"/>
      <c r="Y14112" s="1"/>
      <c r="Z14112" s="1"/>
      <c r="AA14112" s="1"/>
      <c r="AB14112" s="1"/>
    </row>
    <row r="14113" ht="50.25" customHeight="1">
      <c r="A14113" s="12">
        <v>14109.0</v>
      </c>
      <c r="B14113" s="13" t="s">
        <v>13197</v>
      </c>
      <c r="C14113" s="14" t="s">
        <v>13346</v>
      </c>
      <c r="D14113" s="1"/>
      <c r="E14113" s="1"/>
      <c r="F14113" s="1" t="str">
        <f>IFERROR(__xludf.DUMMYFUNCTION("GOOGLETRANSLATE(B14113, ""en"", ""fa"")
"),"اتوماسیون یوتیوب")</f>
        <v>اتوماسیون یوتیوب</v>
      </c>
      <c r="G14113" s="1" t="str">
        <f>IFERROR(__xludf.DUMMYFUNCTION("GOOGLETRANSLATE(C14113, ""en"", ""fa"")
"),"چگونه می توان آرشیو خودکار محتوا را برای دسترسی آسان و استفاده مجدد پیاده سازی کرد؟")</f>
        <v>چگونه می توان آرشیو خودکار محتوا را برای دسترسی آسان و استفاده مجدد پیاده سازی کرد؟</v>
      </c>
      <c r="H14113" s="1"/>
      <c r="I14113" s="1"/>
      <c r="J14113" s="1"/>
      <c r="K14113" s="1"/>
      <c r="L14113" s="1"/>
      <c r="M14113" s="1"/>
      <c r="N14113" s="1"/>
      <c r="O14113" s="1"/>
      <c r="P14113" s="1"/>
      <c r="Q14113" s="1"/>
      <c r="R14113" s="1"/>
      <c r="S14113" s="1"/>
      <c r="T14113" s="1"/>
      <c r="U14113" s="1"/>
      <c r="V14113" s="1"/>
      <c r="W14113" s="1"/>
      <c r="X14113" s="1"/>
      <c r="Y14113" s="1"/>
      <c r="Z14113" s="1"/>
      <c r="AA14113" s="1"/>
      <c r="AB14113" s="1"/>
    </row>
    <row r="14114" ht="50.25" customHeight="1">
      <c r="A14114" s="12">
        <v>14110.0</v>
      </c>
      <c r="B14114" s="13" t="s">
        <v>13197</v>
      </c>
      <c r="C14114" s="14" t="s">
        <v>13347</v>
      </c>
      <c r="D14114" s="1"/>
      <c r="E14114" s="1"/>
      <c r="F14114" s="1" t="str">
        <f>IFERROR(__xludf.DUMMYFUNCTION("GOOGLETRANSLATE(B14114, ""en"", ""fa"")
"),"اتوماسیون یوتیوب")</f>
        <v>اتوماسیون یوتیوب</v>
      </c>
      <c r="G14114" s="1" t="str">
        <f>IFERROR(__xludf.DUMMYFUNCTION("GOOGLETRANSLATE(C14114, ""en"", ""fa"")
"),"چگونه برای مشترکین جدید یا بینندگان درگیر پیام های تشکر خودکار ایجاد کنیم؟")</f>
        <v>چگونه برای مشترکین جدید یا بینندگان درگیر پیام های تشکر خودکار ایجاد کنیم؟</v>
      </c>
      <c r="H14114" s="1"/>
      <c r="I14114" s="1"/>
      <c r="J14114" s="1"/>
      <c r="K14114" s="1"/>
      <c r="L14114" s="1"/>
      <c r="M14114" s="1"/>
      <c r="N14114" s="1"/>
      <c r="O14114" s="1"/>
      <c r="P14114" s="1"/>
      <c r="Q14114" s="1"/>
      <c r="R14114" s="1"/>
      <c r="S14114" s="1"/>
      <c r="T14114" s="1"/>
      <c r="U14114" s="1"/>
      <c r="V14114" s="1"/>
      <c r="W14114" s="1"/>
      <c r="X14114" s="1"/>
      <c r="Y14114" s="1"/>
      <c r="Z14114" s="1"/>
      <c r="AA14114" s="1"/>
      <c r="AB14114" s="1"/>
    </row>
    <row r="14115" ht="50.25" customHeight="1">
      <c r="A14115" s="12">
        <v>14111.0</v>
      </c>
      <c r="B14115" s="13" t="s">
        <v>13197</v>
      </c>
      <c r="C14115" s="14" t="s">
        <v>13348</v>
      </c>
      <c r="D14115" s="1"/>
      <c r="E14115" s="1"/>
      <c r="F14115" s="1" t="str">
        <f>IFERROR(__xludf.DUMMYFUNCTION("GOOGLETRANSLATE(B14115, ""en"", ""fa"")
"),"اتوماسیون یوتیوب")</f>
        <v>اتوماسیون یوتیوب</v>
      </c>
      <c r="G14115" s="1" t="str">
        <f>IFERROR(__xludf.DUMMYFUNCTION("GOOGLETRANSLATE(C14115, ""en"", ""fa"")
"),"چگونه می توان توصیه های لیست پخش خودکار را بر اساس ترجیحات بیننده تنظیم کرد؟")</f>
        <v>چگونه می توان توصیه های لیست پخش خودکار را بر اساس ترجیحات بیننده تنظیم کرد؟</v>
      </c>
      <c r="H14115" s="1"/>
      <c r="I14115" s="1"/>
      <c r="J14115" s="1"/>
      <c r="K14115" s="1"/>
      <c r="L14115" s="1"/>
      <c r="M14115" s="1"/>
      <c r="N14115" s="1"/>
      <c r="O14115" s="1"/>
      <c r="P14115" s="1"/>
      <c r="Q14115" s="1"/>
      <c r="R14115" s="1"/>
      <c r="S14115" s="1"/>
      <c r="T14115" s="1"/>
      <c r="U14115" s="1"/>
      <c r="V14115" s="1"/>
      <c r="W14115" s="1"/>
      <c r="X14115" s="1"/>
      <c r="Y14115" s="1"/>
      <c r="Z14115" s="1"/>
      <c r="AA14115" s="1"/>
      <c r="AB14115" s="1"/>
    </row>
    <row r="14116" ht="50.25" customHeight="1">
      <c r="A14116" s="12">
        <v>14112.0</v>
      </c>
      <c r="B14116" s="13" t="s">
        <v>13197</v>
      </c>
      <c r="C14116" s="14" t="s">
        <v>13349</v>
      </c>
      <c r="D14116" s="1"/>
      <c r="E14116" s="1"/>
      <c r="F14116" s="1" t="str">
        <f>IFERROR(__xludf.DUMMYFUNCTION("GOOGLETRANSLATE(B14116, ""en"", ""fa"")
"),"اتوماسیون یوتیوب")</f>
        <v>اتوماسیون یوتیوب</v>
      </c>
      <c r="G14116" s="1" t="str">
        <f>IFERROR(__xludf.DUMMYFUNCTION("GOOGLETRANSLATE(C14116, ""en"", ""fa"")
"),"چگونه از تقسیم بندی خودکار مخاطبان برای محتوای تبلیغاتی هدفمند استفاده کنیم؟")</f>
        <v>چگونه از تقسیم بندی خودکار مخاطبان برای محتوای تبلیغاتی هدفمند استفاده کنیم؟</v>
      </c>
      <c r="H14116" s="1"/>
      <c r="I14116" s="1"/>
      <c r="J14116" s="1"/>
      <c r="K14116" s="1"/>
      <c r="L14116" s="1"/>
      <c r="M14116" s="1"/>
      <c r="N14116" s="1"/>
      <c r="O14116" s="1"/>
      <c r="P14116" s="1"/>
      <c r="Q14116" s="1"/>
      <c r="R14116" s="1"/>
      <c r="S14116" s="1"/>
      <c r="T14116" s="1"/>
      <c r="U14116" s="1"/>
      <c r="V14116" s="1"/>
      <c r="W14116" s="1"/>
      <c r="X14116" s="1"/>
      <c r="Y14116" s="1"/>
      <c r="Z14116" s="1"/>
      <c r="AA14116" s="1"/>
      <c r="AB14116" s="1"/>
    </row>
    <row r="14117" ht="50.25" customHeight="1">
      <c r="A14117" s="12">
        <v>14113.0</v>
      </c>
      <c r="B14117" s="13" t="s">
        <v>13197</v>
      </c>
      <c r="C14117" s="14" t="s">
        <v>13350</v>
      </c>
      <c r="D14117" s="1"/>
      <c r="E14117" s="1"/>
      <c r="F14117" s="1" t="str">
        <f>IFERROR(__xludf.DUMMYFUNCTION("GOOGLETRANSLATE(B14117, ""en"", ""fa"")
"),"اتوماسیون یوتیوب")</f>
        <v>اتوماسیون یوتیوب</v>
      </c>
      <c r="G14117" s="1" t="str">
        <f>IFERROR(__xludf.DUMMYFUNCTION("GOOGLETRANSLATE(C14117, ""en"", ""fa"")
"),"چگونه می توان ایجاد مجموعه های ویدیویی خودکار را برای مضامین محتوای ثابت پیاده سازی کرد؟")</f>
        <v>چگونه می توان ایجاد مجموعه های ویدیویی خودکار را برای مضامین محتوای ثابت پیاده سازی کرد؟</v>
      </c>
      <c r="H14117" s="1"/>
      <c r="I14117" s="1"/>
      <c r="J14117" s="1"/>
      <c r="K14117" s="1"/>
      <c r="L14117" s="1"/>
      <c r="M14117" s="1"/>
      <c r="N14117" s="1"/>
      <c r="O14117" s="1"/>
      <c r="P14117" s="1"/>
      <c r="Q14117" s="1"/>
      <c r="R14117" s="1"/>
      <c r="S14117" s="1"/>
      <c r="T14117" s="1"/>
      <c r="U14117" s="1"/>
      <c r="V14117" s="1"/>
      <c r="W14117" s="1"/>
      <c r="X14117" s="1"/>
      <c r="Y14117" s="1"/>
      <c r="Z14117" s="1"/>
      <c r="AA14117" s="1"/>
      <c r="AB14117" s="1"/>
    </row>
    <row r="14118" ht="50.25" customHeight="1">
      <c r="A14118" s="12">
        <v>14114.0</v>
      </c>
      <c r="B14118" s="13" t="s">
        <v>13197</v>
      </c>
      <c r="C14118" s="14" t="s">
        <v>13351</v>
      </c>
      <c r="D14118" s="1"/>
      <c r="E14118" s="1"/>
      <c r="F14118" s="1" t="str">
        <f>IFERROR(__xludf.DUMMYFUNCTION("GOOGLETRANSLATE(B14118, ""en"", ""fa"")
"),"اتوماسیون یوتیوب")</f>
        <v>اتوماسیون یوتیوب</v>
      </c>
      <c r="G14118" s="1" t="str">
        <f>IFERROR(__xludf.DUMMYFUNCTION("GOOGLETRANSLATE(C14118, ""en"", ""fa"")
"),"چگونه از ابزارهای خودکار گوش دادن اجتماعی برای الهام از محتوا استفاده کنیم؟")</f>
        <v>چگونه از ابزارهای خودکار گوش دادن اجتماعی برای الهام از محتوا استفاده کنیم؟</v>
      </c>
      <c r="H14118" s="1"/>
      <c r="I14118" s="1"/>
      <c r="J14118" s="1"/>
      <c r="K14118" s="1"/>
      <c r="L14118" s="1"/>
      <c r="M14118" s="1"/>
      <c r="N14118" s="1"/>
      <c r="O14118" s="1"/>
      <c r="P14118" s="1"/>
      <c r="Q14118" s="1"/>
      <c r="R14118" s="1"/>
      <c r="S14118" s="1"/>
      <c r="T14118" s="1"/>
      <c r="U14118" s="1"/>
      <c r="V14118" s="1"/>
      <c r="W14118" s="1"/>
      <c r="X14118" s="1"/>
      <c r="Y14118" s="1"/>
      <c r="Z14118" s="1"/>
      <c r="AA14118" s="1"/>
      <c r="AB14118" s="1"/>
    </row>
    <row r="14119" ht="50.25" customHeight="1">
      <c r="A14119" s="12">
        <v>14115.0</v>
      </c>
      <c r="B14119" s="13" t="s">
        <v>13197</v>
      </c>
      <c r="C14119" s="14" t="s">
        <v>13352</v>
      </c>
      <c r="D14119" s="1"/>
      <c r="E14119" s="1"/>
      <c r="F14119" s="1" t="str">
        <f>IFERROR(__xludf.DUMMYFUNCTION("GOOGLETRANSLATE(B14119, ""en"", ""fa"")
"),"اتوماسیون یوتیوب")</f>
        <v>اتوماسیون یوتیوب</v>
      </c>
      <c r="G14119" s="1" t="str">
        <f>IFERROR(__xludf.DUMMYFUNCTION("GOOGLETRANSLATE(C14119, ""en"", ""fa"")
"),"چگونه از گزارش‌های خودکار عملکرد ویدیویی برای ارزیابی منظم کانال استفاده کنیم؟")</f>
        <v>چگونه از گزارش‌های خودکار عملکرد ویدیویی برای ارزیابی منظم کانال استفاده کنیم؟</v>
      </c>
      <c r="H14119" s="1"/>
      <c r="I14119" s="1"/>
      <c r="J14119" s="1"/>
      <c r="K14119" s="1"/>
      <c r="L14119" s="1"/>
      <c r="M14119" s="1"/>
      <c r="N14119" s="1"/>
      <c r="O14119" s="1"/>
      <c r="P14119" s="1"/>
      <c r="Q14119" s="1"/>
      <c r="R14119" s="1"/>
      <c r="S14119" s="1"/>
      <c r="T14119" s="1"/>
      <c r="U14119" s="1"/>
      <c r="V14119" s="1"/>
      <c r="W14119" s="1"/>
      <c r="X14119" s="1"/>
      <c r="Y14119" s="1"/>
      <c r="Z14119" s="1"/>
      <c r="AA14119" s="1"/>
      <c r="AB14119" s="1"/>
    </row>
    <row r="14120" ht="50.25" customHeight="1">
      <c r="A14120" s="12">
        <v>14116.0</v>
      </c>
      <c r="B14120" s="13" t="s">
        <v>13197</v>
      </c>
      <c r="C14120" s="14" t="s">
        <v>13353</v>
      </c>
      <c r="D14120" s="1"/>
      <c r="E14120" s="1"/>
      <c r="F14120" s="1" t="str">
        <f>IFERROR(__xludf.DUMMYFUNCTION("GOOGLETRANSLATE(B14120, ""en"", ""fa"")
"),"اتوماسیون یوتیوب")</f>
        <v>اتوماسیون یوتیوب</v>
      </c>
      <c r="G14120" s="1" t="str">
        <f>IFERROR(__xludf.DUMMYFUNCTION("GOOGLETRANSLATE(C14120, ""en"", ""fa"")
"),"چگونه عناصر تعاملی خودکار مانند نظرسنجی و آزمون ها را در ویدیوهای خود پیاده سازی کنید؟")</f>
        <v>چگونه عناصر تعاملی خودکار مانند نظرسنجی و آزمون ها را در ویدیوهای خود پیاده سازی کنید؟</v>
      </c>
      <c r="H14120" s="1"/>
      <c r="I14120" s="1"/>
      <c r="J14120" s="1"/>
      <c r="K14120" s="1"/>
      <c r="L14120" s="1"/>
      <c r="M14120" s="1"/>
      <c r="N14120" s="1"/>
      <c r="O14120" s="1"/>
      <c r="P14120" s="1"/>
      <c r="Q14120" s="1"/>
      <c r="R14120" s="1"/>
      <c r="S14120" s="1"/>
      <c r="T14120" s="1"/>
      <c r="U14120" s="1"/>
      <c r="V14120" s="1"/>
      <c r="W14120" s="1"/>
      <c r="X14120" s="1"/>
      <c r="Y14120" s="1"/>
      <c r="Z14120" s="1"/>
      <c r="AA14120" s="1"/>
      <c r="AB14120" s="1"/>
    </row>
    <row r="14121" ht="50.25" customHeight="1">
      <c r="A14121" s="12">
        <v>14117.0</v>
      </c>
      <c r="B14121" s="13" t="s">
        <v>13197</v>
      </c>
      <c r="C14121" s="14" t="s">
        <v>13354</v>
      </c>
      <c r="D14121" s="1"/>
      <c r="E14121" s="1"/>
      <c r="F14121" s="1" t="str">
        <f>IFERROR(__xludf.DUMMYFUNCTION("GOOGLETRANSLATE(B14121, ""en"", ""fa"")
"),"اتوماسیون یوتیوب")</f>
        <v>اتوماسیون یوتیوب</v>
      </c>
      <c r="G14121" s="1" t="str">
        <f>IFERROR(__xludf.DUMMYFUNCTION("GOOGLETRANSLATE(C14121, ""en"", ""fa"")
"),"چگونه تیزرهای ویدیویی خودکار برای تبلیغ محتوای آینده ایجاد کنیم؟")</f>
        <v>چگونه تیزرهای ویدیویی خودکار برای تبلیغ محتوای آینده ایجاد کنیم؟</v>
      </c>
      <c r="H14121" s="1"/>
      <c r="I14121" s="1"/>
      <c r="J14121" s="1"/>
      <c r="K14121" s="1"/>
      <c r="L14121" s="1"/>
      <c r="M14121" s="1"/>
      <c r="N14121" s="1"/>
      <c r="O14121" s="1"/>
      <c r="P14121" s="1"/>
      <c r="Q14121" s="1"/>
      <c r="R14121" s="1"/>
      <c r="S14121" s="1"/>
      <c r="T14121" s="1"/>
      <c r="U14121" s="1"/>
      <c r="V14121" s="1"/>
      <c r="W14121" s="1"/>
      <c r="X14121" s="1"/>
      <c r="Y14121" s="1"/>
      <c r="Z14121" s="1"/>
      <c r="AA14121" s="1"/>
      <c r="AB14121" s="1"/>
    </row>
    <row r="14122" ht="50.25" customHeight="1">
      <c r="A14122" s="12">
        <v>14118.0</v>
      </c>
      <c r="B14122" s="13" t="s">
        <v>13197</v>
      </c>
      <c r="C14122" s="14" t="s">
        <v>13355</v>
      </c>
      <c r="D14122" s="1"/>
      <c r="E14122" s="1"/>
      <c r="F14122" s="1" t="str">
        <f>IFERROR(__xludf.DUMMYFUNCTION("GOOGLETRANSLATE(B14122, ""en"", ""fa"")
"),"اتوماسیون یوتیوب")</f>
        <v>اتوماسیون یوتیوب</v>
      </c>
      <c r="G14122" s="1" t="str">
        <f>IFERROR(__xludf.DUMMYFUNCTION("GOOGLETRANSLATE(C14122, ""en"", ""fa"")
"),"چگونه پیش نمایش های ویدئویی خودکار را برای اشتراک گذاری رسانه های اجتماعی تنظیم کنیم؟")</f>
        <v>چگونه پیش نمایش های ویدئویی خودکار را برای اشتراک گذاری رسانه های اجتماعی تنظیم کنیم؟</v>
      </c>
      <c r="H14122" s="1"/>
      <c r="I14122" s="1"/>
      <c r="J14122" s="1"/>
      <c r="K14122" s="1"/>
      <c r="L14122" s="1"/>
      <c r="M14122" s="1"/>
      <c r="N14122" s="1"/>
      <c r="O14122" s="1"/>
      <c r="P14122" s="1"/>
      <c r="Q14122" s="1"/>
      <c r="R14122" s="1"/>
      <c r="S14122" s="1"/>
      <c r="T14122" s="1"/>
      <c r="U14122" s="1"/>
      <c r="V14122" s="1"/>
      <c r="W14122" s="1"/>
      <c r="X14122" s="1"/>
      <c r="Y14122" s="1"/>
      <c r="Z14122" s="1"/>
      <c r="AA14122" s="1"/>
      <c r="AB14122" s="1"/>
    </row>
    <row r="14123" ht="50.25" customHeight="1">
      <c r="A14123" s="12">
        <v>14119.0</v>
      </c>
      <c r="B14123" s="13" t="s">
        <v>13197</v>
      </c>
      <c r="C14123" s="14" t="s">
        <v>13356</v>
      </c>
      <c r="D14123" s="1"/>
      <c r="E14123" s="1"/>
      <c r="F14123" s="1" t="str">
        <f>IFERROR(__xludf.DUMMYFUNCTION("GOOGLETRANSLATE(B14123, ""en"", ""fa"")
"),"اتوماسیون یوتیوب")</f>
        <v>اتوماسیون یوتیوب</v>
      </c>
      <c r="G14123" s="1" t="str">
        <f>IFERROR(__xludf.DUMMYFUNCTION("GOOGLETRANSLATE(C14123, ""en"", ""fa"")
"),"چگونه از ترجمه خودکار شرح برای مخاطبان چند زبانه استفاده کنیم؟")</f>
        <v>چگونه از ترجمه خودکار شرح برای مخاطبان چند زبانه استفاده کنیم؟</v>
      </c>
      <c r="H14123" s="1"/>
      <c r="I14123" s="1"/>
      <c r="J14123" s="1"/>
      <c r="K14123" s="1"/>
      <c r="L14123" s="1"/>
      <c r="M14123" s="1"/>
      <c r="N14123" s="1"/>
      <c r="O14123" s="1"/>
      <c r="P14123" s="1"/>
      <c r="Q14123" s="1"/>
      <c r="R14123" s="1"/>
      <c r="S14123" s="1"/>
      <c r="T14123" s="1"/>
      <c r="U14123" s="1"/>
      <c r="V14123" s="1"/>
      <c r="W14123" s="1"/>
      <c r="X14123" s="1"/>
      <c r="Y14123" s="1"/>
      <c r="Z14123" s="1"/>
      <c r="AA14123" s="1"/>
      <c r="AB14123" s="1"/>
    </row>
    <row r="14124" ht="50.25" customHeight="1">
      <c r="A14124" s="12">
        <v>14120.0</v>
      </c>
      <c r="B14124" s="13" t="s">
        <v>13197</v>
      </c>
      <c r="C14124" s="14" t="s">
        <v>13357</v>
      </c>
      <c r="D14124" s="1"/>
      <c r="E14124" s="1"/>
      <c r="F14124" s="1" t="str">
        <f>IFERROR(__xludf.DUMMYFUNCTION("GOOGLETRANSLATE(B14124, ""en"", ""fa"")
"),"اتوماسیون یوتیوب")</f>
        <v>اتوماسیون یوتیوب</v>
      </c>
      <c r="G14124" s="1" t="str">
        <f>IFERROR(__xludf.DUMMYFUNCTION("GOOGLETRANSLATE(C14124, ""en"", ""fa"")
"),"چگونه توالی های خودکار خوش آمدگویی مشترک را برای بینندگان جدید پیاده سازی کنیم؟")</f>
        <v>چگونه توالی های خودکار خوش آمدگویی مشترک را برای بینندگان جدید پیاده سازی کنیم؟</v>
      </c>
      <c r="H14124" s="1"/>
      <c r="I14124" s="1"/>
      <c r="J14124" s="1"/>
      <c r="K14124" s="1"/>
      <c r="L14124" s="1"/>
      <c r="M14124" s="1"/>
      <c r="N14124" s="1"/>
      <c r="O14124" s="1"/>
      <c r="P14124" s="1"/>
      <c r="Q14124" s="1"/>
      <c r="R14124" s="1"/>
      <c r="S14124" s="1"/>
      <c r="T14124" s="1"/>
      <c r="U14124" s="1"/>
      <c r="V14124" s="1"/>
      <c r="W14124" s="1"/>
      <c r="X14124" s="1"/>
      <c r="Y14124" s="1"/>
      <c r="Z14124" s="1"/>
      <c r="AA14124" s="1"/>
      <c r="AB14124" s="1"/>
    </row>
    <row r="14125" ht="50.25" customHeight="1">
      <c r="A14125" s="12">
        <v>14121.0</v>
      </c>
      <c r="B14125" s="13" t="s">
        <v>13197</v>
      </c>
      <c r="C14125" s="14" t="s">
        <v>13358</v>
      </c>
      <c r="D14125" s="1"/>
      <c r="E14125" s="1"/>
      <c r="F14125" s="1" t="str">
        <f>IFERROR(__xludf.DUMMYFUNCTION("GOOGLETRANSLATE(B14125, ""en"", ""fa"")
"),"اتوماسیون یوتیوب")</f>
        <v>اتوماسیون یوتیوب</v>
      </c>
      <c r="G14125" s="1" t="str">
        <f>IFERROR(__xludf.DUMMYFUNCTION("GOOGLETRANSLATE(C14125, ""en"", ""fa"")
"),"چگونه می توان از یکپارچگی خودکار بازاریابی وابسته در محتوای ویدیوی خود استفاده کرد؟")</f>
        <v>چگونه می توان از یکپارچگی خودکار بازاریابی وابسته در محتوای ویدیوی خود استفاده کرد؟</v>
      </c>
      <c r="H14125" s="1"/>
      <c r="I14125" s="1"/>
      <c r="J14125" s="1"/>
      <c r="K14125" s="1"/>
      <c r="L14125" s="1"/>
      <c r="M14125" s="1"/>
      <c r="N14125" s="1"/>
      <c r="O14125" s="1"/>
      <c r="P14125" s="1"/>
      <c r="Q14125" s="1"/>
      <c r="R14125" s="1"/>
      <c r="S14125" s="1"/>
      <c r="T14125" s="1"/>
      <c r="U14125" s="1"/>
      <c r="V14125" s="1"/>
      <c r="W14125" s="1"/>
      <c r="X14125" s="1"/>
      <c r="Y14125" s="1"/>
      <c r="Z14125" s="1"/>
      <c r="AA14125" s="1"/>
      <c r="AB14125" s="1"/>
    </row>
    <row r="14126" ht="50.25" customHeight="1">
      <c r="A14126" s="12">
        <v>14122.0</v>
      </c>
      <c r="B14126" s="13" t="s">
        <v>13197</v>
      </c>
      <c r="C14126" s="14" t="s">
        <v>13359</v>
      </c>
      <c r="D14126" s="1"/>
      <c r="E14126" s="1"/>
      <c r="F14126" s="1" t="str">
        <f>IFERROR(__xludf.DUMMYFUNCTION("GOOGLETRANSLATE(B14126, ""en"", ""fa"")
"),"اتوماسیون یوتیوب")</f>
        <v>اتوماسیون یوتیوب</v>
      </c>
      <c r="G14126" s="1" t="str">
        <f>IFERROR(__xludf.DUMMYFUNCTION("GOOGLETRANSLATE(C14126, ""en"", ""fa"")
"),"چگونه می توان از حلقه های هایلایت ویدیوی خودکار برای مرور بهترین لحظات کانال خود استفاده کرد؟")</f>
        <v>چگونه می توان از حلقه های هایلایت ویدیوی خودکار برای مرور بهترین لحظات کانال خود استفاده کرد؟</v>
      </c>
      <c r="H14126" s="1"/>
      <c r="I14126" s="1"/>
      <c r="J14126" s="1"/>
      <c r="K14126" s="1"/>
      <c r="L14126" s="1"/>
      <c r="M14126" s="1"/>
      <c r="N14126" s="1"/>
      <c r="O14126" s="1"/>
      <c r="P14126" s="1"/>
      <c r="Q14126" s="1"/>
      <c r="R14126" s="1"/>
      <c r="S14126" s="1"/>
      <c r="T14126" s="1"/>
      <c r="U14126" s="1"/>
      <c r="V14126" s="1"/>
      <c r="W14126" s="1"/>
      <c r="X14126" s="1"/>
      <c r="Y14126" s="1"/>
      <c r="Z14126" s="1"/>
      <c r="AA14126" s="1"/>
      <c r="AB14126" s="1"/>
    </row>
    <row r="14127" ht="50.25" customHeight="1">
      <c r="A14127" s="12">
        <v>14123.0</v>
      </c>
      <c r="B14127" s="13" t="s">
        <v>13197</v>
      </c>
      <c r="C14127" s="14" t="s">
        <v>13360</v>
      </c>
      <c r="D14127" s="1"/>
      <c r="E14127" s="1"/>
      <c r="F14127" s="1" t="str">
        <f>IFERROR(__xludf.DUMMYFUNCTION("GOOGLETRANSLATE(B14127, ""en"", ""fa"")
"),"اتوماسیون یوتیوب")</f>
        <v>اتوماسیون یوتیوب</v>
      </c>
      <c r="G14127" s="1" t="str">
        <f>IFERROR(__xludf.DUMMYFUNCTION("GOOGLETRANSLATE(C14127, ""en"", ""fa"")
"),"چگونه می توان برچسب گذاری خودکار محتوا و سازماندهی ابرداده را پیاده سازی کرد؟")</f>
        <v>چگونه می توان برچسب گذاری خودکار محتوا و سازماندهی ابرداده را پیاده سازی کرد؟</v>
      </c>
      <c r="H14127" s="1"/>
      <c r="I14127" s="1"/>
      <c r="J14127" s="1"/>
      <c r="K14127" s="1"/>
      <c r="L14127" s="1"/>
      <c r="M14127" s="1"/>
      <c r="N14127" s="1"/>
      <c r="O14127" s="1"/>
      <c r="P14127" s="1"/>
      <c r="Q14127" s="1"/>
      <c r="R14127" s="1"/>
      <c r="S14127" s="1"/>
      <c r="T14127" s="1"/>
      <c r="U14127" s="1"/>
      <c r="V14127" s="1"/>
      <c r="W14127" s="1"/>
      <c r="X14127" s="1"/>
      <c r="Y14127" s="1"/>
      <c r="Z14127" s="1"/>
      <c r="AA14127" s="1"/>
      <c r="AB14127" s="1"/>
    </row>
    <row r="14128" ht="50.25" customHeight="1">
      <c r="A14128" s="12">
        <v>14124.0</v>
      </c>
      <c r="B14128" s="13" t="s">
        <v>13197</v>
      </c>
      <c r="C14128" s="14" t="s">
        <v>13361</v>
      </c>
      <c r="D14128" s="1"/>
      <c r="E14128" s="1"/>
      <c r="F14128" s="1" t="str">
        <f>IFERROR(__xludf.DUMMYFUNCTION("GOOGLETRANSLATE(B14128, ""en"", ""fa"")
"),"اتوماسیون یوتیوب")</f>
        <v>اتوماسیون یوتیوب</v>
      </c>
      <c r="G14128" s="1" t="str">
        <f>IFERROR(__xludf.DUMMYFUNCTION("GOOGLETRANSLATE(C14128, ""en"", ""fa"")
"),"چگونه از محبوب ترین محتوای خود مجموعه های ویدیویی خودکار ایجاد کنیم؟")</f>
        <v>چگونه از محبوب ترین محتوای خود مجموعه های ویدیویی خودکار ایجاد کنیم؟</v>
      </c>
      <c r="H14128" s="1"/>
      <c r="I14128" s="1"/>
      <c r="J14128" s="1"/>
      <c r="K14128" s="1"/>
      <c r="L14128" s="1"/>
      <c r="M14128" s="1"/>
      <c r="N14128" s="1"/>
      <c r="O14128" s="1"/>
      <c r="P14128" s="1"/>
      <c r="Q14128" s="1"/>
      <c r="R14128" s="1"/>
      <c r="S14128" s="1"/>
      <c r="T14128" s="1"/>
      <c r="U14128" s="1"/>
      <c r="V14128" s="1"/>
      <c r="W14128" s="1"/>
      <c r="X14128" s="1"/>
      <c r="Y14128" s="1"/>
      <c r="Z14128" s="1"/>
      <c r="AA14128" s="1"/>
      <c r="AB14128" s="1"/>
    </row>
    <row r="14129" ht="50.25" customHeight="1">
      <c r="A14129" s="12">
        <v>14125.0</v>
      </c>
      <c r="B14129" s="13" t="s">
        <v>13197</v>
      </c>
      <c r="C14129" s="14" t="s">
        <v>13362</v>
      </c>
      <c r="D14129" s="1"/>
      <c r="E14129" s="1"/>
      <c r="F14129" s="1" t="str">
        <f>IFERROR(__xludf.DUMMYFUNCTION("GOOGLETRANSLATE(B14129, ""en"", ""fa"")
"),"اتوماسیون یوتیوب")</f>
        <v>اتوماسیون یوتیوب</v>
      </c>
      <c r="G14129" s="1" t="str">
        <f>IFERROR(__xludf.DUMMYFUNCTION("GOOGLETRANSLATE(C14129, ""en"", ""fa"")
"),"چگونه می توان کنترل خودکار کیفیت ویدیو را برای اطمینان از تجربه بیننده ثابت تنظیم کرد؟")</f>
        <v>چگونه می توان کنترل خودکار کیفیت ویدیو را برای اطمینان از تجربه بیننده ثابت تنظیم کرد؟</v>
      </c>
      <c r="H14129" s="1"/>
      <c r="I14129" s="1"/>
      <c r="J14129" s="1"/>
      <c r="K14129" s="1"/>
      <c r="L14129" s="1"/>
      <c r="M14129" s="1"/>
      <c r="N14129" s="1"/>
      <c r="O14129" s="1"/>
      <c r="P14129" s="1"/>
      <c r="Q14129" s="1"/>
      <c r="R14129" s="1"/>
      <c r="S14129" s="1"/>
      <c r="T14129" s="1"/>
      <c r="U14129" s="1"/>
      <c r="V14129" s="1"/>
      <c r="W14129" s="1"/>
      <c r="X14129" s="1"/>
      <c r="Y14129" s="1"/>
      <c r="Z14129" s="1"/>
      <c r="AA14129" s="1"/>
      <c r="AB14129" s="1"/>
    </row>
    <row r="14130" ht="50.25" customHeight="1">
      <c r="A14130" s="12">
        <v>14126.0</v>
      </c>
      <c r="B14130" s="13" t="s">
        <v>13197</v>
      </c>
      <c r="C14130" s="14" t="s">
        <v>13363</v>
      </c>
      <c r="D14130" s="1"/>
      <c r="E14130" s="1"/>
      <c r="F14130" s="1" t="str">
        <f>IFERROR(__xludf.DUMMYFUNCTION("GOOGLETRANSLATE(B14130, ""en"", ""fa"")
"),"اتوماسیون یوتیوب")</f>
        <v>اتوماسیون یوتیوب</v>
      </c>
      <c r="G14130" s="1" t="str">
        <f>IFERROR(__xludf.DUMMYFUNCTION("GOOGLETRANSLATE(C14130, ""en"", ""fa"")
"),"چگونه از تجزیه و تحلیل تعامل خودکار برای بهینه سازی محتوای ویدیوی خود استفاده کنید؟")</f>
        <v>چگونه از تجزیه و تحلیل تعامل خودکار برای بهینه سازی محتوای ویدیوی خود استفاده کنید؟</v>
      </c>
      <c r="H14130" s="1"/>
      <c r="I14130" s="1"/>
      <c r="J14130" s="1"/>
      <c r="K14130" s="1"/>
      <c r="L14130" s="1"/>
      <c r="M14130" s="1"/>
      <c r="N14130" s="1"/>
      <c r="O14130" s="1"/>
      <c r="P14130" s="1"/>
      <c r="Q14130" s="1"/>
      <c r="R14130" s="1"/>
      <c r="S14130" s="1"/>
      <c r="T14130" s="1"/>
      <c r="U14130" s="1"/>
      <c r="V14130" s="1"/>
      <c r="W14130" s="1"/>
      <c r="X14130" s="1"/>
      <c r="Y14130" s="1"/>
      <c r="Z14130" s="1"/>
      <c r="AA14130" s="1"/>
      <c r="AB14130" s="1"/>
    </row>
    <row r="14131" ht="50.25" customHeight="1">
      <c r="A14131" s="12">
        <v>14127.0</v>
      </c>
      <c r="B14131" s="13" t="s">
        <v>13197</v>
      </c>
      <c r="C14131" s="14" t="s">
        <v>13364</v>
      </c>
      <c r="D14131" s="1"/>
      <c r="E14131" s="1"/>
      <c r="F14131" s="1" t="str">
        <f>IFERROR(__xludf.DUMMYFUNCTION("GOOGLETRANSLATE(B14131, ""en"", ""fa"")
"),"اتوماسیون یوتیوب")</f>
        <v>اتوماسیون یوتیوب</v>
      </c>
      <c r="G14131" s="1" t="str">
        <f>IFERROR(__xludf.DUMMYFUNCTION("GOOGLETRANSLATE(C14131, ""en"", ""fa"")
"),"چگونه می توان از رقابت های ویدئویی خودکار و کمپین های اهدایی برای افزایش مشارکت مخاطبان استفاده کرد؟")</f>
        <v>چگونه می توان از رقابت های ویدئویی خودکار و کمپین های اهدایی برای افزایش مشارکت مخاطبان استفاده کرد؟</v>
      </c>
      <c r="H14131" s="1"/>
      <c r="I14131" s="1"/>
      <c r="J14131" s="1"/>
      <c r="K14131" s="1"/>
      <c r="L14131" s="1"/>
      <c r="M14131" s="1"/>
      <c r="N14131" s="1"/>
      <c r="O14131" s="1"/>
      <c r="P14131" s="1"/>
      <c r="Q14131" s="1"/>
      <c r="R14131" s="1"/>
      <c r="S14131" s="1"/>
      <c r="T14131" s="1"/>
      <c r="U14131" s="1"/>
      <c r="V14131" s="1"/>
      <c r="W14131" s="1"/>
      <c r="X14131" s="1"/>
      <c r="Y14131" s="1"/>
      <c r="Z14131" s="1"/>
      <c r="AA14131" s="1"/>
      <c r="AB14131" s="1"/>
    </row>
    <row r="14132" ht="50.25" customHeight="1">
      <c r="A14132" s="12">
        <v>14128.0</v>
      </c>
      <c r="B14132" s="13" t="s">
        <v>13197</v>
      </c>
      <c r="C14132" s="14" t="s">
        <v>13365</v>
      </c>
      <c r="D14132" s="1"/>
      <c r="E14132" s="1"/>
      <c r="F14132" s="1" t="str">
        <f>IFERROR(__xludf.DUMMYFUNCTION("GOOGLETRANSLATE(B14132, ""en"", ""fa"")
"),"اتوماسیون یوتیوب")</f>
        <v>اتوماسیون یوتیوب</v>
      </c>
      <c r="G14132" s="1" t="str">
        <f>IFERROR(__xludf.DUMMYFUNCTION("GOOGLETRANSLATE(C14132, ""en"", ""fa"")
"),"چگونه می توان توصیفات و تاییدیه های ویدئویی خودکار را از بینندگان راضی اجرا کرد؟")</f>
        <v>چگونه می توان توصیفات و تاییدیه های ویدئویی خودکار را از بینندگان راضی اجرا کرد؟</v>
      </c>
      <c r="H14132" s="1"/>
      <c r="I14132" s="1"/>
      <c r="J14132" s="1"/>
      <c r="K14132" s="1"/>
      <c r="L14132" s="1"/>
      <c r="M14132" s="1"/>
      <c r="N14132" s="1"/>
      <c r="O14132" s="1"/>
      <c r="P14132" s="1"/>
      <c r="Q14132" s="1"/>
      <c r="R14132" s="1"/>
      <c r="S14132" s="1"/>
      <c r="T14132" s="1"/>
      <c r="U14132" s="1"/>
      <c r="V14132" s="1"/>
      <c r="W14132" s="1"/>
      <c r="X14132" s="1"/>
      <c r="Y14132" s="1"/>
      <c r="Z14132" s="1"/>
      <c r="AA14132" s="1"/>
      <c r="AB14132" s="1"/>
    </row>
    <row r="14133" ht="50.25" customHeight="1">
      <c r="A14133" s="12">
        <v>14129.0</v>
      </c>
      <c r="B14133" s="13" t="s">
        <v>13197</v>
      </c>
      <c r="C14133" s="14" t="s">
        <v>13366</v>
      </c>
      <c r="D14133" s="1"/>
      <c r="E14133" s="1"/>
      <c r="F14133" s="1" t="str">
        <f>IFERROR(__xludf.DUMMYFUNCTION("GOOGLETRANSLATE(B14133, ""en"", ""fa"")
"),"اتوماسیون یوتیوب")</f>
        <v>اتوماسیون یوتیوب</v>
      </c>
      <c r="G14133" s="1" t="str">
        <f>IFERROR(__xludf.DUMMYFUNCTION("GOOGLETRANSLATE(C14133, ""en"", ""fa"")
"),"چگونه می توان رونوشت های ویدئویی خودکار برای دسترسی بهتر ایجاد کرد؟")</f>
        <v>چگونه می توان رونوشت های ویدئویی خودکار برای دسترسی بهتر ایجاد کرد؟</v>
      </c>
      <c r="H14133" s="1"/>
      <c r="I14133" s="1"/>
      <c r="J14133" s="1"/>
      <c r="K14133" s="1"/>
      <c r="L14133" s="1"/>
      <c r="M14133" s="1"/>
      <c r="N14133" s="1"/>
      <c r="O14133" s="1"/>
      <c r="P14133" s="1"/>
      <c r="Q14133" s="1"/>
      <c r="R14133" s="1"/>
      <c r="S14133" s="1"/>
      <c r="T14133" s="1"/>
      <c r="U14133" s="1"/>
      <c r="V14133" s="1"/>
      <c r="W14133" s="1"/>
      <c r="X14133" s="1"/>
      <c r="Y14133" s="1"/>
      <c r="Z14133" s="1"/>
      <c r="AA14133" s="1"/>
      <c r="AB14133" s="1"/>
    </row>
    <row r="14134" ht="50.25" customHeight="1">
      <c r="A14134" s="12">
        <v>14130.0</v>
      </c>
      <c r="B14134" s="13" t="s">
        <v>13197</v>
      </c>
      <c r="C14134" s="14" t="s">
        <v>13367</v>
      </c>
      <c r="D14134" s="1"/>
      <c r="E14134" s="1"/>
      <c r="F14134" s="1" t="str">
        <f>IFERROR(__xludf.DUMMYFUNCTION("GOOGLETRANSLATE(B14134, ""en"", ""fa"")
"),"اتوماسیون یوتیوب")</f>
        <v>اتوماسیون یوتیوب</v>
      </c>
      <c r="G14134" s="1" t="str">
        <f>IFERROR(__xludf.DUMMYFUNCTION("GOOGLETRANSLATE(C14134, ""en"", ""fa"")
"),"چگونه تبلیغات بین کانالی خودکار راه اندازی کنیم تا پایگاه مشترک YouTube خود را افزایش دهیم؟")</f>
        <v>چگونه تبلیغات بین کانالی خودکار راه اندازی کنیم تا پایگاه مشترک YouTube خود را افزایش دهیم؟</v>
      </c>
      <c r="H14134" s="1"/>
      <c r="I14134" s="1"/>
      <c r="J14134" s="1"/>
      <c r="K14134" s="1"/>
      <c r="L14134" s="1"/>
      <c r="M14134" s="1"/>
      <c r="N14134" s="1"/>
      <c r="O14134" s="1"/>
      <c r="P14134" s="1"/>
      <c r="Q14134" s="1"/>
      <c r="R14134" s="1"/>
      <c r="S14134" s="1"/>
      <c r="T14134" s="1"/>
      <c r="U14134" s="1"/>
      <c r="V14134" s="1"/>
      <c r="W14134" s="1"/>
      <c r="X14134" s="1"/>
      <c r="Y14134" s="1"/>
      <c r="Z14134" s="1"/>
      <c r="AA14134" s="1"/>
      <c r="AB14134" s="1"/>
    </row>
    <row r="14135" ht="50.25" customHeight="1">
      <c r="A14135" s="12">
        <v>14131.0</v>
      </c>
      <c r="B14135" s="13" t="s">
        <v>13197</v>
      </c>
      <c r="C14135" s="14" t="s">
        <v>13368</v>
      </c>
      <c r="D14135" s="1"/>
      <c r="E14135" s="1"/>
      <c r="F14135" s="1" t="str">
        <f>IFERROR(__xludf.DUMMYFUNCTION("GOOGLETRANSLATE(B14135, ""en"", ""fa"")
"),"اتوماسیون یوتیوب")</f>
        <v>اتوماسیون یوتیوب</v>
      </c>
      <c r="G14135" s="1" t="str">
        <f>IFERROR(__xludf.DUMMYFUNCTION("GOOGLETRANSLATE(C14135, ""en"", ""fa"")
"),"چگونه از فریادهای اینفلوئنسرهای خودکار برای افزایش دید YouTube خود استفاده کنیم؟")</f>
        <v>چگونه از فریادهای اینفلوئنسرهای خودکار برای افزایش دید YouTube خود استفاده کنیم؟</v>
      </c>
      <c r="H14135" s="1"/>
      <c r="I14135" s="1"/>
      <c r="J14135" s="1"/>
      <c r="K14135" s="1"/>
      <c r="L14135" s="1"/>
      <c r="M14135" s="1"/>
      <c r="N14135" s="1"/>
      <c r="O14135" s="1"/>
      <c r="P14135" s="1"/>
      <c r="Q14135" s="1"/>
      <c r="R14135" s="1"/>
      <c r="S14135" s="1"/>
      <c r="T14135" s="1"/>
      <c r="U14135" s="1"/>
      <c r="V14135" s="1"/>
      <c r="W14135" s="1"/>
      <c r="X14135" s="1"/>
      <c r="Y14135" s="1"/>
      <c r="Z14135" s="1"/>
      <c r="AA14135" s="1"/>
      <c r="AB14135" s="1"/>
    </row>
    <row r="14136" ht="50.25" customHeight="1">
      <c r="A14136" s="12">
        <v>14132.0</v>
      </c>
      <c r="B14136" s="13" t="s">
        <v>13197</v>
      </c>
      <c r="C14136" s="14" t="s">
        <v>13369</v>
      </c>
      <c r="D14136" s="1"/>
      <c r="E14136" s="1"/>
      <c r="F14136" s="1" t="str">
        <f>IFERROR(__xludf.DUMMYFUNCTION("GOOGLETRANSLATE(B14136, ""en"", ""fa"")
"),"اتوماسیون یوتیوب")</f>
        <v>اتوماسیون یوتیوب</v>
      </c>
      <c r="G14136" s="1" t="str">
        <f>IFERROR(__xludf.DUMMYFUNCTION("GOOGLETRANSLATE(C14136, ""en"", ""fa"")
"),"چگونه از ابزارهای خودکار برچسب گذاری ویدیو برای کشف محتوای کارآمد استفاده کنیم؟")</f>
        <v>چگونه از ابزارهای خودکار برچسب گذاری ویدیو برای کشف محتوای کارآمد استفاده کنیم؟</v>
      </c>
      <c r="H14136" s="1"/>
      <c r="I14136" s="1"/>
      <c r="J14136" s="1"/>
      <c r="K14136" s="1"/>
      <c r="L14136" s="1"/>
      <c r="M14136" s="1"/>
      <c r="N14136" s="1"/>
      <c r="O14136" s="1"/>
      <c r="P14136" s="1"/>
      <c r="Q14136" s="1"/>
      <c r="R14136" s="1"/>
      <c r="S14136" s="1"/>
      <c r="T14136" s="1"/>
      <c r="U14136" s="1"/>
      <c r="V14136" s="1"/>
      <c r="W14136" s="1"/>
      <c r="X14136" s="1"/>
      <c r="Y14136" s="1"/>
      <c r="Z14136" s="1"/>
      <c r="AA14136" s="1"/>
      <c r="AB14136" s="1"/>
    </row>
    <row r="14137" ht="50.25" customHeight="1">
      <c r="A14137" s="12">
        <v>14133.0</v>
      </c>
      <c r="B14137" s="13" t="s">
        <v>13197</v>
      </c>
      <c r="C14137" s="14" t="s">
        <v>13370</v>
      </c>
      <c r="D14137" s="1"/>
      <c r="E14137" s="1"/>
      <c r="F14137" s="1" t="str">
        <f>IFERROR(__xludf.DUMMYFUNCTION("GOOGLETRANSLATE(B14137, ""en"", ""fa"")
"),"اتوماسیون یوتیوب")</f>
        <v>اتوماسیون یوتیوب</v>
      </c>
      <c r="G14137" s="1" t="str">
        <f>IFERROR(__xludf.DUMMYFUNCTION("GOOGLETRANSLATE(C14137, ""en"", ""fa"")
"),"چگونه می توان بسته بندی خودکار محتوا را برای بخش های مختلف مخاطب پیاده سازی کرد؟")</f>
        <v>چگونه می توان بسته بندی خودکار محتوا را برای بخش های مختلف مخاطب پیاده سازی کرد؟</v>
      </c>
      <c r="H14137" s="1"/>
      <c r="I14137" s="1"/>
      <c r="J14137" s="1"/>
      <c r="K14137" s="1"/>
      <c r="L14137" s="1"/>
      <c r="M14137" s="1"/>
      <c r="N14137" s="1"/>
      <c r="O14137" s="1"/>
      <c r="P14137" s="1"/>
      <c r="Q14137" s="1"/>
      <c r="R14137" s="1"/>
      <c r="S14137" s="1"/>
      <c r="T14137" s="1"/>
      <c r="U14137" s="1"/>
      <c r="V14137" s="1"/>
      <c r="W14137" s="1"/>
      <c r="X14137" s="1"/>
      <c r="Y14137" s="1"/>
      <c r="Z14137" s="1"/>
      <c r="AA14137" s="1"/>
      <c r="AB14137" s="1"/>
    </row>
    <row r="14138" ht="50.25" customHeight="1">
      <c r="A14138" s="12">
        <v>14134.0</v>
      </c>
      <c r="B14138" s="13" t="s">
        <v>13197</v>
      </c>
      <c r="C14138" s="14" t="s">
        <v>13371</v>
      </c>
      <c r="D14138" s="1"/>
      <c r="E14138" s="1"/>
      <c r="F14138" s="1" t="str">
        <f>IFERROR(__xludf.DUMMYFUNCTION("GOOGLETRANSLATE(B14138, ""en"", ""fa"")
"),"اتوماسیون یوتیوب")</f>
        <v>اتوماسیون یوتیوب</v>
      </c>
      <c r="G14138" s="1" t="str">
        <f>IFERROR(__xludf.DUMMYFUNCTION("GOOGLETRANSLATE(C14138, ""en"", ""fa"")
"),"چگونه برای برنامه ریزی و زمان بندی کارآمد، تقویم محتوای ویدیویی خودکار ایجاد کنیم؟")</f>
        <v>چگونه برای برنامه ریزی و زمان بندی کارآمد، تقویم محتوای ویدیویی خودکار ایجاد کنیم؟</v>
      </c>
      <c r="H14138" s="1"/>
      <c r="I14138" s="1"/>
      <c r="J14138" s="1"/>
      <c r="K14138" s="1"/>
      <c r="L14138" s="1"/>
      <c r="M14138" s="1"/>
      <c r="N14138" s="1"/>
      <c r="O14138" s="1"/>
      <c r="P14138" s="1"/>
      <c r="Q14138" s="1"/>
      <c r="R14138" s="1"/>
      <c r="S14138" s="1"/>
      <c r="T14138" s="1"/>
      <c r="U14138" s="1"/>
      <c r="V14138" s="1"/>
      <c r="W14138" s="1"/>
      <c r="X14138" s="1"/>
      <c r="Y14138" s="1"/>
      <c r="Z14138" s="1"/>
      <c r="AA14138" s="1"/>
      <c r="AB14138" s="1"/>
    </row>
    <row r="14139" ht="50.25" customHeight="1">
      <c r="A14139" s="12">
        <v>14135.0</v>
      </c>
      <c r="B14139" s="13" t="s">
        <v>13197</v>
      </c>
      <c r="C14139" s="14" t="s">
        <v>13372</v>
      </c>
      <c r="D14139" s="1"/>
      <c r="E14139" s="1"/>
      <c r="F14139" s="1" t="str">
        <f>IFERROR(__xludf.DUMMYFUNCTION("GOOGLETRANSLATE(B14139, ""en"", ""fa"")
"),"اتوماسیون یوتیوب")</f>
        <v>اتوماسیون یوتیوب</v>
      </c>
      <c r="G14139" s="1" t="str">
        <f>IFERROR(__xludf.DUMMYFUNCTION("GOOGLETRANSLATE(C14139, ""en"", ""fa"")
"),"چگونه جلسات طوفان فکری محتوای خودکار را با استفاده از ابزارهای مبتنی بر هوش مصنوعی تنظیم کنیم؟")</f>
        <v>چگونه جلسات طوفان فکری محتوای خودکار را با استفاده از ابزارهای مبتنی بر هوش مصنوعی تنظیم کنیم؟</v>
      </c>
      <c r="H14139" s="1"/>
      <c r="I14139" s="1"/>
      <c r="J14139" s="1"/>
      <c r="K14139" s="1"/>
      <c r="L14139" s="1"/>
      <c r="M14139" s="1"/>
      <c r="N14139" s="1"/>
      <c r="O14139" s="1"/>
      <c r="P14139" s="1"/>
      <c r="Q14139" s="1"/>
      <c r="R14139" s="1"/>
      <c r="S14139" s="1"/>
      <c r="T14139" s="1"/>
      <c r="U14139" s="1"/>
      <c r="V14139" s="1"/>
      <c r="W14139" s="1"/>
      <c r="X14139" s="1"/>
      <c r="Y14139" s="1"/>
      <c r="Z14139" s="1"/>
      <c r="AA14139" s="1"/>
      <c r="AB14139" s="1"/>
    </row>
    <row r="14140" ht="50.25" customHeight="1">
      <c r="A14140" s="12">
        <v>14136.0</v>
      </c>
      <c r="B14140" s="13" t="s">
        <v>13197</v>
      </c>
      <c r="C14140" s="14" t="s">
        <v>13373</v>
      </c>
      <c r="D14140" s="1"/>
      <c r="E14140" s="1"/>
      <c r="F14140" s="1" t="str">
        <f>IFERROR(__xludf.DUMMYFUNCTION("GOOGLETRANSLATE(B14140, ""en"", ""fa"")
"),"اتوماسیون یوتیوب")</f>
        <v>اتوماسیون یوتیوب</v>
      </c>
      <c r="G14140" s="1" t="str">
        <f>IFERROR(__xludf.DUMMYFUNCTION("GOOGLETRANSLATE(C14140, ""en"", ""fa"")
"),"چگونه می توان از ردیابی متریک های ویدئویی خودکار برای اندازه گیری ROI و رشد کانال استفاده کرد؟")</f>
        <v>چگونه می توان از ردیابی متریک های ویدئویی خودکار برای اندازه گیری ROI و رشد کانال استفاده کرد؟</v>
      </c>
      <c r="H14140" s="1"/>
      <c r="I14140" s="1"/>
      <c r="J14140" s="1"/>
      <c r="K14140" s="1"/>
      <c r="L14140" s="1"/>
      <c r="M14140" s="1"/>
      <c r="N14140" s="1"/>
      <c r="O14140" s="1"/>
      <c r="P14140" s="1"/>
      <c r="Q14140" s="1"/>
      <c r="R14140" s="1"/>
      <c r="S14140" s="1"/>
      <c r="T14140" s="1"/>
      <c r="U14140" s="1"/>
      <c r="V14140" s="1"/>
      <c r="W14140" s="1"/>
      <c r="X14140" s="1"/>
      <c r="Y14140" s="1"/>
      <c r="Z14140" s="1"/>
      <c r="AA14140" s="1"/>
      <c r="AB14140" s="1"/>
    </row>
    <row r="14141" ht="50.25" customHeight="1">
      <c r="A14141" s="12">
        <v>14137.0</v>
      </c>
      <c r="B14141" s="13" t="s">
        <v>13197</v>
      </c>
      <c r="C14141" s="14" t="s">
        <v>13374</v>
      </c>
      <c r="D14141" s="1"/>
      <c r="E14141" s="1"/>
      <c r="F14141" s="1" t="str">
        <f>IFERROR(__xludf.DUMMYFUNCTION("GOOGLETRANSLATE(B14141, ""en"", ""fa"")
"),"اتوماسیون یوتیوب")</f>
        <v>اتوماسیون یوتیوب</v>
      </c>
      <c r="G14141" s="1" t="str">
        <f>IFERROR(__xludf.DUMMYFUNCTION("GOOGLETRANSLATE(C14141, ""en"", ""fa"")
"),"چگونه از تجزیه و تحلیل احساسات خودکار برای سنجش واکنش بینندگان به محتوای خود استفاده کنیم؟")</f>
        <v>چگونه از تجزیه و تحلیل احساسات خودکار برای سنجش واکنش بینندگان به محتوای خود استفاده کنیم؟</v>
      </c>
      <c r="H14141" s="1"/>
      <c r="I14141" s="1"/>
      <c r="J14141" s="1"/>
      <c r="K14141" s="1"/>
      <c r="L14141" s="1"/>
      <c r="M14141" s="1"/>
      <c r="N14141" s="1"/>
      <c r="O14141" s="1"/>
      <c r="P14141" s="1"/>
      <c r="Q14141" s="1"/>
      <c r="R14141" s="1"/>
      <c r="S14141" s="1"/>
      <c r="T14141" s="1"/>
      <c r="U14141" s="1"/>
      <c r="V14141" s="1"/>
      <c r="W14141" s="1"/>
      <c r="X14141" s="1"/>
      <c r="Y14141" s="1"/>
      <c r="Z14141" s="1"/>
      <c r="AA14141" s="1"/>
      <c r="AB14141" s="1"/>
    </row>
    <row r="14142" ht="50.25" customHeight="1">
      <c r="A14142" s="12">
        <v>14138.0</v>
      </c>
      <c r="B14142" s="13" t="s">
        <v>13197</v>
      </c>
      <c r="C14142" s="14" t="s">
        <v>13375</v>
      </c>
      <c r="D14142" s="1"/>
      <c r="E14142" s="1"/>
      <c r="F14142" s="1" t="str">
        <f>IFERROR(__xludf.DUMMYFUNCTION("GOOGLETRANSLATE(B14142, ""en"", ""fa"")
"),"اتوماسیون یوتیوب")</f>
        <v>اتوماسیون یوتیوب</v>
      </c>
      <c r="G14142" s="1" t="str">
        <f>IFERROR(__xludf.DUMMYFUNCTION("GOOGLETRANSLATE(C14142, ""en"", ""fa"")
"),"چگونه می توان درخواست های خودکار همکاری ویدیویی را با سایر سازندگان پیاده سازی کرد؟")</f>
        <v>چگونه می توان درخواست های خودکار همکاری ویدیویی را با سایر سازندگان پیاده سازی کرد؟</v>
      </c>
      <c r="H14142" s="1"/>
      <c r="I14142" s="1"/>
      <c r="J14142" s="1"/>
      <c r="K14142" s="1"/>
      <c r="L14142" s="1"/>
      <c r="M14142" s="1"/>
      <c r="N14142" s="1"/>
      <c r="O14142" s="1"/>
      <c r="P14142" s="1"/>
      <c r="Q14142" s="1"/>
      <c r="R14142" s="1"/>
      <c r="S14142" s="1"/>
      <c r="T14142" s="1"/>
      <c r="U14142" s="1"/>
      <c r="V14142" s="1"/>
      <c r="W14142" s="1"/>
      <c r="X14142" s="1"/>
      <c r="Y14142" s="1"/>
      <c r="Z14142" s="1"/>
      <c r="AA14142" s="1"/>
      <c r="AB14142" s="1"/>
    </row>
    <row r="14143" ht="50.25" customHeight="1">
      <c r="A14143" s="12">
        <v>14139.0</v>
      </c>
      <c r="B14143" s="13" t="s">
        <v>13197</v>
      </c>
      <c r="C14143" s="14" t="s">
        <v>13376</v>
      </c>
      <c r="D14143" s="1"/>
      <c r="E14143" s="1"/>
      <c r="F14143" s="1" t="str">
        <f>IFERROR(__xludf.DUMMYFUNCTION("GOOGLETRANSLATE(B14143, ""en"", ""fa"")
"),"اتوماسیون یوتیوب")</f>
        <v>اتوماسیون یوتیوب</v>
      </c>
      <c r="G14143" s="1" t="str">
        <f>IFERROR(__xludf.DUMMYFUNCTION("GOOGLETRANSLATE(C14143, ""en"", ""fa"")
"),"چگونه می توان توصیفات ویدیویی خودکار را از مشتریان یا مشتریان راضی ایجاد کرد؟")</f>
        <v>چگونه می توان توصیفات ویدیویی خودکار را از مشتریان یا مشتریان راضی ایجاد کرد؟</v>
      </c>
      <c r="H14143" s="1"/>
      <c r="I14143" s="1"/>
      <c r="J14143" s="1"/>
      <c r="K14143" s="1"/>
      <c r="L14143" s="1"/>
      <c r="M14143" s="1"/>
      <c r="N14143" s="1"/>
      <c r="O14143" s="1"/>
      <c r="P14143" s="1"/>
      <c r="Q14143" s="1"/>
      <c r="R14143" s="1"/>
      <c r="S14143" s="1"/>
      <c r="T14143" s="1"/>
      <c r="U14143" s="1"/>
      <c r="V14143" s="1"/>
      <c r="W14143" s="1"/>
      <c r="X14143" s="1"/>
      <c r="Y14143" s="1"/>
      <c r="Z14143" s="1"/>
      <c r="AA14143" s="1"/>
      <c r="AB14143" s="1"/>
    </row>
    <row r="14144" ht="50.25" customHeight="1">
      <c r="A14144" s="12">
        <v>14140.0</v>
      </c>
      <c r="B14144" s="13" t="s">
        <v>13197</v>
      </c>
      <c r="C14144" s="14" t="s">
        <v>13377</v>
      </c>
      <c r="D14144" s="1"/>
      <c r="E14144" s="1"/>
      <c r="F14144" s="1" t="str">
        <f>IFERROR(__xludf.DUMMYFUNCTION("GOOGLETRANSLATE(B14144, ""en"", ""fa"")
"),"اتوماسیون یوتیوب")</f>
        <v>اتوماسیون یوتیوب</v>
      </c>
      <c r="G14144" s="1" t="str">
        <f>IFERROR(__xludf.DUMMYFUNCTION("GOOGLETRANSLATE(C14144, ""en"", ""fa"")
"),"چگونه می توان بایگانی و بازیابی خودکار ویدیو را برای استفاده در آینده تنظیم کرد؟")</f>
        <v>چگونه می توان بایگانی و بازیابی خودکار ویدیو را برای استفاده در آینده تنظیم کرد؟</v>
      </c>
      <c r="H14144" s="1"/>
      <c r="I14144" s="1"/>
      <c r="J14144" s="1"/>
      <c r="K14144" s="1"/>
      <c r="L14144" s="1"/>
      <c r="M14144" s="1"/>
      <c r="N14144" s="1"/>
      <c r="O14144" s="1"/>
      <c r="P14144" s="1"/>
      <c r="Q14144" s="1"/>
      <c r="R14144" s="1"/>
      <c r="S14144" s="1"/>
      <c r="T14144" s="1"/>
      <c r="U14144" s="1"/>
      <c r="V14144" s="1"/>
      <c r="W14144" s="1"/>
      <c r="X14144" s="1"/>
      <c r="Y14144" s="1"/>
      <c r="Z14144" s="1"/>
      <c r="AA14144" s="1"/>
      <c r="AB14144" s="1"/>
    </row>
    <row r="14145" ht="50.25" customHeight="1">
      <c r="A14145" s="12">
        <v>14141.0</v>
      </c>
      <c r="B14145" s="13" t="s">
        <v>13197</v>
      </c>
      <c r="C14145" s="14" t="s">
        <v>13378</v>
      </c>
      <c r="D14145" s="1"/>
      <c r="E14145" s="1"/>
      <c r="F14145" s="1" t="str">
        <f>IFERROR(__xludf.DUMMYFUNCTION("GOOGLETRANSLATE(B14145, ""en"", ""fa"")
"),"اتوماسیون یوتیوب")</f>
        <v>اتوماسیون یوتیوب</v>
      </c>
      <c r="G14145" s="1" t="str">
        <f>IFERROR(__xludf.DUMMYFUNCTION("GOOGLETRANSLATE(C14145, ""en"", ""fa"")
"),"چگونه از هشدارهای روند ویدیویی خودکار استفاده کنیم تا از موضوعات محبوب جلوتر بمانیم؟")</f>
        <v>چگونه از هشدارهای روند ویدیویی خودکار استفاده کنیم تا از موضوعات محبوب جلوتر بمانیم؟</v>
      </c>
      <c r="H14145" s="1"/>
      <c r="I14145" s="1"/>
      <c r="J14145" s="1"/>
      <c r="K14145" s="1"/>
      <c r="L14145" s="1"/>
      <c r="M14145" s="1"/>
      <c r="N14145" s="1"/>
      <c r="O14145" s="1"/>
      <c r="P14145" s="1"/>
      <c r="Q14145" s="1"/>
      <c r="R14145" s="1"/>
      <c r="S14145" s="1"/>
      <c r="T14145" s="1"/>
      <c r="U14145" s="1"/>
      <c r="V14145" s="1"/>
      <c r="W14145" s="1"/>
      <c r="X14145" s="1"/>
      <c r="Y14145" s="1"/>
      <c r="Z14145" s="1"/>
      <c r="AA14145" s="1"/>
      <c r="AB14145" s="1"/>
    </row>
    <row r="14146" ht="50.25" customHeight="1">
      <c r="A14146" s="12">
        <v>14142.0</v>
      </c>
      <c r="B14146" s="13" t="s">
        <v>13197</v>
      </c>
      <c r="C14146" s="14" t="s">
        <v>13379</v>
      </c>
      <c r="D14146" s="1"/>
      <c r="E14146" s="1"/>
      <c r="F14146" s="1" t="str">
        <f>IFERROR(__xludf.DUMMYFUNCTION("GOOGLETRANSLATE(B14146, ""en"", ""fa"")
"),"اتوماسیون یوتیوب")</f>
        <v>اتوماسیون یوتیوب</v>
      </c>
      <c r="G14146" s="1" t="str">
        <f>IFERROR(__xludf.DUMMYFUNCTION("GOOGLETRANSLATE(C14146, ""en"", ""fa"")
"),"چگونه از تجزیه و تحلیل تعامل ویدیویی خودکار برای شناسایی ترجیحات بیننده استفاده کنیم؟")</f>
        <v>چگونه از تجزیه و تحلیل تعامل ویدیویی خودکار برای شناسایی ترجیحات بیننده استفاده کنیم؟</v>
      </c>
      <c r="H14146" s="1"/>
      <c r="I14146" s="1"/>
      <c r="J14146" s="1"/>
      <c r="K14146" s="1"/>
      <c r="L14146" s="1"/>
      <c r="M14146" s="1"/>
      <c r="N14146" s="1"/>
      <c r="O14146" s="1"/>
      <c r="P14146" s="1"/>
      <c r="Q14146" s="1"/>
      <c r="R14146" s="1"/>
      <c r="S14146" s="1"/>
      <c r="T14146" s="1"/>
      <c r="U14146" s="1"/>
      <c r="V14146" s="1"/>
      <c r="W14146" s="1"/>
      <c r="X14146" s="1"/>
      <c r="Y14146" s="1"/>
      <c r="Z14146" s="1"/>
      <c r="AA14146" s="1"/>
      <c r="AB14146" s="1"/>
    </row>
    <row r="14147" ht="50.25" customHeight="1">
      <c r="A14147" s="12">
        <v>14143.0</v>
      </c>
      <c r="B14147" s="13" t="s">
        <v>13197</v>
      </c>
      <c r="C14147" s="14" t="s">
        <v>13380</v>
      </c>
      <c r="D14147" s="1"/>
      <c r="E14147" s="1"/>
      <c r="F14147" s="1" t="str">
        <f>IFERROR(__xludf.DUMMYFUNCTION("GOOGLETRANSLATE(B14147, ""en"", ""fa"")
"),"اتوماسیون یوتیوب")</f>
        <v>اتوماسیون یوتیوب</v>
      </c>
      <c r="G14147" s="1" t="str">
        <f>IFERROR(__xludf.DUMMYFUNCTION("GOOGLETRANSLATE(C14147, ""en"", ""fa"")
"),"چگونه می توان نظارت خودکار کلمات کلیدی را برای بهینه سازی محتوای مداوم پیاده سازی کرد؟")</f>
        <v>چگونه می توان نظارت خودکار کلمات کلیدی را برای بهینه سازی محتوای مداوم پیاده سازی کرد؟</v>
      </c>
      <c r="H14147" s="1"/>
      <c r="I14147" s="1"/>
      <c r="J14147" s="1"/>
      <c r="K14147" s="1"/>
      <c r="L14147" s="1"/>
      <c r="M14147" s="1"/>
      <c r="N14147" s="1"/>
      <c r="O14147" s="1"/>
      <c r="P14147" s="1"/>
      <c r="Q14147" s="1"/>
      <c r="R14147" s="1"/>
      <c r="S14147" s="1"/>
      <c r="T14147" s="1"/>
      <c r="U14147" s="1"/>
      <c r="V14147" s="1"/>
      <c r="W14147" s="1"/>
      <c r="X14147" s="1"/>
      <c r="Y14147" s="1"/>
      <c r="Z14147" s="1"/>
      <c r="AA14147" s="1"/>
      <c r="AB14147" s="1"/>
    </row>
    <row r="14148" ht="50.25" customHeight="1">
      <c r="A14148" s="12">
        <v>14144.0</v>
      </c>
      <c r="B14148" s="13" t="s">
        <v>13197</v>
      </c>
      <c r="C14148" s="14" t="s">
        <v>13381</v>
      </c>
      <c r="D14148" s="1"/>
      <c r="E14148" s="1"/>
      <c r="F14148" s="1" t="str">
        <f>IFERROR(__xludf.DUMMYFUNCTION("GOOGLETRANSLATE(B14148, ""en"", ""fa"")
"),"اتوماسیون یوتیوب")</f>
        <v>اتوماسیون یوتیوب</v>
      </c>
      <c r="G14148" s="1" t="str">
        <f>IFERROR(__xludf.DUMMYFUNCTION("GOOGLETRANSLATE(C14148, ""en"", ""fa"")
"),"چگونه می توان مجموعه های ویدئویی خودکار را بر اساس درخواست بینندگان ایجاد کرد؟")</f>
        <v>چگونه می توان مجموعه های ویدئویی خودکار را بر اساس درخواست بینندگان ایجاد کرد؟</v>
      </c>
      <c r="H14148" s="1"/>
      <c r="I14148" s="1"/>
      <c r="J14148" s="1"/>
      <c r="K14148" s="1"/>
      <c r="L14148" s="1"/>
      <c r="M14148" s="1"/>
      <c r="N14148" s="1"/>
      <c r="O14148" s="1"/>
      <c r="P14148" s="1"/>
      <c r="Q14148" s="1"/>
      <c r="R14148" s="1"/>
      <c r="S14148" s="1"/>
      <c r="T14148" s="1"/>
      <c r="U14148" s="1"/>
      <c r="V14148" s="1"/>
      <c r="W14148" s="1"/>
      <c r="X14148" s="1"/>
      <c r="Y14148" s="1"/>
      <c r="Z14148" s="1"/>
      <c r="AA14148" s="1"/>
      <c r="AB14148" s="1"/>
    </row>
    <row r="14149" ht="50.25" customHeight="1">
      <c r="A14149" s="12">
        <v>14145.0</v>
      </c>
      <c r="B14149" s="13" t="s">
        <v>13197</v>
      </c>
      <c r="C14149" s="14" t="s">
        <v>13382</v>
      </c>
      <c r="D14149" s="1"/>
      <c r="E14149" s="1"/>
      <c r="F14149" s="1" t="str">
        <f>IFERROR(__xludf.DUMMYFUNCTION("GOOGLETRANSLATE(B14149, ""en"", ""fa"")
"),"اتوماسیون یوتیوب")</f>
        <v>اتوماسیون یوتیوب</v>
      </c>
      <c r="G14149" s="1" t="str">
        <f>IFERROR(__xludf.DUMMYFUNCTION("GOOGLETRANSLATE(C14149, ""en"", ""fa"")
"),"چگونه می توان توصیه های خودکار مجموعه ویدیویی را بر اساس سابقه بیننده تنظیم کرد؟")</f>
        <v>چگونه می توان توصیه های خودکار مجموعه ویدیویی را بر اساس سابقه بیننده تنظیم کرد؟</v>
      </c>
      <c r="H14149" s="1"/>
      <c r="I14149" s="1"/>
      <c r="J14149" s="1"/>
      <c r="K14149" s="1"/>
      <c r="L14149" s="1"/>
      <c r="M14149" s="1"/>
      <c r="N14149" s="1"/>
      <c r="O14149" s="1"/>
      <c r="P14149" s="1"/>
      <c r="Q14149" s="1"/>
      <c r="R14149" s="1"/>
      <c r="S14149" s="1"/>
      <c r="T14149" s="1"/>
      <c r="U14149" s="1"/>
      <c r="V14149" s="1"/>
      <c r="W14149" s="1"/>
      <c r="X14149" s="1"/>
      <c r="Y14149" s="1"/>
      <c r="Z14149" s="1"/>
      <c r="AA14149" s="1"/>
      <c r="AB14149" s="1"/>
    </row>
    <row r="14150" ht="50.25" customHeight="1">
      <c r="A14150" s="12">
        <v>14146.0</v>
      </c>
      <c r="B14150" s="13" t="s">
        <v>13197</v>
      </c>
      <c r="C14150" s="14" t="s">
        <v>13383</v>
      </c>
      <c r="D14150" s="1"/>
      <c r="E14150" s="1"/>
      <c r="F14150" s="1" t="str">
        <f>IFERROR(__xludf.DUMMYFUNCTION("GOOGLETRANSLATE(B14150, ""en"", ""fa"")
"),"اتوماسیون یوتیوب")</f>
        <v>اتوماسیون یوتیوب</v>
      </c>
      <c r="G14150" s="1" t="str">
        <f>IFERROR(__xludf.DUMMYFUNCTION("GOOGLETRANSLATE(C14150, ""en"", ""fa"")
"),"چگونه از ابزارهای توزیع خودکار محتوا برای دسترسی بیشتر استفاده کنیم؟")</f>
        <v>چگونه از ابزارهای توزیع خودکار محتوا برای دسترسی بیشتر استفاده کنیم؟</v>
      </c>
      <c r="H14150" s="1"/>
      <c r="I14150" s="1"/>
      <c r="J14150" s="1"/>
      <c r="K14150" s="1"/>
      <c r="L14150" s="1"/>
      <c r="M14150" s="1"/>
      <c r="N14150" s="1"/>
      <c r="O14150" s="1"/>
      <c r="P14150" s="1"/>
      <c r="Q14150" s="1"/>
      <c r="R14150" s="1"/>
      <c r="S14150" s="1"/>
      <c r="T14150" s="1"/>
      <c r="U14150" s="1"/>
      <c r="V14150" s="1"/>
      <c r="W14150" s="1"/>
      <c r="X14150" s="1"/>
      <c r="Y14150" s="1"/>
      <c r="Z14150" s="1"/>
      <c r="AA14150" s="1"/>
      <c r="AB14150" s="1"/>
    </row>
    <row r="14151" ht="50.25" customHeight="1">
      <c r="A14151" s="12">
        <v>14147.0</v>
      </c>
      <c r="B14151" s="13" t="s">
        <v>13197</v>
      </c>
      <c r="C14151" s="14" t="s">
        <v>13384</v>
      </c>
      <c r="D14151" s="1"/>
      <c r="E14151" s="1"/>
      <c r="F14151" s="1" t="str">
        <f>IFERROR(__xludf.DUMMYFUNCTION("GOOGLETRANSLATE(B14151, ""en"", ""fa"")
"),"اتوماسیون یوتیوب")</f>
        <v>اتوماسیون یوتیوب</v>
      </c>
      <c r="G14151" s="1" t="str">
        <f>IFERROR(__xludf.DUMMYFUNCTION("GOOGLETRANSLATE(C14151, ""en"", ""fa"")
"),"چگونه از تجزیه و تحلیل روند ویدئویی خودکار برای بهینه سازی استراتژی محتوای خود استفاده کنیم؟")</f>
        <v>چگونه از تجزیه و تحلیل روند ویدئویی خودکار برای بهینه سازی استراتژی محتوای خود استفاده کنیم؟</v>
      </c>
      <c r="H14151" s="1"/>
      <c r="I14151" s="1"/>
      <c r="J14151" s="1"/>
      <c r="K14151" s="1"/>
      <c r="L14151" s="1"/>
      <c r="M14151" s="1"/>
      <c r="N14151" s="1"/>
      <c r="O14151" s="1"/>
      <c r="P14151" s="1"/>
      <c r="Q14151" s="1"/>
      <c r="R14151" s="1"/>
      <c r="S14151" s="1"/>
      <c r="T14151" s="1"/>
      <c r="U14151" s="1"/>
      <c r="V14151" s="1"/>
      <c r="W14151" s="1"/>
      <c r="X14151" s="1"/>
      <c r="Y14151" s="1"/>
      <c r="Z14151" s="1"/>
      <c r="AA14151" s="1"/>
      <c r="AB14151" s="1"/>
    </row>
    <row r="14152" ht="50.25" customHeight="1">
      <c r="A14152" s="12">
        <v>14148.0</v>
      </c>
      <c r="B14152" s="13" t="s">
        <v>13197</v>
      </c>
      <c r="C14152" s="14" t="s">
        <v>13385</v>
      </c>
      <c r="D14152" s="1"/>
      <c r="E14152" s="1"/>
      <c r="F14152" s="1" t="str">
        <f>IFERROR(__xludf.DUMMYFUNCTION("GOOGLETRANSLATE(B14152, ""en"", ""fa"")
"),"اتوماسیون یوتیوب")</f>
        <v>اتوماسیون یوتیوب</v>
      </c>
      <c r="G14152" s="1" t="str">
        <f>IFERROR(__xludf.DUMMYFUNCTION("GOOGLETRANSLATE(C14152, ""en"", ""fa"")
"),"چگونه کمپین‌های تعامل ویدیویی خودکار را برای افزایش لایک و نظرات پیاده‌سازی کنیم؟")</f>
        <v>چگونه کمپین‌های تعامل ویدیویی خودکار را برای افزایش لایک و نظرات پیاده‌سازی کنیم؟</v>
      </c>
      <c r="H14152" s="1"/>
      <c r="I14152" s="1"/>
      <c r="J14152" s="1"/>
      <c r="K14152" s="1"/>
      <c r="L14152" s="1"/>
      <c r="M14152" s="1"/>
      <c r="N14152" s="1"/>
      <c r="O14152" s="1"/>
      <c r="P14152" s="1"/>
      <c r="Q14152" s="1"/>
      <c r="R14152" s="1"/>
      <c r="S14152" s="1"/>
      <c r="T14152" s="1"/>
      <c r="U14152" s="1"/>
      <c r="V14152" s="1"/>
      <c r="W14152" s="1"/>
      <c r="X14152" s="1"/>
      <c r="Y14152" s="1"/>
      <c r="Z14152" s="1"/>
      <c r="AA14152" s="1"/>
      <c r="AB14152" s="1"/>
    </row>
    <row r="14153" ht="50.25" customHeight="1">
      <c r="A14153" s="12">
        <v>14149.0</v>
      </c>
      <c r="B14153" s="13" t="s">
        <v>13197</v>
      </c>
      <c r="C14153" s="14" t="s">
        <v>13386</v>
      </c>
      <c r="D14153" s="1"/>
      <c r="E14153" s="1"/>
      <c r="F14153" s="1" t="str">
        <f>IFERROR(__xludf.DUMMYFUNCTION("GOOGLETRANSLATE(B14153, ""en"", ""fa"")
"),"اتوماسیون یوتیوب")</f>
        <v>اتوماسیون یوتیوب</v>
      </c>
      <c r="G14153" s="1" t="str">
        <f>IFERROR(__xludf.DUMMYFUNCTION("GOOGLETRANSLATE(C14153, ""en"", ""fa"")
"),"چگونه می توان آموزش های ویدئویی خودکار برای سوالات متداول ایجاد کرد؟")</f>
        <v>چگونه می توان آموزش های ویدئویی خودکار برای سوالات متداول ایجاد کرد؟</v>
      </c>
      <c r="H14153" s="1"/>
      <c r="I14153" s="1"/>
      <c r="J14153" s="1"/>
      <c r="K14153" s="1"/>
      <c r="L14153" s="1"/>
      <c r="M14153" s="1"/>
      <c r="N14153" s="1"/>
      <c r="O14153" s="1"/>
      <c r="P14153" s="1"/>
      <c r="Q14153" s="1"/>
      <c r="R14153" s="1"/>
      <c r="S14153" s="1"/>
      <c r="T14153" s="1"/>
      <c r="U14153" s="1"/>
      <c r="V14153" s="1"/>
      <c r="W14153" s="1"/>
      <c r="X14153" s="1"/>
      <c r="Y14153" s="1"/>
      <c r="Z14153" s="1"/>
      <c r="AA14153" s="1"/>
      <c r="AB14153" s="1"/>
    </row>
    <row r="14154" ht="50.25" customHeight="1">
      <c r="A14154" s="12">
        <v>14150.0</v>
      </c>
      <c r="B14154" s="13" t="s">
        <v>13197</v>
      </c>
      <c r="C14154" s="14" t="s">
        <v>13387</v>
      </c>
      <c r="D14154" s="1"/>
      <c r="E14154" s="1"/>
      <c r="F14154" s="1" t="str">
        <f>IFERROR(__xludf.DUMMYFUNCTION("GOOGLETRANSLATE(B14154, ""en"", ""fa"")
"),"اتوماسیون یوتیوب")</f>
        <v>اتوماسیون یوتیوب</v>
      </c>
      <c r="G14154" s="1" t="str">
        <f>IFERROR(__xludf.DUMMYFUNCTION("GOOGLETRANSLATE(C14154, ""en"", ""fa"")
"),"چگونه اشتراک گذاری خودکار ویدیو را در جوامع آنلاین هدفمند راه اندازی کنیم؟")</f>
        <v>چگونه اشتراک گذاری خودکار ویدیو را در جوامع آنلاین هدفمند راه اندازی کنیم؟</v>
      </c>
      <c r="H14154" s="1"/>
      <c r="I14154" s="1"/>
      <c r="J14154" s="1"/>
      <c r="K14154" s="1"/>
      <c r="L14154" s="1"/>
      <c r="M14154" s="1"/>
      <c r="N14154" s="1"/>
      <c r="O14154" s="1"/>
      <c r="P14154" s="1"/>
      <c r="Q14154" s="1"/>
      <c r="R14154" s="1"/>
      <c r="S14154" s="1"/>
      <c r="T14154" s="1"/>
      <c r="U14154" s="1"/>
      <c r="V14154" s="1"/>
      <c r="W14154" s="1"/>
      <c r="X14154" s="1"/>
      <c r="Y14154" s="1"/>
      <c r="Z14154" s="1"/>
      <c r="AA14154" s="1"/>
      <c r="AB14154" s="1"/>
    </row>
    <row r="14155" ht="50.25" customHeight="1">
      <c r="A14155" s="12">
        <v>14151.0</v>
      </c>
      <c r="B14155" s="13" t="s">
        <v>13197</v>
      </c>
      <c r="C14155" s="14" t="s">
        <v>13388</v>
      </c>
      <c r="D14155" s="1"/>
      <c r="E14155" s="1"/>
      <c r="F14155" s="1" t="str">
        <f>IFERROR(__xludf.DUMMYFUNCTION("GOOGLETRANSLATE(B14155, ""en"", ""fa"")
"),"اتوماسیون یوتیوب")</f>
        <v>اتوماسیون یوتیوب</v>
      </c>
      <c r="G14155" s="1" t="str">
        <f>IFERROR(__xludf.DUMMYFUNCTION("GOOGLETRANSLATE(C14155, ""en"", ""fa"")
"),"چگونه می توان از برچسب گذاری خودکار ویدیو برای جستجوی بهتر استفاده کرد؟")</f>
        <v>چگونه می توان از برچسب گذاری خودکار ویدیو برای جستجوی بهتر استفاده کرد؟</v>
      </c>
      <c r="H14155" s="1"/>
      <c r="I14155" s="1"/>
      <c r="J14155" s="1"/>
      <c r="K14155" s="1"/>
      <c r="L14155" s="1"/>
      <c r="M14155" s="1"/>
      <c r="N14155" s="1"/>
      <c r="O14155" s="1"/>
      <c r="P14155" s="1"/>
      <c r="Q14155" s="1"/>
      <c r="R14155" s="1"/>
      <c r="S14155" s="1"/>
      <c r="T14155" s="1"/>
      <c r="U14155" s="1"/>
      <c r="V14155" s="1"/>
      <c r="W14155" s="1"/>
      <c r="X14155" s="1"/>
      <c r="Y14155" s="1"/>
      <c r="Z14155" s="1"/>
      <c r="AA14155" s="1"/>
      <c r="AB14155" s="1"/>
    </row>
    <row r="14156" ht="50.25" customHeight="1">
      <c r="A14156" s="12">
        <v>14152.0</v>
      </c>
      <c r="B14156" s="13" t="s">
        <v>13197</v>
      </c>
      <c r="C14156" s="14" t="s">
        <v>13389</v>
      </c>
      <c r="D14156" s="1"/>
      <c r="E14156" s="1"/>
      <c r="F14156" s="1" t="str">
        <f>IFERROR(__xludf.DUMMYFUNCTION("GOOGLETRANSLATE(B14156, ""en"", ""fa"")
"),"اتوماسیون یوتیوب")</f>
        <v>اتوماسیون یوتیوب</v>
      </c>
      <c r="G14156" s="1" t="str">
        <f>IFERROR(__xludf.DUMMYFUNCTION("GOOGLETRANSLATE(C14156, ""en"", ""fa"")
"),"چگونه از فرم‌های بازخورد ویدیویی خودکار برای جمع‌آوری بینش مخاطبان استفاده کنیم؟")</f>
        <v>چگونه از فرم‌های بازخورد ویدیویی خودکار برای جمع‌آوری بینش مخاطبان استفاده کنیم؟</v>
      </c>
      <c r="H14156" s="1"/>
      <c r="I14156" s="1"/>
      <c r="J14156" s="1"/>
      <c r="K14156" s="1"/>
      <c r="L14156" s="1"/>
      <c r="M14156" s="1"/>
      <c r="N14156" s="1"/>
      <c r="O14156" s="1"/>
      <c r="P14156" s="1"/>
      <c r="Q14156" s="1"/>
      <c r="R14156" s="1"/>
      <c r="S14156" s="1"/>
      <c r="T14156" s="1"/>
      <c r="U14156" s="1"/>
      <c r="V14156" s="1"/>
      <c r="W14156" s="1"/>
      <c r="X14156" s="1"/>
      <c r="Y14156" s="1"/>
      <c r="Z14156" s="1"/>
      <c r="AA14156" s="1"/>
      <c r="AB14156" s="1"/>
    </row>
    <row r="14157" ht="50.25" customHeight="1">
      <c r="A14157" s="12">
        <v>14153.0</v>
      </c>
      <c r="B14157" s="13" t="s">
        <v>13197</v>
      </c>
      <c r="C14157" s="14" t="s">
        <v>13390</v>
      </c>
      <c r="D14157" s="1"/>
      <c r="E14157" s="1"/>
      <c r="F14157" s="1" t="str">
        <f>IFERROR(__xludf.DUMMYFUNCTION("GOOGLETRANSLATE(B14157, ""en"", ""fa"")
"),"اتوماسیون یوتیوب")</f>
        <v>اتوماسیون یوتیوب</v>
      </c>
      <c r="G14157" s="1" t="str">
        <f>IFERROR(__xludf.DUMMYFUNCTION("GOOGLETRANSLATE(C14157, ""en"", ""fa"")
"),"چگونه می توان توصیفات ویدیویی خودکار از همکاران و شرکا را پیاده سازی کرد؟")</f>
        <v>چگونه می توان توصیفات ویدیویی خودکار از همکاران و شرکا را پیاده سازی کرد؟</v>
      </c>
      <c r="H14157" s="1"/>
      <c r="I14157" s="1"/>
      <c r="J14157" s="1"/>
      <c r="K14157" s="1"/>
      <c r="L14157" s="1"/>
      <c r="M14157" s="1"/>
      <c r="N14157" s="1"/>
      <c r="O14157" s="1"/>
      <c r="P14157" s="1"/>
      <c r="Q14157" s="1"/>
      <c r="R14157" s="1"/>
      <c r="S14157" s="1"/>
      <c r="T14157" s="1"/>
      <c r="U14157" s="1"/>
      <c r="V14157" s="1"/>
      <c r="W14157" s="1"/>
      <c r="X14157" s="1"/>
      <c r="Y14157" s="1"/>
      <c r="Z14157" s="1"/>
      <c r="AA14157" s="1"/>
      <c r="AB14157" s="1"/>
    </row>
    <row r="14158" ht="50.25" customHeight="1">
      <c r="A14158" s="12">
        <v>14154.0</v>
      </c>
      <c r="B14158" s="13" t="s">
        <v>13197</v>
      </c>
      <c r="C14158" s="14" t="s">
        <v>13391</v>
      </c>
      <c r="D14158" s="1"/>
      <c r="E14158" s="1"/>
      <c r="F14158" s="1" t="str">
        <f>IFERROR(__xludf.DUMMYFUNCTION("GOOGLETRANSLATE(B14158, ""en"", ""fa"")
"),"اتوماسیون یوتیوب")</f>
        <v>اتوماسیون یوتیوب</v>
      </c>
      <c r="G14158" s="1" t="str">
        <f>IFERROR(__xludf.DUMMYFUNCTION("GOOGLETRANSLATE(C14158, ""en"", ""fa"")
"),"چگونه می توان حلقه های برجسته ویدیویی خودکار از دستاوردهای کانال خود ایجاد کرد؟")</f>
        <v>چگونه می توان حلقه های برجسته ویدیویی خودکار از دستاوردهای کانال خود ایجاد کرد؟</v>
      </c>
      <c r="H14158" s="1"/>
      <c r="I14158" s="1"/>
      <c r="J14158" s="1"/>
      <c r="K14158" s="1"/>
      <c r="L14158" s="1"/>
      <c r="M14158" s="1"/>
      <c r="N14158" s="1"/>
      <c r="O14158" s="1"/>
      <c r="P14158" s="1"/>
      <c r="Q14158" s="1"/>
      <c r="R14158" s="1"/>
      <c r="S14158" s="1"/>
      <c r="T14158" s="1"/>
      <c r="U14158" s="1"/>
      <c r="V14158" s="1"/>
      <c r="W14158" s="1"/>
      <c r="X14158" s="1"/>
      <c r="Y14158" s="1"/>
      <c r="Z14158" s="1"/>
      <c r="AA14158" s="1"/>
      <c r="AB14158" s="1"/>
    </row>
    <row r="14159" ht="50.25" customHeight="1">
      <c r="A14159" s="12">
        <v>14155.0</v>
      </c>
      <c r="B14159" s="13" t="s">
        <v>13197</v>
      </c>
      <c r="C14159" s="14" t="s">
        <v>13392</v>
      </c>
      <c r="D14159" s="1"/>
      <c r="E14159" s="1"/>
      <c r="F14159" s="1" t="str">
        <f>IFERROR(__xludf.DUMMYFUNCTION("GOOGLETRANSLATE(B14159, ""en"", ""fa"")
"),"اتوماسیون یوتیوب")</f>
        <v>اتوماسیون یوتیوب</v>
      </c>
      <c r="G14159" s="1" t="str">
        <f>IFERROR(__xludf.DUMMYFUNCTION("GOOGLETRANSLATE(C14159, ""en"", ""fa"")
"),"چگونه می توان توزیع خودکار ویدیو را برای کمپین های رسانه ای پولی تنظیم کرد؟")</f>
        <v>چگونه می توان توزیع خودکار ویدیو را برای کمپین های رسانه ای پولی تنظیم کرد؟</v>
      </c>
      <c r="H14159" s="1"/>
      <c r="I14159" s="1"/>
      <c r="J14159" s="1"/>
      <c r="K14159" s="1"/>
      <c r="L14159" s="1"/>
      <c r="M14159" s="1"/>
      <c r="N14159" s="1"/>
      <c r="O14159" s="1"/>
      <c r="P14159" s="1"/>
      <c r="Q14159" s="1"/>
      <c r="R14159" s="1"/>
      <c r="S14159" s="1"/>
      <c r="T14159" s="1"/>
      <c r="U14159" s="1"/>
      <c r="V14159" s="1"/>
      <c r="W14159" s="1"/>
      <c r="X14159" s="1"/>
      <c r="Y14159" s="1"/>
      <c r="Z14159" s="1"/>
      <c r="AA14159" s="1"/>
      <c r="AB14159" s="1"/>
    </row>
    <row r="14160" ht="50.25" customHeight="1">
      <c r="A14160" s="12">
        <v>14156.0</v>
      </c>
      <c r="B14160" s="13" t="s">
        <v>13197</v>
      </c>
      <c r="C14160" s="14" t="s">
        <v>13393</v>
      </c>
      <c r="D14160" s="1"/>
      <c r="E14160" s="1"/>
      <c r="F14160" s="1" t="str">
        <f>IFERROR(__xludf.DUMMYFUNCTION("GOOGLETRANSLATE(B14160, ""en"", ""fa"")
"),"اتوماسیون یوتیوب")</f>
        <v>اتوماسیون یوتیوب</v>
      </c>
      <c r="G14160" s="1" t="str">
        <f>IFERROR(__xludf.DUMMYFUNCTION("GOOGLETRANSLATE(C14160, ""en"", ""fa"")
"),"چگونه از ابزارهای تولید محتوای خودکار برای سرعت بخشیدن به ساخت ویدیو استفاده کنیم؟")</f>
        <v>چگونه از ابزارهای تولید محتوای خودکار برای سرعت بخشیدن به ساخت ویدیو استفاده کنیم؟</v>
      </c>
      <c r="H14160" s="1"/>
      <c r="I14160" s="1"/>
      <c r="J14160" s="1"/>
      <c r="K14160" s="1"/>
      <c r="L14160" s="1"/>
      <c r="M14160" s="1"/>
      <c r="N14160" s="1"/>
      <c r="O14160" s="1"/>
      <c r="P14160" s="1"/>
      <c r="Q14160" s="1"/>
      <c r="R14160" s="1"/>
      <c r="S14160" s="1"/>
      <c r="T14160" s="1"/>
      <c r="U14160" s="1"/>
      <c r="V14160" s="1"/>
      <c r="W14160" s="1"/>
      <c r="X14160" s="1"/>
      <c r="Y14160" s="1"/>
      <c r="Z14160" s="1"/>
      <c r="AA14160" s="1"/>
      <c r="AB14160" s="1"/>
    </row>
    <row r="14161" ht="50.25" customHeight="1">
      <c r="A14161" s="12">
        <v>14157.0</v>
      </c>
      <c r="B14161" s="13" t="s">
        <v>13197</v>
      </c>
      <c r="C14161" s="14" t="s">
        <v>13394</v>
      </c>
      <c r="D14161" s="1"/>
      <c r="E14161" s="1"/>
      <c r="F14161" s="1" t="str">
        <f>IFERROR(__xludf.DUMMYFUNCTION("GOOGLETRANSLATE(B14161, ""en"", ""fa"")
"),"اتوماسیون یوتیوب")</f>
        <v>اتوماسیون یوتیوب</v>
      </c>
      <c r="G14161" s="1" t="str">
        <f>IFERROR(__xludf.DUMMYFUNCTION("GOOGLETRANSLATE(C14161, ""en"", ""fa"")
"),"چگونه از ردیابی تعامل خودکار ویدیو برای شناسایی زمان اوج بیننده استفاده کنیم؟")</f>
        <v>چگونه از ردیابی تعامل خودکار ویدیو برای شناسایی زمان اوج بیننده استفاده کنیم؟</v>
      </c>
      <c r="H14161" s="1"/>
      <c r="I14161" s="1"/>
      <c r="J14161" s="1"/>
      <c r="K14161" s="1"/>
      <c r="L14161" s="1"/>
      <c r="M14161" s="1"/>
      <c r="N14161" s="1"/>
      <c r="O14161" s="1"/>
      <c r="P14161" s="1"/>
      <c r="Q14161" s="1"/>
      <c r="R14161" s="1"/>
      <c r="S14161" s="1"/>
      <c r="T14161" s="1"/>
      <c r="U14161" s="1"/>
      <c r="V14161" s="1"/>
      <c r="W14161" s="1"/>
      <c r="X14161" s="1"/>
      <c r="Y14161" s="1"/>
      <c r="Z14161" s="1"/>
      <c r="AA14161" s="1"/>
      <c r="AB14161" s="1"/>
    </row>
    <row r="14162" ht="50.25" customHeight="1">
      <c r="A14162" s="12">
        <v>14158.0</v>
      </c>
      <c r="B14162" s="13" t="s">
        <v>13197</v>
      </c>
      <c r="C14162" s="14" t="s">
        <v>13395</v>
      </c>
      <c r="D14162" s="1"/>
      <c r="E14162" s="1"/>
      <c r="F14162" s="1" t="str">
        <f>IFERROR(__xludf.DUMMYFUNCTION("GOOGLETRANSLATE(B14162, ""en"", ""fa"")
"),"اتوماسیون یوتیوب")</f>
        <v>اتوماسیون یوتیوب</v>
      </c>
      <c r="G14162" s="1" t="str">
        <f>IFERROR(__xludf.DUMMYFUNCTION("GOOGLETRANSLATE(C14162, ""en"", ""fa"")
"),"چگونه به‌روزرسانی‌ها و بازبینی‌های خودکار محتوا را برای ویدیوهای همیشه سبز پیاده‌سازی کنیم؟")</f>
        <v>چگونه به‌روزرسانی‌ها و بازبینی‌های خودکار محتوا را برای ویدیوهای همیشه سبز پیاده‌سازی کنیم؟</v>
      </c>
      <c r="H14162" s="1"/>
      <c r="I14162" s="1"/>
      <c r="J14162" s="1"/>
      <c r="K14162" s="1"/>
      <c r="L14162" s="1"/>
      <c r="M14162" s="1"/>
      <c r="N14162" s="1"/>
      <c r="O14162" s="1"/>
      <c r="P14162" s="1"/>
      <c r="Q14162" s="1"/>
      <c r="R14162" s="1"/>
      <c r="S14162" s="1"/>
      <c r="T14162" s="1"/>
      <c r="U14162" s="1"/>
      <c r="V14162" s="1"/>
      <c r="W14162" s="1"/>
      <c r="X14162" s="1"/>
      <c r="Y14162" s="1"/>
      <c r="Z14162" s="1"/>
      <c r="AA14162" s="1"/>
      <c r="AB14162" s="1"/>
    </row>
    <row r="14163" ht="50.25" customHeight="1">
      <c r="A14163" s="12">
        <v>14159.0</v>
      </c>
      <c r="B14163" s="13" t="s">
        <v>13197</v>
      </c>
      <c r="C14163" s="14" t="s">
        <v>13396</v>
      </c>
      <c r="D14163" s="1"/>
      <c r="E14163" s="1"/>
      <c r="F14163" s="1" t="str">
        <f>IFERROR(__xludf.DUMMYFUNCTION("GOOGLETRANSLATE(B14163, ""en"", ""fa"")
"),"اتوماسیون یوتیوب")</f>
        <v>اتوماسیون یوتیوب</v>
      </c>
      <c r="G14163" s="1" t="str">
        <f>IFERROR(__xludf.DUMMYFUNCTION("GOOGLETRANSLATE(C14163, ""en"", ""fa"")
"),"چگونه می توان معرفی خودکار ویدیویی ایجاد کرد که مخاطبان شما را مجذوب و درگیر کند؟")</f>
        <v>چگونه می توان معرفی خودکار ویدیویی ایجاد کرد که مخاطبان شما را مجذوب و درگیر کند؟</v>
      </c>
      <c r="H14163" s="1"/>
      <c r="I14163" s="1"/>
      <c r="J14163" s="1"/>
      <c r="K14163" s="1"/>
      <c r="L14163" s="1"/>
      <c r="M14163" s="1"/>
      <c r="N14163" s="1"/>
      <c r="O14163" s="1"/>
      <c r="P14163" s="1"/>
      <c r="Q14163" s="1"/>
      <c r="R14163" s="1"/>
      <c r="S14163" s="1"/>
      <c r="T14163" s="1"/>
      <c r="U14163" s="1"/>
      <c r="V14163" s="1"/>
      <c r="W14163" s="1"/>
      <c r="X14163" s="1"/>
      <c r="Y14163" s="1"/>
      <c r="Z14163" s="1"/>
      <c r="AA14163" s="1"/>
      <c r="AB14163" s="1"/>
    </row>
    <row r="14164" ht="50.25" customHeight="1">
      <c r="A14164" s="12">
        <v>14160.0</v>
      </c>
      <c r="B14164" s="13" t="s">
        <v>13197</v>
      </c>
      <c r="C14164" s="14" t="s">
        <v>13397</v>
      </c>
      <c r="D14164" s="1"/>
      <c r="E14164" s="1"/>
      <c r="F14164" s="1" t="str">
        <f>IFERROR(__xludf.DUMMYFUNCTION("GOOGLETRANSLATE(B14164, ""en"", ""fa"")
"),"اتوماسیون یوتیوب")</f>
        <v>اتوماسیون یوتیوب</v>
      </c>
      <c r="G14164" s="1" t="str">
        <f>IFERROR(__xludf.DUMMYFUNCTION("GOOGLETRANSLATE(C14164, ""en"", ""fa"")
"),"چگونه می‌توان پیش‌نمایش‌های ویدیویی خودکار را برای برانگیختن علاقه و کنجکاوی بیننده تنظیم کرد؟")</f>
        <v>چگونه می‌توان پیش‌نمایش‌های ویدیویی خودکار را برای برانگیختن علاقه و کنجکاوی بیننده تنظیم کرد؟</v>
      </c>
      <c r="H14164" s="1"/>
      <c r="I14164" s="1"/>
      <c r="J14164" s="1"/>
      <c r="K14164" s="1"/>
      <c r="L14164" s="1"/>
      <c r="M14164" s="1"/>
      <c r="N14164" s="1"/>
      <c r="O14164" s="1"/>
      <c r="P14164" s="1"/>
      <c r="Q14164" s="1"/>
      <c r="R14164" s="1"/>
      <c r="S14164" s="1"/>
      <c r="T14164" s="1"/>
      <c r="U14164" s="1"/>
      <c r="V14164" s="1"/>
      <c r="W14164" s="1"/>
      <c r="X14164" s="1"/>
      <c r="Y14164" s="1"/>
      <c r="Z14164" s="1"/>
      <c r="AA14164" s="1"/>
      <c r="AB14164" s="1"/>
    </row>
    <row r="14165" ht="50.25" customHeight="1">
      <c r="A14165" s="12">
        <v>14161.0</v>
      </c>
      <c r="B14165" s="13" t="s">
        <v>13398</v>
      </c>
      <c r="C14165" s="14" t="s">
        <v>13399</v>
      </c>
      <c r="D14165" s="1"/>
      <c r="E14165" s="1"/>
      <c r="F14165" s="1" t="str">
        <f>IFERROR(__xludf.DUMMYFUNCTION("GOOGLETRANSLATE(B14165, ""en"", ""fa"")
"),"نکات کسب و کار کوچک")</f>
        <v>نکات کسب و کار کوچک</v>
      </c>
      <c r="G14165" s="1" t="str">
        <f>IFERROR(__xludf.DUMMYFUNCTION("GOOGLETRANSLATE(C14165, ""en"", ""fa"")
"),"یک طرح آسانسور قانع کننده بنویسید که به طور خلاصه کسب و کار شما را توصیف می کند و ارزش پیشنهادی منحصر به فرد، مخاطبان هدف و مزایای کلیدی آن را برجسته می کند.")</f>
        <v>یک طرح آسانسور قانع کننده بنویسید که به طور خلاصه کسب و کار شما را توصیف می کند و ارزش پیشنهادی منحصر به فرد، مخاطبان هدف و مزایای کلیدی آن را برجسته می کند.</v>
      </c>
      <c r="H14165" s="1"/>
      <c r="I14165" s="1"/>
      <c r="J14165" s="1"/>
      <c r="K14165" s="1"/>
      <c r="L14165" s="1"/>
      <c r="M14165" s="1"/>
      <c r="N14165" s="1"/>
      <c r="O14165" s="1"/>
      <c r="P14165" s="1"/>
      <c r="Q14165" s="1"/>
      <c r="R14165" s="1"/>
      <c r="S14165" s="1"/>
      <c r="T14165" s="1"/>
      <c r="U14165" s="1"/>
      <c r="V14165" s="1"/>
      <c r="W14165" s="1"/>
      <c r="X14165" s="1"/>
      <c r="Y14165" s="1"/>
      <c r="Z14165" s="1"/>
      <c r="AA14165" s="1"/>
      <c r="AB14165" s="1"/>
    </row>
    <row r="14166" ht="50.25" customHeight="1">
      <c r="A14166" s="12">
        <v>14162.0</v>
      </c>
      <c r="B14166" s="13" t="s">
        <v>13398</v>
      </c>
      <c r="C14166" s="14" t="s">
        <v>13400</v>
      </c>
      <c r="D14166" s="1"/>
      <c r="E14166" s="1"/>
      <c r="F14166" s="1" t="str">
        <f>IFERROR(__xludf.DUMMYFUNCTION("GOOGLETRANSLATE(B14166, ""en"", ""fa"")
"),"نکات کسب و کار کوچک")</f>
        <v>نکات کسب و کار کوچک</v>
      </c>
      <c r="G14166" s="1" t="str">
        <f>IFERROR(__xludf.DUMMYFUNCTION("GOOGLETRANSLATE(C14166, ""en"", ""fa"")
"),"عناصر ضروری یک وب سایت تجاری خوب طراحی شده را فهرست کنید، از جمله ناوبری واضح، محتوای قانع کننده، تجربه کاربری بصری، و دعوت به عمل قوی.")</f>
        <v>عناصر ضروری یک وب سایت تجاری خوب طراحی شده را فهرست کنید، از جمله ناوبری واضح، محتوای قانع کننده، تجربه کاربری بصری، و دعوت به عمل قوی.</v>
      </c>
      <c r="H14166" s="1"/>
      <c r="I14166" s="1"/>
      <c r="J14166" s="1"/>
      <c r="K14166" s="1"/>
      <c r="L14166" s="1"/>
      <c r="M14166" s="1"/>
      <c r="N14166" s="1"/>
      <c r="O14166" s="1"/>
      <c r="P14166" s="1"/>
      <c r="Q14166" s="1"/>
      <c r="R14166" s="1"/>
      <c r="S14166" s="1"/>
      <c r="T14166" s="1"/>
      <c r="U14166" s="1"/>
      <c r="V14166" s="1"/>
      <c r="W14166" s="1"/>
      <c r="X14166" s="1"/>
      <c r="Y14166" s="1"/>
      <c r="Z14166" s="1"/>
      <c r="AA14166" s="1"/>
      <c r="AB14166" s="1"/>
    </row>
    <row r="14167" ht="50.25" customHeight="1">
      <c r="A14167" s="12">
        <v>14163.0</v>
      </c>
      <c r="B14167" s="13" t="s">
        <v>13398</v>
      </c>
      <c r="C14167" s="14" t="s">
        <v>13401</v>
      </c>
      <c r="D14167" s="1"/>
      <c r="E14167" s="1"/>
      <c r="F14167" s="1" t="str">
        <f>IFERROR(__xludf.DUMMYFUNCTION("GOOGLETRANSLATE(B14167, ""en"", ""fa"")
"),"نکات کسب و کار کوچک")</f>
        <v>نکات کسب و کار کوچک</v>
      </c>
      <c r="G14167" s="1" t="str">
        <f>IFERROR(__xludf.DUMMYFUNCTION("GOOGLETRANSLATE(C14167, ""en"", ""fa"")
"),"فاکتورهای کلیدی را که باید هنگام انتخاب مکان مناسب برای فروشگاه آجر و ملات خود در نظر بگیرید، مانند ترافیک پیاده، دسترسی، رقابت و شرایط اجاره مشخص کنید.")</f>
        <v>فاکتورهای کلیدی را که باید هنگام انتخاب مکان مناسب برای فروشگاه آجر و ملات خود در نظر بگیرید، مانند ترافیک پیاده، دسترسی، رقابت و شرایط اجاره مشخص کنید.</v>
      </c>
      <c r="H14167" s="1"/>
      <c r="I14167" s="1"/>
      <c r="J14167" s="1"/>
      <c r="K14167" s="1"/>
      <c r="L14167" s="1"/>
      <c r="M14167" s="1"/>
      <c r="N14167" s="1"/>
      <c r="O14167" s="1"/>
      <c r="P14167" s="1"/>
      <c r="Q14167" s="1"/>
      <c r="R14167" s="1"/>
      <c r="S14167" s="1"/>
      <c r="T14167" s="1"/>
      <c r="U14167" s="1"/>
      <c r="V14167" s="1"/>
      <c r="W14167" s="1"/>
      <c r="X14167" s="1"/>
      <c r="Y14167" s="1"/>
      <c r="Z14167" s="1"/>
      <c r="AA14167" s="1"/>
      <c r="AB14167" s="1"/>
    </row>
    <row r="14168" ht="50.25" customHeight="1">
      <c r="A14168" s="12">
        <v>14164.0</v>
      </c>
      <c r="B14168" s="13" t="s">
        <v>13398</v>
      </c>
      <c r="C14168" s="14" t="s">
        <v>13402</v>
      </c>
      <c r="D14168" s="1"/>
      <c r="E14168" s="1"/>
      <c r="F14168" s="1" t="str">
        <f>IFERROR(__xludf.DUMMYFUNCTION("GOOGLETRANSLATE(B14168, ""en"", ""fa"")
"),"نکات کسب و کار کوچک")</f>
        <v>نکات کسب و کار کوچک</v>
      </c>
      <c r="G14168" s="1" t="str">
        <f>IFERROR(__xludf.DUMMYFUNCTION("GOOGLETRANSLATE(C14168, ""en"", ""fa"")
"),"یک تقویم محتوای رسانه‌های اجتماعی را برنامه‌ریزی کنید که انواع محتوایی را که ایجاد می‌کنید و به اشتراک می‌گذارید، فراوانی پست‌ها و استراتژی‌های تعامل برای ایجاد حضور آنلاین خود را مشخص می‌کند.")</f>
        <v>یک تقویم محتوای رسانه‌های اجتماعی را برنامه‌ریزی کنید که انواع محتوایی را که ایجاد می‌کنید و به اشتراک می‌گذارید، فراوانی پست‌ها و استراتژی‌های تعامل برای ایجاد حضور آنلاین خود را مشخص می‌کند.</v>
      </c>
      <c r="H14168" s="1"/>
      <c r="I14168" s="1"/>
      <c r="J14168" s="1"/>
      <c r="K14168" s="1"/>
      <c r="L14168" s="1"/>
      <c r="M14168" s="1"/>
      <c r="N14168" s="1"/>
      <c r="O14168" s="1"/>
      <c r="P14168" s="1"/>
      <c r="Q14168" s="1"/>
      <c r="R14168" s="1"/>
      <c r="S14168" s="1"/>
      <c r="T14168" s="1"/>
      <c r="U14168" s="1"/>
      <c r="V14168" s="1"/>
      <c r="W14168" s="1"/>
      <c r="X14168" s="1"/>
      <c r="Y14168" s="1"/>
      <c r="Z14168" s="1"/>
      <c r="AA14168" s="1"/>
      <c r="AB14168" s="1"/>
    </row>
    <row r="14169" ht="50.25" customHeight="1">
      <c r="A14169" s="12">
        <v>14165.0</v>
      </c>
      <c r="B14169" s="13" t="s">
        <v>13398</v>
      </c>
      <c r="C14169" s="14" t="s">
        <v>13403</v>
      </c>
      <c r="D14169" s="1"/>
      <c r="E14169" s="1"/>
      <c r="F14169" s="1" t="str">
        <f>IFERROR(__xludf.DUMMYFUNCTION("GOOGLETRANSLATE(B14169, ""en"", ""fa"")
"),"نکات کسب و کار کوچک")</f>
        <v>نکات کسب و کار کوچک</v>
      </c>
      <c r="G14169" s="1" t="str">
        <f>IFERROR(__xludf.DUMMYFUNCTION("GOOGLETRANSLATE(C14169, ""en"", ""fa"")
"),"یک استراتژی خدمات مشتری طراحی کنید که بر ارائه تجربیات استثنایی، از جمله آموزش کارکنان، اجرای مکانیسم‌های بازخورد، و حل سریع مسائل مشتری تمرکز دارد.")</f>
        <v>یک استراتژی خدمات مشتری طراحی کنید که بر ارائه تجربیات استثنایی، از جمله آموزش کارکنان، اجرای مکانیسم‌های بازخورد، و حل سریع مسائل مشتری تمرکز دارد.</v>
      </c>
      <c r="H14169" s="1"/>
      <c r="I14169" s="1"/>
      <c r="J14169" s="1"/>
      <c r="K14169" s="1"/>
      <c r="L14169" s="1"/>
      <c r="M14169" s="1"/>
      <c r="N14169" s="1"/>
      <c r="O14169" s="1"/>
      <c r="P14169" s="1"/>
      <c r="Q14169" s="1"/>
      <c r="R14169" s="1"/>
      <c r="S14169" s="1"/>
      <c r="T14169" s="1"/>
      <c r="U14169" s="1"/>
      <c r="V14169" s="1"/>
      <c r="W14169" s="1"/>
      <c r="X14169" s="1"/>
      <c r="Y14169" s="1"/>
      <c r="Z14169" s="1"/>
      <c r="AA14169" s="1"/>
      <c r="AB14169" s="1"/>
    </row>
    <row r="14170" ht="50.25" customHeight="1">
      <c r="A14170" s="12">
        <v>14166.0</v>
      </c>
      <c r="B14170" s="13" t="s">
        <v>13398</v>
      </c>
      <c r="C14170" s="14" t="s">
        <v>13404</v>
      </c>
      <c r="D14170" s="1"/>
      <c r="E14170" s="1"/>
      <c r="F14170" s="1" t="str">
        <f>IFERROR(__xludf.DUMMYFUNCTION("GOOGLETRANSLATE(B14170, ""en"", ""fa"")
"),"نکات کسب و کار کوچک")</f>
        <v>نکات کسب و کار کوچک</v>
      </c>
      <c r="G14170" s="1" t="str">
        <f>IFERROR(__xludf.DUMMYFUNCTION("GOOGLETRANSLATE(C14170, ""en"", ""fa"")
"),"یک کتابچه راهنمای جامع کارمندی تهیه کنید که خط مشی‌ها، رویه‌ها و انتظارات شرکت شما را مشخص می‌کند و از درک روشنی از قوانین و ایجاد یک محیط کاری مثبت اطمینان حاصل می‌کند.")</f>
        <v>یک کتابچه راهنمای جامع کارمندی تهیه کنید که خط مشی‌ها، رویه‌ها و انتظارات شرکت شما را مشخص می‌کند و از درک روشنی از قوانین و ایجاد یک محیط کاری مثبت اطمینان حاصل می‌کند.</v>
      </c>
      <c r="H14170" s="1"/>
      <c r="I14170" s="1"/>
      <c r="J14170" s="1"/>
      <c r="K14170" s="1"/>
      <c r="L14170" s="1"/>
      <c r="M14170" s="1"/>
      <c r="N14170" s="1"/>
      <c r="O14170" s="1"/>
      <c r="P14170" s="1"/>
      <c r="Q14170" s="1"/>
      <c r="R14170" s="1"/>
      <c r="S14170" s="1"/>
      <c r="T14170" s="1"/>
      <c r="U14170" s="1"/>
      <c r="V14170" s="1"/>
      <c r="W14170" s="1"/>
      <c r="X14170" s="1"/>
      <c r="Y14170" s="1"/>
      <c r="Z14170" s="1"/>
      <c r="AA14170" s="1"/>
      <c r="AB14170" s="1"/>
    </row>
    <row r="14171" ht="50.25" customHeight="1">
      <c r="A14171" s="12">
        <v>14167.0</v>
      </c>
      <c r="B14171" s="13" t="s">
        <v>13398</v>
      </c>
      <c r="C14171" s="14" t="s">
        <v>13405</v>
      </c>
      <c r="D14171" s="1"/>
      <c r="E14171" s="1"/>
      <c r="F14171" s="1" t="str">
        <f>IFERROR(__xludf.DUMMYFUNCTION("GOOGLETRANSLATE(B14171, ""en"", ""fa"")
"),"نکات کسب و کار کوچک")</f>
        <v>نکات کسب و کار کوچک</v>
      </c>
      <c r="G14171" s="1" t="str">
        <f>IFERROR(__xludf.DUMMYFUNCTION("GOOGLETRANSLATE(C14171, ""en"", ""fa"")
"),"یک استراتژی قیمت‌گذاری رقابتی که سودآوری را با تقاضای بازار متعادل می‌کند، با در نظر گرفتن عواملی مانند هزینه کالا، رقابت، ارزش درک شده و تمایل مشتری به پرداخت، ترسیم کنید.")</f>
        <v>یک استراتژی قیمت‌گذاری رقابتی که سودآوری را با تقاضای بازار متعادل می‌کند، با در نظر گرفتن عواملی مانند هزینه کالا، رقابت، ارزش درک شده و تمایل مشتری به پرداخت، ترسیم کنید.</v>
      </c>
      <c r="H14171" s="1"/>
      <c r="I14171" s="1"/>
      <c r="J14171" s="1"/>
      <c r="K14171" s="1"/>
      <c r="L14171" s="1"/>
      <c r="M14171" s="1"/>
      <c r="N14171" s="1"/>
      <c r="O14171" s="1"/>
      <c r="P14171" s="1"/>
      <c r="Q14171" s="1"/>
      <c r="R14171" s="1"/>
      <c r="S14171" s="1"/>
      <c r="T14171" s="1"/>
      <c r="U14171" s="1"/>
      <c r="V14171" s="1"/>
      <c r="W14171" s="1"/>
      <c r="X14171" s="1"/>
      <c r="Y14171" s="1"/>
      <c r="Z14171" s="1"/>
      <c r="AA14171" s="1"/>
      <c r="AB14171" s="1"/>
    </row>
    <row r="14172" ht="50.25" customHeight="1">
      <c r="A14172" s="12">
        <v>14168.0</v>
      </c>
      <c r="B14172" s="13" t="s">
        <v>13398</v>
      </c>
      <c r="C14172" s="14" t="s">
        <v>13406</v>
      </c>
      <c r="D14172" s="1"/>
      <c r="E14172" s="1"/>
      <c r="F14172" s="1" t="str">
        <f>IFERROR(__xludf.DUMMYFUNCTION("GOOGLETRANSLATE(B14172, ""en"", ""fa"")
"),"نکات کسب و کار کوچک")</f>
        <v>نکات کسب و کار کوچک</v>
      </c>
      <c r="G14172" s="1" t="str">
        <f>IFERROR(__xludf.DUMMYFUNCTION("GOOGLETRANSLATE(C14172, ""en"", ""fa"")
"),"نقشه سفر مشتری را برنامه ریزی کنید که مراحلی را که مشتریان شما هنگام تعامل با کسب و کار شما طی می کنند، شناسایی نقاط تماس و فرصت هایی برای ارتقای تجربه خود به تصویر می کشد.")</f>
        <v>نقشه سفر مشتری را برنامه ریزی کنید که مراحلی را که مشتریان شما هنگام تعامل با کسب و کار شما طی می کنند، شناسایی نقاط تماس و فرصت هایی برای ارتقای تجربه خود به تصویر می کشد.</v>
      </c>
      <c r="H14172" s="1"/>
      <c r="I14172" s="1"/>
      <c r="J14172" s="1"/>
      <c r="K14172" s="1"/>
      <c r="L14172" s="1"/>
      <c r="M14172" s="1"/>
      <c r="N14172" s="1"/>
      <c r="O14172" s="1"/>
      <c r="P14172" s="1"/>
      <c r="Q14172" s="1"/>
      <c r="R14172" s="1"/>
      <c r="S14172" s="1"/>
      <c r="T14172" s="1"/>
      <c r="U14172" s="1"/>
      <c r="V14172" s="1"/>
      <c r="W14172" s="1"/>
      <c r="X14172" s="1"/>
      <c r="Y14172" s="1"/>
      <c r="Z14172" s="1"/>
      <c r="AA14172" s="1"/>
      <c r="AB14172" s="1"/>
    </row>
    <row r="14173" ht="50.25" customHeight="1">
      <c r="A14173" s="12">
        <v>14169.0</v>
      </c>
      <c r="B14173" s="13" t="s">
        <v>13398</v>
      </c>
      <c r="C14173" s="14" t="s">
        <v>13407</v>
      </c>
      <c r="D14173" s="1"/>
      <c r="E14173" s="1"/>
      <c r="F14173" s="1" t="str">
        <f>IFERROR(__xludf.DUMMYFUNCTION("GOOGLETRANSLATE(B14173, ""en"", ""fa"")
"),"نکات کسب و کار کوچک")</f>
        <v>نکات کسب و کار کوچک</v>
      </c>
      <c r="G14173" s="1" t="str">
        <f>IFERROR(__xludf.DUMMYFUNCTION("GOOGLETRANSLATE(C14173, ""en"", ""fa"")
"),"ارزش طول عمر یک مشتری را محاسبه کنید تا پتانسیل درآمد بلندمدت جذب و حفظ مشتریان را درک کنید و به شما در تخصیص موثر منابع کمک کند.")</f>
        <v>ارزش طول عمر یک مشتری را محاسبه کنید تا پتانسیل درآمد بلندمدت جذب و حفظ مشتریان را درک کنید و به شما در تخصیص موثر منابع کمک کند.</v>
      </c>
      <c r="H14173" s="1"/>
      <c r="I14173" s="1"/>
      <c r="J14173" s="1"/>
      <c r="K14173" s="1"/>
      <c r="L14173" s="1"/>
      <c r="M14173" s="1"/>
      <c r="N14173" s="1"/>
      <c r="O14173" s="1"/>
      <c r="P14173" s="1"/>
      <c r="Q14173" s="1"/>
      <c r="R14173" s="1"/>
      <c r="S14173" s="1"/>
      <c r="T14173" s="1"/>
      <c r="U14173" s="1"/>
      <c r="V14173" s="1"/>
      <c r="W14173" s="1"/>
      <c r="X14173" s="1"/>
      <c r="Y14173" s="1"/>
      <c r="Z14173" s="1"/>
      <c r="AA14173" s="1"/>
      <c r="AB14173" s="1"/>
    </row>
    <row r="14174" ht="50.25" customHeight="1">
      <c r="A14174" s="12">
        <v>14170.0</v>
      </c>
      <c r="B14174" s="13" t="s">
        <v>13398</v>
      </c>
      <c r="C14174" s="14" t="s">
        <v>13408</v>
      </c>
      <c r="D14174" s="1"/>
      <c r="E14174" s="1"/>
      <c r="F14174" s="1" t="str">
        <f>IFERROR(__xludf.DUMMYFUNCTION("GOOGLETRANSLATE(B14174, ""en"", ""fa"")
"),"نکات کسب و کار کوچک")</f>
        <v>نکات کسب و کار کوچک</v>
      </c>
      <c r="G14174" s="1" t="str">
        <f>IFERROR(__xludf.DUMMYFUNCTION("GOOGLETRANSLATE(C14174, ""en"", ""fa"")
"),"مراحل انجام تحقیقات بازار را برای جمع‌آوری بینش در مورد مخاطبان هدف، رقابت و روندهای بازار خلاصه کنید و امکان تصمیم‌گیری آگاهانه را فراهم کنید.")</f>
        <v>مراحل انجام تحقیقات بازار را برای جمع‌آوری بینش در مورد مخاطبان هدف، رقابت و روندهای بازار خلاصه کنید و امکان تصمیم‌گیری آگاهانه را فراهم کنید.</v>
      </c>
      <c r="H14174" s="1"/>
      <c r="I14174" s="1"/>
      <c r="J14174" s="1"/>
      <c r="K14174" s="1"/>
      <c r="L14174" s="1"/>
      <c r="M14174" s="1"/>
      <c r="N14174" s="1"/>
      <c r="O14174" s="1"/>
      <c r="P14174" s="1"/>
      <c r="Q14174" s="1"/>
      <c r="R14174" s="1"/>
      <c r="S14174" s="1"/>
      <c r="T14174" s="1"/>
      <c r="U14174" s="1"/>
      <c r="V14174" s="1"/>
      <c r="W14174" s="1"/>
      <c r="X14174" s="1"/>
      <c r="Y14174" s="1"/>
      <c r="Z14174" s="1"/>
      <c r="AA14174" s="1"/>
      <c r="AB14174" s="1"/>
    </row>
    <row r="14175" ht="50.25" customHeight="1">
      <c r="A14175" s="12">
        <v>14171.0</v>
      </c>
      <c r="B14175" s="13" t="s">
        <v>13398</v>
      </c>
      <c r="C14175" s="14" t="s">
        <v>13409</v>
      </c>
      <c r="D14175" s="1"/>
      <c r="E14175" s="1"/>
      <c r="F14175" s="1" t="str">
        <f>IFERROR(__xludf.DUMMYFUNCTION("GOOGLETRANSLATE(B14175, ""en"", ""fa"")
"),"نکات کسب و کار کوچک")</f>
        <v>نکات کسب و کار کوچک</v>
      </c>
      <c r="G14175" s="1" t="str">
        <f>IFERROR(__xludf.DUMMYFUNCTION("GOOGLETRANSLATE(C14175, ""en"", ""fa"")
"),"با در نظر گرفتن تأثیر بالقوه بر حفظ مشتری و تکرار خرید، هزینه و مزایای اجرای برنامه وفاداری مشتری برای کسب و کار خود را برآورد کنید.")</f>
        <v>با در نظر گرفتن تأثیر بالقوه بر حفظ مشتری و تکرار خرید، هزینه و مزایای اجرای برنامه وفاداری مشتری برای کسب و کار خود را برآورد کنید.</v>
      </c>
      <c r="H14175" s="1"/>
      <c r="I14175" s="1"/>
      <c r="J14175" s="1"/>
      <c r="K14175" s="1"/>
      <c r="L14175" s="1"/>
      <c r="M14175" s="1"/>
      <c r="N14175" s="1"/>
      <c r="O14175" s="1"/>
      <c r="P14175" s="1"/>
      <c r="Q14175" s="1"/>
      <c r="R14175" s="1"/>
      <c r="S14175" s="1"/>
      <c r="T14175" s="1"/>
      <c r="U14175" s="1"/>
      <c r="V14175" s="1"/>
      <c r="W14175" s="1"/>
      <c r="X14175" s="1"/>
      <c r="Y14175" s="1"/>
      <c r="Z14175" s="1"/>
      <c r="AA14175" s="1"/>
      <c r="AB14175" s="1"/>
    </row>
    <row r="14176" ht="50.25" customHeight="1">
      <c r="A14176" s="12">
        <v>14172.0</v>
      </c>
      <c r="B14176" s="13" t="s">
        <v>13398</v>
      </c>
      <c r="C14176" s="14" t="s">
        <v>13410</v>
      </c>
      <c r="D14176" s="1"/>
      <c r="E14176" s="1"/>
      <c r="F14176" s="1" t="str">
        <f>IFERROR(__xludf.DUMMYFUNCTION("GOOGLETRANSLATE(B14176, ""en"", ""fa"")
"),"نکات کسب و کار کوچک")</f>
        <v>نکات کسب و کار کوچک</v>
      </c>
      <c r="G14176" s="1" t="str">
        <f>IFERROR(__xludf.DUMMYFUNCTION("GOOGLETRANSLATE(C14176, ""en"", ""fa"")
"),"یک طرح ارتباطی در بحران بنویسید که نحوه ارتباط شما با ذینفعان، کارکنان، مشتریان و رسانه ها در مواقع بحران یا مدیریت شهرت را مشخص می کند.")</f>
        <v>یک طرح ارتباطی در بحران بنویسید که نحوه ارتباط شما با ذینفعان، کارکنان، مشتریان و رسانه ها در مواقع بحران یا مدیریت شهرت را مشخص می کند.</v>
      </c>
      <c r="H14176" s="1"/>
      <c r="I14176" s="1"/>
      <c r="J14176" s="1"/>
      <c r="K14176" s="1"/>
      <c r="L14176" s="1"/>
      <c r="M14176" s="1"/>
      <c r="N14176" s="1"/>
      <c r="O14176" s="1"/>
      <c r="P14176" s="1"/>
      <c r="Q14176" s="1"/>
      <c r="R14176" s="1"/>
      <c r="S14176" s="1"/>
      <c r="T14176" s="1"/>
      <c r="U14176" s="1"/>
      <c r="V14176" s="1"/>
      <c r="W14176" s="1"/>
      <c r="X14176" s="1"/>
      <c r="Y14176" s="1"/>
      <c r="Z14176" s="1"/>
      <c r="AA14176" s="1"/>
      <c r="AB14176" s="1"/>
    </row>
    <row r="14177" ht="50.25" customHeight="1">
      <c r="A14177" s="12">
        <v>14173.0</v>
      </c>
      <c r="B14177" s="13" t="s">
        <v>13398</v>
      </c>
      <c r="C14177" s="14" t="s">
        <v>13411</v>
      </c>
      <c r="D14177" s="1"/>
      <c r="E14177" s="1"/>
      <c r="F14177" s="1" t="str">
        <f>IFERROR(__xludf.DUMMYFUNCTION("GOOGLETRANSLATE(B14177, ""en"", ""fa"")
"),"نکات کسب و کار کوچک")</f>
        <v>نکات کسب و کار کوچک</v>
      </c>
      <c r="G14177" s="1" t="str">
        <f>IFERROR(__xludf.DUMMYFUNCTION("GOOGLETRANSLATE(C14177, ""en"", ""fa"")
"),"شاخص‌های کلیدی عملکرد (KPI) را که برای اندازه‌گیری موفقیت و پیشرفت کسب‌وکارتان دنبال می‌کنید، مانند رشد فروش، رضایت مشتری، نرخ تبدیل و سودآوری فهرست کنید.")</f>
        <v>شاخص‌های کلیدی عملکرد (KPI) را که برای اندازه‌گیری موفقیت و پیشرفت کسب‌وکارتان دنبال می‌کنید، مانند رشد فروش، رضایت مشتری، نرخ تبدیل و سودآوری فهرست کنید.</v>
      </c>
      <c r="H14177" s="1"/>
      <c r="I14177" s="1"/>
      <c r="J14177" s="1"/>
      <c r="K14177" s="1"/>
      <c r="L14177" s="1"/>
      <c r="M14177" s="1"/>
      <c r="N14177" s="1"/>
      <c r="O14177" s="1"/>
      <c r="P14177" s="1"/>
      <c r="Q14177" s="1"/>
      <c r="R14177" s="1"/>
      <c r="S14177" s="1"/>
      <c r="T14177" s="1"/>
      <c r="U14177" s="1"/>
      <c r="V14177" s="1"/>
      <c r="W14177" s="1"/>
      <c r="X14177" s="1"/>
      <c r="Y14177" s="1"/>
      <c r="Z14177" s="1"/>
      <c r="AA14177" s="1"/>
      <c r="AB14177" s="1"/>
    </row>
    <row r="14178" ht="50.25" customHeight="1">
      <c r="A14178" s="12">
        <v>14174.0</v>
      </c>
      <c r="B14178" s="13" t="s">
        <v>13398</v>
      </c>
      <c r="C14178" s="14" t="s">
        <v>13412</v>
      </c>
      <c r="D14178" s="1"/>
      <c r="E14178" s="1"/>
      <c r="F14178" s="1" t="str">
        <f>IFERROR(__xludf.DUMMYFUNCTION("GOOGLETRANSLATE(B14178, ""en"", ""fa"")
"),"نکات کسب و کار کوچک")</f>
        <v>نکات کسب و کار کوچک</v>
      </c>
      <c r="G14178" s="1" t="str">
        <f>IFERROR(__xludf.DUMMYFUNCTION("GOOGLETRANSLATE(C14178, ""en"", ""fa"")
"),"پوشش های بیمه ای لازم را برای کسب و کار خود شامل بیمه مسئولیت عمومی، بیمه مسئولیت حرفه ای، بیمه اموال، و غرامت کارگران را مشخص کنید.")</f>
        <v>پوشش های بیمه ای لازم را برای کسب و کار خود شامل بیمه مسئولیت عمومی، بیمه مسئولیت حرفه ای، بیمه اموال، و غرامت کارگران را مشخص کنید.</v>
      </c>
      <c r="H14178" s="1"/>
      <c r="I14178" s="1"/>
      <c r="J14178" s="1"/>
      <c r="K14178" s="1"/>
      <c r="L14178" s="1"/>
      <c r="M14178" s="1"/>
      <c r="N14178" s="1"/>
      <c r="O14178" s="1"/>
      <c r="P14178" s="1"/>
      <c r="Q14178" s="1"/>
      <c r="R14178" s="1"/>
      <c r="S14178" s="1"/>
      <c r="T14178" s="1"/>
      <c r="U14178" s="1"/>
      <c r="V14178" s="1"/>
      <c r="W14178" s="1"/>
      <c r="X14178" s="1"/>
      <c r="Y14178" s="1"/>
      <c r="Z14178" s="1"/>
      <c r="AA14178" s="1"/>
      <c r="AB14178" s="1"/>
    </row>
    <row r="14179" ht="50.25" customHeight="1">
      <c r="A14179" s="12">
        <v>14175.0</v>
      </c>
      <c r="B14179" s="13" t="s">
        <v>13398</v>
      </c>
      <c r="C14179" s="14" t="s">
        <v>13413</v>
      </c>
      <c r="D14179" s="1"/>
      <c r="E14179" s="1"/>
      <c r="F14179" s="1" t="str">
        <f>IFERROR(__xludf.DUMMYFUNCTION("GOOGLETRANSLATE(B14179, ""en"", ""fa"")
"),"نکات کسب و کار کوچک")</f>
        <v>نکات کسب و کار کوچک</v>
      </c>
      <c r="G14179" s="1" t="str">
        <f>IFERROR(__xludf.DUMMYFUNCTION("GOOGLETRANSLATE(C14179, ""en"", ""fa"")
"),"یک استراتژی بازاریابی محتوا برنامه ریزی کنید که شامل ایجاد محتوای ارزشمند و مرتبط، توزیع آن از طریق کانال های مختلف و اندازه گیری تاثیر آن بر جذب مخاطب و تولید سرنخ است.")</f>
        <v>یک استراتژی بازاریابی محتوا برنامه ریزی کنید که شامل ایجاد محتوای ارزشمند و مرتبط، توزیع آن از طریق کانال های مختلف و اندازه گیری تاثیر آن بر جذب مخاطب و تولید سرنخ است.</v>
      </c>
      <c r="H14179" s="1"/>
      <c r="I14179" s="1"/>
      <c r="J14179" s="1"/>
      <c r="K14179" s="1"/>
      <c r="L14179" s="1"/>
      <c r="M14179" s="1"/>
      <c r="N14179" s="1"/>
      <c r="O14179" s="1"/>
      <c r="P14179" s="1"/>
      <c r="Q14179" s="1"/>
      <c r="R14179" s="1"/>
      <c r="S14179" s="1"/>
      <c r="T14179" s="1"/>
      <c r="U14179" s="1"/>
      <c r="V14179" s="1"/>
      <c r="W14179" s="1"/>
      <c r="X14179" s="1"/>
      <c r="Y14179" s="1"/>
      <c r="Z14179" s="1"/>
      <c r="AA14179" s="1"/>
      <c r="AB14179" s="1"/>
    </row>
    <row r="14180" ht="50.25" customHeight="1">
      <c r="A14180" s="12">
        <v>14176.0</v>
      </c>
      <c r="B14180" s="13" t="s">
        <v>13398</v>
      </c>
      <c r="C14180" s="14" t="s">
        <v>13414</v>
      </c>
      <c r="D14180" s="1"/>
      <c r="E14180" s="1"/>
      <c r="F14180" s="1" t="str">
        <f>IFERROR(__xludf.DUMMYFUNCTION("GOOGLETRANSLATE(B14180, ""en"", ""fa"")
"),"نکات کسب و کار کوچک")</f>
        <v>نکات کسب و کار کوچک</v>
      </c>
      <c r="G14180" s="1" t="str">
        <f>IFERROR(__xludf.DUMMYFUNCTION("GOOGLETRANSLATE(C14180, ""en"", ""fa"")
"),"طرح مدیریت زنجیره تامین را طراحی کنید که حرکت کارآمد کالا یا خدمات را از تامین کنندگان به مشتریان تضمین کند، هزینه ها را به حداقل برساند و سطح موجودی را بهینه کند.")</f>
        <v>طرح مدیریت زنجیره تامین را طراحی کنید که حرکت کارآمد کالا یا خدمات را از تامین کنندگان به مشتریان تضمین کند، هزینه ها را به حداقل برساند و سطح موجودی را بهینه کند.</v>
      </c>
      <c r="H14180" s="1"/>
      <c r="I14180" s="1"/>
      <c r="J14180" s="1"/>
      <c r="K14180" s="1"/>
      <c r="L14180" s="1"/>
      <c r="M14180" s="1"/>
      <c r="N14180" s="1"/>
      <c r="O14180" s="1"/>
      <c r="P14180" s="1"/>
      <c r="Q14180" s="1"/>
      <c r="R14180" s="1"/>
      <c r="S14180" s="1"/>
      <c r="T14180" s="1"/>
      <c r="U14180" s="1"/>
      <c r="V14180" s="1"/>
      <c r="W14180" s="1"/>
      <c r="X14180" s="1"/>
      <c r="Y14180" s="1"/>
      <c r="Z14180" s="1"/>
      <c r="AA14180" s="1"/>
      <c r="AB14180" s="1"/>
    </row>
    <row r="14181" ht="50.25" customHeight="1">
      <c r="A14181" s="12">
        <v>14177.0</v>
      </c>
      <c r="B14181" s="13" t="s">
        <v>13398</v>
      </c>
      <c r="C14181" s="14" t="s">
        <v>13415</v>
      </c>
      <c r="D14181" s="1"/>
      <c r="E14181" s="1"/>
      <c r="F14181" s="1" t="str">
        <f>IFERROR(__xludf.DUMMYFUNCTION("GOOGLETRANSLATE(B14181, ""en"", ""fa"")
"),"نکات کسب و کار کوچک")</f>
        <v>نکات کسب و کار کوچک</v>
      </c>
      <c r="G14181" s="1" t="str">
        <f>IFERROR(__xludf.DUMMYFUNCTION("GOOGLETRANSLATE(C14181, ""en"", ""fa"")
"),"یک بسته مزایای کارمندی را تهیه کنید که شامل غرامت رقابتی، بیمه درمانی، برنامه های بازنشستگی، و سایر امتیازات برای جذب و حفظ استعدادهای برتر است.")</f>
        <v>یک بسته مزایای کارمندی را تهیه کنید که شامل غرامت رقابتی، بیمه درمانی، برنامه های بازنشستگی، و سایر امتیازات برای جذب و حفظ استعدادهای برتر است.</v>
      </c>
      <c r="H14181" s="1"/>
      <c r="I14181" s="1"/>
      <c r="J14181" s="1"/>
      <c r="K14181" s="1"/>
      <c r="L14181" s="1"/>
      <c r="M14181" s="1"/>
      <c r="N14181" s="1"/>
      <c r="O14181" s="1"/>
      <c r="P14181" s="1"/>
      <c r="Q14181" s="1"/>
      <c r="R14181" s="1"/>
      <c r="S14181" s="1"/>
      <c r="T14181" s="1"/>
      <c r="U14181" s="1"/>
      <c r="V14181" s="1"/>
      <c r="W14181" s="1"/>
      <c r="X14181" s="1"/>
      <c r="Y14181" s="1"/>
      <c r="Z14181" s="1"/>
      <c r="AA14181" s="1"/>
      <c r="AB14181" s="1"/>
    </row>
    <row r="14182" ht="50.25" customHeight="1">
      <c r="A14182" s="12">
        <v>14178.0</v>
      </c>
      <c r="B14182" s="13" t="s">
        <v>13398</v>
      </c>
      <c r="C14182" s="14" t="s">
        <v>13416</v>
      </c>
      <c r="D14182" s="1"/>
      <c r="E14182" s="1"/>
      <c r="F14182" s="1" t="str">
        <f>IFERROR(__xludf.DUMMYFUNCTION("GOOGLETRANSLATE(B14182, ""en"", ""fa"")
"),"نکات کسب و کار کوچک")</f>
        <v>نکات کسب و کار کوچک</v>
      </c>
      <c r="G14182" s="1" t="str">
        <f>IFERROR(__xludf.DUMMYFUNCTION("GOOGLETRANSLATE(C14182, ""en"", ""fa"")
"),"یک خط مشی امنیت و حفظ حریم خصوصی داده ها را ترسیم کنید که از داده های کسب و کار و مشتری شما محافظت می کند، با رعایت قوانین و مقررات قابل اجرا و کاهش خطرات امنیت سایبری.")</f>
        <v>یک خط مشی امنیت و حفظ حریم خصوصی داده ها را ترسیم کنید که از داده های کسب و کار و مشتری شما محافظت می کند، با رعایت قوانین و مقررات قابل اجرا و کاهش خطرات امنیت سایبری.</v>
      </c>
      <c r="H14182" s="1"/>
      <c r="I14182" s="1"/>
      <c r="J14182" s="1"/>
      <c r="K14182" s="1"/>
      <c r="L14182" s="1"/>
      <c r="M14182" s="1"/>
      <c r="N14182" s="1"/>
      <c r="O14182" s="1"/>
      <c r="P14182" s="1"/>
      <c r="Q14182" s="1"/>
      <c r="R14182" s="1"/>
      <c r="S14182" s="1"/>
      <c r="T14182" s="1"/>
      <c r="U14182" s="1"/>
      <c r="V14182" s="1"/>
      <c r="W14182" s="1"/>
      <c r="X14182" s="1"/>
      <c r="Y14182" s="1"/>
      <c r="Z14182" s="1"/>
      <c r="AA14182" s="1"/>
      <c r="AB14182" s="1"/>
    </row>
    <row r="14183" ht="50.25" customHeight="1">
      <c r="A14183" s="12">
        <v>14179.0</v>
      </c>
      <c r="B14183" s="13" t="s">
        <v>13398</v>
      </c>
      <c r="C14183" s="14" t="s">
        <v>13417</v>
      </c>
      <c r="D14183" s="1"/>
      <c r="E14183" s="1"/>
      <c r="F14183" s="1" t="str">
        <f>IFERROR(__xludf.DUMMYFUNCTION("GOOGLETRANSLATE(B14183, ""en"", ""fa"")
"),"نکات کسب و کار کوچک")</f>
        <v>نکات کسب و کار کوچک</v>
      </c>
      <c r="G14183" s="1" t="str">
        <f>IFERROR(__xludf.DUMMYFUNCTION("GOOGLETRANSLATE(C14183, ""en"", ""fa"")
"),"یک سیستم مدیریت بازخورد و بازبینی مشتری را برنامه ریزی کنید که مشتریان را به ارائه بازخورد تشویق کند، مشکلات آنها را حل کند و از نظرات مثبت برای ایجاد شهرت استفاده کند.")</f>
        <v>یک سیستم مدیریت بازخورد و بازبینی مشتری را برنامه ریزی کنید که مشتریان را به ارائه بازخورد تشویق کند، مشکلات آنها را حل کند و از نظرات مثبت برای ایجاد شهرت استفاده کند.</v>
      </c>
      <c r="H14183" s="1"/>
      <c r="I14183" s="1"/>
      <c r="J14183" s="1"/>
      <c r="K14183" s="1"/>
      <c r="L14183" s="1"/>
      <c r="M14183" s="1"/>
      <c r="N14183" s="1"/>
      <c r="O14183" s="1"/>
      <c r="P14183" s="1"/>
      <c r="Q14183" s="1"/>
      <c r="R14183" s="1"/>
      <c r="S14183" s="1"/>
      <c r="T14183" s="1"/>
      <c r="U14183" s="1"/>
      <c r="V14183" s="1"/>
      <c r="W14183" s="1"/>
      <c r="X14183" s="1"/>
      <c r="Y14183" s="1"/>
      <c r="Z14183" s="1"/>
      <c r="AA14183" s="1"/>
      <c r="AB14183" s="1"/>
    </row>
    <row r="14184" ht="50.25" customHeight="1">
      <c r="A14184" s="12">
        <v>14180.0</v>
      </c>
      <c r="B14184" s="13" t="s">
        <v>13398</v>
      </c>
      <c r="C14184" s="14" t="s">
        <v>13418</v>
      </c>
      <c r="D14184" s="1"/>
      <c r="E14184" s="1"/>
      <c r="F14184" s="1" t="str">
        <f>IFERROR(__xludf.DUMMYFUNCTION("GOOGLETRANSLATE(B14184, ""en"", ""fa"")
"),"نکات کسب و کار کوچک")</f>
        <v>نکات کسب و کار کوچک</v>
      </c>
      <c r="G14184" s="1" t="str">
        <f>IFERROR(__xludf.DUMMYFUNCTION("GOOGLETRANSLATE(C14184, ""en"", ""fa"")
"),"بازگشت سرمایه (ROI) را برای کمپین ها یا ابتکارات بازاریابی خود محاسبه کنید، اثربخشی تلاش های بازاریابی خود را ردیابی کنید و استراتژی های خود را بر این اساس بهینه کنید.")</f>
        <v>بازگشت سرمایه (ROI) را برای کمپین ها یا ابتکارات بازاریابی خود محاسبه کنید، اثربخشی تلاش های بازاریابی خود را ردیابی کنید و استراتژی های خود را بر این اساس بهینه کنید.</v>
      </c>
      <c r="H14184" s="1"/>
      <c r="I14184" s="1"/>
      <c r="J14184" s="1"/>
      <c r="K14184" s="1"/>
      <c r="L14184" s="1"/>
      <c r="M14184" s="1"/>
      <c r="N14184" s="1"/>
      <c r="O14184" s="1"/>
      <c r="P14184" s="1"/>
      <c r="Q14184" s="1"/>
      <c r="R14184" s="1"/>
      <c r="S14184" s="1"/>
      <c r="T14184" s="1"/>
      <c r="U14184" s="1"/>
      <c r="V14184" s="1"/>
      <c r="W14184" s="1"/>
      <c r="X14184" s="1"/>
      <c r="Y14184" s="1"/>
      <c r="Z14184" s="1"/>
      <c r="AA14184" s="1"/>
      <c r="AB14184" s="1"/>
    </row>
    <row r="14185" ht="50.25" customHeight="1">
      <c r="A14185" s="12">
        <v>14181.0</v>
      </c>
      <c r="B14185" s="13" t="s">
        <v>13398</v>
      </c>
      <c r="C14185" s="14" t="s">
        <v>13419</v>
      </c>
      <c r="D14185" s="1"/>
      <c r="E14185" s="1"/>
      <c r="F14185" s="1" t="str">
        <f>IFERROR(__xludf.DUMMYFUNCTION("GOOGLETRANSLATE(B14185, ""en"", ""fa"")
"),"نکات کسب و کار کوچک")</f>
        <v>نکات کسب و کار کوچک</v>
      </c>
      <c r="G14185" s="1" t="str">
        <f>IFERROR(__xludf.DUMMYFUNCTION("GOOGLETRANSLATE(C14185, ""en"", ""fa"")
"),"عناصر ضروری یک وب سایت یا حضور آنلاین مؤثر، از جمله تجربه کاربر، پاسخگویی تلفن همراه، بهینه سازی موتور جستجو (SEO) و محتوای جذاب را خلاصه کنید.")</f>
        <v>عناصر ضروری یک وب سایت یا حضور آنلاین مؤثر، از جمله تجربه کاربر، پاسخگویی تلفن همراه، بهینه سازی موتور جستجو (SEO) و محتوای جذاب را خلاصه کنید.</v>
      </c>
      <c r="H14185" s="1"/>
      <c r="I14185" s="1"/>
      <c r="J14185" s="1"/>
      <c r="K14185" s="1"/>
      <c r="L14185" s="1"/>
      <c r="M14185" s="1"/>
      <c r="N14185" s="1"/>
      <c r="O14185" s="1"/>
      <c r="P14185" s="1"/>
      <c r="Q14185" s="1"/>
      <c r="R14185" s="1"/>
      <c r="S14185" s="1"/>
      <c r="T14185" s="1"/>
      <c r="U14185" s="1"/>
      <c r="V14185" s="1"/>
      <c r="W14185" s="1"/>
      <c r="X14185" s="1"/>
      <c r="Y14185" s="1"/>
      <c r="Z14185" s="1"/>
      <c r="AA14185" s="1"/>
      <c r="AB14185" s="1"/>
    </row>
    <row r="14186" ht="50.25" customHeight="1">
      <c r="A14186" s="12">
        <v>14182.0</v>
      </c>
      <c r="B14186" s="13" t="s">
        <v>13398</v>
      </c>
      <c r="C14186" s="14" t="s">
        <v>13420</v>
      </c>
      <c r="D14186" s="1"/>
      <c r="E14186" s="1"/>
      <c r="F14186" s="1" t="str">
        <f>IFERROR(__xludf.DUMMYFUNCTION("GOOGLETRANSLATE(B14186, ""en"", ""fa"")
"),"نکات کسب و کار کوچک")</f>
        <v>نکات کسب و کار کوچک</v>
      </c>
      <c r="G14186" s="1" t="str">
        <f>IFERROR(__xludf.DUMMYFUNCTION("GOOGLETRANSLATE(C14186, ""en"", ""fa"")
"),"اندازه بازار هدف خود را تخمین بزنید و بخش ها یا جایگاه هایی را که بیشترین پتانسیل را برای رشد ارائه می دهند، با در نظر گرفتن جمعیت شناسی، روانشناسی و روندهای بازار شناسایی کنید.")</f>
        <v>اندازه بازار هدف خود را تخمین بزنید و بخش ها یا جایگاه هایی را که بیشترین پتانسیل را برای رشد ارائه می دهند، با در نظر گرفتن جمعیت شناسی، روانشناسی و روندهای بازار شناسایی کنید.</v>
      </c>
      <c r="H14186" s="1"/>
      <c r="I14186" s="1"/>
      <c r="J14186" s="1"/>
      <c r="K14186" s="1"/>
      <c r="L14186" s="1"/>
      <c r="M14186" s="1"/>
      <c r="N14186" s="1"/>
      <c r="O14186" s="1"/>
      <c r="P14186" s="1"/>
      <c r="Q14186" s="1"/>
      <c r="R14186" s="1"/>
      <c r="S14186" s="1"/>
      <c r="T14186" s="1"/>
      <c r="U14186" s="1"/>
      <c r="V14186" s="1"/>
      <c r="W14186" s="1"/>
      <c r="X14186" s="1"/>
      <c r="Y14186" s="1"/>
      <c r="Z14186" s="1"/>
      <c r="AA14186" s="1"/>
      <c r="AB14186" s="1"/>
    </row>
    <row r="14187" ht="50.25" customHeight="1">
      <c r="A14187" s="12">
        <v>14183.0</v>
      </c>
      <c r="B14187" s="13" t="s">
        <v>13398</v>
      </c>
      <c r="C14187" s="14" t="s">
        <v>13421</v>
      </c>
      <c r="D14187" s="1"/>
      <c r="E14187" s="1"/>
      <c r="F14187" s="1" t="str">
        <f>IFERROR(__xludf.DUMMYFUNCTION("GOOGLETRANSLATE(B14187, ""en"", ""fa"")
"),"نکات کسب و کار کوچک")</f>
        <v>نکات کسب و کار کوچک</v>
      </c>
      <c r="G14187" s="1" t="str">
        <f>IFERROR(__xludf.DUMMYFUNCTION("GOOGLETRANSLATE(C14187, ""en"", ""fa"")
"),"یک طرح بازیابی بحران بنویسید که بر بهبودی پس از یک بحران یا فاجعه، اطمینان از تداوم کسب و کار و بازسازی اعتماد و اطمینان مشتری تمرکز دارد.")</f>
        <v>یک طرح بازیابی بحران بنویسید که بر بهبودی پس از یک بحران یا فاجعه، اطمینان از تداوم کسب و کار و بازسازی اعتماد و اطمینان مشتری تمرکز دارد.</v>
      </c>
      <c r="H14187" s="1"/>
      <c r="I14187" s="1"/>
      <c r="J14187" s="1"/>
      <c r="K14187" s="1"/>
      <c r="L14187" s="1"/>
      <c r="M14187" s="1"/>
      <c r="N14187" s="1"/>
      <c r="O14187" s="1"/>
      <c r="P14187" s="1"/>
      <c r="Q14187" s="1"/>
      <c r="R14187" s="1"/>
      <c r="S14187" s="1"/>
      <c r="T14187" s="1"/>
      <c r="U14187" s="1"/>
      <c r="V14187" s="1"/>
      <c r="W14187" s="1"/>
      <c r="X14187" s="1"/>
      <c r="Y14187" s="1"/>
      <c r="Z14187" s="1"/>
      <c r="AA14187" s="1"/>
      <c r="AB14187" s="1"/>
    </row>
    <row r="14188" ht="50.25" customHeight="1">
      <c r="A14188" s="12">
        <v>14184.0</v>
      </c>
      <c r="B14188" s="13" t="s">
        <v>13398</v>
      </c>
      <c r="C14188" s="14" t="s">
        <v>13422</v>
      </c>
      <c r="D14188" s="1"/>
      <c r="E14188" s="1"/>
      <c r="F14188" s="1" t="str">
        <f>IFERROR(__xludf.DUMMYFUNCTION("GOOGLETRANSLATE(B14188, ""en"", ""fa"")
"),"نکات کسب و کار کوچک")</f>
        <v>نکات کسب و کار کوچک</v>
      </c>
      <c r="G14188" s="1" t="str">
        <f>IFERROR(__xludf.DUMMYFUNCTION("GOOGLETRANSLATE(C14188, ""en"", ""fa"")
"),"گزینه های مختلف تامین مالی موجود برای کسب و کارهای کوچک، مانند وام های بانکی، وام های SBA، وام های خرد، کمک های بلاعوض و تامین مالی جمعی را فهرست کنید و مزایا و معایب آنها را مشخص کنید.")</f>
        <v>گزینه های مختلف تامین مالی موجود برای کسب و کارهای کوچک، مانند وام های بانکی، وام های SBA، وام های خرد، کمک های بلاعوض و تامین مالی جمعی را فهرست کنید و مزایا و معایب آنها را مشخص کنید.</v>
      </c>
      <c r="H14188" s="1"/>
      <c r="I14188" s="1"/>
      <c r="J14188" s="1"/>
      <c r="K14188" s="1"/>
      <c r="L14188" s="1"/>
      <c r="M14188" s="1"/>
      <c r="N14188" s="1"/>
      <c r="O14188" s="1"/>
      <c r="P14188" s="1"/>
      <c r="Q14188" s="1"/>
      <c r="R14188" s="1"/>
      <c r="S14188" s="1"/>
      <c r="T14188" s="1"/>
      <c r="U14188" s="1"/>
      <c r="V14188" s="1"/>
      <c r="W14188" s="1"/>
      <c r="X14188" s="1"/>
      <c r="Y14188" s="1"/>
      <c r="Z14188" s="1"/>
      <c r="AA14188" s="1"/>
      <c r="AB14188" s="1"/>
    </row>
    <row r="14189" ht="50.25" customHeight="1">
      <c r="A14189" s="12">
        <v>14185.0</v>
      </c>
      <c r="B14189" s="13" t="s">
        <v>13398</v>
      </c>
      <c r="C14189" s="14" t="s">
        <v>13423</v>
      </c>
      <c r="D14189" s="1"/>
      <c r="E14189" s="1"/>
      <c r="F14189" s="1" t="str">
        <f>IFERROR(__xludf.DUMMYFUNCTION("GOOGLETRANSLATE(B14189, ""en"", ""fa"")
"),"نکات کسب و کار کوچک")</f>
        <v>نکات کسب و کار کوچک</v>
      </c>
      <c r="G14189" s="1" t="str">
        <f>IFERROR(__xludf.DUMMYFUNCTION("GOOGLETRANSLATE(C14189, ""en"", ""fa"")
"),"اجزای اساسی یک استراتژی بازاریابی جامد برای کسب و کارهای کوچک، از جمله تحقیقات بازار، شناسایی مخاطبان هدف، نام تجاری، تبلیغات و بازاریابی دیجیتال را مشخص کنید.")</f>
        <v>اجزای اساسی یک استراتژی بازاریابی جامد برای کسب و کارهای کوچک، از جمله تحقیقات بازار، شناسایی مخاطبان هدف، نام تجاری، تبلیغات و بازاریابی دیجیتال را مشخص کنید.</v>
      </c>
      <c r="H14189" s="1"/>
      <c r="I14189" s="1"/>
      <c r="J14189" s="1"/>
      <c r="K14189" s="1"/>
      <c r="L14189" s="1"/>
      <c r="M14189" s="1"/>
      <c r="N14189" s="1"/>
      <c r="O14189" s="1"/>
      <c r="P14189" s="1"/>
      <c r="Q14189" s="1"/>
      <c r="R14189" s="1"/>
      <c r="S14189" s="1"/>
      <c r="T14189" s="1"/>
      <c r="U14189" s="1"/>
      <c r="V14189" s="1"/>
      <c r="W14189" s="1"/>
      <c r="X14189" s="1"/>
      <c r="Y14189" s="1"/>
      <c r="Z14189" s="1"/>
      <c r="AA14189" s="1"/>
      <c r="AB14189" s="1"/>
    </row>
    <row r="14190" ht="50.25" customHeight="1">
      <c r="A14190" s="12">
        <v>14186.0</v>
      </c>
      <c r="B14190" s="13" t="s">
        <v>13398</v>
      </c>
      <c r="C14190" s="14" t="s">
        <v>13424</v>
      </c>
      <c r="D14190" s="1"/>
      <c r="E14190" s="1"/>
      <c r="F14190" s="1" t="str">
        <f>IFERROR(__xludf.DUMMYFUNCTION("GOOGLETRANSLATE(B14190, ""en"", ""fa"")
"),"نکات کسب و کار کوچک")</f>
        <v>نکات کسب و کار کوچک</v>
      </c>
      <c r="G14190" s="1" t="str">
        <f>IFERROR(__xludf.DUMMYFUNCTION("GOOGLETRANSLATE(C14190, ""en"", ""fa"")
"),"با در نظر گرفتن هزینه های عملیاتی، هزینه های بازاریابی، مدیریت موجودی، تجهیزات و درآمد پیش بینی شده، بودجه ای برای کسب و کار کوچک خود برنامه ریزی کنید.")</f>
        <v>با در نظر گرفتن هزینه های عملیاتی، هزینه های بازاریابی، مدیریت موجودی، تجهیزات و درآمد پیش بینی شده، بودجه ای برای کسب و کار کوچک خود برنامه ریزی کنید.</v>
      </c>
      <c r="H14190" s="1"/>
      <c r="I14190" s="1"/>
      <c r="J14190" s="1"/>
      <c r="K14190" s="1"/>
      <c r="L14190" s="1"/>
      <c r="M14190" s="1"/>
      <c r="N14190" s="1"/>
      <c r="O14190" s="1"/>
      <c r="P14190" s="1"/>
      <c r="Q14190" s="1"/>
      <c r="R14190" s="1"/>
      <c r="S14190" s="1"/>
      <c r="T14190" s="1"/>
      <c r="U14190" s="1"/>
      <c r="V14190" s="1"/>
      <c r="W14190" s="1"/>
      <c r="X14190" s="1"/>
      <c r="Y14190" s="1"/>
      <c r="Z14190" s="1"/>
      <c r="AA14190" s="1"/>
      <c r="AB14190" s="1"/>
    </row>
    <row r="14191" ht="50.25" customHeight="1">
      <c r="A14191" s="12">
        <v>14187.0</v>
      </c>
      <c r="B14191" s="13" t="s">
        <v>13398</v>
      </c>
      <c r="C14191" s="14" t="s">
        <v>13425</v>
      </c>
      <c r="D14191" s="1"/>
      <c r="E14191" s="1"/>
      <c r="F14191" s="1" t="str">
        <f>IFERROR(__xludf.DUMMYFUNCTION("GOOGLETRANSLATE(B14191, ""en"", ""fa"")
"),"نکات کسب و کار کوچک")</f>
        <v>نکات کسب و کار کوچک</v>
      </c>
      <c r="G14191" s="1" t="str">
        <f>IFERROR(__xludf.DUMMYFUNCTION("GOOGLETRANSLATE(C14191, ""en"", ""fa"")
"),"برنامه ای برای جذب مشتری طراحی کنید که استراتژی ها و تاکتیک هایی را که برای جذب مشتریان جدید به کار می گیرید، مانند تبلیغات آنلاین، کمپین های رسانه های اجتماعی، مشارکت ها و ارجاعات مشخص می کند.")</f>
        <v>برنامه ای برای جذب مشتری طراحی کنید که استراتژی ها و تاکتیک هایی را که برای جذب مشتریان جدید به کار می گیرید، مانند تبلیغات آنلاین، کمپین های رسانه های اجتماعی، مشارکت ها و ارجاعات مشخص می کند.</v>
      </c>
      <c r="H14191" s="1"/>
      <c r="I14191" s="1"/>
      <c r="J14191" s="1"/>
      <c r="K14191" s="1"/>
      <c r="L14191" s="1"/>
      <c r="M14191" s="1"/>
      <c r="N14191" s="1"/>
      <c r="O14191" s="1"/>
      <c r="P14191" s="1"/>
      <c r="Q14191" s="1"/>
      <c r="R14191" s="1"/>
      <c r="S14191" s="1"/>
      <c r="T14191" s="1"/>
      <c r="U14191" s="1"/>
      <c r="V14191" s="1"/>
      <c r="W14191" s="1"/>
      <c r="X14191" s="1"/>
      <c r="Y14191" s="1"/>
      <c r="Z14191" s="1"/>
      <c r="AA14191" s="1"/>
      <c r="AB14191" s="1"/>
    </row>
    <row r="14192" ht="50.25" customHeight="1">
      <c r="A14192" s="12">
        <v>14188.0</v>
      </c>
      <c r="B14192" s="13" t="s">
        <v>13398</v>
      </c>
      <c r="C14192" s="14" t="s">
        <v>13426</v>
      </c>
      <c r="D14192" s="1"/>
      <c r="E14192" s="1"/>
      <c r="F14192" s="1" t="str">
        <f>IFERROR(__xludf.DUMMYFUNCTION("GOOGLETRANSLATE(B14192, ""en"", ""fa"")
"),"نکات کسب و کار کوچک")</f>
        <v>نکات کسب و کار کوچک</v>
      </c>
      <c r="G14192" s="1" t="str">
        <f>IFERROR(__xludf.DUMMYFUNCTION("GOOGLETRANSLATE(C14192, ""en"", ""fa"")
"),"یک سیستم مدیریت موجودی تهیه کنید که به شما کمک می کند سطوح موجودی خود را ردیابی کنید، تکمیل موجودی را بهینه کنید، موجودی انبار را به حداقل برسانید و از موجودی اضافی جلوگیری کنید.")</f>
        <v>یک سیستم مدیریت موجودی تهیه کنید که به شما کمک می کند سطوح موجودی خود را ردیابی کنید، تکمیل موجودی را بهینه کنید، موجودی انبار را به حداقل برسانید و از موجودی اضافی جلوگیری کنید.</v>
      </c>
      <c r="H14192" s="1"/>
      <c r="I14192" s="1"/>
      <c r="J14192" s="1"/>
      <c r="K14192" s="1"/>
      <c r="L14192" s="1"/>
      <c r="M14192" s="1"/>
      <c r="N14192" s="1"/>
      <c r="O14192" s="1"/>
      <c r="P14192" s="1"/>
      <c r="Q14192" s="1"/>
      <c r="R14192" s="1"/>
      <c r="S14192" s="1"/>
      <c r="T14192" s="1"/>
      <c r="U14192" s="1"/>
      <c r="V14192" s="1"/>
      <c r="W14192" s="1"/>
      <c r="X14192" s="1"/>
      <c r="Y14192" s="1"/>
      <c r="Z14192" s="1"/>
      <c r="AA14192" s="1"/>
      <c r="AB14192" s="1"/>
    </row>
    <row r="14193" ht="50.25" customHeight="1">
      <c r="A14193" s="12">
        <v>14189.0</v>
      </c>
      <c r="B14193" s="13" t="s">
        <v>13398</v>
      </c>
      <c r="C14193" s="14" t="s">
        <v>13427</v>
      </c>
      <c r="D14193" s="1"/>
      <c r="E14193" s="1"/>
      <c r="F14193" s="1" t="str">
        <f>IFERROR(__xludf.DUMMYFUNCTION("GOOGLETRANSLATE(B14193, ""en"", ""fa"")
"),"نکات کسب و کار کوچک")</f>
        <v>نکات کسب و کار کوچک</v>
      </c>
      <c r="G14193" s="1" t="str">
        <f>IFERROR(__xludf.DUMMYFUNCTION("GOOGLETRANSLATE(C14193, ""en"", ""fa"")
"),"یک تحلیل رقابتی را ترسیم کنید که رقبای مستقیم و غیرمستقیم شما، نقاط قوت و ضعف آنها و فرصت های بازار بالقوه برای کسب و کار کوچک شما را شناسایی و تجزیه و تحلیل می کند.")</f>
        <v>یک تحلیل رقابتی را ترسیم کنید که رقبای مستقیم و غیرمستقیم شما، نقاط قوت و ضعف آنها و فرصت های بازار بالقوه برای کسب و کار کوچک شما را شناسایی و تجزیه و تحلیل می کند.</v>
      </c>
      <c r="H14193" s="1"/>
      <c r="I14193" s="1"/>
      <c r="J14193" s="1"/>
      <c r="K14193" s="1"/>
      <c r="L14193" s="1"/>
      <c r="M14193" s="1"/>
      <c r="N14193" s="1"/>
      <c r="O14193" s="1"/>
      <c r="P14193" s="1"/>
      <c r="Q14193" s="1"/>
      <c r="R14193" s="1"/>
      <c r="S14193" s="1"/>
      <c r="T14193" s="1"/>
      <c r="U14193" s="1"/>
      <c r="V14193" s="1"/>
      <c r="W14193" s="1"/>
      <c r="X14193" s="1"/>
      <c r="Y14193" s="1"/>
      <c r="Z14193" s="1"/>
      <c r="AA14193" s="1"/>
      <c r="AB14193" s="1"/>
    </row>
    <row r="14194" ht="50.25" customHeight="1">
      <c r="A14194" s="12">
        <v>14190.0</v>
      </c>
      <c r="B14194" s="13" t="s">
        <v>13398</v>
      </c>
      <c r="C14194" s="14" t="s">
        <v>13428</v>
      </c>
      <c r="D14194" s="1"/>
      <c r="E14194" s="1"/>
      <c r="F14194" s="1" t="str">
        <f>IFERROR(__xludf.DUMMYFUNCTION("GOOGLETRANSLATE(B14194, ""en"", ""fa"")
"),"نکات کسب و کار کوچک")</f>
        <v>نکات کسب و کار کوچک</v>
      </c>
      <c r="G14194" s="1" t="str">
        <f>IFERROR(__xludf.DUMMYFUNCTION("GOOGLETRANSLATE(C14194, ""en"", ""fa"")
"),"یک قیف فروش و بازاریابی را طراحی کنید که مشتریان بالقوه را در فرآیند خرید، از آگاهی و علاقه گرفته تا خرید و حفظ، با استفاده از نقاط تماس مختلف راهنمایی کند.")</f>
        <v>یک قیف فروش و بازاریابی را طراحی کنید که مشتریان بالقوه را در فرآیند خرید، از آگاهی و علاقه گرفته تا خرید و حفظ، با استفاده از نقاط تماس مختلف راهنمایی کند.</v>
      </c>
      <c r="H14194" s="1"/>
      <c r="I14194" s="1"/>
      <c r="J14194" s="1"/>
      <c r="K14194" s="1"/>
      <c r="L14194" s="1"/>
      <c r="M14194" s="1"/>
      <c r="N14194" s="1"/>
      <c r="O14194" s="1"/>
      <c r="P14194" s="1"/>
      <c r="Q14194" s="1"/>
      <c r="R14194" s="1"/>
      <c r="S14194" s="1"/>
      <c r="T14194" s="1"/>
      <c r="U14194" s="1"/>
      <c r="V14194" s="1"/>
      <c r="W14194" s="1"/>
      <c r="X14194" s="1"/>
      <c r="Y14194" s="1"/>
      <c r="Z14194" s="1"/>
      <c r="AA14194" s="1"/>
      <c r="AB14194" s="1"/>
    </row>
    <row r="14195" ht="50.25" customHeight="1">
      <c r="A14195" s="12">
        <v>14191.0</v>
      </c>
      <c r="B14195" s="13" t="s">
        <v>13398</v>
      </c>
      <c r="C14195" s="14" t="s">
        <v>13429</v>
      </c>
      <c r="D14195" s="1"/>
      <c r="E14195" s="1"/>
      <c r="F14195" s="1" t="str">
        <f>IFERROR(__xludf.DUMMYFUNCTION("GOOGLETRANSLATE(B14195, ""en"", ""fa"")
"),"نکات کسب و کار کوچک")</f>
        <v>نکات کسب و کار کوچک</v>
      </c>
      <c r="G14195" s="1" t="str">
        <f>IFERROR(__xludf.DUMMYFUNCTION("GOOGLETRANSLATE(C14195, ""en"", ""fa"")
"),"نقطه سربه سر خود را محاسبه کنید تا سطح فروش مورد نیاز برای پوشش هزینه های ثابت و متغیر خود را تعیین کنید و به شما در تعیین اهداف فروش واقعی و استراتژی های قیمت گذاری کمک کنید.")</f>
        <v>نقطه سربه سر خود را محاسبه کنید تا سطح فروش مورد نیاز برای پوشش هزینه های ثابت و متغیر خود را تعیین کنید و به شما در تعیین اهداف فروش واقعی و استراتژی های قیمت گذاری کمک کنید.</v>
      </c>
      <c r="H14195" s="1"/>
      <c r="I14195" s="1"/>
      <c r="J14195" s="1"/>
      <c r="K14195" s="1"/>
      <c r="L14195" s="1"/>
      <c r="M14195" s="1"/>
      <c r="N14195" s="1"/>
      <c r="O14195" s="1"/>
      <c r="P14195" s="1"/>
      <c r="Q14195" s="1"/>
      <c r="R14195" s="1"/>
      <c r="S14195" s="1"/>
      <c r="T14195" s="1"/>
      <c r="U14195" s="1"/>
      <c r="V14195" s="1"/>
      <c r="W14195" s="1"/>
      <c r="X14195" s="1"/>
      <c r="Y14195" s="1"/>
      <c r="Z14195" s="1"/>
      <c r="AA14195" s="1"/>
      <c r="AB14195" s="1"/>
    </row>
    <row r="14196" ht="50.25" customHeight="1">
      <c r="A14196" s="12">
        <v>14192.0</v>
      </c>
      <c r="B14196" s="13" t="s">
        <v>13398</v>
      </c>
      <c r="C14196" s="14" t="s">
        <v>13430</v>
      </c>
      <c r="D14196" s="1"/>
      <c r="E14196" s="1"/>
      <c r="F14196" s="1" t="str">
        <f>IFERROR(__xludf.DUMMYFUNCTION("GOOGLETRANSLATE(B14196, ""en"", ""fa"")
"),"نکات کسب و کار کوچک")</f>
        <v>نکات کسب و کار کوچک</v>
      </c>
      <c r="G14196" s="1" t="str">
        <f>IFERROR(__xludf.DUMMYFUNCTION("GOOGLETRANSLATE(C14196, ""en"", ""fa"")
"),"مراحل ضروری راه اندازی یک کسب و کار کوچک از جمله ثبت کسب و کار، اخذ مجوزها و مجوزهای لازم و تنظیم حساب های مالی خود را خلاصه کنید.")</f>
        <v>مراحل ضروری راه اندازی یک کسب و کار کوچک از جمله ثبت کسب و کار، اخذ مجوزها و مجوزهای لازم و تنظیم حساب های مالی خود را خلاصه کنید.</v>
      </c>
      <c r="H14196" s="1"/>
      <c r="I14196" s="1"/>
      <c r="J14196" s="1"/>
      <c r="K14196" s="1"/>
      <c r="L14196" s="1"/>
      <c r="M14196" s="1"/>
      <c r="N14196" s="1"/>
      <c r="O14196" s="1"/>
      <c r="P14196" s="1"/>
      <c r="Q14196" s="1"/>
      <c r="R14196" s="1"/>
      <c r="S14196" s="1"/>
      <c r="T14196" s="1"/>
      <c r="U14196" s="1"/>
      <c r="V14196" s="1"/>
      <c r="W14196" s="1"/>
      <c r="X14196" s="1"/>
      <c r="Y14196" s="1"/>
      <c r="Z14196" s="1"/>
      <c r="AA14196" s="1"/>
      <c r="AB14196" s="1"/>
    </row>
    <row r="14197" ht="50.25" customHeight="1">
      <c r="A14197" s="12">
        <v>14193.0</v>
      </c>
      <c r="B14197" s="13" t="s">
        <v>13398</v>
      </c>
      <c r="C14197" s="14" t="s">
        <v>13431</v>
      </c>
      <c r="D14197" s="1"/>
      <c r="E14197" s="1"/>
      <c r="F14197" s="1" t="str">
        <f>IFERROR(__xludf.DUMMYFUNCTION("GOOGLETRANSLATE(B14197, ""en"", ""fa"")
"),"نکات کسب و کار کوچک")</f>
        <v>نکات کسب و کار کوچک</v>
      </c>
      <c r="G14197" s="1" t="str">
        <f>IFERROR(__xludf.DUMMYFUNCTION("GOOGLETRANSLATE(C14197, ""en"", ""fa"")
"),"هزینه های اولیه راه اندازی خود را از جمله تجهیزات، موجودی، مواد بازاریابی، هزینه های قانونی و راه اندازی دفتر یا فروشگاه برآورد کنید که به شما کمک می کند بودجه لازم را تامین کنید.")</f>
        <v>هزینه های اولیه راه اندازی خود را از جمله تجهیزات، موجودی، مواد بازاریابی، هزینه های قانونی و راه اندازی دفتر یا فروشگاه برآورد کنید که به شما کمک می کند بودجه لازم را تامین کنید.</v>
      </c>
      <c r="H14197" s="1"/>
      <c r="I14197" s="1"/>
      <c r="J14197" s="1"/>
      <c r="K14197" s="1"/>
      <c r="L14197" s="1"/>
      <c r="M14197" s="1"/>
      <c r="N14197" s="1"/>
      <c r="O14197" s="1"/>
      <c r="P14197" s="1"/>
      <c r="Q14197" s="1"/>
      <c r="R14197" s="1"/>
      <c r="S14197" s="1"/>
      <c r="T14197" s="1"/>
      <c r="U14197" s="1"/>
      <c r="V14197" s="1"/>
      <c r="W14197" s="1"/>
      <c r="X14197" s="1"/>
      <c r="Y14197" s="1"/>
      <c r="Z14197" s="1"/>
      <c r="AA14197" s="1"/>
      <c r="AB14197" s="1"/>
    </row>
    <row r="14198" ht="50.25" customHeight="1">
      <c r="A14198" s="12">
        <v>14194.0</v>
      </c>
      <c r="B14198" s="13" t="s">
        <v>13398</v>
      </c>
      <c r="C14198" s="14" t="s">
        <v>13432</v>
      </c>
      <c r="D14198" s="1"/>
      <c r="E14198" s="1"/>
      <c r="F14198" s="1" t="str">
        <f>IFERROR(__xludf.DUMMYFUNCTION("GOOGLETRANSLATE(B14198, ""en"", ""fa"")
"),"نکات کسب و کار کوچک")</f>
        <v>نکات کسب و کار کوچک</v>
      </c>
      <c r="G14198" s="1" t="str">
        <f>IFERROR(__xludf.DUMMYFUNCTION("GOOGLETRANSLATE(C14198, ""en"", ""fa"")
"),"یک نمایه شخصی مشتری بسازید که نمایانگر مشتری ایده آل شما باشد، با جزئیات جمعیت شناختی، ترجیحات، نیازها و انگیزه های آنها، تصمیمات بازاریابی و محصول شما را راهنمایی کند.")</f>
        <v>یک نمایه شخصی مشتری بسازید که نمایانگر مشتری ایده آل شما باشد، با جزئیات جمعیت شناختی، ترجیحات، نیازها و انگیزه های آنها، تصمیمات بازاریابی و محصول شما را راهنمایی کند.</v>
      </c>
      <c r="H14198" s="1"/>
      <c r="I14198" s="1"/>
      <c r="J14198" s="1"/>
      <c r="K14198" s="1"/>
      <c r="L14198" s="1"/>
      <c r="M14198" s="1"/>
      <c r="N14198" s="1"/>
      <c r="O14198" s="1"/>
      <c r="P14198" s="1"/>
      <c r="Q14198" s="1"/>
      <c r="R14198" s="1"/>
      <c r="S14198" s="1"/>
      <c r="T14198" s="1"/>
      <c r="U14198" s="1"/>
      <c r="V14198" s="1"/>
      <c r="W14198" s="1"/>
      <c r="X14198" s="1"/>
      <c r="Y14198" s="1"/>
      <c r="Z14198" s="1"/>
      <c r="AA14198" s="1"/>
      <c r="AB14198" s="1"/>
    </row>
    <row r="14199" ht="50.25" customHeight="1">
      <c r="A14199" s="12">
        <v>14195.0</v>
      </c>
      <c r="B14199" s="13" t="s">
        <v>13398</v>
      </c>
      <c r="C14199" s="14" t="s">
        <v>13433</v>
      </c>
      <c r="D14199" s="1"/>
      <c r="E14199" s="1"/>
      <c r="F14199" s="1" t="str">
        <f>IFERROR(__xludf.DUMMYFUNCTION("GOOGLETRANSLATE(B14199, ""en"", ""fa"")
"),"نکات کسب و کار کوچک")</f>
        <v>نکات کسب و کار کوچک</v>
      </c>
      <c r="G14199" s="1" t="str">
        <f>IFERROR(__xludf.DUMMYFUNCTION("GOOGLETRANSLATE(C14199, ""en"", ""fa"")
"),"عناصر کلیدی یک پیشنهاد یا ارائه فروش موثر را فهرست کنید، از جمله یک افتتاحیه قانع کننده، پیشنهاد ارزش واضح، پرداختن به نقاط درد مشتری و یک فراخوان قوی برای اقدام.")</f>
        <v>عناصر کلیدی یک پیشنهاد یا ارائه فروش موثر را فهرست کنید، از جمله یک افتتاحیه قانع کننده، پیشنهاد ارزش واضح، پرداختن به نقاط درد مشتری و یک فراخوان قوی برای اقدام.</v>
      </c>
      <c r="H14199" s="1"/>
      <c r="I14199" s="1"/>
      <c r="J14199" s="1"/>
      <c r="K14199" s="1"/>
      <c r="L14199" s="1"/>
      <c r="M14199" s="1"/>
      <c r="N14199" s="1"/>
      <c r="O14199" s="1"/>
      <c r="P14199" s="1"/>
      <c r="Q14199" s="1"/>
      <c r="R14199" s="1"/>
      <c r="S14199" s="1"/>
      <c r="T14199" s="1"/>
      <c r="U14199" s="1"/>
      <c r="V14199" s="1"/>
      <c r="W14199" s="1"/>
      <c r="X14199" s="1"/>
      <c r="Y14199" s="1"/>
      <c r="Z14199" s="1"/>
      <c r="AA14199" s="1"/>
      <c r="AB14199" s="1"/>
    </row>
    <row r="14200" ht="50.25" customHeight="1">
      <c r="A14200" s="12">
        <v>14196.0</v>
      </c>
      <c r="B14200" s="13" t="s">
        <v>13398</v>
      </c>
      <c r="C14200" s="14" t="s">
        <v>13434</v>
      </c>
      <c r="D14200" s="1"/>
      <c r="E14200" s="1"/>
      <c r="F14200" s="1" t="str">
        <f>IFERROR(__xludf.DUMMYFUNCTION("GOOGLETRANSLATE(B14200, ""en"", ""fa"")
"),"نکات کسب و کار کوچک")</f>
        <v>نکات کسب و کار کوچک</v>
      </c>
      <c r="G14200" s="1" t="str">
        <f>IFERROR(__xludf.DUMMYFUNCTION("GOOGLETRANSLATE(C14200, ""en"", ""fa"")
"),"فناوری و راه‌حل‌های نرم‌افزاری را که می‌توانند عملیات کسب‌وکار کوچک شما را ساده‌تر کنند، مانند نرم‌افزار حسابداری، ابزارهای مدیریت پروژه، سیستم‌های فروش، و نرم‌افزار مدیریت ارتباط با مشتری (CRM) مشخص کنید.")</f>
        <v>فناوری و راه‌حل‌های نرم‌افزاری را که می‌توانند عملیات کسب‌وکار کوچک شما را ساده‌تر کنند، مانند نرم‌افزار حسابداری، ابزارهای مدیریت پروژه، سیستم‌های فروش، و نرم‌افزار مدیریت ارتباط با مشتری (CRM) مشخص کنید.</v>
      </c>
      <c r="H14200" s="1"/>
      <c r="I14200" s="1"/>
      <c r="J14200" s="1"/>
      <c r="K14200" s="1"/>
      <c r="L14200" s="1"/>
      <c r="M14200" s="1"/>
      <c r="N14200" s="1"/>
      <c r="O14200" s="1"/>
      <c r="P14200" s="1"/>
      <c r="Q14200" s="1"/>
      <c r="R14200" s="1"/>
      <c r="S14200" s="1"/>
      <c r="T14200" s="1"/>
      <c r="U14200" s="1"/>
      <c r="V14200" s="1"/>
      <c r="W14200" s="1"/>
      <c r="X14200" s="1"/>
      <c r="Y14200" s="1"/>
      <c r="Z14200" s="1"/>
      <c r="AA14200" s="1"/>
      <c r="AB14200" s="1"/>
    </row>
    <row r="14201" ht="50.25" customHeight="1">
      <c r="A14201" s="12">
        <v>14197.0</v>
      </c>
      <c r="B14201" s="13" t="s">
        <v>13398</v>
      </c>
      <c r="C14201" s="14" t="s">
        <v>13435</v>
      </c>
      <c r="D14201" s="1"/>
      <c r="E14201" s="1"/>
      <c r="F14201" s="1" t="str">
        <f>IFERROR(__xludf.DUMMYFUNCTION("GOOGLETRANSLATE(B14201, ""en"", ""fa"")
"),"نکات کسب و کار کوچک")</f>
        <v>نکات کسب و کار کوچک</v>
      </c>
      <c r="G14201" s="1" t="str">
        <f>IFERROR(__xludf.DUMMYFUNCTION("GOOGLETRANSLATE(C14201, ""en"", ""fa"")
"),"استراتژی برندسازی کسب و کار کوچکی را برنامه ریزی کنید که هویت برند شما، طراحی لوگو، پیام برند و ارتباطات بصری و شفاهی مداوم در همه کانال ها را در بر می گیرد.")</f>
        <v>استراتژی برندسازی کسب و کار کوچکی را برنامه ریزی کنید که هویت برند شما، طراحی لوگو، پیام برند و ارتباطات بصری و شفاهی مداوم در همه کانال ها را در بر می گیرد.</v>
      </c>
      <c r="H14201" s="1"/>
      <c r="I14201" s="1"/>
      <c r="J14201" s="1"/>
      <c r="K14201" s="1"/>
      <c r="L14201" s="1"/>
      <c r="M14201" s="1"/>
      <c r="N14201" s="1"/>
      <c r="O14201" s="1"/>
      <c r="P14201" s="1"/>
      <c r="Q14201" s="1"/>
      <c r="R14201" s="1"/>
      <c r="S14201" s="1"/>
      <c r="T14201" s="1"/>
      <c r="U14201" s="1"/>
      <c r="V14201" s="1"/>
      <c r="W14201" s="1"/>
      <c r="X14201" s="1"/>
      <c r="Y14201" s="1"/>
      <c r="Z14201" s="1"/>
      <c r="AA14201" s="1"/>
      <c r="AB14201" s="1"/>
    </row>
    <row r="14202" ht="50.25" customHeight="1">
      <c r="A14202" s="12">
        <v>14198.0</v>
      </c>
      <c r="B14202" s="13" t="s">
        <v>13398</v>
      </c>
      <c r="C14202" s="14" t="s">
        <v>13436</v>
      </c>
      <c r="D14202" s="1"/>
      <c r="E14202" s="1"/>
      <c r="F14202" s="1" t="str">
        <f>IFERROR(__xludf.DUMMYFUNCTION("GOOGLETRANSLATE(B14202, ""en"", ""fa"")
"),"نکات کسب و کار کوچک")</f>
        <v>نکات کسب و کار کوچک</v>
      </c>
      <c r="G14202" s="1" t="str">
        <f>IFERROR(__xludf.DUMMYFUNCTION("GOOGLETRANSLATE(C14202, ""en"", ""fa"")
"),"یک استراتژی حفظ مشتری ابداع کنید که بر ایجاد روابط بلندمدت با مشتریان فعلی شما تمرکز دارد، از جمله برنامه های وفاداری، بازاریابی شخصی و خدمات استثنایی به مشتریان.")</f>
        <v>یک استراتژی حفظ مشتری ابداع کنید که بر ایجاد روابط بلندمدت با مشتریان فعلی شما تمرکز دارد، از جمله برنامه های وفاداری، بازاریابی شخصی و خدمات استثنایی به مشتریان.</v>
      </c>
      <c r="H14202" s="1"/>
      <c r="I14202" s="1"/>
      <c r="J14202" s="1"/>
      <c r="K14202" s="1"/>
      <c r="L14202" s="1"/>
      <c r="M14202" s="1"/>
      <c r="N14202" s="1"/>
      <c r="O14202" s="1"/>
      <c r="P14202" s="1"/>
      <c r="Q14202" s="1"/>
      <c r="R14202" s="1"/>
      <c r="S14202" s="1"/>
      <c r="T14202" s="1"/>
      <c r="U14202" s="1"/>
      <c r="V14202" s="1"/>
      <c r="W14202" s="1"/>
      <c r="X14202" s="1"/>
      <c r="Y14202" s="1"/>
      <c r="Z14202" s="1"/>
      <c r="AA14202" s="1"/>
      <c r="AB14202" s="1"/>
    </row>
    <row r="14203" ht="50.25" customHeight="1">
      <c r="A14203" s="12">
        <v>14199.0</v>
      </c>
      <c r="B14203" s="13" t="s">
        <v>13398</v>
      </c>
      <c r="C14203" s="14" t="s">
        <v>13437</v>
      </c>
      <c r="D14203" s="1"/>
      <c r="E14203" s="1"/>
      <c r="F14203" s="1" t="str">
        <f>IFERROR(__xludf.DUMMYFUNCTION("GOOGLETRANSLATE(B14203, ""en"", ""fa"")
"),"نکات کسب و کار کوچک")</f>
        <v>نکات کسب و کار کوچک</v>
      </c>
      <c r="G14203" s="1" t="str">
        <f>IFERROR(__xludf.DUMMYFUNCTION("GOOGLETRANSLATE(C14203, ""en"", ""fa"")
"),"یک کمپین بازاریابی ایمیلی موثر تهیه کنید که با استفاده از تکنیک‌های اتوماسیون و شخصی‌سازی، منجر به رشد، ارتقاء محصولات یا خدمات شما و جذب مشتریان شما شود.")</f>
        <v>یک کمپین بازاریابی ایمیلی موثر تهیه کنید که با استفاده از تکنیک‌های اتوماسیون و شخصی‌سازی، منجر به رشد، ارتقاء محصولات یا خدمات شما و جذب مشتریان شما شود.</v>
      </c>
      <c r="H14203" s="1"/>
      <c r="I14203" s="1"/>
      <c r="J14203" s="1"/>
      <c r="K14203" s="1"/>
      <c r="L14203" s="1"/>
      <c r="M14203" s="1"/>
      <c r="N14203" s="1"/>
      <c r="O14203" s="1"/>
      <c r="P14203" s="1"/>
      <c r="Q14203" s="1"/>
      <c r="R14203" s="1"/>
      <c r="S14203" s="1"/>
      <c r="T14203" s="1"/>
      <c r="U14203" s="1"/>
      <c r="V14203" s="1"/>
      <c r="W14203" s="1"/>
      <c r="X14203" s="1"/>
      <c r="Y14203" s="1"/>
      <c r="Z14203" s="1"/>
      <c r="AA14203" s="1"/>
      <c r="AB14203" s="1"/>
    </row>
    <row r="14204" ht="50.25" customHeight="1">
      <c r="A14204" s="12">
        <v>14200.0</v>
      </c>
      <c r="B14204" s="13" t="s">
        <v>13398</v>
      </c>
      <c r="C14204" s="14" t="s">
        <v>13438</v>
      </c>
      <c r="D14204" s="1"/>
      <c r="E14204" s="1"/>
      <c r="F14204" s="1" t="str">
        <f>IFERROR(__xludf.DUMMYFUNCTION("GOOGLETRANSLATE(B14204, ""en"", ""fa"")
"),"نکات کسب و کار کوچک")</f>
        <v>نکات کسب و کار کوچک</v>
      </c>
      <c r="G14204" s="1" t="str">
        <f>IFERROR(__xludf.DUMMYFUNCTION("GOOGLETRANSLATE(C14204, ""en"", ""fa"")
"),"یک طرح مسئولیت اجتماعی و پایداری را ترسیم کنید که تعهد کسب و کار کوچک شما را به شیوه های اخلاقی، حفاظت از محیط زیست و مشارکت جامعه نشان می دهد.")</f>
        <v>یک طرح مسئولیت اجتماعی و پایداری را ترسیم کنید که تعهد کسب و کار کوچک شما را به شیوه های اخلاقی، حفاظت از محیط زیست و مشارکت جامعه نشان می دهد.</v>
      </c>
      <c r="H14204" s="1"/>
      <c r="I14204" s="1"/>
      <c r="J14204" s="1"/>
      <c r="K14204" s="1"/>
      <c r="L14204" s="1"/>
      <c r="M14204" s="1"/>
      <c r="N14204" s="1"/>
      <c r="O14204" s="1"/>
      <c r="P14204" s="1"/>
      <c r="Q14204" s="1"/>
      <c r="R14204" s="1"/>
      <c r="S14204" s="1"/>
      <c r="T14204" s="1"/>
      <c r="U14204" s="1"/>
      <c r="V14204" s="1"/>
      <c r="W14204" s="1"/>
      <c r="X14204" s="1"/>
      <c r="Y14204" s="1"/>
      <c r="Z14204" s="1"/>
      <c r="AA14204" s="1"/>
      <c r="AB14204" s="1"/>
    </row>
    <row r="14205" ht="50.25" customHeight="1">
      <c r="A14205" s="12">
        <v>14201.0</v>
      </c>
      <c r="B14205" s="13" t="s">
        <v>13398</v>
      </c>
      <c r="C14205" s="14" t="s">
        <v>13439</v>
      </c>
      <c r="D14205" s="1"/>
      <c r="E14205" s="1"/>
      <c r="F14205" s="1" t="str">
        <f>IFERROR(__xludf.DUMMYFUNCTION("GOOGLETRANSLATE(B14205, ""en"", ""fa"")
"),"نکات کسب و کار کوچک")</f>
        <v>نکات کسب و کار کوچک</v>
      </c>
      <c r="G14205" s="1" t="str">
        <f>IFERROR(__xludf.DUMMYFUNCTION("GOOGLETRANSLATE(C14205, ""en"", ""fa"")
"),"یک برنامه بازاریابی ارجاعی برنامه ریزی کنید که مشتریان راضی شما را تشویق کند تا مشتریان جدید را به کسب و کار کوچک شما معرفی کنند و به آنها برای حمایت و وفاداری آنها پاداش دهید.")</f>
        <v>یک برنامه بازاریابی ارجاعی برنامه ریزی کنید که مشتریان راضی شما را تشویق کند تا مشتریان جدید را به کسب و کار کوچک شما معرفی کنند و به آنها برای حمایت و وفاداری آنها پاداش دهید.</v>
      </c>
      <c r="H14205" s="1"/>
      <c r="I14205" s="1"/>
      <c r="J14205" s="1"/>
      <c r="K14205" s="1"/>
      <c r="L14205" s="1"/>
      <c r="M14205" s="1"/>
      <c r="N14205" s="1"/>
      <c r="O14205" s="1"/>
      <c r="P14205" s="1"/>
      <c r="Q14205" s="1"/>
      <c r="R14205" s="1"/>
      <c r="S14205" s="1"/>
      <c r="T14205" s="1"/>
      <c r="U14205" s="1"/>
      <c r="V14205" s="1"/>
      <c r="W14205" s="1"/>
      <c r="X14205" s="1"/>
      <c r="Y14205" s="1"/>
      <c r="Z14205" s="1"/>
      <c r="AA14205" s="1"/>
      <c r="AB14205" s="1"/>
    </row>
    <row r="14206" ht="50.25" customHeight="1">
      <c r="A14206" s="12">
        <v>14202.0</v>
      </c>
      <c r="B14206" s="13" t="s">
        <v>13398</v>
      </c>
      <c r="C14206" s="14" t="s">
        <v>13440</v>
      </c>
      <c r="D14206" s="1"/>
      <c r="E14206" s="1"/>
      <c r="F14206" s="1" t="str">
        <f>IFERROR(__xludf.DUMMYFUNCTION("GOOGLETRANSLATE(B14206, ""en"", ""fa"")
"),"نکات کسب و کار کوچک")</f>
        <v>نکات کسب و کار کوچک</v>
      </c>
      <c r="G14206" s="1" t="str">
        <f>IFERROR(__xludf.DUMMYFUNCTION("GOOGLETRANSLATE(C14206, ""en"", ""fa"")
"),"پیش بینی جریان نقدی کسب و کار کوچک خود را برای درک و مدیریت جریانات ورودی و خروجی خود محاسبه کنید، و اطمینان حاصل کنید که بودجه کافی برای پوشش هزینه ها و سرمایه گذاری در رشد دارید.")</f>
        <v>پیش بینی جریان نقدی کسب و کار کوچک خود را برای درک و مدیریت جریانات ورودی و خروجی خود محاسبه کنید، و اطمینان حاصل کنید که بودجه کافی برای پوشش هزینه ها و سرمایه گذاری در رشد دارید.</v>
      </c>
      <c r="H14206" s="1"/>
      <c r="I14206" s="1"/>
      <c r="J14206" s="1"/>
      <c r="K14206" s="1"/>
      <c r="L14206" s="1"/>
      <c r="M14206" s="1"/>
      <c r="N14206" s="1"/>
      <c r="O14206" s="1"/>
      <c r="P14206" s="1"/>
      <c r="Q14206" s="1"/>
      <c r="R14206" s="1"/>
      <c r="S14206" s="1"/>
      <c r="T14206" s="1"/>
      <c r="U14206" s="1"/>
      <c r="V14206" s="1"/>
      <c r="W14206" s="1"/>
      <c r="X14206" s="1"/>
      <c r="Y14206" s="1"/>
      <c r="Z14206" s="1"/>
      <c r="AA14206" s="1"/>
      <c r="AB14206" s="1"/>
    </row>
    <row r="14207" ht="50.25" customHeight="1">
      <c r="A14207" s="12">
        <v>14203.0</v>
      </c>
      <c r="B14207" s="13" t="s">
        <v>13398</v>
      </c>
      <c r="C14207" s="14" t="s">
        <v>13441</v>
      </c>
      <c r="D14207" s="1"/>
      <c r="E14207" s="1"/>
      <c r="F14207" s="1" t="str">
        <f>IFERROR(__xludf.DUMMYFUNCTION("GOOGLETRANSLATE(B14207, ""en"", ""fa"")
"),"نکات کسب و کار کوچک")</f>
        <v>نکات کسب و کار کوچک</v>
      </c>
      <c r="G14207" s="1" t="str">
        <f>IFERROR(__xludf.DUMMYFUNCTION("GOOGLETRANSLATE(C14207, ""en"", ""fa"")
"),"مراحل ایجاد یک وبلاگ یا پلتفرم محتوای کسب و کار کوچک را خلاصه کنید، از جمله برنامه ریزی محتوا، ایجاد، تبلیغ و اندازه گیری تأثیر آن بر تعامل مخاطب.")</f>
        <v>مراحل ایجاد یک وبلاگ یا پلتفرم محتوای کسب و کار کوچک را خلاصه کنید، از جمله برنامه ریزی محتوا، ایجاد، تبلیغ و اندازه گیری تأثیر آن بر تعامل مخاطب.</v>
      </c>
      <c r="H14207" s="1"/>
      <c r="I14207" s="1"/>
      <c r="J14207" s="1"/>
      <c r="K14207" s="1"/>
      <c r="L14207" s="1"/>
      <c r="M14207" s="1"/>
      <c r="N14207" s="1"/>
      <c r="O14207" s="1"/>
      <c r="P14207" s="1"/>
      <c r="Q14207" s="1"/>
      <c r="R14207" s="1"/>
      <c r="S14207" s="1"/>
      <c r="T14207" s="1"/>
      <c r="U14207" s="1"/>
      <c r="V14207" s="1"/>
      <c r="W14207" s="1"/>
      <c r="X14207" s="1"/>
      <c r="Y14207" s="1"/>
      <c r="Z14207" s="1"/>
      <c r="AA14207" s="1"/>
      <c r="AB14207" s="1"/>
    </row>
    <row r="14208" ht="50.25" customHeight="1">
      <c r="A14208" s="12">
        <v>14204.0</v>
      </c>
      <c r="B14208" s="13" t="s">
        <v>13398</v>
      </c>
      <c r="C14208" s="14" t="s">
        <v>13442</v>
      </c>
      <c r="D14208" s="1"/>
      <c r="E14208" s="1"/>
      <c r="F14208" s="1" t="str">
        <f>IFERROR(__xludf.DUMMYFUNCTION("GOOGLETRANSLATE(B14208, ""en"", ""fa"")
"),"نکات کسب و کار کوچک")</f>
        <v>نکات کسب و کار کوچک</v>
      </c>
      <c r="G14208" s="1" t="str">
        <f>IFERROR(__xludf.DUMMYFUNCTION("GOOGLETRANSLATE(C14208, ""en"", ""fa"")
"),"با در نظر گرفتن مزایای بالقوه از نظر حفظ مشتری و افزایش فروش، هزینه و امکان اجرای یک برنامه وفاداری برای کسب و کار کوچک خود را برآورد کنید.")</f>
        <v>با در نظر گرفتن مزایای بالقوه از نظر حفظ مشتری و افزایش فروش، هزینه و امکان اجرای یک برنامه وفاداری برای کسب و کار کوچک خود را برآورد کنید.</v>
      </c>
      <c r="H14208" s="1"/>
      <c r="I14208" s="1"/>
      <c r="J14208" s="1"/>
      <c r="K14208" s="1"/>
      <c r="L14208" s="1"/>
      <c r="M14208" s="1"/>
      <c r="N14208" s="1"/>
      <c r="O14208" s="1"/>
      <c r="P14208" s="1"/>
      <c r="Q14208" s="1"/>
      <c r="R14208" s="1"/>
      <c r="S14208" s="1"/>
      <c r="T14208" s="1"/>
      <c r="U14208" s="1"/>
      <c r="V14208" s="1"/>
      <c r="W14208" s="1"/>
      <c r="X14208" s="1"/>
      <c r="Y14208" s="1"/>
      <c r="Z14208" s="1"/>
      <c r="AA14208" s="1"/>
      <c r="AB14208" s="1"/>
    </row>
    <row r="14209" ht="50.25" customHeight="1">
      <c r="A14209" s="12">
        <v>14205.0</v>
      </c>
      <c r="B14209" s="13" t="s">
        <v>13398</v>
      </c>
      <c r="C14209" s="14" t="s">
        <v>13443</v>
      </c>
      <c r="D14209" s="1"/>
      <c r="E14209" s="1"/>
      <c r="F14209" s="1" t="str">
        <f>IFERROR(__xludf.DUMMYFUNCTION("GOOGLETRANSLATE(B14209, ""en"", ""fa"")
"),"نکات کسب و کار کوچک")</f>
        <v>نکات کسب و کار کوچک</v>
      </c>
      <c r="G14209" s="1" t="str">
        <f>IFERROR(__xludf.DUMMYFUNCTION("GOOGLETRANSLATE(C14209, ""en"", ""fa"")
"),"یک برنامه آموزشی و توسعه جامع کارکنان را تنظیم کنید که به مهارت ها و دانش مورد نیاز برای هر نقش در کسب و کار کوچک شما می پردازد و رشد کارکنان را تقویت می کند.")</f>
        <v>یک برنامه آموزشی و توسعه جامع کارکنان را تنظیم کنید که به مهارت ها و دانش مورد نیاز برای هر نقش در کسب و کار کوچک شما می پردازد و رشد کارکنان را تقویت می کند.</v>
      </c>
      <c r="H14209" s="1"/>
      <c r="I14209" s="1"/>
      <c r="J14209" s="1"/>
      <c r="K14209" s="1"/>
      <c r="L14209" s="1"/>
      <c r="M14209" s="1"/>
      <c r="N14209" s="1"/>
      <c r="O14209" s="1"/>
      <c r="P14209" s="1"/>
      <c r="Q14209" s="1"/>
      <c r="R14209" s="1"/>
      <c r="S14209" s="1"/>
      <c r="T14209" s="1"/>
      <c r="U14209" s="1"/>
      <c r="V14209" s="1"/>
      <c r="W14209" s="1"/>
      <c r="X14209" s="1"/>
      <c r="Y14209" s="1"/>
      <c r="Z14209" s="1"/>
      <c r="AA14209" s="1"/>
      <c r="AB14209" s="1"/>
    </row>
    <row r="14210" ht="50.25" customHeight="1">
      <c r="A14210" s="12">
        <v>14206.0</v>
      </c>
      <c r="B14210" s="13" t="s">
        <v>13398</v>
      </c>
      <c r="C14210" s="14" t="s">
        <v>13444</v>
      </c>
      <c r="D14210" s="1"/>
      <c r="E14210" s="1"/>
      <c r="F14210" s="1" t="str">
        <f>IFERROR(__xludf.DUMMYFUNCTION("GOOGLETRANSLATE(B14210, ""en"", ""fa"")
"),"نکات کسب و کار کوچک")</f>
        <v>نکات کسب و کار کوچک</v>
      </c>
      <c r="G14210" s="1" t="str">
        <f>IFERROR(__xludf.DUMMYFUNCTION("GOOGLETRANSLATE(C14210, ""en"", ""fa"")
"),"مجوزها و مجوزهای لازم برای صنعت خاص یا نوع کسب و کار کوچک خود را فهرست کنید و از انطباق با مقررات محلی، ایالتی و فدرال اطمینان حاصل کنید.")</f>
        <v>مجوزها و مجوزهای لازم برای صنعت خاص یا نوع کسب و کار کوچک خود را فهرست کنید و از انطباق با مقررات محلی، ایالتی و فدرال اطمینان حاصل کنید.</v>
      </c>
      <c r="H14210" s="1"/>
      <c r="I14210" s="1"/>
      <c r="J14210" s="1"/>
      <c r="K14210" s="1"/>
      <c r="L14210" s="1"/>
      <c r="M14210" s="1"/>
      <c r="N14210" s="1"/>
      <c r="O14210" s="1"/>
      <c r="P14210" s="1"/>
      <c r="Q14210" s="1"/>
      <c r="R14210" s="1"/>
      <c r="S14210" s="1"/>
      <c r="T14210" s="1"/>
      <c r="U14210" s="1"/>
      <c r="V14210" s="1"/>
      <c r="W14210" s="1"/>
      <c r="X14210" s="1"/>
      <c r="Y14210" s="1"/>
      <c r="Z14210" s="1"/>
      <c r="AA14210" s="1"/>
      <c r="AB14210" s="1"/>
    </row>
    <row r="14211" ht="50.25" customHeight="1">
      <c r="A14211" s="12">
        <v>14207.0</v>
      </c>
      <c r="B14211" s="13" t="s">
        <v>13398</v>
      </c>
      <c r="C14211" s="14" t="s">
        <v>13445</v>
      </c>
      <c r="D14211" s="1"/>
      <c r="E14211" s="1"/>
      <c r="F14211" s="1" t="str">
        <f>IFERROR(__xludf.DUMMYFUNCTION("GOOGLETRANSLATE(B14211, ""en"", ""fa"")
"),"نکات کسب و کار کوچک")</f>
        <v>نکات کسب و کار کوچک</v>
      </c>
      <c r="G14211" s="1" t="str">
        <f>IFERROR(__xludf.DUMMYFUNCTION("GOOGLETRANSLATE(C14211, ""en"", ""fa"")
"),"اجزای ضروری یک سیستم مدیریت فروش و ارتباط با مشتری (CRM) موثر برای مشاغل کوچک، از جمله مدیریت سرنخ، سازمان تماس، و ردیابی خط لوله فروش را مشخص کنید.")</f>
        <v>اجزای ضروری یک سیستم مدیریت فروش و ارتباط با مشتری (CRM) موثر برای مشاغل کوچک، از جمله مدیریت سرنخ، سازمان تماس، و ردیابی خط لوله فروش را مشخص کنید.</v>
      </c>
      <c r="H14211" s="1"/>
      <c r="I14211" s="1"/>
      <c r="J14211" s="1"/>
      <c r="K14211" s="1"/>
      <c r="L14211" s="1"/>
      <c r="M14211" s="1"/>
      <c r="N14211" s="1"/>
      <c r="O14211" s="1"/>
      <c r="P14211" s="1"/>
      <c r="Q14211" s="1"/>
      <c r="R14211" s="1"/>
      <c r="S14211" s="1"/>
      <c r="T14211" s="1"/>
      <c r="U14211" s="1"/>
      <c r="V14211" s="1"/>
      <c r="W14211" s="1"/>
      <c r="X14211" s="1"/>
      <c r="Y14211" s="1"/>
      <c r="Z14211" s="1"/>
      <c r="AA14211" s="1"/>
      <c r="AB14211" s="1"/>
    </row>
    <row r="14212" ht="50.25" customHeight="1">
      <c r="A14212" s="12">
        <v>14208.0</v>
      </c>
      <c r="B14212" s="13" t="s">
        <v>13398</v>
      </c>
      <c r="C14212" s="14" t="s">
        <v>13446</v>
      </c>
      <c r="D14212" s="1"/>
      <c r="E14212" s="1"/>
      <c r="F14212" s="1" t="str">
        <f>IFERROR(__xludf.DUMMYFUNCTION("GOOGLETRANSLATE(B14212, ""en"", ""fa"")
"),"نکات کسب و کار کوچک")</f>
        <v>نکات کسب و کار کوچک</v>
      </c>
      <c r="G14212" s="1" t="str">
        <f>IFERROR(__xludf.DUMMYFUNCTION("GOOGLETRANSLATE(C14212, ""en"", ""fa"")
"),"با در نظر گرفتن عواملی مانند تحقیقات بازار، تجزیه و تحلیل مخاطبان هدف و ارزیابی رقابت، یک استراتژی توسعه بازار را برای رشد کسب و کار کوچک خود فراتر از بازار فعلی برنامه ریزی کنید.")</f>
        <v>با در نظر گرفتن عواملی مانند تحقیقات بازار، تجزیه و تحلیل مخاطبان هدف و ارزیابی رقابت، یک استراتژی توسعه بازار را برای رشد کسب و کار کوچک خود فراتر از بازار فعلی برنامه ریزی کنید.</v>
      </c>
      <c r="H14212" s="1"/>
      <c r="I14212" s="1"/>
      <c r="J14212" s="1"/>
      <c r="K14212" s="1"/>
      <c r="L14212" s="1"/>
      <c r="M14212" s="1"/>
      <c r="N14212" s="1"/>
      <c r="O14212" s="1"/>
      <c r="P14212" s="1"/>
      <c r="Q14212" s="1"/>
      <c r="R14212" s="1"/>
      <c r="S14212" s="1"/>
      <c r="T14212" s="1"/>
      <c r="U14212" s="1"/>
      <c r="V14212" s="1"/>
      <c r="W14212" s="1"/>
      <c r="X14212" s="1"/>
      <c r="Y14212" s="1"/>
      <c r="Z14212" s="1"/>
      <c r="AA14212" s="1"/>
      <c r="AB14212" s="1"/>
    </row>
    <row r="14213" ht="50.25" customHeight="1">
      <c r="A14213" s="12">
        <v>14209.0</v>
      </c>
      <c r="B14213" s="13" t="s">
        <v>13398</v>
      </c>
      <c r="C14213" s="14" t="s">
        <v>13447</v>
      </c>
      <c r="D14213" s="1"/>
      <c r="E14213" s="1"/>
      <c r="F14213" s="1" t="str">
        <f>IFERROR(__xludf.DUMMYFUNCTION("GOOGLETRANSLATE(B14213, ""en"", ""fa"")
"),"نکات کسب و کار کوچک")</f>
        <v>نکات کسب و کار کوچک</v>
      </c>
      <c r="G14213" s="1" t="str">
        <f>IFERROR(__xludf.DUMMYFUNCTION("GOOGLETRANSLATE(C14213, ""en"", ""fa"")
"),"یک استراتژی مدیریت جریان نقدی ابداع کنید که به شما کمک می کند ذخایر نقدی سالم را حفظ کنید، حساب های پرداختنی و دریافتنی را مدیریت کنید و به طور موثر نوسانات فصلی را مدیریت کنید.")</f>
        <v>یک استراتژی مدیریت جریان نقدی ابداع کنید که به شما کمک می کند ذخایر نقدی سالم را حفظ کنید، حساب های پرداختنی و دریافتنی را مدیریت کنید و به طور موثر نوسانات فصلی را مدیریت کنید.</v>
      </c>
      <c r="H14213" s="1"/>
      <c r="I14213" s="1"/>
      <c r="J14213" s="1"/>
      <c r="K14213" s="1"/>
      <c r="L14213" s="1"/>
      <c r="M14213" s="1"/>
      <c r="N14213" s="1"/>
      <c r="O14213" s="1"/>
      <c r="P14213" s="1"/>
      <c r="Q14213" s="1"/>
      <c r="R14213" s="1"/>
      <c r="S14213" s="1"/>
      <c r="T14213" s="1"/>
      <c r="U14213" s="1"/>
      <c r="V14213" s="1"/>
      <c r="W14213" s="1"/>
      <c r="X14213" s="1"/>
      <c r="Y14213" s="1"/>
      <c r="Z14213" s="1"/>
      <c r="AA14213" s="1"/>
      <c r="AB14213" s="1"/>
    </row>
    <row r="14214" ht="50.25" customHeight="1">
      <c r="A14214" s="12">
        <v>14210.0</v>
      </c>
      <c r="B14214" s="13" t="s">
        <v>13398</v>
      </c>
      <c r="C14214" s="14" t="s">
        <v>13448</v>
      </c>
      <c r="D14214" s="1"/>
      <c r="E14214" s="1"/>
      <c r="F14214" s="1" t="str">
        <f>IFERROR(__xludf.DUMMYFUNCTION("GOOGLETRANSLATE(B14214, ""en"", ""fa"")
"),"نکات کسب و کار کوچک")</f>
        <v>نکات کسب و کار کوچک</v>
      </c>
      <c r="G14214" s="1" t="str">
        <f>IFERROR(__xludf.DUMMYFUNCTION("GOOGLETRANSLATE(C14214, ""en"", ""fa"")
"),"یک طرح ارتباطی با مشتری تهیه کنید که کانال ها و نقاط تماس مختلفی را که برای تعامل با مشتریان خود استفاده خواهید کرد، از جمله خبرنامه های ایمیل، رسانه های اجتماعی و پلتفرم های پشتیبانی مشتری را مشخص می کند.")</f>
        <v>یک طرح ارتباطی با مشتری تهیه کنید که کانال ها و نقاط تماس مختلفی را که برای تعامل با مشتریان خود استفاده خواهید کرد، از جمله خبرنامه های ایمیل، رسانه های اجتماعی و پلتفرم های پشتیبانی مشتری را مشخص می کند.</v>
      </c>
      <c r="H14214" s="1"/>
      <c r="I14214" s="1"/>
      <c r="J14214" s="1"/>
      <c r="K14214" s="1"/>
      <c r="L14214" s="1"/>
      <c r="M14214" s="1"/>
      <c r="N14214" s="1"/>
      <c r="O14214" s="1"/>
      <c r="P14214" s="1"/>
      <c r="Q14214" s="1"/>
      <c r="R14214" s="1"/>
      <c r="S14214" s="1"/>
      <c r="T14214" s="1"/>
      <c r="U14214" s="1"/>
      <c r="V14214" s="1"/>
      <c r="W14214" s="1"/>
      <c r="X14214" s="1"/>
      <c r="Y14214" s="1"/>
      <c r="Z14214" s="1"/>
      <c r="AA14214" s="1"/>
      <c r="AB14214" s="1"/>
    </row>
    <row r="14215" ht="50.25" customHeight="1">
      <c r="A14215" s="12">
        <v>14211.0</v>
      </c>
      <c r="B14215" s="13" t="s">
        <v>13398</v>
      </c>
      <c r="C14215" s="14" t="s">
        <v>13449</v>
      </c>
      <c r="D14215" s="1"/>
      <c r="E14215" s="1"/>
      <c r="F14215" s="1" t="str">
        <f>IFERROR(__xludf.DUMMYFUNCTION("GOOGLETRANSLATE(B14215, ""en"", ""fa"")
"),"نکات کسب و کار کوچک")</f>
        <v>نکات کسب و کار کوچک</v>
      </c>
      <c r="G14215" s="1" t="str">
        <f>IFERROR(__xludf.DUMMYFUNCTION("GOOGLETRANSLATE(C14215, ""en"", ""fa"")
"),"[مراحل کلیدی برای راه اندازی یک کسب و کار کوچک]، مانند [تدوین طرح کسب و کار]، [ثبت کسب و کار]، و [کسب مجوزها و مجوزهای لازم] چیست؟")</f>
        <v>[مراحل کلیدی برای راه اندازی یک کسب و کار کوچک]، مانند [تدوین طرح کسب و کار]، [ثبت کسب و کار]، و [کسب مجوزها و مجوزهای لازم] چیست؟</v>
      </c>
      <c r="H14215" s="1"/>
      <c r="I14215" s="1"/>
      <c r="J14215" s="1"/>
      <c r="K14215" s="1"/>
      <c r="L14215" s="1"/>
      <c r="M14215" s="1"/>
      <c r="N14215" s="1"/>
      <c r="O14215" s="1"/>
      <c r="P14215" s="1"/>
      <c r="Q14215" s="1"/>
      <c r="R14215" s="1"/>
      <c r="S14215" s="1"/>
      <c r="T14215" s="1"/>
      <c r="U14215" s="1"/>
      <c r="V14215" s="1"/>
      <c r="W14215" s="1"/>
      <c r="X14215" s="1"/>
      <c r="Y14215" s="1"/>
      <c r="Z14215" s="1"/>
      <c r="AA14215" s="1"/>
      <c r="AB14215" s="1"/>
    </row>
    <row r="14216" ht="50.25" customHeight="1">
      <c r="A14216" s="12">
        <v>14212.0</v>
      </c>
      <c r="B14216" s="13" t="s">
        <v>13398</v>
      </c>
      <c r="C14216" s="14" t="s">
        <v>13450</v>
      </c>
      <c r="D14216" s="1"/>
      <c r="E14216" s="1"/>
      <c r="F14216" s="1" t="str">
        <f>IFERROR(__xludf.DUMMYFUNCTION("GOOGLETRANSLATE(B14216, ""en"", ""fa"")
"),"نکات کسب و کار کوچک")</f>
        <v>نکات کسب و کار کوچک</v>
      </c>
      <c r="G14216" s="1" t="str">
        <f>IFERROR(__xludf.DUMMYFUNCTION("GOOGLETRANSLATE(C14216, ""en"", ""fa"")
"),"چگونه می توانم [بازار هدفم را تحقیق و شناسایی کنم] تا [استراتژی های بازاریابی مؤثر توسعه دهم] و [شانس موفقیت خود را بهبود بخشم]؟")</f>
        <v>چگونه می توانم [بازار هدفم را تحقیق و شناسایی کنم] تا [استراتژی های بازاریابی مؤثر توسعه دهم] و [شانس موفقیت خود را بهبود بخشم]؟</v>
      </c>
      <c r="H14216" s="1"/>
      <c r="I14216" s="1"/>
      <c r="J14216" s="1"/>
      <c r="K14216" s="1"/>
      <c r="L14216" s="1"/>
      <c r="M14216" s="1"/>
      <c r="N14216" s="1"/>
      <c r="O14216" s="1"/>
      <c r="P14216" s="1"/>
      <c r="Q14216" s="1"/>
      <c r="R14216" s="1"/>
      <c r="S14216" s="1"/>
      <c r="T14216" s="1"/>
      <c r="U14216" s="1"/>
      <c r="V14216" s="1"/>
      <c r="W14216" s="1"/>
      <c r="X14216" s="1"/>
      <c r="Y14216" s="1"/>
      <c r="Z14216" s="1"/>
      <c r="AA14216" s="1"/>
      <c r="AB14216" s="1"/>
    </row>
    <row r="14217" ht="50.25" customHeight="1">
      <c r="A14217" s="12">
        <v>14213.0</v>
      </c>
      <c r="B14217" s="13" t="s">
        <v>13398</v>
      </c>
      <c r="C14217" s="14" t="s">
        <v>13451</v>
      </c>
      <c r="D14217" s="1"/>
      <c r="E14217" s="1"/>
      <c r="F14217" s="1" t="str">
        <f>IFERROR(__xludf.DUMMYFUNCTION("GOOGLETRANSLATE(B14217, ""en"", ""fa"")
"),"نکات کسب و کار کوچک")</f>
        <v>نکات کسب و کار کوچک</v>
      </c>
      <c r="G14217" s="1" t="str">
        <f>IFERROR(__xludf.DUMMYFUNCTION("GOOGLETRANSLATE(C14217, ""en"", ""fa"")
"),"برخی [نکات برای ایجاد هویت برند قوی]، مانند [طراحی لوگو]، [توسعه بیانیه ماموریت]، و [ایجاد یک سبک بصری ثابت] چیست؟")</f>
        <v>برخی [نکات برای ایجاد هویت برند قوی]، مانند [طراحی لوگو]، [توسعه بیانیه ماموریت]، و [ایجاد یک سبک بصری ثابت] چیست؟</v>
      </c>
      <c r="H14217" s="1"/>
      <c r="I14217" s="1"/>
      <c r="J14217" s="1"/>
      <c r="K14217" s="1"/>
      <c r="L14217" s="1"/>
      <c r="M14217" s="1"/>
      <c r="N14217" s="1"/>
      <c r="O14217" s="1"/>
      <c r="P14217" s="1"/>
      <c r="Q14217" s="1"/>
      <c r="R14217" s="1"/>
      <c r="S14217" s="1"/>
      <c r="T14217" s="1"/>
      <c r="U14217" s="1"/>
      <c r="V14217" s="1"/>
      <c r="W14217" s="1"/>
      <c r="X14217" s="1"/>
      <c r="Y14217" s="1"/>
      <c r="Z14217" s="1"/>
      <c r="AA14217" s="1"/>
      <c r="AB14217" s="1"/>
    </row>
    <row r="14218" ht="50.25" customHeight="1">
      <c r="A14218" s="12">
        <v>14214.0</v>
      </c>
      <c r="B14218" s="13" t="s">
        <v>13398</v>
      </c>
      <c r="C14218" s="14" t="s">
        <v>13452</v>
      </c>
      <c r="D14218" s="1"/>
      <c r="E14218" s="1"/>
      <c r="F14218" s="1" t="str">
        <f>IFERROR(__xludf.DUMMYFUNCTION("GOOGLETRANSLATE(B14218, ""en"", ""fa"")
"),"نکات کسب و کار کوچک")</f>
        <v>نکات کسب و کار کوچک</v>
      </c>
      <c r="G14218" s="1" t="str">
        <f>IFERROR(__xludf.DUMMYFUNCTION("GOOGLETRANSLATE(C14218, ""en"", ""fa"")
"),"چگونه می‌توانم از طریق [رسانه‌های اجتماعی]، [طراحی وب‌سایت] و [بهینه‌سازی موتورهای جستجو] [حضور آنلاین قوی ایجاد کنم] تا [به مشتریان بیشتری دسترسی پیدا کنم] و [نام تجاری خود را بسازم]؟")</f>
        <v>چگونه می‌توانم از طریق [رسانه‌های اجتماعی]، [طراحی وب‌سایت] و [بهینه‌سازی موتورهای جستجو] [حضور آنلاین قوی ایجاد کنم] تا [به مشتریان بیشتری دسترسی پیدا کنم] و [نام تجاری خود را بسازم]؟</v>
      </c>
      <c r="H14218" s="1"/>
      <c r="I14218" s="1"/>
      <c r="J14218" s="1"/>
      <c r="K14218" s="1"/>
      <c r="L14218" s="1"/>
      <c r="M14218" s="1"/>
      <c r="N14218" s="1"/>
      <c r="O14218" s="1"/>
      <c r="P14218" s="1"/>
      <c r="Q14218" s="1"/>
      <c r="R14218" s="1"/>
      <c r="S14218" s="1"/>
      <c r="T14218" s="1"/>
      <c r="U14218" s="1"/>
      <c r="V14218" s="1"/>
      <c r="W14218" s="1"/>
      <c r="X14218" s="1"/>
      <c r="Y14218" s="1"/>
      <c r="Z14218" s="1"/>
      <c r="AA14218" s="1"/>
      <c r="AB14218" s="1"/>
    </row>
    <row r="14219" ht="50.25" customHeight="1">
      <c r="A14219" s="12">
        <v>14215.0</v>
      </c>
      <c r="B14219" s="13" t="s">
        <v>13398</v>
      </c>
      <c r="C14219" s="14" t="s">
        <v>13453</v>
      </c>
      <c r="D14219" s="1"/>
      <c r="E14219" s="1"/>
      <c r="F14219" s="1" t="str">
        <f>IFERROR(__xludf.DUMMYFUNCTION("GOOGLETRANSLATE(B14219, ""en"", ""fa"")
"),"نکات کسب و کار کوچک")</f>
        <v>نکات کسب و کار کوچک</v>
      </c>
      <c r="G14219" s="1" t="str">
        <f>IFERROR(__xludf.DUMMYFUNCTION("GOOGLETRANSLATE(C14219, ""en"", ""fa"")
"),"برخی [نکاتی برای مدیریت امور مالی] به عنوان یک صاحب کسب و کار کوچک، مانند [نگهداری سوابق دقیق]، [مدیریت جریان نقدی]، و [ایجاد بودجه] چیست؟")</f>
        <v>برخی [نکاتی برای مدیریت امور مالی] به عنوان یک صاحب کسب و کار کوچک، مانند [نگهداری سوابق دقیق]، [مدیریت جریان نقدی]، و [ایجاد بودجه] چیست؟</v>
      </c>
      <c r="H14219" s="1"/>
      <c r="I14219" s="1"/>
      <c r="J14219" s="1"/>
      <c r="K14219" s="1"/>
      <c r="L14219" s="1"/>
      <c r="M14219" s="1"/>
      <c r="N14219" s="1"/>
      <c r="O14219" s="1"/>
      <c r="P14219" s="1"/>
      <c r="Q14219" s="1"/>
      <c r="R14219" s="1"/>
      <c r="S14219" s="1"/>
      <c r="T14219" s="1"/>
      <c r="U14219" s="1"/>
      <c r="V14219" s="1"/>
      <c r="W14219" s="1"/>
      <c r="X14219" s="1"/>
      <c r="Y14219" s="1"/>
      <c r="Z14219" s="1"/>
      <c r="AA14219" s="1"/>
      <c r="AB14219" s="1"/>
    </row>
    <row r="14220" ht="50.25" customHeight="1">
      <c r="A14220" s="12">
        <v>14216.0</v>
      </c>
      <c r="B14220" s="13" t="s">
        <v>13398</v>
      </c>
      <c r="C14220" s="14" t="s">
        <v>13454</v>
      </c>
      <c r="D14220" s="1"/>
      <c r="E14220" s="1"/>
      <c r="F14220" s="1" t="str">
        <f>IFERROR(__xludf.DUMMYFUNCTION("GOOGLETRANSLATE(B14220, ""en"", ""fa"")
"),"نکات کسب و کار کوچک")</f>
        <v>نکات کسب و کار کوچک</v>
      </c>
      <c r="G14220" s="1" t="str">
        <f>IFERROR(__xludf.DUMMYFUNCTION("GOOGLETRANSLATE(C14220, ""en"", ""fa"")
"),"چگونه می توانم از طریق [تبلیغات هدفمند]، [تبلیغات] و [بازاریابی محتوا] برای [جذب مشتریان جدید] و [ایجاد وفاداری به برند] [کمپین های بازاریابی مؤثر ایجاد کنم]؟")</f>
        <v>چگونه می توانم از طریق [تبلیغات هدفمند]، [تبلیغات] و [بازاریابی محتوا] برای [جذب مشتریان جدید] و [ایجاد وفاداری به برند] [کمپین های بازاریابی مؤثر ایجاد کنم]؟</v>
      </c>
      <c r="H14220" s="1"/>
      <c r="I14220" s="1"/>
      <c r="J14220" s="1"/>
      <c r="K14220" s="1"/>
      <c r="L14220" s="1"/>
      <c r="M14220" s="1"/>
      <c r="N14220" s="1"/>
      <c r="O14220" s="1"/>
      <c r="P14220" s="1"/>
      <c r="Q14220" s="1"/>
      <c r="R14220" s="1"/>
      <c r="S14220" s="1"/>
      <c r="T14220" s="1"/>
      <c r="U14220" s="1"/>
      <c r="V14220" s="1"/>
      <c r="W14220" s="1"/>
      <c r="X14220" s="1"/>
      <c r="Y14220" s="1"/>
      <c r="Z14220" s="1"/>
      <c r="AA14220" s="1"/>
      <c r="AB14220" s="1"/>
    </row>
    <row r="14221" ht="50.25" customHeight="1">
      <c r="A14221" s="12">
        <v>14217.0</v>
      </c>
      <c r="B14221" s="13" t="s">
        <v>13398</v>
      </c>
      <c r="C14221" s="14" t="s">
        <v>13455</v>
      </c>
      <c r="D14221" s="1"/>
      <c r="E14221" s="1"/>
      <c r="F14221" s="1" t="str">
        <f>IFERROR(__xludf.DUMMYFUNCTION("GOOGLETRANSLATE(B14221, ""en"", ""fa"")
"),"نکات کسب و کار کوچک")</f>
        <v>نکات کسب و کار کوچک</v>
      </c>
      <c r="G14221" s="1" t="str">
        <f>IFERROR(__xludf.DUMMYFUNCTION("GOOGLETRANSLATE(C14221, ""en"", ""fa"")
"),"برخی از [راهبردهای ایجاد روابط با مشتری] از طریق [خدمات عالی به مشتریان]، [برنامه های وفاداری] و [تجارب شخصی شده] چیست؟")</f>
        <v>برخی از [راهبردهای ایجاد روابط با مشتری] از طریق [خدمات عالی به مشتریان]، [برنامه های وفاداری] و [تجارب شخصی شده] چیست؟</v>
      </c>
      <c r="H14221" s="1"/>
      <c r="I14221" s="1"/>
      <c r="J14221" s="1"/>
      <c r="K14221" s="1"/>
      <c r="L14221" s="1"/>
      <c r="M14221" s="1"/>
      <c r="N14221" s="1"/>
      <c r="O14221" s="1"/>
      <c r="P14221" s="1"/>
      <c r="Q14221" s="1"/>
      <c r="R14221" s="1"/>
      <c r="S14221" s="1"/>
      <c r="T14221" s="1"/>
      <c r="U14221" s="1"/>
      <c r="V14221" s="1"/>
      <c r="W14221" s="1"/>
      <c r="X14221" s="1"/>
      <c r="Y14221" s="1"/>
      <c r="Z14221" s="1"/>
      <c r="AA14221" s="1"/>
      <c r="AB14221" s="1"/>
    </row>
    <row r="14222" ht="50.25" customHeight="1">
      <c r="A14222" s="12">
        <v>14218.0</v>
      </c>
      <c r="B14222" s="13" t="s">
        <v>13398</v>
      </c>
      <c r="C14222" s="14" t="s">
        <v>13456</v>
      </c>
      <c r="D14222" s="1"/>
      <c r="E14222" s="1"/>
      <c r="F14222" s="1" t="str">
        <f>IFERROR(__xludf.DUMMYFUNCTION("GOOGLETRANSLATE(B14222, ""en"", ""fa"")
"),"نکات کسب و کار کوچک")</f>
        <v>نکات کسب و کار کوچک</v>
      </c>
      <c r="G14222" s="1" t="str">
        <f>IFERROR(__xludf.DUMMYFUNCTION("GOOGLETRANSLATE(C14222, ""en"", ""fa"")
"),"چگونه می توانم از طریق [درک نیازهای مشتری]، [فروش بیش از حد] و [فروش متقابل] [استراتژی های فروش مؤثر ایجاد کنم] تا [افزایش درآمد]؟")</f>
        <v>چگونه می توانم از طریق [درک نیازهای مشتری]، [فروش بیش از حد] و [فروش متقابل] [استراتژی های فروش مؤثر ایجاد کنم] تا [افزایش درآمد]؟</v>
      </c>
      <c r="H14222" s="1"/>
      <c r="I14222" s="1"/>
      <c r="J14222" s="1"/>
      <c r="K14222" s="1"/>
      <c r="L14222" s="1"/>
      <c r="M14222" s="1"/>
      <c r="N14222" s="1"/>
      <c r="O14222" s="1"/>
      <c r="P14222" s="1"/>
      <c r="Q14222" s="1"/>
      <c r="R14222" s="1"/>
      <c r="S14222" s="1"/>
      <c r="T14222" s="1"/>
      <c r="U14222" s="1"/>
      <c r="V14222" s="1"/>
      <c r="W14222" s="1"/>
      <c r="X14222" s="1"/>
      <c r="Y14222" s="1"/>
      <c r="Z14222" s="1"/>
      <c r="AA14222" s="1"/>
      <c r="AB14222" s="1"/>
    </row>
    <row r="14223" ht="50.25" customHeight="1">
      <c r="A14223" s="12">
        <v>14219.0</v>
      </c>
      <c r="B14223" s="13" t="s">
        <v>13398</v>
      </c>
      <c r="C14223" s="14" t="s">
        <v>13457</v>
      </c>
      <c r="D14223" s="1"/>
      <c r="E14223" s="1"/>
      <c r="F14223" s="1" t="str">
        <f>IFERROR(__xludf.DUMMYFUNCTION("GOOGLETRANSLATE(B14223, ""en"", ""fa"")
"),"نکات کسب و کار کوچک")</f>
        <v>نکات کسب و کار کوچک</v>
      </c>
      <c r="G14223" s="1" t="str">
        <f>IFERROR(__xludf.DUMMYFUNCTION("GOOGLETRANSLATE(C14223, ""en"", ""fa"")
"),"برخی [نکات برای مدیریت کارکنان]، مانند [استخدام افراد مناسب]، [ارائه آموزش و توسعه]، و [حفظ فرهنگ شرکت مثبت] چیست؟")</f>
        <v>برخی [نکات برای مدیریت کارکنان]، مانند [استخدام افراد مناسب]، [ارائه آموزش و توسعه]، و [حفظ فرهنگ شرکت مثبت] چیست؟</v>
      </c>
      <c r="H14223" s="1"/>
      <c r="I14223" s="1"/>
      <c r="J14223" s="1"/>
      <c r="K14223" s="1"/>
      <c r="L14223" s="1"/>
      <c r="M14223" s="1"/>
      <c r="N14223" s="1"/>
      <c r="O14223" s="1"/>
      <c r="P14223" s="1"/>
      <c r="Q14223" s="1"/>
      <c r="R14223" s="1"/>
      <c r="S14223" s="1"/>
      <c r="T14223" s="1"/>
      <c r="U14223" s="1"/>
      <c r="V14223" s="1"/>
      <c r="W14223" s="1"/>
      <c r="X14223" s="1"/>
      <c r="Y14223" s="1"/>
      <c r="Z14223" s="1"/>
      <c r="AA14223" s="1"/>
      <c r="AB14223" s="1"/>
    </row>
    <row r="14224" ht="50.25" customHeight="1">
      <c r="A14224" s="12">
        <v>14220.0</v>
      </c>
      <c r="B14224" s="13" t="s">
        <v>13398</v>
      </c>
      <c r="C14224" s="14" t="s">
        <v>13458</v>
      </c>
      <c r="D14224" s="1"/>
      <c r="E14224" s="1"/>
      <c r="F14224" s="1" t="str">
        <f>IFERROR(__xludf.DUMMYFUNCTION("GOOGLETRANSLATE(B14224, ""en"", ""fa"")
"),"نکات کسب و کار کوچک")</f>
        <v>نکات کسب و کار کوچک</v>
      </c>
      <c r="G14224" s="1" t="str">
        <f>IFERROR(__xludf.DUMMYFUNCTION("GOOGLETRANSLATE(C14224, ""en"", ""fa"")
"),"چگونه می‌توانم [از فناوری برای بهبود عملیات تجاری استفاده کنم]، مانند [پیاده‌سازی ابزارهای بهره‌وری]، [استفاده از تجزیه و تحلیل داده‌ها]، و [بهینه‌سازی فرآیندها]؟")</f>
        <v>چگونه می‌توانم [از فناوری برای بهبود عملیات تجاری استفاده کنم]، مانند [پیاده‌سازی ابزارهای بهره‌وری]، [استفاده از تجزیه و تحلیل داده‌ها]، و [بهینه‌سازی فرآیندها]؟</v>
      </c>
      <c r="H14224" s="1"/>
      <c r="I14224" s="1"/>
      <c r="J14224" s="1"/>
      <c r="K14224" s="1"/>
      <c r="L14224" s="1"/>
      <c r="M14224" s="1"/>
      <c r="N14224" s="1"/>
      <c r="O14224" s="1"/>
      <c r="P14224" s="1"/>
      <c r="Q14224" s="1"/>
      <c r="R14224" s="1"/>
      <c r="S14224" s="1"/>
      <c r="T14224" s="1"/>
      <c r="U14224" s="1"/>
      <c r="V14224" s="1"/>
      <c r="W14224" s="1"/>
      <c r="X14224" s="1"/>
      <c r="Y14224" s="1"/>
      <c r="Z14224" s="1"/>
      <c r="AA14224" s="1"/>
      <c r="AB14224" s="1"/>
    </row>
    <row r="14225" ht="50.25" customHeight="1">
      <c r="A14225" s="12">
        <v>14221.0</v>
      </c>
      <c r="B14225" s="13" t="s">
        <v>13398</v>
      </c>
      <c r="C14225" s="14" t="s">
        <v>13459</v>
      </c>
      <c r="D14225" s="1"/>
      <c r="E14225" s="1"/>
      <c r="F14225" s="1" t="str">
        <f>IFERROR(__xludf.DUMMYFUNCTION("GOOGLETRANSLATE(B14225, ""en"", ""fa"")
"),"نکات کسب و کار کوچک")</f>
        <v>نکات کسب و کار کوچک</v>
      </c>
      <c r="G14225" s="1" t="str">
        <f>IFERROR(__xludf.DUMMYFUNCTION("GOOGLETRANSLATE(C14225, ""en"", ""fa"")
"),"[نکاتی برای شبکه سازی و ایجاد روابط تجاری]، مانند [حضور در رویدادها]، [پیوستن به سازمان های حرفه ای]، و [دسترسی به شرکای بالقوه] چیست؟")</f>
        <v>[نکاتی برای شبکه سازی و ایجاد روابط تجاری]، مانند [حضور در رویدادها]، [پیوستن به سازمان های حرفه ای]، و [دسترسی به شرکای بالقوه] چیست؟</v>
      </c>
      <c r="H14225" s="1"/>
      <c r="I14225" s="1"/>
      <c r="J14225" s="1"/>
      <c r="K14225" s="1"/>
      <c r="L14225" s="1"/>
      <c r="M14225" s="1"/>
      <c r="N14225" s="1"/>
      <c r="O14225" s="1"/>
      <c r="P14225" s="1"/>
      <c r="Q14225" s="1"/>
      <c r="R14225" s="1"/>
      <c r="S14225" s="1"/>
      <c r="T14225" s="1"/>
      <c r="U14225" s="1"/>
      <c r="V14225" s="1"/>
      <c r="W14225" s="1"/>
      <c r="X14225" s="1"/>
      <c r="Y14225" s="1"/>
      <c r="Z14225" s="1"/>
      <c r="AA14225" s="1"/>
      <c r="AB14225" s="1"/>
    </row>
    <row r="14226" ht="50.25" customHeight="1">
      <c r="A14226" s="12">
        <v>14222.0</v>
      </c>
      <c r="B14226" s="13" t="s">
        <v>13398</v>
      </c>
      <c r="C14226" s="14" t="s">
        <v>13460</v>
      </c>
      <c r="D14226" s="1"/>
      <c r="E14226" s="1"/>
      <c r="F14226" s="1" t="str">
        <f>IFERROR(__xludf.DUMMYFUNCTION("GOOGLETRANSLATE(B14226, ""en"", ""fa"")
"),"نکات کسب و کار کوچک")</f>
        <v>نکات کسب و کار کوچک</v>
      </c>
      <c r="G14226" s="1" t="str">
        <f>IFERROR(__xludf.DUMMYFUNCTION("GOOGLETRANSLATE(C14226, ""en"", ""fa"")
"),"چگونه می توانم از طریق [تنظیم هدف هوشمند]، [پیگیری پیشرفت] و [بازنگری استراتژی ها] [اهداف کسب و کار را تنظیم کنم و به آنها برسم؟")</f>
        <v>چگونه می توانم از طریق [تنظیم هدف هوشمند]، [پیگیری پیشرفت] و [بازنگری استراتژی ها] [اهداف کسب و کار را تنظیم کنم و به آنها برسم؟</v>
      </c>
      <c r="H14226" s="1"/>
      <c r="I14226" s="1"/>
      <c r="J14226" s="1"/>
      <c r="K14226" s="1"/>
      <c r="L14226" s="1"/>
      <c r="M14226" s="1"/>
      <c r="N14226" s="1"/>
      <c r="O14226" s="1"/>
      <c r="P14226" s="1"/>
      <c r="Q14226" s="1"/>
      <c r="R14226" s="1"/>
      <c r="S14226" s="1"/>
      <c r="T14226" s="1"/>
      <c r="U14226" s="1"/>
      <c r="V14226" s="1"/>
      <c r="W14226" s="1"/>
      <c r="X14226" s="1"/>
      <c r="Y14226" s="1"/>
      <c r="Z14226" s="1"/>
      <c r="AA14226" s="1"/>
      <c r="AB14226" s="1"/>
    </row>
    <row r="14227" ht="50.25" customHeight="1">
      <c r="A14227" s="12">
        <v>14223.0</v>
      </c>
      <c r="B14227" s="13" t="s">
        <v>13398</v>
      </c>
      <c r="C14227" s="14" t="s">
        <v>13461</v>
      </c>
      <c r="D14227" s="1"/>
      <c r="E14227" s="1"/>
      <c r="F14227" s="1" t="str">
        <f>IFERROR(__xludf.DUMMYFUNCTION("GOOGLETRANSLATE(B14227, ""en"", ""fa"")
"),"نکات کسب و کار کوچک")</f>
        <v>نکات کسب و کار کوچک</v>
      </c>
      <c r="G14227" s="1" t="str">
        <f>IFERROR(__xludf.DUMMYFUNCTION("GOOGLETRANSLATE(C14227, ""en"", ""fa"")
"),"[نکاتی برای مدیریت موجودی] و [مدیریت زنجیره تامین]، مانند [بهینه سازی سطوح موجودی]، [مذاکره با تامین کنندگان]، و [پیاده سازی لجستیک کارآمد] چیست؟")</f>
        <v>[نکاتی برای مدیریت موجودی] و [مدیریت زنجیره تامین]، مانند [بهینه سازی سطوح موجودی]، [مذاکره با تامین کنندگان]، و [پیاده سازی لجستیک کارآمد] چیست؟</v>
      </c>
      <c r="H14227" s="1"/>
      <c r="I14227" s="1"/>
      <c r="J14227" s="1"/>
      <c r="K14227" s="1"/>
      <c r="L14227" s="1"/>
      <c r="M14227" s="1"/>
      <c r="N14227" s="1"/>
      <c r="O14227" s="1"/>
      <c r="P14227" s="1"/>
      <c r="Q14227" s="1"/>
      <c r="R14227" s="1"/>
      <c r="S14227" s="1"/>
      <c r="T14227" s="1"/>
      <c r="U14227" s="1"/>
      <c r="V14227" s="1"/>
      <c r="W14227" s="1"/>
      <c r="X14227" s="1"/>
      <c r="Y14227" s="1"/>
      <c r="Z14227" s="1"/>
      <c r="AA14227" s="1"/>
      <c r="AB14227" s="1"/>
    </row>
    <row r="14228" ht="50.25" customHeight="1">
      <c r="A14228" s="12">
        <v>14224.0</v>
      </c>
      <c r="B14228" s="13" t="s">
        <v>13398</v>
      </c>
      <c r="C14228" s="14" t="s">
        <v>13462</v>
      </c>
      <c r="D14228" s="1"/>
      <c r="E14228" s="1"/>
      <c r="F14228" s="1" t="str">
        <f>IFERROR(__xludf.DUMMYFUNCTION("GOOGLETRANSLATE(B14228, ""en"", ""fa"")
"),"نکات کسب و کار کوچک")</f>
        <v>نکات کسب و کار کوچک</v>
      </c>
      <c r="G14228" s="1" t="str">
        <f>IFERROR(__xludf.DUMMYFUNCTION("GOOGLETRANSLATE(C14228, ""en"", ""fa"")
"),"چگونه می توانم [از بازخورد مشتری] برای [بهبود محصولات و خدمات] و [حفظ رضایت مشتری] استفاده کنم؟")</f>
        <v>چگونه می توانم [از بازخورد مشتری] برای [بهبود محصولات و خدمات] و [حفظ رضایت مشتری] استفاده کنم؟</v>
      </c>
      <c r="H14228" s="1"/>
      <c r="I14228" s="1"/>
      <c r="J14228" s="1"/>
      <c r="K14228" s="1"/>
      <c r="L14228" s="1"/>
      <c r="M14228" s="1"/>
      <c r="N14228" s="1"/>
      <c r="O14228" s="1"/>
      <c r="P14228" s="1"/>
      <c r="Q14228" s="1"/>
      <c r="R14228" s="1"/>
      <c r="S14228" s="1"/>
      <c r="T14228" s="1"/>
      <c r="U14228" s="1"/>
      <c r="V14228" s="1"/>
      <c r="W14228" s="1"/>
      <c r="X14228" s="1"/>
      <c r="Y14228" s="1"/>
      <c r="Z14228" s="1"/>
      <c r="AA14228" s="1"/>
      <c r="AB14228" s="1"/>
    </row>
    <row r="14229" ht="50.25" customHeight="1">
      <c r="A14229" s="12">
        <v>14225.0</v>
      </c>
      <c r="B14229" s="13" t="s">
        <v>13398</v>
      </c>
      <c r="C14229" s="14" t="s">
        <v>13463</v>
      </c>
      <c r="D14229" s="1"/>
      <c r="E14229" s="1"/>
      <c r="F14229" s="1" t="str">
        <f>IFERROR(__xludf.DUMMYFUNCTION("GOOGLETRANSLATE(B14229, ""en"", ""fa"")
"),"نکات کسب و کار کوچک")</f>
        <v>نکات کسب و کار کوچک</v>
      </c>
      <c r="G14229" s="1" t="str">
        <f>IFERROR(__xludf.DUMMYFUNCTION("GOOGLETRANSLATE(C14229, ""en"", ""fa"")
"),"[نکاتی برای مدیریت رسانه های اجتماعی]، مانند [ایجاد تقویم محتوا]، [پاسخ دادن به نظرات] و [اندازه گیری میزان مشارکت] چیست؟")</f>
        <v>[نکاتی برای مدیریت رسانه های اجتماعی]، مانند [ایجاد تقویم محتوا]، [پاسخ دادن به نظرات] و [اندازه گیری میزان مشارکت] چیست؟</v>
      </c>
      <c r="H14229" s="1"/>
      <c r="I14229" s="1"/>
      <c r="J14229" s="1"/>
      <c r="K14229" s="1"/>
      <c r="L14229" s="1"/>
      <c r="M14229" s="1"/>
      <c r="N14229" s="1"/>
      <c r="O14229" s="1"/>
      <c r="P14229" s="1"/>
      <c r="Q14229" s="1"/>
      <c r="R14229" s="1"/>
      <c r="S14229" s="1"/>
      <c r="T14229" s="1"/>
      <c r="U14229" s="1"/>
      <c r="V14229" s="1"/>
      <c r="W14229" s="1"/>
      <c r="X14229" s="1"/>
      <c r="Y14229" s="1"/>
      <c r="Z14229" s="1"/>
      <c r="AA14229" s="1"/>
      <c r="AB14229" s="1"/>
    </row>
    <row r="14230" ht="50.25" customHeight="1">
      <c r="A14230" s="12">
        <v>14226.0</v>
      </c>
      <c r="B14230" s="13" t="s">
        <v>13398</v>
      </c>
      <c r="C14230" s="14" t="s">
        <v>13464</v>
      </c>
      <c r="D14230" s="1"/>
      <c r="E14230" s="1"/>
      <c r="F14230" s="1" t="str">
        <f>IFERROR(__xludf.DUMMYFUNCTION("GOOGLETRANSLATE(B14230, ""en"", ""fa"")
"),"نکات کسب و کار کوچک")</f>
        <v>نکات کسب و کار کوچک</v>
      </c>
      <c r="G14230" s="1" t="str">
        <f>IFERROR(__xludf.DUMMYFUNCTION("GOOGLETRANSLATE(C14230, ""en"", ""fa"")
"),"چگونه می توانم [از بازاریابی ایمیلی] برای [دستیابی به مشتریان و جلب مشارکت آنها]، مانند [ساخت لیست ایمیل]، [شخصی سازی محتوا] و [سنجه های ردیابی] [از بازاریابی ایمیلی استفاده کنم]؟")</f>
        <v>چگونه می توانم [از بازاریابی ایمیلی] برای [دستیابی به مشتریان و جلب مشارکت آنها]، مانند [ساخت لیست ایمیل]، [شخصی سازی محتوا] و [سنجه های ردیابی] [از بازاریابی ایمیلی استفاده کنم]؟</v>
      </c>
      <c r="H14230" s="1"/>
      <c r="I14230" s="1"/>
      <c r="J14230" s="1"/>
      <c r="K14230" s="1"/>
      <c r="L14230" s="1"/>
      <c r="M14230" s="1"/>
      <c r="N14230" s="1"/>
      <c r="O14230" s="1"/>
      <c r="P14230" s="1"/>
      <c r="Q14230" s="1"/>
      <c r="R14230" s="1"/>
      <c r="S14230" s="1"/>
      <c r="T14230" s="1"/>
      <c r="U14230" s="1"/>
      <c r="V14230" s="1"/>
      <c r="W14230" s="1"/>
      <c r="X14230" s="1"/>
      <c r="Y14230" s="1"/>
      <c r="Z14230" s="1"/>
      <c r="AA14230" s="1"/>
      <c r="AB14230" s="1"/>
    </row>
    <row r="14231" ht="50.25" customHeight="1">
      <c r="A14231" s="12">
        <v>14227.0</v>
      </c>
      <c r="B14231" s="13" t="s">
        <v>13398</v>
      </c>
      <c r="C14231" s="14" t="s">
        <v>13465</v>
      </c>
      <c r="D14231" s="1"/>
      <c r="E14231" s="1"/>
      <c r="F14231" s="1" t="str">
        <f>IFERROR(__xludf.DUMMYFUNCTION("GOOGLETRANSLATE(B14231, ""en"", ""fa"")
"),"نکات کسب و کار کوچک")</f>
        <v>نکات کسب و کار کوچک</v>
      </c>
      <c r="G14231" s="1" t="str">
        <f>IFERROR(__xludf.DUMMYFUNCTION("GOOGLETRANSLATE(C14231, ""en"", ""fa"")
"),"[نکاتی برای مدیریت مالیات کسب و کار] و [تطابق]، مانند [نگهداری سوابق دقیق]، [پرونده به موقع]، و [به‌روز ماندن با مقررات] چیست؟")</f>
        <v>[نکاتی برای مدیریت مالیات کسب و کار] و [تطابق]، مانند [نگهداری سوابق دقیق]، [پرونده به موقع]، و [به‌روز ماندن با مقررات] چیست؟</v>
      </c>
      <c r="H14231" s="1"/>
      <c r="I14231" s="1"/>
      <c r="J14231" s="1"/>
      <c r="K14231" s="1"/>
      <c r="L14231" s="1"/>
      <c r="M14231" s="1"/>
      <c r="N14231" s="1"/>
      <c r="O14231" s="1"/>
      <c r="P14231" s="1"/>
      <c r="Q14231" s="1"/>
      <c r="R14231" s="1"/>
      <c r="S14231" s="1"/>
      <c r="T14231" s="1"/>
      <c r="U14231" s="1"/>
      <c r="V14231" s="1"/>
      <c r="W14231" s="1"/>
      <c r="X14231" s="1"/>
      <c r="Y14231" s="1"/>
      <c r="Z14231" s="1"/>
      <c r="AA14231" s="1"/>
      <c r="AB14231" s="1"/>
    </row>
    <row r="14232" ht="50.25" customHeight="1">
      <c r="A14232" s="12">
        <v>14228.0</v>
      </c>
      <c r="B14232" s="13" t="s">
        <v>13398</v>
      </c>
      <c r="C14232" s="14" t="s">
        <v>13466</v>
      </c>
      <c r="D14232" s="1"/>
      <c r="E14232" s="1"/>
      <c r="F14232" s="1" t="str">
        <f>IFERROR(__xludf.DUMMYFUNCTION("GOOGLETRANSLATE(B14232, ""en"", ""fa"")
"),"نکات کسب و کار کوچک")</f>
        <v>نکات کسب و کار کوچک</v>
      </c>
      <c r="G14232" s="1" t="str">
        <f>IFERROR(__xludf.DUMMYFUNCTION("GOOGLETRANSLATE(C14232, ""en"", ""fa"")
"),"چگونه می توانم از طریق [بودجه گذاری]، [مذاکره با تامین کنندگان] و [به حداقل رساندن ضایعات] [مدیریت و کاهش هزینه های کسب و کار] را انجام دهم؟")</f>
        <v>چگونه می توانم از طریق [بودجه گذاری]، [مذاکره با تامین کنندگان] و [به حداقل رساندن ضایعات] [مدیریت و کاهش هزینه های کسب و کار] را انجام دهم؟</v>
      </c>
      <c r="H14232" s="1"/>
      <c r="I14232" s="1"/>
      <c r="J14232" s="1"/>
      <c r="K14232" s="1"/>
      <c r="L14232" s="1"/>
      <c r="M14232" s="1"/>
      <c r="N14232" s="1"/>
      <c r="O14232" s="1"/>
      <c r="P14232" s="1"/>
      <c r="Q14232" s="1"/>
      <c r="R14232" s="1"/>
      <c r="S14232" s="1"/>
      <c r="T14232" s="1"/>
      <c r="U14232" s="1"/>
      <c r="V14232" s="1"/>
      <c r="W14232" s="1"/>
      <c r="X14232" s="1"/>
      <c r="Y14232" s="1"/>
      <c r="Z14232" s="1"/>
      <c r="AA14232" s="1"/>
      <c r="AB14232" s="1"/>
    </row>
    <row r="14233" ht="50.25" customHeight="1">
      <c r="A14233" s="12">
        <v>14229.0</v>
      </c>
      <c r="B14233" s="13" t="s">
        <v>13398</v>
      </c>
      <c r="C14233" s="14" t="s">
        <v>13467</v>
      </c>
      <c r="D14233" s="1"/>
      <c r="E14233" s="1"/>
      <c r="F14233" s="1" t="str">
        <f>IFERROR(__xludf.DUMMYFUNCTION("GOOGLETRANSLATE(B14233, ""en"", ""fa"")
"),"نکات کسب و کار کوچک")</f>
        <v>نکات کسب و کار کوچک</v>
      </c>
      <c r="G14233" s="1" t="str">
        <f>IFERROR(__xludf.DUMMYFUNCTION("GOOGLETRANSLATE(C14233, ""en"", ""fa"")
"),"[نکاتی برای مدیریت مرورهای آنلاین و شهرت]، مانند [پاسخ دادن سریع]، [تشویق بازخورد] و [بهبود تجربیات مشتری] چیست؟")</f>
        <v>[نکاتی برای مدیریت مرورهای آنلاین و شهرت]، مانند [پاسخ دادن سریع]، [تشویق بازخورد] و [بهبود تجربیات مشتری] چیست؟</v>
      </c>
      <c r="H14233" s="1"/>
      <c r="I14233" s="1"/>
      <c r="J14233" s="1"/>
      <c r="K14233" s="1"/>
      <c r="L14233" s="1"/>
      <c r="M14233" s="1"/>
      <c r="N14233" s="1"/>
      <c r="O14233" s="1"/>
      <c r="P14233" s="1"/>
      <c r="Q14233" s="1"/>
      <c r="R14233" s="1"/>
      <c r="S14233" s="1"/>
      <c r="T14233" s="1"/>
      <c r="U14233" s="1"/>
      <c r="V14233" s="1"/>
      <c r="W14233" s="1"/>
      <c r="X14233" s="1"/>
      <c r="Y14233" s="1"/>
      <c r="Z14233" s="1"/>
      <c r="AA14233" s="1"/>
      <c r="AB14233" s="1"/>
    </row>
    <row r="14234" ht="50.25" customHeight="1">
      <c r="A14234" s="12">
        <v>14230.0</v>
      </c>
      <c r="B14234" s="13" t="s">
        <v>13398</v>
      </c>
      <c r="C14234" s="14" t="s">
        <v>13468</v>
      </c>
      <c r="D14234" s="1"/>
      <c r="E14234" s="1"/>
      <c r="F14234" s="1" t="str">
        <f>IFERROR(__xludf.DUMMYFUNCTION("GOOGLETRANSLATE(B14234, ""en"", ""fa"")
"),"نکات کسب و کار کوچک")</f>
        <v>نکات کسب و کار کوچک</v>
      </c>
      <c r="G14234" s="1" t="str">
        <f>IFERROR(__xludf.DUMMYFUNCTION("GOOGLETRANSLATE(C14234, ""en"", ""fa"")
"),"برخی [نکات برای ایجاد پیشنهادهای تجاری مؤثر]، مانند [تعریف واضح محدوده پروژه]، [تشریح محصولات تحویلی و جدول زمانی]، و [ارائه قیمت رقابتی] چیست؟")</f>
        <v>برخی [نکات برای ایجاد پیشنهادهای تجاری مؤثر]، مانند [تعریف واضح محدوده پروژه]، [تشریح محصولات تحویلی و جدول زمانی]، و [ارائه قیمت رقابتی] چیست؟</v>
      </c>
      <c r="H14234" s="1"/>
      <c r="I14234" s="1"/>
      <c r="J14234" s="1"/>
      <c r="K14234" s="1"/>
      <c r="L14234" s="1"/>
      <c r="M14234" s="1"/>
      <c r="N14234" s="1"/>
      <c r="O14234" s="1"/>
      <c r="P14234" s="1"/>
      <c r="Q14234" s="1"/>
      <c r="R14234" s="1"/>
      <c r="S14234" s="1"/>
      <c r="T14234" s="1"/>
      <c r="U14234" s="1"/>
      <c r="V14234" s="1"/>
      <c r="W14234" s="1"/>
      <c r="X14234" s="1"/>
      <c r="Y14234" s="1"/>
      <c r="Z14234" s="1"/>
      <c r="AA14234" s="1"/>
      <c r="AB14234" s="1"/>
    </row>
    <row r="14235" ht="50.25" customHeight="1">
      <c r="A14235" s="12">
        <v>14231.0</v>
      </c>
      <c r="B14235" s="13" t="s">
        <v>13398</v>
      </c>
      <c r="C14235" s="14" t="s">
        <v>13469</v>
      </c>
      <c r="D14235" s="1"/>
      <c r="E14235" s="1"/>
      <c r="F14235" s="1" t="str">
        <f>IFERROR(__xludf.DUMMYFUNCTION("GOOGLETRANSLATE(B14235, ""en"", ""fa"")
"),"نکات کسب و کار کوچک")</f>
        <v>نکات کسب و کار کوچک</v>
      </c>
      <c r="G14235" s="1" t="str">
        <f>IFERROR(__xludf.DUMMYFUNCTION("GOOGLETRANSLATE(C14235, ""en"", ""fa"")
"),"چگونه می توانم [از روندها و اخبار صنعت به روز باشم] تا [رقابتی بمانم] و [در کسب و کارم نوآوری کنم]؟")</f>
        <v>چگونه می توانم [از روندها و اخبار صنعت به روز باشم] تا [رقابتی بمانم] و [در کسب و کارم نوآوری کنم]؟</v>
      </c>
      <c r="H14235" s="1"/>
      <c r="I14235" s="1"/>
      <c r="J14235" s="1"/>
      <c r="K14235" s="1"/>
      <c r="L14235" s="1"/>
      <c r="M14235" s="1"/>
      <c r="N14235" s="1"/>
      <c r="O14235" s="1"/>
      <c r="P14235" s="1"/>
      <c r="Q14235" s="1"/>
      <c r="R14235" s="1"/>
      <c r="S14235" s="1"/>
      <c r="T14235" s="1"/>
      <c r="U14235" s="1"/>
      <c r="V14235" s="1"/>
      <c r="W14235" s="1"/>
      <c r="X14235" s="1"/>
      <c r="Y14235" s="1"/>
      <c r="Z14235" s="1"/>
      <c r="AA14235" s="1"/>
      <c r="AB14235" s="1"/>
    </row>
    <row r="14236" ht="50.25" customHeight="1">
      <c r="A14236" s="12">
        <v>14232.0</v>
      </c>
      <c r="B14236" s="13" t="s">
        <v>13398</v>
      </c>
      <c r="C14236" s="14" t="s">
        <v>13470</v>
      </c>
      <c r="D14236" s="1"/>
      <c r="E14236" s="1"/>
      <c r="F14236" s="1" t="str">
        <f>IFERROR(__xludf.DUMMYFUNCTION("GOOGLETRANSLATE(B14236, ""en"", ""fa"")
"),"نکات کسب و کار کوچک")</f>
        <v>نکات کسب و کار کوچک</v>
      </c>
      <c r="G14236" s="1" t="str">
        <f>IFERROR(__xludf.DUMMYFUNCTION("GOOGLETRANSLATE(C14236, ""en"", ""fa"")
"),"[نکاتی برای مدیریت یک تیم راه دور]، مانند [تنظیم انتظارات واضح]، [حفظ ارتباطات منظم]، و [استفاده از ابزارهای مدیریت پروژه] چیست؟")</f>
        <v>[نکاتی برای مدیریت یک تیم راه دور]، مانند [تنظیم انتظارات واضح]، [حفظ ارتباطات منظم]، و [استفاده از ابزارهای مدیریت پروژه] چیست؟</v>
      </c>
      <c r="H14236" s="1"/>
      <c r="I14236" s="1"/>
      <c r="J14236" s="1"/>
      <c r="K14236" s="1"/>
      <c r="L14236" s="1"/>
      <c r="M14236" s="1"/>
      <c r="N14236" s="1"/>
      <c r="O14236" s="1"/>
      <c r="P14236" s="1"/>
      <c r="Q14236" s="1"/>
      <c r="R14236" s="1"/>
      <c r="S14236" s="1"/>
      <c r="T14236" s="1"/>
      <c r="U14236" s="1"/>
      <c r="V14236" s="1"/>
      <c r="W14236" s="1"/>
      <c r="X14236" s="1"/>
      <c r="Y14236" s="1"/>
      <c r="Z14236" s="1"/>
      <c r="AA14236" s="1"/>
      <c r="AB14236" s="1"/>
    </row>
    <row r="14237" ht="50.25" customHeight="1">
      <c r="A14237" s="12">
        <v>14233.0</v>
      </c>
      <c r="B14237" s="13" t="s">
        <v>13398</v>
      </c>
      <c r="C14237" s="14" t="s">
        <v>13471</v>
      </c>
      <c r="D14237" s="1"/>
      <c r="E14237" s="1"/>
      <c r="F14237" s="1" t="str">
        <f>IFERROR(__xludf.DUMMYFUNCTION("GOOGLETRANSLATE(B14237, ""en"", ""fa"")
"),"نکات کسب و کار کوچک")</f>
        <v>نکات کسب و کار کوچک</v>
      </c>
      <c r="G14237" s="1" t="str">
        <f>IFERROR(__xludf.DUMMYFUNCTION("GOOGLETRANSLATE(C14237, ""en"", ""fa"")
"),"چگونه می توانم [از داده ها و بینش های مشتری] برای [اطلاع رسانی درباره تصمیمات تجاری]، مانند [توسعه محصول]، [استراتژی های قیمت گذاری] و [بازاریابی هدفمند] [استفاده کنم]؟")</f>
        <v>چگونه می توانم [از داده ها و بینش های مشتری] برای [اطلاع رسانی درباره تصمیمات تجاری]، مانند [توسعه محصول]، [استراتژی های قیمت گذاری] و [بازاریابی هدفمند] [استفاده کنم]؟</v>
      </c>
      <c r="H14237" s="1"/>
      <c r="I14237" s="1"/>
      <c r="J14237" s="1"/>
      <c r="K14237" s="1"/>
      <c r="L14237" s="1"/>
      <c r="M14237" s="1"/>
      <c r="N14237" s="1"/>
      <c r="O14237" s="1"/>
      <c r="P14237" s="1"/>
      <c r="Q14237" s="1"/>
      <c r="R14237" s="1"/>
      <c r="S14237" s="1"/>
      <c r="T14237" s="1"/>
      <c r="U14237" s="1"/>
      <c r="V14237" s="1"/>
      <c r="W14237" s="1"/>
      <c r="X14237" s="1"/>
      <c r="Y14237" s="1"/>
      <c r="Z14237" s="1"/>
      <c r="AA14237" s="1"/>
      <c r="AB14237" s="1"/>
    </row>
    <row r="14238" ht="50.25" customHeight="1">
      <c r="A14238" s="12">
        <v>14234.0</v>
      </c>
      <c r="B14238" s="13" t="s">
        <v>13398</v>
      </c>
      <c r="C14238" s="14" t="s">
        <v>13472</v>
      </c>
      <c r="D14238" s="1"/>
      <c r="E14238" s="1"/>
      <c r="F14238" s="1" t="str">
        <f>IFERROR(__xludf.DUMMYFUNCTION("GOOGLETRANSLATE(B14238, ""en"", ""fa"")
"),"نکات کسب و کار کوچک")</f>
        <v>نکات کسب و کار کوچک</v>
      </c>
      <c r="G14238" s="1" t="str">
        <f>IFERROR(__xludf.DUMMYFUNCTION("GOOGLETRANSLATE(C14238, ""en"", ""fa"")
"),"[نکاتی برای مدیریت یک وب سایت کسب و کار کوچک]، مانند [بهینه سازی برای موتورهای جستجو]، [به روز رسانی منظم محتوا] و [بهبود سرعت و عملکرد وب سایت] چیست؟")</f>
        <v>[نکاتی برای مدیریت یک وب سایت کسب و کار کوچک]، مانند [بهینه سازی برای موتورهای جستجو]، [به روز رسانی منظم محتوا] و [بهبود سرعت و عملکرد وب سایت] چیست؟</v>
      </c>
      <c r="H14238" s="1"/>
      <c r="I14238" s="1"/>
      <c r="J14238" s="1"/>
      <c r="K14238" s="1"/>
      <c r="L14238" s="1"/>
      <c r="M14238" s="1"/>
      <c r="N14238" s="1"/>
      <c r="O14238" s="1"/>
      <c r="P14238" s="1"/>
      <c r="Q14238" s="1"/>
      <c r="R14238" s="1"/>
      <c r="S14238" s="1"/>
      <c r="T14238" s="1"/>
      <c r="U14238" s="1"/>
      <c r="V14238" s="1"/>
      <c r="W14238" s="1"/>
      <c r="X14238" s="1"/>
      <c r="Y14238" s="1"/>
      <c r="Z14238" s="1"/>
      <c r="AA14238" s="1"/>
      <c r="AB14238" s="1"/>
    </row>
    <row r="14239" ht="50.25" customHeight="1">
      <c r="A14239" s="12">
        <v>14235.0</v>
      </c>
      <c r="B14239" s="13" t="s">
        <v>13398</v>
      </c>
      <c r="C14239" s="14" t="s">
        <v>13473</v>
      </c>
      <c r="D14239" s="1"/>
      <c r="E14239" s="1"/>
      <c r="F14239" s="1" t="str">
        <f>IFERROR(__xludf.DUMMYFUNCTION("GOOGLETRANSLATE(B14239, ""en"", ""fa"")
"),"نکات کسب و کار کوچک")</f>
        <v>نکات کسب و کار کوچک</v>
      </c>
      <c r="G14239" s="1" t="str">
        <f>IFERROR(__xludf.DUMMYFUNCTION("GOOGLETRANSLATE(C14239, ""en"", ""fa"")
"),"چگونه می توانم از طریق [شخصی سازی]، [تعجب و لذت] و [حل فوری مسائل] [یک تجربه مشتری مثبت و به یاد ماندنی ایجاد کنم]؟")</f>
        <v>چگونه می توانم از طریق [شخصی سازی]، [تعجب و لذت] و [حل فوری مسائل] [یک تجربه مشتری مثبت و به یاد ماندنی ایجاد کنم]؟</v>
      </c>
      <c r="H14239" s="1"/>
      <c r="I14239" s="1"/>
      <c r="J14239" s="1"/>
      <c r="K14239" s="1"/>
      <c r="L14239" s="1"/>
      <c r="M14239" s="1"/>
      <c r="N14239" s="1"/>
      <c r="O14239" s="1"/>
      <c r="P14239" s="1"/>
      <c r="Q14239" s="1"/>
      <c r="R14239" s="1"/>
      <c r="S14239" s="1"/>
      <c r="T14239" s="1"/>
      <c r="U14239" s="1"/>
      <c r="V14239" s="1"/>
      <c r="W14239" s="1"/>
      <c r="X14239" s="1"/>
      <c r="Y14239" s="1"/>
      <c r="Z14239" s="1"/>
      <c r="AA14239" s="1"/>
      <c r="AB14239" s="1"/>
    </row>
    <row r="14240" ht="50.25" customHeight="1">
      <c r="A14240" s="12">
        <v>14236.0</v>
      </c>
      <c r="B14240" s="13" t="s">
        <v>13398</v>
      </c>
      <c r="C14240" s="14" t="s">
        <v>13474</v>
      </c>
      <c r="D14240" s="1"/>
      <c r="E14240" s="1"/>
      <c r="F14240" s="1" t="str">
        <f>IFERROR(__xludf.DUMMYFUNCTION("GOOGLETRANSLATE(B14240, ""en"", ""fa"")
"),"نکات کسب و کار کوچک")</f>
        <v>نکات کسب و کار کوچک</v>
      </c>
      <c r="G14240" s="1" t="str">
        <f>IFERROR(__xludf.DUMMYFUNCTION("GOOGLETRANSLATE(C14240, ""en"", ""fa"")
"),"[نکاتی برای مدیریت بودجه کسب و کار کوچک]، مانند [پیگیری هزینه ها]، [پیش بینی جریان نقدی] و [به حداقل رساندن بدهی] چیست؟")</f>
        <v>[نکاتی برای مدیریت بودجه کسب و کار کوچک]، مانند [پیگیری هزینه ها]، [پیش بینی جریان نقدی] و [به حداقل رساندن بدهی] چیست؟</v>
      </c>
      <c r="H14240" s="1"/>
      <c r="I14240" s="1"/>
      <c r="J14240" s="1"/>
      <c r="K14240" s="1"/>
      <c r="L14240" s="1"/>
      <c r="M14240" s="1"/>
      <c r="N14240" s="1"/>
      <c r="O14240" s="1"/>
      <c r="P14240" s="1"/>
      <c r="Q14240" s="1"/>
      <c r="R14240" s="1"/>
      <c r="S14240" s="1"/>
      <c r="T14240" s="1"/>
      <c r="U14240" s="1"/>
      <c r="V14240" s="1"/>
      <c r="W14240" s="1"/>
      <c r="X14240" s="1"/>
      <c r="Y14240" s="1"/>
      <c r="Z14240" s="1"/>
      <c r="AA14240" s="1"/>
      <c r="AB14240" s="1"/>
    </row>
    <row r="14241" ht="50.25" customHeight="1">
      <c r="A14241" s="12">
        <v>14237.0</v>
      </c>
      <c r="B14241" s="13" t="s">
        <v>13398</v>
      </c>
      <c r="C14241" s="14" t="s">
        <v>13475</v>
      </c>
      <c r="D14241" s="1"/>
      <c r="E14241" s="1"/>
      <c r="F14241" s="1" t="str">
        <f>IFERROR(__xludf.DUMMYFUNCTION("GOOGLETRANSLATE(B14241, ""en"", ""fa"")
"),"نکات کسب و کار کوچک")</f>
        <v>نکات کسب و کار کوچک</v>
      </c>
      <c r="G14241" s="1" t="str">
        <f>IFERROR(__xludf.DUMMYFUNCTION("GOOGLETRANSLATE(C14241, ""en"", ""fa"")
"),"چگونه می توانم از طریق [برندسازی منسجم]، [محصولات و خدمات با کیفیت] و [روش های تجاری اخلاقی] [شهرتی قوی ایجاد و حفظ کنم؟")</f>
        <v>چگونه می توانم از طریق [برندسازی منسجم]، [محصولات و خدمات با کیفیت] و [روش های تجاری اخلاقی] [شهرتی قوی ایجاد و حفظ کنم؟</v>
      </c>
      <c r="H14241" s="1"/>
      <c r="I14241" s="1"/>
      <c r="J14241" s="1"/>
      <c r="K14241" s="1"/>
      <c r="L14241" s="1"/>
      <c r="M14241" s="1"/>
      <c r="N14241" s="1"/>
      <c r="O14241" s="1"/>
      <c r="P14241" s="1"/>
      <c r="Q14241" s="1"/>
      <c r="R14241" s="1"/>
      <c r="S14241" s="1"/>
      <c r="T14241" s="1"/>
      <c r="U14241" s="1"/>
      <c r="V14241" s="1"/>
      <c r="W14241" s="1"/>
      <c r="X14241" s="1"/>
      <c r="Y14241" s="1"/>
      <c r="Z14241" s="1"/>
      <c r="AA14241" s="1"/>
      <c r="AB14241" s="1"/>
    </row>
    <row r="14242" ht="50.25" customHeight="1">
      <c r="A14242" s="12">
        <v>14238.0</v>
      </c>
      <c r="B14242" s="13" t="s">
        <v>13398</v>
      </c>
      <c r="C14242" s="14" t="s">
        <v>13476</v>
      </c>
      <c r="D14242" s="1"/>
      <c r="E14242" s="1"/>
      <c r="F14242" s="1" t="str">
        <f>IFERROR(__xludf.DUMMYFUNCTION("GOOGLETRANSLATE(B14242, ""en"", ""fa"")
"),"نکات کسب و کار کوچک")</f>
        <v>نکات کسب و کار کوچک</v>
      </c>
      <c r="G14242" s="1" t="str">
        <f>IFERROR(__xludf.DUMMYFUNCTION("GOOGLETRANSLATE(C14242, ""en"", ""fa"")
"),"[نکاتی برای ایجاد تبلیغات موثر در رسانه های اجتماعی]، مانند [هدف قرار دادن مخاطبان مناسب]، [ایجاد تصاویری چشم نواز]، و [استفاده از کپی جذاب] چیست؟")</f>
        <v>[نکاتی برای ایجاد تبلیغات موثر در رسانه های اجتماعی]، مانند [هدف قرار دادن مخاطبان مناسب]، [ایجاد تصاویری چشم نواز]، و [استفاده از کپی جذاب] چیست؟</v>
      </c>
      <c r="H14242" s="1"/>
      <c r="I14242" s="1"/>
      <c r="J14242" s="1"/>
      <c r="K14242" s="1"/>
      <c r="L14242" s="1"/>
      <c r="M14242" s="1"/>
      <c r="N14242" s="1"/>
      <c r="O14242" s="1"/>
      <c r="P14242" s="1"/>
      <c r="Q14242" s="1"/>
      <c r="R14242" s="1"/>
      <c r="S14242" s="1"/>
      <c r="T14242" s="1"/>
      <c r="U14242" s="1"/>
      <c r="V14242" s="1"/>
      <c r="W14242" s="1"/>
      <c r="X14242" s="1"/>
      <c r="Y14242" s="1"/>
      <c r="Z14242" s="1"/>
      <c r="AA14242" s="1"/>
      <c r="AB14242" s="1"/>
    </row>
    <row r="14243" ht="50.25" customHeight="1">
      <c r="A14243" s="12">
        <v>14239.0</v>
      </c>
      <c r="B14243" s="13" t="s">
        <v>13398</v>
      </c>
      <c r="C14243" s="14" t="s">
        <v>13477</v>
      </c>
      <c r="D14243" s="1"/>
      <c r="E14243" s="1"/>
      <c r="F14243" s="1" t="str">
        <f>IFERROR(__xludf.DUMMYFUNCTION("GOOGLETRANSLATE(B14243, ""en"", ""fa"")
"),"نکات کسب و کار کوچک")</f>
        <v>نکات کسب و کار کوچک</v>
      </c>
      <c r="G14243" s="1" t="str">
        <f>IFERROR(__xludf.DUMMYFUNCTION("GOOGLETRANSLATE(C14243, ""en"", ""fa"")
"),"چگونه می توانم [از قدرت ارجاع مشتری] برای [جذب کسب و کار جدید]، مانند [ارائه مشوق ها]، [حفظ خدمات عالی به مشتریان] و [درخواست ارجاعات] [از قدرت ارجاع مشتری استفاده کنم]؟")</f>
        <v>چگونه می توانم [از قدرت ارجاع مشتری] برای [جذب کسب و کار جدید]، مانند [ارائه مشوق ها]، [حفظ خدمات عالی به مشتریان] و [درخواست ارجاعات] [از قدرت ارجاع مشتری استفاده کنم]؟</v>
      </c>
      <c r="H14243" s="1"/>
      <c r="I14243" s="1"/>
      <c r="J14243" s="1"/>
      <c r="K14243" s="1"/>
      <c r="L14243" s="1"/>
      <c r="M14243" s="1"/>
      <c r="N14243" s="1"/>
      <c r="O14243" s="1"/>
      <c r="P14243" s="1"/>
      <c r="Q14243" s="1"/>
      <c r="R14243" s="1"/>
      <c r="S14243" s="1"/>
      <c r="T14243" s="1"/>
      <c r="U14243" s="1"/>
      <c r="V14243" s="1"/>
      <c r="W14243" s="1"/>
      <c r="X14243" s="1"/>
      <c r="Y14243" s="1"/>
      <c r="Z14243" s="1"/>
      <c r="AA14243" s="1"/>
      <c r="AB14243" s="1"/>
    </row>
    <row r="14244" ht="50.25" customHeight="1">
      <c r="A14244" s="12">
        <v>14240.0</v>
      </c>
      <c r="B14244" s="13" t="s">
        <v>13398</v>
      </c>
      <c r="C14244" s="14" t="s">
        <v>13478</v>
      </c>
      <c r="D14244" s="1"/>
      <c r="E14244" s="1"/>
      <c r="F14244" s="1" t="str">
        <f>IFERROR(__xludf.DUMMYFUNCTION("GOOGLETRANSLATE(B14244, ""en"", ""fa"")
"),"نکات کسب و کار کوچک")</f>
        <v>نکات کسب و کار کوچک</v>
      </c>
      <c r="G14244" s="1" t="str">
        <f>IFERROR(__xludf.DUMMYFUNCTION("GOOGLETRANSLATE(C14244, ""en"", ""fa"")
"),"برخی [نکاتی برای ایجاد یک پیشنهاد ارزش قوی]، مانند [درک نقاط درد مشتری]، [برجسته کردن نقاط فروش منحصر به فرد]، و [مزایای ارتباطی] چیست؟")</f>
        <v>برخی [نکاتی برای ایجاد یک پیشنهاد ارزش قوی]، مانند [درک نقاط درد مشتری]، [برجسته کردن نقاط فروش منحصر به فرد]، و [مزایای ارتباطی] چیست؟</v>
      </c>
      <c r="H14244" s="1"/>
      <c r="I14244" s="1"/>
      <c r="J14244" s="1"/>
      <c r="K14244" s="1"/>
      <c r="L14244" s="1"/>
      <c r="M14244" s="1"/>
      <c r="N14244" s="1"/>
      <c r="O14244" s="1"/>
      <c r="P14244" s="1"/>
      <c r="Q14244" s="1"/>
      <c r="R14244" s="1"/>
      <c r="S14244" s="1"/>
      <c r="T14244" s="1"/>
      <c r="U14244" s="1"/>
      <c r="V14244" s="1"/>
      <c r="W14244" s="1"/>
      <c r="X14244" s="1"/>
      <c r="Y14244" s="1"/>
      <c r="Z14244" s="1"/>
      <c r="AA14244" s="1"/>
      <c r="AB14244" s="1"/>
    </row>
    <row r="14245" ht="50.25" customHeight="1">
      <c r="A14245" s="12">
        <v>14241.0</v>
      </c>
      <c r="B14245" s="13" t="s">
        <v>13398</v>
      </c>
      <c r="C14245" s="14" t="s">
        <v>13479</v>
      </c>
      <c r="D14245" s="1"/>
      <c r="E14245" s="1"/>
      <c r="F14245" s="1" t="str">
        <f>IFERROR(__xludf.DUMMYFUNCTION("GOOGLETRANSLATE(B14245, ""en"", ""fa"")
"),"نکات کسب و کار کوچک")</f>
        <v>نکات کسب و کار کوچک</v>
      </c>
      <c r="G14245" s="1" t="str">
        <f>IFERROR(__xludf.DUMMYFUNCTION("GOOGLETRANSLATE(C14245, ""en"", ""fa"")
"),"چگونه می توانم [از بازاریابی محتوا] برای [جذب و جذب مشتریان]، مانند [ایجاد پست های وبلاگ]، [تولید ویدیو] و [توسعه کتاب های الکترونیکی] [از بازاریابی محتوا استفاده کنم]؟")</f>
        <v>چگونه می توانم [از بازاریابی محتوا] برای [جذب و جذب مشتریان]، مانند [ایجاد پست های وبلاگ]، [تولید ویدیو] و [توسعه کتاب های الکترونیکی] [از بازاریابی محتوا استفاده کنم]؟</v>
      </c>
      <c r="H14245" s="1"/>
      <c r="I14245" s="1"/>
      <c r="J14245" s="1"/>
      <c r="K14245" s="1"/>
      <c r="L14245" s="1"/>
      <c r="M14245" s="1"/>
      <c r="N14245" s="1"/>
      <c r="O14245" s="1"/>
      <c r="P14245" s="1"/>
      <c r="Q14245" s="1"/>
      <c r="R14245" s="1"/>
      <c r="S14245" s="1"/>
      <c r="T14245" s="1"/>
      <c r="U14245" s="1"/>
      <c r="V14245" s="1"/>
      <c r="W14245" s="1"/>
      <c r="X14245" s="1"/>
      <c r="Y14245" s="1"/>
      <c r="Z14245" s="1"/>
      <c r="AA14245" s="1"/>
      <c r="AB14245" s="1"/>
    </row>
    <row r="14246" ht="50.25" customHeight="1">
      <c r="A14246" s="12">
        <v>14242.0</v>
      </c>
      <c r="B14246" s="13" t="s">
        <v>13398</v>
      </c>
      <c r="C14246" s="14" t="s">
        <v>13480</v>
      </c>
      <c r="D14246" s="1"/>
      <c r="E14246" s="1"/>
      <c r="F14246" s="1" t="str">
        <f>IFERROR(__xludf.DUMMYFUNCTION("GOOGLETRANSLATE(B14246, ""en"", ""fa"")
"),"نکات کسب و کار کوچک")</f>
        <v>نکات کسب و کار کوچک</v>
      </c>
      <c r="G14246" s="1" t="str">
        <f>IFERROR(__xludf.DUMMYFUNCTION("GOOGLETRANSLATE(C14246, ""en"", ""fa"")
"),"[نکاتی برای ایجاد خطوط موضوع ایمیل موثر]، مانند [شخصی‌سازی]، [استفاده از فوریت] و [مختصر بودن] چیست؟")</f>
        <v>[نکاتی برای ایجاد خطوط موضوع ایمیل موثر]، مانند [شخصی‌سازی]، [استفاده از فوریت] و [مختصر بودن] چیست؟</v>
      </c>
      <c r="H14246" s="1"/>
      <c r="I14246" s="1"/>
      <c r="J14246" s="1"/>
      <c r="K14246" s="1"/>
      <c r="L14246" s="1"/>
      <c r="M14246" s="1"/>
      <c r="N14246" s="1"/>
      <c r="O14246" s="1"/>
      <c r="P14246" s="1"/>
      <c r="Q14246" s="1"/>
      <c r="R14246" s="1"/>
      <c r="S14246" s="1"/>
      <c r="T14246" s="1"/>
      <c r="U14246" s="1"/>
      <c r="V14246" s="1"/>
      <c r="W14246" s="1"/>
      <c r="X14246" s="1"/>
      <c r="Y14246" s="1"/>
      <c r="Z14246" s="1"/>
      <c r="AA14246" s="1"/>
      <c r="AB14246" s="1"/>
    </row>
    <row r="14247" ht="50.25" customHeight="1">
      <c r="A14247" s="12">
        <v>14243.0</v>
      </c>
      <c r="B14247" s="13" t="s">
        <v>13398</v>
      </c>
      <c r="C14247" s="14" t="s">
        <v>13481</v>
      </c>
      <c r="D14247" s="1"/>
      <c r="E14247" s="1"/>
      <c r="F14247" s="1" t="str">
        <f>IFERROR(__xludf.DUMMYFUNCTION("GOOGLETRANSLATE(B14247, ""en"", ""fa"")
"),"نکات کسب و کار کوچک")</f>
        <v>نکات کسب و کار کوچک</v>
      </c>
      <c r="G14247" s="1" t="str">
        <f>IFERROR(__xludf.DUMMYFUNCTION("GOOGLETRANSLATE(C14247, ""en"", ""fa"")
"),"چگونه می‌توانم [مشارکت‌های مؤثر] با سایر کسب‌وکارها برای [افزایش رشد]، مانند [تبلیغ متقابل]، [به اشتراک گذاشتن منابع] و [همکاری در پروژه‌ها] [ایجاد و حفظ کنم؟")</f>
        <v>چگونه می‌توانم [مشارکت‌های مؤثر] با سایر کسب‌وکارها برای [افزایش رشد]، مانند [تبلیغ متقابل]، [به اشتراک گذاشتن منابع] و [همکاری در پروژه‌ها] [ایجاد و حفظ کنم؟</v>
      </c>
      <c r="H14247" s="1"/>
      <c r="I14247" s="1"/>
      <c r="J14247" s="1"/>
      <c r="K14247" s="1"/>
      <c r="L14247" s="1"/>
      <c r="M14247" s="1"/>
      <c r="N14247" s="1"/>
      <c r="O14247" s="1"/>
      <c r="P14247" s="1"/>
      <c r="Q14247" s="1"/>
      <c r="R14247" s="1"/>
      <c r="S14247" s="1"/>
      <c r="T14247" s="1"/>
      <c r="U14247" s="1"/>
      <c r="V14247" s="1"/>
      <c r="W14247" s="1"/>
      <c r="X14247" s="1"/>
      <c r="Y14247" s="1"/>
      <c r="Z14247" s="1"/>
      <c r="AA14247" s="1"/>
      <c r="AB14247" s="1"/>
    </row>
    <row r="14248" ht="50.25" customHeight="1">
      <c r="A14248" s="12">
        <v>14244.0</v>
      </c>
      <c r="B14248" s="13" t="s">
        <v>13398</v>
      </c>
      <c r="C14248" s="14" t="s">
        <v>13482</v>
      </c>
      <c r="D14248" s="1"/>
      <c r="E14248" s="1"/>
      <c r="F14248" s="1" t="str">
        <f>IFERROR(__xludf.DUMMYFUNCTION("GOOGLETRANSLATE(B14248, ""en"", ""fa"")
"),"نکات کسب و کار کوچک")</f>
        <v>نکات کسب و کار کوچک</v>
      </c>
      <c r="G14248" s="1" t="str">
        <f>IFERROR(__xludf.DUMMYFUNCTION("GOOGLETRANSLATE(C14248, ""en"", ""fa"")
"),"[نکاتی برای مدیریت حضور کسب و کارهای کوچک در رسانه های اجتماعی]، مانند [درگیر شدن با دنبال کنندگان]، [اندازه گیری نتایج]، و [ثابت ماندن] چیست؟")</f>
        <v>[نکاتی برای مدیریت حضور کسب و کارهای کوچک در رسانه های اجتماعی]، مانند [درگیر شدن با دنبال کنندگان]، [اندازه گیری نتایج]، و [ثابت ماندن] چیست؟</v>
      </c>
      <c r="H14248" s="1"/>
      <c r="I14248" s="1"/>
      <c r="J14248" s="1"/>
      <c r="K14248" s="1"/>
      <c r="L14248" s="1"/>
      <c r="M14248" s="1"/>
      <c r="N14248" s="1"/>
      <c r="O14248" s="1"/>
      <c r="P14248" s="1"/>
      <c r="Q14248" s="1"/>
      <c r="R14248" s="1"/>
      <c r="S14248" s="1"/>
      <c r="T14248" s="1"/>
      <c r="U14248" s="1"/>
      <c r="V14248" s="1"/>
      <c r="W14248" s="1"/>
      <c r="X14248" s="1"/>
      <c r="Y14248" s="1"/>
      <c r="Z14248" s="1"/>
      <c r="AA14248" s="1"/>
      <c r="AB14248" s="1"/>
    </row>
    <row r="14249" ht="50.25" customHeight="1">
      <c r="A14249" s="12">
        <v>14245.0</v>
      </c>
      <c r="B14249" s="13" t="s">
        <v>13398</v>
      </c>
      <c r="C14249" s="14" t="s">
        <v>13483</v>
      </c>
      <c r="D14249" s="1"/>
      <c r="E14249" s="1"/>
      <c r="F14249" s="1" t="str">
        <f>IFERROR(__xludf.DUMMYFUNCTION("GOOGLETRANSLATE(B14249, ""en"", ""fa"")
"),"نکات کسب و کار کوچک")</f>
        <v>نکات کسب و کار کوچک</v>
      </c>
      <c r="G14249" s="1" t="str">
        <f>IFERROR(__xludf.DUMMYFUNCTION("GOOGLETRANSLATE(C14249, ""en"", ""fa"")
"),"چگونه می توانم [از تجزیه و تحلیل داده ها] برای [اندازه گیری و بهبود عملکرد کسب و کار]، مانند [ردیابی ترافیک وب سایت]، [تجزیه و تحلیل داده های فروش] و [شناسایی مناطق برای بهبود] [از تجزیه و تحلیل داده ها استفاده کنم]؟")</f>
        <v>چگونه می توانم [از تجزیه و تحلیل داده ها] برای [اندازه گیری و بهبود عملکرد کسب و کار]، مانند [ردیابی ترافیک وب سایت]، [تجزیه و تحلیل داده های فروش] و [شناسایی مناطق برای بهبود] [از تجزیه و تحلیل داده ها استفاده کنم]؟</v>
      </c>
      <c r="H14249" s="1"/>
      <c r="I14249" s="1"/>
      <c r="J14249" s="1"/>
      <c r="K14249" s="1"/>
      <c r="L14249" s="1"/>
      <c r="M14249" s="1"/>
      <c r="N14249" s="1"/>
      <c r="O14249" s="1"/>
      <c r="P14249" s="1"/>
      <c r="Q14249" s="1"/>
      <c r="R14249" s="1"/>
      <c r="S14249" s="1"/>
      <c r="T14249" s="1"/>
      <c r="U14249" s="1"/>
      <c r="V14249" s="1"/>
      <c r="W14249" s="1"/>
      <c r="X14249" s="1"/>
      <c r="Y14249" s="1"/>
      <c r="Z14249" s="1"/>
      <c r="AA14249" s="1"/>
      <c r="AB14249" s="1"/>
    </row>
    <row r="14250" ht="50.25" customHeight="1">
      <c r="A14250" s="12">
        <v>14246.0</v>
      </c>
      <c r="B14250" s="13" t="s">
        <v>13398</v>
      </c>
      <c r="C14250" s="14" t="s">
        <v>13484</v>
      </c>
      <c r="D14250" s="1"/>
      <c r="E14250" s="1"/>
      <c r="F14250" s="1" t="str">
        <f>IFERROR(__xludf.DUMMYFUNCTION("GOOGLETRANSLATE(B14250, ""en"", ""fa"")
"),"نکات کسب و کار کوچک")</f>
        <v>نکات کسب و کار کوچک</v>
      </c>
      <c r="G14250" s="1" t="str">
        <f>IFERROR(__xludf.DUMMYFUNCTION("GOOGLETRANSLATE(C14250, ""en"", ""fa"")
"),"برخی [نکات برای ایجاد فراخوان برای اقدام مؤثر]، مانند [استفاده از زبان کنش محور]، [ارائه مشوق ها]، و [ایجاد فوریت] چیست؟")</f>
        <v>برخی [نکات برای ایجاد فراخوان برای اقدام مؤثر]، مانند [استفاده از زبان کنش محور]، [ارائه مشوق ها]، و [ایجاد فوریت] چیست؟</v>
      </c>
      <c r="H14250" s="1"/>
      <c r="I14250" s="1"/>
      <c r="J14250" s="1"/>
      <c r="K14250" s="1"/>
      <c r="L14250" s="1"/>
      <c r="M14250" s="1"/>
      <c r="N14250" s="1"/>
      <c r="O14250" s="1"/>
      <c r="P14250" s="1"/>
      <c r="Q14250" s="1"/>
      <c r="R14250" s="1"/>
      <c r="S14250" s="1"/>
      <c r="T14250" s="1"/>
      <c r="U14250" s="1"/>
      <c r="V14250" s="1"/>
      <c r="W14250" s="1"/>
      <c r="X14250" s="1"/>
      <c r="Y14250" s="1"/>
      <c r="Z14250" s="1"/>
      <c r="AA14250" s="1"/>
      <c r="AB14250" s="1"/>
    </row>
    <row r="14251" ht="50.25" customHeight="1">
      <c r="A14251" s="12">
        <v>14247.0</v>
      </c>
      <c r="B14251" s="13" t="s">
        <v>13398</v>
      </c>
      <c r="C14251" s="14" t="s">
        <v>13485</v>
      </c>
      <c r="D14251" s="1"/>
      <c r="E14251" s="1"/>
      <c r="F14251" s="1" t="str">
        <f>IFERROR(__xludf.DUMMYFUNCTION("GOOGLETRANSLATE(B14251, ""en"", ""fa"")
"),"نکات کسب و کار کوچک")</f>
        <v>نکات کسب و کار کوچک</v>
      </c>
      <c r="G14251" s="1" t="str">
        <f>IFERROR(__xludf.DUMMYFUNCTION("GOOGLETRANSLATE(C14251, ""en"", ""fa"")
"),"چگونه می توانم [از تقسیم بندی مشتری] برای [ایجاد کمپین های بازاریابی هدفمند] و [بهبود تجربیات مشتری] استفاده کنم؟")</f>
        <v>چگونه می توانم [از تقسیم بندی مشتری] برای [ایجاد کمپین های بازاریابی هدفمند] و [بهبود تجربیات مشتری] استفاده کنم؟</v>
      </c>
      <c r="H14251" s="1"/>
      <c r="I14251" s="1"/>
      <c r="J14251" s="1"/>
      <c r="K14251" s="1"/>
      <c r="L14251" s="1"/>
      <c r="M14251" s="1"/>
      <c r="N14251" s="1"/>
      <c r="O14251" s="1"/>
      <c r="P14251" s="1"/>
      <c r="Q14251" s="1"/>
      <c r="R14251" s="1"/>
      <c r="S14251" s="1"/>
      <c r="T14251" s="1"/>
      <c r="U14251" s="1"/>
      <c r="V14251" s="1"/>
      <c r="W14251" s="1"/>
      <c r="X14251" s="1"/>
      <c r="Y14251" s="1"/>
      <c r="Z14251" s="1"/>
      <c r="AA14251" s="1"/>
      <c r="AB14251" s="1"/>
    </row>
    <row r="14252" ht="50.25" customHeight="1">
      <c r="A14252" s="12">
        <v>14248.0</v>
      </c>
      <c r="B14252" s="13" t="s">
        <v>13398</v>
      </c>
      <c r="C14252" s="14" t="s">
        <v>13486</v>
      </c>
      <c r="D14252" s="1"/>
      <c r="E14252" s="1"/>
      <c r="F14252" s="1" t="str">
        <f>IFERROR(__xludf.DUMMYFUNCTION("GOOGLETRANSLATE(B14252, ""en"", ""fa"")
"),"نکات کسب و کار کوچک")</f>
        <v>نکات کسب و کار کوچک</v>
      </c>
      <c r="G14252" s="1" t="str">
        <f>IFERROR(__xludf.DUMMYFUNCTION("GOOGLETRANSLATE(C14252, ""en"", ""fa"")
"),"[نکاتی برای مدیریت یک کمپین تبلیغاتی در رسانه های اجتماعی کسب و کار کوچک]، مانند [تعیین اهداف]، [آزمایش قالب های مختلف تبلیغات]، و [پیگیری معیارها] چیست؟")</f>
        <v>[نکاتی برای مدیریت یک کمپین تبلیغاتی در رسانه های اجتماعی کسب و کار کوچک]، مانند [تعیین اهداف]، [آزمایش قالب های مختلف تبلیغات]، و [پیگیری معیارها] چیست؟</v>
      </c>
      <c r="H14252" s="1"/>
      <c r="I14252" s="1"/>
      <c r="J14252" s="1"/>
      <c r="K14252" s="1"/>
      <c r="L14252" s="1"/>
      <c r="M14252" s="1"/>
      <c r="N14252" s="1"/>
      <c r="O14252" s="1"/>
      <c r="P14252" s="1"/>
      <c r="Q14252" s="1"/>
      <c r="R14252" s="1"/>
      <c r="S14252" s="1"/>
      <c r="T14252" s="1"/>
      <c r="U14252" s="1"/>
      <c r="V14252" s="1"/>
      <c r="W14252" s="1"/>
      <c r="X14252" s="1"/>
      <c r="Y14252" s="1"/>
      <c r="Z14252" s="1"/>
      <c r="AA14252" s="1"/>
      <c r="AB14252" s="1"/>
    </row>
    <row r="14253" ht="50.25" customHeight="1">
      <c r="A14253" s="12">
        <v>14249.0</v>
      </c>
      <c r="B14253" s="13" t="s">
        <v>13398</v>
      </c>
      <c r="C14253" s="14" t="s">
        <v>13487</v>
      </c>
      <c r="D14253" s="1"/>
      <c r="E14253" s="1"/>
      <c r="F14253" s="1" t="str">
        <f>IFERROR(__xludf.DUMMYFUNCTION("GOOGLETRANSLATE(B14253, ""en"", ""fa"")
"),"نکات کسب و کار کوچک")</f>
        <v>نکات کسب و کار کوچک</v>
      </c>
      <c r="G14253" s="1" t="str">
        <f>IFERROR(__xludf.DUMMYFUNCTION("GOOGLETRANSLATE(C14253, ""en"", ""fa"")
"),"یک طرح رشد کسب و کار کوچک را ترسیم کنید که شامل استراتژی هایی برای افزایش مقیاس عملیات، گسترش محصولات یا خدمات شما، ورود به بازارهای جدید یا کاوش در مشارکت های استراتژیک است.")</f>
        <v>یک طرح رشد کسب و کار کوچک را ترسیم کنید که شامل استراتژی هایی برای افزایش مقیاس عملیات، گسترش محصولات یا خدمات شما، ورود به بازارهای جدید یا کاوش در مشارکت های استراتژیک است.</v>
      </c>
      <c r="H14253" s="1"/>
      <c r="I14253" s="1"/>
      <c r="J14253" s="1"/>
      <c r="K14253" s="1"/>
      <c r="L14253" s="1"/>
      <c r="M14253" s="1"/>
      <c r="N14253" s="1"/>
      <c r="O14253" s="1"/>
      <c r="P14253" s="1"/>
      <c r="Q14253" s="1"/>
      <c r="R14253" s="1"/>
      <c r="S14253" s="1"/>
      <c r="T14253" s="1"/>
      <c r="U14253" s="1"/>
      <c r="V14253" s="1"/>
      <c r="W14253" s="1"/>
      <c r="X14253" s="1"/>
      <c r="Y14253" s="1"/>
      <c r="Z14253" s="1"/>
      <c r="AA14253" s="1"/>
      <c r="AB14253" s="1"/>
    </row>
    <row r="14254" ht="50.25" customHeight="1">
      <c r="A14254" s="12">
        <v>14250.0</v>
      </c>
      <c r="B14254" s="13" t="s">
        <v>13398</v>
      </c>
      <c r="C14254" s="14" t="s">
        <v>13488</v>
      </c>
      <c r="D14254" s="1"/>
      <c r="E14254" s="1"/>
      <c r="F14254" s="1" t="str">
        <f>IFERROR(__xludf.DUMMYFUNCTION("GOOGLETRANSLATE(B14254, ""en"", ""fa"")
"),"نکات کسب و کار کوچک")</f>
        <v>نکات کسب و کار کوچک</v>
      </c>
      <c r="G14254" s="1" t="str">
        <f>IFERROR(__xludf.DUMMYFUNCTION("GOOGLETRANSLATE(C14254, ""en"", ""fa"")
"),"یک کمپین بازاریابی مقرون‌به‌صرفه برای کسب‌وکار کوچک خود برنامه‌ریزی کنید که با استفاده از ترکیبی از کانال‌های بازاریابی دیجیتال و سنتی، دسترسی و تأثیر را در عین حفظ بودجه شما به حداکثر برساند.")</f>
        <v>یک کمپین بازاریابی مقرون‌به‌صرفه برای کسب‌وکار کوچک خود برنامه‌ریزی کنید که با استفاده از ترکیبی از کانال‌های بازاریابی دیجیتال و سنتی، دسترسی و تأثیر را در عین حفظ بودجه شما به حداکثر برساند.</v>
      </c>
      <c r="H14254" s="1"/>
      <c r="I14254" s="1"/>
      <c r="J14254" s="1"/>
      <c r="K14254" s="1"/>
      <c r="L14254" s="1"/>
      <c r="M14254" s="1"/>
      <c r="N14254" s="1"/>
      <c r="O14254" s="1"/>
      <c r="P14254" s="1"/>
      <c r="Q14254" s="1"/>
      <c r="R14254" s="1"/>
      <c r="S14254" s="1"/>
      <c r="T14254" s="1"/>
      <c r="U14254" s="1"/>
      <c r="V14254" s="1"/>
      <c r="W14254" s="1"/>
      <c r="X14254" s="1"/>
      <c r="Y14254" s="1"/>
      <c r="Z14254" s="1"/>
      <c r="AA14254" s="1"/>
      <c r="AB14254" s="1"/>
    </row>
    <row r="14255" ht="50.25" customHeight="1">
      <c r="A14255" s="12">
        <v>14251.0</v>
      </c>
      <c r="B14255" s="13" t="s">
        <v>13398</v>
      </c>
      <c r="C14255" s="14" t="s">
        <v>13489</v>
      </c>
      <c r="D14255" s="1"/>
      <c r="E14255" s="1"/>
      <c r="F14255" s="1" t="str">
        <f>IFERROR(__xludf.DUMMYFUNCTION("GOOGLETRANSLATE(B14255, ""en"", ""fa"")
"),"نکات کسب و کار کوچک")</f>
        <v>نکات کسب و کار کوچک</v>
      </c>
      <c r="G14255" s="1" t="str">
        <f>IFERROR(__xludf.DUMMYFUNCTION("GOOGLETRANSLATE(C14255, ""en"", ""fa"")
"),"بازگشت سرمایه (ROI) را برای تلاش های بازاریابی خود برای ارزیابی اثربخشی کمپین ها یا ابتکارات مختلف و تصمیم گیری مبتنی بر داده برای سرمایه گذاری های بازاریابی آتی محاسبه کنید.")</f>
        <v>بازگشت سرمایه (ROI) را برای تلاش های بازاریابی خود برای ارزیابی اثربخشی کمپین ها یا ابتکارات مختلف و تصمیم گیری مبتنی بر داده برای سرمایه گذاری های بازاریابی آتی محاسبه کنید.</v>
      </c>
      <c r="H14255" s="1"/>
      <c r="I14255" s="1"/>
      <c r="J14255" s="1"/>
      <c r="K14255" s="1"/>
      <c r="L14255" s="1"/>
      <c r="M14255" s="1"/>
      <c r="N14255" s="1"/>
      <c r="O14255" s="1"/>
      <c r="P14255" s="1"/>
      <c r="Q14255" s="1"/>
      <c r="R14255" s="1"/>
      <c r="S14255" s="1"/>
      <c r="T14255" s="1"/>
      <c r="U14255" s="1"/>
      <c r="V14255" s="1"/>
      <c r="W14255" s="1"/>
      <c r="X14255" s="1"/>
      <c r="Y14255" s="1"/>
      <c r="Z14255" s="1"/>
      <c r="AA14255" s="1"/>
      <c r="AB14255" s="1"/>
    </row>
    <row r="14256" ht="50.25" customHeight="1">
      <c r="A14256" s="12">
        <v>14252.0</v>
      </c>
      <c r="B14256" s="13" t="s">
        <v>13398</v>
      </c>
      <c r="C14256" s="14" t="s">
        <v>13490</v>
      </c>
      <c r="D14256" s="1"/>
      <c r="E14256" s="1"/>
      <c r="F14256" s="1" t="str">
        <f>IFERROR(__xludf.DUMMYFUNCTION("GOOGLETRANSLATE(B14256, ""en"", ""fa"")
"),"نکات کسب و کار کوچک")</f>
        <v>نکات کسب و کار کوچک</v>
      </c>
      <c r="G14256" s="1" t="str">
        <f>IFERROR(__xludf.DUMMYFUNCTION("GOOGLETRANSLATE(C14256, ""en"", ""fa"")
"),"مراحل ایجاد یک حضور آنلاین موثر برای کسب و کار کوچک خود را خلاصه کنید، از جمله ایجاد یک وب سایت کاربر پسند، بهینه سازی آن برای موتورهای جستجو، و استفاده از دایرکتوری های آنلاین و پلت فرم های بررسی.")</f>
        <v>مراحل ایجاد یک حضور آنلاین موثر برای کسب و کار کوچک خود را خلاصه کنید، از جمله ایجاد یک وب سایت کاربر پسند، بهینه سازی آن برای موتورهای جستجو، و استفاده از دایرکتوری های آنلاین و پلت فرم های بررسی.</v>
      </c>
      <c r="H14256" s="1"/>
      <c r="I14256" s="1"/>
      <c r="J14256" s="1"/>
      <c r="K14256" s="1"/>
      <c r="L14256" s="1"/>
      <c r="M14256" s="1"/>
      <c r="N14256" s="1"/>
      <c r="O14256" s="1"/>
      <c r="P14256" s="1"/>
      <c r="Q14256" s="1"/>
      <c r="R14256" s="1"/>
      <c r="S14256" s="1"/>
      <c r="T14256" s="1"/>
      <c r="U14256" s="1"/>
      <c r="V14256" s="1"/>
      <c r="W14256" s="1"/>
      <c r="X14256" s="1"/>
      <c r="Y14256" s="1"/>
      <c r="Z14256" s="1"/>
      <c r="AA14256" s="1"/>
      <c r="AB14256" s="1"/>
    </row>
    <row r="14257" ht="50.25" customHeight="1">
      <c r="A14257" s="12">
        <v>14253.0</v>
      </c>
      <c r="B14257" s="13" t="s">
        <v>13398</v>
      </c>
      <c r="C14257" s="14" t="s">
        <v>13491</v>
      </c>
      <c r="D14257" s="1"/>
      <c r="E14257" s="1"/>
      <c r="F14257" s="1" t="str">
        <f>IFERROR(__xludf.DUMMYFUNCTION("GOOGLETRANSLATE(B14257, ""en"", ""fa"")
"),"نکات کسب و کار کوچک")</f>
        <v>نکات کسب و کار کوچک</v>
      </c>
      <c r="G14257" s="1" t="str">
        <f>IFERROR(__xludf.DUMMYFUNCTION("GOOGLETRANSLATE(C14257, ""en"", ""fa"")
"),"اندازه بازار بالقوه و تقاضا برای محصول یا خدمات خود را تخمین بزنید، تحقیقات بازار را انجام دهید، روندهای صنعت را تجزیه و تحلیل کنید، و نیازها و ترجیحات مخاطبان هدف خود را شناسایی کنید.")</f>
        <v>اندازه بازار بالقوه و تقاضا برای محصول یا خدمات خود را تخمین بزنید، تحقیقات بازار را انجام دهید، روندهای صنعت را تجزیه و تحلیل کنید، و نیازها و ترجیحات مخاطبان هدف خود را شناسایی کنید.</v>
      </c>
      <c r="H14257" s="1"/>
      <c r="I14257" s="1"/>
      <c r="J14257" s="1"/>
      <c r="K14257" s="1"/>
      <c r="L14257" s="1"/>
      <c r="M14257" s="1"/>
      <c r="N14257" s="1"/>
      <c r="O14257" s="1"/>
      <c r="P14257" s="1"/>
      <c r="Q14257" s="1"/>
      <c r="R14257" s="1"/>
      <c r="S14257" s="1"/>
      <c r="T14257" s="1"/>
      <c r="U14257" s="1"/>
      <c r="V14257" s="1"/>
      <c r="W14257" s="1"/>
      <c r="X14257" s="1"/>
      <c r="Y14257" s="1"/>
      <c r="Z14257" s="1"/>
      <c r="AA14257" s="1"/>
      <c r="AB14257" s="1"/>
    </row>
    <row r="14258" ht="50.25" customHeight="1">
      <c r="A14258" s="12">
        <v>14254.0</v>
      </c>
      <c r="B14258" s="13" t="s">
        <v>13398</v>
      </c>
      <c r="C14258" s="14" t="s">
        <v>13492</v>
      </c>
      <c r="D14258" s="1"/>
      <c r="E14258" s="1"/>
      <c r="F14258" s="1" t="str">
        <f>IFERROR(__xludf.DUMMYFUNCTION("GOOGLETRANSLATE(B14258, ""en"", ""fa"")
"),"نکات کسب و کار کوچک")</f>
        <v>نکات کسب و کار کوچک</v>
      </c>
      <c r="G14258" s="1" t="str">
        <f>IFERROR(__xludf.DUMMYFUNCTION("GOOGLETRANSLATE(C14258, ""en"", ""fa"")
"),"یک برنامه حفظ مشتری بنویسید که شامل استراتژی هایی برای پرورش وفاداری مشتری، تقویت تجارت تکراری، و اجرای کمپین های بازاریابی شخصی برای حفظ مشتریان فعلی شما می شود.")</f>
        <v>یک برنامه حفظ مشتری بنویسید که شامل استراتژی هایی برای پرورش وفاداری مشتری، تقویت تجارت تکراری، و اجرای کمپین های بازاریابی شخصی برای حفظ مشتریان فعلی شما می شود.</v>
      </c>
      <c r="H14258" s="1"/>
      <c r="I14258" s="1"/>
      <c r="J14258" s="1"/>
      <c r="K14258" s="1"/>
      <c r="L14258" s="1"/>
      <c r="M14258" s="1"/>
      <c r="N14258" s="1"/>
      <c r="O14258" s="1"/>
      <c r="P14258" s="1"/>
      <c r="Q14258" s="1"/>
      <c r="R14258" s="1"/>
      <c r="S14258" s="1"/>
      <c r="T14258" s="1"/>
      <c r="U14258" s="1"/>
      <c r="V14258" s="1"/>
      <c r="W14258" s="1"/>
      <c r="X14258" s="1"/>
      <c r="Y14258" s="1"/>
      <c r="Z14258" s="1"/>
      <c r="AA14258" s="1"/>
      <c r="AB14258" s="1"/>
    </row>
    <row r="14259" ht="50.25" customHeight="1">
      <c r="A14259" s="12">
        <v>14255.0</v>
      </c>
      <c r="B14259" s="13" t="s">
        <v>13398</v>
      </c>
      <c r="C14259" s="14" t="s">
        <v>13493</v>
      </c>
      <c r="D14259" s="1"/>
      <c r="E14259" s="1"/>
      <c r="F14259" s="1" t="str">
        <f>IFERROR(__xludf.DUMMYFUNCTION("GOOGLETRANSLATE(B14259, ""en"", ""fa"")
"),"نکات کسب و کار کوچک")</f>
        <v>نکات کسب و کار کوچک</v>
      </c>
      <c r="G14259" s="1" t="str">
        <f>IFERROR(__xludf.DUMMYFUNCTION("GOOGLETRANSLATE(C14259, ""en"", ""fa"")
"),"نسبت‌ها و معیارهای مالی کلیدی را که باید به طور منظم برای ارزیابی سلامت مالی کسب‌وکار کوچک خود بررسی کنید، فهرست کنید، مانند حاشیه سود ناخالص، نسبت جریان نقدی و بازگشت سرمایه.")</f>
        <v>نسبت‌ها و معیارهای مالی کلیدی را که باید به طور منظم برای ارزیابی سلامت مالی کسب‌وکار کوچک خود بررسی کنید، فهرست کنید، مانند حاشیه سود ناخالص، نسبت جریان نقدی و بازگشت سرمایه.</v>
      </c>
      <c r="H14259" s="1"/>
      <c r="I14259" s="1"/>
      <c r="J14259" s="1"/>
      <c r="K14259" s="1"/>
      <c r="L14259" s="1"/>
      <c r="M14259" s="1"/>
      <c r="N14259" s="1"/>
      <c r="O14259" s="1"/>
      <c r="P14259" s="1"/>
      <c r="Q14259" s="1"/>
      <c r="R14259" s="1"/>
      <c r="S14259" s="1"/>
      <c r="T14259" s="1"/>
      <c r="U14259" s="1"/>
      <c r="V14259" s="1"/>
      <c r="W14259" s="1"/>
      <c r="X14259" s="1"/>
      <c r="Y14259" s="1"/>
      <c r="Z14259" s="1"/>
      <c r="AA14259" s="1"/>
      <c r="AB14259" s="1"/>
    </row>
    <row r="14260" ht="50.25" customHeight="1">
      <c r="A14260" s="12">
        <v>14256.0</v>
      </c>
      <c r="B14260" s="13" t="s">
        <v>13398</v>
      </c>
      <c r="C14260" s="14" t="s">
        <v>13494</v>
      </c>
      <c r="D14260" s="1"/>
      <c r="E14260" s="1"/>
      <c r="F14260" s="1" t="str">
        <f>IFERROR(__xludf.DUMMYFUNCTION("GOOGLETRANSLATE(B14260, ""en"", ""fa"")
"),"نکات کسب و کار کوچک")</f>
        <v>نکات کسب و کار کوچک</v>
      </c>
      <c r="G14260" s="1" t="str">
        <f>IFERROR(__xludf.DUMMYFUNCTION("GOOGLETRANSLATE(C14260, ""en"", ""fa"")
"),"عناصر ضروری یک استراتژی موفق شبکه‌سازی کسب و کار کوچک، از جمله شرکت در رویدادهای صنعتی، پیوستن به سازمان‌های حرفه‌ای و استفاده از پلتفرم‌های شبکه آنلاین را به صورت جزئی در نظر بگیرید.")</f>
        <v>عناصر ضروری یک استراتژی موفق شبکه‌سازی کسب و کار کوچک، از جمله شرکت در رویدادهای صنعتی، پیوستن به سازمان‌های حرفه‌ای و استفاده از پلتفرم‌های شبکه آنلاین را به صورت جزئی در نظر بگیرید.</v>
      </c>
      <c r="H14260" s="1"/>
      <c r="I14260" s="1"/>
      <c r="J14260" s="1"/>
      <c r="K14260" s="1"/>
      <c r="L14260" s="1"/>
      <c r="M14260" s="1"/>
      <c r="N14260" s="1"/>
      <c r="O14260" s="1"/>
      <c r="P14260" s="1"/>
      <c r="Q14260" s="1"/>
      <c r="R14260" s="1"/>
      <c r="S14260" s="1"/>
      <c r="T14260" s="1"/>
      <c r="U14260" s="1"/>
      <c r="V14260" s="1"/>
      <c r="W14260" s="1"/>
      <c r="X14260" s="1"/>
      <c r="Y14260" s="1"/>
      <c r="Z14260" s="1"/>
      <c r="AA14260" s="1"/>
      <c r="AB14260" s="1"/>
    </row>
    <row r="14261" ht="50.25" customHeight="1">
      <c r="A14261" s="12">
        <v>14257.0</v>
      </c>
      <c r="B14261" s="13" t="s">
        <v>13398</v>
      </c>
      <c r="C14261" s="14" t="s">
        <v>13495</v>
      </c>
      <c r="D14261" s="1"/>
      <c r="E14261" s="1"/>
      <c r="F14261" s="1" t="str">
        <f>IFERROR(__xludf.DUMMYFUNCTION("GOOGLETRANSLATE(B14261, ""en"", ""fa"")
"),"نکات کسب و کار کوچک")</f>
        <v>نکات کسب و کار کوچک</v>
      </c>
      <c r="G14261" s="1" t="str">
        <f>IFERROR(__xludf.DUMMYFUNCTION("GOOGLETRANSLATE(C14261, ""en"", ""fa"")
"),"یک برنامه ارجاع مشتری را برنامه ریزی کنید که مشتریان فعلی شما را تشویق کند تا مشتریان جدید را به کسب و کار کوچک شما معرفی کنند، با استفاده از پاداش یا تخفیف برای تشویق بازاریابی دهان به دهان.")</f>
        <v>یک برنامه ارجاع مشتری را برنامه ریزی کنید که مشتریان فعلی شما را تشویق کند تا مشتریان جدید را به کسب و کار کوچک شما معرفی کنند، با استفاده از پاداش یا تخفیف برای تشویق بازاریابی دهان به دهان.</v>
      </c>
      <c r="H14261" s="1"/>
      <c r="I14261" s="1"/>
      <c r="J14261" s="1"/>
      <c r="K14261" s="1"/>
      <c r="L14261" s="1"/>
      <c r="M14261" s="1"/>
      <c r="N14261" s="1"/>
      <c r="O14261" s="1"/>
      <c r="P14261" s="1"/>
      <c r="Q14261" s="1"/>
      <c r="R14261" s="1"/>
      <c r="S14261" s="1"/>
      <c r="T14261" s="1"/>
      <c r="U14261" s="1"/>
      <c r="V14261" s="1"/>
      <c r="W14261" s="1"/>
      <c r="X14261" s="1"/>
      <c r="Y14261" s="1"/>
      <c r="Z14261" s="1"/>
      <c r="AA14261" s="1"/>
      <c r="AB14261" s="1"/>
    </row>
    <row r="14262" ht="50.25" customHeight="1">
      <c r="A14262" s="12">
        <v>14258.0</v>
      </c>
      <c r="B14262" s="13" t="s">
        <v>13398</v>
      </c>
      <c r="C14262" s="14" t="s">
        <v>13496</v>
      </c>
      <c r="D14262" s="1"/>
      <c r="E14262" s="1"/>
      <c r="F14262" s="1" t="str">
        <f>IFERROR(__xludf.DUMMYFUNCTION("GOOGLETRANSLATE(B14262, ""en"", ""fa"")
"),"نکات کسب و کار کوچک")</f>
        <v>نکات کسب و کار کوچک</v>
      </c>
      <c r="G14262" s="1" t="str">
        <f>IFERROR(__xludf.DUMMYFUNCTION("GOOGLETRANSLATE(C14262, ""en"", ""fa"")
"),"یک استراتژی تمایز رقابتی ابداع کنید که جنبه‌های منحصربه‌فرد کسب‌وکار کوچک شما را برجسته می‌کند، خواه خدمات استثنایی به مشتریان، محصولات نوآورانه یا تمرکز بر بازار خاص باشد.")</f>
        <v>یک استراتژی تمایز رقابتی ابداع کنید که جنبه‌های منحصربه‌فرد کسب‌وکار کوچک شما را برجسته می‌کند، خواه خدمات استثنایی به مشتریان، محصولات نوآورانه یا تمرکز بر بازار خاص باشد.</v>
      </c>
      <c r="H14262" s="1"/>
      <c r="I14262" s="1"/>
      <c r="J14262" s="1"/>
      <c r="K14262" s="1"/>
      <c r="L14262" s="1"/>
      <c r="M14262" s="1"/>
      <c r="N14262" s="1"/>
      <c r="O14262" s="1"/>
      <c r="P14262" s="1"/>
      <c r="Q14262" s="1"/>
      <c r="R14262" s="1"/>
      <c r="S14262" s="1"/>
      <c r="T14262" s="1"/>
      <c r="U14262" s="1"/>
      <c r="V14262" s="1"/>
      <c r="W14262" s="1"/>
      <c r="X14262" s="1"/>
      <c r="Y14262" s="1"/>
      <c r="Z14262" s="1"/>
      <c r="AA14262" s="1"/>
      <c r="AB14262" s="1"/>
    </row>
    <row r="14263" ht="50.25" customHeight="1">
      <c r="A14263" s="12">
        <v>14259.0</v>
      </c>
      <c r="B14263" s="13" t="s">
        <v>13398</v>
      </c>
      <c r="C14263" s="14" t="s">
        <v>13497</v>
      </c>
      <c r="D14263" s="1"/>
      <c r="E14263" s="1"/>
      <c r="F14263" s="1" t="str">
        <f>IFERROR(__xludf.DUMMYFUNCTION("GOOGLETRANSLATE(B14263, ""en"", ""fa"")
"),"نکات کسب و کار کوچک")</f>
        <v>نکات کسب و کار کوچک</v>
      </c>
      <c r="G14263" s="1" t="str">
        <f>IFERROR(__xludf.DUMMYFUNCTION("GOOGLETRANSLATE(C14263, ""en"", ""fa"")
"),"یک اسکریپت یا طرح جامع فروش تهیه کنید که تیم فروش شما را در برقراری ارتباط موثر با ارزش پیشنهادی کسب و کار کوچک، رسیدگی به اعتراضات رایج و بستن معاملات راهنمایی کند.")</f>
        <v>یک اسکریپت یا طرح جامع فروش تهیه کنید که تیم فروش شما را در برقراری ارتباط موثر با ارزش پیشنهادی کسب و کار کوچک، رسیدگی به اعتراضات رایج و بستن معاملات راهنمایی کند.</v>
      </c>
      <c r="H14263" s="1"/>
      <c r="I14263" s="1"/>
      <c r="J14263" s="1"/>
      <c r="K14263" s="1"/>
      <c r="L14263" s="1"/>
      <c r="M14263" s="1"/>
      <c r="N14263" s="1"/>
      <c r="O14263" s="1"/>
      <c r="P14263" s="1"/>
      <c r="Q14263" s="1"/>
      <c r="R14263" s="1"/>
      <c r="S14263" s="1"/>
      <c r="T14263" s="1"/>
      <c r="U14263" s="1"/>
      <c r="V14263" s="1"/>
      <c r="W14263" s="1"/>
      <c r="X14263" s="1"/>
      <c r="Y14263" s="1"/>
      <c r="Z14263" s="1"/>
      <c r="AA14263" s="1"/>
      <c r="AB14263" s="1"/>
    </row>
    <row r="14264" ht="50.25" customHeight="1">
      <c r="A14264" s="12">
        <v>14260.0</v>
      </c>
      <c r="B14264" s="13" t="s">
        <v>13398</v>
      </c>
      <c r="C14264" s="14" t="s">
        <v>13498</v>
      </c>
      <c r="D14264" s="1"/>
      <c r="E14264" s="1"/>
      <c r="F14264" s="1" t="str">
        <f>IFERROR(__xludf.DUMMYFUNCTION("GOOGLETRANSLATE(B14264, ""en"", ""fa"")
"),"نکات کسب و کار کوچک")</f>
        <v>نکات کسب و کار کوچک</v>
      </c>
      <c r="G14264" s="1" t="str">
        <f>IFERROR(__xludf.DUMMYFUNCTION("GOOGLETRANSLATE(C14264, ""en"", ""fa"")
"),"یک طرح جانشینی کسب و کار کوچک را ترسیم کنید که به انتقال آینده مالکیت یا رهبری، با در نظر گرفتن عواملی مانند بازنشستگی، جانشینی خانوادگی یا فروش کسب و کار می پردازد.")</f>
        <v>یک طرح جانشینی کسب و کار کوچک را ترسیم کنید که به انتقال آینده مالکیت یا رهبری، با در نظر گرفتن عواملی مانند بازنشستگی، جانشینی خانوادگی یا فروش کسب و کار می پردازد.</v>
      </c>
      <c r="H14264" s="1"/>
      <c r="I14264" s="1"/>
      <c r="J14264" s="1"/>
      <c r="K14264" s="1"/>
      <c r="L14264" s="1"/>
      <c r="M14264" s="1"/>
      <c r="N14264" s="1"/>
      <c r="O14264" s="1"/>
      <c r="P14264" s="1"/>
      <c r="Q14264" s="1"/>
      <c r="R14264" s="1"/>
      <c r="S14264" s="1"/>
      <c r="T14264" s="1"/>
      <c r="U14264" s="1"/>
      <c r="V14264" s="1"/>
      <c r="W14264" s="1"/>
      <c r="X14264" s="1"/>
      <c r="Y14264" s="1"/>
      <c r="Z14264" s="1"/>
      <c r="AA14264" s="1"/>
      <c r="AB14264" s="1"/>
    </row>
    <row r="14265" ht="50.25" customHeight="1">
      <c r="A14265" s="12">
        <v>14261.0</v>
      </c>
      <c r="B14265" s="13" t="s">
        <v>13398</v>
      </c>
      <c r="C14265" s="14" t="s">
        <v>13499</v>
      </c>
      <c r="D14265" s="1"/>
      <c r="E14265" s="1"/>
      <c r="F14265" s="1" t="str">
        <f>IFERROR(__xludf.DUMMYFUNCTION("GOOGLETRANSLATE(B14265, ""en"", ""fa"")
"),"نکات کسب و کار کوچک")</f>
        <v>نکات کسب و کار کوچک</v>
      </c>
      <c r="G14265" s="1" t="str">
        <f>IFERROR(__xludf.DUMMYFUNCTION("GOOGLETRANSLATE(C14265, ""en"", ""fa"")
"),"یک استراتژی تبلیغاتی در رسانه های اجتماعی برنامه ریزی کنید که بودجه شما را بهینه می کند، جمعیت شناسی و علایق خاص را هدف قرار می دهد، از پلتفرم هایی مانند فیس بوک، اینستاگرام، لینکدین یا توییتر استفاده می کند.")</f>
        <v>یک استراتژی تبلیغاتی در رسانه های اجتماعی برنامه ریزی کنید که بودجه شما را بهینه می کند، جمعیت شناسی و علایق خاص را هدف قرار می دهد، از پلتفرم هایی مانند فیس بوک، اینستاگرام، لینکدین یا توییتر استفاده می کند.</v>
      </c>
      <c r="H14265" s="1"/>
      <c r="I14265" s="1"/>
      <c r="J14265" s="1"/>
      <c r="K14265" s="1"/>
      <c r="L14265" s="1"/>
      <c r="M14265" s="1"/>
      <c r="N14265" s="1"/>
      <c r="O14265" s="1"/>
      <c r="P14265" s="1"/>
      <c r="Q14265" s="1"/>
      <c r="R14265" s="1"/>
      <c r="S14265" s="1"/>
      <c r="T14265" s="1"/>
      <c r="U14265" s="1"/>
      <c r="V14265" s="1"/>
      <c r="W14265" s="1"/>
      <c r="X14265" s="1"/>
      <c r="Y14265" s="1"/>
      <c r="Z14265" s="1"/>
      <c r="AA14265" s="1"/>
      <c r="AB14265" s="1"/>
    </row>
    <row r="14266" ht="50.25" customHeight="1">
      <c r="A14266" s="12">
        <v>14262.0</v>
      </c>
      <c r="B14266" s="13" t="s">
        <v>13398</v>
      </c>
      <c r="C14266" s="14" t="s">
        <v>13500</v>
      </c>
      <c r="D14266" s="1"/>
      <c r="E14266" s="1"/>
      <c r="F14266" s="1" t="str">
        <f>IFERROR(__xludf.DUMMYFUNCTION("GOOGLETRANSLATE(B14266, ""en"", ""fa"")
"),"نکات کسب و کار کوچک")</f>
        <v>نکات کسب و کار کوچک</v>
      </c>
      <c r="G14266" s="1" t="str">
        <f>IFERROR(__xludf.DUMMYFUNCTION("GOOGLETRANSLATE(C14266, ""en"", ""fa"")
"),"هزینه هر اکتساب (CPA) را برای کمپین های بازاریابی خود محاسبه کنید تا متوجه شوید که جذب یک مشتری جدید چقدر هزینه دارد و به شما کمک می کند سودآوری کمپین را ارزیابی کنید و بودجه بازاریابی خود را بهینه کنید.")</f>
        <v>هزینه هر اکتساب (CPA) را برای کمپین های بازاریابی خود محاسبه کنید تا متوجه شوید که جذب یک مشتری جدید چقدر هزینه دارد و به شما کمک می کند سودآوری کمپین را ارزیابی کنید و بودجه بازاریابی خود را بهینه کنید.</v>
      </c>
      <c r="H14266" s="1"/>
      <c r="I14266" s="1"/>
      <c r="J14266" s="1"/>
      <c r="K14266" s="1"/>
      <c r="L14266" s="1"/>
      <c r="M14266" s="1"/>
      <c r="N14266" s="1"/>
      <c r="O14266" s="1"/>
      <c r="P14266" s="1"/>
      <c r="Q14266" s="1"/>
      <c r="R14266" s="1"/>
      <c r="S14266" s="1"/>
      <c r="T14266" s="1"/>
      <c r="U14266" s="1"/>
      <c r="V14266" s="1"/>
      <c r="W14266" s="1"/>
      <c r="X14266" s="1"/>
      <c r="Y14266" s="1"/>
      <c r="Z14266" s="1"/>
      <c r="AA14266" s="1"/>
      <c r="AB14266" s="1"/>
    </row>
    <row r="14267" ht="50.25" customHeight="1">
      <c r="A14267" s="12">
        <v>14263.0</v>
      </c>
      <c r="B14267" s="13" t="s">
        <v>13398</v>
      </c>
      <c r="C14267" s="14" t="s">
        <v>13501</v>
      </c>
      <c r="D14267" s="1"/>
      <c r="E14267" s="1"/>
      <c r="F14267" s="1" t="str">
        <f>IFERROR(__xludf.DUMMYFUNCTION("GOOGLETRANSLATE(B14267, ""en"", ""fa"")
"),"نکات کسب و کار کوچک")</f>
        <v>نکات کسب و کار کوچک</v>
      </c>
      <c r="G14267" s="1" t="str">
        <f>IFERROR(__xludf.DUMMYFUNCTION("GOOGLETRANSLATE(C14267, ""en"", ""fa"")
"),"مراحل ضروری ایجاد یک برنامه وفاداری مشتری موثر برای کسب و کار کوچک خود را خلاصه کنید، از جمله تعریف پاداش، تعیین معیارهای بازخرید، و اجرای یک سیستم ردیابی.")</f>
        <v>مراحل ضروری ایجاد یک برنامه وفاداری مشتری موثر برای کسب و کار کوچک خود را خلاصه کنید، از جمله تعریف پاداش، تعیین معیارهای بازخرید، و اجرای یک سیستم ردیابی.</v>
      </c>
      <c r="H14267" s="1"/>
      <c r="I14267" s="1"/>
      <c r="J14267" s="1"/>
      <c r="K14267" s="1"/>
      <c r="L14267" s="1"/>
      <c r="M14267" s="1"/>
      <c r="N14267" s="1"/>
      <c r="O14267" s="1"/>
      <c r="P14267" s="1"/>
      <c r="Q14267" s="1"/>
      <c r="R14267" s="1"/>
      <c r="S14267" s="1"/>
      <c r="T14267" s="1"/>
      <c r="U14267" s="1"/>
      <c r="V14267" s="1"/>
      <c r="W14267" s="1"/>
      <c r="X14267" s="1"/>
      <c r="Y14267" s="1"/>
      <c r="Z14267" s="1"/>
      <c r="AA14267" s="1"/>
      <c r="AB14267" s="1"/>
    </row>
    <row r="14268" ht="50.25" customHeight="1">
      <c r="A14268" s="12">
        <v>14264.0</v>
      </c>
      <c r="B14268" s="13" t="s">
        <v>13398</v>
      </c>
      <c r="C14268" s="14" t="s">
        <v>13502</v>
      </c>
      <c r="D14268" s="1"/>
      <c r="E14268" s="1"/>
      <c r="F14268" s="1" t="str">
        <f>IFERROR(__xludf.DUMMYFUNCTION("GOOGLETRANSLATE(B14268, ""en"", ""fa"")
"),"نکات کسب و کار کوچک")</f>
        <v>نکات کسب و کار کوچک</v>
      </c>
      <c r="G14268" s="1" t="str">
        <f>IFERROR(__xludf.DUMMYFUNCTION("GOOGLETRANSLATE(C14268, ""en"", ""fa"")
"),"بازگشت سرمایه بالقوه را برای پیاده سازی راه حل های فناوری در کسب و کار کوچک خود، مانند سیستم های نقطه فروش، نرم افزار مدیریت موجودی، یا ابزارهای مدیریت ارتباط با مشتری (CRM) تخمین بزنید.")</f>
        <v>بازگشت سرمایه بالقوه را برای پیاده سازی راه حل های فناوری در کسب و کار کوچک خود، مانند سیستم های نقطه فروش، نرم افزار مدیریت موجودی، یا ابزارهای مدیریت ارتباط با مشتری (CRM) تخمین بزنید.</v>
      </c>
      <c r="H14268" s="1"/>
      <c r="I14268" s="1"/>
      <c r="J14268" s="1"/>
      <c r="K14268" s="1"/>
      <c r="L14268" s="1"/>
      <c r="M14268" s="1"/>
      <c r="N14268" s="1"/>
      <c r="O14268" s="1"/>
      <c r="P14268" s="1"/>
      <c r="Q14268" s="1"/>
      <c r="R14268" s="1"/>
      <c r="S14268" s="1"/>
      <c r="T14268" s="1"/>
      <c r="U14268" s="1"/>
      <c r="V14268" s="1"/>
      <c r="W14268" s="1"/>
      <c r="X14268" s="1"/>
      <c r="Y14268" s="1"/>
      <c r="Z14268" s="1"/>
      <c r="AA14268" s="1"/>
      <c r="AB14268" s="1"/>
    </row>
    <row r="14269" ht="50.25" customHeight="1">
      <c r="A14269" s="12">
        <v>14265.0</v>
      </c>
      <c r="B14269" s="13" t="s">
        <v>13398</v>
      </c>
      <c r="C14269" s="14" t="s">
        <v>13503</v>
      </c>
      <c r="D14269" s="1"/>
      <c r="E14269" s="1"/>
      <c r="F14269" s="1" t="str">
        <f>IFERROR(__xludf.DUMMYFUNCTION("GOOGLETRANSLATE(B14269, ""en"", ""fa"")
"),"نکات کسب و کار کوچک")</f>
        <v>نکات کسب و کار کوچک</v>
      </c>
      <c r="G14269" s="1" t="str">
        <f>IFERROR(__xludf.DUMMYFUNCTION("GOOGLETRANSLATE(C14269, ""en"", ""fa"")
"),"یک فرآیند ارزیابی عملکرد جامع کارکنان را بنویسید که انتظارات روشنی را تعیین می کند، بازخورد سازنده ارائه می دهد و فرصت هایی را برای رشد و توسعه کارکنان شناسایی می کند.")</f>
        <v>یک فرآیند ارزیابی عملکرد جامع کارکنان را بنویسید که انتظارات روشنی را تعیین می کند، بازخورد سازنده ارائه می دهد و فرصت هایی را برای رشد و توسعه کارکنان شناسایی می کند.</v>
      </c>
      <c r="H14269" s="1"/>
      <c r="I14269" s="1"/>
      <c r="J14269" s="1"/>
      <c r="K14269" s="1"/>
      <c r="L14269" s="1"/>
      <c r="M14269" s="1"/>
      <c r="N14269" s="1"/>
      <c r="O14269" s="1"/>
      <c r="P14269" s="1"/>
      <c r="Q14269" s="1"/>
      <c r="R14269" s="1"/>
      <c r="S14269" s="1"/>
      <c r="T14269" s="1"/>
      <c r="U14269" s="1"/>
      <c r="V14269" s="1"/>
      <c r="W14269" s="1"/>
      <c r="X14269" s="1"/>
      <c r="Y14269" s="1"/>
      <c r="Z14269" s="1"/>
      <c r="AA14269" s="1"/>
      <c r="AB14269" s="1"/>
    </row>
    <row r="14270" ht="50.25" customHeight="1">
      <c r="A14270" s="12">
        <v>14266.0</v>
      </c>
      <c r="B14270" s="13" t="s">
        <v>13398</v>
      </c>
      <c r="C14270" s="14" t="s">
        <v>13504</v>
      </c>
      <c r="D14270" s="1"/>
      <c r="E14270" s="1"/>
      <c r="F14270" s="1" t="str">
        <f>IFERROR(__xludf.DUMMYFUNCTION("GOOGLETRANSLATE(B14270, ""en"", ""fa"")
"),"نکات کسب و کار کوچک")</f>
        <v>نکات کسب و کار کوچک</v>
      </c>
      <c r="G14270" s="1" t="str">
        <f>IFERROR(__xludf.DUMMYFUNCTION("GOOGLETRANSLATE(C14270, ""en"", ""fa"")
"),"ملاحظات کلیدی قانونی و انطباق برای کسب و کار کوچک خود را فهرست کنید، مانند مقررات حفاظت از داده ها، قوانین استخدام، حفاظت از مالکیت معنوی و تعهدات مالیاتی.")</f>
        <v>ملاحظات کلیدی قانونی و انطباق برای کسب و کار کوچک خود را فهرست کنید، مانند مقررات حفاظت از داده ها، قوانین استخدام، حفاظت از مالکیت معنوی و تعهدات مالیاتی.</v>
      </c>
      <c r="H14270" s="1"/>
      <c r="I14270" s="1"/>
      <c r="J14270" s="1"/>
      <c r="K14270" s="1"/>
      <c r="L14270" s="1"/>
      <c r="M14270" s="1"/>
      <c r="N14270" s="1"/>
      <c r="O14270" s="1"/>
      <c r="P14270" s="1"/>
      <c r="Q14270" s="1"/>
      <c r="R14270" s="1"/>
      <c r="S14270" s="1"/>
      <c r="T14270" s="1"/>
      <c r="U14270" s="1"/>
      <c r="V14270" s="1"/>
      <c r="W14270" s="1"/>
      <c r="X14270" s="1"/>
      <c r="Y14270" s="1"/>
      <c r="Z14270" s="1"/>
      <c r="AA14270" s="1"/>
      <c r="AB14270" s="1"/>
    </row>
    <row r="14271" ht="50.25" customHeight="1">
      <c r="A14271" s="12">
        <v>14267.0</v>
      </c>
      <c r="B14271" s="13" t="s">
        <v>13398</v>
      </c>
      <c r="C14271" s="14" t="s">
        <v>13505</v>
      </c>
      <c r="D14271" s="1"/>
      <c r="E14271" s="1"/>
      <c r="F14271" s="1" t="str">
        <f>IFERROR(__xludf.DUMMYFUNCTION("GOOGLETRANSLATE(B14271, ""en"", ""fa"")
"),"نکات کسب و کار کوچک")</f>
        <v>نکات کسب و کار کوچک</v>
      </c>
      <c r="G14271" s="1" t="str">
        <f>IFERROR(__xludf.DUMMYFUNCTION("GOOGLETRANSLATE(C14271, ""en"", ""fa"")
"),"عناصر ضروری یک کمپین بازاریابی ایمیلی موفق برای کسب و کار کوچک خود را مشخص کنید، از جمله ایجاد یک لیست ایمیل هدفمند، تولید محتوای جذاب و بهینه سازی نرخ باز و کلیک.")</f>
        <v>عناصر ضروری یک کمپین بازاریابی ایمیلی موفق برای کسب و کار کوچک خود را مشخص کنید، از جمله ایجاد یک لیست ایمیل هدفمند، تولید محتوای جذاب و بهینه سازی نرخ باز و کلیک.</v>
      </c>
      <c r="H14271" s="1"/>
      <c r="I14271" s="1"/>
      <c r="J14271" s="1"/>
      <c r="K14271" s="1"/>
      <c r="L14271" s="1"/>
      <c r="M14271" s="1"/>
      <c r="N14271" s="1"/>
      <c r="O14271" s="1"/>
      <c r="P14271" s="1"/>
      <c r="Q14271" s="1"/>
      <c r="R14271" s="1"/>
      <c r="S14271" s="1"/>
      <c r="T14271" s="1"/>
      <c r="U14271" s="1"/>
      <c r="V14271" s="1"/>
      <c r="W14271" s="1"/>
      <c r="X14271" s="1"/>
      <c r="Y14271" s="1"/>
      <c r="Z14271" s="1"/>
      <c r="AA14271" s="1"/>
      <c r="AB14271" s="1"/>
    </row>
    <row r="14272" ht="50.25" customHeight="1">
      <c r="A14272" s="12">
        <v>14268.0</v>
      </c>
      <c r="B14272" s="13" t="s">
        <v>13398</v>
      </c>
      <c r="C14272" s="14" t="s">
        <v>13506</v>
      </c>
      <c r="D14272" s="1"/>
      <c r="E14272" s="1"/>
      <c r="F14272" s="1" t="str">
        <f>IFERROR(__xludf.DUMMYFUNCTION("GOOGLETRANSLATE(B14272, ""en"", ""fa"")
"),"نکات کسب و کار کوچک")</f>
        <v>نکات کسب و کار کوچک</v>
      </c>
      <c r="G14272" s="1" t="str">
        <f>IFERROR(__xludf.DUMMYFUNCTION("GOOGLETRANSLATE(C14272, ""en"", ""fa"")
"),"یک استراتژی تقسیم بندی مشتری برای تقسیم بازار هدف خود به گروه های متمایز بر اساس جمعیت شناسی، روانشناسی یا رفتار خرید برنامه ریزی کنید تا امکان بازاریابی و پیام رسانی شخصی تر را فراهم کنید.")</f>
        <v>یک استراتژی تقسیم بندی مشتری برای تقسیم بازار هدف خود به گروه های متمایز بر اساس جمعیت شناسی، روانشناسی یا رفتار خرید برنامه ریزی کنید تا امکان بازاریابی و پیام رسانی شخصی تر را فراهم کنید.</v>
      </c>
      <c r="H14272" s="1"/>
      <c r="I14272" s="1"/>
      <c r="J14272" s="1"/>
      <c r="K14272" s="1"/>
      <c r="L14272" s="1"/>
      <c r="M14272" s="1"/>
      <c r="N14272" s="1"/>
      <c r="O14272" s="1"/>
      <c r="P14272" s="1"/>
      <c r="Q14272" s="1"/>
      <c r="R14272" s="1"/>
      <c r="S14272" s="1"/>
      <c r="T14272" s="1"/>
      <c r="U14272" s="1"/>
      <c r="V14272" s="1"/>
      <c r="W14272" s="1"/>
      <c r="X14272" s="1"/>
      <c r="Y14272" s="1"/>
      <c r="Z14272" s="1"/>
      <c r="AA14272" s="1"/>
      <c r="AB14272" s="1"/>
    </row>
    <row r="14273" ht="50.25" customHeight="1">
      <c r="A14273" s="12">
        <v>14269.0</v>
      </c>
      <c r="B14273" s="13" t="s">
        <v>13398</v>
      </c>
      <c r="C14273" s="14" t="s">
        <v>13507</v>
      </c>
      <c r="D14273" s="1"/>
      <c r="E14273" s="1"/>
      <c r="F14273" s="1" t="str">
        <f>IFERROR(__xludf.DUMMYFUNCTION("GOOGLETRANSLATE(B14273, ""en"", ""fa"")
"),"نکات کسب و کار کوچک")</f>
        <v>نکات کسب و کار کوچک</v>
      </c>
      <c r="G14273" s="1" t="str">
        <f>IFERROR(__xludf.DUMMYFUNCTION("GOOGLETRANSLATE(C14273, ""en"", ""fa"")
"),"استراتژی خدمات مشتری مقرون به صرفه ای را ابداع کنید که رضایت مشتری را با کارایی عملیاتی متعادل می کند، از راه حل های فناوری مانند چت بات ها، پایگاه های دانش و گزینه های سلف سرویس استفاده می کند.")</f>
        <v>استراتژی خدمات مشتری مقرون به صرفه ای را ابداع کنید که رضایت مشتری را با کارایی عملیاتی متعادل می کند، از راه حل های فناوری مانند چت بات ها، پایگاه های دانش و گزینه های سلف سرویس استفاده می کند.</v>
      </c>
      <c r="H14273" s="1"/>
      <c r="I14273" s="1"/>
      <c r="J14273" s="1"/>
      <c r="K14273" s="1"/>
      <c r="L14273" s="1"/>
      <c r="M14273" s="1"/>
      <c r="N14273" s="1"/>
      <c r="O14273" s="1"/>
      <c r="P14273" s="1"/>
      <c r="Q14273" s="1"/>
      <c r="R14273" s="1"/>
      <c r="S14273" s="1"/>
      <c r="T14273" s="1"/>
      <c r="U14273" s="1"/>
      <c r="V14273" s="1"/>
      <c r="W14273" s="1"/>
      <c r="X14273" s="1"/>
      <c r="Y14273" s="1"/>
      <c r="Z14273" s="1"/>
      <c r="AA14273" s="1"/>
      <c r="AB14273" s="1"/>
    </row>
    <row r="14274" ht="50.25" customHeight="1">
      <c r="A14274" s="12">
        <v>14270.0</v>
      </c>
      <c r="B14274" s="13" t="s">
        <v>13398</v>
      </c>
      <c r="C14274" s="14" t="s">
        <v>13508</v>
      </c>
      <c r="D14274" s="1"/>
      <c r="E14274" s="1"/>
      <c r="F14274" s="1" t="str">
        <f>IFERROR(__xludf.DUMMYFUNCTION("GOOGLETRANSLATE(B14274, ""en"", ""fa"")
"),"نکات کسب و کار کوچک")</f>
        <v>نکات کسب و کار کوچک</v>
      </c>
      <c r="G14274" s="1" t="str">
        <f>IFERROR(__xludf.DUMMYFUNCTION("GOOGLETRANSLATE(C14274, ""en"", ""fa"")
"),"یک طرح مدیریت بحران تهیه کنید که پروتکل‌ها و روش‌های پاسخگویی به شرایط اضطراری، مسائل روابط عمومی یا رویدادهای غیرمنتظره‌ای را که ممکن است بر شهرت کسب‌وکار کوچک شما تأثیر بگذارد، ترسیم کند.")</f>
        <v>یک طرح مدیریت بحران تهیه کنید که پروتکل‌ها و روش‌های پاسخگویی به شرایط اضطراری، مسائل روابط عمومی یا رویدادهای غیرمنتظره‌ای را که ممکن است بر شهرت کسب‌وکار کوچک شما تأثیر بگذارد، ترسیم کند.</v>
      </c>
      <c r="H14274" s="1"/>
      <c r="I14274" s="1"/>
      <c r="J14274" s="1"/>
      <c r="K14274" s="1"/>
      <c r="L14274" s="1"/>
      <c r="M14274" s="1"/>
      <c r="N14274" s="1"/>
      <c r="O14274" s="1"/>
      <c r="P14274" s="1"/>
      <c r="Q14274" s="1"/>
      <c r="R14274" s="1"/>
      <c r="S14274" s="1"/>
      <c r="T14274" s="1"/>
      <c r="U14274" s="1"/>
      <c r="V14274" s="1"/>
      <c r="W14274" s="1"/>
      <c r="X14274" s="1"/>
      <c r="Y14274" s="1"/>
      <c r="Z14274" s="1"/>
      <c r="AA14274" s="1"/>
      <c r="AB14274" s="1"/>
    </row>
    <row r="14275" ht="50.25" customHeight="1">
      <c r="A14275" s="12">
        <v>14271.0</v>
      </c>
      <c r="B14275" s="13" t="s">
        <v>13398</v>
      </c>
      <c r="C14275" s="14" t="s">
        <v>13509</v>
      </c>
      <c r="D14275" s="1"/>
      <c r="E14275" s="1"/>
      <c r="F14275" s="1" t="str">
        <f>IFERROR(__xludf.DUMMYFUNCTION("GOOGLETRANSLATE(B14275, ""en"", ""fa"")
"),"نکات کسب و کار کوچک")</f>
        <v>نکات کسب و کار کوچک</v>
      </c>
      <c r="G14275" s="1" t="str">
        <f>IFERROR(__xludf.DUMMYFUNCTION("GOOGLETRANSLATE(C14275, ""en"", ""fa"")
"),"یک طرح پایداری کسب و کار کوچک را ترسیم کنید که بر به حداقل رساندن تأثیرات زیست محیطی، کاهش ضایعات، و اتخاذ شیوه های دوستدار محیط زیست، همسو با روند رو به رشد مصرف گرایی آگاهانه تمرکز دارد.")</f>
        <v>یک طرح پایداری کسب و کار کوچک را ترسیم کنید که بر به حداقل رساندن تأثیرات زیست محیطی، کاهش ضایعات، و اتخاذ شیوه های دوستدار محیط زیست، همسو با روند رو به رشد مصرف گرایی آگاهانه تمرکز دارد.</v>
      </c>
      <c r="H14275" s="1"/>
      <c r="I14275" s="1"/>
      <c r="J14275" s="1"/>
      <c r="K14275" s="1"/>
      <c r="L14275" s="1"/>
      <c r="M14275" s="1"/>
      <c r="N14275" s="1"/>
      <c r="O14275" s="1"/>
      <c r="P14275" s="1"/>
      <c r="Q14275" s="1"/>
      <c r="R14275" s="1"/>
      <c r="S14275" s="1"/>
      <c r="T14275" s="1"/>
      <c r="U14275" s="1"/>
      <c r="V14275" s="1"/>
      <c r="W14275" s="1"/>
      <c r="X14275" s="1"/>
      <c r="Y14275" s="1"/>
      <c r="Z14275" s="1"/>
      <c r="AA14275" s="1"/>
      <c r="AB14275" s="1"/>
    </row>
    <row r="14276" ht="50.25" customHeight="1">
      <c r="A14276" s="12">
        <v>14272.0</v>
      </c>
      <c r="B14276" s="13" t="s">
        <v>13398</v>
      </c>
      <c r="C14276" s="14" t="s">
        <v>13510</v>
      </c>
      <c r="D14276" s="1"/>
      <c r="E14276" s="1"/>
      <c r="F14276" s="1" t="str">
        <f>IFERROR(__xludf.DUMMYFUNCTION("GOOGLETRANSLATE(B14276, ""en"", ""fa"")
"),"نکات کسب و کار کوچک")</f>
        <v>نکات کسب و کار کوچک</v>
      </c>
      <c r="G14276" s="1" t="str">
        <f>IFERROR(__xludf.DUMMYFUNCTION("GOOGLETRANSLATE(C14276, ""en"", ""fa"")
"),"یک استراتژی بازاریابی محلی برای افزایش دید و جذب مشتریان در منطقه نزدیک خود برنامه ریزی کنید، از جمله تاکتیک هایی مانند SEO محلی، مشارکت های اجتماعی، حمایت مالی از رویدادهای محلی یا شرکت در فهرست های محلی.")</f>
        <v>یک استراتژی بازاریابی محلی برای افزایش دید و جذب مشتریان در منطقه نزدیک خود برنامه ریزی کنید، از جمله تاکتیک هایی مانند SEO محلی، مشارکت های اجتماعی، حمایت مالی از رویدادهای محلی یا شرکت در فهرست های محلی.</v>
      </c>
      <c r="H14276" s="1"/>
      <c r="I14276" s="1"/>
      <c r="J14276" s="1"/>
      <c r="K14276" s="1"/>
      <c r="L14276" s="1"/>
      <c r="M14276" s="1"/>
      <c r="N14276" s="1"/>
      <c r="O14276" s="1"/>
      <c r="P14276" s="1"/>
      <c r="Q14276" s="1"/>
      <c r="R14276" s="1"/>
      <c r="S14276" s="1"/>
      <c r="T14276" s="1"/>
      <c r="U14276" s="1"/>
      <c r="V14276" s="1"/>
      <c r="W14276" s="1"/>
      <c r="X14276" s="1"/>
      <c r="Y14276" s="1"/>
      <c r="Z14276" s="1"/>
      <c r="AA14276" s="1"/>
      <c r="AB14276" s="1"/>
    </row>
    <row r="14277" ht="50.25" customHeight="1">
      <c r="A14277" s="12">
        <v>14273.0</v>
      </c>
      <c r="B14277" s="13" t="s">
        <v>13398</v>
      </c>
      <c r="C14277" s="14" t="s">
        <v>13511</v>
      </c>
      <c r="D14277" s="1"/>
      <c r="E14277" s="1"/>
      <c r="F14277" s="1" t="str">
        <f>IFERROR(__xludf.DUMMYFUNCTION("GOOGLETRANSLATE(B14277, ""en"", ""fa"")
"),"نکات کسب و کار کوچک")</f>
        <v>نکات کسب و کار کوچک</v>
      </c>
      <c r="G14277" s="1" t="str">
        <f>IFERROR(__xludf.DUMMYFUNCTION("GOOGLETRANSLATE(C14277, ""en"", ""fa"")
"),"برای درک ارزش حفظ مشتری و اولویت‌بندی تلاش‌ها برای ایجاد وفاداری مشتری، هزینه جذب مشتری جدید در مقابل حفظ مشتری فعلی را محاسبه کنید.")</f>
        <v>برای درک ارزش حفظ مشتری و اولویت‌بندی تلاش‌ها برای ایجاد وفاداری مشتری، هزینه جذب مشتری جدید در مقابل حفظ مشتری فعلی را محاسبه کنید.</v>
      </c>
      <c r="H14277" s="1"/>
      <c r="I14277" s="1"/>
      <c r="J14277" s="1"/>
      <c r="K14277" s="1"/>
      <c r="L14277" s="1"/>
      <c r="M14277" s="1"/>
      <c r="N14277" s="1"/>
      <c r="O14277" s="1"/>
      <c r="P14277" s="1"/>
      <c r="Q14277" s="1"/>
      <c r="R14277" s="1"/>
      <c r="S14277" s="1"/>
      <c r="T14277" s="1"/>
      <c r="U14277" s="1"/>
      <c r="V14277" s="1"/>
      <c r="W14277" s="1"/>
      <c r="X14277" s="1"/>
      <c r="Y14277" s="1"/>
      <c r="Z14277" s="1"/>
      <c r="AA14277" s="1"/>
      <c r="AB14277" s="1"/>
    </row>
    <row r="14278" ht="50.25" customHeight="1">
      <c r="A14278" s="12">
        <v>14274.0</v>
      </c>
      <c r="B14278" s="13" t="s">
        <v>13398</v>
      </c>
      <c r="C14278" s="14" t="s">
        <v>13512</v>
      </c>
      <c r="D14278" s="1"/>
      <c r="E14278" s="1"/>
      <c r="F14278" s="1" t="str">
        <f>IFERROR(__xludf.DUMMYFUNCTION("GOOGLETRANSLATE(B14278, ""en"", ""fa"")
"),"نکات کسب و کار کوچک")</f>
        <v>نکات کسب و کار کوچک</v>
      </c>
      <c r="G14278" s="1" t="str">
        <f>IFERROR(__xludf.DUMMYFUNCTION("GOOGLETRANSLATE(C14278, ""en"", ""fa"")
"),"مراحل انجام تجزیه و تحلیل SWOT برای کسب و کار کوچک خود را خلاصه کنید، نقاط قوت، ضعف، فرصت ها و تهدیدهای آن را ارزیابی کنید تا به تصمیم گیری استراتژیک اطلاع دهید.")</f>
        <v>مراحل انجام تجزیه و تحلیل SWOT برای کسب و کار کوچک خود را خلاصه کنید، نقاط قوت، ضعف، فرصت ها و تهدیدهای آن را ارزیابی کنید تا به تصمیم گیری استراتژیک اطلاع دهید.</v>
      </c>
      <c r="H14278" s="1"/>
      <c r="I14278" s="1"/>
      <c r="J14278" s="1"/>
      <c r="K14278" s="1"/>
      <c r="L14278" s="1"/>
      <c r="M14278" s="1"/>
      <c r="N14278" s="1"/>
      <c r="O14278" s="1"/>
      <c r="P14278" s="1"/>
      <c r="Q14278" s="1"/>
      <c r="R14278" s="1"/>
      <c r="S14278" s="1"/>
      <c r="T14278" s="1"/>
      <c r="U14278" s="1"/>
      <c r="V14278" s="1"/>
      <c r="W14278" s="1"/>
      <c r="X14278" s="1"/>
      <c r="Y14278" s="1"/>
      <c r="Z14278" s="1"/>
      <c r="AA14278" s="1"/>
      <c r="AB14278" s="1"/>
    </row>
    <row r="14279" ht="50.25" customHeight="1">
      <c r="A14279" s="12">
        <v>14275.0</v>
      </c>
      <c r="B14279" s="13" t="s">
        <v>13398</v>
      </c>
      <c r="C14279" s="14" t="s">
        <v>13513</v>
      </c>
      <c r="D14279" s="1"/>
      <c r="E14279" s="1"/>
      <c r="F14279" s="1" t="str">
        <f>IFERROR(__xludf.DUMMYFUNCTION("GOOGLETRANSLATE(B14279, ""en"", ""fa"")
"),"نکات کسب و کار کوچک")</f>
        <v>نکات کسب و کار کوچک</v>
      </c>
      <c r="G14279" s="1" t="str">
        <f>IFERROR(__xludf.DUMMYFUNCTION("GOOGLETRANSLATE(C14279, ""en"", ""fa"")
"),"با در نظر گرفتن عواملی مانند توسعه وب سایت، پردازش پرداخت و تدارکات، هزینه و امکان اجرای یک پلت فرم تجارت الکترونیک را برای کسب و کار کوچک خود تخمین بزنید.")</f>
        <v>با در نظر گرفتن عواملی مانند توسعه وب سایت، پردازش پرداخت و تدارکات، هزینه و امکان اجرای یک پلت فرم تجارت الکترونیک را برای کسب و کار کوچک خود تخمین بزنید.</v>
      </c>
      <c r="H14279" s="1"/>
      <c r="I14279" s="1"/>
      <c r="J14279" s="1"/>
      <c r="K14279" s="1"/>
      <c r="L14279" s="1"/>
      <c r="M14279" s="1"/>
      <c r="N14279" s="1"/>
      <c r="O14279" s="1"/>
      <c r="P14279" s="1"/>
      <c r="Q14279" s="1"/>
      <c r="R14279" s="1"/>
      <c r="S14279" s="1"/>
      <c r="T14279" s="1"/>
      <c r="U14279" s="1"/>
      <c r="V14279" s="1"/>
      <c r="W14279" s="1"/>
      <c r="X14279" s="1"/>
      <c r="Y14279" s="1"/>
      <c r="Z14279" s="1"/>
      <c r="AA14279" s="1"/>
      <c r="AB14279" s="1"/>
    </row>
    <row r="14280" ht="50.25" customHeight="1">
      <c r="A14280" s="12">
        <v>14276.0</v>
      </c>
      <c r="B14280" s="13" t="s">
        <v>13398</v>
      </c>
      <c r="C14280" s="14" t="s">
        <v>13514</v>
      </c>
      <c r="D14280" s="1"/>
      <c r="E14280" s="1"/>
      <c r="F14280" s="1" t="str">
        <f>IFERROR(__xludf.DUMMYFUNCTION("GOOGLETRANSLATE(B14280, ""en"", ""fa"")
"),"نکات کسب و کار کوچک")</f>
        <v>نکات کسب و کار کوچک</v>
      </c>
      <c r="G14280" s="1" t="str">
        <f>IFERROR(__xludf.DUMMYFUNCTION("GOOGLETRANSLATE(C14280, ""en"", ""fa"")
"),"یک راهنمای سبک نام تجاری بنویسید که هویت بصری کسب و کار کوچک شما را مشخص می کند، از جمله استفاده از لوگو، پالت های رنگی، تایپوگرافی، و دستورالعمل های برند برای ارتباط ثابت.")</f>
        <v>یک راهنمای سبک نام تجاری بنویسید که هویت بصری کسب و کار کوچک شما را مشخص می کند، از جمله استفاده از لوگو، پالت های رنگی، تایپوگرافی، و دستورالعمل های برند برای ارتباط ثابت.</v>
      </c>
      <c r="H14280" s="1"/>
      <c r="I14280" s="1"/>
      <c r="J14280" s="1"/>
      <c r="K14280" s="1"/>
      <c r="L14280" s="1"/>
      <c r="M14280" s="1"/>
      <c r="N14280" s="1"/>
      <c r="O14280" s="1"/>
      <c r="P14280" s="1"/>
      <c r="Q14280" s="1"/>
      <c r="R14280" s="1"/>
      <c r="S14280" s="1"/>
      <c r="T14280" s="1"/>
      <c r="U14280" s="1"/>
      <c r="V14280" s="1"/>
      <c r="W14280" s="1"/>
      <c r="X14280" s="1"/>
      <c r="Y14280" s="1"/>
      <c r="Z14280" s="1"/>
      <c r="AA14280" s="1"/>
      <c r="AB14280" s="1"/>
    </row>
    <row r="14281" ht="50.25" customHeight="1">
      <c r="A14281" s="12">
        <v>14277.0</v>
      </c>
      <c r="B14281" s="13" t="s">
        <v>13398</v>
      </c>
      <c r="C14281" s="14" t="s">
        <v>13515</v>
      </c>
      <c r="D14281" s="1"/>
      <c r="E14281" s="1"/>
      <c r="F14281" s="1" t="str">
        <f>IFERROR(__xludf.DUMMYFUNCTION("GOOGLETRANSLATE(B14281, ""en"", ""fa"")
"),"نکات کسب و کار کوچک")</f>
        <v>نکات کسب و کار کوچک</v>
      </c>
      <c r="G14281" s="1" t="str">
        <f>IFERROR(__xludf.DUMMYFUNCTION("GOOGLETRANSLATE(C14281, ""en"", ""fa"")
"),"اجزای ضروری یک قیف فروش موثر کسب و کار کوچک را فهرست کنید، از جمله تولید سرنخ، پرورش سرنخ، بهینه سازی تبدیل و استراتژی های حفظ مشتری.")</f>
        <v>اجزای ضروری یک قیف فروش موثر کسب و کار کوچک را فهرست کنید، از جمله تولید سرنخ، پرورش سرنخ، بهینه سازی تبدیل و استراتژی های حفظ مشتری.</v>
      </c>
      <c r="H14281" s="1"/>
      <c r="I14281" s="1"/>
      <c r="J14281" s="1"/>
      <c r="K14281" s="1"/>
      <c r="L14281" s="1"/>
      <c r="M14281" s="1"/>
      <c r="N14281" s="1"/>
      <c r="O14281" s="1"/>
      <c r="P14281" s="1"/>
      <c r="Q14281" s="1"/>
      <c r="R14281" s="1"/>
      <c r="S14281" s="1"/>
      <c r="T14281" s="1"/>
      <c r="U14281" s="1"/>
      <c r="V14281" s="1"/>
      <c r="W14281" s="1"/>
      <c r="X14281" s="1"/>
      <c r="Y14281" s="1"/>
      <c r="Z14281" s="1"/>
      <c r="AA14281" s="1"/>
      <c r="AB14281" s="1"/>
    </row>
    <row r="14282" ht="50.25" customHeight="1">
      <c r="A14282" s="12">
        <v>14278.0</v>
      </c>
      <c r="B14282" s="13" t="s">
        <v>13398</v>
      </c>
      <c r="C14282" s="14" t="s">
        <v>13516</v>
      </c>
      <c r="D14282" s="1"/>
      <c r="E14282" s="1"/>
      <c r="F14282" s="1" t="str">
        <f>IFERROR(__xludf.DUMMYFUNCTION("GOOGLETRANSLATE(B14282, ""en"", ""fa"")
"),"نکات کسب و کار کوچک")</f>
        <v>نکات کسب و کار کوچک</v>
      </c>
      <c r="G14282" s="1" t="str">
        <f>IFERROR(__xludf.DUMMYFUNCTION("GOOGLETRANSLATE(C14282, ""en"", ""fa"")
"),"مراحل مربوط به ایجاد یک طرح تداوم کسب و کار را مشخص کنید که رویه‌ها و پروتکل‌هایی را مشخص می‌کند تا اطمینان حاصل شود که کسب‌وکار کوچک شما می‌تواند در هنگام اختلالات یا شرایط اضطراری به فعالیت خود ادامه دهد.")</f>
        <v>مراحل مربوط به ایجاد یک طرح تداوم کسب و کار را مشخص کنید که رویه‌ها و پروتکل‌هایی را مشخص می‌کند تا اطمینان حاصل شود که کسب‌وکار کوچک شما می‌تواند در هنگام اختلالات یا شرایط اضطراری به فعالیت خود ادامه دهد.</v>
      </c>
      <c r="H14282" s="1"/>
      <c r="I14282" s="1"/>
      <c r="J14282" s="1"/>
      <c r="K14282" s="1"/>
      <c r="L14282" s="1"/>
      <c r="M14282" s="1"/>
      <c r="N14282" s="1"/>
      <c r="O14282" s="1"/>
      <c r="P14282" s="1"/>
      <c r="Q14282" s="1"/>
      <c r="R14282" s="1"/>
      <c r="S14282" s="1"/>
      <c r="T14282" s="1"/>
      <c r="U14282" s="1"/>
      <c r="V14282" s="1"/>
      <c r="W14282" s="1"/>
      <c r="X14282" s="1"/>
      <c r="Y14282" s="1"/>
      <c r="Z14282" s="1"/>
      <c r="AA14282" s="1"/>
      <c r="AB14282" s="1"/>
    </row>
    <row r="14283" ht="50.25" customHeight="1">
      <c r="A14283" s="12">
        <v>14279.0</v>
      </c>
      <c r="B14283" s="13" t="s">
        <v>13398</v>
      </c>
      <c r="C14283" s="14" t="s">
        <v>13517</v>
      </c>
      <c r="D14283" s="1"/>
      <c r="E14283" s="1"/>
      <c r="F14283" s="1" t="str">
        <f>IFERROR(__xludf.DUMMYFUNCTION("GOOGLETRANSLATE(B14283, ""en"", ""fa"")
"),"نکات کسب و کار کوچک")</f>
        <v>نکات کسب و کار کوچک</v>
      </c>
      <c r="G14283" s="1" t="str">
        <f>IFERROR(__xludf.DUMMYFUNCTION("GOOGLETRANSLATE(C14283, ""en"", ""fa"")
"),"یک ابتکار مسئولیت اجتماعی کسب و کار کوچک را برنامه ریزی کنید که با ارزش های شما همسو باشد و کارمندان و مشتریان شما را درگیر کند، مانند برنامه های داوطلبانه، مشارکت های خیریه، یا شیوه های پایدار.")</f>
        <v>یک ابتکار مسئولیت اجتماعی کسب و کار کوچک را برنامه ریزی کنید که با ارزش های شما همسو باشد و کارمندان و مشتریان شما را درگیر کند، مانند برنامه های داوطلبانه، مشارکت های خیریه، یا شیوه های پایدار.</v>
      </c>
      <c r="H14283" s="1"/>
      <c r="I14283" s="1"/>
      <c r="J14283" s="1"/>
      <c r="K14283" s="1"/>
      <c r="L14283" s="1"/>
      <c r="M14283" s="1"/>
      <c r="N14283" s="1"/>
      <c r="O14283" s="1"/>
      <c r="P14283" s="1"/>
      <c r="Q14283" s="1"/>
      <c r="R14283" s="1"/>
      <c r="S14283" s="1"/>
      <c r="T14283" s="1"/>
      <c r="U14283" s="1"/>
      <c r="V14283" s="1"/>
      <c r="W14283" s="1"/>
      <c r="X14283" s="1"/>
      <c r="Y14283" s="1"/>
      <c r="Z14283" s="1"/>
      <c r="AA14283" s="1"/>
      <c r="AB14283" s="1"/>
    </row>
    <row r="14284" ht="50.25" customHeight="1">
      <c r="A14284" s="12">
        <v>14280.0</v>
      </c>
      <c r="B14284" s="13" t="s">
        <v>13398</v>
      </c>
      <c r="C14284" s="14" t="s">
        <v>13518</v>
      </c>
      <c r="D14284" s="1"/>
      <c r="E14284" s="1"/>
      <c r="F14284" s="1" t="str">
        <f>IFERROR(__xludf.DUMMYFUNCTION("GOOGLETRANSLATE(B14284, ""en"", ""fa"")
"),"نکات کسب و کار کوچک")</f>
        <v>نکات کسب و کار کوچک</v>
      </c>
      <c r="G14284" s="1" t="str">
        <f>IFERROR(__xludf.DUMMYFUNCTION("GOOGLETRANSLATE(C14284, ""en"", ""fa"")
"),"یک استراتژی بهینه سازی قیمت گذاری ابداع کنید که عواملی مانند تقاضای بازار، رقابت، ساختار هزینه، ادراک ارزش و روانشناسی قیمت گذاری را در نظر بگیرد تا سودآوری را به حداکثر برساند.")</f>
        <v>یک استراتژی بهینه سازی قیمت گذاری ابداع کنید که عواملی مانند تقاضای بازار، رقابت، ساختار هزینه، ادراک ارزش و روانشناسی قیمت گذاری را در نظر بگیرد تا سودآوری را به حداکثر برساند.</v>
      </c>
      <c r="H14284" s="1"/>
      <c r="I14284" s="1"/>
      <c r="J14284" s="1"/>
      <c r="K14284" s="1"/>
      <c r="L14284" s="1"/>
      <c r="M14284" s="1"/>
      <c r="N14284" s="1"/>
      <c r="O14284" s="1"/>
      <c r="P14284" s="1"/>
      <c r="Q14284" s="1"/>
      <c r="R14284" s="1"/>
      <c r="S14284" s="1"/>
      <c r="T14284" s="1"/>
      <c r="U14284" s="1"/>
      <c r="V14284" s="1"/>
      <c r="W14284" s="1"/>
      <c r="X14284" s="1"/>
      <c r="Y14284" s="1"/>
      <c r="Z14284" s="1"/>
      <c r="AA14284" s="1"/>
      <c r="AB14284" s="1"/>
    </row>
    <row r="14285" ht="50.25" customHeight="1">
      <c r="A14285" s="12">
        <v>14281.0</v>
      </c>
      <c r="B14285" s="13" t="s">
        <v>13398</v>
      </c>
      <c r="C14285" s="14" t="s">
        <v>13519</v>
      </c>
      <c r="D14285" s="1"/>
      <c r="E14285" s="1"/>
      <c r="F14285" s="1" t="str">
        <f>IFERROR(__xludf.DUMMYFUNCTION("GOOGLETRANSLATE(B14285, ""en"", ""fa"")
"),"نکات کسب و کار کوچک")</f>
        <v>نکات کسب و کار کوچک</v>
      </c>
      <c r="G14285" s="1" t="str">
        <f>IFERROR(__xludf.DUMMYFUNCTION("GOOGLETRANSLATE(C14285, ""en"", ""fa"")
"),"یک طرح حفظ کارمندان کسب و کار کوچک تهیه کنید که بر ایجاد فرهنگ کاری مثبت، ارائه فرصت های رشد، شناخت دستاوردهای کارکنان و ارائه مزایای رقابتی تمرکز دارد.")</f>
        <v>یک طرح حفظ کارمندان کسب و کار کوچک تهیه کنید که بر ایجاد فرهنگ کاری مثبت، ارائه فرصت های رشد، شناخت دستاوردهای کارکنان و ارائه مزایای رقابتی تمرکز دارد.</v>
      </c>
      <c r="H14285" s="1"/>
      <c r="I14285" s="1"/>
      <c r="J14285" s="1"/>
      <c r="K14285" s="1"/>
      <c r="L14285" s="1"/>
      <c r="M14285" s="1"/>
      <c r="N14285" s="1"/>
      <c r="O14285" s="1"/>
      <c r="P14285" s="1"/>
      <c r="Q14285" s="1"/>
      <c r="R14285" s="1"/>
      <c r="S14285" s="1"/>
      <c r="T14285" s="1"/>
      <c r="U14285" s="1"/>
      <c r="V14285" s="1"/>
      <c r="W14285" s="1"/>
      <c r="X14285" s="1"/>
      <c r="Y14285" s="1"/>
      <c r="Z14285" s="1"/>
      <c r="AA14285" s="1"/>
      <c r="AB14285" s="1"/>
    </row>
    <row r="14286" ht="50.25" customHeight="1">
      <c r="A14286" s="12">
        <v>14282.0</v>
      </c>
      <c r="B14286" s="13" t="s">
        <v>13398</v>
      </c>
      <c r="C14286" s="14" t="s">
        <v>13520</v>
      </c>
      <c r="D14286" s="1"/>
      <c r="E14286" s="1"/>
      <c r="F14286" s="1" t="str">
        <f>IFERROR(__xludf.DUMMYFUNCTION("GOOGLETRANSLATE(B14286, ""en"", ""fa"")
"),"نکات کسب و کار کوچک")</f>
        <v>نکات کسب و کار کوچک</v>
      </c>
      <c r="G14286" s="1" t="str">
        <f>IFERROR(__xludf.DUMMYFUNCTION("GOOGLETRANSLATE(C14286, ""en"", ""fa"")
"),"یک استراتژی نفوذ در بازار کسب و کارهای کوچک را برای افزایش سهم بازار، مانند کمپین های تبلیغاتی هدفمند، پیشنهادات تبلیغاتی، یا گسترش به مناطق جغرافیایی جدید ترسیم کنید.")</f>
        <v>یک استراتژی نفوذ در بازار کسب و کارهای کوچک را برای افزایش سهم بازار، مانند کمپین های تبلیغاتی هدفمند، پیشنهادات تبلیغاتی، یا گسترش به مناطق جغرافیایی جدید ترسیم کنید.</v>
      </c>
      <c r="H14286" s="1"/>
      <c r="I14286" s="1"/>
      <c r="J14286" s="1"/>
      <c r="K14286" s="1"/>
      <c r="L14286" s="1"/>
      <c r="M14286" s="1"/>
      <c r="N14286" s="1"/>
      <c r="O14286" s="1"/>
      <c r="P14286" s="1"/>
      <c r="Q14286" s="1"/>
      <c r="R14286" s="1"/>
      <c r="S14286" s="1"/>
      <c r="T14286" s="1"/>
      <c r="U14286" s="1"/>
      <c r="V14286" s="1"/>
      <c r="W14286" s="1"/>
      <c r="X14286" s="1"/>
      <c r="Y14286" s="1"/>
      <c r="Z14286" s="1"/>
      <c r="AA14286" s="1"/>
      <c r="AB14286" s="1"/>
    </row>
    <row r="14287" ht="50.25" customHeight="1">
      <c r="A14287" s="12">
        <v>14283.0</v>
      </c>
      <c r="B14287" s="13" t="s">
        <v>13398</v>
      </c>
      <c r="C14287" s="14" t="s">
        <v>13521</v>
      </c>
      <c r="D14287" s="1"/>
      <c r="E14287" s="1"/>
      <c r="F14287" s="1" t="str">
        <f>IFERROR(__xludf.DUMMYFUNCTION("GOOGLETRANSLATE(B14287, ""en"", ""fa"")
"),"نکات کسب و کار کوچک")</f>
        <v>نکات کسب و کار کوچک</v>
      </c>
      <c r="G14287" s="1" t="str">
        <f>IFERROR(__xludf.DUMMYFUNCTION("GOOGLETRANSLATE(C14287, ""en"", ""fa"")
"),"یک سیستم مدیریت بازخورد و بررسی مشتری را برنامه ریزی کنید که مشتریان را تشویق به ارائه بازخورد، توصیفات و بررسی های آنلاین کند و از بازخورد مثبت برای ایجاد شهرت استفاده کند.")</f>
        <v>یک سیستم مدیریت بازخورد و بررسی مشتری را برنامه ریزی کنید که مشتریان را تشویق به ارائه بازخورد، توصیفات و بررسی های آنلاین کند و از بازخورد مثبت برای ایجاد شهرت استفاده کند.</v>
      </c>
      <c r="H14287" s="1"/>
      <c r="I14287" s="1"/>
      <c r="J14287" s="1"/>
      <c r="K14287" s="1"/>
      <c r="L14287" s="1"/>
      <c r="M14287" s="1"/>
      <c r="N14287" s="1"/>
      <c r="O14287" s="1"/>
      <c r="P14287" s="1"/>
      <c r="Q14287" s="1"/>
      <c r="R14287" s="1"/>
      <c r="S14287" s="1"/>
      <c r="T14287" s="1"/>
      <c r="U14287" s="1"/>
      <c r="V14287" s="1"/>
      <c r="W14287" s="1"/>
      <c r="X14287" s="1"/>
      <c r="Y14287" s="1"/>
      <c r="Z14287" s="1"/>
      <c r="AA14287" s="1"/>
      <c r="AB14287" s="1"/>
    </row>
    <row r="14288" ht="50.25" customHeight="1">
      <c r="A14288" s="12">
        <v>14284.0</v>
      </c>
      <c r="B14288" s="13" t="s">
        <v>13398</v>
      </c>
      <c r="C14288" s="14" t="s">
        <v>13522</v>
      </c>
      <c r="D14288" s="1"/>
      <c r="E14288" s="1"/>
      <c r="F14288" s="1" t="str">
        <f>IFERROR(__xludf.DUMMYFUNCTION("GOOGLETRANSLATE(B14288, ""en"", ""fa"")
"),"نکات کسب و کار کوچک")</f>
        <v>نکات کسب و کار کوچک</v>
      </c>
      <c r="G14288" s="1" t="str">
        <f>IFERROR(__xludf.DUMMYFUNCTION("GOOGLETRANSLATE(C14288, ""en"", ""fa"")
"),"برای درک مقرون به صرفه بودن تلاش‌های بازاریابی و بهینه‌سازی استراتژی‌های جذب مشتری، هزینه جذب مشتری (CAC) را محاسبه کنید.")</f>
        <v>برای درک مقرون به صرفه بودن تلاش‌های بازاریابی و بهینه‌سازی استراتژی‌های جذب مشتری، هزینه جذب مشتری (CAC) را محاسبه کنید.</v>
      </c>
      <c r="H14288" s="1"/>
      <c r="I14288" s="1"/>
      <c r="J14288" s="1"/>
      <c r="K14288" s="1"/>
      <c r="L14288" s="1"/>
      <c r="M14288" s="1"/>
      <c r="N14288" s="1"/>
      <c r="O14288" s="1"/>
      <c r="P14288" s="1"/>
      <c r="Q14288" s="1"/>
      <c r="R14288" s="1"/>
      <c r="S14288" s="1"/>
      <c r="T14288" s="1"/>
      <c r="U14288" s="1"/>
      <c r="V14288" s="1"/>
      <c r="W14288" s="1"/>
      <c r="X14288" s="1"/>
      <c r="Y14288" s="1"/>
      <c r="Z14288" s="1"/>
      <c r="AA14288" s="1"/>
      <c r="AB14288" s="1"/>
    </row>
    <row r="14289" ht="50.25" customHeight="1">
      <c r="A14289" s="12">
        <v>14285.0</v>
      </c>
      <c r="B14289" s="13" t="s">
        <v>13398</v>
      </c>
      <c r="C14289" s="14" t="s">
        <v>13523</v>
      </c>
      <c r="D14289" s="1"/>
      <c r="E14289" s="1"/>
      <c r="F14289" s="1" t="str">
        <f>IFERROR(__xludf.DUMMYFUNCTION("GOOGLETRANSLATE(B14289, ""en"", ""fa"")
"),"نکات کسب و کار کوچک")</f>
        <v>نکات کسب و کار کوچک</v>
      </c>
      <c r="G14289" s="1" t="str">
        <f>IFERROR(__xludf.DUMMYFUNCTION("GOOGLETRANSLATE(C14289, ""en"", ""fa"")
"),"عناصر ضروری یک راه اندازی موفق محصول برای کسب و کار کوچک خود را خلاصه کنید، از جمله تحقیقات بازار، تجزیه و تحلیل رقابتی، قیمت گذاری، تبلیغات و ارتباطات موثر.")</f>
        <v>عناصر ضروری یک راه اندازی موفق محصول برای کسب و کار کوچک خود را خلاصه کنید، از جمله تحقیقات بازار، تجزیه و تحلیل رقابتی، قیمت گذاری، تبلیغات و ارتباطات موثر.</v>
      </c>
      <c r="H14289" s="1"/>
      <c r="I14289" s="1"/>
      <c r="J14289" s="1"/>
      <c r="K14289" s="1"/>
      <c r="L14289" s="1"/>
      <c r="M14289" s="1"/>
      <c r="N14289" s="1"/>
      <c r="O14289" s="1"/>
      <c r="P14289" s="1"/>
      <c r="Q14289" s="1"/>
      <c r="R14289" s="1"/>
      <c r="S14289" s="1"/>
      <c r="T14289" s="1"/>
      <c r="U14289" s="1"/>
      <c r="V14289" s="1"/>
      <c r="W14289" s="1"/>
      <c r="X14289" s="1"/>
      <c r="Y14289" s="1"/>
      <c r="Z14289" s="1"/>
      <c r="AA14289" s="1"/>
      <c r="AB14289" s="1"/>
    </row>
    <row r="14290" ht="50.25" customHeight="1">
      <c r="A14290" s="12">
        <v>14286.0</v>
      </c>
      <c r="B14290" s="13" t="s">
        <v>13398</v>
      </c>
      <c r="C14290" s="14" t="s">
        <v>13524</v>
      </c>
      <c r="D14290" s="1"/>
      <c r="E14290" s="1"/>
      <c r="F14290" s="1" t="str">
        <f>IFERROR(__xludf.DUMMYFUNCTION("GOOGLETRANSLATE(B14290, ""en"", ""fa"")
"),"نکات کسب و کار کوچک")</f>
        <v>نکات کسب و کار کوچک</v>
      </c>
      <c r="G14290" s="1" t="str">
        <f>IFERROR(__xludf.DUMMYFUNCTION("GOOGLETRANSLATE(C14290, ""en"", ""fa"")
"),"با در نظر گرفتن هزینه های توسعه، تقاضای بازار، قیمت گذاری و درآمد پیش بینی شده، تأثیر مالی معرفی محصولات یا خدمات جدید به کسب و کار کوچک خود را برآورد کنید.")</f>
        <v>با در نظر گرفتن هزینه های توسعه، تقاضای بازار، قیمت گذاری و درآمد پیش بینی شده، تأثیر مالی معرفی محصولات یا خدمات جدید به کسب و کار کوچک خود را برآورد کنید.</v>
      </c>
      <c r="H14290" s="1"/>
      <c r="I14290" s="1"/>
      <c r="J14290" s="1"/>
      <c r="K14290" s="1"/>
      <c r="L14290" s="1"/>
      <c r="M14290" s="1"/>
      <c r="N14290" s="1"/>
      <c r="O14290" s="1"/>
      <c r="P14290" s="1"/>
      <c r="Q14290" s="1"/>
      <c r="R14290" s="1"/>
      <c r="S14290" s="1"/>
      <c r="T14290" s="1"/>
      <c r="U14290" s="1"/>
      <c r="V14290" s="1"/>
      <c r="W14290" s="1"/>
      <c r="X14290" s="1"/>
      <c r="Y14290" s="1"/>
      <c r="Z14290" s="1"/>
      <c r="AA14290" s="1"/>
      <c r="AB14290" s="1"/>
    </row>
    <row r="14291" ht="50.25" customHeight="1">
      <c r="A14291" s="12">
        <v>14287.0</v>
      </c>
      <c r="B14291" s="13" t="s">
        <v>13398</v>
      </c>
      <c r="C14291" s="14" t="s">
        <v>13525</v>
      </c>
      <c r="D14291" s="1"/>
      <c r="E14291" s="1"/>
      <c r="F14291" s="1" t="str">
        <f>IFERROR(__xludf.DUMMYFUNCTION("GOOGLETRANSLATE(B14291, ""en"", ""fa"")
"),"نکات کسب و کار کوچک")</f>
        <v>نکات کسب و کار کوچک</v>
      </c>
      <c r="G14291" s="1" t="str">
        <f>IFERROR(__xludf.DUMMYFUNCTION("GOOGLETRANSLATE(C14291, ""en"", ""fa"")
"),"یک طرح واکنش به بحران یک کسب و کار کوچک بنویسید که کانال‌های ارتباطی، مخاطبین کلیدی و پروتکل‌هایی را که باید در طول انواع مختلف بحران‌ها یا موقعیت‌های اضطراری دنبال شوند، مشخص می‌کند.")</f>
        <v>یک طرح واکنش به بحران یک کسب و کار کوچک بنویسید که کانال‌های ارتباطی، مخاطبین کلیدی و پروتکل‌هایی را که باید در طول انواع مختلف بحران‌ها یا موقعیت‌های اضطراری دنبال شوند، مشخص می‌کند.</v>
      </c>
      <c r="H14291" s="1"/>
      <c r="I14291" s="1"/>
      <c r="J14291" s="1"/>
      <c r="K14291" s="1"/>
      <c r="L14291" s="1"/>
      <c r="M14291" s="1"/>
      <c r="N14291" s="1"/>
      <c r="O14291" s="1"/>
      <c r="P14291" s="1"/>
      <c r="Q14291" s="1"/>
      <c r="R14291" s="1"/>
      <c r="S14291" s="1"/>
      <c r="T14291" s="1"/>
      <c r="U14291" s="1"/>
      <c r="V14291" s="1"/>
      <c r="W14291" s="1"/>
      <c r="X14291" s="1"/>
      <c r="Y14291" s="1"/>
      <c r="Z14291" s="1"/>
      <c r="AA14291" s="1"/>
      <c r="AB14291" s="1"/>
    </row>
    <row r="14292" ht="50.25" customHeight="1">
      <c r="A14292" s="12">
        <v>14288.0</v>
      </c>
      <c r="B14292" s="13" t="s">
        <v>13398</v>
      </c>
      <c r="C14292" s="14" t="s">
        <v>13526</v>
      </c>
      <c r="D14292" s="1"/>
      <c r="E14292" s="1"/>
      <c r="F14292" s="1" t="str">
        <f>IFERROR(__xludf.DUMMYFUNCTION("GOOGLETRANSLATE(B14292, ""en"", ""fa"")
"),"نکات کسب و کار کوچک")</f>
        <v>نکات کسب و کار کوچک</v>
      </c>
      <c r="G14292" s="1" t="str">
        <f>IFERROR(__xludf.DUMMYFUNCTION("GOOGLETRANSLATE(C14292, ""en"", ""fa"")
"),"اجزای کلیدی یک استراتژی بازاریابی ارجاع کسب و کار کوچک موثر را فهرست کنید، از جمله انگیزه دادن به ارجاعات، ارائه ابزارهای ارجاع، و تقویت روابط با ارجاع دهندگان.")</f>
        <v>اجزای کلیدی یک استراتژی بازاریابی ارجاع کسب و کار کوچک موثر را فهرست کنید، از جمله انگیزه دادن به ارجاعات، ارائه ابزارهای ارجاع، و تقویت روابط با ارجاع دهندگان.</v>
      </c>
      <c r="H14292" s="1"/>
      <c r="I14292" s="1"/>
      <c r="J14292" s="1"/>
      <c r="K14292" s="1"/>
      <c r="L14292" s="1"/>
      <c r="M14292" s="1"/>
      <c r="N14292" s="1"/>
      <c r="O14292" s="1"/>
      <c r="P14292" s="1"/>
      <c r="Q14292" s="1"/>
      <c r="R14292" s="1"/>
      <c r="S14292" s="1"/>
      <c r="T14292" s="1"/>
      <c r="U14292" s="1"/>
      <c r="V14292" s="1"/>
      <c r="W14292" s="1"/>
      <c r="X14292" s="1"/>
      <c r="Y14292" s="1"/>
      <c r="Z14292" s="1"/>
      <c r="AA14292" s="1"/>
      <c r="AB14292" s="1"/>
    </row>
    <row r="14293" ht="50.25" customHeight="1">
      <c r="A14293" s="12">
        <v>14289.0</v>
      </c>
      <c r="B14293" s="13" t="s">
        <v>13398</v>
      </c>
      <c r="C14293" s="14" t="s">
        <v>13527</v>
      </c>
      <c r="D14293" s="1"/>
      <c r="E14293" s="1"/>
      <c r="F14293" s="1" t="str">
        <f>IFERROR(__xludf.DUMMYFUNCTION("GOOGLETRANSLATE(B14293, ""en"", ""fa"")
"),"نکات کسب و کار کوچک")</f>
        <v>نکات کسب و کار کوچک</v>
      </c>
      <c r="G14293" s="1" t="str">
        <f>IFERROR(__xludf.DUMMYFUNCTION("GOOGLETRANSLATE(C14293, ""en"", ""fa"")
"),"سوابق مالی ضروری و اسنادی را که باید برای کسب و کار کوچک خود نگهداری کنید، مانند ترازنامه، صورت‌های درآمد، صورت‌های جریان نقدی و سوابق مالیاتی مشخص کنید.")</f>
        <v>سوابق مالی ضروری و اسنادی را که باید برای کسب و کار کوچک خود نگهداری کنید، مانند ترازنامه، صورت‌های درآمد، صورت‌های جریان نقدی و سوابق مالیاتی مشخص کنید.</v>
      </c>
      <c r="H14293" s="1"/>
      <c r="I14293" s="1"/>
      <c r="J14293" s="1"/>
      <c r="K14293" s="1"/>
      <c r="L14293" s="1"/>
      <c r="M14293" s="1"/>
      <c r="N14293" s="1"/>
      <c r="O14293" s="1"/>
      <c r="P14293" s="1"/>
      <c r="Q14293" s="1"/>
      <c r="R14293" s="1"/>
      <c r="S14293" s="1"/>
      <c r="T14293" s="1"/>
      <c r="U14293" s="1"/>
      <c r="V14293" s="1"/>
      <c r="W14293" s="1"/>
      <c r="X14293" s="1"/>
      <c r="Y14293" s="1"/>
      <c r="Z14293" s="1"/>
      <c r="AA14293" s="1"/>
      <c r="AB14293" s="1"/>
    </row>
    <row r="14294" ht="50.25" customHeight="1">
      <c r="A14294" s="12">
        <v>14290.0</v>
      </c>
      <c r="B14294" s="13" t="s">
        <v>13398</v>
      </c>
      <c r="C14294" s="14" t="s">
        <v>13528</v>
      </c>
      <c r="D14294" s="1"/>
      <c r="E14294" s="1"/>
      <c r="F14294" s="1" t="str">
        <f>IFERROR(__xludf.DUMMYFUNCTION("GOOGLETRANSLATE(B14294, ""en"", ""fa"")
"),"نکات کسب و کار کوچک")</f>
        <v>نکات کسب و کار کوچک</v>
      </c>
      <c r="G14294" s="1" t="str">
        <f>IFERROR(__xludf.DUMMYFUNCTION("GOOGLETRANSLATE(C14294, ""en"", ""fa"")
"),"یک استراتژی تحقیقات بازار کسب و کار کوچک را برای جمع آوری بینش در مورد مخاطبان هدف، رقابت، روند بازار و فرصت های بالقوه برای رشد برنامه ریزی کنید.")</f>
        <v>یک استراتژی تحقیقات بازار کسب و کار کوچک را برای جمع آوری بینش در مورد مخاطبان هدف، رقابت، روند بازار و فرصت های بالقوه برای رشد برنامه ریزی کنید.</v>
      </c>
      <c r="H14294" s="1"/>
      <c r="I14294" s="1"/>
      <c r="J14294" s="1"/>
      <c r="K14294" s="1"/>
      <c r="L14294" s="1"/>
      <c r="M14294" s="1"/>
      <c r="N14294" s="1"/>
      <c r="O14294" s="1"/>
      <c r="P14294" s="1"/>
      <c r="Q14294" s="1"/>
      <c r="R14294" s="1"/>
      <c r="S14294" s="1"/>
      <c r="T14294" s="1"/>
      <c r="U14294" s="1"/>
      <c r="V14294" s="1"/>
      <c r="W14294" s="1"/>
      <c r="X14294" s="1"/>
      <c r="Y14294" s="1"/>
      <c r="Z14294" s="1"/>
      <c r="AA14294" s="1"/>
      <c r="AB14294" s="1"/>
    </row>
    <row r="14295" ht="50.25" customHeight="1">
      <c r="A14295" s="12">
        <v>14291.0</v>
      </c>
      <c r="B14295" s="13" t="s">
        <v>13398</v>
      </c>
      <c r="C14295" s="14" t="s">
        <v>13529</v>
      </c>
      <c r="D14295" s="1"/>
      <c r="E14295" s="1"/>
      <c r="F14295" s="1" t="str">
        <f>IFERROR(__xludf.DUMMYFUNCTION("GOOGLETRANSLATE(B14295, ""en"", ""fa"")
"),"نکات کسب و کار کوچک")</f>
        <v>نکات کسب و کار کوچک</v>
      </c>
      <c r="G14295" s="1" t="str">
        <f>IFERROR(__xludf.DUMMYFUNCTION("GOOGLETRANSLATE(C14295, ""en"", ""fa"")
"),"یک استراتژی مشارکت استراتژیک برای کسب و کار کوچک خود طراحی کنید، شرکا یا همکاران بالقوه ای را شناسایی کنید که می توانند پیشنهادات شما را تکمیل کنند، دامنه دسترسی شما را گسترش دهند یا منابع اضافی را فراهم کنند.")</f>
        <v>یک استراتژی مشارکت استراتژیک برای کسب و کار کوچک خود طراحی کنید، شرکا یا همکاران بالقوه ای را شناسایی کنید که می توانند پیشنهادات شما را تکمیل کنند، دامنه دسترسی شما را گسترش دهند یا منابع اضافی را فراهم کنند.</v>
      </c>
      <c r="H14295" s="1"/>
      <c r="I14295" s="1"/>
      <c r="J14295" s="1"/>
      <c r="K14295" s="1"/>
      <c r="L14295" s="1"/>
      <c r="M14295" s="1"/>
      <c r="N14295" s="1"/>
      <c r="O14295" s="1"/>
      <c r="P14295" s="1"/>
      <c r="Q14295" s="1"/>
      <c r="R14295" s="1"/>
      <c r="S14295" s="1"/>
      <c r="T14295" s="1"/>
      <c r="U14295" s="1"/>
      <c r="V14295" s="1"/>
      <c r="W14295" s="1"/>
      <c r="X14295" s="1"/>
      <c r="Y14295" s="1"/>
      <c r="Z14295" s="1"/>
      <c r="AA14295" s="1"/>
      <c r="AB14295" s="1"/>
    </row>
    <row r="14296" ht="50.25" customHeight="1">
      <c r="A14296" s="12">
        <v>14292.0</v>
      </c>
      <c r="B14296" s="13" t="s">
        <v>13398</v>
      </c>
      <c r="C14296" s="14" t="s">
        <v>13530</v>
      </c>
      <c r="D14296" s="1"/>
      <c r="E14296" s="1"/>
      <c r="F14296" s="1" t="str">
        <f>IFERROR(__xludf.DUMMYFUNCTION("GOOGLETRANSLATE(B14296, ""en"", ""fa"")
"),"نکات کسب و کار کوچک")</f>
        <v>نکات کسب و کار کوچک</v>
      </c>
      <c r="G14296" s="1" t="str">
        <f>IFERROR(__xludf.DUMMYFUNCTION("GOOGLETRANSLATE(C14296, ""en"", ""fa"")
"),"یک فرآیند جامع کارمندی را طراحی کنید که تضمین می‌کند استخدام‌های جدید آموزش، منابع و پشتیبانی لازم را برای ادغام هموار در کسب‌وکار کوچک شما دریافت می‌کنند.")</f>
        <v>یک فرآیند جامع کارمندی را طراحی کنید که تضمین می‌کند استخدام‌های جدید آموزش، منابع و پشتیبانی لازم را برای ادغام هموار در کسب‌وکار کوچک شما دریافت می‌کنند.</v>
      </c>
      <c r="H14296" s="1"/>
      <c r="I14296" s="1"/>
      <c r="J14296" s="1"/>
      <c r="K14296" s="1"/>
      <c r="L14296" s="1"/>
      <c r="M14296" s="1"/>
      <c r="N14296" s="1"/>
      <c r="O14296" s="1"/>
      <c r="P14296" s="1"/>
      <c r="Q14296" s="1"/>
      <c r="R14296" s="1"/>
      <c r="S14296" s="1"/>
      <c r="T14296" s="1"/>
      <c r="U14296" s="1"/>
      <c r="V14296" s="1"/>
      <c r="W14296" s="1"/>
      <c r="X14296" s="1"/>
      <c r="Y14296" s="1"/>
      <c r="Z14296" s="1"/>
      <c r="AA14296" s="1"/>
      <c r="AB14296" s="1"/>
    </row>
    <row r="14297" ht="50.25" customHeight="1">
      <c r="A14297" s="12">
        <v>14293.0</v>
      </c>
      <c r="B14297" s="13" t="s">
        <v>13398</v>
      </c>
      <c r="C14297" s="14" t="s">
        <v>13531</v>
      </c>
      <c r="D14297" s="1"/>
      <c r="E14297" s="1"/>
      <c r="F14297" s="1" t="str">
        <f>IFERROR(__xludf.DUMMYFUNCTION("GOOGLETRANSLATE(B14297, ""en"", ""fa"")
"),"نکات کسب و کار کوچک")</f>
        <v>نکات کسب و کار کوچک</v>
      </c>
      <c r="G14297" s="1" t="str">
        <f>IFERROR(__xludf.DUMMYFUNCTION("GOOGLETRANSLATE(C14297, ""en"", ""fa"")
"),"یک استراتژی خروج از یک کسب و کار کوچک را ترسیم کنید که اهداف بلندمدت شما، گزینه‌های فروش یا انتقال کسب‌وکار، و گام‌هایی را برای به حداکثر رساندن ارزش آن و آماده شدن برای یک انتقال آرام تعریف می‌کند.")</f>
        <v>یک استراتژی خروج از یک کسب و کار کوچک را ترسیم کنید که اهداف بلندمدت شما، گزینه‌های فروش یا انتقال کسب‌وکار، و گام‌هایی را برای به حداکثر رساندن ارزش آن و آماده شدن برای یک انتقال آرام تعریف می‌کند.</v>
      </c>
      <c r="H14297" s="1"/>
      <c r="I14297" s="1"/>
      <c r="J14297" s="1"/>
      <c r="K14297" s="1"/>
      <c r="L14297" s="1"/>
      <c r="M14297" s="1"/>
      <c r="N14297" s="1"/>
      <c r="O14297" s="1"/>
      <c r="P14297" s="1"/>
      <c r="Q14297" s="1"/>
      <c r="R14297" s="1"/>
      <c r="S14297" s="1"/>
      <c r="T14297" s="1"/>
      <c r="U14297" s="1"/>
      <c r="V14297" s="1"/>
      <c r="W14297" s="1"/>
      <c r="X14297" s="1"/>
      <c r="Y14297" s="1"/>
      <c r="Z14297" s="1"/>
      <c r="AA14297" s="1"/>
      <c r="AB14297" s="1"/>
    </row>
    <row r="14298" ht="50.25" customHeight="1">
      <c r="A14298" s="12">
        <v>14294.0</v>
      </c>
      <c r="B14298" s="13" t="s">
        <v>13398</v>
      </c>
      <c r="C14298" s="14" t="s">
        <v>13532</v>
      </c>
      <c r="D14298" s="1"/>
      <c r="E14298" s="1"/>
      <c r="F14298" s="1" t="str">
        <f>IFERROR(__xludf.DUMMYFUNCTION("GOOGLETRANSLATE(B14298, ""en"", ""fa"")
"),"نکات کسب و کار کوچک")</f>
        <v>نکات کسب و کار کوچک</v>
      </c>
      <c r="G14298" s="1" t="str">
        <f>IFERROR(__xludf.DUMMYFUNCTION("GOOGLETRANSLATE(C14298, ""en"", ""fa"")
"),"یک گزارش تحلیل رقابتی بنویسید که ارزیابی عمیقی از رقبای اصلی شما، محصولات یا خدمات آنها، سهم بازار و مزیت های رقابتی ارائه می دهد.")</f>
        <v>یک گزارش تحلیل رقابتی بنویسید که ارزیابی عمیقی از رقبای اصلی شما، محصولات یا خدمات آنها، سهم بازار و مزیت های رقابتی ارائه می دهد.</v>
      </c>
      <c r="H14298" s="1"/>
      <c r="I14298" s="1"/>
      <c r="J14298" s="1"/>
      <c r="K14298" s="1"/>
      <c r="L14298" s="1"/>
      <c r="M14298" s="1"/>
      <c r="N14298" s="1"/>
      <c r="O14298" s="1"/>
      <c r="P14298" s="1"/>
      <c r="Q14298" s="1"/>
      <c r="R14298" s="1"/>
      <c r="S14298" s="1"/>
      <c r="T14298" s="1"/>
      <c r="U14298" s="1"/>
      <c r="V14298" s="1"/>
      <c r="W14298" s="1"/>
      <c r="X14298" s="1"/>
      <c r="Y14298" s="1"/>
      <c r="Z14298" s="1"/>
      <c r="AA14298" s="1"/>
      <c r="AB14298" s="1"/>
    </row>
    <row r="14299" ht="50.25" customHeight="1">
      <c r="A14299" s="12">
        <v>14295.0</v>
      </c>
      <c r="B14299" s="13" t="s">
        <v>13398</v>
      </c>
      <c r="C14299" s="14" t="s">
        <v>13533</v>
      </c>
      <c r="D14299" s="1"/>
      <c r="E14299" s="1"/>
      <c r="F14299" s="1" t="str">
        <f>IFERROR(__xludf.DUMMYFUNCTION("GOOGLETRANSLATE(B14299, ""en"", ""fa"")
"),"نکات کسب و کار کوچک")</f>
        <v>نکات کسب و کار کوچک</v>
      </c>
      <c r="G14299" s="1" t="str">
        <f>IFERROR(__xludf.DUMMYFUNCTION("GOOGLETRANSLATE(C14299, ""en"", ""fa"")
"),"فاکتورهای کلیدی را که باید در هنگام انتخاب کانال های بازاریابی دیجیتال مناسب برای کسب و کار کوچک خود در نظر بگیرید، مانند جمعیت شناسی مخاطبان هدف، دسترسی به پلت فرم، هزینه های تبلیغات و پتانسیل تعامل، فهرست کنید.")</f>
        <v>فاکتورهای کلیدی را که باید در هنگام انتخاب کانال های بازاریابی دیجیتال مناسب برای کسب و کار کوچک خود در نظر بگیرید، مانند جمعیت شناسی مخاطبان هدف، دسترسی به پلت فرم، هزینه های تبلیغات و پتانسیل تعامل، فهرست کنید.</v>
      </c>
      <c r="H14299" s="1"/>
      <c r="I14299" s="1"/>
      <c r="J14299" s="1"/>
      <c r="K14299" s="1"/>
      <c r="L14299" s="1"/>
      <c r="M14299" s="1"/>
      <c r="N14299" s="1"/>
      <c r="O14299" s="1"/>
      <c r="P14299" s="1"/>
      <c r="Q14299" s="1"/>
      <c r="R14299" s="1"/>
      <c r="S14299" s="1"/>
      <c r="T14299" s="1"/>
      <c r="U14299" s="1"/>
      <c r="V14299" s="1"/>
      <c r="W14299" s="1"/>
      <c r="X14299" s="1"/>
      <c r="Y14299" s="1"/>
      <c r="Z14299" s="1"/>
      <c r="AA14299" s="1"/>
      <c r="AB14299" s="1"/>
    </row>
    <row r="14300" ht="50.25" customHeight="1">
      <c r="A14300" s="12">
        <v>14296.0</v>
      </c>
      <c r="B14300" s="13" t="s">
        <v>13398</v>
      </c>
      <c r="C14300" s="14" t="s">
        <v>13534</v>
      </c>
      <c r="D14300" s="1"/>
      <c r="E14300" s="1"/>
      <c r="F14300" s="1" t="str">
        <f>IFERROR(__xludf.DUMMYFUNCTION("GOOGLETRANSLATE(B14300, ""en"", ""fa"")
"),"نکات کسب و کار کوچک")</f>
        <v>نکات کسب و کار کوچک</v>
      </c>
      <c r="G14300" s="1" t="str">
        <f>IFERROR(__xludf.DUMMYFUNCTION("GOOGLETRANSLATE(C14300, ""en"", ""fa"")
"),"اجزای اساسی یک پیشنهاد فروش یک کسب و کار کوچک را که به خوبی ساخته شده است، شامل یک مقدمه قانع کننده، بیانیه مشکل، شرح راه حل، قیمت گذاری، و دعوت به اقدام را مشخص کنید.")</f>
        <v>اجزای اساسی یک پیشنهاد فروش یک کسب و کار کوچک را که به خوبی ساخته شده است، شامل یک مقدمه قانع کننده، بیانیه مشکل، شرح راه حل، قیمت گذاری، و دعوت به اقدام را مشخص کنید.</v>
      </c>
      <c r="H14300" s="1"/>
      <c r="I14300" s="1"/>
      <c r="J14300" s="1"/>
      <c r="K14300" s="1"/>
      <c r="L14300" s="1"/>
      <c r="M14300" s="1"/>
      <c r="N14300" s="1"/>
      <c r="O14300" s="1"/>
      <c r="P14300" s="1"/>
      <c r="Q14300" s="1"/>
      <c r="R14300" s="1"/>
      <c r="S14300" s="1"/>
      <c r="T14300" s="1"/>
      <c r="U14300" s="1"/>
      <c r="V14300" s="1"/>
      <c r="W14300" s="1"/>
      <c r="X14300" s="1"/>
      <c r="Y14300" s="1"/>
      <c r="Z14300" s="1"/>
      <c r="AA14300" s="1"/>
      <c r="AB14300" s="1"/>
    </row>
    <row r="14301" ht="50.25" customHeight="1">
      <c r="A14301" s="12">
        <v>14297.0</v>
      </c>
      <c r="B14301" s="13" t="s">
        <v>13398</v>
      </c>
      <c r="C14301" s="14" t="s">
        <v>13535</v>
      </c>
      <c r="D14301" s="1"/>
      <c r="E14301" s="1"/>
      <c r="F14301" s="1" t="str">
        <f>IFERROR(__xludf.DUMMYFUNCTION("GOOGLETRANSLATE(B14301, ""en"", ""fa"")
"),"نکات کسب و کار کوچک")</f>
        <v>نکات کسب و کار کوچک</v>
      </c>
      <c r="G14301" s="1" t="str">
        <f>IFERROR(__xludf.DUMMYFUNCTION("GOOGLETRANSLATE(C14301, ""en"", ""fa"")
"),"یک استراتژی تقسیم‌بندی مشتری برای کسب‌وکارهای کوچک برنامه‌ریزی کنید تا تلاش‌های بازاریابی خود را برای بخش‌های خاص مشتری، شناسایی نیازها، ترجیحات و رفتارهای خرید منحصربه‌فرد آنها تنظیم کنید.")</f>
        <v>یک استراتژی تقسیم‌بندی مشتری برای کسب‌وکارهای کوچک برنامه‌ریزی کنید تا تلاش‌های بازاریابی خود را برای بخش‌های خاص مشتری، شناسایی نیازها، ترجیحات و رفتارهای خرید منحصربه‌فرد آنها تنظیم کنید.</v>
      </c>
      <c r="H14301" s="1"/>
      <c r="I14301" s="1"/>
      <c r="J14301" s="1"/>
      <c r="K14301" s="1"/>
      <c r="L14301" s="1"/>
      <c r="M14301" s="1"/>
      <c r="N14301" s="1"/>
      <c r="O14301" s="1"/>
      <c r="P14301" s="1"/>
      <c r="Q14301" s="1"/>
      <c r="R14301" s="1"/>
      <c r="S14301" s="1"/>
      <c r="T14301" s="1"/>
      <c r="U14301" s="1"/>
      <c r="V14301" s="1"/>
      <c r="W14301" s="1"/>
      <c r="X14301" s="1"/>
      <c r="Y14301" s="1"/>
      <c r="Z14301" s="1"/>
      <c r="AA14301" s="1"/>
      <c r="AB14301" s="1"/>
    </row>
    <row r="14302" ht="50.25" customHeight="1">
      <c r="A14302" s="12">
        <v>14298.0</v>
      </c>
      <c r="B14302" s="13" t="s">
        <v>13398</v>
      </c>
      <c r="C14302" s="14" t="s">
        <v>13536</v>
      </c>
      <c r="D14302" s="1"/>
      <c r="E14302" s="1"/>
      <c r="F14302" s="1" t="str">
        <f>IFERROR(__xludf.DUMMYFUNCTION("GOOGLETRANSLATE(B14302, ""en"", ""fa"")
"),"نکات کسب و کار کوچک")</f>
        <v>نکات کسب و کار کوچک</v>
      </c>
      <c r="G14302" s="1" t="str">
        <f>IFERROR(__xludf.DUMMYFUNCTION("GOOGLETRANSLATE(C14302, ""en"", ""fa"")
"),"یک استراتژی نوآوری در کسب و کار کوچک ابداع کنید که بهبود مستمر، تولید ایده و آزمایش را تشویق می‌کند تا از رقبا جلوتر بمانید و خواسته‌های در حال تحول مشتری را برآورده کنید.")</f>
        <v>یک استراتژی نوآوری در کسب و کار کوچک ابداع کنید که بهبود مستمر، تولید ایده و آزمایش را تشویق می‌کند تا از رقبا جلوتر بمانید و خواسته‌های در حال تحول مشتری را برآورده کنید.</v>
      </c>
      <c r="H14302" s="1"/>
      <c r="I14302" s="1"/>
      <c r="J14302" s="1"/>
      <c r="K14302" s="1"/>
      <c r="L14302" s="1"/>
      <c r="M14302" s="1"/>
      <c r="N14302" s="1"/>
      <c r="O14302" s="1"/>
      <c r="P14302" s="1"/>
      <c r="Q14302" s="1"/>
      <c r="R14302" s="1"/>
      <c r="S14302" s="1"/>
      <c r="T14302" s="1"/>
      <c r="U14302" s="1"/>
      <c r="V14302" s="1"/>
      <c r="W14302" s="1"/>
      <c r="X14302" s="1"/>
      <c r="Y14302" s="1"/>
      <c r="Z14302" s="1"/>
      <c r="AA14302" s="1"/>
      <c r="AB14302" s="1"/>
    </row>
    <row r="14303" ht="50.25" customHeight="1">
      <c r="A14303" s="12">
        <v>14299.0</v>
      </c>
      <c r="B14303" s="13" t="s">
        <v>13537</v>
      </c>
      <c r="C14303" s="14" t="s">
        <v>13538</v>
      </c>
      <c r="D14303" s="1"/>
      <c r="E14303" s="1"/>
      <c r="F14303" s="1" t="str">
        <f>IFERROR(__xludf.DUMMYFUNCTION("GOOGLETRANSLATE(B14303, ""en"", ""fa"")
"),"موفقیت SaaS")</f>
        <v>موفقیت SaaS</v>
      </c>
      <c r="G14303" s="1" t="str">
        <f>IFERROR(__xludf.DUMMYFUNCTION("GOOGLETRANSLATE(C14303, ""en"", ""fa"")
"),"مهمترین مراحل برای ساخت SaaS از ابتدا چیست؟")</f>
        <v>مهمترین مراحل برای ساخت SaaS از ابتدا چیست؟</v>
      </c>
      <c r="H14303" s="1"/>
      <c r="I14303" s="1"/>
      <c r="J14303" s="1"/>
      <c r="K14303" s="1"/>
      <c r="L14303" s="1"/>
      <c r="M14303" s="1"/>
      <c r="N14303" s="1"/>
      <c r="O14303" s="1"/>
      <c r="P14303" s="1"/>
      <c r="Q14303" s="1"/>
      <c r="R14303" s="1"/>
      <c r="S14303" s="1"/>
      <c r="T14303" s="1"/>
      <c r="U14303" s="1"/>
      <c r="V14303" s="1"/>
      <c r="W14303" s="1"/>
      <c r="X14303" s="1"/>
      <c r="Y14303" s="1"/>
      <c r="Z14303" s="1"/>
      <c r="AA14303" s="1"/>
      <c r="AB14303" s="1"/>
    </row>
    <row r="14304" ht="50.25" customHeight="1">
      <c r="A14304" s="12">
        <v>14300.0</v>
      </c>
      <c r="B14304" s="13" t="s">
        <v>13537</v>
      </c>
      <c r="C14304" s="14" t="s">
        <v>13539</v>
      </c>
      <c r="D14304" s="1"/>
      <c r="E14304" s="1"/>
      <c r="F14304" s="1" t="str">
        <f>IFERROR(__xludf.DUMMYFUNCTION("GOOGLETRANSLATE(B14304, ""en"", ""fa"")
"),"موفقیت SaaS")</f>
        <v>موفقیت SaaS</v>
      </c>
      <c r="G14304" s="1" t="str">
        <f>IFERROR(__xludf.DUMMYFUNCTION("GOOGLETRANSLATE(C14304, ""en"", ""fa"")
"),"چگونه یک ایده SaaS را قبل از ساخت آن تأیید کنیم؟")</f>
        <v>چگونه یک ایده SaaS را قبل از ساخت آن تأیید کنیم؟</v>
      </c>
      <c r="H14304" s="1"/>
      <c r="I14304" s="1"/>
      <c r="J14304" s="1"/>
      <c r="K14304" s="1"/>
      <c r="L14304" s="1"/>
      <c r="M14304" s="1"/>
      <c r="N14304" s="1"/>
      <c r="O14304" s="1"/>
      <c r="P14304" s="1"/>
      <c r="Q14304" s="1"/>
      <c r="R14304" s="1"/>
      <c r="S14304" s="1"/>
      <c r="T14304" s="1"/>
      <c r="U14304" s="1"/>
      <c r="V14304" s="1"/>
      <c r="W14304" s="1"/>
      <c r="X14304" s="1"/>
      <c r="Y14304" s="1"/>
      <c r="Z14304" s="1"/>
      <c r="AA14304" s="1"/>
      <c r="AB14304" s="1"/>
    </row>
    <row r="14305" ht="50.25" customHeight="1">
      <c r="A14305" s="12">
        <v>14301.0</v>
      </c>
      <c r="B14305" s="13" t="s">
        <v>13537</v>
      </c>
      <c r="C14305" s="14" t="s">
        <v>13540</v>
      </c>
      <c r="D14305" s="1"/>
      <c r="E14305" s="1"/>
      <c r="F14305" s="1" t="str">
        <f>IFERROR(__xludf.DUMMYFUNCTION("GOOGLETRANSLATE(B14305, ""en"", ""fa"")
"),"موفقیت SaaS")</f>
        <v>موفقیت SaaS</v>
      </c>
      <c r="G14305" s="1" t="str">
        <f>IFERROR(__xludf.DUMMYFUNCTION("GOOGLETRANSLATE(C14305, ""en"", ""fa"")
"),"مهم ترین مدل های کسب و کار SaaS که باید در نظر گرفته شود چیست؟")</f>
        <v>مهم ترین مدل های کسب و کار SaaS که باید در نظر گرفته شود چیست؟</v>
      </c>
      <c r="H14305" s="1"/>
      <c r="I14305" s="1"/>
      <c r="J14305" s="1"/>
      <c r="K14305" s="1"/>
      <c r="L14305" s="1"/>
      <c r="M14305" s="1"/>
      <c r="N14305" s="1"/>
      <c r="O14305" s="1"/>
      <c r="P14305" s="1"/>
      <c r="Q14305" s="1"/>
      <c r="R14305" s="1"/>
      <c r="S14305" s="1"/>
      <c r="T14305" s="1"/>
      <c r="U14305" s="1"/>
      <c r="V14305" s="1"/>
      <c r="W14305" s="1"/>
      <c r="X14305" s="1"/>
      <c r="Y14305" s="1"/>
      <c r="Z14305" s="1"/>
      <c r="AA14305" s="1"/>
      <c r="AB14305" s="1"/>
    </row>
    <row r="14306" ht="50.25" customHeight="1">
      <c r="A14306" s="12">
        <v>14302.0</v>
      </c>
      <c r="B14306" s="13" t="s">
        <v>13537</v>
      </c>
      <c r="C14306" s="14" t="s">
        <v>13541</v>
      </c>
      <c r="D14306" s="1"/>
      <c r="E14306" s="1"/>
      <c r="F14306" s="1" t="str">
        <f>IFERROR(__xludf.DUMMYFUNCTION("GOOGLETRANSLATE(B14306, ""en"", ""fa"")
"),"موفقیت SaaS")</f>
        <v>موفقیت SaaS</v>
      </c>
      <c r="G14306" s="1" t="str">
        <f>IFERROR(__xludf.DUMMYFUNCTION("GOOGLETRANSLATE(C14306, ""en"", ""fa"")
"),"چگونه پشته فناوری مناسب برای ساخت SaaS انتخاب کنیم؟")</f>
        <v>چگونه پشته فناوری مناسب برای ساخت SaaS انتخاب کنیم؟</v>
      </c>
      <c r="H14306" s="1"/>
      <c r="I14306" s="1"/>
      <c r="J14306" s="1"/>
      <c r="K14306" s="1"/>
      <c r="L14306" s="1"/>
      <c r="M14306" s="1"/>
      <c r="N14306" s="1"/>
      <c r="O14306" s="1"/>
      <c r="P14306" s="1"/>
      <c r="Q14306" s="1"/>
      <c r="R14306" s="1"/>
      <c r="S14306" s="1"/>
      <c r="T14306" s="1"/>
      <c r="U14306" s="1"/>
      <c r="V14306" s="1"/>
      <c r="W14306" s="1"/>
      <c r="X14306" s="1"/>
      <c r="Y14306" s="1"/>
      <c r="Z14306" s="1"/>
      <c r="AA14306" s="1"/>
      <c r="AB14306" s="1"/>
    </row>
    <row r="14307" ht="50.25" customHeight="1">
      <c r="A14307" s="12">
        <v>14303.0</v>
      </c>
      <c r="B14307" s="13" t="s">
        <v>13537</v>
      </c>
      <c r="C14307" s="14" t="s">
        <v>13542</v>
      </c>
      <c r="D14307" s="1"/>
      <c r="E14307" s="1"/>
      <c r="F14307" s="1" t="str">
        <f>IFERROR(__xludf.DUMMYFUNCTION("GOOGLETRANSLATE(B14307, ""en"", ""fa"")
"),"موفقیت SaaS")</f>
        <v>موفقیت SaaS</v>
      </c>
      <c r="G14307" s="1" t="str">
        <f>IFERROR(__xludf.DUMMYFUNCTION("GOOGLETRANSLATE(C14307, ""en"", ""fa"")
"),"مهم ترین چارچوب های توسعه SaaS برای استفاده چیست؟")</f>
        <v>مهم ترین چارچوب های توسعه SaaS برای استفاده چیست؟</v>
      </c>
      <c r="H14307" s="1"/>
      <c r="I14307" s="1"/>
      <c r="J14307" s="1"/>
      <c r="K14307" s="1"/>
      <c r="L14307" s="1"/>
      <c r="M14307" s="1"/>
      <c r="N14307" s="1"/>
      <c r="O14307" s="1"/>
      <c r="P14307" s="1"/>
      <c r="Q14307" s="1"/>
      <c r="R14307" s="1"/>
      <c r="S14307" s="1"/>
      <c r="T14307" s="1"/>
      <c r="U14307" s="1"/>
      <c r="V14307" s="1"/>
      <c r="W14307" s="1"/>
      <c r="X14307" s="1"/>
      <c r="Y14307" s="1"/>
      <c r="Z14307" s="1"/>
      <c r="AA14307" s="1"/>
      <c r="AB14307" s="1"/>
    </row>
    <row r="14308" ht="50.25" customHeight="1">
      <c r="A14308" s="12">
        <v>14304.0</v>
      </c>
      <c r="B14308" s="13" t="s">
        <v>13537</v>
      </c>
      <c r="C14308" s="14" t="s">
        <v>13543</v>
      </c>
      <c r="D14308" s="1"/>
      <c r="E14308" s="1"/>
      <c r="F14308" s="1" t="str">
        <f>IFERROR(__xludf.DUMMYFUNCTION("GOOGLETRANSLATE(B14308, ""en"", ""fa"")
"),"موفقیت SaaS")</f>
        <v>موفقیت SaaS</v>
      </c>
      <c r="G14308" s="1" t="str">
        <f>IFERROR(__xludf.DUMMYFUNCTION("GOOGLETRANSLATE(C14308, ""en"", ""fa"")
"),"چگونه یک نقشه راه محصول SaaS بسازیم؟")</f>
        <v>چگونه یک نقشه راه محصول SaaS بسازیم؟</v>
      </c>
      <c r="H14308" s="1"/>
      <c r="I14308" s="1"/>
      <c r="J14308" s="1"/>
      <c r="K14308" s="1"/>
      <c r="L14308" s="1"/>
      <c r="M14308" s="1"/>
      <c r="N14308" s="1"/>
      <c r="O14308" s="1"/>
      <c r="P14308" s="1"/>
      <c r="Q14308" s="1"/>
      <c r="R14308" s="1"/>
      <c r="S14308" s="1"/>
      <c r="T14308" s="1"/>
      <c r="U14308" s="1"/>
      <c r="V14308" s="1"/>
      <c r="W14308" s="1"/>
      <c r="X14308" s="1"/>
      <c r="Y14308" s="1"/>
      <c r="Z14308" s="1"/>
      <c r="AA14308" s="1"/>
      <c r="AB14308" s="1"/>
    </row>
    <row r="14309" ht="50.25" customHeight="1">
      <c r="A14309" s="12">
        <v>14305.0</v>
      </c>
      <c r="B14309" s="13" t="s">
        <v>13537</v>
      </c>
      <c r="C14309" s="14" t="s">
        <v>13544</v>
      </c>
      <c r="D14309" s="1"/>
      <c r="E14309" s="1"/>
      <c r="F14309" s="1" t="str">
        <f>IFERROR(__xludf.DUMMYFUNCTION("GOOGLETRANSLATE(B14309, ""en"", ""fa"")
"),"موفقیت SaaS")</f>
        <v>موفقیت SaaS</v>
      </c>
      <c r="G14309" s="1" t="str">
        <f>IFERROR(__xludf.DUMMYFUNCTION("GOOGLETRANSLATE(C14309, ""en"", ""fa"")
"),"مهم ترین متدولوژی های توسعه SaaS که باید دنبال شود چیست؟")</f>
        <v>مهم ترین متدولوژی های توسعه SaaS که باید دنبال شود چیست؟</v>
      </c>
      <c r="H14309" s="1"/>
      <c r="I14309" s="1"/>
      <c r="J14309" s="1"/>
      <c r="K14309" s="1"/>
      <c r="L14309" s="1"/>
      <c r="M14309" s="1"/>
      <c r="N14309" s="1"/>
      <c r="O14309" s="1"/>
      <c r="P14309" s="1"/>
      <c r="Q14309" s="1"/>
      <c r="R14309" s="1"/>
      <c r="S14309" s="1"/>
      <c r="T14309" s="1"/>
      <c r="U14309" s="1"/>
      <c r="V14309" s="1"/>
      <c r="W14309" s="1"/>
      <c r="X14309" s="1"/>
      <c r="Y14309" s="1"/>
      <c r="Z14309" s="1"/>
      <c r="AA14309" s="1"/>
      <c r="AB14309" s="1"/>
    </row>
    <row r="14310" ht="50.25" customHeight="1">
      <c r="A14310" s="12">
        <v>14306.0</v>
      </c>
      <c r="B14310" s="13" t="s">
        <v>13537</v>
      </c>
      <c r="C14310" s="14" t="s">
        <v>13545</v>
      </c>
      <c r="D14310" s="1"/>
      <c r="E14310" s="1"/>
      <c r="F14310" s="1" t="str">
        <f>IFERROR(__xludf.DUMMYFUNCTION("GOOGLETRANSLATE(B14310, ""en"", ""fa"")
"),"موفقیت SaaS")</f>
        <v>موفقیت SaaS</v>
      </c>
      <c r="G14310" s="1" t="str">
        <f>IFERROR(__xludf.DUMMYFUNCTION("GOOGLETRANSLATE(C14310, ""en"", ""fa"")
"),"چگونه یک محصول حداقل قابل دوام SaaS (MVP) بسازیم؟")</f>
        <v>چگونه یک محصول حداقل قابل دوام SaaS (MVP) بسازیم؟</v>
      </c>
      <c r="H14310" s="1"/>
      <c r="I14310" s="1"/>
      <c r="J14310" s="1"/>
      <c r="K14310" s="1"/>
      <c r="L14310" s="1"/>
      <c r="M14310" s="1"/>
      <c r="N14310" s="1"/>
      <c r="O14310" s="1"/>
      <c r="P14310" s="1"/>
      <c r="Q14310" s="1"/>
      <c r="R14310" s="1"/>
      <c r="S14310" s="1"/>
      <c r="T14310" s="1"/>
      <c r="U14310" s="1"/>
      <c r="V14310" s="1"/>
      <c r="W14310" s="1"/>
      <c r="X14310" s="1"/>
      <c r="Y14310" s="1"/>
      <c r="Z14310" s="1"/>
      <c r="AA14310" s="1"/>
      <c r="AB14310" s="1"/>
    </row>
    <row r="14311" ht="50.25" customHeight="1">
      <c r="A14311" s="12">
        <v>14307.0</v>
      </c>
      <c r="B14311" s="13" t="s">
        <v>13537</v>
      </c>
      <c r="C14311" s="14" t="s">
        <v>13546</v>
      </c>
      <c r="D14311" s="1"/>
      <c r="E14311" s="1"/>
      <c r="F14311" s="1" t="str">
        <f>IFERROR(__xludf.DUMMYFUNCTION("GOOGLETRANSLATE(B14311, ""en"", ""fa"")
"),"موفقیت SaaS")</f>
        <v>موفقیت SaaS</v>
      </c>
      <c r="G14311" s="1" t="str">
        <f>IFERROR(__xludf.DUMMYFUNCTION("GOOGLETRANSLATE(C14311, ""en"", ""fa"")
"),"مهمترین ابزارها و منابع توسعه SaaS برای استفاده چیست؟")</f>
        <v>مهمترین ابزارها و منابع توسعه SaaS برای استفاده چیست؟</v>
      </c>
      <c r="H14311" s="1"/>
      <c r="I14311" s="1"/>
      <c r="J14311" s="1"/>
      <c r="K14311" s="1"/>
      <c r="L14311" s="1"/>
      <c r="M14311" s="1"/>
      <c r="N14311" s="1"/>
      <c r="O14311" s="1"/>
      <c r="P14311" s="1"/>
      <c r="Q14311" s="1"/>
      <c r="R14311" s="1"/>
      <c r="S14311" s="1"/>
      <c r="T14311" s="1"/>
      <c r="U14311" s="1"/>
      <c r="V14311" s="1"/>
      <c r="W14311" s="1"/>
      <c r="X14311" s="1"/>
      <c r="Y14311" s="1"/>
      <c r="Z14311" s="1"/>
      <c r="AA14311" s="1"/>
      <c r="AB14311" s="1"/>
    </row>
    <row r="14312" ht="50.25" customHeight="1">
      <c r="A14312" s="12">
        <v>14308.0</v>
      </c>
      <c r="B14312" s="13" t="s">
        <v>13537</v>
      </c>
      <c r="C14312" s="14" t="s">
        <v>13547</v>
      </c>
      <c r="D14312" s="1"/>
      <c r="E14312" s="1"/>
      <c r="F14312" s="1" t="str">
        <f>IFERROR(__xludf.DUMMYFUNCTION("GOOGLETRANSLATE(B14312, ""en"", ""fa"")
"),"موفقیت SaaS")</f>
        <v>موفقیت SaaS</v>
      </c>
      <c r="G14312" s="1" t="str">
        <f>IFERROR(__xludf.DUMMYFUNCTION("GOOGLETRANSLATE(C14312, ""en"", ""fa"")
"),"چگونه یک تیم توسعه SaaS بسازیم؟")</f>
        <v>چگونه یک تیم توسعه SaaS بسازیم؟</v>
      </c>
      <c r="H14312" s="1"/>
      <c r="I14312" s="1"/>
      <c r="J14312" s="1"/>
      <c r="K14312" s="1"/>
      <c r="L14312" s="1"/>
      <c r="M14312" s="1"/>
      <c r="N14312" s="1"/>
      <c r="O14312" s="1"/>
      <c r="P14312" s="1"/>
      <c r="Q14312" s="1"/>
      <c r="R14312" s="1"/>
      <c r="S14312" s="1"/>
      <c r="T14312" s="1"/>
      <c r="U14312" s="1"/>
      <c r="V14312" s="1"/>
      <c r="W14312" s="1"/>
      <c r="X14312" s="1"/>
      <c r="Y14312" s="1"/>
      <c r="Z14312" s="1"/>
      <c r="AA14312" s="1"/>
      <c r="AB14312" s="1"/>
    </row>
    <row r="14313" ht="50.25" customHeight="1">
      <c r="A14313" s="12">
        <v>14309.0</v>
      </c>
      <c r="B14313" s="13" t="s">
        <v>13537</v>
      </c>
      <c r="C14313" s="14" t="s">
        <v>13548</v>
      </c>
      <c r="D14313" s="1"/>
      <c r="E14313" s="1"/>
      <c r="F14313" s="1" t="str">
        <f>IFERROR(__xludf.DUMMYFUNCTION("GOOGLETRANSLATE(B14313, ""en"", ""fa"")
"),"موفقیت SaaS")</f>
        <v>موفقیت SaaS</v>
      </c>
      <c r="G14313" s="1" t="str">
        <f>IFERROR(__xludf.DUMMYFUNCTION("GOOGLETRANSLATE(C14313, ""en"", ""fa"")
"),"مهم ترین نقش ها و مسئولیت های توسعه SaaS چیست؟")</f>
        <v>مهم ترین نقش ها و مسئولیت های توسعه SaaS چیست؟</v>
      </c>
      <c r="H14313" s="1"/>
      <c r="I14313" s="1"/>
      <c r="J14313" s="1"/>
      <c r="K14313" s="1"/>
      <c r="L14313" s="1"/>
      <c r="M14313" s="1"/>
      <c r="N14313" s="1"/>
      <c r="O14313" s="1"/>
      <c r="P14313" s="1"/>
      <c r="Q14313" s="1"/>
      <c r="R14313" s="1"/>
      <c r="S14313" s="1"/>
      <c r="T14313" s="1"/>
      <c r="U14313" s="1"/>
      <c r="V14313" s="1"/>
      <c r="W14313" s="1"/>
      <c r="X14313" s="1"/>
      <c r="Y14313" s="1"/>
      <c r="Z14313" s="1"/>
      <c r="AA14313" s="1"/>
      <c r="AB14313" s="1"/>
    </row>
    <row r="14314" ht="50.25" customHeight="1">
      <c r="A14314" s="12">
        <v>14310.0</v>
      </c>
      <c r="B14314" s="13" t="s">
        <v>13537</v>
      </c>
      <c r="C14314" s="14" t="s">
        <v>13549</v>
      </c>
      <c r="D14314" s="1"/>
      <c r="E14314" s="1"/>
      <c r="F14314" s="1" t="str">
        <f>IFERROR(__xludf.DUMMYFUNCTION("GOOGLETRANSLATE(B14314, ""en"", ""fa"")
"),"موفقیت SaaS")</f>
        <v>موفقیت SaaS</v>
      </c>
      <c r="G14314" s="1" t="str">
        <f>IFERROR(__xludf.DUMMYFUNCTION("GOOGLETRANSLATE(C14314, ""en"", ""fa"")
"),"چگونه یک فرهنگ توسعه SaaS ایجاد کنیم؟")</f>
        <v>چگونه یک فرهنگ توسعه SaaS ایجاد کنیم؟</v>
      </c>
      <c r="H14314" s="1"/>
      <c r="I14314" s="1"/>
      <c r="J14314" s="1"/>
      <c r="K14314" s="1"/>
      <c r="L14314" s="1"/>
      <c r="M14314" s="1"/>
      <c r="N14314" s="1"/>
      <c r="O14314" s="1"/>
      <c r="P14314" s="1"/>
      <c r="Q14314" s="1"/>
      <c r="R14314" s="1"/>
      <c r="S14314" s="1"/>
      <c r="T14314" s="1"/>
      <c r="U14314" s="1"/>
      <c r="V14314" s="1"/>
      <c r="W14314" s="1"/>
      <c r="X14314" s="1"/>
      <c r="Y14314" s="1"/>
      <c r="Z14314" s="1"/>
      <c r="AA14314" s="1"/>
      <c r="AB14314" s="1"/>
    </row>
    <row r="14315" ht="50.25" customHeight="1">
      <c r="A14315" s="12">
        <v>14311.0</v>
      </c>
      <c r="B14315" s="13" t="s">
        <v>13537</v>
      </c>
      <c r="C14315" s="14" t="s">
        <v>13550</v>
      </c>
      <c r="D14315" s="1"/>
      <c r="E14315" s="1"/>
      <c r="F14315" s="1" t="str">
        <f>IFERROR(__xludf.DUMMYFUNCTION("GOOGLETRANSLATE(B14315, ""en"", ""fa"")
"),"موفقیت SaaS")</f>
        <v>موفقیت SaaS</v>
      </c>
      <c r="G14315" s="1" t="str">
        <f>IFERROR(__xludf.DUMMYFUNCTION("GOOGLETRANSLATE(C14315, ""en"", ""fa"")
"),"مهمترین فرآیندهای توسعه SaaS و بهترین شیوه ها چیست؟")</f>
        <v>مهمترین فرآیندهای توسعه SaaS و بهترین شیوه ها چیست؟</v>
      </c>
      <c r="H14315" s="1"/>
      <c r="I14315" s="1"/>
      <c r="J14315" s="1"/>
      <c r="K14315" s="1"/>
      <c r="L14315" s="1"/>
      <c r="M14315" s="1"/>
      <c r="N14315" s="1"/>
      <c r="O14315" s="1"/>
      <c r="P14315" s="1"/>
      <c r="Q14315" s="1"/>
      <c r="R14315" s="1"/>
      <c r="S14315" s="1"/>
      <c r="T14315" s="1"/>
      <c r="U14315" s="1"/>
      <c r="V14315" s="1"/>
      <c r="W14315" s="1"/>
      <c r="X14315" s="1"/>
      <c r="Y14315" s="1"/>
      <c r="Z14315" s="1"/>
      <c r="AA14315" s="1"/>
      <c r="AB14315" s="1"/>
    </row>
    <row r="14316" ht="50.25" customHeight="1">
      <c r="A14316" s="12">
        <v>14312.0</v>
      </c>
      <c r="B14316" s="13" t="s">
        <v>13537</v>
      </c>
      <c r="C14316" s="14" t="s">
        <v>13551</v>
      </c>
      <c r="D14316" s="1"/>
      <c r="E14316" s="1"/>
      <c r="F14316" s="1" t="str">
        <f>IFERROR(__xludf.DUMMYFUNCTION("GOOGLETRANSLATE(B14316, ""en"", ""fa"")
"),"موفقیت SaaS")</f>
        <v>موفقیت SaaS</v>
      </c>
      <c r="G14316" s="1" t="str">
        <f>IFERROR(__xludf.DUMMYFUNCTION("GOOGLETRANSLATE(C14316, ""en"", ""fa"")
"),"چگونه یک برنامه توسعه SaaS بسازیم؟")</f>
        <v>چگونه یک برنامه توسعه SaaS بسازیم؟</v>
      </c>
      <c r="H14316" s="1"/>
      <c r="I14316" s="1"/>
      <c r="J14316" s="1"/>
      <c r="K14316" s="1"/>
      <c r="L14316" s="1"/>
      <c r="M14316" s="1"/>
      <c r="N14316" s="1"/>
      <c r="O14316" s="1"/>
      <c r="P14316" s="1"/>
      <c r="Q14316" s="1"/>
      <c r="R14316" s="1"/>
      <c r="S14316" s="1"/>
      <c r="T14316" s="1"/>
      <c r="U14316" s="1"/>
      <c r="V14316" s="1"/>
      <c r="W14316" s="1"/>
      <c r="X14316" s="1"/>
      <c r="Y14316" s="1"/>
      <c r="Z14316" s="1"/>
      <c r="AA14316" s="1"/>
      <c r="AB14316" s="1"/>
    </row>
    <row r="14317" ht="50.25" customHeight="1">
      <c r="A14317" s="12">
        <v>14313.0</v>
      </c>
      <c r="B14317" s="13" t="s">
        <v>13537</v>
      </c>
      <c r="C14317" s="14" t="s">
        <v>13552</v>
      </c>
      <c r="D14317" s="1"/>
      <c r="E14317" s="1"/>
      <c r="F14317" s="1" t="str">
        <f>IFERROR(__xludf.DUMMYFUNCTION("GOOGLETRANSLATE(B14317, ""en"", ""fa"")
"),"موفقیت SaaS")</f>
        <v>موفقیت SaaS</v>
      </c>
      <c r="G14317" s="1" t="str">
        <f>IFERROR(__xludf.DUMMYFUNCTION("GOOGLETRANSLATE(C14317, ""en"", ""fa"")
"),"مهم ترین بودجه ها و برنامه های توسعه SaaS که باید در نظر گرفته شوند چیست؟")</f>
        <v>مهم ترین بودجه ها و برنامه های توسعه SaaS که باید در نظر گرفته شوند چیست؟</v>
      </c>
      <c r="H14317" s="1"/>
      <c r="I14317" s="1"/>
      <c r="J14317" s="1"/>
      <c r="K14317" s="1"/>
      <c r="L14317" s="1"/>
      <c r="M14317" s="1"/>
      <c r="N14317" s="1"/>
      <c r="O14317" s="1"/>
      <c r="P14317" s="1"/>
      <c r="Q14317" s="1"/>
      <c r="R14317" s="1"/>
      <c r="S14317" s="1"/>
      <c r="T14317" s="1"/>
      <c r="U14317" s="1"/>
      <c r="V14317" s="1"/>
      <c r="W14317" s="1"/>
      <c r="X14317" s="1"/>
      <c r="Y14317" s="1"/>
      <c r="Z14317" s="1"/>
      <c r="AA14317" s="1"/>
      <c r="AB14317" s="1"/>
    </row>
    <row r="14318" ht="50.25" customHeight="1">
      <c r="A14318" s="12">
        <v>14314.0</v>
      </c>
      <c r="B14318" s="13" t="s">
        <v>13537</v>
      </c>
      <c r="C14318" s="14" t="s">
        <v>13553</v>
      </c>
      <c r="D14318" s="1"/>
      <c r="E14318" s="1"/>
      <c r="F14318" s="1" t="str">
        <f>IFERROR(__xludf.DUMMYFUNCTION("GOOGLETRANSLATE(B14318, ""en"", ""fa"")
"),"موفقیت SaaS")</f>
        <v>موفقیت SaaS</v>
      </c>
      <c r="G14318" s="1" t="str">
        <f>IFERROR(__xludf.DUMMYFUNCTION("GOOGLETRANSLATE(C14318, ""en"", ""fa"")
"),"چگونه یک محیط توسعه SaaS بسازیم؟")</f>
        <v>چگونه یک محیط توسعه SaaS بسازیم؟</v>
      </c>
      <c r="H14318" s="1"/>
      <c r="I14318" s="1"/>
      <c r="J14318" s="1"/>
      <c r="K14318" s="1"/>
      <c r="L14318" s="1"/>
      <c r="M14318" s="1"/>
      <c r="N14318" s="1"/>
      <c r="O14318" s="1"/>
      <c r="P14318" s="1"/>
      <c r="Q14318" s="1"/>
      <c r="R14318" s="1"/>
      <c r="S14318" s="1"/>
      <c r="T14318" s="1"/>
      <c r="U14318" s="1"/>
      <c r="V14318" s="1"/>
      <c r="W14318" s="1"/>
      <c r="X14318" s="1"/>
      <c r="Y14318" s="1"/>
      <c r="Z14318" s="1"/>
      <c r="AA14318" s="1"/>
      <c r="AB14318" s="1"/>
    </row>
    <row r="14319" ht="50.25" customHeight="1">
      <c r="A14319" s="12">
        <v>14315.0</v>
      </c>
      <c r="B14319" s="13" t="s">
        <v>13537</v>
      </c>
      <c r="C14319" s="14" t="s">
        <v>13554</v>
      </c>
      <c r="D14319" s="1"/>
      <c r="E14319" s="1"/>
      <c r="F14319" s="1" t="str">
        <f>IFERROR(__xludf.DUMMYFUNCTION("GOOGLETRANSLATE(B14319, ""en"", ""fa"")
"),"موفقیت SaaS")</f>
        <v>موفقیت SaaS</v>
      </c>
      <c r="G14319" s="1" t="str">
        <f>IFERROR(__xludf.DUMMYFUNCTION("GOOGLETRANSLATE(C14319, ""en"", ""fa"")
"),"مهمترین ملاحظات امنیت و حفظ حریم خصوصی توسعه SaaS چیست؟")</f>
        <v>مهمترین ملاحظات امنیت و حفظ حریم خصوصی توسعه SaaS چیست؟</v>
      </c>
      <c r="H14319" s="1"/>
      <c r="I14319" s="1"/>
      <c r="J14319" s="1"/>
      <c r="K14319" s="1"/>
      <c r="L14319" s="1"/>
      <c r="M14319" s="1"/>
      <c r="N14319" s="1"/>
      <c r="O14319" s="1"/>
      <c r="P14319" s="1"/>
      <c r="Q14319" s="1"/>
      <c r="R14319" s="1"/>
      <c r="S14319" s="1"/>
      <c r="T14319" s="1"/>
      <c r="U14319" s="1"/>
      <c r="V14319" s="1"/>
      <c r="W14319" s="1"/>
      <c r="X14319" s="1"/>
      <c r="Y14319" s="1"/>
      <c r="Z14319" s="1"/>
      <c r="AA14319" s="1"/>
      <c r="AB14319" s="1"/>
    </row>
    <row r="14320" ht="50.25" customHeight="1">
      <c r="A14320" s="12">
        <v>14316.0</v>
      </c>
      <c r="B14320" s="13" t="s">
        <v>13537</v>
      </c>
      <c r="C14320" s="14" t="s">
        <v>13555</v>
      </c>
      <c r="D14320" s="1"/>
      <c r="E14320" s="1"/>
      <c r="F14320" s="1" t="str">
        <f>IFERROR(__xludf.DUMMYFUNCTION("GOOGLETRANSLATE(B14320, ""en"", ""fa"")
"),"موفقیت SaaS")</f>
        <v>موفقیت SaaS</v>
      </c>
      <c r="G14320" s="1" t="str">
        <f>IFERROR(__xludf.DUMMYFUNCTION("GOOGLETRANSLATE(C14320, ""en"", ""fa"")
"),"چگونه یک تجربه کاربری توسعه SaaS (UX) بسازیم؟")</f>
        <v>چگونه یک تجربه کاربری توسعه SaaS (UX) بسازیم؟</v>
      </c>
      <c r="H14320" s="1"/>
      <c r="I14320" s="1"/>
      <c r="J14320" s="1"/>
      <c r="K14320" s="1"/>
      <c r="L14320" s="1"/>
      <c r="M14320" s="1"/>
      <c r="N14320" s="1"/>
      <c r="O14320" s="1"/>
      <c r="P14320" s="1"/>
      <c r="Q14320" s="1"/>
      <c r="R14320" s="1"/>
      <c r="S14320" s="1"/>
      <c r="T14320" s="1"/>
      <c r="U14320" s="1"/>
      <c r="V14320" s="1"/>
      <c r="W14320" s="1"/>
      <c r="X14320" s="1"/>
      <c r="Y14320" s="1"/>
      <c r="Z14320" s="1"/>
      <c r="AA14320" s="1"/>
      <c r="AB14320" s="1"/>
    </row>
    <row r="14321" ht="50.25" customHeight="1">
      <c r="A14321" s="12">
        <v>14317.0</v>
      </c>
      <c r="B14321" s="13" t="s">
        <v>13537</v>
      </c>
      <c r="C14321" s="14" t="s">
        <v>13556</v>
      </c>
      <c r="D14321" s="1"/>
      <c r="E14321" s="1"/>
      <c r="F14321" s="1" t="str">
        <f>IFERROR(__xludf.DUMMYFUNCTION("GOOGLETRANSLATE(B14321, ""en"", ""fa"")
"),"موفقیت SaaS")</f>
        <v>موفقیت SaaS</v>
      </c>
      <c r="G14321" s="1" t="str">
        <f>IFERROR(__xludf.DUMMYFUNCTION("GOOGLETRANSLATE(C14321, ""en"", ""fa"")
"),"مهمترین ملاحظات عملکرد توسعه SaaS و مقیاس پذیری چیست؟")</f>
        <v>مهمترین ملاحظات عملکرد توسعه SaaS و مقیاس پذیری چیست؟</v>
      </c>
      <c r="H14321" s="1"/>
      <c r="I14321" s="1"/>
      <c r="J14321" s="1"/>
      <c r="K14321" s="1"/>
      <c r="L14321" s="1"/>
      <c r="M14321" s="1"/>
      <c r="N14321" s="1"/>
      <c r="O14321" s="1"/>
      <c r="P14321" s="1"/>
      <c r="Q14321" s="1"/>
      <c r="R14321" s="1"/>
      <c r="S14321" s="1"/>
      <c r="T14321" s="1"/>
      <c r="U14321" s="1"/>
      <c r="V14321" s="1"/>
      <c r="W14321" s="1"/>
      <c r="X14321" s="1"/>
      <c r="Y14321" s="1"/>
      <c r="Z14321" s="1"/>
      <c r="AA14321" s="1"/>
      <c r="AB14321" s="1"/>
    </row>
    <row r="14322" ht="50.25" customHeight="1">
      <c r="A14322" s="12">
        <v>14318.0</v>
      </c>
      <c r="B14322" s="13" t="s">
        <v>13537</v>
      </c>
      <c r="C14322" s="14" t="s">
        <v>13557</v>
      </c>
      <c r="D14322" s="1"/>
      <c r="E14322" s="1"/>
      <c r="F14322" s="1" t="str">
        <f>IFERROR(__xludf.DUMMYFUNCTION("GOOGLETRANSLATE(B14322, ""en"", ""fa"")
"),"موفقیت SaaS")</f>
        <v>موفقیت SaaS</v>
      </c>
      <c r="G14322" s="1" t="str">
        <f>IFERROR(__xludf.DUMMYFUNCTION("GOOGLETRANSLATE(C14322, ""en"", ""fa"")
"),"چگونه یک خط لوله توسعه SaaS DevOps بسازیم؟")</f>
        <v>چگونه یک خط لوله توسعه SaaS DevOps بسازیم؟</v>
      </c>
      <c r="H14322" s="1"/>
      <c r="I14322" s="1"/>
      <c r="J14322" s="1"/>
      <c r="K14322" s="1"/>
      <c r="L14322" s="1"/>
      <c r="M14322" s="1"/>
      <c r="N14322" s="1"/>
      <c r="O14322" s="1"/>
      <c r="P14322" s="1"/>
      <c r="Q14322" s="1"/>
      <c r="R14322" s="1"/>
      <c r="S14322" s="1"/>
      <c r="T14322" s="1"/>
      <c r="U14322" s="1"/>
      <c r="V14322" s="1"/>
      <c r="W14322" s="1"/>
      <c r="X14322" s="1"/>
      <c r="Y14322" s="1"/>
      <c r="Z14322" s="1"/>
      <c r="AA14322" s="1"/>
      <c r="AB14322" s="1"/>
    </row>
    <row r="14323" ht="50.25" customHeight="1">
      <c r="A14323" s="12">
        <v>14319.0</v>
      </c>
      <c r="B14323" s="13" t="s">
        <v>13537</v>
      </c>
      <c r="C14323" s="14" t="s">
        <v>13558</v>
      </c>
      <c r="D14323" s="1"/>
      <c r="E14323" s="1"/>
      <c r="F14323" s="1" t="str">
        <f>IFERROR(__xludf.DUMMYFUNCTION("GOOGLETRANSLATE(B14323, ""en"", ""fa"")
"),"موفقیت SaaS")</f>
        <v>موفقیت SaaS</v>
      </c>
      <c r="G14323" s="1" t="str">
        <f>IFERROR(__xludf.DUMMYFUNCTION("GOOGLETRANSLATE(C14323, ""en"", ""fa"")
"),"مهم ترین روش های تست توسعه SaaS و تضمین کیفیت (QA) چیست؟")</f>
        <v>مهم ترین روش های تست توسعه SaaS و تضمین کیفیت (QA) چیست؟</v>
      </c>
      <c r="H14323" s="1"/>
      <c r="I14323" s="1"/>
      <c r="J14323" s="1"/>
      <c r="K14323" s="1"/>
      <c r="L14323" s="1"/>
      <c r="M14323" s="1"/>
      <c r="N14323" s="1"/>
      <c r="O14323" s="1"/>
      <c r="P14323" s="1"/>
      <c r="Q14323" s="1"/>
      <c r="R14323" s="1"/>
      <c r="S14323" s="1"/>
      <c r="T14323" s="1"/>
      <c r="U14323" s="1"/>
      <c r="V14323" s="1"/>
      <c r="W14323" s="1"/>
      <c r="X14323" s="1"/>
      <c r="Y14323" s="1"/>
      <c r="Z14323" s="1"/>
      <c r="AA14323" s="1"/>
      <c r="AB14323" s="1"/>
    </row>
    <row r="14324" ht="50.25" customHeight="1">
      <c r="A14324" s="12">
        <v>14320.0</v>
      </c>
      <c r="B14324" s="13" t="s">
        <v>13537</v>
      </c>
      <c r="C14324" s="14" t="s">
        <v>13559</v>
      </c>
      <c r="D14324" s="1"/>
      <c r="E14324" s="1"/>
      <c r="F14324" s="1" t="str">
        <f>IFERROR(__xludf.DUMMYFUNCTION("GOOGLETRANSLATE(B14324, ""en"", ""fa"")
"),"موفقیت SaaS")</f>
        <v>موفقیت SaaS</v>
      </c>
      <c r="G14324" s="1" t="str">
        <f>IFERROR(__xludf.DUMMYFUNCTION("GOOGLETRANSLATE(C14324, ""en"", ""fa"")
"),"چگونه یک سند توسعه SaaS و مدیریت دانش بسازیم؟")</f>
        <v>چگونه یک سند توسعه SaaS و مدیریت دانش بسازیم؟</v>
      </c>
      <c r="H14324" s="1"/>
      <c r="I14324" s="1"/>
      <c r="J14324" s="1"/>
      <c r="K14324" s="1"/>
      <c r="L14324" s="1"/>
      <c r="M14324" s="1"/>
      <c r="N14324" s="1"/>
      <c r="O14324" s="1"/>
      <c r="P14324" s="1"/>
      <c r="Q14324" s="1"/>
      <c r="R14324" s="1"/>
      <c r="S14324" s="1"/>
      <c r="T14324" s="1"/>
      <c r="U14324" s="1"/>
      <c r="V14324" s="1"/>
      <c r="W14324" s="1"/>
      <c r="X14324" s="1"/>
      <c r="Y14324" s="1"/>
      <c r="Z14324" s="1"/>
      <c r="AA14324" s="1"/>
      <c r="AB14324" s="1"/>
    </row>
    <row r="14325" ht="50.25" customHeight="1">
      <c r="A14325" s="12">
        <v>14321.0</v>
      </c>
      <c r="B14325" s="13" t="s">
        <v>13537</v>
      </c>
      <c r="C14325" s="14" t="s">
        <v>13560</v>
      </c>
      <c r="D14325" s="1"/>
      <c r="E14325" s="1"/>
      <c r="F14325" s="1" t="str">
        <f>IFERROR(__xludf.DUMMYFUNCTION("GOOGLETRANSLATE(B14325, ""en"", ""fa"")
"),"موفقیت SaaS")</f>
        <v>موفقیت SaaS</v>
      </c>
      <c r="G14325" s="1" t="str">
        <f>IFERROR(__xludf.DUMMYFUNCTION("GOOGLETRANSLATE(C14325, ""en"", ""fa"")
"),"مهمترین شیوه های کنترل نسخه توسعه و مدیریت انتشار SaaS چیست؟")</f>
        <v>مهمترین شیوه های کنترل نسخه توسعه و مدیریت انتشار SaaS چیست؟</v>
      </c>
      <c r="H14325" s="1"/>
      <c r="I14325" s="1"/>
      <c r="J14325" s="1"/>
      <c r="K14325" s="1"/>
      <c r="L14325" s="1"/>
      <c r="M14325" s="1"/>
      <c r="N14325" s="1"/>
      <c r="O14325" s="1"/>
      <c r="P14325" s="1"/>
      <c r="Q14325" s="1"/>
      <c r="R14325" s="1"/>
      <c r="S14325" s="1"/>
      <c r="T14325" s="1"/>
      <c r="U14325" s="1"/>
      <c r="V14325" s="1"/>
      <c r="W14325" s="1"/>
      <c r="X14325" s="1"/>
      <c r="Y14325" s="1"/>
      <c r="Z14325" s="1"/>
      <c r="AA14325" s="1"/>
      <c r="AB14325" s="1"/>
    </row>
    <row r="14326" ht="50.25" customHeight="1">
      <c r="A14326" s="12">
        <v>14322.0</v>
      </c>
      <c r="B14326" s="13" t="s">
        <v>13537</v>
      </c>
      <c r="C14326" s="14" t="s">
        <v>13561</v>
      </c>
      <c r="D14326" s="1"/>
      <c r="E14326" s="1"/>
      <c r="F14326" s="1" t="str">
        <f>IFERROR(__xludf.DUMMYFUNCTION("GOOGLETRANSLATE(B14326, ""en"", ""fa"")
"),"موفقیت SaaS")</f>
        <v>موفقیت SaaS</v>
      </c>
      <c r="G14326" s="1" t="str">
        <f>IFERROR(__xludf.DUMMYFUNCTION("GOOGLETRANSLATE(C14326, ""en"", ""fa"")
"),"چگونه یک برنامه بازیابی فاجعه و تداوم کسب و کار توسعه SaaS ایجاد کنیم؟")</f>
        <v>چگونه یک برنامه بازیابی فاجعه و تداوم کسب و کار توسعه SaaS ایجاد کنیم؟</v>
      </c>
      <c r="H14326" s="1"/>
      <c r="I14326" s="1"/>
      <c r="J14326" s="1"/>
      <c r="K14326" s="1"/>
      <c r="L14326" s="1"/>
      <c r="M14326" s="1"/>
      <c r="N14326" s="1"/>
      <c r="O14326" s="1"/>
      <c r="P14326" s="1"/>
      <c r="Q14326" s="1"/>
      <c r="R14326" s="1"/>
      <c r="S14326" s="1"/>
      <c r="T14326" s="1"/>
      <c r="U14326" s="1"/>
      <c r="V14326" s="1"/>
      <c r="W14326" s="1"/>
      <c r="X14326" s="1"/>
      <c r="Y14326" s="1"/>
      <c r="Z14326" s="1"/>
      <c r="AA14326" s="1"/>
      <c r="AB14326" s="1"/>
    </row>
    <row r="14327" ht="50.25" customHeight="1">
      <c r="A14327" s="12">
        <v>14323.0</v>
      </c>
      <c r="B14327" s="13" t="s">
        <v>13537</v>
      </c>
      <c r="C14327" s="14" t="s">
        <v>13562</v>
      </c>
      <c r="D14327" s="1"/>
      <c r="E14327" s="1"/>
      <c r="F14327" s="1" t="str">
        <f>IFERROR(__xludf.DUMMYFUNCTION("GOOGLETRANSLATE(B14327, ""en"", ""fa"")
"),"موفقیت SaaS")</f>
        <v>موفقیت SaaS</v>
      </c>
      <c r="G14327" s="1" t="str">
        <f>IFERROR(__xludf.DUMMYFUNCTION("GOOGLETRANSLATE(C14327, ""en"", ""fa"")
"),"مهمترین ملاحظات یکپارچه سازی توسعه SaaS و APIها چیست؟")</f>
        <v>مهمترین ملاحظات یکپارچه سازی توسعه SaaS و APIها چیست؟</v>
      </c>
      <c r="H14327" s="1"/>
      <c r="I14327" s="1"/>
      <c r="J14327" s="1"/>
      <c r="K14327" s="1"/>
      <c r="L14327" s="1"/>
      <c r="M14327" s="1"/>
      <c r="N14327" s="1"/>
      <c r="O14327" s="1"/>
      <c r="P14327" s="1"/>
      <c r="Q14327" s="1"/>
      <c r="R14327" s="1"/>
      <c r="S14327" s="1"/>
      <c r="T14327" s="1"/>
      <c r="U14327" s="1"/>
      <c r="V14327" s="1"/>
      <c r="W14327" s="1"/>
      <c r="X14327" s="1"/>
      <c r="Y14327" s="1"/>
      <c r="Z14327" s="1"/>
      <c r="AA14327" s="1"/>
      <c r="AB14327" s="1"/>
    </row>
    <row r="14328" ht="50.25" customHeight="1">
      <c r="A14328" s="12">
        <v>14324.0</v>
      </c>
      <c r="B14328" s="13" t="s">
        <v>13537</v>
      </c>
      <c r="C14328" s="14" t="s">
        <v>13563</v>
      </c>
      <c r="D14328" s="1"/>
      <c r="E14328" s="1"/>
      <c r="F14328" s="1" t="str">
        <f>IFERROR(__xludf.DUMMYFUNCTION("GOOGLETRANSLATE(B14328, ""en"", ""fa"")
"),"موفقیت SaaS")</f>
        <v>موفقیت SaaS</v>
      </c>
      <c r="G14328" s="1" t="str">
        <f>IFERROR(__xludf.DUMMYFUNCTION("GOOGLETRANSLATE(C14328, ""en"", ""fa"")
"),"چگونه یک کاربر توسعه SaaS نصب و آموزش ایجاد کنیم؟")</f>
        <v>چگونه یک کاربر توسعه SaaS نصب و آموزش ایجاد کنیم؟</v>
      </c>
      <c r="H14328" s="1"/>
      <c r="I14328" s="1"/>
      <c r="J14328" s="1"/>
      <c r="K14328" s="1"/>
      <c r="L14328" s="1"/>
      <c r="M14328" s="1"/>
      <c r="N14328" s="1"/>
      <c r="O14328" s="1"/>
      <c r="P14328" s="1"/>
      <c r="Q14328" s="1"/>
      <c r="R14328" s="1"/>
      <c r="S14328" s="1"/>
      <c r="T14328" s="1"/>
      <c r="U14328" s="1"/>
      <c r="V14328" s="1"/>
      <c r="W14328" s="1"/>
      <c r="X14328" s="1"/>
      <c r="Y14328" s="1"/>
      <c r="Z14328" s="1"/>
      <c r="AA14328" s="1"/>
      <c r="AB14328" s="1"/>
    </row>
    <row r="14329" ht="50.25" customHeight="1">
      <c r="A14329" s="12">
        <v>14325.0</v>
      </c>
      <c r="B14329" s="13" t="s">
        <v>13537</v>
      </c>
      <c r="C14329" s="14" t="s">
        <v>13564</v>
      </c>
      <c r="D14329" s="1"/>
      <c r="E14329" s="1"/>
      <c r="F14329" s="1" t="str">
        <f>IFERROR(__xludf.DUMMYFUNCTION("GOOGLETRANSLATE(B14329, ""en"", ""fa"")
"),"موفقیت SaaS")</f>
        <v>موفقیت SaaS</v>
      </c>
      <c r="G14329" s="1" t="str">
        <f>IFERROR(__xludf.DUMMYFUNCTION("GOOGLETRANSLATE(C14329, ""en"", ""fa"")
"),"مهمترین فرآیندهای پشتیبانی مشتری و بازخورد توسعه SaaS چیست؟")</f>
        <v>مهمترین فرآیندهای پشتیبانی مشتری و بازخورد توسعه SaaS چیست؟</v>
      </c>
      <c r="H14329" s="1"/>
      <c r="I14329" s="1"/>
      <c r="J14329" s="1"/>
      <c r="K14329" s="1"/>
      <c r="L14329" s="1"/>
      <c r="M14329" s="1"/>
      <c r="N14329" s="1"/>
      <c r="O14329" s="1"/>
      <c r="P14329" s="1"/>
      <c r="Q14329" s="1"/>
      <c r="R14329" s="1"/>
      <c r="S14329" s="1"/>
      <c r="T14329" s="1"/>
      <c r="U14329" s="1"/>
      <c r="V14329" s="1"/>
      <c r="W14329" s="1"/>
      <c r="X14329" s="1"/>
      <c r="Y14329" s="1"/>
      <c r="Z14329" s="1"/>
      <c r="AA14329" s="1"/>
      <c r="AB14329" s="1"/>
    </row>
    <row r="14330" ht="50.25" customHeight="1">
      <c r="A14330" s="12">
        <v>14326.0</v>
      </c>
      <c r="B14330" s="13" t="s">
        <v>13537</v>
      </c>
      <c r="C14330" s="14" t="s">
        <v>13565</v>
      </c>
      <c r="D14330" s="1"/>
      <c r="E14330" s="1"/>
      <c r="F14330" s="1" t="str">
        <f>IFERROR(__xludf.DUMMYFUNCTION("GOOGLETRANSLATE(B14330, ""en"", ""fa"")
"),"موفقیت SaaS")</f>
        <v>موفقیت SaaS</v>
      </c>
      <c r="G14330" s="1" t="str">
        <f>IFERROR(__xludf.DUMMYFUNCTION("GOOGLETRANSLATE(C14330, ""en"", ""fa"")
"),"چگونه یک استراتژی قیمت گذاری و کسب درآمد توسعه SaaS ایجاد کنیم؟")</f>
        <v>چگونه یک استراتژی قیمت گذاری و کسب درآمد توسعه SaaS ایجاد کنیم؟</v>
      </c>
      <c r="H14330" s="1"/>
      <c r="I14330" s="1"/>
      <c r="J14330" s="1"/>
      <c r="K14330" s="1"/>
      <c r="L14330" s="1"/>
      <c r="M14330" s="1"/>
      <c r="N14330" s="1"/>
      <c r="O14330" s="1"/>
      <c r="P14330" s="1"/>
      <c r="Q14330" s="1"/>
      <c r="R14330" s="1"/>
      <c r="S14330" s="1"/>
      <c r="T14330" s="1"/>
      <c r="U14330" s="1"/>
      <c r="V14330" s="1"/>
      <c r="W14330" s="1"/>
      <c r="X14330" s="1"/>
      <c r="Y14330" s="1"/>
      <c r="Z14330" s="1"/>
      <c r="AA14330" s="1"/>
      <c r="AB14330" s="1"/>
    </row>
    <row r="14331" ht="50.25" customHeight="1">
      <c r="A14331" s="12">
        <v>14327.0</v>
      </c>
      <c r="B14331" s="13" t="s">
        <v>13537</v>
      </c>
      <c r="C14331" s="14" t="s">
        <v>13566</v>
      </c>
      <c r="D14331" s="1"/>
      <c r="E14331" s="1"/>
      <c r="F14331" s="1" t="str">
        <f>IFERROR(__xludf.DUMMYFUNCTION("GOOGLETRANSLATE(B14331, ""en"", ""fa"")
"),"موفقیت SaaS")</f>
        <v>موفقیت SaaS</v>
      </c>
      <c r="G14331" s="1" t="str">
        <f>IFERROR(__xludf.DUMMYFUNCTION("GOOGLETRANSLATE(C14331, ""en"", ""fa"")
"),"مهم ترین استراتژی های بازاریابی و برندسازی توسعه SaaS چیست؟")</f>
        <v>مهم ترین استراتژی های بازاریابی و برندسازی توسعه SaaS چیست؟</v>
      </c>
      <c r="H14331" s="1"/>
      <c r="I14331" s="1"/>
      <c r="J14331" s="1"/>
      <c r="K14331" s="1"/>
      <c r="L14331" s="1"/>
      <c r="M14331" s="1"/>
      <c r="N14331" s="1"/>
      <c r="O14331" s="1"/>
      <c r="P14331" s="1"/>
      <c r="Q14331" s="1"/>
      <c r="R14331" s="1"/>
      <c r="S14331" s="1"/>
      <c r="T14331" s="1"/>
      <c r="U14331" s="1"/>
      <c r="V14331" s="1"/>
      <c r="W14331" s="1"/>
      <c r="X14331" s="1"/>
      <c r="Y14331" s="1"/>
      <c r="Z14331" s="1"/>
      <c r="AA14331" s="1"/>
      <c r="AB14331" s="1"/>
    </row>
    <row r="14332" ht="50.25" customHeight="1">
      <c r="A14332" s="12">
        <v>14328.0</v>
      </c>
      <c r="B14332" s="13" t="s">
        <v>13537</v>
      </c>
      <c r="C14332" s="14" t="s">
        <v>13567</v>
      </c>
      <c r="D14332" s="1"/>
      <c r="E14332" s="1"/>
      <c r="F14332" s="1" t="str">
        <f>IFERROR(__xludf.DUMMYFUNCTION("GOOGLETRANSLATE(B14332, ""en"", ""fa"")
"),"موفقیت SaaS")</f>
        <v>موفقیت SaaS</v>
      </c>
      <c r="G14332" s="1" t="str">
        <f>IFERROR(__xludf.DUMMYFUNCTION("GOOGLETRANSLATE(C14332, ""en"", ""fa"")
"),"چگونه یک استراتژی توزیع و فروش توسعه SaaS ایجاد کنیم؟")</f>
        <v>چگونه یک استراتژی توزیع و فروش توسعه SaaS ایجاد کنیم؟</v>
      </c>
      <c r="H14332" s="1"/>
      <c r="I14332" s="1"/>
      <c r="J14332" s="1"/>
      <c r="K14332" s="1"/>
      <c r="L14332" s="1"/>
      <c r="M14332" s="1"/>
      <c r="N14332" s="1"/>
      <c r="O14332" s="1"/>
      <c r="P14332" s="1"/>
      <c r="Q14332" s="1"/>
      <c r="R14332" s="1"/>
      <c r="S14332" s="1"/>
      <c r="T14332" s="1"/>
      <c r="U14332" s="1"/>
      <c r="V14332" s="1"/>
      <c r="W14332" s="1"/>
      <c r="X14332" s="1"/>
      <c r="Y14332" s="1"/>
      <c r="Z14332" s="1"/>
      <c r="AA14332" s="1"/>
      <c r="AB14332" s="1"/>
    </row>
    <row r="14333" ht="50.25" customHeight="1">
      <c r="A14333" s="12">
        <v>14329.0</v>
      </c>
      <c r="B14333" s="13" t="s">
        <v>13537</v>
      </c>
      <c r="C14333" s="14" t="s">
        <v>13568</v>
      </c>
      <c r="D14333" s="1"/>
      <c r="E14333" s="1"/>
      <c r="F14333" s="1" t="str">
        <f>IFERROR(__xludf.DUMMYFUNCTION("GOOGLETRANSLATE(B14333, ""en"", ""fa"")
"),"موفقیت SaaS")</f>
        <v>موفقیت SaaS</v>
      </c>
      <c r="G14333" s="1" t="str">
        <f>IFERROR(__xludf.DUMMYFUNCTION("GOOGLETRANSLATE(C14333, ""en"", ""fa"")
"),"مهم ترین استراتژی های جذب و حفظ مشتری توسعه SaaS چیست؟")</f>
        <v>مهم ترین استراتژی های جذب و حفظ مشتری توسعه SaaS چیست؟</v>
      </c>
      <c r="H14333" s="1"/>
      <c r="I14333" s="1"/>
      <c r="J14333" s="1"/>
      <c r="K14333" s="1"/>
      <c r="L14333" s="1"/>
      <c r="M14333" s="1"/>
      <c r="N14333" s="1"/>
      <c r="O14333" s="1"/>
      <c r="P14333" s="1"/>
      <c r="Q14333" s="1"/>
      <c r="R14333" s="1"/>
      <c r="S14333" s="1"/>
      <c r="T14333" s="1"/>
      <c r="U14333" s="1"/>
      <c r="V14333" s="1"/>
      <c r="W14333" s="1"/>
      <c r="X14333" s="1"/>
      <c r="Y14333" s="1"/>
      <c r="Z14333" s="1"/>
      <c r="AA14333" s="1"/>
      <c r="AB14333" s="1"/>
    </row>
    <row r="14334" ht="50.25" customHeight="1">
      <c r="A14334" s="12">
        <v>14330.0</v>
      </c>
      <c r="B14334" s="13" t="s">
        <v>13537</v>
      </c>
      <c r="C14334" s="14" t="s">
        <v>13569</v>
      </c>
      <c r="D14334" s="1"/>
      <c r="E14334" s="1"/>
      <c r="F14334" s="1" t="str">
        <f>IFERROR(__xludf.DUMMYFUNCTION("GOOGLETRANSLATE(B14334, ""en"", ""fa"")
"),"موفقیت SaaS")</f>
        <v>موفقیت SaaS</v>
      </c>
      <c r="G14334" s="1" t="str">
        <f>IFERROR(__xludf.DUMMYFUNCTION("GOOGLETRANSLATE(C14334, ""en"", ""fa"")
"),"چگونه یک استراتژی موفقیت مشتری توسعه SaaS ایجاد کنیم؟")</f>
        <v>چگونه یک استراتژی موفقیت مشتری توسعه SaaS ایجاد کنیم؟</v>
      </c>
      <c r="H14334" s="1"/>
      <c r="I14334" s="1"/>
      <c r="J14334" s="1"/>
      <c r="K14334" s="1"/>
      <c r="L14334" s="1"/>
      <c r="M14334" s="1"/>
      <c r="N14334" s="1"/>
      <c r="O14334" s="1"/>
      <c r="P14334" s="1"/>
      <c r="Q14334" s="1"/>
      <c r="R14334" s="1"/>
      <c r="S14334" s="1"/>
      <c r="T14334" s="1"/>
      <c r="U14334" s="1"/>
      <c r="V14334" s="1"/>
      <c r="W14334" s="1"/>
      <c r="X14334" s="1"/>
      <c r="Y14334" s="1"/>
      <c r="Z14334" s="1"/>
      <c r="AA14334" s="1"/>
      <c r="AB14334" s="1"/>
    </row>
    <row r="14335" ht="50.25" customHeight="1">
      <c r="A14335" s="12">
        <v>14331.0</v>
      </c>
      <c r="B14335" s="13" t="s">
        <v>13537</v>
      </c>
      <c r="C14335" s="14" t="s">
        <v>13570</v>
      </c>
      <c r="D14335" s="1"/>
      <c r="E14335" s="1"/>
      <c r="F14335" s="1" t="str">
        <f>IFERROR(__xludf.DUMMYFUNCTION("GOOGLETRANSLATE(B14335, ""en"", ""fa"")
"),"موفقیت SaaS")</f>
        <v>موفقیت SaaS</v>
      </c>
      <c r="G14335" s="1" t="str">
        <f>IFERROR(__xludf.DUMMYFUNCTION("GOOGLETRANSLATE(C14335, ""en"", ""fa"")
"),"مهم ترین سیاست های حفظ حریم خصوصی و امنیت داده های توسعه SaaS چیست؟")</f>
        <v>مهم ترین سیاست های حفظ حریم خصوصی و امنیت داده های توسعه SaaS چیست؟</v>
      </c>
      <c r="H14335" s="1"/>
      <c r="I14335" s="1"/>
      <c r="J14335" s="1"/>
      <c r="K14335" s="1"/>
      <c r="L14335" s="1"/>
      <c r="M14335" s="1"/>
      <c r="N14335" s="1"/>
      <c r="O14335" s="1"/>
      <c r="P14335" s="1"/>
      <c r="Q14335" s="1"/>
      <c r="R14335" s="1"/>
      <c r="S14335" s="1"/>
      <c r="T14335" s="1"/>
      <c r="U14335" s="1"/>
      <c r="V14335" s="1"/>
      <c r="W14335" s="1"/>
      <c r="X14335" s="1"/>
      <c r="Y14335" s="1"/>
      <c r="Z14335" s="1"/>
      <c r="AA14335" s="1"/>
      <c r="AB14335" s="1"/>
    </row>
    <row r="14336" ht="50.25" customHeight="1">
      <c r="A14336" s="12">
        <v>14332.0</v>
      </c>
      <c r="B14336" s="13" t="s">
        <v>13537</v>
      </c>
      <c r="C14336" s="14" t="s">
        <v>13571</v>
      </c>
      <c r="D14336" s="1"/>
      <c r="E14336" s="1"/>
      <c r="F14336" s="1" t="str">
        <f>IFERROR(__xludf.DUMMYFUNCTION("GOOGLETRANSLATE(B14336, ""en"", ""fa"")
"),"موفقیت SaaS")</f>
        <v>موفقیت SaaS</v>
      </c>
      <c r="G14336" s="1" t="str">
        <f>IFERROR(__xludf.DUMMYFUNCTION("GOOGLETRANSLATE(C14336, ""en"", ""fa"")
"),"چگونه یک تجزیه و تحلیل و گزارش داده توسعه SaaS بسازیم؟")</f>
        <v>چگونه یک تجزیه و تحلیل و گزارش داده توسعه SaaS بسازیم؟</v>
      </c>
      <c r="H14336" s="1"/>
      <c r="I14336" s="1"/>
      <c r="J14336" s="1"/>
      <c r="K14336" s="1"/>
      <c r="L14336" s="1"/>
      <c r="M14336" s="1"/>
      <c r="N14336" s="1"/>
      <c r="O14336" s="1"/>
      <c r="P14336" s="1"/>
      <c r="Q14336" s="1"/>
      <c r="R14336" s="1"/>
      <c r="S14336" s="1"/>
      <c r="T14336" s="1"/>
      <c r="U14336" s="1"/>
      <c r="V14336" s="1"/>
      <c r="W14336" s="1"/>
      <c r="X14336" s="1"/>
      <c r="Y14336" s="1"/>
      <c r="Z14336" s="1"/>
      <c r="AA14336" s="1"/>
      <c r="AB14336" s="1"/>
    </row>
    <row r="14337" ht="50.25" customHeight="1">
      <c r="A14337" s="12">
        <v>14333.0</v>
      </c>
      <c r="B14337" s="13" t="s">
        <v>13537</v>
      </c>
      <c r="C14337" s="14" t="s">
        <v>13572</v>
      </c>
      <c r="D14337" s="1"/>
      <c r="E14337" s="1"/>
      <c r="F14337" s="1" t="str">
        <f>IFERROR(__xludf.DUMMYFUNCTION("GOOGLETRANSLATE(B14337, ""en"", ""fa"")
"),"موفقیت SaaS")</f>
        <v>موفقیت SaaS</v>
      </c>
      <c r="G14337" s="1" t="str">
        <f>IFERROR(__xludf.DUMMYFUNCTION("GOOGLETRANSLATE(C14337, ""en"", ""fa"")
"),"مهم ترین ملاحظات توسعه SaaS هوش مصنوعی (AI) و یادگیری ماشین (ML) چیست؟")</f>
        <v>مهم ترین ملاحظات توسعه SaaS هوش مصنوعی (AI) و یادگیری ماشین (ML) چیست؟</v>
      </c>
      <c r="H14337" s="1"/>
      <c r="I14337" s="1"/>
      <c r="J14337" s="1"/>
      <c r="K14337" s="1"/>
      <c r="L14337" s="1"/>
      <c r="M14337" s="1"/>
      <c r="N14337" s="1"/>
      <c r="O14337" s="1"/>
      <c r="P14337" s="1"/>
      <c r="Q14337" s="1"/>
      <c r="R14337" s="1"/>
      <c r="S14337" s="1"/>
      <c r="T14337" s="1"/>
      <c r="U14337" s="1"/>
      <c r="V14337" s="1"/>
      <c r="W14337" s="1"/>
      <c r="X14337" s="1"/>
      <c r="Y14337" s="1"/>
      <c r="Z14337" s="1"/>
      <c r="AA14337" s="1"/>
      <c r="AB14337" s="1"/>
    </row>
    <row r="14338" ht="50.25" customHeight="1">
      <c r="A14338" s="12">
        <v>14334.0</v>
      </c>
      <c r="B14338" s="13" t="s">
        <v>13537</v>
      </c>
      <c r="C14338" s="14" t="s">
        <v>13573</v>
      </c>
      <c r="D14338" s="1"/>
      <c r="E14338" s="1"/>
      <c r="F14338" s="1" t="str">
        <f>IFERROR(__xludf.DUMMYFUNCTION("GOOGLETRANSLATE(B14338, ""en"", ""fa"")
"),"موفقیت SaaS")</f>
        <v>موفقیت SaaS</v>
      </c>
      <c r="G14338" s="1" t="str">
        <f>IFERROR(__xludf.DUMMYFUNCTION("GOOGLETRANSLATE(C14338, ""en"", ""fa"")
"),"چگونه می توان یک استراتژی های محاسبات ابری و زیرساخت توسعه SaaS ایجاد کرد؟")</f>
        <v>چگونه می توان یک استراتژی های محاسبات ابری و زیرساخت توسعه SaaS ایجاد کرد؟</v>
      </c>
      <c r="H14338" s="1"/>
      <c r="I14338" s="1"/>
      <c r="J14338" s="1"/>
      <c r="K14338" s="1"/>
      <c r="L14338" s="1"/>
      <c r="M14338" s="1"/>
      <c r="N14338" s="1"/>
      <c r="O14338" s="1"/>
      <c r="P14338" s="1"/>
      <c r="Q14338" s="1"/>
      <c r="R14338" s="1"/>
      <c r="S14338" s="1"/>
      <c r="T14338" s="1"/>
      <c r="U14338" s="1"/>
      <c r="V14338" s="1"/>
      <c r="W14338" s="1"/>
      <c r="X14338" s="1"/>
      <c r="Y14338" s="1"/>
      <c r="Z14338" s="1"/>
      <c r="AA14338" s="1"/>
      <c r="AB14338" s="1"/>
    </row>
    <row r="14339" ht="50.25" customHeight="1">
      <c r="A14339" s="12">
        <v>14335.0</v>
      </c>
      <c r="B14339" s="13" t="s">
        <v>13537</v>
      </c>
      <c r="C14339" s="14" t="s">
        <v>13574</v>
      </c>
      <c r="D14339" s="1"/>
      <c r="E14339" s="1"/>
      <c r="F14339" s="1" t="str">
        <f>IFERROR(__xludf.DUMMYFUNCTION("GOOGLETRANSLATE(B14339, ""en"", ""fa"")
"),"موفقیت SaaS")</f>
        <v>موفقیت SaaS</v>
      </c>
      <c r="G14339" s="1" t="str">
        <f>IFERROR(__xludf.DUMMYFUNCTION("GOOGLETRANSLATE(C14339, ""en"", ""fa"")
"),"مهمترین راهبردهای توسعه SaaS موبایل و توسعه وب چیست؟")</f>
        <v>مهمترین راهبردهای توسعه SaaS موبایل و توسعه وب چیست؟</v>
      </c>
      <c r="H14339" s="1"/>
      <c r="I14339" s="1"/>
      <c r="J14339" s="1"/>
      <c r="K14339" s="1"/>
      <c r="L14339" s="1"/>
      <c r="M14339" s="1"/>
      <c r="N14339" s="1"/>
      <c r="O14339" s="1"/>
      <c r="P14339" s="1"/>
      <c r="Q14339" s="1"/>
      <c r="R14339" s="1"/>
      <c r="S14339" s="1"/>
      <c r="T14339" s="1"/>
      <c r="U14339" s="1"/>
      <c r="V14339" s="1"/>
      <c r="W14339" s="1"/>
      <c r="X14339" s="1"/>
      <c r="Y14339" s="1"/>
      <c r="Z14339" s="1"/>
      <c r="AA14339" s="1"/>
      <c r="AB14339" s="1"/>
    </row>
    <row r="14340" ht="50.25" customHeight="1">
      <c r="A14340" s="12">
        <v>14336.0</v>
      </c>
      <c r="B14340" s="13" t="s">
        <v>13537</v>
      </c>
      <c r="C14340" s="14" t="s">
        <v>13575</v>
      </c>
      <c r="D14340" s="1"/>
      <c r="E14340" s="1"/>
      <c r="F14340" s="1" t="str">
        <f>IFERROR(__xludf.DUMMYFUNCTION("GOOGLETRANSLATE(B14340, ""en"", ""fa"")
"),"موفقیت SaaS")</f>
        <v>موفقیت SaaS</v>
      </c>
      <c r="G14340" s="1" t="str">
        <f>IFERROR(__xludf.DUMMYFUNCTION("GOOGLETRANSLATE(C14340, ""en"", ""fa"")
"),"چگونه یک ادغام توسعه SaaS با ابزارها و پلتفرم های شخص ثالث ایجاد کنیم؟")</f>
        <v>چگونه یک ادغام توسعه SaaS با ابزارها و پلتفرم های شخص ثالث ایجاد کنیم؟</v>
      </c>
      <c r="H14340" s="1"/>
      <c r="I14340" s="1"/>
      <c r="J14340" s="1"/>
      <c r="K14340" s="1"/>
      <c r="L14340" s="1"/>
      <c r="M14340" s="1"/>
      <c r="N14340" s="1"/>
      <c r="O14340" s="1"/>
      <c r="P14340" s="1"/>
      <c r="Q14340" s="1"/>
      <c r="R14340" s="1"/>
      <c r="S14340" s="1"/>
      <c r="T14340" s="1"/>
      <c r="U14340" s="1"/>
      <c r="V14340" s="1"/>
      <c r="W14340" s="1"/>
      <c r="X14340" s="1"/>
      <c r="Y14340" s="1"/>
      <c r="Z14340" s="1"/>
      <c r="AA14340" s="1"/>
      <c r="AB14340" s="1"/>
    </row>
    <row r="14341" ht="50.25" customHeight="1">
      <c r="A14341" s="12">
        <v>14337.0</v>
      </c>
      <c r="B14341" s="13" t="s">
        <v>13537</v>
      </c>
      <c r="C14341" s="14" t="s">
        <v>13576</v>
      </c>
      <c r="D14341" s="1"/>
      <c r="E14341" s="1"/>
      <c r="F14341" s="1" t="str">
        <f>IFERROR(__xludf.DUMMYFUNCTION("GOOGLETRANSLATE(B14341, ""en"", ""fa"")
"),"موفقیت SaaS")</f>
        <v>موفقیت SaaS</v>
      </c>
      <c r="G14341" s="1" t="str">
        <f>IFERROR(__xludf.DUMMYFUNCTION("GOOGLETRANSLATE(C14341, ""en"", ""fa"")
"),"مهمترین استراتژی های توسعه SaaS پلت فرم به عنوان سرویس (PaaS) و نرم افزار به عنوان یک سرویس (SaaS) چیست؟")</f>
        <v>مهمترین استراتژی های توسعه SaaS پلت فرم به عنوان سرویس (PaaS) و نرم افزار به عنوان یک سرویس (SaaS) چیست؟</v>
      </c>
      <c r="H14341" s="1"/>
      <c r="I14341" s="1"/>
      <c r="J14341" s="1"/>
      <c r="K14341" s="1"/>
      <c r="L14341" s="1"/>
      <c r="M14341" s="1"/>
      <c r="N14341" s="1"/>
      <c r="O14341" s="1"/>
      <c r="P14341" s="1"/>
      <c r="Q14341" s="1"/>
      <c r="R14341" s="1"/>
      <c r="S14341" s="1"/>
      <c r="T14341" s="1"/>
      <c r="U14341" s="1"/>
      <c r="V14341" s="1"/>
      <c r="W14341" s="1"/>
      <c r="X14341" s="1"/>
      <c r="Y14341" s="1"/>
      <c r="Z14341" s="1"/>
      <c r="AA14341" s="1"/>
      <c r="AB14341" s="1"/>
    </row>
    <row r="14342" ht="50.25" customHeight="1">
      <c r="A14342" s="12">
        <v>14338.0</v>
      </c>
      <c r="B14342" s="13" t="s">
        <v>13537</v>
      </c>
      <c r="C14342" s="14" t="s">
        <v>13577</v>
      </c>
      <c r="D14342" s="1"/>
      <c r="E14342" s="1"/>
      <c r="F14342" s="1" t="str">
        <f>IFERROR(__xludf.DUMMYFUNCTION("GOOGLETRANSLATE(B14342, ""en"", ""fa"")
"),"موفقیت SaaS")</f>
        <v>موفقیت SaaS</v>
      </c>
      <c r="G14342" s="1" t="str">
        <f>IFERROR(__xludf.DUMMYFUNCTION("GOOGLETRANSLATE(C14342, ""en"", ""fa"")
"),"چگونه یک آموزش کارمند توسعه SaaS و توسعه حرفه ای ایجاد کنیم؟")</f>
        <v>چگونه یک آموزش کارمند توسعه SaaS و توسعه حرفه ای ایجاد کنیم؟</v>
      </c>
      <c r="H14342" s="1"/>
      <c r="I14342" s="1"/>
      <c r="J14342" s="1"/>
      <c r="K14342" s="1"/>
      <c r="L14342" s="1"/>
      <c r="M14342" s="1"/>
      <c r="N14342" s="1"/>
      <c r="O14342" s="1"/>
      <c r="P14342" s="1"/>
      <c r="Q14342" s="1"/>
      <c r="R14342" s="1"/>
      <c r="S14342" s="1"/>
      <c r="T14342" s="1"/>
      <c r="U14342" s="1"/>
      <c r="V14342" s="1"/>
      <c r="W14342" s="1"/>
      <c r="X14342" s="1"/>
      <c r="Y14342" s="1"/>
      <c r="Z14342" s="1"/>
      <c r="AA14342" s="1"/>
      <c r="AB14342" s="1"/>
    </row>
    <row r="14343" ht="50.25" customHeight="1">
      <c r="A14343" s="12">
        <v>14339.0</v>
      </c>
      <c r="B14343" s="13" t="s">
        <v>13537</v>
      </c>
      <c r="C14343" s="14" t="s">
        <v>13578</v>
      </c>
      <c r="D14343" s="1"/>
      <c r="E14343" s="1"/>
      <c r="F14343" s="1" t="str">
        <f>IFERROR(__xludf.DUMMYFUNCTION("GOOGLETRANSLATE(B14343, ""en"", ""fa"")
"),"موفقیت SaaS")</f>
        <v>موفقیت SaaS</v>
      </c>
      <c r="G14343" s="1" t="str">
        <f>IFERROR(__xludf.DUMMYFUNCTION("GOOGLETRANSLATE(C14343, ""en"", ""fa"")
"),"مهم ترین استراتژی های استخدام و مدیریت استعداد توسعه SaaS چیست؟")</f>
        <v>مهم ترین استراتژی های استخدام و مدیریت استعداد توسعه SaaS چیست؟</v>
      </c>
      <c r="H14343" s="1"/>
      <c r="I14343" s="1"/>
      <c r="J14343" s="1"/>
      <c r="K14343" s="1"/>
      <c r="L14343" s="1"/>
      <c r="M14343" s="1"/>
      <c r="N14343" s="1"/>
      <c r="O14343" s="1"/>
      <c r="P14343" s="1"/>
      <c r="Q14343" s="1"/>
      <c r="R14343" s="1"/>
      <c r="S14343" s="1"/>
      <c r="T14343" s="1"/>
      <c r="U14343" s="1"/>
      <c r="V14343" s="1"/>
      <c r="W14343" s="1"/>
      <c r="X14343" s="1"/>
      <c r="Y14343" s="1"/>
      <c r="Z14343" s="1"/>
      <c r="AA14343" s="1"/>
      <c r="AB14343" s="1"/>
    </row>
    <row r="14344" ht="50.25" customHeight="1">
      <c r="A14344" s="12">
        <v>14340.0</v>
      </c>
      <c r="B14344" s="13" t="s">
        <v>13537</v>
      </c>
      <c r="C14344" s="14" t="s">
        <v>13579</v>
      </c>
      <c r="D14344" s="1"/>
      <c r="E14344" s="1"/>
      <c r="F14344" s="1" t="str">
        <f>IFERROR(__xludf.DUMMYFUNCTION("GOOGLETRANSLATE(B14344, ""en"", ""fa"")
"),"موفقیت SaaS")</f>
        <v>موفقیت SaaS</v>
      </c>
      <c r="G14344" s="1" t="str">
        <f>IFERROR(__xludf.DUMMYFUNCTION("GOOGLETRANSLATE(C14344, ""en"", ""fa"")
"),"چگونه یک فرهنگ و ارزش های محل کار توسعه SaaS ایجاد کنیم؟")</f>
        <v>چگونه یک فرهنگ و ارزش های محل کار توسعه SaaS ایجاد کنیم؟</v>
      </c>
      <c r="H14344" s="1"/>
      <c r="I14344" s="1"/>
      <c r="J14344" s="1"/>
      <c r="K14344" s="1"/>
      <c r="L14344" s="1"/>
      <c r="M14344" s="1"/>
      <c r="N14344" s="1"/>
      <c r="O14344" s="1"/>
      <c r="P14344" s="1"/>
      <c r="Q14344" s="1"/>
      <c r="R14344" s="1"/>
      <c r="S14344" s="1"/>
      <c r="T14344" s="1"/>
      <c r="U14344" s="1"/>
      <c r="V14344" s="1"/>
      <c r="W14344" s="1"/>
      <c r="X14344" s="1"/>
      <c r="Y14344" s="1"/>
      <c r="Z14344" s="1"/>
      <c r="AA14344" s="1"/>
      <c r="AB14344" s="1"/>
    </row>
    <row r="14345" ht="50.25" customHeight="1">
      <c r="A14345" s="12">
        <v>14341.0</v>
      </c>
      <c r="B14345" s="13" t="s">
        <v>13537</v>
      </c>
      <c r="C14345" s="14" t="s">
        <v>13580</v>
      </c>
      <c r="D14345" s="1"/>
      <c r="E14345" s="1"/>
      <c r="F14345" s="1" t="str">
        <f>IFERROR(__xludf.DUMMYFUNCTION("GOOGLETRANSLATE(B14345, ""en"", ""fa"")
"),"موفقیت SaaS")</f>
        <v>موفقیت SaaS</v>
      </c>
      <c r="G14345" s="1" t="str">
        <f>IFERROR(__xludf.DUMMYFUNCTION("GOOGLETRANSLATE(C14345, ""en"", ""fa"")
"),"مهمترین چشم انداز و ماموریت شرکت توسعه SaaS چیست؟")</f>
        <v>مهمترین چشم انداز و ماموریت شرکت توسعه SaaS چیست؟</v>
      </c>
      <c r="H14345" s="1"/>
      <c r="I14345" s="1"/>
      <c r="J14345" s="1"/>
      <c r="K14345" s="1"/>
      <c r="L14345" s="1"/>
      <c r="M14345" s="1"/>
      <c r="N14345" s="1"/>
      <c r="O14345" s="1"/>
      <c r="P14345" s="1"/>
      <c r="Q14345" s="1"/>
      <c r="R14345" s="1"/>
      <c r="S14345" s="1"/>
      <c r="T14345" s="1"/>
      <c r="U14345" s="1"/>
      <c r="V14345" s="1"/>
      <c r="W14345" s="1"/>
      <c r="X14345" s="1"/>
      <c r="Y14345" s="1"/>
      <c r="Z14345" s="1"/>
      <c r="AA14345" s="1"/>
      <c r="AB14345" s="1"/>
    </row>
    <row r="14346" ht="50.25" customHeight="1">
      <c r="A14346" s="12">
        <v>14342.0</v>
      </c>
      <c r="B14346" s="13" t="s">
        <v>13537</v>
      </c>
      <c r="C14346" s="14" t="s">
        <v>13581</v>
      </c>
      <c r="D14346" s="1"/>
      <c r="E14346" s="1"/>
      <c r="F14346" s="1" t="str">
        <f>IFERROR(__xludf.DUMMYFUNCTION("GOOGLETRANSLATE(B14346, ""en"", ""fa"")
"),"موفقیت SaaS")</f>
        <v>موفقیت SaaS</v>
      </c>
      <c r="G14346" s="1" t="str">
        <f>IFERROR(__xludf.DUMMYFUNCTION("GOOGLETRANSLATE(C14346, ""en"", ""fa"")
"),"چگونه هویت و شهرت نام تجاری شرکت توسعه SaaS ایجاد کنیم؟")</f>
        <v>چگونه هویت و شهرت نام تجاری شرکت توسعه SaaS ایجاد کنیم؟</v>
      </c>
      <c r="H14346" s="1"/>
      <c r="I14346" s="1"/>
      <c r="J14346" s="1"/>
      <c r="K14346" s="1"/>
      <c r="L14346" s="1"/>
      <c r="M14346" s="1"/>
      <c r="N14346" s="1"/>
      <c r="O14346" s="1"/>
      <c r="P14346" s="1"/>
      <c r="Q14346" s="1"/>
      <c r="R14346" s="1"/>
      <c r="S14346" s="1"/>
      <c r="T14346" s="1"/>
      <c r="U14346" s="1"/>
      <c r="V14346" s="1"/>
      <c r="W14346" s="1"/>
      <c r="X14346" s="1"/>
      <c r="Y14346" s="1"/>
      <c r="Z14346" s="1"/>
      <c r="AA14346" s="1"/>
      <c r="AB14346" s="1"/>
    </row>
    <row r="14347" ht="50.25" customHeight="1">
      <c r="A14347" s="12">
        <v>14343.0</v>
      </c>
      <c r="B14347" s="13" t="s">
        <v>13537</v>
      </c>
      <c r="C14347" s="14" t="s">
        <v>13582</v>
      </c>
      <c r="D14347" s="1"/>
      <c r="E14347" s="1"/>
      <c r="F14347" s="1" t="str">
        <f>IFERROR(__xludf.DUMMYFUNCTION("GOOGLETRANSLATE(B14347, ""en"", ""fa"")
"),"موفقیت SaaS")</f>
        <v>موفقیت SaaS</v>
      </c>
      <c r="G14347" s="1" t="str">
        <f>IFERROR(__xludf.DUMMYFUNCTION("GOOGLETRANSLATE(C14347, ""en"", ""fa"")
"),"چگونه فرهنگ نوآوری و آزمایش شرکت توسعه SaaS را ایجاد کنیم؟")</f>
        <v>چگونه فرهنگ نوآوری و آزمایش شرکت توسعه SaaS را ایجاد کنیم؟</v>
      </c>
      <c r="H14347" s="1"/>
      <c r="I14347" s="1"/>
      <c r="J14347" s="1"/>
      <c r="K14347" s="1"/>
      <c r="L14347" s="1"/>
      <c r="M14347" s="1"/>
      <c r="N14347" s="1"/>
      <c r="O14347" s="1"/>
      <c r="P14347" s="1"/>
      <c r="Q14347" s="1"/>
      <c r="R14347" s="1"/>
      <c r="S14347" s="1"/>
      <c r="T14347" s="1"/>
      <c r="U14347" s="1"/>
      <c r="V14347" s="1"/>
      <c r="W14347" s="1"/>
      <c r="X14347" s="1"/>
      <c r="Y14347" s="1"/>
      <c r="Z14347" s="1"/>
      <c r="AA14347" s="1"/>
      <c r="AB14347" s="1"/>
    </row>
    <row r="14348" ht="50.25" customHeight="1">
      <c r="A14348" s="12">
        <v>14344.0</v>
      </c>
      <c r="B14348" s="13" t="s">
        <v>13537</v>
      </c>
      <c r="C14348" s="14" t="s">
        <v>13583</v>
      </c>
      <c r="D14348" s="1"/>
      <c r="E14348" s="1"/>
      <c r="F14348" s="1" t="str">
        <f>IFERROR(__xludf.DUMMYFUNCTION("GOOGLETRANSLATE(B14348, ""en"", ""fa"")
"),"موفقیت SaaS")</f>
        <v>موفقیت SaaS</v>
      </c>
      <c r="G14348" s="1" t="str">
        <f>IFERROR(__xludf.DUMMYFUNCTION("GOOGLETRANSLATE(C14348, ""en"", ""fa"")
"),"مهمترین ارزش ها و اصول شرکت توسعه SaaS چیست؟")</f>
        <v>مهمترین ارزش ها و اصول شرکت توسعه SaaS چیست؟</v>
      </c>
      <c r="H14348" s="1"/>
      <c r="I14348" s="1"/>
      <c r="J14348" s="1"/>
      <c r="K14348" s="1"/>
      <c r="L14348" s="1"/>
      <c r="M14348" s="1"/>
      <c r="N14348" s="1"/>
      <c r="O14348" s="1"/>
      <c r="P14348" s="1"/>
      <c r="Q14348" s="1"/>
      <c r="R14348" s="1"/>
      <c r="S14348" s="1"/>
      <c r="T14348" s="1"/>
      <c r="U14348" s="1"/>
      <c r="V14348" s="1"/>
      <c r="W14348" s="1"/>
      <c r="X14348" s="1"/>
      <c r="Y14348" s="1"/>
      <c r="Z14348" s="1"/>
      <c r="AA14348" s="1"/>
      <c r="AB14348" s="1"/>
    </row>
    <row r="14349" ht="50.25" customHeight="1">
      <c r="A14349" s="12">
        <v>14345.0</v>
      </c>
      <c r="B14349" s="13" t="s">
        <v>13537</v>
      </c>
      <c r="C14349" s="14" t="s">
        <v>13584</v>
      </c>
      <c r="D14349" s="1"/>
      <c r="E14349" s="1"/>
      <c r="F14349" s="1" t="str">
        <f>IFERROR(__xludf.DUMMYFUNCTION("GOOGLETRANSLATE(B14349, ""en"", ""fa"")
"),"موفقیت SaaS")</f>
        <v>موفقیت SaaS</v>
      </c>
      <c r="G14349" s="1" t="str">
        <f>IFERROR(__xludf.DUMMYFUNCTION("GOOGLETRANSLATE(C14349, ""en"", ""fa"")
"),"چگونه یک استراتژی و برنامه رشد شرکت توسعه SaaS ایجاد کنیم؟")</f>
        <v>چگونه یک استراتژی و برنامه رشد شرکت توسعه SaaS ایجاد کنیم؟</v>
      </c>
      <c r="H14349" s="1"/>
      <c r="I14349" s="1"/>
      <c r="J14349" s="1"/>
      <c r="K14349" s="1"/>
      <c r="L14349" s="1"/>
      <c r="M14349" s="1"/>
      <c r="N14349" s="1"/>
      <c r="O14349" s="1"/>
      <c r="P14349" s="1"/>
      <c r="Q14349" s="1"/>
      <c r="R14349" s="1"/>
      <c r="S14349" s="1"/>
      <c r="T14349" s="1"/>
      <c r="U14349" s="1"/>
      <c r="V14349" s="1"/>
      <c r="W14349" s="1"/>
      <c r="X14349" s="1"/>
      <c r="Y14349" s="1"/>
      <c r="Z14349" s="1"/>
      <c r="AA14349" s="1"/>
      <c r="AB14349" s="1"/>
    </row>
    <row r="14350" ht="50.25" customHeight="1">
      <c r="A14350" s="12">
        <v>14346.0</v>
      </c>
      <c r="B14350" s="13" t="s">
        <v>13537</v>
      </c>
      <c r="C14350" s="14" t="s">
        <v>13585</v>
      </c>
      <c r="D14350" s="1"/>
      <c r="E14350" s="1"/>
      <c r="F14350" s="1" t="str">
        <f>IFERROR(__xludf.DUMMYFUNCTION("GOOGLETRANSLATE(B14350, ""en"", ""fa"")
"),"موفقیت SaaS")</f>
        <v>موفقیت SaaS</v>
      </c>
      <c r="G14350" s="1" t="str">
        <f>IFERROR(__xludf.DUMMYFUNCTION("GOOGLETRANSLATE(C14350, ""en"", ""fa"")
"),"مهمترین معیارهای عملکرد شرکت توسعه SaaS و KPI چیست؟")</f>
        <v>مهمترین معیارهای عملکرد شرکت توسعه SaaS و KPI چیست؟</v>
      </c>
      <c r="H14350" s="1"/>
      <c r="I14350" s="1"/>
      <c r="J14350" s="1"/>
      <c r="K14350" s="1"/>
      <c r="L14350" s="1"/>
      <c r="M14350" s="1"/>
      <c r="N14350" s="1"/>
      <c r="O14350" s="1"/>
      <c r="P14350" s="1"/>
      <c r="Q14350" s="1"/>
      <c r="R14350" s="1"/>
      <c r="S14350" s="1"/>
      <c r="T14350" s="1"/>
      <c r="U14350" s="1"/>
      <c r="V14350" s="1"/>
      <c r="W14350" s="1"/>
      <c r="X14350" s="1"/>
      <c r="Y14350" s="1"/>
      <c r="Z14350" s="1"/>
      <c r="AA14350" s="1"/>
      <c r="AB14350" s="1"/>
    </row>
    <row r="14351" ht="50.25" customHeight="1">
      <c r="A14351" s="12">
        <v>14347.0</v>
      </c>
      <c r="B14351" s="13" t="s">
        <v>13537</v>
      </c>
      <c r="C14351" s="14" t="s">
        <v>13586</v>
      </c>
      <c r="D14351" s="1"/>
      <c r="E14351" s="1"/>
      <c r="F14351" s="1" t="str">
        <f>IFERROR(__xludf.DUMMYFUNCTION("GOOGLETRANSLATE(B14351, ""en"", ""fa"")
"),"موفقیت SaaS")</f>
        <v>موفقیت SaaS</v>
      </c>
      <c r="G14351" s="1" t="str">
        <f>IFERROR(__xludf.DUMMYFUNCTION("GOOGLETRANSLATE(C14351, ""en"", ""fa"")
"),"چگونه یک شرکت توسعه SaaS مشارکت و همکاری ایجاد کنیم؟")</f>
        <v>چگونه یک شرکت توسعه SaaS مشارکت و همکاری ایجاد کنیم؟</v>
      </c>
      <c r="H14351" s="1"/>
      <c r="I14351" s="1"/>
      <c r="J14351" s="1"/>
      <c r="K14351" s="1"/>
      <c r="L14351" s="1"/>
      <c r="M14351" s="1"/>
      <c r="N14351" s="1"/>
      <c r="O14351" s="1"/>
      <c r="P14351" s="1"/>
      <c r="Q14351" s="1"/>
      <c r="R14351" s="1"/>
      <c r="S14351" s="1"/>
      <c r="T14351" s="1"/>
      <c r="U14351" s="1"/>
      <c r="V14351" s="1"/>
      <c r="W14351" s="1"/>
      <c r="X14351" s="1"/>
      <c r="Y14351" s="1"/>
      <c r="Z14351" s="1"/>
      <c r="AA14351" s="1"/>
      <c r="AB14351" s="1"/>
    </row>
    <row r="14352" ht="50.25" customHeight="1">
      <c r="A14352" s="12">
        <v>14348.0</v>
      </c>
      <c r="B14352" s="13" t="s">
        <v>13537</v>
      </c>
      <c r="C14352" s="14" t="s">
        <v>13587</v>
      </c>
      <c r="D14352" s="1"/>
      <c r="E14352" s="1"/>
      <c r="F14352" s="1" t="str">
        <f>IFERROR(__xludf.DUMMYFUNCTION("GOOGLETRANSLATE(B14352, ""en"", ""fa"")
"),"موفقیت SaaS")</f>
        <v>موفقیت SaaS</v>
      </c>
      <c r="G14352" s="1" t="str">
        <f>IFERROR(__xludf.DUMMYFUNCTION("GOOGLETRANSLATE(C14352, ""en"", ""fa"")
"),"چگونه می توان فرهنگ شفافیت، مسئولیت پذیری و اخلاق شرکت توسعه SaaS را ایجاد کرد؟")</f>
        <v>چگونه می توان فرهنگ شفافیت، مسئولیت پذیری و اخلاق شرکت توسعه SaaS را ایجاد کرد؟</v>
      </c>
      <c r="H14352" s="1"/>
      <c r="I14352" s="1"/>
      <c r="J14352" s="1"/>
      <c r="K14352" s="1"/>
      <c r="L14352" s="1"/>
      <c r="M14352" s="1"/>
      <c r="N14352" s="1"/>
      <c r="O14352" s="1"/>
      <c r="P14352" s="1"/>
      <c r="Q14352" s="1"/>
      <c r="R14352" s="1"/>
      <c r="S14352" s="1"/>
      <c r="T14352" s="1"/>
      <c r="U14352" s="1"/>
      <c r="V14352" s="1"/>
      <c r="W14352" s="1"/>
      <c r="X14352" s="1"/>
      <c r="Y14352" s="1"/>
      <c r="Z14352" s="1"/>
      <c r="AA14352" s="1"/>
      <c r="AB14352" s="1"/>
    </row>
    <row r="14353" ht="50.25" customHeight="1">
      <c r="A14353" s="12">
        <v>14349.0</v>
      </c>
      <c r="B14353" s="13" t="s">
        <v>13537</v>
      </c>
      <c r="C14353" s="14" t="s">
        <v>13588</v>
      </c>
      <c r="D14353" s="1"/>
      <c r="E14353" s="1"/>
      <c r="F14353" s="1" t="str">
        <f>IFERROR(__xludf.DUMMYFUNCTION("GOOGLETRANSLATE(B14353, ""en"", ""fa"")
"),"موفقیت SaaS")</f>
        <v>موفقیت SaaS</v>
      </c>
      <c r="G14353" s="1" t="str">
        <f>IFERROR(__xludf.DUMMYFUNCTION("GOOGLETRANSLATE(C14353, ""en"", ""fa"")
"),"اولین قدم برای راه اندازی یک کسب و کار SaaS چیست؟")</f>
        <v>اولین قدم برای راه اندازی یک کسب و کار SaaS چیست؟</v>
      </c>
      <c r="H14353" s="1"/>
      <c r="I14353" s="1"/>
      <c r="J14353" s="1"/>
      <c r="K14353" s="1"/>
      <c r="L14353" s="1"/>
      <c r="M14353" s="1"/>
      <c r="N14353" s="1"/>
      <c r="O14353" s="1"/>
      <c r="P14353" s="1"/>
      <c r="Q14353" s="1"/>
      <c r="R14353" s="1"/>
      <c r="S14353" s="1"/>
      <c r="T14353" s="1"/>
      <c r="U14353" s="1"/>
      <c r="V14353" s="1"/>
      <c r="W14353" s="1"/>
      <c r="X14353" s="1"/>
      <c r="Y14353" s="1"/>
      <c r="Z14353" s="1"/>
      <c r="AA14353" s="1"/>
      <c r="AB14353" s="1"/>
    </row>
    <row r="14354" ht="50.25" customHeight="1">
      <c r="A14354" s="12">
        <v>14350.0</v>
      </c>
      <c r="B14354" s="13" t="s">
        <v>13537</v>
      </c>
      <c r="C14354" s="14" t="s">
        <v>13589</v>
      </c>
      <c r="D14354" s="1"/>
      <c r="E14354" s="1"/>
      <c r="F14354" s="1" t="str">
        <f>IFERROR(__xludf.DUMMYFUNCTION("GOOGLETRANSLATE(B14354, ""en"", ""fa"")
"),"موفقیت SaaS")</f>
        <v>موفقیت SaaS</v>
      </c>
      <c r="G14354" s="1" t="str">
        <f>IFERROR(__xludf.DUMMYFUNCTION("GOOGLETRANSLATE(C14354, ""en"", ""fa"")
"),"چگونه یک ایده تجاری SaaS را تأیید کنیم؟")</f>
        <v>چگونه یک ایده تجاری SaaS را تأیید کنیم؟</v>
      </c>
      <c r="H14354" s="1"/>
      <c r="I14354" s="1"/>
      <c r="J14354" s="1"/>
      <c r="K14354" s="1"/>
      <c r="L14354" s="1"/>
      <c r="M14354" s="1"/>
      <c r="N14354" s="1"/>
      <c r="O14354" s="1"/>
      <c r="P14354" s="1"/>
      <c r="Q14354" s="1"/>
      <c r="R14354" s="1"/>
      <c r="S14354" s="1"/>
      <c r="T14354" s="1"/>
      <c r="U14354" s="1"/>
      <c r="V14354" s="1"/>
      <c r="W14354" s="1"/>
      <c r="X14354" s="1"/>
      <c r="Y14354" s="1"/>
      <c r="Z14354" s="1"/>
      <c r="AA14354" s="1"/>
      <c r="AB14354" s="1"/>
    </row>
    <row r="14355" ht="50.25" customHeight="1">
      <c r="A14355" s="12">
        <v>14351.0</v>
      </c>
      <c r="B14355" s="13" t="s">
        <v>13537</v>
      </c>
      <c r="C14355" s="14" t="s">
        <v>13590</v>
      </c>
      <c r="D14355" s="1"/>
      <c r="E14355" s="1"/>
      <c r="F14355" s="1" t="str">
        <f>IFERROR(__xludf.DUMMYFUNCTION("GOOGLETRANSLATE(B14355, ""en"", ""fa"")
"),"موفقیت SaaS")</f>
        <v>موفقیت SaaS</v>
      </c>
      <c r="G14355" s="1" t="str">
        <f>IFERROR(__xludf.DUMMYFUNCTION("GOOGLETRANSLATE(C14355, ""en"", ""fa"")
"),"چگونه یک حداقل محصول قابل دوام (MVP) برای یک تجارت SaaS ایجاد کنیم؟")</f>
        <v>چگونه یک حداقل محصول قابل دوام (MVP) برای یک تجارت SaaS ایجاد کنیم؟</v>
      </c>
      <c r="H14355" s="1"/>
      <c r="I14355" s="1"/>
      <c r="J14355" s="1"/>
      <c r="K14355" s="1"/>
      <c r="L14355" s="1"/>
      <c r="M14355" s="1"/>
      <c r="N14355" s="1"/>
      <c r="O14355" s="1"/>
      <c r="P14355" s="1"/>
      <c r="Q14355" s="1"/>
      <c r="R14355" s="1"/>
      <c r="S14355" s="1"/>
      <c r="T14355" s="1"/>
      <c r="U14355" s="1"/>
      <c r="V14355" s="1"/>
      <c r="W14355" s="1"/>
      <c r="X14355" s="1"/>
      <c r="Y14355" s="1"/>
      <c r="Z14355" s="1"/>
      <c r="AA14355" s="1"/>
      <c r="AB14355" s="1"/>
    </row>
    <row r="14356" ht="50.25" customHeight="1">
      <c r="A14356" s="12">
        <v>14352.0</v>
      </c>
      <c r="B14356" s="13" t="s">
        <v>13537</v>
      </c>
      <c r="C14356" s="14" t="s">
        <v>13591</v>
      </c>
      <c r="D14356" s="1"/>
      <c r="E14356" s="1"/>
      <c r="F14356" s="1" t="str">
        <f>IFERROR(__xludf.DUMMYFUNCTION("GOOGLETRANSLATE(B14356, ""en"", ""fa"")
"),"موفقیت SaaS")</f>
        <v>موفقیت SaaS</v>
      </c>
      <c r="G14356" s="1" t="str">
        <f>IFERROR(__xludf.DUMMYFUNCTION("GOOGLETRANSLATE(C14356, ""en"", ""fa"")
"),"مهم ترین مهارت ها برای راه اندازی یک کسب و کار SaaS چیست؟")</f>
        <v>مهم ترین مهارت ها برای راه اندازی یک کسب و کار SaaS چیست؟</v>
      </c>
      <c r="H14356" s="1"/>
      <c r="I14356" s="1"/>
      <c r="J14356" s="1"/>
      <c r="K14356" s="1"/>
      <c r="L14356" s="1"/>
      <c r="M14356" s="1"/>
      <c r="N14356" s="1"/>
      <c r="O14356" s="1"/>
      <c r="P14356" s="1"/>
      <c r="Q14356" s="1"/>
      <c r="R14356" s="1"/>
      <c r="S14356" s="1"/>
      <c r="T14356" s="1"/>
      <c r="U14356" s="1"/>
      <c r="V14356" s="1"/>
      <c r="W14356" s="1"/>
      <c r="X14356" s="1"/>
      <c r="Y14356" s="1"/>
      <c r="Z14356" s="1"/>
      <c r="AA14356" s="1"/>
      <c r="AB14356" s="1"/>
    </row>
    <row r="14357" ht="50.25" customHeight="1">
      <c r="A14357" s="12">
        <v>14353.0</v>
      </c>
      <c r="B14357" s="13" t="s">
        <v>13537</v>
      </c>
      <c r="C14357" s="14" t="s">
        <v>13592</v>
      </c>
      <c r="D14357" s="1"/>
      <c r="E14357" s="1"/>
      <c r="F14357" s="1" t="str">
        <f>IFERROR(__xludf.DUMMYFUNCTION("GOOGLETRANSLATE(B14357, ""en"", ""fa"")
"),"موفقیت SaaS")</f>
        <v>موفقیت SaaS</v>
      </c>
      <c r="G14357" s="1" t="str">
        <f>IFERROR(__xludf.DUMMYFUNCTION("GOOGLETRANSLATE(C14357, ""en"", ""fa"")
"),"چگونه یک تیم توسعه برای کسب و کار SaaS پیدا و استخدام کنیم؟")</f>
        <v>چگونه یک تیم توسعه برای کسب و کار SaaS پیدا و استخدام کنیم؟</v>
      </c>
      <c r="H14357" s="1"/>
      <c r="I14357" s="1"/>
      <c r="J14357" s="1"/>
      <c r="K14357" s="1"/>
      <c r="L14357" s="1"/>
      <c r="M14357" s="1"/>
      <c r="N14357" s="1"/>
      <c r="O14357" s="1"/>
      <c r="P14357" s="1"/>
      <c r="Q14357" s="1"/>
      <c r="R14357" s="1"/>
      <c r="S14357" s="1"/>
      <c r="T14357" s="1"/>
      <c r="U14357" s="1"/>
      <c r="V14357" s="1"/>
      <c r="W14357" s="1"/>
      <c r="X14357" s="1"/>
      <c r="Y14357" s="1"/>
      <c r="Z14357" s="1"/>
      <c r="AA14357" s="1"/>
      <c r="AB14357" s="1"/>
    </row>
    <row r="14358" ht="50.25" customHeight="1">
      <c r="A14358" s="12">
        <v>14354.0</v>
      </c>
      <c r="B14358" s="13" t="s">
        <v>13537</v>
      </c>
      <c r="C14358" s="14" t="s">
        <v>13593</v>
      </c>
      <c r="D14358" s="1"/>
      <c r="E14358" s="1"/>
      <c r="F14358" s="1" t="str">
        <f>IFERROR(__xludf.DUMMYFUNCTION("GOOGLETRANSLATE(B14358, ""en"", ""fa"")
"),"موفقیت SaaS")</f>
        <v>موفقیت SaaS</v>
      </c>
      <c r="G14358" s="1" t="str">
        <f>IFERROR(__xludf.DUMMYFUNCTION("GOOGLETRANSLATE(C14358, ""en"", ""fa"")
"),"رایج ترین پلتفرم های توسعه برای SaaS کدامند؟")</f>
        <v>رایج ترین پلتفرم های توسعه برای SaaS کدامند؟</v>
      </c>
      <c r="H14358" s="1"/>
      <c r="I14358" s="1"/>
      <c r="J14358" s="1"/>
      <c r="K14358" s="1"/>
      <c r="L14358" s="1"/>
      <c r="M14358" s="1"/>
      <c r="N14358" s="1"/>
      <c r="O14358" s="1"/>
      <c r="P14358" s="1"/>
      <c r="Q14358" s="1"/>
      <c r="R14358" s="1"/>
      <c r="S14358" s="1"/>
      <c r="T14358" s="1"/>
      <c r="U14358" s="1"/>
      <c r="V14358" s="1"/>
      <c r="W14358" s="1"/>
      <c r="X14358" s="1"/>
      <c r="Y14358" s="1"/>
      <c r="Z14358" s="1"/>
      <c r="AA14358" s="1"/>
      <c r="AB14358" s="1"/>
    </row>
    <row r="14359" ht="50.25" customHeight="1">
      <c r="A14359" s="12">
        <v>14355.0</v>
      </c>
      <c r="B14359" s="13" t="s">
        <v>13537</v>
      </c>
      <c r="C14359" s="14" t="s">
        <v>13594</v>
      </c>
      <c r="D14359" s="1"/>
      <c r="E14359" s="1"/>
      <c r="F14359" s="1" t="str">
        <f>IFERROR(__xludf.DUMMYFUNCTION("GOOGLETRANSLATE(B14359, ""en"", ""fa"")
"),"موفقیت SaaS")</f>
        <v>موفقیت SaaS</v>
      </c>
      <c r="G14359" s="1" t="str">
        <f>IFERROR(__xludf.DUMMYFUNCTION("GOOGLETRANSLATE(C14359, ""en"", ""fa"")
"),"چگونه یک طرح تجاری برای یک کسب و کار SaaS ایجاد کنیم؟")</f>
        <v>چگونه یک طرح تجاری برای یک کسب و کار SaaS ایجاد کنیم؟</v>
      </c>
      <c r="H14359" s="1"/>
      <c r="I14359" s="1"/>
      <c r="J14359" s="1"/>
      <c r="K14359" s="1"/>
      <c r="L14359" s="1"/>
      <c r="M14359" s="1"/>
      <c r="N14359" s="1"/>
      <c r="O14359" s="1"/>
      <c r="P14359" s="1"/>
      <c r="Q14359" s="1"/>
      <c r="R14359" s="1"/>
      <c r="S14359" s="1"/>
      <c r="T14359" s="1"/>
      <c r="U14359" s="1"/>
      <c r="V14359" s="1"/>
      <c r="W14359" s="1"/>
      <c r="X14359" s="1"/>
      <c r="Y14359" s="1"/>
      <c r="Z14359" s="1"/>
      <c r="AA14359" s="1"/>
      <c r="AB14359" s="1"/>
    </row>
    <row r="14360" ht="50.25" customHeight="1">
      <c r="A14360" s="12">
        <v>14356.0</v>
      </c>
      <c r="B14360" s="13" t="s">
        <v>13537</v>
      </c>
      <c r="C14360" s="14" t="s">
        <v>13595</v>
      </c>
      <c r="D14360" s="1"/>
      <c r="E14360" s="1"/>
      <c r="F14360" s="1" t="str">
        <f>IFERROR(__xludf.DUMMYFUNCTION("GOOGLETRANSLATE(B14360, ""en"", ""fa"")
"),"موفقیت SaaS")</f>
        <v>موفقیت SaaS</v>
      </c>
      <c r="G14360" s="1" t="str">
        <f>IFERROR(__xludf.DUMMYFUNCTION("GOOGLETRANSLATE(C14360, ""en"", ""fa"")
"),"مهمترین معیارهای مالی برای پیگیری در یک تجارت SaaS چیست؟")</f>
        <v>مهمترین معیارهای مالی برای پیگیری در یک تجارت SaaS چیست؟</v>
      </c>
      <c r="H14360" s="1"/>
      <c r="I14360" s="1"/>
      <c r="J14360" s="1"/>
      <c r="K14360" s="1"/>
      <c r="L14360" s="1"/>
      <c r="M14360" s="1"/>
      <c r="N14360" s="1"/>
      <c r="O14360" s="1"/>
      <c r="P14360" s="1"/>
      <c r="Q14360" s="1"/>
      <c r="R14360" s="1"/>
      <c r="S14360" s="1"/>
      <c r="T14360" s="1"/>
      <c r="U14360" s="1"/>
      <c r="V14360" s="1"/>
      <c r="W14360" s="1"/>
      <c r="X14360" s="1"/>
      <c r="Y14360" s="1"/>
      <c r="Z14360" s="1"/>
      <c r="AA14360" s="1"/>
      <c r="AB14360" s="1"/>
    </row>
    <row r="14361" ht="50.25" customHeight="1">
      <c r="A14361" s="12">
        <v>14357.0</v>
      </c>
      <c r="B14361" s="13" t="s">
        <v>13537</v>
      </c>
      <c r="C14361" s="14" t="s">
        <v>13596</v>
      </c>
      <c r="D14361" s="1"/>
      <c r="E14361" s="1"/>
      <c r="F14361" s="1" t="str">
        <f>IFERROR(__xludf.DUMMYFUNCTION("GOOGLETRANSLATE(B14361, ""en"", ""fa"")
"),"موفقیت SaaS")</f>
        <v>موفقیت SaaS</v>
      </c>
      <c r="G14361" s="1" t="str">
        <f>IFERROR(__xludf.DUMMYFUNCTION("GOOGLETRANSLATE(C14361, ""en"", ""fa"")
"),"چگونه برای راه اندازی SaaS بودجه تامین کنیم؟")</f>
        <v>چگونه برای راه اندازی SaaS بودجه تامین کنیم؟</v>
      </c>
      <c r="H14361" s="1"/>
      <c r="I14361" s="1"/>
      <c r="J14361" s="1"/>
      <c r="K14361" s="1"/>
      <c r="L14361" s="1"/>
      <c r="M14361" s="1"/>
      <c r="N14361" s="1"/>
      <c r="O14361" s="1"/>
      <c r="P14361" s="1"/>
      <c r="Q14361" s="1"/>
      <c r="R14361" s="1"/>
      <c r="S14361" s="1"/>
      <c r="T14361" s="1"/>
      <c r="U14361" s="1"/>
      <c r="V14361" s="1"/>
      <c r="W14361" s="1"/>
      <c r="X14361" s="1"/>
      <c r="Y14361" s="1"/>
      <c r="Z14361" s="1"/>
      <c r="AA14361" s="1"/>
      <c r="AB14361" s="1"/>
    </row>
    <row r="14362" ht="50.25" customHeight="1">
      <c r="A14362" s="12">
        <v>14358.0</v>
      </c>
      <c r="B14362" s="13" t="s">
        <v>13537</v>
      </c>
      <c r="C14362" s="14" t="s">
        <v>13597</v>
      </c>
      <c r="D14362" s="1"/>
      <c r="E14362" s="1"/>
      <c r="F14362" s="1" t="str">
        <f>IFERROR(__xludf.DUMMYFUNCTION("GOOGLETRANSLATE(B14362, ""en"", ""fa"")
"),"موفقیت SaaS")</f>
        <v>موفقیت SaaS</v>
      </c>
      <c r="G14362" s="1" t="str">
        <f>IFERROR(__xludf.DUMMYFUNCTION("GOOGLETRANSLATE(C14362, ""en"", ""fa"")
"),"رایج ترین ساختارهای قانونی برای کسب و کار SaaS چیست؟")</f>
        <v>رایج ترین ساختارهای قانونی برای کسب و کار SaaS چیست؟</v>
      </c>
      <c r="H14362" s="1"/>
      <c r="I14362" s="1"/>
      <c r="J14362" s="1"/>
      <c r="K14362" s="1"/>
      <c r="L14362" s="1"/>
      <c r="M14362" s="1"/>
      <c r="N14362" s="1"/>
      <c r="O14362" s="1"/>
      <c r="P14362" s="1"/>
      <c r="Q14362" s="1"/>
      <c r="R14362" s="1"/>
      <c r="S14362" s="1"/>
      <c r="T14362" s="1"/>
      <c r="U14362" s="1"/>
      <c r="V14362" s="1"/>
      <c r="W14362" s="1"/>
      <c r="X14362" s="1"/>
      <c r="Y14362" s="1"/>
      <c r="Z14362" s="1"/>
      <c r="AA14362" s="1"/>
      <c r="AB14362" s="1"/>
    </row>
    <row r="14363" ht="50.25" customHeight="1">
      <c r="A14363" s="12">
        <v>14359.0</v>
      </c>
      <c r="B14363" s="13" t="s">
        <v>13537</v>
      </c>
      <c r="C14363" s="14" t="s">
        <v>13598</v>
      </c>
      <c r="D14363" s="1"/>
      <c r="E14363" s="1"/>
      <c r="F14363" s="1" t="str">
        <f>IFERROR(__xludf.DUMMYFUNCTION("GOOGLETRANSLATE(B14363, ""en"", ""fa"")
"),"موفقیت SaaS")</f>
        <v>موفقیت SaaS</v>
      </c>
      <c r="G14363" s="1" t="str">
        <f>IFERROR(__xludf.DUMMYFUNCTION("GOOGLETRANSLATE(C14363, ""en"", ""fa"")
"),"مهم ترین ملاحظات برای انتخاب ارائه دهنده هاست SaaS چیست؟")</f>
        <v>مهم ترین ملاحظات برای انتخاب ارائه دهنده هاست SaaS چیست؟</v>
      </c>
      <c r="H14363" s="1"/>
      <c r="I14363" s="1"/>
      <c r="J14363" s="1"/>
      <c r="K14363" s="1"/>
      <c r="L14363" s="1"/>
      <c r="M14363" s="1"/>
      <c r="N14363" s="1"/>
      <c r="O14363" s="1"/>
      <c r="P14363" s="1"/>
      <c r="Q14363" s="1"/>
      <c r="R14363" s="1"/>
      <c r="S14363" s="1"/>
      <c r="T14363" s="1"/>
      <c r="U14363" s="1"/>
      <c r="V14363" s="1"/>
      <c r="W14363" s="1"/>
      <c r="X14363" s="1"/>
      <c r="Y14363" s="1"/>
      <c r="Z14363" s="1"/>
      <c r="AA14363" s="1"/>
      <c r="AB14363" s="1"/>
    </row>
    <row r="14364" ht="50.25" customHeight="1">
      <c r="A14364" s="12">
        <v>14360.0</v>
      </c>
      <c r="B14364" s="13" t="s">
        <v>13537</v>
      </c>
      <c r="C14364" s="14" t="s">
        <v>13599</v>
      </c>
      <c r="D14364" s="1"/>
      <c r="E14364" s="1"/>
      <c r="F14364" s="1" t="str">
        <f>IFERROR(__xludf.DUMMYFUNCTION("GOOGLETRANSLATE(B14364, ""en"", ""fa"")
"),"موفقیت SaaS")</f>
        <v>موفقیت SaaS</v>
      </c>
      <c r="G14364" s="1" t="str">
        <f>IFERROR(__xludf.DUMMYFUNCTION("GOOGLETRANSLATE(C14364, ""en"", ""fa"")
"),"چگونه یک استراتژی قیمت گذاری برای یک کسب و کار SaaS توسعه و پیاده سازی کنیم؟")</f>
        <v>چگونه یک استراتژی قیمت گذاری برای یک کسب و کار SaaS توسعه و پیاده سازی کنیم؟</v>
      </c>
      <c r="H14364" s="1"/>
      <c r="I14364" s="1"/>
      <c r="J14364" s="1"/>
      <c r="K14364" s="1"/>
      <c r="L14364" s="1"/>
      <c r="M14364" s="1"/>
      <c r="N14364" s="1"/>
      <c r="O14364" s="1"/>
      <c r="P14364" s="1"/>
      <c r="Q14364" s="1"/>
      <c r="R14364" s="1"/>
      <c r="S14364" s="1"/>
      <c r="T14364" s="1"/>
      <c r="U14364" s="1"/>
      <c r="V14364" s="1"/>
      <c r="W14364" s="1"/>
      <c r="X14364" s="1"/>
      <c r="Y14364" s="1"/>
      <c r="Z14364" s="1"/>
      <c r="AA14364" s="1"/>
      <c r="AB14364" s="1"/>
    </row>
    <row r="14365" ht="50.25" customHeight="1">
      <c r="A14365" s="12">
        <v>14361.0</v>
      </c>
      <c r="B14365" s="13" t="s">
        <v>13537</v>
      </c>
      <c r="C14365" s="14" t="s">
        <v>13600</v>
      </c>
      <c r="D14365" s="1"/>
      <c r="E14365" s="1"/>
      <c r="F14365" s="1" t="str">
        <f>IFERROR(__xludf.DUMMYFUNCTION("GOOGLETRANSLATE(B14365, ""en"", ""fa"")
"),"موفقیت SaaS")</f>
        <v>موفقیت SaaS</v>
      </c>
      <c r="G14365" s="1" t="str">
        <f>IFERROR(__xludf.DUMMYFUNCTION("GOOGLETRANSLATE(C14365, ""en"", ""fa"")
"),"مهمترین ویژگی هایی که باید در برنامه SaaS گنجانده شود چیست؟")</f>
        <v>مهمترین ویژگی هایی که باید در برنامه SaaS گنجانده شود چیست؟</v>
      </c>
      <c r="H14365" s="1"/>
      <c r="I14365" s="1"/>
      <c r="J14365" s="1"/>
      <c r="K14365" s="1"/>
      <c r="L14365" s="1"/>
      <c r="M14365" s="1"/>
      <c r="N14365" s="1"/>
      <c r="O14365" s="1"/>
      <c r="P14365" s="1"/>
      <c r="Q14365" s="1"/>
      <c r="R14365" s="1"/>
      <c r="S14365" s="1"/>
      <c r="T14365" s="1"/>
      <c r="U14365" s="1"/>
      <c r="V14365" s="1"/>
      <c r="W14365" s="1"/>
      <c r="X14365" s="1"/>
      <c r="Y14365" s="1"/>
      <c r="Z14365" s="1"/>
      <c r="AA14365" s="1"/>
      <c r="AB14365" s="1"/>
    </row>
    <row r="14366" ht="50.25" customHeight="1">
      <c r="A14366" s="12">
        <v>14362.0</v>
      </c>
      <c r="B14366" s="13" t="s">
        <v>13537</v>
      </c>
      <c r="C14366" s="14" t="s">
        <v>13601</v>
      </c>
      <c r="D14366" s="1"/>
      <c r="E14366" s="1"/>
      <c r="F14366" s="1" t="str">
        <f>IFERROR(__xludf.DUMMYFUNCTION("GOOGLETRANSLATE(B14366, ""en"", ""fa"")
"),"موفقیت SaaS")</f>
        <v>موفقیت SaaS</v>
      </c>
      <c r="G14366" s="1" t="str">
        <f>IFERROR(__xludf.DUMMYFUNCTION("GOOGLETRANSLATE(C14366, ""en"", ""fa"")
"),"موثرترین استراتژی های بازاریابی برای کسب و کار SaaS چیست؟")</f>
        <v>موثرترین استراتژی های بازاریابی برای کسب و کار SaaS چیست؟</v>
      </c>
      <c r="H14366" s="1"/>
      <c r="I14366" s="1"/>
      <c r="J14366" s="1"/>
      <c r="K14366" s="1"/>
      <c r="L14366" s="1"/>
      <c r="M14366" s="1"/>
      <c r="N14366" s="1"/>
      <c r="O14366" s="1"/>
      <c r="P14366" s="1"/>
      <c r="Q14366" s="1"/>
      <c r="R14366" s="1"/>
      <c r="S14366" s="1"/>
      <c r="T14366" s="1"/>
      <c r="U14366" s="1"/>
      <c r="V14366" s="1"/>
      <c r="W14366" s="1"/>
      <c r="X14366" s="1"/>
      <c r="Y14366" s="1"/>
      <c r="Z14366" s="1"/>
      <c r="AA14366" s="1"/>
      <c r="AB14366" s="1"/>
    </row>
    <row r="14367" ht="50.25" customHeight="1">
      <c r="A14367" s="12">
        <v>14363.0</v>
      </c>
      <c r="B14367" s="13" t="s">
        <v>13537</v>
      </c>
      <c r="C14367" s="14" t="s">
        <v>13602</v>
      </c>
      <c r="D14367" s="1"/>
      <c r="E14367" s="1"/>
      <c r="F14367" s="1" t="str">
        <f>IFERROR(__xludf.DUMMYFUNCTION("GOOGLETRANSLATE(B14367, ""en"", ""fa"")
"),"موفقیت SaaS")</f>
        <v>موفقیت SaaS</v>
      </c>
      <c r="G14367" s="1" t="str">
        <f>IFERROR(__xludf.DUMMYFUNCTION("GOOGLETRANSLATE(C14367, ""en"", ""fa"")
"),"چگونه یک پایگاه مشتری برای یک کسب و کار SaaS ایجاد کنیم؟")</f>
        <v>چگونه یک پایگاه مشتری برای یک کسب و کار SaaS ایجاد کنیم؟</v>
      </c>
      <c r="H14367" s="1"/>
      <c r="I14367" s="1"/>
      <c r="J14367" s="1"/>
      <c r="K14367" s="1"/>
      <c r="L14367" s="1"/>
      <c r="M14367" s="1"/>
      <c r="N14367" s="1"/>
      <c r="O14367" s="1"/>
      <c r="P14367" s="1"/>
      <c r="Q14367" s="1"/>
      <c r="R14367" s="1"/>
      <c r="S14367" s="1"/>
      <c r="T14367" s="1"/>
      <c r="U14367" s="1"/>
      <c r="V14367" s="1"/>
      <c r="W14367" s="1"/>
      <c r="X14367" s="1"/>
      <c r="Y14367" s="1"/>
      <c r="Z14367" s="1"/>
      <c r="AA14367" s="1"/>
      <c r="AB14367" s="1"/>
    </row>
    <row r="14368" ht="50.25" customHeight="1">
      <c r="A14368" s="12">
        <v>14364.0</v>
      </c>
      <c r="B14368" s="13" t="s">
        <v>13537</v>
      </c>
      <c r="C14368" s="14" t="s">
        <v>13603</v>
      </c>
      <c r="D14368" s="1"/>
      <c r="E14368" s="1"/>
      <c r="F14368" s="1" t="str">
        <f>IFERROR(__xludf.DUMMYFUNCTION("GOOGLETRANSLATE(B14368, ""en"", ""fa"")
"),"موفقیت SaaS")</f>
        <v>موفقیت SaaS</v>
      </c>
      <c r="G14368" s="1" t="str">
        <f>IFERROR(__xludf.DUMMYFUNCTION("GOOGLETRANSLATE(C14368, ""en"", ""fa"")
"),"چگونه یک استراتژی فروش و توزیع برای یک تجارت SaaS ایجاد کنیم؟")</f>
        <v>چگونه یک استراتژی فروش و توزیع برای یک تجارت SaaS ایجاد کنیم؟</v>
      </c>
      <c r="H14368" s="1"/>
      <c r="I14368" s="1"/>
      <c r="J14368" s="1"/>
      <c r="K14368" s="1"/>
      <c r="L14368" s="1"/>
      <c r="M14368" s="1"/>
      <c r="N14368" s="1"/>
      <c r="O14368" s="1"/>
      <c r="P14368" s="1"/>
      <c r="Q14368" s="1"/>
      <c r="R14368" s="1"/>
      <c r="S14368" s="1"/>
      <c r="T14368" s="1"/>
      <c r="U14368" s="1"/>
      <c r="V14368" s="1"/>
      <c r="W14368" s="1"/>
      <c r="X14368" s="1"/>
      <c r="Y14368" s="1"/>
      <c r="Z14368" s="1"/>
      <c r="AA14368" s="1"/>
      <c r="AB14368" s="1"/>
    </row>
    <row r="14369" ht="50.25" customHeight="1">
      <c r="A14369" s="12">
        <v>14365.0</v>
      </c>
      <c r="B14369" s="13" t="s">
        <v>13537</v>
      </c>
      <c r="C14369" s="14" t="s">
        <v>13604</v>
      </c>
      <c r="D14369" s="1"/>
      <c r="E14369" s="1"/>
      <c r="F14369" s="1" t="str">
        <f>IFERROR(__xludf.DUMMYFUNCTION("GOOGLETRANSLATE(B14369, ""en"", ""fa"")
"),"موفقیت SaaS")</f>
        <v>موفقیت SaaS</v>
      </c>
      <c r="G14369" s="1" t="str">
        <f>IFERROR(__xludf.DUMMYFUNCTION("GOOGLETRANSLATE(C14369, ""en"", ""fa"")
"),"مهمترین ملاحظات برای جذب کاربر در یک تجارت SaaS چیست؟")</f>
        <v>مهمترین ملاحظات برای جذب کاربر در یک تجارت SaaS چیست؟</v>
      </c>
      <c r="H14369" s="1"/>
      <c r="I14369" s="1"/>
      <c r="J14369" s="1"/>
      <c r="K14369" s="1"/>
      <c r="L14369" s="1"/>
      <c r="M14369" s="1"/>
      <c r="N14369" s="1"/>
      <c r="O14369" s="1"/>
      <c r="P14369" s="1"/>
      <c r="Q14369" s="1"/>
      <c r="R14369" s="1"/>
      <c r="S14369" s="1"/>
      <c r="T14369" s="1"/>
      <c r="U14369" s="1"/>
      <c r="V14369" s="1"/>
      <c r="W14369" s="1"/>
      <c r="X14369" s="1"/>
      <c r="Y14369" s="1"/>
      <c r="Z14369" s="1"/>
      <c r="AA14369" s="1"/>
      <c r="AB14369" s="1"/>
    </row>
    <row r="14370" ht="50.25" customHeight="1">
      <c r="A14370" s="12">
        <v>14366.0</v>
      </c>
      <c r="B14370" s="13" t="s">
        <v>13537</v>
      </c>
      <c r="C14370" s="14" t="s">
        <v>13605</v>
      </c>
      <c r="D14370" s="1"/>
      <c r="E14370" s="1"/>
      <c r="F14370" s="1" t="str">
        <f>IFERROR(__xludf.DUMMYFUNCTION("GOOGLETRANSLATE(B14370, ""en"", ""fa"")
"),"موفقیت SaaS")</f>
        <v>موفقیت SaaS</v>
      </c>
      <c r="G14370" s="1" t="str">
        <f>IFERROR(__xludf.DUMMYFUNCTION("GOOGLETRANSLATE(C14370, ""en"", ""fa"")
"),"چگونه یک استراتژی حفظ مشتری برای یک تجارت SaaS ایجاد کنیم؟")</f>
        <v>چگونه یک استراتژی حفظ مشتری برای یک تجارت SaaS ایجاد کنیم؟</v>
      </c>
      <c r="H14370" s="1"/>
      <c r="I14370" s="1"/>
      <c r="J14370" s="1"/>
      <c r="K14370" s="1"/>
      <c r="L14370" s="1"/>
      <c r="M14370" s="1"/>
      <c r="N14370" s="1"/>
      <c r="O14370" s="1"/>
      <c r="P14370" s="1"/>
      <c r="Q14370" s="1"/>
      <c r="R14370" s="1"/>
      <c r="S14370" s="1"/>
      <c r="T14370" s="1"/>
      <c r="U14370" s="1"/>
      <c r="V14370" s="1"/>
      <c r="W14370" s="1"/>
      <c r="X14370" s="1"/>
      <c r="Y14370" s="1"/>
      <c r="Z14370" s="1"/>
      <c r="AA14370" s="1"/>
      <c r="AB14370" s="1"/>
    </row>
    <row r="14371" ht="50.25" customHeight="1">
      <c r="A14371" s="12">
        <v>14367.0</v>
      </c>
      <c r="B14371" s="13" t="s">
        <v>13537</v>
      </c>
      <c r="C14371" s="14" t="s">
        <v>13606</v>
      </c>
      <c r="D14371" s="1"/>
      <c r="E14371" s="1"/>
      <c r="F14371" s="1" t="str">
        <f>IFERROR(__xludf.DUMMYFUNCTION("GOOGLETRANSLATE(B14371, ""en"", ""fa"")
"),"موفقیت SaaS")</f>
        <v>موفقیت SaaS</v>
      </c>
      <c r="G14371" s="1" t="str">
        <f>IFERROR(__xludf.DUMMYFUNCTION("GOOGLETRANSLATE(C14371, ""en"", ""fa"")
"),"مهم ترین ملاحظات برای افزایش مقیاس یک کسب و کار SaaS چیست؟")</f>
        <v>مهم ترین ملاحظات برای افزایش مقیاس یک کسب و کار SaaS چیست؟</v>
      </c>
      <c r="H14371" s="1"/>
      <c r="I14371" s="1"/>
      <c r="J14371" s="1"/>
      <c r="K14371" s="1"/>
      <c r="L14371" s="1"/>
      <c r="M14371" s="1"/>
      <c r="N14371" s="1"/>
      <c r="O14371" s="1"/>
      <c r="P14371" s="1"/>
      <c r="Q14371" s="1"/>
      <c r="R14371" s="1"/>
      <c r="S14371" s="1"/>
      <c r="T14371" s="1"/>
      <c r="U14371" s="1"/>
      <c r="V14371" s="1"/>
      <c r="W14371" s="1"/>
      <c r="X14371" s="1"/>
      <c r="Y14371" s="1"/>
      <c r="Z14371" s="1"/>
      <c r="AA14371" s="1"/>
      <c r="AB14371" s="1"/>
    </row>
    <row r="14372" ht="50.25" customHeight="1">
      <c r="A14372" s="12">
        <v>14368.0</v>
      </c>
      <c r="B14372" s="13" t="s">
        <v>13537</v>
      </c>
      <c r="C14372" s="14" t="s">
        <v>13607</v>
      </c>
      <c r="D14372" s="1"/>
      <c r="E14372" s="1"/>
      <c r="F14372" s="1" t="str">
        <f>IFERROR(__xludf.DUMMYFUNCTION("GOOGLETRANSLATE(B14372, ""en"", ""fa"")
"),"موفقیت SaaS")</f>
        <v>موفقیت SaaS</v>
      </c>
      <c r="G14372" s="1" t="str">
        <f>IFERROR(__xludf.DUMMYFUNCTION("GOOGLETRANSLATE(C14372, ""en"", ""fa"")
"),"چگونه یک تیم راه دور را برای یک تجارت SaaS به طور موثر مدیریت کنیم؟")</f>
        <v>چگونه یک تیم راه دور را برای یک تجارت SaaS به طور موثر مدیریت کنیم؟</v>
      </c>
      <c r="H14372" s="1"/>
      <c r="I14372" s="1"/>
      <c r="J14372" s="1"/>
      <c r="K14372" s="1"/>
      <c r="L14372" s="1"/>
      <c r="M14372" s="1"/>
      <c r="N14372" s="1"/>
      <c r="O14372" s="1"/>
      <c r="P14372" s="1"/>
      <c r="Q14372" s="1"/>
      <c r="R14372" s="1"/>
      <c r="S14372" s="1"/>
      <c r="T14372" s="1"/>
      <c r="U14372" s="1"/>
      <c r="V14372" s="1"/>
      <c r="W14372" s="1"/>
      <c r="X14372" s="1"/>
      <c r="Y14372" s="1"/>
      <c r="Z14372" s="1"/>
      <c r="AA14372" s="1"/>
      <c r="AB14372" s="1"/>
    </row>
    <row r="14373" ht="50.25" customHeight="1">
      <c r="A14373" s="12">
        <v>14369.0</v>
      </c>
      <c r="B14373" s="13" t="s">
        <v>13537</v>
      </c>
      <c r="C14373" s="14" t="s">
        <v>13608</v>
      </c>
      <c r="D14373" s="1"/>
      <c r="E14373" s="1"/>
      <c r="F14373" s="1" t="str">
        <f>IFERROR(__xludf.DUMMYFUNCTION("GOOGLETRANSLATE(B14373, ""en"", ""fa"")
"),"موفقیت SaaS")</f>
        <v>موفقیت SaaS</v>
      </c>
      <c r="G14373" s="1" t="str">
        <f>IFERROR(__xludf.DUMMYFUNCTION("GOOGLETRANSLATE(C14373, ""en"", ""fa"")
"),"مهم ترین ملاحظات برای استخدام در یک کسب و کار SaaS چیست؟")</f>
        <v>مهم ترین ملاحظات برای استخدام در یک کسب و کار SaaS چیست؟</v>
      </c>
      <c r="H14373" s="1"/>
      <c r="I14373" s="1"/>
      <c r="J14373" s="1"/>
      <c r="K14373" s="1"/>
      <c r="L14373" s="1"/>
      <c r="M14373" s="1"/>
      <c r="N14373" s="1"/>
      <c r="O14373" s="1"/>
      <c r="P14373" s="1"/>
      <c r="Q14373" s="1"/>
      <c r="R14373" s="1"/>
      <c r="S14373" s="1"/>
      <c r="T14373" s="1"/>
      <c r="U14373" s="1"/>
      <c r="V14373" s="1"/>
      <c r="W14373" s="1"/>
      <c r="X14373" s="1"/>
      <c r="Y14373" s="1"/>
      <c r="Z14373" s="1"/>
      <c r="AA14373" s="1"/>
      <c r="AB14373" s="1"/>
    </row>
    <row r="14374" ht="50.25" customHeight="1">
      <c r="A14374" s="12">
        <v>14370.0</v>
      </c>
      <c r="B14374" s="13" t="s">
        <v>13537</v>
      </c>
      <c r="C14374" s="14" t="s">
        <v>13609</v>
      </c>
      <c r="D14374" s="1"/>
      <c r="E14374" s="1"/>
      <c r="F14374" s="1" t="str">
        <f>IFERROR(__xludf.DUMMYFUNCTION("GOOGLETRANSLATE(B14374, ""en"", ""fa"")
"),"موفقیت SaaS")</f>
        <v>موفقیت SaaS</v>
      </c>
      <c r="G14374" s="1" t="str">
        <f>IFERROR(__xludf.DUMMYFUNCTION("GOOGLETRANSLATE(C14374, ""en"", ""fa"")
"),"چگونه در کسب و کار SaaS فرهنگ نوآوری ایجاد کنیم؟")</f>
        <v>چگونه در کسب و کار SaaS فرهنگ نوآوری ایجاد کنیم؟</v>
      </c>
      <c r="H14374" s="1"/>
      <c r="I14374" s="1"/>
      <c r="J14374" s="1"/>
      <c r="K14374" s="1"/>
      <c r="L14374" s="1"/>
      <c r="M14374" s="1"/>
      <c r="N14374" s="1"/>
      <c r="O14374" s="1"/>
      <c r="P14374" s="1"/>
      <c r="Q14374" s="1"/>
      <c r="R14374" s="1"/>
      <c r="S14374" s="1"/>
      <c r="T14374" s="1"/>
      <c r="U14374" s="1"/>
      <c r="V14374" s="1"/>
      <c r="W14374" s="1"/>
      <c r="X14374" s="1"/>
      <c r="Y14374" s="1"/>
      <c r="Z14374" s="1"/>
      <c r="AA14374" s="1"/>
      <c r="AB14374" s="1"/>
    </row>
    <row r="14375" ht="50.25" customHeight="1">
      <c r="A14375" s="12">
        <v>14371.0</v>
      </c>
      <c r="B14375" s="13" t="s">
        <v>13537</v>
      </c>
      <c r="C14375" s="14" t="s">
        <v>13610</v>
      </c>
      <c r="D14375" s="1"/>
      <c r="E14375" s="1"/>
      <c r="F14375" s="1" t="str">
        <f>IFERROR(__xludf.DUMMYFUNCTION("GOOGLETRANSLATE(B14375, ""en"", ""fa"")
"),"موفقیت SaaS")</f>
        <v>موفقیت SaaS</v>
      </c>
      <c r="G14375" s="1" t="str">
        <f>IFERROR(__xludf.DUMMYFUNCTION("GOOGLETRANSLATE(C14375, ""en"", ""fa"")
"),"مهمترین ملاحظات برای توسعه محصول در یک تجارت SaaS چیست؟")</f>
        <v>مهمترین ملاحظات برای توسعه محصول در یک تجارت SaaS چیست؟</v>
      </c>
      <c r="H14375" s="1"/>
      <c r="I14375" s="1"/>
      <c r="J14375" s="1"/>
      <c r="K14375" s="1"/>
      <c r="L14375" s="1"/>
      <c r="M14375" s="1"/>
      <c r="N14375" s="1"/>
      <c r="O14375" s="1"/>
      <c r="P14375" s="1"/>
      <c r="Q14375" s="1"/>
      <c r="R14375" s="1"/>
      <c r="S14375" s="1"/>
      <c r="T14375" s="1"/>
      <c r="U14375" s="1"/>
      <c r="V14375" s="1"/>
      <c r="W14375" s="1"/>
      <c r="X14375" s="1"/>
      <c r="Y14375" s="1"/>
      <c r="Z14375" s="1"/>
      <c r="AA14375" s="1"/>
      <c r="AB14375" s="1"/>
    </row>
    <row r="14376" ht="50.25" customHeight="1">
      <c r="A14376" s="12">
        <v>14372.0</v>
      </c>
      <c r="B14376" s="13" t="s">
        <v>13537</v>
      </c>
      <c r="C14376" s="14" t="s">
        <v>13611</v>
      </c>
      <c r="D14376" s="1"/>
      <c r="E14376" s="1"/>
      <c r="F14376" s="1" t="str">
        <f>IFERROR(__xludf.DUMMYFUNCTION("GOOGLETRANSLATE(B14376, ""en"", ""fa"")
"),"موفقیت SaaS")</f>
        <v>موفقیت SaaS</v>
      </c>
      <c r="G14376" s="1" t="str">
        <f>IFERROR(__xludf.DUMMYFUNCTION("GOOGLETRANSLATE(C14376, ""en"", ""fa"")
"),"چگونه به طور موثر ویژگی های محصول را برای یک کسب و کار SaaS مدیریت و اولویت بندی کنیم؟")</f>
        <v>چگونه به طور موثر ویژگی های محصول را برای یک کسب و کار SaaS مدیریت و اولویت بندی کنیم؟</v>
      </c>
      <c r="H14376" s="1"/>
      <c r="I14376" s="1"/>
      <c r="J14376" s="1"/>
      <c r="K14376" s="1"/>
      <c r="L14376" s="1"/>
      <c r="M14376" s="1"/>
      <c r="N14376" s="1"/>
      <c r="O14376" s="1"/>
      <c r="P14376" s="1"/>
      <c r="Q14376" s="1"/>
      <c r="R14376" s="1"/>
      <c r="S14376" s="1"/>
      <c r="T14376" s="1"/>
      <c r="U14376" s="1"/>
      <c r="V14376" s="1"/>
      <c r="W14376" s="1"/>
      <c r="X14376" s="1"/>
      <c r="Y14376" s="1"/>
      <c r="Z14376" s="1"/>
      <c r="AA14376" s="1"/>
      <c r="AB14376" s="1"/>
    </row>
    <row r="14377" ht="50.25" customHeight="1">
      <c r="A14377" s="12">
        <v>14373.0</v>
      </c>
      <c r="B14377" s="13" t="s">
        <v>13537</v>
      </c>
      <c r="C14377" s="14" t="s">
        <v>13612</v>
      </c>
      <c r="D14377" s="1"/>
      <c r="E14377" s="1"/>
      <c r="F14377" s="1" t="str">
        <f>IFERROR(__xludf.DUMMYFUNCTION("GOOGLETRANSLATE(B14377, ""en"", ""fa"")
"),"موفقیت SaaS")</f>
        <v>موفقیت SaaS</v>
      </c>
      <c r="G14377" s="1" t="str">
        <f>IFERROR(__xludf.DUMMYFUNCTION("GOOGLETRANSLATE(C14377, ""en"", ""fa"")
"),"چگونه یک فرآیند توسعه چابک را برای یک تجارت SaaS پیاده سازی کنیم؟")</f>
        <v>چگونه یک فرآیند توسعه چابک را برای یک تجارت SaaS پیاده سازی کنیم؟</v>
      </c>
      <c r="H14377" s="1"/>
      <c r="I14377" s="1"/>
      <c r="J14377" s="1"/>
      <c r="K14377" s="1"/>
      <c r="L14377" s="1"/>
      <c r="M14377" s="1"/>
      <c r="N14377" s="1"/>
      <c r="O14377" s="1"/>
      <c r="P14377" s="1"/>
      <c r="Q14377" s="1"/>
      <c r="R14377" s="1"/>
      <c r="S14377" s="1"/>
      <c r="T14377" s="1"/>
      <c r="U14377" s="1"/>
      <c r="V14377" s="1"/>
      <c r="W14377" s="1"/>
      <c r="X14377" s="1"/>
      <c r="Y14377" s="1"/>
      <c r="Z14377" s="1"/>
      <c r="AA14377" s="1"/>
      <c r="AB14377" s="1"/>
    </row>
    <row r="14378" ht="50.25" customHeight="1">
      <c r="A14378" s="12">
        <v>14374.0</v>
      </c>
      <c r="B14378" s="13" t="s">
        <v>13537</v>
      </c>
      <c r="C14378" s="14" t="s">
        <v>13613</v>
      </c>
      <c r="D14378" s="1"/>
      <c r="E14378" s="1"/>
      <c r="F14378" s="1" t="str">
        <f>IFERROR(__xludf.DUMMYFUNCTION("GOOGLETRANSLATE(B14378, ""en"", ""fa"")
"),"موفقیت SaaS")</f>
        <v>موفقیت SaaS</v>
      </c>
      <c r="G14378" s="1" t="str">
        <f>IFERROR(__xludf.DUMMYFUNCTION("GOOGLETRANSLATE(C14378, ""en"", ""fa"")
"),"مهمترین ملاحظات برای طراحی تجربه کاربری (UX) در یک تجارت SaaS چیست؟")</f>
        <v>مهمترین ملاحظات برای طراحی تجربه کاربری (UX) در یک تجارت SaaS چیست؟</v>
      </c>
      <c r="H14378" s="1"/>
      <c r="I14378" s="1"/>
      <c r="J14378" s="1"/>
      <c r="K14378" s="1"/>
      <c r="L14378" s="1"/>
      <c r="M14378" s="1"/>
      <c r="N14378" s="1"/>
      <c r="O14378" s="1"/>
      <c r="P14378" s="1"/>
      <c r="Q14378" s="1"/>
      <c r="R14378" s="1"/>
      <c r="S14378" s="1"/>
      <c r="T14378" s="1"/>
      <c r="U14378" s="1"/>
      <c r="V14378" s="1"/>
      <c r="W14378" s="1"/>
      <c r="X14378" s="1"/>
      <c r="Y14378" s="1"/>
      <c r="Z14378" s="1"/>
      <c r="AA14378" s="1"/>
      <c r="AB14378" s="1"/>
    </row>
    <row r="14379" ht="50.25" customHeight="1">
      <c r="A14379" s="12">
        <v>14375.0</v>
      </c>
      <c r="B14379" s="13" t="s">
        <v>13537</v>
      </c>
      <c r="C14379" s="14" t="s">
        <v>13614</v>
      </c>
      <c r="D14379" s="1"/>
      <c r="E14379" s="1"/>
      <c r="F14379" s="1" t="str">
        <f>IFERROR(__xludf.DUMMYFUNCTION("GOOGLETRANSLATE(B14379, ""en"", ""fa"")
"),"موفقیت SaaS")</f>
        <v>موفقیت SaaS</v>
      </c>
      <c r="G14379" s="1" t="str">
        <f>IFERROR(__xludf.DUMMYFUNCTION("GOOGLETRANSLATE(C14379, ""en"", ""fa"")
"),"چگونه استقرار مداوم را برای یک تجارت SaaS پیاده سازی کنیم؟")</f>
        <v>چگونه استقرار مداوم را برای یک تجارت SaaS پیاده سازی کنیم؟</v>
      </c>
      <c r="H14379" s="1"/>
      <c r="I14379" s="1"/>
      <c r="J14379" s="1"/>
      <c r="K14379" s="1"/>
      <c r="L14379" s="1"/>
      <c r="M14379" s="1"/>
      <c r="N14379" s="1"/>
      <c r="O14379" s="1"/>
      <c r="P14379" s="1"/>
      <c r="Q14379" s="1"/>
      <c r="R14379" s="1"/>
      <c r="S14379" s="1"/>
      <c r="T14379" s="1"/>
      <c r="U14379" s="1"/>
      <c r="V14379" s="1"/>
      <c r="W14379" s="1"/>
      <c r="X14379" s="1"/>
      <c r="Y14379" s="1"/>
      <c r="Z14379" s="1"/>
      <c r="AA14379" s="1"/>
      <c r="AB14379" s="1"/>
    </row>
    <row r="14380" ht="50.25" customHeight="1">
      <c r="A14380" s="12">
        <v>14376.0</v>
      </c>
      <c r="B14380" s="13" t="s">
        <v>13537</v>
      </c>
      <c r="C14380" s="14" t="s">
        <v>13615</v>
      </c>
      <c r="D14380" s="1"/>
      <c r="E14380" s="1"/>
      <c r="F14380" s="1" t="str">
        <f>IFERROR(__xludf.DUMMYFUNCTION("GOOGLETRANSLATE(B14380, ""en"", ""fa"")
"),"موفقیت SaaS")</f>
        <v>موفقیت SaaS</v>
      </c>
      <c r="G14380" s="1" t="str">
        <f>IFERROR(__xludf.DUMMYFUNCTION("GOOGLETRANSLATE(C14380, ""en"", ""fa"")
"),"مهمترین ملاحظات برای امنیت داده در یک تجارت SaaS چیست؟")</f>
        <v>مهمترین ملاحظات برای امنیت داده در یک تجارت SaaS چیست؟</v>
      </c>
      <c r="H14380" s="1"/>
      <c r="I14380" s="1"/>
      <c r="J14380" s="1"/>
      <c r="K14380" s="1"/>
      <c r="L14380" s="1"/>
      <c r="M14380" s="1"/>
      <c r="N14380" s="1"/>
      <c r="O14380" s="1"/>
      <c r="P14380" s="1"/>
      <c r="Q14380" s="1"/>
      <c r="R14380" s="1"/>
      <c r="S14380" s="1"/>
      <c r="T14380" s="1"/>
      <c r="U14380" s="1"/>
      <c r="V14380" s="1"/>
      <c r="W14380" s="1"/>
      <c r="X14380" s="1"/>
      <c r="Y14380" s="1"/>
      <c r="Z14380" s="1"/>
      <c r="AA14380" s="1"/>
      <c r="AB14380" s="1"/>
    </row>
    <row r="14381" ht="50.25" customHeight="1">
      <c r="A14381" s="12">
        <v>14377.0</v>
      </c>
      <c r="B14381" s="13" t="s">
        <v>13537</v>
      </c>
      <c r="C14381" s="14" t="s">
        <v>13616</v>
      </c>
      <c r="D14381" s="1"/>
      <c r="E14381" s="1"/>
      <c r="F14381" s="1" t="str">
        <f>IFERROR(__xludf.DUMMYFUNCTION("GOOGLETRANSLATE(B14381, ""en"", ""fa"")
"),"موفقیت SaaS")</f>
        <v>موفقیت SaaS</v>
      </c>
      <c r="G14381" s="1" t="str">
        <f>IFERROR(__xludf.DUMMYFUNCTION("GOOGLETRANSLATE(C14381, ""en"", ""fa"")
"),"چگونه یک خط مشی حفظ حریم خصوصی برای یک تجارت SaaS ایجاد کنیم؟")</f>
        <v>چگونه یک خط مشی حفظ حریم خصوصی برای یک تجارت SaaS ایجاد کنیم؟</v>
      </c>
      <c r="H14381" s="1"/>
      <c r="I14381" s="1"/>
      <c r="J14381" s="1"/>
      <c r="K14381" s="1"/>
      <c r="L14381" s="1"/>
      <c r="M14381" s="1"/>
      <c r="N14381" s="1"/>
      <c r="O14381" s="1"/>
      <c r="P14381" s="1"/>
      <c r="Q14381" s="1"/>
      <c r="R14381" s="1"/>
      <c r="S14381" s="1"/>
      <c r="T14381" s="1"/>
      <c r="U14381" s="1"/>
      <c r="V14381" s="1"/>
      <c r="W14381" s="1"/>
      <c r="X14381" s="1"/>
      <c r="Y14381" s="1"/>
      <c r="Z14381" s="1"/>
      <c r="AA14381" s="1"/>
      <c r="AB14381" s="1"/>
    </row>
    <row r="14382" ht="50.25" customHeight="1">
      <c r="A14382" s="12">
        <v>14378.0</v>
      </c>
      <c r="B14382" s="13" t="s">
        <v>13537</v>
      </c>
      <c r="C14382" s="14" t="s">
        <v>13617</v>
      </c>
      <c r="D14382" s="1"/>
      <c r="E14382" s="1"/>
      <c r="F14382" s="1" t="str">
        <f>IFERROR(__xludf.DUMMYFUNCTION("GOOGLETRANSLATE(B14382, ""en"", ""fa"")
"),"موفقیت SaaS")</f>
        <v>موفقیت SaaS</v>
      </c>
      <c r="G14382" s="1" t="str">
        <f>IFERROR(__xludf.DUMMYFUNCTION("GOOGLETRANSLATE(C14382, ""en"", ""fa"")
"),"مهمترین ملاحظات برای بازیابی فاجعه در یک تجارت SaaS چیست؟")</f>
        <v>مهمترین ملاحظات برای بازیابی فاجعه در یک تجارت SaaS چیست؟</v>
      </c>
      <c r="H14382" s="1"/>
      <c r="I14382" s="1"/>
      <c r="J14382" s="1"/>
      <c r="K14382" s="1"/>
      <c r="L14382" s="1"/>
      <c r="M14382" s="1"/>
      <c r="N14382" s="1"/>
      <c r="O14382" s="1"/>
      <c r="P14382" s="1"/>
      <c r="Q14382" s="1"/>
      <c r="R14382" s="1"/>
      <c r="S14382" s="1"/>
      <c r="T14382" s="1"/>
      <c r="U14382" s="1"/>
      <c r="V14382" s="1"/>
      <c r="W14382" s="1"/>
      <c r="X14382" s="1"/>
      <c r="Y14382" s="1"/>
      <c r="Z14382" s="1"/>
      <c r="AA14382" s="1"/>
      <c r="AB14382" s="1"/>
    </row>
    <row r="14383" ht="50.25" customHeight="1">
      <c r="A14383" s="12">
        <v>14379.0</v>
      </c>
      <c r="B14383" s="13" t="s">
        <v>13537</v>
      </c>
      <c r="C14383" s="14" t="s">
        <v>13618</v>
      </c>
      <c r="D14383" s="1"/>
      <c r="E14383" s="1"/>
      <c r="F14383" s="1" t="str">
        <f>IFERROR(__xludf.DUMMYFUNCTION("GOOGLETRANSLATE(B14383, ""en"", ""fa"")
"),"موفقیت SaaS")</f>
        <v>موفقیت SaaS</v>
      </c>
      <c r="G14383" s="1" t="str">
        <f>IFERROR(__xludf.DUMMYFUNCTION("GOOGLETRANSLATE(C14383, ""en"", ""fa"")
"),"چگونه یک فرهنگ DevOps را در یک تجارت SaaS پیاده سازی کنیم؟")</f>
        <v>چگونه یک فرهنگ DevOps را در یک تجارت SaaS پیاده سازی کنیم؟</v>
      </c>
      <c r="H14383" s="1"/>
      <c r="I14383" s="1"/>
      <c r="J14383" s="1"/>
      <c r="K14383" s="1"/>
      <c r="L14383" s="1"/>
      <c r="M14383" s="1"/>
      <c r="N14383" s="1"/>
      <c r="O14383" s="1"/>
      <c r="P14383" s="1"/>
      <c r="Q14383" s="1"/>
      <c r="R14383" s="1"/>
      <c r="S14383" s="1"/>
      <c r="T14383" s="1"/>
      <c r="U14383" s="1"/>
      <c r="V14383" s="1"/>
      <c r="W14383" s="1"/>
      <c r="X14383" s="1"/>
      <c r="Y14383" s="1"/>
      <c r="Z14383" s="1"/>
      <c r="AA14383" s="1"/>
      <c r="AB14383" s="1"/>
    </row>
    <row r="14384" ht="50.25" customHeight="1">
      <c r="A14384" s="12">
        <v>14380.0</v>
      </c>
      <c r="B14384" s="13" t="s">
        <v>13537</v>
      </c>
      <c r="C14384" s="14" t="s">
        <v>13619</v>
      </c>
      <c r="D14384" s="1"/>
      <c r="E14384" s="1"/>
      <c r="F14384" s="1" t="str">
        <f>IFERROR(__xludf.DUMMYFUNCTION("GOOGLETRANSLATE(B14384, ""en"", ""fa"")
"),"موفقیت SaaS")</f>
        <v>موفقیت SaaS</v>
      </c>
      <c r="G14384" s="1" t="str">
        <f>IFERROR(__xludf.DUMMYFUNCTION("GOOGLETRANSLATE(C14384, ""en"", ""fa"")
"),"مهمترین ملاحظات DevOps در یک تجارت SaaS چیست؟")</f>
        <v>مهمترین ملاحظات DevOps در یک تجارت SaaS چیست؟</v>
      </c>
      <c r="H14384" s="1"/>
      <c r="I14384" s="1"/>
      <c r="J14384" s="1"/>
      <c r="K14384" s="1"/>
      <c r="L14384" s="1"/>
      <c r="M14384" s="1"/>
      <c r="N14384" s="1"/>
      <c r="O14384" s="1"/>
      <c r="P14384" s="1"/>
      <c r="Q14384" s="1"/>
      <c r="R14384" s="1"/>
      <c r="S14384" s="1"/>
      <c r="T14384" s="1"/>
      <c r="U14384" s="1"/>
      <c r="V14384" s="1"/>
      <c r="W14384" s="1"/>
      <c r="X14384" s="1"/>
      <c r="Y14384" s="1"/>
      <c r="Z14384" s="1"/>
      <c r="AA14384" s="1"/>
      <c r="AB14384" s="1"/>
    </row>
    <row r="14385" ht="50.25" customHeight="1">
      <c r="A14385" s="12">
        <v>14381.0</v>
      </c>
      <c r="B14385" s="13" t="s">
        <v>13537</v>
      </c>
      <c r="C14385" s="14" t="s">
        <v>13620</v>
      </c>
      <c r="D14385" s="1"/>
      <c r="E14385" s="1"/>
      <c r="F14385" s="1" t="str">
        <f>IFERROR(__xludf.DUMMYFUNCTION("GOOGLETRANSLATE(B14385, ""en"", ""fa"")
"),"موفقیت SaaS")</f>
        <v>موفقیت SaaS</v>
      </c>
      <c r="G14385" s="1" t="str">
        <f>IFERROR(__xludf.DUMMYFUNCTION("GOOGLETRANSLATE(C14385, ""en"", ""fa"")
"),"چگونه فروشندگان و قراردادهای SaaS را به طور موثر مدیریت کنیم؟")</f>
        <v>چگونه فروشندگان و قراردادهای SaaS را به طور موثر مدیریت کنیم؟</v>
      </c>
      <c r="H14385" s="1"/>
      <c r="I14385" s="1"/>
      <c r="J14385" s="1"/>
      <c r="K14385" s="1"/>
      <c r="L14385" s="1"/>
      <c r="M14385" s="1"/>
      <c r="N14385" s="1"/>
      <c r="O14385" s="1"/>
      <c r="P14385" s="1"/>
      <c r="Q14385" s="1"/>
      <c r="R14385" s="1"/>
      <c r="S14385" s="1"/>
      <c r="T14385" s="1"/>
      <c r="U14385" s="1"/>
      <c r="V14385" s="1"/>
      <c r="W14385" s="1"/>
      <c r="X14385" s="1"/>
      <c r="Y14385" s="1"/>
      <c r="Z14385" s="1"/>
      <c r="AA14385" s="1"/>
      <c r="AB14385" s="1"/>
    </row>
    <row r="14386" ht="50.25" customHeight="1">
      <c r="A14386" s="12">
        <v>14382.0</v>
      </c>
      <c r="B14386" s="13" t="s">
        <v>13537</v>
      </c>
      <c r="C14386" s="14" t="s">
        <v>13621</v>
      </c>
      <c r="D14386" s="1"/>
      <c r="E14386" s="1"/>
      <c r="F14386" s="1" t="str">
        <f>IFERROR(__xludf.DUMMYFUNCTION("GOOGLETRANSLATE(B14386, ""en"", ""fa"")
"),"موفقیت SaaS")</f>
        <v>موفقیت SaaS</v>
      </c>
      <c r="G14386" s="1" t="str">
        <f>IFERROR(__xludf.DUMMYFUNCTION("GOOGLETRANSLATE(C14386, ""en"", ""fa"")
"),"چگونه چارچوب حاکمیت SaaS را پیاده سازی کنیم؟")</f>
        <v>چگونه چارچوب حاکمیت SaaS را پیاده سازی کنیم؟</v>
      </c>
      <c r="H14386" s="1"/>
      <c r="I14386" s="1"/>
      <c r="J14386" s="1"/>
      <c r="K14386" s="1"/>
      <c r="L14386" s="1"/>
      <c r="M14386" s="1"/>
      <c r="N14386" s="1"/>
      <c r="O14386" s="1"/>
      <c r="P14386" s="1"/>
      <c r="Q14386" s="1"/>
      <c r="R14386" s="1"/>
      <c r="S14386" s="1"/>
      <c r="T14386" s="1"/>
      <c r="U14386" s="1"/>
      <c r="V14386" s="1"/>
      <c r="W14386" s="1"/>
      <c r="X14386" s="1"/>
      <c r="Y14386" s="1"/>
      <c r="Z14386" s="1"/>
      <c r="AA14386" s="1"/>
      <c r="AB14386" s="1"/>
    </row>
    <row r="14387" ht="50.25" customHeight="1">
      <c r="A14387" s="12">
        <v>14383.0</v>
      </c>
      <c r="B14387" s="13" t="s">
        <v>13537</v>
      </c>
      <c r="C14387" s="14" t="s">
        <v>13622</v>
      </c>
      <c r="D14387" s="1"/>
      <c r="E14387" s="1"/>
      <c r="F14387" s="1" t="str">
        <f>IFERROR(__xludf.DUMMYFUNCTION("GOOGLETRANSLATE(B14387, ""en"", ""fa"")
"),"موفقیت SaaS")</f>
        <v>موفقیت SaaS</v>
      </c>
      <c r="G14387" s="1" t="str">
        <f>IFERROR(__xludf.DUMMYFUNCTION("GOOGLETRANSLATE(C14387, ""en"", ""fa"")
"),"مهمترین ملاحظات برای پذیرش کاربر SaaS چیست؟")</f>
        <v>مهمترین ملاحظات برای پذیرش کاربر SaaS چیست؟</v>
      </c>
      <c r="H14387" s="1"/>
      <c r="I14387" s="1"/>
      <c r="J14387" s="1"/>
      <c r="K14387" s="1"/>
      <c r="L14387" s="1"/>
      <c r="M14387" s="1"/>
      <c r="N14387" s="1"/>
      <c r="O14387" s="1"/>
      <c r="P14387" s="1"/>
      <c r="Q14387" s="1"/>
      <c r="R14387" s="1"/>
      <c r="S14387" s="1"/>
      <c r="T14387" s="1"/>
      <c r="U14387" s="1"/>
      <c r="V14387" s="1"/>
      <c r="W14387" s="1"/>
      <c r="X14387" s="1"/>
      <c r="Y14387" s="1"/>
      <c r="Z14387" s="1"/>
      <c r="AA14387" s="1"/>
      <c r="AB14387" s="1"/>
    </row>
    <row r="14388" ht="50.25" customHeight="1">
      <c r="A14388" s="12">
        <v>14384.0</v>
      </c>
      <c r="B14388" s="13" t="s">
        <v>13537</v>
      </c>
      <c r="C14388" s="14" t="s">
        <v>13623</v>
      </c>
      <c r="D14388" s="1"/>
      <c r="E14388" s="1"/>
      <c r="F14388" s="1" t="str">
        <f>IFERROR(__xludf.DUMMYFUNCTION("GOOGLETRANSLATE(B14388, ""en"", ""fa"")
"),"موفقیت SaaS")</f>
        <v>موفقیت SaaS</v>
      </c>
      <c r="G14388" s="1" t="str">
        <f>IFERROR(__xludf.DUMMYFUNCTION("GOOGLETRANSLATE(C14388, ""en"", ""fa"")
"),"چگونه یک برنامه Onboarding SaaS ایجاد کنیم؟")</f>
        <v>چگونه یک برنامه Onboarding SaaS ایجاد کنیم؟</v>
      </c>
      <c r="H14388" s="1"/>
      <c r="I14388" s="1"/>
      <c r="J14388" s="1"/>
      <c r="K14388" s="1"/>
      <c r="L14388" s="1"/>
      <c r="M14388" s="1"/>
      <c r="N14388" s="1"/>
      <c r="O14388" s="1"/>
      <c r="P14388" s="1"/>
      <c r="Q14388" s="1"/>
      <c r="R14388" s="1"/>
      <c r="S14388" s="1"/>
      <c r="T14388" s="1"/>
      <c r="U14388" s="1"/>
      <c r="V14388" s="1"/>
      <c r="W14388" s="1"/>
      <c r="X14388" s="1"/>
      <c r="Y14388" s="1"/>
      <c r="Z14388" s="1"/>
      <c r="AA14388" s="1"/>
      <c r="AB14388" s="1"/>
    </row>
    <row r="14389" ht="50.25" customHeight="1">
      <c r="A14389" s="12">
        <v>14385.0</v>
      </c>
      <c r="B14389" s="13" t="s">
        <v>13537</v>
      </c>
      <c r="C14389" s="14" t="s">
        <v>13624</v>
      </c>
      <c r="D14389" s="1"/>
      <c r="E14389" s="1"/>
      <c r="F14389" s="1" t="str">
        <f>IFERROR(__xludf.DUMMYFUNCTION("GOOGLETRANSLATE(B14389, ""en"", ""fa"")
"),"موفقیت SaaS")</f>
        <v>موفقیت SaaS</v>
      </c>
      <c r="G14389" s="1" t="str">
        <f>IFERROR(__xludf.DUMMYFUNCTION("GOOGLETRANSLATE(C14389, ""en"", ""fa"")
"),"مهم ترین ملاحظات برای پشتیبانی و نگهداری SaaS چیست؟")</f>
        <v>مهم ترین ملاحظات برای پشتیبانی و نگهداری SaaS چیست؟</v>
      </c>
      <c r="H14389" s="1"/>
      <c r="I14389" s="1"/>
      <c r="J14389" s="1"/>
      <c r="K14389" s="1"/>
      <c r="L14389" s="1"/>
      <c r="M14389" s="1"/>
      <c r="N14389" s="1"/>
      <c r="O14389" s="1"/>
      <c r="P14389" s="1"/>
      <c r="Q14389" s="1"/>
      <c r="R14389" s="1"/>
      <c r="S14389" s="1"/>
      <c r="T14389" s="1"/>
      <c r="U14389" s="1"/>
      <c r="V14389" s="1"/>
      <c r="W14389" s="1"/>
      <c r="X14389" s="1"/>
      <c r="Y14389" s="1"/>
      <c r="Z14389" s="1"/>
      <c r="AA14389" s="1"/>
      <c r="AB14389" s="1"/>
    </row>
    <row r="14390" ht="50.25" customHeight="1">
      <c r="A14390" s="12">
        <v>14386.0</v>
      </c>
      <c r="B14390" s="13" t="s">
        <v>13537</v>
      </c>
      <c r="C14390" s="14" t="s">
        <v>13625</v>
      </c>
      <c r="D14390" s="1"/>
      <c r="E14390" s="1"/>
      <c r="F14390" s="1" t="str">
        <f>IFERROR(__xludf.DUMMYFUNCTION("GOOGLETRANSLATE(B14390, ""en"", ""fa"")
"),"موفقیت SaaS")</f>
        <v>موفقیت SaaS</v>
      </c>
      <c r="G14390" s="1" t="str">
        <f>IFERROR(__xludf.DUMMYFUNCTION("GOOGLETRANSLATE(C14390, ""en"", ""fa"")
"),"چگونه موفقیت یک تجارت SaaS را اندازه گیری کنیم؟")</f>
        <v>چگونه موفقیت یک تجارت SaaS را اندازه گیری کنیم؟</v>
      </c>
      <c r="H14390" s="1"/>
      <c r="I14390" s="1"/>
      <c r="J14390" s="1"/>
      <c r="K14390" s="1"/>
      <c r="L14390" s="1"/>
      <c r="M14390" s="1"/>
      <c r="N14390" s="1"/>
      <c r="O14390" s="1"/>
      <c r="P14390" s="1"/>
      <c r="Q14390" s="1"/>
      <c r="R14390" s="1"/>
      <c r="S14390" s="1"/>
      <c r="T14390" s="1"/>
      <c r="U14390" s="1"/>
      <c r="V14390" s="1"/>
      <c r="W14390" s="1"/>
      <c r="X14390" s="1"/>
      <c r="Y14390" s="1"/>
      <c r="Z14390" s="1"/>
      <c r="AA14390" s="1"/>
      <c r="AB14390" s="1"/>
    </row>
    <row r="14391" ht="50.25" customHeight="1">
      <c r="A14391" s="12">
        <v>14387.0</v>
      </c>
      <c r="B14391" s="13" t="s">
        <v>13537</v>
      </c>
      <c r="C14391" s="14" t="s">
        <v>13626</v>
      </c>
      <c r="D14391" s="1"/>
      <c r="E14391" s="1"/>
      <c r="F14391" s="1" t="str">
        <f>IFERROR(__xludf.DUMMYFUNCTION("GOOGLETRANSLATE(B14391, ""en"", ""fa"")
"),"موفقیت SaaS")</f>
        <v>موفقیت SaaS</v>
      </c>
      <c r="G14391" s="1" t="str">
        <f>IFERROR(__xludf.DUMMYFUNCTION("GOOGLETRANSLATE(C14391, ""en"", ""fa"")
"),"مهم ترین ملاحظات برای قیمت گذاری SaaS چیست؟")</f>
        <v>مهم ترین ملاحظات برای قیمت گذاری SaaS چیست؟</v>
      </c>
      <c r="H14391" s="1"/>
      <c r="I14391" s="1"/>
      <c r="J14391" s="1"/>
      <c r="K14391" s="1"/>
      <c r="L14391" s="1"/>
      <c r="M14391" s="1"/>
      <c r="N14391" s="1"/>
      <c r="O14391" s="1"/>
      <c r="P14391" s="1"/>
      <c r="Q14391" s="1"/>
      <c r="R14391" s="1"/>
      <c r="S14391" s="1"/>
      <c r="T14391" s="1"/>
      <c r="U14391" s="1"/>
      <c r="V14391" s="1"/>
      <c r="W14391" s="1"/>
      <c r="X14391" s="1"/>
      <c r="Y14391" s="1"/>
      <c r="Z14391" s="1"/>
      <c r="AA14391" s="1"/>
      <c r="AB14391" s="1"/>
    </row>
    <row r="14392" ht="50.25" customHeight="1">
      <c r="A14392" s="12">
        <v>14388.0</v>
      </c>
      <c r="B14392" s="13" t="s">
        <v>13537</v>
      </c>
      <c r="C14392" s="14" t="s">
        <v>13627</v>
      </c>
      <c r="D14392" s="1"/>
      <c r="E14392" s="1"/>
      <c r="F14392" s="1" t="str">
        <f>IFERROR(__xludf.DUMMYFUNCTION("GOOGLETRANSLATE(B14392, ""en"", ""fa"")
"),"موفقیت SaaS")</f>
        <v>موفقیت SaaS</v>
      </c>
      <c r="G14392" s="1" t="str">
        <f>IFERROR(__xludf.DUMMYFUNCTION("GOOGLETRANSLATE(C14392, ""en"", ""fa"")
"),"چگونه یک استراتژی قیمت گذاری SaaS ایجاد کنیم؟")</f>
        <v>چگونه یک استراتژی قیمت گذاری SaaS ایجاد کنیم؟</v>
      </c>
      <c r="H14392" s="1"/>
      <c r="I14392" s="1"/>
      <c r="J14392" s="1"/>
      <c r="K14392" s="1"/>
      <c r="L14392" s="1"/>
      <c r="M14392" s="1"/>
      <c r="N14392" s="1"/>
      <c r="O14392" s="1"/>
      <c r="P14392" s="1"/>
      <c r="Q14392" s="1"/>
      <c r="R14392" s="1"/>
      <c r="S14392" s="1"/>
      <c r="T14392" s="1"/>
      <c r="U14392" s="1"/>
      <c r="V14392" s="1"/>
      <c r="W14392" s="1"/>
      <c r="X14392" s="1"/>
      <c r="Y14392" s="1"/>
      <c r="Z14392" s="1"/>
      <c r="AA14392" s="1"/>
      <c r="AB14392" s="1"/>
    </row>
    <row r="14393" ht="50.25" customHeight="1">
      <c r="A14393" s="12">
        <v>14389.0</v>
      </c>
      <c r="B14393" s="13" t="s">
        <v>13537</v>
      </c>
      <c r="C14393" s="14" t="s">
        <v>13628</v>
      </c>
      <c r="D14393" s="1"/>
      <c r="E14393" s="1"/>
      <c r="F14393" s="1" t="str">
        <f>IFERROR(__xludf.DUMMYFUNCTION("GOOGLETRANSLATE(B14393, ""en"", ""fa"")
"),"موفقیت SaaS")</f>
        <v>موفقیت SaaS</v>
      </c>
      <c r="G14393" s="1" t="str">
        <f>IFERROR(__xludf.DUMMYFUNCTION("GOOGLETRANSLATE(C14393, ""en"", ""fa"")
"),"چگونه یک استراتژی فروش SaaS ایجاد کنیم؟")</f>
        <v>چگونه یک استراتژی فروش SaaS ایجاد کنیم؟</v>
      </c>
      <c r="H14393" s="1"/>
      <c r="I14393" s="1"/>
      <c r="J14393" s="1"/>
      <c r="K14393" s="1"/>
      <c r="L14393" s="1"/>
      <c r="M14393" s="1"/>
      <c r="N14393" s="1"/>
      <c r="O14393" s="1"/>
      <c r="P14393" s="1"/>
      <c r="Q14393" s="1"/>
      <c r="R14393" s="1"/>
      <c r="S14393" s="1"/>
      <c r="T14393" s="1"/>
      <c r="U14393" s="1"/>
      <c r="V14393" s="1"/>
      <c r="W14393" s="1"/>
      <c r="X14393" s="1"/>
      <c r="Y14393" s="1"/>
      <c r="Z14393" s="1"/>
      <c r="AA14393" s="1"/>
      <c r="AB14393" s="1"/>
    </row>
    <row r="14394" ht="50.25" customHeight="1">
      <c r="A14394" s="12">
        <v>14390.0</v>
      </c>
      <c r="B14394" s="13" t="s">
        <v>13537</v>
      </c>
      <c r="C14394" s="14" t="s">
        <v>13629</v>
      </c>
      <c r="D14394" s="1"/>
      <c r="E14394" s="1"/>
      <c r="F14394" s="1" t="str">
        <f>IFERROR(__xludf.DUMMYFUNCTION("GOOGLETRANSLATE(B14394, ""en"", ""fa"")
"),"موفقیت SaaS")</f>
        <v>موفقیت SaaS</v>
      </c>
      <c r="G14394" s="1" t="str">
        <f>IFERROR(__xludf.DUMMYFUNCTION("GOOGLETRANSLATE(C14394, ""en"", ""fa"")
"),"چگونه یک استراتژی بازاریابی SaaS ایجاد کنیم؟")</f>
        <v>چگونه یک استراتژی بازاریابی SaaS ایجاد کنیم؟</v>
      </c>
      <c r="H14394" s="1"/>
      <c r="I14394" s="1"/>
      <c r="J14394" s="1"/>
      <c r="K14394" s="1"/>
      <c r="L14394" s="1"/>
      <c r="M14394" s="1"/>
      <c r="N14394" s="1"/>
      <c r="O14394" s="1"/>
      <c r="P14394" s="1"/>
      <c r="Q14394" s="1"/>
      <c r="R14394" s="1"/>
      <c r="S14394" s="1"/>
      <c r="T14394" s="1"/>
      <c r="U14394" s="1"/>
      <c r="V14394" s="1"/>
      <c r="W14394" s="1"/>
      <c r="X14394" s="1"/>
      <c r="Y14394" s="1"/>
      <c r="Z14394" s="1"/>
      <c r="AA14394" s="1"/>
      <c r="AB14394" s="1"/>
    </row>
    <row r="14395" ht="50.25" customHeight="1">
      <c r="A14395" s="12">
        <v>14391.0</v>
      </c>
      <c r="B14395" s="13" t="s">
        <v>13537</v>
      </c>
      <c r="C14395" s="14" t="s">
        <v>13630</v>
      </c>
      <c r="D14395" s="1"/>
      <c r="E14395" s="1"/>
      <c r="F14395" s="1" t="str">
        <f>IFERROR(__xludf.DUMMYFUNCTION("GOOGLETRANSLATE(B14395, ""en"", ""fa"")
"),"موفقیت SaaS")</f>
        <v>موفقیت SaaS</v>
      </c>
      <c r="G14395" s="1" t="str">
        <f>IFERROR(__xludf.DUMMYFUNCTION("GOOGLETRANSLATE(C14395, ""en"", ""fa"")
"),"مهمترین ملاحظات برای موفقیت مشتری SaaS چیست؟")</f>
        <v>مهمترین ملاحظات برای موفقیت مشتری SaaS چیست؟</v>
      </c>
      <c r="H14395" s="1"/>
      <c r="I14395" s="1"/>
      <c r="J14395" s="1"/>
      <c r="K14395" s="1"/>
      <c r="L14395" s="1"/>
      <c r="M14395" s="1"/>
      <c r="N14395" s="1"/>
      <c r="O14395" s="1"/>
      <c r="P14395" s="1"/>
      <c r="Q14395" s="1"/>
      <c r="R14395" s="1"/>
      <c r="S14395" s="1"/>
      <c r="T14395" s="1"/>
      <c r="U14395" s="1"/>
      <c r="V14395" s="1"/>
      <c r="W14395" s="1"/>
      <c r="X14395" s="1"/>
      <c r="Y14395" s="1"/>
      <c r="Z14395" s="1"/>
      <c r="AA14395" s="1"/>
      <c r="AB14395" s="1"/>
    </row>
    <row r="14396" ht="50.25" customHeight="1">
      <c r="A14396" s="12">
        <v>14392.0</v>
      </c>
      <c r="B14396" s="13" t="s">
        <v>13537</v>
      </c>
      <c r="C14396" s="14" t="s">
        <v>13631</v>
      </c>
      <c r="D14396" s="1"/>
      <c r="E14396" s="1"/>
      <c r="F14396" s="1" t="str">
        <f>IFERROR(__xludf.DUMMYFUNCTION("GOOGLETRANSLATE(B14396, ""en"", ""fa"")
"),"موفقیت SaaS")</f>
        <v>موفقیت SaaS</v>
      </c>
      <c r="G14396" s="1" t="str">
        <f>IFERROR(__xludf.DUMMYFUNCTION("GOOGLETRANSLATE(C14396, ""en"", ""fa"")
"),"نحوه پیاده سازی بازخورد مشتری SaaS در توسعه محصول")</f>
        <v>نحوه پیاده سازی بازخورد مشتری SaaS در توسعه محصول</v>
      </c>
      <c r="H14396" s="1"/>
      <c r="I14396" s="1"/>
      <c r="J14396" s="1"/>
      <c r="K14396" s="1"/>
      <c r="L14396" s="1"/>
      <c r="M14396" s="1"/>
      <c r="N14396" s="1"/>
      <c r="O14396" s="1"/>
      <c r="P14396" s="1"/>
      <c r="Q14396" s="1"/>
      <c r="R14396" s="1"/>
      <c r="S14396" s="1"/>
      <c r="T14396" s="1"/>
      <c r="U14396" s="1"/>
      <c r="V14396" s="1"/>
      <c r="W14396" s="1"/>
      <c r="X14396" s="1"/>
      <c r="Y14396" s="1"/>
      <c r="Z14396" s="1"/>
      <c r="AA14396" s="1"/>
      <c r="AB14396" s="1"/>
    </row>
    <row r="14397" ht="50.25" customHeight="1">
      <c r="A14397" s="12">
        <v>14393.0</v>
      </c>
      <c r="B14397" s="13" t="s">
        <v>13537</v>
      </c>
      <c r="C14397" s="14" t="s">
        <v>13632</v>
      </c>
      <c r="D14397" s="1"/>
      <c r="E14397" s="1"/>
      <c r="F14397" s="1" t="str">
        <f>IFERROR(__xludf.DUMMYFUNCTION("GOOGLETRANSLATE(B14397, ""en"", ""fa"")
"),"موفقیت SaaS")</f>
        <v>موفقیت SaaS</v>
      </c>
      <c r="G14397" s="1" t="str">
        <f>IFERROR(__xludf.DUMMYFUNCTION("GOOGLETRANSLATE(C14397, ""en"", ""fa"")
"),"نحوه اندازه گیری و بهینه سازی رضایت مشتری SaaS")</f>
        <v>نحوه اندازه گیری و بهینه سازی رضایت مشتری SaaS</v>
      </c>
      <c r="H14397" s="1"/>
      <c r="I14397" s="1"/>
      <c r="J14397" s="1"/>
      <c r="K14397" s="1"/>
      <c r="L14397" s="1"/>
      <c r="M14397" s="1"/>
      <c r="N14397" s="1"/>
      <c r="O14397" s="1"/>
      <c r="P14397" s="1"/>
      <c r="Q14397" s="1"/>
      <c r="R14397" s="1"/>
      <c r="S14397" s="1"/>
      <c r="T14397" s="1"/>
      <c r="U14397" s="1"/>
      <c r="V14397" s="1"/>
      <c r="W14397" s="1"/>
      <c r="X14397" s="1"/>
      <c r="Y14397" s="1"/>
      <c r="Z14397" s="1"/>
      <c r="AA14397" s="1"/>
      <c r="AB14397" s="1"/>
    </row>
    <row r="14398" ht="50.25" customHeight="1">
      <c r="A14398" s="12">
        <v>14394.0</v>
      </c>
      <c r="B14398" s="13" t="s">
        <v>13537</v>
      </c>
      <c r="C14398" s="14" t="s">
        <v>13633</v>
      </c>
      <c r="D14398" s="1"/>
      <c r="E14398" s="1"/>
      <c r="F14398" s="1" t="str">
        <f>IFERROR(__xludf.DUMMYFUNCTION("GOOGLETRANSLATE(B14398, ""en"", ""fa"")
"),"موفقیت SaaS")</f>
        <v>موفقیت SaaS</v>
      </c>
      <c r="G14398" s="1" t="str">
        <f>IFERROR(__xludf.DUMMYFUNCTION("GOOGLETRANSLATE(C14398, ""en"", ""fa"")
"),"مهمترین ملاحظات برای خدمات مشتری SaaS چیست؟")</f>
        <v>مهمترین ملاحظات برای خدمات مشتری SaaS چیست؟</v>
      </c>
      <c r="H14398" s="1"/>
      <c r="I14398" s="1"/>
      <c r="J14398" s="1"/>
      <c r="K14398" s="1"/>
      <c r="L14398" s="1"/>
      <c r="M14398" s="1"/>
      <c r="N14398" s="1"/>
      <c r="O14398" s="1"/>
      <c r="P14398" s="1"/>
      <c r="Q14398" s="1"/>
      <c r="R14398" s="1"/>
      <c r="S14398" s="1"/>
      <c r="T14398" s="1"/>
      <c r="U14398" s="1"/>
      <c r="V14398" s="1"/>
      <c r="W14398" s="1"/>
      <c r="X14398" s="1"/>
      <c r="Y14398" s="1"/>
      <c r="Z14398" s="1"/>
      <c r="AA14398" s="1"/>
      <c r="AB14398" s="1"/>
    </row>
    <row r="14399" ht="50.25" customHeight="1">
      <c r="A14399" s="12">
        <v>14395.0</v>
      </c>
      <c r="B14399" s="13" t="s">
        <v>13537</v>
      </c>
      <c r="C14399" s="14" t="s">
        <v>13634</v>
      </c>
      <c r="D14399" s="1"/>
      <c r="E14399" s="1"/>
      <c r="F14399" s="1" t="str">
        <f>IFERROR(__xludf.DUMMYFUNCTION("GOOGLETRANSLATE(B14399, ""en"", ""fa"")
"),"موفقیت SaaS")</f>
        <v>موفقیت SaaS</v>
      </c>
      <c r="G14399" s="1" t="str">
        <f>IFERROR(__xludf.DUMMYFUNCTION("GOOGLETRANSLATE(C14399, ""en"", ""fa"")
"),"چگونه یک جامعه SaaS بسازیم و نگهداری کنیم")</f>
        <v>چگونه یک جامعه SaaS بسازیم و نگهداری کنیم</v>
      </c>
      <c r="H14399" s="1"/>
      <c r="I14399" s="1"/>
      <c r="J14399" s="1"/>
      <c r="K14399" s="1"/>
      <c r="L14399" s="1"/>
      <c r="M14399" s="1"/>
      <c r="N14399" s="1"/>
      <c r="O14399" s="1"/>
      <c r="P14399" s="1"/>
      <c r="Q14399" s="1"/>
      <c r="R14399" s="1"/>
      <c r="S14399" s="1"/>
      <c r="T14399" s="1"/>
      <c r="U14399" s="1"/>
      <c r="V14399" s="1"/>
      <c r="W14399" s="1"/>
      <c r="X14399" s="1"/>
      <c r="Y14399" s="1"/>
      <c r="Z14399" s="1"/>
      <c r="AA14399" s="1"/>
      <c r="AB14399" s="1"/>
    </row>
    <row r="14400" ht="50.25" customHeight="1">
      <c r="A14400" s="12">
        <v>14396.0</v>
      </c>
      <c r="B14400" s="13" t="s">
        <v>13537</v>
      </c>
      <c r="C14400" s="14" t="s">
        <v>13635</v>
      </c>
      <c r="D14400" s="1"/>
      <c r="E14400" s="1"/>
      <c r="F14400" s="1" t="str">
        <f>IFERROR(__xludf.DUMMYFUNCTION("GOOGLETRANSLATE(B14400, ""en"", ""fa"")
"),"موفقیت SaaS")</f>
        <v>موفقیت SaaS</v>
      </c>
      <c r="G14400" s="1" t="str">
        <f>IFERROR(__xludf.DUMMYFUNCTION("GOOGLETRANSLATE(C14400, ""en"", ""fa"")
"),"مهمترین ملاحظات برای حفظ و ریزش SaaS چیست؟")</f>
        <v>مهمترین ملاحظات برای حفظ و ریزش SaaS چیست؟</v>
      </c>
      <c r="H14400" s="1"/>
      <c r="I14400" s="1"/>
      <c r="J14400" s="1"/>
      <c r="K14400" s="1"/>
      <c r="L14400" s="1"/>
      <c r="M14400" s="1"/>
      <c r="N14400" s="1"/>
      <c r="O14400" s="1"/>
      <c r="P14400" s="1"/>
      <c r="Q14400" s="1"/>
      <c r="R14400" s="1"/>
      <c r="S14400" s="1"/>
      <c r="T14400" s="1"/>
      <c r="U14400" s="1"/>
      <c r="V14400" s="1"/>
      <c r="W14400" s="1"/>
      <c r="X14400" s="1"/>
      <c r="Y14400" s="1"/>
      <c r="Z14400" s="1"/>
      <c r="AA14400" s="1"/>
      <c r="AB14400" s="1"/>
    </row>
    <row r="14401" ht="50.25" customHeight="1">
      <c r="A14401" s="12">
        <v>14397.0</v>
      </c>
      <c r="B14401" s="13" t="s">
        <v>13537</v>
      </c>
      <c r="C14401" s="14" t="s">
        <v>13636</v>
      </c>
      <c r="D14401" s="1"/>
      <c r="E14401" s="1"/>
      <c r="F14401" s="1" t="str">
        <f>IFERROR(__xludf.DUMMYFUNCTION("GOOGLETRANSLATE(B14401, ""en"", ""fa"")
"),"موفقیت SaaS")</f>
        <v>موفقیت SaaS</v>
      </c>
      <c r="G14401" s="1" t="str">
        <f>IFERROR(__xludf.DUMMYFUNCTION("GOOGLETRANSLATE(C14401, ""en"", ""fa"")
"),"چگونه یک برنامه ارجاع SaaS را پیاده سازی کنیم؟")</f>
        <v>چگونه یک برنامه ارجاع SaaS را پیاده سازی کنیم؟</v>
      </c>
      <c r="H14401" s="1"/>
      <c r="I14401" s="1"/>
      <c r="J14401" s="1"/>
      <c r="K14401" s="1"/>
      <c r="L14401" s="1"/>
      <c r="M14401" s="1"/>
      <c r="N14401" s="1"/>
      <c r="O14401" s="1"/>
      <c r="P14401" s="1"/>
      <c r="Q14401" s="1"/>
      <c r="R14401" s="1"/>
      <c r="S14401" s="1"/>
      <c r="T14401" s="1"/>
      <c r="U14401" s="1"/>
      <c r="V14401" s="1"/>
      <c r="W14401" s="1"/>
      <c r="X14401" s="1"/>
      <c r="Y14401" s="1"/>
      <c r="Z14401" s="1"/>
      <c r="AA14401" s="1"/>
      <c r="AB14401" s="1"/>
    </row>
    <row r="14402" ht="50.25" customHeight="1">
      <c r="A14402" s="12">
        <v>14398.0</v>
      </c>
      <c r="B14402" s="13" t="s">
        <v>13537</v>
      </c>
      <c r="C14402" s="14" t="s">
        <v>13637</v>
      </c>
      <c r="D14402" s="1"/>
      <c r="E14402" s="1"/>
      <c r="F14402" s="1" t="str">
        <f>IFERROR(__xludf.DUMMYFUNCTION("GOOGLETRANSLATE(B14402, ""en"", ""fa"")
"),"موفقیت SaaS")</f>
        <v>موفقیت SaaS</v>
      </c>
      <c r="G14402" s="1" t="str">
        <f>IFERROR(__xludf.DUMMYFUNCTION("GOOGLETRANSLATE(C14402, ""en"", ""fa"")
"),"چگونه ارزش طول عمر مشتریان SaaS را اندازه گیری و بهینه کنیم؟")</f>
        <v>چگونه ارزش طول عمر مشتریان SaaS را اندازه گیری و بهینه کنیم؟</v>
      </c>
      <c r="H14402" s="1"/>
      <c r="I14402" s="1"/>
      <c r="J14402" s="1"/>
      <c r="K14402" s="1"/>
      <c r="L14402" s="1"/>
      <c r="M14402" s="1"/>
      <c r="N14402" s="1"/>
      <c r="O14402" s="1"/>
      <c r="P14402" s="1"/>
      <c r="Q14402" s="1"/>
      <c r="R14402" s="1"/>
      <c r="S14402" s="1"/>
      <c r="T14402" s="1"/>
      <c r="U14402" s="1"/>
      <c r="V14402" s="1"/>
      <c r="W14402" s="1"/>
      <c r="X14402" s="1"/>
      <c r="Y14402" s="1"/>
      <c r="Z14402" s="1"/>
      <c r="AA14402" s="1"/>
      <c r="AB14402" s="1"/>
    </row>
    <row r="14403" ht="50.25" customHeight="1">
      <c r="A14403" s="12">
        <v>14399.0</v>
      </c>
      <c r="B14403" s="13" t="s">
        <v>13537</v>
      </c>
      <c r="C14403" s="14" t="s">
        <v>13638</v>
      </c>
      <c r="D14403" s="1"/>
      <c r="E14403" s="1"/>
      <c r="F14403" s="1" t="str">
        <f>IFERROR(__xludf.DUMMYFUNCTION("GOOGLETRANSLATE(B14403, ""en"", ""fa"")
"),"موفقیت SaaS")</f>
        <v>موفقیت SaaS</v>
      </c>
      <c r="G14403" s="1" t="str">
        <f>IFERROR(__xludf.DUMMYFUNCTION("GOOGLETRANSLATE(C14403, ""en"", ""fa"")
"),"نقش CRM در کسب و کار SaaS چیست؟")</f>
        <v>نقش CRM در کسب و کار SaaS چیست؟</v>
      </c>
      <c r="H14403" s="1"/>
      <c r="I14403" s="1"/>
      <c r="J14403" s="1"/>
      <c r="K14403" s="1"/>
      <c r="L14403" s="1"/>
      <c r="M14403" s="1"/>
      <c r="N14403" s="1"/>
      <c r="O14403" s="1"/>
      <c r="P14403" s="1"/>
      <c r="Q14403" s="1"/>
      <c r="R14403" s="1"/>
      <c r="S14403" s="1"/>
      <c r="T14403" s="1"/>
      <c r="U14403" s="1"/>
      <c r="V14403" s="1"/>
      <c r="W14403" s="1"/>
      <c r="X14403" s="1"/>
      <c r="Y14403" s="1"/>
      <c r="Z14403" s="1"/>
      <c r="AA14403" s="1"/>
      <c r="AB14403" s="1"/>
    </row>
    <row r="14404" ht="50.25" customHeight="1">
      <c r="A14404" s="12">
        <v>14400.0</v>
      </c>
      <c r="B14404" s="13" t="s">
        <v>13537</v>
      </c>
      <c r="C14404" s="14" t="s">
        <v>13639</v>
      </c>
      <c r="D14404" s="1"/>
      <c r="E14404" s="1"/>
      <c r="F14404" s="1" t="str">
        <f>IFERROR(__xludf.DUMMYFUNCTION("GOOGLETRANSLATE(B14404, ""en"", ""fa"")
"),"موفقیت SaaS")</f>
        <v>موفقیت SaaS</v>
      </c>
      <c r="G14404" s="1" t="str">
        <f>IFERROR(__xludf.DUMMYFUNCTION("GOOGLETRANSLATE(C14404, ""en"", ""fa"")
"),"چگونه سیستم CRM مناسب را برای یک شرکت SaaS انتخاب کنیم؟")</f>
        <v>چگونه سیستم CRM مناسب را برای یک شرکت SaaS انتخاب کنیم؟</v>
      </c>
      <c r="H14404" s="1"/>
      <c r="I14404" s="1"/>
      <c r="J14404" s="1"/>
      <c r="K14404" s="1"/>
      <c r="L14404" s="1"/>
      <c r="M14404" s="1"/>
      <c r="N14404" s="1"/>
      <c r="O14404" s="1"/>
      <c r="P14404" s="1"/>
      <c r="Q14404" s="1"/>
      <c r="R14404" s="1"/>
      <c r="S14404" s="1"/>
      <c r="T14404" s="1"/>
      <c r="U14404" s="1"/>
      <c r="V14404" s="1"/>
      <c r="W14404" s="1"/>
      <c r="X14404" s="1"/>
      <c r="Y14404" s="1"/>
      <c r="Z14404" s="1"/>
      <c r="AA14404" s="1"/>
      <c r="AB14404" s="1"/>
    </row>
    <row r="14405" ht="50.25" customHeight="1">
      <c r="A14405" s="12">
        <v>14401.0</v>
      </c>
      <c r="B14405" s="13" t="s">
        <v>13537</v>
      </c>
      <c r="C14405" s="14" t="s">
        <v>13640</v>
      </c>
      <c r="D14405" s="1"/>
      <c r="E14405" s="1"/>
      <c r="F14405" s="1" t="str">
        <f>IFERROR(__xludf.DUMMYFUNCTION("GOOGLETRANSLATE(B14405, ""en"", ""fa"")
"),"موفقیت SaaS")</f>
        <v>موفقیت SaaS</v>
      </c>
      <c r="G14405" s="1" t="str">
        <f>IFERROR(__xludf.DUMMYFUNCTION("GOOGLETRANSLATE(C14405, ""en"", ""fa"")
"),"ویژگی ها و عملکردهای کلیدی یک سیستم SaaS CRM چیست؟")</f>
        <v>ویژگی ها و عملکردهای کلیدی یک سیستم SaaS CRM چیست؟</v>
      </c>
      <c r="H14405" s="1"/>
      <c r="I14405" s="1"/>
      <c r="J14405" s="1"/>
      <c r="K14405" s="1"/>
      <c r="L14405" s="1"/>
      <c r="M14405" s="1"/>
      <c r="N14405" s="1"/>
      <c r="O14405" s="1"/>
      <c r="P14405" s="1"/>
      <c r="Q14405" s="1"/>
      <c r="R14405" s="1"/>
      <c r="S14405" s="1"/>
      <c r="T14405" s="1"/>
      <c r="U14405" s="1"/>
      <c r="V14405" s="1"/>
      <c r="W14405" s="1"/>
      <c r="X14405" s="1"/>
      <c r="Y14405" s="1"/>
      <c r="Z14405" s="1"/>
      <c r="AA14405" s="1"/>
      <c r="AB14405" s="1"/>
    </row>
    <row r="14406" ht="50.25" customHeight="1">
      <c r="A14406" s="12">
        <v>14402.0</v>
      </c>
      <c r="B14406" s="13" t="s">
        <v>13537</v>
      </c>
      <c r="C14406" s="14" t="s">
        <v>13641</v>
      </c>
      <c r="D14406" s="1"/>
      <c r="E14406" s="1"/>
      <c r="F14406" s="1" t="str">
        <f>IFERROR(__xludf.DUMMYFUNCTION("GOOGLETRANSLATE(B14406, ""en"", ""fa"")
"),"موفقیت SaaS")</f>
        <v>موفقیت SaaS</v>
      </c>
      <c r="G14406" s="1" t="str">
        <f>IFERROR(__xludf.DUMMYFUNCTION("GOOGLETRANSLATE(C14406, ""en"", ""fa"")
"),"چگونه یک سیستم SaaS CRM را با فرآیندهای تجاری موجود پیاده سازی و ادغام کنیم؟")</f>
        <v>چگونه یک سیستم SaaS CRM را با فرآیندهای تجاری موجود پیاده سازی و ادغام کنیم؟</v>
      </c>
      <c r="H14406" s="1"/>
      <c r="I14406" s="1"/>
      <c r="J14406" s="1"/>
      <c r="K14406" s="1"/>
      <c r="L14406" s="1"/>
      <c r="M14406" s="1"/>
      <c r="N14406" s="1"/>
      <c r="O14406" s="1"/>
      <c r="P14406" s="1"/>
      <c r="Q14406" s="1"/>
      <c r="R14406" s="1"/>
      <c r="S14406" s="1"/>
      <c r="T14406" s="1"/>
      <c r="U14406" s="1"/>
      <c r="V14406" s="1"/>
      <c r="W14406" s="1"/>
      <c r="X14406" s="1"/>
      <c r="Y14406" s="1"/>
      <c r="Z14406" s="1"/>
      <c r="AA14406" s="1"/>
      <c r="AB14406" s="1"/>
    </row>
    <row r="14407" ht="50.25" customHeight="1">
      <c r="A14407" s="12">
        <v>14403.0</v>
      </c>
      <c r="B14407" s="13" t="s">
        <v>13537</v>
      </c>
      <c r="C14407" s="14" t="s">
        <v>13642</v>
      </c>
      <c r="D14407" s="1"/>
      <c r="E14407" s="1"/>
      <c r="F14407" s="1" t="str">
        <f>IFERROR(__xludf.DUMMYFUNCTION("GOOGLETRANSLATE(B14407, ""en"", ""fa"")
"),"موفقیت SaaS")</f>
        <v>موفقیت SaaS</v>
      </c>
      <c r="G14407" s="1" t="str">
        <f>IFERROR(__xludf.DUMMYFUNCTION("GOOGLETRANSLATE(C14407, ""en"", ""fa"")
"),"بهترین روش ها برای مدیریت داده ها و امنیت در SaaS CRM چیست؟")</f>
        <v>بهترین روش ها برای مدیریت داده ها و امنیت در SaaS CRM چیست؟</v>
      </c>
      <c r="H14407" s="1"/>
      <c r="I14407" s="1"/>
      <c r="J14407" s="1"/>
      <c r="K14407" s="1"/>
      <c r="L14407" s="1"/>
      <c r="M14407" s="1"/>
      <c r="N14407" s="1"/>
      <c r="O14407" s="1"/>
      <c r="P14407" s="1"/>
      <c r="Q14407" s="1"/>
      <c r="R14407" s="1"/>
      <c r="S14407" s="1"/>
      <c r="T14407" s="1"/>
      <c r="U14407" s="1"/>
      <c r="V14407" s="1"/>
      <c r="W14407" s="1"/>
      <c r="X14407" s="1"/>
      <c r="Y14407" s="1"/>
      <c r="Z14407" s="1"/>
      <c r="AA14407" s="1"/>
      <c r="AB14407" s="1"/>
    </row>
    <row r="14408" ht="50.25" customHeight="1">
      <c r="A14408" s="12">
        <v>14404.0</v>
      </c>
      <c r="B14408" s="13" t="s">
        <v>13537</v>
      </c>
      <c r="C14408" s="14" t="s">
        <v>13643</v>
      </c>
      <c r="D14408" s="1"/>
      <c r="E14408" s="1"/>
      <c r="F14408" s="1" t="str">
        <f>IFERROR(__xludf.DUMMYFUNCTION("GOOGLETRANSLATE(B14408, ""en"", ""fa"")
"),"موفقیت SaaS")</f>
        <v>موفقیت SaaS</v>
      </c>
      <c r="G14408" s="1" t="str">
        <f>IFERROR(__xludf.DUMMYFUNCTION("GOOGLETRANSLATE(C14408, ""en"", ""fa"")
"),"چگونه می توان عملکرد و اثربخشی یک سیستم SaaS CRM را اندازه گیری و بهینه کرد؟")</f>
        <v>چگونه می توان عملکرد و اثربخشی یک سیستم SaaS CRM را اندازه گیری و بهینه کرد؟</v>
      </c>
      <c r="H14408" s="1"/>
      <c r="I14408" s="1"/>
      <c r="J14408" s="1"/>
      <c r="K14408" s="1"/>
      <c r="L14408" s="1"/>
      <c r="M14408" s="1"/>
      <c r="N14408" s="1"/>
      <c r="O14408" s="1"/>
      <c r="P14408" s="1"/>
      <c r="Q14408" s="1"/>
      <c r="R14408" s="1"/>
      <c r="S14408" s="1"/>
      <c r="T14408" s="1"/>
      <c r="U14408" s="1"/>
      <c r="V14408" s="1"/>
      <c r="W14408" s="1"/>
      <c r="X14408" s="1"/>
      <c r="Y14408" s="1"/>
      <c r="Z14408" s="1"/>
      <c r="AA14408" s="1"/>
      <c r="AB14408" s="1"/>
    </row>
    <row r="14409" ht="50.25" customHeight="1">
      <c r="A14409" s="12">
        <v>14405.0</v>
      </c>
      <c r="B14409" s="13" t="s">
        <v>13537</v>
      </c>
      <c r="C14409" s="14" t="s">
        <v>13644</v>
      </c>
      <c r="D14409" s="1"/>
      <c r="E14409" s="1"/>
      <c r="F14409" s="1" t="str">
        <f>IFERROR(__xludf.DUMMYFUNCTION("GOOGLETRANSLATE(B14409, ""en"", ""fa"")
"),"موفقیت SaaS")</f>
        <v>موفقیت SaaS</v>
      </c>
      <c r="G14409" s="1" t="str">
        <f>IFERROR(__xludf.DUMMYFUNCTION("GOOGLETRANSLATE(C14409, ""en"", ""fa"")
"),"چگونه می توان مشتریان را در مورد مزایای استفاده از سیستم SaaS CRM درگیر کرد و آموزش داد؟")</f>
        <v>چگونه می توان مشتریان را در مورد مزایای استفاده از سیستم SaaS CRM درگیر کرد و آموزش داد؟</v>
      </c>
      <c r="H14409" s="1"/>
      <c r="I14409" s="1"/>
      <c r="J14409" s="1"/>
      <c r="K14409" s="1"/>
      <c r="L14409" s="1"/>
      <c r="M14409" s="1"/>
      <c r="N14409" s="1"/>
      <c r="O14409" s="1"/>
      <c r="P14409" s="1"/>
      <c r="Q14409" s="1"/>
      <c r="R14409" s="1"/>
      <c r="S14409" s="1"/>
      <c r="T14409" s="1"/>
      <c r="U14409" s="1"/>
      <c r="V14409" s="1"/>
      <c r="W14409" s="1"/>
      <c r="X14409" s="1"/>
      <c r="Y14409" s="1"/>
      <c r="Z14409" s="1"/>
      <c r="AA14409" s="1"/>
      <c r="AB14409" s="1"/>
    </row>
    <row r="14410" ht="50.25" customHeight="1">
      <c r="A14410" s="12">
        <v>14406.0</v>
      </c>
      <c r="B14410" s="13" t="s">
        <v>13537</v>
      </c>
      <c r="C14410" s="14" t="s">
        <v>13645</v>
      </c>
      <c r="D14410" s="1"/>
      <c r="E14410" s="1"/>
      <c r="F14410" s="1" t="str">
        <f>IFERROR(__xludf.DUMMYFUNCTION("GOOGLETRANSLATE(B14410, ""en"", ""fa"")
"),"موفقیت SaaS")</f>
        <v>موفقیت SaaS</v>
      </c>
      <c r="G14410" s="1" t="str">
        <f>IFERROR(__xludf.DUMMYFUNCTION("GOOGLETRANSLATE(C14410, ""en"", ""fa"")
"),"آخرین روندها و نوآوری ها در فناوری و راه حل های SaaS CRM چیست؟")</f>
        <v>آخرین روندها و نوآوری ها در فناوری و راه حل های SaaS CRM چیست؟</v>
      </c>
      <c r="H14410" s="1"/>
      <c r="I14410" s="1"/>
      <c r="J14410" s="1"/>
      <c r="K14410" s="1"/>
      <c r="L14410" s="1"/>
      <c r="M14410" s="1"/>
      <c r="N14410" s="1"/>
      <c r="O14410" s="1"/>
      <c r="P14410" s="1"/>
      <c r="Q14410" s="1"/>
      <c r="R14410" s="1"/>
      <c r="S14410" s="1"/>
      <c r="T14410" s="1"/>
      <c r="U14410" s="1"/>
      <c r="V14410" s="1"/>
      <c r="W14410" s="1"/>
      <c r="X14410" s="1"/>
      <c r="Y14410" s="1"/>
      <c r="Z14410" s="1"/>
      <c r="AA14410" s="1"/>
      <c r="AB14410" s="1"/>
    </row>
    <row r="14411" ht="50.25" customHeight="1">
      <c r="A14411" s="12">
        <v>14407.0</v>
      </c>
      <c r="B14411" s="13" t="s">
        <v>13537</v>
      </c>
      <c r="C14411" s="14" t="s">
        <v>13646</v>
      </c>
      <c r="D14411" s="1"/>
      <c r="E14411" s="1"/>
      <c r="F14411" s="1" t="str">
        <f>IFERROR(__xludf.DUMMYFUNCTION("GOOGLETRANSLATE(B14411, ""en"", ""fa"")
"),"موفقیت SaaS")</f>
        <v>موفقیت SaaS</v>
      </c>
      <c r="G14411" s="1" t="str">
        <f>IFERROR(__xludf.DUMMYFUNCTION("GOOGLETRANSLATE(C14411, ""en"", ""fa"")
"),"چگونه می توان روابط مشتری را از طریق تجزیه و تحلیل و گزارش SaaS CRM مدیریت و رشد داد؟")</f>
        <v>چگونه می توان روابط مشتری را از طریق تجزیه و تحلیل و گزارش SaaS CRM مدیریت و رشد داد؟</v>
      </c>
      <c r="H14411" s="1"/>
      <c r="I14411" s="1"/>
      <c r="J14411" s="1"/>
      <c r="K14411" s="1"/>
      <c r="L14411" s="1"/>
      <c r="M14411" s="1"/>
      <c r="N14411" s="1"/>
      <c r="O14411" s="1"/>
      <c r="P14411" s="1"/>
      <c r="Q14411" s="1"/>
      <c r="R14411" s="1"/>
      <c r="S14411" s="1"/>
      <c r="T14411" s="1"/>
      <c r="U14411" s="1"/>
      <c r="V14411" s="1"/>
      <c r="W14411" s="1"/>
      <c r="X14411" s="1"/>
      <c r="Y14411" s="1"/>
      <c r="Z14411" s="1"/>
      <c r="AA14411" s="1"/>
      <c r="AB14411" s="1"/>
    </row>
    <row r="14412" ht="50.25" customHeight="1">
      <c r="A14412" s="12">
        <v>14408.0</v>
      </c>
      <c r="B14412" s="13" t="s">
        <v>13537</v>
      </c>
      <c r="C14412" s="14" t="s">
        <v>13647</v>
      </c>
      <c r="D14412" s="1"/>
      <c r="E14412" s="1"/>
      <c r="F14412" s="1" t="str">
        <f>IFERROR(__xludf.DUMMYFUNCTION("GOOGLETRANSLATE(B14412, ""en"", ""fa"")
"),"موفقیت SaaS")</f>
        <v>موفقیت SaaS</v>
      </c>
      <c r="G14412" s="1" t="str">
        <f>IFERROR(__xludf.DUMMYFUNCTION("GOOGLETRANSLATE(C14412, ""en"", ""fa"")
"),"چگونه از طریق SaaS CRM نقشه های سفر مشتری و نقاط تماس را طراحی و پیاده سازی کنیم؟")</f>
        <v>چگونه از طریق SaaS CRM نقشه های سفر مشتری و نقاط تماس را طراحی و پیاده سازی کنیم؟</v>
      </c>
      <c r="H14412" s="1"/>
      <c r="I14412" s="1"/>
      <c r="J14412" s="1"/>
      <c r="K14412" s="1"/>
      <c r="L14412" s="1"/>
      <c r="M14412" s="1"/>
      <c r="N14412" s="1"/>
      <c r="O14412" s="1"/>
      <c r="P14412" s="1"/>
      <c r="Q14412" s="1"/>
      <c r="R14412" s="1"/>
      <c r="S14412" s="1"/>
      <c r="T14412" s="1"/>
      <c r="U14412" s="1"/>
      <c r="V14412" s="1"/>
      <c r="W14412" s="1"/>
      <c r="X14412" s="1"/>
      <c r="Y14412" s="1"/>
      <c r="Z14412" s="1"/>
      <c r="AA14412" s="1"/>
      <c r="AB14412" s="1"/>
    </row>
    <row r="14413" ht="50.25" customHeight="1">
      <c r="A14413" s="12">
        <v>14409.0</v>
      </c>
      <c r="B14413" s="13" t="s">
        <v>13537</v>
      </c>
      <c r="C14413" s="14" t="s">
        <v>13648</v>
      </c>
      <c r="D14413" s="1"/>
      <c r="E14413" s="1"/>
      <c r="F14413" s="1" t="str">
        <f>IFERROR(__xludf.DUMMYFUNCTION("GOOGLETRANSLATE(B14413, ""en"", ""fa"")
"),"موفقیت SaaS")</f>
        <v>موفقیت SaaS</v>
      </c>
      <c r="G14413" s="1" t="str">
        <f>IFERROR(__xludf.DUMMYFUNCTION("GOOGLETRANSLATE(C14413, ""en"", ""fa"")
"),"چگونه از SaaS CRM برای شخصی سازی و بهینه سازی تعاملات و تجربیات مشتری استفاده کنیم؟")</f>
        <v>چگونه از SaaS CRM برای شخصی سازی و بهینه سازی تعاملات و تجربیات مشتری استفاده کنیم؟</v>
      </c>
      <c r="H14413" s="1"/>
      <c r="I14413" s="1"/>
      <c r="J14413" s="1"/>
      <c r="K14413" s="1"/>
      <c r="L14413" s="1"/>
      <c r="M14413" s="1"/>
      <c r="N14413" s="1"/>
      <c r="O14413" s="1"/>
      <c r="P14413" s="1"/>
      <c r="Q14413" s="1"/>
      <c r="R14413" s="1"/>
      <c r="S14413" s="1"/>
      <c r="T14413" s="1"/>
      <c r="U14413" s="1"/>
      <c r="V14413" s="1"/>
      <c r="W14413" s="1"/>
      <c r="X14413" s="1"/>
      <c r="Y14413" s="1"/>
      <c r="Z14413" s="1"/>
      <c r="AA14413" s="1"/>
      <c r="AB14413" s="1"/>
    </row>
    <row r="14414" ht="50.25" customHeight="1">
      <c r="A14414" s="12">
        <v>14410.0</v>
      </c>
      <c r="B14414" s="13" t="s">
        <v>13537</v>
      </c>
      <c r="C14414" s="14" t="s">
        <v>13649</v>
      </c>
      <c r="D14414" s="1"/>
      <c r="E14414" s="1"/>
      <c r="F14414" s="1" t="str">
        <f>IFERROR(__xludf.DUMMYFUNCTION("GOOGLETRANSLATE(B14414, ""en"", ""fa"")
"),"موفقیت SaaS")</f>
        <v>موفقیت SaaS</v>
      </c>
      <c r="G14414" s="1" t="str">
        <f>IFERROR(__xludf.DUMMYFUNCTION("GOOGLETRANSLATE(C14414, ""en"", ""fa"")
"),"چگونه از SaaS CRM برای ساده سازی و خودکارسازی فرآیندهای خدمات مشتری و پشتیبانی استفاده کنیم؟")</f>
        <v>چگونه از SaaS CRM برای ساده سازی و خودکارسازی فرآیندهای خدمات مشتری و پشتیبانی استفاده کنیم؟</v>
      </c>
      <c r="H14414" s="1"/>
      <c r="I14414" s="1"/>
      <c r="J14414" s="1"/>
      <c r="K14414" s="1"/>
      <c r="L14414" s="1"/>
      <c r="M14414" s="1"/>
      <c r="N14414" s="1"/>
      <c r="O14414" s="1"/>
      <c r="P14414" s="1"/>
      <c r="Q14414" s="1"/>
      <c r="R14414" s="1"/>
      <c r="S14414" s="1"/>
      <c r="T14414" s="1"/>
      <c r="U14414" s="1"/>
      <c r="V14414" s="1"/>
      <c r="W14414" s="1"/>
      <c r="X14414" s="1"/>
      <c r="Y14414" s="1"/>
      <c r="Z14414" s="1"/>
      <c r="AA14414" s="1"/>
      <c r="AB14414" s="1"/>
    </row>
    <row r="14415" ht="50.25" customHeight="1">
      <c r="A14415" s="12">
        <v>14411.0</v>
      </c>
      <c r="B14415" s="13" t="s">
        <v>13537</v>
      </c>
      <c r="C14415" s="14" t="s">
        <v>13650</v>
      </c>
      <c r="D14415" s="1"/>
      <c r="E14415" s="1"/>
      <c r="F14415" s="1" t="str">
        <f>IFERROR(__xludf.DUMMYFUNCTION("GOOGLETRANSLATE(B14415, ""en"", ""fa"")
"),"موفقیت SaaS")</f>
        <v>موفقیت SaaS</v>
      </c>
      <c r="G14415" s="1" t="str">
        <f>IFERROR(__xludf.DUMMYFUNCTION("GOOGLETRANSLATE(C14415, ""en"", ""fa"")
"),"چگونه از SaaS CRM برای افزایش وفاداری و حفظ مشتری از طریق ارتباطات هدفمند و مرتبط استفاده کنیم؟")</f>
        <v>چگونه از SaaS CRM برای افزایش وفاداری و حفظ مشتری از طریق ارتباطات هدفمند و مرتبط استفاده کنیم؟</v>
      </c>
      <c r="H14415" s="1"/>
      <c r="I14415" s="1"/>
      <c r="J14415" s="1"/>
      <c r="K14415" s="1"/>
      <c r="L14415" s="1"/>
      <c r="M14415" s="1"/>
      <c r="N14415" s="1"/>
      <c r="O14415" s="1"/>
      <c r="P14415" s="1"/>
      <c r="Q14415" s="1"/>
      <c r="R14415" s="1"/>
      <c r="S14415" s="1"/>
      <c r="T14415" s="1"/>
      <c r="U14415" s="1"/>
      <c r="V14415" s="1"/>
      <c r="W14415" s="1"/>
      <c r="X14415" s="1"/>
      <c r="Y14415" s="1"/>
      <c r="Z14415" s="1"/>
      <c r="AA14415" s="1"/>
      <c r="AB14415" s="1"/>
    </row>
    <row r="14416" ht="50.25" customHeight="1">
      <c r="A14416" s="12">
        <v>14412.0</v>
      </c>
      <c r="B14416" s="13" t="s">
        <v>13537</v>
      </c>
      <c r="C14416" s="14" t="s">
        <v>13651</v>
      </c>
      <c r="D14416" s="1"/>
      <c r="E14416" s="1"/>
      <c r="F14416" s="1" t="str">
        <f>IFERROR(__xludf.DUMMYFUNCTION("GOOGLETRANSLATE(B14416, ""en"", ""fa"")
"),"موفقیت SaaS")</f>
        <v>موفقیت SaaS</v>
      </c>
      <c r="G14416" s="1" t="str">
        <f>IFERROR(__xludf.DUMMYFUNCTION("GOOGLETRANSLATE(C14416, ""en"", ""fa"")
"),"چگونه از SaaS CRM برای هدایت رشد و گسترش مشتری از طریق فرصت‌های فروش متقابل و افزایش فروش استفاده کنیم؟")</f>
        <v>چگونه از SaaS CRM برای هدایت رشد و گسترش مشتری از طریق فرصت‌های فروش متقابل و افزایش فروش استفاده کنیم؟</v>
      </c>
      <c r="H14416" s="1"/>
      <c r="I14416" s="1"/>
      <c r="J14416" s="1"/>
      <c r="K14416" s="1"/>
      <c r="L14416" s="1"/>
      <c r="M14416" s="1"/>
      <c r="N14416" s="1"/>
      <c r="O14416" s="1"/>
      <c r="P14416" s="1"/>
      <c r="Q14416" s="1"/>
      <c r="R14416" s="1"/>
      <c r="S14416" s="1"/>
      <c r="T14416" s="1"/>
      <c r="U14416" s="1"/>
      <c r="V14416" s="1"/>
      <c r="W14416" s="1"/>
      <c r="X14416" s="1"/>
      <c r="Y14416" s="1"/>
      <c r="Z14416" s="1"/>
      <c r="AA14416" s="1"/>
      <c r="AB14416" s="1"/>
    </row>
    <row r="14417" ht="50.25" customHeight="1">
      <c r="A14417" s="12">
        <v>14413.0</v>
      </c>
      <c r="B14417" s="13" t="s">
        <v>13537</v>
      </c>
      <c r="C14417" s="14" t="s">
        <v>13652</v>
      </c>
      <c r="D14417" s="1"/>
      <c r="E14417" s="1"/>
      <c r="F14417" s="1" t="str">
        <f>IFERROR(__xludf.DUMMYFUNCTION("GOOGLETRANSLATE(B14417, ""en"", ""fa"")
"),"موفقیت SaaS")</f>
        <v>موفقیت SaaS</v>
      </c>
      <c r="G14417" s="1" t="str">
        <f>IFERROR(__xludf.DUMMYFUNCTION("GOOGLETRANSLATE(C14417, ""en"", ""fa"")
"),"چگونه از SaaS CRM برای اندازه گیری و گزارش ارزش طول عمر مشتری و بازگشت سرمایه استفاده کنیم؟")</f>
        <v>چگونه از SaaS CRM برای اندازه گیری و گزارش ارزش طول عمر مشتری و بازگشت سرمایه استفاده کنیم؟</v>
      </c>
      <c r="H14417" s="1"/>
      <c r="I14417" s="1"/>
      <c r="J14417" s="1"/>
      <c r="K14417" s="1"/>
      <c r="L14417" s="1"/>
      <c r="M14417" s="1"/>
      <c r="N14417" s="1"/>
      <c r="O14417" s="1"/>
      <c r="P14417" s="1"/>
      <c r="Q14417" s="1"/>
      <c r="R14417" s="1"/>
      <c r="S14417" s="1"/>
      <c r="T14417" s="1"/>
      <c r="U14417" s="1"/>
      <c r="V14417" s="1"/>
      <c r="W14417" s="1"/>
      <c r="X14417" s="1"/>
      <c r="Y14417" s="1"/>
      <c r="Z14417" s="1"/>
      <c r="AA14417" s="1"/>
      <c r="AB14417" s="1"/>
    </row>
    <row r="14418" ht="50.25" customHeight="1">
      <c r="A14418" s="12">
        <v>14414.0</v>
      </c>
      <c r="B14418" s="13" t="s">
        <v>13537</v>
      </c>
      <c r="C14418" s="14" t="s">
        <v>13653</v>
      </c>
      <c r="D14418" s="1"/>
      <c r="E14418" s="1"/>
      <c r="F14418" s="1" t="str">
        <f>IFERROR(__xludf.DUMMYFUNCTION("GOOGLETRANSLATE(B14418, ""en"", ""fa"")
"),"موفقیت SaaS")</f>
        <v>موفقیت SaaS</v>
      </c>
      <c r="G14418" s="1" t="str">
        <f>IFERROR(__xludf.DUMMYFUNCTION("GOOGLETRANSLATE(C14418, ""en"", ""fa"")
"),"چگونه از SaaS CRM برای مدیریت و تجزیه و تحلیل بازخوردها و شکایات مشتریان استفاده کنیم؟")</f>
        <v>چگونه از SaaS CRM برای مدیریت و تجزیه و تحلیل بازخوردها و شکایات مشتریان استفاده کنیم؟</v>
      </c>
      <c r="H14418" s="1"/>
      <c r="I14418" s="1"/>
      <c r="J14418" s="1"/>
      <c r="K14418" s="1"/>
      <c r="L14418" s="1"/>
      <c r="M14418" s="1"/>
      <c r="N14418" s="1"/>
      <c r="O14418" s="1"/>
      <c r="P14418" s="1"/>
      <c r="Q14418" s="1"/>
      <c r="R14418" s="1"/>
      <c r="S14418" s="1"/>
      <c r="T14418" s="1"/>
      <c r="U14418" s="1"/>
      <c r="V14418" s="1"/>
      <c r="W14418" s="1"/>
      <c r="X14418" s="1"/>
      <c r="Y14418" s="1"/>
      <c r="Z14418" s="1"/>
      <c r="AA14418" s="1"/>
      <c r="AB14418" s="1"/>
    </row>
    <row r="14419" ht="50.25" customHeight="1">
      <c r="A14419" s="12">
        <v>14415.0</v>
      </c>
      <c r="B14419" s="13" t="s">
        <v>13537</v>
      </c>
      <c r="C14419" s="14" t="s">
        <v>13654</v>
      </c>
      <c r="D14419" s="1"/>
      <c r="E14419" s="1"/>
      <c r="F14419" s="1" t="str">
        <f>IFERROR(__xludf.DUMMYFUNCTION("GOOGLETRANSLATE(B14419, ""en"", ""fa"")
"),"موفقیت SaaS")</f>
        <v>موفقیت SaaS</v>
      </c>
      <c r="G14419" s="1" t="str">
        <f>IFERROR(__xludf.DUMMYFUNCTION("GOOGLETRANSLATE(C14419, ""en"", ""fa"")
"),"چگونه می توان از SaaS CRM برای خودکارسازی و بهینه سازی تولید سرنخ و فرآیندهای صلاحیت استفاده کرد؟")</f>
        <v>چگونه می توان از SaaS CRM برای خودکارسازی و بهینه سازی تولید سرنخ و فرآیندهای صلاحیت استفاده کرد؟</v>
      </c>
      <c r="H14419" s="1"/>
      <c r="I14419" s="1"/>
      <c r="J14419" s="1"/>
      <c r="K14419" s="1"/>
      <c r="L14419" s="1"/>
      <c r="M14419" s="1"/>
      <c r="N14419" s="1"/>
      <c r="O14419" s="1"/>
      <c r="P14419" s="1"/>
      <c r="Q14419" s="1"/>
      <c r="R14419" s="1"/>
      <c r="S14419" s="1"/>
      <c r="T14419" s="1"/>
      <c r="U14419" s="1"/>
      <c r="V14419" s="1"/>
      <c r="W14419" s="1"/>
      <c r="X14419" s="1"/>
      <c r="Y14419" s="1"/>
      <c r="Z14419" s="1"/>
      <c r="AA14419" s="1"/>
      <c r="AB14419" s="1"/>
    </row>
    <row r="14420" ht="50.25" customHeight="1">
      <c r="A14420" s="12">
        <v>14416.0</v>
      </c>
      <c r="B14420" s="13" t="s">
        <v>13537</v>
      </c>
      <c r="C14420" s="14" t="s">
        <v>13655</v>
      </c>
      <c r="D14420" s="1"/>
      <c r="E14420" s="1"/>
      <c r="F14420" s="1" t="str">
        <f>IFERROR(__xludf.DUMMYFUNCTION("GOOGLETRANSLATE(B14420, ""en"", ""fa"")
"),"موفقیت SaaS")</f>
        <v>موفقیت SaaS</v>
      </c>
      <c r="G14420" s="1" t="str">
        <f>IFERROR(__xludf.DUMMYFUNCTION("GOOGLETRANSLATE(C14420, ""en"", ""fa"")
"),"چگونه از SaaS CRM برای ردیابی و اندازه گیری میزان جذب مشتری و نرخ تبدیل استفاده کنیم؟")</f>
        <v>چگونه از SaaS CRM برای ردیابی و اندازه گیری میزان جذب مشتری و نرخ تبدیل استفاده کنیم؟</v>
      </c>
      <c r="H14420" s="1"/>
      <c r="I14420" s="1"/>
      <c r="J14420" s="1"/>
      <c r="K14420" s="1"/>
      <c r="L14420" s="1"/>
      <c r="M14420" s="1"/>
      <c r="N14420" s="1"/>
      <c r="O14420" s="1"/>
      <c r="P14420" s="1"/>
      <c r="Q14420" s="1"/>
      <c r="R14420" s="1"/>
      <c r="S14420" s="1"/>
      <c r="T14420" s="1"/>
      <c r="U14420" s="1"/>
      <c r="V14420" s="1"/>
      <c r="W14420" s="1"/>
      <c r="X14420" s="1"/>
      <c r="Y14420" s="1"/>
      <c r="Z14420" s="1"/>
      <c r="AA14420" s="1"/>
      <c r="AB14420" s="1"/>
    </row>
    <row r="14421" ht="50.25" customHeight="1">
      <c r="A14421" s="12">
        <v>14417.0</v>
      </c>
      <c r="B14421" s="13" t="s">
        <v>13537</v>
      </c>
      <c r="C14421" s="14" t="s">
        <v>13656</v>
      </c>
      <c r="D14421" s="1"/>
      <c r="E14421" s="1"/>
      <c r="F14421" s="1" t="str">
        <f>IFERROR(__xludf.DUMMYFUNCTION("GOOGLETRANSLATE(B14421, ""en"", ""fa"")
"),"موفقیت SaaS")</f>
        <v>موفقیت SaaS</v>
      </c>
      <c r="G14421" s="1" t="str">
        <f>IFERROR(__xludf.DUMMYFUNCTION("GOOGLETRANSLATE(C14421, ""en"", ""fa"")
"),"چگونه می توان از SaaS CRM برای بهبود و مقیاس پذیری فرآیندهای حضور و آموزش مشتری استفاده کرد؟")</f>
        <v>چگونه می توان از SaaS CRM برای بهبود و مقیاس پذیری فرآیندهای حضور و آموزش مشتری استفاده کرد؟</v>
      </c>
      <c r="H14421" s="1"/>
      <c r="I14421" s="1"/>
      <c r="J14421" s="1"/>
      <c r="K14421" s="1"/>
      <c r="L14421" s="1"/>
      <c r="M14421" s="1"/>
      <c r="N14421" s="1"/>
      <c r="O14421" s="1"/>
      <c r="P14421" s="1"/>
      <c r="Q14421" s="1"/>
      <c r="R14421" s="1"/>
      <c r="S14421" s="1"/>
      <c r="T14421" s="1"/>
      <c r="U14421" s="1"/>
      <c r="V14421" s="1"/>
      <c r="W14421" s="1"/>
      <c r="X14421" s="1"/>
      <c r="Y14421" s="1"/>
      <c r="Z14421" s="1"/>
      <c r="AA14421" s="1"/>
      <c r="AB14421" s="1"/>
    </row>
    <row r="14422" ht="50.25" customHeight="1">
      <c r="A14422" s="12">
        <v>14418.0</v>
      </c>
      <c r="B14422" s="13" t="s">
        <v>13537</v>
      </c>
      <c r="C14422" s="14" t="s">
        <v>13657</v>
      </c>
      <c r="D14422" s="1"/>
      <c r="E14422" s="1"/>
      <c r="F14422" s="1" t="str">
        <f>IFERROR(__xludf.DUMMYFUNCTION("GOOGLETRANSLATE(B14422, ""en"", ""fa"")
"),"موفقیت SaaS")</f>
        <v>موفقیت SaaS</v>
      </c>
      <c r="G14422" s="1" t="str">
        <f>IFERROR(__xludf.DUMMYFUNCTION("GOOGLETRANSLATE(C14422, ""en"", ""fa"")
"),"چگونه از SaaS CRM برای مدیریت و ردیابی قراردادها و تمدید مشتریان استفاده کنیم؟")</f>
        <v>چگونه از SaaS CRM برای مدیریت و ردیابی قراردادها و تمدید مشتریان استفاده کنیم؟</v>
      </c>
      <c r="H14422" s="1"/>
      <c r="I14422" s="1"/>
      <c r="J14422" s="1"/>
      <c r="K14422" s="1"/>
      <c r="L14422" s="1"/>
      <c r="M14422" s="1"/>
      <c r="N14422" s="1"/>
      <c r="O14422" s="1"/>
      <c r="P14422" s="1"/>
      <c r="Q14422" s="1"/>
      <c r="R14422" s="1"/>
      <c r="S14422" s="1"/>
      <c r="T14422" s="1"/>
      <c r="U14422" s="1"/>
      <c r="V14422" s="1"/>
      <c r="W14422" s="1"/>
      <c r="X14422" s="1"/>
      <c r="Y14422" s="1"/>
      <c r="Z14422" s="1"/>
      <c r="AA14422" s="1"/>
      <c r="AB14422" s="1"/>
    </row>
    <row r="14423" ht="50.25" customHeight="1">
      <c r="A14423" s="12">
        <v>14419.0</v>
      </c>
      <c r="B14423" s="13" t="s">
        <v>13537</v>
      </c>
      <c r="C14423" s="14" t="s">
        <v>13658</v>
      </c>
      <c r="D14423" s="1"/>
      <c r="E14423" s="1"/>
      <c r="F14423" s="1" t="str">
        <f>IFERROR(__xludf.DUMMYFUNCTION("GOOGLETRANSLATE(B14423, ""en"", ""fa"")
"),"موفقیت SaaS")</f>
        <v>موفقیت SaaS</v>
      </c>
      <c r="G14423" s="1" t="str">
        <f>IFERROR(__xludf.DUMMYFUNCTION("GOOGLETRANSLATE(C14423, ""en"", ""fa"")
"),"چگونه از SaaS CRM برای مدیریت و تجزیه و تحلیل داده ها و بینش مشتری برای تصمیم گیری آگاهانه استفاده کنیم؟")</f>
        <v>چگونه از SaaS CRM برای مدیریت و تجزیه و تحلیل داده ها و بینش مشتری برای تصمیم گیری آگاهانه استفاده کنیم؟</v>
      </c>
      <c r="H14423" s="1"/>
      <c r="I14423" s="1"/>
      <c r="J14423" s="1"/>
      <c r="K14423" s="1"/>
      <c r="L14423" s="1"/>
      <c r="M14423" s="1"/>
      <c r="N14423" s="1"/>
      <c r="O14423" s="1"/>
      <c r="P14423" s="1"/>
      <c r="Q14423" s="1"/>
      <c r="R14423" s="1"/>
      <c r="S14423" s="1"/>
      <c r="T14423" s="1"/>
      <c r="U14423" s="1"/>
      <c r="V14423" s="1"/>
      <c r="W14423" s="1"/>
      <c r="X14423" s="1"/>
      <c r="Y14423" s="1"/>
      <c r="Z14423" s="1"/>
      <c r="AA14423" s="1"/>
      <c r="AB14423" s="1"/>
    </row>
    <row r="14424" ht="50.25" customHeight="1">
      <c r="A14424" s="12">
        <v>14420.0</v>
      </c>
      <c r="B14424" s="13" t="s">
        <v>13537</v>
      </c>
      <c r="C14424" s="14" t="s">
        <v>13659</v>
      </c>
      <c r="D14424" s="1"/>
      <c r="E14424" s="1"/>
      <c r="F14424" s="1" t="str">
        <f>IFERROR(__xludf.DUMMYFUNCTION("GOOGLETRANSLATE(B14424, ""en"", ""fa"")
"),"موفقیت SaaS")</f>
        <v>موفقیت SaaS</v>
      </c>
      <c r="G14424" s="1" t="str">
        <f>IFERROR(__xludf.DUMMYFUNCTION("GOOGLETRANSLATE(C14424, ""en"", ""fa"")
"),"چگونه از SaaS CRM برای خودکارسازی و بهینه سازی فرآیندهای صورتحساب و صورتحساب مشتری استفاده کنیم؟")</f>
        <v>چگونه از SaaS CRM برای خودکارسازی و بهینه سازی فرآیندهای صورتحساب و صورتحساب مشتری استفاده کنیم؟</v>
      </c>
      <c r="H14424" s="1"/>
      <c r="I14424" s="1"/>
      <c r="J14424" s="1"/>
      <c r="K14424" s="1"/>
      <c r="L14424" s="1"/>
      <c r="M14424" s="1"/>
      <c r="N14424" s="1"/>
      <c r="O14424" s="1"/>
      <c r="P14424" s="1"/>
      <c r="Q14424" s="1"/>
      <c r="R14424" s="1"/>
      <c r="S14424" s="1"/>
      <c r="T14424" s="1"/>
      <c r="U14424" s="1"/>
      <c r="V14424" s="1"/>
      <c r="W14424" s="1"/>
      <c r="X14424" s="1"/>
      <c r="Y14424" s="1"/>
      <c r="Z14424" s="1"/>
      <c r="AA14424" s="1"/>
      <c r="AB14424" s="1"/>
    </row>
    <row r="14425" ht="50.25" customHeight="1">
      <c r="A14425" s="12">
        <v>14421.0</v>
      </c>
      <c r="B14425" s="13" t="s">
        <v>13537</v>
      </c>
      <c r="C14425" s="14" t="s">
        <v>13660</v>
      </c>
      <c r="D14425" s="1"/>
      <c r="E14425" s="1"/>
      <c r="F14425" s="1" t="str">
        <f>IFERROR(__xludf.DUMMYFUNCTION("GOOGLETRANSLATE(B14425, ""en"", ""fa"")
"),"موفقیت SaaS")</f>
        <v>موفقیت SaaS</v>
      </c>
      <c r="G14425" s="1" t="str">
        <f>IFERROR(__xludf.DUMMYFUNCTION("GOOGLETRANSLATE(C14425, ""en"", ""fa"")
"),"چگونه از SaaS CRM برای بهبود و مدیریت روابط با مشتری از طریق گیمیفیکیشن و پاداش استفاده کنیم؟")</f>
        <v>چگونه از SaaS CRM برای بهبود و مدیریت روابط با مشتری از طریق گیمیفیکیشن و پاداش استفاده کنیم؟</v>
      </c>
      <c r="H14425" s="1"/>
      <c r="I14425" s="1"/>
      <c r="J14425" s="1"/>
      <c r="K14425" s="1"/>
      <c r="L14425" s="1"/>
      <c r="M14425" s="1"/>
      <c r="N14425" s="1"/>
      <c r="O14425" s="1"/>
      <c r="P14425" s="1"/>
      <c r="Q14425" s="1"/>
      <c r="R14425" s="1"/>
      <c r="S14425" s="1"/>
      <c r="T14425" s="1"/>
      <c r="U14425" s="1"/>
      <c r="V14425" s="1"/>
      <c r="W14425" s="1"/>
      <c r="X14425" s="1"/>
      <c r="Y14425" s="1"/>
      <c r="Z14425" s="1"/>
      <c r="AA14425" s="1"/>
      <c r="AB14425" s="1"/>
    </row>
    <row r="14426" ht="50.25" customHeight="1">
      <c r="A14426" s="12">
        <v>14422.0</v>
      </c>
      <c r="B14426" s="13" t="s">
        <v>13537</v>
      </c>
      <c r="C14426" s="14" t="s">
        <v>13661</v>
      </c>
      <c r="D14426" s="1"/>
      <c r="E14426" s="1"/>
      <c r="F14426" s="1" t="str">
        <f>IFERROR(__xludf.DUMMYFUNCTION("GOOGLETRANSLATE(B14426, ""en"", ""fa"")
"),"موفقیت SaaS")</f>
        <v>موفقیت SaaS</v>
      </c>
      <c r="G14426" s="1" t="str">
        <f>IFERROR(__xludf.DUMMYFUNCTION("GOOGLETRANSLATE(C14426, ""en"", ""fa"")
"),"چگونه از SaaS CRM برای مدیریت و بهینه سازی سفرهای مشتری از طریق بازاریابی چند کاناله و همه کاناله استفاده کنیم؟")</f>
        <v>چگونه از SaaS CRM برای مدیریت و بهینه سازی سفرهای مشتری از طریق بازاریابی چند کاناله و همه کاناله استفاده کنیم؟</v>
      </c>
      <c r="H14426" s="1"/>
      <c r="I14426" s="1"/>
      <c r="J14426" s="1"/>
      <c r="K14426" s="1"/>
      <c r="L14426" s="1"/>
      <c r="M14426" s="1"/>
      <c r="N14426" s="1"/>
      <c r="O14426" s="1"/>
      <c r="P14426" s="1"/>
      <c r="Q14426" s="1"/>
      <c r="R14426" s="1"/>
      <c r="S14426" s="1"/>
      <c r="T14426" s="1"/>
      <c r="U14426" s="1"/>
      <c r="V14426" s="1"/>
      <c r="W14426" s="1"/>
      <c r="X14426" s="1"/>
      <c r="Y14426" s="1"/>
      <c r="Z14426" s="1"/>
      <c r="AA14426" s="1"/>
      <c r="AB14426" s="1"/>
    </row>
    <row r="14427" ht="50.25" customHeight="1">
      <c r="A14427" s="12">
        <v>14423.0</v>
      </c>
      <c r="B14427" s="13" t="s">
        <v>13537</v>
      </c>
      <c r="C14427" s="14" t="s">
        <v>13662</v>
      </c>
      <c r="D14427" s="1"/>
      <c r="E14427" s="1"/>
      <c r="F14427" s="1" t="str">
        <f>IFERROR(__xludf.DUMMYFUNCTION("GOOGLETRANSLATE(B14427, ""en"", ""fa"")
"),"موفقیت SaaS")</f>
        <v>موفقیت SaaS</v>
      </c>
      <c r="G14427" s="1" t="str">
        <f>IFERROR(__xludf.DUMMYFUNCTION("GOOGLETRANSLATE(C14427, ""en"", ""fa"")
"),"چگونه می توان از SaaS CRM برای بهبود و خودکارسازی برنامه های ارجاع و حمایت از مشتری استفاده کرد؟")</f>
        <v>چگونه می توان از SaaS CRM برای بهبود و خودکارسازی برنامه های ارجاع و حمایت از مشتری استفاده کرد؟</v>
      </c>
      <c r="H14427" s="1"/>
      <c r="I14427" s="1"/>
      <c r="J14427" s="1"/>
      <c r="K14427" s="1"/>
      <c r="L14427" s="1"/>
      <c r="M14427" s="1"/>
      <c r="N14427" s="1"/>
      <c r="O14427" s="1"/>
      <c r="P14427" s="1"/>
      <c r="Q14427" s="1"/>
      <c r="R14427" s="1"/>
      <c r="S14427" s="1"/>
      <c r="T14427" s="1"/>
      <c r="U14427" s="1"/>
      <c r="V14427" s="1"/>
      <c r="W14427" s="1"/>
      <c r="X14427" s="1"/>
      <c r="Y14427" s="1"/>
      <c r="Z14427" s="1"/>
      <c r="AA14427" s="1"/>
      <c r="AB14427" s="1"/>
    </row>
    <row r="14428" ht="50.25" customHeight="1">
      <c r="A14428" s="12">
        <v>14424.0</v>
      </c>
      <c r="B14428" s="13" t="s">
        <v>13537</v>
      </c>
      <c r="C14428" s="14" t="s">
        <v>13663</v>
      </c>
      <c r="D14428" s="1"/>
      <c r="E14428" s="1"/>
      <c r="F14428" s="1" t="str">
        <f>IFERROR(__xludf.DUMMYFUNCTION("GOOGLETRANSLATE(B14428, ""en"", ""fa"")
"),"موفقیت SaaS")</f>
        <v>موفقیت SaaS</v>
      </c>
      <c r="G14428" s="1" t="str">
        <f>IFERROR(__xludf.DUMMYFUNCTION("GOOGLETRANSLATE(C14428, ""en"", ""fa"")
"),"چگونه از SaaS CRM برای مدیریت و بهبود رضایت مشتری و امتیازات NPS استفاده کنیم؟")</f>
        <v>چگونه از SaaS CRM برای مدیریت و بهبود رضایت مشتری و امتیازات NPS استفاده کنیم؟</v>
      </c>
      <c r="H14428" s="1"/>
      <c r="I14428" s="1"/>
      <c r="J14428" s="1"/>
      <c r="K14428" s="1"/>
      <c r="L14428" s="1"/>
      <c r="M14428" s="1"/>
      <c r="N14428" s="1"/>
      <c r="O14428" s="1"/>
      <c r="P14428" s="1"/>
      <c r="Q14428" s="1"/>
      <c r="R14428" s="1"/>
      <c r="S14428" s="1"/>
      <c r="T14428" s="1"/>
      <c r="U14428" s="1"/>
      <c r="V14428" s="1"/>
      <c r="W14428" s="1"/>
      <c r="X14428" s="1"/>
      <c r="Y14428" s="1"/>
      <c r="Z14428" s="1"/>
      <c r="AA14428" s="1"/>
      <c r="AB14428" s="1"/>
    </row>
    <row r="14429" ht="50.25" customHeight="1">
      <c r="A14429" s="12">
        <v>14425.0</v>
      </c>
      <c r="B14429" s="13" t="s">
        <v>13537</v>
      </c>
      <c r="C14429" s="14" t="s">
        <v>13664</v>
      </c>
      <c r="D14429" s="1"/>
      <c r="E14429" s="1"/>
      <c r="F14429" s="1" t="str">
        <f>IFERROR(__xludf.DUMMYFUNCTION("GOOGLETRANSLATE(B14429, ""en"", ""fa"")
"),"موفقیت SaaS")</f>
        <v>موفقیت SaaS</v>
      </c>
      <c r="G14429" s="1" t="str">
        <f>IFERROR(__xludf.DUMMYFUNCTION("GOOGLETRANSLATE(C14429, ""en"", ""fa"")
"),"چگونه از SaaS CRM برای مدیریت و بهینه سازی بخش ها و شخصیت های مشتری برای بازاریابی هدفمند استفاده کنیم؟")</f>
        <v>چگونه از SaaS CRM برای مدیریت و بهینه سازی بخش ها و شخصیت های مشتری برای بازاریابی هدفمند استفاده کنیم؟</v>
      </c>
      <c r="H14429" s="1"/>
      <c r="I14429" s="1"/>
      <c r="J14429" s="1"/>
      <c r="K14429" s="1"/>
      <c r="L14429" s="1"/>
      <c r="M14429" s="1"/>
      <c r="N14429" s="1"/>
      <c r="O14429" s="1"/>
      <c r="P14429" s="1"/>
      <c r="Q14429" s="1"/>
      <c r="R14429" s="1"/>
      <c r="S14429" s="1"/>
      <c r="T14429" s="1"/>
      <c r="U14429" s="1"/>
      <c r="V14429" s="1"/>
      <c r="W14429" s="1"/>
      <c r="X14429" s="1"/>
      <c r="Y14429" s="1"/>
      <c r="Z14429" s="1"/>
      <c r="AA14429" s="1"/>
      <c r="AB14429" s="1"/>
    </row>
    <row r="14430" ht="50.25" customHeight="1">
      <c r="A14430" s="12">
        <v>14426.0</v>
      </c>
      <c r="B14430" s="13" t="s">
        <v>13537</v>
      </c>
      <c r="C14430" s="14" t="s">
        <v>13665</v>
      </c>
      <c r="D14430" s="1"/>
      <c r="E14430" s="1"/>
      <c r="F14430" s="1" t="str">
        <f>IFERROR(__xludf.DUMMYFUNCTION("GOOGLETRANSLATE(B14430, ""en"", ""fa"")
"),"موفقیت SaaS")</f>
        <v>موفقیت SaaS</v>
      </c>
      <c r="G14430" s="1" t="str">
        <f>IFERROR(__xludf.DUMMYFUNCTION("GOOGLETRANSLATE(C14430, ""en"", ""fa"")
"),"چگونه از SaaS CRM برای بهبود و مدیریت استراتژی‌های ریزش مشتری و برنده شدن استفاده کنیم؟")</f>
        <v>چگونه از SaaS CRM برای بهبود و مدیریت استراتژی‌های ریزش مشتری و برنده شدن استفاده کنیم؟</v>
      </c>
      <c r="H14430" s="1"/>
      <c r="I14430" s="1"/>
      <c r="J14430" s="1"/>
      <c r="K14430" s="1"/>
      <c r="L14430" s="1"/>
      <c r="M14430" s="1"/>
      <c r="N14430" s="1"/>
      <c r="O14430" s="1"/>
      <c r="P14430" s="1"/>
      <c r="Q14430" s="1"/>
      <c r="R14430" s="1"/>
      <c r="S14430" s="1"/>
      <c r="T14430" s="1"/>
      <c r="U14430" s="1"/>
      <c r="V14430" s="1"/>
      <c r="W14430" s="1"/>
      <c r="X14430" s="1"/>
      <c r="Y14430" s="1"/>
      <c r="Z14430" s="1"/>
      <c r="AA14430" s="1"/>
      <c r="AB14430" s="1"/>
    </row>
    <row r="14431" ht="50.25" customHeight="1">
      <c r="A14431" s="12">
        <v>14427.0</v>
      </c>
      <c r="B14431" s="13" t="s">
        <v>13537</v>
      </c>
      <c r="C14431" s="14" t="s">
        <v>13666</v>
      </c>
      <c r="D14431" s="1"/>
      <c r="E14431" s="1"/>
      <c r="F14431" s="1" t="str">
        <f>IFERROR(__xludf.DUMMYFUNCTION("GOOGLETRANSLATE(B14431, ""en"", ""fa"")
"),"موفقیت SaaS")</f>
        <v>موفقیت SaaS</v>
      </c>
      <c r="G14431" s="1" t="str">
        <f>IFERROR(__xludf.DUMMYFUNCTION("GOOGLETRANSLATE(C14431, ""en"", ""fa"")
"),"چگونه از SaaS CRM برای مدیریت و بهینه سازی برنامه های وفاداری و حفظ مشتری استفاده کنیم؟")</f>
        <v>چگونه از SaaS CRM برای مدیریت و بهینه سازی برنامه های وفاداری و حفظ مشتری استفاده کنیم؟</v>
      </c>
      <c r="H14431" s="1"/>
      <c r="I14431" s="1"/>
      <c r="J14431" s="1"/>
      <c r="K14431" s="1"/>
      <c r="L14431" s="1"/>
      <c r="M14431" s="1"/>
      <c r="N14431" s="1"/>
      <c r="O14431" s="1"/>
      <c r="P14431" s="1"/>
      <c r="Q14431" s="1"/>
      <c r="R14431" s="1"/>
      <c r="S14431" s="1"/>
      <c r="T14431" s="1"/>
      <c r="U14431" s="1"/>
      <c r="V14431" s="1"/>
      <c r="W14431" s="1"/>
      <c r="X14431" s="1"/>
      <c r="Y14431" s="1"/>
      <c r="Z14431" s="1"/>
      <c r="AA14431" s="1"/>
      <c r="AB14431" s="1"/>
    </row>
    <row r="14432" ht="50.25" customHeight="1">
      <c r="A14432" s="12">
        <v>14428.0</v>
      </c>
      <c r="B14432" s="13" t="s">
        <v>13537</v>
      </c>
      <c r="C14432" s="14" t="s">
        <v>13667</v>
      </c>
      <c r="D14432" s="1"/>
      <c r="E14432" s="1"/>
      <c r="F14432" s="1" t="str">
        <f>IFERROR(__xludf.DUMMYFUNCTION("GOOGLETRANSLATE(B14432, ""en"", ""fa"")
"),"موفقیت SaaS")</f>
        <v>موفقیت SaaS</v>
      </c>
      <c r="G14432" s="1" t="str">
        <f>IFERROR(__xludf.DUMMYFUNCTION("GOOGLETRANSLATE(C14432, ""en"", ""fa"")
"),"چگونه از SaaS CRM برای مدیریت و تحلیل ارزش طول عمر مشتری و مدل‌های CLV استفاده کنیم؟")</f>
        <v>چگونه از SaaS CRM برای مدیریت و تحلیل ارزش طول عمر مشتری و مدل‌های CLV استفاده کنیم؟</v>
      </c>
      <c r="H14432" s="1"/>
      <c r="I14432" s="1"/>
      <c r="J14432" s="1"/>
      <c r="K14432" s="1"/>
      <c r="L14432" s="1"/>
      <c r="M14432" s="1"/>
      <c r="N14432" s="1"/>
      <c r="O14432" s="1"/>
      <c r="P14432" s="1"/>
      <c r="Q14432" s="1"/>
      <c r="R14432" s="1"/>
      <c r="S14432" s="1"/>
      <c r="T14432" s="1"/>
      <c r="U14432" s="1"/>
      <c r="V14432" s="1"/>
      <c r="W14432" s="1"/>
      <c r="X14432" s="1"/>
      <c r="Y14432" s="1"/>
      <c r="Z14432" s="1"/>
      <c r="AA14432" s="1"/>
      <c r="AB14432" s="1"/>
    </row>
    <row r="14433" ht="50.25" customHeight="1">
      <c r="A14433" s="12">
        <v>14429.0</v>
      </c>
      <c r="B14433" s="13" t="s">
        <v>13537</v>
      </c>
      <c r="C14433" s="14" t="s">
        <v>13668</v>
      </c>
      <c r="D14433" s="1"/>
      <c r="E14433" s="1"/>
      <c r="F14433" s="1" t="str">
        <f>IFERROR(__xludf.DUMMYFUNCTION("GOOGLETRANSLATE(B14433, ""en"", ""fa"")
"),"موفقیت SaaS")</f>
        <v>موفقیت SaaS</v>
      </c>
      <c r="G14433" s="1" t="str">
        <f>IFERROR(__xludf.DUMMYFUNCTION("GOOGLETRANSLATE(C14433, ""en"", ""fa"")
"),"چگونه از SaaS CRM برای بهبود و خودکارسازی تعامل و حفظ مشتری از طریق عوامل و رویدادها استفاده کنیم؟")</f>
        <v>چگونه از SaaS CRM برای بهبود و خودکارسازی تعامل و حفظ مشتری از طریق عوامل و رویدادها استفاده کنیم؟</v>
      </c>
      <c r="H14433" s="1"/>
      <c r="I14433" s="1"/>
      <c r="J14433" s="1"/>
      <c r="K14433" s="1"/>
      <c r="L14433" s="1"/>
      <c r="M14433" s="1"/>
      <c r="N14433" s="1"/>
      <c r="O14433" s="1"/>
      <c r="P14433" s="1"/>
      <c r="Q14433" s="1"/>
      <c r="R14433" s="1"/>
      <c r="S14433" s="1"/>
      <c r="T14433" s="1"/>
      <c r="U14433" s="1"/>
      <c r="V14433" s="1"/>
      <c r="W14433" s="1"/>
      <c r="X14433" s="1"/>
      <c r="Y14433" s="1"/>
      <c r="Z14433" s="1"/>
      <c r="AA14433" s="1"/>
      <c r="AB14433" s="1"/>
    </row>
    <row r="14434" ht="50.25" customHeight="1">
      <c r="A14434" s="12">
        <v>14430.0</v>
      </c>
      <c r="B14434" s="13" t="s">
        <v>13537</v>
      </c>
      <c r="C14434" s="14" t="s">
        <v>13669</v>
      </c>
      <c r="D14434" s="1"/>
      <c r="E14434" s="1"/>
      <c r="F14434" s="1" t="str">
        <f>IFERROR(__xludf.DUMMYFUNCTION("GOOGLETRANSLATE(B14434, ""en"", ""fa"")
"),"موفقیت SaaS")</f>
        <v>موفقیت SaaS</v>
      </c>
      <c r="G14434" s="1" t="str">
        <f>IFERROR(__xludf.DUMMYFUNCTION("GOOGLETRANSLATE(C14434, ""en"", ""fa"")
"),"چگونه از SaaS CRM برای مدیریت و بهبود پشتیبانی و خدمات مشتری از طریق ربات‌های چت و هوش مصنوعی استفاده کنیم؟")</f>
        <v>چگونه از SaaS CRM برای مدیریت و بهبود پشتیبانی و خدمات مشتری از طریق ربات‌های چت و هوش مصنوعی استفاده کنیم؟</v>
      </c>
      <c r="H14434" s="1"/>
      <c r="I14434" s="1"/>
      <c r="J14434" s="1"/>
      <c r="K14434" s="1"/>
      <c r="L14434" s="1"/>
      <c r="M14434" s="1"/>
      <c r="N14434" s="1"/>
      <c r="O14434" s="1"/>
      <c r="P14434" s="1"/>
      <c r="Q14434" s="1"/>
      <c r="R14434" s="1"/>
      <c r="S14434" s="1"/>
      <c r="T14434" s="1"/>
      <c r="U14434" s="1"/>
      <c r="V14434" s="1"/>
      <c r="W14434" s="1"/>
      <c r="X14434" s="1"/>
      <c r="Y14434" s="1"/>
      <c r="Z14434" s="1"/>
      <c r="AA14434" s="1"/>
      <c r="AB14434" s="1"/>
    </row>
    <row r="14435" ht="50.25" customHeight="1">
      <c r="A14435" s="12">
        <v>14431.0</v>
      </c>
      <c r="B14435" s="13" t="s">
        <v>13537</v>
      </c>
      <c r="C14435" s="14" t="s">
        <v>13670</v>
      </c>
      <c r="D14435" s="1"/>
      <c r="E14435" s="1"/>
      <c r="F14435" s="1" t="str">
        <f>IFERROR(__xludf.DUMMYFUNCTION("GOOGLETRANSLATE(B14435, ""en"", ""fa"")
"),"موفقیت SaaS")</f>
        <v>موفقیت SaaS</v>
      </c>
      <c r="G14435" s="1" t="str">
        <f>IFERROR(__xludf.DUMMYFUNCTION("GOOGLETRANSLATE(C14435, ""en"", ""fa"")
"),"چگونه از SaaS CRM برای مدیریت و بهبود رضایت و بازخورد مشتری از طریق نظرسنجی ها و آزمون ها استفاده کنیم؟")</f>
        <v>چگونه از SaaS CRM برای مدیریت و بهبود رضایت و بازخورد مشتری از طریق نظرسنجی ها و آزمون ها استفاده کنیم؟</v>
      </c>
      <c r="H14435" s="1"/>
      <c r="I14435" s="1"/>
      <c r="J14435" s="1"/>
      <c r="K14435" s="1"/>
      <c r="L14435" s="1"/>
      <c r="M14435" s="1"/>
      <c r="N14435" s="1"/>
      <c r="O14435" s="1"/>
      <c r="P14435" s="1"/>
      <c r="Q14435" s="1"/>
      <c r="R14435" s="1"/>
      <c r="S14435" s="1"/>
      <c r="T14435" s="1"/>
      <c r="U14435" s="1"/>
      <c r="V14435" s="1"/>
      <c r="W14435" s="1"/>
      <c r="X14435" s="1"/>
      <c r="Y14435" s="1"/>
      <c r="Z14435" s="1"/>
      <c r="AA14435" s="1"/>
      <c r="AB14435" s="1"/>
    </row>
    <row r="14436" ht="50.25" customHeight="1">
      <c r="A14436" s="12">
        <v>14432.0</v>
      </c>
      <c r="B14436" s="13" t="s">
        <v>13537</v>
      </c>
      <c r="C14436" s="14" t="s">
        <v>13671</v>
      </c>
      <c r="D14436" s="1"/>
      <c r="E14436" s="1"/>
      <c r="F14436" s="1" t="str">
        <f>IFERROR(__xludf.DUMMYFUNCTION("GOOGLETRANSLATE(B14436, ""en"", ""fa"")
"),"موفقیت SaaS")</f>
        <v>موفقیت SaaS</v>
      </c>
      <c r="G14436" s="1" t="str">
        <f>IFERROR(__xludf.DUMMYFUNCTION("GOOGLETRANSLATE(C14436, ""en"", ""fa"")
"),"چگونه از SaaS CRM برای مدیریت و بهینه سازی سفر مشتری از طریق بازاریابی شخصی و متنی استفاده کنیم؟")</f>
        <v>چگونه از SaaS CRM برای مدیریت و بهینه سازی سفر مشتری از طریق بازاریابی شخصی و متنی استفاده کنیم؟</v>
      </c>
      <c r="H14436" s="1"/>
      <c r="I14436" s="1"/>
      <c r="J14436" s="1"/>
      <c r="K14436" s="1"/>
      <c r="L14436" s="1"/>
      <c r="M14436" s="1"/>
      <c r="N14436" s="1"/>
      <c r="O14436" s="1"/>
      <c r="P14436" s="1"/>
      <c r="Q14436" s="1"/>
      <c r="R14436" s="1"/>
      <c r="S14436" s="1"/>
      <c r="T14436" s="1"/>
      <c r="U14436" s="1"/>
      <c r="V14436" s="1"/>
      <c r="W14436" s="1"/>
      <c r="X14436" s="1"/>
      <c r="Y14436" s="1"/>
      <c r="Z14436" s="1"/>
      <c r="AA14436" s="1"/>
      <c r="AB14436" s="1"/>
    </row>
    <row r="14437" ht="50.25" customHeight="1">
      <c r="A14437" s="12">
        <v>14433.0</v>
      </c>
      <c r="B14437" s="13" t="s">
        <v>13537</v>
      </c>
      <c r="C14437" s="14" t="s">
        <v>13672</v>
      </c>
      <c r="D14437" s="1"/>
      <c r="E14437" s="1"/>
      <c r="F14437" s="1" t="str">
        <f>IFERROR(__xludf.DUMMYFUNCTION("GOOGLETRANSLATE(B14437, ""en"", ""fa"")
"),"موفقیت SaaS")</f>
        <v>موفقیت SaaS</v>
      </c>
      <c r="G14437" s="1" t="str">
        <f>IFERROR(__xludf.DUMMYFUNCTION("GOOGLETRANSLATE(C14437, ""en"", ""fa"")
"),"نحوه استفاده از SaaS CRM برای مدیریت و تحلیل رفتار و ترجیحات مشتری از طریق یادگیری ماشین")</f>
        <v>نحوه استفاده از SaaS CRM برای مدیریت و تحلیل رفتار و ترجیحات مشتری از طریق یادگیری ماشین</v>
      </c>
      <c r="H14437" s="1"/>
      <c r="I14437" s="1"/>
      <c r="J14437" s="1"/>
      <c r="K14437" s="1"/>
      <c r="L14437" s="1"/>
      <c r="M14437" s="1"/>
      <c r="N14437" s="1"/>
      <c r="O14437" s="1"/>
      <c r="P14437" s="1"/>
      <c r="Q14437" s="1"/>
      <c r="R14437" s="1"/>
      <c r="S14437" s="1"/>
      <c r="T14437" s="1"/>
      <c r="U14437" s="1"/>
      <c r="V14437" s="1"/>
      <c r="W14437" s="1"/>
      <c r="X14437" s="1"/>
      <c r="Y14437" s="1"/>
      <c r="Z14437" s="1"/>
      <c r="AA14437" s="1"/>
      <c r="AB14437" s="1"/>
    </row>
    <row r="14438" ht="50.25" customHeight="1">
      <c r="A14438" s="12">
        <v>14434.0</v>
      </c>
      <c r="B14438" s="13" t="s">
        <v>13537</v>
      </c>
      <c r="C14438" s="14" t="s">
        <v>13673</v>
      </c>
      <c r="D14438" s="1"/>
      <c r="E14438" s="1"/>
      <c r="F14438" s="1" t="str">
        <f>IFERROR(__xludf.DUMMYFUNCTION("GOOGLETRANSLATE(B14438, ""en"", ""fa"")
"),"موفقیت SaaS")</f>
        <v>موفقیت SaaS</v>
      </c>
      <c r="G14438" s="1" t="str">
        <f>IFERROR(__xludf.DUMMYFUNCTION("GOOGLETRANSLATE(C14438, ""en"", ""fa"")
"),"بهترین راه برای ایجاد روابط قوی با مشتریان SaaS شما چیست؟")</f>
        <v>بهترین راه برای ایجاد روابط قوی با مشتریان SaaS شما چیست؟</v>
      </c>
      <c r="H14438" s="1"/>
      <c r="I14438" s="1"/>
      <c r="J14438" s="1"/>
      <c r="K14438" s="1"/>
      <c r="L14438" s="1"/>
      <c r="M14438" s="1"/>
      <c r="N14438" s="1"/>
      <c r="O14438" s="1"/>
      <c r="P14438" s="1"/>
      <c r="Q14438" s="1"/>
      <c r="R14438" s="1"/>
      <c r="S14438" s="1"/>
      <c r="T14438" s="1"/>
      <c r="U14438" s="1"/>
      <c r="V14438" s="1"/>
      <c r="W14438" s="1"/>
      <c r="X14438" s="1"/>
      <c r="Y14438" s="1"/>
      <c r="Z14438" s="1"/>
      <c r="AA14438" s="1"/>
      <c r="AB14438" s="1"/>
    </row>
    <row r="14439" ht="50.25" customHeight="1">
      <c r="A14439" s="12">
        <v>14435.0</v>
      </c>
      <c r="B14439" s="13" t="s">
        <v>13537</v>
      </c>
      <c r="C14439" s="14" t="s">
        <v>13674</v>
      </c>
      <c r="D14439" s="1"/>
      <c r="E14439" s="1"/>
      <c r="F14439" s="1" t="str">
        <f>IFERROR(__xludf.DUMMYFUNCTION("GOOGLETRANSLATE(B14439, ""en"", ""fa"")
"),"موفقیت SaaS")</f>
        <v>موفقیت SaaS</v>
      </c>
      <c r="G14439" s="1" t="str">
        <f>IFERROR(__xludf.DUMMYFUNCTION("GOOGLETRANSLATE(C14439, ""en"", ""fa"")
"),"چگونه یک فرهنگ مشتری محور در یک شرکت SaaS ایجاد می کنید؟")</f>
        <v>چگونه یک فرهنگ مشتری محور در یک شرکت SaaS ایجاد می کنید؟</v>
      </c>
      <c r="H14439" s="1"/>
      <c r="I14439" s="1"/>
      <c r="J14439" s="1"/>
      <c r="K14439" s="1"/>
      <c r="L14439" s="1"/>
      <c r="M14439" s="1"/>
      <c r="N14439" s="1"/>
      <c r="O14439" s="1"/>
      <c r="P14439" s="1"/>
      <c r="Q14439" s="1"/>
      <c r="R14439" s="1"/>
      <c r="S14439" s="1"/>
      <c r="T14439" s="1"/>
      <c r="U14439" s="1"/>
      <c r="V14439" s="1"/>
      <c r="W14439" s="1"/>
      <c r="X14439" s="1"/>
      <c r="Y14439" s="1"/>
      <c r="Z14439" s="1"/>
      <c r="AA14439" s="1"/>
      <c r="AB14439" s="1"/>
    </row>
    <row r="14440" ht="50.25" customHeight="1">
      <c r="A14440" s="12">
        <v>14436.0</v>
      </c>
      <c r="B14440" s="13" t="s">
        <v>13537</v>
      </c>
      <c r="C14440" s="14" t="s">
        <v>13675</v>
      </c>
      <c r="D14440" s="1"/>
      <c r="E14440" s="1"/>
      <c r="F14440" s="1" t="str">
        <f>IFERROR(__xludf.DUMMYFUNCTION("GOOGLETRANSLATE(B14440, ""en"", ""fa"")
"),"موفقیت SaaS")</f>
        <v>موفقیت SaaS</v>
      </c>
      <c r="G14440" s="1" t="str">
        <f>IFERROR(__xludf.DUMMYFUNCTION("GOOGLETRANSLATE(C14440, ""en"", ""fa"")
"),"چگونه می توانید موفقیت روابط مشتری خود را در SaaS اندازه گیری کنید؟")</f>
        <v>چگونه می توانید موفقیت روابط مشتری خود را در SaaS اندازه گیری کنید؟</v>
      </c>
      <c r="H14440" s="1"/>
      <c r="I14440" s="1"/>
      <c r="J14440" s="1"/>
      <c r="K14440" s="1"/>
      <c r="L14440" s="1"/>
      <c r="M14440" s="1"/>
      <c r="N14440" s="1"/>
      <c r="O14440" s="1"/>
      <c r="P14440" s="1"/>
      <c r="Q14440" s="1"/>
      <c r="R14440" s="1"/>
      <c r="S14440" s="1"/>
      <c r="T14440" s="1"/>
      <c r="U14440" s="1"/>
      <c r="V14440" s="1"/>
      <c r="W14440" s="1"/>
      <c r="X14440" s="1"/>
      <c r="Y14440" s="1"/>
      <c r="Z14440" s="1"/>
      <c r="AA14440" s="1"/>
      <c r="AB14440" s="1"/>
    </row>
    <row r="14441" ht="50.25" customHeight="1">
      <c r="A14441" s="12">
        <v>14437.0</v>
      </c>
      <c r="B14441" s="13" t="s">
        <v>13537</v>
      </c>
      <c r="C14441" s="14" t="s">
        <v>13676</v>
      </c>
      <c r="D14441" s="1"/>
      <c r="E14441" s="1"/>
      <c r="F14441" s="1" t="str">
        <f>IFERROR(__xludf.DUMMYFUNCTION("GOOGLETRANSLATE(B14441, ""en"", ""fa"")
"),"موفقیت SaaS")</f>
        <v>موفقیت SaaS</v>
      </c>
      <c r="G14441" s="1" t="str">
        <f>IFERROR(__xludf.DUMMYFUNCTION("GOOGLETRANSLATE(C14441, ""en"", ""fa"")
"),"چند استراتژی برای مدیریت انتظارات مشتری در SaaS چیست؟")</f>
        <v>چند استراتژی برای مدیریت انتظارات مشتری در SaaS چیست؟</v>
      </c>
      <c r="H14441" s="1"/>
      <c r="I14441" s="1"/>
      <c r="J14441" s="1"/>
      <c r="K14441" s="1"/>
      <c r="L14441" s="1"/>
      <c r="M14441" s="1"/>
      <c r="N14441" s="1"/>
      <c r="O14441" s="1"/>
      <c r="P14441" s="1"/>
      <c r="Q14441" s="1"/>
      <c r="R14441" s="1"/>
      <c r="S14441" s="1"/>
      <c r="T14441" s="1"/>
      <c r="U14441" s="1"/>
      <c r="V14441" s="1"/>
      <c r="W14441" s="1"/>
      <c r="X14441" s="1"/>
      <c r="Y14441" s="1"/>
      <c r="Z14441" s="1"/>
      <c r="AA14441" s="1"/>
      <c r="AB14441" s="1"/>
    </row>
    <row r="14442" ht="50.25" customHeight="1">
      <c r="A14442" s="12">
        <v>14438.0</v>
      </c>
      <c r="B14442" s="13" t="s">
        <v>13537</v>
      </c>
      <c r="C14442" s="14" t="s">
        <v>13677</v>
      </c>
      <c r="D14442" s="1"/>
      <c r="E14442" s="1"/>
      <c r="F14442" s="1" t="str">
        <f>IFERROR(__xludf.DUMMYFUNCTION("GOOGLETRANSLATE(B14442, ""en"", ""fa"")
"),"موفقیت SaaS")</f>
        <v>موفقیت SaaS</v>
      </c>
      <c r="G14442" s="1" t="str">
        <f>IFERROR(__xludf.DUMMYFUNCTION("GOOGLETRANSLATE(C14442, ""en"", ""fa"")
"),"چگونه به شکایات مشتریان در SaaS رسیدگی می کنید؟")</f>
        <v>چگونه به شکایات مشتریان در SaaS رسیدگی می کنید؟</v>
      </c>
      <c r="H14442" s="1"/>
      <c r="I14442" s="1"/>
      <c r="J14442" s="1"/>
      <c r="K14442" s="1"/>
      <c r="L14442" s="1"/>
      <c r="M14442" s="1"/>
      <c r="N14442" s="1"/>
      <c r="O14442" s="1"/>
      <c r="P14442" s="1"/>
      <c r="Q14442" s="1"/>
      <c r="R14442" s="1"/>
      <c r="S14442" s="1"/>
      <c r="T14442" s="1"/>
      <c r="U14442" s="1"/>
      <c r="V14442" s="1"/>
      <c r="W14442" s="1"/>
      <c r="X14442" s="1"/>
      <c r="Y14442" s="1"/>
      <c r="Z14442" s="1"/>
      <c r="AA14442" s="1"/>
      <c r="AB14442" s="1"/>
    </row>
    <row r="14443" ht="50.25" customHeight="1">
      <c r="A14443" s="12">
        <v>14439.0</v>
      </c>
      <c r="B14443" s="13" t="s">
        <v>13537</v>
      </c>
      <c r="C14443" s="14" t="s">
        <v>13678</v>
      </c>
      <c r="D14443" s="1"/>
      <c r="E14443" s="1"/>
      <c r="F14443" s="1" t="str">
        <f>IFERROR(__xludf.DUMMYFUNCTION("GOOGLETRANSLATE(B14443, ""en"", ""fa"")
"),"موفقیت SaaS")</f>
        <v>موفقیت SaaS</v>
      </c>
      <c r="G14443" s="1" t="str">
        <f>IFERROR(__xludf.DUMMYFUNCTION("GOOGLETRANSLATE(C14443, ""en"", ""fa"")
"),"چگونه مطمئن می شوید که مشتریان تجربه مثبتی با محصول SaaS شما دارند؟")</f>
        <v>چگونه مطمئن می شوید که مشتریان تجربه مثبتی با محصول SaaS شما دارند؟</v>
      </c>
      <c r="H14443" s="1"/>
      <c r="I14443" s="1"/>
      <c r="J14443" s="1"/>
      <c r="K14443" s="1"/>
      <c r="L14443" s="1"/>
      <c r="M14443" s="1"/>
      <c r="N14443" s="1"/>
      <c r="O14443" s="1"/>
      <c r="P14443" s="1"/>
      <c r="Q14443" s="1"/>
      <c r="R14443" s="1"/>
      <c r="S14443" s="1"/>
      <c r="T14443" s="1"/>
      <c r="U14443" s="1"/>
      <c r="V14443" s="1"/>
      <c r="W14443" s="1"/>
      <c r="X14443" s="1"/>
      <c r="Y14443" s="1"/>
      <c r="Z14443" s="1"/>
      <c r="AA14443" s="1"/>
      <c r="AB14443" s="1"/>
    </row>
    <row r="14444" ht="50.25" customHeight="1">
      <c r="A14444" s="12">
        <v>14440.0</v>
      </c>
      <c r="B14444" s="13" t="s">
        <v>13537</v>
      </c>
      <c r="C14444" s="14" t="s">
        <v>13679</v>
      </c>
      <c r="D14444" s="1"/>
      <c r="E14444" s="1"/>
      <c r="F14444" s="1" t="str">
        <f>IFERROR(__xludf.DUMMYFUNCTION("GOOGLETRANSLATE(B14444, ""en"", ""fa"")
"),"موفقیت SaaS")</f>
        <v>موفقیت SaaS</v>
      </c>
      <c r="G14444" s="1" t="str">
        <f>IFERROR(__xludf.DUMMYFUNCTION("GOOGLETRANSLATE(C14444, ""en"", ""fa"")
"),"برای درک سلامت روابط مشتری خود در SaaS چه معیارهایی را باید دنبال کنید؟")</f>
        <v>برای درک سلامت روابط مشتری خود در SaaS چه معیارهایی را باید دنبال کنید؟</v>
      </c>
      <c r="H14444" s="1"/>
      <c r="I14444" s="1"/>
      <c r="J14444" s="1"/>
      <c r="K14444" s="1"/>
      <c r="L14444" s="1"/>
      <c r="M14444" s="1"/>
      <c r="N14444" s="1"/>
      <c r="O14444" s="1"/>
      <c r="P14444" s="1"/>
      <c r="Q14444" s="1"/>
      <c r="R14444" s="1"/>
      <c r="S14444" s="1"/>
      <c r="T14444" s="1"/>
      <c r="U14444" s="1"/>
      <c r="V14444" s="1"/>
      <c r="W14444" s="1"/>
      <c r="X14444" s="1"/>
      <c r="Y14444" s="1"/>
      <c r="Z14444" s="1"/>
      <c r="AA14444" s="1"/>
      <c r="AB14444" s="1"/>
    </row>
    <row r="14445" ht="50.25" customHeight="1">
      <c r="A14445" s="12">
        <v>14441.0</v>
      </c>
      <c r="B14445" s="13" t="s">
        <v>13537</v>
      </c>
      <c r="C14445" s="14" t="s">
        <v>13680</v>
      </c>
      <c r="D14445" s="1"/>
      <c r="E14445" s="1"/>
      <c r="F14445" s="1" t="str">
        <f>IFERROR(__xludf.DUMMYFUNCTION("GOOGLETRANSLATE(B14445, ""en"", ""fa"")
"),"موفقیت SaaS")</f>
        <v>موفقیت SaaS</v>
      </c>
      <c r="G14445" s="1" t="str">
        <f>IFERROR(__xludf.DUMMYFUNCTION("GOOGLETRANSLATE(C14445, ""en"", ""fa"")
"),"چند تاکتیک برای حفظ مشتریان در SaaS چیست؟")</f>
        <v>چند تاکتیک برای حفظ مشتریان در SaaS چیست؟</v>
      </c>
      <c r="H14445" s="1"/>
      <c r="I14445" s="1"/>
      <c r="J14445" s="1"/>
      <c r="K14445" s="1"/>
      <c r="L14445" s="1"/>
      <c r="M14445" s="1"/>
      <c r="N14445" s="1"/>
      <c r="O14445" s="1"/>
      <c r="P14445" s="1"/>
      <c r="Q14445" s="1"/>
      <c r="R14445" s="1"/>
      <c r="S14445" s="1"/>
      <c r="T14445" s="1"/>
      <c r="U14445" s="1"/>
      <c r="V14445" s="1"/>
      <c r="W14445" s="1"/>
      <c r="X14445" s="1"/>
      <c r="Y14445" s="1"/>
      <c r="Z14445" s="1"/>
      <c r="AA14445" s="1"/>
      <c r="AB14445" s="1"/>
    </row>
    <row r="14446" ht="50.25" customHeight="1">
      <c r="A14446" s="12">
        <v>14442.0</v>
      </c>
      <c r="B14446" s="13" t="s">
        <v>13537</v>
      </c>
      <c r="C14446" s="14" t="s">
        <v>13681</v>
      </c>
      <c r="D14446" s="1"/>
      <c r="E14446" s="1"/>
      <c r="F14446" s="1" t="str">
        <f>IFERROR(__xludf.DUMMYFUNCTION("GOOGLETRANSLATE(B14446, ""en"", ""fa"")
"),"موفقیت SaaS")</f>
        <v>موفقیت SaaS</v>
      </c>
      <c r="G14446" s="1" t="str">
        <f>IFERROR(__xludf.DUMMYFUNCTION("GOOGLETRANSLATE(C14446, ""en"", ""fa"")
"),"چگونه یک حلقه بازخورد مشتری در SaaS ایجاد می کنید؟")</f>
        <v>چگونه یک حلقه بازخورد مشتری در SaaS ایجاد می کنید؟</v>
      </c>
      <c r="H14446" s="1"/>
      <c r="I14446" s="1"/>
      <c r="J14446" s="1"/>
      <c r="K14446" s="1"/>
      <c r="L14446" s="1"/>
      <c r="M14446" s="1"/>
      <c r="N14446" s="1"/>
      <c r="O14446" s="1"/>
      <c r="P14446" s="1"/>
      <c r="Q14446" s="1"/>
      <c r="R14446" s="1"/>
      <c r="S14446" s="1"/>
      <c r="T14446" s="1"/>
      <c r="U14446" s="1"/>
      <c r="V14446" s="1"/>
      <c r="W14446" s="1"/>
      <c r="X14446" s="1"/>
      <c r="Y14446" s="1"/>
      <c r="Z14446" s="1"/>
      <c r="AA14446" s="1"/>
      <c r="AB14446" s="1"/>
    </row>
    <row r="14447" ht="50.25" customHeight="1">
      <c r="A14447" s="12">
        <v>14443.0</v>
      </c>
      <c r="B14447" s="13" t="s">
        <v>13537</v>
      </c>
      <c r="C14447" s="14" t="s">
        <v>13682</v>
      </c>
      <c r="D14447" s="1"/>
      <c r="E14447" s="1"/>
      <c r="F14447" s="1" t="str">
        <f>IFERROR(__xludf.DUMMYFUNCTION("GOOGLETRANSLATE(B14447, ""en"", ""fa"")
"),"موفقیت SaaS")</f>
        <v>موفقیت SaaS</v>
      </c>
      <c r="G14447" s="1" t="str">
        <f>IFERROR(__xludf.DUMMYFUNCTION("GOOGLETRANSLATE(C14447, ""en"", ""fa"")
"),"چگونه با مشتریان در SaaS اعتماد ایجاد می کنید؟")</f>
        <v>چگونه با مشتریان در SaaS اعتماد ایجاد می کنید؟</v>
      </c>
      <c r="H14447" s="1"/>
      <c r="I14447" s="1"/>
      <c r="J14447" s="1"/>
      <c r="K14447" s="1"/>
      <c r="L14447" s="1"/>
      <c r="M14447" s="1"/>
      <c r="N14447" s="1"/>
      <c r="O14447" s="1"/>
      <c r="P14447" s="1"/>
      <c r="Q14447" s="1"/>
      <c r="R14447" s="1"/>
      <c r="S14447" s="1"/>
      <c r="T14447" s="1"/>
      <c r="U14447" s="1"/>
      <c r="V14447" s="1"/>
      <c r="W14447" s="1"/>
      <c r="X14447" s="1"/>
      <c r="Y14447" s="1"/>
      <c r="Z14447" s="1"/>
      <c r="AA14447" s="1"/>
      <c r="AB14447" s="1"/>
    </row>
    <row r="14448" ht="50.25" customHeight="1">
      <c r="A14448" s="12">
        <v>14444.0</v>
      </c>
      <c r="B14448" s="13" t="s">
        <v>13537</v>
      </c>
      <c r="C14448" s="14" t="s">
        <v>13683</v>
      </c>
      <c r="D14448" s="1"/>
      <c r="E14448" s="1"/>
      <c r="F14448" s="1" t="str">
        <f>IFERROR(__xludf.DUMMYFUNCTION("GOOGLETRANSLATE(B14448, ""en"", ""fa"")
"),"موفقیت SaaS")</f>
        <v>موفقیت SaaS</v>
      </c>
      <c r="G14448" s="1" t="str">
        <f>IFERROR(__xludf.DUMMYFUNCTION("GOOGLETRANSLATE(C14448, ""en"", ""fa"")
"),"چگونه مکالمات دشوار مشتری را در SaaS مدیریت می کنید؟")</f>
        <v>چگونه مکالمات دشوار مشتری را در SaaS مدیریت می کنید؟</v>
      </c>
      <c r="H14448" s="1"/>
      <c r="I14448" s="1"/>
      <c r="J14448" s="1"/>
      <c r="K14448" s="1"/>
      <c r="L14448" s="1"/>
      <c r="M14448" s="1"/>
      <c r="N14448" s="1"/>
      <c r="O14448" s="1"/>
      <c r="P14448" s="1"/>
      <c r="Q14448" s="1"/>
      <c r="R14448" s="1"/>
      <c r="S14448" s="1"/>
      <c r="T14448" s="1"/>
      <c r="U14448" s="1"/>
      <c r="V14448" s="1"/>
      <c r="W14448" s="1"/>
      <c r="X14448" s="1"/>
      <c r="Y14448" s="1"/>
      <c r="Z14448" s="1"/>
      <c r="AA14448" s="1"/>
      <c r="AB14448" s="1"/>
    </row>
    <row r="14449" ht="50.25" customHeight="1">
      <c r="A14449" s="12">
        <v>14445.0</v>
      </c>
      <c r="B14449" s="13" t="s">
        <v>13537</v>
      </c>
      <c r="C14449" s="14" t="s">
        <v>13684</v>
      </c>
      <c r="D14449" s="1"/>
      <c r="E14449" s="1"/>
      <c r="F14449" s="1" t="str">
        <f>IFERROR(__xludf.DUMMYFUNCTION("GOOGLETRANSLATE(B14449, ""en"", ""fa"")
"),"موفقیت SaaS")</f>
        <v>موفقیت SaaS</v>
      </c>
      <c r="G14449" s="1" t="str">
        <f>IFERROR(__xludf.DUMMYFUNCTION("GOOGLETRANSLATE(C14449, ""en"", ""fa"")
"),"برخی از اشتباهات رایج در روابط با مشتری در SaaS چیست؟")</f>
        <v>برخی از اشتباهات رایج در روابط با مشتری در SaaS چیست؟</v>
      </c>
      <c r="H14449" s="1"/>
      <c r="I14449" s="1"/>
      <c r="J14449" s="1"/>
      <c r="K14449" s="1"/>
      <c r="L14449" s="1"/>
      <c r="M14449" s="1"/>
      <c r="N14449" s="1"/>
      <c r="O14449" s="1"/>
      <c r="P14449" s="1"/>
      <c r="Q14449" s="1"/>
      <c r="R14449" s="1"/>
      <c r="S14449" s="1"/>
      <c r="T14449" s="1"/>
      <c r="U14449" s="1"/>
      <c r="V14449" s="1"/>
      <c r="W14449" s="1"/>
      <c r="X14449" s="1"/>
      <c r="Y14449" s="1"/>
      <c r="Z14449" s="1"/>
      <c r="AA14449" s="1"/>
      <c r="AB14449" s="1"/>
    </row>
    <row r="14450" ht="50.25" customHeight="1">
      <c r="A14450" s="12">
        <v>14446.0</v>
      </c>
      <c r="B14450" s="13" t="s">
        <v>13537</v>
      </c>
      <c r="C14450" s="14" t="s">
        <v>13685</v>
      </c>
      <c r="D14450" s="1"/>
      <c r="E14450" s="1"/>
      <c r="F14450" s="1" t="str">
        <f>IFERROR(__xludf.DUMMYFUNCTION("GOOGLETRANSLATE(B14450, ""en"", ""fa"")
"),"موفقیت SaaS")</f>
        <v>موفقیت SaaS</v>
      </c>
      <c r="G14450" s="1" t="str">
        <f>IFERROR(__xludf.DUMMYFUNCTION("GOOGLETRANSLATE(C14450, ""en"", ""fa"")
"),"چگونه از داده های مشتری برای بهبود پیشنهادات SaaS خود استفاده می کنید؟")</f>
        <v>چگونه از داده های مشتری برای بهبود پیشنهادات SaaS خود استفاده می کنید؟</v>
      </c>
      <c r="H14450" s="1"/>
      <c r="I14450" s="1"/>
      <c r="J14450" s="1"/>
      <c r="K14450" s="1"/>
      <c r="L14450" s="1"/>
      <c r="M14450" s="1"/>
      <c r="N14450" s="1"/>
      <c r="O14450" s="1"/>
      <c r="P14450" s="1"/>
      <c r="Q14450" s="1"/>
      <c r="R14450" s="1"/>
      <c r="S14450" s="1"/>
      <c r="T14450" s="1"/>
      <c r="U14450" s="1"/>
      <c r="V14450" s="1"/>
      <c r="W14450" s="1"/>
      <c r="X14450" s="1"/>
      <c r="Y14450" s="1"/>
      <c r="Z14450" s="1"/>
      <c r="AA14450" s="1"/>
      <c r="AB14450" s="1"/>
    </row>
    <row r="14451" ht="50.25" customHeight="1">
      <c r="A14451" s="12">
        <v>14447.0</v>
      </c>
      <c r="B14451" s="13" t="s">
        <v>13537</v>
      </c>
      <c r="C14451" s="14" t="s">
        <v>13686</v>
      </c>
      <c r="D14451" s="1"/>
      <c r="E14451" s="1"/>
      <c r="F14451" s="1" t="str">
        <f>IFERROR(__xludf.DUMMYFUNCTION("GOOGLETRANSLATE(B14451, ""en"", ""fa"")
"),"موفقیت SaaS")</f>
        <v>موفقیت SaaS</v>
      </c>
      <c r="G14451" s="1" t="str">
        <f>IFERROR(__xludf.DUMMYFUNCTION("GOOGLETRANSLATE(C14451, ""en"", ""fa"")
"),"چگونه یک برنامه موفقیت مشتری در SaaS ایجاد می کنید؟")</f>
        <v>چگونه یک برنامه موفقیت مشتری در SaaS ایجاد می کنید؟</v>
      </c>
      <c r="H14451" s="1"/>
      <c r="I14451" s="1"/>
      <c r="J14451" s="1"/>
      <c r="K14451" s="1"/>
      <c r="L14451" s="1"/>
      <c r="M14451" s="1"/>
      <c r="N14451" s="1"/>
      <c r="O14451" s="1"/>
      <c r="P14451" s="1"/>
      <c r="Q14451" s="1"/>
      <c r="R14451" s="1"/>
      <c r="S14451" s="1"/>
      <c r="T14451" s="1"/>
      <c r="U14451" s="1"/>
      <c r="V14451" s="1"/>
      <c r="W14451" s="1"/>
      <c r="X14451" s="1"/>
      <c r="Y14451" s="1"/>
      <c r="Z14451" s="1"/>
      <c r="AA14451" s="1"/>
      <c r="AB14451" s="1"/>
    </row>
    <row r="14452" ht="50.25" customHeight="1">
      <c r="A14452" s="12">
        <v>14448.0</v>
      </c>
      <c r="B14452" s="13" t="s">
        <v>13537</v>
      </c>
      <c r="C14452" s="14" t="s">
        <v>13687</v>
      </c>
      <c r="D14452" s="1"/>
      <c r="E14452" s="1"/>
      <c r="F14452" s="1" t="str">
        <f>IFERROR(__xludf.DUMMYFUNCTION("GOOGLETRANSLATE(B14452, ""en"", ""fa"")
"),"موفقیت SaaS")</f>
        <v>موفقیت SaaS</v>
      </c>
      <c r="G14452" s="1" t="str">
        <f>IFERROR(__xludf.DUMMYFUNCTION("GOOGLETRANSLATE(C14452, ""en"", ""fa"")
"),"چگونه نیازهای مشتری را با اهداف تجاری SaaS خود متعادل می کنید؟")</f>
        <v>چگونه نیازهای مشتری را با اهداف تجاری SaaS خود متعادل می کنید؟</v>
      </c>
      <c r="H14452" s="1"/>
      <c r="I14452" s="1"/>
      <c r="J14452" s="1"/>
      <c r="K14452" s="1"/>
      <c r="L14452" s="1"/>
      <c r="M14452" s="1"/>
      <c r="N14452" s="1"/>
      <c r="O14452" s="1"/>
      <c r="P14452" s="1"/>
      <c r="Q14452" s="1"/>
      <c r="R14452" s="1"/>
      <c r="S14452" s="1"/>
      <c r="T14452" s="1"/>
      <c r="U14452" s="1"/>
      <c r="V14452" s="1"/>
      <c r="W14452" s="1"/>
      <c r="X14452" s="1"/>
      <c r="Y14452" s="1"/>
      <c r="Z14452" s="1"/>
      <c r="AA14452" s="1"/>
      <c r="AB14452" s="1"/>
    </row>
    <row r="14453" ht="50.25" customHeight="1">
      <c r="A14453" s="12">
        <v>14449.0</v>
      </c>
      <c r="B14453" s="13" t="s">
        <v>13537</v>
      </c>
      <c r="C14453" s="14" t="s">
        <v>13688</v>
      </c>
      <c r="D14453" s="1"/>
      <c r="E14453" s="1"/>
      <c r="F14453" s="1" t="str">
        <f>IFERROR(__xludf.DUMMYFUNCTION("GOOGLETRANSLATE(B14453, ""en"", ""fa"")
"),"موفقیت SaaS")</f>
        <v>موفقیت SaaS</v>
      </c>
      <c r="G14453" s="1" t="str">
        <f>IFERROR(__xludf.DUMMYFUNCTION("GOOGLETRANSLATE(C14453, ""en"", ""fa"")
"),"ویژگی های کلیدی که یک CRM را خارق العاده می کند چیست؟")</f>
        <v>ویژگی های کلیدی که یک CRM را خارق العاده می کند چیست؟</v>
      </c>
      <c r="H14453" s="1"/>
      <c r="I14453" s="1"/>
      <c r="J14453" s="1"/>
      <c r="K14453" s="1"/>
      <c r="L14453" s="1"/>
      <c r="M14453" s="1"/>
      <c r="N14453" s="1"/>
      <c r="O14453" s="1"/>
      <c r="P14453" s="1"/>
      <c r="Q14453" s="1"/>
      <c r="R14453" s="1"/>
      <c r="S14453" s="1"/>
      <c r="T14453" s="1"/>
      <c r="U14453" s="1"/>
      <c r="V14453" s="1"/>
      <c r="W14453" s="1"/>
      <c r="X14453" s="1"/>
      <c r="Y14453" s="1"/>
      <c r="Z14453" s="1"/>
      <c r="AA14453" s="1"/>
      <c r="AB14453" s="1"/>
    </row>
    <row r="14454" ht="50.25" customHeight="1">
      <c r="A14454" s="12">
        <v>14450.0</v>
      </c>
      <c r="B14454" s="13" t="s">
        <v>13537</v>
      </c>
      <c r="C14454" s="14" t="s">
        <v>13689</v>
      </c>
      <c r="D14454" s="1"/>
      <c r="E14454" s="1"/>
      <c r="F14454" s="1" t="str">
        <f>IFERROR(__xludf.DUMMYFUNCTION("GOOGLETRANSLATE(B14454, ""en"", ""fa"")
"),"موفقیت SaaS")</f>
        <v>موفقیت SaaS</v>
      </c>
      <c r="G14454" s="1" t="str">
        <f>IFERROR(__xludf.DUMMYFUNCTION("GOOGLETRANSLATE(C14454, ""en"", ""fa"")
"),"چگونه می توانم تعامل مشتری را با Saas CRM خود بهبود بخشم؟")</f>
        <v>چگونه می توانم تعامل مشتری را با Saas CRM خود بهبود بخشم؟</v>
      </c>
      <c r="H14454" s="1"/>
      <c r="I14454" s="1"/>
      <c r="J14454" s="1"/>
      <c r="K14454" s="1"/>
      <c r="L14454" s="1"/>
      <c r="M14454" s="1"/>
      <c r="N14454" s="1"/>
      <c r="O14454" s="1"/>
      <c r="P14454" s="1"/>
      <c r="Q14454" s="1"/>
      <c r="R14454" s="1"/>
      <c r="S14454" s="1"/>
      <c r="T14454" s="1"/>
      <c r="U14454" s="1"/>
      <c r="V14454" s="1"/>
      <c r="W14454" s="1"/>
      <c r="X14454" s="1"/>
      <c r="Y14454" s="1"/>
      <c r="Z14454" s="1"/>
      <c r="AA14454" s="1"/>
      <c r="AB14454" s="1"/>
    </row>
    <row r="14455" ht="50.25" customHeight="1">
      <c r="A14455" s="12">
        <v>14451.0</v>
      </c>
      <c r="B14455" s="13" t="s">
        <v>13537</v>
      </c>
      <c r="C14455" s="14" t="s">
        <v>13690</v>
      </c>
      <c r="D14455" s="1"/>
      <c r="E14455" s="1"/>
      <c r="F14455" s="1" t="str">
        <f>IFERROR(__xludf.DUMMYFUNCTION("GOOGLETRANSLATE(B14455, ""en"", ""fa"")
"),"موفقیت SaaS")</f>
        <v>موفقیت SaaS</v>
      </c>
      <c r="G14455" s="1" t="str">
        <f>IFERROR(__xludf.DUMMYFUNCTION("GOOGLETRANSLATE(C14455, ""en"", ""fa"")
"),"بهترین روش ها برای مدیریت داده های مشتری در Saas CRM چیست؟")</f>
        <v>بهترین روش ها برای مدیریت داده های مشتری در Saas CRM چیست؟</v>
      </c>
      <c r="H14455" s="1"/>
      <c r="I14455" s="1"/>
      <c r="J14455" s="1"/>
      <c r="K14455" s="1"/>
      <c r="L14455" s="1"/>
      <c r="M14455" s="1"/>
      <c r="N14455" s="1"/>
      <c r="O14455" s="1"/>
      <c r="P14455" s="1"/>
      <c r="Q14455" s="1"/>
      <c r="R14455" s="1"/>
      <c r="S14455" s="1"/>
      <c r="T14455" s="1"/>
      <c r="U14455" s="1"/>
      <c r="V14455" s="1"/>
      <c r="W14455" s="1"/>
      <c r="X14455" s="1"/>
      <c r="Y14455" s="1"/>
      <c r="Z14455" s="1"/>
      <c r="AA14455" s="1"/>
      <c r="AB14455" s="1"/>
    </row>
    <row r="14456" ht="50.25" customHeight="1">
      <c r="A14456" s="12">
        <v>14452.0</v>
      </c>
      <c r="B14456" s="13" t="s">
        <v>13537</v>
      </c>
      <c r="C14456" s="14" t="s">
        <v>13691</v>
      </c>
      <c r="D14456" s="1"/>
      <c r="E14456" s="1"/>
      <c r="F14456" s="1" t="str">
        <f>IFERROR(__xludf.DUMMYFUNCTION("GOOGLETRANSLATE(B14456, ""en"", ""fa"")
"),"موفقیت SaaS")</f>
        <v>موفقیت SaaS</v>
      </c>
      <c r="G14456" s="1" t="str">
        <f>IFERROR(__xludf.DUMMYFUNCTION("GOOGLETRANSLATE(C14456, ""en"", ""fa"")
"),"چگونه می توانم CRM خود را برای تیم فروش خود کاربرپسندتر کنم؟")</f>
        <v>چگونه می توانم CRM خود را برای تیم فروش خود کاربرپسندتر کنم؟</v>
      </c>
      <c r="H14456" s="1"/>
      <c r="I14456" s="1"/>
      <c r="J14456" s="1"/>
      <c r="K14456" s="1"/>
      <c r="L14456" s="1"/>
      <c r="M14456" s="1"/>
      <c r="N14456" s="1"/>
      <c r="O14456" s="1"/>
      <c r="P14456" s="1"/>
      <c r="Q14456" s="1"/>
      <c r="R14456" s="1"/>
      <c r="S14456" s="1"/>
      <c r="T14456" s="1"/>
      <c r="U14456" s="1"/>
      <c r="V14456" s="1"/>
      <c r="W14456" s="1"/>
      <c r="X14456" s="1"/>
      <c r="Y14456" s="1"/>
      <c r="Z14456" s="1"/>
      <c r="AA14456" s="1"/>
      <c r="AB14456" s="1"/>
    </row>
    <row r="14457" ht="50.25" customHeight="1">
      <c r="A14457" s="12">
        <v>14453.0</v>
      </c>
      <c r="B14457" s="13" t="s">
        <v>13537</v>
      </c>
      <c r="C14457" s="14" t="s">
        <v>13692</v>
      </c>
      <c r="D14457" s="1"/>
      <c r="E14457" s="1"/>
      <c r="F14457" s="1" t="str">
        <f>IFERROR(__xludf.DUMMYFUNCTION("GOOGLETRANSLATE(B14457, ""en"", ""fa"")
"),"موفقیت SaaS")</f>
        <v>موفقیت SaaS</v>
      </c>
      <c r="G14457" s="1" t="str">
        <f>IFERROR(__xludf.DUMMYFUNCTION("GOOGLETRANSLATE(C14457, ""en"", ""fa"")
"),"چگونه می توانم Saas CRM خود را با سایر ابزارهای کسب و کار ادغام کنم؟")</f>
        <v>چگونه می توانم Saas CRM خود را با سایر ابزارهای کسب و کار ادغام کنم؟</v>
      </c>
      <c r="H14457" s="1"/>
      <c r="I14457" s="1"/>
      <c r="J14457" s="1"/>
      <c r="K14457" s="1"/>
      <c r="L14457" s="1"/>
      <c r="M14457" s="1"/>
      <c r="N14457" s="1"/>
      <c r="O14457" s="1"/>
      <c r="P14457" s="1"/>
      <c r="Q14457" s="1"/>
      <c r="R14457" s="1"/>
      <c r="S14457" s="1"/>
      <c r="T14457" s="1"/>
      <c r="U14457" s="1"/>
      <c r="V14457" s="1"/>
      <c r="W14457" s="1"/>
      <c r="X14457" s="1"/>
      <c r="Y14457" s="1"/>
      <c r="Z14457" s="1"/>
      <c r="AA14457" s="1"/>
      <c r="AB14457" s="1"/>
    </row>
    <row r="14458" ht="50.25" customHeight="1">
      <c r="A14458" s="12">
        <v>14454.0</v>
      </c>
      <c r="B14458" s="13" t="s">
        <v>13537</v>
      </c>
      <c r="C14458" s="14" t="s">
        <v>13693</v>
      </c>
      <c r="D14458" s="1"/>
      <c r="E14458" s="1"/>
      <c r="F14458" s="1" t="str">
        <f>IFERROR(__xludf.DUMMYFUNCTION("GOOGLETRANSLATE(B14458, ""en"", ""fa"")
"),"موفقیت SaaS")</f>
        <v>موفقیت SaaS</v>
      </c>
      <c r="G14458" s="1" t="str">
        <f>IFERROR(__xludf.DUMMYFUNCTION("GOOGLETRANSLATE(C14458, ""en"", ""fa"")
"),"چگونه می توانم از تجزیه و تحلیل داده ها برای بهبود Saas CRM خود استفاده کنم؟")</f>
        <v>چگونه می توانم از تجزیه و تحلیل داده ها برای بهبود Saas CRM خود استفاده کنم؟</v>
      </c>
      <c r="H14458" s="1"/>
      <c r="I14458" s="1"/>
      <c r="J14458" s="1"/>
      <c r="K14458" s="1"/>
      <c r="L14458" s="1"/>
      <c r="M14458" s="1"/>
      <c r="N14458" s="1"/>
      <c r="O14458" s="1"/>
      <c r="P14458" s="1"/>
      <c r="Q14458" s="1"/>
      <c r="R14458" s="1"/>
      <c r="S14458" s="1"/>
      <c r="T14458" s="1"/>
      <c r="U14458" s="1"/>
      <c r="V14458" s="1"/>
      <c r="W14458" s="1"/>
      <c r="X14458" s="1"/>
      <c r="Y14458" s="1"/>
      <c r="Z14458" s="1"/>
      <c r="AA14458" s="1"/>
      <c r="AB14458" s="1"/>
    </row>
    <row r="14459" ht="50.25" customHeight="1">
      <c r="A14459" s="12">
        <v>14455.0</v>
      </c>
      <c r="B14459" s="13" t="s">
        <v>13537</v>
      </c>
      <c r="C14459" s="14" t="s">
        <v>13694</v>
      </c>
      <c r="D14459" s="1"/>
      <c r="E14459" s="1"/>
      <c r="F14459" s="1" t="str">
        <f>IFERROR(__xludf.DUMMYFUNCTION("GOOGLETRANSLATE(B14459, ""en"", ""fa"")
"),"موفقیت SaaS")</f>
        <v>موفقیت SaaS</v>
      </c>
      <c r="G14459" s="1" t="str">
        <f>IFERROR(__xludf.DUMMYFUNCTION("GOOGLETRANSLATE(C14459, ""en"", ""fa"")
"),"چگونه می توانم فرآیندهای تولید سرنخ و پرورش Saas CRM خود را بهبود بخشم؟")</f>
        <v>چگونه می توانم فرآیندهای تولید سرنخ و پرورش Saas CRM خود را بهبود بخشم؟</v>
      </c>
      <c r="H14459" s="1"/>
      <c r="I14459" s="1"/>
      <c r="J14459" s="1"/>
      <c r="K14459" s="1"/>
      <c r="L14459" s="1"/>
      <c r="M14459" s="1"/>
      <c r="N14459" s="1"/>
      <c r="O14459" s="1"/>
      <c r="P14459" s="1"/>
      <c r="Q14459" s="1"/>
      <c r="R14459" s="1"/>
      <c r="S14459" s="1"/>
      <c r="T14459" s="1"/>
      <c r="U14459" s="1"/>
      <c r="V14459" s="1"/>
      <c r="W14459" s="1"/>
      <c r="X14459" s="1"/>
      <c r="Y14459" s="1"/>
      <c r="Z14459" s="1"/>
      <c r="AA14459" s="1"/>
      <c r="AB14459" s="1"/>
    </row>
    <row r="14460" ht="50.25" customHeight="1">
      <c r="A14460" s="12">
        <v>14456.0</v>
      </c>
      <c r="B14460" s="13" t="s">
        <v>13537</v>
      </c>
      <c r="C14460" s="14" t="s">
        <v>13695</v>
      </c>
      <c r="D14460" s="1"/>
      <c r="E14460" s="1"/>
      <c r="F14460" s="1" t="str">
        <f>IFERROR(__xludf.DUMMYFUNCTION("GOOGLETRANSLATE(B14460, ""en"", ""fa"")
"),"موفقیت SaaS")</f>
        <v>موفقیت SaaS</v>
      </c>
      <c r="G14460" s="1" t="str">
        <f>IFERROR(__xludf.DUMMYFUNCTION("GOOGLETRANSLATE(C14460, ""en"", ""fa"")
"),"بهترین راه ها برای اطمینان از حریم خصوصی و امنیت داده ها در Saas CRM من چیست؟")</f>
        <v>بهترین راه ها برای اطمینان از حریم خصوصی و امنیت داده ها در Saas CRM من چیست؟</v>
      </c>
      <c r="H14460" s="1"/>
      <c r="I14460" s="1"/>
      <c r="J14460" s="1"/>
      <c r="K14460" s="1"/>
      <c r="L14460" s="1"/>
      <c r="M14460" s="1"/>
      <c r="N14460" s="1"/>
      <c r="O14460" s="1"/>
      <c r="P14460" s="1"/>
      <c r="Q14460" s="1"/>
      <c r="R14460" s="1"/>
      <c r="S14460" s="1"/>
      <c r="T14460" s="1"/>
      <c r="U14460" s="1"/>
      <c r="V14460" s="1"/>
      <c r="W14460" s="1"/>
      <c r="X14460" s="1"/>
      <c r="Y14460" s="1"/>
      <c r="Z14460" s="1"/>
      <c r="AA14460" s="1"/>
      <c r="AB14460" s="1"/>
    </row>
    <row r="14461" ht="50.25" customHeight="1">
      <c r="A14461" s="12">
        <v>14457.0</v>
      </c>
      <c r="B14461" s="13" t="s">
        <v>13537</v>
      </c>
      <c r="C14461" s="14" t="s">
        <v>13696</v>
      </c>
      <c r="D14461" s="1"/>
      <c r="E14461" s="1"/>
      <c r="F14461" s="1" t="str">
        <f>IFERROR(__xludf.DUMMYFUNCTION("GOOGLETRANSLATE(B14461, ""en"", ""fa"")
"),"موفقیت SaaS")</f>
        <v>موفقیت SaaS</v>
      </c>
      <c r="G14461" s="1" t="str">
        <f>IFERROR(__xludf.DUMMYFUNCTION("GOOGLETRANSLATE(C14461, ""en"", ""fa"")
"),"چگونه می توانم Saas CRM خود را برای رفع نیازهای خاص کسب و کارم سفارشی کنم؟")</f>
        <v>چگونه می توانم Saas CRM خود را برای رفع نیازهای خاص کسب و کارم سفارشی کنم؟</v>
      </c>
      <c r="H14461" s="1"/>
      <c r="I14461" s="1"/>
      <c r="J14461" s="1"/>
      <c r="K14461" s="1"/>
      <c r="L14461" s="1"/>
      <c r="M14461" s="1"/>
      <c r="N14461" s="1"/>
      <c r="O14461" s="1"/>
      <c r="P14461" s="1"/>
      <c r="Q14461" s="1"/>
      <c r="R14461" s="1"/>
      <c r="S14461" s="1"/>
      <c r="T14461" s="1"/>
      <c r="U14461" s="1"/>
      <c r="V14461" s="1"/>
      <c r="W14461" s="1"/>
      <c r="X14461" s="1"/>
      <c r="Y14461" s="1"/>
      <c r="Z14461" s="1"/>
      <c r="AA14461" s="1"/>
      <c r="AB14461" s="1"/>
    </row>
    <row r="14462" ht="50.25" customHeight="1">
      <c r="A14462" s="12">
        <v>14458.0</v>
      </c>
      <c r="B14462" s="13" t="s">
        <v>13537</v>
      </c>
      <c r="C14462" s="14" t="s">
        <v>13697</v>
      </c>
      <c r="D14462" s="1"/>
      <c r="E14462" s="1"/>
      <c r="F14462" s="1" t="str">
        <f>IFERROR(__xludf.DUMMYFUNCTION("GOOGLETRANSLATE(B14462, ""en"", ""fa"")
"),"موفقیت SaaS")</f>
        <v>موفقیت SaaS</v>
      </c>
      <c r="G14462" s="1" t="str">
        <f>IFERROR(__xludf.DUMMYFUNCTION("GOOGLETRANSLATE(C14462, ""en"", ""fa"")
"),"چگونه می توانم موفقیت Saas CRM خود را اندازه گیری کنم؟")</f>
        <v>چگونه می توانم موفقیت Saas CRM خود را اندازه گیری کنم؟</v>
      </c>
      <c r="H14462" s="1"/>
      <c r="I14462" s="1"/>
      <c r="J14462" s="1"/>
      <c r="K14462" s="1"/>
      <c r="L14462" s="1"/>
      <c r="M14462" s="1"/>
      <c r="N14462" s="1"/>
      <c r="O14462" s="1"/>
      <c r="P14462" s="1"/>
      <c r="Q14462" s="1"/>
      <c r="R14462" s="1"/>
      <c r="S14462" s="1"/>
      <c r="T14462" s="1"/>
      <c r="U14462" s="1"/>
      <c r="V14462" s="1"/>
      <c r="W14462" s="1"/>
      <c r="X14462" s="1"/>
      <c r="Y14462" s="1"/>
      <c r="Z14462" s="1"/>
      <c r="AA14462" s="1"/>
      <c r="AB14462" s="1"/>
    </row>
    <row r="14463" ht="50.25" customHeight="1">
      <c r="A14463" s="12">
        <v>14459.0</v>
      </c>
      <c r="B14463" s="13" t="s">
        <v>13537</v>
      </c>
      <c r="C14463" s="14" t="s">
        <v>13698</v>
      </c>
      <c r="D14463" s="1"/>
      <c r="E14463" s="1"/>
      <c r="F14463" s="1" t="str">
        <f>IFERROR(__xludf.DUMMYFUNCTION("GOOGLETRANSLATE(B14463, ""en"", ""fa"")
"),"موفقیت SaaS")</f>
        <v>موفقیت SaaS</v>
      </c>
      <c r="G14463" s="1" t="str">
        <f>IFERROR(__xludf.DUMMYFUNCTION("GOOGLETRANSLATE(C14463, ""en"", ""fa"")
"),"چگونه می توانم با استفاده از Saas CRM از همکاری یکپارچه بین بخش های مختلف اطمینان حاصل کنم؟")</f>
        <v>چگونه می توانم با استفاده از Saas CRM از همکاری یکپارچه بین بخش های مختلف اطمینان حاصل کنم؟</v>
      </c>
      <c r="H14463" s="1"/>
      <c r="I14463" s="1"/>
      <c r="J14463" s="1"/>
      <c r="K14463" s="1"/>
      <c r="L14463" s="1"/>
      <c r="M14463" s="1"/>
      <c r="N14463" s="1"/>
      <c r="O14463" s="1"/>
      <c r="P14463" s="1"/>
      <c r="Q14463" s="1"/>
      <c r="R14463" s="1"/>
      <c r="S14463" s="1"/>
      <c r="T14463" s="1"/>
      <c r="U14463" s="1"/>
      <c r="V14463" s="1"/>
      <c r="W14463" s="1"/>
      <c r="X14463" s="1"/>
      <c r="Y14463" s="1"/>
      <c r="Z14463" s="1"/>
      <c r="AA14463" s="1"/>
      <c r="AB14463" s="1"/>
    </row>
    <row r="14464" ht="50.25" customHeight="1">
      <c r="A14464" s="12">
        <v>14460.0</v>
      </c>
      <c r="B14464" s="13" t="s">
        <v>13537</v>
      </c>
      <c r="C14464" s="14" t="s">
        <v>13699</v>
      </c>
      <c r="D14464" s="1"/>
      <c r="E14464" s="1"/>
      <c r="F14464" s="1" t="str">
        <f>IFERROR(__xludf.DUMMYFUNCTION("GOOGLETRANSLATE(B14464, ""en"", ""fa"")
"),"موفقیت SaaS")</f>
        <v>موفقیت SaaS</v>
      </c>
      <c r="G14464" s="1" t="str">
        <f>IFERROR(__xludf.DUMMYFUNCTION("GOOGLETRANSLATE(C14464, ""en"", ""fa"")
"),"چگونه می توانم بازخورد مشتری را در Saas CRM خود ادغام کنم؟")</f>
        <v>چگونه می توانم بازخورد مشتری را در Saas CRM خود ادغام کنم؟</v>
      </c>
      <c r="H14464" s="1"/>
      <c r="I14464" s="1"/>
      <c r="J14464" s="1"/>
      <c r="K14464" s="1"/>
      <c r="L14464" s="1"/>
      <c r="M14464" s="1"/>
      <c r="N14464" s="1"/>
      <c r="O14464" s="1"/>
      <c r="P14464" s="1"/>
      <c r="Q14464" s="1"/>
      <c r="R14464" s="1"/>
      <c r="S14464" s="1"/>
      <c r="T14464" s="1"/>
      <c r="U14464" s="1"/>
      <c r="V14464" s="1"/>
      <c r="W14464" s="1"/>
      <c r="X14464" s="1"/>
      <c r="Y14464" s="1"/>
      <c r="Z14464" s="1"/>
      <c r="AA14464" s="1"/>
      <c r="AB14464" s="1"/>
    </row>
    <row r="14465" ht="50.25" customHeight="1">
      <c r="A14465" s="12">
        <v>14461.0</v>
      </c>
      <c r="B14465" s="13" t="s">
        <v>13537</v>
      </c>
      <c r="C14465" s="14" t="s">
        <v>13700</v>
      </c>
      <c r="D14465" s="1"/>
      <c r="E14465" s="1"/>
      <c r="F14465" s="1" t="str">
        <f>IFERROR(__xludf.DUMMYFUNCTION("GOOGLETRANSLATE(B14465, ""en"", ""fa"")
"),"موفقیت SaaS")</f>
        <v>موفقیت SaaS</v>
      </c>
      <c r="G14465" s="1" t="str">
        <f>IFERROR(__xludf.DUMMYFUNCTION("GOOGLETRANSLATE(C14465, ""en"", ""fa"")
"),"چگونه می توانم کارهای رایج در Saas CRM خود را برای بهبود کارایی خودکار کنم؟")</f>
        <v>چگونه می توانم کارهای رایج در Saas CRM خود را برای بهبود کارایی خودکار کنم؟</v>
      </c>
      <c r="H14465" s="1"/>
      <c r="I14465" s="1"/>
      <c r="J14465" s="1"/>
      <c r="K14465" s="1"/>
      <c r="L14465" s="1"/>
      <c r="M14465" s="1"/>
      <c r="N14465" s="1"/>
      <c r="O14465" s="1"/>
      <c r="P14465" s="1"/>
      <c r="Q14465" s="1"/>
      <c r="R14465" s="1"/>
      <c r="S14465" s="1"/>
      <c r="T14465" s="1"/>
      <c r="U14465" s="1"/>
      <c r="V14465" s="1"/>
      <c r="W14465" s="1"/>
      <c r="X14465" s="1"/>
      <c r="Y14465" s="1"/>
      <c r="Z14465" s="1"/>
      <c r="AA14465" s="1"/>
      <c r="AB14465" s="1"/>
    </row>
    <row r="14466" ht="50.25" customHeight="1">
      <c r="A14466" s="12">
        <v>14462.0</v>
      </c>
      <c r="B14466" s="13" t="s">
        <v>13537</v>
      </c>
      <c r="C14466" s="14" t="s">
        <v>13701</v>
      </c>
      <c r="D14466" s="1"/>
      <c r="E14466" s="1"/>
      <c r="F14466" s="1" t="str">
        <f>IFERROR(__xludf.DUMMYFUNCTION("GOOGLETRANSLATE(B14466, ""en"", ""fa"")
"),"موفقیت SaaS")</f>
        <v>موفقیت SaaS</v>
      </c>
      <c r="G14466" s="1" t="str">
        <f>IFERROR(__xludf.DUMMYFUNCTION("GOOGLETRANSLATE(C14466, ""en"", ""fa"")
"),"بهترین راه ها برای بهینه سازی Saas CRM من برای دستگاه های تلفن همراه چیست؟")</f>
        <v>بهترین راه ها برای بهینه سازی Saas CRM من برای دستگاه های تلفن همراه چیست؟</v>
      </c>
      <c r="H14466" s="1"/>
      <c r="I14466" s="1"/>
      <c r="J14466" s="1"/>
      <c r="K14466" s="1"/>
      <c r="L14466" s="1"/>
      <c r="M14466" s="1"/>
      <c r="N14466" s="1"/>
      <c r="O14466" s="1"/>
      <c r="P14466" s="1"/>
      <c r="Q14466" s="1"/>
      <c r="R14466" s="1"/>
      <c r="S14466" s="1"/>
      <c r="T14466" s="1"/>
      <c r="U14466" s="1"/>
      <c r="V14466" s="1"/>
      <c r="W14466" s="1"/>
      <c r="X14466" s="1"/>
      <c r="Y14466" s="1"/>
      <c r="Z14466" s="1"/>
      <c r="AA14466" s="1"/>
      <c r="AB14466" s="1"/>
    </row>
    <row r="14467" ht="50.25" customHeight="1">
      <c r="A14467" s="12">
        <v>14463.0</v>
      </c>
      <c r="B14467" s="13" t="s">
        <v>13537</v>
      </c>
      <c r="C14467" s="14" t="s">
        <v>13702</v>
      </c>
      <c r="D14467" s="1"/>
      <c r="E14467" s="1"/>
      <c r="F14467" s="1" t="str">
        <f>IFERROR(__xludf.DUMMYFUNCTION("GOOGLETRANSLATE(B14467, ""en"", ""fa"")
"),"موفقیت SaaS")</f>
        <v>موفقیت SaaS</v>
      </c>
      <c r="G14467" s="1" t="str">
        <f>IFERROR(__xludf.DUMMYFUNCTION("GOOGLETRANSLATE(C14467, ""en"", ""fa"")
"),"چگونه می توانم قابلیت های گزارش دهی و تحلیل Saas CRM خود را بهبود بخشم؟")</f>
        <v>چگونه می توانم قابلیت های گزارش دهی و تحلیل Saas CRM خود را بهبود بخشم؟</v>
      </c>
      <c r="H14467" s="1"/>
      <c r="I14467" s="1"/>
      <c r="J14467" s="1"/>
      <c r="K14467" s="1"/>
      <c r="L14467" s="1"/>
      <c r="M14467" s="1"/>
      <c r="N14467" s="1"/>
      <c r="O14467" s="1"/>
      <c r="P14467" s="1"/>
      <c r="Q14467" s="1"/>
      <c r="R14467" s="1"/>
      <c r="S14467" s="1"/>
      <c r="T14467" s="1"/>
      <c r="U14467" s="1"/>
      <c r="V14467" s="1"/>
      <c r="W14467" s="1"/>
      <c r="X14467" s="1"/>
      <c r="Y14467" s="1"/>
      <c r="Z14467" s="1"/>
      <c r="AA14467" s="1"/>
      <c r="AB14467" s="1"/>
    </row>
    <row r="14468" ht="50.25" customHeight="1">
      <c r="A14468" s="12">
        <v>14464.0</v>
      </c>
      <c r="B14468" s="13" t="s">
        <v>13537</v>
      </c>
      <c r="C14468" s="14" t="s">
        <v>13703</v>
      </c>
      <c r="D14468" s="1"/>
      <c r="E14468" s="1"/>
      <c r="F14468" s="1" t="str">
        <f>IFERROR(__xludf.DUMMYFUNCTION("GOOGLETRANSLATE(B14468, ""en"", ""fa"")
"),"موفقیت SaaS")</f>
        <v>موفقیت SaaS</v>
      </c>
      <c r="G14468" s="1" t="str">
        <f>IFERROR(__xludf.DUMMYFUNCTION("GOOGLETRANSLATE(C14468, ""en"", ""fa"")
"),"چگونه می توانم از Saas CRM خود برای بهبود خدمات و پشتیبانی مشتری استفاده کنم؟")</f>
        <v>چگونه می توانم از Saas CRM خود برای بهبود خدمات و پشتیبانی مشتری استفاده کنم؟</v>
      </c>
      <c r="H14468" s="1"/>
      <c r="I14468" s="1"/>
      <c r="J14468" s="1"/>
      <c r="K14468" s="1"/>
      <c r="L14468" s="1"/>
      <c r="M14468" s="1"/>
      <c r="N14468" s="1"/>
      <c r="O14468" s="1"/>
      <c r="P14468" s="1"/>
      <c r="Q14468" s="1"/>
      <c r="R14468" s="1"/>
      <c r="S14468" s="1"/>
      <c r="T14468" s="1"/>
      <c r="U14468" s="1"/>
      <c r="V14468" s="1"/>
      <c r="W14468" s="1"/>
      <c r="X14468" s="1"/>
      <c r="Y14468" s="1"/>
      <c r="Z14468" s="1"/>
      <c r="AA14468" s="1"/>
      <c r="AB14468" s="1"/>
    </row>
    <row r="14469" ht="50.25" customHeight="1">
      <c r="A14469" s="12">
        <v>14465.0</v>
      </c>
      <c r="B14469" s="13" t="s">
        <v>13537</v>
      </c>
      <c r="C14469" s="14" t="s">
        <v>13704</v>
      </c>
      <c r="D14469" s="1"/>
      <c r="E14469" s="1"/>
      <c r="F14469" s="1" t="str">
        <f>IFERROR(__xludf.DUMMYFUNCTION("GOOGLETRANSLATE(B14469, ""en"", ""fa"")
"),"موفقیت SaaS")</f>
        <v>موفقیت SaaS</v>
      </c>
      <c r="G14469" s="1" t="str">
        <f>IFERROR(__xludf.DUMMYFUNCTION("GOOGLETRANSLATE(C14469, ""en"", ""fa"")
"),"چگونه می توانم یک فرآیند موفقیت آمیز onboarding را برای کاربران Saas CRM خود پیاده سازی کنم؟")</f>
        <v>چگونه می توانم یک فرآیند موفقیت آمیز onboarding را برای کاربران Saas CRM خود پیاده سازی کنم؟</v>
      </c>
      <c r="H14469" s="1"/>
      <c r="I14469" s="1"/>
      <c r="J14469" s="1"/>
      <c r="K14469" s="1"/>
      <c r="L14469" s="1"/>
      <c r="M14469" s="1"/>
      <c r="N14469" s="1"/>
      <c r="O14469" s="1"/>
      <c r="P14469" s="1"/>
      <c r="Q14469" s="1"/>
      <c r="R14469" s="1"/>
      <c r="S14469" s="1"/>
      <c r="T14469" s="1"/>
      <c r="U14469" s="1"/>
      <c r="V14469" s="1"/>
      <c r="W14469" s="1"/>
      <c r="X14469" s="1"/>
      <c r="Y14469" s="1"/>
      <c r="Z14469" s="1"/>
      <c r="AA14469" s="1"/>
      <c r="AB14469" s="1"/>
    </row>
    <row r="14470" ht="50.25" customHeight="1">
      <c r="A14470" s="12">
        <v>14466.0</v>
      </c>
      <c r="B14470" s="13" t="s">
        <v>13537</v>
      </c>
      <c r="C14470" s="14" t="s">
        <v>13705</v>
      </c>
      <c r="D14470" s="1"/>
      <c r="E14470" s="1"/>
      <c r="F14470" s="1" t="str">
        <f>IFERROR(__xludf.DUMMYFUNCTION("GOOGLETRANSLATE(B14470, ""en"", ""fa"")
"),"موفقیت SaaS")</f>
        <v>موفقیت SaaS</v>
      </c>
      <c r="G14470" s="1" t="str">
        <f>IFERROR(__xludf.DUMMYFUNCTION("GOOGLETRANSLATE(C14470, ""en"", ""fa"")
"),"چگونه می توانم مطمئن شوم که Saas CRM من برای همه اعضای تیمم قابل دسترس و قابل استفاده است؟")</f>
        <v>چگونه می توانم مطمئن شوم که Saas CRM من برای همه اعضای تیمم قابل دسترس و قابل استفاده است؟</v>
      </c>
      <c r="H14470" s="1"/>
      <c r="I14470" s="1"/>
      <c r="J14470" s="1"/>
      <c r="K14470" s="1"/>
      <c r="L14470" s="1"/>
      <c r="M14470" s="1"/>
      <c r="N14470" s="1"/>
      <c r="O14470" s="1"/>
      <c r="P14470" s="1"/>
      <c r="Q14470" s="1"/>
      <c r="R14470" s="1"/>
      <c r="S14470" s="1"/>
      <c r="T14470" s="1"/>
      <c r="U14470" s="1"/>
      <c r="V14470" s="1"/>
      <c r="W14470" s="1"/>
      <c r="X14470" s="1"/>
      <c r="Y14470" s="1"/>
      <c r="Z14470" s="1"/>
      <c r="AA14470" s="1"/>
      <c r="AB14470" s="1"/>
    </row>
    <row r="14471" ht="50.25" customHeight="1">
      <c r="A14471" s="12">
        <v>14467.0</v>
      </c>
      <c r="B14471" s="13" t="s">
        <v>13537</v>
      </c>
      <c r="C14471" s="14" t="s">
        <v>13706</v>
      </c>
      <c r="D14471" s="1"/>
      <c r="E14471" s="1"/>
      <c r="F14471" s="1" t="str">
        <f>IFERROR(__xludf.DUMMYFUNCTION("GOOGLETRANSLATE(B14471, ""en"", ""fa"")
"),"موفقیت SaaS")</f>
        <v>موفقیت SaaS</v>
      </c>
      <c r="G14471" s="1" t="str">
        <f>IFERROR(__xludf.DUMMYFUNCTION("GOOGLETRANSLATE(C14471, ""en"", ""fa"")
"),"چگونه می توانم رسانه های اجتماعی را در Saas CRM خود ادغام کنم؟")</f>
        <v>چگونه می توانم رسانه های اجتماعی را در Saas CRM خود ادغام کنم؟</v>
      </c>
      <c r="H14471" s="1"/>
      <c r="I14471" s="1"/>
      <c r="J14471" s="1"/>
      <c r="K14471" s="1"/>
      <c r="L14471" s="1"/>
      <c r="M14471" s="1"/>
      <c r="N14471" s="1"/>
      <c r="O14471" s="1"/>
      <c r="P14471" s="1"/>
      <c r="Q14471" s="1"/>
      <c r="R14471" s="1"/>
      <c r="S14471" s="1"/>
      <c r="T14471" s="1"/>
      <c r="U14471" s="1"/>
      <c r="V14471" s="1"/>
      <c r="W14471" s="1"/>
      <c r="X14471" s="1"/>
      <c r="Y14471" s="1"/>
      <c r="Z14471" s="1"/>
      <c r="AA14471" s="1"/>
      <c r="AB14471" s="1"/>
    </row>
    <row r="14472" ht="50.25" customHeight="1">
      <c r="A14472" s="12">
        <v>14468.0</v>
      </c>
      <c r="B14472" s="13" t="s">
        <v>13537</v>
      </c>
      <c r="C14472" s="14" t="s">
        <v>13707</v>
      </c>
      <c r="D14472" s="1"/>
      <c r="E14472" s="1"/>
      <c r="F14472" s="1" t="str">
        <f>IFERROR(__xludf.DUMMYFUNCTION("GOOGLETRANSLATE(B14472, ""en"", ""fa"")
"),"موفقیت SaaS")</f>
        <v>موفقیت SaaS</v>
      </c>
      <c r="G14472" s="1" t="str">
        <f>IFERROR(__xludf.DUMMYFUNCTION("GOOGLETRANSLATE(C14472, ""en"", ""fa"")
"),"چگونه می توانم از تکنیک های گیمیفیکیشن برای بهبود پذیرش کاربر Saas CRM خود استفاده کنم؟")</f>
        <v>چگونه می توانم از تکنیک های گیمیفیکیشن برای بهبود پذیرش کاربر Saas CRM خود استفاده کنم؟</v>
      </c>
      <c r="H14472" s="1"/>
      <c r="I14472" s="1"/>
      <c r="J14472" s="1"/>
      <c r="K14472" s="1"/>
      <c r="L14472" s="1"/>
      <c r="M14472" s="1"/>
      <c r="N14472" s="1"/>
      <c r="O14472" s="1"/>
      <c r="P14472" s="1"/>
      <c r="Q14472" s="1"/>
      <c r="R14472" s="1"/>
      <c r="S14472" s="1"/>
      <c r="T14472" s="1"/>
      <c r="U14472" s="1"/>
      <c r="V14472" s="1"/>
      <c r="W14472" s="1"/>
      <c r="X14472" s="1"/>
      <c r="Y14472" s="1"/>
      <c r="Z14472" s="1"/>
      <c r="AA14472" s="1"/>
      <c r="AB14472" s="1"/>
    </row>
    <row r="14473" ht="50.25" customHeight="1">
      <c r="A14473" s="12">
        <v>14469.0</v>
      </c>
      <c r="B14473" s="13" t="s">
        <v>13537</v>
      </c>
      <c r="C14473" s="14" t="s">
        <v>13708</v>
      </c>
      <c r="D14473" s="1"/>
      <c r="E14473" s="1"/>
      <c r="F14473" s="1" t="str">
        <f>IFERROR(__xludf.DUMMYFUNCTION("GOOGLETRANSLATE(B14473, ""en"", ""fa"")
"),"موفقیت SaaS")</f>
        <v>موفقیت SaaS</v>
      </c>
      <c r="G14473" s="1" t="str">
        <f>IFERROR(__xludf.DUMMYFUNCTION("GOOGLETRANSLATE(C14473, ""en"", ""fa"")
"),"بهترین روش ها برای انتقال داده ها هنگام تغییر به Saas CRM جدید چیست؟")</f>
        <v>بهترین روش ها برای انتقال داده ها هنگام تغییر به Saas CRM جدید چیست؟</v>
      </c>
      <c r="H14473" s="1"/>
      <c r="I14473" s="1"/>
      <c r="J14473" s="1"/>
      <c r="K14473" s="1"/>
      <c r="L14473" s="1"/>
      <c r="M14473" s="1"/>
      <c r="N14473" s="1"/>
      <c r="O14473" s="1"/>
      <c r="P14473" s="1"/>
      <c r="Q14473" s="1"/>
      <c r="R14473" s="1"/>
      <c r="S14473" s="1"/>
      <c r="T14473" s="1"/>
      <c r="U14473" s="1"/>
      <c r="V14473" s="1"/>
      <c r="W14473" s="1"/>
      <c r="X14473" s="1"/>
      <c r="Y14473" s="1"/>
      <c r="Z14473" s="1"/>
      <c r="AA14473" s="1"/>
      <c r="AB14473" s="1"/>
    </row>
    <row r="14474" ht="50.25" customHeight="1">
      <c r="A14474" s="12">
        <v>14470.0</v>
      </c>
      <c r="B14474" s="13" t="s">
        <v>13537</v>
      </c>
      <c r="C14474" s="14" t="s">
        <v>13709</v>
      </c>
      <c r="D14474" s="1"/>
      <c r="E14474" s="1"/>
      <c r="F14474" s="1" t="str">
        <f>IFERROR(__xludf.DUMMYFUNCTION("GOOGLETRANSLATE(B14474, ""en"", ""fa"")
"),"موفقیت SaaS")</f>
        <v>موفقیت SaaS</v>
      </c>
      <c r="G14474" s="1" t="str">
        <f>IFERROR(__xludf.DUMMYFUNCTION("GOOGLETRANSLATE(C14474, ""en"", ""fa"")
"),"چگونه می توانم از Saas CRM خود برای بهبود پیش بینی و برنامه ریزی فروش استفاده کنم؟")</f>
        <v>چگونه می توانم از Saas CRM خود برای بهبود پیش بینی و برنامه ریزی فروش استفاده کنم؟</v>
      </c>
      <c r="H14474" s="1"/>
      <c r="I14474" s="1"/>
      <c r="J14474" s="1"/>
      <c r="K14474" s="1"/>
      <c r="L14474" s="1"/>
      <c r="M14474" s="1"/>
      <c r="N14474" s="1"/>
      <c r="O14474" s="1"/>
      <c r="P14474" s="1"/>
      <c r="Q14474" s="1"/>
      <c r="R14474" s="1"/>
      <c r="S14474" s="1"/>
      <c r="T14474" s="1"/>
      <c r="U14474" s="1"/>
      <c r="V14474" s="1"/>
      <c r="W14474" s="1"/>
      <c r="X14474" s="1"/>
      <c r="Y14474" s="1"/>
      <c r="Z14474" s="1"/>
      <c r="AA14474" s="1"/>
      <c r="AB14474" s="1"/>
    </row>
    <row r="14475" ht="50.25" customHeight="1">
      <c r="A14475" s="12">
        <v>14471.0</v>
      </c>
      <c r="B14475" s="13" t="s">
        <v>13537</v>
      </c>
      <c r="C14475" s="14" t="s">
        <v>13710</v>
      </c>
      <c r="D14475" s="1"/>
      <c r="E14475" s="1"/>
      <c r="F14475" s="1" t="str">
        <f>IFERROR(__xludf.DUMMYFUNCTION("GOOGLETRANSLATE(B14475, ""en"", ""fa"")
"),"موفقیت SaaS")</f>
        <v>موفقیت SaaS</v>
      </c>
      <c r="G14475" s="1" t="str">
        <f>IFERROR(__xludf.DUMMYFUNCTION("GOOGLETRANSLATE(C14475, ""en"", ""fa"")
"),"چگونه می توانم اطمینان حاصل کنم که Saas CRM من با مقررات و استانداردهای صنعت مطابقت دارد؟")</f>
        <v>چگونه می توانم اطمینان حاصل کنم که Saas CRM من با مقررات و استانداردهای صنعت مطابقت دارد؟</v>
      </c>
      <c r="H14475" s="1"/>
      <c r="I14475" s="1"/>
      <c r="J14475" s="1"/>
      <c r="K14475" s="1"/>
      <c r="L14475" s="1"/>
      <c r="M14475" s="1"/>
      <c r="N14475" s="1"/>
      <c r="O14475" s="1"/>
      <c r="P14475" s="1"/>
      <c r="Q14475" s="1"/>
      <c r="R14475" s="1"/>
      <c r="S14475" s="1"/>
      <c r="T14475" s="1"/>
      <c r="U14475" s="1"/>
      <c r="V14475" s="1"/>
      <c r="W14475" s="1"/>
      <c r="X14475" s="1"/>
      <c r="Y14475" s="1"/>
      <c r="Z14475" s="1"/>
      <c r="AA14475" s="1"/>
      <c r="AB14475" s="1"/>
    </row>
    <row r="14476" ht="50.25" customHeight="1">
      <c r="A14476" s="12">
        <v>14472.0</v>
      </c>
      <c r="B14476" s="13" t="s">
        <v>13537</v>
      </c>
      <c r="C14476" s="14" t="s">
        <v>13711</v>
      </c>
      <c r="D14476" s="1"/>
      <c r="E14476" s="1"/>
      <c r="F14476" s="1" t="str">
        <f>IFERROR(__xludf.DUMMYFUNCTION("GOOGLETRANSLATE(B14476, ""en"", ""fa"")
"),"موفقیت SaaS")</f>
        <v>موفقیت SaaS</v>
      </c>
      <c r="G14476" s="1" t="str">
        <f>IFERROR(__xludf.DUMMYFUNCTION("GOOGLETRANSLATE(C14476, ""en"", ""fa"")
"),"چگونه می توانم Saas CRM خود را برای تیم های چندکاره بهینه کنم؟")</f>
        <v>چگونه می توانم Saas CRM خود را برای تیم های چندکاره بهینه کنم؟</v>
      </c>
      <c r="H14476" s="1"/>
      <c r="I14476" s="1"/>
      <c r="J14476" s="1"/>
      <c r="K14476" s="1"/>
      <c r="L14476" s="1"/>
      <c r="M14476" s="1"/>
      <c r="N14476" s="1"/>
      <c r="O14476" s="1"/>
      <c r="P14476" s="1"/>
      <c r="Q14476" s="1"/>
      <c r="R14476" s="1"/>
      <c r="S14476" s="1"/>
      <c r="T14476" s="1"/>
      <c r="U14476" s="1"/>
      <c r="V14476" s="1"/>
      <c r="W14476" s="1"/>
      <c r="X14476" s="1"/>
      <c r="Y14476" s="1"/>
      <c r="Z14476" s="1"/>
      <c r="AA14476" s="1"/>
      <c r="AB14476" s="1"/>
    </row>
    <row r="14477" ht="50.25" customHeight="1">
      <c r="A14477" s="12">
        <v>14473.0</v>
      </c>
      <c r="B14477" s="13" t="s">
        <v>13537</v>
      </c>
      <c r="C14477" s="14" t="s">
        <v>13712</v>
      </c>
      <c r="D14477" s="1"/>
      <c r="E14477" s="1"/>
      <c r="F14477" s="1" t="str">
        <f>IFERROR(__xludf.DUMMYFUNCTION("GOOGLETRANSLATE(B14477, ""en"", ""fa"")
"),"موفقیت SaaS")</f>
        <v>موفقیت SaaS</v>
      </c>
      <c r="G14477" s="1" t="str">
        <f>IFERROR(__xludf.DUMMYFUNCTION("GOOGLETRANSLATE(C14477, ""en"", ""fa"")
"),"چگونه می توانم از Saas CRM خود برای بهبود حفظ و وفاداری مشتری استفاده کنم؟")</f>
        <v>چگونه می توانم از Saas CRM خود برای بهبود حفظ و وفاداری مشتری استفاده کنم؟</v>
      </c>
      <c r="H14477" s="1"/>
      <c r="I14477" s="1"/>
      <c r="J14477" s="1"/>
      <c r="K14477" s="1"/>
      <c r="L14477" s="1"/>
      <c r="M14477" s="1"/>
      <c r="N14477" s="1"/>
      <c r="O14477" s="1"/>
      <c r="P14477" s="1"/>
      <c r="Q14477" s="1"/>
      <c r="R14477" s="1"/>
      <c r="S14477" s="1"/>
      <c r="T14477" s="1"/>
      <c r="U14477" s="1"/>
      <c r="V14477" s="1"/>
      <c r="W14477" s="1"/>
      <c r="X14477" s="1"/>
      <c r="Y14477" s="1"/>
      <c r="Z14477" s="1"/>
      <c r="AA14477" s="1"/>
      <c r="AB14477" s="1"/>
    </row>
    <row r="14478" ht="50.25" customHeight="1">
      <c r="A14478" s="12">
        <v>14474.0</v>
      </c>
      <c r="B14478" s="13" t="s">
        <v>13537</v>
      </c>
      <c r="C14478" s="14" t="s">
        <v>13713</v>
      </c>
      <c r="D14478" s="1"/>
      <c r="E14478" s="1"/>
      <c r="F14478" s="1" t="str">
        <f>IFERROR(__xludf.DUMMYFUNCTION("GOOGLETRANSLATE(B14478, ""en"", ""fa"")
"),"موفقیت SaaS")</f>
        <v>موفقیت SaaS</v>
      </c>
      <c r="G14478" s="1" t="str">
        <f>IFERROR(__xludf.DUMMYFUNCTION("GOOGLETRANSLATE(C14478, ""en"", ""fa"")
"),"چگونه می توانم فرآیند امتیازدهی و صلاحیت Saas CRM خود را بهبود بخشم؟")</f>
        <v>چگونه می توانم فرآیند امتیازدهی و صلاحیت Saas CRM خود را بهبود بخشم؟</v>
      </c>
      <c r="H14478" s="1"/>
      <c r="I14478" s="1"/>
      <c r="J14478" s="1"/>
      <c r="K14478" s="1"/>
      <c r="L14478" s="1"/>
      <c r="M14478" s="1"/>
      <c r="N14478" s="1"/>
      <c r="O14478" s="1"/>
      <c r="P14478" s="1"/>
      <c r="Q14478" s="1"/>
      <c r="R14478" s="1"/>
      <c r="S14478" s="1"/>
      <c r="T14478" s="1"/>
      <c r="U14478" s="1"/>
      <c r="V14478" s="1"/>
      <c r="W14478" s="1"/>
      <c r="X14478" s="1"/>
      <c r="Y14478" s="1"/>
      <c r="Z14478" s="1"/>
      <c r="AA14478" s="1"/>
      <c r="AB14478" s="1"/>
    </row>
    <row r="14479" ht="50.25" customHeight="1">
      <c r="A14479" s="12">
        <v>14475.0</v>
      </c>
      <c r="B14479" s="13" t="s">
        <v>13537</v>
      </c>
      <c r="C14479" s="14" t="s">
        <v>13714</v>
      </c>
      <c r="D14479" s="1"/>
      <c r="E14479" s="1"/>
      <c r="F14479" s="1" t="str">
        <f>IFERROR(__xludf.DUMMYFUNCTION("GOOGLETRANSLATE(B14479, ""en"", ""fa"")
"),"موفقیت SaaS")</f>
        <v>موفقیت SaaS</v>
      </c>
      <c r="G14479" s="1" t="str">
        <f>IFERROR(__xludf.DUMMYFUNCTION("GOOGLETRANSLATE(C14479, ""en"", ""fa"")
"),"چگونه می توانم از Saas CRM خود برای افزایش بهره وری و عملکرد فروش استفاده کنم؟")</f>
        <v>چگونه می توانم از Saas CRM خود برای افزایش بهره وری و عملکرد فروش استفاده کنم؟</v>
      </c>
      <c r="H14479" s="1"/>
      <c r="I14479" s="1"/>
      <c r="J14479" s="1"/>
      <c r="K14479" s="1"/>
      <c r="L14479" s="1"/>
      <c r="M14479" s="1"/>
      <c r="N14479" s="1"/>
      <c r="O14479" s="1"/>
      <c r="P14479" s="1"/>
      <c r="Q14479" s="1"/>
      <c r="R14479" s="1"/>
      <c r="S14479" s="1"/>
      <c r="T14479" s="1"/>
      <c r="U14479" s="1"/>
      <c r="V14479" s="1"/>
      <c r="W14479" s="1"/>
      <c r="X14479" s="1"/>
      <c r="Y14479" s="1"/>
      <c r="Z14479" s="1"/>
      <c r="AA14479" s="1"/>
      <c r="AB14479" s="1"/>
    </row>
    <row r="14480" ht="50.25" customHeight="1">
      <c r="A14480" s="12">
        <v>14476.0</v>
      </c>
      <c r="B14480" s="13" t="s">
        <v>13537</v>
      </c>
      <c r="C14480" s="14" t="s">
        <v>13715</v>
      </c>
      <c r="D14480" s="1"/>
      <c r="E14480" s="1"/>
      <c r="F14480" s="1" t="str">
        <f>IFERROR(__xludf.DUMMYFUNCTION("GOOGLETRANSLATE(B14480, ""en"", ""fa"")
"),"موفقیت SaaS")</f>
        <v>موفقیت SaaS</v>
      </c>
      <c r="G14480" s="1" t="str">
        <f>IFERROR(__xludf.DUMMYFUNCTION("GOOGLETRANSLATE(C14480, ""en"", ""fa"")
"),"چگونه می توانم Saas CRM خود را برای تجارت بین المللی و پشتیبانی چند زبانه بهینه کنم؟")</f>
        <v>چگونه می توانم Saas CRM خود را برای تجارت بین المللی و پشتیبانی چند زبانه بهینه کنم؟</v>
      </c>
      <c r="H14480" s="1"/>
      <c r="I14480" s="1"/>
      <c r="J14480" s="1"/>
      <c r="K14480" s="1"/>
      <c r="L14480" s="1"/>
      <c r="M14480" s="1"/>
      <c r="N14480" s="1"/>
      <c r="O14480" s="1"/>
      <c r="P14480" s="1"/>
      <c r="Q14480" s="1"/>
      <c r="R14480" s="1"/>
      <c r="S14480" s="1"/>
      <c r="T14480" s="1"/>
      <c r="U14480" s="1"/>
      <c r="V14480" s="1"/>
      <c r="W14480" s="1"/>
      <c r="X14480" s="1"/>
      <c r="Y14480" s="1"/>
      <c r="Z14480" s="1"/>
      <c r="AA14480" s="1"/>
      <c r="AB14480" s="1"/>
    </row>
    <row r="14481" ht="50.25" customHeight="1">
      <c r="A14481" s="12">
        <v>14477.0</v>
      </c>
      <c r="B14481" s="13" t="s">
        <v>13537</v>
      </c>
      <c r="C14481" s="14" t="s">
        <v>13716</v>
      </c>
      <c r="D14481" s="1"/>
      <c r="E14481" s="1"/>
      <c r="F14481" s="1" t="str">
        <f>IFERROR(__xludf.DUMMYFUNCTION("GOOGLETRANSLATE(B14481, ""en"", ""fa"")
"),"موفقیت SaaS")</f>
        <v>موفقیت SaaS</v>
      </c>
      <c r="G14481" s="1" t="str">
        <f>IFERROR(__xludf.DUMMYFUNCTION("GOOGLETRANSLATE(C14481, ""en"", ""fa"")
"),"چگونه می توانم از Saas CRM خود برای بهبود اثربخشی بازاریابی و بازگشت سرمایه استفاده کنم؟")</f>
        <v>چگونه می توانم از Saas CRM خود برای بهبود اثربخشی بازاریابی و بازگشت سرمایه استفاده کنم؟</v>
      </c>
      <c r="H14481" s="1"/>
      <c r="I14481" s="1"/>
      <c r="J14481" s="1"/>
      <c r="K14481" s="1"/>
      <c r="L14481" s="1"/>
      <c r="M14481" s="1"/>
      <c r="N14481" s="1"/>
      <c r="O14481" s="1"/>
      <c r="P14481" s="1"/>
      <c r="Q14481" s="1"/>
      <c r="R14481" s="1"/>
      <c r="S14481" s="1"/>
      <c r="T14481" s="1"/>
      <c r="U14481" s="1"/>
      <c r="V14481" s="1"/>
      <c r="W14481" s="1"/>
      <c r="X14481" s="1"/>
      <c r="Y14481" s="1"/>
      <c r="Z14481" s="1"/>
      <c r="AA14481" s="1"/>
      <c r="AB14481" s="1"/>
    </row>
    <row r="14482" ht="50.25" customHeight="1">
      <c r="A14482" s="12">
        <v>14478.0</v>
      </c>
      <c r="B14482" s="13" t="s">
        <v>13537</v>
      </c>
      <c r="C14482" s="14" t="s">
        <v>13717</v>
      </c>
      <c r="D14482" s="1"/>
      <c r="E14482" s="1"/>
      <c r="F14482" s="1" t="str">
        <f>IFERROR(__xludf.DUMMYFUNCTION("GOOGLETRANSLATE(B14482, ""en"", ""fa"")
"),"موفقیت SaaS")</f>
        <v>موفقیت SaaS</v>
      </c>
      <c r="G14482" s="1" t="str">
        <f>IFERROR(__xludf.DUMMYFUNCTION("GOOGLETRANSLATE(C14482, ""en"", ""fa"")
"),"چگونه می توانم اطمینان حاصل کنم که Saas CRM من مقیاس پذیر است و می تواند با کسب و کار من رشد کند؟")</f>
        <v>چگونه می توانم اطمینان حاصل کنم که Saas CRM من مقیاس پذیر است و می تواند با کسب و کار من رشد کند؟</v>
      </c>
      <c r="H14482" s="1"/>
      <c r="I14482" s="1"/>
      <c r="J14482" s="1"/>
      <c r="K14482" s="1"/>
      <c r="L14482" s="1"/>
      <c r="M14482" s="1"/>
      <c r="N14482" s="1"/>
      <c r="O14482" s="1"/>
      <c r="P14482" s="1"/>
      <c r="Q14482" s="1"/>
      <c r="R14482" s="1"/>
      <c r="S14482" s="1"/>
      <c r="T14482" s="1"/>
      <c r="U14482" s="1"/>
      <c r="V14482" s="1"/>
      <c r="W14482" s="1"/>
      <c r="X14482" s="1"/>
      <c r="Y14482" s="1"/>
      <c r="Z14482" s="1"/>
      <c r="AA14482" s="1"/>
      <c r="AB14482" s="1"/>
    </row>
    <row r="14483" ht="50.25" customHeight="1">
      <c r="A14483" s="12">
        <v>14479.0</v>
      </c>
      <c r="B14483" s="13" t="s">
        <v>13537</v>
      </c>
      <c r="C14483" s="14" t="s">
        <v>13718</v>
      </c>
      <c r="D14483" s="1"/>
      <c r="E14483" s="1"/>
      <c r="F14483" s="1" t="str">
        <f>IFERROR(__xludf.DUMMYFUNCTION("GOOGLETRANSLATE(B14483, ""en"", ""fa"")
"),"موفقیت SaaS")</f>
        <v>موفقیت SaaS</v>
      </c>
      <c r="G14483" s="1" t="str">
        <f>IFERROR(__xludf.DUMMYFUNCTION("GOOGLETRANSLATE(C14483, ""en"", ""fa"")
"),"چگونه می توانم از Saas CRM خود برای بهبود همکاری بین تیم های فروش و بازاریابی استفاده کنم؟")</f>
        <v>چگونه می توانم از Saas CRM خود برای بهبود همکاری بین تیم های فروش و بازاریابی استفاده کنم؟</v>
      </c>
      <c r="H14483" s="1"/>
      <c r="I14483" s="1"/>
      <c r="J14483" s="1"/>
      <c r="K14483" s="1"/>
      <c r="L14483" s="1"/>
      <c r="M14483" s="1"/>
      <c r="N14483" s="1"/>
      <c r="O14483" s="1"/>
      <c r="P14483" s="1"/>
      <c r="Q14483" s="1"/>
      <c r="R14483" s="1"/>
      <c r="S14483" s="1"/>
      <c r="T14483" s="1"/>
      <c r="U14483" s="1"/>
      <c r="V14483" s="1"/>
      <c r="W14483" s="1"/>
      <c r="X14483" s="1"/>
      <c r="Y14483" s="1"/>
      <c r="Z14483" s="1"/>
      <c r="AA14483" s="1"/>
      <c r="AB14483" s="1"/>
    </row>
    <row r="14484" ht="50.25" customHeight="1">
      <c r="A14484" s="12">
        <v>14480.0</v>
      </c>
      <c r="B14484" s="13" t="s">
        <v>13537</v>
      </c>
      <c r="C14484" s="14" t="s">
        <v>13719</v>
      </c>
      <c r="D14484" s="1"/>
      <c r="E14484" s="1"/>
      <c r="F14484" s="1" t="str">
        <f>IFERROR(__xludf.DUMMYFUNCTION("GOOGLETRANSLATE(B14484, ""en"", ""fa"")
"),"موفقیت SaaS")</f>
        <v>موفقیت SaaS</v>
      </c>
      <c r="G14484" s="1" t="str">
        <f>IFERROR(__xludf.DUMMYFUNCTION("GOOGLETRANSLATE(C14484, ""en"", ""fa"")
"),"چگونه می توانم قابلیت های ایمیل و ارتباطات Saas CRM خود را بهبود بخشم؟")</f>
        <v>چگونه می توانم قابلیت های ایمیل و ارتباطات Saas CRM خود را بهبود بخشم؟</v>
      </c>
      <c r="H14484" s="1"/>
      <c r="I14484" s="1"/>
      <c r="J14484" s="1"/>
      <c r="K14484" s="1"/>
      <c r="L14484" s="1"/>
      <c r="M14484" s="1"/>
      <c r="N14484" s="1"/>
      <c r="O14484" s="1"/>
      <c r="P14484" s="1"/>
      <c r="Q14484" s="1"/>
      <c r="R14484" s="1"/>
      <c r="S14484" s="1"/>
      <c r="T14484" s="1"/>
      <c r="U14484" s="1"/>
      <c r="V14484" s="1"/>
      <c r="W14484" s="1"/>
      <c r="X14484" s="1"/>
      <c r="Y14484" s="1"/>
      <c r="Z14484" s="1"/>
      <c r="AA14484" s="1"/>
      <c r="AB14484" s="1"/>
    </row>
    <row r="14485" ht="50.25" customHeight="1">
      <c r="A14485" s="12">
        <v>14481.0</v>
      </c>
      <c r="B14485" s="13" t="s">
        <v>13537</v>
      </c>
      <c r="C14485" s="14" t="s">
        <v>13720</v>
      </c>
      <c r="D14485" s="1"/>
      <c r="E14485" s="1"/>
      <c r="F14485" s="1" t="str">
        <f>IFERROR(__xludf.DUMMYFUNCTION("GOOGLETRANSLATE(B14485, ""en"", ""fa"")
"),"موفقیت SaaS")</f>
        <v>موفقیت SaaS</v>
      </c>
      <c r="G14485" s="1" t="str">
        <f>IFERROR(__xludf.DUMMYFUNCTION("GOOGLETRANSLATE(C14485, ""en"", ""fa"")
"),"چگونه می توانم از Saas CRM خود برای بهبود فرآیندهای بسته شدن معامله و مذاکره استفاده کنم؟")</f>
        <v>چگونه می توانم از Saas CRM خود برای بهبود فرآیندهای بسته شدن معامله و مذاکره استفاده کنم؟</v>
      </c>
      <c r="H14485" s="1"/>
      <c r="I14485" s="1"/>
      <c r="J14485" s="1"/>
      <c r="K14485" s="1"/>
      <c r="L14485" s="1"/>
      <c r="M14485" s="1"/>
      <c r="N14485" s="1"/>
      <c r="O14485" s="1"/>
      <c r="P14485" s="1"/>
      <c r="Q14485" s="1"/>
      <c r="R14485" s="1"/>
      <c r="S14485" s="1"/>
      <c r="T14485" s="1"/>
      <c r="U14485" s="1"/>
      <c r="V14485" s="1"/>
      <c r="W14485" s="1"/>
      <c r="X14485" s="1"/>
      <c r="Y14485" s="1"/>
      <c r="Z14485" s="1"/>
      <c r="AA14485" s="1"/>
      <c r="AB14485" s="1"/>
    </row>
    <row r="14486" ht="50.25" customHeight="1">
      <c r="A14486" s="12">
        <v>14482.0</v>
      </c>
      <c r="B14486" s="13" t="s">
        <v>13537</v>
      </c>
      <c r="C14486" s="14" t="s">
        <v>13721</v>
      </c>
      <c r="D14486" s="1"/>
      <c r="E14486" s="1"/>
      <c r="F14486" s="1" t="str">
        <f>IFERROR(__xludf.DUMMYFUNCTION("GOOGLETRANSLATE(B14486, ""en"", ""fa"")
"),"موفقیت SaaS")</f>
        <v>موفقیت SaaS</v>
      </c>
      <c r="G14486" s="1" t="str">
        <f>IFERROR(__xludf.DUMMYFUNCTION("GOOGLETRANSLATE(C14486, ""en"", ""fa"")
"),"چگونه می توانم Saas CRM خود را برای تیم های راه دور و توزیع شده بهینه کنم؟")</f>
        <v>چگونه می توانم Saas CRM خود را برای تیم های راه دور و توزیع شده بهینه کنم؟</v>
      </c>
      <c r="H14486" s="1"/>
      <c r="I14486" s="1"/>
      <c r="J14486" s="1"/>
      <c r="K14486" s="1"/>
      <c r="L14486" s="1"/>
      <c r="M14486" s="1"/>
      <c r="N14486" s="1"/>
      <c r="O14486" s="1"/>
      <c r="P14486" s="1"/>
      <c r="Q14486" s="1"/>
      <c r="R14486" s="1"/>
      <c r="S14486" s="1"/>
      <c r="T14486" s="1"/>
      <c r="U14486" s="1"/>
      <c r="V14486" s="1"/>
      <c r="W14486" s="1"/>
      <c r="X14486" s="1"/>
      <c r="Y14486" s="1"/>
      <c r="Z14486" s="1"/>
      <c r="AA14486" s="1"/>
      <c r="AB14486" s="1"/>
    </row>
    <row r="14487" ht="50.25" customHeight="1">
      <c r="A14487" s="12">
        <v>14483.0</v>
      </c>
      <c r="B14487" s="13" t="s">
        <v>13537</v>
      </c>
      <c r="C14487" s="14" t="s">
        <v>13722</v>
      </c>
      <c r="D14487" s="1"/>
      <c r="E14487" s="1"/>
      <c r="F14487" s="1" t="str">
        <f>IFERROR(__xludf.DUMMYFUNCTION("GOOGLETRANSLATE(B14487, ""en"", ""fa"")
"),"موفقیت SaaS")</f>
        <v>موفقیت SaaS</v>
      </c>
      <c r="G14487" s="1" t="str">
        <f>IFERROR(__xludf.DUMMYFUNCTION("GOOGLETRANSLATE(C14487, ""en"", ""fa"")
"),"چگونه می توانم از Saas CRM خود برای بهبود معیارهای رضایت مشتری و وفاداری استفاده کنم؟")</f>
        <v>چگونه می توانم از Saas CRM خود برای بهبود معیارهای رضایت مشتری و وفاداری استفاده کنم؟</v>
      </c>
      <c r="H14487" s="1"/>
      <c r="I14487" s="1"/>
      <c r="J14487" s="1"/>
      <c r="K14487" s="1"/>
      <c r="L14487" s="1"/>
      <c r="M14487" s="1"/>
      <c r="N14487" s="1"/>
      <c r="O14487" s="1"/>
      <c r="P14487" s="1"/>
      <c r="Q14487" s="1"/>
      <c r="R14487" s="1"/>
      <c r="S14487" s="1"/>
      <c r="T14487" s="1"/>
      <c r="U14487" s="1"/>
      <c r="V14487" s="1"/>
      <c r="W14487" s="1"/>
      <c r="X14487" s="1"/>
      <c r="Y14487" s="1"/>
      <c r="Z14487" s="1"/>
      <c r="AA14487" s="1"/>
      <c r="AB14487" s="1"/>
    </row>
    <row r="14488" ht="50.25" customHeight="1">
      <c r="A14488" s="12">
        <v>14484.0</v>
      </c>
      <c r="B14488" s="13" t="s">
        <v>13537</v>
      </c>
      <c r="C14488" s="14" t="s">
        <v>13723</v>
      </c>
      <c r="D14488" s="1"/>
      <c r="E14488" s="1"/>
      <c r="F14488" s="1" t="str">
        <f>IFERROR(__xludf.DUMMYFUNCTION("GOOGLETRANSLATE(B14488, ""en"", ""fa"")
"),"موفقیت SaaS")</f>
        <v>موفقیت SaaS</v>
      </c>
      <c r="G14488" s="1" t="str">
        <f>IFERROR(__xludf.DUMMYFUNCTION("GOOGLETRANSLATE(C14488, ""en"", ""fa"")
"),"چگونه می توانم اطمینان حاصل کنم که Saas CRM من برای همه ذینفعان، از جمله مشتریان و شرکا، در دسترس و قابل استفاده است؟")</f>
        <v>چگونه می توانم اطمینان حاصل کنم که Saas CRM من برای همه ذینفعان، از جمله مشتریان و شرکا، در دسترس و قابل استفاده است؟</v>
      </c>
      <c r="H14488" s="1"/>
      <c r="I14488" s="1"/>
      <c r="J14488" s="1"/>
      <c r="K14488" s="1"/>
      <c r="L14488" s="1"/>
      <c r="M14488" s="1"/>
      <c r="N14488" s="1"/>
      <c r="O14488" s="1"/>
      <c r="P14488" s="1"/>
      <c r="Q14488" s="1"/>
      <c r="R14488" s="1"/>
      <c r="S14488" s="1"/>
      <c r="T14488" s="1"/>
      <c r="U14488" s="1"/>
      <c r="V14488" s="1"/>
      <c r="W14488" s="1"/>
      <c r="X14488" s="1"/>
      <c r="Y14488" s="1"/>
      <c r="Z14488" s="1"/>
      <c r="AA14488" s="1"/>
      <c r="AB14488" s="1"/>
    </row>
    <row r="14489" ht="50.25" customHeight="1">
      <c r="A14489" s="12">
        <v>14485.0</v>
      </c>
      <c r="B14489" s="13" t="s">
        <v>13537</v>
      </c>
      <c r="C14489" s="14" t="s">
        <v>13724</v>
      </c>
      <c r="D14489" s="1"/>
      <c r="E14489" s="1"/>
      <c r="F14489" s="1" t="str">
        <f>IFERROR(__xludf.DUMMYFUNCTION("GOOGLETRANSLATE(B14489, ""en"", ""fa"")
"),"موفقیت SaaS")</f>
        <v>موفقیت SaaS</v>
      </c>
      <c r="G14489" s="1" t="str">
        <f>IFERROR(__xludf.DUMMYFUNCTION("GOOGLETRANSLATE(C14489, ""en"", ""fa"")
"),"چگونه می توانم از Saas CRM خود برای بهبود مدیریت سرنخ و نرخ تبدیل استفاده کنم؟")</f>
        <v>چگونه می توانم از Saas CRM خود برای بهبود مدیریت سرنخ و نرخ تبدیل استفاده کنم؟</v>
      </c>
      <c r="H14489" s="1"/>
      <c r="I14489" s="1"/>
      <c r="J14489" s="1"/>
      <c r="K14489" s="1"/>
      <c r="L14489" s="1"/>
      <c r="M14489" s="1"/>
      <c r="N14489" s="1"/>
      <c r="O14489" s="1"/>
      <c r="P14489" s="1"/>
      <c r="Q14489" s="1"/>
      <c r="R14489" s="1"/>
      <c r="S14489" s="1"/>
      <c r="T14489" s="1"/>
      <c r="U14489" s="1"/>
      <c r="V14489" s="1"/>
      <c r="W14489" s="1"/>
      <c r="X14489" s="1"/>
      <c r="Y14489" s="1"/>
      <c r="Z14489" s="1"/>
      <c r="AA14489" s="1"/>
      <c r="AB14489" s="1"/>
    </row>
    <row r="14490" ht="50.25" customHeight="1">
      <c r="A14490" s="12">
        <v>14486.0</v>
      </c>
      <c r="B14490" s="13" t="s">
        <v>13537</v>
      </c>
      <c r="C14490" s="14" t="s">
        <v>13725</v>
      </c>
      <c r="D14490" s="1"/>
      <c r="E14490" s="1"/>
      <c r="F14490" s="1" t="str">
        <f>IFERROR(__xludf.DUMMYFUNCTION("GOOGLETRANSLATE(B14490, ""en"", ""fa"")
"),"موفقیت SaaS")</f>
        <v>موفقیت SaaS</v>
      </c>
      <c r="G14490" s="1" t="str">
        <f>IFERROR(__xludf.DUMMYFUNCTION("GOOGLETRANSLATE(C14490, ""en"", ""fa"")
"),"چگونه می توانم از Saas CRM خود برای ردیابی تعاملات و رفتارهای مشتری استفاده کنم؟")</f>
        <v>چگونه می توانم از Saas CRM خود برای ردیابی تعاملات و رفتارهای مشتری استفاده کنم؟</v>
      </c>
      <c r="H14490" s="1"/>
      <c r="I14490" s="1"/>
      <c r="J14490" s="1"/>
      <c r="K14490" s="1"/>
      <c r="L14490" s="1"/>
      <c r="M14490" s="1"/>
      <c r="N14490" s="1"/>
      <c r="O14490" s="1"/>
      <c r="P14490" s="1"/>
      <c r="Q14490" s="1"/>
      <c r="R14490" s="1"/>
      <c r="S14490" s="1"/>
      <c r="T14490" s="1"/>
      <c r="U14490" s="1"/>
      <c r="V14490" s="1"/>
      <c r="W14490" s="1"/>
      <c r="X14490" s="1"/>
      <c r="Y14490" s="1"/>
      <c r="Z14490" s="1"/>
      <c r="AA14490" s="1"/>
      <c r="AB14490" s="1"/>
    </row>
    <row r="14491" ht="50.25" customHeight="1">
      <c r="A14491" s="12">
        <v>14487.0</v>
      </c>
      <c r="B14491" s="13" t="s">
        <v>13537</v>
      </c>
      <c r="C14491" s="14" t="s">
        <v>13726</v>
      </c>
      <c r="D14491" s="1"/>
      <c r="E14491" s="1"/>
      <c r="F14491" s="1" t="str">
        <f>IFERROR(__xludf.DUMMYFUNCTION("GOOGLETRANSLATE(B14491, ""en"", ""fa"")
"),"موفقیت SaaS")</f>
        <v>موفقیت SaaS</v>
      </c>
      <c r="G14491" s="1" t="str">
        <f>IFERROR(__xludf.DUMMYFUNCTION("GOOGLETRANSLATE(C14491, ""en"", ""fa"")
"),"بهترین راه‌ها برای ادغام هوش مصنوعی و یادگیری ماشین در Saas CRM چیست؟")</f>
        <v>بهترین راه‌ها برای ادغام هوش مصنوعی و یادگیری ماشین در Saas CRM چیست؟</v>
      </c>
      <c r="H14491" s="1"/>
      <c r="I14491" s="1"/>
      <c r="J14491" s="1"/>
      <c r="K14491" s="1"/>
      <c r="L14491" s="1"/>
      <c r="M14491" s="1"/>
      <c r="N14491" s="1"/>
      <c r="O14491" s="1"/>
      <c r="P14491" s="1"/>
      <c r="Q14491" s="1"/>
      <c r="R14491" s="1"/>
      <c r="S14491" s="1"/>
      <c r="T14491" s="1"/>
      <c r="U14491" s="1"/>
      <c r="V14491" s="1"/>
      <c r="W14491" s="1"/>
      <c r="X14491" s="1"/>
      <c r="Y14491" s="1"/>
      <c r="Z14491" s="1"/>
      <c r="AA14491" s="1"/>
      <c r="AB14491" s="1"/>
    </row>
    <row r="14492" ht="50.25" customHeight="1">
      <c r="A14492" s="12">
        <v>14488.0</v>
      </c>
      <c r="B14492" s="13" t="s">
        <v>13537</v>
      </c>
      <c r="C14492" s="14" t="s">
        <v>13727</v>
      </c>
      <c r="D14492" s="1"/>
      <c r="E14492" s="1"/>
      <c r="F14492" s="1" t="str">
        <f>IFERROR(__xludf.DUMMYFUNCTION("GOOGLETRANSLATE(B14492, ""en"", ""fa"")
"),"موفقیت SaaS")</f>
        <v>موفقیت SaaS</v>
      </c>
      <c r="G14492" s="1" t="str">
        <f>IFERROR(__xludf.DUMMYFUNCTION("GOOGLETRANSLATE(C14492, ""en"", ""fa"")
"),"چگونه می توانم اطمینان حاصل کنم که Saas CRM من به خوبی با وب سایت و پلت فرم تجارت الکترونیک من ادغام می شود؟")</f>
        <v>چگونه می توانم اطمینان حاصل کنم که Saas CRM من به خوبی با وب سایت و پلت فرم تجارت الکترونیک من ادغام می شود؟</v>
      </c>
      <c r="H14492" s="1"/>
      <c r="I14492" s="1"/>
      <c r="J14492" s="1"/>
      <c r="K14492" s="1"/>
      <c r="L14492" s="1"/>
      <c r="M14492" s="1"/>
      <c r="N14492" s="1"/>
      <c r="O14492" s="1"/>
      <c r="P14492" s="1"/>
      <c r="Q14492" s="1"/>
      <c r="R14492" s="1"/>
      <c r="S14492" s="1"/>
      <c r="T14492" s="1"/>
      <c r="U14492" s="1"/>
      <c r="V14492" s="1"/>
      <c r="W14492" s="1"/>
      <c r="X14492" s="1"/>
      <c r="Y14492" s="1"/>
      <c r="Z14492" s="1"/>
      <c r="AA14492" s="1"/>
      <c r="AB14492" s="1"/>
    </row>
    <row r="14493" ht="50.25" customHeight="1">
      <c r="A14493" s="12">
        <v>14489.0</v>
      </c>
      <c r="B14493" s="13" t="s">
        <v>13537</v>
      </c>
      <c r="C14493" s="14" t="s">
        <v>13728</v>
      </c>
      <c r="D14493" s="1"/>
      <c r="E14493" s="1"/>
      <c r="F14493" s="1" t="str">
        <f>IFERROR(__xludf.DUMMYFUNCTION("GOOGLETRANSLATE(B14493, ""en"", ""fa"")
"),"موفقیت SaaS")</f>
        <v>موفقیت SaaS</v>
      </c>
      <c r="G14493" s="1" t="str">
        <f>IFERROR(__xludf.DUMMYFUNCTION("GOOGLETRANSLATE(C14493, ""en"", ""fa"")
"),"چگونه می توانم از Saas CRM خود برای تجزیه و تحلیل و بهبود سفرهای مشتری استفاده کنم؟")</f>
        <v>چگونه می توانم از Saas CRM خود برای تجزیه و تحلیل و بهبود سفرهای مشتری استفاده کنم؟</v>
      </c>
      <c r="H14493" s="1"/>
      <c r="I14493" s="1"/>
      <c r="J14493" s="1"/>
      <c r="K14493" s="1"/>
      <c r="L14493" s="1"/>
      <c r="M14493" s="1"/>
      <c r="N14493" s="1"/>
      <c r="O14493" s="1"/>
      <c r="P14493" s="1"/>
      <c r="Q14493" s="1"/>
      <c r="R14493" s="1"/>
      <c r="S14493" s="1"/>
      <c r="T14493" s="1"/>
      <c r="U14493" s="1"/>
      <c r="V14493" s="1"/>
      <c r="W14493" s="1"/>
      <c r="X14493" s="1"/>
      <c r="Y14493" s="1"/>
      <c r="Z14493" s="1"/>
      <c r="AA14493" s="1"/>
      <c r="AB14493" s="1"/>
    </row>
    <row r="14494" ht="50.25" customHeight="1">
      <c r="A14494" s="12">
        <v>14490.0</v>
      </c>
      <c r="B14494" s="13" t="s">
        <v>13537</v>
      </c>
      <c r="C14494" s="14" t="s">
        <v>13729</v>
      </c>
      <c r="D14494" s="1"/>
      <c r="E14494" s="1"/>
      <c r="F14494" s="1" t="str">
        <f>IFERROR(__xludf.DUMMYFUNCTION("GOOGLETRANSLATE(B14494, ""en"", ""fa"")
"),"موفقیت SaaS")</f>
        <v>موفقیت SaaS</v>
      </c>
      <c r="G14494" s="1" t="str">
        <f>IFERROR(__xludf.DUMMYFUNCTION("GOOGLETRANSLATE(C14494, ""en"", ""fa"")
"),"چگونه می توانم از Saas CRM خود برای مدیریت و پیگیری شکایات و سوالات مشتریان استفاده کنم؟")</f>
        <v>چگونه می توانم از Saas CRM خود برای مدیریت و پیگیری شکایات و سوالات مشتریان استفاده کنم؟</v>
      </c>
      <c r="H14494" s="1"/>
      <c r="I14494" s="1"/>
      <c r="J14494" s="1"/>
      <c r="K14494" s="1"/>
      <c r="L14494" s="1"/>
      <c r="M14494" s="1"/>
      <c r="N14494" s="1"/>
      <c r="O14494" s="1"/>
      <c r="P14494" s="1"/>
      <c r="Q14494" s="1"/>
      <c r="R14494" s="1"/>
      <c r="S14494" s="1"/>
      <c r="T14494" s="1"/>
      <c r="U14494" s="1"/>
      <c r="V14494" s="1"/>
      <c r="W14494" s="1"/>
      <c r="X14494" s="1"/>
      <c r="Y14494" s="1"/>
      <c r="Z14494" s="1"/>
      <c r="AA14494" s="1"/>
      <c r="AB14494" s="1"/>
    </row>
    <row r="14495" ht="50.25" customHeight="1">
      <c r="A14495" s="12">
        <v>14491.0</v>
      </c>
      <c r="B14495" s="13" t="s">
        <v>13537</v>
      </c>
      <c r="C14495" s="14" t="s">
        <v>13730</v>
      </c>
      <c r="D14495" s="1"/>
      <c r="E14495" s="1"/>
      <c r="F14495" s="1" t="str">
        <f>IFERROR(__xludf.DUMMYFUNCTION("GOOGLETRANSLATE(B14495, ""en"", ""fa"")
"),"موفقیت SaaS")</f>
        <v>موفقیت SaaS</v>
      </c>
      <c r="G14495" s="1" t="str">
        <f>IFERROR(__xludf.DUMMYFUNCTION("GOOGLETRANSLATE(C14495, ""en"", ""fa"")
"),"چگونه می توانم از Saas CRM خود برای ایجاد و مدیریت برنامه های وفاداری برای مشتریانم استفاده کنم؟")</f>
        <v>چگونه می توانم از Saas CRM خود برای ایجاد و مدیریت برنامه های وفاداری برای مشتریانم استفاده کنم؟</v>
      </c>
      <c r="H14495" s="1"/>
      <c r="I14495" s="1"/>
      <c r="J14495" s="1"/>
      <c r="K14495" s="1"/>
      <c r="L14495" s="1"/>
      <c r="M14495" s="1"/>
      <c r="N14495" s="1"/>
      <c r="O14495" s="1"/>
      <c r="P14495" s="1"/>
      <c r="Q14495" s="1"/>
      <c r="R14495" s="1"/>
      <c r="S14495" s="1"/>
      <c r="T14495" s="1"/>
      <c r="U14495" s="1"/>
      <c r="V14495" s="1"/>
      <c r="W14495" s="1"/>
      <c r="X14495" s="1"/>
      <c r="Y14495" s="1"/>
      <c r="Z14495" s="1"/>
      <c r="AA14495" s="1"/>
      <c r="AB14495" s="1"/>
    </row>
    <row r="14496" ht="50.25" customHeight="1">
      <c r="A14496" s="12">
        <v>14492.0</v>
      </c>
      <c r="B14496" s="13" t="s">
        <v>13537</v>
      </c>
      <c r="C14496" s="14" t="s">
        <v>13731</v>
      </c>
      <c r="D14496" s="1"/>
      <c r="E14496" s="1"/>
      <c r="F14496" s="1" t="str">
        <f>IFERROR(__xludf.DUMMYFUNCTION("GOOGLETRANSLATE(B14496, ""en"", ""fa"")
"),"موفقیت SaaS")</f>
        <v>موفقیت SaaS</v>
      </c>
      <c r="G14496" s="1" t="str">
        <f>IFERROR(__xludf.DUMMYFUNCTION("GOOGLETRANSLATE(C14496, ""en"", ""fa"")
"),"چگونه می توانم اطمینان حاصل کنم که Saas CRM من به خوبی با سیستم های سازمانی موجود من یکپارچه می شود؟")</f>
        <v>چگونه می توانم اطمینان حاصل کنم که Saas CRM من به خوبی با سیستم های سازمانی موجود من یکپارچه می شود؟</v>
      </c>
      <c r="H14496" s="1"/>
      <c r="I14496" s="1"/>
      <c r="J14496" s="1"/>
      <c r="K14496" s="1"/>
      <c r="L14496" s="1"/>
      <c r="M14496" s="1"/>
      <c r="N14496" s="1"/>
      <c r="O14496" s="1"/>
      <c r="P14496" s="1"/>
      <c r="Q14496" s="1"/>
      <c r="R14496" s="1"/>
      <c r="S14496" s="1"/>
      <c r="T14496" s="1"/>
      <c r="U14496" s="1"/>
      <c r="V14496" s="1"/>
      <c r="W14496" s="1"/>
      <c r="X14496" s="1"/>
      <c r="Y14496" s="1"/>
      <c r="Z14496" s="1"/>
      <c r="AA14496" s="1"/>
      <c r="AB14496" s="1"/>
    </row>
    <row r="14497" ht="50.25" customHeight="1">
      <c r="A14497" s="12">
        <v>14493.0</v>
      </c>
      <c r="B14497" s="13" t="s">
        <v>13537</v>
      </c>
      <c r="C14497" s="14" t="s">
        <v>13732</v>
      </c>
      <c r="D14497" s="1"/>
      <c r="E14497" s="1"/>
      <c r="F14497" s="1" t="str">
        <f>IFERROR(__xludf.DUMMYFUNCTION("GOOGLETRANSLATE(B14497, ""en"", ""fa"")
"),"موفقیت SaaS")</f>
        <v>موفقیت SaaS</v>
      </c>
      <c r="G14497" s="1" t="str">
        <f>IFERROR(__xludf.DUMMYFUNCTION("GOOGLETRANSLATE(C14497, ""en"", ""fa"")
"),"بهترین راه ها برای استفاده از Saas CRM برای فروش و فروش متقابل چیست؟")</f>
        <v>بهترین راه ها برای استفاده از Saas CRM برای فروش و فروش متقابل چیست؟</v>
      </c>
      <c r="H14497" s="1"/>
      <c r="I14497" s="1"/>
      <c r="J14497" s="1"/>
      <c r="K14497" s="1"/>
      <c r="L14497" s="1"/>
      <c r="M14497" s="1"/>
      <c r="N14497" s="1"/>
      <c r="O14497" s="1"/>
      <c r="P14497" s="1"/>
      <c r="Q14497" s="1"/>
      <c r="R14497" s="1"/>
      <c r="S14497" s="1"/>
      <c r="T14497" s="1"/>
      <c r="U14497" s="1"/>
      <c r="V14497" s="1"/>
      <c r="W14497" s="1"/>
      <c r="X14497" s="1"/>
      <c r="Y14497" s="1"/>
      <c r="Z14497" s="1"/>
      <c r="AA14497" s="1"/>
      <c r="AB14497" s="1"/>
    </row>
    <row r="14498" ht="50.25" customHeight="1">
      <c r="A14498" s="12">
        <v>14494.0</v>
      </c>
      <c r="B14498" s="13" t="s">
        <v>13537</v>
      </c>
      <c r="C14498" s="14" t="s">
        <v>13733</v>
      </c>
      <c r="D14498" s="1"/>
      <c r="E14498" s="1"/>
      <c r="F14498" s="1" t="str">
        <f>IFERROR(__xludf.DUMMYFUNCTION("GOOGLETRANSLATE(B14498, ""en"", ""fa"")
"),"موفقیت SaaS")</f>
        <v>موفقیت SaaS</v>
      </c>
      <c r="G14498" s="1" t="str">
        <f>IFERROR(__xludf.DUMMYFUNCTION("GOOGLETRANSLATE(C14498, ""en"", ""fa"")
"),"چگونه می توانم از Saas CRM خود برای بهبود مدیریت فروش و ارتباط با مشتری استفاده کنم؟")</f>
        <v>چگونه می توانم از Saas CRM خود برای بهبود مدیریت فروش و ارتباط با مشتری استفاده کنم؟</v>
      </c>
      <c r="H14498" s="1"/>
      <c r="I14498" s="1"/>
      <c r="J14498" s="1"/>
      <c r="K14498" s="1"/>
      <c r="L14498" s="1"/>
      <c r="M14498" s="1"/>
      <c r="N14498" s="1"/>
      <c r="O14498" s="1"/>
      <c r="P14498" s="1"/>
      <c r="Q14498" s="1"/>
      <c r="R14498" s="1"/>
      <c r="S14498" s="1"/>
      <c r="T14498" s="1"/>
      <c r="U14498" s="1"/>
      <c r="V14498" s="1"/>
      <c r="W14498" s="1"/>
      <c r="X14498" s="1"/>
      <c r="Y14498" s="1"/>
      <c r="Z14498" s="1"/>
      <c r="AA14498" s="1"/>
      <c r="AB14498" s="1"/>
    </row>
    <row r="14499" ht="50.25" customHeight="1">
      <c r="A14499" s="12">
        <v>14495.0</v>
      </c>
      <c r="B14499" s="13" t="s">
        <v>13537</v>
      </c>
      <c r="C14499" s="14" t="s">
        <v>13734</v>
      </c>
      <c r="D14499" s="1"/>
      <c r="E14499" s="1"/>
      <c r="F14499" s="1" t="str">
        <f>IFERROR(__xludf.DUMMYFUNCTION("GOOGLETRANSLATE(B14499, ""en"", ""fa"")
"),"موفقیت SaaS")</f>
        <v>موفقیت SaaS</v>
      </c>
      <c r="G14499" s="1" t="str">
        <f>IFERROR(__xludf.DUMMYFUNCTION("GOOGLETRANSLATE(C14499, ""en"", ""fa"")
"),"چگونه می توانم شخصی سازی و سفارشی سازی Saas CRM خود را برای بخش های مختلف مشتریان بهبود بخشم؟")</f>
        <v>چگونه می توانم شخصی سازی و سفارشی سازی Saas CRM خود را برای بخش های مختلف مشتریان بهبود بخشم؟</v>
      </c>
      <c r="H14499" s="1"/>
      <c r="I14499" s="1"/>
      <c r="J14499" s="1"/>
      <c r="K14499" s="1"/>
      <c r="L14499" s="1"/>
      <c r="M14499" s="1"/>
      <c r="N14499" s="1"/>
      <c r="O14499" s="1"/>
      <c r="P14499" s="1"/>
      <c r="Q14499" s="1"/>
      <c r="R14499" s="1"/>
      <c r="S14499" s="1"/>
      <c r="T14499" s="1"/>
      <c r="U14499" s="1"/>
      <c r="V14499" s="1"/>
      <c r="W14499" s="1"/>
      <c r="X14499" s="1"/>
      <c r="Y14499" s="1"/>
      <c r="Z14499" s="1"/>
      <c r="AA14499" s="1"/>
      <c r="AB14499" s="1"/>
    </row>
    <row r="14500" ht="50.25" customHeight="1">
      <c r="A14500" s="12">
        <v>14496.0</v>
      </c>
      <c r="B14500" s="13" t="s">
        <v>13537</v>
      </c>
      <c r="C14500" s="14" t="s">
        <v>13735</v>
      </c>
      <c r="D14500" s="1"/>
      <c r="E14500" s="1"/>
      <c r="F14500" s="1" t="str">
        <f>IFERROR(__xludf.DUMMYFUNCTION("GOOGLETRANSLATE(B14500, ""en"", ""fa"")
"),"موفقیت SaaS")</f>
        <v>موفقیت SaaS</v>
      </c>
      <c r="G14500" s="1" t="str">
        <f>IFERROR(__xludf.DUMMYFUNCTION("GOOGLETRANSLATE(C14500, ""en"", ""fa"")
"),"چگونه می توانم اطمینان حاصل کنم که Saas CRM من به خوبی با سیستم های پرداخت و صورتحساب من ادغام می شود؟")</f>
        <v>چگونه می توانم اطمینان حاصل کنم که Saas CRM من به خوبی با سیستم های پرداخت و صورتحساب من ادغام می شود؟</v>
      </c>
      <c r="H14500" s="1"/>
      <c r="I14500" s="1"/>
      <c r="J14500" s="1"/>
      <c r="K14500" s="1"/>
      <c r="L14500" s="1"/>
      <c r="M14500" s="1"/>
      <c r="N14500" s="1"/>
      <c r="O14500" s="1"/>
      <c r="P14500" s="1"/>
      <c r="Q14500" s="1"/>
      <c r="R14500" s="1"/>
      <c r="S14500" s="1"/>
      <c r="T14500" s="1"/>
      <c r="U14500" s="1"/>
      <c r="V14500" s="1"/>
      <c r="W14500" s="1"/>
      <c r="X14500" s="1"/>
      <c r="Y14500" s="1"/>
      <c r="Z14500" s="1"/>
      <c r="AA14500" s="1"/>
      <c r="AB14500" s="1"/>
    </row>
    <row r="14501" ht="50.25" customHeight="1">
      <c r="A14501" s="12">
        <v>14497.0</v>
      </c>
      <c r="B14501" s="13" t="s">
        <v>13537</v>
      </c>
      <c r="C14501" s="14" t="s">
        <v>13736</v>
      </c>
      <c r="D14501" s="1"/>
      <c r="E14501" s="1"/>
      <c r="F14501" s="1" t="str">
        <f>IFERROR(__xludf.DUMMYFUNCTION("GOOGLETRANSLATE(B14501, ""en"", ""fa"")
"),"موفقیت SaaS")</f>
        <v>موفقیت SaaS</v>
      </c>
      <c r="G14501" s="1" t="str">
        <f>IFERROR(__xludf.DUMMYFUNCTION("GOOGLETRANSLATE(C14501, ""en"", ""fa"")
"),"چگونه می توانم از Saas CRM خود برای مدیریت و ردیابی روابط مشتری در کل چرخه عمر آنها استفاده کنم؟")</f>
        <v>چگونه می توانم از Saas CRM خود برای مدیریت و ردیابی روابط مشتری در کل چرخه عمر آنها استفاده کنم؟</v>
      </c>
      <c r="H14501" s="1"/>
      <c r="I14501" s="1"/>
      <c r="J14501" s="1"/>
      <c r="K14501" s="1"/>
      <c r="L14501" s="1"/>
      <c r="M14501" s="1"/>
      <c r="N14501" s="1"/>
      <c r="O14501" s="1"/>
      <c r="P14501" s="1"/>
      <c r="Q14501" s="1"/>
      <c r="R14501" s="1"/>
      <c r="S14501" s="1"/>
      <c r="T14501" s="1"/>
      <c r="U14501" s="1"/>
      <c r="V14501" s="1"/>
      <c r="W14501" s="1"/>
      <c r="X14501" s="1"/>
      <c r="Y14501" s="1"/>
      <c r="Z14501" s="1"/>
      <c r="AA14501" s="1"/>
      <c r="AB14501" s="1"/>
    </row>
    <row r="14502" ht="50.25" customHeight="1">
      <c r="A14502" s="12">
        <v>14498.0</v>
      </c>
      <c r="B14502" s="13" t="s">
        <v>13537</v>
      </c>
      <c r="C14502" s="14" t="s">
        <v>13737</v>
      </c>
      <c r="D14502" s="1"/>
      <c r="E14502" s="1"/>
      <c r="F14502" s="1" t="str">
        <f>IFERROR(__xludf.DUMMYFUNCTION("GOOGLETRANSLATE(B14502, ""en"", ""fa"")
"),"موفقیت SaaS")</f>
        <v>موفقیت SaaS</v>
      </c>
      <c r="G14502" s="1" t="str">
        <f>IFERROR(__xludf.DUMMYFUNCTION("GOOGLETRANSLATE(C14502, ""en"", ""fa"")
"),"چگونه می توانم از Saas CRM خود برای ردیابی و بهبود معیارهای تعامل مشتری استفاده کنم؟")</f>
        <v>چگونه می توانم از Saas CRM خود برای ردیابی و بهبود معیارهای تعامل مشتری استفاده کنم؟</v>
      </c>
      <c r="H14502" s="1"/>
      <c r="I14502" s="1"/>
      <c r="J14502" s="1"/>
      <c r="K14502" s="1"/>
      <c r="L14502" s="1"/>
      <c r="M14502" s="1"/>
      <c r="N14502" s="1"/>
      <c r="O14502" s="1"/>
      <c r="P14502" s="1"/>
      <c r="Q14502" s="1"/>
      <c r="R14502" s="1"/>
      <c r="S14502" s="1"/>
      <c r="T14502" s="1"/>
      <c r="U14502" s="1"/>
      <c r="V14502" s="1"/>
      <c r="W14502" s="1"/>
      <c r="X14502" s="1"/>
      <c r="Y14502" s="1"/>
      <c r="Z14502" s="1"/>
      <c r="AA14502" s="1"/>
      <c r="AB14502" s="1"/>
    </row>
    <row r="14503" ht="50.25" customHeight="1">
      <c r="A14503" s="12">
        <v>14499.0</v>
      </c>
      <c r="B14503" s="13" t="s">
        <v>13537</v>
      </c>
      <c r="C14503" s="14" t="s">
        <v>13738</v>
      </c>
      <c r="D14503" s="1"/>
      <c r="E14503" s="1"/>
      <c r="F14503" s="1" t="str">
        <f>IFERROR(__xludf.DUMMYFUNCTION("GOOGLETRANSLATE(B14503, ""en"", ""fa"")
"),"موفقیت SaaS")</f>
        <v>موفقیت SaaS</v>
      </c>
      <c r="G14503" s="1" t="str">
        <f>IFERROR(__xludf.DUMMYFUNCTION("GOOGLETRANSLATE(C14503, ""en"", ""fa"")
"),"چگونه یک قالب قرارداد SaaS ایجاد کنیم که هم نیازهای شرکت و هم مشتری را برآورده کند؟")</f>
        <v>چگونه یک قالب قرارداد SaaS ایجاد کنیم که هم نیازهای شرکت و هم مشتری را برآورده کند؟</v>
      </c>
      <c r="H14503" s="1"/>
      <c r="I14503" s="1"/>
      <c r="J14503" s="1"/>
      <c r="K14503" s="1"/>
      <c r="L14503" s="1"/>
      <c r="M14503" s="1"/>
      <c r="N14503" s="1"/>
      <c r="O14503" s="1"/>
      <c r="P14503" s="1"/>
      <c r="Q14503" s="1"/>
      <c r="R14503" s="1"/>
      <c r="S14503" s="1"/>
      <c r="T14503" s="1"/>
      <c r="U14503" s="1"/>
      <c r="V14503" s="1"/>
      <c r="W14503" s="1"/>
      <c r="X14503" s="1"/>
      <c r="Y14503" s="1"/>
      <c r="Z14503" s="1"/>
      <c r="AA14503" s="1"/>
      <c r="AB14503" s="1"/>
    </row>
    <row r="14504" ht="50.25" customHeight="1">
      <c r="A14504" s="12">
        <v>14500.0</v>
      </c>
      <c r="B14504" s="13" t="s">
        <v>13537</v>
      </c>
      <c r="C14504" s="14" t="s">
        <v>13739</v>
      </c>
      <c r="D14504" s="1"/>
      <c r="E14504" s="1"/>
      <c r="F14504" s="1" t="str">
        <f>IFERROR(__xludf.DUMMYFUNCTION("GOOGLETRANSLATE(B14504, ""en"", ""fa"")
"),"موفقیت SaaS")</f>
        <v>موفقیت SaaS</v>
      </c>
      <c r="G14504" s="1" t="str">
        <f>IFERROR(__xludf.DUMMYFUNCTION("GOOGLETRANSLATE(C14504, ""en"", ""fa"")
"),"چگونه در مورد شرایط و ضوابط قرارداد SaaS با مشتریان مذاکره کنیم؟")</f>
        <v>چگونه در مورد شرایط و ضوابط قرارداد SaaS با مشتریان مذاکره کنیم؟</v>
      </c>
      <c r="H14504" s="1"/>
      <c r="I14504" s="1"/>
      <c r="J14504" s="1"/>
      <c r="K14504" s="1"/>
      <c r="L14504" s="1"/>
      <c r="M14504" s="1"/>
      <c r="N14504" s="1"/>
      <c r="O14504" s="1"/>
      <c r="P14504" s="1"/>
      <c r="Q14504" s="1"/>
      <c r="R14504" s="1"/>
      <c r="S14504" s="1"/>
      <c r="T14504" s="1"/>
      <c r="U14504" s="1"/>
      <c r="V14504" s="1"/>
      <c r="W14504" s="1"/>
      <c r="X14504" s="1"/>
      <c r="Y14504" s="1"/>
      <c r="Z14504" s="1"/>
      <c r="AA14504" s="1"/>
      <c r="AB14504" s="1"/>
    </row>
    <row r="14505" ht="50.25" customHeight="1">
      <c r="A14505" s="12">
        <v>14501.0</v>
      </c>
      <c r="B14505" s="13" t="s">
        <v>13537</v>
      </c>
      <c r="C14505" s="14" t="s">
        <v>13740</v>
      </c>
      <c r="D14505" s="1"/>
      <c r="E14505" s="1"/>
      <c r="F14505" s="1" t="str">
        <f>IFERROR(__xludf.DUMMYFUNCTION("GOOGLETRANSLATE(B14505, ""en"", ""fa"")
"),"موفقیت SaaS")</f>
        <v>موفقیت SaaS</v>
      </c>
      <c r="G14505" s="1" t="str">
        <f>IFERROR(__xludf.DUMMYFUNCTION("GOOGLETRANSLATE(C14505, ""en"", ""fa"")
"),"چگونه اطمینان حاصل کنیم که شرایط قرارداد SaaS با خط مشی ها و رویه های شرکت مطابقت دارد؟")</f>
        <v>چگونه اطمینان حاصل کنیم که شرایط قرارداد SaaS با خط مشی ها و رویه های شرکت مطابقت دارد؟</v>
      </c>
      <c r="H14505" s="1"/>
      <c r="I14505" s="1"/>
      <c r="J14505" s="1"/>
      <c r="K14505" s="1"/>
      <c r="L14505" s="1"/>
      <c r="M14505" s="1"/>
      <c r="N14505" s="1"/>
      <c r="O14505" s="1"/>
      <c r="P14505" s="1"/>
      <c r="Q14505" s="1"/>
      <c r="R14505" s="1"/>
      <c r="S14505" s="1"/>
      <c r="T14505" s="1"/>
      <c r="U14505" s="1"/>
      <c r="V14505" s="1"/>
      <c r="W14505" s="1"/>
      <c r="X14505" s="1"/>
      <c r="Y14505" s="1"/>
      <c r="Z14505" s="1"/>
      <c r="AA14505" s="1"/>
      <c r="AB14505" s="1"/>
    </row>
    <row r="14506" ht="50.25" customHeight="1">
      <c r="A14506" s="12">
        <v>14502.0</v>
      </c>
      <c r="B14506" s="13" t="s">
        <v>13537</v>
      </c>
      <c r="C14506" s="14" t="s">
        <v>13741</v>
      </c>
      <c r="D14506" s="1"/>
      <c r="E14506" s="1"/>
      <c r="F14506" s="1" t="str">
        <f>IFERROR(__xludf.DUMMYFUNCTION("GOOGLETRANSLATE(B14506, ""en"", ""fa"")
"),"موفقیت SaaS")</f>
        <v>موفقیت SaaS</v>
      </c>
      <c r="G14506" s="1" t="str">
        <f>IFERROR(__xludf.DUMMYFUNCTION("GOOGLETRANSLATE(C14506, ""en"", ""fa"")
"),"چگونه یک فرآیند مدیریت قرارداد SaaS ایجاد کنیم که کارآمد و موثر باشد؟")</f>
        <v>چگونه یک فرآیند مدیریت قرارداد SaaS ایجاد کنیم که کارآمد و موثر باشد؟</v>
      </c>
      <c r="H14506" s="1"/>
      <c r="I14506" s="1"/>
      <c r="J14506" s="1"/>
      <c r="K14506" s="1"/>
      <c r="L14506" s="1"/>
      <c r="M14506" s="1"/>
      <c r="N14506" s="1"/>
      <c r="O14506" s="1"/>
      <c r="P14506" s="1"/>
      <c r="Q14506" s="1"/>
      <c r="R14506" s="1"/>
      <c r="S14506" s="1"/>
      <c r="T14506" s="1"/>
      <c r="U14506" s="1"/>
      <c r="V14506" s="1"/>
      <c r="W14506" s="1"/>
      <c r="X14506" s="1"/>
      <c r="Y14506" s="1"/>
      <c r="Z14506" s="1"/>
      <c r="AA14506" s="1"/>
      <c r="AB14506" s="1"/>
    </row>
    <row r="14507" ht="50.25" customHeight="1">
      <c r="A14507" s="12">
        <v>14503.0</v>
      </c>
      <c r="B14507" s="13" t="s">
        <v>13537</v>
      </c>
      <c r="C14507" s="14" t="s">
        <v>13742</v>
      </c>
      <c r="D14507" s="1"/>
      <c r="E14507" s="1"/>
      <c r="F14507" s="1" t="str">
        <f>IFERROR(__xludf.DUMMYFUNCTION("GOOGLETRANSLATE(B14507, ""en"", ""fa"")
"),"موفقیت SaaS")</f>
        <v>موفقیت SaaS</v>
      </c>
      <c r="G14507" s="1" t="str">
        <f>IFERROR(__xludf.DUMMYFUNCTION("GOOGLETRANSLATE(C14507, ""en"", ""fa"")
"),"چگونه می توان عملکرد و انطباق قرارداد SaaS را ردیابی و نظارت کرد؟")</f>
        <v>چگونه می توان عملکرد و انطباق قرارداد SaaS را ردیابی و نظارت کرد؟</v>
      </c>
      <c r="H14507" s="1"/>
      <c r="I14507" s="1"/>
      <c r="J14507" s="1"/>
      <c r="K14507" s="1"/>
      <c r="L14507" s="1"/>
      <c r="M14507" s="1"/>
      <c r="N14507" s="1"/>
      <c r="O14507" s="1"/>
      <c r="P14507" s="1"/>
      <c r="Q14507" s="1"/>
      <c r="R14507" s="1"/>
      <c r="S14507" s="1"/>
      <c r="T14507" s="1"/>
      <c r="U14507" s="1"/>
      <c r="V14507" s="1"/>
      <c r="W14507" s="1"/>
      <c r="X14507" s="1"/>
      <c r="Y14507" s="1"/>
      <c r="Z14507" s="1"/>
      <c r="AA14507" s="1"/>
      <c r="AB14507" s="1"/>
    </row>
    <row r="14508" ht="50.25" customHeight="1">
      <c r="A14508" s="12">
        <v>14504.0</v>
      </c>
      <c r="B14508" s="13" t="s">
        <v>13537</v>
      </c>
      <c r="C14508" s="14" t="s">
        <v>13743</v>
      </c>
      <c r="D14508" s="1"/>
      <c r="E14508" s="1"/>
      <c r="F14508" s="1" t="str">
        <f>IFERROR(__xludf.DUMMYFUNCTION("GOOGLETRANSLATE(B14508, ""en"", ""fa"")
"),"موفقیت SaaS")</f>
        <v>موفقیت SaaS</v>
      </c>
      <c r="G14508" s="1" t="str">
        <f>IFERROR(__xludf.DUMMYFUNCTION("GOOGLETRANSLATE(C14508, ""en"", ""fa"")
"),"چگونه تمدید و تمدید قرارداد SaaS را مدیریت کنیم؟")</f>
        <v>چگونه تمدید و تمدید قرارداد SaaS را مدیریت کنیم؟</v>
      </c>
      <c r="H14508" s="1"/>
      <c r="I14508" s="1"/>
      <c r="J14508" s="1"/>
      <c r="K14508" s="1"/>
      <c r="L14508" s="1"/>
      <c r="M14508" s="1"/>
      <c r="N14508" s="1"/>
      <c r="O14508" s="1"/>
      <c r="P14508" s="1"/>
      <c r="Q14508" s="1"/>
      <c r="R14508" s="1"/>
      <c r="S14508" s="1"/>
      <c r="T14508" s="1"/>
      <c r="U14508" s="1"/>
      <c r="V14508" s="1"/>
      <c r="W14508" s="1"/>
      <c r="X14508" s="1"/>
      <c r="Y14508" s="1"/>
      <c r="Z14508" s="1"/>
      <c r="AA14508" s="1"/>
      <c r="AB14508" s="1"/>
    </row>
    <row r="14509" ht="50.25" customHeight="1">
      <c r="A14509" s="12">
        <v>14505.0</v>
      </c>
      <c r="B14509" s="13" t="s">
        <v>13537</v>
      </c>
      <c r="C14509" s="14" t="s">
        <v>13744</v>
      </c>
      <c r="D14509" s="1"/>
      <c r="E14509" s="1"/>
      <c r="F14509" s="1" t="str">
        <f>IFERROR(__xludf.DUMMYFUNCTION("GOOGLETRANSLATE(B14509, ""en"", ""fa"")
"),"موفقیت SaaS")</f>
        <v>موفقیت SaaS</v>
      </c>
      <c r="G14509" s="1" t="str">
        <f>IFERROR(__xludf.DUMMYFUNCTION("GOOGLETRANSLATE(C14509, ""en"", ""fa"")
"),"چگونه می توان لغو و فسخ قرارداد SaaS را مدیریت کرد؟")</f>
        <v>چگونه می توان لغو و فسخ قرارداد SaaS را مدیریت کرد؟</v>
      </c>
      <c r="H14509" s="1"/>
      <c r="I14509" s="1"/>
      <c r="J14509" s="1"/>
      <c r="K14509" s="1"/>
      <c r="L14509" s="1"/>
      <c r="M14509" s="1"/>
      <c r="N14509" s="1"/>
      <c r="O14509" s="1"/>
      <c r="P14509" s="1"/>
      <c r="Q14509" s="1"/>
      <c r="R14509" s="1"/>
      <c r="S14509" s="1"/>
      <c r="T14509" s="1"/>
      <c r="U14509" s="1"/>
      <c r="V14509" s="1"/>
      <c r="W14509" s="1"/>
      <c r="X14509" s="1"/>
      <c r="Y14509" s="1"/>
      <c r="Z14509" s="1"/>
      <c r="AA14509" s="1"/>
      <c r="AB14509" s="1"/>
    </row>
    <row r="14510" ht="50.25" customHeight="1">
      <c r="A14510" s="12">
        <v>14506.0</v>
      </c>
      <c r="B14510" s="13" t="s">
        <v>13537</v>
      </c>
      <c r="C14510" s="14" t="s">
        <v>13745</v>
      </c>
      <c r="D14510" s="1"/>
      <c r="E14510" s="1"/>
      <c r="F14510" s="1" t="str">
        <f>IFERROR(__xludf.DUMMYFUNCTION("GOOGLETRANSLATE(B14510, ""en"", ""fa"")
"),"موفقیت SaaS")</f>
        <v>موفقیت SaaS</v>
      </c>
      <c r="G14510" s="1" t="str">
        <f>IFERROR(__xludf.DUMMYFUNCTION("GOOGLETRANSLATE(C14510, ""en"", ""fa"")
"),"چگونه به اختلافات و مذاکرات مربوط به قرارداد SaaS رسیدگی کنیم؟")</f>
        <v>چگونه به اختلافات و مذاکرات مربوط به قرارداد SaaS رسیدگی کنیم؟</v>
      </c>
      <c r="H14510" s="1"/>
      <c r="I14510" s="1"/>
      <c r="J14510" s="1"/>
      <c r="K14510" s="1"/>
      <c r="L14510" s="1"/>
      <c r="M14510" s="1"/>
      <c r="N14510" s="1"/>
      <c r="O14510" s="1"/>
      <c r="P14510" s="1"/>
      <c r="Q14510" s="1"/>
      <c r="R14510" s="1"/>
      <c r="S14510" s="1"/>
      <c r="T14510" s="1"/>
      <c r="U14510" s="1"/>
      <c r="V14510" s="1"/>
      <c r="W14510" s="1"/>
      <c r="X14510" s="1"/>
      <c r="Y14510" s="1"/>
      <c r="Z14510" s="1"/>
      <c r="AA14510" s="1"/>
      <c r="AB14510" s="1"/>
    </row>
    <row r="14511" ht="50.25" customHeight="1">
      <c r="A14511" s="12">
        <v>14507.0</v>
      </c>
      <c r="B14511" s="13" t="s">
        <v>13537</v>
      </c>
      <c r="C14511" s="14" t="s">
        <v>13746</v>
      </c>
      <c r="D14511" s="1"/>
      <c r="E14511" s="1"/>
      <c r="F14511" s="1" t="str">
        <f>IFERROR(__xludf.DUMMYFUNCTION("GOOGLETRANSLATE(B14511, ""en"", ""fa"")
"),"موفقیت SaaS")</f>
        <v>موفقیت SaaS</v>
      </c>
      <c r="G14511" s="1" t="str">
        <f>IFERROR(__xludf.DUMMYFUNCTION("GOOGLETRANSLATE(C14511, ""en"", ""fa"")
"),"چگونه یک فرآیند تمدید قرارداد SaaS ایجاد کنیم که درآمد و حفظ مشتری را به حداکثر برساند؟")</f>
        <v>چگونه یک فرآیند تمدید قرارداد SaaS ایجاد کنیم که درآمد و حفظ مشتری را به حداکثر برساند؟</v>
      </c>
      <c r="H14511" s="1"/>
      <c r="I14511" s="1"/>
      <c r="J14511" s="1"/>
      <c r="K14511" s="1"/>
      <c r="L14511" s="1"/>
      <c r="M14511" s="1"/>
      <c r="N14511" s="1"/>
      <c r="O14511" s="1"/>
      <c r="P14511" s="1"/>
      <c r="Q14511" s="1"/>
      <c r="R14511" s="1"/>
      <c r="S14511" s="1"/>
      <c r="T14511" s="1"/>
      <c r="U14511" s="1"/>
      <c r="V14511" s="1"/>
      <c r="W14511" s="1"/>
      <c r="X14511" s="1"/>
      <c r="Y14511" s="1"/>
      <c r="Z14511" s="1"/>
      <c r="AA14511" s="1"/>
      <c r="AB14511" s="1"/>
    </row>
    <row r="14512" ht="50.25" customHeight="1">
      <c r="A14512" s="12">
        <v>14508.0</v>
      </c>
      <c r="B14512" s="13" t="s">
        <v>13537</v>
      </c>
      <c r="C14512" s="14" t="s">
        <v>13747</v>
      </c>
      <c r="D14512" s="1"/>
      <c r="E14512" s="1"/>
      <c r="F14512" s="1" t="str">
        <f>IFERROR(__xludf.DUMMYFUNCTION("GOOGLETRANSLATE(B14512, ""en"", ""fa"")
"),"موفقیت SaaS")</f>
        <v>موفقیت SaaS</v>
      </c>
      <c r="G14512" s="1" t="str">
        <f>IFERROR(__xludf.DUMMYFUNCTION("GOOGLETRANSLATE(C14512, ""en"", ""fa"")
"),"چگونه یک فرآیند خاتمه قرارداد SaaS ایجاد کنیم که اختلال و مسئولیت را به حداقل برساند؟")</f>
        <v>چگونه یک فرآیند خاتمه قرارداد SaaS ایجاد کنیم که اختلال و مسئولیت را به حداقل برساند؟</v>
      </c>
      <c r="H14512" s="1"/>
      <c r="I14512" s="1"/>
      <c r="J14512" s="1"/>
      <c r="K14512" s="1"/>
      <c r="L14512" s="1"/>
      <c r="M14512" s="1"/>
      <c r="N14512" s="1"/>
      <c r="O14512" s="1"/>
      <c r="P14512" s="1"/>
      <c r="Q14512" s="1"/>
      <c r="R14512" s="1"/>
      <c r="S14512" s="1"/>
      <c r="T14512" s="1"/>
      <c r="U14512" s="1"/>
      <c r="V14512" s="1"/>
      <c r="W14512" s="1"/>
      <c r="X14512" s="1"/>
      <c r="Y14512" s="1"/>
      <c r="Z14512" s="1"/>
      <c r="AA14512" s="1"/>
      <c r="AB14512" s="1"/>
    </row>
    <row r="14513" ht="50.25" customHeight="1">
      <c r="A14513" s="12">
        <v>14509.0</v>
      </c>
      <c r="B14513" s="13" t="s">
        <v>13537</v>
      </c>
      <c r="C14513" s="14" t="s">
        <v>13748</v>
      </c>
      <c r="D14513" s="1"/>
      <c r="E14513" s="1"/>
      <c r="F14513" s="1" t="str">
        <f>IFERROR(__xludf.DUMMYFUNCTION("GOOGLETRANSLATE(B14513, ""en"", ""fa"")
"),"موفقیت SaaS")</f>
        <v>موفقیت SaaS</v>
      </c>
      <c r="G14513" s="1" t="str">
        <f>IFERROR(__xludf.DUMMYFUNCTION("GOOGLETRANSLATE(C14513, ""en"", ""fa"")
"),"چگونه از رقابتی بودن قیمت قرارداد SaaS و مطابق با روند بازار اطمینان حاصل کنیم؟")</f>
        <v>چگونه از رقابتی بودن قیمت قرارداد SaaS و مطابق با روند بازار اطمینان حاصل کنیم؟</v>
      </c>
      <c r="H14513" s="1"/>
      <c r="I14513" s="1"/>
      <c r="J14513" s="1"/>
      <c r="K14513" s="1"/>
      <c r="L14513" s="1"/>
      <c r="M14513" s="1"/>
      <c r="N14513" s="1"/>
      <c r="O14513" s="1"/>
      <c r="P14513" s="1"/>
      <c r="Q14513" s="1"/>
      <c r="R14513" s="1"/>
      <c r="S14513" s="1"/>
      <c r="T14513" s="1"/>
      <c r="U14513" s="1"/>
      <c r="V14513" s="1"/>
      <c r="W14513" s="1"/>
      <c r="X14513" s="1"/>
      <c r="Y14513" s="1"/>
      <c r="Z14513" s="1"/>
      <c r="AA14513" s="1"/>
      <c r="AB14513" s="1"/>
    </row>
    <row r="14514" ht="50.25" customHeight="1">
      <c r="A14514" s="12">
        <v>14510.0</v>
      </c>
      <c r="B14514" s="13" t="s">
        <v>13537</v>
      </c>
      <c r="C14514" s="14" t="s">
        <v>13749</v>
      </c>
      <c r="D14514" s="1"/>
      <c r="E14514" s="1"/>
      <c r="F14514" s="1" t="str">
        <f>IFERROR(__xludf.DUMMYFUNCTION("GOOGLETRANSLATE(B14514, ""en"", ""fa"")
"),"موفقیت SaaS")</f>
        <v>موفقیت SaaS</v>
      </c>
      <c r="G14514" s="1" t="str">
        <f>IFERROR(__xludf.DUMMYFUNCTION("GOOGLETRANSLATE(C14514, ""en"", ""fa"")
"),"چگونه می توان استراتژی های قیمت گذاری و تخفیف قرارداد SaaS را مدیریت کرد؟")</f>
        <v>چگونه می توان استراتژی های قیمت گذاری و تخفیف قرارداد SaaS را مدیریت کرد؟</v>
      </c>
      <c r="H14514" s="1"/>
      <c r="I14514" s="1"/>
      <c r="J14514" s="1"/>
      <c r="K14514" s="1"/>
      <c r="L14514" s="1"/>
      <c r="M14514" s="1"/>
      <c r="N14514" s="1"/>
      <c r="O14514" s="1"/>
      <c r="P14514" s="1"/>
      <c r="Q14514" s="1"/>
      <c r="R14514" s="1"/>
      <c r="S14514" s="1"/>
      <c r="T14514" s="1"/>
      <c r="U14514" s="1"/>
      <c r="V14514" s="1"/>
      <c r="W14514" s="1"/>
      <c r="X14514" s="1"/>
      <c r="Y14514" s="1"/>
      <c r="Z14514" s="1"/>
      <c r="AA14514" s="1"/>
      <c r="AB14514" s="1"/>
    </row>
    <row r="14515" ht="50.25" customHeight="1">
      <c r="A14515" s="12">
        <v>14511.0</v>
      </c>
      <c r="B14515" s="13" t="s">
        <v>13537</v>
      </c>
      <c r="C14515" s="14" t="s">
        <v>13750</v>
      </c>
      <c r="D14515" s="1"/>
      <c r="E14515" s="1"/>
      <c r="F14515" s="1" t="str">
        <f>IFERROR(__xludf.DUMMYFUNCTION("GOOGLETRANSLATE(B14515, ""en"", ""fa"")
"),"موفقیت SaaS")</f>
        <v>موفقیت SaaS</v>
      </c>
      <c r="G14515" s="1" t="str">
        <f>IFERROR(__xludf.DUMMYFUNCTION("GOOGLETRANSLATE(C14515, ""en"", ""fa"")
"),"چگونه یک مدل قیمت گذاری قرارداد SaaS ایجاد کنیم که درآمد و رضایت مشتری را متعادل کند؟")</f>
        <v>چگونه یک مدل قیمت گذاری قرارداد SaaS ایجاد کنیم که درآمد و رضایت مشتری را متعادل کند؟</v>
      </c>
      <c r="H14515" s="1"/>
      <c r="I14515" s="1"/>
      <c r="J14515" s="1"/>
      <c r="K14515" s="1"/>
      <c r="L14515" s="1"/>
      <c r="M14515" s="1"/>
      <c r="N14515" s="1"/>
      <c r="O14515" s="1"/>
      <c r="P14515" s="1"/>
      <c r="Q14515" s="1"/>
      <c r="R14515" s="1"/>
      <c r="S14515" s="1"/>
      <c r="T14515" s="1"/>
      <c r="U14515" s="1"/>
      <c r="V14515" s="1"/>
      <c r="W14515" s="1"/>
      <c r="X14515" s="1"/>
      <c r="Y14515" s="1"/>
      <c r="Z14515" s="1"/>
      <c r="AA14515" s="1"/>
      <c r="AB14515" s="1"/>
    </row>
    <row r="14516" ht="50.25" customHeight="1">
      <c r="A14516" s="12">
        <v>14512.0</v>
      </c>
      <c r="B14516" s="13" t="s">
        <v>13537</v>
      </c>
      <c r="C14516" s="14" t="s">
        <v>13751</v>
      </c>
      <c r="D14516" s="1"/>
      <c r="E14516" s="1"/>
      <c r="F14516" s="1" t="str">
        <f>IFERROR(__xludf.DUMMYFUNCTION("GOOGLETRANSLATE(B14516, ""en"", ""fa"")
"),"موفقیت SaaS")</f>
        <v>موفقیت SaaS</v>
      </c>
      <c r="G14516" s="1" t="str">
        <f>IFERROR(__xludf.DUMMYFUNCTION("GOOGLETRANSLATE(C14516, ""en"", ""fa"")
"),"چگونه فرآیندهای صورتحساب و صورتحساب قرارداد SaaS را مدیریت کنیم؟")</f>
        <v>چگونه فرآیندهای صورتحساب و صورتحساب قرارداد SaaS را مدیریت کنیم؟</v>
      </c>
      <c r="H14516" s="1"/>
      <c r="I14516" s="1"/>
      <c r="J14516" s="1"/>
      <c r="K14516" s="1"/>
      <c r="L14516" s="1"/>
      <c r="M14516" s="1"/>
      <c r="N14516" s="1"/>
      <c r="O14516" s="1"/>
      <c r="P14516" s="1"/>
      <c r="Q14516" s="1"/>
      <c r="R14516" s="1"/>
      <c r="S14516" s="1"/>
      <c r="T14516" s="1"/>
      <c r="U14516" s="1"/>
      <c r="V14516" s="1"/>
      <c r="W14516" s="1"/>
      <c r="X14516" s="1"/>
      <c r="Y14516" s="1"/>
      <c r="Z14516" s="1"/>
      <c r="AA14516" s="1"/>
      <c r="AB14516" s="1"/>
    </row>
    <row r="14517" ht="50.25" customHeight="1">
      <c r="A14517" s="12">
        <v>14513.0</v>
      </c>
      <c r="B14517" s="13" t="s">
        <v>13537</v>
      </c>
      <c r="C14517" s="14" t="s">
        <v>13752</v>
      </c>
      <c r="D14517" s="1"/>
      <c r="E14517" s="1"/>
      <c r="F14517" s="1" t="str">
        <f>IFERROR(__xludf.DUMMYFUNCTION("GOOGLETRANSLATE(B14517, ""en"", ""fa"")
"),"موفقیت SaaS")</f>
        <v>موفقیت SaaS</v>
      </c>
      <c r="G14517" s="1" t="str">
        <f>IFERROR(__xludf.DUMMYFUNCTION("GOOGLETRANSLATE(C14517, ""en"", ""fa"")
"),"چگونه می توان اطمینان حاصل کرد که پرداخت های قرارداد SaaS به موقع و به طور کامل دریافت می شود؟")</f>
        <v>چگونه می توان اطمینان حاصل کرد که پرداخت های قرارداد SaaS به موقع و به طور کامل دریافت می شود؟</v>
      </c>
      <c r="H14517" s="1"/>
      <c r="I14517" s="1"/>
      <c r="J14517" s="1"/>
      <c r="K14517" s="1"/>
      <c r="L14517" s="1"/>
      <c r="M14517" s="1"/>
      <c r="N14517" s="1"/>
      <c r="O14517" s="1"/>
      <c r="P14517" s="1"/>
      <c r="Q14517" s="1"/>
      <c r="R14517" s="1"/>
      <c r="S14517" s="1"/>
      <c r="T14517" s="1"/>
      <c r="U14517" s="1"/>
      <c r="V14517" s="1"/>
      <c r="W14517" s="1"/>
      <c r="X14517" s="1"/>
      <c r="Y14517" s="1"/>
      <c r="Z14517" s="1"/>
      <c r="AA14517" s="1"/>
      <c r="AB14517" s="1"/>
    </row>
    <row r="14518" ht="50.25" customHeight="1">
      <c r="A14518" s="12">
        <v>14514.0</v>
      </c>
      <c r="B14518" s="13" t="s">
        <v>13537</v>
      </c>
      <c r="C14518" s="14" t="s">
        <v>13753</v>
      </c>
      <c r="D14518" s="1"/>
      <c r="E14518" s="1"/>
      <c r="F14518" s="1" t="str">
        <f>IFERROR(__xludf.DUMMYFUNCTION("GOOGLETRANSLATE(B14518, ""en"", ""fa"")
"),"موفقیت SaaS")</f>
        <v>موفقیت SaaS</v>
      </c>
      <c r="G14518" s="1" t="str">
        <f>IFERROR(__xludf.DUMMYFUNCTION("GOOGLETRANSLATE(C14518, ""en"", ""fa"")
"),"چگونه شرایط و ضوابط پرداخت قرارداد SaaS را مدیریت کنیم؟")</f>
        <v>چگونه شرایط و ضوابط پرداخت قرارداد SaaS را مدیریت کنیم؟</v>
      </c>
      <c r="H14518" s="1"/>
      <c r="I14518" s="1"/>
      <c r="J14518" s="1"/>
      <c r="K14518" s="1"/>
      <c r="L14518" s="1"/>
      <c r="M14518" s="1"/>
      <c r="N14518" s="1"/>
      <c r="O14518" s="1"/>
      <c r="P14518" s="1"/>
      <c r="Q14518" s="1"/>
      <c r="R14518" s="1"/>
      <c r="S14518" s="1"/>
      <c r="T14518" s="1"/>
      <c r="U14518" s="1"/>
      <c r="V14518" s="1"/>
      <c r="W14518" s="1"/>
      <c r="X14518" s="1"/>
      <c r="Y14518" s="1"/>
      <c r="Z14518" s="1"/>
      <c r="AA14518" s="1"/>
      <c r="AB14518" s="1"/>
    </row>
    <row r="14519" ht="50.25" customHeight="1">
      <c r="A14519" s="12">
        <v>14515.0</v>
      </c>
      <c r="B14519" s="13" t="s">
        <v>13537</v>
      </c>
      <c r="C14519" s="14" t="s">
        <v>13754</v>
      </c>
      <c r="D14519" s="1"/>
      <c r="E14519" s="1"/>
      <c r="F14519" s="1" t="str">
        <f>IFERROR(__xludf.DUMMYFUNCTION("GOOGLETRANSLATE(B14519, ""en"", ""fa"")
"),"موفقیت SaaS")</f>
        <v>موفقیت SaaS</v>
      </c>
      <c r="G14519" s="1" t="str">
        <f>IFERROR(__xludf.DUMMYFUNCTION("GOOGLETRANSLATE(C14519, ""en"", ""fa"")
"),"چگونه یک فرآیند پرداخت قرارداد SaaS ایجاد کنیم که ایمن و کارآمد باشد؟")</f>
        <v>چگونه یک فرآیند پرداخت قرارداد SaaS ایجاد کنیم که ایمن و کارآمد باشد؟</v>
      </c>
      <c r="H14519" s="1"/>
      <c r="I14519" s="1"/>
      <c r="J14519" s="1"/>
      <c r="K14519" s="1"/>
      <c r="L14519" s="1"/>
      <c r="M14519" s="1"/>
      <c r="N14519" s="1"/>
      <c r="O14519" s="1"/>
      <c r="P14519" s="1"/>
      <c r="Q14519" s="1"/>
      <c r="R14519" s="1"/>
      <c r="S14519" s="1"/>
      <c r="T14519" s="1"/>
      <c r="U14519" s="1"/>
      <c r="V14519" s="1"/>
      <c r="W14519" s="1"/>
      <c r="X14519" s="1"/>
      <c r="Y14519" s="1"/>
      <c r="Z14519" s="1"/>
      <c r="AA14519" s="1"/>
      <c r="AB14519" s="1"/>
    </row>
    <row r="14520" ht="50.25" customHeight="1">
      <c r="A14520" s="12">
        <v>14516.0</v>
      </c>
      <c r="B14520" s="13" t="s">
        <v>13537</v>
      </c>
      <c r="C14520" s="14" t="s">
        <v>13755</v>
      </c>
      <c r="D14520" s="1"/>
      <c r="E14520" s="1"/>
      <c r="F14520" s="1" t="str">
        <f>IFERROR(__xludf.DUMMYFUNCTION("GOOGLETRANSLATE(B14520, ""en"", ""fa"")
"),"موفقیت SaaS")</f>
        <v>موفقیت SaaS</v>
      </c>
      <c r="G14520" s="1" t="str">
        <f>IFERROR(__xludf.DUMMYFUNCTION("GOOGLETRANSLATE(C14520, ""en"", ""fa"")
"),"چگونه اختلافات و مذاکرات پرداخت قرارداد SaaS را مدیریت کنیم؟")</f>
        <v>چگونه اختلافات و مذاکرات پرداخت قرارداد SaaS را مدیریت کنیم؟</v>
      </c>
      <c r="H14520" s="1"/>
      <c r="I14520" s="1"/>
      <c r="J14520" s="1"/>
      <c r="K14520" s="1"/>
      <c r="L14520" s="1"/>
      <c r="M14520" s="1"/>
      <c r="N14520" s="1"/>
      <c r="O14520" s="1"/>
      <c r="P14520" s="1"/>
      <c r="Q14520" s="1"/>
      <c r="R14520" s="1"/>
      <c r="S14520" s="1"/>
      <c r="T14520" s="1"/>
      <c r="U14520" s="1"/>
      <c r="V14520" s="1"/>
      <c r="W14520" s="1"/>
      <c r="X14520" s="1"/>
      <c r="Y14520" s="1"/>
      <c r="Z14520" s="1"/>
      <c r="AA14520" s="1"/>
      <c r="AB14520" s="1"/>
    </row>
    <row r="14521" ht="50.25" customHeight="1">
      <c r="A14521" s="12">
        <v>14517.0</v>
      </c>
      <c r="B14521" s="13" t="s">
        <v>13537</v>
      </c>
      <c r="C14521" s="14" t="s">
        <v>13756</v>
      </c>
      <c r="D14521" s="1"/>
      <c r="E14521" s="1"/>
      <c r="F14521" s="1" t="str">
        <f>IFERROR(__xludf.DUMMYFUNCTION("GOOGLETRANSLATE(B14521, ""en"", ""fa"")
"),"موفقیت SaaS")</f>
        <v>موفقیت SaaS</v>
      </c>
      <c r="G14521" s="1" t="str">
        <f>IFERROR(__xludf.DUMMYFUNCTION("GOOGLETRANSLATE(C14521, ""en"", ""fa"")
"),"چگونه یک سیستم پرداخت قرارداد SaaS ایجاد کنیم که با پلتفرم ها و ابزارهای دیگر یکپارچه شود؟")</f>
        <v>چگونه یک سیستم پرداخت قرارداد SaaS ایجاد کنیم که با پلتفرم ها و ابزارهای دیگر یکپارچه شود؟</v>
      </c>
      <c r="H14521" s="1"/>
      <c r="I14521" s="1"/>
      <c r="J14521" s="1"/>
      <c r="K14521" s="1"/>
      <c r="L14521" s="1"/>
      <c r="M14521" s="1"/>
      <c r="N14521" s="1"/>
      <c r="O14521" s="1"/>
      <c r="P14521" s="1"/>
      <c r="Q14521" s="1"/>
      <c r="R14521" s="1"/>
      <c r="S14521" s="1"/>
      <c r="T14521" s="1"/>
      <c r="U14521" s="1"/>
      <c r="V14521" s="1"/>
      <c r="W14521" s="1"/>
      <c r="X14521" s="1"/>
      <c r="Y14521" s="1"/>
      <c r="Z14521" s="1"/>
      <c r="AA14521" s="1"/>
      <c r="AB14521" s="1"/>
    </row>
    <row r="14522" ht="50.25" customHeight="1">
      <c r="A14522" s="12">
        <v>14518.0</v>
      </c>
      <c r="B14522" s="13" t="s">
        <v>13537</v>
      </c>
      <c r="C14522" s="14" t="s">
        <v>13757</v>
      </c>
      <c r="D14522" s="1"/>
      <c r="E14522" s="1"/>
      <c r="F14522" s="1" t="str">
        <f>IFERROR(__xludf.DUMMYFUNCTION("GOOGLETRANSLATE(B14522, ""en"", ""fa"")
"),"موفقیت SaaS")</f>
        <v>موفقیت SaaS</v>
      </c>
      <c r="G14522" s="1" t="str">
        <f>IFERROR(__xludf.DUMMYFUNCTION("GOOGLETRANSLATE(C14522, ""en"", ""fa"")
"),"چگونه می توان مطابقت قرارداد SaaS با قوانین و مقررات، مانند GDPR و CCPA را مدیریت کرد؟")</f>
        <v>چگونه می توان مطابقت قرارداد SaaS با قوانین و مقررات، مانند GDPR و CCPA را مدیریت کرد؟</v>
      </c>
      <c r="H14522" s="1"/>
      <c r="I14522" s="1"/>
      <c r="J14522" s="1"/>
      <c r="K14522" s="1"/>
      <c r="L14522" s="1"/>
      <c r="M14522" s="1"/>
      <c r="N14522" s="1"/>
      <c r="O14522" s="1"/>
      <c r="P14522" s="1"/>
      <c r="Q14522" s="1"/>
      <c r="R14522" s="1"/>
      <c r="S14522" s="1"/>
      <c r="T14522" s="1"/>
      <c r="U14522" s="1"/>
      <c r="V14522" s="1"/>
      <c r="W14522" s="1"/>
      <c r="X14522" s="1"/>
      <c r="Y14522" s="1"/>
      <c r="Z14522" s="1"/>
      <c r="AA14522" s="1"/>
      <c r="AB14522" s="1"/>
    </row>
    <row r="14523" ht="50.25" customHeight="1">
      <c r="A14523" s="12">
        <v>14519.0</v>
      </c>
      <c r="B14523" s="13" t="s">
        <v>13537</v>
      </c>
      <c r="C14523" s="14" t="s">
        <v>13758</v>
      </c>
      <c r="D14523" s="1"/>
      <c r="E14523" s="1"/>
      <c r="F14523" s="1" t="str">
        <f>IFERROR(__xludf.DUMMYFUNCTION("GOOGLETRANSLATE(B14523, ""en"", ""fa"")
"),"موفقیت SaaS")</f>
        <v>موفقیت SaaS</v>
      </c>
      <c r="G14523" s="1" t="str">
        <f>IFERROR(__xludf.DUMMYFUNCTION("GOOGLETRANSLATE(C14523, ""en"", ""fa"")
"),"چگونه یک سیاست حفظ حریم خصوصی قرارداد SaaS ایجاد کنیم که از شرکت و مشتری محافظت کند؟")</f>
        <v>چگونه یک سیاست حفظ حریم خصوصی قرارداد SaaS ایجاد کنیم که از شرکت و مشتری محافظت کند؟</v>
      </c>
      <c r="H14523" s="1"/>
      <c r="I14523" s="1"/>
      <c r="J14523" s="1"/>
      <c r="K14523" s="1"/>
      <c r="L14523" s="1"/>
      <c r="M14523" s="1"/>
      <c r="N14523" s="1"/>
      <c r="O14523" s="1"/>
      <c r="P14523" s="1"/>
      <c r="Q14523" s="1"/>
      <c r="R14523" s="1"/>
      <c r="S14523" s="1"/>
      <c r="T14523" s="1"/>
      <c r="U14523" s="1"/>
      <c r="V14523" s="1"/>
      <c r="W14523" s="1"/>
      <c r="X14523" s="1"/>
      <c r="Y14523" s="1"/>
      <c r="Z14523" s="1"/>
      <c r="AA14523" s="1"/>
      <c r="AB14523" s="1"/>
    </row>
    <row r="14524" ht="50.25" customHeight="1">
      <c r="A14524" s="12">
        <v>14520.0</v>
      </c>
      <c r="B14524" s="13" t="s">
        <v>13537</v>
      </c>
      <c r="C14524" s="14" t="s">
        <v>13759</v>
      </c>
      <c r="D14524" s="1"/>
      <c r="E14524" s="1"/>
      <c r="F14524" s="1" t="str">
        <f>IFERROR(__xludf.DUMMYFUNCTION("GOOGLETRANSLATE(B14524, ""en"", ""fa"")
"),"موفقیت SaaS")</f>
        <v>موفقیت SaaS</v>
      </c>
      <c r="G14524" s="1" t="str">
        <f>IFERROR(__xludf.DUMMYFUNCTION("GOOGLETRANSLATE(C14524, ""en"", ""fa"")
"),"چگونه امنیت قرارداد SaaS و اقدامات حفاظت از داده را مدیریت کنیم؟")</f>
        <v>چگونه امنیت قرارداد SaaS و اقدامات حفاظت از داده را مدیریت کنیم؟</v>
      </c>
      <c r="H14524" s="1"/>
      <c r="I14524" s="1"/>
      <c r="J14524" s="1"/>
      <c r="K14524" s="1"/>
      <c r="L14524" s="1"/>
      <c r="M14524" s="1"/>
      <c r="N14524" s="1"/>
      <c r="O14524" s="1"/>
      <c r="P14524" s="1"/>
      <c r="Q14524" s="1"/>
      <c r="R14524" s="1"/>
      <c r="S14524" s="1"/>
      <c r="T14524" s="1"/>
      <c r="U14524" s="1"/>
      <c r="V14524" s="1"/>
      <c r="W14524" s="1"/>
      <c r="X14524" s="1"/>
      <c r="Y14524" s="1"/>
      <c r="Z14524" s="1"/>
      <c r="AA14524" s="1"/>
      <c r="AB14524" s="1"/>
    </row>
    <row r="14525" ht="50.25" customHeight="1">
      <c r="A14525" s="12">
        <v>14521.0</v>
      </c>
      <c r="B14525" s="13" t="s">
        <v>13537</v>
      </c>
      <c r="C14525" s="14" t="s">
        <v>13760</v>
      </c>
      <c r="D14525" s="1"/>
      <c r="E14525" s="1"/>
      <c r="F14525" s="1" t="str">
        <f>IFERROR(__xludf.DUMMYFUNCTION("GOOGLETRANSLATE(B14525, ""en"", ""fa"")
"),"موفقیت SaaS")</f>
        <v>موفقیت SaaS</v>
      </c>
      <c r="G14525" s="1" t="str">
        <f>IFERROR(__xludf.DUMMYFUNCTION("GOOGLETRANSLATE(C14525, ""en"", ""fa"")
"),"چگونه می توان یک برنامه امنیتی قرارداد SaaS و حفاظت از داده ایجاد کرد که مطابق با استانداردهای صنعت و بهترین شیوه ها باشد؟")</f>
        <v>چگونه می توان یک برنامه امنیتی قرارداد SaaS و حفاظت از داده ایجاد کرد که مطابق با استانداردهای صنعت و بهترین شیوه ها باشد؟</v>
      </c>
      <c r="H14525" s="1"/>
      <c r="I14525" s="1"/>
      <c r="J14525" s="1"/>
      <c r="K14525" s="1"/>
      <c r="L14525" s="1"/>
      <c r="M14525" s="1"/>
      <c r="N14525" s="1"/>
      <c r="O14525" s="1"/>
      <c r="P14525" s="1"/>
      <c r="Q14525" s="1"/>
      <c r="R14525" s="1"/>
      <c r="S14525" s="1"/>
      <c r="T14525" s="1"/>
      <c r="U14525" s="1"/>
      <c r="V14525" s="1"/>
      <c r="W14525" s="1"/>
      <c r="X14525" s="1"/>
      <c r="Y14525" s="1"/>
      <c r="Z14525" s="1"/>
      <c r="AA14525" s="1"/>
      <c r="AB14525" s="1"/>
    </row>
    <row r="14526" ht="50.25" customHeight="1">
      <c r="A14526" s="12">
        <v>14522.0</v>
      </c>
      <c r="B14526" s="13" t="s">
        <v>13537</v>
      </c>
      <c r="C14526" s="14" t="s">
        <v>13761</v>
      </c>
      <c r="D14526" s="1"/>
      <c r="E14526" s="1"/>
      <c r="F14526" s="1" t="str">
        <f>IFERROR(__xludf.DUMMYFUNCTION("GOOGLETRANSLATE(B14526, ""en"", ""fa"")
"),"موفقیت SaaS")</f>
        <v>موفقیت SaaS</v>
      </c>
      <c r="G14526" s="1" t="str">
        <f>IFERROR(__xludf.DUMMYFUNCTION("GOOGLETRANSLATE(C14526, ""en"", ""fa"")
"),"چگونه فرآیندهای پشتیبان گیری و بازیابی اطلاعات قرارداد SaaS را مدیریت کنیم؟")</f>
        <v>چگونه فرآیندهای پشتیبان گیری و بازیابی اطلاعات قرارداد SaaS را مدیریت کنیم؟</v>
      </c>
      <c r="H14526" s="1"/>
      <c r="I14526" s="1"/>
      <c r="J14526" s="1"/>
      <c r="K14526" s="1"/>
      <c r="L14526" s="1"/>
      <c r="M14526" s="1"/>
      <c r="N14526" s="1"/>
      <c r="O14526" s="1"/>
      <c r="P14526" s="1"/>
      <c r="Q14526" s="1"/>
      <c r="R14526" s="1"/>
      <c r="S14526" s="1"/>
      <c r="T14526" s="1"/>
      <c r="U14526" s="1"/>
      <c r="V14526" s="1"/>
      <c r="W14526" s="1"/>
      <c r="X14526" s="1"/>
      <c r="Y14526" s="1"/>
      <c r="Z14526" s="1"/>
      <c r="AA14526" s="1"/>
      <c r="AB14526" s="1"/>
    </row>
    <row r="14527" ht="50.25" customHeight="1">
      <c r="A14527" s="12">
        <v>14523.0</v>
      </c>
      <c r="B14527" s="13" t="s">
        <v>13537</v>
      </c>
      <c r="C14527" s="14" t="s">
        <v>13762</v>
      </c>
      <c r="D14527" s="1"/>
      <c r="E14527" s="1"/>
      <c r="F14527" s="1" t="str">
        <f>IFERROR(__xludf.DUMMYFUNCTION("GOOGLETRANSLATE(B14527, ""en"", ""fa"")
"),"موفقیت SaaS")</f>
        <v>موفقیت SaaS</v>
      </c>
      <c r="G14527" s="1" t="str">
        <f>IFERROR(__xludf.DUMMYFUNCTION("GOOGLETRANSLATE(C14527, ""en"", ""fa"")
"),"چگونه می توان سیاست های حفظ و دفع داده های قرارداد SaaS را مدیریت کرد؟")</f>
        <v>چگونه می توان سیاست های حفظ و دفع داده های قرارداد SaaS را مدیریت کرد؟</v>
      </c>
      <c r="H14527" s="1"/>
      <c r="I14527" s="1"/>
      <c r="J14527" s="1"/>
      <c r="K14527" s="1"/>
      <c r="L14527" s="1"/>
      <c r="M14527" s="1"/>
      <c r="N14527" s="1"/>
      <c r="O14527" s="1"/>
      <c r="P14527" s="1"/>
      <c r="Q14527" s="1"/>
      <c r="R14527" s="1"/>
      <c r="S14527" s="1"/>
      <c r="T14527" s="1"/>
      <c r="U14527" s="1"/>
      <c r="V14527" s="1"/>
      <c r="W14527" s="1"/>
      <c r="X14527" s="1"/>
      <c r="Y14527" s="1"/>
      <c r="Z14527" s="1"/>
      <c r="AA14527" s="1"/>
      <c r="AB14527" s="1"/>
    </row>
    <row r="14528" ht="50.25" customHeight="1">
      <c r="A14528" s="12">
        <v>14524.0</v>
      </c>
      <c r="B14528" s="13" t="s">
        <v>13537</v>
      </c>
      <c r="C14528" s="14" t="s">
        <v>13763</v>
      </c>
      <c r="D14528" s="1"/>
      <c r="E14528" s="1"/>
      <c r="F14528" s="1" t="str">
        <f>IFERROR(__xludf.DUMMYFUNCTION("GOOGLETRANSLATE(B14528, ""en"", ""fa"")
"),"موفقیت SaaS")</f>
        <v>موفقیت SaaS</v>
      </c>
      <c r="G14528" s="1" t="str">
        <f>IFERROR(__xludf.DUMMYFUNCTION("GOOGLETRANSLATE(C14528, ""en"", ""fa"")
"),"چگونه می توان مالکیت معنوی و حقوق مالکیت قرارداد SaaS را مدیریت کرد؟")</f>
        <v>چگونه می توان مالکیت معنوی و حقوق مالکیت قرارداد SaaS را مدیریت کرد؟</v>
      </c>
      <c r="H14528" s="1"/>
      <c r="I14528" s="1"/>
      <c r="J14528" s="1"/>
      <c r="K14528" s="1"/>
      <c r="L14528" s="1"/>
      <c r="M14528" s="1"/>
      <c r="N14528" s="1"/>
      <c r="O14528" s="1"/>
      <c r="P14528" s="1"/>
      <c r="Q14528" s="1"/>
      <c r="R14528" s="1"/>
      <c r="S14528" s="1"/>
      <c r="T14528" s="1"/>
      <c r="U14528" s="1"/>
      <c r="V14528" s="1"/>
      <c r="W14528" s="1"/>
      <c r="X14528" s="1"/>
      <c r="Y14528" s="1"/>
      <c r="Z14528" s="1"/>
      <c r="AA14528" s="1"/>
      <c r="AB14528" s="1"/>
    </row>
    <row r="14529" ht="50.25" customHeight="1">
      <c r="A14529" s="12">
        <v>14525.0</v>
      </c>
      <c r="B14529" s="13" t="s">
        <v>13537</v>
      </c>
      <c r="C14529" s="14" t="s">
        <v>13764</v>
      </c>
      <c r="D14529" s="1"/>
      <c r="E14529" s="1"/>
      <c r="F14529" s="1" t="str">
        <f>IFERROR(__xludf.DUMMYFUNCTION("GOOGLETRANSLATE(B14529, ""en"", ""fa"")
"),"موفقیت SaaS")</f>
        <v>موفقیت SaaS</v>
      </c>
      <c r="G14529" s="1" t="str">
        <f>IFERROR(__xludf.DUMMYFUNCTION("GOOGLETRANSLATE(C14529, ""en"", ""fa"")
"),"چگونه یک IP قرارداد SaaS و خط مشی مالکیت ایجاد کنیم که از شرکت و مشتری محافظت کند؟")</f>
        <v>چگونه یک IP قرارداد SaaS و خط مشی مالکیت ایجاد کنیم که از شرکت و مشتری محافظت کند؟</v>
      </c>
      <c r="H14529" s="1"/>
      <c r="I14529" s="1"/>
      <c r="J14529" s="1"/>
      <c r="K14529" s="1"/>
      <c r="L14529" s="1"/>
      <c r="M14529" s="1"/>
      <c r="N14529" s="1"/>
      <c r="O14529" s="1"/>
      <c r="P14529" s="1"/>
      <c r="Q14529" s="1"/>
      <c r="R14529" s="1"/>
      <c r="S14529" s="1"/>
      <c r="T14529" s="1"/>
      <c r="U14529" s="1"/>
      <c r="V14529" s="1"/>
      <c r="W14529" s="1"/>
      <c r="X14529" s="1"/>
      <c r="Y14529" s="1"/>
      <c r="Z14529" s="1"/>
      <c r="AA14529" s="1"/>
      <c r="AB14529" s="1"/>
    </row>
    <row r="14530" ht="50.25" customHeight="1">
      <c r="A14530" s="12">
        <v>14526.0</v>
      </c>
      <c r="B14530" s="13" t="s">
        <v>13537</v>
      </c>
      <c r="C14530" s="14" t="s">
        <v>13765</v>
      </c>
      <c r="D14530" s="1"/>
      <c r="E14530" s="1"/>
      <c r="F14530" s="1" t="str">
        <f>IFERROR(__xludf.DUMMYFUNCTION("GOOGLETRANSLATE(B14530, ""en"", ""fa"")
"),"موفقیت SaaS")</f>
        <v>موفقیت SaaS</v>
      </c>
      <c r="G14530" s="1" t="str">
        <f>IFERROR(__xludf.DUMMYFUNCTION("GOOGLETRANSLATE(C14530, ""en"", ""fa"")
"),"چگونه مسئولیت قرارداد SaaS و الزامات بیمه را مدیریت کنیم؟")</f>
        <v>چگونه مسئولیت قرارداد SaaS و الزامات بیمه را مدیریت کنیم؟</v>
      </c>
      <c r="H14530" s="1"/>
      <c r="I14530" s="1"/>
      <c r="J14530" s="1"/>
      <c r="K14530" s="1"/>
      <c r="L14530" s="1"/>
      <c r="M14530" s="1"/>
      <c r="N14530" s="1"/>
      <c r="O14530" s="1"/>
      <c r="P14530" s="1"/>
      <c r="Q14530" s="1"/>
      <c r="R14530" s="1"/>
      <c r="S14530" s="1"/>
      <c r="T14530" s="1"/>
      <c r="U14530" s="1"/>
      <c r="V14530" s="1"/>
      <c r="W14530" s="1"/>
      <c r="X14530" s="1"/>
      <c r="Y14530" s="1"/>
      <c r="Z14530" s="1"/>
      <c r="AA14530" s="1"/>
      <c r="AB14530" s="1"/>
    </row>
    <row r="14531" ht="50.25" customHeight="1">
      <c r="A14531" s="12">
        <v>14527.0</v>
      </c>
      <c r="B14531" s="13" t="s">
        <v>13537</v>
      </c>
      <c r="C14531" s="14" t="s">
        <v>13766</v>
      </c>
      <c r="D14531" s="1"/>
      <c r="E14531" s="1"/>
      <c r="F14531" s="1" t="str">
        <f>IFERROR(__xludf.DUMMYFUNCTION("GOOGLETRANSLATE(B14531, ""en"", ""fa"")
"),"موفقیت SaaS")</f>
        <v>موفقیت SaaS</v>
      </c>
      <c r="G14531" s="1" t="str">
        <f>IFERROR(__xludf.DUMMYFUNCTION("GOOGLETRANSLATE(C14531, ""en"", ""fa"")
"),"چگونه می توان یک طرح مسئولیت و بیمه قرارداد SaaS ایجاد کرد که مطابق با استانداردهای صنعت و بهترین شیوه ها باشد؟")</f>
        <v>چگونه می توان یک طرح مسئولیت و بیمه قرارداد SaaS ایجاد کرد که مطابق با استانداردهای صنعت و بهترین شیوه ها باشد؟</v>
      </c>
      <c r="H14531" s="1"/>
      <c r="I14531" s="1"/>
      <c r="J14531" s="1"/>
      <c r="K14531" s="1"/>
      <c r="L14531" s="1"/>
      <c r="M14531" s="1"/>
      <c r="N14531" s="1"/>
      <c r="O14531" s="1"/>
      <c r="P14531" s="1"/>
      <c r="Q14531" s="1"/>
      <c r="R14531" s="1"/>
      <c r="S14531" s="1"/>
      <c r="T14531" s="1"/>
      <c r="U14531" s="1"/>
      <c r="V14531" s="1"/>
      <c r="W14531" s="1"/>
      <c r="X14531" s="1"/>
      <c r="Y14531" s="1"/>
      <c r="Z14531" s="1"/>
      <c r="AA14531" s="1"/>
      <c r="AB14531" s="1"/>
    </row>
    <row r="14532" ht="50.25" customHeight="1">
      <c r="A14532" s="12">
        <v>14528.0</v>
      </c>
      <c r="B14532" s="13" t="s">
        <v>13537</v>
      </c>
      <c r="C14532" s="14" t="s">
        <v>13767</v>
      </c>
      <c r="D14532" s="1"/>
      <c r="E14532" s="1"/>
      <c r="F14532" s="1" t="str">
        <f>IFERROR(__xludf.DUMMYFUNCTION("GOOGLETRANSLATE(B14532, ""en"", ""fa"")
"),"موفقیت SaaS")</f>
        <v>موفقیت SaaS</v>
      </c>
      <c r="G14532" s="1" t="str">
        <f>IFERROR(__xludf.DUMMYFUNCTION("GOOGLETRANSLATE(C14532, ""en"", ""fa"")
"),"چگونه می توان قراردادهای سطح خدمات قرارداد SaaS و معیارهای عملکرد را مدیریت کرد؟")</f>
        <v>چگونه می توان قراردادهای سطح خدمات قرارداد SaaS و معیارهای عملکرد را مدیریت کرد؟</v>
      </c>
      <c r="H14532" s="1"/>
      <c r="I14532" s="1"/>
      <c r="J14532" s="1"/>
      <c r="K14532" s="1"/>
      <c r="L14532" s="1"/>
      <c r="M14532" s="1"/>
      <c r="N14532" s="1"/>
      <c r="O14532" s="1"/>
      <c r="P14532" s="1"/>
      <c r="Q14532" s="1"/>
      <c r="R14532" s="1"/>
      <c r="S14532" s="1"/>
      <c r="T14532" s="1"/>
      <c r="U14532" s="1"/>
      <c r="V14532" s="1"/>
      <c r="W14532" s="1"/>
      <c r="X14532" s="1"/>
      <c r="Y14532" s="1"/>
      <c r="Z14532" s="1"/>
      <c r="AA14532" s="1"/>
      <c r="AB14532" s="1"/>
    </row>
    <row r="14533" ht="50.25" customHeight="1">
      <c r="A14533" s="12">
        <v>14529.0</v>
      </c>
      <c r="B14533" s="13" t="s">
        <v>13537</v>
      </c>
      <c r="C14533" s="14" t="s">
        <v>13768</v>
      </c>
      <c r="D14533" s="1"/>
      <c r="E14533" s="1"/>
      <c r="F14533" s="1" t="str">
        <f>IFERROR(__xludf.DUMMYFUNCTION("GOOGLETRANSLATE(B14533, ""en"", ""fa"")
"),"موفقیت SaaS")</f>
        <v>موفقیت SaaS</v>
      </c>
      <c r="G14533" s="1" t="str">
        <f>IFERROR(__xludf.DUMMYFUNCTION("GOOGLETRANSLATE(C14533, ""en"", ""fa"")
"),"چگونه یک SLA قرارداد SaaS و خط مشی عملکرد ایجاد کنیم که انتظارات و نیازهای مشتری را برآورده کند؟")</f>
        <v>چگونه یک SLA قرارداد SaaS و خط مشی عملکرد ایجاد کنیم که انتظارات و نیازهای مشتری را برآورده کند؟</v>
      </c>
      <c r="H14533" s="1"/>
      <c r="I14533" s="1"/>
      <c r="J14533" s="1"/>
      <c r="K14533" s="1"/>
      <c r="L14533" s="1"/>
      <c r="M14533" s="1"/>
      <c r="N14533" s="1"/>
      <c r="O14533" s="1"/>
      <c r="P14533" s="1"/>
      <c r="Q14533" s="1"/>
      <c r="R14533" s="1"/>
      <c r="S14533" s="1"/>
      <c r="T14533" s="1"/>
      <c r="U14533" s="1"/>
      <c r="V14533" s="1"/>
      <c r="W14533" s="1"/>
      <c r="X14533" s="1"/>
      <c r="Y14533" s="1"/>
      <c r="Z14533" s="1"/>
      <c r="AA14533" s="1"/>
      <c r="AB14533" s="1"/>
    </row>
    <row r="14534" ht="50.25" customHeight="1">
      <c r="A14534" s="12">
        <v>14530.0</v>
      </c>
      <c r="B14534" s="13" t="s">
        <v>13537</v>
      </c>
      <c r="C14534" s="14" t="s">
        <v>13769</v>
      </c>
      <c r="D14534" s="1"/>
      <c r="E14534" s="1"/>
      <c r="F14534" s="1" t="str">
        <f>IFERROR(__xludf.DUMMYFUNCTION("GOOGLETRANSLATE(B14534, ""en"", ""fa"")
"),"موفقیت SaaS")</f>
        <v>موفقیت SaaS</v>
      </c>
      <c r="G14534" s="1" t="str">
        <f>IFERROR(__xludf.DUMMYFUNCTION("GOOGLETRANSLATE(C14534, ""en"", ""fa"")
"),"چگونه فرآیندهای مدیریت و کنترل تغییر قرارداد SaaS را مدیریت کنیم؟")</f>
        <v>چگونه فرآیندهای مدیریت و کنترل تغییر قرارداد SaaS را مدیریت کنیم؟</v>
      </c>
      <c r="H14534" s="1"/>
      <c r="I14534" s="1"/>
      <c r="J14534" s="1"/>
      <c r="K14534" s="1"/>
      <c r="L14534" s="1"/>
      <c r="M14534" s="1"/>
      <c r="N14534" s="1"/>
      <c r="O14534" s="1"/>
      <c r="P14534" s="1"/>
      <c r="Q14534" s="1"/>
      <c r="R14534" s="1"/>
      <c r="S14534" s="1"/>
      <c r="T14534" s="1"/>
      <c r="U14534" s="1"/>
      <c r="V14534" s="1"/>
      <c r="W14534" s="1"/>
      <c r="X14534" s="1"/>
      <c r="Y14534" s="1"/>
      <c r="Z14534" s="1"/>
      <c r="AA14534" s="1"/>
      <c r="AB14534" s="1"/>
    </row>
    <row r="14535" ht="50.25" customHeight="1">
      <c r="A14535" s="12">
        <v>14531.0</v>
      </c>
      <c r="B14535" s="13" t="s">
        <v>13537</v>
      </c>
      <c r="C14535" s="14" t="s">
        <v>13770</v>
      </c>
      <c r="D14535" s="1"/>
      <c r="E14535" s="1"/>
      <c r="F14535" s="1" t="str">
        <f>IFERROR(__xludf.DUMMYFUNCTION("GOOGLETRANSLATE(B14535, ""en"", ""fa"")
"),"موفقیت SaaS")</f>
        <v>موفقیت SaaS</v>
      </c>
      <c r="G14535" s="1" t="str">
        <f>IFERROR(__xludf.DUMMYFUNCTION("GOOGLETRANSLATE(C14535, ""en"", ""fa"")
"),"چگونه می توان یک سیاست مدیریت و کنترل تغییر قرارداد SaaS ایجاد کرد که مطابق با استانداردهای صنعت و بهترین شیوه ها باشد؟")</f>
        <v>چگونه می توان یک سیاست مدیریت و کنترل تغییر قرارداد SaaS ایجاد کرد که مطابق با استانداردهای صنعت و بهترین شیوه ها باشد؟</v>
      </c>
      <c r="H14535" s="1"/>
      <c r="I14535" s="1"/>
      <c r="J14535" s="1"/>
      <c r="K14535" s="1"/>
      <c r="L14535" s="1"/>
      <c r="M14535" s="1"/>
      <c r="N14535" s="1"/>
      <c r="O14535" s="1"/>
      <c r="P14535" s="1"/>
      <c r="Q14535" s="1"/>
      <c r="R14535" s="1"/>
      <c r="S14535" s="1"/>
      <c r="T14535" s="1"/>
      <c r="U14535" s="1"/>
      <c r="V14535" s="1"/>
      <c r="W14535" s="1"/>
      <c r="X14535" s="1"/>
      <c r="Y14535" s="1"/>
      <c r="Z14535" s="1"/>
      <c r="AA14535" s="1"/>
      <c r="AB14535" s="1"/>
    </row>
    <row r="14536" ht="50.25" customHeight="1">
      <c r="A14536" s="12">
        <v>14532.0</v>
      </c>
      <c r="B14536" s="13" t="s">
        <v>13537</v>
      </c>
      <c r="C14536" s="14" t="s">
        <v>13771</v>
      </c>
      <c r="D14536" s="1"/>
      <c r="E14536" s="1"/>
      <c r="F14536" s="1" t="str">
        <f>IFERROR(__xludf.DUMMYFUNCTION("GOOGLETRANSLATE(B14536, ""en"", ""fa"")
"),"موفقیت SaaS")</f>
        <v>موفقیت SaaS</v>
      </c>
      <c r="G14536" s="1" t="str">
        <f>IFERROR(__xludf.DUMMYFUNCTION("GOOGLETRANSLATE(C14536, ""en"", ""fa"")
"),"چگونه فرآیندهای پشتیبانی مشتری و خدمات قرارداد SaaS را مدیریت کنیم؟")</f>
        <v>چگونه فرآیندهای پشتیبانی مشتری و خدمات قرارداد SaaS را مدیریت کنیم؟</v>
      </c>
      <c r="H14536" s="1"/>
      <c r="I14536" s="1"/>
      <c r="J14536" s="1"/>
      <c r="K14536" s="1"/>
      <c r="L14536" s="1"/>
      <c r="M14536" s="1"/>
      <c r="N14536" s="1"/>
      <c r="O14536" s="1"/>
      <c r="P14536" s="1"/>
      <c r="Q14536" s="1"/>
      <c r="R14536" s="1"/>
      <c r="S14536" s="1"/>
      <c r="T14536" s="1"/>
      <c r="U14536" s="1"/>
      <c r="V14536" s="1"/>
      <c r="W14536" s="1"/>
      <c r="X14536" s="1"/>
      <c r="Y14536" s="1"/>
      <c r="Z14536" s="1"/>
      <c r="AA14536" s="1"/>
      <c r="AB14536" s="1"/>
    </row>
    <row r="14537" ht="50.25" customHeight="1">
      <c r="A14537" s="12">
        <v>14533.0</v>
      </c>
      <c r="B14537" s="13" t="s">
        <v>13537</v>
      </c>
      <c r="C14537" s="14" t="s">
        <v>13772</v>
      </c>
      <c r="D14537" s="1"/>
      <c r="E14537" s="1"/>
      <c r="F14537" s="1" t="str">
        <f>IFERROR(__xludf.DUMMYFUNCTION("GOOGLETRANSLATE(B14537, ""en"", ""fa"")
"),"موفقیت SaaS")</f>
        <v>موفقیت SaaS</v>
      </c>
      <c r="G14537" s="1" t="str">
        <f>IFERROR(__xludf.DUMMYFUNCTION("GOOGLETRANSLATE(C14537, ""en"", ""fa"")
"),"چگونه یک خط مشی خدمات و پشتیبانی مشتری قرارداد SaaS ایجاد کنیم که انتظارات و نیازهای مشتری را برآورده کند؟")</f>
        <v>چگونه یک خط مشی خدمات و پشتیبانی مشتری قرارداد SaaS ایجاد کنیم که انتظارات و نیازهای مشتری را برآورده کند؟</v>
      </c>
      <c r="H14537" s="1"/>
      <c r="I14537" s="1"/>
      <c r="J14537" s="1"/>
      <c r="K14537" s="1"/>
      <c r="L14537" s="1"/>
      <c r="M14537" s="1"/>
      <c r="N14537" s="1"/>
      <c r="O14537" s="1"/>
      <c r="P14537" s="1"/>
      <c r="Q14537" s="1"/>
      <c r="R14537" s="1"/>
      <c r="S14537" s="1"/>
      <c r="T14537" s="1"/>
      <c r="U14537" s="1"/>
      <c r="V14537" s="1"/>
      <c r="W14537" s="1"/>
      <c r="X14537" s="1"/>
      <c r="Y14537" s="1"/>
      <c r="Z14537" s="1"/>
      <c r="AA14537" s="1"/>
      <c r="AB14537" s="1"/>
    </row>
    <row r="14538" ht="50.25" customHeight="1">
      <c r="A14538" s="12">
        <v>14534.0</v>
      </c>
      <c r="B14538" s="13" t="s">
        <v>13537</v>
      </c>
      <c r="C14538" s="14" t="s">
        <v>13773</v>
      </c>
      <c r="D14538" s="1"/>
      <c r="E14538" s="1"/>
      <c r="F14538" s="1" t="str">
        <f>IFERROR(__xludf.DUMMYFUNCTION("GOOGLETRANSLATE(B14538, ""en"", ""fa"")
"),"موفقیت SaaS")</f>
        <v>موفقیت SaaS</v>
      </c>
      <c r="G14538" s="1" t="str">
        <f>IFERROR(__xludf.DUMMYFUNCTION("GOOGLETRANSLATE(C14538, ""en"", ""fa"")
"),"چگونه فرآیندهای موفقیت و حفظ مشتری قرارداد SaaS را مدیریت کنیم؟")</f>
        <v>چگونه فرآیندهای موفقیت و حفظ مشتری قرارداد SaaS را مدیریت کنیم؟</v>
      </c>
      <c r="H14538" s="1"/>
      <c r="I14538" s="1"/>
      <c r="J14538" s="1"/>
      <c r="K14538" s="1"/>
      <c r="L14538" s="1"/>
      <c r="M14538" s="1"/>
      <c r="N14538" s="1"/>
      <c r="O14538" s="1"/>
      <c r="P14538" s="1"/>
      <c r="Q14538" s="1"/>
      <c r="R14538" s="1"/>
      <c r="S14538" s="1"/>
      <c r="T14538" s="1"/>
      <c r="U14538" s="1"/>
      <c r="V14538" s="1"/>
      <c r="W14538" s="1"/>
      <c r="X14538" s="1"/>
      <c r="Y14538" s="1"/>
      <c r="Z14538" s="1"/>
      <c r="AA14538" s="1"/>
      <c r="AB14538" s="1"/>
    </row>
    <row r="14539" ht="50.25" customHeight="1">
      <c r="A14539" s="12">
        <v>14535.0</v>
      </c>
      <c r="B14539" s="13" t="s">
        <v>13537</v>
      </c>
      <c r="C14539" s="14" t="s">
        <v>13774</v>
      </c>
      <c r="D14539" s="1"/>
      <c r="E14539" s="1"/>
      <c r="F14539" s="1" t="str">
        <f>IFERROR(__xludf.DUMMYFUNCTION("GOOGLETRANSLATE(B14539, ""en"", ""fa"")
"),"موفقیت SaaS")</f>
        <v>موفقیت SaaS</v>
      </c>
      <c r="G14539" s="1" t="str">
        <f>IFERROR(__xludf.DUMMYFUNCTION("GOOGLETRANSLATE(C14539, ""en"", ""fa"")
"),"چگونه می توان یک سیاست موفقیت و حفظ مشتری قرارداد SaaS ایجاد کرد که اهداف و اهداف شرکت را برآورده کند؟")</f>
        <v>چگونه می توان یک سیاست موفقیت و حفظ مشتری قرارداد SaaS ایجاد کرد که اهداف و اهداف شرکت را برآورده کند؟</v>
      </c>
      <c r="H14539" s="1"/>
      <c r="I14539" s="1"/>
      <c r="J14539" s="1"/>
      <c r="K14539" s="1"/>
      <c r="L14539" s="1"/>
      <c r="M14539" s="1"/>
      <c r="N14539" s="1"/>
      <c r="O14539" s="1"/>
      <c r="P14539" s="1"/>
      <c r="Q14539" s="1"/>
      <c r="R14539" s="1"/>
      <c r="S14539" s="1"/>
      <c r="T14539" s="1"/>
      <c r="U14539" s="1"/>
      <c r="V14539" s="1"/>
      <c r="W14539" s="1"/>
      <c r="X14539" s="1"/>
      <c r="Y14539" s="1"/>
      <c r="Z14539" s="1"/>
      <c r="AA14539" s="1"/>
      <c r="AB14539" s="1"/>
    </row>
    <row r="14540" ht="50.25" customHeight="1">
      <c r="A14540" s="12">
        <v>14536.0</v>
      </c>
      <c r="B14540" s="13" t="s">
        <v>13537</v>
      </c>
      <c r="C14540" s="14" t="s">
        <v>13775</v>
      </c>
      <c r="D14540" s="1"/>
      <c r="E14540" s="1"/>
      <c r="F14540" s="1" t="str">
        <f>IFERROR(__xludf.DUMMYFUNCTION("GOOGLETRANSLATE(B14540, ""en"", ""fa"")
"),"موفقیت SaaS")</f>
        <v>موفقیت SaaS</v>
      </c>
      <c r="G14540" s="1" t="str">
        <f>IFERROR(__xludf.DUMMYFUNCTION("GOOGLETRANSLATE(C14540, ""en"", ""fa"")
"),"چگونه فرآیندهای بازخورد و شکایت مشتری قرارداد SaaS را مدیریت کنیم؟")</f>
        <v>چگونه فرآیندهای بازخورد و شکایت مشتری قرارداد SaaS را مدیریت کنیم؟</v>
      </c>
      <c r="H14540" s="1"/>
      <c r="I14540" s="1"/>
      <c r="J14540" s="1"/>
      <c r="K14540" s="1"/>
      <c r="L14540" s="1"/>
      <c r="M14540" s="1"/>
      <c r="N14540" s="1"/>
      <c r="O14540" s="1"/>
      <c r="P14540" s="1"/>
      <c r="Q14540" s="1"/>
      <c r="R14540" s="1"/>
      <c r="S14540" s="1"/>
      <c r="T14540" s="1"/>
      <c r="U14540" s="1"/>
      <c r="V14540" s="1"/>
      <c r="W14540" s="1"/>
      <c r="X14540" s="1"/>
      <c r="Y14540" s="1"/>
      <c r="Z14540" s="1"/>
      <c r="AA14540" s="1"/>
      <c r="AB14540" s="1"/>
    </row>
    <row r="14541" ht="50.25" customHeight="1">
      <c r="A14541" s="12">
        <v>14537.0</v>
      </c>
      <c r="B14541" s="13" t="s">
        <v>13537</v>
      </c>
      <c r="C14541" s="14" t="s">
        <v>13776</v>
      </c>
      <c r="D14541" s="1"/>
      <c r="E14541" s="1"/>
      <c r="F14541" s="1" t="str">
        <f>IFERROR(__xludf.DUMMYFUNCTION("GOOGLETRANSLATE(B14541, ""en"", ""fa"")
"),"موفقیت SaaS")</f>
        <v>موفقیت SaaS</v>
      </c>
      <c r="G14541" s="1" t="str">
        <f>IFERROR(__xludf.DUMMYFUNCTION("GOOGLETRANSLATE(C14541, ""en"", ""fa"")
"),"چگونه یک سیاست بازخورد و شکایت مشتری قرارداد SaaS ایجاد کنیم که انتظارات و نیازهای مشتری را برآورده کند؟")</f>
        <v>چگونه یک سیاست بازخورد و شکایت مشتری قرارداد SaaS ایجاد کنیم که انتظارات و نیازهای مشتری را برآورده کند؟</v>
      </c>
      <c r="H14541" s="1"/>
      <c r="I14541" s="1"/>
      <c r="J14541" s="1"/>
      <c r="K14541" s="1"/>
      <c r="L14541" s="1"/>
      <c r="M14541" s="1"/>
      <c r="N14541" s="1"/>
      <c r="O14541" s="1"/>
      <c r="P14541" s="1"/>
      <c r="Q14541" s="1"/>
      <c r="R14541" s="1"/>
      <c r="S14541" s="1"/>
      <c r="T14541" s="1"/>
      <c r="U14541" s="1"/>
      <c r="V14541" s="1"/>
      <c r="W14541" s="1"/>
      <c r="X14541" s="1"/>
      <c r="Y14541" s="1"/>
      <c r="Z14541" s="1"/>
      <c r="AA14541" s="1"/>
      <c r="AB14541" s="1"/>
    </row>
    <row r="14542" ht="50.25" customHeight="1">
      <c r="A14542" s="12">
        <v>14538.0</v>
      </c>
      <c r="B14542" s="13" t="s">
        <v>13537</v>
      </c>
      <c r="C14542" s="14" t="s">
        <v>13777</v>
      </c>
      <c r="D14542" s="1"/>
      <c r="E14542" s="1"/>
      <c r="F14542" s="1" t="str">
        <f>IFERROR(__xludf.DUMMYFUNCTION("GOOGLETRANSLATE(B14542, ""en"", ""fa"")
"),"موفقیت SaaS")</f>
        <v>موفقیت SaaS</v>
      </c>
      <c r="G14542" s="1" t="str">
        <f>IFERROR(__xludf.DUMMYFUNCTION("GOOGLETRANSLATE(C14542, ""en"", ""fa"")
"),"چگونه فرآیندهای ارتباط و تعامل با مشتری قرارداد SaaS را مدیریت کنیم؟")</f>
        <v>چگونه فرآیندهای ارتباط و تعامل با مشتری قرارداد SaaS را مدیریت کنیم؟</v>
      </c>
      <c r="H14542" s="1"/>
      <c r="I14542" s="1"/>
      <c r="J14542" s="1"/>
      <c r="K14542" s="1"/>
      <c r="L14542" s="1"/>
      <c r="M14542" s="1"/>
      <c r="N14542" s="1"/>
      <c r="O14542" s="1"/>
      <c r="P14542" s="1"/>
      <c r="Q14542" s="1"/>
      <c r="R14542" s="1"/>
      <c r="S14542" s="1"/>
      <c r="T14542" s="1"/>
      <c r="U14542" s="1"/>
      <c r="V14542" s="1"/>
      <c r="W14542" s="1"/>
      <c r="X14542" s="1"/>
      <c r="Y14542" s="1"/>
      <c r="Z14542" s="1"/>
      <c r="AA14542" s="1"/>
      <c r="AB14542" s="1"/>
    </row>
    <row r="14543" ht="50.25" customHeight="1">
      <c r="A14543" s="12">
        <v>14539.0</v>
      </c>
      <c r="B14543" s="13" t="s">
        <v>13537</v>
      </c>
      <c r="C14543" s="14" t="s">
        <v>13778</v>
      </c>
      <c r="D14543" s="1"/>
      <c r="E14543" s="1"/>
      <c r="F14543" s="1" t="str">
        <f>IFERROR(__xludf.DUMMYFUNCTION("GOOGLETRANSLATE(B14543, ""en"", ""fa"")
"),"موفقیت SaaS")</f>
        <v>موفقیت SaaS</v>
      </c>
      <c r="G14543" s="1" t="str">
        <f>IFERROR(__xludf.DUMMYFUNCTION("GOOGLETRANSLATE(C14543, ""en"", ""fa"")
"),"نحوه ایجاد یک خط مشی ارتباط و تعامل با مشتری قرارداد SaaS")</f>
        <v>نحوه ایجاد یک خط مشی ارتباط و تعامل با مشتری قرارداد SaaS</v>
      </c>
      <c r="H14543" s="1"/>
      <c r="I14543" s="1"/>
      <c r="J14543" s="1"/>
      <c r="K14543" s="1"/>
      <c r="L14543" s="1"/>
      <c r="M14543" s="1"/>
      <c r="N14543" s="1"/>
      <c r="O14543" s="1"/>
      <c r="P14543" s="1"/>
      <c r="Q14543" s="1"/>
      <c r="R14543" s="1"/>
      <c r="S14543" s="1"/>
      <c r="T14543" s="1"/>
      <c r="U14543" s="1"/>
      <c r="V14543" s="1"/>
      <c r="W14543" s="1"/>
      <c r="X14543" s="1"/>
      <c r="Y14543" s="1"/>
      <c r="Z14543" s="1"/>
      <c r="AA14543" s="1"/>
      <c r="AB14543" s="1"/>
    </row>
    <row r="14544" ht="50.25" customHeight="1">
      <c r="A14544" s="12">
        <v>14540.0</v>
      </c>
      <c r="B14544" s="13" t="s">
        <v>13537</v>
      </c>
      <c r="C14544" s="14" t="s">
        <v>13779</v>
      </c>
      <c r="D14544" s="1"/>
      <c r="E14544" s="1"/>
      <c r="F14544" s="1" t="str">
        <f>IFERROR(__xludf.DUMMYFUNCTION("GOOGLETRANSLATE(B14544, ""en"", ""fa"")
"),"موفقیت SaaS")</f>
        <v>موفقیت SaaS</v>
      </c>
      <c r="G14544" s="1" t="str">
        <f>IFERROR(__xludf.DUMMYFUNCTION("GOOGLETRANSLATE(C14544, ""en"", ""fa"")
"),"چگونه می توان اطمینان حاصل کرد که شرایط قرارداد SaaS به وضوح توسط مشتریان ابلاغ و درک می شود؟")</f>
        <v>چگونه می توان اطمینان حاصل کرد که شرایط قرارداد SaaS به وضوح توسط مشتریان ابلاغ و درک می شود؟</v>
      </c>
      <c r="H14544" s="1"/>
      <c r="I14544" s="1"/>
      <c r="J14544" s="1"/>
      <c r="K14544" s="1"/>
      <c r="L14544" s="1"/>
      <c r="M14544" s="1"/>
      <c r="N14544" s="1"/>
      <c r="O14544" s="1"/>
      <c r="P14544" s="1"/>
      <c r="Q14544" s="1"/>
      <c r="R14544" s="1"/>
      <c r="S14544" s="1"/>
      <c r="T14544" s="1"/>
      <c r="U14544" s="1"/>
      <c r="V14544" s="1"/>
      <c r="W14544" s="1"/>
      <c r="X14544" s="1"/>
      <c r="Y14544" s="1"/>
      <c r="Z14544" s="1"/>
      <c r="AA14544" s="1"/>
      <c r="AB14544" s="1"/>
    </row>
    <row r="14545" ht="50.25" customHeight="1">
      <c r="A14545" s="12">
        <v>14541.0</v>
      </c>
      <c r="B14545" s="13" t="s">
        <v>13537</v>
      </c>
      <c r="C14545" s="14" t="s">
        <v>13780</v>
      </c>
      <c r="D14545" s="1"/>
      <c r="E14545" s="1"/>
      <c r="F14545" s="1" t="str">
        <f>IFERROR(__xludf.DUMMYFUNCTION("GOOGLETRANSLATE(B14545, ""en"", ""fa"")
"),"موفقیت SaaS")</f>
        <v>موفقیت SaaS</v>
      </c>
      <c r="G14545" s="1" t="str">
        <f>IFERROR(__xludf.DUMMYFUNCTION("GOOGLETRANSLATE(C14545, ""en"", ""fa"")
"),"چگونه می توان به درخواست های اصلاح و اصلاح قرارداد SaaS از مشتریان رسیدگی کرد؟")</f>
        <v>چگونه می توان به درخواست های اصلاح و اصلاح قرارداد SaaS از مشتریان رسیدگی کرد؟</v>
      </c>
      <c r="H14545" s="1"/>
      <c r="I14545" s="1"/>
      <c r="J14545" s="1"/>
      <c r="K14545" s="1"/>
      <c r="L14545" s="1"/>
      <c r="M14545" s="1"/>
      <c r="N14545" s="1"/>
      <c r="O14545" s="1"/>
      <c r="P14545" s="1"/>
      <c r="Q14545" s="1"/>
      <c r="R14545" s="1"/>
      <c r="S14545" s="1"/>
      <c r="T14545" s="1"/>
      <c r="U14545" s="1"/>
      <c r="V14545" s="1"/>
      <c r="W14545" s="1"/>
      <c r="X14545" s="1"/>
      <c r="Y14545" s="1"/>
      <c r="Z14545" s="1"/>
      <c r="AA14545" s="1"/>
      <c r="AB14545" s="1"/>
    </row>
    <row r="14546" ht="50.25" customHeight="1">
      <c r="A14546" s="12">
        <v>14542.0</v>
      </c>
      <c r="B14546" s="13" t="s">
        <v>13537</v>
      </c>
      <c r="C14546" s="14" t="s">
        <v>13781</v>
      </c>
      <c r="D14546" s="1"/>
      <c r="E14546" s="1"/>
      <c r="F14546" s="1" t="str">
        <f>IFERROR(__xludf.DUMMYFUNCTION("GOOGLETRANSLATE(B14546, ""en"", ""fa"")
"),"موفقیت SaaS")</f>
        <v>موفقیت SaaS</v>
      </c>
      <c r="G14546" s="1" t="str">
        <f>IFERROR(__xludf.DUMMYFUNCTION("GOOGLETRANSLATE(C14546, ""en"", ""fa"")
"),"چگونه می توان فرصت های فروش متقابل و افزایش فروش قرارداد SaaS را مدیریت کرد؟")</f>
        <v>چگونه می توان فرصت های فروش متقابل و افزایش فروش قرارداد SaaS را مدیریت کرد؟</v>
      </c>
      <c r="H14546" s="1"/>
      <c r="I14546" s="1"/>
      <c r="J14546" s="1"/>
      <c r="K14546" s="1"/>
      <c r="L14546" s="1"/>
      <c r="M14546" s="1"/>
      <c r="N14546" s="1"/>
      <c r="O14546" s="1"/>
      <c r="P14546" s="1"/>
      <c r="Q14546" s="1"/>
      <c r="R14546" s="1"/>
      <c r="S14546" s="1"/>
      <c r="T14546" s="1"/>
      <c r="U14546" s="1"/>
      <c r="V14546" s="1"/>
      <c r="W14546" s="1"/>
      <c r="X14546" s="1"/>
      <c r="Y14546" s="1"/>
      <c r="Z14546" s="1"/>
      <c r="AA14546" s="1"/>
      <c r="AB14546" s="1"/>
    </row>
    <row r="14547" ht="50.25" customHeight="1">
      <c r="A14547" s="12">
        <v>14543.0</v>
      </c>
      <c r="B14547" s="13" t="s">
        <v>13537</v>
      </c>
      <c r="C14547" s="14" t="s">
        <v>13782</v>
      </c>
      <c r="D14547" s="1"/>
      <c r="E14547" s="1"/>
      <c r="F14547" s="1" t="str">
        <f>IFERROR(__xludf.DUMMYFUNCTION("GOOGLETRANSLATE(B14547, ""en"", ""fa"")
"),"موفقیت SaaS")</f>
        <v>موفقیت SaaS</v>
      </c>
      <c r="G14547" s="1" t="str">
        <f>IFERROR(__xludf.DUMMYFUNCTION("GOOGLETRANSLATE(C14547, ""en"", ""fa"")
"),"چگونه می توان تأثیر شرایط و ضوابط قرارداد SaaS بر رضایت و وفاداری مشتری را اندازه گیری و تجزیه و تحلیل کرد؟")</f>
        <v>چگونه می توان تأثیر شرایط و ضوابط قرارداد SaaS بر رضایت و وفاداری مشتری را اندازه گیری و تجزیه و تحلیل کرد؟</v>
      </c>
      <c r="H14547" s="1"/>
      <c r="I14547" s="1"/>
      <c r="J14547" s="1"/>
      <c r="K14547" s="1"/>
      <c r="L14547" s="1"/>
      <c r="M14547" s="1"/>
      <c r="N14547" s="1"/>
      <c r="O14547" s="1"/>
      <c r="P14547" s="1"/>
      <c r="Q14547" s="1"/>
      <c r="R14547" s="1"/>
      <c r="S14547" s="1"/>
      <c r="T14547" s="1"/>
      <c r="U14547" s="1"/>
      <c r="V14547" s="1"/>
      <c r="W14547" s="1"/>
      <c r="X14547" s="1"/>
      <c r="Y14547" s="1"/>
      <c r="Z14547" s="1"/>
      <c r="AA14547" s="1"/>
      <c r="AB14547" s="1"/>
    </row>
    <row r="14548" ht="50.25" customHeight="1">
      <c r="A14548" s="12">
        <v>14544.0</v>
      </c>
      <c r="B14548" s="13" t="s">
        <v>13537</v>
      </c>
      <c r="C14548" s="14" t="s">
        <v>13783</v>
      </c>
      <c r="D14548" s="1"/>
      <c r="E14548" s="1"/>
      <c r="F14548" s="1" t="str">
        <f>IFERROR(__xludf.DUMMYFUNCTION("GOOGLETRANSLATE(B14548, ""en"", ""fa"")
"),"موفقیت SaaS")</f>
        <v>موفقیت SaaS</v>
      </c>
      <c r="G14548" s="1" t="str">
        <f>IFERROR(__xludf.DUMMYFUNCTION("GOOGLETRANSLATE(C14548, ""en"", ""fa"")
"),"چگونه می توان تمدید قرارداد SaaS و افزایش فروش را از طریق اتوماسیون و هوش مصنوعی مدیریت کرد؟")</f>
        <v>چگونه می توان تمدید قرارداد SaaS و افزایش فروش را از طریق اتوماسیون و هوش مصنوعی مدیریت کرد؟</v>
      </c>
      <c r="H14548" s="1"/>
      <c r="I14548" s="1"/>
      <c r="J14548" s="1"/>
      <c r="K14548" s="1"/>
      <c r="L14548" s="1"/>
      <c r="M14548" s="1"/>
      <c r="N14548" s="1"/>
      <c r="O14548" s="1"/>
      <c r="P14548" s="1"/>
      <c r="Q14548" s="1"/>
      <c r="R14548" s="1"/>
      <c r="S14548" s="1"/>
      <c r="T14548" s="1"/>
      <c r="U14548" s="1"/>
      <c r="V14548" s="1"/>
      <c r="W14548" s="1"/>
      <c r="X14548" s="1"/>
      <c r="Y14548" s="1"/>
      <c r="Z14548" s="1"/>
      <c r="AA14548" s="1"/>
      <c r="AB14548" s="1"/>
    </row>
    <row r="14549" ht="50.25" customHeight="1">
      <c r="A14549" s="12">
        <v>14545.0</v>
      </c>
      <c r="B14549" s="13" t="s">
        <v>13537</v>
      </c>
      <c r="C14549" s="14" t="s">
        <v>13784</v>
      </c>
      <c r="D14549" s="1"/>
      <c r="E14549" s="1"/>
      <c r="F14549" s="1" t="str">
        <f>IFERROR(__xludf.DUMMYFUNCTION("GOOGLETRANSLATE(B14549, ""en"", ""fa"")
"),"موفقیت SaaS")</f>
        <v>موفقیت SaaS</v>
      </c>
      <c r="G14549" s="1" t="str">
        <f>IFERROR(__xludf.DUMMYFUNCTION("GOOGLETRANSLATE(C14549, ""en"", ""fa"")
"),"چگونه می توان موفقیت استراتژی های قیمت گذاری و تخفیف قرارداد SaaS را نظارت و ارزیابی کرد؟")</f>
        <v>چگونه می توان موفقیت استراتژی های قیمت گذاری و تخفیف قرارداد SaaS را نظارت و ارزیابی کرد؟</v>
      </c>
      <c r="H14549" s="1"/>
      <c r="I14549" s="1"/>
      <c r="J14549" s="1"/>
      <c r="K14549" s="1"/>
      <c r="L14549" s="1"/>
      <c r="M14549" s="1"/>
      <c r="N14549" s="1"/>
      <c r="O14549" s="1"/>
      <c r="P14549" s="1"/>
      <c r="Q14549" s="1"/>
      <c r="R14549" s="1"/>
      <c r="S14549" s="1"/>
      <c r="T14549" s="1"/>
      <c r="U14549" s="1"/>
      <c r="V14549" s="1"/>
      <c r="W14549" s="1"/>
      <c r="X14549" s="1"/>
      <c r="Y14549" s="1"/>
      <c r="Z14549" s="1"/>
      <c r="AA14549" s="1"/>
      <c r="AB14549" s="1"/>
    </row>
    <row r="14550" ht="50.25" customHeight="1">
      <c r="A14550" s="12">
        <v>14546.0</v>
      </c>
      <c r="B14550" s="13" t="s">
        <v>13537</v>
      </c>
      <c r="C14550" s="14" t="s">
        <v>13785</v>
      </c>
      <c r="D14550" s="1"/>
      <c r="E14550" s="1"/>
      <c r="F14550" s="1" t="str">
        <f>IFERROR(__xludf.DUMMYFUNCTION("GOOGLETRANSLATE(B14550, ""en"", ""fa"")
"),"موفقیت SaaS")</f>
        <v>موفقیت SaaS</v>
      </c>
      <c r="G14550" s="1" t="str">
        <f>IFERROR(__xludf.DUMMYFUNCTION("GOOGLETRANSLATE(C14550, ""en"", ""fa"")
"),"چگونه می توان مذاکرات و تمدید قرارداد SaaS را از طریق داده های مشتری و تجزیه و تحلیل مدیریت کرد؟")</f>
        <v>چگونه می توان مذاکرات و تمدید قرارداد SaaS را از طریق داده های مشتری و تجزیه و تحلیل مدیریت کرد؟</v>
      </c>
      <c r="H14550" s="1"/>
      <c r="I14550" s="1"/>
      <c r="J14550" s="1"/>
      <c r="K14550" s="1"/>
      <c r="L14550" s="1"/>
      <c r="M14550" s="1"/>
      <c r="N14550" s="1"/>
      <c r="O14550" s="1"/>
      <c r="P14550" s="1"/>
      <c r="Q14550" s="1"/>
      <c r="R14550" s="1"/>
      <c r="S14550" s="1"/>
      <c r="T14550" s="1"/>
      <c r="U14550" s="1"/>
      <c r="V14550" s="1"/>
      <c r="W14550" s="1"/>
      <c r="X14550" s="1"/>
      <c r="Y14550" s="1"/>
      <c r="Z14550" s="1"/>
      <c r="AA14550" s="1"/>
      <c r="AB14550" s="1"/>
    </row>
    <row r="14551" ht="50.25" customHeight="1">
      <c r="A14551" s="12">
        <v>14547.0</v>
      </c>
      <c r="B14551" s="13" t="s">
        <v>13537</v>
      </c>
      <c r="C14551" s="14" t="s">
        <v>13786</v>
      </c>
      <c r="D14551" s="1"/>
      <c r="E14551" s="1"/>
      <c r="F14551" s="1" t="str">
        <f>IFERROR(__xludf.DUMMYFUNCTION("GOOGLETRANSLATE(B14551, ""en"", ""fa"")
"),"موفقیت SaaS")</f>
        <v>موفقیت SaaS</v>
      </c>
      <c r="G14551" s="1" t="str">
        <f>IFERROR(__xludf.DUMMYFUNCTION("GOOGLETRANSLATE(C14551, ""en"", ""fa"")
"),"چگونه می توان با شرایط عدم پرداخت و پیش فرض قرارداد SaaS برخورد کرد؟")</f>
        <v>چگونه می توان با شرایط عدم پرداخت و پیش فرض قرارداد SaaS برخورد کرد؟</v>
      </c>
      <c r="H14551" s="1"/>
      <c r="I14551" s="1"/>
      <c r="J14551" s="1"/>
      <c r="K14551" s="1"/>
      <c r="L14551" s="1"/>
      <c r="M14551" s="1"/>
      <c r="N14551" s="1"/>
      <c r="O14551" s="1"/>
      <c r="P14551" s="1"/>
      <c r="Q14551" s="1"/>
      <c r="R14551" s="1"/>
      <c r="S14551" s="1"/>
      <c r="T14551" s="1"/>
      <c r="U14551" s="1"/>
      <c r="V14551" s="1"/>
      <c r="W14551" s="1"/>
      <c r="X14551" s="1"/>
      <c r="Y14551" s="1"/>
      <c r="Z14551" s="1"/>
      <c r="AA14551" s="1"/>
      <c r="AB14551" s="1"/>
    </row>
    <row r="14552" ht="50.25" customHeight="1">
      <c r="A14552" s="12">
        <v>14548.0</v>
      </c>
      <c r="B14552" s="13" t="s">
        <v>13537</v>
      </c>
      <c r="C14552" s="14" t="s">
        <v>13787</v>
      </c>
      <c r="D14552" s="1"/>
      <c r="E14552" s="1"/>
      <c r="F14552" s="1" t="str">
        <f>IFERROR(__xludf.DUMMYFUNCTION("GOOGLETRANSLATE(B14552, ""en"", ""fa"")
"),"موفقیت SaaS")</f>
        <v>موفقیت SaaS</v>
      </c>
      <c r="G14552" s="1" t="str">
        <f>IFERROR(__xludf.DUMMYFUNCTION("GOOGLETRANSLATE(C14552, ""en"", ""fa"")
"),"چگونه می توان انطباق قرارداد SaaS و الزامات گزارش دهی را با مقررات محلی و بین المللی مدیریت کرد؟")</f>
        <v>چگونه می توان انطباق قرارداد SaaS و الزامات گزارش دهی را با مقررات محلی و بین المللی مدیریت کرد؟</v>
      </c>
      <c r="H14552" s="1"/>
      <c r="I14552" s="1"/>
      <c r="J14552" s="1"/>
      <c r="K14552" s="1"/>
      <c r="L14552" s="1"/>
      <c r="M14552" s="1"/>
      <c r="N14552" s="1"/>
      <c r="O14552" s="1"/>
      <c r="P14552" s="1"/>
      <c r="Q14552" s="1"/>
      <c r="R14552" s="1"/>
      <c r="S14552" s="1"/>
      <c r="T14552" s="1"/>
      <c r="U14552" s="1"/>
      <c r="V14552" s="1"/>
      <c r="W14552" s="1"/>
      <c r="X14552" s="1"/>
      <c r="Y14552" s="1"/>
      <c r="Z14552" s="1"/>
      <c r="AA14552" s="1"/>
      <c r="AB14552" s="1"/>
    </row>
    <row r="14553" ht="50.25" customHeight="1">
      <c r="A14553" s="12">
        <v>14549.0</v>
      </c>
      <c r="B14553" s="13" t="s">
        <v>13537</v>
      </c>
      <c r="C14553" s="14" t="s">
        <v>13788</v>
      </c>
      <c r="D14553" s="1"/>
      <c r="E14553" s="1"/>
      <c r="F14553" s="1" t="str">
        <f>IFERROR(__xludf.DUMMYFUNCTION("GOOGLETRANSLATE(B14553, ""en"", ""fa"")
"),"موفقیت SaaS")</f>
        <v>موفقیت SaaS</v>
      </c>
      <c r="G14553" s="1" t="str">
        <f>IFERROR(__xludf.DUMMYFUNCTION("GOOGLETRANSLATE(C14553, ""en"", ""fa"")
"),"رایج ترین اشتباهات هنگام راه اندازی یک شرکت SaaS چیست؟")</f>
        <v>رایج ترین اشتباهات هنگام راه اندازی یک شرکت SaaS چیست؟</v>
      </c>
      <c r="H14553" s="1"/>
      <c r="I14553" s="1"/>
      <c r="J14553" s="1"/>
      <c r="K14553" s="1"/>
      <c r="L14553" s="1"/>
      <c r="M14553" s="1"/>
      <c r="N14553" s="1"/>
      <c r="O14553" s="1"/>
      <c r="P14553" s="1"/>
      <c r="Q14553" s="1"/>
      <c r="R14553" s="1"/>
      <c r="S14553" s="1"/>
      <c r="T14553" s="1"/>
      <c r="U14553" s="1"/>
      <c r="V14553" s="1"/>
      <c r="W14553" s="1"/>
      <c r="X14553" s="1"/>
      <c r="Y14553" s="1"/>
      <c r="Z14553" s="1"/>
      <c r="AA14553" s="1"/>
      <c r="AB14553" s="1"/>
    </row>
    <row r="14554" ht="50.25" customHeight="1">
      <c r="A14554" s="12">
        <v>14550.0</v>
      </c>
      <c r="B14554" s="13" t="s">
        <v>13537</v>
      </c>
      <c r="C14554" s="14" t="s">
        <v>13789</v>
      </c>
      <c r="D14554" s="1"/>
      <c r="E14554" s="1"/>
      <c r="F14554" s="1" t="str">
        <f>IFERROR(__xludf.DUMMYFUNCTION("GOOGLETRANSLATE(B14554, ""en"", ""fa"")
"),"موفقیت SaaS")</f>
        <v>موفقیت SaaS</v>
      </c>
      <c r="G14554" s="1" t="str">
        <f>IFERROR(__xludf.DUMMYFUNCTION("GOOGLETRANSLATE(C14554, ""en"", ""fa"")
"),"چگونه می توانید از دام های رشد سریع در SaaS جلوگیری کنید؟")</f>
        <v>چگونه می توانید از دام های رشد سریع در SaaS جلوگیری کنید؟</v>
      </c>
      <c r="H14554" s="1"/>
      <c r="I14554" s="1"/>
      <c r="J14554" s="1"/>
      <c r="K14554" s="1"/>
      <c r="L14554" s="1"/>
      <c r="M14554" s="1"/>
      <c r="N14554" s="1"/>
      <c r="O14554" s="1"/>
      <c r="P14554" s="1"/>
      <c r="Q14554" s="1"/>
      <c r="R14554" s="1"/>
      <c r="S14554" s="1"/>
      <c r="T14554" s="1"/>
      <c r="U14554" s="1"/>
      <c r="V14554" s="1"/>
      <c r="W14554" s="1"/>
      <c r="X14554" s="1"/>
      <c r="Y14554" s="1"/>
      <c r="Z14554" s="1"/>
      <c r="AA14554" s="1"/>
      <c r="AB14554" s="1"/>
    </row>
    <row r="14555" ht="50.25" customHeight="1">
      <c r="A14555" s="12">
        <v>14551.0</v>
      </c>
      <c r="B14555" s="13" t="s">
        <v>13537</v>
      </c>
      <c r="C14555" s="14" t="s">
        <v>13790</v>
      </c>
      <c r="D14555" s="1"/>
      <c r="E14555" s="1"/>
      <c r="F14555" s="1" t="str">
        <f>IFERROR(__xludf.DUMMYFUNCTION("GOOGLETRANSLATE(B14555, ""en"", ""fa"")
"),"موفقیت SaaS")</f>
        <v>موفقیت SaaS</v>
      </c>
      <c r="G14555" s="1" t="str">
        <f>IFERROR(__xludf.DUMMYFUNCTION("GOOGLETRANSLATE(C14555, ""en"", ""fa"")
"),"برای اطمینان از حل یک مشکل واقعی در SaaS چه اقداماتی می توانید انجام دهید؟")</f>
        <v>برای اطمینان از حل یک مشکل واقعی در SaaS چه اقداماتی می توانید انجام دهید؟</v>
      </c>
      <c r="H14555" s="1"/>
      <c r="I14555" s="1"/>
      <c r="J14555" s="1"/>
      <c r="K14555" s="1"/>
      <c r="L14555" s="1"/>
      <c r="M14555" s="1"/>
      <c r="N14555" s="1"/>
      <c r="O14555" s="1"/>
      <c r="P14555" s="1"/>
      <c r="Q14555" s="1"/>
      <c r="R14555" s="1"/>
      <c r="S14555" s="1"/>
      <c r="T14555" s="1"/>
      <c r="U14555" s="1"/>
      <c r="V14555" s="1"/>
      <c r="W14555" s="1"/>
      <c r="X14555" s="1"/>
      <c r="Y14555" s="1"/>
      <c r="Z14555" s="1"/>
      <c r="AA14555" s="1"/>
      <c r="AB14555" s="1"/>
    </row>
    <row r="14556" ht="50.25" customHeight="1">
      <c r="A14556" s="12">
        <v>14552.0</v>
      </c>
      <c r="B14556" s="13" t="s">
        <v>13537</v>
      </c>
      <c r="C14556" s="14" t="s">
        <v>13791</v>
      </c>
      <c r="D14556" s="1"/>
      <c r="E14556" s="1"/>
      <c r="F14556" s="1" t="str">
        <f>IFERROR(__xludf.DUMMYFUNCTION("GOOGLETRANSLATE(B14556, ""en"", ""fa"")
"),"موفقیت SaaS")</f>
        <v>موفقیت SaaS</v>
      </c>
      <c r="G14556" s="1" t="str">
        <f>IFERROR(__xludf.DUMMYFUNCTION("GOOGLETRANSLATE(C14556, ""en"", ""fa"")
"),"چگونه بین نیاز به نوآوری و نیاز به ثبات در SaaS تعادل برقرار می کنید؟")</f>
        <v>چگونه بین نیاز به نوآوری و نیاز به ثبات در SaaS تعادل برقرار می کنید؟</v>
      </c>
      <c r="H14556" s="1"/>
      <c r="I14556" s="1"/>
      <c r="J14556" s="1"/>
      <c r="K14556" s="1"/>
      <c r="L14556" s="1"/>
      <c r="M14556" s="1"/>
      <c r="N14556" s="1"/>
      <c r="O14556" s="1"/>
      <c r="P14556" s="1"/>
      <c r="Q14556" s="1"/>
      <c r="R14556" s="1"/>
      <c r="S14556" s="1"/>
      <c r="T14556" s="1"/>
      <c r="U14556" s="1"/>
      <c r="V14556" s="1"/>
      <c r="W14556" s="1"/>
      <c r="X14556" s="1"/>
      <c r="Y14556" s="1"/>
      <c r="Z14556" s="1"/>
      <c r="AA14556" s="1"/>
      <c r="AB14556" s="1"/>
    </row>
    <row r="14557" ht="50.25" customHeight="1">
      <c r="A14557" s="12">
        <v>14553.0</v>
      </c>
      <c r="B14557" s="13" t="s">
        <v>13537</v>
      </c>
      <c r="C14557" s="14" t="s">
        <v>13792</v>
      </c>
      <c r="D14557" s="1"/>
      <c r="E14557" s="1"/>
      <c r="F14557" s="1" t="str">
        <f>IFERROR(__xludf.DUMMYFUNCTION("GOOGLETRANSLATE(B14557, ""en"", ""fa"")
"),"موفقیت SaaS")</f>
        <v>موفقیت SaaS</v>
      </c>
      <c r="G14557" s="1" t="str">
        <f>IFERROR(__xludf.DUMMYFUNCTION("GOOGLETRANSLATE(C14557, ""en"", ""fa"")
"),"برخی از اشتباهات رایج قیمت گذاری در SaaS چیست؟")</f>
        <v>برخی از اشتباهات رایج قیمت گذاری در SaaS چیست؟</v>
      </c>
      <c r="H14557" s="1"/>
      <c r="I14557" s="1"/>
      <c r="J14557" s="1"/>
      <c r="K14557" s="1"/>
      <c r="L14557" s="1"/>
      <c r="M14557" s="1"/>
      <c r="N14557" s="1"/>
      <c r="O14557" s="1"/>
      <c r="P14557" s="1"/>
      <c r="Q14557" s="1"/>
      <c r="R14557" s="1"/>
      <c r="S14557" s="1"/>
      <c r="T14557" s="1"/>
      <c r="U14557" s="1"/>
      <c r="V14557" s="1"/>
      <c r="W14557" s="1"/>
      <c r="X14557" s="1"/>
      <c r="Y14557" s="1"/>
      <c r="Z14557" s="1"/>
      <c r="AA14557" s="1"/>
      <c r="AB14557" s="1"/>
    </row>
    <row r="14558" ht="50.25" customHeight="1">
      <c r="A14558" s="12">
        <v>14554.0</v>
      </c>
      <c r="B14558" s="13" t="s">
        <v>13537</v>
      </c>
      <c r="C14558" s="14" t="s">
        <v>13793</v>
      </c>
      <c r="D14558" s="1"/>
      <c r="E14558" s="1"/>
      <c r="F14558" s="1" t="str">
        <f>IFERROR(__xludf.DUMMYFUNCTION("GOOGLETRANSLATE(B14558, ""en"", ""fa"")
"),"موفقیت SaaS")</f>
        <v>موفقیت SaaS</v>
      </c>
      <c r="G14558" s="1" t="str">
        <f>IFERROR(__xludf.DUMMYFUNCTION("GOOGLETRANSLATE(C14558, ""en"", ""fa"")
"),"چگونه می توانید از نفخ ویژگی در SaaS جلوگیری کنید؟")</f>
        <v>چگونه می توانید از نفخ ویژگی در SaaS جلوگیری کنید؟</v>
      </c>
      <c r="H14558" s="1"/>
      <c r="I14558" s="1"/>
      <c r="J14558" s="1"/>
      <c r="K14558" s="1"/>
      <c r="L14558" s="1"/>
      <c r="M14558" s="1"/>
      <c r="N14558" s="1"/>
      <c r="O14558" s="1"/>
      <c r="P14558" s="1"/>
      <c r="Q14558" s="1"/>
      <c r="R14558" s="1"/>
      <c r="S14558" s="1"/>
      <c r="T14558" s="1"/>
      <c r="U14558" s="1"/>
      <c r="V14558" s="1"/>
      <c r="W14558" s="1"/>
      <c r="X14558" s="1"/>
      <c r="Y14558" s="1"/>
      <c r="Z14558" s="1"/>
      <c r="AA14558" s="1"/>
      <c r="AB14558" s="1"/>
    </row>
    <row r="14559" ht="50.25" customHeight="1">
      <c r="A14559" s="12">
        <v>14555.0</v>
      </c>
      <c r="B14559" s="13" t="s">
        <v>13537</v>
      </c>
      <c r="C14559" s="14" t="s">
        <v>13794</v>
      </c>
      <c r="D14559" s="1"/>
      <c r="E14559" s="1"/>
      <c r="F14559" s="1" t="str">
        <f>IFERROR(__xludf.DUMMYFUNCTION("GOOGLETRANSLATE(B14559, ""en"", ""fa"")
"),"موفقیت SaaS")</f>
        <v>موفقیت SaaS</v>
      </c>
      <c r="G14559" s="1" t="str">
        <f>IFERROR(__xludf.DUMMYFUNCTION("GOOGLETRANSLATE(C14559, ""en"", ""fa"")
"),"برخی از اشتباهات رایج فروش و بازاریابی در SaaS چیست؟")</f>
        <v>برخی از اشتباهات رایج فروش و بازاریابی در SaaS چیست؟</v>
      </c>
      <c r="H14559" s="1"/>
      <c r="I14559" s="1"/>
      <c r="J14559" s="1"/>
      <c r="K14559" s="1"/>
      <c r="L14559" s="1"/>
      <c r="M14559" s="1"/>
      <c r="N14559" s="1"/>
      <c r="O14559" s="1"/>
      <c r="P14559" s="1"/>
      <c r="Q14559" s="1"/>
      <c r="R14559" s="1"/>
      <c r="S14559" s="1"/>
      <c r="T14559" s="1"/>
      <c r="U14559" s="1"/>
      <c r="V14559" s="1"/>
      <c r="W14559" s="1"/>
      <c r="X14559" s="1"/>
      <c r="Y14559" s="1"/>
      <c r="Z14559" s="1"/>
      <c r="AA14559" s="1"/>
      <c r="AB14559" s="1"/>
    </row>
    <row r="14560" ht="50.25" customHeight="1">
      <c r="A14560" s="12">
        <v>14556.0</v>
      </c>
      <c r="B14560" s="13" t="s">
        <v>13537</v>
      </c>
      <c r="C14560" s="14" t="s">
        <v>13795</v>
      </c>
      <c r="D14560" s="1"/>
      <c r="E14560" s="1"/>
      <c r="F14560" s="1" t="str">
        <f>IFERROR(__xludf.DUMMYFUNCTION("GOOGLETRANSLATE(B14560, ""en"", ""fa"")
"),"موفقیت SaaS")</f>
        <v>موفقیت SaaS</v>
      </c>
      <c r="G14560" s="1" t="str">
        <f>IFERROR(__xludf.DUMMYFUNCTION("GOOGLETRANSLATE(C14560, ""en"", ""fa"")
"),"چگونه می توانید از خطرات مرتبط با جذب مشتری در SaaS جلوگیری کنید؟")</f>
        <v>چگونه می توانید از خطرات مرتبط با جذب مشتری در SaaS جلوگیری کنید؟</v>
      </c>
      <c r="H14560" s="1"/>
      <c r="I14560" s="1"/>
      <c r="J14560" s="1"/>
      <c r="K14560" s="1"/>
      <c r="L14560" s="1"/>
      <c r="M14560" s="1"/>
      <c r="N14560" s="1"/>
      <c r="O14560" s="1"/>
      <c r="P14560" s="1"/>
      <c r="Q14560" s="1"/>
      <c r="R14560" s="1"/>
      <c r="S14560" s="1"/>
      <c r="T14560" s="1"/>
      <c r="U14560" s="1"/>
      <c r="V14560" s="1"/>
      <c r="W14560" s="1"/>
      <c r="X14560" s="1"/>
      <c r="Y14560" s="1"/>
      <c r="Z14560" s="1"/>
      <c r="AA14560" s="1"/>
      <c r="AB14560" s="1"/>
    </row>
    <row r="14561" ht="50.25" customHeight="1">
      <c r="A14561" s="12">
        <v>14557.0</v>
      </c>
      <c r="B14561" s="13" t="s">
        <v>13537</v>
      </c>
      <c r="C14561" s="14" t="s">
        <v>13796</v>
      </c>
      <c r="D14561" s="1"/>
      <c r="E14561" s="1"/>
      <c r="F14561" s="1" t="str">
        <f>IFERROR(__xludf.DUMMYFUNCTION("GOOGLETRANSLATE(B14561, ""en"", ""fa"")
"),"موفقیت SaaS")</f>
        <v>موفقیت SaaS</v>
      </c>
      <c r="G14561" s="1" t="str">
        <f>IFERROR(__xludf.DUMMYFUNCTION("GOOGLETRANSLATE(C14561, ""en"", ""fa"")
"),"برخی از اشتباهات رایج در استخدام و مدیریت یک تیم در SaaS چیست؟")</f>
        <v>برخی از اشتباهات رایج در استخدام و مدیریت یک تیم در SaaS چیست؟</v>
      </c>
      <c r="H14561" s="1"/>
      <c r="I14561" s="1"/>
      <c r="J14561" s="1"/>
      <c r="K14561" s="1"/>
      <c r="L14561" s="1"/>
      <c r="M14561" s="1"/>
      <c r="N14561" s="1"/>
      <c r="O14561" s="1"/>
      <c r="P14561" s="1"/>
      <c r="Q14561" s="1"/>
      <c r="R14561" s="1"/>
      <c r="S14561" s="1"/>
      <c r="T14561" s="1"/>
      <c r="U14561" s="1"/>
      <c r="V14561" s="1"/>
      <c r="W14561" s="1"/>
      <c r="X14561" s="1"/>
      <c r="Y14561" s="1"/>
      <c r="Z14561" s="1"/>
      <c r="AA14561" s="1"/>
      <c r="AB14561" s="1"/>
    </row>
    <row r="14562" ht="50.25" customHeight="1">
      <c r="A14562" s="12">
        <v>14558.0</v>
      </c>
      <c r="B14562" s="13" t="s">
        <v>13537</v>
      </c>
      <c r="C14562" s="14" t="s">
        <v>13797</v>
      </c>
      <c r="D14562" s="1"/>
      <c r="E14562" s="1"/>
      <c r="F14562" s="1" t="str">
        <f>IFERROR(__xludf.DUMMYFUNCTION("GOOGLETRANSLATE(B14562, ""en"", ""fa"")
"),"موفقیت SaaS")</f>
        <v>موفقیت SaaS</v>
      </c>
      <c r="G14562" s="1" t="str">
        <f>IFERROR(__xludf.DUMMYFUNCTION("GOOGLETRANSLATE(C14562, ""en"", ""fa"")
"),"چگونه می توانید از مشکلات کار با شرکا و فروشندگان در SaaS جلوگیری کنید؟")</f>
        <v>چگونه می توانید از مشکلات کار با شرکا و فروشندگان در SaaS جلوگیری کنید؟</v>
      </c>
      <c r="H14562" s="1"/>
      <c r="I14562" s="1"/>
      <c r="J14562" s="1"/>
      <c r="K14562" s="1"/>
      <c r="L14562" s="1"/>
      <c r="M14562" s="1"/>
      <c r="N14562" s="1"/>
      <c r="O14562" s="1"/>
      <c r="P14562" s="1"/>
      <c r="Q14562" s="1"/>
      <c r="R14562" s="1"/>
      <c r="S14562" s="1"/>
      <c r="T14562" s="1"/>
      <c r="U14562" s="1"/>
      <c r="V14562" s="1"/>
      <c r="W14562" s="1"/>
      <c r="X14562" s="1"/>
      <c r="Y14562" s="1"/>
      <c r="Z14562" s="1"/>
      <c r="AA14562" s="1"/>
      <c r="AB14562" s="1"/>
    </row>
    <row r="14563" ht="50.25" customHeight="1">
      <c r="A14563" s="12">
        <v>14559.0</v>
      </c>
      <c r="B14563" s="13" t="s">
        <v>13537</v>
      </c>
      <c r="C14563" s="14" t="s">
        <v>13798</v>
      </c>
      <c r="D14563" s="1"/>
      <c r="E14563" s="1"/>
      <c r="F14563" s="1" t="str">
        <f>IFERROR(__xludf.DUMMYFUNCTION("GOOGLETRANSLATE(B14563, ""en"", ""fa"")
"),"موفقیت SaaS")</f>
        <v>موفقیت SaaS</v>
      </c>
      <c r="G14563" s="1" t="str">
        <f>IFERROR(__xludf.DUMMYFUNCTION("GOOGLETRANSLATE(C14563, ""en"", ""fa"")
"),"برخی از اشتباهات رایج در مقیاس سازی یک کسب و کار SaaS چیست؟")</f>
        <v>برخی از اشتباهات رایج در مقیاس سازی یک کسب و کار SaaS چیست؟</v>
      </c>
      <c r="H14563" s="1"/>
      <c r="I14563" s="1"/>
      <c r="J14563" s="1"/>
      <c r="K14563" s="1"/>
      <c r="L14563" s="1"/>
      <c r="M14563" s="1"/>
      <c r="N14563" s="1"/>
      <c r="O14563" s="1"/>
      <c r="P14563" s="1"/>
      <c r="Q14563" s="1"/>
      <c r="R14563" s="1"/>
      <c r="S14563" s="1"/>
      <c r="T14563" s="1"/>
      <c r="U14563" s="1"/>
      <c r="V14563" s="1"/>
      <c r="W14563" s="1"/>
      <c r="X14563" s="1"/>
      <c r="Y14563" s="1"/>
      <c r="Z14563" s="1"/>
      <c r="AA14563" s="1"/>
      <c r="AB14563" s="1"/>
    </row>
    <row r="14564" ht="50.25" customHeight="1">
      <c r="A14564" s="12">
        <v>14560.0</v>
      </c>
      <c r="B14564" s="13" t="s">
        <v>13537</v>
      </c>
      <c r="C14564" s="14" t="s">
        <v>13799</v>
      </c>
      <c r="D14564" s="1"/>
      <c r="E14564" s="1"/>
      <c r="F14564" s="1" t="str">
        <f>IFERROR(__xludf.DUMMYFUNCTION("GOOGLETRANSLATE(B14564, ""en"", ""fa"")
"),"موفقیت SaaS")</f>
        <v>موفقیت SaaS</v>
      </c>
      <c r="G14564" s="1" t="str">
        <f>IFERROR(__xludf.DUMMYFUNCTION("GOOGLETRANSLATE(C14564, ""en"", ""fa"")
"),"چگونه می توانید از خطرات مرتبط با ورود به بازارهای جدید در SaaS جلوگیری کنید؟")</f>
        <v>چگونه می توانید از خطرات مرتبط با ورود به بازارهای جدید در SaaS جلوگیری کنید؟</v>
      </c>
      <c r="H14564" s="1"/>
      <c r="I14564" s="1"/>
      <c r="J14564" s="1"/>
      <c r="K14564" s="1"/>
      <c r="L14564" s="1"/>
      <c r="M14564" s="1"/>
      <c r="N14564" s="1"/>
      <c r="O14564" s="1"/>
      <c r="P14564" s="1"/>
      <c r="Q14564" s="1"/>
      <c r="R14564" s="1"/>
      <c r="S14564" s="1"/>
      <c r="T14564" s="1"/>
      <c r="U14564" s="1"/>
      <c r="V14564" s="1"/>
      <c r="W14564" s="1"/>
      <c r="X14564" s="1"/>
      <c r="Y14564" s="1"/>
      <c r="Z14564" s="1"/>
      <c r="AA14564" s="1"/>
      <c r="AB14564" s="1"/>
    </row>
    <row r="14565" ht="50.25" customHeight="1">
      <c r="A14565" s="12">
        <v>14561.0</v>
      </c>
      <c r="B14565" s="13" t="s">
        <v>13537</v>
      </c>
      <c r="C14565" s="14" t="s">
        <v>13800</v>
      </c>
      <c r="D14565" s="1"/>
      <c r="E14565" s="1"/>
      <c r="F14565" s="1" t="str">
        <f>IFERROR(__xludf.DUMMYFUNCTION("GOOGLETRANSLATE(B14565, ""en"", ""fa"")
"),"موفقیت SaaS")</f>
        <v>موفقیت SaaS</v>
      </c>
      <c r="G14565" s="1" t="str">
        <f>IFERROR(__xludf.DUMMYFUNCTION("GOOGLETRANSLATE(C14565, ""en"", ""fa"")
"),"برخی از اشتباهات رایج در توسعه محصول در SaaS چیست؟")</f>
        <v>برخی از اشتباهات رایج در توسعه محصول در SaaS چیست؟</v>
      </c>
      <c r="H14565" s="1"/>
      <c r="I14565" s="1"/>
      <c r="J14565" s="1"/>
      <c r="K14565" s="1"/>
      <c r="L14565" s="1"/>
      <c r="M14565" s="1"/>
      <c r="N14565" s="1"/>
      <c r="O14565" s="1"/>
      <c r="P14565" s="1"/>
      <c r="Q14565" s="1"/>
      <c r="R14565" s="1"/>
      <c r="S14565" s="1"/>
      <c r="T14565" s="1"/>
      <c r="U14565" s="1"/>
      <c r="V14565" s="1"/>
      <c r="W14565" s="1"/>
      <c r="X14565" s="1"/>
      <c r="Y14565" s="1"/>
      <c r="Z14565" s="1"/>
      <c r="AA14565" s="1"/>
      <c r="AB14565" s="1"/>
    </row>
    <row r="14566" ht="50.25" customHeight="1">
      <c r="A14566" s="12">
        <v>14562.0</v>
      </c>
      <c r="B14566" s="13" t="s">
        <v>13537</v>
      </c>
      <c r="C14566" s="14" t="s">
        <v>13801</v>
      </c>
      <c r="D14566" s="1"/>
      <c r="E14566" s="1"/>
      <c r="F14566" s="1" t="str">
        <f>IFERROR(__xludf.DUMMYFUNCTION("GOOGLETRANSLATE(B14566, ""en"", ""fa"")
"),"موفقیت SaaS")</f>
        <v>موفقیت SaaS</v>
      </c>
      <c r="G14566" s="1" t="str">
        <f>IFERROR(__xludf.DUMMYFUNCTION("GOOGLETRANSLATE(C14566, ""en"", ""fa"")
"),"چگونه می توانید از خطرات تکیه بر یک کانال واحد برای جذب مشتری در SaaS جلوگیری کنید؟")</f>
        <v>چگونه می توانید از خطرات تکیه بر یک کانال واحد برای جذب مشتری در SaaS جلوگیری کنید؟</v>
      </c>
      <c r="H14566" s="1"/>
      <c r="I14566" s="1"/>
      <c r="J14566" s="1"/>
      <c r="K14566" s="1"/>
      <c r="L14566" s="1"/>
      <c r="M14566" s="1"/>
      <c r="N14566" s="1"/>
      <c r="O14566" s="1"/>
      <c r="P14566" s="1"/>
      <c r="Q14566" s="1"/>
      <c r="R14566" s="1"/>
      <c r="S14566" s="1"/>
      <c r="T14566" s="1"/>
      <c r="U14566" s="1"/>
      <c r="V14566" s="1"/>
      <c r="W14566" s="1"/>
      <c r="X14566" s="1"/>
      <c r="Y14566" s="1"/>
      <c r="Z14566" s="1"/>
      <c r="AA14566" s="1"/>
      <c r="AB14566" s="1"/>
    </row>
    <row r="14567" ht="50.25" customHeight="1">
      <c r="A14567" s="12">
        <v>14563.0</v>
      </c>
      <c r="B14567" s="13" t="s">
        <v>13537</v>
      </c>
      <c r="C14567" s="14" t="s">
        <v>13802</v>
      </c>
      <c r="D14567" s="1"/>
      <c r="E14567" s="1"/>
      <c r="F14567" s="1" t="str">
        <f>IFERROR(__xludf.DUMMYFUNCTION("GOOGLETRANSLATE(B14567, ""en"", ""fa"")
"),"موفقیت SaaS")</f>
        <v>موفقیت SaaS</v>
      </c>
      <c r="G14567" s="1" t="str">
        <f>IFERROR(__xludf.DUMMYFUNCTION("GOOGLETRANSLATE(C14567, ""en"", ""fa"")
"),"برخی از اشتباهات رایج در حفظ حریم خصوصی و امنیت داده ها در SaaS چیست؟")</f>
        <v>برخی از اشتباهات رایج در حفظ حریم خصوصی و امنیت داده ها در SaaS چیست؟</v>
      </c>
      <c r="H14567" s="1"/>
      <c r="I14567" s="1"/>
      <c r="J14567" s="1"/>
      <c r="K14567" s="1"/>
      <c r="L14567" s="1"/>
      <c r="M14567" s="1"/>
      <c r="N14567" s="1"/>
      <c r="O14567" s="1"/>
      <c r="P14567" s="1"/>
      <c r="Q14567" s="1"/>
      <c r="R14567" s="1"/>
      <c r="S14567" s="1"/>
      <c r="T14567" s="1"/>
      <c r="U14567" s="1"/>
      <c r="V14567" s="1"/>
      <c r="W14567" s="1"/>
      <c r="X14567" s="1"/>
      <c r="Y14567" s="1"/>
      <c r="Z14567" s="1"/>
      <c r="AA14567" s="1"/>
      <c r="AB14567" s="1"/>
    </row>
    <row r="14568" ht="50.25" customHeight="1">
      <c r="A14568" s="12">
        <v>14564.0</v>
      </c>
      <c r="B14568" s="13" t="s">
        <v>13537</v>
      </c>
      <c r="C14568" s="14" t="s">
        <v>13803</v>
      </c>
      <c r="D14568" s="1"/>
      <c r="E14568" s="1"/>
      <c r="F14568" s="1" t="str">
        <f>IFERROR(__xludf.DUMMYFUNCTION("GOOGLETRANSLATE(B14568, ""en"", ""fa"")
"),"موفقیت SaaS")</f>
        <v>موفقیت SaaS</v>
      </c>
      <c r="G14568" s="1" t="str">
        <f>IFERROR(__xludf.DUMMYFUNCTION("GOOGLETRANSLATE(C14568, ""en"", ""fa"")
"),"چگونه می توانید از خطرات مرتبط با نرخ بالای ریزش در SaaS جلوگیری کنید؟")</f>
        <v>چگونه می توانید از خطرات مرتبط با نرخ بالای ریزش در SaaS جلوگیری کنید؟</v>
      </c>
      <c r="H14568" s="1"/>
      <c r="I14568" s="1"/>
      <c r="J14568" s="1"/>
      <c r="K14568" s="1"/>
      <c r="L14568" s="1"/>
      <c r="M14568" s="1"/>
      <c r="N14568" s="1"/>
      <c r="O14568" s="1"/>
      <c r="P14568" s="1"/>
      <c r="Q14568" s="1"/>
      <c r="R14568" s="1"/>
      <c r="S14568" s="1"/>
      <c r="T14568" s="1"/>
      <c r="U14568" s="1"/>
      <c r="V14568" s="1"/>
      <c r="W14568" s="1"/>
      <c r="X14568" s="1"/>
      <c r="Y14568" s="1"/>
      <c r="Z14568" s="1"/>
      <c r="AA14568" s="1"/>
      <c r="AB14568" s="1"/>
    </row>
    <row r="14569" ht="50.25" customHeight="1">
      <c r="A14569" s="12">
        <v>14565.0</v>
      </c>
      <c r="B14569" s="13" t="s">
        <v>13537</v>
      </c>
      <c r="C14569" s="14" t="s">
        <v>13804</v>
      </c>
      <c r="D14569" s="1"/>
      <c r="E14569" s="1"/>
      <c r="F14569" s="1" t="str">
        <f>IFERROR(__xludf.DUMMYFUNCTION("GOOGLETRANSLATE(B14569, ""en"", ""fa"")
"),"موفقیت SaaS")</f>
        <v>موفقیت SaaS</v>
      </c>
      <c r="G14569" s="1" t="str">
        <f>IFERROR(__xludf.DUMMYFUNCTION("GOOGLETRANSLATE(C14569, ""en"", ""fa"")
"),"برخی از اشتباهات رایج در پشتیبانی مشتری در SaaS چیست؟")</f>
        <v>برخی از اشتباهات رایج در پشتیبانی مشتری در SaaS چیست؟</v>
      </c>
      <c r="H14569" s="1"/>
      <c r="I14569" s="1"/>
      <c r="J14569" s="1"/>
      <c r="K14569" s="1"/>
      <c r="L14569" s="1"/>
      <c r="M14569" s="1"/>
      <c r="N14569" s="1"/>
      <c r="O14569" s="1"/>
      <c r="P14569" s="1"/>
      <c r="Q14569" s="1"/>
      <c r="R14569" s="1"/>
      <c r="S14569" s="1"/>
      <c r="T14569" s="1"/>
      <c r="U14569" s="1"/>
      <c r="V14569" s="1"/>
      <c r="W14569" s="1"/>
      <c r="X14569" s="1"/>
      <c r="Y14569" s="1"/>
      <c r="Z14569" s="1"/>
      <c r="AA14569" s="1"/>
      <c r="AB14569" s="1"/>
    </row>
    <row r="14570" ht="50.25" customHeight="1">
      <c r="A14570" s="12">
        <v>14566.0</v>
      </c>
      <c r="B14570" s="13" t="s">
        <v>13537</v>
      </c>
      <c r="C14570" s="14" t="s">
        <v>13805</v>
      </c>
      <c r="D14570" s="1"/>
      <c r="E14570" s="1"/>
      <c r="F14570" s="1" t="str">
        <f>IFERROR(__xludf.DUMMYFUNCTION("GOOGLETRANSLATE(B14570, ""en"", ""fa"")
"),"موفقیت SaaS")</f>
        <v>موفقیت SaaS</v>
      </c>
      <c r="G14570" s="1" t="str">
        <f>IFERROR(__xludf.DUMMYFUNCTION("GOOGLETRANSLATE(C14570, ""en"", ""fa"")
"),"چگونه می توانید از خطرات ناشی از بی توجهی به نگهداری محصول در SaaS جلوگیری کنید؟")</f>
        <v>چگونه می توانید از خطرات ناشی از بی توجهی به نگهداری محصول در SaaS جلوگیری کنید؟</v>
      </c>
      <c r="H14570" s="1"/>
      <c r="I14570" s="1"/>
      <c r="J14570" s="1"/>
      <c r="K14570" s="1"/>
      <c r="L14570" s="1"/>
      <c r="M14570" s="1"/>
      <c r="N14570" s="1"/>
      <c r="O14570" s="1"/>
      <c r="P14570" s="1"/>
      <c r="Q14570" s="1"/>
      <c r="R14570" s="1"/>
      <c r="S14570" s="1"/>
      <c r="T14570" s="1"/>
      <c r="U14570" s="1"/>
      <c r="V14570" s="1"/>
      <c r="W14570" s="1"/>
      <c r="X14570" s="1"/>
      <c r="Y14570" s="1"/>
      <c r="Z14570" s="1"/>
      <c r="AA14570" s="1"/>
      <c r="AB14570" s="1"/>
    </row>
    <row r="14571" ht="50.25" customHeight="1">
      <c r="A14571" s="12">
        <v>14567.0</v>
      </c>
      <c r="B14571" s="13" t="s">
        <v>13537</v>
      </c>
      <c r="C14571" s="14" t="s">
        <v>13806</v>
      </c>
      <c r="D14571" s="1"/>
      <c r="E14571" s="1"/>
      <c r="F14571" s="1" t="str">
        <f>IFERROR(__xludf.DUMMYFUNCTION("GOOGLETRANSLATE(B14571, ""en"", ""fa"")
"),"موفقیت SaaS")</f>
        <v>موفقیت SaaS</v>
      </c>
      <c r="G14571" s="1" t="str">
        <f>IFERROR(__xludf.DUMMYFUNCTION("GOOGLETRANSLATE(C14571, ""en"", ""fa"")
"),"برخی از اشتباهات رایج در تامین مالی و جذب سرمایه در SaaS چیست؟")</f>
        <v>برخی از اشتباهات رایج در تامین مالی و جذب سرمایه در SaaS چیست؟</v>
      </c>
      <c r="H14571" s="1"/>
      <c r="I14571" s="1"/>
      <c r="J14571" s="1"/>
      <c r="K14571" s="1"/>
      <c r="L14571" s="1"/>
      <c r="M14571" s="1"/>
      <c r="N14571" s="1"/>
      <c r="O14571" s="1"/>
      <c r="P14571" s="1"/>
      <c r="Q14571" s="1"/>
      <c r="R14571" s="1"/>
      <c r="S14571" s="1"/>
      <c r="T14571" s="1"/>
      <c r="U14571" s="1"/>
      <c r="V14571" s="1"/>
      <c r="W14571" s="1"/>
      <c r="X14571" s="1"/>
      <c r="Y14571" s="1"/>
      <c r="Z14571" s="1"/>
      <c r="AA14571" s="1"/>
      <c r="AB14571" s="1"/>
    </row>
    <row r="14572" ht="50.25" customHeight="1">
      <c r="A14572" s="12">
        <v>14568.0</v>
      </c>
      <c r="B14572" s="13" t="s">
        <v>13537</v>
      </c>
      <c r="C14572" s="14" t="s">
        <v>13807</v>
      </c>
      <c r="D14572" s="1"/>
      <c r="E14572" s="1"/>
      <c r="F14572" s="1" t="str">
        <f>IFERROR(__xludf.DUMMYFUNCTION("GOOGLETRANSLATE(B14572, ""en"", ""fa"")
"),"موفقیت SaaS")</f>
        <v>موفقیت SaaS</v>
      </c>
      <c r="G14572" s="1" t="str">
        <f>IFERROR(__xludf.DUMMYFUNCTION("GOOGLETRANSLATE(C14572, ""en"", ""fa"")
"),"چگونه می توانید از خطرات ناشی از مدیریت نادرست جریان نقدی در SaaS جلوگیری کنید؟")</f>
        <v>چگونه می توانید از خطرات ناشی از مدیریت نادرست جریان نقدی در SaaS جلوگیری کنید؟</v>
      </c>
      <c r="H14572" s="1"/>
      <c r="I14572" s="1"/>
      <c r="J14572" s="1"/>
      <c r="K14572" s="1"/>
      <c r="L14572" s="1"/>
      <c r="M14572" s="1"/>
      <c r="N14572" s="1"/>
      <c r="O14572" s="1"/>
      <c r="P14572" s="1"/>
      <c r="Q14572" s="1"/>
      <c r="R14572" s="1"/>
      <c r="S14572" s="1"/>
      <c r="T14572" s="1"/>
      <c r="U14572" s="1"/>
      <c r="V14572" s="1"/>
      <c r="W14572" s="1"/>
      <c r="X14572" s="1"/>
      <c r="Y14572" s="1"/>
      <c r="Z14572" s="1"/>
      <c r="AA14572" s="1"/>
      <c r="AB14572" s="1"/>
    </row>
    <row r="14573" ht="50.25" customHeight="1">
      <c r="A14573" s="12">
        <v>14569.0</v>
      </c>
      <c r="B14573" s="13" t="s">
        <v>13537</v>
      </c>
      <c r="C14573" s="14" t="s">
        <v>13808</v>
      </c>
      <c r="D14573" s="1"/>
      <c r="E14573" s="1"/>
      <c r="F14573" s="1" t="str">
        <f>IFERROR(__xludf.DUMMYFUNCTION("GOOGLETRANSLATE(B14573, ""en"", ""fa"")
"),"موفقیت SaaS")</f>
        <v>موفقیت SaaS</v>
      </c>
      <c r="G14573" s="1" t="str">
        <f>IFERROR(__xludf.DUMMYFUNCTION("GOOGLETRANSLATE(C14573, ""en"", ""fa"")
"),"برخی از اشتباهات رایج در تعریف و اجرای استراتژی go-to-market در SaaS چیست؟")</f>
        <v>برخی از اشتباهات رایج در تعریف و اجرای استراتژی go-to-market در SaaS چیست؟</v>
      </c>
      <c r="H14573" s="1"/>
      <c r="I14573" s="1"/>
      <c r="J14573" s="1"/>
      <c r="K14573" s="1"/>
      <c r="L14573" s="1"/>
      <c r="M14573" s="1"/>
      <c r="N14573" s="1"/>
      <c r="O14573" s="1"/>
      <c r="P14573" s="1"/>
      <c r="Q14573" s="1"/>
      <c r="R14573" s="1"/>
      <c r="S14573" s="1"/>
      <c r="T14573" s="1"/>
      <c r="U14573" s="1"/>
      <c r="V14573" s="1"/>
      <c r="W14573" s="1"/>
      <c r="X14573" s="1"/>
      <c r="Y14573" s="1"/>
      <c r="Z14573" s="1"/>
      <c r="AA14573" s="1"/>
      <c r="AB14573" s="1"/>
    </row>
    <row r="14574" ht="50.25" customHeight="1">
      <c r="A14574" s="12">
        <v>14570.0</v>
      </c>
      <c r="B14574" s="13" t="s">
        <v>13537</v>
      </c>
      <c r="C14574" s="14" t="s">
        <v>13809</v>
      </c>
      <c r="D14574" s="1"/>
      <c r="E14574" s="1"/>
      <c r="F14574" s="1" t="str">
        <f>IFERROR(__xludf.DUMMYFUNCTION("GOOGLETRANSLATE(B14574, ""en"", ""fa"")
"),"موفقیت SaaS")</f>
        <v>موفقیت SaaS</v>
      </c>
      <c r="G14574" s="1" t="str">
        <f>IFERROR(__xludf.DUMMYFUNCTION("GOOGLETRANSLATE(C14574, ""en"", ""fa"")
"),"چگونه می توانید از خطرات مربوط به نادیده گرفتن نام تجاری خود در SaaS جلوگیری کنید؟")</f>
        <v>چگونه می توانید از خطرات مربوط به نادیده گرفتن نام تجاری خود در SaaS جلوگیری کنید؟</v>
      </c>
      <c r="H14574" s="1"/>
      <c r="I14574" s="1"/>
      <c r="J14574" s="1"/>
      <c r="K14574" s="1"/>
      <c r="L14574" s="1"/>
      <c r="M14574" s="1"/>
      <c r="N14574" s="1"/>
      <c r="O14574" s="1"/>
      <c r="P14574" s="1"/>
      <c r="Q14574" s="1"/>
      <c r="R14574" s="1"/>
      <c r="S14574" s="1"/>
      <c r="T14574" s="1"/>
      <c r="U14574" s="1"/>
      <c r="V14574" s="1"/>
      <c r="W14574" s="1"/>
      <c r="X14574" s="1"/>
      <c r="Y14574" s="1"/>
      <c r="Z14574" s="1"/>
      <c r="AA14574" s="1"/>
      <c r="AB14574" s="1"/>
    </row>
    <row r="14575" ht="50.25" customHeight="1">
      <c r="A14575" s="12">
        <v>14571.0</v>
      </c>
      <c r="B14575" s="13" t="s">
        <v>13537</v>
      </c>
      <c r="C14575" s="14" t="s">
        <v>13810</v>
      </c>
      <c r="D14575" s="1"/>
      <c r="E14575" s="1"/>
      <c r="F14575" s="1" t="str">
        <f>IFERROR(__xludf.DUMMYFUNCTION("GOOGLETRANSLATE(B14575, ""en"", ""fa"")
"),"موفقیت SaaS")</f>
        <v>موفقیت SaaS</v>
      </c>
      <c r="G14575" s="1" t="str">
        <f>IFERROR(__xludf.DUMMYFUNCTION("GOOGLETRANSLATE(C14575, ""en"", ""fa"")
"),"برخی از اشتباهات رایج در مدیریت هزینه های عملیاتی در SaaS چیست؟")</f>
        <v>برخی از اشتباهات رایج در مدیریت هزینه های عملیاتی در SaaS چیست؟</v>
      </c>
      <c r="H14575" s="1"/>
      <c r="I14575" s="1"/>
      <c r="J14575" s="1"/>
      <c r="K14575" s="1"/>
      <c r="L14575" s="1"/>
      <c r="M14575" s="1"/>
      <c r="N14575" s="1"/>
      <c r="O14575" s="1"/>
      <c r="P14575" s="1"/>
      <c r="Q14575" s="1"/>
      <c r="R14575" s="1"/>
      <c r="S14575" s="1"/>
      <c r="T14575" s="1"/>
      <c r="U14575" s="1"/>
      <c r="V14575" s="1"/>
      <c r="W14575" s="1"/>
      <c r="X14575" s="1"/>
      <c r="Y14575" s="1"/>
      <c r="Z14575" s="1"/>
      <c r="AA14575" s="1"/>
      <c r="AB14575" s="1"/>
    </row>
    <row r="14576" ht="50.25" customHeight="1">
      <c r="A14576" s="12">
        <v>14572.0</v>
      </c>
      <c r="B14576" s="13" t="s">
        <v>13537</v>
      </c>
      <c r="C14576" s="14" t="s">
        <v>13811</v>
      </c>
      <c r="D14576" s="1"/>
      <c r="E14576" s="1"/>
      <c r="F14576" s="1" t="str">
        <f>IFERROR(__xludf.DUMMYFUNCTION("GOOGLETRANSLATE(B14576, ""en"", ""fa"")
"),"موفقیت SaaS")</f>
        <v>موفقیت SaaS</v>
      </c>
      <c r="G14576" s="1" t="str">
        <f>IFERROR(__xludf.DUMMYFUNCTION("GOOGLETRANSLATE(C14576, ""en"", ""fa"")
"),"چگونه می توانید از خطرات عدم تمایز رقابتی واضح در SaaS جلوگیری کنید؟")</f>
        <v>چگونه می توانید از خطرات عدم تمایز رقابتی واضح در SaaS جلوگیری کنید؟</v>
      </c>
      <c r="H14576" s="1"/>
      <c r="I14576" s="1"/>
      <c r="J14576" s="1"/>
      <c r="K14576" s="1"/>
      <c r="L14576" s="1"/>
      <c r="M14576" s="1"/>
      <c r="N14576" s="1"/>
      <c r="O14576" s="1"/>
      <c r="P14576" s="1"/>
      <c r="Q14576" s="1"/>
      <c r="R14576" s="1"/>
      <c r="S14576" s="1"/>
      <c r="T14576" s="1"/>
      <c r="U14576" s="1"/>
      <c r="V14576" s="1"/>
      <c r="W14576" s="1"/>
      <c r="X14576" s="1"/>
      <c r="Y14576" s="1"/>
      <c r="Z14576" s="1"/>
      <c r="AA14576" s="1"/>
      <c r="AB14576" s="1"/>
    </row>
    <row r="14577" ht="50.25" customHeight="1">
      <c r="A14577" s="12">
        <v>14573.0</v>
      </c>
      <c r="B14577" s="13" t="s">
        <v>13537</v>
      </c>
      <c r="C14577" s="14" t="s">
        <v>13812</v>
      </c>
      <c r="D14577" s="1"/>
      <c r="E14577" s="1"/>
      <c r="F14577" s="1" t="str">
        <f>IFERROR(__xludf.DUMMYFUNCTION("GOOGLETRANSLATE(B14577, ""en"", ""fa"")
"),"موفقیت SaaS")</f>
        <v>موفقیت SaaS</v>
      </c>
      <c r="G14577" s="1" t="str">
        <f>IFERROR(__xludf.DUMMYFUNCTION("GOOGLETRANSLATE(C14577, ""en"", ""fa"")
"),"برخی از اشتباهات رایج در آزمایش نکردن کافی محصول SaaS قبل از راه اندازی چیست؟")</f>
        <v>برخی از اشتباهات رایج در آزمایش نکردن کافی محصول SaaS قبل از راه اندازی چیست؟</v>
      </c>
      <c r="H14577" s="1"/>
      <c r="I14577" s="1"/>
      <c r="J14577" s="1"/>
      <c r="K14577" s="1"/>
      <c r="L14577" s="1"/>
      <c r="M14577" s="1"/>
      <c r="N14577" s="1"/>
      <c r="O14577" s="1"/>
      <c r="P14577" s="1"/>
      <c r="Q14577" s="1"/>
      <c r="R14577" s="1"/>
      <c r="S14577" s="1"/>
      <c r="T14577" s="1"/>
      <c r="U14577" s="1"/>
      <c r="V14577" s="1"/>
      <c r="W14577" s="1"/>
      <c r="X14577" s="1"/>
      <c r="Y14577" s="1"/>
      <c r="Z14577" s="1"/>
      <c r="AA14577" s="1"/>
      <c r="AB14577" s="1"/>
    </row>
    <row r="14578" ht="50.25" customHeight="1">
      <c r="A14578" s="12">
        <v>14574.0</v>
      </c>
      <c r="B14578" s="13" t="s">
        <v>13537</v>
      </c>
      <c r="C14578" s="14" t="s">
        <v>13813</v>
      </c>
      <c r="D14578" s="1"/>
      <c r="E14578" s="1"/>
      <c r="F14578" s="1" t="str">
        <f>IFERROR(__xludf.DUMMYFUNCTION("GOOGLETRANSLATE(B14578, ""en"", ""fa"")
"),"موفقیت SaaS")</f>
        <v>موفقیت SaaS</v>
      </c>
      <c r="G14578" s="1" t="str">
        <f>IFERROR(__xludf.DUMMYFUNCTION("GOOGLETRANSLATE(C14578, ""en"", ""fa"")
"),"چگونه می توانید از خطرات سرمایه گذاری بیش از حد در جذب مشتری در SaaS جلوگیری کنید؟")</f>
        <v>چگونه می توانید از خطرات سرمایه گذاری بیش از حد در جذب مشتری در SaaS جلوگیری کنید؟</v>
      </c>
      <c r="H14578" s="1"/>
      <c r="I14578" s="1"/>
      <c r="J14578" s="1"/>
      <c r="K14578" s="1"/>
      <c r="L14578" s="1"/>
      <c r="M14578" s="1"/>
      <c r="N14578" s="1"/>
      <c r="O14578" s="1"/>
      <c r="P14578" s="1"/>
      <c r="Q14578" s="1"/>
      <c r="R14578" s="1"/>
      <c r="S14578" s="1"/>
      <c r="T14578" s="1"/>
      <c r="U14578" s="1"/>
      <c r="V14578" s="1"/>
      <c r="W14578" s="1"/>
      <c r="X14578" s="1"/>
      <c r="Y14578" s="1"/>
      <c r="Z14578" s="1"/>
      <c r="AA14578" s="1"/>
      <c r="AB14578" s="1"/>
    </row>
    <row r="14579" ht="50.25" customHeight="1">
      <c r="A14579" s="12">
        <v>14575.0</v>
      </c>
      <c r="B14579" s="13" t="s">
        <v>13537</v>
      </c>
      <c r="C14579" s="14" t="s">
        <v>13814</v>
      </c>
      <c r="D14579" s="1"/>
      <c r="E14579" s="1"/>
      <c r="F14579" s="1" t="str">
        <f>IFERROR(__xludf.DUMMYFUNCTION("GOOGLETRANSLATE(B14579, ""en"", ""fa"")
"),"موفقیت SaaS")</f>
        <v>موفقیت SaaS</v>
      </c>
      <c r="G14579" s="1" t="str">
        <f>IFERROR(__xludf.DUMMYFUNCTION("GOOGLETRANSLATE(C14579, ""en"", ""fa"")
"),"برخی از اشتباهات رایج در عدم توجه کافی به گسترش بین المللی در SaaS چیست؟")</f>
        <v>برخی از اشتباهات رایج در عدم توجه کافی به گسترش بین المللی در SaaS چیست؟</v>
      </c>
      <c r="H14579" s="1"/>
      <c r="I14579" s="1"/>
      <c r="J14579" s="1"/>
      <c r="K14579" s="1"/>
      <c r="L14579" s="1"/>
      <c r="M14579" s="1"/>
      <c r="N14579" s="1"/>
      <c r="O14579" s="1"/>
      <c r="P14579" s="1"/>
      <c r="Q14579" s="1"/>
      <c r="R14579" s="1"/>
      <c r="S14579" s="1"/>
      <c r="T14579" s="1"/>
      <c r="U14579" s="1"/>
      <c r="V14579" s="1"/>
      <c r="W14579" s="1"/>
      <c r="X14579" s="1"/>
      <c r="Y14579" s="1"/>
      <c r="Z14579" s="1"/>
      <c r="AA14579" s="1"/>
      <c r="AB14579" s="1"/>
    </row>
    <row r="14580" ht="50.25" customHeight="1">
      <c r="A14580" s="12">
        <v>14576.0</v>
      </c>
      <c r="B14580" s="13" t="s">
        <v>13537</v>
      </c>
      <c r="C14580" s="14" t="s">
        <v>13815</v>
      </c>
      <c r="D14580" s="1"/>
      <c r="E14580" s="1"/>
      <c r="F14580" s="1" t="str">
        <f>IFERROR(__xludf.DUMMYFUNCTION("GOOGLETRANSLATE(B14580, ""en"", ""fa"")
"),"موفقیت SaaS")</f>
        <v>موفقیت SaaS</v>
      </c>
      <c r="G14580" s="1" t="str">
        <f>IFERROR(__xludf.DUMMYFUNCTION("GOOGLETRANSLATE(C14580, ""en"", ""fa"")
"),"چگونه می توانید از خطرات مربوط به نادیده گرفتن فرهنگ شرکت خود در SaaS جلوگیری کنید؟")</f>
        <v>چگونه می توانید از خطرات مربوط به نادیده گرفتن فرهنگ شرکت خود در SaaS جلوگیری کنید؟</v>
      </c>
      <c r="H14580" s="1"/>
      <c r="I14580" s="1"/>
      <c r="J14580" s="1"/>
      <c r="K14580" s="1"/>
      <c r="L14580" s="1"/>
      <c r="M14580" s="1"/>
      <c r="N14580" s="1"/>
      <c r="O14580" s="1"/>
      <c r="P14580" s="1"/>
      <c r="Q14580" s="1"/>
      <c r="R14580" s="1"/>
      <c r="S14580" s="1"/>
      <c r="T14580" s="1"/>
      <c r="U14580" s="1"/>
      <c r="V14580" s="1"/>
      <c r="W14580" s="1"/>
      <c r="X14580" s="1"/>
      <c r="Y14580" s="1"/>
      <c r="Z14580" s="1"/>
      <c r="AA14580" s="1"/>
      <c r="AB14580" s="1"/>
    </row>
    <row r="14581" ht="50.25" customHeight="1">
      <c r="A14581" s="12">
        <v>14577.0</v>
      </c>
      <c r="B14581" s="13" t="s">
        <v>13537</v>
      </c>
      <c r="C14581" s="14" t="s">
        <v>13816</v>
      </c>
      <c r="D14581" s="1"/>
      <c r="E14581" s="1"/>
      <c r="F14581" s="1" t="str">
        <f>IFERROR(__xludf.DUMMYFUNCTION("GOOGLETRANSLATE(B14581, ""en"", ""fa"")
"),"موفقیت SaaS")</f>
        <v>موفقیت SaaS</v>
      </c>
      <c r="G14581" s="1" t="str">
        <f>IFERROR(__xludf.DUMMYFUNCTION("GOOGLETRANSLATE(C14581, ""en"", ""fa"")
"),"برخی از اشتباهات رایج در نداشتن قیف جذب مشتری واضح در SaaS چیست؟")</f>
        <v>برخی از اشتباهات رایج در نداشتن قیف جذب مشتری واضح در SaaS چیست؟</v>
      </c>
      <c r="H14581" s="1"/>
      <c r="I14581" s="1"/>
      <c r="J14581" s="1"/>
      <c r="K14581" s="1"/>
      <c r="L14581" s="1"/>
      <c r="M14581" s="1"/>
      <c r="N14581" s="1"/>
      <c r="O14581" s="1"/>
      <c r="P14581" s="1"/>
      <c r="Q14581" s="1"/>
      <c r="R14581" s="1"/>
      <c r="S14581" s="1"/>
      <c r="T14581" s="1"/>
      <c r="U14581" s="1"/>
      <c r="V14581" s="1"/>
      <c r="W14581" s="1"/>
      <c r="X14581" s="1"/>
      <c r="Y14581" s="1"/>
      <c r="Z14581" s="1"/>
      <c r="AA14581" s="1"/>
      <c r="AB14581" s="1"/>
    </row>
    <row r="14582" ht="50.25" customHeight="1">
      <c r="A14582" s="12">
        <v>14578.0</v>
      </c>
      <c r="B14582" s="13" t="s">
        <v>13537</v>
      </c>
      <c r="C14582" s="14" t="s">
        <v>13817</v>
      </c>
      <c r="D14582" s="1"/>
      <c r="E14582" s="1"/>
      <c r="F14582" s="1" t="str">
        <f>IFERROR(__xludf.DUMMYFUNCTION("GOOGLETRANSLATE(B14582, ""en"", ""fa"")
"),"موفقیت SaaS")</f>
        <v>موفقیت SaaS</v>
      </c>
      <c r="G14582" s="1" t="str">
        <f>IFERROR(__xludf.DUMMYFUNCTION("GOOGLETRANSLATE(C14582, ""en"", ""fa"")
"),"چگونه می توانید از خطرات عدم وجود یک تیم قوی در SaaS جلوگیری کنید؟")</f>
        <v>چگونه می توانید از خطرات عدم وجود یک تیم قوی در SaaS جلوگیری کنید؟</v>
      </c>
      <c r="H14582" s="1"/>
      <c r="I14582" s="1"/>
      <c r="J14582" s="1"/>
      <c r="K14582" s="1"/>
      <c r="L14582" s="1"/>
      <c r="M14582" s="1"/>
      <c r="N14582" s="1"/>
      <c r="O14582" s="1"/>
      <c r="P14582" s="1"/>
      <c r="Q14582" s="1"/>
      <c r="R14582" s="1"/>
      <c r="S14582" s="1"/>
      <c r="T14582" s="1"/>
      <c r="U14582" s="1"/>
      <c r="V14582" s="1"/>
      <c r="W14582" s="1"/>
      <c r="X14582" s="1"/>
      <c r="Y14582" s="1"/>
      <c r="Z14582" s="1"/>
      <c r="AA14582" s="1"/>
      <c r="AB14582" s="1"/>
    </row>
    <row r="14583" ht="50.25" customHeight="1">
      <c r="A14583" s="12">
        <v>14579.0</v>
      </c>
      <c r="B14583" s="13" t="s">
        <v>13537</v>
      </c>
      <c r="C14583" s="14" t="s">
        <v>13818</v>
      </c>
      <c r="D14583" s="1"/>
      <c r="E14583" s="1"/>
      <c r="F14583" s="1" t="str">
        <f>IFERROR(__xludf.DUMMYFUNCTION("GOOGLETRANSLATE(B14583, ""en"", ""fa"")
"),"موفقیت SaaS")</f>
        <v>موفقیت SaaS</v>
      </c>
      <c r="G14583" s="1" t="str">
        <f>IFERROR(__xludf.DUMMYFUNCTION("GOOGLETRANSLATE(C14583, ""en"", ""fa"")
"),"برخی از اشتباهات رایج در عدم درک درست از بازار هدف خود در SaaS چیست؟")</f>
        <v>برخی از اشتباهات رایج در عدم درک درست از بازار هدف خود در SaaS چیست؟</v>
      </c>
      <c r="H14583" s="1"/>
      <c r="I14583" s="1"/>
      <c r="J14583" s="1"/>
      <c r="K14583" s="1"/>
      <c r="L14583" s="1"/>
      <c r="M14583" s="1"/>
      <c r="N14583" s="1"/>
      <c r="O14583" s="1"/>
      <c r="P14583" s="1"/>
      <c r="Q14583" s="1"/>
      <c r="R14583" s="1"/>
      <c r="S14583" s="1"/>
      <c r="T14583" s="1"/>
      <c r="U14583" s="1"/>
      <c r="V14583" s="1"/>
      <c r="W14583" s="1"/>
      <c r="X14583" s="1"/>
      <c r="Y14583" s="1"/>
      <c r="Z14583" s="1"/>
      <c r="AA14583" s="1"/>
      <c r="AB14583" s="1"/>
    </row>
    <row r="14584" ht="50.25" customHeight="1">
      <c r="A14584" s="12">
        <v>14580.0</v>
      </c>
      <c r="B14584" s="13" t="s">
        <v>13537</v>
      </c>
      <c r="C14584" s="14" t="s">
        <v>13819</v>
      </c>
      <c r="D14584" s="1"/>
      <c r="E14584" s="1"/>
      <c r="F14584" s="1" t="str">
        <f>IFERROR(__xludf.DUMMYFUNCTION("GOOGLETRANSLATE(B14584, ""en"", ""fa"")
"),"موفقیت SaaS")</f>
        <v>موفقیت SaaS</v>
      </c>
      <c r="G14584" s="1" t="str">
        <f>IFERROR(__xludf.DUMMYFUNCTION("GOOGLETRANSLATE(C14584, ""en"", ""fa"")
"),"چگونه می توانید از خطرات مرتبط با نداشتن ارزش پیشنهادی واضح در SaaS جلوگیری کنید؟")</f>
        <v>چگونه می توانید از خطرات مرتبط با نداشتن ارزش پیشنهادی واضح در SaaS جلوگیری کنید؟</v>
      </c>
      <c r="H14584" s="1"/>
      <c r="I14584" s="1"/>
      <c r="J14584" s="1"/>
      <c r="K14584" s="1"/>
      <c r="L14584" s="1"/>
      <c r="M14584" s="1"/>
      <c r="N14584" s="1"/>
      <c r="O14584" s="1"/>
      <c r="P14584" s="1"/>
      <c r="Q14584" s="1"/>
      <c r="R14584" s="1"/>
      <c r="S14584" s="1"/>
      <c r="T14584" s="1"/>
      <c r="U14584" s="1"/>
      <c r="V14584" s="1"/>
      <c r="W14584" s="1"/>
      <c r="X14584" s="1"/>
      <c r="Y14584" s="1"/>
      <c r="Z14584" s="1"/>
      <c r="AA14584" s="1"/>
      <c r="AB14584" s="1"/>
    </row>
    <row r="14585" ht="50.25" customHeight="1">
      <c r="A14585" s="12">
        <v>14581.0</v>
      </c>
      <c r="B14585" s="13" t="s">
        <v>13537</v>
      </c>
      <c r="C14585" s="14" t="s">
        <v>13820</v>
      </c>
      <c r="D14585" s="1"/>
      <c r="E14585" s="1"/>
      <c r="F14585" s="1" t="str">
        <f>IFERROR(__xludf.DUMMYFUNCTION("GOOGLETRANSLATE(B14585, ""en"", ""fa"")
"),"موفقیت SaaS")</f>
        <v>موفقیت SaaS</v>
      </c>
      <c r="G14585" s="1" t="str">
        <f>IFERROR(__xludf.DUMMYFUNCTION("GOOGLETRANSLATE(C14585, ""en"", ""fa"")
"),"برخی از اشتباهات رایج در نداشتن نقشه راه محصول مشخص در SaaS چیست؟")</f>
        <v>برخی از اشتباهات رایج در نداشتن نقشه راه محصول مشخص در SaaS چیست؟</v>
      </c>
      <c r="H14585" s="1"/>
      <c r="I14585" s="1"/>
      <c r="J14585" s="1"/>
      <c r="K14585" s="1"/>
      <c r="L14585" s="1"/>
      <c r="M14585" s="1"/>
      <c r="N14585" s="1"/>
      <c r="O14585" s="1"/>
      <c r="P14585" s="1"/>
      <c r="Q14585" s="1"/>
      <c r="R14585" s="1"/>
      <c r="S14585" s="1"/>
      <c r="T14585" s="1"/>
      <c r="U14585" s="1"/>
      <c r="V14585" s="1"/>
      <c r="W14585" s="1"/>
      <c r="X14585" s="1"/>
      <c r="Y14585" s="1"/>
      <c r="Z14585" s="1"/>
      <c r="AA14585" s="1"/>
      <c r="AB14585" s="1"/>
    </row>
    <row r="14586" ht="50.25" customHeight="1">
      <c r="A14586" s="12">
        <v>14582.0</v>
      </c>
      <c r="B14586" s="13" t="s">
        <v>13537</v>
      </c>
      <c r="C14586" s="14" t="s">
        <v>13821</v>
      </c>
      <c r="D14586" s="1"/>
      <c r="E14586" s="1"/>
      <c r="F14586" s="1" t="str">
        <f>IFERROR(__xludf.DUMMYFUNCTION("GOOGLETRANSLATE(B14586, ""en"", ""fa"")
"),"موفقیت SaaS")</f>
        <v>موفقیت SaaS</v>
      </c>
      <c r="G14586" s="1" t="str">
        <f>IFERROR(__xludf.DUMMYFUNCTION("GOOGLETRANSLATE(C14586, ""en"", ""fa"")
"),"چگونه می توانید از خطرات ناشی از نداشتن درک روشنی از معیارهای کلیدی خود در SaaS جلوگیری کنید؟")</f>
        <v>چگونه می توانید از خطرات ناشی از نداشتن درک روشنی از معیارهای کلیدی خود در SaaS جلوگیری کنید؟</v>
      </c>
      <c r="H14586" s="1"/>
      <c r="I14586" s="1"/>
      <c r="J14586" s="1"/>
      <c r="K14586" s="1"/>
      <c r="L14586" s="1"/>
      <c r="M14586" s="1"/>
      <c r="N14586" s="1"/>
      <c r="O14586" s="1"/>
      <c r="P14586" s="1"/>
      <c r="Q14586" s="1"/>
      <c r="R14586" s="1"/>
      <c r="S14586" s="1"/>
      <c r="T14586" s="1"/>
      <c r="U14586" s="1"/>
      <c r="V14586" s="1"/>
      <c r="W14586" s="1"/>
      <c r="X14586" s="1"/>
      <c r="Y14586" s="1"/>
      <c r="Z14586" s="1"/>
      <c r="AA14586" s="1"/>
      <c r="AB14586" s="1"/>
    </row>
    <row r="14587" ht="50.25" customHeight="1">
      <c r="A14587" s="12">
        <v>14583.0</v>
      </c>
      <c r="B14587" s="13" t="s">
        <v>13537</v>
      </c>
      <c r="C14587" s="14" t="s">
        <v>13822</v>
      </c>
      <c r="D14587" s="1"/>
      <c r="E14587" s="1"/>
      <c r="F14587" s="1" t="str">
        <f>IFERROR(__xludf.DUMMYFUNCTION("GOOGLETRANSLATE(B14587, ""en"", ""fa"")
"),"موفقیت SaaS")</f>
        <v>موفقیت SaaS</v>
      </c>
      <c r="G14587" s="1" t="str">
        <f>IFERROR(__xludf.DUMMYFUNCTION("GOOGLETRANSLATE(C14587, ""en"", ""fa"")
"),"برخی از اشتباهات رایج در نداشتن فرآیند فروش واضح در SaaS چیست؟")</f>
        <v>برخی از اشتباهات رایج در نداشتن فرآیند فروش واضح در SaaS چیست؟</v>
      </c>
      <c r="H14587" s="1"/>
      <c r="I14587" s="1"/>
      <c r="J14587" s="1"/>
      <c r="K14587" s="1"/>
      <c r="L14587" s="1"/>
      <c r="M14587" s="1"/>
      <c r="N14587" s="1"/>
      <c r="O14587" s="1"/>
      <c r="P14587" s="1"/>
      <c r="Q14587" s="1"/>
      <c r="R14587" s="1"/>
      <c r="S14587" s="1"/>
      <c r="T14587" s="1"/>
      <c r="U14587" s="1"/>
      <c r="V14587" s="1"/>
      <c r="W14587" s="1"/>
      <c r="X14587" s="1"/>
      <c r="Y14587" s="1"/>
      <c r="Z14587" s="1"/>
      <c r="AA14587" s="1"/>
      <c r="AB14587" s="1"/>
    </row>
    <row r="14588" ht="50.25" customHeight="1">
      <c r="A14588" s="12">
        <v>14584.0</v>
      </c>
      <c r="B14588" s="13" t="s">
        <v>13537</v>
      </c>
      <c r="C14588" s="14" t="s">
        <v>13823</v>
      </c>
      <c r="D14588" s="1"/>
      <c r="E14588" s="1"/>
      <c r="F14588" s="1" t="str">
        <f>IFERROR(__xludf.DUMMYFUNCTION("GOOGLETRANSLATE(B14588, ""en"", ""fa"")
"),"موفقیت SaaS")</f>
        <v>موفقیت SaaS</v>
      </c>
      <c r="G14588" s="1" t="str">
        <f>IFERROR(__xludf.DUMMYFUNCTION("GOOGLETRANSLATE(C14588, ""en"", ""fa"")
"),"چگونه می توانید از خطرات مرتبط با نداشتن استراتژی موفقیت مشتری واضح در SaaS جلوگیری کنید؟")</f>
        <v>چگونه می توانید از خطرات مرتبط با نداشتن استراتژی موفقیت مشتری واضح در SaaS جلوگیری کنید؟</v>
      </c>
      <c r="H14588" s="1"/>
      <c r="I14588" s="1"/>
      <c r="J14588" s="1"/>
      <c r="K14588" s="1"/>
      <c r="L14588" s="1"/>
      <c r="M14588" s="1"/>
      <c r="N14588" s="1"/>
      <c r="O14588" s="1"/>
      <c r="P14588" s="1"/>
      <c r="Q14588" s="1"/>
      <c r="R14588" s="1"/>
      <c r="S14588" s="1"/>
      <c r="T14588" s="1"/>
      <c r="U14588" s="1"/>
      <c r="V14588" s="1"/>
      <c r="W14588" s="1"/>
      <c r="X14588" s="1"/>
      <c r="Y14588" s="1"/>
      <c r="Z14588" s="1"/>
      <c r="AA14588" s="1"/>
      <c r="AB14588" s="1"/>
    </row>
    <row r="14589" ht="50.25" customHeight="1">
      <c r="A14589" s="12">
        <v>14585.0</v>
      </c>
      <c r="B14589" s="13" t="s">
        <v>13537</v>
      </c>
      <c r="C14589" s="14" t="s">
        <v>13824</v>
      </c>
      <c r="D14589" s="1"/>
      <c r="E14589" s="1"/>
      <c r="F14589" s="1" t="str">
        <f>IFERROR(__xludf.DUMMYFUNCTION("GOOGLETRANSLATE(B14589, ""en"", ""fa"")
"),"موفقیت SaaS")</f>
        <v>موفقیت SaaS</v>
      </c>
      <c r="G14589" s="1" t="str">
        <f>IFERROR(__xludf.DUMMYFUNCTION("GOOGLETRANSLATE(C14589, ""en"", ""fa"")
"),"برخی از اشتباهات رایج در نداشتن درک واضح از بخش های مشتریان خود در SaaS چیست؟")</f>
        <v>برخی از اشتباهات رایج در نداشتن درک واضح از بخش های مشتریان خود در SaaS چیست؟</v>
      </c>
      <c r="H14589" s="1"/>
      <c r="I14589" s="1"/>
      <c r="J14589" s="1"/>
      <c r="K14589" s="1"/>
      <c r="L14589" s="1"/>
      <c r="M14589" s="1"/>
      <c r="N14589" s="1"/>
      <c r="O14589" s="1"/>
      <c r="P14589" s="1"/>
      <c r="Q14589" s="1"/>
      <c r="R14589" s="1"/>
      <c r="S14589" s="1"/>
      <c r="T14589" s="1"/>
      <c r="U14589" s="1"/>
      <c r="V14589" s="1"/>
      <c r="W14589" s="1"/>
      <c r="X14589" s="1"/>
      <c r="Y14589" s="1"/>
      <c r="Z14589" s="1"/>
      <c r="AA14589" s="1"/>
      <c r="AB14589" s="1"/>
    </row>
    <row r="14590" ht="50.25" customHeight="1">
      <c r="A14590" s="12">
        <v>14586.0</v>
      </c>
      <c r="B14590" s="13" t="s">
        <v>13537</v>
      </c>
      <c r="C14590" s="14" t="s">
        <v>13825</v>
      </c>
      <c r="D14590" s="1"/>
      <c r="E14590" s="1"/>
      <c r="F14590" s="1" t="str">
        <f>IFERROR(__xludf.DUMMYFUNCTION("GOOGLETRANSLATE(B14590, ""en"", ""fa"")
"),"موفقیت SaaS")</f>
        <v>موفقیت SaaS</v>
      </c>
      <c r="G14590" s="1" t="str">
        <f>IFERROR(__xludf.DUMMYFUNCTION("GOOGLETRANSLATE(C14590, ""en"", ""fa"")
"),"چگونه می توانید از خطرات نداشتن یک برنامه بازاریابی واضح در SaaS جلوگیری کنید؟")</f>
        <v>چگونه می توانید از خطرات نداشتن یک برنامه بازاریابی واضح در SaaS جلوگیری کنید؟</v>
      </c>
      <c r="H14590" s="1"/>
      <c r="I14590" s="1"/>
      <c r="J14590" s="1"/>
      <c r="K14590" s="1"/>
      <c r="L14590" s="1"/>
      <c r="M14590" s="1"/>
      <c r="N14590" s="1"/>
      <c r="O14590" s="1"/>
      <c r="P14590" s="1"/>
      <c r="Q14590" s="1"/>
      <c r="R14590" s="1"/>
      <c r="S14590" s="1"/>
      <c r="T14590" s="1"/>
      <c r="U14590" s="1"/>
      <c r="V14590" s="1"/>
      <c r="W14590" s="1"/>
      <c r="X14590" s="1"/>
      <c r="Y14590" s="1"/>
      <c r="Z14590" s="1"/>
      <c r="AA14590" s="1"/>
      <c r="AB14590" s="1"/>
    </row>
    <row r="14591" ht="50.25" customHeight="1">
      <c r="A14591" s="12">
        <v>14587.0</v>
      </c>
      <c r="B14591" s="13" t="s">
        <v>13537</v>
      </c>
      <c r="C14591" s="14" t="s">
        <v>13826</v>
      </c>
      <c r="D14591" s="1"/>
      <c r="E14591" s="1"/>
      <c r="F14591" s="1" t="str">
        <f>IFERROR(__xludf.DUMMYFUNCTION("GOOGLETRANSLATE(B14591, ""en"", ""fa"")
"),"موفقیت SaaS")</f>
        <v>موفقیت SaaS</v>
      </c>
      <c r="G14591" s="1" t="str">
        <f>IFERROR(__xludf.DUMMYFUNCTION("GOOGLETRANSLATE(C14591, ""en"", ""fa"")
"),"برخی از اشتباهات رایج در نداشتن استراتژی قیمت گذاری مشخص در SaaS چیست؟")</f>
        <v>برخی از اشتباهات رایج در نداشتن استراتژی قیمت گذاری مشخص در SaaS چیست؟</v>
      </c>
      <c r="H14591" s="1"/>
      <c r="I14591" s="1"/>
      <c r="J14591" s="1"/>
      <c r="K14591" s="1"/>
      <c r="L14591" s="1"/>
      <c r="M14591" s="1"/>
      <c r="N14591" s="1"/>
      <c r="O14591" s="1"/>
      <c r="P14591" s="1"/>
      <c r="Q14591" s="1"/>
      <c r="R14591" s="1"/>
      <c r="S14591" s="1"/>
      <c r="T14591" s="1"/>
      <c r="U14591" s="1"/>
      <c r="V14591" s="1"/>
      <c r="W14591" s="1"/>
      <c r="X14591" s="1"/>
      <c r="Y14591" s="1"/>
      <c r="Z14591" s="1"/>
      <c r="AA14591" s="1"/>
      <c r="AB14591" s="1"/>
    </row>
    <row r="14592" ht="50.25" customHeight="1">
      <c r="A14592" s="12">
        <v>14588.0</v>
      </c>
      <c r="B14592" s="13" t="s">
        <v>13537</v>
      </c>
      <c r="C14592" s="14" t="s">
        <v>13827</v>
      </c>
      <c r="D14592" s="1"/>
      <c r="E14592" s="1"/>
      <c r="F14592" s="1" t="str">
        <f>IFERROR(__xludf.DUMMYFUNCTION("GOOGLETRANSLATE(B14592, ""en"", ""fa"")
"),"موفقیت SaaS")</f>
        <v>موفقیت SaaS</v>
      </c>
      <c r="G14592" s="1" t="str">
        <f>IFERROR(__xludf.DUMMYFUNCTION("GOOGLETRANSLATE(C14592, ""en"", ""fa"")
"),"برای جلوگیری از سوء مدیریت مالی در یک شرکت SaaS چه اقداماتی می توان انجام داد؟")</f>
        <v>برای جلوگیری از سوء مدیریت مالی در یک شرکت SaaS چه اقداماتی می توان انجام داد؟</v>
      </c>
      <c r="H14592" s="1"/>
      <c r="I14592" s="1"/>
      <c r="J14592" s="1"/>
      <c r="K14592" s="1"/>
      <c r="L14592" s="1"/>
      <c r="M14592" s="1"/>
      <c r="N14592" s="1"/>
      <c r="O14592" s="1"/>
      <c r="P14592" s="1"/>
      <c r="Q14592" s="1"/>
      <c r="R14592" s="1"/>
      <c r="S14592" s="1"/>
      <c r="T14592" s="1"/>
      <c r="U14592" s="1"/>
      <c r="V14592" s="1"/>
      <c r="W14592" s="1"/>
      <c r="X14592" s="1"/>
      <c r="Y14592" s="1"/>
      <c r="Z14592" s="1"/>
      <c r="AA14592" s="1"/>
      <c r="AB14592" s="1"/>
    </row>
    <row r="14593" ht="50.25" customHeight="1">
      <c r="A14593" s="12">
        <v>14589.0</v>
      </c>
      <c r="B14593" s="13" t="s">
        <v>13537</v>
      </c>
      <c r="C14593" s="14" t="s">
        <v>13828</v>
      </c>
      <c r="D14593" s="1"/>
      <c r="E14593" s="1"/>
      <c r="F14593" s="1" t="str">
        <f>IFERROR(__xludf.DUMMYFUNCTION("GOOGLETRANSLATE(B14593, ""en"", ""fa"")
"),"موفقیت SaaS")</f>
        <v>موفقیت SaaS</v>
      </c>
      <c r="G14593" s="1" t="str">
        <f>IFERROR(__xludf.DUMMYFUNCTION("GOOGLETRANSLATE(C14593, ""en"", ""fa"")
"),"چگونه از ارائه بیش از حد و عدم ارائه ویژگی ها در یک شرکت SaaS جلوگیری کنیم؟")</f>
        <v>چگونه از ارائه بیش از حد و عدم ارائه ویژگی ها در یک شرکت SaaS جلوگیری کنیم؟</v>
      </c>
      <c r="H14593" s="1"/>
      <c r="I14593" s="1"/>
      <c r="J14593" s="1"/>
      <c r="K14593" s="1"/>
      <c r="L14593" s="1"/>
      <c r="M14593" s="1"/>
      <c r="N14593" s="1"/>
      <c r="O14593" s="1"/>
      <c r="P14593" s="1"/>
      <c r="Q14593" s="1"/>
      <c r="R14593" s="1"/>
      <c r="S14593" s="1"/>
      <c r="T14593" s="1"/>
      <c r="U14593" s="1"/>
      <c r="V14593" s="1"/>
      <c r="W14593" s="1"/>
      <c r="X14593" s="1"/>
      <c r="Y14593" s="1"/>
      <c r="Z14593" s="1"/>
      <c r="AA14593" s="1"/>
      <c r="AB14593" s="1"/>
    </row>
    <row r="14594" ht="50.25" customHeight="1">
      <c r="A14594" s="12">
        <v>14590.0</v>
      </c>
      <c r="B14594" s="13" t="s">
        <v>13537</v>
      </c>
      <c r="C14594" s="14" t="s">
        <v>13829</v>
      </c>
      <c r="D14594" s="1"/>
      <c r="E14594" s="1"/>
      <c r="F14594" s="1" t="str">
        <f>IFERROR(__xludf.DUMMYFUNCTION("GOOGLETRANSLATE(B14594, ""en"", ""fa"")
"),"موفقیت SaaS")</f>
        <v>موفقیت SaaS</v>
      </c>
      <c r="G14594" s="1" t="str">
        <f>IFERROR(__xludf.DUMMYFUNCTION("GOOGLETRANSLATE(C14594, ""en"", ""fa"")
"),"راه های رایج برای جلوگیری از طراحی ضعیف تجربه کاربری در یک برنامه SaaS چیست؟")</f>
        <v>راه های رایج برای جلوگیری از طراحی ضعیف تجربه کاربری در یک برنامه SaaS چیست؟</v>
      </c>
      <c r="H14594" s="1"/>
      <c r="I14594" s="1"/>
      <c r="J14594" s="1"/>
      <c r="K14594" s="1"/>
      <c r="L14594" s="1"/>
      <c r="M14594" s="1"/>
      <c r="N14594" s="1"/>
      <c r="O14594" s="1"/>
      <c r="P14594" s="1"/>
      <c r="Q14594" s="1"/>
      <c r="R14594" s="1"/>
      <c r="S14594" s="1"/>
      <c r="T14594" s="1"/>
      <c r="U14594" s="1"/>
      <c r="V14594" s="1"/>
      <c r="W14594" s="1"/>
      <c r="X14594" s="1"/>
      <c r="Y14594" s="1"/>
      <c r="Z14594" s="1"/>
      <c r="AA14594" s="1"/>
      <c r="AB14594" s="1"/>
    </row>
    <row r="14595" ht="50.25" customHeight="1">
      <c r="A14595" s="12">
        <v>14591.0</v>
      </c>
      <c r="B14595" s="13" t="s">
        <v>13537</v>
      </c>
      <c r="C14595" s="14" t="s">
        <v>13830</v>
      </c>
      <c r="D14595" s="1"/>
      <c r="E14595" s="1"/>
      <c r="F14595" s="1" t="str">
        <f>IFERROR(__xludf.DUMMYFUNCTION("GOOGLETRANSLATE(B14595, ""en"", ""fa"")
"),"موفقیت SaaS")</f>
        <v>موفقیت SaaS</v>
      </c>
      <c r="G14595" s="1" t="str">
        <f>IFERROR(__xludf.DUMMYFUNCTION("GOOGLETRANSLATE(C14595, ""en"", ""fa"")
"),"چگونه می توان از از دست دادن تمرکز شرکت های SaaS بر روی پیشنهاد ارزش اصلی خود جلوگیری کرد؟")</f>
        <v>چگونه می توان از از دست دادن تمرکز شرکت های SaaS بر روی پیشنهاد ارزش اصلی خود جلوگیری کرد؟</v>
      </c>
      <c r="H14595" s="1"/>
      <c r="I14595" s="1"/>
      <c r="J14595" s="1"/>
      <c r="K14595" s="1"/>
      <c r="L14595" s="1"/>
      <c r="M14595" s="1"/>
      <c r="N14595" s="1"/>
      <c r="O14595" s="1"/>
      <c r="P14595" s="1"/>
      <c r="Q14595" s="1"/>
      <c r="R14595" s="1"/>
      <c r="S14595" s="1"/>
      <c r="T14595" s="1"/>
      <c r="U14595" s="1"/>
      <c r="V14595" s="1"/>
      <c r="W14595" s="1"/>
      <c r="X14595" s="1"/>
      <c r="Y14595" s="1"/>
      <c r="Z14595" s="1"/>
      <c r="AA14595" s="1"/>
      <c r="AB14595" s="1"/>
    </row>
    <row r="14596" ht="50.25" customHeight="1">
      <c r="A14596" s="12">
        <v>14592.0</v>
      </c>
      <c r="B14596" s="13" t="s">
        <v>13537</v>
      </c>
      <c r="C14596" s="14" t="s">
        <v>13831</v>
      </c>
      <c r="D14596" s="1"/>
      <c r="E14596" s="1"/>
      <c r="F14596" s="1" t="str">
        <f>IFERROR(__xludf.DUMMYFUNCTION("GOOGLETRANSLATE(B14596, ""en"", ""fa"")
"),"موفقیت SaaS")</f>
        <v>موفقیت SaaS</v>
      </c>
      <c r="G14596" s="1" t="str">
        <f>IFERROR(__xludf.DUMMYFUNCTION("GOOGLETRANSLATE(C14596, ""en"", ""fa"")
"),"چه اقداماتی می توان برای جلوگیری از وابستگی بیش از حد شرکت های SaaS به یک جریان درآمد واحد انجام داد؟")</f>
        <v>چه اقداماتی می توان برای جلوگیری از وابستگی بیش از حد شرکت های SaaS به یک جریان درآمد واحد انجام داد؟</v>
      </c>
      <c r="H14596" s="1"/>
      <c r="I14596" s="1"/>
      <c r="J14596" s="1"/>
      <c r="K14596" s="1"/>
      <c r="L14596" s="1"/>
      <c r="M14596" s="1"/>
      <c r="N14596" s="1"/>
      <c r="O14596" s="1"/>
      <c r="P14596" s="1"/>
      <c r="Q14596" s="1"/>
      <c r="R14596" s="1"/>
      <c r="S14596" s="1"/>
      <c r="T14596" s="1"/>
      <c r="U14596" s="1"/>
      <c r="V14596" s="1"/>
      <c r="W14596" s="1"/>
      <c r="X14596" s="1"/>
      <c r="Y14596" s="1"/>
      <c r="Z14596" s="1"/>
      <c r="AA14596" s="1"/>
      <c r="AB14596" s="1"/>
    </row>
    <row r="14597" ht="50.25" customHeight="1">
      <c r="A14597" s="12">
        <v>14593.0</v>
      </c>
      <c r="B14597" s="13" t="s">
        <v>13537</v>
      </c>
      <c r="C14597" s="14" t="s">
        <v>13832</v>
      </c>
      <c r="D14597" s="1"/>
      <c r="E14597" s="1"/>
      <c r="F14597" s="1" t="str">
        <f>IFERROR(__xludf.DUMMYFUNCTION("GOOGLETRANSLATE(B14597, ""en"", ""fa"")
"),"موفقیت SaaS")</f>
        <v>موفقیت SaaS</v>
      </c>
      <c r="G14597" s="1" t="str">
        <f>IFERROR(__xludf.DUMMYFUNCTION("GOOGLETRANSLATE(C14597, ""en"", ""fa"")
"),"چگونه از ارتباط ضعیف با مشتریان در یک شرکت SaaS جلوگیری کنیم؟")</f>
        <v>چگونه از ارتباط ضعیف با مشتریان در یک شرکت SaaS جلوگیری کنیم؟</v>
      </c>
      <c r="H14597" s="1"/>
      <c r="I14597" s="1"/>
      <c r="J14597" s="1"/>
      <c r="K14597" s="1"/>
      <c r="L14597" s="1"/>
      <c r="M14597" s="1"/>
      <c r="N14597" s="1"/>
      <c r="O14597" s="1"/>
      <c r="P14597" s="1"/>
      <c r="Q14597" s="1"/>
      <c r="R14597" s="1"/>
      <c r="S14597" s="1"/>
      <c r="T14597" s="1"/>
      <c r="U14597" s="1"/>
      <c r="V14597" s="1"/>
      <c r="W14597" s="1"/>
      <c r="X14597" s="1"/>
      <c r="Y14597" s="1"/>
      <c r="Z14597" s="1"/>
      <c r="AA14597" s="1"/>
      <c r="AB14597" s="1"/>
    </row>
    <row r="14598" ht="50.25" customHeight="1">
      <c r="A14598" s="12">
        <v>14594.0</v>
      </c>
      <c r="B14598" s="13" t="s">
        <v>13537</v>
      </c>
      <c r="C14598" s="14" t="s">
        <v>13833</v>
      </c>
      <c r="D14598" s="1"/>
      <c r="E14598" s="1"/>
      <c r="F14598" s="1" t="str">
        <f>IFERROR(__xludf.DUMMYFUNCTION("GOOGLETRANSLATE(B14598, ""en"", ""fa"")
"),"موفقیت SaaS")</f>
        <v>موفقیت SaaS</v>
      </c>
      <c r="G14598" s="1" t="str">
        <f>IFERROR(__xludf.DUMMYFUNCTION("GOOGLETRANSLATE(C14598, ""en"", ""fa"")
"),"برای جلوگیری از سوء مدیریت حریم خصوصی داده ها در یک شرکت SaaS چه اقداماتی می توان انجام داد؟")</f>
        <v>برای جلوگیری از سوء مدیریت حریم خصوصی داده ها در یک شرکت SaaS چه اقداماتی می توان انجام داد؟</v>
      </c>
      <c r="H14598" s="1"/>
      <c r="I14598" s="1"/>
      <c r="J14598" s="1"/>
      <c r="K14598" s="1"/>
      <c r="L14598" s="1"/>
      <c r="M14598" s="1"/>
      <c r="N14598" s="1"/>
      <c r="O14598" s="1"/>
      <c r="P14598" s="1"/>
      <c r="Q14598" s="1"/>
      <c r="R14598" s="1"/>
      <c r="S14598" s="1"/>
      <c r="T14598" s="1"/>
      <c r="U14598" s="1"/>
      <c r="V14598" s="1"/>
      <c r="W14598" s="1"/>
      <c r="X14598" s="1"/>
      <c r="Y14598" s="1"/>
      <c r="Z14598" s="1"/>
      <c r="AA14598" s="1"/>
      <c r="AB14598" s="1"/>
    </row>
    <row r="14599" ht="50.25" customHeight="1">
      <c r="A14599" s="12">
        <v>14595.0</v>
      </c>
      <c r="B14599" s="13" t="s">
        <v>13537</v>
      </c>
      <c r="C14599" s="14" t="s">
        <v>13834</v>
      </c>
      <c r="D14599" s="1"/>
      <c r="E14599" s="1"/>
      <c r="F14599" s="1" t="str">
        <f>IFERROR(__xludf.DUMMYFUNCTION("GOOGLETRANSLATE(B14599, ""en"", ""fa"")
"),"موفقیت SaaS")</f>
        <v>موفقیت SaaS</v>
      </c>
      <c r="G14599" s="1" t="str">
        <f>IFERROR(__xludf.DUMMYFUNCTION("GOOGLETRANSLATE(C14599, ""en"", ""fa"")
"),"چگونه از بوروکراسی و آهسته شدن شرکت های SaaS جلوگیری کنیم؟")</f>
        <v>چگونه از بوروکراسی و آهسته شدن شرکت های SaaS جلوگیری کنیم؟</v>
      </c>
      <c r="H14599" s="1"/>
      <c r="I14599" s="1"/>
      <c r="J14599" s="1"/>
      <c r="K14599" s="1"/>
      <c r="L14599" s="1"/>
      <c r="M14599" s="1"/>
      <c r="N14599" s="1"/>
      <c r="O14599" s="1"/>
      <c r="P14599" s="1"/>
      <c r="Q14599" s="1"/>
      <c r="R14599" s="1"/>
      <c r="S14599" s="1"/>
      <c r="T14599" s="1"/>
      <c r="U14599" s="1"/>
      <c r="V14599" s="1"/>
      <c r="W14599" s="1"/>
      <c r="X14599" s="1"/>
      <c r="Y14599" s="1"/>
      <c r="Z14599" s="1"/>
      <c r="AA14599" s="1"/>
      <c r="AB14599" s="1"/>
    </row>
    <row r="14600" ht="50.25" customHeight="1">
      <c r="A14600" s="12">
        <v>14596.0</v>
      </c>
      <c r="B14600" s="13" t="s">
        <v>13537</v>
      </c>
      <c r="C14600" s="14" t="s">
        <v>13835</v>
      </c>
      <c r="D14600" s="1"/>
      <c r="E14600" s="1"/>
      <c r="F14600" s="1" t="str">
        <f>IFERROR(__xludf.DUMMYFUNCTION("GOOGLETRANSLATE(B14600, ""en"", ""fa"")
"),"موفقیت SaaS")</f>
        <v>موفقیت SaaS</v>
      </c>
      <c r="G14600" s="1" t="str">
        <f>IFERROR(__xludf.DUMMYFUNCTION("GOOGLETRANSLATE(C14600, ""en"", ""fa"")
"),"چه اقداماتی می توان برای جلوگیری از وابستگی بیش از حد شرکت های SaaS به یک پلت فرم فناوری واحد انجام داد؟")</f>
        <v>چه اقداماتی می توان برای جلوگیری از وابستگی بیش از حد شرکت های SaaS به یک پلت فرم فناوری واحد انجام داد؟</v>
      </c>
      <c r="H14600" s="1"/>
      <c r="I14600" s="1"/>
      <c r="J14600" s="1"/>
      <c r="K14600" s="1"/>
      <c r="L14600" s="1"/>
      <c r="M14600" s="1"/>
      <c r="N14600" s="1"/>
      <c r="O14600" s="1"/>
      <c r="P14600" s="1"/>
      <c r="Q14600" s="1"/>
      <c r="R14600" s="1"/>
      <c r="S14600" s="1"/>
      <c r="T14600" s="1"/>
      <c r="U14600" s="1"/>
      <c r="V14600" s="1"/>
      <c r="W14600" s="1"/>
      <c r="X14600" s="1"/>
      <c r="Y14600" s="1"/>
      <c r="Z14600" s="1"/>
      <c r="AA14600" s="1"/>
      <c r="AB14600" s="1"/>
    </row>
    <row r="14601" ht="50.25" customHeight="1">
      <c r="A14601" s="12">
        <v>14597.0</v>
      </c>
      <c r="B14601" s="13" t="s">
        <v>13537</v>
      </c>
      <c r="C14601" s="14" t="s">
        <v>13836</v>
      </c>
      <c r="D14601" s="1"/>
      <c r="E14601" s="1"/>
      <c r="F14601" s="1" t="str">
        <f>IFERROR(__xludf.DUMMYFUNCTION("GOOGLETRANSLATE(B14601, ""en"", ""fa"")
"),"موفقیت SaaS")</f>
        <v>موفقیت SaaS</v>
      </c>
      <c r="G14601" s="1" t="str">
        <f>IFERROR(__xludf.DUMMYFUNCTION("GOOGLETRANSLATE(C14601, ""en"", ""fa"")
"),"چگونه از سرمایه گذاری کم در تحقیق و توسعه در یک شرکت SaaS جلوگیری کنیم؟")</f>
        <v>چگونه از سرمایه گذاری کم در تحقیق و توسعه در یک شرکت SaaS جلوگیری کنیم؟</v>
      </c>
      <c r="H14601" s="1"/>
      <c r="I14601" s="1"/>
      <c r="J14601" s="1"/>
      <c r="K14601" s="1"/>
      <c r="L14601" s="1"/>
      <c r="M14601" s="1"/>
      <c r="N14601" s="1"/>
      <c r="O14601" s="1"/>
      <c r="P14601" s="1"/>
      <c r="Q14601" s="1"/>
      <c r="R14601" s="1"/>
      <c r="S14601" s="1"/>
      <c r="T14601" s="1"/>
      <c r="U14601" s="1"/>
      <c r="V14601" s="1"/>
      <c r="W14601" s="1"/>
      <c r="X14601" s="1"/>
      <c r="Y14601" s="1"/>
      <c r="Z14601" s="1"/>
      <c r="AA14601" s="1"/>
      <c r="AB14601" s="1"/>
    </row>
    <row r="14602" ht="50.25" customHeight="1">
      <c r="A14602" s="12">
        <v>14598.0</v>
      </c>
      <c r="B14602" s="13" t="s">
        <v>13537</v>
      </c>
      <c r="C14602" s="14" t="s">
        <v>13837</v>
      </c>
      <c r="D14602" s="1"/>
      <c r="E14602" s="1"/>
      <c r="F14602" s="1" t="str">
        <f>IFERROR(__xludf.DUMMYFUNCTION("GOOGLETRANSLATE(B14602, ""en"", ""fa"")
"),"موفقیت SaaS")</f>
        <v>موفقیت SaaS</v>
      </c>
      <c r="G14602" s="1" t="str">
        <f>IFERROR(__xludf.DUMMYFUNCTION("GOOGLETRANSLATE(C14602, ""en"", ""fa"")
"),"چه اقداماتی را می توان برای جلوگیری از ریسک گریزی در یک شرکت SaaS انجام داد؟")</f>
        <v>چه اقداماتی را می توان برای جلوگیری از ریسک گریزی در یک شرکت SaaS انجام داد؟</v>
      </c>
      <c r="H14602" s="1"/>
      <c r="I14602" s="1"/>
      <c r="J14602" s="1"/>
      <c r="K14602" s="1"/>
      <c r="L14602" s="1"/>
      <c r="M14602" s="1"/>
      <c r="N14602" s="1"/>
      <c r="O14602" s="1"/>
      <c r="P14602" s="1"/>
      <c r="Q14602" s="1"/>
      <c r="R14602" s="1"/>
      <c r="S14602" s="1"/>
      <c r="T14602" s="1"/>
      <c r="U14602" s="1"/>
      <c r="V14602" s="1"/>
      <c r="W14602" s="1"/>
      <c r="X14602" s="1"/>
      <c r="Y14602" s="1"/>
      <c r="Z14602" s="1"/>
      <c r="AA14602" s="1"/>
      <c r="AB14602" s="1"/>
    </row>
    <row r="14603" ht="50.25" customHeight="1">
      <c r="A14603" s="12">
        <v>14599.0</v>
      </c>
      <c r="B14603" s="13" t="s">
        <v>13838</v>
      </c>
      <c r="C14603" s="14" t="s">
        <v>13839</v>
      </c>
      <c r="D14603" s="1"/>
      <c r="E14603" s="1"/>
      <c r="F14603" s="1" t="str">
        <f>IFERROR(__xludf.DUMMYFUNCTION("GOOGLETRANSLATE(B14603, ""en"", ""fa"")
"),"درآمد غیرفعال")</f>
        <v>درآمد غیرفعال</v>
      </c>
      <c r="G14603" s="1" t="str">
        <f>IFERROR(__xludf.DUMMYFUNCTION("GOOGLETRANSLATE(C14603, ""en"", ""fa"")
"),"سرمایه‌گذاران چگونه می‌توانند ریسک‌های بالقوه مرتبط با سرمایه‌گذاری در استارت‌آپ‌ها و شرکت‌های در مراحل اولیه را از طریق تامین مالی جمعی کنترل کنند؟")</f>
        <v>سرمایه‌گذاران چگونه می‌توانند ریسک‌های بالقوه مرتبط با سرمایه‌گذاری در استارت‌آپ‌ها و شرکت‌های در مراحل اولیه را از طریق تامین مالی جمعی کنترل کنند؟</v>
      </c>
      <c r="H14603" s="1"/>
      <c r="I14603" s="1"/>
      <c r="J14603" s="1"/>
      <c r="K14603" s="1"/>
      <c r="L14603" s="1"/>
      <c r="M14603" s="1"/>
      <c r="N14603" s="1"/>
      <c r="O14603" s="1"/>
      <c r="P14603" s="1"/>
      <c r="Q14603" s="1"/>
      <c r="R14603" s="1"/>
      <c r="S14603" s="1"/>
      <c r="T14603" s="1"/>
      <c r="U14603" s="1"/>
      <c r="V14603" s="1"/>
      <c r="W14603" s="1"/>
      <c r="X14603" s="1"/>
      <c r="Y14603" s="1"/>
      <c r="Z14603" s="1"/>
      <c r="AA14603" s="1"/>
      <c r="AB14603" s="1"/>
    </row>
    <row r="14604" ht="50.25" customHeight="1">
      <c r="A14604" s="12">
        <v>14600.0</v>
      </c>
      <c r="B14604" s="13" t="s">
        <v>13838</v>
      </c>
      <c r="C14604" s="14" t="s">
        <v>13840</v>
      </c>
      <c r="D14604" s="1"/>
      <c r="E14604" s="1"/>
      <c r="F14604" s="1" t="str">
        <f>IFERROR(__xludf.DUMMYFUNCTION("GOOGLETRANSLATE(B14604, ""en"", ""fa"")
"),"درآمد غیرفعال")</f>
        <v>درآمد غیرفعال</v>
      </c>
      <c r="G14604" s="1" t="str">
        <f>IFERROR(__xludf.DUMMYFUNCTION("GOOGLETRANSLATE(C14604, ""en"", ""fa"")
"),"در مورد مفهوم تامین مالی جمعی بدهی و اینکه چگونه به افراد و مشاغل اجازه می دهد تا برای پروژه های خاص بودجه جمع آوری کنند، بحث کنید.")</f>
        <v>در مورد مفهوم تامین مالی جمعی بدهی و اینکه چگونه به افراد و مشاغل اجازه می دهد تا برای پروژه های خاص بودجه جمع آوری کنند، بحث کنید.</v>
      </c>
      <c r="H14604" s="1"/>
      <c r="I14604" s="1"/>
      <c r="J14604" s="1"/>
      <c r="K14604" s="1"/>
      <c r="L14604" s="1"/>
      <c r="M14604" s="1"/>
      <c r="N14604" s="1"/>
      <c r="O14604" s="1"/>
      <c r="P14604" s="1"/>
      <c r="Q14604" s="1"/>
      <c r="R14604" s="1"/>
      <c r="S14604" s="1"/>
      <c r="T14604" s="1"/>
      <c r="U14604" s="1"/>
      <c r="V14604" s="1"/>
      <c r="W14604" s="1"/>
      <c r="X14604" s="1"/>
      <c r="Y14604" s="1"/>
      <c r="Z14604" s="1"/>
      <c r="AA14604" s="1"/>
      <c r="AB14604" s="1"/>
    </row>
    <row r="14605" ht="50.25" customHeight="1">
      <c r="A14605" s="12">
        <v>14601.0</v>
      </c>
      <c r="B14605" s="13" t="s">
        <v>13838</v>
      </c>
      <c r="C14605" s="14" t="s">
        <v>13841</v>
      </c>
      <c r="D14605" s="1"/>
      <c r="E14605" s="1"/>
      <c r="F14605" s="1" t="str">
        <f>IFERROR(__xludf.DUMMYFUNCTION("GOOGLETRANSLATE(B14605, ""en"", ""fa"")
"),"درآمد غیرفعال")</f>
        <v>درآمد غیرفعال</v>
      </c>
      <c r="G14605" s="1" t="str">
        <f>IFERROR(__xludf.DUMMYFUNCTION("GOOGLETRANSLATE(C14605, ""en"", ""fa"")
"),"مشارکت سرمایه‌گذار و ایجاد جامعه در کمپین‌های سرمایه‌گذاری جمعی موفق چه نقشی دارد؟")</f>
        <v>مشارکت سرمایه‌گذار و ایجاد جامعه در کمپین‌های سرمایه‌گذاری جمعی موفق چه نقشی دارد؟</v>
      </c>
      <c r="H14605" s="1"/>
      <c r="I14605" s="1"/>
      <c r="J14605" s="1"/>
      <c r="K14605" s="1"/>
      <c r="L14605" s="1"/>
      <c r="M14605" s="1"/>
      <c r="N14605" s="1"/>
      <c r="O14605" s="1"/>
      <c r="P14605" s="1"/>
      <c r="Q14605" s="1"/>
      <c r="R14605" s="1"/>
      <c r="S14605" s="1"/>
      <c r="T14605" s="1"/>
      <c r="U14605" s="1"/>
      <c r="V14605" s="1"/>
      <c r="W14605" s="1"/>
      <c r="X14605" s="1"/>
      <c r="Y14605" s="1"/>
      <c r="Z14605" s="1"/>
      <c r="AA14605" s="1"/>
      <c r="AB14605" s="1"/>
    </row>
    <row r="14606" ht="50.25" customHeight="1">
      <c r="A14606" s="12">
        <v>14602.0</v>
      </c>
      <c r="B14606" s="13" t="s">
        <v>13838</v>
      </c>
      <c r="C14606" s="14" t="s">
        <v>13842</v>
      </c>
      <c r="D14606" s="1"/>
      <c r="E14606" s="1"/>
      <c r="F14606" s="1" t="str">
        <f>IFERROR(__xludf.DUMMYFUNCTION("GOOGLETRANSLATE(B14606, ""en"", ""fa"")
"),"درآمد غیرفعال")</f>
        <v>درآمد غیرفعال</v>
      </c>
      <c r="G14606" s="1" t="str">
        <f>IFERROR(__xludf.DUMMYFUNCTION("GOOGLETRANSLATE(C14606, ""en"", ""fa"")
"),"پتانسیل سرمایه گذاری در پروژه های پزشکی و بهداشتی را از طریق پلتفرم های تامین مالی جمعی بررسی کنید.")</f>
        <v>پتانسیل سرمایه گذاری در پروژه های پزشکی و بهداشتی را از طریق پلتفرم های تامین مالی جمعی بررسی کنید.</v>
      </c>
      <c r="H14606" s="1"/>
      <c r="I14606" s="1"/>
      <c r="J14606" s="1"/>
      <c r="K14606" s="1"/>
      <c r="L14606" s="1"/>
      <c r="M14606" s="1"/>
      <c r="N14606" s="1"/>
      <c r="O14606" s="1"/>
      <c r="P14606" s="1"/>
      <c r="Q14606" s="1"/>
      <c r="R14606" s="1"/>
      <c r="S14606" s="1"/>
      <c r="T14606" s="1"/>
      <c r="U14606" s="1"/>
      <c r="V14606" s="1"/>
      <c r="W14606" s="1"/>
      <c r="X14606" s="1"/>
      <c r="Y14606" s="1"/>
      <c r="Z14606" s="1"/>
      <c r="AA14606" s="1"/>
      <c r="AB14606" s="1"/>
    </row>
    <row r="14607" ht="50.25" customHeight="1">
      <c r="A14607" s="12">
        <v>14603.0</v>
      </c>
      <c r="B14607" s="13" t="s">
        <v>13838</v>
      </c>
      <c r="C14607" s="14" t="s">
        <v>13843</v>
      </c>
      <c r="D14607" s="1"/>
      <c r="E14607" s="1"/>
      <c r="F14607" s="1" t="str">
        <f>IFERROR(__xludf.DUMMYFUNCTION("GOOGLETRANSLATE(B14607, ""en"", ""fa"")
"),"درآمد غیرفعال")</f>
        <v>درآمد غیرفعال</v>
      </c>
      <c r="G14607" s="1" t="str">
        <f>IFERROR(__xludf.DUMMYFUNCTION("GOOGLETRANSLATE(C14607, ""en"", ""fa"")
"),"سرمایه گذاران چگونه می توانند چشم انداز رقابتی و موقعیت بازار شرکت هایی را که به دنبال تامین مالی جمعی هستند ارزیابی کنند؟")</f>
        <v>سرمایه گذاران چگونه می توانند چشم انداز رقابتی و موقعیت بازار شرکت هایی را که به دنبال تامین مالی جمعی هستند ارزیابی کنند؟</v>
      </c>
      <c r="H14607" s="1"/>
      <c r="I14607" s="1"/>
      <c r="J14607" s="1"/>
      <c r="K14607" s="1"/>
      <c r="L14607" s="1"/>
      <c r="M14607" s="1"/>
      <c r="N14607" s="1"/>
      <c r="O14607" s="1"/>
      <c r="P14607" s="1"/>
      <c r="Q14607" s="1"/>
      <c r="R14607" s="1"/>
      <c r="S14607" s="1"/>
      <c r="T14607" s="1"/>
      <c r="U14607" s="1"/>
      <c r="V14607" s="1"/>
      <c r="W14607" s="1"/>
      <c r="X14607" s="1"/>
      <c r="Y14607" s="1"/>
      <c r="Z14607" s="1"/>
      <c r="AA14607" s="1"/>
      <c r="AB14607" s="1"/>
    </row>
    <row r="14608" ht="50.25" customHeight="1">
      <c r="A14608" s="12">
        <v>14604.0</v>
      </c>
      <c r="B14608" s="13" t="s">
        <v>13838</v>
      </c>
      <c r="C14608" s="14" t="s">
        <v>13844</v>
      </c>
      <c r="D14608" s="1"/>
      <c r="E14608" s="1"/>
      <c r="F14608" s="1" t="str">
        <f>IFERROR(__xludf.DUMMYFUNCTION("GOOGLETRANSLATE(B14608, ""en"", ""fa"")
"),"درآمد غیرفعال")</f>
        <v>درآمد غیرفعال</v>
      </c>
      <c r="G14608" s="1" t="str">
        <f>IFERROR(__xludf.DUMMYFUNCTION("GOOGLETRANSLATE(C14608, ""en"", ""fa"")
"),"در مورد اهمیت تعیین اهداف تامین مالی واقع بینانه و استفاده از استراتژی های بازاریابی موثر در کمپین های تامین مالی جمعی بحث کنید.")</f>
        <v>در مورد اهمیت تعیین اهداف تامین مالی واقع بینانه و استفاده از استراتژی های بازاریابی موثر در کمپین های تامین مالی جمعی بحث کنید.</v>
      </c>
      <c r="H14608" s="1"/>
      <c r="I14608" s="1"/>
      <c r="J14608" s="1"/>
      <c r="K14608" s="1"/>
      <c r="L14608" s="1"/>
      <c r="M14608" s="1"/>
      <c r="N14608" s="1"/>
      <c r="O14608" s="1"/>
      <c r="P14608" s="1"/>
      <c r="Q14608" s="1"/>
      <c r="R14608" s="1"/>
      <c r="S14608" s="1"/>
      <c r="T14608" s="1"/>
      <c r="U14608" s="1"/>
      <c r="V14608" s="1"/>
      <c r="W14608" s="1"/>
      <c r="X14608" s="1"/>
      <c r="Y14608" s="1"/>
      <c r="Z14608" s="1"/>
      <c r="AA14608" s="1"/>
      <c r="AB14608" s="1"/>
    </row>
    <row r="14609" ht="50.25" customHeight="1">
      <c r="A14609" s="12">
        <v>14605.0</v>
      </c>
      <c r="B14609" s="13" t="s">
        <v>13838</v>
      </c>
      <c r="C14609" s="14" t="s">
        <v>13845</v>
      </c>
      <c r="D14609" s="1"/>
      <c r="E14609" s="1"/>
      <c r="F14609" s="1" t="str">
        <f>IFERROR(__xludf.DUMMYFUNCTION("GOOGLETRANSLATE(B14609, ""en"", ""fa"")
"),"درآمد غیرفعال")</f>
        <v>درآمد غیرفعال</v>
      </c>
      <c r="G14609" s="1" t="str">
        <f>IFERROR(__xludf.DUMMYFUNCTION("GOOGLETRANSLATE(C14609, ""en"", ""fa"")
"),"با حمایت از کسب‌وکارها و پروژه‌های محلی، تأثیر سرمایه‌گذاری جمعی بر اقتصادها و جوامع محلی را بررسی کنید.")</f>
        <v>با حمایت از کسب‌وکارها و پروژه‌های محلی، تأثیر سرمایه‌گذاری جمعی بر اقتصادها و جوامع محلی را بررسی کنید.</v>
      </c>
      <c r="H14609" s="1"/>
      <c r="I14609" s="1"/>
      <c r="J14609" s="1"/>
      <c r="K14609" s="1"/>
      <c r="L14609" s="1"/>
      <c r="M14609" s="1"/>
      <c r="N14609" s="1"/>
      <c r="O14609" s="1"/>
      <c r="P14609" s="1"/>
      <c r="Q14609" s="1"/>
      <c r="R14609" s="1"/>
      <c r="S14609" s="1"/>
      <c r="T14609" s="1"/>
      <c r="U14609" s="1"/>
      <c r="V14609" s="1"/>
      <c r="W14609" s="1"/>
      <c r="X14609" s="1"/>
      <c r="Y14609" s="1"/>
      <c r="Z14609" s="1"/>
      <c r="AA14609" s="1"/>
      <c r="AB14609" s="1"/>
    </row>
    <row r="14610" ht="50.25" customHeight="1">
      <c r="A14610" s="12">
        <v>14606.0</v>
      </c>
      <c r="B14610" s="13" t="s">
        <v>13838</v>
      </c>
      <c r="C14610" s="14" t="s">
        <v>13846</v>
      </c>
      <c r="D14610" s="1"/>
      <c r="E14610" s="1"/>
      <c r="F14610" s="1" t="str">
        <f>IFERROR(__xludf.DUMMYFUNCTION("GOOGLETRANSLATE(B14610, ""en"", ""fa"")
"),"درآمد غیرفعال")</f>
        <v>درآمد غیرفعال</v>
      </c>
      <c r="G14610" s="1" t="str">
        <f>IFERROR(__xludf.DUMMYFUNCTION("GOOGLETRANSLATE(C14610, ""en"", ""fa"")
"),"سرمایه گذاران از چه استراتژی هایی می توانند برای شناسایی روندهای نوظهور و صنایعی که برای سرمایه گذاری های سرمایه گذاری جمعی مناسب هستند استفاده کنند؟")</f>
        <v>سرمایه گذاران از چه استراتژی هایی می توانند برای شناسایی روندهای نوظهور و صنایعی که برای سرمایه گذاری های سرمایه گذاری جمعی مناسب هستند استفاده کنند؟</v>
      </c>
      <c r="H14610" s="1"/>
      <c r="I14610" s="1"/>
      <c r="J14610" s="1"/>
      <c r="K14610" s="1"/>
      <c r="L14610" s="1"/>
      <c r="M14610" s="1"/>
      <c r="N14610" s="1"/>
      <c r="O14610" s="1"/>
      <c r="P14610" s="1"/>
      <c r="Q14610" s="1"/>
      <c r="R14610" s="1"/>
      <c r="S14610" s="1"/>
      <c r="T14610" s="1"/>
      <c r="U14610" s="1"/>
      <c r="V14610" s="1"/>
      <c r="W14610" s="1"/>
      <c r="X14610" s="1"/>
      <c r="Y14610" s="1"/>
      <c r="Z14610" s="1"/>
      <c r="AA14610" s="1"/>
      <c r="AB14610" s="1"/>
    </row>
    <row r="14611" ht="50.25" customHeight="1">
      <c r="A14611" s="12">
        <v>14607.0</v>
      </c>
      <c r="B14611" s="13" t="s">
        <v>13838</v>
      </c>
      <c r="C14611" s="14" t="s">
        <v>13847</v>
      </c>
      <c r="D14611" s="1"/>
      <c r="E14611" s="1"/>
      <c r="F14611" s="1" t="str">
        <f>IFERROR(__xludf.DUMMYFUNCTION("GOOGLETRANSLATE(B14611, ""en"", ""fa"")
"),"درآمد غیرفعال")</f>
        <v>درآمد غیرفعال</v>
      </c>
      <c r="G14611" s="1" t="str">
        <f>IFERROR(__xludf.DUMMYFUNCTION("GOOGLETRANSLATE(C14611, ""en"", ""fa"")
"),"مفهوم سرمایه‌گذاری جمعی سهام و نقش آن در اجازه دادن به سرمایه‌گذاران برای داشتن سهام در استارت‌آپ‌ها و شرکت‌های خصوصی را بررسی کنید.")</f>
        <v>مفهوم سرمایه‌گذاری جمعی سهام و نقش آن در اجازه دادن به سرمایه‌گذاران برای داشتن سهام در استارت‌آپ‌ها و شرکت‌های خصوصی را بررسی کنید.</v>
      </c>
      <c r="H14611" s="1"/>
      <c r="I14611" s="1"/>
      <c r="J14611" s="1"/>
      <c r="K14611" s="1"/>
      <c r="L14611" s="1"/>
      <c r="M14611" s="1"/>
      <c r="N14611" s="1"/>
      <c r="O14611" s="1"/>
      <c r="P14611" s="1"/>
      <c r="Q14611" s="1"/>
      <c r="R14611" s="1"/>
      <c r="S14611" s="1"/>
      <c r="T14611" s="1"/>
      <c r="U14611" s="1"/>
      <c r="V14611" s="1"/>
      <c r="W14611" s="1"/>
      <c r="X14611" s="1"/>
      <c r="Y14611" s="1"/>
      <c r="Z14611" s="1"/>
      <c r="AA14611" s="1"/>
      <c r="AB14611" s="1"/>
    </row>
    <row r="14612" ht="50.25" customHeight="1">
      <c r="A14612" s="12">
        <v>14608.0</v>
      </c>
      <c r="B14612" s="13" t="s">
        <v>13838</v>
      </c>
      <c r="C14612" s="14" t="s">
        <v>13848</v>
      </c>
      <c r="D14612" s="1"/>
      <c r="E14612" s="1"/>
      <c r="F14612" s="1" t="str">
        <f>IFERROR(__xludf.DUMMYFUNCTION("GOOGLETRANSLATE(B14612, ""en"", ""fa"")
"),"درآمد غیرفعال")</f>
        <v>درآمد غیرفعال</v>
      </c>
      <c r="G14612" s="1" t="str">
        <f>IFERROR(__xludf.DUMMYFUNCTION("GOOGLETRANSLATE(C14612, ""en"", ""fa"")
"),"در مورد پتانسیل سرمایه گذاری در پروژه های فناوری و نوآوری از طریق پلتفرم های تامین مالی جمعی بحث کنید.")</f>
        <v>در مورد پتانسیل سرمایه گذاری در پروژه های فناوری و نوآوری از طریق پلتفرم های تامین مالی جمعی بحث کنید.</v>
      </c>
      <c r="H14612" s="1"/>
      <c r="I14612" s="1"/>
      <c r="J14612" s="1"/>
      <c r="K14612" s="1"/>
      <c r="L14612" s="1"/>
      <c r="M14612" s="1"/>
      <c r="N14612" s="1"/>
      <c r="O14612" s="1"/>
      <c r="P14612" s="1"/>
      <c r="Q14612" s="1"/>
      <c r="R14612" s="1"/>
      <c r="S14612" s="1"/>
      <c r="T14612" s="1"/>
      <c r="U14612" s="1"/>
      <c r="V14612" s="1"/>
      <c r="W14612" s="1"/>
      <c r="X14612" s="1"/>
      <c r="Y14612" s="1"/>
      <c r="Z14612" s="1"/>
      <c r="AA14612" s="1"/>
      <c r="AB14612" s="1"/>
    </row>
    <row r="14613" ht="50.25" customHeight="1">
      <c r="A14613" s="12">
        <v>14609.0</v>
      </c>
      <c r="B14613" s="13" t="s">
        <v>13838</v>
      </c>
      <c r="C14613" s="14" t="s">
        <v>13849</v>
      </c>
      <c r="D14613" s="1"/>
      <c r="E14613" s="1"/>
      <c r="F14613" s="1" t="str">
        <f>IFERROR(__xludf.DUMMYFUNCTION("GOOGLETRANSLATE(B14613, ""en"", ""fa"")
"),"درآمد غیرفعال")</f>
        <v>درآمد غیرفعال</v>
      </c>
      <c r="G14613" s="1" t="str">
        <f>IFERROR(__xludf.DUMMYFUNCTION("GOOGLETRANSLATE(C14613, ""en"", ""fa"")
"),"سرمایه گذاران چگونه می توانند تیم مدیریت و رهبری شرکت هایی را که به دنبال تامین مالی جمعی هستند ارزیابی کنند؟")</f>
        <v>سرمایه گذاران چگونه می توانند تیم مدیریت و رهبری شرکت هایی را که به دنبال تامین مالی جمعی هستند ارزیابی کنند؟</v>
      </c>
      <c r="H14613" s="1"/>
      <c r="I14613" s="1"/>
      <c r="J14613" s="1"/>
      <c r="K14613" s="1"/>
      <c r="L14613" s="1"/>
      <c r="M14613" s="1"/>
      <c r="N14613" s="1"/>
      <c r="O14613" s="1"/>
      <c r="P14613" s="1"/>
      <c r="Q14613" s="1"/>
      <c r="R14613" s="1"/>
      <c r="S14613" s="1"/>
      <c r="T14613" s="1"/>
      <c r="U14613" s="1"/>
      <c r="V14613" s="1"/>
      <c r="W14613" s="1"/>
      <c r="X14613" s="1"/>
      <c r="Y14613" s="1"/>
      <c r="Z14613" s="1"/>
      <c r="AA14613" s="1"/>
      <c r="AB14613" s="1"/>
    </row>
    <row r="14614" ht="50.25" customHeight="1">
      <c r="A14614" s="12">
        <v>14610.0</v>
      </c>
      <c r="B14614" s="13" t="s">
        <v>13838</v>
      </c>
      <c r="C14614" s="14" t="s">
        <v>13850</v>
      </c>
      <c r="D14614" s="1"/>
      <c r="E14614" s="1"/>
      <c r="F14614" s="1" t="str">
        <f>IFERROR(__xludf.DUMMYFUNCTION("GOOGLETRANSLATE(B14614, ""en"", ""fa"")
"),"درآمد غیرفعال")</f>
        <v>درآمد غیرفعال</v>
      </c>
      <c r="G14614" s="1" t="str">
        <f>IFERROR(__xludf.DUMMYFUNCTION("GOOGLETRANSLATE(C14614, ""en"", ""fa"")
"),"در مورد مفهوم تامین مالی جمعی اجتماعی و نقش آن در جمع آوری سرمایه برای اهداف خیریه و پروژه های بشردوستانه بحث کنید.")</f>
        <v>در مورد مفهوم تامین مالی جمعی اجتماعی و نقش آن در جمع آوری سرمایه برای اهداف خیریه و پروژه های بشردوستانه بحث کنید.</v>
      </c>
      <c r="H14614" s="1"/>
      <c r="I14614" s="1"/>
      <c r="J14614" s="1"/>
      <c r="K14614" s="1"/>
      <c r="L14614" s="1"/>
      <c r="M14614" s="1"/>
      <c r="N14614" s="1"/>
      <c r="O14614" s="1"/>
      <c r="P14614" s="1"/>
      <c r="Q14614" s="1"/>
      <c r="R14614" s="1"/>
      <c r="S14614" s="1"/>
      <c r="T14614" s="1"/>
      <c r="U14614" s="1"/>
      <c r="V14614" s="1"/>
      <c r="W14614" s="1"/>
      <c r="X14614" s="1"/>
      <c r="Y14614" s="1"/>
      <c r="Z14614" s="1"/>
      <c r="AA14614" s="1"/>
      <c r="AB14614" s="1"/>
    </row>
    <row r="14615" ht="50.25" customHeight="1">
      <c r="A14615" s="12">
        <v>14611.0</v>
      </c>
      <c r="B14615" s="13" t="s">
        <v>13838</v>
      </c>
      <c r="C14615" s="14" t="s">
        <v>13851</v>
      </c>
      <c r="D14615" s="1"/>
      <c r="E14615" s="1"/>
      <c r="F14615" s="1" t="str">
        <f>IFERROR(__xludf.DUMMYFUNCTION("GOOGLETRANSLATE(B14615, ""en"", ""fa"")
"),"درآمد غیرفعال")</f>
        <v>درآمد غیرفعال</v>
      </c>
      <c r="G14615" s="1" t="str">
        <f>IFERROR(__xludf.DUMMYFUNCTION("GOOGLETRANSLATE(C14615, ""en"", ""fa"")
"),"چالش ها و ملاحظات بالقوه سرمایه گذاری در پروژه های تامین مالی جمعی با افق زمانی طولانی تر چیست؟")</f>
        <v>چالش ها و ملاحظات بالقوه سرمایه گذاری در پروژه های تامین مالی جمعی با افق زمانی طولانی تر چیست؟</v>
      </c>
      <c r="H14615" s="1"/>
      <c r="I14615" s="1"/>
      <c r="J14615" s="1"/>
      <c r="K14615" s="1"/>
      <c r="L14615" s="1"/>
      <c r="M14615" s="1"/>
      <c r="N14615" s="1"/>
      <c r="O14615" s="1"/>
      <c r="P14615" s="1"/>
      <c r="Q14615" s="1"/>
      <c r="R14615" s="1"/>
      <c r="S14615" s="1"/>
      <c r="T14615" s="1"/>
      <c r="U14615" s="1"/>
      <c r="V14615" s="1"/>
      <c r="W14615" s="1"/>
      <c r="X14615" s="1"/>
      <c r="Y14615" s="1"/>
      <c r="Z14615" s="1"/>
      <c r="AA14615" s="1"/>
      <c r="AB14615" s="1"/>
    </row>
    <row r="14616" ht="50.25" customHeight="1">
      <c r="A14616" s="12">
        <v>14612.0</v>
      </c>
      <c r="B14616" s="13" t="s">
        <v>13838</v>
      </c>
      <c r="C14616" s="14" t="s">
        <v>13852</v>
      </c>
      <c r="D14616" s="1"/>
      <c r="E14616" s="1"/>
      <c r="F14616" s="1" t="str">
        <f>IFERROR(__xludf.DUMMYFUNCTION("GOOGLETRANSLATE(B14616, ""en"", ""fa"")
"),"درآمد غیرفعال")</f>
        <v>درآمد غیرفعال</v>
      </c>
      <c r="G14616" s="1" t="str">
        <f>IFERROR(__xludf.DUMMYFUNCTION("GOOGLETRANSLATE(C14616, ""en"", ""fa"")
"),"تاثیر داستان سرایی و ارتباط عاطفی در جلب علاقه سرمایه گذاران و مشارکت در کمپین های تامین مالی جمعی را بررسی کنید.")</f>
        <v>تاثیر داستان سرایی و ارتباط عاطفی در جلب علاقه سرمایه گذاران و مشارکت در کمپین های تامین مالی جمعی را بررسی کنید.</v>
      </c>
      <c r="H14616" s="1"/>
      <c r="I14616" s="1"/>
      <c r="J14616" s="1"/>
      <c r="K14616" s="1"/>
      <c r="L14616" s="1"/>
      <c r="M14616" s="1"/>
      <c r="N14616" s="1"/>
      <c r="O14616" s="1"/>
      <c r="P14616" s="1"/>
      <c r="Q14616" s="1"/>
      <c r="R14616" s="1"/>
      <c r="S14616" s="1"/>
      <c r="T14616" s="1"/>
      <c r="U14616" s="1"/>
      <c r="V14616" s="1"/>
      <c r="W14616" s="1"/>
      <c r="X14616" s="1"/>
      <c r="Y14616" s="1"/>
      <c r="Z14616" s="1"/>
      <c r="AA14616" s="1"/>
      <c r="AB14616" s="1"/>
    </row>
    <row r="14617" ht="50.25" customHeight="1">
      <c r="A14617" s="12">
        <v>14613.0</v>
      </c>
      <c r="B14617" s="13" t="s">
        <v>13838</v>
      </c>
      <c r="C14617" s="14" t="s">
        <v>13853</v>
      </c>
      <c r="D14617" s="1"/>
      <c r="E14617" s="1"/>
      <c r="F14617" s="1" t="str">
        <f>IFERROR(__xludf.DUMMYFUNCTION("GOOGLETRANSLATE(B14617, ""en"", ""fa"")
"),"درآمد غیرفعال")</f>
        <v>درآمد غیرفعال</v>
      </c>
      <c r="G14617" s="1" t="str">
        <f>IFERROR(__xludf.DUMMYFUNCTION("GOOGLETRANSLATE(C14617, ""en"", ""fa"")
"),"سرمایه گذاران چگونه می توانند مقیاس پذیری و پتانسیل رشد شرکت هایی را که به دنبال تامین مالی جمعی برای توسعه هستند ارزیابی کنند؟")</f>
        <v>سرمایه گذاران چگونه می توانند مقیاس پذیری و پتانسیل رشد شرکت هایی را که به دنبال تامین مالی جمعی برای توسعه هستند ارزیابی کنند؟</v>
      </c>
      <c r="H14617" s="1"/>
      <c r="I14617" s="1"/>
      <c r="J14617" s="1"/>
      <c r="K14617" s="1"/>
      <c r="L14617" s="1"/>
      <c r="M14617" s="1"/>
      <c r="N14617" s="1"/>
      <c r="O14617" s="1"/>
      <c r="P14617" s="1"/>
      <c r="Q14617" s="1"/>
      <c r="R14617" s="1"/>
      <c r="S14617" s="1"/>
      <c r="T14617" s="1"/>
      <c r="U14617" s="1"/>
      <c r="V14617" s="1"/>
      <c r="W14617" s="1"/>
      <c r="X14617" s="1"/>
      <c r="Y14617" s="1"/>
      <c r="Z14617" s="1"/>
      <c r="AA14617" s="1"/>
      <c r="AB14617" s="1"/>
    </row>
    <row r="14618" ht="50.25" customHeight="1">
      <c r="A14618" s="12">
        <v>14614.0</v>
      </c>
      <c r="B14618" s="13" t="s">
        <v>13838</v>
      </c>
      <c r="C14618" s="14" t="s">
        <v>13854</v>
      </c>
      <c r="D14618" s="1"/>
      <c r="E14618" s="1"/>
      <c r="F14618" s="1" t="str">
        <f>IFERROR(__xludf.DUMMYFUNCTION("GOOGLETRANSLATE(B14618, ""en"", ""fa"")
"),"درآمد غیرفعال")</f>
        <v>درآمد غیرفعال</v>
      </c>
      <c r="G14618" s="1" t="str">
        <f>IFERROR(__xludf.DUMMYFUNCTION("GOOGLETRANSLATE(C14618, ""en"", ""fa"")
"),"درباره اهمیت انجام بررسی‌های پیشینه کامل و تأیید مشروعیت فرصت‌های تأمین مالی جمعی بحث کنید.")</f>
        <v>درباره اهمیت انجام بررسی‌های پیشینه کامل و تأیید مشروعیت فرصت‌های تأمین مالی جمعی بحث کنید.</v>
      </c>
      <c r="H14618" s="1"/>
      <c r="I14618" s="1"/>
      <c r="J14618" s="1"/>
      <c r="K14618" s="1"/>
      <c r="L14618" s="1"/>
      <c r="M14618" s="1"/>
      <c r="N14618" s="1"/>
      <c r="O14618" s="1"/>
      <c r="P14618" s="1"/>
      <c r="Q14618" s="1"/>
      <c r="R14618" s="1"/>
      <c r="S14618" s="1"/>
      <c r="T14618" s="1"/>
      <c r="U14618" s="1"/>
      <c r="V14618" s="1"/>
      <c r="W14618" s="1"/>
      <c r="X14618" s="1"/>
      <c r="Y14618" s="1"/>
      <c r="Z14618" s="1"/>
      <c r="AA14618" s="1"/>
      <c r="AB14618" s="1"/>
    </row>
    <row r="14619" ht="50.25" customHeight="1">
      <c r="A14619" s="12">
        <v>14615.0</v>
      </c>
      <c r="B14619" s="13" t="s">
        <v>13838</v>
      </c>
      <c r="C14619" s="14" t="s">
        <v>13855</v>
      </c>
      <c r="D14619" s="1"/>
      <c r="E14619" s="1"/>
      <c r="F14619" s="1" t="str">
        <f>IFERROR(__xludf.DUMMYFUNCTION("GOOGLETRANSLATE(B14619, ""en"", ""fa"")
"),"درآمد غیرفعال")</f>
        <v>درآمد غیرفعال</v>
      </c>
      <c r="G14619" s="1" t="str">
        <f>IFERROR(__xludf.DUMMYFUNCTION("GOOGLETRANSLATE(C14619, ""en"", ""fa"")
"),"پتانسیل سرمایه گذاری در پروژه های سرگرمی و رسانه ای را از طریق پلتفرم های تامین مالی جمعی بررسی کنید.")</f>
        <v>پتانسیل سرمایه گذاری در پروژه های سرگرمی و رسانه ای را از طریق پلتفرم های تامین مالی جمعی بررسی کنید.</v>
      </c>
      <c r="H14619" s="1"/>
      <c r="I14619" s="1"/>
      <c r="J14619" s="1"/>
      <c r="K14619" s="1"/>
      <c r="L14619" s="1"/>
      <c r="M14619" s="1"/>
      <c r="N14619" s="1"/>
      <c r="O14619" s="1"/>
      <c r="P14619" s="1"/>
      <c r="Q14619" s="1"/>
      <c r="R14619" s="1"/>
      <c r="S14619" s="1"/>
      <c r="T14619" s="1"/>
      <c r="U14619" s="1"/>
      <c r="V14619" s="1"/>
      <c r="W14619" s="1"/>
      <c r="X14619" s="1"/>
      <c r="Y14619" s="1"/>
      <c r="Z14619" s="1"/>
      <c r="AA14619" s="1"/>
      <c r="AB14619" s="1"/>
    </row>
    <row r="14620" ht="50.25" customHeight="1">
      <c r="A14620" s="12">
        <v>14616.0</v>
      </c>
      <c r="B14620" s="13" t="s">
        <v>13838</v>
      </c>
      <c r="C14620" s="14" t="s">
        <v>13856</v>
      </c>
      <c r="D14620" s="1"/>
      <c r="E14620" s="1"/>
      <c r="F14620" s="1" t="str">
        <f>IFERROR(__xludf.DUMMYFUNCTION("GOOGLETRANSLATE(B14620, ""en"", ""fa"")
"),"درآمد غیرفعال")</f>
        <v>درآمد غیرفعال</v>
      </c>
      <c r="G14620" s="1" t="str">
        <f>IFERROR(__xludf.DUMMYFUNCTION("GOOGLETRANSLATE(C14620, ""en"", ""fa"")
"),"سرمایه گذاران از چه استراتژی هایی می توانند برای مدیریت ریسک ها و عدم قطعیت های بالقوه مرتبط با سرمایه گذاری های تامین مالی جمعی استفاده کنند؟")</f>
        <v>سرمایه گذاران از چه استراتژی هایی می توانند برای مدیریت ریسک ها و عدم قطعیت های بالقوه مرتبط با سرمایه گذاری های تامین مالی جمعی استفاده کنند؟</v>
      </c>
      <c r="H14620" s="1"/>
      <c r="I14620" s="1"/>
      <c r="J14620" s="1"/>
      <c r="K14620" s="1"/>
      <c r="L14620" s="1"/>
      <c r="M14620" s="1"/>
      <c r="N14620" s="1"/>
      <c r="O14620" s="1"/>
      <c r="P14620" s="1"/>
      <c r="Q14620" s="1"/>
      <c r="R14620" s="1"/>
      <c r="S14620" s="1"/>
      <c r="T14620" s="1"/>
      <c r="U14620" s="1"/>
      <c r="V14620" s="1"/>
      <c r="W14620" s="1"/>
      <c r="X14620" s="1"/>
      <c r="Y14620" s="1"/>
      <c r="Z14620" s="1"/>
      <c r="AA14620" s="1"/>
      <c r="AB14620" s="1"/>
    </row>
    <row r="14621" ht="50.25" customHeight="1">
      <c r="A14621" s="12">
        <v>14617.0</v>
      </c>
      <c r="B14621" s="13" t="s">
        <v>13838</v>
      </c>
      <c r="C14621" s="14" t="s">
        <v>13857</v>
      </c>
      <c r="D14621" s="1"/>
      <c r="E14621" s="1"/>
      <c r="F14621" s="1" t="str">
        <f>IFERROR(__xludf.DUMMYFUNCTION("GOOGLETRANSLATE(B14621, ""en"", ""fa"")
"),"درآمد غیرفعال")</f>
        <v>درآمد غیرفعال</v>
      </c>
      <c r="G14621" s="1" t="str">
        <f>IFERROR(__xludf.DUMMYFUNCTION("GOOGLETRANSLATE(C14621, ""en"", ""fa"")
"),"مفهوم سرمایه گذاری جمعی در پروژه های املاک و مستغلات را به عنوان راهی برای دسترسی به سرمایه گذاری های املاک و مستغلات بدون مالکیت مستقیم بررسی کنید.")</f>
        <v>مفهوم سرمایه گذاری جمعی در پروژه های املاک و مستغلات را به عنوان راهی برای دسترسی به سرمایه گذاری های املاک و مستغلات بدون مالکیت مستقیم بررسی کنید.</v>
      </c>
      <c r="H14621" s="1"/>
      <c r="I14621" s="1"/>
      <c r="J14621" s="1"/>
      <c r="K14621" s="1"/>
      <c r="L14621" s="1"/>
      <c r="M14621" s="1"/>
      <c r="N14621" s="1"/>
      <c r="O14621" s="1"/>
      <c r="P14621" s="1"/>
      <c r="Q14621" s="1"/>
      <c r="R14621" s="1"/>
      <c r="S14621" s="1"/>
      <c r="T14621" s="1"/>
      <c r="U14621" s="1"/>
      <c r="V14621" s="1"/>
      <c r="W14621" s="1"/>
      <c r="X14621" s="1"/>
      <c r="Y14621" s="1"/>
      <c r="Z14621" s="1"/>
      <c r="AA14621" s="1"/>
      <c r="AB14621" s="1"/>
    </row>
    <row r="14622" ht="50.25" customHeight="1">
      <c r="A14622" s="12">
        <v>14618.0</v>
      </c>
      <c r="B14622" s="13" t="s">
        <v>13838</v>
      </c>
      <c r="C14622" s="14" t="s">
        <v>13858</v>
      </c>
      <c r="D14622" s="1"/>
      <c r="E14622" s="1"/>
      <c r="F14622" s="1" t="str">
        <f>IFERROR(__xludf.DUMMYFUNCTION("GOOGLETRANSLATE(B14622, ""en"", ""fa"")
"),"درآمد غیرفعال")</f>
        <v>درآمد غیرفعال</v>
      </c>
      <c r="G14622" s="1" t="str">
        <f>IFERROR(__xludf.DUMMYFUNCTION("GOOGLETRANSLATE(C14622, ""en"", ""fa"")
"),"در مورد نقش پلتفرم‌های بررسی دقیق و مکانیسم‌های حفاظت از سرمایه‌گذار در اکوسیستم تامین مالی جمعی بحث کنید.")</f>
        <v>در مورد نقش پلتفرم‌های بررسی دقیق و مکانیسم‌های حفاظت از سرمایه‌گذار در اکوسیستم تامین مالی جمعی بحث کنید.</v>
      </c>
      <c r="H14622" s="1"/>
      <c r="I14622" s="1"/>
      <c r="J14622" s="1"/>
      <c r="K14622" s="1"/>
      <c r="L14622" s="1"/>
      <c r="M14622" s="1"/>
      <c r="N14622" s="1"/>
      <c r="O14622" s="1"/>
      <c r="P14622" s="1"/>
      <c r="Q14622" s="1"/>
      <c r="R14622" s="1"/>
      <c r="S14622" s="1"/>
      <c r="T14622" s="1"/>
      <c r="U14622" s="1"/>
      <c r="V14622" s="1"/>
      <c r="W14622" s="1"/>
      <c r="X14622" s="1"/>
      <c r="Y14622" s="1"/>
      <c r="Z14622" s="1"/>
      <c r="AA14622" s="1"/>
      <c r="AB14622" s="1"/>
    </row>
    <row r="14623" ht="50.25" customHeight="1">
      <c r="A14623" s="12">
        <v>14619.0</v>
      </c>
      <c r="B14623" s="13" t="s">
        <v>13838</v>
      </c>
      <c r="C14623" s="14" t="s">
        <v>13859</v>
      </c>
      <c r="D14623" s="1"/>
      <c r="E14623" s="1"/>
      <c r="F14623" s="1" t="str">
        <f>IFERROR(__xludf.DUMMYFUNCTION("GOOGLETRANSLATE(B14623, ""en"", ""fa"")
"),"درآمد غیرفعال")</f>
        <v>درآمد غیرفعال</v>
      </c>
      <c r="G14623" s="1" t="str">
        <f>IFERROR(__xludf.DUMMYFUNCTION("GOOGLETRANSLATE(C14623, ""en"", ""fa"")
"),"سرمایه گذاران چگونه می توانند تقاضای بازار و علاقه مصرف کنندگان را برای محصولات و خدماتی که به دنبال تامین مالی جمعی هستند، ارزیابی کنند؟")</f>
        <v>سرمایه گذاران چگونه می توانند تقاضای بازار و علاقه مصرف کنندگان را برای محصولات و خدماتی که به دنبال تامین مالی جمعی هستند، ارزیابی کنند؟</v>
      </c>
      <c r="H14623" s="1"/>
      <c r="I14623" s="1"/>
      <c r="J14623" s="1"/>
      <c r="K14623" s="1"/>
      <c r="L14623" s="1"/>
      <c r="M14623" s="1"/>
      <c r="N14623" s="1"/>
      <c r="O14623" s="1"/>
      <c r="P14623" s="1"/>
      <c r="Q14623" s="1"/>
      <c r="R14623" s="1"/>
      <c r="S14623" s="1"/>
      <c r="T14623" s="1"/>
      <c r="U14623" s="1"/>
      <c r="V14623" s="1"/>
      <c r="W14623" s="1"/>
      <c r="X14623" s="1"/>
      <c r="Y14623" s="1"/>
      <c r="Z14623" s="1"/>
      <c r="AA14623" s="1"/>
      <c r="AB14623" s="1"/>
    </row>
    <row r="14624" ht="50.25" customHeight="1">
      <c r="A14624" s="12">
        <v>14620.0</v>
      </c>
      <c r="B14624" s="13" t="s">
        <v>13838</v>
      </c>
      <c r="C14624" s="14" t="s">
        <v>13860</v>
      </c>
      <c r="D14624" s="1"/>
      <c r="E14624" s="1"/>
      <c r="F14624" s="1" t="str">
        <f>IFERROR(__xludf.DUMMYFUNCTION("GOOGLETRANSLATE(B14624, ""en"", ""fa"")
"),"درآمد غیرفعال")</f>
        <v>درآمد غیرفعال</v>
      </c>
      <c r="G14624" s="1" t="str">
        <f>IFERROR(__xludf.DUMMYFUNCTION("GOOGLETRANSLATE(C14624, ""en"", ""fa"")
"),"در مورد مفهوم تامین مالی جمعی بشردوستانه و نقش آن در جمع آوری سرمایه برای سازمان های غیرانتفاعی و طرح های اجتماعی بحث کنید.")</f>
        <v>در مورد مفهوم تامین مالی جمعی بشردوستانه و نقش آن در جمع آوری سرمایه برای سازمان های غیرانتفاعی و طرح های اجتماعی بحث کنید.</v>
      </c>
      <c r="H14624" s="1"/>
      <c r="I14624" s="1"/>
      <c r="J14624" s="1"/>
      <c r="K14624" s="1"/>
      <c r="L14624" s="1"/>
      <c r="M14624" s="1"/>
      <c r="N14624" s="1"/>
      <c r="O14624" s="1"/>
      <c r="P14624" s="1"/>
      <c r="Q14624" s="1"/>
      <c r="R14624" s="1"/>
      <c r="S14624" s="1"/>
      <c r="T14624" s="1"/>
      <c r="U14624" s="1"/>
      <c r="V14624" s="1"/>
      <c r="W14624" s="1"/>
      <c r="X14624" s="1"/>
      <c r="Y14624" s="1"/>
      <c r="Z14624" s="1"/>
      <c r="AA14624" s="1"/>
      <c r="AB14624" s="1"/>
    </row>
    <row r="14625" ht="50.25" customHeight="1">
      <c r="A14625" s="12">
        <v>14621.0</v>
      </c>
      <c r="B14625" s="13" t="s">
        <v>13838</v>
      </c>
      <c r="C14625" s="14" t="s">
        <v>13861</v>
      </c>
      <c r="D14625" s="1"/>
      <c r="E14625" s="1"/>
      <c r="F14625" s="1" t="str">
        <f>IFERROR(__xludf.DUMMYFUNCTION("GOOGLETRANSLATE(B14625, ""en"", ""fa"")
"),"درآمد غیرفعال")</f>
        <v>درآمد غیرفعال</v>
      </c>
      <c r="G14625" s="1" t="str">
        <f>IFERROR(__xludf.DUMMYFUNCTION("GOOGLETRANSLATE(C14625, ""en"", ""fa"")
"),"بازخورد و مشارکت سرمایه گذاران چه نقشی در شکل دادن به جهت پروژه های تامین مالی جمعی ایفا می کند؟")</f>
        <v>بازخورد و مشارکت سرمایه گذاران چه نقشی در شکل دادن به جهت پروژه های تامین مالی جمعی ایفا می کند؟</v>
      </c>
      <c r="H14625" s="1"/>
      <c r="I14625" s="1"/>
      <c r="J14625" s="1"/>
      <c r="K14625" s="1"/>
      <c r="L14625" s="1"/>
      <c r="M14625" s="1"/>
      <c r="N14625" s="1"/>
      <c r="O14625" s="1"/>
      <c r="P14625" s="1"/>
      <c r="Q14625" s="1"/>
      <c r="R14625" s="1"/>
      <c r="S14625" s="1"/>
      <c r="T14625" s="1"/>
      <c r="U14625" s="1"/>
      <c r="V14625" s="1"/>
      <c r="W14625" s="1"/>
      <c r="X14625" s="1"/>
      <c r="Y14625" s="1"/>
      <c r="Z14625" s="1"/>
      <c r="AA14625" s="1"/>
      <c r="AB14625" s="1"/>
    </row>
    <row r="14626" ht="50.25" customHeight="1">
      <c r="A14626" s="12">
        <v>14622.0</v>
      </c>
      <c r="B14626" s="13" t="s">
        <v>13838</v>
      </c>
      <c r="C14626" s="14" t="s">
        <v>13862</v>
      </c>
      <c r="D14626" s="1"/>
      <c r="E14626" s="1"/>
      <c r="F14626" s="1" t="str">
        <f>IFERROR(__xludf.DUMMYFUNCTION("GOOGLETRANSLATE(B14626, ""en"", ""fa"")
"),"درآمد غیرفعال")</f>
        <v>درآمد غیرفعال</v>
      </c>
      <c r="G14626" s="1" t="str">
        <f>IFERROR(__xludf.DUMMYFUNCTION("GOOGLETRANSLATE(C14626, ""en"", ""fa"")
"),"پتانسیل سرمایه گذاری در کشاورزی و پروژه های کشاورزی پایدار را از طریق پلتفرم های تامین مالی جمعی بررسی کنید.")</f>
        <v>پتانسیل سرمایه گذاری در کشاورزی و پروژه های کشاورزی پایدار را از طریق پلتفرم های تامین مالی جمعی بررسی کنید.</v>
      </c>
      <c r="H14626" s="1"/>
      <c r="I14626" s="1"/>
      <c r="J14626" s="1"/>
      <c r="K14626" s="1"/>
      <c r="L14626" s="1"/>
      <c r="M14626" s="1"/>
      <c r="N14626" s="1"/>
      <c r="O14626" s="1"/>
      <c r="P14626" s="1"/>
      <c r="Q14626" s="1"/>
      <c r="R14626" s="1"/>
      <c r="S14626" s="1"/>
      <c r="T14626" s="1"/>
      <c r="U14626" s="1"/>
      <c r="V14626" s="1"/>
      <c r="W14626" s="1"/>
      <c r="X14626" s="1"/>
      <c r="Y14626" s="1"/>
      <c r="Z14626" s="1"/>
      <c r="AA14626" s="1"/>
      <c r="AB14626" s="1"/>
    </row>
    <row r="14627" ht="50.25" customHeight="1">
      <c r="A14627" s="12">
        <v>14623.0</v>
      </c>
      <c r="B14627" s="13" t="s">
        <v>13838</v>
      </c>
      <c r="C14627" s="14" t="s">
        <v>13863</v>
      </c>
      <c r="D14627" s="1"/>
      <c r="E14627" s="1"/>
      <c r="F14627" s="1" t="str">
        <f>IFERROR(__xludf.DUMMYFUNCTION("GOOGLETRANSLATE(B14627, ""en"", ""fa"")
"),"درآمد غیرفعال")</f>
        <v>درآمد غیرفعال</v>
      </c>
      <c r="G14627" s="1" t="str">
        <f>IFERROR(__xludf.DUMMYFUNCTION("GOOGLETRANSLATE(C14627, ""en"", ""fa"")
"),"سرمایه گذاران چگونه می توانند دارایی معنوی و پتانسیل نوآوری شرکت هایی که به دنبال تامین مالی جمعی هستند را ارزیابی کنند؟")</f>
        <v>سرمایه گذاران چگونه می توانند دارایی معنوی و پتانسیل نوآوری شرکت هایی که به دنبال تامین مالی جمعی هستند را ارزیابی کنند؟</v>
      </c>
      <c r="H14627" s="1"/>
      <c r="I14627" s="1"/>
      <c r="J14627" s="1"/>
      <c r="K14627" s="1"/>
      <c r="L14627" s="1"/>
      <c r="M14627" s="1"/>
      <c r="N14627" s="1"/>
      <c r="O14627" s="1"/>
      <c r="P14627" s="1"/>
      <c r="Q14627" s="1"/>
      <c r="R14627" s="1"/>
      <c r="S14627" s="1"/>
      <c r="T14627" s="1"/>
      <c r="U14627" s="1"/>
      <c r="V14627" s="1"/>
      <c r="W14627" s="1"/>
      <c r="X14627" s="1"/>
      <c r="Y14627" s="1"/>
      <c r="Z14627" s="1"/>
      <c r="AA14627" s="1"/>
      <c r="AB14627" s="1"/>
    </row>
    <row r="14628" ht="50.25" customHeight="1">
      <c r="A14628" s="12">
        <v>14624.0</v>
      </c>
      <c r="B14628" s="13" t="s">
        <v>13838</v>
      </c>
      <c r="C14628" s="14" t="s">
        <v>13864</v>
      </c>
      <c r="D14628" s="1"/>
      <c r="E14628" s="1"/>
      <c r="F14628" s="1" t="str">
        <f>IFERROR(__xludf.DUMMYFUNCTION("GOOGLETRANSLATE(B14628, ""en"", ""fa"")
"),"درآمد غیرفعال")</f>
        <v>درآمد غیرفعال</v>
      </c>
      <c r="G14628" s="1" t="str">
        <f>IFERROR(__xludf.DUMMYFUNCTION("GOOGLETRANSLATE(C14628, ""en"", ""fa"")
"),"در مورد اهمیت ارتباط شفاف و شفاف بین سازندگان پروژه و سرمایه گذاران در کمپین های تامین مالی جمعی بحث کنید.")</f>
        <v>در مورد اهمیت ارتباط شفاف و شفاف بین سازندگان پروژه و سرمایه گذاران در کمپین های تامین مالی جمعی بحث کنید.</v>
      </c>
      <c r="H14628" s="1"/>
      <c r="I14628" s="1"/>
      <c r="J14628" s="1"/>
      <c r="K14628" s="1"/>
      <c r="L14628" s="1"/>
      <c r="M14628" s="1"/>
      <c r="N14628" s="1"/>
      <c r="O14628" s="1"/>
      <c r="P14628" s="1"/>
      <c r="Q14628" s="1"/>
      <c r="R14628" s="1"/>
      <c r="S14628" s="1"/>
      <c r="T14628" s="1"/>
      <c r="U14628" s="1"/>
      <c r="V14628" s="1"/>
      <c r="W14628" s="1"/>
      <c r="X14628" s="1"/>
      <c r="Y14628" s="1"/>
      <c r="Z14628" s="1"/>
      <c r="AA14628" s="1"/>
      <c r="AB14628" s="1"/>
    </row>
    <row r="14629" ht="50.25" customHeight="1">
      <c r="A14629" s="12">
        <v>14625.0</v>
      </c>
      <c r="B14629" s="13" t="s">
        <v>13838</v>
      </c>
      <c r="C14629" s="14" t="s">
        <v>13865</v>
      </c>
      <c r="D14629" s="1"/>
      <c r="E14629" s="1"/>
      <c r="F14629" s="1" t="str">
        <f>IFERROR(__xludf.DUMMYFUNCTION("GOOGLETRANSLATE(B14629, ""en"", ""fa"")
"),"درآمد غیرفعال")</f>
        <v>درآمد غیرفعال</v>
      </c>
      <c r="G14629" s="1" t="str">
        <f>IFERROR(__xludf.DUMMYFUNCTION("GOOGLETRANSLATE(C14629, ""en"", ""fa"")
"),"تأثیر چارچوب‌های نظارتی و الزامات انطباق بر عملکرد پلتفرم‌های تأمین مالی جمعی را بررسی کنید.")</f>
        <v>تأثیر چارچوب‌های نظارتی و الزامات انطباق بر عملکرد پلتفرم‌های تأمین مالی جمعی را بررسی کنید.</v>
      </c>
      <c r="H14629" s="1"/>
      <c r="I14629" s="1"/>
      <c r="J14629" s="1"/>
      <c r="K14629" s="1"/>
      <c r="L14629" s="1"/>
      <c r="M14629" s="1"/>
      <c r="N14629" s="1"/>
      <c r="O14629" s="1"/>
      <c r="P14629" s="1"/>
      <c r="Q14629" s="1"/>
      <c r="R14629" s="1"/>
      <c r="S14629" s="1"/>
      <c r="T14629" s="1"/>
      <c r="U14629" s="1"/>
      <c r="V14629" s="1"/>
      <c r="W14629" s="1"/>
      <c r="X14629" s="1"/>
      <c r="Y14629" s="1"/>
      <c r="Z14629" s="1"/>
      <c r="AA14629" s="1"/>
      <c r="AB14629" s="1"/>
    </row>
    <row r="14630" ht="50.25" customHeight="1">
      <c r="A14630" s="12">
        <v>14626.0</v>
      </c>
      <c r="B14630" s="13" t="s">
        <v>13838</v>
      </c>
      <c r="C14630" s="14" t="s">
        <v>13866</v>
      </c>
      <c r="D14630" s="1"/>
      <c r="E14630" s="1"/>
      <c r="F14630" s="1" t="str">
        <f>IFERROR(__xludf.DUMMYFUNCTION("GOOGLETRANSLATE(B14630, ""en"", ""fa"")
"),"درآمد غیرفعال")</f>
        <v>درآمد غیرفعال</v>
      </c>
      <c r="G14630" s="1" t="str">
        <f>IFERROR(__xludf.DUMMYFUNCTION("GOOGLETRANSLATE(C14630, ""en"", ""fa"")
"),"سرمایه گذاران از چه استراتژی هایی می توانند برای ارزیابی چشم انداز رقابتی و موقعیت بازار شرکت هایی که به دنبال تامین مالی جمعی هستند استفاده کنند؟")</f>
        <v>سرمایه گذاران از چه استراتژی هایی می توانند برای ارزیابی چشم انداز رقابتی و موقعیت بازار شرکت هایی که به دنبال تامین مالی جمعی هستند استفاده کنند؟</v>
      </c>
      <c r="H14630" s="1"/>
      <c r="I14630" s="1"/>
      <c r="J14630" s="1"/>
      <c r="K14630" s="1"/>
      <c r="L14630" s="1"/>
      <c r="M14630" s="1"/>
      <c r="N14630" s="1"/>
      <c r="O14630" s="1"/>
      <c r="P14630" s="1"/>
      <c r="Q14630" s="1"/>
      <c r="R14630" s="1"/>
      <c r="S14630" s="1"/>
      <c r="T14630" s="1"/>
      <c r="U14630" s="1"/>
      <c r="V14630" s="1"/>
      <c r="W14630" s="1"/>
      <c r="X14630" s="1"/>
      <c r="Y14630" s="1"/>
      <c r="Z14630" s="1"/>
      <c r="AA14630" s="1"/>
      <c r="AB14630" s="1"/>
    </row>
    <row r="14631" ht="50.25" customHeight="1">
      <c r="A14631" s="12">
        <v>14627.0</v>
      </c>
      <c r="B14631" s="13" t="s">
        <v>13838</v>
      </c>
      <c r="C14631" s="14" t="s">
        <v>13867</v>
      </c>
      <c r="D14631" s="1"/>
      <c r="E14631" s="1"/>
      <c r="F14631" s="1" t="str">
        <f>IFERROR(__xludf.DUMMYFUNCTION("GOOGLETRANSLATE(B14631, ""en"", ""fa"")
"),"درآمد غیرفعال")</f>
        <v>درآمد غیرفعال</v>
      </c>
      <c r="G14631" s="1" t="str">
        <f>IFERROR(__xludf.DUMMYFUNCTION("GOOGLETRANSLATE(C14631, ""en"", ""fa"")
"),"مفهوم سرمایه‌گذاری‌های بدهی املاک و مستغلات با سرمایه‌گذاری جمعی و نقش آن‌ها در تأمین مالی تملک دارایی را بررسی کنید.")</f>
        <v>مفهوم سرمایه‌گذاری‌های بدهی املاک و مستغلات با سرمایه‌گذاری جمعی و نقش آن‌ها در تأمین مالی تملک دارایی را بررسی کنید.</v>
      </c>
      <c r="H14631" s="1"/>
      <c r="I14631" s="1"/>
      <c r="J14631" s="1"/>
      <c r="K14631" s="1"/>
      <c r="L14631" s="1"/>
      <c r="M14631" s="1"/>
      <c r="N14631" s="1"/>
      <c r="O14631" s="1"/>
      <c r="P14631" s="1"/>
      <c r="Q14631" s="1"/>
      <c r="R14631" s="1"/>
      <c r="S14631" s="1"/>
      <c r="T14631" s="1"/>
      <c r="U14631" s="1"/>
      <c r="V14631" s="1"/>
      <c r="W14631" s="1"/>
      <c r="X14631" s="1"/>
      <c r="Y14631" s="1"/>
      <c r="Z14631" s="1"/>
      <c r="AA14631" s="1"/>
      <c r="AB14631" s="1"/>
    </row>
    <row r="14632" ht="50.25" customHeight="1">
      <c r="A14632" s="12">
        <v>14628.0</v>
      </c>
      <c r="B14632" s="13" t="s">
        <v>13838</v>
      </c>
      <c r="C14632" s="14" t="s">
        <v>13868</v>
      </c>
      <c r="D14632" s="1"/>
      <c r="E14632" s="1"/>
      <c r="F14632" s="1" t="str">
        <f>IFERROR(__xludf.DUMMYFUNCTION("GOOGLETRANSLATE(B14632, ""en"", ""fa"")
"),"درآمد غیرفعال")</f>
        <v>درآمد غیرفعال</v>
      </c>
      <c r="G14632" s="1" t="str">
        <f>IFERROR(__xludf.DUMMYFUNCTION("GOOGLETRANSLATE(C14632, ""en"", ""fa"")
"),"در مورد پتانسیل سرمایه گذاری در پروژه های مد و محصولات مصرفی از طریق پلتفرم های تامین مالی جمعی بحث کنید.")</f>
        <v>در مورد پتانسیل سرمایه گذاری در پروژه های مد و محصولات مصرفی از طریق پلتفرم های تامین مالی جمعی بحث کنید.</v>
      </c>
      <c r="H14632" s="1"/>
      <c r="I14632" s="1"/>
      <c r="J14632" s="1"/>
      <c r="K14632" s="1"/>
      <c r="L14632" s="1"/>
      <c r="M14632" s="1"/>
      <c r="N14632" s="1"/>
      <c r="O14632" s="1"/>
      <c r="P14632" s="1"/>
      <c r="Q14632" s="1"/>
      <c r="R14632" s="1"/>
      <c r="S14632" s="1"/>
      <c r="T14632" s="1"/>
      <c r="U14632" s="1"/>
      <c r="V14632" s="1"/>
      <c r="W14632" s="1"/>
      <c r="X14632" s="1"/>
      <c r="Y14632" s="1"/>
      <c r="Z14632" s="1"/>
      <c r="AA14632" s="1"/>
      <c r="AB14632" s="1"/>
    </row>
    <row r="14633" ht="50.25" customHeight="1">
      <c r="A14633" s="12">
        <v>14629.0</v>
      </c>
      <c r="B14633" s="13" t="s">
        <v>13838</v>
      </c>
      <c r="C14633" s="14" t="s">
        <v>13869</v>
      </c>
      <c r="D14633" s="1"/>
      <c r="E14633" s="1"/>
      <c r="F14633" s="1" t="str">
        <f>IFERROR(__xludf.DUMMYFUNCTION("GOOGLETRANSLATE(B14633, ""en"", ""fa"")
"),"درآمد غیرفعال")</f>
        <v>درآمد غیرفعال</v>
      </c>
      <c r="G14633" s="1" t="str">
        <f>IFERROR(__xludf.DUMMYFUNCTION("GOOGLETRANSLATE(C14633, ""en"", ""fa"")
"),"سرمایه گذاران چگونه می توانند پیش بینی های مالی و مدل های درآمدی ارائه شده توسط شرکت هایی که به دنبال تامین مالی جمعی هستند را تحلیل کنند؟")</f>
        <v>سرمایه گذاران چگونه می توانند پیش بینی های مالی و مدل های درآمدی ارائه شده توسط شرکت هایی که به دنبال تامین مالی جمعی هستند را تحلیل کنند؟</v>
      </c>
      <c r="H14633" s="1"/>
      <c r="I14633" s="1"/>
      <c r="J14633" s="1"/>
      <c r="K14633" s="1"/>
      <c r="L14633" s="1"/>
      <c r="M14633" s="1"/>
      <c r="N14633" s="1"/>
      <c r="O14633" s="1"/>
      <c r="P14633" s="1"/>
      <c r="Q14633" s="1"/>
      <c r="R14633" s="1"/>
      <c r="S14633" s="1"/>
      <c r="T14633" s="1"/>
      <c r="U14633" s="1"/>
      <c r="V14633" s="1"/>
      <c r="W14633" s="1"/>
      <c r="X14633" s="1"/>
      <c r="Y14633" s="1"/>
      <c r="Z14633" s="1"/>
      <c r="AA14633" s="1"/>
      <c r="AB14633" s="1"/>
    </row>
    <row r="14634" ht="50.25" customHeight="1">
      <c r="A14634" s="12">
        <v>14630.0</v>
      </c>
      <c r="B14634" s="13" t="s">
        <v>13838</v>
      </c>
      <c r="C14634" s="14" t="s">
        <v>13870</v>
      </c>
      <c r="D14634" s="1"/>
      <c r="E14634" s="1"/>
      <c r="F14634" s="1" t="str">
        <f>IFERROR(__xludf.DUMMYFUNCTION("GOOGLETRANSLATE(B14634, ""en"", ""fa"")
"),"درآمد غیرفعال")</f>
        <v>درآمد غیرفعال</v>
      </c>
      <c r="G14634" s="1" t="str">
        <f>IFERROR(__xludf.DUMMYFUNCTION("GOOGLETRANSLATE(C14634, ""en"", ""fa"")
"),"در مورد مفهوم تامین مالی جمعی مبتنی بر جامعه و نقش آن در حمایت از پروژه ها و طرح های محلی بحث کنید.")</f>
        <v>در مورد مفهوم تامین مالی جمعی مبتنی بر جامعه و نقش آن در حمایت از پروژه ها و طرح های محلی بحث کنید.</v>
      </c>
      <c r="H14634" s="1"/>
      <c r="I14634" s="1"/>
      <c r="J14634" s="1"/>
      <c r="K14634" s="1"/>
      <c r="L14634" s="1"/>
      <c r="M14634" s="1"/>
      <c r="N14634" s="1"/>
      <c r="O14634" s="1"/>
      <c r="P14634" s="1"/>
      <c r="Q14634" s="1"/>
      <c r="R14634" s="1"/>
      <c r="S14634" s="1"/>
      <c r="T14634" s="1"/>
      <c r="U14634" s="1"/>
      <c r="V14634" s="1"/>
      <c r="W14634" s="1"/>
      <c r="X14634" s="1"/>
      <c r="Y14634" s="1"/>
      <c r="Z14634" s="1"/>
      <c r="AA14634" s="1"/>
      <c r="AB14634" s="1"/>
    </row>
    <row r="14635" ht="50.25" customHeight="1">
      <c r="A14635" s="12">
        <v>14631.0</v>
      </c>
      <c r="B14635" s="13" t="s">
        <v>13838</v>
      </c>
      <c r="C14635" s="14" t="s">
        <v>13871</v>
      </c>
      <c r="D14635" s="1"/>
      <c r="E14635" s="1"/>
      <c r="F14635" s="1" t="str">
        <f>IFERROR(__xludf.DUMMYFUNCTION("GOOGLETRANSLATE(B14635, ""en"", ""fa"")
"),"درآمد غیرفعال")</f>
        <v>درآمد غیرفعال</v>
      </c>
      <c r="G14635" s="1" t="str">
        <f>IFERROR(__xludf.DUMMYFUNCTION("GOOGLETRANSLATE(C14635, ""en"", ""fa"")
"),"مزایای بالقوه سرمایه گذاری در پروژه های تامین مالی جمعی که با ارزش های شخصی و اهداف تاثیر اجتماعی همسو هستند چیست؟")</f>
        <v>مزایای بالقوه سرمایه گذاری در پروژه های تامین مالی جمعی که با ارزش های شخصی و اهداف تاثیر اجتماعی همسو هستند چیست؟</v>
      </c>
      <c r="H14635" s="1"/>
      <c r="I14635" s="1"/>
      <c r="J14635" s="1"/>
      <c r="K14635" s="1"/>
      <c r="L14635" s="1"/>
      <c r="M14635" s="1"/>
      <c r="N14635" s="1"/>
      <c r="O14635" s="1"/>
      <c r="P14635" s="1"/>
      <c r="Q14635" s="1"/>
      <c r="R14635" s="1"/>
      <c r="S14635" s="1"/>
      <c r="T14635" s="1"/>
      <c r="U14635" s="1"/>
      <c r="V14635" s="1"/>
      <c r="W14635" s="1"/>
      <c r="X14635" s="1"/>
      <c r="Y14635" s="1"/>
      <c r="Z14635" s="1"/>
      <c r="AA14635" s="1"/>
      <c r="AB14635" s="1"/>
    </row>
    <row r="14636" ht="50.25" customHeight="1">
      <c r="A14636" s="12">
        <v>14632.0</v>
      </c>
      <c r="B14636" s="13" t="s">
        <v>13838</v>
      </c>
      <c r="C14636" s="14" t="s">
        <v>13872</v>
      </c>
      <c r="D14636" s="1"/>
      <c r="E14636" s="1"/>
      <c r="F14636" s="1" t="str">
        <f>IFERROR(__xludf.DUMMYFUNCTION("GOOGLETRANSLATE(B14636, ""en"", ""fa"")
"),"درآمد غیرفعال")</f>
        <v>درآمد غیرفعال</v>
      </c>
      <c r="G14636" s="1" t="str">
        <f>IFERROR(__xludf.DUMMYFUNCTION("GOOGLETRANSLATE(C14636, ""en"", ""fa"")
"),"تأثیر رسانه‌های اجتماعی و بازاریابی دیجیتال در دیده شدن و مشارکت در کمپین‌های تأمین مالی جمعی را بررسی کنید.")</f>
        <v>تأثیر رسانه‌های اجتماعی و بازاریابی دیجیتال در دیده شدن و مشارکت در کمپین‌های تأمین مالی جمعی را بررسی کنید.</v>
      </c>
      <c r="H14636" s="1"/>
      <c r="I14636" s="1"/>
      <c r="J14636" s="1"/>
      <c r="K14636" s="1"/>
      <c r="L14636" s="1"/>
      <c r="M14636" s="1"/>
      <c r="N14636" s="1"/>
      <c r="O14636" s="1"/>
      <c r="P14636" s="1"/>
      <c r="Q14636" s="1"/>
      <c r="R14636" s="1"/>
      <c r="S14636" s="1"/>
      <c r="T14636" s="1"/>
      <c r="U14636" s="1"/>
      <c r="V14636" s="1"/>
      <c r="W14636" s="1"/>
      <c r="X14636" s="1"/>
      <c r="Y14636" s="1"/>
      <c r="Z14636" s="1"/>
      <c r="AA14636" s="1"/>
      <c r="AB14636" s="1"/>
    </row>
    <row r="14637" ht="50.25" customHeight="1">
      <c r="A14637" s="12">
        <v>14633.0</v>
      </c>
      <c r="B14637" s="13" t="s">
        <v>13838</v>
      </c>
      <c r="C14637" s="14" t="s">
        <v>13873</v>
      </c>
      <c r="D14637" s="1"/>
      <c r="E14637" s="1"/>
      <c r="F14637" s="1" t="str">
        <f>IFERROR(__xludf.DUMMYFUNCTION("GOOGLETRANSLATE(B14637, ""en"", ""fa"")
"),"درآمد غیرفعال")</f>
        <v>درآمد غیرفعال</v>
      </c>
      <c r="G14637" s="1" t="str">
        <f>IFERROR(__xludf.DUMMYFUNCTION("GOOGLETRANSLATE(C14637, ""en"", ""fa"")
"),"سرمایه گذاران چگونه می توانند مقیاس پذیری و دوام بلندمدت شرکت هایی که به دنبال تامین مالی جمعی برای رشد هستند را ارزیابی کنند؟")</f>
        <v>سرمایه گذاران چگونه می توانند مقیاس پذیری و دوام بلندمدت شرکت هایی که به دنبال تامین مالی جمعی برای رشد هستند را ارزیابی کنند؟</v>
      </c>
      <c r="H14637" s="1"/>
      <c r="I14637" s="1"/>
      <c r="J14637" s="1"/>
      <c r="K14637" s="1"/>
      <c r="L14637" s="1"/>
      <c r="M14637" s="1"/>
      <c r="N14637" s="1"/>
      <c r="O14637" s="1"/>
      <c r="P14637" s="1"/>
      <c r="Q14637" s="1"/>
      <c r="R14637" s="1"/>
      <c r="S14637" s="1"/>
      <c r="T14637" s="1"/>
      <c r="U14637" s="1"/>
      <c r="V14637" s="1"/>
      <c r="W14637" s="1"/>
      <c r="X14637" s="1"/>
      <c r="Y14637" s="1"/>
      <c r="Z14637" s="1"/>
      <c r="AA14637" s="1"/>
      <c r="AB14637" s="1"/>
    </row>
    <row r="14638" ht="50.25" customHeight="1">
      <c r="A14638" s="12">
        <v>14634.0</v>
      </c>
      <c r="B14638" s="13" t="s">
        <v>13838</v>
      </c>
      <c r="C14638" s="14" t="s">
        <v>13874</v>
      </c>
      <c r="D14638" s="1"/>
      <c r="E14638" s="1"/>
      <c r="F14638" s="1" t="str">
        <f>IFERROR(__xludf.DUMMYFUNCTION("GOOGLETRANSLATE(B14638, ""en"", ""fa"")
"),"درآمد غیرفعال")</f>
        <v>درآمد غیرفعال</v>
      </c>
      <c r="G14638" s="1" t="str">
        <f>IFERROR(__xludf.DUMMYFUNCTION("GOOGLETRANSLATE(C14638, ""en"", ""fa"")
"),"در مورد اهمیت استفاده شفاف از وجوه و گزارش مالی در حفظ اعتماد سرمایه گذاران در پروژه های تامین مالی جمعی بحث کنید.")</f>
        <v>در مورد اهمیت استفاده شفاف از وجوه و گزارش مالی در حفظ اعتماد سرمایه گذاران در پروژه های تامین مالی جمعی بحث کنید.</v>
      </c>
      <c r="H14638" s="1"/>
      <c r="I14638" s="1"/>
      <c r="J14638" s="1"/>
      <c r="K14638" s="1"/>
      <c r="L14638" s="1"/>
      <c r="M14638" s="1"/>
      <c r="N14638" s="1"/>
      <c r="O14638" s="1"/>
      <c r="P14638" s="1"/>
      <c r="Q14638" s="1"/>
      <c r="R14638" s="1"/>
      <c r="S14638" s="1"/>
      <c r="T14638" s="1"/>
      <c r="U14638" s="1"/>
      <c r="V14638" s="1"/>
      <c r="W14638" s="1"/>
      <c r="X14638" s="1"/>
      <c r="Y14638" s="1"/>
      <c r="Z14638" s="1"/>
      <c r="AA14638" s="1"/>
      <c r="AB14638" s="1"/>
    </row>
    <row r="14639" ht="50.25" customHeight="1">
      <c r="A14639" s="12">
        <v>14635.0</v>
      </c>
      <c r="B14639" s="13" t="s">
        <v>13838</v>
      </c>
      <c r="C14639" s="14" t="s">
        <v>13875</v>
      </c>
      <c r="D14639" s="1"/>
      <c r="E14639" s="1"/>
      <c r="F14639" s="1" t="str">
        <f>IFERROR(__xludf.DUMMYFUNCTION("GOOGLETRANSLATE(B14639, ""en"", ""fa"")
"),"درآمد غیرفعال")</f>
        <v>درآمد غیرفعال</v>
      </c>
      <c r="G14639" s="1" t="str">
        <f>IFERROR(__xludf.DUMMYFUNCTION("GOOGLETRANSLATE(C14639, ""en"", ""fa"")
"),"پتانسیل سرمایه‌گذاری در پروژه‌های آموزش و فناوری فناوری از طریق پلتفرم‌های تامین مالی جمعی را بررسی کنید.")</f>
        <v>پتانسیل سرمایه‌گذاری در پروژه‌های آموزش و فناوری فناوری از طریق پلتفرم‌های تامین مالی جمعی را بررسی کنید.</v>
      </c>
      <c r="H14639" s="1"/>
      <c r="I14639" s="1"/>
      <c r="J14639" s="1"/>
      <c r="K14639" s="1"/>
      <c r="L14639" s="1"/>
      <c r="M14639" s="1"/>
      <c r="N14639" s="1"/>
      <c r="O14639" s="1"/>
      <c r="P14639" s="1"/>
      <c r="Q14639" s="1"/>
      <c r="R14639" s="1"/>
      <c r="S14639" s="1"/>
      <c r="T14639" s="1"/>
      <c r="U14639" s="1"/>
      <c r="V14639" s="1"/>
      <c r="W14639" s="1"/>
      <c r="X14639" s="1"/>
      <c r="Y14639" s="1"/>
      <c r="Z14639" s="1"/>
      <c r="AA14639" s="1"/>
      <c r="AB14639" s="1"/>
    </row>
    <row r="14640" ht="50.25" customHeight="1">
      <c r="A14640" s="12">
        <v>14636.0</v>
      </c>
      <c r="B14640" s="13" t="s">
        <v>13838</v>
      </c>
      <c r="C14640" s="14" t="s">
        <v>13876</v>
      </c>
      <c r="D14640" s="1"/>
      <c r="E14640" s="1"/>
      <c r="F14640" s="1" t="str">
        <f>IFERROR(__xludf.DUMMYFUNCTION("GOOGLETRANSLATE(B14640, ""en"", ""fa"")
"),"درآمد غیرفعال")</f>
        <v>درآمد غیرفعال</v>
      </c>
      <c r="G14640" s="1" t="str">
        <f>IFERROR(__xludf.DUMMYFUNCTION("GOOGLETRANSLATE(C14640, ""en"", ""fa"")
"),"سرمایه گذاران از چه استراتژی هایی می توانند برای ارزیابی پتانسیل بازار و مزیت های رقابتی شرکت هایی که به دنبال تامین مالی جمعی هستند استفاده کنند؟")</f>
        <v>سرمایه گذاران از چه استراتژی هایی می توانند برای ارزیابی پتانسیل بازار و مزیت های رقابتی شرکت هایی که به دنبال تامین مالی جمعی هستند استفاده کنند؟</v>
      </c>
      <c r="H14640" s="1"/>
      <c r="I14640" s="1"/>
      <c r="J14640" s="1"/>
      <c r="K14640" s="1"/>
      <c r="L14640" s="1"/>
      <c r="M14640" s="1"/>
      <c r="N14640" s="1"/>
      <c r="O14640" s="1"/>
      <c r="P14640" s="1"/>
      <c r="Q14640" s="1"/>
      <c r="R14640" s="1"/>
      <c r="S14640" s="1"/>
      <c r="T14640" s="1"/>
      <c r="U14640" s="1"/>
      <c r="V14640" s="1"/>
      <c r="W14640" s="1"/>
      <c r="X14640" s="1"/>
      <c r="Y14640" s="1"/>
      <c r="Z14640" s="1"/>
      <c r="AA14640" s="1"/>
      <c r="AB14640" s="1"/>
    </row>
    <row r="14641" ht="50.25" customHeight="1">
      <c r="A14641" s="12">
        <v>14637.0</v>
      </c>
      <c r="B14641" s="13" t="s">
        <v>13838</v>
      </c>
      <c r="C14641" s="14" t="s">
        <v>13877</v>
      </c>
      <c r="D14641" s="1"/>
      <c r="E14641" s="1"/>
      <c r="F14641" s="1" t="str">
        <f>IFERROR(__xludf.DUMMYFUNCTION("GOOGLETRANSLATE(B14641, ""en"", ""fa"")
"),"درآمد غیرفعال")</f>
        <v>درآمد غیرفعال</v>
      </c>
      <c r="G14641" s="1" t="str">
        <f>IFERROR(__xludf.DUMMYFUNCTION("GOOGLETRANSLATE(C14641, ""en"", ""fa"")
"),"مفهوم سرمایه‌گذاری‌های سرمایه‌گذاری جمعی در املاک و مستغلات و نقش آن‌ها در مالکیت سهمی از دارایی‌های درآمدزا را بررسی کنید.")</f>
        <v>مفهوم سرمایه‌گذاری‌های سرمایه‌گذاری جمعی در املاک و مستغلات و نقش آن‌ها در مالکیت سهمی از دارایی‌های درآمدزا را بررسی کنید.</v>
      </c>
      <c r="H14641" s="1"/>
      <c r="I14641" s="1"/>
      <c r="J14641" s="1"/>
      <c r="K14641" s="1"/>
      <c r="L14641" s="1"/>
      <c r="M14641" s="1"/>
      <c r="N14641" s="1"/>
      <c r="O14641" s="1"/>
      <c r="P14641" s="1"/>
      <c r="Q14641" s="1"/>
      <c r="R14641" s="1"/>
      <c r="S14641" s="1"/>
      <c r="T14641" s="1"/>
      <c r="U14641" s="1"/>
      <c r="V14641" s="1"/>
      <c r="W14641" s="1"/>
      <c r="X14641" s="1"/>
      <c r="Y14641" s="1"/>
      <c r="Z14641" s="1"/>
      <c r="AA14641" s="1"/>
      <c r="AB14641" s="1"/>
    </row>
    <row r="14642" ht="50.25" customHeight="1">
      <c r="A14642" s="12">
        <v>14638.0</v>
      </c>
      <c r="B14642" s="13" t="s">
        <v>13838</v>
      </c>
      <c r="C14642" s="14" t="s">
        <v>13878</v>
      </c>
      <c r="D14642" s="1"/>
      <c r="E14642" s="1"/>
      <c r="F14642" s="1" t="str">
        <f>IFERROR(__xludf.DUMMYFUNCTION("GOOGLETRANSLATE(B14642, ""en"", ""fa"")
"),"درآمد غیرفعال")</f>
        <v>درآمد غیرفعال</v>
      </c>
      <c r="G14642" s="1" t="str">
        <f>IFERROR(__xludf.DUMMYFUNCTION("GOOGLETRANSLATE(C14642, ""en"", ""fa"")
"),"درباره تأثیر پروژه های فرهنگی و خلاقانه در ایجاد مشارکت جامعه و مشارکت در تأمین مالی جمعی بحث کنید.")</f>
        <v>درباره تأثیر پروژه های فرهنگی و خلاقانه در ایجاد مشارکت جامعه و مشارکت در تأمین مالی جمعی بحث کنید.</v>
      </c>
      <c r="H14642" s="1"/>
      <c r="I14642" s="1"/>
      <c r="J14642" s="1"/>
      <c r="K14642" s="1"/>
      <c r="L14642" s="1"/>
      <c r="M14642" s="1"/>
      <c r="N14642" s="1"/>
      <c r="O14642" s="1"/>
      <c r="P14642" s="1"/>
      <c r="Q14642" s="1"/>
      <c r="R14642" s="1"/>
      <c r="S14642" s="1"/>
      <c r="T14642" s="1"/>
      <c r="U14642" s="1"/>
      <c r="V14642" s="1"/>
      <c r="W14642" s="1"/>
      <c r="X14642" s="1"/>
      <c r="Y14642" s="1"/>
      <c r="Z14642" s="1"/>
      <c r="AA14642" s="1"/>
      <c r="AB14642" s="1"/>
    </row>
    <row r="14643" ht="50.25" customHeight="1">
      <c r="A14643" s="12">
        <v>14639.0</v>
      </c>
      <c r="B14643" s="13" t="s">
        <v>13838</v>
      </c>
      <c r="C14643" s="14" t="s">
        <v>13879</v>
      </c>
      <c r="D14643" s="1"/>
      <c r="E14643" s="1"/>
      <c r="F14643" s="1" t="str">
        <f>IFERROR(__xludf.DUMMYFUNCTION("GOOGLETRANSLATE(B14643, ""en"", ""fa"")
"),"درآمد غیرفعال")</f>
        <v>درآمد غیرفعال</v>
      </c>
      <c r="G14643" s="1" t="str">
        <f>IFERROR(__xludf.DUMMYFUNCTION("GOOGLETRANSLATE(C14643, ""en"", ""fa"")
"),"چگونه سرمایه گذاران می توانند همسویی پروژه های تامین مالی جمعی را با روندهای گسترده تر صنعت و ترجیحات مصرف کننده تجزیه و تحلیل کنند؟")</f>
        <v>چگونه سرمایه گذاران می توانند همسویی پروژه های تامین مالی جمعی را با روندهای گسترده تر صنعت و ترجیحات مصرف کننده تجزیه و تحلیل کنند؟</v>
      </c>
      <c r="H14643" s="1"/>
      <c r="I14643" s="1"/>
      <c r="J14643" s="1"/>
      <c r="K14643" s="1"/>
      <c r="L14643" s="1"/>
      <c r="M14643" s="1"/>
      <c r="N14643" s="1"/>
      <c r="O14643" s="1"/>
      <c r="P14643" s="1"/>
      <c r="Q14643" s="1"/>
      <c r="R14643" s="1"/>
      <c r="S14643" s="1"/>
      <c r="T14643" s="1"/>
      <c r="U14643" s="1"/>
      <c r="V14643" s="1"/>
      <c r="W14643" s="1"/>
      <c r="X14643" s="1"/>
      <c r="Y14643" s="1"/>
      <c r="Z14643" s="1"/>
      <c r="AA14643" s="1"/>
      <c r="AB14643" s="1"/>
    </row>
    <row r="14644" ht="50.25" customHeight="1">
      <c r="A14644" s="12">
        <v>14640.0</v>
      </c>
      <c r="B14644" s="13" t="s">
        <v>13838</v>
      </c>
      <c r="C14644" s="14" t="s">
        <v>13880</v>
      </c>
      <c r="D14644" s="1"/>
      <c r="E14644" s="1"/>
      <c r="F14644" s="1" t="str">
        <f>IFERROR(__xludf.DUMMYFUNCTION("GOOGLETRANSLATE(B14644, ""en"", ""fa"")
"),"درآمد غیرفعال")</f>
        <v>درآمد غیرفعال</v>
      </c>
      <c r="G14644" s="1" t="str">
        <f>IFERROR(__xludf.DUMMYFUNCTION("GOOGLETRANSLATE(C14644, ""en"", ""fa"")
"),"در مورد مفهوم سرمایه گذاری تاثیرگذار از طریق تامین مالی جمعی و نقش آن در حمایت از پروژه هایی با نتایج مثبت اجتماعی و زیست محیطی بحث کنید.")</f>
        <v>در مورد مفهوم سرمایه گذاری تاثیرگذار از طریق تامین مالی جمعی و نقش آن در حمایت از پروژه هایی با نتایج مثبت اجتماعی و زیست محیطی بحث کنید.</v>
      </c>
      <c r="H14644" s="1"/>
      <c r="I14644" s="1"/>
      <c r="J14644" s="1"/>
      <c r="K14644" s="1"/>
      <c r="L14644" s="1"/>
      <c r="M14644" s="1"/>
      <c r="N14644" s="1"/>
      <c r="O14644" s="1"/>
      <c r="P14644" s="1"/>
      <c r="Q14644" s="1"/>
      <c r="R14644" s="1"/>
      <c r="S14644" s="1"/>
      <c r="T14644" s="1"/>
      <c r="U14644" s="1"/>
      <c r="V14644" s="1"/>
      <c r="W14644" s="1"/>
      <c r="X14644" s="1"/>
      <c r="Y14644" s="1"/>
      <c r="Z14644" s="1"/>
      <c r="AA14644" s="1"/>
      <c r="AB14644" s="1"/>
    </row>
    <row r="14645" ht="50.25" customHeight="1">
      <c r="A14645" s="12">
        <v>14641.0</v>
      </c>
      <c r="B14645" s="13" t="s">
        <v>13838</v>
      </c>
      <c r="C14645" s="14" t="s">
        <v>13881</v>
      </c>
      <c r="D14645" s="1"/>
      <c r="E14645" s="1"/>
      <c r="F14645" s="1" t="str">
        <f>IFERROR(__xludf.DUMMYFUNCTION("GOOGLETRANSLATE(B14645, ""en"", ""fa"")
"),"درآمد غیرفعال")</f>
        <v>درآمد غیرفعال</v>
      </c>
      <c r="G14645" s="1" t="str">
        <f>IFERROR(__xludf.DUMMYFUNCTION("GOOGLETRANSLATE(C14645, ""en"", ""fa"")
"),"شفافیت و مسئولیت پذیری چه نقشی در ایجاد اعتماد و اعتبار سرمایه گذاران برای پروژه های تامین مالی جمعی دارد؟")</f>
        <v>شفافیت و مسئولیت پذیری چه نقشی در ایجاد اعتماد و اعتبار سرمایه گذاران برای پروژه های تامین مالی جمعی دارد؟</v>
      </c>
      <c r="H14645" s="1"/>
      <c r="I14645" s="1"/>
      <c r="J14645" s="1"/>
      <c r="K14645" s="1"/>
      <c r="L14645" s="1"/>
      <c r="M14645" s="1"/>
      <c r="N14645" s="1"/>
      <c r="O14645" s="1"/>
      <c r="P14645" s="1"/>
      <c r="Q14645" s="1"/>
      <c r="R14645" s="1"/>
      <c r="S14645" s="1"/>
      <c r="T14645" s="1"/>
      <c r="U14645" s="1"/>
      <c r="V14645" s="1"/>
      <c r="W14645" s="1"/>
      <c r="X14645" s="1"/>
      <c r="Y14645" s="1"/>
      <c r="Z14645" s="1"/>
      <c r="AA14645" s="1"/>
      <c r="AB14645" s="1"/>
    </row>
    <row r="14646" ht="50.25" customHeight="1">
      <c r="A14646" s="12">
        <v>14642.0</v>
      </c>
      <c r="B14646" s="13" t="s">
        <v>13838</v>
      </c>
      <c r="C14646" s="14" t="s">
        <v>13882</v>
      </c>
      <c r="D14646" s="1"/>
      <c r="E14646" s="1"/>
      <c r="F14646" s="1" t="str">
        <f>IFERROR(__xludf.DUMMYFUNCTION("GOOGLETRANSLATE(B14646, ""en"", ""fa"")
"),"درآمد غیرفعال")</f>
        <v>درآمد غیرفعال</v>
      </c>
      <c r="G14646" s="1" t="str">
        <f>IFERROR(__xludf.DUMMYFUNCTION("GOOGLETRANSLATE(C14646, ""en"", ""fa"")
"),"پتانسیل سرمایه‌گذاری در پروژه‌های فناوری و نوآوری را از طریق پلتفرم‌های تامین مالی جمعی بررسی کنید.")</f>
        <v>پتانسیل سرمایه‌گذاری در پروژه‌های فناوری و نوآوری را از طریق پلتفرم‌های تامین مالی جمعی بررسی کنید.</v>
      </c>
      <c r="H14646" s="1"/>
      <c r="I14646" s="1"/>
      <c r="J14646" s="1"/>
      <c r="K14646" s="1"/>
      <c r="L14646" s="1"/>
      <c r="M14646" s="1"/>
      <c r="N14646" s="1"/>
      <c r="O14646" s="1"/>
      <c r="P14646" s="1"/>
      <c r="Q14646" s="1"/>
      <c r="R14646" s="1"/>
      <c r="S14646" s="1"/>
      <c r="T14646" s="1"/>
      <c r="U14646" s="1"/>
      <c r="V14646" s="1"/>
      <c r="W14646" s="1"/>
      <c r="X14646" s="1"/>
      <c r="Y14646" s="1"/>
      <c r="Z14646" s="1"/>
      <c r="AA14646" s="1"/>
      <c r="AB14646" s="1"/>
    </row>
    <row r="14647" ht="50.25" customHeight="1">
      <c r="A14647" s="12">
        <v>14643.0</v>
      </c>
      <c r="B14647" s="13" t="s">
        <v>13838</v>
      </c>
      <c r="C14647" s="14" t="s">
        <v>13883</v>
      </c>
      <c r="D14647" s="1"/>
      <c r="E14647" s="1"/>
      <c r="F14647" s="1" t="str">
        <f>IFERROR(__xludf.DUMMYFUNCTION("GOOGLETRANSLATE(B14647, ""en"", ""fa"")
"),"درآمد غیرفعال")</f>
        <v>درآمد غیرفعال</v>
      </c>
      <c r="G14647" s="1" t="str">
        <f>IFERROR(__xludf.DUMMYFUNCTION("GOOGLETRANSLATE(C14647, ""en"", ""fa"")
"),"سرمایه گذاران چگونه می توانند چشم انداز رقابتی و استراتژی تمایز شرکت هایی را که به دنبال تامین مالی جمعی هستند ارزیابی کنند؟")</f>
        <v>سرمایه گذاران چگونه می توانند چشم انداز رقابتی و استراتژی تمایز شرکت هایی را که به دنبال تامین مالی جمعی هستند ارزیابی کنند؟</v>
      </c>
      <c r="H14647" s="1"/>
      <c r="I14647" s="1"/>
      <c r="J14647" s="1"/>
      <c r="K14647" s="1"/>
      <c r="L14647" s="1"/>
      <c r="M14647" s="1"/>
      <c r="N14647" s="1"/>
      <c r="O14647" s="1"/>
      <c r="P14647" s="1"/>
      <c r="Q14647" s="1"/>
      <c r="R14647" s="1"/>
      <c r="S14647" s="1"/>
      <c r="T14647" s="1"/>
      <c r="U14647" s="1"/>
      <c r="V14647" s="1"/>
      <c r="W14647" s="1"/>
      <c r="X14647" s="1"/>
      <c r="Y14647" s="1"/>
      <c r="Z14647" s="1"/>
      <c r="AA14647" s="1"/>
      <c r="AB14647" s="1"/>
    </row>
    <row r="14648" ht="50.25" customHeight="1">
      <c r="A14648" s="12">
        <v>14644.0</v>
      </c>
      <c r="B14648" s="13" t="s">
        <v>13838</v>
      </c>
      <c r="C14648" s="14" t="s">
        <v>13884</v>
      </c>
      <c r="D14648" s="1"/>
      <c r="E14648" s="1"/>
      <c r="F14648" s="1" t="str">
        <f>IFERROR(__xludf.DUMMYFUNCTION("GOOGLETRANSLATE(B14648, ""en"", ""fa"")
"),"درآمد غیرفعال")</f>
        <v>درآمد غیرفعال</v>
      </c>
      <c r="G14648" s="1" t="str">
        <f>IFERROR(__xludf.DUMMYFUNCTION("GOOGLETRANSLATE(C14648, ""en"", ""fa"")
"),"در مورد اهمیت ایجاد یک حضور آنلاین قوی و هویت برند برای کمپین های سرمایه گذاری جمعی موفق بحث کنید.")</f>
        <v>در مورد اهمیت ایجاد یک حضور آنلاین قوی و هویت برند برای کمپین های سرمایه گذاری جمعی موفق بحث کنید.</v>
      </c>
      <c r="H14648" s="1"/>
      <c r="I14648" s="1"/>
      <c r="J14648" s="1"/>
      <c r="K14648" s="1"/>
      <c r="L14648" s="1"/>
      <c r="M14648" s="1"/>
      <c r="N14648" s="1"/>
      <c r="O14648" s="1"/>
      <c r="P14648" s="1"/>
      <c r="Q14648" s="1"/>
      <c r="R14648" s="1"/>
      <c r="S14648" s="1"/>
      <c r="T14648" s="1"/>
      <c r="U14648" s="1"/>
      <c r="V14648" s="1"/>
      <c r="W14648" s="1"/>
      <c r="X14648" s="1"/>
      <c r="Y14648" s="1"/>
      <c r="Z14648" s="1"/>
      <c r="AA14648" s="1"/>
      <c r="AB14648" s="1"/>
    </row>
    <row r="14649" ht="50.25" customHeight="1">
      <c r="A14649" s="12">
        <v>14645.0</v>
      </c>
      <c r="B14649" s="13" t="s">
        <v>13838</v>
      </c>
      <c r="C14649" s="14" t="s">
        <v>13885</v>
      </c>
      <c r="D14649" s="1"/>
      <c r="E14649" s="1"/>
      <c r="F14649" s="1" t="str">
        <f>IFERROR(__xludf.DUMMYFUNCTION("GOOGLETRANSLATE(B14649, ""en"", ""fa"")
"),"درآمد غیرفعال")</f>
        <v>درآمد غیرفعال</v>
      </c>
      <c r="G14649" s="1" t="str">
        <f>IFERROR(__xludf.DUMMYFUNCTION("GOOGLETRANSLATE(C14649, ""en"", ""fa"")
"),"تاثیر تبلیغات متقابل و مشارکت در دستیابی به مخاطبان گسترده‌تری برای پروژه‌های تامین مالی جمعی را بررسی کنید.")</f>
        <v>تاثیر تبلیغات متقابل و مشارکت در دستیابی به مخاطبان گسترده‌تری برای پروژه‌های تامین مالی جمعی را بررسی کنید.</v>
      </c>
      <c r="H14649" s="1"/>
      <c r="I14649" s="1"/>
      <c r="J14649" s="1"/>
      <c r="K14649" s="1"/>
      <c r="L14649" s="1"/>
      <c r="M14649" s="1"/>
      <c r="N14649" s="1"/>
      <c r="O14649" s="1"/>
      <c r="P14649" s="1"/>
      <c r="Q14649" s="1"/>
      <c r="R14649" s="1"/>
      <c r="S14649" s="1"/>
      <c r="T14649" s="1"/>
      <c r="U14649" s="1"/>
      <c r="V14649" s="1"/>
      <c r="W14649" s="1"/>
      <c r="X14649" s="1"/>
      <c r="Y14649" s="1"/>
      <c r="Z14649" s="1"/>
      <c r="AA14649" s="1"/>
      <c r="AB14649" s="1"/>
    </row>
    <row r="14650" ht="50.25" customHeight="1">
      <c r="A14650" s="12">
        <v>14646.0</v>
      </c>
      <c r="B14650" s="13" t="s">
        <v>13838</v>
      </c>
      <c r="C14650" s="14" t="s">
        <v>13886</v>
      </c>
      <c r="D14650" s="1"/>
      <c r="E14650" s="1"/>
      <c r="F14650" s="1" t="str">
        <f>IFERROR(__xludf.DUMMYFUNCTION("GOOGLETRANSLATE(B14650, ""en"", ""fa"")
"),"درآمد غیرفعال")</f>
        <v>درآمد غیرفعال</v>
      </c>
      <c r="G14650" s="1" t="str">
        <f>IFERROR(__xludf.DUMMYFUNCTION("GOOGLETRANSLATE(C14650, ""en"", ""fa"")
"),"سرمایه گذاران از چه استراتژی هایی می توانند برای ارزیابی ثبات مالی و پایداری شرکت هایی که به دنبال تامین مالی جمعی هستند استفاده کنند؟")</f>
        <v>سرمایه گذاران از چه استراتژی هایی می توانند برای ارزیابی ثبات مالی و پایداری شرکت هایی که به دنبال تامین مالی جمعی هستند استفاده کنند؟</v>
      </c>
      <c r="H14650" s="1"/>
      <c r="I14650" s="1"/>
      <c r="J14650" s="1"/>
      <c r="K14650" s="1"/>
      <c r="L14650" s="1"/>
      <c r="M14650" s="1"/>
      <c r="N14650" s="1"/>
      <c r="O14650" s="1"/>
      <c r="P14650" s="1"/>
      <c r="Q14650" s="1"/>
      <c r="R14650" s="1"/>
      <c r="S14650" s="1"/>
      <c r="T14650" s="1"/>
      <c r="U14650" s="1"/>
      <c r="V14650" s="1"/>
      <c r="W14650" s="1"/>
      <c r="X14650" s="1"/>
      <c r="Y14650" s="1"/>
      <c r="Z14650" s="1"/>
      <c r="AA14650" s="1"/>
      <c r="AB14650" s="1"/>
    </row>
    <row r="14651" ht="50.25" customHeight="1">
      <c r="A14651" s="12">
        <v>14647.0</v>
      </c>
      <c r="B14651" s="13" t="s">
        <v>13838</v>
      </c>
      <c r="C14651" s="14" t="s">
        <v>13887</v>
      </c>
      <c r="D14651" s="1"/>
      <c r="E14651" s="1"/>
      <c r="F14651" s="1" t="str">
        <f>IFERROR(__xludf.DUMMYFUNCTION("GOOGLETRANSLATE(B14651, ""en"", ""fa"")
"),"درآمد غیرفعال")</f>
        <v>درآمد غیرفعال</v>
      </c>
      <c r="G14651" s="1" t="str">
        <f>IFERROR(__xludf.DUMMYFUNCTION("GOOGLETRANSLATE(C14651, ""en"", ""fa"")
"),"مفهوم سرمایه گذاری های سرمایه گذاری املاک و مستغلات و نقش آن ها در تامین مالی پروژه های مسئولیت اجتماعی را بررسی کنید.")</f>
        <v>مفهوم سرمایه گذاری های سرمایه گذاری املاک و مستغلات و نقش آن ها در تامین مالی پروژه های مسئولیت اجتماعی را بررسی کنید.</v>
      </c>
      <c r="H14651" s="1"/>
      <c r="I14651" s="1"/>
      <c r="J14651" s="1"/>
      <c r="K14651" s="1"/>
      <c r="L14651" s="1"/>
      <c r="M14651" s="1"/>
      <c r="N14651" s="1"/>
      <c r="O14651" s="1"/>
      <c r="P14651" s="1"/>
      <c r="Q14651" s="1"/>
      <c r="R14651" s="1"/>
      <c r="S14651" s="1"/>
      <c r="T14651" s="1"/>
      <c r="U14651" s="1"/>
      <c r="V14651" s="1"/>
      <c r="W14651" s="1"/>
      <c r="X14651" s="1"/>
      <c r="Y14651" s="1"/>
      <c r="Z14651" s="1"/>
      <c r="AA14651" s="1"/>
      <c r="AB14651" s="1"/>
    </row>
    <row r="14652" ht="50.25" customHeight="1">
      <c r="A14652" s="12">
        <v>14648.0</v>
      </c>
      <c r="B14652" s="13" t="s">
        <v>13838</v>
      </c>
      <c r="C14652" s="14" t="s">
        <v>13888</v>
      </c>
      <c r="D14652" s="1"/>
      <c r="E14652" s="1"/>
      <c r="F14652" s="1" t="str">
        <f>IFERROR(__xludf.DUMMYFUNCTION("GOOGLETRANSLATE(B14652, ""en"", ""fa"")
"),"درآمد غیرفعال")</f>
        <v>درآمد غیرفعال</v>
      </c>
      <c r="G14652" s="1" t="str">
        <f>IFERROR(__xludf.DUMMYFUNCTION("GOOGLETRANSLATE(C14652, ""en"", ""fa"")
"),"در مورد پتانسیل سرمایه گذاری در پروژه های سلامت و سلامت از طریق پلتفرم های تامین مالی جمعی بحث کنید.")</f>
        <v>در مورد پتانسیل سرمایه گذاری در پروژه های سلامت و سلامت از طریق پلتفرم های تامین مالی جمعی بحث کنید.</v>
      </c>
      <c r="H14652" s="1"/>
      <c r="I14652" s="1"/>
      <c r="J14652" s="1"/>
      <c r="K14652" s="1"/>
      <c r="L14652" s="1"/>
      <c r="M14652" s="1"/>
      <c r="N14652" s="1"/>
      <c r="O14652" s="1"/>
      <c r="P14652" s="1"/>
      <c r="Q14652" s="1"/>
      <c r="R14652" s="1"/>
      <c r="S14652" s="1"/>
      <c r="T14652" s="1"/>
      <c r="U14652" s="1"/>
      <c r="V14652" s="1"/>
      <c r="W14652" s="1"/>
      <c r="X14652" s="1"/>
      <c r="Y14652" s="1"/>
      <c r="Z14652" s="1"/>
      <c r="AA14652" s="1"/>
      <c r="AB14652" s="1"/>
    </row>
    <row r="14653" ht="50.25" customHeight="1">
      <c r="A14653" s="12">
        <v>14649.0</v>
      </c>
      <c r="B14653" s="13" t="s">
        <v>13838</v>
      </c>
      <c r="C14653" s="14" t="s">
        <v>13889</v>
      </c>
      <c r="D14653" s="1"/>
      <c r="E14653" s="1"/>
      <c r="F14653" s="1" t="str">
        <f>IFERROR(__xludf.DUMMYFUNCTION("GOOGLETRANSLATE(B14653, ""en"", ""fa"")
"),"درآمد غیرفعال")</f>
        <v>درآمد غیرفعال</v>
      </c>
      <c r="G14653" s="1" t="str">
        <f>IFERROR(__xludf.DUMMYFUNCTION("GOOGLETRANSLATE(C14653, ""en"", ""fa"")
"),"سرمایه گذاران چگونه می توانند پتانسیل نوآوری و مالکیت معنوی شرکت هایی را که به دنبال تامین مالی جمعی هستند ارزیابی کنند؟")</f>
        <v>سرمایه گذاران چگونه می توانند پتانسیل نوآوری و مالکیت معنوی شرکت هایی را که به دنبال تامین مالی جمعی هستند ارزیابی کنند؟</v>
      </c>
      <c r="H14653" s="1"/>
      <c r="I14653" s="1"/>
      <c r="J14653" s="1"/>
      <c r="K14653" s="1"/>
      <c r="L14653" s="1"/>
      <c r="M14653" s="1"/>
      <c r="N14653" s="1"/>
      <c r="O14653" s="1"/>
      <c r="P14653" s="1"/>
      <c r="Q14653" s="1"/>
      <c r="R14653" s="1"/>
      <c r="S14653" s="1"/>
      <c r="T14653" s="1"/>
      <c r="U14653" s="1"/>
      <c r="V14653" s="1"/>
      <c r="W14653" s="1"/>
      <c r="X14653" s="1"/>
      <c r="Y14653" s="1"/>
      <c r="Z14653" s="1"/>
      <c r="AA14653" s="1"/>
      <c r="AB14653" s="1"/>
    </row>
    <row r="14654" ht="50.25" customHeight="1">
      <c r="A14654" s="12">
        <v>14650.0</v>
      </c>
      <c r="B14654" s="13" t="s">
        <v>13838</v>
      </c>
      <c r="C14654" s="14" t="s">
        <v>13890</v>
      </c>
      <c r="D14654" s="1"/>
      <c r="E14654" s="1"/>
      <c r="F14654" s="1" t="str">
        <f>IFERROR(__xludf.DUMMYFUNCTION("GOOGLETRANSLATE(B14654, ""en"", ""fa"")
"),"درآمد غیرفعال")</f>
        <v>درآمد غیرفعال</v>
      </c>
      <c r="G14654" s="1" t="str">
        <f>IFERROR(__xludf.DUMMYFUNCTION("GOOGLETRANSLATE(C14654, ""en"", ""fa"")
"),"در مورد مفهوم سرمایه گذاری جمعی هنری و خلاق و نقش آن در حمایت از هنرمندان، نوازندگان و پروژه های فرهنگی بحث کنید.")</f>
        <v>در مورد مفهوم سرمایه گذاری جمعی هنری و خلاق و نقش آن در حمایت از هنرمندان، نوازندگان و پروژه های فرهنگی بحث کنید.</v>
      </c>
      <c r="H14654" s="1"/>
      <c r="I14654" s="1"/>
      <c r="J14654" s="1"/>
      <c r="K14654" s="1"/>
      <c r="L14654" s="1"/>
      <c r="M14654" s="1"/>
      <c r="N14654" s="1"/>
      <c r="O14654" s="1"/>
      <c r="P14654" s="1"/>
      <c r="Q14654" s="1"/>
      <c r="R14654" s="1"/>
      <c r="S14654" s="1"/>
      <c r="T14654" s="1"/>
      <c r="U14654" s="1"/>
      <c r="V14654" s="1"/>
      <c r="W14654" s="1"/>
      <c r="X14654" s="1"/>
      <c r="Y14654" s="1"/>
      <c r="Z14654" s="1"/>
      <c r="AA14654" s="1"/>
      <c r="AB14654" s="1"/>
    </row>
    <row r="14655" ht="50.25" customHeight="1">
      <c r="A14655" s="12">
        <v>14651.0</v>
      </c>
      <c r="B14655" s="13" t="s">
        <v>13838</v>
      </c>
      <c r="C14655" s="14" t="s">
        <v>13891</v>
      </c>
      <c r="D14655" s="1"/>
      <c r="E14655" s="1"/>
      <c r="F14655" s="1" t="str">
        <f>IFERROR(__xludf.DUMMYFUNCTION("GOOGLETRANSLATE(B14655, ""en"", ""fa"")
"),"درآمد غیرفعال")</f>
        <v>درآمد غیرفعال</v>
      </c>
      <c r="G14655" s="1" t="str">
        <f>IFERROR(__xludf.DUMMYFUNCTION("GOOGLETRANSLATE(C14655, ""en"", ""fa"")
"),"چالش ها و ملاحظات بالقوه سرمایه گذاری در پروژه های سرمایه گذاری جمعی بین المللی چیست؟")</f>
        <v>چالش ها و ملاحظات بالقوه سرمایه گذاری در پروژه های سرمایه گذاری جمعی بین المللی چیست؟</v>
      </c>
      <c r="H14655" s="1"/>
      <c r="I14655" s="1"/>
      <c r="J14655" s="1"/>
      <c r="K14655" s="1"/>
      <c r="L14655" s="1"/>
      <c r="M14655" s="1"/>
      <c r="N14655" s="1"/>
      <c r="O14655" s="1"/>
      <c r="P14655" s="1"/>
      <c r="Q14655" s="1"/>
      <c r="R14655" s="1"/>
      <c r="S14655" s="1"/>
      <c r="T14655" s="1"/>
      <c r="U14655" s="1"/>
      <c r="V14655" s="1"/>
      <c r="W14655" s="1"/>
      <c r="X14655" s="1"/>
      <c r="Y14655" s="1"/>
      <c r="Z14655" s="1"/>
      <c r="AA14655" s="1"/>
      <c r="AB14655" s="1"/>
    </row>
    <row r="14656" ht="50.25" customHeight="1">
      <c r="A14656" s="12">
        <v>14652.0</v>
      </c>
      <c r="B14656" s="13" t="s">
        <v>13838</v>
      </c>
      <c r="C14656" s="14" t="s">
        <v>13892</v>
      </c>
      <c r="D14656" s="1"/>
      <c r="E14656" s="1"/>
      <c r="F14656" s="1" t="str">
        <f>IFERROR(__xludf.DUMMYFUNCTION("GOOGLETRANSLATE(B14656, ""en"", ""fa"")
"),"درآمد غیرفعال")</f>
        <v>درآمد غیرفعال</v>
      </c>
      <c r="G14656" s="1" t="str">
        <f>IFERROR(__xludf.DUMMYFUNCTION("GOOGLETRANSLATE(C14656, ""en"", ""fa"")
"),"تأثیر داستان‌گویی بصری و محتوای چند رسانه‌ای در ایجاد تعامل و مشارکت در کمپین‌های تأمین مالی جمعی را بررسی کنید.")</f>
        <v>تأثیر داستان‌گویی بصری و محتوای چند رسانه‌ای در ایجاد تعامل و مشارکت در کمپین‌های تأمین مالی جمعی را بررسی کنید.</v>
      </c>
      <c r="H14656" s="1"/>
      <c r="I14656" s="1"/>
      <c r="J14656" s="1"/>
      <c r="K14656" s="1"/>
      <c r="L14656" s="1"/>
      <c r="M14656" s="1"/>
      <c r="N14656" s="1"/>
      <c r="O14656" s="1"/>
      <c r="P14656" s="1"/>
      <c r="Q14656" s="1"/>
      <c r="R14656" s="1"/>
      <c r="S14656" s="1"/>
      <c r="T14656" s="1"/>
      <c r="U14656" s="1"/>
      <c r="V14656" s="1"/>
      <c r="W14656" s="1"/>
      <c r="X14656" s="1"/>
      <c r="Y14656" s="1"/>
      <c r="Z14656" s="1"/>
      <c r="AA14656" s="1"/>
      <c r="AB14656" s="1"/>
    </row>
    <row r="14657" ht="50.25" customHeight="1">
      <c r="A14657" s="12">
        <v>14653.0</v>
      </c>
      <c r="B14657" s="13" t="s">
        <v>13838</v>
      </c>
      <c r="C14657" s="14" t="s">
        <v>13893</v>
      </c>
      <c r="D14657" s="1"/>
      <c r="E14657" s="1"/>
      <c r="F14657" s="1" t="str">
        <f>IFERROR(__xludf.DUMMYFUNCTION("GOOGLETRANSLATE(B14657, ""en"", ""fa"")
"),"درآمد غیرفعال")</f>
        <v>درآمد غیرفعال</v>
      </c>
      <c r="G14657" s="1" t="str">
        <f>IFERROR(__xludf.DUMMYFUNCTION("GOOGLETRANSLATE(C14657, ""en"", ""fa"")
"),"سرمایه گذاران چگونه می توانند مقیاس پذیری و استراتژی های رشد شرکت هایی را که به دنبال تامین مالی جمعی برای توسعه هستند ارزیابی کنند؟")</f>
        <v>سرمایه گذاران چگونه می توانند مقیاس پذیری و استراتژی های رشد شرکت هایی را که به دنبال تامین مالی جمعی برای توسعه هستند ارزیابی کنند؟</v>
      </c>
      <c r="H14657" s="1"/>
      <c r="I14657" s="1"/>
      <c r="J14657" s="1"/>
      <c r="K14657" s="1"/>
      <c r="L14657" s="1"/>
      <c r="M14657" s="1"/>
      <c r="N14657" s="1"/>
      <c r="O14657" s="1"/>
      <c r="P14657" s="1"/>
      <c r="Q14657" s="1"/>
      <c r="R14657" s="1"/>
      <c r="S14657" s="1"/>
      <c r="T14657" s="1"/>
      <c r="U14657" s="1"/>
      <c r="V14657" s="1"/>
      <c r="W14657" s="1"/>
      <c r="X14657" s="1"/>
      <c r="Y14657" s="1"/>
      <c r="Z14657" s="1"/>
      <c r="AA14657" s="1"/>
      <c r="AB14657" s="1"/>
    </row>
    <row r="14658" ht="50.25" customHeight="1">
      <c r="A14658" s="12">
        <v>14654.0</v>
      </c>
      <c r="B14658" s="13" t="s">
        <v>13838</v>
      </c>
      <c r="C14658" s="14" t="s">
        <v>13894</v>
      </c>
      <c r="D14658" s="1"/>
      <c r="E14658" s="1"/>
      <c r="F14658" s="1" t="str">
        <f>IFERROR(__xludf.DUMMYFUNCTION("GOOGLETRANSLATE(B14658, ""en"", ""fa"")
"),"درآمد غیرفعال")</f>
        <v>درآمد غیرفعال</v>
      </c>
      <c r="G14658" s="1" t="str">
        <f>IFERROR(__xludf.DUMMYFUNCTION("GOOGLETRANSLATE(C14658, ""en"", ""fa"")
"),"در مورد اهمیت به‌روزرسانی‌ها و ارتباطات منظم برای سرمایه‌گذاران در طول چرخه حیات پروژه‌های تامین مالی جمعی بحث کنید.")</f>
        <v>در مورد اهمیت به‌روزرسانی‌ها و ارتباطات منظم برای سرمایه‌گذاران در طول چرخه حیات پروژه‌های تامین مالی جمعی بحث کنید.</v>
      </c>
      <c r="H14658" s="1"/>
      <c r="I14658" s="1"/>
      <c r="J14658" s="1"/>
      <c r="K14658" s="1"/>
      <c r="L14658" s="1"/>
      <c r="M14658" s="1"/>
      <c r="N14658" s="1"/>
      <c r="O14658" s="1"/>
      <c r="P14658" s="1"/>
      <c r="Q14658" s="1"/>
      <c r="R14658" s="1"/>
      <c r="S14658" s="1"/>
      <c r="T14658" s="1"/>
      <c r="U14658" s="1"/>
      <c r="V14658" s="1"/>
      <c r="W14658" s="1"/>
      <c r="X14658" s="1"/>
      <c r="Y14658" s="1"/>
      <c r="Z14658" s="1"/>
      <c r="AA14658" s="1"/>
      <c r="AB14658" s="1"/>
    </row>
    <row r="14659" ht="50.25" customHeight="1">
      <c r="A14659" s="12">
        <v>14655.0</v>
      </c>
      <c r="B14659" s="13" t="s">
        <v>13838</v>
      </c>
      <c r="C14659" s="14" t="s">
        <v>13895</v>
      </c>
      <c r="D14659" s="1"/>
      <c r="E14659" s="1"/>
      <c r="F14659" s="1" t="str">
        <f>IFERROR(__xludf.DUMMYFUNCTION("GOOGLETRANSLATE(B14659, ""en"", ""fa"")
"),"درآمد غیرفعال")</f>
        <v>درآمد غیرفعال</v>
      </c>
      <c r="G14659" s="1" t="str">
        <f>IFERROR(__xludf.DUMMYFUNCTION("GOOGLETRANSLATE(C14659, ""en"", ""fa"")
"),"بررسی پتانسیل سرمایه گذاری در انرژی های تجدیدپذیر و پروژه های توسعه پایدار از طریق پلتفرم های تامین مالی جمعی.")</f>
        <v>بررسی پتانسیل سرمایه گذاری در انرژی های تجدیدپذیر و پروژه های توسعه پایدار از طریق پلتفرم های تامین مالی جمعی.</v>
      </c>
      <c r="H14659" s="1"/>
      <c r="I14659" s="1"/>
      <c r="J14659" s="1"/>
      <c r="K14659" s="1"/>
      <c r="L14659" s="1"/>
      <c r="M14659" s="1"/>
      <c r="N14659" s="1"/>
      <c r="O14659" s="1"/>
      <c r="P14659" s="1"/>
      <c r="Q14659" s="1"/>
      <c r="R14659" s="1"/>
      <c r="S14659" s="1"/>
      <c r="T14659" s="1"/>
      <c r="U14659" s="1"/>
      <c r="V14659" s="1"/>
      <c r="W14659" s="1"/>
      <c r="X14659" s="1"/>
      <c r="Y14659" s="1"/>
      <c r="Z14659" s="1"/>
      <c r="AA14659" s="1"/>
      <c r="AB14659" s="1"/>
    </row>
    <row r="14660" ht="50.25" customHeight="1">
      <c r="A14660" s="12">
        <v>14656.0</v>
      </c>
      <c r="B14660" s="13" t="s">
        <v>13838</v>
      </c>
      <c r="C14660" s="14" t="s">
        <v>13896</v>
      </c>
      <c r="D14660" s="1"/>
      <c r="E14660" s="1"/>
      <c r="F14660" s="1" t="str">
        <f>IFERROR(__xludf.DUMMYFUNCTION("GOOGLETRANSLATE(B14660, ""en"", ""fa"")
"),"درآمد غیرفعال")</f>
        <v>درآمد غیرفعال</v>
      </c>
      <c r="G14660" s="1" t="str">
        <f>IFERROR(__xludf.DUMMYFUNCTION("GOOGLETRANSLATE(C14660, ""en"", ""fa"")
"),"سرمایه گذاران از چه استراتژی هایی می توانند برای ارزیابی تیم مدیریت و ویژگی های رهبری شرکت هایی که به دنبال تامین مالی جمعی هستند استفاده کنند؟")</f>
        <v>سرمایه گذاران از چه استراتژی هایی می توانند برای ارزیابی تیم مدیریت و ویژگی های رهبری شرکت هایی که به دنبال تامین مالی جمعی هستند استفاده کنند؟</v>
      </c>
      <c r="H14660" s="1"/>
      <c r="I14660" s="1"/>
      <c r="J14660" s="1"/>
      <c r="K14660" s="1"/>
      <c r="L14660" s="1"/>
      <c r="M14660" s="1"/>
      <c r="N14660" s="1"/>
      <c r="O14660" s="1"/>
      <c r="P14660" s="1"/>
      <c r="Q14660" s="1"/>
      <c r="R14660" s="1"/>
      <c r="S14660" s="1"/>
      <c r="T14660" s="1"/>
      <c r="U14660" s="1"/>
      <c r="V14660" s="1"/>
      <c r="W14660" s="1"/>
      <c r="X14660" s="1"/>
      <c r="Y14660" s="1"/>
      <c r="Z14660" s="1"/>
      <c r="AA14660" s="1"/>
      <c r="AB14660" s="1"/>
    </row>
    <row r="14661" ht="50.25" customHeight="1">
      <c r="A14661" s="12">
        <v>14657.0</v>
      </c>
      <c r="B14661" s="13" t="s">
        <v>13838</v>
      </c>
      <c r="C14661" s="14" t="s">
        <v>13897</v>
      </c>
      <c r="D14661" s="1"/>
      <c r="E14661" s="1"/>
      <c r="F14661" s="1" t="str">
        <f>IFERROR(__xludf.DUMMYFUNCTION("GOOGLETRANSLATE(B14661, ""en"", ""fa"")
"),"درآمد غیرفعال")</f>
        <v>درآمد غیرفعال</v>
      </c>
      <c r="G14661" s="1" t="str">
        <f>IFERROR(__xludf.DUMMYFUNCTION("GOOGLETRANSLATE(C14661, ""en"", ""fa"")
"),"مفهوم سرمایه‌گذاری‌های بدهی املاک و مستغلات و نقش آن‌ها در تأمین مالی تملک و توسعه دارایی را بررسی کنید.")</f>
        <v>مفهوم سرمایه‌گذاری‌های بدهی املاک و مستغلات و نقش آن‌ها در تأمین مالی تملک و توسعه دارایی را بررسی کنید.</v>
      </c>
      <c r="H14661" s="1"/>
      <c r="I14661" s="1"/>
      <c r="J14661" s="1"/>
      <c r="K14661" s="1"/>
      <c r="L14661" s="1"/>
      <c r="M14661" s="1"/>
      <c r="N14661" s="1"/>
      <c r="O14661" s="1"/>
      <c r="P14661" s="1"/>
      <c r="Q14661" s="1"/>
      <c r="R14661" s="1"/>
      <c r="S14661" s="1"/>
      <c r="T14661" s="1"/>
      <c r="U14661" s="1"/>
      <c r="V14661" s="1"/>
      <c r="W14661" s="1"/>
      <c r="X14661" s="1"/>
      <c r="Y14661" s="1"/>
      <c r="Z14661" s="1"/>
      <c r="AA14661" s="1"/>
      <c r="AB14661" s="1"/>
    </row>
    <row r="14662" ht="50.25" customHeight="1">
      <c r="A14662" s="12">
        <v>14658.0</v>
      </c>
      <c r="B14662" s="13" t="s">
        <v>13838</v>
      </c>
      <c r="C14662" s="14" t="s">
        <v>13898</v>
      </c>
      <c r="D14662" s="1"/>
      <c r="E14662" s="1"/>
      <c r="F14662" s="1" t="str">
        <f>IFERROR(__xludf.DUMMYFUNCTION("GOOGLETRANSLATE(B14662, ""en"", ""fa"")
"),"درآمد غیرفعال")</f>
        <v>درآمد غیرفعال</v>
      </c>
      <c r="G14662" s="1" t="str">
        <f>IFERROR(__xludf.DUMMYFUNCTION("GOOGLETRANSLATE(C14662, ""en"", ""fa"")
"),"درباره تأثیر پروژه های فرهنگی و خلاقانه در تقویت حس اجتماعی و مشارکت در تأمین مالی جمعی بحث کنید.")</f>
        <v>درباره تأثیر پروژه های فرهنگی و خلاقانه در تقویت حس اجتماعی و مشارکت در تأمین مالی جمعی بحث کنید.</v>
      </c>
      <c r="H14662" s="1"/>
      <c r="I14662" s="1"/>
      <c r="J14662" s="1"/>
      <c r="K14662" s="1"/>
      <c r="L14662" s="1"/>
      <c r="M14662" s="1"/>
      <c r="N14662" s="1"/>
      <c r="O14662" s="1"/>
      <c r="P14662" s="1"/>
      <c r="Q14662" s="1"/>
      <c r="R14662" s="1"/>
      <c r="S14662" s="1"/>
      <c r="T14662" s="1"/>
      <c r="U14662" s="1"/>
      <c r="V14662" s="1"/>
      <c r="W14662" s="1"/>
      <c r="X14662" s="1"/>
      <c r="Y14662" s="1"/>
      <c r="Z14662" s="1"/>
      <c r="AA14662" s="1"/>
      <c r="AB14662" s="1"/>
    </row>
    <row r="14663" ht="50.25" customHeight="1">
      <c r="A14663" s="12">
        <v>14659.0</v>
      </c>
      <c r="B14663" s="13" t="s">
        <v>13838</v>
      </c>
      <c r="C14663" s="14" t="s">
        <v>13899</v>
      </c>
      <c r="D14663" s="1"/>
      <c r="E14663" s="1"/>
      <c r="F14663" s="1" t="str">
        <f>IFERROR(__xludf.DUMMYFUNCTION("GOOGLETRANSLATE(B14663, ""en"", ""fa"")
"),"درآمد غیرفعال")</f>
        <v>درآمد غیرفعال</v>
      </c>
      <c r="G14663" s="1" t="str">
        <f>IFERROR(__xludf.DUMMYFUNCTION("GOOGLETRANSLATE(C14663, ""en"", ""fa"")
"),"سرمایه گذاران چگونه می توانند همسویی پروژه های تامین مالی جمعی را با روندهای صنعتی گسترده تر و ترجیحات مصرف کننده ارزیابی کنند؟")</f>
        <v>سرمایه گذاران چگونه می توانند همسویی پروژه های تامین مالی جمعی را با روندهای صنعتی گسترده تر و ترجیحات مصرف کننده ارزیابی کنند؟</v>
      </c>
      <c r="H14663" s="1"/>
      <c r="I14663" s="1"/>
      <c r="J14663" s="1"/>
      <c r="K14663" s="1"/>
      <c r="L14663" s="1"/>
      <c r="M14663" s="1"/>
      <c r="N14663" s="1"/>
      <c r="O14663" s="1"/>
      <c r="P14663" s="1"/>
      <c r="Q14663" s="1"/>
      <c r="R14663" s="1"/>
      <c r="S14663" s="1"/>
      <c r="T14663" s="1"/>
      <c r="U14663" s="1"/>
      <c r="V14663" s="1"/>
      <c r="W14663" s="1"/>
      <c r="X14663" s="1"/>
      <c r="Y14663" s="1"/>
      <c r="Z14663" s="1"/>
      <c r="AA14663" s="1"/>
      <c r="AB14663" s="1"/>
    </row>
    <row r="14664" ht="50.25" customHeight="1">
      <c r="A14664" s="12">
        <v>14660.0</v>
      </c>
      <c r="B14664" s="13" t="s">
        <v>13838</v>
      </c>
      <c r="C14664" s="14" t="s">
        <v>13900</v>
      </c>
      <c r="D14664" s="1"/>
      <c r="E14664" s="1"/>
      <c r="F14664" s="1" t="str">
        <f>IFERROR(__xludf.DUMMYFUNCTION("GOOGLETRANSLATE(B14664, ""en"", ""fa"")
"),"درآمد غیرفعال")</f>
        <v>درآمد غیرفعال</v>
      </c>
      <c r="G14664" s="1" t="str">
        <f>IFERROR(__xludf.DUMMYFUNCTION("GOOGLETRANSLATE(C14664, ""en"", ""fa"")
"),"در مورد مفهوم املاک اجاره ای به عنوان یک استراتژی درآمد غیرفعال بحث کنید. مزایای کلیدی سرمایه گذاری در املاک چیست؟")</f>
        <v>در مورد مفهوم املاک اجاره ای به عنوان یک استراتژی درآمد غیرفعال بحث کنید. مزایای کلیدی سرمایه گذاری در املاک چیست؟</v>
      </c>
      <c r="H14664" s="1"/>
      <c r="I14664" s="1"/>
      <c r="J14664" s="1"/>
      <c r="K14664" s="1"/>
      <c r="L14664" s="1"/>
      <c r="M14664" s="1"/>
      <c r="N14664" s="1"/>
      <c r="O14664" s="1"/>
      <c r="P14664" s="1"/>
      <c r="Q14664" s="1"/>
      <c r="R14664" s="1"/>
      <c r="S14664" s="1"/>
      <c r="T14664" s="1"/>
      <c r="U14664" s="1"/>
      <c r="V14664" s="1"/>
      <c r="W14664" s="1"/>
      <c r="X14664" s="1"/>
      <c r="Y14664" s="1"/>
      <c r="Z14664" s="1"/>
      <c r="AA14664" s="1"/>
      <c r="AB14664" s="1"/>
    </row>
    <row r="14665" ht="50.25" customHeight="1">
      <c r="A14665" s="12">
        <v>14661.0</v>
      </c>
      <c r="B14665" s="13" t="s">
        <v>13838</v>
      </c>
      <c r="C14665" s="14" t="s">
        <v>13901</v>
      </c>
      <c r="D14665" s="1"/>
      <c r="E14665" s="1"/>
      <c r="F14665" s="1" t="str">
        <f>IFERROR(__xludf.DUMMYFUNCTION("GOOGLETRANSLATE(B14665, ""en"", ""fa"")
"),"درآمد غیرفعال")</f>
        <v>درآمد غیرفعال</v>
      </c>
      <c r="G14665" s="1" t="str">
        <f>IFERROR(__xludf.DUMMYFUNCTION("GOOGLETRANSLATE(C14665, ""en"", ""fa"")
"),"سرمایه گذاران هنگام ارزیابی املاک اجاره ای بالقوه برای تولید درآمد غیرفعال چه عواملی را باید در نظر بگیرند؟")</f>
        <v>سرمایه گذاران هنگام ارزیابی املاک اجاره ای بالقوه برای تولید درآمد غیرفعال چه عواملی را باید در نظر بگیرند؟</v>
      </c>
      <c r="H14665" s="1"/>
      <c r="I14665" s="1"/>
      <c r="J14665" s="1"/>
      <c r="K14665" s="1"/>
      <c r="L14665" s="1"/>
      <c r="M14665" s="1"/>
      <c r="N14665" s="1"/>
      <c r="O14665" s="1"/>
      <c r="P14665" s="1"/>
      <c r="Q14665" s="1"/>
      <c r="R14665" s="1"/>
      <c r="S14665" s="1"/>
      <c r="T14665" s="1"/>
      <c r="U14665" s="1"/>
      <c r="V14665" s="1"/>
      <c r="W14665" s="1"/>
      <c r="X14665" s="1"/>
      <c r="Y14665" s="1"/>
      <c r="Z14665" s="1"/>
      <c r="AA14665" s="1"/>
      <c r="AB14665" s="1"/>
    </row>
    <row r="14666" ht="50.25" customHeight="1">
      <c r="A14666" s="12">
        <v>14662.0</v>
      </c>
      <c r="B14666" s="13" t="s">
        <v>13838</v>
      </c>
      <c r="C14666" s="14" t="s">
        <v>13902</v>
      </c>
      <c r="D14666" s="1"/>
      <c r="E14666" s="1"/>
      <c r="F14666" s="1" t="str">
        <f>IFERROR(__xludf.DUMMYFUNCTION("GOOGLETRANSLATE(B14666, ""en"", ""fa"")
"),"درآمد غیرفعال")</f>
        <v>درآمد غیرفعال</v>
      </c>
      <c r="G14666" s="1" t="str">
        <f>IFERROR(__xludf.DUMMYFUNCTION("GOOGLETRANSLATE(C14666, ""en"", ""fa"")
"),"پتانسیل سرمایه‌گذاری در خانه‌های تک‌خانواری را به‌عنوان املاک اجاره‌ای برای جریان نقدی ثابت بررسی کنید.")</f>
        <v>پتانسیل سرمایه‌گذاری در خانه‌های تک‌خانواری را به‌عنوان املاک اجاره‌ای برای جریان نقدی ثابت بررسی کنید.</v>
      </c>
      <c r="H14666" s="1"/>
      <c r="I14666" s="1"/>
      <c r="J14666" s="1"/>
      <c r="K14666" s="1"/>
      <c r="L14666" s="1"/>
      <c r="M14666" s="1"/>
      <c r="N14666" s="1"/>
      <c r="O14666" s="1"/>
      <c r="P14666" s="1"/>
      <c r="Q14666" s="1"/>
      <c r="R14666" s="1"/>
      <c r="S14666" s="1"/>
      <c r="T14666" s="1"/>
      <c r="U14666" s="1"/>
      <c r="V14666" s="1"/>
      <c r="W14666" s="1"/>
      <c r="X14666" s="1"/>
      <c r="Y14666" s="1"/>
      <c r="Z14666" s="1"/>
      <c r="AA14666" s="1"/>
      <c r="AB14666" s="1"/>
    </row>
    <row r="14667" ht="50.25" customHeight="1">
      <c r="A14667" s="12">
        <v>14663.0</v>
      </c>
      <c r="B14667" s="13" t="s">
        <v>13838</v>
      </c>
      <c r="C14667" s="14" t="s">
        <v>13903</v>
      </c>
      <c r="D14667" s="1"/>
      <c r="E14667" s="1"/>
      <c r="F14667" s="1" t="str">
        <f>IFERROR(__xludf.DUMMYFUNCTION("GOOGLETRANSLATE(B14667, ""en"", ""fa"")
"),"درآمد غیرفعال")</f>
        <v>درآمد غیرفعال</v>
      </c>
      <c r="G14667" s="1" t="str">
        <f>IFERROR(__xludf.DUMMYFUNCTION("GOOGLETRANSLATE(C14667, ""en"", ""fa"")
"),"درباره نقش مکان و انتخاب محله در تعیین موفقیت سرمایه گذاری املاک اجاره ای بحث کنید.")</f>
        <v>درباره نقش مکان و انتخاب محله در تعیین موفقیت سرمایه گذاری املاک اجاره ای بحث کنید.</v>
      </c>
      <c r="H14667" s="1"/>
      <c r="I14667" s="1"/>
      <c r="J14667" s="1"/>
      <c r="K14667" s="1"/>
      <c r="L14667" s="1"/>
      <c r="M14667" s="1"/>
      <c r="N14667" s="1"/>
      <c r="O14667" s="1"/>
      <c r="P14667" s="1"/>
      <c r="Q14667" s="1"/>
      <c r="R14667" s="1"/>
      <c r="S14667" s="1"/>
      <c r="T14667" s="1"/>
      <c r="U14667" s="1"/>
      <c r="V14667" s="1"/>
      <c r="W14667" s="1"/>
      <c r="X14667" s="1"/>
      <c r="Y14667" s="1"/>
      <c r="Z14667" s="1"/>
      <c r="AA14667" s="1"/>
      <c r="AB14667" s="1"/>
    </row>
    <row r="14668" ht="50.25" customHeight="1">
      <c r="A14668" s="12">
        <v>14664.0</v>
      </c>
      <c r="B14668" s="13" t="s">
        <v>13838</v>
      </c>
      <c r="C14668" s="14" t="s">
        <v>13904</v>
      </c>
      <c r="D14668" s="1"/>
      <c r="E14668" s="1"/>
      <c r="F14668" s="1" t="str">
        <f>IFERROR(__xludf.DUMMYFUNCTION("GOOGLETRANSLATE(B14668, ""en"", ""fa"")
"),"درآمد غیرفعال")</f>
        <v>درآمد غیرفعال</v>
      </c>
      <c r="G14668" s="1" t="str">
        <f>IFERROR(__xludf.DUMMYFUNCTION("GOOGLETRANSLATE(C14668, ""en"", ""fa"")
"),"سرمایه‌گذاران چگونه می‌توانند از اهرم‌هایی مانند وام مسکن برای به دست آوردن املاک اجاره‌ای و افزایش درآمد غیرفعال خود استفاده کنند؟")</f>
        <v>سرمایه‌گذاران چگونه می‌توانند از اهرم‌هایی مانند وام مسکن برای به دست آوردن املاک اجاره‌ای و افزایش درآمد غیرفعال خود استفاده کنند؟</v>
      </c>
      <c r="H14668" s="1"/>
      <c r="I14668" s="1"/>
      <c r="J14668" s="1"/>
      <c r="K14668" s="1"/>
      <c r="L14668" s="1"/>
      <c r="M14668" s="1"/>
      <c r="N14668" s="1"/>
      <c r="O14668" s="1"/>
      <c r="P14668" s="1"/>
      <c r="Q14668" s="1"/>
      <c r="R14668" s="1"/>
      <c r="S14668" s="1"/>
      <c r="T14668" s="1"/>
      <c r="U14668" s="1"/>
      <c r="V14668" s="1"/>
      <c r="W14668" s="1"/>
      <c r="X14668" s="1"/>
      <c r="Y14668" s="1"/>
      <c r="Z14668" s="1"/>
      <c r="AA14668" s="1"/>
      <c r="AB14668" s="1"/>
    </row>
    <row r="14669" ht="50.25" customHeight="1">
      <c r="A14669" s="12">
        <v>14665.0</v>
      </c>
      <c r="B14669" s="13" t="s">
        <v>13838</v>
      </c>
      <c r="C14669" s="14" t="s">
        <v>13905</v>
      </c>
      <c r="D14669" s="1"/>
      <c r="E14669" s="1"/>
      <c r="F14669" s="1" t="str">
        <f>IFERROR(__xludf.DUMMYFUNCTION("GOOGLETRANSLATE(B14669, ""en"", ""fa"")
"),"درآمد غیرفعال")</f>
        <v>درآمد غیرفعال</v>
      </c>
      <c r="G14669" s="1" t="str">
        <f>IFERROR(__xludf.DUMMYFUNCTION("GOOGLETRANSLATE(C14669, ""en"", ""fa"")
"),"تاثیر گزینه های مدیریت دارایی، از خود مدیریتی گرفته تا استخدام مدیران حرفه ای املاک را بررسی کنید.")</f>
        <v>تاثیر گزینه های مدیریت دارایی، از خود مدیریتی گرفته تا استخدام مدیران حرفه ای املاک را بررسی کنید.</v>
      </c>
      <c r="H14669" s="1"/>
      <c r="I14669" s="1"/>
      <c r="J14669" s="1"/>
      <c r="K14669" s="1"/>
      <c r="L14669" s="1"/>
      <c r="M14669" s="1"/>
      <c r="N14669" s="1"/>
      <c r="O14669" s="1"/>
      <c r="P14669" s="1"/>
      <c r="Q14669" s="1"/>
      <c r="R14669" s="1"/>
      <c r="S14669" s="1"/>
      <c r="T14669" s="1"/>
      <c r="U14669" s="1"/>
      <c r="V14669" s="1"/>
      <c r="W14669" s="1"/>
      <c r="X14669" s="1"/>
      <c r="Y14669" s="1"/>
      <c r="Z14669" s="1"/>
      <c r="AA14669" s="1"/>
      <c r="AB14669" s="1"/>
    </row>
    <row r="14670" ht="50.25" customHeight="1">
      <c r="A14670" s="12">
        <v>14666.0</v>
      </c>
      <c r="B14670" s="13" t="s">
        <v>13838</v>
      </c>
      <c r="C14670" s="14" t="s">
        <v>13906</v>
      </c>
      <c r="D14670" s="1"/>
      <c r="E14670" s="1"/>
      <c r="F14670" s="1" t="str">
        <f>IFERROR(__xludf.DUMMYFUNCTION("GOOGLETRANSLATE(B14670, ""en"", ""fa"")
"),"درآمد غیرفعال")</f>
        <v>درآمد غیرفعال</v>
      </c>
      <c r="G14670" s="1" t="str">
        <f>IFERROR(__xludf.DUMMYFUNCTION("GOOGLETRANSLATE(C14670, ""en"", ""fa"")
"),"سرمایه گذاران از چه استراتژی هایی می توانند برای محاسبه و به حداکثر رساندن بازده اجاره املاک سرمایه گذاری خود استفاده کنند؟")</f>
        <v>سرمایه گذاران از چه استراتژی هایی می توانند برای محاسبه و به حداکثر رساندن بازده اجاره املاک سرمایه گذاری خود استفاده کنند؟</v>
      </c>
      <c r="H14670" s="1"/>
      <c r="I14670" s="1"/>
      <c r="J14670" s="1"/>
      <c r="K14670" s="1"/>
      <c r="L14670" s="1"/>
      <c r="M14670" s="1"/>
      <c r="N14670" s="1"/>
      <c r="O14670" s="1"/>
      <c r="P14670" s="1"/>
      <c r="Q14670" s="1"/>
      <c r="R14670" s="1"/>
      <c r="S14670" s="1"/>
      <c r="T14670" s="1"/>
      <c r="U14670" s="1"/>
      <c r="V14670" s="1"/>
      <c r="W14670" s="1"/>
      <c r="X14670" s="1"/>
      <c r="Y14670" s="1"/>
      <c r="Z14670" s="1"/>
      <c r="AA14670" s="1"/>
      <c r="AB14670" s="1"/>
    </row>
    <row r="14671" ht="50.25" customHeight="1">
      <c r="A14671" s="12">
        <v>14667.0</v>
      </c>
      <c r="B14671" s="13" t="s">
        <v>13838</v>
      </c>
      <c r="C14671" s="14" t="s">
        <v>13907</v>
      </c>
      <c r="D14671" s="1"/>
      <c r="E14671" s="1"/>
      <c r="F14671" s="1" t="str">
        <f>IFERROR(__xludf.DUMMYFUNCTION("GOOGLETRANSLATE(B14671, ""en"", ""fa"")
"),"درآمد غیرفعال")</f>
        <v>درآمد غیرفعال</v>
      </c>
      <c r="G14671" s="1" t="str">
        <f>IFERROR(__xludf.DUMMYFUNCTION("GOOGLETRANSLATE(C14671, ""en"", ""fa"")
"),"در مورد اهمیت غربالگری و انتخاب مستاجر در حفظ درآمد اجاره پایدار و قابل اعتماد بحث کنید.")</f>
        <v>در مورد اهمیت غربالگری و انتخاب مستاجر در حفظ درآمد اجاره پایدار و قابل اعتماد بحث کنید.</v>
      </c>
      <c r="H14671" s="1"/>
      <c r="I14671" s="1"/>
      <c r="J14671" s="1"/>
      <c r="K14671" s="1"/>
      <c r="L14671" s="1"/>
      <c r="M14671" s="1"/>
      <c r="N14671" s="1"/>
      <c r="O14671" s="1"/>
      <c r="P14671" s="1"/>
      <c r="Q14671" s="1"/>
      <c r="R14671" s="1"/>
      <c r="S14671" s="1"/>
      <c r="T14671" s="1"/>
      <c r="U14671" s="1"/>
      <c r="V14671" s="1"/>
      <c r="W14671" s="1"/>
      <c r="X14671" s="1"/>
      <c r="Y14671" s="1"/>
      <c r="Z14671" s="1"/>
      <c r="AA14671" s="1"/>
      <c r="AB14671" s="1"/>
    </row>
    <row r="14672" ht="50.25" customHeight="1">
      <c r="A14672" s="12">
        <v>14668.0</v>
      </c>
      <c r="B14672" s="13" t="s">
        <v>13838</v>
      </c>
      <c r="C14672" s="14" t="s">
        <v>13908</v>
      </c>
      <c r="D14672" s="1"/>
      <c r="E14672" s="1"/>
      <c r="F14672" s="1" t="str">
        <f>IFERROR(__xludf.DUMMYFUNCTION("GOOGLETRANSLATE(B14672, ""en"", ""fa"")
"),"درآمد غیرفعال")</f>
        <v>درآمد غیرفعال</v>
      </c>
      <c r="G14672" s="1" t="str">
        <f>IFERROR(__xludf.DUMMYFUNCTION("GOOGLETRANSLATE(C14672, ""en"", ""fa"")
"),"مفهوم هک خانه را به عنوان راهی برای ایجاد درآمد غیرفعال از طریق زندگی در یک واحد و اجاره سایر واحدها بررسی کنید.")</f>
        <v>مفهوم هک خانه را به عنوان راهی برای ایجاد درآمد غیرفعال از طریق زندگی در یک واحد و اجاره سایر واحدها بررسی کنید.</v>
      </c>
      <c r="H14672" s="1"/>
      <c r="I14672" s="1"/>
      <c r="J14672" s="1"/>
      <c r="K14672" s="1"/>
      <c r="L14672" s="1"/>
      <c r="M14672" s="1"/>
      <c r="N14672" s="1"/>
      <c r="O14672" s="1"/>
      <c r="P14672" s="1"/>
      <c r="Q14672" s="1"/>
      <c r="R14672" s="1"/>
      <c r="S14672" s="1"/>
      <c r="T14672" s="1"/>
      <c r="U14672" s="1"/>
      <c r="V14672" s="1"/>
      <c r="W14672" s="1"/>
      <c r="X14672" s="1"/>
      <c r="Y14672" s="1"/>
      <c r="Z14672" s="1"/>
      <c r="AA14672" s="1"/>
      <c r="AB14672" s="1"/>
    </row>
    <row r="14673" ht="50.25" customHeight="1">
      <c r="A14673" s="12">
        <v>14669.0</v>
      </c>
      <c r="B14673" s="13" t="s">
        <v>13838</v>
      </c>
      <c r="C14673" s="14" t="s">
        <v>13909</v>
      </c>
      <c r="D14673" s="1"/>
      <c r="E14673" s="1"/>
      <c r="F14673" s="1" t="str">
        <f>IFERROR(__xludf.DUMMYFUNCTION("GOOGLETRANSLATE(B14673, ""en"", ""fa"")
"),"درآمد غیرفعال")</f>
        <v>درآمد غیرفعال</v>
      </c>
      <c r="G14673" s="1" t="str">
        <f>IFERROR(__xludf.DUMMYFUNCTION("GOOGLETRANSLATE(C14673, ""en"", ""fa"")
"),"سرمایه گذاران چگونه می توانند از مزایای مالیاتی، مانند استهلاک و کسر، برای بهینه سازی بازده املاک اجاره ای استفاده کنند؟")</f>
        <v>سرمایه گذاران چگونه می توانند از مزایای مالیاتی، مانند استهلاک و کسر، برای بهینه سازی بازده املاک اجاره ای استفاده کنند؟</v>
      </c>
      <c r="H14673" s="1"/>
      <c r="I14673" s="1"/>
      <c r="J14673" s="1"/>
      <c r="K14673" s="1"/>
      <c r="L14673" s="1"/>
      <c r="M14673" s="1"/>
      <c r="N14673" s="1"/>
      <c r="O14673" s="1"/>
      <c r="P14673" s="1"/>
      <c r="Q14673" s="1"/>
      <c r="R14673" s="1"/>
      <c r="S14673" s="1"/>
      <c r="T14673" s="1"/>
      <c r="U14673" s="1"/>
      <c r="V14673" s="1"/>
      <c r="W14673" s="1"/>
      <c r="X14673" s="1"/>
      <c r="Y14673" s="1"/>
      <c r="Z14673" s="1"/>
      <c r="AA14673" s="1"/>
      <c r="AB14673" s="1"/>
    </row>
    <row r="14674" ht="50.25" customHeight="1">
      <c r="A14674" s="12">
        <v>14670.0</v>
      </c>
      <c r="B14674" s="13" t="s">
        <v>13838</v>
      </c>
      <c r="C14674" s="14" t="s">
        <v>13910</v>
      </c>
      <c r="D14674" s="1"/>
      <c r="E14674" s="1"/>
      <c r="F14674" s="1" t="str">
        <f>IFERROR(__xludf.DUMMYFUNCTION("GOOGLETRANSLATE(B14674, ""en"", ""fa"")
"),"درآمد غیرفعال")</f>
        <v>درآمد غیرفعال</v>
      </c>
      <c r="G14674" s="1" t="str">
        <f>IFERROR(__xludf.DUMMYFUNCTION("GOOGLETRANSLATE(C14674, ""en"", ""fa"")
"),"در مورد پتانسیل سرمایه گذاری در املاک چند واحدی، مانند دوبلکس و مجتمع های آپارتمانی، برای درآمد غیرفعال بحث کنید.")</f>
        <v>در مورد پتانسیل سرمایه گذاری در املاک چند واحدی، مانند دوبلکس و مجتمع های آپارتمانی، برای درآمد غیرفعال بحث کنید.</v>
      </c>
      <c r="H14674" s="1"/>
      <c r="I14674" s="1"/>
      <c r="J14674" s="1"/>
      <c r="K14674" s="1"/>
      <c r="L14674" s="1"/>
      <c r="M14674" s="1"/>
      <c r="N14674" s="1"/>
      <c r="O14674" s="1"/>
      <c r="P14674" s="1"/>
      <c r="Q14674" s="1"/>
      <c r="R14674" s="1"/>
      <c r="S14674" s="1"/>
      <c r="T14674" s="1"/>
      <c r="U14674" s="1"/>
      <c r="V14674" s="1"/>
      <c r="W14674" s="1"/>
      <c r="X14674" s="1"/>
      <c r="Y14674" s="1"/>
      <c r="Z14674" s="1"/>
      <c r="AA14674" s="1"/>
      <c r="AB14674" s="1"/>
    </row>
    <row r="14675" ht="50.25" customHeight="1">
      <c r="A14675" s="12">
        <v>14671.0</v>
      </c>
      <c r="B14675" s="13" t="s">
        <v>13838</v>
      </c>
      <c r="C14675" s="14" t="s">
        <v>13911</v>
      </c>
      <c r="D14675" s="1"/>
      <c r="E14675" s="1"/>
      <c r="F14675" s="1" t="str">
        <f>IFERROR(__xludf.DUMMYFUNCTION("GOOGLETRANSLATE(B14675, ""en"", ""fa"")
"),"درآمد غیرفعال")</f>
        <v>درآمد غیرفعال</v>
      </c>
      <c r="G14675" s="1" t="str">
        <f>IFERROR(__xludf.DUMMYFUNCTION("GOOGLETRANSLATE(C14675, ""en"", ""fa"")
"),"ملاحظات کلیدی برای سرمایه گذاران هنگام تعیین قیمت اجاره برای املاک سرمایه گذاری خود چیست؟")</f>
        <v>ملاحظات کلیدی برای سرمایه گذاران هنگام تعیین قیمت اجاره برای املاک سرمایه گذاری خود چیست؟</v>
      </c>
      <c r="H14675" s="1"/>
      <c r="I14675" s="1"/>
      <c r="J14675" s="1"/>
      <c r="K14675" s="1"/>
      <c r="L14675" s="1"/>
      <c r="M14675" s="1"/>
      <c r="N14675" s="1"/>
      <c r="O14675" s="1"/>
      <c r="P14675" s="1"/>
      <c r="Q14675" s="1"/>
      <c r="R14675" s="1"/>
      <c r="S14675" s="1"/>
      <c r="T14675" s="1"/>
      <c r="U14675" s="1"/>
      <c r="V14675" s="1"/>
      <c r="W14675" s="1"/>
      <c r="X14675" s="1"/>
      <c r="Y14675" s="1"/>
      <c r="Z14675" s="1"/>
      <c r="AA14675" s="1"/>
      <c r="AB14675" s="1"/>
    </row>
    <row r="14676" ht="50.25" customHeight="1">
      <c r="A14676" s="12">
        <v>14672.0</v>
      </c>
      <c r="B14676" s="13" t="s">
        <v>13838</v>
      </c>
      <c r="C14676" s="14" t="s">
        <v>13912</v>
      </c>
      <c r="D14676" s="1"/>
      <c r="E14676" s="1"/>
      <c r="F14676" s="1" t="str">
        <f>IFERROR(__xludf.DUMMYFUNCTION("GOOGLETRANSLATE(B14676, ""en"", ""fa"")
"),"درآمد غیرفعال")</f>
        <v>درآمد غیرفعال</v>
      </c>
      <c r="G14676" s="1" t="str">
        <f>IFERROR(__xludf.DUMMYFUNCTION("GOOGLETRANSLATE(C14676, ""en"", ""fa"")
"),"تاثیر نگهداری و تعمیرات ملک بر سودآوری و موفقیت بلندمدت املاک اجاره ای را بررسی کنید.")</f>
        <v>تاثیر نگهداری و تعمیرات ملک بر سودآوری و موفقیت بلندمدت املاک اجاره ای را بررسی کنید.</v>
      </c>
      <c r="H14676" s="1"/>
      <c r="I14676" s="1"/>
      <c r="J14676" s="1"/>
      <c r="K14676" s="1"/>
      <c r="L14676" s="1"/>
      <c r="M14676" s="1"/>
      <c r="N14676" s="1"/>
      <c r="O14676" s="1"/>
      <c r="P14676" s="1"/>
      <c r="Q14676" s="1"/>
      <c r="R14676" s="1"/>
      <c r="S14676" s="1"/>
      <c r="T14676" s="1"/>
      <c r="U14676" s="1"/>
      <c r="V14676" s="1"/>
      <c r="W14676" s="1"/>
      <c r="X14676" s="1"/>
      <c r="Y14676" s="1"/>
      <c r="Z14676" s="1"/>
      <c r="AA14676" s="1"/>
      <c r="AB14676" s="1"/>
    </row>
    <row r="14677" ht="50.25" customHeight="1">
      <c r="A14677" s="12">
        <v>14673.0</v>
      </c>
      <c r="B14677" s="13" t="s">
        <v>13838</v>
      </c>
      <c r="C14677" s="14" t="s">
        <v>13913</v>
      </c>
      <c r="D14677" s="1"/>
      <c r="E14677" s="1"/>
      <c r="F14677" s="1" t="str">
        <f>IFERROR(__xludf.DUMMYFUNCTION("GOOGLETRANSLATE(B14677, ""en"", ""fa"")
"),"درآمد غیرفعال")</f>
        <v>درآمد غیرفعال</v>
      </c>
      <c r="G14677" s="1" t="str">
        <f>IFERROR(__xludf.DUMMYFUNCTION("GOOGLETRANSLATE(C14677, ""en"", ""fa"")
"),"سرمایه‌گذاران چگونه می‌توانند یک تجربه مستاجر مثبت برای تشویق اجاره‌های طولانی‌تر و کاهش گردش مالی ایجاد کنند؟")</f>
        <v>سرمایه‌گذاران چگونه می‌توانند یک تجربه مستاجر مثبت برای تشویق اجاره‌های طولانی‌تر و کاهش گردش مالی ایجاد کنند؟</v>
      </c>
      <c r="H14677" s="1"/>
      <c r="I14677" s="1"/>
      <c r="J14677" s="1"/>
      <c r="K14677" s="1"/>
      <c r="L14677" s="1"/>
      <c r="M14677" s="1"/>
      <c r="N14677" s="1"/>
      <c r="O14677" s="1"/>
      <c r="P14677" s="1"/>
      <c r="Q14677" s="1"/>
      <c r="R14677" s="1"/>
      <c r="S14677" s="1"/>
      <c r="T14677" s="1"/>
      <c r="U14677" s="1"/>
      <c r="V14677" s="1"/>
      <c r="W14677" s="1"/>
      <c r="X14677" s="1"/>
      <c r="Y14677" s="1"/>
      <c r="Z14677" s="1"/>
      <c r="AA14677" s="1"/>
      <c r="AB14677" s="1"/>
    </row>
    <row r="14678" ht="50.25" customHeight="1">
      <c r="A14678" s="12">
        <v>14674.0</v>
      </c>
      <c r="B14678" s="13" t="s">
        <v>13838</v>
      </c>
      <c r="C14678" s="14" t="s">
        <v>13914</v>
      </c>
      <c r="D14678" s="1"/>
      <c r="E14678" s="1"/>
      <c r="F14678" s="1" t="str">
        <f>IFERROR(__xludf.DUMMYFUNCTION("GOOGLETRANSLATE(B14678, ""en"", ""fa"")
"),"درآمد غیرفعال")</f>
        <v>درآمد غیرفعال</v>
      </c>
      <c r="G14678" s="1" t="str">
        <f>IFERROR(__xludf.DUMMYFUNCTION("GOOGLETRANSLATE(C14678, ""en"", ""fa"")
"),"در مورد نقش چرخه ها و روندهای بازار املاک در تأثیرگذاری بر سرمایه گذاری املاک اجاره ای بحث کنید.")</f>
        <v>در مورد نقش چرخه ها و روندهای بازار املاک در تأثیرگذاری بر سرمایه گذاری املاک اجاره ای بحث کنید.</v>
      </c>
      <c r="H14678" s="1"/>
      <c r="I14678" s="1"/>
      <c r="J14678" s="1"/>
      <c r="K14678" s="1"/>
      <c r="L14678" s="1"/>
      <c r="M14678" s="1"/>
      <c r="N14678" s="1"/>
      <c r="O14678" s="1"/>
      <c r="P14678" s="1"/>
      <c r="Q14678" s="1"/>
      <c r="R14678" s="1"/>
      <c r="S14678" s="1"/>
      <c r="T14678" s="1"/>
      <c r="U14678" s="1"/>
      <c r="V14678" s="1"/>
      <c r="W14678" s="1"/>
      <c r="X14678" s="1"/>
      <c r="Y14678" s="1"/>
      <c r="Z14678" s="1"/>
      <c r="AA14678" s="1"/>
      <c r="AB14678" s="1"/>
    </row>
    <row r="14679" ht="50.25" customHeight="1">
      <c r="A14679" s="12">
        <v>14675.0</v>
      </c>
      <c r="B14679" s="13" t="s">
        <v>13838</v>
      </c>
      <c r="C14679" s="14" t="s">
        <v>13915</v>
      </c>
      <c r="D14679" s="1"/>
      <c r="E14679" s="1"/>
      <c r="F14679" s="1" t="str">
        <f>IFERROR(__xludf.DUMMYFUNCTION("GOOGLETRANSLATE(B14679, ""en"", ""fa"")
"),"درآمد غیرفعال")</f>
        <v>درآمد غیرفعال</v>
      </c>
      <c r="G14679" s="1" t="str">
        <f>IFERROR(__xludf.DUMMYFUNCTION("GOOGLETRANSLATE(C14679, ""en"", ""fa"")
"),"پتانسیل سرمایه گذاری در املاک اجاره کوتاه مدت را از طریق پلتفرم هایی مانند Airbnb برای درآمد غیرفعال بررسی کنید.")</f>
        <v>پتانسیل سرمایه گذاری در املاک اجاره کوتاه مدت را از طریق پلتفرم هایی مانند Airbnb برای درآمد غیرفعال بررسی کنید.</v>
      </c>
      <c r="H14679" s="1"/>
      <c r="I14679" s="1"/>
      <c r="J14679" s="1"/>
      <c r="K14679" s="1"/>
      <c r="L14679" s="1"/>
      <c r="M14679" s="1"/>
      <c r="N14679" s="1"/>
      <c r="O14679" s="1"/>
      <c r="P14679" s="1"/>
      <c r="Q14679" s="1"/>
      <c r="R14679" s="1"/>
      <c r="S14679" s="1"/>
      <c r="T14679" s="1"/>
      <c r="U14679" s="1"/>
      <c r="V14679" s="1"/>
      <c r="W14679" s="1"/>
      <c r="X14679" s="1"/>
      <c r="Y14679" s="1"/>
      <c r="Z14679" s="1"/>
      <c r="AA14679" s="1"/>
      <c r="AB14679" s="1"/>
    </row>
    <row r="14680" ht="50.25" customHeight="1">
      <c r="A14680" s="12">
        <v>14676.0</v>
      </c>
      <c r="B14680" s="13" t="s">
        <v>13838</v>
      </c>
      <c r="C14680" s="14" t="s">
        <v>13916</v>
      </c>
      <c r="D14680" s="1"/>
      <c r="E14680" s="1"/>
      <c r="F14680" s="1" t="str">
        <f>IFERROR(__xludf.DUMMYFUNCTION("GOOGLETRANSLATE(B14680, ""en"", ""fa"")
"),"درآمد غیرفعال")</f>
        <v>درآمد غیرفعال</v>
      </c>
      <c r="G14680" s="1" t="str">
        <f>IFERROR(__xludf.DUMMYFUNCTION("GOOGLETRANSLATE(C14680, ""en"", ""fa"")
"),"سرمایه گذاران از چه استراتژی هایی می توانند برای بهینه سازی لیست های خود و جذب مهمان به دارایی های Airbnb خود استفاده کنند؟")</f>
        <v>سرمایه گذاران از چه استراتژی هایی می توانند برای بهینه سازی لیست های خود و جذب مهمان به دارایی های Airbnb خود استفاده کنند؟</v>
      </c>
      <c r="H14680" s="1"/>
      <c r="I14680" s="1"/>
      <c r="J14680" s="1"/>
      <c r="K14680" s="1"/>
      <c r="L14680" s="1"/>
      <c r="M14680" s="1"/>
      <c r="N14680" s="1"/>
      <c r="O14680" s="1"/>
      <c r="P14680" s="1"/>
      <c r="Q14680" s="1"/>
      <c r="R14680" s="1"/>
      <c r="S14680" s="1"/>
      <c r="T14680" s="1"/>
      <c r="U14680" s="1"/>
      <c r="V14680" s="1"/>
      <c r="W14680" s="1"/>
      <c r="X14680" s="1"/>
      <c r="Y14680" s="1"/>
      <c r="Z14680" s="1"/>
      <c r="AA14680" s="1"/>
      <c r="AB14680" s="1"/>
    </row>
    <row r="14681" ht="50.25" customHeight="1">
      <c r="A14681" s="12">
        <v>14677.0</v>
      </c>
      <c r="B14681" s="13" t="s">
        <v>13838</v>
      </c>
      <c r="C14681" s="14" t="s">
        <v>13917</v>
      </c>
      <c r="D14681" s="1"/>
      <c r="E14681" s="1"/>
      <c r="F14681" s="1" t="str">
        <f>IFERROR(__xludf.DUMMYFUNCTION("GOOGLETRANSLATE(B14681, ""en"", ""fa"")
"),"درآمد غیرفعال")</f>
        <v>درآمد غیرفعال</v>
      </c>
      <c r="G14681" s="1" t="str">
        <f>IFERROR(__xludf.DUMMYFUNCTION("GOOGLETRANSLATE(C14681, ""en"", ""fa"")
"),"در مورد اهمیت ارتباط موثر و پاسخگویی با مستاجرین یا مهمانان برای مدیریت موفق املاک اجاره ای بحث کنید.")</f>
        <v>در مورد اهمیت ارتباط موثر و پاسخگویی با مستاجرین یا مهمانان برای مدیریت موفق املاک اجاره ای بحث کنید.</v>
      </c>
      <c r="H14681" s="1"/>
      <c r="I14681" s="1"/>
      <c r="J14681" s="1"/>
      <c r="K14681" s="1"/>
      <c r="L14681" s="1"/>
      <c r="M14681" s="1"/>
      <c r="N14681" s="1"/>
      <c r="O14681" s="1"/>
      <c r="P14681" s="1"/>
      <c r="Q14681" s="1"/>
      <c r="R14681" s="1"/>
      <c r="S14681" s="1"/>
      <c r="T14681" s="1"/>
      <c r="U14681" s="1"/>
      <c r="V14681" s="1"/>
      <c r="W14681" s="1"/>
      <c r="X14681" s="1"/>
      <c r="Y14681" s="1"/>
      <c r="Z14681" s="1"/>
      <c r="AA14681" s="1"/>
      <c r="AB14681" s="1"/>
    </row>
    <row r="14682" ht="50.25" customHeight="1">
      <c r="A14682" s="12">
        <v>14678.0</v>
      </c>
      <c r="B14682" s="13" t="s">
        <v>13838</v>
      </c>
      <c r="C14682" s="14" t="s">
        <v>13918</v>
      </c>
      <c r="D14682" s="1"/>
      <c r="E14682" s="1"/>
      <c r="F14682" s="1" t="str">
        <f>IFERROR(__xludf.DUMMYFUNCTION("GOOGLETRANSLATE(B14682, ""en"", ""fa"")
"),"درآمد غیرفعال")</f>
        <v>درآمد غیرفعال</v>
      </c>
      <c r="G14682" s="1" t="str">
        <f>IFERROR(__xludf.DUMMYFUNCTION("GOOGLETRANSLATE(C14682, ""en"", ""fa"")
"),"تأثیر مقررات محلی و ملاحظات قانونی بر املاک اجاره ای و فهرست های Airbnb را بررسی کنید.")</f>
        <v>تأثیر مقررات محلی و ملاحظات قانونی بر املاک اجاره ای و فهرست های Airbnb را بررسی کنید.</v>
      </c>
      <c r="H14682" s="1"/>
      <c r="I14682" s="1"/>
      <c r="J14682" s="1"/>
      <c r="K14682" s="1"/>
      <c r="L14682" s="1"/>
      <c r="M14682" s="1"/>
      <c r="N14682" s="1"/>
      <c r="O14682" s="1"/>
      <c r="P14682" s="1"/>
      <c r="Q14682" s="1"/>
      <c r="R14682" s="1"/>
      <c r="S14682" s="1"/>
      <c r="T14682" s="1"/>
      <c r="U14682" s="1"/>
      <c r="V14682" s="1"/>
      <c r="W14682" s="1"/>
      <c r="X14682" s="1"/>
      <c r="Y14682" s="1"/>
      <c r="Z14682" s="1"/>
      <c r="AA14682" s="1"/>
      <c r="AB14682" s="1"/>
    </row>
    <row r="14683" ht="50.25" customHeight="1">
      <c r="A14683" s="12">
        <v>14679.0</v>
      </c>
      <c r="B14683" s="13" t="s">
        <v>13838</v>
      </c>
      <c r="C14683" s="14" t="s">
        <v>13919</v>
      </c>
      <c r="D14683" s="1"/>
      <c r="E14683" s="1"/>
      <c r="F14683" s="1" t="str">
        <f>IFERROR(__xludf.DUMMYFUNCTION("GOOGLETRANSLATE(B14683, ""en"", ""fa"")
"),"درآمد غیرفعال")</f>
        <v>درآمد غیرفعال</v>
      </c>
      <c r="G14683" s="1" t="str">
        <f>IFERROR(__xludf.DUMMYFUNCTION("GOOGLETRANSLATE(C14683, ""en"", ""fa"")
"),"سرمایه گذاران چگونه می توانند از نوسازی و بهبود ملک برای افزایش ارزش و درآمد اجاره املاک خود استفاده کنند؟")</f>
        <v>سرمایه گذاران چگونه می توانند از نوسازی و بهبود ملک برای افزایش ارزش و درآمد اجاره املاک خود استفاده کنند؟</v>
      </c>
      <c r="H14683" s="1"/>
      <c r="I14683" s="1"/>
      <c r="J14683" s="1"/>
      <c r="K14683" s="1"/>
      <c r="L14683" s="1"/>
      <c r="M14683" s="1"/>
      <c r="N14683" s="1"/>
      <c r="O14683" s="1"/>
      <c r="P14683" s="1"/>
      <c r="Q14683" s="1"/>
      <c r="R14683" s="1"/>
      <c r="S14683" s="1"/>
      <c r="T14683" s="1"/>
      <c r="U14683" s="1"/>
      <c r="V14683" s="1"/>
      <c r="W14683" s="1"/>
      <c r="X14683" s="1"/>
      <c r="Y14683" s="1"/>
      <c r="Z14683" s="1"/>
      <c r="AA14683" s="1"/>
      <c r="AB14683" s="1"/>
    </row>
    <row r="14684" ht="50.25" customHeight="1">
      <c r="A14684" s="12">
        <v>14680.0</v>
      </c>
      <c r="B14684" s="13" t="s">
        <v>13838</v>
      </c>
      <c r="C14684" s="14" t="s">
        <v>13920</v>
      </c>
      <c r="D14684" s="1"/>
      <c r="E14684" s="1"/>
      <c r="F14684" s="1" t="str">
        <f>IFERROR(__xludf.DUMMYFUNCTION("GOOGLETRANSLATE(B14684, ""en"", ""fa"")
"),"درآمد غیرفعال")</f>
        <v>درآمد غیرفعال</v>
      </c>
      <c r="G14684" s="1" t="str">
        <f>IFERROR(__xludf.DUMMYFUNCTION("GOOGLETRANSLATE(C14684, ""en"", ""fa"")
"),"در مورد مفهوم اجاره خانه های تعطیلات یا املاک دوم به عنوان منبع درآمد غیرفعال بحث کنید.")</f>
        <v>در مورد مفهوم اجاره خانه های تعطیلات یا املاک دوم به عنوان منبع درآمد غیرفعال بحث کنید.</v>
      </c>
      <c r="H14684" s="1"/>
      <c r="I14684" s="1"/>
      <c r="J14684" s="1"/>
      <c r="K14684" s="1"/>
      <c r="L14684" s="1"/>
      <c r="M14684" s="1"/>
      <c r="N14684" s="1"/>
      <c r="O14684" s="1"/>
      <c r="P14684" s="1"/>
      <c r="Q14684" s="1"/>
      <c r="R14684" s="1"/>
      <c r="S14684" s="1"/>
      <c r="T14684" s="1"/>
      <c r="U14684" s="1"/>
      <c r="V14684" s="1"/>
      <c r="W14684" s="1"/>
      <c r="X14684" s="1"/>
      <c r="Y14684" s="1"/>
      <c r="Z14684" s="1"/>
      <c r="AA14684" s="1"/>
      <c r="AB14684" s="1"/>
    </row>
    <row r="14685" ht="50.25" customHeight="1">
      <c r="A14685" s="12">
        <v>14681.0</v>
      </c>
      <c r="B14685" s="13" t="s">
        <v>13838</v>
      </c>
      <c r="C14685" s="14" t="s">
        <v>13921</v>
      </c>
      <c r="D14685" s="1"/>
      <c r="E14685" s="1"/>
      <c r="F14685" s="1" t="str">
        <f>IFERROR(__xludf.DUMMYFUNCTION("GOOGLETRANSLATE(B14685, ""en"", ""fa"")
"),"درآمد غیرفعال")</f>
        <v>درآمد غیرفعال</v>
      </c>
      <c r="G14685" s="1" t="str">
        <f>IFERROR(__xludf.DUMMYFUNCTION("GOOGLETRANSLATE(C14685, ""en"", ""fa"")
"),"چالش ها و ملاحظات بالقوه مدیریت املاک اجاره کوتاه مدت در پلتفرم هایی مانند Airbnb چیست؟")</f>
        <v>چالش ها و ملاحظات بالقوه مدیریت املاک اجاره کوتاه مدت در پلتفرم هایی مانند Airbnb چیست؟</v>
      </c>
      <c r="H14685" s="1"/>
      <c r="I14685" s="1"/>
      <c r="J14685" s="1"/>
      <c r="K14685" s="1"/>
      <c r="L14685" s="1"/>
      <c r="M14685" s="1"/>
      <c r="N14685" s="1"/>
      <c r="O14685" s="1"/>
      <c r="P14685" s="1"/>
      <c r="Q14685" s="1"/>
      <c r="R14685" s="1"/>
      <c r="S14685" s="1"/>
      <c r="T14685" s="1"/>
      <c r="U14685" s="1"/>
      <c r="V14685" s="1"/>
      <c r="W14685" s="1"/>
      <c r="X14685" s="1"/>
      <c r="Y14685" s="1"/>
      <c r="Z14685" s="1"/>
      <c r="AA14685" s="1"/>
      <c r="AB14685" s="1"/>
    </row>
    <row r="14686" ht="50.25" customHeight="1">
      <c r="A14686" s="12">
        <v>14682.0</v>
      </c>
      <c r="B14686" s="13" t="s">
        <v>13838</v>
      </c>
      <c r="C14686" s="14" t="s">
        <v>13922</v>
      </c>
      <c r="D14686" s="1"/>
      <c r="E14686" s="1"/>
      <c r="F14686" s="1" t="str">
        <f>IFERROR(__xludf.DUMMYFUNCTION("GOOGLETRANSLATE(B14686, ""en"", ""fa"")
"),"درآمد غیرفعال")</f>
        <v>درآمد غیرفعال</v>
      </c>
      <c r="G14686" s="1" t="str">
        <f>IFERROR(__xludf.DUMMYFUNCTION("GOOGLETRANSLATE(C14686, ""en"", ""fa"")
"),"نقش امکانات رفاهی و ویژگی‌های منحصربه‌فرد در جذب مهمانان به فهرست‌های Airbnb را کاوش کنید.")</f>
        <v>نقش امکانات رفاهی و ویژگی‌های منحصربه‌فرد در جذب مهمانان به فهرست‌های Airbnb را کاوش کنید.</v>
      </c>
      <c r="H14686" s="1"/>
      <c r="I14686" s="1"/>
      <c r="J14686" s="1"/>
      <c r="K14686" s="1"/>
      <c r="L14686" s="1"/>
      <c r="M14686" s="1"/>
      <c r="N14686" s="1"/>
      <c r="O14686" s="1"/>
      <c r="P14686" s="1"/>
      <c r="Q14686" s="1"/>
      <c r="R14686" s="1"/>
      <c r="S14686" s="1"/>
      <c r="T14686" s="1"/>
      <c r="U14686" s="1"/>
      <c r="V14686" s="1"/>
      <c r="W14686" s="1"/>
      <c r="X14686" s="1"/>
      <c r="Y14686" s="1"/>
      <c r="Z14686" s="1"/>
      <c r="AA14686" s="1"/>
      <c r="AB14686" s="1"/>
    </row>
    <row r="14687" ht="50.25" customHeight="1">
      <c r="A14687" s="12">
        <v>14683.0</v>
      </c>
      <c r="B14687" s="13" t="s">
        <v>13838</v>
      </c>
      <c r="C14687" s="14" t="s">
        <v>13923</v>
      </c>
      <c r="D14687" s="1"/>
      <c r="E14687" s="1"/>
      <c r="F14687" s="1" t="str">
        <f>IFERROR(__xludf.DUMMYFUNCTION("GOOGLETRANSLATE(B14687, ""en"", ""fa"")
"),"درآمد غیرفعال")</f>
        <v>درآمد غیرفعال</v>
      </c>
      <c r="G14687" s="1" t="str">
        <f>IFERROR(__xludf.DUMMYFUNCTION("GOOGLETRANSLATE(C14687, ""en"", ""fa"")
"),"چگونه سرمایه گذاران می توانند از استراتژی های قیمت گذاری پویا برای به حداکثر رساندن درآمد اجاره از املاک Airbnb خود استفاده کنند؟")</f>
        <v>چگونه سرمایه گذاران می توانند از استراتژی های قیمت گذاری پویا برای به حداکثر رساندن درآمد اجاره از املاک Airbnb خود استفاده کنند؟</v>
      </c>
      <c r="H14687" s="1"/>
      <c r="I14687" s="1"/>
      <c r="J14687" s="1"/>
      <c r="K14687" s="1"/>
      <c r="L14687" s="1"/>
      <c r="M14687" s="1"/>
      <c r="N14687" s="1"/>
      <c r="O14687" s="1"/>
      <c r="P14687" s="1"/>
      <c r="Q14687" s="1"/>
      <c r="R14687" s="1"/>
      <c r="S14687" s="1"/>
      <c r="T14687" s="1"/>
      <c r="U14687" s="1"/>
      <c r="V14687" s="1"/>
      <c r="W14687" s="1"/>
      <c r="X14687" s="1"/>
      <c r="Y14687" s="1"/>
      <c r="Z14687" s="1"/>
      <c r="AA14687" s="1"/>
      <c r="AB14687" s="1"/>
    </row>
    <row r="14688" ht="50.25" customHeight="1">
      <c r="A14688" s="12">
        <v>14684.0</v>
      </c>
      <c r="B14688" s="13" t="s">
        <v>13838</v>
      </c>
      <c r="C14688" s="14" t="s">
        <v>13924</v>
      </c>
      <c r="D14688" s="1"/>
      <c r="E14688" s="1"/>
      <c r="F14688" s="1" t="str">
        <f>IFERROR(__xludf.DUMMYFUNCTION("GOOGLETRANSLATE(B14688, ""en"", ""fa"")
"),"درآمد غیرفعال")</f>
        <v>درآمد غیرفعال</v>
      </c>
      <c r="G14688" s="1" t="str">
        <f>IFERROR(__xludf.DUMMYFUNCTION("GOOGLETRANSLATE(C14688, ""en"", ""fa"")
"),"درباره تأثیر تقاضای فصلی و رویدادهای محلی بر سودآوری املاک اجاره ای کوتاه مدت بحث کنید.")</f>
        <v>درباره تأثیر تقاضای فصلی و رویدادهای محلی بر سودآوری املاک اجاره ای کوتاه مدت بحث کنید.</v>
      </c>
      <c r="H14688" s="1"/>
      <c r="I14688" s="1"/>
      <c r="J14688" s="1"/>
      <c r="K14688" s="1"/>
      <c r="L14688" s="1"/>
      <c r="M14688" s="1"/>
      <c r="N14688" s="1"/>
      <c r="O14688" s="1"/>
      <c r="P14688" s="1"/>
      <c r="Q14688" s="1"/>
      <c r="R14688" s="1"/>
      <c r="S14688" s="1"/>
      <c r="T14688" s="1"/>
      <c r="U14688" s="1"/>
      <c r="V14688" s="1"/>
      <c r="W14688" s="1"/>
      <c r="X14688" s="1"/>
      <c r="Y14688" s="1"/>
      <c r="Z14688" s="1"/>
      <c r="AA14688" s="1"/>
      <c r="AB14688" s="1"/>
    </row>
    <row r="14689" ht="50.25" customHeight="1">
      <c r="A14689" s="12">
        <v>14685.0</v>
      </c>
      <c r="B14689" s="13" t="s">
        <v>13838</v>
      </c>
      <c r="C14689" s="14" t="s">
        <v>13925</v>
      </c>
      <c r="D14689" s="1"/>
      <c r="E14689" s="1"/>
      <c r="F14689" s="1" t="str">
        <f>IFERROR(__xludf.DUMMYFUNCTION("GOOGLETRANSLATE(B14689, ""en"", ""fa"")
"),"درآمد غیرفعال")</f>
        <v>درآمد غیرفعال</v>
      </c>
      <c r="G14689" s="1" t="str">
        <f>IFERROR(__xludf.DUMMYFUNCTION("GOOGLETRANSLATE(C14689, ""en"", ""fa"")
"),"پتانسیل سرمایه گذاری در مشارکت املاک و مستغلات یا سندیکاها برای پروژه های املاک اجاره را بررسی کنید.")</f>
        <v>پتانسیل سرمایه گذاری در مشارکت املاک و مستغلات یا سندیکاها برای پروژه های املاک اجاره را بررسی کنید.</v>
      </c>
      <c r="H14689" s="1"/>
      <c r="I14689" s="1"/>
      <c r="J14689" s="1"/>
      <c r="K14689" s="1"/>
      <c r="L14689" s="1"/>
      <c r="M14689" s="1"/>
      <c r="N14689" s="1"/>
      <c r="O14689" s="1"/>
      <c r="P14689" s="1"/>
      <c r="Q14689" s="1"/>
      <c r="R14689" s="1"/>
      <c r="S14689" s="1"/>
      <c r="T14689" s="1"/>
      <c r="U14689" s="1"/>
      <c r="V14689" s="1"/>
      <c r="W14689" s="1"/>
      <c r="X14689" s="1"/>
      <c r="Y14689" s="1"/>
      <c r="Z14689" s="1"/>
      <c r="AA14689" s="1"/>
      <c r="AB14689" s="1"/>
    </row>
    <row r="14690" ht="50.25" customHeight="1">
      <c r="A14690" s="12">
        <v>14686.0</v>
      </c>
      <c r="B14690" s="13" t="s">
        <v>13838</v>
      </c>
      <c r="C14690" s="14" t="s">
        <v>13926</v>
      </c>
      <c r="D14690" s="1"/>
      <c r="E14690" s="1"/>
      <c r="F14690" s="1" t="str">
        <f>IFERROR(__xludf.DUMMYFUNCTION("GOOGLETRANSLATE(B14690, ""en"", ""fa"")
"),"درآمد غیرفعال")</f>
        <v>درآمد غیرفعال</v>
      </c>
      <c r="G14690" s="1" t="str">
        <f>IFERROR(__xludf.DUMMYFUNCTION("GOOGLETRANSLATE(C14690, ""en"", ""fa"")
"),"سرمایه گذاران از چه استراتژی هایی می توانند برای بازاریابی موثر املاک اجاره ای یا فهرست های Airbnb خود استفاده کنند؟")</f>
        <v>سرمایه گذاران از چه استراتژی هایی می توانند برای بازاریابی موثر املاک اجاره ای یا فهرست های Airbnb خود استفاده کنند؟</v>
      </c>
      <c r="H14690" s="1"/>
      <c r="I14690" s="1"/>
      <c r="J14690" s="1"/>
      <c r="K14690" s="1"/>
      <c r="L14690" s="1"/>
      <c r="M14690" s="1"/>
      <c r="N14690" s="1"/>
      <c r="O14690" s="1"/>
      <c r="P14690" s="1"/>
      <c r="Q14690" s="1"/>
      <c r="R14690" s="1"/>
      <c r="S14690" s="1"/>
      <c r="T14690" s="1"/>
      <c r="U14690" s="1"/>
      <c r="V14690" s="1"/>
      <c r="W14690" s="1"/>
      <c r="X14690" s="1"/>
      <c r="Y14690" s="1"/>
      <c r="Z14690" s="1"/>
      <c r="AA14690" s="1"/>
      <c r="AB14690" s="1"/>
    </row>
    <row r="14691" ht="50.25" customHeight="1">
      <c r="A14691" s="12">
        <v>14687.0</v>
      </c>
      <c r="B14691" s="13" t="s">
        <v>13838</v>
      </c>
      <c r="C14691" s="14" t="s">
        <v>13927</v>
      </c>
      <c r="D14691" s="1"/>
      <c r="E14691" s="1"/>
      <c r="F14691" s="1" t="str">
        <f>IFERROR(__xludf.DUMMYFUNCTION("GOOGLETRANSLATE(B14691, ""en"", ""fa"")
"),"درآمد غیرفعال")</f>
        <v>درآمد غیرفعال</v>
      </c>
      <c r="G14691" s="1" t="str">
        <f>IFERROR(__xludf.DUMMYFUNCTION("GOOGLETRANSLATE(C14691, ""en"", ""fa"")
"),"درباره اهمیت حفظ شهرت آنلاین قوی و نظرات مثبت برای میزبانی موفق Airbnb بحث کنید.")</f>
        <v>درباره اهمیت حفظ شهرت آنلاین قوی و نظرات مثبت برای میزبانی موفق Airbnb بحث کنید.</v>
      </c>
      <c r="H14691" s="1"/>
      <c r="I14691" s="1"/>
      <c r="J14691" s="1"/>
      <c r="K14691" s="1"/>
      <c r="L14691" s="1"/>
      <c r="M14691" s="1"/>
      <c r="N14691" s="1"/>
      <c r="O14691" s="1"/>
      <c r="P14691" s="1"/>
      <c r="Q14691" s="1"/>
      <c r="R14691" s="1"/>
      <c r="S14691" s="1"/>
      <c r="T14691" s="1"/>
      <c r="U14691" s="1"/>
      <c r="V14691" s="1"/>
      <c r="W14691" s="1"/>
      <c r="X14691" s="1"/>
      <c r="Y14691" s="1"/>
      <c r="Z14691" s="1"/>
      <c r="AA14691" s="1"/>
      <c r="AB14691" s="1"/>
    </row>
    <row r="14692" ht="50.25" customHeight="1">
      <c r="A14692" s="12">
        <v>14688.0</v>
      </c>
      <c r="B14692" s="13" t="s">
        <v>13838</v>
      </c>
      <c r="C14692" s="14" t="s">
        <v>13928</v>
      </c>
      <c r="D14692" s="1"/>
      <c r="E14692" s="1"/>
      <c r="F14692" s="1" t="str">
        <f>IFERROR(__xludf.DUMMYFUNCTION("GOOGLETRANSLATE(B14692, ""en"", ""fa"")
"),"درآمد غیرفعال")</f>
        <v>درآمد غیرفعال</v>
      </c>
      <c r="G14692" s="1" t="str">
        <f>IFERROR(__xludf.DUMMYFUNCTION("GOOGLETRANSLATE(C14692, ""en"", ""fa"")
"),"مفهوم سرمایه گذاری جمعی املاک و مستغلات را به عنوان راهی برای سرمایه گذاری در املاک اجاره ای به صورت جمعی برای درآمد غیرفعال بررسی کنید.")</f>
        <v>مفهوم سرمایه گذاری جمعی املاک و مستغلات را به عنوان راهی برای سرمایه گذاری در املاک اجاره ای به صورت جمعی برای درآمد غیرفعال بررسی کنید.</v>
      </c>
      <c r="H14692" s="1"/>
      <c r="I14692" s="1"/>
      <c r="J14692" s="1"/>
      <c r="K14692" s="1"/>
      <c r="L14692" s="1"/>
      <c r="M14692" s="1"/>
      <c r="N14692" s="1"/>
      <c r="O14692" s="1"/>
      <c r="P14692" s="1"/>
      <c r="Q14692" s="1"/>
      <c r="R14692" s="1"/>
      <c r="S14692" s="1"/>
      <c r="T14692" s="1"/>
      <c r="U14692" s="1"/>
      <c r="V14692" s="1"/>
      <c r="W14692" s="1"/>
      <c r="X14692" s="1"/>
      <c r="Y14692" s="1"/>
      <c r="Z14692" s="1"/>
      <c r="AA14692" s="1"/>
      <c r="AB14692" s="1"/>
    </row>
    <row r="14693" ht="50.25" customHeight="1">
      <c r="A14693" s="12">
        <v>14689.0</v>
      </c>
      <c r="B14693" s="13" t="s">
        <v>13838</v>
      </c>
      <c r="C14693" s="14" t="s">
        <v>13929</v>
      </c>
      <c r="D14693" s="1"/>
      <c r="E14693" s="1"/>
      <c r="F14693" s="1" t="str">
        <f>IFERROR(__xludf.DUMMYFUNCTION("GOOGLETRANSLATE(B14693, ""en"", ""fa"")
"),"درآمد غیرفعال")</f>
        <v>درآمد غیرفعال</v>
      </c>
      <c r="G14693" s="1" t="str">
        <f>IFERROR(__xludf.DUMMYFUNCTION("GOOGLETRANSLATE(C14693, ""en"", ""fa"")
"),"سرمایه گذاران چگونه می توانند از بیمه اموال و استراتژی های مدیریت ریسک برای محافظت از سرمایه گذاری املاک اجاره ای خود استفاده کنند؟")</f>
        <v>سرمایه گذاران چگونه می توانند از بیمه اموال و استراتژی های مدیریت ریسک برای محافظت از سرمایه گذاری املاک اجاره ای خود استفاده کنند؟</v>
      </c>
      <c r="H14693" s="1"/>
      <c r="I14693" s="1"/>
      <c r="J14693" s="1"/>
      <c r="K14693" s="1"/>
      <c r="L14693" s="1"/>
      <c r="M14693" s="1"/>
      <c r="N14693" s="1"/>
      <c r="O14693" s="1"/>
      <c r="P14693" s="1"/>
      <c r="Q14693" s="1"/>
      <c r="R14693" s="1"/>
      <c r="S14693" s="1"/>
      <c r="T14693" s="1"/>
      <c r="U14693" s="1"/>
      <c r="V14693" s="1"/>
      <c r="W14693" s="1"/>
      <c r="X14693" s="1"/>
      <c r="Y14693" s="1"/>
      <c r="Z14693" s="1"/>
      <c r="AA14693" s="1"/>
      <c r="AB14693" s="1"/>
    </row>
    <row r="14694" ht="50.25" customHeight="1">
      <c r="A14694" s="12">
        <v>14690.0</v>
      </c>
      <c r="B14694" s="13" t="s">
        <v>13838</v>
      </c>
      <c r="C14694" s="14" t="s">
        <v>13930</v>
      </c>
      <c r="D14694" s="1"/>
      <c r="E14694" s="1"/>
      <c r="F14694" s="1" t="str">
        <f>IFERROR(__xludf.DUMMYFUNCTION("GOOGLETRANSLATE(B14694, ""en"", ""fa"")
"),"درآمد غیرفعال")</f>
        <v>درآمد غیرفعال</v>
      </c>
      <c r="G14694" s="1" t="str">
        <f>IFERROR(__xludf.DUMMYFUNCTION("GOOGLETRANSLATE(C14694, ""en"", ""fa"")
"),"در مورد پتانسیل سرمایه گذاری در اجاره مبله یا مسکن شرکتی برای درآمد غیرفعال بحث کنید.")</f>
        <v>در مورد پتانسیل سرمایه گذاری در اجاره مبله یا مسکن شرکتی برای درآمد غیرفعال بحث کنید.</v>
      </c>
      <c r="H14694" s="1"/>
      <c r="I14694" s="1"/>
      <c r="J14694" s="1"/>
      <c r="K14694" s="1"/>
      <c r="L14694" s="1"/>
      <c r="M14694" s="1"/>
      <c r="N14694" s="1"/>
      <c r="O14694" s="1"/>
      <c r="P14694" s="1"/>
      <c r="Q14694" s="1"/>
      <c r="R14694" s="1"/>
      <c r="S14694" s="1"/>
      <c r="T14694" s="1"/>
      <c r="U14694" s="1"/>
      <c r="V14694" s="1"/>
      <c r="W14694" s="1"/>
      <c r="X14694" s="1"/>
      <c r="Y14694" s="1"/>
      <c r="Z14694" s="1"/>
      <c r="AA14694" s="1"/>
      <c r="AB14694" s="1"/>
    </row>
    <row r="14695" ht="50.25" customHeight="1">
      <c r="A14695" s="12">
        <v>14691.0</v>
      </c>
      <c r="B14695" s="13" t="s">
        <v>13838</v>
      </c>
      <c r="C14695" s="14" t="s">
        <v>13931</v>
      </c>
      <c r="D14695" s="1"/>
      <c r="E14695" s="1"/>
      <c r="F14695" s="1" t="str">
        <f>IFERROR(__xludf.DUMMYFUNCTION("GOOGLETRANSLATE(B14695, ""en"", ""fa"")
"),"درآمد غیرفعال")</f>
        <v>درآمد غیرفعال</v>
      </c>
      <c r="G14695" s="1" t="str">
        <f>IFERROR(__xludf.DUMMYFUNCTION("GOOGLETRANSLATE(C14695, ""en"", ""fa"")
"),"طراحی داخلی و صحنه‌پردازی چه نقشی در افزایش جذابیت املاک Airbnb برای مهمانان احتمالی دارد؟")</f>
        <v>طراحی داخلی و صحنه‌پردازی چه نقشی در افزایش جذابیت املاک Airbnb برای مهمانان احتمالی دارد؟</v>
      </c>
      <c r="H14695" s="1"/>
      <c r="I14695" s="1"/>
      <c r="J14695" s="1"/>
      <c r="K14695" s="1"/>
      <c r="L14695" s="1"/>
      <c r="M14695" s="1"/>
      <c r="N14695" s="1"/>
      <c r="O14695" s="1"/>
      <c r="P14695" s="1"/>
      <c r="Q14695" s="1"/>
      <c r="R14695" s="1"/>
      <c r="S14695" s="1"/>
      <c r="T14695" s="1"/>
      <c r="U14695" s="1"/>
      <c r="V14695" s="1"/>
      <c r="W14695" s="1"/>
      <c r="X14695" s="1"/>
      <c r="Y14695" s="1"/>
      <c r="Z14695" s="1"/>
      <c r="AA14695" s="1"/>
      <c r="AB14695" s="1"/>
    </row>
    <row r="14696" ht="50.25" customHeight="1">
      <c r="A14696" s="12">
        <v>14692.0</v>
      </c>
      <c r="B14696" s="13" t="s">
        <v>13838</v>
      </c>
      <c r="C14696" s="14" t="s">
        <v>13932</v>
      </c>
      <c r="D14696" s="1"/>
      <c r="E14696" s="1"/>
      <c r="F14696" s="1" t="str">
        <f>IFERROR(__xludf.DUMMYFUNCTION("GOOGLETRANSLATE(B14696, ""en"", ""fa"")
"),"درآمد غیرفعال")</f>
        <v>درآمد غیرفعال</v>
      </c>
      <c r="G14696" s="1" t="str">
        <f>IFERROR(__xludf.DUMMYFUNCTION("GOOGLETRANSLATE(C14696, ""en"", ""fa"")
"),"تأثیر انتخاب مکان و نزدیکی به جاذبه‌های گردشگری را بر موفقیت فهرست‌های Airbnb بررسی کنید.")</f>
        <v>تأثیر انتخاب مکان و نزدیکی به جاذبه‌های گردشگری را بر موفقیت فهرست‌های Airbnb بررسی کنید.</v>
      </c>
      <c r="H14696" s="1"/>
      <c r="I14696" s="1"/>
      <c r="J14696" s="1"/>
      <c r="K14696" s="1"/>
      <c r="L14696" s="1"/>
      <c r="M14696" s="1"/>
      <c r="N14696" s="1"/>
      <c r="O14696" s="1"/>
      <c r="P14696" s="1"/>
      <c r="Q14696" s="1"/>
      <c r="R14696" s="1"/>
      <c r="S14696" s="1"/>
      <c r="T14696" s="1"/>
      <c r="U14696" s="1"/>
      <c r="V14696" s="1"/>
      <c r="W14696" s="1"/>
      <c r="X14696" s="1"/>
      <c r="Y14696" s="1"/>
      <c r="Z14696" s="1"/>
      <c r="AA14696" s="1"/>
      <c r="AB14696" s="1"/>
    </row>
    <row r="14697" ht="50.25" customHeight="1">
      <c r="A14697" s="12">
        <v>14693.0</v>
      </c>
      <c r="B14697" s="13" t="s">
        <v>13838</v>
      </c>
      <c r="C14697" s="14" t="s">
        <v>13933</v>
      </c>
      <c r="D14697" s="1"/>
      <c r="E14697" s="1"/>
      <c r="F14697" s="1" t="str">
        <f>IFERROR(__xludf.DUMMYFUNCTION("GOOGLETRANSLATE(B14697, ""en"", ""fa"")
"),"درآمد غیرفعال")</f>
        <v>درآمد غیرفعال</v>
      </c>
      <c r="G14697" s="1" t="str">
        <f>IFERROR(__xludf.DUMMYFUNCTION("GOOGLETRANSLATE(C14697, ""en"", ""fa"")
"),"سرمایه‌گذاران چگونه می‌توانند ورود مهمان، تمیز کردن و نگهداری را انجام دهند تا از تجربه یکپارچه برای مهمانان Airbnb اطمینان حاصل کنند؟")</f>
        <v>سرمایه‌گذاران چگونه می‌توانند ورود مهمان، تمیز کردن و نگهداری را انجام دهند تا از تجربه یکپارچه برای مهمانان Airbnb اطمینان حاصل کنند؟</v>
      </c>
      <c r="H14697" s="1"/>
      <c r="I14697" s="1"/>
      <c r="J14697" s="1"/>
      <c r="K14697" s="1"/>
      <c r="L14697" s="1"/>
      <c r="M14697" s="1"/>
      <c r="N14697" s="1"/>
      <c r="O14697" s="1"/>
      <c r="P14697" s="1"/>
      <c r="Q14697" s="1"/>
      <c r="R14697" s="1"/>
      <c r="S14697" s="1"/>
      <c r="T14697" s="1"/>
      <c r="U14697" s="1"/>
      <c r="V14697" s="1"/>
      <c r="W14697" s="1"/>
      <c r="X14697" s="1"/>
      <c r="Y14697" s="1"/>
      <c r="Z14697" s="1"/>
      <c r="AA14697" s="1"/>
      <c r="AB14697" s="1"/>
    </row>
    <row r="14698" ht="50.25" customHeight="1">
      <c r="A14698" s="12">
        <v>14694.0</v>
      </c>
      <c r="B14698" s="13" t="s">
        <v>13838</v>
      </c>
      <c r="C14698" s="14" t="s">
        <v>13934</v>
      </c>
      <c r="D14698" s="1"/>
      <c r="E14698" s="1"/>
      <c r="F14698" s="1" t="str">
        <f>IFERROR(__xludf.DUMMYFUNCTION("GOOGLETRANSLATE(B14698, ""en"", ""fa"")
"),"درآمد غیرفعال")</f>
        <v>درآمد غیرفعال</v>
      </c>
      <c r="G14698" s="1" t="str">
        <f>IFERROR(__xludf.DUMMYFUNCTION("GOOGLETRANSLATE(C14698, ""en"", ""fa"")
"),"در مورد مفهوم تراست های سرمایه گذاری املاک و مستغلات (REITs) به عنوان راهی برای سرمایه گذاری غیرمستقیم در املاک اجاره ای برای درآمد غیرفعال بحث کنید.")</f>
        <v>در مورد مفهوم تراست های سرمایه گذاری املاک و مستغلات (REITs) به عنوان راهی برای سرمایه گذاری غیرمستقیم در املاک اجاره ای برای درآمد غیرفعال بحث کنید.</v>
      </c>
      <c r="H14698" s="1"/>
      <c r="I14698" s="1"/>
      <c r="J14698" s="1"/>
      <c r="K14698" s="1"/>
      <c r="L14698" s="1"/>
      <c r="M14698" s="1"/>
      <c r="N14698" s="1"/>
      <c r="O14698" s="1"/>
      <c r="P14698" s="1"/>
      <c r="Q14698" s="1"/>
      <c r="R14698" s="1"/>
      <c r="S14698" s="1"/>
      <c r="T14698" s="1"/>
      <c r="U14698" s="1"/>
      <c r="V14698" s="1"/>
      <c r="W14698" s="1"/>
      <c r="X14698" s="1"/>
      <c r="Y14698" s="1"/>
      <c r="Z14698" s="1"/>
      <c r="AA14698" s="1"/>
      <c r="AB14698" s="1"/>
    </row>
    <row r="14699" ht="50.25" customHeight="1">
      <c r="A14699" s="12">
        <v>14695.0</v>
      </c>
      <c r="B14699" s="13" t="s">
        <v>13838</v>
      </c>
      <c r="C14699" s="14" t="s">
        <v>13935</v>
      </c>
      <c r="D14699" s="1"/>
      <c r="E14699" s="1"/>
      <c r="F14699" s="1" t="str">
        <f>IFERROR(__xludf.DUMMYFUNCTION("GOOGLETRANSLATE(B14699, ""en"", ""fa"")
"),"درآمد غیرفعال")</f>
        <v>درآمد غیرفعال</v>
      </c>
      <c r="G14699" s="1" t="str">
        <f>IFERROR(__xludf.DUMMYFUNCTION("GOOGLETRANSLATE(C14699, ""en"", ""fa"")
"),"پتانسیل بازارهای اجاره ای خاص، مانند اجاره حیوانات خانگی یا اقامتگاه های سازگار با محیط زیست را کاوش کنید.")</f>
        <v>پتانسیل بازارهای اجاره ای خاص، مانند اجاره حیوانات خانگی یا اقامتگاه های سازگار با محیط زیست را کاوش کنید.</v>
      </c>
      <c r="H14699" s="1"/>
      <c r="I14699" s="1"/>
      <c r="J14699" s="1"/>
      <c r="K14699" s="1"/>
      <c r="L14699" s="1"/>
      <c r="M14699" s="1"/>
      <c r="N14699" s="1"/>
      <c r="O14699" s="1"/>
      <c r="P14699" s="1"/>
      <c r="Q14699" s="1"/>
      <c r="R14699" s="1"/>
      <c r="S14699" s="1"/>
      <c r="T14699" s="1"/>
      <c r="U14699" s="1"/>
      <c r="V14699" s="1"/>
      <c r="W14699" s="1"/>
      <c r="X14699" s="1"/>
      <c r="Y14699" s="1"/>
      <c r="Z14699" s="1"/>
      <c r="AA14699" s="1"/>
      <c r="AB14699" s="1"/>
    </row>
    <row r="14700" ht="50.25" customHeight="1">
      <c r="A14700" s="12">
        <v>14696.0</v>
      </c>
      <c r="B14700" s="13" t="s">
        <v>13838</v>
      </c>
      <c r="C14700" s="14" t="s">
        <v>13936</v>
      </c>
      <c r="D14700" s="1"/>
      <c r="E14700" s="1"/>
      <c r="F14700" s="1" t="str">
        <f>IFERROR(__xludf.DUMMYFUNCTION("GOOGLETRANSLATE(B14700, ""en"", ""fa"")
"),"درآمد غیرفعال")</f>
        <v>درآمد غیرفعال</v>
      </c>
      <c r="G14700" s="1" t="str">
        <f>IFERROR(__xludf.DUMMYFUNCTION("GOOGLETRANSLATE(C14700, ""en"", ""fa"")
"),"سرمایه گذاران از چه استراتژی هایی می توانند برای مدیریت نرخ اشغال و به حداقل رساندن جای خالی املاک اجاره ای خود استفاده کنند؟")</f>
        <v>سرمایه گذاران از چه استراتژی هایی می توانند برای مدیریت نرخ اشغال و به حداقل رساندن جای خالی املاک اجاره ای خود استفاده کنند؟</v>
      </c>
      <c r="H14700" s="1"/>
      <c r="I14700" s="1"/>
      <c r="J14700" s="1"/>
      <c r="K14700" s="1"/>
      <c r="L14700" s="1"/>
      <c r="M14700" s="1"/>
      <c r="N14700" s="1"/>
      <c r="O14700" s="1"/>
      <c r="P14700" s="1"/>
      <c r="Q14700" s="1"/>
      <c r="R14700" s="1"/>
      <c r="S14700" s="1"/>
      <c r="T14700" s="1"/>
      <c r="U14700" s="1"/>
      <c r="V14700" s="1"/>
      <c r="W14700" s="1"/>
      <c r="X14700" s="1"/>
      <c r="Y14700" s="1"/>
      <c r="Z14700" s="1"/>
      <c r="AA14700" s="1"/>
      <c r="AB14700" s="1"/>
    </row>
    <row r="14701" ht="50.25" customHeight="1">
      <c r="A14701" s="12">
        <v>14697.0</v>
      </c>
      <c r="B14701" s="13" t="s">
        <v>13838</v>
      </c>
      <c r="C14701" s="14" t="s">
        <v>13937</v>
      </c>
      <c r="D14701" s="1"/>
      <c r="E14701" s="1"/>
      <c r="F14701" s="1" t="str">
        <f>IFERROR(__xludf.DUMMYFUNCTION("GOOGLETRANSLATE(B14701, ""en"", ""fa"")
"),"درآمد غیرفعال")</f>
        <v>درآمد غیرفعال</v>
      </c>
      <c r="G14701" s="1" t="str">
        <f>IFERROR(__xludf.DUMMYFUNCTION("GOOGLETRANSLATE(C14701, ""en"", ""fa"")
"),"در مورد اهمیت تنظیم قوانین خانه و انتظارات مهمان برای فهرست های Airbnb بحث کنید.")</f>
        <v>در مورد اهمیت تنظیم قوانین خانه و انتظارات مهمان برای فهرست های Airbnb بحث کنید.</v>
      </c>
      <c r="H14701" s="1"/>
      <c r="I14701" s="1"/>
      <c r="J14701" s="1"/>
      <c r="K14701" s="1"/>
      <c r="L14701" s="1"/>
      <c r="M14701" s="1"/>
      <c r="N14701" s="1"/>
      <c r="O14701" s="1"/>
      <c r="P14701" s="1"/>
      <c r="Q14701" s="1"/>
      <c r="R14701" s="1"/>
      <c r="S14701" s="1"/>
      <c r="T14701" s="1"/>
      <c r="U14701" s="1"/>
      <c r="V14701" s="1"/>
      <c r="W14701" s="1"/>
      <c r="X14701" s="1"/>
      <c r="Y14701" s="1"/>
      <c r="Z14701" s="1"/>
      <c r="AA14701" s="1"/>
      <c r="AB14701" s="1"/>
    </row>
    <row r="14702" ht="50.25" customHeight="1">
      <c r="A14702" s="12">
        <v>14698.0</v>
      </c>
      <c r="B14702" s="13" t="s">
        <v>13838</v>
      </c>
      <c r="C14702" s="14" t="s">
        <v>13938</v>
      </c>
      <c r="D14702" s="1"/>
      <c r="E14702" s="1"/>
      <c r="F14702" s="1" t="str">
        <f>IFERROR(__xludf.DUMMYFUNCTION("GOOGLETRANSLATE(B14702, ""en"", ""fa"")
"),"درآمد غیرفعال")</f>
        <v>درآمد غیرفعال</v>
      </c>
      <c r="G14702" s="1" t="str">
        <f>IFERROR(__xludf.DUMMYFUNCTION("GOOGLETRANSLATE(C14702, ""en"", ""fa"")
"),"تأثیر فناوری و اتوماسیون در ساده‌سازی مدیریت املاک اجاره‌ای و میزبانی Airbnb را بررسی کنید.")</f>
        <v>تأثیر فناوری و اتوماسیون در ساده‌سازی مدیریت املاک اجاره‌ای و میزبانی Airbnb را بررسی کنید.</v>
      </c>
      <c r="H14702" s="1"/>
      <c r="I14702" s="1"/>
      <c r="J14702" s="1"/>
      <c r="K14702" s="1"/>
      <c r="L14702" s="1"/>
      <c r="M14702" s="1"/>
      <c r="N14702" s="1"/>
      <c r="O14702" s="1"/>
      <c r="P14702" s="1"/>
      <c r="Q14702" s="1"/>
      <c r="R14702" s="1"/>
      <c r="S14702" s="1"/>
      <c r="T14702" s="1"/>
      <c r="U14702" s="1"/>
      <c r="V14702" s="1"/>
      <c r="W14702" s="1"/>
      <c r="X14702" s="1"/>
      <c r="Y14702" s="1"/>
      <c r="Z14702" s="1"/>
      <c r="AA14702" s="1"/>
      <c r="AB14702" s="1"/>
    </row>
    <row r="14703" ht="50.25" customHeight="1">
      <c r="A14703" s="12">
        <v>14699.0</v>
      </c>
      <c r="B14703" s="13" t="s">
        <v>13838</v>
      </c>
      <c r="C14703" s="14" t="s">
        <v>13939</v>
      </c>
      <c r="D14703" s="1"/>
      <c r="E14703" s="1"/>
      <c r="F14703" s="1" t="str">
        <f>IFERROR(__xludf.DUMMYFUNCTION("GOOGLETRANSLATE(B14703, ""en"", ""fa"")
"),"درآمد غیرفعال")</f>
        <v>درآمد غیرفعال</v>
      </c>
      <c r="G14703" s="1" t="str">
        <f>IFERROR(__xludf.DUMMYFUNCTION("GOOGLETRANSLATE(C14703, ""en"", ""fa"")
"),"سرمایه گذاران چگونه می توانند از مذاکرات موثر و روابط مستاجر برای حفظ درآمد اجاره ای پایدار استفاده کنند؟")</f>
        <v>سرمایه گذاران چگونه می توانند از مذاکرات موثر و روابط مستاجر برای حفظ درآمد اجاره ای پایدار استفاده کنند؟</v>
      </c>
      <c r="H14703" s="1"/>
      <c r="I14703" s="1"/>
      <c r="J14703" s="1"/>
      <c r="K14703" s="1"/>
      <c r="L14703" s="1"/>
      <c r="M14703" s="1"/>
      <c r="N14703" s="1"/>
      <c r="O14703" s="1"/>
      <c r="P14703" s="1"/>
      <c r="Q14703" s="1"/>
      <c r="R14703" s="1"/>
      <c r="S14703" s="1"/>
      <c r="T14703" s="1"/>
      <c r="U14703" s="1"/>
      <c r="V14703" s="1"/>
      <c r="W14703" s="1"/>
      <c r="X14703" s="1"/>
      <c r="Y14703" s="1"/>
      <c r="Z14703" s="1"/>
      <c r="AA14703" s="1"/>
      <c r="AB14703" s="1"/>
    </row>
    <row r="14704" ht="50.25" customHeight="1">
      <c r="A14704" s="12">
        <v>14700.0</v>
      </c>
      <c r="B14704" s="13" t="s">
        <v>13838</v>
      </c>
      <c r="C14704" s="14" t="s">
        <v>13940</v>
      </c>
      <c r="D14704" s="1"/>
      <c r="E14704" s="1"/>
      <c r="F14704" s="1" t="str">
        <f>IFERROR(__xludf.DUMMYFUNCTION("GOOGLETRANSLATE(B14704, ""en"", ""fa"")
"),"درآمد غیرفعال")</f>
        <v>درآمد غیرفعال</v>
      </c>
      <c r="G14704" s="1" t="str">
        <f>IFERROR(__xludf.DUMMYFUNCTION("GOOGLETRANSLATE(C14704, ""en"", ""fa"")
"),"در مورد مفهوم کنترل اجاره و تأثیر بالقوه آن بر سودآوری املاک اجاره ای بحث کنید.")</f>
        <v>در مورد مفهوم کنترل اجاره و تأثیر بالقوه آن بر سودآوری املاک اجاره ای بحث کنید.</v>
      </c>
      <c r="H14704" s="1"/>
      <c r="I14704" s="1"/>
      <c r="J14704" s="1"/>
      <c r="K14704" s="1"/>
      <c r="L14704" s="1"/>
      <c r="M14704" s="1"/>
      <c r="N14704" s="1"/>
      <c r="O14704" s="1"/>
      <c r="P14704" s="1"/>
      <c r="Q14704" s="1"/>
      <c r="R14704" s="1"/>
      <c r="S14704" s="1"/>
      <c r="T14704" s="1"/>
      <c r="U14704" s="1"/>
      <c r="V14704" s="1"/>
      <c r="W14704" s="1"/>
      <c r="X14704" s="1"/>
      <c r="Y14704" s="1"/>
      <c r="Z14704" s="1"/>
      <c r="AA14704" s="1"/>
      <c r="AB14704" s="1"/>
    </row>
    <row r="14705" ht="50.25" customHeight="1">
      <c r="A14705" s="12">
        <v>14701.0</v>
      </c>
      <c r="B14705" s="13" t="s">
        <v>13838</v>
      </c>
      <c r="C14705" s="14" t="s">
        <v>13941</v>
      </c>
      <c r="D14705" s="1"/>
      <c r="E14705" s="1"/>
      <c r="F14705" s="1" t="str">
        <f>IFERROR(__xludf.DUMMYFUNCTION("GOOGLETRANSLATE(B14705, ""en"", ""fa"")
"),"درآمد غیرفعال")</f>
        <v>درآمد غیرفعال</v>
      </c>
      <c r="G14705" s="1" t="str">
        <f>IFERROR(__xludf.DUMMYFUNCTION("GOOGLETRANSLATE(C14705, ""en"", ""fa"")
"),"مزایا و چالش های بالقوه سرمایه گذاری در املاک اجاره بلندمدت نسبت به اجاره های کوتاه مدت چیست؟")</f>
        <v>مزایا و چالش های بالقوه سرمایه گذاری در املاک اجاره بلندمدت نسبت به اجاره های کوتاه مدت چیست؟</v>
      </c>
      <c r="H14705" s="1"/>
      <c r="I14705" s="1"/>
      <c r="J14705" s="1"/>
      <c r="K14705" s="1"/>
      <c r="L14705" s="1"/>
      <c r="M14705" s="1"/>
      <c r="N14705" s="1"/>
      <c r="O14705" s="1"/>
      <c r="P14705" s="1"/>
      <c r="Q14705" s="1"/>
      <c r="R14705" s="1"/>
      <c r="S14705" s="1"/>
      <c r="T14705" s="1"/>
      <c r="U14705" s="1"/>
      <c r="V14705" s="1"/>
      <c r="W14705" s="1"/>
      <c r="X14705" s="1"/>
      <c r="Y14705" s="1"/>
      <c r="Z14705" s="1"/>
      <c r="AA14705" s="1"/>
      <c r="AB14705" s="1"/>
    </row>
    <row r="14706" ht="50.25" customHeight="1">
      <c r="A14706" s="12">
        <v>14702.0</v>
      </c>
      <c r="B14706" s="13" t="s">
        <v>13838</v>
      </c>
      <c r="C14706" s="14" t="s">
        <v>13942</v>
      </c>
      <c r="D14706" s="1"/>
      <c r="E14706" s="1"/>
      <c r="F14706" s="1" t="str">
        <f>IFERROR(__xludf.DUMMYFUNCTION("GOOGLETRANSLATE(B14706, ""en"", ""fa"")
"),"درآمد غیرفعال")</f>
        <v>درآمد غیرفعال</v>
      </c>
      <c r="G14706" s="1" t="str">
        <f>IFERROR(__xludf.DUMMYFUNCTION("GOOGLETRANSLATE(C14706, ""en"", ""fa"")
"),"پتانسیل سرمایه گذاری در بازارهای اجاره تعطیلات و مقاصد توریستی محبوب برای درآمد غیرفعال را بررسی کنید.")</f>
        <v>پتانسیل سرمایه گذاری در بازارهای اجاره تعطیلات و مقاصد توریستی محبوب برای درآمد غیرفعال را بررسی کنید.</v>
      </c>
      <c r="H14706" s="1"/>
      <c r="I14706" s="1"/>
      <c r="J14706" s="1"/>
      <c r="K14706" s="1"/>
      <c r="L14706" s="1"/>
      <c r="M14706" s="1"/>
      <c r="N14706" s="1"/>
      <c r="O14706" s="1"/>
      <c r="P14706" s="1"/>
      <c r="Q14706" s="1"/>
      <c r="R14706" s="1"/>
      <c r="S14706" s="1"/>
      <c r="T14706" s="1"/>
      <c r="U14706" s="1"/>
      <c r="V14706" s="1"/>
      <c r="W14706" s="1"/>
      <c r="X14706" s="1"/>
      <c r="Y14706" s="1"/>
      <c r="Z14706" s="1"/>
      <c r="AA14706" s="1"/>
      <c r="AB14706" s="1"/>
    </row>
    <row r="14707" ht="50.25" customHeight="1">
      <c r="A14707" s="12">
        <v>14703.0</v>
      </c>
      <c r="B14707" s="13" t="s">
        <v>13838</v>
      </c>
      <c r="C14707" s="14" t="s">
        <v>13943</v>
      </c>
      <c r="D14707" s="1"/>
      <c r="E14707" s="1"/>
      <c r="F14707" s="1" t="str">
        <f>IFERROR(__xludf.DUMMYFUNCTION("GOOGLETRANSLATE(B14707, ""en"", ""fa"")
"),"درآمد غیرفعال")</f>
        <v>درآمد غیرفعال</v>
      </c>
      <c r="G14707" s="1" t="str">
        <f>IFERROR(__xludf.DUMMYFUNCTION("GOOGLETRANSLATE(C14707, ""en"", ""fa"")
"),"سرمایه گذاران چگونه می توانند مدیریت بازاریابی و رزرو برای املاک اجاره ای کوتاه مدت خود را انجام دهند؟")</f>
        <v>سرمایه گذاران چگونه می توانند مدیریت بازاریابی و رزرو برای املاک اجاره ای کوتاه مدت خود را انجام دهند؟</v>
      </c>
      <c r="H14707" s="1"/>
      <c r="I14707" s="1"/>
      <c r="J14707" s="1"/>
      <c r="K14707" s="1"/>
      <c r="L14707" s="1"/>
      <c r="M14707" s="1"/>
      <c r="N14707" s="1"/>
      <c r="O14707" s="1"/>
      <c r="P14707" s="1"/>
      <c r="Q14707" s="1"/>
      <c r="R14707" s="1"/>
      <c r="S14707" s="1"/>
      <c r="T14707" s="1"/>
      <c r="U14707" s="1"/>
      <c r="V14707" s="1"/>
      <c r="W14707" s="1"/>
      <c r="X14707" s="1"/>
      <c r="Y14707" s="1"/>
      <c r="Z14707" s="1"/>
      <c r="AA14707" s="1"/>
      <c r="AB14707" s="1"/>
    </row>
    <row r="14708" ht="50.25" customHeight="1">
      <c r="A14708" s="12">
        <v>14704.0</v>
      </c>
      <c r="B14708" s="13" t="s">
        <v>13838</v>
      </c>
      <c r="C14708" s="14" t="s">
        <v>13944</v>
      </c>
      <c r="D14708" s="1"/>
      <c r="E14708" s="1"/>
      <c r="F14708" s="1" t="str">
        <f>IFERROR(__xludf.DUMMYFUNCTION("GOOGLETRANSLATE(B14708, ""en"", ""fa"")
"),"درآمد غیرفعال")</f>
        <v>درآمد غیرفعال</v>
      </c>
      <c r="G14708" s="1" t="str">
        <f>IFERROR(__xludf.DUMMYFUNCTION("GOOGLETRANSLATE(C14708, ""en"", ""fa"")
"),"در مورد نقش قدردانی اموال در ایجاد ثروت از طریق سرمایه گذاری های بلند مدت اجاره ملک بحث کنید.")</f>
        <v>در مورد نقش قدردانی اموال در ایجاد ثروت از طریق سرمایه گذاری های بلند مدت اجاره ملک بحث کنید.</v>
      </c>
      <c r="H14708" s="1"/>
      <c r="I14708" s="1"/>
      <c r="J14708" s="1"/>
      <c r="K14708" s="1"/>
      <c r="L14708" s="1"/>
      <c r="M14708" s="1"/>
      <c r="N14708" s="1"/>
      <c r="O14708" s="1"/>
      <c r="P14708" s="1"/>
      <c r="Q14708" s="1"/>
      <c r="R14708" s="1"/>
      <c r="S14708" s="1"/>
      <c r="T14708" s="1"/>
      <c r="U14708" s="1"/>
      <c r="V14708" s="1"/>
      <c r="W14708" s="1"/>
      <c r="X14708" s="1"/>
      <c r="Y14708" s="1"/>
      <c r="Z14708" s="1"/>
      <c r="AA14708" s="1"/>
      <c r="AB14708" s="1"/>
    </row>
    <row r="14709" ht="50.25" customHeight="1">
      <c r="A14709" s="12">
        <v>14705.0</v>
      </c>
      <c r="B14709" s="13" t="s">
        <v>13838</v>
      </c>
      <c r="C14709" s="14" t="s">
        <v>13945</v>
      </c>
      <c r="D14709" s="1"/>
      <c r="E14709" s="1"/>
      <c r="F14709" s="1" t="str">
        <f>IFERROR(__xludf.DUMMYFUNCTION("GOOGLETRANSLATE(B14709, ""en"", ""fa"")
"),"درآمد غیرفعال")</f>
        <v>درآمد غیرفعال</v>
      </c>
      <c r="G14709" s="1" t="str">
        <f>IFERROR(__xludf.DUMMYFUNCTION("GOOGLETRANSLATE(C14709, ""en"", ""fa"")
"),"پتانسیل سرمایه گذاری در املاک اجاره ای را از طریق پلتفرم های سرمایه گذاری جمعی املاک و مستغلات برای درآمد غیرفعال کاوش کنید.")</f>
        <v>پتانسیل سرمایه گذاری در املاک اجاره ای را از طریق پلتفرم های سرمایه گذاری جمعی املاک و مستغلات برای درآمد غیرفعال کاوش کنید.</v>
      </c>
      <c r="H14709" s="1"/>
      <c r="I14709" s="1"/>
      <c r="J14709" s="1"/>
      <c r="K14709" s="1"/>
      <c r="L14709" s="1"/>
      <c r="M14709" s="1"/>
      <c r="N14709" s="1"/>
      <c r="O14709" s="1"/>
      <c r="P14709" s="1"/>
      <c r="Q14709" s="1"/>
      <c r="R14709" s="1"/>
      <c r="S14709" s="1"/>
      <c r="T14709" s="1"/>
      <c r="U14709" s="1"/>
      <c r="V14709" s="1"/>
      <c r="W14709" s="1"/>
      <c r="X14709" s="1"/>
      <c r="Y14709" s="1"/>
      <c r="Z14709" s="1"/>
      <c r="AA14709" s="1"/>
      <c r="AB14709" s="1"/>
    </row>
    <row r="14710" ht="50.25" customHeight="1">
      <c r="A14710" s="12">
        <v>14706.0</v>
      </c>
      <c r="B14710" s="13" t="s">
        <v>13838</v>
      </c>
      <c r="C14710" s="14" t="s">
        <v>13946</v>
      </c>
      <c r="D14710" s="1"/>
      <c r="E14710" s="1"/>
      <c r="F14710" s="1" t="str">
        <f>IFERROR(__xludf.DUMMYFUNCTION("GOOGLETRANSLATE(B14710, ""en"", ""fa"")
"),"درآمد غیرفعال")</f>
        <v>درآمد غیرفعال</v>
      </c>
      <c r="G14710" s="1" t="str">
        <f>IFERROR(__xludf.DUMMYFUNCTION("GOOGLETRANSLATE(C14710, ""en"", ""fa"")
"),"سرمایه گذاران از چه استراتژی هایی می توانند برای رسیدگی به درخواست های تعمیر و نگهداری و اطمینان از نگهداری ملک برای املاک اجاره ای استفاده کنند؟")</f>
        <v>سرمایه گذاران از چه استراتژی هایی می توانند برای رسیدگی به درخواست های تعمیر و نگهداری و اطمینان از نگهداری ملک برای املاک اجاره ای استفاده کنند؟</v>
      </c>
      <c r="H14710" s="1"/>
      <c r="I14710" s="1"/>
      <c r="J14710" s="1"/>
      <c r="K14710" s="1"/>
      <c r="L14710" s="1"/>
      <c r="M14710" s="1"/>
      <c r="N14710" s="1"/>
      <c r="O14710" s="1"/>
      <c r="P14710" s="1"/>
      <c r="Q14710" s="1"/>
      <c r="R14710" s="1"/>
      <c r="S14710" s="1"/>
      <c r="T14710" s="1"/>
      <c r="U14710" s="1"/>
      <c r="V14710" s="1"/>
      <c r="W14710" s="1"/>
      <c r="X14710" s="1"/>
      <c r="Y14710" s="1"/>
      <c r="Z14710" s="1"/>
      <c r="AA14710" s="1"/>
      <c r="AB14710" s="1"/>
    </row>
    <row r="14711" ht="50.25" customHeight="1">
      <c r="A14711" s="12">
        <v>14707.0</v>
      </c>
      <c r="B14711" s="13" t="s">
        <v>13838</v>
      </c>
      <c r="C14711" s="14" t="s">
        <v>13947</v>
      </c>
      <c r="D14711" s="1"/>
      <c r="E14711" s="1"/>
      <c r="F14711" s="1" t="str">
        <f>IFERROR(__xludf.DUMMYFUNCTION("GOOGLETRANSLATE(B14711, ""en"", ""fa"")
"),"درآمد غیرفعال")</f>
        <v>درآمد غیرفعال</v>
      </c>
      <c r="G14711" s="1" t="str">
        <f>IFERROR(__xludf.DUMMYFUNCTION("GOOGLETRANSLATE(C14711, ""en"", ""fa"")
"),"در مورد اهمیت ایجاد یک برند قوی و شهرت برای میزبانی موفق Airbnb بحث کنید.")</f>
        <v>در مورد اهمیت ایجاد یک برند قوی و شهرت برای میزبانی موفق Airbnb بحث کنید.</v>
      </c>
      <c r="H14711" s="1"/>
      <c r="I14711" s="1"/>
      <c r="J14711" s="1"/>
      <c r="K14711" s="1"/>
      <c r="L14711" s="1"/>
      <c r="M14711" s="1"/>
      <c r="N14711" s="1"/>
      <c r="O14711" s="1"/>
      <c r="P14711" s="1"/>
      <c r="Q14711" s="1"/>
      <c r="R14711" s="1"/>
      <c r="S14711" s="1"/>
      <c r="T14711" s="1"/>
      <c r="U14711" s="1"/>
      <c r="V14711" s="1"/>
      <c r="W14711" s="1"/>
      <c r="X14711" s="1"/>
      <c r="Y14711" s="1"/>
      <c r="Z14711" s="1"/>
      <c r="AA14711" s="1"/>
      <c r="AB14711" s="1"/>
    </row>
    <row r="14712" ht="50.25" customHeight="1">
      <c r="A14712" s="12">
        <v>14708.0</v>
      </c>
      <c r="B14712" s="13" t="s">
        <v>13838</v>
      </c>
      <c r="C14712" s="14" t="s">
        <v>13948</v>
      </c>
      <c r="D14712" s="1"/>
      <c r="E14712" s="1"/>
      <c r="F14712" s="1" t="str">
        <f>IFERROR(__xludf.DUMMYFUNCTION("GOOGLETRANSLATE(B14712, ""en"", ""fa"")
"),"درآمد غیرفعال")</f>
        <v>درآمد غیرفعال</v>
      </c>
      <c r="G14712" s="1" t="str">
        <f>IFERROR(__xludf.DUMMYFUNCTION("GOOGLETRANSLATE(C14712, ""en"", ""fa"")
"),"تاثیر رکود اقتصادی و نوسانات بازار بر سرمایه گذاری در املاک اجاره ای و نرخ اشغال را بررسی کنید.")</f>
        <v>تاثیر رکود اقتصادی و نوسانات بازار بر سرمایه گذاری در املاک اجاره ای و نرخ اشغال را بررسی کنید.</v>
      </c>
      <c r="H14712" s="1"/>
      <c r="I14712" s="1"/>
      <c r="J14712" s="1"/>
      <c r="K14712" s="1"/>
      <c r="L14712" s="1"/>
      <c r="M14712" s="1"/>
      <c r="N14712" s="1"/>
      <c r="O14712" s="1"/>
      <c r="P14712" s="1"/>
      <c r="Q14712" s="1"/>
      <c r="R14712" s="1"/>
      <c r="S14712" s="1"/>
      <c r="T14712" s="1"/>
      <c r="U14712" s="1"/>
      <c r="V14712" s="1"/>
      <c r="W14712" s="1"/>
      <c r="X14712" s="1"/>
      <c r="Y14712" s="1"/>
      <c r="Z14712" s="1"/>
      <c r="AA14712" s="1"/>
      <c r="AB14712" s="1"/>
    </row>
    <row r="14713" ht="50.25" customHeight="1">
      <c r="A14713" s="12">
        <v>14709.0</v>
      </c>
      <c r="B14713" s="13" t="s">
        <v>13838</v>
      </c>
      <c r="C14713" s="14" t="s">
        <v>13949</v>
      </c>
      <c r="D14713" s="1"/>
      <c r="E14713" s="1"/>
      <c r="F14713" s="1" t="str">
        <f>IFERROR(__xludf.DUMMYFUNCTION("GOOGLETRANSLATE(B14713, ""en"", ""fa"")
"),"درآمد غیرفعال")</f>
        <v>درآمد غیرفعال</v>
      </c>
      <c r="G14713" s="1" t="str">
        <f>IFERROR(__xludf.DUMMYFUNCTION("GOOGLETRANSLATE(C14713, ""en"", ""fa"")
"),"چگونه سرمایه گذاران می توانند گزینه های تامین مالی ملک و ملاحظات وام مسکن را برای سرمایه گذاری در املاک اجاره ای بررسی کنند؟")</f>
        <v>چگونه سرمایه گذاران می توانند گزینه های تامین مالی ملک و ملاحظات وام مسکن را برای سرمایه گذاری در املاک اجاره ای بررسی کنند؟</v>
      </c>
      <c r="H14713" s="1"/>
      <c r="I14713" s="1"/>
      <c r="J14713" s="1"/>
      <c r="K14713" s="1"/>
      <c r="L14713" s="1"/>
      <c r="M14713" s="1"/>
      <c r="N14713" s="1"/>
      <c r="O14713" s="1"/>
      <c r="P14713" s="1"/>
      <c r="Q14713" s="1"/>
      <c r="R14713" s="1"/>
      <c r="S14713" s="1"/>
      <c r="T14713" s="1"/>
      <c r="U14713" s="1"/>
      <c r="V14713" s="1"/>
      <c r="W14713" s="1"/>
      <c r="X14713" s="1"/>
      <c r="Y14713" s="1"/>
      <c r="Z14713" s="1"/>
      <c r="AA14713" s="1"/>
      <c r="AB14713" s="1"/>
    </row>
    <row r="14714" ht="50.25" customHeight="1">
      <c r="A14714" s="12">
        <v>14710.0</v>
      </c>
      <c r="B14714" s="13" t="s">
        <v>13838</v>
      </c>
      <c r="C14714" s="14" t="s">
        <v>13950</v>
      </c>
      <c r="D14714" s="1"/>
      <c r="E14714" s="1"/>
      <c r="F14714" s="1" t="str">
        <f>IFERROR(__xludf.DUMMYFUNCTION("GOOGLETRANSLATE(B14714, ""en"", ""fa"")
"),"درآمد غیرفعال")</f>
        <v>درآمد غیرفعال</v>
      </c>
      <c r="G14714" s="1" t="str">
        <f>IFERROR(__xludf.DUMMYFUNCTION("GOOGLETRANSLATE(C14714, ""en"", ""fa"")
"),"در مورد مفهوم اجاره بخشی از محل سکونت اصلی خود، مانند یک اتاق اضافی، به عنوان منبع درآمد غیرفعال بحث کنید.")</f>
        <v>در مورد مفهوم اجاره بخشی از محل سکونت اصلی خود، مانند یک اتاق اضافی، به عنوان منبع درآمد غیرفعال بحث کنید.</v>
      </c>
      <c r="H14714" s="1"/>
      <c r="I14714" s="1"/>
      <c r="J14714" s="1"/>
      <c r="K14714" s="1"/>
      <c r="L14714" s="1"/>
      <c r="M14714" s="1"/>
      <c r="N14714" s="1"/>
      <c r="O14714" s="1"/>
      <c r="P14714" s="1"/>
      <c r="Q14714" s="1"/>
      <c r="R14714" s="1"/>
      <c r="S14714" s="1"/>
      <c r="T14714" s="1"/>
      <c r="U14714" s="1"/>
      <c r="V14714" s="1"/>
      <c r="W14714" s="1"/>
      <c r="X14714" s="1"/>
      <c r="Y14714" s="1"/>
      <c r="Z14714" s="1"/>
      <c r="AA14714" s="1"/>
      <c r="AB14714" s="1"/>
    </row>
    <row r="14715" ht="50.25" customHeight="1">
      <c r="A14715" s="12">
        <v>14711.0</v>
      </c>
      <c r="B14715" s="13" t="s">
        <v>13838</v>
      </c>
      <c r="C14715" s="14" t="s">
        <v>13951</v>
      </c>
      <c r="D14715" s="1"/>
      <c r="E14715" s="1"/>
      <c r="F14715" s="1" t="str">
        <f>IFERROR(__xludf.DUMMYFUNCTION("GOOGLETRANSLATE(B14715, ""en"", ""fa"")
"),"درآمد غیرفعال")</f>
        <v>درآمد غیرفعال</v>
      </c>
      <c r="G14715" s="1" t="str">
        <f>IFERROR(__xludf.DUMMYFUNCTION("GOOGLETRANSLATE(C14715, ""en"", ""fa"")
"),"ارائه اموال و عکاسی چه نقشی در جذب مهمانان به فهرست های Airbnb دارد؟")</f>
        <v>ارائه اموال و عکاسی چه نقشی در جذب مهمانان به فهرست های Airbnb دارد؟</v>
      </c>
      <c r="H14715" s="1"/>
      <c r="I14715" s="1"/>
      <c r="J14715" s="1"/>
      <c r="K14715" s="1"/>
      <c r="L14715" s="1"/>
      <c r="M14715" s="1"/>
      <c r="N14715" s="1"/>
      <c r="O14715" s="1"/>
      <c r="P14715" s="1"/>
      <c r="Q14715" s="1"/>
      <c r="R14715" s="1"/>
      <c r="S14715" s="1"/>
      <c r="T14715" s="1"/>
      <c r="U14715" s="1"/>
      <c r="V14715" s="1"/>
      <c r="W14715" s="1"/>
      <c r="X14715" s="1"/>
      <c r="Y14715" s="1"/>
      <c r="Z14715" s="1"/>
      <c r="AA14715" s="1"/>
      <c r="AB14715" s="1"/>
    </row>
    <row r="14716" ht="50.25" customHeight="1">
      <c r="A14716" s="12">
        <v>14712.0</v>
      </c>
      <c r="B14716" s="13" t="s">
        <v>13838</v>
      </c>
      <c r="C14716" s="14" t="s">
        <v>13952</v>
      </c>
      <c r="D14716" s="1"/>
      <c r="E14716" s="1"/>
      <c r="F14716" s="1" t="str">
        <f>IFERROR(__xludf.DUMMYFUNCTION("GOOGLETRANSLATE(B14716, ""en"", ""fa"")
"),"درآمد غیرفعال")</f>
        <v>درآمد غیرفعال</v>
      </c>
      <c r="G14716" s="1" t="str">
        <f>IFERROR(__xludf.DUMMYFUNCTION("GOOGLETRANSLATE(C14716, ""en"", ""fa"")
"),"پتانسیل سرمایه گذاری در املاک اجاره ای از راه دور یا املاک در بازارهای نوظهور را برای درآمد غیرفعال بررسی کنید.")</f>
        <v>پتانسیل سرمایه گذاری در املاک اجاره ای از راه دور یا املاک در بازارهای نوظهور را برای درآمد غیرفعال بررسی کنید.</v>
      </c>
      <c r="H14716" s="1"/>
      <c r="I14716" s="1"/>
      <c r="J14716" s="1"/>
      <c r="K14716" s="1"/>
      <c r="L14716" s="1"/>
      <c r="M14716" s="1"/>
      <c r="N14716" s="1"/>
      <c r="O14716" s="1"/>
      <c r="P14716" s="1"/>
      <c r="Q14716" s="1"/>
      <c r="R14716" s="1"/>
      <c r="S14716" s="1"/>
      <c r="T14716" s="1"/>
      <c r="U14716" s="1"/>
      <c r="V14716" s="1"/>
      <c r="W14716" s="1"/>
      <c r="X14716" s="1"/>
      <c r="Y14716" s="1"/>
      <c r="Z14716" s="1"/>
      <c r="AA14716" s="1"/>
      <c r="AB14716" s="1"/>
    </row>
    <row r="14717" ht="50.25" customHeight="1">
      <c r="A14717" s="12">
        <v>14713.0</v>
      </c>
      <c r="B14717" s="13" t="s">
        <v>13838</v>
      </c>
      <c r="C14717" s="14" t="s">
        <v>13953</v>
      </c>
      <c r="D14717" s="1"/>
      <c r="E14717" s="1"/>
      <c r="F14717" s="1" t="str">
        <f>IFERROR(__xludf.DUMMYFUNCTION("GOOGLETRANSLATE(B14717, ""en"", ""fa"")
"),"درآمد غیرفعال")</f>
        <v>درآمد غیرفعال</v>
      </c>
      <c r="G14717" s="1" t="str">
        <f>IFERROR(__xludf.DUMMYFUNCTION("GOOGLETRANSLATE(C14717, ""en"", ""fa"")
"),"سرمایه‌گذاران چگونه می‌توانند ارتباطات مهمان، درخواست‌ها و تأییدیه‌های رزرو را برای فهرست‌های Airbnb مدیریت کنند؟")</f>
        <v>سرمایه‌گذاران چگونه می‌توانند ارتباطات مهمان، درخواست‌ها و تأییدیه‌های رزرو را برای فهرست‌های Airbnb مدیریت کنند؟</v>
      </c>
      <c r="H14717" s="1"/>
      <c r="I14717" s="1"/>
      <c r="J14717" s="1"/>
      <c r="K14717" s="1"/>
      <c r="L14717" s="1"/>
      <c r="M14717" s="1"/>
      <c r="N14717" s="1"/>
      <c r="O14717" s="1"/>
      <c r="P14717" s="1"/>
      <c r="Q14717" s="1"/>
      <c r="R14717" s="1"/>
      <c r="S14717" s="1"/>
      <c r="T14717" s="1"/>
      <c r="U14717" s="1"/>
      <c r="V14717" s="1"/>
      <c r="W14717" s="1"/>
      <c r="X14717" s="1"/>
      <c r="Y14717" s="1"/>
      <c r="Z14717" s="1"/>
      <c r="AA14717" s="1"/>
      <c r="AB14717" s="1"/>
    </row>
    <row r="14718" ht="50.25" customHeight="1">
      <c r="A14718" s="12">
        <v>14714.0</v>
      </c>
      <c r="B14718" s="13" t="s">
        <v>13838</v>
      </c>
      <c r="C14718" s="14" t="s">
        <v>13954</v>
      </c>
      <c r="D14718" s="1"/>
      <c r="E14718" s="1"/>
      <c r="F14718" s="1" t="str">
        <f>IFERROR(__xludf.DUMMYFUNCTION("GOOGLETRANSLATE(B14718, ""en"", ""fa"")
"),"درآمد غیرفعال")</f>
        <v>درآمد غیرفعال</v>
      </c>
      <c r="G14718" s="1" t="str">
        <f>IFERROR(__xludf.DUMMYFUNCTION("GOOGLETRANSLATE(C14718, ""en"", ""fa"")
"),"در مورد تأثیر نرم افزار و ابزار مدیریت املاک در ساده سازی عملیات املاک اجاره بحث کنید.")</f>
        <v>در مورد تأثیر نرم افزار و ابزار مدیریت املاک در ساده سازی عملیات املاک اجاره بحث کنید.</v>
      </c>
      <c r="H14718" s="1"/>
      <c r="I14718" s="1"/>
      <c r="J14718" s="1"/>
      <c r="K14718" s="1"/>
      <c r="L14718" s="1"/>
      <c r="M14718" s="1"/>
      <c r="N14718" s="1"/>
      <c r="O14718" s="1"/>
      <c r="P14718" s="1"/>
      <c r="Q14718" s="1"/>
      <c r="R14718" s="1"/>
      <c r="S14718" s="1"/>
      <c r="T14718" s="1"/>
      <c r="U14718" s="1"/>
      <c r="V14718" s="1"/>
      <c r="W14718" s="1"/>
      <c r="X14718" s="1"/>
      <c r="Y14718" s="1"/>
      <c r="Z14718" s="1"/>
      <c r="AA14718" s="1"/>
      <c r="AB14718" s="1"/>
    </row>
    <row r="14719" ht="50.25" customHeight="1">
      <c r="A14719" s="12">
        <v>14715.0</v>
      </c>
      <c r="B14719" s="13" t="s">
        <v>13838</v>
      </c>
      <c r="C14719" s="14" t="s">
        <v>13955</v>
      </c>
      <c r="D14719" s="1"/>
      <c r="E14719" s="1"/>
      <c r="F14719" s="1" t="str">
        <f>IFERROR(__xludf.DUMMYFUNCTION("GOOGLETRANSLATE(B14719, ""en"", ""fa"")
"),"درآمد غیرفعال")</f>
        <v>درآمد غیرفعال</v>
      </c>
      <c r="G14719" s="1" t="str">
        <f>IFERROR(__xludf.DUMMYFUNCTION("GOOGLETRANSLATE(C14719, ""en"", ""fa"")
"),"پتانسیل سرمایه‌گذاری در املاک اجاره‌ای که قبلاً توسط شرکت‌های مدیریت املاک مدیریت می‌شوند را بررسی کنید.")</f>
        <v>پتانسیل سرمایه‌گذاری در املاک اجاره‌ای که قبلاً توسط شرکت‌های مدیریت املاک مدیریت می‌شوند را بررسی کنید.</v>
      </c>
      <c r="H14719" s="1"/>
      <c r="I14719" s="1"/>
      <c r="J14719" s="1"/>
      <c r="K14719" s="1"/>
      <c r="L14719" s="1"/>
      <c r="M14719" s="1"/>
      <c r="N14719" s="1"/>
      <c r="O14719" s="1"/>
      <c r="P14719" s="1"/>
      <c r="Q14719" s="1"/>
      <c r="R14719" s="1"/>
      <c r="S14719" s="1"/>
      <c r="T14719" s="1"/>
      <c r="U14719" s="1"/>
      <c r="V14719" s="1"/>
      <c r="W14719" s="1"/>
      <c r="X14719" s="1"/>
      <c r="Y14719" s="1"/>
      <c r="Z14719" s="1"/>
      <c r="AA14719" s="1"/>
      <c r="AB14719" s="1"/>
    </row>
    <row r="14720" ht="50.25" customHeight="1">
      <c r="A14720" s="12">
        <v>14716.0</v>
      </c>
      <c r="B14720" s="13" t="s">
        <v>13838</v>
      </c>
      <c r="C14720" s="14" t="s">
        <v>13956</v>
      </c>
      <c r="D14720" s="1"/>
      <c r="E14720" s="1"/>
      <c r="F14720" s="1" t="str">
        <f>IFERROR(__xludf.DUMMYFUNCTION("GOOGLETRANSLATE(B14720, ""en"", ""fa"")
"),"درآمد غیرفعال")</f>
        <v>درآمد غیرفعال</v>
      </c>
      <c r="G14720" s="1" t="str">
        <f>IFERROR(__xludf.DUMMYFUNCTION("GOOGLETRANSLATE(C14720, ""en"", ""fa"")
"),"سرمایه گذاران از چه استراتژی هایی می توانند برای انجام اقدامات امنیتی و ایمنی هم برای مستاجران و هم برای مهمانان Airbnb استفاده کنند؟")</f>
        <v>سرمایه گذاران از چه استراتژی هایی می توانند برای انجام اقدامات امنیتی و ایمنی هم برای مستاجران و هم برای مهمانان Airbnb استفاده کنند؟</v>
      </c>
      <c r="H14720" s="1"/>
      <c r="I14720" s="1"/>
      <c r="J14720" s="1"/>
      <c r="K14720" s="1"/>
      <c r="L14720" s="1"/>
      <c r="M14720" s="1"/>
      <c r="N14720" s="1"/>
      <c r="O14720" s="1"/>
      <c r="P14720" s="1"/>
      <c r="Q14720" s="1"/>
      <c r="R14720" s="1"/>
      <c r="S14720" s="1"/>
      <c r="T14720" s="1"/>
      <c r="U14720" s="1"/>
      <c r="V14720" s="1"/>
      <c r="W14720" s="1"/>
      <c r="X14720" s="1"/>
      <c r="Y14720" s="1"/>
      <c r="Z14720" s="1"/>
      <c r="AA14720" s="1"/>
      <c r="AB14720" s="1"/>
    </row>
    <row r="14721" ht="50.25" customHeight="1">
      <c r="A14721" s="12">
        <v>14717.0</v>
      </c>
      <c r="B14721" s="13" t="s">
        <v>13838</v>
      </c>
      <c r="C14721" s="14" t="s">
        <v>13957</v>
      </c>
      <c r="D14721" s="1"/>
      <c r="E14721" s="1"/>
      <c r="F14721" s="1" t="str">
        <f>IFERROR(__xludf.DUMMYFUNCTION("GOOGLETRANSLATE(B14721, ""en"", ""fa"")
"),"درآمد غیرفعال")</f>
        <v>درآمد غیرفعال</v>
      </c>
      <c r="G14721" s="1" t="str">
        <f>IFERROR(__xludf.DUMMYFUNCTION("GOOGLETRANSLATE(C14721, ""en"", ""fa"")
"),"در مورد اهمیت حفظ یک استراتژی قیمت گذاری رقابتی برای جذب مهمانان و حفظ اشغال ملک اجاره ای بحث کنید.")</f>
        <v>در مورد اهمیت حفظ یک استراتژی قیمت گذاری رقابتی برای جذب مهمانان و حفظ اشغال ملک اجاره ای بحث کنید.</v>
      </c>
      <c r="H14721" s="1"/>
      <c r="I14721" s="1"/>
      <c r="J14721" s="1"/>
      <c r="K14721" s="1"/>
      <c r="L14721" s="1"/>
      <c r="M14721" s="1"/>
      <c r="N14721" s="1"/>
      <c r="O14721" s="1"/>
      <c r="P14721" s="1"/>
      <c r="Q14721" s="1"/>
      <c r="R14721" s="1"/>
      <c r="S14721" s="1"/>
      <c r="T14721" s="1"/>
      <c r="U14721" s="1"/>
      <c r="V14721" s="1"/>
      <c r="W14721" s="1"/>
      <c r="X14721" s="1"/>
      <c r="Y14721" s="1"/>
      <c r="Z14721" s="1"/>
      <c r="AA14721" s="1"/>
      <c r="AB14721" s="1"/>
    </row>
    <row r="14722" ht="50.25" customHeight="1">
      <c r="A14722" s="12">
        <v>14718.0</v>
      </c>
      <c r="B14722" s="13" t="s">
        <v>13838</v>
      </c>
      <c r="C14722" s="14" t="s">
        <v>13958</v>
      </c>
      <c r="D14722" s="1"/>
      <c r="E14722" s="1"/>
      <c r="F14722" s="1" t="str">
        <f>IFERROR(__xludf.DUMMYFUNCTION("GOOGLETRANSLATE(B14722, ""en"", ""fa"")
"),"درآمد غیرفعال")</f>
        <v>درآمد غیرفعال</v>
      </c>
      <c r="G14722" s="1" t="str">
        <f>IFERROR(__xludf.DUMMYFUNCTION("GOOGLETRANSLATE(C14722, ""en"", ""fa"")
"),"تأثیر پلتفرم‌های آنلاین و کانال‌های رزرو را در دستیابی به مخاطبان گسترده‌تری برای فهرست‌های Airbnb بررسی کنید.")</f>
        <v>تأثیر پلتفرم‌های آنلاین و کانال‌های رزرو را در دستیابی به مخاطبان گسترده‌تری برای فهرست‌های Airbnb بررسی کنید.</v>
      </c>
      <c r="H14722" s="1"/>
      <c r="I14722" s="1"/>
      <c r="J14722" s="1"/>
      <c r="K14722" s="1"/>
      <c r="L14722" s="1"/>
      <c r="M14722" s="1"/>
      <c r="N14722" s="1"/>
      <c r="O14722" s="1"/>
      <c r="P14722" s="1"/>
      <c r="Q14722" s="1"/>
      <c r="R14722" s="1"/>
      <c r="S14722" s="1"/>
      <c r="T14722" s="1"/>
      <c r="U14722" s="1"/>
      <c r="V14722" s="1"/>
      <c r="W14722" s="1"/>
      <c r="X14722" s="1"/>
      <c r="Y14722" s="1"/>
      <c r="Z14722" s="1"/>
      <c r="AA14722" s="1"/>
      <c r="AB14722" s="1"/>
    </row>
    <row r="14723" ht="50.25" customHeight="1">
      <c r="A14723" s="12">
        <v>14719.0</v>
      </c>
      <c r="B14723" s="13" t="s">
        <v>13838</v>
      </c>
      <c r="C14723" s="14" t="s">
        <v>13959</v>
      </c>
      <c r="D14723" s="1"/>
      <c r="E14723" s="1"/>
      <c r="F14723" s="1" t="str">
        <f>IFERROR(__xludf.DUMMYFUNCTION("GOOGLETRANSLATE(B14723, ""en"", ""fa"")
"),"درآمد غیرفعال")</f>
        <v>درآمد غیرفعال</v>
      </c>
      <c r="G14723" s="1" t="str">
        <f>IFERROR(__xludf.DUMMYFUNCTION("GOOGLETRANSLATE(C14723, ""en"", ""fa"")
"),"چگونه سرمایه گذاران می توانند از تحقیقات بازار و تجزیه و تحلیل جمعیت شناختی برای هدف قرار دادن مخاطبان مناسب برای املاک اجاره ای خود استفاده کنند؟")</f>
        <v>چگونه سرمایه گذاران می توانند از تحقیقات بازار و تجزیه و تحلیل جمعیت شناختی برای هدف قرار دادن مخاطبان مناسب برای املاک اجاره ای خود استفاده کنند؟</v>
      </c>
      <c r="H14723" s="1"/>
      <c r="I14723" s="1"/>
      <c r="J14723" s="1"/>
      <c r="K14723" s="1"/>
      <c r="L14723" s="1"/>
      <c r="M14723" s="1"/>
      <c r="N14723" s="1"/>
      <c r="O14723" s="1"/>
      <c r="P14723" s="1"/>
      <c r="Q14723" s="1"/>
      <c r="R14723" s="1"/>
      <c r="S14723" s="1"/>
      <c r="T14723" s="1"/>
      <c r="U14723" s="1"/>
      <c r="V14723" s="1"/>
      <c r="W14723" s="1"/>
      <c r="X14723" s="1"/>
      <c r="Y14723" s="1"/>
      <c r="Z14723" s="1"/>
      <c r="AA14723" s="1"/>
      <c r="AB14723" s="1"/>
    </row>
    <row r="14724" ht="50.25" customHeight="1">
      <c r="A14724" s="12">
        <v>14720.0</v>
      </c>
      <c r="B14724" s="13" t="s">
        <v>13838</v>
      </c>
      <c r="C14724" s="14" t="s">
        <v>13960</v>
      </c>
      <c r="D14724" s="1"/>
      <c r="E14724" s="1"/>
      <c r="F14724" s="1" t="str">
        <f>IFERROR(__xludf.DUMMYFUNCTION("GOOGLETRANSLATE(B14724, ""en"", ""fa"")
"),"درآمد غیرفعال")</f>
        <v>درآمد غیرفعال</v>
      </c>
      <c r="G14724" s="1" t="str">
        <f>IFERROR(__xludf.DUMMYFUNCTION("GOOGLETRANSLATE(C14724, ""en"", ""fa"")
"),"در مورد مفهوم قراردادهای اجاره به مالک به عنوان راهی برای ایجاد درآمد غیرفعال و فروش بالقوه املاک اجاره ای بحث کنید.")</f>
        <v>در مورد مفهوم قراردادهای اجاره به مالک به عنوان راهی برای ایجاد درآمد غیرفعال و فروش بالقوه املاک اجاره ای بحث کنید.</v>
      </c>
      <c r="H14724" s="1"/>
      <c r="I14724" s="1"/>
      <c r="J14724" s="1"/>
      <c r="K14724" s="1"/>
      <c r="L14724" s="1"/>
      <c r="M14724" s="1"/>
      <c r="N14724" s="1"/>
      <c r="O14724" s="1"/>
      <c r="P14724" s="1"/>
      <c r="Q14724" s="1"/>
      <c r="R14724" s="1"/>
      <c r="S14724" s="1"/>
      <c r="T14724" s="1"/>
      <c r="U14724" s="1"/>
      <c r="V14724" s="1"/>
      <c r="W14724" s="1"/>
      <c r="X14724" s="1"/>
      <c r="Y14724" s="1"/>
      <c r="Z14724" s="1"/>
      <c r="AA14724" s="1"/>
      <c r="AB14724" s="1"/>
    </row>
    <row r="14725" ht="50.25" customHeight="1">
      <c r="A14725" s="12">
        <v>14721.0</v>
      </c>
      <c r="B14725" s="13" t="s">
        <v>13838</v>
      </c>
      <c r="C14725" s="14" t="s">
        <v>13961</v>
      </c>
      <c r="D14725" s="1"/>
      <c r="E14725" s="1"/>
      <c r="F14725" s="1" t="str">
        <f>IFERROR(__xludf.DUMMYFUNCTION("GOOGLETRANSLATE(B14725, ""en"", ""fa"")
"),"درآمد غیرفعال")</f>
        <v>درآمد غیرفعال</v>
      </c>
      <c r="G14725" s="1" t="str">
        <f>IFERROR(__xludf.DUMMYFUNCTION("GOOGLETRANSLATE(C14725, ""en"", ""fa"")
"),"مزایای بالقوه ارائه تجربیات یا امکانات منحصر به فرد به مهمانان در املاک Airbnb چیست؟")</f>
        <v>مزایای بالقوه ارائه تجربیات یا امکانات منحصر به فرد به مهمانان در املاک Airbnb چیست؟</v>
      </c>
      <c r="H14725" s="1"/>
      <c r="I14725" s="1"/>
      <c r="J14725" s="1"/>
      <c r="K14725" s="1"/>
      <c r="L14725" s="1"/>
      <c r="M14725" s="1"/>
      <c r="N14725" s="1"/>
      <c r="O14725" s="1"/>
      <c r="P14725" s="1"/>
      <c r="Q14725" s="1"/>
      <c r="R14725" s="1"/>
      <c r="S14725" s="1"/>
      <c r="T14725" s="1"/>
      <c r="U14725" s="1"/>
      <c r="V14725" s="1"/>
      <c r="W14725" s="1"/>
      <c r="X14725" s="1"/>
      <c r="Y14725" s="1"/>
      <c r="Z14725" s="1"/>
      <c r="AA14725" s="1"/>
      <c r="AB14725" s="1"/>
    </row>
    <row r="14726" ht="50.25" customHeight="1">
      <c r="A14726" s="12">
        <v>14722.0</v>
      </c>
      <c r="B14726" s="13" t="s">
        <v>13838</v>
      </c>
      <c r="C14726" s="14" t="s">
        <v>13962</v>
      </c>
      <c r="D14726" s="1"/>
      <c r="E14726" s="1"/>
      <c r="F14726" s="1" t="str">
        <f>IFERROR(__xludf.DUMMYFUNCTION("GOOGLETRANSLATE(B14726, ""en"", ""fa"")
"),"درآمد غیرفعال")</f>
        <v>درآمد غیرفعال</v>
      </c>
      <c r="G14726" s="1" t="str">
        <f>IFERROR(__xludf.DUMMYFUNCTION("GOOGLETRANSLATE(C14726, ""en"", ""fa"")
"),"پتانسیل سرمایه گذاری در مسکن دانشجویی یا املاک مسکونی مشترک برای درآمد غیرفعال را بررسی کنید.")</f>
        <v>پتانسیل سرمایه گذاری در مسکن دانشجویی یا املاک مسکونی مشترک برای درآمد غیرفعال را بررسی کنید.</v>
      </c>
      <c r="H14726" s="1"/>
      <c r="I14726" s="1"/>
      <c r="J14726" s="1"/>
      <c r="K14726" s="1"/>
      <c r="L14726" s="1"/>
      <c r="M14726" s="1"/>
      <c r="N14726" s="1"/>
      <c r="O14726" s="1"/>
      <c r="P14726" s="1"/>
      <c r="Q14726" s="1"/>
      <c r="R14726" s="1"/>
      <c r="S14726" s="1"/>
      <c r="T14726" s="1"/>
      <c r="U14726" s="1"/>
      <c r="V14726" s="1"/>
      <c r="W14726" s="1"/>
      <c r="X14726" s="1"/>
      <c r="Y14726" s="1"/>
      <c r="Z14726" s="1"/>
      <c r="AA14726" s="1"/>
      <c r="AB14726" s="1"/>
    </row>
    <row r="14727" ht="50.25" customHeight="1">
      <c r="A14727" s="12">
        <v>14723.0</v>
      </c>
      <c r="B14727" s="13" t="s">
        <v>13838</v>
      </c>
      <c r="C14727" s="14" t="s">
        <v>13963</v>
      </c>
      <c r="D14727" s="1"/>
      <c r="E14727" s="1"/>
      <c r="F14727" s="1" t="str">
        <f>IFERROR(__xludf.DUMMYFUNCTION("GOOGLETRANSLATE(B14727, ""en"", ""fa"")
"),"درآمد غیرفعال")</f>
        <v>درآمد غیرفعال</v>
      </c>
      <c r="G14727" s="1" t="str">
        <f>IFERROR(__xludf.DUMMYFUNCTION("GOOGLETRANSLATE(C14727, ""en"", ""fa"")
"),"چگونه سرمایه گذاران می توانند لیست املاک خود را با توضیحات قانع کننده و سرفصل های جلب توجه بهینه کنند؟")</f>
        <v>چگونه سرمایه گذاران می توانند لیست املاک خود را با توضیحات قانع کننده و سرفصل های جلب توجه بهینه کنند؟</v>
      </c>
      <c r="H14727" s="1"/>
      <c r="I14727" s="1"/>
      <c r="J14727" s="1"/>
      <c r="K14727" s="1"/>
      <c r="L14727" s="1"/>
      <c r="M14727" s="1"/>
      <c r="N14727" s="1"/>
      <c r="O14727" s="1"/>
      <c r="P14727" s="1"/>
      <c r="Q14727" s="1"/>
      <c r="R14727" s="1"/>
      <c r="S14727" s="1"/>
      <c r="T14727" s="1"/>
      <c r="U14727" s="1"/>
      <c r="V14727" s="1"/>
      <c r="W14727" s="1"/>
      <c r="X14727" s="1"/>
      <c r="Y14727" s="1"/>
      <c r="Z14727" s="1"/>
      <c r="AA14727" s="1"/>
      <c r="AB14727" s="1"/>
    </row>
    <row r="14728" ht="50.25" customHeight="1">
      <c r="A14728" s="12">
        <v>14724.0</v>
      </c>
      <c r="B14728" s="13" t="s">
        <v>13838</v>
      </c>
      <c r="C14728" s="14" t="s">
        <v>13964</v>
      </c>
      <c r="D14728" s="1"/>
      <c r="E14728" s="1"/>
      <c r="F14728" s="1" t="str">
        <f>IFERROR(__xludf.DUMMYFUNCTION("GOOGLETRANSLATE(B14728, ""en"", ""fa"")
"),"درآمد غیرفعال")</f>
        <v>درآمد غیرفعال</v>
      </c>
      <c r="G14728" s="1" t="str">
        <f>IFERROR(__xludf.DUMMYFUNCTION("GOOGLETRANSLATE(C14728, ""en"", ""fa"")
"),"در مورد تأثیر مکان و دسترسی ملک بر موفقیت املاک اجاره بلندمدت و کوتاه مدت بحث کنید.")</f>
        <v>در مورد تأثیر مکان و دسترسی ملک بر موفقیت املاک اجاره بلندمدت و کوتاه مدت بحث کنید.</v>
      </c>
      <c r="H14728" s="1"/>
      <c r="I14728" s="1"/>
      <c r="J14728" s="1"/>
      <c r="K14728" s="1"/>
      <c r="L14728" s="1"/>
      <c r="M14728" s="1"/>
      <c r="N14728" s="1"/>
      <c r="O14728" s="1"/>
      <c r="P14728" s="1"/>
      <c r="Q14728" s="1"/>
      <c r="R14728" s="1"/>
      <c r="S14728" s="1"/>
      <c r="T14728" s="1"/>
      <c r="U14728" s="1"/>
      <c r="V14728" s="1"/>
      <c r="W14728" s="1"/>
      <c r="X14728" s="1"/>
      <c r="Y14728" s="1"/>
      <c r="Z14728" s="1"/>
      <c r="AA14728" s="1"/>
      <c r="AB14728" s="1"/>
    </row>
    <row r="14729" ht="50.25" customHeight="1">
      <c r="A14729" s="12">
        <v>14725.0</v>
      </c>
      <c r="B14729" s="13" t="s">
        <v>13838</v>
      </c>
      <c r="C14729" s="14" t="s">
        <v>13965</v>
      </c>
      <c r="D14729" s="1"/>
      <c r="E14729" s="1"/>
      <c r="F14729" s="1" t="str">
        <f>IFERROR(__xludf.DUMMYFUNCTION("GOOGLETRANSLATE(B14729, ""en"", ""fa"")
"),"درآمد غیرفعال")</f>
        <v>درآمد غیرفعال</v>
      </c>
      <c r="G14729" s="1" t="str">
        <f>IFERROR(__xludf.DUMMYFUNCTION("GOOGLETRANSLATE(C14729, ""en"", ""fa"")
"),"پتانسیل سرمایه گذاری در سندیکاهای املاک و مستغلات یا سرمایه گذاری های مشترک برای پروژه های ملکی اجاره ای بزرگتر را بررسی کنید.")</f>
        <v>پتانسیل سرمایه گذاری در سندیکاهای املاک و مستغلات یا سرمایه گذاری های مشترک برای پروژه های ملکی اجاره ای بزرگتر را بررسی کنید.</v>
      </c>
      <c r="H14729" s="1"/>
      <c r="I14729" s="1"/>
      <c r="J14729" s="1"/>
      <c r="K14729" s="1"/>
      <c r="L14729" s="1"/>
      <c r="M14729" s="1"/>
      <c r="N14729" s="1"/>
      <c r="O14729" s="1"/>
      <c r="P14729" s="1"/>
      <c r="Q14729" s="1"/>
      <c r="R14729" s="1"/>
      <c r="S14729" s="1"/>
      <c r="T14729" s="1"/>
      <c r="U14729" s="1"/>
      <c r="V14729" s="1"/>
      <c r="W14729" s="1"/>
      <c r="X14729" s="1"/>
      <c r="Y14729" s="1"/>
      <c r="Z14729" s="1"/>
      <c r="AA14729" s="1"/>
      <c r="AB14729" s="1"/>
    </row>
    <row r="14730" ht="50.25" customHeight="1">
      <c r="A14730" s="12">
        <v>14726.0</v>
      </c>
      <c r="B14730" s="13" t="s">
        <v>13838</v>
      </c>
      <c r="C14730" s="14" t="s">
        <v>13966</v>
      </c>
      <c r="D14730" s="1"/>
      <c r="E14730" s="1"/>
      <c r="F14730" s="1" t="str">
        <f>IFERROR(__xludf.DUMMYFUNCTION("GOOGLETRANSLATE(B14730, ""en"", ""fa"")
"),"درآمد غیرفعال")</f>
        <v>درآمد غیرفعال</v>
      </c>
      <c r="G14730" s="1" t="str">
        <f>IFERROR(__xludf.DUMMYFUNCTION("GOOGLETRANSLATE(C14730, ""en"", ""fa"")
"),"سرمایه‌گذاران از چه استراتژی‌هایی می‌توانند برای رسیدگی به درخواست‌های مهمان، تغییرات رزرو و لغو املاک Airbnb استفاده کنند؟")</f>
        <v>سرمایه‌گذاران از چه استراتژی‌هایی می‌توانند برای رسیدگی به درخواست‌های مهمان، تغییرات رزرو و لغو املاک Airbnb استفاده کنند؟</v>
      </c>
      <c r="H14730" s="1"/>
      <c r="I14730" s="1"/>
      <c r="J14730" s="1"/>
      <c r="K14730" s="1"/>
      <c r="L14730" s="1"/>
      <c r="M14730" s="1"/>
      <c r="N14730" s="1"/>
      <c r="O14730" s="1"/>
      <c r="P14730" s="1"/>
      <c r="Q14730" s="1"/>
      <c r="R14730" s="1"/>
      <c r="S14730" s="1"/>
      <c r="T14730" s="1"/>
      <c r="U14730" s="1"/>
      <c r="V14730" s="1"/>
      <c r="W14730" s="1"/>
      <c r="X14730" s="1"/>
      <c r="Y14730" s="1"/>
      <c r="Z14730" s="1"/>
      <c r="AA14730" s="1"/>
      <c r="AB14730" s="1"/>
    </row>
    <row r="14731" ht="50.25" customHeight="1">
      <c r="A14731" s="12">
        <v>14727.0</v>
      </c>
      <c r="B14731" s="13" t="s">
        <v>13838</v>
      </c>
      <c r="C14731" s="14" t="s">
        <v>13967</v>
      </c>
      <c r="D14731" s="1"/>
      <c r="E14731" s="1"/>
      <c r="F14731" s="1" t="str">
        <f>IFERROR(__xludf.DUMMYFUNCTION("GOOGLETRANSLATE(B14731, ""en"", ""fa"")
"),"درآمد غیرفعال")</f>
        <v>درآمد غیرفعال</v>
      </c>
      <c r="G14731" s="1" t="str">
        <f>IFERROR(__xludf.DUMMYFUNCTION("GOOGLETRANSLATE(C14731, ""en"", ""fa"")
"),"در مورد اهمیت ارتباط موثر و پاسخگویی به نیازهای مستاجر در املاک اجاره بلندمدت بحث کنید.")</f>
        <v>در مورد اهمیت ارتباط موثر و پاسخگویی به نیازهای مستاجر در املاک اجاره بلندمدت بحث کنید.</v>
      </c>
      <c r="H14731" s="1"/>
      <c r="I14731" s="1"/>
      <c r="J14731" s="1"/>
      <c r="K14731" s="1"/>
      <c r="L14731" s="1"/>
      <c r="M14731" s="1"/>
      <c r="N14731" s="1"/>
      <c r="O14731" s="1"/>
      <c r="P14731" s="1"/>
      <c r="Q14731" s="1"/>
      <c r="R14731" s="1"/>
      <c r="S14731" s="1"/>
      <c r="T14731" s="1"/>
      <c r="U14731" s="1"/>
      <c r="V14731" s="1"/>
      <c r="W14731" s="1"/>
      <c r="X14731" s="1"/>
      <c r="Y14731" s="1"/>
      <c r="Z14731" s="1"/>
      <c r="AA14731" s="1"/>
      <c r="AB14731" s="1"/>
    </row>
    <row r="14732" ht="50.25" customHeight="1">
      <c r="A14732" s="12">
        <v>14728.0</v>
      </c>
      <c r="B14732" s="13" t="s">
        <v>13838</v>
      </c>
      <c r="C14732" s="14" t="s">
        <v>13968</v>
      </c>
      <c r="D14732" s="1"/>
      <c r="E14732" s="1"/>
      <c r="F14732" s="1" t="str">
        <f>IFERROR(__xludf.DUMMYFUNCTION("GOOGLETRANSLATE(B14732, ""en"", ""fa"")
"),"درآمد غیرفعال")</f>
        <v>درآمد غیرفعال</v>
      </c>
      <c r="G14732" s="1" t="str">
        <f>IFERROR(__xludf.DUMMYFUNCTION("GOOGLETRANSLATE(C14732, ""en"", ""fa"")
"),"تأثیر مقررات محلی و قوانین منطقه‌بندی بر عملکرد املاک اجاره‌ای و فهرست‌های Airbnb را بررسی کنید.")</f>
        <v>تأثیر مقررات محلی و قوانین منطقه‌بندی بر عملکرد املاک اجاره‌ای و فهرست‌های Airbnb را بررسی کنید.</v>
      </c>
      <c r="H14732" s="1"/>
      <c r="I14732" s="1"/>
      <c r="J14732" s="1"/>
      <c r="K14732" s="1"/>
      <c r="L14732" s="1"/>
      <c r="M14732" s="1"/>
      <c r="N14732" s="1"/>
      <c r="O14732" s="1"/>
      <c r="P14732" s="1"/>
      <c r="Q14732" s="1"/>
      <c r="R14732" s="1"/>
      <c r="S14732" s="1"/>
      <c r="T14732" s="1"/>
      <c r="U14732" s="1"/>
      <c r="V14732" s="1"/>
      <c r="W14732" s="1"/>
      <c r="X14732" s="1"/>
      <c r="Y14732" s="1"/>
      <c r="Z14732" s="1"/>
      <c r="AA14732" s="1"/>
      <c r="AB14732" s="1"/>
    </row>
    <row r="14733" ht="50.25" customHeight="1">
      <c r="A14733" s="12">
        <v>14729.0</v>
      </c>
      <c r="B14733" s="13" t="s">
        <v>13838</v>
      </c>
      <c r="C14733" s="14" t="s">
        <v>13969</v>
      </c>
      <c r="D14733" s="1"/>
      <c r="E14733" s="1"/>
      <c r="F14733" s="1" t="str">
        <f>IFERROR(__xludf.DUMMYFUNCTION("GOOGLETRANSLATE(B14733, ""en"", ""fa"")
"),"درآمد غیرفعال")</f>
        <v>درآمد غیرفعال</v>
      </c>
      <c r="G14733" s="1" t="str">
        <f>IFERROR(__xludf.DUMMYFUNCTION("GOOGLETRANSLATE(C14733, ""en"", ""fa"")
"),"چگونه سرمایه‌گذاران می‌توانند به‌طور مؤثر گردش مالی و تمیز کردن فهرست‌های Airbnb را مدیریت کنند؟")</f>
        <v>چگونه سرمایه‌گذاران می‌توانند به‌طور مؤثر گردش مالی و تمیز کردن فهرست‌های Airbnb را مدیریت کنند؟</v>
      </c>
      <c r="H14733" s="1"/>
      <c r="I14733" s="1"/>
      <c r="J14733" s="1"/>
      <c r="K14733" s="1"/>
      <c r="L14733" s="1"/>
      <c r="M14733" s="1"/>
      <c r="N14733" s="1"/>
      <c r="O14733" s="1"/>
      <c r="P14733" s="1"/>
      <c r="Q14733" s="1"/>
      <c r="R14733" s="1"/>
      <c r="S14733" s="1"/>
      <c r="T14733" s="1"/>
      <c r="U14733" s="1"/>
      <c r="V14733" s="1"/>
      <c r="W14733" s="1"/>
      <c r="X14733" s="1"/>
      <c r="Y14733" s="1"/>
      <c r="Z14733" s="1"/>
      <c r="AA14733" s="1"/>
      <c r="AB14733" s="1"/>
    </row>
    <row r="14734" ht="50.25" customHeight="1">
      <c r="A14734" s="12">
        <v>14730.0</v>
      </c>
      <c r="B14734" s="13" t="s">
        <v>13838</v>
      </c>
      <c r="C14734" s="14" t="s">
        <v>13970</v>
      </c>
      <c r="D14734" s="1"/>
      <c r="E14734" s="1"/>
      <c r="F14734" s="1" t="str">
        <f>IFERROR(__xludf.DUMMYFUNCTION("GOOGLETRANSLATE(B14734, ""en"", ""fa"")
"),"درآمد غیرفعال")</f>
        <v>درآمد غیرفعال</v>
      </c>
      <c r="G14734" s="1" t="str">
        <f>IFERROR(__xludf.DUMMYFUNCTION("GOOGLETRANSLATE(C14734, ""en"", ""fa"")
"),"در مورد مفهوم باشگاه ها و شبکه های سرمایه گذاری املاک و مستغلات به عنوان راهی برای ارتباط با سرمایه گذاران املاک اجاره ای صحبت کنید.")</f>
        <v>در مورد مفهوم باشگاه ها و شبکه های سرمایه گذاری املاک و مستغلات به عنوان راهی برای ارتباط با سرمایه گذاران املاک اجاره ای صحبت کنید.</v>
      </c>
      <c r="H14734" s="1"/>
      <c r="I14734" s="1"/>
      <c r="J14734" s="1"/>
      <c r="K14734" s="1"/>
      <c r="L14734" s="1"/>
      <c r="M14734" s="1"/>
      <c r="N14734" s="1"/>
      <c r="O14734" s="1"/>
      <c r="P14734" s="1"/>
      <c r="Q14734" s="1"/>
      <c r="R14734" s="1"/>
      <c r="S14734" s="1"/>
      <c r="T14734" s="1"/>
      <c r="U14734" s="1"/>
      <c r="V14734" s="1"/>
      <c r="W14734" s="1"/>
      <c r="X14734" s="1"/>
      <c r="Y14734" s="1"/>
      <c r="Z14734" s="1"/>
      <c r="AA14734" s="1"/>
      <c r="AB14734" s="1"/>
    </row>
    <row r="14735" ht="50.25" customHeight="1">
      <c r="A14735" s="12">
        <v>14731.0</v>
      </c>
      <c r="B14735" s="13" t="s">
        <v>13838</v>
      </c>
      <c r="C14735" s="14" t="s">
        <v>13971</v>
      </c>
      <c r="D14735" s="1"/>
      <c r="E14735" s="1"/>
      <c r="F14735" s="1" t="str">
        <f>IFERROR(__xludf.DUMMYFUNCTION("GOOGLETRANSLATE(B14735, ""en"", ""fa"")
"),"درآمد غیرفعال")</f>
        <v>درآمد غیرفعال</v>
      </c>
      <c r="G14735" s="1" t="str">
        <f>IFERROR(__xludf.DUMMYFUNCTION("GOOGLETRANSLATE(C14735, ""en"", ""fa"")
"),"مشارکت مهمان و تجربیات شخصی‌شده چه نقشی در دستیابی به نظرات مثبت برای فهرست‌های Airbnb دارد؟")</f>
        <v>مشارکت مهمان و تجربیات شخصی‌شده چه نقشی در دستیابی به نظرات مثبت برای فهرست‌های Airbnb دارد؟</v>
      </c>
      <c r="H14735" s="1"/>
      <c r="I14735" s="1"/>
      <c r="J14735" s="1"/>
      <c r="K14735" s="1"/>
      <c r="L14735" s="1"/>
      <c r="M14735" s="1"/>
      <c r="N14735" s="1"/>
      <c r="O14735" s="1"/>
      <c r="P14735" s="1"/>
      <c r="Q14735" s="1"/>
      <c r="R14735" s="1"/>
      <c r="S14735" s="1"/>
      <c r="T14735" s="1"/>
      <c r="U14735" s="1"/>
      <c r="V14735" s="1"/>
      <c r="W14735" s="1"/>
      <c r="X14735" s="1"/>
      <c r="Y14735" s="1"/>
      <c r="Z14735" s="1"/>
      <c r="AA14735" s="1"/>
      <c r="AB14735" s="1"/>
    </row>
    <row r="14736" ht="50.25" customHeight="1">
      <c r="A14736" s="12">
        <v>14732.0</v>
      </c>
      <c r="B14736" s="13" t="s">
        <v>13838</v>
      </c>
      <c r="C14736" s="14" t="s">
        <v>13972</v>
      </c>
      <c r="D14736" s="1"/>
      <c r="E14736" s="1"/>
      <c r="F14736" s="1" t="str">
        <f>IFERROR(__xludf.DUMMYFUNCTION("GOOGLETRANSLATE(B14736, ""en"", ""fa"")
"),"درآمد غیرفعال")</f>
        <v>درآمد غیرفعال</v>
      </c>
      <c r="G14736" s="1" t="str">
        <f>IFERROR(__xludf.DUMMYFUNCTION("GOOGLETRANSLATE(C14736, ""en"", ""fa"")
"),"پتانسیل سرمایه‌گذاری در املاک نزدیک دانشگاه‌ها و کالج‌ها را برای هدف قرار دادن دانشجویان مستأجر بررسی کنید.")</f>
        <v>پتانسیل سرمایه‌گذاری در املاک نزدیک دانشگاه‌ها و کالج‌ها را برای هدف قرار دادن دانشجویان مستأجر بررسی کنید.</v>
      </c>
      <c r="H14736" s="1"/>
      <c r="I14736" s="1"/>
      <c r="J14736" s="1"/>
      <c r="K14736" s="1"/>
      <c r="L14736" s="1"/>
      <c r="M14736" s="1"/>
      <c r="N14736" s="1"/>
      <c r="O14736" s="1"/>
      <c r="P14736" s="1"/>
      <c r="Q14736" s="1"/>
      <c r="R14736" s="1"/>
      <c r="S14736" s="1"/>
      <c r="T14736" s="1"/>
      <c r="U14736" s="1"/>
      <c r="V14736" s="1"/>
      <c r="W14736" s="1"/>
      <c r="X14736" s="1"/>
      <c r="Y14736" s="1"/>
      <c r="Z14736" s="1"/>
      <c r="AA14736" s="1"/>
      <c r="AB14736" s="1"/>
    </row>
    <row r="14737" ht="50.25" customHeight="1">
      <c r="A14737" s="12">
        <v>14733.0</v>
      </c>
      <c r="B14737" s="13" t="s">
        <v>13838</v>
      </c>
      <c r="C14737" s="14" t="s">
        <v>13973</v>
      </c>
      <c r="D14737" s="1"/>
      <c r="E14737" s="1"/>
      <c r="F14737" s="1" t="str">
        <f>IFERROR(__xludf.DUMMYFUNCTION("GOOGLETRANSLATE(B14737, ""en"", ""fa"")
"),"درآمد غیرفعال")</f>
        <v>درآمد غیرفعال</v>
      </c>
      <c r="G14737" s="1" t="str">
        <f>IFERROR(__xludf.DUMMYFUNCTION("GOOGLETRANSLATE(C14737, ""en"", ""fa"")
"),"سرمایه‌گذاران چگونه می‌توانند به سؤالات، سؤالات و درخواست‌های ویژه مهمان رسیدگی کنند تا تجربه‌ای مثبت برای مهمانان Airbnb ایجاد کنند؟")</f>
        <v>سرمایه‌گذاران چگونه می‌توانند به سؤالات، سؤالات و درخواست‌های ویژه مهمان رسیدگی کنند تا تجربه‌ای مثبت برای مهمانان Airbnb ایجاد کنند؟</v>
      </c>
      <c r="H14737" s="1"/>
      <c r="I14737" s="1"/>
      <c r="J14737" s="1"/>
      <c r="K14737" s="1"/>
      <c r="L14737" s="1"/>
      <c r="M14737" s="1"/>
      <c r="N14737" s="1"/>
      <c r="O14737" s="1"/>
      <c r="P14737" s="1"/>
      <c r="Q14737" s="1"/>
      <c r="R14737" s="1"/>
      <c r="S14737" s="1"/>
      <c r="T14737" s="1"/>
      <c r="U14737" s="1"/>
      <c r="V14737" s="1"/>
      <c r="W14737" s="1"/>
      <c r="X14737" s="1"/>
      <c r="Y14737" s="1"/>
      <c r="Z14737" s="1"/>
      <c r="AA14737" s="1"/>
      <c r="AB14737" s="1"/>
    </row>
    <row r="14738" ht="50.25" customHeight="1">
      <c r="A14738" s="12">
        <v>14734.0</v>
      </c>
      <c r="B14738" s="13" t="s">
        <v>13838</v>
      </c>
      <c r="C14738" s="14" t="s">
        <v>13974</v>
      </c>
      <c r="D14738" s="1"/>
      <c r="E14738" s="1"/>
      <c r="F14738" s="1" t="str">
        <f>IFERROR(__xludf.DUMMYFUNCTION("GOOGLETRANSLATE(B14738, ""en"", ""fa"")
"),"درآمد غیرفعال")</f>
        <v>درآمد غیرفعال</v>
      </c>
      <c r="G14738" s="1" t="str">
        <f>IFERROR(__xludf.DUMMYFUNCTION("GOOGLETRANSLATE(C14738, ""en"", ""fa"")
"),"در مورد تأثیر ارتقاء و نوسازی املاک در افزایش جذابیت و ارزش اجاره ای املاک اجاره ای بحث کنید.")</f>
        <v>در مورد تأثیر ارتقاء و نوسازی املاک در افزایش جذابیت و ارزش اجاره ای املاک اجاره ای بحث کنید.</v>
      </c>
      <c r="H14738" s="1"/>
      <c r="I14738" s="1"/>
      <c r="J14738" s="1"/>
      <c r="K14738" s="1"/>
      <c r="L14738" s="1"/>
      <c r="M14738" s="1"/>
      <c r="N14738" s="1"/>
      <c r="O14738" s="1"/>
      <c r="P14738" s="1"/>
      <c r="Q14738" s="1"/>
      <c r="R14738" s="1"/>
      <c r="S14738" s="1"/>
      <c r="T14738" s="1"/>
      <c r="U14738" s="1"/>
      <c r="V14738" s="1"/>
      <c r="W14738" s="1"/>
      <c r="X14738" s="1"/>
      <c r="Y14738" s="1"/>
      <c r="Z14738" s="1"/>
      <c r="AA14738" s="1"/>
      <c r="AB14738" s="1"/>
    </row>
    <row r="14739" ht="50.25" customHeight="1">
      <c r="A14739" s="12">
        <v>14735.0</v>
      </c>
      <c r="B14739" s="13" t="s">
        <v>13838</v>
      </c>
      <c r="C14739" s="14" t="s">
        <v>13975</v>
      </c>
      <c r="D14739" s="1"/>
      <c r="E14739" s="1"/>
      <c r="F14739" s="1" t="str">
        <f>IFERROR(__xludf.DUMMYFUNCTION("GOOGLETRANSLATE(B14739, ""en"", ""fa"")
"),"درآمد غیرفعال")</f>
        <v>درآمد غیرفعال</v>
      </c>
      <c r="G14739" s="1" t="str">
        <f>IFERROR(__xludf.DUMMYFUNCTION("GOOGLETRANSLATE(C14739, ""en"", ""fa"")
"),"پتانسیل سرمایه گذاری در املاک اجاره ای از راه دور در بازارهای جغرافیایی مختلف را برای تنوع کاوش کنید.")</f>
        <v>پتانسیل سرمایه گذاری در املاک اجاره ای از راه دور در بازارهای جغرافیایی مختلف را برای تنوع کاوش کنید.</v>
      </c>
      <c r="H14739" s="1"/>
      <c r="I14739" s="1"/>
      <c r="J14739" s="1"/>
      <c r="K14739" s="1"/>
      <c r="L14739" s="1"/>
      <c r="M14739" s="1"/>
      <c r="N14739" s="1"/>
      <c r="O14739" s="1"/>
      <c r="P14739" s="1"/>
      <c r="Q14739" s="1"/>
      <c r="R14739" s="1"/>
      <c r="S14739" s="1"/>
      <c r="T14739" s="1"/>
      <c r="U14739" s="1"/>
      <c r="V14739" s="1"/>
      <c r="W14739" s="1"/>
      <c r="X14739" s="1"/>
      <c r="Y14739" s="1"/>
      <c r="Z14739" s="1"/>
      <c r="AA14739" s="1"/>
      <c r="AB14739" s="1"/>
    </row>
    <row r="14740" ht="50.25" customHeight="1">
      <c r="A14740" s="12">
        <v>14736.0</v>
      </c>
      <c r="B14740" s="13" t="s">
        <v>13838</v>
      </c>
      <c r="C14740" s="14" t="s">
        <v>13976</v>
      </c>
      <c r="D14740" s="1"/>
      <c r="E14740" s="1"/>
      <c r="F14740" s="1" t="str">
        <f>IFERROR(__xludf.DUMMYFUNCTION("GOOGLETRANSLATE(B14740, ""en"", ""fa"")
"),"درآمد غیرفعال")</f>
        <v>درآمد غیرفعال</v>
      </c>
      <c r="G14740" s="1" t="str">
        <f>IFERROR(__xludf.DUMMYFUNCTION("GOOGLETRANSLATE(C14740, ""en"", ""fa"")
"),"سرمایه گذاران از چه استراتژی هایی می توانند برای رسیدگی به بازرسی املاک و رسیدگی به مسائل نگهداری در املاک اجاره ای استفاده کنند؟")</f>
        <v>سرمایه گذاران از چه استراتژی هایی می توانند برای رسیدگی به بازرسی املاک و رسیدگی به مسائل نگهداری در املاک اجاره ای استفاده کنند؟</v>
      </c>
      <c r="H14740" s="1"/>
      <c r="I14740" s="1"/>
      <c r="J14740" s="1"/>
      <c r="K14740" s="1"/>
      <c r="L14740" s="1"/>
      <c r="M14740" s="1"/>
      <c r="N14740" s="1"/>
      <c r="O14740" s="1"/>
      <c r="P14740" s="1"/>
      <c r="Q14740" s="1"/>
      <c r="R14740" s="1"/>
      <c r="S14740" s="1"/>
      <c r="T14740" s="1"/>
      <c r="U14740" s="1"/>
      <c r="V14740" s="1"/>
      <c r="W14740" s="1"/>
      <c r="X14740" s="1"/>
      <c r="Y14740" s="1"/>
      <c r="Z14740" s="1"/>
      <c r="AA14740" s="1"/>
      <c r="AB14740" s="1"/>
    </row>
    <row r="14741" ht="50.25" customHeight="1">
      <c r="A14741" s="12">
        <v>14737.0</v>
      </c>
      <c r="B14741" s="13" t="s">
        <v>13838</v>
      </c>
      <c r="C14741" s="14" t="s">
        <v>13977</v>
      </c>
      <c r="D14741" s="1"/>
      <c r="E14741" s="1"/>
      <c r="F14741" s="1" t="str">
        <f>IFERROR(__xludf.DUMMYFUNCTION("GOOGLETRANSLATE(B14741, ""en"", ""fa"")
"),"درآمد غیرفعال")</f>
        <v>درآمد غیرفعال</v>
      </c>
      <c r="G14741" s="1" t="str">
        <f>IFERROR(__xludf.DUMMYFUNCTION("GOOGLETRANSLATE(C14741, ""en"", ""fa"")
"),"در مورد اهمیت ارتباط موثر با مستاجرین، از قراردادهای اجاره تا جمع آوری اجاره بحث کنید.")</f>
        <v>در مورد اهمیت ارتباط موثر با مستاجرین، از قراردادهای اجاره تا جمع آوری اجاره بحث کنید.</v>
      </c>
      <c r="H14741" s="1"/>
      <c r="I14741" s="1"/>
      <c r="J14741" s="1"/>
      <c r="K14741" s="1"/>
      <c r="L14741" s="1"/>
      <c r="M14741" s="1"/>
      <c r="N14741" s="1"/>
      <c r="O14741" s="1"/>
      <c r="P14741" s="1"/>
      <c r="Q14741" s="1"/>
      <c r="R14741" s="1"/>
      <c r="S14741" s="1"/>
      <c r="T14741" s="1"/>
      <c r="U14741" s="1"/>
      <c r="V14741" s="1"/>
      <c r="W14741" s="1"/>
      <c r="X14741" s="1"/>
      <c r="Y14741" s="1"/>
      <c r="Z14741" s="1"/>
      <c r="AA14741" s="1"/>
      <c r="AB14741" s="1"/>
    </row>
    <row r="14742" ht="50.25" customHeight="1">
      <c r="A14742" s="12">
        <v>14738.0</v>
      </c>
      <c r="B14742" s="13" t="s">
        <v>13838</v>
      </c>
      <c r="C14742" s="14" t="s">
        <v>13978</v>
      </c>
      <c r="D14742" s="1"/>
      <c r="E14742" s="1"/>
      <c r="F14742" s="1" t="str">
        <f>IFERROR(__xludf.DUMMYFUNCTION("GOOGLETRANSLATE(B14742, ""en"", ""fa"")
"),"درآمد غیرفعال")</f>
        <v>درآمد غیرفعال</v>
      </c>
      <c r="G14742" s="1" t="str">
        <f>IFERROR(__xludf.DUMMYFUNCTION("GOOGLETRANSLATE(C14742, ""en"", ""fa"")
"),"تاثیر هزینه ها و هزینه های مدیریت املاک را بر سودآوری کلی املاک اجاره ای بررسی کنید.")</f>
        <v>تاثیر هزینه ها و هزینه های مدیریت املاک را بر سودآوری کلی املاک اجاره ای بررسی کنید.</v>
      </c>
      <c r="H14742" s="1"/>
      <c r="I14742" s="1"/>
      <c r="J14742" s="1"/>
      <c r="K14742" s="1"/>
      <c r="L14742" s="1"/>
      <c r="M14742" s="1"/>
      <c r="N14742" s="1"/>
      <c r="O14742" s="1"/>
      <c r="P14742" s="1"/>
      <c r="Q14742" s="1"/>
      <c r="R14742" s="1"/>
      <c r="S14742" s="1"/>
      <c r="T14742" s="1"/>
      <c r="U14742" s="1"/>
      <c r="V14742" s="1"/>
      <c r="W14742" s="1"/>
      <c r="X14742" s="1"/>
      <c r="Y14742" s="1"/>
      <c r="Z14742" s="1"/>
      <c r="AA14742" s="1"/>
      <c r="AB14742" s="1"/>
    </row>
    <row r="14743" ht="50.25" customHeight="1">
      <c r="A14743" s="12">
        <v>14739.0</v>
      </c>
      <c r="B14743" s="13" t="s">
        <v>13838</v>
      </c>
      <c r="C14743" s="14" t="s">
        <v>13979</v>
      </c>
      <c r="D14743" s="1"/>
      <c r="E14743" s="1"/>
      <c r="F14743" s="1" t="str">
        <f>IFERROR(__xludf.DUMMYFUNCTION("GOOGLETRANSLATE(B14743, ""en"", ""fa"")
"),"درآمد غیرفعال")</f>
        <v>درآمد غیرفعال</v>
      </c>
      <c r="G14743" s="1" t="str">
        <f>IFERROR(__xludf.DUMMYFUNCTION("GOOGLETRANSLATE(C14743, ""en"", ""fa"")
"),"چگونه سرمایه گذاران می توانند به طور موثر دارایی های Airbnb خود را برای جذب جریان ثابتی از مهمانان بازاریابی کنند؟")</f>
        <v>چگونه سرمایه گذاران می توانند به طور موثر دارایی های Airbnb خود را برای جذب جریان ثابتی از مهمانان بازاریابی کنند؟</v>
      </c>
      <c r="H14743" s="1"/>
      <c r="I14743" s="1"/>
      <c r="J14743" s="1"/>
      <c r="K14743" s="1"/>
      <c r="L14743" s="1"/>
      <c r="M14743" s="1"/>
      <c r="N14743" s="1"/>
      <c r="O14743" s="1"/>
      <c r="P14743" s="1"/>
      <c r="Q14743" s="1"/>
      <c r="R14743" s="1"/>
      <c r="S14743" s="1"/>
      <c r="T14743" s="1"/>
      <c r="U14743" s="1"/>
      <c r="V14743" s="1"/>
      <c r="W14743" s="1"/>
      <c r="X14743" s="1"/>
      <c r="Y14743" s="1"/>
      <c r="Z14743" s="1"/>
      <c r="AA14743" s="1"/>
      <c r="AB14743" s="1"/>
    </row>
    <row r="14744" ht="50.25" customHeight="1">
      <c r="A14744" s="12">
        <v>14740.0</v>
      </c>
      <c r="B14744" s="13" t="s">
        <v>13838</v>
      </c>
      <c r="C14744" s="14" t="s">
        <v>13980</v>
      </c>
      <c r="D14744" s="1"/>
      <c r="E14744" s="1"/>
      <c r="F14744" s="1" t="str">
        <f>IFERROR(__xludf.DUMMYFUNCTION("GOOGLETRANSLATE(B14744, ""en"", ""fa"")
"),"درآمد غیرفعال")</f>
        <v>درآمد غیرفعال</v>
      </c>
      <c r="G14744" s="1" t="str">
        <f>IFERROR(__xludf.DUMMYFUNCTION("GOOGLETRANSLATE(C14744, ""en"", ""fa"")
"),"در مورد مفهوم پلتفرم های تامین مالی جمعی املاک و مستغلات که به طور خاص بر سرمایه گذاری در املاک اجاره ای تمرکز دارند، بحث کنید.")</f>
        <v>در مورد مفهوم پلتفرم های تامین مالی جمعی املاک و مستغلات که به طور خاص بر سرمایه گذاری در املاک اجاره ای تمرکز دارند، بحث کنید.</v>
      </c>
      <c r="H14744" s="1"/>
      <c r="I14744" s="1"/>
      <c r="J14744" s="1"/>
      <c r="K14744" s="1"/>
      <c r="L14744" s="1"/>
      <c r="M14744" s="1"/>
      <c r="N14744" s="1"/>
      <c r="O14744" s="1"/>
      <c r="P14744" s="1"/>
      <c r="Q14744" s="1"/>
      <c r="R14744" s="1"/>
      <c r="S14744" s="1"/>
      <c r="T14744" s="1"/>
      <c r="U14744" s="1"/>
      <c r="V14744" s="1"/>
      <c r="W14744" s="1"/>
      <c r="X14744" s="1"/>
      <c r="Y14744" s="1"/>
      <c r="Z14744" s="1"/>
      <c r="AA14744" s="1"/>
      <c r="AB14744" s="1"/>
    </row>
    <row r="14745" ht="50.25" customHeight="1">
      <c r="A14745" s="12">
        <v>14741.0</v>
      </c>
      <c r="B14745" s="13" t="s">
        <v>13838</v>
      </c>
      <c r="C14745" s="14" t="s">
        <v>13981</v>
      </c>
      <c r="D14745" s="1"/>
      <c r="E14745" s="1"/>
      <c r="F14745" s="1" t="str">
        <f>IFERROR(__xludf.DUMMYFUNCTION("GOOGLETRANSLATE(B14745, ""en"", ""fa"")
"),"درآمد غیرفعال")</f>
        <v>درآمد غیرفعال</v>
      </c>
      <c r="G14745" s="1" t="str">
        <f>IFERROR(__xludf.DUMMYFUNCTION("GOOGLETRANSLATE(C14745, ""en"", ""fa"")
"),"بازخورد و نظرات مهمان چه نقشی در حفظ نرخ اشغال بالای فهرست‌های Airbnb دارد؟")</f>
        <v>بازخورد و نظرات مهمان چه نقشی در حفظ نرخ اشغال بالای فهرست‌های Airbnb دارد؟</v>
      </c>
      <c r="H14745" s="1"/>
      <c r="I14745" s="1"/>
      <c r="J14745" s="1"/>
      <c r="K14745" s="1"/>
      <c r="L14745" s="1"/>
      <c r="M14745" s="1"/>
      <c r="N14745" s="1"/>
      <c r="O14745" s="1"/>
      <c r="P14745" s="1"/>
      <c r="Q14745" s="1"/>
      <c r="R14745" s="1"/>
      <c r="S14745" s="1"/>
      <c r="T14745" s="1"/>
      <c r="U14745" s="1"/>
      <c r="V14745" s="1"/>
      <c r="W14745" s="1"/>
      <c r="X14745" s="1"/>
      <c r="Y14745" s="1"/>
      <c r="Z14745" s="1"/>
      <c r="AA14745" s="1"/>
      <c r="AB14745" s="1"/>
    </row>
    <row r="14746" ht="50.25" customHeight="1">
      <c r="A14746" s="12">
        <v>14742.0</v>
      </c>
      <c r="B14746" s="13" t="s">
        <v>13838</v>
      </c>
      <c r="C14746" s="14" t="s">
        <v>13982</v>
      </c>
      <c r="D14746" s="1"/>
      <c r="E14746" s="1"/>
      <c r="F14746" s="1" t="str">
        <f>IFERROR(__xludf.DUMMYFUNCTION("GOOGLETRANSLATE(B14746, ""en"", ""fa"")
"),"درآمد غیرفعال")</f>
        <v>درآمد غیرفعال</v>
      </c>
      <c r="G14746" s="1" t="str">
        <f>IFERROR(__xludf.DUMMYFUNCTION("GOOGLETRANSLATE(C14746, ""en"", ""fa"")
"),"پتانسیل سرمایه گذاری در املاک اجاره ای برای تعطیلات را که به بازارهای خاص، مانند استراحتگاه های سلامتی پاسخ می دهند، بررسی کنید.")</f>
        <v>پتانسیل سرمایه گذاری در املاک اجاره ای برای تعطیلات را که به بازارهای خاص، مانند استراحتگاه های سلامتی پاسخ می دهند، بررسی کنید.</v>
      </c>
      <c r="H14746" s="1"/>
      <c r="I14746" s="1"/>
      <c r="J14746" s="1"/>
      <c r="K14746" s="1"/>
      <c r="L14746" s="1"/>
      <c r="M14746" s="1"/>
      <c r="N14746" s="1"/>
      <c r="O14746" s="1"/>
      <c r="P14746" s="1"/>
      <c r="Q14746" s="1"/>
      <c r="R14746" s="1"/>
      <c r="S14746" s="1"/>
      <c r="T14746" s="1"/>
      <c r="U14746" s="1"/>
      <c r="V14746" s="1"/>
      <c r="W14746" s="1"/>
      <c r="X14746" s="1"/>
      <c r="Y14746" s="1"/>
      <c r="Z14746" s="1"/>
      <c r="AA14746" s="1"/>
      <c r="AB14746" s="1"/>
    </row>
    <row r="14747" ht="50.25" customHeight="1">
      <c r="A14747" s="12">
        <v>14743.0</v>
      </c>
      <c r="B14747" s="13" t="s">
        <v>13838</v>
      </c>
      <c r="C14747" s="14" t="s">
        <v>13983</v>
      </c>
      <c r="D14747" s="1"/>
      <c r="E14747" s="1"/>
      <c r="F14747" s="1" t="str">
        <f>IFERROR(__xludf.DUMMYFUNCTION("GOOGLETRANSLATE(B14747, ""en"", ""fa"")
"),"درآمد غیرفعال")</f>
        <v>درآمد غیرفعال</v>
      </c>
      <c r="G14747" s="1" t="str">
        <f>IFERROR(__xludf.DUMMYFUNCTION("GOOGLETRANSLATE(C14747, ""en"", ""fa"")
"),"سرمایه گذاران چگونه می توانند درگیری ها یا اختلافات احتمالی با مستاجران یا مهمانان را به شیوه ای حرفه ای مدیریت کنند؟")</f>
        <v>سرمایه گذاران چگونه می توانند درگیری ها یا اختلافات احتمالی با مستاجران یا مهمانان را به شیوه ای حرفه ای مدیریت کنند؟</v>
      </c>
      <c r="H14747" s="1"/>
      <c r="I14747" s="1"/>
      <c r="J14747" s="1"/>
      <c r="K14747" s="1"/>
      <c r="L14747" s="1"/>
      <c r="M14747" s="1"/>
      <c r="N14747" s="1"/>
      <c r="O14747" s="1"/>
      <c r="P14747" s="1"/>
      <c r="Q14747" s="1"/>
      <c r="R14747" s="1"/>
      <c r="S14747" s="1"/>
      <c r="T14747" s="1"/>
      <c r="U14747" s="1"/>
      <c r="V14747" s="1"/>
      <c r="W14747" s="1"/>
      <c r="X14747" s="1"/>
      <c r="Y14747" s="1"/>
      <c r="Z14747" s="1"/>
      <c r="AA14747" s="1"/>
      <c r="AB14747" s="1"/>
    </row>
    <row r="14748" ht="50.25" customHeight="1">
      <c r="A14748" s="12">
        <v>14744.0</v>
      </c>
      <c r="B14748" s="13" t="s">
        <v>13838</v>
      </c>
      <c r="C14748" s="14" t="s">
        <v>13984</v>
      </c>
      <c r="D14748" s="1"/>
      <c r="E14748" s="1"/>
      <c r="F14748" s="1" t="str">
        <f>IFERROR(__xludf.DUMMYFUNCTION("GOOGLETRANSLATE(B14748, ""en"", ""fa"")
"),"درآمد غیرفعال")</f>
        <v>درآمد غیرفعال</v>
      </c>
      <c r="G14748" s="1" t="str">
        <f>IFERROR(__xludf.DUMMYFUNCTION("GOOGLETRANSLATE(C14748, ""en"", ""fa"")
"),"در مورد تأثیر ارتقاء املاک و امکانات مدرن در جذب مستاجران با کیفیت بالاتر و مهمانان Airbnb بحث کنید.")</f>
        <v>در مورد تأثیر ارتقاء املاک و امکانات مدرن در جذب مستاجران با کیفیت بالاتر و مهمانان Airbnb بحث کنید.</v>
      </c>
      <c r="H14748" s="1"/>
      <c r="I14748" s="1"/>
      <c r="J14748" s="1"/>
      <c r="K14748" s="1"/>
      <c r="L14748" s="1"/>
      <c r="M14748" s="1"/>
      <c r="N14748" s="1"/>
      <c r="O14748" s="1"/>
      <c r="P14748" s="1"/>
      <c r="Q14748" s="1"/>
      <c r="R14748" s="1"/>
      <c r="S14748" s="1"/>
      <c r="T14748" s="1"/>
      <c r="U14748" s="1"/>
      <c r="V14748" s="1"/>
      <c r="W14748" s="1"/>
      <c r="X14748" s="1"/>
      <c r="Y14748" s="1"/>
      <c r="Z14748" s="1"/>
      <c r="AA14748" s="1"/>
      <c r="AB14748" s="1"/>
    </row>
    <row r="14749" ht="50.25" customHeight="1">
      <c r="A14749" s="12">
        <v>14745.0</v>
      </c>
      <c r="B14749" s="13" t="s">
        <v>13838</v>
      </c>
      <c r="C14749" s="14" t="s">
        <v>13985</v>
      </c>
      <c r="D14749" s="1"/>
      <c r="E14749" s="1"/>
      <c r="F14749" s="1" t="str">
        <f>IFERROR(__xludf.DUMMYFUNCTION("GOOGLETRANSLATE(B14749, ""en"", ""fa"")
"),"درآمد غیرفعال")</f>
        <v>درآمد غیرفعال</v>
      </c>
      <c r="G14749" s="1" t="str">
        <f>IFERROR(__xludf.DUMMYFUNCTION("GOOGLETRANSLATE(C14749, ""en"", ""fa"")
"),"پتانسیل سرمایه گذاری در املاک اجاره ای را در بازارهایی با رشد شغلی قوی و ثبات اقتصادی بررسی کنید.")</f>
        <v>پتانسیل سرمایه گذاری در املاک اجاره ای را در بازارهایی با رشد شغلی قوی و ثبات اقتصادی بررسی کنید.</v>
      </c>
      <c r="H14749" s="1"/>
      <c r="I14749" s="1"/>
      <c r="J14749" s="1"/>
      <c r="K14749" s="1"/>
      <c r="L14749" s="1"/>
      <c r="M14749" s="1"/>
      <c r="N14749" s="1"/>
      <c r="O14749" s="1"/>
      <c r="P14749" s="1"/>
      <c r="Q14749" s="1"/>
      <c r="R14749" s="1"/>
      <c r="S14749" s="1"/>
      <c r="T14749" s="1"/>
      <c r="U14749" s="1"/>
      <c r="V14749" s="1"/>
      <c r="W14749" s="1"/>
      <c r="X14749" s="1"/>
      <c r="Y14749" s="1"/>
      <c r="Z14749" s="1"/>
      <c r="AA14749" s="1"/>
      <c r="AB14749" s="1"/>
    </row>
    <row r="14750" ht="50.25" customHeight="1">
      <c r="A14750" s="12">
        <v>14746.0</v>
      </c>
      <c r="B14750" s="13" t="s">
        <v>13838</v>
      </c>
      <c r="C14750" s="14" t="s">
        <v>13986</v>
      </c>
      <c r="D14750" s="1"/>
      <c r="E14750" s="1"/>
      <c r="F14750" s="1" t="str">
        <f>IFERROR(__xludf.DUMMYFUNCTION("GOOGLETRANSLATE(B14750, ""en"", ""fa"")
"),"درآمد غیرفعال")</f>
        <v>درآمد غیرفعال</v>
      </c>
      <c r="G14750" s="1" t="str">
        <f>IFERROR(__xludf.DUMMYFUNCTION("GOOGLETRANSLATE(C14750, ""en"", ""fa"")
"),"سرمایه گذاران از چه استراتژی هایی می توانند برای بازاریابی موثر املاک اجاره ای خود برای جذب مستاجران مناسب استفاده کنند؟")</f>
        <v>سرمایه گذاران از چه استراتژی هایی می توانند برای بازاریابی موثر املاک اجاره ای خود برای جذب مستاجران مناسب استفاده کنند؟</v>
      </c>
      <c r="H14750" s="1"/>
      <c r="I14750" s="1"/>
      <c r="J14750" s="1"/>
      <c r="K14750" s="1"/>
      <c r="L14750" s="1"/>
      <c r="M14750" s="1"/>
      <c r="N14750" s="1"/>
      <c r="O14750" s="1"/>
      <c r="P14750" s="1"/>
      <c r="Q14750" s="1"/>
      <c r="R14750" s="1"/>
      <c r="S14750" s="1"/>
      <c r="T14750" s="1"/>
      <c r="U14750" s="1"/>
      <c r="V14750" s="1"/>
      <c r="W14750" s="1"/>
      <c r="X14750" s="1"/>
      <c r="Y14750" s="1"/>
      <c r="Z14750" s="1"/>
      <c r="AA14750" s="1"/>
      <c r="AB14750" s="1"/>
    </row>
    <row r="14751" ht="50.25" customHeight="1">
      <c r="A14751" s="12">
        <v>14747.0</v>
      </c>
      <c r="B14751" s="13" t="s">
        <v>13838</v>
      </c>
      <c r="C14751" s="14" t="s">
        <v>13987</v>
      </c>
      <c r="D14751" s="1"/>
      <c r="E14751" s="1"/>
      <c r="F14751" s="1" t="str">
        <f>IFERROR(__xludf.DUMMYFUNCTION("GOOGLETRANSLATE(B14751, ""en"", ""fa"")
"),"درآمد غیرفعال")</f>
        <v>درآمد غیرفعال</v>
      </c>
      <c r="G14751" s="1" t="str">
        <f>IFERROR(__xludf.DUMMYFUNCTION("GOOGLETRANSLATE(C14751, ""en"", ""fa"")
"),"در مورد اهمیت انطباق قانونی و پایبندی به مقررات اجاره برای سرمایه گذاران املاک بحث کنید.")</f>
        <v>در مورد اهمیت انطباق قانونی و پایبندی به مقررات اجاره برای سرمایه گذاران املاک بحث کنید.</v>
      </c>
      <c r="H14751" s="1"/>
      <c r="I14751" s="1"/>
      <c r="J14751" s="1"/>
      <c r="K14751" s="1"/>
      <c r="L14751" s="1"/>
      <c r="M14751" s="1"/>
      <c r="N14751" s="1"/>
      <c r="O14751" s="1"/>
      <c r="P14751" s="1"/>
      <c r="Q14751" s="1"/>
      <c r="R14751" s="1"/>
      <c r="S14751" s="1"/>
      <c r="T14751" s="1"/>
      <c r="U14751" s="1"/>
      <c r="V14751" s="1"/>
      <c r="W14751" s="1"/>
      <c r="X14751" s="1"/>
      <c r="Y14751" s="1"/>
      <c r="Z14751" s="1"/>
      <c r="AA14751" s="1"/>
      <c r="AB14751" s="1"/>
    </row>
    <row r="14752" ht="50.25" customHeight="1">
      <c r="A14752" s="12">
        <v>14748.0</v>
      </c>
      <c r="B14752" s="13" t="s">
        <v>13838</v>
      </c>
      <c r="C14752" s="14" t="s">
        <v>13988</v>
      </c>
      <c r="D14752" s="1"/>
      <c r="E14752" s="1"/>
      <c r="F14752" s="1" t="str">
        <f>IFERROR(__xludf.DUMMYFUNCTION("GOOGLETRANSLATE(B14752, ""en"", ""fa"")
"),"درآمد غیرفعال")</f>
        <v>درآمد غیرفعال</v>
      </c>
      <c r="G14752" s="1" t="str">
        <f>IFERROR(__xludf.DUMMYFUNCTION("GOOGLETRANSLATE(C14752, ""en"", ""fa"")
"),"تأثیر مالیات بر دارایی و هزینه های جاری بر عملکرد مالی املاک اجاره ای را بررسی کنید.")</f>
        <v>تأثیر مالیات بر دارایی و هزینه های جاری بر عملکرد مالی املاک اجاره ای را بررسی کنید.</v>
      </c>
      <c r="H14752" s="1"/>
      <c r="I14752" s="1"/>
      <c r="J14752" s="1"/>
      <c r="K14752" s="1"/>
      <c r="L14752" s="1"/>
      <c r="M14752" s="1"/>
      <c r="N14752" s="1"/>
      <c r="O14752" s="1"/>
      <c r="P14752" s="1"/>
      <c r="Q14752" s="1"/>
      <c r="R14752" s="1"/>
      <c r="S14752" s="1"/>
      <c r="T14752" s="1"/>
      <c r="U14752" s="1"/>
      <c r="V14752" s="1"/>
      <c r="W14752" s="1"/>
      <c r="X14752" s="1"/>
      <c r="Y14752" s="1"/>
      <c r="Z14752" s="1"/>
      <c r="AA14752" s="1"/>
      <c r="AB14752" s="1"/>
    </row>
    <row r="14753" ht="50.25" customHeight="1">
      <c r="A14753" s="12">
        <v>14749.0</v>
      </c>
      <c r="B14753" s="13" t="s">
        <v>13838</v>
      </c>
      <c r="C14753" s="14" t="s">
        <v>13989</v>
      </c>
      <c r="D14753" s="1"/>
      <c r="E14753" s="1"/>
      <c r="F14753" s="1" t="str">
        <f>IFERROR(__xludf.DUMMYFUNCTION("GOOGLETRANSLATE(B14753, ""en"", ""fa"")
"),"درآمد غیرفعال")</f>
        <v>درآمد غیرفعال</v>
      </c>
      <c r="G14753" s="1" t="str">
        <f>IFERROR(__xludf.DUMMYFUNCTION("GOOGLETRANSLATE(C14753, ""en"", ""fa"")
"),"سرمایه‌گذاران چگونه می‌توانند با بازخورد مهمان، شکایات و درخواست‌های بهبود در فهرست‌های Airbnb رسیدگی کنند؟")</f>
        <v>سرمایه‌گذاران چگونه می‌توانند با بازخورد مهمان، شکایات و درخواست‌های بهبود در فهرست‌های Airbnb رسیدگی کنند؟</v>
      </c>
      <c r="H14753" s="1"/>
      <c r="I14753" s="1"/>
      <c r="J14753" s="1"/>
      <c r="K14753" s="1"/>
      <c r="L14753" s="1"/>
      <c r="M14753" s="1"/>
      <c r="N14753" s="1"/>
      <c r="O14753" s="1"/>
      <c r="P14753" s="1"/>
      <c r="Q14753" s="1"/>
      <c r="R14753" s="1"/>
      <c r="S14753" s="1"/>
      <c r="T14753" s="1"/>
      <c r="U14753" s="1"/>
      <c r="V14753" s="1"/>
      <c r="W14753" s="1"/>
      <c r="X14753" s="1"/>
      <c r="Y14753" s="1"/>
      <c r="Z14753" s="1"/>
      <c r="AA14753" s="1"/>
      <c r="AB14753" s="1"/>
    </row>
    <row r="14754" ht="50.25" customHeight="1">
      <c r="A14754" s="12">
        <v>14750.0</v>
      </c>
      <c r="B14754" s="13" t="s">
        <v>13838</v>
      </c>
      <c r="C14754" s="14" t="s">
        <v>13990</v>
      </c>
      <c r="D14754" s="1"/>
      <c r="E14754" s="1"/>
      <c r="F14754" s="1" t="str">
        <f>IFERROR(__xludf.DUMMYFUNCTION("GOOGLETRANSLATE(B14754, ""en"", ""fa"")
"),"درآمد غیرفعال")</f>
        <v>درآمد غیرفعال</v>
      </c>
      <c r="G14754" s="1" t="str">
        <f>IFERROR(__xludf.DUMMYFUNCTION("GOOGLETRANSLATE(C14754, ""en"", ""fa"")
"),"در مورد مفهوم استفاده از یک شرکت مدیریت املاک برای رسیدگی به عملیات روزانه املاک اجاره ای بحث کنید.")</f>
        <v>در مورد مفهوم استفاده از یک شرکت مدیریت املاک برای رسیدگی به عملیات روزانه املاک اجاره ای بحث کنید.</v>
      </c>
      <c r="H14754" s="1"/>
      <c r="I14754" s="1"/>
      <c r="J14754" s="1"/>
      <c r="K14754" s="1"/>
      <c r="L14754" s="1"/>
      <c r="M14754" s="1"/>
      <c r="N14754" s="1"/>
      <c r="O14754" s="1"/>
      <c r="P14754" s="1"/>
      <c r="Q14754" s="1"/>
      <c r="R14754" s="1"/>
      <c r="S14754" s="1"/>
      <c r="T14754" s="1"/>
      <c r="U14754" s="1"/>
      <c r="V14754" s="1"/>
      <c r="W14754" s="1"/>
      <c r="X14754" s="1"/>
      <c r="Y14754" s="1"/>
      <c r="Z14754" s="1"/>
      <c r="AA14754" s="1"/>
      <c r="AB14754" s="1"/>
    </row>
    <row r="14755" ht="50.25" customHeight="1">
      <c r="A14755" s="12">
        <v>14751.0</v>
      </c>
      <c r="B14755" s="13" t="s">
        <v>13838</v>
      </c>
      <c r="C14755" s="14" t="s">
        <v>13991</v>
      </c>
      <c r="D14755" s="1"/>
      <c r="E14755" s="1"/>
      <c r="F14755" s="1" t="str">
        <f>IFERROR(__xludf.DUMMYFUNCTION("GOOGLETRANSLATE(B14755, ""en"", ""fa"")
"),"درآمد غیرفعال")</f>
        <v>درآمد غیرفعال</v>
      </c>
      <c r="G14755" s="1" t="str">
        <f>IFERROR(__xludf.DUMMYFUNCTION("GOOGLETRANSLATE(C14755, ""en"", ""fa"")
"),"مشارکت و پاسخگویی مهمان چه نقشی در حفظ رتبه‌بندی‌ها و نظرات مثبت برای فهرست‌های Airbnb دارد؟")</f>
        <v>مشارکت و پاسخگویی مهمان چه نقشی در حفظ رتبه‌بندی‌ها و نظرات مثبت برای فهرست‌های Airbnb دارد؟</v>
      </c>
      <c r="H14755" s="1"/>
      <c r="I14755" s="1"/>
      <c r="J14755" s="1"/>
      <c r="K14755" s="1"/>
      <c r="L14755" s="1"/>
      <c r="M14755" s="1"/>
      <c r="N14755" s="1"/>
      <c r="O14755" s="1"/>
      <c r="P14755" s="1"/>
      <c r="Q14755" s="1"/>
      <c r="R14755" s="1"/>
      <c r="S14755" s="1"/>
      <c r="T14755" s="1"/>
      <c r="U14755" s="1"/>
      <c r="V14755" s="1"/>
      <c r="W14755" s="1"/>
      <c r="X14755" s="1"/>
      <c r="Y14755" s="1"/>
      <c r="Z14755" s="1"/>
      <c r="AA14755" s="1"/>
      <c r="AB14755" s="1"/>
    </row>
    <row r="14756" ht="50.25" customHeight="1">
      <c r="A14756" s="12">
        <v>14752.0</v>
      </c>
      <c r="B14756" s="13" t="s">
        <v>13838</v>
      </c>
      <c r="C14756" s="14" t="s">
        <v>13992</v>
      </c>
      <c r="D14756" s="1"/>
      <c r="E14756" s="1"/>
      <c r="F14756" s="1" t="str">
        <f>IFERROR(__xludf.DUMMYFUNCTION("GOOGLETRANSLATE(B14756, ""en"", ""fa"")
"),"درآمد غیرفعال")</f>
        <v>درآمد غیرفعال</v>
      </c>
      <c r="G14756" s="1" t="str">
        <f>IFERROR(__xludf.DUMMYFUNCTION("GOOGLETRANSLATE(C14756, ""en"", ""fa"")
"),"پتانسیل سرمایه گذاری در املاک با ویژگی های منحصر به فرد، مانند چشم اندازهای ساحلی یا اهمیت تاریخی را بررسی کنید.")</f>
        <v>پتانسیل سرمایه گذاری در املاک با ویژگی های منحصر به فرد، مانند چشم اندازهای ساحلی یا اهمیت تاریخی را بررسی کنید.</v>
      </c>
      <c r="H14756" s="1"/>
      <c r="I14756" s="1"/>
      <c r="J14756" s="1"/>
      <c r="K14756" s="1"/>
      <c r="L14756" s="1"/>
      <c r="M14756" s="1"/>
      <c r="N14756" s="1"/>
      <c r="O14756" s="1"/>
      <c r="P14756" s="1"/>
      <c r="Q14756" s="1"/>
      <c r="R14756" s="1"/>
      <c r="S14756" s="1"/>
      <c r="T14756" s="1"/>
      <c r="U14756" s="1"/>
      <c r="V14756" s="1"/>
      <c r="W14756" s="1"/>
      <c r="X14756" s="1"/>
      <c r="Y14756" s="1"/>
      <c r="Z14756" s="1"/>
      <c r="AA14756" s="1"/>
      <c r="AB14756" s="1"/>
    </row>
    <row r="14757" ht="50.25" customHeight="1">
      <c r="A14757" s="12">
        <v>14753.0</v>
      </c>
      <c r="B14757" s="13" t="s">
        <v>13838</v>
      </c>
      <c r="C14757" s="14" t="s">
        <v>13993</v>
      </c>
      <c r="D14757" s="1"/>
      <c r="E14757" s="1"/>
      <c r="F14757" s="1" t="str">
        <f>IFERROR(__xludf.DUMMYFUNCTION("GOOGLETRANSLATE(B14757, ""en"", ""fa"")
"),"درآمد غیرفعال")</f>
        <v>درآمد غیرفعال</v>
      </c>
      <c r="G14757" s="1" t="str">
        <f>IFERROR(__xludf.DUMMYFUNCTION("GOOGLETRANSLATE(C14757, ""en"", ""fa"")
"),"سرمایه‌گذاران چگونه می‌توانند موقعیت‌های اضطراری و رویدادهای غیرمنتظره را هم در املاک اجاره‌ای و هم در فهرست‌های Airbnb مدیریت کنند؟")</f>
        <v>سرمایه‌گذاران چگونه می‌توانند موقعیت‌های اضطراری و رویدادهای غیرمنتظره را هم در املاک اجاره‌ای و هم در فهرست‌های Airbnb مدیریت کنند؟</v>
      </c>
      <c r="H14757" s="1"/>
      <c r="I14757" s="1"/>
      <c r="J14757" s="1"/>
      <c r="K14757" s="1"/>
      <c r="L14757" s="1"/>
      <c r="M14757" s="1"/>
      <c r="N14757" s="1"/>
      <c r="O14757" s="1"/>
      <c r="P14757" s="1"/>
      <c r="Q14757" s="1"/>
      <c r="R14757" s="1"/>
      <c r="S14757" s="1"/>
      <c r="T14757" s="1"/>
      <c r="U14757" s="1"/>
      <c r="V14757" s="1"/>
      <c r="W14757" s="1"/>
      <c r="X14757" s="1"/>
      <c r="Y14757" s="1"/>
      <c r="Z14757" s="1"/>
      <c r="AA14757" s="1"/>
      <c r="AB14757" s="1"/>
    </row>
    <row r="14758" ht="50.25" customHeight="1">
      <c r="A14758" s="12">
        <v>14754.0</v>
      </c>
      <c r="B14758" s="13" t="s">
        <v>13838</v>
      </c>
      <c r="C14758" s="14" t="s">
        <v>13994</v>
      </c>
      <c r="D14758" s="1"/>
      <c r="E14758" s="1"/>
      <c r="F14758" s="1" t="str">
        <f>IFERROR(__xludf.DUMMYFUNCTION("GOOGLETRANSLATE(B14758, ""en"", ""fa"")
"),"درآمد غیرفعال")</f>
        <v>درآمد غیرفعال</v>
      </c>
      <c r="G14758" s="1" t="str">
        <f>IFERROR(__xludf.DUMMYFUNCTION("GOOGLETRANSLATE(C14758, ""en"", ""fa"")
"),"تاثیر افزایش ارزش ملک و افزایش ارزش بازار بر ارزش بلندمدت املاک اجاره ای را مورد بحث قرار دهید.")</f>
        <v>تاثیر افزایش ارزش ملک و افزایش ارزش بازار بر ارزش بلندمدت املاک اجاره ای را مورد بحث قرار دهید.</v>
      </c>
      <c r="H14758" s="1"/>
      <c r="I14758" s="1"/>
      <c r="J14758" s="1"/>
      <c r="K14758" s="1"/>
      <c r="L14758" s="1"/>
      <c r="M14758" s="1"/>
      <c r="N14758" s="1"/>
      <c r="O14758" s="1"/>
      <c r="P14758" s="1"/>
      <c r="Q14758" s="1"/>
      <c r="R14758" s="1"/>
      <c r="S14758" s="1"/>
      <c r="T14758" s="1"/>
      <c r="U14758" s="1"/>
      <c r="V14758" s="1"/>
      <c r="W14758" s="1"/>
      <c r="X14758" s="1"/>
      <c r="Y14758" s="1"/>
      <c r="Z14758" s="1"/>
      <c r="AA14758" s="1"/>
      <c r="AB14758" s="1"/>
    </row>
    <row r="14759" ht="50.25" customHeight="1">
      <c r="A14759" s="12">
        <v>14755.0</v>
      </c>
      <c r="B14759" s="13" t="s">
        <v>13838</v>
      </c>
      <c r="C14759" s="14" t="s">
        <v>13995</v>
      </c>
      <c r="D14759" s="1"/>
      <c r="E14759" s="1"/>
      <c r="F14759" s="1" t="str">
        <f>IFERROR(__xludf.DUMMYFUNCTION("GOOGLETRANSLATE(B14759, ""en"", ""fa"")
"),"درآمد غیرفعال")</f>
        <v>درآمد غیرفعال</v>
      </c>
      <c r="G14759" s="1" t="str">
        <f>IFERROR(__xludf.DUMMYFUNCTION("GOOGLETRANSLATE(C14759, ""en"", ""fa"")
"),"پتانسیل سرمایه گذاری در املاک اجاره ای بین المللی را برای تنوع بخشیدن و منابع درآمدی جهانی بررسی کنید.")</f>
        <v>پتانسیل سرمایه گذاری در املاک اجاره ای بین المللی را برای تنوع بخشیدن و منابع درآمدی جهانی بررسی کنید.</v>
      </c>
      <c r="H14759" s="1"/>
      <c r="I14759" s="1"/>
      <c r="J14759" s="1"/>
      <c r="K14759" s="1"/>
      <c r="L14759" s="1"/>
      <c r="M14759" s="1"/>
      <c r="N14759" s="1"/>
      <c r="O14759" s="1"/>
      <c r="P14759" s="1"/>
      <c r="Q14759" s="1"/>
      <c r="R14759" s="1"/>
      <c r="S14759" s="1"/>
      <c r="T14759" s="1"/>
      <c r="U14759" s="1"/>
      <c r="V14759" s="1"/>
      <c r="W14759" s="1"/>
      <c r="X14759" s="1"/>
      <c r="Y14759" s="1"/>
      <c r="Z14759" s="1"/>
      <c r="AA14759" s="1"/>
      <c r="AB14759" s="1"/>
    </row>
    <row r="14760" ht="50.25" customHeight="1">
      <c r="A14760" s="12">
        <v>14756.0</v>
      </c>
      <c r="B14760" s="13" t="s">
        <v>13838</v>
      </c>
      <c r="C14760" s="14" t="s">
        <v>13996</v>
      </c>
      <c r="D14760" s="1"/>
      <c r="E14760" s="1"/>
      <c r="F14760" s="1" t="str">
        <f>IFERROR(__xludf.DUMMYFUNCTION("GOOGLETRANSLATE(B14760, ""en"", ""fa"")
"),"درآمد غیرفعال")</f>
        <v>درآمد غیرفعال</v>
      </c>
      <c r="G14760" s="1" t="str">
        <f>IFERROR(__xludf.DUMMYFUNCTION("GOOGLETRANSLATE(C14760, ""en"", ""fa"")
"),"سرمایه گذاران از چه استراتژی هایی می توانند برای پیش نویس قراردادهای اجاره موثر و قراردادهای اجاره املاک خود استفاده کنند؟")</f>
        <v>سرمایه گذاران از چه استراتژی هایی می توانند برای پیش نویس قراردادهای اجاره موثر و قراردادهای اجاره املاک خود استفاده کنند؟</v>
      </c>
      <c r="H14760" s="1"/>
      <c r="I14760" s="1"/>
      <c r="J14760" s="1"/>
      <c r="K14760" s="1"/>
      <c r="L14760" s="1"/>
      <c r="M14760" s="1"/>
      <c r="N14760" s="1"/>
      <c r="O14760" s="1"/>
      <c r="P14760" s="1"/>
      <c r="Q14760" s="1"/>
      <c r="R14760" s="1"/>
      <c r="S14760" s="1"/>
      <c r="T14760" s="1"/>
      <c r="U14760" s="1"/>
      <c r="V14760" s="1"/>
      <c r="W14760" s="1"/>
      <c r="X14760" s="1"/>
      <c r="Y14760" s="1"/>
      <c r="Z14760" s="1"/>
      <c r="AA14760" s="1"/>
      <c r="AB14760" s="1"/>
    </row>
    <row r="14761" ht="50.25" customHeight="1">
      <c r="A14761" s="12">
        <v>14757.0</v>
      </c>
      <c r="B14761" s="13" t="s">
        <v>13838</v>
      </c>
      <c r="C14761" s="14" t="s">
        <v>13997</v>
      </c>
      <c r="D14761" s="1"/>
      <c r="E14761" s="1"/>
      <c r="F14761" s="1" t="str">
        <f>IFERROR(__xludf.DUMMYFUNCTION("GOOGLETRANSLATE(B14761, ""en"", ""fa"")
"),"درآمد غیرفعال")</f>
        <v>درآمد غیرفعال</v>
      </c>
      <c r="G14761" s="1" t="str">
        <f>IFERROR(__xludf.DUMMYFUNCTION("GOOGLETRANSLATE(C14761, ""en"", ""fa"")
"),"در مورد اهمیت نگهداری منظم ملک و اقدامات پیشگیرانه برای موفقیت درازمدت اجاره بحث کنید.")</f>
        <v>در مورد اهمیت نگهداری منظم ملک و اقدامات پیشگیرانه برای موفقیت درازمدت اجاره بحث کنید.</v>
      </c>
      <c r="H14761" s="1"/>
      <c r="I14761" s="1"/>
      <c r="J14761" s="1"/>
      <c r="K14761" s="1"/>
      <c r="L14761" s="1"/>
      <c r="M14761" s="1"/>
      <c r="N14761" s="1"/>
      <c r="O14761" s="1"/>
      <c r="P14761" s="1"/>
      <c r="Q14761" s="1"/>
      <c r="R14761" s="1"/>
      <c r="S14761" s="1"/>
      <c r="T14761" s="1"/>
      <c r="U14761" s="1"/>
      <c r="V14761" s="1"/>
      <c r="W14761" s="1"/>
      <c r="X14761" s="1"/>
      <c r="Y14761" s="1"/>
      <c r="Z14761" s="1"/>
      <c r="AA14761" s="1"/>
      <c r="AB14761" s="1"/>
    </row>
    <row r="14762" ht="50.25" customHeight="1">
      <c r="A14762" s="12">
        <v>14758.0</v>
      </c>
      <c r="B14762" s="13" t="s">
        <v>13838</v>
      </c>
      <c r="C14762" s="14" t="s">
        <v>13998</v>
      </c>
      <c r="D14762" s="1"/>
      <c r="E14762" s="1"/>
      <c r="F14762" s="1" t="str">
        <f>IFERROR(__xludf.DUMMYFUNCTION("GOOGLETRANSLATE(B14762, ""en"", ""fa"")
"),"درآمد غیرفعال")</f>
        <v>درآمد غیرفعال</v>
      </c>
      <c r="G14762" s="1" t="str">
        <f>IFERROR(__xludf.DUMMYFUNCTION("GOOGLETRANSLATE(C14762, ""en"", ""fa"")
"),"تأثیر شاخص های اقتصادی، مانند رشد شغل و روند جمعیت، بر تقاضای ملک اجاره ای را بررسی کنید.")</f>
        <v>تأثیر شاخص های اقتصادی، مانند رشد شغل و روند جمعیت، بر تقاضای ملک اجاره ای را بررسی کنید.</v>
      </c>
      <c r="H14762" s="1"/>
      <c r="I14762" s="1"/>
      <c r="J14762" s="1"/>
      <c r="K14762" s="1"/>
      <c r="L14762" s="1"/>
      <c r="M14762" s="1"/>
      <c r="N14762" s="1"/>
      <c r="O14762" s="1"/>
      <c r="P14762" s="1"/>
      <c r="Q14762" s="1"/>
      <c r="R14762" s="1"/>
      <c r="S14762" s="1"/>
      <c r="T14762" s="1"/>
      <c r="U14762" s="1"/>
      <c r="V14762" s="1"/>
      <c r="W14762" s="1"/>
      <c r="X14762" s="1"/>
      <c r="Y14762" s="1"/>
      <c r="Z14762" s="1"/>
      <c r="AA14762" s="1"/>
      <c r="AB14762" s="1"/>
    </row>
    <row r="14763" ht="50.25" customHeight="1">
      <c r="A14763" s="12">
        <v>14759.0</v>
      </c>
      <c r="B14763" s="13" t="s">
        <v>13838</v>
      </c>
      <c r="C14763" s="14" t="s">
        <v>13999</v>
      </c>
      <c r="D14763" s="1"/>
      <c r="E14763" s="1"/>
      <c r="F14763" s="1" t="str">
        <f>IFERROR(__xludf.DUMMYFUNCTION("GOOGLETRANSLATE(B14763, ""en"", ""fa"")
"),"درآمد غیرفعال")</f>
        <v>درآمد غیرفعال</v>
      </c>
      <c r="G14763" s="1" t="str">
        <f>IFERROR(__xludf.DUMMYFUNCTION("GOOGLETRANSLATE(C14763, ""en"", ""fa"")
"),"چگونه سرمایه گذاران می توانند از تجزیه و تحلیل داده ها و تحقیقات بازار برای تصمیم گیری آگاهانه در مورد سرمایه گذاری املاک اجاره ای استفاده کنند؟")</f>
        <v>چگونه سرمایه گذاران می توانند از تجزیه و تحلیل داده ها و تحقیقات بازار برای تصمیم گیری آگاهانه در مورد سرمایه گذاری املاک اجاره ای استفاده کنند؟</v>
      </c>
      <c r="H14763" s="1"/>
      <c r="I14763" s="1"/>
      <c r="J14763" s="1"/>
      <c r="K14763" s="1"/>
      <c r="L14763" s="1"/>
      <c r="M14763" s="1"/>
      <c r="N14763" s="1"/>
      <c r="O14763" s="1"/>
      <c r="P14763" s="1"/>
      <c r="Q14763" s="1"/>
      <c r="R14763" s="1"/>
      <c r="S14763" s="1"/>
      <c r="T14763" s="1"/>
      <c r="U14763" s="1"/>
      <c r="V14763" s="1"/>
      <c r="W14763" s="1"/>
      <c r="X14763" s="1"/>
      <c r="Y14763" s="1"/>
      <c r="Z14763" s="1"/>
      <c r="AA14763" s="1"/>
      <c r="AB14763" s="1"/>
    </row>
    <row r="14764" ht="50.25" customHeight="1">
      <c r="A14764" s="12">
        <v>14760.0</v>
      </c>
      <c r="B14764" s="13" t="s">
        <v>13838</v>
      </c>
      <c r="C14764" s="14" t="s">
        <v>14000</v>
      </c>
      <c r="D14764" s="1"/>
      <c r="E14764" s="1"/>
      <c r="F14764" s="1" t="str">
        <f>IFERROR(__xludf.DUMMYFUNCTION("GOOGLETRANSLATE(B14764, ""en"", ""fa"")
"),"درآمد غیرفعال")</f>
        <v>درآمد غیرفعال</v>
      </c>
      <c r="G14764" s="1" t="str">
        <f>IFERROR(__xludf.DUMMYFUNCTION("GOOGLETRANSLATE(C14764, ""en"", ""fa"")
"),"در مورد مفهوم ایجاد درآمد غیرفعال از طریق مالکیت معنوی، مانند حق ثبت اختراع، حق چاپ و علائم تجاری بحث کنید.")</f>
        <v>در مورد مفهوم ایجاد درآمد غیرفعال از طریق مالکیت معنوی، مانند حق ثبت اختراع، حق چاپ و علائم تجاری بحث کنید.</v>
      </c>
      <c r="H14764" s="1"/>
      <c r="I14764" s="1"/>
      <c r="J14764" s="1"/>
      <c r="K14764" s="1"/>
      <c r="L14764" s="1"/>
      <c r="M14764" s="1"/>
      <c r="N14764" s="1"/>
      <c r="O14764" s="1"/>
      <c r="P14764" s="1"/>
      <c r="Q14764" s="1"/>
      <c r="R14764" s="1"/>
      <c r="S14764" s="1"/>
      <c r="T14764" s="1"/>
      <c r="U14764" s="1"/>
      <c r="V14764" s="1"/>
      <c r="W14764" s="1"/>
      <c r="X14764" s="1"/>
      <c r="Y14764" s="1"/>
      <c r="Z14764" s="1"/>
      <c r="AA14764" s="1"/>
      <c r="AB14764" s="1"/>
    </row>
    <row r="14765" ht="50.25" customHeight="1">
      <c r="A14765" s="12">
        <v>14761.0</v>
      </c>
      <c r="B14765" s="13" t="s">
        <v>13838</v>
      </c>
      <c r="C14765" s="14" t="s">
        <v>14001</v>
      </c>
      <c r="D14765" s="1"/>
      <c r="E14765" s="1"/>
      <c r="F14765" s="1" t="str">
        <f>IFERROR(__xludf.DUMMYFUNCTION("GOOGLETRANSLATE(B14765, ""en"", ""fa"")
"),"درآمد غیرفعال")</f>
        <v>درآمد غیرفعال</v>
      </c>
      <c r="G14765" s="1" t="str">
        <f>IFERROR(__xludf.DUMMYFUNCTION("GOOGLETRANSLATE(C14765, ""en"", ""fa"")
"),"مزایای بالقوه ایجاد و صدور مجوز مالکیت فکری برای جریان های درآمد غیرفعال چیست؟")</f>
        <v>مزایای بالقوه ایجاد و صدور مجوز مالکیت فکری برای جریان های درآمد غیرفعال چیست؟</v>
      </c>
      <c r="H14765" s="1"/>
      <c r="I14765" s="1"/>
      <c r="J14765" s="1"/>
      <c r="K14765" s="1"/>
      <c r="L14765" s="1"/>
      <c r="M14765" s="1"/>
      <c r="N14765" s="1"/>
      <c r="O14765" s="1"/>
      <c r="P14765" s="1"/>
      <c r="Q14765" s="1"/>
      <c r="R14765" s="1"/>
      <c r="S14765" s="1"/>
      <c r="T14765" s="1"/>
      <c r="U14765" s="1"/>
      <c r="V14765" s="1"/>
      <c r="W14765" s="1"/>
      <c r="X14765" s="1"/>
      <c r="Y14765" s="1"/>
      <c r="Z14765" s="1"/>
      <c r="AA14765" s="1"/>
      <c r="AB14765" s="1"/>
    </row>
    <row r="14766" ht="50.25" customHeight="1">
      <c r="A14766" s="12">
        <v>14762.0</v>
      </c>
      <c r="B14766" s="13" t="s">
        <v>13838</v>
      </c>
      <c r="C14766" s="14" t="s">
        <v>14002</v>
      </c>
      <c r="D14766" s="1"/>
      <c r="E14766" s="1"/>
      <c r="F14766" s="1" t="str">
        <f>IFERROR(__xludf.DUMMYFUNCTION("GOOGLETRANSLATE(B14766, ""en"", ""fa"")
"),"درآمد غیرفعال")</f>
        <v>درآمد غیرفعال</v>
      </c>
      <c r="G14766" s="1" t="str">
        <f>IFERROR(__xludf.DUMMYFUNCTION("GOOGLETRANSLATE(C14766, ""en"", ""fa"")
"),"نقش پتنت ها را در حفاظت از اختراعات و نوآوری ها در حین ایجاد درآمد از طریق صدور مجوز بررسی کنید.")</f>
        <v>نقش پتنت ها را در حفاظت از اختراعات و نوآوری ها در حین ایجاد درآمد از طریق صدور مجوز بررسی کنید.</v>
      </c>
      <c r="H14766" s="1"/>
      <c r="I14766" s="1"/>
      <c r="J14766" s="1"/>
      <c r="K14766" s="1"/>
      <c r="L14766" s="1"/>
      <c r="M14766" s="1"/>
      <c r="N14766" s="1"/>
      <c r="O14766" s="1"/>
      <c r="P14766" s="1"/>
      <c r="Q14766" s="1"/>
      <c r="R14766" s="1"/>
      <c r="S14766" s="1"/>
      <c r="T14766" s="1"/>
      <c r="U14766" s="1"/>
      <c r="V14766" s="1"/>
      <c r="W14766" s="1"/>
      <c r="X14766" s="1"/>
      <c r="Y14766" s="1"/>
      <c r="Z14766" s="1"/>
      <c r="AA14766" s="1"/>
      <c r="AB14766" s="1"/>
    </row>
    <row r="14767" ht="50.25" customHeight="1">
      <c r="A14767" s="12">
        <v>14763.0</v>
      </c>
      <c r="B14767" s="13" t="s">
        <v>13838</v>
      </c>
      <c r="C14767" s="14" t="s">
        <v>14003</v>
      </c>
      <c r="D14767" s="1"/>
      <c r="E14767" s="1"/>
      <c r="F14767" s="1" t="str">
        <f>IFERROR(__xludf.DUMMYFUNCTION("GOOGLETRANSLATE(B14767, ""en"", ""fa"")
"),"درآمد غیرفعال")</f>
        <v>درآمد غیرفعال</v>
      </c>
      <c r="G14767" s="1" t="str">
        <f>IFERROR(__xludf.DUMMYFUNCTION("GOOGLETRANSLATE(C14767, ""en"", ""fa"")
"),"در مورد اهمیت تحقیق کامل و بررسی دقیق در شناسایی فرصت های مالکیت فکری بادوام بحث کنید.")</f>
        <v>در مورد اهمیت تحقیق کامل و بررسی دقیق در شناسایی فرصت های مالکیت فکری بادوام بحث کنید.</v>
      </c>
      <c r="H14767" s="1"/>
      <c r="I14767" s="1"/>
      <c r="J14767" s="1"/>
      <c r="K14767" s="1"/>
      <c r="L14767" s="1"/>
      <c r="M14767" s="1"/>
      <c r="N14767" s="1"/>
      <c r="O14767" s="1"/>
      <c r="P14767" s="1"/>
      <c r="Q14767" s="1"/>
      <c r="R14767" s="1"/>
      <c r="S14767" s="1"/>
      <c r="T14767" s="1"/>
      <c r="U14767" s="1"/>
      <c r="V14767" s="1"/>
      <c r="W14767" s="1"/>
      <c r="X14767" s="1"/>
      <c r="Y14767" s="1"/>
      <c r="Z14767" s="1"/>
      <c r="AA14767" s="1"/>
      <c r="AB14767" s="1"/>
    </row>
    <row r="14768" ht="50.25" customHeight="1">
      <c r="A14768" s="12">
        <v>14764.0</v>
      </c>
      <c r="B14768" s="13" t="s">
        <v>13838</v>
      </c>
      <c r="C14768" s="14" t="s">
        <v>14004</v>
      </c>
      <c r="D14768" s="1"/>
      <c r="E14768" s="1"/>
      <c r="F14768" s="1" t="str">
        <f>IFERROR(__xludf.DUMMYFUNCTION("GOOGLETRANSLATE(B14768, ""en"", ""fa"")
"),"درآمد غیرفعال")</f>
        <v>درآمد غیرفعال</v>
      </c>
      <c r="G14768" s="1" t="str">
        <f>IFERROR(__xludf.DUMMYFUNCTION("GOOGLETRANSLATE(C14768, ""en"", ""fa"")
"),"سازندگان چگونه می توانند از حمایت از حق نسخه برداری برای کسب درآمد از آثار اصلی خود، مانند کتاب، موسیقی و آثار هنری استفاده کنند؟")</f>
        <v>سازندگان چگونه می توانند از حمایت از حق نسخه برداری برای کسب درآمد از آثار اصلی خود، مانند کتاب، موسیقی و آثار هنری استفاده کنند؟</v>
      </c>
      <c r="H14768" s="1"/>
      <c r="I14768" s="1"/>
      <c r="J14768" s="1"/>
      <c r="K14768" s="1"/>
      <c r="L14768" s="1"/>
      <c r="M14768" s="1"/>
      <c r="N14768" s="1"/>
      <c r="O14768" s="1"/>
      <c r="P14768" s="1"/>
      <c r="Q14768" s="1"/>
      <c r="R14768" s="1"/>
      <c r="S14768" s="1"/>
      <c r="T14768" s="1"/>
      <c r="U14768" s="1"/>
      <c r="V14768" s="1"/>
      <c r="W14768" s="1"/>
      <c r="X14768" s="1"/>
      <c r="Y14768" s="1"/>
      <c r="Z14768" s="1"/>
      <c r="AA14768" s="1"/>
      <c r="AB14768" s="1"/>
    </row>
    <row r="14769" ht="50.25" customHeight="1">
      <c r="A14769" s="12">
        <v>14765.0</v>
      </c>
      <c r="B14769" s="13" t="s">
        <v>13838</v>
      </c>
      <c r="C14769" s="14" t="s">
        <v>14005</v>
      </c>
      <c r="D14769" s="1"/>
      <c r="E14769" s="1"/>
      <c r="F14769" s="1" t="str">
        <f>IFERROR(__xludf.DUMMYFUNCTION("GOOGLETRANSLATE(B14769, ""en"", ""fa"")
"),"درآمد غیرفعال")</f>
        <v>درآمد غیرفعال</v>
      </c>
      <c r="G14769" s="1" t="str">
        <f>IFERROR(__xludf.DUMMYFUNCTION("GOOGLETRANSLATE(C14769, ""en"", ""fa"")
"),"پتانسیل صدور مجوز علائم تجاری و دارایی های برند به سایر مشاغل را برای درآمد غیرفعال بررسی کنید.")</f>
        <v>پتانسیل صدور مجوز علائم تجاری و دارایی های برند به سایر مشاغل را برای درآمد غیرفعال بررسی کنید.</v>
      </c>
      <c r="H14769" s="1"/>
      <c r="I14769" s="1"/>
      <c r="J14769" s="1"/>
      <c r="K14769" s="1"/>
      <c r="L14769" s="1"/>
      <c r="M14769" s="1"/>
      <c r="N14769" s="1"/>
      <c r="O14769" s="1"/>
      <c r="P14769" s="1"/>
      <c r="Q14769" s="1"/>
      <c r="R14769" s="1"/>
      <c r="S14769" s="1"/>
      <c r="T14769" s="1"/>
      <c r="U14769" s="1"/>
      <c r="V14769" s="1"/>
      <c r="W14769" s="1"/>
      <c r="X14769" s="1"/>
      <c r="Y14769" s="1"/>
      <c r="Z14769" s="1"/>
      <c r="AA14769" s="1"/>
      <c r="AB14769" s="1"/>
    </row>
    <row r="14770" ht="50.25" customHeight="1">
      <c r="A14770" s="12">
        <v>14766.0</v>
      </c>
      <c r="B14770" s="13" t="s">
        <v>13838</v>
      </c>
      <c r="C14770" s="14" t="s">
        <v>14006</v>
      </c>
      <c r="D14770" s="1"/>
      <c r="E14770" s="1"/>
      <c r="F14770" s="1" t="str">
        <f>IFERROR(__xludf.DUMMYFUNCTION("GOOGLETRANSLATE(B14770, ""en"", ""fa"")
"),"درآمد غیرفعال")</f>
        <v>درآمد غیرفعال</v>
      </c>
      <c r="G14770" s="1" t="str">
        <f>IFERROR(__xludf.DUMMYFUNCTION("GOOGLETRANSLATE(C14770, ""en"", ""fa"")
"),"سازندگان از چه استراتژی هایی می توانند برای مذاکره در مورد موافقت نامه های مجوز مطلوب برای مالکیت معنوی خود استفاده کنند؟")</f>
        <v>سازندگان از چه استراتژی هایی می توانند برای مذاکره در مورد موافقت نامه های مجوز مطلوب برای مالکیت معنوی خود استفاده کنند؟</v>
      </c>
      <c r="H14770" s="1"/>
      <c r="I14770" s="1"/>
      <c r="J14770" s="1"/>
      <c r="K14770" s="1"/>
      <c r="L14770" s="1"/>
      <c r="M14770" s="1"/>
      <c r="N14770" s="1"/>
      <c r="O14770" s="1"/>
      <c r="P14770" s="1"/>
      <c r="Q14770" s="1"/>
      <c r="R14770" s="1"/>
      <c r="S14770" s="1"/>
      <c r="T14770" s="1"/>
      <c r="U14770" s="1"/>
      <c r="V14770" s="1"/>
      <c r="W14770" s="1"/>
      <c r="X14770" s="1"/>
      <c r="Y14770" s="1"/>
      <c r="Z14770" s="1"/>
      <c r="AA14770" s="1"/>
      <c r="AB14770" s="1"/>
    </row>
    <row r="14771" ht="50.25" customHeight="1">
      <c r="A14771" s="12">
        <v>14767.0</v>
      </c>
      <c r="B14771" s="13" t="s">
        <v>13838</v>
      </c>
      <c r="C14771" s="14" t="s">
        <v>14007</v>
      </c>
      <c r="D14771" s="1"/>
      <c r="E14771" s="1"/>
      <c r="F14771" s="1" t="str">
        <f>IFERROR(__xludf.DUMMYFUNCTION("GOOGLETRANSLATE(B14771, ""en"", ""fa"")
"),"درآمد غیرفعال")</f>
        <v>درآمد غیرفعال</v>
      </c>
      <c r="G14771" s="1" t="str">
        <f>IFERROR(__xludf.DUMMYFUNCTION("GOOGLETRANSLATE(C14771, ""en"", ""fa"")
"),"تاثیر حق امتیاز و پرداخت های باقیمانده بر درآمد غیرفعال از مالکیت فکری را مورد بحث قرار دهید.")</f>
        <v>تاثیر حق امتیاز و پرداخت های باقیمانده بر درآمد غیرفعال از مالکیت فکری را مورد بحث قرار دهید.</v>
      </c>
      <c r="H14771" s="1"/>
      <c r="I14771" s="1"/>
      <c r="J14771" s="1"/>
      <c r="K14771" s="1"/>
      <c r="L14771" s="1"/>
      <c r="M14771" s="1"/>
      <c r="N14771" s="1"/>
      <c r="O14771" s="1"/>
      <c r="P14771" s="1"/>
      <c r="Q14771" s="1"/>
      <c r="R14771" s="1"/>
      <c r="S14771" s="1"/>
      <c r="T14771" s="1"/>
      <c r="U14771" s="1"/>
      <c r="V14771" s="1"/>
      <c r="W14771" s="1"/>
      <c r="X14771" s="1"/>
      <c r="Y14771" s="1"/>
      <c r="Z14771" s="1"/>
      <c r="AA14771" s="1"/>
      <c r="AB14771" s="1"/>
    </row>
    <row r="14772" ht="50.25" customHeight="1">
      <c r="A14772" s="12">
        <v>14768.0</v>
      </c>
      <c r="B14772" s="13" t="s">
        <v>13838</v>
      </c>
      <c r="C14772" s="14" t="s">
        <v>14008</v>
      </c>
      <c r="D14772" s="1"/>
      <c r="E14772" s="1"/>
      <c r="F14772" s="1" t="str">
        <f>IFERROR(__xludf.DUMMYFUNCTION("GOOGLETRANSLATE(B14772, ""en"", ""fa"")
"),"درآمد غیرفعال")</f>
        <v>درآمد غیرفعال</v>
      </c>
      <c r="G14772" s="1" t="str">
        <f>IFERROR(__xludf.DUMMYFUNCTION("GOOGLETRANSLATE(C14772, ""en"", ""fa"")
"),"مفهوم ایجاد و فروش محصولات دیجیتال، مانند عکس‌های استوک، قالب‌ها و هنر دیجیتال را بررسی کنید.")</f>
        <v>مفهوم ایجاد و فروش محصولات دیجیتال، مانند عکس‌های استوک، قالب‌ها و هنر دیجیتال را بررسی کنید.</v>
      </c>
      <c r="H14772" s="1"/>
      <c r="I14772" s="1"/>
      <c r="J14772" s="1"/>
      <c r="K14772" s="1"/>
      <c r="L14772" s="1"/>
      <c r="M14772" s="1"/>
      <c r="N14772" s="1"/>
      <c r="O14772" s="1"/>
      <c r="P14772" s="1"/>
      <c r="Q14772" s="1"/>
      <c r="R14772" s="1"/>
      <c r="S14772" s="1"/>
      <c r="T14772" s="1"/>
      <c r="U14772" s="1"/>
      <c r="V14772" s="1"/>
      <c r="W14772" s="1"/>
      <c r="X14772" s="1"/>
      <c r="Y14772" s="1"/>
      <c r="Z14772" s="1"/>
      <c r="AA14772" s="1"/>
      <c r="AB14772" s="1"/>
    </row>
    <row r="14773" ht="50.25" customHeight="1">
      <c r="A14773" s="12">
        <v>14769.0</v>
      </c>
      <c r="B14773" s="13" t="s">
        <v>13838</v>
      </c>
      <c r="C14773" s="14" t="s">
        <v>14009</v>
      </c>
      <c r="D14773" s="1"/>
      <c r="E14773" s="1"/>
      <c r="F14773" s="1" t="str">
        <f>IFERROR(__xludf.DUMMYFUNCTION("GOOGLETRANSLATE(B14773, ""en"", ""fa"")
"),"درآمد غیرفعال")</f>
        <v>درآمد غیرفعال</v>
      </c>
      <c r="G14773" s="1" t="str">
        <f>IFERROR(__xludf.DUMMYFUNCTION("GOOGLETRANSLATE(C14773, ""en"", ""fa"")
"),"چگونه افراد می توانند از تخصص و دانش خود از طریق ایجاد دوره های آنلاین و محتوای آموزشی کسب درآمد کنند؟")</f>
        <v>چگونه افراد می توانند از تخصص و دانش خود از طریق ایجاد دوره های آنلاین و محتوای آموزشی کسب درآمد کنند؟</v>
      </c>
      <c r="H14773" s="1"/>
      <c r="I14773" s="1"/>
      <c r="J14773" s="1"/>
      <c r="K14773" s="1"/>
      <c r="L14773" s="1"/>
      <c r="M14773" s="1"/>
      <c r="N14773" s="1"/>
      <c r="O14773" s="1"/>
      <c r="P14773" s="1"/>
      <c r="Q14773" s="1"/>
      <c r="R14773" s="1"/>
      <c r="S14773" s="1"/>
      <c r="T14773" s="1"/>
      <c r="U14773" s="1"/>
      <c r="V14773" s="1"/>
      <c r="W14773" s="1"/>
      <c r="X14773" s="1"/>
      <c r="Y14773" s="1"/>
      <c r="Z14773" s="1"/>
      <c r="AA14773" s="1"/>
      <c r="AB14773" s="1"/>
    </row>
    <row r="14774" ht="50.25" customHeight="1">
      <c r="A14774" s="12">
        <v>14770.0</v>
      </c>
      <c r="B14774" s="13" t="s">
        <v>13838</v>
      </c>
      <c r="C14774" s="14" t="s">
        <v>14010</v>
      </c>
      <c r="D14774" s="1"/>
      <c r="E14774" s="1"/>
      <c r="F14774" s="1" t="str">
        <f>IFERROR(__xludf.DUMMYFUNCTION("GOOGLETRANSLATE(B14774, ""en"", ""fa"")
"),"درآمد غیرفعال")</f>
        <v>درآمد غیرفعال</v>
      </c>
      <c r="G14774" s="1" t="str">
        <f>IFERROR(__xludf.DUMMYFUNCTION("GOOGLETRANSLATE(C14774, ""en"", ""fa"")
"),"در مورد پتانسیل صدور مجوز نرم افزار و محصولات فناوری برای تولید درآمد غیرفعال بحث کنید.")</f>
        <v>در مورد پتانسیل صدور مجوز نرم افزار و محصولات فناوری برای تولید درآمد غیرفعال بحث کنید.</v>
      </c>
      <c r="H14774" s="1"/>
      <c r="I14774" s="1"/>
      <c r="J14774" s="1"/>
      <c r="K14774" s="1"/>
      <c r="L14774" s="1"/>
      <c r="M14774" s="1"/>
      <c r="N14774" s="1"/>
      <c r="O14774" s="1"/>
      <c r="P14774" s="1"/>
      <c r="Q14774" s="1"/>
      <c r="R14774" s="1"/>
      <c r="S14774" s="1"/>
      <c r="T14774" s="1"/>
      <c r="U14774" s="1"/>
      <c r="V14774" s="1"/>
      <c r="W14774" s="1"/>
      <c r="X14774" s="1"/>
      <c r="Y14774" s="1"/>
      <c r="Z14774" s="1"/>
      <c r="AA14774" s="1"/>
      <c r="AB14774" s="1"/>
    </row>
    <row r="14775" ht="50.25" customHeight="1">
      <c r="A14775" s="12">
        <v>14771.0</v>
      </c>
      <c r="B14775" s="13" t="s">
        <v>13838</v>
      </c>
      <c r="C14775" s="14" t="s">
        <v>14011</v>
      </c>
      <c r="D14775" s="1"/>
      <c r="E14775" s="1"/>
      <c r="F14775" s="1" t="str">
        <f>IFERROR(__xludf.DUMMYFUNCTION("GOOGLETRANSLATE(B14775, ""en"", ""fa"")
"),"درآمد غیرفعال")</f>
        <v>درآمد غیرفعال</v>
      </c>
      <c r="G14775" s="1" t="str">
        <f>IFERROR(__xludf.DUMMYFUNCTION("GOOGLETRANSLATE(C14775, ""en"", ""fa"")
"),"توزیع و توزیع محتوا چه نقشی در به حداکثر رساندن درآمد غیرفعال از مالکیت معنوی دارد؟")</f>
        <v>توزیع و توزیع محتوا چه نقشی در به حداکثر رساندن درآمد غیرفعال از مالکیت معنوی دارد؟</v>
      </c>
      <c r="H14775" s="1"/>
      <c r="I14775" s="1"/>
      <c r="J14775" s="1"/>
      <c r="K14775" s="1"/>
      <c r="L14775" s="1"/>
      <c r="M14775" s="1"/>
      <c r="N14775" s="1"/>
      <c r="O14775" s="1"/>
      <c r="P14775" s="1"/>
      <c r="Q14775" s="1"/>
      <c r="R14775" s="1"/>
      <c r="S14775" s="1"/>
      <c r="T14775" s="1"/>
      <c r="U14775" s="1"/>
      <c r="V14775" s="1"/>
      <c r="W14775" s="1"/>
      <c r="X14775" s="1"/>
      <c r="Y14775" s="1"/>
      <c r="Z14775" s="1"/>
      <c r="AA14775" s="1"/>
      <c r="AB14775" s="1"/>
    </row>
    <row r="14776" ht="50.25" customHeight="1">
      <c r="A14776" s="12">
        <v>14772.0</v>
      </c>
      <c r="B14776" s="13" t="s">
        <v>13838</v>
      </c>
      <c r="C14776" s="14" t="s">
        <v>14012</v>
      </c>
      <c r="D14776" s="1"/>
      <c r="E14776" s="1"/>
      <c r="F14776" s="1" t="str">
        <f>IFERROR(__xludf.DUMMYFUNCTION("GOOGLETRANSLATE(B14776, ""en"", ""fa"")
"),"درآمد غیرفعال")</f>
        <v>درآمد غیرفعال</v>
      </c>
      <c r="G14776" s="1" t="str">
        <f>IFERROR(__xludf.DUMMYFUNCTION("GOOGLETRANSLATE(C14776, ""en"", ""fa"")
"),"تأثیر قراردادهای مجوز انحصاری در مقابل غیر انحصاری در کسب درآمد از مالکیت معنوی را بررسی کنید.")</f>
        <v>تأثیر قراردادهای مجوز انحصاری در مقابل غیر انحصاری در کسب درآمد از مالکیت معنوی را بررسی کنید.</v>
      </c>
      <c r="H14776" s="1"/>
      <c r="I14776" s="1"/>
      <c r="J14776" s="1"/>
      <c r="K14776" s="1"/>
      <c r="L14776" s="1"/>
      <c r="M14776" s="1"/>
      <c r="N14776" s="1"/>
      <c r="O14776" s="1"/>
      <c r="P14776" s="1"/>
      <c r="Q14776" s="1"/>
      <c r="R14776" s="1"/>
      <c r="S14776" s="1"/>
      <c r="T14776" s="1"/>
      <c r="U14776" s="1"/>
      <c r="V14776" s="1"/>
      <c r="W14776" s="1"/>
      <c r="X14776" s="1"/>
      <c r="Y14776" s="1"/>
      <c r="Z14776" s="1"/>
      <c r="AA14776" s="1"/>
      <c r="AB14776" s="1"/>
    </row>
    <row r="14777" ht="50.25" customHeight="1">
      <c r="A14777" s="12">
        <v>14773.0</v>
      </c>
      <c r="B14777" s="13" t="s">
        <v>13838</v>
      </c>
      <c r="C14777" s="14" t="s">
        <v>14013</v>
      </c>
      <c r="D14777" s="1"/>
      <c r="E14777" s="1"/>
      <c r="F14777" s="1" t="str">
        <f>IFERROR(__xludf.DUMMYFUNCTION("GOOGLETRANSLATE(B14777, ""en"", ""fa"")
"),"درآمد غیرفعال")</f>
        <v>درآمد غیرفعال</v>
      </c>
      <c r="G14777" s="1" t="str">
        <f>IFERROR(__xludf.DUMMYFUNCTION("GOOGLETRANSLATE(C14777, ""en"", ""fa"")
"),"چگونه پدیدآورندگان می توانند دارایی معنوی خود را به طور موثر برای صاحبان مجوز و خریداران بالقوه بازاریابی کنند؟")</f>
        <v>چگونه پدیدآورندگان می توانند دارایی معنوی خود را به طور موثر برای صاحبان مجوز و خریداران بالقوه بازاریابی کنند؟</v>
      </c>
      <c r="H14777" s="1"/>
      <c r="I14777" s="1"/>
      <c r="J14777" s="1"/>
      <c r="K14777" s="1"/>
      <c r="L14777" s="1"/>
      <c r="M14777" s="1"/>
      <c r="N14777" s="1"/>
      <c r="O14777" s="1"/>
      <c r="P14777" s="1"/>
      <c r="Q14777" s="1"/>
      <c r="R14777" s="1"/>
      <c r="S14777" s="1"/>
      <c r="T14777" s="1"/>
      <c r="U14777" s="1"/>
      <c r="V14777" s="1"/>
      <c r="W14777" s="1"/>
      <c r="X14777" s="1"/>
      <c r="Y14777" s="1"/>
      <c r="Z14777" s="1"/>
      <c r="AA14777" s="1"/>
      <c r="AB14777" s="1"/>
    </row>
    <row r="14778" ht="50.25" customHeight="1">
      <c r="A14778" s="12">
        <v>14774.0</v>
      </c>
      <c r="B14778" s="13" t="s">
        <v>13838</v>
      </c>
      <c r="C14778" s="14" t="s">
        <v>14014</v>
      </c>
      <c r="D14778" s="1"/>
      <c r="E14778" s="1"/>
      <c r="F14778" s="1" t="str">
        <f>IFERROR(__xludf.DUMMYFUNCTION("GOOGLETRANSLATE(B14778, ""en"", ""fa"")
"),"درآمد غیرفعال")</f>
        <v>درآمد غیرفعال</v>
      </c>
      <c r="G14778" s="1" t="str">
        <f>IFERROR(__xludf.DUMMYFUNCTION("GOOGLETRANSLATE(C14778, ""en"", ""fa"")
"),"در مورد مفهوم ایجاد و فروش کالاهای دارای طرح‌های دارای حق چاپ یا علامت تجاری بحث کنید.")</f>
        <v>در مورد مفهوم ایجاد و فروش کالاهای دارای طرح‌های دارای حق چاپ یا علامت تجاری بحث کنید.</v>
      </c>
      <c r="H14778" s="1"/>
      <c r="I14778" s="1"/>
      <c r="J14778" s="1"/>
      <c r="K14778" s="1"/>
      <c r="L14778" s="1"/>
      <c r="M14778" s="1"/>
      <c r="N14778" s="1"/>
      <c r="O14778" s="1"/>
      <c r="P14778" s="1"/>
      <c r="Q14778" s="1"/>
      <c r="R14778" s="1"/>
      <c r="S14778" s="1"/>
      <c r="T14778" s="1"/>
      <c r="U14778" s="1"/>
      <c r="V14778" s="1"/>
      <c r="W14778" s="1"/>
      <c r="X14778" s="1"/>
      <c r="Y14778" s="1"/>
      <c r="Z14778" s="1"/>
      <c r="AA14778" s="1"/>
      <c r="AB14778" s="1"/>
    </row>
    <row r="14779" ht="50.25" customHeight="1">
      <c r="A14779" s="12">
        <v>14775.0</v>
      </c>
      <c r="B14779" s="13" t="s">
        <v>13838</v>
      </c>
      <c r="C14779" s="14" t="s">
        <v>14015</v>
      </c>
      <c r="D14779" s="1"/>
      <c r="E14779" s="1"/>
      <c r="F14779" s="1" t="str">
        <f>IFERROR(__xludf.DUMMYFUNCTION("GOOGLETRANSLATE(B14779, ""en"", ""fa"")
"),"درآمد غیرفعال")</f>
        <v>درآمد غیرفعال</v>
      </c>
      <c r="G14779" s="1" t="str">
        <f>IFERROR(__xludf.DUMMYFUNCTION("GOOGLETRANSLATE(C14779, ""en"", ""fa"")
"),"پتانسیل کسب درآمد از محتوای خلاقانه را از طریق پلتفرم هایی مانند YouTube و پادکست کاوش کنید.")</f>
        <v>پتانسیل کسب درآمد از محتوای خلاقانه را از طریق پلتفرم هایی مانند YouTube و پادکست کاوش کنید.</v>
      </c>
      <c r="H14779" s="1"/>
      <c r="I14779" s="1"/>
      <c r="J14779" s="1"/>
      <c r="K14779" s="1"/>
      <c r="L14779" s="1"/>
      <c r="M14779" s="1"/>
      <c r="N14779" s="1"/>
      <c r="O14779" s="1"/>
      <c r="P14779" s="1"/>
      <c r="Q14779" s="1"/>
      <c r="R14779" s="1"/>
      <c r="S14779" s="1"/>
      <c r="T14779" s="1"/>
      <c r="U14779" s="1"/>
      <c r="V14779" s="1"/>
      <c r="W14779" s="1"/>
      <c r="X14779" s="1"/>
      <c r="Y14779" s="1"/>
      <c r="Z14779" s="1"/>
      <c r="AA14779" s="1"/>
      <c r="AB14779" s="1"/>
    </row>
    <row r="14780" ht="50.25" customHeight="1">
      <c r="A14780" s="12">
        <v>14776.0</v>
      </c>
      <c r="B14780" s="13" t="s">
        <v>13838</v>
      </c>
      <c r="C14780" s="14" t="s">
        <v>14016</v>
      </c>
      <c r="D14780" s="1"/>
      <c r="E14780" s="1"/>
      <c r="F14780" s="1" t="str">
        <f>IFERROR(__xludf.DUMMYFUNCTION("GOOGLETRANSLATE(B14780, ""en"", ""fa"")
"),"درآمد غیرفعال")</f>
        <v>درآمد غیرفعال</v>
      </c>
      <c r="G14780" s="1" t="str">
        <f>IFERROR(__xludf.DUMMYFUNCTION("GOOGLETRANSLATE(C14780, ""en"", ""fa"")
"),"پدیدآورندگان از چه راهبردهایی می توانند برای حفاظت از حقوق مالکیت معنوی خود و جلوگیری از نقض آن استفاده کنند؟")</f>
        <v>پدیدآورندگان از چه راهبردهایی می توانند برای حفاظت از حقوق مالکیت معنوی خود و جلوگیری از نقض آن استفاده کنند؟</v>
      </c>
      <c r="H14780" s="1"/>
      <c r="I14780" s="1"/>
      <c r="J14780" s="1"/>
      <c r="K14780" s="1"/>
      <c r="L14780" s="1"/>
      <c r="M14780" s="1"/>
      <c r="N14780" s="1"/>
      <c r="O14780" s="1"/>
      <c r="P14780" s="1"/>
      <c r="Q14780" s="1"/>
      <c r="R14780" s="1"/>
      <c r="S14780" s="1"/>
      <c r="T14780" s="1"/>
      <c r="U14780" s="1"/>
      <c r="V14780" s="1"/>
      <c r="W14780" s="1"/>
      <c r="X14780" s="1"/>
      <c r="Y14780" s="1"/>
      <c r="Z14780" s="1"/>
      <c r="AA14780" s="1"/>
      <c r="AB14780" s="1"/>
    </row>
    <row r="14781" ht="50.25" customHeight="1">
      <c r="A14781" s="12">
        <v>14777.0</v>
      </c>
      <c r="B14781" s="13" t="s">
        <v>13838</v>
      </c>
      <c r="C14781" s="14" t="s">
        <v>14017</v>
      </c>
      <c r="D14781" s="1"/>
      <c r="E14781" s="1"/>
      <c r="F14781" s="1" t="str">
        <f>IFERROR(__xludf.DUMMYFUNCTION("GOOGLETRANSLATE(B14781, ""en"", ""fa"")
"),"درآمد غیرفعال")</f>
        <v>درآمد غیرفعال</v>
      </c>
      <c r="G14781" s="1" t="str">
        <f>IFERROR(__xludf.DUMMYFUNCTION("GOOGLETRANSLATE(C14781, ""en"", ""fa"")
"),"در مورد اهمیت نوآوری مستمر و ایجاد خط لوله مالکیت معنوی برای درآمد غیرفعال پایدار بحث کنید.")</f>
        <v>در مورد اهمیت نوآوری مستمر و ایجاد خط لوله مالکیت معنوی برای درآمد غیرفعال پایدار بحث کنید.</v>
      </c>
      <c r="H14781" s="1"/>
      <c r="I14781" s="1"/>
      <c r="J14781" s="1"/>
      <c r="K14781" s="1"/>
      <c r="L14781" s="1"/>
      <c r="M14781" s="1"/>
      <c r="N14781" s="1"/>
      <c r="O14781" s="1"/>
      <c r="P14781" s="1"/>
      <c r="Q14781" s="1"/>
      <c r="R14781" s="1"/>
      <c r="S14781" s="1"/>
      <c r="T14781" s="1"/>
      <c r="U14781" s="1"/>
      <c r="V14781" s="1"/>
      <c r="W14781" s="1"/>
      <c r="X14781" s="1"/>
      <c r="Y14781" s="1"/>
      <c r="Z14781" s="1"/>
      <c r="AA14781" s="1"/>
      <c r="AB14781" s="1"/>
    </row>
    <row r="14782" ht="50.25" customHeight="1">
      <c r="A14782" s="12">
        <v>14778.0</v>
      </c>
      <c r="B14782" s="13" t="s">
        <v>13838</v>
      </c>
      <c r="C14782" s="14" t="s">
        <v>14018</v>
      </c>
      <c r="D14782" s="1"/>
      <c r="E14782" s="1"/>
      <c r="F14782" s="1" t="str">
        <f>IFERROR(__xludf.DUMMYFUNCTION("GOOGLETRANSLATE(B14782, ""en"", ""fa"")
"),"درآمد غیرفعال")</f>
        <v>درآمد غیرفعال</v>
      </c>
      <c r="G14782" s="1" t="str">
        <f>IFERROR(__xludf.DUMMYFUNCTION("GOOGLETRANSLATE(C14782, ""en"", ""fa"")
"),"تاثیر استراتژی‌های ارزش‌گذاری و قیمت‌گذاری مالکیت معنوی در مذاکرات صدور مجوز و فروش را بررسی کنید.")</f>
        <v>تاثیر استراتژی‌های ارزش‌گذاری و قیمت‌گذاری مالکیت معنوی در مذاکرات صدور مجوز و فروش را بررسی کنید.</v>
      </c>
      <c r="H14782" s="1"/>
      <c r="I14782" s="1"/>
      <c r="J14782" s="1"/>
      <c r="K14782" s="1"/>
      <c r="L14782" s="1"/>
      <c r="M14782" s="1"/>
      <c r="N14782" s="1"/>
      <c r="O14782" s="1"/>
      <c r="P14782" s="1"/>
      <c r="Q14782" s="1"/>
      <c r="R14782" s="1"/>
      <c r="S14782" s="1"/>
      <c r="T14782" s="1"/>
      <c r="U14782" s="1"/>
      <c r="V14782" s="1"/>
      <c r="W14782" s="1"/>
      <c r="X14782" s="1"/>
      <c r="Y14782" s="1"/>
      <c r="Z14782" s="1"/>
      <c r="AA14782" s="1"/>
      <c r="AB14782" s="1"/>
    </row>
    <row r="14783" ht="50.25" customHeight="1">
      <c r="A14783" s="12">
        <v>14779.0</v>
      </c>
      <c r="B14783" s="13" t="s">
        <v>13838</v>
      </c>
      <c r="C14783" s="14" t="s">
        <v>14019</v>
      </c>
      <c r="D14783" s="1"/>
      <c r="E14783" s="1"/>
      <c r="F14783" s="1" t="str">
        <f>IFERROR(__xludf.DUMMYFUNCTION("GOOGLETRANSLATE(B14783, ""en"", ""fa"")
"),"درآمد غیرفعال")</f>
        <v>درآمد غیرفعال</v>
      </c>
      <c r="G14783" s="1" t="str">
        <f>IFERROR(__xludf.DUMMYFUNCTION("GOOGLETRANSLATE(C14783, ""en"", ""fa"")
"),"چگونه نویسندگان و نویسندگان می توانند با انتشار خود و فروش کتاب درآمد انفعالی داشته باشند؟")</f>
        <v>چگونه نویسندگان و نویسندگان می توانند با انتشار خود و فروش کتاب درآمد انفعالی داشته باشند؟</v>
      </c>
      <c r="H14783" s="1"/>
      <c r="I14783" s="1"/>
      <c r="J14783" s="1"/>
      <c r="K14783" s="1"/>
      <c r="L14783" s="1"/>
      <c r="M14783" s="1"/>
      <c r="N14783" s="1"/>
      <c r="O14783" s="1"/>
      <c r="P14783" s="1"/>
      <c r="Q14783" s="1"/>
      <c r="R14783" s="1"/>
      <c r="S14783" s="1"/>
      <c r="T14783" s="1"/>
      <c r="U14783" s="1"/>
      <c r="V14783" s="1"/>
      <c r="W14783" s="1"/>
      <c r="X14783" s="1"/>
      <c r="Y14783" s="1"/>
      <c r="Z14783" s="1"/>
      <c r="AA14783" s="1"/>
      <c r="AB14783" s="1"/>
    </row>
    <row r="14784" ht="50.25" customHeight="1">
      <c r="A14784" s="12">
        <v>14780.0</v>
      </c>
      <c r="B14784" s="13" t="s">
        <v>13838</v>
      </c>
      <c r="C14784" s="14" t="s">
        <v>14020</v>
      </c>
      <c r="D14784" s="1"/>
      <c r="E14784" s="1"/>
      <c r="F14784" s="1" t="str">
        <f>IFERROR(__xludf.DUMMYFUNCTION("GOOGLETRANSLATE(B14784, ""en"", ""fa"")
"),"درآمد غیرفعال")</f>
        <v>درآمد غیرفعال</v>
      </c>
      <c r="G14784" s="1" t="str">
        <f>IFERROR(__xludf.DUMMYFUNCTION("GOOGLETRANSLATE(C14784, ""en"", ""fa"")
"),"در مورد مفهوم ایجاد و فروش دارایی های دیجیتال مانند فونت ها، نمادها و گرافیک ها بحث کنید.")</f>
        <v>در مورد مفهوم ایجاد و فروش دارایی های دیجیتال مانند فونت ها، نمادها و گرافیک ها بحث کنید.</v>
      </c>
      <c r="H14784" s="1"/>
      <c r="I14784" s="1"/>
      <c r="J14784" s="1"/>
      <c r="K14784" s="1"/>
      <c r="L14784" s="1"/>
      <c r="M14784" s="1"/>
      <c r="N14784" s="1"/>
      <c r="O14784" s="1"/>
      <c r="P14784" s="1"/>
      <c r="Q14784" s="1"/>
      <c r="R14784" s="1"/>
      <c r="S14784" s="1"/>
      <c r="T14784" s="1"/>
      <c r="U14784" s="1"/>
      <c r="V14784" s="1"/>
      <c r="W14784" s="1"/>
      <c r="X14784" s="1"/>
      <c r="Y14784" s="1"/>
      <c r="Z14784" s="1"/>
      <c r="AA14784" s="1"/>
      <c r="AB14784" s="1"/>
    </row>
    <row r="14785" ht="50.25" customHeight="1">
      <c r="A14785" s="12">
        <v>14781.0</v>
      </c>
      <c r="B14785" s="13" t="s">
        <v>13838</v>
      </c>
      <c r="C14785" s="14" t="s">
        <v>14021</v>
      </c>
      <c r="D14785" s="1"/>
      <c r="E14785" s="1"/>
      <c r="F14785" s="1" t="str">
        <f>IFERROR(__xludf.DUMMYFUNCTION("GOOGLETRANSLATE(B14785, ""en"", ""fa"")
"),"درآمد غیرفعال")</f>
        <v>درآمد غیرفعال</v>
      </c>
      <c r="G14785" s="1" t="str">
        <f>IFERROR(__xludf.DUMMYFUNCTION("GOOGLETRANSLATE(C14785, ""en"", ""fa"")
"),"مشارکت مخاطب و جامعه سازی چه نقشی در موفقیت درآمد غیرفعال از مالکیت معنوی دارد؟")</f>
        <v>مشارکت مخاطب و جامعه سازی چه نقشی در موفقیت درآمد غیرفعال از مالکیت معنوی دارد؟</v>
      </c>
      <c r="H14785" s="1"/>
      <c r="I14785" s="1"/>
      <c r="J14785" s="1"/>
      <c r="K14785" s="1"/>
      <c r="L14785" s="1"/>
      <c r="M14785" s="1"/>
      <c r="N14785" s="1"/>
      <c r="O14785" s="1"/>
      <c r="P14785" s="1"/>
      <c r="Q14785" s="1"/>
      <c r="R14785" s="1"/>
      <c r="S14785" s="1"/>
      <c r="T14785" s="1"/>
      <c r="U14785" s="1"/>
      <c r="V14785" s="1"/>
      <c r="W14785" s="1"/>
      <c r="X14785" s="1"/>
      <c r="Y14785" s="1"/>
      <c r="Z14785" s="1"/>
      <c r="AA14785" s="1"/>
      <c r="AB14785" s="1"/>
    </row>
    <row r="14786" ht="50.25" customHeight="1">
      <c r="A14786" s="12">
        <v>14782.0</v>
      </c>
      <c r="B14786" s="13" t="s">
        <v>13838</v>
      </c>
      <c r="C14786" s="14" t="s">
        <v>14022</v>
      </c>
      <c r="D14786" s="1"/>
      <c r="E14786" s="1"/>
      <c r="F14786" s="1" t="str">
        <f>IFERROR(__xludf.DUMMYFUNCTION("GOOGLETRANSLATE(B14786, ""en"", ""fa"")
"),"درآمد غیرفعال")</f>
        <v>درآمد غیرفعال</v>
      </c>
      <c r="G14786" s="1" t="str">
        <f>IFERROR(__xludf.DUMMYFUNCTION("GOOGLETRANSLATE(C14786, ""en"", ""fa"")
"),"پتانسیل صدور مجوز فرعی مالکیت معنوی به چندین طرف برای افزایش درآمد غیرفعال را بررسی کنید.")</f>
        <v>پتانسیل صدور مجوز فرعی مالکیت معنوی به چندین طرف برای افزایش درآمد غیرفعال را بررسی کنید.</v>
      </c>
      <c r="H14786" s="1"/>
      <c r="I14786" s="1"/>
      <c r="J14786" s="1"/>
      <c r="K14786" s="1"/>
      <c r="L14786" s="1"/>
      <c r="M14786" s="1"/>
      <c r="N14786" s="1"/>
      <c r="O14786" s="1"/>
      <c r="P14786" s="1"/>
      <c r="Q14786" s="1"/>
      <c r="R14786" s="1"/>
      <c r="S14786" s="1"/>
      <c r="T14786" s="1"/>
      <c r="U14786" s="1"/>
      <c r="V14786" s="1"/>
      <c r="W14786" s="1"/>
      <c r="X14786" s="1"/>
      <c r="Y14786" s="1"/>
      <c r="Z14786" s="1"/>
      <c r="AA14786" s="1"/>
      <c r="AB14786" s="1"/>
    </row>
    <row r="14787" ht="50.25" customHeight="1">
      <c r="A14787" s="12">
        <v>14783.0</v>
      </c>
      <c r="B14787" s="13" t="s">
        <v>13838</v>
      </c>
      <c r="C14787" s="14" t="s">
        <v>14023</v>
      </c>
      <c r="D14787" s="1"/>
      <c r="E14787" s="1"/>
      <c r="F14787" s="1" t="str">
        <f>IFERROR(__xludf.DUMMYFUNCTION("GOOGLETRANSLATE(B14787, ""en"", ""fa"")
"),"درآمد غیرفعال")</f>
        <v>درآمد غیرفعال</v>
      </c>
      <c r="G14787" s="1" t="str">
        <f>IFERROR(__xludf.DUMMYFUNCTION("GOOGLETRANSLATE(C14787, ""en"", ""fa"")
"),"چگونه سازندگان می توانند از پلتفرم های سرمایه گذاری جمعی و حمایت برای حمایت از ایجاد مالکیت فکری جدید استفاده کنند؟")</f>
        <v>چگونه سازندگان می توانند از پلتفرم های سرمایه گذاری جمعی و حمایت برای حمایت از ایجاد مالکیت فکری جدید استفاده کنند؟</v>
      </c>
      <c r="H14787" s="1"/>
      <c r="I14787" s="1"/>
      <c r="J14787" s="1"/>
      <c r="K14787" s="1"/>
      <c r="L14787" s="1"/>
      <c r="M14787" s="1"/>
      <c r="N14787" s="1"/>
      <c r="O14787" s="1"/>
      <c r="P14787" s="1"/>
      <c r="Q14787" s="1"/>
      <c r="R14787" s="1"/>
      <c r="S14787" s="1"/>
      <c r="T14787" s="1"/>
      <c r="U14787" s="1"/>
      <c r="V14787" s="1"/>
      <c r="W14787" s="1"/>
      <c r="X14787" s="1"/>
      <c r="Y14787" s="1"/>
      <c r="Z14787" s="1"/>
      <c r="AA14787" s="1"/>
      <c r="AB14787" s="1"/>
    </row>
    <row r="14788" ht="50.25" customHeight="1">
      <c r="A14788" s="12">
        <v>14784.0</v>
      </c>
      <c r="B14788" s="13" t="s">
        <v>13838</v>
      </c>
      <c r="C14788" s="14" t="s">
        <v>14024</v>
      </c>
      <c r="D14788" s="1"/>
      <c r="E14788" s="1"/>
      <c r="F14788" s="1" t="str">
        <f>IFERROR(__xludf.DUMMYFUNCTION("GOOGLETRANSLATE(B14788, ""en"", ""fa"")
"),"درآمد غیرفعال")</f>
        <v>درآمد غیرفعال</v>
      </c>
      <c r="G14788" s="1" t="str">
        <f>IFERROR(__xludf.DUMMYFUNCTION("GOOGLETRANSLATE(C14788, ""en"", ""fa"")
"),"درباره تأثیر قوانین جهانی حق چاپ و مالکیت معنوی بر جریان های درآمد غیرفعال بین المللی بحث کنید.")</f>
        <v>درباره تأثیر قوانین جهانی حق چاپ و مالکیت معنوی بر جریان های درآمد غیرفعال بین المللی بحث کنید.</v>
      </c>
      <c r="H14788" s="1"/>
      <c r="I14788" s="1"/>
      <c r="J14788" s="1"/>
      <c r="K14788" s="1"/>
      <c r="L14788" s="1"/>
      <c r="M14788" s="1"/>
      <c r="N14788" s="1"/>
      <c r="O14788" s="1"/>
      <c r="P14788" s="1"/>
      <c r="Q14788" s="1"/>
      <c r="R14788" s="1"/>
      <c r="S14788" s="1"/>
      <c r="T14788" s="1"/>
      <c r="U14788" s="1"/>
      <c r="V14788" s="1"/>
      <c r="W14788" s="1"/>
      <c r="X14788" s="1"/>
      <c r="Y14788" s="1"/>
      <c r="Z14788" s="1"/>
      <c r="AA14788" s="1"/>
      <c r="AB14788" s="1"/>
    </row>
    <row r="14789" ht="50.25" customHeight="1">
      <c r="A14789" s="12">
        <v>14785.0</v>
      </c>
      <c r="B14789" s="13" t="s">
        <v>13838</v>
      </c>
      <c r="C14789" s="14" t="s">
        <v>14025</v>
      </c>
      <c r="D14789" s="1"/>
      <c r="E14789" s="1"/>
      <c r="F14789" s="1" t="str">
        <f>IFERROR(__xludf.DUMMYFUNCTION("GOOGLETRANSLATE(B14789, ""en"", ""fa"")
"),"درآمد غیرفعال")</f>
        <v>درآمد غیرفعال</v>
      </c>
      <c r="G14789" s="1" t="str">
        <f>IFERROR(__xludf.DUMMYFUNCTION("GOOGLETRANSLATE(C14789, ""en"", ""fa"")
"),"پتانسیل محتوای مجوز برای استفاده در تبلیغات، کمپین های بازاریابی و مواد تبلیغاتی را بررسی کنید.")</f>
        <v>پتانسیل محتوای مجوز برای استفاده در تبلیغات، کمپین های بازاریابی و مواد تبلیغاتی را بررسی کنید.</v>
      </c>
      <c r="H14789" s="1"/>
      <c r="I14789" s="1"/>
      <c r="J14789" s="1"/>
      <c r="K14789" s="1"/>
      <c r="L14789" s="1"/>
      <c r="M14789" s="1"/>
      <c r="N14789" s="1"/>
      <c r="O14789" s="1"/>
      <c r="P14789" s="1"/>
      <c r="Q14789" s="1"/>
      <c r="R14789" s="1"/>
      <c r="S14789" s="1"/>
      <c r="T14789" s="1"/>
      <c r="U14789" s="1"/>
      <c r="V14789" s="1"/>
      <c r="W14789" s="1"/>
      <c r="X14789" s="1"/>
      <c r="Y14789" s="1"/>
      <c r="Z14789" s="1"/>
      <c r="AA14789" s="1"/>
      <c r="AB14789" s="1"/>
    </row>
    <row r="14790" ht="50.25" customHeight="1">
      <c r="A14790" s="12">
        <v>14786.0</v>
      </c>
      <c r="B14790" s="13" t="s">
        <v>13838</v>
      </c>
      <c r="C14790" s="14" t="s">
        <v>14026</v>
      </c>
      <c r="D14790" s="1"/>
      <c r="E14790" s="1"/>
      <c r="F14790" s="1" t="str">
        <f>IFERROR(__xludf.DUMMYFUNCTION("GOOGLETRANSLATE(B14790, ""en"", ""fa"")
"),"درآمد غیرفعال")</f>
        <v>درآمد غیرفعال</v>
      </c>
      <c r="G14790" s="1" t="str">
        <f>IFERROR(__xludf.DUMMYFUNCTION("GOOGLETRANSLATE(C14790, ""en"", ""fa"")
"),"سازندگان از چه استراتژی هایی می توانند برای افزایش تقاضا برای دوره های آنلاین و منابع یادگیری دیجیتال استفاده کنند؟")</f>
        <v>سازندگان از چه استراتژی هایی می توانند برای افزایش تقاضا برای دوره های آنلاین و منابع یادگیری دیجیتال استفاده کنند؟</v>
      </c>
      <c r="H14790" s="1"/>
      <c r="I14790" s="1"/>
      <c r="J14790" s="1"/>
      <c r="K14790" s="1"/>
      <c r="L14790" s="1"/>
      <c r="M14790" s="1"/>
      <c r="N14790" s="1"/>
      <c r="O14790" s="1"/>
      <c r="P14790" s="1"/>
      <c r="Q14790" s="1"/>
      <c r="R14790" s="1"/>
      <c r="S14790" s="1"/>
      <c r="T14790" s="1"/>
      <c r="U14790" s="1"/>
      <c r="V14790" s="1"/>
      <c r="W14790" s="1"/>
      <c r="X14790" s="1"/>
      <c r="Y14790" s="1"/>
      <c r="Z14790" s="1"/>
      <c r="AA14790" s="1"/>
      <c r="AB14790" s="1"/>
    </row>
    <row r="14791" ht="50.25" customHeight="1">
      <c r="A14791" s="12">
        <v>14787.0</v>
      </c>
      <c r="B14791" s="13" t="s">
        <v>13838</v>
      </c>
      <c r="C14791" s="14" t="s">
        <v>14027</v>
      </c>
      <c r="D14791" s="1"/>
      <c r="E14791" s="1"/>
      <c r="F14791" s="1" t="str">
        <f>IFERROR(__xludf.DUMMYFUNCTION("GOOGLETRANSLATE(B14791, ""en"", ""fa"")
"),"درآمد غیرفعال")</f>
        <v>درآمد غیرفعال</v>
      </c>
      <c r="G14791" s="1" t="str">
        <f>IFERROR(__xludf.DUMMYFUNCTION("GOOGLETRANSLATE(C14791, ""en"", ""fa"")
"),"در مورد اهمیت نظارت و اجرای حقوق مالکیت معنوی برای جلوگیری از استفاده غیرمجاز بحث کنید.")</f>
        <v>در مورد اهمیت نظارت و اجرای حقوق مالکیت معنوی برای جلوگیری از استفاده غیرمجاز بحث کنید.</v>
      </c>
      <c r="H14791" s="1"/>
      <c r="I14791" s="1"/>
      <c r="J14791" s="1"/>
      <c r="K14791" s="1"/>
      <c r="L14791" s="1"/>
      <c r="M14791" s="1"/>
      <c r="N14791" s="1"/>
      <c r="O14791" s="1"/>
      <c r="P14791" s="1"/>
      <c r="Q14791" s="1"/>
      <c r="R14791" s="1"/>
      <c r="S14791" s="1"/>
      <c r="T14791" s="1"/>
      <c r="U14791" s="1"/>
      <c r="V14791" s="1"/>
      <c r="W14791" s="1"/>
      <c r="X14791" s="1"/>
      <c r="Y14791" s="1"/>
      <c r="Z14791" s="1"/>
      <c r="AA14791" s="1"/>
      <c r="AB14791" s="1"/>
    </row>
    <row r="14792" ht="50.25" customHeight="1">
      <c r="A14792" s="12">
        <v>14788.0</v>
      </c>
      <c r="B14792" s="13" t="s">
        <v>13838</v>
      </c>
      <c r="C14792" s="14" t="s">
        <v>14028</v>
      </c>
      <c r="D14792" s="1"/>
      <c r="E14792" s="1"/>
      <c r="F14792" s="1" t="str">
        <f>IFERROR(__xludf.DUMMYFUNCTION("GOOGLETRANSLATE(B14792, ""en"", ""fa"")
"),"درآمد غیرفعال")</f>
        <v>درآمد غیرفعال</v>
      </c>
      <c r="G14792" s="1" t="str">
        <f>IFERROR(__xludf.DUMMYFUNCTION("GOOGLETRANSLATE(C14792, ""en"", ""fa"")
"),"تاثیر تبلیغات متقابل و همکاری در دستیابی به مخاطبان جدید و افزایش درآمد غیرفعال را بررسی کنید.")</f>
        <v>تاثیر تبلیغات متقابل و همکاری در دستیابی به مخاطبان جدید و افزایش درآمد غیرفعال را بررسی کنید.</v>
      </c>
      <c r="H14792" s="1"/>
      <c r="I14792" s="1"/>
      <c r="J14792" s="1"/>
      <c r="K14792" s="1"/>
      <c r="L14792" s="1"/>
      <c r="M14792" s="1"/>
      <c r="N14792" s="1"/>
      <c r="O14792" s="1"/>
      <c r="P14792" s="1"/>
      <c r="Q14792" s="1"/>
      <c r="R14792" s="1"/>
      <c r="S14792" s="1"/>
      <c r="T14792" s="1"/>
      <c r="U14792" s="1"/>
      <c r="V14792" s="1"/>
      <c r="W14792" s="1"/>
      <c r="X14792" s="1"/>
      <c r="Y14792" s="1"/>
      <c r="Z14792" s="1"/>
      <c r="AA14792" s="1"/>
      <c r="AB14792" s="1"/>
    </row>
    <row r="14793" ht="50.25" customHeight="1">
      <c r="A14793" s="12">
        <v>14789.0</v>
      </c>
      <c r="B14793" s="13" t="s">
        <v>13838</v>
      </c>
      <c r="C14793" s="14" t="s">
        <v>14029</v>
      </c>
      <c r="D14793" s="1"/>
      <c r="E14793" s="1"/>
      <c r="F14793" s="1" t="str">
        <f>IFERROR(__xludf.DUMMYFUNCTION("GOOGLETRANSLATE(B14793, ""en"", ""fa"")
"),"درآمد غیرفعال")</f>
        <v>درآمد غیرفعال</v>
      </c>
      <c r="G14793" s="1" t="str">
        <f>IFERROR(__xludf.DUMMYFUNCTION("GOOGLETRANSLATE(C14793, ""en"", ""fa"")
"),"چگونه نوازندگان و هنرمندان می‌توانند با دادن مجوز برای استفاده در فیلم‌ها، نمایش‌های تلویزیونی و آگهی‌های بازرگانی، درآمد غیرفعالی ایجاد کنند؟")</f>
        <v>چگونه نوازندگان و هنرمندان می‌توانند با دادن مجوز برای استفاده در فیلم‌ها، نمایش‌های تلویزیونی و آگهی‌های بازرگانی، درآمد غیرفعالی ایجاد کنند؟</v>
      </c>
      <c r="H14793" s="1"/>
      <c r="I14793" s="1"/>
      <c r="J14793" s="1"/>
      <c r="K14793" s="1"/>
      <c r="L14793" s="1"/>
      <c r="M14793" s="1"/>
      <c r="N14793" s="1"/>
      <c r="O14793" s="1"/>
      <c r="P14793" s="1"/>
      <c r="Q14793" s="1"/>
      <c r="R14793" s="1"/>
      <c r="S14793" s="1"/>
      <c r="T14793" s="1"/>
      <c r="U14793" s="1"/>
      <c r="V14793" s="1"/>
      <c r="W14793" s="1"/>
      <c r="X14793" s="1"/>
      <c r="Y14793" s="1"/>
      <c r="Z14793" s="1"/>
      <c r="AA14793" s="1"/>
      <c r="AB14793" s="1"/>
    </row>
    <row r="14794" ht="50.25" customHeight="1">
      <c r="A14794" s="12">
        <v>14790.0</v>
      </c>
      <c r="B14794" s="13" t="s">
        <v>13838</v>
      </c>
      <c r="C14794" s="14" t="s">
        <v>14030</v>
      </c>
      <c r="D14794" s="1"/>
      <c r="E14794" s="1"/>
      <c r="F14794" s="1" t="str">
        <f>IFERROR(__xludf.DUMMYFUNCTION("GOOGLETRANSLATE(B14794, ""en"", ""fa"")
"),"درآمد غیرفعال")</f>
        <v>درآمد غیرفعال</v>
      </c>
      <c r="G14794" s="1" t="str">
        <f>IFERROR(__xludf.DUMMYFUNCTION("GOOGLETRANSLATE(C14794, ""en"", ""fa"")
"),"در مورد مفهوم ایجاد و صدور مجوز برنامه های کاربردی نرم افزار اصلی، افزونه ها و ابزارهای دیجیتال بحث کنید.")</f>
        <v>در مورد مفهوم ایجاد و صدور مجوز برنامه های کاربردی نرم افزار اصلی، افزونه ها و ابزارهای دیجیتال بحث کنید.</v>
      </c>
      <c r="H14794" s="1"/>
      <c r="I14794" s="1"/>
      <c r="J14794" s="1"/>
      <c r="K14794" s="1"/>
      <c r="L14794" s="1"/>
      <c r="M14794" s="1"/>
      <c r="N14794" s="1"/>
      <c r="O14794" s="1"/>
      <c r="P14794" s="1"/>
      <c r="Q14794" s="1"/>
      <c r="R14794" s="1"/>
      <c r="S14794" s="1"/>
      <c r="T14794" s="1"/>
      <c r="U14794" s="1"/>
      <c r="V14794" s="1"/>
      <c r="W14794" s="1"/>
      <c r="X14794" s="1"/>
      <c r="Y14794" s="1"/>
      <c r="Z14794" s="1"/>
      <c r="AA14794" s="1"/>
      <c r="AB14794" s="1"/>
    </row>
    <row r="14795" ht="50.25" customHeight="1">
      <c r="A14795" s="12">
        <v>14791.0</v>
      </c>
      <c r="B14795" s="13" t="s">
        <v>13838</v>
      </c>
      <c r="C14795" s="14" t="s">
        <v>14031</v>
      </c>
      <c r="D14795" s="1"/>
      <c r="E14795" s="1"/>
      <c r="F14795" s="1" t="str">
        <f>IFERROR(__xludf.DUMMYFUNCTION("GOOGLETRANSLATE(B14795, ""en"", ""fa"")
"),"درآمد غیرفعال")</f>
        <v>درآمد غیرفعال</v>
      </c>
      <c r="G14795" s="1" t="str">
        <f>IFERROR(__xludf.DUMMYFUNCTION("GOOGLETRANSLATE(C14795, ""en"", ""fa"")
"),"مخاطب سازی و حضور پلتفرم چه نقشی در افزایش فروش مالکیت معنوی دارد؟")</f>
        <v>مخاطب سازی و حضور پلتفرم چه نقشی در افزایش فروش مالکیت معنوی دارد؟</v>
      </c>
      <c r="H14795" s="1"/>
      <c r="I14795" s="1"/>
      <c r="J14795" s="1"/>
      <c r="K14795" s="1"/>
      <c r="L14795" s="1"/>
      <c r="M14795" s="1"/>
      <c r="N14795" s="1"/>
      <c r="O14795" s="1"/>
      <c r="P14795" s="1"/>
      <c r="Q14795" s="1"/>
      <c r="R14795" s="1"/>
      <c r="S14795" s="1"/>
      <c r="T14795" s="1"/>
      <c r="U14795" s="1"/>
      <c r="V14795" s="1"/>
      <c r="W14795" s="1"/>
      <c r="X14795" s="1"/>
      <c r="Y14795" s="1"/>
      <c r="Z14795" s="1"/>
      <c r="AA14795" s="1"/>
      <c r="AB14795" s="1"/>
    </row>
    <row r="14796" ht="50.25" customHeight="1">
      <c r="A14796" s="12">
        <v>14792.0</v>
      </c>
      <c r="B14796" s="13" t="s">
        <v>13838</v>
      </c>
      <c r="C14796" s="14" t="s">
        <v>14032</v>
      </c>
      <c r="D14796" s="1"/>
      <c r="E14796" s="1"/>
      <c r="F14796" s="1" t="str">
        <f>IFERROR(__xludf.DUMMYFUNCTION("GOOGLETRANSLATE(B14796, ""en"", ""fa"")
"),"درآمد غیرفعال")</f>
        <v>درآمد غیرفعال</v>
      </c>
      <c r="G14796" s="1" t="str">
        <f>IFERROR(__xludf.DUMMYFUNCTION("GOOGLETRANSLATE(C14796, ""en"", ""fa"")
"),"بررسی پتانسیل فروش حقوق اقتباس ها و آثار مشتق بر اساس مالکیت معنوی موجود.")</f>
        <v>بررسی پتانسیل فروش حقوق اقتباس ها و آثار مشتق بر اساس مالکیت معنوی موجود.</v>
      </c>
      <c r="H14796" s="1"/>
      <c r="I14796" s="1"/>
      <c r="J14796" s="1"/>
      <c r="K14796" s="1"/>
      <c r="L14796" s="1"/>
      <c r="M14796" s="1"/>
      <c r="N14796" s="1"/>
      <c r="O14796" s="1"/>
      <c r="P14796" s="1"/>
      <c r="Q14796" s="1"/>
      <c r="R14796" s="1"/>
      <c r="S14796" s="1"/>
      <c r="T14796" s="1"/>
      <c r="U14796" s="1"/>
      <c r="V14796" s="1"/>
      <c r="W14796" s="1"/>
      <c r="X14796" s="1"/>
      <c r="Y14796" s="1"/>
      <c r="Z14796" s="1"/>
      <c r="AA14796" s="1"/>
      <c r="AB14796" s="1"/>
    </row>
    <row r="14797" ht="50.25" customHeight="1">
      <c r="A14797" s="12">
        <v>14793.0</v>
      </c>
      <c r="B14797" s="13" t="s">
        <v>13838</v>
      </c>
      <c r="C14797" s="14" t="s">
        <v>14033</v>
      </c>
      <c r="D14797" s="1"/>
      <c r="E14797" s="1"/>
      <c r="F14797" s="1" t="str">
        <f>IFERROR(__xludf.DUMMYFUNCTION("GOOGLETRANSLATE(B14797, ""en"", ""fa"")
"),"درآمد غیرفعال")</f>
        <v>درآمد غیرفعال</v>
      </c>
      <c r="G14797" s="1" t="str">
        <f>IFERROR(__xludf.DUMMYFUNCTION("GOOGLETRANSLATE(C14797, ""en"", ""fa"")
"),"چگونه سازندگان می توانند به طور موثر از رسانه های اجتماعی و بازاریابی آنلاین برای ترویج مالکیت معنوی خود استفاده کنند؟")</f>
        <v>چگونه سازندگان می توانند به طور موثر از رسانه های اجتماعی و بازاریابی آنلاین برای ترویج مالکیت معنوی خود استفاده کنند؟</v>
      </c>
      <c r="H14797" s="1"/>
      <c r="I14797" s="1"/>
      <c r="J14797" s="1"/>
      <c r="K14797" s="1"/>
      <c r="L14797" s="1"/>
      <c r="M14797" s="1"/>
      <c r="N14797" s="1"/>
      <c r="O14797" s="1"/>
      <c r="P14797" s="1"/>
      <c r="Q14797" s="1"/>
      <c r="R14797" s="1"/>
      <c r="S14797" s="1"/>
      <c r="T14797" s="1"/>
      <c r="U14797" s="1"/>
      <c r="V14797" s="1"/>
      <c r="W14797" s="1"/>
      <c r="X14797" s="1"/>
      <c r="Y14797" s="1"/>
      <c r="Z14797" s="1"/>
      <c r="AA14797" s="1"/>
      <c r="AB14797" s="1"/>
    </row>
    <row r="14798" ht="50.25" customHeight="1">
      <c r="A14798" s="12">
        <v>14794.0</v>
      </c>
      <c r="B14798" s="13" t="s">
        <v>13838</v>
      </c>
      <c r="C14798" s="14" t="s">
        <v>14034</v>
      </c>
      <c r="D14798" s="1"/>
      <c r="E14798" s="1"/>
      <c r="F14798" s="1" t="str">
        <f>IFERROR(__xludf.DUMMYFUNCTION("GOOGLETRANSLATE(B14798, ""en"", ""fa"")
"),"درآمد غیرفعال")</f>
        <v>درآمد غیرفعال</v>
      </c>
      <c r="G14798" s="1" t="str">
        <f>IFERROR(__xludf.DUMMYFUNCTION("GOOGLETRANSLATE(C14798, ""en"", ""fa"")
"),"درباره تأثیر مدل‌های مجوز منبع باز بر استراتژی‌های درآمدزایی مالکیت معنوی بحث کنید.")</f>
        <v>درباره تأثیر مدل‌های مجوز منبع باز بر استراتژی‌های درآمدزایی مالکیت معنوی بحث کنید.</v>
      </c>
      <c r="H14798" s="1"/>
      <c r="I14798" s="1"/>
      <c r="J14798" s="1"/>
      <c r="K14798" s="1"/>
      <c r="L14798" s="1"/>
      <c r="M14798" s="1"/>
      <c r="N14798" s="1"/>
      <c r="O14798" s="1"/>
      <c r="P14798" s="1"/>
      <c r="Q14798" s="1"/>
      <c r="R14798" s="1"/>
      <c r="S14798" s="1"/>
      <c r="T14798" s="1"/>
      <c r="U14798" s="1"/>
      <c r="V14798" s="1"/>
      <c r="W14798" s="1"/>
      <c r="X14798" s="1"/>
      <c r="Y14798" s="1"/>
      <c r="Z14798" s="1"/>
      <c r="AA14798" s="1"/>
      <c r="AB14798" s="1"/>
    </row>
    <row r="14799" ht="50.25" customHeight="1">
      <c r="A14799" s="12">
        <v>14795.0</v>
      </c>
      <c r="B14799" s="13" t="s">
        <v>13838</v>
      </c>
      <c r="C14799" s="14" t="s">
        <v>14035</v>
      </c>
      <c r="D14799" s="1"/>
      <c r="E14799" s="1"/>
      <c r="F14799" s="1" t="str">
        <f>IFERROR(__xludf.DUMMYFUNCTION("GOOGLETRANSLATE(B14799, ""en"", ""fa"")
"),"درآمد غیرفعال")</f>
        <v>درآمد غیرفعال</v>
      </c>
      <c r="G14799" s="1" t="str">
        <f>IFERROR(__xludf.DUMMYFUNCTION("GOOGLETRANSLATE(C14799, ""en"", ""fa"")
"),"پتانسیل ایجاد درآمد غیرفعال از طریق بازاریابی وابسته را با ترویج محصولات و خدمات مرتبط بررسی کنید.")</f>
        <v>پتانسیل ایجاد درآمد غیرفعال از طریق بازاریابی وابسته را با ترویج محصولات و خدمات مرتبط بررسی کنید.</v>
      </c>
      <c r="H14799" s="1"/>
      <c r="I14799" s="1"/>
      <c r="J14799" s="1"/>
      <c r="K14799" s="1"/>
      <c r="L14799" s="1"/>
      <c r="M14799" s="1"/>
      <c r="N14799" s="1"/>
      <c r="O14799" s="1"/>
      <c r="P14799" s="1"/>
      <c r="Q14799" s="1"/>
      <c r="R14799" s="1"/>
      <c r="S14799" s="1"/>
      <c r="T14799" s="1"/>
      <c r="U14799" s="1"/>
      <c r="V14799" s="1"/>
      <c r="W14799" s="1"/>
      <c r="X14799" s="1"/>
      <c r="Y14799" s="1"/>
      <c r="Z14799" s="1"/>
      <c r="AA14799" s="1"/>
      <c r="AB14799" s="1"/>
    </row>
    <row r="14800" ht="50.25" customHeight="1">
      <c r="A14800" s="12">
        <v>14796.0</v>
      </c>
      <c r="B14800" s="13" t="s">
        <v>13838</v>
      </c>
      <c r="C14800" s="14" t="s">
        <v>14036</v>
      </c>
      <c r="D14800" s="1"/>
      <c r="E14800" s="1"/>
      <c r="F14800" s="1" t="str">
        <f>IFERROR(__xludf.DUMMYFUNCTION("GOOGLETRANSLATE(B14800, ""en"", ""fa"")
"),"درآمد غیرفعال")</f>
        <v>درآمد غیرفعال</v>
      </c>
      <c r="G14800" s="1" t="str">
        <f>IFERROR(__xludf.DUMMYFUNCTION("GOOGLETRANSLATE(C14800, ""en"", ""fa"")
"),"سازندگان از چه استراتژی هایی می توانند برای به حداکثر رساندن دسترسی و دیده شدن مالکیت معنوی خود استفاده کنند؟")</f>
        <v>سازندگان از چه استراتژی هایی می توانند برای به حداکثر رساندن دسترسی و دیده شدن مالکیت معنوی خود استفاده کنند؟</v>
      </c>
      <c r="H14800" s="1"/>
      <c r="I14800" s="1"/>
      <c r="J14800" s="1"/>
      <c r="K14800" s="1"/>
      <c r="L14800" s="1"/>
      <c r="M14800" s="1"/>
      <c r="N14800" s="1"/>
      <c r="O14800" s="1"/>
      <c r="P14800" s="1"/>
      <c r="Q14800" s="1"/>
      <c r="R14800" s="1"/>
      <c r="S14800" s="1"/>
      <c r="T14800" s="1"/>
      <c r="U14800" s="1"/>
      <c r="V14800" s="1"/>
      <c r="W14800" s="1"/>
      <c r="X14800" s="1"/>
      <c r="Y14800" s="1"/>
      <c r="Z14800" s="1"/>
      <c r="AA14800" s="1"/>
      <c r="AB14800" s="1"/>
    </row>
    <row r="14801" ht="50.25" customHeight="1">
      <c r="A14801" s="12">
        <v>14797.0</v>
      </c>
      <c r="B14801" s="13" t="s">
        <v>13838</v>
      </c>
      <c r="C14801" s="14" t="s">
        <v>14037</v>
      </c>
      <c r="D14801" s="1"/>
      <c r="E14801" s="1"/>
      <c r="F14801" s="1" t="str">
        <f>IFERROR(__xludf.DUMMYFUNCTION("GOOGLETRANSLATE(B14801, ""en"", ""fa"")
"),"درآمد غیرفعال")</f>
        <v>درآمد غیرفعال</v>
      </c>
      <c r="G14801" s="1" t="str">
        <f>IFERROR(__xludf.DUMMYFUNCTION("GOOGLETRANSLATE(C14801, ""en"", ""fa"")
"),"درباره اهمیت ایجاد موافقت نامه های مجوز شفاف و جامع برای محافظت از منافع هر دو طرف بحث کنید.")</f>
        <v>درباره اهمیت ایجاد موافقت نامه های مجوز شفاف و جامع برای محافظت از منافع هر دو طرف بحث کنید.</v>
      </c>
      <c r="H14801" s="1"/>
      <c r="I14801" s="1"/>
      <c r="J14801" s="1"/>
      <c r="K14801" s="1"/>
      <c r="L14801" s="1"/>
      <c r="M14801" s="1"/>
      <c r="N14801" s="1"/>
      <c r="O14801" s="1"/>
      <c r="P14801" s="1"/>
      <c r="Q14801" s="1"/>
      <c r="R14801" s="1"/>
      <c r="S14801" s="1"/>
      <c r="T14801" s="1"/>
      <c r="U14801" s="1"/>
      <c r="V14801" s="1"/>
      <c r="W14801" s="1"/>
      <c r="X14801" s="1"/>
      <c r="Y14801" s="1"/>
      <c r="Z14801" s="1"/>
      <c r="AA14801" s="1"/>
      <c r="AB14801" s="1"/>
    </row>
    <row r="14802" ht="50.25" customHeight="1">
      <c r="A14802" s="12">
        <v>14798.0</v>
      </c>
      <c r="B14802" s="13" t="s">
        <v>13838</v>
      </c>
      <c r="C14802" s="14" t="s">
        <v>14038</v>
      </c>
      <c r="D14802" s="1"/>
      <c r="E14802" s="1"/>
      <c r="F14802" s="1" t="str">
        <f>IFERROR(__xludf.DUMMYFUNCTION("GOOGLETRANSLATE(B14802, ""en"", ""fa"")
"),"درآمد غیرفعال")</f>
        <v>درآمد غیرفعال</v>
      </c>
      <c r="G14802" s="1" t="str">
        <f>IFERROR(__xludf.DUMMYFUNCTION("GOOGLETRANSLATE(C14802, ""en"", ""fa"")
"),"تاثیر پیشرفت های تکنولوژیکی مانند بلاک چین بر مدیریت مالکیت معنوی و فروش را بررسی کنید.")</f>
        <v>تاثیر پیشرفت های تکنولوژیکی مانند بلاک چین بر مدیریت مالکیت معنوی و فروش را بررسی کنید.</v>
      </c>
      <c r="H14802" s="1"/>
      <c r="I14802" s="1"/>
      <c r="J14802" s="1"/>
      <c r="K14802" s="1"/>
      <c r="L14802" s="1"/>
      <c r="M14802" s="1"/>
      <c r="N14802" s="1"/>
      <c r="O14802" s="1"/>
      <c r="P14802" s="1"/>
      <c r="Q14802" s="1"/>
      <c r="R14802" s="1"/>
      <c r="S14802" s="1"/>
      <c r="T14802" s="1"/>
      <c r="U14802" s="1"/>
      <c r="V14802" s="1"/>
      <c r="W14802" s="1"/>
      <c r="X14802" s="1"/>
      <c r="Y14802" s="1"/>
      <c r="Z14802" s="1"/>
      <c r="AA14802" s="1"/>
      <c r="AB14802" s="1"/>
    </row>
    <row r="14803" ht="50.25" customHeight="1">
      <c r="A14803" s="12">
        <v>14799.0</v>
      </c>
      <c r="B14803" s="13" t="s">
        <v>13838</v>
      </c>
      <c r="C14803" s="14" t="s">
        <v>14039</v>
      </c>
      <c r="D14803" s="1"/>
      <c r="E14803" s="1"/>
      <c r="F14803" s="1" t="str">
        <f>IFERROR(__xludf.DUMMYFUNCTION("GOOGLETRANSLATE(B14803, ""en"", ""fa"")
"),"درآمد غیرفعال")</f>
        <v>درآمد غیرفعال</v>
      </c>
      <c r="G14803" s="1" t="str">
        <f>IFERROR(__xludf.DUMMYFUNCTION("GOOGLETRANSLATE(C14803, ""en"", ""fa"")
"),"عکاسان و هنرمندان تجسمی چگونه می‌توانند از طریق عکاسی سهام و صدور مجوز تصویر درآمد منفعلانه ایجاد کنند؟")</f>
        <v>عکاسان و هنرمندان تجسمی چگونه می‌توانند از طریق عکاسی سهام و صدور مجوز تصویر درآمد منفعلانه ایجاد کنند؟</v>
      </c>
      <c r="H14803" s="1"/>
      <c r="I14803" s="1"/>
      <c r="J14803" s="1"/>
      <c r="K14803" s="1"/>
      <c r="L14803" s="1"/>
      <c r="M14803" s="1"/>
      <c r="N14803" s="1"/>
      <c r="O14803" s="1"/>
      <c r="P14803" s="1"/>
      <c r="Q14803" s="1"/>
      <c r="R14803" s="1"/>
      <c r="S14803" s="1"/>
      <c r="T14803" s="1"/>
      <c r="U14803" s="1"/>
      <c r="V14803" s="1"/>
      <c r="W14803" s="1"/>
      <c r="X14803" s="1"/>
      <c r="Y14803" s="1"/>
      <c r="Z14803" s="1"/>
      <c r="AA14803" s="1"/>
      <c r="AB14803" s="1"/>
    </row>
    <row r="14804" ht="50.25" customHeight="1">
      <c r="A14804" s="12">
        <v>14800.0</v>
      </c>
      <c r="B14804" s="13" t="s">
        <v>13838</v>
      </c>
      <c r="C14804" s="14" t="s">
        <v>14040</v>
      </c>
      <c r="D14804" s="1"/>
      <c r="E14804" s="1"/>
      <c r="F14804" s="1" t="str">
        <f>IFERROR(__xludf.DUMMYFUNCTION("GOOGLETRANSLATE(B14804, ""en"", ""fa"")
"),"درآمد غیرفعال")</f>
        <v>درآمد غیرفعال</v>
      </c>
      <c r="G14804" s="1" t="str">
        <f>IFERROR(__xludf.DUMMYFUNCTION("GOOGLETRANSLATE(C14804, ""en"", ""fa"")
"),"در مورد مفهوم ایجاد و فروش کالاهای چاپ بر اساس تقاضا با طرح‌ها و آثار هنری اصلی بحث کنید.")</f>
        <v>در مورد مفهوم ایجاد و فروش کالاهای چاپ بر اساس تقاضا با طرح‌ها و آثار هنری اصلی بحث کنید.</v>
      </c>
      <c r="H14804" s="1"/>
      <c r="I14804" s="1"/>
      <c r="J14804" s="1"/>
      <c r="K14804" s="1"/>
      <c r="L14804" s="1"/>
      <c r="M14804" s="1"/>
      <c r="N14804" s="1"/>
      <c r="O14804" s="1"/>
      <c r="P14804" s="1"/>
      <c r="Q14804" s="1"/>
      <c r="R14804" s="1"/>
      <c r="S14804" s="1"/>
      <c r="T14804" s="1"/>
      <c r="U14804" s="1"/>
      <c r="V14804" s="1"/>
      <c r="W14804" s="1"/>
      <c r="X14804" s="1"/>
      <c r="Y14804" s="1"/>
      <c r="Z14804" s="1"/>
      <c r="AA14804" s="1"/>
      <c r="AB14804" s="1"/>
    </row>
    <row r="14805" ht="50.25" customHeight="1">
      <c r="A14805" s="12">
        <v>14801.0</v>
      </c>
      <c r="B14805" s="13" t="s">
        <v>13838</v>
      </c>
      <c r="C14805" s="14" t="s">
        <v>14041</v>
      </c>
      <c r="D14805" s="1"/>
      <c r="E14805" s="1"/>
      <c r="F14805" s="1" t="str">
        <f>IFERROR(__xludf.DUMMYFUNCTION("GOOGLETRANSLATE(B14805, ""en"", ""fa"")
"),"درآمد غیرفعال")</f>
        <v>درآمد غیرفعال</v>
      </c>
      <c r="G14805" s="1" t="str">
        <f>IFERROR(__xludf.DUMMYFUNCTION("GOOGLETRANSLATE(C14805, ""en"", ""fa"")
"),"بهینه سازی موتورهای جستجو (SEO) و قابلیت کشف آنلاین چه نقشی در کسب درآمد از مالکیت معنوی دارد؟")</f>
        <v>بهینه سازی موتورهای جستجو (SEO) و قابلیت کشف آنلاین چه نقشی در کسب درآمد از مالکیت معنوی دارد؟</v>
      </c>
      <c r="H14805" s="1"/>
      <c r="I14805" s="1"/>
      <c r="J14805" s="1"/>
      <c r="K14805" s="1"/>
      <c r="L14805" s="1"/>
      <c r="M14805" s="1"/>
      <c r="N14805" s="1"/>
      <c r="O14805" s="1"/>
      <c r="P14805" s="1"/>
      <c r="Q14805" s="1"/>
      <c r="R14805" s="1"/>
      <c r="S14805" s="1"/>
      <c r="T14805" s="1"/>
      <c r="U14805" s="1"/>
      <c r="V14805" s="1"/>
      <c r="W14805" s="1"/>
      <c r="X14805" s="1"/>
      <c r="Y14805" s="1"/>
      <c r="Z14805" s="1"/>
      <c r="AA14805" s="1"/>
      <c r="AB14805" s="1"/>
    </row>
    <row r="14806" ht="50.25" customHeight="1">
      <c r="A14806" s="12">
        <v>14802.0</v>
      </c>
      <c r="B14806" s="13" t="s">
        <v>13838</v>
      </c>
      <c r="C14806" s="14" t="s">
        <v>14042</v>
      </c>
      <c r="D14806" s="1"/>
      <c r="E14806" s="1"/>
      <c r="F14806" s="1" t="str">
        <f>IFERROR(__xludf.DUMMYFUNCTION("GOOGLETRANSLATE(B14806, ""en"", ""fa"")
"),"درآمد غیرفعال")</f>
        <v>درآمد غیرفعال</v>
      </c>
      <c r="G14806" s="1" t="str">
        <f>IFERROR(__xludf.DUMMYFUNCTION("GOOGLETRANSLATE(C14806, ""en"", ""fa"")
"),"پتانسیل ارائه دسترسی مبتنی بر اشتراک به محتوای برتر دارایی معنوی را بررسی کنید.")</f>
        <v>پتانسیل ارائه دسترسی مبتنی بر اشتراک به محتوای برتر دارایی معنوی را بررسی کنید.</v>
      </c>
      <c r="H14806" s="1"/>
      <c r="I14806" s="1"/>
      <c r="J14806" s="1"/>
      <c r="K14806" s="1"/>
      <c r="L14806" s="1"/>
      <c r="M14806" s="1"/>
      <c r="N14806" s="1"/>
      <c r="O14806" s="1"/>
      <c r="P14806" s="1"/>
      <c r="Q14806" s="1"/>
      <c r="R14806" s="1"/>
      <c r="S14806" s="1"/>
      <c r="T14806" s="1"/>
      <c r="U14806" s="1"/>
      <c r="V14806" s="1"/>
      <c r="W14806" s="1"/>
      <c r="X14806" s="1"/>
      <c r="Y14806" s="1"/>
      <c r="Z14806" s="1"/>
      <c r="AA14806" s="1"/>
      <c r="AB14806" s="1"/>
    </row>
    <row r="14807" ht="50.25" customHeight="1">
      <c r="A14807" s="12">
        <v>14803.0</v>
      </c>
      <c r="B14807" s="13" t="s">
        <v>13838</v>
      </c>
      <c r="C14807" s="14" t="s">
        <v>14043</v>
      </c>
      <c r="D14807" s="1"/>
      <c r="E14807" s="1"/>
      <c r="F14807" s="1" t="str">
        <f>IFERROR(__xludf.DUMMYFUNCTION("GOOGLETRANSLATE(B14807, ""en"", ""fa"")
"),"درآمد غیرفعال")</f>
        <v>درآمد غیرفعال</v>
      </c>
      <c r="G14807" s="1" t="str">
        <f>IFERROR(__xludf.DUMMYFUNCTION("GOOGLETRANSLATE(C14807, ""en"", ""fa"")
"),"سازندگان چگونه می توانند چالش های دزدی دریایی و استفاده غیرمجاز از مالکیت معنوی خود را حل کنند؟")</f>
        <v>سازندگان چگونه می توانند چالش های دزدی دریایی و استفاده غیرمجاز از مالکیت معنوی خود را حل کنند؟</v>
      </c>
      <c r="H14807" s="1"/>
      <c r="I14807" s="1"/>
      <c r="J14807" s="1"/>
      <c r="K14807" s="1"/>
      <c r="L14807" s="1"/>
      <c r="M14807" s="1"/>
      <c r="N14807" s="1"/>
      <c r="O14807" s="1"/>
      <c r="P14807" s="1"/>
      <c r="Q14807" s="1"/>
      <c r="R14807" s="1"/>
      <c r="S14807" s="1"/>
      <c r="T14807" s="1"/>
      <c r="U14807" s="1"/>
      <c r="V14807" s="1"/>
      <c r="W14807" s="1"/>
      <c r="X14807" s="1"/>
      <c r="Y14807" s="1"/>
      <c r="Z14807" s="1"/>
      <c r="AA14807" s="1"/>
      <c r="AB14807" s="1"/>
    </row>
    <row r="14808" ht="50.25" customHeight="1">
      <c r="A14808" s="12">
        <v>14804.0</v>
      </c>
      <c r="B14808" s="13" t="s">
        <v>13838</v>
      </c>
      <c r="C14808" s="14" t="s">
        <v>14044</v>
      </c>
      <c r="D14808" s="1"/>
      <c r="E14808" s="1"/>
      <c r="F14808" s="1" t="str">
        <f>IFERROR(__xludf.DUMMYFUNCTION("GOOGLETRANSLATE(B14808, ""en"", ""fa"")
"),"درآمد غیرفعال")</f>
        <v>درآمد غیرفعال</v>
      </c>
      <c r="G14808" s="1" t="str">
        <f>IFERROR(__xludf.DUMMYFUNCTION("GOOGLETRANSLATE(C14808, ""en"", ""fa"")
"),"در مورد تأثیر ایجاد یک برند شخصی و ایجاد قدرت در یک جایگاه خاص برای کسب درآمد از مالکیت معنوی بحث کنید.")</f>
        <v>در مورد تأثیر ایجاد یک برند شخصی و ایجاد قدرت در یک جایگاه خاص برای کسب درآمد از مالکیت معنوی بحث کنید.</v>
      </c>
      <c r="H14808" s="1"/>
      <c r="I14808" s="1"/>
      <c r="J14808" s="1"/>
      <c r="K14808" s="1"/>
      <c r="L14808" s="1"/>
      <c r="M14808" s="1"/>
      <c r="N14808" s="1"/>
      <c r="O14808" s="1"/>
      <c r="P14808" s="1"/>
      <c r="Q14808" s="1"/>
      <c r="R14808" s="1"/>
      <c r="S14808" s="1"/>
      <c r="T14808" s="1"/>
      <c r="U14808" s="1"/>
      <c r="V14808" s="1"/>
      <c r="W14808" s="1"/>
      <c r="X14808" s="1"/>
      <c r="Y14808" s="1"/>
      <c r="Z14808" s="1"/>
      <c r="AA14808" s="1"/>
      <c r="AB14808" s="1"/>
    </row>
    <row r="14809" ht="50.25" customHeight="1">
      <c r="A14809" s="12">
        <v>14805.0</v>
      </c>
      <c r="B14809" s="13" t="s">
        <v>13838</v>
      </c>
      <c r="C14809" s="14" t="s">
        <v>14045</v>
      </c>
      <c r="D14809" s="1"/>
      <c r="E14809" s="1"/>
      <c r="F14809" s="1" t="str">
        <f>IFERROR(__xludf.DUMMYFUNCTION("GOOGLETRANSLATE(B14809, ""en"", ""fa"")
"),"درآمد غیرفعال")</f>
        <v>درآمد غیرفعال</v>
      </c>
      <c r="G14809" s="1" t="str">
        <f>IFERROR(__xludf.DUMMYFUNCTION("GOOGLETRANSLATE(C14809, ""en"", ""fa"")
"),"پتانسیل ایجاد درآمد غیرفعال از طریق فروش کتاب های الکترونیکی و نشریات دیجیتال را بررسی کنید.")</f>
        <v>پتانسیل ایجاد درآمد غیرفعال از طریق فروش کتاب های الکترونیکی و نشریات دیجیتال را بررسی کنید.</v>
      </c>
      <c r="H14809" s="1"/>
      <c r="I14809" s="1"/>
      <c r="J14809" s="1"/>
      <c r="K14809" s="1"/>
      <c r="L14809" s="1"/>
      <c r="M14809" s="1"/>
      <c r="N14809" s="1"/>
      <c r="O14809" s="1"/>
      <c r="P14809" s="1"/>
      <c r="Q14809" s="1"/>
      <c r="R14809" s="1"/>
      <c r="S14809" s="1"/>
      <c r="T14809" s="1"/>
      <c r="U14809" s="1"/>
      <c r="V14809" s="1"/>
      <c r="W14809" s="1"/>
      <c r="X14809" s="1"/>
      <c r="Y14809" s="1"/>
      <c r="Z14809" s="1"/>
      <c r="AA14809" s="1"/>
      <c r="AB14809" s="1"/>
    </row>
    <row r="14810" ht="50.25" customHeight="1">
      <c r="A14810" s="12">
        <v>14806.0</v>
      </c>
      <c r="B14810" s="13" t="s">
        <v>13838</v>
      </c>
      <c r="C14810" s="14" t="s">
        <v>14046</v>
      </c>
      <c r="D14810" s="1"/>
      <c r="E14810" s="1"/>
      <c r="F14810" s="1" t="str">
        <f>IFERROR(__xludf.DUMMYFUNCTION("GOOGLETRANSLATE(B14810, ""en"", ""fa"")
"),"درآمد غیرفعال")</f>
        <v>درآمد غیرفعال</v>
      </c>
      <c r="G14810" s="1" t="str">
        <f>IFERROR(__xludf.DUMMYFUNCTION("GOOGLETRANSLATE(C14810, ""en"", ""fa"")
"),"سازندگان از چه استراتژی هایی می توانند برای استفاده از بازاریابی وابسته برای ترویج محصولات و خدمات مرتبط با مالکیت معنوی خود استفاده کنند؟")</f>
        <v>سازندگان از چه استراتژی هایی می توانند برای استفاده از بازاریابی وابسته برای ترویج محصولات و خدمات مرتبط با مالکیت معنوی خود استفاده کنند؟</v>
      </c>
      <c r="H14810" s="1"/>
      <c r="I14810" s="1"/>
      <c r="J14810" s="1"/>
      <c r="K14810" s="1"/>
      <c r="L14810" s="1"/>
      <c r="M14810" s="1"/>
      <c r="N14810" s="1"/>
      <c r="O14810" s="1"/>
      <c r="P14810" s="1"/>
      <c r="Q14810" s="1"/>
      <c r="R14810" s="1"/>
      <c r="S14810" s="1"/>
      <c r="T14810" s="1"/>
      <c r="U14810" s="1"/>
      <c r="V14810" s="1"/>
      <c r="W14810" s="1"/>
      <c r="X14810" s="1"/>
      <c r="Y14810" s="1"/>
      <c r="Z14810" s="1"/>
      <c r="AA14810" s="1"/>
      <c r="AB14810" s="1"/>
    </row>
    <row r="14811" ht="50.25" customHeight="1">
      <c r="A14811" s="12">
        <v>14807.0</v>
      </c>
      <c r="B14811" s="13" t="s">
        <v>13838</v>
      </c>
      <c r="C14811" s="14" t="s">
        <v>14047</v>
      </c>
      <c r="D14811" s="1"/>
      <c r="E14811" s="1"/>
      <c r="F14811" s="1" t="str">
        <f>IFERROR(__xludf.DUMMYFUNCTION("GOOGLETRANSLATE(B14811, ""en"", ""fa"")
"),"درآمد غیرفعال")</f>
        <v>درآمد غیرفعال</v>
      </c>
      <c r="G14811" s="1" t="str">
        <f>IFERROR(__xludf.DUMMYFUNCTION("GOOGLETRANSLATE(C14811, ""en"", ""fa"")
"),"در مورد اهمیت نگهداری سوابق و اسناد دقیق برای معاملات مالکیت معنوی بحث کنید.")</f>
        <v>در مورد اهمیت نگهداری سوابق و اسناد دقیق برای معاملات مالکیت معنوی بحث کنید.</v>
      </c>
      <c r="H14811" s="1"/>
      <c r="I14811" s="1"/>
      <c r="J14811" s="1"/>
      <c r="K14811" s="1"/>
      <c r="L14811" s="1"/>
      <c r="M14811" s="1"/>
      <c r="N14811" s="1"/>
      <c r="O14811" s="1"/>
      <c r="P14811" s="1"/>
      <c r="Q14811" s="1"/>
      <c r="R14811" s="1"/>
      <c r="S14811" s="1"/>
      <c r="T14811" s="1"/>
      <c r="U14811" s="1"/>
      <c r="V14811" s="1"/>
      <c r="W14811" s="1"/>
      <c r="X14811" s="1"/>
      <c r="Y14811" s="1"/>
      <c r="Z14811" s="1"/>
      <c r="AA14811" s="1"/>
      <c r="AB14811" s="1"/>
    </row>
    <row r="14812" ht="50.25" customHeight="1">
      <c r="A14812" s="12">
        <v>14808.0</v>
      </c>
      <c r="B14812" s="13" t="s">
        <v>13838</v>
      </c>
      <c r="C14812" s="14" t="s">
        <v>14048</v>
      </c>
      <c r="D14812" s="1"/>
      <c r="E14812" s="1"/>
      <c r="F14812" s="1" t="str">
        <f>IFERROR(__xludf.DUMMYFUNCTION("GOOGLETRANSLATE(B14812, ""en"", ""fa"")
"),"درآمد غیرفعال")</f>
        <v>درآمد غیرفعال</v>
      </c>
      <c r="G14812" s="1" t="str">
        <f>IFERROR(__xludf.DUMMYFUNCTION("GOOGLETRANSLATE(C14812, ""en"", ""fa"")
"),"تأثیر شبکه‌سازی و ایجاد مشارکت با دیگر سازندگان و برندها در کسب درآمد از مالکیت معنوی را بررسی کنید.")</f>
        <v>تأثیر شبکه‌سازی و ایجاد مشارکت با دیگر سازندگان و برندها در کسب درآمد از مالکیت معنوی را بررسی کنید.</v>
      </c>
      <c r="H14812" s="1"/>
      <c r="I14812" s="1"/>
      <c r="J14812" s="1"/>
      <c r="K14812" s="1"/>
      <c r="L14812" s="1"/>
      <c r="M14812" s="1"/>
      <c r="N14812" s="1"/>
      <c r="O14812" s="1"/>
      <c r="P14812" s="1"/>
      <c r="Q14812" s="1"/>
      <c r="R14812" s="1"/>
      <c r="S14812" s="1"/>
      <c r="T14812" s="1"/>
      <c r="U14812" s="1"/>
      <c r="V14812" s="1"/>
      <c r="W14812" s="1"/>
      <c r="X14812" s="1"/>
      <c r="Y14812" s="1"/>
      <c r="Z14812" s="1"/>
      <c r="AA14812" s="1"/>
      <c r="AB14812" s="1"/>
    </row>
    <row r="14813" ht="50.25" customHeight="1">
      <c r="A14813" s="12">
        <v>14809.0</v>
      </c>
      <c r="B14813" s="13" t="s">
        <v>13838</v>
      </c>
      <c r="C14813" s="14" t="s">
        <v>14049</v>
      </c>
      <c r="D14813" s="1"/>
      <c r="E14813" s="1"/>
      <c r="F14813" s="1" t="str">
        <f>IFERROR(__xludf.DUMMYFUNCTION("GOOGLETRANSLATE(B14813, ""en"", ""fa"")
"),"درآمد غیرفعال")</f>
        <v>درآمد غیرفعال</v>
      </c>
      <c r="G14813" s="1" t="str">
        <f>IFERROR(__xludf.DUMMYFUNCTION("GOOGLETRANSLATE(C14813, ""en"", ""fa"")
"),"چگونه طراحان و خلاقان می توانند با دادن مجوز به طرح های خود برای استفاده در محصولات مصرفی درآمد غیرفعال ایجاد کنند؟")</f>
        <v>چگونه طراحان و خلاقان می توانند با دادن مجوز به طرح های خود برای استفاده در محصولات مصرفی درآمد غیرفعال ایجاد کنند؟</v>
      </c>
      <c r="H14813" s="1"/>
      <c r="I14813" s="1"/>
      <c r="J14813" s="1"/>
      <c r="K14813" s="1"/>
      <c r="L14813" s="1"/>
      <c r="M14813" s="1"/>
      <c r="N14813" s="1"/>
      <c r="O14813" s="1"/>
      <c r="P14813" s="1"/>
      <c r="Q14813" s="1"/>
      <c r="R14813" s="1"/>
      <c r="S14813" s="1"/>
      <c r="T14813" s="1"/>
      <c r="U14813" s="1"/>
      <c r="V14813" s="1"/>
      <c r="W14813" s="1"/>
      <c r="X14813" s="1"/>
      <c r="Y14813" s="1"/>
      <c r="Z14813" s="1"/>
      <c r="AA14813" s="1"/>
      <c r="AB14813" s="1"/>
    </row>
    <row r="14814" ht="50.25" customHeight="1">
      <c r="A14814" s="12">
        <v>14810.0</v>
      </c>
      <c r="B14814" s="13" t="s">
        <v>13838</v>
      </c>
      <c r="C14814" s="14" t="s">
        <v>14050</v>
      </c>
      <c r="D14814" s="1"/>
      <c r="E14814" s="1"/>
      <c r="F14814" s="1" t="str">
        <f>IFERROR(__xludf.DUMMYFUNCTION("GOOGLETRANSLATE(B14814, ""en"", ""fa"")
"),"درآمد غیرفعال")</f>
        <v>درآمد غیرفعال</v>
      </c>
      <c r="G14814" s="1" t="str">
        <f>IFERROR(__xludf.DUMMYFUNCTION("GOOGLETRANSLATE(C14814, ""en"", ""fa"")
"),"در مورد مفهوم ایجاد درآمد غیرفعال از طریق صدور مجوز موسیقی برای استفاده در فیلم ها، آگهی های بازرگانی و پروژه های چند رسانه ای بحث کنید.")</f>
        <v>در مورد مفهوم ایجاد درآمد غیرفعال از طریق صدور مجوز موسیقی برای استفاده در فیلم ها، آگهی های بازرگانی و پروژه های چند رسانه ای بحث کنید.</v>
      </c>
      <c r="H14814" s="1"/>
      <c r="I14814" s="1"/>
      <c r="J14814" s="1"/>
      <c r="K14814" s="1"/>
      <c r="L14814" s="1"/>
      <c r="M14814" s="1"/>
      <c r="N14814" s="1"/>
      <c r="O14814" s="1"/>
      <c r="P14814" s="1"/>
      <c r="Q14814" s="1"/>
      <c r="R14814" s="1"/>
      <c r="S14814" s="1"/>
      <c r="T14814" s="1"/>
      <c r="U14814" s="1"/>
      <c r="V14814" s="1"/>
      <c r="W14814" s="1"/>
      <c r="X14814" s="1"/>
      <c r="Y14814" s="1"/>
      <c r="Z14814" s="1"/>
      <c r="AA14814" s="1"/>
      <c r="AB14814" s="1"/>
    </row>
    <row r="14815" ht="50.25" customHeight="1">
      <c r="A14815" s="12">
        <v>14811.0</v>
      </c>
      <c r="B14815" s="13" t="s">
        <v>13838</v>
      </c>
      <c r="C14815" s="14" t="s">
        <v>14051</v>
      </c>
      <c r="D14815" s="1"/>
      <c r="E14815" s="1"/>
      <c r="F14815" s="1" t="str">
        <f>IFERROR(__xludf.DUMMYFUNCTION("GOOGLETRANSLATE(B14815, ""en"", ""fa"")
"),"درآمد غیرفعال")</f>
        <v>درآمد غیرفعال</v>
      </c>
      <c r="G14815" s="1" t="str">
        <f>IFERROR(__xludf.DUMMYFUNCTION("GOOGLETRANSLATE(C14815, ""en"", ""fa"")
"),"مدیریت و تجمیع محتوا چه نقشی در استراتژی‌های کسب درآمد از مالکیت معنوی دارد؟")</f>
        <v>مدیریت و تجمیع محتوا چه نقشی در استراتژی‌های کسب درآمد از مالکیت معنوی دارد؟</v>
      </c>
      <c r="H14815" s="1"/>
      <c r="I14815" s="1"/>
      <c r="J14815" s="1"/>
      <c r="K14815" s="1"/>
      <c r="L14815" s="1"/>
      <c r="M14815" s="1"/>
      <c r="N14815" s="1"/>
      <c r="O14815" s="1"/>
      <c r="P14815" s="1"/>
      <c r="Q14815" s="1"/>
      <c r="R14815" s="1"/>
      <c r="S14815" s="1"/>
      <c r="T14815" s="1"/>
      <c r="U14815" s="1"/>
      <c r="V14815" s="1"/>
      <c r="W14815" s="1"/>
      <c r="X14815" s="1"/>
      <c r="Y14815" s="1"/>
      <c r="Z14815" s="1"/>
      <c r="AA14815" s="1"/>
      <c r="AB14815" s="1"/>
    </row>
    <row r="14816" ht="50.25" customHeight="1">
      <c r="A14816" s="12">
        <v>14812.0</v>
      </c>
      <c r="B14816" s="13" t="s">
        <v>13838</v>
      </c>
      <c r="C14816" s="14" t="s">
        <v>14052</v>
      </c>
      <c r="D14816" s="1"/>
      <c r="E14816" s="1"/>
      <c r="F14816" s="1" t="str">
        <f>IFERROR(__xludf.DUMMYFUNCTION("GOOGLETRANSLATE(B14816, ""en"", ""fa"")
"),"درآمد غیرفعال")</f>
        <v>درآمد غیرفعال</v>
      </c>
      <c r="G14816" s="1" t="str">
        <f>IFERROR(__xludf.DUMMYFUNCTION("GOOGLETRANSLATE(C14816, ""en"", ""fa"")
"),"پتانسیل ایجاد و فروش قالب ها و منابع از پیش ساخته شده برای پروژه های خلاقانه مختلف را بررسی کنید.")</f>
        <v>پتانسیل ایجاد و فروش قالب ها و منابع از پیش ساخته شده برای پروژه های خلاقانه مختلف را بررسی کنید.</v>
      </c>
      <c r="H14816" s="1"/>
      <c r="I14816" s="1"/>
      <c r="J14816" s="1"/>
      <c r="K14816" s="1"/>
      <c r="L14816" s="1"/>
      <c r="M14816" s="1"/>
      <c r="N14816" s="1"/>
      <c r="O14816" s="1"/>
      <c r="P14816" s="1"/>
      <c r="Q14816" s="1"/>
      <c r="R14816" s="1"/>
      <c r="S14816" s="1"/>
      <c r="T14816" s="1"/>
      <c r="U14816" s="1"/>
      <c r="V14816" s="1"/>
      <c r="W14816" s="1"/>
      <c r="X14816" s="1"/>
      <c r="Y14816" s="1"/>
      <c r="Z14816" s="1"/>
      <c r="AA14816" s="1"/>
      <c r="AB14816" s="1"/>
    </row>
    <row r="14817" ht="50.25" customHeight="1">
      <c r="A14817" s="12">
        <v>14813.0</v>
      </c>
      <c r="B14817" s="13" t="s">
        <v>13838</v>
      </c>
      <c r="C14817" s="14" t="s">
        <v>14053</v>
      </c>
      <c r="D14817" s="1"/>
      <c r="E14817" s="1"/>
      <c r="F14817" s="1" t="str">
        <f>IFERROR(__xludf.DUMMYFUNCTION("GOOGLETRANSLATE(B14817, ""en"", ""fa"")
"),"درآمد غیرفعال")</f>
        <v>درآمد غیرفعال</v>
      </c>
      <c r="G14817" s="1" t="str">
        <f>IFERROR(__xludf.DUMMYFUNCTION("GOOGLETRANSLATE(C14817, ""en"", ""fa"")
"),"سازندگان چگونه می توانند به طور موثر از تجزیه و تحلیل داده ها و بینش های بازار برای بهینه سازی استراتژی های درآمدزایی مالکیت معنوی خود استفاده کنند؟")</f>
        <v>سازندگان چگونه می توانند به طور موثر از تجزیه و تحلیل داده ها و بینش های بازار برای بهینه سازی استراتژی های درآمدزایی مالکیت معنوی خود استفاده کنند؟</v>
      </c>
      <c r="H14817" s="1"/>
      <c r="I14817" s="1"/>
      <c r="J14817" s="1"/>
      <c r="K14817" s="1"/>
      <c r="L14817" s="1"/>
      <c r="M14817" s="1"/>
      <c r="N14817" s="1"/>
      <c r="O14817" s="1"/>
      <c r="P14817" s="1"/>
      <c r="Q14817" s="1"/>
      <c r="R14817" s="1"/>
      <c r="S14817" s="1"/>
      <c r="T14817" s="1"/>
      <c r="U14817" s="1"/>
      <c r="V14817" s="1"/>
      <c r="W14817" s="1"/>
      <c r="X14817" s="1"/>
      <c r="Y14817" s="1"/>
      <c r="Z14817" s="1"/>
      <c r="AA14817" s="1"/>
      <c r="AB14817" s="1"/>
    </row>
    <row r="14818" ht="50.25" customHeight="1">
      <c r="A14818" s="12">
        <v>14814.0</v>
      </c>
      <c r="B14818" s="13" t="s">
        <v>13838</v>
      </c>
      <c r="C14818" s="14" t="s">
        <v>14054</v>
      </c>
      <c r="D14818" s="1"/>
      <c r="E14818" s="1"/>
      <c r="F14818" s="1" t="str">
        <f>IFERROR(__xludf.DUMMYFUNCTION("GOOGLETRANSLATE(B14818, ""en"", ""fa"")
"),"درآمد غیرفعال")</f>
        <v>درآمد غیرفعال</v>
      </c>
      <c r="G14818" s="1" t="str">
        <f>IFERROR(__xludf.DUMMYFUNCTION("GOOGLETRANSLATE(C14818, ""en"", ""fa"")
"),"در مورد تأثیر کارهای مالکیت عمومی و مجوزهای مشترک خلاقانه بر در دسترس بودن مالکیت معنوی بحث کنید.")</f>
        <v>در مورد تأثیر کارهای مالکیت عمومی و مجوزهای مشترک خلاقانه بر در دسترس بودن مالکیت معنوی بحث کنید.</v>
      </c>
      <c r="H14818" s="1"/>
      <c r="I14818" s="1"/>
      <c r="J14818" s="1"/>
      <c r="K14818" s="1"/>
      <c r="L14818" s="1"/>
      <c r="M14818" s="1"/>
      <c r="N14818" s="1"/>
      <c r="O14818" s="1"/>
      <c r="P14818" s="1"/>
      <c r="Q14818" s="1"/>
      <c r="R14818" s="1"/>
      <c r="S14818" s="1"/>
      <c r="T14818" s="1"/>
      <c r="U14818" s="1"/>
      <c r="V14818" s="1"/>
      <c r="W14818" s="1"/>
      <c r="X14818" s="1"/>
      <c r="Y14818" s="1"/>
      <c r="Z14818" s="1"/>
      <c r="AA14818" s="1"/>
      <c r="AB14818" s="1"/>
    </row>
    <row r="14819" ht="50.25" customHeight="1">
      <c r="A14819" s="12">
        <v>14815.0</v>
      </c>
      <c r="B14819" s="13" t="s">
        <v>13838</v>
      </c>
      <c r="C14819" s="14" t="s">
        <v>14055</v>
      </c>
      <c r="D14819" s="1"/>
      <c r="E14819" s="1"/>
      <c r="F14819" s="1" t="str">
        <f>IFERROR(__xludf.DUMMYFUNCTION("GOOGLETRANSLATE(B14819, ""en"", ""fa"")
"),"درآمد غیرفعال")</f>
        <v>درآمد غیرفعال</v>
      </c>
      <c r="G14819" s="1" t="str">
        <f>IFERROR(__xludf.DUMMYFUNCTION("GOOGLETRANSLATE(C14819, ""en"", ""fa"")
"),"پتانسیل ارائه برنامه های عضویت و دسترسی انحصاری به محتوای برتر دارایی معنوی را کاوش کنید.")</f>
        <v>پتانسیل ارائه برنامه های عضویت و دسترسی انحصاری به محتوای برتر دارایی معنوی را کاوش کنید.</v>
      </c>
      <c r="H14819" s="1"/>
      <c r="I14819" s="1"/>
      <c r="J14819" s="1"/>
      <c r="K14819" s="1"/>
      <c r="L14819" s="1"/>
      <c r="M14819" s="1"/>
      <c r="N14819" s="1"/>
      <c r="O14819" s="1"/>
      <c r="P14819" s="1"/>
      <c r="Q14819" s="1"/>
      <c r="R14819" s="1"/>
      <c r="S14819" s="1"/>
      <c r="T14819" s="1"/>
      <c r="U14819" s="1"/>
      <c r="V14819" s="1"/>
      <c r="W14819" s="1"/>
      <c r="X14819" s="1"/>
      <c r="Y14819" s="1"/>
      <c r="Z14819" s="1"/>
      <c r="AA14819" s="1"/>
      <c r="AB14819" s="1"/>
    </row>
    <row r="14820" ht="50.25" customHeight="1">
      <c r="A14820" s="12">
        <v>14816.0</v>
      </c>
      <c r="B14820" s="13" t="s">
        <v>13838</v>
      </c>
      <c r="C14820" s="14" t="s">
        <v>14056</v>
      </c>
      <c r="D14820" s="1"/>
      <c r="E14820" s="1"/>
      <c r="F14820" s="1" t="str">
        <f>IFERROR(__xludf.DUMMYFUNCTION("GOOGLETRANSLATE(B14820, ""en"", ""fa"")
"),"درآمد غیرفعال")</f>
        <v>درآمد غیرفعال</v>
      </c>
      <c r="G14820" s="1" t="str">
        <f>IFERROR(__xludf.DUMMYFUNCTION("GOOGLETRANSLATE(C14820, ""en"", ""fa"")
"),"سازندگان از چه استراتژی هایی می توانند برای محافظت از مالکیت معنوی خود در برابر نقض و استفاده غیرمجاز استفاده کنند؟")</f>
        <v>سازندگان از چه استراتژی هایی می توانند برای محافظت از مالکیت معنوی خود در برابر نقض و استفاده غیرمجاز استفاده کنند؟</v>
      </c>
      <c r="H14820" s="1"/>
      <c r="I14820" s="1"/>
      <c r="J14820" s="1"/>
      <c r="K14820" s="1"/>
      <c r="L14820" s="1"/>
      <c r="M14820" s="1"/>
      <c r="N14820" s="1"/>
      <c r="O14820" s="1"/>
      <c r="P14820" s="1"/>
      <c r="Q14820" s="1"/>
      <c r="R14820" s="1"/>
      <c r="S14820" s="1"/>
      <c r="T14820" s="1"/>
      <c r="U14820" s="1"/>
      <c r="V14820" s="1"/>
      <c r="W14820" s="1"/>
      <c r="X14820" s="1"/>
      <c r="Y14820" s="1"/>
      <c r="Z14820" s="1"/>
      <c r="AA14820" s="1"/>
      <c r="AB14820" s="1"/>
    </row>
    <row r="14821" ht="50.25" customHeight="1">
      <c r="A14821" s="12">
        <v>14817.0</v>
      </c>
      <c r="B14821" s="13" t="s">
        <v>13838</v>
      </c>
      <c r="C14821" s="14" t="s">
        <v>14057</v>
      </c>
      <c r="D14821" s="1"/>
      <c r="E14821" s="1"/>
      <c r="F14821" s="1" t="str">
        <f>IFERROR(__xludf.DUMMYFUNCTION("GOOGLETRANSLATE(B14821, ""en"", ""fa"")
"),"درآمد غیرفعال")</f>
        <v>درآمد غیرفعال</v>
      </c>
      <c r="G14821" s="1" t="str">
        <f>IFERROR(__xludf.DUMMYFUNCTION("GOOGLETRANSLATE(C14821, ""en"", ""fa"")
"),"درباره اهمیت به روز ماندن روندهای صنعت و فناوری های نوظهور در کسب درآمد از مالکیت معنوی بحث کنید.")</f>
        <v>درباره اهمیت به روز ماندن روندهای صنعت و فناوری های نوظهور در کسب درآمد از مالکیت معنوی بحث کنید.</v>
      </c>
      <c r="H14821" s="1"/>
      <c r="I14821" s="1"/>
      <c r="J14821" s="1"/>
      <c r="K14821" s="1"/>
      <c r="L14821" s="1"/>
      <c r="M14821" s="1"/>
      <c r="N14821" s="1"/>
      <c r="O14821" s="1"/>
      <c r="P14821" s="1"/>
      <c r="Q14821" s="1"/>
      <c r="R14821" s="1"/>
      <c r="S14821" s="1"/>
      <c r="T14821" s="1"/>
      <c r="U14821" s="1"/>
      <c r="V14821" s="1"/>
      <c r="W14821" s="1"/>
      <c r="X14821" s="1"/>
      <c r="Y14821" s="1"/>
      <c r="Z14821" s="1"/>
      <c r="AA14821" s="1"/>
      <c r="AB14821" s="1"/>
    </row>
    <row r="14822" ht="50.25" customHeight="1">
      <c r="A14822" s="12">
        <v>14818.0</v>
      </c>
      <c r="B14822" s="13" t="s">
        <v>13838</v>
      </c>
      <c r="C14822" s="14" t="s">
        <v>14058</v>
      </c>
      <c r="D14822" s="1"/>
      <c r="E14822" s="1"/>
      <c r="F14822" s="1" t="str">
        <f>IFERROR(__xludf.DUMMYFUNCTION("GOOGLETRANSLATE(B14822, ""en"", ""fa"")
"),"درآمد غیرفعال")</f>
        <v>درآمد غیرفعال</v>
      </c>
      <c r="G14822" s="1" t="str">
        <f>IFERROR(__xludf.DUMMYFUNCTION("GOOGLETRANSLATE(C14822, ""en"", ""fa"")
"),"تأثیر محتوای تولید شده توسط کاربر و مشارکت طرفداران در گسترش دامنه مالکیت معنوی را بررسی کنید.")</f>
        <v>تأثیر محتوای تولید شده توسط کاربر و مشارکت طرفداران در گسترش دامنه مالکیت معنوی را بررسی کنید.</v>
      </c>
      <c r="H14822" s="1"/>
      <c r="I14822" s="1"/>
      <c r="J14822" s="1"/>
      <c r="K14822" s="1"/>
      <c r="L14822" s="1"/>
      <c r="M14822" s="1"/>
      <c r="N14822" s="1"/>
      <c r="O14822" s="1"/>
      <c r="P14822" s="1"/>
      <c r="Q14822" s="1"/>
      <c r="R14822" s="1"/>
      <c r="S14822" s="1"/>
      <c r="T14822" s="1"/>
      <c r="U14822" s="1"/>
      <c r="V14822" s="1"/>
      <c r="W14822" s="1"/>
      <c r="X14822" s="1"/>
      <c r="Y14822" s="1"/>
      <c r="Z14822" s="1"/>
      <c r="AA14822" s="1"/>
      <c r="AB14822" s="1"/>
    </row>
    <row r="14823" ht="50.25" customHeight="1">
      <c r="A14823" s="12">
        <v>14819.0</v>
      </c>
      <c r="B14823" s="13" t="s">
        <v>13838</v>
      </c>
      <c r="C14823" s="14" t="s">
        <v>14059</v>
      </c>
      <c r="D14823" s="1"/>
      <c r="E14823" s="1"/>
      <c r="F14823" s="1" t="str">
        <f>IFERROR(__xludf.DUMMYFUNCTION("GOOGLETRANSLATE(B14823, ""en"", ""fa"")
"),"درآمد غیرفعال")</f>
        <v>درآمد غیرفعال</v>
      </c>
      <c r="G14823" s="1" t="str">
        <f>IFERROR(__xludf.DUMMYFUNCTION("GOOGLETRANSLATE(C14823, ""en"", ""fa"")
"),"چگونه مربیان و کارشناسان موضوعی می توانند با ایجاد و فروش دوره های آنلاین درآمد انفعالی ایجاد کنند؟")</f>
        <v>چگونه مربیان و کارشناسان موضوعی می توانند با ایجاد و فروش دوره های آنلاین درآمد انفعالی ایجاد کنند؟</v>
      </c>
      <c r="H14823" s="1"/>
      <c r="I14823" s="1"/>
      <c r="J14823" s="1"/>
      <c r="K14823" s="1"/>
      <c r="L14823" s="1"/>
      <c r="M14823" s="1"/>
      <c r="N14823" s="1"/>
      <c r="O14823" s="1"/>
      <c r="P14823" s="1"/>
      <c r="Q14823" s="1"/>
      <c r="R14823" s="1"/>
      <c r="S14823" s="1"/>
      <c r="T14823" s="1"/>
      <c r="U14823" s="1"/>
      <c r="V14823" s="1"/>
      <c r="W14823" s="1"/>
      <c r="X14823" s="1"/>
      <c r="Y14823" s="1"/>
      <c r="Z14823" s="1"/>
      <c r="AA14823" s="1"/>
      <c r="AB14823" s="1"/>
    </row>
    <row r="14824" ht="50.25" customHeight="1">
      <c r="A14824" s="12">
        <v>14820.0</v>
      </c>
      <c r="B14824" s="13" t="s">
        <v>13838</v>
      </c>
      <c r="C14824" s="14" t="s">
        <v>14060</v>
      </c>
      <c r="D14824" s="1"/>
      <c r="E14824" s="1"/>
      <c r="F14824" s="1" t="str">
        <f>IFERROR(__xludf.DUMMYFUNCTION("GOOGLETRANSLATE(B14824, ""en"", ""fa"")
"),"درآمد غیرفعال")</f>
        <v>درآمد غیرفعال</v>
      </c>
      <c r="G14824" s="1" t="str">
        <f>IFERROR(__xludf.DUMMYFUNCTION("GOOGLETRANSLATE(C14824, ""en"", ""fa"")
"),"در مورد مفهوم ایجاد درآمد غیرفعال از طریق مجوز ابزارها و راه حل های نرم افزاری برای استفاده تجاری بحث کنید.")</f>
        <v>در مورد مفهوم ایجاد درآمد غیرفعال از طریق مجوز ابزارها و راه حل های نرم افزاری برای استفاده تجاری بحث کنید.</v>
      </c>
      <c r="H14824" s="1"/>
      <c r="I14824" s="1"/>
      <c r="J14824" s="1"/>
      <c r="K14824" s="1"/>
      <c r="L14824" s="1"/>
      <c r="M14824" s="1"/>
      <c r="N14824" s="1"/>
      <c r="O14824" s="1"/>
      <c r="P14824" s="1"/>
      <c r="Q14824" s="1"/>
      <c r="R14824" s="1"/>
      <c r="S14824" s="1"/>
      <c r="T14824" s="1"/>
      <c r="U14824" s="1"/>
      <c r="V14824" s="1"/>
      <c r="W14824" s="1"/>
      <c r="X14824" s="1"/>
      <c r="Y14824" s="1"/>
      <c r="Z14824" s="1"/>
      <c r="AA14824" s="1"/>
      <c r="AB14824" s="1"/>
    </row>
    <row r="14825" ht="50.25" customHeight="1">
      <c r="A14825" s="12">
        <v>14821.0</v>
      </c>
      <c r="B14825" s="13" t="s">
        <v>13838</v>
      </c>
      <c r="C14825" s="14" t="s">
        <v>14061</v>
      </c>
      <c r="D14825" s="1"/>
      <c r="E14825" s="1"/>
      <c r="F14825" s="1" t="str">
        <f>IFERROR(__xludf.DUMMYFUNCTION("GOOGLETRANSLATE(B14825, ""en"", ""fa"")
"),"درآمد غیرفعال")</f>
        <v>درآمد غیرفعال</v>
      </c>
      <c r="G14825" s="1" t="str">
        <f>IFERROR(__xludf.DUMMYFUNCTION("GOOGLETRANSLATE(C14825, ""en"", ""fa"")
"),"شبکه سازی و همکاری با دیگر سازندگان چه نقشی در گسترش فرصت های کسب درآمد از مالکیت معنوی دارد؟")</f>
        <v>شبکه سازی و همکاری با دیگر سازندگان چه نقشی در گسترش فرصت های کسب درآمد از مالکیت معنوی دارد؟</v>
      </c>
      <c r="H14825" s="1"/>
      <c r="I14825" s="1"/>
      <c r="J14825" s="1"/>
      <c r="K14825" s="1"/>
      <c r="L14825" s="1"/>
      <c r="M14825" s="1"/>
      <c r="N14825" s="1"/>
      <c r="O14825" s="1"/>
      <c r="P14825" s="1"/>
      <c r="Q14825" s="1"/>
      <c r="R14825" s="1"/>
      <c r="S14825" s="1"/>
      <c r="T14825" s="1"/>
      <c r="U14825" s="1"/>
      <c r="V14825" s="1"/>
      <c r="W14825" s="1"/>
      <c r="X14825" s="1"/>
      <c r="Y14825" s="1"/>
      <c r="Z14825" s="1"/>
      <c r="AA14825" s="1"/>
      <c r="AB14825" s="1"/>
    </row>
    <row r="14826" ht="50.25" customHeight="1">
      <c r="A14826" s="12">
        <v>14822.0</v>
      </c>
      <c r="B14826" s="13" t="s">
        <v>13838</v>
      </c>
      <c r="C14826" s="14" t="s">
        <v>14062</v>
      </c>
      <c r="D14826" s="1"/>
      <c r="E14826" s="1"/>
      <c r="F14826" s="1" t="str">
        <f>IFERROR(__xludf.DUMMYFUNCTION("GOOGLETRANSLATE(B14826, ""en"", ""fa"")
"),"درآمد غیرفعال")</f>
        <v>درآمد غیرفعال</v>
      </c>
      <c r="G14826" s="1" t="str">
        <f>IFERROR(__xludf.DUMMYFUNCTION("GOOGLETRANSLATE(C14826, ""en"", ""fa"")
"),"پتانسیل ایجاد و صدور مجوز الگوها، طرح‌ها و دارایی‌های دیجیتال را برای استفاده در صنایع دستی و پروژه‌های DIY بررسی کنید.")</f>
        <v>پتانسیل ایجاد و صدور مجوز الگوها، طرح‌ها و دارایی‌های دیجیتال را برای استفاده در صنایع دستی و پروژه‌های DIY بررسی کنید.</v>
      </c>
      <c r="H14826" s="1"/>
      <c r="I14826" s="1"/>
      <c r="J14826" s="1"/>
      <c r="K14826" s="1"/>
      <c r="L14826" s="1"/>
      <c r="M14826" s="1"/>
      <c r="N14826" s="1"/>
      <c r="O14826" s="1"/>
      <c r="P14826" s="1"/>
      <c r="Q14826" s="1"/>
      <c r="R14826" s="1"/>
      <c r="S14826" s="1"/>
      <c r="T14826" s="1"/>
      <c r="U14826" s="1"/>
      <c r="V14826" s="1"/>
      <c r="W14826" s="1"/>
      <c r="X14826" s="1"/>
      <c r="Y14826" s="1"/>
      <c r="Z14826" s="1"/>
      <c r="AA14826" s="1"/>
      <c r="AB14826" s="1"/>
    </row>
    <row r="14827" ht="50.25" customHeight="1">
      <c r="A14827" s="12">
        <v>14823.0</v>
      </c>
      <c r="B14827" s="13" t="s">
        <v>13838</v>
      </c>
      <c r="C14827" s="14" t="s">
        <v>14063</v>
      </c>
      <c r="D14827" s="1"/>
      <c r="E14827" s="1"/>
      <c r="F14827" s="1" t="str">
        <f>IFERROR(__xludf.DUMMYFUNCTION("GOOGLETRANSLATE(B14827, ""en"", ""fa"")
"),"درآمد غیرفعال")</f>
        <v>درآمد غیرفعال</v>
      </c>
      <c r="G14827" s="1" t="str">
        <f>IFERROR(__xludf.DUMMYFUNCTION("GOOGLETRANSLATE(C14827, ""en"", ""fa"")
"),"سازندگان چگونه می توانند به طور موثر از بازاریابی ایمیلی و خبرنامه ها برای تبلیغ مالکیت معنوی خود استفاده کنند؟")</f>
        <v>سازندگان چگونه می توانند به طور موثر از بازاریابی ایمیلی و خبرنامه ها برای تبلیغ مالکیت معنوی خود استفاده کنند؟</v>
      </c>
      <c r="H14827" s="1"/>
      <c r="I14827" s="1"/>
      <c r="J14827" s="1"/>
      <c r="K14827" s="1"/>
      <c r="L14827" s="1"/>
      <c r="M14827" s="1"/>
      <c r="N14827" s="1"/>
      <c r="O14827" s="1"/>
      <c r="P14827" s="1"/>
      <c r="Q14827" s="1"/>
      <c r="R14827" s="1"/>
      <c r="S14827" s="1"/>
      <c r="T14827" s="1"/>
      <c r="U14827" s="1"/>
      <c r="V14827" s="1"/>
      <c r="W14827" s="1"/>
      <c r="X14827" s="1"/>
      <c r="Y14827" s="1"/>
      <c r="Z14827" s="1"/>
      <c r="AA14827" s="1"/>
      <c r="AB14827" s="1"/>
    </row>
    <row r="14828" ht="50.25" customHeight="1">
      <c r="A14828" s="12">
        <v>14824.0</v>
      </c>
      <c r="B14828" s="13" t="s">
        <v>13838</v>
      </c>
      <c r="C14828" s="14" t="s">
        <v>14064</v>
      </c>
      <c r="D14828" s="1"/>
      <c r="E14828" s="1"/>
      <c r="F14828" s="1" t="str">
        <f>IFERROR(__xludf.DUMMYFUNCTION("GOOGLETRANSLATE(B14828, ""en"", ""fa"")
"),"درآمد غیرفعال")</f>
        <v>درآمد غیرفعال</v>
      </c>
      <c r="G14828" s="1" t="str">
        <f>IFERROR(__xludf.DUMMYFUNCTION("GOOGLETRANSLATE(C14828, ""en"", ""fa"")
"),"در مورد تأثیر مشارکت و حمایت های مالی برند در افزایش دید و درآمد پتانسیل مالکیت فکری بحث کنید.")</f>
        <v>در مورد تأثیر مشارکت و حمایت های مالی برند در افزایش دید و درآمد پتانسیل مالکیت فکری بحث کنید.</v>
      </c>
      <c r="H14828" s="1"/>
      <c r="I14828" s="1"/>
      <c r="J14828" s="1"/>
      <c r="K14828" s="1"/>
      <c r="L14828" s="1"/>
      <c r="M14828" s="1"/>
      <c r="N14828" s="1"/>
      <c r="O14828" s="1"/>
      <c r="P14828" s="1"/>
      <c r="Q14828" s="1"/>
      <c r="R14828" s="1"/>
      <c r="S14828" s="1"/>
      <c r="T14828" s="1"/>
      <c r="U14828" s="1"/>
      <c r="V14828" s="1"/>
      <c r="W14828" s="1"/>
      <c r="X14828" s="1"/>
      <c r="Y14828" s="1"/>
      <c r="Z14828" s="1"/>
      <c r="AA14828" s="1"/>
      <c r="AB14828" s="1"/>
    </row>
    <row r="14829" ht="50.25" customHeight="1">
      <c r="A14829" s="12">
        <v>14825.0</v>
      </c>
      <c r="B14829" s="13" t="s">
        <v>13838</v>
      </c>
      <c r="C14829" s="14" t="s">
        <v>14065</v>
      </c>
      <c r="D14829" s="1"/>
      <c r="E14829" s="1"/>
      <c r="F14829" s="1" t="str">
        <f>IFERROR(__xludf.DUMMYFUNCTION("GOOGLETRANSLATE(B14829, ""en"", ""fa"")
"),"درآمد غیرفعال")</f>
        <v>درآمد غیرفعال</v>
      </c>
      <c r="G14829" s="1" t="str">
        <f>IFERROR(__xludf.DUMMYFUNCTION("GOOGLETRANSLATE(C14829, ""en"", ""fa"")
"),"پتانسیل ایجاد درآمد غیرفعال از طریق فروش برنامه ریزان دیجیتال، مجلات و ابزارهای سازمانی را بررسی کنید.")</f>
        <v>پتانسیل ایجاد درآمد غیرفعال از طریق فروش برنامه ریزان دیجیتال، مجلات و ابزارهای سازمانی را بررسی کنید.</v>
      </c>
      <c r="H14829" s="1"/>
      <c r="I14829" s="1"/>
      <c r="J14829" s="1"/>
      <c r="K14829" s="1"/>
      <c r="L14829" s="1"/>
      <c r="M14829" s="1"/>
      <c r="N14829" s="1"/>
      <c r="O14829" s="1"/>
      <c r="P14829" s="1"/>
      <c r="Q14829" s="1"/>
      <c r="R14829" s="1"/>
      <c r="S14829" s="1"/>
      <c r="T14829" s="1"/>
      <c r="U14829" s="1"/>
      <c r="V14829" s="1"/>
      <c r="W14829" s="1"/>
      <c r="X14829" s="1"/>
      <c r="Y14829" s="1"/>
      <c r="Z14829" s="1"/>
      <c r="AA14829" s="1"/>
      <c r="AB14829" s="1"/>
    </row>
    <row r="14830" ht="50.25" customHeight="1">
      <c r="A14830" s="12">
        <v>14826.0</v>
      </c>
      <c r="B14830" s="13" t="s">
        <v>13838</v>
      </c>
      <c r="C14830" s="14" t="s">
        <v>14066</v>
      </c>
      <c r="D14830" s="1"/>
      <c r="E14830" s="1"/>
      <c r="F14830" s="1" t="str">
        <f>IFERROR(__xludf.DUMMYFUNCTION("GOOGLETRANSLATE(B14830, ""en"", ""fa"")
"),"درآمد غیرفعال")</f>
        <v>درآمد غیرفعال</v>
      </c>
      <c r="G14830" s="1" t="str">
        <f>IFERROR(__xludf.DUMMYFUNCTION("GOOGLETRANSLATE(C14830, ""en"", ""fa"")
"),"سازندگان از چه استراتژی هایی می توانند برای قیمت گذاری موثر محصولات و خدمات مالکیت معنوی خود استفاده کنند؟")</f>
        <v>سازندگان از چه استراتژی هایی می توانند برای قیمت گذاری موثر محصولات و خدمات مالکیت معنوی خود استفاده کنند؟</v>
      </c>
      <c r="H14830" s="1"/>
      <c r="I14830" s="1"/>
      <c r="J14830" s="1"/>
      <c r="K14830" s="1"/>
      <c r="L14830" s="1"/>
      <c r="M14830" s="1"/>
      <c r="N14830" s="1"/>
      <c r="O14830" s="1"/>
      <c r="P14830" s="1"/>
      <c r="Q14830" s="1"/>
      <c r="R14830" s="1"/>
      <c r="S14830" s="1"/>
      <c r="T14830" s="1"/>
      <c r="U14830" s="1"/>
      <c r="V14830" s="1"/>
      <c r="W14830" s="1"/>
      <c r="X14830" s="1"/>
      <c r="Y14830" s="1"/>
      <c r="Z14830" s="1"/>
      <c r="AA14830" s="1"/>
      <c r="AB14830" s="1"/>
    </row>
    <row r="14831" ht="50.25" customHeight="1">
      <c r="A14831" s="12">
        <v>14827.0</v>
      </c>
      <c r="B14831" s="13" t="s">
        <v>13838</v>
      </c>
      <c r="C14831" s="14" t="s">
        <v>14067</v>
      </c>
      <c r="D14831" s="1"/>
      <c r="E14831" s="1"/>
      <c r="F14831" s="1" t="str">
        <f>IFERROR(__xludf.DUMMYFUNCTION("GOOGLETRANSLATE(B14831, ""en"", ""fa"")
"),"درآمد غیرفعال")</f>
        <v>درآمد غیرفعال</v>
      </c>
      <c r="G14831" s="1" t="str">
        <f>IFERROR(__xludf.DUMMYFUNCTION("GOOGLETRANSLATE(C14831, ""en"", ""fa"")
"),"درباره اهمیت حفظ حضور فعال آنلاین و تعامل با مخاطبان خود برای کسب درآمد از مالکیت معنوی بحث کنید.")</f>
        <v>درباره اهمیت حفظ حضور فعال آنلاین و تعامل با مخاطبان خود برای کسب درآمد از مالکیت معنوی بحث کنید.</v>
      </c>
      <c r="H14831" s="1"/>
      <c r="I14831" s="1"/>
      <c r="J14831" s="1"/>
      <c r="K14831" s="1"/>
      <c r="L14831" s="1"/>
      <c r="M14831" s="1"/>
      <c r="N14831" s="1"/>
      <c r="O14831" s="1"/>
      <c r="P14831" s="1"/>
      <c r="Q14831" s="1"/>
      <c r="R14831" s="1"/>
      <c r="S14831" s="1"/>
      <c r="T14831" s="1"/>
      <c r="U14831" s="1"/>
      <c r="V14831" s="1"/>
      <c r="W14831" s="1"/>
      <c r="X14831" s="1"/>
      <c r="Y14831" s="1"/>
      <c r="Z14831" s="1"/>
      <c r="AA14831" s="1"/>
      <c r="AB14831" s="1"/>
    </row>
    <row r="14832" ht="50.25" customHeight="1">
      <c r="A14832" s="12">
        <v>14828.0</v>
      </c>
      <c r="B14832" s="13" t="s">
        <v>13838</v>
      </c>
      <c r="C14832" s="14" t="s">
        <v>14068</v>
      </c>
      <c r="D14832" s="1"/>
      <c r="E14832" s="1"/>
      <c r="F14832" s="1" t="str">
        <f>IFERROR(__xludf.DUMMYFUNCTION("GOOGLETRANSLATE(B14832, ""en"", ""fa"")
"),"درآمد غیرفعال")</f>
        <v>درآمد غیرفعال</v>
      </c>
      <c r="G14832" s="1" t="str">
        <f>IFERROR(__xludf.DUMMYFUNCTION("GOOGLETRANSLATE(C14832, ""en"", ""fa"")
"),"تأثیر روندهای فرهنگی و تغییرات اجتماعی بر تقاضا برای انواع خاصی از مالکیت معنوی را بررسی کنید.")</f>
        <v>تأثیر روندهای فرهنگی و تغییرات اجتماعی بر تقاضا برای انواع خاصی از مالکیت معنوی را بررسی کنید.</v>
      </c>
      <c r="H14832" s="1"/>
      <c r="I14832" s="1"/>
      <c r="J14832" s="1"/>
      <c r="K14832" s="1"/>
      <c r="L14832" s="1"/>
      <c r="M14832" s="1"/>
      <c r="N14832" s="1"/>
      <c r="O14832" s="1"/>
      <c r="P14832" s="1"/>
      <c r="Q14832" s="1"/>
      <c r="R14832" s="1"/>
      <c r="S14832" s="1"/>
      <c r="T14832" s="1"/>
      <c r="U14832" s="1"/>
      <c r="V14832" s="1"/>
      <c r="W14832" s="1"/>
      <c r="X14832" s="1"/>
      <c r="Y14832" s="1"/>
      <c r="Z14832" s="1"/>
      <c r="AA14832" s="1"/>
      <c r="AB14832" s="1"/>
    </row>
    <row r="14833" ht="50.25" customHeight="1">
      <c r="A14833" s="12">
        <v>14829.0</v>
      </c>
      <c r="B14833" s="13" t="s">
        <v>13838</v>
      </c>
      <c r="C14833" s="14" t="s">
        <v>14069</v>
      </c>
      <c r="D14833" s="1"/>
      <c r="E14833" s="1"/>
      <c r="F14833" s="1" t="str">
        <f>IFERROR(__xludf.DUMMYFUNCTION("GOOGLETRANSLATE(B14833, ""en"", ""fa"")
"),"درآمد غیرفعال")</f>
        <v>درآمد غیرفعال</v>
      </c>
      <c r="G14833" s="1" t="str">
        <f>IFERROR(__xludf.DUMMYFUNCTION("GOOGLETRANSLATE(C14833, ""en"", ""fa"")
"),"توسعه‌دهندگان نرم‌افزار و متخصصان فناوری چگونه می‌توانند با ایجاد و فروش برنامه‌های کاربردی نرم‌افزار، درآمد غیرفعالی ایجاد کنند؟")</f>
        <v>توسعه‌دهندگان نرم‌افزار و متخصصان فناوری چگونه می‌توانند با ایجاد و فروش برنامه‌های کاربردی نرم‌افزار، درآمد غیرفعالی ایجاد کنند؟</v>
      </c>
      <c r="H14833" s="1"/>
      <c r="I14833" s="1"/>
      <c r="J14833" s="1"/>
      <c r="K14833" s="1"/>
      <c r="L14833" s="1"/>
      <c r="M14833" s="1"/>
      <c r="N14833" s="1"/>
      <c r="O14833" s="1"/>
      <c r="P14833" s="1"/>
      <c r="Q14833" s="1"/>
      <c r="R14833" s="1"/>
      <c r="S14833" s="1"/>
      <c r="T14833" s="1"/>
      <c r="U14833" s="1"/>
      <c r="V14833" s="1"/>
      <c r="W14833" s="1"/>
      <c r="X14833" s="1"/>
      <c r="Y14833" s="1"/>
      <c r="Z14833" s="1"/>
      <c r="AA14833" s="1"/>
      <c r="AB14833" s="1"/>
    </row>
    <row r="14834" ht="50.25" customHeight="1">
      <c r="A14834" s="12">
        <v>14830.0</v>
      </c>
      <c r="B14834" s="13" t="s">
        <v>13838</v>
      </c>
      <c r="C14834" s="14" t="s">
        <v>14070</v>
      </c>
      <c r="D14834" s="1"/>
      <c r="E14834" s="1"/>
      <c r="F14834" s="1" t="str">
        <f>IFERROR(__xludf.DUMMYFUNCTION("GOOGLETRANSLATE(B14834, ""en"", ""fa"")
"),"درآمد غیرفعال")</f>
        <v>درآمد غیرفعال</v>
      </c>
      <c r="G14834" s="1" t="str">
        <f>IFERROR(__xludf.DUMMYFUNCTION("GOOGLETRANSLATE(C14834, ""en"", ""fa"")
"),"در مورد مفهوم ایجاد و فروش دسترسی انحصاری یا محتوای ممتاز از طریق مدل‌های مبتنی بر اشتراک بحث کنید.")</f>
        <v>در مورد مفهوم ایجاد و فروش دسترسی انحصاری یا محتوای ممتاز از طریق مدل‌های مبتنی بر اشتراک بحث کنید.</v>
      </c>
      <c r="H14834" s="1"/>
      <c r="I14834" s="1"/>
      <c r="J14834" s="1"/>
      <c r="K14834" s="1"/>
      <c r="L14834" s="1"/>
      <c r="M14834" s="1"/>
      <c r="N14834" s="1"/>
      <c r="O14834" s="1"/>
      <c r="P14834" s="1"/>
      <c r="Q14834" s="1"/>
      <c r="R14834" s="1"/>
      <c r="S14834" s="1"/>
      <c r="T14834" s="1"/>
      <c r="U14834" s="1"/>
      <c r="V14834" s="1"/>
      <c r="W14834" s="1"/>
      <c r="X14834" s="1"/>
      <c r="Y14834" s="1"/>
      <c r="Z14834" s="1"/>
      <c r="AA14834" s="1"/>
      <c r="AB14834" s="1"/>
    </row>
    <row r="14835" ht="50.25" customHeight="1">
      <c r="A14835" s="12">
        <v>14831.0</v>
      </c>
      <c r="B14835" s="13" t="s">
        <v>13838</v>
      </c>
      <c r="C14835" s="14" t="s">
        <v>14071</v>
      </c>
      <c r="D14835" s="1"/>
      <c r="E14835" s="1"/>
      <c r="F14835" s="1" t="str">
        <f>IFERROR(__xludf.DUMMYFUNCTION("GOOGLETRANSLATE(B14835, ""en"", ""fa"")
"),"درآمد غیرفعال")</f>
        <v>درآمد غیرفعال</v>
      </c>
      <c r="G14835" s="1" t="str">
        <f>IFERROR(__xludf.DUMMYFUNCTION("GOOGLETRANSLATE(C14835, ""en"", ""fa"")
"),"محتوای تولید شده توسط کاربر و تعامل طرفداران چه نقشی در ایجاد یک جامعه پیرامون مالکیت معنوی دارد؟")</f>
        <v>محتوای تولید شده توسط کاربر و تعامل طرفداران چه نقشی در ایجاد یک جامعه پیرامون مالکیت معنوی دارد؟</v>
      </c>
      <c r="H14835" s="1"/>
      <c r="I14835" s="1"/>
      <c r="J14835" s="1"/>
      <c r="K14835" s="1"/>
      <c r="L14835" s="1"/>
      <c r="M14835" s="1"/>
      <c r="N14835" s="1"/>
      <c r="O14835" s="1"/>
      <c r="P14835" s="1"/>
      <c r="Q14835" s="1"/>
      <c r="R14835" s="1"/>
      <c r="S14835" s="1"/>
      <c r="T14835" s="1"/>
      <c r="U14835" s="1"/>
      <c r="V14835" s="1"/>
      <c r="W14835" s="1"/>
      <c r="X14835" s="1"/>
      <c r="Y14835" s="1"/>
      <c r="Z14835" s="1"/>
      <c r="AA14835" s="1"/>
      <c r="AB14835" s="1"/>
    </row>
    <row r="14836" ht="50.25" customHeight="1">
      <c r="A14836" s="12">
        <v>14832.0</v>
      </c>
      <c r="B14836" s="13" t="s">
        <v>13838</v>
      </c>
      <c r="C14836" s="14" t="s">
        <v>14072</v>
      </c>
      <c r="D14836" s="1"/>
      <c r="E14836" s="1"/>
      <c r="F14836" s="1" t="str">
        <f>IFERROR(__xludf.DUMMYFUNCTION("GOOGLETRANSLATE(B14836, ""en"", ""fa"")
"),"درآمد غیرفعال")</f>
        <v>درآمد غیرفعال</v>
      </c>
      <c r="G14836" s="1" t="str">
        <f>IFERROR(__xludf.DUMMYFUNCTION("GOOGLETRANSLATE(C14836, ""en"", ""fa"")
"),"پتانسیل ایجاد درآمد غیرفعال از طریق صدور مجوز داده ها، تحقیقات و بینش های صنعت را بررسی کنید.")</f>
        <v>پتانسیل ایجاد درآمد غیرفعال از طریق صدور مجوز داده ها، تحقیقات و بینش های صنعت را بررسی کنید.</v>
      </c>
      <c r="H14836" s="1"/>
      <c r="I14836" s="1"/>
      <c r="J14836" s="1"/>
      <c r="K14836" s="1"/>
      <c r="L14836" s="1"/>
      <c r="M14836" s="1"/>
      <c r="N14836" s="1"/>
      <c r="O14836" s="1"/>
      <c r="P14836" s="1"/>
      <c r="Q14836" s="1"/>
      <c r="R14836" s="1"/>
      <c r="S14836" s="1"/>
      <c r="T14836" s="1"/>
      <c r="U14836" s="1"/>
      <c r="V14836" s="1"/>
      <c r="W14836" s="1"/>
      <c r="X14836" s="1"/>
      <c r="Y14836" s="1"/>
      <c r="Z14836" s="1"/>
      <c r="AA14836" s="1"/>
      <c r="AB14836" s="1"/>
    </row>
    <row r="14837" ht="50.25" customHeight="1">
      <c r="A14837" s="12">
        <v>14833.0</v>
      </c>
      <c r="B14837" s="13" t="s">
        <v>13838</v>
      </c>
      <c r="C14837" s="14" t="s">
        <v>14073</v>
      </c>
      <c r="D14837" s="1"/>
      <c r="E14837" s="1"/>
      <c r="F14837" s="1" t="str">
        <f>IFERROR(__xludf.DUMMYFUNCTION("GOOGLETRANSLATE(B14837, ""en"", ""fa"")
"),"درآمد غیرفعال")</f>
        <v>درآمد غیرفعال</v>
      </c>
      <c r="G14837" s="1" t="str">
        <f>IFERROR(__xludf.DUMMYFUNCTION("GOOGLETRANSLATE(C14837, ""en"", ""fa"")
"),"چگونه سازندگان می توانند به طور موثر از وبینارها و کارگاه های آنلاین برای نمایش تخصص و مالکیت معنوی خود استفاده کنند؟")</f>
        <v>چگونه سازندگان می توانند به طور موثر از وبینارها و کارگاه های آنلاین برای نمایش تخصص و مالکیت معنوی خود استفاده کنند؟</v>
      </c>
      <c r="H14837" s="1"/>
      <c r="I14837" s="1"/>
      <c r="J14837" s="1"/>
      <c r="K14837" s="1"/>
      <c r="L14837" s="1"/>
      <c r="M14837" s="1"/>
      <c r="N14837" s="1"/>
      <c r="O14837" s="1"/>
      <c r="P14837" s="1"/>
      <c r="Q14837" s="1"/>
      <c r="R14837" s="1"/>
      <c r="S14837" s="1"/>
      <c r="T14837" s="1"/>
      <c r="U14837" s="1"/>
      <c r="V14837" s="1"/>
      <c r="W14837" s="1"/>
      <c r="X14837" s="1"/>
      <c r="Y14837" s="1"/>
      <c r="Z14837" s="1"/>
      <c r="AA14837" s="1"/>
      <c r="AB14837" s="1"/>
    </row>
    <row r="14838" ht="50.25" customHeight="1">
      <c r="A14838" s="12">
        <v>14834.0</v>
      </c>
      <c r="B14838" s="13" t="s">
        <v>13838</v>
      </c>
      <c r="C14838" s="14" t="s">
        <v>14074</v>
      </c>
      <c r="D14838" s="1"/>
      <c r="E14838" s="1"/>
      <c r="F14838" s="1" t="str">
        <f>IFERROR(__xludf.DUMMYFUNCTION("GOOGLETRANSLATE(B14838, ""en"", ""fa"")
"),"درآمد غیرفعال")</f>
        <v>درآمد غیرفعال</v>
      </c>
      <c r="G14838" s="1" t="str">
        <f>IFERROR(__xludf.DUMMYFUNCTION("GOOGLETRANSLATE(C14838, ""en"", ""fa"")
"),"درباره تأثیر قوانین بین‌المللی کپی رایت و مالکیت معنوی بر جریان‌های درآمد غیرفعال جهانی بحث کنید.")</f>
        <v>درباره تأثیر قوانین بین‌المللی کپی رایت و مالکیت معنوی بر جریان‌های درآمد غیرفعال جهانی بحث کنید.</v>
      </c>
      <c r="H14838" s="1"/>
      <c r="I14838" s="1"/>
      <c r="J14838" s="1"/>
      <c r="K14838" s="1"/>
      <c r="L14838" s="1"/>
      <c r="M14838" s="1"/>
      <c r="N14838" s="1"/>
      <c r="O14838" s="1"/>
      <c r="P14838" s="1"/>
      <c r="Q14838" s="1"/>
      <c r="R14838" s="1"/>
      <c r="S14838" s="1"/>
      <c r="T14838" s="1"/>
      <c r="U14838" s="1"/>
      <c r="V14838" s="1"/>
      <c r="W14838" s="1"/>
      <c r="X14838" s="1"/>
      <c r="Y14838" s="1"/>
      <c r="Z14838" s="1"/>
      <c r="AA14838" s="1"/>
      <c r="AB14838" s="1"/>
    </row>
    <row r="14839" ht="50.25" customHeight="1">
      <c r="A14839" s="12">
        <v>14835.0</v>
      </c>
      <c r="B14839" s="13" t="s">
        <v>13838</v>
      </c>
      <c r="C14839" s="14" t="s">
        <v>14075</v>
      </c>
      <c r="D14839" s="1"/>
      <c r="E14839" s="1"/>
      <c r="F14839" s="1" t="str">
        <f>IFERROR(__xludf.DUMMYFUNCTION("GOOGLETRANSLATE(B14839, ""en"", ""fa"")
"),"درآمد غیرفعال")</f>
        <v>درآمد غیرفعال</v>
      </c>
      <c r="G14839" s="1" t="str">
        <f>IFERROR(__xludf.DUMMYFUNCTION("GOOGLETRANSLATE(C14839, ""en"", ""fa"")
"),"پتانسیل ایجاد درآمد غیرفعال از طریق فروش چاپی، کاربرگ و منابع آموزشی را بررسی کنید.")</f>
        <v>پتانسیل ایجاد درآمد غیرفعال از طریق فروش چاپی، کاربرگ و منابع آموزشی را بررسی کنید.</v>
      </c>
      <c r="H14839" s="1"/>
      <c r="I14839" s="1"/>
      <c r="J14839" s="1"/>
      <c r="K14839" s="1"/>
      <c r="L14839" s="1"/>
      <c r="M14839" s="1"/>
      <c r="N14839" s="1"/>
      <c r="O14839" s="1"/>
      <c r="P14839" s="1"/>
      <c r="Q14839" s="1"/>
      <c r="R14839" s="1"/>
      <c r="S14839" s="1"/>
      <c r="T14839" s="1"/>
      <c r="U14839" s="1"/>
      <c r="V14839" s="1"/>
      <c r="W14839" s="1"/>
      <c r="X14839" s="1"/>
      <c r="Y14839" s="1"/>
      <c r="Z14839" s="1"/>
      <c r="AA14839" s="1"/>
      <c r="AB14839" s="1"/>
    </row>
    <row r="14840" ht="50.25" customHeight="1">
      <c r="A14840" s="12">
        <v>14836.0</v>
      </c>
      <c r="B14840" s="13" t="s">
        <v>13838</v>
      </c>
      <c r="C14840" s="14" t="s">
        <v>14076</v>
      </c>
      <c r="D14840" s="1"/>
      <c r="E14840" s="1"/>
      <c r="F14840" s="1" t="str">
        <f>IFERROR(__xludf.DUMMYFUNCTION("GOOGLETRANSLATE(B14840, ""en"", ""fa"")
"),"درآمد غیرفعال")</f>
        <v>درآمد غیرفعال</v>
      </c>
      <c r="G14840" s="1" t="str">
        <f>IFERROR(__xludf.DUMMYFUNCTION("GOOGLETRANSLATE(C14840, ""en"", ""fa"")
"),"سازندگان از چه استراتژی‌هایی می‌توانند برای تطبیق و چرخش استراتژی‌های کسب درآمد از مالکیت معنوی خود بر اساس تقاضاهای متغیر بازار استفاده کنند؟")</f>
        <v>سازندگان از چه استراتژی‌هایی می‌توانند برای تطبیق و چرخش استراتژی‌های کسب درآمد از مالکیت معنوی خود بر اساس تقاضاهای متغیر بازار استفاده کنند؟</v>
      </c>
      <c r="H14840" s="1"/>
      <c r="I14840" s="1"/>
      <c r="J14840" s="1"/>
      <c r="K14840" s="1"/>
      <c r="L14840" s="1"/>
      <c r="M14840" s="1"/>
      <c r="N14840" s="1"/>
      <c r="O14840" s="1"/>
      <c r="P14840" s="1"/>
      <c r="Q14840" s="1"/>
      <c r="R14840" s="1"/>
      <c r="S14840" s="1"/>
      <c r="T14840" s="1"/>
      <c r="U14840" s="1"/>
      <c r="V14840" s="1"/>
      <c r="W14840" s="1"/>
      <c r="X14840" s="1"/>
      <c r="Y14840" s="1"/>
      <c r="Z14840" s="1"/>
      <c r="AA14840" s="1"/>
      <c r="AB14840" s="1"/>
    </row>
    <row r="14841" ht="50.25" customHeight="1">
      <c r="A14841" s="12">
        <v>14837.0</v>
      </c>
      <c r="B14841" s="13" t="s">
        <v>13838</v>
      </c>
      <c r="C14841" s="14" t="s">
        <v>14077</v>
      </c>
      <c r="D14841" s="1"/>
      <c r="E14841" s="1"/>
      <c r="F14841" s="1" t="str">
        <f>IFERROR(__xludf.DUMMYFUNCTION("GOOGLETRANSLATE(B14841, ""en"", ""fa"")
"),"درآمد غیرفعال")</f>
        <v>درآمد غیرفعال</v>
      </c>
      <c r="G14841" s="1" t="str">
        <f>IFERROR(__xludf.DUMMYFUNCTION("GOOGLETRANSLATE(C14841, ""en"", ""fa"")
"),"در مورد اهمیت یادگیری مستمر و به روز ماندن در مورد بهترین شیوه های صنعت در کسب درآمد از مالکیت معنوی بحث کنید.")</f>
        <v>در مورد اهمیت یادگیری مستمر و به روز ماندن در مورد بهترین شیوه های صنعت در کسب درآمد از مالکیت معنوی بحث کنید.</v>
      </c>
      <c r="H14841" s="1"/>
      <c r="I14841" s="1"/>
      <c r="J14841" s="1"/>
      <c r="K14841" s="1"/>
      <c r="L14841" s="1"/>
      <c r="M14841" s="1"/>
      <c r="N14841" s="1"/>
      <c r="O14841" s="1"/>
      <c r="P14841" s="1"/>
      <c r="Q14841" s="1"/>
      <c r="R14841" s="1"/>
      <c r="S14841" s="1"/>
      <c r="T14841" s="1"/>
      <c r="U14841" s="1"/>
      <c r="V14841" s="1"/>
      <c r="W14841" s="1"/>
      <c r="X14841" s="1"/>
      <c r="Y14841" s="1"/>
      <c r="Z14841" s="1"/>
      <c r="AA14841" s="1"/>
      <c r="AB14841" s="1"/>
    </row>
    <row r="14842" ht="50.25" customHeight="1">
      <c r="A14842" s="12">
        <v>14838.0</v>
      </c>
      <c r="B14842" s="13" t="s">
        <v>13838</v>
      </c>
      <c r="C14842" s="14" t="s">
        <v>14078</v>
      </c>
      <c r="D14842" s="1"/>
      <c r="E14842" s="1"/>
      <c r="F14842" s="1" t="str">
        <f>IFERROR(__xludf.DUMMYFUNCTION("GOOGLETRANSLATE(B14842, ""en"", ""fa"")
"),"درآمد غیرفعال")</f>
        <v>درآمد غیرفعال</v>
      </c>
      <c r="G14842" s="1" t="str">
        <f>IFERROR(__xludf.DUMMYFUNCTION("GOOGLETRANSLATE(C14842, ""en"", ""fa"")
"),"تاثیر انتخاب پلت فرم و کانال های توزیع بر دسترسی و قرار گرفتن در معرض مالکیت معنوی را بررسی کنید.")</f>
        <v>تاثیر انتخاب پلت فرم و کانال های توزیع بر دسترسی و قرار گرفتن در معرض مالکیت معنوی را بررسی کنید.</v>
      </c>
      <c r="H14842" s="1"/>
      <c r="I14842" s="1"/>
      <c r="J14842" s="1"/>
      <c r="K14842" s="1"/>
      <c r="L14842" s="1"/>
      <c r="M14842" s="1"/>
      <c r="N14842" s="1"/>
      <c r="O14842" s="1"/>
      <c r="P14842" s="1"/>
      <c r="Q14842" s="1"/>
      <c r="R14842" s="1"/>
      <c r="S14842" s="1"/>
      <c r="T14842" s="1"/>
      <c r="U14842" s="1"/>
      <c r="V14842" s="1"/>
      <c r="W14842" s="1"/>
      <c r="X14842" s="1"/>
      <c r="Y14842" s="1"/>
      <c r="Z14842" s="1"/>
      <c r="AA14842" s="1"/>
      <c r="AB14842" s="1"/>
    </row>
    <row r="14843" ht="50.25" customHeight="1">
      <c r="A14843" s="12">
        <v>14839.0</v>
      </c>
      <c r="B14843" s="13" t="s">
        <v>13838</v>
      </c>
      <c r="C14843" s="14" t="s">
        <v>14079</v>
      </c>
      <c r="D14843" s="1"/>
      <c r="E14843" s="1"/>
      <c r="F14843" s="1" t="str">
        <f>IFERROR(__xludf.DUMMYFUNCTION("GOOGLETRANSLATE(B14843, ""en"", ""fa"")
"),"درآمد غیرفعال")</f>
        <v>درآمد غیرفعال</v>
      </c>
      <c r="G14843" s="1" t="str">
        <f>IFERROR(__xludf.DUMMYFUNCTION("GOOGLETRANSLATE(C14843, ""en"", ""fa"")
"),"چگونه وبلاگ نویسان و تولیدکنندگان محتوا می توانند از طریق بازاریابی وابسته و محتوای حمایت شده درآمد منفعلانه ایجاد کنند؟")</f>
        <v>چگونه وبلاگ نویسان و تولیدکنندگان محتوا می توانند از طریق بازاریابی وابسته و محتوای حمایت شده درآمد منفعلانه ایجاد کنند؟</v>
      </c>
      <c r="H14843" s="1"/>
      <c r="I14843" s="1"/>
      <c r="J14843" s="1"/>
      <c r="K14843" s="1"/>
      <c r="L14843" s="1"/>
      <c r="M14843" s="1"/>
      <c r="N14843" s="1"/>
      <c r="O14843" s="1"/>
      <c r="P14843" s="1"/>
      <c r="Q14843" s="1"/>
      <c r="R14843" s="1"/>
      <c r="S14843" s="1"/>
      <c r="T14843" s="1"/>
      <c r="U14843" s="1"/>
      <c r="V14843" s="1"/>
      <c r="W14843" s="1"/>
      <c r="X14843" s="1"/>
      <c r="Y14843" s="1"/>
      <c r="Z14843" s="1"/>
      <c r="AA14843" s="1"/>
      <c r="AB14843" s="1"/>
    </row>
    <row r="14844" ht="50.25" customHeight="1">
      <c r="A14844" s="12">
        <v>14840.0</v>
      </c>
      <c r="B14844" s="13" t="s">
        <v>13838</v>
      </c>
      <c r="C14844" s="14" t="s">
        <v>14080</v>
      </c>
      <c r="D14844" s="1"/>
      <c r="E14844" s="1"/>
      <c r="F14844" s="1" t="str">
        <f>IFERROR(__xludf.DUMMYFUNCTION("GOOGLETRANSLATE(B14844, ""en"", ""fa"")
"),"درآمد غیرفعال")</f>
        <v>درآمد غیرفعال</v>
      </c>
      <c r="G14844" s="1" t="str">
        <f>IFERROR(__xludf.DUMMYFUNCTION("GOOGLETRANSLATE(C14844, ""en"", ""fa"")
"),"در مورد مفهوم ایجاد و صدور مجوز کالاهای مجازی و دارایی های دیجیتال برای استفاده در بازی های آنلاین و محیط های مجازی بحث کنید.")</f>
        <v>در مورد مفهوم ایجاد و صدور مجوز کالاهای مجازی و دارایی های دیجیتال برای استفاده در بازی های آنلاین و محیط های مجازی بحث کنید.</v>
      </c>
      <c r="H14844" s="1"/>
      <c r="I14844" s="1"/>
      <c r="J14844" s="1"/>
      <c r="K14844" s="1"/>
      <c r="L14844" s="1"/>
      <c r="M14844" s="1"/>
      <c r="N14844" s="1"/>
      <c r="O14844" s="1"/>
      <c r="P14844" s="1"/>
      <c r="Q14844" s="1"/>
      <c r="R14844" s="1"/>
      <c r="S14844" s="1"/>
      <c r="T14844" s="1"/>
      <c r="U14844" s="1"/>
      <c r="V14844" s="1"/>
      <c r="W14844" s="1"/>
      <c r="X14844" s="1"/>
      <c r="Y14844" s="1"/>
      <c r="Z14844" s="1"/>
      <c r="AA14844" s="1"/>
      <c r="AB14844" s="1"/>
    </row>
    <row r="14845" ht="50.25" customHeight="1">
      <c r="A14845" s="12">
        <v>14841.0</v>
      </c>
      <c r="B14845" s="13" t="s">
        <v>13838</v>
      </c>
      <c r="C14845" s="14" t="s">
        <v>14081</v>
      </c>
      <c r="D14845" s="1"/>
      <c r="E14845" s="1"/>
      <c r="F14845" s="1" t="str">
        <f>IFERROR(__xludf.DUMMYFUNCTION("GOOGLETRANSLATE(B14845, ""en"", ""fa"")
"),"درآمد غیرفعال")</f>
        <v>درآمد غیرفعال</v>
      </c>
      <c r="G14845" s="1" t="str">
        <f>IFERROR(__xludf.DUMMYFUNCTION("GOOGLETRANSLATE(C14845, ""en"", ""fa"")
"),"تخصص ویژه و ارائه خدمات به یک مخاطب هدف خاص چه نقشی در کسب درآمد از مالکیت معنوی دارد؟")</f>
        <v>تخصص ویژه و ارائه خدمات به یک مخاطب هدف خاص چه نقشی در کسب درآمد از مالکیت معنوی دارد؟</v>
      </c>
      <c r="H14845" s="1"/>
      <c r="I14845" s="1"/>
      <c r="J14845" s="1"/>
      <c r="K14845" s="1"/>
      <c r="L14845" s="1"/>
      <c r="M14845" s="1"/>
      <c r="N14845" s="1"/>
      <c r="O14845" s="1"/>
      <c r="P14845" s="1"/>
      <c r="Q14845" s="1"/>
      <c r="R14845" s="1"/>
      <c r="S14845" s="1"/>
      <c r="T14845" s="1"/>
      <c r="U14845" s="1"/>
      <c r="V14845" s="1"/>
      <c r="W14845" s="1"/>
      <c r="X14845" s="1"/>
      <c r="Y14845" s="1"/>
      <c r="Z14845" s="1"/>
      <c r="AA14845" s="1"/>
      <c r="AB14845" s="1"/>
    </row>
    <row r="14846" ht="50.25" customHeight="1">
      <c r="A14846" s="12">
        <v>14842.0</v>
      </c>
      <c r="B14846" s="13" t="s">
        <v>13838</v>
      </c>
      <c r="C14846" s="14" t="s">
        <v>14082</v>
      </c>
      <c r="D14846" s="1"/>
      <c r="E14846" s="1"/>
      <c r="F14846" s="1" t="str">
        <f>IFERROR(__xludf.DUMMYFUNCTION("GOOGLETRANSLATE(B14846, ""en"", ""fa"")
"),"درآمد غیرفعال")</f>
        <v>درآمد غیرفعال</v>
      </c>
      <c r="G14846" s="1" t="str">
        <f>IFERROR(__xludf.DUMMYFUNCTION("GOOGLETRANSLATE(C14846, ""en"", ""fa"")
"),"بررسی پتانسیل ایجاد درآمد غیرفعال از طریق صدور مجوز یافته های تحقیقات پزشکی و علمی.")</f>
        <v>بررسی پتانسیل ایجاد درآمد غیرفعال از طریق صدور مجوز یافته های تحقیقات پزشکی و علمی.</v>
      </c>
      <c r="H14846" s="1"/>
      <c r="I14846" s="1"/>
      <c r="J14846" s="1"/>
      <c r="K14846" s="1"/>
      <c r="L14846" s="1"/>
      <c r="M14846" s="1"/>
      <c r="N14846" s="1"/>
      <c r="O14846" s="1"/>
      <c r="P14846" s="1"/>
      <c r="Q14846" s="1"/>
      <c r="R14846" s="1"/>
      <c r="S14846" s="1"/>
      <c r="T14846" s="1"/>
      <c r="U14846" s="1"/>
      <c r="V14846" s="1"/>
      <c r="W14846" s="1"/>
      <c r="X14846" s="1"/>
      <c r="Y14846" s="1"/>
      <c r="Z14846" s="1"/>
      <c r="AA14846" s="1"/>
      <c r="AB14846" s="1"/>
    </row>
    <row r="14847" ht="50.25" customHeight="1">
      <c r="A14847" s="12">
        <v>14843.0</v>
      </c>
      <c r="B14847" s="13" t="s">
        <v>13838</v>
      </c>
      <c r="C14847" s="14" t="s">
        <v>14083</v>
      </c>
      <c r="D14847" s="1"/>
      <c r="E14847" s="1"/>
      <c r="F14847" s="1" t="str">
        <f>IFERROR(__xludf.DUMMYFUNCTION("GOOGLETRANSLATE(B14847, ""en"", ""fa"")
"),"درآمد غیرفعال")</f>
        <v>درآمد غیرفعال</v>
      </c>
      <c r="G14847" s="1" t="str">
        <f>IFERROR(__xludf.DUMMYFUNCTION("GOOGLETRANSLATE(C14847, ""en"", ""fa"")
"),"چگونه سازندگان می توانند به طور موثر از شواهد و گواهی های اجتماعی برای ایجاد اعتماد و اعتبار برای پیشنهادهای دارایی معنوی خود استفاده کنند؟")</f>
        <v>چگونه سازندگان می توانند به طور موثر از شواهد و گواهی های اجتماعی برای ایجاد اعتماد و اعتبار برای پیشنهادهای دارایی معنوی خود استفاده کنند؟</v>
      </c>
      <c r="H14847" s="1"/>
      <c r="I14847" s="1"/>
      <c r="J14847" s="1"/>
      <c r="K14847" s="1"/>
      <c r="L14847" s="1"/>
      <c r="M14847" s="1"/>
      <c r="N14847" s="1"/>
      <c r="O14847" s="1"/>
      <c r="P14847" s="1"/>
      <c r="Q14847" s="1"/>
      <c r="R14847" s="1"/>
      <c r="S14847" s="1"/>
      <c r="T14847" s="1"/>
      <c r="U14847" s="1"/>
      <c r="V14847" s="1"/>
      <c r="W14847" s="1"/>
      <c r="X14847" s="1"/>
      <c r="Y14847" s="1"/>
      <c r="Z14847" s="1"/>
      <c r="AA14847" s="1"/>
      <c r="AB14847" s="1"/>
    </row>
    <row r="14848" ht="50.25" customHeight="1">
      <c r="A14848" s="12">
        <v>14844.0</v>
      </c>
      <c r="B14848" s="13" t="s">
        <v>13838</v>
      </c>
      <c r="C14848" s="14" t="s">
        <v>14084</v>
      </c>
      <c r="D14848" s="1"/>
      <c r="E14848" s="1"/>
      <c r="F14848" s="1" t="str">
        <f>IFERROR(__xludf.DUMMYFUNCTION("GOOGLETRANSLATE(B14848, ""en"", ""fa"")
"),"درآمد غیرفعال")</f>
        <v>درآمد غیرفعال</v>
      </c>
      <c r="G14848" s="1" t="str">
        <f>IFERROR(__xludf.DUMMYFUNCTION("GOOGLETRANSLATE(C14848, ""en"", ""fa"")
"),"درباره تأثیر بازارهای مالکیت معنوی و پلتفرم‌های آنلاین در ارتباط سازندگان با خریداران بالقوه بحث کنید.")</f>
        <v>درباره تأثیر بازارهای مالکیت معنوی و پلتفرم‌های آنلاین در ارتباط سازندگان با خریداران بالقوه بحث کنید.</v>
      </c>
      <c r="H14848" s="1"/>
      <c r="I14848" s="1"/>
      <c r="J14848" s="1"/>
      <c r="K14848" s="1"/>
      <c r="L14848" s="1"/>
      <c r="M14848" s="1"/>
      <c r="N14848" s="1"/>
      <c r="O14848" s="1"/>
      <c r="P14848" s="1"/>
      <c r="Q14848" s="1"/>
      <c r="R14848" s="1"/>
      <c r="S14848" s="1"/>
      <c r="T14848" s="1"/>
      <c r="U14848" s="1"/>
      <c r="V14848" s="1"/>
      <c r="W14848" s="1"/>
      <c r="X14848" s="1"/>
      <c r="Y14848" s="1"/>
      <c r="Z14848" s="1"/>
      <c r="AA14848" s="1"/>
      <c r="AB14848" s="1"/>
    </row>
    <row r="14849" ht="50.25" customHeight="1">
      <c r="A14849" s="12">
        <v>14845.0</v>
      </c>
      <c r="B14849" s="13" t="s">
        <v>13838</v>
      </c>
      <c r="C14849" s="14" t="s">
        <v>14085</v>
      </c>
      <c r="D14849" s="1"/>
      <c r="E14849" s="1"/>
      <c r="F14849" s="1" t="str">
        <f>IFERROR(__xludf.DUMMYFUNCTION("GOOGLETRANSLATE(B14849, ""en"", ""fa"")
"),"درآمد غیرفعال")</f>
        <v>درآمد غیرفعال</v>
      </c>
      <c r="G14849" s="1" t="str">
        <f>IFERROR(__xludf.DUMMYFUNCTION("GOOGLETRANSLATE(C14849, ""en"", ""fa"")
"),"پتانسیل ایجاد درآمد غیرفعال از طریق فروش مدل‌های سه بعدی، بافت‌ها و دارایی‌های هنر دیجیتال را بررسی کنید.")</f>
        <v>پتانسیل ایجاد درآمد غیرفعال از طریق فروش مدل‌های سه بعدی، بافت‌ها و دارایی‌های هنر دیجیتال را بررسی کنید.</v>
      </c>
      <c r="H14849" s="1"/>
      <c r="I14849" s="1"/>
      <c r="J14849" s="1"/>
      <c r="K14849" s="1"/>
      <c r="L14849" s="1"/>
      <c r="M14849" s="1"/>
      <c r="N14849" s="1"/>
      <c r="O14849" s="1"/>
      <c r="P14849" s="1"/>
      <c r="Q14849" s="1"/>
      <c r="R14849" s="1"/>
      <c r="S14849" s="1"/>
      <c r="T14849" s="1"/>
      <c r="U14849" s="1"/>
      <c r="V14849" s="1"/>
      <c r="W14849" s="1"/>
      <c r="X14849" s="1"/>
      <c r="Y14849" s="1"/>
      <c r="Z14849" s="1"/>
      <c r="AA14849" s="1"/>
      <c r="AB14849" s="1"/>
    </row>
    <row r="14850" ht="50.25" customHeight="1">
      <c r="A14850" s="12">
        <v>14846.0</v>
      </c>
      <c r="B14850" s="13" t="s">
        <v>13838</v>
      </c>
      <c r="C14850" s="14" t="s">
        <v>14086</v>
      </c>
      <c r="D14850" s="1"/>
      <c r="E14850" s="1"/>
      <c r="F14850" s="1" t="str">
        <f>IFERROR(__xludf.DUMMYFUNCTION("GOOGLETRANSLATE(B14850, ""en"", ""fa"")
"),"درآمد غیرفعال")</f>
        <v>درآمد غیرفعال</v>
      </c>
      <c r="G14850" s="1" t="str">
        <f>IFERROR(__xludf.DUMMYFUNCTION("GOOGLETRANSLATE(C14850, ""en"", ""fa"")
"),"سازندگان از چه استراتژی هایی می توانند برای مدیریت خطرات و چالش های بالقوه نقض مالکیت معنوی استفاده کنند؟")</f>
        <v>سازندگان از چه استراتژی هایی می توانند برای مدیریت خطرات و چالش های بالقوه نقض مالکیت معنوی استفاده کنند؟</v>
      </c>
      <c r="H14850" s="1"/>
      <c r="I14850" s="1"/>
      <c r="J14850" s="1"/>
      <c r="K14850" s="1"/>
      <c r="L14850" s="1"/>
      <c r="M14850" s="1"/>
      <c r="N14850" s="1"/>
      <c r="O14850" s="1"/>
      <c r="P14850" s="1"/>
      <c r="Q14850" s="1"/>
      <c r="R14850" s="1"/>
      <c r="S14850" s="1"/>
      <c r="T14850" s="1"/>
      <c r="U14850" s="1"/>
      <c r="V14850" s="1"/>
      <c r="W14850" s="1"/>
      <c r="X14850" s="1"/>
      <c r="Y14850" s="1"/>
      <c r="Z14850" s="1"/>
      <c r="AA14850" s="1"/>
      <c r="AB14850" s="1"/>
    </row>
    <row r="14851" ht="50.25" customHeight="1">
      <c r="A14851" s="12">
        <v>14847.0</v>
      </c>
      <c r="B14851" s="13" t="s">
        <v>13838</v>
      </c>
      <c r="C14851" s="14" t="s">
        <v>14087</v>
      </c>
      <c r="D14851" s="1"/>
      <c r="E14851" s="1"/>
      <c r="F14851" s="1" t="str">
        <f>IFERROR(__xludf.DUMMYFUNCTION("GOOGLETRANSLATE(B14851, ""en"", ""fa"")
"),"درآمد غیرفعال")</f>
        <v>درآمد غیرفعال</v>
      </c>
      <c r="G14851" s="1" t="str">
        <f>IFERROR(__xludf.DUMMYFUNCTION("GOOGLETRANSLATE(C14851, ""en"", ""fa"")
"),"درباره اهمیت ایجاد یک حضور آنلاین قوی و هویت برند برای کسب درآمد موفق از مالکیت معنوی بحث کنید.")</f>
        <v>درباره اهمیت ایجاد یک حضور آنلاین قوی و هویت برند برای کسب درآمد موفق از مالکیت معنوی بحث کنید.</v>
      </c>
      <c r="H14851" s="1"/>
      <c r="I14851" s="1"/>
      <c r="J14851" s="1"/>
      <c r="K14851" s="1"/>
      <c r="L14851" s="1"/>
      <c r="M14851" s="1"/>
      <c r="N14851" s="1"/>
      <c r="O14851" s="1"/>
      <c r="P14851" s="1"/>
      <c r="Q14851" s="1"/>
      <c r="R14851" s="1"/>
      <c r="S14851" s="1"/>
      <c r="T14851" s="1"/>
      <c r="U14851" s="1"/>
      <c r="V14851" s="1"/>
      <c r="W14851" s="1"/>
      <c r="X14851" s="1"/>
      <c r="Y14851" s="1"/>
      <c r="Z14851" s="1"/>
      <c r="AA14851" s="1"/>
      <c r="AB14851" s="1"/>
    </row>
    <row r="14852" ht="50.25" customHeight="1">
      <c r="A14852" s="12">
        <v>14848.0</v>
      </c>
      <c r="B14852" s="13" t="s">
        <v>13838</v>
      </c>
      <c r="C14852" s="14" t="s">
        <v>14088</v>
      </c>
      <c r="D14852" s="1"/>
      <c r="E14852" s="1"/>
      <c r="F14852" s="1" t="str">
        <f>IFERROR(__xludf.DUMMYFUNCTION("GOOGLETRANSLATE(B14852, ""en"", ""fa"")
"),"درآمد غیرفعال")</f>
        <v>درآمد غیرفعال</v>
      </c>
      <c r="G14852" s="1" t="str">
        <f>IFERROR(__xludf.DUMMYFUNCTION("GOOGLETRANSLATE(C14852, ""en"", ""fa"")
"),"تأثیر فناوری‌های نوظهور مانند هوش مصنوعی و واقعیت مجازی بر ایجاد و فروش دارایی‌های معنوی را بررسی کنید.")</f>
        <v>تأثیر فناوری‌های نوظهور مانند هوش مصنوعی و واقعیت مجازی بر ایجاد و فروش دارایی‌های معنوی را بررسی کنید.</v>
      </c>
      <c r="H14852" s="1"/>
      <c r="I14852" s="1"/>
      <c r="J14852" s="1"/>
      <c r="K14852" s="1"/>
      <c r="L14852" s="1"/>
      <c r="M14852" s="1"/>
      <c r="N14852" s="1"/>
      <c r="O14852" s="1"/>
      <c r="P14852" s="1"/>
      <c r="Q14852" s="1"/>
      <c r="R14852" s="1"/>
      <c r="S14852" s="1"/>
      <c r="T14852" s="1"/>
      <c r="U14852" s="1"/>
      <c r="V14852" s="1"/>
      <c r="W14852" s="1"/>
      <c r="X14852" s="1"/>
      <c r="Y14852" s="1"/>
      <c r="Z14852" s="1"/>
      <c r="AA14852" s="1"/>
      <c r="AB14852" s="1"/>
    </row>
    <row r="14853" ht="50.25" customHeight="1">
      <c r="A14853" s="12">
        <v>14849.0</v>
      </c>
      <c r="B14853" s="13" t="s">
        <v>13838</v>
      </c>
      <c r="C14853" s="14" t="s">
        <v>14089</v>
      </c>
      <c r="D14853" s="1"/>
      <c r="E14853" s="1"/>
      <c r="F14853" s="1" t="str">
        <f>IFERROR(__xludf.DUMMYFUNCTION("GOOGLETRANSLATE(B14853, ""en"", ""fa"")
"),"درآمد غیرفعال")</f>
        <v>درآمد غیرفعال</v>
      </c>
      <c r="G14853" s="1" t="str">
        <f>IFERROR(__xludf.DUMMYFUNCTION("GOOGLETRANSLATE(C14853, ""en"", ""fa"")
"),"اینفلوئنسرها و سازندگان محتوا چگونه می‌توانند از طریق همکاری‌های برند و محتوای حمایت‌شده، درآمد منفعلانه ایجاد کنند؟")</f>
        <v>اینفلوئنسرها و سازندگان محتوا چگونه می‌توانند از طریق همکاری‌های برند و محتوای حمایت‌شده، درآمد منفعلانه ایجاد کنند؟</v>
      </c>
      <c r="H14853" s="1"/>
      <c r="I14853" s="1"/>
      <c r="J14853" s="1"/>
      <c r="K14853" s="1"/>
      <c r="L14853" s="1"/>
      <c r="M14853" s="1"/>
      <c r="N14853" s="1"/>
      <c r="O14853" s="1"/>
      <c r="P14853" s="1"/>
      <c r="Q14853" s="1"/>
      <c r="R14853" s="1"/>
      <c r="S14853" s="1"/>
      <c r="T14853" s="1"/>
      <c r="U14853" s="1"/>
      <c r="V14853" s="1"/>
      <c r="W14853" s="1"/>
      <c r="X14853" s="1"/>
      <c r="Y14853" s="1"/>
      <c r="Z14853" s="1"/>
      <c r="AA14853" s="1"/>
      <c r="AB14853" s="1"/>
    </row>
    <row r="14854" ht="50.25" customHeight="1">
      <c r="A14854" s="12">
        <v>14850.0</v>
      </c>
      <c r="B14854" s="13" t="s">
        <v>13838</v>
      </c>
      <c r="C14854" s="14" t="s">
        <v>14090</v>
      </c>
      <c r="D14854" s="1"/>
      <c r="E14854" s="1"/>
      <c r="F14854" s="1" t="str">
        <f>IFERROR(__xludf.DUMMYFUNCTION("GOOGLETRANSLATE(B14854, ""en"", ""fa"")
"),"درآمد غیرفعال")</f>
        <v>درآمد غیرفعال</v>
      </c>
      <c r="G14854" s="1" t="str">
        <f>IFERROR(__xludf.DUMMYFUNCTION("GOOGLETRANSLATE(C14854, ""en"", ""fa"")
"),"در مورد مفهوم ایجاد و صدور مجوز مواد آموزشی، مانند راهنمای مطالعه و منابع برنامه درسی بحث کنید.")</f>
        <v>در مورد مفهوم ایجاد و صدور مجوز مواد آموزشی، مانند راهنمای مطالعه و منابع برنامه درسی بحث کنید.</v>
      </c>
      <c r="H14854" s="1"/>
      <c r="I14854" s="1"/>
      <c r="J14854" s="1"/>
      <c r="K14854" s="1"/>
      <c r="L14854" s="1"/>
      <c r="M14854" s="1"/>
      <c r="N14854" s="1"/>
      <c r="O14854" s="1"/>
      <c r="P14854" s="1"/>
      <c r="Q14854" s="1"/>
      <c r="R14854" s="1"/>
      <c r="S14854" s="1"/>
      <c r="T14854" s="1"/>
      <c r="U14854" s="1"/>
      <c r="V14854" s="1"/>
      <c r="W14854" s="1"/>
      <c r="X14854" s="1"/>
      <c r="Y14854" s="1"/>
      <c r="Z14854" s="1"/>
      <c r="AA14854" s="1"/>
      <c r="AB14854" s="1"/>
    </row>
    <row r="14855" ht="50.25" customHeight="1">
      <c r="A14855" s="12">
        <v>14851.0</v>
      </c>
      <c r="B14855" s="13" t="s">
        <v>13838</v>
      </c>
      <c r="C14855" s="14" t="s">
        <v>14091</v>
      </c>
      <c r="D14855" s="1"/>
      <c r="E14855" s="1"/>
      <c r="F14855" s="1" t="str">
        <f>IFERROR(__xludf.DUMMYFUNCTION("GOOGLETRANSLATE(B14855, ""en"", ""fa"")
"),"درآمد غیرفعال")</f>
        <v>درآمد غیرفعال</v>
      </c>
      <c r="G14855" s="1" t="str">
        <f>IFERROR(__xludf.DUMMYFUNCTION("GOOGLETRANSLATE(C14855, ""en"", ""fa"")
"),"بهبود مستمر و تکرار چه نقشی در بهینه‌سازی استراتژی‌های کسب درآمد از مالکیت معنوی دارد؟")</f>
        <v>بهبود مستمر و تکرار چه نقشی در بهینه‌سازی استراتژی‌های کسب درآمد از مالکیت معنوی دارد؟</v>
      </c>
      <c r="H14855" s="1"/>
      <c r="I14855" s="1"/>
      <c r="J14855" s="1"/>
      <c r="K14855" s="1"/>
      <c r="L14855" s="1"/>
      <c r="M14855" s="1"/>
      <c r="N14855" s="1"/>
      <c r="O14855" s="1"/>
      <c r="P14855" s="1"/>
      <c r="Q14855" s="1"/>
      <c r="R14855" s="1"/>
      <c r="S14855" s="1"/>
      <c r="T14855" s="1"/>
      <c r="U14855" s="1"/>
      <c r="V14855" s="1"/>
      <c r="W14855" s="1"/>
      <c r="X14855" s="1"/>
      <c r="Y14855" s="1"/>
      <c r="Z14855" s="1"/>
      <c r="AA14855" s="1"/>
      <c r="AB14855" s="1"/>
    </row>
    <row r="14856" ht="50.25" customHeight="1">
      <c r="A14856" s="12">
        <v>14852.0</v>
      </c>
      <c r="B14856" s="13" t="s">
        <v>13838</v>
      </c>
      <c r="C14856" s="14" t="s">
        <v>14092</v>
      </c>
      <c r="D14856" s="1"/>
      <c r="E14856" s="1"/>
      <c r="F14856" s="1" t="str">
        <f>IFERROR(__xludf.DUMMYFUNCTION("GOOGLETRANSLATE(B14856, ""en"", ""fa"")
"),"درآمد غیرفعال")</f>
        <v>درآمد غیرفعال</v>
      </c>
      <c r="G14856" s="1" t="str">
        <f>IFERROR(__xludf.DUMMYFUNCTION("GOOGLETRANSLATE(C14856, ""en"", ""fa"")
"),"بررسی پتانسیل ایجاد درآمد غیرفعال از طریق صدور مجوز برای اکتشافات و پیشرفت های علمی.")</f>
        <v>بررسی پتانسیل ایجاد درآمد غیرفعال از طریق صدور مجوز برای اکتشافات و پیشرفت های علمی.</v>
      </c>
      <c r="H14856" s="1"/>
      <c r="I14856" s="1"/>
      <c r="J14856" s="1"/>
      <c r="K14856" s="1"/>
      <c r="L14856" s="1"/>
      <c r="M14856" s="1"/>
      <c r="N14856" s="1"/>
      <c r="O14856" s="1"/>
      <c r="P14856" s="1"/>
      <c r="Q14856" s="1"/>
      <c r="R14856" s="1"/>
      <c r="S14856" s="1"/>
      <c r="T14856" s="1"/>
      <c r="U14856" s="1"/>
      <c r="V14856" s="1"/>
      <c r="W14856" s="1"/>
      <c r="X14856" s="1"/>
      <c r="Y14856" s="1"/>
      <c r="Z14856" s="1"/>
      <c r="AA14856" s="1"/>
      <c r="AB14856" s="1"/>
    </row>
    <row r="14857" ht="50.25" customHeight="1">
      <c r="A14857" s="12">
        <v>14853.0</v>
      </c>
      <c r="B14857" s="13" t="s">
        <v>13838</v>
      </c>
      <c r="C14857" s="14" t="s">
        <v>14093</v>
      </c>
      <c r="D14857" s="1"/>
      <c r="E14857" s="1"/>
      <c r="F14857" s="1" t="str">
        <f>IFERROR(__xludf.DUMMYFUNCTION("GOOGLETRANSLATE(B14857, ""en"", ""fa"")
"),"درآمد غیرفعال")</f>
        <v>درآمد غیرفعال</v>
      </c>
      <c r="G14857" s="1" t="str">
        <f>IFERROR(__xludf.DUMMYFUNCTION("GOOGLETRANSLATE(C14857, ""en"", ""fa"")
"),"چگونه سازندگان می توانند به طور موثر از داستان سرایی و روایت برای افزایش ارزش و جذابیت مالکیت معنوی خود استفاده کنند؟")</f>
        <v>چگونه سازندگان می توانند به طور موثر از داستان سرایی و روایت برای افزایش ارزش و جذابیت مالکیت معنوی خود استفاده کنند؟</v>
      </c>
      <c r="H14857" s="1"/>
      <c r="I14857" s="1"/>
      <c r="J14857" s="1"/>
      <c r="K14857" s="1"/>
      <c r="L14857" s="1"/>
      <c r="M14857" s="1"/>
      <c r="N14857" s="1"/>
      <c r="O14857" s="1"/>
      <c r="P14857" s="1"/>
      <c r="Q14857" s="1"/>
      <c r="R14857" s="1"/>
      <c r="S14857" s="1"/>
      <c r="T14857" s="1"/>
      <c r="U14857" s="1"/>
      <c r="V14857" s="1"/>
      <c r="W14857" s="1"/>
      <c r="X14857" s="1"/>
      <c r="Y14857" s="1"/>
      <c r="Z14857" s="1"/>
      <c r="AA14857" s="1"/>
      <c r="AB14857" s="1"/>
    </row>
    <row r="14858" ht="50.25" customHeight="1">
      <c r="A14858" s="12">
        <v>14854.0</v>
      </c>
      <c r="B14858" s="13" t="s">
        <v>13838</v>
      </c>
      <c r="C14858" s="14" t="s">
        <v>14094</v>
      </c>
      <c r="D14858" s="1"/>
      <c r="E14858" s="1"/>
      <c r="F14858" s="1" t="str">
        <f>IFERROR(__xludf.DUMMYFUNCTION("GOOGLETRANSLATE(B14858, ""en"", ""fa"")
"),"درآمد غیرفعال")</f>
        <v>درآمد غیرفعال</v>
      </c>
      <c r="G14858" s="1" t="str">
        <f>IFERROR(__xludf.DUMMYFUNCTION("GOOGLETRANSLATE(C14858, ""en"", ""fa"")
"),"درباره تأثیر ملاحظات اخلاقی و استفاده مسئولانه از مالکیت معنوی در استراتژی‌های کسب درآمد بحث کنید.")</f>
        <v>درباره تأثیر ملاحظات اخلاقی و استفاده مسئولانه از مالکیت معنوی در استراتژی‌های کسب درآمد بحث کنید.</v>
      </c>
      <c r="H14858" s="1"/>
      <c r="I14858" s="1"/>
      <c r="J14858" s="1"/>
      <c r="K14858" s="1"/>
      <c r="L14858" s="1"/>
      <c r="M14858" s="1"/>
      <c r="N14858" s="1"/>
      <c r="O14858" s="1"/>
      <c r="P14858" s="1"/>
      <c r="Q14858" s="1"/>
      <c r="R14858" s="1"/>
      <c r="S14858" s="1"/>
      <c r="T14858" s="1"/>
      <c r="U14858" s="1"/>
      <c r="V14858" s="1"/>
      <c r="W14858" s="1"/>
      <c r="X14858" s="1"/>
      <c r="Y14858" s="1"/>
      <c r="Z14858" s="1"/>
      <c r="AA14858" s="1"/>
      <c r="AB14858" s="1"/>
    </row>
    <row r="14859" ht="50.25" customHeight="1">
      <c r="A14859" s="12">
        <v>14855.0</v>
      </c>
      <c r="B14859" s="13" t="s">
        <v>13838</v>
      </c>
      <c r="C14859" s="14" t="s">
        <v>14095</v>
      </c>
      <c r="D14859" s="1"/>
      <c r="E14859" s="1"/>
      <c r="F14859" s="1" t="str">
        <f>IFERROR(__xludf.DUMMYFUNCTION("GOOGLETRANSLATE(B14859, ""en"", ""fa"")
"),"درآمد غیرفعال")</f>
        <v>درآمد غیرفعال</v>
      </c>
      <c r="G14859" s="1" t="str">
        <f>IFERROR(__xludf.DUMMYFUNCTION("GOOGLETRANSLATE(C14859, ""en"", ""fa"")
"),"پتانسیل ایجاد درآمد غیرفعال را از طریق فروش قالب های تجارت الکترونیک، تم های وب سایت و عناصر طراحی کاوش کنید.")</f>
        <v>پتانسیل ایجاد درآمد غیرفعال را از طریق فروش قالب های تجارت الکترونیک، تم های وب سایت و عناصر طراحی کاوش کنید.</v>
      </c>
      <c r="H14859" s="1"/>
      <c r="I14859" s="1"/>
      <c r="J14859" s="1"/>
      <c r="K14859" s="1"/>
      <c r="L14859" s="1"/>
      <c r="M14859" s="1"/>
      <c r="N14859" s="1"/>
      <c r="O14859" s="1"/>
      <c r="P14859" s="1"/>
      <c r="Q14859" s="1"/>
      <c r="R14859" s="1"/>
      <c r="S14859" s="1"/>
      <c r="T14859" s="1"/>
      <c r="U14859" s="1"/>
      <c r="V14859" s="1"/>
      <c r="W14859" s="1"/>
      <c r="X14859" s="1"/>
      <c r="Y14859" s="1"/>
      <c r="Z14859" s="1"/>
      <c r="AA14859" s="1"/>
      <c r="AB14859" s="1"/>
    </row>
    <row r="14860" ht="50.25" customHeight="1">
      <c r="A14860" s="12">
        <v>14856.0</v>
      </c>
      <c r="B14860" s="13" t="s">
        <v>13838</v>
      </c>
      <c r="C14860" s="14" t="s">
        <v>14096</v>
      </c>
      <c r="D14860" s="1"/>
      <c r="E14860" s="1"/>
      <c r="F14860" s="1" t="str">
        <f>IFERROR(__xludf.DUMMYFUNCTION("GOOGLETRANSLATE(B14860, ""en"", ""fa"")
"),"درآمد غیرفعال")</f>
        <v>درآمد غیرفعال</v>
      </c>
      <c r="G14860" s="1" t="str">
        <f>IFERROR(__xludf.DUMMYFUNCTION("GOOGLETRANSLATE(C14860, ""en"", ""fa"")
"),"سازندگان از چه استراتژی هایی می توانند برای تنوع بخشیدن به پیشنهادات مالکیت معنوی و جریان درآمد خود استفاده کنند؟")</f>
        <v>سازندگان از چه استراتژی هایی می توانند برای تنوع بخشیدن به پیشنهادات مالکیت معنوی و جریان درآمد خود استفاده کنند؟</v>
      </c>
      <c r="H14860" s="1"/>
      <c r="I14860" s="1"/>
      <c r="J14860" s="1"/>
      <c r="K14860" s="1"/>
      <c r="L14860" s="1"/>
      <c r="M14860" s="1"/>
      <c r="N14860" s="1"/>
      <c r="O14860" s="1"/>
      <c r="P14860" s="1"/>
      <c r="Q14860" s="1"/>
      <c r="R14860" s="1"/>
      <c r="S14860" s="1"/>
      <c r="T14860" s="1"/>
      <c r="U14860" s="1"/>
      <c r="V14860" s="1"/>
      <c r="W14860" s="1"/>
      <c r="X14860" s="1"/>
      <c r="Y14860" s="1"/>
      <c r="Z14860" s="1"/>
      <c r="AA14860" s="1"/>
      <c r="AB14860" s="1"/>
    </row>
    <row r="14861" ht="50.25" customHeight="1">
      <c r="A14861" s="12">
        <v>14857.0</v>
      </c>
      <c r="B14861" s="13" t="s">
        <v>13838</v>
      </c>
      <c r="C14861" s="14" t="s">
        <v>14097</v>
      </c>
      <c r="D14861" s="1"/>
      <c r="E14861" s="1"/>
      <c r="F14861" s="1" t="str">
        <f>IFERROR(__xludf.DUMMYFUNCTION("GOOGLETRANSLATE(B14861, ""en"", ""fa"")
"),"درآمد غیرفعال")</f>
        <v>درآمد غیرفعال</v>
      </c>
      <c r="G14861" s="1" t="str">
        <f>IFERROR(__xludf.DUMMYFUNCTION("GOOGLETRANSLATE(C14861, ""en"", ""fa"")
"),"در مورد اهمیت حفظ تعادل بین ایجاد مالکیت فکری جدید و بهینه سازی مالکیت های موجود بحث کنید.")</f>
        <v>در مورد اهمیت حفظ تعادل بین ایجاد مالکیت فکری جدید و بهینه سازی مالکیت های موجود بحث کنید.</v>
      </c>
      <c r="H14861" s="1"/>
      <c r="I14861" s="1"/>
      <c r="J14861" s="1"/>
      <c r="K14861" s="1"/>
      <c r="L14861" s="1"/>
      <c r="M14861" s="1"/>
      <c r="N14861" s="1"/>
      <c r="O14861" s="1"/>
      <c r="P14861" s="1"/>
      <c r="Q14861" s="1"/>
      <c r="R14861" s="1"/>
      <c r="S14861" s="1"/>
      <c r="T14861" s="1"/>
      <c r="U14861" s="1"/>
      <c r="V14861" s="1"/>
      <c r="W14861" s="1"/>
      <c r="X14861" s="1"/>
      <c r="Y14861" s="1"/>
      <c r="Z14861" s="1"/>
      <c r="AA14861" s="1"/>
      <c r="AB14861" s="1"/>
    </row>
    <row r="14862" ht="50.25" customHeight="1">
      <c r="A14862" s="12">
        <v>14858.0</v>
      </c>
      <c r="B14862" s="13" t="s">
        <v>13838</v>
      </c>
      <c r="C14862" s="14" t="s">
        <v>14098</v>
      </c>
      <c r="D14862" s="1"/>
      <c r="E14862" s="1"/>
      <c r="F14862" s="1" t="str">
        <f>IFERROR(__xludf.DUMMYFUNCTION("GOOGLETRANSLATE(B14862, ""en"", ""fa"")
"),"درآمد غیرفعال")</f>
        <v>درآمد غیرفعال</v>
      </c>
      <c r="G14862" s="1" t="str">
        <f>IFERROR(__xludf.DUMMYFUNCTION("GOOGLETRANSLATE(C14862, ""en"", ""fa"")
"),"تاثیر رفتار مصرف کننده و روندهای بازار در شکل دادن به تقاضا برای انواع خاصی از مالکیت معنوی را بررسی کنید.")</f>
        <v>تاثیر رفتار مصرف کننده و روندهای بازار در شکل دادن به تقاضا برای انواع خاصی از مالکیت معنوی را بررسی کنید.</v>
      </c>
      <c r="H14862" s="1"/>
      <c r="I14862" s="1"/>
      <c r="J14862" s="1"/>
      <c r="K14862" s="1"/>
      <c r="L14862" s="1"/>
      <c r="M14862" s="1"/>
      <c r="N14862" s="1"/>
      <c r="O14862" s="1"/>
      <c r="P14862" s="1"/>
      <c r="Q14862" s="1"/>
      <c r="R14862" s="1"/>
      <c r="S14862" s="1"/>
      <c r="T14862" s="1"/>
      <c r="U14862" s="1"/>
      <c r="V14862" s="1"/>
      <c r="W14862" s="1"/>
      <c r="X14862" s="1"/>
      <c r="Y14862" s="1"/>
      <c r="Z14862" s="1"/>
      <c r="AA14862" s="1"/>
      <c r="AB14862" s="1"/>
    </row>
    <row r="14863" ht="50.25" customHeight="1">
      <c r="A14863" s="12">
        <v>14859.0</v>
      </c>
      <c r="B14863" s="13" t="s">
        <v>13838</v>
      </c>
      <c r="C14863" s="14" t="s">
        <v>14099</v>
      </c>
      <c r="D14863" s="1"/>
      <c r="E14863" s="1"/>
      <c r="F14863" s="1" t="str">
        <f>IFERROR(__xludf.DUMMYFUNCTION("GOOGLETRANSLATE(B14863, ""en"", ""fa"")
"),"درآمد غیرفعال")</f>
        <v>درآمد غیرفعال</v>
      </c>
      <c r="G14863" s="1" t="str">
        <f>IFERROR(__xludf.DUMMYFUNCTION("GOOGLETRANSLATE(C14863, ""en"", ""fa"")
"),"چگونه هنرمندان و طراحان می توانند از طریق صدور مجوز آثار هنری خود برای مقاصد تجاری مختلف، درآمد غیرفعالی ایجاد کنند؟")</f>
        <v>چگونه هنرمندان و طراحان می توانند از طریق صدور مجوز آثار هنری خود برای مقاصد تجاری مختلف، درآمد غیرفعالی ایجاد کنند؟</v>
      </c>
      <c r="H14863" s="1"/>
      <c r="I14863" s="1"/>
      <c r="J14863" s="1"/>
      <c r="K14863" s="1"/>
      <c r="L14863" s="1"/>
      <c r="M14863" s="1"/>
      <c r="N14863" s="1"/>
      <c r="O14863" s="1"/>
      <c r="P14863" s="1"/>
      <c r="Q14863" s="1"/>
      <c r="R14863" s="1"/>
      <c r="S14863" s="1"/>
      <c r="T14863" s="1"/>
      <c r="U14863" s="1"/>
      <c r="V14863" s="1"/>
      <c r="W14863" s="1"/>
      <c r="X14863" s="1"/>
      <c r="Y14863" s="1"/>
      <c r="Z14863" s="1"/>
      <c r="AA14863" s="1"/>
      <c r="AB14863" s="1"/>
    </row>
    <row r="14864" ht="50.25" customHeight="1">
      <c r="A14864" s="12">
        <v>14860.0</v>
      </c>
      <c r="B14864" s="13" t="s">
        <v>13838</v>
      </c>
      <c r="C14864" s="14" t="s">
        <v>14100</v>
      </c>
      <c r="D14864" s="1"/>
      <c r="E14864" s="1"/>
      <c r="F14864" s="1" t="str">
        <f>IFERROR(__xludf.DUMMYFUNCTION("GOOGLETRANSLATE(B14864, ""en"", ""fa"")
"),"درآمد غیرفعال")</f>
        <v>درآمد غیرفعال</v>
      </c>
      <c r="G14864" s="1" t="str">
        <f>IFERROR(__xludf.DUMMYFUNCTION("GOOGLETRANSLATE(C14864, ""en"", ""fa"")
"),"در مورد مفهوم بازاریابی وابسته به عنوان یک استراتژی درآمد غیرفعال بحث کنید. اصول کلیدی پشت آن چیست؟")</f>
        <v>در مورد مفهوم بازاریابی وابسته به عنوان یک استراتژی درآمد غیرفعال بحث کنید. اصول کلیدی پشت آن چیست؟</v>
      </c>
      <c r="H14864" s="1"/>
      <c r="I14864" s="1"/>
      <c r="J14864" s="1"/>
      <c r="K14864" s="1"/>
      <c r="L14864" s="1"/>
      <c r="M14864" s="1"/>
      <c r="N14864" s="1"/>
      <c r="O14864" s="1"/>
      <c r="P14864" s="1"/>
      <c r="Q14864" s="1"/>
      <c r="R14864" s="1"/>
      <c r="S14864" s="1"/>
      <c r="T14864" s="1"/>
      <c r="U14864" s="1"/>
      <c r="V14864" s="1"/>
      <c r="W14864" s="1"/>
      <c r="X14864" s="1"/>
      <c r="Y14864" s="1"/>
      <c r="Z14864" s="1"/>
      <c r="AA14864" s="1"/>
      <c r="AB14864" s="1"/>
    </row>
    <row r="14865" ht="50.25" customHeight="1">
      <c r="A14865" s="12">
        <v>14861.0</v>
      </c>
      <c r="B14865" s="13" t="s">
        <v>13838</v>
      </c>
      <c r="C14865" s="14" t="s">
        <v>14101</v>
      </c>
      <c r="D14865" s="1"/>
      <c r="E14865" s="1"/>
      <c r="F14865" s="1" t="str">
        <f>IFERROR(__xludf.DUMMYFUNCTION("GOOGLETRANSLATE(B14865, ""en"", ""fa"")
"),"درآمد غیرفعال")</f>
        <v>درآمد غیرفعال</v>
      </c>
      <c r="G14865" s="1" t="str">
        <f>IFERROR(__xludf.DUMMYFUNCTION("GOOGLETRANSLATE(C14865, ""en"", ""fa"")
"),"مزایای بالقوه شرکت در برنامه های بازاریابی وابسته برای شرکت های وابسته و بازرگانان چیست؟")</f>
        <v>مزایای بالقوه شرکت در برنامه های بازاریابی وابسته برای شرکت های وابسته و بازرگانان چیست؟</v>
      </c>
      <c r="H14865" s="1"/>
      <c r="I14865" s="1"/>
      <c r="J14865" s="1"/>
      <c r="K14865" s="1"/>
      <c r="L14865" s="1"/>
      <c r="M14865" s="1"/>
      <c r="N14865" s="1"/>
      <c r="O14865" s="1"/>
      <c r="P14865" s="1"/>
      <c r="Q14865" s="1"/>
      <c r="R14865" s="1"/>
      <c r="S14865" s="1"/>
      <c r="T14865" s="1"/>
      <c r="U14865" s="1"/>
      <c r="V14865" s="1"/>
      <c r="W14865" s="1"/>
      <c r="X14865" s="1"/>
      <c r="Y14865" s="1"/>
      <c r="Z14865" s="1"/>
      <c r="AA14865" s="1"/>
      <c r="AB14865" s="1"/>
    </row>
    <row r="14866" ht="50.25" customHeight="1">
      <c r="A14866" s="12">
        <v>14862.0</v>
      </c>
      <c r="B14866" s="13" t="s">
        <v>13838</v>
      </c>
      <c r="C14866" s="14" t="s">
        <v>14102</v>
      </c>
      <c r="D14866" s="1"/>
      <c r="E14866" s="1"/>
      <c r="F14866" s="1" t="str">
        <f>IFERROR(__xludf.DUMMYFUNCTION("GOOGLETRANSLATE(B14866, ""en"", ""fa"")
"),"درآمد غیرفعال")</f>
        <v>درآمد غیرفعال</v>
      </c>
      <c r="G14866" s="1" t="str">
        <f>IFERROR(__xludf.DUMMYFUNCTION("GOOGLETRANSLATE(C14866, ""en"", ""fa"")
"),"نقش انتخاب جایگاه در بازاریابی وابسته و اینکه چگونه می تواند بر موفقیت کمپین های شما تأثیر بگذارد را بررسی کنید.")</f>
        <v>نقش انتخاب جایگاه در بازاریابی وابسته و اینکه چگونه می تواند بر موفقیت کمپین های شما تأثیر بگذارد را بررسی کنید.</v>
      </c>
      <c r="H14866" s="1"/>
      <c r="I14866" s="1"/>
      <c r="J14866" s="1"/>
      <c r="K14866" s="1"/>
      <c r="L14866" s="1"/>
      <c r="M14866" s="1"/>
      <c r="N14866" s="1"/>
      <c r="O14866" s="1"/>
      <c r="P14866" s="1"/>
      <c r="Q14866" s="1"/>
      <c r="R14866" s="1"/>
      <c r="S14866" s="1"/>
      <c r="T14866" s="1"/>
      <c r="U14866" s="1"/>
      <c r="V14866" s="1"/>
      <c r="W14866" s="1"/>
      <c r="X14866" s="1"/>
      <c r="Y14866" s="1"/>
      <c r="Z14866" s="1"/>
      <c r="AA14866" s="1"/>
      <c r="AB14866" s="1"/>
    </row>
    <row r="14867" ht="50.25" customHeight="1">
      <c r="A14867" s="12">
        <v>14863.0</v>
      </c>
      <c r="B14867" s="13" t="s">
        <v>13838</v>
      </c>
      <c r="C14867" s="14" t="s">
        <v>14103</v>
      </c>
      <c r="D14867" s="1"/>
      <c r="E14867" s="1"/>
      <c r="F14867" s="1" t="str">
        <f>IFERROR(__xludf.DUMMYFUNCTION("GOOGLETRANSLATE(B14867, ""en"", ""fa"")
"),"درآمد غیرفعال")</f>
        <v>درآمد غیرفعال</v>
      </c>
      <c r="G14867" s="1" t="str">
        <f>IFERROR(__xludf.DUMMYFUNCTION("GOOGLETRANSLATE(C14867, ""en"", ""fa"")
"),"درباره اهمیت ایجاد یک حضور آنلاین قوی و برند شخصی برای جذب مخاطبان درگیر برای بازاریابی وابسته بحث کنید.")</f>
        <v>درباره اهمیت ایجاد یک حضور آنلاین قوی و برند شخصی برای جذب مخاطبان درگیر برای بازاریابی وابسته بحث کنید.</v>
      </c>
      <c r="H14867" s="1"/>
      <c r="I14867" s="1"/>
      <c r="J14867" s="1"/>
      <c r="K14867" s="1"/>
      <c r="L14867" s="1"/>
      <c r="M14867" s="1"/>
      <c r="N14867" s="1"/>
      <c r="O14867" s="1"/>
      <c r="P14867" s="1"/>
      <c r="Q14867" s="1"/>
      <c r="R14867" s="1"/>
      <c r="S14867" s="1"/>
      <c r="T14867" s="1"/>
      <c r="U14867" s="1"/>
      <c r="V14867" s="1"/>
      <c r="W14867" s="1"/>
      <c r="X14867" s="1"/>
      <c r="Y14867" s="1"/>
      <c r="Z14867" s="1"/>
      <c r="AA14867" s="1"/>
      <c r="AB14867" s="1"/>
    </row>
    <row r="14868" ht="50.25" customHeight="1">
      <c r="A14868" s="12">
        <v>14864.0</v>
      </c>
      <c r="B14868" s="13" t="s">
        <v>13838</v>
      </c>
      <c r="C14868" s="14" t="s">
        <v>14104</v>
      </c>
      <c r="D14868" s="1"/>
      <c r="E14868" s="1"/>
      <c r="F14868" s="1" t="str">
        <f>IFERROR(__xludf.DUMMYFUNCTION("GOOGLETRANSLATE(B14868, ""en"", ""fa"")
"),"درآمد غیرفعال")</f>
        <v>درآمد غیرفعال</v>
      </c>
      <c r="G14868" s="1" t="str">
        <f>IFERROR(__xludf.DUMMYFUNCTION("GOOGLETRANSLATE(C14868, ""en"", ""fa"")
"),"چگونه شرکت های وابسته می توانند به طور موثر از بازاریابی محتوا، مانند وبلاگ نویسی و ایجاد ویدیو، برای تبلیغ محصولات وابسته استفاده کنند؟")</f>
        <v>چگونه شرکت های وابسته می توانند به طور موثر از بازاریابی محتوا، مانند وبلاگ نویسی و ایجاد ویدیو، برای تبلیغ محصولات وابسته استفاده کنند؟</v>
      </c>
      <c r="H14868" s="1"/>
      <c r="I14868" s="1"/>
      <c r="J14868" s="1"/>
      <c r="K14868" s="1"/>
      <c r="L14868" s="1"/>
      <c r="M14868" s="1"/>
      <c r="N14868" s="1"/>
      <c r="O14868" s="1"/>
      <c r="P14868" s="1"/>
      <c r="Q14868" s="1"/>
      <c r="R14868" s="1"/>
      <c r="S14868" s="1"/>
      <c r="T14868" s="1"/>
      <c r="U14868" s="1"/>
      <c r="V14868" s="1"/>
      <c r="W14868" s="1"/>
      <c r="X14868" s="1"/>
      <c r="Y14868" s="1"/>
      <c r="Z14868" s="1"/>
      <c r="AA14868" s="1"/>
      <c r="AB14868" s="1"/>
    </row>
    <row r="14869" ht="50.25" customHeight="1">
      <c r="A14869" s="12">
        <v>14865.0</v>
      </c>
      <c r="B14869" s="13" t="s">
        <v>13838</v>
      </c>
      <c r="C14869" s="14" t="s">
        <v>14105</v>
      </c>
      <c r="D14869" s="1"/>
      <c r="E14869" s="1"/>
      <c r="F14869" s="1" t="str">
        <f>IFERROR(__xludf.DUMMYFUNCTION("GOOGLETRANSLATE(B14869, ""en"", ""fa"")
"),"درآمد غیرفعال")</f>
        <v>درآمد غیرفعال</v>
      </c>
      <c r="G14869" s="1" t="str">
        <f>IFERROR(__xludf.DUMMYFUNCTION("GOOGLETRANSLATE(C14869, ""en"", ""fa"")
"),"تأثیر افشای شرکت های وابسته و شفافیت در حفظ اعتماد با مخاطبان خود را بررسی کنید.")</f>
        <v>تأثیر افشای شرکت های وابسته و شفافیت در حفظ اعتماد با مخاطبان خود را بررسی کنید.</v>
      </c>
      <c r="H14869" s="1"/>
      <c r="I14869" s="1"/>
      <c r="J14869" s="1"/>
      <c r="K14869" s="1"/>
      <c r="L14869" s="1"/>
      <c r="M14869" s="1"/>
      <c r="N14869" s="1"/>
      <c r="O14869" s="1"/>
      <c r="P14869" s="1"/>
      <c r="Q14869" s="1"/>
      <c r="R14869" s="1"/>
      <c r="S14869" s="1"/>
      <c r="T14869" s="1"/>
      <c r="U14869" s="1"/>
      <c r="V14869" s="1"/>
      <c r="W14869" s="1"/>
      <c r="X14869" s="1"/>
      <c r="Y14869" s="1"/>
      <c r="Z14869" s="1"/>
      <c r="AA14869" s="1"/>
      <c r="AB14869" s="1"/>
    </row>
    <row r="14870" ht="50.25" customHeight="1">
      <c r="A14870" s="12">
        <v>14866.0</v>
      </c>
      <c r="B14870" s="13" t="s">
        <v>13838</v>
      </c>
      <c r="C14870" s="14" t="s">
        <v>14106</v>
      </c>
      <c r="D14870" s="1"/>
      <c r="E14870" s="1"/>
      <c r="F14870" s="1" t="str">
        <f>IFERROR(__xludf.DUMMYFUNCTION("GOOGLETRANSLATE(B14870, ""en"", ""fa"")
"),"درآمد غیرفعال")</f>
        <v>درآمد غیرفعال</v>
      </c>
      <c r="G14870" s="1" t="str">
        <f>IFERROR(__xludf.DUMMYFUNCTION("GOOGLETRANSLATE(C14870, ""en"", ""fa"")
"),"شرکت های وابسته از چه استراتژی هایی می توانند برای انتخاب برنامه ها و محصولات وابسته مناسب برای تبلیغ استفاده کنند؟")</f>
        <v>شرکت های وابسته از چه استراتژی هایی می توانند برای انتخاب برنامه ها و محصولات وابسته مناسب برای تبلیغ استفاده کنند؟</v>
      </c>
      <c r="H14870" s="1"/>
      <c r="I14870" s="1"/>
      <c r="J14870" s="1"/>
      <c r="K14870" s="1"/>
      <c r="L14870" s="1"/>
      <c r="M14870" s="1"/>
      <c r="N14870" s="1"/>
      <c r="O14870" s="1"/>
      <c r="P14870" s="1"/>
      <c r="Q14870" s="1"/>
      <c r="R14870" s="1"/>
      <c r="S14870" s="1"/>
      <c r="T14870" s="1"/>
      <c r="U14870" s="1"/>
      <c r="V14870" s="1"/>
      <c r="W14870" s="1"/>
      <c r="X14870" s="1"/>
      <c r="Y14870" s="1"/>
      <c r="Z14870" s="1"/>
      <c r="AA14870" s="1"/>
      <c r="AB14870" s="1"/>
    </row>
    <row r="14871" ht="50.25" customHeight="1">
      <c r="A14871" s="12">
        <v>14867.0</v>
      </c>
      <c r="B14871" s="13" t="s">
        <v>13838</v>
      </c>
      <c r="C14871" s="14" t="s">
        <v>14107</v>
      </c>
      <c r="D14871" s="1"/>
      <c r="E14871" s="1"/>
      <c r="F14871" s="1" t="str">
        <f>IFERROR(__xludf.DUMMYFUNCTION("GOOGLETRANSLATE(B14871, ""en"", ""fa"")
"),"درآمد غیرفعال")</f>
        <v>درآمد غیرفعال</v>
      </c>
      <c r="G14871" s="1" t="str">
        <f>IFERROR(__xludf.DUMMYFUNCTION("GOOGLETRANSLATE(C14871, ""en"", ""fa"")
"),"در مورد نقش شبکه های وابسته در ارتباط دادن شرکت های وابسته با طیف وسیعی از محصولات و بازرگانان بحث کنید.")</f>
        <v>در مورد نقش شبکه های وابسته در ارتباط دادن شرکت های وابسته با طیف وسیعی از محصولات و بازرگانان بحث کنید.</v>
      </c>
      <c r="H14871" s="1"/>
      <c r="I14871" s="1"/>
      <c r="J14871" s="1"/>
      <c r="K14871" s="1"/>
      <c r="L14871" s="1"/>
      <c r="M14871" s="1"/>
      <c r="N14871" s="1"/>
      <c r="O14871" s="1"/>
      <c r="P14871" s="1"/>
      <c r="Q14871" s="1"/>
      <c r="R14871" s="1"/>
      <c r="S14871" s="1"/>
      <c r="T14871" s="1"/>
      <c r="U14871" s="1"/>
      <c r="V14871" s="1"/>
      <c r="W14871" s="1"/>
      <c r="X14871" s="1"/>
      <c r="Y14871" s="1"/>
      <c r="Z14871" s="1"/>
      <c r="AA14871" s="1"/>
      <c r="AB14871" s="1"/>
    </row>
    <row r="14872" ht="50.25" customHeight="1">
      <c r="A14872" s="12">
        <v>14868.0</v>
      </c>
      <c r="B14872" s="13" t="s">
        <v>13838</v>
      </c>
      <c r="C14872" s="14" t="s">
        <v>14108</v>
      </c>
      <c r="D14872" s="1"/>
      <c r="E14872" s="1"/>
      <c r="F14872" s="1" t="str">
        <f>IFERROR(__xludf.DUMMYFUNCTION("GOOGLETRANSLATE(B14872, ""en"", ""fa"")
"),"درآمد غیرفعال")</f>
        <v>درآمد غیرفعال</v>
      </c>
      <c r="G14872" s="1" t="str">
        <f>IFERROR(__xludf.DUMMYFUNCTION("GOOGLETRANSLATE(C14872, ""en"", ""fa"")
"),"پتانسیل استفاده از ایمیل مارکتینگ را برای ایجاد مخاطب هدفمند و ترویج محصولات وابسته بررسی کنید.")</f>
        <v>پتانسیل استفاده از ایمیل مارکتینگ را برای ایجاد مخاطب هدفمند و ترویج محصولات وابسته بررسی کنید.</v>
      </c>
      <c r="H14872" s="1"/>
      <c r="I14872" s="1"/>
      <c r="J14872" s="1"/>
      <c r="K14872" s="1"/>
      <c r="L14872" s="1"/>
      <c r="M14872" s="1"/>
      <c r="N14872" s="1"/>
      <c r="O14872" s="1"/>
      <c r="P14872" s="1"/>
      <c r="Q14872" s="1"/>
      <c r="R14872" s="1"/>
      <c r="S14872" s="1"/>
      <c r="T14872" s="1"/>
      <c r="U14872" s="1"/>
      <c r="V14872" s="1"/>
      <c r="W14872" s="1"/>
      <c r="X14872" s="1"/>
      <c r="Y14872" s="1"/>
      <c r="Z14872" s="1"/>
      <c r="AA14872" s="1"/>
      <c r="AB14872" s="1"/>
    </row>
    <row r="14873" ht="50.25" customHeight="1">
      <c r="A14873" s="12">
        <v>14869.0</v>
      </c>
      <c r="B14873" s="13" t="s">
        <v>13838</v>
      </c>
      <c r="C14873" s="14" t="s">
        <v>14109</v>
      </c>
      <c r="D14873" s="1"/>
      <c r="E14873" s="1"/>
      <c r="F14873" s="1" t="str">
        <f>IFERROR(__xludf.DUMMYFUNCTION("GOOGLETRANSLATE(B14873, ""en"", ""fa"")
"),"درآمد غیرفعال")</f>
        <v>درآمد غیرفعال</v>
      </c>
      <c r="G14873" s="1" t="str">
        <f>IFERROR(__xludf.DUMMYFUNCTION("GOOGLETRANSLATE(C14873, ""en"", ""fa"")
"),"چگونه شرکت‌های وابسته می‌توانند از پلتفرم‌های رسانه‌های اجتماعی برای دستیابی به مخاطبان گسترده‌تر و افزایش فروش وابسته استفاده کنند؟")</f>
        <v>چگونه شرکت‌های وابسته می‌توانند از پلتفرم‌های رسانه‌های اجتماعی برای دستیابی به مخاطبان گسترده‌تر و افزایش فروش وابسته استفاده کنند؟</v>
      </c>
      <c r="H14873" s="1"/>
      <c r="I14873" s="1"/>
      <c r="J14873" s="1"/>
      <c r="K14873" s="1"/>
      <c r="L14873" s="1"/>
      <c r="M14873" s="1"/>
      <c r="N14873" s="1"/>
      <c r="O14873" s="1"/>
      <c r="P14873" s="1"/>
      <c r="Q14873" s="1"/>
      <c r="R14873" s="1"/>
      <c r="S14873" s="1"/>
      <c r="T14873" s="1"/>
      <c r="U14873" s="1"/>
      <c r="V14873" s="1"/>
      <c r="W14873" s="1"/>
      <c r="X14873" s="1"/>
      <c r="Y14873" s="1"/>
      <c r="Z14873" s="1"/>
      <c r="AA14873" s="1"/>
      <c r="AB14873" s="1"/>
    </row>
    <row r="14874" ht="50.25" customHeight="1">
      <c r="A14874" s="12">
        <v>14870.0</v>
      </c>
      <c r="B14874" s="13" t="s">
        <v>13838</v>
      </c>
      <c r="C14874" s="14" t="s">
        <v>14110</v>
      </c>
      <c r="D14874" s="1"/>
      <c r="E14874" s="1"/>
      <c r="F14874" s="1" t="str">
        <f>IFERROR(__xludf.DUMMYFUNCTION("GOOGLETRANSLATE(B14874, ""en"", ""fa"")
"),"درآمد غیرفعال")</f>
        <v>درآمد غیرفعال</v>
      </c>
      <c r="G14874" s="1" t="str">
        <f>IFERROR(__xludf.DUMMYFUNCTION("GOOGLETRANSLATE(C14874, ""en"", ""fa"")
"),"درباره مفهوم استفاده از محتوای مقایسه و بررسی برای کمک به مخاطبان خود در تصمیم گیری آگاهانه خرید بحث کنید.")</f>
        <v>درباره مفهوم استفاده از محتوای مقایسه و بررسی برای کمک به مخاطبان خود در تصمیم گیری آگاهانه خرید بحث کنید.</v>
      </c>
      <c r="H14874" s="1"/>
      <c r="I14874" s="1"/>
      <c r="J14874" s="1"/>
      <c r="K14874" s="1"/>
      <c r="L14874" s="1"/>
      <c r="M14874" s="1"/>
      <c r="N14874" s="1"/>
      <c r="O14874" s="1"/>
      <c r="P14874" s="1"/>
      <c r="Q14874" s="1"/>
      <c r="R14874" s="1"/>
      <c r="S14874" s="1"/>
      <c r="T14874" s="1"/>
      <c r="U14874" s="1"/>
      <c r="V14874" s="1"/>
      <c r="W14874" s="1"/>
      <c r="X14874" s="1"/>
      <c r="Y14874" s="1"/>
      <c r="Z14874" s="1"/>
      <c r="AA14874" s="1"/>
      <c r="AB14874" s="1"/>
    </row>
    <row r="14875" ht="50.25" customHeight="1">
      <c r="A14875" s="12">
        <v>14871.0</v>
      </c>
      <c r="B14875" s="13" t="s">
        <v>13838</v>
      </c>
      <c r="C14875" s="14" t="s">
        <v>14111</v>
      </c>
      <c r="D14875" s="1"/>
      <c r="E14875" s="1"/>
      <c r="F14875" s="1" t="str">
        <f>IFERROR(__xludf.DUMMYFUNCTION("GOOGLETRANSLATE(B14875, ""en"", ""fa"")
"),"درآمد غیرفعال")</f>
        <v>درآمد غیرفعال</v>
      </c>
      <c r="G14875" s="1" t="str">
        <f>IFERROR(__xludf.DUMMYFUNCTION("GOOGLETRANSLATE(C14875, ""en"", ""fa"")
"),"تحقیق کلمات کلیدی و بهینه سازی موتور جستجو (SEO) چه نقشی در بازاریابی وابسته ایفا می کند؟")</f>
        <v>تحقیق کلمات کلیدی و بهینه سازی موتور جستجو (SEO) چه نقشی در بازاریابی وابسته ایفا می کند؟</v>
      </c>
      <c r="H14875" s="1"/>
      <c r="I14875" s="1"/>
      <c r="J14875" s="1"/>
      <c r="K14875" s="1"/>
      <c r="L14875" s="1"/>
      <c r="M14875" s="1"/>
      <c r="N14875" s="1"/>
      <c r="O14875" s="1"/>
      <c r="P14875" s="1"/>
      <c r="Q14875" s="1"/>
      <c r="R14875" s="1"/>
      <c r="S14875" s="1"/>
      <c r="T14875" s="1"/>
      <c r="U14875" s="1"/>
      <c r="V14875" s="1"/>
      <c r="W14875" s="1"/>
      <c r="X14875" s="1"/>
      <c r="Y14875" s="1"/>
      <c r="Z14875" s="1"/>
      <c r="AA14875" s="1"/>
      <c r="AB14875" s="1"/>
    </row>
    <row r="14876" ht="50.25" customHeight="1">
      <c r="A14876" s="12">
        <v>14872.0</v>
      </c>
      <c r="B14876" s="13" t="s">
        <v>13838</v>
      </c>
      <c r="C14876" s="14" t="s">
        <v>14112</v>
      </c>
      <c r="D14876" s="1"/>
      <c r="E14876" s="1"/>
      <c r="F14876" s="1" t="str">
        <f>IFERROR(__xludf.DUMMYFUNCTION("GOOGLETRANSLATE(B14876, ""en"", ""fa"")
"),"درآمد غیرفعال")</f>
        <v>درآمد غیرفعال</v>
      </c>
      <c r="G14876" s="1" t="str">
        <f>IFERROR(__xludf.DUMMYFUNCTION("GOOGLETRANSLATE(C14876, ""en"", ""fa"")
"),"تأثیر دانش محصول و درک نیازهای مخاطبان خود را در ایجاد استراتژی های بازاریابی وابسته بررسی کنید.")</f>
        <v>تأثیر دانش محصول و درک نیازهای مخاطبان خود را در ایجاد استراتژی های بازاریابی وابسته بررسی کنید.</v>
      </c>
      <c r="H14876" s="1"/>
      <c r="I14876" s="1"/>
      <c r="J14876" s="1"/>
      <c r="K14876" s="1"/>
      <c r="L14876" s="1"/>
      <c r="M14876" s="1"/>
      <c r="N14876" s="1"/>
      <c r="O14876" s="1"/>
      <c r="P14876" s="1"/>
      <c r="Q14876" s="1"/>
      <c r="R14876" s="1"/>
      <c r="S14876" s="1"/>
      <c r="T14876" s="1"/>
      <c r="U14876" s="1"/>
      <c r="V14876" s="1"/>
      <c r="W14876" s="1"/>
      <c r="X14876" s="1"/>
      <c r="Y14876" s="1"/>
      <c r="Z14876" s="1"/>
      <c r="AA14876" s="1"/>
      <c r="AB14876" s="1"/>
    </row>
    <row r="14877" ht="50.25" customHeight="1">
      <c r="A14877" s="12">
        <v>14873.0</v>
      </c>
      <c r="B14877" s="13" t="s">
        <v>13838</v>
      </c>
      <c r="C14877" s="14" t="s">
        <v>14113</v>
      </c>
      <c r="D14877" s="1"/>
      <c r="E14877" s="1"/>
      <c r="F14877" s="1" t="str">
        <f>IFERROR(__xludf.DUMMYFUNCTION("GOOGLETRANSLATE(B14877, ""en"", ""fa"")
"),"درآمد غیرفعال")</f>
        <v>درآمد غیرفعال</v>
      </c>
      <c r="G14877" s="1" t="str">
        <f>IFERROR(__xludf.DUMMYFUNCTION("GOOGLETRANSLATE(C14877, ""en"", ""fa"")
"),"چگونه شرکت‌های وابسته می‌توانند از همکاری‌ها و مشارکت‌های اینفلوئنسر برای گسترش دامنه خود و ترویج محصولات وابسته استفاده کنند؟")</f>
        <v>چگونه شرکت‌های وابسته می‌توانند از همکاری‌ها و مشارکت‌های اینفلوئنسر برای گسترش دامنه خود و ترویج محصولات وابسته استفاده کنند؟</v>
      </c>
      <c r="H14877" s="1"/>
      <c r="I14877" s="1"/>
      <c r="J14877" s="1"/>
      <c r="K14877" s="1"/>
      <c r="L14877" s="1"/>
      <c r="M14877" s="1"/>
      <c r="N14877" s="1"/>
      <c r="O14877" s="1"/>
      <c r="P14877" s="1"/>
      <c r="Q14877" s="1"/>
      <c r="R14877" s="1"/>
      <c r="S14877" s="1"/>
      <c r="T14877" s="1"/>
      <c r="U14877" s="1"/>
      <c r="V14877" s="1"/>
      <c r="W14877" s="1"/>
      <c r="X14877" s="1"/>
      <c r="Y14877" s="1"/>
      <c r="Z14877" s="1"/>
      <c r="AA14877" s="1"/>
      <c r="AB14877" s="1"/>
    </row>
    <row r="14878" ht="50.25" customHeight="1">
      <c r="A14878" s="12">
        <v>14874.0</v>
      </c>
      <c r="B14878" s="13" t="s">
        <v>13838</v>
      </c>
      <c r="C14878" s="14" t="s">
        <v>14114</v>
      </c>
      <c r="D14878" s="1"/>
      <c r="E14878" s="1"/>
      <c r="F14878" s="1" t="str">
        <f>IFERROR(__xludf.DUMMYFUNCTION("GOOGLETRANSLATE(B14878, ""en"", ""fa"")
"),"درآمد غیرفعال")</f>
        <v>درآمد غیرفعال</v>
      </c>
      <c r="G14878" s="1" t="str">
        <f>IFERROR(__xludf.DUMMYFUNCTION("GOOGLETRANSLATE(C14878, ""en"", ""fa"")
"),"در مورد اهمیت ردیابی و تجزیه و تحلیل عملکرد کمپین های بازاریابی وابسته خود بحث کنید.")</f>
        <v>در مورد اهمیت ردیابی و تجزیه و تحلیل عملکرد کمپین های بازاریابی وابسته خود بحث کنید.</v>
      </c>
      <c r="H14878" s="1"/>
      <c r="I14878" s="1"/>
      <c r="J14878" s="1"/>
      <c r="K14878" s="1"/>
      <c r="L14878" s="1"/>
      <c r="M14878" s="1"/>
      <c r="N14878" s="1"/>
      <c r="O14878" s="1"/>
      <c r="P14878" s="1"/>
      <c r="Q14878" s="1"/>
      <c r="R14878" s="1"/>
      <c r="S14878" s="1"/>
      <c r="T14878" s="1"/>
      <c r="U14878" s="1"/>
      <c r="V14878" s="1"/>
      <c r="W14878" s="1"/>
      <c r="X14878" s="1"/>
      <c r="Y14878" s="1"/>
      <c r="Z14878" s="1"/>
      <c r="AA14878" s="1"/>
      <c r="AB14878" s="1"/>
    </row>
    <row r="14879" ht="50.25" customHeight="1">
      <c r="A14879" s="12">
        <v>14875.0</v>
      </c>
      <c r="B14879" s="13" t="s">
        <v>13838</v>
      </c>
      <c r="C14879" s="14" t="s">
        <v>14115</v>
      </c>
      <c r="D14879" s="1"/>
      <c r="E14879" s="1"/>
      <c r="F14879" s="1" t="str">
        <f>IFERROR(__xludf.DUMMYFUNCTION("GOOGLETRANSLATE(B14879, ""en"", ""fa"")
"),"درآمد غیرفعال")</f>
        <v>درآمد غیرفعال</v>
      </c>
      <c r="G14879" s="1" t="str">
        <f>IFERROR(__xludf.DUMMYFUNCTION("GOOGLETRANSLATE(C14879, ""en"", ""fa"")
"),"پتانسیل ایجاد آهنرباهای سرب و منابع رایگان برای جذب و پرورش سرنخ برای محصولات وابسته را کاوش کنید.")</f>
        <v>پتانسیل ایجاد آهنرباهای سرب و منابع رایگان برای جذب و پرورش سرنخ برای محصولات وابسته را کاوش کنید.</v>
      </c>
      <c r="H14879" s="1"/>
      <c r="I14879" s="1"/>
      <c r="J14879" s="1"/>
      <c r="K14879" s="1"/>
      <c r="L14879" s="1"/>
      <c r="M14879" s="1"/>
      <c r="N14879" s="1"/>
      <c r="O14879" s="1"/>
      <c r="P14879" s="1"/>
      <c r="Q14879" s="1"/>
      <c r="R14879" s="1"/>
      <c r="S14879" s="1"/>
      <c r="T14879" s="1"/>
      <c r="U14879" s="1"/>
      <c r="V14879" s="1"/>
      <c r="W14879" s="1"/>
      <c r="X14879" s="1"/>
      <c r="Y14879" s="1"/>
      <c r="Z14879" s="1"/>
      <c r="AA14879" s="1"/>
      <c r="AB14879" s="1"/>
    </row>
    <row r="14880" ht="50.25" customHeight="1">
      <c r="A14880" s="12">
        <v>14876.0</v>
      </c>
      <c r="B14880" s="13" t="s">
        <v>13838</v>
      </c>
      <c r="C14880" s="14" t="s">
        <v>14116</v>
      </c>
      <c r="D14880" s="1"/>
      <c r="E14880" s="1"/>
      <c r="F14880" s="1" t="str">
        <f>IFERROR(__xludf.DUMMYFUNCTION("GOOGLETRANSLATE(B14880, ""en"", ""fa"")
"),"درآمد غیرفعال")</f>
        <v>درآمد غیرفعال</v>
      </c>
      <c r="G14880" s="1" t="str">
        <f>IFERROR(__xludf.DUMMYFUNCTION("GOOGLETRANSLATE(C14880, ""en"", ""fa"")
"),"شرکت های وابسته از چه استراتژی هایی می توانند برای ادغام موثر لینک های وابسته و تبلیغات در محتوای خود استفاده کنند؟")</f>
        <v>شرکت های وابسته از چه استراتژی هایی می توانند برای ادغام موثر لینک های وابسته و تبلیغات در محتوای خود استفاده کنند؟</v>
      </c>
      <c r="H14880" s="1"/>
      <c r="I14880" s="1"/>
      <c r="J14880" s="1"/>
      <c r="K14880" s="1"/>
      <c r="L14880" s="1"/>
      <c r="M14880" s="1"/>
      <c r="N14880" s="1"/>
      <c r="O14880" s="1"/>
      <c r="P14880" s="1"/>
      <c r="Q14880" s="1"/>
      <c r="R14880" s="1"/>
      <c r="S14880" s="1"/>
      <c r="T14880" s="1"/>
      <c r="U14880" s="1"/>
      <c r="V14880" s="1"/>
      <c r="W14880" s="1"/>
      <c r="X14880" s="1"/>
      <c r="Y14880" s="1"/>
      <c r="Z14880" s="1"/>
      <c r="AA14880" s="1"/>
      <c r="AB14880" s="1"/>
    </row>
    <row r="14881" ht="50.25" customHeight="1">
      <c r="A14881" s="12">
        <v>14877.0</v>
      </c>
      <c r="B14881" s="13" t="s">
        <v>13838</v>
      </c>
      <c r="C14881" s="14" t="s">
        <v>14117</v>
      </c>
      <c r="D14881" s="1"/>
      <c r="E14881" s="1"/>
      <c r="F14881" s="1" t="str">
        <f>IFERROR(__xludf.DUMMYFUNCTION("GOOGLETRANSLATE(B14881, ""en"", ""fa"")
"),"درآمد غیرفعال")</f>
        <v>درآمد غیرفعال</v>
      </c>
      <c r="G14881" s="1" t="str">
        <f>IFERROR(__xludf.DUMMYFUNCTION("GOOGLETRANSLATE(C14881, ""en"", ""fa"")
"),"درباره نقش بازاریابی ویدئویی و آموزش ها در نشان دادن ارزش محصولات وابسته به مخاطبان خود بحث کنید.")</f>
        <v>درباره نقش بازاریابی ویدئویی و آموزش ها در نشان دادن ارزش محصولات وابسته به مخاطبان خود بحث کنید.</v>
      </c>
      <c r="H14881" s="1"/>
      <c r="I14881" s="1"/>
      <c r="J14881" s="1"/>
      <c r="K14881" s="1"/>
      <c r="L14881" s="1"/>
      <c r="M14881" s="1"/>
      <c r="N14881" s="1"/>
      <c r="O14881" s="1"/>
      <c r="P14881" s="1"/>
      <c r="Q14881" s="1"/>
      <c r="R14881" s="1"/>
      <c r="S14881" s="1"/>
      <c r="T14881" s="1"/>
      <c r="U14881" s="1"/>
      <c r="V14881" s="1"/>
      <c r="W14881" s="1"/>
      <c r="X14881" s="1"/>
      <c r="Y14881" s="1"/>
      <c r="Z14881" s="1"/>
      <c r="AA14881" s="1"/>
      <c r="AB14881" s="1"/>
    </row>
    <row r="14882" ht="50.25" customHeight="1">
      <c r="A14882" s="12">
        <v>14878.0</v>
      </c>
      <c r="B14882" s="13" t="s">
        <v>13838</v>
      </c>
      <c r="C14882" s="14" t="s">
        <v>14118</v>
      </c>
      <c r="D14882" s="1"/>
      <c r="E14882" s="1"/>
      <c r="F14882" s="1" t="str">
        <f>IFERROR(__xludf.DUMMYFUNCTION("GOOGLETRANSLATE(B14882, ""en"", ""fa"")
"),"درآمد غیرفعال")</f>
        <v>درآمد غیرفعال</v>
      </c>
      <c r="G14882" s="1" t="str">
        <f>IFERROR(__xludf.DUMMYFUNCTION("GOOGLETRANSLATE(C14882, ""en"", ""fa"")
"),"تاثیر استفاده از تجزیه و تحلیل داده ها و بینش ها را برای بهینه سازی استراتژی های بازاریابی وابسته خود بررسی کنید.")</f>
        <v>تاثیر استفاده از تجزیه و تحلیل داده ها و بینش ها را برای بهینه سازی استراتژی های بازاریابی وابسته خود بررسی کنید.</v>
      </c>
      <c r="H14882" s="1"/>
      <c r="I14882" s="1"/>
      <c r="J14882" s="1"/>
      <c r="K14882" s="1"/>
      <c r="L14882" s="1"/>
      <c r="M14882" s="1"/>
      <c r="N14882" s="1"/>
      <c r="O14882" s="1"/>
      <c r="P14882" s="1"/>
      <c r="Q14882" s="1"/>
      <c r="R14882" s="1"/>
      <c r="S14882" s="1"/>
      <c r="T14882" s="1"/>
      <c r="U14882" s="1"/>
      <c r="V14882" s="1"/>
      <c r="W14882" s="1"/>
      <c r="X14882" s="1"/>
      <c r="Y14882" s="1"/>
      <c r="Z14882" s="1"/>
      <c r="AA14882" s="1"/>
      <c r="AB14882" s="1"/>
    </row>
    <row r="14883" ht="50.25" customHeight="1">
      <c r="A14883" s="12">
        <v>14879.0</v>
      </c>
      <c r="B14883" s="13" t="s">
        <v>13838</v>
      </c>
      <c r="C14883" s="14" t="s">
        <v>14119</v>
      </c>
      <c r="D14883" s="1"/>
      <c r="E14883" s="1"/>
      <c r="F14883" s="1" t="str">
        <f>IFERROR(__xludf.DUMMYFUNCTION("GOOGLETRANSLATE(B14883, ""en"", ""fa"")
"),"درآمد غیرفعال")</f>
        <v>درآمد غیرفعال</v>
      </c>
      <c r="G14883" s="1" t="str">
        <f>IFERROR(__xludf.DUMMYFUNCTION("GOOGLETRANSLATE(C14883, ""en"", ""fa"")
"),"چگونه شرکت‌های وابسته می‌توانند دعوت به اقدام (CTA) جذاب و قانع‌کننده ایجاد کنند تا کلیک‌ها و تبدیل‌ها را افزایش دهند؟")</f>
        <v>چگونه شرکت‌های وابسته می‌توانند دعوت به اقدام (CTA) جذاب و قانع‌کننده ایجاد کنند تا کلیک‌ها و تبدیل‌ها را افزایش دهند؟</v>
      </c>
      <c r="H14883" s="1"/>
      <c r="I14883" s="1"/>
      <c r="J14883" s="1"/>
      <c r="K14883" s="1"/>
      <c r="L14883" s="1"/>
      <c r="M14883" s="1"/>
      <c r="N14883" s="1"/>
      <c r="O14883" s="1"/>
      <c r="P14883" s="1"/>
      <c r="Q14883" s="1"/>
      <c r="R14883" s="1"/>
      <c r="S14883" s="1"/>
      <c r="T14883" s="1"/>
      <c r="U14883" s="1"/>
      <c r="V14883" s="1"/>
      <c r="W14883" s="1"/>
      <c r="X14883" s="1"/>
      <c r="Y14883" s="1"/>
      <c r="Z14883" s="1"/>
      <c r="AA14883" s="1"/>
      <c r="AB14883" s="1"/>
    </row>
    <row r="14884" ht="50.25" customHeight="1">
      <c r="A14884" s="12">
        <v>14880.0</v>
      </c>
      <c r="B14884" s="13" t="s">
        <v>13838</v>
      </c>
      <c r="C14884" s="14" t="s">
        <v>14120</v>
      </c>
      <c r="D14884" s="1"/>
      <c r="E14884" s="1"/>
      <c r="F14884" s="1" t="str">
        <f>IFERROR(__xludf.DUMMYFUNCTION("GOOGLETRANSLATE(B14884, ""en"", ""fa"")
"),"درآمد غیرفعال")</f>
        <v>درآمد غیرفعال</v>
      </c>
      <c r="G14884" s="1" t="str">
        <f>IFERROR(__xludf.DUMMYFUNCTION("GOOGLETRANSLATE(C14884, ""en"", ""fa"")
"),"در مورد مفهوم استفاده از داستان سرایی و تجربیات شخصی برای ارتباط با مخاطبان خود و ترویج محصولات وابسته بحث کنید.")</f>
        <v>در مورد مفهوم استفاده از داستان سرایی و تجربیات شخصی برای ارتباط با مخاطبان خود و ترویج محصولات وابسته بحث کنید.</v>
      </c>
      <c r="H14884" s="1"/>
      <c r="I14884" s="1"/>
      <c r="J14884" s="1"/>
      <c r="K14884" s="1"/>
      <c r="L14884" s="1"/>
      <c r="M14884" s="1"/>
      <c r="N14884" s="1"/>
      <c r="O14884" s="1"/>
      <c r="P14884" s="1"/>
      <c r="Q14884" s="1"/>
      <c r="R14884" s="1"/>
      <c r="S14884" s="1"/>
      <c r="T14884" s="1"/>
      <c r="U14884" s="1"/>
      <c r="V14884" s="1"/>
      <c r="W14884" s="1"/>
      <c r="X14884" s="1"/>
      <c r="Y14884" s="1"/>
      <c r="Z14884" s="1"/>
      <c r="AA14884" s="1"/>
      <c r="AB14884" s="1"/>
    </row>
    <row r="14885" ht="50.25" customHeight="1">
      <c r="A14885" s="12">
        <v>14881.0</v>
      </c>
      <c r="B14885" s="13" t="s">
        <v>13838</v>
      </c>
      <c r="C14885" s="14" t="s">
        <v>14121</v>
      </c>
      <c r="D14885" s="1"/>
      <c r="E14885" s="1"/>
      <c r="F14885" s="1" t="str">
        <f>IFERROR(__xludf.DUMMYFUNCTION("GOOGLETRANSLATE(B14885, ""en"", ""fa"")
"),"درآمد غیرفعال")</f>
        <v>درآمد غیرفعال</v>
      </c>
      <c r="G14885" s="1" t="str">
        <f>IFERROR(__xludf.DUMMYFUNCTION("GOOGLETRANSLATE(C14885, ""en"", ""fa"")
"),"اثبات اجتماعی، مانند نظرات مشتریان و توصیفات، چه نقشی در ایجاد اعتبار برای محصولات وابسته ایفا می کند؟")</f>
        <v>اثبات اجتماعی، مانند نظرات مشتریان و توصیفات، چه نقشی در ایجاد اعتبار برای محصولات وابسته ایفا می کند؟</v>
      </c>
      <c r="H14885" s="1"/>
      <c r="I14885" s="1"/>
      <c r="J14885" s="1"/>
      <c r="K14885" s="1"/>
      <c r="L14885" s="1"/>
      <c r="M14885" s="1"/>
      <c r="N14885" s="1"/>
      <c r="O14885" s="1"/>
      <c r="P14885" s="1"/>
      <c r="Q14885" s="1"/>
      <c r="R14885" s="1"/>
      <c r="S14885" s="1"/>
      <c r="T14885" s="1"/>
      <c r="U14885" s="1"/>
      <c r="V14885" s="1"/>
      <c r="W14885" s="1"/>
      <c r="X14885" s="1"/>
      <c r="Y14885" s="1"/>
      <c r="Z14885" s="1"/>
      <c r="AA14885" s="1"/>
      <c r="AB14885" s="1"/>
    </row>
    <row r="14886" ht="50.25" customHeight="1">
      <c r="A14886" s="12">
        <v>14882.0</v>
      </c>
      <c r="B14886" s="13" t="s">
        <v>13838</v>
      </c>
      <c r="C14886" s="14" t="s">
        <v>14122</v>
      </c>
      <c r="D14886" s="1"/>
      <c r="E14886" s="1"/>
      <c r="F14886" s="1" t="str">
        <f>IFERROR(__xludf.DUMMYFUNCTION("GOOGLETRANSLATE(B14886, ""en"", ""fa"")
"),"درآمد غیرفعال")</f>
        <v>درآمد غیرفعال</v>
      </c>
      <c r="G14886" s="1" t="str">
        <f>IFERROR(__xludf.DUMMYFUNCTION("GOOGLETRANSLATE(C14886, ""en"", ""fa"")
"),"پتانسیل استفاده از وبینارها و رویدادهای زنده برای نمایش و نمایش محصولات وابسته را بررسی کنید.")</f>
        <v>پتانسیل استفاده از وبینارها و رویدادهای زنده برای نمایش و نمایش محصولات وابسته را بررسی کنید.</v>
      </c>
      <c r="H14886" s="1"/>
      <c r="I14886" s="1"/>
      <c r="J14886" s="1"/>
      <c r="K14886" s="1"/>
      <c r="L14886" s="1"/>
      <c r="M14886" s="1"/>
      <c r="N14886" s="1"/>
      <c r="O14886" s="1"/>
      <c r="P14886" s="1"/>
      <c r="Q14886" s="1"/>
      <c r="R14886" s="1"/>
      <c r="S14886" s="1"/>
      <c r="T14886" s="1"/>
      <c r="U14886" s="1"/>
      <c r="V14886" s="1"/>
      <c r="W14886" s="1"/>
      <c r="X14886" s="1"/>
      <c r="Y14886" s="1"/>
      <c r="Z14886" s="1"/>
      <c r="AA14886" s="1"/>
      <c r="AB14886" s="1"/>
    </row>
    <row r="14887" ht="50.25" customHeight="1">
      <c r="A14887" s="12">
        <v>14883.0</v>
      </c>
      <c r="B14887" s="13" t="s">
        <v>13838</v>
      </c>
      <c r="C14887" s="14" t="s">
        <v>14123</v>
      </c>
      <c r="D14887" s="1"/>
      <c r="E14887" s="1"/>
      <c r="F14887" s="1" t="str">
        <f>IFERROR(__xludf.DUMMYFUNCTION("GOOGLETRANSLATE(B14887, ""en"", ""fa"")
"),"درآمد غیرفعال")</f>
        <v>درآمد غیرفعال</v>
      </c>
      <c r="G14887" s="1" t="str">
        <f>IFERROR(__xludf.DUMMYFUNCTION("GOOGLETRANSLATE(C14887, ""en"", ""fa"")
"),"چگونه شرکت‌های وابسته می‌توانند به طور مؤثر از پرورش سرنخ و اتوماسیون ایمیل برای تبدیل مشتریان بالقوه به خریداران استفاده کنند؟")</f>
        <v>چگونه شرکت‌های وابسته می‌توانند به طور مؤثر از پرورش سرنخ و اتوماسیون ایمیل برای تبدیل مشتریان بالقوه به خریداران استفاده کنند؟</v>
      </c>
      <c r="H14887" s="1"/>
      <c r="I14887" s="1"/>
      <c r="J14887" s="1"/>
      <c r="K14887" s="1"/>
      <c r="L14887" s="1"/>
      <c r="M14887" s="1"/>
      <c r="N14887" s="1"/>
      <c r="O14887" s="1"/>
      <c r="P14887" s="1"/>
      <c r="Q14887" s="1"/>
      <c r="R14887" s="1"/>
      <c r="S14887" s="1"/>
      <c r="T14887" s="1"/>
      <c r="U14887" s="1"/>
      <c r="V14887" s="1"/>
      <c r="W14887" s="1"/>
      <c r="X14887" s="1"/>
      <c r="Y14887" s="1"/>
      <c r="Z14887" s="1"/>
      <c r="AA14887" s="1"/>
      <c r="AB14887" s="1"/>
    </row>
    <row r="14888" ht="50.25" customHeight="1">
      <c r="A14888" s="12">
        <v>14884.0</v>
      </c>
      <c r="B14888" s="13" t="s">
        <v>13838</v>
      </c>
      <c r="C14888" s="14" t="s">
        <v>14124</v>
      </c>
      <c r="D14888" s="1"/>
      <c r="E14888" s="1"/>
      <c r="F14888" s="1" t="str">
        <f>IFERROR(__xludf.DUMMYFUNCTION("GOOGLETRANSLATE(B14888, ""en"", ""fa"")
"),"درآمد غیرفعال")</f>
        <v>درآمد غیرفعال</v>
      </c>
      <c r="G14888" s="1" t="str">
        <f>IFERROR(__xludf.DUMMYFUNCTION("GOOGLETRANSLATE(C14888, ""en"", ""fa"")
"),"در مورد اهمیت ایجاد یک لیست ایمیل و استفاده از تقسیم بندی برای تطبیق تبلیغات وابسته به بخش های مختلف مخاطب بحث کنید.")</f>
        <v>در مورد اهمیت ایجاد یک لیست ایمیل و استفاده از تقسیم بندی برای تطبیق تبلیغات وابسته به بخش های مختلف مخاطب بحث کنید.</v>
      </c>
      <c r="H14888" s="1"/>
      <c r="I14888" s="1"/>
      <c r="J14888" s="1"/>
      <c r="K14888" s="1"/>
      <c r="L14888" s="1"/>
      <c r="M14888" s="1"/>
      <c r="N14888" s="1"/>
      <c r="O14888" s="1"/>
      <c r="P14888" s="1"/>
      <c r="Q14888" s="1"/>
      <c r="R14888" s="1"/>
      <c r="S14888" s="1"/>
      <c r="T14888" s="1"/>
      <c r="U14888" s="1"/>
      <c r="V14888" s="1"/>
      <c r="W14888" s="1"/>
      <c r="X14888" s="1"/>
      <c r="Y14888" s="1"/>
      <c r="Z14888" s="1"/>
      <c r="AA14888" s="1"/>
      <c r="AB14888" s="1"/>
    </row>
    <row r="14889" ht="50.25" customHeight="1">
      <c r="A14889" s="12">
        <v>14885.0</v>
      </c>
      <c r="B14889" s="13" t="s">
        <v>13838</v>
      </c>
      <c r="C14889" s="14" t="s">
        <v>14125</v>
      </c>
      <c r="D14889" s="1"/>
      <c r="E14889" s="1"/>
      <c r="F14889" s="1" t="str">
        <f>IFERROR(__xludf.DUMMYFUNCTION("GOOGLETRANSLATE(B14889, ""en"", ""fa"")
"),"درآمد غیرفعال")</f>
        <v>درآمد غیرفعال</v>
      </c>
      <c r="G14889" s="1" t="str">
        <f>IFERROR(__xludf.DUMMYFUNCTION("GOOGLETRANSLATE(C14889, ""en"", ""fa"")
"),"پتانسیل استفاده از تبلیغات پولی، مانند تبلیغات گوگل یا تبلیغات فیس بوک، برای هدایت ترافیک به پیشنهادات وابسته را بررسی کنید.")</f>
        <v>پتانسیل استفاده از تبلیغات پولی، مانند تبلیغات گوگل یا تبلیغات فیس بوک، برای هدایت ترافیک به پیشنهادات وابسته را بررسی کنید.</v>
      </c>
      <c r="H14889" s="1"/>
      <c r="I14889" s="1"/>
      <c r="J14889" s="1"/>
      <c r="K14889" s="1"/>
      <c r="L14889" s="1"/>
      <c r="M14889" s="1"/>
      <c r="N14889" s="1"/>
      <c r="O14889" s="1"/>
      <c r="P14889" s="1"/>
      <c r="Q14889" s="1"/>
      <c r="R14889" s="1"/>
      <c r="S14889" s="1"/>
      <c r="T14889" s="1"/>
      <c r="U14889" s="1"/>
      <c r="V14889" s="1"/>
      <c r="W14889" s="1"/>
      <c r="X14889" s="1"/>
      <c r="Y14889" s="1"/>
      <c r="Z14889" s="1"/>
      <c r="AA14889" s="1"/>
      <c r="AB14889" s="1"/>
    </row>
    <row r="14890" ht="50.25" customHeight="1">
      <c r="A14890" s="12">
        <v>14886.0</v>
      </c>
      <c r="B14890" s="13" t="s">
        <v>13838</v>
      </c>
      <c r="C14890" s="14" t="s">
        <v>14126</v>
      </c>
      <c r="D14890" s="1"/>
      <c r="E14890" s="1"/>
      <c r="F14890" s="1" t="str">
        <f>IFERROR(__xludf.DUMMYFUNCTION("GOOGLETRANSLATE(B14890, ""en"", ""fa"")
"),"درآمد غیرفعال")</f>
        <v>درآمد غیرفعال</v>
      </c>
      <c r="G14890" s="1" t="str">
        <f>IFERROR(__xludf.DUMMYFUNCTION("GOOGLETRANSLATE(C14890, ""en"", ""fa"")
"),"شرکت های وابسته از چه استراتژی هایی می توانند برای بهینه سازی لینک های وابسته خود برای حداکثر دید و نرخ کلیک استفاده کنند؟")</f>
        <v>شرکت های وابسته از چه استراتژی هایی می توانند برای بهینه سازی لینک های وابسته خود برای حداکثر دید و نرخ کلیک استفاده کنند؟</v>
      </c>
      <c r="H14890" s="1"/>
      <c r="I14890" s="1"/>
      <c r="J14890" s="1"/>
      <c r="K14890" s="1"/>
      <c r="L14890" s="1"/>
      <c r="M14890" s="1"/>
      <c r="N14890" s="1"/>
      <c r="O14890" s="1"/>
      <c r="P14890" s="1"/>
      <c r="Q14890" s="1"/>
      <c r="R14890" s="1"/>
      <c r="S14890" s="1"/>
      <c r="T14890" s="1"/>
      <c r="U14890" s="1"/>
      <c r="V14890" s="1"/>
      <c r="W14890" s="1"/>
      <c r="X14890" s="1"/>
      <c r="Y14890" s="1"/>
      <c r="Z14890" s="1"/>
      <c r="AA14890" s="1"/>
      <c r="AB14890" s="1"/>
    </row>
    <row r="14891" ht="50.25" customHeight="1">
      <c r="A14891" s="12">
        <v>14887.0</v>
      </c>
      <c r="B14891" s="13" t="s">
        <v>13838</v>
      </c>
      <c r="C14891" s="14" t="s">
        <v>14127</v>
      </c>
      <c r="D14891" s="1"/>
      <c r="E14891" s="1"/>
      <c r="F14891" s="1" t="str">
        <f>IFERROR(__xludf.DUMMYFUNCTION("GOOGLETRANSLATE(B14891, ""en"", ""fa"")
"),"درآمد غیرفعال")</f>
        <v>درآمد غیرفعال</v>
      </c>
      <c r="G14891" s="1" t="str">
        <f>IFERROR(__xludf.DUMMYFUNCTION("GOOGLETRANSLATE(C14891, ""en"", ""fa"")
"),"در مورد نقش محتوای همیشه سبز و استراتژی های بلندمدت بازاریابی وابسته در ایجاد درآمد منفعل ثابت بحث کنید.")</f>
        <v>در مورد نقش محتوای همیشه سبز و استراتژی های بلندمدت بازاریابی وابسته در ایجاد درآمد منفعل ثابت بحث کنید.</v>
      </c>
      <c r="H14891" s="1"/>
      <c r="I14891" s="1"/>
      <c r="J14891" s="1"/>
      <c r="K14891" s="1"/>
      <c r="L14891" s="1"/>
      <c r="M14891" s="1"/>
      <c r="N14891" s="1"/>
      <c r="O14891" s="1"/>
      <c r="P14891" s="1"/>
      <c r="Q14891" s="1"/>
      <c r="R14891" s="1"/>
      <c r="S14891" s="1"/>
      <c r="T14891" s="1"/>
      <c r="U14891" s="1"/>
      <c r="V14891" s="1"/>
      <c r="W14891" s="1"/>
      <c r="X14891" s="1"/>
      <c r="Y14891" s="1"/>
      <c r="Z14891" s="1"/>
      <c r="AA14891" s="1"/>
      <c r="AB14891" s="1"/>
    </row>
    <row r="14892" ht="50.25" customHeight="1">
      <c r="A14892" s="12">
        <v>14888.0</v>
      </c>
      <c r="B14892" s="13" t="s">
        <v>13838</v>
      </c>
      <c r="C14892" s="14" t="s">
        <v>14128</v>
      </c>
      <c r="D14892" s="1"/>
      <c r="E14892" s="1"/>
      <c r="F14892" s="1" t="str">
        <f>IFERROR(__xludf.DUMMYFUNCTION("GOOGLETRANSLATE(B14892, ""en"", ""fa"")
"),"درآمد غیرفعال")</f>
        <v>درآمد غیرفعال</v>
      </c>
      <c r="G14892" s="1" t="str">
        <f>IFERROR(__xludf.DUMMYFUNCTION("GOOGLETRANSLATE(C14892, ""en"", ""fa"")
"),"تأثیر ارائه ارزش فراتر از محصولات وابسته، مانند محتوای آموزشی و منابع را بررسی کنید.")</f>
        <v>تأثیر ارائه ارزش فراتر از محصولات وابسته، مانند محتوای آموزشی و منابع را بررسی کنید.</v>
      </c>
      <c r="H14892" s="1"/>
      <c r="I14892" s="1"/>
      <c r="J14892" s="1"/>
      <c r="K14892" s="1"/>
      <c r="L14892" s="1"/>
      <c r="M14892" s="1"/>
      <c r="N14892" s="1"/>
      <c r="O14892" s="1"/>
      <c r="P14892" s="1"/>
      <c r="Q14892" s="1"/>
      <c r="R14892" s="1"/>
      <c r="S14892" s="1"/>
      <c r="T14892" s="1"/>
      <c r="U14892" s="1"/>
      <c r="V14892" s="1"/>
      <c r="W14892" s="1"/>
      <c r="X14892" s="1"/>
      <c r="Y14892" s="1"/>
      <c r="Z14892" s="1"/>
      <c r="AA14892" s="1"/>
      <c r="AB14892" s="1"/>
    </row>
    <row r="14893" ht="50.25" customHeight="1">
      <c r="A14893" s="12">
        <v>14889.0</v>
      </c>
      <c r="B14893" s="13" t="s">
        <v>13838</v>
      </c>
      <c r="C14893" s="14" t="s">
        <v>14129</v>
      </c>
      <c r="D14893" s="1"/>
      <c r="E14893" s="1"/>
      <c r="F14893" s="1" t="str">
        <f>IFERROR(__xludf.DUMMYFUNCTION("GOOGLETRANSLATE(B14893, ""en"", ""fa"")
"),"درآمد غیرفعال")</f>
        <v>درآمد غیرفعال</v>
      </c>
      <c r="G14893" s="1" t="str">
        <f>IFERROR(__xludf.DUMMYFUNCTION("GOOGLETRANSLATE(C14893, ""en"", ""fa"")
"),"چگونه شرکت های وابسته می توانند از اثبات اجتماعی و تاییدیه های کارشناسان صنعت برای افزایش اعتبار تبلیغات وابسته خود استفاده کنند؟")</f>
        <v>چگونه شرکت های وابسته می توانند از اثبات اجتماعی و تاییدیه های کارشناسان صنعت برای افزایش اعتبار تبلیغات وابسته خود استفاده کنند؟</v>
      </c>
      <c r="H14893" s="1"/>
      <c r="I14893" s="1"/>
      <c r="J14893" s="1"/>
      <c r="K14893" s="1"/>
      <c r="L14893" s="1"/>
      <c r="M14893" s="1"/>
      <c r="N14893" s="1"/>
      <c r="O14893" s="1"/>
      <c r="P14893" s="1"/>
      <c r="Q14893" s="1"/>
      <c r="R14893" s="1"/>
      <c r="S14893" s="1"/>
      <c r="T14893" s="1"/>
      <c r="U14893" s="1"/>
      <c r="V14893" s="1"/>
      <c r="W14893" s="1"/>
      <c r="X14893" s="1"/>
      <c r="Y14893" s="1"/>
      <c r="Z14893" s="1"/>
      <c r="AA14893" s="1"/>
      <c r="AB14893" s="1"/>
    </row>
    <row r="14894" ht="50.25" customHeight="1">
      <c r="A14894" s="12">
        <v>14890.0</v>
      </c>
      <c r="B14894" s="13" t="s">
        <v>13838</v>
      </c>
      <c r="C14894" s="14" t="s">
        <v>14130</v>
      </c>
      <c r="D14894" s="1"/>
      <c r="E14894" s="1"/>
      <c r="F14894" s="1" t="str">
        <f>IFERROR(__xludf.DUMMYFUNCTION("GOOGLETRANSLATE(B14894, ""en"", ""fa"")
"),"درآمد غیرفعال")</f>
        <v>درآمد غیرفعال</v>
      </c>
      <c r="G14894" s="1" t="str">
        <f>IFERROR(__xludf.DUMMYFUNCTION("GOOGLETRANSLATE(C14894, ""en"", ""fa"")
"),"در مورد مفهوم ایجاد و ترویج بسته‌های محصول وابسته و پیشنهادات انحصاری برای تشویق به خرید بحث کنید.")</f>
        <v>در مورد مفهوم ایجاد و ترویج بسته‌های محصول وابسته و پیشنهادات انحصاری برای تشویق به خرید بحث کنید.</v>
      </c>
      <c r="H14894" s="1"/>
      <c r="I14894" s="1"/>
      <c r="J14894" s="1"/>
      <c r="K14894" s="1"/>
      <c r="L14894" s="1"/>
      <c r="M14894" s="1"/>
      <c r="N14894" s="1"/>
      <c r="O14894" s="1"/>
      <c r="P14894" s="1"/>
      <c r="Q14894" s="1"/>
      <c r="R14894" s="1"/>
      <c r="S14894" s="1"/>
      <c r="T14894" s="1"/>
      <c r="U14894" s="1"/>
      <c r="V14894" s="1"/>
      <c r="W14894" s="1"/>
      <c r="X14894" s="1"/>
      <c r="Y14894" s="1"/>
      <c r="Z14894" s="1"/>
      <c r="AA14894" s="1"/>
      <c r="AB14894" s="1"/>
    </row>
    <row r="14895" ht="50.25" customHeight="1">
      <c r="A14895" s="12">
        <v>14891.0</v>
      </c>
      <c r="B14895" s="13" t="s">
        <v>13838</v>
      </c>
      <c r="C14895" s="14" t="s">
        <v>14131</v>
      </c>
      <c r="D14895" s="1"/>
      <c r="E14895" s="1"/>
      <c r="F14895" s="1" t="str">
        <f>IFERROR(__xludf.DUMMYFUNCTION("GOOGLETRANSLATE(B14895, ""en"", ""fa"")
"),"درآمد غیرفعال")</f>
        <v>درآمد غیرفعال</v>
      </c>
      <c r="G14895" s="1" t="str">
        <f>IFERROR(__xludf.DUMMYFUNCTION("GOOGLETRANSLATE(C14895, ""en"", ""fa"")
"),"تقسیم بندی و هدف گذاری مخاطبان چه نقشی در تطبیق تبلیغات وابسته با نیازهای خاص مشتری دارد؟")</f>
        <v>تقسیم بندی و هدف گذاری مخاطبان چه نقشی در تطبیق تبلیغات وابسته با نیازهای خاص مشتری دارد؟</v>
      </c>
      <c r="H14895" s="1"/>
      <c r="I14895" s="1"/>
      <c r="J14895" s="1"/>
      <c r="K14895" s="1"/>
      <c r="L14895" s="1"/>
      <c r="M14895" s="1"/>
      <c r="N14895" s="1"/>
      <c r="O14895" s="1"/>
      <c r="P14895" s="1"/>
      <c r="Q14895" s="1"/>
      <c r="R14895" s="1"/>
      <c r="S14895" s="1"/>
      <c r="T14895" s="1"/>
      <c r="U14895" s="1"/>
      <c r="V14895" s="1"/>
      <c r="W14895" s="1"/>
      <c r="X14895" s="1"/>
      <c r="Y14895" s="1"/>
      <c r="Z14895" s="1"/>
      <c r="AA14895" s="1"/>
      <c r="AB14895" s="1"/>
    </row>
    <row r="14896" ht="50.25" customHeight="1">
      <c r="A14896" s="12">
        <v>14892.0</v>
      </c>
      <c r="B14896" s="13" t="s">
        <v>13838</v>
      </c>
      <c r="C14896" s="14" t="s">
        <v>14132</v>
      </c>
      <c r="D14896" s="1"/>
      <c r="E14896" s="1"/>
      <c r="F14896" s="1" t="str">
        <f>IFERROR(__xludf.DUMMYFUNCTION("GOOGLETRANSLATE(B14896, ""en"", ""fa"")
"),"درآمد غیرفعال")</f>
        <v>درآمد غیرفعال</v>
      </c>
      <c r="G14896" s="1" t="str">
        <f>IFERROR(__xludf.DUMMYFUNCTION("GOOGLETRANSLATE(C14896, ""en"", ""fa"")
"),"پتانسیل استفاده از ارتقاء محتوا و آهنرباهای سرب را برای تشویق کاربران به ثبت نام در لیست ایمیل شما بررسی کنید.")</f>
        <v>پتانسیل استفاده از ارتقاء محتوا و آهنرباهای سرب را برای تشویق کاربران به ثبت نام در لیست ایمیل شما بررسی کنید.</v>
      </c>
      <c r="H14896" s="1"/>
      <c r="I14896" s="1"/>
      <c r="J14896" s="1"/>
      <c r="K14896" s="1"/>
      <c r="L14896" s="1"/>
      <c r="M14896" s="1"/>
      <c r="N14896" s="1"/>
      <c r="O14896" s="1"/>
      <c r="P14896" s="1"/>
      <c r="Q14896" s="1"/>
      <c r="R14896" s="1"/>
      <c r="S14896" s="1"/>
      <c r="T14896" s="1"/>
      <c r="U14896" s="1"/>
      <c r="V14896" s="1"/>
      <c r="W14896" s="1"/>
      <c r="X14896" s="1"/>
      <c r="Y14896" s="1"/>
      <c r="Z14896" s="1"/>
      <c r="AA14896" s="1"/>
      <c r="AB14896" s="1"/>
    </row>
    <row r="14897" ht="50.25" customHeight="1">
      <c r="A14897" s="12">
        <v>14893.0</v>
      </c>
      <c r="B14897" s="13" t="s">
        <v>13838</v>
      </c>
      <c r="C14897" s="14" t="s">
        <v>14133</v>
      </c>
      <c r="D14897" s="1"/>
      <c r="E14897" s="1"/>
      <c r="F14897" s="1" t="str">
        <f>IFERROR(__xludf.DUMMYFUNCTION("GOOGLETRANSLATE(B14897, ""en"", ""fa"")
"),"درآمد غیرفعال")</f>
        <v>درآمد غیرفعال</v>
      </c>
      <c r="G14897" s="1" t="str">
        <f>IFERROR(__xludf.DUMMYFUNCTION("GOOGLETRANSLATE(C14897, ""en"", ""fa"")
"),"چگونه شرکت‌های وابسته می‌توانند به طور موثر از تکنیک‌های کمبود و فوریت برای ایجاد تبدیل استفاده کنند؟")</f>
        <v>چگونه شرکت‌های وابسته می‌توانند به طور موثر از تکنیک‌های کمبود و فوریت برای ایجاد تبدیل استفاده کنند؟</v>
      </c>
      <c r="H14897" s="1"/>
      <c r="I14897" s="1"/>
      <c r="J14897" s="1"/>
      <c r="K14897" s="1"/>
      <c r="L14897" s="1"/>
      <c r="M14897" s="1"/>
      <c r="N14897" s="1"/>
      <c r="O14897" s="1"/>
      <c r="P14897" s="1"/>
      <c r="Q14897" s="1"/>
      <c r="R14897" s="1"/>
      <c r="S14897" s="1"/>
      <c r="T14897" s="1"/>
      <c r="U14897" s="1"/>
      <c r="V14897" s="1"/>
      <c r="W14897" s="1"/>
      <c r="X14897" s="1"/>
      <c r="Y14897" s="1"/>
      <c r="Z14897" s="1"/>
      <c r="AA14897" s="1"/>
      <c r="AB14897" s="1"/>
    </row>
    <row r="14898" ht="50.25" customHeight="1">
      <c r="A14898" s="12">
        <v>14894.0</v>
      </c>
      <c r="B14898" s="13" t="s">
        <v>13838</v>
      </c>
      <c r="C14898" s="14" t="s">
        <v>14134</v>
      </c>
      <c r="D14898" s="1"/>
      <c r="E14898" s="1"/>
      <c r="F14898" s="1" t="str">
        <f>IFERROR(__xludf.DUMMYFUNCTION("GOOGLETRANSLATE(B14898, ""en"", ""fa"")
"),"درآمد غیرفعال")</f>
        <v>درآمد غیرفعال</v>
      </c>
      <c r="G14898" s="1" t="str">
        <f>IFERROR(__xludf.DUMMYFUNCTION("GOOGLETRANSLATE(C14898, ""en"", ""fa"")
"),"در مورد اهمیت آزمایش و بهینه سازی مداوم در بهبود عملکرد کمپین های بازاریابی وابسته بحث کنید.")</f>
        <v>در مورد اهمیت آزمایش و بهینه سازی مداوم در بهبود عملکرد کمپین های بازاریابی وابسته بحث کنید.</v>
      </c>
      <c r="H14898" s="1"/>
      <c r="I14898" s="1"/>
      <c r="J14898" s="1"/>
      <c r="K14898" s="1"/>
      <c r="L14898" s="1"/>
      <c r="M14898" s="1"/>
      <c r="N14898" s="1"/>
      <c r="O14898" s="1"/>
      <c r="P14898" s="1"/>
      <c r="Q14898" s="1"/>
      <c r="R14898" s="1"/>
      <c r="S14898" s="1"/>
      <c r="T14898" s="1"/>
      <c r="U14898" s="1"/>
      <c r="V14898" s="1"/>
      <c r="W14898" s="1"/>
      <c r="X14898" s="1"/>
      <c r="Y14898" s="1"/>
      <c r="Z14898" s="1"/>
      <c r="AA14898" s="1"/>
      <c r="AB14898" s="1"/>
    </row>
    <row r="14899" ht="50.25" customHeight="1">
      <c r="A14899" s="12">
        <v>14895.0</v>
      </c>
      <c r="B14899" s="13" t="s">
        <v>13838</v>
      </c>
      <c r="C14899" s="14" t="s">
        <v>14135</v>
      </c>
      <c r="D14899" s="1"/>
      <c r="E14899" s="1"/>
      <c r="F14899" s="1" t="str">
        <f>IFERROR(__xludf.DUMMYFUNCTION("GOOGLETRANSLATE(B14899, ""en"", ""fa"")
"),"درآمد غیرفعال")</f>
        <v>درآمد غیرفعال</v>
      </c>
      <c r="G14899" s="1" t="str">
        <f>IFERROR(__xludf.DUMMYFUNCTION("GOOGLETRANSLATE(C14899, ""en"", ""fa"")
"),"پتانسیل استفاده از ابزارهای تجزیه و تحلیل وب برای ردیابی رفتار و تعامل کاربر در محتوای وابسته خود را بررسی کنید.")</f>
        <v>پتانسیل استفاده از ابزارهای تجزیه و تحلیل وب برای ردیابی رفتار و تعامل کاربر در محتوای وابسته خود را بررسی کنید.</v>
      </c>
      <c r="H14899" s="1"/>
      <c r="I14899" s="1"/>
      <c r="J14899" s="1"/>
      <c r="K14899" s="1"/>
      <c r="L14899" s="1"/>
      <c r="M14899" s="1"/>
      <c r="N14899" s="1"/>
      <c r="O14899" s="1"/>
      <c r="P14899" s="1"/>
      <c r="Q14899" s="1"/>
      <c r="R14899" s="1"/>
      <c r="S14899" s="1"/>
      <c r="T14899" s="1"/>
      <c r="U14899" s="1"/>
      <c r="V14899" s="1"/>
      <c r="W14899" s="1"/>
      <c r="X14899" s="1"/>
      <c r="Y14899" s="1"/>
      <c r="Z14899" s="1"/>
      <c r="AA14899" s="1"/>
      <c r="AB14899" s="1"/>
    </row>
    <row r="14900" ht="50.25" customHeight="1">
      <c r="A14900" s="12">
        <v>14896.0</v>
      </c>
      <c r="B14900" s="13" t="s">
        <v>13838</v>
      </c>
      <c r="C14900" s="14" t="s">
        <v>14136</v>
      </c>
      <c r="D14900" s="1"/>
      <c r="E14900" s="1"/>
      <c r="F14900" s="1" t="str">
        <f>IFERROR(__xludf.DUMMYFUNCTION("GOOGLETRANSLATE(B14900, ""en"", ""fa"")
"),"درآمد غیرفعال")</f>
        <v>درآمد غیرفعال</v>
      </c>
      <c r="G14900" s="1" t="str">
        <f>IFERROR(__xludf.DUMMYFUNCTION("GOOGLETRANSLATE(C14900, ""en"", ""fa"")
"),"شرکت‌های وابسته از چه استراتژی‌هایی می‌توانند برای افشای مؤثر روابط وابسته خود با حفظ شفافیت استفاده کنند؟")</f>
        <v>شرکت‌های وابسته از چه استراتژی‌هایی می‌توانند برای افشای مؤثر روابط وابسته خود با حفظ شفافیت استفاده کنند؟</v>
      </c>
      <c r="H14900" s="1"/>
      <c r="I14900" s="1"/>
      <c r="J14900" s="1"/>
      <c r="K14900" s="1"/>
      <c r="L14900" s="1"/>
      <c r="M14900" s="1"/>
      <c r="N14900" s="1"/>
      <c r="O14900" s="1"/>
      <c r="P14900" s="1"/>
      <c r="Q14900" s="1"/>
      <c r="R14900" s="1"/>
      <c r="S14900" s="1"/>
      <c r="T14900" s="1"/>
      <c r="U14900" s="1"/>
      <c r="V14900" s="1"/>
      <c r="W14900" s="1"/>
      <c r="X14900" s="1"/>
      <c r="Y14900" s="1"/>
      <c r="Z14900" s="1"/>
      <c r="AA14900" s="1"/>
      <c r="AB14900" s="1"/>
    </row>
    <row r="14901" ht="50.25" customHeight="1">
      <c r="A14901" s="12">
        <v>14897.0</v>
      </c>
      <c r="B14901" s="13" t="s">
        <v>13838</v>
      </c>
      <c r="C14901" s="14" t="s">
        <v>14137</v>
      </c>
      <c r="D14901" s="1"/>
      <c r="E14901" s="1"/>
      <c r="F14901" s="1" t="str">
        <f>IFERROR(__xludf.DUMMYFUNCTION("GOOGLETRANSLATE(B14901, ""en"", ""fa"")
"),"درآمد غیرفعال")</f>
        <v>درآمد غیرفعال</v>
      </c>
      <c r="G14901" s="1" t="str">
        <f>IFERROR(__xludf.DUMMYFUNCTION("GOOGLETRANSLATE(C14901, ""en"", ""fa"")
"),"در مورد نقش افزونه ها و ابزارهای بازاریابی وابسته در مدیریت و ردیابی تبلیغات وابسته بحث کنید.")</f>
        <v>در مورد نقش افزونه ها و ابزارهای بازاریابی وابسته در مدیریت و ردیابی تبلیغات وابسته بحث کنید.</v>
      </c>
      <c r="H14901" s="1"/>
      <c r="I14901" s="1"/>
      <c r="J14901" s="1"/>
      <c r="K14901" s="1"/>
      <c r="L14901" s="1"/>
      <c r="M14901" s="1"/>
      <c r="N14901" s="1"/>
      <c r="O14901" s="1"/>
      <c r="P14901" s="1"/>
      <c r="Q14901" s="1"/>
      <c r="R14901" s="1"/>
      <c r="S14901" s="1"/>
      <c r="T14901" s="1"/>
      <c r="U14901" s="1"/>
      <c r="V14901" s="1"/>
      <c r="W14901" s="1"/>
      <c r="X14901" s="1"/>
      <c r="Y14901" s="1"/>
      <c r="Z14901" s="1"/>
      <c r="AA14901" s="1"/>
      <c r="AB14901" s="1"/>
    </row>
    <row r="14902" ht="50.25" customHeight="1">
      <c r="A14902" s="12">
        <v>14898.0</v>
      </c>
      <c r="B14902" s="13" t="s">
        <v>13838</v>
      </c>
      <c r="C14902" s="14" t="s">
        <v>14138</v>
      </c>
      <c r="D14902" s="1"/>
      <c r="E14902" s="1"/>
      <c r="F14902" s="1" t="str">
        <f>IFERROR(__xludf.DUMMYFUNCTION("GOOGLETRANSLATE(B14902, ""en"", ""fa"")
"),"درآمد غیرفعال")</f>
        <v>درآمد غیرفعال</v>
      </c>
      <c r="G14902" s="1" t="str">
        <f>IFERROR(__xludf.DUMMYFUNCTION("GOOGLETRANSLATE(C14902, ""en"", ""fa"")
"),"تأثیر ایجاد یک مخاطب وفادار و متعهد از طریق مشارکت و تعامل با جامعه را بررسی کنید.")</f>
        <v>تأثیر ایجاد یک مخاطب وفادار و متعهد از طریق مشارکت و تعامل با جامعه را بررسی کنید.</v>
      </c>
      <c r="H14902" s="1"/>
      <c r="I14902" s="1"/>
      <c r="J14902" s="1"/>
      <c r="K14902" s="1"/>
      <c r="L14902" s="1"/>
      <c r="M14902" s="1"/>
      <c r="N14902" s="1"/>
      <c r="O14902" s="1"/>
      <c r="P14902" s="1"/>
      <c r="Q14902" s="1"/>
      <c r="R14902" s="1"/>
      <c r="S14902" s="1"/>
      <c r="T14902" s="1"/>
      <c r="U14902" s="1"/>
      <c r="V14902" s="1"/>
      <c r="W14902" s="1"/>
      <c r="X14902" s="1"/>
      <c r="Y14902" s="1"/>
      <c r="Z14902" s="1"/>
      <c r="AA14902" s="1"/>
      <c r="AB14902" s="1"/>
    </row>
    <row r="14903" ht="50.25" customHeight="1">
      <c r="A14903" s="12">
        <v>14899.0</v>
      </c>
      <c r="B14903" s="13" t="s">
        <v>13838</v>
      </c>
      <c r="C14903" s="14" t="s">
        <v>14139</v>
      </c>
      <c r="D14903" s="1"/>
      <c r="E14903" s="1"/>
      <c r="F14903" s="1" t="str">
        <f>IFERROR(__xludf.DUMMYFUNCTION("GOOGLETRANSLATE(B14903, ""en"", ""fa"")
"),"درآمد غیرفعال")</f>
        <v>درآمد غیرفعال</v>
      </c>
      <c r="G14903" s="1" t="str">
        <f>IFERROR(__xludf.DUMMYFUNCTION("GOOGLETRANSLATE(C14903, ""en"", ""fa"")
"),"چگونه شرکت های وابسته می توانند از بینش های مبتنی بر داده برای شناسایی محصولات وابسته با عملکرد بالا و بهینه سازی استراتژی های خود استفاده کنند؟")</f>
        <v>چگونه شرکت های وابسته می توانند از بینش های مبتنی بر داده برای شناسایی محصولات وابسته با عملکرد بالا و بهینه سازی استراتژی های خود استفاده کنند؟</v>
      </c>
      <c r="H14903" s="1"/>
      <c r="I14903" s="1"/>
      <c r="J14903" s="1"/>
      <c r="K14903" s="1"/>
      <c r="L14903" s="1"/>
      <c r="M14903" s="1"/>
      <c r="N14903" s="1"/>
      <c r="O14903" s="1"/>
      <c r="P14903" s="1"/>
      <c r="Q14903" s="1"/>
      <c r="R14903" s="1"/>
      <c r="S14903" s="1"/>
      <c r="T14903" s="1"/>
      <c r="U14903" s="1"/>
      <c r="V14903" s="1"/>
      <c r="W14903" s="1"/>
      <c r="X14903" s="1"/>
      <c r="Y14903" s="1"/>
      <c r="Z14903" s="1"/>
      <c r="AA14903" s="1"/>
      <c r="AB14903" s="1"/>
    </row>
    <row r="14904" ht="50.25" customHeight="1">
      <c r="A14904" s="12">
        <v>14900.0</v>
      </c>
      <c r="B14904" s="13" t="s">
        <v>13838</v>
      </c>
      <c r="C14904" s="14" t="s">
        <v>14140</v>
      </c>
      <c r="D14904" s="1"/>
      <c r="E14904" s="1"/>
      <c r="F14904" s="1" t="str">
        <f>IFERROR(__xludf.DUMMYFUNCTION("GOOGLETRANSLATE(B14904, ""en"", ""fa"")
"),"درآمد غیرفعال")</f>
        <v>درآمد غیرفعال</v>
      </c>
      <c r="G14904" s="1" t="str">
        <f>IFERROR(__xludf.DUMMYFUNCTION("GOOGLETRANSLATE(C14904, ""en"", ""fa"")
"),"در مورد مفهوم استفاده از اینفلوئنسرهای رسانه های اجتماعی به عنوان شرکت های وابسته برای گسترش دامنه تبلیغات وابسته خود بحث کنید.")</f>
        <v>در مورد مفهوم استفاده از اینفلوئنسرهای رسانه های اجتماعی به عنوان شرکت های وابسته برای گسترش دامنه تبلیغات وابسته خود بحث کنید.</v>
      </c>
      <c r="H14904" s="1"/>
      <c r="I14904" s="1"/>
      <c r="J14904" s="1"/>
      <c r="K14904" s="1"/>
      <c r="L14904" s="1"/>
      <c r="M14904" s="1"/>
      <c r="N14904" s="1"/>
      <c r="O14904" s="1"/>
      <c r="P14904" s="1"/>
      <c r="Q14904" s="1"/>
      <c r="R14904" s="1"/>
      <c r="S14904" s="1"/>
      <c r="T14904" s="1"/>
      <c r="U14904" s="1"/>
      <c r="V14904" s="1"/>
      <c r="W14904" s="1"/>
      <c r="X14904" s="1"/>
      <c r="Y14904" s="1"/>
      <c r="Z14904" s="1"/>
      <c r="AA14904" s="1"/>
      <c r="AB14904" s="1"/>
    </row>
    <row r="14905" ht="50.25" customHeight="1">
      <c r="A14905" s="12">
        <v>14901.0</v>
      </c>
      <c r="B14905" s="13" t="s">
        <v>13838</v>
      </c>
      <c r="C14905" s="14" t="s">
        <v>14141</v>
      </c>
      <c r="D14905" s="1"/>
      <c r="E14905" s="1"/>
      <c r="F14905" s="1" t="str">
        <f>IFERROR(__xludf.DUMMYFUNCTION("GOOGLETRANSLATE(B14905, ""en"", ""fa"")
"),"درآمد غیرفعال")</f>
        <v>درآمد غیرفعال</v>
      </c>
      <c r="G14905" s="1" t="str">
        <f>IFERROR(__xludf.DUMMYFUNCTION("GOOGLETRANSLATE(C14905, ""en"", ""fa"")
"),"تست A/B و تست تقسیم چه نقشی در اصلاح استراتژی های بازاریابی وابسته ایفا می کند؟")</f>
        <v>تست A/B و تست تقسیم چه نقشی در اصلاح استراتژی های بازاریابی وابسته ایفا می کند؟</v>
      </c>
      <c r="H14905" s="1"/>
      <c r="I14905" s="1"/>
      <c r="J14905" s="1"/>
      <c r="K14905" s="1"/>
      <c r="L14905" s="1"/>
      <c r="M14905" s="1"/>
      <c r="N14905" s="1"/>
      <c r="O14905" s="1"/>
      <c r="P14905" s="1"/>
      <c r="Q14905" s="1"/>
      <c r="R14905" s="1"/>
      <c r="S14905" s="1"/>
      <c r="T14905" s="1"/>
      <c r="U14905" s="1"/>
      <c r="V14905" s="1"/>
      <c r="W14905" s="1"/>
      <c r="X14905" s="1"/>
      <c r="Y14905" s="1"/>
      <c r="Z14905" s="1"/>
      <c r="AA14905" s="1"/>
      <c r="AB14905" s="1"/>
    </row>
    <row r="14906" ht="50.25" customHeight="1">
      <c r="A14906" s="12">
        <v>14902.0</v>
      </c>
      <c r="B14906" s="13" t="s">
        <v>13838</v>
      </c>
      <c r="C14906" s="14" t="s">
        <v>14142</v>
      </c>
      <c r="D14906" s="1"/>
      <c r="E14906" s="1"/>
      <c r="F14906" s="1" t="str">
        <f>IFERROR(__xludf.DUMMYFUNCTION("GOOGLETRANSLATE(B14906, ""en"", ""fa"")
"),"درآمد غیرفعال")</f>
        <v>درآمد غیرفعال</v>
      </c>
      <c r="G14906" s="1" t="str">
        <f>IFERROR(__xludf.DUMMYFUNCTION("GOOGLETRANSLATE(C14906, ""en"", ""fa"")
"),"پتانسیل استفاده از تاکتیک‌های هدف‌گیری مجدد و بازاریابی مجدد را برای جذب مجدد کاربرانی که به محصولات وابسته نشان داده‌اند، بررسی کنید.")</f>
        <v>پتانسیل استفاده از تاکتیک‌های هدف‌گیری مجدد و بازاریابی مجدد را برای جذب مجدد کاربرانی که به محصولات وابسته نشان داده‌اند، بررسی کنید.</v>
      </c>
      <c r="H14906" s="1"/>
      <c r="I14906" s="1"/>
      <c r="J14906" s="1"/>
      <c r="K14906" s="1"/>
      <c r="L14906" s="1"/>
      <c r="M14906" s="1"/>
      <c r="N14906" s="1"/>
      <c r="O14906" s="1"/>
      <c r="P14906" s="1"/>
      <c r="Q14906" s="1"/>
      <c r="R14906" s="1"/>
      <c r="S14906" s="1"/>
      <c r="T14906" s="1"/>
      <c r="U14906" s="1"/>
      <c r="V14906" s="1"/>
      <c r="W14906" s="1"/>
      <c r="X14906" s="1"/>
      <c r="Y14906" s="1"/>
      <c r="Z14906" s="1"/>
      <c r="AA14906" s="1"/>
      <c r="AB14906" s="1"/>
    </row>
    <row r="14907" ht="50.25" customHeight="1">
      <c r="A14907" s="12">
        <v>14903.0</v>
      </c>
      <c r="B14907" s="13" t="s">
        <v>13838</v>
      </c>
      <c r="C14907" s="14" t="s">
        <v>14143</v>
      </c>
      <c r="D14907" s="1"/>
      <c r="E14907" s="1"/>
      <c r="F14907" s="1" t="str">
        <f>IFERROR(__xludf.DUMMYFUNCTION("GOOGLETRANSLATE(B14907, ""en"", ""fa"")
"),"درآمد غیرفعال")</f>
        <v>درآمد غیرفعال</v>
      </c>
      <c r="G14907" s="1" t="str">
        <f>IFERROR(__xludf.DUMMYFUNCTION("GOOGLETRANSLATE(C14907, ""en"", ""fa"")
"),"چگونه شرکت‌های وابسته می‌توانند به‌طور مؤثر بررسی‌های قانع‌کننده و متقاعدکننده محصول را برای افزایش فروش شرکت‌های وابسته ایجاد کنند؟")</f>
        <v>چگونه شرکت‌های وابسته می‌توانند به‌طور مؤثر بررسی‌های قانع‌کننده و متقاعدکننده محصول را برای افزایش فروش شرکت‌های وابسته ایجاد کنند؟</v>
      </c>
      <c r="H14907" s="1"/>
      <c r="I14907" s="1"/>
      <c r="J14907" s="1"/>
      <c r="K14907" s="1"/>
      <c r="L14907" s="1"/>
      <c r="M14907" s="1"/>
      <c r="N14907" s="1"/>
      <c r="O14907" s="1"/>
      <c r="P14907" s="1"/>
      <c r="Q14907" s="1"/>
      <c r="R14907" s="1"/>
      <c r="S14907" s="1"/>
      <c r="T14907" s="1"/>
      <c r="U14907" s="1"/>
      <c r="V14907" s="1"/>
      <c r="W14907" s="1"/>
      <c r="X14907" s="1"/>
      <c r="Y14907" s="1"/>
      <c r="Z14907" s="1"/>
      <c r="AA14907" s="1"/>
      <c r="AB14907" s="1"/>
    </row>
    <row r="14908" ht="50.25" customHeight="1">
      <c r="A14908" s="12">
        <v>14904.0</v>
      </c>
      <c r="B14908" s="13" t="s">
        <v>13838</v>
      </c>
      <c r="C14908" s="14" t="s">
        <v>14144</v>
      </c>
      <c r="D14908" s="1"/>
      <c r="E14908" s="1"/>
      <c r="F14908" s="1" t="str">
        <f>IFERROR(__xludf.DUMMYFUNCTION("GOOGLETRANSLATE(B14908, ""en"", ""fa"")
"),"درآمد غیرفعال")</f>
        <v>درآمد غیرفعال</v>
      </c>
      <c r="G14908" s="1" t="str">
        <f>IFERROR(__xludf.DUMMYFUNCTION("GOOGLETRANSLATE(C14908, ""en"", ""fa"")
"),"در مورد اهمیت همسویی تبلیغات وابسته خود با ارزش ها و علایق مخاطبان خود بحث کنید.")</f>
        <v>در مورد اهمیت همسویی تبلیغات وابسته خود با ارزش ها و علایق مخاطبان خود بحث کنید.</v>
      </c>
      <c r="H14908" s="1"/>
      <c r="I14908" s="1"/>
      <c r="J14908" s="1"/>
      <c r="K14908" s="1"/>
      <c r="L14908" s="1"/>
      <c r="M14908" s="1"/>
      <c r="N14908" s="1"/>
      <c r="O14908" s="1"/>
      <c r="P14908" s="1"/>
      <c r="Q14908" s="1"/>
      <c r="R14908" s="1"/>
      <c r="S14908" s="1"/>
      <c r="T14908" s="1"/>
      <c r="U14908" s="1"/>
      <c r="V14908" s="1"/>
      <c r="W14908" s="1"/>
      <c r="X14908" s="1"/>
      <c r="Y14908" s="1"/>
      <c r="Z14908" s="1"/>
      <c r="AA14908" s="1"/>
      <c r="AB14908" s="1"/>
    </row>
    <row r="14909" ht="50.25" customHeight="1">
      <c r="A14909" s="12">
        <v>14905.0</v>
      </c>
      <c r="B14909" s="13" t="s">
        <v>13838</v>
      </c>
      <c r="C14909" s="14" t="s">
        <v>14145</v>
      </c>
      <c r="D14909" s="1"/>
      <c r="E14909" s="1"/>
      <c r="F14909" s="1" t="str">
        <f>IFERROR(__xludf.DUMMYFUNCTION("GOOGLETRANSLATE(B14909, ""en"", ""fa"")
"),"درآمد غیرفعال")</f>
        <v>درآمد غیرفعال</v>
      </c>
      <c r="G14909" s="1" t="str">
        <f>IFERROR(__xludf.DUMMYFUNCTION("GOOGLETRANSLATE(C14909, ""en"", ""fa"")
"),"پتانسیل استفاده از محتوای تعاملی، مانند آزمون‌ها و نظرسنجی‌ها، برای جذب کاربران و تبلیغ محصولات وابسته را بررسی کنید.")</f>
        <v>پتانسیل استفاده از محتوای تعاملی، مانند آزمون‌ها و نظرسنجی‌ها، برای جذب کاربران و تبلیغ محصولات وابسته را بررسی کنید.</v>
      </c>
      <c r="H14909" s="1"/>
      <c r="I14909" s="1"/>
      <c r="J14909" s="1"/>
      <c r="K14909" s="1"/>
      <c r="L14909" s="1"/>
      <c r="M14909" s="1"/>
      <c r="N14909" s="1"/>
      <c r="O14909" s="1"/>
      <c r="P14909" s="1"/>
      <c r="Q14909" s="1"/>
      <c r="R14909" s="1"/>
      <c r="S14909" s="1"/>
      <c r="T14909" s="1"/>
      <c r="U14909" s="1"/>
      <c r="V14909" s="1"/>
      <c r="W14909" s="1"/>
      <c r="X14909" s="1"/>
      <c r="Y14909" s="1"/>
      <c r="Z14909" s="1"/>
      <c r="AA14909" s="1"/>
      <c r="AB14909" s="1"/>
    </row>
    <row r="14910" ht="50.25" customHeight="1">
      <c r="A14910" s="12">
        <v>14906.0</v>
      </c>
      <c r="B14910" s="13" t="s">
        <v>13838</v>
      </c>
      <c r="C14910" s="14" t="s">
        <v>14146</v>
      </c>
      <c r="D14910" s="1"/>
      <c r="E14910" s="1"/>
      <c r="F14910" s="1" t="str">
        <f>IFERROR(__xludf.DUMMYFUNCTION("GOOGLETRANSLATE(B14910, ""en"", ""fa"")
"),"درآمد غیرفعال")</f>
        <v>درآمد غیرفعال</v>
      </c>
      <c r="G14910" s="1" t="str">
        <f>IFERROR(__xludf.DUMMYFUNCTION("GOOGLETRANSLATE(C14910, ""en"", ""fa"")
"),"شرکت های وابسته از چه استراتژی هایی می توانند برای بهینه سازی صفحات فرود و قیف های تبدیل برای محصولات وابسته استفاده کنند؟")</f>
        <v>شرکت های وابسته از چه استراتژی هایی می توانند برای بهینه سازی صفحات فرود و قیف های تبدیل برای محصولات وابسته استفاده کنند؟</v>
      </c>
      <c r="H14910" s="1"/>
      <c r="I14910" s="1"/>
      <c r="J14910" s="1"/>
      <c r="K14910" s="1"/>
      <c r="L14910" s="1"/>
      <c r="M14910" s="1"/>
      <c r="N14910" s="1"/>
      <c r="O14910" s="1"/>
      <c r="P14910" s="1"/>
      <c r="Q14910" s="1"/>
      <c r="R14910" s="1"/>
      <c r="S14910" s="1"/>
      <c r="T14910" s="1"/>
      <c r="U14910" s="1"/>
      <c r="V14910" s="1"/>
      <c r="W14910" s="1"/>
      <c r="X14910" s="1"/>
      <c r="Y14910" s="1"/>
      <c r="Z14910" s="1"/>
      <c r="AA14910" s="1"/>
      <c r="AB14910" s="1"/>
    </row>
    <row r="14911" ht="50.25" customHeight="1">
      <c r="A14911" s="12">
        <v>14907.0</v>
      </c>
      <c r="B14911" s="13" t="s">
        <v>13838</v>
      </c>
      <c r="C14911" s="14" t="s">
        <v>14147</v>
      </c>
      <c r="D14911" s="1"/>
      <c r="E14911" s="1"/>
      <c r="F14911" s="1" t="str">
        <f>IFERROR(__xludf.DUMMYFUNCTION("GOOGLETRANSLATE(B14911, ""en"", ""fa"")
"),"درآمد غیرفعال")</f>
        <v>درآمد غیرفعال</v>
      </c>
      <c r="G14911" s="1" t="str">
        <f>IFERROR(__xludf.DUMMYFUNCTION("GOOGLETRANSLATE(C14911, ""en"", ""fa"")
"),"درباره نقش بازاریابی وابسته در ایجاد جریان های متعدد درآمد غیرفعال از محصولات و جایگاه های مختلف بحث کنید.")</f>
        <v>درباره نقش بازاریابی وابسته در ایجاد جریان های متعدد درآمد غیرفعال از محصولات و جایگاه های مختلف بحث کنید.</v>
      </c>
      <c r="H14911" s="1"/>
      <c r="I14911" s="1"/>
      <c r="J14911" s="1"/>
      <c r="K14911" s="1"/>
      <c r="L14911" s="1"/>
      <c r="M14911" s="1"/>
      <c r="N14911" s="1"/>
      <c r="O14911" s="1"/>
      <c r="P14911" s="1"/>
      <c r="Q14911" s="1"/>
      <c r="R14911" s="1"/>
      <c r="S14911" s="1"/>
      <c r="T14911" s="1"/>
      <c r="U14911" s="1"/>
      <c r="V14911" s="1"/>
      <c r="W14911" s="1"/>
      <c r="X14911" s="1"/>
      <c r="Y14911" s="1"/>
      <c r="Z14911" s="1"/>
      <c r="AA14911" s="1"/>
      <c r="AB14911" s="1"/>
    </row>
    <row r="14912" ht="50.25" customHeight="1">
      <c r="A14912" s="12">
        <v>14908.0</v>
      </c>
      <c r="B14912" s="13" t="s">
        <v>13838</v>
      </c>
      <c r="C14912" s="14" t="s">
        <v>14148</v>
      </c>
      <c r="D14912" s="1"/>
      <c r="E14912" s="1"/>
      <c r="F14912" s="1" t="str">
        <f>IFERROR(__xludf.DUMMYFUNCTION("GOOGLETRANSLATE(B14912, ""en"", ""fa"")
"),"درآمد غیرفعال")</f>
        <v>درآمد غیرفعال</v>
      </c>
      <c r="G14912" s="1" t="str">
        <f>IFERROR(__xludf.DUMMYFUNCTION("GOOGLETRANSLATE(C14912, ""en"", ""fa"")
"),"تأثیر ایجاد اعتبار و اقتدار در جایگاه خود را برای افزایش اثربخشی تبلیغات وابسته خود بررسی کنید.")</f>
        <v>تأثیر ایجاد اعتبار و اقتدار در جایگاه خود را برای افزایش اثربخشی تبلیغات وابسته خود بررسی کنید.</v>
      </c>
      <c r="H14912" s="1"/>
      <c r="I14912" s="1"/>
      <c r="J14912" s="1"/>
      <c r="K14912" s="1"/>
      <c r="L14912" s="1"/>
      <c r="M14912" s="1"/>
      <c r="N14912" s="1"/>
      <c r="O14912" s="1"/>
      <c r="P14912" s="1"/>
      <c r="Q14912" s="1"/>
      <c r="R14912" s="1"/>
      <c r="S14912" s="1"/>
      <c r="T14912" s="1"/>
      <c r="U14912" s="1"/>
      <c r="V14912" s="1"/>
      <c r="W14912" s="1"/>
      <c r="X14912" s="1"/>
      <c r="Y14912" s="1"/>
      <c r="Z14912" s="1"/>
      <c r="AA14912" s="1"/>
      <c r="AB14912" s="1"/>
    </row>
    <row r="14913" ht="50.25" customHeight="1">
      <c r="A14913" s="12">
        <v>14909.0</v>
      </c>
      <c r="B14913" s="13" t="s">
        <v>13838</v>
      </c>
      <c r="C14913" s="14" t="s">
        <v>14149</v>
      </c>
      <c r="D14913" s="1"/>
      <c r="E14913" s="1"/>
      <c r="F14913" s="1" t="str">
        <f>IFERROR(__xludf.DUMMYFUNCTION("GOOGLETRANSLATE(B14913, ""en"", ""fa"")
"),"درآمد غیرفعال")</f>
        <v>درآمد غیرفعال</v>
      </c>
      <c r="G14913" s="1" t="str">
        <f>IFERROR(__xludf.DUMMYFUNCTION("GOOGLETRANSLATE(C14913, ""en"", ""fa"")
"),"چگونه شرکت های وابسته می توانند از دنباله های ایمیل و کمپین های قطره ای برای پرورش سرنخ ها و هدایت آنها به سمت محصولات وابسته استفاده کنند؟")</f>
        <v>چگونه شرکت های وابسته می توانند از دنباله های ایمیل و کمپین های قطره ای برای پرورش سرنخ ها و هدایت آنها به سمت محصولات وابسته استفاده کنند؟</v>
      </c>
      <c r="H14913" s="1"/>
      <c r="I14913" s="1"/>
      <c r="J14913" s="1"/>
      <c r="K14913" s="1"/>
      <c r="L14913" s="1"/>
      <c r="M14913" s="1"/>
      <c r="N14913" s="1"/>
      <c r="O14913" s="1"/>
      <c r="P14913" s="1"/>
      <c r="Q14913" s="1"/>
      <c r="R14913" s="1"/>
      <c r="S14913" s="1"/>
      <c r="T14913" s="1"/>
      <c r="U14913" s="1"/>
      <c r="V14913" s="1"/>
      <c r="W14913" s="1"/>
      <c r="X14913" s="1"/>
      <c r="Y14913" s="1"/>
      <c r="Z14913" s="1"/>
      <c r="AA14913" s="1"/>
      <c r="AB14913" s="1"/>
    </row>
    <row r="14914" ht="50.25" customHeight="1">
      <c r="A14914" s="12">
        <v>14910.0</v>
      </c>
      <c r="B14914" s="13" t="s">
        <v>13838</v>
      </c>
      <c r="C14914" s="14" t="s">
        <v>14150</v>
      </c>
      <c r="D14914" s="1"/>
      <c r="E14914" s="1"/>
      <c r="F14914" s="1" t="str">
        <f>IFERROR(__xludf.DUMMYFUNCTION("GOOGLETRANSLATE(B14914, ""en"", ""fa"")
"),"درآمد غیرفعال")</f>
        <v>درآمد غیرفعال</v>
      </c>
      <c r="G14914" s="1" t="str">
        <f>IFERROR(__xludf.DUMMYFUNCTION("GOOGLETRANSLATE(C14914, ""en"", ""fa"")
"),"در مورد مفهوم استفاده از محتوای تولید شده توسط کاربر، مانند توصیفات مشتری و داستان های موفقیت، در تبلیغات وابسته بحث کنید.")</f>
        <v>در مورد مفهوم استفاده از محتوای تولید شده توسط کاربر، مانند توصیفات مشتری و داستان های موفقیت، در تبلیغات وابسته بحث کنید.</v>
      </c>
      <c r="H14914" s="1"/>
      <c r="I14914" s="1"/>
      <c r="J14914" s="1"/>
      <c r="K14914" s="1"/>
      <c r="L14914" s="1"/>
      <c r="M14914" s="1"/>
      <c r="N14914" s="1"/>
      <c r="O14914" s="1"/>
      <c r="P14914" s="1"/>
      <c r="Q14914" s="1"/>
      <c r="R14914" s="1"/>
      <c r="S14914" s="1"/>
      <c r="T14914" s="1"/>
      <c r="U14914" s="1"/>
      <c r="V14914" s="1"/>
      <c r="W14914" s="1"/>
      <c r="X14914" s="1"/>
      <c r="Y14914" s="1"/>
      <c r="Z14914" s="1"/>
      <c r="AA14914" s="1"/>
      <c r="AB14914" s="1"/>
    </row>
    <row r="14915" ht="50.25" customHeight="1">
      <c r="A14915" s="12">
        <v>14911.0</v>
      </c>
      <c r="B14915" s="13" t="s">
        <v>13838</v>
      </c>
      <c r="C14915" s="14" t="s">
        <v>14151</v>
      </c>
      <c r="D14915" s="1"/>
      <c r="E14915" s="1"/>
      <c r="F14915" s="1" t="str">
        <f>IFERROR(__xludf.DUMMYFUNCTION("GOOGLETRANSLATE(B14915, ""en"", ""fa"")
"),"درآمد غیرفعال")</f>
        <v>درآمد غیرفعال</v>
      </c>
      <c r="G14915" s="1" t="str">
        <f>IFERROR(__xludf.DUMMYFUNCTION("GOOGLETRANSLATE(C14915, ""en"", ""fa"")
"),"تنوع محتوا چه نقشی در جذب مخاطب و علاقه مند به پیشنهادات وابسته شما دارد؟")</f>
        <v>تنوع محتوا چه نقشی در جذب مخاطب و علاقه مند به پیشنهادات وابسته شما دارد؟</v>
      </c>
      <c r="H14915" s="1"/>
      <c r="I14915" s="1"/>
      <c r="J14915" s="1"/>
      <c r="K14915" s="1"/>
      <c r="L14915" s="1"/>
      <c r="M14915" s="1"/>
      <c r="N14915" s="1"/>
      <c r="O14915" s="1"/>
      <c r="P14915" s="1"/>
      <c r="Q14915" s="1"/>
      <c r="R14915" s="1"/>
      <c r="S14915" s="1"/>
      <c r="T14915" s="1"/>
      <c r="U14915" s="1"/>
      <c r="V14915" s="1"/>
      <c r="W14915" s="1"/>
      <c r="X14915" s="1"/>
      <c r="Y14915" s="1"/>
      <c r="Z14915" s="1"/>
      <c r="AA14915" s="1"/>
      <c r="AB14915" s="1"/>
    </row>
    <row r="14916" ht="50.25" customHeight="1">
      <c r="A14916" s="12">
        <v>14912.0</v>
      </c>
      <c r="B14916" s="13" t="s">
        <v>13838</v>
      </c>
      <c r="C14916" s="14" t="s">
        <v>14152</v>
      </c>
      <c r="D14916" s="1"/>
      <c r="E14916" s="1"/>
      <c r="F14916" s="1" t="str">
        <f>IFERROR(__xludf.DUMMYFUNCTION("GOOGLETRANSLATE(B14916, ""en"", ""fa"")
"),"درآمد غیرفعال")</f>
        <v>درآمد غیرفعال</v>
      </c>
      <c r="G14916" s="1" t="str">
        <f>IFERROR(__xludf.DUMMYFUNCTION("GOOGLETRANSLATE(C14916, ""en"", ""fa"")
"),"پتانسیل استفاده از بازشوها و پیشنهادات با قصد خروج برای جذب سرنخ ها و تبلیغ محصولات وابسته را بررسی کنید.")</f>
        <v>پتانسیل استفاده از بازشوها و پیشنهادات با قصد خروج برای جذب سرنخ ها و تبلیغ محصولات وابسته را بررسی کنید.</v>
      </c>
      <c r="H14916" s="1"/>
      <c r="I14916" s="1"/>
      <c r="J14916" s="1"/>
      <c r="K14916" s="1"/>
      <c r="L14916" s="1"/>
      <c r="M14916" s="1"/>
      <c r="N14916" s="1"/>
      <c r="O14916" s="1"/>
      <c r="P14916" s="1"/>
      <c r="Q14916" s="1"/>
      <c r="R14916" s="1"/>
      <c r="S14916" s="1"/>
      <c r="T14916" s="1"/>
      <c r="U14916" s="1"/>
      <c r="V14916" s="1"/>
      <c r="W14916" s="1"/>
      <c r="X14916" s="1"/>
      <c r="Y14916" s="1"/>
      <c r="Z14916" s="1"/>
      <c r="AA14916" s="1"/>
      <c r="AB14916" s="1"/>
    </row>
    <row r="14917" ht="50.25" customHeight="1">
      <c r="A14917" s="12">
        <v>14913.0</v>
      </c>
      <c r="B14917" s="13" t="s">
        <v>13838</v>
      </c>
      <c r="C14917" s="14" t="s">
        <v>14153</v>
      </c>
      <c r="D14917" s="1"/>
      <c r="E14917" s="1"/>
      <c r="F14917" s="1" t="str">
        <f>IFERROR(__xludf.DUMMYFUNCTION("GOOGLETRANSLATE(B14917, ""en"", ""fa"")
"),"درآمد غیرفعال")</f>
        <v>درآمد غیرفعال</v>
      </c>
      <c r="G14917" s="1" t="str">
        <f>IFERROR(__xludf.DUMMYFUNCTION("GOOGLETRANSLATE(C14917, ""en"", ""fa"")
"),"چگونه شرکت های وابسته می توانند به طور موثر از تجزیه و تحلیل داده ها برای شناسایی روندها و الگوهای رفتار مشتری برای هدف گیری بهتر استفاده کنند؟")</f>
        <v>چگونه شرکت های وابسته می توانند به طور موثر از تجزیه و تحلیل داده ها برای شناسایی روندها و الگوهای رفتار مشتری برای هدف گیری بهتر استفاده کنند؟</v>
      </c>
      <c r="H14917" s="1"/>
      <c r="I14917" s="1"/>
      <c r="J14917" s="1"/>
      <c r="K14917" s="1"/>
      <c r="L14917" s="1"/>
      <c r="M14917" s="1"/>
      <c r="N14917" s="1"/>
      <c r="O14917" s="1"/>
      <c r="P14917" s="1"/>
      <c r="Q14917" s="1"/>
      <c r="R14917" s="1"/>
      <c r="S14917" s="1"/>
      <c r="T14917" s="1"/>
      <c r="U14917" s="1"/>
      <c r="V14917" s="1"/>
      <c r="W14917" s="1"/>
      <c r="X14917" s="1"/>
      <c r="Y14917" s="1"/>
      <c r="Z14917" s="1"/>
      <c r="AA14917" s="1"/>
      <c r="AB14917" s="1"/>
    </row>
    <row r="14918" ht="50.25" customHeight="1">
      <c r="A14918" s="12">
        <v>14914.0</v>
      </c>
      <c r="B14918" s="13" t="s">
        <v>13838</v>
      </c>
      <c r="C14918" s="14" t="s">
        <v>14154</v>
      </c>
      <c r="D14918" s="1"/>
      <c r="E14918" s="1"/>
      <c r="F14918" s="1" t="str">
        <f>IFERROR(__xludf.DUMMYFUNCTION("GOOGLETRANSLATE(B14918, ""en"", ""fa"")
"),"درآمد غیرفعال")</f>
        <v>درآمد غیرفعال</v>
      </c>
      <c r="G14918" s="1" t="str">
        <f>IFERROR(__xludf.DUMMYFUNCTION("GOOGLETRANSLATE(C14918, ""en"", ""fa"")
"),"در مورد اهمیت درک مشکلات و چالش های مخاطبان خود برای تنظیم تبلیغات وابسته خود بحث کنید.")</f>
        <v>در مورد اهمیت درک مشکلات و چالش های مخاطبان خود برای تنظیم تبلیغات وابسته خود بحث کنید.</v>
      </c>
      <c r="H14918" s="1"/>
      <c r="I14918" s="1"/>
      <c r="J14918" s="1"/>
      <c r="K14918" s="1"/>
      <c r="L14918" s="1"/>
      <c r="M14918" s="1"/>
      <c r="N14918" s="1"/>
      <c r="O14918" s="1"/>
      <c r="P14918" s="1"/>
      <c r="Q14918" s="1"/>
      <c r="R14918" s="1"/>
      <c r="S14918" s="1"/>
      <c r="T14918" s="1"/>
      <c r="U14918" s="1"/>
      <c r="V14918" s="1"/>
      <c r="W14918" s="1"/>
      <c r="X14918" s="1"/>
      <c r="Y14918" s="1"/>
      <c r="Z14918" s="1"/>
      <c r="AA14918" s="1"/>
      <c r="AB14918" s="1"/>
    </row>
    <row r="14919" ht="50.25" customHeight="1">
      <c r="A14919" s="12">
        <v>14915.0</v>
      </c>
      <c r="B14919" s="13" t="s">
        <v>13838</v>
      </c>
      <c r="C14919" s="14" t="s">
        <v>14155</v>
      </c>
      <c r="D14919" s="1"/>
      <c r="E14919" s="1"/>
      <c r="F14919" s="1" t="str">
        <f>IFERROR(__xludf.DUMMYFUNCTION("GOOGLETRANSLATE(B14919, ""en"", ""fa"")
"),"درآمد غیرفعال")</f>
        <v>درآمد غیرفعال</v>
      </c>
      <c r="G14919" s="1" t="str">
        <f>IFERROR(__xludf.DUMMYFUNCTION("GOOGLETRANSLATE(C14919, ""en"", ""fa"")
"),"پتانسیل استفاده از اعلان‌های فشار وب و بازاریابی تلفن همراه را برای دسترسی به کاربران با پیشنهادات وابسته به موقع کاوش کنید.")</f>
        <v>پتانسیل استفاده از اعلان‌های فشار وب و بازاریابی تلفن همراه را برای دسترسی به کاربران با پیشنهادات وابسته به موقع کاوش کنید.</v>
      </c>
      <c r="H14919" s="1"/>
      <c r="I14919" s="1"/>
      <c r="J14919" s="1"/>
      <c r="K14919" s="1"/>
      <c r="L14919" s="1"/>
      <c r="M14919" s="1"/>
      <c r="N14919" s="1"/>
      <c r="O14919" s="1"/>
      <c r="P14919" s="1"/>
      <c r="Q14919" s="1"/>
      <c r="R14919" s="1"/>
      <c r="S14919" s="1"/>
      <c r="T14919" s="1"/>
      <c r="U14919" s="1"/>
      <c r="V14919" s="1"/>
      <c r="W14919" s="1"/>
      <c r="X14919" s="1"/>
      <c r="Y14919" s="1"/>
      <c r="Z14919" s="1"/>
      <c r="AA14919" s="1"/>
      <c r="AB14919" s="1"/>
    </row>
    <row r="14920" ht="50.25" customHeight="1">
      <c r="A14920" s="12">
        <v>14916.0</v>
      </c>
      <c r="B14920" s="13" t="s">
        <v>13838</v>
      </c>
      <c r="C14920" s="14" t="s">
        <v>14156</v>
      </c>
      <c r="D14920" s="1"/>
      <c r="E14920" s="1"/>
      <c r="F14920" s="1" t="str">
        <f>IFERROR(__xludf.DUMMYFUNCTION("GOOGLETRANSLATE(B14920, ""en"", ""fa"")
"),"درآمد غیرفعال")</f>
        <v>درآمد غیرفعال</v>
      </c>
      <c r="G14920" s="1" t="str">
        <f>IFERROR(__xludf.DUMMYFUNCTION("GOOGLETRANSLATE(C14920, ""en"", ""fa"")
"),"شرکت‌های وابسته از چه استراتژی‌هایی می‌توانند برای استفاده از روندها و رویدادهای فصلی برای افزایش فروش شرکت‌های وابسته استفاده کنند؟")</f>
        <v>شرکت‌های وابسته از چه استراتژی‌هایی می‌توانند برای استفاده از روندها و رویدادهای فصلی برای افزایش فروش شرکت‌های وابسته استفاده کنند؟</v>
      </c>
      <c r="H14920" s="1"/>
      <c r="I14920" s="1"/>
      <c r="J14920" s="1"/>
      <c r="K14920" s="1"/>
      <c r="L14920" s="1"/>
      <c r="M14920" s="1"/>
      <c r="N14920" s="1"/>
      <c r="O14920" s="1"/>
      <c r="P14920" s="1"/>
      <c r="Q14920" s="1"/>
      <c r="R14920" s="1"/>
      <c r="S14920" s="1"/>
      <c r="T14920" s="1"/>
      <c r="U14920" s="1"/>
      <c r="V14920" s="1"/>
      <c r="W14920" s="1"/>
      <c r="X14920" s="1"/>
      <c r="Y14920" s="1"/>
      <c r="Z14920" s="1"/>
      <c r="AA14920" s="1"/>
      <c r="AB14920" s="1"/>
    </row>
    <row r="14921" ht="50.25" customHeight="1">
      <c r="A14921" s="12">
        <v>14917.0</v>
      </c>
      <c r="B14921" s="13" t="s">
        <v>13838</v>
      </c>
      <c r="C14921" s="14" t="s">
        <v>14157</v>
      </c>
      <c r="D14921" s="1"/>
      <c r="E14921" s="1"/>
      <c r="F14921" s="1" t="str">
        <f>IFERROR(__xludf.DUMMYFUNCTION("GOOGLETRANSLATE(B14921, ""en"", ""fa"")
"),"درآمد غیرفعال")</f>
        <v>درآمد غیرفعال</v>
      </c>
      <c r="G14921" s="1" t="str">
        <f>IFERROR(__xludf.DUMMYFUNCTION("GOOGLETRANSLATE(C14921, ""en"", ""fa"")
"),"در مورد نقش افزایش فروش و فروش متقابل محصولات وابسته برای افزایش میانگین ارزش معاملات بحث کنید.")</f>
        <v>در مورد نقش افزایش فروش و فروش متقابل محصولات وابسته برای افزایش میانگین ارزش معاملات بحث کنید.</v>
      </c>
      <c r="H14921" s="1"/>
      <c r="I14921" s="1"/>
      <c r="J14921" s="1"/>
      <c r="K14921" s="1"/>
      <c r="L14921" s="1"/>
      <c r="M14921" s="1"/>
      <c r="N14921" s="1"/>
      <c r="O14921" s="1"/>
      <c r="P14921" s="1"/>
      <c r="Q14921" s="1"/>
      <c r="R14921" s="1"/>
      <c r="S14921" s="1"/>
      <c r="T14921" s="1"/>
      <c r="U14921" s="1"/>
      <c r="V14921" s="1"/>
      <c r="W14921" s="1"/>
      <c r="X14921" s="1"/>
      <c r="Y14921" s="1"/>
      <c r="Z14921" s="1"/>
      <c r="AA14921" s="1"/>
      <c r="AB14921" s="1"/>
    </row>
    <row r="14922" ht="50.25" customHeight="1">
      <c r="A14922" s="12">
        <v>14918.0</v>
      </c>
      <c r="B14922" s="13" t="s">
        <v>13838</v>
      </c>
      <c r="C14922" s="14" t="s">
        <v>14158</v>
      </c>
      <c r="D14922" s="1"/>
      <c r="E14922" s="1"/>
      <c r="F14922" s="1" t="str">
        <f>IFERROR(__xludf.DUMMYFUNCTION("GOOGLETRANSLATE(B14922, ""en"", ""fa"")
"),"درآمد غیرفعال")</f>
        <v>درآمد غیرفعال</v>
      </c>
      <c r="G14922" s="1" t="str">
        <f>IFERROR(__xludf.DUMMYFUNCTION("GOOGLETRANSLATE(C14922, ""en"", ""fa"")
"),"تأثیر افزایش وفاداری مشتری و خریدهای تکراری را در حفظ درآمد بلندمدت وابسته بررسی کنید.")</f>
        <v>تأثیر افزایش وفاداری مشتری و خریدهای تکراری را در حفظ درآمد بلندمدت وابسته بررسی کنید.</v>
      </c>
      <c r="H14922" s="1"/>
      <c r="I14922" s="1"/>
      <c r="J14922" s="1"/>
      <c r="K14922" s="1"/>
      <c r="L14922" s="1"/>
      <c r="M14922" s="1"/>
      <c r="N14922" s="1"/>
      <c r="O14922" s="1"/>
      <c r="P14922" s="1"/>
      <c r="Q14922" s="1"/>
      <c r="R14922" s="1"/>
      <c r="S14922" s="1"/>
      <c r="T14922" s="1"/>
      <c r="U14922" s="1"/>
      <c r="V14922" s="1"/>
      <c r="W14922" s="1"/>
      <c r="X14922" s="1"/>
      <c r="Y14922" s="1"/>
      <c r="Z14922" s="1"/>
      <c r="AA14922" s="1"/>
      <c r="AB14922" s="1"/>
    </row>
    <row r="14923" ht="50.25" customHeight="1">
      <c r="A14923" s="12">
        <v>14919.0</v>
      </c>
      <c r="B14923" s="13" t="s">
        <v>13838</v>
      </c>
      <c r="C14923" s="14" t="s">
        <v>14159</v>
      </c>
      <c r="D14923" s="1"/>
      <c r="E14923" s="1"/>
      <c r="F14923" s="1" t="str">
        <f>IFERROR(__xludf.DUMMYFUNCTION("GOOGLETRANSLATE(B14923, ""en"", ""fa"")
"),"درآمد غیرفعال")</f>
        <v>درآمد غیرفعال</v>
      </c>
      <c r="G14923" s="1" t="str">
        <f>IFERROR(__xludf.DUMMYFUNCTION("GOOGLETRANSLATE(C14923, ""en"", ""fa"")
"),"چگونه شرکت های وابسته می توانند از داستان سرایی و حکایات مرتبط برای ارتباط عاطفی با مخاطبان خود و تبلیغ محصولات وابسته استفاده کنند؟")</f>
        <v>چگونه شرکت های وابسته می توانند از داستان سرایی و حکایات مرتبط برای ارتباط عاطفی با مخاطبان خود و تبلیغ محصولات وابسته استفاده کنند؟</v>
      </c>
      <c r="H14923" s="1"/>
      <c r="I14923" s="1"/>
      <c r="J14923" s="1"/>
      <c r="K14923" s="1"/>
      <c r="L14923" s="1"/>
      <c r="M14923" s="1"/>
      <c r="N14923" s="1"/>
      <c r="O14923" s="1"/>
      <c r="P14923" s="1"/>
      <c r="Q14923" s="1"/>
      <c r="R14923" s="1"/>
      <c r="S14923" s="1"/>
      <c r="T14923" s="1"/>
      <c r="U14923" s="1"/>
      <c r="V14923" s="1"/>
      <c r="W14923" s="1"/>
      <c r="X14923" s="1"/>
      <c r="Y14923" s="1"/>
      <c r="Z14923" s="1"/>
      <c r="AA14923" s="1"/>
      <c r="AB14923" s="1"/>
    </row>
    <row r="14924" ht="50.25" customHeight="1">
      <c r="A14924" s="12">
        <v>14920.0</v>
      </c>
      <c r="B14924" s="13" t="s">
        <v>13838</v>
      </c>
      <c r="C14924" s="14" t="s">
        <v>14160</v>
      </c>
      <c r="D14924" s="1"/>
      <c r="E14924" s="1"/>
      <c r="F14924" s="1" t="str">
        <f>IFERROR(__xludf.DUMMYFUNCTION("GOOGLETRANSLATE(B14924, ""en"", ""fa"")
"),"درآمد غیرفعال")</f>
        <v>درآمد غیرفعال</v>
      </c>
      <c r="G14924" s="1" t="str">
        <f>IFERROR(__xludf.DUMMYFUNCTION("GOOGLETRANSLATE(C14924, ""en"", ""fa"")
"),"در مورد مفهوم استفاده از پشتیبانی مشتری و ارتباطات پاسخگو برای ایجاد اعتماد با مخاطبان وابسته خود بحث کنید.")</f>
        <v>در مورد مفهوم استفاده از پشتیبانی مشتری و ارتباطات پاسخگو برای ایجاد اعتماد با مخاطبان وابسته خود بحث کنید.</v>
      </c>
      <c r="H14924" s="1"/>
      <c r="I14924" s="1"/>
      <c r="J14924" s="1"/>
      <c r="K14924" s="1"/>
      <c r="L14924" s="1"/>
      <c r="M14924" s="1"/>
      <c r="N14924" s="1"/>
      <c r="O14924" s="1"/>
      <c r="P14924" s="1"/>
      <c r="Q14924" s="1"/>
      <c r="R14924" s="1"/>
      <c r="S14924" s="1"/>
      <c r="T14924" s="1"/>
      <c r="U14924" s="1"/>
      <c r="V14924" s="1"/>
      <c r="W14924" s="1"/>
      <c r="X14924" s="1"/>
      <c r="Y14924" s="1"/>
      <c r="Z14924" s="1"/>
      <c r="AA14924" s="1"/>
      <c r="AB14924" s="1"/>
    </row>
    <row r="14925" ht="50.25" customHeight="1">
      <c r="A14925" s="12">
        <v>14921.0</v>
      </c>
      <c r="B14925" s="13" t="s">
        <v>13838</v>
      </c>
      <c r="C14925" s="14" t="s">
        <v>14161</v>
      </c>
      <c r="D14925" s="1"/>
      <c r="E14925" s="1"/>
      <c r="F14925" s="1" t="str">
        <f>IFERROR(__xludf.DUMMYFUNCTION("GOOGLETRANSLATE(B14925, ""en"", ""fa"")
"),"درآمد غیرفعال")</f>
        <v>درآمد غیرفعال</v>
      </c>
      <c r="G14925" s="1" t="str">
        <f>IFERROR(__xludf.DUMMYFUNCTION("GOOGLETRANSLATE(C14925, ""en"", ""fa"")
"),"تنوع بخشیدن به منابع درآمدی وابسته شما چه نقشی در حفاظت از جریان‌های درآمد غیرفعال شما دارد؟")</f>
        <v>تنوع بخشیدن به منابع درآمدی وابسته شما چه نقشی در حفاظت از جریان‌های درآمد غیرفعال شما دارد؟</v>
      </c>
      <c r="H14925" s="1"/>
      <c r="I14925" s="1"/>
      <c r="J14925" s="1"/>
      <c r="K14925" s="1"/>
      <c r="L14925" s="1"/>
      <c r="M14925" s="1"/>
      <c r="N14925" s="1"/>
      <c r="O14925" s="1"/>
      <c r="P14925" s="1"/>
      <c r="Q14925" s="1"/>
      <c r="R14925" s="1"/>
      <c r="S14925" s="1"/>
      <c r="T14925" s="1"/>
      <c r="U14925" s="1"/>
      <c r="V14925" s="1"/>
      <c r="W14925" s="1"/>
      <c r="X14925" s="1"/>
      <c r="Y14925" s="1"/>
      <c r="Z14925" s="1"/>
      <c r="AA14925" s="1"/>
      <c r="AB14925" s="1"/>
    </row>
    <row r="14926" ht="50.25" customHeight="1">
      <c r="A14926" s="12">
        <v>14922.0</v>
      </c>
      <c r="B14926" s="13" t="s">
        <v>13838</v>
      </c>
      <c r="C14926" s="14" t="s">
        <v>14162</v>
      </c>
      <c r="D14926" s="1"/>
      <c r="E14926" s="1"/>
      <c r="F14926" s="1" t="str">
        <f>IFERROR(__xludf.DUMMYFUNCTION("GOOGLETRANSLATE(B14926, ""en"", ""fa"")
"),"درآمد غیرفعال")</f>
        <v>درآمد غیرفعال</v>
      </c>
      <c r="G14926" s="1" t="str">
        <f>IFERROR(__xludf.DUMMYFUNCTION("GOOGLETRANSLATE(C14926, ""en"", ""fa"")
"),"پتانسیل استفاده از وبینارها و کارگاه های زنده برای آموزش و اطلاع رسانی به مخاطبان خود در مورد محصولات وابسته را بررسی کنید.")</f>
        <v>پتانسیل استفاده از وبینارها و کارگاه های زنده برای آموزش و اطلاع رسانی به مخاطبان خود در مورد محصولات وابسته را بررسی کنید.</v>
      </c>
      <c r="H14926" s="1"/>
      <c r="I14926" s="1"/>
      <c r="J14926" s="1"/>
      <c r="K14926" s="1"/>
      <c r="L14926" s="1"/>
      <c r="M14926" s="1"/>
      <c r="N14926" s="1"/>
      <c r="O14926" s="1"/>
      <c r="P14926" s="1"/>
      <c r="Q14926" s="1"/>
      <c r="R14926" s="1"/>
      <c r="S14926" s="1"/>
      <c r="T14926" s="1"/>
      <c r="U14926" s="1"/>
      <c r="V14926" s="1"/>
      <c r="W14926" s="1"/>
      <c r="X14926" s="1"/>
      <c r="Y14926" s="1"/>
      <c r="Z14926" s="1"/>
      <c r="AA14926" s="1"/>
      <c r="AB14926" s="1"/>
    </row>
    <row r="14927" ht="50.25" customHeight="1">
      <c r="A14927" s="12">
        <v>14923.0</v>
      </c>
      <c r="B14927" s="13" t="s">
        <v>13838</v>
      </c>
      <c r="C14927" s="14" t="s">
        <v>14163</v>
      </c>
      <c r="D14927" s="1"/>
      <c r="E14927" s="1"/>
      <c r="F14927" s="1" t="str">
        <f>IFERROR(__xludf.DUMMYFUNCTION("GOOGLETRANSLATE(B14927, ""en"", ""fa"")
"),"درآمد غیرفعال")</f>
        <v>درآمد غیرفعال</v>
      </c>
      <c r="G14927" s="1" t="str">
        <f>IFERROR(__xludf.DUMMYFUNCTION("GOOGLETRANSLATE(C14927, ""en"", ""fa"")
"),"چگونه شرکت‌های وابسته می‌توانند به طور موثر از تبلیغات هدف‌گیری مجدد برای جذب مجدد کاربرانی که با محتوای وابسته خود تعامل داشته‌اند، استفاده کنند؟")</f>
        <v>چگونه شرکت‌های وابسته می‌توانند به طور موثر از تبلیغات هدف‌گیری مجدد برای جذب مجدد کاربرانی که با محتوای وابسته خود تعامل داشته‌اند، استفاده کنند؟</v>
      </c>
      <c r="H14927" s="1"/>
      <c r="I14927" s="1"/>
      <c r="J14927" s="1"/>
      <c r="K14927" s="1"/>
      <c r="L14927" s="1"/>
      <c r="M14927" s="1"/>
      <c r="N14927" s="1"/>
      <c r="O14927" s="1"/>
      <c r="P14927" s="1"/>
      <c r="Q14927" s="1"/>
      <c r="R14927" s="1"/>
      <c r="S14927" s="1"/>
      <c r="T14927" s="1"/>
      <c r="U14927" s="1"/>
      <c r="V14927" s="1"/>
      <c r="W14927" s="1"/>
      <c r="X14927" s="1"/>
      <c r="Y14927" s="1"/>
      <c r="Z14927" s="1"/>
      <c r="AA14927" s="1"/>
      <c r="AB14927" s="1"/>
    </row>
    <row r="14928" ht="50.25" customHeight="1">
      <c r="A14928" s="12">
        <v>14924.0</v>
      </c>
      <c r="B14928" s="13" t="s">
        <v>13838</v>
      </c>
      <c r="C14928" s="14" t="s">
        <v>14164</v>
      </c>
      <c r="D14928" s="1"/>
      <c r="E14928" s="1"/>
      <c r="F14928" s="1" t="str">
        <f>IFERROR(__xludf.DUMMYFUNCTION("GOOGLETRANSLATE(B14928, ""en"", ""fa"")
"),"درآمد غیرفعال")</f>
        <v>درآمد غیرفعال</v>
      </c>
      <c r="G14928" s="1" t="str">
        <f>IFERROR(__xludf.DUMMYFUNCTION("GOOGLETRANSLATE(C14928, ""en"", ""fa"")
"),"در مورد اهمیت اخلاق و اصالت در بازاریابی وابسته برای حفظ شهرت مثبت بحث کنید.")</f>
        <v>در مورد اهمیت اخلاق و اصالت در بازاریابی وابسته برای حفظ شهرت مثبت بحث کنید.</v>
      </c>
      <c r="H14928" s="1"/>
      <c r="I14928" s="1"/>
      <c r="J14928" s="1"/>
      <c r="K14928" s="1"/>
      <c r="L14928" s="1"/>
      <c r="M14928" s="1"/>
      <c r="N14928" s="1"/>
      <c r="O14928" s="1"/>
      <c r="P14928" s="1"/>
      <c r="Q14928" s="1"/>
      <c r="R14928" s="1"/>
      <c r="S14928" s="1"/>
      <c r="T14928" s="1"/>
      <c r="U14928" s="1"/>
      <c r="V14928" s="1"/>
      <c r="W14928" s="1"/>
      <c r="X14928" s="1"/>
      <c r="Y14928" s="1"/>
      <c r="Z14928" s="1"/>
      <c r="AA14928" s="1"/>
      <c r="AB14928" s="1"/>
    </row>
    <row r="14929" ht="50.25" customHeight="1">
      <c r="A14929" s="12">
        <v>14925.0</v>
      </c>
      <c r="B14929" s="13" t="s">
        <v>13838</v>
      </c>
      <c r="C14929" s="14" t="s">
        <v>14165</v>
      </c>
      <c r="D14929" s="1"/>
      <c r="E14929" s="1"/>
      <c r="F14929" s="1" t="str">
        <f>IFERROR(__xludf.DUMMYFUNCTION("GOOGLETRANSLATE(B14929, ""en"", ""fa"")
"),"درآمد غیرفعال")</f>
        <v>درآمد غیرفعال</v>
      </c>
      <c r="G14929" s="1" t="str">
        <f>IFERROR(__xludf.DUMMYFUNCTION("GOOGLETRANSLATE(C14929, ""en"", ""fa"")
"),"پتانسیل استفاده از پست مهمان و همکاری برای دستیابی به مخاطبان جدید و تبلیغ پیشنهادات وابسته را بررسی کنید.")</f>
        <v>پتانسیل استفاده از پست مهمان و همکاری برای دستیابی به مخاطبان جدید و تبلیغ پیشنهادات وابسته را بررسی کنید.</v>
      </c>
      <c r="H14929" s="1"/>
      <c r="I14929" s="1"/>
      <c r="J14929" s="1"/>
      <c r="K14929" s="1"/>
      <c r="L14929" s="1"/>
      <c r="M14929" s="1"/>
      <c r="N14929" s="1"/>
      <c r="O14929" s="1"/>
      <c r="P14929" s="1"/>
      <c r="Q14929" s="1"/>
      <c r="R14929" s="1"/>
      <c r="S14929" s="1"/>
      <c r="T14929" s="1"/>
      <c r="U14929" s="1"/>
      <c r="V14929" s="1"/>
      <c r="W14929" s="1"/>
      <c r="X14929" s="1"/>
      <c r="Y14929" s="1"/>
      <c r="Z14929" s="1"/>
      <c r="AA14929" s="1"/>
      <c r="AB14929" s="1"/>
    </row>
    <row r="14930" ht="50.25" customHeight="1">
      <c r="A14930" s="12">
        <v>14926.0</v>
      </c>
      <c r="B14930" s="13" t="s">
        <v>13838</v>
      </c>
      <c r="C14930" s="14" t="s">
        <v>14166</v>
      </c>
      <c r="D14930" s="1"/>
      <c r="E14930" s="1"/>
      <c r="F14930" s="1" t="str">
        <f>IFERROR(__xludf.DUMMYFUNCTION("GOOGLETRANSLATE(B14930, ""en"", ""fa"")
"),"درآمد غیرفعال")</f>
        <v>درآمد غیرفعال</v>
      </c>
      <c r="G14930" s="1" t="str">
        <f>IFERROR(__xludf.DUMMYFUNCTION("GOOGLETRANSLATE(C14930, ""en"", ""fa"")
"),"شرکت های وابسته از چه استراتژی هایی می توانند برای غلبه بر مخالفت ها و رفع نگرانی های مشترک خریداران بالقوه استفاده کنند؟")</f>
        <v>شرکت های وابسته از چه استراتژی هایی می توانند برای غلبه بر مخالفت ها و رفع نگرانی های مشترک خریداران بالقوه استفاده کنند؟</v>
      </c>
      <c r="H14930" s="1"/>
      <c r="I14930" s="1"/>
      <c r="J14930" s="1"/>
      <c r="K14930" s="1"/>
      <c r="L14930" s="1"/>
      <c r="M14930" s="1"/>
      <c r="N14930" s="1"/>
      <c r="O14930" s="1"/>
      <c r="P14930" s="1"/>
      <c r="Q14930" s="1"/>
      <c r="R14930" s="1"/>
      <c r="S14930" s="1"/>
      <c r="T14930" s="1"/>
      <c r="U14930" s="1"/>
      <c r="V14930" s="1"/>
      <c r="W14930" s="1"/>
      <c r="X14930" s="1"/>
      <c r="Y14930" s="1"/>
      <c r="Z14930" s="1"/>
      <c r="AA14930" s="1"/>
      <c r="AB14930" s="1"/>
    </row>
    <row r="14931" ht="50.25" customHeight="1">
      <c r="A14931" s="12">
        <v>14927.0</v>
      </c>
      <c r="B14931" s="13" t="s">
        <v>13838</v>
      </c>
      <c r="C14931" s="14" t="s">
        <v>14167</v>
      </c>
      <c r="D14931" s="1"/>
      <c r="E14931" s="1"/>
      <c r="F14931" s="1" t="str">
        <f>IFERROR(__xludf.DUMMYFUNCTION("GOOGLETRANSLATE(B14931, ""en"", ""fa"")
"),"درآمد غیرفعال")</f>
        <v>درآمد غیرفعال</v>
      </c>
      <c r="G14931" s="1" t="str">
        <f>IFERROR(__xludf.DUMMYFUNCTION("GOOGLETRANSLATE(C14931, ""en"", ""fa"")
"),"درباره نقش نقشه سفر مشتری در طراحی یک تجربه یکپارچه برای کاربرانی که در محتوای وابسته شما پیمایش می کنند بحث کنید.")</f>
        <v>درباره نقش نقشه سفر مشتری در طراحی یک تجربه یکپارچه برای کاربرانی که در محتوای وابسته شما پیمایش می کنند بحث کنید.</v>
      </c>
      <c r="H14931" s="1"/>
      <c r="I14931" s="1"/>
      <c r="J14931" s="1"/>
      <c r="K14931" s="1"/>
      <c r="L14931" s="1"/>
      <c r="M14931" s="1"/>
      <c r="N14931" s="1"/>
      <c r="O14931" s="1"/>
      <c r="P14931" s="1"/>
      <c r="Q14931" s="1"/>
      <c r="R14931" s="1"/>
      <c r="S14931" s="1"/>
      <c r="T14931" s="1"/>
      <c r="U14931" s="1"/>
      <c r="V14931" s="1"/>
      <c r="W14931" s="1"/>
      <c r="X14931" s="1"/>
      <c r="Y14931" s="1"/>
      <c r="Z14931" s="1"/>
      <c r="AA14931" s="1"/>
      <c r="AB14931" s="1"/>
    </row>
    <row r="14932" ht="50.25" customHeight="1">
      <c r="A14932" s="12">
        <v>14928.0</v>
      </c>
      <c r="B14932" s="13" t="s">
        <v>13838</v>
      </c>
      <c r="C14932" s="14" t="s">
        <v>14168</v>
      </c>
      <c r="D14932" s="1"/>
      <c r="E14932" s="1"/>
      <c r="F14932" s="1" t="str">
        <f>IFERROR(__xludf.DUMMYFUNCTION("GOOGLETRANSLATE(B14932, ""en"", ""fa"")
"),"درآمد غیرفعال")</f>
        <v>درآمد غیرفعال</v>
      </c>
      <c r="G14932" s="1" t="str">
        <f>IFERROR(__xludf.DUMMYFUNCTION("GOOGLETRANSLATE(C14932, ""en"", ""fa"")
"),"تأثیر ایجاد یک تقویم محتوا و برنامه ریزی استراتژیک در حفظ تبلیغات وابسته را بررسی کنید.")</f>
        <v>تأثیر ایجاد یک تقویم محتوا و برنامه ریزی استراتژیک در حفظ تبلیغات وابسته را بررسی کنید.</v>
      </c>
      <c r="H14932" s="1"/>
      <c r="I14932" s="1"/>
      <c r="J14932" s="1"/>
      <c r="K14932" s="1"/>
      <c r="L14932" s="1"/>
      <c r="M14932" s="1"/>
      <c r="N14932" s="1"/>
      <c r="O14932" s="1"/>
      <c r="P14932" s="1"/>
      <c r="Q14932" s="1"/>
      <c r="R14932" s="1"/>
      <c r="S14932" s="1"/>
      <c r="T14932" s="1"/>
      <c r="U14932" s="1"/>
      <c r="V14932" s="1"/>
      <c r="W14932" s="1"/>
      <c r="X14932" s="1"/>
      <c r="Y14932" s="1"/>
      <c r="Z14932" s="1"/>
      <c r="AA14932" s="1"/>
      <c r="AB14932" s="1"/>
    </row>
    <row r="14933" ht="50.25" customHeight="1">
      <c r="A14933" s="12">
        <v>14929.0</v>
      </c>
      <c r="B14933" s="13" t="s">
        <v>13838</v>
      </c>
      <c r="C14933" s="14" t="s">
        <v>14169</v>
      </c>
      <c r="D14933" s="1"/>
      <c r="E14933" s="1"/>
      <c r="F14933" s="1" t="str">
        <f>IFERROR(__xludf.DUMMYFUNCTION("GOOGLETRANSLATE(B14933, ""en"", ""fa"")
"),"درآمد غیرفعال")</f>
        <v>درآمد غیرفعال</v>
      </c>
      <c r="G14933" s="1" t="str">
        <f>IFERROR(__xludf.DUMMYFUNCTION("GOOGLETRANSLATE(C14933, ""en"", ""fa"")
"),"چگونه شرکت‌های وابسته می‌توانند از تکنیک‌های کپی‌نویسی متقاعدکننده برای وادار کردن کاربران به اقدام در مورد پیشنهادات وابسته استفاده کنند؟")</f>
        <v>چگونه شرکت‌های وابسته می‌توانند از تکنیک‌های کپی‌نویسی متقاعدکننده برای وادار کردن کاربران به اقدام در مورد پیشنهادات وابسته استفاده کنند؟</v>
      </c>
      <c r="H14933" s="1"/>
      <c r="I14933" s="1"/>
      <c r="J14933" s="1"/>
      <c r="K14933" s="1"/>
      <c r="L14933" s="1"/>
      <c r="M14933" s="1"/>
      <c r="N14933" s="1"/>
      <c r="O14933" s="1"/>
      <c r="P14933" s="1"/>
      <c r="Q14933" s="1"/>
      <c r="R14933" s="1"/>
      <c r="S14933" s="1"/>
      <c r="T14933" s="1"/>
      <c r="U14933" s="1"/>
      <c r="V14933" s="1"/>
      <c r="W14933" s="1"/>
      <c r="X14933" s="1"/>
      <c r="Y14933" s="1"/>
      <c r="Z14933" s="1"/>
      <c r="AA14933" s="1"/>
      <c r="AB14933" s="1"/>
    </row>
    <row r="14934" ht="50.25" customHeight="1">
      <c r="A14934" s="12">
        <v>14930.0</v>
      </c>
      <c r="B14934" s="13" t="s">
        <v>13838</v>
      </c>
      <c r="C14934" s="14" t="s">
        <v>14170</v>
      </c>
      <c r="D14934" s="1"/>
      <c r="E14934" s="1"/>
      <c r="F14934" s="1" t="str">
        <f>IFERROR(__xludf.DUMMYFUNCTION("GOOGLETRANSLATE(B14934, ""en"", ""fa"")
"),"درآمد غیرفعال")</f>
        <v>درآمد غیرفعال</v>
      </c>
      <c r="G14934" s="1" t="str">
        <f>IFERROR(__xludf.DUMMYFUNCTION("GOOGLETRANSLATE(C14934, ""en"", ""fa"")
"),"درباره مفهوم استفاده از مطالعات موردی و مثال‌های واقعی برای نشان دادن ارزش و مزایای محصولات وابسته بحث کنید.")</f>
        <v>درباره مفهوم استفاده از مطالعات موردی و مثال‌های واقعی برای نشان دادن ارزش و مزایای محصولات وابسته بحث کنید.</v>
      </c>
      <c r="H14934" s="1"/>
      <c r="I14934" s="1"/>
      <c r="J14934" s="1"/>
      <c r="K14934" s="1"/>
      <c r="L14934" s="1"/>
      <c r="M14934" s="1"/>
      <c r="N14934" s="1"/>
      <c r="O14934" s="1"/>
      <c r="P14934" s="1"/>
      <c r="Q14934" s="1"/>
      <c r="R14934" s="1"/>
      <c r="S14934" s="1"/>
      <c r="T14934" s="1"/>
      <c r="U14934" s="1"/>
      <c r="V14934" s="1"/>
      <c r="W14934" s="1"/>
      <c r="X14934" s="1"/>
      <c r="Y14934" s="1"/>
      <c r="Z14934" s="1"/>
      <c r="AA14934" s="1"/>
      <c r="AB14934" s="1"/>
    </row>
    <row r="14935" ht="50.25" customHeight="1">
      <c r="A14935" s="12">
        <v>14931.0</v>
      </c>
      <c r="B14935" s="13" t="s">
        <v>13838</v>
      </c>
      <c r="C14935" s="14" t="s">
        <v>14171</v>
      </c>
      <c r="D14935" s="1"/>
      <c r="E14935" s="1"/>
      <c r="F14935" s="1" t="str">
        <f>IFERROR(__xludf.DUMMYFUNCTION("GOOGLETRANSLATE(B14935, ""en"", ""fa"")
"),"درآمد غیرفعال")</f>
        <v>درآمد غیرفعال</v>
      </c>
      <c r="G14935" s="1" t="str">
        <f>IFERROR(__xludf.DUMMYFUNCTION("GOOGLETRANSLATE(C14935, ""en"", ""fa"")
"),"ارائه پاداش ها و مشوق های انحصاری چه نقشی در افزایش جذابیت پیشنهادات وابسته دارد؟")</f>
        <v>ارائه پاداش ها و مشوق های انحصاری چه نقشی در افزایش جذابیت پیشنهادات وابسته دارد؟</v>
      </c>
      <c r="H14935" s="1"/>
      <c r="I14935" s="1"/>
      <c r="J14935" s="1"/>
      <c r="K14935" s="1"/>
      <c r="L14935" s="1"/>
      <c r="M14935" s="1"/>
      <c r="N14935" s="1"/>
      <c r="O14935" s="1"/>
      <c r="P14935" s="1"/>
      <c r="Q14935" s="1"/>
      <c r="R14935" s="1"/>
      <c r="S14935" s="1"/>
      <c r="T14935" s="1"/>
      <c r="U14935" s="1"/>
      <c r="V14935" s="1"/>
      <c r="W14935" s="1"/>
      <c r="X14935" s="1"/>
      <c r="Y14935" s="1"/>
      <c r="Z14935" s="1"/>
      <c r="AA14935" s="1"/>
      <c r="AB14935" s="1"/>
    </row>
    <row r="14936" ht="50.25" customHeight="1">
      <c r="A14936" s="12">
        <v>14932.0</v>
      </c>
      <c r="B14936" s="13" t="s">
        <v>13838</v>
      </c>
      <c r="C14936" s="14" t="s">
        <v>14172</v>
      </c>
      <c r="D14936" s="1"/>
      <c r="E14936" s="1"/>
      <c r="F14936" s="1" t="str">
        <f>IFERROR(__xludf.DUMMYFUNCTION("GOOGLETRANSLATE(B14936, ""en"", ""fa"")
"),"درآمد غیرفعال")</f>
        <v>درآمد غیرفعال</v>
      </c>
      <c r="G14936" s="1" t="str">
        <f>IFERROR(__xludf.DUMMYFUNCTION("GOOGLETRANSLATE(C14936, ""en"", ""fa"")
"),"پتانسیل استفاده از نظرسنجی‌های خروجی را برای جمع‌آوری بازخورد و بینش از کاربرانی که تبدیل نکرده‌اند، بررسی کنید.")</f>
        <v>پتانسیل استفاده از نظرسنجی‌های خروجی را برای جمع‌آوری بازخورد و بینش از کاربرانی که تبدیل نکرده‌اند، بررسی کنید.</v>
      </c>
      <c r="H14936" s="1"/>
      <c r="I14936" s="1"/>
      <c r="J14936" s="1"/>
      <c r="K14936" s="1"/>
      <c r="L14936" s="1"/>
      <c r="M14936" s="1"/>
      <c r="N14936" s="1"/>
      <c r="O14936" s="1"/>
      <c r="P14936" s="1"/>
      <c r="Q14936" s="1"/>
      <c r="R14936" s="1"/>
      <c r="S14936" s="1"/>
      <c r="T14936" s="1"/>
      <c r="U14936" s="1"/>
      <c r="V14936" s="1"/>
      <c r="W14936" s="1"/>
      <c r="X14936" s="1"/>
      <c r="Y14936" s="1"/>
      <c r="Z14936" s="1"/>
      <c r="AA14936" s="1"/>
      <c r="AB14936" s="1"/>
    </row>
    <row r="14937" ht="50.25" customHeight="1">
      <c r="A14937" s="12">
        <v>14933.0</v>
      </c>
      <c r="B14937" s="13" t="s">
        <v>13838</v>
      </c>
      <c r="C14937" s="14" t="s">
        <v>14173</v>
      </c>
      <c r="D14937" s="1"/>
      <c r="E14937" s="1"/>
      <c r="F14937" s="1" t="str">
        <f>IFERROR(__xludf.DUMMYFUNCTION("GOOGLETRANSLATE(B14937, ""en"", ""fa"")
"),"درآمد غیرفعال")</f>
        <v>درآمد غیرفعال</v>
      </c>
      <c r="G14937" s="1" t="str">
        <f>IFERROR(__xludf.DUMMYFUNCTION("GOOGLETRANSLATE(C14937, ""en"", ""fa"")
"),"چگونه شرکت های وابسته می توانند به طور موثر از تعامل و تعامل رسانه های اجتماعی برای افزایش فروش وابسته استفاده کنند؟")</f>
        <v>چگونه شرکت های وابسته می توانند به طور موثر از تعامل و تعامل رسانه های اجتماعی برای افزایش فروش وابسته استفاده کنند؟</v>
      </c>
      <c r="H14937" s="1"/>
      <c r="I14937" s="1"/>
      <c r="J14937" s="1"/>
      <c r="K14937" s="1"/>
      <c r="L14937" s="1"/>
      <c r="M14937" s="1"/>
      <c r="N14937" s="1"/>
      <c r="O14937" s="1"/>
      <c r="P14937" s="1"/>
      <c r="Q14937" s="1"/>
      <c r="R14937" s="1"/>
      <c r="S14937" s="1"/>
      <c r="T14937" s="1"/>
      <c r="U14937" s="1"/>
      <c r="V14937" s="1"/>
      <c r="W14937" s="1"/>
      <c r="X14937" s="1"/>
      <c r="Y14937" s="1"/>
      <c r="Z14937" s="1"/>
      <c r="AA14937" s="1"/>
      <c r="AB14937" s="1"/>
    </row>
    <row r="14938" ht="50.25" customHeight="1">
      <c r="A14938" s="12">
        <v>14934.0</v>
      </c>
      <c r="B14938" s="13" t="s">
        <v>13838</v>
      </c>
      <c r="C14938" s="14" t="s">
        <v>14174</v>
      </c>
      <c r="D14938" s="1"/>
      <c r="E14938" s="1"/>
      <c r="F14938" s="1" t="str">
        <f>IFERROR(__xludf.DUMMYFUNCTION("GOOGLETRANSLATE(B14938, ""en"", ""fa"")
"),"درآمد غیرفعال")</f>
        <v>درآمد غیرفعال</v>
      </c>
      <c r="G14938" s="1" t="str">
        <f>IFERROR(__xludf.DUMMYFUNCTION("GOOGLETRANSLATE(C14938, ""en"", ""fa"")
"),"در مورد اهمیت یادگیری مستمر و به روز ماندن در مورد روندهای صنعت و استراتژی های بازاریابی وابسته بحث کنید.")</f>
        <v>در مورد اهمیت یادگیری مستمر و به روز ماندن در مورد روندهای صنعت و استراتژی های بازاریابی وابسته بحث کنید.</v>
      </c>
      <c r="H14938" s="1"/>
      <c r="I14938" s="1"/>
      <c r="J14938" s="1"/>
      <c r="K14938" s="1"/>
      <c r="L14938" s="1"/>
      <c r="M14938" s="1"/>
      <c r="N14938" s="1"/>
      <c r="O14938" s="1"/>
      <c r="P14938" s="1"/>
      <c r="Q14938" s="1"/>
      <c r="R14938" s="1"/>
      <c r="S14938" s="1"/>
      <c r="T14938" s="1"/>
      <c r="U14938" s="1"/>
      <c r="V14938" s="1"/>
      <c r="W14938" s="1"/>
      <c r="X14938" s="1"/>
      <c r="Y14938" s="1"/>
      <c r="Z14938" s="1"/>
      <c r="AA14938" s="1"/>
      <c r="AB14938" s="1"/>
    </row>
    <row r="14939" ht="50.25" customHeight="1">
      <c r="A14939" s="12">
        <v>14935.0</v>
      </c>
      <c r="B14939" s="13" t="s">
        <v>13838</v>
      </c>
      <c r="C14939" s="14" t="s">
        <v>14175</v>
      </c>
      <c r="D14939" s="1"/>
      <c r="E14939" s="1"/>
      <c r="F14939" s="1" t="str">
        <f>IFERROR(__xludf.DUMMYFUNCTION("GOOGLETRANSLATE(B14939, ""en"", ""fa"")
"),"درآمد غیرفعال")</f>
        <v>درآمد غیرفعال</v>
      </c>
      <c r="G14939" s="1" t="str">
        <f>IFERROR(__xludf.DUMMYFUNCTION("GOOGLETRANSLATE(C14939, ""en"", ""fa"")
"),"پتانسیل استفاده از آزمون‌ها و ارزیابی‌های تعاملی را برای توصیه محصولات وابسته شخصی‌شده به کاربران بررسی کنید.")</f>
        <v>پتانسیل استفاده از آزمون‌ها و ارزیابی‌های تعاملی را برای توصیه محصولات وابسته شخصی‌شده به کاربران بررسی کنید.</v>
      </c>
      <c r="H14939" s="1"/>
      <c r="I14939" s="1"/>
      <c r="J14939" s="1"/>
      <c r="K14939" s="1"/>
      <c r="L14939" s="1"/>
      <c r="M14939" s="1"/>
      <c r="N14939" s="1"/>
      <c r="O14939" s="1"/>
      <c r="P14939" s="1"/>
      <c r="Q14939" s="1"/>
      <c r="R14939" s="1"/>
      <c r="S14939" s="1"/>
      <c r="T14939" s="1"/>
      <c r="U14939" s="1"/>
      <c r="V14939" s="1"/>
      <c r="W14939" s="1"/>
      <c r="X14939" s="1"/>
      <c r="Y14939" s="1"/>
      <c r="Z14939" s="1"/>
      <c r="AA14939" s="1"/>
      <c r="AB14939" s="1"/>
    </row>
    <row r="14940" ht="50.25" customHeight="1">
      <c r="A14940" s="12">
        <v>14936.0</v>
      </c>
      <c r="B14940" s="13" t="s">
        <v>13838</v>
      </c>
      <c r="C14940" s="14" t="s">
        <v>14176</v>
      </c>
      <c r="D14940" s="1"/>
      <c r="E14940" s="1"/>
      <c r="F14940" s="1" t="str">
        <f>IFERROR(__xludf.DUMMYFUNCTION("GOOGLETRANSLATE(B14940, ""en"", ""fa"")
"),"درآمد غیرفعال")</f>
        <v>درآمد غیرفعال</v>
      </c>
      <c r="G14940" s="1" t="str">
        <f>IFERROR(__xludf.DUMMYFUNCTION("GOOGLETRANSLATE(C14940, ""en"", ""fa"")
"),"شرکت های وابسته از چه استراتژی هایی می توانند برای ایجاد احساس فوریت بدون به خطر انداختن اعتبار خود استفاده کنند؟")</f>
        <v>شرکت های وابسته از چه استراتژی هایی می توانند برای ایجاد احساس فوریت بدون به خطر انداختن اعتبار خود استفاده کنند؟</v>
      </c>
      <c r="H14940" s="1"/>
      <c r="I14940" s="1"/>
      <c r="J14940" s="1"/>
      <c r="K14940" s="1"/>
      <c r="L14940" s="1"/>
      <c r="M14940" s="1"/>
      <c r="N14940" s="1"/>
      <c r="O14940" s="1"/>
      <c r="P14940" s="1"/>
      <c r="Q14940" s="1"/>
      <c r="R14940" s="1"/>
      <c r="S14940" s="1"/>
      <c r="T14940" s="1"/>
      <c r="U14940" s="1"/>
      <c r="V14940" s="1"/>
      <c r="W14940" s="1"/>
      <c r="X14940" s="1"/>
      <c r="Y14940" s="1"/>
      <c r="Z14940" s="1"/>
      <c r="AA14940" s="1"/>
      <c r="AB14940" s="1"/>
    </row>
    <row r="14941" ht="50.25" customHeight="1">
      <c r="A14941" s="12">
        <v>14937.0</v>
      </c>
      <c r="B14941" s="13" t="s">
        <v>13838</v>
      </c>
      <c r="C14941" s="14" t="s">
        <v>14177</v>
      </c>
      <c r="D14941" s="1"/>
      <c r="E14941" s="1"/>
      <c r="F14941" s="1" t="str">
        <f>IFERROR(__xludf.DUMMYFUNCTION("GOOGLETRANSLATE(B14941, ""en"", ""fa"")
"),"درآمد غیرفعال")</f>
        <v>درآمد غیرفعال</v>
      </c>
      <c r="G14941" s="1" t="str">
        <f>IFERROR(__xludf.DUMMYFUNCTION("GOOGLETRANSLATE(C14941, ""en"", ""fa"")
"),"در مورد نقش بهینه سازی موبایل و طراحی واکنشگرا در تضمین تجربه کاربری یکپارچه برای تبلیغات وابسته بحث کنید.")</f>
        <v>در مورد نقش بهینه سازی موبایل و طراحی واکنشگرا در تضمین تجربه کاربری یکپارچه برای تبلیغات وابسته بحث کنید.</v>
      </c>
      <c r="H14941" s="1"/>
      <c r="I14941" s="1"/>
      <c r="J14941" s="1"/>
      <c r="K14941" s="1"/>
      <c r="L14941" s="1"/>
      <c r="M14941" s="1"/>
      <c r="N14941" s="1"/>
      <c r="O14941" s="1"/>
      <c r="P14941" s="1"/>
      <c r="Q14941" s="1"/>
      <c r="R14941" s="1"/>
      <c r="S14941" s="1"/>
      <c r="T14941" s="1"/>
      <c r="U14941" s="1"/>
      <c r="V14941" s="1"/>
      <c r="W14941" s="1"/>
      <c r="X14941" s="1"/>
      <c r="Y14941" s="1"/>
      <c r="Z14941" s="1"/>
      <c r="AA14941" s="1"/>
      <c r="AB14941" s="1"/>
    </row>
    <row r="14942" ht="50.25" customHeight="1">
      <c r="A14942" s="12">
        <v>14938.0</v>
      </c>
      <c r="B14942" s="13" t="s">
        <v>13838</v>
      </c>
      <c r="C14942" s="14" t="s">
        <v>14178</v>
      </c>
      <c r="D14942" s="1"/>
      <c r="E14942" s="1"/>
      <c r="F14942" s="1" t="str">
        <f>IFERROR(__xludf.DUMMYFUNCTION("GOOGLETRANSLATE(B14942, ""en"", ""fa"")
"),"درآمد غیرفعال")</f>
        <v>درآمد غیرفعال</v>
      </c>
      <c r="G14942" s="1" t="str">
        <f>IFERROR(__xludf.DUMMYFUNCTION("GOOGLETRANSLATE(C14942, ""en"", ""fa"")
"),"تاثیر استفاده از تصمیمات مبتنی بر داده و معیارهای عملکرد را برای اصلاح تاکتیک های بازاریابی وابسته خود بررسی کنید.")</f>
        <v>تاثیر استفاده از تصمیمات مبتنی بر داده و معیارهای عملکرد را برای اصلاح تاکتیک های بازاریابی وابسته خود بررسی کنید.</v>
      </c>
      <c r="H14942" s="1"/>
      <c r="I14942" s="1"/>
      <c r="J14942" s="1"/>
      <c r="K14942" s="1"/>
      <c r="L14942" s="1"/>
      <c r="M14942" s="1"/>
      <c r="N14942" s="1"/>
      <c r="O14942" s="1"/>
      <c r="P14942" s="1"/>
      <c r="Q14942" s="1"/>
      <c r="R14942" s="1"/>
      <c r="S14942" s="1"/>
      <c r="T14942" s="1"/>
      <c r="U14942" s="1"/>
      <c r="V14942" s="1"/>
      <c r="W14942" s="1"/>
      <c r="X14942" s="1"/>
      <c r="Y14942" s="1"/>
      <c r="Z14942" s="1"/>
      <c r="AA14942" s="1"/>
      <c r="AB14942" s="1"/>
    </row>
    <row r="14943" ht="50.25" customHeight="1">
      <c r="A14943" s="12">
        <v>14939.0</v>
      </c>
      <c r="B14943" s="13" t="s">
        <v>13838</v>
      </c>
      <c r="C14943" s="14" t="s">
        <v>14179</v>
      </c>
      <c r="D14943" s="1"/>
      <c r="E14943" s="1"/>
      <c r="F14943" s="1" t="str">
        <f>IFERROR(__xludf.DUMMYFUNCTION("GOOGLETRANSLATE(B14943, ""en"", ""fa"")
"),"درآمد غیرفعال")</f>
        <v>درآمد غیرفعال</v>
      </c>
      <c r="G14943" s="1" t="str">
        <f>IFERROR(__xludf.DUMMYFUNCTION("GOOGLETRANSLATE(C14943, ""en"", ""fa"")
"),"چگونه شرکت‌های وابسته می‌توانند از اینفلوئنسر مارکتینگ و همکاری‌ها برای افزایش دامنه تبلیغات وابسته خود استفاده کنند؟")</f>
        <v>چگونه شرکت‌های وابسته می‌توانند از اینفلوئنسر مارکتینگ و همکاری‌ها برای افزایش دامنه تبلیغات وابسته خود استفاده کنند؟</v>
      </c>
      <c r="H14943" s="1"/>
      <c r="I14943" s="1"/>
      <c r="J14943" s="1"/>
      <c r="K14943" s="1"/>
      <c r="L14943" s="1"/>
      <c r="M14943" s="1"/>
      <c r="N14943" s="1"/>
      <c r="O14943" s="1"/>
      <c r="P14943" s="1"/>
      <c r="Q14943" s="1"/>
      <c r="R14943" s="1"/>
      <c r="S14943" s="1"/>
      <c r="T14943" s="1"/>
      <c r="U14943" s="1"/>
      <c r="V14943" s="1"/>
      <c r="W14943" s="1"/>
      <c r="X14943" s="1"/>
      <c r="Y14943" s="1"/>
      <c r="Z14943" s="1"/>
      <c r="AA14943" s="1"/>
      <c r="AB14943" s="1"/>
    </row>
    <row r="14944" ht="50.25" customHeight="1">
      <c r="A14944" s="12">
        <v>14940.0</v>
      </c>
      <c r="B14944" s="13" t="s">
        <v>13838</v>
      </c>
      <c r="C14944" s="14" t="s">
        <v>14180</v>
      </c>
      <c r="D14944" s="1"/>
      <c r="E14944" s="1"/>
      <c r="F14944" s="1" t="str">
        <f>IFERROR(__xludf.DUMMYFUNCTION("GOOGLETRANSLATE(B14944, ""en"", ""fa"")
"),"درآمد غیرفعال")</f>
        <v>درآمد غیرفعال</v>
      </c>
      <c r="G14944" s="1" t="str">
        <f>IFERROR(__xludf.DUMMYFUNCTION("GOOGLETRANSLATE(C14944, ""en"", ""fa"")
"),"در مورد مفهوم استفاده از تقسیم بندی مشتری و شخصیت ها برای تطبیق پیشنهادات وابسته به بخش های مختلف مخاطب بحث کنید.")</f>
        <v>در مورد مفهوم استفاده از تقسیم بندی مشتری و شخصیت ها برای تطبیق پیشنهادات وابسته به بخش های مختلف مخاطب بحث کنید.</v>
      </c>
      <c r="H14944" s="1"/>
      <c r="I14944" s="1"/>
      <c r="J14944" s="1"/>
      <c r="K14944" s="1"/>
      <c r="L14944" s="1"/>
      <c r="M14944" s="1"/>
      <c r="N14944" s="1"/>
      <c r="O14944" s="1"/>
      <c r="P14944" s="1"/>
      <c r="Q14944" s="1"/>
      <c r="R14944" s="1"/>
      <c r="S14944" s="1"/>
      <c r="T14944" s="1"/>
      <c r="U14944" s="1"/>
      <c r="V14944" s="1"/>
      <c r="W14944" s="1"/>
      <c r="X14944" s="1"/>
      <c r="Y14944" s="1"/>
      <c r="Z14944" s="1"/>
      <c r="AA14944" s="1"/>
      <c r="AB14944" s="1"/>
    </row>
    <row r="14945" ht="50.25" customHeight="1">
      <c r="A14945" s="12">
        <v>14941.0</v>
      </c>
      <c r="B14945" s="13" t="s">
        <v>13838</v>
      </c>
      <c r="C14945" s="14" t="s">
        <v>14181</v>
      </c>
      <c r="D14945" s="1"/>
      <c r="E14945" s="1"/>
      <c r="F14945" s="1" t="str">
        <f>IFERROR(__xludf.DUMMYFUNCTION("GOOGLETRANSLATE(B14945, ""en"", ""fa"")
"),"درآمد غیرفعال")</f>
        <v>درآمد غیرفعال</v>
      </c>
      <c r="G14945" s="1" t="str">
        <f>IFERROR(__xludf.DUMMYFUNCTION("GOOGLETRANSLATE(C14945, ""en"", ""fa"")
"),"توصیفات مشتری و محتوای تولید شده توسط کاربر چه نقشی در ایجاد اثبات اجتماعی برای محصولات وابسته دارد؟")</f>
        <v>توصیفات مشتری و محتوای تولید شده توسط کاربر چه نقشی در ایجاد اثبات اجتماعی برای محصولات وابسته دارد؟</v>
      </c>
      <c r="H14945" s="1"/>
      <c r="I14945" s="1"/>
      <c r="J14945" s="1"/>
      <c r="K14945" s="1"/>
      <c r="L14945" s="1"/>
      <c r="M14945" s="1"/>
      <c r="N14945" s="1"/>
      <c r="O14945" s="1"/>
      <c r="P14945" s="1"/>
      <c r="Q14945" s="1"/>
      <c r="R14945" s="1"/>
      <c r="S14945" s="1"/>
      <c r="T14945" s="1"/>
      <c r="U14945" s="1"/>
      <c r="V14945" s="1"/>
      <c r="W14945" s="1"/>
      <c r="X14945" s="1"/>
      <c r="Y14945" s="1"/>
      <c r="Z14945" s="1"/>
      <c r="AA14945" s="1"/>
      <c r="AB14945" s="1"/>
    </row>
    <row r="14946" ht="50.25" customHeight="1">
      <c r="A14946" s="12">
        <v>14942.0</v>
      </c>
      <c r="B14946" s="13" t="s">
        <v>13838</v>
      </c>
      <c r="C14946" s="14" t="s">
        <v>14182</v>
      </c>
      <c r="D14946" s="1"/>
      <c r="E14946" s="1"/>
      <c r="F14946" s="1" t="str">
        <f>IFERROR(__xludf.DUMMYFUNCTION("GOOGLETRANSLATE(B14946, ""en"", ""fa"")
"),"درآمد غیرفعال")</f>
        <v>درآمد غیرفعال</v>
      </c>
      <c r="G14946" s="1" t="str">
        <f>IFERROR(__xludf.DUMMYFUNCTION("GOOGLETRANSLATE(C14946, ""en"", ""fa"")
"),"پتانسیل استفاده از گیمیفیکیشن و مسابقات برای جذب کاربران و تبلیغ محصولات وابسته را بررسی کنید.")</f>
        <v>پتانسیل استفاده از گیمیفیکیشن و مسابقات برای جذب کاربران و تبلیغ محصولات وابسته را بررسی کنید.</v>
      </c>
      <c r="H14946" s="1"/>
      <c r="I14946" s="1"/>
      <c r="J14946" s="1"/>
      <c r="K14946" s="1"/>
      <c r="L14946" s="1"/>
      <c r="M14946" s="1"/>
      <c r="N14946" s="1"/>
      <c r="O14946" s="1"/>
      <c r="P14946" s="1"/>
      <c r="Q14946" s="1"/>
      <c r="R14946" s="1"/>
      <c r="S14946" s="1"/>
      <c r="T14946" s="1"/>
      <c r="U14946" s="1"/>
      <c r="V14946" s="1"/>
      <c r="W14946" s="1"/>
      <c r="X14946" s="1"/>
      <c r="Y14946" s="1"/>
      <c r="Z14946" s="1"/>
      <c r="AA14946" s="1"/>
      <c r="AB14946" s="1"/>
    </row>
    <row r="14947" ht="50.25" customHeight="1">
      <c r="A14947" s="12">
        <v>14943.0</v>
      </c>
      <c r="B14947" s="13" t="s">
        <v>13838</v>
      </c>
      <c r="C14947" s="14" t="s">
        <v>14183</v>
      </c>
      <c r="D14947" s="1"/>
      <c r="E14947" s="1"/>
      <c r="F14947" s="1" t="str">
        <f>IFERROR(__xludf.DUMMYFUNCTION("GOOGLETRANSLATE(B14947, ""en"", ""fa"")
"),"درآمد غیرفعال")</f>
        <v>درآمد غیرفعال</v>
      </c>
      <c r="G14947" s="1" t="str">
        <f>IFERROR(__xludf.DUMMYFUNCTION("GOOGLETRANSLATE(C14947, ""en"", ""fa"")
"),"چگونه شرکت های وابسته می توانند به طور موثر از تبلیغات رسانه های اجتماعی برای هدف قرار دادن جمعیت و علایق خاص استفاده کنند؟")</f>
        <v>چگونه شرکت های وابسته می توانند به طور موثر از تبلیغات رسانه های اجتماعی برای هدف قرار دادن جمعیت و علایق خاص استفاده کنند؟</v>
      </c>
      <c r="H14947" s="1"/>
      <c r="I14947" s="1"/>
      <c r="J14947" s="1"/>
      <c r="K14947" s="1"/>
      <c r="L14947" s="1"/>
      <c r="M14947" s="1"/>
      <c r="N14947" s="1"/>
      <c r="O14947" s="1"/>
      <c r="P14947" s="1"/>
      <c r="Q14947" s="1"/>
      <c r="R14947" s="1"/>
      <c r="S14947" s="1"/>
      <c r="T14947" s="1"/>
      <c r="U14947" s="1"/>
      <c r="V14947" s="1"/>
      <c r="W14947" s="1"/>
      <c r="X14947" s="1"/>
      <c r="Y14947" s="1"/>
      <c r="Z14947" s="1"/>
      <c r="AA14947" s="1"/>
      <c r="AB14947" s="1"/>
    </row>
    <row r="14948" ht="50.25" customHeight="1">
      <c r="A14948" s="12">
        <v>14944.0</v>
      </c>
      <c r="B14948" s="13" t="s">
        <v>13838</v>
      </c>
      <c r="C14948" s="14" t="s">
        <v>14184</v>
      </c>
      <c r="D14948" s="1"/>
      <c r="E14948" s="1"/>
      <c r="F14948" s="1" t="str">
        <f>IFERROR(__xludf.DUMMYFUNCTION("GOOGLETRANSLATE(B14948, ""en"", ""fa"")
"),"درآمد غیرفعال")</f>
        <v>درآمد غیرفعال</v>
      </c>
      <c r="G14948" s="1" t="str">
        <f>IFERROR(__xludf.DUMMYFUNCTION("GOOGLETRANSLATE(C14948, ""en"", ""fa"")
"),"در مورد اهمیت حفظ تعادل بین ترویج محصولات وابسته و ارائه محتوای ارزشمند بحث کنید.")</f>
        <v>در مورد اهمیت حفظ تعادل بین ترویج محصولات وابسته و ارائه محتوای ارزشمند بحث کنید.</v>
      </c>
      <c r="H14948" s="1"/>
      <c r="I14948" s="1"/>
      <c r="J14948" s="1"/>
      <c r="K14948" s="1"/>
      <c r="L14948" s="1"/>
      <c r="M14948" s="1"/>
      <c r="N14948" s="1"/>
      <c r="O14948" s="1"/>
      <c r="P14948" s="1"/>
      <c r="Q14948" s="1"/>
      <c r="R14948" s="1"/>
      <c r="S14948" s="1"/>
      <c r="T14948" s="1"/>
      <c r="U14948" s="1"/>
      <c r="V14948" s="1"/>
      <c r="W14948" s="1"/>
      <c r="X14948" s="1"/>
      <c r="Y14948" s="1"/>
      <c r="Z14948" s="1"/>
      <c r="AA14948" s="1"/>
      <c r="AB14948" s="1"/>
    </row>
    <row r="14949" ht="50.25" customHeight="1">
      <c r="A14949" s="12">
        <v>14945.0</v>
      </c>
      <c r="B14949" s="13" t="s">
        <v>13838</v>
      </c>
      <c r="C14949" s="14" t="s">
        <v>14185</v>
      </c>
      <c r="D14949" s="1"/>
      <c r="E14949" s="1"/>
      <c r="F14949" s="1" t="str">
        <f>IFERROR(__xludf.DUMMYFUNCTION("GOOGLETRANSLATE(B14949, ""en"", ""fa"")
"),"درآمد غیرفعال")</f>
        <v>درآمد غیرفعال</v>
      </c>
      <c r="G14949" s="1" t="str">
        <f>IFERROR(__xludf.DUMMYFUNCTION("GOOGLETRANSLATE(C14949, ""en"", ""fa"")
"),"پتانسیل استفاده از ربات‌های چت و پیام‌رسانی خودکار را برای راهنمایی کاربران به سمت پیشنهادات وابسته مرتبط بررسی کنید.")</f>
        <v>پتانسیل استفاده از ربات‌های چت و پیام‌رسانی خودکار را برای راهنمایی کاربران به سمت پیشنهادات وابسته مرتبط بررسی کنید.</v>
      </c>
      <c r="H14949" s="1"/>
      <c r="I14949" s="1"/>
      <c r="J14949" s="1"/>
      <c r="K14949" s="1"/>
      <c r="L14949" s="1"/>
      <c r="M14949" s="1"/>
      <c r="N14949" s="1"/>
      <c r="O14949" s="1"/>
      <c r="P14949" s="1"/>
      <c r="Q14949" s="1"/>
      <c r="R14949" s="1"/>
      <c r="S14949" s="1"/>
      <c r="T14949" s="1"/>
      <c r="U14949" s="1"/>
      <c r="V14949" s="1"/>
      <c r="W14949" s="1"/>
      <c r="X14949" s="1"/>
      <c r="Y14949" s="1"/>
      <c r="Z14949" s="1"/>
      <c r="AA14949" s="1"/>
      <c r="AB14949" s="1"/>
    </row>
    <row r="14950" ht="50.25" customHeight="1">
      <c r="A14950" s="12">
        <v>14946.0</v>
      </c>
      <c r="B14950" s="13" t="s">
        <v>13838</v>
      </c>
      <c r="C14950" s="14" t="s">
        <v>14186</v>
      </c>
      <c r="D14950" s="1"/>
      <c r="E14950" s="1"/>
      <c r="F14950" s="1" t="str">
        <f>IFERROR(__xludf.DUMMYFUNCTION("GOOGLETRANSLATE(B14950, ""en"", ""fa"")
"),"درآمد غیرفعال")</f>
        <v>درآمد غیرفعال</v>
      </c>
      <c r="G14950" s="1" t="str">
        <f>IFERROR(__xludf.DUMMYFUNCTION("GOOGLETRANSLATE(C14950, ""en"", ""fa"")
"),"شرکت های وابسته از چه استراتژی هایی می توانند برای بهینه سازی بازاریابی وابسته خود برای کاربران موبایل استفاده کنند؟")</f>
        <v>شرکت های وابسته از چه استراتژی هایی می توانند برای بهینه سازی بازاریابی وابسته خود برای کاربران موبایل استفاده کنند؟</v>
      </c>
      <c r="H14950" s="1"/>
      <c r="I14950" s="1"/>
      <c r="J14950" s="1"/>
      <c r="K14950" s="1"/>
      <c r="L14950" s="1"/>
      <c r="M14950" s="1"/>
      <c r="N14950" s="1"/>
      <c r="O14950" s="1"/>
      <c r="P14950" s="1"/>
      <c r="Q14950" s="1"/>
      <c r="R14950" s="1"/>
      <c r="S14950" s="1"/>
      <c r="T14950" s="1"/>
      <c r="U14950" s="1"/>
      <c r="V14950" s="1"/>
      <c r="W14950" s="1"/>
      <c r="X14950" s="1"/>
      <c r="Y14950" s="1"/>
      <c r="Z14950" s="1"/>
      <c r="AA14950" s="1"/>
      <c r="AB14950" s="1"/>
    </row>
    <row r="14951" ht="50.25" customHeight="1">
      <c r="A14951" s="12">
        <v>14947.0</v>
      </c>
      <c r="B14951" s="13" t="s">
        <v>13838</v>
      </c>
      <c r="C14951" s="14" t="s">
        <v>14187</v>
      </c>
      <c r="D14951" s="1"/>
      <c r="E14951" s="1"/>
      <c r="F14951" s="1" t="str">
        <f>IFERROR(__xludf.DUMMYFUNCTION("GOOGLETRANSLATE(B14951, ""en"", ""fa"")
"),"درآمد غیرفعال")</f>
        <v>درآمد غیرفعال</v>
      </c>
      <c r="G14951" s="1" t="str">
        <f>IFERROR(__xludf.DUMMYFUNCTION("GOOGLETRANSLATE(C14951, ""en"", ""fa"")
"),"درباره نقش بازخورد مشتری و تحقیقات بازار در شناسایی فرصت‌های محصول وابسته جدید بحث کنید.")</f>
        <v>درباره نقش بازخورد مشتری و تحقیقات بازار در شناسایی فرصت‌های محصول وابسته جدید بحث کنید.</v>
      </c>
      <c r="H14951" s="1"/>
      <c r="I14951" s="1"/>
      <c r="J14951" s="1"/>
      <c r="K14951" s="1"/>
      <c r="L14951" s="1"/>
      <c r="M14951" s="1"/>
      <c r="N14951" s="1"/>
      <c r="O14951" s="1"/>
      <c r="P14951" s="1"/>
      <c r="Q14951" s="1"/>
      <c r="R14951" s="1"/>
      <c r="S14951" s="1"/>
      <c r="T14951" s="1"/>
      <c r="U14951" s="1"/>
      <c r="V14951" s="1"/>
      <c r="W14951" s="1"/>
      <c r="X14951" s="1"/>
      <c r="Y14951" s="1"/>
      <c r="Z14951" s="1"/>
      <c r="AA14951" s="1"/>
      <c r="AB14951" s="1"/>
    </row>
    <row r="14952" ht="50.25" customHeight="1">
      <c r="A14952" s="12">
        <v>14948.0</v>
      </c>
      <c r="B14952" s="13" t="s">
        <v>13838</v>
      </c>
      <c r="C14952" s="14" t="s">
        <v>14188</v>
      </c>
      <c r="D14952" s="1"/>
      <c r="E14952" s="1"/>
      <c r="F14952" s="1" t="str">
        <f>IFERROR(__xludf.DUMMYFUNCTION("GOOGLETRANSLATE(B14952, ""en"", ""fa"")
"),"درآمد غیرفعال")</f>
        <v>درآمد غیرفعال</v>
      </c>
      <c r="G14952" s="1" t="str">
        <f>IFERROR(__xludf.DUMMYFUNCTION("GOOGLETRANSLATE(C14952, ""en"", ""fa"")
"),"تأثیر استفاده از محتوای پویا و توصیه‌های شخصی‌شده برای افزایش تعامل کاربر با پیشنهادات وابسته را بررسی کنید.")</f>
        <v>تأثیر استفاده از محتوای پویا و توصیه‌های شخصی‌شده برای افزایش تعامل کاربر با پیشنهادات وابسته را بررسی کنید.</v>
      </c>
      <c r="H14952" s="1"/>
      <c r="I14952" s="1"/>
      <c r="J14952" s="1"/>
      <c r="K14952" s="1"/>
      <c r="L14952" s="1"/>
      <c r="M14952" s="1"/>
      <c r="N14952" s="1"/>
      <c r="O14952" s="1"/>
      <c r="P14952" s="1"/>
      <c r="Q14952" s="1"/>
      <c r="R14952" s="1"/>
      <c r="S14952" s="1"/>
      <c r="T14952" s="1"/>
      <c r="U14952" s="1"/>
      <c r="V14952" s="1"/>
      <c r="W14952" s="1"/>
      <c r="X14952" s="1"/>
      <c r="Y14952" s="1"/>
      <c r="Z14952" s="1"/>
      <c r="AA14952" s="1"/>
      <c r="AB14952" s="1"/>
    </row>
    <row r="14953" ht="50.25" customHeight="1">
      <c r="A14953" s="12">
        <v>14949.0</v>
      </c>
      <c r="B14953" s="13" t="s">
        <v>13838</v>
      </c>
      <c r="C14953" s="14" t="s">
        <v>14189</v>
      </c>
      <c r="D14953" s="1"/>
      <c r="E14953" s="1"/>
      <c r="F14953" s="1" t="str">
        <f>IFERROR(__xludf.DUMMYFUNCTION("GOOGLETRANSLATE(B14953, ""en"", ""fa"")
"),"درآمد غیرفعال")</f>
        <v>درآمد غیرفعال</v>
      </c>
      <c r="G14953" s="1" t="str">
        <f>IFERROR(__xludf.DUMMYFUNCTION("GOOGLETRANSLATE(C14953, ""en"", ""fa"")
"),"چگونه شرکت‌های وابسته می‌توانند از تجزیه و تحلیل داده‌ها و بینش‌ها برای شناسایی گرایش‌ها و ترجیحات در مصرف محصولات وابسته استفاده کنند؟")</f>
        <v>چگونه شرکت‌های وابسته می‌توانند از تجزیه و تحلیل داده‌ها و بینش‌ها برای شناسایی گرایش‌ها و ترجیحات در مصرف محصولات وابسته استفاده کنند؟</v>
      </c>
      <c r="H14953" s="1"/>
      <c r="I14953" s="1"/>
      <c r="J14953" s="1"/>
      <c r="K14953" s="1"/>
      <c r="L14953" s="1"/>
      <c r="M14953" s="1"/>
      <c r="N14953" s="1"/>
      <c r="O14953" s="1"/>
      <c r="P14953" s="1"/>
      <c r="Q14953" s="1"/>
      <c r="R14953" s="1"/>
      <c r="S14953" s="1"/>
      <c r="T14953" s="1"/>
      <c r="U14953" s="1"/>
      <c r="V14953" s="1"/>
      <c r="W14953" s="1"/>
      <c r="X14953" s="1"/>
      <c r="Y14953" s="1"/>
      <c r="Z14953" s="1"/>
      <c r="AA14953" s="1"/>
      <c r="AB14953" s="1"/>
    </row>
    <row r="14954" ht="50.25" customHeight="1">
      <c r="A14954" s="12">
        <v>14950.0</v>
      </c>
      <c r="B14954" s="13" t="s">
        <v>13838</v>
      </c>
      <c r="C14954" s="14" t="s">
        <v>14190</v>
      </c>
      <c r="D14954" s="1"/>
      <c r="E14954" s="1"/>
      <c r="F14954" s="1" t="str">
        <f>IFERROR(__xludf.DUMMYFUNCTION("GOOGLETRANSLATE(B14954, ""en"", ""fa"")
"),"درآمد غیرفعال")</f>
        <v>درآمد غیرفعال</v>
      </c>
      <c r="G14954" s="1" t="str">
        <f>IFERROR(__xludf.DUMMYFUNCTION("GOOGLETRANSLATE(C14954, ""en"", ""fa"")
"),"در مورد مفهوم ایجاد مرکز منابع و صفحات فرود اختصاصی برای نمایش محصولات برتر وابسته خود بحث کنید.")</f>
        <v>در مورد مفهوم ایجاد مرکز منابع و صفحات فرود اختصاصی برای نمایش محصولات برتر وابسته خود بحث کنید.</v>
      </c>
      <c r="H14954" s="1"/>
      <c r="I14954" s="1"/>
      <c r="J14954" s="1"/>
      <c r="K14954" s="1"/>
      <c r="L14954" s="1"/>
      <c r="M14954" s="1"/>
      <c r="N14954" s="1"/>
      <c r="O14954" s="1"/>
      <c r="P14954" s="1"/>
      <c r="Q14954" s="1"/>
      <c r="R14954" s="1"/>
      <c r="S14954" s="1"/>
      <c r="T14954" s="1"/>
      <c r="U14954" s="1"/>
      <c r="V14954" s="1"/>
      <c r="W14954" s="1"/>
      <c r="X14954" s="1"/>
      <c r="Y14954" s="1"/>
      <c r="Z14954" s="1"/>
      <c r="AA14954" s="1"/>
      <c r="AB14954" s="1"/>
    </row>
    <row r="14955" ht="50.25" customHeight="1">
      <c r="A14955" s="12">
        <v>14951.0</v>
      </c>
      <c r="B14955" s="13" t="s">
        <v>13838</v>
      </c>
      <c r="C14955" s="14" t="s">
        <v>14191</v>
      </c>
      <c r="D14955" s="1"/>
      <c r="E14955" s="1"/>
      <c r="F14955" s="1" t="str">
        <f>IFERROR(__xludf.DUMMYFUNCTION("GOOGLETRANSLATE(B14955, ""en"", ""fa"")
"),"درآمد غیرفعال")</f>
        <v>درآمد غیرفعال</v>
      </c>
      <c r="G14955" s="1" t="str">
        <f>IFERROR(__xludf.DUMMYFUNCTION("GOOGLETRANSLATE(C14955, ""en"", ""fa"")
"),"مشارکت و تعامل با مخاطبان چه نقشی در ایجاد یک جامعه پیرامون تبلیغات وابسته شما دارد؟")</f>
        <v>مشارکت و تعامل با مخاطبان چه نقشی در ایجاد یک جامعه پیرامون تبلیغات وابسته شما دارد؟</v>
      </c>
      <c r="H14955" s="1"/>
      <c r="I14955" s="1"/>
      <c r="J14955" s="1"/>
      <c r="K14955" s="1"/>
      <c r="L14955" s="1"/>
      <c r="M14955" s="1"/>
      <c r="N14955" s="1"/>
      <c r="O14955" s="1"/>
      <c r="P14955" s="1"/>
      <c r="Q14955" s="1"/>
      <c r="R14955" s="1"/>
      <c r="S14955" s="1"/>
      <c r="T14955" s="1"/>
      <c r="U14955" s="1"/>
      <c r="V14955" s="1"/>
      <c r="W14955" s="1"/>
      <c r="X14955" s="1"/>
      <c r="Y14955" s="1"/>
      <c r="Z14955" s="1"/>
      <c r="AA14955" s="1"/>
      <c r="AB14955" s="1"/>
    </row>
    <row r="14956" ht="50.25" customHeight="1">
      <c r="A14956" s="12">
        <v>14952.0</v>
      </c>
      <c r="B14956" s="13" t="s">
        <v>13838</v>
      </c>
      <c r="C14956" s="14" t="s">
        <v>14192</v>
      </c>
      <c r="D14956" s="1"/>
      <c r="E14956" s="1"/>
      <c r="F14956" s="1" t="str">
        <f>IFERROR(__xludf.DUMMYFUNCTION("GOOGLETRANSLATE(B14956, ""en"", ""fa"")
"),"درآمد غیرفعال")</f>
        <v>درآمد غیرفعال</v>
      </c>
      <c r="G14956" s="1" t="str">
        <f>IFERROR(__xludf.DUMMYFUNCTION("GOOGLETRANSLATE(C14956, ""en"", ""fa"")
"),"پتانسیل استفاده از ارتقاء محتوا و محتوای دروازه ای را برای تشویق کاربران برای پیوستن به لیست ایمیل شما بررسی کنید.")</f>
        <v>پتانسیل استفاده از ارتقاء محتوا و محتوای دروازه ای را برای تشویق کاربران برای پیوستن به لیست ایمیل شما بررسی کنید.</v>
      </c>
      <c r="H14956" s="1"/>
      <c r="I14956" s="1"/>
      <c r="J14956" s="1"/>
      <c r="K14956" s="1"/>
      <c r="L14956" s="1"/>
      <c r="M14956" s="1"/>
      <c r="N14956" s="1"/>
      <c r="O14956" s="1"/>
      <c r="P14956" s="1"/>
      <c r="Q14956" s="1"/>
      <c r="R14956" s="1"/>
      <c r="S14956" s="1"/>
      <c r="T14956" s="1"/>
      <c r="U14956" s="1"/>
      <c r="V14956" s="1"/>
      <c r="W14956" s="1"/>
      <c r="X14956" s="1"/>
      <c r="Y14956" s="1"/>
      <c r="Z14956" s="1"/>
      <c r="AA14956" s="1"/>
      <c r="AB14956" s="1"/>
    </row>
    <row r="14957" ht="50.25" customHeight="1">
      <c r="A14957" s="12">
        <v>14953.0</v>
      </c>
      <c r="B14957" s="13" t="s">
        <v>13838</v>
      </c>
      <c r="C14957" s="14" t="s">
        <v>14193</v>
      </c>
      <c r="D14957" s="1"/>
      <c r="E14957" s="1"/>
      <c r="F14957" s="1" t="str">
        <f>IFERROR(__xludf.DUMMYFUNCTION("GOOGLETRANSLATE(B14957, ""en"", ""fa"")
"),"درآمد غیرفعال")</f>
        <v>درآمد غیرفعال</v>
      </c>
      <c r="G14957" s="1" t="str">
        <f>IFERROR(__xludf.DUMMYFUNCTION("GOOGLETRANSLATE(C14957, ""en"", ""fa"")
"),"چگونه شرکت‌های وابسته می‌توانند به طور موثر از تعامل و نظرات رسانه‌های اجتماعی برای تقویت ارتباطات و جذب افراد استفاده کنند؟")</f>
        <v>چگونه شرکت‌های وابسته می‌توانند به طور موثر از تعامل و نظرات رسانه‌های اجتماعی برای تقویت ارتباطات و جذب افراد استفاده کنند؟</v>
      </c>
      <c r="H14957" s="1"/>
      <c r="I14957" s="1"/>
      <c r="J14957" s="1"/>
      <c r="K14957" s="1"/>
      <c r="L14957" s="1"/>
      <c r="M14957" s="1"/>
      <c r="N14957" s="1"/>
      <c r="O14957" s="1"/>
      <c r="P14957" s="1"/>
      <c r="Q14957" s="1"/>
      <c r="R14957" s="1"/>
      <c r="S14957" s="1"/>
      <c r="T14957" s="1"/>
      <c r="U14957" s="1"/>
      <c r="V14957" s="1"/>
      <c r="W14957" s="1"/>
      <c r="X14957" s="1"/>
      <c r="Y14957" s="1"/>
      <c r="Z14957" s="1"/>
      <c r="AA14957" s="1"/>
      <c r="AB14957" s="1"/>
    </row>
    <row r="14958" ht="50.25" customHeight="1">
      <c r="A14958" s="12">
        <v>14954.0</v>
      </c>
      <c r="B14958" s="13" t="s">
        <v>13838</v>
      </c>
      <c r="C14958" s="14" t="s">
        <v>14194</v>
      </c>
      <c r="D14958" s="1"/>
      <c r="E14958" s="1"/>
      <c r="F14958" s="1" t="str">
        <f>IFERROR(__xludf.DUMMYFUNCTION("GOOGLETRANSLATE(B14958, ""en"", ""fa"")
"),"درآمد غیرفعال")</f>
        <v>درآمد غیرفعال</v>
      </c>
      <c r="G14958" s="1" t="str">
        <f>IFERROR(__xludf.DUMMYFUNCTION("GOOGLETRANSLATE(C14958, ""en"", ""fa"")
"),"در مورد اهمیت به روز ماندن تغییرات در پلتفرم ها و الگوریتم های بازاریابی وابسته بحث کنید.")</f>
        <v>در مورد اهمیت به روز ماندن تغییرات در پلتفرم ها و الگوریتم های بازاریابی وابسته بحث کنید.</v>
      </c>
      <c r="H14958" s="1"/>
      <c r="I14958" s="1"/>
      <c r="J14958" s="1"/>
      <c r="K14958" s="1"/>
      <c r="L14958" s="1"/>
      <c r="M14958" s="1"/>
      <c r="N14958" s="1"/>
      <c r="O14958" s="1"/>
      <c r="P14958" s="1"/>
      <c r="Q14958" s="1"/>
      <c r="R14958" s="1"/>
      <c r="S14958" s="1"/>
      <c r="T14958" s="1"/>
      <c r="U14958" s="1"/>
      <c r="V14958" s="1"/>
      <c r="W14958" s="1"/>
      <c r="X14958" s="1"/>
      <c r="Y14958" s="1"/>
      <c r="Z14958" s="1"/>
      <c r="AA14958" s="1"/>
      <c r="AB14958" s="1"/>
    </row>
    <row r="14959" ht="50.25" customHeight="1">
      <c r="A14959" s="12">
        <v>14955.0</v>
      </c>
      <c r="B14959" s="13" t="s">
        <v>13838</v>
      </c>
      <c r="C14959" s="14" t="s">
        <v>14195</v>
      </c>
      <c r="D14959" s="1"/>
      <c r="E14959" s="1"/>
      <c r="F14959" s="1" t="str">
        <f>IFERROR(__xludf.DUMMYFUNCTION("GOOGLETRANSLATE(B14959, ""en"", ""fa"")
"),"درآمد غیرفعال")</f>
        <v>درآمد غیرفعال</v>
      </c>
      <c r="G14959" s="1" t="str">
        <f>IFERROR(__xludf.DUMMYFUNCTION("GOOGLETRANSLATE(C14959, ""en"", ""fa"")
"),"پتانسیل استفاده از چت بازاریابی و ربات های پیام رسان را برای ارائه توصیه های شخصی برای محصولات وابسته بررسی کنید.")</f>
        <v>پتانسیل استفاده از چت بازاریابی و ربات های پیام رسان را برای ارائه توصیه های شخصی برای محصولات وابسته بررسی کنید.</v>
      </c>
      <c r="H14959" s="1"/>
      <c r="I14959" s="1"/>
      <c r="J14959" s="1"/>
      <c r="K14959" s="1"/>
      <c r="L14959" s="1"/>
      <c r="M14959" s="1"/>
      <c r="N14959" s="1"/>
      <c r="O14959" s="1"/>
      <c r="P14959" s="1"/>
      <c r="Q14959" s="1"/>
      <c r="R14959" s="1"/>
      <c r="S14959" s="1"/>
      <c r="T14959" s="1"/>
      <c r="U14959" s="1"/>
      <c r="V14959" s="1"/>
      <c r="W14959" s="1"/>
      <c r="X14959" s="1"/>
      <c r="Y14959" s="1"/>
      <c r="Z14959" s="1"/>
      <c r="AA14959" s="1"/>
      <c r="AB14959" s="1"/>
    </row>
    <row r="14960" ht="50.25" customHeight="1">
      <c r="A14960" s="12">
        <v>14956.0</v>
      </c>
      <c r="B14960" s="13" t="s">
        <v>13838</v>
      </c>
      <c r="C14960" s="14" t="s">
        <v>14196</v>
      </c>
      <c r="D14960" s="1"/>
      <c r="E14960" s="1"/>
      <c r="F14960" s="1" t="str">
        <f>IFERROR(__xludf.DUMMYFUNCTION("GOOGLETRANSLATE(B14960, ""en"", ""fa"")
"),"درآمد غیرفعال")</f>
        <v>درآمد غیرفعال</v>
      </c>
      <c r="G14960" s="1" t="str">
        <f>IFERROR(__xludf.DUMMYFUNCTION("GOOGLETRANSLATE(C14960, ""en"", ""fa"")
"),"شرکت‌های وابسته از چه استراتژی‌هایی می‌توانند برای تقویت روابط اینفلوئنسرها برای ترویج پیشنهادات وابسته استفاده کنند؟")</f>
        <v>شرکت‌های وابسته از چه استراتژی‌هایی می‌توانند برای تقویت روابط اینفلوئنسرها برای ترویج پیشنهادات وابسته استفاده کنند؟</v>
      </c>
      <c r="H14960" s="1"/>
      <c r="I14960" s="1"/>
      <c r="J14960" s="1"/>
      <c r="K14960" s="1"/>
      <c r="L14960" s="1"/>
      <c r="M14960" s="1"/>
      <c r="N14960" s="1"/>
      <c r="O14960" s="1"/>
      <c r="P14960" s="1"/>
      <c r="Q14960" s="1"/>
      <c r="R14960" s="1"/>
      <c r="S14960" s="1"/>
      <c r="T14960" s="1"/>
      <c r="U14960" s="1"/>
      <c r="V14960" s="1"/>
      <c r="W14960" s="1"/>
      <c r="X14960" s="1"/>
      <c r="Y14960" s="1"/>
      <c r="Z14960" s="1"/>
      <c r="AA14960" s="1"/>
      <c r="AB14960" s="1"/>
    </row>
    <row r="14961" ht="50.25" customHeight="1">
      <c r="A14961" s="12">
        <v>14957.0</v>
      </c>
      <c r="B14961" s="13" t="s">
        <v>13838</v>
      </c>
      <c r="C14961" s="14" t="s">
        <v>14197</v>
      </c>
      <c r="D14961" s="1"/>
      <c r="E14961" s="1"/>
      <c r="F14961" s="1" t="str">
        <f>IFERROR(__xludf.DUMMYFUNCTION("GOOGLETRANSLATE(B14961, ""en"", ""fa"")
"),"درآمد غیرفعال")</f>
        <v>درآمد غیرفعال</v>
      </c>
      <c r="G14961" s="1" t="str">
        <f>IFERROR(__xludf.DUMMYFUNCTION("GOOGLETRANSLATE(C14961, ""en"", ""fa"")
"),"در مورد نقش بهینه سازی تجربه کاربری و ناوبری وب سایت خود برای بهبود تبدیل های وابسته بحث کنید.")</f>
        <v>در مورد نقش بهینه سازی تجربه کاربری و ناوبری وب سایت خود برای بهبود تبدیل های وابسته بحث کنید.</v>
      </c>
      <c r="H14961" s="1"/>
      <c r="I14961" s="1"/>
      <c r="J14961" s="1"/>
      <c r="K14961" s="1"/>
      <c r="L14961" s="1"/>
      <c r="M14961" s="1"/>
      <c r="N14961" s="1"/>
      <c r="O14961" s="1"/>
      <c r="P14961" s="1"/>
      <c r="Q14961" s="1"/>
      <c r="R14961" s="1"/>
      <c r="S14961" s="1"/>
      <c r="T14961" s="1"/>
      <c r="U14961" s="1"/>
      <c r="V14961" s="1"/>
      <c r="W14961" s="1"/>
      <c r="X14961" s="1"/>
      <c r="Y14961" s="1"/>
      <c r="Z14961" s="1"/>
      <c r="AA14961" s="1"/>
      <c r="AB14961" s="1"/>
    </row>
    <row r="14962" ht="50.25" customHeight="1">
      <c r="A14962" s="12">
        <v>14958.0</v>
      </c>
      <c r="B14962" s="13" t="s">
        <v>13838</v>
      </c>
      <c r="C14962" s="14" t="s">
        <v>14198</v>
      </c>
      <c r="D14962" s="1"/>
      <c r="E14962" s="1"/>
      <c r="F14962" s="1" t="str">
        <f>IFERROR(__xludf.DUMMYFUNCTION("GOOGLETRANSLATE(B14962, ""en"", ""fa"")
"),"درآمد غیرفعال")</f>
        <v>درآمد غیرفعال</v>
      </c>
      <c r="G14962" s="1" t="str">
        <f>IFERROR(__xludf.DUMMYFUNCTION("GOOGLETRANSLATE(C14962, ""en"", ""fa"")
"),"تاثیر استفاده از استراتژی‌های هدف‌گیری مجدد و بازاریابی مجدد برای جذب مجدد کاربرانی که خرید را تکمیل نکرده‌اند را بررسی کنید.")</f>
        <v>تاثیر استفاده از استراتژی‌های هدف‌گیری مجدد و بازاریابی مجدد برای جذب مجدد کاربرانی که خرید را تکمیل نکرده‌اند را بررسی کنید.</v>
      </c>
      <c r="H14962" s="1"/>
      <c r="I14962" s="1"/>
      <c r="J14962" s="1"/>
      <c r="K14962" s="1"/>
      <c r="L14962" s="1"/>
      <c r="M14962" s="1"/>
      <c r="N14962" s="1"/>
      <c r="O14962" s="1"/>
      <c r="P14962" s="1"/>
      <c r="Q14962" s="1"/>
      <c r="R14962" s="1"/>
      <c r="S14962" s="1"/>
      <c r="T14962" s="1"/>
      <c r="U14962" s="1"/>
      <c r="V14962" s="1"/>
      <c r="W14962" s="1"/>
      <c r="X14962" s="1"/>
      <c r="Y14962" s="1"/>
      <c r="Z14962" s="1"/>
      <c r="AA14962" s="1"/>
      <c r="AB14962" s="1"/>
    </row>
    <row r="14963" ht="50.25" customHeight="1">
      <c r="A14963" s="12">
        <v>14959.0</v>
      </c>
      <c r="B14963" s="13" t="s">
        <v>13838</v>
      </c>
      <c r="C14963" s="14" t="s">
        <v>14199</v>
      </c>
      <c r="D14963" s="1"/>
      <c r="E14963" s="1"/>
      <c r="F14963" s="1" t="str">
        <f>IFERROR(__xludf.DUMMYFUNCTION("GOOGLETRANSLATE(B14963, ""en"", ""fa"")
"),"درآمد غیرفعال")</f>
        <v>درآمد غیرفعال</v>
      </c>
      <c r="G14963" s="1" t="str">
        <f>IFERROR(__xludf.DUMMYFUNCTION("GOOGLETRANSLATE(C14963, ""en"", ""fa"")
"),"چگونه شرکت‌های وابسته می‌توانند از متقاعدسازی اخلاقی و توصیه‌های واقعی برای تبلیغ واقعی محصولات وابسته استفاده کنند؟")</f>
        <v>چگونه شرکت‌های وابسته می‌توانند از متقاعدسازی اخلاقی و توصیه‌های واقعی برای تبلیغ واقعی محصولات وابسته استفاده کنند؟</v>
      </c>
      <c r="H14963" s="1"/>
      <c r="I14963" s="1"/>
      <c r="J14963" s="1"/>
      <c r="K14963" s="1"/>
      <c r="L14963" s="1"/>
      <c r="M14963" s="1"/>
      <c r="N14963" s="1"/>
      <c r="O14963" s="1"/>
      <c r="P14963" s="1"/>
      <c r="Q14963" s="1"/>
      <c r="R14963" s="1"/>
      <c r="S14963" s="1"/>
      <c r="T14963" s="1"/>
      <c r="U14963" s="1"/>
      <c r="V14963" s="1"/>
      <c r="W14963" s="1"/>
      <c r="X14963" s="1"/>
      <c r="Y14963" s="1"/>
      <c r="Z14963" s="1"/>
      <c r="AA14963" s="1"/>
      <c r="AB14963" s="1"/>
    </row>
    <row r="14964" ht="50.25" customHeight="1">
      <c r="A14964" s="12">
        <v>14960.0</v>
      </c>
      <c r="B14964" s="13" t="s">
        <v>13838</v>
      </c>
      <c r="C14964" s="14" t="s">
        <v>14200</v>
      </c>
      <c r="D14964" s="1"/>
      <c r="E14964" s="1"/>
      <c r="F14964" s="1" t="str">
        <f>IFERROR(__xludf.DUMMYFUNCTION("GOOGLETRANSLATE(B14964, ""en"", ""fa"")
"),"درآمد غیرفعال")</f>
        <v>درآمد غیرفعال</v>
      </c>
      <c r="G14964" s="1" t="str">
        <f>IFERROR(__xludf.DUMMYFUNCTION("GOOGLETRANSLATE(C14964, ""en"", ""fa"")
"),"در مورد مفهوم کسب و کارهای dropshipping خودکار به عنوان یک فرصت درآمد غیرفعال بحث کنید. اجزای کلیدی چیست؟")</f>
        <v>در مورد مفهوم کسب و کارهای dropshipping خودکار به عنوان یک فرصت درآمد غیرفعال بحث کنید. اجزای کلیدی چیست؟</v>
      </c>
      <c r="H14964" s="1"/>
      <c r="I14964" s="1"/>
      <c r="J14964" s="1"/>
      <c r="K14964" s="1"/>
      <c r="L14964" s="1"/>
      <c r="M14964" s="1"/>
      <c r="N14964" s="1"/>
      <c r="O14964" s="1"/>
      <c r="P14964" s="1"/>
      <c r="Q14964" s="1"/>
      <c r="R14964" s="1"/>
      <c r="S14964" s="1"/>
      <c r="T14964" s="1"/>
      <c r="U14964" s="1"/>
      <c r="V14964" s="1"/>
      <c r="W14964" s="1"/>
      <c r="X14964" s="1"/>
      <c r="Y14964" s="1"/>
      <c r="Z14964" s="1"/>
      <c r="AA14964" s="1"/>
      <c r="AB14964" s="1"/>
    </row>
    <row r="14965" ht="50.25" customHeight="1">
      <c r="A14965" s="12">
        <v>14961.0</v>
      </c>
      <c r="B14965" s="13" t="s">
        <v>13838</v>
      </c>
      <c r="C14965" s="14" t="s">
        <v>14201</v>
      </c>
      <c r="D14965" s="1"/>
      <c r="E14965" s="1"/>
      <c r="F14965" s="1" t="str">
        <f>IFERROR(__xludf.DUMMYFUNCTION("GOOGLETRANSLATE(B14965, ""en"", ""fa"")
"),"درآمد غیرفعال")</f>
        <v>درآمد غیرفعال</v>
      </c>
      <c r="G14965" s="1" t="str">
        <f>IFERROR(__xludf.DUMMYFUNCTION("GOOGLETRANSLATE(C14965, ""en"", ""fa"")
"),"مزایای بالقوه راه اندازی یک کسب و کار دراپ شیپینگ خودکار برای کارآفرینانی که به دنبال درآمد غیرفعال هستند چیست؟")</f>
        <v>مزایای بالقوه راه اندازی یک کسب و کار دراپ شیپینگ خودکار برای کارآفرینانی که به دنبال درآمد غیرفعال هستند چیست؟</v>
      </c>
      <c r="H14965" s="1"/>
      <c r="I14965" s="1"/>
      <c r="J14965" s="1"/>
      <c r="K14965" s="1"/>
      <c r="L14965" s="1"/>
      <c r="M14965" s="1"/>
      <c r="N14965" s="1"/>
      <c r="O14965" s="1"/>
      <c r="P14965" s="1"/>
      <c r="Q14965" s="1"/>
      <c r="R14965" s="1"/>
      <c r="S14965" s="1"/>
      <c r="T14965" s="1"/>
      <c r="U14965" s="1"/>
      <c r="V14965" s="1"/>
      <c r="W14965" s="1"/>
      <c r="X14965" s="1"/>
      <c r="Y14965" s="1"/>
      <c r="Z14965" s="1"/>
      <c r="AA14965" s="1"/>
      <c r="AB14965" s="1"/>
    </row>
    <row r="14966" ht="50.25" customHeight="1">
      <c r="A14966" s="12">
        <v>14962.0</v>
      </c>
      <c r="B14966" s="13" t="s">
        <v>13838</v>
      </c>
      <c r="C14966" s="14" t="s">
        <v>14202</v>
      </c>
      <c r="D14966" s="1"/>
      <c r="E14966" s="1"/>
      <c r="F14966" s="1" t="str">
        <f>IFERROR(__xludf.DUMMYFUNCTION("GOOGLETRANSLATE(B14966, ""en"", ""fa"")
"),"درآمد غیرفعال")</f>
        <v>درآمد غیرفعال</v>
      </c>
      <c r="G14966" s="1" t="str">
        <f>IFERROR(__xludf.DUMMYFUNCTION("GOOGLETRANSLATE(C14966, ""en"", ""fa"")
"),"نقش انتخاب طاقچه در ایجاد یک کسب و کار موفق دراپ شیپینگ خودکار را بررسی کنید.")</f>
        <v>نقش انتخاب طاقچه در ایجاد یک کسب و کار موفق دراپ شیپینگ خودکار را بررسی کنید.</v>
      </c>
      <c r="H14966" s="1"/>
      <c r="I14966" s="1"/>
      <c r="J14966" s="1"/>
      <c r="K14966" s="1"/>
      <c r="L14966" s="1"/>
      <c r="M14966" s="1"/>
      <c r="N14966" s="1"/>
      <c r="O14966" s="1"/>
      <c r="P14966" s="1"/>
      <c r="Q14966" s="1"/>
      <c r="R14966" s="1"/>
      <c r="S14966" s="1"/>
      <c r="T14966" s="1"/>
      <c r="U14966" s="1"/>
      <c r="V14966" s="1"/>
      <c r="W14966" s="1"/>
      <c r="X14966" s="1"/>
      <c r="Y14966" s="1"/>
      <c r="Z14966" s="1"/>
      <c r="AA14966" s="1"/>
      <c r="AB14966" s="1"/>
    </row>
    <row r="14967" ht="50.25" customHeight="1">
      <c r="A14967" s="12">
        <v>14963.0</v>
      </c>
      <c r="B14967" s="13" t="s">
        <v>13838</v>
      </c>
      <c r="C14967" s="14" t="s">
        <v>14203</v>
      </c>
      <c r="D14967" s="1"/>
      <c r="E14967" s="1"/>
      <c r="F14967" s="1" t="str">
        <f>IFERROR(__xludf.DUMMYFUNCTION("GOOGLETRANSLATE(B14967, ""en"", ""fa"")
"),"درآمد غیرفعال")</f>
        <v>درآمد غیرفعال</v>
      </c>
      <c r="G14967" s="1" t="str">
        <f>IFERROR(__xludf.DUMMYFUNCTION("GOOGLETRANSLATE(C14967, ""en"", ""fa"")
"),"در مورد اهمیت تامین کنندگان و محصولات قابل اعتماد برای فروشگاه دراپ شیپینگ خود بحث کنید.")</f>
        <v>در مورد اهمیت تامین کنندگان و محصولات قابل اعتماد برای فروشگاه دراپ شیپینگ خود بحث کنید.</v>
      </c>
      <c r="H14967" s="1"/>
      <c r="I14967" s="1"/>
      <c r="J14967" s="1"/>
      <c r="K14967" s="1"/>
      <c r="L14967" s="1"/>
      <c r="M14967" s="1"/>
      <c r="N14967" s="1"/>
      <c r="O14967" s="1"/>
      <c r="P14967" s="1"/>
      <c r="Q14967" s="1"/>
      <c r="R14967" s="1"/>
      <c r="S14967" s="1"/>
      <c r="T14967" s="1"/>
      <c r="U14967" s="1"/>
      <c r="V14967" s="1"/>
      <c r="W14967" s="1"/>
      <c r="X14967" s="1"/>
      <c r="Y14967" s="1"/>
      <c r="Z14967" s="1"/>
      <c r="AA14967" s="1"/>
      <c r="AB14967" s="1"/>
    </row>
    <row r="14968" ht="50.25" customHeight="1">
      <c r="A14968" s="12">
        <v>14964.0</v>
      </c>
      <c r="B14968" s="13" t="s">
        <v>13838</v>
      </c>
      <c r="C14968" s="14" t="s">
        <v>14204</v>
      </c>
      <c r="D14968" s="1"/>
      <c r="E14968" s="1"/>
      <c r="F14968" s="1" t="str">
        <f>IFERROR(__xludf.DUMMYFUNCTION("GOOGLETRANSLATE(B14968, ""en"", ""fa"")
"),"درآمد غیرفعال")</f>
        <v>درآمد غیرفعال</v>
      </c>
      <c r="G14968" s="1" t="str">
        <f>IFERROR(__xludf.DUMMYFUNCTION("GOOGLETRANSLATE(C14968, ""en"", ""fa"")
"),"چگونه کارآفرینان می توانند به طور موثر پلت فرم تجارت الکترونیک خود را برای dropshipping خودکار راه اندازی و پیکربندی کنند؟")</f>
        <v>چگونه کارآفرینان می توانند به طور موثر پلت فرم تجارت الکترونیک خود را برای dropshipping خودکار راه اندازی و پیکربندی کنند؟</v>
      </c>
      <c r="H14968" s="1"/>
      <c r="I14968" s="1"/>
      <c r="J14968" s="1"/>
      <c r="K14968" s="1"/>
      <c r="L14968" s="1"/>
      <c r="M14968" s="1"/>
      <c r="N14968" s="1"/>
      <c r="O14968" s="1"/>
      <c r="P14968" s="1"/>
      <c r="Q14968" s="1"/>
      <c r="R14968" s="1"/>
      <c r="S14968" s="1"/>
      <c r="T14968" s="1"/>
      <c r="U14968" s="1"/>
      <c r="V14968" s="1"/>
      <c r="W14968" s="1"/>
      <c r="X14968" s="1"/>
      <c r="Y14968" s="1"/>
      <c r="Z14968" s="1"/>
      <c r="AA14968" s="1"/>
      <c r="AB14968" s="1"/>
    </row>
    <row r="14969" ht="50.25" customHeight="1">
      <c r="A14969" s="12">
        <v>14965.0</v>
      </c>
      <c r="B14969" s="13" t="s">
        <v>13838</v>
      </c>
      <c r="C14969" s="14" t="s">
        <v>14205</v>
      </c>
      <c r="D14969" s="1"/>
      <c r="E14969" s="1"/>
      <c r="F14969" s="1" t="str">
        <f>IFERROR(__xludf.DUMMYFUNCTION("GOOGLETRANSLATE(B14969, ""en"", ""fa"")
"),"درآمد غیرفعال")</f>
        <v>درآمد غیرفعال</v>
      </c>
      <c r="G14969" s="1" t="str">
        <f>IFERROR(__xludf.DUMMYFUNCTION("GOOGLETRANSLATE(C14969, ""en"", ""fa"")
"),"تأثیر استفاده از ابزارها و نرم افزارهای اتوماسیون برای مدیریت موجودی و انجام سفارش را بررسی کنید.")</f>
        <v>تأثیر استفاده از ابزارها و نرم افزارهای اتوماسیون برای مدیریت موجودی و انجام سفارش را بررسی کنید.</v>
      </c>
      <c r="H14969" s="1"/>
      <c r="I14969" s="1"/>
      <c r="J14969" s="1"/>
      <c r="K14969" s="1"/>
      <c r="L14969" s="1"/>
      <c r="M14969" s="1"/>
      <c r="N14969" s="1"/>
      <c r="O14969" s="1"/>
      <c r="P14969" s="1"/>
      <c r="Q14969" s="1"/>
      <c r="R14969" s="1"/>
      <c r="S14969" s="1"/>
      <c r="T14969" s="1"/>
      <c r="U14969" s="1"/>
      <c r="V14969" s="1"/>
      <c r="W14969" s="1"/>
      <c r="X14969" s="1"/>
      <c r="Y14969" s="1"/>
      <c r="Z14969" s="1"/>
      <c r="AA14969" s="1"/>
      <c r="AB14969" s="1"/>
    </row>
    <row r="14970" ht="50.25" customHeight="1">
      <c r="A14970" s="12">
        <v>14966.0</v>
      </c>
      <c r="B14970" s="13" t="s">
        <v>13838</v>
      </c>
      <c r="C14970" s="14" t="s">
        <v>14206</v>
      </c>
      <c r="D14970" s="1"/>
      <c r="E14970" s="1"/>
      <c r="F14970" s="1" t="str">
        <f>IFERROR(__xludf.DUMMYFUNCTION("GOOGLETRANSLATE(B14970, ""en"", ""fa"")
"),"درآمد غیرفعال")</f>
        <v>درآمد غیرفعال</v>
      </c>
      <c r="G14970" s="1" t="str">
        <f>IFERROR(__xludf.DUMMYFUNCTION("GOOGLETRANSLATE(C14970, ""en"", ""fa"")
"),"کارآفرینان از چه استراتژی هایی می توانند برای ایجاد یک فروشگاه آنلاین جذاب و کاربرپسند برای کسب و کار دراپ شیپینگ خود استفاده کنند؟")</f>
        <v>کارآفرینان از چه استراتژی هایی می توانند برای ایجاد یک فروشگاه آنلاین جذاب و کاربرپسند برای کسب و کار دراپ شیپینگ خود استفاده کنند؟</v>
      </c>
      <c r="H14970" s="1"/>
      <c r="I14970" s="1"/>
      <c r="J14970" s="1"/>
      <c r="K14970" s="1"/>
      <c r="L14970" s="1"/>
      <c r="M14970" s="1"/>
      <c r="N14970" s="1"/>
      <c r="O14970" s="1"/>
      <c r="P14970" s="1"/>
      <c r="Q14970" s="1"/>
      <c r="R14970" s="1"/>
      <c r="S14970" s="1"/>
      <c r="T14970" s="1"/>
      <c r="U14970" s="1"/>
      <c r="V14970" s="1"/>
      <c r="W14970" s="1"/>
      <c r="X14970" s="1"/>
      <c r="Y14970" s="1"/>
      <c r="Z14970" s="1"/>
      <c r="AA14970" s="1"/>
      <c r="AB14970" s="1"/>
    </row>
    <row r="14971" ht="50.25" customHeight="1">
      <c r="A14971" s="12">
        <v>14967.0</v>
      </c>
      <c r="B14971" s="13" t="s">
        <v>13838</v>
      </c>
      <c r="C14971" s="14" t="s">
        <v>14207</v>
      </c>
      <c r="D14971" s="1"/>
      <c r="E14971" s="1"/>
      <c r="F14971" s="1" t="str">
        <f>IFERROR(__xludf.DUMMYFUNCTION("GOOGLETRANSLATE(B14971, ""en"", ""fa"")
"),"درآمد غیرفعال")</f>
        <v>درآمد غیرفعال</v>
      </c>
      <c r="G14971" s="1" t="str">
        <f>IFERROR(__xludf.DUMMYFUNCTION("GOOGLETRANSLATE(C14971, ""en"", ""fa"")
"),"در مورد نقش استراتژی قیمت گذاری و تحلیل رقابتی در موفقیت سرمایه گذاری های خودکار دراپ شیپینگ بحث کنید.")</f>
        <v>در مورد نقش استراتژی قیمت گذاری و تحلیل رقابتی در موفقیت سرمایه گذاری های خودکار دراپ شیپینگ بحث کنید.</v>
      </c>
      <c r="H14971" s="1"/>
      <c r="I14971" s="1"/>
      <c r="J14971" s="1"/>
      <c r="K14971" s="1"/>
      <c r="L14971" s="1"/>
      <c r="M14971" s="1"/>
      <c r="N14971" s="1"/>
      <c r="O14971" s="1"/>
      <c r="P14971" s="1"/>
      <c r="Q14971" s="1"/>
      <c r="R14971" s="1"/>
      <c r="S14971" s="1"/>
      <c r="T14971" s="1"/>
      <c r="U14971" s="1"/>
      <c r="V14971" s="1"/>
      <c r="W14971" s="1"/>
      <c r="X14971" s="1"/>
      <c r="Y14971" s="1"/>
      <c r="Z14971" s="1"/>
      <c r="AA14971" s="1"/>
      <c r="AB14971" s="1"/>
    </row>
    <row r="14972" ht="50.25" customHeight="1">
      <c r="A14972" s="12">
        <v>14968.0</v>
      </c>
      <c r="B14972" s="13" t="s">
        <v>13838</v>
      </c>
      <c r="C14972" s="14" t="s">
        <v>14208</v>
      </c>
      <c r="D14972" s="1"/>
      <c r="E14972" s="1"/>
      <c r="F14972" s="1" t="str">
        <f>IFERROR(__xludf.DUMMYFUNCTION("GOOGLETRANSLATE(B14972, ""en"", ""fa"")
"),"درآمد غیرفعال")</f>
        <v>درآمد غیرفعال</v>
      </c>
      <c r="G14972" s="1" t="str">
        <f>IFERROR(__xludf.DUMMYFUNCTION("GOOGLETRANSLATE(C14972, ""en"", ""fa"")
"),"پتانسیل استفاده از بازاریابی و تبلیغات رسانه های اجتماعی را برای هدایت ترافیک به فروشگاه dropshipping خود کاوش کنید.")</f>
        <v>پتانسیل استفاده از بازاریابی و تبلیغات رسانه های اجتماعی را برای هدایت ترافیک به فروشگاه dropshipping خود کاوش کنید.</v>
      </c>
      <c r="H14972" s="1"/>
      <c r="I14972" s="1"/>
      <c r="J14972" s="1"/>
      <c r="K14972" s="1"/>
      <c r="L14972" s="1"/>
      <c r="M14972" s="1"/>
      <c r="N14972" s="1"/>
      <c r="O14972" s="1"/>
      <c r="P14972" s="1"/>
      <c r="Q14972" s="1"/>
      <c r="R14972" s="1"/>
      <c r="S14972" s="1"/>
      <c r="T14972" s="1"/>
      <c r="U14972" s="1"/>
      <c r="V14972" s="1"/>
      <c r="W14972" s="1"/>
      <c r="X14972" s="1"/>
      <c r="Y14972" s="1"/>
      <c r="Z14972" s="1"/>
      <c r="AA14972" s="1"/>
      <c r="AB14972" s="1"/>
    </row>
    <row r="14973" ht="50.25" customHeight="1">
      <c r="A14973" s="12">
        <v>14969.0</v>
      </c>
      <c r="B14973" s="13" t="s">
        <v>13838</v>
      </c>
      <c r="C14973" s="14" t="s">
        <v>14209</v>
      </c>
      <c r="D14973" s="1"/>
      <c r="E14973" s="1"/>
      <c r="F14973" s="1" t="str">
        <f>IFERROR(__xludf.DUMMYFUNCTION("GOOGLETRANSLATE(B14973, ""en"", ""fa"")
"),"درآمد غیرفعال")</f>
        <v>درآمد غیرفعال</v>
      </c>
      <c r="G14973" s="1" t="str">
        <f>IFERROR(__xludf.DUMMYFUNCTION("GOOGLETRANSLATE(C14973, ""en"", ""fa"")
"),"چگونه کارآفرینان می‌توانند توضیحات و تصاویر محصول را برای افزایش تبدیل در فروشگاه خودکار dropshipping خود بهینه کنند؟")</f>
        <v>چگونه کارآفرینان می‌توانند توضیحات و تصاویر محصول را برای افزایش تبدیل در فروشگاه خودکار dropshipping خود بهینه کنند؟</v>
      </c>
      <c r="H14973" s="1"/>
      <c r="I14973" s="1"/>
      <c r="J14973" s="1"/>
      <c r="K14973" s="1"/>
      <c r="L14973" s="1"/>
      <c r="M14973" s="1"/>
      <c r="N14973" s="1"/>
      <c r="O14973" s="1"/>
      <c r="P14973" s="1"/>
      <c r="Q14973" s="1"/>
      <c r="R14973" s="1"/>
      <c r="S14973" s="1"/>
      <c r="T14973" s="1"/>
      <c r="U14973" s="1"/>
      <c r="V14973" s="1"/>
      <c r="W14973" s="1"/>
      <c r="X14973" s="1"/>
      <c r="Y14973" s="1"/>
      <c r="Z14973" s="1"/>
      <c r="AA14973" s="1"/>
      <c r="AB14973" s="1"/>
    </row>
    <row r="14974" ht="50.25" customHeight="1">
      <c r="A14974" s="12">
        <v>14970.0</v>
      </c>
      <c r="B14974" s="13" t="s">
        <v>13838</v>
      </c>
      <c r="C14974" s="14" t="s">
        <v>14210</v>
      </c>
      <c r="D14974" s="1"/>
      <c r="E14974" s="1"/>
      <c r="F14974" s="1" t="str">
        <f>IFERROR(__xludf.DUMMYFUNCTION("GOOGLETRANSLATE(B14974, ""en"", ""fa"")
"),"درآمد غیرفعال")</f>
        <v>درآمد غیرفعال</v>
      </c>
      <c r="G14974" s="1" t="str">
        <f>IFERROR(__xludf.DUMMYFUNCTION("GOOGLETRANSLATE(C14974, ""en"", ""fa"")
"),"در مورد مفهوم استفاده از همکاری های اینفلوئنسر و مشارکت های وابسته برای تبلیغ محصولات dropshipping خود بحث کنید.")</f>
        <v>در مورد مفهوم استفاده از همکاری های اینفلوئنسر و مشارکت های وابسته برای تبلیغ محصولات dropshipping خود بحث کنید.</v>
      </c>
      <c r="H14974" s="1"/>
      <c r="I14974" s="1"/>
      <c r="J14974" s="1"/>
      <c r="K14974" s="1"/>
      <c r="L14974" s="1"/>
      <c r="M14974" s="1"/>
      <c r="N14974" s="1"/>
      <c r="O14974" s="1"/>
      <c r="P14974" s="1"/>
      <c r="Q14974" s="1"/>
      <c r="R14974" s="1"/>
      <c r="S14974" s="1"/>
      <c r="T14974" s="1"/>
      <c r="U14974" s="1"/>
      <c r="V14974" s="1"/>
      <c r="W14974" s="1"/>
      <c r="X14974" s="1"/>
      <c r="Y14974" s="1"/>
      <c r="Z14974" s="1"/>
      <c r="AA14974" s="1"/>
      <c r="AB14974" s="1"/>
    </row>
    <row r="14975" ht="50.25" customHeight="1">
      <c r="A14975" s="12">
        <v>14971.0</v>
      </c>
      <c r="B14975" s="13" t="s">
        <v>13838</v>
      </c>
      <c r="C14975" s="14" t="s">
        <v>14211</v>
      </c>
      <c r="D14975" s="1"/>
      <c r="E14975" s="1"/>
      <c r="F14975" s="1" t="str">
        <f>IFERROR(__xludf.DUMMYFUNCTION("GOOGLETRANSLATE(B14975, ""en"", ""fa"")
"),"درآمد غیرفعال")</f>
        <v>درآمد غیرفعال</v>
      </c>
      <c r="G14975" s="1" t="str">
        <f>IFERROR(__xludf.DUMMYFUNCTION("GOOGLETRANSLATE(C14975, ""en"", ""fa"")
"),"خدمات مشتری و ارتباطات چه نقشی در حفظ شهرت مثبت برای کسب و کار دراپ شیپینگ خودکار شما دارد؟")</f>
        <v>خدمات مشتری و ارتباطات چه نقشی در حفظ شهرت مثبت برای کسب و کار دراپ شیپینگ خودکار شما دارد؟</v>
      </c>
      <c r="H14975" s="1"/>
      <c r="I14975" s="1"/>
      <c r="J14975" s="1"/>
      <c r="K14975" s="1"/>
      <c r="L14975" s="1"/>
      <c r="M14975" s="1"/>
      <c r="N14975" s="1"/>
      <c r="O14975" s="1"/>
      <c r="P14975" s="1"/>
      <c r="Q14975" s="1"/>
      <c r="R14975" s="1"/>
      <c r="S14975" s="1"/>
      <c r="T14975" s="1"/>
      <c r="U14975" s="1"/>
      <c r="V14975" s="1"/>
      <c r="W14975" s="1"/>
      <c r="X14975" s="1"/>
      <c r="Y14975" s="1"/>
      <c r="Z14975" s="1"/>
      <c r="AA14975" s="1"/>
      <c r="AB14975" s="1"/>
    </row>
    <row r="14976" ht="50.25" customHeight="1">
      <c r="A14976" s="12">
        <v>14972.0</v>
      </c>
      <c r="B14976" s="13" t="s">
        <v>13838</v>
      </c>
      <c r="C14976" s="14" t="s">
        <v>14212</v>
      </c>
      <c r="D14976" s="1"/>
      <c r="E14976" s="1"/>
      <c r="F14976" s="1" t="str">
        <f>IFERROR(__xludf.DUMMYFUNCTION("GOOGLETRANSLATE(B14976, ""en"", ""fa"")
"),"درآمد غیرفعال")</f>
        <v>درآمد غیرفعال</v>
      </c>
      <c r="G14976" s="1" t="str">
        <f>IFERROR(__xludf.DUMMYFUNCTION("GOOGLETRANSLATE(C14976, ""en"", ""fa"")
"),"تأثیر استفاده از تجزیه و تحلیل داده ها و بینش ها برای ردیابی روند فروش و رفتار مشتری در فروشگاه خود را بررسی کنید.")</f>
        <v>تأثیر استفاده از تجزیه و تحلیل داده ها و بینش ها برای ردیابی روند فروش و رفتار مشتری در فروشگاه خود را بررسی کنید.</v>
      </c>
      <c r="H14976" s="1"/>
      <c r="I14976" s="1"/>
      <c r="J14976" s="1"/>
      <c r="K14976" s="1"/>
      <c r="L14976" s="1"/>
      <c r="M14976" s="1"/>
      <c r="N14976" s="1"/>
      <c r="O14976" s="1"/>
      <c r="P14976" s="1"/>
      <c r="Q14976" s="1"/>
      <c r="R14976" s="1"/>
      <c r="S14976" s="1"/>
      <c r="T14976" s="1"/>
      <c r="U14976" s="1"/>
      <c r="V14976" s="1"/>
      <c r="W14976" s="1"/>
      <c r="X14976" s="1"/>
      <c r="Y14976" s="1"/>
      <c r="Z14976" s="1"/>
      <c r="AA14976" s="1"/>
      <c r="AB14976" s="1"/>
    </row>
    <row r="14977" ht="50.25" customHeight="1">
      <c r="A14977" s="12">
        <v>14973.0</v>
      </c>
      <c r="B14977" s="13" t="s">
        <v>13838</v>
      </c>
      <c r="C14977" s="14" t="s">
        <v>14213</v>
      </c>
      <c r="D14977" s="1"/>
      <c r="E14977" s="1"/>
      <c r="F14977" s="1" t="str">
        <f>IFERROR(__xludf.DUMMYFUNCTION("GOOGLETRANSLATE(B14977, ""en"", ""fa"")
"),"درآمد غیرفعال")</f>
        <v>درآمد غیرفعال</v>
      </c>
      <c r="G14977" s="1" t="str">
        <f>IFERROR(__xludf.DUMMYFUNCTION("GOOGLETRANSLATE(C14977, ""en"", ""fa"")
"),"چگونه کارآفرینان می توانند به طور موثر از بازاریابی ایمیلی و اتوماسیون برای جذب مشتریان و تشویق به خریدهای تکراری استفاده کنند؟")</f>
        <v>چگونه کارآفرینان می توانند به طور موثر از بازاریابی ایمیلی و اتوماسیون برای جذب مشتریان و تشویق به خریدهای تکراری استفاده کنند؟</v>
      </c>
      <c r="H14977" s="1"/>
      <c r="I14977" s="1"/>
      <c r="J14977" s="1"/>
      <c r="K14977" s="1"/>
      <c r="L14977" s="1"/>
      <c r="M14977" s="1"/>
      <c r="N14977" s="1"/>
      <c r="O14977" s="1"/>
      <c r="P14977" s="1"/>
      <c r="Q14977" s="1"/>
      <c r="R14977" s="1"/>
      <c r="S14977" s="1"/>
      <c r="T14977" s="1"/>
      <c r="U14977" s="1"/>
      <c r="V14977" s="1"/>
      <c r="W14977" s="1"/>
      <c r="X14977" s="1"/>
      <c r="Y14977" s="1"/>
      <c r="Z14977" s="1"/>
      <c r="AA14977" s="1"/>
      <c r="AB14977" s="1"/>
    </row>
    <row r="14978" ht="50.25" customHeight="1">
      <c r="A14978" s="12">
        <v>14974.0</v>
      </c>
      <c r="B14978" s="13" t="s">
        <v>13838</v>
      </c>
      <c r="C14978" s="14" t="s">
        <v>14214</v>
      </c>
      <c r="D14978" s="1"/>
      <c r="E14978" s="1"/>
      <c r="F14978" s="1" t="str">
        <f>IFERROR(__xludf.DUMMYFUNCTION("GOOGLETRANSLATE(B14978, ""en"", ""fa"")
"),"درآمد غیرفعال")</f>
        <v>درآمد غیرفعال</v>
      </c>
      <c r="G14978" s="1" t="str">
        <f>IFERROR(__xludf.DUMMYFUNCTION("GOOGLETRANSLATE(C14978, ""en"", ""fa"")
"),"در مورد اهمیت انتخاب یک فرآیند انجام سفارش قابل اعتماد و کارآمد برای کسب و کار Dropshipping خودکار خود بحث کنید.")</f>
        <v>در مورد اهمیت انتخاب یک فرآیند انجام سفارش قابل اعتماد و کارآمد برای کسب و کار Dropshipping خودکار خود بحث کنید.</v>
      </c>
      <c r="H14978" s="1"/>
      <c r="I14978" s="1"/>
      <c r="J14978" s="1"/>
      <c r="K14978" s="1"/>
      <c r="L14978" s="1"/>
      <c r="M14978" s="1"/>
      <c r="N14978" s="1"/>
      <c r="O14978" s="1"/>
      <c r="P14978" s="1"/>
      <c r="Q14978" s="1"/>
      <c r="R14978" s="1"/>
      <c r="S14978" s="1"/>
      <c r="T14978" s="1"/>
      <c r="U14978" s="1"/>
      <c r="V14978" s="1"/>
      <c r="W14978" s="1"/>
      <c r="X14978" s="1"/>
      <c r="Y14978" s="1"/>
      <c r="Z14978" s="1"/>
      <c r="AA14978" s="1"/>
      <c r="AB14978" s="1"/>
    </row>
    <row r="14979" ht="50.25" customHeight="1">
      <c r="A14979" s="12">
        <v>14975.0</v>
      </c>
      <c r="B14979" s="13" t="s">
        <v>13838</v>
      </c>
      <c r="C14979" s="14" t="s">
        <v>14215</v>
      </c>
      <c r="D14979" s="1"/>
      <c r="E14979" s="1"/>
      <c r="F14979" s="1" t="str">
        <f>IFERROR(__xludf.DUMMYFUNCTION("GOOGLETRANSLATE(B14979, ""en"", ""fa"")
"),"درآمد غیرفعال")</f>
        <v>درآمد غیرفعال</v>
      </c>
      <c r="G14979" s="1" t="str">
        <f>IFERROR(__xludf.DUMMYFUNCTION("GOOGLETRANSLATE(C14979, ""en"", ""fa"")
"),"پتانسیل استفاده از تبلیغات هدف‌گیری مجدد و استراتژی‌های بازیابی سبد خرید رها شده را برای بازیابی فروش از دست رفته کاوش کنید.")</f>
        <v>پتانسیل استفاده از تبلیغات هدف‌گیری مجدد و استراتژی‌های بازیابی سبد خرید رها شده را برای بازیابی فروش از دست رفته کاوش کنید.</v>
      </c>
      <c r="H14979" s="1"/>
      <c r="I14979" s="1"/>
      <c r="J14979" s="1"/>
      <c r="K14979" s="1"/>
      <c r="L14979" s="1"/>
      <c r="M14979" s="1"/>
      <c r="N14979" s="1"/>
      <c r="O14979" s="1"/>
      <c r="P14979" s="1"/>
      <c r="Q14979" s="1"/>
      <c r="R14979" s="1"/>
      <c r="S14979" s="1"/>
      <c r="T14979" s="1"/>
      <c r="U14979" s="1"/>
      <c r="V14979" s="1"/>
      <c r="W14979" s="1"/>
      <c r="X14979" s="1"/>
      <c r="Y14979" s="1"/>
      <c r="Z14979" s="1"/>
      <c r="AA14979" s="1"/>
      <c r="AB14979" s="1"/>
    </row>
    <row r="14980" ht="50.25" customHeight="1">
      <c r="A14980" s="12">
        <v>14976.0</v>
      </c>
      <c r="B14980" s="13" t="s">
        <v>13838</v>
      </c>
      <c r="C14980" s="14" t="s">
        <v>14216</v>
      </c>
      <c r="D14980" s="1"/>
      <c r="E14980" s="1"/>
      <c r="F14980" s="1" t="str">
        <f>IFERROR(__xludf.DUMMYFUNCTION("GOOGLETRANSLATE(B14980, ""en"", ""fa"")
"),"درآمد غیرفعال")</f>
        <v>درآمد غیرفعال</v>
      </c>
      <c r="G14980" s="1" t="str">
        <f>IFERROR(__xludf.DUMMYFUNCTION("GOOGLETRANSLATE(C14980, ""en"", ""fa"")
"),"کارآفرینان از چه استراتژی هایی می توانند برای متمایز کردن فروشگاه dropshipping خود و ارائه ارزش پیشنهادی منحصر به فرد استفاده کنند؟")</f>
        <v>کارآفرینان از چه استراتژی هایی می توانند برای متمایز کردن فروشگاه dropshipping خود و ارائه ارزش پیشنهادی منحصر به فرد استفاده کنند؟</v>
      </c>
      <c r="H14980" s="1"/>
      <c r="I14980" s="1"/>
      <c r="J14980" s="1"/>
      <c r="K14980" s="1"/>
      <c r="L14980" s="1"/>
      <c r="M14980" s="1"/>
      <c r="N14980" s="1"/>
      <c r="O14980" s="1"/>
      <c r="P14980" s="1"/>
      <c r="Q14980" s="1"/>
      <c r="R14980" s="1"/>
      <c r="S14980" s="1"/>
      <c r="T14980" s="1"/>
      <c r="U14980" s="1"/>
      <c r="V14980" s="1"/>
      <c r="W14980" s="1"/>
      <c r="X14980" s="1"/>
      <c r="Y14980" s="1"/>
      <c r="Z14980" s="1"/>
      <c r="AA14980" s="1"/>
      <c r="AB14980" s="1"/>
    </row>
    <row r="14981" ht="50.25" customHeight="1">
      <c r="A14981" s="12">
        <v>14977.0</v>
      </c>
      <c r="B14981" s="13" t="s">
        <v>13838</v>
      </c>
      <c r="C14981" s="14" t="s">
        <v>14217</v>
      </c>
      <c r="D14981" s="1"/>
      <c r="E14981" s="1"/>
      <c r="F14981" s="1" t="str">
        <f>IFERROR(__xludf.DUMMYFUNCTION("GOOGLETRANSLATE(B14981, ""en"", ""fa"")
"),"درآمد غیرفعال")</f>
        <v>درآمد غیرفعال</v>
      </c>
      <c r="G14981" s="1" t="str">
        <f>IFERROR(__xludf.DUMMYFUNCTION("GOOGLETRANSLATE(C14981, ""en"", ""fa"")
"),"در مورد نقش ایجاد هویت برند و ایجاد اعتماد با مشتریان در تجارت دراپ شیپینگ بحث کنید.")</f>
        <v>در مورد نقش ایجاد هویت برند و ایجاد اعتماد با مشتریان در تجارت دراپ شیپینگ بحث کنید.</v>
      </c>
      <c r="H14981" s="1"/>
      <c r="I14981" s="1"/>
      <c r="J14981" s="1"/>
      <c r="K14981" s="1"/>
      <c r="L14981" s="1"/>
      <c r="M14981" s="1"/>
      <c r="N14981" s="1"/>
      <c r="O14981" s="1"/>
      <c r="P14981" s="1"/>
      <c r="Q14981" s="1"/>
      <c r="R14981" s="1"/>
      <c r="S14981" s="1"/>
      <c r="T14981" s="1"/>
      <c r="U14981" s="1"/>
      <c r="V14981" s="1"/>
      <c r="W14981" s="1"/>
      <c r="X14981" s="1"/>
      <c r="Y14981" s="1"/>
      <c r="Z14981" s="1"/>
      <c r="AA14981" s="1"/>
      <c r="AB14981" s="1"/>
    </row>
    <row r="14982" ht="50.25" customHeight="1">
      <c r="A14982" s="12">
        <v>14978.0</v>
      </c>
      <c r="B14982" s="13" t="s">
        <v>13838</v>
      </c>
      <c r="C14982" s="14" t="s">
        <v>14218</v>
      </c>
      <c r="D14982" s="1"/>
      <c r="E14982" s="1"/>
      <c r="F14982" s="1" t="str">
        <f>IFERROR(__xludf.DUMMYFUNCTION("GOOGLETRANSLATE(B14982, ""en"", ""fa"")
"),"درآمد غیرفعال")</f>
        <v>درآمد غیرفعال</v>
      </c>
      <c r="G14982" s="1" t="str">
        <f>IFERROR(__xludf.DUMMYFUNCTION("GOOGLETRANSLATE(C14982, ""en"", ""fa"")
"),"تأثیر نظرات و نظرات مشتریان را در تأثیرگذاری بر تصمیمات خرید در فروشگاه خودکار dropshipping خود بررسی کنید.")</f>
        <v>تأثیر نظرات و نظرات مشتریان را در تأثیرگذاری بر تصمیمات خرید در فروشگاه خودکار dropshipping خود بررسی کنید.</v>
      </c>
      <c r="H14982" s="1"/>
      <c r="I14982" s="1"/>
      <c r="J14982" s="1"/>
      <c r="K14982" s="1"/>
      <c r="L14982" s="1"/>
      <c r="M14982" s="1"/>
      <c r="N14982" s="1"/>
      <c r="O14982" s="1"/>
      <c r="P14982" s="1"/>
      <c r="Q14982" s="1"/>
      <c r="R14982" s="1"/>
      <c r="S14982" s="1"/>
      <c r="T14982" s="1"/>
      <c r="U14982" s="1"/>
      <c r="V14982" s="1"/>
      <c r="W14982" s="1"/>
      <c r="X14982" s="1"/>
      <c r="Y14982" s="1"/>
      <c r="Z14982" s="1"/>
      <c r="AA14982" s="1"/>
      <c r="AB14982" s="1"/>
    </row>
    <row r="14983" ht="50.25" customHeight="1">
      <c r="A14983" s="12">
        <v>14979.0</v>
      </c>
      <c r="B14983" s="13" t="s">
        <v>13838</v>
      </c>
      <c r="C14983" s="14" t="s">
        <v>14219</v>
      </c>
      <c r="D14983" s="1"/>
      <c r="E14983" s="1"/>
      <c r="F14983" s="1" t="str">
        <f>IFERROR(__xludf.DUMMYFUNCTION("GOOGLETRANSLATE(B14983, ""en"", ""fa"")
"),"درآمد غیرفعال")</f>
        <v>درآمد غیرفعال</v>
      </c>
      <c r="G14983" s="1" t="str">
        <f>IFERROR(__xludf.DUMMYFUNCTION("GOOGLETRANSLATE(C14983, ""en"", ""fa"")
"),"چگونه کارآفرینان می توانند انتظارات مشتری را به طور موثر مدیریت کنند و به روز رسانی های حمل و نقل را در کسب و کار dropshipping خود ارائه دهند؟")</f>
        <v>چگونه کارآفرینان می توانند انتظارات مشتری را به طور موثر مدیریت کنند و به روز رسانی های حمل و نقل را در کسب و کار dropshipping خود ارائه دهند؟</v>
      </c>
      <c r="H14983" s="1"/>
      <c r="I14983" s="1"/>
      <c r="J14983" s="1"/>
      <c r="K14983" s="1"/>
      <c r="L14983" s="1"/>
      <c r="M14983" s="1"/>
      <c r="N14983" s="1"/>
      <c r="O14983" s="1"/>
      <c r="P14983" s="1"/>
      <c r="Q14983" s="1"/>
      <c r="R14983" s="1"/>
      <c r="S14983" s="1"/>
      <c r="T14983" s="1"/>
      <c r="U14983" s="1"/>
      <c r="V14983" s="1"/>
      <c r="W14983" s="1"/>
      <c r="X14983" s="1"/>
      <c r="Y14983" s="1"/>
      <c r="Z14983" s="1"/>
      <c r="AA14983" s="1"/>
      <c r="AB14983" s="1"/>
    </row>
    <row r="14984" ht="50.25" customHeight="1">
      <c r="A14984" s="12">
        <v>14980.0</v>
      </c>
      <c r="B14984" s="13" t="s">
        <v>13838</v>
      </c>
      <c r="C14984" s="14" t="s">
        <v>14220</v>
      </c>
      <c r="D14984" s="1"/>
      <c r="E14984" s="1"/>
      <c r="F14984" s="1" t="str">
        <f>IFERROR(__xludf.DUMMYFUNCTION("GOOGLETRANSLATE(B14984, ""en"", ""fa"")
"),"درآمد غیرفعال")</f>
        <v>درآمد غیرفعال</v>
      </c>
      <c r="G14984" s="1" t="str">
        <f>IFERROR(__xludf.DUMMYFUNCTION("GOOGLETRANSLATE(C14984, ""en"", ""fa"")
"),"در مورد مفهوم استفاده از بازاریابی محتوا، مانند پست های وبلاگ و راهنماها، برای جذب ترافیک ارگانیک به فروشگاه dropshipping خود بحث کنید.")</f>
        <v>در مورد مفهوم استفاده از بازاریابی محتوا، مانند پست های وبلاگ و راهنماها، برای جذب ترافیک ارگانیک به فروشگاه dropshipping خود بحث کنید.</v>
      </c>
      <c r="H14984" s="1"/>
      <c r="I14984" s="1"/>
      <c r="J14984" s="1"/>
      <c r="K14984" s="1"/>
      <c r="L14984" s="1"/>
      <c r="M14984" s="1"/>
      <c r="N14984" s="1"/>
      <c r="O14984" s="1"/>
      <c r="P14984" s="1"/>
      <c r="Q14984" s="1"/>
      <c r="R14984" s="1"/>
      <c r="S14984" s="1"/>
      <c r="T14984" s="1"/>
      <c r="U14984" s="1"/>
      <c r="V14984" s="1"/>
      <c r="W14984" s="1"/>
      <c r="X14984" s="1"/>
      <c r="Y14984" s="1"/>
      <c r="Z14984" s="1"/>
      <c r="AA14984" s="1"/>
      <c r="AB14984" s="1"/>
    </row>
    <row r="14985" ht="50.25" customHeight="1">
      <c r="A14985" s="12">
        <v>14981.0</v>
      </c>
      <c r="B14985" s="13" t="s">
        <v>13838</v>
      </c>
      <c r="C14985" s="14" t="s">
        <v>14221</v>
      </c>
      <c r="D14985" s="1"/>
      <c r="E14985" s="1"/>
      <c r="F14985" s="1" t="str">
        <f>IFERROR(__xludf.DUMMYFUNCTION("GOOGLETRANSLATE(B14985, ""en"", ""fa"")
"),"درآمد غیرفعال")</f>
        <v>درآمد غیرفعال</v>
      </c>
      <c r="G14985" s="1" t="str">
        <f>IFERROR(__xludf.DUMMYFUNCTION("GOOGLETRANSLATE(C14985, ""en"", ""fa"")
"),"تحقیقات محصول و تحلیل روند چه نقشی در رقابتی ماندن در صنعت dropshipping ایفا می کند؟")</f>
        <v>تحقیقات محصول و تحلیل روند چه نقشی در رقابتی ماندن در صنعت dropshipping ایفا می کند؟</v>
      </c>
      <c r="H14985" s="1"/>
      <c r="I14985" s="1"/>
      <c r="J14985" s="1"/>
      <c r="K14985" s="1"/>
      <c r="L14985" s="1"/>
      <c r="M14985" s="1"/>
      <c r="N14985" s="1"/>
      <c r="O14985" s="1"/>
      <c r="P14985" s="1"/>
      <c r="Q14985" s="1"/>
      <c r="R14985" s="1"/>
      <c r="S14985" s="1"/>
      <c r="T14985" s="1"/>
      <c r="U14985" s="1"/>
      <c r="V14985" s="1"/>
      <c r="W14985" s="1"/>
      <c r="X14985" s="1"/>
      <c r="Y14985" s="1"/>
      <c r="Z14985" s="1"/>
      <c r="AA14985" s="1"/>
      <c r="AB14985" s="1"/>
    </row>
    <row r="14986" ht="50.25" customHeight="1">
      <c r="A14986" s="12">
        <v>14982.0</v>
      </c>
      <c r="B14986" s="13" t="s">
        <v>13838</v>
      </c>
      <c r="C14986" s="14" t="s">
        <v>14222</v>
      </c>
      <c r="D14986" s="1"/>
      <c r="E14986" s="1"/>
      <c r="F14986" s="1" t="str">
        <f>IFERROR(__xludf.DUMMYFUNCTION("GOOGLETRANSLATE(B14986, ""en"", ""fa"")
"),"درآمد غیرفعال")</f>
        <v>درآمد غیرفعال</v>
      </c>
      <c r="G14986" s="1" t="str">
        <f>IFERROR(__xludf.DUMMYFUNCTION("GOOGLETRANSLATE(C14986, ""en"", ""fa"")
"),"پتانسیل استفاده از فروش های بالا، فروش متقابل و بسته های محصول را برای افزایش میانگین ارزش سفارش در فروشگاه خود بررسی کنید.")</f>
        <v>پتانسیل استفاده از فروش های بالا، فروش متقابل و بسته های محصول را برای افزایش میانگین ارزش سفارش در فروشگاه خود بررسی کنید.</v>
      </c>
      <c r="H14986" s="1"/>
      <c r="I14986" s="1"/>
      <c r="J14986" s="1"/>
      <c r="K14986" s="1"/>
      <c r="L14986" s="1"/>
      <c r="M14986" s="1"/>
      <c r="N14986" s="1"/>
      <c r="O14986" s="1"/>
      <c r="P14986" s="1"/>
      <c r="Q14986" s="1"/>
      <c r="R14986" s="1"/>
      <c r="S14986" s="1"/>
      <c r="T14986" s="1"/>
      <c r="U14986" s="1"/>
      <c r="V14986" s="1"/>
      <c r="W14986" s="1"/>
      <c r="X14986" s="1"/>
      <c r="Y14986" s="1"/>
      <c r="Z14986" s="1"/>
      <c r="AA14986" s="1"/>
      <c r="AB14986" s="1"/>
    </row>
    <row r="14987" ht="50.25" customHeight="1">
      <c r="A14987" s="12">
        <v>14983.0</v>
      </c>
      <c r="B14987" s="13" t="s">
        <v>13838</v>
      </c>
      <c r="C14987" s="14" t="s">
        <v>14223</v>
      </c>
      <c r="D14987" s="1"/>
      <c r="E14987" s="1"/>
      <c r="F14987" s="1" t="str">
        <f>IFERROR(__xludf.DUMMYFUNCTION("GOOGLETRANSLATE(B14987, ""en"", ""fa"")
"),"درآمد غیرفعال")</f>
        <v>درآمد غیرفعال</v>
      </c>
      <c r="G14987" s="1" t="str">
        <f>IFERROR(__xludf.DUMMYFUNCTION("GOOGLETRANSLATE(C14987, ""en"", ""fa"")
"),"چگونه کارآفرینان می توانند به طور موثر برگرداندن، بازپرداخت و سوالات مشتری را در کسب و کار Dropshipping خودکار خود مدیریت کنند؟")</f>
        <v>چگونه کارآفرینان می توانند به طور موثر برگرداندن، بازپرداخت و سوالات مشتری را در کسب و کار Dropshipping خودکار خود مدیریت کنند؟</v>
      </c>
      <c r="H14987" s="1"/>
      <c r="I14987" s="1"/>
      <c r="J14987" s="1"/>
      <c r="K14987" s="1"/>
      <c r="L14987" s="1"/>
      <c r="M14987" s="1"/>
      <c r="N14987" s="1"/>
      <c r="O14987" s="1"/>
      <c r="P14987" s="1"/>
      <c r="Q14987" s="1"/>
      <c r="R14987" s="1"/>
      <c r="S14987" s="1"/>
      <c r="T14987" s="1"/>
      <c r="U14987" s="1"/>
      <c r="V14987" s="1"/>
      <c r="W14987" s="1"/>
      <c r="X14987" s="1"/>
      <c r="Y14987" s="1"/>
      <c r="Z14987" s="1"/>
      <c r="AA14987" s="1"/>
      <c r="AB14987" s="1"/>
    </row>
    <row r="14988" ht="50.25" customHeight="1">
      <c r="A14988" s="12">
        <v>14984.0</v>
      </c>
      <c r="B14988" s="13" t="s">
        <v>13838</v>
      </c>
      <c r="C14988" s="14" t="s">
        <v>14224</v>
      </c>
      <c r="D14988" s="1"/>
      <c r="E14988" s="1"/>
      <c r="F14988" s="1" t="str">
        <f>IFERROR(__xludf.DUMMYFUNCTION("GOOGLETRANSLATE(B14988, ""en"", ""fa"")
"),"درآمد غیرفعال")</f>
        <v>درآمد غیرفعال</v>
      </c>
      <c r="G14988" s="1" t="str">
        <f>IFERROR(__xludf.DUMMYFUNCTION("GOOGLETRANSLATE(C14988, ""en"", ""fa"")
"),"در مورد اهمیت بهینه سازی پاسخگویی تلفن همراه فروشگاه خود و تجربه کاربری برای افزایش تبدیل بحث کنید.")</f>
        <v>در مورد اهمیت بهینه سازی پاسخگویی تلفن همراه فروشگاه خود و تجربه کاربری برای افزایش تبدیل بحث کنید.</v>
      </c>
      <c r="H14988" s="1"/>
      <c r="I14988" s="1"/>
      <c r="J14988" s="1"/>
      <c r="K14988" s="1"/>
      <c r="L14988" s="1"/>
      <c r="M14988" s="1"/>
      <c r="N14988" s="1"/>
      <c r="O14988" s="1"/>
      <c r="P14988" s="1"/>
      <c r="Q14988" s="1"/>
      <c r="R14988" s="1"/>
      <c r="S14988" s="1"/>
      <c r="T14988" s="1"/>
      <c r="U14988" s="1"/>
      <c r="V14988" s="1"/>
      <c r="W14988" s="1"/>
      <c r="X14988" s="1"/>
      <c r="Y14988" s="1"/>
      <c r="Z14988" s="1"/>
      <c r="AA14988" s="1"/>
      <c r="AB14988" s="1"/>
    </row>
    <row r="14989" ht="50.25" customHeight="1">
      <c r="A14989" s="12">
        <v>14985.0</v>
      </c>
      <c r="B14989" s="13" t="s">
        <v>13838</v>
      </c>
      <c r="C14989" s="14" t="s">
        <v>14225</v>
      </c>
      <c r="D14989" s="1"/>
      <c r="E14989" s="1"/>
      <c r="F14989" s="1" t="str">
        <f>IFERROR(__xludf.DUMMYFUNCTION("GOOGLETRANSLATE(B14989, ""en"", ""fa"")
"),"درآمد غیرفعال")</f>
        <v>درآمد غیرفعال</v>
      </c>
      <c r="G14989" s="1" t="str">
        <f>IFERROR(__xludf.DUMMYFUNCTION("GOOGLETRANSLATE(C14989, ""en"", ""fa"")
"),"پتانسیل استفاده از اینفلوئنسر مارکتینگ و محتوای تولید شده توسط کاربر را برای نمایش محصولات dropshipping خود کاوش کنید.")</f>
        <v>پتانسیل استفاده از اینفلوئنسر مارکتینگ و محتوای تولید شده توسط کاربر را برای نمایش محصولات dropshipping خود کاوش کنید.</v>
      </c>
      <c r="H14989" s="1"/>
      <c r="I14989" s="1"/>
      <c r="J14989" s="1"/>
      <c r="K14989" s="1"/>
      <c r="L14989" s="1"/>
      <c r="M14989" s="1"/>
      <c r="N14989" s="1"/>
      <c r="O14989" s="1"/>
      <c r="P14989" s="1"/>
      <c r="Q14989" s="1"/>
      <c r="R14989" s="1"/>
      <c r="S14989" s="1"/>
      <c r="T14989" s="1"/>
      <c r="U14989" s="1"/>
      <c r="V14989" s="1"/>
      <c r="W14989" s="1"/>
      <c r="X14989" s="1"/>
      <c r="Y14989" s="1"/>
      <c r="Z14989" s="1"/>
      <c r="AA14989" s="1"/>
      <c r="AB14989" s="1"/>
    </row>
    <row r="14990" ht="50.25" customHeight="1">
      <c r="A14990" s="12">
        <v>14986.0</v>
      </c>
      <c r="B14990" s="13" t="s">
        <v>13838</v>
      </c>
      <c r="C14990" s="14" t="s">
        <v>14226</v>
      </c>
      <c r="D14990" s="1"/>
      <c r="E14990" s="1"/>
      <c r="F14990" s="1" t="str">
        <f>IFERROR(__xludf.DUMMYFUNCTION("GOOGLETRANSLATE(B14990, ""en"", ""fa"")
"),"درآمد غیرفعال")</f>
        <v>درآمد غیرفعال</v>
      </c>
      <c r="G14990" s="1" t="str">
        <f>IFERROR(__xludf.DUMMYFUNCTION("GOOGLETRANSLATE(C14990, ""en"", ""fa"")
"),"کارآفرینان از چه استراتژی هایی می توانند برای رسیدگی موثر به سوالات مشتری و ارائه پشتیبانی برجسته استفاده کنند؟")</f>
        <v>کارآفرینان از چه استراتژی هایی می توانند برای رسیدگی موثر به سوالات مشتری و ارائه پشتیبانی برجسته استفاده کنند؟</v>
      </c>
      <c r="H14990" s="1"/>
      <c r="I14990" s="1"/>
      <c r="J14990" s="1"/>
      <c r="K14990" s="1"/>
      <c r="L14990" s="1"/>
      <c r="M14990" s="1"/>
      <c r="N14990" s="1"/>
      <c r="O14990" s="1"/>
      <c r="P14990" s="1"/>
      <c r="Q14990" s="1"/>
      <c r="R14990" s="1"/>
      <c r="S14990" s="1"/>
      <c r="T14990" s="1"/>
      <c r="U14990" s="1"/>
      <c r="V14990" s="1"/>
      <c r="W14990" s="1"/>
      <c r="X14990" s="1"/>
      <c r="Y14990" s="1"/>
      <c r="Z14990" s="1"/>
      <c r="AA14990" s="1"/>
      <c r="AB14990" s="1"/>
    </row>
    <row r="14991" ht="50.25" customHeight="1">
      <c r="A14991" s="12">
        <v>14987.0</v>
      </c>
      <c r="B14991" s="13" t="s">
        <v>13838</v>
      </c>
      <c r="C14991" s="14" t="s">
        <v>14227</v>
      </c>
      <c r="D14991" s="1"/>
      <c r="E14991" s="1"/>
      <c r="F14991" s="1" t="str">
        <f>IFERROR(__xludf.DUMMYFUNCTION("GOOGLETRANSLATE(B14991, ""en"", ""fa"")
"),"درآمد غیرفعال")</f>
        <v>درآمد غیرفعال</v>
      </c>
      <c r="G14991" s="1" t="str">
        <f>IFERROR(__xludf.DUMMYFUNCTION("GOOGLETRANSLATE(C14991, ""en"", ""fa"")
"),"در مورد نقش اثبات اجتماعی و توصیفات مشتری در ایجاد اعتبار و اعتماد برای فروشگاه dropshipping خود بحث کنید.")</f>
        <v>در مورد نقش اثبات اجتماعی و توصیفات مشتری در ایجاد اعتبار و اعتماد برای فروشگاه dropshipping خود بحث کنید.</v>
      </c>
      <c r="H14991" s="1"/>
      <c r="I14991" s="1"/>
      <c r="J14991" s="1"/>
      <c r="K14991" s="1"/>
      <c r="L14991" s="1"/>
      <c r="M14991" s="1"/>
      <c r="N14991" s="1"/>
      <c r="O14991" s="1"/>
      <c r="P14991" s="1"/>
      <c r="Q14991" s="1"/>
      <c r="R14991" s="1"/>
      <c r="S14991" s="1"/>
      <c r="T14991" s="1"/>
      <c r="U14991" s="1"/>
      <c r="V14991" s="1"/>
      <c r="W14991" s="1"/>
      <c r="X14991" s="1"/>
      <c r="Y14991" s="1"/>
      <c r="Z14991" s="1"/>
      <c r="AA14991" s="1"/>
      <c r="AB14991" s="1"/>
    </row>
    <row r="14992" ht="50.25" customHeight="1">
      <c r="A14992" s="12">
        <v>14988.0</v>
      </c>
      <c r="B14992" s="13" t="s">
        <v>13838</v>
      </c>
      <c r="C14992" s="14" t="s">
        <v>14228</v>
      </c>
      <c r="D14992" s="1"/>
      <c r="E14992" s="1"/>
      <c r="F14992" s="1" t="str">
        <f>IFERROR(__xludf.DUMMYFUNCTION("GOOGLETRANSLATE(B14992, ""en"", ""fa"")
"),"درآمد غیرفعال")</f>
        <v>درآمد غیرفعال</v>
      </c>
      <c r="G14992" s="1" t="str">
        <f>IFERROR(__xludf.DUMMYFUNCTION("GOOGLETRANSLATE(C14992, ""en"", ""fa"")
"),"تأثیر استفاده از تاکتیک‌های کمبود و فوریت را برای تشویق خریدهای سریع در کسب و کار Dropshipping خودکار خود بررسی کنید.")</f>
        <v>تأثیر استفاده از تاکتیک‌های کمبود و فوریت را برای تشویق خریدهای سریع در کسب و کار Dropshipping خودکار خود بررسی کنید.</v>
      </c>
      <c r="H14992" s="1"/>
      <c r="I14992" s="1"/>
      <c r="J14992" s="1"/>
      <c r="K14992" s="1"/>
      <c r="L14992" s="1"/>
      <c r="M14992" s="1"/>
      <c r="N14992" s="1"/>
      <c r="O14992" s="1"/>
      <c r="P14992" s="1"/>
      <c r="Q14992" s="1"/>
      <c r="R14992" s="1"/>
      <c r="S14992" s="1"/>
      <c r="T14992" s="1"/>
      <c r="U14992" s="1"/>
      <c r="V14992" s="1"/>
      <c r="W14992" s="1"/>
      <c r="X14992" s="1"/>
      <c r="Y14992" s="1"/>
      <c r="Z14992" s="1"/>
      <c r="AA14992" s="1"/>
      <c r="AB14992" s="1"/>
    </row>
    <row r="14993" ht="50.25" customHeight="1">
      <c r="A14993" s="12">
        <v>14989.0</v>
      </c>
      <c r="B14993" s="13" t="s">
        <v>13838</v>
      </c>
      <c r="C14993" s="14" t="s">
        <v>14229</v>
      </c>
      <c r="D14993" s="1"/>
      <c r="E14993" s="1"/>
      <c r="F14993" s="1" t="str">
        <f>IFERROR(__xludf.DUMMYFUNCTION("GOOGLETRANSLATE(B14993, ""en"", ""fa"")
"),"درآمد غیرفعال")</f>
        <v>درآمد غیرفعال</v>
      </c>
      <c r="G14993" s="1" t="str">
        <f>IFERROR(__xludf.DUMMYFUNCTION("GOOGLETRANSLATE(C14993, ""en"", ""fa"")
"),"چگونه کارآفرینان می توانند از قیمت گذاری پویا و فروش فلش برای افزایش فروش و تبدیل در فروشگاه dropshipping خود استفاده کنند؟")</f>
        <v>چگونه کارآفرینان می توانند از قیمت گذاری پویا و فروش فلش برای افزایش فروش و تبدیل در فروشگاه dropshipping خود استفاده کنند؟</v>
      </c>
      <c r="H14993" s="1"/>
      <c r="I14993" s="1"/>
      <c r="J14993" s="1"/>
      <c r="K14993" s="1"/>
      <c r="L14993" s="1"/>
      <c r="M14993" s="1"/>
      <c r="N14993" s="1"/>
      <c r="O14993" s="1"/>
      <c r="P14993" s="1"/>
      <c r="Q14993" s="1"/>
      <c r="R14993" s="1"/>
      <c r="S14993" s="1"/>
      <c r="T14993" s="1"/>
      <c r="U14993" s="1"/>
      <c r="V14993" s="1"/>
      <c r="W14993" s="1"/>
      <c r="X14993" s="1"/>
      <c r="Y14993" s="1"/>
      <c r="Z14993" s="1"/>
      <c r="AA14993" s="1"/>
      <c r="AB14993" s="1"/>
    </row>
    <row r="14994" ht="50.25" customHeight="1">
      <c r="A14994" s="12">
        <v>14990.0</v>
      </c>
      <c r="B14994" s="13" t="s">
        <v>13838</v>
      </c>
      <c r="C14994" s="14" t="s">
        <v>14230</v>
      </c>
      <c r="D14994" s="1"/>
      <c r="E14994" s="1"/>
      <c r="F14994" s="1" t="str">
        <f>IFERROR(__xludf.DUMMYFUNCTION("GOOGLETRANSLATE(B14994, ""en"", ""fa"")
"),"درآمد غیرفعال")</f>
        <v>درآمد غیرفعال</v>
      </c>
      <c r="G14994" s="1" t="str">
        <f>IFERROR(__xludf.DUMMYFUNCTION("GOOGLETRANSLATE(C14994, ""en"", ""fa"")
"),"در مورد مفهوم استفاده از کمپین‌های هدف‌گذاری مجدد و بازاریابی مجدد برای جذب مجدد بازدیدکنندگانی که قبلاً با فروشگاه شما تعامل داشته‌اند، بحث کنید.")</f>
        <v>در مورد مفهوم استفاده از کمپین‌های هدف‌گذاری مجدد و بازاریابی مجدد برای جذب مجدد بازدیدکنندگانی که قبلاً با فروشگاه شما تعامل داشته‌اند، بحث کنید.</v>
      </c>
      <c r="H14994" s="1"/>
      <c r="I14994" s="1"/>
      <c r="J14994" s="1"/>
      <c r="K14994" s="1"/>
      <c r="L14994" s="1"/>
      <c r="M14994" s="1"/>
      <c r="N14994" s="1"/>
      <c r="O14994" s="1"/>
      <c r="P14994" s="1"/>
      <c r="Q14994" s="1"/>
      <c r="R14994" s="1"/>
      <c r="S14994" s="1"/>
      <c r="T14994" s="1"/>
      <c r="U14994" s="1"/>
      <c r="V14994" s="1"/>
      <c r="W14994" s="1"/>
      <c r="X14994" s="1"/>
      <c r="Y14994" s="1"/>
      <c r="Z14994" s="1"/>
      <c r="AA14994" s="1"/>
      <c r="AB14994" s="1"/>
    </row>
    <row r="14995" ht="50.25" customHeight="1">
      <c r="A14995" s="12">
        <v>14991.0</v>
      </c>
      <c r="B14995" s="13" t="s">
        <v>13838</v>
      </c>
      <c r="C14995" s="14" t="s">
        <v>14231</v>
      </c>
      <c r="D14995" s="1"/>
      <c r="E14995" s="1"/>
      <c r="F14995" s="1" t="str">
        <f>IFERROR(__xludf.DUMMYFUNCTION("GOOGLETRANSLATE(B14995, ""en"", ""fa"")
"),"درآمد غیرفعال")</f>
        <v>درآمد غیرفعال</v>
      </c>
      <c r="G14995" s="1" t="str">
        <f>IFERROR(__xludf.DUMMYFUNCTION("GOOGLETRANSLATE(C14995, ""en"", ""fa"")
"),"بهینه سازی موتور جستجو (SEO) چه نقشی در هدایت ترافیک ارگانیک و دیده شدن به وب سایت dropshipping شما دارد؟")</f>
        <v>بهینه سازی موتور جستجو (SEO) چه نقشی در هدایت ترافیک ارگانیک و دیده شدن به وب سایت dropshipping شما دارد؟</v>
      </c>
      <c r="H14995" s="1"/>
      <c r="I14995" s="1"/>
      <c r="J14995" s="1"/>
      <c r="K14995" s="1"/>
      <c r="L14995" s="1"/>
      <c r="M14995" s="1"/>
      <c r="N14995" s="1"/>
      <c r="O14995" s="1"/>
      <c r="P14995" s="1"/>
      <c r="Q14995" s="1"/>
      <c r="R14995" s="1"/>
      <c r="S14995" s="1"/>
      <c r="T14995" s="1"/>
      <c r="U14995" s="1"/>
      <c r="V14995" s="1"/>
      <c r="W14995" s="1"/>
      <c r="X14995" s="1"/>
      <c r="Y14995" s="1"/>
      <c r="Z14995" s="1"/>
      <c r="AA14995" s="1"/>
      <c r="AB14995" s="1"/>
    </row>
    <row r="14996" ht="50.25" customHeight="1">
      <c r="A14996" s="12">
        <v>14992.0</v>
      </c>
      <c r="B14996" s="13" t="s">
        <v>13838</v>
      </c>
      <c r="C14996" s="14" t="s">
        <v>14232</v>
      </c>
      <c r="D14996" s="1"/>
      <c r="E14996" s="1"/>
      <c r="F14996" s="1" t="str">
        <f>IFERROR(__xludf.DUMMYFUNCTION("GOOGLETRANSLATE(B14996, ""en"", ""fa"")
"),"درآمد غیرفعال")</f>
        <v>درآمد غیرفعال</v>
      </c>
      <c r="G14996" s="1" t="str">
        <f>IFERROR(__xludf.DUMMYFUNCTION("GOOGLETRANSLATE(C14996, ""en"", ""fa"")
"),"پتانسیل ارائه برنامه‌های وفاداری و پاداش برای تشویق مجدد خرید از مشتریان را بررسی کنید.")</f>
        <v>پتانسیل ارائه برنامه‌های وفاداری و پاداش برای تشویق مجدد خرید از مشتریان را بررسی کنید.</v>
      </c>
      <c r="H14996" s="1"/>
      <c r="I14996" s="1"/>
      <c r="J14996" s="1"/>
      <c r="K14996" s="1"/>
      <c r="L14996" s="1"/>
      <c r="M14996" s="1"/>
      <c r="N14996" s="1"/>
      <c r="O14996" s="1"/>
      <c r="P14996" s="1"/>
      <c r="Q14996" s="1"/>
      <c r="R14996" s="1"/>
      <c r="S14996" s="1"/>
      <c r="T14996" s="1"/>
      <c r="U14996" s="1"/>
      <c r="V14996" s="1"/>
      <c r="W14996" s="1"/>
      <c r="X14996" s="1"/>
      <c r="Y14996" s="1"/>
      <c r="Z14996" s="1"/>
      <c r="AA14996" s="1"/>
      <c r="AB14996" s="1"/>
    </row>
    <row r="14997" ht="50.25" customHeight="1">
      <c r="A14997" s="12">
        <v>14993.0</v>
      </c>
      <c r="B14997" s="13" t="s">
        <v>13838</v>
      </c>
      <c r="C14997" s="14" t="s">
        <v>14233</v>
      </c>
      <c r="D14997" s="1"/>
      <c r="E14997" s="1"/>
      <c r="F14997" s="1" t="str">
        <f>IFERROR(__xludf.DUMMYFUNCTION("GOOGLETRANSLATE(B14997, ""en"", ""fa"")
"),"درآمد غیرفعال")</f>
        <v>درآمد غیرفعال</v>
      </c>
      <c r="G14997" s="1" t="str">
        <f>IFERROR(__xludf.DUMMYFUNCTION("GOOGLETRANSLATE(C14997, ""en"", ""fa"")
"),"چگونه کارآفرینان می توانند سطوح موجودی را به طور موثر مدیریت کنند و از گرانی در فروشگاه dropshipping خود جلوگیری کنند؟")</f>
        <v>چگونه کارآفرینان می توانند سطوح موجودی را به طور موثر مدیریت کنند و از گرانی در فروشگاه dropshipping خود جلوگیری کنند؟</v>
      </c>
      <c r="H14997" s="1"/>
      <c r="I14997" s="1"/>
      <c r="J14997" s="1"/>
      <c r="K14997" s="1"/>
      <c r="L14997" s="1"/>
      <c r="M14997" s="1"/>
      <c r="N14997" s="1"/>
      <c r="O14997" s="1"/>
      <c r="P14997" s="1"/>
      <c r="Q14997" s="1"/>
      <c r="R14997" s="1"/>
      <c r="S14997" s="1"/>
      <c r="T14997" s="1"/>
      <c r="U14997" s="1"/>
      <c r="V14997" s="1"/>
      <c r="W14997" s="1"/>
      <c r="X14997" s="1"/>
      <c r="Y14997" s="1"/>
      <c r="Z14997" s="1"/>
      <c r="AA14997" s="1"/>
      <c r="AB14997" s="1"/>
    </row>
    <row r="14998" ht="50.25" customHeight="1">
      <c r="A14998" s="12">
        <v>14994.0</v>
      </c>
      <c r="B14998" s="13" t="s">
        <v>13838</v>
      </c>
      <c r="C14998" s="14" t="s">
        <v>14234</v>
      </c>
      <c r="D14998" s="1"/>
      <c r="E14998" s="1"/>
      <c r="F14998" s="1" t="str">
        <f>IFERROR(__xludf.DUMMYFUNCTION("GOOGLETRANSLATE(B14998, ""en"", ""fa"")
"),"درآمد غیرفعال")</f>
        <v>درآمد غیرفعال</v>
      </c>
      <c r="G14998" s="1" t="str">
        <f>IFERROR(__xludf.DUMMYFUNCTION("GOOGLETRANSLATE(C14998, ""en"", ""fa"")
"),"در مورد اهمیت ایجاد توضیحات محصول قانع کننده و استفاده از تکنیک های کپی رایتینگ متقاعد کننده بحث کنید.")</f>
        <v>در مورد اهمیت ایجاد توضیحات محصول قانع کننده و استفاده از تکنیک های کپی رایتینگ متقاعد کننده بحث کنید.</v>
      </c>
      <c r="H14998" s="1"/>
      <c r="I14998" s="1"/>
      <c r="J14998" s="1"/>
      <c r="K14998" s="1"/>
      <c r="L14998" s="1"/>
      <c r="M14998" s="1"/>
      <c r="N14998" s="1"/>
      <c r="O14998" s="1"/>
      <c r="P14998" s="1"/>
      <c r="Q14998" s="1"/>
      <c r="R14998" s="1"/>
      <c r="S14998" s="1"/>
      <c r="T14998" s="1"/>
      <c r="U14998" s="1"/>
      <c r="V14998" s="1"/>
      <c r="W14998" s="1"/>
      <c r="X14998" s="1"/>
      <c r="Y14998" s="1"/>
      <c r="Z14998" s="1"/>
      <c r="AA14998" s="1"/>
      <c r="AB14998" s="1"/>
    </row>
    <row r="14999" ht="50.25" customHeight="1">
      <c r="A14999" s="12">
        <v>14995.0</v>
      </c>
      <c r="B14999" s="13" t="s">
        <v>13838</v>
      </c>
      <c r="C14999" s="14" t="s">
        <v>14235</v>
      </c>
      <c r="D14999" s="1"/>
      <c r="E14999" s="1"/>
      <c r="F14999" s="1" t="str">
        <f>IFERROR(__xludf.DUMMYFUNCTION("GOOGLETRANSLATE(B14999, ""en"", ""fa"")
"),"درآمد غیرفعال")</f>
        <v>درآمد غیرفعال</v>
      </c>
      <c r="G14999" s="1" t="str">
        <f>IFERROR(__xludf.DUMMYFUNCTION("GOOGLETRANSLATE(C14999, ""en"", ""fa"")
"),"پتانسیل استفاده از ربات‌های گفتگو و پشتیبانی مشتری مبتنی بر هوش مصنوعی را برای بهبود تجربه خرید در فروشگاه dropshipping خود کاوش کنید.")</f>
        <v>پتانسیل استفاده از ربات‌های گفتگو و پشتیبانی مشتری مبتنی بر هوش مصنوعی را برای بهبود تجربه خرید در فروشگاه dropshipping خود کاوش کنید.</v>
      </c>
      <c r="H14999" s="1"/>
      <c r="I14999" s="1"/>
      <c r="J14999" s="1"/>
      <c r="K14999" s="1"/>
      <c r="L14999" s="1"/>
      <c r="M14999" s="1"/>
      <c r="N14999" s="1"/>
      <c r="O14999" s="1"/>
      <c r="P14999" s="1"/>
      <c r="Q14999" s="1"/>
      <c r="R14999" s="1"/>
      <c r="S14999" s="1"/>
      <c r="T14999" s="1"/>
      <c r="U14999" s="1"/>
      <c r="V14999" s="1"/>
      <c r="W14999" s="1"/>
      <c r="X14999" s="1"/>
      <c r="Y14999" s="1"/>
      <c r="Z14999" s="1"/>
      <c r="AA14999" s="1"/>
      <c r="AB14999" s="1"/>
    </row>
    <row r="15000" ht="50.25" customHeight="1">
      <c r="A15000" s="12">
        <v>14996.0</v>
      </c>
      <c r="B15000" s="13" t="s">
        <v>13838</v>
      </c>
      <c r="C15000" s="14" t="s">
        <v>14236</v>
      </c>
      <c r="D15000" s="1"/>
      <c r="E15000" s="1"/>
      <c r="F15000" s="1" t="str">
        <f>IFERROR(__xludf.DUMMYFUNCTION("GOOGLETRANSLATE(B15000, ""en"", ""fa"")
"),"درآمد غیرفعال")</f>
        <v>درآمد غیرفعال</v>
      </c>
      <c r="G15000" s="1" t="str">
        <f>IFERROR(__xludf.DUMMYFUNCTION("GOOGLETRANSLATE(C15000, ""en"", ""fa"")
"),"کارآفرینان از چه استراتژی هایی می توانند برای مدیریت و بهینه سازی موثر کمپین های تبلیغاتی پولی خود استفاده کنند؟")</f>
        <v>کارآفرینان از چه استراتژی هایی می توانند برای مدیریت و بهینه سازی موثر کمپین های تبلیغاتی پولی خود استفاده کنند؟</v>
      </c>
      <c r="H15000" s="1"/>
      <c r="I15000" s="1"/>
      <c r="J15000" s="1"/>
      <c r="K15000" s="1"/>
      <c r="L15000" s="1"/>
      <c r="M15000" s="1"/>
      <c r="N15000" s="1"/>
      <c r="O15000" s="1"/>
      <c r="P15000" s="1"/>
      <c r="Q15000" s="1"/>
      <c r="R15000" s="1"/>
      <c r="S15000" s="1"/>
      <c r="T15000" s="1"/>
      <c r="U15000" s="1"/>
      <c r="V15000" s="1"/>
      <c r="W15000" s="1"/>
      <c r="X15000" s="1"/>
      <c r="Y15000" s="1"/>
      <c r="Z15000" s="1"/>
      <c r="AA15000" s="1"/>
      <c r="AB15000" s="1"/>
    </row>
    <row r="15001" ht="50.25" customHeight="1">
      <c r="A15001" s="12">
        <v>14997.0</v>
      </c>
      <c r="B15001" s="13" t="s">
        <v>13838</v>
      </c>
      <c r="C15001" s="14" t="s">
        <v>14237</v>
      </c>
      <c r="D15001" s="1"/>
      <c r="E15001" s="1"/>
      <c r="F15001" s="1" t="str">
        <f>IFERROR(__xludf.DUMMYFUNCTION("GOOGLETRANSLATE(B15001, ""en"", ""fa"")
"),"درآمد غیرفعال")</f>
        <v>درآمد غیرفعال</v>
      </c>
      <c r="G15001" s="1" t="str">
        <f>IFERROR(__xludf.DUMMYFUNCTION("GOOGLETRANSLATE(C15001, ""en"", ""fa"")
"),"در مورد نقش تقسیم بندی مشتری و بازاریابی شخصی در افزایش تعامل و تبدیل مشتری بحث کنید.")</f>
        <v>در مورد نقش تقسیم بندی مشتری و بازاریابی شخصی در افزایش تعامل و تبدیل مشتری بحث کنید.</v>
      </c>
      <c r="H15001" s="1"/>
      <c r="I15001" s="1"/>
      <c r="J15001" s="1"/>
      <c r="K15001" s="1"/>
      <c r="L15001" s="1"/>
      <c r="M15001" s="1"/>
      <c r="N15001" s="1"/>
      <c r="O15001" s="1"/>
      <c r="P15001" s="1"/>
      <c r="Q15001" s="1"/>
      <c r="R15001" s="1"/>
      <c r="S15001" s="1"/>
      <c r="T15001" s="1"/>
      <c r="U15001" s="1"/>
      <c r="V15001" s="1"/>
      <c r="W15001" s="1"/>
      <c r="X15001" s="1"/>
      <c r="Y15001" s="1"/>
      <c r="Z15001" s="1"/>
      <c r="AA15001" s="1"/>
      <c r="AB15001" s="1"/>
    </row>
    <row r="15002" ht="50.25" customHeight="1">
      <c r="A15002" s="12">
        <v>14998.0</v>
      </c>
      <c r="B15002" s="13" t="s">
        <v>13838</v>
      </c>
      <c r="C15002" s="14" t="s">
        <v>14238</v>
      </c>
      <c r="D15002" s="1"/>
      <c r="E15002" s="1"/>
      <c r="F15002" s="1" t="str">
        <f>IFERROR(__xludf.DUMMYFUNCTION("GOOGLETRANSLATE(B15002, ""en"", ""fa"")
"),"درآمد غیرفعال")</f>
        <v>درآمد غیرفعال</v>
      </c>
      <c r="G15002" s="1" t="str">
        <f>IFERROR(__xludf.DUMMYFUNCTION("GOOGLETRANSLATE(C15002, ""en"", ""fa"")
"),"تأثیر استفاده از محتوای تولید شده توسط کاربر و تأثیرگذاران رسانه های اجتماعی در استراتژی های بازاریابی dropshipping خود را بررسی کنید.")</f>
        <v>تأثیر استفاده از محتوای تولید شده توسط کاربر و تأثیرگذاران رسانه های اجتماعی در استراتژی های بازاریابی dropshipping خود را بررسی کنید.</v>
      </c>
      <c r="H15002" s="1"/>
      <c r="I15002" s="1"/>
      <c r="J15002" s="1"/>
      <c r="K15002" s="1"/>
      <c r="L15002" s="1"/>
      <c r="M15002" s="1"/>
      <c r="N15002" s="1"/>
      <c r="O15002" s="1"/>
      <c r="P15002" s="1"/>
      <c r="Q15002" s="1"/>
      <c r="R15002" s="1"/>
      <c r="S15002" s="1"/>
      <c r="T15002" s="1"/>
      <c r="U15002" s="1"/>
      <c r="V15002" s="1"/>
      <c r="W15002" s="1"/>
      <c r="X15002" s="1"/>
      <c r="Y15002" s="1"/>
      <c r="Z15002" s="1"/>
      <c r="AA15002" s="1"/>
      <c r="AB15002" s="1"/>
    </row>
    <row r="15003" ht="50.25" customHeight="1">
      <c r="A15003" s="12">
        <v>14999.0</v>
      </c>
      <c r="B15003" s="13" t="s">
        <v>13838</v>
      </c>
      <c r="C15003" s="14" t="s">
        <v>14239</v>
      </c>
      <c r="D15003" s="1"/>
      <c r="E15003" s="1"/>
      <c r="F15003" s="1" t="str">
        <f>IFERROR(__xludf.DUMMYFUNCTION("GOOGLETRANSLATE(B15003, ""en"", ""fa"")
"),"درآمد غیرفعال")</f>
        <v>درآمد غیرفعال</v>
      </c>
      <c r="G15003" s="1" t="str">
        <f>IFERROR(__xludf.DUMMYFUNCTION("GOOGLETRANSLATE(C15003, ""en"", ""fa"")
"),"چگونه کارآفرینان می توانند از بازخورد و بینش مشتری برای بهبود مستمر محصولات ارائه شده در فروشگاه dropshipping خود استفاده کنند؟")</f>
        <v>چگونه کارآفرینان می توانند از بازخورد و بینش مشتری برای بهبود مستمر محصولات ارائه شده در فروشگاه dropshipping خود استفاده کنند؟</v>
      </c>
      <c r="H15003" s="1"/>
      <c r="I15003" s="1"/>
      <c r="J15003" s="1"/>
      <c r="K15003" s="1"/>
      <c r="L15003" s="1"/>
      <c r="M15003" s="1"/>
      <c r="N15003" s="1"/>
      <c r="O15003" s="1"/>
      <c r="P15003" s="1"/>
      <c r="Q15003" s="1"/>
      <c r="R15003" s="1"/>
      <c r="S15003" s="1"/>
      <c r="T15003" s="1"/>
      <c r="U15003" s="1"/>
      <c r="V15003" s="1"/>
      <c r="W15003" s="1"/>
      <c r="X15003" s="1"/>
      <c r="Y15003" s="1"/>
      <c r="Z15003" s="1"/>
      <c r="AA15003" s="1"/>
      <c r="AB15003" s="1"/>
    </row>
    <row r="15004" ht="50.25" customHeight="1">
      <c r="A15004" s="12">
        <v>15000.0</v>
      </c>
      <c r="B15004" s="13" t="s">
        <v>13838</v>
      </c>
      <c r="C15004" s="14" t="s">
        <v>14240</v>
      </c>
      <c r="D15004" s="1"/>
      <c r="E15004" s="1"/>
      <c r="F15004" s="1" t="str">
        <f>IFERROR(__xludf.DUMMYFUNCTION("GOOGLETRANSLATE(B15004, ""en"", ""fa"")
"),"درآمد غیرفعال")</f>
        <v>درآمد غیرفعال</v>
      </c>
      <c r="G15004" s="1" t="str">
        <f>IFERROR(__xludf.DUMMYFUNCTION("GOOGLETRANSLATE(C15004, ""en"", ""fa"")
"),"در مورد مفهوم استفاده از پلتفرم‌های رسانه‌های اجتماعی و ایجاد محتوا برای ایجاد یک جامعه وفادار حول برند dropshipping خود بحث کنید.")</f>
        <v>در مورد مفهوم استفاده از پلتفرم‌های رسانه‌های اجتماعی و ایجاد محتوا برای ایجاد یک جامعه وفادار حول برند dropshipping خود بحث کنید.</v>
      </c>
      <c r="H15004" s="1"/>
      <c r="I15004" s="1"/>
      <c r="J15004" s="1"/>
      <c r="K15004" s="1"/>
      <c r="L15004" s="1"/>
      <c r="M15004" s="1"/>
      <c r="N15004" s="1"/>
      <c r="O15004" s="1"/>
      <c r="P15004" s="1"/>
      <c r="Q15004" s="1"/>
      <c r="R15004" s="1"/>
      <c r="S15004" s="1"/>
      <c r="T15004" s="1"/>
      <c r="U15004" s="1"/>
      <c r="V15004" s="1"/>
      <c r="W15004" s="1"/>
      <c r="X15004" s="1"/>
      <c r="Y15004" s="1"/>
      <c r="Z15004" s="1"/>
      <c r="AA15004" s="1"/>
      <c r="AB15004" s="1"/>
    </row>
    <row r="15005" ht="50.25" customHeight="1">
      <c r="A15005" s="12">
        <v>15001.0</v>
      </c>
      <c r="B15005" s="13" t="s">
        <v>13838</v>
      </c>
      <c r="C15005" s="14" t="s">
        <v>14241</v>
      </c>
      <c r="D15005" s="1"/>
      <c r="E15005" s="1"/>
      <c r="F15005" s="1" t="str">
        <f>IFERROR(__xludf.DUMMYFUNCTION("GOOGLETRANSLATE(B15005, ""en"", ""fa"")
"),"درآمد غیرفعال")</f>
        <v>درآمد غیرفعال</v>
      </c>
      <c r="G15005" s="1" t="str">
        <f>IFERROR(__xludf.DUMMYFUNCTION("GOOGLETRANSLATE(C15005, ""en"", ""fa"")
"),"آموزش مشتری و محتوای آموزنده چه نقشی در پرورش سرنخ ها و تبدیل آنها به مشتری دارد؟")</f>
        <v>آموزش مشتری و محتوای آموزنده چه نقشی در پرورش سرنخ ها و تبدیل آنها به مشتری دارد؟</v>
      </c>
      <c r="H15005" s="1"/>
      <c r="I15005" s="1"/>
      <c r="J15005" s="1"/>
      <c r="K15005" s="1"/>
      <c r="L15005" s="1"/>
      <c r="M15005" s="1"/>
      <c r="N15005" s="1"/>
      <c r="O15005" s="1"/>
      <c r="P15005" s="1"/>
      <c r="Q15005" s="1"/>
      <c r="R15005" s="1"/>
      <c r="S15005" s="1"/>
      <c r="T15005" s="1"/>
      <c r="U15005" s="1"/>
      <c r="V15005" s="1"/>
      <c r="W15005" s="1"/>
      <c r="X15005" s="1"/>
      <c r="Y15005" s="1"/>
      <c r="Z15005" s="1"/>
      <c r="AA15005" s="1"/>
      <c r="AB15005" s="1"/>
    </row>
    <row r="15006" ht="50.25" customHeight="1">
      <c r="A15006" s="12">
        <v>15002.0</v>
      </c>
      <c r="B15006" s="13" t="s">
        <v>13838</v>
      </c>
      <c r="C15006" s="14" t="s">
        <v>14242</v>
      </c>
      <c r="D15006" s="1"/>
      <c r="E15006" s="1"/>
      <c r="F15006" s="1" t="str">
        <f>IFERROR(__xludf.DUMMYFUNCTION("GOOGLETRANSLATE(B15006, ""en"", ""fa"")
"),"درآمد غیرفعال")</f>
        <v>درآمد غیرفعال</v>
      </c>
      <c r="G15006" s="1" t="str">
        <f>IFERROR(__xludf.DUMMYFUNCTION("GOOGLETRANSLATE(C15006, ""en"", ""fa"")
"),"پتانسیل استفاده از هوش مصنوعی و یادگیری ماشین را برای بهینه سازی قیمت گذاری و مدیریت موجودی بررسی کنید.")</f>
        <v>پتانسیل استفاده از هوش مصنوعی و یادگیری ماشین را برای بهینه سازی قیمت گذاری و مدیریت موجودی بررسی کنید.</v>
      </c>
      <c r="H15006" s="1"/>
      <c r="I15006" s="1"/>
      <c r="J15006" s="1"/>
      <c r="K15006" s="1"/>
      <c r="L15006" s="1"/>
      <c r="M15006" s="1"/>
      <c r="N15006" s="1"/>
      <c r="O15006" s="1"/>
      <c r="P15006" s="1"/>
      <c r="Q15006" s="1"/>
      <c r="R15006" s="1"/>
      <c r="S15006" s="1"/>
      <c r="T15006" s="1"/>
      <c r="U15006" s="1"/>
      <c r="V15006" s="1"/>
      <c r="W15006" s="1"/>
      <c r="X15006" s="1"/>
      <c r="Y15006" s="1"/>
      <c r="Z15006" s="1"/>
      <c r="AA15006" s="1"/>
      <c r="AB15006" s="1"/>
    </row>
    <row r="15007" ht="50.25" customHeight="1">
      <c r="A15007" s="12">
        <v>15003.0</v>
      </c>
      <c r="B15007" s="13" t="s">
        <v>13838</v>
      </c>
      <c r="C15007" s="14" t="s">
        <v>14243</v>
      </c>
      <c r="D15007" s="1"/>
      <c r="E15007" s="1"/>
      <c r="F15007" s="1" t="str">
        <f>IFERROR(__xludf.DUMMYFUNCTION("GOOGLETRANSLATE(B15007, ""en"", ""fa"")
"),"درآمد غیرفعال")</f>
        <v>درآمد غیرفعال</v>
      </c>
      <c r="G15007" s="1" t="str">
        <f>IFERROR(__xludf.DUMMYFUNCTION("GOOGLETRANSLATE(C15007, ""en"", ""fa"")
"),"چگونه کارآفرینان می توانند به طور موثر از تقسیم بندی ایمیل و توصیه های شخصی برای خریدهای تکراری استفاده کنند؟")</f>
        <v>چگونه کارآفرینان می توانند به طور موثر از تقسیم بندی ایمیل و توصیه های شخصی برای خریدهای تکراری استفاده کنند؟</v>
      </c>
      <c r="H15007" s="1"/>
      <c r="I15007" s="1"/>
      <c r="J15007" s="1"/>
      <c r="K15007" s="1"/>
      <c r="L15007" s="1"/>
      <c r="M15007" s="1"/>
      <c r="N15007" s="1"/>
      <c r="O15007" s="1"/>
      <c r="P15007" s="1"/>
      <c r="Q15007" s="1"/>
      <c r="R15007" s="1"/>
      <c r="S15007" s="1"/>
      <c r="T15007" s="1"/>
      <c r="U15007" s="1"/>
      <c r="V15007" s="1"/>
      <c r="W15007" s="1"/>
      <c r="X15007" s="1"/>
      <c r="Y15007" s="1"/>
      <c r="Z15007" s="1"/>
      <c r="AA15007" s="1"/>
      <c r="AB15007" s="1"/>
    </row>
    <row r="15008" ht="50.25" customHeight="1">
      <c r="A15008" s="12">
        <v>15004.0</v>
      </c>
      <c r="B15008" s="13" t="s">
        <v>13838</v>
      </c>
      <c r="C15008" s="14" t="s">
        <v>14244</v>
      </c>
      <c r="D15008" s="1"/>
      <c r="E15008" s="1"/>
      <c r="F15008" s="1" t="str">
        <f>IFERROR(__xludf.DUMMYFUNCTION("GOOGLETRANSLATE(B15008, ""en"", ""fa"")
"),"درآمد غیرفعال")</f>
        <v>درآمد غیرفعال</v>
      </c>
      <c r="G15008" s="1" t="str">
        <f>IFERROR(__xludf.DUMMYFUNCTION("GOOGLETRANSLATE(C15008, ""en"", ""fa"")
"),"در مورد اهمیت حفظ شهرت قوی برای کیفیت محصول و رضایت مشتری در dropshipping بحث کنید.")</f>
        <v>در مورد اهمیت حفظ شهرت قوی برای کیفیت محصول و رضایت مشتری در dropshipping بحث کنید.</v>
      </c>
      <c r="H15008" s="1"/>
      <c r="I15008" s="1"/>
      <c r="J15008" s="1"/>
      <c r="K15008" s="1"/>
      <c r="L15008" s="1"/>
      <c r="M15008" s="1"/>
      <c r="N15008" s="1"/>
      <c r="O15008" s="1"/>
      <c r="P15008" s="1"/>
      <c r="Q15008" s="1"/>
      <c r="R15008" s="1"/>
      <c r="S15008" s="1"/>
      <c r="T15008" s="1"/>
      <c r="U15008" s="1"/>
      <c r="V15008" s="1"/>
      <c r="W15008" s="1"/>
      <c r="X15008" s="1"/>
      <c r="Y15008" s="1"/>
      <c r="Z15008" s="1"/>
      <c r="AA15008" s="1"/>
      <c r="AB15008" s="1"/>
    </row>
    <row r="15009" ht="50.25" customHeight="1">
      <c r="A15009" s="12">
        <v>15005.0</v>
      </c>
      <c r="B15009" s="13" t="s">
        <v>13838</v>
      </c>
      <c r="C15009" s="14" t="s">
        <v>14245</v>
      </c>
      <c r="D15009" s="1"/>
      <c r="E15009" s="1"/>
      <c r="F15009" s="1" t="str">
        <f>IFERROR(__xludf.DUMMYFUNCTION("GOOGLETRANSLATE(B15009, ""en"", ""fa"")
"),"درآمد غیرفعال")</f>
        <v>درآمد غیرفعال</v>
      </c>
      <c r="G15009" s="1" t="str">
        <f>IFERROR(__xludf.DUMMYFUNCTION("GOOGLETRANSLATE(C15009, ""en"", ""fa"")
"),"پتانسیل استفاده از ویدیوهای جعبه گشایی و توصیفات کاربران را برای نشان دادن ارزش محصولات خود کاوش کنید.")</f>
        <v>پتانسیل استفاده از ویدیوهای جعبه گشایی و توصیفات کاربران را برای نشان دادن ارزش محصولات خود کاوش کنید.</v>
      </c>
      <c r="H15009" s="1"/>
      <c r="I15009" s="1"/>
      <c r="J15009" s="1"/>
      <c r="K15009" s="1"/>
      <c r="L15009" s="1"/>
      <c r="M15009" s="1"/>
      <c r="N15009" s="1"/>
      <c r="O15009" s="1"/>
      <c r="P15009" s="1"/>
      <c r="Q15009" s="1"/>
      <c r="R15009" s="1"/>
      <c r="S15009" s="1"/>
      <c r="T15009" s="1"/>
      <c r="U15009" s="1"/>
      <c r="V15009" s="1"/>
      <c r="W15009" s="1"/>
      <c r="X15009" s="1"/>
      <c r="Y15009" s="1"/>
      <c r="Z15009" s="1"/>
      <c r="AA15009" s="1"/>
      <c r="AB15009" s="1"/>
    </row>
    <row r="15010" ht="50.25" customHeight="1">
      <c r="A15010" s="12">
        <v>15006.0</v>
      </c>
      <c r="B15010" s="13" t="s">
        <v>13838</v>
      </c>
      <c r="C15010" s="14" t="s">
        <v>14246</v>
      </c>
      <c r="D15010" s="1"/>
      <c r="E15010" s="1"/>
      <c r="F15010" s="1" t="str">
        <f>IFERROR(__xludf.DUMMYFUNCTION("GOOGLETRANSLATE(B15010, ""en"", ""fa"")
"),"درآمد غیرفعال")</f>
        <v>درآمد غیرفعال</v>
      </c>
      <c r="G15010" s="1" t="str">
        <f>IFERROR(__xludf.DUMMYFUNCTION("GOOGLETRANSLATE(C15010, ""en"", ""fa"")
"),"کارآفرینان از چه استراتژی‌هایی می‌توانند استفاده کنند تا به طور موثر تجارت dropshipping خود را افزایش دهند و حجم سفارشات را افزایش دهند؟")</f>
        <v>کارآفرینان از چه استراتژی‌هایی می‌توانند استفاده کنند تا به طور موثر تجارت dropshipping خود را افزایش دهند و حجم سفارشات را افزایش دهند؟</v>
      </c>
      <c r="H15010" s="1"/>
      <c r="I15010" s="1"/>
      <c r="J15010" s="1"/>
      <c r="K15010" s="1"/>
      <c r="L15010" s="1"/>
      <c r="M15010" s="1"/>
      <c r="N15010" s="1"/>
      <c r="O15010" s="1"/>
      <c r="P15010" s="1"/>
      <c r="Q15010" s="1"/>
      <c r="R15010" s="1"/>
      <c r="S15010" s="1"/>
      <c r="T15010" s="1"/>
      <c r="U15010" s="1"/>
      <c r="V15010" s="1"/>
      <c r="W15010" s="1"/>
      <c r="X15010" s="1"/>
      <c r="Y15010" s="1"/>
      <c r="Z15010" s="1"/>
      <c r="AA15010" s="1"/>
      <c r="AB15010" s="1"/>
    </row>
    <row r="15011" ht="50.25" customHeight="1">
      <c r="A15011" s="12">
        <v>15007.0</v>
      </c>
      <c r="B15011" s="13" t="s">
        <v>13838</v>
      </c>
      <c r="C15011" s="14" t="s">
        <v>14247</v>
      </c>
      <c r="D15011" s="1"/>
      <c r="E15011" s="1"/>
      <c r="F15011" s="1" t="str">
        <f>IFERROR(__xludf.DUMMYFUNCTION("GOOGLETRANSLATE(B15011, ""en"", ""fa"")
"),"درآمد غیرفعال")</f>
        <v>درآمد غیرفعال</v>
      </c>
      <c r="G15011" s="1" t="str">
        <f>IFERROR(__xludf.DUMMYFUNCTION("GOOGLETRANSLATE(C15011, ""en"", ""fa"")
"),"درباره نقش استراتژی های حفظ مشتری، مانند برنامه های وفاداری و پیشنهادات انحصاری، در حفظ موفقیت بلندمدت بحث کنید.")</f>
        <v>درباره نقش استراتژی های حفظ مشتری، مانند برنامه های وفاداری و پیشنهادات انحصاری، در حفظ موفقیت بلندمدت بحث کنید.</v>
      </c>
      <c r="H15011" s="1"/>
      <c r="I15011" s="1"/>
      <c r="J15011" s="1"/>
      <c r="K15011" s="1"/>
      <c r="L15011" s="1"/>
      <c r="M15011" s="1"/>
      <c r="N15011" s="1"/>
      <c r="O15011" s="1"/>
      <c r="P15011" s="1"/>
      <c r="Q15011" s="1"/>
      <c r="R15011" s="1"/>
      <c r="S15011" s="1"/>
      <c r="T15011" s="1"/>
      <c r="U15011" s="1"/>
      <c r="V15011" s="1"/>
      <c r="W15011" s="1"/>
      <c r="X15011" s="1"/>
      <c r="Y15011" s="1"/>
      <c r="Z15011" s="1"/>
      <c r="AA15011" s="1"/>
      <c r="AB15011" s="1"/>
    </row>
    <row r="15012" ht="50.25" customHeight="1">
      <c r="A15012" s="12">
        <v>15008.0</v>
      </c>
      <c r="B15012" s="13" t="s">
        <v>13838</v>
      </c>
      <c r="C15012" s="14" t="s">
        <v>14248</v>
      </c>
      <c r="D15012" s="1"/>
      <c r="E15012" s="1"/>
      <c r="F15012" s="1" t="str">
        <f>IFERROR(__xludf.DUMMYFUNCTION("GOOGLETRANSLATE(B15012, ""en"", ""fa"")
"),"درآمد غیرفعال")</f>
        <v>درآمد غیرفعال</v>
      </c>
      <c r="G15012" s="1" t="str">
        <f>IFERROR(__xludf.DUMMYFUNCTION("GOOGLETRANSLATE(C15012, ""en"", ""fa"")
"),"تاثیر ارائه حمل و نقل رایگان و گزینه های حمل و نقل رقابتی را برای افزایش تجربه مشتری بررسی کنید.")</f>
        <v>تاثیر ارائه حمل و نقل رایگان و گزینه های حمل و نقل رقابتی را برای افزایش تجربه مشتری بررسی کنید.</v>
      </c>
      <c r="H15012" s="1"/>
      <c r="I15012" s="1"/>
      <c r="J15012" s="1"/>
      <c r="K15012" s="1"/>
      <c r="L15012" s="1"/>
      <c r="M15012" s="1"/>
      <c r="N15012" s="1"/>
      <c r="O15012" s="1"/>
      <c r="P15012" s="1"/>
      <c r="Q15012" s="1"/>
      <c r="R15012" s="1"/>
      <c r="S15012" s="1"/>
      <c r="T15012" s="1"/>
      <c r="U15012" s="1"/>
      <c r="V15012" s="1"/>
      <c r="W15012" s="1"/>
      <c r="X15012" s="1"/>
      <c r="Y15012" s="1"/>
      <c r="Z15012" s="1"/>
      <c r="AA15012" s="1"/>
      <c r="AB15012" s="1"/>
    </row>
    <row r="15013" ht="50.25" customHeight="1">
      <c r="A15013" s="12">
        <v>15009.0</v>
      </c>
      <c r="B15013" s="13" t="s">
        <v>13838</v>
      </c>
      <c r="C15013" s="14" t="s">
        <v>14249</v>
      </c>
      <c r="D15013" s="1"/>
      <c r="E15013" s="1"/>
      <c r="F15013" s="1" t="str">
        <f>IFERROR(__xludf.DUMMYFUNCTION("GOOGLETRANSLATE(B15013, ""en"", ""fa"")
"),"درآمد غیرفعال")</f>
        <v>درآمد غیرفعال</v>
      </c>
      <c r="G15013" s="1" t="str">
        <f>IFERROR(__xludf.DUMMYFUNCTION("GOOGLETRANSLATE(C15013, ""en"", ""fa"")
"),"چگونه کارآفرینان می توانند از تبلیغات رسانه های اجتماعی و مشارکت اینفلوئنسرها برای هدایت ترافیک هدفمند به فروشگاه dropshipping خود استفاده کنند؟")</f>
        <v>چگونه کارآفرینان می توانند از تبلیغات رسانه های اجتماعی و مشارکت اینفلوئنسرها برای هدایت ترافیک هدفمند به فروشگاه dropshipping خود استفاده کنند؟</v>
      </c>
      <c r="H15013" s="1"/>
      <c r="I15013" s="1"/>
      <c r="J15013" s="1"/>
      <c r="K15013" s="1"/>
      <c r="L15013" s="1"/>
      <c r="M15013" s="1"/>
      <c r="N15013" s="1"/>
      <c r="O15013" s="1"/>
      <c r="P15013" s="1"/>
      <c r="Q15013" s="1"/>
      <c r="R15013" s="1"/>
      <c r="S15013" s="1"/>
      <c r="T15013" s="1"/>
      <c r="U15013" s="1"/>
      <c r="V15013" s="1"/>
      <c r="W15013" s="1"/>
      <c r="X15013" s="1"/>
      <c r="Y15013" s="1"/>
      <c r="Z15013" s="1"/>
      <c r="AA15013" s="1"/>
      <c r="AB15013" s="1"/>
    </row>
    <row r="15014" ht="50.25" customHeight="1">
      <c r="A15014" s="12">
        <v>15010.0</v>
      </c>
      <c r="B15014" s="13" t="s">
        <v>13838</v>
      </c>
      <c r="C15014" s="14" t="s">
        <v>14250</v>
      </c>
      <c r="D15014" s="1"/>
      <c r="E15014" s="1"/>
      <c r="F15014" s="1" t="str">
        <f>IFERROR(__xludf.DUMMYFUNCTION("GOOGLETRANSLATE(B15014, ""en"", ""fa"")
"),"درآمد غیرفعال")</f>
        <v>درآمد غیرفعال</v>
      </c>
      <c r="G15014" s="1" t="str">
        <f>IFERROR(__xludf.DUMMYFUNCTION("GOOGLETRANSLATE(C15014, ""en"", ""fa"")
"),"در مورد مفهوم استفاده از توصیه های محصول پویا و تجربه خرید شخصی در فروشگاه dropshipping خود بحث کنید.")</f>
        <v>در مورد مفهوم استفاده از توصیه های محصول پویا و تجربه خرید شخصی در فروشگاه dropshipping خود بحث کنید.</v>
      </c>
      <c r="H15014" s="1"/>
      <c r="I15014" s="1"/>
      <c r="J15014" s="1"/>
      <c r="K15014" s="1"/>
      <c r="L15014" s="1"/>
      <c r="M15014" s="1"/>
      <c r="N15014" s="1"/>
      <c r="O15014" s="1"/>
      <c r="P15014" s="1"/>
      <c r="Q15014" s="1"/>
      <c r="R15014" s="1"/>
      <c r="S15014" s="1"/>
      <c r="T15014" s="1"/>
      <c r="U15014" s="1"/>
      <c r="V15014" s="1"/>
      <c r="W15014" s="1"/>
      <c r="X15014" s="1"/>
      <c r="Y15014" s="1"/>
      <c r="Z15014" s="1"/>
      <c r="AA15014" s="1"/>
      <c r="AB15014" s="1"/>
    </row>
    <row r="15015" ht="50.25" customHeight="1">
      <c r="A15015" s="12">
        <v>15011.0</v>
      </c>
      <c r="B15015" s="13" t="s">
        <v>13838</v>
      </c>
      <c r="C15015" s="14" t="s">
        <v>14251</v>
      </c>
      <c r="D15015" s="1"/>
      <c r="E15015" s="1"/>
      <c r="F15015" s="1" t="str">
        <f>IFERROR(__xludf.DUMMYFUNCTION("GOOGLETRANSLATE(B15015, ""en"", ""fa"")
"),"درآمد غیرفعال")</f>
        <v>درآمد غیرفعال</v>
      </c>
      <c r="G15015" s="1" t="str">
        <f>IFERROR(__xludf.DUMMYFUNCTION("GOOGLETRANSLATE(C15015, ""en"", ""fa"")
"),"تقسیم بندی ایمیل و اتوماسیون چه نقشی در ارائه تبلیغات و پیشنهادات هدفمند به مشتریان دارد؟")</f>
        <v>تقسیم بندی ایمیل و اتوماسیون چه نقشی در ارائه تبلیغات و پیشنهادات هدفمند به مشتریان دارد؟</v>
      </c>
      <c r="H15015" s="1"/>
      <c r="I15015" s="1"/>
      <c r="J15015" s="1"/>
      <c r="K15015" s="1"/>
      <c r="L15015" s="1"/>
      <c r="M15015" s="1"/>
      <c r="N15015" s="1"/>
      <c r="O15015" s="1"/>
      <c r="P15015" s="1"/>
      <c r="Q15015" s="1"/>
      <c r="R15015" s="1"/>
      <c r="S15015" s="1"/>
      <c r="T15015" s="1"/>
      <c r="U15015" s="1"/>
      <c r="V15015" s="1"/>
      <c r="W15015" s="1"/>
      <c r="X15015" s="1"/>
      <c r="Y15015" s="1"/>
      <c r="Z15015" s="1"/>
      <c r="AA15015" s="1"/>
      <c r="AB15015" s="1"/>
    </row>
    <row r="15016" ht="50.25" customHeight="1">
      <c r="A15016" s="12">
        <v>15012.0</v>
      </c>
      <c r="B15016" s="13" t="s">
        <v>13838</v>
      </c>
      <c r="C15016" s="14" t="s">
        <v>14252</v>
      </c>
      <c r="D15016" s="1"/>
      <c r="E15016" s="1"/>
      <c r="F15016" s="1" t="str">
        <f>IFERROR(__xludf.DUMMYFUNCTION("GOOGLETRANSLATE(B15016, ""en"", ""fa"")
"),"درآمد غیرفعال")</f>
        <v>درآمد غیرفعال</v>
      </c>
      <c r="G15016" s="1" t="str">
        <f>IFERROR(__xludf.DUMMYFUNCTION("GOOGLETRANSLATE(C15016, ""en"", ""fa"")
"),"پتانسیل استفاده از تقسیم بندی مشتری و تجزیه و تحلیل رفتار برای سفارشی کردن پیام های بازاریابی و پیشنهادات محصول را بررسی کنید.")</f>
        <v>پتانسیل استفاده از تقسیم بندی مشتری و تجزیه و تحلیل رفتار برای سفارشی کردن پیام های بازاریابی و پیشنهادات محصول را بررسی کنید.</v>
      </c>
      <c r="H15016" s="1"/>
      <c r="I15016" s="1"/>
      <c r="J15016" s="1"/>
      <c r="K15016" s="1"/>
      <c r="L15016" s="1"/>
      <c r="M15016" s="1"/>
      <c r="N15016" s="1"/>
      <c r="O15016" s="1"/>
      <c r="P15016" s="1"/>
      <c r="Q15016" s="1"/>
      <c r="R15016" s="1"/>
      <c r="S15016" s="1"/>
      <c r="T15016" s="1"/>
      <c r="U15016" s="1"/>
      <c r="V15016" s="1"/>
      <c r="W15016" s="1"/>
      <c r="X15016" s="1"/>
      <c r="Y15016" s="1"/>
      <c r="Z15016" s="1"/>
      <c r="AA15016" s="1"/>
      <c r="AB15016" s="1"/>
    </row>
    <row r="15017" ht="50.25" customHeight="1">
      <c r="A15017" s="12">
        <v>15013.0</v>
      </c>
      <c r="B15017" s="13" t="s">
        <v>13838</v>
      </c>
      <c r="C15017" s="14" t="s">
        <v>14253</v>
      </c>
      <c r="D15017" s="1"/>
      <c r="E15017" s="1"/>
      <c r="F15017" s="1" t="str">
        <f>IFERROR(__xludf.DUMMYFUNCTION("GOOGLETRANSLATE(B15017, ""en"", ""fa"")
"),"درآمد غیرفعال")</f>
        <v>درآمد غیرفعال</v>
      </c>
      <c r="G15017" s="1" t="str">
        <f>IFERROR(__xludf.DUMMYFUNCTION("GOOGLETRANSLATE(C15017, ""en"", ""fa"")
"),"چگونه کارآفرینان می توانند انتظارات مشتری را به طور موثر مدیریت کنند و برآوردهای دقیق تحویل را در dropshipping ارائه دهند؟")</f>
        <v>چگونه کارآفرینان می توانند انتظارات مشتری را به طور موثر مدیریت کنند و برآوردهای دقیق تحویل را در dropshipping ارائه دهند؟</v>
      </c>
      <c r="H15017" s="1"/>
      <c r="I15017" s="1"/>
      <c r="J15017" s="1"/>
      <c r="K15017" s="1"/>
      <c r="L15017" s="1"/>
      <c r="M15017" s="1"/>
      <c r="N15017" s="1"/>
      <c r="O15017" s="1"/>
      <c r="P15017" s="1"/>
      <c r="Q15017" s="1"/>
      <c r="R15017" s="1"/>
      <c r="S15017" s="1"/>
      <c r="T15017" s="1"/>
      <c r="U15017" s="1"/>
      <c r="V15017" s="1"/>
      <c r="W15017" s="1"/>
      <c r="X15017" s="1"/>
      <c r="Y15017" s="1"/>
      <c r="Z15017" s="1"/>
      <c r="AA15017" s="1"/>
      <c r="AB15017" s="1"/>
    </row>
    <row r="15018" ht="50.25" customHeight="1">
      <c r="A15018" s="12">
        <v>15014.0</v>
      </c>
      <c r="B15018" s="13" t="s">
        <v>13838</v>
      </c>
      <c r="C15018" s="14" t="s">
        <v>14254</v>
      </c>
      <c r="D15018" s="1"/>
      <c r="E15018" s="1"/>
      <c r="F15018" s="1" t="str">
        <f>IFERROR(__xludf.DUMMYFUNCTION("GOOGLETRANSLATE(B15018, ""en"", ""fa"")
"),"درآمد غیرفعال")</f>
        <v>درآمد غیرفعال</v>
      </c>
      <c r="G15018" s="1" t="str">
        <f>IFERROR(__xludf.DUMMYFUNCTION("GOOGLETRANSLATE(C15018, ""en"", ""fa"")
"),"در مورد اهمیت ایجاد یک جامعه مشتری قوی و تعامل با مشتریان در پلتفرم های رسانه های اجتماعی بحث کنید.")</f>
        <v>در مورد اهمیت ایجاد یک جامعه مشتری قوی و تعامل با مشتریان در پلتفرم های رسانه های اجتماعی بحث کنید.</v>
      </c>
      <c r="H15018" s="1"/>
      <c r="I15018" s="1"/>
      <c r="J15018" s="1"/>
      <c r="K15018" s="1"/>
      <c r="L15018" s="1"/>
      <c r="M15018" s="1"/>
      <c r="N15018" s="1"/>
      <c r="O15018" s="1"/>
      <c r="P15018" s="1"/>
      <c r="Q15018" s="1"/>
      <c r="R15018" s="1"/>
      <c r="S15018" s="1"/>
      <c r="T15018" s="1"/>
      <c r="U15018" s="1"/>
      <c r="V15018" s="1"/>
      <c r="W15018" s="1"/>
      <c r="X15018" s="1"/>
      <c r="Y15018" s="1"/>
      <c r="Z15018" s="1"/>
      <c r="AA15018" s="1"/>
      <c r="AB15018" s="1"/>
    </row>
    <row r="15019" ht="50.25" customHeight="1">
      <c r="A15019" s="12">
        <v>15015.0</v>
      </c>
      <c r="B15019" s="13" t="s">
        <v>13838</v>
      </c>
      <c r="C15019" s="14" t="s">
        <v>14255</v>
      </c>
      <c r="D15019" s="1"/>
      <c r="E15019" s="1"/>
      <c r="F15019" s="1" t="str">
        <f>IFERROR(__xludf.DUMMYFUNCTION("GOOGLETRANSLATE(B15019, ""en"", ""fa"")
"),"درآمد غیرفعال")</f>
        <v>درآمد غیرفعال</v>
      </c>
      <c r="G15019" s="1" t="str">
        <f>IFERROR(__xludf.DUMMYFUNCTION("GOOGLETRANSLATE(C15019, ""en"", ""fa"")
"),"پتانسیل استفاده از مسابقات و هدایای محتوای تولید شده توسط کاربر را برای افزایش تعامل با نام تجاری بررسی کنید.")</f>
        <v>پتانسیل استفاده از مسابقات و هدایای محتوای تولید شده توسط کاربر را برای افزایش تعامل با نام تجاری بررسی کنید.</v>
      </c>
      <c r="H15019" s="1"/>
      <c r="I15019" s="1"/>
      <c r="J15019" s="1"/>
      <c r="K15019" s="1"/>
      <c r="L15019" s="1"/>
      <c r="M15019" s="1"/>
      <c r="N15019" s="1"/>
      <c r="O15019" s="1"/>
      <c r="P15019" s="1"/>
      <c r="Q15019" s="1"/>
      <c r="R15019" s="1"/>
      <c r="S15019" s="1"/>
      <c r="T15019" s="1"/>
      <c r="U15019" s="1"/>
      <c r="V15019" s="1"/>
      <c r="W15019" s="1"/>
      <c r="X15019" s="1"/>
      <c r="Y15019" s="1"/>
      <c r="Z15019" s="1"/>
      <c r="AA15019" s="1"/>
      <c r="AB15019" s="1"/>
    </row>
    <row r="15020" ht="50.25" customHeight="1">
      <c r="A15020" s="12">
        <v>15016.0</v>
      </c>
      <c r="B15020" s="13" t="s">
        <v>13838</v>
      </c>
      <c r="C15020" s="14" t="s">
        <v>14256</v>
      </c>
      <c r="D15020" s="1"/>
      <c r="E15020" s="1"/>
      <c r="F15020" s="1" t="str">
        <f>IFERROR(__xludf.DUMMYFUNCTION("GOOGLETRANSLATE(B15020, ""en"", ""fa"")
"),"درآمد غیرفعال")</f>
        <v>درآمد غیرفعال</v>
      </c>
      <c r="G15020" s="1" t="str">
        <f>IFERROR(__xludf.DUMMYFUNCTION("GOOGLETRANSLATE(C15020, ""en"", ""fa"")
"),"کارآفرینان از چه استراتژی هایی می توانند برای ایجاد یک فرآیند پرداخت یکپارچه و کاهش نرخ رها شدن سبد خرید استفاده کنند؟")</f>
        <v>کارآفرینان از چه استراتژی هایی می توانند برای ایجاد یک فرآیند پرداخت یکپارچه و کاهش نرخ رها شدن سبد خرید استفاده کنند؟</v>
      </c>
      <c r="H15020" s="1"/>
      <c r="I15020" s="1"/>
      <c r="J15020" s="1"/>
      <c r="K15020" s="1"/>
      <c r="L15020" s="1"/>
      <c r="M15020" s="1"/>
      <c r="N15020" s="1"/>
      <c r="O15020" s="1"/>
      <c r="P15020" s="1"/>
      <c r="Q15020" s="1"/>
      <c r="R15020" s="1"/>
      <c r="S15020" s="1"/>
      <c r="T15020" s="1"/>
      <c r="U15020" s="1"/>
      <c r="V15020" s="1"/>
      <c r="W15020" s="1"/>
      <c r="X15020" s="1"/>
      <c r="Y15020" s="1"/>
      <c r="Z15020" s="1"/>
      <c r="AA15020" s="1"/>
      <c r="AB15020" s="1"/>
    </row>
    <row r="15021" ht="50.25" customHeight="1">
      <c r="A15021" s="12">
        <v>15017.0</v>
      </c>
      <c r="B15021" s="13" t="s">
        <v>13838</v>
      </c>
      <c r="C15021" s="14" t="s">
        <v>14257</v>
      </c>
      <c r="D15021" s="1"/>
      <c r="E15021" s="1"/>
      <c r="F15021" s="1" t="str">
        <f>IFERROR(__xludf.DUMMYFUNCTION("GOOGLETRANSLATE(B15021, ""en"", ""fa"")
"),"درآمد غیرفعال")</f>
        <v>درآمد غیرفعال</v>
      </c>
      <c r="G15021" s="1" t="str">
        <f>IFERROR(__xludf.DUMMYFUNCTION("GOOGLETRANSLATE(C15021, ""en"", ""fa"")
"),"در مورد نقش بازخوردها و نظرات مشتریان در بهبود مستمر پیشنهادات محصول در فروشگاه dropshipping خود بحث کنید.")</f>
        <v>در مورد نقش بازخوردها و نظرات مشتریان در بهبود مستمر پیشنهادات محصول در فروشگاه dropshipping خود بحث کنید.</v>
      </c>
      <c r="H15021" s="1"/>
      <c r="I15021" s="1"/>
      <c r="J15021" s="1"/>
      <c r="K15021" s="1"/>
      <c r="L15021" s="1"/>
      <c r="M15021" s="1"/>
      <c r="N15021" s="1"/>
      <c r="O15021" s="1"/>
      <c r="P15021" s="1"/>
      <c r="Q15021" s="1"/>
      <c r="R15021" s="1"/>
      <c r="S15021" s="1"/>
      <c r="T15021" s="1"/>
      <c r="U15021" s="1"/>
      <c r="V15021" s="1"/>
      <c r="W15021" s="1"/>
      <c r="X15021" s="1"/>
      <c r="Y15021" s="1"/>
      <c r="Z15021" s="1"/>
      <c r="AA15021" s="1"/>
      <c r="AB15021" s="1"/>
    </row>
    <row r="15022" ht="50.25" customHeight="1">
      <c r="A15022" s="12">
        <v>15018.0</v>
      </c>
      <c r="B15022" s="13" t="s">
        <v>13838</v>
      </c>
      <c r="C15022" s="14" t="s">
        <v>14258</v>
      </c>
      <c r="D15022" s="1"/>
      <c r="E15022" s="1"/>
      <c r="F15022" s="1" t="str">
        <f>IFERROR(__xludf.DUMMYFUNCTION("GOOGLETRANSLATE(B15022, ""en"", ""fa"")
"),"درآمد غیرفعال")</f>
        <v>درآمد غیرفعال</v>
      </c>
      <c r="G15022" s="1" t="str">
        <f>IFERROR(__xludf.DUMMYFUNCTION("GOOGLETRANSLATE(C15022, ""en"", ""fa"")
"),"تأثیر ارائه پشتیبانی مشتری از طریق کانال‌های متعدد، مانند چت زنده و پیام‌رسانی در رسانه‌های اجتماعی را بررسی کنید.")</f>
        <v>تأثیر ارائه پشتیبانی مشتری از طریق کانال‌های متعدد، مانند چت زنده و پیام‌رسانی در رسانه‌های اجتماعی را بررسی کنید.</v>
      </c>
      <c r="H15022" s="1"/>
      <c r="I15022" s="1"/>
      <c r="J15022" s="1"/>
      <c r="K15022" s="1"/>
      <c r="L15022" s="1"/>
      <c r="M15022" s="1"/>
      <c r="N15022" s="1"/>
      <c r="O15022" s="1"/>
      <c r="P15022" s="1"/>
      <c r="Q15022" s="1"/>
      <c r="R15022" s="1"/>
      <c r="S15022" s="1"/>
      <c r="T15022" s="1"/>
      <c r="U15022" s="1"/>
      <c r="V15022" s="1"/>
      <c r="W15022" s="1"/>
      <c r="X15022" s="1"/>
      <c r="Y15022" s="1"/>
      <c r="Z15022" s="1"/>
      <c r="AA15022" s="1"/>
      <c r="AB15022" s="1"/>
    </row>
    <row r="15023" ht="50.25" customHeight="1">
      <c r="A15023" s="12">
        <v>15019.0</v>
      </c>
      <c r="B15023" s="13" t="s">
        <v>13838</v>
      </c>
      <c r="C15023" s="14" t="s">
        <v>14259</v>
      </c>
      <c r="D15023" s="1"/>
      <c r="E15023" s="1"/>
      <c r="F15023" s="1" t="str">
        <f>IFERROR(__xludf.DUMMYFUNCTION("GOOGLETRANSLATE(B15023, ""en"", ""fa"")
"),"درآمد غیرفعال")</f>
        <v>درآمد غیرفعال</v>
      </c>
      <c r="G15023" s="1" t="str">
        <f>IFERROR(__xludf.DUMMYFUNCTION("GOOGLETRANSLATE(C15023, ""en"", ""fa"")
"),"چگونه کارآفرینان می توانند از مشارکت اینفلوئنسرها و وبلاگ نویسی مهمان برای تولید بک لینک های ارگانیک و بهبود SEO برای فروشگاه dropshipping خود استفاده کنند؟")</f>
        <v>چگونه کارآفرینان می توانند از مشارکت اینفلوئنسرها و وبلاگ نویسی مهمان برای تولید بک لینک های ارگانیک و بهبود SEO برای فروشگاه dropshipping خود استفاده کنند؟</v>
      </c>
      <c r="H15023" s="1"/>
      <c r="I15023" s="1"/>
      <c r="J15023" s="1"/>
      <c r="K15023" s="1"/>
      <c r="L15023" s="1"/>
      <c r="M15023" s="1"/>
      <c r="N15023" s="1"/>
      <c r="O15023" s="1"/>
      <c r="P15023" s="1"/>
      <c r="Q15023" s="1"/>
      <c r="R15023" s="1"/>
      <c r="S15023" s="1"/>
      <c r="T15023" s="1"/>
      <c r="U15023" s="1"/>
      <c r="V15023" s="1"/>
      <c r="W15023" s="1"/>
      <c r="X15023" s="1"/>
      <c r="Y15023" s="1"/>
      <c r="Z15023" s="1"/>
      <c r="AA15023" s="1"/>
      <c r="AB15023" s="1"/>
    </row>
    <row r="15024" ht="50.25" customHeight="1">
      <c r="A15024" s="12">
        <v>15020.0</v>
      </c>
      <c r="B15024" s="13" t="s">
        <v>13838</v>
      </c>
      <c r="C15024" s="14" t="s">
        <v>14260</v>
      </c>
      <c r="D15024" s="1"/>
      <c r="E15024" s="1"/>
      <c r="F15024" s="1" t="str">
        <f>IFERROR(__xludf.DUMMYFUNCTION("GOOGLETRANSLATE(B15024, ""en"", ""fa"")
"),"درآمد غیرفعال")</f>
        <v>درآمد غیرفعال</v>
      </c>
      <c r="G15024" s="1" t="str">
        <f>IFERROR(__xludf.DUMMYFUNCTION("GOOGLETRANSLATE(C15024, ""en"", ""fa"")
"),"در مورد مفهوم استفاده از پیشنهادات کمیابی و زمان محدود برای افزایش فوریت و تبدیل در کمپین های dropshipping خود بحث کنید.")</f>
        <v>در مورد مفهوم استفاده از پیشنهادات کمیابی و زمان محدود برای افزایش فوریت و تبدیل در کمپین های dropshipping خود بحث کنید.</v>
      </c>
      <c r="H15024" s="1"/>
      <c r="I15024" s="1"/>
      <c r="J15024" s="1"/>
      <c r="K15024" s="1"/>
      <c r="L15024" s="1"/>
      <c r="M15024" s="1"/>
      <c r="N15024" s="1"/>
      <c r="O15024" s="1"/>
      <c r="P15024" s="1"/>
      <c r="Q15024" s="1"/>
      <c r="R15024" s="1"/>
      <c r="S15024" s="1"/>
      <c r="T15024" s="1"/>
      <c r="U15024" s="1"/>
      <c r="V15024" s="1"/>
      <c r="W15024" s="1"/>
      <c r="X15024" s="1"/>
      <c r="Y15024" s="1"/>
      <c r="Z15024" s="1"/>
      <c r="AA15024" s="1"/>
      <c r="AB15024" s="1"/>
    </row>
    <row r="15025" ht="50.25" customHeight="1">
      <c r="A15025" s="12">
        <v>15021.0</v>
      </c>
      <c r="B15025" s="13" t="s">
        <v>13838</v>
      </c>
      <c r="C15025" s="14" t="s">
        <v>14261</v>
      </c>
      <c r="D15025" s="1"/>
      <c r="E15025" s="1"/>
      <c r="F15025" s="1" t="str">
        <f>IFERROR(__xludf.DUMMYFUNCTION("GOOGLETRANSLATE(B15025, ""en"", ""fa"")
"),"درآمد غیرفعال")</f>
        <v>درآمد غیرفعال</v>
      </c>
      <c r="G15025" s="1" t="str">
        <f>IFERROR(__xludf.DUMMYFUNCTION("GOOGLETRANSLATE(C15025, ""en"", ""fa"")
"),"تجزیه و تحلیل و تقسیم بندی داده های مشتری چه نقشی در ایجاد تبلیغات و پیشنهادات برای بخش های مختلف مخاطب دارد؟")</f>
        <v>تجزیه و تحلیل و تقسیم بندی داده های مشتری چه نقشی در ایجاد تبلیغات و پیشنهادات برای بخش های مختلف مخاطب دارد؟</v>
      </c>
      <c r="H15025" s="1"/>
      <c r="I15025" s="1"/>
      <c r="J15025" s="1"/>
      <c r="K15025" s="1"/>
      <c r="L15025" s="1"/>
      <c r="M15025" s="1"/>
      <c r="N15025" s="1"/>
      <c r="O15025" s="1"/>
      <c r="P15025" s="1"/>
      <c r="Q15025" s="1"/>
      <c r="R15025" s="1"/>
      <c r="S15025" s="1"/>
      <c r="T15025" s="1"/>
      <c r="U15025" s="1"/>
      <c r="V15025" s="1"/>
      <c r="W15025" s="1"/>
      <c r="X15025" s="1"/>
      <c r="Y15025" s="1"/>
      <c r="Z15025" s="1"/>
      <c r="AA15025" s="1"/>
      <c r="AB15025" s="1"/>
    </row>
    <row r="15026" ht="50.25" customHeight="1">
      <c r="A15026" s="12">
        <v>15022.0</v>
      </c>
      <c r="B15026" s="13" t="s">
        <v>13838</v>
      </c>
      <c r="C15026" s="14" t="s">
        <v>14262</v>
      </c>
      <c r="D15026" s="1"/>
      <c r="E15026" s="1"/>
      <c r="F15026" s="1" t="str">
        <f>IFERROR(__xludf.DUMMYFUNCTION("GOOGLETRANSLATE(B15026, ""en"", ""fa"")
"),"درآمد غیرفعال")</f>
        <v>درآمد غیرفعال</v>
      </c>
      <c r="G15026" s="1" t="str">
        <f>IFERROR(__xludf.DUMMYFUNCTION("GOOGLETRANSLATE(C15026, ""en"", ""fa"")
"),"پتانسیل استفاده از پنجره‌های بازشو با هدف خروج و آهن‌رباهای سرب برای گرفتن آدرس‌های ایمیل و رشد فهرست مشترکین خود را بررسی کنید.")</f>
        <v>پتانسیل استفاده از پنجره‌های بازشو با هدف خروج و آهن‌رباهای سرب برای گرفتن آدرس‌های ایمیل و رشد فهرست مشترکین خود را بررسی کنید.</v>
      </c>
      <c r="H15026" s="1"/>
      <c r="I15026" s="1"/>
      <c r="J15026" s="1"/>
      <c r="K15026" s="1"/>
      <c r="L15026" s="1"/>
      <c r="M15026" s="1"/>
      <c r="N15026" s="1"/>
      <c r="O15026" s="1"/>
      <c r="P15026" s="1"/>
      <c r="Q15026" s="1"/>
      <c r="R15026" s="1"/>
      <c r="S15026" s="1"/>
      <c r="T15026" s="1"/>
      <c r="U15026" s="1"/>
      <c r="V15026" s="1"/>
      <c r="W15026" s="1"/>
      <c r="X15026" s="1"/>
      <c r="Y15026" s="1"/>
      <c r="Z15026" s="1"/>
      <c r="AA15026" s="1"/>
      <c r="AB15026" s="1"/>
    </row>
    <row r="15027" ht="50.25" customHeight="1">
      <c r="A15027" s="12">
        <v>15023.0</v>
      </c>
      <c r="B15027" s="13" t="s">
        <v>13838</v>
      </c>
      <c r="C15027" s="14" t="s">
        <v>14263</v>
      </c>
      <c r="D15027" s="1"/>
      <c r="E15027" s="1"/>
      <c r="F15027" s="1" t="str">
        <f>IFERROR(__xludf.DUMMYFUNCTION("GOOGLETRANSLATE(B15027, ""en"", ""fa"")
"),"درآمد غیرفعال")</f>
        <v>درآمد غیرفعال</v>
      </c>
      <c r="G15027" s="1" t="str">
        <f>IFERROR(__xludf.DUMMYFUNCTION("GOOGLETRANSLATE(C15027, ""en"", ""fa"")
"),"چگونه کارآفرینان می توانند به طور موثر از چت بات ها و پاسخ های مبتنی بر هوش مصنوعی برای ارائه پشتیبانی فوری مشتری استفاده کنند؟")</f>
        <v>چگونه کارآفرینان می توانند به طور موثر از چت بات ها و پاسخ های مبتنی بر هوش مصنوعی برای ارائه پشتیبانی فوری مشتری استفاده کنند؟</v>
      </c>
      <c r="H15027" s="1"/>
      <c r="I15027" s="1"/>
      <c r="J15027" s="1"/>
      <c r="K15027" s="1"/>
      <c r="L15027" s="1"/>
      <c r="M15027" s="1"/>
      <c r="N15027" s="1"/>
      <c r="O15027" s="1"/>
      <c r="P15027" s="1"/>
      <c r="Q15027" s="1"/>
      <c r="R15027" s="1"/>
      <c r="S15027" s="1"/>
      <c r="T15027" s="1"/>
      <c r="U15027" s="1"/>
      <c r="V15027" s="1"/>
      <c r="W15027" s="1"/>
      <c r="X15027" s="1"/>
      <c r="Y15027" s="1"/>
      <c r="Z15027" s="1"/>
      <c r="AA15027" s="1"/>
      <c r="AB15027" s="1"/>
    </row>
    <row r="15028" ht="50.25" customHeight="1">
      <c r="A15028" s="12">
        <v>15024.0</v>
      </c>
      <c r="B15028" s="13" t="s">
        <v>13838</v>
      </c>
      <c r="C15028" s="14" t="s">
        <v>14264</v>
      </c>
      <c r="D15028" s="1"/>
      <c r="E15028" s="1"/>
      <c r="F15028" s="1" t="str">
        <f>IFERROR(__xludf.DUMMYFUNCTION("GOOGLETRANSLATE(B15028, ""en"", ""fa"")
"),"درآمد غیرفعال")</f>
        <v>درآمد غیرفعال</v>
      </c>
      <c r="G15028" s="1" t="str">
        <f>IFERROR(__xludf.DUMMYFUNCTION("GOOGLETRANSLATE(C15028, ""en"", ""fa"")
"),"در مورد اهمیت بهینه سازی صفحات محصول خود برای موتورهای جستجو و بهبود سئوی کلی فروشگاه خود بحث کنید.")</f>
        <v>در مورد اهمیت بهینه سازی صفحات محصول خود برای موتورهای جستجو و بهبود سئوی کلی فروشگاه خود بحث کنید.</v>
      </c>
      <c r="H15028" s="1"/>
      <c r="I15028" s="1"/>
      <c r="J15028" s="1"/>
      <c r="K15028" s="1"/>
      <c r="L15028" s="1"/>
      <c r="M15028" s="1"/>
      <c r="N15028" s="1"/>
      <c r="O15028" s="1"/>
      <c r="P15028" s="1"/>
      <c r="Q15028" s="1"/>
      <c r="R15028" s="1"/>
      <c r="S15028" s="1"/>
      <c r="T15028" s="1"/>
      <c r="U15028" s="1"/>
      <c r="V15028" s="1"/>
      <c r="W15028" s="1"/>
      <c r="X15028" s="1"/>
      <c r="Y15028" s="1"/>
      <c r="Z15028" s="1"/>
      <c r="AA15028" s="1"/>
      <c r="AB15028" s="1"/>
    </row>
    <row r="15029" ht="50.25" customHeight="1">
      <c r="A15029" s="12">
        <v>15025.0</v>
      </c>
      <c r="B15029" s="13" t="s">
        <v>13838</v>
      </c>
      <c r="C15029" s="14" t="s">
        <v>14265</v>
      </c>
      <c r="D15029" s="1"/>
      <c r="E15029" s="1"/>
      <c r="F15029" s="1" t="str">
        <f>IFERROR(__xludf.DUMMYFUNCTION("GOOGLETRANSLATE(B15029, ""en"", ""fa"")
"),"درآمد غیرفعال")</f>
        <v>درآمد غیرفعال</v>
      </c>
      <c r="G15029" s="1" t="str">
        <f>IFERROR(__xludf.DUMMYFUNCTION("GOOGLETRANSLATE(C15029, ""en"", ""fa"")
"),"پتانسیل استفاده از تبلیغات رسانه‌های اجتماعی و هدف‌گیری مجدد برای بازگرداندن کاربرانی که قبلاً از فروشگاه شما بازدید کرده‌اند را بررسی کنید.")</f>
        <v>پتانسیل استفاده از تبلیغات رسانه‌های اجتماعی و هدف‌گیری مجدد برای بازگرداندن کاربرانی که قبلاً از فروشگاه شما بازدید کرده‌اند را بررسی کنید.</v>
      </c>
      <c r="H15029" s="1"/>
      <c r="I15029" s="1"/>
      <c r="J15029" s="1"/>
      <c r="K15029" s="1"/>
      <c r="L15029" s="1"/>
      <c r="M15029" s="1"/>
      <c r="N15029" s="1"/>
      <c r="O15029" s="1"/>
      <c r="P15029" s="1"/>
      <c r="Q15029" s="1"/>
      <c r="R15029" s="1"/>
      <c r="S15029" s="1"/>
      <c r="T15029" s="1"/>
      <c r="U15029" s="1"/>
      <c r="V15029" s="1"/>
      <c r="W15029" s="1"/>
      <c r="X15029" s="1"/>
      <c r="Y15029" s="1"/>
      <c r="Z15029" s="1"/>
      <c r="AA15029" s="1"/>
      <c r="AB15029" s="1"/>
    </row>
    <row r="15030" ht="50.25" customHeight="1">
      <c r="A15030" s="12">
        <v>15026.0</v>
      </c>
      <c r="B15030" s="13" t="s">
        <v>13838</v>
      </c>
      <c r="C15030" s="14" t="s">
        <v>14266</v>
      </c>
      <c r="D15030" s="1"/>
      <c r="E15030" s="1"/>
      <c r="F15030" s="1" t="str">
        <f>IFERROR(__xludf.DUMMYFUNCTION("GOOGLETRANSLATE(B15030, ""en"", ""fa"")
"),"درآمد غیرفعال")</f>
        <v>درآمد غیرفعال</v>
      </c>
      <c r="G15030" s="1" t="str">
        <f>IFERROR(__xludf.DUMMYFUNCTION("GOOGLETRANSLATE(C15030, ""en"", ""fa"")
"),"کارآفرینان از چه استراتژی هایی می توانند برای ایجاد اعتماد و اعتبار از طریق شفافیت و ارتباطات صادقانه استفاده کنند؟")</f>
        <v>کارآفرینان از چه استراتژی هایی می توانند برای ایجاد اعتماد و اعتبار از طریق شفافیت و ارتباطات صادقانه استفاده کنند؟</v>
      </c>
      <c r="H15030" s="1"/>
      <c r="I15030" s="1"/>
      <c r="J15030" s="1"/>
      <c r="K15030" s="1"/>
      <c r="L15030" s="1"/>
      <c r="M15030" s="1"/>
      <c r="N15030" s="1"/>
      <c r="O15030" s="1"/>
      <c r="P15030" s="1"/>
      <c r="Q15030" s="1"/>
      <c r="R15030" s="1"/>
      <c r="S15030" s="1"/>
      <c r="T15030" s="1"/>
      <c r="U15030" s="1"/>
      <c r="V15030" s="1"/>
      <c r="W15030" s="1"/>
      <c r="X15030" s="1"/>
      <c r="Y15030" s="1"/>
      <c r="Z15030" s="1"/>
      <c r="AA15030" s="1"/>
      <c r="AB15030" s="1"/>
    </row>
    <row r="15031" ht="50.25" customHeight="1">
      <c r="A15031" s="12">
        <v>15027.0</v>
      </c>
      <c r="B15031" s="13" t="s">
        <v>13838</v>
      </c>
      <c r="C15031" s="14" t="s">
        <v>14267</v>
      </c>
      <c r="D15031" s="1"/>
      <c r="E15031" s="1"/>
      <c r="F15031" s="1" t="str">
        <f>IFERROR(__xludf.DUMMYFUNCTION("GOOGLETRANSLATE(B15031, ""en"", ""fa"")
"),"درآمد غیرفعال")</f>
        <v>درآمد غیرفعال</v>
      </c>
      <c r="G15031" s="1" t="str">
        <f>IFERROR(__xludf.DUMMYFUNCTION("GOOGLETRANSLATE(C15031, ""en"", ""fa"")
"),"در مورد نقش استفاده از محتوای تولید شده توسط کاربر و توصیفات مشتری برای نشان دادن مزایای محصولات خود بحث کنید.")</f>
        <v>در مورد نقش استفاده از محتوای تولید شده توسط کاربر و توصیفات مشتری برای نشان دادن مزایای محصولات خود بحث کنید.</v>
      </c>
      <c r="H15031" s="1"/>
      <c r="I15031" s="1"/>
      <c r="J15031" s="1"/>
      <c r="K15031" s="1"/>
      <c r="L15031" s="1"/>
      <c r="M15031" s="1"/>
      <c r="N15031" s="1"/>
      <c r="O15031" s="1"/>
      <c r="P15031" s="1"/>
      <c r="Q15031" s="1"/>
      <c r="R15031" s="1"/>
      <c r="S15031" s="1"/>
      <c r="T15031" s="1"/>
      <c r="U15031" s="1"/>
      <c r="V15031" s="1"/>
      <c r="W15031" s="1"/>
      <c r="X15031" s="1"/>
      <c r="Y15031" s="1"/>
      <c r="Z15031" s="1"/>
      <c r="AA15031" s="1"/>
      <c r="AB15031" s="1"/>
    </row>
    <row r="15032" ht="50.25" customHeight="1">
      <c r="A15032" s="12">
        <v>15028.0</v>
      </c>
      <c r="B15032" s="13" t="s">
        <v>13838</v>
      </c>
      <c r="C15032" s="14" t="s">
        <v>14268</v>
      </c>
      <c r="D15032" s="1"/>
      <c r="E15032" s="1"/>
      <c r="F15032" s="1" t="str">
        <f>IFERROR(__xludf.DUMMYFUNCTION("GOOGLETRANSLATE(B15032, ""en"", ""fa"")
"),"درآمد غیرفعال")</f>
        <v>درآمد غیرفعال</v>
      </c>
      <c r="G15032" s="1" t="str">
        <f>IFERROR(__xludf.DUMMYFUNCTION("GOOGLETRANSLATE(C15032, ""en"", ""fa"")
"),"تاثیر ارائه معاملات بسته و محصولات مکمل برای افزایش میانگین ارزش معاملات را بررسی کنید.")</f>
        <v>تاثیر ارائه معاملات بسته و محصولات مکمل برای افزایش میانگین ارزش معاملات را بررسی کنید.</v>
      </c>
      <c r="H15032" s="1"/>
      <c r="I15032" s="1"/>
      <c r="J15032" s="1"/>
      <c r="K15032" s="1"/>
      <c r="L15032" s="1"/>
      <c r="M15032" s="1"/>
      <c r="N15032" s="1"/>
      <c r="O15032" s="1"/>
      <c r="P15032" s="1"/>
      <c r="Q15032" s="1"/>
      <c r="R15032" s="1"/>
      <c r="S15032" s="1"/>
      <c r="T15032" s="1"/>
      <c r="U15032" s="1"/>
      <c r="V15032" s="1"/>
      <c r="W15032" s="1"/>
      <c r="X15032" s="1"/>
      <c r="Y15032" s="1"/>
      <c r="Z15032" s="1"/>
      <c r="AA15032" s="1"/>
      <c r="AB15032" s="1"/>
    </row>
    <row r="15033" ht="50.25" customHeight="1">
      <c r="A15033" s="12">
        <v>15029.0</v>
      </c>
      <c r="B15033" s="13" t="s">
        <v>13838</v>
      </c>
      <c r="C15033" s="14" t="s">
        <v>14269</v>
      </c>
      <c r="D15033" s="1"/>
      <c r="E15033" s="1"/>
      <c r="F15033" s="1" t="str">
        <f>IFERROR(__xludf.DUMMYFUNCTION("GOOGLETRANSLATE(B15033, ""en"", ""fa"")
"),"درآمد غیرفعال")</f>
        <v>درآمد غیرفعال</v>
      </c>
      <c r="G15033" s="1" t="str">
        <f>IFERROR(__xludf.DUMMYFUNCTION("GOOGLETRANSLATE(C15033, ""en"", ""fa"")
"),"چگونه کارآفرینان می توانند از برنامه ها و مشوق های ارجاع برای تشویق مشتریان به ارجاع دیگران به فروشگاه dropshipping خود استفاده کنند؟")</f>
        <v>چگونه کارآفرینان می توانند از برنامه ها و مشوق های ارجاع برای تشویق مشتریان به ارجاع دیگران به فروشگاه dropshipping خود استفاده کنند؟</v>
      </c>
      <c r="H15033" s="1"/>
      <c r="I15033" s="1"/>
      <c r="J15033" s="1"/>
      <c r="K15033" s="1"/>
      <c r="L15033" s="1"/>
      <c r="M15033" s="1"/>
      <c r="N15033" s="1"/>
      <c r="O15033" s="1"/>
      <c r="P15033" s="1"/>
      <c r="Q15033" s="1"/>
      <c r="R15033" s="1"/>
      <c r="S15033" s="1"/>
      <c r="T15033" s="1"/>
      <c r="U15033" s="1"/>
      <c r="V15033" s="1"/>
      <c r="W15033" s="1"/>
      <c r="X15033" s="1"/>
      <c r="Y15033" s="1"/>
      <c r="Z15033" s="1"/>
      <c r="AA15033" s="1"/>
      <c r="AB15033" s="1"/>
    </row>
    <row r="15034" ht="50.25" customHeight="1">
      <c r="A15034" s="12">
        <v>15030.0</v>
      </c>
      <c r="B15034" s="13" t="s">
        <v>13838</v>
      </c>
      <c r="C15034" s="14" t="s">
        <v>14270</v>
      </c>
      <c r="D15034" s="1"/>
      <c r="E15034" s="1"/>
      <c r="F15034" s="1" t="str">
        <f>IFERROR(__xludf.DUMMYFUNCTION("GOOGLETRANSLATE(B15034, ""en"", ""fa"")
"),"درآمد غیرفعال")</f>
        <v>درآمد غیرفعال</v>
      </c>
      <c r="G15034" s="1" t="str">
        <f>IFERROR(__xludf.DUMMYFUNCTION("GOOGLETRANSLATE(C15034, ""en"", ""fa"")
"),"در مورد مفهوم استفاده از تست A/B و بهینه سازی نرخ تبدیل برای اصلاح طراحی و چیدمان فروشگاه dropshipping خود بحث کنید.")</f>
        <v>در مورد مفهوم استفاده از تست A/B و بهینه سازی نرخ تبدیل برای اصلاح طراحی و چیدمان فروشگاه dropshipping خود بحث کنید.</v>
      </c>
      <c r="H15034" s="1"/>
      <c r="I15034" s="1"/>
      <c r="J15034" s="1"/>
      <c r="K15034" s="1"/>
      <c r="L15034" s="1"/>
      <c r="M15034" s="1"/>
      <c r="N15034" s="1"/>
      <c r="O15034" s="1"/>
      <c r="P15034" s="1"/>
      <c r="Q15034" s="1"/>
      <c r="R15034" s="1"/>
      <c r="S15034" s="1"/>
      <c r="T15034" s="1"/>
      <c r="U15034" s="1"/>
      <c r="V15034" s="1"/>
      <c r="W15034" s="1"/>
      <c r="X15034" s="1"/>
      <c r="Y15034" s="1"/>
      <c r="Z15034" s="1"/>
      <c r="AA15034" s="1"/>
      <c r="AB15034" s="1"/>
    </row>
    <row r="15035" ht="50.25" customHeight="1">
      <c r="A15035" s="12">
        <v>15031.0</v>
      </c>
      <c r="B15035" s="13" t="s">
        <v>13838</v>
      </c>
      <c r="C15035" s="14" t="s">
        <v>14271</v>
      </c>
      <c r="D15035" s="1"/>
      <c r="E15035" s="1"/>
      <c r="F15035" s="1" t="str">
        <f>IFERROR(__xludf.DUMMYFUNCTION("GOOGLETRANSLATE(B15035, ""en"", ""fa"")
"),"درآمد غیرفعال")</f>
        <v>درآمد غیرفعال</v>
      </c>
      <c r="G15035" s="1" t="str">
        <f>IFERROR(__xludf.DUMMYFUNCTION("GOOGLETRANSLATE(C15035, ""en"", ""fa"")
"),"بازخورد و نظرات مشتری چه نقشی در تطبیق پیشنهادات محصول شما و رفع نیازهای مشتری دارد؟")</f>
        <v>بازخورد و نظرات مشتری چه نقشی در تطبیق پیشنهادات محصول شما و رفع نیازهای مشتری دارد؟</v>
      </c>
      <c r="H15035" s="1"/>
      <c r="I15035" s="1"/>
      <c r="J15035" s="1"/>
      <c r="K15035" s="1"/>
      <c r="L15035" s="1"/>
      <c r="M15035" s="1"/>
      <c r="N15035" s="1"/>
      <c r="O15035" s="1"/>
      <c r="P15035" s="1"/>
      <c r="Q15035" s="1"/>
      <c r="R15035" s="1"/>
      <c r="S15035" s="1"/>
      <c r="T15035" s="1"/>
      <c r="U15035" s="1"/>
      <c r="V15035" s="1"/>
      <c r="W15035" s="1"/>
      <c r="X15035" s="1"/>
      <c r="Y15035" s="1"/>
      <c r="Z15035" s="1"/>
      <c r="AA15035" s="1"/>
      <c r="AB15035" s="1"/>
    </row>
    <row r="15036" ht="50.25" customHeight="1">
      <c r="A15036" s="12">
        <v>15032.0</v>
      </c>
      <c r="B15036" s="13" t="s">
        <v>13838</v>
      </c>
      <c r="C15036" s="14" t="s">
        <v>14272</v>
      </c>
      <c r="D15036" s="1"/>
      <c r="E15036" s="1"/>
      <c r="F15036" s="1" t="str">
        <f>IFERROR(__xludf.DUMMYFUNCTION("GOOGLETRANSLATE(B15036, ""en"", ""fa"")
"),"درآمد غیرفعال")</f>
        <v>درآمد غیرفعال</v>
      </c>
      <c r="G15036" s="1" t="str">
        <f>IFERROR(__xludf.DUMMYFUNCTION("GOOGLETRANSLATE(C15036, ""en"", ""fa"")
"),"پتانسیل استفاده از تجزیه و تحلیل های پیشرفته و نقشه های حرارتی را برای شناسایی زمینه های بهبود در وب سایت فروشگاه خود بررسی کنید.")</f>
        <v>پتانسیل استفاده از تجزیه و تحلیل های پیشرفته و نقشه های حرارتی را برای شناسایی زمینه های بهبود در وب سایت فروشگاه خود بررسی کنید.</v>
      </c>
      <c r="H15036" s="1"/>
      <c r="I15036" s="1"/>
      <c r="J15036" s="1"/>
      <c r="K15036" s="1"/>
      <c r="L15036" s="1"/>
      <c r="M15036" s="1"/>
      <c r="N15036" s="1"/>
      <c r="O15036" s="1"/>
      <c r="P15036" s="1"/>
      <c r="Q15036" s="1"/>
      <c r="R15036" s="1"/>
      <c r="S15036" s="1"/>
      <c r="T15036" s="1"/>
      <c r="U15036" s="1"/>
      <c r="V15036" s="1"/>
      <c r="W15036" s="1"/>
      <c r="X15036" s="1"/>
      <c r="Y15036" s="1"/>
      <c r="Z15036" s="1"/>
      <c r="AA15036" s="1"/>
      <c r="AB15036" s="1"/>
    </row>
    <row r="15037" ht="50.25" customHeight="1">
      <c r="A15037" s="12">
        <v>15033.0</v>
      </c>
      <c r="B15037" s="21"/>
      <c r="C15037" s="21"/>
      <c r="D15037" s="1"/>
      <c r="E15037" s="1"/>
      <c r="F15037" s="1"/>
      <c r="G15037" s="1"/>
      <c r="H15037" s="1"/>
      <c r="I15037" s="1"/>
      <c r="J15037" s="1"/>
      <c r="K15037" s="1"/>
      <c r="L15037" s="1"/>
      <c r="M15037" s="1"/>
      <c r="N15037" s="1"/>
      <c r="O15037" s="1"/>
      <c r="P15037" s="1"/>
      <c r="Q15037" s="1"/>
      <c r="R15037" s="1"/>
      <c r="S15037" s="1"/>
      <c r="T15037" s="1"/>
      <c r="U15037" s="1"/>
      <c r="V15037" s="1"/>
      <c r="W15037" s="1"/>
      <c r="X15037" s="1"/>
      <c r="Y15037" s="1"/>
      <c r="Z15037" s="1"/>
      <c r="AA15037" s="1"/>
      <c r="AB15037" s="1"/>
    </row>
    <row r="15038" ht="50.25" customHeight="1">
      <c r="A15038" s="12">
        <v>15034.0</v>
      </c>
      <c r="B15038" s="21"/>
      <c r="C15038" s="21"/>
      <c r="D15038" s="1"/>
      <c r="E15038" s="1"/>
      <c r="F15038" s="1"/>
      <c r="G15038" s="1"/>
      <c r="H15038" s="1"/>
      <c r="I15038" s="1"/>
      <c r="J15038" s="1"/>
      <c r="K15038" s="1"/>
      <c r="L15038" s="1"/>
      <c r="M15038" s="1"/>
      <c r="N15038" s="1"/>
      <c r="O15038" s="1"/>
      <c r="P15038" s="1"/>
      <c r="Q15038" s="1"/>
      <c r="R15038" s="1"/>
      <c r="S15038" s="1"/>
      <c r="T15038" s="1"/>
      <c r="U15038" s="1"/>
      <c r="V15038" s="1"/>
      <c r="W15038" s="1"/>
      <c r="X15038" s="1"/>
      <c r="Y15038" s="1"/>
      <c r="Z15038" s="1"/>
      <c r="AA15038" s="1"/>
      <c r="AB15038" s="1"/>
    </row>
    <row r="15039" ht="50.25" customHeight="1">
      <c r="A15039" s="12">
        <v>15035.0</v>
      </c>
      <c r="B15039" s="21"/>
      <c r="C15039" s="21"/>
      <c r="D15039" s="1"/>
      <c r="E15039" s="1"/>
      <c r="F15039" s="1"/>
      <c r="G15039" s="1"/>
      <c r="H15039" s="1"/>
      <c r="I15039" s="1"/>
      <c r="J15039" s="1"/>
      <c r="K15039" s="1"/>
      <c r="L15039" s="1"/>
      <c r="M15039" s="1"/>
      <c r="N15039" s="1"/>
      <c r="O15039" s="1"/>
      <c r="P15039" s="1"/>
      <c r="Q15039" s="1"/>
      <c r="R15039" s="1"/>
      <c r="S15039" s="1"/>
      <c r="T15039" s="1"/>
      <c r="U15039" s="1"/>
      <c r="V15039" s="1"/>
      <c r="W15039" s="1"/>
      <c r="X15039" s="1"/>
      <c r="Y15039" s="1"/>
      <c r="Z15039" s="1"/>
      <c r="AA15039" s="1"/>
      <c r="AB15039" s="1"/>
    </row>
  </sheetData>
  <drawing r:id="rId1"/>
</worksheet>
</file>